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customProperty" PartName="/xl/customProperty1.bin"/>
  <Override ContentType="application/vnd.openxmlformats-officedocument.spreadsheetml.customProperty" PartName="/xl/customProperty2.bin"/>
  <Override ContentType="application/vnd.openxmlformats-officedocument.spreadsheetml.customProperty" PartName="/xl/customProperty3.bin"/>
  <Override ContentType="application/vnd.openxmlformats-officedocument.spreadsheetml.customProperty" PartName="/xl/customProperty4.bin"/>
  <Override ContentType="application/vnd.openxmlformats-officedocument.spreadsheetml.customProperty" PartName="/xl/customProperty5.bin"/>
  <Override ContentType="application/vnd.openxmlformats-officedocument.spreadsheetml.customProperty" PartName="/xl/customProperty6.bin"/>
  <Override ContentType="application/vnd.openxmlformats-officedocument.spreadsheetml.customProperty" PartName="/xl/customProperty7.bin"/>
  <Override ContentType="application/vnd.openxmlformats-officedocument.spreadsheetml.customProperty" PartName="/xl/customProperty8.bin"/>
  <Override ContentType="application/vnd.openxmlformats-officedocument.spreadsheetml.customProperty" PartName="/xl/customProperty9.bin"/>
  <Override ContentType="application/vnd.openxmlformats-officedocument.spreadsheetml.customProperty" PartName="/xl/customProperty10.bin"/>
  <Override ContentType="application/vnd.openxmlformats-officedocument.spreadsheetml.calcChain+xml" PartName="/xl/calcChai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C:\Users\u0134637\Downloads\"/>
    </mc:Choice>
  </mc:AlternateContent>
  <xr:revisionPtr revIDLastSave="0" documentId="13_ncr:1_{F462AB02-0BC5-44A8-B50D-CA7101293F43}" xr6:coauthVersionLast="44" xr6:coauthVersionMax="44" xr10:uidLastSave="{00000000-0000-0000-0000-000000000000}"/>
  <bookViews>
    <workbookView xWindow="28680" yWindow="-120" windowWidth="24240" windowHeight="13740" tabRatio="702" firstSheet="1" activeTab="1" xr2:uid="{00000000-000D-0000-FFFF-FFFF00000000}"/>
  </bookViews>
  <sheets>
    <sheet name="All regions" sheetId="1" r:id="rId1"/>
    <sheet name="Europe" sheetId="2" r:id="rId2"/>
    <sheet name="Middle East" sheetId="3" r:id="rId3"/>
    <sheet name="North America" sheetId="4" r:id="rId4"/>
    <sheet name="Asia" sheetId="5" r:id="rId5"/>
    <sheet name="Latin America and Caribbean" sheetId="6" r:id="rId6"/>
    <sheet name="Australia and Oceania" sheetId="7" r:id="rId7"/>
    <sheet name="Africa" sheetId="10" r:id="rId8"/>
    <sheet name="International" sheetId="8" r:id="rId9"/>
    <sheet name="TRRI Content Type Definitions" sheetId="9" r:id="rId10"/>
    <sheet name="D%$&amp;01_DevSheet" sheetId="11" state="veryHidden" r:id="rId11"/>
  </sheets>
  <definedNames>
    <definedName name="_xlnm._FilterDatabase" localSheetId="7" hidden="1">Africa!$A$1:$I$1</definedName>
    <definedName name="_xlnm._FilterDatabase" localSheetId="0" hidden="1">'All regions'!$A$1:$J$5636</definedName>
    <definedName name="_xlnm._FilterDatabase" localSheetId="4" hidden="1">Asia!$A$1:$I$973</definedName>
    <definedName name="_xlnm._FilterDatabase" localSheetId="6" hidden="1">'Australia and Oceania'!$A$1:$I$1</definedName>
    <definedName name="_xlnm._FilterDatabase" localSheetId="1" hidden="1">Europe!$A$1:$I$1444</definedName>
    <definedName name="_xlnm._FilterDatabase" localSheetId="8" hidden="1">International!$A$1:$I$1</definedName>
    <definedName name="_xlnm._FilterDatabase" localSheetId="5" hidden="1">'Latin America and Caribbean'!$A$1:$I$1</definedName>
    <definedName name="_xlnm._FilterDatabase" localSheetId="2" hidden="1">'Middle East'!$A$1:$I$1</definedName>
    <definedName name="_xlnm._FilterDatabase" localSheetId="3" hidden="1">'North America'!$A$1:$I$1470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11" l="1"/>
  <c r="G2" i="11"/>
  <c r="H2" i="11"/>
  <c r="I2" i="11"/>
  <c r="J2" i="11"/>
  <c r="K2" i="11"/>
  <c r="L2" i="11"/>
  <c r="M2" i="11"/>
  <c r="N2" i="11"/>
  <c r="O2" i="11"/>
  <c r="P2" i="11"/>
  <c r="Q2" i="11"/>
  <c r="R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BW2" i="11"/>
  <c r="BX2" i="11"/>
  <c r="BY2" i="11"/>
  <c r="BZ2" i="11"/>
  <c r="CA2" i="11"/>
  <c r="CB2" i="11"/>
  <c r="CC2" i="11"/>
  <c r="CD2" i="11"/>
  <c r="CE2" i="11"/>
  <c r="CF2" i="11"/>
  <c r="CG2" i="11"/>
  <c r="CH2" i="11"/>
  <c r="CI2" i="11"/>
  <c r="CJ2" i="11"/>
  <c r="CK2" i="11"/>
  <c r="CL2" i="11"/>
  <c r="CM2" i="11"/>
  <c r="CN2" i="11"/>
  <c r="CO2" i="11"/>
  <c r="CP2" i="11"/>
  <c r="CQ2" i="11"/>
  <c r="CR2" i="11"/>
  <c r="CS2" i="11"/>
  <c r="CT2" i="11"/>
  <c r="CU2" i="11"/>
  <c r="CV2" i="11"/>
  <c r="CW2" i="11"/>
  <c r="CX2" i="11"/>
  <c r="CY2" i="11"/>
  <c r="CZ2" i="11"/>
  <c r="DA2" i="11"/>
  <c r="DB2" i="11"/>
  <c r="DC2" i="11"/>
  <c r="DD2" i="11"/>
  <c r="DE2" i="11"/>
  <c r="DF2" i="11"/>
  <c r="DG2" i="11"/>
  <c r="DH2" i="11"/>
  <c r="DI2" i="11"/>
  <c r="DJ2" i="11"/>
  <c r="DK2" i="11"/>
  <c r="DL2" i="11"/>
  <c r="DM2" i="11"/>
  <c r="DN2" i="11"/>
  <c r="DO2" i="11"/>
  <c r="DP2" i="11"/>
  <c r="DQ2" i="11"/>
  <c r="DR2" i="11"/>
  <c r="DS2" i="11"/>
  <c r="DT2" i="11"/>
  <c r="DU2" i="11"/>
  <c r="DV2" i="11"/>
  <c r="DW2" i="11"/>
  <c r="DX2" i="11"/>
  <c r="DY2" i="11"/>
  <c r="DZ2" i="11"/>
  <c r="EA2" i="11"/>
  <c r="EB2" i="11"/>
  <c r="EC2" i="11"/>
  <c r="ED2" i="11"/>
  <c r="EE2" i="11"/>
  <c r="EF2" i="11"/>
  <c r="EG2" i="11"/>
  <c r="EH2" i="11"/>
  <c r="EI2" i="11"/>
  <c r="EJ2" i="11"/>
  <c r="EK2" i="11"/>
  <c r="EL2" i="11"/>
  <c r="EM2" i="11"/>
  <c r="EN2" i="11"/>
  <c r="EO2" i="11"/>
  <c r="EP2" i="11"/>
  <c r="EQ2" i="11"/>
  <c r="ER2" i="11"/>
  <c r="ES2" i="11"/>
  <c r="ET2" i="11"/>
  <c r="EU2" i="11"/>
  <c r="EV2" i="11"/>
  <c r="EW2" i="11"/>
  <c r="EX2" i="11"/>
  <c r="EY2" i="11"/>
  <c r="EZ2" i="11"/>
  <c r="FA2" i="11"/>
  <c r="FB2" i="11"/>
  <c r="FC2" i="11"/>
  <c r="FD2" i="11"/>
  <c r="FE2" i="11"/>
  <c r="FF2" i="11"/>
  <c r="FG2" i="11"/>
  <c r="FH2" i="11"/>
  <c r="FI2" i="11"/>
  <c r="FJ2" i="11"/>
  <c r="FK2" i="11"/>
  <c r="FL2" i="11"/>
  <c r="FM2" i="11"/>
  <c r="FN2" i="11"/>
  <c r="FO2" i="11"/>
  <c r="FP2" i="11"/>
  <c r="FQ2" i="11"/>
  <c r="FR2" i="11"/>
  <c r="FS2" i="11"/>
  <c r="FT2" i="11"/>
  <c r="FU2" i="11"/>
  <c r="FV2" i="11"/>
  <c r="FW2" i="11"/>
  <c r="FX2" i="11"/>
  <c r="FY2" i="11"/>
  <c r="FZ2" i="11"/>
  <c r="GA2" i="11"/>
  <c r="GB2" i="11"/>
  <c r="GC2" i="11"/>
  <c r="GD2" i="11"/>
  <c r="GE2" i="11"/>
  <c r="GF2" i="11"/>
  <c r="GG2" i="11"/>
  <c r="GH2" i="11"/>
  <c r="GI2" i="11"/>
  <c r="GJ2" i="11"/>
  <c r="GK2" i="11"/>
  <c r="GL2" i="11"/>
  <c r="GM2" i="11"/>
  <c r="GN2" i="11"/>
  <c r="GO2" i="11"/>
  <c r="GP2" i="11"/>
  <c r="GQ2" i="11"/>
  <c r="GR2" i="11"/>
  <c r="GS2" i="11"/>
  <c r="GT2" i="11"/>
  <c r="GU2" i="11"/>
  <c r="GV2" i="11"/>
  <c r="GW2" i="11"/>
  <c r="GX2" i="11"/>
  <c r="GY2" i="11"/>
  <c r="GZ2" i="11"/>
  <c r="HA2" i="11"/>
  <c r="HB2" i="11"/>
  <c r="HC2" i="11"/>
  <c r="HD2" i="11"/>
  <c r="HE2" i="11"/>
  <c r="HF2" i="11"/>
  <c r="HG2" i="11"/>
  <c r="HH2" i="11"/>
  <c r="HI2" i="11"/>
  <c r="HJ2" i="11"/>
  <c r="HK2" i="11"/>
  <c r="HL2" i="11"/>
  <c r="HM2" i="11"/>
  <c r="HN2" i="11"/>
  <c r="HO2" i="11"/>
  <c r="HP2" i="11"/>
  <c r="HQ2" i="11"/>
  <c r="HR2" i="11"/>
  <c r="HS2" i="11"/>
  <c r="HT2" i="11"/>
  <c r="HU2" i="11"/>
  <c r="HV2" i="11"/>
  <c r="HW2" i="11"/>
  <c r="HX2" i="11"/>
  <c r="HY2" i="11"/>
  <c r="HZ2" i="11"/>
  <c r="IA2" i="11"/>
  <c r="IB2" i="11"/>
  <c r="IC2" i="11"/>
  <c r="ID2" i="11"/>
  <c r="IE2" i="11"/>
  <c r="IF2" i="11"/>
  <c r="IG2" i="11"/>
  <c r="IH2" i="11"/>
  <c r="II2" i="11"/>
  <c r="IJ2" i="11"/>
  <c r="IK2" i="11"/>
  <c r="IL2" i="11"/>
  <c r="IM2" i="11"/>
  <c r="IN2" i="11"/>
  <c r="IO2" i="11"/>
  <c r="IP2" i="11"/>
  <c r="IQ2" i="11"/>
  <c r="IR2" i="11"/>
  <c r="IS2" i="11"/>
  <c r="IT2" i="11"/>
  <c r="IU2" i="11"/>
  <c r="IV2" i="11"/>
  <c r="F3" i="11"/>
  <c r="G3" i="11"/>
  <c r="H3" i="11"/>
  <c r="I3" i="11"/>
  <c r="J3" i="11"/>
  <c r="K3" i="11"/>
  <c r="L3" i="11"/>
  <c r="M3" i="11"/>
  <c r="N3" i="11"/>
  <c r="O3" i="11"/>
  <c r="P3" i="11"/>
  <c r="Q3" i="11"/>
  <c r="R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AY3" i="11"/>
  <c r="AZ3" i="11"/>
  <c r="BA3" i="11"/>
  <c r="BB3" i="11"/>
  <c r="BC3" i="11"/>
  <c r="BD3" i="11"/>
  <c r="BE3" i="11"/>
  <c r="BF3" i="11"/>
  <c r="BG3" i="11"/>
  <c r="BH3" i="11"/>
  <c r="BI3" i="11"/>
  <c r="BJ3" i="11"/>
  <c r="BK3" i="11"/>
  <c r="BL3" i="11"/>
  <c r="BM3" i="11"/>
  <c r="BN3" i="11"/>
  <c r="BO3" i="11"/>
  <c r="BP3" i="11"/>
  <c r="BQ3" i="11"/>
  <c r="BR3" i="11"/>
  <c r="BS3" i="11"/>
  <c r="BT3" i="11"/>
  <c r="BU3" i="11"/>
  <c r="BV3" i="11"/>
  <c r="BW3" i="11"/>
  <c r="BX3" i="11"/>
  <c r="BY3" i="11"/>
  <c r="BZ3" i="11"/>
  <c r="CA3" i="11"/>
  <c r="CB3" i="11"/>
  <c r="CC3" i="11"/>
  <c r="CD3" i="11"/>
  <c r="CE3" i="11"/>
  <c r="CF3" i="11"/>
  <c r="CG3" i="11"/>
  <c r="CH3" i="11"/>
  <c r="CI3" i="11"/>
  <c r="CJ3" i="11"/>
  <c r="CK3" i="11"/>
  <c r="CL3" i="11"/>
  <c r="CM3" i="11"/>
  <c r="CN3" i="11"/>
  <c r="CO3" i="11"/>
  <c r="CP3" i="11"/>
  <c r="CQ3" i="11"/>
  <c r="CR3" i="11"/>
  <c r="CS3" i="11"/>
  <c r="CT3" i="11"/>
  <c r="CU3" i="11"/>
  <c r="CV3" i="11"/>
  <c r="CW3" i="11"/>
  <c r="CX3" i="11"/>
  <c r="CY3" i="11"/>
  <c r="CZ3" i="11"/>
  <c r="DA3" i="11"/>
  <c r="DB3" i="11"/>
  <c r="DC3" i="11"/>
  <c r="DD3" i="11"/>
  <c r="DE3" i="11"/>
  <c r="DF3" i="11"/>
  <c r="DG3" i="11"/>
  <c r="DH3" i="11"/>
  <c r="DI3" i="11"/>
  <c r="DJ3" i="11"/>
  <c r="DK3" i="11"/>
  <c r="DL3" i="11"/>
  <c r="DM3" i="11"/>
  <c r="DN3" i="11"/>
  <c r="DO3" i="11"/>
  <c r="DP3" i="11"/>
  <c r="DQ3" i="11"/>
  <c r="DR3" i="11"/>
  <c r="DS3" i="11"/>
  <c r="DT3" i="11"/>
  <c r="DU3" i="11"/>
  <c r="DV3" i="11"/>
  <c r="DW3" i="11"/>
  <c r="DX3" i="11"/>
  <c r="DY3" i="11"/>
  <c r="DZ3" i="11"/>
  <c r="EA3" i="11"/>
  <c r="EB3" i="11"/>
  <c r="EC3" i="11"/>
  <c r="ED3" i="11"/>
  <c r="EE3" i="11"/>
  <c r="EF3" i="11"/>
  <c r="EG3" i="11"/>
  <c r="EH3" i="11"/>
  <c r="EI3" i="11"/>
  <c r="EJ3" i="11"/>
  <c r="EK3" i="11"/>
  <c r="EL3" i="11"/>
  <c r="EM3" i="11"/>
  <c r="EN3" i="11"/>
  <c r="EO3" i="11"/>
  <c r="EP3" i="11"/>
  <c r="EQ3" i="11"/>
  <c r="ER3" i="11"/>
  <c r="ES3" i="11"/>
  <c r="ET3" i="11"/>
  <c r="EU3" i="11"/>
  <c r="EV3" i="11"/>
  <c r="EW3" i="11"/>
  <c r="EX3" i="11"/>
  <c r="EY3" i="11"/>
  <c r="EZ3" i="11"/>
  <c r="FA3" i="11"/>
  <c r="FB3" i="11"/>
  <c r="FC3" i="11"/>
  <c r="FD3" i="11"/>
  <c r="FE3" i="11"/>
  <c r="FF3" i="11"/>
  <c r="FG3" i="11"/>
  <c r="FH3" i="11"/>
  <c r="FI3" i="11"/>
  <c r="FJ3" i="11"/>
  <c r="FK3" i="11"/>
  <c r="FL3" i="11"/>
  <c r="FM3" i="11"/>
  <c r="FN3" i="11"/>
  <c r="FO3" i="11"/>
  <c r="FP3" i="11"/>
  <c r="FQ3" i="11"/>
  <c r="FR3" i="11"/>
  <c r="FS3" i="11"/>
  <c r="FT3" i="11"/>
  <c r="FU3" i="11"/>
  <c r="FV3" i="11"/>
  <c r="FW3" i="11"/>
  <c r="FX3" i="11"/>
  <c r="FY3" i="11"/>
  <c r="FZ3" i="11"/>
  <c r="GA3" i="11"/>
  <c r="GB3" i="11"/>
  <c r="GC3" i="11"/>
  <c r="GD3" i="11"/>
  <c r="GE3" i="11"/>
  <c r="GF3" i="11"/>
  <c r="GG3" i="11"/>
  <c r="GH3" i="11"/>
  <c r="GI3" i="11"/>
  <c r="GJ3" i="11"/>
  <c r="GK3" i="11"/>
  <c r="GL3" i="11"/>
  <c r="GM3" i="11"/>
  <c r="GN3" i="11"/>
  <c r="GO3" i="11"/>
  <c r="GP3" i="11"/>
  <c r="GQ3" i="11"/>
  <c r="GR3" i="11"/>
  <c r="GS3" i="11"/>
  <c r="GT3" i="11"/>
  <c r="GU3" i="11"/>
  <c r="GV3" i="11"/>
  <c r="GW3" i="11"/>
  <c r="GX3" i="11"/>
  <c r="GY3" i="11"/>
  <c r="GZ3" i="11"/>
  <c r="HA3" i="11"/>
  <c r="HB3" i="11"/>
  <c r="HC3" i="11"/>
  <c r="HD3" i="11"/>
  <c r="HE3" i="11"/>
  <c r="HF3" i="11"/>
  <c r="HG3" i="11"/>
  <c r="HH3" i="11"/>
  <c r="HI3" i="11"/>
  <c r="HJ3" i="11"/>
  <c r="HK3" i="11"/>
  <c r="HL3" i="11"/>
  <c r="HM3" i="11"/>
  <c r="HN3" i="11"/>
  <c r="HO3" i="11"/>
  <c r="HP3" i="11"/>
  <c r="HQ3" i="11"/>
  <c r="HR3" i="11"/>
  <c r="HS3" i="11"/>
  <c r="HT3" i="11"/>
  <c r="HU3" i="11"/>
  <c r="HV3" i="11"/>
  <c r="HW3" i="11"/>
  <c r="HX3" i="11"/>
  <c r="HY3" i="11"/>
  <c r="HZ3" i="11"/>
  <c r="IA3" i="11"/>
  <c r="IB3" i="11"/>
  <c r="IC3" i="11"/>
  <c r="ID3" i="11"/>
  <c r="IE3" i="11"/>
  <c r="IF3" i="11"/>
  <c r="IG3" i="11"/>
  <c r="IH3" i="11"/>
  <c r="II3" i="11"/>
  <c r="IJ3" i="11"/>
  <c r="IK3" i="11"/>
  <c r="IL3" i="11"/>
  <c r="IM3" i="11"/>
  <c r="IN3" i="11"/>
  <c r="IO3" i="11"/>
  <c r="IP3" i="11"/>
  <c r="IQ3" i="11"/>
  <c r="IR3" i="11"/>
  <c r="IS3" i="11"/>
  <c r="IT3" i="11"/>
  <c r="IU3" i="11"/>
  <c r="IV3" i="11"/>
  <c r="F4" i="11"/>
  <c r="G4" i="11"/>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Z4" i="11"/>
  <c r="DA4" i="11"/>
  <c r="DB4" i="11"/>
  <c r="DC4" i="11"/>
  <c r="DD4" i="11"/>
  <c r="DE4" i="11"/>
  <c r="DF4" i="11"/>
  <c r="DG4" i="11"/>
  <c r="DH4" i="11"/>
  <c r="DI4" i="11"/>
  <c r="DJ4" i="11"/>
  <c r="DK4" i="11"/>
  <c r="DL4" i="11"/>
  <c r="DM4" i="11"/>
  <c r="DN4" i="11"/>
  <c r="DO4" i="11"/>
  <c r="DP4" i="11"/>
  <c r="DQ4" i="11"/>
  <c r="DR4" i="11"/>
  <c r="DS4" i="11"/>
  <c r="DT4" i="11"/>
  <c r="DU4" i="11"/>
  <c r="DV4" i="11"/>
  <c r="DW4" i="11"/>
  <c r="DX4" i="11"/>
  <c r="DY4" i="11"/>
  <c r="DZ4" i="11"/>
  <c r="EA4" i="11"/>
  <c r="EB4" i="11"/>
  <c r="EC4" i="11"/>
  <c r="ED4" i="11"/>
  <c r="EE4" i="11"/>
  <c r="EF4" i="11"/>
  <c r="EG4" i="11"/>
  <c r="EH4" i="11"/>
  <c r="EI4" i="11"/>
  <c r="EJ4" i="11"/>
  <c r="EK4" i="11"/>
  <c r="EL4" i="11"/>
  <c r="EM4" i="11"/>
  <c r="EN4" i="11"/>
  <c r="EO4" i="11"/>
  <c r="EP4" i="11"/>
  <c r="EQ4" i="11"/>
  <c r="ER4" i="11"/>
  <c r="ES4" i="11"/>
  <c r="ET4" i="11"/>
  <c r="EU4" i="11"/>
  <c r="EV4" i="11"/>
  <c r="EW4" i="11"/>
  <c r="EX4" i="11"/>
  <c r="EY4" i="11"/>
  <c r="EZ4" i="11"/>
  <c r="FA4" i="11"/>
  <c r="FB4" i="11"/>
  <c r="FC4" i="11"/>
  <c r="FD4" i="11"/>
  <c r="FE4" i="11"/>
  <c r="FF4" i="11"/>
  <c r="FG4" i="11"/>
  <c r="FH4" i="11"/>
  <c r="FI4" i="11"/>
  <c r="FJ4" i="11"/>
  <c r="FK4" i="11"/>
  <c r="FL4" i="11"/>
  <c r="FM4" i="11"/>
  <c r="FN4" i="11"/>
  <c r="FO4" i="11"/>
  <c r="FP4" i="11"/>
  <c r="FQ4" i="11"/>
  <c r="FR4" i="11"/>
  <c r="FS4" i="11"/>
  <c r="FT4" i="11"/>
  <c r="FU4" i="11"/>
  <c r="FV4" i="11"/>
  <c r="FW4" i="11"/>
  <c r="FX4" i="11"/>
  <c r="FY4" i="11"/>
  <c r="FZ4" i="11"/>
  <c r="GA4" i="11"/>
  <c r="GB4" i="11"/>
  <c r="GC4" i="11"/>
  <c r="GD4" i="11"/>
  <c r="GE4" i="11"/>
  <c r="GF4" i="11"/>
  <c r="GG4" i="11"/>
  <c r="GH4" i="11"/>
  <c r="GI4" i="11"/>
  <c r="GJ4" i="11"/>
  <c r="GK4" i="11"/>
  <c r="GL4" i="11"/>
  <c r="GM4" i="11"/>
  <c r="GN4" i="11"/>
  <c r="GO4" i="11"/>
  <c r="GP4" i="11"/>
  <c r="GQ4" i="11"/>
  <c r="GR4" i="11"/>
  <c r="GS4" i="11"/>
  <c r="GT4" i="11"/>
  <c r="GU4" i="11"/>
  <c r="GV4" i="11"/>
  <c r="GW4" i="11"/>
  <c r="GX4" i="11"/>
  <c r="GY4" i="11"/>
  <c r="GZ4" i="11"/>
  <c r="HA4" i="11"/>
  <c r="HB4" i="11"/>
  <c r="HC4" i="11"/>
  <c r="HD4" i="11"/>
  <c r="HE4" i="11"/>
  <c r="HF4" i="11"/>
  <c r="HG4" i="11"/>
  <c r="HH4" i="11"/>
  <c r="HI4" i="11"/>
  <c r="HJ4" i="11"/>
  <c r="HK4" i="11"/>
  <c r="HL4" i="11"/>
  <c r="HM4" i="11"/>
  <c r="HN4" i="11"/>
  <c r="HO4" i="11"/>
  <c r="HP4" i="11"/>
  <c r="HQ4" i="11"/>
  <c r="HR4" i="11"/>
  <c r="HS4" i="11"/>
  <c r="HT4" i="11"/>
  <c r="HU4" i="11"/>
  <c r="HV4" i="11"/>
  <c r="HW4" i="11"/>
  <c r="HX4" i="11"/>
  <c r="HY4" i="11"/>
  <c r="HZ4" i="11"/>
  <c r="IA4" i="11"/>
  <c r="IB4" i="11"/>
  <c r="IC4" i="11"/>
  <c r="ID4" i="11"/>
  <c r="IE4" i="11"/>
  <c r="IF4" i="11"/>
  <c r="IG4" i="11"/>
  <c r="IH4" i="11"/>
  <c r="II4" i="11"/>
  <c r="IJ4" i="11"/>
  <c r="IK4" i="11"/>
  <c r="IL4" i="11"/>
  <c r="IM4" i="11"/>
  <c r="IN4" i="11"/>
  <c r="IO4" i="11"/>
  <c r="IP4" i="11"/>
  <c r="IQ4" i="11"/>
  <c r="IR4" i="11"/>
  <c r="IS4" i="11"/>
  <c r="IT4" i="11"/>
  <c r="IU4" i="11"/>
  <c r="IV4"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HB5" i="11"/>
  <c r="HC5" i="11"/>
  <c r="HD5" i="11"/>
  <c r="HE5" i="11"/>
  <c r="HF5" i="11"/>
  <c r="HG5" i="11"/>
  <c r="HH5" i="11"/>
  <c r="HI5" i="11"/>
  <c r="HJ5" i="11"/>
  <c r="HK5" i="11"/>
  <c r="HL5" i="11"/>
  <c r="HM5" i="11"/>
  <c r="HN5" i="11"/>
  <c r="HO5" i="11"/>
  <c r="HP5" i="11"/>
  <c r="HQ5" i="11"/>
  <c r="HR5" i="11"/>
  <c r="HS5" i="11"/>
  <c r="HT5" i="11"/>
  <c r="HU5" i="11"/>
  <c r="HV5" i="11"/>
  <c r="HW5" i="11"/>
  <c r="HX5" i="11"/>
  <c r="HY5" i="11"/>
  <c r="HZ5" i="11"/>
  <c r="IA5" i="11"/>
  <c r="IB5" i="11"/>
  <c r="IC5" i="11"/>
  <c r="ID5" i="11"/>
  <c r="IE5" i="11"/>
  <c r="IF5" i="11"/>
  <c r="IG5" i="11"/>
  <c r="IH5" i="11"/>
  <c r="II5" i="11"/>
  <c r="IJ5" i="11"/>
  <c r="IK5" i="11"/>
  <c r="IL5" i="11"/>
  <c r="IM5" i="11"/>
  <c r="IN5" i="11"/>
  <c r="IO5" i="11"/>
  <c r="IP5" i="11"/>
  <c r="IQ5" i="11"/>
  <c r="IR5" i="11"/>
  <c r="IS5" i="11"/>
  <c r="IT5" i="11"/>
  <c r="IU5" i="11"/>
  <c r="IV5"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HB6" i="11"/>
  <c r="HC6" i="11"/>
  <c r="HD6" i="11"/>
  <c r="HE6" i="11"/>
  <c r="HF6" i="11"/>
  <c r="HG6" i="11"/>
  <c r="HH6" i="11"/>
  <c r="HI6" i="11"/>
  <c r="HJ6" i="11"/>
  <c r="HK6" i="11"/>
  <c r="HL6" i="11"/>
  <c r="HM6" i="11"/>
  <c r="HN6" i="11"/>
  <c r="HO6" i="11"/>
  <c r="HP6" i="11"/>
  <c r="HQ6" i="11"/>
  <c r="HR6" i="11"/>
  <c r="HS6" i="11"/>
  <c r="HT6" i="11"/>
  <c r="HU6" i="11"/>
  <c r="HV6" i="11"/>
  <c r="HW6" i="11"/>
  <c r="HX6" i="11"/>
  <c r="HY6" i="11"/>
  <c r="HZ6" i="11"/>
  <c r="IA6" i="11"/>
  <c r="IB6" i="11"/>
  <c r="IC6" i="11"/>
  <c r="ID6" i="11"/>
  <c r="IE6" i="11"/>
  <c r="IF6" i="11"/>
  <c r="IG6" i="11"/>
  <c r="IH6" i="11"/>
  <c r="II6" i="11"/>
  <c r="IJ6" i="11"/>
  <c r="IK6" i="11"/>
  <c r="IL6" i="11"/>
  <c r="IM6" i="11"/>
  <c r="IN6" i="11"/>
  <c r="IO6" i="11"/>
  <c r="IP6" i="11"/>
  <c r="IQ6" i="11"/>
  <c r="IR6" i="11"/>
  <c r="IS6" i="11"/>
  <c r="IT6" i="11"/>
  <c r="IU6" i="11"/>
  <c r="IV6"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HU7" i="11"/>
  <c r="HV7" i="11"/>
  <c r="HW7" i="11"/>
  <c r="HX7" i="11"/>
  <c r="HY7" i="11"/>
  <c r="HZ7" i="11"/>
  <c r="IA7" i="11"/>
  <c r="IB7" i="11"/>
  <c r="IC7" i="11"/>
  <c r="ID7" i="11"/>
  <c r="IE7" i="11"/>
  <c r="IF7" i="11"/>
  <c r="IG7" i="11"/>
  <c r="IH7" i="11"/>
  <c r="II7" i="11"/>
  <c r="IJ7" i="11"/>
  <c r="IK7" i="11"/>
  <c r="IL7" i="11"/>
  <c r="IM7" i="11"/>
  <c r="IN7" i="11"/>
  <c r="IO7" i="11"/>
  <c r="IP7" i="11"/>
  <c r="IQ7" i="11"/>
  <c r="IR7" i="11"/>
  <c r="IS7" i="11"/>
  <c r="IT7" i="11"/>
  <c r="IU7" i="11"/>
  <c r="IV7"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HU8" i="11"/>
  <c r="HV8" i="11"/>
  <c r="HW8" i="11"/>
  <c r="HX8" i="11"/>
  <c r="HY8" i="11"/>
  <c r="HZ8" i="11"/>
  <c r="IA8" i="11"/>
  <c r="IB8" i="11"/>
  <c r="IC8" i="11"/>
  <c r="ID8" i="11"/>
  <c r="IE8" i="11"/>
  <c r="IF8" i="11"/>
  <c r="IG8" i="11"/>
  <c r="IH8" i="11"/>
  <c r="II8" i="11"/>
  <c r="IJ8" i="11"/>
  <c r="IK8" i="11"/>
  <c r="IL8" i="11"/>
  <c r="IM8" i="11"/>
  <c r="IN8" i="11"/>
  <c r="IO8" i="11"/>
  <c r="IP8" i="11"/>
  <c r="IQ8" i="11"/>
  <c r="IR8" i="11"/>
  <c r="IS8" i="11"/>
  <c r="IT8" i="11"/>
  <c r="IU8" i="11"/>
  <c r="IV8"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HU9" i="11"/>
  <c r="HV9" i="11"/>
  <c r="HW9" i="11"/>
  <c r="HX9" i="11"/>
  <c r="HY9" i="11"/>
  <c r="HZ9" i="11"/>
  <c r="IA9" i="11"/>
  <c r="IB9" i="11"/>
  <c r="IC9" i="11"/>
  <c r="ID9" i="11"/>
  <c r="IE9" i="11"/>
  <c r="IF9" i="11"/>
  <c r="IG9" i="11"/>
  <c r="IH9" i="11"/>
  <c r="II9" i="11"/>
  <c r="IJ9" i="11"/>
  <c r="IK9" i="11"/>
  <c r="IL9" i="11"/>
  <c r="IM9" i="11"/>
  <c r="IN9" i="11"/>
  <c r="IO9" i="11"/>
  <c r="IP9" i="11"/>
  <c r="IQ9" i="11"/>
  <c r="IR9" i="11"/>
  <c r="IS9" i="11"/>
  <c r="IT9" i="11"/>
  <c r="IU9" i="11"/>
  <c r="IV9"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HU10" i="11"/>
  <c r="HV10" i="11"/>
  <c r="HW10" i="11"/>
  <c r="HX10" i="11"/>
  <c r="HY10" i="11"/>
  <c r="HZ10" i="11"/>
  <c r="IA10" i="11"/>
  <c r="IB10" i="11"/>
  <c r="IC10" i="11"/>
  <c r="ID10" i="11"/>
  <c r="IE10" i="11"/>
  <c r="IF10" i="11"/>
  <c r="IG10" i="11"/>
  <c r="IH10" i="11"/>
  <c r="II10" i="11"/>
  <c r="IJ10" i="11"/>
  <c r="IK10" i="11"/>
  <c r="IL10" i="11"/>
  <c r="IM10" i="11"/>
  <c r="IN10" i="11"/>
  <c r="IO10" i="11"/>
  <c r="IP10" i="11"/>
  <c r="IQ10" i="11"/>
  <c r="IR10" i="11"/>
  <c r="IS10" i="11"/>
  <c r="IT10" i="11"/>
  <c r="IU10" i="11"/>
  <c r="IV10"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HU11" i="11"/>
  <c r="HV11" i="11"/>
  <c r="HW11" i="11"/>
  <c r="HX11" i="11"/>
  <c r="HY11" i="11"/>
  <c r="HZ11" i="11"/>
  <c r="IA11" i="11"/>
  <c r="IB11" i="11"/>
  <c r="IC11" i="11"/>
  <c r="ID11" i="11"/>
  <c r="IE11" i="11"/>
  <c r="IF11" i="11"/>
  <c r="IG11" i="11"/>
  <c r="IH11" i="11"/>
  <c r="II11" i="11"/>
  <c r="IJ11" i="11"/>
  <c r="IK11" i="11"/>
  <c r="IL11" i="11"/>
  <c r="IM11" i="11"/>
  <c r="IN11" i="11"/>
  <c r="IO11" i="11"/>
  <c r="IP11" i="11"/>
  <c r="IQ11" i="11"/>
  <c r="IR11" i="11"/>
  <c r="IS11" i="11"/>
  <c r="IT11" i="11"/>
  <c r="IU11" i="11"/>
  <c r="IV11"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HU12" i="11"/>
  <c r="HV12" i="11"/>
  <c r="HW12" i="11"/>
  <c r="HX12" i="11"/>
  <c r="HY12" i="11"/>
  <c r="HZ12" i="11"/>
  <c r="IA12" i="11"/>
  <c r="IB12" i="11"/>
  <c r="IC12" i="11"/>
  <c r="ID12" i="11"/>
  <c r="IE12" i="11"/>
  <c r="IF12" i="11"/>
  <c r="IG12" i="11"/>
  <c r="IH12" i="11"/>
  <c r="II12" i="11"/>
  <c r="IJ12" i="11"/>
  <c r="IK12" i="11"/>
  <c r="IL12" i="11"/>
  <c r="IM12" i="11"/>
  <c r="IN12" i="11"/>
  <c r="IO12" i="11"/>
  <c r="IP12" i="11"/>
  <c r="IQ12" i="11"/>
  <c r="IR12" i="11"/>
  <c r="IS12" i="11"/>
  <c r="IT12" i="11"/>
  <c r="IU12" i="11"/>
  <c r="IV12"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HU13" i="11"/>
  <c r="HV13" i="11"/>
  <c r="HW13" i="11"/>
  <c r="HX13" i="11"/>
  <c r="HY13" i="11"/>
  <c r="HZ13" i="11"/>
  <c r="IA13" i="11"/>
  <c r="IB13" i="11"/>
  <c r="IC13" i="11"/>
  <c r="ID13" i="11"/>
  <c r="IE13" i="11"/>
  <c r="IF13" i="11"/>
  <c r="IG13" i="11"/>
  <c r="IH13" i="11"/>
  <c r="II13" i="11"/>
  <c r="IJ13" i="11"/>
  <c r="IK13" i="11"/>
  <c r="IL13" i="11"/>
  <c r="IM13" i="11"/>
  <c r="IN13" i="11"/>
  <c r="IO13" i="11"/>
  <c r="IP13" i="11"/>
  <c r="IQ13" i="11"/>
  <c r="IR13" i="11"/>
  <c r="IS13" i="11"/>
  <c r="IT13" i="11"/>
  <c r="IU13" i="11"/>
  <c r="IV13"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HU14" i="11"/>
  <c r="HV14" i="11"/>
  <c r="HW14" i="11"/>
  <c r="HX14" i="11"/>
  <c r="HY14" i="11"/>
  <c r="HZ14" i="11"/>
  <c r="IA14" i="11"/>
  <c r="IB14" i="11"/>
  <c r="IC14" i="11"/>
  <c r="ID14" i="11"/>
  <c r="IE14" i="11"/>
  <c r="IF14" i="11"/>
  <c r="IG14" i="11"/>
  <c r="IH14" i="11"/>
  <c r="II14" i="11"/>
  <c r="IJ14" i="11"/>
  <c r="IK14" i="11"/>
  <c r="IL14" i="11"/>
  <c r="IM14" i="11"/>
  <c r="IN14" i="11"/>
  <c r="IO14" i="11"/>
  <c r="IP14" i="11"/>
  <c r="IQ14" i="11"/>
  <c r="IR14" i="11"/>
  <c r="IS14" i="11"/>
  <c r="IT14" i="11"/>
  <c r="IU14" i="11"/>
  <c r="IV14"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HU15" i="11"/>
  <c r="HV15" i="11"/>
  <c r="HW15" i="11"/>
  <c r="HX15" i="11"/>
  <c r="HY15" i="11"/>
  <c r="HZ15" i="11"/>
  <c r="IA15" i="11"/>
  <c r="IB15" i="11"/>
  <c r="IC15" i="11"/>
  <c r="ID15" i="11"/>
  <c r="IE15" i="11"/>
  <c r="IF15" i="11"/>
  <c r="IG15" i="11"/>
  <c r="IH15" i="11"/>
  <c r="II15" i="11"/>
  <c r="IJ15" i="11"/>
  <c r="IK15" i="11"/>
  <c r="IL15" i="11"/>
  <c r="IM15" i="11"/>
  <c r="IN15" i="11"/>
  <c r="IO15" i="11"/>
  <c r="IP15" i="11"/>
  <c r="IQ15" i="11"/>
  <c r="IR15" i="11"/>
  <c r="IS15" i="11"/>
  <c r="IT15" i="11"/>
  <c r="IU15" i="11"/>
  <c r="IV15"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HU16" i="11"/>
  <c r="HV16" i="11"/>
  <c r="HW16" i="11"/>
  <c r="HX16" i="11"/>
  <c r="HY16" i="11"/>
  <c r="HZ16" i="11"/>
  <c r="IA16" i="11"/>
  <c r="IB16" i="11"/>
  <c r="IC16" i="11"/>
  <c r="ID16" i="11"/>
  <c r="IE16" i="11"/>
  <c r="IF16" i="11"/>
  <c r="IG16" i="11"/>
  <c r="IH16" i="11"/>
  <c r="II16" i="11"/>
  <c r="IJ16" i="11"/>
  <c r="IK16" i="11"/>
  <c r="IL16" i="11"/>
  <c r="IM16" i="11"/>
  <c r="IN16" i="11"/>
  <c r="IO16" i="11"/>
  <c r="IP16" i="11"/>
  <c r="IQ16" i="11"/>
  <c r="IR16" i="11"/>
  <c r="IS16" i="11"/>
  <c r="IT16" i="11"/>
  <c r="IU16" i="11"/>
  <c r="IV16"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HU17" i="11"/>
  <c r="HV17" i="11"/>
  <c r="HW17" i="11"/>
  <c r="HX17" i="11"/>
  <c r="HY17" i="11"/>
  <c r="HZ17" i="11"/>
  <c r="IA17" i="11"/>
  <c r="IB17" i="11"/>
  <c r="IC17" i="11"/>
  <c r="ID17" i="11"/>
  <c r="IE17" i="11"/>
  <c r="IF17" i="11"/>
  <c r="IG17" i="11"/>
  <c r="IH17" i="11"/>
  <c r="II17" i="11"/>
  <c r="IJ17" i="11"/>
  <c r="IK17" i="11"/>
  <c r="IL17" i="11"/>
  <c r="IM17" i="11"/>
  <c r="IN17" i="11"/>
  <c r="IO17" i="11"/>
  <c r="IP17" i="11"/>
  <c r="IQ17" i="11"/>
  <c r="IR17" i="11"/>
  <c r="IS17" i="11"/>
  <c r="IT17" i="11"/>
  <c r="IU17" i="11"/>
  <c r="IV17"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HH18" i="11"/>
  <c r="HI18" i="11"/>
  <c r="HJ18" i="11"/>
  <c r="HK18" i="11"/>
  <c r="HL18" i="11"/>
  <c r="HM18" i="11"/>
  <c r="HN18" i="11"/>
  <c r="HO18" i="11"/>
  <c r="HP18" i="11"/>
  <c r="HQ18" i="11"/>
  <c r="HR18" i="11"/>
  <c r="HS18" i="11"/>
  <c r="HT18" i="11"/>
  <c r="HU18" i="11"/>
  <c r="HV18" i="11"/>
  <c r="HW18" i="11"/>
  <c r="HX18" i="11"/>
  <c r="HY18" i="11"/>
  <c r="HZ18" i="11"/>
  <c r="IA18" i="11"/>
  <c r="IB18" i="11"/>
  <c r="IC18" i="11"/>
  <c r="ID18" i="11"/>
  <c r="IE18" i="11"/>
  <c r="IF18" i="11"/>
  <c r="IG18" i="11"/>
  <c r="IH18" i="11"/>
  <c r="II18" i="11"/>
  <c r="IJ18" i="11"/>
  <c r="IK18" i="11"/>
  <c r="IL18" i="11"/>
  <c r="IM18" i="11"/>
  <c r="IN18" i="11"/>
  <c r="IO18" i="11"/>
  <c r="IP18" i="11"/>
  <c r="IQ18" i="11"/>
  <c r="IR18" i="11"/>
  <c r="IS18" i="11"/>
  <c r="IT18" i="11"/>
  <c r="IU18" i="11"/>
  <c r="IV18"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HU19" i="11"/>
  <c r="HV19" i="11"/>
  <c r="HW19" i="11"/>
  <c r="HX19" i="11"/>
  <c r="HY19" i="11"/>
  <c r="HZ19" i="11"/>
  <c r="IA19" i="11"/>
  <c r="IB19" i="11"/>
  <c r="IC19" i="11"/>
  <c r="ID19" i="11"/>
  <c r="IE19" i="11"/>
  <c r="IF19" i="11"/>
  <c r="IG19" i="11"/>
  <c r="IH19" i="11"/>
  <c r="II19" i="11"/>
  <c r="IJ19" i="11"/>
  <c r="IK19" i="11"/>
  <c r="IL19" i="11"/>
  <c r="IM19" i="11"/>
  <c r="IN19" i="11"/>
  <c r="IO19" i="11"/>
  <c r="IP19" i="11"/>
  <c r="IQ19" i="11"/>
  <c r="IR19" i="11"/>
  <c r="IS19" i="11"/>
  <c r="IT19" i="11"/>
  <c r="IU19" i="11"/>
  <c r="IV19"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HU20" i="11"/>
  <c r="HV20" i="11"/>
  <c r="HW20" i="11"/>
  <c r="HX20" i="11"/>
  <c r="HY20" i="11"/>
  <c r="HZ20" i="11"/>
  <c r="IA20" i="11"/>
  <c r="IB20" i="11"/>
  <c r="IC20" i="11"/>
  <c r="ID20" i="11"/>
  <c r="IE20" i="11"/>
  <c r="IF20" i="11"/>
  <c r="IG20" i="11"/>
  <c r="IH20" i="11"/>
  <c r="II20" i="11"/>
  <c r="IJ20" i="11"/>
  <c r="IK20" i="11"/>
  <c r="IL20" i="11"/>
  <c r="IM20" i="11"/>
  <c r="IN20" i="11"/>
  <c r="IO20" i="11"/>
  <c r="IP20" i="11"/>
  <c r="IQ20" i="11"/>
  <c r="IR20" i="11"/>
  <c r="IS20" i="11"/>
  <c r="IT20" i="11"/>
  <c r="IU20" i="11"/>
  <c r="IV20"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HH21" i="11"/>
  <c r="HI21" i="11"/>
  <c r="HJ21" i="11"/>
  <c r="HK21" i="11"/>
  <c r="HL21" i="11"/>
  <c r="HM21" i="11"/>
  <c r="HN21" i="11"/>
  <c r="HO21" i="11"/>
  <c r="HP21" i="11"/>
  <c r="HQ21" i="11"/>
  <c r="HR21" i="11"/>
  <c r="HS21" i="11"/>
  <c r="HT21" i="11"/>
  <c r="HU21" i="11"/>
  <c r="HV21" i="11"/>
  <c r="HW21" i="11"/>
  <c r="HX21" i="11"/>
  <c r="HY21" i="11"/>
  <c r="HZ21" i="11"/>
  <c r="IA21" i="11"/>
  <c r="IB21" i="11"/>
  <c r="IC21" i="11"/>
  <c r="ID21" i="11"/>
  <c r="IE21" i="11"/>
  <c r="IF21" i="11"/>
  <c r="IG21" i="11"/>
  <c r="IH21" i="11"/>
  <c r="II21" i="11"/>
  <c r="IJ21" i="11"/>
  <c r="IK21" i="11"/>
  <c r="IL21" i="11"/>
  <c r="IM21" i="11"/>
  <c r="IN21" i="11"/>
  <c r="IO21" i="11"/>
  <c r="IP21" i="11"/>
  <c r="IQ21" i="11"/>
  <c r="IR21" i="11"/>
  <c r="IS21" i="11"/>
  <c r="IT21" i="11"/>
  <c r="IU21" i="11"/>
  <c r="IV21"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HH22" i="11"/>
  <c r="HI22" i="11"/>
  <c r="HJ22" i="11"/>
  <c r="HK22" i="11"/>
  <c r="HL22" i="11"/>
  <c r="HM22" i="11"/>
  <c r="HN22" i="11"/>
  <c r="HO22" i="11"/>
  <c r="HP22" i="11"/>
  <c r="HQ22" i="11"/>
  <c r="HR22" i="11"/>
  <c r="HS22" i="11"/>
  <c r="HT22" i="11"/>
  <c r="HU22" i="11"/>
  <c r="HV22" i="11"/>
  <c r="HW22" i="11"/>
  <c r="HX22" i="11"/>
  <c r="HY22" i="11"/>
  <c r="HZ22" i="11"/>
  <c r="IA22" i="11"/>
  <c r="IB22" i="11"/>
  <c r="IC22" i="11"/>
  <c r="ID22" i="11"/>
  <c r="IE22" i="11"/>
  <c r="IF22" i="11"/>
  <c r="IG22" i="11"/>
  <c r="IH22" i="11"/>
  <c r="II22" i="11"/>
  <c r="IJ22" i="11"/>
  <c r="IK22" i="11"/>
  <c r="IL22" i="11"/>
  <c r="IM22" i="11"/>
  <c r="IN22" i="11"/>
  <c r="IO22" i="11"/>
  <c r="IP22" i="11"/>
  <c r="IQ22" i="11"/>
  <c r="IR22" i="11"/>
  <c r="IS22" i="11"/>
  <c r="IT22" i="11"/>
  <c r="IU22" i="11"/>
  <c r="IV22"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HH23" i="11"/>
  <c r="HI23" i="11"/>
  <c r="HJ23" i="11"/>
  <c r="HK23" i="11"/>
  <c r="HL23" i="11"/>
  <c r="HM23" i="11"/>
  <c r="HN23" i="11"/>
  <c r="HO23" i="11"/>
  <c r="HP23" i="11"/>
  <c r="HQ23" i="11"/>
  <c r="HR23" i="11"/>
  <c r="HS23" i="11"/>
  <c r="HT23" i="11"/>
  <c r="HU23" i="11"/>
  <c r="HV23" i="11"/>
  <c r="HW23" i="11"/>
  <c r="HX23" i="11"/>
  <c r="HY23" i="11"/>
  <c r="HZ23" i="11"/>
  <c r="IA23" i="11"/>
  <c r="IB23" i="11"/>
  <c r="IC23" i="11"/>
  <c r="ID23" i="11"/>
  <c r="IE23" i="11"/>
  <c r="IF23" i="11"/>
  <c r="IG23" i="11"/>
  <c r="IH23" i="11"/>
  <c r="II23" i="11"/>
  <c r="IJ23" i="11"/>
  <c r="IK23" i="11"/>
  <c r="IL23" i="11"/>
  <c r="IM23" i="11"/>
  <c r="IN23" i="11"/>
  <c r="IO23" i="11"/>
  <c r="IP23" i="11"/>
  <c r="IQ23" i="11"/>
  <c r="IR23" i="11"/>
  <c r="IS23" i="11"/>
  <c r="IT23" i="11"/>
  <c r="IU23" i="11"/>
  <c r="IV23"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HH24" i="11"/>
  <c r="HI24" i="11"/>
  <c r="HJ24" i="11"/>
  <c r="HK24" i="11"/>
  <c r="HL24" i="11"/>
  <c r="HM24" i="11"/>
  <c r="HN24" i="11"/>
  <c r="HO24" i="11"/>
  <c r="HP24" i="11"/>
  <c r="HQ24" i="11"/>
  <c r="HR24" i="11"/>
  <c r="HS24" i="11"/>
  <c r="HT24" i="11"/>
  <c r="HU24" i="11"/>
  <c r="HV24" i="11"/>
  <c r="HW24" i="11"/>
  <c r="HX24" i="11"/>
  <c r="HY24" i="11"/>
  <c r="HZ24" i="11"/>
  <c r="IA24" i="11"/>
  <c r="IB24" i="11"/>
  <c r="IC24" i="11"/>
  <c r="ID24" i="11"/>
  <c r="IE24" i="11"/>
  <c r="IF24" i="11"/>
  <c r="IG24" i="11"/>
  <c r="IH24" i="11"/>
  <c r="II24" i="11"/>
  <c r="IJ24" i="11"/>
  <c r="IK24" i="11"/>
  <c r="IL24" i="11"/>
  <c r="IM24" i="11"/>
  <c r="IN24" i="11"/>
  <c r="IO24" i="11"/>
  <c r="IP24" i="11"/>
  <c r="IQ24" i="11"/>
  <c r="IR24" i="11"/>
  <c r="IS24" i="11"/>
  <c r="IT24" i="11"/>
  <c r="IU24" i="11"/>
  <c r="IV24"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HH25" i="11"/>
  <c r="HI25" i="11"/>
  <c r="HJ25" i="11"/>
  <c r="HK25" i="11"/>
  <c r="HL25" i="11"/>
  <c r="HM25" i="11"/>
  <c r="HN25" i="11"/>
  <c r="HO25" i="11"/>
  <c r="HP25" i="11"/>
  <c r="HQ25" i="11"/>
  <c r="HR25" i="11"/>
  <c r="HS25" i="11"/>
  <c r="HT25" i="11"/>
  <c r="HU25" i="11"/>
  <c r="HV25" i="11"/>
  <c r="HW25" i="11"/>
  <c r="HX25" i="11"/>
  <c r="HY25" i="11"/>
  <c r="HZ25" i="11"/>
  <c r="IA25" i="11"/>
  <c r="IB25" i="11"/>
  <c r="IC25" i="11"/>
  <c r="ID25" i="11"/>
  <c r="IE25" i="11"/>
  <c r="IF25" i="11"/>
  <c r="IG25" i="11"/>
  <c r="IH25" i="11"/>
  <c r="II25" i="11"/>
  <c r="IJ25" i="11"/>
  <c r="IK25" i="11"/>
  <c r="IL25" i="11"/>
  <c r="IM25" i="11"/>
  <c r="IN25" i="11"/>
  <c r="IO25" i="11"/>
  <c r="IP25" i="11"/>
  <c r="IQ25" i="11"/>
  <c r="IR25" i="11"/>
  <c r="IS25" i="11"/>
  <c r="IT25" i="11"/>
  <c r="IU25" i="11"/>
  <c r="IV25"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HH26" i="11"/>
  <c r="HI26" i="11"/>
  <c r="HJ26" i="11"/>
  <c r="HK26" i="11"/>
  <c r="HL26" i="11"/>
  <c r="HM26" i="11"/>
  <c r="HN26" i="11"/>
  <c r="HO26" i="11"/>
  <c r="HP26" i="11"/>
  <c r="HQ26" i="11"/>
  <c r="HR26" i="11"/>
  <c r="HS26" i="11"/>
  <c r="HT26" i="11"/>
  <c r="HU26" i="11"/>
  <c r="HV26" i="11"/>
  <c r="HW26" i="11"/>
  <c r="HX26" i="11"/>
  <c r="HY26" i="11"/>
  <c r="HZ26" i="11"/>
  <c r="IA26" i="11"/>
  <c r="IB26" i="11"/>
  <c r="IC26" i="11"/>
  <c r="ID26" i="11"/>
  <c r="IE26" i="11"/>
  <c r="IF26" i="11"/>
  <c r="IG26" i="11"/>
  <c r="IH26" i="11"/>
  <c r="II26" i="11"/>
  <c r="IJ26" i="11"/>
  <c r="IK26" i="11"/>
  <c r="IL26" i="11"/>
  <c r="IM26" i="11"/>
  <c r="IN26" i="11"/>
  <c r="IO26" i="11"/>
  <c r="IP26" i="11"/>
  <c r="IQ26" i="11"/>
  <c r="IR26" i="11"/>
  <c r="IS26" i="11"/>
  <c r="IT26" i="11"/>
  <c r="IU26" i="11"/>
  <c r="IV26"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HH27" i="11"/>
  <c r="HI27" i="11"/>
  <c r="HJ27" i="11"/>
  <c r="HK27" i="11"/>
  <c r="HL27" i="11"/>
  <c r="HM27" i="11"/>
  <c r="HN27" i="11"/>
  <c r="HO27" i="11"/>
  <c r="HP27" i="11"/>
  <c r="HQ27" i="11"/>
  <c r="HR27" i="11"/>
  <c r="HS27" i="11"/>
  <c r="HT27" i="11"/>
  <c r="HU27" i="11"/>
  <c r="HV27" i="11"/>
  <c r="HW27" i="11"/>
  <c r="HX27" i="11"/>
  <c r="HY27" i="11"/>
  <c r="HZ27" i="11"/>
  <c r="IA27" i="11"/>
  <c r="IB27" i="11"/>
  <c r="IC27" i="11"/>
  <c r="ID27" i="11"/>
  <c r="IE27" i="11"/>
  <c r="IF27" i="11"/>
  <c r="IG27" i="11"/>
  <c r="IH27" i="11"/>
  <c r="II27" i="11"/>
  <c r="IJ27" i="11"/>
  <c r="IK27" i="11"/>
  <c r="IL27" i="11"/>
  <c r="IM27" i="11"/>
  <c r="IN27" i="11"/>
  <c r="IO27" i="11"/>
  <c r="IP27" i="11"/>
  <c r="IQ27" i="11"/>
  <c r="IR27" i="11"/>
  <c r="IS27" i="11"/>
  <c r="IT27" i="11"/>
  <c r="IU27" i="11"/>
  <c r="IV27"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HU28" i="11"/>
  <c r="HV28" i="11"/>
  <c r="HW28" i="11"/>
  <c r="HX28" i="11"/>
  <c r="HY28" i="11"/>
  <c r="HZ28" i="11"/>
  <c r="IA28" i="11"/>
  <c r="IB28" i="11"/>
  <c r="IC28" i="11"/>
  <c r="ID28" i="11"/>
  <c r="IE28" i="11"/>
  <c r="IF28" i="11"/>
  <c r="IG28" i="11"/>
  <c r="IH28" i="11"/>
  <c r="II28" i="11"/>
  <c r="IJ28" i="11"/>
  <c r="IK28" i="11"/>
  <c r="IL28" i="11"/>
  <c r="IM28" i="11"/>
  <c r="IN28" i="11"/>
  <c r="IO28" i="11"/>
  <c r="IP28" i="11"/>
  <c r="IQ28" i="11"/>
  <c r="IR28" i="11"/>
  <c r="IS28" i="11"/>
  <c r="IT28" i="11"/>
  <c r="IU28" i="11"/>
  <c r="IV28"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HU29" i="11"/>
  <c r="HV29" i="11"/>
  <c r="HW29" i="11"/>
  <c r="HX29" i="11"/>
  <c r="HY29" i="11"/>
  <c r="HZ29" i="11"/>
  <c r="IA29" i="11"/>
  <c r="IB29" i="11"/>
  <c r="IC29" i="11"/>
  <c r="ID29" i="11"/>
  <c r="IE29" i="11"/>
  <c r="IF29" i="11"/>
  <c r="IG29" i="11"/>
  <c r="IH29" i="11"/>
  <c r="II29" i="11"/>
  <c r="IJ29" i="11"/>
  <c r="IK29" i="11"/>
  <c r="IL29" i="11"/>
  <c r="IM29" i="11"/>
  <c r="IN29" i="11"/>
  <c r="IO29" i="11"/>
  <c r="IP29" i="11"/>
  <c r="IQ29" i="11"/>
  <c r="IR29" i="11"/>
  <c r="IS29" i="11"/>
  <c r="IT29" i="11"/>
  <c r="IU29" i="11"/>
  <c r="IV29"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HU30" i="11"/>
  <c r="HV30" i="11"/>
  <c r="HW30" i="11"/>
  <c r="HX30" i="11"/>
  <c r="HY30" i="11"/>
  <c r="HZ30" i="11"/>
  <c r="IA30" i="11"/>
  <c r="IB30" i="11"/>
  <c r="IC30" i="11"/>
  <c r="ID30" i="11"/>
  <c r="IE30" i="11"/>
  <c r="IF30" i="11"/>
  <c r="IG30" i="11"/>
  <c r="IH30" i="11"/>
  <c r="II30" i="11"/>
  <c r="IJ30" i="11"/>
  <c r="IK30" i="11"/>
  <c r="IL30" i="11"/>
  <c r="IM30" i="11"/>
  <c r="IN30" i="11"/>
  <c r="IO30" i="11"/>
  <c r="IP30" i="11"/>
  <c r="IQ30" i="11"/>
  <c r="IR30" i="11"/>
  <c r="IS30" i="11"/>
  <c r="IT30" i="11"/>
  <c r="IU30" i="11"/>
  <c r="IV30"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HU31" i="11"/>
  <c r="HV31" i="11"/>
  <c r="HW31" i="11"/>
  <c r="HX31" i="11"/>
  <c r="HY31" i="11"/>
  <c r="HZ31" i="11"/>
  <c r="IA31" i="11"/>
  <c r="IB31" i="11"/>
  <c r="IC31" i="11"/>
  <c r="ID31" i="11"/>
  <c r="IE31" i="11"/>
  <c r="IF31" i="11"/>
  <c r="IG31" i="11"/>
  <c r="IH31" i="11"/>
  <c r="II31" i="11"/>
  <c r="IJ31" i="11"/>
  <c r="IK31" i="11"/>
  <c r="IL31" i="11"/>
  <c r="IM31" i="11"/>
  <c r="IN31" i="11"/>
  <c r="IO31" i="11"/>
  <c r="IP31" i="11"/>
  <c r="IQ31" i="11"/>
  <c r="IR31" i="11"/>
  <c r="IS31" i="11"/>
  <c r="IT31" i="11"/>
  <c r="IU31" i="11"/>
  <c r="IV31"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HU32" i="11"/>
  <c r="HV32" i="11"/>
  <c r="HW32" i="11"/>
  <c r="HX32" i="11"/>
  <c r="HY32" i="11"/>
  <c r="HZ32" i="11"/>
  <c r="IA32" i="11"/>
  <c r="IB32" i="11"/>
  <c r="IC32" i="11"/>
  <c r="ID32" i="11"/>
  <c r="IE32" i="11"/>
  <c r="IF32" i="11"/>
  <c r="IG32" i="11"/>
  <c r="IH32" i="11"/>
  <c r="II32" i="11"/>
  <c r="IJ32" i="11"/>
  <c r="IK32" i="11"/>
  <c r="IL32" i="11"/>
  <c r="IM32" i="11"/>
  <c r="IN32" i="11"/>
  <c r="IO32" i="11"/>
  <c r="IP32" i="11"/>
  <c r="IQ32" i="11"/>
  <c r="IR32" i="11"/>
  <c r="IS32" i="11"/>
  <c r="IT32" i="11"/>
  <c r="IU32" i="11"/>
  <c r="IV32"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HU33" i="11"/>
  <c r="HV33" i="11"/>
  <c r="HW33" i="11"/>
  <c r="HX33" i="11"/>
  <c r="HY33" i="11"/>
  <c r="HZ33" i="11"/>
  <c r="IA33" i="11"/>
  <c r="IB33" i="11"/>
  <c r="IC33" i="11"/>
  <c r="ID33" i="11"/>
  <c r="IE33" i="11"/>
  <c r="IF33" i="11"/>
  <c r="IG33" i="11"/>
  <c r="IH33" i="11"/>
  <c r="II33" i="11"/>
  <c r="IJ33" i="11"/>
  <c r="IK33" i="11"/>
  <c r="IL33" i="11"/>
  <c r="IM33" i="11"/>
  <c r="IN33" i="11"/>
  <c r="IO33" i="11"/>
  <c r="IP33" i="11"/>
  <c r="IQ33" i="11"/>
  <c r="IR33" i="11"/>
  <c r="IS33" i="11"/>
  <c r="IT33" i="11"/>
  <c r="IU33" i="11"/>
  <c r="IV33"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HU34" i="11"/>
  <c r="HV34" i="11"/>
  <c r="HW34" i="11"/>
  <c r="HX34" i="11"/>
  <c r="HY34" i="11"/>
  <c r="HZ34" i="11"/>
  <c r="IA34" i="11"/>
  <c r="IB34" i="11"/>
  <c r="IC34" i="11"/>
  <c r="ID34" i="11"/>
  <c r="IE34" i="11"/>
  <c r="IF34" i="11"/>
  <c r="IG34" i="11"/>
  <c r="IH34" i="11"/>
  <c r="II34" i="11"/>
  <c r="IJ34" i="11"/>
  <c r="IK34" i="11"/>
  <c r="IL34" i="11"/>
  <c r="IM34" i="11"/>
  <c r="IN34" i="11"/>
  <c r="IO34" i="11"/>
  <c r="IP34" i="11"/>
  <c r="IQ34" i="11"/>
  <c r="IR34" i="11"/>
  <c r="IS34" i="11"/>
  <c r="IT34" i="11"/>
  <c r="IU34" i="11"/>
  <c r="IV34"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HU35" i="11"/>
  <c r="HV35" i="11"/>
  <c r="HW35" i="11"/>
  <c r="HX35" i="11"/>
  <c r="HY35" i="11"/>
  <c r="HZ35" i="11"/>
  <c r="IA35" i="11"/>
  <c r="IB35" i="11"/>
  <c r="IC35" i="11"/>
  <c r="ID35" i="11"/>
  <c r="IE35" i="11"/>
  <c r="IF35" i="11"/>
  <c r="IG35" i="11"/>
  <c r="IH35" i="11"/>
  <c r="II35" i="11"/>
  <c r="IJ35" i="11"/>
  <c r="IK35" i="11"/>
  <c r="IL35" i="11"/>
  <c r="IM35" i="11"/>
  <c r="IN35" i="11"/>
  <c r="IO35" i="11"/>
  <c r="IP35" i="11"/>
  <c r="IQ35" i="11"/>
  <c r="IR35" i="11"/>
  <c r="IS35" i="11"/>
  <c r="IT35" i="11"/>
  <c r="IU35" i="11"/>
  <c r="IV35"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HU36" i="11"/>
  <c r="HV36" i="11"/>
  <c r="HW36" i="11"/>
  <c r="HX36" i="11"/>
  <c r="HY36" i="11"/>
  <c r="HZ36" i="11"/>
  <c r="IA36" i="11"/>
  <c r="IB36" i="11"/>
  <c r="IC36" i="11"/>
  <c r="ID36" i="11"/>
  <c r="IE36" i="11"/>
  <c r="IF36" i="11"/>
  <c r="IG36" i="11"/>
  <c r="IH36" i="11"/>
  <c r="II36" i="11"/>
  <c r="IJ36" i="11"/>
  <c r="IK36" i="11"/>
  <c r="IL36" i="11"/>
  <c r="IM36" i="11"/>
  <c r="IN36" i="11"/>
  <c r="IO36" i="11"/>
  <c r="IP36" i="11"/>
  <c r="IQ36" i="11"/>
  <c r="IR36" i="11"/>
  <c r="IS36" i="11"/>
  <c r="IT36" i="11"/>
  <c r="IU36" i="11"/>
  <c r="IV36"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HU37" i="11"/>
  <c r="HV37" i="11"/>
  <c r="HW37" i="11"/>
  <c r="HX37" i="11"/>
  <c r="HY37" i="11"/>
  <c r="HZ37" i="11"/>
  <c r="IA37" i="11"/>
  <c r="IB37" i="11"/>
  <c r="IC37" i="11"/>
  <c r="ID37" i="11"/>
  <c r="IE37" i="11"/>
  <c r="IF37" i="11"/>
  <c r="IG37" i="11"/>
  <c r="IH37" i="11"/>
  <c r="II37" i="11"/>
  <c r="IJ37" i="11"/>
  <c r="IK37" i="11"/>
  <c r="IL37" i="11"/>
  <c r="IM37" i="11"/>
  <c r="IN37" i="11"/>
  <c r="IO37" i="11"/>
  <c r="IP37" i="11"/>
  <c r="IQ37" i="11"/>
  <c r="IR37" i="11"/>
  <c r="IS37" i="11"/>
  <c r="IT37" i="11"/>
  <c r="IU37" i="11"/>
  <c r="IV37"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HU38" i="11"/>
  <c r="HV38" i="11"/>
  <c r="HW38" i="11"/>
  <c r="HX38" i="11"/>
  <c r="HY38" i="11"/>
  <c r="HZ38" i="11"/>
  <c r="IA38" i="11"/>
  <c r="IB38" i="11"/>
  <c r="IC38" i="11"/>
  <c r="ID38" i="11"/>
  <c r="IE38" i="11"/>
  <c r="IF38" i="11"/>
  <c r="IG38" i="11"/>
  <c r="IH38" i="11"/>
  <c r="II38" i="11"/>
  <c r="IJ38" i="11"/>
  <c r="IK38" i="11"/>
  <c r="IL38" i="11"/>
  <c r="IM38" i="11"/>
  <c r="IN38" i="11"/>
  <c r="IO38" i="11"/>
  <c r="IP38" i="11"/>
  <c r="IQ38" i="11"/>
  <c r="IR38" i="11"/>
  <c r="IS38" i="11"/>
  <c r="IT38" i="11"/>
  <c r="IU38" i="11"/>
  <c r="IV38"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HU39" i="11"/>
  <c r="HV39" i="11"/>
  <c r="HW39" i="11"/>
  <c r="HX39" i="11"/>
  <c r="HY39" i="11"/>
  <c r="HZ39" i="11"/>
  <c r="IA39" i="11"/>
  <c r="IB39" i="11"/>
  <c r="IC39" i="11"/>
  <c r="ID39" i="11"/>
  <c r="IE39" i="11"/>
  <c r="IF39" i="11"/>
  <c r="IG39" i="11"/>
  <c r="IH39" i="11"/>
  <c r="II39" i="11"/>
  <c r="IJ39" i="11"/>
  <c r="IK39" i="11"/>
  <c r="IL39" i="11"/>
  <c r="IM39" i="11"/>
  <c r="IN39" i="11"/>
  <c r="IO39" i="11"/>
  <c r="IP39" i="11"/>
  <c r="IQ39" i="11"/>
  <c r="IR39" i="11"/>
  <c r="IS39" i="11"/>
  <c r="IT39" i="11"/>
  <c r="IU39" i="11"/>
  <c r="IV39"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HU40" i="11"/>
  <c r="HV40" i="11"/>
  <c r="HW40" i="11"/>
  <c r="HX40" i="11"/>
  <c r="HY40" i="11"/>
  <c r="HZ40" i="11"/>
  <c r="IA40" i="11"/>
  <c r="IB40" i="11"/>
  <c r="IC40" i="11"/>
  <c r="ID40" i="11"/>
  <c r="IE40" i="11"/>
  <c r="IF40" i="11"/>
  <c r="IG40" i="11"/>
  <c r="IH40" i="11"/>
  <c r="II40" i="11"/>
  <c r="IJ40" i="11"/>
  <c r="IK40" i="11"/>
  <c r="IL40" i="11"/>
  <c r="IM40" i="11"/>
  <c r="IN40" i="11"/>
  <c r="IO40" i="11"/>
  <c r="IP40" i="11"/>
  <c r="IQ40" i="11"/>
  <c r="IR40" i="11"/>
  <c r="IS40" i="11"/>
  <c r="IT40" i="11"/>
  <c r="IU40" i="11"/>
  <c r="IV40"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HU41" i="11"/>
  <c r="HV41" i="11"/>
  <c r="HW41" i="11"/>
  <c r="HX41" i="11"/>
  <c r="HY41" i="11"/>
  <c r="HZ41" i="11"/>
  <c r="IA41" i="11"/>
  <c r="IB41" i="11"/>
  <c r="IC41" i="11"/>
  <c r="ID41" i="11"/>
  <c r="IE41" i="11"/>
  <c r="IF41" i="11"/>
  <c r="IG41" i="11"/>
  <c r="IH41" i="11"/>
  <c r="II41" i="11"/>
  <c r="IJ41" i="11"/>
  <c r="IK41" i="11"/>
  <c r="IL41" i="11"/>
  <c r="IM41" i="11"/>
  <c r="IN41" i="11"/>
  <c r="IO41" i="11"/>
  <c r="IP41" i="11"/>
  <c r="IQ41" i="11"/>
  <c r="IR41" i="11"/>
  <c r="IS41" i="11"/>
  <c r="IT41" i="11"/>
  <c r="IU41" i="11"/>
  <c r="IV41"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HU42" i="11"/>
  <c r="HV42" i="11"/>
  <c r="HW42" i="11"/>
  <c r="HX42" i="11"/>
  <c r="HY42" i="11"/>
  <c r="HZ42" i="11"/>
  <c r="IA42" i="11"/>
  <c r="IB42" i="11"/>
  <c r="IC42" i="11"/>
  <c r="ID42" i="11"/>
  <c r="IE42" i="11"/>
  <c r="IF42" i="11"/>
  <c r="IG42" i="11"/>
  <c r="IH42" i="11"/>
  <c r="II42" i="11"/>
  <c r="IJ42" i="11"/>
  <c r="IK42" i="11"/>
  <c r="IL42" i="11"/>
  <c r="IM42" i="11"/>
  <c r="IN42" i="11"/>
  <c r="IO42" i="11"/>
  <c r="IP42" i="11"/>
  <c r="IQ42" i="11"/>
  <c r="IR42" i="11"/>
  <c r="IS42" i="11"/>
  <c r="IT42" i="11"/>
  <c r="IU42" i="11"/>
  <c r="IV42"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HU43" i="11"/>
  <c r="HV43" i="11"/>
  <c r="HW43" i="11"/>
  <c r="HX43" i="11"/>
  <c r="HY43" i="11"/>
  <c r="HZ43" i="11"/>
  <c r="IA43" i="11"/>
  <c r="IB43" i="11"/>
  <c r="IC43" i="11"/>
  <c r="ID43" i="11"/>
  <c r="IE43" i="11"/>
  <c r="IF43" i="11"/>
  <c r="IG43" i="11"/>
  <c r="IH43" i="11"/>
  <c r="II43" i="11"/>
  <c r="IJ43" i="11"/>
  <c r="IK43" i="11"/>
  <c r="IL43" i="11"/>
  <c r="IM43" i="11"/>
  <c r="IN43" i="11"/>
  <c r="IO43" i="11"/>
  <c r="IP43" i="11"/>
  <c r="IQ43" i="11"/>
  <c r="IR43" i="11"/>
  <c r="IS43" i="11"/>
  <c r="IT43" i="11"/>
  <c r="IU43" i="11"/>
  <c r="IV43"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HU44" i="11"/>
  <c r="HV44" i="11"/>
  <c r="HW44" i="11"/>
  <c r="HX44" i="11"/>
  <c r="HY44" i="11"/>
  <c r="HZ44" i="11"/>
  <c r="IA44" i="11"/>
  <c r="IB44" i="11"/>
  <c r="IC44" i="11"/>
  <c r="ID44" i="11"/>
  <c r="IE44" i="11"/>
  <c r="IF44" i="11"/>
  <c r="IG44" i="11"/>
  <c r="IH44" i="11"/>
  <c r="II44" i="11"/>
  <c r="IJ44" i="11"/>
  <c r="IK44" i="11"/>
  <c r="IL44" i="11"/>
  <c r="IM44" i="11"/>
  <c r="IN44" i="11"/>
  <c r="IO44" i="11"/>
  <c r="IP44" i="11"/>
  <c r="IQ44" i="11"/>
  <c r="IR44" i="11"/>
  <c r="IS44" i="11"/>
  <c r="IT44" i="11"/>
  <c r="IU44" i="11"/>
  <c r="IV44"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HU45" i="11"/>
  <c r="HV45" i="11"/>
  <c r="HW45" i="11"/>
  <c r="HX45" i="11"/>
  <c r="HY45" i="11"/>
  <c r="HZ45" i="11"/>
  <c r="IA45" i="11"/>
  <c r="IB45" i="11"/>
  <c r="IC45" i="11"/>
  <c r="ID45" i="11"/>
  <c r="IE45" i="11"/>
  <c r="IF45" i="11"/>
  <c r="IG45" i="11"/>
  <c r="IH45" i="11"/>
  <c r="II45" i="11"/>
  <c r="IJ45" i="11"/>
  <c r="IK45" i="11"/>
  <c r="IL45" i="11"/>
  <c r="IM45" i="11"/>
  <c r="IN45" i="11"/>
  <c r="IO45" i="11"/>
  <c r="IP45" i="11"/>
  <c r="IQ45" i="11"/>
  <c r="IR45" i="11"/>
  <c r="IS45" i="11"/>
  <c r="IT45" i="11"/>
  <c r="IU45" i="11"/>
  <c r="IV45"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HU46" i="11"/>
  <c r="HV46" i="11"/>
  <c r="HW46" i="11"/>
  <c r="HX46" i="11"/>
  <c r="HY46" i="11"/>
  <c r="HZ46" i="11"/>
  <c r="IA46" i="11"/>
  <c r="IB46" i="11"/>
  <c r="IC46" i="11"/>
  <c r="ID46" i="11"/>
  <c r="IE46" i="11"/>
  <c r="IF46" i="11"/>
  <c r="IG46" i="11"/>
  <c r="IH46" i="11"/>
  <c r="II46" i="11"/>
  <c r="IJ46" i="11"/>
  <c r="IK46" i="11"/>
  <c r="IL46" i="11"/>
  <c r="IM46" i="11"/>
  <c r="IN46" i="11"/>
  <c r="IO46" i="11"/>
  <c r="IP46" i="11"/>
  <c r="IQ46" i="11"/>
  <c r="IR46" i="11"/>
  <c r="IS46" i="11"/>
  <c r="IT46" i="11"/>
  <c r="IU46" i="11"/>
  <c r="IV46"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HU47" i="11"/>
  <c r="HV47" i="11"/>
  <c r="HW47" i="11"/>
  <c r="HX47" i="11"/>
  <c r="HY47" i="11"/>
  <c r="HZ47" i="11"/>
  <c r="IA47" i="11"/>
  <c r="IB47" i="11"/>
  <c r="IC47" i="11"/>
  <c r="ID47" i="11"/>
  <c r="IE47" i="11"/>
  <c r="IF47" i="11"/>
  <c r="IG47" i="11"/>
  <c r="IH47" i="11"/>
  <c r="II47" i="11"/>
  <c r="IJ47" i="11"/>
  <c r="IK47" i="11"/>
  <c r="IL47" i="11"/>
  <c r="IM47" i="11"/>
  <c r="IN47" i="11"/>
  <c r="IO47" i="11"/>
  <c r="IP47" i="11"/>
  <c r="IQ47" i="11"/>
  <c r="IR47" i="11"/>
  <c r="IS47" i="11"/>
  <c r="IT47" i="11"/>
  <c r="IU47" i="11"/>
  <c r="IV47"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HU48" i="11"/>
  <c r="HV48" i="11"/>
  <c r="HW48" i="11"/>
  <c r="HX48" i="11"/>
  <c r="HY48" i="11"/>
  <c r="HZ48" i="11"/>
  <c r="IA48" i="11"/>
  <c r="IB48" i="11"/>
  <c r="IC48" i="11"/>
  <c r="ID48" i="11"/>
  <c r="IE48" i="11"/>
  <c r="IF48" i="11"/>
  <c r="IG48" i="11"/>
  <c r="IH48" i="11"/>
  <c r="II48" i="11"/>
  <c r="IJ48" i="11"/>
  <c r="IK48" i="11"/>
  <c r="IL48" i="11"/>
  <c r="IM48" i="11"/>
  <c r="IN48" i="11"/>
  <c r="IO48" i="11"/>
  <c r="IP48" i="11"/>
  <c r="IQ48" i="11"/>
  <c r="IR48" i="11"/>
  <c r="IS48" i="11"/>
  <c r="IT48" i="11"/>
  <c r="IU48" i="11"/>
  <c r="IV48"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HU49" i="11"/>
  <c r="HV49" i="11"/>
  <c r="HW49" i="11"/>
  <c r="HX49" i="11"/>
  <c r="HY49" i="11"/>
  <c r="HZ49" i="11"/>
  <c r="IA49" i="11"/>
  <c r="IB49" i="11"/>
  <c r="IC49" i="11"/>
  <c r="ID49" i="11"/>
  <c r="IE49" i="11"/>
  <c r="IF49" i="11"/>
  <c r="IG49" i="11"/>
  <c r="IH49" i="11"/>
  <c r="II49" i="11"/>
  <c r="IJ49" i="11"/>
  <c r="IK49" i="11"/>
  <c r="IL49" i="11"/>
  <c r="IM49" i="11"/>
  <c r="IN49" i="11"/>
  <c r="IO49" i="11"/>
  <c r="IP49" i="11"/>
  <c r="IQ49" i="11"/>
  <c r="IR49" i="11"/>
  <c r="IS49" i="11"/>
  <c r="IT49" i="11"/>
  <c r="IU49" i="11"/>
  <c r="IV49"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HU50" i="11"/>
  <c r="HV50" i="11"/>
  <c r="HW50" i="11"/>
  <c r="HX50" i="11"/>
  <c r="HY50" i="11"/>
  <c r="HZ50" i="11"/>
  <c r="IA50" i="11"/>
  <c r="IB50" i="11"/>
  <c r="IC50" i="11"/>
  <c r="ID50" i="11"/>
  <c r="IE50" i="11"/>
  <c r="IF50" i="11"/>
  <c r="IG50" i="11"/>
  <c r="IH50" i="11"/>
  <c r="II50" i="11"/>
  <c r="IJ50" i="11"/>
  <c r="IK50" i="11"/>
  <c r="IL50" i="11"/>
  <c r="IM50" i="11"/>
  <c r="IN50" i="11"/>
  <c r="IO50" i="11"/>
  <c r="IP50" i="11"/>
  <c r="IQ50" i="11"/>
  <c r="IR50" i="11"/>
  <c r="IS50" i="11"/>
  <c r="IT50" i="11"/>
  <c r="IU50" i="11"/>
  <c r="IV50"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HU51" i="11"/>
  <c r="HV51" i="11"/>
  <c r="HW51" i="11"/>
  <c r="HX51" i="11"/>
  <c r="HY51" i="11"/>
  <c r="HZ51" i="11"/>
  <c r="IA51" i="11"/>
  <c r="IB51" i="11"/>
  <c r="IC51" i="11"/>
  <c r="ID51" i="11"/>
  <c r="IE51" i="11"/>
  <c r="IF51" i="11"/>
  <c r="IG51" i="11"/>
  <c r="IH51" i="11"/>
  <c r="II51" i="11"/>
  <c r="IJ51" i="11"/>
  <c r="IK51" i="11"/>
  <c r="IL51" i="11"/>
  <c r="IM51" i="11"/>
  <c r="IN51" i="11"/>
  <c r="IO51" i="11"/>
  <c r="IP51" i="11"/>
  <c r="IQ51" i="11"/>
  <c r="IR51" i="11"/>
  <c r="IS51" i="11"/>
  <c r="IT51" i="11"/>
  <c r="IU51" i="11"/>
  <c r="IV51"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HU52" i="11"/>
  <c r="HV52" i="11"/>
  <c r="HW52" i="11"/>
  <c r="HX52" i="11"/>
  <c r="HY52" i="11"/>
  <c r="HZ52" i="11"/>
  <c r="IA52" i="11"/>
  <c r="IB52" i="11"/>
  <c r="IC52" i="11"/>
  <c r="ID52" i="11"/>
  <c r="IE52" i="11"/>
  <c r="IF52" i="11"/>
  <c r="IG52" i="11"/>
  <c r="IH52" i="11"/>
  <c r="II52" i="11"/>
  <c r="IJ52" i="11"/>
  <c r="IK52" i="11"/>
  <c r="IL52" i="11"/>
  <c r="IM52" i="11"/>
  <c r="IN52" i="11"/>
  <c r="IO52" i="11"/>
  <c r="IP52" i="11"/>
  <c r="IQ52" i="11"/>
  <c r="IR52" i="11"/>
  <c r="IS52" i="11"/>
  <c r="IT52" i="11"/>
  <c r="IU52" i="11"/>
  <c r="IV52"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HU53" i="11"/>
  <c r="HV53" i="11"/>
  <c r="HW53" i="11"/>
  <c r="HX53" i="11"/>
  <c r="HY53" i="11"/>
  <c r="HZ53" i="11"/>
  <c r="IA53" i="11"/>
  <c r="IB53" i="11"/>
  <c r="IC53" i="11"/>
  <c r="ID53" i="11"/>
  <c r="IE53" i="11"/>
  <c r="IF53" i="11"/>
  <c r="IG53" i="11"/>
  <c r="IH53" i="11"/>
  <c r="II53" i="11"/>
  <c r="IJ53" i="11"/>
  <c r="IK53" i="11"/>
  <c r="IL53" i="11"/>
  <c r="IM53" i="11"/>
  <c r="IN53" i="11"/>
  <c r="IO53" i="11"/>
  <c r="IP53" i="11"/>
  <c r="IQ53" i="11"/>
  <c r="IR53" i="11"/>
  <c r="IS53" i="11"/>
  <c r="IT53" i="11"/>
  <c r="IU53" i="11"/>
  <c r="IV53"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IC54" i="11"/>
  <c r="ID54" i="11"/>
  <c r="IE54" i="11"/>
  <c r="IF54" i="11"/>
  <c r="IG54" i="11"/>
  <c r="IH54" i="11"/>
  <c r="II54" i="11"/>
  <c r="IJ54" i="11"/>
  <c r="IK54" i="11"/>
  <c r="IL54" i="11"/>
  <c r="IM54" i="11"/>
  <c r="IN54" i="11"/>
  <c r="IO54" i="11"/>
  <c r="IP54" i="11"/>
  <c r="IQ54" i="11"/>
  <c r="IR54" i="11"/>
  <c r="IS54" i="11"/>
  <c r="IT54" i="11"/>
  <c r="IU54" i="11"/>
  <c r="IV54"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HU55" i="11"/>
  <c r="HV55" i="11"/>
  <c r="HW55" i="11"/>
  <c r="HX55" i="11"/>
  <c r="HY55" i="11"/>
  <c r="HZ55" i="11"/>
  <c r="IA55" i="11"/>
  <c r="IB55" i="11"/>
  <c r="IC55" i="11"/>
  <c r="ID55" i="11"/>
  <c r="IE55" i="11"/>
  <c r="IF55" i="11"/>
  <c r="IG55" i="11"/>
  <c r="IH55" i="11"/>
  <c r="II55" i="11"/>
  <c r="IJ55" i="11"/>
  <c r="IK55" i="11"/>
  <c r="IL55" i="11"/>
  <c r="IM55" i="11"/>
  <c r="IN55" i="11"/>
  <c r="IO55" i="11"/>
  <c r="IP55" i="11"/>
  <c r="IQ55" i="11"/>
  <c r="IR55" i="11"/>
  <c r="IS55" i="11"/>
  <c r="IT55" i="11"/>
  <c r="IU55" i="11"/>
  <c r="IV55"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HU56" i="11"/>
  <c r="HV56" i="11"/>
  <c r="HW56" i="11"/>
  <c r="HX56" i="11"/>
  <c r="HY56" i="11"/>
  <c r="HZ56" i="11"/>
  <c r="IA56" i="11"/>
  <c r="IB56" i="11"/>
  <c r="IC56" i="11"/>
  <c r="ID56" i="11"/>
  <c r="IE56" i="11"/>
  <c r="IF56" i="11"/>
  <c r="IG56" i="11"/>
  <c r="IH56" i="11"/>
  <c r="II56" i="11"/>
  <c r="IJ56" i="11"/>
  <c r="IK56" i="11"/>
  <c r="IL56" i="11"/>
  <c r="IM56" i="11"/>
  <c r="IN56" i="11"/>
  <c r="IO56" i="11"/>
  <c r="IP56" i="11"/>
  <c r="IQ56" i="11"/>
  <c r="IR56" i="11"/>
  <c r="IS56" i="11"/>
  <c r="IT56" i="11"/>
  <c r="IU56" i="11"/>
  <c r="IV56" i="11"/>
  <c r="F57" i="11"/>
  <c r="G57"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HH57" i="11"/>
  <c r="HI57" i="11"/>
  <c r="HJ57" i="11"/>
  <c r="HK57" i="11"/>
  <c r="HL57" i="11"/>
  <c r="HM57" i="11"/>
  <c r="HN57" i="11"/>
  <c r="HO57" i="11"/>
  <c r="HP57" i="11"/>
  <c r="HQ57" i="11"/>
  <c r="HR57" i="11"/>
  <c r="HS57" i="11"/>
  <c r="HT57" i="11"/>
  <c r="HU57" i="11"/>
  <c r="HV57" i="11"/>
  <c r="HW57" i="11"/>
  <c r="HX57" i="11"/>
  <c r="HY57" i="11"/>
  <c r="HZ57" i="11"/>
  <c r="IA57" i="11"/>
  <c r="IB57" i="11"/>
  <c r="IC57" i="11"/>
  <c r="ID57" i="11"/>
  <c r="IE57" i="11"/>
  <c r="IF57" i="11"/>
  <c r="IG57" i="11"/>
  <c r="IH57" i="11"/>
  <c r="II57" i="11"/>
  <c r="IJ57" i="11"/>
  <c r="IK57" i="11"/>
  <c r="IL57" i="11"/>
  <c r="IM57" i="11"/>
  <c r="IN57" i="11"/>
  <c r="IO57" i="11"/>
  <c r="IP57" i="11"/>
  <c r="IQ57" i="11"/>
  <c r="IR57" i="11"/>
  <c r="IS57" i="11"/>
  <c r="IT57" i="11"/>
  <c r="IU57" i="11"/>
  <c r="IV57"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HU58" i="11"/>
  <c r="HV58" i="11"/>
  <c r="HW58" i="11"/>
  <c r="HX58" i="11"/>
  <c r="HY58" i="11"/>
  <c r="HZ58" i="11"/>
  <c r="IA58" i="11"/>
  <c r="IB58" i="11"/>
  <c r="IC58" i="11"/>
  <c r="ID58" i="11"/>
  <c r="IE58" i="11"/>
  <c r="IF58" i="11"/>
  <c r="IG58" i="11"/>
  <c r="IH58" i="11"/>
  <c r="II58" i="11"/>
  <c r="IJ58" i="11"/>
  <c r="IK58" i="11"/>
  <c r="IL58" i="11"/>
  <c r="IM58" i="11"/>
  <c r="IN58" i="11"/>
  <c r="IO58" i="11"/>
  <c r="IP58" i="11"/>
  <c r="IQ58" i="11"/>
  <c r="IR58" i="11"/>
  <c r="IS58" i="11"/>
  <c r="IT58" i="11"/>
  <c r="IU58" i="11"/>
  <c r="IV58"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HU59" i="11"/>
  <c r="HV59" i="11"/>
  <c r="HW59" i="11"/>
  <c r="HX59" i="11"/>
  <c r="HY59" i="11"/>
  <c r="HZ59" i="11"/>
  <c r="IA59" i="11"/>
  <c r="IB59" i="11"/>
  <c r="IC59" i="11"/>
  <c r="ID59" i="11"/>
  <c r="IE59" i="11"/>
  <c r="IF59" i="11"/>
  <c r="IG59" i="11"/>
  <c r="IH59" i="11"/>
  <c r="II59" i="11"/>
  <c r="IJ59" i="11"/>
  <c r="IK59" i="11"/>
  <c r="IL59" i="11"/>
  <c r="IM59" i="11"/>
  <c r="IN59" i="11"/>
  <c r="IO59" i="11"/>
  <c r="IP59" i="11"/>
  <c r="IQ59" i="11"/>
  <c r="IR59" i="11"/>
  <c r="IS59" i="11"/>
  <c r="IT59" i="11"/>
  <c r="IU59" i="11"/>
  <c r="IV59"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HU60" i="11"/>
  <c r="HV60" i="11"/>
  <c r="HW60" i="11"/>
  <c r="HX60" i="11"/>
  <c r="HY60" i="11"/>
  <c r="HZ60" i="11"/>
  <c r="IA60" i="11"/>
  <c r="IB60" i="11"/>
  <c r="IC60" i="11"/>
  <c r="ID60" i="11"/>
  <c r="IE60" i="11"/>
  <c r="IF60" i="11"/>
  <c r="IG60" i="11"/>
  <c r="IH60" i="11"/>
  <c r="II60" i="11"/>
  <c r="IJ60" i="11"/>
  <c r="IK60" i="11"/>
  <c r="IL60" i="11"/>
  <c r="IM60" i="11"/>
  <c r="IN60" i="11"/>
  <c r="IO60" i="11"/>
  <c r="IP60" i="11"/>
  <c r="IQ60" i="11"/>
  <c r="IR60" i="11"/>
  <c r="IS60" i="11"/>
  <c r="IT60" i="11"/>
  <c r="IU60" i="11"/>
  <c r="IV60"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HU61" i="11"/>
  <c r="HV61" i="11"/>
  <c r="HW61" i="11"/>
  <c r="HX61" i="11"/>
  <c r="HY61" i="11"/>
  <c r="HZ61" i="11"/>
  <c r="IA61" i="11"/>
  <c r="IB61" i="11"/>
  <c r="IC61" i="11"/>
  <c r="ID61" i="11"/>
  <c r="IE61" i="11"/>
  <c r="IF61" i="11"/>
  <c r="IG61" i="11"/>
  <c r="IH61" i="11"/>
  <c r="II61" i="11"/>
  <c r="IJ61" i="11"/>
  <c r="IK61" i="11"/>
  <c r="IL61" i="11"/>
  <c r="IM61" i="11"/>
  <c r="IN61" i="11"/>
  <c r="IO61" i="11"/>
  <c r="IP61" i="11"/>
  <c r="IQ61" i="11"/>
  <c r="IR61" i="11"/>
  <c r="IS61" i="11"/>
  <c r="IT61" i="11"/>
  <c r="IU61" i="11"/>
  <c r="IV61"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HU62" i="11"/>
  <c r="HV62" i="11"/>
  <c r="HW62" i="11"/>
  <c r="HX62" i="11"/>
  <c r="HY62" i="11"/>
  <c r="HZ62" i="11"/>
  <c r="IA62" i="11"/>
  <c r="IB62" i="11"/>
  <c r="IC62" i="11"/>
  <c r="ID62" i="11"/>
  <c r="IE62" i="11"/>
  <c r="IF62" i="11"/>
  <c r="IG62" i="11"/>
  <c r="IH62" i="11"/>
  <c r="II62" i="11"/>
  <c r="IJ62" i="11"/>
  <c r="IK62" i="11"/>
  <c r="IL62" i="11"/>
  <c r="IM62" i="11"/>
  <c r="IN62" i="11"/>
  <c r="IO62" i="11"/>
  <c r="IP62" i="11"/>
  <c r="IQ62" i="11"/>
  <c r="IR62" i="11"/>
  <c r="IS62" i="11"/>
  <c r="IT62" i="11"/>
  <c r="IU62" i="11"/>
  <c r="IV62"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HU63" i="11"/>
  <c r="HV63" i="11"/>
  <c r="HW63" i="11"/>
  <c r="HX63" i="11"/>
  <c r="HY63" i="11"/>
  <c r="HZ63" i="11"/>
  <c r="IA63" i="11"/>
  <c r="IB63" i="11"/>
  <c r="IC63" i="11"/>
  <c r="ID63" i="11"/>
  <c r="IE63" i="11"/>
  <c r="IF63" i="11"/>
  <c r="IG63" i="11"/>
  <c r="IH63" i="11"/>
  <c r="II63" i="11"/>
  <c r="IJ63" i="11"/>
  <c r="IK63" i="11"/>
  <c r="IL63" i="11"/>
  <c r="IM63" i="11"/>
  <c r="IN63" i="11"/>
  <c r="IO63" i="11"/>
  <c r="IP63" i="11"/>
  <c r="IQ63" i="11"/>
  <c r="IR63" i="11"/>
  <c r="IS63" i="11"/>
  <c r="IT63" i="11"/>
  <c r="IU63" i="11"/>
  <c r="IV63"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IC64" i="11"/>
  <c r="ID64" i="11"/>
  <c r="IE64" i="11"/>
  <c r="IF64" i="11"/>
  <c r="IG64" i="11"/>
  <c r="IH64" i="11"/>
  <c r="II64" i="11"/>
  <c r="IJ64" i="11"/>
  <c r="IK64" i="11"/>
  <c r="IL64" i="11"/>
  <c r="IM64" i="11"/>
  <c r="IN64" i="11"/>
  <c r="IO64" i="11"/>
  <c r="IP64" i="11"/>
  <c r="IQ64" i="11"/>
  <c r="IR64" i="11"/>
  <c r="IS64" i="11"/>
  <c r="IT64" i="11"/>
  <c r="IU64" i="11"/>
  <c r="IV64"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HU65" i="11"/>
  <c r="HV65" i="11"/>
  <c r="HW65" i="11"/>
  <c r="HX65" i="11"/>
  <c r="HY65" i="11"/>
  <c r="HZ65" i="11"/>
  <c r="IA65" i="11"/>
  <c r="IB65" i="11"/>
  <c r="IC65" i="11"/>
  <c r="ID65" i="11"/>
  <c r="IE65" i="11"/>
  <c r="IF65" i="11"/>
  <c r="IG65" i="11"/>
  <c r="IH65" i="11"/>
  <c r="II65" i="11"/>
  <c r="IJ65" i="11"/>
  <c r="IK65" i="11"/>
  <c r="IL65" i="11"/>
  <c r="IM65" i="11"/>
  <c r="IN65" i="11"/>
  <c r="IO65" i="11"/>
  <c r="IP65" i="11"/>
  <c r="IQ65" i="11"/>
  <c r="IR65" i="11"/>
  <c r="IS65" i="11"/>
  <c r="IT65" i="11"/>
  <c r="IU65" i="11"/>
  <c r="IV65"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HU66" i="11"/>
  <c r="HV66" i="11"/>
  <c r="HW66" i="11"/>
  <c r="HX66" i="11"/>
  <c r="HY66" i="11"/>
  <c r="HZ66" i="11"/>
  <c r="IA66" i="11"/>
  <c r="IB66" i="11"/>
  <c r="IC66" i="11"/>
  <c r="ID66" i="11"/>
  <c r="IE66" i="11"/>
  <c r="IF66" i="11"/>
  <c r="IG66" i="11"/>
  <c r="IH66" i="11"/>
  <c r="II66" i="11"/>
  <c r="IJ66" i="11"/>
  <c r="IK66" i="11"/>
  <c r="IL66" i="11"/>
  <c r="IM66" i="11"/>
  <c r="IN66" i="11"/>
  <c r="IO66" i="11"/>
  <c r="IP66" i="11"/>
  <c r="IQ66" i="11"/>
  <c r="IR66" i="11"/>
  <c r="IS66" i="11"/>
  <c r="IT66" i="11"/>
  <c r="IU66" i="11"/>
  <c r="IV66"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HU67" i="11"/>
  <c r="HV67" i="11"/>
  <c r="HW67" i="11"/>
  <c r="HX67" i="11"/>
  <c r="HY67" i="11"/>
  <c r="HZ67" i="11"/>
  <c r="IA67" i="11"/>
  <c r="IB67" i="11"/>
  <c r="IC67" i="11"/>
  <c r="ID67" i="11"/>
  <c r="IE67" i="11"/>
  <c r="IF67" i="11"/>
  <c r="IG67" i="11"/>
  <c r="IH67" i="11"/>
  <c r="II67" i="11"/>
  <c r="IJ67" i="11"/>
  <c r="IK67" i="11"/>
  <c r="IL67" i="11"/>
  <c r="IM67" i="11"/>
  <c r="IN67" i="11"/>
  <c r="IO67" i="11"/>
  <c r="IP67" i="11"/>
  <c r="IQ67" i="11"/>
  <c r="IR67" i="11"/>
  <c r="IS67" i="11"/>
  <c r="IT67" i="11"/>
  <c r="IU67" i="11"/>
  <c r="IV67"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HU68" i="11"/>
  <c r="HV68" i="11"/>
  <c r="HW68" i="11"/>
  <c r="HX68" i="11"/>
  <c r="HY68" i="11"/>
  <c r="HZ68" i="11"/>
  <c r="IA68" i="11"/>
  <c r="IB68" i="11"/>
  <c r="IC68" i="11"/>
  <c r="ID68" i="11"/>
  <c r="IE68" i="11"/>
  <c r="IF68" i="11"/>
  <c r="IG68" i="11"/>
  <c r="IH68" i="11"/>
  <c r="II68" i="11"/>
  <c r="IJ68" i="11"/>
  <c r="IK68" i="11"/>
  <c r="IL68" i="11"/>
  <c r="IM68" i="11"/>
  <c r="IN68" i="11"/>
  <c r="IO68" i="11"/>
  <c r="IP68" i="11"/>
  <c r="IQ68" i="11"/>
  <c r="IR68" i="11"/>
  <c r="IS68" i="11"/>
  <c r="IT68" i="11"/>
  <c r="IU68" i="11"/>
  <c r="IV68"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HU69" i="11"/>
  <c r="HV69" i="11"/>
  <c r="HW69" i="11"/>
  <c r="HX69" i="11"/>
  <c r="HY69" i="11"/>
  <c r="HZ69" i="11"/>
  <c r="IA69" i="11"/>
  <c r="IB69" i="11"/>
  <c r="IC69" i="11"/>
  <c r="ID69" i="11"/>
  <c r="IE69" i="11"/>
  <c r="IF69" i="11"/>
  <c r="IG69" i="11"/>
  <c r="IH69" i="11"/>
  <c r="II69" i="11"/>
  <c r="IJ69" i="11"/>
  <c r="IK69" i="11"/>
  <c r="IL69" i="11"/>
  <c r="IM69" i="11"/>
  <c r="IN69" i="11"/>
  <c r="IO69" i="11"/>
  <c r="IP69" i="11"/>
  <c r="IQ69" i="11"/>
  <c r="IR69" i="11"/>
  <c r="IS69" i="11"/>
  <c r="IT69" i="11"/>
  <c r="IU69" i="11"/>
  <c r="IV69"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HU70" i="11"/>
  <c r="HV70" i="11"/>
  <c r="HW70" i="11"/>
  <c r="HX70" i="11"/>
  <c r="HY70" i="11"/>
  <c r="HZ70" i="11"/>
  <c r="IA70" i="11"/>
  <c r="IB70" i="11"/>
  <c r="IC70" i="11"/>
  <c r="ID70" i="11"/>
  <c r="IE70" i="11"/>
  <c r="IF70" i="11"/>
  <c r="IG70" i="11"/>
  <c r="IH70" i="11"/>
  <c r="II70" i="11"/>
  <c r="IJ70" i="11"/>
  <c r="IK70" i="11"/>
  <c r="IL70" i="11"/>
  <c r="IM70" i="11"/>
  <c r="IN70" i="11"/>
  <c r="IO70" i="11"/>
  <c r="IP70" i="11"/>
  <c r="IQ70" i="11"/>
  <c r="IR70" i="11"/>
  <c r="IS70" i="11"/>
  <c r="IT70" i="11"/>
  <c r="IU70" i="11"/>
  <c r="IV70"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DR71" i="11"/>
  <c r="DS71"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HU71" i="11"/>
  <c r="HV71" i="11"/>
  <c r="HW71" i="11"/>
  <c r="HX71" i="11"/>
  <c r="HY71" i="11"/>
  <c r="HZ71" i="11"/>
  <c r="IA71" i="11"/>
  <c r="IB71" i="11"/>
  <c r="IC71" i="11"/>
  <c r="ID71" i="11"/>
  <c r="IE71" i="11"/>
  <c r="IF71" i="11"/>
  <c r="IG71" i="11"/>
  <c r="IH71" i="11"/>
  <c r="II71" i="11"/>
  <c r="IJ71" i="11"/>
  <c r="IK71" i="11"/>
  <c r="IL71" i="11"/>
  <c r="IM71" i="11"/>
  <c r="IN71" i="11"/>
  <c r="IO71" i="11"/>
  <c r="IP71" i="11"/>
  <c r="IQ71" i="11"/>
  <c r="IR71" i="11"/>
  <c r="IS71" i="11"/>
  <c r="IT71" i="11"/>
  <c r="IU71" i="11"/>
  <c r="IV71"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DR72" i="11"/>
  <c r="DS72"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HU72" i="11"/>
  <c r="HV72" i="11"/>
  <c r="HW72" i="11"/>
  <c r="HX72" i="11"/>
  <c r="HY72" i="11"/>
  <c r="HZ72" i="11"/>
  <c r="IA72" i="11"/>
  <c r="IB72" i="11"/>
  <c r="IC72" i="11"/>
  <c r="ID72" i="11"/>
  <c r="IE72" i="11"/>
  <c r="IF72" i="11"/>
  <c r="IG72" i="11"/>
  <c r="IH72" i="11"/>
  <c r="II72" i="11"/>
  <c r="IJ72" i="11"/>
  <c r="IK72" i="11"/>
  <c r="IL72" i="11"/>
  <c r="IM72" i="11"/>
  <c r="IN72" i="11"/>
  <c r="IO72" i="11"/>
  <c r="IP72" i="11"/>
  <c r="IQ72" i="11"/>
  <c r="IR72" i="11"/>
  <c r="IS72" i="11"/>
  <c r="IT72" i="11"/>
  <c r="IU72" i="11"/>
  <c r="IV72"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AQ73" i="11"/>
  <c r="AR73"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CC73" i="11"/>
  <c r="CD73" i="11"/>
  <c r="CE73" i="11"/>
  <c r="CF73" i="11"/>
  <c r="CG73" i="11"/>
  <c r="CH73" i="11"/>
  <c r="CI73" i="11"/>
  <c r="CJ73" i="11"/>
  <c r="CK73" i="11"/>
  <c r="CL73" i="11"/>
  <c r="CM73" i="11"/>
  <c r="CN73" i="11"/>
  <c r="CO73" i="11"/>
  <c r="CP73" i="11"/>
  <c r="CQ73" i="11"/>
  <c r="CR73" i="11"/>
  <c r="CS73" i="11"/>
  <c r="CT73" i="11"/>
  <c r="CU73" i="11"/>
  <c r="CV73" i="11"/>
  <c r="CW73" i="11"/>
  <c r="CX73" i="11"/>
  <c r="CY73" i="11"/>
  <c r="CZ73" i="11"/>
  <c r="DA73" i="11"/>
  <c r="DB73" i="11"/>
  <c r="DC73" i="11"/>
  <c r="DD73" i="11"/>
  <c r="DE73" i="11"/>
  <c r="DF73" i="11"/>
  <c r="DG73" i="11"/>
  <c r="DH73" i="11"/>
  <c r="DI73" i="11"/>
  <c r="DJ73" i="11"/>
  <c r="DK73" i="11"/>
  <c r="DL73" i="11"/>
  <c r="DM73" i="11"/>
  <c r="DN73" i="11"/>
  <c r="DO73" i="11"/>
  <c r="DP73" i="11"/>
  <c r="DQ73" i="11"/>
  <c r="DR73" i="11"/>
  <c r="DS73" i="11"/>
  <c r="DT73" i="11"/>
  <c r="DU73" i="11"/>
  <c r="DV73" i="11"/>
  <c r="DW73" i="11"/>
  <c r="DX73" i="11"/>
  <c r="DY73" i="11"/>
  <c r="DZ73" i="11"/>
  <c r="EA73" i="11"/>
  <c r="EB73" i="11"/>
  <c r="EC73" i="11"/>
  <c r="ED73" i="11"/>
  <c r="EE73" i="11"/>
  <c r="EF73" i="11"/>
  <c r="EG73" i="11"/>
  <c r="EH73" i="11"/>
  <c r="EI73" i="11"/>
  <c r="EJ73" i="11"/>
  <c r="EK73" i="11"/>
  <c r="EL73" i="11"/>
  <c r="EM73" i="11"/>
  <c r="EN73" i="11"/>
  <c r="EO73" i="11"/>
  <c r="EP73" i="11"/>
  <c r="EQ73" i="11"/>
  <c r="ER73" i="11"/>
  <c r="ES73" i="11"/>
  <c r="ET73" i="11"/>
  <c r="EU73" i="11"/>
  <c r="EV73" i="11"/>
  <c r="EW73" i="11"/>
  <c r="EX73" i="11"/>
  <c r="EY73" i="11"/>
  <c r="EZ73" i="11"/>
  <c r="FA73" i="11"/>
  <c r="FB73" i="11"/>
  <c r="FC73" i="11"/>
  <c r="FD73" i="11"/>
  <c r="FE73" i="11"/>
  <c r="FF73" i="11"/>
  <c r="FG73" i="11"/>
  <c r="FH73" i="11"/>
  <c r="FI73" i="11"/>
  <c r="FJ73" i="11"/>
  <c r="FK73" i="11"/>
  <c r="FL73" i="11"/>
  <c r="FM73" i="11"/>
  <c r="FN73" i="11"/>
  <c r="FO73" i="11"/>
  <c r="FP73" i="11"/>
  <c r="FQ73" i="11"/>
  <c r="FR73" i="11"/>
  <c r="FS73"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HU73" i="11"/>
  <c r="HV73" i="11"/>
  <c r="HW73" i="11"/>
  <c r="HX73" i="11"/>
  <c r="HY73" i="11"/>
  <c r="HZ73" i="11"/>
  <c r="IA73" i="11"/>
  <c r="IB73" i="11"/>
  <c r="IC73" i="11"/>
  <c r="ID73" i="11"/>
  <c r="IE73" i="11"/>
  <c r="IF73" i="11"/>
  <c r="IG73" i="11"/>
  <c r="IH73" i="11"/>
  <c r="II73" i="11"/>
  <c r="IJ73" i="11"/>
  <c r="IK73" i="11"/>
  <c r="IL73" i="11"/>
  <c r="IM73" i="11"/>
  <c r="IN73" i="11"/>
  <c r="IO73" i="11"/>
  <c r="IP73" i="11"/>
  <c r="IQ73" i="11"/>
  <c r="IR73" i="11"/>
  <c r="IS73" i="11"/>
  <c r="IT73" i="11"/>
  <c r="IU73" i="11"/>
  <c r="IV73"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HU74" i="11"/>
  <c r="HV74" i="11"/>
  <c r="HW74" i="11"/>
  <c r="HX74" i="11"/>
  <c r="HY74" i="11"/>
  <c r="HZ74" i="11"/>
  <c r="IA74" i="11"/>
  <c r="IB74" i="11"/>
  <c r="IC74" i="11"/>
  <c r="ID74" i="11"/>
  <c r="IE74" i="11"/>
  <c r="IF74" i="11"/>
  <c r="IG74" i="11"/>
  <c r="IH74" i="11"/>
  <c r="II74" i="11"/>
  <c r="IJ74" i="11"/>
  <c r="IK74" i="11"/>
  <c r="IL74" i="11"/>
  <c r="IM74" i="11"/>
  <c r="IN74" i="11"/>
  <c r="IO74" i="11"/>
  <c r="IP74" i="11"/>
  <c r="IQ74" i="11"/>
  <c r="IR74" i="11"/>
  <c r="IS74" i="11"/>
  <c r="IT74" i="11"/>
  <c r="IU74" i="11"/>
  <c r="IV74"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DR75" i="11"/>
  <c r="DS75"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FB75" i="11"/>
  <c r="FC75" i="11"/>
  <c r="FD75" i="11"/>
  <c r="FE75" i="11"/>
  <c r="FF75" i="11"/>
  <c r="FG75" i="11"/>
  <c r="FH75" i="11"/>
  <c r="FI75" i="11"/>
  <c r="FJ75" i="11"/>
  <c r="FK75" i="11"/>
  <c r="FL75" i="11"/>
  <c r="FM75" i="11"/>
  <c r="FN75" i="11"/>
  <c r="FO75" i="11"/>
  <c r="FP75" i="11"/>
  <c r="FQ75" i="11"/>
  <c r="FR75" i="11"/>
  <c r="FS75"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IM75" i="11"/>
  <c r="IN75" i="11"/>
  <c r="IO75" i="11"/>
  <c r="IP75" i="11"/>
  <c r="IQ75" i="11"/>
  <c r="IR75" i="11"/>
  <c r="IS75" i="11"/>
  <c r="IT75" i="11"/>
  <c r="IU75" i="11"/>
  <c r="IV75"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CC76" i="11"/>
  <c r="CD76" i="11"/>
  <c r="CE76" i="11"/>
  <c r="CF76" i="11"/>
  <c r="CG76" i="11"/>
  <c r="CH76" i="11"/>
  <c r="CI76" i="11"/>
  <c r="CJ76" i="11"/>
  <c r="CK76" i="11"/>
  <c r="CL76" i="11"/>
  <c r="CM76" i="11"/>
  <c r="CN76" i="11"/>
  <c r="CO76" i="11"/>
  <c r="CP76" i="11"/>
  <c r="CQ76" i="11"/>
  <c r="CR76" i="11"/>
  <c r="CS76" i="11"/>
  <c r="CT76" i="11"/>
  <c r="CU76" i="11"/>
  <c r="CV76" i="11"/>
  <c r="CW76" i="11"/>
  <c r="CX76" i="11"/>
  <c r="CY76" i="11"/>
  <c r="CZ76" i="11"/>
  <c r="DA76" i="11"/>
  <c r="DB76" i="11"/>
  <c r="DC76" i="11"/>
  <c r="DD76" i="11"/>
  <c r="DE76" i="11"/>
  <c r="DF76" i="11"/>
  <c r="DG76" i="11"/>
  <c r="DH76" i="11"/>
  <c r="DI76" i="11"/>
  <c r="DJ76" i="11"/>
  <c r="DK76" i="11"/>
  <c r="DL76" i="11"/>
  <c r="DM76" i="11"/>
  <c r="DN76" i="11"/>
  <c r="DO76" i="11"/>
  <c r="DP76" i="11"/>
  <c r="DQ76" i="11"/>
  <c r="DR76" i="11"/>
  <c r="DS76" i="11"/>
  <c r="DT76" i="11"/>
  <c r="DU76" i="11"/>
  <c r="DV76" i="11"/>
  <c r="DW76" i="11"/>
  <c r="DX76" i="11"/>
  <c r="DY76" i="11"/>
  <c r="DZ76" i="11"/>
  <c r="EA76" i="11"/>
  <c r="EB76" i="11"/>
  <c r="EC76" i="11"/>
  <c r="ED76" i="11"/>
  <c r="EE76" i="11"/>
  <c r="EF76" i="11"/>
  <c r="EG76" i="11"/>
  <c r="EH76" i="11"/>
  <c r="EI76" i="11"/>
  <c r="EJ76" i="11"/>
  <c r="EK76" i="11"/>
  <c r="EL76" i="11"/>
  <c r="EM76" i="11"/>
  <c r="EN76" i="11"/>
  <c r="EO76" i="11"/>
  <c r="EP76" i="11"/>
  <c r="EQ76" i="11"/>
  <c r="ER76" i="11"/>
  <c r="ES76" i="11"/>
  <c r="ET76" i="11"/>
  <c r="EU76" i="11"/>
  <c r="EV76" i="11"/>
  <c r="EW76" i="11"/>
  <c r="EX76" i="11"/>
  <c r="EY76" i="11"/>
  <c r="EZ76" i="11"/>
  <c r="FA76" i="11"/>
  <c r="FB76" i="11"/>
  <c r="FC76" i="11"/>
  <c r="FD76" i="11"/>
  <c r="FE76" i="11"/>
  <c r="FF76" i="11"/>
  <c r="FG76" i="11"/>
  <c r="FH76" i="11"/>
  <c r="FI76" i="11"/>
  <c r="FJ76" i="11"/>
  <c r="FK76" i="11"/>
  <c r="FL76" i="11"/>
  <c r="FM76" i="11"/>
  <c r="FN76" i="11"/>
  <c r="FO76" i="11"/>
  <c r="FP76" i="11"/>
  <c r="FQ76" i="11"/>
  <c r="FR76" i="11"/>
  <c r="FS76"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HU76" i="11"/>
  <c r="HV76" i="11"/>
  <c r="HW76" i="11"/>
  <c r="HX76" i="11"/>
  <c r="HY76" i="11"/>
  <c r="HZ76" i="11"/>
  <c r="IA76" i="11"/>
  <c r="IB76" i="11"/>
  <c r="IC76" i="11"/>
  <c r="ID76" i="11"/>
  <c r="IE76" i="11"/>
  <c r="IF76" i="11"/>
  <c r="IG76" i="11"/>
  <c r="IH76" i="11"/>
  <c r="II76" i="11"/>
  <c r="IJ76" i="11"/>
  <c r="IK76" i="11"/>
  <c r="IL76" i="11"/>
  <c r="IM76" i="11"/>
  <c r="IN76" i="11"/>
  <c r="IO76" i="11"/>
  <c r="IP76" i="11"/>
  <c r="IQ76" i="11"/>
  <c r="IR76" i="11"/>
  <c r="IS76" i="11"/>
  <c r="IT76" i="11"/>
  <c r="IU76" i="11"/>
  <c r="IV76"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CC77" i="11"/>
  <c r="CD77" i="11"/>
  <c r="CE77" i="11"/>
  <c r="CF77" i="11"/>
  <c r="CG77" i="11"/>
  <c r="CH77" i="11"/>
  <c r="CI77" i="11"/>
  <c r="CJ77" i="11"/>
  <c r="CK77" i="11"/>
  <c r="CL77" i="11"/>
  <c r="CM77" i="11"/>
  <c r="CN77" i="11"/>
  <c r="CO77" i="11"/>
  <c r="CP77" i="11"/>
  <c r="CQ77" i="11"/>
  <c r="CR77" i="11"/>
  <c r="CS77" i="11"/>
  <c r="CT77" i="11"/>
  <c r="CU77" i="11"/>
  <c r="CV77" i="11"/>
  <c r="CW77" i="11"/>
  <c r="CX77" i="11"/>
  <c r="CY77" i="11"/>
  <c r="CZ77" i="11"/>
  <c r="DA77" i="11"/>
  <c r="DB77" i="11"/>
  <c r="DC77" i="11"/>
  <c r="DD77" i="11"/>
  <c r="DE77" i="11"/>
  <c r="DF77" i="11"/>
  <c r="DG77" i="11"/>
  <c r="DH77" i="11"/>
  <c r="DI77" i="11"/>
  <c r="DJ77" i="11"/>
  <c r="DK77" i="11"/>
  <c r="DL77" i="11"/>
  <c r="DM77" i="11"/>
  <c r="DN77" i="11"/>
  <c r="DO77" i="11"/>
  <c r="DP77" i="11"/>
  <c r="DQ77" i="11"/>
  <c r="DR77" i="11"/>
  <c r="DS77" i="11"/>
  <c r="DT77" i="11"/>
  <c r="DU77" i="11"/>
  <c r="DV77" i="11"/>
  <c r="DW77" i="11"/>
  <c r="DX77" i="11"/>
  <c r="DY77" i="11"/>
  <c r="DZ77" i="11"/>
  <c r="EA77" i="11"/>
  <c r="EB77" i="11"/>
  <c r="EC77" i="11"/>
  <c r="ED77" i="11"/>
  <c r="EE77" i="11"/>
  <c r="EF77" i="11"/>
  <c r="EG77" i="11"/>
  <c r="EH77" i="11"/>
  <c r="EI77" i="11"/>
  <c r="EJ77" i="11"/>
  <c r="EK77" i="11"/>
  <c r="EL77" i="11"/>
  <c r="EM77" i="11"/>
  <c r="EN77" i="11"/>
  <c r="EO77" i="11"/>
  <c r="EP77" i="11"/>
  <c r="EQ77" i="11"/>
  <c r="ER77" i="11"/>
  <c r="ES77" i="11"/>
  <c r="ET77" i="11"/>
  <c r="EU77" i="11"/>
  <c r="EV77" i="11"/>
  <c r="EW77" i="11"/>
  <c r="EX77" i="11"/>
  <c r="EY77" i="11"/>
  <c r="EZ77" i="11"/>
  <c r="FA77"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HU77" i="11"/>
  <c r="HV77" i="11"/>
  <c r="HW77" i="11"/>
  <c r="HX77" i="11"/>
  <c r="HY77" i="11"/>
  <c r="HZ77" i="11"/>
  <c r="IA77" i="11"/>
  <c r="IB77" i="11"/>
  <c r="IC77" i="11"/>
  <c r="ID77" i="11"/>
  <c r="IE77" i="11"/>
  <c r="IF77" i="11"/>
  <c r="IG77" i="11"/>
  <c r="IH77" i="11"/>
  <c r="II77" i="11"/>
  <c r="IJ77" i="11"/>
  <c r="IK77" i="11"/>
  <c r="IL77" i="11"/>
  <c r="IM77" i="11"/>
  <c r="IN77" i="11"/>
  <c r="IO77" i="11"/>
  <c r="IP77" i="11"/>
  <c r="IQ77" i="11"/>
  <c r="IR77" i="11"/>
  <c r="IS77" i="11"/>
  <c r="IT77" i="11"/>
  <c r="IU77" i="11"/>
  <c r="IV77"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CC78" i="11"/>
  <c r="CD78" i="11"/>
  <c r="CE78" i="11"/>
  <c r="CF78" i="11"/>
  <c r="CG78" i="11"/>
  <c r="CH78" i="11"/>
  <c r="CI78" i="11"/>
  <c r="CJ78" i="11"/>
  <c r="CK78" i="11"/>
  <c r="CL78" i="11"/>
  <c r="CM78" i="11"/>
  <c r="CN78" i="11"/>
  <c r="CO78" i="11"/>
  <c r="CP78" i="11"/>
  <c r="CQ78" i="11"/>
  <c r="CR78" i="11"/>
  <c r="CS78" i="11"/>
  <c r="CT78" i="11"/>
  <c r="CU78" i="11"/>
  <c r="CV78" i="11"/>
  <c r="CW78" i="11"/>
  <c r="CX78" i="11"/>
  <c r="CY78" i="11"/>
  <c r="CZ78" i="11"/>
  <c r="DA78" i="11"/>
  <c r="DB78" i="11"/>
  <c r="DC78" i="11"/>
  <c r="DD78" i="11"/>
  <c r="DE78" i="11"/>
  <c r="DF78" i="11"/>
  <c r="DG78" i="11"/>
  <c r="DH78" i="11"/>
  <c r="DI78" i="11"/>
  <c r="DJ78" i="11"/>
  <c r="DK78" i="11"/>
  <c r="DL78" i="11"/>
  <c r="DM78" i="11"/>
  <c r="DN78" i="11"/>
  <c r="DO78" i="11"/>
  <c r="DP78" i="11"/>
  <c r="DQ78" i="11"/>
  <c r="DR78" i="11"/>
  <c r="DS78" i="11"/>
  <c r="DT78" i="11"/>
  <c r="DU78" i="11"/>
  <c r="DV78" i="11"/>
  <c r="DW78" i="11"/>
  <c r="DX78" i="11"/>
  <c r="DY78" i="11"/>
  <c r="DZ78" i="11"/>
  <c r="EA78" i="11"/>
  <c r="EB78" i="11"/>
  <c r="EC78" i="11"/>
  <c r="ED78" i="11"/>
  <c r="EE78" i="11"/>
  <c r="EF78" i="11"/>
  <c r="EG78" i="11"/>
  <c r="EH78" i="11"/>
  <c r="EI78" i="11"/>
  <c r="EJ78" i="11"/>
  <c r="EK78" i="11"/>
  <c r="EL78" i="11"/>
  <c r="EM78" i="11"/>
  <c r="EN78" i="11"/>
  <c r="EO78" i="11"/>
  <c r="EP78" i="11"/>
  <c r="EQ78" i="11"/>
  <c r="ER78" i="11"/>
  <c r="ES78" i="11"/>
  <c r="ET78" i="11"/>
  <c r="EU78" i="11"/>
  <c r="EV78" i="11"/>
  <c r="EW78" i="11"/>
  <c r="EX78" i="11"/>
  <c r="EY78" i="11"/>
  <c r="EZ78" i="11"/>
  <c r="FA78" i="11"/>
  <c r="FB78" i="11"/>
  <c r="FC78" i="11"/>
  <c r="FD78" i="11"/>
  <c r="FE78" i="11"/>
  <c r="FF78" i="11"/>
  <c r="FG78" i="11"/>
  <c r="FH78" i="11"/>
  <c r="FI78" i="11"/>
  <c r="FJ78" i="11"/>
  <c r="FK78" i="11"/>
  <c r="FL78" i="11"/>
  <c r="FM78" i="11"/>
  <c r="FN78" i="11"/>
  <c r="FO78" i="11"/>
  <c r="FP78" i="11"/>
  <c r="FQ78" i="11"/>
  <c r="FR78" i="11"/>
  <c r="FS78"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HE78" i="11"/>
  <c r="HF78" i="11"/>
  <c r="HG78" i="11"/>
  <c r="HH78" i="11"/>
  <c r="HI78" i="11"/>
  <c r="HJ78" i="11"/>
  <c r="HK78" i="11"/>
  <c r="HL78" i="11"/>
  <c r="HM78" i="11"/>
  <c r="HN78" i="11"/>
  <c r="HO78" i="11"/>
  <c r="HP78" i="11"/>
  <c r="HQ78" i="11"/>
  <c r="HR78" i="11"/>
  <c r="HS78" i="11"/>
  <c r="HT78" i="11"/>
  <c r="HU78" i="11"/>
  <c r="HV78" i="11"/>
  <c r="HW78" i="11"/>
  <c r="HX78" i="11"/>
  <c r="HY78" i="11"/>
  <c r="HZ78" i="11"/>
  <c r="IA78" i="11"/>
  <c r="IB78" i="11"/>
  <c r="IC78" i="11"/>
  <c r="ID78" i="11"/>
  <c r="IE78" i="11"/>
  <c r="IF78" i="11"/>
  <c r="IG78" i="11"/>
  <c r="IH78" i="11"/>
  <c r="II78" i="11"/>
  <c r="IJ78" i="11"/>
  <c r="IK78" i="11"/>
  <c r="IL78" i="11"/>
  <c r="IM78" i="11"/>
  <c r="IN78" i="11"/>
  <c r="IO78" i="11"/>
  <c r="IP78" i="11"/>
  <c r="IQ78" i="11"/>
  <c r="IR78" i="11"/>
  <c r="IS78" i="11"/>
  <c r="IT78" i="11"/>
  <c r="IU78" i="11"/>
  <c r="IV78"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DR79" i="11"/>
  <c r="DS79"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FB79" i="11"/>
  <c r="FC79" i="11"/>
  <c r="FD79" i="11"/>
  <c r="FE79" i="11"/>
  <c r="FF79" i="11"/>
  <c r="FG79" i="11"/>
  <c r="FH79" i="11"/>
  <c r="FI79" i="11"/>
  <c r="FJ79" i="11"/>
  <c r="FK79" i="11"/>
  <c r="FL79" i="11"/>
  <c r="FM79" i="11"/>
  <c r="FN79" i="11"/>
  <c r="FO79" i="11"/>
  <c r="FP79" i="11"/>
  <c r="FQ79" i="11"/>
  <c r="FR79" i="11"/>
  <c r="FS79"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HU79" i="11"/>
  <c r="HV79" i="11"/>
  <c r="HW79" i="11"/>
  <c r="HX79" i="11"/>
  <c r="HY79" i="11"/>
  <c r="HZ79" i="11"/>
  <c r="IA79" i="11"/>
  <c r="IB79" i="11"/>
  <c r="IC79" i="11"/>
  <c r="ID79" i="11"/>
  <c r="IE79" i="11"/>
  <c r="IF79" i="11"/>
  <c r="IG79" i="11"/>
  <c r="IH79" i="11"/>
  <c r="II79" i="11"/>
  <c r="IJ79" i="11"/>
  <c r="IK79" i="11"/>
  <c r="IL79" i="11"/>
  <c r="IM79" i="11"/>
  <c r="IN79" i="11"/>
  <c r="IO79" i="11"/>
  <c r="IP79" i="11"/>
  <c r="IQ79" i="11"/>
  <c r="IR79" i="11"/>
  <c r="IS79" i="11"/>
  <c r="IT79" i="11"/>
  <c r="IU79" i="11"/>
  <c r="IV79"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AI80" i="11"/>
  <c r="AJ80" i="11"/>
  <c r="AK80" i="11"/>
  <c r="AL80" i="11"/>
  <c r="AM80" i="11"/>
  <c r="AN80" i="11"/>
  <c r="AO80" i="11"/>
  <c r="AP80" i="11"/>
  <c r="AQ80" i="11"/>
  <c r="AR80"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CC80" i="11"/>
  <c r="CD80" i="11"/>
  <c r="CE80" i="11"/>
  <c r="CF80" i="11"/>
  <c r="CG80" i="11"/>
  <c r="CH80" i="11"/>
  <c r="CI80" i="11"/>
  <c r="CJ80" i="11"/>
  <c r="CK80" i="11"/>
  <c r="CL80" i="11"/>
  <c r="CM80" i="11"/>
  <c r="CN80" i="11"/>
  <c r="CO80" i="11"/>
  <c r="CP80" i="11"/>
  <c r="CQ80" i="11"/>
  <c r="CR80" i="11"/>
  <c r="CS80" i="11"/>
  <c r="CT80" i="11"/>
  <c r="CU80" i="11"/>
  <c r="CV80" i="11"/>
  <c r="CW80" i="11"/>
  <c r="CX80" i="11"/>
  <c r="CY80" i="11"/>
  <c r="CZ80" i="11"/>
  <c r="DA80" i="11"/>
  <c r="DB80" i="11"/>
  <c r="DC80" i="11"/>
  <c r="DD80" i="11"/>
  <c r="DE80" i="11"/>
  <c r="DF80" i="11"/>
  <c r="DG80" i="11"/>
  <c r="DH80" i="11"/>
  <c r="DI80" i="11"/>
  <c r="DJ80" i="11"/>
  <c r="DK80" i="11"/>
  <c r="DL80" i="11"/>
  <c r="DM80" i="11"/>
  <c r="DN80" i="11"/>
  <c r="DO80" i="11"/>
  <c r="DP80" i="11"/>
  <c r="DQ80" i="11"/>
  <c r="DR80" i="11"/>
  <c r="DS80" i="11"/>
  <c r="DT80" i="11"/>
  <c r="DU80" i="11"/>
  <c r="DV80" i="11"/>
  <c r="DW80" i="11"/>
  <c r="DX80" i="11"/>
  <c r="DY80" i="11"/>
  <c r="DZ80" i="11"/>
  <c r="EA80" i="11"/>
  <c r="EB80" i="11"/>
  <c r="EC80" i="11"/>
  <c r="ED80" i="11"/>
  <c r="EE80" i="11"/>
  <c r="EF80" i="11"/>
  <c r="EG80" i="11"/>
  <c r="EH80" i="11"/>
  <c r="EI80" i="11"/>
  <c r="EJ80" i="11"/>
  <c r="EK80" i="11"/>
  <c r="EL80" i="11"/>
  <c r="EM80" i="11"/>
  <c r="EN80" i="11"/>
  <c r="EO80" i="11"/>
  <c r="EP80" i="11"/>
  <c r="EQ80" i="11"/>
  <c r="ER80" i="11"/>
  <c r="ES80" i="11"/>
  <c r="ET80" i="11"/>
  <c r="EU80" i="11"/>
  <c r="EV80" i="11"/>
  <c r="EW80" i="11"/>
  <c r="EX80" i="11"/>
  <c r="EY80" i="11"/>
  <c r="EZ80" i="11"/>
  <c r="FA80" i="11"/>
  <c r="FB80" i="11"/>
  <c r="FC80" i="11"/>
  <c r="FD80" i="11"/>
  <c r="FE80" i="11"/>
  <c r="FF80" i="11"/>
  <c r="FG80" i="11"/>
  <c r="FH80" i="11"/>
  <c r="FI80" i="11"/>
  <c r="FJ80" i="11"/>
  <c r="FK80" i="11"/>
  <c r="FL80" i="11"/>
  <c r="FM80" i="11"/>
  <c r="FN80" i="11"/>
  <c r="FO80" i="11"/>
  <c r="FP80" i="11"/>
  <c r="FQ80" i="11"/>
  <c r="FR80" i="11"/>
  <c r="FS80"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HU80" i="11"/>
  <c r="HV80" i="11"/>
  <c r="HW80" i="11"/>
  <c r="HX80" i="11"/>
  <c r="HY80" i="11"/>
  <c r="HZ80" i="11"/>
  <c r="IA80" i="11"/>
  <c r="IB80" i="11"/>
  <c r="IC80" i="11"/>
  <c r="ID80" i="11"/>
  <c r="IE80" i="11"/>
  <c r="IF80" i="11"/>
  <c r="IG80" i="11"/>
  <c r="IH80" i="11"/>
  <c r="II80" i="11"/>
  <c r="IJ80" i="11"/>
  <c r="IK80" i="11"/>
  <c r="IL80" i="11"/>
  <c r="IM80" i="11"/>
  <c r="IN80" i="11"/>
  <c r="IO80" i="11"/>
  <c r="IP80" i="11"/>
  <c r="IQ80" i="11"/>
  <c r="IR80" i="11"/>
  <c r="IS80" i="11"/>
  <c r="IT80" i="11"/>
  <c r="IU80" i="11"/>
  <c r="IV80"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CC81" i="11"/>
  <c r="CD81" i="11"/>
  <c r="CE81" i="11"/>
  <c r="CF81" i="11"/>
  <c r="CG81" i="11"/>
  <c r="CH81" i="11"/>
  <c r="CI81" i="11"/>
  <c r="CJ81" i="11"/>
  <c r="CK81" i="11"/>
  <c r="CL81" i="11"/>
  <c r="CM81" i="11"/>
  <c r="CN81" i="11"/>
  <c r="CO81" i="11"/>
  <c r="CP81" i="11"/>
  <c r="CQ81" i="11"/>
  <c r="CR81" i="11"/>
  <c r="CS81" i="11"/>
  <c r="CT81" i="11"/>
  <c r="CU81" i="11"/>
  <c r="CV81" i="11"/>
  <c r="CW81" i="11"/>
  <c r="CX81" i="11"/>
  <c r="CY81" i="11"/>
  <c r="CZ81" i="11"/>
  <c r="DA81" i="11"/>
  <c r="DB81" i="11"/>
  <c r="DC81" i="11"/>
  <c r="DD81" i="11"/>
  <c r="DE81" i="11"/>
  <c r="DF81" i="11"/>
  <c r="DG81" i="11"/>
  <c r="DH81" i="11"/>
  <c r="DI81" i="11"/>
  <c r="DJ81" i="11"/>
  <c r="DK81" i="11"/>
  <c r="DL81" i="11"/>
  <c r="DM81" i="11"/>
  <c r="DN81" i="11"/>
  <c r="DO81" i="11"/>
  <c r="DP81" i="11"/>
  <c r="DQ81" i="11"/>
  <c r="DR81" i="11"/>
  <c r="DS81" i="11"/>
  <c r="DT81" i="11"/>
  <c r="DU81" i="11"/>
  <c r="DV81" i="11"/>
  <c r="DW81" i="11"/>
  <c r="DX81" i="11"/>
  <c r="DY81" i="11"/>
  <c r="DZ81" i="11"/>
  <c r="EA81" i="11"/>
  <c r="EB81" i="11"/>
  <c r="EC81" i="11"/>
  <c r="ED81" i="11"/>
  <c r="EE81" i="11"/>
  <c r="EF81" i="11"/>
  <c r="EG81" i="11"/>
  <c r="EH81" i="11"/>
  <c r="EI81" i="11"/>
  <c r="EJ81" i="11"/>
  <c r="EK81" i="11"/>
  <c r="EL81" i="11"/>
  <c r="EM81" i="11"/>
  <c r="EN81" i="11"/>
  <c r="EO81" i="11"/>
  <c r="EP81" i="11"/>
  <c r="EQ81" i="11"/>
  <c r="ER81" i="11"/>
  <c r="ES81" i="11"/>
  <c r="ET81" i="11"/>
  <c r="EU81" i="11"/>
  <c r="EV81" i="11"/>
  <c r="EW81" i="11"/>
  <c r="EX81" i="11"/>
  <c r="EY81" i="11"/>
  <c r="EZ81" i="11"/>
  <c r="FA81" i="11"/>
  <c r="FB81" i="11"/>
  <c r="FC81" i="11"/>
  <c r="FD81" i="11"/>
  <c r="FE81" i="11"/>
  <c r="FF81" i="11"/>
  <c r="FG81" i="11"/>
  <c r="FH81" i="11"/>
  <c r="FI81" i="11"/>
  <c r="FJ81" i="11"/>
  <c r="FK81" i="11"/>
  <c r="FL81" i="11"/>
  <c r="FM81" i="11"/>
  <c r="FN81" i="11"/>
  <c r="FO81" i="11"/>
  <c r="FP81" i="11"/>
  <c r="FQ81" i="11"/>
  <c r="FR81" i="11"/>
  <c r="FS81"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HU81" i="11"/>
  <c r="HV81" i="11"/>
  <c r="HW81" i="11"/>
  <c r="HX81" i="11"/>
  <c r="HY81" i="11"/>
  <c r="HZ81" i="11"/>
  <c r="IA81" i="11"/>
  <c r="IB81" i="11"/>
  <c r="IC81" i="11"/>
  <c r="ID81" i="11"/>
  <c r="IE81" i="11"/>
  <c r="IF81" i="11"/>
  <c r="IG81" i="11"/>
  <c r="IH81" i="11"/>
  <c r="II81" i="11"/>
  <c r="IJ81" i="11"/>
  <c r="IK81" i="11"/>
  <c r="IL81" i="11"/>
  <c r="IM81" i="11"/>
  <c r="IN81" i="11"/>
  <c r="IO81" i="11"/>
  <c r="IP81" i="11"/>
  <c r="IQ81" i="11"/>
  <c r="IR81" i="11"/>
  <c r="IS81" i="11"/>
  <c r="IT81" i="11"/>
  <c r="IU81" i="11"/>
  <c r="IV81"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AI82" i="11"/>
  <c r="AJ82" i="11"/>
  <c r="AK82" i="11"/>
  <c r="AL82" i="11"/>
  <c r="AM82" i="11"/>
  <c r="AN82" i="11"/>
  <c r="AO82" i="11"/>
  <c r="AP82" i="11"/>
  <c r="AQ82" i="11"/>
  <c r="AR82"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CC82" i="11"/>
  <c r="CD82" i="11"/>
  <c r="CE82" i="11"/>
  <c r="CF82" i="11"/>
  <c r="CG82" i="11"/>
  <c r="CH82" i="11"/>
  <c r="CI82" i="11"/>
  <c r="CJ82" i="11"/>
  <c r="CK82" i="11"/>
  <c r="CL82" i="11"/>
  <c r="CM82" i="11"/>
  <c r="CN82" i="11"/>
  <c r="CO82" i="11"/>
  <c r="CP82" i="11"/>
  <c r="CQ82" i="11"/>
  <c r="CR82" i="11"/>
  <c r="CS82" i="11"/>
  <c r="CT82" i="11"/>
  <c r="CU82" i="11"/>
  <c r="CV82" i="11"/>
  <c r="CW82" i="11"/>
  <c r="CX82" i="11"/>
  <c r="CY82" i="11"/>
  <c r="CZ82" i="11"/>
  <c r="DA82" i="11"/>
  <c r="DB82" i="11"/>
  <c r="DC82" i="11"/>
  <c r="DD82" i="11"/>
  <c r="DE82" i="11"/>
  <c r="DF82" i="11"/>
  <c r="DG82" i="11"/>
  <c r="DH82" i="11"/>
  <c r="DI82" i="11"/>
  <c r="DJ82" i="11"/>
  <c r="DK82" i="11"/>
  <c r="DL82" i="11"/>
  <c r="DM82" i="11"/>
  <c r="DN82" i="11"/>
  <c r="DO82" i="11"/>
  <c r="DP82" i="11"/>
  <c r="DQ82" i="11"/>
  <c r="DR82" i="11"/>
  <c r="DS82" i="11"/>
  <c r="DT82" i="11"/>
  <c r="DU82" i="11"/>
  <c r="DV82" i="11"/>
  <c r="DW82" i="11"/>
  <c r="DX82" i="11"/>
  <c r="DY82" i="11"/>
  <c r="DZ82" i="11"/>
  <c r="EA82" i="11"/>
  <c r="EB82" i="11"/>
  <c r="EC82" i="11"/>
  <c r="ED82" i="11"/>
  <c r="EE82" i="11"/>
  <c r="EF82" i="11"/>
  <c r="EG82" i="11"/>
  <c r="EH82" i="11"/>
  <c r="EI82" i="11"/>
  <c r="EJ82" i="11"/>
  <c r="EK82" i="11"/>
  <c r="EL82" i="11"/>
  <c r="EM82" i="11"/>
  <c r="EN82" i="11"/>
  <c r="EO82" i="11"/>
  <c r="EP82" i="11"/>
  <c r="EQ82" i="11"/>
  <c r="ER82" i="11"/>
  <c r="ES82" i="11"/>
  <c r="ET82" i="11"/>
  <c r="EU82" i="11"/>
  <c r="EV82" i="11"/>
  <c r="EW82" i="11"/>
  <c r="EX82" i="11"/>
  <c r="EY82" i="11"/>
  <c r="EZ82" i="11"/>
  <c r="FA82" i="11"/>
  <c r="FB82" i="11"/>
  <c r="FC82" i="11"/>
  <c r="FD82" i="11"/>
  <c r="FE82" i="11"/>
  <c r="FF82" i="11"/>
  <c r="FG82" i="11"/>
  <c r="FH82" i="11"/>
  <c r="FI82" i="11"/>
  <c r="FJ82" i="11"/>
  <c r="FK82" i="11"/>
  <c r="FL82" i="11"/>
  <c r="FM82" i="11"/>
  <c r="FN82" i="11"/>
  <c r="FO82" i="11"/>
  <c r="FP82" i="11"/>
  <c r="FQ82" i="11"/>
  <c r="FR82" i="11"/>
  <c r="FS82"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HU82" i="11"/>
  <c r="HV82" i="11"/>
  <c r="HW82" i="11"/>
  <c r="HX82" i="11"/>
  <c r="HY82" i="11"/>
  <c r="HZ82" i="11"/>
  <c r="IA82" i="11"/>
  <c r="IB82" i="11"/>
  <c r="IC82" i="11"/>
  <c r="ID82" i="11"/>
  <c r="IE82" i="11"/>
  <c r="IF82" i="11"/>
  <c r="IG82" i="11"/>
  <c r="IH82" i="11"/>
  <c r="II82" i="11"/>
  <c r="IJ82" i="11"/>
  <c r="IK82" i="11"/>
  <c r="IL82" i="11"/>
  <c r="IM82" i="11"/>
  <c r="IN82" i="11"/>
  <c r="IO82" i="11"/>
  <c r="IP82" i="11"/>
  <c r="IQ82" i="11"/>
  <c r="IR82" i="11"/>
  <c r="IS82" i="11"/>
  <c r="IT82" i="11"/>
  <c r="IU82" i="11"/>
  <c r="IV82"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CC83" i="11"/>
  <c r="CD83" i="11"/>
  <c r="CE83" i="11"/>
  <c r="CF83" i="11"/>
  <c r="CG83" i="11"/>
  <c r="CH83" i="11"/>
  <c r="CI83" i="11"/>
  <c r="CJ83" i="11"/>
  <c r="CK83" i="11"/>
  <c r="CL83" i="11"/>
  <c r="CM83" i="11"/>
  <c r="CN83" i="11"/>
  <c r="CO83" i="11"/>
  <c r="CP83" i="11"/>
  <c r="CQ83" i="11"/>
  <c r="CR83" i="11"/>
  <c r="CS83" i="11"/>
  <c r="CT83" i="11"/>
  <c r="CU83" i="11"/>
  <c r="CV83" i="11"/>
  <c r="CW83" i="11"/>
  <c r="CX83" i="11"/>
  <c r="CY83" i="11"/>
  <c r="CZ83" i="11"/>
  <c r="DA83" i="11"/>
  <c r="DB83" i="11"/>
  <c r="DC83" i="11"/>
  <c r="DD83" i="11"/>
  <c r="DE83" i="11"/>
  <c r="DF83" i="11"/>
  <c r="DG83" i="11"/>
  <c r="DH83" i="11"/>
  <c r="DI83" i="11"/>
  <c r="DJ83" i="11"/>
  <c r="DK83" i="11"/>
  <c r="DL83" i="11"/>
  <c r="DM83" i="11"/>
  <c r="DN83" i="11"/>
  <c r="DO83" i="11"/>
  <c r="DP83" i="11"/>
  <c r="DQ83" i="11"/>
  <c r="DR83" i="11"/>
  <c r="DS83" i="11"/>
  <c r="DT83" i="11"/>
  <c r="DU83" i="11"/>
  <c r="DV83" i="11"/>
  <c r="DW83" i="11"/>
  <c r="DX83" i="11"/>
  <c r="DY83" i="11"/>
  <c r="DZ83" i="11"/>
  <c r="EA83" i="11"/>
  <c r="EB83" i="11"/>
  <c r="EC83" i="11"/>
  <c r="ED83" i="11"/>
  <c r="EE83" i="11"/>
  <c r="EF83" i="11"/>
  <c r="EG83" i="11"/>
  <c r="EH83" i="11"/>
  <c r="EI83" i="11"/>
  <c r="EJ83" i="11"/>
  <c r="EK83" i="11"/>
  <c r="EL83" i="11"/>
  <c r="EM83" i="11"/>
  <c r="EN83" i="11"/>
  <c r="EO83" i="11"/>
  <c r="EP83" i="11"/>
  <c r="EQ83" i="11"/>
  <c r="ER83" i="11"/>
  <c r="ES83" i="11"/>
  <c r="ET83" i="11"/>
  <c r="EU83" i="11"/>
  <c r="EV83" i="11"/>
  <c r="EW83" i="11"/>
  <c r="EX83" i="11"/>
  <c r="EY83" i="11"/>
  <c r="EZ83" i="11"/>
  <c r="FA83" i="11"/>
  <c r="FB83" i="11"/>
  <c r="FC83" i="11"/>
  <c r="FD83" i="11"/>
  <c r="FE83" i="11"/>
  <c r="FF83" i="11"/>
  <c r="FG83" i="11"/>
  <c r="FH83" i="11"/>
  <c r="FI83" i="11"/>
  <c r="FJ83" i="11"/>
  <c r="FK83" i="11"/>
  <c r="FL83" i="11"/>
  <c r="FM83" i="11"/>
  <c r="FN83" i="11"/>
  <c r="FO83" i="11"/>
  <c r="FP83" i="11"/>
  <c r="FQ83" i="11"/>
  <c r="FR83" i="11"/>
  <c r="FS83"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HU83" i="11"/>
  <c r="HV83" i="11"/>
  <c r="HW83" i="11"/>
  <c r="HX83" i="11"/>
  <c r="HY83" i="11"/>
  <c r="HZ83" i="11"/>
  <c r="IA83" i="11"/>
  <c r="IB83" i="11"/>
  <c r="IC83" i="11"/>
  <c r="ID83" i="11"/>
  <c r="IE83" i="11"/>
  <c r="IF83" i="11"/>
  <c r="IG83" i="11"/>
  <c r="IH83" i="11"/>
  <c r="II83" i="11"/>
  <c r="IJ83" i="11"/>
  <c r="IK83" i="11"/>
  <c r="IL83" i="11"/>
  <c r="IM83" i="11"/>
  <c r="IN83" i="11"/>
  <c r="IO83" i="11"/>
  <c r="IP83" i="11"/>
  <c r="IQ83" i="11"/>
  <c r="IR83" i="11"/>
  <c r="IS83" i="11"/>
  <c r="IT83" i="11"/>
  <c r="IU83" i="11"/>
  <c r="IV83"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CC84" i="11"/>
  <c r="CD84" i="11"/>
  <c r="CE84" i="11"/>
  <c r="CF84" i="11"/>
  <c r="CG84" i="11"/>
  <c r="CH84" i="11"/>
  <c r="CI84" i="11"/>
  <c r="CJ84" i="11"/>
  <c r="CK84" i="11"/>
  <c r="CL84" i="11"/>
  <c r="CM84" i="11"/>
  <c r="CN84" i="11"/>
  <c r="CO84" i="11"/>
  <c r="CP84" i="11"/>
  <c r="CQ84" i="11"/>
  <c r="CR84" i="11"/>
  <c r="CS84" i="11"/>
  <c r="CT84" i="11"/>
  <c r="CU84" i="11"/>
  <c r="CV84" i="11"/>
  <c r="CW84" i="11"/>
  <c r="CX84" i="11"/>
  <c r="CY84" i="11"/>
  <c r="CZ84" i="11"/>
  <c r="DA84" i="11"/>
  <c r="DB84" i="11"/>
  <c r="DC84" i="11"/>
  <c r="DD84" i="11"/>
  <c r="DE84" i="11"/>
  <c r="DF84" i="11"/>
  <c r="DG84" i="11"/>
  <c r="DH84" i="11"/>
  <c r="DI84" i="11"/>
  <c r="DJ84" i="11"/>
  <c r="DK84" i="11"/>
  <c r="DL84" i="11"/>
  <c r="DM84" i="11"/>
  <c r="DN84" i="11"/>
  <c r="DO84" i="11"/>
  <c r="DP84" i="11"/>
  <c r="DQ84" i="11"/>
  <c r="DR84" i="11"/>
  <c r="DS84" i="11"/>
  <c r="DT84" i="11"/>
  <c r="DU84" i="11"/>
  <c r="DV84" i="11"/>
  <c r="DW84" i="11"/>
  <c r="DX84" i="11"/>
  <c r="DY84" i="11"/>
  <c r="DZ84" i="11"/>
  <c r="EA84" i="11"/>
  <c r="EB84" i="11"/>
  <c r="EC84" i="11"/>
  <c r="ED84" i="11"/>
  <c r="EE84" i="11"/>
  <c r="EF84" i="11"/>
  <c r="EG84" i="11"/>
  <c r="EH84" i="11"/>
  <c r="EI84" i="11"/>
  <c r="EJ84" i="11"/>
  <c r="EK84" i="11"/>
  <c r="EL84" i="11"/>
  <c r="EM84" i="11"/>
  <c r="EN84" i="11"/>
  <c r="EO84" i="11"/>
  <c r="EP84" i="11"/>
  <c r="EQ84" i="11"/>
  <c r="ER84" i="11"/>
  <c r="ES84" i="11"/>
  <c r="ET84" i="11"/>
  <c r="EU84" i="11"/>
  <c r="EV84" i="11"/>
  <c r="EW84" i="11"/>
  <c r="EX84" i="11"/>
  <c r="EY84" i="11"/>
  <c r="EZ84" i="11"/>
  <c r="FA84"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HU84" i="11"/>
  <c r="HV84" i="11"/>
  <c r="HW84" i="11"/>
  <c r="HX84" i="11"/>
  <c r="HY84" i="11"/>
  <c r="HZ84" i="11"/>
  <c r="IA84" i="11"/>
  <c r="IB84" i="11"/>
  <c r="IC84" i="11"/>
  <c r="ID84" i="11"/>
  <c r="IE84" i="11"/>
  <c r="IF84" i="11"/>
  <c r="IG84" i="11"/>
  <c r="IH84" i="11"/>
  <c r="II84" i="11"/>
  <c r="IJ84" i="11"/>
  <c r="IK84" i="11"/>
  <c r="IL84" i="11"/>
  <c r="IM84" i="11"/>
  <c r="IN84" i="11"/>
  <c r="IO84" i="11"/>
  <c r="IP84" i="11"/>
  <c r="IQ84" i="11"/>
  <c r="IR84" i="11"/>
  <c r="IS84" i="11"/>
  <c r="IT84" i="11"/>
  <c r="IU84" i="11"/>
  <c r="IV84"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AI85" i="11"/>
  <c r="AJ85" i="11"/>
  <c r="AK85" i="11"/>
  <c r="AL85" i="11"/>
  <c r="AM85" i="11"/>
  <c r="AN85" i="11"/>
  <c r="AO85" i="11"/>
  <c r="AP85" i="11"/>
  <c r="AQ85" i="11"/>
  <c r="AR85"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CC85" i="11"/>
  <c r="CD85" i="11"/>
  <c r="CE85" i="11"/>
  <c r="CF85" i="11"/>
  <c r="CG85" i="11"/>
  <c r="CH85" i="11"/>
  <c r="CI85" i="11"/>
  <c r="CJ85" i="11"/>
  <c r="CK85" i="11"/>
  <c r="CL85" i="11"/>
  <c r="CM85" i="11"/>
  <c r="CN85" i="11"/>
  <c r="CO85" i="11"/>
  <c r="CP85" i="11"/>
  <c r="CQ85" i="11"/>
  <c r="CR85" i="11"/>
  <c r="CS85" i="11"/>
  <c r="CT85" i="11"/>
  <c r="CU85" i="11"/>
  <c r="CV85" i="11"/>
  <c r="CW85" i="11"/>
  <c r="CX85" i="11"/>
  <c r="CY85" i="11"/>
  <c r="CZ85" i="11"/>
  <c r="DA85" i="11"/>
  <c r="DB85" i="11"/>
  <c r="DC85" i="11"/>
  <c r="DD85" i="11"/>
  <c r="DE85" i="11"/>
  <c r="DF85" i="11"/>
  <c r="DG85" i="11"/>
  <c r="DH85" i="11"/>
  <c r="DI85" i="11"/>
  <c r="DJ85" i="11"/>
  <c r="DK85" i="11"/>
  <c r="DL85" i="11"/>
  <c r="DM85" i="11"/>
  <c r="DN85" i="11"/>
  <c r="DO85" i="11"/>
  <c r="DP85" i="11"/>
  <c r="DQ85" i="11"/>
  <c r="DR85" i="11"/>
  <c r="DS85" i="11"/>
  <c r="DT85" i="11"/>
  <c r="DU85" i="11"/>
  <c r="DV85" i="11"/>
  <c r="DW85" i="11"/>
  <c r="DX85" i="11"/>
  <c r="DY85" i="11"/>
  <c r="DZ85" i="11"/>
  <c r="EA85" i="11"/>
  <c r="EB85" i="11"/>
  <c r="EC85" i="11"/>
  <c r="ED85" i="11"/>
  <c r="EE85" i="11"/>
  <c r="EF85" i="11"/>
  <c r="EG85" i="11"/>
  <c r="EH85" i="11"/>
  <c r="EI85" i="11"/>
  <c r="EJ85" i="11"/>
  <c r="EK85" i="11"/>
  <c r="EL85" i="11"/>
  <c r="EM85" i="11"/>
  <c r="EN85" i="11"/>
  <c r="EO85" i="11"/>
  <c r="EP85" i="11"/>
  <c r="EQ85" i="11"/>
  <c r="ER85" i="11"/>
  <c r="ES85" i="11"/>
  <c r="ET85" i="11"/>
  <c r="EU85" i="11"/>
  <c r="EV85" i="11"/>
  <c r="EW85" i="11"/>
  <c r="EX85" i="11"/>
  <c r="EY85" i="11"/>
  <c r="EZ85" i="11"/>
  <c r="FA85" i="11"/>
  <c r="FB85" i="11"/>
  <c r="FC85" i="11"/>
  <c r="FD85" i="11"/>
  <c r="FE85" i="11"/>
  <c r="FF85" i="11"/>
  <c r="FG85" i="11"/>
  <c r="FH85" i="11"/>
  <c r="FI85" i="11"/>
  <c r="FJ85" i="11"/>
  <c r="FK85" i="11"/>
  <c r="FL85" i="11"/>
  <c r="FM85" i="11"/>
  <c r="FN85" i="11"/>
  <c r="FO85" i="11"/>
  <c r="FP85" i="11"/>
  <c r="FQ85" i="11"/>
  <c r="FR85" i="11"/>
  <c r="FS85"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HU85" i="11"/>
  <c r="HV85" i="11"/>
  <c r="HW85" i="11"/>
  <c r="HX85" i="11"/>
  <c r="HY85" i="11"/>
  <c r="HZ85" i="11"/>
  <c r="IA85" i="11"/>
  <c r="IB85" i="11"/>
  <c r="IC85" i="11"/>
  <c r="ID85" i="11"/>
  <c r="IE85" i="11"/>
  <c r="IF85" i="11"/>
  <c r="IG85" i="11"/>
  <c r="IH85" i="11"/>
  <c r="II85" i="11"/>
  <c r="IJ85" i="11"/>
  <c r="IK85" i="11"/>
  <c r="IL85" i="11"/>
  <c r="IM85" i="11"/>
  <c r="IN85" i="11"/>
  <c r="IO85" i="11"/>
  <c r="IP85" i="11"/>
  <c r="IQ85" i="11"/>
  <c r="IR85" i="11"/>
  <c r="IS85" i="11"/>
  <c r="IT85" i="11"/>
  <c r="IU85" i="11"/>
  <c r="IV85"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CC86" i="11"/>
  <c r="CD86" i="11"/>
  <c r="CE86" i="11"/>
  <c r="CF86" i="11"/>
  <c r="CG86" i="11"/>
  <c r="CH86" i="11"/>
  <c r="CI86" i="11"/>
  <c r="CJ86" i="11"/>
  <c r="CK86" i="11"/>
  <c r="CL86" i="11"/>
  <c r="CM86" i="11"/>
  <c r="CN86" i="11"/>
  <c r="CO86" i="11"/>
  <c r="CP86" i="11"/>
  <c r="CQ86" i="11"/>
  <c r="CR86" i="11"/>
  <c r="CS86" i="11"/>
  <c r="CT86" i="11"/>
  <c r="CU86" i="11"/>
  <c r="CV86" i="11"/>
  <c r="CW86" i="11"/>
  <c r="CX86" i="11"/>
  <c r="CY86" i="11"/>
  <c r="CZ86" i="11"/>
  <c r="DA86" i="11"/>
  <c r="DB86" i="11"/>
  <c r="DC86" i="11"/>
  <c r="DD86" i="11"/>
  <c r="DE86" i="11"/>
  <c r="DF86" i="11"/>
  <c r="DG86" i="11"/>
  <c r="DH86" i="11"/>
  <c r="DI86" i="11"/>
  <c r="DJ86" i="11"/>
  <c r="DK86" i="11"/>
  <c r="DL86" i="11"/>
  <c r="DM86" i="11"/>
  <c r="DN86" i="11"/>
  <c r="DO86" i="11"/>
  <c r="DP86" i="11"/>
  <c r="DQ86" i="11"/>
  <c r="DR86" i="11"/>
  <c r="DS86" i="11"/>
  <c r="DT86" i="11"/>
  <c r="DU86" i="11"/>
  <c r="DV86" i="11"/>
  <c r="DW86" i="11"/>
  <c r="DX86" i="11"/>
  <c r="DY86" i="11"/>
  <c r="DZ86" i="11"/>
  <c r="EA86" i="11"/>
  <c r="EB86" i="11"/>
  <c r="EC86" i="11"/>
  <c r="ED86" i="11"/>
  <c r="EE86" i="11"/>
  <c r="EF86" i="11"/>
  <c r="EG86" i="11"/>
  <c r="EH86" i="11"/>
  <c r="EI86" i="11"/>
  <c r="EJ86" i="11"/>
  <c r="EK86" i="11"/>
  <c r="EL86" i="11"/>
  <c r="EM86" i="11"/>
  <c r="EN86" i="11"/>
  <c r="EO86" i="11"/>
  <c r="EP86" i="11"/>
  <c r="EQ86" i="11"/>
  <c r="ER86" i="11"/>
  <c r="ES86" i="11"/>
  <c r="ET86" i="11"/>
  <c r="EU86" i="11"/>
  <c r="EV86" i="11"/>
  <c r="EW86" i="11"/>
  <c r="EX86" i="11"/>
  <c r="EY86" i="11"/>
  <c r="EZ86" i="11"/>
  <c r="FA86" i="11"/>
  <c r="FB86" i="11"/>
  <c r="FC86" i="11"/>
  <c r="FD86" i="11"/>
  <c r="FE86" i="11"/>
  <c r="FF86" i="11"/>
  <c r="FG86" i="11"/>
  <c r="FH86" i="11"/>
  <c r="FI86" i="11"/>
  <c r="FJ86" i="11"/>
  <c r="FK86" i="11"/>
  <c r="FL86" i="11"/>
  <c r="FM86" i="11"/>
  <c r="FN86" i="11"/>
  <c r="FO86" i="11"/>
  <c r="FP86" i="11"/>
  <c r="FQ86" i="11"/>
  <c r="FR86" i="11"/>
  <c r="FS86"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HU86" i="11"/>
  <c r="HV86" i="11"/>
  <c r="HW86" i="11"/>
  <c r="HX86" i="11"/>
  <c r="HY86" i="11"/>
  <c r="HZ86" i="11"/>
  <c r="IA86" i="11"/>
  <c r="IB86" i="11"/>
  <c r="IC86" i="11"/>
  <c r="ID86" i="11"/>
  <c r="IE86" i="11"/>
  <c r="IF86" i="11"/>
  <c r="IG86" i="11"/>
  <c r="IH86" i="11"/>
  <c r="II86" i="11"/>
  <c r="IJ86" i="11"/>
  <c r="IK86" i="11"/>
  <c r="IL86" i="11"/>
  <c r="IM86" i="11"/>
  <c r="IN86" i="11"/>
  <c r="IO86" i="11"/>
  <c r="IP86" i="11"/>
  <c r="IQ86" i="11"/>
  <c r="IR86" i="11"/>
  <c r="IS86" i="11"/>
  <c r="IT86" i="11"/>
  <c r="IU86" i="11"/>
  <c r="IV86"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DR87" i="11"/>
  <c r="DS87"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FB87" i="11"/>
  <c r="FC87" i="11"/>
  <c r="FD87" i="11"/>
  <c r="FE87" i="11"/>
  <c r="FF87" i="11"/>
  <c r="FG87" i="11"/>
  <c r="FH87" i="11"/>
  <c r="FI87" i="11"/>
  <c r="FJ87" i="11"/>
  <c r="FK87" i="11"/>
  <c r="FL87" i="11"/>
  <c r="FM87" i="11"/>
  <c r="FN87" i="11"/>
  <c r="FO87" i="11"/>
  <c r="FP87" i="11"/>
  <c r="FQ87" i="11"/>
  <c r="FR87" i="11"/>
  <c r="FS87"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IM87" i="11"/>
  <c r="IN87" i="11"/>
  <c r="IO87" i="11"/>
  <c r="IP87" i="11"/>
  <c r="IQ87" i="11"/>
  <c r="IR87" i="11"/>
  <c r="IS87" i="11"/>
  <c r="IT87" i="11"/>
  <c r="IU87" i="11"/>
  <c r="IV87"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DR88" i="11"/>
  <c r="DS88"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HY88" i="11"/>
  <c r="HZ88" i="11"/>
  <c r="IA88" i="11"/>
  <c r="IB88" i="11"/>
  <c r="IC88" i="11"/>
  <c r="ID88" i="11"/>
  <c r="IE88" i="11"/>
  <c r="IF88" i="11"/>
  <c r="IG88" i="11"/>
  <c r="IH88" i="11"/>
  <c r="II88" i="11"/>
  <c r="IJ88" i="11"/>
  <c r="IK88" i="11"/>
  <c r="IL88" i="11"/>
  <c r="IM88" i="11"/>
  <c r="IN88" i="11"/>
  <c r="IO88" i="11"/>
  <c r="IP88" i="11"/>
  <c r="IQ88" i="11"/>
  <c r="IR88" i="11"/>
  <c r="IS88" i="11"/>
  <c r="IT88" i="11"/>
  <c r="IU88" i="11"/>
  <c r="IV88"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DR89" i="11"/>
  <c r="DS89"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HZ89" i="11"/>
  <c r="IA89" i="11"/>
  <c r="IB89" i="11"/>
  <c r="IC89" i="11"/>
  <c r="ID89" i="11"/>
  <c r="IE89" i="11"/>
  <c r="IF89" i="11"/>
  <c r="IG89" i="11"/>
  <c r="IH89" i="11"/>
  <c r="II89" i="11"/>
  <c r="IJ89" i="11"/>
  <c r="IK89" i="11"/>
  <c r="IL89" i="11"/>
  <c r="IM89" i="11"/>
  <c r="IN89" i="11"/>
  <c r="IO89" i="11"/>
  <c r="IP89" i="11"/>
  <c r="IQ89" i="11"/>
  <c r="IR89" i="11"/>
  <c r="IS89" i="11"/>
  <c r="IT89" i="11"/>
  <c r="IU89" i="11"/>
  <c r="IV89"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DR90" i="11"/>
  <c r="DS90"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HU90" i="11"/>
  <c r="HV90" i="11"/>
  <c r="HW90" i="11"/>
  <c r="HX90" i="11"/>
  <c r="HY90" i="11"/>
  <c r="HZ90" i="11"/>
  <c r="IA90" i="11"/>
  <c r="IB90" i="11"/>
  <c r="IC90" i="11"/>
  <c r="ID90" i="11"/>
  <c r="IE90" i="11"/>
  <c r="IF90" i="11"/>
  <c r="IG90" i="11"/>
  <c r="IH90" i="11"/>
  <c r="II90" i="11"/>
  <c r="IJ90" i="11"/>
  <c r="IK90" i="11"/>
  <c r="IL90" i="11"/>
  <c r="IM90" i="11"/>
  <c r="IN90" i="11"/>
  <c r="IO90" i="11"/>
  <c r="IP90" i="11"/>
  <c r="IQ90" i="11"/>
  <c r="IR90" i="11"/>
  <c r="IS90" i="11"/>
  <c r="IT90" i="11"/>
  <c r="IU90" i="11"/>
  <c r="IV90"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AQ91" i="11"/>
  <c r="AR91"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CC91" i="11"/>
  <c r="CD91" i="11"/>
  <c r="CE91" i="11"/>
  <c r="CF91" i="11"/>
  <c r="CG91" i="11"/>
  <c r="CH91" i="11"/>
  <c r="CI91" i="11"/>
  <c r="CJ91" i="11"/>
  <c r="CK91" i="11"/>
  <c r="CL91" i="11"/>
  <c r="CM91" i="11"/>
  <c r="CN91" i="11"/>
  <c r="CO91" i="11"/>
  <c r="CP91" i="11"/>
  <c r="CQ91" i="11"/>
  <c r="CR91" i="11"/>
  <c r="CS91" i="11"/>
  <c r="CT91" i="11"/>
  <c r="CU91" i="11"/>
  <c r="CV91" i="11"/>
  <c r="CW91" i="11"/>
  <c r="CX91" i="11"/>
  <c r="CY91" i="11"/>
  <c r="CZ91" i="11"/>
  <c r="DA91" i="11"/>
  <c r="DB91" i="11"/>
  <c r="DC91" i="11"/>
  <c r="DD91" i="11"/>
  <c r="DE91" i="11"/>
  <c r="DF91" i="11"/>
  <c r="DG91" i="11"/>
  <c r="DH91" i="11"/>
  <c r="DI91" i="11"/>
  <c r="DJ91" i="11"/>
  <c r="DK91" i="11"/>
  <c r="DL91" i="11"/>
  <c r="DM91" i="11"/>
  <c r="DN91" i="11"/>
  <c r="DO91" i="11"/>
  <c r="DP91" i="11"/>
  <c r="DQ91" i="11"/>
  <c r="DR91" i="11"/>
  <c r="DS91" i="11"/>
  <c r="DT91" i="11"/>
  <c r="DU91" i="11"/>
  <c r="DV91" i="11"/>
  <c r="DW91" i="11"/>
  <c r="DX91" i="11"/>
  <c r="DY91" i="11"/>
  <c r="DZ91" i="11"/>
  <c r="EA91" i="11"/>
  <c r="EB91" i="11"/>
  <c r="EC91" i="11"/>
  <c r="ED91" i="11"/>
  <c r="EE91" i="11"/>
  <c r="EF91" i="11"/>
  <c r="EG91" i="11"/>
  <c r="EH91" i="11"/>
  <c r="EI91" i="11"/>
  <c r="EJ91" i="11"/>
  <c r="EK91" i="11"/>
  <c r="EL91" i="11"/>
  <c r="EM91" i="11"/>
  <c r="EN91" i="11"/>
  <c r="EO91" i="11"/>
  <c r="EP91" i="11"/>
  <c r="EQ91" i="11"/>
  <c r="ER91" i="11"/>
  <c r="ES91" i="11"/>
  <c r="ET91" i="11"/>
  <c r="EU91" i="11"/>
  <c r="EV91" i="11"/>
  <c r="EW91" i="11"/>
  <c r="EX91" i="11"/>
  <c r="EY91" i="11"/>
  <c r="EZ91" i="11"/>
  <c r="FA91" i="11"/>
  <c r="FB91" i="11"/>
  <c r="FC91" i="11"/>
  <c r="FD91" i="11"/>
  <c r="FE91" i="11"/>
  <c r="FF91" i="11"/>
  <c r="FG91" i="11"/>
  <c r="FH91" i="11"/>
  <c r="FI91" i="11"/>
  <c r="FJ91" i="11"/>
  <c r="FK91" i="11"/>
  <c r="FL91" i="11"/>
  <c r="FM91" i="11"/>
  <c r="FN91" i="11"/>
  <c r="FO91" i="11"/>
  <c r="FP91" i="11"/>
  <c r="FQ91" i="11"/>
  <c r="FR91" i="11"/>
  <c r="FS91" i="11"/>
  <c r="FT91" i="11"/>
  <c r="FU91" i="11"/>
  <c r="FV91" i="11"/>
  <c r="FW91" i="11"/>
  <c r="FX91" i="11"/>
  <c r="FY91" i="11"/>
  <c r="FZ91" i="11"/>
  <c r="GA91" i="11"/>
  <c r="GB91"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HU91" i="11"/>
  <c r="HV91" i="11"/>
  <c r="HW91" i="11"/>
  <c r="HX91" i="11"/>
  <c r="HY91" i="11"/>
  <c r="HZ91" i="11"/>
  <c r="IA91" i="11"/>
  <c r="IB91" i="11"/>
  <c r="IC91" i="11"/>
  <c r="ID91" i="11"/>
  <c r="IE91" i="11"/>
  <c r="IF91" i="11"/>
  <c r="IG91" i="11"/>
  <c r="IH91" i="11"/>
  <c r="II91" i="11"/>
  <c r="IJ91" i="11"/>
  <c r="IK91" i="11"/>
  <c r="IL91" i="11"/>
  <c r="IM91" i="11"/>
  <c r="IN91" i="11"/>
  <c r="IO91" i="11"/>
  <c r="IP91" i="11"/>
  <c r="IQ91" i="11"/>
  <c r="IR91" i="11"/>
  <c r="IS91" i="11"/>
  <c r="IT91" i="11"/>
  <c r="IU91" i="11"/>
  <c r="IV91"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DR92" i="11"/>
  <c r="DS92"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HU92" i="11"/>
  <c r="HV92" i="11"/>
  <c r="HW92" i="11"/>
  <c r="HX92" i="11"/>
  <c r="HY92" i="11"/>
  <c r="HZ92" i="11"/>
  <c r="IA92" i="11"/>
  <c r="IB92" i="11"/>
  <c r="IC92" i="11"/>
  <c r="ID92" i="11"/>
  <c r="IE92" i="11"/>
  <c r="IF92" i="11"/>
  <c r="IG92" i="11"/>
  <c r="IH92" i="11"/>
  <c r="II92" i="11"/>
  <c r="IJ92" i="11"/>
  <c r="IK92" i="11"/>
  <c r="IL92" i="11"/>
  <c r="IM92" i="11"/>
  <c r="IN92" i="11"/>
  <c r="IO92" i="11"/>
  <c r="IP92" i="11"/>
  <c r="IQ92" i="11"/>
  <c r="IR92" i="11"/>
  <c r="IS92" i="11"/>
  <c r="IT92" i="11"/>
  <c r="IU92" i="11"/>
  <c r="IV92"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DR93" i="11"/>
  <c r="DS93"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IL93" i="11"/>
  <c r="IM93" i="11"/>
  <c r="IN93" i="11"/>
  <c r="IO93" i="11"/>
  <c r="IP93" i="11"/>
  <c r="IQ93" i="11"/>
  <c r="IR93" i="11"/>
  <c r="IS93" i="11"/>
  <c r="IT93" i="11"/>
  <c r="IU93" i="11"/>
  <c r="IV93"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DR94" i="11"/>
  <c r="DS94"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IL94" i="11"/>
  <c r="IM94" i="11"/>
  <c r="IN94" i="11"/>
  <c r="IO94" i="11"/>
  <c r="IP94" i="11"/>
  <c r="IQ94" i="11"/>
  <c r="IR94" i="11"/>
  <c r="IS94" i="11"/>
  <c r="IT94" i="11"/>
  <c r="IU94" i="11"/>
  <c r="IV94"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CL95" i="11"/>
  <c r="CM95" i="11"/>
  <c r="CN95" i="11"/>
  <c r="CO95" i="11"/>
  <c r="CP95" i="11"/>
  <c r="CQ95" i="11"/>
  <c r="CR95" i="11"/>
  <c r="CS95" i="11"/>
  <c r="CT95" i="11"/>
  <c r="CU95" i="11"/>
  <c r="CV95" i="11"/>
  <c r="CW95" i="11"/>
  <c r="CX95" i="11"/>
  <c r="CY95" i="11"/>
  <c r="CZ95" i="11"/>
  <c r="DA95" i="11"/>
  <c r="DB95" i="11"/>
  <c r="DC95" i="11"/>
  <c r="DD95" i="11"/>
  <c r="DE95" i="11"/>
  <c r="DF95" i="11"/>
  <c r="DG95"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HU95" i="11"/>
  <c r="HV95" i="11"/>
  <c r="HW95" i="11"/>
  <c r="HX95" i="11"/>
  <c r="HY95" i="11"/>
  <c r="HZ95" i="11"/>
  <c r="IA95" i="11"/>
  <c r="IB95" i="11"/>
  <c r="IC95" i="11"/>
  <c r="ID95" i="11"/>
  <c r="IE95" i="11"/>
  <c r="IF95" i="11"/>
  <c r="IG95" i="11"/>
  <c r="IH95" i="11"/>
  <c r="II95" i="11"/>
  <c r="IJ95" i="11"/>
  <c r="IK95" i="11"/>
  <c r="IL95" i="11"/>
  <c r="IM95" i="11"/>
  <c r="IN95" i="11"/>
  <c r="IO95" i="11"/>
  <c r="IP95" i="11"/>
  <c r="IQ95" i="11"/>
  <c r="IR95" i="11"/>
  <c r="IS95" i="11"/>
  <c r="IT95" i="11"/>
  <c r="IU95" i="11"/>
  <c r="IV95"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CL96" i="11"/>
  <c r="CM96" i="11"/>
  <c r="CN96" i="11"/>
  <c r="CO96" i="11"/>
  <c r="CP96" i="11"/>
  <c r="CQ96" i="11"/>
  <c r="CR96" i="11"/>
  <c r="CS96" i="11"/>
  <c r="CT96" i="11"/>
  <c r="CU96" i="11"/>
  <c r="CV96" i="11"/>
  <c r="CW96" i="11"/>
  <c r="CX96" i="11"/>
  <c r="CY96" i="11"/>
  <c r="CZ96" i="11"/>
  <c r="DA96" i="11"/>
  <c r="DB96" i="11"/>
  <c r="DC96" i="11"/>
  <c r="DD96" i="11"/>
  <c r="DE96" i="11"/>
  <c r="DF96" i="11"/>
  <c r="DG96"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GN96" i="11"/>
  <c r="GO96" i="11"/>
  <c r="GP96" i="11"/>
  <c r="GQ96" i="11"/>
  <c r="GR96" i="11"/>
  <c r="GS96" i="11"/>
  <c r="GT96" i="11"/>
  <c r="GU96" i="11"/>
  <c r="GV96" i="11"/>
  <c r="GW96" i="11"/>
  <c r="GX96" i="11"/>
  <c r="GY96" i="11"/>
  <c r="GZ96" i="11"/>
  <c r="HA96" i="11"/>
  <c r="HB96" i="11"/>
  <c r="HC96" i="11"/>
  <c r="HD96" i="11"/>
  <c r="HE96" i="11"/>
  <c r="HF96" i="11"/>
  <c r="HG96" i="11"/>
  <c r="HH96" i="11"/>
  <c r="HI96" i="11"/>
  <c r="HJ96" i="11"/>
  <c r="HK96" i="11"/>
  <c r="HL96" i="11"/>
  <c r="HM96" i="11"/>
  <c r="HN96" i="11"/>
  <c r="HO96" i="11"/>
  <c r="HP96" i="11"/>
  <c r="HQ96" i="11"/>
  <c r="HR96" i="11"/>
  <c r="HS96" i="11"/>
  <c r="HT96" i="11"/>
  <c r="HU96" i="11"/>
  <c r="HV96" i="11"/>
  <c r="HW96" i="11"/>
  <c r="HX96" i="11"/>
  <c r="HY96" i="11"/>
  <c r="HZ96" i="11"/>
  <c r="IA96" i="11"/>
  <c r="IB96" i="11"/>
  <c r="IC96" i="11"/>
  <c r="ID96" i="11"/>
  <c r="IE96" i="11"/>
  <c r="IF96" i="11"/>
  <c r="IG96" i="11"/>
  <c r="IH96" i="11"/>
  <c r="II96" i="11"/>
  <c r="IJ96" i="11"/>
  <c r="IK96" i="11"/>
  <c r="IL96" i="11"/>
  <c r="IM96" i="11"/>
  <c r="IN96" i="11"/>
  <c r="IO96" i="11"/>
  <c r="IP96" i="11"/>
  <c r="IQ96" i="11"/>
  <c r="IR96" i="11"/>
  <c r="IS96" i="11"/>
  <c r="IT96" i="11"/>
  <c r="IU96" i="11"/>
  <c r="IV96"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HU98" i="11"/>
  <c r="HV98" i="11"/>
  <c r="HW98" i="11"/>
  <c r="HX98" i="11"/>
  <c r="HY98" i="11"/>
  <c r="HZ98" i="11"/>
  <c r="IA98" i="11"/>
  <c r="IB98" i="11"/>
  <c r="IC98" i="11"/>
  <c r="ID98" i="11"/>
  <c r="IE98" i="11"/>
  <c r="IF98" i="11"/>
  <c r="IG98" i="11"/>
  <c r="IH98" i="11"/>
  <c r="II98" i="11"/>
  <c r="IJ98" i="11"/>
  <c r="IK98" i="11"/>
  <c r="IL98" i="11"/>
  <c r="IM98" i="11"/>
  <c r="IN98" i="11"/>
  <c r="IO98" i="11"/>
  <c r="IP98" i="11"/>
  <c r="IQ98" i="11"/>
  <c r="IR98" i="11"/>
  <c r="IS98" i="11"/>
  <c r="IT98" i="11"/>
  <c r="IU98" i="11"/>
  <c r="IV98"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DR99" i="11"/>
  <c r="DS99"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HU99" i="11"/>
  <c r="HV99" i="11"/>
  <c r="HW99" i="11"/>
  <c r="HX99" i="11"/>
  <c r="HY99" i="11"/>
  <c r="HZ99" i="11"/>
  <c r="IA99" i="11"/>
  <c r="IB99" i="11"/>
  <c r="IC99" i="11"/>
  <c r="ID99" i="11"/>
  <c r="IE99" i="11"/>
  <c r="IF99" i="11"/>
  <c r="IG99" i="11"/>
  <c r="IH99" i="11"/>
  <c r="II99" i="11"/>
  <c r="IJ99" i="11"/>
  <c r="IK99" i="11"/>
  <c r="IL99" i="11"/>
  <c r="IM99" i="11"/>
  <c r="IN99" i="11"/>
  <c r="IO99" i="11"/>
  <c r="IP99" i="11"/>
  <c r="IQ99" i="11"/>
  <c r="IR99" i="11"/>
  <c r="IS99" i="11"/>
  <c r="IT99" i="11"/>
  <c r="IU99" i="11"/>
  <c r="IV99"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DR100" i="11"/>
  <c r="DS100"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HU100" i="11"/>
  <c r="HV100" i="11"/>
  <c r="HW100" i="11"/>
  <c r="HX100" i="11"/>
  <c r="HY100" i="11"/>
  <c r="HZ100" i="11"/>
  <c r="IA100" i="11"/>
  <c r="IB100" i="11"/>
  <c r="IC100" i="11"/>
  <c r="ID100" i="11"/>
  <c r="IE100" i="11"/>
  <c r="IF100" i="11"/>
  <c r="IG100" i="11"/>
  <c r="IH100" i="11"/>
  <c r="II100" i="11"/>
  <c r="IJ100" i="11"/>
  <c r="IK100" i="11"/>
  <c r="IL100" i="11"/>
  <c r="IM100" i="11"/>
  <c r="IN100" i="11"/>
  <c r="IO100" i="11"/>
  <c r="IP100" i="11"/>
  <c r="IQ100" i="11"/>
  <c r="IR100" i="11"/>
  <c r="IS100" i="11"/>
  <c r="IT100" i="11"/>
  <c r="IU100" i="11"/>
  <c r="IV100"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DR101" i="11"/>
  <c r="DS101"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HU101" i="11"/>
  <c r="HV101" i="11"/>
  <c r="HW101" i="11"/>
  <c r="HX101" i="11"/>
  <c r="HY101" i="11"/>
  <c r="HZ101" i="11"/>
  <c r="IA101" i="11"/>
  <c r="IB101" i="11"/>
  <c r="IC101" i="11"/>
  <c r="ID101" i="11"/>
  <c r="IE101" i="11"/>
  <c r="IF101" i="11"/>
  <c r="IG101" i="11"/>
  <c r="IH101" i="11"/>
  <c r="II101" i="11"/>
  <c r="IJ101" i="11"/>
  <c r="IK101" i="11"/>
  <c r="IL101" i="11"/>
  <c r="IM101" i="11"/>
  <c r="IN101" i="11"/>
  <c r="IO101" i="11"/>
  <c r="IP101" i="11"/>
  <c r="IQ101" i="11"/>
  <c r="IR101" i="11"/>
  <c r="IS101" i="11"/>
  <c r="IT101" i="11"/>
  <c r="IU101" i="11"/>
  <c r="IV101"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CC102" i="11"/>
  <c r="CD102" i="11"/>
  <c r="CE102" i="11"/>
  <c r="CF102" i="11"/>
  <c r="CG102" i="11"/>
  <c r="CH102" i="11"/>
  <c r="CI102" i="11"/>
  <c r="CJ102" i="11"/>
  <c r="CK102" i="11"/>
  <c r="CL102" i="11"/>
  <c r="CM102" i="11"/>
  <c r="CN102" i="11"/>
  <c r="CO102" i="11"/>
  <c r="CP102" i="11"/>
  <c r="CQ102" i="11"/>
  <c r="CR102" i="11"/>
  <c r="CS102" i="11"/>
  <c r="CT102" i="11"/>
  <c r="CU102" i="11"/>
  <c r="CV102" i="11"/>
  <c r="CW102" i="11"/>
  <c r="CX102" i="11"/>
  <c r="CY102" i="11"/>
  <c r="CZ102" i="11"/>
  <c r="DA102" i="11"/>
  <c r="DB102" i="11"/>
  <c r="DC102" i="11"/>
  <c r="DD102" i="11"/>
  <c r="DE102" i="11"/>
  <c r="DF102" i="11"/>
  <c r="DG102" i="11"/>
  <c r="DH102" i="11"/>
  <c r="DI102" i="11"/>
  <c r="DJ102" i="11"/>
  <c r="DK102" i="11"/>
  <c r="DL102" i="11"/>
  <c r="DM102" i="11"/>
  <c r="DN102" i="11"/>
  <c r="DO102" i="11"/>
  <c r="DP102" i="11"/>
  <c r="DQ102" i="11"/>
  <c r="DR102" i="11"/>
  <c r="DS102" i="11"/>
  <c r="DT102" i="11"/>
  <c r="DU102" i="11"/>
  <c r="DV102" i="11"/>
  <c r="DW102" i="11"/>
  <c r="DX102" i="11"/>
  <c r="DY102" i="11"/>
  <c r="DZ102" i="11"/>
  <c r="EA102" i="11"/>
  <c r="EB102" i="11"/>
  <c r="EC102" i="11"/>
  <c r="ED102" i="11"/>
  <c r="EE102" i="11"/>
  <c r="EF102" i="11"/>
  <c r="EG102" i="11"/>
  <c r="EH102" i="11"/>
  <c r="EI102" i="11"/>
  <c r="EJ102" i="11"/>
  <c r="EK102" i="11"/>
  <c r="EL102" i="11"/>
  <c r="EM102" i="11"/>
  <c r="EN102" i="11"/>
  <c r="EO102" i="11"/>
  <c r="EP102" i="11"/>
  <c r="EQ102" i="11"/>
  <c r="ER102" i="11"/>
  <c r="ES102" i="11"/>
  <c r="ET102" i="11"/>
  <c r="EU102" i="11"/>
  <c r="EV102" i="11"/>
  <c r="EW102" i="11"/>
  <c r="EX102" i="11"/>
  <c r="EY102" i="11"/>
  <c r="EZ102" i="11"/>
  <c r="FA102" i="11"/>
  <c r="FB102" i="11"/>
  <c r="FC102" i="11"/>
  <c r="FD102" i="11"/>
  <c r="FE102" i="11"/>
  <c r="FF102" i="11"/>
  <c r="FG102" i="11"/>
  <c r="FH102" i="11"/>
  <c r="FI102" i="11"/>
  <c r="FJ102" i="11"/>
  <c r="FK102" i="11"/>
  <c r="FL102" i="11"/>
  <c r="FM102" i="11"/>
  <c r="FN102" i="11"/>
  <c r="FO102" i="11"/>
  <c r="FP102" i="11"/>
  <c r="FQ102" i="11"/>
  <c r="FR102" i="11"/>
  <c r="FS102" i="11"/>
  <c r="FT102" i="11"/>
  <c r="FU102" i="11"/>
  <c r="FV102" i="11"/>
  <c r="FW102" i="11"/>
  <c r="FX102" i="11"/>
  <c r="FY102" i="11"/>
  <c r="FZ102" i="11"/>
  <c r="GA102" i="11"/>
  <c r="GB102" i="11"/>
  <c r="GC102" i="11"/>
  <c r="GD102" i="11"/>
  <c r="GE102" i="11"/>
  <c r="GF102" i="11"/>
  <c r="GG102" i="11"/>
  <c r="GH102" i="11"/>
  <c r="GI102" i="11"/>
  <c r="GJ102" i="11"/>
  <c r="GK102" i="11"/>
  <c r="GL102" i="11"/>
  <c r="GM102" i="11"/>
  <c r="GN102" i="11"/>
  <c r="GO102" i="11"/>
  <c r="GP102" i="11"/>
  <c r="GQ102" i="11"/>
  <c r="GR102" i="11"/>
  <c r="GS102" i="11"/>
  <c r="GT102" i="11"/>
  <c r="GU102" i="11"/>
  <c r="GV102" i="11"/>
  <c r="GW102" i="11"/>
  <c r="GX102" i="11"/>
  <c r="GY102" i="11"/>
  <c r="GZ102" i="11"/>
  <c r="HA102" i="11"/>
  <c r="HB102" i="11"/>
  <c r="HC102" i="11"/>
  <c r="HD102" i="11"/>
  <c r="HE102" i="11"/>
  <c r="HF102" i="11"/>
  <c r="HG102" i="11"/>
  <c r="HH102" i="11"/>
  <c r="HI102" i="11"/>
  <c r="HJ102" i="11"/>
  <c r="HK102" i="11"/>
  <c r="HL102" i="11"/>
  <c r="HM102" i="11"/>
  <c r="HN102" i="11"/>
  <c r="HO102" i="11"/>
  <c r="HP102" i="11"/>
  <c r="HQ102" i="11"/>
  <c r="HR102" i="11"/>
  <c r="HS102" i="11"/>
  <c r="HT102" i="11"/>
  <c r="HU102" i="11"/>
  <c r="HV102" i="11"/>
  <c r="HW102" i="11"/>
  <c r="HX102" i="11"/>
  <c r="HY102" i="11"/>
  <c r="HZ102" i="11"/>
  <c r="IA102" i="11"/>
  <c r="IB102" i="11"/>
  <c r="IC102" i="11"/>
  <c r="ID102" i="11"/>
  <c r="IE102" i="11"/>
  <c r="IF102" i="11"/>
  <c r="IG102" i="11"/>
  <c r="IH102" i="11"/>
  <c r="II102" i="11"/>
  <c r="IJ102" i="11"/>
  <c r="IK102" i="11"/>
  <c r="IL102" i="11"/>
  <c r="IM102" i="11"/>
  <c r="IN102" i="11"/>
  <c r="IO102" i="11"/>
  <c r="IP102" i="11"/>
  <c r="IQ102" i="11"/>
  <c r="IR102" i="11"/>
  <c r="IS102" i="11"/>
  <c r="IT102" i="11"/>
  <c r="IU102" i="11"/>
  <c r="IV102"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AM103" i="11"/>
  <c r="AN103" i="11"/>
  <c r="AO103" i="11"/>
  <c r="AP103" i="11"/>
  <c r="AQ103" i="11"/>
  <c r="AR103"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CC103" i="11"/>
  <c r="CD103" i="11"/>
  <c r="CE103" i="11"/>
  <c r="CF103"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DR103" i="11"/>
  <c r="DS103" i="11"/>
  <c r="DT103" i="11"/>
  <c r="DU103" i="11"/>
  <c r="DV103" i="11"/>
  <c r="DW103" i="11"/>
  <c r="DX103" i="11"/>
  <c r="DY103" i="11"/>
  <c r="DZ103" i="11"/>
  <c r="EA103" i="11"/>
  <c r="EB103" i="11"/>
  <c r="EC103" i="11"/>
  <c r="ED103" i="11"/>
  <c r="EE103" i="11"/>
  <c r="EF103" i="11"/>
  <c r="EG103" i="11"/>
  <c r="EH103" i="11"/>
  <c r="EI103" i="11"/>
  <c r="EJ103" i="11"/>
  <c r="EK103" i="11"/>
  <c r="EL103" i="11"/>
  <c r="EM103" i="11"/>
  <c r="EN103" i="11"/>
  <c r="EO103" i="11"/>
  <c r="EP103" i="11"/>
  <c r="EQ103" i="11"/>
  <c r="ER103" i="11"/>
  <c r="ES103" i="11"/>
  <c r="ET103" i="11"/>
  <c r="EU103" i="11"/>
  <c r="EV103" i="11"/>
  <c r="EW103" i="11"/>
  <c r="EX103" i="11"/>
  <c r="EY103" i="11"/>
  <c r="EZ103" i="11"/>
  <c r="FA103" i="11"/>
  <c r="FB103" i="11"/>
  <c r="FC103" i="11"/>
  <c r="FD103" i="11"/>
  <c r="FE103" i="11"/>
  <c r="FF103" i="11"/>
  <c r="FG103" i="11"/>
  <c r="FH103" i="11"/>
  <c r="FI103" i="11"/>
  <c r="FJ103" i="11"/>
  <c r="FK103" i="11"/>
  <c r="FL103" i="11"/>
  <c r="FM103" i="11"/>
  <c r="FN103" i="11"/>
  <c r="FO103" i="11"/>
  <c r="FP103" i="11"/>
  <c r="FQ103" i="11"/>
  <c r="FR103" i="11"/>
  <c r="FS103" i="11"/>
  <c r="FT103" i="11"/>
  <c r="FU103" i="11"/>
  <c r="FV103" i="11"/>
  <c r="FW103" i="11"/>
  <c r="FX103" i="11"/>
  <c r="FY103" i="11"/>
  <c r="FZ103" i="11"/>
  <c r="GA103" i="11"/>
  <c r="GB103" i="11"/>
  <c r="GC103" i="11"/>
  <c r="GD103" i="11"/>
  <c r="GE103" i="11"/>
  <c r="GF103" i="11"/>
  <c r="GG103" i="11"/>
  <c r="GH103" i="11"/>
  <c r="GI103" i="11"/>
  <c r="GJ103" i="11"/>
  <c r="GK103" i="11"/>
  <c r="GL103" i="11"/>
  <c r="GM103" i="11"/>
  <c r="GN103" i="11"/>
  <c r="GO103" i="11"/>
  <c r="GP103" i="11"/>
  <c r="GQ103" i="11"/>
  <c r="GR103" i="11"/>
  <c r="GS103" i="11"/>
  <c r="GT103" i="11"/>
  <c r="GU103" i="11"/>
  <c r="GV103" i="11"/>
  <c r="GW103" i="11"/>
  <c r="GX103" i="11"/>
  <c r="GY103" i="11"/>
  <c r="GZ103" i="11"/>
  <c r="HA103" i="11"/>
  <c r="HB103" i="11"/>
  <c r="HC103" i="11"/>
  <c r="HD103" i="11"/>
  <c r="HE103" i="11"/>
  <c r="HF103" i="11"/>
  <c r="HG103" i="11"/>
  <c r="HH103" i="11"/>
  <c r="HI103" i="11"/>
  <c r="HJ103" i="11"/>
  <c r="HK103" i="11"/>
  <c r="HL103" i="11"/>
  <c r="HM103" i="11"/>
  <c r="HN103" i="11"/>
  <c r="HO103" i="11"/>
  <c r="HP103" i="11"/>
  <c r="HQ103" i="11"/>
  <c r="HR103" i="11"/>
  <c r="HS103" i="11"/>
  <c r="HT103" i="11"/>
  <c r="HU103" i="11"/>
  <c r="HV103" i="11"/>
  <c r="HW103" i="11"/>
  <c r="HX103" i="11"/>
  <c r="HY103" i="11"/>
  <c r="HZ103" i="11"/>
  <c r="IA103" i="11"/>
  <c r="IB103" i="11"/>
  <c r="IC103" i="11"/>
  <c r="ID103" i="11"/>
  <c r="IE103" i="11"/>
  <c r="IF103" i="11"/>
  <c r="IG103" i="11"/>
  <c r="IH103" i="11"/>
  <c r="II103" i="11"/>
  <c r="IJ103" i="11"/>
  <c r="IK103" i="11"/>
  <c r="IL103" i="11"/>
  <c r="IM103" i="11"/>
  <c r="IN103" i="11"/>
  <c r="IO103" i="11"/>
  <c r="IP103" i="11"/>
  <c r="IQ103" i="11"/>
  <c r="IR103" i="11"/>
  <c r="IS103" i="11"/>
  <c r="IT103" i="11"/>
  <c r="IU103" i="11"/>
  <c r="IV103"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CC104" i="11"/>
  <c r="CD104" i="11"/>
  <c r="CE104" i="11"/>
  <c r="CF104"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EK104" i="11"/>
  <c r="EL104" i="11"/>
  <c r="EM104" i="11"/>
  <c r="EN104" i="11"/>
  <c r="EO104" i="11"/>
  <c r="EP104" i="11"/>
  <c r="EQ104" i="11"/>
  <c r="ER104" i="11"/>
  <c r="ES104" i="11"/>
  <c r="ET104" i="11"/>
  <c r="EU104" i="11"/>
  <c r="EV104" i="11"/>
  <c r="EW104" i="11"/>
  <c r="EX104" i="11"/>
  <c r="EY104" i="11"/>
  <c r="EZ104" i="11"/>
  <c r="FA104" i="11"/>
  <c r="FB104" i="11"/>
  <c r="FC104" i="11"/>
  <c r="FD104" i="11"/>
  <c r="FE104" i="11"/>
  <c r="FF104" i="11"/>
  <c r="FG104" i="11"/>
  <c r="FH104" i="11"/>
  <c r="FI104" i="11"/>
  <c r="FJ104" i="11"/>
  <c r="FK104" i="11"/>
  <c r="FL104" i="11"/>
  <c r="FM104" i="11"/>
  <c r="FN104" i="11"/>
  <c r="FO104" i="11"/>
  <c r="FP104" i="11"/>
  <c r="FQ104" i="11"/>
  <c r="FR104" i="11"/>
  <c r="FS104" i="11"/>
  <c r="FT104" i="11"/>
  <c r="FU104" i="11"/>
  <c r="FV104" i="11"/>
  <c r="FW104" i="11"/>
  <c r="FX104" i="11"/>
  <c r="FY104" i="11"/>
  <c r="FZ104" i="11"/>
  <c r="GA104" i="11"/>
  <c r="GB104" i="11"/>
  <c r="GC104" i="11"/>
  <c r="GD104" i="11"/>
  <c r="GE104" i="11"/>
  <c r="GF104" i="11"/>
  <c r="GG104" i="11"/>
  <c r="GH104" i="11"/>
  <c r="GI104" i="11"/>
  <c r="GJ104" i="11"/>
  <c r="GK104" i="11"/>
  <c r="GL104" i="11"/>
  <c r="GM104" i="11"/>
  <c r="GN104" i="11"/>
  <c r="GO104" i="11"/>
  <c r="GP104" i="11"/>
  <c r="GQ104" i="11"/>
  <c r="GR104" i="11"/>
  <c r="GS104" i="11"/>
  <c r="GT104" i="11"/>
  <c r="GU104" i="11"/>
  <c r="GV104" i="11"/>
  <c r="GW104" i="11"/>
  <c r="GX104" i="11"/>
  <c r="GY104" i="11"/>
  <c r="GZ104" i="11"/>
  <c r="HA104" i="11"/>
  <c r="HB104" i="11"/>
  <c r="HC104" i="11"/>
  <c r="HD104" i="11"/>
  <c r="HE104" i="11"/>
  <c r="HF104" i="11"/>
  <c r="HG104" i="11"/>
  <c r="HH104" i="11"/>
  <c r="HI104" i="11"/>
  <c r="HJ104" i="11"/>
  <c r="HK104" i="11"/>
  <c r="HL104" i="11"/>
  <c r="HM104" i="11"/>
  <c r="HN104" i="11"/>
  <c r="HO104" i="11"/>
  <c r="HP104" i="11"/>
  <c r="HQ104" i="11"/>
  <c r="HR104" i="11"/>
  <c r="HS104" i="11"/>
  <c r="HT104" i="11"/>
  <c r="HU104" i="11"/>
  <c r="HV104" i="11"/>
  <c r="HW104" i="11"/>
  <c r="HX104" i="11"/>
  <c r="HY104" i="11"/>
  <c r="HZ104" i="11"/>
  <c r="IA104" i="11"/>
  <c r="IB104" i="11"/>
  <c r="IC104" i="11"/>
  <c r="ID104" i="11"/>
  <c r="IE104" i="11"/>
  <c r="IF104" i="11"/>
  <c r="IG104" i="11"/>
  <c r="IH104" i="11"/>
  <c r="II104" i="11"/>
  <c r="IJ104" i="11"/>
  <c r="IK104" i="11"/>
  <c r="IL104" i="11"/>
  <c r="IM104" i="11"/>
  <c r="IN104" i="11"/>
  <c r="IO104" i="11"/>
  <c r="IP104" i="11"/>
  <c r="IQ104" i="11"/>
  <c r="IR104" i="11"/>
  <c r="IS104" i="11"/>
  <c r="IT104" i="11"/>
  <c r="IU104" i="11"/>
  <c r="IV104"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FB105" i="11"/>
  <c r="FC105" i="11"/>
  <c r="FD105" i="11"/>
  <c r="FE105" i="11"/>
  <c r="FF105" i="11"/>
  <c r="FG105" i="11"/>
  <c r="FH105" i="11"/>
  <c r="FI105" i="11"/>
  <c r="FJ105" i="11"/>
  <c r="FK105" i="11"/>
  <c r="FL105" i="11"/>
  <c r="FM105" i="11"/>
  <c r="FN105" i="11"/>
  <c r="FO105" i="11"/>
  <c r="FP105" i="11"/>
  <c r="FQ105" i="11"/>
  <c r="FR105" i="11"/>
  <c r="FS105" i="11"/>
  <c r="FT105" i="11"/>
  <c r="FU105" i="11"/>
  <c r="FV105" i="11"/>
  <c r="FW105" i="11"/>
  <c r="FX105" i="11"/>
  <c r="FY105" i="11"/>
  <c r="FZ105" i="11"/>
  <c r="GA105" i="11"/>
  <c r="GB105" i="11"/>
  <c r="GC105" i="11"/>
  <c r="GD105" i="11"/>
  <c r="GE105" i="11"/>
  <c r="GF105" i="11"/>
  <c r="GG105" i="11"/>
  <c r="GH105" i="11"/>
  <c r="GI105" i="11"/>
  <c r="GJ105" i="11"/>
  <c r="GK105" i="11"/>
  <c r="GL105" i="11"/>
  <c r="GM105" i="11"/>
  <c r="GN105" i="11"/>
  <c r="GO105" i="11"/>
  <c r="GP105" i="11"/>
  <c r="GQ105" i="11"/>
  <c r="GR105" i="11"/>
  <c r="GS105" i="11"/>
  <c r="GT105" i="11"/>
  <c r="GU105" i="11"/>
  <c r="GV105" i="11"/>
  <c r="GW105" i="11"/>
  <c r="GX105" i="11"/>
  <c r="GY105" i="11"/>
  <c r="GZ105" i="11"/>
  <c r="HA105" i="11"/>
  <c r="HB105" i="11"/>
  <c r="HC105" i="11"/>
  <c r="HD105" i="11"/>
  <c r="HE105" i="11"/>
  <c r="HF105" i="11"/>
  <c r="HG105" i="11"/>
  <c r="HH105" i="11"/>
  <c r="HI105" i="11"/>
  <c r="HJ105" i="11"/>
  <c r="HK105" i="11"/>
  <c r="HL105" i="11"/>
  <c r="HM105" i="11"/>
  <c r="HN105" i="11"/>
  <c r="HO105" i="11"/>
  <c r="HP105" i="11"/>
  <c r="HQ105" i="11"/>
  <c r="HR105" i="11"/>
  <c r="HS105" i="11"/>
  <c r="HT105" i="11"/>
  <c r="HU105" i="11"/>
  <c r="HV105" i="11"/>
  <c r="HW105" i="11"/>
  <c r="HX105" i="11"/>
  <c r="HY105" i="11"/>
  <c r="HZ105" i="11"/>
  <c r="IA105" i="11"/>
  <c r="IB105" i="11"/>
  <c r="IC105" i="11"/>
  <c r="ID105" i="11"/>
  <c r="IE105" i="11"/>
  <c r="IF105" i="11"/>
  <c r="IG105" i="11"/>
  <c r="IH105" i="11"/>
  <c r="II105" i="11"/>
  <c r="IJ105" i="11"/>
  <c r="IK105" i="11"/>
  <c r="IL105" i="11"/>
  <c r="IM105" i="11"/>
  <c r="IN105" i="11"/>
  <c r="IO105" i="11"/>
  <c r="IP105" i="11"/>
  <c r="IQ105" i="11"/>
  <c r="IR105" i="11"/>
  <c r="IS105" i="11"/>
  <c r="IT105" i="11"/>
  <c r="IU105" i="11"/>
  <c r="IV105"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AM106" i="11"/>
  <c r="AN106" i="11"/>
  <c r="AO106" i="11"/>
  <c r="AP106" i="11"/>
  <c r="AQ106" i="11"/>
  <c r="AR106"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CC106" i="11"/>
  <c r="CD106" i="11"/>
  <c r="CE106" i="11"/>
  <c r="CF106" i="11"/>
  <c r="CG106" i="11"/>
  <c r="CH106" i="11"/>
  <c r="CI106" i="11"/>
  <c r="CJ106" i="11"/>
  <c r="CK106" i="11"/>
  <c r="CL106" i="11"/>
  <c r="CM106" i="11"/>
  <c r="CN106" i="11"/>
  <c r="CO106" i="11"/>
  <c r="CP106" i="11"/>
  <c r="CQ106" i="11"/>
  <c r="CR106" i="11"/>
  <c r="CS106" i="11"/>
  <c r="CT106" i="11"/>
  <c r="CU106" i="11"/>
  <c r="CV106" i="11"/>
  <c r="CW106" i="11"/>
  <c r="CX106" i="11"/>
  <c r="CY106" i="11"/>
  <c r="CZ106" i="11"/>
  <c r="DA106" i="11"/>
  <c r="DB106" i="11"/>
  <c r="DC106" i="11"/>
  <c r="DD106" i="11"/>
  <c r="DE106" i="11"/>
  <c r="DF106" i="11"/>
  <c r="DG106" i="11"/>
  <c r="DH106" i="11"/>
  <c r="DI106" i="11"/>
  <c r="DJ106" i="11"/>
  <c r="DK106" i="11"/>
  <c r="DL106" i="11"/>
  <c r="DM106" i="11"/>
  <c r="DN106" i="11"/>
  <c r="DO106" i="11"/>
  <c r="DP106" i="11"/>
  <c r="DQ106" i="11"/>
  <c r="DR106" i="11"/>
  <c r="DS106" i="11"/>
  <c r="DT106" i="11"/>
  <c r="DU106" i="11"/>
  <c r="DV106" i="11"/>
  <c r="DW106" i="11"/>
  <c r="DX106" i="11"/>
  <c r="DY106" i="11"/>
  <c r="DZ106" i="11"/>
  <c r="EA106" i="11"/>
  <c r="EB106" i="11"/>
  <c r="EC106" i="11"/>
  <c r="ED106" i="11"/>
  <c r="EE106" i="11"/>
  <c r="EF106" i="11"/>
  <c r="EG106" i="11"/>
  <c r="EH106" i="11"/>
  <c r="EI106" i="11"/>
  <c r="EJ106" i="11"/>
  <c r="EK106" i="11"/>
  <c r="EL106" i="11"/>
  <c r="EM106" i="11"/>
  <c r="EN106" i="11"/>
  <c r="EO106" i="11"/>
  <c r="EP106" i="11"/>
  <c r="EQ106" i="11"/>
  <c r="ER106" i="11"/>
  <c r="ES106" i="11"/>
  <c r="ET106" i="11"/>
  <c r="EU106" i="11"/>
  <c r="EV106" i="11"/>
  <c r="EW106" i="11"/>
  <c r="EX106" i="11"/>
  <c r="EY106" i="11"/>
  <c r="EZ106" i="11"/>
  <c r="FA106" i="11"/>
  <c r="FB106" i="11"/>
  <c r="FC106" i="11"/>
  <c r="FD106" i="11"/>
  <c r="FE106" i="11"/>
  <c r="FF106" i="11"/>
  <c r="FG106" i="11"/>
  <c r="FH106" i="11"/>
  <c r="FI106" i="11"/>
  <c r="FJ106" i="11"/>
  <c r="FK106" i="11"/>
  <c r="FL106" i="11"/>
  <c r="FM106" i="11"/>
  <c r="FN106" i="11"/>
  <c r="FO106" i="11"/>
  <c r="FP106" i="11"/>
  <c r="FQ106" i="11"/>
  <c r="FR106" i="11"/>
  <c r="FS106" i="11"/>
  <c r="FT106" i="11"/>
  <c r="FU106" i="11"/>
  <c r="FV106" i="11"/>
  <c r="FW106" i="11"/>
  <c r="FX106" i="11"/>
  <c r="FY106" i="11"/>
  <c r="FZ106" i="11"/>
  <c r="GA106" i="11"/>
  <c r="GB106" i="11"/>
  <c r="GC106" i="11"/>
  <c r="GD106" i="11"/>
  <c r="GE106" i="11"/>
  <c r="GF106" i="11"/>
  <c r="GG106" i="11"/>
  <c r="GH106" i="11"/>
  <c r="GI106" i="11"/>
  <c r="GJ106" i="11"/>
  <c r="GK106" i="11"/>
  <c r="GL106" i="11"/>
  <c r="GM106" i="11"/>
  <c r="GN106" i="11"/>
  <c r="GO106" i="11"/>
  <c r="GP106" i="11"/>
  <c r="GQ106" i="11"/>
  <c r="GR106" i="11"/>
  <c r="GS106" i="11"/>
  <c r="GT106" i="11"/>
  <c r="GU106" i="11"/>
  <c r="GV106" i="11"/>
  <c r="GW106" i="11"/>
  <c r="GX106" i="11"/>
  <c r="GY106" i="11"/>
  <c r="GZ106" i="11"/>
  <c r="HA106" i="11"/>
  <c r="HB106" i="11"/>
  <c r="HC106" i="11"/>
  <c r="HD106" i="11"/>
  <c r="HE106" i="11"/>
  <c r="HF106" i="11"/>
  <c r="HG106" i="11"/>
  <c r="HH106" i="11"/>
  <c r="HI106" i="11"/>
  <c r="HJ106" i="11"/>
  <c r="HK106" i="11"/>
  <c r="HL106" i="11"/>
  <c r="HM106" i="11"/>
  <c r="HN106" i="11"/>
  <c r="HO106" i="11"/>
  <c r="HP106" i="11"/>
  <c r="HQ106" i="11"/>
  <c r="HR106" i="11"/>
  <c r="HS106" i="11"/>
  <c r="HT106" i="11"/>
  <c r="HU106" i="11"/>
  <c r="HV106" i="11"/>
  <c r="HW106" i="11"/>
  <c r="HX106" i="11"/>
  <c r="HY106" i="11"/>
  <c r="HZ106" i="11"/>
  <c r="IA106" i="11"/>
  <c r="IB106" i="11"/>
  <c r="IC106" i="11"/>
  <c r="ID106" i="11"/>
  <c r="IE106" i="11"/>
  <c r="IF106" i="11"/>
  <c r="IG106" i="11"/>
  <c r="IH106" i="11"/>
  <c r="II106" i="11"/>
  <c r="IJ106" i="11"/>
  <c r="IK106" i="11"/>
  <c r="IL106" i="11"/>
  <c r="IM106" i="11"/>
  <c r="IN106" i="11"/>
  <c r="IO106" i="11"/>
  <c r="IP106" i="11"/>
  <c r="IQ106" i="11"/>
  <c r="IR106" i="11"/>
  <c r="IS106" i="11"/>
  <c r="IT106" i="11"/>
  <c r="IU106" i="11"/>
  <c r="IV106"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AI107" i="11"/>
  <c r="AJ107" i="11"/>
  <c r="AK107" i="11"/>
  <c r="AL107" i="11"/>
  <c r="AM107" i="11"/>
  <c r="AN107" i="11"/>
  <c r="AO107" i="11"/>
  <c r="AP107" i="11"/>
  <c r="AQ107" i="11"/>
  <c r="AR107"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CC107" i="11"/>
  <c r="CD107" i="11"/>
  <c r="CE107" i="11"/>
  <c r="CF107" i="11"/>
  <c r="CG107" i="11"/>
  <c r="CH107" i="11"/>
  <c r="CI107" i="11"/>
  <c r="CJ107" i="11"/>
  <c r="CK107" i="11"/>
  <c r="CL107" i="11"/>
  <c r="CM107" i="11"/>
  <c r="CN107" i="11"/>
  <c r="CO107" i="11"/>
  <c r="CP107" i="11"/>
  <c r="CQ107" i="11"/>
  <c r="CR107" i="11"/>
  <c r="CS107" i="11"/>
  <c r="CT107" i="11"/>
  <c r="CU107" i="11"/>
  <c r="CV107" i="11"/>
  <c r="CW107" i="11"/>
  <c r="CX107" i="11"/>
  <c r="CY107" i="11"/>
  <c r="CZ107" i="11"/>
  <c r="DA107" i="11"/>
  <c r="DB107" i="11"/>
  <c r="DC107" i="11"/>
  <c r="DD107" i="11"/>
  <c r="DE107" i="11"/>
  <c r="DF107" i="11"/>
  <c r="DG107" i="11"/>
  <c r="DH107" i="11"/>
  <c r="DI107" i="11"/>
  <c r="DJ107" i="11"/>
  <c r="DK107" i="11"/>
  <c r="DL107" i="11"/>
  <c r="DM107" i="11"/>
  <c r="DN107" i="11"/>
  <c r="DO107" i="11"/>
  <c r="DP107" i="11"/>
  <c r="DQ107" i="11"/>
  <c r="DR107" i="11"/>
  <c r="DS107" i="11"/>
  <c r="DT107" i="11"/>
  <c r="DU107" i="11"/>
  <c r="DV107" i="11"/>
  <c r="DW107" i="11"/>
  <c r="DX107" i="11"/>
  <c r="DY107" i="11"/>
  <c r="DZ107" i="11"/>
  <c r="EA107" i="11"/>
  <c r="EB107" i="11"/>
  <c r="EC107" i="11"/>
  <c r="ED107" i="11"/>
  <c r="EE107" i="11"/>
  <c r="EF107" i="11"/>
  <c r="EG107" i="11"/>
  <c r="EH107" i="11"/>
  <c r="EI107" i="11"/>
  <c r="EJ107" i="11"/>
  <c r="EK107" i="11"/>
  <c r="EL107" i="11"/>
  <c r="EM107" i="11"/>
  <c r="EN107" i="11"/>
  <c r="EO107" i="11"/>
  <c r="EP107" i="11"/>
  <c r="EQ107" i="11"/>
  <c r="ER107" i="11"/>
  <c r="ES107" i="11"/>
  <c r="ET107" i="11"/>
  <c r="EU107" i="11"/>
  <c r="EV107" i="11"/>
  <c r="EW107" i="11"/>
  <c r="EX107" i="11"/>
  <c r="EY107" i="11"/>
  <c r="EZ107" i="11"/>
  <c r="FA107" i="11"/>
  <c r="FB107" i="11"/>
  <c r="FC107" i="11"/>
  <c r="FD107" i="11"/>
  <c r="FE107" i="11"/>
  <c r="FF107" i="11"/>
  <c r="FG107" i="11"/>
  <c r="FH107" i="11"/>
  <c r="FI107" i="11"/>
  <c r="FJ107" i="11"/>
  <c r="FK107" i="11"/>
  <c r="FL107" i="11"/>
  <c r="FM107" i="11"/>
  <c r="FN107" i="11"/>
  <c r="FO107" i="11"/>
  <c r="FP107" i="11"/>
  <c r="FQ107" i="11"/>
  <c r="FR107" i="11"/>
  <c r="FS107" i="11"/>
  <c r="FT107" i="11"/>
  <c r="FU107" i="11"/>
  <c r="FV107" i="11"/>
  <c r="FW107" i="11"/>
  <c r="FX107" i="11"/>
  <c r="FY107" i="11"/>
  <c r="FZ107" i="11"/>
  <c r="GA107" i="11"/>
  <c r="GB107" i="11"/>
  <c r="GC107" i="11"/>
  <c r="GD107" i="11"/>
  <c r="GE107" i="11"/>
  <c r="GF107" i="11"/>
  <c r="GG107" i="11"/>
  <c r="GH107" i="11"/>
  <c r="GI107" i="11"/>
  <c r="GJ107" i="11"/>
  <c r="GK107" i="11"/>
  <c r="GL107" i="11"/>
  <c r="GM107" i="11"/>
  <c r="GN107" i="11"/>
  <c r="GO107" i="11"/>
  <c r="GP107" i="11"/>
  <c r="GQ107" i="11"/>
  <c r="GR107" i="11"/>
  <c r="GS107" i="11"/>
  <c r="GT107" i="11"/>
  <c r="GU107" i="11"/>
  <c r="GV107" i="11"/>
  <c r="GW107" i="11"/>
  <c r="GX107" i="11"/>
  <c r="GY107" i="11"/>
  <c r="GZ107" i="11"/>
  <c r="HA107" i="11"/>
  <c r="HB107" i="11"/>
  <c r="HC107" i="11"/>
  <c r="HD107" i="11"/>
  <c r="HE107" i="11"/>
  <c r="HF107" i="11"/>
  <c r="HG107" i="11"/>
  <c r="HH107" i="11"/>
  <c r="HI107" i="11"/>
  <c r="HJ107" i="11"/>
  <c r="HK107" i="11"/>
  <c r="HL107" i="11"/>
  <c r="HM107" i="11"/>
  <c r="HN107" i="11"/>
  <c r="HO107" i="11"/>
  <c r="HP107" i="11"/>
  <c r="HQ107" i="11"/>
  <c r="HR107" i="11"/>
  <c r="HS107" i="11"/>
  <c r="HT107" i="11"/>
  <c r="HU107" i="11"/>
  <c r="HV107" i="11"/>
  <c r="HW107" i="11"/>
  <c r="HX107" i="11"/>
  <c r="HY107" i="11"/>
  <c r="HZ107" i="11"/>
  <c r="IA107" i="11"/>
  <c r="IB107" i="11"/>
  <c r="IC107" i="11"/>
  <c r="ID107" i="11"/>
  <c r="IE107" i="11"/>
  <c r="IF107" i="11"/>
  <c r="IG107" i="11"/>
  <c r="IH107" i="11"/>
  <c r="II107" i="11"/>
  <c r="IJ107" i="11"/>
  <c r="IK107" i="11"/>
  <c r="IL107" i="11"/>
  <c r="IM107" i="11"/>
  <c r="IN107" i="11"/>
  <c r="IO107" i="11"/>
  <c r="IP107" i="11"/>
  <c r="IQ107" i="11"/>
  <c r="IR107" i="11"/>
  <c r="IS107" i="11"/>
  <c r="IT107" i="11"/>
  <c r="IU107" i="11"/>
  <c r="IV107"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CL10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FI108" i="11"/>
  <c r="FJ108" i="11"/>
  <c r="FK108" i="11"/>
  <c r="FL108" i="11"/>
  <c r="FM108" i="11"/>
  <c r="FN108" i="11"/>
  <c r="FO108" i="11"/>
  <c r="FP108" i="11"/>
  <c r="FQ108" i="11"/>
  <c r="FR108" i="11"/>
  <c r="FS108" i="11"/>
  <c r="FT108" i="11"/>
  <c r="FU108" i="11"/>
  <c r="FV108" i="11"/>
  <c r="FW108" i="11"/>
  <c r="FX108" i="11"/>
  <c r="FY108" i="11"/>
  <c r="FZ108" i="11"/>
  <c r="GA108" i="11"/>
  <c r="GB108" i="11"/>
  <c r="GC108" i="11"/>
  <c r="GD108" i="11"/>
  <c r="GE108" i="11"/>
  <c r="GF108" i="11"/>
  <c r="GG108" i="11"/>
  <c r="GH108" i="11"/>
  <c r="GI108" i="11"/>
  <c r="GJ108" i="11"/>
  <c r="GK108" i="11"/>
  <c r="GL108" i="11"/>
  <c r="GM10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IE108" i="11"/>
  <c r="IF108" i="11"/>
  <c r="IG108" i="11"/>
  <c r="IH108" i="11"/>
  <c r="II108" i="11"/>
  <c r="IJ108" i="11"/>
  <c r="IK108" i="11"/>
  <c r="IL108" i="11"/>
  <c r="IM108" i="11"/>
  <c r="IN108" i="11"/>
  <c r="IO108" i="11"/>
  <c r="IP108" i="11"/>
  <c r="IQ108" i="11"/>
  <c r="IR108" i="11"/>
  <c r="IS108" i="11"/>
  <c r="IT108" i="11"/>
  <c r="IU108" i="11"/>
  <c r="IV108"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CC110" i="11"/>
  <c r="CD110" i="11"/>
  <c r="CE110" i="11"/>
  <c r="CF110" i="11"/>
  <c r="CG110" i="11"/>
  <c r="CH110" i="11"/>
  <c r="CI110" i="11"/>
  <c r="CJ110" i="11"/>
  <c r="CK110" i="11"/>
  <c r="CL110" i="11"/>
  <c r="CM110" i="11"/>
  <c r="CN110" i="11"/>
  <c r="CO110" i="11"/>
  <c r="CP110" i="11"/>
  <c r="CQ110" i="11"/>
  <c r="CR110" i="11"/>
  <c r="CS110" i="11"/>
  <c r="CT110" i="11"/>
  <c r="CU110" i="11"/>
  <c r="CV110" i="11"/>
  <c r="CW110" i="11"/>
  <c r="CX110" i="11"/>
  <c r="CY110" i="11"/>
  <c r="CZ110" i="11"/>
  <c r="DA110" i="11"/>
  <c r="DB110" i="11"/>
  <c r="DC110" i="11"/>
  <c r="DD110" i="11"/>
  <c r="DE110" i="11"/>
  <c r="DF110" i="11"/>
  <c r="DG110" i="11"/>
  <c r="DH110" i="11"/>
  <c r="DI110" i="11"/>
  <c r="DJ110" i="11"/>
  <c r="DK110" i="11"/>
  <c r="DL110" i="11"/>
  <c r="DM110" i="11"/>
  <c r="DN110" i="11"/>
  <c r="DO110" i="11"/>
  <c r="DP110" i="11"/>
  <c r="DQ110" i="11"/>
  <c r="DR110" i="11"/>
  <c r="DS110" i="11"/>
  <c r="DT110" i="11"/>
  <c r="DU110" i="11"/>
  <c r="DV110" i="11"/>
  <c r="DW110" i="11"/>
  <c r="DX110" i="11"/>
  <c r="DY110" i="11"/>
  <c r="DZ110" i="11"/>
  <c r="EA110" i="11"/>
  <c r="EB110" i="11"/>
  <c r="EC110" i="11"/>
  <c r="ED110" i="11"/>
  <c r="EE110" i="11"/>
  <c r="EF110" i="11"/>
  <c r="EG110" i="11"/>
  <c r="EH110" i="11"/>
  <c r="EI110" i="11"/>
  <c r="EJ110" i="11"/>
  <c r="EK110" i="11"/>
  <c r="EL110" i="11"/>
  <c r="EM110" i="11"/>
  <c r="EN110" i="11"/>
  <c r="EO110" i="11"/>
  <c r="EP110" i="11"/>
  <c r="EQ110" i="11"/>
  <c r="ER110" i="11"/>
  <c r="ES110" i="11"/>
  <c r="ET110" i="11"/>
  <c r="EU110" i="11"/>
  <c r="EV110" i="11"/>
  <c r="EW110" i="11"/>
  <c r="EX110" i="11"/>
  <c r="EY110" i="11"/>
  <c r="EZ110" i="11"/>
  <c r="FA110" i="11"/>
  <c r="FB110" i="11"/>
  <c r="FC110" i="11"/>
  <c r="FD110" i="11"/>
  <c r="FE110" i="11"/>
  <c r="FF110" i="11"/>
  <c r="FG110" i="11"/>
  <c r="FH110" i="11"/>
  <c r="FI110" i="11"/>
  <c r="FJ110" i="11"/>
  <c r="FK110" i="11"/>
  <c r="FL110" i="11"/>
  <c r="FM110" i="11"/>
  <c r="FN110" i="11"/>
  <c r="FO110" i="11"/>
  <c r="FP110" i="11"/>
  <c r="FQ110" i="11"/>
  <c r="FR110" i="11"/>
  <c r="FS110" i="11"/>
  <c r="FT110" i="11"/>
  <c r="FU110" i="11"/>
  <c r="FV110" i="11"/>
  <c r="FW110" i="11"/>
  <c r="FX110" i="11"/>
  <c r="FY110" i="11"/>
  <c r="FZ110" i="11"/>
  <c r="GA110" i="11"/>
  <c r="GB110" i="11"/>
  <c r="GC110" i="11"/>
  <c r="GD110" i="11"/>
  <c r="GE110" i="11"/>
  <c r="GF110" i="11"/>
  <c r="GG110" i="11"/>
  <c r="GH110" i="11"/>
  <c r="GI110" i="11"/>
  <c r="GJ110" i="11"/>
  <c r="GK110" i="11"/>
  <c r="GL110" i="11"/>
  <c r="GM110" i="11"/>
  <c r="GN110" i="11"/>
  <c r="GO110" i="11"/>
  <c r="GP110" i="11"/>
  <c r="GQ110" i="11"/>
  <c r="GR110" i="11"/>
  <c r="GS110" i="11"/>
  <c r="GT110" i="11"/>
  <c r="GU110" i="11"/>
  <c r="GV110" i="11"/>
  <c r="GW110" i="11"/>
  <c r="GX110" i="11"/>
  <c r="GY110" i="11"/>
  <c r="GZ110" i="11"/>
  <c r="HA110" i="11"/>
  <c r="HB110" i="11"/>
  <c r="HC110" i="11"/>
  <c r="HD110" i="11"/>
  <c r="HE110" i="11"/>
  <c r="HF110" i="11"/>
  <c r="HG110" i="11"/>
  <c r="HH110" i="11"/>
  <c r="HI110" i="11"/>
  <c r="HJ110" i="11"/>
  <c r="HK110" i="11"/>
  <c r="HL110" i="11"/>
  <c r="HM110" i="11"/>
  <c r="HN110" i="11"/>
  <c r="HO110" i="11"/>
  <c r="HP110" i="11"/>
  <c r="HQ110" i="11"/>
  <c r="HR110" i="11"/>
  <c r="HS110" i="11"/>
  <c r="HT110" i="11"/>
  <c r="HU110" i="11"/>
  <c r="HV110" i="11"/>
  <c r="HW110" i="11"/>
  <c r="HX110" i="11"/>
  <c r="HY110" i="11"/>
  <c r="HZ110" i="11"/>
  <c r="IA110" i="11"/>
  <c r="IB110" i="11"/>
  <c r="IC110" i="11"/>
  <c r="ID110" i="11"/>
  <c r="IE110" i="11"/>
  <c r="IF110" i="11"/>
  <c r="IG110" i="11"/>
  <c r="IH110" i="11"/>
  <c r="II110" i="11"/>
  <c r="IJ110" i="11"/>
  <c r="IK110" i="11"/>
  <c r="IL110" i="11"/>
  <c r="IM110" i="11"/>
  <c r="IN110" i="11"/>
  <c r="IO110" i="11"/>
  <c r="IP110" i="11"/>
  <c r="IQ110" i="11"/>
  <c r="IR110" i="11"/>
  <c r="IS110" i="11"/>
  <c r="IT110" i="11"/>
  <c r="IU110" i="11"/>
  <c r="IV110" i="11"/>
  <c r="F111" i="11"/>
  <c r="G111" i="11"/>
  <c r="H111" i="11"/>
  <c r="I111" i="11"/>
  <c r="J111" i="11"/>
  <c r="K111" i="11"/>
  <c r="L111" i="11"/>
  <c r="M111" i="11"/>
  <c r="N111" i="11"/>
  <c r="O111"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DR111" i="11"/>
  <c r="DS111"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HU111" i="11"/>
  <c r="HV111" i="11"/>
  <c r="HW111" i="11"/>
  <c r="HX111" i="11"/>
  <c r="HY111" i="11"/>
  <c r="HZ111" i="11"/>
  <c r="IA111" i="11"/>
  <c r="IB111" i="11"/>
  <c r="IC111" i="11"/>
  <c r="ID111" i="11"/>
  <c r="IE111" i="11"/>
  <c r="IF111" i="11"/>
  <c r="IG111" i="11"/>
  <c r="IH111" i="11"/>
  <c r="II111" i="11"/>
  <c r="IJ111" i="11"/>
  <c r="IK111" i="11"/>
  <c r="IL111" i="11"/>
  <c r="IM111" i="11"/>
  <c r="IN111" i="11"/>
  <c r="IO111" i="11"/>
  <c r="IP111" i="11"/>
  <c r="IQ111" i="11"/>
  <c r="IR111" i="11"/>
  <c r="IS111" i="11"/>
  <c r="IT111" i="11"/>
  <c r="IU111" i="11"/>
  <c r="IV111"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DR112" i="11"/>
  <c r="DS112"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HU112" i="11"/>
  <c r="HV112" i="11"/>
  <c r="HW112" i="11"/>
  <c r="HX112" i="11"/>
  <c r="HY112" i="11"/>
  <c r="HZ112" i="11"/>
  <c r="IA112" i="11"/>
  <c r="IB112" i="11"/>
  <c r="IC112" i="11"/>
  <c r="ID112" i="11"/>
  <c r="IE112" i="11"/>
  <c r="IF112" i="11"/>
  <c r="IG112" i="11"/>
  <c r="IH112" i="11"/>
  <c r="II112" i="11"/>
  <c r="IJ112" i="11"/>
  <c r="IK112" i="11"/>
  <c r="IL112" i="11"/>
  <c r="IM112" i="11"/>
  <c r="IN112" i="11"/>
  <c r="IO112" i="11"/>
  <c r="IP112" i="11"/>
  <c r="IQ112" i="11"/>
  <c r="IR112" i="11"/>
  <c r="IS112" i="11"/>
  <c r="IT112" i="11"/>
  <c r="IU112" i="11"/>
  <c r="IV112" i="11"/>
  <c r="F113" i="11"/>
  <c r="G113" i="11"/>
  <c r="H113" i="11"/>
  <c r="I113" i="11"/>
  <c r="J113" i="11"/>
  <c r="K113" i="11"/>
  <c r="L113" i="11"/>
  <c r="M113" i="11"/>
  <c r="N113" i="11"/>
  <c r="O113"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DR113" i="11"/>
  <c r="DS113"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FB113" i="11"/>
  <c r="FC113" i="11"/>
  <c r="FD113" i="11"/>
  <c r="FE113" i="11"/>
  <c r="FF113" i="11"/>
  <c r="FG113" i="11"/>
  <c r="FH113" i="11"/>
  <c r="FI113" i="11"/>
  <c r="FJ113" i="11"/>
  <c r="FK113" i="11"/>
  <c r="FL113" i="11"/>
  <c r="FM113" i="11"/>
  <c r="FN113" i="11"/>
  <c r="FO113" i="11"/>
  <c r="FP113" i="11"/>
  <c r="FQ113" i="11"/>
  <c r="FR113" i="11"/>
  <c r="FS113" i="11"/>
  <c r="FT113" i="11"/>
  <c r="FU113" i="11"/>
  <c r="FV113" i="11"/>
  <c r="FW113" i="11"/>
  <c r="FX113" i="11"/>
  <c r="FY113" i="11"/>
  <c r="FZ113" i="11"/>
  <c r="GA113" i="11"/>
  <c r="GB113" i="11"/>
  <c r="GC113" i="11"/>
  <c r="GD113" i="11"/>
  <c r="GE113" i="11"/>
  <c r="GF113" i="11"/>
  <c r="GG113" i="11"/>
  <c r="GH113" i="11"/>
  <c r="GI113" i="11"/>
  <c r="GJ113" i="11"/>
  <c r="GK113" i="11"/>
  <c r="GL113" i="11"/>
  <c r="GM113" i="11"/>
  <c r="GN113" i="11"/>
  <c r="GO113" i="11"/>
  <c r="GP113" i="11"/>
  <c r="GQ113" i="11"/>
  <c r="GR113" i="11"/>
  <c r="GS113" i="11"/>
  <c r="GT113" i="11"/>
  <c r="GU113" i="11"/>
  <c r="GV113" i="11"/>
  <c r="GW113" i="11"/>
  <c r="GX113" i="11"/>
  <c r="GY113" i="11"/>
  <c r="GZ113" i="11"/>
  <c r="HA113" i="11"/>
  <c r="HB113" i="11"/>
  <c r="HC113" i="11"/>
  <c r="HD113" i="11"/>
  <c r="HE113" i="11"/>
  <c r="HF113" i="11"/>
  <c r="HG113" i="11"/>
  <c r="HH113" i="11"/>
  <c r="HI113" i="11"/>
  <c r="HJ113" i="11"/>
  <c r="HK113" i="11"/>
  <c r="HL113" i="11"/>
  <c r="HM113" i="11"/>
  <c r="HN113" i="11"/>
  <c r="HO113" i="11"/>
  <c r="HP113" i="11"/>
  <c r="HQ113" i="11"/>
  <c r="HR113" i="11"/>
  <c r="HS113" i="11"/>
  <c r="HT113" i="11"/>
  <c r="HU113" i="11"/>
  <c r="HV113" i="11"/>
  <c r="HW113" i="11"/>
  <c r="HX113" i="11"/>
  <c r="HY113" i="11"/>
  <c r="HZ113" i="11"/>
  <c r="IA113" i="11"/>
  <c r="IB113" i="11"/>
  <c r="IC113" i="11"/>
  <c r="ID113" i="11"/>
  <c r="IE113" i="11"/>
  <c r="IF113" i="11"/>
  <c r="IG113" i="11"/>
  <c r="IH113" i="11"/>
  <c r="II113" i="11"/>
  <c r="IJ113" i="11"/>
  <c r="IK113" i="11"/>
  <c r="IL113" i="11"/>
  <c r="IM113" i="11"/>
  <c r="IN113" i="11"/>
  <c r="IO113" i="11"/>
  <c r="IP113" i="11"/>
  <c r="IQ113" i="11"/>
  <c r="IR113" i="11"/>
  <c r="IS113" i="11"/>
  <c r="IT113" i="11"/>
  <c r="IU113" i="11"/>
  <c r="IV113" i="11"/>
  <c r="F114" i="11"/>
  <c r="G114" i="11"/>
  <c r="H114" i="11"/>
  <c r="I114" i="11"/>
  <c r="J114" i="11"/>
  <c r="K114" i="11"/>
  <c r="L114" i="11"/>
  <c r="M114" i="11"/>
  <c r="N114" i="11"/>
  <c r="O114" i="11"/>
  <c r="P114" i="11"/>
  <c r="Q114" i="11"/>
  <c r="R114" i="11"/>
  <c r="S114" i="11"/>
  <c r="T114" i="11"/>
  <c r="U114" i="11"/>
  <c r="V114" i="11"/>
  <c r="W114" i="11"/>
  <c r="X114" i="11"/>
  <c r="Y114" i="11"/>
  <c r="Z114" i="11"/>
  <c r="AA114" i="11"/>
  <c r="AB114" i="11"/>
  <c r="AC114" i="11"/>
  <c r="AD114" i="11"/>
  <c r="AE114" i="11"/>
  <c r="AF114" i="11"/>
  <c r="AG114" i="11"/>
  <c r="AH114" i="11"/>
  <c r="AI114" i="11"/>
  <c r="AJ114" i="11"/>
  <c r="AK114" i="11"/>
  <c r="AL114" i="11"/>
  <c r="AM114" i="11"/>
  <c r="AN114" i="11"/>
  <c r="AO114" i="11"/>
  <c r="AP114" i="11"/>
  <c r="AQ114" i="11"/>
  <c r="AR114" i="11"/>
  <c r="AS114" i="11"/>
  <c r="AT114" i="11"/>
  <c r="AU114" i="11"/>
  <c r="AV114" i="11"/>
  <c r="AW114" i="11"/>
  <c r="AX114" i="11"/>
  <c r="AY114" i="11"/>
  <c r="AZ114" i="11"/>
  <c r="BA114" i="11"/>
  <c r="BB114" i="11"/>
  <c r="BC114" i="11"/>
  <c r="BD114" i="11"/>
  <c r="BE114" i="11"/>
  <c r="BF114" i="11"/>
  <c r="BG114" i="11"/>
  <c r="BH114" i="11"/>
  <c r="BI114" i="11"/>
  <c r="BJ114" i="11"/>
  <c r="BK114" i="11"/>
  <c r="BL114" i="11"/>
  <c r="BM114" i="11"/>
  <c r="BN114" i="11"/>
  <c r="BO114" i="11"/>
  <c r="BP114" i="11"/>
  <c r="BQ114" i="11"/>
  <c r="BR114" i="11"/>
  <c r="BS114" i="11"/>
  <c r="BT114" i="11"/>
  <c r="BU114" i="11"/>
  <c r="BV114" i="11"/>
  <c r="BW114" i="11"/>
  <c r="BX114" i="11"/>
  <c r="BY114" i="11"/>
  <c r="BZ114" i="11"/>
  <c r="CA114" i="11"/>
  <c r="CB114" i="11"/>
  <c r="CC114" i="11"/>
  <c r="CD114" i="11"/>
  <c r="CE114" i="11"/>
  <c r="CF114" i="11"/>
  <c r="CG114" i="11"/>
  <c r="CH114" i="11"/>
  <c r="CI114" i="11"/>
  <c r="CJ114" i="11"/>
  <c r="CK114" i="11"/>
  <c r="CL114" i="11"/>
  <c r="CM114" i="11"/>
  <c r="CN114" i="11"/>
  <c r="CO114" i="11"/>
  <c r="CP114" i="11"/>
  <c r="CQ114" i="11"/>
  <c r="CR114" i="11"/>
  <c r="CS114" i="11"/>
  <c r="CT114" i="11"/>
  <c r="CU114" i="11"/>
  <c r="CV114" i="11"/>
  <c r="CW114" i="11"/>
  <c r="CX114" i="11"/>
  <c r="CY114" i="11"/>
  <c r="CZ114" i="11"/>
  <c r="DA114" i="11"/>
  <c r="DB114" i="11"/>
  <c r="DC114" i="11"/>
  <c r="DD114" i="11"/>
  <c r="DE114" i="11"/>
  <c r="DF114" i="11"/>
  <c r="DG114" i="11"/>
  <c r="DH114" i="11"/>
  <c r="DI114" i="11"/>
  <c r="DJ114" i="11"/>
  <c r="DK114" i="11"/>
  <c r="DL114" i="11"/>
  <c r="DM114" i="11"/>
  <c r="DN114" i="11"/>
  <c r="DO114" i="11"/>
  <c r="DP114" i="11"/>
  <c r="DQ114" i="11"/>
  <c r="DR114" i="11"/>
  <c r="DS114" i="11"/>
  <c r="DT114" i="11"/>
  <c r="DU114" i="11"/>
  <c r="DV114" i="11"/>
  <c r="DW114" i="11"/>
  <c r="DX114" i="11"/>
  <c r="DY114" i="11"/>
  <c r="DZ114" i="11"/>
  <c r="EA114" i="11"/>
  <c r="EB114" i="11"/>
  <c r="EC114" i="11"/>
  <c r="ED114" i="11"/>
  <c r="EE114" i="11"/>
  <c r="EF114" i="11"/>
  <c r="EG114" i="11"/>
  <c r="EH114" i="11"/>
  <c r="EI114" i="11"/>
  <c r="EJ114" i="11"/>
  <c r="EK114" i="11"/>
  <c r="EL114" i="11"/>
  <c r="EM114" i="11"/>
  <c r="EN114" i="11"/>
  <c r="EO114" i="11"/>
  <c r="EP114" i="11"/>
  <c r="EQ114" i="11"/>
  <c r="ER114" i="11"/>
  <c r="ES114" i="11"/>
  <c r="ET114" i="11"/>
  <c r="EU114" i="11"/>
  <c r="EV114" i="11"/>
  <c r="EW114" i="11"/>
  <c r="EX114" i="11"/>
  <c r="EY114" i="11"/>
  <c r="EZ114" i="11"/>
  <c r="FA114" i="11"/>
  <c r="FB114" i="11"/>
  <c r="FC114" i="11"/>
  <c r="FD114" i="11"/>
  <c r="FE114" i="11"/>
  <c r="FF114" i="11"/>
  <c r="FG114" i="11"/>
  <c r="FH114" i="11"/>
  <c r="FI114" i="11"/>
  <c r="FJ114" i="11"/>
  <c r="FK114" i="11"/>
  <c r="FL114" i="11"/>
  <c r="FM114" i="11"/>
  <c r="FN114" i="11"/>
  <c r="FO114" i="11"/>
  <c r="FP114" i="11"/>
  <c r="FQ114" i="11"/>
  <c r="FR114" i="11"/>
  <c r="FS114" i="11"/>
  <c r="FT114" i="11"/>
  <c r="FU114" i="11"/>
  <c r="FV114" i="11"/>
  <c r="FW114" i="11"/>
  <c r="FX114" i="11"/>
  <c r="FY114" i="11"/>
  <c r="FZ114" i="11"/>
  <c r="GA114" i="11"/>
  <c r="GB114" i="11"/>
  <c r="GC114" i="11"/>
  <c r="GD114" i="11"/>
  <c r="GE114" i="11"/>
  <c r="GF114" i="11"/>
  <c r="GG114" i="11"/>
  <c r="GH114" i="11"/>
  <c r="GI114" i="11"/>
  <c r="GJ114" i="11"/>
  <c r="GK114" i="11"/>
  <c r="GL114" i="11"/>
  <c r="GM114" i="11"/>
  <c r="GN114" i="11"/>
  <c r="GO114" i="11"/>
  <c r="GP114" i="11"/>
  <c r="GQ114" i="11"/>
  <c r="GR114" i="11"/>
  <c r="GS114" i="11"/>
  <c r="GT114" i="11"/>
  <c r="GU114" i="11"/>
  <c r="GV114" i="11"/>
  <c r="GW114" i="11"/>
  <c r="GX114" i="11"/>
  <c r="GY114" i="11"/>
  <c r="GZ114" i="11"/>
  <c r="HA114" i="11"/>
  <c r="HB114" i="11"/>
  <c r="HC114" i="11"/>
  <c r="HD114" i="11"/>
  <c r="HE114" i="11"/>
  <c r="HF114" i="11"/>
  <c r="HG114" i="11"/>
  <c r="HH114" i="11"/>
  <c r="HI114" i="11"/>
  <c r="HJ114" i="11"/>
  <c r="HK114" i="11"/>
  <c r="HL114" i="11"/>
  <c r="HM114" i="11"/>
  <c r="HN114" i="11"/>
  <c r="HO114" i="11"/>
  <c r="HP114" i="11"/>
  <c r="HQ114" i="11"/>
  <c r="HR114" i="11"/>
  <c r="HS114" i="11"/>
  <c r="HT114" i="11"/>
  <c r="HU114" i="11"/>
  <c r="HV114" i="11"/>
  <c r="HW114" i="11"/>
  <c r="HX114" i="11"/>
  <c r="HY114" i="11"/>
  <c r="HZ114" i="11"/>
  <c r="IA114" i="11"/>
  <c r="IB114" i="11"/>
  <c r="IC114" i="11"/>
  <c r="ID114" i="11"/>
  <c r="IE114" i="11"/>
  <c r="IF114" i="11"/>
  <c r="IG114" i="11"/>
  <c r="IH114" i="11"/>
  <c r="II114" i="11"/>
  <c r="IJ114" i="11"/>
  <c r="IK114" i="11"/>
  <c r="IL114" i="11"/>
  <c r="IM114" i="11"/>
  <c r="IN114" i="11"/>
  <c r="IO114" i="11"/>
  <c r="IP114" i="11"/>
  <c r="IQ114" i="11"/>
  <c r="IR114" i="11"/>
  <c r="IS114" i="11"/>
  <c r="IT114" i="11"/>
  <c r="IU114" i="11"/>
  <c r="IV114" i="11"/>
  <c r="F115" i="11"/>
  <c r="G115" i="11"/>
  <c r="H115" i="11"/>
  <c r="I115" i="11"/>
  <c r="J115" i="11"/>
  <c r="K115" i="11"/>
  <c r="L115" i="11"/>
  <c r="M115" i="11"/>
  <c r="N115" i="11"/>
  <c r="O115" i="11"/>
  <c r="P115" i="11"/>
  <c r="Q115" i="11"/>
  <c r="R115" i="11"/>
  <c r="S115" i="11"/>
  <c r="T115" i="11"/>
  <c r="U115" i="11"/>
  <c r="V115" i="11"/>
  <c r="W115" i="11"/>
  <c r="X115" i="11"/>
  <c r="Y115" i="11"/>
  <c r="Z115" i="11"/>
  <c r="AA115" i="11"/>
  <c r="AB115" i="11"/>
  <c r="AC115" i="11"/>
  <c r="AD115" i="11"/>
  <c r="AE115" i="11"/>
  <c r="AF115" i="11"/>
  <c r="AG115" i="11"/>
  <c r="AH115" i="11"/>
  <c r="AI115" i="11"/>
  <c r="AJ115" i="11"/>
  <c r="AK115" i="11"/>
  <c r="AL115" i="11"/>
  <c r="AM115" i="11"/>
  <c r="AN115" i="11"/>
  <c r="AO115" i="11"/>
  <c r="AP115" i="11"/>
  <c r="AQ115" i="11"/>
  <c r="AR115" i="11"/>
  <c r="AS115" i="11"/>
  <c r="AT115" i="11"/>
  <c r="AU115" i="11"/>
  <c r="AV115" i="11"/>
  <c r="AW115" i="11"/>
  <c r="AX115" i="11"/>
  <c r="AY115" i="11"/>
  <c r="AZ115" i="11"/>
  <c r="BA115" i="11"/>
  <c r="BB115" i="11"/>
  <c r="BC115" i="11"/>
  <c r="BD115" i="11"/>
  <c r="BE115" i="11"/>
  <c r="BF115" i="11"/>
  <c r="BG115" i="11"/>
  <c r="BH115" i="11"/>
  <c r="BI115" i="11"/>
  <c r="BJ115" i="11"/>
  <c r="BK115" i="11"/>
  <c r="BL115" i="11"/>
  <c r="BM115" i="11"/>
  <c r="BN115" i="11"/>
  <c r="BO115" i="11"/>
  <c r="BP115" i="11"/>
  <c r="BQ115" i="11"/>
  <c r="BR115" i="11"/>
  <c r="BS115" i="11"/>
  <c r="BT115" i="11"/>
  <c r="BU115" i="11"/>
  <c r="BV115" i="11"/>
  <c r="BW115" i="11"/>
  <c r="BX115" i="11"/>
  <c r="BY115" i="11"/>
  <c r="BZ115" i="11"/>
  <c r="CA115" i="11"/>
  <c r="CB115" i="11"/>
  <c r="CC115" i="11"/>
  <c r="CD115" i="11"/>
  <c r="CE115" i="11"/>
  <c r="CF115" i="11"/>
  <c r="CG115" i="11"/>
  <c r="CH115" i="11"/>
  <c r="CI115" i="11"/>
  <c r="CJ115" i="11"/>
  <c r="CK115" i="11"/>
  <c r="CL115" i="11"/>
  <c r="CM115" i="11"/>
  <c r="CN115" i="11"/>
  <c r="CO115" i="11"/>
  <c r="CP115" i="11"/>
  <c r="CQ115" i="11"/>
  <c r="CR115" i="11"/>
  <c r="CS115" i="11"/>
  <c r="CT115" i="11"/>
  <c r="CU115" i="11"/>
  <c r="CV115" i="11"/>
  <c r="CW115" i="11"/>
  <c r="CX115" i="11"/>
  <c r="CY115" i="11"/>
  <c r="CZ115" i="11"/>
  <c r="DA115" i="11"/>
  <c r="DB115" i="11"/>
  <c r="DC115" i="11"/>
  <c r="DD115" i="11"/>
  <c r="DE115" i="11"/>
  <c r="DF115" i="11"/>
  <c r="DG115" i="11"/>
  <c r="DH115" i="11"/>
  <c r="DI115" i="11"/>
  <c r="DJ115" i="11"/>
  <c r="DK115" i="11"/>
  <c r="DL115" i="11"/>
  <c r="DM115" i="11"/>
  <c r="DN115" i="11"/>
  <c r="DO115" i="11"/>
  <c r="DP115" i="11"/>
  <c r="DQ115" i="11"/>
  <c r="DR115" i="11"/>
  <c r="DS115" i="11"/>
  <c r="DT115" i="11"/>
  <c r="DU115" i="11"/>
  <c r="DV115" i="11"/>
  <c r="DW115" i="11"/>
  <c r="DX115" i="11"/>
  <c r="DY115" i="11"/>
  <c r="DZ115" i="11"/>
  <c r="EA115" i="11"/>
  <c r="EB115" i="11"/>
  <c r="EC115" i="11"/>
  <c r="ED115" i="11"/>
  <c r="EE115" i="11"/>
  <c r="EF115" i="11"/>
  <c r="EG115" i="11"/>
  <c r="EH115" i="11"/>
  <c r="EI115" i="11"/>
  <c r="EJ115" i="11"/>
  <c r="EK115" i="11"/>
  <c r="EL115" i="11"/>
  <c r="EM115" i="11"/>
  <c r="EN115" i="11"/>
  <c r="EO115" i="11"/>
  <c r="EP115" i="11"/>
  <c r="EQ115" i="11"/>
  <c r="ER115" i="11"/>
  <c r="ES115" i="11"/>
  <c r="ET115" i="11"/>
  <c r="EU115" i="11"/>
  <c r="EV115" i="11"/>
  <c r="EW115" i="11"/>
  <c r="EX115" i="11"/>
  <c r="EY115" i="11"/>
  <c r="EZ115" i="11"/>
  <c r="FA115" i="11"/>
  <c r="FB115" i="11"/>
  <c r="FC115" i="11"/>
  <c r="FD115" i="11"/>
  <c r="FE115" i="11"/>
  <c r="FF115" i="11"/>
  <c r="FG115" i="11"/>
  <c r="FH115" i="11"/>
  <c r="FI115" i="11"/>
  <c r="FJ115" i="11"/>
  <c r="FK115" i="11"/>
  <c r="FL115" i="11"/>
  <c r="FM115" i="11"/>
  <c r="FN115" i="11"/>
  <c r="FO115" i="11"/>
  <c r="FP115" i="11"/>
  <c r="FQ115" i="11"/>
  <c r="FR115" i="11"/>
  <c r="FS115" i="11"/>
  <c r="FT115" i="11"/>
  <c r="FU115" i="11"/>
  <c r="FV115" i="11"/>
  <c r="FW115" i="11"/>
  <c r="FX115" i="11"/>
  <c r="FY115" i="11"/>
  <c r="FZ115" i="11"/>
  <c r="GA115" i="11"/>
  <c r="GB115" i="11"/>
  <c r="GC115" i="11"/>
  <c r="GD115" i="11"/>
  <c r="GE115" i="11"/>
  <c r="GF115" i="11"/>
  <c r="GG115" i="11"/>
  <c r="GH115" i="11"/>
  <c r="GI115" i="11"/>
  <c r="GJ115" i="11"/>
  <c r="GK115" i="11"/>
  <c r="GL115" i="11"/>
  <c r="GM115" i="11"/>
  <c r="GN115" i="11"/>
  <c r="GO115" i="11"/>
  <c r="GP115" i="11"/>
  <c r="GQ115" i="11"/>
  <c r="GR115" i="11"/>
  <c r="GS115" i="11"/>
  <c r="GT115" i="11"/>
  <c r="GU115" i="11"/>
  <c r="GV115" i="11"/>
  <c r="GW115" i="11"/>
  <c r="GX115" i="11"/>
  <c r="GY115" i="11"/>
  <c r="GZ115" i="11"/>
  <c r="HA115" i="11"/>
  <c r="HB115" i="11"/>
  <c r="HC115" i="11"/>
  <c r="HD115" i="11"/>
  <c r="HE115" i="11"/>
  <c r="HF115" i="11"/>
  <c r="HG115" i="11"/>
  <c r="HH115" i="11"/>
  <c r="HI115" i="11"/>
  <c r="HJ115" i="11"/>
  <c r="HK115" i="11"/>
  <c r="HL115" i="11"/>
  <c r="HM115" i="11"/>
  <c r="HN115" i="11"/>
  <c r="HO115" i="11"/>
  <c r="HP115" i="11"/>
  <c r="HQ115" i="11"/>
  <c r="HR115" i="11"/>
  <c r="HS115" i="11"/>
  <c r="HT115" i="11"/>
  <c r="HU115" i="11"/>
  <c r="HV115" i="11"/>
  <c r="HW115" i="11"/>
  <c r="HX115" i="11"/>
  <c r="HY115" i="11"/>
  <c r="HZ115" i="11"/>
  <c r="IA115" i="11"/>
  <c r="IB115" i="11"/>
  <c r="IC115" i="11"/>
  <c r="ID115" i="11"/>
  <c r="IE115" i="11"/>
  <c r="IF115" i="11"/>
  <c r="IG115" i="11"/>
  <c r="IH115" i="11"/>
  <c r="II115" i="11"/>
  <c r="IJ115" i="11"/>
  <c r="IK115" i="11"/>
  <c r="IL115" i="11"/>
  <c r="IM115" i="11"/>
  <c r="IN115" i="11"/>
  <c r="IO115" i="11"/>
  <c r="IP115" i="11"/>
  <c r="IQ115" i="11"/>
  <c r="IR115" i="11"/>
  <c r="IS115" i="11"/>
  <c r="IT115" i="11"/>
  <c r="IU115" i="11"/>
  <c r="IV115" i="11"/>
  <c r="F116" i="11"/>
  <c r="G116" i="11"/>
  <c r="H116" i="11"/>
  <c r="I116" i="11"/>
  <c r="J116" i="11"/>
  <c r="K116" i="11"/>
  <c r="L116" i="11"/>
  <c r="M116" i="11"/>
  <c r="N116" i="11"/>
  <c r="O116" i="11"/>
  <c r="P116" i="11"/>
  <c r="Q116" i="11"/>
  <c r="R116" i="11"/>
  <c r="S116" i="11"/>
  <c r="T116" i="11"/>
  <c r="U116" i="11"/>
  <c r="V116" i="11"/>
  <c r="W116" i="11"/>
  <c r="X116" i="11"/>
  <c r="Y116" i="11"/>
  <c r="Z116" i="11"/>
  <c r="AA116" i="11"/>
  <c r="AB116" i="11"/>
  <c r="AC116" i="11"/>
  <c r="AD116" i="11"/>
  <c r="AE116" i="11"/>
  <c r="AF116" i="11"/>
  <c r="AG116" i="11"/>
  <c r="AH116" i="11"/>
  <c r="AI116" i="11"/>
  <c r="AJ116" i="11"/>
  <c r="AK116" i="11"/>
  <c r="AL116" i="11"/>
  <c r="AM116" i="11"/>
  <c r="AN116" i="11"/>
  <c r="AO116" i="11"/>
  <c r="AP116" i="11"/>
  <c r="AQ116" i="11"/>
  <c r="AR116" i="11"/>
  <c r="AS116" i="11"/>
  <c r="AT116" i="11"/>
  <c r="AU116" i="11"/>
  <c r="AV116" i="11"/>
  <c r="AW116" i="11"/>
  <c r="AX116" i="11"/>
  <c r="AY116" i="11"/>
  <c r="AZ116" i="11"/>
  <c r="BA116" i="11"/>
  <c r="BB116" i="11"/>
  <c r="BC116" i="11"/>
  <c r="BD116" i="11"/>
  <c r="BE116" i="11"/>
  <c r="BF116" i="11"/>
  <c r="BG116" i="11"/>
  <c r="BH116" i="11"/>
  <c r="BI116" i="11"/>
  <c r="BJ116" i="11"/>
  <c r="BK116" i="11"/>
  <c r="BL116" i="11"/>
  <c r="BM116" i="11"/>
  <c r="BN116" i="11"/>
  <c r="BO116" i="11"/>
  <c r="BP116" i="11"/>
  <c r="BQ116" i="11"/>
  <c r="BR116" i="11"/>
  <c r="BS116" i="11"/>
  <c r="BT116" i="11"/>
  <c r="BU116" i="11"/>
  <c r="BV116" i="11"/>
  <c r="BW116" i="11"/>
  <c r="BX116" i="11"/>
  <c r="BY116" i="11"/>
  <c r="BZ116" i="11"/>
  <c r="CA116" i="11"/>
  <c r="CB116" i="11"/>
  <c r="CC116" i="11"/>
  <c r="CD116" i="11"/>
  <c r="CE116" i="11"/>
  <c r="CF116" i="11"/>
  <c r="CG116" i="11"/>
  <c r="CH116" i="11"/>
  <c r="CI116" i="11"/>
  <c r="CJ116" i="11"/>
  <c r="CK116" i="11"/>
  <c r="CL116" i="11"/>
  <c r="CM116" i="11"/>
  <c r="CN116" i="11"/>
  <c r="CO116" i="11"/>
  <c r="CP116" i="11"/>
  <c r="CQ116" i="11"/>
  <c r="CR116" i="11"/>
  <c r="CS116" i="11"/>
  <c r="CT116" i="11"/>
  <c r="CU116" i="11"/>
  <c r="CV116" i="11"/>
  <c r="CW116" i="11"/>
  <c r="CX116" i="11"/>
  <c r="CY116" i="11"/>
  <c r="CZ116" i="11"/>
  <c r="DA116" i="11"/>
  <c r="DB116" i="11"/>
  <c r="DC116" i="11"/>
  <c r="DD116" i="11"/>
  <c r="DE116" i="11"/>
  <c r="DF116" i="11"/>
  <c r="DG116" i="11"/>
  <c r="DH116" i="11"/>
  <c r="DI116" i="11"/>
  <c r="DJ116" i="11"/>
  <c r="DK116" i="11"/>
  <c r="DL116" i="11"/>
  <c r="DM116" i="11"/>
  <c r="DN116" i="11"/>
  <c r="DO116" i="11"/>
  <c r="DP116" i="11"/>
  <c r="DQ116" i="11"/>
  <c r="DR116" i="11"/>
  <c r="DS116" i="11"/>
  <c r="DT116" i="11"/>
  <c r="DU116" i="11"/>
  <c r="DV116" i="11"/>
  <c r="DW116" i="11"/>
  <c r="DX116" i="11"/>
  <c r="DY116" i="11"/>
  <c r="DZ116" i="11"/>
  <c r="EA116" i="11"/>
  <c r="EB116" i="11"/>
  <c r="EC116" i="11"/>
  <c r="ED116" i="11"/>
  <c r="EE116" i="11"/>
  <c r="EF116" i="11"/>
  <c r="EG116" i="11"/>
  <c r="EH116" i="11"/>
  <c r="EI116" i="11"/>
  <c r="EJ116" i="11"/>
  <c r="EK116" i="11"/>
  <c r="EL116" i="11"/>
  <c r="EM116" i="11"/>
  <c r="EN116" i="11"/>
  <c r="EO116" i="11"/>
  <c r="EP116" i="11"/>
  <c r="EQ116" i="11"/>
  <c r="ER116" i="11"/>
  <c r="ES116" i="11"/>
  <c r="ET116" i="11"/>
  <c r="EU116" i="11"/>
  <c r="EV116" i="11"/>
  <c r="EW116" i="11"/>
  <c r="EX116" i="11"/>
  <c r="EY116" i="11"/>
  <c r="EZ116" i="11"/>
  <c r="FA116" i="11"/>
  <c r="FB116" i="11"/>
  <c r="FC116" i="11"/>
  <c r="FD116" i="11"/>
  <c r="FE116" i="11"/>
  <c r="FF116" i="11"/>
  <c r="FG116" i="11"/>
  <c r="FH116" i="11"/>
  <c r="FI116" i="11"/>
  <c r="FJ116" i="11"/>
  <c r="FK116" i="11"/>
  <c r="FL116" i="11"/>
  <c r="FM116" i="11"/>
  <c r="FN116" i="11"/>
  <c r="FO116" i="11"/>
  <c r="FP116" i="11"/>
  <c r="FQ116" i="11"/>
  <c r="FR116" i="11"/>
  <c r="FS116" i="11"/>
  <c r="FT116" i="11"/>
  <c r="FU116" i="11"/>
  <c r="FV116" i="11"/>
  <c r="FW116" i="11"/>
  <c r="FX116" i="11"/>
  <c r="FY116" i="11"/>
  <c r="FZ116" i="11"/>
  <c r="GA116" i="11"/>
  <c r="GB116" i="11"/>
  <c r="GC116" i="11"/>
  <c r="GD116" i="11"/>
  <c r="GE116" i="11"/>
  <c r="GF116" i="11"/>
  <c r="GG116" i="11"/>
  <c r="GH116" i="11"/>
  <c r="GI116" i="11"/>
  <c r="GJ116" i="11"/>
  <c r="GK116" i="11"/>
  <c r="GL116" i="11"/>
  <c r="GM116" i="11"/>
  <c r="GN116" i="11"/>
  <c r="GO116" i="11"/>
  <c r="GP116" i="11"/>
  <c r="GQ116" i="11"/>
  <c r="GR116" i="11"/>
  <c r="GS116" i="11"/>
  <c r="GT116" i="11"/>
  <c r="GU116" i="11"/>
  <c r="GV116" i="11"/>
  <c r="GW116" i="11"/>
  <c r="GX116" i="11"/>
  <c r="GY116" i="11"/>
  <c r="GZ116" i="11"/>
  <c r="HA116" i="11"/>
  <c r="HB116" i="11"/>
  <c r="HC116" i="11"/>
  <c r="HD116" i="11"/>
  <c r="HE116" i="11"/>
  <c r="HF116" i="11"/>
  <c r="HG116" i="11"/>
  <c r="HH116" i="11"/>
  <c r="HI116" i="11"/>
  <c r="HJ116" i="11"/>
  <c r="HK116" i="11"/>
  <c r="HL116" i="11"/>
  <c r="HM116" i="11"/>
  <c r="HN116" i="11"/>
  <c r="HO116" i="11"/>
  <c r="HP116" i="11"/>
  <c r="HQ116" i="11"/>
  <c r="HR116" i="11"/>
  <c r="HS116" i="11"/>
  <c r="HT116" i="11"/>
  <c r="HU116" i="11"/>
  <c r="HV116" i="11"/>
  <c r="HW116" i="11"/>
  <c r="HX116" i="11"/>
  <c r="HY116" i="11"/>
  <c r="HZ116" i="11"/>
  <c r="IA116" i="11"/>
  <c r="IB116" i="11"/>
  <c r="IC116" i="11"/>
  <c r="ID116" i="11"/>
  <c r="IE116" i="11"/>
  <c r="IF116" i="11"/>
  <c r="IG116" i="11"/>
  <c r="IH116" i="11"/>
  <c r="II116" i="11"/>
  <c r="IJ116" i="11"/>
  <c r="IK116" i="11"/>
  <c r="IL116" i="11"/>
  <c r="IM116" i="11"/>
  <c r="IN116" i="11"/>
  <c r="IO116" i="11"/>
  <c r="IP116" i="11"/>
  <c r="IQ116" i="11"/>
  <c r="IR116" i="11"/>
  <c r="IS116" i="11"/>
  <c r="IT116" i="11"/>
  <c r="IU116" i="11"/>
  <c r="IV116" i="11"/>
  <c r="F117" i="11"/>
  <c r="G117" i="11"/>
  <c r="H117" i="11"/>
  <c r="I117" i="11"/>
  <c r="J117" i="11"/>
  <c r="K117" i="11"/>
  <c r="L117" i="11"/>
  <c r="M117" i="11"/>
  <c r="N117" i="11"/>
  <c r="O117" i="11"/>
  <c r="P117" i="11"/>
  <c r="Q117" i="11"/>
  <c r="R117" i="11"/>
  <c r="S117" i="11"/>
  <c r="T117" i="11"/>
  <c r="U117" i="11"/>
  <c r="V117" i="11"/>
  <c r="W117" i="11"/>
  <c r="X117" i="11"/>
  <c r="Y117" i="11"/>
  <c r="Z117" i="11"/>
  <c r="AA117" i="11"/>
  <c r="AB117" i="11"/>
  <c r="AC117" i="11"/>
  <c r="AD117" i="11"/>
  <c r="AE117" i="11"/>
  <c r="AF117" i="11"/>
  <c r="AG117" i="11"/>
  <c r="AH117" i="11"/>
  <c r="AI117" i="11"/>
  <c r="AJ117" i="11"/>
  <c r="AK117" i="11"/>
  <c r="AL117" i="11"/>
  <c r="AM117" i="11"/>
  <c r="AN117" i="11"/>
  <c r="AO117" i="11"/>
  <c r="AP117" i="11"/>
  <c r="AQ117" i="11"/>
  <c r="AR117" i="11"/>
  <c r="AS117" i="11"/>
  <c r="AT117" i="11"/>
  <c r="AU117" i="11"/>
  <c r="AV117" i="11"/>
  <c r="AW117" i="11"/>
  <c r="AX117" i="11"/>
  <c r="AY117" i="11"/>
  <c r="AZ117" i="11"/>
  <c r="BA117" i="11"/>
  <c r="BB117" i="11"/>
  <c r="BC117" i="11"/>
  <c r="BD117" i="11"/>
  <c r="BE117" i="11"/>
  <c r="BF117" i="11"/>
  <c r="BG117" i="11"/>
  <c r="BH117" i="11"/>
  <c r="BI117" i="11"/>
  <c r="BJ117" i="11"/>
  <c r="BK117" i="11"/>
  <c r="BL117" i="11"/>
  <c r="BM117" i="11"/>
  <c r="BN117" i="11"/>
  <c r="BO117" i="11"/>
  <c r="BP117" i="11"/>
  <c r="BQ117" i="11"/>
  <c r="BR117" i="11"/>
  <c r="BS117" i="11"/>
  <c r="BT117" i="11"/>
  <c r="BU117" i="11"/>
  <c r="BV117" i="11"/>
  <c r="BW117" i="11"/>
  <c r="BX117" i="11"/>
  <c r="BY117" i="11"/>
  <c r="BZ117" i="11"/>
  <c r="CA117" i="11"/>
  <c r="CB117" i="11"/>
  <c r="CC117" i="11"/>
  <c r="CD117" i="11"/>
  <c r="CE117" i="11"/>
  <c r="CF117" i="11"/>
  <c r="CG117" i="11"/>
  <c r="CH117" i="11"/>
  <c r="CI117" i="11"/>
  <c r="CJ117" i="11"/>
  <c r="CK117" i="11"/>
  <c r="CL117" i="11"/>
  <c r="CM117" i="11"/>
  <c r="CN117" i="11"/>
  <c r="CO117" i="11"/>
  <c r="CP117" i="11"/>
  <c r="CQ117" i="11"/>
  <c r="CR117" i="11"/>
  <c r="CS117" i="11"/>
  <c r="CT117" i="11"/>
  <c r="CU117" i="11"/>
  <c r="CV117" i="11"/>
  <c r="CW117" i="11"/>
  <c r="CX117" i="11"/>
  <c r="CY117" i="11"/>
  <c r="CZ117" i="11"/>
  <c r="DA117" i="11"/>
  <c r="DB117" i="11"/>
  <c r="DC117" i="11"/>
  <c r="DD117" i="11"/>
  <c r="DE117" i="11"/>
  <c r="DF117" i="11"/>
  <c r="DG117" i="11"/>
  <c r="DH117" i="11"/>
  <c r="DI117" i="11"/>
  <c r="DJ117" i="11"/>
  <c r="DK117" i="11"/>
  <c r="DL117" i="11"/>
  <c r="DM117" i="11"/>
  <c r="DN117" i="11"/>
  <c r="DO117" i="11"/>
  <c r="DP117" i="11"/>
  <c r="DQ117" i="11"/>
  <c r="DR117" i="11"/>
  <c r="DS117" i="11"/>
  <c r="DT117" i="11"/>
  <c r="DU117" i="11"/>
  <c r="DV117" i="11"/>
  <c r="DW117" i="11"/>
  <c r="DX117" i="11"/>
  <c r="DY117" i="11"/>
  <c r="DZ117" i="11"/>
  <c r="EA117" i="11"/>
  <c r="EB117" i="11"/>
  <c r="EC117" i="11"/>
  <c r="ED117" i="11"/>
  <c r="EE117" i="11"/>
  <c r="EF117" i="11"/>
  <c r="EG117" i="11"/>
  <c r="EH117" i="11"/>
  <c r="EI117" i="11"/>
  <c r="EJ117" i="11"/>
  <c r="EK117" i="11"/>
  <c r="EL117" i="11"/>
  <c r="EM117" i="11"/>
  <c r="EN117" i="11"/>
  <c r="EO117" i="11"/>
  <c r="EP117" i="11"/>
  <c r="EQ117" i="11"/>
  <c r="ER117" i="11"/>
  <c r="ES117" i="11"/>
  <c r="ET117" i="11"/>
  <c r="EU117" i="11"/>
  <c r="EV117" i="11"/>
  <c r="EW117" i="11"/>
  <c r="EX117" i="11"/>
  <c r="EY117" i="11"/>
  <c r="EZ117" i="11"/>
  <c r="FA117" i="11"/>
  <c r="FB117" i="11"/>
  <c r="FC117" i="11"/>
  <c r="FD117" i="11"/>
  <c r="FE117" i="11"/>
  <c r="FF117" i="11"/>
  <c r="FG117" i="11"/>
  <c r="FH117" i="11"/>
  <c r="FI117" i="11"/>
  <c r="FJ117" i="11"/>
  <c r="FK117" i="11"/>
  <c r="FL117" i="11"/>
  <c r="FM117" i="11"/>
  <c r="FN117" i="11"/>
  <c r="FO117" i="11"/>
  <c r="FP117" i="11"/>
  <c r="FQ117" i="11"/>
  <c r="FR117" i="11"/>
  <c r="FS117" i="11"/>
  <c r="FT117" i="11"/>
  <c r="FU117" i="11"/>
  <c r="FV117" i="11"/>
  <c r="FW117" i="11"/>
  <c r="FX117" i="11"/>
  <c r="FY117" i="11"/>
  <c r="FZ117" i="11"/>
  <c r="GA117" i="11"/>
  <c r="GB117" i="11"/>
  <c r="GC117" i="11"/>
  <c r="GD117" i="11"/>
  <c r="GE117" i="11"/>
  <c r="GF117" i="11"/>
  <c r="GG117" i="11"/>
  <c r="GH117" i="11"/>
  <c r="GI117" i="11"/>
  <c r="GJ117" i="11"/>
  <c r="GK117" i="11"/>
  <c r="GL117" i="11"/>
  <c r="GM117" i="11"/>
  <c r="GN117" i="11"/>
  <c r="GO117" i="11"/>
  <c r="GP117" i="11"/>
  <c r="GQ117" i="11"/>
  <c r="GR117" i="11"/>
  <c r="GS117" i="11"/>
  <c r="GT117" i="11"/>
  <c r="GU117" i="11"/>
  <c r="GV117" i="11"/>
  <c r="GW117" i="11"/>
  <c r="GX117" i="11"/>
  <c r="GY117" i="11"/>
  <c r="GZ117" i="11"/>
  <c r="HA117" i="11"/>
  <c r="HB117" i="11"/>
  <c r="HC117" i="11"/>
  <c r="HD117" i="11"/>
  <c r="HE117" i="11"/>
  <c r="HF117" i="11"/>
  <c r="HG117" i="11"/>
  <c r="HH117" i="11"/>
  <c r="HI117" i="11"/>
  <c r="HJ117" i="11"/>
  <c r="HK117" i="11"/>
  <c r="HL117" i="11"/>
  <c r="HM117" i="11"/>
  <c r="HN117" i="11"/>
  <c r="HO117" i="11"/>
  <c r="HP117" i="11"/>
  <c r="HQ117" i="11"/>
  <c r="HR117" i="11"/>
  <c r="HS117" i="11"/>
  <c r="HT117" i="11"/>
  <c r="HU117" i="11"/>
  <c r="HV117" i="11"/>
  <c r="HW117" i="11"/>
  <c r="HX117" i="11"/>
  <c r="HY117" i="11"/>
  <c r="HZ117" i="11"/>
  <c r="IA117" i="11"/>
  <c r="IB117" i="11"/>
  <c r="IC117" i="11"/>
  <c r="ID117" i="11"/>
  <c r="IE117" i="11"/>
  <c r="IF117" i="11"/>
  <c r="IG117" i="11"/>
  <c r="IH117" i="11"/>
  <c r="II117" i="11"/>
  <c r="IJ117" i="11"/>
  <c r="IK117" i="11"/>
  <c r="IL117" i="11"/>
  <c r="IM117" i="11"/>
  <c r="IN117" i="11"/>
  <c r="IO117" i="11"/>
  <c r="IP117" i="11"/>
  <c r="IQ117" i="11"/>
  <c r="IR117" i="11"/>
  <c r="IS117" i="11"/>
  <c r="IT117" i="11"/>
  <c r="IU117" i="11"/>
  <c r="IV117" i="11"/>
  <c r="F118" i="11"/>
  <c r="G118" i="11"/>
  <c r="H118" i="11"/>
  <c r="I118" i="11"/>
  <c r="J118" i="11"/>
  <c r="K118" i="11"/>
  <c r="L118" i="11"/>
  <c r="M118" i="11"/>
  <c r="N118" i="11"/>
  <c r="O118" i="11"/>
  <c r="P118" i="11"/>
  <c r="Q118" i="11"/>
  <c r="R118" i="11"/>
  <c r="S118" i="11"/>
  <c r="T118" i="11"/>
  <c r="U118" i="11"/>
  <c r="V118" i="11"/>
  <c r="W118" i="11"/>
  <c r="X118" i="11"/>
  <c r="Y118" i="11"/>
  <c r="Z118" i="11"/>
  <c r="AA118" i="11"/>
  <c r="AB118" i="11"/>
  <c r="AC118" i="11"/>
  <c r="AD118" i="11"/>
  <c r="AE118" i="11"/>
  <c r="AF118" i="11"/>
  <c r="AG118" i="11"/>
  <c r="AH118" i="11"/>
  <c r="AI118" i="11"/>
  <c r="AJ118" i="11"/>
  <c r="AK118" i="11"/>
  <c r="AL118" i="11"/>
  <c r="AM118" i="11"/>
  <c r="AN118" i="11"/>
  <c r="AO118" i="11"/>
  <c r="AP118" i="11"/>
  <c r="AQ118" i="11"/>
  <c r="AR118" i="11"/>
  <c r="AS118" i="11"/>
  <c r="AT118" i="11"/>
  <c r="AU118" i="11"/>
  <c r="AV118" i="11"/>
  <c r="AW118" i="11"/>
  <c r="AX118" i="11"/>
  <c r="AY118" i="11"/>
  <c r="AZ118" i="11"/>
  <c r="BA118" i="11"/>
  <c r="BB118" i="11"/>
  <c r="BC118" i="11"/>
  <c r="BD118" i="11"/>
  <c r="BE118" i="11"/>
  <c r="BF118" i="11"/>
  <c r="BG118" i="11"/>
  <c r="BH118" i="11"/>
  <c r="BI118" i="11"/>
  <c r="BJ118" i="11"/>
  <c r="BK118" i="11"/>
  <c r="BL118" i="11"/>
  <c r="BM118" i="11"/>
  <c r="BN118" i="11"/>
  <c r="BO118" i="11"/>
  <c r="BP118" i="11"/>
  <c r="BQ118" i="11"/>
  <c r="BR118" i="11"/>
  <c r="BS118" i="11"/>
  <c r="BT118" i="11"/>
  <c r="BU118" i="11"/>
  <c r="BV118" i="11"/>
  <c r="BW118" i="11"/>
  <c r="BX118" i="11"/>
  <c r="BY118" i="11"/>
  <c r="BZ118" i="11"/>
  <c r="CA118" i="11"/>
  <c r="CB118" i="11"/>
  <c r="CC118" i="11"/>
  <c r="CD118" i="11"/>
  <c r="CE118" i="11"/>
  <c r="CF118" i="11"/>
  <c r="CG118" i="11"/>
  <c r="CH118" i="11"/>
  <c r="CI118" i="11"/>
  <c r="CJ118" i="11"/>
  <c r="CK118" i="11"/>
  <c r="CL118" i="11"/>
  <c r="CM118" i="11"/>
  <c r="CN118" i="11"/>
  <c r="CO118" i="11"/>
  <c r="CP118" i="11"/>
  <c r="CQ118" i="11"/>
  <c r="CR118" i="11"/>
  <c r="CS118" i="11"/>
  <c r="CT118" i="11"/>
  <c r="CU118" i="11"/>
  <c r="CV118" i="11"/>
  <c r="CW118" i="11"/>
  <c r="CX118" i="11"/>
  <c r="CY118" i="11"/>
  <c r="CZ118" i="11"/>
  <c r="DA118" i="11"/>
  <c r="DB118" i="11"/>
  <c r="DC118" i="11"/>
  <c r="DD118" i="11"/>
  <c r="DE118" i="11"/>
  <c r="DF118" i="11"/>
  <c r="DG118" i="11"/>
  <c r="DH118" i="11"/>
  <c r="DI118" i="11"/>
  <c r="DJ118" i="11"/>
  <c r="DK118" i="11"/>
  <c r="DL118" i="11"/>
  <c r="DM118" i="11"/>
  <c r="DN118" i="11"/>
  <c r="DO118" i="11"/>
  <c r="DP118" i="11"/>
  <c r="DQ118" i="11"/>
  <c r="DR118" i="11"/>
  <c r="DS118" i="11"/>
  <c r="DT118" i="11"/>
  <c r="DU118" i="11"/>
  <c r="DV118" i="11"/>
  <c r="DW118" i="11"/>
  <c r="DX118" i="11"/>
  <c r="DY118" i="11"/>
  <c r="DZ118" i="11"/>
  <c r="EA118" i="11"/>
  <c r="EB118" i="11"/>
  <c r="EC118" i="11"/>
  <c r="ED118" i="11"/>
  <c r="EE118" i="11"/>
  <c r="EF118" i="11"/>
  <c r="EG118" i="11"/>
  <c r="EH118" i="11"/>
  <c r="EI118" i="11"/>
  <c r="EJ118" i="11"/>
  <c r="EK118" i="11"/>
  <c r="EL118" i="11"/>
  <c r="EM118" i="11"/>
  <c r="EN118" i="11"/>
  <c r="EO118" i="11"/>
  <c r="EP118" i="11"/>
  <c r="EQ118" i="11"/>
  <c r="ER118" i="11"/>
  <c r="ES118" i="11"/>
  <c r="ET118" i="11"/>
  <c r="EU118" i="11"/>
  <c r="EV118" i="11"/>
  <c r="EW118" i="11"/>
  <c r="EX118" i="11"/>
  <c r="EY118" i="11"/>
  <c r="EZ118" i="11"/>
  <c r="FA118" i="11"/>
  <c r="FB118" i="11"/>
  <c r="FC118" i="11"/>
  <c r="FD118" i="11"/>
  <c r="FE118" i="11"/>
  <c r="FF118" i="11"/>
  <c r="FG118" i="11"/>
  <c r="FH118" i="11"/>
  <c r="FI118" i="11"/>
  <c r="FJ118" i="11"/>
  <c r="FK118" i="11"/>
  <c r="FL118" i="11"/>
  <c r="FM118" i="11"/>
  <c r="FN118" i="11"/>
  <c r="FO118" i="11"/>
  <c r="FP118" i="11"/>
  <c r="FQ118" i="11"/>
  <c r="FR118" i="11"/>
  <c r="FS118" i="11"/>
  <c r="FT118" i="11"/>
  <c r="FU118" i="11"/>
  <c r="FV118" i="11"/>
  <c r="FW118" i="11"/>
  <c r="FX118" i="11"/>
  <c r="FY118" i="11"/>
  <c r="FZ118" i="11"/>
  <c r="GA118" i="11"/>
  <c r="GB118" i="11"/>
  <c r="GC118" i="11"/>
  <c r="GD118" i="11"/>
  <c r="GE118" i="11"/>
  <c r="GF118" i="11"/>
  <c r="GG118" i="11"/>
  <c r="GH118" i="11"/>
  <c r="GI118" i="11"/>
  <c r="GJ118" i="11"/>
  <c r="GK118" i="11"/>
  <c r="GL118" i="11"/>
  <c r="GM118" i="11"/>
  <c r="GN118" i="11"/>
  <c r="GO118" i="11"/>
  <c r="GP118" i="11"/>
  <c r="GQ118" i="11"/>
  <c r="GR118" i="11"/>
  <c r="GS118" i="11"/>
  <c r="GT118" i="11"/>
  <c r="GU118" i="11"/>
  <c r="GV118" i="11"/>
  <c r="GW118" i="11"/>
  <c r="GX118" i="11"/>
  <c r="GY118" i="11"/>
  <c r="GZ118" i="11"/>
  <c r="HA118" i="11"/>
  <c r="HB118" i="11"/>
  <c r="HC118" i="11"/>
  <c r="HD118" i="11"/>
  <c r="HE118" i="11"/>
  <c r="HF118" i="11"/>
  <c r="HG118" i="11"/>
  <c r="HH118" i="11"/>
  <c r="HI118" i="11"/>
  <c r="HJ118" i="11"/>
  <c r="HK118" i="11"/>
  <c r="HL118" i="11"/>
  <c r="HM118" i="11"/>
  <c r="HN118" i="11"/>
  <c r="HO118" i="11"/>
  <c r="HP118" i="11"/>
  <c r="HQ118" i="11"/>
  <c r="HR118" i="11"/>
  <c r="HS118" i="11"/>
  <c r="HT118" i="11"/>
  <c r="HU118" i="11"/>
  <c r="HV118" i="11"/>
  <c r="HW118" i="11"/>
  <c r="HX118" i="11"/>
  <c r="HY118" i="11"/>
  <c r="HZ118" i="11"/>
  <c r="IA118" i="11"/>
  <c r="IB118" i="11"/>
  <c r="IC118" i="11"/>
  <c r="ID118" i="11"/>
  <c r="IE118" i="11"/>
  <c r="IF118" i="11"/>
  <c r="IG118" i="11"/>
  <c r="IH118" i="11"/>
  <c r="II118" i="11"/>
  <c r="IJ118" i="11"/>
  <c r="IK118" i="11"/>
  <c r="IL118" i="11"/>
  <c r="IM118" i="11"/>
  <c r="IN118" i="11"/>
  <c r="IO118" i="11"/>
  <c r="IP118" i="11"/>
  <c r="IQ118" i="11"/>
  <c r="IR118" i="11"/>
  <c r="IS118" i="11"/>
  <c r="IT118" i="11"/>
  <c r="IU118" i="11"/>
  <c r="IV118"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F120" i="11"/>
  <c r="G120" i="11"/>
  <c r="H120" i="11"/>
  <c r="I120" i="11"/>
  <c r="J120" i="11"/>
  <c r="K120" i="11"/>
  <c r="L120" i="11"/>
  <c r="M120" i="11"/>
  <c r="N120" i="11"/>
  <c r="O120" i="11"/>
  <c r="P120" i="11"/>
  <c r="Q120" i="11"/>
  <c r="R120" i="11"/>
  <c r="S120" i="11"/>
  <c r="T120" i="11"/>
  <c r="U120" i="11"/>
  <c r="V120" i="11"/>
  <c r="W120" i="11"/>
  <c r="X120" i="11"/>
  <c r="Y120" i="11"/>
  <c r="Z120" i="11"/>
  <c r="AA120" i="11"/>
  <c r="AB120" i="11"/>
  <c r="AC120" i="11"/>
  <c r="AD120" i="11"/>
  <c r="AE120" i="11"/>
  <c r="AF120" i="11"/>
  <c r="AG120" i="11"/>
  <c r="AH120" i="11"/>
  <c r="AI120" i="11"/>
  <c r="AJ120" i="11"/>
  <c r="AK120" i="11"/>
  <c r="AL120" i="11"/>
  <c r="AM120" i="11"/>
  <c r="AN120" i="11"/>
  <c r="AO120" i="11"/>
  <c r="AP120" i="11"/>
  <c r="AQ120" i="11"/>
  <c r="AR120" i="11"/>
  <c r="AS120" i="11"/>
  <c r="AT120" i="11"/>
  <c r="AU120" i="11"/>
  <c r="AV120" i="11"/>
  <c r="AW120" i="11"/>
  <c r="AX120" i="11"/>
  <c r="AY120" i="11"/>
  <c r="AZ120" i="11"/>
  <c r="BA120" i="11"/>
  <c r="BB120" i="11"/>
  <c r="BC120" i="11"/>
  <c r="BD120" i="11"/>
  <c r="BE120" i="11"/>
  <c r="BF120" i="11"/>
  <c r="BG120" i="11"/>
  <c r="BH120" i="11"/>
  <c r="BI120" i="11"/>
  <c r="BJ120" i="11"/>
  <c r="BK120" i="11"/>
  <c r="BL120" i="11"/>
  <c r="BM120" i="11"/>
  <c r="BN120" i="11"/>
  <c r="BO120" i="11"/>
  <c r="BP120" i="11"/>
  <c r="BQ120" i="11"/>
  <c r="BR120" i="11"/>
  <c r="BS120" i="11"/>
  <c r="BT120" i="11"/>
  <c r="BU120" i="11"/>
  <c r="BV120" i="11"/>
  <c r="BW120" i="11"/>
  <c r="BX120" i="11"/>
  <c r="BY120" i="11"/>
  <c r="BZ120" i="11"/>
  <c r="CA120" i="11"/>
  <c r="CB120" i="11"/>
  <c r="CC120" i="11"/>
  <c r="CD120" i="11"/>
  <c r="CE120" i="11"/>
  <c r="CF120" i="11"/>
  <c r="CG120" i="11"/>
  <c r="CH120" i="11"/>
  <c r="CI120" i="11"/>
  <c r="CJ120" i="11"/>
  <c r="CK120" i="11"/>
  <c r="CL120" i="11"/>
  <c r="CM120" i="11"/>
  <c r="CN120" i="11"/>
  <c r="CO120" i="11"/>
  <c r="CP120" i="11"/>
  <c r="CQ120" i="11"/>
  <c r="CR120" i="11"/>
  <c r="CS120" i="11"/>
  <c r="CT120" i="11"/>
  <c r="CU120" i="11"/>
  <c r="CV120" i="11"/>
  <c r="CW120" i="11"/>
  <c r="CX120" i="11"/>
  <c r="CY120" i="11"/>
  <c r="CZ120" i="11"/>
  <c r="DA120" i="11"/>
  <c r="DB120" i="11"/>
  <c r="DC120" i="11"/>
  <c r="DD120" i="11"/>
  <c r="DE120" i="11"/>
  <c r="DF120" i="11"/>
  <c r="DG120" i="11"/>
  <c r="DH120" i="11"/>
  <c r="DI120" i="11"/>
  <c r="DJ120" i="11"/>
  <c r="DK120" i="11"/>
  <c r="DL120" i="11"/>
  <c r="DM120" i="11"/>
  <c r="DN120" i="11"/>
  <c r="DO120" i="11"/>
  <c r="DP120" i="11"/>
  <c r="DQ120" i="11"/>
  <c r="DR120" i="11"/>
  <c r="DS120" i="11"/>
  <c r="DT120" i="11"/>
  <c r="DU120" i="11"/>
  <c r="DV120" i="11"/>
  <c r="DW120" i="11"/>
  <c r="DX120" i="11"/>
  <c r="DY120" i="11"/>
  <c r="DZ120" i="11"/>
  <c r="EA120" i="11"/>
  <c r="EB120" i="11"/>
  <c r="EC120" i="11"/>
  <c r="ED120" i="11"/>
  <c r="EE120" i="11"/>
  <c r="EF120" i="11"/>
  <c r="EG120" i="11"/>
  <c r="EH120" i="11"/>
  <c r="EI120" i="11"/>
  <c r="EJ120" i="11"/>
  <c r="EK120" i="11"/>
  <c r="EL120" i="11"/>
  <c r="EM120" i="11"/>
  <c r="EN120" i="11"/>
  <c r="EO120" i="11"/>
  <c r="EP120" i="11"/>
  <c r="EQ120" i="11"/>
  <c r="ER120" i="11"/>
  <c r="ES120" i="11"/>
  <c r="ET120" i="11"/>
  <c r="EU120" i="11"/>
  <c r="EV120" i="11"/>
  <c r="EW120" i="11"/>
  <c r="EX120" i="11"/>
  <c r="EY120" i="11"/>
  <c r="EZ120" i="11"/>
  <c r="FA120" i="11"/>
  <c r="FB120" i="11"/>
  <c r="FC120" i="11"/>
  <c r="FD120" i="11"/>
  <c r="FE120" i="11"/>
  <c r="FF120" i="11"/>
  <c r="FG120" i="11"/>
  <c r="FH120" i="11"/>
  <c r="FI120" i="11"/>
  <c r="FJ120" i="11"/>
  <c r="FK120" i="11"/>
  <c r="FL120" i="11"/>
  <c r="FM120" i="11"/>
  <c r="FN120" i="11"/>
  <c r="FO120" i="11"/>
  <c r="FP120" i="11"/>
  <c r="FQ120" i="11"/>
  <c r="FR120" i="11"/>
  <c r="FS120" i="11"/>
  <c r="FT120" i="11"/>
  <c r="FU120" i="11"/>
  <c r="FV120" i="11"/>
  <c r="FW120" i="11"/>
  <c r="FX120" i="11"/>
  <c r="FY120" i="11"/>
  <c r="FZ120" i="11"/>
  <c r="GA120" i="11"/>
  <c r="GB120" i="11"/>
  <c r="GC120" i="11"/>
  <c r="GD120" i="11"/>
  <c r="GE120" i="11"/>
  <c r="GF120" i="11"/>
  <c r="GG120" i="11"/>
  <c r="GH120" i="11"/>
  <c r="GI120" i="11"/>
  <c r="GJ120" i="11"/>
  <c r="GK120" i="11"/>
  <c r="GL120" i="11"/>
  <c r="GM120" i="11"/>
  <c r="GN120" i="11"/>
  <c r="GO120" i="11"/>
  <c r="GP120" i="11"/>
  <c r="GQ120" i="11"/>
  <c r="GR120" i="11"/>
  <c r="GS120" i="11"/>
  <c r="GT120" i="11"/>
  <c r="GU120" i="11"/>
  <c r="GV120" i="11"/>
  <c r="GW120" i="11"/>
  <c r="GX120" i="11"/>
  <c r="GY120" i="11"/>
  <c r="GZ120" i="11"/>
  <c r="HA120" i="11"/>
  <c r="HB120" i="11"/>
  <c r="HC120" i="11"/>
  <c r="HD120" i="11"/>
  <c r="HE120" i="11"/>
  <c r="HF120" i="11"/>
  <c r="HG120" i="11"/>
  <c r="HH120" i="11"/>
  <c r="HI120" i="11"/>
  <c r="HJ120" i="11"/>
  <c r="HK120" i="11"/>
  <c r="HL120" i="11"/>
  <c r="HM120" i="11"/>
  <c r="HN120" i="11"/>
  <c r="HO120" i="11"/>
  <c r="HP120" i="11"/>
  <c r="HQ120" i="11"/>
  <c r="HR120" i="11"/>
  <c r="HS120" i="11"/>
  <c r="HT120" i="11"/>
  <c r="HU120" i="11"/>
  <c r="HV120" i="11"/>
  <c r="HW120" i="11"/>
  <c r="HX120" i="11"/>
  <c r="HY120" i="11"/>
  <c r="HZ120" i="11"/>
  <c r="IA120" i="11"/>
  <c r="IB120" i="11"/>
  <c r="IC120" i="11"/>
  <c r="ID120" i="11"/>
  <c r="IE120" i="11"/>
  <c r="IF120" i="11"/>
  <c r="IG120" i="11"/>
  <c r="IH120" i="11"/>
  <c r="II120" i="11"/>
  <c r="IJ120" i="11"/>
  <c r="IK120" i="11"/>
  <c r="IL120" i="11"/>
  <c r="IM120" i="11"/>
  <c r="IN120" i="11"/>
  <c r="IO120" i="11"/>
  <c r="IP120" i="11"/>
  <c r="IQ120" i="11"/>
  <c r="IR120" i="11"/>
  <c r="IS120" i="11"/>
  <c r="IT120" i="11"/>
  <c r="IU120" i="11"/>
  <c r="IV120" i="11"/>
  <c r="F121" i="11"/>
  <c r="G121" i="11"/>
  <c r="H121" i="11"/>
  <c r="I121" i="11"/>
  <c r="J121" i="11"/>
  <c r="K121" i="11"/>
  <c r="L121" i="11"/>
  <c r="M121" i="11"/>
  <c r="N121" i="11"/>
  <c r="O121" i="11"/>
  <c r="P121" i="11"/>
  <c r="Q121" i="11"/>
  <c r="R121" i="11"/>
  <c r="S121" i="11"/>
  <c r="T121" i="11"/>
  <c r="U121" i="11"/>
  <c r="V121" i="11"/>
  <c r="W121" i="11"/>
  <c r="X121" i="11"/>
  <c r="Y121" i="11"/>
  <c r="Z121" i="11"/>
  <c r="AA121" i="11"/>
  <c r="AB121" i="11"/>
  <c r="AC121" i="11"/>
  <c r="AD121" i="11"/>
  <c r="AE121" i="11"/>
  <c r="AF121" i="11"/>
  <c r="AG121" i="11"/>
  <c r="AH121" i="11"/>
  <c r="AI121" i="11"/>
  <c r="AJ121" i="11"/>
  <c r="AK121" i="11"/>
  <c r="AL121" i="11"/>
  <c r="AM121" i="11"/>
  <c r="AN121" i="11"/>
  <c r="AO121" i="11"/>
  <c r="AP121" i="11"/>
  <c r="AQ121" i="11"/>
  <c r="AR121" i="11"/>
  <c r="AS121" i="11"/>
  <c r="AT121" i="11"/>
  <c r="AU121" i="11"/>
  <c r="AV121" i="11"/>
  <c r="AW121" i="11"/>
  <c r="AX121" i="11"/>
  <c r="AY121" i="11"/>
  <c r="AZ121" i="11"/>
  <c r="BA121" i="11"/>
  <c r="BB121" i="11"/>
  <c r="BC121" i="11"/>
  <c r="BD121" i="11"/>
  <c r="BE121" i="11"/>
  <c r="BF121" i="11"/>
  <c r="BG121" i="11"/>
  <c r="BH121" i="11"/>
  <c r="BI121" i="11"/>
  <c r="BJ121" i="11"/>
  <c r="BK121" i="11"/>
  <c r="BL121" i="11"/>
  <c r="BM121" i="11"/>
  <c r="BN121" i="11"/>
  <c r="BO121" i="11"/>
  <c r="BP121" i="11"/>
  <c r="BQ121" i="11"/>
  <c r="BR121" i="11"/>
  <c r="BS121" i="11"/>
  <c r="BT121" i="11"/>
  <c r="BU121" i="11"/>
  <c r="BV121" i="11"/>
  <c r="BW121" i="11"/>
  <c r="BX121" i="11"/>
  <c r="BY121" i="11"/>
  <c r="BZ121" i="11"/>
  <c r="CA121" i="11"/>
  <c r="CB121" i="11"/>
  <c r="CC121" i="11"/>
  <c r="CD121" i="11"/>
  <c r="CE121" i="11"/>
  <c r="CF121" i="11"/>
  <c r="CG121" i="11"/>
  <c r="CH121" i="11"/>
  <c r="CI121" i="11"/>
  <c r="CJ121" i="11"/>
  <c r="CK121" i="11"/>
  <c r="CL121" i="11"/>
  <c r="CM121" i="11"/>
  <c r="CN121" i="11"/>
  <c r="CO121" i="11"/>
  <c r="CP121" i="11"/>
  <c r="CQ121" i="11"/>
  <c r="CR121" i="11"/>
  <c r="CS121" i="11"/>
  <c r="CT121" i="11"/>
  <c r="CU121" i="11"/>
  <c r="CV121" i="11"/>
  <c r="CW121" i="11"/>
  <c r="CX121" i="11"/>
  <c r="CY121" i="11"/>
  <c r="CZ121" i="11"/>
  <c r="DA121" i="11"/>
  <c r="DB121" i="11"/>
  <c r="DC121" i="11"/>
  <c r="DD121" i="11"/>
  <c r="DE121" i="11"/>
  <c r="DF121" i="11"/>
  <c r="DG121" i="11"/>
  <c r="DH121" i="11"/>
  <c r="DI121" i="11"/>
  <c r="DJ121" i="11"/>
  <c r="DK121" i="11"/>
  <c r="DL121" i="11"/>
  <c r="DM121" i="11"/>
  <c r="DN121" i="11"/>
  <c r="DO121" i="11"/>
  <c r="DP121" i="11"/>
  <c r="DQ121" i="11"/>
  <c r="DR121" i="11"/>
  <c r="DS121" i="11"/>
  <c r="DT121" i="11"/>
  <c r="DU121" i="11"/>
  <c r="DV121" i="11"/>
  <c r="DW121" i="11"/>
  <c r="DX121" i="11"/>
  <c r="DY121" i="11"/>
  <c r="DZ121" i="11"/>
  <c r="EA121" i="11"/>
  <c r="EB121" i="11"/>
  <c r="EC121" i="11"/>
  <c r="ED121" i="11"/>
  <c r="EE121" i="11"/>
  <c r="EF121" i="11"/>
  <c r="EG121" i="11"/>
  <c r="EH121" i="11"/>
  <c r="EI121" i="11"/>
  <c r="EJ121" i="11"/>
  <c r="EK121" i="11"/>
  <c r="EL121" i="11"/>
  <c r="EM121" i="11"/>
  <c r="EN121" i="11"/>
  <c r="EO121" i="11"/>
  <c r="EP121" i="11"/>
  <c r="EQ121" i="11"/>
  <c r="ER121" i="11"/>
  <c r="ES121" i="11"/>
  <c r="ET121" i="11"/>
  <c r="EU121" i="11"/>
  <c r="EV121" i="11"/>
  <c r="EW121" i="11"/>
  <c r="EX121" i="11"/>
  <c r="EY121" i="11"/>
  <c r="EZ121" i="11"/>
  <c r="FA121" i="11"/>
  <c r="FB121" i="11"/>
  <c r="FC121" i="11"/>
  <c r="FD121" i="11"/>
  <c r="FE121" i="11"/>
  <c r="FF121" i="11"/>
  <c r="FG121" i="11"/>
  <c r="FH121" i="11"/>
  <c r="FI121" i="11"/>
  <c r="FJ121" i="11"/>
  <c r="FK121" i="11"/>
  <c r="FL121" i="11"/>
  <c r="FM121" i="11"/>
  <c r="FN121" i="11"/>
  <c r="FO121" i="11"/>
  <c r="FP121" i="11"/>
  <c r="FQ121" i="11"/>
  <c r="FR121" i="11"/>
  <c r="FS121" i="11"/>
  <c r="FT121" i="11"/>
  <c r="FU121" i="11"/>
  <c r="FV121" i="11"/>
  <c r="FW121" i="11"/>
  <c r="FX121" i="11"/>
  <c r="FY121" i="11"/>
  <c r="FZ121" i="11"/>
  <c r="GA121" i="11"/>
  <c r="GB121" i="11"/>
  <c r="GC121" i="11"/>
  <c r="GD121" i="11"/>
  <c r="GE121" i="11"/>
  <c r="GF121" i="11"/>
  <c r="GG121" i="11"/>
  <c r="GH121" i="11"/>
  <c r="GI121" i="11"/>
  <c r="GJ121" i="11"/>
  <c r="GK121" i="11"/>
  <c r="GL121" i="11"/>
  <c r="GM121" i="11"/>
  <c r="GN121" i="11"/>
  <c r="GO121" i="11"/>
  <c r="GP121" i="11"/>
  <c r="GQ121" i="11"/>
  <c r="GR121" i="11"/>
  <c r="GS121" i="11"/>
  <c r="GT121" i="11"/>
  <c r="GU121" i="11"/>
  <c r="GV121" i="11"/>
  <c r="GW121" i="11"/>
  <c r="GX121" i="11"/>
  <c r="GY121" i="11"/>
  <c r="GZ121" i="11"/>
  <c r="HA121" i="11"/>
  <c r="HB121" i="11"/>
  <c r="HC121" i="11"/>
  <c r="HD121" i="11"/>
  <c r="HE121" i="11"/>
  <c r="HF121" i="11"/>
  <c r="HG121" i="11"/>
  <c r="HH121" i="11"/>
  <c r="HI121" i="11"/>
  <c r="HJ121" i="11"/>
  <c r="HK121" i="11"/>
  <c r="HL121" i="11"/>
  <c r="HM121" i="11"/>
  <c r="HN121" i="11"/>
  <c r="HO121" i="11"/>
  <c r="HP121" i="11"/>
  <c r="HQ121" i="11"/>
  <c r="HR121" i="11"/>
  <c r="HS121" i="11"/>
  <c r="HT121" i="11"/>
  <c r="HU121" i="11"/>
  <c r="HV121" i="11"/>
  <c r="HW121" i="11"/>
  <c r="HX121" i="11"/>
  <c r="HY121" i="11"/>
  <c r="HZ121" i="11"/>
  <c r="IA121" i="11"/>
  <c r="IB121" i="11"/>
  <c r="IC121" i="11"/>
  <c r="ID121" i="11"/>
  <c r="IE121" i="11"/>
  <c r="IF121" i="11"/>
  <c r="IG121" i="11"/>
  <c r="IH121" i="11"/>
  <c r="II121" i="11"/>
  <c r="IJ121" i="11"/>
  <c r="IK121" i="11"/>
  <c r="IL121" i="11"/>
  <c r="IM121" i="11"/>
  <c r="IN121" i="11"/>
  <c r="IO121" i="11"/>
  <c r="IP121" i="11"/>
  <c r="IQ121" i="11"/>
  <c r="IR121" i="11"/>
  <c r="IS121" i="11"/>
  <c r="IT121" i="11"/>
  <c r="IU121" i="11"/>
  <c r="IV121" i="11"/>
  <c r="F122" i="11"/>
  <c r="G122" i="11"/>
  <c r="H122" i="11"/>
  <c r="I122" i="11"/>
  <c r="J122" i="11"/>
  <c r="K122" i="11"/>
  <c r="L122" i="11"/>
  <c r="M122" i="11"/>
  <c r="N122" i="11"/>
  <c r="O122" i="11"/>
  <c r="P122" i="11"/>
  <c r="Q122" i="11"/>
  <c r="R122" i="11"/>
  <c r="S122" i="11"/>
  <c r="T122" i="11"/>
  <c r="U122" i="11"/>
  <c r="V122" i="11"/>
  <c r="W122" i="11"/>
  <c r="X122" i="11"/>
  <c r="Y122" i="11"/>
  <c r="Z122" i="11"/>
  <c r="AA122" i="11"/>
  <c r="AB122" i="11"/>
  <c r="AC122" i="11"/>
  <c r="AD122" i="11"/>
  <c r="AE122" i="11"/>
  <c r="AF122" i="11"/>
  <c r="AG122" i="11"/>
  <c r="AH122" i="11"/>
  <c r="AI122" i="11"/>
  <c r="AJ122" i="11"/>
  <c r="AK122" i="11"/>
  <c r="AL122" i="11"/>
  <c r="AM122" i="11"/>
  <c r="AN122" i="11"/>
  <c r="AO122" i="11"/>
  <c r="AP122" i="11"/>
  <c r="AQ122" i="11"/>
  <c r="AR122" i="11"/>
  <c r="AS122" i="11"/>
  <c r="AT122" i="11"/>
  <c r="AU122" i="11"/>
  <c r="AV122" i="11"/>
  <c r="AW122" i="11"/>
  <c r="AX122" i="11"/>
  <c r="AY122" i="11"/>
  <c r="AZ122" i="11"/>
  <c r="BA122" i="11"/>
  <c r="BB122" i="11"/>
  <c r="BC122" i="11"/>
  <c r="BD122" i="11"/>
  <c r="BE122" i="11"/>
  <c r="BF122" i="11"/>
  <c r="BG122" i="11"/>
  <c r="BH122" i="11"/>
  <c r="BI122" i="11"/>
  <c r="BJ122" i="11"/>
  <c r="BK122" i="11"/>
  <c r="BL122" i="11"/>
  <c r="BM122" i="11"/>
  <c r="BN122" i="11"/>
  <c r="BO122" i="11"/>
  <c r="BP122" i="11"/>
  <c r="BQ122" i="11"/>
  <c r="BR122" i="11"/>
  <c r="BS122" i="11"/>
  <c r="BT122" i="11"/>
  <c r="BU122" i="11"/>
  <c r="BV122" i="11"/>
  <c r="BW122" i="11"/>
  <c r="BX122" i="11"/>
  <c r="BY122" i="11"/>
  <c r="BZ122" i="11"/>
  <c r="CA122" i="11"/>
  <c r="CB122" i="11"/>
  <c r="CC122" i="11"/>
  <c r="CD122" i="11"/>
  <c r="CE122" i="11"/>
  <c r="CF122" i="11"/>
  <c r="CG122" i="11"/>
  <c r="CH122" i="11"/>
  <c r="CI122" i="11"/>
  <c r="CJ122" i="11"/>
  <c r="CK122" i="11"/>
  <c r="CL122" i="11"/>
  <c r="CM122" i="11"/>
  <c r="CN122" i="11"/>
  <c r="CO122" i="11"/>
  <c r="CP122" i="11"/>
  <c r="CQ122" i="11"/>
  <c r="CR122" i="11"/>
  <c r="CS122" i="11"/>
  <c r="CT122" i="11"/>
  <c r="CU122" i="11"/>
  <c r="CV122" i="11"/>
  <c r="CW122" i="11"/>
  <c r="CX122" i="11"/>
  <c r="CY122" i="11"/>
  <c r="CZ122" i="11"/>
  <c r="DA122" i="11"/>
  <c r="DB122" i="11"/>
  <c r="DC122" i="11"/>
  <c r="DD122" i="11"/>
  <c r="DE122" i="11"/>
  <c r="DF122" i="11"/>
  <c r="DG122" i="11"/>
  <c r="DH122" i="11"/>
  <c r="DI122" i="11"/>
  <c r="DJ122" i="11"/>
  <c r="DK122" i="11"/>
  <c r="DL122" i="11"/>
  <c r="DM122" i="11"/>
  <c r="DN122" i="11"/>
  <c r="DO122" i="11"/>
  <c r="DP122" i="11"/>
  <c r="DQ122" i="11"/>
  <c r="DR122" i="11"/>
  <c r="DS122" i="11"/>
  <c r="DT122" i="11"/>
  <c r="DU122" i="11"/>
  <c r="DV122" i="11"/>
  <c r="DW122" i="11"/>
  <c r="DX122" i="11"/>
  <c r="DY122" i="11"/>
  <c r="DZ122" i="11"/>
  <c r="EA122" i="11"/>
  <c r="EB122" i="11"/>
  <c r="EC122" i="11"/>
  <c r="ED122" i="11"/>
  <c r="EE122" i="11"/>
  <c r="EF122" i="11"/>
  <c r="EG122" i="11"/>
  <c r="EH122" i="11"/>
  <c r="EI122" i="11"/>
  <c r="EJ122" i="11"/>
  <c r="EK122" i="11"/>
  <c r="EL122" i="11"/>
  <c r="EM122" i="11"/>
  <c r="EN122" i="11"/>
  <c r="EO122" i="11"/>
  <c r="EP122" i="11"/>
  <c r="EQ122" i="11"/>
  <c r="ER122" i="11"/>
  <c r="ES122" i="11"/>
  <c r="ET122" i="11"/>
  <c r="EU122" i="11"/>
  <c r="EV122" i="11"/>
  <c r="EW122" i="11"/>
  <c r="EX122" i="11"/>
  <c r="EY122" i="11"/>
  <c r="EZ122" i="11"/>
  <c r="FA122" i="11"/>
  <c r="FB122" i="11"/>
  <c r="FC122" i="11"/>
  <c r="FD122" i="11"/>
  <c r="FE122" i="11"/>
  <c r="FF122" i="11"/>
  <c r="FG122" i="11"/>
  <c r="FH122" i="11"/>
  <c r="FI122" i="11"/>
  <c r="FJ122" i="11"/>
  <c r="FK122" i="11"/>
  <c r="FL122" i="11"/>
  <c r="FM122" i="11"/>
  <c r="FN122" i="11"/>
  <c r="FO122" i="11"/>
  <c r="FP122" i="11"/>
  <c r="FQ122" i="11"/>
  <c r="FR122" i="11"/>
  <c r="FS122" i="11"/>
  <c r="FT122" i="11"/>
  <c r="FU122" i="11"/>
  <c r="FV122" i="11"/>
  <c r="FW122" i="11"/>
  <c r="FX122" i="11"/>
  <c r="FY122" i="11"/>
  <c r="FZ122" i="11"/>
  <c r="GA122" i="11"/>
  <c r="GB122" i="11"/>
  <c r="GC122" i="11"/>
  <c r="GD122" i="11"/>
  <c r="GE122" i="11"/>
  <c r="GF122" i="11"/>
  <c r="GG122" i="11"/>
  <c r="GH122" i="11"/>
  <c r="GI122" i="11"/>
  <c r="GJ122" i="11"/>
  <c r="GK122" i="11"/>
  <c r="GL122" i="11"/>
  <c r="GM122" i="11"/>
  <c r="GN122" i="11"/>
  <c r="GO122" i="11"/>
  <c r="GP122" i="11"/>
  <c r="GQ122" i="11"/>
  <c r="GR122" i="11"/>
  <c r="GS122" i="11"/>
  <c r="GT122" i="11"/>
  <c r="GU122" i="11"/>
  <c r="GV122" i="11"/>
  <c r="GW122" i="11"/>
  <c r="GX122" i="11"/>
  <c r="GY122" i="11"/>
  <c r="GZ122" i="11"/>
  <c r="HA122" i="11"/>
  <c r="HB122" i="11"/>
  <c r="HC122" i="11"/>
  <c r="HD122" i="11"/>
  <c r="HE122" i="11"/>
  <c r="HF122" i="11"/>
  <c r="HG122" i="11"/>
  <c r="HH122" i="11"/>
  <c r="HI122" i="11"/>
  <c r="HJ122" i="11"/>
  <c r="HK122" i="11"/>
  <c r="HL122" i="11"/>
  <c r="HM122" i="11"/>
  <c r="HN122" i="11"/>
  <c r="HO122" i="11"/>
  <c r="HP122" i="11"/>
  <c r="HQ122" i="11"/>
  <c r="HR122" i="11"/>
  <c r="HS122" i="11"/>
  <c r="HT122" i="11"/>
  <c r="HU122" i="11"/>
  <c r="HV122" i="11"/>
  <c r="HW122" i="11"/>
  <c r="HX122" i="11"/>
  <c r="HY122" i="11"/>
  <c r="HZ122" i="11"/>
  <c r="IA122" i="11"/>
  <c r="IB122" i="11"/>
  <c r="IC122" i="11"/>
  <c r="ID122" i="11"/>
  <c r="IE122" i="11"/>
  <c r="IF122" i="11"/>
  <c r="IG122" i="11"/>
  <c r="IH122" i="11"/>
  <c r="II122" i="11"/>
  <c r="IJ122" i="11"/>
  <c r="IK122" i="11"/>
  <c r="IL122" i="11"/>
  <c r="IM122" i="11"/>
  <c r="IN122" i="11"/>
  <c r="IO122" i="11"/>
  <c r="IP122" i="11"/>
  <c r="IQ122" i="11"/>
  <c r="IR122" i="11"/>
  <c r="IS122" i="11"/>
  <c r="IT122" i="11"/>
  <c r="IU122" i="11"/>
  <c r="IV122" i="11"/>
  <c r="F123" i="11"/>
  <c r="G123" i="11"/>
  <c r="H123" i="11"/>
  <c r="I123" i="11"/>
  <c r="J123" i="11"/>
  <c r="K123" i="11"/>
  <c r="L123" i="11"/>
  <c r="M123" i="11"/>
  <c r="N123" i="11"/>
  <c r="O123" i="11"/>
  <c r="P123" i="11"/>
  <c r="Q123" i="11"/>
  <c r="R123" i="11"/>
  <c r="S123" i="11"/>
  <c r="T123" i="11"/>
  <c r="U123" i="11"/>
  <c r="V123" i="11"/>
  <c r="W123" i="11"/>
  <c r="X123" i="11"/>
  <c r="Y123" i="11"/>
  <c r="Z123" i="11"/>
  <c r="AA123" i="11"/>
  <c r="AB123" i="11"/>
  <c r="AC123" i="11"/>
  <c r="AD123" i="11"/>
  <c r="AE123" i="11"/>
  <c r="AF123" i="11"/>
  <c r="AG123" i="11"/>
  <c r="AH123" i="11"/>
  <c r="AI123" i="11"/>
  <c r="AJ123" i="11"/>
  <c r="AK123" i="11"/>
  <c r="AL123" i="11"/>
  <c r="AM123" i="11"/>
  <c r="AN123" i="11"/>
  <c r="AO123" i="11"/>
  <c r="AP123" i="11"/>
  <c r="AQ123" i="11"/>
  <c r="AR123" i="11"/>
  <c r="AS123" i="11"/>
  <c r="AT123" i="11"/>
  <c r="AU123" i="11"/>
  <c r="AV123" i="11"/>
  <c r="AW123" i="11"/>
  <c r="AX123" i="11"/>
  <c r="AY123" i="11"/>
  <c r="AZ123" i="11"/>
  <c r="BA123" i="11"/>
  <c r="BB123" i="11"/>
  <c r="BC123" i="11"/>
  <c r="BD123" i="11"/>
  <c r="BE123" i="11"/>
  <c r="BF123" i="11"/>
  <c r="BG123" i="11"/>
  <c r="BH123" i="11"/>
  <c r="BI123" i="11"/>
  <c r="BJ123" i="11"/>
  <c r="BK123" i="11"/>
  <c r="BL123" i="11"/>
  <c r="BM123" i="11"/>
  <c r="BN123" i="11"/>
  <c r="BO123" i="11"/>
  <c r="BP123" i="11"/>
  <c r="BQ123" i="11"/>
  <c r="BR123" i="11"/>
  <c r="BS123" i="11"/>
  <c r="BT123" i="11"/>
  <c r="BU123" i="11"/>
  <c r="BV123" i="11"/>
  <c r="BW123" i="11"/>
  <c r="BX123" i="11"/>
  <c r="BY123" i="11"/>
  <c r="BZ123" i="11"/>
  <c r="CA123" i="11"/>
  <c r="CB123" i="11"/>
  <c r="CC123" i="11"/>
  <c r="CD123" i="11"/>
  <c r="CE123" i="11"/>
  <c r="CF123" i="11"/>
  <c r="CG123" i="11"/>
  <c r="CH123" i="11"/>
  <c r="CI123" i="11"/>
  <c r="CJ123" i="11"/>
  <c r="CK123" i="11"/>
  <c r="CL123" i="11"/>
  <c r="CM123" i="11"/>
  <c r="CN123" i="11"/>
  <c r="CO123" i="11"/>
  <c r="CP123" i="11"/>
  <c r="CQ123" i="11"/>
  <c r="CR123" i="11"/>
  <c r="CS123" i="11"/>
  <c r="CT123" i="11"/>
  <c r="CU123" i="11"/>
  <c r="CV123" i="11"/>
  <c r="CW123" i="11"/>
  <c r="CX123" i="11"/>
  <c r="CY123" i="11"/>
  <c r="CZ123" i="11"/>
  <c r="DA123" i="11"/>
  <c r="DB123" i="11"/>
  <c r="DC123" i="11"/>
  <c r="DD123" i="11"/>
  <c r="DE123" i="11"/>
  <c r="DF123" i="11"/>
  <c r="DG123" i="11"/>
  <c r="DH123" i="11"/>
  <c r="DI123" i="11"/>
  <c r="DJ123" i="11"/>
  <c r="DK123" i="11"/>
  <c r="DL123" i="11"/>
  <c r="DM123" i="11"/>
  <c r="DN123" i="11"/>
  <c r="DO123" i="11"/>
  <c r="DP123" i="11"/>
  <c r="DQ123" i="11"/>
  <c r="DR123" i="11"/>
  <c r="DS123" i="11"/>
  <c r="DT123" i="11"/>
  <c r="DU123" i="11"/>
  <c r="DV123" i="11"/>
  <c r="DW123" i="11"/>
  <c r="DX123" i="11"/>
  <c r="DY123" i="11"/>
  <c r="DZ123" i="11"/>
  <c r="EA123" i="11"/>
  <c r="EB123" i="11"/>
  <c r="EC123" i="11"/>
  <c r="ED123" i="11"/>
  <c r="EE123" i="11"/>
  <c r="EF123" i="11"/>
  <c r="EG123" i="11"/>
  <c r="EH123" i="11"/>
  <c r="EI123" i="11"/>
  <c r="EJ123" i="11"/>
  <c r="EK123" i="11"/>
  <c r="EL123" i="11"/>
  <c r="EM123" i="11"/>
  <c r="EN123" i="11"/>
  <c r="EO123" i="11"/>
  <c r="EP123" i="11"/>
  <c r="EQ123" i="11"/>
  <c r="ER123" i="11"/>
  <c r="ES123" i="11"/>
  <c r="ET123" i="11"/>
  <c r="EU123" i="11"/>
  <c r="EV123" i="11"/>
  <c r="EW123" i="11"/>
  <c r="EX123" i="11"/>
  <c r="EY123" i="11"/>
  <c r="EZ123" i="11"/>
  <c r="FA123" i="11"/>
  <c r="FB123" i="11"/>
  <c r="FC123" i="11"/>
  <c r="FD123" i="11"/>
  <c r="FE123" i="11"/>
  <c r="FF123" i="11"/>
  <c r="FG123" i="11"/>
  <c r="FH123" i="11"/>
  <c r="FI123" i="11"/>
  <c r="FJ123" i="11"/>
  <c r="FK123" i="11"/>
  <c r="FL123" i="11"/>
  <c r="FM123" i="11"/>
  <c r="FN123" i="11"/>
  <c r="FO123" i="11"/>
  <c r="FP123" i="11"/>
  <c r="FQ123" i="11"/>
  <c r="FR123" i="11"/>
  <c r="FS123" i="11"/>
  <c r="FT123" i="11"/>
  <c r="FU123" i="11"/>
  <c r="FV123" i="11"/>
  <c r="FW123" i="11"/>
  <c r="FX123" i="11"/>
  <c r="FY123" i="11"/>
  <c r="FZ123" i="11"/>
  <c r="GA123" i="11"/>
  <c r="GB123" i="11"/>
  <c r="GC123" i="11"/>
  <c r="GD123" i="11"/>
  <c r="GE123" i="11"/>
  <c r="GF123" i="11"/>
  <c r="GG123" i="11"/>
  <c r="GH123" i="11"/>
  <c r="GI123" i="11"/>
  <c r="GJ123" i="11"/>
  <c r="GK123" i="11"/>
  <c r="GL123" i="11"/>
  <c r="GM123" i="11"/>
  <c r="GN123" i="11"/>
  <c r="GO123" i="11"/>
  <c r="GP123" i="11"/>
  <c r="GQ123" i="11"/>
  <c r="GR123" i="11"/>
  <c r="GS123" i="11"/>
  <c r="GT123" i="11"/>
  <c r="GU123" i="11"/>
  <c r="GV123" i="11"/>
  <c r="GW123" i="11"/>
  <c r="GX123" i="11"/>
  <c r="GY123" i="11"/>
  <c r="GZ123" i="11"/>
  <c r="HA123" i="11"/>
  <c r="HB123" i="11"/>
  <c r="HC123" i="11"/>
  <c r="HD123" i="11"/>
  <c r="HE123" i="11"/>
  <c r="HF123" i="11"/>
  <c r="HG123" i="11"/>
  <c r="HH123" i="11"/>
  <c r="HI123" i="11"/>
  <c r="HJ123" i="11"/>
  <c r="HK123" i="11"/>
  <c r="HL123" i="11"/>
  <c r="HM123" i="11"/>
  <c r="HN123" i="11"/>
  <c r="HO123" i="11"/>
  <c r="HP123" i="11"/>
  <c r="HQ123" i="11"/>
  <c r="HR123" i="11"/>
  <c r="HS123" i="11"/>
  <c r="HT123" i="11"/>
  <c r="HU123" i="11"/>
  <c r="HV123" i="11"/>
  <c r="HW123" i="11"/>
  <c r="HX123" i="11"/>
  <c r="HY123" i="11"/>
  <c r="HZ123" i="11"/>
  <c r="IA123" i="11"/>
  <c r="IB123" i="11"/>
  <c r="IC123" i="11"/>
  <c r="ID123" i="11"/>
  <c r="IE123" i="11"/>
  <c r="IF123" i="11"/>
  <c r="IG123" i="11"/>
  <c r="IH123" i="11"/>
  <c r="II123" i="11"/>
  <c r="IJ123" i="11"/>
  <c r="IK123" i="11"/>
  <c r="IL123" i="11"/>
  <c r="IM123" i="11"/>
  <c r="IN123" i="11"/>
  <c r="IO123" i="11"/>
  <c r="IP123" i="11"/>
  <c r="IQ123" i="11"/>
  <c r="IR123" i="11"/>
  <c r="IS123" i="11"/>
  <c r="IT123" i="11"/>
  <c r="IU123" i="11"/>
  <c r="IV123" i="11"/>
  <c r="F124" i="11"/>
  <c r="G124" i="11"/>
  <c r="H124" i="11"/>
  <c r="I124" i="11"/>
  <c r="J124" i="11"/>
  <c r="K124" i="11"/>
  <c r="L124" i="11"/>
  <c r="M124" i="11"/>
  <c r="N124" i="11"/>
  <c r="O124" i="11"/>
  <c r="P124" i="11"/>
  <c r="Q124" i="11"/>
  <c r="R124" i="11"/>
  <c r="S124" i="11"/>
  <c r="T124" i="11"/>
  <c r="U124" i="11"/>
  <c r="V124" i="11"/>
  <c r="W124" i="11"/>
  <c r="X124" i="11"/>
  <c r="Y124" i="11"/>
  <c r="Z124" i="11"/>
  <c r="AA124" i="11"/>
  <c r="AB124" i="11"/>
  <c r="AC124" i="11"/>
  <c r="AD124" i="11"/>
  <c r="AE124" i="11"/>
  <c r="AF124" i="11"/>
  <c r="AG124" i="11"/>
  <c r="AH124" i="11"/>
  <c r="AI124" i="11"/>
  <c r="AJ124" i="11"/>
  <c r="AK124" i="11"/>
  <c r="AL124" i="11"/>
  <c r="AM124" i="11"/>
  <c r="AN124" i="11"/>
  <c r="AO124" i="11"/>
  <c r="AP124" i="11"/>
  <c r="AQ124" i="11"/>
  <c r="AR124" i="11"/>
  <c r="AS124" i="11"/>
  <c r="AT124" i="11"/>
  <c r="AU124" i="11"/>
  <c r="AV124" i="11"/>
  <c r="AW124" i="11"/>
  <c r="AX124" i="11"/>
  <c r="AY124" i="11"/>
  <c r="AZ124" i="11"/>
  <c r="BA124" i="11"/>
  <c r="BB124" i="11"/>
  <c r="BC124" i="11"/>
  <c r="BD124" i="11"/>
  <c r="BE124" i="11"/>
  <c r="BF124" i="11"/>
  <c r="BG124" i="11"/>
  <c r="BH124" i="11"/>
  <c r="BI124" i="11"/>
  <c r="BJ124" i="11"/>
  <c r="BK124" i="11"/>
  <c r="BL124" i="11"/>
  <c r="BM124" i="11"/>
  <c r="BN124" i="11"/>
  <c r="BO124" i="11"/>
  <c r="BP124" i="11"/>
  <c r="BQ124" i="11"/>
  <c r="BR124" i="11"/>
  <c r="BS124" i="11"/>
  <c r="BT124" i="11"/>
  <c r="BU124" i="11"/>
  <c r="BV124" i="11"/>
  <c r="BW124" i="11"/>
  <c r="BX124" i="11"/>
  <c r="BY124" i="11"/>
  <c r="BZ124" i="11"/>
  <c r="CA124" i="11"/>
  <c r="CB124" i="11"/>
  <c r="CC124" i="11"/>
  <c r="CD124" i="11"/>
  <c r="CE124" i="11"/>
  <c r="CF124" i="11"/>
  <c r="CG124" i="11"/>
  <c r="CH124" i="11"/>
  <c r="CI124" i="11"/>
  <c r="CJ124" i="11"/>
  <c r="CK124" i="11"/>
  <c r="CL124" i="11"/>
  <c r="CM124" i="11"/>
  <c r="CN124" i="11"/>
  <c r="CO124" i="11"/>
  <c r="CP124" i="11"/>
  <c r="CQ124" i="11"/>
  <c r="CR124" i="11"/>
  <c r="CS124" i="11"/>
  <c r="CT124" i="11"/>
  <c r="CU124" i="11"/>
  <c r="CV124" i="11"/>
  <c r="CW124" i="11"/>
  <c r="CX124" i="11"/>
  <c r="CY124" i="11"/>
  <c r="CZ124" i="11"/>
  <c r="DA124" i="11"/>
  <c r="DB124" i="11"/>
  <c r="DC124" i="11"/>
  <c r="DD124" i="11"/>
  <c r="DE124" i="11"/>
  <c r="DF124" i="11"/>
  <c r="DG124" i="11"/>
  <c r="DH124" i="11"/>
  <c r="DI124" i="11"/>
  <c r="DJ124" i="11"/>
  <c r="DK124" i="11"/>
  <c r="DL124" i="11"/>
  <c r="DM124" i="11"/>
  <c r="DN124" i="11"/>
  <c r="DO124" i="11"/>
  <c r="DP124" i="11"/>
  <c r="DQ124" i="11"/>
  <c r="DR124" i="11"/>
  <c r="DS124" i="11"/>
  <c r="DT124" i="11"/>
  <c r="DU124" i="11"/>
  <c r="DV124" i="11"/>
  <c r="DW124" i="11"/>
  <c r="DX124" i="11"/>
  <c r="DY124" i="11"/>
  <c r="DZ124" i="11"/>
  <c r="EA124" i="11"/>
  <c r="EB124" i="11"/>
  <c r="EC124" i="11"/>
  <c r="ED124" i="11"/>
  <c r="EE124" i="11"/>
  <c r="EF124" i="11"/>
  <c r="EG124" i="11"/>
  <c r="EH124" i="11"/>
  <c r="EI124" i="11"/>
  <c r="EJ124" i="11"/>
  <c r="EK124" i="11"/>
  <c r="EL124" i="11"/>
  <c r="EM124" i="11"/>
  <c r="EN124" i="11"/>
  <c r="EO124" i="11"/>
  <c r="EP124" i="11"/>
  <c r="EQ124" i="11"/>
  <c r="ER124" i="11"/>
  <c r="ES124" i="11"/>
  <c r="ET124" i="11"/>
  <c r="EU124" i="11"/>
  <c r="EV124" i="11"/>
  <c r="EW124" i="11"/>
  <c r="EX124" i="11"/>
  <c r="EY124" i="11"/>
  <c r="EZ124" i="11"/>
  <c r="FA124" i="11"/>
  <c r="FB124" i="11"/>
  <c r="FC124" i="11"/>
  <c r="FD124" i="11"/>
  <c r="FE124" i="11"/>
  <c r="FF124" i="11"/>
  <c r="FG124" i="11"/>
  <c r="FH124" i="11"/>
  <c r="FI124" i="11"/>
  <c r="FJ124" i="11"/>
  <c r="FK124" i="11"/>
  <c r="FL124" i="11"/>
  <c r="FM124" i="11"/>
  <c r="FN124" i="11"/>
  <c r="FO124" i="11"/>
  <c r="FP124" i="11"/>
  <c r="FQ124" i="11"/>
  <c r="FR124" i="11"/>
  <c r="FS124" i="11"/>
  <c r="FT124" i="11"/>
  <c r="FU124" i="11"/>
  <c r="FV124" i="11"/>
  <c r="FW124" i="11"/>
  <c r="FX124" i="11"/>
  <c r="FY124" i="11"/>
  <c r="FZ124" i="11"/>
  <c r="GA124" i="11"/>
  <c r="GB124" i="11"/>
  <c r="GC124" i="11"/>
  <c r="GD124" i="11"/>
  <c r="GE124" i="11"/>
  <c r="GF124" i="11"/>
  <c r="GG124" i="11"/>
  <c r="GH124" i="11"/>
  <c r="GI124" i="11"/>
  <c r="GJ124" i="11"/>
  <c r="GK124" i="11"/>
  <c r="GL124" i="11"/>
  <c r="GM124" i="11"/>
  <c r="GN124" i="11"/>
  <c r="GO124" i="11"/>
  <c r="GP124" i="11"/>
  <c r="GQ124" i="11"/>
  <c r="GR124" i="11"/>
  <c r="GS124" i="11"/>
  <c r="GT124" i="11"/>
  <c r="GU124" i="11"/>
  <c r="GV124" i="11"/>
  <c r="GW124" i="11"/>
  <c r="GX124" i="11"/>
  <c r="GY124" i="11"/>
  <c r="GZ124" i="11"/>
  <c r="HA124" i="11"/>
  <c r="HB124" i="11"/>
  <c r="HC124" i="11"/>
  <c r="HD124" i="11"/>
  <c r="HE124" i="11"/>
  <c r="HF124" i="11"/>
  <c r="HG124" i="11"/>
  <c r="HH124" i="11"/>
  <c r="HI124" i="11"/>
  <c r="HJ124" i="11"/>
  <c r="HK124" i="11"/>
  <c r="HL124" i="11"/>
  <c r="HM124" i="11"/>
  <c r="HN124" i="11"/>
  <c r="HO124" i="11"/>
  <c r="HP124" i="11"/>
  <c r="HQ124" i="11"/>
  <c r="HR124" i="11"/>
  <c r="HS124" i="11"/>
  <c r="HT124" i="11"/>
  <c r="HU124" i="11"/>
  <c r="HV124" i="11"/>
  <c r="HW124" i="11"/>
  <c r="HX124" i="11"/>
  <c r="HY124" i="11"/>
  <c r="HZ124" i="11"/>
  <c r="IA124" i="11"/>
  <c r="IB124" i="11"/>
  <c r="IC124" i="11"/>
  <c r="ID124" i="11"/>
  <c r="IE124" i="11"/>
  <c r="IF124" i="11"/>
  <c r="IG124" i="11"/>
  <c r="IH124" i="11"/>
  <c r="II124" i="11"/>
  <c r="IJ124" i="11"/>
  <c r="IK124" i="11"/>
  <c r="IL124" i="11"/>
  <c r="IM124" i="11"/>
  <c r="IN124" i="11"/>
  <c r="IO124" i="11"/>
  <c r="IP124" i="11"/>
  <c r="IQ124" i="11"/>
  <c r="IR124" i="11"/>
  <c r="IS124" i="11"/>
  <c r="IT124" i="11"/>
  <c r="IU124" i="11"/>
  <c r="IV124" i="11"/>
  <c r="F125" i="11"/>
  <c r="G125" i="11"/>
  <c r="H125" i="11"/>
  <c r="I125" i="11"/>
  <c r="J125" i="11"/>
  <c r="K125" i="11"/>
  <c r="L125" i="11"/>
  <c r="M125" i="11"/>
  <c r="N125" i="11"/>
  <c r="O125" i="11"/>
  <c r="P125" i="11"/>
  <c r="Q125" i="11"/>
  <c r="R125" i="11"/>
  <c r="S125" i="11"/>
  <c r="T125" i="11"/>
  <c r="U125" i="11"/>
  <c r="V125" i="11"/>
  <c r="W125" i="11"/>
  <c r="X125" i="11"/>
  <c r="Y125" i="11"/>
  <c r="Z125" i="11"/>
  <c r="AA125" i="11"/>
  <c r="AB125" i="11"/>
  <c r="AC125" i="11"/>
  <c r="AD125" i="11"/>
  <c r="AE125" i="11"/>
  <c r="AF125" i="11"/>
  <c r="AG125" i="11"/>
  <c r="AH125" i="11"/>
  <c r="AI125" i="11"/>
  <c r="AJ125" i="11"/>
  <c r="AK125" i="11"/>
  <c r="AL125" i="11"/>
  <c r="AM125" i="11"/>
  <c r="AN125" i="11"/>
  <c r="AO125" i="11"/>
  <c r="AP125" i="11"/>
  <c r="AQ125" i="11"/>
  <c r="AR125" i="11"/>
  <c r="AS125" i="11"/>
  <c r="AT125" i="11"/>
  <c r="AU125" i="11"/>
  <c r="AV125" i="11"/>
  <c r="AW125" i="11"/>
  <c r="AX125" i="11"/>
  <c r="AY125" i="11"/>
  <c r="AZ125" i="11"/>
  <c r="BA125" i="11"/>
  <c r="BB125" i="11"/>
  <c r="BC125" i="11"/>
  <c r="BD125" i="11"/>
  <c r="BE125" i="11"/>
  <c r="BF125" i="11"/>
  <c r="BG125" i="11"/>
  <c r="BH125" i="11"/>
  <c r="BI125" i="11"/>
  <c r="BJ125" i="11"/>
  <c r="BK125" i="11"/>
  <c r="BL125" i="11"/>
  <c r="BM125" i="11"/>
  <c r="BN125" i="11"/>
  <c r="BO125" i="11"/>
  <c r="BP125" i="11"/>
  <c r="BQ125" i="11"/>
  <c r="BR125" i="11"/>
  <c r="BS125" i="11"/>
  <c r="BT125" i="11"/>
  <c r="BU125" i="11"/>
  <c r="BV125" i="11"/>
  <c r="BW125" i="11"/>
  <c r="BX125" i="11"/>
  <c r="BY125" i="11"/>
  <c r="BZ125" i="11"/>
  <c r="CA125" i="11"/>
  <c r="CB125" i="11"/>
  <c r="CC125" i="11"/>
  <c r="CD125" i="11"/>
  <c r="CE125" i="11"/>
  <c r="CF125" i="11"/>
  <c r="CG125" i="11"/>
  <c r="CH125" i="11"/>
  <c r="CI125" i="11"/>
  <c r="CJ125" i="11"/>
  <c r="CK125" i="11"/>
  <c r="CL125" i="11"/>
  <c r="CM125" i="11"/>
  <c r="CN125" i="11"/>
  <c r="CO125" i="11"/>
  <c r="CP125" i="11"/>
  <c r="CQ125" i="11"/>
  <c r="CR125" i="11"/>
  <c r="CS125" i="11"/>
  <c r="CT125" i="11"/>
  <c r="CU125" i="11"/>
  <c r="CV125" i="11"/>
  <c r="CW125" i="11"/>
  <c r="CX125" i="11"/>
  <c r="CY125" i="11"/>
  <c r="CZ125" i="11"/>
  <c r="DA125" i="11"/>
  <c r="DB125" i="11"/>
  <c r="DC125" i="11"/>
  <c r="DD125" i="11"/>
  <c r="DE125" i="11"/>
  <c r="DF125" i="11"/>
  <c r="DG125" i="11"/>
  <c r="DH125" i="11"/>
  <c r="DI125" i="11"/>
  <c r="DJ125" i="11"/>
  <c r="DK125" i="11"/>
  <c r="DL125" i="11"/>
  <c r="DM125" i="11"/>
  <c r="DN125" i="11"/>
  <c r="DO125" i="11"/>
  <c r="DP125" i="11"/>
  <c r="DQ125" i="11"/>
  <c r="DR125" i="11"/>
  <c r="DS125" i="11"/>
  <c r="DT125" i="11"/>
  <c r="DU125" i="11"/>
  <c r="DV125" i="11"/>
  <c r="DW125" i="11"/>
  <c r="DX125" i="11"/>
  <c r="DY125" i="11"/>
  <c r="DZ125" i="11"/>
  <c r="EA125" i="11"/>
  <c r="EB125" i="11"/>
  <c r="EC125" i="11"/>
  <c r="ED125" i="11"/>
  <c r="EE125" i="11"/>
  <c r="EF125" i="11"/>
  <c r="EG125" i="11"/>
  <c r="EH125" i="11"/>
  <c r="EI125" i="11"/>
  <c r="EJ125" i="11"/>
  <c r="EK125" i="11"/>
  <c r="EL125" i="11"/>
  <c r="EM125" i="11"/>
  <c r="EN125" i="11"/>
  <c r="EO125" i="11"/>
  <c r="EP125" i="11"/>
  <c r="EQ125" i="11"/>
  <c r="ER125" i="11"/>
  <c r="ES125" i="11"/>
  <c r="ET125" i="11"/>
  <c r="EU125" i="11"/>
  <c r="EV125" i="11"/>
  <c r="EW125" i="11"/>
  <c r="EX125" i="11"/>
  <c r="EY125" i="11"/>
  <c r="EZ125" i="11"/>
  <c r="FA125" i="11"/>
  <c r="FB125" i="11"/>
  <c r="FC125" i="11"/>
  <c r="FD125" i="11"/>
  <c r="FE125" i="11"/>
  <c r="FF125" i="11"/>
  <c r="FG125" i="11"/>
  <c r="FH125" i="11"/>
  <c r="FI125" i="11"/>
  <c r="FJ125" i="11"/>
  <c r="FK125" i="11"/>
  <c r="FL125" i="11"/>
  <c r="FM125" i="11"/>
  <c r="FN125" i="11"/>
  <c r="FO125" i="11"/>
  <c r="FP125" i="11"/>
  <c r="FQ125" i="11"/>
  <c r="FR125" i="11"/>
  <c r="FS125" i="11"/>
  <c r="FT125" i="11"/>
  <c r="FU125" i="11"/>
  <c r="FV125" i="11"/>
  <c r="FW125" i="11"/>
  <c r="FX125" i="11"/>
  <c r="FY125" i="11"/>
  <c r="FZ125" i="11"/>
  <c r="GA125" i="11"/>
  <c r="GB125" i="11"/>
  <c r="GC125" i="11"/>
  <c r="GD125" i="11"/>
  <c r="GE125" i="11"/>
  <c r="GF125" i="11"/>
  <c r="GG125" i="11"/>
  <c r="GH125" i="11"/>
  <c r="GI125" i="11"/>
  <c r="GJ125" i="11"/>
  <c r="GK125" i="11"/>
  <c r="GL125" i="11"/>
  <c r="GM125" i="11"/>
  <c r="GN125" i="11"/>
  <c r="GO125" i="11"/>
  <c r="GP125" i="11"/>
  <c r="GQ125" i="11"/>
  <c r="GR125" i="11"/>
  <c r="GS125" i="11"/>
  <c r="GT125" i="11"/>
  <c r="GU125" i="11"/>
  <c r="GV125" i="11"/>
  <c r="GW125" i="11"/>
  <c r="GX125" i="11"/>
  <c r="GY125" i="11"/>
  <c r="GZ125" i="11"/>
  <c r="HA125" i="11"/>
  <c r="HB125" i="11"/>
  <c r="HC125" i="11"/>
  <c r="HD125" i="11"/>
  <c r="HE125" i="11"/>
  <c r="HF125" i="11"/>
  <c r="HG125" i="11"/>
  <c r="HH125" i="11"/>
  <c r="HI125" i="11"/>
  <c r="HJ125" i="11"/>
  <c r="HK125" i="11"/>
  <c r="HL125" i="11"/>
  <c r="HM125" i="11"/>
  <c r="HN125" i="11"/>
  <c r="HO125" i="11"/>
  <c r="HP125" i="11"/>
  <c r="HQ125" i="11"/>
  <c r="HR125" i="11"/>
  <c r="HS125" i="11"/>
  <c r="HT125" i="11"/>
  <c r="HU125" i="11"/>
  <c r="HV125" i="11"/>
  <c r="HW125" i="11"/>
  <c r="HX125" i="11"/>
  <c r="HY125" i="11"/>
  <c r="HZ125" i="11"/>
  <c r="IA125" i="11"/>
  <c r="IB125" i="11"/>
  <c r="IC125" i="11"/>
  <c r="ID125" i="11"/>
  <c r="IE125" i="11"/>
  <c r="IF125" i="11"/>
  <c r="IG125" i="11"/>
  <c r="IH125" i="11"/>
  <c r="II125" i="11"/>
  <c r="IJ125" i="11"/>
  <c r="IK125" i="11"/>
  <c r="IL125" i="11"/>
  <c r="IM125" i="11"/>
  <c r="IN125" i="11"/>
  <c r="IO125" i="11"/>
  <c r="IP125" i="11"/>
  <c r="IQ125" i="11"/>
  <c r="IR125" i="11"/>
  <c r="IS125" i="11"/>
  <c r="IT125" i="11"/>
  <c r="IU125" i="11"/>
  <c r="IV125" i="11"/>
  <c r="F126" i="11"/>
  <c r="G126" i="11"/>
  <c r="H126" i="11"/>
  <c r="I126" i="11"/>
  <c r="J126" i="11"/>
  <c r="K126" i="11"/>
  <c r="L126" i="11"/>
  <c r="M126" i="11"/>
  <c r="N126" i="11"/>
  <c r="O126" i="11"/>
  <c r="P126" i="11"/>
  <c r="Q126" i="11"/>
  <c r="R126" i="11"/>
  <c r="S126" i="11"/>
  <c r="T126" i="11"/>
  <c r="U126" i="11"/>
  <c r="V126" i="11"/>
  <c r="W126" i="11"/>
  <c r="X126" i="11"/>
  <c r="Y126" i="11"/>
  <c r="Z126" i="11"/>
  <c r="AA126" i="11"/>
  <c r="AB126" i="11"/>
  <c r="AC126" i="11"/>
  <c r="AD126" i="11"/>
  <c r="AE126" i="11"/>
  <c r="AF126" i="11"/>
  <c r="AG126" i="11"/>
  <c r="AH126" i="11"/>
  <c r="AI126" i="11"/>
  <c r="AJ126" i="11"/>
  <c r="AK126" i="11"/>
  <c r="AL126" i="11"/>
  <c r="AM126" i="11"/>
  <c r="AN126" i="11"/>
  <c r="AO126" i="11"/>
  <c r="AP126" i="11"/>
  <c r="AQ126" i="11"/>
  <c r="AR126" i="11"/>
  <c r="AS126" i="11"/>
  <c r="AT126" i="11"/>
  <c r="AU126" i="11"/>
  <c r="AV126" i="11"/>
  <c r="AW126" i="11"/>
  <c r="AX126" i="11"/>
  <c r="AY126" i="11"/>
  <c r="AZ126" i="11"/>
  <c r="BA126" i="11"/>
  <c r="BB126" i="11"/>
  <c r="BC126" i="11"/>
  <c r="BD126" i="11"/>
  <c r="BE126" i="11"/>
  <c r="BF126" i="11"/>
  <c r="BG126" i="11"/>
  <c r="BH126" i="11"/>
  <c r="BI126" i="11"/>
  <c r="BJ126" i="11"/>
  <c r="BK126" i="11"/>
  <c r="BL126" i="11"/>
  <c r="BM126" i="11"/>
  <c r="BN126" i="11"/>
  <c r="BO126" i="11"/>
  <c r="BP126" i="11"/>
  <c r="BQ126" i="11"/>
  <c r="BR126" i="11"/>
  <c r="BS126" i="11"/>
  <c r="BT126" i="11"/>
  <c r="BU126" i="11"/>
  <c r="BV126" i="11"/>
  <c r="BW126" i="11"/>
  <c r="BX126" i="11"/>
  <c r="BY126" i="11"/>
  <c r="BZ126" i="11"/>
  <c r="CA126" i="11"/>
  <c r="CB126" i="11"/>
  <c r="CC126" i="11"/>
  <c r="CD126" i="11"/>
  <c r="CE126" i="11"/>
  <c r="CF126" i="11"/>
  <c r="CG126" i="11"/>
  <c r="CH126" i="11"/>
  <c r="CI126" i="11"/>
  <c r="CJ126" i="11"/>
  <c r="CK126" i="11"/>
  <c r="CL126" i="11"/>
  <c r="CM126" i="11"/>
  <c r="CN126" i="11"/>
  <c r="CO126" i="11"/>
  <c r="CP126" i="11"/>
  <c r="CQ126" i="11"/>
  <c r="CR126" i="11"/>
  <c r="CS126" i="11"/>
  <c r="CT126" i="11"/>
  <c r="CU126" i="11"/>
  <c r="CV126" i="11"/>
  <c r="CW126" i="11"/>
  <c r="CX126" i="11"/>
  <c r="CY126" i="11"/>
  <c r="CZ126" i="11"/>
  <c r="DA126" i="11"/>
  <c r="DB126" i="11"/>
  <c r="DC126" i="11"/>
  <c r="DD126" i="11"/>
  <c r="DE126" i="11"/>
  <c r="DF126" i="11"/>
  <c r="DG126" i="11"/>
  <c r="DH126" i="11"/>
  <c r="DI126" i="11"/>
  <c r="DJ126" i="11"/>
  <c r="DK126" i="11"/>
  <c r="DL126" i="11"/>
  <c r="DM126" i="11"/>
  <c r="DN126" i="11"/>
  <c r="DO126" i="11"/>
  <c r="DP126" i="11"/>
  <c r="DQ126" i="11"/>
  <c r="DR126" i="11"/>
  <c r="DS126" i="11"/>
  <c r="DT126" i="11"/>
  <c r="DU126" i="11"/>
  <c r="DV126" i="11"/>
  <c r="DW126" i="11"/>
  <c r="DX126" i="11"/>
  <c r="DY126" i="11"/>
  <c r="DZ126" i="11"/>
  <c r="EA126" i="11"/>
  <c r="EB126" i="11"/>
  <c r="EC126" i="11"/>
  <c r="ED126" i="11"/>
  <c r="EE126" i="11"/>
  <c r="EF126" i="11"/>
  <c r="EG126" i="11"/>
  <c r="EH126" i="11"/>
  <c r="EI126" i="11"/>
  <c r="EJ126" i="11"/>
  <c r="EK126" i="11"/>
  <c r="EL126" i="11"/>
  <c r="EM126" i="11"/>
  <c r="EN126" i="11"/>
  <c r="EO126" i="11"/>
  <c r="EP126" i="11"/>
  <c r="EQ126" i="11"/>
  <c r="ER126" i="11"/>
  <c r="ES126" i="11"/>
  <c r="ET126" i="11"/>
  <c r="EU126" i="11"/>
  <c r="EV126" i="11"/>
  <c r="EW126" i="11"/>
  <c r="EX126" i="11"/>
  <c r="EY126" i="11"/>
  <c r="EZ126" i="11"/>
  <c r="FA126" i="11"/>
  <c r="FB126" i="11"/>
  <c r="FC126" i="11"/>
  <c r="FD126" i="11"/>
  <c r="FE126" i="11"/>
  <c r="FF126" i="11"/>
  <c r="FG126" i="11"/>
  <c r="FH126" i="11"/>
  <c r="FI126" i="11"/>
  <c r="FJ126" i="11"/>
  <c r="FK126" i="11"/>
  <c r="FL126" i="11"/>
  <c r="FM126" i="11"/>
  <c r="FN126" i="11"/>
  <c r="FO126" i="11"/>
  <c r="FP126" i="11"/>
  <c r="FQ126" i="11"/>
  <c r="FR126" i="11"/>
  <c r="FS126" i="11"/>
  <c r="FT126" i="11"/>
  <c r="FU126" i="11"/>
  <c r="FV126" i="11"/>
  <c r="FW126" i="11"/>
  <c r="FX126" i="11"/>
  <c r="FY126" i="11"/>
  <c r="FZ126" i="11"/>
  <c r="GA126" i="11"/>
  <c r="GB126" i="11"/>
  <c r="GC126" i="11"/>
  <c r="GD126" i="11"/>
  <c r="GE126" i="11"/>
  <c r="GF126" i="11"/>
  <c r="GG126" i="11"/>
  <c r="GH126" i="11"/>
  <c r="GI126" i="11"/>
  <c r="GJ126" i="11"/>
  <c r="GK126" i="11"/>
  <c r="GL126" i="11"/>
  <c r="GM126" i="11"/>
  <c r="GN126" i="11"/>
  <c r="GO126" i="11"/>
  <c r="GP126" i="11"/>
  <c r="GQ126" i="11"/>
  <c r="GR126" i="11"/>
  <c r="GS126" i="11"/>
  <c r="GT126" i="11"/>
  <c r="GU126" i="11"/>
  <c r="GV126" i="11"/>
  <c r="GW126" i="11"/>
  <c r="GX126" i="11"/>
  <c r="GY126" i="11"/>
  <c r="GZ126" i="11"/>
  <c r="HA126" i="11"/>
  <c r="HB126" i="11"/>
  <c r="HC126" i="11"/>
  <c r="HD126" i="11"/>
  <c r="HE126" i="11"/>
  <c r="HF126" i="11"/>
  <c r="HG126" i="11"/>
  <c r="HH126" i="11"/>
  <c r="HI126" i="11"/>
  <c r="HJ126" i="11"/>
  <c r="HK126" i="11"/>
  <c r="HL126" i="11"/>
  <c r="HM126" i="11"/>
  <c r="HN126" i="11"/>
  <c r="HO126" i="11"/>
  <c r="HP126" i="11"/>
  <c r="HQ126" i="11"/>
  <c r="HR126" i="11"/>
  <c r="HS126" i="11"/>
  <c r="HT126" i="11"/>
  <c r="HU126" i="11"/>
  <c r="HV126" i="11"/>
  <c r="HW126" i="11"/>
  <c r="HX126" i="11"/>
  <c r="HY126" i="11"/>
  <c r="HZ126" i="11"/>
  <c r="IA126" i="11"/>
  <c r="IB126" i="11"/>
  <c r="IC126" i="11"/>
  <c r="ID126" i="11"/>
  <c r="IE126" i="11"/>
  <c r="IF126" i="11"/>
  <c r="IG126" i="11"/>
  <c r="IH126" i="11"/>
  <c r="II126" i="11"/>
  <c r="IJ126" i="11"/>
  <c r="IK126" i="11"/>
  <c r="IL126" i="11"/>
  <c r="IM126" i="11"/>
  <c r="IN126" i="11"/>
  <c r="IO126" i="11"/>
  <c r="IP126" i="11"/>
  <c r="IQ126" i="11"/>
  <c r="IR126" i="11"/>
  <c r="IS126" i="11"/>
  <c r="IT126" i="11"/>
  <c r="IU126" i="11"/>
  <c r="IV126" i="1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F128" i="11"/>
  <c r="G128" i="11"/>
  <c r="H128" i="11"/>
  <c r="I128" i="11"/>
  <c r="J128" i="11"/>
  <c r="K128" i="11"/>
  <c r="L128" i="11"/>
  <c r="M128" i="11"/>
  <c r="N128" i="11"/>
  <c r="O128" i="11"/>
  <c r="P128" i="11"/>
  <c r="Q128" i="11"/>
  <c r="R128" i="11"/>
  <c r="S128" i="11"/>
  <c r="T128" i="11"/>
  <c r="U128" i="11"/>
  <c r="V128" i="11"/>
  <c r="W128" i="11"/>
  <c r="X128" i="11"/>
  <c r="Y128" i="11"/>
  <c r="Z128" i="11"/>
  <c r="AA128" i="11"/>
  <c r="AB128" i="11"/>
  <c r="AC128" i="11"/>
  <c r="AD128" i="11"/>
  <c r="AE128" i="11"/>
  <c r="AF128" i="11"/>
  <c r="AG128" i="11"/>
  <c r="AH128" i="11"/>
  <c r="AI128" i="11"/>
  <c r="AJ128" i="11"/>
  <c r="AK128" i="11"/>
  <c r="AL128" i="11"/>
  <c r="AM128" i="11"/>
  <c r="AN128" i="11"/>
  <c r="AO128" i="11"/>
  <c r="AP128" i="11"/>
  <c r="AQ128" i="11"/>
  <c r="AR128" i="11"/>
  <c r="AS128" i="11"/>
  <c r="AT128" i="11"/>
  <c r="AU128" i="11"/>
  <c r="AV128" i="11"/>
  <c r="AW128" i="11"/>
  <c r="AX128" i="11"/>
  <c r="AY128" i="11"/>
  <c r="AZ128" i="11"/>
  <c r="BA128" i="11"/>
  <c r="BB128" i="11"/>
  <c r="BC128" i="11"/>
  <c r="BD128" i="11"/>
  <c r="BE128" i="11"/>
  <c r="BF128" i="11"/>
  <c r="BG128" i="11"/>
  <c r="BH128" i="11"/>
  <c r="BI128" i="11"/>
  <c r="BJ128" i="11"/>
  <c r="BK128" i="11"/>
  <c r="BL128" i="11"/>
  <c r="BM128" i="11"/>
  <c r="BN128" i="11"/>
  <c r="BO128" i="11"/>
  <c r="BP128" i="11"/>
  <c r="BQ128" i="11"/>
  <c r="BR128" i="11"/>
  <c r="BS128" i="11"/>
  <c r="BT128" i="11"/>
  <c r="BU128" i="11"/>
  <c r="BV128" i="11"/>
  <c r="BW128" i="11"/>
  <c r="BX128" i="11"/>
  <c r="BY128" i="11"/>
  <c r="BZ128" i="11"/>
  <c r="CA128" i="11"/>
  <c r="CB128" i="11"/>
  <c r="CC128" i="11"/>
  <c r="CD128" i="11"/>
  <c r="CE128" i="11"/>
  <c r="CF128" i="11"/>
  <c r="CG128" i="11"/>
  <c r="CH128" i="11"/>
  <c r="CI128" i="11"/>
  <c r="CJ128" i="11"/>
  <c r="CK128" i="11"/>
  <c r="CL128" i="11"/>
  <c r="CM128" i="11"/>
  <c r="CN128" i="11"/>
  <c r="CO128" i="11"/>
  <c r="CP128" i="11"/>
  <c r="CQ128" i="11"/>
  <c r="CR128" i="11"/>
  <c r="CS128" i="11"/>
  <c r="CT128" i="11"/>
  <c r="CU128" i="11"/>
  <c r="CV128" i="11"/>
  <c r="CW128" i="11"/>
  <c r="CX128" i="11"/>
  <c r="CY128" i="11"/>
  <c r="CZ128" i="11"/>
  <c r="DA128" i="11"/>
  <c r="DB128" i="11"/>
  <c r="DC128" i="11"/>
  <c r="DD128" i="11"/>
  <c r="DE128" i="11"/>
  <c r="DF128" i="11"/>
  <c r="DG128" i="11"/>
  <c r="DH128" i="11"/>
  <c r="DI128" i="11"/>
  <c r="DJ128" i="11"/>
  <c r="DK128" i="11"/>
  <c r="DL128" i="11"/>
  <c r="DM128" i="11"/>
  <c r="DN128" i="11"/>
  <c r="DO128" i="11"/>
  <c r="DP128" i="11"/>
  <c r="DQ128" i="11"/>
  <c r="DR128" i="11"/>
  <c r="DS128" i="11"/>
  <c r="DT128" i="11"/>
  <c r="DU128" i="11"/>
  <c r="DV128" i="11"/>
  <c r="DW128" i="11"/>
  <c r="DX128" i="11"/>
  <c r="DY128" i="11"/>
  <c r="DZ128" i="11"/>
  <c r="EA128" i="11"/>
  <c r="EB128" i="11"/>
  <c r="EC128" i="11"/>
  <c r="ED128" i="11"/>
  <c r="EE128" i="11"/>
  <c r="EF128" i="11"/>
  <c r="EG128" i="11"/>
  <c r="EH128" i="11"/>
  <c r="EI128" i="11"/>
  <c r="EJ128" i="11"/>
  <c r="EK128" i="11"/>
  <c r="EL128" i="11"/>
  <c r="EM128" i="11"/>
  <c r="EN128" i="11"/>
  <c r="EO128" i="11"/>
  <c r="EP128" i="11"/>
  <c r="EQ128" i="11"/>
  <c r="ER128" i="11"/>
  <c r="ES128" i="11"/>
  <c r="ET128" i="11"/>
  <c r="EU128" i="11"/>
  <c r="EV128" i="11"/>
  <c r="EW128" i="11"/>
  <c r="EX128" i="11"/>
  <c r="EY128" i="11"/>
  <c r="EZ128" i="11"/>
  <c r="FA128" i="11"/>
  <c r="FB128" i="11"/>
  <c r="FC128" i="11"/>
  <c r="FD128" i="11"/>
  <c r="FE128" i="11"/>
  <c r="FF128" i="11"/>
  <c r="FG128" i="11"/>
  <c r="FH128" i="11"/>
  <c r="FI128" i="11"/>
  <c r="FJ128" i="11"/>
  <c r="FK128" i="11"/>
  <c r="FL128" i="11"/>
  <c r="FM128" i="11"/>
  <c r="FN128" i="11"/>
  <c r="FO128" i="11"/>
  <c r="FP128" i="11"/>
  <c r="FQ128" i="11"/>
  <c r="FR128" i="11"/>
  <c r="FS128" i="11"/>
  <c r="FT128" i="11"/>
  <c r="FU128" i="11"/>
  <c r="FV128" i="11"/>
  <c r="FW128" i="11"/>
  <c r="FX128" i="11"/>
  <c r="FY128" i="11"/>
  <c r="FZ128" i="11"/>
  <c r="GA128" i="11"/>
  <c r="GB128" i="11"/>
  <c r="GC128" i="11"/>
  <c r="GD128" i="11"/>
  <c r="GE128" i="11"/>
  <c r="GF128" i="11"/>
  <c r="GG128" i="11"/>
  <c r="GH128" i="11"/>
  <c r="GI128" i="11"/>
  <c r="GJ128" i="11"/>
  <c r="GK128" i="11"/>
  <c r="GL128" i="11"/>
  <c r="GM128" i="11"/>
  <c r="GN128" i="11"/>
  <c r="GO128" i="11"/>
  <c r="GP128" i="11"/>
  <c r="GQ128" i="11"/>
  <c r="GR128" i="11"/>
  <c r="GS128" i="11"/>
  <c r="GT128" i="11"/>
  <c r="GU128" i="11"/>
  <c r="GV128" i="11"/>
  <c r="GW128" i="11"/>
  <c r="GX128" i="11"/>
  <c r="GY128" i="11"/>
  <c r="GZ128" i="11"/>
  <c r="HA128" i="11"/>
  <c r="HB128" i="11"/>
  <c r="HC128" i="11"/>
  <c r="HD128" i="11"/>
  <c r="HE128" i="11"/>
  <c r="HF128" i="11"/>
  <c r="HG128" i="11"/>
  <c r="HH128" i="11"/>
  <c r="HI128" i="11"/>
  <c r="HJ128" i="11"/>
  <c r="HK128" i="11"/>
  <c r="HL128" i="11"/>
  <c r="HM128" i="11"/>
  <c r="HN128" i="11"/>
  <c r="HO128" i="11"/>
  <c r="HP128" i="11"/>
  <c r="HQ128" i="11"/>
  <c r="HR128" i="11"/>
  <c r="HS128" i="11"/>
  <c r="HT128" i="11"/>
  <c r="HU128" i="11"/>
  <c r="HV128" i="11"/>
  <c r="HW128" i="11"/>
  <c r="HX128" i="11"/>
  <c r="HY128" i="11"/>
  <c r="HZ128" i="11"/>
  <c r="IA128" i="11"/>
  <c r="IB128" i="11"/>
  <c r="IC128" i="11"/>
  <c r="ID128" i="11"/>
  <c r="IE128" i="11"/>
  <c r="IF128" i="11"/>
  <c r="IG128" i="11"/>
  <c r="IH128" i="11"/>
  <c r="II128" i="11"/>
  <c r="IJ128" i="11"/>
  <c r="IK128" i="11"/>
  <c r="IL128" i="11"/>
  <c r="IM128" i="11"/>
  <c r="IN128" i="11"/>
  <c r="IO128" i="11"/>
  <c r="IP128" i="11"/>
  <c r="IQ128" i="11"/>
  <c r="IR128" i="11"/>
  <c r="IS128" i="11"/>
  <c r="IT128" i="11"/>
  <c r="IU128" i="11"/>
  <c r="IV128" i="11"/>
  <c r="F129" i="11"/>
  <c r="G129" i="11"/>
  <c r="H129" i="11"/>
  <c r="I129" i="11"/>
  <c r="J129" i="11"/>
  <c r="K129" i="11"/>
  <c r="L129" i="11"/>
  <c r="M129" i="11"/>
  <c r="N129" i="11"/>
  <c r="O129" i="11"/>
  <c r="P129" i="11"/>
  <c r="Q129" i="11"/>
  <c r="R129" i="11"/>
  <c r="S129" i="11"/>
  <c r="T129" i="11"/>
  <c r="U129" i="11"/>
  <c r="V129" i="11"/>
  <c r="W129" i="11"/>
  <c r="X129" i="11"/>
  <c r="Y129" i="11"/>
  <c r="Z129" i="11"/>
  <c r="AA129" i="11"/>
  <c r="AB129" i="11"/>
  <c r="AC129" i="11"/>
  <c r="AD129" i="11"/>
  <c r="AE129" i="11"/>
  <c r="AF129" i="11"/>
  <c r="AG129" i="11"/>
  <c r="AH129" i="11"/>
  <c r="AI129" i="11"/>
  <c r="AJ129" i="11"/>
  <c r="AK129" i="11"/>
  <c r="AL129" i="11"/>
  <c r="AM129" i="11"/>
  <c r="AN129" i="11"/>
  <c r="AO129" i="11"/>
  <c r="AP129" i="11"/>
  <c r="AQ129" i="11"/>
  <c r="AR129" i="11"/>
  <c r="AS129" i="11"/>
  <c r="AT129" i="11"/>
  <c r="AU129" i="11"/>
  <c r="AV129" i="11"/>
  <c r="AW129" i="11"/>
  <c r="AX129" i="11"/>
  <c r="AY129" i="11"/>
  <c r="AZ129" i="11"/>
  <c r="BA129" i="11"/>
  <c r="BB129" i="11"/>
  <c r="BC129" i="11"/>
  <c r="BD129" i="11"/>
  <c r="BE129" i="11"/>
  <c r="BF129" i="11"/>
  <c r="BG129" i="11"/>
  <c r="BH129" i="11"/>
  <c r="BI129" i="11"/>
  <c r="BJ129" i="11"/>
  <c r="BK129" i="11"/>
  <c r="BL129" i="11"/>
  <c r="BM129" i="11"/>
  <c r="BN129" i="11"/>
  <c r="BO129" i="11"/>
  <c r="BP129" i="11"/>
  <c r="BQ129" i="11"/>
  <c r="BR129" i="11"/>
  <c r="BS129" i="11"/>
  <c r="BT129" i="11"/>
  <c r="BU129" i="11"/>
  <c r="BV129" i="11"/>
  <c r="BW129" i="11"/>
  <c r="BX129" i="11"/>
  <c r="BY129" i="11"/>
  <c r="BZ129" i="11"/>
  <c r="CA129" i="11"/>
  <c r="CB129" i="11"/>
  <c r="CC129" i="11"/>
  <c r="CD129" i="11"/>
  <c r="CE129" i="11"/>
  <c r="CF129" i="11"/>
  <c r="CG129" i="11"/>
  <c r="CH129" i="11"/>
  <c r="CI129" i="11"/>
  <c r="CJ129" i="11"/>
  <c r="CK129" i="11"/>
  <c r="CL129" i="11"/>
  <c r="CM129" i="11"/>
  <c r="CN129" i="11"/>
  <c r="CO129" i="11"/>
  <c r="CP129" i="11"/>
  <c r="CQ129" i="11"/>
  <c r="CR129" i="11"/>
  <c r="CS129" i="11"/>
  <c r="CT129" i="11"/>
  <c r="CU129" i="11"/>
  <c r="CV129" i="11"/>
  <c r="CW129" i="11"/>
  <c r="CX129" i="11"/>
  <c r="CY129" i="11"/>
  <c r="CZ129" i="11"/>
  <c r="DA129" i="11"/>
  <c r="DB129" i="11"/>
  <c r="DC129" i="11"/>
  <c r="DD129" i="11"/>
  <c r="DE129" i="11"/>
  <c r="DF129" i="11"/>
  <c r="DG129" i="11"/>
  <c r="DH129" i="11"/>
  <c r="DI129" i="11"/>
  <c r="DJ129" i="11"/>
  <c r="DK129" i="11"/>
  <c r="DL129" i="11"/>
  <c r="DM129" i="11"/>
  <c r="DN129" i="11"/>
  <c r="DO129" i="11"/>
  <c r="DP129" i="11"/>
  <c r="DQ129" i="11"/>
  <c r="DR129" i="11"/>
  <c r="DS129" i="11"/>
  <c r="DT129" i="11"/>
  <c r="DU129" i="11"/>
  <c r="DV129" i="11"/>
  <c r="DW129" i="11"/>
  <c r="DX129" i="11"/>
  <c r="DY129" i="11"/>
  <c r="DZ129" i="11"/>
  <c r="EA129" i="11"/>
  <c r="EB129" i="11"/>
  <c r="EC129" i="11"/>
  <c r="ED129" i="11"/>
  <c r="EE129" i="11"/>
  <c r="EF129" i="11"/>
  <c r="EG129" i="11"/>
  <c r="EH129" i="11"/>
  <c r="EI129" i="11"/>
  <c r="EJ129" i="11"/>
  <c r="EK129" i="11"/>
  <c r="EL129" i="11"/>
  <c r="EM129" i="11"/>
  <c r="EN129" i="11"/>
  <c r="EO129" i="11"/>
  <c r="EP129" i="11"/>
  <c r="EQ129" i="11"/>
  <c r="ER129" i="11"/>
  <c r="ES129" i="11"/>
  <c r="ET129" i="11"/>
  <c r="EU129" i="11"/>
  <c r="EV129" i="11"/>
  <c r="EW129" i="11"/>
  <c r="EX129" i="11"/>
  <c r="EY129" i="11"/>
  <c r="EZ129" i="11"/>
  <c r="FA129" i="11"/>
  <c r="FB129" i="11"/>
  <c r="FC129" i="11"/>
  <c r="FD129" i="11"/>
  <c r="FE129" i="11"/>
  <c r="FF129" i="11"/>
  <c r="FG129" i="11"/>
  <c r="FH129" i="11"/>
  <c r="FI129" i="11"/>
  <c r="FJ129" i="11"/>
  <c r="FK129" i="11"/>
  <c r="FL129" i="11"/>
  <c r="FM129" i="11"/>
  <c r="FN129" i="11"/>
  <c r="FO129" i="11"/>
  <c r="FP129" i="11"/>
  <c r="FQ129" i="11"/>
  <c r="FR129" i="11"/>
  <c r="FS129" i="11"/>
  <c r="FT129" i="11"/>
  <c r="FU129" i="11"/>
  <c r="FV129" i="11"/>
  <c r="FW129" i="11"/>
  <c r="FX129" i="11"/>
  <c r="FY129" i="11"/>
  <c r="FZ129" i="11"/>
  <c r="GA129" i="11"/>
  <c r="GB129" i="11"/>
  <c r="GC129" i="11"/>
  <c r="GD129" i="11"/>
  <c r="GE129" i="11"/>
  <c r="GF129" i="11"/>
  <c r="GG129" i="11"/>
  <c r="GH129" i="11"/>
  <c r="GI129" i="11"/>
  <c r="GJ129" i="11"/>
  <c r="GK129" i="11"/>
  <c r="GL129" i="11"/>
  <c r="GM129" i="11"/>
  <c r="GN129" i="11"/>
  <c r="GO129" i="11"/>
  <c r="GP129" i="11"/>
  <c r="GQ129" i="11"/>
  <c r="GR129" i="11"/>
  <c r="GS129" i="11"/>
  <c r="GT129" i="11"/>
  <c r="GU129" i="11"/>
  <c r="GV129" i="11"/>
  <c r="GW129" i="11"/>
  <c r="GX129" i="11"/>
  <c r="GY129" i="11"/>
  <c r="GZ129" i="11"/>
  <c r="HA129" i="11"/>
  <c r="HB129" i="11"/>
  <c r="HC129" i="11"/>
  <c r="HD129" i="11"/>
  <c r="HE129" i="11"/>
  <c r="HF129" i="11"/>
  <c r="HG129" i="11"/>
  <c r="HH129" i="11"/>
  <c r="HI129" i="11"/>
  <c r="HJ129" i="11"/>
  <c r="HK129" i="11"/>
  <c r="HL129" i="11"/>
  <c r="HM129" i="11"/>
  <c r="HN129" i="11"/>
  <c r="HO129" i="11"/>
  <c r="HP129" i="11"/>
  <c r="HQ129" i="11"/>
  <c r="HR129" i="11"/>
  <c r="HS129" i="11"/>
  <c r="HT129" i="11"/>
  <c r="HU129" i="11"/>
  <c r="HV129" i="11"/>
  <c r="HW129" i="11"/>
  <c r="HX129" i="11"/>
  <c r="HY129" i="11"/>
  <c r="HZ129" i="11"/>
  <c r="IA129" i="11"/>
  <c r="IB129" i="11"/>
  <c r="IC129" i="11"/>
  <c r="ID129" i="11"/>
  <c r="IE129" i="11"/>
  <c r="IF129" i="11"/>
  <c r="IG129" i="11"/>
  <c r="IH129" i="11"/>
  <c r="II129" i="11"/>
  <c r="IJ129" i="11"/>
  <c r="IK129" i="11"/>
  <c r="IL129" i="11"/>
  <c r="IM129" i="11"/>
  <c r="IN129" i="11"/>
  <c r="IO129" i="11"/>
  <c r="IP129" i="11"/>
  <c r="IQ129" i="11"/>
  <c r="IR129" i="11"/>
  <c r="IS129" i="11"/>
  <c r="IT129" i="11"/>
  <c r="IU129" i="11"/>
  <c r="IV129" i="1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C130" i="11"/>
  <c r="AD130" i="11"/>
  <c r="AE130" i="11"/>
  <c r="AF130" i="11"/>
  <c r="AG130" i="11"/>
  <c r="AH130" i="11"/>
  <c r="AI130" i="11"/>
  <c r="AJ130" i="11"/>
  <c r="AK130" i="11"/>
  <c r="AL130" i="11"/>
  <c r="AM130" i="11"/>
  <c r="AN130" i="11"/>
  <c r="AO130" i="11"/>
  <c r="AP130" i="11"/>
  <c r="AQ130" i="11"/>
  <c r="AR130"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CC130" i="11"/>
  <c r="CD130" i="11"/>
  <c r="CE130" i="11"/>
  <c r="CF130" i="11"/>
  <c r="CG130" i="11"/>
  <c r="CH130" i="11"/>
  <c r="CI130" i="11"/>
  <c r="CJ130" i="11"/>
  <c r="CK130" i="11"/>
  <c r="CL130" i="11"/>
  <c r="CM130" i="11"/>
  <c r="CN130" i="11"/>
  <c r="CO130" i="11"/>
  <c r="CP130" i="11"/>
  <c r="CQ130" i="11"/>
  <c r="CR130" i="11"/>
  <c r="CS130" i="11"/>
  <c r="CT130" i="11"/>
  <c r="CU130" i="11"/>
  <c r="CV130" i="11"/>
  <c r="CW130" i="11"/>
  <c r="CX130" i="11"/>
  <c r="CY130" i="11"/>
  <c r="CZ130" i="11"/>
  <c r="DA130" i="11"/>
  <c r="DB130" i="11"/>
  <c r="DC130" i="11"/>
  <c r="DD130" i="11"/>
  <c r="DE130" i="11"/>
  <c r="DF130" i="11"/>
  <c r="DG130" i="11"/>
  <c r="DH130" i="11"/>
  <c r="DI130" i="11"/>
  <c r="DJ130" i="11"/>
  <c r="DK130" i="11"/>
  <c r="DL130" i="11"/>
  <c r="DM130" i="11"/>
  <c r="DN130" i="11"/>
  <c r="DO130" i="11"/>
  <c r="DP130" i="11"/>
  <c r="DQ130" i="11"/>
  <c r="DR130" i="11"/>
  <c r="DS130" i="11"/>
  <c r="DT130" i="11"/>
  <c r="DU130" i="11"/>
  <c r="DV130" i="11"/>
  <c r="DW130" i="11"/>
  <c r="DX130" i="11"/>
  <c r="DY130" i="11"/>
  <c r="DZ130" i="11"/>
  <c r="EA130" i="11"/>
  <c r="EB130" i="11"/>
  <c r="EC130" i="11"/>
  <c r="ED130" i="11"/>
  <c r="EE130" i="11"/>
  <c r="EF130" i="11"/>
  <c r="EG130" i="11"/>
  <c r="EH130" i="11"/>
  <c r="EI130" i="11"/>
  <c r="EJ130" i="11"/>
  <c r="EK130" i="11"/>
  <c r="EL130" i="11"/>
  <c r="EM130" i="11"/>
  <c r="EN130" i="11"/>
  <c r="EO130" i="11"/>
  <c r="EP130" i="11"/>
  <c r="EQ130" i="11"/>
  <c r="ER130" i="11"/>
  <c r="ES130" i="11"/>
  <c r="ET130" i="11"/>
  <c r="EU130" i="11"/>
  <c r="EV130" i="11"/>
  <c r="EW130" i="11"/>
  <c r="EX130" i="11"/>
  <c r="EY130" i="11"/>
  <c r="EZ130" i="11"/>
  <c r="FA130" i="11"/>
  <c r="FB130" i="11"/>
  <c r="FC130" i="11"/>
  <c r="FD130" i="11"/>
  <c r="FE130" i="11"/>
  <c r="FF130" i="11"/>
  <c r="FG130" i="11"/>
  <c r="FH130" i="11"/>
  <c r="FI130" i="11"/>
  <c r="FJ130" i="11"/>
  <c r="FK130" i="11"/>
  <c r="FL130" i="11"/>
  <c r="FM130" i="11"/>
  <c r="FN130" i="11"/>
  <c r="FO130" i="11"/>
  <c r="FP130" i="11"/>
  <c r="FQ130" i="11"/>
  <c r="FR130" i="11"/>
  <c r="FS130" i="11"/>
  <c r="FT130" i="11"/>
  <c r="FU130" i="11"/>
  <c r="FV130" i="11"/>
  <c r="FW130" i="11"/>
  <c r="FX130" i="11"/>
  <c r="FY130" i="11"/>
  <c r="FZ130" i="11"/>
  <c r="GA130" i="11"/>
  <c r="GB130" i="11"/>
  <c r="GC130" i="11"/>
  <c r="GD130" i="11"/>
  <c r="GE130" i="11"/>
  <c r="GF130" i="11"/>
  <c r="GG130" i="11"/>
  <c r="GH130" i="11"/>
  <c r="GI130" i="11"/>
  <c r="GJ130" i="11"/>
  <c r="GK130" i="11"/>
  <c r="GL130" i="11"/>
  <c r="GM130" i="11"/>
  <c r="GN130" i="11"/>
  <c r="GO130" i="11"/>
  <c r="GP130" i="11"/>
  <c r="GQ130" i="11"/>
  <c r="GR130" i="11"/>
  <c r="GS130" i="11"/>
  <c r="GT130" i="11"/>
  <c r="GU130" i="11"/>
  <c r="GV130" i="11"/>
  <c r="GW130" i="11"/>
  <c r="GX130" i="11"/>
  <c r="GY130" i="11"/>
  <c r="GZ130" i="11"/>
  <c r="HA130" i="11"/>
  <c r="HB130" i="11"/>
  <c r="HC130" i="11"/>
  <c r="HD130" i="11"/>
  <c r="HE130" i="11"/>
  <c r="HF130" i="11"/>
  <c r="HG130" i="11"/>
  <c r="HH130" i="11"/>
  <c r="HI130" i="11"/>
  <c r="HJ130" i="11"/>
  <c r="HK130" i="11"/>
  <c r="HL130" i="11"/>
  <c r="HM130" i="11"/>
  <c r="HN130" i="11"/>
  <c r="HO130" i="11"/>
  <c r="HP130" i="11"/>
  <c r="HQ130" i="11"/>
  <c r="HR130" i="11"/>
  <c r="HS130" i="11"/>
  <c r="HT130" i="11"/>
  <c r="HU130" i="11"/>
  <c r="HV130" i="11"/>
  <c r="HW130" i="11"/>
  <c r="HX130" i="11"/>
  <c r="HY130" i="11"/>
  <c r="HZ130" i="11"/>
  <c r="IA130" i="11"/>
  <c r="IB130" i="11"/>
  <c r="IC130" i="11"/>
  <c r="ID130" i="11"/>
  <c r="IE130" i="11"/>
  <c r="IF130" i="11"/>
  <c r="IG130" i="11"/>
  <c r="IH130" i="11"/>
  <c r="II130" i="11"/>
  <c r="IJ130" i="11"/>
  <c r="IK130" i="11"/>
  <c r="IL130" i="11"/>
  <c r="IM130" i="11"/>
  <c r="IN130" i="11"/>
  <c r="IO130" i="11"/>
  <c r="IP130" i="11"/>
  <c r="IQ130" i="11"/>
  <c r="IR130" i="11"/>
  <c r="IS130" i="11"/>
  <c r="IT130" i="11"/>
  <c r="IU130" i="11"/>
  <c r="IV130" i="11"/>
  <c r="F131" i="11"/>
  <c r="G131" i="11"/>
  <c r="H131" i="11"/>
  <c r="I131" i="11"/>
  <c r="J131" i="11"/>
  <c r="K131" i="11"/>
  <c r="L131" i="11"/>
  <c r="M131" i="11"/>
  <c r="N131" i="11"/>
  <c r="O131" i="11"/>
  <c r="P131" i="11"/>
  <c r="Q131" i="11"/>
  <c r="R131" i="11"/>
  <c r="S131" i="11"/>
  <c r="T131" i="11"/>
  <c r="U131" i="11"/>
  <c r="V131" i="11"/>
  <c r="W131" i="11"/>
  <c r="X131" i="11"/>
  <c r="Y131" i="11"/>
  <c r="Z131" i="11"/>
  <c r="AA131" i="11"/>
  <c r="AB131" i="11"/>
  <c r="AC131" i="11"/>
  <c r="AD131" i="11"/>
  <c r="AE131" i="11"/>
  <c r="AF131" i="11"/>
  <c r="AG131" i="11"/>
  <c r="AH131" i="11"/>
  <c r="AI131" i="11"/>
  <c r="AJ131" i="11"/>
  <c r="AK131" i="11"/>
  <c r="AL131" i="11"/>
  <c r="AM131" i="11"/>
  <c r="AN131" i="11"/>
  <c r="AO131" i="11"/>
  <c r="AP131" i="11"/>
  <c r="AQ131" i="11"/>
  <c r="AR131" i="11"/>
  <c r="AS131" i="11"/>
  <c r="AT131" i="11"/>
  <c r="AU131" i="11"/>
  <c r="AV131" i="11"/>
  <c r="AW131" i="11"/>
  <c r="AX131" i="11"/>
  <c r="AY131" i="11"/>
  <c r="AZ131" i="11"/>
  <c r="BA131" i="11"/>
  <c r="BB131" i="11"/>
  <c r="BC131" i="11"/>
  <c r="BD131" i="11"/>
  <c r="BE131" i="11"/>
  <c r="BF131" i="11"/>
  <c r="BG131" i="11"/>
  <c r="BH131" i="11"/>
  <c r="BI131" i="11"/>
  <c r="BJ131" i="11"/>
  <c r="BK131" i="11"/>
  <c r="BL131" i="11"/>
  <c r="BM131" i="11"/>
  <c r="BN131" i="11"/>
  <c r="BO131" i="11"/>
  <c r="BP131" i="11"/>
  <c r="BQ131" i="11"/>
  <c r="BR131" i="11"/>
  <c r="BS131" i="11"/>
  <c r="BT131" i="11"/>
  <c r="BU131" i="11"/>
  <c r="BV131" i="11"/>
  <c r="BW131" i="11"/>
  <c r="BX131" i="11"/>
  <c r="BY131" i="11"/>
  <c r="BZ131" i="11"/>
  <c r="CA131" i="11"/>
  <c r="CB131" i="11"/>
  <c r="CC131" i="11"/>
  <c r="CD131" i="11"/>
  <c r="CE131" i="11"/>
  <c r="CF131" i="11"/>
  <c r="CG131" i="11"/>
  <c r="CH131" i="11"/>
  <c r="CI131" i="11"/>
  <c r="CJ131" i="11"/>
  <c r="CK131" i="11"/>
  <c r="CL131" i="11"/>
  <c r="CM131" i="11"/>
  <c r="CN131" i="11"/>
  <c r="CO131" i="11"/>
  <c r="CP131" i="11"/>
  <c r="CQ131" i="11"/>
  <c r="CR131" i="11"/>
  <c r="CS131" i="11"/>
  <c r="CT131" i="11"/>
  <c r="CU131" i="11"/>
  <c r="CV131" i="11"/>
  <c r="CW131" i="11"/>
  <c r="CX131" i="11"/>
  <c r="CY131" i="11"/>
  <c r="CZ131" i="11"/>
  <c r="DA131" i="11"/>
  <c r="DB131" i="11"/>
  <c r="DC131" i="11"/>
  <c r="DD131" i="11"/>
  <c r="DE131" i="11"/>
  <c r="DF131" i="11"/>
  <c r="DG131" i="11"/>
  <c r="DH131" i="11"/>
  <c r="DI131" i="11"/>
  <c r="DJ131" i="11"/>
  <c r="DK131" i="11"/>
  <c r="DL131" i="11"/>
  <c r="DM131" i="11"/>
  <c r="DN131" i="11"/>
  <c r="DO131" i="11"/>
  <c r="DP131" i="11"/>
  <c r="DQ131" i="11"/>
  <c r="DR131" i="11"/>
  <c r="DS131" i="11"/>
  <c r="DT131" i="11"/>
  <c r="DU131" i="11"/>
  <c r="DV131" i="11"/>
  <c r="DW131" i="11"/>
  <c r="DX131" i="11"/>
  <c r="DY131" i="11"/>
  <c r="DZ131" i="11"/>
  <c r="EA131" i="11"/>
  <c r="EB131" i="11"/>
  <c r="EC131" i="11"/>
  <c r="ED131" i="11"/>
  <c r="EE131" i="11"/>
  <c r="EF131" i="11"/>
  <c r="EG131" i="11"/>
  <c r="EH131" i="11"/>
  <c r="EI131" i="11"/>
  <c r="EJ131" i="11"/>
  <c r="EK131" i="11"/>
  <c r="EL131" i="11"/>
  <c r="EM131" i="11"/>
  <c r="EN131" i="11"/>
  <c r="EO131" i="11"/>
  <c r="EP131" i="11"/>
  <c r="EQ131" i="11"/>
  <c r="ER131" i="11"/>
  <c r="ES131" i="11"/>
  <c r="ET131" i="11"/>
  <c r="EU131" i="11"/>
  <c r="EV131" i="11"/>
  <c r="EW131" i="11"/>
  <c r="EX131" i="11"/>
  <c r="EY131" i="11"/>
  <c r="EZ131" i="11"/>
  <c r="FA131" i="11"/>
  <c r="FB131" i="11"/>
  <c r="FC131" i="11"/>
  <c r="FD131" i="11"/>
  <c r="FE131" i="11"/>
  <c r="FF131" i="11"/>
  <c r="FG131" i="11"/>
  <c r="FH131" i="11"/>
  <c r="FI131" i="11"/>
  <c r="FJ131" i="11"/>
  <c r="FK131" i="11"/>
  <c r="FL131" i="11"/>
  <c r="FM131" i="11"/>
  <c r="FN131" i="11"/>
  <c r="FO131" i="11"/>
  <c r="FP131" i="11"/>
  <c r="FQ131" i="11"/>
  <c r="FR131" i="11"/>
  <c r="FS131" i="11"/>
  <c r="FT131" i="11"/>
  <c r="FU131" i="11"/>
  <c r="FV131" i="11"/>
  <c r="FW131" i="11"/>
  <c r="FX131" i="11"/>
  <c r="FY131" i="11"/>
  <c r="FZ131" i="11"/>
  <c r="GA131" i="11"/>
  <c r="GB131" i="11"/>
  <c r="GC131" i="11"/>
  <c r="GD131" i="11"/>
  <c r="GE131" i="11"/>
  <c r="GF131" i="11"/>
  <c r="GG131" i="11"/>
  <c r="GH131" i="11"/>
  <c r="GI131" i="11"/>
  <c r="GJ131" i="11"/>
  <c r="GK131" i="11"/>
  <c r="GL131" i="11"/>
  <c r="GM131" i="11"/>
  <c r="GN131" i="11"/>
  <c r="GO131" i="11"/>
  <c r="GP131" i="11"/>
  <c r="GQ131" i="11"/>
  <c r="GR131" i="11"/>
  <c r="GS131" i="11"/>
  <c r="GT131" i="11"/>
  <c r="GU131" i="11"/>
  <c r="GV131" i="11"/>
  <c r="GW131" i="11"/>
  <c r="GX131" i="11"/>
  <c r="GY131" i="11"/>
  <c r="GZ131" i="11"/>
  <c r="HA131" i="11"/>
  <c r="HB131" i="11"/>
  <c r="HC131" i="11"/>
  <c r="HD131" i="11"/>
  <c r="HE131" i="11"/>
  <c r="HF131" i="11"/>
  <c r="HG131" i="11"/>
  <c r="HH131" i="11"/>
  <c r="HI131" i="11"/>
  <c r="HJ131" i="11"/>
  <c r="HK131" i="11"/>
  <c r="HL131" i="11"/>
  <c r="HM131" i="11"/>
  <c r="HN131" i="11"/>
  <c r="HO131" i="11"/>
  <c r="HP131" i="11"/>
  <c r="HQ131" i="11"/>
  <c r="HR131" i="11"/>
  <c r="HS131" i="11"/>
  <c r="HT131" i="11"/>
  <c r="HU131" i="11"/>
  <c r="HV131" i="11"/>
  <c r="HW131" i="11"/>
  <c r="HX131" i="11"/>
  <c r="HY131" i="11"/>
  <c r="HZ131" i="11"/>
  <c r="IA131" i="11"/>
  <c r="IB131" i="11"/>
  <c r="IC131" i="11"/>
  <c r="ID131" i="11"/>
  <c r="IE131" i="11"/>
  <c r="IF131" i="11"/>
  <c r="IG131" i="11"/>
  <c r="IH131" i="11"/>
  <c r="II131" i="11"/>
  <c r="IJ131" i="11"/>
  <c r="IK131" i="11"/>
  <c r="IL131" i="11"/>
  <c r="IM131" i="11"/>
  <c r="IN131" i="11"/>
  <c r="IO131" i="11"/>
  <c r="IP131" i="11"/>
  <c r="IQ131" i="11"/>
  <c r="IR131" i="11"/>
  <c r="IS131" i="11"/>
  <c r="IT131" i="11"/>
  <c r="IU131" i="11"/>
  <c r="IV131" i="11"/>
  <c r="F132" i="11"/>
  <c r="G132" i="11"/>
  <c r="H132" i="11"/>
  <c r="I132" i="11"/>
  <c r="J132" i="11"/>
  <c r="K132" i="11"/>
  <c r="L132" i="11"/>
  <c r="M132" i="11"/>
  <c r="N132" i="11"/>
  <c r="O132" i="11"/>
  <c r="P132" i="11"/>
  <c r="Q132" i="11"/>
  <c r="R132" i="11"/>
  <c r="S132" i="11"/>
  <c r="T132" i="11"/>
  <c r="U132" i="11"/>
  <c r="V132" i="11"/>
  <c r="W132" i="11"/>
  <c r="X132" i="11"/>
  <c r="Y132" i="11"/>
  <c r="Z132" i="11"/>
  <c r="AA132" i="11"/>
  <c r="AB132" i="11"/>
  <c r="AC132" i="11"/>
  <c r="AD132" i="11"/>
  <c r="AE132" i="11"/>
  <c r="AF132" i="11"/>
  <c r="AG132" i="11"/>
  <c r="AH132" i="11"/>
  <c r="AI132" i="11"/>
  <c r="AJ132" i="11"/>
  <c r="AK132" i="11"/>
  <c r="AL132" i="11"/>
  <c r="AM132" i="11"/>
  <c r="AN132" i="11"/>
  <c r="AO132" i="11"/>
  <c r="AP132" i="11"/>
  <c r="AQ132" i="11"/>
  <c r="AR132" i="11"/>
  <c r="AS132" i="11"/>
  <c r="AT132" i="11"/>
  <c r="AU132" i="11"/>
  <c r="AV132" i="11"/>
  <c r="AW132" i="11"/>
  <c r="AX132" i="11"/>
  <c r="AY132" i="11"/>
  <c r="AZ132" i="11"/>
  <c r="BA132" i="11"/>
  <c r="BB132" i="11"/>
  <c r="BC132" i="11"/>
  <c r="BD132" i="11"/>
  <c r="BE132" i="11"/>
  <c r="BF132" i="11"/>
  <c r="BG132" i="11"/>
  <c r="BH132" i="11"/>
  <c r="BI132" i="11"/>
  <c r="BJ132" i="11"/>
  <c r="BK132" i="11"/>
  <c r="BL132" i="11"/>
  <c r="BM132" i="11"/>
  <c r="BN132" i="11"/>
  <c r="BO132" i="11"/>
  <c r="BP132" i="11"/>
  <c r="BQ132" i="11"/>
  <c r="BR132" i="11"/>
  <c r="BS132" i="11"/>
  <c r="BT132" i="11"/>
  <c r="BU132" i="11"/>
  <c r="BV132" i="11"/>
  <c r="BW132" i="11"/>
  <c r="BX132" i="11"/>
  <c r="BY132" i="11"/>
  <c r="BZ132" i="11"/>
  <c r="CA132" i="11"/>
  <c r="CB132" i="11"/>
  <c r="CC132" i="11"/>
  <c r="CD132" i="11"/>
  <c r="CE132" i="11"/>
  <c r="CF132" i="11"/>
  <c r="CG132" i="11"/>
  <c r="CH132" i="11"/>
  <c r="CI132" i="11"/>
  <c r="CJ132" i="11"/>
  <c r="CK132" i="11"/>
  <c r="CL132" i="11"/>
  <c r="CM132" i="11"/>
  <c r="CN132" i="11"/>
  <c r="CO132" i="11"/>
  <c r="CP132" i="11"/>
  <c r="CQ132" i="11"/>
  <c r="CR132" i="11"/>
  <c r="CS132" i="11"/>
  <c r="CT132" i="11"/>
  <c r="CU132" i="11"/>
  <c r="CV132" i="11"/>
  <c r="CW132" i="11"/>
  <c r="CX132" i="11"/>
  <c r="CY132" i="11"/>
  <c r="CZ132" i="11"/>
  <c r="DA132" i="11"/>
  <c r="DB132" i="11"/>
  <c r="DC132" i="11"/>
  <c r="DD132" i="11"/>
  <c r="DE132" i="11"/>
  <c r="DF132" i="11"/>
  <c r="DG132" i="11"/>
  <c r="DH132" i="11"/>
  <c r="DI132" i="11"/>
  <c r="DJ132" i="11"/>
  <c r="DK132" i="11"/>
  <c r="DL132" i="11"/>
  <c r="DM132" i="11"/>
  <c r="DN132" i="11"/>
  <c r="DO132" i="11"/>
  <c r="DP132" i="11"/>
  <c r="DQ132" i="11"/>
  <c r="DR132" i="11"/>
  <c r="DS132" i="11"/>
  <c r="DT132" i="11"/>
  <c r="DU132" i="11"/>
  <c r="DV132" i="11"/>
  <c r="DW132" i="11"/>
  <c r="DX132" i="11"/>
  <c r="DY132" i="11"/>
  <c r="DZ132" i="11"/>
  <c r="EA132" i="11"/>
  <c r="EB132" i="11"/>
  <c r="EC132" i="11"/>
  <c r="ED132" i="11"/>
  <c r="EE132" i="11"/>
  <c r="EF132" i="11"/>
  <c r="EG132" i="11"/>
  <c r="EH132" i="11"/>
  <c r="EI132" i="11"/>
  <c r="EJ132" i="11"/>
  <c r="EK132" i="11"/>
  <c r="EL132" i="11"/>
  <c r="EM132" i="11"/>
  <c r="EN132" i="11"/>
  <c r="EO132" i="11"/>
  <c r="EP132" i="11"/>
  <c r="EQ132" i="11"/>
  <c r="ER132" i="11"/>
  <c r="ES132" i="11"/>
  <c r="ET132" i="11"/>
  <c r="EU132" i="11"/>
  <c r="EV132" i="11"/>
  <c r="EW132" i="11"/>
  <c r="EX132" i="11"/>
  <c r="EY132" i="11"/>
  <c r="EZ132" i="11"/>
  <c r="FA132" i="11"/>
  <c r="FB132" i="11"/>
  <c r="FC132" i="11"/>
  <c r="FD132" i="11"/>
  <c r="FE132" i="11"/>
  <c r="FF132" i="11"/>
  <c r="FG132" i="11"/>
  <c r="FH132" i="11"/>
  <c r="FI132" i="11"/>
  <c r="FJ132" i="11"/>
  <c r="FK132" i="11"/>
  <c r="FL132" i="11"/>
  <c r="FM132" i="11"/>
  <c r="FN132" i="11"/>
  <c r="FO132" i="11"/>
  <c r="FP132" i="11"/>
  <c r="FQ132" i="11"/>
  <c r="FR132" i="11"/>
  <c r="FS132" i="11"/>
  <c r="FT132" i="11"/>
  <c r="FU132" i="11"/>
  <c r="FV132" i="11"/>
  <c r="FW132" i="11"/>
  <c r="FX132" i="11"/>
  <c r="FY132" i="11"/>
  <c r="FZ132" i="11"/>
  <c r="GA132" i="11"/>
  <c r="GB132" i="11"/>
  <c r="GC132" i="11"/>
  <c r="GD132" i="11"/>
  <c r="GE132" i="11"/>
  <c r="GF132" i="11"/>
  <c r="GG132" i="11"/>
  <c r="GH132" i="11"/>
  <c r="GI132" i="11"/>
  <c r="GJ132" i="11"/>
  <c r="GK132" i="11"/>
  <c r="GL132" i="11"/>
  <c r="GM132" i="11"/>
  <c r="GN132" i="11"/>
  <c r="GO132" i="11"/>
  <c r="GP132" i="11"/>
  <c r="GQ132" i="11"/>
  <c r="GR132" i="11"/>
  <c r="GS132" i="11"/>
  <c r="GT132" i="11"/>
  <c r="GU132" i="11"/>
  <c r="GV132" i="11"/>
  <c r="GW132" i="11"/>
  <c r="GX132" i="11"/>
  <c r="GY132" i="11"/>
  <c r="GZ132" i="11"/>
  <c r="HA132" i="11"/>
  <c r="HB132" i="11"/>
  <c r="HC132" i="11"/>
  <c r="HD132" i="11"/>
  <c r="HE132" i="11"/>
  <c r="HF132" i="11"/>
  <c r="HG132" i="11"/>
  <c r="HH132" i="11"/>
  <c r="HI132" i="11"/>
  <c r="HJ132" i="11"/>
  <c r="HK132" i="11"/>
  <c r="HL132" i="11"/>
  <c r="HM132" i="11"/>
  <c r="HN132" i="11"/>
  <c r="HO132" i="11"/>
  <c r="HP132" i="11"/>
  <c r="HQ132" i="11"/>
  <c r="HR132" i="11"/>
  <c r="HS132" i="11"/>
  <c r="HT132" i="11"/>
  <c r="HU132" i="11"/>
  <c r="HV132" i="11"/>
  <c r="HW132" i="11"/>
  <c r="HX132" i="11"/>
  <c r="HY132" i="11"/>
  <c r="HZ132" i="11"/>
  <c r="IA132" i="11"/>
  <c r="IB132" i="11"/>
  <c r="IC132" i="11"/>
  <c r="ID132" i="11"/>
  <c r="IE132" i="11"/>
  <c r="IF132" i="11"/>
  <c r="IG132" i="11"/>
  <c r="IH132" i="11"/>
  <c r="II132" i="11"/>
  <c r="IJ132" i="11"/>
  <c r="IK132" i="11"/>
  <c r="IL132" i="11"/>
  <c r="IM132" i="11"/>
  <c r="IN132" i="11"/>
  <c r="IO132" i="11"/>
  <c r="IP132" i="11"/>
  <c r="IQ132" i="11"/>
  <c r="IR132" i="11"/>
  <c r="IS132" i="11"/>
  <c r="IT132" i="11"/>
  <c r="IU132" i="11"/>
  <c r="IV132" i="11"/>
  <c r="F133" i="11"/>
  <c r="G133" i="11"/>
  <c r="H133" i="11"/>
  <c r="I133" i="11"/>
  <c r="J133" i="11"/>
  <c r="K133" i="11"/>
  <c r="L133" i="11"/>
  <c r="M133" i="11"/>
  <c r="N133" i="11"/>
  <c r="O133" i="11"/>
  <c r="P133" i="11"/>
  <c r="Q133" i="11"/>
  <c r="R133" i="11"/>
  <c r="S133" i="11"/>
  <c r="T133" i="11"/>
  <c r="U133" i="11"/>
  <c r="V133" i="11"/>
  <c r="W133" i="11"/>
  <c r="X133" i="11"/>
  <c r="Y133" i="11"/>
  <c r="Z133" i="11"/>
  <c r="AA133" i="11"/>
  <c r="AB133" i="11"/>
  <c r="AC133" i="11"/>
  <c r="AD133" i="11"/>
  <c r="AE133" i="11"/>
  <c r="AF133" i="11"/>
  <c r="AG133" i="11"/>
  <c r="AH133" i="11"/>
  <c r="AI133" i="11"/>
  <c r="AJ133" i="11"/>
  <c r="AK133" i="11"/>
  <c r="AL133" i="11"/>
  <c r="AM133" i="11"/>
  <c r="AN133" i="11"/>
  <c r="AO133" i="11"/>
  <c r="AP133" i="11"/>
  <c r="AQ133" i="11"/>
  <c r="AR133" i="11"/>
  <c r="AS133" i="11"/>
  <c r="AT133" i="11"/>
  <c r="AU133" i="11"/>
  <c r="AV133" i="11"/>
  <c r="AW133" i="11"/>
  <c r="AX133" i="11"/>
  <c r="AY133" i="11"/>
  <c r="AZ133" i="11"/>
  <c r="BA133" i="11"/>
  <c r="BB133" i="11"/>
  <c r="BC133" i="11"/>
  <c r="BD133" i="11"/>
  <c r="BE133" i="11"/>
  <c r="BF133" i="11"/>
  <c r="BG133" i="11"/>
  <c r="BH133" i="11"/>
  <c r="BI133" i="11"/>
  <c r="BJ133" i="11"/>
  <c r="BK133" i="11"/>
  <c r="BL133" i="11"/>
  <c r="BM133" i="11"/>
  <c r="BN133" i="11"/>
  <c r="BO133" i="11"/>
  <c r="BP133" i="11"/>
  <c r="BQ133" i="11"/>
  <c r="BR133" i="11"/>
  <c r="BS133" i="11"/>
  <c r="BT133" i="11"/>
  <c r="BU133" i="11"/>
  <c r="BV133" i="11"/>
  <c r="BW133" i="11"/>
  <c r="BX133" i="11"/>
  <c r="BY133" i="11"/>
  <c r="BZ133" i="11"/>
  <c r="CA133" i="11"/>
  <c r="CB133" i="11"/>
  <c r="CC133" i="11"/>
  <c r="CD133" i="11"/>
  <c r="CE133" i="11"/>
  <c r="CF133" i="11"/>
  <c r="CG133" i="11"/>
  <c r="CH133" i="11"/>
  <c r="CI133" i="11"/>
  <c r="CJ133" i="11"/>
  <c r="CK133" i="11"/>
  <c r="CL133" i="11"/>
  <c r="CM133" i="11"/>
  <c r="CN133" i="11"/>
  <c r="CO133" i="11"/>
  <c r="CP133" i="11"/>
  <c r="CQ133" i="11"/>
  <c r="CR133" i="11"/>
  <c r="CS133" i="11"/>
  <c r="CT133" i="11"/>
  <c r="CU133" i="11"/>
  <c r="CV133" i="11"/>
  <c r="CW133" i="11"/>
  <c r="CX133" i="11"/>
  <c r="CY133" i="11"/>
  <c r="CZ133" i="11"/>
  <c r="DA133" i="11"/>
  <c r="DB133" i="11"/>
  <c r="DC133" i="11"/>
  <c r="DD133" i="11"/>
  <c r="DE133" i="11"/>
  <c r="DF133" i="11"/>
  <c r="DG133" i="11"/>
  <c r="DH133" i="11"/>
  <c r="DI133" i="11"/>
  <c r="DJ133" i="11"/>
  <c r="DK133" i="11"/>
  <c r="DL133" i="11"/>
  <c r="DM133" i="11"/>
  <c r="DN133" i="11"/>
  <c r="DO133" i="11"/>
  <c r="DP133" i="11"/>
  <c r="DQ133" i="11"/>
  <c r="DR133" i="11"/>
  <c r="DS133" i="11"/>
  <c r="DT133" i="11"/>
  <c r="DU133" i="11"/>
  <c r="DV133" i="11"/>
  <c r="DW133" i="11"/>
  <c r="DX133" i="11"/>
  <c r="DY133" i="11"/>
  <c r="DZ133" i="11"/>
  <c r="EA133" i="11"/>
  <c r="EB133" i="11"/>
  <c r="EC133" i="11"/>
  <c r="ED133" i="11"/>
  <c r="EE133" i="11"/>
  <c r="EF133" i="11"/>
  <c r="EG133" i="11"/>
  <c r="EH133" i="11"/>
  <c r="EI133" i="11"/>
  <c r="EJ133" i="11"/>
  <c r="EK133" i="11"/>
  <c r="EL133" i="11"/>
  <c r="EM133" i="11"/>
  <c r="EN133" i="11"/>
  <c r="EO133" i="11"/>
  <c r="EP133" i="11"/>
  <c r="EQ133" i="11"/>
  <c r="ER133" i="11"/>
  <c r="ES133" i="11"/>
  <c r="ET133" i="11"/>
  <c r="EU133" i="11"/>
  <c r="EV133" i="11"/>
  <c r="EW133" i="11"/>
  <c r="EX133" i="11"/>
  <c r="EY133" i="11"/>
  <c r="EZ133" i="11"/>
  <c r="FA133" i="11"/>
  <c r="FB133" i="11"/>
  <c r="FC133" i="11"/>
  <c r="FD133" i="11"/>
  <c r="FE133" i="11"/>
  <c r="FF133" i="11"/>
  <c r="FG133" i="11"/>
  <c r="FH133" i="11"/>
  <c r="FI133" i="11"/>
  <c r="FJ133" i="11"/>
  <c r="FK133" i="11"/>
  <c r="FL133" i="11"/>
  <c r="FM133" i="11"/>
  <c r="FN133" i="11"/>
  <c r="FO133" i="11"/>
  <c r="FP133" i="11"/>
  <c r="FQ133" i="11"/>
  <c r="FR133" i="11"/>
  <c r="FS133" i="11"/>
  <c r="FT133" i="11"/>
  <c r="FU133" i="11"/>
  <c r="FV133" i="11"/>
  <c r="FW133" i="11"/>
  <c r="FX133" i="11"/>
  <c r="FY133" i="11"/>
  <c r="FZ133" i="11"/>
  <c r="GA133" i="11"/>
  <c r="GB133" i="11"/>
  <c r="GC133" i="11"/>
  <c r="GD133" i="11"/>
  <c r="GE133" i="11"/>
  <c r="GF133" i="11"/>
  <c r="GG133" i="11"/>
  <c r="GH133" i="11"/>
  <c r="GI133" i="11"/>
  <c r="GJ133" i="11"/>
  <c r="GK133" i="11"/>
  <c r="GL133" i="11"/>
  <c r="GM133" i="11"/>
  <c r="GN133" i="11"/>
  <c r="GO133" i="11"/>
  <c r="GP133" i="11"/>
  <c r="GQ133" i="11"/>
  <c r="GR133" i="11"/>
  <c r="GS133" i="11"/>
  <c r="GT133" i="11"/>
  <c r="GU133" i="11"/>
  <c r="GV133" i="11"/>
  <c r="GW133" i="11"/>
  <c r="GX133" i="11"/>
  <c r="GY133" i="11"/>
  <c r="GZ133" i="11"/>
  <c r="HA133" i="11"/>
  <c r="HB133" i="11"/>
  <c r="HC133" i="11"/>
  <c r="HD133" i="11"/>
  <c r="HE133" i="11"/>
  <c r="HF133" i="11"/>
  <c r="HG133" i="11"/>
  <c r="HH133" i="11"/>
  <c r="HI133" i="11"/>
  <c r="HJ133" i="11"/>
  <c r="HK133" i="11"/>
  <c r="HL133" i="11"/>
  <c r="HM133" i="11"/>
  <c r="HN133" i="11"/>
  <c r="HO133" i="11"/>
  <c r="HP133" i="11"/>
  <c r="HQ133" i="11"/>
  <c r="HR133" i="11"/>
  <c r="HS133" i="11"/>
  <c r="HT133" i="11"/>
  <c r="HU133" i="11"/>
  <c r="HV133" i="11"/>
  <c r="HW133" i="11"/>
  <c r="HX133" i="11"/>
  <c r="HY133" i="11"/>
  <c r="HZ133" i="11"/>
  <c r="IA133" i="11"/>
  <c r="IB133" i="11"/>
  <c r="IC133" i="11"/>
  <c r="ID133" i="11"/>
  <c r="IE133" i="11"/>
  <c r="IF133" i="11"/>
  <c r="IG133" i="11"/>
  <c r="IH133" i="11"/>
  <c r="II133" i="11"/>
  <c r="IJ133" i="11"/>
  <c r="IK133" i="11"/>
  <c r="IL133" i="11"/>
  <c r="IM133" i="11"/>
  <c r="IN133" i="11"/>
  <c r="IO133" i="11"/>
  <c r="IP133" i="11"/>
  <c r="IQ133" i="11"/>
  <c r="IR133" i="11"/>
  <c r="IS133" i="11"/>
  <c r="IT133" i="11"/>
  <c r="IU133" i="11"/>
  <c r="IV133" i="11"/>
  <c r="F134" i="11"/>
  <c r="G134" i="11"/>
  <c r="H134" i="11"/>
  <c r="I134" i="11"/>
  <c r="J134" i="11"/>
  <c r="K134" i="11"/>
  <c r="L134" i="11"/>
  <c r="M134" i="11"/>
  <c r="N134" i="11"/>
  <c r="O134" i="11"/>
  <c r="P134" i="11"/>
  <c r="Q134" i="11"/>
  <c r="R134" i="11"/>
  <c r="S134" i="11"/>
  <c r="T134" i="11"/>
  <c r="U134" i="11"/>
  <c r="V134" i="11"/>
  <c r="W134" i="11"/>
  <c r="X134" i="11"/>
  <c r="Y134" i="11"/>
  <c r="Z134" i="11"/>
  <c r="AA134" i="11"/>
  <c r="AB134" i="11"/>
  <c r="AC134" i="11"/>
  <c r="AD134" i="11"/>
  <c r="AE134" i="11"/>
  <c r="AF134" i="11"/>
  <c r="AG134" i="11"/>
  <c r="AH134" i="11"/>
  <c r="AI134" i="11"/>
  <c r="AJ134" i="11"/>
  <c r="AK134" i="11"/>
  <c r="AL134" i="11"/>
  <c r="AM134" i="11"/>
  <c r="AN134" i="11"/>
  <c r="AO134" i="11"/>
  <c r="AP134" i="11"/>
  <c r="AQ134" i="11"/>
  <c r="AR134" i="11"/>
  <c r="AS134" i="11"/>
  <c r="AT134" i="11"/>
  <c r="AU134" i="11"/>
  <c r="AV134" i="11"/>
  <c r="AW134" i="11"/>
  <c r="AX134" i="11"/>
  <c r="AY134" i="11"/>
  <c r="AZ134" i="11"/>
  <c r="BA134" i="11"/>
  <c r="BB134" i="11"/>
  <c r="BC134" i="11"/>
  <c r="BD134" i="11"/>
  <c r="BE134" i="11"/>
  <c r="BF134" i="11"/>
  <c r="BG134" i="11"/>
  <c r="BH134" i="11"/>
  <c r="BI134" i="11"/>
  <c r="BJ134" i="11"/>
  <c r="BK134" i="11"/>
  <c r="BL134" i="11"/>
  <c r="BM134" i="11"/>
  <c r="BN134" i="11"/>
  <c r="BO134" i="11"/>
  <c r="BP134" i="11"/>
  <c r="BQ134" i="11"/>
  <c r="BR134" i="11"/>
  <c r="BS134" i="11"/>
  <c r="BT134" i="11"/>
  <c r="BU134" i="11"/>
  <c r="BV134" i="11"/>
  <c r="BW134" i="11"/>
  <c r="BX134" i="11"/>
  <c r="BY134" i="11"/>
  <c r="BZ134" i="11"/>
  <c r="CA134" i="11"/>
  <c r="CB134" i="11"/>
  <c r="CC134" i="11"/>
  <c r="CD134" i="11"/>
  <c r="CE134" i="11"/>
  <c r="CF134" i="11"/>
  <c r="CG134" i="11"/>
  <c r="CH134" i="11"/>
  <c r="CI134" i="11"/>
  <c r="CJ134" i="11"/>
  <c r="CK134" i="11"/>
  <c r="CL134" i="11"/>
  <c r="CM134" i="11"/>
  <c r="CN134" i="11"/>
  <c r="CO134" i="11"/>
  <c r="CP134" i="11"/>
  <c r="CQ134" i="11"/>
  <c r="CR134" i="11"/>
  <c r="CS134" i="11"/>
  <c r="CT134" i="11"/>
  <c r="CU134" i="11"/>
  <c r="CV134" i="11"/>
  <c r="CW134" i="11"/>
  <c r="CX134" i="11"/>
  <c r="CY134" i="11"/>
  <c r="CZ134" i="11"/>
  <c r="DA134" i="11"/>
  <c r="DB134" i="11"/>
  <c r="DC134" i="11"/>
  <c r="DD134" i="11"/>
  <c r="DE134" i="11"/>
  <c r="DF134" i="11"/>
  <c r="DG134" i="11"/>
  <c r="DH134" i="11"/>
  <c r="DI134" i="11"/>
  <c r="DJ134" i="11"/>
  <c r="DK134" i="11"/>
  <c r="DL134" i="11"/>
  <c r="DM134" i="11"/>
  <c r="DN134" i="11"/>
  <c r="DO134" i="11"/>
  <c r="DP134" i="11"/>
  <c r="DQ134" i="11"/>
  <c r="DR134" i="11"/>
  <c r="DS134" i="11"/>
  <c r="DT134" i="11"/>
  <c r="DU134" i="11"/>
  <c r="DV134" i="11"/>
  <c r="DW134" i="11"/>
  <c r="DX134" i="11"/>
  <c r="DY134" i="11"/>
  <c r="DZ134" i="11"/>
  <c r="EA134" i="11"/>
  <c r="EB134" i="11"/>
  <c r="EC134" i="11"/>
  <c r="ED134" i="11"/>
  <c r="EE134" i="11"/>
  <c r="EF134" i="11"/>
  <c r="EG134" i="11"/>
  <c r="EH134" i="11"/>
  <c r="EI134" i="11"/>
  <c r="EJ134" i="11"/>
  <c r="EK134" i="11"/>
  <c r="EL134" i="11"/>
  <c r="EM134" i="11"/>
  <c r="EN134" i="11"/>
  <c r="EO134" i="11"/>
  <c r="EP134" i="11"/>
  <c r="EQ134" i="11"/>
  <c r="ER134" i="11"/>
  <c r="ES134" i="11"/>
  <c r="ET134" i="11"/>
  <c r="EU134" i="11"/>
  <c r="EV134" i="11"/>
  <c r="EW134" i="11"/>
  <c r="EX134" i="11"/>
  <c r="EY134" i="11"/>
  <c r="EZ134" i="11"/>
  <c r="FA134" i="11"/>
  <c r="FB134" i="11"/>
  <c r="FC134" i="11"/>
  <c r="FD134" i="11"/>
  <c r="FE134" i="11"/>
  <c r="FF134" i="11"/>
  <c r="FG134" i="11"/>
  <c r="FH134" i="11"/>
  <c r="FI134" i="11"/>
  <c r="FJ134" i="11"/>
  <c r="FK134" i="11"/>
  <c r="FL134" i="11"/>
  <c r="FM134" i="11"/>
  <c r="FN134" i="11"/>
  <c r="FO134" i="11"/>
  <c r="FP134" i="11"/>
  <c r="FQ134" i="11"/>
  <c r="FR134" i="11"/>
  <c r="FS134" i="11"/>
  <c r="FT134" i="11"/>
  <c r="FU134" i="11"/>
  <c r="FV134" i="11"/>
  <c r="FW134" i="11"/>
  <c r="FX134" i="11"/>
  <c r="FY134" i="11"/>
  <c r="FZ134" i="11"/>
  <c r="GA134" i="11"/>
  <c r="GB134" i="11"/>
  <c r="GC134" i="11"/>
  <c r="GD134" i="11"/>
  <c r="GE134" i="11"/>
  <c r="GF134" i="11"/>
  <c r="GG134" i="11"/>
  <c r="GH134" i="11"/>
  <c r="GI134" i="11"/>
  <c r="GJ134" i="11"/>
  <c r="GK134" i="11"/>
  <c r="GL134" i="11"/>
  <c r="GM134" i="11"/>
  <c r="GN134" i="11"/>
  <c r="GO134" i="11"/>
  <c r="GP134" i="11"/>
  <c r="GQ134" i="11"/>
  <c r="GR134" i="11"/>
  <c r="GS134" i="11"/>
  <c r="GT134" i="11"/>
  <c r="GU134" i="11"/>
  <c r="GV134" i="11"/>
  <c r="GW134" i="11"/>
  <c r="GX134" i="11"/>
  <c r="GY134" i="11"/>
  <c r="GZ134" i="11"/>
  <c r="HA134" i="11"/>
  <c r="HB134" i="11"/>
  <c r="HC134" i="11"/>
  <c r="HD134" i="11"/>
  <c r="HE134" i="11"/>
  <c r="HF134" i="11"/>
  <c r="HG134" i="11"/>
  <c r="HH134" i="11"/>
  <c r="HI134" i="11"/>
  <c r="HJ134" i="11"/>
  <c r="HK134" i="11"/>
  <c r="HL134" i="11"/>
  <c r="HM134" i="11"/>
  <c r="HN134" i="11"/>
  <c r="HO134" i="11"/>
  <c r="HP134" i="11"/>
  <c r="HQ134" i="11"/>
  <c r="HR134" i="11"/>
  <c r="HS134" i="11"/>
  <c r="HT134" i="11"/>
  <c r="HU134" i="11"/>
  <c r="HV134" i="11"/>
  <c r="HW134" i="11"/>
  <c r="HX134" i="11"/>
  <c r="HY134" i="11"/>
  <c r="HZ134" i="11"/>
  <c r="IA134" i="11"/>
  <c r="IB134" i="11"/>
  <c r="IC134" i="11"/>
  <c r="ID134" i="11"/>
  <c r="IE134" i="11"/>
  <c r="IF134" i="11"/>
  <c r="IG134" i="11"/>
  <c r="IH134" i="11"/>
  <c r="II134" i="11"/>
  <c r="IJ134" i="11"/>
  <c r="IK134" i="11"/>
  <c r="IL134" i="11"/>
  <c r="IM134" i="11"/>
  <c r="IN134" i="11"/>
  <c r="IO134" i="11"/>
  <c r="IP134" i="11"/>
  <c r="IQ134" i="11"/>
  <c r="IR134" i="11"/>
  <c r="IS134" i="11"/>
  <c r="IT134" i="11"/>
  <c r="IU134" i="11"/>
  <c r="IV134" i="11"/>
  <c r="F135" i="11"/>
  <c r="G135" i="11"/>
  <c r="H135" i="11"/>
  <c r="I135" i="11"/>
  <c r="J135" i="11"/>
  <c r="K135" i="11"/>
  <c r="L135" i="11"/>
  <c r="M135" i="11"/>
  <c r="N135" i="11"/>
  <c r="O135" i="11"/>
  <c r="P135" i="11"/>
  <c r="Q135" i="11"/>
  <c r="R135" i="11"/>
  <c r="S135" i="11"/>
  <c r="T135" i="11"/>
  <c r="U135" i="11"/>
  <c r="V135" i="11"/>
  <c r="W135" i="11"/>
  <c r="X135" i="11"/>
  <c r="Y135" i="11"/>
  <c r="Z135" i="11"/>
  <c r="AA135" i="11"/>
  <c r="AB135" i="11"/>
  <c r="AC135" i="11"/>
  <c r="AD135" i="11"/>
  <c r="AE135" i="11"/>
  <c r="AF135" i="11"/>
  <c r="AG135" i="11"/>
  <c r="AH135" i="11"/>
  <c r="AI135" i="11"/>
  <c r="AJ135" i="11"/>
  <c r="AK135" i="11"/>
  <c r="AL135" i="11"/>
  <c r="AM135" i="11"/>
  <c r="AN135" i="11"/>
  <c r="AO135" i="11"/>
  <c r="AP135" i="11"/>
  <c r="AQ135" i="11"/>
  <c r="AR135" i="11"/>
  <c r="AS135" i="11"/>
  <c r="AT135" i="11"/>
  <c r="AU135" i="11"/>
  <c r="AV135" i="11"/>
  <c r="AW135" i="11"/>
  <c r="AX135" i="11"/>
  <c r="AY135" i="11"/>
  <c r="AZ135" i="11"/>
  <c r="BA135" i="11"/>
  <c r="BB135" i="11"/>
  <c r="BC135" i="11"/>
  <c r="BD135" i="11"/>
  <c r="BE135" i="11"/>
  <c r="BF135" i="11"/>
  <c r="BG135" i="11"/>
  <c r="BH135" i="11"/>
  <c r="BI135" i="11"/>
  <c r="BJ135" i="11"/>
  <c r="BK135" i="11"/>
  <c r="BL135" i="11"/>
  <c r="BM135" i="11"/>
  <c r="BN135" i="11"/>
  <c r="BO135" i="11"/>
  <c r="BP135" i="11"/>
  <c r="BQ135" i="11"/>
  <c r="BR135" i="11"/>
  <c r="BS135" i="11"/>
  <c r="BT135" i="11"/>
  <c r="BU135" i="11"/>
  <c r="BV135" i="11"/>
  <c r="BW135" i="11"/>
  <c r="BX135" i="11"/>
  <c r="BY135" i="11"/>
  <c r="BZ135" i="11"/>
  <c r="CA135" i="11"/>
  <c r="CB135" i="11"/>
  <c r="CC135" i="11"/>
  <c r="CD135" i="11"/>
  <c r="CE135" i="11"/>
  <c r="CF135" i="11"/>
  <c r="CG135" i="11"/>
  <c r="CH135" i="11"/>
  <c r="CI135" i="11"/>
  <c r="CJ135" i="11"/>
  <c r="CK135" i="11"/>
  <c r="CL135" i="11"/>
  <c r="CM135" i="11"/>
  <c r="CN135" i="11"/>
  <c r="CO135" i="11"/>
  <c r="CP135" i="11"/>
  <c r="CQ135" i="11"/>
  <c r="CR135" i="11"/>
  <c r="CS135" i="11"/>
  <c r="CT135" i="11"/>
  <c r="CU135" i="11"/>
  <c r="CV135" i="11"/>
  <c r="CW135" i="11"/>
  <c r="CX135" i="11"/>
  <c r="CY135" i="11"/>
  <c r="CZ135" i="11"/>
  <c r="DA135" i="11"/>
  <c r="DB135" i="11"/>
  <c r="DC135" i="11"/>
  <c r="DD135" i="11"/>
  <c r="DE135" i="11"/>
  <c r="DF135" i="11"/>
  <c r="DG135" i="11"/>
  <c r="DH135" i="11"/>
  <c r="DI135" i="11"/>
  <c r="DJ135" i="11"/>
  <c r="DK135" i="11"/>
  <c r="DL135" i="11"/>
  <c r="DM135" i="11"/>
  <c r="DN135" i="11"/>
  <c r="DO135" i="11"/>
  <c r="DP135" i="11"/>
  <c r="DQ135" i="11"/>
  <c r="DR135" i="11"/>
  <c r="DS135" i="11"/>
  <c r="DT135" i="11"/>
  <c r="DU135" i="11"/>
  <c r="DV135" i="11"/>
  <c r="DW135" i="11"/>
  <c r="DX135" i="11"/>
  <c r="DY135" i="11"/>
  <c r="DZ135" i="11"/>
  <c r="EA135" i="11"/>
  <c r="EB135" i="11"/>
  <c r="EC135" i="11"/>
  <c r="ED135" i="11"/>
  <c r="EE135" i="11"/>
  <c r="EF135" i="11"/>
  <c r="EG135" i="11"/>
  <c r="EH135" i="11"/>
  <c r="EI135" i="11"/>
  <c r="EJ135" i="11"/>
  <c r="EK135" i="11"/>
  <c r="EL135" i="11"/>
  <c r="EM135" i="11"/>
  <c r="EN135" i="11"/>
  <c r="EO135" i="11"/>
  <c r="EP135" i="11"/>
  <c r="EQ135" i="11"/>
  <c r="ER135" i="11"/>
  <c r="ES135" i="11"/>
  <c r="ET135" i="11"/>
  <c r="EU135" i="11"/>
  <c r="EV135" i="11"/>
  <c r="EW135" i="11"/>
  <c r="EX135" i="11"/>
  <c r="EY135" i="11"/>
  <c r="EZ135" i="11"/>
  <c r="FA135" i="11"/>
  <c r="FB135" i="11"/>
  <c r="FC135" i="11"/>
  <c r="FD135" i="11"/>
  <c r="FE135" i="11"/>
  <c r="FF135" i="11"/>
  <c r="FG135" i="11"/>
  <c r="FH135" i="11"/>
  <c r="FI135" i="11"/>
  <c r="FJ135" i="11"/>
  <c r="FK135" i="11"/>
  <c r="FL135" i="11"/>
  <c r="FM135" i="11"/>
  <c r="FN135" i="11"/>
  <c r="FO135" i="11"/>
  <c r="FP135" i="11"/>
  <c r="FQ135" i="11"/>
  <c r="FR135" i="11"/>
  <c r="FS135" i="11"/>
  <c r="FT135" i="11"/>
  <c r="FU135" i="11"/>
  <c r="FV135" i="11"/>
  <c r="FW135" i="11"/>
  <c r="FX135" i="11"/>
  <c r="FY135" i="11"/>
  <c r="FZ135" i="11"/>
  <c r="GA135" i="11"/>
  <c r="GB135" i="11"/>
  <c r="GC135" i="11"/>
  <c r="GD135" i="11"/>
  <c r="GE135" i="11"/>
  <c r="GF135" i="11"/>
  <c r="GG135" i="11"/>
  <c r="GH135" i="11"/>
  <c r="GI135" i="11"/>
  <c r="GJ135" i="11"/>
  <c r="GK135" i="11"/>
  <c r="GL135" i="11"/>
  <c r="GM135" i="11"/>
  <c r="GN135" i="11"/>
  <c r="GO135" i="11"/>
  <c r="GP135" i="11"/>
  <c r="GQ135" i="11"/>
  <c r="GR135" i="11"/>
  <c r="GS135" i="11"/>
  <c r="GT135" i="11"/>
  <c r="GU135" i="11"/>
  <c r="GV135" i="11"/>
  <c r="GW135" i="11"/>
  <c r="GX135" i="11"/>
  <c r="GY135" i="11"/>
  <c r="GZ135" i="11"/>
  <c r="HA135" i="11"/>
  <c r="HB135" i="11"/>
  <c r="HC135" i="11"/>
  <c r="HD135" i="11"/>
  <c r="HE135" i="11"/>
  <c r="HF135" i="11"/>
  <c r="HG135" i="11"/>
  <c r="HH135" i="11"/>
  <c r="HI135" i="11"/>
  <c r="HJ135" i="11"/>
  <c r="HK135" i="11"/>
  <c r="HL135" i="11"/>
  <c r="HM135" i="11"/>
  <c r="HN135" i="11"/>
  <c r="HO135" i="11"/>
  <c r="HP135" i="11"/>
  <c r="HQ135" i="11"/>
  <c r="HR135" i="11"/>
  <c r="HS135" i="11"/>
  <c r="HT135" i="11"/>
  <c r="HU135" i="11"/>
  <c r="HV135" i="11"/>
  <c r="HW135" i="11"/>
  <c r="HX135" i="11"/>
  <c r="HY135" i="11"/>
  <c r="HZ135" i="11"/>
  <c r="IA135" i="11"/>
  <c r="IB135" i="11"/>
  <c r="IC135" i="11"/>
  <c r="ID135" i="11"/>
  <c r="IE135" i="11"/>
  <c r="IF135" i="11"/>
  <c r="IG135" i="11"/>
  <c r="IH135" i="11"/>
  <c r="II135" i="11"/>
  <c r="IJ135" i="11"/>
  <c r="IK135" i="11"/>
  <c r="IL135" i="11"/>
  <c r="IM135" i="11"/>
  <c r="IN135" i="11"/>
  <c r="IO135" i="11"/>
  <c r="IP135" i="11"/>
  <c r="IQ135" i="11"/>
  <c r="IR135" i="11"/>
  <c r="IS135" i="11"/>
  <c r="IT135" i="11"/>
  <c r="IU135" i="11"/>
  <c r="IV135" i="11"/>
  <c r="F136" i="11"/>
  <c r="G136" i="11"/>
  <c r="H136" i="11"/>
  <c r="I136" i="11"/>
  <c r="J136" i="11"/>
  <c r="K136" i="11"/>
  <c r="L136" i="11"/>
  <c r="M136" i="11"/>
  <c r="N136" i="11"/>
  <c r="O136" i="11"/>
  <c r="P136" i="11"/>
  <c r="Q136" i="11"/>
  <c r="R136" i="11"/>
  <c r="S136" i="11"/>
  <c r="T136" i="11"/>
  <c r="U136" i="11"/>
  <c r="V136" i="11"/>
  <c r="W136" i="11"/>
  <c r="X136" i="11"/>
  <c r="Y136" i="11"/>
  <c r="Z136" i="11"/>
  <c r="AA136" i="11"/>
  <c r="AB136" i="11"/>
  <c r="AC136" i="11"/>
  <c r="AD136" i="11"/>
  <c r="AE136" i="11"/>
  <c r="AF136" i="11"/>
  <c r="AG136" i="11"/>
  <c r="AH136" i="11"/>
  <c r="AI136" i="11"/>
  <c r="AJ136" i="11"/>
  <c r="AK136" i="11"/>
  <c r="AL136" i="11"/>
  <c r="AM136" i="11"/>
  <c r="AN136" i="11"/>
  <c r="AO136" i="11"/>
  <c r="AP136" i="11"/>
  <c r="AQ136" i="11"/>
  <c r="AR136" i="11"/>
  <c r="AS136" i="11"/>
  <c r="AT136" i="11"/>
  <c r="AU136" i="11"/>
  <c r="AV136" i="11"/>
  <c r="AW136" i="11"/>
  <c r="AX136" i="11"/>
  <c r="AY136" i="11"/>
  <c r="AZ136" i="11"/>
  <c r="BA136" i="11"/>
  <c r="BB136" i="11"/>
  <c r="BC136" i="11"/>
  <c r="BD136" i="11"/>
  <c r="BE136" i="11"/>
  <c r="BF136" i="11"/>
  <c r="BG136" i="11"/>
  <c r="BH136" i="11"/>
  <c r="BI136" i="11"/>
  <c r="BJ136" i="11"/>
  <c r="BK136" i="11"/>
  <c r="BL136" i="11"/>
  <c r="BM136" i="11"/>
  <c r="BN136" i="11"/>
  <c r="BO136" i="11"/>
  <c r="BP136" i="11"/>
  <c r="BQ136" i="11"/>
  <c r="BR136" i="11"/>
  <c r="BS136" i="11"/>
  <c r="BT136" i="11"/>
  <c r="BU136" i="11"/>
  <c r="BV136" i="11"/>
  <c r="BW136" i="11"/>
  <c r="BX136" i="11"/>
  <c r="BY136" i="11"/>
  <c r="BZ136" i="11"/>
  <c r="CA136" i="11"/>
  <c r="CB136" i="11"/>
  <c r="CC136" i="11"/>
  <c r="CD136" i="11"/>
  <c r="CE136" i="11"/>
  <c r="CF136" i="11"/>
  <c r="CG136" i="11"/>
  <c r="CH136" i="11"/>
  <c r="CI136" i="11"/>
  <c r="CJ136" i="11"/>
  <c r="CK136" i="11"/>
  <c r="CL136" i="11"/>
  <c r="CM136" i="11"/>
  <c r="CN136" i="11"/>
  <c r="CO136" i="11"/>
  <c r="CP136" i="11"/>
  <c r="CQ136" i="11"/>
  <c r="CR136" i="11"/>
  <c r="CS136" i="11"/>
  <c r="CT136" i="11"/>
  <c r="CU136" i="11"/>
  <c r="CV136" i="11"/>
  <c r="CW136" i="11"/>
  <c r="CX136" i="11"/>
  <c r="CY136" i="11"/>
  <c r="CZ136" i="11"/>
  <c r="DA136" i="11"/>
  <c r="DB136" i="11"/>
  <c r="DC136" i="11"/>
  <c r="DD136" i="11"/>
  <c r="DE136" i="11"/>
  <c r="DF136" i="11"/>
  <c r="DG136" i="11"/>
  <c r="DH136" i="11"/>
  <c r="DI136" i="11"/>
  <c r="DJ136" i="11"/>
  <c r="DK136" i="11"/>
  <c r="DL136" i="11"/>
  <c r="DM136" i="11"/>
  <c r="DN136" i="11"/>
  <c r="DO136" i="11"/>
  <c r="DP136" i="11"/>
  <c r="DQ136" i="11"/>
  <c r="DR136" i="11"/>
  <c r="DS136" i="11"/>
  <c r="DT136" i="11"/>
  <c r="DU136" i="11"/>
  <c r="DV136" i="11"/>
  <c r="DW136" i="11"/>
  <c r="DX136" i="11"/>
  <c r="DY136" i="11"/>
  <c r="DZ136" i="11"/>
  <c r="EA136" i="11"/>
  <c r="EB136" i="11"/>
  <c r="EC136" i="11"/>
  <c r="ED136" i="11"/>
  <c r="EE136" i="11"/>
  <c r="EF136" i="11"/>
  <c r="EG136" i="11"/>
  <c r="EH136" i="11"/>
  <c r="EI136" i="11"/>
  <c r="EJ136" i="11"/>
  <c r="EK136" i="11"/>
  <c r="EL136" i="11"/>
  <c r="EM136" i="11"/>
  <c r="EN136" i="11"/>
  <c r="EO136" i="11"/>
  <c r="EP136" i="11"/>
  <c r="EQ136" i="11"/>
  <c r="ER136" i="11"/>
  <c r="ES136" i="11"/>
  <c r="ET136" i="11"/>
  <c r="EU136" i="11"/>
  <c r="EV136" i="11"/>
  <c r="EW136" i="11"/>
  <c r="EX136" i="11"/>
  <c r="EY136" i="11"/>
  <c r="EZ136" i="11"/>
  <c r="FA136" i="11"/>
  <c r="FB136" i="11"/>
  <c r="FC136" i="11"/>
  <c r="FD136" i="11"/>
  <c r="FE136" i="11"/>
  <c r="FF136" i="11"/>
  <c r="FG136" i="11"/>
  <c r="FH136" i="11"/>
  <c r="FI136" i="11"/>
  <c r="FJ136" i="11"/>
  <c r="FK136" i="11"/>
  <c r="FL136" i="11"/>
  <c r="FM136" i="11"/>
  <c r="FN136" i="11"/>
  <c r="FO136" i="11"/>
  <c r="FP136" i="11"/>
  <c r="FQ136" i="11"/>
  <c r="FR136" i="11"/>
  <c r="FS136" i="11"/>
  <c r="FT136" i="11"/>
  <c r="FU136" i="11"/>
  <c r="FV136" i="11"/>
  <c r="FW136" i="11"/>
  <c r="FX136" i="11"/>
  <c r="FY136" i="11"/>
  <c r="FZ136" i="11"/>
  <c r="GA136" i="11"/>
  <c r="GB136" i="11"/>
  <c r="GC136" i="11"/>
  <c r="GD136" i="11"/>
  <c r="GE136" i="11"/>
  <c r="GF136" i="11"/>
  <c r="GG136" i="11"/>
  <c r="GH136" i="11"/>
  <c r="GI136" i="11"/>
  <c r="GJ136" i="11"/>
  <c r="GK136" i="11"/>
  <c r="GL136" i="11"/>
  <c r="GM136" i="11"/>
  <c r="GN136" i="11"/>
  <c r="GO136" i="11"/>
  <c r="GP136" i="11"/>
  <c r="GQ136" i="11"/>
  <c r="GR136" i="11"/>
  <c r="GS136" i="11"/>
  <c r="GT136" i="11"/>
  <c r="GU136" i="11"/>
  <c r="GV136" i="11"/>
  <c r="GW136" i="11"/>
  <c r="GX136" i="11"/>
  <c r="GY136" i="11"/>
  <c r="GZ136" i="11"/>
  <c r="HA136" i="11"/>
  <c r="HB136" i="11"/>
  <c r="HC136" i="11"/>
  <c r="HD136" i="11"/>
  <c r="HE136" i="11"/>
  <c r="HF136" i="11"/>
  <c r="HG136" i="11"/>
  <c r="HH136" i="11"/>
  <c r="HI136" i="11"/>
  <c r="HJ136" i="11"/>
  <c r="HK136" i="11"/>
  <c r="HL136" i="11"/>
  <c r="HM136" i="11"/>
  <c r="HN136" i="11"/>
  <c r="HO136" i="11"/>
  <c r="HP136" i="11"/>
  <c r="HQ136" i="11"/>
  <c r="HR136" i="11"/>
  <c r="HS136" i="11"/>
  <c r="HT136" i="11"/>
  <c r="HU136" i="11"/>
  <c r="HV136" i="11"/>
  <c r="HW136" i="11"/>
  <c r="HX136" i="11"/>
  <c r="HY136" i="11"/>
  <c r="HZ136" i="11"/>
  <c r="IA136" i="11"/>
  <c r="IB136" i="11"/>
  <c r="IC136" i="11"/>
  <c r="ID136" i="11"/>
  <c r="IE136" i="11"/>
  <c r="IF136" i="11"/>
  <c r="IG136" i="11"/>
  <c r="IH136" i="11"/>
  <c r="II136" i="11"/>
  <c r="IJ136" i="11"/>
  <c r="IK136" i="11"/>
  <c r="IL136" i="11"/>
  <c r="IM136" i="11"/>
  <c r="IN136" i="11"/>
  <c r="IO136" i="11"/>
  <c r="IP136" i="11"/>
  <c r="IQ136" i="11"/>
  <c r="IR136" i="11"/>
  <c r="IS136" i="11"/>
  <c r="IT136" i="11"/>
  <c r="IU136" i="11"/>
  <c r="IV136" i="11"/>
  <c r="F137" i="11"/>
  <c r="G137" i="11"/>
  <c r="H137" i="11"/>
  <c r="I137" i="11"/>
  <c r="J137" i="11"/>
  <c r="K137" i="11"/>
  <c r="L137" i="11"/>
  <c r="M137" i="11"/>
  <c r="N137" i="11"/>
  <c r="O137" i="11"/>
  <c r="P137" i="11"/>
  <c r="Q137" i="11"/>
  <c r="R137" i="11"/>
  <c r="S137" i="11"/>
  <c r="T137" i="11"/>
  <c r="U137" i="11"/>
  <c r="V137" i="11"/>
  <c r="W137" i="11"/>
  <c r="X137" i="11"/>
  <c r="Y137" i="11"/>
  <c r="Z137" i="11"/>
  <c r="AA137" i="11"/>
  <c r="AB137" i="11"/>
  <c r="AC137" i="11"/>
  <c r="AD137" i="11"/>
  <c r="AE137" i="11"/>
  <c r="AF137" i="11"/>
  <c r="AG137" i="11"/>
  <c r="AH137" i="11"/>
  <c r="AI137" i="11"/>
  <c r="AJ137" i="11"/>
  <c r="AK137" i="11"/>
  <c r="AL137" i="11"/>
  <c r="AM137" i="11"/>
  <c r="AN137" i="11"/>
  <c r="AO137" i="11"/>
  <c r="AP137" i="11"/>
  <c r="AQ137" i="11"/>
  <c r="AR137" i="11"/>
  <c r="AS137" i="11"/>
  <c r="AT137" i="11"/>
  <c r="AU137" i="11"/>
  <c r="AV137" i="11"/>
  <c r="AW137" i="11"/>
  <c r="AX137" i="11"/>
  <c r="AY137" i="11"/>
  <c r="AZ137" i="11"/>
  <c r="BA137" i="11"/>
  <c r="BB137" i="11"/>
  <c r="BC137" i="11"/>
  <c r="BD137" i="11"/>
  <c r="BE137" i="11"/>
  <c r="BF137" i="11"/>
  <c r="BG137" i="11"/>
  <c r="BH137" i="11"/>
  <c r="BI137" i="11"/>
  <c r="BJ137" i="11"/>
  <c r="BK137" i="11"/>
  <c r="BL137" i="11"/>
  <c r="BM137" i="11"/>
  <c r="BN137" i="11"/>
  <c r="BO137" i="11"/>
  <c r="BP137" i="11"/>
  <c r="BQ137" i="11"/>
  <c r="BR137" i="11"/>
  <c r="BS137" i="11"/>
  <c r="BT137" i="11"/>
  <c r="BU137" i="11"/>
  <c r="BV137" i="11"/>
  <c r="BW137" i="11"/>
  <c r="BX137" i="11"/>
  <c r="BY137" i="11"/>
  <c r="BZ137" i="11"/>
  <c r="CA137" i="11"/>
  <c r="CB137" i="11"/>
  <c r="CC137" i="11"/>
  <c r="CD137" i="11"/>
  <c r="CE137" i="11"/>
  <c r="CF137" i="11"/>
  <c r="CG137" i="11"/>
  <c r="CH137" i="11"/>
  <c r="CI137" i="11"/>
  <c r="CJ137" i="11"/>
  <c r="CK137" i="11"/>
  <c r="CL137" i="11"/>
  <c r="CM137" i="11"/>
  <c r="CN137" i="11"/>
  <c r="CO137" i="11"/>
  <c r="CP137" i="11"/>
  <c r="CQ137" i="11"/>
  <c r="CR137" i="11"/>
  <c r="CS137" i="11"/>
  <c r="CT137" i="11"/>
  <c r="CU137" i="11"/>
  <c r="CV137" i="11"/>
  <c r="CW137" i="11"/>
  <c r="CX137" i="11"/>
  <c r="CY137" i="11"/>
  <c r="CZ137" i="11"/>
  <c r="DA137" i="11"/>
  <c r="DB137" i="11"/>
  <c r="DC137" i="11"/>
  <c r="DD137" i="11"/>
  <c r="DE137" i="11"/>
  <c r="DF137" i="11"/>
  <c r="DG137" i="11"/>
  <c r="DH137" i="11"/>
  <c r="DI137" i="11"/>
  <c r="DJ137" i="11"/>
  <c r="DK137" i="11"/>
  <c r="DL137" i="11"/>
  <c r="DM137" i="11"/>
  <c r="DN137" i="11"/>
  <c r="DO137" i="11"/>
  <c r="DP137" i="11"/>
  <c r="DQ137" i="11"/>
  <c r="DR137" i="11"/>
  <c r="DS137" i="11"/>
  <c r="DT137" i="11"/>
  <c r="DU137" i="11"/>
  <c r="DV137" i="11"/>
  <c r="DW137" i="11"/>
  <c r="DX137" i="11"/>
  <c r="DY137" i="11"/>
  <c r="DZ137" i="11"/>
  <c r="EA137" i="11"/>
  <c r="EB137" i="11"/>
  <c r="EC137" i="11"/>
  <c r="ED137" i="11"/>
  <c r="EE137" i="11"/>
  <c r="EF137" i="11"/>
  <c r="EG137" i="11"/>
  <c r="EH137" i="11"/>
  <c r="EI137" i="11"/>
  <c r="EJ137" i="11"/>
  <c r="EK137" i="11"/>
  <c r="EL137" i="11"/>
  <c r="EM137" i="11"/>
  <c r="EN137" i="11"/>
  <c r="EO137" i="11"/>
  <c r="EP137" i="11"/>
  <c r="EQ137" i="11"/>
  <c r="ER137" i="11"/>
  <c r="ES137" i="11"/>
  <c r="ET137" i="11"/>
  <c r="EU137" i="11"/>
  <c r="EV137" i="11"/>
  <c r="EW137" i="11"/>
  <c r="EX137" i="11"/>
  <c r="EY137" i="11"/>
  <c r="EZ137" i="11"/>
  <c r="FA137" i="11"/>
  <c r="FB137" i="11"/>
  <c r="FC137" i="11"/>
  <c r="FD137" i="11"/>
  <c r="FE137" i="11"/>
  <c r="FF137" i="11"/>
  <c r="FG137" i="11"/>
  <c r="FH137" i="11"/>
  <c r="FI137" i="11"/>
  <c r="FJ137" i="11"/>
  <c r="FK137" i="11"/>
  <c r="FL137" i="11"/>
  <c r="FM137" i="11"/>
  <c r="FN137" i="11"/>
  <c r="FO137" i="11"/>
  <c r="FP137" i="11"/>
  <c r="FQ137" i="11"/>
  <c r="FR137" i="11"/>
  <c r="FS137" i="11"/>
  <c r="FT137" i="11"/>
  <c r="FU137" i="11"/>
  <c r="FV137" i="11"/>
  <c r="FW137" i="11"/>
  <c r="FX137" i="11"/>
  <c r="FY137" i="11"/>
  <c r="FZ137" i="11"/>
  <c r="GA137" i="11"/>
  <c r="GB137" i="11"/>
  <c r="GC137" i="11"/>
  <c r="GD137" i="11"/>
  <c r="GE137" i="11"/>
  <c r="GF137" i="11"/>
  <c r="GG137" i="11"/>
  <c r="GH137" i="11"/>
  <c r="GI137" i="11"/>
  <c r="GJ137" i="11"/>
  <c r="GK137" i="11"/>
  <c r="GL137" i="11"/>
  <c r="GM137" i="11"/>
  <c r="GN137" i="11"/>
  <c r="GO137" i="11"/>
  <c r="GP137" i="11"/>
  <c r="GQ137" i="11"/>
  <c r="GR137" i="11"/>
  <c r="GS137" i="11"/>
  <c r="GT137" i="11"/>
  <c r="GU137" i="11"/>
  <c r="GV137" i="11"/>
  <c r="GW137" i="11"/>
  <c r="GX137" i="11"/>
  <c r="GY137" i="11"/>
  <c r="GZ137" i="11"/>
  <c r="HA137" i="11"/>
  <c r="HB137" i="11"/>
  <c r="HC137" i="11"/>
  <c r="HD137" i="11"/>
  <c r="HE137" i="11"/>
  <c r="HF137" i="11"/>
  <c r="HG137" i="11"/>
  <c r="HH137" i="11"/>
  <c r="HI137" i="11"/>
  <c r="HJ137" i="11"/>
  <c r="HK137" i="11"/>
  <c r="HL137" i="11"/>
  <c r="HM137" i="11"/>
  <c r="HN137" i="11"/>
  <c r="HO137" i="11"/>
  <c r="HP137" i="11"/>
  <c r="HQ137" i="11"/>
  <c r="HR137" i="11"/>
  <c r="HS137" i="11"/>
  <c r="HT137" i="11"/>
  <c r="HU137" i="11"/>
  <c r="HV137" i="11"/>
  <c r="HW137" i="11"/>
  <c r="HX137" i="11"/>
  <c r="HY137" i="11"/>
  <c r="HZ137" i="11"/>
  <c r="IA137" i="11"/>
  <c r="IB137" i="11"/>
  <c r="IC137" i="11"/>
  <c r="ID137" i="11"/>
  <c r="IE137" i="11"/>
  <c r="IF137" i="11"/>
  <c r="IG137" i="11"/>
  <c r="IH137" i="11"/>
  <c r="II137" i="11"/>
  <c r="IJ137" i="11"/>
  <c r="IK137" i="11"/>
  <c r="IL137" i="11"/>
  <c r="IM137" i="11"/>
  <c r="IN137" i="11"/>
  <c r="IO137" i="11"/>
  <c r="IP137" i="11"/>
  <c r="IQ137" i="11"/>
  <c r="IR137" i="11"/>
  <c r="IS137" i="11"/>
  <c r="IT137" i="11"/>
  <c r="IU137" i="11"/>
  <c r="IV137" i="11"/>
  <c r="F138" i="11"/>
  <c r="G138" i="11"/>
  <c r="H138" i="11"/>
  <c r="I138" i="11"/>
  <c r="J138" i="11"/>
  <c r="K138" i="11"/>
  <c r="L138" i="11"/>
  <c r="M138" i="11"/>
  <c r="N138" i="11"/>
  <c r="O138" i="11"/>
  <c r="P138" i="11"/>
  <c r="Q138" i="11"/>
  <c r="R138" i="11"/>
  <c r="S138" i="11"/>
  <c r="T138" i="11"/>
  <c r="U138" i="11"/>
  <c r="V138" i="11"/>
  <c r="W138" i="11"/>
  <c r="X138" i="11"/>
  <c r="Y138" i="11"/>
  <c r="Z138" i="11"/>
  <c r="AA138" i="11"/>
  <c r="AB138" i="11"/>
  <c r="AC138" i="11"/>
  <c r="AD138" i="11"/>
  <c r="AE138" i="11"/>
  <c r="AF138" i="11"/>
  <c r="AG138" i="11"/>
  <c r="AH138" i="11"/>
  <c r="AI138" i="11"/>
  <c r="AJ138" i="11"/>
  <c r="AK138" i="11"/>
  <c r="AL138" i="11"/>
  <c r="AM138" i="11"/>
  <c r="AN138" i="11"/>
  <c r="AO138" i="11"/>
  <c r="AP138" i="11"/>
  <c r="AQ138" i="11"/>
  <c r="AR138" i="11"/>
  <c r="AS138" i="11"/>
  <c r="AT138" i="11"/>
  <c r="AU138" i="11"/>
  <c r="AV138" i="11"/>
  <c r="AW138" i="11"/>
  <c r="AX138" i="11"/>
  <c r="AY138" i="11"/>
  <c r="AZ138" i="11"/>
  <c r="BA138" i="11"/>
  <c r="BB138" i="11"/>
  <c r="BC138" i="11"/>
  <c r="BD138" i="11"/>
  <c r="BE138" i="11"/>
  <c r="BF138" i="11"/>
  <c r="BG138" i="11"/>
  <c r="BH138" i="11"/>
  <c r="BI138" i="11"/>
  <c r="BJ138" i="11"/>
  <c r="BK138" i="11"/>
  <c r="BL138" i="11"/>
  <c r="BM138" i="11"/>
  <c r="BN138" i="11"/>
  <c r="BO138" i="11"/>
  <c r="BP138" i="11"/>
  <c r="BQ138" i="11"/>
  <c r="BR138" i="11"/>
  <c r="BS138" i="11"/>
  <c r="BT138" i="11"/>
  <c r="BU138" i="11"/>
  <c r="BV138" i="11"/>
  <c r="BW138" i="11"/>
  <c r="BX138" i="11"/>
  <c r="BY138" i="11"/>
  <c r="BZ138" i="11"/>
  <c r="CA138" i="11"/>
  <c r="CB138" i="11"/>
  <c r="CC138" i="11"/>
  <c r="CD138" i="11"/>
  <c r="CE138" i="11"/>
  <c r="CF138" i="11"/>
  <c r="CG138" i="11"/>
  <c r="CH138" i="11"/>
  <c r="CI138" i="11"/>
  <c r="CJ138" i="11"/>
  <c r="CK138" i="11"/>
  <c r="CL138" i="11"/>
  <c r="CM138" i="11"/>
  <c r="CN138" i="11"/>
  <c r="CO138" i="11"/>
  <c r="CP138" i="11"/>
  <c r="CQ138" i="11"/>
  <c r="CR138" i="11"/>
  <c r="CS138" i="11"/>
  <c r="CT138" i="11"/>
  <c r="CU138" i="11"/>
  <c r="CV138" i="11"/>
  <c r="CW138" i="11"/>
  <c r="CX138" i="11"/>
  <c r="CY138" i="11"/>
  <c r="CZ138" i="11"/>
  <c r="DA138" i="11"/>
  <c r="DB138" i="11"/>
  <c r="DC138" i="11"/>
  <c r="DD138" i="11"/>
  <c r="DE138" i="11"/>
  <c r="DF138" i="11"/>
  <c r="DG138" i="11"/>
  <c r="DH138" i="11"/>
  <c r="DI138" i="11"/>
  <c r="DJ138" i="11"/>
  <c r="DK138" i="11"/>
  <c r="DL138" i="11"/>
  <c r="DM138" i="11"/>
  <c r="DN138" i="11"/>
  <c r="DO138" i="11"/>
  <c r="DP138" i="11"/>
  <c r="DQ138" i="11"/>
  <c r="DR138" i="11"/>
  <c r="DS138" i="11"/>
  <c r="DT138" i="11"/>
  <c r="DU138" i="11"/>
  <c r="DV138" i="11"/>
  <c r="DW138" i="11"/>
  <c r="DX138" i="11"/>
  <c r="DY138" i="11"/>
  <c r="DZ138" i="11"/>
  <c r="EA138" i="11"/>
  <c r="EB138" i="11"/>
  <c r="EC138" i="11"/>
  <c r="ED138" i="11"/>
  <c r="EE138" i="11"/>
  <c r="EF138" i="11"/>
  <c r="EG138" i="11"/>
  <c r="EH138" i="11"/>
  <c r="EI138" i="11"/>
  <c r="EJ138" i="11"/>
  <c r="EK138" i="11"/>
  <c r="EL138" i="11"/>
  <c r="EM138" i="11"/>
  <c r="EN138" i="11"/>
  <c r="EO138" i="11"/>
  <c r="EP138" i="11"/>
  <c r="EQ138" i="11"/>
  <c r="ER138" i="11"/>
  <c r="ES138" i="11"/>
  <c r="ET138" i="11"/>
  <c r="EU138" i="11"/>
  <c r="EV138" i="11"/>
  <c r="EW138" i="11"/>
  <c r="EX138" i="11"/>
  <c r="EY138" i="11"/>
  <c r="EZ138" i="11"/>
  <c r="FA138" i="11"/>
  <c r="FB138" i="11"/>
  <c r="FC138" i="11"/>
  <c r="FD138" i="11"/>
  <c r="FE138" i="11"/>
  <c r="FF138" i="11"/>
  <c r="FG138" i="11"/>
  <c r="FH138" i="11"/>
  <c r="FI138" i="11"/>
  <c r="FJ138" i="11"/>
  <c r="FK138" i="11"/>
  <c r="FL138" i="11"/>
  <c r="FM138" i="11"/>
  <c r="FN138" i="11"/>
  <c r="FO138" i="11"/>
  <c r="FP138" i="11"/>
  <c r="FQ138" i="11"/>
  <c r="FR138" i="11"/>
  <c r="FS138" i="11"/>
  <c r="FT138" i="11"/>
  <c r="FU138" i="11"/>
  <c r="FV138" i="11"/>
  <c r="FW138" i="11"/>
  <c r="FX138" i="11"/>
  <c r="FY138" i="11"/>
  <c r="FZ138" i="11"/>
  <c r="GA138" i="11"/>
  <c r="GB138" i="11"/>
  <c r="GC138" i="11"/>
  <c r="GD138" i="11"/>
  <c r="GE138" i="11"/>
  <c r="GF138" i="11"/>
  <c r="GG138" i="11"/>
  <c r="GH138" i="11"/>
  <c r="GI138" i="11"/>
  <c r="GJ138" i="11"/>
  <c r="GK138" i="11"/>
  <c r="GL138" i="11"/>
  <c r="GM138" i="11"/>
  <c r="GN138" i="11"/>
  <c r="GO138" i="11"/>
  <c r="GP138" i="11"/>
  <c r="GQ138" i="11"/>
  <c r="GR138" i="11"/>
  <c r="GS138" i="11"/>
  <c r="GT138" i="11"/>
  <c r="GU138" i="11"/>
  <c r="GV138" i="11"/>
  <c r="GW138" i="11"/>
  <c r="GX138" i="11"/>
  <c r="GY138" i="11"/>
  <c r="GZ138" i="11"/>
  <c r="HA138" i="11"/>
  <c r="HB138" i="11"/>
  <c r="HC138" i="11"/>
  <c r="HD138" i="11"/>
  <c r="HE138" i="11"/>
  <c r="HF138" i="11"/>
  <c r="HG138" i="11"/>
  <c r="HH138" i="11"/>
  <c r="HI138" i="11"/>
  <c r="HJ138" i="11"/>
  <c r="HK138" i="11"/>
  <c r="HL138" i="11"/>
  <c r="HM138" i="11"/>
  <c r="HN138" i="11"/>
  <c r="HO138" i="11"/>
  <c r="HP138" i="11"/>
  <c r="HQ138" i="11"/>
  <c r="HR138" i="11"/>
  <c r="HS138" i="11"/>
  <c r="HT138" i="11"/>
  <c r="HU138" i="11"/>
  <c r="HV138" i="11"/>
  <c r="HW138" i="11"/>
  <c r="HX138" i="11"/>
  <c r="HY138" i="11"/>
  <c r="HZ138" i="11"/>
  <c r="IA138" i="11"/>
  <c r="IB138" i="11"/>
  <c r="IC138" i="11"/>
  <c r="ID138" i="11"/>
  <c r="IE138" i="11"/>
  <c r="IF138" i="11"/>
  <c r="IG138" i="11"/>
  <c r="IH138" i="11"/>
  <c r="II138" i="11"/>
  <c r="IJ138" i="11"/>
  <c r="IK138" i="11"/>
  <c r="IL138" i="11"/>
  <c r="IM138" i="11"/>
  <c r="IN138" i="11"/>
  <c r="IO138" i="11"/>
  <c r="IP138" i="11"/>
  <c r="IQ138" i="11"/>
  <c r="IR138" i="11"/>
  <c r="IS138" i="11"/>
  <c r="IT138" i="11"/>
  <c r="IU138" i="11"/>
  <c r="IV138"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AM139" i="11"/>
  <c r="AN139" i="11"/>
  <c r="AO139" i="11"/>
  <c r="AP139" i="11"/>
  <c r="AQ139" i="11"/>
  <c r="AR139" i="11"/>
  <c r="AS139" i="11"/>
  <c r="AT139" i="11"/>
  <c r="AU139" i="11"/>
  <c r="AV139" i="11"/>
  <c r="AW139" i="11"/>
  <c r="AX139" i="11"/>
  <c r="AY139" i="11"/>
  <c r="AZ139" i="11"/>
  <c r="BA139" i="11"/>
  <c r="BB139" i="11"/>
  <c r="BC139" i="11"/>
  <c r="BD139" i="11"/>
  <c r="BE139" i="11"/>
  <c r="BF139" i="11"/>
  <c r="BG139" i="11"/>
  <c r="BH139" i="11"/>
  <c r="BI139" i="11"/>
  <c r="BJ139" i="11"/>
  <c r="BK139" i="11"/>
  <c r="BL139" i="11"/>
  <c r="BM139" i="11"/>
  <c r="BN139" i="11"/>
  <c r="BO139" i="11"/>
  <c r="BP139" i="11"/>
  <c r="BQ139" i="11"/>
  <c r="BR139" i="11"/>
  <c r="BS139" i="11"/>
  <c r="BT139" i="11"/>
  <c r="BU139" i="11"/>
  <c r="BV139" i="11"/>
  <c r="BW139" i="11"/>
  <c r="BX139" i="11"/>
  <c r="BY139" i="11"/>
  <c r="BZ139" i="11"/>
  <c r="CA139" i="11"/>
  <c r="CB139" i="11"/>
  <c r="CC139" i="11"/>
  <c r="CD139" i="11"/>
  <c r="CE139" i="11"/>
  <c r="CF139" i="11"/>
  <c r="CG139" i="11"/>
  <c r="CH139" i="11"/>
  <c r="CI139" i="11"/>
  <c r="CJ139" i="11"/>
  <c r="CK139" i="11"/>
  <c r="CL139" i="11"/>
  <c r="CM139" i="11"/>
  <c r="CN139" i="11"/>
  <c r="CO139" i="11"/>
  <c r="CP139" i="11"/>
  <c r="CQ139" i="11"/>
  <c r="CR139" i="11"/>
  <c r="CS139" i="11"/>
  <c r="CT139" i="11"/>
  <c r="CU139" i="11"/>
  <c r="CV139" i="11"/>
  <c r="CW139" i="11"/>
  <c r="CX139" i="11"/>
  <c r="CY139" i="11"/>
  <c r="CZ139" i="11"/>
  <c r="DA139" i="11"/>
  <c r="DB139" i="11"/>
  <c r="DC139" i="11"/>
  <c r="DD139" i="11"/>
  <c r="DE139" i="11"/>
  <c r="DF139" i="11"/>
  <c r="DG139" i="11"/>
  <c r="DH139" i="11"/>
  <c r="DI139" i="11"/>
  <c r="DJ139" i="11"/>
  <c r="DK139" i="11"/>
  <c r="DL139" i="11"/>
  <c r="DM139" i="11"/>
  <c r="DN139" i="11"/>
  <c r="DO139" i="11"/>
  <c r="DP139" i="11"/>
  <c r="DQ139" i="11"/>
  <c r="DR139" i="11"/>
  <c r="DS139" i="11"/>
  <c r="DT139" i="11"/>
  <c r="DU139" i="11"/>
  <c r="DV139" i="11"/>
  <c r="DW139" i="11"/>
  <c r="DX139" i="11"/>
  <c r="DY139" i="11"/>
  <c r="DZ139" i="11"/>
  <c r="EA139" i="11"/>
  <c r="EB139" i="11"/>
  <c r="EC139" i="11"/>
  <c r="ED139" i="11"/>
  <c r="EE139" i="11"/>
  <c r="EF139" i="11"/>
  <c r="EG139" i="11"/>
  <c r="EH139" i="11"/>
  <c r="EI139" i="11"/>
  <c r="EJ139" i="11"/>
  <c r="EK139" i="11"/>
  <c r="EL139" i="11"/>
  <c r="EM139" i="11"/>
  <c r="EN139" i="11"/>
  <c r="EO139" i="11"/>
  <c r="EP139" i="11"/>
  <c r="EQ139" i="11"/>
  <c r="ER139" i="11"/>
  <c r="ES139" i="11"/>
  <c r="ET139" i="11"/>
  <c r="EU139" i="11"/>
  <c r="EV139" i="11"/>
  <c r="EW139" i="11"/>
  <c r="EX139" i="11"/>
  <c r="EY139" i="11"/>
  <c r="EZ139" i="11"/>
  <c r="FA139" i="11"/>
  <c r="FB139" i="11"/>
  <c r="FC139" i="11"/>
  <c r="FD139" i="11"/>
  <c r="FE139" i="11"/>
  <c r="FF139" i="11"/>
  <c r="FG139" i="11"/>
  <c r="FH139" i="11"/>
  <c r="FI139" i="11"/>
  <c r="FJ139" i="11"/>
  <c r="FK139" i="11"/>
  <c r="FL139" i="11"/>
  <c r="FM139" i="11"/>
  <c r="FN139" i="11"/>
  <c r="FO139" i="11"/>
  <c r="FP139" i="11"/>
  <c r="FQ139" i="11"/>
  <c r="FR139" i="11"/>
  <c r="FS139" i="11"/>
  <c r="FT139" i="11"/>
  <c r="FU139" i="11"/>
  <c r="FV139" i="11"/>
  <c r="FW139" i="11"/>
  <c r="FX139" i="11"/>
  <c r="FY139" i="11"/>
  <c r="FZ139" i="11"/>
  <c r="GA139" i="11"/>
  <c r="GB139" i="11"/>
  <c r="GC139" i="11"/>
  <c r="GD139" i="11"/>
  <c r="GE139" i="11"/>
  <c r="GF139" i="11"/>
  <c r="GG139" i="11"/>
  <c r="GH139" i="11"/>
  <c r="GI139" i="11"/>
  <c r="GJ139" i="11"/>
  <c r="GK139" i="11"/>
  <c r="GL139" i="11"/>
  <c r="GM139" i="11"/>
  <c r="GN139" i="11"/>
  <c r="GO139" i="11"/>
  <c r="GP139" i="11"/>
  <c r="GQ139" i="11"/>
  <c r="GR139" i="11"/>
  <c r="GS139" i="11"/>
  <c r="GT139" i="11"/>
  <c r="GU139" i="11"/>
  <c r="GV139" i="11"/>
  <c r="GW139" i="11"/>
  <c r="GX139" i="11"/>
  <c r="GY139" i="11"/>
  <c r="GZ139" i="11"/>
  <c r="HA139" i="11"/>
  <c r="HB139" i="11"/>
  <c r="HC139" i="11"/>
  <c r="HD139" i="11"/>
  <c r="HE139" i="11"/>
  <c r="HF139" i="11"/>
  <c r="HG139" i="11"/>
  <c r="HH139" i="11"/>
  <c r="HI139" i="11"/>
  <c r="HJ139" i="11"/>
  <c r="HK139" i="11"/>
  <c r="HL139" i="11"/>
  <c r="HM139" i="11"/>
  <c r="HN139" i="11"/>
  <c r="HO139" i="11"/>
  <c r="HP139" i="11"/>
  <c r="HQ139" i="11"/>
  <c r="HR139" i="11"/>
  <c r="HS139" i="11"/>
  <c r="HT139" i="11"/>
  <c r="HU139" i="11"/>
  <c r="HV139" i="11"/>
  <c r="HW139" i="11"/>
  <c r="HX139" i="11"/>
  <c r="HY139" i="11"/>
  <c r="HZ139" i="11"/>
  <c r="IA139" i="11"/>
  <c r="IB139" i="11"/>
  <c r="IC139" i="11"/>
  <c r="ID139" i="11"/>
  <c r="IE139" i="11"/>
  <c r="IF139" i="11"/>
  <c r="IG139" i="11"/>
  <c r="IH139" i="11"/>
  <c r="II139" i="11"/>
  <c r="IJ139" i="11"/>
  <c r="IK139" i="11"/>
  <c r="IL139" i="11"/>
  <c r="IM139" i="11"/>
  <c r="IN139" i="11"/>
  <c r="IO139" i="11"/>
  <c r="IP139" i="11"/>
  <c r="IQ139" i="11"/>
  <c r="IR139" i="11"/>
  <c r="IS139" i="11"/>
  <c r="IT139" i="11"/>
  <c r="IU139" i="11"/>
  <c r="IV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AP140" i="11"/>
  <c r="AQ140" i="11"/>
  <c r="AR140" i="11"/>
  <c r="AS140" i="11"/>
  <c r="AT140" i="11"/>
  <c r="AU140" i="11"/>
  <c r="AV140" i="11"/>
  <c r="AW140" i="11"/>
  <c r="AX140" i="11"/>
  <c r="AY140" i="11"/>
  <c r="AZ140" i="11"/>
  <c r="BA140" i="11"/>
  <c r="BB140" i="11"/>
  <c r="BC140" i="11"/>
  <c r="BD140" i="11"/>
  <c r="BE140" i="11"/>
  <c r="BF140" i="11"/>
  <c r="BG140" i="11"/>
  <c r="BH140" i="11"/>
  <c r="BI140" i="11"/>
  <c r="BJ140" i="11"/>
  <c r="BK140" i="11"/>
  <c r="BL140" i="11"/>
  <c r="BM140" i="11"/>
  <c r="BN140" i="11"/>
  <c r="BO140" i="11"/>
  <c r="BP140" i="11"/>
  <c r="BQ140" i="11"/>
  <c r="BR140" i="11"/>
  <c r="BS140" i="11"/>
  <c r="BT140" i="11"/>
  <c r="BU140" i="11"/>
  <c r="BV140" i="11"/>
  <c r="BW140" i="11"/>
  <c r="BX140" i="11"/>
  <c r="BY140" i="11"/>
  <c r="BZ140" i="11"/>
  <c r="CA140" i="11"/>
  <c r="CB140" i="11"/>
  <c r="CC140" i="11"/>
  <c r="CD140" i="11"/>
  <c r="CE140" i="11"/>
  <c r="CF140" i="11"/>
  <c r="CG140" i="11"/>
  <c r="CH140" i="11"/>
  <c r="CI140" i="11"/>
  <c r="CJ140" i="11"/>
  <c r="CK140" i="11"/>
  <c r="CL140" i="11"/>
  <c r="CM140" i="11"/>
  <c r="CN140" i="11"/>
  <c r="CO140" i="11"/>
  <c r="CP140" i="11"/>
  <c r="CQ140" i="11"/>
  <c r="CR140" i="11"/>
  <c r="CS140" i="11"/>
  <c r="CT140" i="11"/>
  <c r="CU140" i="11"/>
  <c r="CV140" i="11"/>
  <c r="CW140" i="11"/>
  <c r="CX140" i="11"/>
  <c r="CY140" i="11"/>
  <c r="CZ140" i="11"/>
  <c r="DA140" i="11"/>
  <c r="DB140" i="11"/>
  <c r="DC140" i="11"/>
  <c r="DD140" i="11"/>
  <c r="DE140" i="11"/>
  <c r="DF140" i="11"/>
  <c r="DG140" i="11"/>
  <c r="DH140" i="11"/>
  <c r="DI140" i="11"/>
  <c r="DJ140" i="11"/>
  <c r="DK140" i="11"/>
  <c r="DL140" i="11"/>
  <c r="DM140" i="11"/>
  <c r="DN140" i="11"/>
  <c r="DO140" i="11"/>
  <c r="DP140" i="11"/>
  <c r="DQ140" i="11"/>
  <c r="DR140" i="11"/>
  <c r="DS140" i="11"/>
  <c r="DT140" i="11"/>
  <c r="DU140" i="11"/>
  <c r="DV140" i="11"/>
  <c r="DW140" i="11"/>
  <c r="DX140" i="11"/>
  <c r="DY140" i="11"/>
  <c r="DZ140" i="11"/>
  <c r="EA140" i="11"/>
  <c r="EB140" i="11"/>
  <c r="EC140" i="11"/>
  <c r="ED140" i="11"/>
  <c r="EE140" i="11"/>
  <c r="EF140" i="11"/>
  <c r="EG140" i="11"/>
  <c r="EH140" i="11"/>
  <c r="EI140" i="11"/>
  <c r="EJ140" i="11"/>
  <c r="EK140" i="11"/>
  <c r="EL140" i="11"/>
  <c r="EM140" i="11"/>
  <c r="EN140" i="11"/>
  <c r="EO140" i="11"/>
  <c r="EP140" i="11"/>
  <c r="EQ140" i="11"/>
  <c r="ER140" i="11"/>
  <c r="ES140" i="11"/>
  <c r="ET140" i="11"/>
  <c r="EU140" i="11"/>
  <c r="EV140" i="11"/>
  <c r="EW140" i="11"/>
  <c r="EX140" i="11"/>
  <c r="EY140" i="11"/>
  <c r="EZ140" i="11"/>
  <c r="FA140" i="11"/>
  <c r="FB140" i="11"/>
  <c r="FC140" i="11"/>
  <c r="FD140" i="11"/>
  <c r="FE140" i="11"/>
  <c r="FF140" i="11"/>
  <c r="FG140" i="11"/>
  <c r="FH140" i="11"/>
  <c r="FI140" i="11"/>
  <c r="FJ140" i="11"/>
  <c r="FK140" i="11"/>
  <c r="FL140" i="11"/>
  <c r="FM140" i="11"/>
  <c r="FN140" i="11"/>
  <c r="FO140" i="11"/>
  <c r="FP140" i="11"/>
  <c r="FQ140" i="11"/>
  <c r="FR140" i="11"/>
  <c r="FS140" i="11"/>
  <c r="FT140" i="11"/>
  <c r="FU140" i="11"/>
  <c r="FV140" i="11"/>
  <c r="FW140" i="11"/>
  <c r="FX140" i="11"/>
  <c r="FY140" i="11"/>
  <c r="FZ140" i="11"/>
  <c r="GA140" i="11"/>
  <c r="GB140" i="11"/>
  <c r="GC140" i="11"/>
  <c r="GD140" i="11"/>
  <c r="GE140" i="11"/>
  <c r="GF140" i="11"/>
  <c r="GG140" i="11"/>
  <c r="GH140" i="11"/>
  <c r="GI140" i="11"/>
  <c r="GJ140" i="11"/>
  <c r="GK140" i="11"/>
  <c r="GL140" i="11"/>
  <c r="GM140" i="11"/>
  <c r="GN140" i="11"/>
  <c r="GO140" i="11"/>
  <c r="GP140" i="11"/>
  <c r="GQ140" i="11"/>
  <c r="GR140" i="11"/>
  <c r="GS140" i="11"/>
  <c r="GT140" i="11"/>
  <c r="GU140" i="11"/>
  <c r="GV140" i="11"/>
  <c r="GW140" i="11"/>
  <c r="GX140" i="11"/>
  <c r="GY140" i="11"/>
  <c r="GZ140" i="11"/>
  <c r="HA140" i="11"/>
  <c r="HB140" i="11"/>
  <c r="HC140" i="11"/>
  <c r="HD140" i="11"/>
  <c r="HE140" i="11"/>
  <c r="HF140" i="11"/>
  <c r="HG140" i="11"/>
  <c r="HH140" i="11"/>
  <c r="HI140" i="11"/>
  <c r="HJ140" i="11"/>
  <c r="HK140" i="11"/>
  <c r="HL140" i="11"/>
  <c r="HM140" i="11"/>
  <c r="HN140" i="11"/>
  <c r="HO140" i="11"/>
  <c r="HP140" i="11"/>
  <c r="HQ140" i="11"/>
  <c r="HR140" i="11"/>
  <c r="HS140" i="11"/>
  <c r="HT140" i="11"/>
  <c r="HU140" i="11"/>
  <c r="HV140" i="11"/>
  <c r="HW140" i="11"/>
  <c r="HX140" i="11"/>
  <c r="HY140" i="11"/>
  <c r="HZ140" i="11"/>
  <c r="IA140" i="11"/>
  <c r="IB140" i="11"/>
  <c r="IC140" i="11"/>
  <c r="ID140" i="11"/>
  <c r="IE140" i="11"/>
  <c r="IF140" i="11"/>
  <c r="IG140" i="11"/>
  <c r="IH140" i="11"/>
  <c r="II140" i="11"/>
  <c r="IJ140" i="11"/>
  <c r="IK140" i="11"/>
  <c r="IL140" i="11"/>
  <c r="IM140" i="11"/>
  <c r="IN140" i="11"/>
  <c r="IO140" i="11"/>
  <c r="IP140" i="11"/>
  <c r="IQ140" i="11"/>
  <c r="IR140" i="11"/>
  <c r="IS140" i="11"/>
  <c r="IT140" i="11"/>
  <c r="IU140" i="11"/>
  <c r="IV140" i="11"/>
  <c r="F141" i="11"/>
  <c r="G141" i="11"/>
  <c r="H141" i="11"/>
  <c r="I141" i="11"/>
  <c r="J141" i="11"/>
  <c r="K141" i="11"/>
  <c r="L141" i="11"/>
  <c r="M141" i="11"/>
  <c r="N141" i="11"/>
  <c r="O141" i="11"/>
  <c r="P141" i="11"/>
  <c r="Q141" i="11"/>
  <c r="R141" i="11"/>
  <c r="S141" i="11"/>
  <c r="T141" i="11"/>
  <c r="U141" i="11"/>
  <c r="V141" i="11"/>
  <c r="W141" i="11"/>
  <c r="X141" i="11"/>
  <c r="Y141" i="11"/>
  <c r="Z141" i="11"/>
  <c r="AA141" i="11"/>
  <c r="AB141" i="11"/>
  <c r="AC141" i="11"/>
  <c r="AD141" i="11"/>
  <c r="AE141" i="11"/>
  <c r="AF141" i="11"/>
  <c r="AG141" i="11"/>
  <c r="AH141" i="11"/>
  <c r="AI141" i="11"/>
  <c r="AJ141" i="11"/>
  <c r="AK141" i="11"/>
  <c r="AL141" i="11"/>
  <c r="AM141" i="11"/>
  <c r="AN141" i="11"/>
  <c r="AO141" i="11"/>
  <c r="AP141" i="11"/>
  <c r="AQ141" i="11"/>
  <c r="AR141" i="11"/>
  <c r="AS141" i="11"/>
  <c r="AT141" i="11"/>
  <c r="AU141" i="11"/>
  <c r="AV141" i="11"/>
  <c r="AW141" i="11"/>
  <c r="AX141" i="11"/>
  <c r="AY141" i="11"/>
  <c r="AZ141" i="11"/>
  <c r="BA141" i="11"/>
  <c r="BB141" i="11"/>
  <c r="BC141" i="11"/>
  <c r="BD141" i="11"/>
  <c r="BE141" i="11"/>
  <c r="BF141" i="11"/>
  <c r="BG141" i="11"/>
  <c r="BH141" i="11"/>
  <c r="BI141" i="11"/>
  <c r="BJ141" i="11"/>
  <c r="BK141" i="11"/>
  <c r="BL141" i="11"/>
  <c r="BM141" i="11"/>
  <c r="BN141" i="11"/>
  <c r="BO141" i="11"/>
  <c r="BP141" i="11"/>
  <c r="BQ141" i="11"/>
  <c r="BR141" i="11"/>
  <c r="BS141" i="11"/>
  <c r="BT141" i="11"/>
  <c r="BU141" i="11"/>
  <c r="BV141" i="11"/>
  <c r="BW141" i="11"/>
  <c r="BX141" i="11"/>
  <c r="BY141" i="11"/>
  <c r="BZ141" i="11"/>
  <c r="CA141" i="11"/>
  <c r="CB141" i="11"/>
  <c r="CC141" i="11"/>
  <c r="CD141" i="11"/>
  <c r="CE141" i="11"/>
  <c r="CF141" i="11"/>
  <c r="CG141" i="11"/>
  <c r="CH141" i="11"/>
  <c r="CI141" i="11"/>
  <c r="CJ141" i="11"/>
  <c r="CK141" i="11"/>
  <c r="CL141" i="11"/>
  <c r="CM141" i="11"/>
  <c r="CN141" i="11"/>
  <c r="CO141" i="11"/>
  <c r="CP141" i="11"/>
  <c r="CQ141" i="11"/>
  <c r="CR141" i="11"/>
  <c r="CS141" i="11"/>
  <c r="CT141" i="11"/>
  <c r="CU141" i="11"/>
  <c r="CV141" i="11"/>
  <c r="CW141" i="11"/>
  <c r="CX141" i="11"/>
  <c r="CY141" i="11"/>
  <c r="CZ141" i="11"/>
  <c r="DA141" i="11"/>
  <c r="DB141" i="11"/>
  <c r="DC141" i="11"/>
  <c r="DD141" i="11"/>
  <c r="DE141" i="11"/>
  <c r="DF141" i="11"/>
  <c r="DG141" i="11"/>
  <c r="DH141" i="11"/>
  <c r="DI141" i="11"/>
  <c r="DJ141" i="11"/>
  <c r="DK141" i="11"/>
  <c r="DL141" i="11"/>
  <c r="DM141" i="11"/>
  <c r="DN141" i="11"/>
  <c r="DO141" i="11"/>
  <c r="DP141" i="11"/>
  <c r="DQ141" i="11"/>
  <c r="DR141" i="11"/>
  <c r="DS141" i="11"/>
  <c r="DT141" i="11"/>
  <c r="DU141" i="11"/>
  <c r="DV141" i="11"/>
  <c r="DW141" i="11"/>
  <c r="DX141" i="11"/>
  <c r="DY141" i="11"/>
  <c r="DZ141" i="11"/>
  <c r="EA141" i="11"/>
  <c r="EB141" i="11"/>
  <c r="EC141" i="11"/>
  <c r="ED141" i="11"/>
  <c r="EE141" i="11"/>
  <c r="EF141" i="11"/>
  <c r="EG141" i="11"/>
  <c r="EH141" i="11"/>
  <c r="EI141" i="11"/>
  <c r="EJ141" i="11"/>
  <c r="EK141" i="11"/>
  <c r="EL141" i="11"/>
  <c r="EM141" i="11"/>
  <c r="EN141" i="11"/>
  <c r="EO141" i="11"/>
  <c r="EP141" i="11"/>
  <c r="EQ141" i="11"/>
  <c r="ER141" i="11"/>
  <c r="ES141" i="11"/>
  <c r="ET141" i="11"/>
  <c r="EU141" i="11"/>
  <c r="EV141" i="11"/>
  <c r="EW141" i="11"/>
  <c r="EX141" i="11"/>
  <c r="EY141" i="11"/>
  <c r="EZ141" i="11"/>
  <c r="FA141" i="11"/>
  <c r="FB141" i="11"/>
  <c r="FC141" i="11"/>
  <c r="FD141" i="11"/>
  <c r="FE141" i="11"/>
  <c r="FF141" i="11"/>
  <c r="FG141" i="11"/>
  <c r="FH141" i="11"/>
  <c r="FI141" i="11"/>
  <c r="FJ141" i="11"/>
  <c r="FK141" i="11"/>
  <c r="FL141" i="11"/>
  <c r="FM141" i="11"/>
  <c r="FN141" i="11"/>
  <c r="FO141" i="11"/>
  <c r="FP141" i="11"/>
  <c r="FQ141" i="11"/>
  <c r="FR141" i="11"/>
  <c r="FS141" i="11"/>
  <c r="FT141" i="11"/>
  <c r="FU141" i="11"/>
  <c r="FV141" i="11"/>
  <c r="FW141" i="11"/>
  <c r="FX141" i="11"/>
  <c r="FY141" i="11"/>
  <c r="FZ141" i="11"/>
  <c r="GA141" i="11"/>
  <c r="GB141" i="11"/>
  <c r="GC141" i="11"/>
  <c r="GD141" i="11"/>
  <c r="GE141" i="11"/>
  <c r="GF141" i="11"/>
  <c r="GG141" i="11"/>
  <c r="GH141" i="11"/>
  <c r="GI141" i="11"/>
  <c r="GJ141" i="11"/>
  <c r="GK141" i="11"/>
  <c r="GL141" i="11"/>
  <c r="GM141" i="11"/>
  <c r="GN141" i="11"/>
  <c r="GO141" i="11"/>
  <c r="GP141" i="11"/>
  <c r="GQ141" i="11"/>
  <c r="GR141" i="11"/>
  <c r="GS141" i="11"/>
  <c r="GT141" i="11"/>
  <c r="GU141" i="11"/>
  <c r="GV141" i="11"/>
  <c r="GW141" i="11"/>
  <c r="GX141" i="11"/>
  <c r="GY141" i="11"/>
  <c r="GZ141" i="11"/>
  <c r="HA141" i="11"/>
  <c r="HB141" i="11"/>
  <c r="HC141" i="11"/>
  <c r="HD141" i="11"/>
  <c r="HE141" i="11"/>
  <c r="HF141" i="11"/>
  <c r="HG141" i="11"/>
  <c r="HH141" i="11"/>
  <c r="HI141" i="11"/>
  <c r="HJ141" i="11"/>
  <c r="HK141" i="11"/>
  <c r="HL141" i="11"/>
  <c r="HM141" i="11"/>
  <c r="HN141" i="11"/>
  <c r="HO141" i="11"/>
  <c r="HP141" i="11"/>
  <c r="HQ141" i="11"/>
  <c r="HR141" i="11"/>
  <c r="HS141" i="11"/>
  <c r="HT141" i="11"/>
  <c r="HU141" i="11"/>
  <c r="HV141" i="11"/>
  <c r="HW141" i="11"/>
  <c r="HX141" i="11"/>
  <c r="HY141" i="11"/>
  <c r="HZ141" i="11"/>
  <c r="IA141" i="11"/>
  <c r="IB141" i="11"/>
  <c r="IC141" i="11"/>
  <c r="ID141" i="11"/>
  <c r="IE141" i="11"/>
  <c r="IF141" i="11"/>
  <c r="IG141" i="11"/>
  <c r="IH141" i="11"/>
  <c r="II141" i="11"/>
  <c r="IJ141" i="11"/>
  <c r="IK141" i="11"/>
  <c r="IL141" i="11"/>
  <c r="IM141" i="11"/>
  <c r="IN141" i="11"/>
  <c r="IO141" i="11"/>
  <c r="IP141" i="11"/>
  <c r="IQ141" i="11"/>
  <c r="IR141" i="11"/>
  <c r="IS141" i="11"/>
  <c r="IT141" i="11"/>
  <c r="IU141" i="11"/>
  <c r="IV141" i="11"/>
  <c r="F142" i="11"/>
  <c r="G142" i="11"/>
  <c r="H142" i="11"/>
  <c r="I142" i="11"/>
  <c r="J142" i="11"/>
  <c r="K142" i="11"/>
  <c r="L142" i="11"/>
  <c r="M142" i="11"/>
  <c r="N142" i="11"/>
  <c r="O142" i="11"/>
  <c r="P142" i="11"/>
  <c r="Q142" i="11"/>
  <c r="R142" i="11"/>
  <c r="S142" i="11"/>
  <c r="T142" i="11"/>
  <c r="U142" i="11"/>
  <c r="V142" i="11"/>
  <c r="W142" i="11"/>
  <c r="X142" i="11"/>
  <c r="Y142" i="11"/>
  <c r="Z142" i="11"/>
  <c r="AA142" i="11"/>
  <c r="AB142" i="11"/>
  <c r="AC142" i="11"/>
  <c r="AD142" i="11"/>
  <c r="AE142" i="11"/>
  <c r="AF142" i="11"/>
  <c r="AG142" i="11"/>
  <c r="AH142" i="11"/>
  <c r="AI142" i="11"/>
  <c r="AJ142" i="11"/>
  <c r="AK142" i="11"/>
  <c r="AL142" i="11"/>
  <c r="AM142" i="11"/>
  <c r="AN142" i="11"/>
  <c r="AO142" i="11"/>
  <c r="AP142" i="11"/>
  <c r="AQ142" i="11"/>
  <c r="AR142" i="11"/>
  <c r="AS142" i="11"/>
  <c r="AT142" i="11"/>
  <c r="AU142" i="11"/>
  <c r="AV142" i="11"/>
  <c r="AW142" i="11"/>
  <c r="AX142" i="11"/>
  <c r="AY142" i="11"/>
  <c r="AZ142" i="11"/>
  <c r="BA142" i="11"/>
  <c r="BB142" i="11"/>
  <c r="BC142" i="11"/>
  <c r="BD142" i="11"/>
  <c r="BE142" i="11"/>
  <c r="BF142" i="11"/>
  <c r="BG142" i="11"/>
  <c r="BH142" i="11"/>
  <c r="BI142" i="11"/>
  <c r="BJ142" i="11"/>
  <c r="BK142" i="11"/>
  <c r="BL142" i="11"/>
  <c r="BM142" i="11"/>
  <c r="BN142" i="11"/>
  <c r="BO142" i="11"/>
  <c r="BP142" i="11"/>
  <c r="BQ142" i="11"/>
  <c r="BR142" i="11"/>
  <c r="BS142" i="11"/>
  <c r="BT142" i="11"/>
  <c r="BU142" i="11"/>
  <c r="BV142" i="11"/>
  <c r="BW142" i="11"/>
  <c r="BX142" i="11"/>
  <c r="BY142" i="11"/>
  <c r="BZ142" i="11"/>
  <c r="CA142" i="11"/>
  <c r="CB142" i="11"/>
  <c r="CC142" i="11"/>
  <c r="CD142" i="11"/>
  <c r="CE142" i="11"/>
  <c r="CF142" i="11"/>
  <c r="CG142" i="11"/>
  <c r="CH142" i="11"/>
  <c r="CI142" i="11"/>
  <c r="CJ142" i="11"/>
  <c r="CK142" i="11"/>
  <c r="CL142" i="11"/>
  <c r="CM142" i="11"/>
  <c r="CN142" i="11"/>
  <c r="CO142" i="11"/>
  <c r="CP142" i="11"/>
  <c r="CQ142" i="11"/>
  <c r="CR142" i="11"/>
  <c r="CS142" i="11"/>
  <c r="CT142" i="11"/>
  <c r="CU142" i="11"/>
  <c r="CV142" i="11"/>
  <c r="CW142" i="11"/>
  <c r="CX142" i="11"/>
  <c r="CY142" i="11"/>
  <c r="CZ142" i="11"/>
  <c r="DA142" i="11"/>
  <c r="DB142" i="11"/>
  <c r="DC142" i="11"/>
  <c r="DD142" i="11"/>
  <c r="DE142" i="11"/>
  <c r="DF142" i="11"/>
  <c r="DG142" i="11"/>
  <c r="DH142" i="11"/>
  <c r="DI142" i="11"/>
  <c r="DJ142" i="11"/>
  <c r="DK142" i="11"/>
  <c r="DL142" i="11"/>
  <c r="DM142" i="11"/>
  <c r="DN142" i="11"/>
  <c r="DO142" i="11"/>
  <c r="DP142" i="11"/>
  <c r="DQ142" i="11"/>
  <c r="DR142" i="11"/>
  <c r="DS142" i="11"/>
  <c r="DT142" i="11"/>
  <c r="DU142" i="11"/>
  <c r="DV142" i="11"/>
  <c r="DW142" i="11"/>
  <c r="DX142" i="11"/>
  <c r="DY142" i="11"/>
  <c r="DZ142" i="11"/>
  <c r="EA142" i="11"/>
  <c r="EB142" i="11"/>
  <c r="EC142" i="11"/>
  <c r="ED142" i="11"/>
  <c r="EE142" i="11"/>
  <c r="EF142" i="11"/>
  <c r="EG142" i="11"/>
  <c r="EH142" i="11"/>
  <c r="EI142" i="11"/>
  <c r="EJ142" i="11"/>
  <c r="EK142" i="11"/>
  <c r="EL142" i="11"/>
  <c r="EM142" i="11"/>
  <c r="EN142" i="11"/>
  <c r="EO142" i="11"/>
  <c r="EP142" i="11"/>
  <c r="EQ142" i="11"/>
  <c r="ER142" i="11"/>
  <c r="ES142" i="11"/>
  <c r="ET142" i="11"/>
  <c r="EU142" i="11"/>
  <c r="EV142" i="11"/>
  <c r="EW142" i="11"/>
  <c r="EX142" i="11"/>
  <c r="EY142" i="11"/>
  <c r="EZ142" i="11"/>
  <c r="FA142" i="11"/>
  <c r="FB142" i="11"/>
  <c r="FC142" i="11"/>
  <c r="FD142" i="11"/>
  <c r="FE142" i="11"/>
  <c r="FF142" i="11"/>
  <c r="FG142" i="11"/>
  <c r="FH142" i="11"/>
  <c r="FI142" i="11"/>
  <c r="FJ142" i="11"/>
  <c r="FK142" i="11"/>
  <c r="FL142" i="11"/>
  <c r="FM142" i="11"/>
  <c r="FN142" i="11"/>
  <c r="FO142" i="11"/>
  <c r="FP142" i="11"/>
  <c r="FQ142" i="11"/>
  <c r="FR142" i="11"/>
  <c r="FS142" i="11"/>
  <c r="FT142" i="11"/>
  <c r="FU142" i="11"/>
  <c r="FV142" i="11"/>
  <c r="FW142" i="11"/>
  <c r="FX142" i="11"/>
  <c r="FY142" i="11"/>
  <c r="FZ142" i="11"/>
  <c r="GA142" i="11"/>
  <c r="GB142" i="11"/>
  <c r="GC142" i="11"/>
  <c r="GD142" i="11"/>
  <c r="GE142" i="11"/>
  <c r="GF142" i="11"/>
  <c r="GG142" i="11"/>
  <c r="GH142" i="11"/>
  <c r="GI142" i="11"/>
  <c r="GJ142" i="11"/>
  <c r="GK142" i="11"/>
  <c r="GL142" i="11"/>
  <c r="GM142" i="11"/>
  <c r="GN142" i="11"/>
  <c r="GO142" i="11"/>
  <c r="GP142" i="11"/>
  <c r="GQ142" i="11"/>
  <c r="GR142" i="11"/>
  <c r="GS142" i="11"/>
  <c r="GT142" i="11"/>
  <c r="GU142" i="11"/>
  <c r="GV142" i="11"/>
  <c r="GW142" i="11"/>
  <c r="GX142" i="11"/>
  <c r="GY142" i="11"/>
  <c r="GZ142" i="11"/>
  <c r="HA142" i="11"/>
  <c r="HB142" i="11"/>
  <c r="HC142" i="11"/>
  <c r="HD142" i="11"/>
  <c r="HE142" i="11"/>
  <c r="HF142" i="11"/>
  <c r="HG142" i="11"/>
  <c r="HH142" i="11"/>
  <c r="HI142" i="11"/>
  <c r="HJ142" i="11"/>
  <c r="HK142" i="11"/>
  <c r="HL142" i="11"/>
  <c r="HM142" i="11"/>
  <c r="HN142" i="11"/>
  <c r="HO142" i="11"/>
  <c r="HP142" i="11"/>
  <c r="HQ142" i="11"/>
  <c r="HR142" i="11"/>
  <c r="HS142" i="11"/>
  <c r="HT142" i="11"/>
  <c r="HU142" i="11"/>
  <c r="HV142" i="11"/>
  <c r="HW142" i="11"/>
  <c r="HX142" i="11"/>
  <c r="HY142" i="11"/>
  <c r="HZ142" i="11"/>
  <c r="IA142" i="11"/>
  <c r="IB142" i="11"/>
  <c r="IC142" i="11"/>
  <c r="ID142" i="11"/>
  <c r="IE142" i="11"/>
  <c r="IF142" i="11"/>
  <c r="IG142" i="11"/>
  <c r="IH142" i="11"/>
  <c r="II142" i="11"/>
  <c r="IJ142" i="11"/>
  <c r="IK142" i="11"/>
  <c r="IL142" i="11"/>
  <c r="IM142" i="11"/>
  <c r="IN142" i="11"/>
  <c r="IO142" i="11"/>
  <c r="IP142" i="11"/>
  <c r="IQ142" i="11"/>
  <c r="IR142" i="11"/>
  <c r="IS142" i="11"/>
  <c r="IT142" i="11"/>
  <c r="IU142" i="11"/>
  <c r="IV142" i="11"/>
  <c r="F143" i="11"/>
  <c r="G143" i="11"/>
  <c r="H143" i="11"/>
  <c r="I143" i="11"/>
  <c r="J143" i="11"/>
  <c r="K143" i="11"/>
  <c r="L143" i="11"/>
  <c r="M143" i="11"/>
  <c r="N143" i="11"/>
  <c r="O143" i="11"/>
  <c r="P143" i="11"/>
  <c r="Q143" i="11"/>
  <c r="R143" i="11"/>
  <c r="S143" i="11"/>
  <c r="T143" i="11"/>
  <c r="U143" i="11"/>
  <c r="V143" i="11"/>
  <c r="W143" i="11"/>
  <c r="X143" i="11"/>
  <c r="Y143" i="11"/>
  <c r="Z143" i="11"/>
  <c r="AA143" i="11"/>
  <c r="AB143" i="11"/>
  <c r="AC143" i="11"/>
  <c r="AD143" i="11"/>
  <c r="AE143" i="11"/>
  <c r="AF143" i="11"/>
  <c r="AG143" i="11"/>
  <c r="AH143" i="11"/>
  <c r="AI143" i="11"/>
  <c r="AJ143" i="11"/>
  <c r="AK143" i="11"/>
  <c r="AL143" i="11"/>
  <c r="AM143" i="11"/>
  <c r="AN143" i="11"/>
  <c r="AO143" i="11"/>
  <c r="AP143" i="11"/>
  <c r="AQ143" i="11"/>
  <c r="AR143" i="11"/>
  <c r="AS143" i="11"/>
  <c r="AT143" i="11"/>
  <c r="AU143" i="11"/>
  <c r="AV143" i="11"/>
  <c r="AW143" i="11"/>
  <c r="AX143" i="11"/>
  <c r="AY143" i="11"/>
  <c r="AZ143" i="11"/>
  <c r="BA143" i="11"/>
  <c r="BB143" i="11"/>
  <c r="BC143" i="11"/>
  <c r="BD143" i="11"/>
  <c r="BE143" i="11"/>
  <c r="BF143" i="11"/>
  <c r="BG143" i="11"/>
  <c r="BH143" i="11"/>
  <c r="BI143" i="11"/>
  <c r="BJ143" i="11"/>
  <c r="BK143" i="11"/>
  <c r="BL143" i="11"/>
  <c r="BM143" i="11"/>
  <c r="BN143" i="11"/>
  <c r="BO143" i="11"/>
  <c r="BP143" i="11"/>
  <c r="BQ143" i="11"/>
  <c r="BR143" i="11"/>
  <c r="BS143" i="11"/>
  <c r="BT143" i="11"/>
  <c r="BU143" i="11"/>
  <c r="BV143" i="11"/>
  <c r="BW143" i="11"/>
  <c r="BX143" i="11"/>
  <c r="BY143" i="11"/>
  <c r="BZ143" i="11"/>
  <c r="CA143" i="11"/>
  <c r="CB143" i="11"/>
  <c r="CC143" i="11"/>
  <c r="CD143" i="11"/>
  <c r="CE143" i="11"/>
  <c r="CF143" i="11"/>
  <c r="CG143" i="11"/>
  <c r="CH143" i="11"/>
  <c r="CI143" i="11"/>
  <c r="CJ143" i="11"/>
  <c r="CK143" i="11"/>
  <c r="CL143" i="11"/>
  <c r="CM143" i="11"/>
  <c r="CN143" i="11"/>
  <c r="CO143" i="11"/>
  <c r="CP143" i="11"/>
  <c r="CQ143" i="11"/>
  <c r="CR143" i="11"/>
  <c r="CS143" i="11"/>
  <c r="CT143" i="11"/>
  <c r="CU143" i="11"/>
  <c r="CV143" i="11"/>
  <c r="CW143" i="11"/>
  <c r="CX143" i="11"/>
  <c r="CY143" i="11"/>
  <c r="CZ143" i="11"/>
  <c r="DA143" i="11"/>
  <c r="DB143" i="11"/>
  <c r="DC143" i="11"/>
  <c r="DD143" i="11"/>
  <c r="DE143" i="11"/>
  <c r="DF143" i="11"/>
  <c r="DG143" i="11"/>
  <c r="DH143" i="11"/>
  <c r="DI143" i="11"/>
  <c r="DJ143" i="11"/>
  <c r="DK143" i="11"/>
  <c r="DL143" i="11"/>
  <c r="DM143" i="11"/>
  <c r="DN143" i="11"/>
  <c r="DO143" i="11"/>
  <c r="DP143" i="11"/>
  <c r="DQ143" i="11"/>
  <c r="DR143" i="11"/>
  <c r="DS143" i="11"/>
  <c r="DT143" i="11"/>
  <c r="DU143" i="11"/>
  <c r="DV143" i="11"/>
  <c r="DW143" i="11"/>
  <c r="DX143" i="11"/>
  <c r="DY143" i="11"/>
  <c r="DZ143" i="11"/>
  <c r="EA143" i="11"/>
  <c r="EB143" i="11"/>
  <c r="EC143" i="11"/>
  <c r="ED143" i="11"/>
  <c r="EE143" i="11"/>
  <c r="EF143" i="11"/>
  <c r="EG143" i="11"/>
  <c r="EH143" i="11"/>
  <c r="EI143" i="11"/>
  <c r="EJ143" i="11"/>
  <c r="EK143" i="11"/>
  <c r="EL143" i="11"/>
  <c r="EM143" i="11"/>
  <c r="EN143" i="11"/>
  <c r="EO143" i="11"/>
  <c r="EP143" i="11"/>
  <c r="EQ143" i="11"/>
  <c r="ER143" i="11"/>
  <c r="ES143" i="11"/>
  <c r="ET143" i="11"/>
  <c r="EU143" i="11"/>
  <c r="EV143" i="11"/>
  <c r="EW143" i="11"/>
  <c r="EX143" i="11"/>
  <c r="EY143" i="11"/>
  <c r="EZ143" i="11"/>
  <c r="FA143" i="11"/>
  <c r="FB143" i="11"/>
  <c r="FC143" i="11"/>
  <c r="FD143" i="11"/>
  <c r="FE143" i="11"/>
  <c r="FF143" i="11"/>
  <c r="FG143" i="11"/>
  <c r="FH143" i="11"/>
  <c r="FI143" i="11"/>
  <c r="FJ143" i="11"/>
  <c r="FK143" i="11"/>
  <c r="FL143" i="11"/>
  <c r="FM143" i="11"/>
  <c r="FN143" i="11"/>
  <c r="FO143" i="11"/>
  <c r="FP143" i="11"/>
  <c r="FQ143" i="11"/>
  <c r="FR143" i="11"/>
  <c r="FS143" i="11"/>
  <c r="FT143" i="11"/>
  <c r="FU143" i="11"/>
  <c r="FV143" i="11"/>
  <c r="FW143" i="11"/>
  <c r="FX143" i="11"/>
  <c r="FY143" i="11"/>
  <c r="FZ143" i="11"/>
  <c r="GA143" i="11"/>
  <c r="GB143" i="11"/>
  <c r="GC143" i="11"/>
  <c r="GD143" i="11"/>
  <c r="GE143" i="11"/>
  <c r="GF143" i="11"/>
  <c r="GG143" i="11"/>
  <c r="GH143" i="11"/>
  <c r="GI143" i="11"/>
  <c r="GJ143" i="11"/>
  <c r="GK143" i="11"/>
  <c r="GL143" i="11"/>
  <c r="GM143" i="11"/>
  <c r="GN143" i="11"/>
  <c r="GO143" i="11"/>
  <c r="GP143" i="11"/>
  <c r="GQ143" i="11"/>
  <c r="GR143" i="11"/>
  <c r="GS143" i="11"/>
  <c r="GT143" i="11"/>
  <c r="GU143" i="11"/>
  <c r="GV143" i="11"/>
  <c r="GW143" i="11"/>
  <c r="GX143" i="11"/>
  <c r="GY143" i="11"/>
  <c r="GZ143" i="11"/>
  <c r="HA143" i="11"/>
  <c r="HB143" i="11"/>
  <c r="HC143" i="11"/>
  <c r="HD143" i="11"/>
  <c r="HE143" i="11"/>
  <c r="HF143" i="11"/>
  <c r="HG143" i="11"/>
  <c r="HH143" i="11"/>
  <c r="HI143" i="11"/>
  <c r="HJ143" i="11"/>
  <c r="HK143" i="11"/>
  <c r="HL143" i="11"/>
  <c r="HM143" i="11"/>
  <c r="HN143" i="11"/>
  <c r="HO143" i="11"/>
  <c r="HP143" i="11"/>
  <c r="HQ143" i="11"/>
  <c r="HR143" i="11"/>
  <c r="HS143" i="11"/>
  <c r="HT143" i="11"/>
  <c r="HU143" i="11"/>
  <c r="HV143" i="11"/>
  <c r="HW143" i="11"/>
  <c r="HX143" i="11"/>
  <c r="HY143" i="11"/>
  <c r="HZ143" i="11"/>
  <c r="IA143" i="11"/>
  <c r="IB143" i="11"/>
  <c r="IC143" i="11"/>
  <c r="ID143" i="11"/>
  <c r="IE143" i="11"/>
  <c r="IF143" i="11"/>
  <c r="IG143" i="11"/>
  <c r="IH143" i="11"/>
  <c r="II143" i="11"/>
  <c r="IJ143" i="11"/>
  <c r="IK143" i="11"/>
  <c r="IL143" i="11"/>
  <c r="IM143" i="11"/>
  <c r="IN143" i="11"/>
  <c r="IO143" i="11"/>
  <c r="IP143" i="11"/>
  <c r="IQ143" i="11"/>
  <c r="IR143" i="11"/>
  <c r="IS143" i="11"/>
  <c r="IT143" i="11"/>
  <c r="IU143" i="11"/>
  <c r="IV143" i="11"/>
  <c r="F144" i="11"/>
  <c r="G144" i="11"/>
  <c r="H144" i="11"/>
  <c r="I144" i="11"/>
  <c r="J144" i="11"/>
  <c r="K144" i="11"/>
  <c r="L144" i="11"/>
  <c r="M144" i="11"/>
  <c r="N144" i="11"/>
  <c r="O144" i="11"/>
  <c r="P144" i="11"/>
  <c r="Q144" i="11"/>
  <c r="R144" i="11"/>
  <c r="S144" i="11"/>
  <c r="T144" i="11"/>
  <c r="U144" i="11"/>
  <c r="V144" i="11"/>
  <c r="W144" i="11"/>
  <c r="X144" i="11"/>
  <c r="Y144" i="11"/>
  <c r="Z144" i="11"/>
  <c r="AA144" i="11"/>
  <c r="AB144" i="11"/>
  <c r="AC144" i="11"/>
  <c r="AD144" i="11"/>
  <c r="AE144" i="11"/>
  <c r="AF144" i="11"/>
  <c r="AG144" i="11"/>
  <c r="AH144" i="11"/>
  <c r="AI144" i="11"/>
  <c r="AJ144" i="11"/>
  <c r="AK144" i="11"/>
  <c r="AL144" i="11"/>
  <c r="AM144" i="11"/>
  <c r="AN144" i="11"/>
  <c r="AO144" i="11"/>
  <c r="AP144" i="11"/>
  <c r="AQ144" i="11"/>
  <c r="AR144" i="11"/>
  <c r="AS144" i="11"/>
  <c r="AT144" i="11"/>
  <c r="AU144" i="11"/>
  <c r="AV144" i="11"/>
  <c r="AW144" i="11"/>
  <c r="AX144" i="11"/>
  <c r="AY144" i="11"/>
  <c r="AZ144" i="11"/>
  <c r="BA144" i="11"/>
  <c r="BB144" i="11"/>
  <c r="BC144" i="11"/>
  <c r="BD144" i="11"/>
  <c r="BE144" i="11"/>
  <c r="BF144" i="11"/>
  <c r="BG144" i="11"/>
  <c r="BH144" i="11"/>
  <c r="BI144" i="11"/>
  <c r="BJ144" i="11"/>
  <c r="BK144" i="11"/>
  <c r="BL144" i="11"/>
  <c r="BM144" i="11"/>
  <c r="BN144" i="11"/>
  <c r="BO144" i="11"/>
  <c r="BP144" i="11"/>
  <c r="BQ144" i="11"/>
  <c r="BR144" i="11"/>
  <c r="BS144" i="11"/>
  <c r="BT144" i="11"/>
  <c r="BU144" i="11"/>
  <c r="BV144" i="11"/>
  <c r="BW144" i="11"/>
  <c r="BX144" i="11"/>
  <c r="BY144" i="11"/>
  <c r="BZ144" i="11"/>
  <c r="CA144" i="11"/>
  <c r="CB144" i="11"/>
  <c r="CC144" i="11"/>
  <c r="CD144" i="11"/>
  <c r="CE144" i="11"/>
  <c r="CF144" i="11"/>
  <c r="CG144" i="11"/>
  <c r="CH144" i="11"/>
  <c r="CI144" i="11"/>
  <c r="CJ144" i="11"/>
  <c r="CK144" i="11"/>
  <c r="CL144" i="11"/>
  <c r="CM144" i="11"/>
  <c r="CN144" i="11"/>
  <c r="CO144" i="11"/>
  <c r="CP144" i="11"/>
  <c r="CQ144" i="11"/>
  <c r="CR144" i="11"/>
  <c r="CS144" i="11"/>
  <c r="CT144" i="11"/>
  <c r="CU144" i="11"/>
  <c r="CV144" i="11"/>
  <c r="CW144" i="11"/>
  <c r="CX144" i="11"/>
  <c r="CY144" i="11"/>
  <c r="CZ144" i="11"/>
  <c r="DA144" i="11"/>
  <c r="DB144" i="11"/>
  <c r="DC144" i="11"/>
  <c r="DD144" i="11"/>
  <c r="DE144" i="11"/>
  <c r="DF144" i="11"/>
  <c r="DG144" i="11"/>
  <c r="DH144" i="11"/>
  <c r="DI144" i="11"/>
  <c r="DJ144" i="11"/>
  <c r="DK144" i="11"/>
  <c r="DL144" i="11"/>
  <c r="DM144" i="11"/>
  <c r="DN144" i="11"/>
  <c r="DO144" i="11"/>
  <c r="DP144" i="11"/>
  <c r="DQ144" i="11"/>
  <c r="DR144" i="11"/>
  <c r="DS144" i="11"/>
  <c r="DT144" i="11"/>
  <c r="DU144" i="11"/>
  <c r="DV144" i="11"/>
  <c r="DW144" i="11"/>
  <c r="DX144" i="11"/>
  <c r="DY144" i="11"/>
  <c r="DZ144" i="11"/>
  <c r="EA144" i="11"/>
  <c r="EB144" i="11"/>
  <c r="EC144" i="11"/>
  <c r="ED144" i="11"/>
  <c r="EE144" i="11"/>
  <c r="EF144" i="11"/>
  <c r="EG144" i="11"/>
  <c r="EH144" i="11"/>
  <c r="EI144" i="11"/>
  <c r="EJ144" i="11"/>
  <c r="EK144" i="11"/>
  <c r="EL144" i="11"/>
  <c r="EM144" i="11"/>
  <c r="EN144" i="11"/>
  <c r="EO144" i="11"/>
  <c r="EP144" i="11"/>
  <c r="EQ144" i="11"/>
  <c r="ER144" i="11"/>
  <c r="ES144" i="11"/>
  <c r="ET144" i="11"/>
  <c r="EU144" i="11"/>
  <c r="EV144" i="11"/>
  <c r="EW144" i="11"/>
  <c r="EX144" i="11"/>
  <c r="EY144" i="11"/>
  <c r="EZ144" i="11"/>
  <c r="FA144" i="11"/>
  <c r="FB144" i="11"/>
  <c r="FC144" i="11"/>
  <c r="FD144" i="11"/>
  <c r="FE144" i="11"/>
  <c r="FF144" i="11"/>
  <c r="FG144" i="11"/>
  <c r="FH144" i="11"/>
  <c r="FI144" i="11"/>
  <c r="FJ144" i="11"/>
  <c r="FK144" i="11"/>
  <c r="FL144" i="11"/>
  <c r="FM144" i="11"/>
  <c r="FN144" i="11"/>
  <c r="FO144" i="11"/>
  <c r="FP144" i="11"/>
  <c r="FQ144" i="11"/>
  <c r="FR144" i="11"/>
  <c r="FS144" i="11"/>
  <c r="FT144" i="11"/>
  <c r="FU144" i="11"/>
  <c r="FV144" i="11"/>
  <c r="FW144" i="11"/>
  <c r="FX144" i="11"/>
  <c r="FY144" i="11"/>
  <c r="FZ144" i="11"/>
  <c r="GA144" i="11"/>
  <c r="GB144" i="11"/>
  <c r="GC144" i="11"/>
  <c r="GD144" i="11"/>
  <c r="GE144" i="11"/>
  <c r="GF144" i="11"/>
  <c r="GG144" i="11"/>
  <c r="GH144" i="11"/>
  <c r="GI144" i="11"/>
  <c r="GJ144" i="11"/>
  <c r="GK144" i="11"/>
  <c r="GL144" i="11"/>
  <c r="GM144" i="11"/>
  <c r="GN144" i="11"/>
  <c r="GO144" i="11"/>
  <c r="GP144" i="11"/>
  <c r="GQ144" i="11"/>
  <c r="GR144" i="11"/>
  <c r="GS144" i="11"/>
  <c r="GT144" i="11"/>
  <c r="GU144" i="11"/>
  <c r="GV144" i="11"/>
  <c r="GW144" i="11"/>
  <c r="GX144" i="11"/>
  <c r="GY144" i="11"/>
  <c r="GZ144" i="11"/>
  <c r="HA144" i="11"/>
  <c r="HB144" i="11"/>
  <c r="HC144" i="11"/>
  <c r="HD144" i="11"/>
  <c r="HE144" i="11"/>
  <c r="HF144" i="11"/>
  <c r="HG144" i="11"/>
  <c r="HH144" i="11"/>
  <c r="HI144" i="11"/>
  <c r="HJ144" i="11"/>
  <c r="HK144" i="11"/>
  <c r="HL144" i="11"/>
  <c r="HM144" i="11"/>
  <c r="HN144" i="11"/>
  <c r="HO144" i="11"/>
  <c r="HP144" i="11"/>
  <c r="HQ144" i="11"/>
  <c r="HR144" i="11"/>
  <c r="HS144" i="11"/>
  <c r="HT144" i="11"/>
  <c r="HU144" i="11"/>
  <c r="HV144" i="11"/>
  <c r="HW144" i="11"/>
  <c r="HX144" i="11"/>
  <c r="HY144" i="11"/>
  <c r="HZ144" i="11"/>
  <c r="IA144" i="11"/>
  <c r="IB144" i="11"/>
  <c r="IC144" i="11"/>
  <c r="ID144" i="11"/>
  <c r="IE144" i="11"/>
  <c r="IF144" i="11"/>
  <c r="IG144" i="11"/>
  <c r="IH144" i="11"/>
  <c r="II144" i="11"/>
  <c r="IJ144" i="11"/>
  <c r="IK144" i="11"/>
  <c r="IL144" i="11"/>
  <c r="IM144" i="11"/>
  <c r="IN144" i="11"/>
  <c r="IO144" i="11"/>
  <c r="IP144" i="11"/>
  <c r="IQ144" i="11"/>
  <c r="IR144" i="11"/>
  <c r="IS144" i="11"/>
  <c r="IT144" i="11"/>
  <c r="IU144" i="11"/>
  <c r="IV144" i="11"/>
  <c r="F145" i="11"/>
  <c r="G145" i="11"/>
  <c r="H145" i="11"/>
  <c r="I145" i="11"/>
  <c r="J145" i="11"/>
  <c r="K145" i="11"/>
  <c r="L145" i="11"/>
  <c r="M145" i="11"/>
  <c r="N145" i="11"/>
  <c r="O145" i="11"/>
  <c r="P145" i="11"/>
  <c r="Q145" i="11"/>
  <c r="R145" i="11"/>
  <c r="S145" i="11"/>
  <c r="T145" i="11"/>
  <c r="U145" i="11"/>
  <c r="V145" i="11"/>
  <c r="W145" i="11"/>
  <c r="X145" i="11"/>
  <c r="Y145" i="11"/>
  <c r="Z145" i="11"/>
  <c r="AA145" i="11"/>
  <c r="AB145" i="11"/>
  <c r="AC145" i="11"/>
  <c r="AD145" i="11"/>
  <c r="AE145" i="11"/>
  <c r="AF145" i="11"/>
  <c r="AG145" i="11"/>
  <c r="AH145" i="11"/>
  <c r="AI145" i="11"/>
  <c r="AJ145" i="11"/>
  <c r="AK145" i="11"/>
  <c r="AL145" i="11"/>
  <c r="AM145" i="11"/>
  <c r="AN145" i="11"/>
  <c r="AO145" i="11"/>
  <c r="AP145" i="11"/>
  <c r="AQ145" i="11"/>
  <c r="AR145" i="11"/>
  <c r="AS145" i="11"/>
  <c r="AT145" i="11"/>
  <c r="AU145" i="11"/>
  <c r="AV145" i="11"/>
  <c r="AW145" i="11"/>
  <c r="AX145" i="11"/>
  <c r="AY145" i="11"/>
  <c r="AZ145" i="11"/>
  <c r="BA145" i="11"/>
  <c r="BB145" i="11"/>
  <c r="BC145" i="11"/>
  <c r="BD145" i="11"/>
  <c r="BE145" i="11"/>
  <c r="BF145" i="11"/>
  <c r="BG145" i="11"/>
  <c r="BH145" i="11"/>
  <c r="BI145" i="11"/>
  <c r="BJ145" i="11"/>
  <c r="BK145" i="11"/>
  <c r="BL145" i="11"/>
  <c r="BM145" i="11"/>
  <c r="BN145" i="11"/>
  <c r="BO145" i="11"/>
  <c r="BP145" i="11"/>
  <c r="BQ145" i="11"/>
  <c r="BR145" i="11"/>
  <c r="BS145" i="11"/>
  <c r="BT145" i="11"/>
  <c r="BU145" i="11"/>
  <c r="BV145" i="11"/>
  <c r="BW145" i="11"/>
  <c r="BX145" i="11"/>
  <c r="BY145" i="11"/>
  <c r="BZ145" i="11"/>
  <c r="CA145" i="11"/>
  <c r="CB145" i="11"/>
  <c r="CC145" i="11"/>
  <c r="CD145" i="11"/>
  <c r="CE145" i="11"/>
  <c r="CF145" i="11"/>
  <c r="CG145" i="11"/>
  <c r="CH145" i="11"/>
  <c r="CI145" i="11"/>
  <c r="CJ145" i="11"/>
  <c r="CK145" i="11"/>
  <c r="CL145" i="11"/>
  <c r="CM145" i="11"/>
  <c r="CN145" i="11"/>
  <c r="CO145" i="11"/>
  <c r="CP145" i="11"/>
  <c r="CQ145" i="11"/>
  <c r="CR145" i="11"/>
  <c r="CS145" i="11"/>
  <c r="CT145" i="11"/>
  <c r="CU145" i="11"/>
  <c r="CV145" i="11"/>
  <c r="CW145" i="11"/>
  <c r="CX145" i="11"/>
  <c r="CY145" i="11"/>
  <c r="CZ145" i="11"/>
  <c r="DA145" i="11"/>
  <c r="DB145" i="11"/>
  <c r="DC145" i="11"/>
  <c r="DD145" i="11"/>
  <c r="DE145" i="11"/>
  <c r="DF145" i="11"/>
  <c r="DG145" i="11"/>
  <c r="DH145" i="11"/>
  <c r="DI145" i="11"/>
  <c r="DJ145" i="11"/>
  <c r="DK145" i="11"/>
  <c r="DL145" i="11"/>
  <c r="DM145" i="11"/>
  <c r="DN145" i="11"/>
  <c r="DO145" i="11"/>
  <c r="DP145" i="11"/>
  <c r="DQ145" i="11"/>
  <c r="DR145" i="11"/>
  <c r="DS145" i="11"/>
  <c r="DT145" i="11"/>
  <c r="DU145" i="11"/>
  <c r="DV145" i="11"/>
  <c r="DW145" i="11"/>
  <c r="DX145" i="11"/>
  <c r="DY145" i="11"/>
  <c r="DZ145" i="11"/>
  <c r="EA145" i="11"/>
  <c r="EB145" i="11"/>
  <c r="EC145" i="11"/>
  <c r="ED145" i="11"/>
  <c r="EE145" i="11"/>
  <c r="EF145" i="11"/>
  <c r="EG145" i="11"/>
  <c r="EH145" i="11"/>
  <c r="EI145" i="11"/>
  <c r="EJ145" i="11"/>
  <c r="EK145" i="11"/>
  <c r="EL145" i="11"/>
  <c r="EM145" i="11"/>
  <c r="EN145" i="11"/>
  <c r="EO145" i="11"/>
  <c r="EP145" i="11"/>
  <c r="EQ145" i="11"/>
  <c r="ER145" i="11"/>
  <c r="ES145" i="11"/>
  <c r="ET145" i="11"/>
  <c r="EU145" i="11"/>
  <c r="EV145" i="11"/>
  <c r="EW145" i="11"/>
  <c r="EX145" i="11"/>
  <c r="EY145" i="11"/>
  <c r="EZ145" i="11"/>
  <c r="FA145" i="11"/>
  <c r="FB145" i="11"/>
  <c r="FC145" i="11"/>
  <c r="FD145" i="11"/>
  <c r="FE145" i="11"/>
  <c r="FF145" i="11"/>
  <c r="FG145" i="11"/>
  <c r="FH145" i="11"/>
  <c r="FI145" i="11"/>
  <c r="FJ145" i="11"/>
  <c r="FK145" i="11"/>
  <c r="FL145" i="11"/>
  <c r="FM145" i="11"/>
  <c r="FN145" i="11"/>
  <c r="FO145" i="11"/>
  <c r="FP145" i="11"/>
  <c r="FQ145" i="11"/>
  <c r="FR145" i="11"/>
  <c r="FS145" i="11"/>
  <c r="FT145" i="11"/>
  <c r="FU145" i="11"/>
  <c r="FV145" i="11"/>
  <c r="FW145" i="11"/>
  <c r="FX145" i="11"/>
  <c r="FY145" i="11"/>
  <c r="FZ145" i="11"/>
  <c r="GA145" i="11"/>
  <c r="GB145" i="11"/>
  <c r="GC145" i="11"/>
  <c r="GD145" i="11"/>
  <c r="GE145" i="11"/>
  <c r="GF145" i="11"/>
  <c r="GG145" i="11"/>
  <c r="GH145" i="11"/>
  <c r="GI145" i="11"/>
  <c r="GJ145" i="11"/>
  <c r="GK145" i="11"/>
  <c r="GL145" i="11"/>
  <c r="GM145" i="11"/>
  <c r="GN145" i="11"/>
  <c r="GO145" i="11"/>
  <c r="GP145" i="11"/>
  <c r="GQ145" i="11"/>
  <c r="GR145" i="11"/>
  <c r="GS145" i="11"/>
  <c r="GT145" i="11"/>
  <c r="GU145" i="11"/>
  <c r="GV145" i="11"/>
  <c r="GW145" i="11"/>
  <c r="GX145" i="11"/>
  <c r="GY145" i="11"/>
  <c r="GZ145" i="11"/>
  <c r="HA145" i="11"/>
  <c r="HB145" i="11"/>
  <c r="HC145" i="11"/>
  <c r="HD145" i="11"/>
  <c r="HE145" i="11"/>
  <c r="HF145" i="11"/>
  <c r="HG145" i="11"/>
  <c r="HH145" i="11"/>
  <c r="HI145" i="11"/>
  <c r="HJ145" i="11"/>
  <c r="HK145" i="11"/>
  <c r="HL145" i="11"/>
  <c r="HM145" i="11"/>
  <c r="HN145" i="11"/>
  <c r="HO145" i="11"/>
  <c r="HP145" i="11"/>
  <c r="HQ145" i="11"/>
  <c r="HR145" i="11"/>
  <c r="HS145" i="11"/>
  <c r="HT145" i="11"/>
  <c r="HU145" i="11"/>
  <c r="HV145" i="11"/>
  <c r="HW145" i="11"/>
  <c r="HX145" i="11"/>
  <c r="HY145" i="11"/>
  <c r="HZ145" i="11"/>
  <c r="IA145" i="11"/>
  <c r="IB145" i="11"/>
  <c r="IC145" i="11"/>
  <c r="ID145" i="11"/>
  <c r="IE145" i="11"/>
  <c r="IF145" i="11"/>
  <c r="IG145" i="11"/>
  <c r="IH145" i="11"/>
  <c r="II145" i="11"/>
  <c r="IJ145" i="11"/>
  <c r="IK145" i="11"/>
  <c r="IL145" i="11"/>
  <c r="IM145" i="11"/>
  <c r="IN145" i="11"/>
  <c r="IO145" i="11"/>
  <c r="IP145" i="11"/>
  <c r="IQ145" i="11"/>
  <c r="IR145" i="11"/>
  <c r="IS145" i="11"/>
  <c r="IT145" i="11"/>
  <c r="IU145" i="11"/>
  <c r="IV145" i="11"/>
  <c r="F146" i="11"/>
  <c r="G146" i="11"/>
  <c r="H146" i="11"/>
  <c r="I146" i="11"/>
  <c r="J146" i="11"/>
  <c r="K146" i="11"/>
  <c r="L146" i="11"/>
  <c r="M146" i="11"/>
  <c r="N146" i="11"/>
  <c r="O146" i="11"/>
  <c r="P146" i="11"/>
  <c r="Q146" i="11"/>
  <c r="R146" i="11"/>
  <c r="S146" i="11"/>
  <c r="T146" i="11"/>
  <c r="U146" i="11"/>
  <c r="V146" i="11"/>
  <c r="W146" i="11"/>
  <c r="X146" i="11"/>
  <c r="Y146" i="11"/>
  <c r="Z146" i="11"/>
  <c r="AA146" i="11"/>
  <c r="AB146" i="11"/>
  <c r="AC146" i="11"/>
  <c r="AD146" i="11"/>
  <c r="AE146" i="11"/>
  <c r="AF146" i="11"/>
  <c r="AG146" i="11"/>
  <c r="AH146" i="11"/>
  <c r="AI146" i="11"/>
  <c r="AJ146" i="11"/>
  <c r="AK146" i="11"/>
  <c r="AL146" i="11"/>
  <c r="AM146" i="11"/>
  <c r="AN146" i="11"/>
  <c r="AO146" i="11"/>
  <c r="AP146" i="11"/>
  <c r="AQ146" i="11"/>
  <c r="AR146" i="11"/>
  <c r="AS146" i="11"/>
  <c r="AT146" i="11"/>
  <c r="AU146" i="11"/>
  <c r="AV146" i="11"/>
  <c r="AW146" i="11"/>
  <c r="AX146" i="11"/>
  <c r="AY146" i="11"/>
  <c r="AZ146" i="11"/>
  <c r="BA146" i="11"/>
  <c r="BB146" i="11"/>
  <c r="BC146" i="11"/>
  <c r="BD146" i="11"/>
  <c r="BE146" i="11"/>
  <c r="BF146" i="11"/>
  <c r="BG146" i="11"/>
  <c r="BH146" i="11"/>
  <c r="BI146" i="11"/>
  <c r="BJ146" i="11"/>
  <c r="BK146" i="11"/>
  <c r="BL146" i="11"/>
  <c r="BM146" i="11"/>
  <c r="BN146" i="11"/>
  <c r="BO146" i="11"/>
  <c r="BP146" i="11"/>
  <c r="BQ146" i="11"/>
  <c r="BR146" i="11"/>
  <c r="BS146" i="11"/>
  <c r="BT146" i="11"/>
  <c r="BU146" i="11"/>
  <c r="BV146" i="11"/>
  <c r="BW146" i="11"/>
  <c r="BX146" i="11"/>
  <c r="BY146" i="11"/>
  <c r="BZ146" i="11"/>
  <c r="CA146" i="11"/>
  <c r="CB146" i="11"/>
  <c r="CC146" i="11"/>
  <c r="CD146" i="11"/>
  <c r="CE146" i="11"/>
  <c r="CF146" i="11"/>
  <c r="CG146" i="11"/>
  <c r="CH146" i="11"/>
  <c r="CI146" i="11"/>
  <c r="CJ146" i="11"/>
  <c r="CK146" i="11"/>
  <c r="CL146" i="11"/>
  <c r="CM146" i="11"/>
  <c r="CN146" i="11"/>
  <c r="CO146" i="11"/>
  <c r="CP146" i="11"/>
  <c r="CQ146" i="11"/>
  <c r="CR146" i="11"/>
  <c r="CS146" i="11"/>
  <c r="CT146" i="11"/>
  <c r="CU146" i="11"/>
  <c r="CV146" i="11"/>
  <c r="CW146" i="11"/>
  <c r="CX146" i="11"/>
  <c r="CY146" i="11"/>
  <c r="CZ146" i="11"/>
  <c r="DA146" i="11"/>
  <c r="DB146" i="11"/>
  <c r="DC146" i="11"/>
  <c r="DD146" i="11"/>
  <c r="DE146" i="11"/>
  <c r="DF146" i="11"/>
  <c r="DG146" i="11"/>
  <c r="DH146" i="11"/>
  <c r="DI146" i="11"/>
  <c r="DJ146" i="11"/>
  <c r="DK146" i="11"/>
  <c r="DL146" i="11"/>
  <c r="DM146" i="11"/>
  <c r="DN146" i="11"/>
  <c r="DO146" i="11"/>
  <c r="DP146" i="11"/>
  <c r="DQ146" i="11"/>
  <c r="DR146" i="11"/>
  <c r="DS146" i="11"/>
  <c r="DT146" i="11"/>
  <c r="DU146" i="11"/>
  <c r="DV146" i="11"/>
  <c r="DW146" i="11"/>
  <c r="DX146" i="11"/>
  <c r="DY146" i="11"/>
  <c r="DZ146" i="11"/>
  <c r="EA146" i="11"/>
  <c r="EB146" i="11"/>
  <c r="EC146" i="11"/>
  <c r="ED146" i="11"/>
  <c r="EE146" i="11"/>
  <c r="EF146" i="11"/>
  <c r="EG146" i="11"/>
  <c r="EH146" i="11"/>
  <c r="EI146" i="11"/>
  <c r="EJ146" i="11"/>
  <c r="EK146" i="11"/>
  <c r="EL146" i="11"/>
  <c r="EM146" i="11"/>
  <c r="EN146" i="11"/>
  <c r="EO146" i="11"/>
  <c r="EP146" i="11"/>
  <c r="EQ146" i="11"/>
  <c r="ER146" i="11"/>
  <c r="ES146" i="11"/>
  <c r="ET146" i="11"/>
  <c r="EU146" i="11"/>
  <c r="EV146" i="11"/>
  <c r="EW146" i="11"/>
  <c r="EX146" i="11"/>
  <c r="EY146" i="11"/>
  <c r="EZ146" i="11"/>
  <c r="FA146" i="11"/>
  <c r="FB146" i="11"/>
  <c r="FC146" i="11"/>
  <c r="FD146" i="11"/>
  <c r="FE146" i="11"/>
  <c r="FF146" i="11"/>
  <c r="FG146" i="11"/>
  <c r="FH146" i="11"/>
  <c r="FI146" i="11"/>
  <c r="FJ146" i="11"/>
  <c r="FK146" i="11"/>
  <c r="FL146" i="11"/>
  <c r="FM146" i="11"/>
  <c r="FN146" i="11"/>
  <c r="FO146" i="11"/>
  <c r="FP146" i="11"/>
  <c r="FQ146" i="11"/>
  <c r="FR146" i="11"/>
  <c r="FS146" i="11"/>
  <c r="FT146" i="11"/>
  <c r="FU146" i="11"/>
  <c r="FV146" i="11"/>
  <c r="FW146" i="11"/>
  <c r="FX146" i="11"/>
  <c r="FY146" i="11"/>
  <c r="FZ146" i="11"/>
  <c r="GA146" i="11"/>
  <c r="GB146" i="11"/>
  <c r="GC146" i="11"/>
  <c r="GD146" i="11"/>
  <c r="GE146" i="11"/>
  <c r="GF146" i="11"/>
  <c r="GG146" i="11"/>
  <c r="GH146" i="11"/>
  <c r="GI146" i="11"/>
  <c r="GJ146" i="11"/>
  <c r="GK146" i="11"/>
  <c r="GL146" i="11"/>
  <c r="GM146" i="11"/>
  <c r="GN146" i="11"/>
  <c r="GO146" i="11"/>
  <c r="GP146" i="11"/>
  <c r="GQ146" i="11"/>
  <c r="GR146" i="11"/>
  <c r="GS146" i="11"/>
  <c r="GT146" i="11"/>
  <c r="GU146" i="11"/>
  <c r="GV146" i="11"/>
  <c r="GW146" i="11"/>
  <c r="GX146" i="11"/>
  <c r="GY146" i="11"/>
  <c r="GZ146" i="11"/>
  <c r="HA146" i="11"/>
  <c r="HB146" i="11"/>
  <c r="HC146" i="11"/>
  <c r="HD146" i="11"/>
  <c r="HE146" i="11"/>
  <c r="HF146" i="11"/>
  <c r="HG146" i="11"/>
  <c r="HH146" i="11"/>
  <c r="HI146" i="11"/>
  <c r="HJ146" i="11"/>
  <c r="HK146" i="11"/>
  <c r="HL146" i="11"/>
  <c r="HM146" i="11"/>
  <c r="HN146" i="11"/>
  <c r="HO146" i="11"/>
  <c r="HP146" i="11"/>
  <c r="HQ146" i="11"/>
  <c r="HR146" i="11"/>
  <c r="HS146" i="11"/>
  <c r="HT146" i="11"/>
  <c r="HU146" i="11"/>
  <c r="HV146" i="11"/>
  <c r="HW146" i="11"/>
  <c r="HX146" i="11"/>
  <c r="HY146" i="11"/>
  <c r="HZ146" i="11"/>
  <c r="IA146" i="11"/>
  <c r="IB146" i="11"/>
  <c r="IC146" i="11"/>
  <c r="ID146" i="11"/>
  <c r="IE146" i="11"/>
  <c r="IF146" i="11"/>
  <c r="IG146" i="11"/>
  <c r="IH146" i="11"/>
  <c r="II146" i="11"/>
  <c r="IJ146" i="11"/>
  <c r="IK146" i="11"/>
  <c r="IL146" i="11"/>
  <c r="IM146" i="11"/>
  <c r="IN146" i="11"/>
  <c r="IO146" i="11"/>
  <c r="IP146" i="11"/>
  <c r="IQ146" i="11"/>
  <c r="IR146" i="11"/>
  <c r="IS146" i="11"/>
  <c r="IT146" i="11"/>
  <c r="IU146" i="11"/>
  <c r="IV146" i="11"/>
  <c r="F147" i="11"/>
  <c r="G147" i="11"/>
  <c r="H147" i="11"/>
  <c r="I147" i="11"/>
  <c r="J147" i="11"/>
  <c r="K147" i="11"/>
  <c r="L147" i="11"/>
  <c r="M147" i="11"/>
  <c r="N147" i="11"/>
  <c r="O147" i="11"/>
  <c r="P147" i="11"/>
  <c r="Q147" i="11"/>
  <c r="R147" i="11"/>
  <c r="S147" i="11"/>
  <c r="T147" i="11"/>
  <c r="U147" i="11"/>
  <c r="V147" i="11"/>
  <c r="W147" i="11"/>
  <c r="X147" i="11"/>
  <c r="Y147" i="11"/>
  <c r="Z147" i="11"/>
  <c r="AA147" i="11"/>
  <c r="AB147" i="11"/>
  <c r="AC147" i="11"/>
  <c r="AD147" i="11"/>
  <c r="AE147" i="11"/>
  <c r="AF147" i="11"/>
  <c r="AG147" i="11"/>
  <c r="AH147" i="11"/>
  <c r="AI147" i="11"/>
  <c r="AJ147" i="11"/>
  <c r="AK147" i="11"/>
  <c r="AL147" i="11"/>
  <c r="AM147" i="11"/>
  <c r="AN147" i="11"/>
  <c r="AO147" i="11"/>
  <c r="AP147" i="11"/>
  <c r="AQ147" i="11"/>
  <c r="AR147" i="11"/>
  <c r="AS147" i="11"/>
  <c r="AT147" i="11"/>
  <c r="AU147" i="11"/>
  <c r="AV147" i="11"/>
  <c r="AW147" i="11"/>
  <c r="AX147" i="11"/>
  <c r="AY147" i="11"/>
  <c r="AZ147" i="11"/>
  <c r="BA147" i="11"/>
  <c r="BB147" i="11"/>
  <c r="BC147" i="11"/>
  <c r="BD147" i="11"/>
  <c r="BE147" i="11"/>
  <c r="BF147" i="11"/>
  <c r="BG147" i="11"/>
  <c r="BH147" i="11"/>
  <c r="BI147" i="11"/>
  <c r="BJ147" i="11"/>
  <c r="BK147" i="11"/>
  <c r="BL147" i="11"/>
  <c r="BM147" i="11"/>
  <c r="BN147" i="11"/>
  <c r="BO147" i="11"/>
  <c r="BP147" i="11"/>
  <c r="BQ147" i="11"/>
  <c r="BR147" i="11"/>
  <c r="BS147" i="11"/>
  <c r="BT147" i="11"/>
  <c r="BU147" i="11"/>
  <c r="BV147" i="11"/>
  <c r="BW147" i="11"/>
  <c r="BX147" i="11"/>
  <c r="BY147" i="11"/>
  <c r="BZ147" i="11"/>
  <c r="CA147" i="11"/>
  <c r="CB147" i="11"/>
  <c r="CC147" i="11"/>
  <c r="CD147" i="11"/>
  <c r="CE147" i="11"/>
  <c r="CF147" i="11"/>
  <c r="CG147" i="11"/>
  <c r="CH147" i="11"/>
  <c r="CI147" i="11"/>
  <c r="CJ147" i="11"/>
  <c r="CK147" i="11"/>
  <c r="CL147" i="11"/>
  <c r="CM147" i="11"/>
  <c r="CN147" i="11"/>
  <c r="CO147" i="11"/>
  <c r="CP147" i="11"/>
  <c r="CQ147" i="11"/>
  <c r="CR147" i="11"/>
  <c r="CS147" i="11"/>
  <c r="CT147" i="11"/>
  <c r="CU147" i="11"/>
  <c r="CV147" i="11"/>
  <c r="CW147" i="11"/>
  <c r="CX147" i="11"/>
  <c r="CY147" i="11"/>
  <c r="CZ147" i="11"/>
  <c r="DA147" i="11"/>
  <c r="DB147" i="11"/>
  <c r="DC147" i="11"/>
  <c r="DD147" i="11"/>
  <c r="DE147" i="11"/>
  <c r="DF147" i="11"/>
  <c r="DG147" i="11"/>
  <c r="DH147" i="11"/>
  <c r="DI147" i="11"/>
  <c r="DJ147" i="11"/>
  <c r="DK147" i="11"/>
  <c r="DL147" i="11"/>
  <c r="DM147" i="11"/>
  <c r="DN147" i="11"/>
  <c r="DO147" i="11"/>
  <c r="DP147" i="11"/>
  <c r="DQ147" i="11"/>
  <c r="DR147" i="11"/>
  <c r="DS147" i="11"/>
  <c r="DT147" i="11"/>
  <c r="DU147" i="11"/>
  <c r="DV147" i="11"/>
  <c r="DW147" i="11"/>
  <c r="DX147" i="11"/>
  <c r="DY147" i="11"/>
  <c r="DZ147" i="11"/>
  <c r="EA147" i="11"/>
  <c r="EB147" i="11"/>
  <c r="EC147" i="11"/>
  <c r="ED147" i="11"/>
  <c r="EE147" i="11"/>
  <c r="EF147" i="11"/>
  <c r="EG147" i="11"/>
  <c r="EH147" i="11"/>
  <c r="EI147" i="11"/>
  <c r="EJ147" i="11"/>
  <c r="EK147" i="11"/>
  <c r="EL147" i="11"/>
  <c r="EM147" i="11"/>
  <c r="EN147" i="11"/>
  <c r="EO147" i="11"/>
  <c r="EP147" i="11"/>
  <c r="EQ147" i="11"/>
  <c r="ER147" i="11"/>
  <c r="ES147" i="11"/>
  <c r="ET147" i="11"/>
  <c r="EU147" i="11"/>
  <c r="EV147" i="11"/>
  <c r="EW147" i="11"/>
  <c r="EX147" i="11"/>
  <c r="EY147" i="11"/>
  <c r="EZ147" i="11"/>
  <c r="FA147" i="11"/>
  <c r="FB147" i="11"/>
  <c r="FC147" i="11"/>
  <c r="FD147" i="11"/>
  <c r="FE147" i="11"/>
  <c r="FF147" i="11"/>
  <c r="FG147" i="11"/>
  <c r="FH147" i="11"/>
  <c r="FI147" i="11"/>
  <c r="FJ147" i="11"/>
  <c r="FK147" i="11"/>
  <c r="FL147" i="11"/>
  <c r="FM147" i="11"/>
  <c r="FN147" i="11"/>
  <c r="FO147" i="11"/>
  <c r="FP147" i="11"/>
  <c r="FQ147" i="11"/>
  <c r="FR147" i="11"/>
  <c r="FS147" i="11"/>
  <c r="FT147" i="11"/>
  <c r="FU147" i="11"/>
  <c r="FV147" i="11"/>
  <c r="FW147" i="11"/>
  <c r="FX147" i="11"/>
  <c r="FY147" i="11"/>
  <c r="FZ147" i="11"/>
  <c r="GA147" i="11"/>
  <c r="GB147" i="11"/>
  <c r="GC147" i="11"/>
  <c r="GD147" i="11"/>
  <c r="GE147" i="11"/>
  <c r="GF147" i="11"/>
  <c r="GG147" i="11"/>
  <c r="GH147" i="11"/>
  <c r="GI147" i="11"/>
  <c r="GJ147" i="11"/>
  <c r="GK147" i="11"/>
  <c r="GL147" i="11"/>
  <c r="GM147" i="11"/>
  <c r="GN147" i="11"/>
  <c r="GO147" i="11"/>
  <c r="GP147" i="11"/>
  <c r="GQ147" i="11"/>
  <c r="GR147" i="11"/>
  <c r="GS147" i="11"/>
  <c r="GT147" i="11"/>
  <c r="GU147" i="11"/>
  <c r="GV147" i="11"/>
  <c r="GW147" i="11"/>
  <c r="GX147" i="11"/>
  <c r="GY147" i="11"/>
  <c r="GZ147" i="11"/>
  <c r="HA147" i="11"/>
  <c r="HB147" i="11"/>
  <c r="HC147" i="11"/>
  <c r="HD147" i="11"/>
  <c r="HE147" i="11"/>
  <c r="HF147" i="11"/>
  <c r="HG147" i="11"/>
  <c r="HH147" i="11"/>
  <c r="HI147" i="11"/>
  <c r="HJ147" i="11"/>
  <c r="HK147" i="11"/>
  <c r="HL147" i="11"/>
  <c r="HM147" i="11"/>
  <c r="HN147" i="11"/>
  <c r="HO147" i="11"/>
  <c r="HP147" i="11"/>
  <c r="HQ147" i="11"/>
  <c r="HR147" i="11"/>
  <c r="HS147" i="11"/>
  <c r="HT147" i="11"/>
  <c r="HU147" i="11"/>
  <c r="HV147" i="11"/>
  <c r="HW147" i="11"/>
  <c r="HX147" i="11"/>
  <c r="HY147" i="11"/>
  <c r="HZ147" i="11"/>
  <c r="IA147" i="11"/>
  <c r="IB147" i="11"/>
  <c r="IC147" i="11"/>
  <c r="ID147" i="11"/>
  <c r="IE147" i="11"/>
  <c r="IF147" i="11"/>
  <c r="IG147" i="11"/>
  <c r="IH147" i="11"/>
  <c r="II147" i="11"/>
  <c r="IJ147" i="11"/>
  <c r="IK147" i="11"/>
  <c r="IL147" i="11"/>
  <c r="IM147" i="11"/>
  <c r="IN147" i="11"/>
  <c r="IO147" i="11"/>
  <c r="IP147" i="11"/>
  <c r="IQ147" i="11"/>
  <c r="IR147" i="11"/>
  <c r="IS147" i="11"/>
  <c r="IT147" i="11"/>
  <c r="IU147" i="11"/>
  <c r="IV147" i="11"/>
  <c r="F148" i="11"/>
  <c r="G148" i="11"/>
  <c r="H148" i="11"/>
  <c r="I148" i="11"/>
  <c r="J148" i="11"/>
  <c r="K148" i="11"/>
  <c r="L148"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AM148" i="11"/>
  <c r="AN148" i="11"/>
  <c r="AO148" i="11"/>
  <c r="AP148" i="11"/>
  <c r="AQ148" i="11"/>
  <c r="AR148" i="11"/>
  <c r="AS148" i="11"/>
  <c r="AT148" i="11"/>
  <c r="AU148" i="11"/>
  <c r="AV148" i="11"/>
  <c r="AW148" i="11"/>
  <c r="AX148" i="11"/>
  <c r="AY148" i="11"/>
  <c r="AZ148" i="11"/>
  <c r="BA148" i="11"/>
  <c r="BB148" i="11"/>
  <c r="BC148" i="11"/>
  <c r="BD148" i="11"/>
  <c r="BE148" i="11"/>
  <c r="BF148" i="11"/>
  <c r="BG148" i="11"/>
  <c r="BH148" i="11"/>
  <c r="BI148" i="11"/>
  <c r="BJ148" i="11"/>
  <c r="BK148" i="11"/>
  <c r="BL148" i="11"/>
  <c r="BM148" i="11"/>
  <c r="BN148" i="11"/>
  <c r="BO148" i="11"/>
  <c r="BP148" i="11"/>
  <c r="BQ148" i="11"/>
  <c r="BR148" i="11"/>
  <c r="BS148" i="11"/>
  <c r="BT148" i="11"/>
  <c r="BU148" i="11"/>
  <c r="BV148" i="11"/>
  <c r="BW148" i="11"/>
  <c r="BX148" i="11"/>
  <c r="BY148" i="11"/>
  <c r="BZ148" i="11"/>
  <c r="CA148" i="11"/>
  <c r="CB148" i="11"/>
  <c r="CC148" i="11"/>
  <c r="CD148" i="11"/>
  <c r="CE148" i="11"/>
  <c r="CF148" i="11"/>
  <c r="CG148" i="11"/>
  <c r="CH148" i="11"/>
  <c r="CI148" i="11"/>
  <c r="CJ148" i="11"/>
  <c r="CK148" i="11"/>
  <c r="CL148" i="11"/>
  <c r="CM148" i="11"/>
  <c r="CN148" i="11"/>
  <c r="CO148" i="11"/>
  <c r="CP148" i="11"/>
  <c r="CQ148" i="11"/>
  <c r="CR148" i="11"/>
  <c r="CS148" i="11"/>
  <c r="CT148" i="11"/>
  <c r="CU148" i="11"/>
  <c r="CV148" i="11"/>
  <c r="CW148" i="11"/>
  <c r="CX148" i="11"/>
  <c r="CY148" i="11"/>
  <c r="CZ148" i="11"/>
  <c r="DA148" i="11"/>
  <c r="DB148" i="11"/>
  <c r="DC148" i="11"/>
  <c r="DD148" i="11"/>
  <c r="DE148" i="11"/>
  <c r="DF148" i="11"/>
  <c r="DG148" i="11"/>
  <c r="DH148" i="11"/>
  <c r="DI148" i="11"/>
  <c r="DJ148" i="11"/>
  <c r="DK148" i="11"/>
  <c r="DL148" i="11"/>
  <c r="DM148" i="11"/>
  <c r="DN148" i="11"/>
  <c r="DO148" i="11"/>
  <c r="DP148" i="11"/>
  <c r="DQ148" i="11"/>
  <c r="DR148" i="11"/>
  <c r="DS148" i="11"/>
  <c r="DT148" i="11"/>
  <c r="DU148" i="11"/>
  <c r="DV148" i="11"/>
  <c r="DW148" i="11"/>
  <c r="DX148" i="11"/>
  <c r="DY148" i="11"/>
  <c r="DZ148" i="11"/>
  <c r="EA148" i="11"/>
  <c r="EB148" i="11"/>
  <c r="EC148" i="11"/>
  <c r="ED148" i="11"/>
  <c r="EE148" i="11"/>
  <c r="EF148" i="11"/>
  <c r="EG148" i="11"/>
  <c r="EH148" i="11"/>
  <c r="EI148" i="11"/>
  <c r="EJ148" i="11"/>
  <c r="EK148" i="11"/>
  <c r="EL148" i="11"/>
  <c r="EM148" i="11"/>
  <c r="EN148" i="11"/>
  <c r="EO148" i="11"/>
  <c r="EP148" i="11"/>
  <c r="EQ148" i="11"/>
  <c r="ER148" i="11"/>
  <c r="ES148" i="11"/>
  <c r="ET148" i="11"/>
  <c r="EU148" i="11"/>
  <c r="EV148" i="11"/>
  <c r="EW148" i="11"/>
  <c r="EX148" i="11"/>
  <c r="EY148" i="11"/>
  <c r="EZ148" i="11"/>
  <c r="FA148" i="11"/>
  <c r="FB148" i="11"/>
  <c r="FC148" i="11"/>
  <c r="FD148" i="11"/>
  <c r="FE148" i="11"/>
  <c r="FF148" i="11"/>
  <c r="FG148" i="11"/>
  <c r="FH148" i="11"/>
  <c r="FI148" i="11"/>
  <c r="FJ148" i="11"/>
  <c r="FK148" i="11"/>
  <c r="FL148" i="11"/>
  <c r="FM148" i="11"/>
  <c r="FN148" i="11"/>
  <c r="FO148" i="11"/>
  <c r="FP148" i="11"/>
  <c r="FQ148" i="11"/>
  <c r="FR148" i="11"/>
  <c r="FS148" i="11"/>
  <c r="FT148" i="11"/>
  <c r="FU148" i="11"/>
  <c r="FV148" i="11"/>
  <c r="FW148" i="11"/>
  <c r="FX148" i="11"/>
  <c r="FY148" i="11"/>
  <c r="FZ148" i="11"/>
  <c r="GA148" i="11"/>
  <c r="GB148" i="11"/>
  <c r="GC148" i="11"/>
  <c r="GD148" i="11"/>
  <c r="GE148" i="11"/>
  <c r="GF148" i="11"/>
  <c r="GG148" i="11"/>
  <c r="GH148" i="11"/>
  <c r="GI148" i="11"/>
  <c r="GJ148" i="11"/>
  <c r="GK148" i="11"/>
  <c r="GL148" i="11"/>
  <c r="GM148" i="11"/>
  <c r="GN148" i="11"/>
  <c r="GO148" i="11"/>
  <c r="GP148" i="11"/>
  <c r="GQ148" i="11"/>
  <c r="GR148" i="11"/>
  <c r="GS148" i="11"/>
  <c r="GT148" i="11"/>
  <c r="GU148" i="11"/>
  <c r="GV148" i="11"/>
  <c r="GW148" i="11"/>
  <c r="GX148" i="11"/>
  <c r="GY148" i="11"/>
  <c r="GZ148" i="11"/>
  <c r="HA148" i="11"/>
  <c r="HB148" i="11"/>
  <c r="HC148" i="11"/>
  <c r="HD148" i="11"/>
  <c r="HE148" i="11"/>
  <c r="HF148" i="11"/>
  <c r="HG148" i="11"/>
  <c r="HH148" i="11"/>
  <c r="HI148" i="11"/>
  <c r="HJ148" i="11"/>
  <c r="HK148" i="11"/>
  <c r="HL148" i="11"/>
  <c r="HM148" i="11"/>
  <c r="HN148" i="11"/>
  <c r="HO148" i="11"/>
  <c r="HP148" i="11"/>
  <c r="HQ148" i="11"/>
  <c r="HR148" i="11"/>
  <c r="HS148" i="11"/>
  <c r="HT148" i="11"/>
  <c r="HU148" i="11"/>
  <c r="HV148" i="11"/>
  <c r="HW148" i="11"/>
  <c r="HX148" i="11"/>
  <c r="HY148" i="11"/>
  <c r="HZ148" i="11"/>
  <c r="IA148" i="11"/>
  <c r="IB148" i="11"/>
  <c r="IC148" i="11"/>
  <c r="ID148" i="11"/>
  <c r="IE148" i="11"/>
  <c r="IF148" i="11"/>
  <c r="IG148" i="11"/>
  <c r="IH148" i="11"/>
  <c r="II148" i="11"/>
  <c r="IJ148" i="11"/>
  <c r="IK148" i="11"/>
  <c r="IL148" i="11"/>
  <c r="IM148" i="11"/>
  <c r="IN148" i="11"/>
  <c r="IO148" i="11"/>
  <c r="IP148" i="11"/>
  <c r="IQ148" i="11"/>
  <c r="IR148" i="11"/>
  <c r="IS148" i="11"/>
  <c r="IT148" i="11"/>
  <c r="IU148" i="11"/>
  <c r="IV148" i="11"/>
  <c r="F149" i="11"/>
  <c r="G149" i="11"/>
  <c r="H149" i="11"/>
  <c r="I149" i="11"/>
  <c r="J149" i="11"/>
  <c r="K149" i="11"/>
  <c r="L149" i="11"/>
  <c r="M149" i="11"/>
  <c r="N149" i="11"/>
  <c r="O149" i="11"/>
  <c r="P149" i="11"/>
  <c r="Q149" i="11"/>
  <c r="R149" i="11"/>
  <c r="S149" i="11"/>
  <c r="T149" i="11"/>
  <c r="U149" i="11"/>
  <c r="V149" i="11"/>
  <c r="W149" i="11"/>
  <c r="X149" i="11"/>
  <c r="Y149" i="11"/>
  <c r="Z149" i="11"/>
  <c r="AA149" i="11"/>
  <c r="AB149" i="11"/>
  <c r="AC149" i="11"/>
  <c r="AD149" i="11"/>
  <c r="AE149" i="11"/>
  <c r="AF149" i="11"/>
  <c r="AG149" i="11"/>
  <c r="AH149" i="11"/>
  <c r="AI149" i="11"/>
  <c r="AJ149" i="11"/>
  <c r="AK149" i="11"/>
  <c r="AL149" i="11"/>
  <c r="AM149" i="11"/>
  <c r="AN149" i="11"/>
  <c r="AO149" i="11"/>
  <c r="AP149" i="11"/>
  <c r="AQ149" i="11"/>
  <c r="AR149" i="11"/>
  <c r="AS149" i="11"/>
  <c r="AT149" i="11"/>
  <c r="AU149" i="11"/>
  <c r="AV149" i="11"/>
  <c r="AW149" i="11"/>
  <c r="AX149" i="11"/>
  <c r="AY149" i="11"/>
  <c r="AZ149" i="11"/>
  <c r="BA149" i="11"/>
  <c r="BB149" i="11"/>
  <c r="BC149" i="11"/>
  <c r="BD149" i="11"/>
  <c r="BE149" i="11"/>
  <c r="BF149" i="11"/>
  <c r="BG149" i="11"/>
  <c r="BH149" i="11"/>
  <c r="BI149" i="11"/>
  <c r="BJ149" i="11"/>
  <c r="BK149" i="11"/>
  <c r="BL149" i="11"/>
  <c r="BM149" i="11"/>
  <c r="BN149" i="11"/>
  <c r="BO149" i="11"/>
  <c r="BP149" i="11"/>
  <c r="BQ149" i="11"/>
  <c r="BR149" i="11"/>
  <c r="BS149" i="11"/>
  <c r="BT149" i="11"/>
  <c r="BU149" i="11"/>
  <c r="BV149" i="11"/>
  <c r="BW149" i="11"/>
  <c r="BX149" i="11"/>
  <c r="BY149" i="11"/>
  <c r="BZ149" i="11"/>
  <c r="CA149" i="11"/>
  <c r="CB149" i="11"/>
  <c r="CC149" i="11"/>
  <c r="CD149" i="11"/>
  <c r="CE149" i="11"/>
  <c r="CF149" i="11"/>
  <c r="CG149" i="11"/>
  <c r="CH149" i="11"/>
  <c r="CI149" i="11"/>
  <c r="CJ149" i="11"/>
  <c r="CK149" i="11"/>
  <c r="CL149" i="11"/>
  <c r="CM149" i="11"/>
  <c r="CN149" i="11"/>
  <c r="CO149" i="11"/>
  <c r="CP149" i="11"/>
  <c r="CQ149" i="11"/>
  <c r="CR149" i="11"/>
  <c r="CS149" i="11"/>
  <c r="CT149" i="11"/>
  <c r="CU149" i="11"/>
  <c r="CV149" i="11"/>
  <c r="CW149" i="11"/>
  <c r="CX149" i="11"/>
  <c r="CY149" i="11"/>
  <c r="CZ149" i="11"/>
  <c r="DA149" i="11"/>
  <c r="DB149" i="11"/>
  <c r="DC149" i="11"/>
  <c r="DD149" i="11"/>
  <c r="DE149" i="11"/>
  <c r="DF149" i="11"/>
  <c r="DG149" i="11"/>
  <c r="DH149" i="11"/>
  <c r="DI149" i="11"/>
  <c r="DJ149" i="11"/>
  <c r="DK149" i="11"/>
  <c r="DL149" i="11"/>
  <c r="DM149" i="11"/>
  <c r="DN149" i="11"/>
  <c r="DO149" i="11"/>
  <c r="DP149" i="11"/>
  <c r="DQ149" i="11"/>
  <c r="DR149" i="11"/>
  <c r="DS149" i="11"/>
  <c r="DT149" i="11"/>
  <c r="DU149" i="11"/>
  <c r="DV149" i="11"/>
  <c r="DW149" i="11"/>
  <c r="DX149" i="11"/>
  <c r="DY149" i="11"/>
  <c r="DZ149" i="11"/>
  <c r="EA149" i="11"/>
  <c r="EB149" i="11"/>
  <c r="EC149" i="11"/>
  <c r="ED149" i="11"/>
  <c r="EE149" i="11"/>
  <c r="EF149" i="11"/>
  <c r="EG149" i="11"/>
  <c r="EH149" i="11"/>
  <c r="EI149" i="11"/>
  <c r="EJ149" i="11"/>
  <c r="EK149" i="11"/>
  <c r="EL149" i="11"/>
  <c r="EM149" i="11"/>
  <c r="EN149" i="11"/>
  <c r="EO149" i="11"/>
  <c r="EP149" i="11"/>
  <c r="EQ149" i="11"/>
  <c r="ER149" i="11"/>
  <c r="ES149" i="11"/>
  <c r="ET149" i="11"/>
  <c r="EU149" i="11"/>
  <c r="EV149" i="11"/>
  <c r="EW149" i="11"/>
  <c r="EX149" i="11"/>
  <c r="EY149" i="11"/>
  <c r="EZ149" i="11"/>
  <c r="FA149" i="11"/>
  <c r="FB149" i="11"/>
  <c r="FC149" i="11"/>
  <c r="FD149" i="11"/>
  <c r="FE149" i="11"/>
  <c r="FF149" i="11"/>
  <c r="FG149" i="11"/>
  <c r="FH149" i="11"/>
  <c r="FI149" i="11"/>
  <c r="FJ149" i="11"/>
  <c r="FK149" i="11"/>
  <c r="FL149" i="11"/>
  <c r="FM149" i="11"/>
  <c r="FN149" i="11"/>
  <c r="FO149" i="11"/>
  <c r="FP149" i="11"/>
  <c r="FQ149" i="11"/>
  <c r="FR149" i="11"/>
  <c r="FS149" i="11"/>
  <c r="FT149" i="11"/>
  <c r="FU149" i="11"/>
  <c r="FV149" i="11"/>
  <c r="FW149" i="11"/>
  <c r="FX149" i="11"/>
  <c r="FY149" i="11"/>
  <c r="FZ149" i="11"/>
  <c r="GA149" i="11"/>
  <c r="GB149" i="11"/>
  <c r="GC149" i="11"/>
  <c r="GD149" i="11"/>
  <c r="GE149" i="11"/>
  <c r="GF149" i="11"/>
  <c r="GG149" i="11"/>
  <c r="GH149" i="11"/>
  <c r="GI149" i="11"/>
  <c r="GJ149" i="11"/>
  <c r="GK149" i="11"/>
  <c r="GL149" i="11"/>
  <c r="GM149" i="11"/>
  <c r="GN149" i="11"/>
  <c r="GO149" i="11"/>
  <c r="GP149" i="11"/>
  <c r="GQ149" i="11"/>
  <c r="GR149" i="11"/>
  <c r="GS149" i="11"/>
  <c r="GT149" i="11"/>
  <c r="GU149" i="11"/>
  <c r="GV149" i="11"/>
  <c r="GW149" i="11"/>
  <c r="GX149" i="11"/>
  <c r="GY149" i="11"/>
  <c r="GZ149" i="11"/>
  <c r="HA149" i="11"/>
  <c r="HB149" i="11"/>
  <c r="HC149" i="11"/>
  <c r="HD149" i="11"/>
  <c r="HE149" i="11"/>
  <c r="HF149" i="11"/>
  <c r="HG149" i="11"/>
  <c r="HH149" i="11"/>
  <c r="HI149" i="11"/>
  <c r="HJ149" i="11"/>
  <c r="HK149" i="11"/>
  <c r="HL149" i="11"/>
  <c r="HM149" i="11"/>
  <c r="HN149" i="11"/>
  <c r="HO149" i="11"/>
  <c r="HP149" i="11"/>
  <c r="HQ149" i="11"/>
  <c r="HR149" i="11"/>
  <c r="HS149" i="11"/>
  <c r="HT149" i="11"/>
  <c r="HU149" i="11"/>
  <c r="HV149" i="11"/>
  <c r="HW149" i="11"/>
  <c r="HX149" i="11"/>
  <c r="HY149" i="11"/>
  <c r="HZ149" i="11"/>
  <c r="IA149" i="11"/>
  <c r="IB149" i="11"/>
  <c r="IC149" i="11"/>
  <c r="ID149" i="11"/>
  <c r="IE149" i="11"/>
  <c r="IF149" i="11"/>
  <c r="IG149" i="11"/>
  <c r="IH149" i="11"/>
  <c r="II149" i="11"/>
  <c r="IJ149" i="11"/>
  <c r="IK149" i="11"/>
  <c r="IL149" i="11"/>
  <c r="IM149" i="11"/>
  <c r="IN149" i="11"/>
  <c r="IO149" i="11"/>
  <c r="IP149" i="11"/>
  <c r="IQ149" i="11"/>
  <c r="IR149" i="11"/>
  <c r="IS149" i="11"/>
  <c r="IT149" i="11"/>
  <c r="IU149" i="11"/>
  <c r="IV149" i="11"/>
  <c r="F150" i="11"/>
  <c r="G150" i="11"/>
  <c r="H150" i="11"/>
  <c r="I150" i="11"/>
  <c r="J150" i="11"/>
  <c r="K150" i="11"/>
  <c r="L150" i="11"/>
  <c r="M150" i="11"/>
  <c r="N150" i="11"/>
  <c r="O150" i="11"/>
  <c r="P150" i="11"/>
  <c r="Q150" i="11"/>
  <c r="R150" i="11"/>
  <c r="S150" i="11"/>
  <c r="T150" i="11"/>
  <c r="U150" i="11"/>
  <c r="V150" i="11"/>
  <c r="W150" i="11"/>
  <c r="X150" i="11"/>
  <c r="Y150" i="11"/>
  <c r="Z150" i="11"/>
  <c r="AA150" i="11"/>
  <c r="AB150" i="11"/>
  <c r="AC150" i="11"/>
  <c r="AD150" i="11"/>
  <c r="AE150" i="11"/>
  <c r="AF150" i="11"/>
  <c r="AG150" i="11"/>
  <c r="AH150" i="11"/>
  <c r="AI150" i="11"/>
  <c r="AJ150" i="11"/>
  <c r="AK150" i="11"/>
  <c r="AL150" i="11"/>
  <c r="AM150" i="11"/>
  <c r="AN150" i="11"/>
  <c r="AO150" i="11"/>
  <c r="AP150" i="11"/>
  <c r="AQ150" i="11"/>
  <c r="AR150" i="11"/>
  <c r="AS150" i="11"/>
  <c r="AT150" i="11"/>
  <c r="AU150" i="11"/>
  <c r="AV150" i="11"/>
  <c r="AW150" i="11"/>
  <c r="AX150" i="11"/>
  <c r="AY150" i="11"/>
  <c r="AZ150" i="11"/>
  <c r="BA150" i="11"/>
  <c r="BB150" i="11"/>
  <c r="BC150" i="11"/>
  <c r="BD150" i="11"/>
  <c r="BE150" i="11"/>
  <c r="BF150" i="11"/>
  <c r="BG150" i="11"/>
  <c r="BH150" i="11"/>
  <c r="BI150" i="11"/>
  <c r="BJ150" i="11"/>
  <c r="BK150" i="11"/>
  <c r="BL150" i="11"/>
  <c r="BM150" i="11"/>
  <c r="BN150" i="11"/>
  <c r="BO150" i="11"/>
  <c r="BP150" i="11"/>
  <c r="BQ150" i="11"/>
  <c r="BR150" i="11"/>
  <c r="BS150" i="11"/>
  <c r="BT150" i="11"/>
  <c r="BU150" i="11"/>
  <c r="BV150" i="11"/>
  <c r="BW150" i="11"/>
  <c r="BX150" i="11"/>
  <c r="BY150" i="11"/>
  <c r="BZ150" i="11"/>
  <c r="CA150" i="11"/>
  <c r="CB150" i="11"/>
  <c r="CC150" i="11"/>
  <c r="CD150" i="11"/>
  <c r="CE150" i="11"/>
  <c r="CF150" i="11"/>
  <c r="CG150" i="11"/>
  <c r="CH150" i="11"/>
  <c r="CI150" i="11"/>
  <c r="CJ150" i="11"/>
  <c r="CK150" i="11"/>
  <c r="CL150" i="11"/>
  <c r="CM150" i="11"/>
  <c r="CN150" i="11"/>
  <c r="CO150" i="11"/>
  <c r="CP150" i="11"/>
  <c r="CQ150" i="11"/>
  <c r="CR150" i="11"/>
  <c r="CS150" i="11"/>
  <c r="CT150" i="11"/>
  <c r="CU150" i="11"/>
  <c r="CV150" i="11"/>
  <c r="CW150" i="11"/>
  <c r="CX150" i="11"/>
  <c r="CY150" i="11"/>
  <c r="CZ150" i="11"/>
  <c r="DA150" i="11"/>
  <c r="DB150" i="11"/>
  <c r="DC150" i="11"/>
  <c r="DD150" i="11"/>
  <c r="DE150" i="11"/>
  <c r="DF150" i="11"/>
  <c r="DG150" i="11"/>
  <c r="DH150" i="11"/>
  <c r="DI150" i="11"/>
  <c r="DJ150" i="11"/>
  <c r="DK150" i="11"/>
  <c r="DL150" i="11"/>
  <c r="DM150" i="11"/>
  <c r="DN150" i="11"/>
  <c r="DO150" i="11"/>
  <c r="DP150" i="11"/>
  <c r="DQ150" i="11"/>
  <c r="DR150" i="11"/>
  <c r="DS150" i="11"/>
  <c r="DT150" i="11"/>
  <c r="DU150" i="11"/>
  <c r="DV150" i="11"/>
  <c r="DW150" i="11"/>
  <c r="DX150" i="11"/>
  <c r="DY150" i="11"/>
  <c r="DZ150" i="11"/>
  <c r="EA150" i="11"/>
  <c r="EB150" i="11"/>
  <c r="EC150" i="11"/>
  <c r="ED150" i="11"/>
  <c r="EE150" i="11"/>
  <c r="EF150" i="11"/>
  <c r="EG150" i="11"/>
  <c r="EH150" i="11"/>
  <c r="EI150" i="11"/>
  <c r="EJ150" i="11"/>
  <c r="EK150" i="11"/>
  <c r="EL150" i="11"/>
  <c r="EM150" i="11"/>
  <c r="EN150" i="11"/>
  <c r="EO150" i="11"/>
  <c r="EP150" i="11"/>
  <c r="EQ150" i="11"/>
  <c r="ER150" i="11"/>
  <c r="ES150" i="11"/>
  <c r="ET150" i="11"/>
  <c r="EU150" i="11"/>
  <c r="EV150" i="11"/>
  <c r="EW150" i="11"/>
  <c r="EX150" i="11"/>
  <c r="EY150" i="11"/>
  <c r="EZ150" i="11"/>
  <c r="FA150" i="11"/>
  <c r="FB150" i="11"/>
  <c r="FC150" i="11"/>
  <c r="FD150" i="11"/>
  <c r="FE150" i="11"/>
  <c r="FF150" i="11"/>
  <c r="FG150" i="11"/>
  <c r="FH150" i="11"/>
  <c r="FI150" i="11"/>
  <c r="FJ150" i="11"/>
  <c r="FK150" i="11"/>
  <c r="FL150" i="11"/>
  <c r="FM150" i="11"/>
  <c r="FN150" i="11"/>
  <c r="FO150" i="11"/>
  <c r="FP150" i="11"/>
  <c r="FQ150" i="11"/>
  <c r="FR150" i="11"/>
  <c r="FS150" i="11"/>
  <c r="FT150" i="11"/>
  <c r="FU150" i="11"/>
  <c r="FV150" i="11"/>
  <c r="FW150" i="11"/>
  <c r="FX150" i="11"/>
  <c r="FY150" i="11"/>
  <c r="FZ150" i="11"/>
  <c r="GA150" i="11"/>
  <c r="GB150" i="11"/>
  <c r="GC150" i="11"/>
  <c r="GD150" i="11"/>
  <c r="GE150" i="11"/>
  <c r="GF150" i="11"/>
  <c r="GG150" i="11"/>
  <c r="GH150" i="11"/>
  <c r="GI150" i="11"/>
  <c r="GJ150" i="11"/>
  <c r="GK150" i="11"/>
  <c r="GL150" i="11"/>
  <c r="GM150" i="11"/>
  <c r="GN150" i="11"/>
  <c r="GO150" i="11"/>
  <c r="GP150" i="11"/>
  <c r="GQ150" i="11"/>
  <c r="GR150" i="11"/>
  <c r="GS150" i="11"/>
  <c r="GT150" i="11"/>
  <c r="GU150" i="11"/>
  <c r="GV150" i="11"/>
  <c r="GW150" i="11"/>
  <c r="GX150" i="11"/>
  <c r="GY150" i="11"/>
  <c r="GZ150" i="11"/>
  <c r="HA150" i="11"/>
  <c r="HB150" i="11"/>
  <c r="HC150" i="11"/>
  <c r="HD150" i="11"/>
  <c r="HE150" i="11"/>
  <c r="HF150" i="11"/>
  <c r="HG150" i="11"/>
  <c r="HH150" i="11"/>
  <c r="HI150" i="11"/>
  <c r="HJ150" i="11"/>
  <c r="HK150" i="11"/>
  <c r="HL150" i="11"/>
  <c r="HM150" i="11"/>
  <c r="HN150" i="11"/>
  <c r="HO150" i="11"/>
  <c r="HP150" i="11"/>
  <c r="HQ150" i="11"/>
  <c r="HR150" i="11"/>
  <c r="HS150" i="11"/>
  <c r="HT150" i="11"/>
  <c r="HU150" i="11"/>
  <c r="HV150" i="11"/>
  <c r="HW150" i="11"/>
  <c r="HX150" i="11"/>
  <c r="HY150" i="11"/>
  <c r="HZ150" i="11"/>
  <c r="IA150" i="11"/>
  <c r="IB150" i="11"/>
  <c r="IC150" i="11"/>
  <c r="ID150" i="11"/>
  <c r="IE150" i="11"/>
  <c r="IF150" i="11"/>
  <c r="IG150" i="11"/>
  <c r="IH150" i="11"/>
  <c r="II150" i="11"/>
  <c r="IJ150" i="11"/>
  <c r="IK150" i="11"/>
  <c r="IL150" i="11"/>
  <c r="IM150" i="11"/>
  <c r="IN150" i="11"/>
  <c r="IO150" i="11"/>
  <c r="IP150" i="11"/>
  <c r="IQ150" i="11"/>
  <c r="IR150" i="11"/>
  <c r="IS150" i="11"/>
  <c r="IT150" i="11"/>
  <c r="IU150" i="11"/>
  <c r="IV150" i="11"/>
  <c r="F151" i="11"/>
  <c r="G151" i="11"/>
  <c r="H151" i="11"/>
  <c r="I151" i="11"/>
  <c r="J151" i="11"/>
  <c r="K151" i="11"/>
  <c r="L151" i="11"/>
  <c r="M151" i="11"/>
  <c r="N151" i="11"/>
  <c r="O151" i="11"/>
  <c r="P151" i="11"/>
  <c r="Q151" i="11"/>
  <c r="R151" i="11"/>
  <c r="S151" i="11"/>
  <c r="T151" i="11"/>
  <c r="U151" i="11"/>
  <c r="V151" i="11"/>
  <c r="W151" i="11"/>
  <c r="X151" i="11"/>
  <c r="Y151" i="11"/>
  <c r="Z151" i="11"/>
  <c r="AA151" i="11"/>
  <c r="AB151" i="11"/>
  <c r="AC151" i="11"/>
  <c r="AD151" i="11"/>
  <c r="AE151" i="11"/>
  <c r="AF151" i="11"/>
  <c r="AG151" i="11"/>
  <c r="AH151" i="11"/>
  <c r="AI151" i="11"/>
  <c r="AJ151" i="11"/>
  <c r="AK151" i="11"/>
  <c r="AL151" i="11"/>
  <c r="AM151" i="11"/>
  <c r="AN151" i="11"/>
  <c r="AO151" i="11"/>
  <c r="AP151" i="11"/>
  <c r="AQ151" i="11"/>
  <c r="AR151" i="11"/>
  <c r="AS151" i="11"/>
  <c r="AT151" i="11"/>
  <c r="AU151" i="11"/>
  <c r="AV151" i="11"/>
  <c r="AW151" i="11"/>
  <c r="AX151" i="11"/>
  <c r="AY151" i="11"/>
  <c r="AZ151" i="11"/>
  <c r="BA151" i="11"/>
  <c r="BB151" i="11"/>
  <c r="BC151" i="11"/>
  <c r="BD151" i="11"/>
  <c r="BE151" i="11"/>
  <c r="BF151" i="11"/>
  <c r="BG151" i="11"/>
  <c r="BH151" i="11"/>
  <c r="BI151" i="11"/>
  <c r="BJ151" i="11"/>
  <c r="BK151" i="11"/>
  <c r="BL151" i="11"/>
  <c r="BM151" i="11"/>
  <c r="BN151" i="11"/>
  <c r="BO151" i="11"/>
  <c r="BP151" i="11"/>
  <c r="BQ151" i="11"/>
  <c r="BR151" i="11"/>
  <c r="BS151" i="11"/>
  <c r="BT151" i="11"/>
  <c r="BU151" i="11"/>
  <c r="BV151" i="11"/>
  <c r="BW151" i="11"/>
  <c r="BX151" i="11"/>
  <c r="BY151" i="11"/>
  <c r="BZ151" i="11"/>
  <c r="CA151" i="11"/>
  <c r="CB151" i="11"/>
  <c r="CC151" i="11"/>
  <c r="CD151" i="11"/>
  <c r="CE151" i="11"/>
  <c r="CF151" i="11"/>
  <c r="CG151" i="11"/>
  <c r="CH151" i="11"/>
  <c r="CI151" i="11"/>
  <c r="CJ151" i="11"/>
  <c r="CK151" i="11"/>
  <c r="CL151" i="11"/>
  <c r="CM151" i="11"/>
  <c r="CN151" i="11"/>
  <c r="CO151" i="11"/>
  <c r="CP151" i="11"/>
  <c r="CQ151" i="11"/>
  <c r="CR151" i="11"/>
  <c r="CS151" i="11"/>
  <c r="CT151" i="11"/>
  <c r="CU151" i="11"/>
  <c r="CV151" i="11"/>
  <c r="CW151" i="11"/>
  <c r="CX151" i="11"/>
  <c r="CY151" i="11"/>
  <c r="CZ151" i="11"/>
  <c r="DA151" i="11"/>
  <c r="DB151" i="11"/>
  <c r="DC151" i="11"/>
  <c r="DD151" i="11"/>
  <c r="DE151" i="11"/>
  <c r="DF151" i="11"/>
  <c r="DG151" i="11"/>
  <c r="DH151" i="11"/>
  <c r="DI151" i="11"/>
  <c r="DJ151" i="11"/>
  <c r="DK151" i="11"/>
  <c r="DL151" i="11"/>
  <c r="DM151" i="11"/>
  <c r="DN151" i="11"/>
  <c r="DO151" i="11"/>
  <c r="DP151" i="11"/>
  <c r="DQ151" i="11"/>
  <c r="DR151" i="11"/>
  <c r="DS151" i="11"/>
  <c r="DT151" i="11"/>
  <c r="DU151" i="11"/>
  <c r="DV151" i="11"/>
  <c r="DW151" i="11"/>
  <c r="DX151" i="11"/>
  <c r="DY151" i="11"/>
  <c r="DZ151" i="11"/>
  <c r="EA151" i="11"/>
  <c r="EB151" i="11"/>
  <c r="EC151" i="11"/>
  <c r="ED151" i="11"/>
  <c r="EE151" i="11"/>
  <c r="EF151" i="11"/>
  <c r="EG151" i="11"/>
  <c r="EH151" i="11"/>
  <c r="EI151" i="11"/>
  <c r="EJ151" i="11"/>
  <c r="EK151" i="11"/>
  <c r="EL151" i="11"/>
  <c r="EM151" i="11"/>
  <c r="EN151" i="11"/>
  <c r="EO151" i="11"/>
  <c r="EP151" i="11"/>
  <c r="EQ151" i="11"/>
  <c r="ER151" i="11"/>
  <c r="ES151" i="11"/>
  <c r="ET151" i="11"/>
  <c r="EU151" i="11"/>
  <c r="EV151" i="11"/>
  <c r="EW151" i="11"/>
  <c r="EX151" i="11"/>
  <c r="EY151" i="11"/>
  <c r="EZ151" i="11"/>
  <c r="FA151" i="11"/>
  <c r="FB151" i="11"/>
  <c r="FC151" i="11"/>
  <c r="FD151" i="11"/>
  <c r="FE151" i="11"/>
  <c r="FF151" i="11"/>
  <c r="FG151" i="11"/>
  <c r="FH151" i="11"/>
  <c r="FI151" i="11"/>
  <c r="FJ151" i="11"/>
  <c r="FK151" i="11"/>
  <c r="FL151" i="11"/>
  <c r="FM151" i="11"/>
  <c r="FN151" i="11"/>
  <c r="FO151" i="11"/>
  <c r="FP151" i="11"/>
  <c r="FQ151" i="11"/>
  <c r="FR151" i="11"/>
  <c r="FS151" i="11"/>
  <c r="FT151" i="11"/>
  <c r="FU151" i="11"/>
  <c r="FV151" i="11"/>
  <c r="FW151" i="11"/>
  <c r="FX151" i="11"/>
  <c r="FY151" i="11"/>
  <c r="FZ151" i="11"/>
  <c r="GA151" i="11"/>
  <c r="GB151" i="11"/>
  <c r="GC151" i="11"/>
  <c r="GD151" i="11"/>
  <c r="GE151" i="11"/>
  <c r="GF151" i="11"/>
  <c r="GG151" i="11"/>
  <c r="GH151" i="11"/>
  <c r="GI151" i="11"/>
  <c r="GJ151" i="11"/>
  <c r="GK151" i="11"/>
  <c r="GL151" i="11"/>
  <c r="GM151" i="11"/>
  <c r="GN151" i="11"/>
  <c r="GO151" i="11"/>
  <c r="GP151" i="11"/>
  <c r="GQ151" i="11"/>
  <c r="GR151" i="11"/>
  <c r="GS151" i="11"/>
  <c r="GT151" i="11"/>
  <c r="GU151" i="11"/>
  <c r="GV151" i="11"/>
  <c r="GW151" i="11"/>
  <c r="GX151" i="11"/>
  <c r="GY151" i="11"/>
  <c r="GZ151" i="11"/>
  <c r="HA151" i="11"/>
  <c r="HB151" i="11"/>
  <c r="HC151" i="11"/>
  <c r="HD151" i="11"/>
  <c r="HE151" i="11"/>
  <c r="HF151" i="11"/>
  <c r="HG151" i="11"/>
  <c r="HH151" i="11"/>
  <c r="HI151" i="11"/>
  <c r="HJ151" i="11"/>
  <c r="HK151" i="11"/>
  <c r="HL151" i="11"/>
  <c r="HM151" i="11"/>
  <c r="HN151" i="11"/>
  <c r="HO151" i="11"/>
  <c r="HP151" i="11"/>
  <c r="HQ151" i="11"/>
  <c r="HR151" i="11"/>
  <c r="HS151" i="11"/>
  <c r="HT151" i="11"/>
  <c r="HU151" i="11"/>
  <c r="HV151" i="11"/>
  <c r="HW151" i="11"/>
  <c r="HX151" i="11"/>
  <c r="HY151" i="11"/>
  <c r="HZ151" i="11"/>
  <c r="IA151" i="11"/>
  <c r="IB151" i="11"/>
  <c r="IC151" i="11"/>
  <c r="ID151" i="11"/>
  <c r="IE151" i="11"/>
  <c r="IF151" i="11"/>
  <c r="IG151" i="11"/>
  <c r="IH151" i="11"/>
  <c r="II151" i="11"/>
  <c r="IJ151" i="11"/>
  <c r="IK151" i="11"/>
  <c r="IL151" i="11"/>
  <c r="IM151" i="11"/>
  <c r="IN151" i="11"/>
  <c r="IO151" i="11"/>
  <c r="IP151" i="11"/>
  <c r="IQ151" i="11"/>
  <c r="IR151" i="11"/>
  <c r="IS151" i="11"/>
  <c r="IT151" i="11"/>
  <c r="IU151" i="11"/>
  <c r="IV151" i="11"/>
  <c r="F152" i="11"/>
  <c r="G152" i="11"/>
  <c r="H152" i="11"/>
  <c r="I152" i="11"/>
  <c r="J152" i="11"/>
  <c r="K152" i="11"/>
  <c r="L152" i="11"/>
  <c r="M152" i="11"/>
  <c r="N152" i="11"/>
  <c r="O152" i="11"/>
  <c r="P152" i="11"/>
  <c r="Q152" i="11"/>
  <c r="R152" i="11"/>
  <c r="S152" i="11"/>
  <c r="T152" i="11"/>
  <c r="U152" i="11"/>
  <c r="V152" i="11"/>
  <c r="W152" i="11"/>
  <c r="X152" i="11"/>
  <c r="Y152" i="11"/>
  <c r="Z152" i="11"/>
  <c r="AA152" i="11"/>
  <c r="AB152" i="11"/>
  <c r="AC152" i="11"/>
  <c r="AD152" i="11"/>
  <c r="AE152" i="11"/>
  <c r="AF152" i="11"/>
  <c r="AG152" i="11"/>
  <c r="AH152" i="11"/>
  <c r="AI152" i="11"/>
  <c r="AJ152" i="11"/>
  <c r="AK152" i="11"/>
  <c r="AL152" i="11"/>
  <c r="AM152" i="11"/>
  <c r="AN152" i="11"/>
  <c r="AO152" i="11"/>
  <c r="AP152" i="11"/>
  <c r="AQ152" i="11"/>
  <c r="AR152" i="11"/>
  <c r="AS152" i="11"/>
  <c r="AT152" i="11"/>
  <c r="AU152" i="11"/>
  <c r="AV152" i="11"/>
  <c r="AW152" i="11"/>
  <c r="AX152" i="11"/>
  <c r="AY152" i="11"/>
  <c r="AZ152" i="11"/>
  <c r="BA152" i="11"/>
  <c r="BB152" i="11"/>
  <c r="BC152" i="11"/>
  <c r="BD152" i="11"/>
  <c r="BE152" i="11"/>
  <c r="BF152" i="11"/>
  <c r="BG152" i="11"/>
  <c r="BH152" i="11"/>
  <c r="BI152" i="11"/>
  <c r="BJ152" i="11"/>
  <c r="BK152" i="11"/>
  <c r="BL152" i="11"/>
  <c r="BM152" i="11"/>
  <c r="BN152" i="11"/>
  <c r="BO152" i="11"/>
  <c r="BP152" i="11"/>
  <c r="BQ152" i="11"/>
  <c r="BR152" i="11"/>
  <c r="BS152" i="11"/>
  <c r="BT152" i="11"/>
  <c r="BU152" i="11"/>
  <c r="BV152" i="11"/>
  <c r="BW152" i="11"/>
  <c r="BX152" i="11"/>
  <c r="BY152" i="11"/>
  <c r="BZ152" i="11"/>
  <c r="CA152" i="11"/>
  <c r="CB152" i="11"/>
  <c r="CC152" i="11"/>
  <c r="CD152" i="11"/>
  <c r="CE152" i="11"/>
  <c r="CF152" i="11"/>
  <c r="CG152" i="11"/>
  <c r="CH152" i="11"/>
  <c r="CI152" i="11"/>
  <c r="CJ152" i="11"/>
  <c r="CK152" i="11"/>
  <c r="CL152" i="11"/>
  <c r="CM152" i="11"/>
  <c r="CN152" i="11"/>
  <c r="CO152" i="11"/>
  <c r="CP152" i="11"/>
  <c r="CQ152" i="11"/>
  <c r="CR152" i="11"/>
  <c r="CS152" i="11"/>
  <c r="CT152" i="11"/>
  <c r="CU152" i="11"/>
  <c r="CV152" i="11"/>
  <c r="CW152" i="11"/>
  <c r="CX152" i="11"/>
  <c r="CY152" i="11"/>
  <c r="CZ152" i="11"/>
  <c r="DA152" i="11"/>
  <c r="DB152" i="11"/>
  <c r="DC152" i="11"/>
  <c r="DD152" i="11"/>
  <c r="DE152" i="11"/>
  <c r="DF152" i="11"/>
  <c r="DG152" i="11"/>
  <c r="DH152" i="11"/>
  <c r="DI152" i="11"/>
  <c r="DJ152" i="11"/>
  <c r="DK152" i="11"/>
  <c r="DL152" i="11"/>
  <c r="DM152" i="11"/>
  <c r="DN152" i="11"/>
  <c r="DO152" i="11"/>
  <c r="DP152" i="11"/>
  <c r="DQ152" i="11"/>
  <c r="DR152" i="11"/>
  <c r="DS152" i="11"/>
  <c r="DT152" i="11"/>
  <c r="DU152" i="11"/>
  <c r="DV152" i="11"/>
  <c r="DW152" i="11"/>
  <c r="DX152" i="11"/>
  <c r="DY152" i="11"/>
  <c r="DZ152" i="11"/>
  <c r="EA152" i="11"/>
  <c r="EB152" i="11"/>
  <c r="EC152" i="11"/>
  <c r="ED152" i="11"/>
  <c r="EE152" i="11"/>
  <c r="EF152" i="11"/>
  <c r="EG152" i="11"/>
  <c r="EH152" i="11"/>
  <c r="EI152" i="11"/>
  <c r="EJ152" i="11"/>
  <c r="EK152" i="11"/>
  <c r="EL152" i="11"/>
  <c r="EM152" i="11"/>
  <c r="EN152" i="11"/>
  <c r="EO152" i="11"/>
  <c r="EP152" i="11"/>
  <c r="EQ152" i="11"/>
  <c r="ER152" i="11"/>
  <c r="ES152" i="11"/>
  <c r="ET152" i="11"/>
  <c r="EU152" i="11"/>
  <c r="EV152" i="11"/>
  <c r="EW152" i="11"/>
  <c r="EX152" i="11"/>
  <c r="EY152" i="11"/>
  <c r="EZ152" i="11"/>
  <c r="FA152" i="11"/>
  <c r="FB152" i="11"/>
  <c r="FC152" i="11"/>
  <c r="FD152" i="11"/>
  <c r="FE152" i="11"/>
  <c r="FF152" i="11"/>
  <c r="FG152" i="11"/>
  <c r="FH152" i="11"/>
  <c r="FI152" i="11"/>
  <c r="FJ152" i="11"/>
  <c r="FK152" i="11"/>
  <c r="FL152" i="11"/>
  <c r="FM152" i="11"/>
  <c r="FN152" i="11"/>
  <c r="FO152" i="11"/>
  <c r="FP152" i="11"/>
  <c r="FQ152" i="11"/>
  <c r="FR152" i="11"/>
  <c r="FS152" i="11"/>
  <c r="FT152" i="11"/>
  <c r="FU152" i="11"/>
  <c r="FV152" i="11"/>
  <c r="FW152" i="11"/>
  <c r="FX152" i="11"/>
  <c r="FY152" i="11"/>
  <c r="FZ152" i="11"/>
  <c r="GA152" i="11"/>
  <c r="GB152" i="11"/>
  <c r="GC152" i="11"/>
  <c r="GD152" i="11"/>
  <c r="GE152" i="11"/>
  <c r="GF152" i="11"/>
  <c r="GG152" i="11"/>
  <c r="GH152" i="11"/>
  <c r="GI152" i="11"/>
  <c r="GJ152" i="11"/>
  <c r="GK152" i="11"/>
  <c r="GL152" i="11"/>
  <c r="GM152" i="11"/>
  <c r="GN152" i="11"/>
  <c r="GO152" i="11"/>
  <c r="GP152" i="11"/>
  <c r="GQ152" i="11"/>
  <c r="GR152" i="11"/>
  <c r="GS152" i="11"/>
  <c r="GT152" i="11"/>
  <c r="GU152" i="11"/>
  <c r="GV152" i="11"/>
  <c r="GW152" i="11"/>
  <c r="GX152" i="11"/>
  <c r="GY152" i="11"/>
  <c r="GZ152" i="11"/>
  <c r="HA152" i="11"/>
  <c r="HB152" i="11"/>
  <c r="HC152" i="11"/>
  <c r="HD152" i="11"/>
  <c r="HE152" i="11"/>
  <c r="HF152" i="11"/>
  <c r="HG152" i="11"/>
  <c r="HH152" i="11"/>
  <c r="HI152" i="11"/>
  <c r="HJ152" i="11"/>
  <c r="HK152" i="11"/>
  <c r="HL152" i="11"/>
  <c r="HM152" i="11"/>
  <c r="HN152" i="11"/>
  <c r="HO152" i="11"/>
  <c r="HP152" i="11"/>
  <c r="HQ152" i="11"/>
  <c r="HR152" i="11"/>
  <c r="HS152" i="11"/>
  <c r="HT152" i="11"/>
  <c r="HU152" i="11"/>
  <c r="HV152" i="11"/>
  <c r="HW152" i="11"/>
  <c r="HX152" i="11"/>
  <c r="HY152" i="11"/>
  <c r="HZ152" i="11"/>
  <c r="IA152" i="11"/>
  <c r="IB152" i="11"/>
  <c r="IC152" i="11"/>
  <c r="ID152" i="11"/>
  <c r="IE152" i="11"/>
  <c r="IF152" i="11"/>
  <c r="IG152" i="11"/>
  <c r="IH152" i="11"/>
  <c r="II152" i="11"/>
  <c r="IJ152" i="11"/>
  <c r="IK152" i="11"/>
  <c r="IL152" i="11"/>
  <c r="IM152" i="11"/>
  <c r="IN152" i="11"/>
  <c r="IO152" i="11"/>
  <c r="IP152" i="11"/>
  <c r="IQ152" i="11"/>
  <c r="IR152" i="11"/>
  <c r="IS152" i="11"/>
  <c r="IT152" i="11"/>
  <c r="IU152" i="11"/>
  <c r="IV152" i="11"/>
  <c r="F153" i="11"/>
  <c r="G153" i="11"/>
  <c r="H153" i="11"/>
  <c r="I153" i="11"/>
  <c r="J153" i="11"/>
  <c r="K153" i="11"/>
  <c r="L153" i="11"/>
  <c r="M153" i="11"/>
  <c r="N153" i="11"/>
  <c r="O153" i="11"/>
  <c r="P153" i="11"/>
  <c r="Q153" i="11"/>
  <c r="R153" i="11"/>
  <c r="S153" i="11"/>
  <c r="T153" i="11"/>
  <c r="U153" i="11"/>
  <c r="V153" i="11"/>
  <c r="W153" i="11"/>
  <c r="X153" i="11"/>
  <c r="Y153" i="11"/>
  <c r="Z153" i="11"/>
  <c r="AA153" i="11"/>
  <c r="AB153" i="11"/>
  <c r="AC153" i="11"/>
  <c r="AD153" i="11"/>
  <c r="AE153" i="11"/>
  <c r="AF153" i="11"/>
  <c r="AG153" i="11"/>
  <c r="AH153" i="11"/>
  <c r="AI153" i="11"/>
  <c r="AJ153" i="11"/>
  <c r="AK153" i="11"/>
  <c r="AL153" i="11"/>
  <c r="AM153" i="11"/>
  <c r="AN153" i="11"/>
  <c r="AO153" i="11"/>
  <c r="AP153" i="11"/>
  <c r="AQ153" i="11"/>
  <c r="AR153" i="11"/>
  <c r="AS153" i="11"/>
  <c r="AT153" i="11"/>
  <c r="AU153" i="11"/>
  <c r="AV153" i="11"/>
  <c r="AW153" i="11"/>
  <c r="AX153" i="11"/>
  <c r="AY153" i="11"/>
  <c r="AZ153" i="11"/>
  <c r="BA153" i="11"/>
  <c r="BB153" i="11"/>
  <c r="BC153" i="11"/>
  <c r="BD153" i="11"/>
  <c r="BE153" i="11"/>
  <c r="BF153" i="11"/>
  <c r="BG153" i="11"/>
  <c r="BH153" i="11"/>
  <c r="BI153" i="11"/>
  <c r="BJ153" i="11"/>
  <c r="BK153" i="11"/>
  <c r="BL153" i="11"/>
  <c r="BM153" i="11"/>
  <c r="BN153" i="11"/>
  <c r="BO153" i="11"/>
  <c r="BP153" i="11"/>
  <c r="BQ153" i="11"/>
  <c r="BR153" i="11"/>
  <c r="BS153" i="11"/>
  <c r="BT153" i="11"/>
  <c r="BU153" i="11"/>
  <c r="BV153" i="11"/>
  <c r="BW153" i="11"/>
  <c r="BX153" i="11"/>
  <c r="BY153" i="11"/>
  <c r="BZ153" i="11"/>
  <c r="CA153" i="11"/>
  <c r="CB153" i="11"/>
  <c r="CC153" i="11"/>
  <c r="CD153" i="11"/>
  <c r="CE153" i="11"/>
  <c r="CF153" i="11"/>
  <c r="CG153" i="11"/>
  <c r="CH153" i="11"/>
  <c r="CI153" i="11"/>
  <c r="CJ153" i="11"/>
  <c r="CK153" i="11"/>
  <c r="CL153" i="11"/>
  <c r="CM153" i="11"/>
  <c r="CN153" i="11"/>
  <c r="CO153" i="11"/>
  <c r="CP153" i="11"/>
  <c r="CQ153" i="11"/>
  <c r="CR153" i="11"/>
  <c r="CS153" i="11"/>
  <c r="CT153" i="11"/>
  <c r="CU153" i="11"/>
  <c r="CV153" i="11"/>
  <c r="CW153" i="11"/>
  <c r="CX153" i="11"/>
  <c r="CY153" i="11"/>
  <c r="CZ153" i="11"/>
  <c r="DA153" i="11"/>
  <c r="DB153" i="11"/>
  <c r="DC153" i="11"/>
  <c r="DD153" i="11"/>
  <c r="DE153" i="11"/>
  <c r="DF153" i="11"/>
  <c r="DG153" i="11"/>
  <c r="DH153" i="11"/>
  <c r="DI153" i="11"/>
  <c r="DJ153" i="11"/>
  <c r="DK153" i="11"/>
  <c r="DL153" i="11"/>
  <c r="DM153" i="11"/>
  <c r="DN153" i="11"/>
  <c r="DO153" i="11"/>
  <c r="DP153" i="11"/>
  <c r="DQ153" i="11"/>
  <c r="DR153" i="11"/>
  <c r="DS153" i="11"/>
  <c r="DT153" i="11"/>
  <c r="DU153" i="11"/>
  <c r="DV153" i="11"/>
  <c r="DW153" i="11"/>
  <c r="DX153" i="11"/>
  <c r="DY153" i="11"/>
  <c r="DZ153" i="11"/>
  <c r="EA153" i="11"/>
  <c r="EB153" i="11"/>
  <c r="EC153" i="11"/>
  <c r="ED153" i="11"/>
  <c r="EE153" i="11"/>
  <c r="EF153" i="11"/>
  <c r="EG153" i="11"/>
  <c r="EH153" i="11"/>
  <c r="EI153" i="11"/>
  <c r="EJ153" i="11"/>
  <c r="EK153" i="11"/>
  <c r="EL153" i="11"/>
  <c r="EM153" i="11"/>
  <c r="EN153" i="11"/>
  <c r="EO153" i="11"/>
  <c r="EP153" i="11"/>
  <c r="EQ153" i="11"/>
  <c r="ER153" i="11"/>
  <c r="ES153" i="11"/>
  <c r="ET153" i="11"/>
  <c r="EU153" i="11"/>
  <c r="EV153" i="11"/>
  <c r="EW153" i="11"/>
  <c r="EX153" i="11"/>
  <c r="EY153" i="11"/>
  <c r="EZ153" i="11"/>
  <c r="FA153" i="11"/>
  <c r="FB153" i="11"/>
  <c r="FC153" i="11"/>
  <c r="FD153" i="11"/>
  <c r="FE153" i="11"/>
  <c r="FF153" i="11"/>
  <c r="FG153" i="11"/>
  <c r="FH153" i="11"/>
  <c r="FI153" i="11"/>
  <c r="FJ153" i="11"/>
  <c r="FK153" i="11"/>
  <c r="FL153" i="11"/>
  <c r="FM153" i="11"/>
  <c r="FN153" i="11"/>
  <c r="FO153" i="11"/>
  <c r="FP153" i="11"/>
  <c r="FQ153" i="11"/>
  <c r="FR153" i="11"/>
  <c r="FS153" i="11"/>
  <c r="FT153" i="11"/>
  <c r="FU153" i="11"/>
  <c r="FV153" i="11"/>
  <c r="FW153" i="11"/>
  <c r="FX153" i="11"/>
  <c r="FY153" i="11"/>
  <c r="FZ153" i="11"/>
  <c r="GA153" i="11"/>
  <c r="GB153" i="11"/>
  <c r="GC153" i="11"/>
  <c r="GD153" i="11"/>
  <c r="GE153" i="11"/>
  <c r="GF153" i="11"/>
  <c r="GG153" i="11"/>
  <c r="GH153" i="11"/>
  <c r="GI153" i="11"/>
  <c r="GJ153" i="11"/>
  <c r="GK153" i="11"/>
  <c r="GL153" i="11"/>
  <c r="GM153" i="11"/>
  <c r="GN153" i="11"/>
  <c r="GO153" i="11"/>
  <c r="GP153" i="11"/>
  <c r="GQ153" i="11"/>
  <c r="GR153" i="11"/>
  <c r="GS153" i="11"/>
  <c r="GT153" i="11"/>
  <c r="GU153" i="11"/>
  <c r="GV153" i="11"/>
  <c r="GW153" i="11"/>
  <c r="GX153" i="11"/>
  <c r="GY153" i="11"/>
  <c r="GZ153" i="11"/>
  <c r="HA153" i="11"/>
  <c r="HB153" i="11"/>
  <c r="HC153" i="11"/>
  <c r="HD153" i="11"/>
  <c r="HE153" i="11"/>
  <c r="HF153" i="11"/>
  <c r="HG153" i="11"/>
  <c r="HH153" i="11"/>
  <c r="HI153" i="11"/>
  <c r="HJ153" i="11"/>
  <c r="HK153" i="11"/>
  <c r="HL153" i="11"/>
  <c r="HM153" i="11"/>
  <c r="HN153" i="11"/>
  <c r="HO153" i="11"/>
  <c r="HP153" i="11"/>
  <c r="HQ153" i="11"/>
  <c r="HR153" i="11"/>
  <c r="HS153" i="11"/>
  <c r="HT153" i="11"/>
  <c r="HU153" i="11"/>
  <c r="HV153" i="11"/>
  <c r="HW153" i="11"/>
  <c r="HX153" i="11"/>
  <c r="HY153" i="11"/>
  <c r="HZ153" i="11"/>
  <c r="IA153" i="11"/>
  <c r="IB153" i="11"/>
  <c r="IC153" i="11"/>
  <c r="ID153" i="11"/>
  <c r="IE153" i="11"/>
  <c r="IF153" i="11"/>
  <c r="IG153" i="11"/>
  <c r="IH153" i="11"/>
  <c r="II153" i="11"/>
  <c r="IJ153" i="11"/>
  <c r="IK153" i="11"/>
  <c r="IL153" i="11"/>
  <c r="IM153" i="11"/>
  <c r="IN153" i="11"/>
  <c r="IO153" i="11"/>
  <c r="IP153" i="11"/>
  <c r="IQ153" i="11"/>
  <c r="IR153" i="11"/>
  <c r="IS153" i="11"/>
  <c r="IT153" i="11"/>
  <c r="IU153" i="11"/>
  <c r="IV153" i="11"/>
  <c r="F154" i="11"/>
  <c r="G154" i="11"/>
  <c r="H154" i="11"/>
  <c r="I154" i="11"/>
  <c r="J154" i="11"/>
  <c r="K154" i="11"/>
  <c r="L154" i="11"/>
  <c r="M154" i="11"/>
  <c r="N154" i="11"/>
  <c r="O154" i="11"/>
  <c r="P154" i="11"/>
  <c r="Q154" i="11"/>
  <c r="R154" i="11"/>
  <c r="S154" i="11"/>
  <c r="T154" i="11"/>
  <c r="U154" i="11"/>
  <c r="V154" i="11"/>
  <c r="W154" i="11"/>
  <c r="X154" i="11"/>
  <c r="Y154" i="11"/>
  <c r="Z154" i="11"/>
  <c r="AA154" i="11"/>
  <c r="AB154" i="11"/>
  <c r="AC154" i="11"/>
  <c r="AD154" i="11"/>
  <c r="AE154" i="11"/>
  <c r="AF154" i="11"/>
  <c r="AG154" i="11"/>
  <c r="AH154" i="11"/>
  <c r="AI154" i="11"/>
  <c r="AJ154" i="11"/>
  <c r="AK154" i="11"/>
  <c r="AL154" i="11"/>
  <c r="AM154" i="11"/>
  <c r="AN154" i="11"/>
  <c r="AO154" i="11"/>
  <c r="AP154" i="11"/>
  <c r="AQ154" i="11"/>
  <c r="AR154" i="11"/>
  <c r="AS154" i="11"/>
  <c r="AT154" i="11"/>
  <c r="AU154" i="11"/>
  <c r="AV154" i="11"/>
  <c r="AW154" i="11"/>
  <c r="AX154" i="11"/>
  <c r="AY154" i="11"/>
  <c r="AZ154" i="11"/>
  <c r="BA154" i="11"/>
  <c r="BB154" i="11"/>
  <c r="BC154" i="11"/>
  <c r="BD154" i="11"/>
  <c r="BE154" i="11"/>
  <c r="BF154" i="11"/>
  <c r="BG154" i="11"/>
  <c r="BH154" i="11"/>
  <c r="BI154" i="11"/>
  <c r="BJ154" i="11"/>
  <c r="BK154" i="11"/>
  <c r="BL154" i="11"/>
  <c r="BM154" i="11"/>
  <c r="BN154" i="11"/>
  <c r="BO154" i="11"/>
  <c r="BP154" i="11"/>
  <c r="BQ154" i="11"/>
  <c r="BR154" i="11"/>
  <c r="BS154" i="11"/>
  <c r="BT154" i="11"/>
  <c r="BU154" i="11"/>
  <c r="BV154" i="11"/>
  <c r="BW154" i="11"/>
  <c r="BX154" i="11"/>
  <c r="BY154" i="11"/>
  <c r="BZ154" i="11"/>
  <c r="CA154" i="11"/>
  <c r="CB154" i="11"/>
  <c r="CC154" i="11"/>
  <c r="CD154" i="11"/>
  <c r="CE154" i="11"/>
  <c r="CF154" i="11"/>
  <c r="CG154" i="11"/>
  <c r="CH154" i="11"/>
  <c r="CI154" i="11"/>
  <c r="CJ154" i="11"/>
  <c r="CK154" i="11"/>
  <c r="CL154" i="11"/>
  <c r="CM154" i="11"/>
  <c r="CN154" i="11"/>
  <c r="CO154" i="11"/>
  <c r="CP154" i="11"/>
  <c r="CQ154" i="11"/>
  <c r="CR154" i="11"/>
  <c r="CS154" i="11"/>
  <c r="CT154" i="11"/>
  <c r="CU154" i="11"/>
  <c r="CV154" i="11"/>
  <c r="CW154" i="11"/>
  <c r="CX154" i="11"/>
  <c r="CY154" i="11"/>
  <c r="CZ154" i="11"/>
  <c r="DA154" i="11"/>
  <c r="DB154" i="11"/>
  <c r="DC154" i="11"/>
  <c r="DD154" i="11"/>
  <c r="DE154" i="11"/>
  <c r="DF154" i="11"/>
  <c r="DG154" i="11"/>
  <c r="DH154" i="11"/>
  <c r="DI154" i="11"/>
  <c r="DJ154" i="11"/>
  <c r="DK154" i="11"/>
  <c r="DL154" i="11"/>
  <c r="DM154" i="11"/>
  <c r="DN154" i="11"/>
  <c r="DO154" i="11"/>
  <c r="DP154" i="11"/>
  <c r="DQ154" i="11"/>
  <c r="DR154" i="11"/>
  <c r="DS154" i="11"/>
  <c r="DT154" i="11"/>
  <c r="DU154" i="11"/>
  <c r="DV154" i="11"/>
  <c r="DW154" i="11"/>
  <c r="DX154" i="11"/>
  <c r="DY154" i="11"/>
  <c r="DZ154" i="11"/>
  <c r="EA154" i="11"/>
  <c r="EB154" i="11"/>
  <c r="EC154" i="11"/>
  <c r="ED154" i="11"/>
  <c r="EE154" i="11"/>
  <c r="EF154" i="11"/>
  <c r="EG154" i="11"/>
  <c r="EH154" i="11"/>
  <c r="EI154" i="11"/>
  <c r="EJ154" i="11"/>
  <c r="EK154" i="11"/>
  <c r="EL154" i="11"/>
  <c r="EM154" i="11"/>
  <c r="EN154" i="11"/>
  <c r="EO154" i="11"/>
  <c r="EP154" i="11"/>
  <c r="EQ154" i="11"/>
  <c r="ER154" i="11"/>
  <c r="ES154" i="11"/>
  <c r="ET154" i="11"/>
  <c r="EU154" i="11"/>
  <c r="EV154" i="11"/>
  <c r="EW154" i="11"/>
  <c r="EX154" i="11"/>
  <c r="EY154" i="11"/>
  <c r="EZ154" i="11"/>
  <c r="FA154" i="11"/>
  <c r="FB154" i="11"/>
  <c r="FC154" i="11"/>
  <c r="FD154" i="11"/>
  <c r="FE154" i="11"/>
  <c r="FF154" i="11"/>
  <c r="FG154" i="11"/>
  <c r="FH154" i="11"/>
  <c r="FI154" i="11"/>
  <c r="FJ154" i="11"/>
  <c r="FK154" i="11"/>
  <c r="FL154" i="11"/>
  <c r="FM154" i="11"/>
  <c r="FN154" i="11"/>
  <c r="FO154" i="11"/>
  <c r="FP154" i="11"/>
  <c r="FQ154" i="11"/>
  <c r="FR154" i="11"/>
  <c r="FS154" i="11"/>
  <c r="FT154" i="11"/>
  <c r="FU154" i="11"/>
  <c r="FV154" i="11"/>
  <c r="FW154" i="11"/>
  <c r="FX154" i="11"/>
  <c r="FY154" i="11"/>
  <c r="FZ154" i="11"/>
  <c r="GA154" i="11"/>
  <c r="GB154" i="11"/>
  <c r="GC154" i="11"/>
  <c r="GD154" i="11"/>
  <c r="GE154" i="11"/>
  <c r="GF154" i="11"/>
  <c r="GG154" i="11"/>
  <c r="GH154" i="11"/>
  <c r="GI154" i="11"/>
  <c r="GJ154" i="11"/>
  <c r="GK154" i="11"/>
  <c r="GL154" i="11"/>
  <c r="GM154" i="11"/>
  <c r="GN154" i="11"/>
  <c r="GO154" i="11"/>
  <c r="GP154" i="11"/>
  <c r="GQ154" i="11"/>
  <c r="GR154" i="11"/>
  <c r="GS154" i="11"/>
  <c r="GT154" i="11"/>
  <c r="GU154" i="11"/>
  <c r="GV154" i="11"/>
  <c r="GW154" i="11"/>
  <c r="GX154" i="11"/>
  <c r="GY154" i="11"/>
  <c r="GZ154" i="11"/>
  <c r="HA154" i="11"/>
  <c r="HB154" i="11"/>
  <c r="HC154" i="11"/>
  <c r="HD154" i="11"/>
  <c r="HE154" i="11"/>
  <c r="HF154" i="11"/>
  <c r="HG154" i="11"/>
  <c r="HH154" i="11"/>
  <c r="HI154" i="11"/>
  <c r="HJ154" i="11"/>
  <c r="HK154" i="11"/>
  <c r="HL154" i="11"/>
  <c r="HM154" i="11"/>
  <c r="HN154" i="11"/>
  <c r="HO154" i="11"/>
  <c r="HP154" i="11"/>
  <c r="HQ154" i="11"/>
  <c r="HR154" i="11"/>
  <c r="HS154" i="11"/>
  <c r="HT154" i="11"/>
  <c r="HU154" i="11"/>
  <c r="HV154" i="11"/>
  <c r="HW154" i="11"/>
  <c r="HX154" i="11"/>
  <c r="HY154" i="11"/>
  <c r="HZ154" i="11"/>
  <c r="IA154" i="11"/>
  <c r="IB154" i="11"/>
  <c r="IC154" i="11"/>
  <c r="ID154" i="11"/>
  <c r="IE154" i="11"/>
  <c r="IF154" i="11"/>
  <c r="IG154" i="11"/>
  <c r="IH154" i="11"/>
  <c r="II154" i="11"/>
  <c r="IJ154" i="11"/>
  <c r="IK154" i="11"/>
  <c r="IL154" i="11"/>
  <c r="IM154" i="11"/>
  <c r="IN154" i="11"/>
  <c r="IO154" i="11"/>
  <c r="IP154" i="11"/>
  <c r="IQ154" i="11"/>
  <c r="IR154" i="11"/>
  <c r="IS154" i="11"/>
  <c r="IT154" i="11"/>
  <c r="IU154" i="11"/>
  <c r="IV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AC155" i="11"/>
  <c r="AD155" i="11"/>
  <c r="AE155" i="11"/>
  <c r="AF155" i="11"/>
  <c r="AG155" i="11"/>
  <c r="AH155" i="11"/>
  <c r="AI155" i="11"/>
  <c r="AJ155" i="11"/>
  <c r="AK155" i="11"/>
  <c r="AL155" i="11"/>
  <c r="AM155" i="11"/>
  <c r="AN155" i="11"/>
  <c r="AO155" i="11"/>
  <c r="AP155" i="11"/>
  <c r="AQ155" i="11"/>
  <c r="AR155" i="11"/>
  <c r="AS155" i="11"/>
  <c r="AT155" i="11"/>
  <c r="AU155" i="11"/>
  <c r="AV155" i="11"/>
  <c r="AW155" i="11"/>
  <c r="AX155" i="11"/>
  <c r="AY155" i="11"/>
  <c r="AZ155" i="11"/>
  <c r="BA155" i="11"/>
  <c r="BB155" i="11"/>
  <c r="BC155" i="11"/>
  <c r="BD155" i="11"/>
  <c r="BE155" i="11"/>
  <c r="BF155" i="11"/>
  <c r="BG155" i="11"/>
  <c r="BH155" i="11"/>
  <c r="BI155" i="11"/>
  <c r="BJ155" i="11"/>
  <c r="BK155" i="11"/>
  <c r="BL155" i="11"/>
  <c r="BM155" i="11"/>
  <c r="BN155" i="11"/>
  <c r="BO155" i="11"/>
  <c r="BP155" i="11"/>
  <c r="BQ155" i="11"/>
  <c r="BR155" i="11"/>
  <c r="BS155" i="11"/>
  <c r="BT155" i="11"/>
  <c r="BU155" i="11"/>
  <c r="BV155" i="11"/>
  <c r="BW155" i="11"/>
  <c r="BX155" i="11"/>
  <c r="BY155" i="11"/>
  <c r="BZ155" i="11"/>
  <c r="CA155" i="11"/>
  <c r="CB155" i="11"/>
  <c r="CC155" i="11"/>
  <c r="CD155" i="11"/>
  <c r="CE155" i="11"/>
  <c r="CF155" i="11"/>
  <c r="CG155" i="11"/>
  <c r="CH155" i="11"/>
  <c r="CI155" i="11"/>
  <c r="CJ155" i="11"/>
  <c r="CK155" i="11"/>
  <c r="CL155" i="11"/>
  <c r="CM155" i="11"/>
  <c r="CN155" i="11"/>
  <c r="CO155" i="11"/>
  <c r="CP155" i="11"/>
  <c r="CQ155" i="11"/>
  <c r="CR155" i="11"/>
  <c r="CS155" i="11"/>
  <c r="CT155" i="11"/>
  <c r="CU155" i="11"/>
  <c r="CV155" i="11"/>
  <c r="CW155" i="11"/>
  <c r="CX155" i="11"/>
  <c r="CY155" i="11"/>
  <c r="CZ155" i="11"/>
  <c r="DA155" i="11"/>
  <c r="DB155" i="11"/>
  <c r="DC155" i="11"/>
  <c r="DD155" i="11"/>
  <c r="DE155" i="11"/>
  <c r="DF155" i="11"/>
  <c r="DG155" i="11"/>
  <c r="DH155" i="11"/>
  <c r="DI155" i="11"/>
  <c r="DJ155" i="11"/>
  <c r="DK155" i="11"/>
  <c r="DL155" i="11"/>
  <c r="DM155" i="11"/>
  <c r="DN155" i="11"/>
  <c r="DO155" i="11"/>
  <c r="DP155" i="11"/>
  <c r="DQ155" i="11"/>
  <c r="DR155" i="11"/>
  <c r="DS155" i="11"/>
  <c r="DT155" i="11"/>
  <c r="DU155" i="11"/>
  <c r="DV155" i="11"/>
  <c r="DW155" i="11"/>
  <c r="DX155" i="11"/>
  <c r="DY155" i="11"/>
  <c r="DZ155" i="11"/>
  <c r="EA155" i="11"/>
  <c r="EB155" i="11"/>
  <c r="EC155" i="11"/>
  <c r="ED155" i="11"/>
  <c r="EE155" i="11"/>
  <c r="EF155" i="11"/>
  <c r="EG155" i="11"/>
  <c r="EH155" i="11"/>
  <c r="EI155" i="11"/>
  <c r="EJ155" i="11"/>
  <c r="EK155" i="11"/>
  <c r="EL155" i="11"/>
  <c r="EM155" i="11"/>
  <c r="EN155" i="11"/>
  <c r="EO155" i="11"/>
  <c r="EP155" i="11"/>
  <c r="EQ155" i="11"/>
  <c r="ER155" i="11"/>
  <c r="ES155" i="11"/>
  <c r="ET155" i="11"/>
  <c r="EU155" i="11"/>
  <c r="EV155" i="11"/>
  <c r="EW155" i="11"/>
  <c r="EX155" i="11"/>
  <c r="EY155" i="11"/>
  <c r="EZ155" i="11"/>
  <c r="FA155" i="11"/>
  <c r="FB155" i="11"/>
  <c r="FC155" i="11"/>
  <c r="FD155" i="11"/>
  <c r="FE155" i="11"/>
  <c r="FF155" i="11"/>
  <c r="FG155" i="11"/>
  <c r="FH155" i="11"/>
  <c r="FI155" i="11"/>
  <c r="FJ155" i="11"/>
  <c r="FK155" i="11"/>
  <c r="FL155" i="11"/>
  <c r="FM155" i="11"/>
  <c r="FN155" i="11"/>
  <c r="FO155" i="11"/>
  <c r="FP155" i="11"/>
  <c r="FQ155" i="11"/>
  <c r="FR155" i="11"/>
  <c r="FS155" i="11"/>
  <c r="FT155" i="11"/>
  <c r="FU155" i="11"/>
  <c r="FV155" i="11"/>
  <c r="FW155" i="11"/>
  <c r="FX155" i="11"/>
  <c r="FY155" i="11"/>
  <c r="FZ155" i="11"/>
  <c r="GA155" i="11"/>
  <c r="GB155" i="11"/>
  <c r="GC155" i="11"/>
  <c r="GD155" i="11"/>
  <c r="GE155" i="11"/>
  <c r="GF155" i="11"/>
  <c r="GG155" i="11"/>
  <c r="GH155" i="11"/>
  <c r="GI155" i="11"/>
  <c r="GJ155" i="11"/>
  <c r="GK155" i="11"/>
  <c r="GL155" i="11"/>
  <c r="GM155" i="11"/>
  <c r="GN155" i="11"/>
  <c r="GO155" i="11"/>
  <c r="GP155" i="11"/>
  <c r="GQ155" i="11"/>
  <c r="GR155" i="11"/>
  <c r="GS155" i="11"/>
  <c r="GT155" i="11"/>
  <c r="GU155" i="11"/>
  <c r="GV155" i="11"/>
  <c r="GW155" i="11"/>
  <c r="GX155" i="11"/>
  <c r="GY155" i="11"/>
  <c r="GZ155" i="11"/>
  <c r="HA155" i="11"/>
  <c r="HB155" i="11"/>
  <c r="HC155" i="11"/>
  <c r="HD155" i="11"/>
  <c r="HE155" i="11"/>
  <c r="HF155" i="11"/>
  <c r="HG155" i="11"/>
  <c r="HH155" i="11"/>
  <c r="HI155" i="11"/>
  <c r="HJ155" i="11"/>
  <c r="HK155" i="11"/>
  <c r="HL155" i="11"/>
  <c r="HM155" i="11"/>
  <c r="HN155" i="11"/>
  <c r="HO155" i="11"/>
  <c r="HP155" i="11"/>
  <c r="HQ155" i="11"/>
  <c r="HR155" i="11"/>
  <c r="HS155" i="11"/>
  <c r="HT155" i="11"/>
  <c r="HU155" i="11"/>
  <c r="HV155" i="11"/>
  <c r="HW155" i="11"/>
  <c r="HX155" i="11"/>
  <c r="HY155" i="11"/>
  <c r="HZ155" i="11"/>
  <c r="IA155" i="11"/>
  <c r="IB155" i="11"/>
  <c r="IC155" i="11"/>
  <c r="ID155" i="11"/>
  <c r="IE155" i="11"/>
  <c r="IF155" i="11"/>
  <c r="IG155" i="11"/>
  <c r="IH155" i="11"/>
  <c r="II155" i="11"/>
  <c r="IJ155" i="11"/>
  <c r="IK155" i="11"/>
  <c r="IL155" i="11"/>
  <c r="IM155" i="11"/>
  <c r="IN155" i="11"/>
  <c r="IO155" i="11"/>
  <c r="IP155" i="11"/>
  <c r="IQ155" i="11"/>
  <c r="IR155" i="11"/>
  <c r="IS155" i="11"/>
  <c r="IT155" i="11"/>
  <c r="IU155" i="11"/>
  <c r="IV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AC156" i="11"/>
  <c r="AD156" i="11"/>
  <c r="AE156" i="11"/>
  <c r="AF156" i="11"/>
  <c r="AG156" i="11"/>
  <c r="AH156" i="11"/>
  <c r="AI156" i="11"/>
  <c r="AJ156" i="11"/>
  <c r="AK156" i="11"/>
  <c r="AL156" i="11"/>
  <c r="AM156" i="11"/>
  <c r="AN156" i="11"/>
  <c r="AO156" i="11"/>
  <c r="AP156" i="11"/>
  <c r="AQ156" i="11"/>
  <c r="AR156" i="11"/>
  <c r="AS156" i="11"/>
  <c r="AT156" i="11"/>
  <c r="AU156" i="11"/>
  <c r="AV156" i="11"/>
  <c r="AW156" i="11"/>
  <c r="AX156" i="11"/>
  <c r="AY156" i="11"/>
  <c r="AZ156" i="11"/>
  <c r="BA156" i="11"/>
  <c r="BB156" i="11"/>
  <c r="BC156" i="11"/>
  <c r="BD156" i="11"/>
  <c r="BE156" i="11"/>
  <c r="BF156" i="11"/>
  <c r="BG156" i="11"/>
  <c r="BH156" i="11"/>
  <c r="BI156" i="11"/>
  <c r="BJ156" i="11"/>
  <c r="BK156" i="11"/>
  <c r="BL156" i="11"/>
  <c r="BM156" i="11"/>
  <c r="BN156" i="11"/>
  <c r="BO156" i="11"/>
  <c r="BP156" i="11"/>
  <c r="BQ156" i="11"/>
  <c r="BR156" i="11"/>
  <c r="BS156" i="11"/>
  <c r="BT156" i="11"/>
  <c r="BU156" i="11"/>
  <c r="BV156" i="11"/>
  <c r="BW156" i="11"/>
  <c r="BX156" i="11"/>
  <c r="BY156" i="11"/>
  <c r="BZ156" i="11"/>
  <c r="CA156" i="11"/>
  <c r="CB156" i="11"/>
  <c r="CC156" i="11"/>
  <c r="CD156" i="11"/>
  <c r="CE156" i="11"/>
  <c r="CF156" i="11"/>
  <c r="CG156" i="11"/>
  <c r="CH156" i="11"/>
  <c r="CI156" i="11"/>
  <c r="CJ156" i="11"/>
  <c r="CK156" i="11"/>
  <c r="CL156" i="11"/>
  <c r="CM156" i="11"/>
  <c r="CN156" i="11"/>
  <c r="CO156" i="11"/>
  <c r="CP156" i="11"/>
  <c r="CQ156" i="11"/>
  <c r="CR156" i="11"/>
  <c r="CS156" i="11"/>
  <c r="CT156" i="11"/>
  <c r="CU156" i="11"/>
  <c r="CV156" i="11"/>
  <c r="CW156" i="11"/>
  <c r="CX156" i="11"/>
  <c r="CY156" i="11"/>
  <c r="CZ156" i="11"/>
  <c r="DA156" i="11"/>
  <c r="DB156" i="11"/>
  <c r="DC156" i="11"/>
  <c r="DD156" i="11"/>
  <c r="DE156" i="11"/>
  <c r="DF156" i="11"/>
  <c r="DG156" i="11"/>
  <c r="DH156" i="11"/>
  <c r="DI156" i="11"/>
  <c r="DJ156" i="11"/>
  <c r="DK156" i="11"/>
  <c r="DL156" i="11"/>
  <c r="DM156" i="11"/>
  <c r="DN156" i="11"/>
  <c r="DO156" i="11"/>
  <c r="DP156" i="11"/>
  <c r="DQ156" i="11"/>
  <c r="DR156" i="11"/>
  <c r="DS156" i="11"/>
  <c r="DT156" i="11"/>
  <c r="DU156" i="11"/>
  <c r="DV156" i="11"/>
  <c r="DW156" i="11"/>
  <c r="DX156" i="11"/>
  <c r="DY156" i="11"/>
  <c r="DZ156" i="11"/>
  <c r="EA156" i="11"/>
  <c r="EB156" i="11"/>
  <c r="EC156" i="11"/>
  <c r="ED156" i="11"/>
  <c r="EE156" i="11"/>
  <c r="EF156" i="11"/>
  <c r="EG156" i="11"/>
  <c r="EH156" i="11"/>
  <c r="EI156" i="11"/>
  <c r="EJ156" i="11"/>
  <c r="EK156" i="11"/>
  <c r="EL156" i="11"/>
  <c r="EM156" i="11"/>
  <c r="EN156" i="11"/>
  <c r="EO156" i="11"/>
  <c r="EP156" i="11"/>
  <c r="EQ156" i="11"/>
  <c r="ER156" i="11"/>
  <c r="ES156" i="11"/>
  <c r="ET156" i="11"/>
  <c r="EU156" i="11"/>
  <c r="EV156" i="11"/>
  <c r="EW156" i="11"/>
  <c r="EX156" i="11"/>
  <c r="EY156" i="11"/>
  <c r="EZ156" i="11"/>
  <c r="FA156" i="11"/>
  <c r="FB156" i="11"/>
  <c r="FC156" i="11"/>
  <c r="FD156" i="11"/>
  <c r="FE156" i="11"/>
  <c r="FF156" i="11"/>
  <c r="FG156" i="11"/>
  <c r="FH156" i="11"/>
  <c r="FI156" i="11"/>
  <c r="FJ156" i="11"/>
  <c r="FK156" i="11"/>
  <c r="FL156" i="11"/>
  <c r="FM156" i="11"/>
  <c r="FN156" i="11"/>
  <c r="FO156" i="11"/>
  <c r="FP156" i="11"/>
  <c r="FQ156" i="11"/>
  <c r="FR156" i="11"/>
  <c r="FS156" i="11"/>
  <c r="FT156" i="11"/>
  <c r="FU156" i="11"/>
  <c r="FV156" i="11"/>
  <c r="FW156" i="11"/>
  <c r="FX156" i="11"/>
  <c r="FY156" i="11"/>
  <c r="FZ156" i="11"/>
  <c r="GA156" i="11"/>
  <c r="GB156" i="11"/>
  <c r="GC156" i="11"/>
  <c r="GD156" i="11"/>
  <c r="GE156" i="11"/>
  <c r="GF156" i="11"/>
  <c r="GG156" i="11"/>
  <c r="GH156" i="11"/>
  <c r="GI156" i="11"/>
  <c r="GJ156" i="11"/>
  <c r="GK156" i="11"/>
  <c r="GL156" i="11"/>
  <c r="GM156" i="11"/>
  <c r="GN156" i="11"/>
  <c r="GO156" i="11"/>
  <c r="GP156" i="11"/>
  <c r="GQ156" i="11"/>
  <c r="GR156" i="11"/>
  <c r="GS156" i="11"/>
  <c r="GT156" i="11"/>
  <c r="GU156" i="11"/>
  <c r="GV156" i="11"/>
  <c r="GW156" i="11"/>
  <c r="GX156" i="11"/>
  <c r="GY156" i="11"/>
  <c r="GZ156" i="11"/>
  <c r="HA156" i="11"/>
  <c r="HB156" i="11"/>
  <c r="HC156" i="11"/>
  <c r="HD156" i="11"/>
  <c r="HE156" i="11"/>
  <c r="HF156" i="11"/>
  <c r="HG156" i="11"/>
  <c r="HH156" i="11"/>
  <c r="HI156" i="11"/>
  <c r="HJ156" i="11"/>
  <c r="HK156" i="11"/>
  <c r="HL156" i="11"/>
  <c r="HM156" i="11"/>
  <c r="HN156" i="11"/>
  <c r="HO156" i="11"/>
  <c r="HP156" i="11"/>
  <c r="HQ156" i="11"/>
  <c r="HR156" i="11"/>
  <c r="HS156" i="11"/>
  <c r="HT156" i="11"/>
  <c r="HU156" i="11"/>
  <c r="HV156" i="11"/>
  <c r="HW156" i="11"/>
  <c r="HX156" i="11"/>
  <c r="HY156" i="11"/>
  <c r="HZ156" i="11"/>
  <c r="IA156" i="11"/>
  <c r="IB156" i="11"/>
  <c r="IC156" i="11"/>
  <c r="ID156" i="11"/>
  <c r="IE156" i="11"/>
  <c r="IF156" i="11"/>
  <c r="IG156" i="11"/>
  <c r="IH156" i="11"/>
  <c r="II156" i="11"/>
  <c r="IJ156" i="11"/>
  <c r="IK156" i="11"/>
  <c r="IL156" i="11"/>
  <c r="IM156" i="11"/>
  <c r="IN156" i="11"/>
  <c r="IO156" i="11"/>
  <c r="IP156" i="11"/>
  <c r="IQ156" i="11"/>
  <c r="IR156" i="11"/>
  <c r="IS156" i="11"/>
  <c r="IT156" i="11"/>
  <c r="IU156" i="11"/>
  <c r="IV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AC157" i="11"/>
  <c r="AD157" i="11"/>
  <c r="AE157" i="11"/>
  <c r="AF157" i="11"/>
  <c r="AG157" i="11"/>
  <c r="AH157" i="11"/>
  <c r="AI157" i="11"/>
  <c r="AJ157" i="11"/>
  <c r="AK157" i="11"/>
  <c r="AL157" i="11"/>
  <c r="AM157" i="11"/>
  <c r="AN157" i="11"/>
  <c r="AO157" i="11"/>
  <c r="AP157" i="11"/>
  <c r="AQ157" i="11"/>
  <c r="AR157" i="11"/>
  <c r="AS157" i="11"/>
  <c r="AT157" i="11"/>
  <c r="AU157" i="11"/>
  <c r="AV157" i="11"/>
  <c r="AW157" i="11"/>
  <c r="AX157" i="11"/>
  <c r="AY157" i="11"/>
  <c r="AZ157" i="11"/>
  <c r="BA157" i="11"/>
  <c r="BB157" i="11"/>
  <c r="BC157" i="11"/>
  <c r="BD157" i="11"/>
  <c r="BE157" i="11"/>
  <c r="BF157" i="11"/>
  <c r="BG157" i="11"/>
  <c r="BH157" i="11"/>
  <c r="BI157" i="11"/>
  <c r="BJ157" i="11"/>
  <c r="BK157" i="11"/>
  <c r="BL157" i="11"/>
  <c r="BM157" i="11"/>
  <c r="BN157" i="11"/>
  <c r="BO157" i="11"/>
  <c r="BP157" i="11"/>
  <c r="BQ157" i="11"/>
  <c r="BR157" i="11"/>
  <c r="BS157" i="11"/>
  <c r="BT157" i="11"/>
  <c r="BU157" i="11"/>
  <c r="BV157" i="11"/>
  <c r="BW157" i="11"/>
  <c r="BX157" i="11"/>
  <c r="BY157" i="11"/>
  <c r="BZ157" i="11"/>
  <c r="CA157" i="11"/>
  <c r="CB157" i="11"/>
  <c r="CC157" i="11"/>
  <c r="CD157" i="11"/>
  <c r="CE157" i="11"/>
  <c r="CF157" i="11"/>
  <c r="CG157" i="11"/>
  <c r="CH157" i="11"/>
  <c r="CI157" i="11"/>
  <c r="CJ157" i="11"/>
  <c r="CK157" i="11"/>
  <c r="CL157" i="11"/>
  <c r="CM157" i="11"/>
  <c r="CN157" i="11"/>
  <c r="CO157" i="11"/>
  <c r="CP157" i="11"/>
  <c r="CQ157" i="11"/>
  <c r="CR157" i="11"/>
  <c r="CS157" i="11"/>
  <c r="CT157" i="11"/>
  <c r="CU157" i="11"/>
  <c r="CV157" i="11"/>
  <c r="CW157" i="11"/>
  <c r="CX157" i="11"/>
  <c r="CY157" i="11"/>
  <c r="CZ157" i="11"/>
  <c r="DA157" i="11"/>
  <c r="DB157" i="11"/>
  <c r="DC157" i="11"/>
  <c r="DD157" i="11"/>
  <c r="DE157" i="11"/>
  <c r="DF157" i="11"/>
  <c r="DG157" i="11"/>
  <c r="DH157" i="11"/>
  <c r="DI157" i="11"/>
  <c r="DJ157" i="11"/>
  <c r="DK157" i="11"/>
  <c r="DL157" i="11"/>
  <c r="DM157" i="11"/>
  <c r="DN157" i="11"/>
  <c r="DO157" i="11"/>
  <c r="DP157" i="11"/>
  <c r="DQ157" i="11"/>
  <c r="DR157" i="11"/>
  <c r="DS157" i="11"/>
  <c r="DT157" i="11"/>
  <c r="DU157" i="11"/>
  <c r="DV157" i="11"/>
  <c r="DW157" i="11"/>
  <c r="DX157" i="11"/>
  <c r="DY157" i="11"/>
  <c r="DZ157" i="11"/>
  <c r="EA157" i="11"/>
  <c r="EB157" i="11"/>
  <c r="EC157" i="11"/>
  <c r="ED157" i="11"/>
  <c r="EE157" i="11"/>
  <c r="EF157" i="11"/>
  <c r="EG157" i="11"/>
  <c r="EH157" i="11"/>
  <c r="EI157" i="11"/>
  <c r="EJ157" i="11"/>
  <c r="EK157" i="11"/>
  <c r="EL157" i="11"/>
  <c r="EM157" i="11"/>
  <c r="EN157" i="11"/>
  <c r="EO157" i="11"/>
  <c r="EP157" i="11"/>
  <c r="EQ157" i="11"/>
  <c r="ER157" i="11"/>
  <c r="ES157" i="11"/>
  <c r="ET157" i="11"/>
  <c r="EU157" i="11"/>
  <c r="EV157" i="11"/>
  <c r="EW157" i="11"/>
  <c r="EX157" i="11"/>
  <c r="EY157" i="11"/>
  <c r="EZ157" i="11"/>
  <c r="FA157" i="11"/>
  <c r="FB157" i="11"/>
  <c r="FC157" i="11"/>
  <c r="FD157" i="11"/>
  <c r="FE157" i="11"/>
  <c r="FF157" i="11"/>
  <c r="FG157" i="11"/>
  <c r="FH157" i="11"/>
  <c r="FI157" i="11"/>
  <c r="FJ157" i="11"/>
  <c r="FK157" i="11"/>
  <c r="FL157" i="11"/>
  <c r="FM157" i="11"/>
  <c r="FN157" i="11"/>
  <c r="FO157" i="11"/>
  <c r="FP157" i="11"/>
  <c r="FQ157" i="11"/>
  <c r="FR157" i="11"/>
  <c r="FS157" i="11"/>
  <c r="FT157" i="11"/>
  <c r="FU157" i="11"/>
  <c r="FV157" i="11"/>
  <c r="FW157" i="11"/>
  <c r="FX157" i="11"/>
  <c r="FY157" i="11"/>
  <c r="FZ157" i="11"/>
  <c r="GA157" i="11"/>
  <c r="GB157" i="11"/>
  <c r="GC157" i="11"/>
  <c r="GD157" i="11"/>
  <c r="GE157" i="11"/>
  <c r="GF157" i="11"/>
  <c r="GG157" i="11"/>
  <c r="GH157" i="11"/>
  <c r="GI157" i="11"/>
  <c r="GJ157" i="11"/>
  <c r="GK157" i="11"/>
  <c r="GL157" i="11"/>
  <c r="GM157" i="11"/>
  <c r="GN157" i="11"/>
  <c r="GO157" i="11"/>
  <c r="GP157" i="11"/>
  <c r="GQ157" i="11"/>
  <c r="GR157" i="11"/>
  <c r="GS157" i="11"/>
  <c r="GT157" i="11"/>
  <c r="GU157" i="11"/>
  <c r="GV157" i="11"/>
  <c r="GW157" i="11"/>
  <c r="GX157" i="11"/>
  <c r="GY157" i="11"/>
  <c r="GZ157" i="11"/>
  <c r="HA157" i="11"/>
  <c r="HB157" i="11"/>
  <c r="HC157" i="11"/>
  <c r="HD157" i="11"/>
  <c r="HE157" i="11"/>
  <c r="HF157" i="11"/>
  <c r="HG157" i="11"/>
  <c r="HH157" i="11"/>
  <c r="HI157" i="11"/>
  <c r="HJ157" i="11"/>
  <c r="HK157" i="11"/>
  <c r="HL157" i="11"/>
  <c r="HM157" i="11"/>
  <c r="HN157" i="11"/>
  <c r="HO157" i="11"/>
  <c r="HP157" i="11"/>
  <c r="HQ157" i="11"/>
  <c r="HR157" i="11"/>
  <c r="HS157" i="11"/>
  <c r="HT157" i="11"/>
  <c r="HU157" i="11"/>
  <c r="HV157" i="11"/>
  <c r="HW157" i="11"/>
  <c r="HX157" i="11"/>
  <c r="HY157" i="11"/>
  <c r="HZ157" i="11"/>
  <c r="IA157" i="11"/>
  <c r="IB157" i="11"/>
  <c r="IC157" i="11"/>
  <c r="ID157" i="11"/>
  <c r="IE157" i="11"/>
  <c r="IF157" i="11"/>
  <c r="IG157" i="11"/>
  <c r="IH157" i="11"/>
  <c r="II157" i="11"/>
  <c r="IJ157" i="11"/>
  <c r="IK157" i="11"/>
  <c r="IL157" i="11"/>
  <c r="IM157" i="11"/>
  <c r="IN157" i="11"/>
  <c r="IO157" i="11"/>
  <c r="IP157" i="11"/>
  <c r="IQ157" i="11"/>
  <c r="IR157" i="11"/>
  <c r="IS157" i="11"/>
  <c r="IT157" i="11"/>
  <c r="IU157" i="11"/>
  <c r="IV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AC158" i="11"/>
  <c r="AD158" i="11"/>
  <c r="AE158" i="11"/>
  <c r="AF158" i="11"/>
  <c r="AG158" i="11"/>
  <c r="AH158" i="11"/>
  <c r="AI158" i="11"/>
  <c r="AJ158" i="11"/>
  <c r="AK158" i="11"/>
  <c r="AL158" i="11"/>
  <c r="AM158" i="11"/>
  <c r="AN158" i="11"/>
  <c r="AO158" i="11"/>
  <c r="AP158" i="11"/>
  <c r="AQ158" i="11"/>
  <c r="AR158" i="11"/>
  <c r="AS158" i="11"/>
  <c r="AT158" i="11"/>
  <c r="AU158" i="11"/>
  <c r="AV158" i="11"/>
  <c r="AW158" i="11"/>
  <c r="AX158" i="11"/>
  <c r="AY158" i="11"/>
  <c r="AZ158" i="11"/>
  <c r="BA158" i="11"/>
  <c r="BB158" i="11"/>
  <c r="BC158" i="11"/>
  <c r="BD158" i="11"/>
  <c r="BE158" i="11"/>
  <c r="BF158" i="11"/>
  <c r="BG158" i="11"/>
  <c r="BH158" i="11"/>
  <c r="BI158" i="11"/>
  <c r="BJ158" i="11"/>
  <c r="BK158" i="11"/>
  <c r="BL158" i="11"/>
  <c r="BM158" i="11"/>
  <c r="BN158" i="11"/>
  <c r="BO158" i="11"/>
  <c r="BP158" i="11"/>
  <c r="BQ158" i="11"/>
  <c r="BR158" i="11"/>
  <c r="BS158" i="11"/>
  <c r="BT158" i="11"/>
  <c r="BU158" i="11"/>
  <c r="BV158" i="11"/>
  <c r="BW158" i="11"/>
  <c r="BX158" i="11"/>
  <c r="BY158" i="11"/>
  <c r="BZ158" i="11"/>
  <c r="CA158" i="11"/>
  <c r="CB158" i="11"/>
  <c r="CC158" i="11"/>
  <c r="CD158" i="11"/>
  <c r="CE158" i="11"/>
  <c r="CF158" i="11"/>
  <c r="CG158" i="11"/>
  <c r="CH158" i="11"/>
  <c r="CI158" i="11"/>
  <c r="CJ158" i="11"/>
  <c r="CK158" i="11"/>
  <c r="CL158" i="11"/>
  <c r="CM158" i="11"/>
  <c r="CN158" i="11"/>
  <c r="CO158" i="11"/>
  <c r="CP158" i="11"/>
  <c r="CQ158" i="11"/>
  <c r="CR158" i="11"/>
  <c r="CS158" i="11"/>
  <c r="CT158" i="11"/>
  <c r="CU158" i="11"/>
  <c r="CV158" i="11"/>
  <c r="CW158" i="11"/>
  <c r="CX158" i="11"/>
  <c r="CY158" i="11"/>
  <c r="CZ158" i="11"/>
  <c r="DA158" i="11"/>
  <c r="DB158" i="11"/>
  <c r="DC158" i="11"/>
  <c r="DD158" i="11"/>
  <c r="DE158" i="11"/>
  <c r="DF158" i="11"/>
  <c r="DG158" i="11"/>
  <c r="DH158" i="11"/>
  <c r="DI158" i="11"/>
  <c r="DJ158" i="11"/>
  <c r="DK158" i="11"/>
  <c r="DL158" i="11"/>
  <c r="DM158" i="11"/>
  <c r="DN158" i="11"/>
  <c r="DO158" i="11"/>
  <c r="DP158" i="11"/>
  <c r="DQ158" i="11"/>
  <c r="DR158" i="11"/>
  <c r="DS158" i="11"/>
  <c r="DT158" i="11"/>
  <c r="DU158" i="11"/>
  <c r="DV158" i="11"/>
  <c r="DW158" i="11"/>
  <c r="DX158" i="11"/>
  <c r="DY158" i="11"/>
  <c r="DZ158" i="11"/>
  <c r="EA158" i="11"/>
  <c r="EB158" i="11"/>
  <c r="EC158" i="11"/>
  <c r="ED158" i="11"/>
  <c r="EE158" i="11"/>
  <c r="EF158" i="11"/>
  <c r="EG158" i="11"/>
  <c r="EH158" i="11"/>
  <c r="EI158" i="11"/>
  <c r="EJ158" i="11"/>
  <c r="EK158" i="11"/>
  <c r="EL158" i="11"/>
  <c r="EM158" i="11"/>
  <c r="EN158" i="11"/>
  <c r="EO158" i="11"/>
  <c r="EP158" i="11"/>
  <c r="EQ158" i="11"/>
  <c r="ER158" i="11"/>
  <c r="ES158" i="11"/>
  <c r="ET158" i="11"/>
  <c r="EU158" i="11"/>
  <c r="EV158" i="11"/>
  <c r="EW158" i="11"/>
  <c r="EX158" i="11"/>
  <c r="EY158" i="11"/>
  <c r="EZ158" i="11"/>
  <c r="FA158" i="11"/>
  <c r="FB158" i="11"/>
  <c r="FC158" i="11"/>
  <c r="FD158" i="11"/>
  <c r="FE158" i="11"/>
  <c r="FF158" i="11"/>
  <c r="FG158" i="11"/>
  <c r="FH158" i="11"/>
  <c r="FI158" i="11"/>
  <c r="FJ158" i="11"/>
  <c r="FK158" i="11"/>
  <c r="FL158" i="11"/>
  <c r="FM158" i="11"/>
  <c r="FN158" i="11"/>
  <c r="FO158" i="11"/>
  <c r="FP158" i="11"/>
  <c r="FQ158" i="11"/>
  <c r="FR158" i="11"/>
  <c r="FS158" i="11"/>
  <c r="FT158" i="11"/>
  <c r="FU158" i="11"/>
  <c r="FV158" i="11"/>
  <c r="FW158" i="11"/>
  <c r="FX158" i="11"/>
  <c r="FY158" i="11"/>
  <c r="FZ158" i="11"/>
  <c r="GA158" i="11"/>
  <c r="GB158" i="11"/>
  <c r="GC158" i="11"/>
  <c r="GD158" i="11"/>
  <c r="GE158" i="11"/>
  <c r="GF158" i="11"/>
  <c r="GG158" i="11"/>
  <c r="GH158" i="11"/>
  <c r="GI158" i="11"/>
  <c r="GJ158" i="11"/>
  <c r="GK158" i="11"/>
  <c r="GL158" i="11"/>
  <c r="GM158" i="11"/>
  <c r="GN158" i="11"/>
  <c r="GO158" i="11"/>
  <c r="GP158" i="11"/>
  <c r="GQ158" i="11"/>
  <c r="GR158" i="11"/>
  <c r="GS158" i="11"/>
  <c r="GT158" i="11"/>
  <c r="GU158" i="11"/>
  <c r="GV158" i="11"/>
  <c r="GW158" i="11"/>
  <c r="GX158" i="11"/>
  <c r="GY158" i="11"/>
  <c r="GZ158" i="11"/>
  <c r="HA158" i="11"/>
  <c r="HB158" i="11"/>
  <c r="HC158" i="11"/>
  <c r="HD158" i="11"/>
  <c r="HE158" i="11"/>
  <c r="HF158" i="11"/>
  <c r="HG158" i="11"/>
  <c r="HH158" i="11"/>
  <c r="HI158" i="11"/>
  <c r="HJ158" i="11"/>
  <c r="HK158" i="11"/>
  <c r="HL158" i="11"/>
  <c r="HM158" i="11"/>
  <c r="HN158" i="11"/>
  <c r="HO158" i="11"/>
  <c r="HP158" i="11"/>
  <c r="HQ158" i="11"/>
  <c r="HR158" i="11"/>
  <c r="HS158" i="11"/>
  <c r="HT158" i="11"/>
  <c r="HU158" i="11"/>
  <c r="HV158" i="11"/>
  <c r="HW158" i="11"/>
  <c r="HX158" i="11"/>
  <c r="HY158" i="11"/>
  <c r="HZ158" i="11"/>
  <c r="IA158" i="11"/>
  <c r="IB158" i="11"/>
  <c r="IC158" i="11"/>
  <c r="ID158" i="11"/>
  <c r="IE158" i="11"/>
  <c r="IF158" i="11"/>
  <c r="IG158" i="11"/>
  <c r="IH158" i="11"/>
  <c r="II158" i="11"/>
  <c r="IJ158" i="11"/>
  <c r="IK158" i="11"/>
  <c r="IL158" i="11"/>
  <c r="IM158" i="11"/>
  <c r="IN158" i="11"/>
  <c r="IO158" i="11"/>
  <c r="IP158" i="11"/>
  <c r="IQ158" i="11"/>
  <c r="IR158" i="11"/>
  <c r="IS158" i="11"/>
  <c r="IT158" i="11"/>
  <c r="IU158" i="11"/>
  <c r="IV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AC159" i="11"/>
  <c r="AD159" i="11"/>
  <c r="AE159" i="11"/>
  <c r="AF159" i="11"/>
  <c r="AG159" i="11"/>
  <c r="AH159" i="11"/>
  <c r="AI159" i="11"/>
  <c r="AJ159" i="11"/>
  <c r="AK159" i="11"/>
  <c r="AL159" i="11"/>
  <c r="AM159" i="11"/>
  <c r="AN159" i="11"/>
  <c r="AO159" i="11"/>
  <c r="AP159" i="11"/>
  <c r="AQ159" i="11"/>
  <c r="AR159" i="11"/>
  <c r="AS159" i="11"/>
  <c r="AT159" i="11"/>
  <c r="AU159" i="11"/>
  <c r="AV159" i="11"/>
  <c r="AW159" i="11"/>
  <c r="AX159" i="11"/>
  <c r="AY159" i="11"/>
  <c r="AZ159" i="11"/>
  <c r="BA159" i="11"/>
  <c r="BB159" i="11"/>
  <c r="BC159" i="11"/>
  <c r="BD159" i="11"/>
  <c r="BE159" i="11"/>
  <c r="BF159" i="11"/>
  <c r="BG159" i="11"/>
  <c r="BH159" i="11"/>
  <c r="BI159" i="11"/>
  <c r="BJ159" i="11"/>
  <c r="BK159" i="11"/>
  <c r="BL159" i="11"/>
  <c r="BM159" i="11"/>
  <c r="BN159" i="11"/>
  <c r="BO159" i="11"/>
  <c r="BP159" i="11"/>
  <c r="BQ159" i="11"/>
  <c r="BR159" i="11"/>
  <c r="BS159" i="11"/>
  <c r="BT159" i="11"/>
  <c r="BU159" i="11"/>
  <c r="BV159" i="11"/>
  <c r="BW159" i="11"/>
  <c r="BX159" i="11"/>
  <c r="BY159" i="11"/>
  <c r="BZ159" i="11"/>
  <c r="CA159" i="11"/>
  <c r="CB159" i="11"/>
  <c r="CC159" i="11"/>
  <c r="CD159" i="11"/>
  <c r="CE159" i="11"/>
  <c r="CF159" i="11"/>
  <c r="CG159" i="11"/>
  <c r="CH159" i="11"/>
  <c r="CI159" i="11"/>
  <c r="CJ159" i="11"/>
  <c r="CK159" i="11"/>
  <c r="CL159" i="11"/>
  <c r="CM159" i="11"/>
  <c r="CN159" i="11"/>
  <c r="CO159" i="11"/>
  <c r="CP159" i="11"/>
  <c r="CQ159" i="11"/>
  <c r="CR159" i="11"/>
  <c r="CS159" i="11"/>
  <c r="CT159" i="11"/>
  <c r="CU159" i="11"/>
  <c r="CV159" i="11"/>
  <c r="CW159" i="11"/>
  <c r="CX159" i="11"/>
  <c r="CY159" i="11"/>
  <c r="CZ159" i="11"/>
  <c r="DA159" i="11"/>
  <c r="DB159" i="11"/>
  <c r="DC159" i="11"/>
  <c r="DD159" i="11"/>
  <c r="DE159" i="11"/>
  <c r="DF159" i="11"/>
  <c r="DG159" i="11"/>
  <c r="DH159" i="11"/>
  <c r="DI159" i="11"/>
  <c r="DJ159" i="11"/>
  <c r="DK159" i="11"/>
  <c r="DL159" i="11"/>
  <c r="DM159" i="11"/>
  <c r="DN159" i="11"/>
  <c r="DO159" i="11"/>
  <c r="DP159" i="11"/>
  <c r="DQ159" i="11"/>
  <c r="DR159" i="11"/>
  <c r="DS159" i="11"/>
  <c r="DT159" i="11"/>
  <c r="DU159" i="11"/>
  <c r="DV159" i="11"/>
  <c r="DW159" i="11"/>
  <c r="DX159" i="11"/>
  <c r="DY159" i="11"/>
  <c r="DZ159" i="11"/>
  <c r="EA159" i="11"/>
  <c r="EB159" i="11"/>
  <c r="EC159" i="11"/>
  <c r="ED159" i="11"/>
  <c r="EE159" i="11"/>
  <c r="EF159" i="11"/>
  <c r="EG159" i="11"/>
  <c r="EH159" i="11"/>
  <c r="EI159" i="11"/>
  <c r="EJ159" i="11"/>
  <c r="EK159" i="11"/>
  <c r="EL159" i="11"/>
  <c r="EM159" i="11"/>
  <c r="EN159" i="11"/>
  <c r="EO159" i="11"/>
  <c r="EP159" i="11"/>
  <c r="EQ159" i="11"/>
  <c r="ER159" i="11"/>
  <c r="ES159" i="11"/>
  <c r="ET159" i="11"/>
  <c r="EU159" i="11"/>
  <c r="EV159" i="11"/>
  <c r="EW159" i="11"/>
  <c r="EX159" i="11"/>
  <c r="EY159" i="11"/>
  <c r="EZ159" i="11"/>
  <c r="FA159" i="11"/>
  <c r="FB159" i="11"/>
  <c r="FC159" i="11"/>
  <c r="FD159" i="11"/>
  <c r="FE159" i="11"/>
  <c r="FF159" i="11"/>
  <c r="FG159" i="11"/>
  <c r="FH159" i="11"/>
  <c r="FI159" i="11"/>
  <c r="FJ159" i="11"/>
  <c r="FK159" i="11"/>
  <c r="FL159" i="11"/>
  <c r="FM159" i="11"/>
  <c r="FN159" i="11"/>
  <c r="FO159" i="11"/>
  <c r="FP159" i="11"/>
  <c r="FQ159" i="11"/>
  <c r="FR159" i="11"/>
  <c r="FS159" i="11"/>
  <c r="FT159" i="11"/>
  <c r="FU159" i="11"/>
  <c r="FV159" i="11"/>
  <c r="FW159" i="11"/>
  <c r="FX159" i="11"/>
  <c r="FY159" i="11"/>
  <c r="FZ159" i="11"/>
  <c r="GA159" i="11"/>
  <c r="GB159" i="11"/>
  <c r="GC159" i="11"/>
  <c r="GD159" i="11"/>
  <c r="GE159" i="11"/>
  <c r="GF159" i="11"/>
  <c r="GG159" i="11"/>
  <c r="GH159" i="11"/>
  <c r="GI159" i="11"/>
  <c r="GJ159" i="11"/>
  <c r="GK159" i="11"/>
  <c r="GL159" i="11"/>
  <c r="GM159" i="11"/>
  <c r="GN159" i="11"/>
  <c r="GO159" i="11"/>
  <c r="GP159" i="11"/>
  <c r="GQ159" i="11"/>
  <c r="GR159" i="11"/>
  <c r="GS159" i="11"/>
  <c r="GT159" i="11"/>
  <c r="GU159" i="11"/>
  <c r="GV159" i="11"/>
  <c r="GW159" i="11"/>
  <c r="GX159" i="11"/>
  <c r="GY159" i="11"/>
  <c r="GZ159" i="11"/>
  <c r="HA159" i="11"/>
  <c r="HB159" i="11"/>
  <c r="HC159" i="11"/>
  <c r="HD159" i="11"/>
  <c r="HE159" i="11"/>
  <c r="HF159" i="11"/>
  <c r="HG159" i="11"/>
  <c r="HH159" i="11"/>
  <c r="HI159" i="11"/>
  <c r="HJ159" i="11"/>
  <c r="HK159" i="11"/>
  <c r="HL159" i="11"/>
  <c r="HM159" i="11"/>
  <c r="HN159" i="11"/>
  <c r="HO159" i="11"/>
  <c r="HP159" i="11"/>
  <c r="HQ159" i="11"/>
  <c r="HR159" i="11"/>
  <c r="HS159" i="11"/>
  <c r="HT159" i="11"/>
  <c r="HU159" i="11"/>
  <c r="HV159" i="11"/>
  <c r="HW159" i="11"/>
  <c r="HX159" i="11"/>
  <c r="HY159" i="11"/>
  <c r="HZ159" i="11"/>
  <c r="IA159" i="11"/>
  <c r="IB159" i="11"/>
  <c r="IC159" i="11"/>
  <c r="ID159" i="11"/>
  <c r="IE159" i="11"/>
  <c r="IF159" i="11"/>
  <c r="IG159" i="11"/>
  <c r="IH159" i="11"/>
  <c r="II159" i="11"/>
  <c r="IJ159" i="11"/>
  <c r="IK159" i="11"/>
  <c r="IL159" i="11"/>
  <c r="IM159" i="11"/>
  <c r="IN159" i="11"/>
  <c r="IO159" i="11"/>
  <c r="IP159" i="11"/>
  <c r="IQ159" i="11"/>
  <c r="IR159" i="11"/>
  <c r="IS159" i="11"/>
  <c r="IT159" i="11"/>
  <c r="IU159" i="11"/>
  <c r="IV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AC160" i="11"/>
  <c r="AD160" i="11"/>
  <c r="AE160" i="11"/>
  <c r="AF160" i="11"/>
  <c r="AG160" i="11"/>
  <c r="AH160" i="11"/>
  <c r="AI160" i="11"/>
  <c r="AJ160" i="11"/>
  <c r="AK160" i="11"/>
  <c r="AL160" i="11"/>
  <c r="AM160" i="11"/>
  <c r="AN160" i="11"/>
  <c r="AO160" i="11"/>
  <c r="AP160" i="11"/>
  <c r="AQ160" i="11"/>
  <c r="AR160" i="11"/>
  <c r="AS160" i="11"/>
  <c r="AT160" i="11"/>
  <c r="AU160" i="11"/>
  <c r="AV160" i="11"/>
  <c r="AW160" i="11"/>
  <c r="AX160" i="11"/>
  <c r="AY160" i="11"/>
  <c r="AZ160" i="11"/>
  <c r="BA160" i="11"/>
  <c r="BB160" i="11"/>
  <c r="BC160" i="11"/>
  <c r="BD160" i="11"/>
  <c r="BE160" i="11"/>
  <c r="BF160" i="11"/>
  <c r="BG160" i="11"/>
  <c r="BH160" i="11"/>
  <c r="BI160" i="11"/>
  <c r="BJ160" i="11"/>
  <c r="BK160" i="11"/>
  <c r="BL160" i="11"/>
  <c r="BM160" i="11"/>
  <c r="BN160" i="11"/>
  <c r="BO160" i="11"/>
  <c r="BP160" i="11"/>
  <c r="BQ160" i="11"/>
  <c r="BR160" i="11"/>
  <c r="BS160" i="11"/>
  <c r="BT160" i="11"/>
  <c r="BU160" i="11"/>
  <c r="BV160" i="11"/>
  <c r="BW160" i="11"/>
  <c r="BX160" i="11"/>
  <c r="BY160" i="11"/>
  <c r="BZ160" i="11"/>
  <c r="CA160" i="11"/>
  <c r="CB160" i="11"/>
  <c r="CC160" i="11"/>
  <c r="CD160" i="11"/>
  <c r="CE160" i="11"/>
  <c r="CF160" i="11"/>
  <c r="CG160" i="11"/>
  <c r="CH160" i="11"/>
  <c r="CI160" i="11"/>
  <c r="CJ160" i="11"/>
  <c r="CK160" i="11"/>
  <c r="CL160" i="11"/>
  <c r="CM160" i="11"/>
  <c r="CN160" i="11"/>
  <c r="CO160" i="11"/>
  <c r="CP160" i="11"/>
  <c r="CQ160" i="11"/>
  <c r="CR160" i="11"/>
  <c r="CS160" i="11"/>
  <c r="CT160" i="11"/>
  <c r="CU160" i="11"/>
  <c r="CV160" i="11"/>
  <c r="CW160" i="11"/>
  <c r="CX160" i="11"/>
  <c r="CY160" i="11"/>
  <c r="CZ160" i="11"/>
  <c r="DA160" i="11"/>
  <c r="DB160" i="11"/>
  <c r="DC160" i="11"/>
  <c r="DD160" i="11"/>
  <c r="DE160" i="11"/>
  <c r="DF160" i="11"/>
  <c r="DG160" i="11"/>
  <c r="DH160" i="11"/>
  <c r="DI160" i="11"/>
  <c r="DJ160" i="11"/>
  <c r="DK160" i="11"/>
  <c r="DL160" i="11"/>
  <c r="DM160" i="11"/>
  <c r="DN160" i="11"/>
  <c r="DO160" i="11"/>
  <c r="DP160" i="11"/>
  <c r="DQ160" i="11"/>
  <c r="DR160" i="11"/>
  <c r="DS160" i="11"/>
  <c r="DT160" i="11"/>
  <c r="DU160" i="11"/>
  <c r="DV160" i="11"/>
  <c r="DW160" i="11"/>
  <c r="DX160" i="11"/>
  <c r="DY160" i="11"/>
  <c r="DZ160" i="11"/>
  <c r="EA160" i="11"/>
  <c r="EB160" i="11"/>
  <c r="EC160" i="11"/>
  <c r="ED160" i="11"/>
  <c r="EE160" i="11"/>
  <c r="EF160" i="11"/>
  <c r="EG160" i="11"/>
  <c r="EH160" i="11"/>
  <c r="EI160" i="11"/>
  <c r="EJ160" i="11"/>
  <c r="EK160" i="11"/>
  <c r="EL160" i="11"/>
  <c r="EM160" i="11"/>
  <c r="EN160" i="11"/>
  <c r="EO160" i="11"/>
  <c r="EP160" i="11"/>
  <c r="EQ160" i="11"/>
  <c r="ER160" i="11"/>
  <c r="ES160" i="11"/>
  <c r="ET160" i="11"/>
  <c r="EU160" i="11"/>
  <c r="EV160" i="11"/>
  <c r="EW160" i="11"/>
  <c r="EX160" i="11"/>
  <c r="EY160" i="11"/>
  <c r="EZ160" i="11"/>
  <c r="FA160" i="11"/>
  <c r="FB160" i="11"/>
  <c r="FC160" i="11"/>
  <c r="FD160" i="11"/>
  <c r="FE160" i="11"/>
  <c r="FF160" i="11"/>
  <c r="FG160" i="11"/>
  <c r="FH160" i="11"/>
  <c r="FI160" i="11"/>
  <c r="FJ160" i="11"/>
  <c r="FK160" i="11"/>
  <c r="FL160" i="11"/>
  <c r="FM160" i="11"/>
  <c r="FN160" i="11"/>
  <c r="FO160" i="11"/>
  <c r="FP160" i="11"/>
  <c r="FQ160" i="11"/>
  <c r="FR160" i="11"/>
  <c r="FS160" i="11"/>
  <c r="FT160" i="11"/>
  <c r="FU160" i="11"/>
  <c r="FV160" i="11"/>
  <c r="FW160" i="11"/>
  <c r="FX160" i="11"/>
  <c r="FY160" i="11"/>
  <c r="FZ160" i="11"/>
  <c r="GA160" i="11"/>
  <c r="GB160" i="11"/>
  <c r="GC160" i="11"/>
  <c r="GD160" i="11"/>
  <c r="GE160" i="11"/>
  <c r="GF160" i="11"/>
  <c r="GG160" i="11"/>
  <c r="GH160" i="11"/>
  <c r="GI160" i="11"/>
  <c r="GJ160" i="11"/>
  <c r="GK160" i="11"/>
  <c r="GL160" i="11"/>
  <c r="GM160" i="11"/>
  <c r="GN160" i="11"/>
  <c r="GO160" i="11"/>
  <c r="GP160" i="11"/>
  <c r="GQ160" i="11"/>
  <c r="GR160" i="11"/>
  <c r="GS160" i="11"/>
  <c r="GT160" i="11"/>
  <c r="GU160" i="11"/>
  <c r="GV160" i="11"/>
  <c r="GW160" i="11"/>
  <c r="GX160" i="11"/>
  <c r="GY160" i="11"/>
  <c r="GZ160" i="11"/>
  <c r="HA160" i="11"/>
  <c r="HB160" i="11"/>
  <c r="HC160" i="11"/>
  <c r="HD160" i="11"/>
  <c r="HE160" i="11"/>
  <c r="HF160" i="11"/>
  <c r="HG160" i="11"/>
  <c r="HH160" i="11"/>
  <c r="HI160" i="11"/>
  <c r="HJ160" i="11"/>
  <c r="HK160" i="11"/>
  <c r="HL160" i="11"/>
  <c r="HM160" i="11"/>
  <c r="HN160" i="11"/>
  <c r="HO160" i="11"/>
  <c r="HP160" i="11"/>
  <c r="HQ160" i="11"/>
  <c r="HR160" i="11"/>
  <c r="HS160" i="11"/>
  <c r="HT160" i="11"/>
  <c r="HU160" i="11"/>
  <c r="HV160" i="11"/>
  <c r="HW160" i="11"/>
  <c r="HX160" i="11"/>
  <c r="HY160" i="11"/>
  <c r="HZ160" i="11"/>
  <c r="IA160" i="11"/>
  <c r="IB160" i="11"/>
  <c r="IC160" i="11"/>
  <c r="ID160" i="11"/>
  <c r="IE160" i="11"/>
  <c r="IF160" i="11"/>
  <c r="IG160" i="11"/>
  <c r="IH160" i="11"/>
  <c r="II160" i="11"/>
  <c r="IJ160" i="11"/>
  <c r="IK160" i="11"/>
  <c r="IL160" i="11"/>
  <c r="IM160" i="11"/>
  <c r="IN160" i="11"/>
  <c r="IO160" i="11"/>
  <c r="IP160" i="11"/>
  <c r="IQ160" i="11"/>
  <c r="IR160" i="11"/>
  <c r="IS160" i="11"/>
  <c r="IT160" i="11"/>
  <c r="IU160" i="11"/>
  <c r="IV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AC161" i="11"/>
  <c r="AD161" i="11"/>
  <c r="AE161" i="11"/>
  <c r="AF161" i="11"/>
  <c r="AG161" i="11"/>
  <c r="AH161" i="11"/>
  <c r="AI161" i="11"/>
  <c r="AJ161" i="11"/>
  <c r="AK161" i="11"/>
  <c r="AL161" i="11"/>
  <c r="AM161" i="11"/>
  <c r="AN161" i="11"/>
  <c r="AO161" i="11"/>
  <c r="AP161" i="11"/>
  <c r="AQ161" i="11"/>
  <c r="AR161" i="11"/>
  <c r="AS161" i="11"/>
  <c r="AT161" i="11"/>
  <c r="AU161" i="11"/>
  <c r="AV161" i="11"/>
  <c r="AW161" i="11"/>
  <c r="AX161" i="11"/>
  <c r="AY161" i="11"/>
  <c r="AZ161" i="11"/>
  <c r="BA161" i="11"/>
  <c r="BB161" i="11"/>
  <c r="BC161" i="11"/>
  <c r="BD161" i="11"/>
  <c r="BE161" i="11"/>
  <c r="BF161" i="11"/>
  <c r="BG161" i="11"/>
  <c r="BH161" i="11"/>
  <c r="BI161" i="11"/>
  <c r="BJ161" i="11"/>
  <c r="BK161" i="11"/>
  <c r="BL161" i="11"/>
  <c r="BM161" i="11"/>
  <c r="BN161" i="11"/>
  <c r="BO161" i="11"/>
  <c r="BP161" i="11"/>
  <c r="BQ161" i="11"/>
  <c r="BR161" i="11"/>
  <c r="BS161" i="11"/>
  <c r="BT161" i="11"/>
  <c r="BU161" i="11"/>
  <c r="BV161" i="11"/>
  <c r="BW161" i="11"/>
  <c r="BX161" i="11"/>
  <c r="BY161" i="11"/>
  <c r="BZ161" i="11"/>
  <c r="CA161" i="11"/>
  <c r="CB161" i="11"/>
  <c r="CC161" i="11"/>
  <c r="CD161" i="11"/>
  <c r="CE161" i="11"/>
  <c r="CF161" i="11"/>
  <c r="CG161" i="11"/>
  <c r="CH161" i="11"/>
  <c r="CI161" i="11"/>
  <c r="CJ161" i="11"/>
  <c r="CK161" i="11"/>
  <c r="CL161" i="11"/>
  <c r="CM161" i="11"/>
  <c r="CN161" i="11"/>
  <c r="CO161" i="11"/>
  <c r="CP161" i="11"/>
  <c r="CQ161" i="11"/>
  <c r="CR161" i="11"/>
  <c r="CS161" i="11"/>
  <c r="CT161" i="11"/>
  <c r="CU161" i="11"/>
  <c r="CV161" i="11"/>
  <c r="CW161" i="11"/>
  <c r="CX161" i="11"/>
  <c r="CY161" i="11"/>
  <c r="CZ161" i="11"/>
  <c r="DA161" i="11"/>
  <c r="DB161" i="11"/>
  <c r="DC161" i="11"/>
  <c r="DD161" i="11"/>
  <c r="DE161" i="11"/>
  <c r="DF161" i="11"/>
  <c r="DG161" i="11"/>
  <c r="DH161" i="11"/>
  <c r="DI161" i="11"/>
  <c r="DJ161" i="11"/>
  <c r="DK161" i="11"/>
  <c r="DL161" i="11"/>
  <c r="DM161" i="11"/>
  <c r="DN161" i="11"/>
  <c r="DO161" i="11"/>
  <c r="DP161" i="11"/>
  <c r="DQ161" i="11"/>
  <c r="DR161" i="11"/>
  <c r="DS161" i="11"/>
  <c r="DT161" i="11"/>
  <c r="DU161" i="11"/>
  <c r="DV161" i="11"/>
  <c r="DW161" i="11"/>
  <c r="DX161" i="11"/>
  <c r="DY161" i="11"/>
  <c r="DZ161" i="11"/>
  <c r="EA161" i="11"/>
  <c r="EB161" i="11"/>
  <c r="EC161" i="11"/>
  <c r="ED161" i="11"/>
  <c r="EE161" i="11"/>
  <c r="EF161" i="11"/>
  <c r="EG161" i="11"/>
  <c r="EH161" i="11"/>
  <c r="EI161" i="11"/>
  <c r="EJ161" i="11"/>
  <c r="EK161" i="11"/>
  <c r="EL161" i="11"/>
  <c r="EM161" i="11"/>
  <c r="EN161" i="11"/>
  <c r="EO161" i="11"/>
  <c r="EP161" i="11"/>
  <c r="EQ161" i="11"/>
  <c r="ER161" i="11"/>
  <c r="ES161" i="11"/>
  <c r="ET161" i="11"/>
  <c r="EU161" i="11"/>
  <c r="EV161" i="11"/>
  <c r="EW161" i="11"/>
  <c r="EX161" i="11"/>
  <c r="EY161" i="11"/>
  <c r="EZ161" i="11"/>
  <c r="FA161" i="11"/>
  <c r="FB161" i="11"/>
  <c r="FC161" i="11"/>
  <c r="FD161" i="11"/>
  <c r="FE161" i="11"/>
  <c r="FF161" i="11"/>
  <c r="FG161" i="11"/>
  <c r="FH161" i="11"/>
  <c r="FI161" i="11"/>
  <c r="FJ161" i="11"/>
  <c r="FK161" i="11"/>
  <c r="FL161" i="11"/>
  <c r="FM161" i="11"/>
  <c r="FN161" i="11"/>
  <c r="FO161" i="11"/>
  <c r="FP161" i="11"/>
  <c r="FQ161" i="11"/>
  <c r="FR161" i="11"/>
  <c r="FS161" i="11"/>
  <c r="FT161" i="11"/>
  <c r="FU161" i="11"/>
  <c r="FV161" i="11"/>
  <c r="FW161" i="11"/>
  <c r="FX161" i="11"/>
  <c r="FY161" i="11"/>
  <c r="FZ161" i="11"/>
  <c r="GA161" i="11"/>
  <c r="GB161" i="11"/>
  <c r="GC161" i="11"/>
  <c r="GD161" i="11"/>
  <c r="GE161" i="11"/>
  <c r="GF161" i="11"/>
  <c r="GG161" i="11"/>
  <c r="GH161" i="11"/>
  <c r="GI161" i="11"/>
  <c r="GJ161" i="11"/>
  <c r="GK161" i="11"/>
  <c r="GL161" i="11"/>
  <c r="GM161" i="11"/>
  <c r="GN161" i="11"/>
  <c r="GO161" i="11"/>
  <c r="GP161" i="11"/>
  <c r="GQ161" i="11"/>
  <c r="GR161" i="11"/>
  <c r="GS161" i="11"/>
  <c r="GT161" i="11"/>
  <c r="GU161" i="11"/>
  <c r="GV161" i="11"/>
  <c r="GW161" i="11"/>
  <c r="GX161" i="11"/>
  <c r="GY161" i="11"/>
  <c r="GZ161" i="11"/>
  <c r="HA161" i="11"/>
  <c r="HB161" i="11"/>
  <c r="HC161" i="11"/>
  <c r="HD161" i="11"/>
  <c r="HE161" i="11"/>
  <c r="HF161" i="11"/>
  <c r="HG161" i="11"/>
  <c r="HH161" i="11"/>
  <c r="HI161" i="11"/>
  <c r="HJ161" i="11"/>
  <c r="HK161" i="11"/>
  <c r="HL161" i="11"/>
  <c r="HM161" i="11"/>
  <c r="HN161" i="11"/>
  <c r="HO161" i="11"/>
  <c r="HP161" i="11"/>
  <c r="HQ161" i="11"/>
  <c r="HR161" i="11"/>
  <c r="HS161" i="11"/>
  <c r="HT161" i="11"/>
  <c r="HU161" i="11"/>
  <c r="HV161" i="11"/>
  <c r="HW161" i="11"/>
  <c r="HX161" i="11"/>
  <c r="HY161" i="11"/>
  <c r="HZ161" i="11"/>
  <c r="IA161" i="11"/>
  <c r="IB161" i="11"/>
  <c r="IC161" i="11"/>
  <c r="ID161" i="11"/>
  <c r="IE161" i="11"/>
  <c r="IF161" i="11"/>
  <c r="IG161" i="11"/>
  <c r="IH161" i="11"/>
  <c r="II161" i="11"/>
  <c r="IJ161" i="11"/>
  <c r="IK161" i="11"/>
  <c r="IL161" i="11"/>
  <c r="IM161" i="11"/>
  <c r="IN161" i="11"/>
  <c r="IO161" i="11"/>
  <c r="IP161" i="11"/>
  <c r="IQ161" i="11"/>
  <c r="IR161" i="11"/>
  <c r="IS161" i="11"/>
  <c r="IT161" i="11"/>
  <c r="IU161" i="11"/>
  <c r="IV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AC162" i="11"/>
  <c r="AD162" i="11"/>
  <c r="AE162" i="11"/>
  <c r="AF162" i="11"/>
  <c r="AG162" i="11"/>
  <c r="AH162" i="11"/>
  <c r="AI162" i="11"/>
  <c r="AJ162" i="11"/>
  <c r="AK162" i="11"/>
  <c r="AL162" i="11"/>
  <c r="AM162" i="11"/>
  <c r="AN162" i="11"/>
  <c r="AO162" i="11"/>
  <c r="AP162" i="11"/>
  <c r="AQ162" i="11"/>
  <c r="AR162" i="11"/>
  <c r="AS162" i="11"/>
  <c r="AT162" i="11"/>
  <c r="AU162" i="11"/>
  <c r="AV162" i="11"/>
  <c r="AW162" i="11"/>
  <c r="AX162" i="11"/>
  <c r="AY162" i="11"/>
  <c r="AZ162" i="11"/>
  <c r="BA162" i="11"/>
  <c r="BB162" i="11"/>
  <c r="BC162" i="11"/>
  <c r="BD162" i="11"/>
  <c r="BE162" i="11"/>
  <c r="BF162" i="11"/>
  <c r="BG162" i="11"/>
  <c r="BH162" i="11"/>
  <c r="BI162" i="11"/>
  <c r="BJ162" i="11"/>
  <c r="BK162" i="11"/>
  <c r="BL162" i="11"/>
  <c r="BM162" i="11"/>
  <c r="BN162" i="11"/>
  <c r="BO162" i="11"/>
  <c r="BP162" i="11"/>
  <c r="BQ162" i="11"/>
  <c r="BR162" i="11"/>
  <c r="BS162" i="11"/>
  <c r="BT162" i="11"/>
  <c r="BU162" i="11"/>
  <c r="BV162" i="11"/>
  <c r="BW162" i="11"/>
  <c r="BX162" i="11"/>
  <c r="BY162" i="11"/>
  <c r="BZ162" i="11"/>
  <c r="CA162" i="11"/>
  <c r="CB162" i="11"/>
  <c r="CC162" i="11"/>
  <c r="CD162" i="11"/>
  <c r="CE162" i="11"/>
  <c r="CF162" i="11"/>
  <c r="CG162" i="11"/>
  <c r="CH162" i="11"/>
  <c r="CI162" i="11"/>
  <c r="CJ162" i="11"/>
  <c r="CK162" i="11"/>
  <c r="CL162" i="11"/>
  <c r="CM162" i="11"/>
  <c r="CN162" i="11"/>
  <c r="CO162" i="11"/>
  <c r="CP162" i="11"/>
  <c r="CQ162" i="11"/>
  <c r="CR162" i="11"/>
  <c r="CS162" i="11"/>
  <c r="CT162" i="11"/>
  <c r="CU162" i="11"/>
  <c r="CV162" i="11"/>
  <c r="CW162" i="11"/>
  <c r="CX162" i="11"/>
  <c r="CY162" i="11"/>
  <c r="CZ162" i="11"/>
  <c r="DA162" i="11"/>
  <c r="DB162" i="11"/>
  <c r="DC162" i="11"/>
  <c r="DD162" i="11"/>
  <c r="DE162" i="11"/>
  <c r="DF162" i="11"/>
  <c r="DG162" i="11"/>
  <c r="DH162" i="11"/>
  <c r="DI162" i="11"/>
  <c r="DJ162" i="11"/>
  <c r="DK162" i="11"/>
  <c r="DL162" i="11"/>
  <c r="DM162" i="11"/>
  <c r="DN162" i="11"/>
  <c r="DO162" i="11"/>
  <c r="DP162" i="11"/>
  <c r="DQ162" i="11"/>
  <c r="DR162" i="11"/>
  <c r="DS162" i="11"/>
  <c r="DT162" i="11"/>
  <c r="DU162" i="11"/>
  <c r="DV162" i="11"/>
  <c r="DW162" i="11"/>
  <c r="DX162" i="11"/>
  <c r="DY162" i="11"/>
  <c r="DZ162" i="11"/>
  <c r="EA162" i="11"/>
  <c r="EB162" i="11"/>
  <c r="EC162" i="11"/>
  <c r="ED162" i="11"/>
  <c r="EE162" i="11"/>
  <c r="EF162" i="11"/>
  <c r="EG162" i="11"/>
  <c r="EH162" i="11"/>
  <c r="EI162" i="11"/>
  <c r="EJ162" i="11"/>
  <c r="EK162" i="11"/>
  <c r="EL162" i="11"/>
  <c r="EM162" i="11"/>
  <c r="EN162" i="11"/>
  <c r="EO162" i="11"/>
  <c r="EP162" i="11"/>
  <c r="EQ162" i="11"/>
  <c r="ER162" i="11"/>
  <c r="ES162" i="11"/>
  <c r="ET162" i="11"/>
  <c r="EU162" i="11"/>
  <c r="EV162" i="11"/>
  <c r="EW162" i="11"/>
  <c r="EX162" i="11"/>
  <c r="EY162" i="11"/>
  <c r="EZ162" i="11"/>
  <c r="FA162" i="11"/>
  <c r="FB162" i="11"/>
  <c r="FC162" i="11"/>
  <c r="FD162" i="11"/>
  <c r="FE162" i="11"/>
  <c r="FF162" i="11"/>
  <c r="FG162" i="11"/>
  <c r="FH162" i="11"/>
  <c r="FI162" i="11"/>
  <c r="FJ162" i="11"/>
  <c r="FK162" i="11"/>
  <c r="FL162" i="11"/>
  <c r="FM162" i="11"/>
  <c r="FN162" i="11"/>
  <c r="FO162" i="11"/>
  <c r="FP162" i="11"/>
  <c r="FQ162" i="11"/>
  <c r="FR162" i="11"/>
  <c r="FS162" i="11"/>
  <c r="FT162" i="11"/>
  <c r="FU162" i="11"/>
  <c r="FV162" i="11"/>
  <c r="FW162" i="11"/>
  <c r="FX162" i="11"/>
  <c r="FY162" i="11"/>
  <c r="FZ162" i="11"/>
  <c r="GA162" i="11"/>
  <c r="GB162" i="11"/>
  <c r="GC162" i="11"/>
  <c r="GD162" i="11"/>
  <c r="GE162" i="11"/>
  <c r="GF162" i="11"/>
  <c r="GG162" i="11"/>
  <c r="GH162" i="11"/>
  <c r="GI162" i="11"/>
  <c r="GJ162" i="11"/>
  <c r="GK162" i="11"/>
  <c r="GL162" i="11"/>
  <c r="GM162" i="11"/>
  <c r="GN162" i="11"/>
  <c r="GO162" i="11"/>
  <c r="GP162" i="11"/>
  <c r="GQ162" i="11"/>
  <c r="GR162" i="11"/>
  <c r="GS162" i="11"/>
  <c r="GT162" i="11"/>
  <c r="GU162" i="11"/>
  <c r="GV162" i="11"/>
  <c r="GW162" i="11"/>
  <c r="GX162" i="11"/>
  <c r="GY162" i="11"/>
  <c r="GZ162" i="11"/>
  <c r="HA162" i="11"/>
  <c r="HB162" i="11"/>
  <c r="HC162" i="11"/>
  <c r="HD162" i="11"/>
  <c r="HE162" i="11"/>
  <c r="HF162" i="11"/>
  <c r="HG162" i="11"/>
  <c r="HH162" i="11"/>
  <c r="HI162" i="11"/>
  <c r="HJ162" i="11"/>
  <c r="HK162" i="11"/>
  <c r="HL162" i="11"/>
  <c r="HM162" i="11"/>
  <c r="HN162" i="11"/>
  <c r="HO162" i="11"/>
  <c r="HP162" i="11"/>
  <c r="HQ162" i="11"/>
  <c r="HR162" i="11"/>
  <c r="HS162" i="11"/>
  <c r="HT162" i="11"/>
  <c r="HU162" i="11"/>
  <c r="HV162" i="11"/>
  <c r="HW162" i="11"/>
  <c r="HX162" i="11"/>
  <c r="HY162" i="11"/>
  <c r="HZ162" i="11"/>
  <c r="IA162" i="11"/>
  <c r="IB162" i="11"/>
  <c r="IC162" i="11"/>
  <c r="ID162" i="11"/>
  <c r="IE162" i="11"/>
  <c r="IF162" i="11"/>
  <c r="IG162" i="11"/>
  <c r="IH162" i="11"/>
  <c r="II162" i="11"/>
  <c r="IJ162" i="11"/>
  <c r="IK162" i="11"/>
  <c r="IL162" i="11"/>
  <c r="IM162" i="11"/>
  <c r="IN162" i="11"/>
  <c r="IO162" i="11"/>
  <c r="IP162" i="11"/>
  <c r="IQ162" i="11"/>
  <c r="IR162" i="11"/>
  <c r="IS162" i="11"/>
  <c r="IT162" i="11"/>
  <c r="IU162" i="11"/>
  <c r="IV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AC163" i="11"/>
  <c r="AD163" i="11"/>
  <c r="AE163" i="11"/>
  <c r="AF163" i="11"/>
  <c r="AG163" i="11"/>
  <c r="AH163" i="11"/>
  <c r="AI163" i="11"/>
  <c r="AJ163" i="11"/>
  <c r="AK163" i="11"/>
  <c r="AL163" i="11"/>
  <c r="AM163" i="11"/>
  <c r="AN163" i="11"/>
  <c r="AO163" i="11"/>
  <c r="AP163" i="11"/>
  <c r="AQ163" i="11"/>
  <c r="AR163" i="11"/>
  <c r="AS163" i="11"/>
  <c r="AT163" i="11"/>
  <c r="AU163" i="11"/>
  <c r="AV163" i="11"/>
  <c r="AW163" i="11"/>
  <c r="AX163" i="11"/>
  <c r="AY163" i="11"/>
  <c r="AZ163" i="11"/>
  <c r="BA163" i="11"/>
  <c r="BB163" i="11"/>
  <c r="BC163" i="11"/>
  <c r="BD163" i="11"/>
  <c r="BE163" i="11"/>
  <c r="BF163" i="11"/>
  <c r="BG163" i="11"/>
  <c r="BH163" i="11"/>
  <c r="BI163" i="11"/>
  <c r="BJ163" i="11"/>
  <c r="BK163" i="11"/>
  <c r="BL163" i="11"/>
  <c r="BM163" i="11"/>
  <c r="BN163" i="11"/>
  <c r="BO163" i="11"/>
  <c r="BP163" i="11"/>
  <c r="BQ163" i="11"/>
  <c r="BR163" i="11"/>
  <c r="BS163" i="11"/>
  <c r="BT163" i="11"/>
  <c r="BU163" i="11"/>
  <c r="BV163" i="11"/>
  <c r="BW163" i="11"/>
  <c r="BX163" i="11"/>
  <c r="BY163" i="11"/>
  <c r="BZ163" i="11"/>
  <c r="CA163" i="11"/>
  <c r="CB163" i="11"/>
  <c r="CC163" i="11"/>
  <c r="CD163" i="11"/>
  <c r="CE163" i="11"/>
  <c r="CF163" i="11"/>
  <c r="CG163" i="11"/>
  <c r="CH163" i="11"/>
  <c r="CI163" i="11"/>
  <c r="CJ163" i="11"/>
  <c r="CK163" i="11"/>
  <c r="CL163" i="11"/>
  <c r="CM163" i="11"/>
  <c r="CN163" i="11"/>
  <c r="CO163" i="11"/>
  <c r="CP163" i="11"/>
  <c r="CQ163" i="11"/>
  <c r="CR163" i="11"/>
  <c r="CS163" i="11"/>
  <c r="CT163" i="11"/>
  <c r="CU163" i="11"/>
  <c r="CV163" i="11"/>
  <c r="CW163" i="11"/>
  <c r="CX163" i="11"/>
  <c r="CY163" i="11"/>
  <c r="CZ163" i="11"/>
  <c r="DA163" i="11"/>
  <c r="DB163" i="11"/>
  <c r="DC163" i="11"/>
  <c r="DD163" i="11"/>
  <c r="DE163" i="11"/>
  <c r="DF163" i="11"/>
  <c r="DG163" i="11"/>
  <c r="DH163" i="11"/>
  <c r="DI163" i="11"/>
  <c r="DJ163" i="11"/>
  <c r="DK163" i="11"/>
  <c r="DL163" i="11"/>
  <c r="DM163" i="11"/>
  <c r="DN163" i="11"/>
  <c r="DO163" i="11"/>
  <c r="DP163" i="11"/>
  <c r="DQ163" i="11"/>
  <c r="DR163" i="11"/>
  <c r="DS163" i="11"/>
  <c r="DT163" i="11"/>
  <c r="DU163" i="11"/>
  <c r="DV163" i="11"/>
  <c r="DW163" i="11"/>
  <c r="DX163" i="11"/>
  <c r="DY163" i="11"/>
  <c r="DZ163" i="11"/>
  <c r="EA163" i="11"/>
  <c r="EB163" i="11"/>
  <c r="EC163" i="11"/>
  <c r="ED163" i="11"/>
  <c r="EE163" i="11"/>
  <c r="EF163" i="11"/>
  <c r="EG163" i="11"/>
  <c r="EH163" i="11"/>
  <c r="EI163" i="11"/>
  <c r="EJ163" i="11"/>
  <c r="EK163" i="11"/>
  <c r="EL163" i="11"/>
  <c r="EM163" i="11"/>
  <c r="EN163" i="11"/>
  <c r="EO163" i="11"/>
  <c r="EP163" i="11"/>
  <c r="EQ163" i="11"/>
  <c r="ER163" i="11"/>
  <c r="ES163" i="11"/>
  <c r="ET163" i="11"/>
  <c r="EU163" i="11"/>
  <c r="EV163" i="11"/>
  <c r="EW163" i="11"/>
  <c r="EX163" i="11"/>
  <c r="EY163" i="11"/>
  <c r="EZ163" i="11"/>
  <c r="FA163" i="11"/>
  <c r="FB163" i="11"/>
  <c r="FC163" i="11"/>
  <c r="FD163" i="11"/>
  <c r="FE163" i="11"/>
  <c r="FF163" i="11"/>
  <c r="FG163" i="11"/>
  <c r="FH163" i="11"/>
  <c r="FI163" i="11"/>
  <c r="FJ163" i="11"/>
  <c r="FK163" i="11"/>
  <c r="FL163" i="11"/>
  <c r="FM163" i="11"/>
  <c r="FN163" i="11"/>
  <c r="FO163" i="11"/>
  <c r="FP163" i="11"/>
  <c r="FQ163" i="11"/>
  <c r="FR163" i="11"/>
  <c r="FS163" i="11"/>
  <c r="FT163" i="11"/>
  <c r="FU163" i="11"/>
  <c r="FV163" i="11"/>
  <c r="FW163" i="11"/>
  <c r="FX163" i="11"/>
  <c r="FY163" i="11"/>
  <c r="FZ163" i="11"/>
  <c r="GA163" i="11"/>
  <c r="GB163" i="11"/>
  <c r="GC163" i="11"/>
  <c r="GD163" i="11"/>
  <c r="GE163" i="11"/>
  <c r="GF163" i="11"/>
  <c r="GG163" i="11"/>
  <c r="GH163" i="11"/>
  <c r="GI163" i="11"/>
  <c r="GJ163" i="11"/>
  <c r="GK163" i="11"/>
  <c r="GL163" i="11"/>
  <c r="GM163" i="11"/>
  <c r="GN163" i="11"/>
  <c r="GO163" i="11"/>
  <c r="GP163" i="11"/>
  <c r="GQ163" i="11"/>
  <c r="GR163" i="11"/>
  <c r="GS163" i="11"/>
  <c r="GT163" i="11"/>
  <c r="GU163" i="11"/>
  <c r="GV163" i="11"/>
  <c r="GW163" i="11"/>
  <c r="GX163" i="11"/>
  <c r="GY163" i="11"/>
  <c r="GZ163" i="11"/>
  <c r="HA163" i="11"/>
  <c r="HB163" i="11"/>
  <c r="HC163" i="11"/>
  <c r="HD163" i="11"/>
  <c r="HE163" i="11"/>
  <c r="HF163" i="11"/>
  <c r="HG163" i="11"/>
  <c r="HH163" i="11"/>
  <c r="HI163" i="11"/>
  <c r="HJ163" i="11"/>
  <c r="HK163" i="11"/>
  <c r="HL163" i="11"/>
  <c r="HM163" i="11"/>
  <c r="HN163" i="11"/>
  <c r="HO163" i="11"/>
  <c r="HP163" i="11"/>
  <c r="HQ163" i="11"/>
  <c r="HR163" i="11"/>
  <c r="HS163" i="11"/>
  <c r="HT163" i="11"/>
  <c r="HU163" i="11"/>
  <c r="HV163" i="11"/>
  <c r="HW163" i="11"/>
  <c r="HX163" i="11"/>
  <c r="HY163" i="11"/>
  <c r="HZ163" i="11"/>
  <c r="IA163" i="11"/>
  <c r="IB163" i="11"/>
  <c r="IC163" i="11"/>
  <c r="ID163" i="11"/>
  <c r="IE163" i="11"/>
  <c r="IF163" i="11"/>
  <c r="IG163" i="11"/>
  <c r="IH163" i="11"/>
  <c r="II163" i="11"/>
  <c r="IJ163" i="11"/>
  <c r="IK163" i="11"/>
  <c r="IL163" i="11"/>
  <c r="IM163" i="11"/>
  <c r="IN163" i="11"/>
  <c r="IO163" i="11"/>
  <c r="IP163" i="11"/>
  <c r="IQ163" i="11"/>
  <c r="IR163" i="11"/>
  <c r="IS163" i="11"/>
  <c r="IT163" i="11"/>
  <c r="IU163" i="11"/>
  <c r="IV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AC164" i="11"/>
  <c r="AD164" i="11"/>
  <c r="AE164" i="11"/>
  <c r="AF164" i="11"/>
  <c r="AG164" i="11"/>
  <c r="AH164" i="11"/>
  <c r="AI164" i="11"/>
  <c r="AJ164" i="11"/>
  <c r="AK164" i="11"/>
  <c r="AL164" i="11"/>
  <c r="AM164" i="11"/>
  <c r="AN164" i="11"/>
  <c r="AO164" i="11"/>
  <c r="AP164" i="11"/>
  <c r="AQ164" i="11"/>
  <c r="AR164" i="11"/>
  <c r="AS164" i="11"/>
  <c r="AT164" i="11"/>
  <c r="AU164" i="11"/>
  <c r="AV164" i="11"/>
  <c r="AW164" i="11"/>
  <c r="AX164" i="11"/>
  <c r="AY164" i="11"/>
  <c r="AZ164" i="11"/>
  <c r="BA164" i="11"/>
  <c r="BB164" i="11"/>
  <c r="BC164" i="11"/>
  <c r="BD164" i="11"/>
  <c r="BE164" i="11"/>
  <c r="BF164" i="11"/>
  <c r="BG164" i="11"/>
  <c r="BH164" i="11"/>
  <c r="BI164" i="11"/>
  <c r="BJ164" i="11"/>
  <c r="BK164" i="11"/>
  <c r="BL164" i="11"/>
  <c r="BM164" i="11"/>
  <c r="BN164" i="11"/>
  <c r="BO164" i="11"/>
  <c r="BP164" i="11"/>
  <c r="BQ164" i="11"/>
  <c r="BR164" i="11"/>
  <c r="BS164" i="11"/>
  <c r="BT164" i="11"/>
  <c r="BU164" i="11"/>
  <c r="BV164" i="11"/>
  <c r="BW164" i="11"/>
  <c r="BX164" i="11"/>
  <c r="BY164" i="11"/>
  <c r="BZ164" i="11"/>
  <c r="CA164" i="11"/>
  <c r="CB164" i="11"/>
  <c r="CC164" i="11"/>
  <c r="CD164" i="11"/>
  <c r="CE164" i="11"/>
  <c r="CF164" i="11"/>
  <c r="CG164" i="11"/>
  <c r="CH164" i="11"/>
  <c r="CI164" i="11"/>
  <c r="CJ164" i="11"/>
  <c r="CK164" i="11"/>
  <c r="CL164" i="11"/>
  <c r="CM164" i="11"/>
  <c r="CN164" i="11"/>
  <c r="CO164" i="11"/>
  <c r="CP164" i="11"/>
  <c r="CQ164" i="11"/>
  <c r="CR164" i="11"/>
  <c r="CS164" i="11"/>
  <c r="CT164" i="11"/>
  <c r="CU164" i="11"/>
  <c r="CV164" i="11"/>
  <c r="CW164" i="11"/>
  <c r="CX164" i="11"/>
  <c r="CY164" i="11"/>
  <c r="CZ164" i="11"/>
  <c r="DA164" i="11"/>
  <c r="DB164" i="11"/>
  <c r="DC164" i="11"/>
  <c r="DD164" i="11"/>
  <c r="DE164" i="11"/>
  <c r="DF164" i="11"/>
  <c r="DG164" i="11"/>
  <c r="DH164" i="11"/>
  <c r="DI164" i="11"/>
  <c r="DJ164" i="11"/>
  <c r="DK164" i="11"/>
  <c r="DL164" i="11"/>
  <c r="DM164" i="11"/>
  <c r="DN164" i="11"/>
  <c r="DO164" i="11"/>
  <c r="DP164" i="11"/>
  <c r="DQ164" i="11"/>
  <c r="DR164" i="11"/>
  <c r="DS164" i="11"/>
  <c r="DT164" i="11"/>
  <c r="DU164" i="11"/>
  <c r="DV164" i="11"/>
  <c r="DW164" i="11"/>
  <c r="DX164" i="11"/>
  <c r="DY164" i="11"/>
  <c r="DZ164" i="11"/>
  <c r="EA164" i="11"/>
  <c r="EB164" i="11"/>
  <c r="EC164" i="11"/>
  <c r="ED164" i="11"/>
  <c r="EE164" i="11"/>
  <c r="EF164" i="11"/>
  <c r="EG164" i="11"/>
  <c r="EH164" i="11"/>
  <c r="EI164" i="11"/>
  <c r="EJ164" i="11"/>
  <c r="EK164" i="11"/>
  <c r="EL164" i="11"/>
  <c r="EM164" i="11"/>
  <c r="EN164" i="11"/>
  <c r="EO164" i="11"/>
  <c r="EP164" i="11"/>
  <c r="EQ164" i="11"/>
  <c r="ER164" i="11"/>
  <c r="ES164" i="11"/>
  <c r="ET164" i="11"/>
  <c r="EU164" i="11"/>
  <c r="EV164" i="11"/>
  <c r="EW164" i="11"/>
  <c r="EX164" i="11"/>
  <c r="EY164" i="11"/>
  <c r="EZ164" i="11"/>
  <c r="FA164" i="11"/>
  <c r="FB164" i="11"/>
  <c r="FC164" i="11"/>
  <c r="FD164" i="11"/>
  <c r="FE164" i="11"/>
  <c r="FF164" i="11"/>
  <c r="FG164" i="11"/>
  <c r="FH164" i="11"/>
  <c r="FI164" i="11"/>
  <c r="FJ164" i="11"/>
  <c r="FK164" i="11"/>
  <c r="FL164" i="11"/>
  <c r="FM164" i="11"/>
  <c r="FN164" i="11"/>
  <c r="FO164" i="11"/>
  <c r="FP164" i="11"/>
  <c r="FQ164" i="11"/>
  <c r="FR164" i="11"/>
  <c r="FS164" i="11"/>
  <c r="FT164" i="11"/>
  <c r="FU164" i="11"/>
  <c r="FV164" i="11"/>
  <c r="FW164" i="11"/>
  <c r="FX164" i="11"/>
  <c r="FY164" i="11"/>
  <c r="FZ164" i="11"/>
  <c r="GA164" i="11"/>
  <c r="GB164" i="11"/>
  <c r="GC164" i="11"/>
  <c r="GD164" i="11"/>
  <c r="GE164" i="11"/>
  <c r="GF164" i="11"/>
  <c r="GG164" i="11"/>
  <c r="GH164" i="11"/>
  <c r="GI164" i="11"/>
  <c r="GJ164" i="11"/>
  <c r="GK164" i="11"/>
  <c r="GL164" i="11"/>
  <c r="GM164" i="11"/>
  <c r="GN164" i="11"/>
  <c r="GO164" i="11"/>
  <c r="GP164" i="11"/>
  <c r="GQ164" i="11"/>
  <c r="GR164" i="11"/>
  <c r="GS164" i="11"/>
  <c r="GT164" i="11"/>
  <c r="GU164" i="11"/>
  <c r="GV164" i="11"/>
  <c r="GW164" i="11"/>
  <c r="GX164" i="11"/>
  <c r="GY164" i="11"/>
  <c r="GZ164" i="11"/>
  <c r="HA164" i="11"/>
  <c r="HB164" i="11"/>
  <c r="HC164" i="11"/>
  <c r="HD164" i="11"/>
  <c r="HE164" i="11"/>
  <c r="HF164" i="11"/>
  <c r="HG164" i="11"/>
  <c r="HH164" i="11"/>
  <c r="HI164" i="11"/>
  <c r="HJ164" i="11"/>
  <c r="HK164" i="11"/>
  <c r="HL164" i="11"/>
  <c r="HM164" i="11"/>
  <c r="HN164" i="11"/>
  <c r="HO164" i="11"/>
  <c r="HP164" i="11"/>
  <c r="HQ164" i="11"/>
  <c r="HR164" i="11"/>
  <c r="HS164" i="11"/>
  <c r="HT164" i="11"/>
  <c r="HU164" i="11"/>
  <c r="HV164" i="11"/>
  <c r="HW164" i="11"/>
  <c r="HX164" i="11"/>
  <c r="HY164" i="11"/>
  <c r="HZ164" i="11"/>
  <c r="IA164" i="11"/>
  <c r="IB164" i="11"/>
  <c r="IC164" i="11"/>
  <c r="ID164" i="11"/>
  <c r="IE164" i="11"/>
  <c r="IF164" i="11"/>
  <c r="IG164" i="11"/>
  <c r="IH164" i="11"/>
  <c r="II164" i="11"/>
  <c r="IJ164" i="11"/>
  <c r="IK164" i="11"/>
  <c r="IL164" i="11"/>
  <c r="IM164" i="11"/>
  <c r="IN164" i="11"/>
  <c r="IO164" i="11"/>
  <c r="IP164" i="11"/>
  <c r="IQ164" i="11"/>
  <c r="IR164" i="11"/>
  <c r="IS164" i="11"/>
  <c r="IT164" i="11"/>
  <c r="IU164" i="11"/>
  <c r="IV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AC165" i="11"/>
  <c r="AD165" i="11"/>
  <c r="AE165" i="11"/>
  <c r="AF165" i="11"/>
  <c r="AG165" i="11"/>
  <c r="AH165" i="11"/>
  <c r="AI165" i="11"/>
  <c r="AJ165" i="11"/>
  <c r="AK165" i="11"/>
  <c r="AL165" i="11"/>
  <c r="AM165" i="11"/>
  <c r="AN165" i="11"/>
  <c r="AO165" i="11"/>
  <c r="AP165" i="11"/>
  <c r="AQ165" i="11"/>
  <c r="AR165" i="11"/>
  <c r="AS165" i="11"/>
  <c r="AT165" i="11"/>
  <c r="AU165" i="11"/>
  <c r="AV165" i="11"/>
  <c r="AW165" i="11"/>
  <c r="AX165" i="11"/>
  <c r="AY165" i="11"/>
  <c r="AZ165" i="11"/>
  <c r="BA165" i="11"/>
  <c r="BB165" i="11"/>
  <c r="BC165" i="11"/>
  <c r="BD165" i="11"/>
  <c r="BE165" i="11"/>
  <c r="BF165" i="11"/>
  <c r="BG165" i="11"/>
  <c r="BH165" i="11"/>
  <c r="BI165" i="11"/>
  <c r="BJ165" i="11"/>
  <c r="BK165" i="11"/>
  <c r="BL165" i="11"/>
  <c r="BM165" i="11"/>
  <c r="BN165" i="11"/>
  <c r="BO165" i="11"/>
  <c r="BP165" i="11"/>
  <c r="BQ165" i="11"/>
  <c r="BR165" i="11"/>
  <c r="BS165" i="11"/>
  <c r="BT165" i="11"/>
  <c r="BU165" i="11"/>
  <c r="BV165" i="11"/>
  <c r="BW165" i="11"/>
  <c r="BX165" i="11"/>
  <c r="BY165" i="11"/>
  <c r="BZ165" i="11"/>
  <c r="CA165" i="11"/>
  <c r="CB165" i="11"/>
  <c r="CC165" i="11"/>
  <c r="CD165" i="11"/>
  <c r="CE165" i="11"/>
  <c r="CF165" i="11"/>
  <c r="CG165" i="11"/>
  <c r="CH165" i="11"/>
  <c r="CI165" i="11"/>
  <c r="CJ165" i="11"/>
  <c r="CK165" i="11"/>
  <c r="CL165" i="11"/>
  <c r="CM165" i="11"/>
  <c r="CN165" i="11"/>
  <c r="CO165" i="11"/>
  <c r="CP165" i="11"/>
  <c r="CQ165" i="11"/>
  <c r="CR165" i="11"/>
  <c r="CS165" i="11"/>
  <c r="CT165" i="11"/>
  <c r="CU165" i="11"/>
  <c r="CV165" i="11"/>
  <c r="CW165" i="11"/>
  <c r="CX165" i="11"/>
  <c r="CY165" i="11"/>
  <c r="CZ165" i="11"/>
  <c r="DA165" i="11"/>
  <c r="DB165" i="11"/>
  <c r="DC165" i="11"/>
  <c r="DD165" i="11"/>
  <c r="DE165" i="11"/>
  <c r="DF165" i="11"/>
  <c r="DG165" i="11"/>
  <c r="DH165" i="11"/>
  <c r="DI165" i="11"/>
  <c r="DJ165" i="11"/>
  <c r="DK165" i="11"/>
  <c r="DL165" i="11"/>
  <c r="DM165" i="11"/>
  <c r="DN165" i="11"/>
  <c r="DO165" i="11"/>
  <c r="DP165" i="11"/>
  <c r="DQ165" i="11"/>
  <c r="DR165" i="11"/>
  <c r="DS165" i="11"/>
  <c r="DT165" i="11"/>
  <c r="DU165" i="11"/>
  <c r="DV165" i="11"/>
  <c r="DW165" i="11"/>
  <c r="DX165" i="11"/>
  <c r="DY165" i="11"/>
  <c r="DZ165" i="11"/>
  <c r="EA165" i="11"/>
  <c r="EB165" i="11"/>
  <c r="EC165" i="11"/>
  <c r="ED165" i="11"/>
  <c r="EE165" i="11"/>
  <c r="EF165" i="11"/>
  <c r="EG165" i="11"/>
  <c r="EH165" i="11"/>
  <c r="EI165" i="11"/>
  <c r="EJ165" i="11"/>
  <c r="EK165" i="11"/>
  <c r="EL165" i="11"/>
  <c r="EM165" i="11"/>
  <c r="EN165" i="11"/>
  <c r="EO165" i="11"/>
  <c r="EP165" i="11"/>
  <c r="EQ165" i="11"/>
  <c r="ER165" i="11"/>
  <c r="ES165" i="11"/>
  <c r="ET165" i="11"/>
  <c r="EU165" i="11"/>
  <c r="EV165" i="11"/>
  <c r="EW165" i="11"/>
  <c r="EX165" i="11"/>
  <c r="EY165" i="11"/>
  <c r="EZ165" i="11"/>
  <c r="FA165" i="11"/>
  <c r="FB165" i="11"/>
  <c r="FC165" i="11"/>
  <c r="FD165" i="11"/>
  <c r="FE165" i="11"/>
  <c r="FF165" i="11"/>
  <c r="FG165" i="11"/>
  <c r="FH165" i="11"/>
  <c r="FI165" i="11"/>
  <c r="FJ165" i="11"/>
  <c r="FK165" i="11"/>
  <c r="FL165" i="11"/>
  <c r="FM165" i="11"/>
  <c r="FN165" i="11"/>
  <c r="FO165" i="11"/>
  <c r="FP165" i="11"/>
  <c r="FQ165" i="11"/>
  <c r="FR165" i="11"/>
  <c r="FS165" i="11"/>
  <c r="FT165" i="11"/>
  <c r="FU165" i="11"/>
  <c r="FV165" i="11"/>
  <c r="FW165" i="11"/>
  <c r="FX165" i="11"/>
  <c r="FY165" i="11"/>
  <c r="FZ165" i="11"/>
  <c r="GA165" i="11"/>
  <c r="GB165" i="11"/>
  <c r="GC165" i="11"/>
  <c r="GD165" i="11"/>
  <c r="GE165" i="11"/>
  <c r="GF165" i="11"/>
  <c r="GG165" i="11"/>
  <c r="GH165" i="11"/>
  <c r="GI165" i="11"/>
  <c r="GJ165" i="11"/>
  <c r="GK165" i="11"/>
  <c r="GL165" i="11"/>
  <c r="GM165" i="11"/>
  <c r="GN165" i="11"/>
  <c r="GO165" i="11"/>
  <c r="GP165" i="11"/>
  <c r="GQ165" i="11"/>
  <c r="GR165" i="11"/>
  <c r="GS165" i="11"/>
  <c r="GT165" i="11"/>
  <c r="GU165" i="11"/>
  <c r="GV165" i="11"/>
  <c r="GW165" i="11"/>
  <c r="GX165" i="11"/>
  <c r="GY165" i="11"/>
  <c r="GZ165" i="11"/>
  <c r="HA165" i="11"/>
  <c r="HB165" i="11"/>
  <c r="HC165" i="11"/>
  <c r="HD165" i="11"/>
  <c r="HE165" i="11"/>
  <c r="HF165" i="11"/>
  <c r="HG165" i="11"/>
  <c r="HH165" i="11"/>
  <c r="HI165" i="11"/>
  <c r="HJ165" i="11"/>
  <c r="HK165" i="11"/>
  <c r="HL165" i="11"/>
  <c r="HM165" i="11"/>
  <c r="HN165" i="11"/>
  <c r="HO165" i="11"/>
  <c r="HP165" i="11"/>
  <c r="HQ165" i="11"/>
  <c r="HR165" i="11"/>
  <c r="HS165" i="11"/>
  <c r="HT165" i="11"/>
  <c r="HU165" i="11"/>
  <c r="HV165" i="11"/>
  <c r="HW165" i="11"/>
  <c r="HX165" i="11"/>
  <c r="HY165" i="11"/>
  <c r="HZ165" i="11"/>
  <c r="IA165" i="11"/>
  <c r="IB165" i="11"/>
  <c r="IC165" i="11"/>
  <c r="ID165" i="11"/>
  <c r="IE165" i="11"/>
  <c r="IF165" i="11"/>
  <c r="IG165" i="11"/>
  <c r="IH165" i="11"/>
  <c r="II165" i="11"/>
  <c r="IJ165" i="11"/>
  <c r="IK165" i="11"/>
  <c r="IL165" i="11"/>
  <c r="IM165" i="11"/>
  <c r="IN165" i="11"/>
  <c r="IO165" i="11"/>
  <c r="IP165" i="11"/>
  <c r="IQ165" i="11"/>
  <c r="IR165" i="11"/>
  <c r="IS165" i="11"/>
  <c r="IT165" i="11"/>
  <c r="IU165" i="11"/>
  <c r="IV165" i="11"/>
  <c r="F166" i="11"/>
  <c r="G166" i="11"/>
  <c r="H166" i="11"/>
  <c r="I166" i="11"/>
  <c r="J166" i="11"/>
  <c r="K166" i="11"/>
  <c r="L166" i="11"/>
  <c r="M166" i="11"/>
  <c r="N166" i="11"/>
  <c r="O166" i="11"/>
  <c r="P166" i="11"/>
  <c r="Q166" i="11"/>
  <c r="R166" i="11"/>
  <c r="S166" i="11"/>
  <c r="T166" i="11"/>
  <c r="U166" i="11"/>
  <c r="V166" i="11"/>
  <c r="W166" i="11"/>
  <c r="X166" i="11"/>
  <c r="Y166" i="11"/>
  <c r="Z166" i="11"/>
  <c r="AA166" i="11"/>
  <c r="AB166" i="11"/>
  <c r="AC166" i="11"/>
  <c r="AD166" i="11"/>
  <c r="AE166" i="11"/>
  <c r="AF166" i="11"/>
  <c r="AG166" i="11"/>
  <c r="AH166" i="11"/>
  <c r="AI166" i="11"/>
  <c r="AJ166" i="11"/>
  <c r="AK166" i="11"/>
  <c r="AL166" i="11"/>
  <c r="AM166" i="11"/>
  <c r="AN166" i="11"/>
  <c r="AO166" i="11"/>
  <c r="AP166" i="11"/>
  <c r="AQ166" i="11"/>
  <c r="AR166" i="11"/>
  <c r="AS166" i="11"/>
  <c r="AT166" i="11"/>
  <c r="AU166" i="11"/>
  <c r="AV166" i="11"/>
  <c r="AW166" i="11"/>
  <c r="AX166" i="11"/>
  <c r="AY166" i="11"/>
  <c r="AZ166" i="11"/>
  <c r="BA166" i="11"/>
  <c r="BB166" i="11"/>
  <c r="BC166" i="11"/>
  <c r="BD166" i="11"/>
  <c r="BE166" i="11"/>
  <c r="BF166" i="11"/>
  <c r="BG166" i="11"/>
  <c r="BH166" i="11"/>
  <c r="BI166" i="11"/>
  <c r="BJ166" i="11"/>
  <c r="BK166" i="11"/>
  <c r="BL166" i="11"/>
  <c r="BM166" i="11"/>
  <c r="BN166" i="11"/>
  <c r="BO166" i="11"/>
  <c r="BP166" i="11"/>
  <c r="BQ166" i="11"/>
  <c r="BR166" i="11"/>
  <c r="BS166" i="11"/>
  <c r="BT166" i="11"/>
  <c r="BU166" i="11"/>
  <c r="BV166" i="11"/>
  <c r="BW166" i="11"/>
  <c r="BX166" i="11"/>
  <c r="BY166" i="11"/>
  <c r="BZ166" i="11"/>
  <c r="CA166" i="11"/>
  <c r="CB166" i="11"/>
  <c r="CC166" i="11"/>
  <c r="CD166" i="11"/>
  <c r="CE166" i="11"/>
  <c r="CF166" i="11"/>
  <c r="CG166" i="11"/>
  <c r="CH166" i="11"/>
  <c r="CI166" i="11"/>
  <c r="CJ166" i="11"/>
  <c r="CK166" i="11"/>
  <c r="CL166" i="11"/>
  <c r="CM166" i="11"/>
  <c r="CN166" i="11"/>
  <c r="CO166" i="11"/>
  <c r="CP166" i="11"/>
  <c r="CQ166" i="11"/>
  <c r="CR166" i="11"/>
  <c r="CS166" i="11"/>
  <c r="CT166" i="11"/>
  <c r="CU166" i="11"/>
  <c r="CV166" i="11"/>
  <c r="CW166" i="11"/>
  <c r="CX166" i="11"/>
  <c r="CY166" i="11"/>
  <c r="CZ166" i="11"/>
  <c r="DA166" i="11"/>
  <c r="DB166" i="11"/>
  <c r="DC166" i="11"/>
  <c r="DD166" i="11"/>
  <c r="DE166" i="11"/>
  <c r="DF166" i="11"/>
  <c r="DG166" i="11"/>
  <c r="DH166" i="11"/>
  <c r="DI166" i="11"/>
  <c r="DJ166" i="11"/>
  <c r="DK166" i="11"/>
  <c r="DL166" i="11"/>
  <c r="DM166" i="11"/>
  <c r="DN166" i="11"/>
  <c r="DO166" i="11"/>
  <c r="DP166" i="11"/>
  <c r="DQ166" i="11"/>
  <c r="DR166" i="11"/>
  <c r="DS166" i="11"/>
  <c r="DT166" i="11"/>
  <c r="DU166" i="11"/>
  <c r="DV166" i="11"/>
  <c r="DW166" i="11"/>
  <c r="DX166" i="11"/>
  <c r="DY166" i="11"/>
  <c r="DZ166" i="11"/>
  <c r="EA166" i="11"/>
  <c r="EB166" i="11"/>
  <c r="EC166" i="11"/>
  <c r="ED166" i="11"/>
  <c r="EE166" i="11"/>
  <c r="EF166" i="11"/>
  <c r="EG166" i="11"/>
  <c r="EH166" i="11"/>
  <c r="EI166" i="11"/>
  <c r="EJ166" i="11"/>
  <c r="EK166" i="11"/>
  <c r="EL166" i="11"/>
  <c r="EM166" i="11"/>
  <c r="EN166" i="11"/>
  <c r="EO166" i="11"/>
  <c r="EP166" i="11"/>
  <c r="EQ166" i="11"/>
  <c r="ER166" i="11"/>
  <c r="ES166" i="11"/>
  <c r="ET166" i="11"/>
  <c r="EU166" i="11"/>
  <c r="EV166" i="11"/>
  <c r="EW166" i="11"/>
  <c r="EX166" i="11"/>
  <c r="EY166" i="11"/>
  <c r="EZ166" i="11"/>
  <c r="FA166" i="11"/>
  <c r="FB166" i="11"/>
  <c r="FC166" i="11"/>
  <c r="FD166" i="11"/>
  <c r="FE166" i="11"/>
  <c r="FF166" i="11"/>
  <c r="FG166" i="11"/>
  <c r="FH166" i="11"/>
  <c r="FI166" i="11"/>
  <c r="FJ166" i="11"/>
  <c r="FK166" i="11"/>
  <c r="FL166" i="11"/>
  <c r="FM166" i="11"/>
  <c r="FN166" i="11"/>
  <c r="FO166" i="11"/>
  <c r="FP166" i="11"/>
  <c r="FQ166" i="11"/>
  <c r="FR166" i="11"/>
  <c r="FS166" i="11"/>
  <c r="FT166" i="11"/>
  <c r="FU166" i="11"/>
  <c r="FV166" i="11"/>
  <c r="FW166" i="11"/>
  <c r="FX166" i="11"/>
  <c r="FY166" i="11"/>
  <c r="FZ166" i="11"/>
  <c r="GA166" i="11"/>
  <c r="GB166" i="11"/>
  <c r="GC166" i="11"/>
  <c r="GD166" i="11"/>
  <c r="GE166" i="11"/>
  <c r="GF166" i="11"/>
  <c r="GG166" i="11"/>
  <c r="GH166" i="11"/>
  <c r="GI166" i="11"/>
  <c r="GJ166" i="11"/>
  <c r="GK166" i="11"/>
  <c r="GL166" i="11"/>
  <c r="GM166" i="11"/>
  <c r="GN166" i="11"/>
  <c r="GO166" i="11"/>
  <c r="GP166" i="11"/>
  <c r="GQ166" i="11"/>
  <c r="GR166" i="11"/>
  <c r="GS166" i="11"/>
  <c r="GT166" i="11"/>
  <c r="GU166" i="11"/>
  <c r="GV166" i="11"/>
  <c r="GW166" i="11"/>
  <c r="GX166" i="11"/>
  <c r="GY166" i="11"/>
  <c r="GZ166" i="11"/>
  <c r="HA166" i="11"/>
  <c r="HB166" i="11"/>
  <c r="HC166" i="11"/>
  <c r="HD166" i="11"/>
  <c r="HE166" i="11"/>
  <c r="HF166" i="11"/>
  <c r="HG166" i="11"/>
  <c r="HH166" i="11"/>
  <c r="HI166" i="11"/>
  <c r="HJ166" i="11"/>
  <c r="HK166" i="11"/>
  <c r="HL166" i="11"/>
  <c r="HM166" i="11"/>
  <c r="HN166" i="11"/>
  <c r="HO166" i="11"/>
  <c r="HP166" i="11"/>
  <c r="HQ166" i="11"/>
  <c r="HR166" i="11"/>
  <c r="HS166" i="11"/>
  <c r="HT166" i="11"/>
  <c r="HU166" i="11"/>
  <c r="HV166" i="11"/>
  <c r="HW166" i="11"/>
  <c r="HX166" i="11"/>
  <c r="HY166" i="11"/>
  <c r="HZ166" i="11"/>
  <c r="IA166" i="11"/>
  <c r="IB166" i="11"/>
  <c r="IC166" i="11"/>
  <c r="ID166" i="11"/>
  <c r="IE166" i="11"/>
  <c r="IF166" i="11"/>
  <c r="IG166" i="11"/>
  <c r="IH166" i="11"/>
  <c r="II166" i="11"/>
  <c r="IJ166" i="11"/>
  <c r="IK166" i="11"/>
  <c r="IL166" i="11"/>
  <c r="IM166" i="11"/>
  <c r="IN166" i="11"/>
  <c r="IO166" i="11"/>
  <c r="IP166" i="11"/>
  <c r="IQ166" i="11"/>
  <c r="IR166" i="11"/>
  <c r="IS166" i="11"/>
  <c r="IT166" i="11"/>
  <c r="IU166" i="11"/>
  <c r="IV166" i="11"/>
  <c r="F167" i="11"/>
  <c r="G167" i="11"/>
  <c r="H167" i="11"/>
  <c r="I167" i="11"/>
  <c r="J167" i="11"/>
  <c r="K167" i="11"/>
  <c r="L167" i="11"/>
  <c r="M167" i="11"/>
  <c r="N167" i="11"/>
  <c r="O167" i="11"/>
  <c r="P167" i="11"/>
  <c r="Q167" i="11"/>
  <c r="R167" i="11"/>
  <c r="S167" i="11"/>
  <c r="T167" i="11"/>
  <c r="U167" i="11"/>
  <c r="V167" i="11"/>
  <c r="W167" i="11"/>
  <c r="X167" i="11"/>
  <c r="Y167" i="11"/>
  <c r="Z167" i="11"/>
  <c r="AA167" i="11"/>
  <c r="AB167" i="11"/>
  <c r="AC167" i="11"/>
  <c r="AD167" i="11"/>
  <c r="AE167" i="11"/>
  <c r="AF167" i="11"/>
  <c r="AG167" i="11"/>
  <c r="AH167" i="11"/>
  <c r="AI167" i="11"/>
  <c r="AJ167" i="11"/>
  <c r="AK167" i="11"/>
  <c r="AL167" i="11"/>
  <c r="AM167" i="11"/>
  <c r="AN167" i="11"/>
  <c r="AO167" i="11"/>
  <c r="AP167" i="11"/>
  <c r="AQ167" i="11"/>
  <c r="AR167" i="11"/>
  <c r="AS167" i="11"/>
  <c r="AT167" i="11"/>
  <c r="AU167" i="11"/>
  <c r="AV167" i="11"/>
  <c r="AW167" i="11"/>
  <c r="AX167" i="11"/>
  <c r="AY167" i="11"/>
  <c r="AZ167" i="11"/>
  <c r="BA167" i="11"/>
  <c r="BB167" i="11"/>
  <c r="BC167" i="11"/>
  <c r="BD167" i="11"/>
  <c r="BE167" i="11"/>
  <c r="BF167" i="11"/>
  <c r="BG167" i="11"/>
  <c r="BH167" i="11"/>
  <c r="BI167" i="11"/>
  <c r="BJ167" i="11"/>
  <c r="BK167" i="11"/>
  <c r="BL167" i="11"/>
  <c r="BM167" i="11"/>
  <c r="BN167" i="11"/>
  <c r="BO167" i="11"/>
  <c r="BP167" i="11"/>
  <c r="BQ167" i="11"/>
  <c r="BR167" i="11"/>
  <c r="BS167" i="11"/>
  <c r="BT167" i="11"/>
  <c r="BU167" i="11"/>
  <c r="BV167" i="11"/>
  <c r="BW167" i="11"/>
  <c r="BX167" i="11"/>
  <c r="BY167" i="11"/>
  <c r="BZ167" i="11"/>
  <c r="CA167" i="11"/>
  <c r="CB167" i="11"/>
  <c r="CC167" i="11"/>
  <c r="CD167" i="11"/>
  <c r="CE167" i="11"/>
  <c r="CF167" i="11"/>
  <c r="CG167" i="11"/>
  <c r="CH167" i="11"/>
  <c r="CI167" i="11"/>
  <c r="CJ167" i="11"/>
  <c r="CK167" i="11"/>
  <c r="CL167" i="11"/>
  <c r="CM167" i="11"/>
  <c r="CN167" i="11"/>
  <c r="CO167" i="11"/>
  <c r="CP167" i="11"/>
  <c r="CQ167" i="11"/>
  <c r="CR167" i="11"/>
  <c r="CS167" i="11"/>
  <c r="CT167" i="11"/>
  <c r="CU167" i="11"/>
  <c r="CV167" i="11"/>
  <c r="CW167" i="11"/>
  <c r="CX167" i="11"/>
  <c r="CY167" i="11"/>
  <c r="CZ167" i="11"/>
  <c r="DA167" i="11"/>
  <c r="DB167" i="11"/>
  <c r="DC167" i="11"/>
  <c r="DD167" i="11"/>
  <c r="DE167" i="11"/>
  <c r="DF167" i="11"/>
  <c r="DG167" i="11"/>
  <c r="DH167" i="11"/>
  <c r="DI167" i="11"/>
  <c r="DJ167" i="11"/>
  <c r="DK167" i="11"/>
  <c r="DL167" i="11"/>
  <c r="DM167" i="11"/>
  <c r="DN167" i="11"/>
  <c r="DO167" i="11"/>
  <c r="DP167" i="11"/>
  <c r="DQ167" i="11"/>
  <c r="DR167" i="11"/>
  <c r="DS167" i="11"/>
  <c r="DT167" i="11"/>
  <c r="DU167" i="11"/>
  <c r="DV167" i="11"/>
  <c r="DW167" i="11"/>
  <c r="DX167" i="11"/>
  <c r="DY167" i="11"/>
  <c r="DZ167" i="11"/>
  <c r="EA167" i="11"/>
  <c r="EB167" i="11"/>
  <c r="EC167" i="11"/>
  <c r="ED167" i="11"/>
  <c r="EE167" i="11"/>
  <c r="EF167" i="11"/>
  <c r="EG167" i="11"/>
  <c r="EH167" i="11"/>
  <c r="EI167" i="11"/>
  <c r="EJ167" i="11"/>
  <c r="EK167" i="11"/>
  <c r="EL167" i="11"/>
  <c r="EM167" i="11"/>
  <c r="EN167" i="11"/>
  <c r="EO167" i="11"/>
  <c r="EP167" i="11"/>
  <c r="EQ167" i="11"/>
  <c r="ER167" i="11"/>
  <c r="ES167" i="11"/>
  <c r="ET167" i="11"/>
  <c r="EU167" i="11"/>
  <c r="EV167" i="11"/>
  <c r="EW167" i="11"/>
  <c r="EX167" i="11"/>
  <c r="EY167" i="11"/>
  <c r="EZ167" i="11"/>
  <c r="FA167" i="11"/>
  <c r="FB167" i="11"/>
  <c r="FC167" i="11"/>
  <c r="FD167" i="11"/>
  <c r="FE167" i="11"/>
  <c r="FF167" i="11"/>
  <c r="FG167" i="11"/>
  <c r="FH167" i="11"/>
  <c r="FI167" i="11"/>
  <c r="FJ167" i="11"/>
  <c r="FK167" i="11"/>
  <c r="FL167" i="11"/>
  <c r="FM167" i="11"/>
  <c r="FN167" i="11"/>
  <c r="FO167" i="11"/>
  <c r="FP167" i="11"/>
  <c r="FQ167" i="11"/>
  <c r="FR167" i="11"/>
  <c r="FS167" i="11"/>
  <c r="FT167" i="11"/>
  <c r="FU167" i="11"/>
  <c r="FV167" i="11"/>
  <c r="FW167" i="11"/>
  <c r="FX167" i="11"/>
  <c r="FY167" i="11"/>
  <c r="FZ167" i="11"/>
  <c r="GA167" i="11"/>
  <c r="GB167" i="11"/>
  <c r="GC167" i="11"/>
  <c r="GD167" i="11"/>
  <c r="GE167" i="11"/>
  <c r="GF167" i="11"/>
  <c r="GG167" i="11"/>
  <c r="GH167" i="11"/>
  <c r="GI167" i="11"/>
  <c r="GJ167" i="11"/>
  <c r="GK167" i="11"/>
  <c r="GL167" i="11"/>
  <c r="GM167" i="11"/>
  <c r="GN167" i="11"/>
  <c r="GO167" i="11"/>
  <c r="GP167" i="11"/>
  <c r="GQ167" i="11"/>
  <c r="GR167" i="11"/>
  <c r="GS167" i="11"/>
  <c r="GT167" i="11"/>
  <c r="GU167" i="11"/>
  <c r="GV167" i="11"/>
  <c r="GW167" i="11"/>
  <c r="GX167" i="11"/>
  <c r="GY167" i="11"/>
  <c r="GZ167" i="11"/>
  <c r="HA167" i="11"/>
  <c r="HB167" i="11"/>
  <c r="HC167" i="11"/>
  <c r="HD167" i="11"/>
  <c r="HE167" i="11"/>
  <c r="HF167" i="11"/>
  <c r="HG167" i="11"/>
  <c r="HH167" i="11"/>
  <c r="HI167" i="11"/>
  <c r="HJ167" i="11"/>
  <c r="HK167" i="11"/>
  <c r="HL167" i="11"/>
  <c r="HM167" i="11"/>
  <c r="HN167" i="11"/>
  <c r="HO167" i="11"/>
  <c r="HP167" i="11"/>
  <c r="HQ167" i="11"/>
  <c r="HR167" i="11"/>
  <c r="HS167" i="11"/>
  <c r="HT167" i="11"/>
  <c r="HU167" i="11"/>
  <c r="HV167" i="11"/>
  <c r="HW167" i="11"/>
  <c r="HX167" i="11"/>
  <c r="HY167" i="11"/>
  <c r="HZ167" i="11"/>
  <c r="IA167" i="11"/>
  <c r="IB167" i="11"/>
  <c r="IC167" i="11"/>
  <c r="ID167" i="11"/>
  <c r="IE167" i="11"/>
  <c r="IF167" i="11"/>
  <c r="IG167" i="11"/>
  <c r="IH167" i="11"/>
  <c r="II167" i="11"/>
  <c r="IJ167" i="11"/>
  <c r="IK167" i="11"/>
  <c r="IL167" i="11"/>
  <c r="IM167" i="11"/>
  <c r="IN167" i="11"/>
  <c r="IO167" i="11"/>
  <c r="IP167" i="11"/>
  <c r="IQ167" i="11"/>
  <c r="IR167" i="11"/>
  <c r="IS167" i="11"/>
  <c r="IT167" i="11"/>
  <c r="IU167" i="11"/>
  <c r="IV167" i="11"/>
  <c r="F168" i="11"/>
  <c r="G168" i="11"/>
  <c r="H168" i="11"/>
  <c r="I168" i="11"/>
  <c r="J168" i="11"/>
  <c r="K168" i="11"/>
  <c r="L168" i="11"/>
  <c r="M168" i="11"/>
  <c r="N168" i="11"/>
  <c r="O168" i="11"/>
  <c r="P168" i="11"/>
  <c r="Q168" i="11"/>
  <c r="R168" i="11"/>
  <c r="S168" i="11"/>
  <c r="T168" i="11"/>
  <c r="U168" i="11"/>
  <c r="V168" i="11"/>
  <c r="W168" i="11"/>
  <c r="X168" i="11"/>
  <c r="Y168" i="11"/>
  <c r="Z168" i="11"/>
  <c r="AA168" i="11"/>
  <c r="AB168" i="11"/>
  <c r="AC168" i="11"/>
  <c r="AD168" i="11"/>
  <c r="AE168" i="11"/>
  <c r="AF168" i="11"/>
  <c r="AG168" i="11"/>
  <c r="AH168" i="11"/>
  <c r="AI168" i="11"/>
  <c r="AJ168" i="11"/>
  <c r="AK168" i="11"/>
  <c r="AL168" i="11"/>
  <c r="AM168" i="11"/>
  <c r="AN168" i="11"/>
  <c r="AO168" i="11"/>
  <c r="AP168" i="11"/>
  <c r="AQ168" i="11"/>
  <c r="AR168" i="11"/>
  <c r="AS168" i="11"/>
  <c r="AT168" i="11"/>
  <c r="AU168" i="11"/>
  <c r="AV168" i="11"/>
  <c r="AW168" i="11"/>
  <c r="AX168" i="11"/>
  <c r="AY168" i="11"/>
  <c r="AZ168" i="11"/>
  <c r="BA168" i="11"/>
  <c r="BB168" i="11"/>
  <c r="BC168" i="11"/>
  <c r="BD168" i="11"/>
  <c r="BE168" i="11"/>
  <c r="BF168" i="11"/>
  <c r="BG168" i="11"/>
  <c r="BH168" i="11"/>
  <c r="BI168" i="11"/>
  <c r="BJ168" i="11"/>
  <c r="BK168" i="11"/>
  <c r="BL168" i="11"/>
  <c r="BM168" i="11"/>
  <c r="BN168" i="11"/>
  <c r="BO168" i="11"/>
  <c r="BP168" i="11"/>
  <c r="BQ168" i="11"/>
  <c r="BR168" i="11"/>
  <c r="BS168" i="11"/>
  <c r="BT168" i="11"/>
  <c r="BU168" i="11"/>
  <c r="BV168" i="11"/>
  <c r="BW168" i="11"/>
  <c r="BX168" i="11"/>
  <c r="BY168" i="11"/>
  <c r="BZ168" i="11"/>
  <c r="CA168" i="11"/>
  <c r="CB168" i="11"/>
  <c r="CC168" i="11"/>
  <c r="CD168" i="11"/>
  <c r="CE168" i="11"/>
  <c r="CF168" i="11"/>
  <c r="CG168" i="11"/>
  <c r="CH168" i="11"/>
  <c r="CI168" i="11"/>
  <c r="CJ168" i="11"/>
  <c r="CK168" i="11"/>
  <c r="CL168" i="11"/>
  <c r="CM168" i="11"/>
  <c r="CN168" i="11"/>
  <c r="CO168" i="11"/>
  <c r="CP168" i="11"/>
  <c r="CQ168" i="11"/>
  <c r="CR168" i="11"/>
  <c r="CS168" i="11"/>
  <c r="CT168" i="11"/>
  <c r="CU168" i="11"/>
  <c r="CV168" i="11"/>
  <c r="CW168" i="11"/>
  <c r="CX168" i="11"/>
  <c r="CY168" i="11"/>
  <c r="CZ168" i="11"/>
  <c r="DA168" i="11"/>
  <c r="DB168" i="11"/>
  <c r="DC168" i="11"/>
  <c r="DD168" i="11"/>
  <c r="DE168" i="11"/>
  <c r="DF168" i="11"/>
  <c r="DG168" i="11"/>
  <c r="DH168" i="11"/>
  <c r="DI168" i="11"/>
  <c r="DJ168" i="11"/>
  <c r="DK168" i="11"/>
  <c r="DL168" i="11"/>
  <c r="DM168" i="11"/>
  <c r="DN168" i="11"/>
  <c r="DO168" i="11"/>
  <c r="DP168" i="11"/>
  <c r="DQ168" i="11"/>
  <c r="DR168" i="11"/>
  <c r="DS168" i="11"/>
  <c r="DT168" i="11"/>
  <c r="DU168" i="11"/>
  <c r="DV168" i="11"/>
  <c r="DW168" i="11"/>
  <c r="DX168" i="11"/>
  <c r="DY168" i="11"/>
  <c r="DZ168" i="11"/>
  <c r="EA168" i="11"/>
  <c r="EB168" i="11"/>
  <c r="EC168" i="11"/>
  <c r="ED168" i="11"/>
  <c r="EE168" i="11"/>
  <c r="EF168" i="11"/>
  <c r="EG168" i="11"/>
  <c r="EH168" i="11"/>
  <c r="EI168" i="11"/>
  <c r="EJ168" i="11"/>
  <c r="EK168" i="11"/>
  <c r="EL168" i="11"/>
  <c r="EM168" i="11"/>
  <c r="EN168" i="11"/>
  <c r="EO168" i="11"/>
  <c r="EP168" i="11"/>
  <c r="EQ168" i="11"/>
  <c r="ER168" i="11"/>
  <c r="ES168" i="11"/>
  <c r="ET168" i="11"/>
  <c r="EU168" i="11"/>
  <c r="EV168" i="11"/>
  <c r="EW168" i="11"/>
  <c r="EX168" i="11"/>
  <c r="EY168" i="11"/>
  <c r="EZ168" i="11"/>
  <c r="FA168" i="11"/>
  <c r="FB168" i="11"/>
  <c r="FC168" i="11"/>
  <c r="FD168" i="11"/>
  <c r="FE168" i="11"/>
  <c r="FF168" i="11"/>
  <c r="FG168" i="11"/>
  <c r="FH168" i="11"/>
  <c r="FI168" i="11"/>
  <c r="FJ168" i="11"/>
  <c r="FK168" i="11"/>
  <c r="FL168" i="11"/>
  <c r="FM168" i="11"/>
  <c r="FN168" i="11"/>
  <c r="FO168" i="11"/>
  <c r="FP168" i="11"/>
  <c r="FQ168" i="11"/>
  <c r="FR168" i="11"/>
  <c r="FS168" i="11"/>
  <c r="FT168" i="11"/>
  <c r="FU168" i="11"/>
  <c r="FV168" i="11"/>
  <c r="FW168" i="11"/>
  <c r="FX168" i="11"/>
  <c r="FY168" i="11"/>
  <c r="FZ168" i="11"/>
  <c r="GA168" i="11"/>
  <c r="GB168" i="11"/>
  <c r="GC168" i="11"/>
  <c r="GD168" i="11"/>
  <c r="GE168" i="11"/>
  <c r="GF168" i="11"/>
  <c r="GG168" i="11"/>
  <c r="GH168" i="11"/>
  <c r="GI168" i="11"/>
  <c r="GJ168" i="11"/>
  <c r="GK168" i="11"/>
  <c r="GL168" i="11"/>
  <c r="GM168" i="11"/>
  <c r="GN168" i="11"/>
  <c r="GO168" i="11"/>
  <c r="GP168" i="11"/>
  <c r="GQ168" i="11"/>
  <c r="GR168" i="11"/>
  <c r="GS168" i="11"/>
  <c r="GT168" i="11"/>
  <c r="GU168" i="11"/>
  <c r="GV168" i="11"/>
  <c r="GW168" i="11"/>
  <c r="GX168" i="11"/>
  <c r="GY168" i="11"/>
  <c r="GZ168" i="11"/>
  <c r="HA168" i="11"/>
  <c r="HB168" i="11"/>
  <c r="HC168" i="11"/>
  <c r="HD168" i="11"/>
  <c r="HE168" i="11"/>
  <c r="HF168" i="11"/>
  <c r="HG168" i="11"/>
  <c r="HH168" i="11"/>
  <c r="HI168" i="11"/>
  <c r="HJ168" i="11"/>
  <c r="HK168" i="11"/>
  <c r="HL168" i="11"/>
  <c r="HM168" i="11"/>
  <c r="HN168" i="11"/>
  <c r="HO168" i="11"/>
  <c r="HP168" i="11"/>
  <c r="HQ168" i="11"/>
  <c r="HR168" i="11"/>
  <c r="HS168" i="11"/>
  <c r="HT168" i="11"/>
  <c r="HU168" i="11"/>
  <c r="HV168" i="11"/>
  <c r="HW168" i="11"/>
  <c r="HX168" i="11"/>
  <c r="HY168" i="11"/>
  <c r="HZ168" i="11"/>
  <c r="IA168" i="11"/>
  <c r="IB168" i="11"/>
  <c r="IC168" i="11"/>
  <c r="ID168" i="11"/>
  <c r="IE168" i="11"/>
  <c r="IF168" i="11"/>
  <c r="IG168" i="11"/>
  <c r="IH168" i="11"/>
  <c r="II168" i="11"/>
  <c r="IJ168" i="11"/>
  <c r="IK168" i="11"/>
  <c r="IL168" i="11"/>
  <c r="IM168" i="11"/>
  <c r="IN168" i="11"/>
  <c r="IO168" i="11"/>
  <c r="IP168" i="11"/>
  <c r="IQ168" i="11"/>
  <c r="IR168" i="11"/>
  <c r="IS168" i="11"/>
  <c r="IT168" i="11"/>
  <c r="IU168" i="11"/>
  <c r="IV168"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AT169" i="11"/>
  <c r="AU169" i="11"/>
  <c r="AV169" i="11"/>
  <c r="AW169" i="11"/>
  <c r="AX169" i="11"/>
  <c r="AY169" i="11"/>
  <c r="AZ169" i="11"/>
  <c r="BA169" i="11"/>
  <c r="BB169" i="11"/>
  <c r="BC169" i="11"/>
  <c r="BD169" i="11"/>
  <c r="BE169" i="11"/>
  <c r="BF169" i="11"/>
  <c r="BG169" i="11"/>
  <c r="BH169" i="11"/>
  <c r="BI169" i="11"/>
  <c r="BJ169" i="11"/>
  <c r="BK169" i="11"/>
  <c r="BL169" i="11"/>
  <c r="BM169" i="11"/>
  <c r="BN169" i="11"/>
  <c r="BO169" i="11"/>
  <c r="BP169" i="11"/>
  <c r="BQ169" i="11"/>
  <c r="BR169" i="11"/>
  <c r="BS169" i="11"/>
  <c r="BT169" i="11"/>
  <c r="BU169" i="11"/>
  <c r="BV169" i="11"/>
  <c r="BW169" i="11"/>
  <c r="BX169" i="11"/>
  <c r="BY169" i="11"/>
  <c r="BZ169" i="11"/>
  <c r="CA169" i="11"/>
  <c r="CB169" i="11"/>
  <c r="CC169" i="11"/>
  <c r="CD169" i="11"/>
  <c r="CE169" i="11"/>
  <c r="CF169" i="11"/>
  <c r="CG169" i="11"/>
  <c r="CH169" i="11"/>
  <c r="CI169" i="11"/>
  <c r="CJ169" i="11"/>
  <c r="CK169" i="11"/>
  <c r="CL169" i="11"/>
  <c r="CM169" i="11"/>
  <c r="CN169" i="11"/>
  <c r="CO169" i="11"/>
  <c r="CP169" i="11"/>
  <c r="CQ169" i="11"/>
  <c r="CR169" i="11"/>
  <c r="CS169" i="11"/>
  <c r="CT169" i="11"/>
  <c r="CU169" i="11"/>
  <c r="CV169" i="11"/>
  <c r="CW169" i="11"/>
  <c r="CX169" i="11"/>
  <c r="CY169" i="11"/>
  <c r="CZ169" i="11"/>
  <c r="DA169" i="11"/>
  <c r="DB169" i="11"/>
  <c r="DC169" i="11"/>
  <c r="DD169" i="11"/>
  <c r="DE169" i="11"/>
  <c r="DF169" i="11"/>
  <c r="DG169" i="11"/>
  <c r="DH169" i="11"/>
  <c r="DI169" i="11"/>
  <c r="DJ169" i="11"/>
  <c r="DK169" i="11"/>
  <c r="DL169" i="11"/>
  <c r="DM169" i="11"/>
  <c r="DN169" i="11"/>
  <c r="DO169" i="11"/>
  <c r="DP169" i="11"/>
  <c r="DQ169" i="11"/>
  <c r="DR169" i="11"/>
  <c r="DS169" i="11"/>
  <c r="DT169" i="11"/>
  <c r="DU169" i="11"/>
  <c r="DV169" i="11"/>
  <c r="DW169" i="11"/>
  <c r="DX169" i="11"/>
  <c r="DY169" i="11"/>
  <c r="DZ169" i="11"/>
  <c r="EA169" i="11"/>
  <c r="EB169" i="11"/>
  <c r="EC169" i="11"/>
  <c r="ED169" i="11"/>
  <c r="EE169" i="11"/>
  <c r="EF169" i="11"/>
  <c r="EG169" i="11"/>
  <c r="EH169" i="11"/>
  <c r="EI169" i="11"/>
  <c r="EJ169" i="11"/>
  <c r="EK169" i="11"/>
  <c r="EL169" i="11"/>
  <c r="EM169" i="11"/>
  <c r="EN169" i="11"/>
  <c r="EO169" i="11"/>
  <c r="EP169" i="11"/>
  <c r="EQ169" i="11"/>
  <c r="ER169" i="11"/>
  <c r="ES169" i="11"/>
  <c r="ET169" i="11"/>
  <c r="EU169" i="11"/>
  <c r="EV169" i="11"/>
  <c r="EW169" i="11"/>
  <c r="EX169" i="11"/>
  <c r="EY169" i="11"/>
  <c r="EZ169" i="11"/>
  <c r="FA169" i="11"/>
  <c r="FB169" i="11"/>
  <c r="FC169" i="11"/>
  <c r="FD169" i="11"/>
  <c r="FE169" i="11"/>
  <c r="FF169" i="11"/>
  <c r="FG169" i="11"/>
  <c r="FH169" i="11"/>
  <c r="FI169" i="11"/>
  <c r="FJ169" i="11"/>
  <c r="FK169" i="11"/>
  <c r="FL169" i="11"/>
  <c r="FM169" i="11"/>
  <c r="FN169" i="11"/>
  <c r="FO169" i="11"/>
  <c r="FP169" i="11"/>
  <c r="FQ169" i="11"/>
  <c r="FR169" i="11"/>
  <c r="FS169" i="11"/>
  <c r="FT169" i="11"/>
  <c r="FU169" i="11"/>
  <c r="FV169" i="11"/>
  <c r="FW169" i="11"/>
  <c r="FX169" i="11"/>
  <c r="FY169" i="11"/>
  <c r="FZ169" i="11"/>
  <c r="GA169" i="11"/>
  <c r="GB169" i="11"/>
  <c r="GC169" i="11"/>
  <c r="GD169" i="11"/>
  <c r="GE169" i="11"/>
  <c r="GF169" i="11"/>
  <c r="GG169" i="11"/>
  <c r="GH169" i="11"/>
  <c r="GI169" i="11"/>
  <c r="GJ169" i="11"/>
  <c r="GK169" i="11"/>
  <c r="GL169" i="11"/>
  <c r="GM169" i="11"/>
  <c r="GN169" i="11"/>
  <c r="GO169" i="11"/>
  <c r="GP169" i="11"/>
  <c r="GQ169" i="11"/>
  <c r="GR169" i="11"/>
  <c r="GS169" i="11"/>
  <c r="GT169" i="11"/>
  <c r="GU169" i="11"/>
  <c r="GV169" i="11"/>
  <c r="GW169" i="11"/>
  <c r="GX169" i="11"/>
  <c r="GY169" i="11"/>
  <c r="GZ169" i="11"/>
  <c r="HA169" i="11"/>
  <c r="HB169" i="11"/>
  <c r="HC169" i="11"/>
  <c r="HD169" i="11"/>
  <c r="HE169" i="11"/>
  <c r="HF169" i="11"/>
  <c r="HG169" i="11"/>
  <c r="HH169" i="11"/>
  <c r="HI169" i="11"/>
  <c r="HJ169" i="11"/>
  <c r="HK169" i="11"/>
  <c r="HL169" i="11"/>
  <c r="HM169" i="11"/>
  <c r="HN169" i="11"/>
  <c r="HO169" i="11"/>
  <c r="HP169" i="11"/>
  <c r="HQ169" i="11"/>
  <c r="HR169" i="11"/>
  <c r="HS169" i="11"/>
  <c r="HT169" i="11"/>
  <c r="HU169" i="11"/>
  <c r="HV169" i="11"/>
  <c r="HW169" i="11"/>
  <c r="HX169" i="11"/>
  <c r="HY169" i="11"/>
  <c r="HZ169" i="11"/>
  <c r="IA169" i="11"/>
  <c r="IB169" i="11"/>
  <c r="IC169" i="11"/>
  <c r="ID169" i="11"/>
  <c r="IE169" i="11"/>
  <c r="IF169" i="11"/>
  <c r="IG169" i="11"/>
  <c r="IH169" i="11"/>
  <c r="II169" i="11"/>
  <c r="IJ169" i="11"/>
  <c r="IK169" i="11"/>
  <c r="IL169" i="11"/>
  <c r="IM169" i="11"/>
  <c r="IN169" i="11"/>
  <c r="IO169" i="11"/>
  <c r="IP169" i="11"/>
  <c r="IQ169" i="11"/>
  <c r="IR169" i="11"/>
  <c r="IS169" i="11"/>
  <c r="IT169" i="11"/>
  <c r="IU169" i="11"/>
  <c r="IV169" i="11"/>
  <c r="F170" i="11"/>
  <c r="G170" i="11"/>
  <c r="H170" i="11"/>
  <c r="I170" i="11"/>
  <c r="J170" i="11"/>
  <c r="K170" i="11"/>
  <c r="L170" i="11"/>
  <c r="M170" i="11"/>
  <c r="N170" i="11"/>
  <c r="O170" i="11"/>
  <c r="P170" i="11"/>
  <c r="Q170" i="11"/>
  <c r="R170" i="11"/>
  <c r="S170" i="11"/>
  <c r="T170" i="11"/>
  <c r="U170" i="11"/>
  <c r="V170" i="11"/>
  <c r="W170" i="11"/>
  <c r="X170" i="11"/>
  <c r="Y170" i="11"/>
  <c r="Z170" i="11"/>
  <c r="AA170" i="11"/>
  <c r="AB170" i="11"/>
  <c r="AC170" i="11"/>
  <c r="AD170" i="11"/>
  <c r="AE170" i="11"/>
  <c r="AF170" i="11"/>
  <c r="AG170" i="11"/>
  <c r="AH170" i="11"/>
  <c r="AI170" i="11"/>
  <c r="AJ170" i="11"/>
  <c r="AK170" i="11"/>
  <c r="AL170" i="11"/>
  <c r="AM170" i="11"/>
  <c r="AN170" i="11"/>
  <c r="AO170" i="11"/>
  <c r="AP170" i="11"/>
  <c r="AQ170" i="11"/>
  <c r="AR170" i="11"/>
  <c r="AS170" i="11"/>
  <c r="AT170" i="11"/>
  <c r="AU170" i="11"/>
  <c r="AV170" i="11"/>
  <c r="AW170" i="11"/>
  <c r="AX170" i="11"/>
  <c r="AY170" i="11"/>
  <c r="AZ170" i="11"/>
  <c r="BA170" i="11"/>
  <c r="BB170" i="11"/>
  <c r="BC170" i="11"/>
  <c r="BD170" i="11"/>
  <c r="BE170" i="11"/>
  <c r="BF170" i="11"/>
  <c r="BG170" i="11"/>
  <c r="BH170" i="11"/>
  <c r="BI170" i="11"/>
  <c r="BJ170" i="11"/>
  <c r="BK170" i="11"/>
  <c r="BL170" i="11"/>
  <c r="BM170" i="11"/>
  <c r="BN170" i="11"/>
  <c r="BO170" i="11"/>
  <c r="BP170" i="11"/>
  <c r="BQ170" i="11"/>
  <c r="BR170" i="11"/>
  <c r="BS170" i="11"/>
  <c r="BT170" i="11"/>
  <c r="BU170" i="11"/>
  <c r="BV170" i="11"/>
  <c r="BW170" i="11"/>
  <c r="BX170" i="11"/>
  <c r="BY170" i="11"/>
  <c r="BZ170" i="11"/>
  <c r="CA170" i="11"/>
  <c r="CB170" i="11"/>
  <c r="CC170" i="11"/>
  <c r="CD170" i="11"/>
  <c r="CE170" i="11"/>
  <c r="CF170" i="11"/>
  <c r="CG170" i="11"/>
  <c r="CH170" i="11"/>
  <c r="CI170" i="11"/>
  <c r="CJ170" i="11"/>
  <c r="CK170" i="11"/>
  <c r="CL170" i="11"/>
  <c r="CM170" i="11"/>
  <c r="CN170" i="11"/>
  <c r="CO170" i="11"/>
  <c r="CP170" i="11"/>
  <c r="CQ170" i="11"/>
  <c r="CR170" i="11"/>
  <c r="CS170" i="11"/>
  <c r="CT170" i="11"/>
  <c r="CU170" i="11"/>
  <c r="CV170" i="11"/>
  <c r="CW170" i="11"/>
  <c r="CX170" i="11"/>
  <c r="CY170" i="11"/>
  <c r="CZ170" i="11"/>
  <c r="DA170" i="11"/>
  <c r="DB170" i="11"/>
  <c r="DC170" i="11"/>
  <c r="DD170" i="11"/>
  <c r="DE170" i="11"/>
  <c r="DF170" i="11"/>
  <c r="DG170" i="11"/>
  <c r="DH170" i="11"/>
  <c r="DI170" i="11"/>
  <c r="DJ170" i="11"/>
  <c r="DK170" i="11"/>
  <c r="DL170" i="11"/>
  <c r="DM170" i="11"/>
  <c r="DN170" i="11"/>
  <c r="DO170" i="11"/>
  <c r="DP170" i="11"/>
  <c r="DQ170" i="11"/>
  <c r="DR170" i="11"/>
  <c r="DS170" i="11"/>
  <c r="DT170" i="11"/>
  <c r="DU170" i="11"/>
  <c r="DV170" i="11"/>
  <c r="DW170" i="11"/>
  <c r="DX170" i="11"/>
  <c r="DY170" i="11"/>
  <c r="DZ170" i="11"/>
  <c r="EA170" i="11"/>
  <c r="EB170" i="11"/>
  <c r="EC170" i="11"/>
  <c r="ED170" i="11"/>
  <c r="EE170" i="11"/>
  <c r="EF170" i="11"/>
  <c r="EG170" i="11"/>
  <c r="EH170" i="11"/>
  <c r="EI170" i="11"/>
  <c r="EJ170" i="11"/>
  <c r="EK170" i="11"/>
  <c r="EL170" i="11"/>
  <c r="EM170" i="11"/>
  <c r="EN170" i="11"/>
  <c r="EO170" i="11"/>
  <c r="EP170" i="11"/>
  <c r="EQ170" i="11"/>
  <c r="ER170" i="11"/>
  <c r="ES170" i="11"/>
  <c r="ET170" i="11"/>
  <c r="EU170" i="11"/>
  <c r="EV170" i="11"/>
  <c r="EW170" i="11"/>
  <c r="EX170" i="11"/>
  <c r="EY170" i="11"/>
  <c r="EZ170" i="11"/>
  <c r="FA170" i="11"/>
  <c r="FB170" i="11"/>
  <c r="FC170" i="11"/>
  <c r="FD170" i="11"/>
  <c r="FE170" i="11"/>
  <c r="FF170" i="11"/>
  <c r="FG170" i="11"/>
  <c r="FH170" i="11"/>
  <c r="FI170" i="11"/>
  <c r="FJ170" i="11"/>
  <c r="FK170" i="11"/>
  <c r="FL170" i="11"/>
  <c r="FM170" i="11"/>
  <c r="FN170" i="11"/>
  <c r="FO170" i="11"/>
  <c r="FP170" i="11"/>
  <c r="FQ170" i="11"/>
  <c r="FR170" i="11"/>
  <c r="FS170" i="11"/>
  <c r="FT170" i="11"/>
  <c r="FU170" i="11"/>
  <c r="FV170" i="11"/>
  <c r="FW170" i="11"/>
  <c r="FX170" i="11"/>
  <c r="FY170" i="11"/>
  <c r="FZ170" i="11"/>
  <c r="GA170" i="11"/>
  <c r="GB170" i="11"/>
  <c r="GC170" i="11"/>
  <c r="GD170" i="11"/>
  <c r="GE170" i="11"/>
  <c r="GF170" i="11"/>
  <c r="GG170" i="11"/>
  <c r="GH170" i="11"/>
  <c r="GI170" i="11"/>
  <c r="GJ170" i="11"/>
  <c r="GK170" i="11"/>
  <c r="GL170" i="11"/>
  <c r="GM170" i="11"/>
  <c r="GN170" i="11"/>
  <c r="GO170" i="11"/>
  <c r="GP170" i="11"/>
  <c r="GQ170" i="11"/>
  <c r="GR170" i="11"/>
  <c r="GS170" i="11"/>
  <c r="GT170" i="11"/>
  <c r="GU170" i="11"/>
  <c r="GV170" i="11"/>
  <c r="GW170" i="11"/>
  <c r="GX170" i="11"/>
  <c r="GY170" i="11"/>
  <c r="GZ170" i="11"/>
  <c r="HA170" i="11"/>
  <c r="HB170" i="11"/>
  <c r="HC170" i="11"/>
  <c r="HD170" i="11"/>
  <c r="HE170" i="11"/>
  <c r="HF170" i="11"/>
  <c r="HG170" i="11"/>
  <c r="HH170" i="11"/>
  <c r="HI170" i="11"/>
  <c r="HJ170" i="11"/>
  <c r="HK170" i="11"/>
  <c r="HL170" i="11"/>
  <c r="HM170" i="11"/>
  <c r="HN170" i="11"/>
  <c r="HO170" i="11"/>
  <c r="HP170" i="11"/>
  <c r="HQ170" i="11"/>
  <c r="HR170" i="11"/>
  <c r="HS170" i="11"/>
  <c r="HT170" i="11"/>
  <c r="HU170" i="11"/>
  <c r="HV170" i="11"/>
  <c r="HW170" i="11"/>
  <c r="HX170" i="11"/>
  <c r="HY170" i="11"/>
  <c r="HZ170" i="11"/>
  <c r="IA170" i="11"/>
  <c r="IB170" i="11"/>
  <c r="IC170" i="11"/>
  <c r="ID170" i="11"/>
  <c r="IE170" i="11"/>
  <c r="IF170" i="11"/>
  <c r="IG170" i="11"/>
  <c r="IH170" i="11"/>
  <c r="II170" i="11"/>
  <c r="IJ170" i="11"/>
  <c r="IK170" i="11"/>
  <c r="IL170" i="11"/>
  <c r="IM170" i="11"/>
  <c r="IN170" i="11"/>
  <c r="IO170" i="11"/>
  <c r="IP170" i="11"/>
  <c r="IQ170" i="11"/>
  <c r="IR170" i="11"/>
  <c r="IS170" i="11"/>
  <c r="IT170" i="11"/>
  <c r="IU170" i="11"/>
  <c r="IV170" i="11"/>
  <c r="F171" i="11"/>
  <c r="G171" i="11"/>
  <c r="H171" i="11"/>
  <c r="I171" i="11"/>
  <c r="J171" i="11"/>
  <c r="K171" i="11"/>
  <c r="L171" i="11"/>
  <c r="M171" i="11"/>
  <c r="N171" i="11"/>
  <c r="O171" i="11"/>
  <c r="P171" i="11"/>
  <c r="Q171" i="11"/>
  <c r="R171" i="11"/>
  <c r="S171" i="11"/>
  <c r="T171" i="11"/>
  <c r="U171" i="11"/>
  <c r="V171" i="11"/>
  <c r="W171" i="11"/>
  <c r="X171" i="11"/>
  <c r="Y171" i="11"/>
  <c r="Z171" i="11"/>
  <c r="AA171" i="11"/>
  <c r="AB171" i="11"/>
  <c r="AC171" i="11"/>
  <c r="AD171" i="11"/>
  <c r="AE171" i="11"/>
  <c r="AF171" i="11"/>
  <c r="AG171" i="11"/>
  <c r="AH171" i="11"/>
  <c r="AI171" i="11"/>
  <c r="AJ171" i="11"/>
  <c r="AK171" i="11"/>
  <c r="AL171" i="11"/>
  <c r="AM171" i="11"/>
  <c r="AN171" i="11"/>
  <c r="AO171" i="11"/>
  <c r="AP171" i="11"/>
  <c r="AQ171" i="11"/>
  <c r="AR171" i="11"/>
  <c r="AS171" i="11"/>
  <c r="AT171" i="11"/>
  <c r="AU171" i="11"/>
  <c r="AV171" i="11"/>
  <c r="AW171" i="11"/>
  <c r="AX171" i="11"/>
  <c r="AY171" i="11"/>
  <c r="AZ171" i="11"/>
  <c r="BA171" i="11"/>
  <c r="BB171" i="11"/>
  <c r="BC171" i="11"/>
  <c r="BD171" i="11"/>
  <c r="BE171" i="11"/>
  <c r="BF171" i="11"/>
  <c r="BG171" i="11"/>
  <c r="BH171" i="11"/>
  <c r="BI171" i="11"/>
  <c r="BJ171" i="11"/>
  <c r="BK171" i="11"/>
  <c r="BL171" i="11"/>
  <c r="BM171" i="11"/>
  <c r="BN171" i="11"/>
  <c r="BO171" i="11"/>
  <c r="BP171" i="11"/>
  <c r="BQ171" i="11"/>
  <c r="BR171" i="11"/>
  <c r="BS171" i="11"/>
  <c r="BT171" i="11"/>
  <c r="BU171" i="11"/>
  <c r="BV171" i="11"/>
  <c r="BW171" i="11"/>
  <c r="BX171" i="11"/>
  <c r="BY171" i="11"/>
  <c r="BZ171" i="11"/>
  <c r="CA171" i="11"/>
  <c r="CB171" i="11"/>
  <c r="CC171" i="11"/>
  <c r="CD171" i="11"/>
  <c r="CE171" i="11"/>
  <c r="CF171" i="11"/>
  <c r="CG171" i="11"/>
  <c r="CH171" i="11"/>
  <c r="CI171" i="11"/>
  <c r="CJ171" i="11"/>
  <c r="CK171" i="11"/>
  <c r="CL171" i="11"/>
  <c r="CM171" i="11"/>
  <c r="CN171" i="11"/>
  <c r="CO171" i="11"/>
  <c r="CP171" i="11"/>
  <c r="CQ171" i="11"/>
  <c r="CR171" i="11"/>
  <c r="CS171" i="11"/>
  <c r="CT171" i="11"/>
  <c r="CU171" i="11"/>
  <c r="CV171" i="11"/>
  <c r="CW171" i="11"/>
  <c r="CX171" i="11"/>
  <c r="CY171" i="11"/>
  <c r="CZ171" i="11"/>
  <c r="DA171" i="11"/>
  <c r="DB171" i="11"/>
  <c r="DC171" i="11"/>
  <c r="DD171" i="11"/>
  <c r="DE171" i="11"/>
  <c r="DF171" i="11"/>
  <c r="DG171" i="11"/>
  <c r="DH171" i="11"/>
  <c r="DI171" i="11"/>
  <c r="DJ171" i="11"/>
  <c r="DK171" i="11"/>
  <c r="DL171" i="11"/>
  <c r="DM171" i="11"/>
  <c r="DN171" i="11"/>
  <c r="DO171" i="11"/>
  <c r="DP171" i="11"/>
  <c r="DQ171" i="11"/>
  <c r="DR171" i="11"/>
  <c r="DS171" i="11"/>
  <c r="DT171" i="11"/>
  <c r="DU171" i="11"/>
  <c r="DV171" i="11"/>
  <c r="DW171" i="11"/>
  <c r="DX171" i="11"/>
  <c r="DY171" i="11"/>
  <c r="DZ171" i="11"/>
  <c r="EA171" i="11"/>
  <c r="EB171" i="11"/>
  <c r="EC171" i="11"/>
  <c r="ED171" i="11"/>
  <c r="EE171" i="11"/>
  <c r="EF171" i="11"/>
  <c r="EG171" i="11"/>
  <c r="EH171" i="11"/>
  <c r="EI171" i="11"/>
  <c r="EJ171" i="11"/>
  <c r="EK171" i="11"/>
  <c r="EL171" i="11"/>
  <c r="EM171" i="11"/>
  <c r="EN171" i="11"/>
  <c r="EO171" i="11"/>
  <c r="EP171" i="11"/>
  <c r="EQ171" i="11"/>
  <c r="ER171" i="11"/>
  <c r="ES171" i="11"/>
  <c r="ET171" i="11"/>
  <c r="EU171" i="11"/>
  <c r="EV171" i="11"/>
  <c r="EW171" i="11"/>
  <c r="EX171" i="11"/>
  <c r="EY171" i="11"/>
  <c r="EZ171" i="11"/>
  <c r="FA171" i="11"/>
  <c r="FB171" i="11"/>
  <c r="FC171" i="11"/>
  <c r="FD171" i="11"/>
  <c r="FE171" i="11"/>
  <c r="FF171" i="11"/>
  <c r="FG171" i="11"/>
  <c r="FH171" i="11"/>
  <c r="FI171" i="11"/>
  <c r="FJ171" i="11"/>
  <c r="FK171" i="11"/>
  <c r="FL171" i="11"/>
  <c r="FM171" i="11"/>
  <c r="FN171" i="11"/>
  <c r="FO171" i="11"/>
  <c r="FP171" i="11"/>
  <c r="FQ171" i="11"/>
  <c r="FR171" i="11"/>
  <c r="FS171" i="11"/>
  <c r="FT171" i="11"/>
  <c r="FU171" i="11"/>
  <c r="FV171" i="11"/>
  <c r="FW171" i="11"/>
  <c r="FX171" i="11"/>
  <c r="FY171" i="11"/>
  <c r="FZ171" i="11"/>
  <c r="GA171" i="11"/>
  <c r="GB171" i="11"/>
  <c r="GC171" i="11"/>
  <c r="GD171" i="11"/>
  <c r="GE171" i="11"/>
  <c r="GF171" i="11"/>
  <c r="GG171" i="11"/>
  <c r="GH171" i="11"/>
  <c r="GI171" i="11"/>
  <c r="GJ171" i="11"/>
  <c r="GK171" i="11"/>
  <c r="GL171" i="11"/>
  <c r="GM171" i="11"/>
  <c r="GN171" i="11"/>
  <c r="GO171" i="11"/>
  <c r="GP171" i="11"/>
  <c r="GQ171" i="11"/>
  <c r="GR171" i="11"/>
  <c r="GS171" i="11"/>
  <c r="GT171" i="11"/>
  <c r="GU171" i="11"/>
  <c r="GV171" i="11"/>
  <c r="GW171" i="11"/>
  <c r="GX171" i="11"/>
  <c r="GY171" i="11"/>
  <c r="GZ171" i="11"/>
  <c r="HA171" i="11"/>
  <c r="HB171" i="11"/>
  <c r="HC171" i="11"/>
  <c r="HD171" i="11"/>
  <c r="HE171" i="11"/>
  <c r="HF171" i="11"/>
  <c r="HG171" i="11"/>
  <c r="HH171" i="11"/>
  <c r="HI171" i="11"/>
  <c r="HJ171" i="11"/>
  <c r="HK171" i="11"/>
  <c r="HL171" i="11"/>
  <c r="HM171" i="11"/>
  <c r="HN171" i="11"/>
  <c r="HO171" i="11"/>
  <c r="HP171" i="11"/>
  <c r="HQ171" i="11"/>
  <c r="HR171" i="11"/>
  <c r="HS171" i="11"/>
  <c r="HT171" i="11"/>
  <c r="HU171" i="11"/>
  <c r="HV171" i="11"/>
  <c r="HW171" i="11"/>
  <c r="HX171" i="11"/>
  <c r="HY171" i="11"/>
  <c r="HZ171" i="11"/>
  <c r="IA171" i="11"/>
  <c r="IB171" i="11"/>
  <c r="IC171" i="11"/>
  <c r="ID171" i="11"/>
  <c r="IE171" i="11"/>
  <c r="IF171" i="11"/>
  <c r="IG171" i="11"/>
  <c r="IH171" i="11"/>
  <c r="II171" i="11"/>
  <c r="IJ171" i="11"/>
  <c r="IK171" i="11"/>
  <c r="IL171" i="11"/>
  <c r="IM171" i="11"/>
  <c r="IN171" i="11"/>
  <c r="IO171" i="11"/>
  <c r="IP171" i="11"/>
  <c r="IQ171" i="11"/>
  <c r="IR171" i="11"/>
  <c r="IS171" i="11"/>
  <c r="IT171" i="11"/>
  <c r="IU171" i="11"/>
  <c r="IV171" i="11"/>
  <c r="F172" i="11"/>
  <c r="G172" i="11"/>
  <c r="H172" i="11"/>
  <c r="I172" i="11"/>
  <c r="J172" i="11"/>
  <c r="K172" i="11"/>
  <c r="L172" i="11"/>
  <c r="M172" i="11"/>
  <c r="N172" i="11"/>
  <c r="O172" i="11"/>
  <c r="P172" i="11"/>
  <c r="Q172" i="11"/>
  <c r="R172" i="11"/>
  <c r="S172" i="11"/>
  <c r="T172" i="11"/>
  <c r="U172" i="11"/>
  <c r="V172" i="11"/>
  <c r="W172" i="11"/>
  <c r="X172" i="11"/>
  <c r="Y172" i="11"/>
  <c r="Z172" i="11"/>
  <c r="AA172" i="11"/>
  <c r="AB172" i="11"/>
  <c r="AC172" i="11"/>
  <c r="AD172" i="11"/>
  <c r="AE172" i="11"/>
  <c r="AF172" i="11"/>
  <c r="AG172" i="11"/>
  <c r="AH172" i="11"/>
  <c r="AI172" i="11"/>
  <c r="AJ172" i="11"/>
  <c r="AK172" i="11"/>
  <c r="AL172" i="11"/>
  <c r="AM172" i="11"/>
  <c r="AN172" i="11"/>
  <c r="AO172" i="11"/>
  <c r="AP172" i="11"/>
  <c r="AQ172" i="11"/>
  <c r="AR172" i="11"/>
  <c r="AS172" i="11"/>
  <c r="AT172" i="11"/>
  <c r="AU172" i="11"/>
  <c r="AV172" i="11"/>
  <c r="AW172" i="11"/>
  <c r="AX172" i="11"/>
  <c r="AY172" i="11"/>
  <c r="AZ172" i="11"/>
  <c r="BA172" i="11"/>
  <c r="BB172" i="11"/>
  <c r="BC172" i="11"/>
  <c r="BD172" i="11"/>
  <c r="BE172" i="11"/>
  <c r="BF172" i="11"/>
  <c r="BG172" i="11"/>
  <c r="BH172" i="11"/>
  <c r="BI172" i="11"/>
  <c r="BJ172" i="11"/>
  <c r="BK172" i="11"/>
  <c r="BL172" i="11"/>
  <c r="BM172" i="11"/>
  <c r="BN172" i="11"/>
  <c r="BO172" i="11"/>
  <c r="BP172" i="11"/>
  <c r="BQ172" i="11"/>
  <c r="BR172" i="11"/>
  <c r="BS172" i="11"/>
  <c r="BT172" i="11"/>
  <c r="BU172" i="11"/>
  <c r="BV172" i="11"/>
  <c r="BW172" i="11"/>
  <c r="BX172" i="11"/>
  <c r="BY172" i="11"/>
  <c r="BZ172" i="11"/>
  <c r="CA172" i="11"/>
  <c r="CB172" i="11"/>
  <c r="CC172" i="11"/>
  <c r="CD172" i="11"/>
  <c r="CE172" i="11"/>
  <c r="CF172" i="11"/>
  <c r="CG172" i="11"/>
  <c r="CH172" i="11"/>
  <c r="CI172" i="11"/>
  <c r="CJ172" i="11"/>
  <c r="CK172" i="11"/>
  <c r="CL172" i="11"/>
  <c r="CM172" i="11"/>
  <c r="CN172" i="11"/>
  <c r="CO172" i="11"/>
  <c r="CP172" i="11"/>
  <c r="CQ172" i="11"/>
  <c r="CR172" i="11"/>
  <c r="CS172" i="11"/>
  <c r="CT172" i="11"/>
  <c r="CU172" i="11"/>
  <c r="CV172" i="11"/>
  <c r="CW172" i="11"/>
  <c r="CX172" i="11"/>
  <c r="CY172" i="11"/>
  <c r="CZ172" i="11"/>
  <c r="DA172" i="11"/>
  <c r="DB172" i="11"/>
  <c r="DC172" i="11"/>
  <c r="DD172" i="11"/>
  <c r="DE172" i="11"/>
  <c r="DF172" i="11"/>
  <c r="DG172" i="11"/>
  <c r="DH172" i="11"/>
  <c r="DI172" i="11"/>
  <c r="DJ172" i="11"/>
  <c r="DK172" i="11"/>
  <c r="DL172" i="11"/>
  <c r="DM172" i="11"/>
  <c r="DN172" i="11"/>
  <c r="DO172" i="11"/>
  <c r="DP172" i="11"/>
  <c r="DQ172" i="11"/>
  <c r="DR172" i="11"/>
  <c r="DS172" i="11"/>
  <c r="DT172" i="11"/>
  <c r="DU172" i="11"/>
  <c r="DV172" i="11"/>
  <c r="DW172" i="11"/>
  <c r="DX172" i="11"/>
  <c r="DY172" i="11"/>
  <c r="DZ172" i="11"/>
  <c r="EA172" i="11"/>
  <c r="EB172" i="11"/>
  <c r="EC172" i="11"/>
  <c r="ED172" i="11"/>
  <c r="EE172" i="11"/>
  <c r="EF172" i="11"/>
  <c r="EG172" i="11"/>
  <c r="EH172" i="11"/>
  <c r="EI172" i="11"/>
  <c r="EJ172" i="11"/>
  <c r="EK172" i="11"/>
  <c r="EL172" i="11"/>
  <c r="EM172" i="11"/>
  <c r="EN172" i="11"/>
  <c r="EO172" i="11"/>
  <c r="EP172" i="11"/>
  <c r="EQ172" i="11"/>
  <c r="ER172" i="11"/>
  <c r="ES172" i="11"/>
  <c r="ET172" i="11"/>
  <c r="EU172" i="11"/>
  <c r="EV172" i="11"/>
  <c r="EW172" i="11"/>
  <c r="EX172" i="11"/>
  <c r="EY172" i="11"/>
  <c r="EZ172" i="11"/>
  <c r="FA172" i="11"/>
  <c r="FB172" i="11"/>
  <c r="FC172" i="11"/>
  <c r="FD172" i="11"/>
  <c r="FE172" i="11"/>
  <c r="FF172" i="11"/>
  <c r="FG172" i="11"/>
  <c r="FH172" i="11"/>
  <c r="FI172" i="11"/>
  <c r="FJ172" i="11"/>
  <c r="FK172" i="11"/>
  <c r="FL172" i="11"/>
  <c r="FM172" i="11"/>
  <c r="FN172" i="11"/>
  <c r="FO172" i="11"/>
  <c r="FP172" i="11"/>
  <c r="FQ172" i="11"/>
  <c r="FR172" i="11"/>
  <c r="FS172" i="11"/>
  <c r="FT172" i="11"/>
  <c r="FU172" i="11"/>
  <c r="FV172" i="11"/>
  <c r="FW172" i="11"/>
  <c r="FX172" i="11"/>
  <c r="FY172" i="11"/>
  <c r="FZ172" i="11"/>
  <c r="GA172" i="11"/>
  <c r="GB172" i="11"/>
  <c r="GC172" i="11"/>
  <c r="GD172" i="11"/>
  <c r="GE172" i="11"/>
  <c r="GF172" i="11"/>
  <c r="GG172" i="11"/>
  <c r="GH172" i="11"/>
  <c r="GI172" i="11"/>
  <c r="GJ172" i="11"/>
  <c r="GK172" i="11"/>
  <c r="GL172" i="11"/>
  <c r="GM172" i="11"/>
  <c r="GN172" i="11"/>
  <c r="GO172" i="11"/>
  <c r="GP172" i="11"/>
  <c r="GQ172" i="11"/>
  <c r="GR172" i="11"/>
  <c r="GS172" i="11"/>
  <c r="GT172" i="11"/>
  <c r="GU172" i="11"/>
  <c r="GV172" i="11"/>
  <c r="GW172" i="11"/>
  <c r="GX172" i="11"/>
  <c r="GY172" i="11"/>
  <c r="GZ172" i="11"/>
  <c r="HA172" i="11"/>
  <c r="HB172" i="11"/>
  <c r="HC172" i="11"/>
  <c r="HD172" i="11"/>
  <c r="HE172" i="11"/>
  <c r="HF172" i="11"/>
  <c r="HG172" i="11"/>
  <c r="HH172" i="11"/>
  <c r="HI172" i="11"/>
  <c r="HJ172" i="11"/>
  <c r="HK172" i="11"/>
  <c r="HL172" i="11"/>
  <c r="HM172" i="11"/>
  <c r="HN172" i="11"/>
  <c r="HO172" i="11"/>
  <c r="HP172" i="11"/>
  <c r="HQ172" i="11"/>
  <c r="HR172" i="11"/>
  <c r="HS172" i="11"/>
  <c r="HT172" i="11"/>
  <c r="HU172" i="11"/>
  <c r="HV172" i="11"/>
  <c r="HW172" i="11"/>
  <c r="HX172" i="11"/>
  <c r="HY172" i="11"/>
  <c r="HZ172" i="11"/>
  <c r="IA172" i="11"/>
  <c r="IB172" i="11"/>
  <c r="IC172" i="11"/>
  <c r="ID172" i="11"/>
  <c r="IE172" i="11"/>
  <c r="IF172" i="11"/>
  <c r="IG172" i="11"/>
  <c r="IH172" i="11"/>
  <c r="II172" i="11"/>
  <c r="IJ172" i="11"/>
  <c r="IK172" i="11"/>
  <c r="IL172" i="11"/>
  <c r="IM172" i="11"/>
  <c r="IN172" i="11"/>
  <c r="IO172" i="11"/>
  <c r="IP172" i="11"/>
  <c r="IQ172" i="11"/>
  <c r="IR172" i="11"/>
  <c r="IS172" i="11"/>
  <c r="IT172" i="11"/>
  <c r="IU172" i="11"/>
  <c r="IV172" i="11"/>
  <c r="F173" i="11"/>
  <c r="G173" i="11"/>
  <c r="H173" i="11"/>
  <c r="I173" i="11"/>
  <c r="J173" i="11"/>
  <c r="K173" i="11"/>
  <c r="L173" i="11"/>
  <c r="M173" i="11"/>
  <c r="N173" i="11"/>
  <c r="O173" i="11"/>
  <c r="P173" i="11"/>
  <c r="Q173" i="11"/>
  <c r="R173" i="11"/>
  <c r="S173" i="11"/>
  <c r="T173" i="11"/>
  <c r="U173" i="11"/>
  <c r="V173" i="11"/>
  <c r="W173" i="11"/>
  <c r="X173" i="11"/>
  <c r="Y173" i="11"/>
  <c r="Z173" i="11"/>
  <c r="AA173" i="11"/>
  <c r="AB173" i="11"/>
  <c r="AC173" i="11"/>
  <c r="AD173" i="11"/>
  <c r="AE173" i="11"/>
  <c r="AF173" i="11"/>
  <c r="AG173" i="11"/>
  <c r="AH173" i="11"/>
  <c r="AI173" i="11"/>
  <c r="AJ173" i="11"/>
  <c r="AK173" i="11"/>
  <c r="AL173" i="11"/>
  <c r="AM173" i="11"/>
  <c r="AN173" i="11"/>
  <c r="AO173" i="11"/>
  <c r="AP173" i="11"/>
  <c r="AQ173" i="11"/>
  <c r="AR173" i="11"/>
  <c r="AS173" i="11"/>
  <c r="AT173" i="11"/>
  <c r="AU173" i="11"/>
  <c r="AV173" i="11"/>
  <c r="AW173" i="11"/>
  <c r="AX173" i="11"/>
  <c r="AY173" i="11"/>
  <c r="AZ173" i="11"/>
  <c r="BA173" i="11"/>
  <c r="BB173" i="11"/>
  <c r="BC173" i="11"/>
  <c r="BD173" i="11"/>
  <c r="BE173" i="11"/>
  <c r="BF173" i="11"/>
  <c r="BG173" i="11"/>
  <c r="BH173" i="11"/>
  <c r="BI173" i="11"/>
  <c r="BJ173" i="11"/>
  <c r="BK173" i="11"/>
  <c r="BL173" i="11"/>
  <c r="BM173" i="11"/>
  <c r="BN173" i="11"/>
  <c r="BO173" i="11"/>
  <c r="BP173" i="11"/>
  <c r="BQ173" i="11"/>
  <c r="BR173" i="11"/>
  <c r="BS173" i="11"/>
  <c r="BT173" i="11"/>
  <c r="BU173" i="11"/>
  <c r="BV173" i="11"/>
  <c r="BW173" i="11"/>
  <c r="BX173" i="11"/>
  <c r="BY173" i="11"/>
  <c r="BZ173" i="11"/>
  <c r="CA173" i="11"/>
  <c r="CB173" i="11"/>
  <c r="CC173" i="11"/>
  <c r="CD173" i="11"/>
  <c r="CE173" i="11"/>
  <c r="CF173" i="11"/>
  <c r="CG173" i="11"/>
  <c r="CH173" i="11"/>
  <c r="CI173" i="11"/>
  <c r="CJ173" i="11"/>
  <c r="CK173" i="11"/>
  <c r="CL173" i="11"/>
  <c r="CM173" i="11"/>
  <c r="CN173" i="11"/>
  <c r="CO173" i="11"/>
  <c r="CP173" i="11"/>
  <c r="CQ173" i="11"/>
  <c r="CR173" i="11"/>
  <c r="CS173" i="11"/>
  <c r="CT173" i="11"/>
  <c r="CU173" i="11"/>
  <c r="CV173" i="11"/>
  <c r="CW173" i="11"/>
  <c r="CX173" i="11"/>
  <c r="CY173" i="11"/>
  <c r="CZ173" i="11"/>
  <c r="DA173" i="11"/>
  <c r="DB173" i="11"/>
  <c r="DC173" i="11"/>
  <c r="DD173" i="11"/>
  <c r="DE173" i="11"/>
  <c r="DF173" i="11"/>
  <c r="DG173" i="11"/>
  <c r="DH173" i="11"/>
  <c r="DI173" i="11"/>
  <c r="DJ173" i="11"/>
  <c r="DK173" i="11"/>
  <c r="DL173" i="11"/>
  <c r="DM173" i="11"/>
  <c r="DN173" i="11"/>
  <c r="DO173" i="11"/>
  <c r="DP173" i="11"/>
  <c r="DQ173" i="11"/>
  <c r="DR173" i="11"/>
  <c r="DS173" i="11"/>
  <c r="DT173" i="11"/>
  <c r="DU173" i="11"/>
  <c r="DV173" i="11"/>
  <c r="DW173" i="11"/>
  <c r="DX173" i="11"/>
  <c r="DY173" i="11"/>
  <c r="DZ173" i="11"/>
  <c r="EA173" i="11"/>
  <c r="EB173" i="11"/>
  <c r="EC173" i="11"/>
  <c r="ED173" i="11"/>
  <c r="EE173" i="11"/>
  <c r="EF173" i="11"/>
  <c r="EG173" i="11"/>
  <c r="EH173" i="11"/>
  <c r="EI173" i="11"/>
  <c r="EJ173" i="11"/>
  <c r="EK173" i="11"/>
  <c r="EL173" i="11"/>
  <c r="EM173" i="11"/>
  <c r="EN173" i="11"/>
  <c r="EO173" i="11"/>
  <c r="EP173" i="11"/>
  <c r="EQ173" i="11"/>
  <c r="ER173" i="11"/>
  <c r="ES173" i="11"/>
  <c r="ET173" i="11"/>
  <c r="EU173" i="11"/>
  <c r="EV173" i="11"/>
  <c r="EW173" i="11"/>
  <c r="EX173" i="11"/>
  <c r="EY173" i="11"/>
  <c r="EZ173" i="11"/>
  <c r="FA173" i="11"/>
  <c r="FB173" i="11"/>
  <c r="FC173" i="11"/>
  <c r="FD173" i="11"/>
  <c r="FE173" i="11"/>
  <c r="FF173" i="11"/>
  <c r="FG173" i="11"/>
  <c r="FH173" i="11"/>
  <c r="FI173" i="11"/>
  <c r="FJ173" i="11"/>
  <c r="FK173" i="11"/>
  <c r="FL173" i="11"/>
  <c r="FM173" i="11"/>
  <c r="FN173" i="11"/>
  <c r="FO173" i="11"/>
  <c r="FP173" i="11"/>
  <c r="FQ173" i="11"/>
  <c r="FR173" i="11"/>
  <c r="FS173" i="11"/>
  <c r="FT173" i="11"/>
  <c r="FU173" i="11"/>
  <c r="FV173" i="11"/>
  <c r="FW173" i="11"/>
  <c r="FX173" i="11"/>
  <c r="FY173" i="11"/>
  <c r="FZ173" i="11"/>
  <c r="GA173" i="11"/>
  <c r="GB173" i="11"/>
  <c r="GC173" i="11"/>
  <c r="GD173" i="11"/>
  <c r="GE173" i="11"/>
  <c r="GF173" i="11"/>
  <c r="GG173" i="11"/>
  <c r="GH173" i="11"/>
  <c r="GI173" i="11"/>
  <c r="GJ173" i="11"/>
  <c r="GK173" i="11"/>
  <c r="GL173" i="11"/>
  <c r="GM173" i="11"/>
  <c r="GN173" i="11"/>
  <c r="GO173" i="11"/>
  <c r="GP173" i="11"/>
  <c r="GQ173" i="11"/>
  <c r="GR173" i="11"/>
  <c r="GS173" i="11"/>
  <c r="GT173" i="11"/>
  <c r="GU173" i="11"/>
  <c r="GV173" i="11"/>
  <c r="GW173" i="11"/>
  <c r="GX173" i="11"/>
  <c r="GY173" i="11"/>
  <c r="GZ173" i="11"/>
  <c r="HA173" i="11"/>
  <c r="HB173" i="11"/>
  <c r="HC173" i="11"/>
  <c r="HD173" i="11"/>
  <c r="HE173" i="11"/>
  <c r="HF173" i="11"/>
  <c r="HG173" i="11"/>
  <c r="HH173" i="11"/>
  <c r="HI173" i="11"/>
  <c r="HJ173" i="11"/>
  <c r="HK173" i="11"/>
  <c r="HL173" i="11"/>
  <c r="HM173" i="11"/>
  <c r="HN173" i="11"/>
  <c r="HO173" i="11"/>
  <c r="HP173" i="11"/>
  <c r="HQ173" i="11"/>
  <c r="HR173" i="11"/>
  <c r="HS173" i="11"/>
  <c r="HT173" i="11"/>
  <c r="HU173" i="11"/>
  <c r="HV173" i="11"/>
  <c r="HW173" i="11"/>
  <c r="HX173" i="11"/>
  <c r="HY173" i="11"/>
  <c r="HZ173" i="11"/>
  <c r="IA173" i="11"/>
  <c r="IB173" i="11"/>
  <c r="IC173" i="11"/>
  <c r="ID173" i="11"/>
  <c r="IE173" i="11"/>
  <c r="IF173" i="11"/>
  <c r="IG173" i="11"/>
  <c r="IH173" i="11"/>
  <c r="II173" i="11"/>
  <c r="IJ173" i="11"/>
  <c r="IK173" i="11"/>
  <c r="IL173" i="11"/>
  <c r="IM173" i="11"/>
  <c r="IN173" i="11"/>
  <c r="IO173" i="11"/>
  <c r="IP173" i="11"/>
  <c r="IQ173" i="11"/>
  <c r="IR173" i="11"/>
  <c r="IS173" i="11"/>
  <c r="IT173" i="11"/>
  <c r="IU173" i="11"/>
  <c r="IV173" i="11"/>
  <c r="F174" i="11"/>
  <c r="G174" i="11"/>
  <c r="H174" i="11"/>
  <c r="I174" i="11"/>
  <c r="J174" i="11"/>
  <c r="K174" i="11"/>
  <c r="L174" i="11"/>
  <c r="M174" i="11"/>
  <c r="N174" i="11"/>
  <c r="O174" i="11"/>
  <c r="P174" i="11"/>
  <c r="Q174" i="11"/>
  <c r="R174" i="11"/>
  <c r="S174" i="11"/>
  <c r="T174" i="11"/>
  <c r="U174" i="11"/>
  <c r="V174" i="11"/>
  <c r="W174" i="11"/>
  <c r="X174" i="11"/>
  <c r="Y174" i="11"/>
  <c r="Z174" i="11"/>
  <c r="AA174" i="11"/>
  <c r="AB174" i="11"/>
  <c r="AC174" i="11"/>
  <c r="AD174" i="11"/>
  <c r="AE174" i="11"/>
  <c r="AF174" i="11"/>
  <c r="AG174" i="11"/>
  <c r="AH174" i="11"/>
  <c r="AI174" i="11"/>
  <c r="AJ174" i="11"/>
  <c r="AK174" i="11"/>
  <c r="AL174" i="11"/>
  <c r="AM174" i="11"/>
  <c r="AN174" i="11"/>
  <c r="AO174" i="11"/>
  <c r="AP174" i="11"/>
  <c r="AQ174" i="11"/>
  <c r="AR174" i="11"/>
  <c r="AS174" i="11"/>
  <c r="AT174" i="11"/>
  <c r="AU174" i="11"/>
  <c r="AV174" i="11"/>
  <c r="AW174" i="11"/>
  <c r="AX174" i="11"/>
  <c r="AY174" i="11"/>
  <c r="AZ174" i="11"/>
  <c r="BA174" i="11"/>
  <c r="BB174" i="11"/>
  <c r="BC174" i="11"/>
  <c r="BD174" i="11"/>
  <c r="BE174" i="11"/>
  <c r="BF174" i="11"/>
  <c r="BG174" i="11"/>
  <c r="BH174" i="11"/>
  <c r="BI174" i="11"/>
  <c r="BJ174" i="11"/>
  <c r="BK174" i="11"/>
  <c r="BL174" i="11"/>
  <c r="BM174" i="11"/>
  <c r="BN174" i="11"/>
  <c r="BO174" i="11"/>
  <c r="BP174" i="11"/>
  <c r="BQ174" i="11"/>
  <c r="BR174" i="11"/>
  <c r="BS174" i="11"/>
  <c r="BT174" i="11"/>
  <c r="BU174" i="11"/>
  <c r="BV174" i="11"/>
  <c r="BW174" i="11"/>
  <c r="BX174" i="11"/>
  <c r="BY174" i="11"/>
  <c r="BZ174" i="11"/>
  <c r="CA174" i="11"/>
  <c r="CB174" i="11"/>
  <c r="CC174" i="11"/>
  <c r="CD174" i="11"/>
  <c r="CE174" i="11"/>
  <c r="CF174" i="11"/>
  <c r="CG174" i="11"/>
  <c r="CH174" i="11"/>
  <c r="CI174" i="11"/>
  <c r="CJ174" i="11"/>
  <c r="CK174" i="11"/>
  <c r="CL174" i="11"/>
  <c r="CM174" i="11"/>
  <c r="CN174" i="11"/>
  <c r="CO174" i="11"/>
  <c r="CP174" i="11"/>
  <c r="CQ174" i="11"/>
  <c r="CR174" i="11"/>
  <c r="CS174" i="11"/>
  <c r="CT174" i="11"/>
  <c r="CU174" i="11"/>
  <c r="CV174" i="11"/>
  <c r="CW174" i="11"/>
  <c r="CX174" i="11"/>
  <c r="CY174" i="11"/>
  <c r="CZ174" i="11"/>
  <c r="DA174" i="11"/>
  <c r="DB174" i="11"/>
  <c r="DC174" i="11"/>
  <c r="DD174" i="11"/>
  <c r="DE174" i="11"/>
  <c r="DF174" i="11"/>
  <c r="DG174" i="11"/>
  <c r="DH174" i="11"/>
  <c r="DI174" i="11"/>
  <c r="DJ174" i="11"/>
  <c r="DK174" i="11"/>
  <c r="DL174" i="11"/>
  <c r="DM174" i="11"/>
  <c r="DN174" i="11"/>
  <c r="DO174" i="11"/>
  <c r="DP174" i="11"/>
  <c r="DQ174" i="11"/>
  <c r="DR174" i="11"/>
  <c r="DS174" i="11"/>
  <c r="DT174" i="11"/>
  <c r="DU174" i="11"/>
  <c r="DV174" i="11"/>
  <c r="DW174" i="11"/>
  <c r="DX174" i="11"/>
  <c r="DY174" i="11"/>
  <c r="DZ174" i="11"/>
  <c r="EA174" i="11"/>
  <c r="EB174" i="11"/>
  <c r="EC174" i="11"/>
  <c r="ED174" i="11"/>
  <c r="EE174" i="11"/>
  <c r="EF174" i="11"/>
  <c r="EG174" i="11"/>
  <c r="EH174" i="11"/>
  <c r="EI174" i="11"/>
  <c r="EJ174" i="11"/>
  <c r="EK174" i="11"/>
  <c r="EL174" i="11"/>
  <c r="EM174" i="11"/>
  <c r="EN174" i="11"/>
  <c r="EO174" i="11"/>
  <c r="EP174" i="11"/>
  <c r="EQ174" i="11"/>
  <c r="ER174" i="11"/>
  <c r="ES174" i="11"/>
  <c r="ET174" i="11"/>
  <c r="EU174" i="11"/>
  <c r="EV174" i="11"/>
  <c r="EW174" i="11"/>
  <c r="EX174" i="11"/>
  <c r="EY174" i="11"/>
  <c r="EZ174" i="11"/>
  <c r="FA174" i="11"/>
  <c r="FB174" i="11"/>
  <c r="FC174" i="11"/>
  <c r="FD174" i="11"/>
  <c r="FE174" i="11"/>
  <c r="FF174" i="11"/>
  <c r="FG174" i="11"/>
  <c r="FH174" i="11"/>
  <c r="FI174" i="11"/>
  <c r="FJ174" i="11"/>
  <c r="FK174" i="11"/>
  <c r="FL174" i="11"/>
  <c r="FM174" i="11"/>
  <c r="FN174" i="11"/>
  <c r="FO174" i="11"/>
  <c r="FP174" i="11"/>
  <c r="FQ174" i="11"/>
  <c r="FR174" i="11"/>
  <c r="FS174" i="11"/>
  <c r="FT174" i="11"/>
  <c r="FU174" i="11"/>
  <c r="FV174" i="11"/>
  <c r="FW174" i="11"/>
  <c r="FX174" i="11"/>
  <c r="FY174" i="11"/>
  <c r="FZ174" i="11"/>
  <c r="GA174" i="11"/>
  <c r="GB174" i="11"/>
  <c r="GC174" i="11"/>
  <c r="GD174" i="11"/>
  <c r="GE174" i="11"/>
  <c r="GF174" i="11"/>
  <c r="GG174" i="11"/>
  <c r="GH174" i="11"/>
  <c r="GI174" i="11"/>
  <c r="GJ174" i="11"/>
  <c r="GK174" i="11"/>
  <c r="GL174" i="11"/>
  <c r="GM174" i="11"/>
  <c r="GN174" i="11"/>
  <c r="GO174" i="11"/>
  <c r="GP174" i="11"/>
  <c r="GQ174" i="11"/>
  <c r="GR174" i="11"/>
  <c r="GS174" i="11"/>
  <c r="GT174" i="11"/>
  <c r="GU174" i="11"/>
  <c r="GV174" i="11"/>
  <c r="GW174" i="11"/>
  <c r="GX174" i="11"/>
  <c r="GY174" i="11"/>
  <c r="GZ174" i="11"/>
  <c r="HA174" i="11"/>
  <c r="HB174" i="11"/>
  <c r="HC174" i="11"/>
  <c r="HD174" i="11"/>
  <c r="HE174" i="11"/>
  <c r="HF174" i="11"/>
  <c r="HG174" i="11"/>
  <c r="HH174" i="11"/>
  <c r="HI174" i="11"/>
  <c r="HJ174" i="11"/>
  <c r="HK174" i="11"/>
  <c r="HL174" i="11"/>
  <c r="HM174" i="11"/>
  <c r="HN174" i="11"/>
  <c r="HO174" i="11"/>
  <c r="HP174" i="11"/>
  <c r="HQ174" i="11"/>
  <c r="HR174" i="11"/>
  <c r="HS174" i="11"/>
  <c r="HT174" i="11"/>
  <c r="HU174" i="11"/>
  <c r="HV174" i="11"/>
  <c r="HW174" i="11"/>
  <c r="HX174" i="11"/>
  <c r="HY174" i="11"/>
  <c r="HZ174" i="11"/>
  <c r="IA174" i="11"/>
  <c r="IB174" i="11"/>
  <c r="IC174" i="11"/>
  <c r="ID174" i="11"/>
  <c r="IE174" i="11"/>
  <c r="IF174" i="11"/>
  <c r="IG174" i="11"/>
  <c r="IH174" i="11"/>
  <c r="II174" i="11"/>
  <c r="IJ174" i="11"/>
  <c r="IK174" i="11"/>
  <c r="IL174" i="11"/>
  <c r="IM174" i="11"/>
  <c r="IN174" i="11"/>
  <c r="IO174" i="11"/>
  <c r="IP174" i="11"/>
  <c r="IQ174" i="11"/>
  <c r="IR174" i="11"/>
  <c r="IS174" i="11"/>
  <c r="IT174" i="11"/>
  <c r="IU174" i="11"/>
  <c r="IV174"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AJ175" i="11"/>
  <c r="AK175" i="11"/>
  <c r="AL175" i="11"/>
  <c r="AM175" i="11"/>
  <c r="AN175" i="11"/>
  <c r="AO175" i="11"/>
  <c r="AP175" i="11"/>
  <c r="AQ175" i="11"/>
  <c r="AR175" i="11"/>
  <c r="AS175" i="11"/>
  <c r="AT175" i="11"/>
  <c r="AU175" i="11"/>
  <c r="AV175" i="11"/>
  <c r="AW175" i="11"/>
  <c r="AX175" i="11"/>
  <c r="AY175" i="11"/>
  <c r="AZ175" i="11"/>
  <c r="BA175" i="11"/>
  <c r="BB175" i="11"/>
  <c r="BC175" i="11"/>
  <c r="BD175" i="11"/>
  <c r="BE175" i="11"/>
  <c r="BF175" i="11"/>
  <c r="BG175" i="11"/>
  <c r="BH175" i="11"/>
  <c r="BI175" i="11"/>
  <c r="BJ175" i="11"/>
  <c r="BK175" i="11"/>
  <c r="BL175" i="11"/>
  <c r="BM175" i="11"/>
  <c r="BN175" i="11"/>
  <c r="BO175" i="11"/>
  <c r="BP175" i="11"/>
  <c r="BQ175" i="11"/>
  <c r="BR175" i="11"/>
  <c r="BS175" i="11"/>
  <c r="BT175" i="11"/>
  <c r="BU175" i="11"/>
  <c r="BV175" i="11"/>
  <c r="BW175" i="11"/>
  <c r="BX175" i="11"/>
  <c r="BY175" i="11"/>
  <c r="BZ175" i="11"/>
  <c r="CA175" i="11"/>
  <c r="CB175" i="11"/>
  <c r="CC175" i="11"/>
  <c r="CD175" i="11"/>
  <c r="CE175" i="11"/>
  <c r="CF175" i="11"/>
  <c r="CG175" i="11"/>
  <c r="CH175" i="11"/>
  <c r="CI175" i="11"/>
  <c r="CJ175" i="11"/>
  <c r="CK175" i="11"/>
  <c r="CL175" i="11"/>
  <c r="CM175" i="11"/>
  <c r="CN175" i="11"/>
  <c r="CO175" i="11"/>
  <c r="CP175" i="11"/>
  <c r="CQ175" i="11"/>
  <c r="CR175" i="11"/>
  <c r="CS175" i="11"/>
  <c r="CT175" i="11"/>
  <c r="CU175" i="11"/>
  <c r="CV175" i="11"/>
  <c r="CW175" i="11"/>
  <c r="CX175" i="11"/>
  <c r="CY175" i="11"/>
  <c r="CZ175" i="11"/>
  <c r="DA175" i="11"/>
  <c r="DB175" i="11"/>
  <c r="DC175" i="11"/>
  <c r="DD175" i="11"/>
  <c r="DE175" i="11"/>
  <c r="DF175" i="11"/>
  <c r="DG175" i="11"/>
  <c r="DH175" i="11"/>
  <c r="DI175" i="11"/>
  <c r="DJ175" i="11"/>
  <c r="DK175" i="11"/>
  <c r="DL175" i="11"/>
  <c r="DM175" i="11"/>
  <c r="DN175" i="11"/>
  <c r="DO175" i="11"/>
  <c r="DP175" i="11"/>
  <c r="DQ175" i="11"/>
  <c r="DR175" i="11"/>
  <c r="DS175" i="11"/>
  <c r="DT175" i="11"/>
  <c r="DU175" i="11"/>
  <c r="DV175" i="11"/>
  <c r="DW175" i="11"/>
  <c r="DX175" i="11"/>
  <c r="DY175" i="11"/>
  <c r="DZ175" i="11"/>
  <c r="EA175" i="11"/>
  <c r="EB175" i="11"/>
  <c r="EC175" i="11"/>
  <c r="ED175" i="11"/>
  <c r="EE175" i="11"/>
  <c r="EF175" i="11"/>
  <c r="EG175" i="11"/>
  <c r="EH175" i="11"/>
  <c r="EI175" i="11"/>
  <c r="EJ175" i="11"/>
  <c r="EK175" i="11"/>
  <c r="EL175" i="11"/>
  <c r="EM175" i="11"/>
  <c r="EN175" i="11"/>
  <c r="EO175" i="11"/>
  <c r="EP175" i="11"/>
  <c r="EQ175" i="11"/>
  <c r="ER175" i="11"/>
  <c r="ES175" i="11"/>
  <c r="ET175" i="11"/>
  <c r="EU175" i="11"/>
  <c r="EV175" i="11"/>
  <c r="EW175" i="11"/>
  <c r="EX175" i="11"/>
  <c r="EY175" i="11"/>
  <c r="EZ175" i="11"/>
  <c r="FA175" i="11"/>
  <c r="FB175" i="11"/>
  <c r="FC175" i="11"/>
  <c r="FD175" i="11"/>
  <c r="FE175" i="11"/>
  <c r="FF175" i="11"/>
  <c r="FG175" i="11"/>
  <c r="FH175" i="11"/>
  <c r="FI175" i="11"/>
  <c r="FJ175" i="11"/>
  <c r="FK175" i="11"/>
  <c r="FL175" i="11"/>
  <c r="FM175" i="11"/>
  <c r="FN175" i="11"/>
  <c r="FO175" i="11"/>
  <c r="FP175" i="11"/>
  <c r="FQ175" i="11"/>
  <c r="FR175" i="11"/>
  <c r="FS175" i="11"/>
  <c r="FT175" i="11"/>
  <c r="FU175" i="11"/>
  <c r="FV175" i="11"/>
  <c r="FW175" i="11"/>
  <c r="FX175" i="11"/>
  <c r="FY175" i="11"/>
  <c r="FZ175" i="11"/>
  <c r="GA175" i="11"/>
  <c r="GB175" i="11"/>
  <c r="GC175" i="11"/>
  <c r="GD175" i="11"/>
  <c r="GE175" i="11"/>
  <c r="GF175" i="11"/>
  <c r="GG175" i="11"/>
  <c r="GH175" i="11"/>
  <c r="GI175" i="11"/>
  <c r="GJ175" i="11"/>
  <c r="GK175" i="11"/>
  <c r="GL175" i="11"/>
  <c r="GM175" i="11"/>
  <c r="GN175" i="11"/>
  <c r="GO175" i="11"/>
  <c r="GP175" i="11"/>
  <c r="GQ175" i="11"/>
  <c r="GR175" i="11"/>
  <c r="GS175" i="11"/>
  <c r="GT175" i="11"/>
  <c r="GU175" i="11"/>
  <c r="GV175" i="11"/>
  <c r="GW175" i="11"/>
  <c r="GX175" i="11"/>
  <c r="GY175" i="11"/>
  <c r="GZ175" i="11"/>
  <c r="HA175" i="11"/>
  <c r="HB175" i="11"/>
  <c r="HC175" i="11"/>
  <c r="HD175" i="11"/>
  <c r="HE175" i="11"/>
  <c r="HF175" i="11"/>
  <c r="HG175" i="11"/>
  <c r="HH175" i="11"/>
  <c r="HI175" i="11"/>
  <c r="HJ175" i="11"/>
  <c r="HK175" i="11"/>
  <c r="HL175" i="11"/>
  <c r="HM175" i="11"/>
  <c r="HN175" i="11"/>
  <c r="HO175" i="11"/>
  <c r="HP175" i="11"/>
  <c r="HQ175" i="11"/>
  <c r="HR175" i="11"/>
  <c r="HS175" i="11"/>
  <c r="HT175" i="11"/>
  <c r="HU175" i="11"/>
  <c r="HV175" i="11"/>
  <c r="HW175" i="11"/>
  <c r="HX175" i="11"/>
  <c r="HY175" i="11"/>
  <c r="HZ175" i="11"/>
  <c r="IA175" i="11"/>
  <c r="IB175" i="11"/>
  <c r="IC175" i="11"/>
  <c r="ID175" i="11"/>
  <c r="IE175" i="11"/>
  <c r="IF175" i="11"/>
  <c r="IG175" i="11"/>
  <c r="IH175" i="11"/>
  <c r="II175" i="11"/>
  <c r="IJ175" i="11"/>
  <c r="IK175" i="11"/>
  <c r="IL175" i="11"/>
  <c r="IM175" i="11"/>
  <c r="IN175" i="11"/>
  <c r="IO175" i="11"/>
  <c r="IP175" i="11"/>
  <c r="IQ175" i="11"/>
  <c r="IR175" i="11"/>
  <c r="IS175" i="11"/>
  <c r="IT175" i="11"/>
  <c r="IU175" i="11"/>
  <c r="IV175"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AJ176" i="11"/>
  <c r="AK176" i="11"/>
  <c r="AL176" i="11"/>
  <c r="AM176" i="11"/>
  <c r="AN176" i="11"/>
  <c r="AO176" i="11"/>
  <c r="AP176" i="11"/>
  <c r="AQ176" i="11"/>
  <c r="AR176" i="11"/>
  <c r="AS176" i="11"/>
  <c r="AT176" i="11"/>
  <c r="AU176" i="11"/>
  <c r="AV176" i="11"/>
  <c r="AW176" i="11"/>
  <c r="AX176" i="11"/>
  <c r="AY176" i="11"/>
  <c r="AZ176" i="11"/>
  <c r="BA176" i="11"/>
  <c r="BB176" i="11"/>
  <c r="BC176" i="11"/>
  <c r="BD176" i="11"/>
  <c r="BE176" i="11"/>
  <c r="BF176" i="11"/>
  <c r="BG176" i="11"/>
  <c r="BH176" i="11"/>
  <c r="BI176" i="11"/>
  <c r="BJ176" i="11"/>
  <c r="BK176" i="11"/>
  <c r="BL176" i="11"/>
  <c r="BM176" i="11"/>
  <c r="BN176" i="11"/>
  <c r="BO176" i="11"/>
  <c r="BP176" i="11"/>
  <c r="BQ176" i="11"/>
  <c r="BR176" i="11"/>
  <c r="BS176" i="11"/>
  <c r="BT176" i="11"/>
  <c r="BU176" i="11"/>
  <c r="BV176" i="11"/>
  <c r="BW176" i="11"/>
  <c r="BX176" i="11"/>
  <c r="BY176" i="11"/>
  <c r="BZ176" i="11"/>
  <c r="CA176" i="11"/>
  <c r="CB176" i="11"/>
  <c r="CC176" i="11"/>
  <c r="CD176" i="11"/>
  <c r="CE176" i="11"/>
  <c r="CF176" i="11"/>
  <c r="CG176" i="11"/>
  <c r="CH176" i="11"/>
  <c r="CI176" i="11"/>
  <c r="CJ176" i="11"/>
  <c r="CK176" i="11"/>
  <c r="CL176" i="11"/>
  <c r="CM176" i="11"/>
  <c r="CN176" i="11"/>
  <c r="CO176" i="11"/>
  <c r="CP176" i="11"/>
  <c r="CQ176" i="11"/>
  <c r="CR176" i="11"/>
  <c r="CS176" i="11"/>
  <c r="CT176" i="11"/>
  <c r="CU176" i="11"/>
  <c r="CV176" i="11"/>
  <c r="CW176" i="11"/>
  <c r="CX176" i="11"/>
  <c r="CY176" i="11"/>
  <c r="CZ176" i="11"/>
  <c r="DA176" i="11"/>
  <c r="DB176" i="11"/>
  <c r="DC176" i="11"/>
  <c r="DD176" i="11"/>
  <c r="DE176" i="11"/>
  <c r="DF176" i="11"/>
  <c r="DG176" i="11"/>
  <c r="DH176" i="11"/>
  <c r="DI176" i="11"/>
  <c r="DJ176" i="11"/>
  <c r="DK176" i="11"/>
  <c r="DL176" i="11"/>
  <c r="DM176" i="11"/>
  <c r="DN176" i="11"/>
  <c r="DO176" i="11"/>
  <c r="DP176" i="11"/>
  <c r="DQ176" i="11"/>
  <c r="DR176" i="11"/>
  <c r="DS176" i="11"/>
  <c r="DT176" i="11"/>
  <c r="DU176" i="11"/>
  <c r="DV176" i="11"/>
  <c r="DW176" i="11"/>
  <c r="DX176" i="11"/>
  <c r="DY176" i="11"/>
  <c r="DZ176" i="11"/>
  <c r="EA176" i="11"/>
  <c r="EB176" i="11"/>
  <c r="EC176" i="11"/>
  <c r="ED176" i="11"/>
  <c r="EE176" i="11"/>
  <c r="EF176" i="11"/>
  <c r="EG176" i="11"/>
  <c r="EH176" i="11"/>
  <c r="EI176" i="11"/>
  <c r="EJ176" i="11"/>
  <c r="EK176" i="11"/>
  <c r="EL176" i="11"/>
  <c r="EM176" i="11"/>
  <c r="EN176" i="11"/>
  <c r="EO176" i="11"/>
  <c r="EP176" i="11"/>
  <c r="EQ176" i="11"/>
  <c r="ER176" i="11"/>
  <c r="ES176" i="11"/>
  <c r="ET176" i="11"/>
  <c r="EU176" i="11"/>
  <c r="EV176" i="11"/>
  <c r="EW176" i="11"/>
  <c r="EX176" i="11"/>
  <c r="EY176" i="11"/>
  <c r="EZ176" i="11"/>
  <c r="FA176" i="11"/>
  <c r="FB176" i="11"/>
  <c r="FC176" i="11"/>
  <c r="FD176" i="11"/>
  <c r="FE176" i="11"/>
  <c r="FF176" i="11"/>
  <c r="FG176" i="11"/>
  <c r="FH176" i="11"/>
  <c r="FI176" i="11"/>
  <c r="FJ176" i="11"/>
  <c r="FK176" i="11"/>
  <c r="FL176" i="11"/>
  <c r="FM176" i="11"/>
  <c r="FN176" i="11"/>
  <c r="FO176" i="11"/>
  <c r="FP176" i="11"/>
  <c r="FQ176" i="11"/>
  <c r="FR176" i="11"/>
  <c r="FS176" i="11"/>
  <c r="FT176" i="11"/>
  <c r="FU176" i="11"/>
  <c r="FV176" i="11"/>
  <c r="FW176" i="11"/>
  <c r="FX176" i="11"/>
  <c r="FY176" i="11"/>
  <c r="FZ176" i="11"/>
  <c r="GA176" i="11"/>
  <c r="GB176" i="11"/>
  <c r="GC176" i="11"/>
  <c r="GD176" i="11"/>
  <c r="GE176" i="11"/>
  <c r="GF176" i="11"/>
  <c r="GG176" i="11"/>
  <c r="GH176" i="11"/>
  <c r="GI176" i="11"/>
  <c r="GJ176" i="11"/>
  <c r="GK176" i="11"/>
  <c r="GL176" i="11"/>
  <c r="GM176" i="11"/>
  <c r="GN176" i="11"/>
  <c r="GO176" i="11"/>
  <c r="GP176" i="11"/>
  <c r="GQ176" i="11"/>
  <c r="GR176" i="11"/>
  <c r="GS176" i="11"/>
  <c r="GT176" i="11"/>
  <c r="GU176" i="11"/>
  <c r="GV176" i="11"/>
  <c r="GW176" i="11"/>
  <c r="GX176" i="11"/>
  <c r="GY176" i="11"/>
  <c r="GZ176" i="11"/>
  <c r="HA176" i="11"/>
  <c r="HB176" i="11"/>
  <c r="HC176" i="11"/>
  <c r="HD176" i="11"/>
  <c r="HE176" i="11"/>
  <c r="HF176" i="11"/>
  <c r="HG176" i="11"/>
  <c r="HH176" i="11"/>
  <c r="HI176" i="11"/>
  <c r="HJ176" i="11"/>
  <c r="HK176" i="11"/>
  <c r="HL176" i="11"/>
  <c r="HM176" i="11"/>
  <c r="HN176" i="11"/>
  <c r="HO176" i="11"/>
  <c r="HP176" i="11"/>
  <c r="HQ176" i="11"/>
  <c r="HR176" i="11"/>
  <c r="HS176" i="11"/>
  <c r="HT176" i="11"/>
  <c r="HU176" i="11"/>
  <c r="HV176" i="11"/>
  <c r="HW176" i="11"/>
  <c r="HX176" i="11"/>
  <c r="HY176" i="11"/>
  <c r="HZ176" i="11"/>
  <c r="IA176" i="11"/>
  <c r="IB176" i="11"/>
  <c r="IC176" i="11"/>
  <c r="ID176" i="11"/>
  <c r="IE176" i="11"/>
  <c r="IF176" i="11"/>
  <c r="IG176" i="11"/>
  <c r="IH176" i="11"/>
  <c r="II176" i="11"/>
  <c r="IJ176" i="11"/>
  <c r="IK176" i="11"/>
  <c r="IL176" i="11"/>
  <c r="IM176" i="11"/>
  <c r="IN176" i="11"/>
  <c r="IO176" i="11"/>
  <c r="IP176" i="11"/>
  <c r="IQ176" i="11"/>
  <c r="IR176" i="11"/>
  <c r="IS176" i="11"/>
  <c r="IT176" i="11"/>
  <c r="IU176" i="11"/>
  <c r="IV176"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AJ177" i="11"/>
  <c r="AK177" i="11"/>
  <c r="AL177" i="11"/>
  <c r="AM177" i="11"/>
  <c r="AN177" i="11"/>
  <c r="AO177" i="11"/>
  <c r="AP177" i="11"/>
  <c r="AQ177" i="11"/>
  <c r="AR177" i="11"/>
  <c r="AS177" i="11"/>
  <c r="AT177" i="11"/>
  <c r="AU177" i="11"/>
  <c r="AV177" i="11"/>
  <c r="AW177" i="11"/>
  <c r="AX177" i="11"/>
  <c r="AY177" i="11"/>
  <c r="AZ177" i="11"/>
  <c r="BA177" i="11"/>
  <c r="BB177" i="11"/>
  <c r="BC177" i="11"/>
  <c r="BD177" i="11"/>
  <c r="BE177" i="11"/>
  <c r="BF177" i="11"/>
  <c r="BG177" i="11"/>
  <c r="BH177" i="11"/>
  <c r="BI177" i="11"/>
  <c r="BJ177" i="11"/>
  <c r="BK177" i="11"/>
  <c r="BL177" i="11"/>
  <c r="BM177" i="11"/>
  <c r="BN177" i="11"/>
  <c r="BO177" i="11"/>
  <c r="BP177" i="11"/>
  <c r="BQ177" i="11"/>
  <c r="BR177" i="11"/>
  <c r="BS177" i="11"/>
  <c r="BT177" i="11"/>
  <c r="BU177" i="11"/>
  <c r="BV177" i="11"/>
  <c r="BW177" i="11"/>
  <c r="BX177" i="11"/>
  <c r="BY177" i="11"/>
  <c r="BZ177" i="11"/>
  <c r="CA177" i="11"/>
  <c r="CB177" i="11"/>
  <c r="CC177" i="11"/>
  <c r="CD177" i="11"/>
  <c r="CE177" i="11"/>
  <c r="CF177" i="11"/>
  <c r="CG177" i="11"/>
  <c r="CH177" i="11"/>
  <c r="CI177" i="11"/>
  <c r="CJ177" i="11"/>
  <c r="CK177" i="11"/>
  <c r="CL177" i="11"/>
  <c r="CM177" i="11"/>
  <c r="CN177" i="11"/>
  <c r="CO177" i="11"/>
  <c r="CP177" i="11"/>
  <c r="CQ177" i="11"/>
  <c r="CR177" i="11"/>
  <c r="CS177" i="11"/>
  <c r="CT177" i="11"/>
  <c r="CU177" i="11"/>
  <c r="CV177" i="11"/>
  <c r="CW177" i="11"/>
  <c r="CX177" i="11"/>
  <c r="CY177" i="11"/>
  <c r="CZ177" i="11"/>
  <c r="DA177" i="11"/>
  <c r="DB177" i="11"/>
  <c r="DC177" i="11"/>
  <c r="DD177" i="11"/>
  <c r="DE177" i="11"/>
  <c r="DF177" i="11"/>
  <c r="DG177" i="11"/>
  <c r="DH177" i="11"/>
  <c r="DI177" i="11"/>
  <c r="DJ177" i="11"/>
  <c r="DK177" i="11"/>
  <c r="DL177" i="11"/>
  <c r="DM177" i="11"/>
  <c r="DN177" i="11"/>
  <c r="DO177" i="11"/>
  <c r="DP177" i="11"/>
  <c r="DQ177" i="11"/>
  <c r="DR177" i="11"/>
  <c r="DS177" i="11"/>
  <c r="DT177" i="11"/>
  <c r="DU177" i="11"/>
  <c r="DV177" i="11"/>
  <c r="DW177" i="11"/>
  <c r="DX177" i="11"/>
  <c r="DY177" i="11"/>
  <c r="DZ177" i="11"/>
  <c r="EA177" i="11"/>
  <c r="EB177" i="11"/>
  <c r="EC177" i="11"/>
  <c r="ED177" i="11"/>
  <c r="EE177" i="11"/>
  <c r="EF177" i="11"/>
  <c r="EG177" i="11"/>
  <c r="EH177" i="11"/>
  <c r="EI177" i="11"/>
  <c r="EJ177" i="11"/>
  <c r="EK177" i="11"/>
  <c r="EL177" i="11"/>
  <c r="EM177" i="11"/>
  <c r="EN177" i="11"/>
  <c r="EO177" i="11"/>
  <c r="EP177" i="11"/>
  <c r="EQ177" i="11"/>
  <c r="ER177" i="11"/>
  <c r="ES177" i="11"/>
  <c r="ET177" i="11"/>
  <c r="EU177" i="11"/>
  <c r="EV177" i="11"/>
  <c r="EW177" i="11"/>
  <c r="EX177" i="11"/>
  <c r="EY177" i="11"/>
  <c r="EZ177" i="11"/>
  <c r="FA177" i="11"/>
  <c r="FB177" i="11"/>
  <c r="FC177" i="11"/>
  <c r="FD177" i="11"/>
  <c r="FE177" i="11"/>
  <c r="FF177" i="11"/>
  <c r="FG177" i="11"/>
  <c r="FH177" i="11"/>
  <c r="FI177" i="11"/>
  <c r="FJ177" i="11"/>
  <c r="FK177" i="11"/>
  <c r="FL177" i="11"/>
  <c r="FM177" i="11"/>
  <c r="FN177" i="11"/>
  <c r="FO177" i="11"/>
  <c r="FP177" i="11"/>
  <c r="FQ177" i="11"/>
  <c r="FR177" i="11"/>
  <c r="FS177" i="11"/>
  <c r="FT177" i="11"/>
  <c r="FU177" i="11"/>
  <c r="FV177" i="11"/>
  <c r="FW177" i="11"/>
  <c r="FX177" i="11"/>
  <c r="FY177" i="11"/>
  <c r="FZ177" i="11"/>
  <c r="GA177" i="11"/>
  <c r="GB177" i="11"/>
  <c r="GC177" i="11"/>
  <c r="GD177" i="11"/>
  <c r="GE177" i="11"/>
  <c r="GF177" i="11"/>
  <c r="GG177" i="11"/>
  <c r="GH177" i="11"/>
  <c r="GI177" i="11"/>
  <c r="GJ177" i="11"/>
  <c r="GK177" i="11"/>
  <c r="GL177" i="11"/>
  <c r="GM177" i="11"/>
  <c r="GN177" i="11"/>
  <c r="GO177" i="11"/>
  <c r="GP177" i="11"/>
  <c r="GQ177" i="11"/>
  <c r="GR177" i="11"/>
  <c r="GS177" i="11"/>
  <c r="GT177" i="11"/>
  <c r="GU177" i="11"/>
  <c r="GV177" i="11"/>
  <c r="GW177" i="11"/>
  <c r="GX177" i="11"/>
  <c r="GY177" i="11"/>
  <c r="GZ177" i="11"/>
  <c r="HA177" i="11"/>
  <c r="HB177" i="11"/>
  <c r="HC177" i="11"/>
  <c r="HD177" i="11"/>
  <c r="HE177" i="11"/>
  <c r="HF177" i="11"/>
  <c r="HG177" i="11"/>
  <c r="HH177" i="11"/>
  <c r="HI177" i="11"/>
  <c r="HJ177" i="11"/>
  <c r="HK177" i="11"/>
  <c r="HL177" i="11"/>
  <c r="HM177" i="11"/>
  <c r="HN177" i="11"/>
  <c r="HO177" i="11"/>
  <c r="HP177" i="11"/>
  <c r="HQ177" i="11"/>
  <c r="HR177" i="11"/>
  <c r="HS177" i="11"/>
  <c r="HT177" i="11"/>
  <c r="HU177" i="11"/>
  <c r="HV177" i="11"/>
  <c r="HW177" i="11"/>
  <c r="HX177" i="11"/>
  <c r="HY177" i="11"/>
  <c r="HZ177" i="11"/>
  <c r="IA177" i="11"/>
  <c r="IB177" i="11"/>
  <c r="IC177" i="11"/>
  <c r="ID177" i="11"/>
  <c r="IE177" i="11"/>
  <c r="IF177" i="11"/>
  <c r="IG177" i="11"/>
  <c r="IH177" i="11"/>
  <c r="II177" i="11"/>
  <c r="IJ177" i="11"/>
  <c r="IK177" i="11"/>
  <c r="IL177" i="11"/>
  <c r="IM177" i="11"/>
  <c r="IN177" i="11"/>
  <c r="IO177" i="11"/>
  <c r="IP177" i="11"/>
  <c r="IQ177" i="11"/>
  <c r="IR177" i="11"/>
  <c r="IS177" i="11"/>
  <c r="IT177" i="11"/>
  <c r="IU177" i="11"/>
  <c r="IV177"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AJ178" i="11"/>
  <c r="AK178" i="11"/>
  <c r="AL178" i="11"/>
  <c r="AM178" i="11"/>
  <c r="AN178" i="11"/>
  <c r="AO178" i="11"/>
  <c r="AP178" i="11"/>
  <c r="AQ178" i="11"/>
  <c r="AR178" i="11"/>
  <c r="AS178" i="11"/>
  <c r="AT178" i="11"/>
  <c r="AU178" i="11"/>
  <c r="AV178" i="11"/>
  <c r="AW178" i="11"/>
  <c r="AX178" i="11"/>
  <c r="AY178" i="11"/>
  <c r="AZ178" i="11"/>
  <c r="BA178" i="11"/>
  <c r="BB178" i="11"/>
  <c r="BC178" i="11"/>
  <c r="BD178" i="11"/>
  <c r="BE178" i="11"/>
  <c r="BF178" i="11"/>
  <c r="BG178" i="11"/>
  <c r="BH178" i="11"/>
  <c r="BI178" i="11"/>
  <c r="BJ178" i="11"/>
  <c r="BK178" i="11"/>
  <c r="BL178" i="11"/>
  <c r="BM178" i="11"/>
  <c r="BN178" i="11"/>
  <c r="BO178" i="11"/>
  <c r="BP178" i="11"/>
  <c r="BQ178" i="11"/>
  <c r="BR178" i="11"/>
  <c r="BS178" i="11"/>
  <c r="BT178" i="11"/>
  <c r="BU178" i="11"/>
  <c r="BV178" i="11"/>
  <c r="BW178" i="11"/>
  <c r="BX178" i="11"/>
  <c r="BY178" i="11"/>
  <c r="BZ178" i="11"/>
  <c r="CA178" i="11"/>
  <c r="CB178" i="11"/>
  <c r="CC178" i="11"/>
  <c r="CD178" i="11"/>
  <c r="CE178" i="11"/>
  <c r="CF178" i="11"/>
  <c r="CG178" i="11"/>
  <c r="CH178" i="11"/>
  <c r="CI178" i="11"/>
  <c r="CJ178" i="11"/>
  <c r="CK178" i="11"/>
  <c r="CL178" i="11"/>
  <c r="CM178" i="11"/>
  <c r="CN178" i="11"/>
  <c r="CO178" i="11"/>
  <c r="CP178" i="11"/>
  <c r="CQ178" i="11"/>
  <c r="CR178" i="11"/>
  <c r="CS178" i="11"/>
  <c r="CT178" i="11"/>
  <c r="CU178" i="11"/>
  <c r="CV178" i="11"/>
  <c r="CW178" i="11"/>
  <c r="CX178" i="11"/>
  <c r="CY178" i="11"/>
  <c r="CZ178" i="11"/>
  <c r="DA178" i="11"/>
  <c r="DB178" i="11"/>
  <c r="DC178" i="11"/>
  <c r="DD178" i="11"/>
  <c r="DE178" i="11"/>
  <c r="DF178" i="11"/>
  <c r="DG178" i="11"/>
  <c r="DH178" i="11"/>
  <c r="DI178" i="11"/>
  <c r="DJ178" i="11"/>
  <c r="DK178" i="11"/>
  <c r="DL178" i="11"/>
  <c r="DM178" i="11"/>
  <c r="DN178" i="11"/>
  <c r="DO178" i="11"/>
  <c r="DP178" i="11"/>
  <c r="DQ178" i="11"/>
  <c r="DR178" i="11"/>
  <c r="DS178" i="11"/>
  <c r="DT178" i="11"/>
  <c r="DU178" i="11"/>
  <c r="DV178" i="11"/>
  <c r="DW178" i="11"/>
  <c r="DX178" i="11"/>
  <c r="DY178" i="11"/>
  <c r="DZ178" i="11"/>
  <c r="EA178" i="11"/>
  <c r="EB178" i="11"/>
  <c r="EC178" i="11"/>
  <c r="ED178" i="11"/>
  <c r="EE178" i="11"/>
  <c r="EF178" i="11"/>
  <c r="EG178" i="11"/>
  <c r="EH178" i="11"/>
  <c r="EI178" i="11"/>
  <c r="EJ178" i="11"/>
  <c r="EK178" i="11"/>
  <c r="EL178" i="11"/>
  <c r="EM178" i="11"/>
  <c r="EN178" i="11"/>
  <c r="EO178" i="11"/>
  <c r="EP178" i="11"/>
  <c r="EQ178" i="11"/>
  <c r="ER178" i="11"/>
  <c r="ES178" i="11"/>
  <c r="ET178" i="11"/>
  <c r="EU178" i="11"/>
  <c r="EV178" i="11"/>
  <c r="EW178" i="11"/>
  <c r="EX178" i="11"/>
  <c r="EY178" i="11"/>
  <c r="EZ178" i="11"/>
  <c r="FA178" i="11"/>
  <c r="FB178" i="11"/>
  <c r="FC178" i="11"/>
  <c r="FD178" i="11"/>
  <c r="FE178" i="11"/>
  <c r="FF178" i="11"/>
  <c r="FG178" i="11"/>
  <c r="FH178" i="11"/>
  <c r="FI178" i="11"/>
  <c r="FJ178" i="11"/>
  <c r="FK178" i="11"/>
  <c r="FL178" i="11"/>
  <c r="FM178" i="11"/>
  <c r="FN178" i="11"/>
  <c r="FO178" i="11"/>
  <c r="FP178" i="11"/>
  <c r="FQ178" i="11"/>
  <c r="FR178" i="11"/>
  <c r="FS178" i="11"/>
  <c r="FT178" i="11"/>
  <c r="FU178" i="11"/>
  <c r="FV178" i="11"/>
  <c r="FW178" i="11"/>
  <c r="FX178" i="11"/>
  <c r="FY178" i="11"/>
  <c r="FZ178" i="11"/>
  <c r="GA178" i="11"/>
  <c r="GB178" i="11"/>
  <c r="GC178" i="11"/>
  <c r="GD178" i="11"/>
  <c r="GE178" i="11"/>
  <c r="GF178" i="11"/>
  <c r="GG178" i="11"/>
  <c r="GH178" i="11"/>
  <c r="GI178" i="11"/>
  <c r="GJ178" i="11"/>
  <c r="GK178" i="11"/>
  <c r="GL178" i="11"/>
  <c r="GM178" i="11"/>
  <c r="GN178" i="11"/>
  <c r="GO178" i="11"/>
  <c r="GP178" i="11"/>
  <c r="GQ178" i="11"/>
  <c r="GR178" i="11"/>
  <c r="GS178" i="11"/>
  <c r="GT178" i="11"/>
  <c r="GU178" i="11"/>
  <c r="GV178" i="11"/>
  <c r="GW178" i="11"/>
  <c r="GX178" i="11"/>
  <c r="GY178" i="11"/>
  <c r="GZ178" i="11"/>
  <c r="HA178" i="11"/>
  <c r="HB178" i="11"/>
  <c r="HC178" i="11"/>
  <c r="HD178" i="11"/>
  <c r="HE178" i="11"/>
  <c r="HF178" i="11"/>
  <c r="HG178" i="11"/>
  <c r="HH178" i="11"/>
  <c r="HI178" i="11"/>
  <c r="HJ178" i="11"/>
  <c r="HK178" i="11"/>
  <c r="HL178" i="11"/>
  <c r="HM178" i="11"/>
  <c r="HN178" i="11"/>
  <c r="HO178" i="11"/>
  <c r="HP178" i="11"/>
  <c r="HQ178" i="11"/>
  <c r="HR178" i="11"/>
  <c r="HS178" i="11"/>
  <c r="HT178" i="11"/>
  <c r="HU178" i="11"/>
  <c r="HV178" i="11"/>
  <c r="HW178" i="11"/>
  <c r="HX178" i="11"/>
  <c r="HY178" i="11"/>
  <c r="HZ178" i="11"/>
  <c r="IA178" i="11"/>
  <c r="IB178" i="11"/>
  <c r="IC178" i="11"/>
  <c r="ID178" i="11"/>
  <c r="IE178" i="11"/>
  <c r="IF178" i="11"/>
  <c r="IG178" i="11"/>
  <c r="IH178" i="11"/>
  <c r="II178" i="11"/>
  <c r="IJ178" i="11"/>
  <c r="IK178" i="11"/>
  <c r="IL178" i="11"/>
  <c r="IM178" i="11"/>
  <c r="IN178" i="11"/>
  <c r="IO178" i="11"/>
  <c r="IP178" i="11"/>
  <c r="IQ178" i="11"/>
  <c r="IR178" i="11"/>
  <c r="IS178" i="11"/>
  <c r="IT178" i="11"/>
  <c r="IU178" i="11"/>
  <c r="IV178"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AJ179" i="11"/>
  <c r="AK179" i="11"/>
  <c r="AL179" i="11"/>
  <c r="AM179" i="11"/>
  <c r="AN179" i="11"/>
  <c r="AO179" i="11"/>
  <c r="AP179" i="11"/>
  <c r="AQ179" i="11"/>
  <c r="AR179" i="11"/>
  <c r="AS179" i="11"/>
  <c r="AT179" i="11"/>
  <c r="AU179" i="11"/>
  <c r="AV179" i="11"/>
  <c r="AW179" i="11"/>
  <c r="AX179" i="11"/>
  <c r="AY179" i="11"/>
  <c r="AZ179" i="11"/>
  <c r="BA179" i="11"/>
  <c r="BB179" i="11"/>
  <c r="BC179" i="11"/>
  <c r="BD179" i="11"/>
  <c r="BE179" i="11"/>
  <c r="BF179" i="11"/>
  <c r="BG179" i="11"/>
  <c r="BH179" i="11"/>
  <c r="BI179" i="11"/>
  <c r="BJ179" i="11"/>
  <c r="BK179" i="11"/>
  <c r="BL179" i="11"/>
  <c r="BM179" i="11"/>
  <c r="BN179" i="11"/>
  <c r="BO179" i="11"/>
  <c r="BP179" i="11"/>
  <c r="BQ179" i="11"/>
  <c r="BR179" i="11"/>
  <c r="BS179" i="11"/>
  <c r="BT179" i="11"/>
  <c r="BU179" i="11"/>
  <c r="BV179" i="11"/>
  <c r="BW179" i="11"/>
  <c r="BX179" i="11"/>
  <c r="BY179" i="11"/>
  <c r="BZ179" i="11"/>
  <c r="CA179" i="11"/>
  <c r="CB179" i="11"/>
  <c r="CC179" i="11"/>
  <c r="CD179" i="11"/>
  <c r="CE179" i="11"/>
  <c r="CF179" i="11"/>
  <c r="CG179" i="11"/>
  <c r="CH179" i="11"/>
  <c r="CI179" i="11"/>
  <c r="CJ179" i="11"/>
  <c r="CK179" i="11"/>
  <c r="CL179" i="11"/>
  <c r="CM179" i="11"/>
  <c r="CN179" i="11"/>
  <c r="CO179" i="11"/>
  <c r="CP179" i="11"/>
  <c r="CQ179" i="11"/>
  <c r="CR179" i="11"/>
  <c r="CS179" i="11"/>
  <c r="CT179" i="11"/>
  <c r="CU179" i="11"/>
  <c r="CV179" i="11"/>
  <c r="CW179" i="11"/>
  <c r="CX179" i="11"/>
  <c r="CY179" i="11"/>
  <c r="CZ179" i="11"/>
  <c r="DA179" i="11"/>
  <c r="DB179" i="11"/>
  <c r="DC179" i="11"/>
  <c r="DD179" i="11"/>
  <c r="DE179" i="11"/>
  <c r="DF179" i="11"/>
  <c r="DG179" i="11"/>
  <c r="DH179" i="11"/>
  <c r="DI179" i="11"/>
  <c r="DJ179" i="11"/>
  <c r="DK179" i="11"/>
  <c r="DL179" i="11"/>
  <c r="DM179" i="11"/>
  <c r="DN179" i="11"/>
  <c r="DO179" i="11"/>
  <c r="DP179" i="11"/>
  <c r="DQ179" i="11"/>
  <c r="DR179" i="11"/>
  <c r="DS179" i="11"/>
  <c r="DT179" i="11"/>
  <c r="DU179" i="11"/>
  <c r="DV179" i="11"/>
  <c r="DW179" i="11"/>
  <c r="DX179" i="11"/>
  <c r="DY179" i="11"/>
  <c r="DZ179" i="11"/>
  <c r="EA179" i="11"/>
  <c r="EB179" i="11"/>
  <c r="EC179" i="11"/>
  <c r="ED179" i="11"/>
  <c r="EE179" i="11"/>
  <c r="EF179" i="11"/>
  <c r="EG179" i="11"/>
  <c r="EH179" i="11"/>
  <c r="EI179" i="11"/>
  <c r="EJ179" i="11"/>
  <c r="EK179" i="11"/>
  <c r="EL179" i="11"/>
  <c r="EM179" i="11"/>
  <c r="EN179" i="11"/>
  <c r="EO179" i="11"/>
  <c r="EP179" i="11"/>
  <c r="EQ179" i="11"/>
  <c r="ER179" i="11"/>
  <c r="ES179" i="11"/>
  <c r="ET179" i="11"/>
  <c r="EU179" i="11"/>
  <c r="EV179" i="11"/>
  <c r="EW179" i="11"/>
  <c r="EX179" i="11"/>
  <c r="EY179" i="11"/>
  <c r="EZ179" i="11"/>
  <c r="FA179" i="11"/>
  <c r="FB179" i="11"/>
  <c r="FC179" i="11"/>
  <c r="FD179" i="11"/>
  <c r="FE179" i="11"/>
  <c r="FF179" i="11"/>
  <c r="FG179" i="11"/>
  <c r="FH179" i="11"/>
  <c r="FI179" i="11"/>
  <c r="FJ179" i="11"/>
  <c r="FK179" i="11"/>
  <c r="FL179" i="11"/>
  <c r="FM179" i="11"/>
  <c r="FN179" i="11"/>
  <c r="FO179" i="11"/>
  <c r="FP179" i="11"/>
  <c r="FQ179" i="11"/>
  <c r="FR179" i="11"/>
  <c r="FS179" i="11"/>
  <c r="FT179" i="11"/>
  <c r="FU179" i="11"/>
  <c r="FV179" i="11"/>
  <c r="FW179" i="11"/>
  <c r="FX179" i="11"/>
  <c r="FY179" i="11"/>
  <c r="FZ179" i="11"/>
  <c r="GA179" i="11"/>
  <c r="GB179" i="11"/>
  <c r="GC179" i="11"/>
  <c r="GD179" i="11"/>
  <c r="GE179" i="11"/>
  <c r="GF179" i="11"/>
  <c r="GG179" i="11"/>
  <c r="GH179" i="11"/>
  <c r="GI179" i="11"/>
  <c r="GJ179" i="11"/>
  <c r="GK179" i="11"/>
  <c r="GL179" i="11"/>
  <c r="GM179" i="11"/>
  <c r="GN179" i="11"/>
  <c r="GO179" i="11"/>
  <c r="GP179" i="11"/>
  <c r="GQ179" i="11"/>
  <c r="GR179" i="11"/>
  <c r="GS179" i="11"/>
  <c r="GT179" i="11"/>
  <c r="GU179" i="11"/>
  <c r="GV179" i="11"/>
  <c r="GW179" i="11"/>
  <c r="GX179" i="11"/>
  <c r="GY179" i="11"/>
  <c r="GZ179" i="11"/>
  <c r="HA179" i="11"/>
  <c r="HB179" i="11"/>
  <c r="HC179" i="11"/>
  <c r="HD179" i="11"/>
  <c r="HE179" i="11"/>
  <c r="HF179" i="11"/>
  <c r="HG179" i="11"/>
  <c r="HH179" i="11"/>
  <c r="HI179" i="11"/>
  <c r="HJ179" i="11"/>
  <c r="HK179" i="11"/>
  <c r="HL179" i="11"/>
  <c r="HM179" i="11"/>
  <c r="HN179" i="11"/>
  <c r="HO179" i="11"/>
  <c r="HP179" i="11"/>
  <c r="HQ179" i="11"/>
  <c r="HR179" i="11"/>
  <c r="HS179" i="11"/>
  <c r="HT179" i="11"/>
  <c r="HU179" i="11"/>
  <c r="HV179" i="11"/>
  <c r="HW179" i="11"/>
  <c r="HX179" i="11"/>
  <c r="HY179" i="11"/>
  <c r="HZ179" i="11"/>
  <c r="IA179" i="11"/>
  <c r="IB179" i="11"/>
  <c r="IC179" i="11"/>
  <c r="ID179" i="11"/>
  <c r="IE179" i="11"/>
  <c r="IF179" i="11"/>
  <c r="IG179" i="11"/>
  <c r="IH179" i="11"/>
  <c r="II179" i="11"/>
  <c r="IJ179" i="11"/>
  <c r="IK179" i="11"/>
  <c r="IL179" i="11"/>
  <c r="IM179" i="11"/>
  <c r="IN179" i="11"/>
  <c r="IO179" i="11"/>
  <c r="IP179" i="11"/>
  <c r="IQ179" i="11"/>
  <c r="IR179" i="11"/>
  <c r="IS179" i="11"/>
  <c r="IT179" i="11"/>
  <c r="IU179" i="11"/>
  <c r="IV179"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AJ180" i="11"/>
  <c r="AK180" i="11"/>
  <c r="AL180" i="11"/>
  <c r="AM180" i="11"/>
  <c r="AN180" i="11"/>
  <c r="AO180" i="11"/>
  <c r="AP180" i="11"/>
  <c r="AQ180" i="11"/>
  <c r="AR180" i="11"/>
  <c r="AS180" i="11"/>
  <c r="AT180" i="11"/>
  <c r="AU180" i="11"/>
  <c r="AV180" i="11"/>
  <c r="AW180" i="11"/>
  <c r="AX180" i="11"/>
  <c r="AY180" i="11"/>
  <c r="AZ180" i="11"/>
  <c r="BA180" i="11"/>
  <c r="BB180" i="11"/>
  <c r="BC180" i="11"/>
  <c r="BD180" i="11"/>
  <c r="BE180" i="11"/>
  <c r="BF180" i="11"/>
  <c r="BG180" i="11"/>
  <c r="BH180" i="11"/>
  <c r="BI180" i="11"/>
  <c r="BJ180" i="11"/>
  <c r="BK180" i="11"/>
  <c r="BL180" i="11"/>
  <c r="BM180" i="11"/>
  <c r="BN180" i="11"/>
  <c r="BO180" i="11"/>
  <c r="BP180" i="11"/>
  <c r="BQ180" i="11"/>
  <c r="BR180" i="11"/>
  <c r="BS180" i="11"/>
  <c r="BT180" i="11"/>
  <c r="BU180" i="11"/>
  <c r="BV180" i="11"/>
  <c r="BW180" i="11"/>
  <c r="BX180" i="11"/>
  <c r="BY180" i="11"/>
  <c r="BZ180" i="11"/>
  <c r="CA180" i="11"/>
  <c r="CB180" i="11"/>
  <c r="CC180" i="11"/>
  <c r="CD180" i="11"/>
  <c r="CE180" i="11"/>
  <c r="CF180" i="11"/>
  <c r="CG180" i="11"/>
  <c r="CH180" i="11"/>
  <c r="CI180" i="11"/>
  <c r="CJ180" i="11"/>
  <c r="CK180" i="11"/>
  <c r="CL180" i="11"/>
  <c r="CM180" i="11"/>
  <c r="CN180" i="11"/>
  <c r="CO180" i="11"/>
  <c r="CP180" i="11"/>
  <c r="CQ180" i="11"/>
  <c r="CR180" i="11"/>
  <c r="CS180" i="11"/>
  <c r="CT180" i="11"/>
  <c r="CU180" i="11"/>
  <c r="CV180" i="11"/>
  <c r="CW180" i="11"/>
  <c r="CX180" i="11"/>
  <c r="CY180" i="11"/>
  <c r="CZ180" i="11"/>
  <c r="DA180" i="11"/>
  <c r="DB180" i="11"/>
  <c r="DC180" i="11"/>
  <c r="DD180" i="11"/>
  <c r="DE180" i="11"/>
  <c r="DF180" i="11"/>
  <c r="DG180" i="11"/>
  <c r="DH180" i="11"/>
  <c r="DI180" i="11"/>
  <c r="DJ180" i="11"/>
  <c r="DK180" i="11"/>
  <c r="DL180" i="11"/>
  <c r="DM180" i="11"/>
  <c r="DN180" i="11"/>
  <c r="DO180" i="11"/>
  <c r="DP180" i="11"/>
  <c r="DQ180" i="11"/>
  <c r="DR180" i="11"/>
  <c r="DS180" i="11"/>
  <c r="DT180" i="11"/>
  <c r="DU180" i="11"/>
  <c r="DV180" i="11"/>
  <c r="DW180" i="11"/>
  <c r="DX180" i="11"/>
  <c r="DY180" i="11"/>
  <c r="DZ180" i="11"/>
  <c r="EA180" i="11"/>
  <c r="EB180" i="11"/>
  <c r="EC180" i="11"/>
  <c r="ED180" i="11"/>
  <c r="EE180" i="11"/>
  <c r="EF180" i="11"/>
  <c r="EG180" i="11"/>
  <c r="EH180" i="11"/>
  <c r="EI180" i="11"/>
  <c r="EJ180" i="11"/>
  <c r="EK180" i="11"/>
  <c r="EL180" i="11"/>
  <c r="EM180" i="11"/>
  <c r="EN180" i="11"/>
  <c r="EO180" i="11"/>
  <c r="EP180" i="11"/>
  <c r="EQ180" i="11"/>
  <c r="ER180" i="11"/>
  <c r="ES180" i="11"/>
  <c r="ET180" i="11"/>
  <c r="EU180" i="11"/>
  <c r="EV180" i="11"/>
  <c r="EW180" i="11"/>
  <c r="EX180" i="11"/>
  <c r="EY180" i="11"/>
  <c r="EZ180" i="11"/>
  <c r="FA180" i="11"/>
  <c r="FB180" i="11"/>
  <c r="FC180" i="11"/>
  <c r="FD180" i="11"/>
  <c r="FE180" i="11"/>
  <c r="FF180" i="11"/>
  <c r="FG180" i="11"/>
  <c r="FH180" i="11"/>
  <c r="FI180" i="11"/>
  <c r="FJ180" i="11"/>
  <c r="FK180" i="11"/>
  <c r="FL180" i="11"/>
  <c r="FM180" i="11"/>
  <c r="FN180" i="11"/>
  <c r="FO180" i="11"/>
  <c r="FP180" i="11"/>
  <c r="FQ180" i="11"/>
  <c r="FR180" i="11"/>
  <c r="FS180" i="11"/>
  <c r="FT180" i="11"/>
  <c r="FU180" i="11"/>
  <c r="FV180" i="11"/>
  <c r="FW180" i="11"/>
  <c r="FX180" i="11"/>
  <c r="FY180" i="11"/>
  <c r="FZ180" i="11"/>
  <c r="GA180" i="11"/>
  <c r="GB180" i="11"/>
  <c r="GC180" i="11"/>
  <c r="GD180" i="11"/>
  <c r="GE180" i="11"/>
  <c r="GF180" i="11"/>
  <c r="GG180" i="11"/>
  <c r="GH180" i="11"/>
  <c r="GI180" i="11"/>
  <c r="GJ180" i="11"/>
  <c r="GK180" i="11"/>
  <c r="GL180" i="11"/>
  <c r="GM180" i="11"/>
  <c r="GN180" i="11"/>
  <c r="GO180" i="11"/>
  <c r="GP180" i="11"/>
  <c r="GQ180" i="11"/>
  <c r="GR180" i="11"/>
  <c r="GS180" i="11"/>
  <c r="GT180" i="11"/>
  <c r="GU180" i="11"/>
  <c r="GV180" i="11"/>
  <c r="GW180" i="11"/>
  <c r="GX180" i="11"/>
  <c r="GY180" i="11"/>
  <c r="GZ180" i="11"/>
  <c r="HA180" i="11"/>
  <c r="HB180" i="11"/>
  <c r="HC180" i="11"/>
  <c r="HD180" i="11"/>
  <c r="HE180" i="11"/>
  <c r="HF180" i="11"/>
  <c r="HG180" i="11"/>
  <c r="HH180" i="11"/>
  <c r="HI180" i="11"/>
  <c r="HJ180" i="11"/>
  <c r="HK180" i="11"/>
  <c r="HL180" i="11"/>
  <c r="HM180" i="11"/>
  <c r="HN180" i="11"/>
  <c r="HO180" i="11"/>
  <c r="HP180" i="11"/>
  <c r="HQ180" i="11"/>
  <c r="HR180" i="11"/>
  <c r="HS180" i="11"/>
  <c r="HT180" i="11"/>
  <c r="HU180" i="11"/>
  <c r="HV180" i="11"/>
  <c r="HW180" i="11"/>
  <c r="HX180" i="11"/>
  <c r="HY180" i="11"/>
  <c r="HZ180" i="11"/>
  <c r="IA180" i="11"/>
  <c r="IB180" i="11"/>
  <c r="IC180" i="11"/>
  <c r="ID180" i="11"/>
  <c r="IE180" i="11"/>
  <c r="IF180" i="11"/>
  <c r="IG180" i="11"/>
  <c r="IH180" i="11"/>
  <c r="II180" i="11"/>
  <c r="IJ180" i="11"/>
  <c r="IK180" i="11"/>
  <c r="IL180" i="11"/>
  <c r="IM180" i="11"/>
  <c r="IN180" i="11"/>
  <c r="IO180" i="11"/>
  <c r="IP180" i="11"/>
  <c r="IQ180" i="11"/>
  <c r="IR180" i="11"/>
  <c r="IS180" i="11"/>
  <c r="IT180" i="11"/>
  <c r="IU180" i="11"/>
  <c r="IV180"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AJ181" i="11"/>
  <c r="AK181" i="11"/>
  <c r="AL181" i="11"/>
  <c r="AM181" i="11"/>
  <c r="AN181" i="11"/>
  <c r="AO181" i="11"/>
  <c r="AP181" i="11"/>
  <c r="AQ181" i="11"/>
  <c r="AR181" i="11"/>
  <c r="AS181" i="11"/>
  <c r="AT181" i="11"/>
  <c r="AU181" i="11"/>
  <c r="AV181" i="11"/>
  <c r="AW181" i="11"/>
  <c r="AX181" i="11"/>
  <c r="AY181" i="11"/>
  <c r="AZ181" i="11"/>
  <c r="BA181" i="11"/>
  <c r="BB181" i="11"/>
  <c r="BC181" i="11"/>
  <c r="BD181" i="11"/>
  <c r="BE181" i="11"/>
  <c r="BF181" i="11"/>
  <c r="BG181" i="11"/>
  <c r="BH181" i="11"/>
  <c r="BI181" i="11"/>
  <c r="BJ181" i="11"/>
  <c r="BK181" i="11"/>
  <c r="BL181" i="11"/>
  <c r="BM181" i="11"/>
  <c r="BN181" i="11"/>
  <c r="BO181" i="11"/>
  <c r="BP181" i="11"/>
  <c r="BQ181" i="11"/>
  <c r="BR181" i="11"/>
  <c r="BS181" i="11"/>
  <c r="BT181" i="11"/>
  <c r="BU181" i="11"/>
  <c r="BV181" i="11"/>
  <c r="BW181" i="11"/>
  <c r="BX181" i="11"/>
  <c r="BY181" i="11"/>
  <c r="BZ181" i="11"/>
  <c r="CA181" i="11"/>
  <c r="CB181" i="11"/>
  <c r="CC181" i="11"/>
  <c r="CD181" i="11"/>
  <c r="CE181" i="11"/>
  <c r="CF181" i="11"/>
  <c r="CG181" i="11"/>
  <c r="CH181" i="11"/>
  <c r="CI181" i="11"/>
  <c r="CJ181" i="11"/>
  <c r="CK181" i="11"/>
  <c r="CL181" i="11"/>
  <c r="CM181" i="11"/>
  <c r="CN181" i="11"/>
  <c r="CO181" i="11"/>
  <c r="CP181" i="11"/>
  <c r="CQ181" i="11"/>
  <c r="CR181" i="11"/>
  <c r="CS181" i="11"/>
  <c r="CT181" i="11"/>
  <c r="CU181" i="11"/>
  <c r="CV181" i="11"/>
  <c r="CW181" i="11"/>
  <c r="CX181" i="11"/>
  <c r="CY181" i="11"/>
  <c r="CZ181" i="11"/>
  <c r="DA181" i="11"/>
  <c r="DB181" i="11"/>
  <c r="DC181" i="11"/>
  <c r="DD181" i="11"/>
  <c r="DE181" i="11"/>
  <c r="DF181" i="11"/>
  <c r="DG181" i="11"/>
  <c r="DH181" i="11"/>
  <c r="DI181" i="11"/>
  <c r="DJ181" i="11"/>
  <c r="DK181" i="11"/>
  <c r="DL181" i="11"/>
  <c r="DM181" i="11"/>
  <c r="DN181" i="11"/>
  <c r="DO181" i="11"/>
  <c r="DP181" i="11"/>
  <c r="DQ181" i="11"/>
  <c r="DR181" i="11"/>
  <c r="DS181" i="11"/>
  <c r="DT181" i="11"/>
  <c r="DU181" i="11"/>
  <c r="DV181" i="11"/>
  <c r="DW181" i="11"/>
  <c r="DX181" i="11"/>
  <c r="DY181" i="11"/>
  <c r="DZ181" i="11"/>
  <c r="EA181" i="11"/>
  <c r="EB181" i="11"/>
  <c r="EC181" i="11"/>
  <c r="ED181" i="11"/>
  <c r="EE181" i="11"/>
  <c r="EF181" i="11"/>
  <c r="EG181" i="11"/>
  <c r="EH181" i="11"/>
  <c r="EI181" i="11"/>
  <c r="EJ181" i="11"/>
  <c r="EK181" i="11"/>
  <c r="EL181" i="11"/>
  <c r="EM181" i="11"/>
  <c r="EN181" i="11"/>
  <c r="EO181" i="11"/>
  <c r="EP181" i="11"/>
  <c r="EQ181" i="11"/>
  <c r="ER181" i="11"/>
  <c r="ES181" i="11"/>
  <c r="ET181" i="11"/>
  <c r="EU181" i="11"/>
  <c r="EV181" i="11"/>
  <c r="EW181" i="11"/>
  <c r="EX181" i="11"/>
  <c r="EY181" i="11"/>
  <c r="EZ181" i="11"/>
  <c r="FA181" i="11"/>
  <c r="FB181" i="11"/>
  <c r="FC181" i="11"/>
  <c r="FD181" i="11"/>
  <c r="FE181" i="11"/>
  <c r="FF181" i="11"/>
  <c r="FG181" i="11"/>
  <c r="FH181" i="11"/>
  <c r="FI181" i="11"/>
  <c r="FJ181" i="11"/>
  <c r="FK181" i="11"/>
  <c r="FL181" i="11"/>
  <c r="FM181" i="11"/>
  <c r="FN181" i="11"/>
  <c r="FO181" i="11"/>
  <c r="FP181" i="11"/>
  <c r="FQ181" i="11"/>
  <c r="FR181" i="11"/>
  <c r="FS181" i="11"/>
  <c r="FT181" i="11"/>
  <c r="FU181" i="11"/>
  <c r="FV181" i="11"/>
  <c r="FW181" i="11"/>
  <c r="FX181" i="11"/>
  <c r="FY181" i="11"/>
  <c r="FZ181" i="11"/>
  <c r="GA181" i="11"/>
  <c r="GB181" i="11"/>
  <c r="GC181" i="11"/>
  <c r="GD181" i="11"/>
  <c r="GE181" i="11"/>
  <c r="GF181" i="11"/>
  <c r="GG181" i="11"/>
  <c r="GH181" i="11"/>
  <c r="GI181" i="11"/>
  <c r="GJ181" i="11"/>
  <c r="GK181" i="11"/>
  <c r="GL181" i="11"/>
  <c r="GM181" i="11"/>
  <c r="GN181" i="11"/>
  <c r="GO181" i="11"/>
  <c r="GP181" i="11"/>
  <c r="GQ181" i="11"/>
  <c r="GR181" i="11"/>
  <c r="GS181" i="11"/>
  <c r="GT181" i="11"/>
  <c r="GU181" i="11"/>
  <c r="GV181" i="11"/>
  <c r="GW181" i="11"/>
  <c r="GX181" i="11"/>
  <c r="GY181" i="11"/>
  <c r="GZ181" i="11"/>
  <c r="HA181" i="11"/>
  <c r="HB181" i="11"/>
  <c r="HC181" i="11"/>
  <c r="HD181" i="11"/>
  <c r="HE181" i="11"/>
  <c r="HF181" i="11"/>
  <c r="HG181" i="11"/>
  <c r="HH181" i="11"/>
  <c r="HI181" i="11"/>
  <c r="HJ181" i="11"/>
  <c r="HK181" i="11"/>
  <c r="HL181" i="11"/>
  <c r="HM181" i="11"/>
  <c r="HN181" i="11"/>
  <c r="HO181" i="11"/>
  <c r="HP181" i="11"/>
  <c r="HQ181" i="11"/>
  <c r="HR181" i="11"/>
  <c r="HS181" i="11"/>
  <c r="HT181" i="11"/>
  <c r="HU181" i="11"/>
  <c r="HV181" i="11"/>
  <c r="HW181" i="11"/>
  <c r="HX181" i="11"/>
  <c r="HY181" i="11"/>
  <c r="HZ181" i="11"/>
  <c r="IA181" i="11"/>
  <c r="IB181" i="11"/>
  <c r="IC181" i="11"/>
  <c r="ID181" i="11"/>
  <c r="IE181" i="11"/>
  <c r="IF181" i="11"/>
  <c r="IG181" i="11"/>
  <c r="IH181" i="11"/>
  <c r="II181" i="11"/>
  <c r="IJ181" i="11"/>
  <c r="IK181" i="11"/>
  <c r="IL181" i="11"/>
  <c r="IM181" i="11"/>
  <c r="IN181" i="11"/>
  <c r="IO181" i="11"/>
  <c r="IP181" i="11"/>
  <c r="IQ181" i="11"/>
  <c r="IR181" i="11"/>
  <c r="IS181" i="11"/>
  <c r="IT181" i="11"/>
  <c r="IU181" i="11"/>
  <c r="IV181"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AJ182" i="11"/>
  <c r="AK182" i="11"/>
  <c r="AL182" i="11"/>
  <c r="AM182" i="11"/>
  <c r="AN182" i="11"/>
  <c r="AO182" i="11"/>
  <c r="AP182" i="11"/>
  <c r="AQ182" i="11"/>
  <c r="AR182" i="11"/>
  <c r="AS182" i="11"/>
  <c r="AT182" i="11"/>
  <c r="AU182" i="11"/>
  <c r="AV182" i="11"/>
  <c r="AW182" i="11"/>
  <c r="AX182" i="11"/>
  <c r="AY182" i="11"/>
  <c r="AZ182" i="11"/>
  <c r="BA182" i="11"/>
  <c r="BB182" i="11"/>
  <c r="BC182" i="11"/>
  <c r="BD182" i="11"/>
  <c r="BE182" i="11"/>
  <c r="BF182" i="11"/>
  <c r="BG182" i="11"/>
  <c r="BH182" i="11"/>
  <c r="BI182" i="11"/>
  <c r="BJ182" i="11"/>
  <c r="BK182" i="11"/>
  <c r="BL182" i="11"/>
  <c r="BM182" i="11"/>
  <c r="BN182" i="11"/>
  <c r="BO182" i="11"/>
  <c r="BP182" i="11"/>
  <c r="BQ182" i="11"/>
  <c r="BR182" i="11"/>
  <c r="BS182" i="11"/>
  <c r="BT182" i="11"/>
  <c r="BU182" i="11"/>
  <c r="BV182" i="11"/>
  <c r="BW182" i="11"/>
  <c r="BX182" i="11"/>
  <c r="BY182" i="11"/>
  <c r="BZ182" i="11"/>
  <c r="CA182" i="11"/>
  <c r="CB182" i="11"/>
  <c r="CC182" i="11"/>
  <c r="CD182" i="11"/>
  <c r="CE182" i="11"/>
  <c r="CF182" i="11"/>
  <c r="CG182" i="11"/>
  <c r="CH182" i="11"/>
  <c r="CI182" i="11"/>
  <c r="CJ182" i="11"/>
  <c r="CK182" i="11"/>
  <c r="CL182" i="11"/>
  <c r="CM182" i="11"/>
  <c r="CN182" i="11"/>
  <c r="CO182" i="11"/>
  <c r="CP182" i="11"/>
  <c r="CQ182" i="11"/>
  <c r="CR182" i="11"/>
  <c r="CS182" i="11"/>
  <c r="CT182" i="11"/>
  <c r="CU182" i="11"/>
  <c r="CV182" i="11"/>
  <c r="CW182" i="11"/>
  <c r="CX182" i="11"/>
  <c r="CY182" i="11"/>
  <c r="CZ182" i="11"/>
  <c r="DA182" i="11"/>
  <c r="DB182" i="11"/>
  <c r="DC182" i="11"/>
  <c r="DD182" i="11"/>
  <c r="DE182" i="11"/>
  <c r="DF182" i="11"/>
  <c r="DG182" i="11"/>
  <c r="DH182" i="11"/>
  <c r="DI182" i="11"/>
  <c r="DJ182" i="11"/>
  <c r="DK182" i="11"/>
  <c r="DL182" i="11"/>
  <c r="DM182" i="11"/>
  <c r="DN182" i="11"/>
  <c r="DO182" i="11"/>
  <c r="DP182" i="11"/>
  <c r="DQ182" i="11"/>
  <c r="DR182" i="11"/>
  <c r="DS182" i="11"/>
  <c r="DT182" i="11"/>
  <c r="DU182" i="11"/>
  <c r="DV182" i="11"/>
  <c r="DW182" i="11"/>
  <c r="DX182" i="11"/>
  <c r="DY182" i="11"/>
  <c r="DZ182" i="11"/>
  <c r="EA182" i="11"/>
  <c r="EB182" i="11"/>
  <c r="EC182" i="11"/>
  <c r="ED182" i="11"/>
  <c r="EE182" i="11"/>
  <c r="EF182" i="11"/>
  <c r="EG182" i="11"/>
  <c r="EH182" i="11"/>
  <c r="EI182" i="11"/>
  <c r="EJ182" i="11"/>
  <c r="EK182" i="11"/>
  <c r="EL182" i="11"/>
  <c r="EM182" i="11"/>
  <c r="EN182" i="11"/>
  <c r="EO182" i="11"/>
  <c r="EP182" i="11"/>
  <c r="EQ182" i="11"/>
  <c r="ER182" i="11"/>
  <c r="ES182" i="11"/>
  <c r="ET182" i="11"/>
  <c r="EU182" i="11"/>
  <c r="EV182" i="11"/>
  <c r="EW182" i="11"/>
  <c r="EX182" i="11"/>
  <c r="EY182" i="11"/>
  <c r="EZ182" i="11"/>
  <c r="FA182" i="11"/>
  <c r="FB182" i="11"/>
  <c r="FC182" i="11"/>
  <c r="FD182" i="11"/>
  <c r="FE182" i="11"/>
  <c r="FF182" i="11"/>
  <c r="FG182" i="11"/>
  <c r="FH182" i="11"/>
  <c r="FI182" i="11"/>
  <c r="FJ182" i="11"/>
  <c r="FK182" i="11"/>
  <c r="FL182" i="11"/>
  <c r="FM182" i="11"/>
  <c r="FN182" i="11"/>
  <c r="FO182" i="11"/>
  <c r="FP182" i="11"/>
  <c r="FQ182" i="11"/>
  <c r="FR182" i="11"/>
  <c r="FS182" i="11"/>
  <c r="FT182" i="11"/>
  <c r="FU182" i="11"/>
  <c r="FV182" i="11"/>
  <c r="FW182" i="11"/>
  <c r="FX182" i="11"/>
  <c r="FY182" i="11"/>
  <c r="FZ182" i="11"/>
  <c r="GA182" i="11"/>
  <c r="GB182" i="11"/>
  <c r="GC182" i="11"/>
  <c r="GD182" i="11"/>
  <c r="GE182" i="11"/>
  <c r="GF182" i="11"/>
  <c r="GG182" i="11"/>
  <c r="GH182" i="11"/>
  <c r="GI182" i="11"/>
  <c r="GJ182" i="11"/>
  <c r="GK182" i="11"/>
  <c r="GL182" i="11"/>
  <c r="GM182" i="11"/>
  <c r="GN182" i="11"/>
  <c r="GO182" i="11"/>
  <c r="GP182" i="11"/>
  <c r="GQ182" i="11"/>
  <c r="GR182" i="11"/>
  <c r="GS182" i="11"/>
  <c r="GT182" i="11"/>
  <c r="GU182" i="11"/>
  <c r="GV182" i="11"/>
  <c r="GW182" i="11"/>
  <c r="GX182" i="11"/>
  <c r="GY182" i="11"/>
  <c r="GZ182" i="11"/>
  <c r="HA182" i="11"/>
  <c r="HB182" i="11"/>
  <c r="HC182" i="11"/>
  <c r="HD182" i="11"/>
  <c r="HE182" i="11"/>
  <c r="HF182" i="11"/>
  <c r="HG182" i="11"/>
  <c r="HH182" i="11"/>
  <c r="HI182" i="11"/>
  <c r="HJ182" i="11"/>
  <c r="HK182" i="11"/>
  <c r="HL182" i="11"/>
  <c r="HM182" i="11"/>
  <c r="HN182" i="11"/>
  <c r="HO182" i="11"/>
  <c r="HP182" i="11"/>
  <c r="HQ182" i="11"/>
  <c r="HR182" i="11"/>
  <c r="HS182" i="11"/>
  <c r="HT182" i="11"/>
  <c r="HU182" i="11"/>
  <c r="HV182" i="11"/>
  <c r="HW182" i="11"/>
  <c r="HX182" i="11"/>
  <c r="HY182" i="11"/>
  <c r="HZ182" i="11"/>
  <c r="IA182" i="11"/>
  <c r="IB182" i="11"/>
  <c r="IC182" i="11"/>
  <c r="ID182" i="11"/>
  <c r="IE182" i="11"/>
  <c r="IF182" i="11"/>
  <c r="IG182" i="11"/>
  <c r="IH182" i="11"/>
  <c r="II182" i="11"/>
  <c r="IJ182" i="11"/>
  <c r="IK182" i="11"/>
  <c r="IL182" i="11"/>
  <c r="IM182" i="11"/>
  <c r="IN182" i="11"/>
  <c r="IO182" i="11"/>
  <c r="IP182" i="11"/>
  <c r="IQ182" i="11"/>
  <c r="IR182" i="11"/>
  <c r="IS182" i="11"/>
  <c r="IT182" i="11"/>
  <c r="IU182" i="11"/>
  <c r="IV182"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AJ183" i="11"/>
  <c r="AK183" i="11"/>
  <c r="AL183" i="11"/>
  <c r="AM183" i="11"/>
  <c r="AN183" i="11"/>
  <c r="AO183" i="11"/>
  <c r="AP183" i="11"/>
  <c r="AQ183" i="11"/>
  <c r="AR183" i="11"/>
  <c r="AS183" i="11"/>
  <c r="AT183" i="11"/>
  <c r="AU183" i="11"/>
  <c r="AV183" i="11"/>
  <c r="AW183" i="11"/>
  <c r="AX183" i="11"/>
  <c r="AY183" i="11"/>
  <c r="AZ183" i="11"/>
  <c r="BA183" i="11"/>
  <c r="BB183" i="11"/>
  <c r="BC183" i="11"/>
  <c r="BD183" i="11"/>
  <c r="BE183" i="11"/>
  <c r="BF183" i="11"/>
  <c r="BG183" i="11"/>
  <c r="BH183" i="11"/>
  <c r="BI183" i="11"/>
  <c r="BJ183" i="11"/>
  <c r="BK183" i="11"/>
  <c r="BL183" i="11"/>
  <c r="BM183" i="11"/>
  <c r="BN183" i="11"/>
  <c r="BO183" i="11"/>
  <c r="BP183" i="11"/>
  <c r="BQ183" i="11"/>
  <c r="BR183" i="11"/>
  <c r="BS183" i="11"/>
  <c r="BT183" i="11"/>
  <c r="BU183" i="11"/>
  <c r="BV183" i="11"/>
  <c r="BW183" i="11"/>
  <c r="BX183" i="11"/>
  <c r="BY183" i="11"/>
  <c r="BZ183" i="11"/>
  <c r="CA183" i="11"/>
  <c r="CB183" i="11"/>
  <c r="CC183" i="11"/>
  <c r="CD183" i="11"/>
  <c r="CE183" i="11"/>
  <c r="CF183" i="11"/>
  <c r="CG183" i="11"/>
  <c r="CH183" i="11"/>
  <c r="CI183" i="11"/>
  <c r="CJ183" i="11"/>
  <c r="CK183" i="11"/>
  <c r="CL183" i="11"/>
  <c r="CM183" i="11"/>
  <c r="CN183" i="11"/>
  <c r="CO183" i="11"/>
  <c r="CP183" i="11"/>
  <c r="CQ183" i="11"/>
  <c r="CR183" i="11"/>
  <c r="CS183" i="11"/>
  <c r="CT183" i="11"/>
  <c r="CU183" i="11"/>
  <c r="CV183" i="11"/>
  <c r="CW183" i="11"/>
  <c r="CX183" i="11"/>
  <c r="CY183" i="11"/>
  <c r="CZ183" i="11"/>
  <c r="DA183" i="11"/>
  <c r="DB183" i="11"/>
  <c r="DC183" i="11"/>
  <c r="DD183" i="11"/>
  <c r="DE183" i="11"/>
  <c r="DF183" i="11"/>
  <c r="DG183" i="11"/>
  <c r="DH183" i="11"/>
  <c r="DI183" i="11"/>
  <c r="DJ183" i="11"/>
  <c r="DK183" i="11"/>
  <c r="DL183" i="11"/>
  <c r="DM183" i="11"/>
  <c r="DN183" i="11"/>
  <c r="DO183" i="11"/>
  <c r="DP183" i="11"/>
  <c r="DQ183" i="11"/>
  <c r="DR183" i="11"/>
  <c r="DS183" i="11"/>
  <c r="DT183" i="11"/>
  <c r="DU183" i="11"/>
  <c r="DV183" i="11"/>
  <c r="DW183" i="11"/>
  <c r="DX183" i="11"/>
  <c r="DY183" i="11"/>
  <c r="DZ183" i="11"/>
  <c r="EA183" i="11"/>
  <c r="EB183" i="11"/>
  <c r="EC183" i="11"/>
  <c r="ED183" i="11"/>
  <c r="EE183" i="11"/>
  <c r="EF183" i="11"/>
  <c r="EG183" i="11"/>
  <c r="EH183" i="11"/>
  <c r="EI183" i="11"/>
  <c r="EJ183" i="11"/>
  <c r="EK183" i="11"/>
  <c r="EL183" i="11"/>
  <c r="EM183" i="11"/>
  <c r="EN183" i="11"/>
  <c r="EO183" i="11"/>
  <c r="EP183" i="11"/>
  <c r="EQ183" i="11"/>
  <c r="ER183" i="11"/>
  <c r="ES183" i="11"/>
  <c r="ET183" i="11"/>
  <c r="EU183" i="11"/>
  <c r="EV183" i="11"/>
  <c r="EW183" i="11"/>
  <c r="EX183" i="11"/>
  <c r="EY183" i="11"/>
  <c r="EZ183" i="11"/>
  <c r="FA183" i="11"/>
  <c r="FB183" i="11"/>
  <c r="FC183" i="11"/>
  <c r="FD183" i="11"/>
  <c r="FE183" i="11"/>
  <c r="FF183" i="11"/>
  <c r="FG183" i="11"/>
  <c r="FH183" i="11"/>
  <c r="FI183" i="11"/>
  <c r="FJ183" i="11"/>
  <c r="FK183" i="11"/>
  <c r="FL183" i="11"/>
  <c r="FM183" i="11"/>
  <c r="FN183" i="11"/>
  <c r="FO183" i="11"/>
  <c r="FP183" i="11"/>
  <c r="FQ183" i="11"/>
  <c r="FR183" i="11"/>
  <c r="FS183" i="11"/>
  <c r="FT183" i="11"/>
  <c r="FU183" i="11"/>
  <c r="FV183" i="11"/>
  <c r="FW183" i="11"/>
  <c r="FX183" i="11"/>
  <c r="FY183" i="11"/>
  <c r="FZ183" i="11"/>
  <c r="GA183" i="11"/>
  <c r="GB183" i="11"/>
  <c r="GC183" i="11"/>
  <c r="GD183" i="11"/>
  <c r="GE183" i="11"/>
  <c r="GF183" i="11"/>
  <c r="GG183" i="11"/>
  <c r="GH183" i="11"/>
  <c r="GI183" i="11"/>
  <c r="GJ183" i="11"/>
  <c r="GK183" i="11"/>
  <c r="GL183" i="11"/>
  <c r="GM183" i="11"/>
  <c r="GN183" i="11"/>
  <c r="GO183" i="11"/>
  <c r="GP183" i="11"/>
  <c r="GQ183" i="11"/>
  <c r="GR183" i="11"/>
  <c r="GS183" i="11"/>
  <c r="GT183" i="11"/>
  <c r="GU183" i="11"/>
  <c r="GV183" i="11"/>
  <c r="GW183" i="11"/>
  <c r="GX183" i="11"/>
  <c r="GY183" i="11"/>
  <c r="GZ183" i="11"/>
  <c r="HA183" i="11"/>
  <c r="HB183" i="11"/>
  <c r="HC183" i="11"/>
  <c r="HD183" i="11"/>
  <c r="HE183" i="11"/>
  <c r="HF183" i="11"/>
  <c r="HG183" i="11"/>
  <c r="HH183" i="11"/>
  <c r="HI183" i="11"/>
  <c r="HJ183" i="11"/>
  <c r="HK183" i="11"/>
  <c r="HL183" i="11"/>
  <c r="HM183" i="11"/>
  <c r="HN183" i="11"/>
  <c r="HO183" i="11"/>
  <c r="HP183" i="11"/>
  <c r="HQ183" i="11"/>
  <c r="HR183" i="11"/>
  <c r="HS183" i="11"/>
  <c r="HT183" i="11"/>
  <c r="HU183" i="11"/>
  <c r="HV183" i="11"/>
  <c r="HW183" i="11"/>
  <c r="HX183" i="11"/>
  <c r="HY183" i="11"/>
  <c r="HZ183" i="11"/>
  <c r="IA183" i="11"/>
  <c r="IB183" i="11"/>
  <c r="IC183" i="11"/>
  <c r="ID183" i="11"/>
  <c r="IE183" i="11"/>
  <c r="IF183" i="11"/>
  <c r="IG183" i="11"/>
  <c r="IH183" i="11"/>
  <c r="II183" i="11"/>
  <c r="IJ183" i="11"/>
  <c r="IK183" i="11"/>
  <c r="IL183" i="11"/>
  <c r="IM183" i="11"/>
  <c r="IN183" i="11"/>
  <c r="IO183" i="11"/>
  <c r="IP183" i="11"/>
  <c r="IQ183" i="11"/>
  <c r="IR183" i="11"/>
  <c r="IS183" i="11"/>
  <c r="IT183" i="11"/>
  <c r="IU183" i="11"/>
  <c r="IV183"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AS184" i="11"/>
  <c r="AT184" i="11"/>
  <c r="AU184" i="11"/>
  <c r="AV184" i="11"/>
  <c r="AW184" i="11"/>
  <c r="AX184" i="11"/>
  <c r="AY184" i="11"/>
  <c r="AZ184" i="11"/>
  <c r="BA184" i="11"/>
  <c r="BB184" i="11"/>
  <c r="BC184" i="11"/>
  <c r="BD184" i="11"/>
  <c r="BE184" i="11"/>
  <c r="BF184" i="11"/>
  <c r="BG184" i="11"/>
  <c r="BH184" i="11"/>
  <c r="BI184" i="11"/>
  <c r="BJ184" i="11"/>
  <c r="BK184" i="11"/>
  <c r="BL184" i="11"/>
  <c r="BM184" i="11"/>
  <c r="BN184" i="11"/>
  <c r="BO184" i="11"/>
  <c r="BP184" i="11"/>
  <c r="BQ184" i="11"/>
  <c r="BR184" i="11"/>
  <c r="BS184" i="11"/>
  <c r="BT184" i="11"/>
  <c r="BU184" i="11"/>
  <c r="BV184" i="11"/>
  <c r="BW184" i="11"/>
  <c r="BX184" i="11"/>
  <c r="BY184" i="11"/>
  <c r="BZ184" i="11"/>
  <c r="CA184" i="11"/>
  <c r="CB184" i="11"/>
  <c r="CC184" i="11"/>
  <c r="CD184" i="11"/>
  <c r="CE184" i="11"/>
  <c r="CF184" i="11"/>
  <c r="CG184" i="11"/>
  <c r="CH184" i="11"/>
  <c r="CI184" i="11"/>
  <c r="CJ184" i="11"/>
  <c r="CK184" i="11"/>
  <c r="CL184" i="11"/>
  <c r="CM184" i="11"/>
  <c r="CN184" i="11"/>
  <c r="CO184" i="11"/>
  <c r="CP184" i="11"/>
  <c r="CQ184" i="11"/>
  <c r="CR184" i="11"/>
  <c r="CS184" i="11"/>
  <c r="CT184" i="11"/>
  <c r="CU184" i="11"/>
  <c r="CV184" i="11"/>
  <c r="CW184" i="11"/>
  <c r="CX184" i="11"/>
  <c r="CY184" i="11"/>
  <c r="CZ184" i="11"/>
  <c r="DA184" i="11"/>
  <c r="DB184" i="11"/>
  <c r="DC184" i="11"/>
  <c r="DD184" i="11"/>
  <c r="DE184" i="11"/>
  <c r="DF184" i="11"/>
  <c r="DG184" i="11"/>
  <c r="DH184" i="11"/>
  <c r="DI184" i="11"/>
  <c r="DJ184" i="11"/>
  <c r="DK184" i="11"/>
  <c r="DL184" i="11"/>
  <c r="DM184" i="11"/>
  <c r="DN184" i="11"/>
  <c r="DO184" i="11"/>
  <c r="DP184" i="11"/>
  <c r="DQ184" i="11"/>
  <c r="DR184" i="11"/>
  <c r="DS184" i="11"/>
  <c r="DT184" i="11"/>
  <c r="DU184" i="11"/>
  <c r="DV184" i="11"/>
  <c r="DW184" i="11"/>
  <c r="DX184" i="11"/>
  <c r="DY184" i="11"/>
  <c r="DZ184" i="11"/>
  <c r="EA184" i="11"/>
  <c r="EB184" i="11"/>
  <c r="EC184" i="11"/>
  <c r="ED184" i="11"/>
  <c r="EE184" i="11"/>
  <c r="EF184" i="11"/>
  <c r="EG184" i="11"/>
  <c r="EH184" i="11"/>
  <c r="EI184" i="11"/>
  <c r="EJ184" i="11"/>
  <c r="EK184" i="11"/>
  <c r="EL184" i="11"/>
  <c r="EM184" i="11"/>
  <c r="EN184" i="11"/>
  <c r="EO184" i="11"/>
  <c r="EP184" i="11"/>
  <c r="EQ184" i="11"/>
  <c r="ER184" i="11"/>
  <c r="ES184" i="11"/>
  <c r="ET184" i="11"/>
  <c r="EU184" i="11"/>
  <c r="EV184" i="11"/>
  <c r="EW184" i="11"/>
  <c r="EX184" i="11"/>
  <c r="EY184" i="11"/>
  <c r="EZ184" i="11"/>
  <c r="FA184" i="11"/>
  <c r="FB184" i="11"/>
  <c r="FC184" i="11"/>
  <c r="FD184" i="11"/>
  <c r="FE184" i="11"/>
  <c r="FF184" i="11"/>
  <c r="FG184" i="11"/>
  <c r="FH184" i="11"/>
  <c r="FI184" i="11"/>
  <c r="FJ184" i="11"/>
  <c r="FK184" i="11"/>
  <c r="FL184" i="11"/>
  <c r="FM184" i="11"/>
  <c r="FN184" i="11"/>
  <c r="FO184" i="11"/>
  <c r="FP184" i="11"/>
  <c r="FQ184" i="11"/>
  <c r="FR184" i="11"/>
  <c r="FS184" i="11"/>
  <c r="FT184" i="11"/>
  <c r="FU184" i="11"/>
  <c r="FV184" i="11"/>
  <c r="FW184" i="11"/>
  <c r="FX184" i="11"/>
  <c r="FY184" i="11"/>
  <c r="FZ184" i="11"/>
  <c r="GA184" i="11"/>
  <c r="GB184" i="11"/>
  <c r="GC184" i="11"/>
  <c r="GD184" i="11"/>
  <c r="GE184" i="11"/>
  <c r="GF184" i="11"/>
  <c r="GG184" i="11"/>
  <c r="GH184" i="11"/>
  <c r="GI184" i="11"/>
  <c r="GJ184" i="11"/>
  <c r="GK184" i="11"/>
  <c r="GL184" i="11"/>
  <c r="GM184" i="11"/>
  <c r="GN184" i="11"/>
  <c r="GO184" i="11"/>
  <c r="GP184" i="11"/>
  <c r="GQ184" i="11"/>
  <c r="GR184" i="11"/>
  <c r="GS184" i="11"/>
  <c r="GT184" i="11"/>
  <c r="GU184" i="11"/>
  <c r="GV184" i="11"/>
  <c r="GW184" i="11"/>
  <c r="GX184" i="11"/>
  <c r="GY184" i="11"/>
  <c r="GZ184" i="11"/>
  <c r="HA184" i="11"/>
  <c r="HB184" i="11"/>
  <c r="HC184" i="11"/>
  <c r="HD184" i="11"/>
  <c r="HE184" i="11"/>
  <c r="HF184" i="11"/>
  <c r="HG184" i="11"/>
  <c r="HH184" i="11"/>
  <c r="HI184" i="11"/>
  <c r="HJ184" i="11"/>
  <c r="HK184" i="11"/>
  <c r="HL184" i="11"/>
  <c r="HM184" i="11"/>
  <c r="HN184" i="11"/>
  <c r="HO184" i="11"/>
  <c r="HP184" i="11"/>
  <c r="HQ184" i="11"/>
  <c r="HR184" i="11"/>
  <c r="HS184" i="11"/>
  <c r="HT184" i="11"/>
  <c r="HU184" i="11"/>
  <c r="HV184" i="11"/>
  <c r="HW184" i="11"/>
  <c r="HX184" i="11"/>
  <c r="HY184" i="11"/>
  <c r="HZ184" i="11"/>
  <c r="IA184" i="11"/>
  <c r="IB184" i="11"/>
  <c r="IC184" i="11"/>
  <c r="ID184" i="11"/>
  <c r="IE184" i="11"/>
  <c r="IF184" i="11"/>
  <c r="IG184" i="11"/>
  <c r="IH184" i="11"/>
  <c r="II184" i="11"/>
  <c r="IJ184" i="11"/>
  <c r="IK184" i="11"/>
  <c r="IL184" i="11"/>
  <c r="IM184" i="11"/>
  <c r="IN184" i="11"/>
  <c r="IO184" i="11"/>
  <c r="IP184" i="11"/>
  <c r="IQ184" i="11"/>
  <c r="IR184" i="11"/>
  <c r="IS184" i="11"/>
  <c r="IT184" i="11"/>
  <c r="IU184" i="11"/>
  <c r="IV184"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AJ185" i="11"/>
  <c r="AK185" i="11"/>
  <c r="AL185" i="11"/>
  <c r="AM185" i="11"/>
  <c r="AN185" i="11"/>
  <c r="AO185" i="11"/>
  <c r="AP185" i="11"/>
  <c r="AQ185" i="11"/>
  <c r="AR185" i="11"/>
  <c r="AS185" i="11"/>
  <c r="AT185" i="11"/>
  <c r="AU185" i="11"/>
  <c r="AV185" i="11"/>
  <c r="AW185" i="11"/>
  <c r="AX185" i="11"/>
  <c r="AY185" i="11"/>
  <c r="AZ185" i="11"/>
  <c r="BA185" i="11"/>
  <c r="BB185" i="11"/>
  <c r="BC185" i="11"/>
  <c r="BD185" i="11"/>
  <c r="BE185" i="11"/>
  <c r="BF185" i="11"/>
  <c r="BG185" i="11"/>
  <c r="BH185" i="11"/>
  <c r="BI185" i="11"/>
  <c r="BJ185" i="11"/>
  <c r="BK185" i="11"/>
  <c r="BL185" i="11"/>
  <c r="BM185" i="11"/>
  <c r="BN185" i="11"/>
  <c r="BO185" i="11"/>
  <c r="BP185" i="11"/>
  <c r="BQ185" i="11"/>
  <c r="BR185" i="11"/>
  <c r="BS185" i="11"/>
  <c r="BT185" i="11"/>
  <c r="BU185" i="11"/>
  <c r="BV185" i="11"/>
  <c r="BW185" i="11"/>
  <c r="BX185" i="11"/>
  <c r="BY185" i="11"/>
  <c r="BZ185" i="11"/>
  <c r="CA185" i="11"/>
  <c r="CB185" i="11"/>
  <c r="CC185" i="11"/>
  <c r="CD185" i="11"/>
  <c r="CE185" i="11"/>
  <c r="CF185" i="11"/>
  <c r="CG185" i="11"/>
  <c r="CH185" i="11"/>
  <c r="CI185" i="11"/>
  <c r="CJ185" i="11"/>
  <c r="CK185" i="11"/>
  <c r="CL185" i="11"/>
  <c r="CM185" i="11"/>
  <c r="CN185" i="11"/>
  <c r="CO185" i="11"/>
  <c r="CP185" i="11"/>
  <c r="CQ185" i="11"/>
  <c r="CR185" i="11"/>
  <c r="CS185" i="11"/>
  <c r="CT185" i="11"/>
  <c r="CU185" i="11"/>
  <c r="CV185" i="11"/>
  <c r="CW185" i="11"/>
  <c r="CX185" i="11"/>
  <c r="CY185" i="11"/>
  <c r="CZ185" i="11"/>
  <c r="DA185" i="11"/>
  <c r="DB185" i="11"/>
  <c r="DC185" i="11"/>
  <c r="DD185" i="11"/>
  <c r="DE185" i="11"/>
  <c r="DF185" i="11"/>
  <c r="DG185" i="11"/>
  <c r="DH185" i="11"/>
  <c r="DI185" i="11"/>
  <c r="DJ185" i="11"/>
  <c r="DK185" i="11"/>
  <c r="DL185" i="11"/>
  <c r="DM185" i="11"/>
  <c r="DN185" i="11"/>
  <c r="DO185" i="11"/>
  <c r="DP185" i="11"/>
  <c r="DQ185" i="11"/>
  <c r="DR185" i="11"/>
  <c r="DS185" i="11"/>
  <c r="DT185" i="11"/>
  <c r="DU185" i="11"/>
  <c r="DV185" i="11"/>
  <c r="DW185" i="11"/>
  <c r="DX185" i="11"/>
  <c r="DY185" i="11"/>
  <c r="DZ185" i="11"/>
  <c r="EA185" i="11"/>
  <c r="EB185" i="11"/>
  <c r="EC185" i="11"/>
  <c r="ED185" i="11"/>
  <c r="EE185" i="11"/>
  <c r="EF185" i="11"/>
  <c r="EG185" i="11"/>
  <c r="EH185" i="11"/>
  <c r="EI185" i="11"/>
  <c r="EJ185" i="11"/>
  <c r="EK185" i="11"/>
  <c r="EL185" i="11"/>
  <c r="EM185" i="11"/>
  <c r="EN185" i="11"/>
  <c r="EO185" i="11"/>
  <c r="EP185" i="11"/>
  <c r="EQ185" i="11"/>
  <c r="ER185" i="11"/>
  <c r="ES185" i="11"/>
  <c r="ET185" i="11"/>
  <c r="EU185" i="11"/>
  <c r="EV185" i="11"/>
  <c r="EW185" i="11"/>
  <c r="EX185" i="11"/>
  <c r="EY185" i="11"/>
  <c r="EZ185" i="11"/>
  <c r="FA185" i="11"/>
  <c r="FB185" i="11"/>
  <c r="FC185" i="11"/>
  <c r="FD185" i="11"/>
  <c r="FE185" i="11"/>
  <c r="FF185" i="11"/>
  <c r="FG185" i="11"/>
  <c r="FH185" i="11"/>
  <c r="FI185" i="11"/>
  <c r="FJ185" i="11"/>
  <c r="FK185" i="11"/>
  <c r="FL185" i="11"/>
  <c r="FM185" i="11"/>
  <c r="FN185" i="11"/>
  <c r="FO185" i="11"/>
  <c r="FP185" i="11"/>
  <c r="FQ185" i="11"/>
  <c r="FR185" i="11"/>
  <c r="FS185" i="11"/>
  <c r="FT185" i="11"/>
  <c r="FU185" i="11"/>
  <c r="FV185" i="11"/>
  <c r="FW185" i="11"/>
  <c r="FX185" i="11"/>
  <c r="FY185" i="11"/>
  <c r="FZ185" i="11"/>
  <c r="GA185" i="11"/>
  <c r="GB185" i="11"/>
  <c r="GC185" i="11"/>
  <c r="GD185" i="11"/>
  <c r="GE185" i="11"/>
  <c r="GF185" i="11"/>
  <c r="GG185" i="11"/>
  <c r="GH185" i="11"/>
  <c r="GI185" i="11"/>
  <c r="GJ185" i="11"/>
  <c r="GK185" i="11"/>
  <c r="GL185" i="11"/>
  <c r="GM185" i="11"/>
  <c r="GN185" i="11"/>
  <c r="GO185" i="11"/>
  <c r="GP185" i="11"/>
  <c r="GQ185" i="11"/>
  <c r="GR185" i="11"/>
  <c r="GS185" i="11"/>
  <c r="GT185" i="11"/>
  <c r="GU185" i="11"/>
  <c r="GV185" i="11"/>
  <c r="GW185" i="11"/>
  <c r="GX185" i="11"/>
  <c r="GY185" i="11"/>
  <c r="GZ185" i="11"/>
  <c r="HA185" i="11"/>
  <c r="HB185" i="11"/>
  <c r="HC185" i="11"/>
  <c r="HD185" i="11"/>
  <c r="HE185" i="11"/>
  <c r="HF185" i="11"/>
  <c r="HG185" i="11"/>
  <c r="HH185" i="11"/>
  <c r="HI185" i="11"/>
  <c r="HJ185" i="11"/>
  <c r="HK185" i="11"/>
  <c r="HL185" i="11"/>
  <c r="HM185" i="11"/>
  <c r="HN185" i="11"/>
  <c r="HO185" i="11"/>
  <c r="HP185" i="11"/>
  <c r="HQ185" i="11"/>
  <c r="HR185" i="11"/>
  <c r="HS185" i="11"/>
  <c r="HT185" i="11"/>
  <c r="HU185" i="11"/>
  <c r="HV185" i="11"/>
  <c r="HW185" i="11"/>
  <c r="HX185" i="11"/>
  <c r="HY185" i="11"/>
  <c r="HZ185" i="11"/>
  <c r="IA185" i="11"/>
  <c r="IB185" i="11"/>
  <c r="IC185" i="11"/>
  <c r="ID185" i="11"/>
  <c r="IE185" i="11"/>
  <c r="IF185" i="11"/>
  <c r="IG185" i="11"/>
  <c r="IH185" i="11"/>
  <c r="II185" i="11"/>
  <c r="IJ185" i="11"/>
  <c r="IK185" i="11"/>
  <c r="IL185" i="11"/>
  <c r="IM185" i="11"/>
  <c r="IN185" i="11"/>
  <c r="IO185" i="11"/>
  <c r="IP185" i="11"/>
  <c r="IQ185" i="11"/>
  <c r="IR185" i="11"/>
  <c r="IS185" i="11"/>
  <c r="IT185" i="11"/>
  <c r="IU185" i="11"/>
  <c r="IV185"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AJ186" i="11"/>
  <c r="AK186" i="11"/>
  <c r="AL186" i="11"/>
  <c r="AM186" i="11"/>
  <c r="AN186" i="11"/>
  <c r="AO186" i="11"/>
  <c r="AP186" i="11"/>
  <c r="AQ186" i="11"/>
  <c r="AR186" i="11"/>
  <c r="AS186" i="11"/>
  <c r="AT186" i="11"/>
  <c r="AU186" i="11"/>
  <c r="AV186" i="11"/>
  <c r="AW186" i="11"/>
  <c r="AX186" i="11"/>
  <c r="AY186" i="11"/>
  <c r="AZ186" i="11"/>
  <c r="BA186" i="11"/>
  <c r="BB186" i="11"/>
  <c r="BC186" i="11"/>
  <c r="BD186" i="11"/>
  <c r="BE186" i="11"/>
  <c r="BF186" i="11"/>
  <c r="BG186" i="11"/>
  <c r="BH186" i="11"/>
  <c r="BI186" i="11"/>
  <c r="BJ186" i="11"/>
  <c r="BK186" i="11"/>
  <c r="BL186" i="11"/>
  <c r="BM186" i="11"/>
  <c r="BN186" i="11"/>
  <c r="BO186" i="11"/>
  <c r="BP186" i="11"/>
  <c r="BQ186" i="11"/>
  <c r="BR186" i="11"/>
  <c r="BS186" i="11"/>
  <c r="BT186" i="11"/>
  <c r="BU186" i="11"/>
  <c r="BV186" i="11"/>
  <c r="BW186" i="11"/>
  <c r="BX186" i="11"/>
  <c r="BY186" i="11"/>
  <c r="BZ186" i="11"/>
  <c r="CA186" i="11"/>
  <c r="CB186" i="11"/>
  <c r="CC186" i="11"/>
  <c r="CD186" i="11"/>
  <c r="CE186" i="11"/>
  <c r="CF186" i="11"/>
  <c r="CG186" i="11"/>
  <c r="CH186" i="11"/>
  <c r="CI186" i="11"/>
  <c r="CJ186" i="11"/>
  <c r="CK186" i="11"/>
  <c r="CL186" i="11"/>
  <c r="CM186" i="11"/>
  <c r="CN186" i="11"/>
  <c r="CO186" i="11"/>
  <c r="CP186" i="11"/>
  <c r="CQ186" i="11"/>
  <c r="CR186" i="11"/>
  <c r="CS186" i="11"/>
  <c r="CT186" i="11"/>
  <c r="CU186" i="11"/>
  <c r="CV186" i="11"/>
  <c r="CW186" i="11"/>
  <c r="CX186" i="11"/>
  <c r="CY186" i="11"/>
  <c r="CZ186" i="11"/>
  <c r="DA186" i="11"/>
  <c r="DB186" i="11"/>
  <c r="DC186" i="11"/>
  <c r="DD186" i="11"/>
  <c r="DE186" i="11"/>
  <c r="DF186" i="11"/>
  <c r="DG186" i="11"/>
  <c r="DH186" i="11"/>
  <c r="DI186" i="11"/>
  <c r="DJ186" i="11"/>
  <c r="DK186" i="11"/>
  <c r="DL186" i="11"/>
  <c r="DM186" i="11"/>
  <c r="DN186" i="11"/>
  <c r="DO186" i="11"/>
  <c r="DP186" i="11"/>
  <c r="DQ186" i="11"/>
  <c r="DR186" i="11"/>
  <c r="DS186" i="11"/>
  <c r="DT186" i="11"/>
  <c r="DU186" i="11"/>
  <c r="DV186" i="11"/>
  <c r="DW186" i="11"/>
  <c r="DX186" i="11"/>
  <c r="DY186" i="11"/>
  <c r="DZ186" i="11"/>
  <c r="EA186" i="11"/>
  <c r="EB186" i="11"/>
  <c r="EC186" i="11"/>
  <c r="ED186" i="11"/>
  <c r="EE186" i="11"/>
  <c r="EF186" i="11"/>
  <c r="EG186" i="11"/>
  <c r="EH186" i="11"/>
  <c r="EI186" i="11"/>
  <c r="EJ186" i="11"/>
  <c r="EK186" i="11"/>
  <c r="EL186" i="11"/>
  <c r="EM186" i="11"/>
  <c r="EN186" i="11"/>
  <c r="EO186" i="11"/>
  <c r="EP186" i="11"/>
  <c r="EQ186" i="11"/>
  <c r="ER186" i="11"/>
  <c r="ES186" i="11"/>
  <c r="ET186" i="11"/>
  <c r="EU186" i="11"/>
  <c r="EV186" i="11"/>
  <c r="EW186" i="11"/>
  <c r="EX186" i="11"/>
  <c r="EY186" i="11"/>
  <c r="EZ186" i="11"/>
  <c r="FA186" i="11"/>
  <c r="FB186" i="11"/>
  <c r="FC186" i="11"/>
  <c r="FD186" i="11"/>
  <c r="FE186" i="11"/>
  <c r="FF186" i="11"/>
  <c r="FG186" i="11"/>
  <c r="FH186" i="11"/>
  <c r="FI186" i="11"/>
  <c r="FJ186" i="11"/>
  <c r="FK186" i="11"/>
  <c r="FL186" i="11"/>
  <c r="FM186" i="11"/>
  <c r="FN186" i="11"/>
  <c r="FO186" i="11"/>
  <c r="FP186" i="11"/>
  <c r="FQ186" i="11"/>
  <c r="FR186" i="11"/>
  <c r="FS186" i="11"/>
  <c r="FT186" i="11"/>
  <c r="FU186" i="11"/>
  <c r="FV186" i="11"/>
  <c r="FW186" i="11"/>
  <c r="FX186" i="11"/>
  <c r="FY186" i="11"/>
  <c r="FZ186" i="11"/>
  <c r="GA186" i="11"/>
  <c r="GB186" i="11"/>
  <c r="GC186" i="11"/>
  <c r="GD186" i="11"/>
  <c r="GE186" i="11"/>
  <c r="GF186" i="11"/>
  <c r="GG186" i="11"/>
  <c r="GH186" i="11"/>
  <c r="GI186" i="11"/>
  <c r="GJ186" i="11"/>
  <c r="GK186" i="11"/>
  <c r="GL186" i="11"/>
  <c r="GM186" i="11"/>
  <c r="GN186" i="11"/>
  <c r="GO186" i="11"/>
  <c r="GP186" i="11"/>
  <c r="GQ186" i="11"/>
  <c r="GR186" i="11"/>
  <c r="GS186" i="11"/>
  <c r="GT186" i="11"/>
  <c r="GU186" i="11"/>
  <c r="GV186" i="11"/>
  <c r="GW186" i="11"/>
  <c r="GX186" i="11"/>
  <c r="GY186" i="11"/>
  <c r="GZ186" i="11"/>
  <c r="HA186" i="11"/>
  <c r="HB186" i="11"/>
  <c r="HC186" i="11"/>
  <c r="HD186" i="11"/>
  <c r="HE186" i="11"/>
  <c r="HF186" i="11"/>
  <c r="HG186" i="11"/>
  <c r="HH186" i="11"/>
  <c r="HI186" i="11"/>
  <c r="HJ186" i="11"/>
  <c r="HK186" i="11"/>
  <c r="HL186" i="11"/>
  <c r="HM186" i="11"/>
  <c r="HN186" i="11"/>
  <c r="HO186" i="11"/>
  <c r="HP186" i="11"/>
  <c r="HQ186" i="11"/>
  <c r="HR186" i="11"/>
  <c r="HS186" i="11"/>
  <c r="HT186" i="11"/>
  <c r="HU186" i="11"/>
  <c r="HV186" i="11"/>
  <c r="HW186" i="11"/>
  <c r="HX186" i="11"/>
  <c r="HY186" i="11"/>
  <c r="HZ186" i="11"/>
  <c r="IA186" i="11"/>
  <c r="IB186" i="11"/>
  <c r="IC186" i="11"/>
  <c r="ID186" i="11"/>
  <c r="IE186" i="11"/>
  <c r="IF186" i="11"/>
  <c r="IG186" i="11"/>
  <c r="IH186" i="11"/>
  <c r="II186" i="11"/>
  <c r="IJ186" i="11"/>
  <c r="IK186" i="11"/>
  <c r="IL186" i="11"/>
  <c r="IM186" i="11"/>
  <c r="IN186" i="11"/>
  <c r="IO186" i="11"/>
  <c r="IP186" i="11"/>
  <c r="IQ186" i="11"/>
  <c r="IR186" i="11"/>
  <c r="IS186" i="11"/>
  <c r="IT186" i="11"/>
  <c r="IU186" i="11"/>
  <c r="IV186" i="11"/>
  <c r="F187" i="11"/>
  <c r="G187" i="11"/>
  <c r="H187" i="11"/>
  <c r="I187" i="11"/>
  <c r="J187" i="11"/>
  <c r="K187" i="11"/>
  <c r="L187" i="11"/>
  <c r="M187" i="11"/>
  <c r="N187" i="11"/>
  <c r="O187" i="11"/>
  <c r="P187" i="11"/>
  <c r="Q187" i="11"/>
  <c r="R187" i="11"/>
  <c r="S187" i="11"/>
  <c r="T187" i="11"/>
  <c r="U187" i="11"/>
  <c r="V187" i="11"/>
  <c r="W187" i="11"/>
  <c r="X187" i="11"/>
  <c r="Y187" i="11"/>
  <c r="Z187" i="11"/>
  <c r="AA187" i="11"/>
  <c r="AB187" i="11"/>
  <c r="AC187" i="11"/>
  <c r="AD187" i="11"/>
  <c r="AE187" i="11"/>
  <c r="AF187" i="11"/>
  <c r="AG187" i="11"/>
  <c r="AH187" i="11"/>
  <c r="AI187" i="11"/>
  <c r="AJ187" i="11"/>
  <c r="AK187" i="11"/>
  <c r="AL187" i="11"/>
  <c r="AM187" i="11"/>
  <c r="AN187" i="11"/>
  <c r="AO187" i="11"/>
  <c r="AP187" i="11"/>
  <c r="AQ187" i="11"/>
  <c r="AR187" i="11"/>
  <c r="AS187" i="11"/>
  <c r="AT187" i="11"/>
  <c r="AU187" i="11"/>
  <c r="AV187" i="11"/>
  <c r="AW187" i="11"/>
  <c r="AX187" i="11"/>
  <c r="AY187" i="11"/>
  <c r="AZ187" i="11"/>
  <c r="BA187" i="11"/>
  <c r="BB187" i="11"/>
  <c r="BC187" i="11"/>
  <c r="BD187" i="11"/>
  <c r="BE187" i="11"/>
  <c r="BF187" i="11"/>
  <c r="BG187" i="11"/>
  <c r="BH187" i="11"/>
  <c r="BI187" i="11"/>
  <c r="BJ187" i="11"/>
  <c r="BK187" i="11"/>
  <c r="BL187" i="11"/>
  <c r="BM187" i="11"/>
  <c r="BN187" i="11"/>
  <c r="BO187" i="11"/>
  <c r="BP187" i="11"/>
  <c r="BQ187" i="11"/>
  <c r="BR187" i="11"/>
  <c r="BS187" i="11"/>
  <c r="BT187" i="11"/>
  <c r="BU187" i="11"/>
  <c r="BV187" i="11"/>
  <c r="BW187" i="11"/>
  <c r="BX187" i="11"/>
  <c r="BY187" i="11"/>
  <c r="BZ187" i="11"/>
  <c r="CA187" i="11"/>
  <c r="CB187" i="11"/>
  <c r="CC187" i="11"/>
  <c r="CD187" i="11"/>
  <c r="CE187" i="11"/>
  <c r="CF187" i="11"/>
  <c r="CG187" i="11"/>
  <c r="CH187" i="11"/>
  <c r="CI187" i="11"/>
  <c r="CJ187" i="11"/>
  <c r="CK187" i="11"/>
  <c r="CL187" i="11"/>
  <c r="CM187" i="11"/>
  <c r="CN187" i="11"/>
  <c r="CO187" i="11"/>
  <c r="CP187" i="11"/>
  <c r="CQ187" i="11"/>
  <c r="CR187" i="11"/>
  <c r="CS187" i="11"/>
  <c r="CT187" i="11"/>
  <c r="CU187" i="11"/>
  <c r="CV187" i="11"/>
  <c r="CW187" i="11"/>
  <c r="CX187" i="11"/>
  <c r="CY187" i="11"/>
  <c r="CZ187" i="11"/>
  <c r="DA187" i="11"/>
  <c r="DB187" i="11"/>
  <c r="DC187" i="11"/>
  <c r="DD187" i="11"/>
  <c r="DE187" i="11"/>
  <c r="DF187" i="11"/>
  <c r="DG187" i="11"/>
  <c r="DH187" i="11"/>
  <c r="DI187" i="11"/>
  <c r="DJ187" i="11"/>
  <c r="DK187" i="11"/>
  <c r="DL187" i="11"/>
  <c r="DM187" i="11"/>
  <c r="DN187" i="11"/>
  <c r="DO187" i="11"/>
  <c r="DP187" i="11"/>
  <c r="DQ187" i="11"/>
  <c r="DR187" i="11"/>
  <c r="DS187" i="11"/>
  <c r="DT187" i="11"/>
  <c r="DU187" i="11"/>
  <c r="DV187" i="11"/>
  <c r="DW187" i="11"/>
  <c r="DX187" i="11"/>
  <c r="DY187" i="11"/>
  <c r="DZ187" i="11"/>
  <c r="EA187" i="11"/>
  <c r="EB187" i="11"/>
  <c r="EC187" i="11"/>
  <c r="ED187" i="11"/>
  <c r="EE187" i="11"/>
  <c r="EF187" i="11"/>
  <c r="EG187" i="11"/>
  <c r="EH187" i="11"/>
  <c r="EI187" i="11"/>
  <c r="EJ187" i="11"/>
  <c r="EK187" i="11"/>
  <c r="EL187" i="11"/>
  <c r="EM187" i="11"/>
  <c r="EN187" i="11"/>
  <c r="EO187" i="11"/>
  <c r="EP187" i="11"/>
  <c r="EQ187" i="11"/>
  <c r="ER187" i="11"/>
  <c r="ES187" i="11"/>
  <c r="ET187" i="11"/>
  <c r="EU187" i="11"/>
  <c r="EV187" i="11"/>
  <c r="EW187" i="11"/>
  <c r="EX187" i="11"/>
  <c r="EY187" i="11"/>
  <c r="EZ187" i="11"/>
  <c r="FA187" i="11"/>
  <c r="FB187" i="11"/>
  <c r="FC187" i="11"/>
  <c r="FD187" i="11"/>
  <c r="FE187" i="11"/>
  <c r="FF187" i="11"/>
  <c r="FG187" i="11"/>
  <c r="FH187" i="11"/>
  <c r="FI187" i="11"/>
  <c r="FJ187" i="11"/>
  <c r="FK187" i="11"/>
  <c r="FL187" i="11"/>
  <c r="FM187" i="11"/>
  <c r="FN187" i="11"/>
  <c r="FO187" i="11"/>
  <c r="FP187" i="11"/>
  <c r="FQ187" i="11"/>
  <c r="FR187" i="11"/>
  <c r="FS187" i="11"/>
  <c r="FT187" i="11"/>
  <c r="FU187" i="11"/>
  <c r="FV187" i="11"/>
  <c r="FW187" i="11"/>
  <c r="FX187" i="11"/>
  <c r="FY187" i="11"/>
  <c r="FZ187" i="11"/>
  <c r="GA187" i="11"/>
  <c r="GB187" i="11"/>
  <c r="GC187" i="11"/>
  <c r="GD187" i="11"/>
  <c r="GE187" i="11"/>
  <c r="GF187" i="11"/>
  <c r="GG187" i="11"/>
  <c r="GH187" i="11"/>
  <c r="GI187" i="11"/>
  <c r="GJ187" i="11"/>
  <c r="GK187" i="11"/>
  <c r="GL187" i="11"/>
  <c r="GM187" i="11"/>
  <c r="GN187" i="11"/>
  <c r="GO187" i="11"/>
  <c r="GP187" i="11"/>
  <c r="GQ187" i="11"/>
  <c r="GR187" i="11"/>
  <c r="GS187" i="11"/>
  <c r="GT187" i="11"/>
  <c r="GU187" i="11"/>
  <c r="GV187" i="11"/>
  <c r="GW187" i="11"/>
  <c r="GX187" i="11"/>
  <c r="GY187" i="11"/>
  <c r="GZ187" i="11"/>
  <c r="HA187" i="11"/>
  <c r="HB187" i="11"/>
  <c r="HC187" i="11"/>
  <c r="HD187" i="11"/>
  <c r="HE187" i="11"/>
  <c r="HF187" i="11"/>
  <c r="HG187" i="11"/>
  <c r="HH187" i="11"/>
  <c r="HI187" i="11"/>
  <c r="HJ187" i="11"/>
  <c r="HK187" i="11"/>
  <c r="HL187" i="11"/>
  <c r="HM187" i="11"/>
  <c r="HN187" i="11"/>
  <c r="HO187" i="11"/>
  <c r="HP187" i="11"/>
  <c r="HQ187" i="11"/>
  <c r="HR187" i="11"/>
  <c r="HS187" i="11"/>
  <c r="HT187" i="11"/>
  <c r="HU187" i="11"/>
  <c r="HV187" i="11"/>
  <c r="HW187" i="11"/>
  <c r="HX187" i="11"/>
  <c r="HY187" i="11"/>
  <c r="HZ187" i="11"/>
  <c r="IA187" i="11"/>
  <c r="IB187" i="11"/>
  <c r="IC187" i="11"/>
  <c r="ID187" i="11"/>
  <c r="IE187" i="11"/>
  <c r="IF187" i="11"/>
  <c r="IG187" i="11"/>
  <c r="IH187" i="11"/>
  <c r="II187" i="11"/>
  <c r="IJ187" i="11"/>
  <c r="IK187" i="11"/>
  <c r="IL187" i="11"/>
  <c r="IM187" i="11"/>
  <c r="IN187" i="11"/>
  <c r="IO187" i="11"/>
  <c r="IP187" i="11"/>
  <c r="IQ187" i="11"/>
  <c r="IR187" i="11"/>
  <c r="IS187" i="11"/>
  <c r="IT187" i="11"/>
  <c r="IU187" i="11"/>
  <c r="IV187" i="11"/>
  <c r="F188" i="11"/>
  <c r="G188" i="11"/>
  <c r="H188" i="11"/>
  <c r="I188" i="11"/>
  <c r="J188" i="11"/>
  <c r="K188" i="11"/>
  <c r="L188" i="11"/>
  <c r="M188" i="11"/>
  <c r="N188" i="11"/>
  <c r="O188" i="11"/>
  <c r="P188" i="11"/>
  <c r="Q188" i="11"/>
  <c r="R188" i="11"/>
  <c r="S188" i="11"/>
  <c r="T188" i="11"/>
  <c r="U188" i="11"/>
  <c r="V188" i="11"/>
  <c r="W188" i="11"/>
  <c r="X188" i="11"/>
  <c r="Y188" i="11"/>
  <c r="Z188" i="11"/>
  <c r="AA188" i="11"/>
  <c r="AB188" i="11"/>
  <c r="AC188" i="11"/>
  <c r="AD188" i="11"/>
  <c r="AE188" i="11"/>
  <c r="AF188" i="11"/>
  <c r="AG188" i="11"/>
  <c r="AH188" i="11"/>
  <c r="AI188" i="11"/>
  <c r="AJ188" i="11"/>
  <c r="AK188" i="11"/>
  <c r="AL188" i="11"/>
  <c r="AM188" i="11"/>
  <c r="AN188" i="11"/>
  <c r="AO188" i="11"/>
  <c r="AP188" i="11"/>
  <c r="AQ188" i="11"/>
  <c r="AR188" i="11"/>
  <c r="AS188" i="11"/>
  <c r="AT188" i="11"/>
  <c r="AU188" i="11"/>
  <c r="AV188" i="11"/>
  <c r="AW188" i="11"/>
  <c r="AX188" i="11"/>
  <c r="AY188" i="11"/>
  <c r="AZ188" i="11"/>
  <c r="BA188" i="11"/>
  <c r="BB188" i="11"/>
  <c r="BC188" i="11"/>
  <c r="BD188" i="11"/>
  <c r="BE188" i="11"/>
  <c r="BF188" i="11"/>
  <c r="BG188" i="11"/>
  <c r="BH188" i="11"/>
  <c r="BI188" i="11"/>
  <c r="BJ188" i="11"/>
  <c r="BK188" i="11"/>
  <c r="BL188" i="11"/>
  <c r="BM188" i="11"/>
  <c r="BN188" i="11"/>
  <c r="BO188" i="11"/>
  <c r="BP188" i="11"/>
  <c r="BQ188" i="11"/>
  <c r="BR188" i="11"/>
  <c r="BS188" i="11"/>
  <c r="BT188" i="11"/>
  <c r="BU188" i="11"/>
  <c r="BV188" i="11"/>
  <c r="BW188" i="11"/>
  <c r="BX188" i="11"/>
  <c r="BY188" i="11"/>
  <c r="BZ188" i="11"/>
  <c r="CA188" i="11"/>
  <c r="CB188" i="11"/>
  <c r="CC188" i="11"/>
  <c r="CD188" i="11"/>
  <c r="CE188" i="11"/>
  <c r="CF188" i="11"/>
  <c r="CG188" i="11"/>
  <c r="CH188" i="11"/>
  <c r="CI188" i="11"/>
  <c r="CJ188" i="11"/>
  <c r="CK188" i="11"/>
  <c r="CL188" i="11"/>
  <c r="CM188" i="11"/>
  <c r="CN188" i="11"/>
  <c r="CO188" i="11"/>
  <c r="CP188" i="11"/>
  <c r="CQ188" i="11"/>
  <c r="CR188" i="11"/>
  <c r="CS188" i="11"/>
  <c r="CT188" i="11"/>
  <c r="CU188" i="11"/>
  <c r="CV188" i="11"/>
  <c r="CW188" i="11"/>
  <c r="CX188" i="11"/>
  <c r="CY188" i="11"/>
  <c r="CZ188" i="11"/>
  <c r="DA188" i="11"/>
  <c r="DB188" i="11"/>
  <c r="DC188" i="11"/>
  <c r="DD188" i="11"/>
  <c r="DE188" i="11"/>
  <c r="DF188" i="11"/>
  <c r="DG188" i="11"/>
  <c r="DH188" i="11"/>
  <c r="DI188" i="11"/>
  <c r="DJ188" i="11"/>
  <c r="DK188" i="11"/>
  <c r="DL188" i="11"/>
  <c r="DM188" i="11"/>
  <c r="DN188" i="11"/>
  <c r="DO188" i="11"/>
  <c r="DP188" i="11"/>
  <c r="DQ188" i="11"/>
  <c r="DR188" i="11"/>
  <c r="DS188" i="11"/>
  <c r="DT188" i="11"/>
  <c r="DU188" i="11"/>
  <c r="DV188" i="11"/>
  <c r="DW188" i="11"/>
  <c r="DX188" i="11"/>
  <c r="DY188" i="11"/>
  <c r="DZ188" i="11"/>
  <c r="EA188" i="11"/>
  <c r="EB188" i="11"/>
  <c r="EC188" i="11"/>
  <c r="ED188" i="11"/>
  <c r="EE188" i="11"/>
  <c r="EF188" i="11"/>
  <c r="EG188" i="11"/>
  <c r="EH188" i="11"/>
  <c r="EI188" i="11"/>
  <c r="EJ188" i="11"/>
  <c r="EK188" i="11"/>
  <c r="EL188" i="11"/>
  <c r="EM188" i="11"/>
  <c r="EN188" i="11"/>
  <c r="EO188" i="11"/>
  <c r="EP188" i="11"/>
  <c r="EQ188" i="11"/>
  <c r="ER188" i="11"/>
  <c r="ES188" i="11"/>
  <c r="ET188" i="11"/>
  <c r="EU188" i="11"/>
  <c r="EV188" i="11"/>
  <c r="EW188" i="11"/>
  <c r="EX188" i="11"/>
  <c r="EY188" i="11"/>
  <c r="EZ188" i="11"/>
  <c r="FA188" i="11"/>
  <c r="FB188" i="11"/>
  <c r="FC188" i="11"/>
  <c r="FD188" i="11"/>
  <c r="FE188" i="11"/>
  <c r="FF188" i="11"/>
  <c r="FG188" i="11"/>
  <c r="FH188" i="11"/>
  <c r="FI188" i="11"/>
  <c r="FJ188" i="11"/>
  <c r="FK188" i="11"/>
  <c r="FL188" i="11"/>
  <c r="FM188" i="11"/>
  <c r="FN188" i="11"/>
  <c r="FO188" i="11"/>
  <c r="FP188" i="11"/>
  <c r="FQ188" i="11"/>
  <c r="FR188" i="11"/>
  <c r="FS188" i="11"/>
  <c r="FT188" i="11"/>
  <c r="FU188" i="11"/>
  <c r="FV188" i="11"/>
  <c r="FW188" i="11"/>
  <c r="FX188" i="11"/>
  <c r="FY188" i="11"/>
  <c r="FZ188" i="11"/>
  <c r="GA188" i="11"/>
  <c r="GB188" i="11"/>
  <c r="GC188" i="11"/>
  <c r="GD188" i="11"/>
  <c r="GE188" i="11"/>
  <c r="GF188" i="11"/>
  <c r="GG188" i="11"/>
  <c r="GH188" i="11"/>
  <c r="GI188" i="11"/>
  <c r="GJ188" i="11"/>
  <c r="GK188" i="11"/>
  <c r="GL188" i="11"/>
  <c r="GM188" i="11"/>
  <c r="GN188" i="11"/>
  <c r="GO188" i="11"/>
  <c r="GP188" i="11"/>
  <c r="GQ188" i="11"/>
  <c r="GR188" i="11"/>
  <c r="GS188" i="11"/>
  <c r="GT188" i="11"/>
  <c r="GU188" i="11"/>
  <c r="GV188" i="11"/>
  <c r="GW188" i="11"/>
  <c r="GX188" i="11"/>
  <c r="GY188" i="11"/>
  <c r="GZ188" i="11"/>
  <c r="HA188" i="11"/>
  <c r="HB188" i="11"/>
  <c r="HC188" i="11"/>
  <c r="HD188" i="11"/>
  <c r="HE188" i="11"/>
  <c r="HF188" i="11"/>
  <c r="HG188" i="11"/>
  <c r="HH188" i="11"/>
  <c r="HI188" i="11"/>
  <c r="HJ188" i="11"/>
  <c r="HK188" i="11"/>
  <c r="HL188" i="11"/>
  <c r="HM188" i="11"/>
  <c r="HN188" i="11"/>
  <c r="HO188" i="11"/>
  <c r="HP188" i="11"/>
  <c r="HQ188" i="11"/>
  <c r="HR188" i="11"/>
  <c r="HS188" i="11"/>
  <c r="HT188" i="11"/>
  <c r="HU188" i="11"/>
  <c r="HV188" i="11"/>
  <c r="HW188" i="11"/>
  <c r="HX188" i="11"/>
  <c r="HY188" i="11"/>
  <c r="HZ188" i="11"/>
  <c r="IA188" i="11"/>
  <c r="IB188" i="11"/>
  <c r="IC188" i="11"/>
  <c r="ID188" i="11"/>
  <c r="IE188" i="11"/>
  <c r="IF188" i="11"/>
  <c r="IG188" i="11"/>
  <c r="IH188" i="11"/>
  <c r="II188" i="11"/>
  <c r="IJ188" i="11"/>
  <c r="IK188" i="11"/>
  <c r="IL188" i="11"/>
  <c r="IM188" i="11"/>
  <c r="IN188" i="11"/>
  <c r="IO188" i="11"/>
  <c r="IP188" i="11"/>
  <c r="IQ188" i="11"/>
  <c r="IR188" i="11"/>
  <c r="IS188" i="11"/>
  <c r="IT188" i="11"/>
  <c r="IU188" i="11"/>
  <c r="IV188" i="11"/>
  <c r="F189" i="11"/>
  <c r="G189" i="11"/>
  <c r="H189" i="11"/>
  <c r="I189" i="11"/>
  <c r="J189" i="11"/>
  <c r="K189" i="11"/>
  <c r="L189" i="11"/>
  <c r="M189" i="11"/>
  <c r="N189" i="11"/>
  <c r="O189" i="11"/>
  <c r="P189" i="11"/>
  <c r="Q189" i="11"/>
  <c r="R189" i="11"/>
  <c r="S189" i="11"/>
  <c r="T189" i="11"/>
  <c r="U189" i="11"/>
  <c r="V189" i="11"/>
  <c r="W189" i="11"/>
  <c r="X189" i="11"/>
  <c r="Y189" i="11"/>
  <c r="Z189" i="11"/>
  <c r="AA189" i="11"/>
  <c r="AB189" i="11"/>
  <c r="AC189" i="11"/>
  <c r="AD189" i="11"/>
  <c r="AE189" i="11"/>
  <c r="AF189" i="11"/>
  <c r="AG189" i="11"/>
  <c r="AH189" i="11"/>
  <c r="AI189" i="11"/>
  <c r="AJ189" i="11"/>
  <c r="AK189" i="11"/>
  <c r="AL189" i="11"/>
  <c r="AM189" i="11"/>
  <c r="AN189" i="11"/>
  <c r="AO189" i="11"/>
  <c r="AP189" i="11"/>
  <c r="AQ189" i="11"/>
  <c r="AR189" i="11"/>
  <c r="AS189" i="11"/>
  <c r="AT189" i="11"/>
  <c r="AU189" i="11"/>
  <c r="AV189" i="11"/>
  <c r="AW189" i="11"/>
  <c r="AX189" i="11"/>
  <c r="AY189" i="11"/>
  <c r="AZ189" i="11"/>
  <c r="BA189" i="11"/>
  <c r="BB189" i="11"/>
  <c r="BC189" i="11"/>
  <c r="BD189" i="11"/>
  <c r="BE189" i="11"/>
  <c r="BF189" i="11"/>
  <c r="BG189" i="11"/>
  <c r="BH189" i="11"/>
  <c r="BI189" i="11"/>
  <c r="BJ189" i="11"/>
  <c r="BK189" i="11"/>
  <c r="BL189" i="11"/>
  <c r="BM189" i="11"/>
  <c r="BN189" i="11"/>
  <c r="BO189" i="11"/>
  <c r="BP189" i="11"/>
  <c r="BQ189" i="11"/>
  <c r="BR189" i="11"/>
  <c r="BS189" i="11"/>
  <c r="BT189" i="11"/>
  <c r="BU189" i="11"/>
  <c r="BV189" i="11"/>
  <c r="BW189" i="11"/>
  <c r="BX189" i="11"/>
  <c r="BY189" i="11"/>
  <c r="BZ189" i="11"/>
  <c r="CA189" i="11"/>
  <c r="CB189" i="11"/>
  <c r="CC189" i="11"/>
  <c r="CD189" i="11"/>
  <c r="CE189" i="11"/>
  <c r="CF189" i="11"/>
  <c r="CG189" i="11"/>
  <c r="CH189" i="11"/>
  <c r="CI189" i="11"/>
  <c r="CJ189" i="11"/>
  <c r="CK189" i="11"/>
  <c r="CL189" i="11"/>
  <c r="CM189" i="11"/>
  <c r="CN189" i="11"/>
  <c r="CO189" i="11"/>
  <c r="CP189" i="11"/>
  <c r="CQ189" i="11"/>
  <c r="CR189" i="11"/>
  <c r="CS189" i="11"/>
  <c r="CT189" i="11"/>
  <c r="CU189" i="11"/>
  <c r="CV189" i="11"/>
  <c r="CW189" i="11"/>
  <c r="CX189" i="11"/>
  <c r="CY189" i="11"/>
  <c r="CZ189" i="11"/>
  <c r="DA189" i="11"/>
  <c r="DB189" i="11"/>
  <c r="DC189" i="11"/>
  <c r="DD189" i="11"/>
  <c r="DE189" i="11"/>
  <c r="DF189" i="11"/>
  <c r="DG189" i="11"/>
  <c r="DH189" i="11"/>
  <c r="DI189" i="11"/>
  <c r="DJ189" i="11"/>
  <c r="DK189" i="11"/>
  <c r="DL189" i="11"/>
  <c r="DM189" i="11"/>
  <c r="DN189" i="11"/>
  <c r="DO189" i="11"/>
  <c r="DP189" i="11"/>
  <c r="DQ189" i="11"/>
  <c r="DR189" i="11"/>
  <c r="DS189" i="11"/>
  <c r="DT189" i="11"/>
  <c r="DU189" i="11"/>
  <c r="DV189" i="11"/>
  <c r="DW189" i="11"/>
  <c r="DX189" i="11"/>
  <c r="DY189" i="11"/>
  <c r="DZ189" i="11"/>
  <c r="EA189" i="11"/>
  <c r="EB189" i="11"/>
  <c r="EC189" i="11"/>
  <c r="ED189" i="11"/>
  <c r="EE189" i="11"/>
  <c r="EF189" i="11"/>
  <c r="EG189" i="11"/>
  <c r="EH189" i="11"/>
  <c r="EI189" i="11"/>
  <c r="EJ189" i="11"/>
  <c r="EK189" i="11"/>
  <c r="EL189" i="11"/>
  <c r="EM189" i="11"/>
  <c r="EN189" i="11"/>
  <c r="EO189" i="11"/>
  <c r="EP189" i="11"/>
  <c r="EQ189" i="11"/>
  <c r="ER189" i="11"/>
  <c r="ES189" i="11"/>
  <c r="ET189" i="11"/>
  <c r="EU189" i="11"/>
  <c r="EV189" i="11"/>
  <c r="EW189" i="11"/>
  <c r="EX189" i="11"/>
  <c r="EY189" i="11"/>
  <c r="EZ189" i="11"/>
  <c r="FA189" i="11"/>
  <c r="FB189" i="11"/>
  <c r="FC189" i="11"/>
  <c r="FD189" i="11"/>
  <c r="FE189" i="11"/>
  <c r="FF189" i="11"/>
  <c r="FG189" i="11"/>
  <c r="FH189" i="11"/>
  <c r="FI189" i="11"/>
  <c r="FJ189" i="11"/>
  <c r="FK189" i="11"/>
  <c r="FL189" i="11"/>
  <c r="FM189" i="11"/>
  <c r="FN189" i="11"/>
  <c r="FO189" i="11"/>
  <c r="FP189" i="11"/>
  <c r="FQ189" i="11"/>
  <c r="FR189" i="11"/>
  <c r="FS189" i="11"/>
  <c r="FT189" i="11"/>
  <c r="FU189" i="11"/>
  <c r="FV189" i="11"/>
  <c r="FW189" i="11"/>
  <c r="FX189" i="11"/>
  <c r="FY189" i="11"/>
  <c r="FZ189" i="11"/>
  <c r="GA189" i="11"/>
  <c r="GB189" i="11"/>
  <c r="GC189" i="11"/>
  <c r="GD189" i="11"/>
  <c r="GE189" i="11"/>
  <c r="GF189" i="11"/>
  <c r="GG189" i="11"/>
  <c r="GH189" i="11"/>
  <c r="GI189" i="11"/>
  <c r="GJ189" i="11"/>
  <c r="GK189" i="11"/>
  <c r="GL189" i="11"/>
  <c r="GM189" i="11"/>
  <c r="GN189" i="11"/>
  <c r="GO189" i="11"/>
  <c r="GP189" i="11"/>
  <c r="GQ189" i="11"/>
  <c r="GR189" i="11"/>
  <c r="GS189" i="11"/>
  <c r="GT189" i="11"/>
  <c r="GU189" i="11"/>
  <c r="GV189" i="11"/>
  <c r="GW189" i="11"/>
  <c r="GX189" i="11"/>
  <c r="GY189" i="11"/>
  <c r="GZ189" i="11"/>
  <c r="HA189" i="11"/>
  <c r="HB189" i="11"/>
  <c r="HC189" i="11"/>
  <c r="HD189" i="11"/>
  <c r="HE189" i="11"/>
  <c r="HF189" i="11"/>
  <c r="HG189" i="11"/>
  <c r="HH189" i="11"/>
  <c r="HI189" i="11"/>
  <c r="HJ189" i="11"/>
  <c r="HK189" i="11"/>
  <c r="HL189" i="11"/>
  <c r="HM189" i="11"/>
  <c r="HN189" i="11"/>
  <c r="HO189" i="11"/>
  <c r="HP189" i="11"/>
  <c r="HQ189" i="11"/>
  <c r="HR189" i="11"/>
  <c r="HS189" i="11"/>
  <c r="HT189" i="11"/>
  <c r="HU189" i="11"/>
  <c r="HV189" i="11"/>
  <c r="HW189" i="11"/>
  <c r="HX189" i="11"/>
  <c r="HY189" i="11"/>
  <c r="HZ189" i="11"/>
  <c r="IA189" i="11"/>
  <c r="IB189" i="11"/>
  <c r="IC189" i="11"/>
  <c r="ID189" i="11"/>
  <c r="IE189" i="11"/>
  <c r="IF189" i="11"/>
  <c r="IG189" i="11"/>
  <c r="IH189" i="11"/>
  <c r="II189" i="11"/>
  <c r="IJ189" i="11"/>
  <c r="IK189" i="11"/>
  <c r="IL189" i="11"/>
  <c r="IM189" i="11"/>
  <c r="IN189" i="11"/>
  <c r="IO189" i="11"/>
  <c r="IP189" i="11"/>
  <c r="IQ189" i="11"/>
  <c r="IR189" i="11"/>
  <c r="IS189" i="11"/>
  <c r="IT189" i="11"/>
  <c r="IU189" i="11"/>
  <c r="IV189" i="11"/>
  <c r="F190" i="11"/>
  <c r="G190" i="11"/>
  <c r="H190" i="11"/>
  <c r="I190" i="11"/>
  <c r="J190" i="11"/>
  <c r="K190" i="11"/>
  <c r="L190" i="11"/>
  <c r="M190" i="11"/>
  <c r="N190" i="11"/>
  <c r="O190" i="11"/>
  <c r="P190" i="11"/>
  <c r="Q190" i="11"/>
  <c r="R190" i="11"/>
  <c r="S190" i="11"/>
  <c r="T190" i="11"/>
  <c r="U190" i="11"/>
  <c r="V190" i="11"/>
  <c r="W190" i="11"/>
  <c r="X190" i="11"/>
  <c r="Y190" i="11"/>
  <c r="Z190" i="11"/>
  <c r="AA190" i="11"/>
  <c r="AB190" i="11"/>
  <c r="AC190" i="11"/>
  <c r="AD190" i="11"/>
  <c r="AE190" i="11"/>
  <c r="AF190" i="11"/>
  <c r="AG190" i="11"/>
  <c r="AH190" i="11"/>
  <c r="AI190" i="11"/>
  <c r="AJ190" i="11"/>
  <c r="AK190" i="11"/>
  <c r="AL190" i="11"/>
  <c r="AM190" i="11"/>
  <c r="AN190" i="11"/>
  <c r="AO190" i="11"/>
  <c r="AP190" i="11"/>
  <c r="AQ190" i="11"/>
  <c r="AR190" i="11"/>
  <c r="AS190" i="11"/>
  <c r="AT190" i="11"/>
  <c r="AU190" i="11"/>
  <c r="AV190" i="11"/>
  <c r="AW190" i="11"/>
  <c r="AX190" i="11"/>
  <c r="AY190" i="11"/>
  <c r="AZ190" i="11"/>
  <c r="BA190" i="11"/>
  <c r="BB190" i="11"/>
  <c r="BC190" i="11"/>
  <c r="BD190" i="11"/>
  <c r="BE190" i="11"/>
  <c r="BF190" i="11"/>
  <c r="BG190" i="11"/>
  <c r="BH190" i="11"/>
  <c r="BI190" i="11"/>
  <c r="BJ190" i="11"/>
  <c r="BK190" i="11"/>
  <c r="BL190" i="11"/>
  <c r="BM190" i="11"/>
  <c r="BN190" i="11"/>
  <c r="BO190" i="11"/>
  <c r="BP190" i="11"/>
  <c r="BQ190" i="11"/>
  <c r="BR190" i="11"/>
  <c r="BS190" i="11"/>
  <c r="BT190" i="11"/>
  <c r="BU190" i="11"/>
  <c r="BV190" i="11"/>
  <c r="BW190" i="11"/>
  <c r="BX190" i="11"/>
  <c r="BY190" i="11"/>
  <c r="BZ190" i="11"/>
  <c r="CA190" i="11"/>
  <c r="CB190" i="11"/>
  <c r="CC190" i="11"/>
  <c r="CD190" i="11"/>
  <c r="CE190" i="11"/>
  <c r="CF190" i="11"/>
  <c r="CG190" i="11"/>
  <c r="CH190" i="11"/>
  <c r="CI190" i="11"/>
  <c r="CJ190" i="11"/>
  <c r="CK190" i="11"/>
  <c r="CL190" i="11"/>
  <c r="CM190" i="11"/>
  <c r="CN190" i="11"/>
  <c r="CO190" i="11"/>
  <c r="CP190" i="11"/>
  <c r="CQ190" i="11"/>
  <c r="CR190" i="11"/>
  <c r="CS190" i="11"/>
  <c r="CT190" i="11"/>
  <c r="CU190" i="11"/>
  <c r="CV190" i="11"/>
  <c r="CW190" i="11"/>
  <c r="CX190" i="11"/>
  <c r="CY190" i="11"/>
  <c r="CZ190" i="11"/>
  <c r="DA190" i="11"/>
  <c r="DB190" i="11"/>
  <c r="DC190" i="11"/>
  <c r="DD190" i="11"/>
  <c r="DE190" i="11"/>
  <c r="DF190" i="11"/>
  <c r="DG190" i="11"/>
  <c r="DH190" i="11"/>
  <c r="DI190" i="11"/>
  <c r="DJ190" i="11"/>
  <c r="DK190" i="11"/>
  <c r="DL190" i="11"/>
  <c r="DM190" i="11"/>
  <c r="DN190" i="11"/>
  <c r="DO190" i="11"/>
  <c r="DP190" i="11"/>
  <c r="DQ190" i="11"/>
  <c r="DR190" i="11"/>
  <c r="DS190" i="11"/>
  <c r="DT190" i="11"/>
  <c r="DU190" i="11"/>
  <c r="DV190" i="11"/>
  <c r="DW190" i="11"/>
  <c r="DX190" i="11"/>
  <c r="DY190" i="11"/>
  <c r="DZ190" i="11"/>
  <c r="EA190" i="11"/>
  <c r="EB190" i="11"/>
  <c r="EC190" i="11"/>
  <c r="ED190" i="11"/>
  <c r="EE190" i="11"/>
  <c r="EF190" i="11"/>
  <c r="EG190" i="11"/>
  <c r="EH190" i="11"/>
  <c r="EI190" i="11"/>
  <c r="EJ190" i="11"/>
  <c r="EK190" i="11"/>
  <c r="EL190" i="11"/>
  <c r="EM190" i="11"/>
  <c r="EN190" i="11"/>
  <c r="EO190" i="11"/>
  <c r="EP190" i="11"/>
  <c r="EQ190" i="11"/>
  <c r="ER190" i="11"/>
  <c r="ES190" i="11"/>
  <c r="ET190" i="11"/>
  <c r="EU190" i="11"/>
  <c r="EV190" i="11"/>
  <c r="EW190" i="11"/>
  <c r="EX190" i="11"/>
  <c r="EY190" i="11"/>
  <c r="EZ190" i="11"/>
  <c r="FA190" i="11"/>
  <c r="FB190" i="11"/>
  <c r="FC190" i="11"/>
  <c r="FD190" i="11"/>
  <c r="FE190" i="11"/>
  <c r="FF190" i="11"/>
  <c r="FG190" i="11"/>
  <c r="FH190" i="11"/>
  <c r="FI190" i="11"/>
  <c r="FJ190" i="11"/>
  <c r="FK190" i="11"/>
  <c r="FL190" i="11"/>
  <c r="FM190" i="11"/>
  <c r="FN190" i="11"/>
  <c r="FO190" i="11"/>
  <c r="FP190" i="11"/>
  <c r="FQ190" i="11"/>
  <c r="FR190" i="11"/>
  <c r="FS190" i="11"/>
  <c r="FT190" i="11"/>
  <c r="FU190" i="11"/>
  <c r="FV190" i="11"/>
  <c r="FW190" i="11"/>
  <c r="FX190" i="11"/>
  <c r="FY190" i="11"/>
  <c r="FZ190" i="11"/>
  <c r="GA190" i="11"/>
  <c r="GB190" i="11"/>
  <c r="GC190" i="11"/>
  <c r="GD190" i="11"/>
  <c r="GE190" i="11"/>
  <c r="GF190" i="11"/>
  <c r="GG190" i="11"/>
  <c r="GH190" i="11"/>
  <c r="GI190" i="11"/>
  <c r="GJ190" i="11"/>
  <c r="GK190" i="11"/>
  <c r="GL190" i="11"/>
  <c r="GM190" i="11"/>
  <c r="GN190" i="11"/>
  <c r="GO190" i="11"/>
  <c r="GP190" i="11"/>
  <c r="GQ190" i="11"/>
  <c r="GR190" i="11"/>
  <c r="GS190" i="11"/>
  <c r="GT190" i="11"/>
  <c r="GU190" i="11"/>
  <c r="GV190" i="11"/>
  <c r="GW190" i="11"/>
  <c r="GX190" i="11"/>
  <c r="GY190" i="11"/>
  <c r="GZ190" i="11"/>
  <c r="HA190" i="11"/>
  <c r="HB190" i="11"/>
  <c r="HC190" i="11"/>
  <c r="HD190" i="11"/>
  <c r="HE190" i="11"/>
  <c r="HF190" i="11"/>
  <c r="HG190" i="11"/>
  <c r="HH190" i="11"/>
  <c r="HI190" i="11"/>
  <c r="HJ190" i="11"/>
  <c r="HK190" i="11"/>
  <c r="HL190" i="11"/>
  <c r="HM190" i="11"/>
  <c r="HN190" i="11"/>
  <c r="HO190" i="11"/>
  <c r="HP190" i="11"/>
  <c r="HQ190" i="11"/>
  <c r="HR190" i="11"/>
  <c r="HS190" i="11"/>
  <c r="HT190" i="11"/>
  <c r="HU190" i="11"/>
  <c r="HV190" i="11"/>
  <c r="HW190" i="11"/>
  <c r="HX190" i="11"/>
  <c r="HY190" i="11"/>
  <c r="HZ190" i="11"/>
  <c r="IA190" i="11"/>
  <c r="IB190" i="11"/>
  <c r="IC190" i="11"/>
  <c r="ID190" i="11"/>
  <c r="IE190" i="11"/>
  <c r="IF190" i="11"/>
  <c r="IG190" i="11"/>
  <c r="IH190" i="11"/>
  <c r="II190" i="11"/>
  <c r="IJ190" i="11"/>
  <c r="IK190" i="11"/>
  <c r="IL190" i="11"/>
  <c r="IM190" i="11"/>
  <c r="IN190" i="11"/>
  <c r="IO190" i="11"/>
  <c r="IP190" i="11"/>
  <c r="IQ190" i="11"/>
  <c r="IR190" i="11"/>
  <c r="IS190" i="11"/>
  <c r="IT190" i="11"/>
  <c r="IU190" i="11"/>
  <c r="IV190" i="11"/>
  <c r="F191" i="11"/>
  <c r="G191" i="11"/>
  <c r="H191" i="11"/>
  <c r="I191" i="11"/>
  <c r="J191" i="11"/>
  <c r="K191" i="11"/>
  <c r="L191" i="11"/>
  <c r="M191" i="11"/>
  <c r="N191" i="11"/>
  <c r="O191" i="11"/>
  <c r="P191" i="11"/>
  <c r="Q191" i="11"/>
  <c r="R191" i="11"/>
  <c r="S191" i="11"/>
  <c r="T191" i="11"/>
  <c r="U191" i="11"/>
  <c r="V191" i="11"/>
  <c r="W191" i="11"/>
  <c r="X191" i="11"/>
  <c r="Y191" i="11"/>
  <c r="Z191" i="11"/>
  <c r="AA191" i="11"/>
  <c r="AB191" i="11"/>
  <c r="AC191" i="11"/>
  <c r="AD191" i="11"/>
  <c r="AE191" i="11"/>
  <c r="AF191" i="11"/>
  <c r="AG191" i="11"/>
  <c r="AH191" i="11"/>
  <c r="AI191" i="11"/>
  <c r="AJ191" i="11"/>
  <c r="AK191" i="11"/>
  <c r="AL191" i="11"/>
  <c r="AM191" i="11"/>
  <c r="AN191" i="11"/>
  <c r="AO191" i="11"/>
  <c r="AP191" i="11"/>
  <c r="AQ191" i="11"/>
  <c r="AR191" i="11"/>
  <c r="AS191" i="11"/>
  <c r="AT191" i="11"/>
  <c r="AU191" i="11"/>
  <c r="AV191" i="11"/>
  <c r="AW191" i="11"/>
  <c r="AX191" i="11"/>
  <c r="AY191" i="11"/>
  <c r="AZ191" i="11"/>
  <c r="BA191" i="11"/>
  <c r="BB191" i="11"/>
  <c r="BC191" i="11"/>
  <c r="BD191" i="11"/>
  <c r="BE191" i="11"/>
  <c r="BF191" i="11"/>
  <c r="BG191" i="11"/>
  <c r="BH191" i="11"/>
  <c r="BI191" i="11"/>
  <c r="BJ191" i="11"/>
  <c r="BK191" i="11"/>
  <c r="BL191" i="11"/>
  <c r="BM191" i="11"/>
  <c r="BN191" i="11"/>
  <c r="BO191" i="11"/>
  <c r="BP191" i="11"/>
  <c r="BQ191" i="11"/>
  <c r="BR191" i="11"/>
  <c r="BS191" i="11"/>
  <c r="BT191" i="11"/>
  <c r="BU191" i="11"/>
  <c r="BV191" i="11"/>
  <c r="BW191" i="11"/>
  <c r="BX191" i="11"/>
  <c r="BY191" i="11"/>
  <c r="BZ191" i="11"/>
  <c r="CA191" i="11"/>
  <c r="CB191" i="11"/>
  <c r="CC191" i="11"/>
  <c r="CD191" i="11"/>
  <c r="CE191" i="11"/>
  <c r="CF191" i="11"/>
  <c r="CG191" i="11"/>
  <c r="CH191" i="11"/>
  <c r="CI191" i="11"/>
  <c r="CJ191" i="11"/>
  <c r="CK191" i="11"/>
  <c r="CL191" i="11"/>
  <c r="CM191" i="11"/>
  <c r="CN191" i="11"/>
  <c r="CO191" i="11"/>
  <c r="CP191" i="11"/>
  <c r="CQ191" i="11"/>
  <c r="CR191" i="11"/>
  <c r="CS191" i="11"/>
  <c r="CT191" i="11"/>
  <c r="CU191" i="11"/>
  <c r="CV191" i="11"/>
  <c r="CW191" i="11"/>
  <c r="CX191" i="11"/>
  <c r="CY191" i="11"/>
  <c r="CZ191" i="11"/>
  <c r="DA191" i="11"/>
  <c r="DB191" i="11"/>
  <c r="DC191" i="11"/>
  <c r="DD191" i="11"/>
  <c r="DE191" i="11"/>
  <c r="DF191" i="11"/>
  <c r="DG191" i="11"/>
  <c r="DH191" i="11"/>
  <c r="DI191" i="11"/>
  <c r="DJ191" i="11"/>
  <c r="DK191" i="11"/>
  <c r="DL191" i="11"/>
  <c r="DM191" i="11"/>
  <c r="DN191" i="11"/>
  <c r="DO191" i="11"/>
  <c r="DP191" i="11"/>
  <c r="DQ191" i="11"/>
  <c r="DR191" i="11"/>
  <c r="DS191" i="11"/>
  <c r="DT191" i="11"/>
  <c r="DU191" i="11"/>
  <c r="DV191" i="11"/>
  <c r="DW191" i="11"/>
  <c r="DX191" i="11"/>
  <c r="DY191" i="11"/>
  <c r="DZ191" i="11"/>
  <c r="EA191" i="11"/>
  <c r="EB191" i="11"/>
  <c r="EC191" i="11"/>
  <c r="ED191" i="11"/>
  <c r="EE191" i="11"/>
  <c r="EF191" i="11"/>
  <c r="EG191" i="11"/>
  <c r="EH191" i="11"/>
  <c r="EI191" i="11"/>
  <c r="EJ191" i="11"/>
  <c r="EK191" i="11"/>
  <c r="EL191" i="11"/>
  <c r="EM191" i="11"/>
  <c r="EN191" i="11"/>
  <c r="EO191" i="11"/>
  <c r="EP191" i="11"/>
  <c r="EQ191" i="11"/>
  <c r="ER191" i="11"/>
  <c r="ES191" i="11"/>
  <c r="ET191" i="11"/>
  <c r="EU191" i="11"/>
  <c r="EV191" i="11"/>
  <c r="EW191" i="11"/>
  <c r="EX191" i="11"/>
  <c r="EY191" i="11"/>
  <c r="EZ191" i="11"/>
  <c r="FA191" i="11"/>
  <c r="FB191" i="11"/>
  <c r="FC191" i="11"/>
  <c r="FD191" i="11"/>
  <c r="FE191" i="11"/>
  <c r="FF191" i="11"/>
  <c r="FG191" i="11"/>
  <c r="FH191" i="11"/>
  <c r="FI191" i="11"/>
  <c r="FJ191" i="11"/>
  <c r="FK191" i="11"/>
  <c r="FL191" i="11"/>
  <c r="FM191" i="11"/>
  <c r="FN191" i="11"/>
  <c r="FO191" i="11"/>
  <c r="FP191" i="11"/>
  <c r="FQ191" i="11"/>
  <c r="FR191" i="11"/>
  <c r="FS191" i="11"/>
  <c r="FT191" i="11"/>
  <c r="FU191" i="11"/>
  <c r="FV191" i="11"/>
  <c r="FW191" i="11"/>
  <c r="FX191" i="11"/>
  <c r="FY191" i="11"/>
  <c r="FZ191" i="11"/>
  <c r="GA191" i="11"/>
  <c r="GB191" i="11"/>
  <c r="GC191" i="11"/>
  <c r="GD191" i="11"/>
  <c r="GE191" i="11"/>
  <c r="GF191" i="11"/>
  <c r="GG191" i="11"/>
  <c r="GH191" i="11"/>
  <c r="GI191" i="11"/>
  <c r="GJ191" i="11"/>
  <c r="GK191" i="11"/>
  <c r="GL191" i="11"/>
  <c r="GM191" i="11"/>
  <c r="GN191" i="11"/>
  <c r="GO191" i="11"/>
  <c r="GP191" i="11"/>
  <c r="GQ191" i="11"/>
  <c r="GR191" i="11"/>
  <c r="GS191" i="11"/>
  <c r="GT191" i="11"/>
  <c r="GU191" i="11"/>
  <c r="GV191" i="11"/>
  <c r="GW191" i="11"/>
  <c r="GX191" i="11"/>
  <c r="GY191" i="11"/>
  <c r="GZ191" i="11"/>
  <c r="HA191" i="11"/>
  <c r="HB191" i="11"/>
  <c r="HC191" i="11"/>
  <c r="HD191" i="11"/>
  <c r="HE191" i="11"/>
  <c r="HF191" i="11"/>
  <c r="HG191" i="11"/>
  <c r="HH191" i="11"/>
  <c r="HI191" i="11"/>
  <c r="HJ191" i="11"/>
  <c r="HK191" i="11"/>
  <c r="HL191" i="11"/>
  <c r="HM191" i="11"/>
  <c r="HN191" i="11"/>
  <c r="HO191" i="11"/>
  <c r="HP191" i="11"/>
  <c r="HQ191" i="11"/>
  <c r="HR191" i="11"/>
  <c r="HS191" i="11"/>
  <c r="HT191" i="11"/>
  <c r="HU191" i="11"/>
  <c r="HV191" i="11"/>
  <c r="HW191" i="11"/>
  <c r="HX191" i="11"/>
  <c r="HY191" i="11"/>
  <c r="HZ191" i="11"/>
  <c r="IA191" i="11"/>
  <c r="IB191" i="11"/>
  <c r="IC191" i="11"/>
  <c r="ID191" i="11"/>
  <c r="IE191" i="11"/>
  <c r="IF191" i="11"/>
  <c r="IG191" i="11"/>
  <c r="IH191" i="11"/>
  <c r="II191" i="11"/>
  <c r="IJ191" i="11"/>
  <c r="IK191" i="11"/>
  <c r="IL191" i="11"/>
  <c r="IM191" i="11"/>
  <c r="IN191" i="11"/>
  <c r="IO191" i="11"/>
  <c r="IP191" i="11"/>
  <c r="IQ191" i="11"/>
  <c r="IR191" i="11"/>
  <c r="IS191" i="11"/>
  <c r="IT191" i="11"/>
  <c r="IU191" i="11"/>
  <c r="IV191" i="11"/>
  <c r="F192" i="11"/>
  <c r="G192" i="11"/>
  <c r="H192" i="11"/>
  <c r="I192" i="11"/>
  <c r="J192" i="11"/>
  <c r="K192" i="11"/>
  <c r="L192" i="11"/>
  <c r="M192" i="11"/>
  <c r="N192" i="11"/>
  <c r="O192" i="11"/>
  <c r="P192" i="11"/>
  <c r="Q192" i="11"/>
  <c r="R192" i="11"/>
  <c r="S192" i="11"/>
  <c r="T192" i="11"/>
  <c r="U192" i="11"/>
  <c r="V192" i="11"/>
  <c r="W192" i="11"/>
  <c r="X192" i="11"/>
  <c r="Y192" i="11"/>
  <c r="Z192" i="11"/>
  <c r="AA192" i="11"/>
  <c r="AB192" i="11"/>
  <c r="AC192" i="11"/>
  <c r="AD192" i="11"/>
  <c r="AE192" i="11"/>
  <c r="AF192" i="11"/>
  <c r="AG192" i="11"/>
  <c r="AH192" i="11"/>
  <c r="AI192" i="11"/>
  <c r="AJ192" i="11"/>
  <c r="AK192" i="11"/>
  <c r="AL192" i="11"/>
  <c r="AM192" i="11"/>
  <c r="AN192" i="11"/>
  <c r="AO192" i="11"/>
  <c r="AP192" i="11"/>
  <c r="AQ192" i="11"/>
  <c r="AR192" i="11"/>
  <c r="AS192" i="11"/>
  <c r="AT192" i="11"/>
  <c r="AU192" i="11"/>
  <c r="AV192" i="11"/>
  <c r="AW192" i="11"/>
  <c r="AX192" i="11"/>
  <c r="AY192" i="11"/>
  <c r="AZ192" i="11"/>
  <c r="BA192" i="11"/>
  <c r="BB192" i="11"/>
  <c r="BC192" i="11"/>
  <c r="BD192" i="11"/>
  <c r="BE192" i="11"/>
  <c r="BF192" i="11"/>
  <c r="BG192" i="11"/>
  <c r="BH192" i="11"/>
  <c r="BI192" i="11"/>
  <c r="BJ192" i="11"/>
  <c r="BK192" i="11"/>
  <c r="BL192" i="11"/>
  <c r="BM192" i="11"/>
  <c r="BN192" i="11"/>
  <c r="BO192" i="11"/>
  <c r="BP192" i="11"/>
  <c r="BQ192" i="11"/>
  <c r="BR192" i="11"/>
  <c r="BS192" i="11"/>
  <c r="BT192" i="11"/>
  <c r="BU192" i="11"/>
  <c r="BV192" i="11"/>
  <c r="BW192" i="11"/>
  <c r="BX192" i="11"/>
  <c r="BY192" i="11"/>
  <c r="BZ192" i="11"/>
  <c r="CA192" i="11"/>
  <c r="CB192" i="11"/>
  <c r="CC192" i="11"/>
  <c r="CD192" i="11"/>
  <c r="CE192" i="11"/>
  <c r="CF192" i="11"/>
  <c r="CG192" i="11"/>
  <c r="CH192" i="11"/>
  <c r="CI192" i="11"/>
  <c r="CJ192" i="11"/>
  <c r="CK192" i="11"/>
  <c r="CL192" i="11"/>
  <c r="CM192" i="11"/>
  <c r="CN192" i="11"/>
  <c r="CO192" i="11"/>
  <c r="CP192" i="11"/>
  <c r="CQ192" i="11"/>
  <c r="CR192" i="11"/>
  <c r="CS192" i="11"/>
  <c r="CT192" i="11"/>
  <c r="CU192" i="11"/>
  <c r="CV192" i="11"/>
  <c r="CW192" i="11"/>
  <c r="CX192" i="11"/>
  <c r="CY192" i="11"/>
  <c r="CZ192" i="11"/>
  <c r="DA192" i="11"/>
  <c r="DB192" i="11"/>
  <c r="DC192" i="11"/>
  <c r="DD192" i="11"/>
  <c r="DE192" i="11"/>
  <c r="DF192" i="11"/>
  <c r="DG192" i="11"/>
  <c r="DH192" i="11"/>
  <c r="DI192" i="11"/>
  <c r="DJ192" i="11"/>
  <c r="DK192" i="11"/>
  <c r="DL192" i="11"/>
  <c r="DM192" i="11"/>
  <c r="DN192" i="11"/>
  <c r="DO192" i="11"/>
  <c r="DP192" i="11"/>
  <c r="DQ192" i="11"/>
  <c r="DR192" i="11"/>
  <c r="DS192" i="11"/>
  <c r="DT192" i="11"/>
  <c r="DU192" i="11"/>
  <c r="DV192" i="11"/>
  <c r="DW192" i="11"/>
  <c r="DX192" i="11"/>
  <c r="DY192" i="11"/>
  <c r="DZ192" i="11"/>
  <c r="EA192" i="11"/>
  <c r="EB192" i="11"/>
  <c r="EC192" i="11"/>
  <c r="ED192" i="11"/>
  <c r="EE192" i="11"/>
  <c r="EF192" i="11"/>
  <c r="EG192" i="11"/>
  <c r="EH192" i="11"/>
  <c r="EI192" i="11"/>
  <c r="EJ192" i="11"/>
  <c r="EK192" i="11"/>
  <c r="EL192" i="11"/>
  <c r="EM192" i="11"/>
  <c r="EN192" i="11"/>
  <c r="EO192" i="11"/>
  <c r="EP192" i="11"/>
  <c r="EQ192" i="11"/>
  <c r="ER192" i="11"/>
  <c r="ES192" i="11"/>
  <c r="ET192" i="11"/>
  <c r="EU192" i="11"/>
  <c r="EV192" i="11"/>
  <c r="EW192" i="11"/>
  <c r="EX192" i="11"/>
  <c r="EY192" i="11"/>
  <c r="EZ192" i="11"/>
  <c r="FA192" i="11"/>
  <c r="FB192" i="11"/>
  <c r="FC192" i="11"/>
  <c r="FD192" i="11"/>
  <c r="FE192" i="11"/>
  <c r="FF192" i="11"/>
  <c r="FG192" i="11"/>
  <c r="FH192" i="11"/>
  <c r="FI192" i="11"/>
  <c r="FJ192" i="11"/>
  <c r="FK192" i="11"/>
  <c r="FL192" i="11"/>
  <c r="FM192" i="11"/>
  <c r="FN192" i="11"/>
  <c r="FO192" i="11"/>
  <c r="FP192" i="11"/>
  <c r="FQ192" i="11"/>
  <c r="FR192" i="11"/>
  <c r="FS192" i="11"/>
  <c r="FT192" i="11"/>
  <c r="FU192" i="11"/>
  <c r="FV192" i="11"/>
  <c r="FW192" i="11"/>
  <c r="FX192" i="11"/>
  <c r="FY192" i="11"/>
  <c r="FZ192" i="11"/>
  <c r="GA192" i="11"/>
  <c r="GB192" i="11"/>
  <c r="GC192" i="11"/>
  <c r="GD192" i="11"/>
  <c r="GE192" i="11"/>
  <c r="GF192" i="11"/>
  <c r="GG192" i="11"/>
  <c r="GH192" i="11"/>
  <c r="GI192" i="11"/>
  <c r="GJ192" i="11"/>
  <c r="GK192" i="11"/>
  <c r="GL192" i="11"/>
  <c r="GM192" i="11"/>
  <c r="GN192" i="11"/>
  <c r="GO192" i="11"/>
  <c r="GP192" i="11"/>
  <c r="GQ192" i="11"/>
  <c r="GR192" i="11"/>
  <c r="GS192" i="11"/>
  <c r="GT192" i="11"/>
  <c r="GU192" i="11"/>
  <c r="GV192" i="11"/>
  <c r="GW192" i="11"/>
  <c r="GX192" i="11"/>
  <c r="GY192" i="11"/>
  <c r="GZ192" i="11"/>
  <c r="HA192" i="11"/>
  <c r="HB192" i="11"/>
  <c r="HC192" i="11"/>
  <c r="HD192" i="11"/>
  <c r="HE192" i="11"/>
  <c r="HF192" i="11"/>
  <c r="HG192" i="11"/>
  <c r="HH192" i="11"/>
  <c r="HI192" i="11"/>
  <c r="HJ192" i="11"/>
  <c r="HK192" i="11"/>
  <c r="HL192" i="11"/>
  <c r="HM192" i="11"/>
  <c r="HN192" i="11"/>
  <c r="HO192" i="11"/>
  <c r="HP192" i="11"/>
  <c r="HQ192" i="11"/>
  <c r="HR192" i="11"/>
  <c r="HS192" i="11"/>
  <c r="HT192" i="11"/>
  <c r="HU192" i="11"/>
  <c r="HV192" i="11"/>
  <c r="HW192" i="11"/>
  <c r="HX192" i="11"/>
  <c r="HY192" i="11"/>
  <c r="HZ192" i="11"/>
  <c r="IA192" i="11"/>
  <c r="IB192" i="11"/>
  <c r="IC192" i="11"/>
  <c r="ID192" i="11"/>
  <c r="IE192" i="11"/>
  <c r="IF192" i="11"/>
  <c r="IG192" i="11"/>
  <c r="IH192" i="11"/>
  <c r="II192" i="11"/>
  <c r="IJ192" i="11"/>
  <c r="IK192" i="11"/>
  <c r="IL192" i="11"/>
  <c r="IM192" i="11"/>
  <c r="IN192" i="11"/>
  <c r="IO192" i="11"/>
  <c r="IP192" i="11"/>
  <c r="IQ192" i="11"/>
  <c r="IR192" i="11"/>
  <c r="IS192" i="11"/>
  <c r="IT192" i="11"/>
  <c r="IU192" i="11"/>
  <c r="IV192" i="11"/>
  <c r="F193" i="11"/>
  <c r="G193" i="11"/>
  <c r="H193" i="11"/>
  <c r="I193" i="11"/>
  <c r="J193" i="11"/>
  <c r="K193" i="11"/>
  <c r="L193" i="11"/>
  <c r="M193" i="11"/>
  <c r="N193" i="11"/>
  <c r="O193" i="11"/>
  <c r="P193" i="11"/>
  <c r="Q193" i="11"/>
  <c r="R193" i="11"/>
  <c r="S193" i="11"/>
  <c r="T193" i="11"/>
  <c r="U193" i="11"/>
  <c r="V193" i="11"/>
  <c r="W193" i="11"/>
  <c r="X193" i="11"/>
  <c r="Y193" i="11"/>
  <c r="Z193" i="11"/>
  <c r="AA193" i="11"/>
  <c r="AB193" i="11"/>
  <c r="AC193" i="11"/>
  <c r="AD193" i="11"/>
  <c r="AE193" i="11"/>
  <c r="AF193" i="11"/>
  <c r="AG193" i="11"/>
  <c r="AH193" i="11"/>
  <c r="AI193" i="11"/>
  <c r="AJ193" i="11"/>
  <c r="AK193" i="11"/>
  <c r="AL193" i="11"/>
  <c r="AM193" i="11"/>
  <c r="AN193" i="11"/>
  <c r="AO193" i="11"/>
  <c r="AP193" i="11"/>
  <c r="AQ193" i="11"/>
  <c r="AR193" i="11"/>
  <c r="AS193" i="11"/>
  <c r="AT193" i="11"/>
  <c r="AU193" i="11"/>
  <c r="AV193" i="11"/>
  <c r="AW193" i="11"/>
  <c r="AX193" i="11"/>
  <c r="AY193" i="11"/>
  <c r="AZ193" i="11"/>
  <c r="BA193" i="11"/>
  <c r="BB193" i="11"/>
  <c r="BC193" i="11"/>
  <c r="BD193" i="11"/>
  <c r="BE193" i="11"/>
  <c r="BF193" i="11"/>
  <c r="BG193" i="11"/>
  <c r="BH193" i="11"/>
  <c r="BI193" i="11"/>
  <c r="BJ193" i="11"/>
  <c r="BK193" i="11"/>
  <c r="BL193" i="11"/>
  <c r="BM193" i="11"/>
  <c r="BN193" i="11"/>
  <c r="BO193" i="11"/>
  <c r="BP193" i="11"/>
  <c r="BQ193" i="11"/>
  <c r="BR193" i="11"/>
  <c r="BS193" i="11"/>
  <c r="BT193" i="11"/>
  <c r="BU193" i="11"/>
  <c r="BV193" i="11"/>
  <c r="BW193" i="11"/>
  <c r="BX193" i="11"/>
  <c r="BY193" i="11"/>
  <c r="BZ193" i="11"/>
  <c r="CA193" i="11"/>
  <c r="CB193" i="11"/>
  <c r="CC193" i="11"/>
  <c r="CD193" i="11"/>
  <c r="CE193" i="11"/>
  <c r="CF193" i="11"/>
  <c r="CG193" i="11"/>
  <c r="CH193" i="11"/>
  <c r="CI193" i="11"/>
  <c r="CJ193" i="11"/>
  <c r="CK193" i="11"/>
  <c r="CL193" i="11"/>
  <c r="CM193" i="11"/>
  <c r="CN193" i="11"/>
  <c r="CO193" i="11"/>
  <c r="CP193" i="11"/>
  <c r="CQ193" i="11"/>
  <c r="CR193" i="11"/>
  <c r="CS193" i="11"/>
  <c r="CT193" i="11"/>
  <c r="CU193" i="11"/>
  <c r="CV193" i="11"/>
  <c r="CW193" i="11"/>
  <c r="CX193" i="11"/>
  <c r="CY193" i="11"/>
  <c r="CZ193" i="11"/>
  <c r="DA193" i="11"/>
  <c r="DB193" i="11"/>
  <c r="DC193" i="11"/>
  <c r="DD193" i="11"/>
  <c r="DE193" i="11"/>
  <c r="DF193" i="11"/>
  <c r="DG193" i="11"/>
  <c r="DH193" i="11"/>
  <c r="DI193" i="11"/>
  <c r="DJ193" i="11"/>
  <c r="DK193" i="11"/>
  <c r="DL193" i="11"/>
  <c r="DM193" i="11"/>
  <c r="DN193" i="11"/>
  <c r="DO193" i="11"/>
  <c r="DP193" i="11"/>
  <c r="DQ193" i="11"/>
  <c r="DR193" i="11"/>
  <c r="DS193" i="11"/>
  <c r="DT193" i="11"/>
  <c r="DU193" i="11"/>
  <c r="DV193" i="11"/>
  <c r="DW193" i="11"/>
  <c r="DX193" i="11"/>
  <c r="DY193" i="11"/>
  <c r="DZ193" i="11"/>
  <c r="EA193" i="11"/>
  <c r="EB193" i="11"/>
  <c r="EC193" i="11"/>
  <c r="ED193" i="11"/>
  <c r="EE193" i="11"/>
  <c r="EF193" i="11"/>
  <c r="EG193" i="11"/>
  <c r="EH193" i="11"/>
  <c r="EI193" i="11"/>
  <c r="EJ193" i="11"/>
  <c r="EK193" i="11"/>
  <c r="EL193" i="11"/>
  <c r="EM193" i="11"/>
  <c r="EN193" i="11"/>
  <c r="EO193" i="11"/>
  <c r="EP193" i="11"/>
  <c r="EQ193" i="11"/>
  <c r="ER193" i="11"/>
  <c r="ES193" i="11"/>
  <c r="ET193" i="11"/>
  <c r="EU193" i="11"/>
  <c r="EV193" i="11"/>
  <c r="EW193" i="11"/>
  <c r="EX193" i="11"/>
  <c r="EY193" i="11"/>
  <c r="EZ193" i="11"/>
  <c r="FA193" i="11"/>
  <c r="FB193" i="11"/>
  <c r="FC193" i="11"/>
  <c r="FD193" i="11"/>
  <c r="FE193" i="11"/>
  <c r="FF193" i="11"/>
  <c r="FG193" i="11"/>
  <c r="FH193" i="11"/>
  <c r="FI193" i="11"/>
  <c r="FJ193" i="11"/>
  <c r="FK193" i="11"/>
  <c r="FL193" i="11"/>
  <c r="FM193" i="11"/>
  <c r="FN193" i="11"/>
  <c r="FO193" i="11"/>
  <c r="FP193" i="11"/>
  <c r="FQ193" i="11"/>
  <c r="FR193" i="11"/>
  <c r="FS193" i="11"/>
  <c r="FT193" i="11"/>
  <c r="FU193" i="11"/>
  <c r="FV193" i="11"/>
  <c r="FW193" i="11"/>
  <c r="FX193" i="11"/>
  <c r="FY193" i="11"/>
  <c r="FZ193" i="11"/>
  <c r="GA193" i="11"/>
  <c r="GB193" i="11"/>
  <c r="GC193" i="11"/>
  <c r="GD193" i="11"/>
  <c r="GE193" i="11"/>
  <c r="GF193" i="11"/>
  <c r="GG193" i="11"/>
  <c r="GH193" i="11"/>
  <c r="GI193" i="11"/>
  <c r="GJ193" i="11"/>
  <c r="GK193" i="11"/>
  <c r="GL193" i="11"/>
  <c r="GM193" i="11"/>
  <c r="GN193" i="11"/>
  <c r="GO193" i="11"/>
  <c r="GP193" i="11"/>
  <c r="GQ193" i="11"/>
  <c r="GR193" i="11"/>
  <c r="GS193" i="11"/>
  <c r="GT193" i="11"/>
  <c r="GU193" i="11"/>
  <c r="GV193" i="11"/>
  <c r="GW193" i="11"/>
  <c r="GX193" i="11"/>
  <c r="GY193" i="11"/>
  <c r="GZ193" i="11"/>
  <c r="HA193" i="11"/>
  <c r="HB193" i="11"/>
  <c r="HC193" i="11"/>
  <c r="HD193" i="11"/>
  <c r="HE193" i="11"/>
  <c r="HF193" i="11"/>
  <c r="HG193" i="11"/>
  <c r="HH193" i="11"/>
  <c r="HI193" i="11"/>
  <c r="HJ193" i="11"/>
  <c r="HK193" i="11"/>
  <c r="HL193" i="11"/>
  <c r="HM193" i="11"/>
  <c r="HN193" i="11"/>
  <c r="HO193" i="11"/>
  <c r="HP193" i="11"/>
  <c r="HQ193" i="11"/>
  <c r="HR193" i="11"/>
  <c r="HS193" i="11"/>
  <c r="HT193" i="11"/>
  <c r="HU193" i="11"/>
  <c r="HV193" i="11"/>
  <c r="HW193" i="11"/>
  <c r="HX193" i="11"/>
  <c r="HY193" i="11"/>
  <c r="HZ193" i="11"/>
  <c r="IA193" i="11"/>
  <c r="IB193" i="11"/>
  <c r="IC193" i="11"/>
  <c r="ID193" i="11"/>
  <c r="IE193" i="11"/>
  <c r="IF193" i="11"/>
  <c r="IG193" i="11"/>
  <c r="IH193" i="11"/>
  <c r="II193" i="11"/>
  <c r="IJ193" i="11"/>
  <c r="IK193" i="11"/>
  <c r="IL193" i="11"/>
  <c r="IM193" i="11"/>
  <c r="IN193" i="11"/>
  <c r="IO193" i="11"/>
  <c r="IP193" i="11"/>
  <c r="IQ193" i="11"/>
  <c r="IR193" i="11"/>
  <c r="IS193" i="11"/>
  <c r="IT193" i="11"/>
  <c r="IU193" i="11"/>
  <c r="IV193" i="11"/>
  <c r="F194" i="11"/>
  <c r="G194" i="11"/>
  <c r="H194" i="11"/>
  <c r="I194" i="11"/>
  <c r="J194" i="11"/>
  <c r="K194" i="11"/>
  <c r="L194" i="11"/>
  <c r="M194" i="11"/>
  <c r="N194" i="11"/>
  <c r="O194" i="11"/>
  <c r="P194" i="11"/>
  <c r="Q194" i="11"/>
  <c r="R194" i="11"/>
  <c r="S194" i="11"/>
  <c r="T194" i="11"/>
  <c r="U194" i="11"/>
  <c r="V194" i="11"/>
  <c r="W194" i="11"/>
  <c r="X194" i="11"/>
  <c r="Y194" i="11"/>
  <c r="Z194" i="11"/>
  <c r="AA194" i="11"/>
  <c r="AB194" i="11"/>
  <c r="AC194" i="11"/>
  <c r="AD194" i="11"/>
  <c r="AE194" i="11"/>
  <c r="AF194" i="11"/>
  <c r="AG194" i="11"/>
  <c r="AH194" i="11"/>
  <c r="AI194" i="11"/>
  <c r="AJ194" i="11"/>
  <c r="AK194" i="11"/>
  <c r="AL194" i="11"/>
  <c r="AM194" i="11"/>
  <c r="AN194" i="11"/>
  <c r="AO194" i="11"/>
  <c r="AP194" i="11"/>
  <c r="AQ194" i="11"/>
  <c r="AR194" i="11"/>
  <c r="AS194" i="11"/>
  <c r="AT194" i="11"/>
  <c r="AU194" i="11"/>
  <c r="AV194" i="11"/>
  <c r="AW194" i="11"/>
  <c r="AX194" i="11"/>
  <c r="AY194" i="11"/>
  <c r="AZ194" i="11"/>
  <c r="BA194" i="11"/>
  <c r="BB194" i="11"/>
  <c r="BC194" i="11"/>
  <c r="BD194" i="11"/>
  <c r="BE194" i="11"/>
  <c r="BF194" i="11"/>
  <c r="BG194" i="11"/>
  <c r="BH194" i="11"/>
  <c r="BI194" i="11"/>
  <c r="BJ194" i="11"/>
  <c r="BK194" i="11"/>
  <c r="BL194" i="11"/>
  <c r="BM194" i="11"/>
  <c r="BN194" i="11"/>
  <c r="BO194" i="11"/>
  <c r="BP194" i="11"/>
  <c r="BQ194" i="11"/>
  <c r="BR194" i="11"/>
  <c r="BS194" i="11"/>
  <c r="BT194" i="11"/>
  <c r="BU194" i="11"/>
  <c r="BV194" i="11"/>
  <c r="BW194" i="11"/>
  <c r="BX194" i="11"/>
  <c r="BY194" i="11"/>
  <c r="BZ194" i="11"/>
  <c r="CA194" i="11"/>
  <c r="CB194" i="11"/>
  <c r="CC194" i="11"/>
  <c r="CD194" i="11"/>
  <c r="CE194" i="11"/>
  <c r="CF194" i="11"/>
  <c r="CG194" i="11"/>
  <c r="CH194" i="11"/>
  <c r="CI194" i="11"/>
  <c r="CJ194" i="11"/>
  <c r="CK194" i="11"/>
  <c r="CL194" i="11"/>
  <c r="CM194" i="11"/>
  <c r="CN194" i="11"/>
  <c r="CO194" i="11"/>
  <c r="CP194" i="11"/>
  <c r="CQ194" i="11"/>
  <c r="CR194" i="11"/>
  <c r="CS194" i="11"/>
  <c r="CT194" i="11"/>
  <c r="CU194" i="11"/>
  <c r="CV194" i="11"/>
  <c r="CW194" i="11"/>
  <c r="CX194" i="11"/>
  <c r="CY194" i="11"/>
  <c r="CZ194" i="11"/>
  <c r="DA194" i="11"/>
  <c r="DB194" i="11"/>
  <c r="DC194" i="11"/>
  <c r="DD194" i="11"/>
  <c r="DE194" i="11"/>
  <c r="DF194" i="11"/>
  <c r="DG194" i="11"/>
  <c r="DH194" i="11"/>
  <c r="DI194" i="11"/>
  <c r="DJ194" i="11"/>
  <c r="DK194" i="11"/>
  <c r="DL194" i="11"/>
  <c r="DM194" i="11"/>
  <c r="DN194" i="11"/>
  <c r="DO194" i="11"/>
  <c r="DP194" i="11"/>
  <c r="DQ194" i="11"/>
  <c r="DR194" i="11"/>
  <c r="DS194" i="11"/>
  <c r="DT194" i="11"/>
  <c r="DU194" i="11"/>
  <c r="DV194" i="11"/>
  <c r="DW194" i="11"/>
  <c r="DX194" i="11"/>
  <c r="DY194" i="11"/>
  <c r="DZ194" i="11"/>
  <c r="EA194" i="11"/>
  <c r="EB194" i="11"/>
  <c r="EC194" i="11"/>
  <c r="ED194" i="11"/>
  <c r="EE194" i="11"/>
  <c r="EF194" i="11"/>
  <c r="EG194" i="11"/>
  <c r="EH194" i="11"/>
  <c r="EI194" i="11"/>
  <c r="EJ194" i="11"/>
  <c r="EK194" i="11"/>
  <c r="EL194" i="11"/>
  <c r="EM194" i="11"/>
  <c r="EN194" i="11"/>
  <c r="EO194" i="11"/>
  <c r="EP194" i="11"/>
  <c r="EQ194" i="11"/>
  <c r="ER194" i="11"/>
  <c r="ES194" i="11"/>
  <c r="ET194" i="11"/>
  <c r="EU194" i="11"/>
  <c r="EV194" i="11"/>
  <c r="EW194" i="11"/>
  <c r="EX194" i="11"/>
  <c r="EY194" i="11"/>
  <c r="EZ194" i="11"/>
  <c r="FA194" i="11"/>
  <c r="FB194" i="11"/>
  <c r="FC194" i="11"/>
  <c r="FD194" i="11"/>
  <c r="FE194" i="11"/>
  <c r="FF194" i="11"/>
  <c r="FG194" i="11"/>
  <c r="FH194" i="11"/>
  <c r="FI194" i="11"/>
  <c r="FJ194" i="11"/>
  <c r="FK194" i="11"/>
  <c r="FL194" i="11"/>
  <c r="FM194" i="11"/>
  <c r="FN194" i="11"/>
  <c r="FO194" i="11"/>
  <c r="FP194" i="11"/>
  <c r="FQ194" i="11"/>
  <c r="FR194" i="11"/>
  <c r="FS194" i="11"/>
  <c r="FT194" i="11"/>
  <c r="FU194" i="11"/>
  <c r="FV194" i="11"/>
  <c r="FW194" i="11"/>
  <c r="FX194" i="11"/>
  <c r="FY194" i="11"/>
  <c r="FZ194" i="11"/>
  <c r="GA194" i="11"/>
  <c r="GB194" i="11"/>
  <c r="GC194" i="11"/>
  <c r="GD194" i="11"/>
  <c r="GE194" i="11"/>
  <c r="GF194" i="11"/>
  <c r="GG194" i="11"/>
  <c r="GH194" i="11"/>
  <c r="GI194" i="11"/>
  <c r="GJ194" i="11"/>
  <c r="GK194" i="11"/>
  <c r="GL194" i="11"/>
  <c r="GM194" i="11"/>
  <c r="GN194" i="11"/>
  <c r="GO194" i="11"/>
  <c r="GP194" i="11"/>
  <c r="GQ194" i="11"/>
  <c r="GR194" i="11"/>
  <c r="GS194" i="11"/>
  <c r="GT194" i="11"/>
  <c r="GU194" i="11"/>
  <c r="GV194" i="11"/>
  <c r="GW194" i="11"/>
  <c r="GX194" i="11"/>
  <c r="GY194" i="11"/>
  <c r="GZ194" i="11"/>
  <c r="HA194" i="11"/>
  <c r="HB194" i="11"/>
  <c r="HC194" i="11"/>
  <c r="HD194" i="11"/>
  <c r="HE194" i="11"/>
  <c r="HF194" i="11"/>
  <c r="HG194" i="11"/>
  <c r="HH194" i="11"/>
  <c r="HI194" i="11"/>
  <c r="HJ194" i="11"/>
  <c r="HK194" i="11"/>
  <c r="HL194" i="11"/>
  <c r="HM194" i="11"/>
  <c r="HN194" i="11"/>
  <c r="HO194" i="11"/>
  <c r="HP194" i="11"/>
  <c r="HQ194" i="11"/>
  <c r="HR194" i="11"/>
  <c r="HS194" i="11"/>
  <c r="HT194" i="11"/>
  <c r="HU194" i="11"/>
  <c r="HV194" i="11"/>
  <c r="HW194" i="11"/>
  <c r="HX194" i="11"/>
  <c r="HY194" i="11"/>
  <c r="HZ194" i="11"/>
  <c r="IA194" i="11"/>
  <c r="IB194" i="11"/>
  <c r="IC194" i="11"/>
  <c r="ID194" i="11"/>
  <c r="IE194" i="11"/>
  <c r="IF194" i="11"/>
  <c r="IG194" i="11"/>
  <c r="IH194" i="11"/>
  <c r="II194" i="11"/>
  <c r="IJ194" i="11"/>
  <c r="IK194" i="11"/>
  <c r="IL194" i="11"/>
  <c r="IM194" i="11"/>
  <c r="IN194" i="11"/>
  <c r="IO194" i="11"/>
  <c r="IP194" i="11"/>
  <c r="IQ194" i="11"/>
  <c r="IR194" i="11"/>
  <c r="IS194" i="11"/>
  <c r="IT194" i="11"/>
  <c r="IU194" i="11"/>
  <c r="IV194" i="11"/>
  <c r="F195" i="11"/>
  <c r="G195" i="11"/>
  <c r="H195" i="11"/>
  <c r="I195" i="11"/>
  <c r="J195" i="11"/>
  <c r="K195" i="11"/>
  <c r="L195" i="11"/>
  <c r="M195" i="11"/>
  <c r="N195" i="11"/>
  <c r="O195" i="11"/>
  <c r="P195" i="11"/>
  <c r="Q195" i="11"/>
  <c r="R195" i="11"/>
  <c r="S195" i="11"/>
  <c r="T195" i="11"/>
  <c r="U195" i="11"/>
  <c r="V195" i="11"/>
  <c r="W195" i="11"/>
  <c r="X195" i="11"/>
  <c r="Y195" i="11"/>
  <c r="Z195" i="11"/>
  <c r="AA195" i="11"/>
  <c r="AB195" i="11"/>
  <c r="AC195" i="11"/>
  <c r="AD195" i="11"/>
  <c r="AE195" i="11"/>
  <c r="AF195" i="11"/>
  <c r="AG195" i="11"/>
  <c r="AH195" i="11"/>
  <c r="AI195" i="11"/>
  <c r="AJ195" i="11"/>
  <c r="AK195" i="11"/>
  <c r="AL195" i="11"/>
  <c r="AM195" i="11"/>
  <c r="AN195" i="11"/>
  <c r="AO195" i="11"/>
  <c r="AP195" i="11"/>
  <c r="AQ195" i="11"/>
  <c r="AR195" i="11"/>
  <c r="AS195" i="11"/>
  <c r="AT195" i="11"/>
  <c r="AU195" i="11"/>
  <c r="AV195" i="11"/>
  <c r="AW195" i="11"/>
  <c r="AX195" i="11"/>
  <c r="AY195" i="11"/>
  <c r="AZ195" i="11"/>
  <c r="BA195" i="11"/>
  <c r="BB195" i="11"/>
  <c r="BC195" i="11"/>
  <c r="BD195" i="11"/>
  <c r="BE195" i="11"/>
  <c r="BF195" i="11"/>
  <c r="BG195" i="11"/>
  <c r="BH195" i="11"/>
  <c r="BI195" i="11"/>
  <c r="BJ195" i="11"/>
  <c r="BK195" i="11"/>
  <c r="BL195" i="11"/>
  <c r="BM195" i="11"/>
  <c r="BN195" i="11"/>
  <c r="BO195" i="11"/>
  <c r="BP195" i="11"/>
  <c r="BQ195" i="11"/>
  <c r="BR195" i="11"/>
  <c r="BS195" i="11"/>
  <c r="BT195" i="11"/>
  <c r="BU195" i="11"/>
  <c r="BV195" i="11"/>
  <c r="BW195" i="11"/>
  <c r="BX195" i="11"/>
  <c r="BY195" i="11"/>
  <c r="BZ195" i="11"/>
  <c r="CA195" i="11"/>
  <c r="CB195" i="11"/>
  <c r="CC195" i="11"/>
  <c r="CD195" i="11"/>
  <c r="CE195" i="11"/>
  <c r="CF195" i="11"/>
  <c r="CG195" i="11"/>
  <c r="CH195" i="11"/>
  <c r="CI195" i="11"/>
  <c r="CJ195" i="11"/>
  <c r="CK195" i="11"/>
  <c r="CL195" i="11"/>
  <c r="CM195" i="11"/>
  <c r="CN195" i="11"/>
  <c r="CO195" i="11"/>
  <c r="CP195" i="11"/>
  <c r="CQ195" i="11"/>
  <c r="CR195" i="11"/>
  <c r="CS195" i="11"/>
  <c r="CT195" i="11"/>
  <c r="CU195" i="11"/>
  <c r="CV195" i="11"/>
  <c r="CW195" i="11"/>
  <c r="CX195" i="11"/>
  <c r="CY195" i="11"/>
  <c r="CZ195" i="11"/>
  <c r="DA195" i="11"/>
  <c r="DB195" i="11"/>
  <c r="DC195" i="11"/>
  <c r="DD195" i="11"/>
  <c r="DE195" i="11"/>
  <c r="DF195" i="11"/>
  <c r="DG195" i="11"/>
  <c r="DH195" i="11"/>
  <c r="DI195" i="11"/>
  <c r="DJ195" i="11"/>
  <c r="DK195" i="11"/>
  <c r="DL195" i="11"/>
  <c r="DM195" i="11"/>
  <c r="DN195" i="11"/>
  <c r="DO195" i="11"/>
  <c r="DP195" i="11"/>
  <c r="DQ195" i="11"/>
  <c r="DR195" i="11"/>
  <c r="DS195" i="11"/>
  <c r="DT195" i="11"/>
  <c r="DU195" i="11"/>
  <c r="DV195" i="11"/>
  <c r="DW195" i="11"/>
  <c r="DX195" i="11"/>
  <c r="DY195" i="11"/>
  <c r="DZ195" i="11"/>
  <c r="EA195" i="11"/>
  <c r="EB195" i="11"/>
  <c r="EC195" i="11"/>
  <c r="ED195" i="11"/>
  <c r="EE195" i="11"/>
  <c r="EF195" i="11"/>
  <c r="EG195" i="11"/>
  <c r="EH195" i="11"/>
  <c r="EI195" i="11"/>
  <c r="EJ195" i="11"/>
  <c r="EK195" i="11"/>
  <c r="EL195" i="11"/>
  <c r="EM195" i="11"/>
  <c r="EN195" i="11"/>
  <c r="EO195" i="11"/>
  <c r="EP195" i="11"/>
  <c r="EQ195" i="11"/>
  <c r="ER195" i="11"/>
  <c r="ES195" i="11"/>
  <c r="ET195" i="11"/>
  <c r="EU195" i="11"/>
  <c r="EV195" i="11"/>
  <c r="EW195" i="11"/>
  <c r="EX195" i="11"/>
  <c r="EY195" i="11"/>
  <c r="EZ195" i="11"/>
  <c r="FA195" i="11"/>
  <c r="FB195" i="11"/>
  <c r="FC195" i="11"/>
  <c r="FD195" i="11"/>
  <c r="FE195" i="11"/>
  <c r="FF195" i="11"/>
  <c r="FG195" i="11"/>
  <c r="FH195" i="11"/>
  <c r="FI195" i="11"/>
  <c r="FJ195" i="11"/>
  <c r="FK195" i="11"/>
  <c r="FL195" i="11"/>
  <c r="FM195" i="11"/>
  <c r="FN195" i="11"/>
  <c r="FO195" i="11"/>
  <c r="FP195" i="11"/>
  <c r="FQ195" i="11"/>
  <c r="FR195" i="11"/>
  <c r="FS195" i="11"/>
  <c r="FT195" i="11"/>
  <c r="FU195" i="11"/>
  <c r="FV195" i="11"/>
  <c r="FW195" i="11"/>
  <c r="FX195" i="11"/>
  <c r="FY195" i="11"/>
  <c r="FZ195" i="11"/>
  <c r="GA195" i="11"/>
  <c r="GB195" i="11"/>
  <c r="GC195" i="11"/>
  <c r="GD195" i="11"/>
  <c r="GE195" i="11"/>
  <c r="GF195" i="11"/>
  <c r="GG195" i="11"/>
  <c r="GH195" i="11"/>
  <c r="GI195" i="11"/>
  <c r="GJ195" i="11"/>
  <c r="GK195" i="11"/>
  <c r="GL195" i="11"/>
  <c r="GM195" i="11"/>
  <c r="GN195" i="11"/>
  <c r="GO195" i="11"/>
  <c r="GP195" i="11"/>
  <c r="GQ195" i="11"/>
  <c r="GR195" i="11"/>
  <c r="GS195" i="11"/>
  <c r="GT195" i="11"/>
  <c r="GU195" i="11"/>
  <c r="GV195" i="11"/>
  <c r="GW195" i="11"/>
  <c r="GX195" i="11"/>
  <c r="GY195" i="11"/>
  <c r="GZ195" i="11"/>
  <c r="HA195" i="11"/>
  <c r="HB195" i="11"/>
  <c r="HC195" i="11"/>
  <c r="HD195" i="11"/>
  <c r="HE195" i="11"/>
  <c r="HF195" i="11"/>
  <c r="HG195" i="11"/>
  <c r="HH195" i="11"/>
  <c r="HI195" i="11"/>
  <c r="HJ195" i="11"/>
  <c r="HK195" i="11"/>
  <c r="HL195" i="11"/>
  <c r="HM195" i="11"/>
  <c r="HN195" i="11"/>
  <c r="HO195" i="11"/>
  <c r="HP195" i="11"/>
  <c r="HQ195" i="11"/>
  <c r="HR195" i="11"/>
  <c r="HS195" i="11"/>
  <c r="HT195" i="11"/>
  <c r="HU195" i="11"/>
  <c r="HV195" i="11"/>
  <c r="HW195" i="11"/>
  <c r="HX195" i="11"/>
  <c r="HY195" i="11"/>
  <c r="HZ195" i="11"/>
  <c r="IA195" i="11"/>
  <c r="IB195" i="11"/>
  <c r="IC195" i="11"/>
  <c r="ID195" i="11"/>
  <c r="IE195" i="11"/>
  <c r="IF195" i="11"/>
  <c r="IG195" i="11"/>
  <c r="IH195" i="11"/>
  <c r="II195" i="11"/>
  <c r="IJ195" i="11"/>
  <c r="IK195" i="11"/>
  <c r="IL195" i="11"/>
  <c r="IM195" i="11"/>
  <c r="IN195" i="11"/>
  <c r="IO195" i="11"/>
  <c r="IP195" i="11"/>
  <c r="IQ195" i="11"/>
  <c r="IR195" i="11"/>
  <c r="IS195" i="11"/>
  <c r="IT195" i="11"/>
  <c r="IU195" i="11"/>
  <c r="IV195" i="11"/>
  <c r="F196" i="11"/>
  <c r="G196" i="11"/>
  <c r="H196" i="11"/>
  <c r="I196" i="11"/>
  <c r="J196" i="11"/>
  <c r="K196" i="11"/>
  <c r="L196" i="11"/>
  <c r="M196" i="11"/>
  <c r="N196" i="11"/>
  <c r="O196" i="11"/>
  <c r="P196" i="11"/>
  <c r="Q196" i="11"/>
  <c r="R196" i="11"/>
  <c r="S196" i="11"/>
  <c r="T196" i="11"/>
  <c r="U196" i="11"/>
  <c r="V196" i="11"/>
  <c r="W196" i="11"/>
  <c r="X196" i="11"/>
  <c r="Y196" i="11"/>
  <c r="Z196" i="11"/>
  <c r="AA196" i="11"/>
  <c r="AB196" i="11"/>
  <c r="AC196" i="11"/>
  <c r="AD196" i="11"/>
  <c r="AE196" i="11"/>
  <c r="AF196" i="11"/>
  <c r="AG196" i="11"/>
  <c r="AH196" i="11"/>
  <c r="AI196" i="11"/>
  <c r="AJ196" i="11"/>
  <c r="AK196" i="11"/>
  <c r="AL196" i="11"/>
  <c r="AM196" i="11"/>
  <c r="AN196" i="11"/>
  <c r="AO196" i="11"/>
  <c r="AP196" i="11"/>
  <c r="AQ196" i="11"/>
  <c r="AR196" i="11"/>
  <c r="AS196" i="11"/>
  <c r="AT196" i="11"/>
  <c r="AU196" i="11"/>
  <c r="AV196" i="11"/>
  <c r="AW196" i="11"/>
  <c r="AX196" i="11"/>
  <c r="AY196" i="11"/>
  <c r="AZ196" i="11"/>
  <c r="BA196" i="11"/>
  <c r="BB196" i="11"/>
  <c r="BC196" i="11"/>
  <c r="BD196" i="11"/>
  <c r="BE196" i="11"/>
  <c r="BF196" i="11"/>
  <c r="BG196" i="11"/>
  <c r="BH196" i="11"/>
  <c r="BI196" i="11"/>
  <c r="BJ196" i="11"/>
  <c r="BK196" i="11"/>
  <c r="BL196" i="11"/>
  <c r="BM196" i="11"/>
  <c r="BN196" i="11"/>
  <c r="BO196" i="11"/>
  <c r="BP196" i="11"/>
  <c r="BQ196" i="11"/>
  <c r="BR196" i="11"/>
  <c r="BS196" i="11"/>
  <c r="BT196" i="11"/>
  <c r="BU196" i="11"/>
  <c r="BV196" i="11"/>
  <c r="BW196" i="11"/>
  <c r="BX196" i="11"/>
  <c r="BY196" i="11"/>
  <c r="BZ196" i="11"/>
  <c r="CA196" i="11"/>
  <c r="CB196" i="11"/>
  <c r="CC196" i="11"/>
  <c r="CD196" i="11"/>
  <c r="CE196" i="11"/>
  <c r="CF196" i="11"/>
  <c r="CG196" i="11"/>
  <c r="CH196" i="11"/>
  <c r="CI196" i="11"/>
  <c r="CJ196" i="11"/>
  <c r="CK196" i="11"/>
  <c r="CL196" i="11"/>
  <c r="CM196" i="11"/>
  <c r="CN196" i="11"/>
  <c r="CO196" i="11"/>
  <c r="CP196" i="11"/>
  <c r="CQ196" i="11"/>
  <c r="CR196" i="11"/>
  <c r="CS196" i="11"/>
  <c r="CT196" i="11"/>
  <c r="CU196" i="11"/>
  <c r="CV196" i="11"/>
  <c r="CW196" i="11"/>
  <c r="CX196" i="11"/>
  <c r="CY196" i="11"/>
  <c r="CZ196" i="11"/>
  <c r="DA196" i="11"/>
  <c r="DB196" i="11"/>
  <c r="DC196" i="11"/>
  <c r="DD196" i="11"/>
  <c r="DE196" i="11"/>
  <c r="DF196" i="11"/>
  <c r="DG196" i="11"/>
  <c r="DH196" i="11"/>
  <c r="DI196" i="11"/>
  <c r="DJ196" i="11"/>
  <c r="DK196" i="11"/>
  <c r="DL196" i="11"/>
  <c r="DM196" i="11"/>
  <c r="DN196" i="11"/>
  <c r="DO196" i="11"/>
  <c r="DP196" i="11"/>
  <c r="DQ196" i="11"/>
  <c r="DR196" i="11"/>
  <c r="DS196" i="11"/>
  <c r="DT196" i="11"/>
  <c r="DU196" i="11"/>
  <c r="DV196" i="11"/>
  <c r="DW196" i="11"/>
  <c r="DX196" i="11"/>
  <c r="DY196" i="11"/>
  <c r="DZ196" i="11"/>
  <c r="EA196" i="11"/>
  <c r="EB196" i="11"/>
  <c r="EC196" i="11"/>
  <c r="ED196" i="11"/>
  <c r="EE196" i="11"/>
  <c r="EF196" i="11"/>
  <c r="EG196" i="11"/>
  <c r="EH196" i="11"/>
  <c r="EI196" i="11"/>
  <c r="EJ196" i="11"/>
  <c r="EK196" i="11"/>
  <c r="EL196" i="11"/>
  <c r="EM196" i="11"/>
  <c r="EN196" i="11"/>
  <c r="EO196" i="11"/>
  <c r="EP196" i="11"/>
  <c r="EQ196" i="11"/>
  <c r="ER196" i="11"/>
  <c r="ES196" i="11"/>
  <c r="ET196" i="11"/>
  <c r="EU196" i="11"/>
  <c r="EV196" i="11"/>
  <c r="EW196" i="11"/>
  <c r="EX196" i="11"/>
  <c r="EY196" i="11"/>
  <c r="EZ196" i="11"/>
  <c r="FA196" i="11"/>
  <c r="FB196" i="11"/>
  <c r="FC196" i="11"/>
  <c r="FD196" i="11"/>
  <c r="FE196" i="11"/>
  <c r="FF196" i="11"/>
  <c r="FG196" i="11"/>
  <c r="FH196" i="11"/>
  <c r="FI196" i="11"/>
  <c r="FJ196" i="11"/>
  <c r="FK196" i="11"/>
  <c r="FL196" i="11"/>
  <c r="FM196" i="11"/>
  <c r="FN196" i="11"/>
  <c r="FO196" i="11"/>
  <c r="FP196" i="11"/>
  <c r="FQ196" i="11"/>
  <c r="FR196" i="11"/>
  <c r="FS196" i="11"/>
  <c r="FT196" i="11"/>
  <c r="FU196" i="11"/>
  <c r="FV196" i="11"/>
  <c r="FW196" i="11"/>
  <c r="FX196" i="11"/>
  <c r="FY196" i="11"/>
  <c r="FZ196" i="11"/>
  <c r="GA196" i="11"/>
  <c r="GB196" i="11"/>
  <c r="GC196" i="11"/>
  <c r="GD196" i="11"/>
  <c r="GE196" i="11"/>
  <c r="GF196" i="11"/>
  <c r="GG196" i="11"/>
  <c r="GH196" i="11"/>
  <c r="GI196" i="11"/>
  <c r="GJ196" i="11"/>
  <c r="GK196" i="11"/>
  <c r="GL196" i="11"/>
  <c r="GM196" i="11"/>
  <c r="GN196" i="11"/>
  <c r="GO196" i="11"/>
  <c r="GP196" i="11"/>
  <c r="GQ196" i="11"/>
  <c r="GR196" i="11"/>
  <c r="GS196" i="11"/>
  <c r="GT196" i="11"/>
  <c r="GU196" i="11"/>
  <c r="GV196" i="11"/>
  <c r="GW196" i="11"/>
  <c r="GX196" i="11"/>
  <c r="GY196" i="11"/>
  <c r="GZ196" i="11"/>
  <c r="HA196" i="11"/>
  <c r="HB196" i="11"/>
  <c r="HC196" i="11"/>
  <c r="HD196" i="11"/>
  <c r="HE196" i="11"/>
  <c r="HF196" i="11"/>
  <c r="HG196" i="11"/>
  <c r="HH196" i="11"/>
  <c r="HI196" i="11"/>
  <c r="HJ196" i="11"/>
  <c r="HK196" i="11"/>
  <c r="HL196" i="11"/>
  <c r="HM196" i="11"/>
  <c r="HN196" i="11"/>
  <c r="HO196" i="11"/>
  <c r="HP196" i="11"/>
  <c r="HQ196" i="11"/>
  <c r="HR196" i="11"/>
  <c r="HS196" i="11"/>
  <c r="HT196" i="11"/>
  <c r="HU196" i="11"/>
  <c r="HV196" i="11"/>
  <c r="HW196" i="11"/>
  <c r="HX196" i="11"/>
  <c r="HY196" i="11"/>
  <c r="HZ196" i="11"/>
  <c r="IA196" i="11"/>
  <c r="IB196" i="11"/>
  <c r="IC196" i="11"/>
  <c r="ID196" i="11"/>
  <c r="IE196" i="11"/>
  <c r="IF196" i="11"/>
  <c r="IG196" i="11"/>
  <c r="IH196" i="11"/>
  <c r="II196" i="11"/>
  <c r="IJ196" i="11"/>
  <c r="IK196" i="11"/>
  <c r="IL196" i="11"/>
  <c r="IM196" i="11"/>
  <c r="IN196" i="11"/>
  <c r="IO196" i="11"/>
  <c r="IP196" i="11"/>
  <c r="IQ196" i="11"/>
  <c r="IR196" i="11"/>
  <c r="IS196" i="11"/>
  <c r="IT196" i="11"/>
  <c r="IU196" i="11"/>
  <c r="IV196" i="11"/>
  <c r="F197" i="11"/>
  <c r="G197" i="11"/>
  <c r="H197" i="11"/>
  <c r="I197" i="11"/>
  <c r="J197" i="11"/>
  <c r="K197" i="11"/>
  <c r="L197" i="11"/>
  <c r="M197" i="11"/>
  <c r="N197" i="11"/>
  <c r="O197" i="11"/>
  <c r="P197" i="11"/>
  <c r="Q197" i="11"/>
  <c r="R197" i="11"/>
  <c r="S197" i="11"/>
  <c r="T197" i="11"/>
  <c r="U197" i="11"/>
  <c r="V197" i="11"/>
  <c r="W197" i="11"/>
  <c r="X197" i="11"/>
  <c r="Y197" i="11"/>
  <c r="Z197" i="11"/>
  <c r="AA197" i="11"/>
  <c r="AB197" i="11"/>
  <c r="AC197" i="11"/>
  <c r="AD197" i="11"/>
  <c r="AE197" i="11"/>
  <c r="AF197" i="11"/>
  <c r="AG197" i="11"/>
  <c r="AH197" i="11"/>
  <c r="AI197" i="11"/>
  <c r="AJ197" i="11"/>
  <c r="AK197" i="11"/>
  <c r="AL197" i="11"/>
  <c r="AM197" i="11"/>
  <c r="AN197" i="11"/>
  <c r="AO197" i="11"/>
  <c r="AP197" i="11"/>
  <c r="AQ197" i="11"/>
  <c r="AR197" i="11"/>
  <c r="AS197" i="11"/>
  <c r="AT197" i="11"/>
  <c r="AU197" i="11"/>
  <c r="AV197" i="11"/>
  <c r="AW197" i="11"/>
  <c r="AX197" i="11"/>
  <c r="AY197" i="11"/>
  <c r="AZ197" i="11"/>
  <c r="BA197" i="11"/>
  <c r="BB197" i="11"/>
  <c r="BC197" i="11"/>
  <c r="BD197" i="11"/>
  <c r="BE197" i="11"/>
  <c r="BF197" i="11"/>
  <c r="BG197" i="11"/>
  <c r="BH197" i="11"/>
  <c r="BI197" i="11"/>
  <c r="BJ197" i="11"/>
  <c r="BK197" i="11"/>
  <c r="BL197" i="11"/>
  <c r="BM197" i="11"/>
  <c r="BN197" i="11"/>
  <c r="BO197" i="11"/>
  <c r="BP197" i="11"/>
  <c r="BQ197" i="11"/>
  <c r="BR197" i="11"/>
  <c r="BS197" i="11"/>
  <c r="BT197" i="11"/>
  <c r="BU197" i="11"/>
  <c r="BV197" i="11"/>
  <c r="BW197" i="11"/>
  <c r="BX197" i="11"/>
  <c r="BY197" i="11"/>
  <c r="BZ197" i="11"/>
  <c r="CA197" i="11"/>
  <c r="CB197" i="11"/>
  <c r="CC197" i="11"/>
  <c r="CD197" i="11"/>
  <c r="CE197" i="11"/>
  <c r="CF197" i="11"/>
  <c r="CG197" i="11"/>
  <c r="CH197" i="11"/>
  <c r="CI197" i="11"/>
  <c r="CJ197" i="11"/>
  <c r="CK197" i="11"/>
  <c r="CL197" i="11"/>
  <c r="CM197" i="11"/>
  <c r="CN197" i="11"/>
  <c r="CO197" i="11"/>
  <c r="CP197" i="11"/>
  <c r="CQ197" i="11"/>
  <c r="CR197" i="11"/>
  <c r="CS197" i="11"/>
  <c r="CT197" i="11"/>
  <c r="CU197" i="11"/>
  <c r="CV197" i="11"/>
  <c r="CW197" i="11"/>
  <c r="CX197" i="11"/>
  <c r="CY197" i="11"/>
  <c r="CZ197" i="11"/>
  <c r="DA197" i="11"/>
  <c r="DB197" i="11"/>
  <c r="DC197" i="11"/>
  <c r="DD197" i="11"/>
  <c r="DE197" i="11"/>
  <c r="DF197" i="11"/>
  <c r="DG197" i="11"/>
  <c r="DH197" i="11"/>
  <c r="DI197" i="11"/>
  <c r="DJ197" i="11"/>
  <c r="DK197" i="11"/>
  <c r="DL197" i="11"/>
  <c r="DM197" i="11"/>
  <c r="DN197" i="11"/>
  <c r="DO197" i="11"/>
  <c r="DP197" i="11"/>
  <c r="DQ197" i="11"/>
  <c r="DR197" i="11"/>
  <c r="DS197" i="11"/>
  <c r="DT197" i="11"/>
  <c r="DU197" i="11"/>
  <c r="DV197" i="11"/>
  <c r="DW197" i="11"/>
  <c r="DX197" i="11"/>
  <c r="DY197" i="11"/>
  <c r="DZ197" i="11"/>
  <c r="EA197" i="11"/>
  <c r="EB197" i="11"/>
  <c r="EC197" i="11"/>
  <c r="ED197" i="11"/>
  <c r="EE197" i="11"/>
  <c r="EF197" i="11"/>
  <c r="EG197" i="11"/>
  <c r="EH197" i="11"/>
  <c r="EI197" i="11"/>
  <c r="EJ197" i="11"/>
  <c r="EK197" i="11"/>
  <c r="EL197" i="11"/>
  <c r="EM197" i="11"/>
  <c r="EN197" i="11"/>
  <c r="EO197" i="11"/>
  <c r="EP197" i="11"/>
  <c r="EQ197" i="11"/>
  <c r="ER197" i="11"/>
  <c r="ES197" i="11"/>
  <c r="ET197" i="11"/>
  <c r="EU197" i="11"/>
  <c r="EV197" i="11"/>
  <c r="EW197" i="11"/>
  <c r="EX197" i="11"/>
  <c r="EY197" i="11"/>
  <c r="EZ197" i="11"/>
  <c r="FA197" i="11"/>
  <c r="FB197" i="11"/>
  <c r="FC197" i="11"/>
  <c r="FD197" i="11"/>
  <c r="FE197" i="11"/>
  <c r="FF197" i="11"/>
  <c r="FG197" i="11"/>
  <c r="FH197" i="11"/>
  <c r="FI197" i="11"/>
  <c r="FJ197" i="11"/>
  <c r="FK197" i="11"/>
  <c r="FL197" i="11"/>
  <c r="FM197" i="11"/>
  <c r="FN197" i="11"/>
  <c r="FO197" i="11"/>
  <c r="FP197" i="11"/>
  <c r="FQ197" i="11"/>
  <c r="FR197" i="11"/>
  <c r="FS197" i="11"/>
  <c r="FT197" i="11"/>
  <c r="FU197" i="11"/>
  <c r="FV197" i="11"/>
  <c r="FW197" i="11"/>
  <c r="FX197" i="11"/>
  <c r="FY197" i="11"/>
  <c r="FZ197" i="11"/>
  <c r="GA197" i="11"/>
  <c r="GB197" i="11"/>
  <c r="GC197" i="11"/>
  <c r="GD197" i="11"/>
  <c r="GE197" i="11"/>
  <c r="GF197" i="11"/>
  <c r="GG197" i="11"/>
  <c r="GH197" i="11"/>
  <c r="GI197" i="11"/>
  <c r="GJ197" i="11"/>
  <c r="GK197" i="11"/>
  <c r="GL197" i="11"/>
  <c r="GM197" i="11"/>
  <c r="GN197" i="11"/>
  <c r="GO197" i="11"/>
  <c r="GP197" i="11"/>
  <c r="GQ197" i="11"/>
  <c r="GR197" i="11"/>
  <c r="GS197" i="11"/>
  <c r="GT197" i="11"/>
  <c r="GU197" i="11"/>
  <c r="GV197" i="11"/>
  <c r="GW197" i="11"/>
  <c r="GX197" i="11"/>
  <c r="GY197" i="11"/>
  <c r="GZ197" i="11"/>
  <c r="HA197" i="11"/>
  <c r="HB197" i="11"/>
  <c r="HC197" i="11"/>
  <c r="HD197" i="11"/>
  <c r="HE197" i="11"/>
  <c r="HF197" i="11"/>
  <c r="HG197" i="11"/>
  <c r="HH197" i="11"/>
  <c r="HI197" i="11"/>
  <c r="HJ197" i="11"/>
  <c r="HK197" i="11"/>
  <c r="HL197" i="11"/>
  <c r="HM197" i="11"/>
  <c r="HN197" i="11"/>
  <c r="HO197" i="11"/>
  <c r="HP197" i="11"/>
  <c r="HQ197" i="11"/>
  <c r="HR197" i="11"/>
  <c r="HS197" i="11"/>
  <c r="HT197" i="11"/>
  <c r="HU197" i="11"/>
  <c r="HV197" i="11"/>
  <c r="HW197" i="11"/>
  <c r="HX197" i="11"/>
  <c r="HY197" i="11"/>
  <c r="HZ197" i="11"/>
  <c r="IA197" i="11"/>
  <c r="IB197" i="11"/>
  <c r="IC197" i="11"/>
  <c r="ID197" i="11"/>
  <c r="IE197" i="11"/>
  <c r="IF197" i="11"/>
  <c r="IG197" i="11"/>
  <c r="IH197" i="11"/>
  <c r="II197" i="11"/>
  <c r="IJ197" i="11"/>
  <c r="IK197" i="11"/>
  <c r="IL197" i="11"/>
  <c r="IM197" i="11"/>
  <c r="IN197" i="11"/>
  <c r="IO197" i="11"/>
  <c r="IP197" i="11"/>
  <c r="IQ197" i="11"/>
  <c r="IR197" i="11"/>
  <c r="IS197" i="11"/>
  <c r="IT197" i="11"/>
  <c r="IU197" i="11"/>
  <c r="IV197" i="11"/>
  <c r="F198" i="11"/>
  <c r="G198" i="11"/>
  <c r="H198" i="11"/>
  <c r="I198" i="11"/>
  <c r="J198" i="11"/>
  <c r="K198" i="11"/>
  <c r="L198" i="11"/>
  <c r="M198" i="11"/>
  <c r="N198" i="11"/>
  <c r="O198" i="11"/>
  <c r="P198" i="11"/>
  <c r="Q198" i="11"/>
  <c r="R198" i="11"/>
  <c r="S198" i="11"/>
  <c r="T198" i="11"/>
  <c r="U198" i="11"/>
  <c r="V198" i="11"/>
  <c r="W198" i="11"/>
  <c r="X198" i="11"/>
  <c r="Y198" i="11"/>
  <c r="Z198" i="11"/>
  <c r="AA198" i="11"/>
  <c r="AB198" i="11"/>
  <c r="AC198" i="11"/>
  <c r="AD198" i="11"/>
  <c r="AE198" i="11"/>
  <c r="AF198" i="11"/>
  <c r="AG198" i="11"/>
  <c r="AH198" i="11"/>
  <c r="AI198" i="11"/>
  <c r="AJ198" i="11"/>
  <c r="AK198" i="11"/>
  <c r="AL198" i="11"/>
  <c r="AM198" i="11"/>
  <c r="AN198" i="11"/>
  <c r="AO198" i="11"/>
  <c r="AP198" i="11"/>
  <c r="AQ198" i="11"/>
  <c r="AR198" i="11"/>
  <c r="AS198" i="11"/>
  <c r="AT198" i="11"/>
  <c r="AU198" i="11"/>
  <c r="AV198" i="11"/>
  <c r="AW198" i="11"/>
  <c r="AX198" i="11"/>
  <c r="AY198" i="11"/>
  <c r="AZ198" i="11"/>
  <c r="BA198" i="11"/>
  <c r="BB198" i="11"/>
  <c r="BC198" i="11"/>
  <c r="BD198" i="11"/>
  <c r="BE198" i="11"/>
  <c r="BF198" i="11"/>
  <c r="BG198" i="11"/>
  <c r="BH198" i="11"/>
  <c r="BI198" i="11"/>
  <c r="BJ198" i="11"/>
  <c r="BK198" i="11"/>
  <c r="BL198" i="11"/>
  <c r="BM198" i="11"/>
  <c r="BN198" i="11"/>
  <c r="BO198" i="11"/>
  <c r="BP198" i="11"/>
  <c r="BQ198" i="11"/>
  <c r="BR198" i="11"/>
  <c r="BS198" i="11"/>
  <c r="BT198" i="11"/>
  <c r="BU198" i="11"/>
  <c r="BV198" i="11"/>
  <c r="BW198" i="11"/>
  <c r="BX198" i="11"/>
  <c r="BY198" i="11"/>
  <c r="BZ198" i="11"/>
  <c r="CA198" i="11"/>
  <c r="CB198" i="11"/>
  <c r="CC198" i="11"/>
  <c r="CD198" i="11"/>
  <c r="CE198" i="11"/>
  <c r="CF198" i="11"/>
  <c r="CG198" i="11"/>
  <c r="CH198" i="11"/>
  <c r="CI198" i="11"/>
  <c r="CJ198" i="11"/>
  <c r="CK198" i="11"/>
  <c r="CL198" i="11"/>
  <c r="CM198" i="11"/>
  <c r="CN198" i="11"/>
  <c r="CO198" i="11"/>
  <c r="CP198" i="11"/>
  <c r="CQ198" i="11"/>
  <c r="CR198" i="11"/>
  <c r="CS198" i="11"/>
  <c r="CT198" i="11"/>
  <c r="CU198" i="11"/>
  <c r="CV198" i="11"/>
  <c r="CW198" i="11"/>
  <c r="CX198" i="11"/>
  <c r="CY198" i="11"/>
  <c r="CZ198" i="11"/>
  <c r="DA198" i="11"/>
  <c r="DB198" i="11"/>
  <c r="DC198" i="11"/>
  <c r="DD198" i="11"/>
  <c r="DE198" i="11"/>
  <c r="DF198" i="11"/>
  <c r="DG198" i="11"/>
  <c r="DH198" i="11"/>
  <c r="DI198" i="11"/>
  <c r="DJ198" i="11"/>
  <c r="DK198" i="11"/>
  <c r="DL198" i="11"/>
  <c r="DM198" i="11"/>
  <c r="DN198" i="11"/>
  <c r="DO198" i="11"/>
  <c r="DP198" i="11"/>
  <c r="DQ198" i="11"/>
  <c r="DR198" i="11"/>
  <c r="DS198" i="11"/>
  <c r="DT198" i="11"/>
  <c r="DU198" i="11"/>
  <c r="DV198" i="11"/>
  <c r="DW198" i="11"/>
  <c r="DX198" i="11"/>
  <c r="DY198" i="11"/>
  <c r="DZ198" i="11"/>
  <c r="EA198" i="11"/>
  <c r="EB198" i="11"/>
  <c r="EC198" i="11"/>
  <c r="ED198" i="11"/>
  <c r="EE198" i="11"/>
  <c r="EF198" i="11"/>
  <c r="EG198" i="11"/>
  <c r="EH198" i="11"/>
  <c r="EI198" i="11"/>
  <c r="EJ198" i="11"/>
  <c r="EK198" i="11"/>
  <c r="EL198" i="11"/>
  <c r="EM198" i="11"/>
  <c r="EN198" i="11"/>
  <c r="EO198" i="11"/>
  <c r="EP198" i="11"/>
  <c r="EQ198" i="11"/>
  <c r="ER198" i="11"/>
  <c r="ES198" i="11"/>
  <c r="ET198" i="11"/>
  <c r="EU198" i="11"/>
  <c r="EV198" i="11"/>
  <c r="EW198" i="11"/>
  <c r="EX198" i="11"/>
  <c r="EY198" i="11"/>
  <c r="EZ198" i="11"/>
  <c r="FA198" i="11"/>
  <c r="FB198" i="11"/>
  <c r="FC198" i="11"/>
  <c r="FD198" i="11"/>
  <c r="FE198" i="11"/>
  <c r="FF198" i="11"/>
  <c r="FG198" i="11"/>
  <c r="FH198" i="11"/>
  <c r="FI198" i="11"/>
  <c r="FJ198" i="11"/>
  <c r="FK198" i="11"/>
  <c r="FL198" i="11"/>
  <c r="FM198" i="11"/>
  <c r="FN198" i="11"/>
  <c r="FO198" i="11"/>
  <c r="FP198" i="11"/>
  <c r="FQ198" i="11"/>
  <c r="FR198" i="11"/>
  <c r="FS198" i="11"/>
  <c r="FT198" i="11"/>
  <c r="FU198" i="11"/>
  <c r="FV198" i="11"/>
  <c r="FW198" i="11"/>
  <c r="FX198" i="11"/>
  <c r="FY198" i="11"/>
  <c r="FZ198" i="11"/>
  <c r="GA198" i="11"/>
  <c r="GB198" i="11"/>
  <c r="GC198" i="11"/>
  <c r="GD198" i="11"/>
  <c r="GE198" i="11"/>
  <c r="GF198" i="11"/>
  <c r="GG198" i="11"/>
  <c r="GH198" i="11"/>
  <c r="GI198" i="11"/>
  <c r="GJ198" i="11"/>
  <c r="GK198" i="11"/>
  <c r="GL198" i="11"/>
  <c r="GM198" i="11"/>
  <c r="GN198" i="11"/>
  <c r="GO198" i="11"/>
  <c r="GP198" i="11"/>
  <c r="GQ198" i="11"/>
  <c r="GR198" i="11"/>
  <c r="GS198" i="11"/>
  <c r="GT198" i="11"/>
  <c r="GU198" i="11"/>
  <c r="GV198" i="11"/>
  <c r="GW198" i="11"/>
  <c r="GX198" i="11"/>
  <c r="GY198" i="11"/>
  <c r="GZ198" i="11"/>
  <c r="HA198" i="11"/>
  <c r="HB198" i="11"/>
  <c r="HC198" i="11"/>
  <c r="HD198" i="11"/>
  <c r="HE198" i="11"/>
  <c r="HF198" i="11"/>
  <c r="HG198" i="11"/>
  <c r="HH198" i="11"/>
  <c r="HI198" i="11"/>
  <c r="HJ198" i="11"/>
  <c r="HK198" i="11"/>
  <c r="HL198" i="11"/>
  <c r="HM198" i="11"/>
  <c r="HN198" i="11"/>
  <c r="HO198" i="11"/>
  <c r="HP198" i="11"/>
  <c r="HQ198" i="11"/>
  <c r="HR198" i="11"/>
  <c r="HS198" i="11"/>
  <c r="HT198" i="11"/>
  <c r="HU198" i="11"/>
  <c r="HV198" i="11"/>
  <c r="HW198" i="11"/>
  <c r="HX198" i="11"/>
  <c r="HY198" i="11"/>
  <c r="HZ198" i="11"/>
  <c r="IA198" i="11"/>
  <c r="IB198" i="11"/>
  <c r="IC198" i="11"/>
  <c r="ID198" i="11"/>
  <c r="IE198" i="11"/>
  <c r="IF198" i="11"/>
  <c r="IG198" i="11"/>
  <c r="IH198" i="11"/>
  <c r="II198" i="11"/>
  <c r="IJ198" i="11"/>
  <c r="IK198" i="11"/>
  <c r="IL198" i="11"/>
  <c r="IM198" i="11"/>
  <c r="IN198" i="11"/>
  <c r="IO198" i="11"/>
  <c r="IP198" i="11"/>
  <c r="IQ198" i="11"/>
  <c r="IR198" i="11"/>
  <c r="IS198" i="11"/>
  <c r="IT198" i="11"/>
  <c r="IU198" i="11"/>
  <c r="IV198" i="11"/>
  <c r="F199" i="11"/>
  <c r="G199" i="11"/>
  <c r="H199" i="11"/>
  <c r="I199" i="11"/>
  <c r="J199" i="11"/>
  <c r="K199" i="11"/>
  <c r="L199" i="11"/>
  <c r="M199" i="11"/>
  <c r="N199" i="11"/>
  <c r="O199" i="11"/>
  <c r="P199" i="11"/>
  <c r="Q199" i="11"/>
  <c r="R199" i="11"/>
  <c r="S199" i="11"/>
  <c r="T199" i="11"/>
  <c r="U199" i="11"/>
  <c r="V199" i="11"/>
  <c r="W199" i="11"/>
  <c r="X199" i="11"/>
  <c r="Y199" i="11"/>
  <c r="Z199" i="11"/>
  <c r="AA199" i="11"/>
  <c r="AB199" i="11"/>
  <c r="AC199" i="11"/>
  <c r="AD199" i="11"/>
  <c r="AE199" i="11"/>
  <c r="AF199" i="11"/>
  <c r="AG199" i="11"/>
  <c r="AH199" i="11"/>
  <c r="AI199" i="11"/>
  <c r="AJ199" i="11"/>
  <c r="AK199" i="11"/>
  <c r="AL199" i="11"/>
  <c r="AM199" i="11"/>
  <c r="AN199" i="11"/>
  <c r="AO199" i="11"/>
  <c r="AP199" i="11"/>
  <c r="AQ199" i="11"/>
  <c r="AR199" i="11"/>
  <c r="AS199" i="11"/>
  <c r="AT199" i="11"/>
  <c r="AU199" i="11"/>
  <c r="AV199" i="11"/>
  <c r="AW199" i="11"/>
  <c r="AX199" i="11"/>
  <c r="AY199" i="11"/>
  <c r="AZ199" i="11"/>
  <c r="BA199" i="11"/>
  <c r="BB199" i="11"/>
  <c r="BC199" i="11"/>
  <c r="BD199" i="11"/>
  <c r="BE199" i="11"/>
  <c r="BF199" i="11"/>
  <c r="BG199" i="11"/>
  <c r="BH199" i="11"/>
  <c r="BI199" i="11"/>
  <c r="BJ199" i="11"/>
  <c r="BK199" i="11"/>
  <c r="BL199" i="11"/>
  <c r="BM199" i="11"/>
  <c r="BN199" i="11"/>
  <c r="BO199" i="11"/>
  <c r="BP199" i="11"/>
  <c r="BQ199" i="11"/>
  <c r="BR199" i="11"/>
  <c r="BS199" i="11"/>
  <c r="BT199" i="11"/>
  <c r="BU199" i="11"/>
  <c r="BV199" i="11"/>
  <c r="BW199" i="11"/>
  <c r="BX199" i="11"/>
  <c r="BY199" i="11"/>
  <c r="BZ199" i="11"/>
  <c r="CA199" i="11"/>
  <c r="CB199" i="11"/>
  <c r="CC199" i="11"/>
  <c r="CD199" i="11"/>
  <c r="CE199" i="11"/>
  <c r="CF199" i="11"/>
  <c r="CG199" i="11"/>
  <c r="CH199" i="11"/>
  <c r="CI199" i="11"/>
  <c r="CJ199" i="11"/>
  <c r="CK199" i="11"/>
  <c r="CL199" i="11"/>
  <c r="CM199" i="11"/>
  <c r="CN199" i="11"/>
  <c r="CO199" i="11"/>
  <c r="CP199" i="11"/>
  <c r="CQ199" i="11"/>
  <c r="CR199" i="11"/>
  <c r="CS199" i="11"/>
  <c r="CT199" i="11"/>
  <c r="CU199" i="11"/>
  <c r="CV199" i="11"/>
  <c r="CW199" i="11"/>
  <c r="CX199" i="11"/>
  <c r="CY199" i="11"/>
  <c r="CZ199" i="11"/>
  <c r="DA199" i="11"/>
  <c r="DB199" i="11"/>
  <c r="DC199" i="11"/>
  <c r="DD199" i="11"/>
  <c r="DE199" i="11"/>
  <c r="DF199" i="11"/>
  <c r="DG199" i="11"/>
  <c r="DH199" i="11"/>
  <c r="DI199" i="11"/>
  <c r="DJ199" i="11"/>
  <c r="DK199" i="11"/>
  <c r="DL199" i="11"/>
  <c r="DM199" i="11"/>
  <c r="DN199" i="11"/>
  <c r="DO199" i="11"/>
  <c r="DP199" i="11"/>
  <c r="DQ199" i="11"/>
  <c r="DR199" i="11"/>
  <c r="DS199" i="11"/>
  <c r="DT199" i="11"/>
  <c r="DU199" i="11"/>
  <c r="DV199" i="11"/>
  <c r="DW199" i="11"/>
  <c r="DX199" i="11"/>
  <c r="DY199" i="11"/>
  <c r="DZ199" i="11"/>
  <c r="EA199" i="11"/>
  <c r="EB199" i="11"/>
  <c r="EC199" i="11"/>
  <c r="ED199" i="11"/>
  <c r="EE199" i="11"/>
  <c r="EF199" i="11"/>
  <c r="EG199" i="11"/>
  <c r="EH199" i="11"/>
  <c r="EI199" i="11"/>
  <c r="EJ199" i="11"/>
  <c r="EK199" i="11"/>
  <c r="EL199" i="11"/>
  <c r="EM199" i="11"/>
  <c r="EN199" i="11"/>
  <c r="EO199" i="11"/>
  <c r="EP199" i="11"/>
  <c r="EQ199" i="11"/>
  <c r="ER199" i="11"/>
  <c r="ES199" i="11"/>
  <c r="ET199" i="11"/>
  <c r="EU199" i="11"/>
  <c r="EV199" i="11"/>
  <c r="EW199" i="11"/>
  <c r="EX199" i="11"/>
  <c r="EY199" i="11"/>
  <c r="EZ199" i="11"/>
  <c r="FA199" i="11"/>
  <c r="FB199" i="11"/>
  <c r="FC199" i="11"/>
  <c r="FD199" i="11"/>
  <c r="FE199" i="11"/>
  <c r="FF199" i="11"/>
  <c r="FG199" i="11"/>
  <c r="FH199" i="11"/>
  <c r="FI199" i="11"/>
  <c r="FJ199" i="11"/>
  <c r="FK199" i="11"/>
  <c r="FL199" i="11"/>
  <c r="FM199" i="11"/>
  <c r="FN199" i="11"/>
  <c r="FO199" i="11"/>
  <c r="FP199" i="11"/>
  <c r="FQ199" i="11"/>
  <c r="FR199" i="11"/>
  <c r="FS199" i="11"/>
  <c r="FT199" i="11"/>
  <c r="FU199" i="11"/>
  <c r="FV199" i="11"/>
  <c r="FW199" i="11"/>
  <c r="FX199" i="11"/>
  <c r="FY199" i="11"/>
  <c r="FZ199" i="11"/>
  <c r="GA199" i="11"/>
  <c r="GB199" i="11"/>
  <c r="GC199" i="11"/>
  <c r="GD199" i="11"/>
  <c r="GE199" i="11"/>
  <c r="GF199" i="11"/>
  <c r="GG199" i="11"/>
  <c r="GH199" i="11"/>
  <c r="GI199" i="11"/>
  <c r="GJ199" i="11"/>
  <c r="GK199" i="11"/>
  <c r="GL199" i="11"/>
  <c r="GM199" i="11"/>
  <c r="GN199" i="11"/>
  <c r="GO199" i="11"/>
  <c r="GP199" i="11"/>
  <c r="GQ199" i="11"/>
  <c r="GR199" i="11"/>
  <c r="GS199" i="11"/>
  <c r="GT199" i="11"/>
  <c r="GU199" i="11"/>
  <c r="GV199" i="11"/>
  <c r="GW199" i="11"/>
  <c r="GX199" i="11"/>
  <c r="GY199" i="11"/>
  <c r="GZ199" i="11"/>
  <c r="HA199" i="11"/>
  <c r="HB199" i="11"/>
  <c r="HC199" i="11"/>
  <c r="HD199" i="11"/>
  <c r="HE199" i="11"/>
  <c r="HF199" i="11"/>
  <c r="HG199" i="11"/>
  <c r="HH199" i="11"/>
  <c r="HI199" i="11"/>
  <c r="HJ199" i="11"/>
  <c r="HK199" i="11"/>
  <c r="HL199" i="11"/>
  <c r="HM199" i="11"/>
  <c r="HN199" i="11"/>
  <c r="HO199" i="11"/>
  <c r="HP199" i="11"/>
  <c r="HQ199" i="11"/>
  <c r="HR199" i="11"/>
  <c r="HS199" i="11"/>
  <c r="HT199" i="11"/>
  <c r="HU199" i="11"/>
  <c r="HV199" i="11"/>
  <c r="HW199" i="11"/>
  <c r="HX199" i="11"/>
  <c r="HY199" i="11"/>
  <c r="HZ199" i="11"/>
  <c r="IA199" i="11"/>
  <c r="IB199" i="11"/>
  <c r="IC199" i="11"/>
  <c r="ID199" i="11"/>
  <c r="IE199" i="11"/>
  <c r="IF199" i="11"/>
  <c r="IG199" i="11"/>
  <c r="IH199" i="11"/>
  <c r="II199" i="11"/>
  <c r="IJ199" i="11"/>
  <c r="IK199" i="11"/>
  <c r="IL199" i="11"/>
  <c r="IM199" i="11"/>
  <c r="IN199" i="11"/>
  <c r="IO199" i="11"/>
  <c r="IP199" i="11"/>
  <c r="IQ199" i="11"/>
  <c r="IR199" i="11"/>
  <c r="IS199" i="11"/>
  <c r="IT199" i="11"/>
  <c r="IU199" i="11"/>
  <c r="IV199" i="11"/>
  <c r="F200" i="11"/>
  <c r="G200" i="11"/>
  <c r="H200" i="11"/>
  <c r="I200" i="11"/>
  <c r="J200" i="11"/>
  <c r="K200" i="11"/>
  <c r="L200" i="11"/>
  <c r="M200" i="11"/>
  <c r="N200" i="11"/>
  <c r="O200" i="11"/>
  <c r="P200" i="11"/>
  <c r="Q200" i="11"/>
  <c r="R200" i="11"/>
  <c r="S200" i="11"/>
  <c r="T200" i="11"/>
  <c r="U200" i="11"/>
  <c r="V200" i="11"/>
  <c r="W200" i="11"/>
  <c r="X200" i="11"/>
  <c r="Y200" i="11"/>
  <c r="Z200" i="11"/>
  <c r="AA200" i="11"/>
  <c r="AB200" i="11"/>
  <c r="AC200" i="11"/>
  <c r="AD200" i="11"/>
  <c r="AE200" i="11"/>
  <c r="AF200" i="11"/>
  <c r="AG200" i="11"/>
  <c r="AH200" i="11"/>
  <c r="AI200" i="11"/>
  <c r="AJ200" i="11"/>
  <c r="AK200" i="11"/>
  <c r="AL200" i="11"/>
  <c r="AM200" i="11"/>
  <c r="AN200" i="11"/>
  <c r="AO200" i="11"/>
  <c r="AP200" i="11"/>
  <c r="AQ200" i="11"/>
  <c r="AR200" i="11"/>
  <c r="AS200" i="11"/>
  <c r="AT200" i="11"/>
  <c r="AU200" i="11"/>
  <c r="AV200" i="11"/>
  <c r="AW200" i="11"/>
  <c r="AX200" i="11"/>
  <c r="AY200" i="11"/>
  <c r="AZ200" i="11"/>
  <c r="BA200" i="11"/>
  <c r="BB200" i="11"/>
  <c r="BC200" i="11"/>
  <c r="BD200" i="11"/>
  <c r="BE200" i="11"/>
  <c r="BF200" i="11"/>
  <c r="BG200" i="11"/>
  <c r="BH200" i="11"/>
  <c r="BI200" i="11"/>
  <c r="BJ200" i="11"/>
  <c r="BK200" i="11"/>
  <c r="BL200" i="11"/>
  <c r="BM200" i="11"/>
  <c r="BN200" i="11"/>
  <c r="BO200" i="11"/>
  <c r="BP200" i="11"/>
  <c r="BQ200" i="11"/>
  <c r="BR200" i="11"/>
  <c r="BS200" i="11"/>
  <c r="BT200" i="11"/>
  <c r="BU200" i="11"/>
  <c r="BV200" i="11"/>
  <c r="BW200" i="11"/>
  <c r="BX200" i="11"/>
  <c r="BY200" i="11"/>
  <c r="BZ200" i="11"/>
  <c r="CA200" i="11"/>
  <c r="CB200" i="11"/>
  <c r="CC200" i="11"/>
  <c r="CD200" i="11"/>
  <c r="CE200" i="11"/>
  <c r="CF200" i="11"/>
  <c r="CG200" i="11"/>
  <c r="CH200" i="11"/>
  <c r="CI200" i="11"/>
  <c r="CJ200" i="11"/>
  <c r="CK200" i="11"/>
  <c r="CL200" i="11"/>
  <c r="CM200" i="11"/>
  <c r="CN200" i="11"/>
  <c r="CO200" i="11"/>
  <c r="CP200" i="11"/>
  <c r="CQ200" i="11"/>
  <c r="CR200" i="11"/>
  <c r="CS200" i="11"/>
  <c r="CT200" i="11"/>
  <c r="CU200" i="11"/>
  <c r="CV200" i="11"/>
  <c r="CW200" i="11"/>
  <c r="CX200" i="11"/>
  <c r="CY200" i="11"/>
  <c r="CZ200" i="11"/>
  <c r="DA200" i="11"/>
  <c r="DB200" i="11"/>
  <c r="DC200" i="11"/>
  <c r="DD200" i="11"/>
  <c r="DE200" i="11"/>
  <c r="DF200" i="11"/>
  <c r="DG200" i="11"/>
  <c r="DH200" i="11"/>
  <c r="DI200" i="11"/>
  <c r="DJ200" i="11"/>
  <c r="DK200" i="11"/>
  <c r="DL200" i="11"/>
  <c r="DM200" i="11"/>
  <c r="DN200" i="11"/>
  <c r="DO200" i="11"/>
  <c r="DP200" i="11"/>
  <c r="DQ200" i="11"/>
  <c r="DR200" i="11"/>
  <c r="DS200" i="11"/>
  <c r="DT200" i="11"/>
  <c r="DU200" i="11"/>
  <c r="DV200" i="11"/>
  <c r="DW200" i="11"/>
  <c r="DX200" i="11"/>
  <c r="DY200" i="11"/>
  <c r="DZ200" i="11"/>
  <c r="EA200" i="11"/>
  <c r="EB200" i="11"/>
  <c r="EC200" i="11"/>
  <c r="ED200" i="11"/>
  <c r="EE200" i="11"/>
  <c r="EF200" i="11"/>
  <c r="EG200" i="11"/>
  <c r="EH200" i="11"/>
  <c r="EI200" i="11"/>
  <c r="EJ200" i="11"/>
  <c r="EK200" i="11"/>
  <c r="EL200" i="11"/>
  <c r="EM200" i="11"/>
  <c r="EN200" i="11"/>
  <c r="EO200" i="11"/>
  <c r="EP200" i="11"/>
  <c r="EQ200" i="11"/>
  <c r="ER200" i="11"/>
  <c r="ES200" i="11"/>
  <c r="ET200" i="11"/>
  <c r="EU200" i="11"/>
  <c r="EV200" i="11"/>
  <c r="EW200" i="11"/>
  <c r="EX200" i="11"/>
  <c r="EY200" i="11"/>
  <c r="EZ200" i="11"/>
  <c r="FA200" i="11"/>
  <c r="FB200" i="11"/>
  <c r="FC200" i="11"/>
  <c r="FD200" i="11"/>
  <c r="FE200" i="11"/>
  <c r="FF200" i="11"/>
  <c r="FG200" i="11"/>
  <c r="FH200" i="11"/>
  <c r="FI200" i="11"/>
  <c r="FJ200" i="11"/>
  <c r="FK200" i="11"/>
  <c r="FL200" i="11"/>
  <c r="FM200" i="11"/>
  <c r="FN200" i="11"/>
  <c r="FO200" i="11"/>
  <c r="FP200" i="11"/>
  <c r="FQ200" i="11"/>
  <c r="FR200" i="11"/>
  <c r="FS200" i="11"/>
  <c r="FT200" i="11"/>
  <c r="FU200" i="11"/>
  <c r="FV200" i="11"/>
  <c r="FW200" i="11"/>
  <c r="FX200" i="11"/>
  <c r="FY200" i="11"/>
  <c r="FZ200" i="11"/>
  <c r="GA200" i="11"/>
  <c r="GB200" i="11"/>
  <c r="GC200" i="11"/>
  <c r="GD200" i="11"/>
  <c r="GE200" i="11"/>
  <c r="GF200" i="11"/>
  <c r="GG200" i="11"/>
  <c r="GH200" i="11"/>
  <c r="GI200" i="11"/>
  <c r="GJ200" i="11"/>
  <c r="GK200" i="11"/>
  <c r="GL200" i="11"/>
  <c r="GM200" i="11"/>
  <c r="GN200" i="11"/>
  <c r="GO200" i="11"/>
  <c r="GP200" i="11"/>
  <c r="GQ200" i="11"/>
  <c r="GR200" i="11"/>
  <c r="GS200" i="11"/>
  <c r="GT200" i="11"/>
  <c r="GU200" i="11"/>
  <c r="GV200" i="11"/>
  <c r="GW200" i="11"/>
  <c r="GX200" i="11"/>
  <c r="GY200" i="11"/>
  <c r="GZ200" i="11"/>
  <c r="HA200" i="11"/>
  <c r="HB200" i="11"/>
  <c r="HC200" i="11"/>
  <c r="HD200" i="11"/>
  <c r="HE200" i="11"/>
  <c r="HF200" i="11"/>
  <c r="HG200" i="11"/>
  <c r="HH200" i="11"/>
  <c r="HI200" i="11"/>
  <c r="HJ200" i="11"/>
  <c r="HK200" i="11"/>
  <c r="HL200" i="11"/>
  <c r="HM200" i="11"/>
  <c r="HN200" i="11"/>
  <c r="HO200" i="11"/>
  <c r="HP200" i="11"/>
  <c r="HQ200" i="11"/>
  <c r="HR200" i="11"/>
  <c r="HS200" i="11"/>
  <c r="HT200" i="11"/>
  <c r="HU200" i="11"/>
  <c r="HV200" i="11"/>
  <c r="HW200" i="11"/>
  <c r="HX200" i="11"/>
  <c r="HY200" i="11"/>
  <c r="HZ200" i="11"/>
  <c r="IA200" i="11"/>
  <c r="IB200" i="11"/>
  <c r="IC200" i="11"/>
  <c r="ID200" i="11"/>
  <c r="IE200" i="11"/>
  <c r="IF200" i="11"/>
  <c r="IG200" i="11"/>
  <c r="IH200" i="11"/>
  <c r="II200" i="11"/>
  <c r="IJ200" i="11"/>
  <c r="IK200" i="11"/>
  <c r="IL200" i="11"/>
  <c r="IM200" i="11"/>
  <c r="IN200" i="11"/>
  <c r="IO200" i="11"/>
  <c r="IP200" i="11"/>
  <c r="IQ200" i="11"/>
  <c r="IR200" i="11"/>
  <c r="IS200" i="11"/>
  <c r="IT200" i="11"/>
  <c r="IU200" i="11"/>
  <c r="IV200" i="11"/>
  <c r="F201" i="11"/>
  <c r="G201" i="11"/>
  <c r="H201" i="11"/>
  <c r="I201" i="11"/>
  <c r="J201" i="11"/>
  <c r="K201" i="11"/>
  <c r="L201" i="11"/>
  <c r="M201" i="11"/>
  <c r="N201" i="11"/>
  <c r="O201" i="11"/>
  <c r="P201" i="11"/>
  <c r="Q201" i="11"/>
  <c r="R201" i="11"/>
  <c r="S201" i="11"/>
  <c r="T201" i="11"/>
  <c r="U201" i="11"/>
  <c r="V201" i="11"/>
  <c r="W201" i="11"/>
  <c r="X201" i="11"/>
  <c r="Y201" i="11"/>
  <c r="Z201" i="11"/>
  <c r="AA201" i="11"/>
  <c r="AB201" i="11"/>
  <c r="AC201" i="11"/>
  <c r="AD201" i="11"/>
  <c r="AE201" i="11"/>
  <c r="AF201" i="11"/>
  <c r="AG201" i="11"/>
  <c r="AH201" i="11"/>
  <c r="AI201" i="11"/>
  <c r="AJ201" i="11"/>
  <c r="AK201" i="11"/>
  <c r="AL201" i="11"/>
  <c r="AM201" i="11"/>
  <c r="AN201" i="11"/>
  <c r="AO201" i="11"/>
  <c r="AP201" i="11"/>
  <c r="AQ201" i="11"/>
  <c r="AR201" i="11"/>
  <c r="AS201" i="11"/>
  <c r="AT201" i="11"/>
  <c r="AU201" i="11"/>
  <c r="AV201" i="11"/>
  <c r="AW201" i="11"/>
  <c r="AX201" i="11"/>
  <c r="AY201" i="11"/>
  <c r="AZ201" i="11"/>
  <c r="BA201" i="11"/>
  <c r="BB201" i="11"/>
  <c r="BC201" i="11"/>
  <c r="BD201" i="11"/>
  <c r="BE201" i="11"/>
  <c r="BF201" i="11"/>
  <c r="BG201" i="11"/>
  <c r="BH201" i="11"/>
  <c r="BI201" i="11"/>
  <c r="BJ201" i="11"/>
  <c r="BK201" i="11"/>
  <c r="BL201" i="11"/>
  <c r="BM201" i="11"/>
  <c r="BN201" i="11"/>
  <c r="BO201" i="11"/>
  <c r="BP201" i="11"/>
  <c r="BQ201" i="11"/>
  <c r="BR201" i="11"/>
  <c r="BS201" i="11"/>
  <c r="BT201" i="11"/>
  <c r="BU201" i="11"/>
  <c r="BV201" i="11"/>
  <c r="BW201" i="11"/>
  <c r="BX201" i="11"/>
  <c r="BY201" i="11"/>
  <c r="BZ201" i="11"/>
  <c r="CA201" i="11"/>
  <c r="CB201" i="11"/>
  <c r="CC201" i="11"/>
  <c r="CD201" i="11"/>
  <c r="CE201" i="11"/>
  <c r="CF201" i="11"/>
  <c r="CG201" i="11"/>
  <c r="CH201" i="11"/>
  <c r="CI201" i="11"/>
  <c r="CJ201" i="11"/>
  <c r="CK201" i="11"/>
  <c r="CL201" i="11"/>
  <c r="CM201" i="11"/>
  <c r="CN201" i="11"/>
  <c r="CO201" i="11"/>
  <c r="CP201" i="11"/>
  <c r="CQ201" i="11"/>
  <c r="CR201" i="11"/>
  <c r="CS201" i="11"/>
  <c r="CT201" i="11"/>
  <c r="CU201" i="11"/>
  <c r="CV201" i="11"/>
  <c r="CW201" i="11"/>
  <c r="CX201" i="11"/>
  <c r="CY201" i="11"/>
  <c r="CZ201" i="11"/>
  <c r="DA201" i="11"/>
  <c r="DB201" i="11"/>
  <c r="DC201" i="11"/>
  <c r="DD201" i="11"/>
  <c r="DE201" i="11"/>
  <c r="DF201" i="11"/>
  <c r="DG201" i="11"/>
  <c r="DH201" i="11"/>
  <c r="DI201" i="11"/>
  <c r="DJ201" i="11"/>
  <c r="DK201" i="11"/>
  <c r="DL201" i="11"/>
  <c r="DM201" i="11"/>
  <c r="DN201" i="11"/>
  <c r="DO201" i="11"/>
  <c r="DP201" i="11"/>
  <c r="DQ201" i="11"/>
  <c r="DR201" i="11"/>
  <c r="DS201" i="11"/>
  <c r="DT201" i="11"/>
  <c r="DU201" i="11"/>
  <c r="DV201" i="11"/>
  <c r="DW201" i="11"/>
  <c r="DX201" i="11"/>
  <c r="DY201" i="11"/>
  <c r="DZ201" i="11"/>
  <c r="EA201" i="11"/>
  <c r="EB201" i="11"/>
  <c r="EC201" i="11"/>
  <c r="ED201" i="11"/>
  <c r="EE201" i="11"/>
  <c r="EF201" i="11"/>
  <c r="EG201" i="11"/>
  <c r="EH201" i="11"/>
  <c r="EI201" i="11"/>
  <c r="EJ201" i="11"/>
  <c r="EK201" i="11"/>
  <c r="EL201" i="11"/>
  <c r="EM201" i="11"/>
  <c r="EN201" i="11"/>
  <c r="EO201" i="11"/>
  <c r="EP201" i="11"/>
  <c r="EQ201" i="11"/>
  <c r="ER201" i="11"/>
  <c r="ES201" i="11"/>
  <c r="ET201" i="11"/>
  <c r="EU201" i="11"/>
  <c r="EV201" i="11"/>
  <c r="EW201" i="11"/>
  <c r="EX201" i="11"/>
  <c r="EY201" i="11"/>
  <c r="EZ201" i="11"/>
  <c r="FA201" i="11"/>
  <c r="FB201" i="11"/>
  <c r="FC201" i="11"/>
  <c r="FD201" i="11"/>
  <c r="FE201" i="11"/>
  <c r="FF201" i="11"/>
  <c r="FG201" i="11"/>
  <c r="FH201" i="11"/>
  <c r="FI201" i="11"/>
  <c r="FJ201" i="11"/>
  <c r="FK201" i="11"/>
  <c r="FL201" i="11"/>
  <c r="FM201" i="11"/>
  <c r="FN201" i="11"/>
  <c r="FO201" i="11"/>
  <c r="FP201" i="11"/>
  <c r="FQ201" i="11"/>
  <c r="FR201" i="11"/>
  <c r="FS201" i="11"/>
  <c r="FT201" i="11"/>
  <c r="FU201" i="11"/>
  <c r="FV201" i="11"/>
  <c r="FW201" i="11"/>
  <c r="FX201" i="11"/>
  <c r="FY201" i="11"/>
  <c r="FZ201" i="11"/>
  <c r="GA201" i="11"/>
  <c r="GB201" i="11"/>
  <c r="GC201" i="11"/>
  <c r="GD201" i="11"/>
  <c r="GE201" i="11"/>
  <c r="GF201" i="11"/>
  <c r="GG201" i="11"/>
  <c r="GH201" i="11"/>
  <c r="GI201" i="11"/>
  <c r="GJ201" i="11"/>
  <c r="GK201" i="11"/>
  <c r="GL201" i="11"/>
  <c r="GM201" i="11"/>
  <c r="GN201" i="11"/>
  <c r="GO201" i="11"/>
  <c r="GP201" i="11"/>
  <c r="GQ201" i="11"/>
  <c r="GR201" i="11"/>
  <c r="GS201" i="11"/>
  <c r="GT201" i="11"/>
  <c r="GU201" i="11"/>
  <c r="GV201" i="11"/>
  <c r="GW201" i="11"/>
  <c r="GX201" i="11"/>
  <c r="GY201" i="11"/>
  <c r="GZ201" i="11"/>
  <c r="HA201" i="11"/>
  <c r="HB201" i="11"/>
  <c r="HC201" i="11"/>
  <c r="HD201" i="11"/>
  <c r="HE201" i="11"/>
  <c r="HF201" i="11"/>
  <c r="HG201" i="11"/>
  <c r="HH201" i="11"/>
  <c r="HI201" i="11"/>
  <c r="HJ201" i="11"/>
  <c r="HK201" i="11"/>
  <c r="HL201" i="11"/>
  <c r="HM201" i="11"/>
  <c r="HN201" i="11"/>
  <c r="HO201" i="11"/>
  <c r="HP201" i="11"/>
  <c r="HQ201" i="11"/>
  <c r="HR201" i="11"/>
  <c r="HS201" i="11"/>
  <c r="HT201" i="11"/>
  <c r="HU201" i="11"/>
  <c r="HV201" i="11"/>
  <c r="HW201" i="11"/>
  <c r="HX201" i="11"/>
  <c r="HY201" i="11"/>
  <c r="HZ201" i="11"/>
  <c r="IA201" i="11"/>
  <c r="IB201" i="11"/>
  <c r="IC201" i="11"/>
  <c r="ID201" i="11"/>
  <c r="IE201" i="11"/>
  <c r="IF201" i="11"/>
  <c r="IG201" i="11"/>
  <c r="IH201" i="11"/>
  <c r="II201" i="11"/>
  <c r="IJ201" i="11"/>
  <c r="IK201" i="11"/>
  <c r="IL201" i="11"/>
  <c r="IM201" i="11"/>
  <c r="IN201" i="11"/>
  <c r="IO201" i="11"/>
  <c r="IP201" i="11"/>
  <c r="IQ201" i="11"/>
  <c r="IR201" i="11"/>
  <c r="IS201" i="11"/>
  <c r="IT201" i="11"/>
  <c r="IU201" i="11"/>
  <c r="IV201" i="11"/>
  <c r="F202" i="11"/>
  <c r="G202" i="11"/>
  <c r="H202" i="11"/>
  <c r="I202" i="11"/>
  <c r="J202" i="11"/>
  <c r="K202" i="11"/>
  <c r="L202" i="11"/>
  <c r="M202" i="11"/>
  <c r="N202" i="11"/>
  <c r="O202" i="11"/>
  <c r="P202" i="11"/>
  <c r="Q202" i="11"/>
  <c r="R202" i="11"/>
  <c r="S202" i="11"/>
  <c r="T202" i="11"/>
  <c r="U202" i="11"/>
  <c r="V202" i="11"/>
  <c r="W202" i="11"/>
  <c r="X202" i="11"/>
  <c r="Y202" i="11"/>
  <c r="Z202" i="11"/>
  <c r="AA202" i="11"/>
  <c r="AB202" i="11"/>
  <c r="AC202" i="11"/>
  <c r="AD202" i="11"/>
  <c r="AE202" i="11"/>
  <c r="AF202" i="11"/>
  <c r="AG202" i="11"/>
  <c r="AH202" i="11"/>
  <c r="AI202" i="11"/>
  <c r="AJ202" i="11"/>
  <c r="AK202" i="11"/>
  <c r="AL202" i="11"/>
  <c r="AM202" i="11"/>
  <c r="AN202" i="11"/>
  <c r="AO202" i="11"/>
  <c r="AP202" i="11"/>
  <c r="AQ202" i="11"/>
  <c r="AR202" i="11"/>
  <c r="AS202" i="11"/>
  <c r="AT202" i="11"/>
  <c r="AU202" i="11"/>
  <c r="AV202" i="11"/>
  <c r="AW202" i="11"/>
  <c r="AX202" i="11"/>
  <c r="AY202" i="11"/>
  <c r="AZ202" i="11"/>
  <c r="BA202" i="11"/>
  <c r="BB202" i="11"/>
  <c r="BC202" i="11"/>
  <c r="BD202" i="11"/>
  <c r="BE202" i="11"/>
  <c r="BF202" i="11"/>
  <c r="BG202" i="11"/>
  <c r="BH202" i="11"/>
  <c r="BI202" i="11"/>
  <c r="BJ202" i="11"/>
  <c r="BK202" i="11"/>
  <c r="BL202" i="11"/>
  <c r="BM202" i="11"/>
  <c r="BN202" i="11"/>
  <c r="BO202" i="11"/>
  <c r="BP202" i="11"/>
  <c r="BQ202" i="11"/>
  <c r="BR202" i="11"/>
  <c r="BS202" i="11"/>
  <c r="BT202" i="11"/>
  <c r="BU202" i="11"/>
  <c r="BV202" i="11"/>
  <c r="BW202" i="11"/>
  <c r="BX202" i="11"/>
  <c r="BY202" i="11"/>
  <c r="BZ202" i="11"/>
  <c r="CA202" i="11"/>
  <c r="CB202" i="11"/>
  <c r="CC202" i="11"/>
  <c r="CD202" i="11"/>
  <c r="CE202" i="11"/>
  <c r="CF202" i="11"/>
  <c r="CG202" i="11"/>
  <c r="CH202" i="11"/>
  <c r="CI202" i="11"/>
  <c r="CJ202" i="11"/>
  <c r="CK202" i="11"/>
  <c r="CL202" i="11"/>
  <c r="CM202" i="11"/>
  <c r="CN202" i="11"/>
  <c r="CO202" i="11"/>
  <c r="CP202" i="11"/>
  <c r="CQ202" i="11"/>
  <c r="CR202" i="11"/>
  <c r="CS202" i="11"/>
  <c r="CT202" i="11"/>
  <c r="CU202" i="11"/>
  <c r="CV202" i="11"/>
  <c r="CW202" i="11"/>
  <c r="CX202" i="11"/>
  <c r="CY202" i="11"/>
  <c r="CZ202" i="11"/>
  <c r="DA202" i="11"/>
  <c r="DB202" i="11"/>
  <c r="DC202" i="11"/>
  <c r="DD202" i="11"/>
  <c r="DE202" i="11"/>
  <c r="DF202" i="11"/>
  <c r="DG202" i="11"/>
  <c r="DH202" i="11"/>
  <c r="DI202" i="11"/>
  <c r="DJ202" i="11"/>
  <c r="DK202" i="11"/>
  <c r="DL202" i="11"/>
  <c r="DM202" i="11"/>
  <c r="DN202" i="11"/>
  <c r="DO202" i="11"/>
  <c r="DP202" i="11"/>
  <c r="DQ202" i="11"/>
  <c r="DR202" i="11"/>
  <c r="DS202" i="11"/>
  <c r="DT202" i="11"/>
  <c r="DU202" i="11"/>
  <c r="DV202" i="11"/>
  <c r="DW202" i="11"/>
  <c r="DX202" i="11"/>
  <c r="DY202" i="11"/>
  <c r="DZ202" i="11"/>
  <c r="EA202" i="11"/>
  <c r="EB202" i="11"/>
  <c r="EC202" i="11"/>
  <c r="ED202" i="11"/>
  <c r="EE202" i="11"/>
  <c r="EF202" i="11"/>
  <c r="EG202" i="11"/>
  <c r="EH202" i="11"/>
  <c r="EI202" i="11"/>
  <c r="EJ202" i="11"/>
  <c r="EK202" i="11"/>
  <c r="EL202" i="11"/>
  <c r="EM202" i="11"/>
  <c r="EN202" i="11"/>
  <c r="EO202" i="11"/>
  <c r="EP202" i="11"/>
  <c r="EQ202" i="11"/>
  <c r="ER202" i="11"/>
  <c r="ES202" i="11"/>
  <c r="ET202" i="11"/>
  <c r="EU202" i="11"/>
  <c r="EV202" i="11"/>
  <c r="EW202" i="11"/>
  <c r="EX202" i="11"/>
  <c r="EY202" i="11"/>
  <c r="EZ202" i="11"/>
  <c r="FA202" i="11"/>
  <c r="FB202" i="11"/>
  <c r="FC202" i="11"/>
  <c r="FD202" i="11"/>
  <c r="FE202" i="11"/>
  <c r="FF202" i="11"/>
  <c r="FG202" i="11"/>
  <c r="FH202" i="11"/>
  <c r="FI202" i="11"/>
  <c r="FJ202" i="11"/>
  <c r="FK202" i="11"/>
  <c r="FL202" i="11"/>
  <c r="FM202" i="11"/>
  <c r="FN202" i="11"/>
  <c r="FO202" i="11"/>
  <c r="FP202" i="11"/>
  <c r="FQ202" i="11"/>
  <c r="FR202" i="11"/>
  <c r="FS202" i="11"/>
  <c r="FT202" i="11"/>
  <c r="FU202" i="11"/>
  <c r="FV202" i="11"/>
  <c r="FW202" i="11"/>
  <c r="FX202" i="11"/>
  <c r="FY202" i="11"/>
  <c r="FZ202" i="11"/>
  <c r="GA202" i="11"/>
  <c r="GB202" i="11"/>
  <c r="GC202" i="11"/>
  <c r="GD202" i="11"/>
  <c r="GE202" i="11"/>
  <c r="GF202" i="11"/>
  <c r="GG202" i="11"/>
  <c r="GH202" i="11"/>
  <c r="GI202" i="11"/>
  <c r="GJ202" i="11"/>
  <c r="GK202" i="11"/>
  <c r="GL202" i="11"/>
  <c r="GM202" i="11"/>
  <c r="GN202" i="11"/>
  <c r="GO202" i="11"/>
  <c r="GP202" i="11"/>
  <c r="GQ202" i="11"/>
  <c r="GR202" i="11"/>
  <c r="GS202" i="11"/>
  <c r="GT202" i="11"/>
  <c r="GU202" i="11"/>
  <c r="GV202" i="11"/>
  <c r="GW202" i="11"/>
  <c r="GX202" i="11"/>
  <c r="GY202" i="11"/>
  <c r="GZ202" i="11"/>
  <c r="HA202" i="11"/>
  <c r="HB202" i="11"/>
  <c r="HC202" i="11"/>
  <c r="HD202" i="11"/>
  <c r="HE202" i="11"/>
  <c r="HF202" i="11"/>
  <c r="HG202" i="11"/>
  <c r="HH202" i="11"/>
  <c r="HI202" i="11"/>
  <c r="HJ202" i="11"/>
  <c r="HK202" i="11"/>
  <c r="HL202" i="11"/>
  <c r="HM202" i="11"/>
  <c r="HN202" i="11"/>
  <c r="HO202" i="11"/>
  <c r="HP202" i="11"/>
  <c r="HQ202" i="11"/>
  <c r="HR202" i="11"/>
  <c r="HS202" i="11"/>
  <c r="HT202" i="11"/>
  <c r="HU202" i="11"/>
  <c r="HV202" i="11"/>
  <c r="HW202" i="11"/>
  <c r="HX202" i="11"/>
  <c r="HY202" i="11"/>
  <c r="HZ202" i="11"/>
  <c r="IA202" i="11"/>
  <c r="IB202" i="11"/>
  <c r="IC202" i="11"/>
  <c r="ID202" i="11"/>
  <c r="IE202" i="11"/>
  <c r="IF202" i="11"/>
  <c r="IG202" i="11"/>
  <c r="IH202" i="11"/>
  <c r="II202" i="11"/>
  <c r="IJ202" i="11"/>
  <c r="IK202" i="11"/>
  <c r="IL202" i="11"/>
  <c r="IM202" i="11"/>
  <c r="IN202" i="11"/>
  <c r="IO202" i="11"/>
  <c r="IP202" i="11"/>
  <c r="IQ202" i="11"/>
  <c r="IR202" i="11"/>
  <c r="IS202" i="11"/>
  <c r="IT202" i="11"/>
  <c r="IU202" i="11"/>
  <c r="IV202" i="11"/>
  <c r="F203" i="11"/>
  <c r="G203" i="11"/>
  <c r="H203" i="11"/>
  <c r="I203" i="11"/>
  <c r="J203" i="11"/>
  <c r="K203" i="11"/>
  <c r="L203" i="11"/>
  <c r="M203" i="11"/>
  <c r="N203" i="11"/>
  <c r="O203" i="11"/>
  <c r="P203" i="11"/>
  <c r="Q203" i="11"/>
  <c r="R203" i="11"/>
  <c r="S203" i="11"/>
  <c r="T203" i="11"/>
  <c r="U203" i="11"/>
  <c r="V203" i="11"/>
  <c r="W203" i="11"/>
  <c r="X203" i="11"/>
  <c r="Y203" i="11"/>
  <c r="Z203" i="11"/>
  <c r="AA203" i="11"/>
  <c r="AB203" i="11"/>
  <c r="AC203" i="11"/>
  <c r="AD203" i="11"/>
  <c r="AE203" i="11"/>
  <c r="AF203" i="11"/>
  <c r="AG203" i="11"/>
  <c r="AH203" i="11"/>
  <c r="AI203" i="11"/>
  <c r="AJ203" i="11"/>
  <c r="AK203" i="11"/>
  <c r="AL203" i="11"/>
  <c r="AM203" i="11"/>
  <c r="AN203" i="11"/>
  <c r="AO203" i="11"/>
  <c r="AP203" i="11"/>
  <c r="AQ203" i="11"/>
  <c r="AR203" i="11"/>
  <c r="AS203" i="11"/>
  <c r="AT203" i="11"/>
  <c r="AU203" i="11"/>
  <c r="AV203" i="11"/>
  <c r="AW203" i="11"/>
  <c r="AX203" i="11"/>
  <c r="AY203" i="11"/>
  <c r="AZ203" i="11"/>
  <c r="BA203" i="11"/>
  <c r="BB203" i="11"/>
  <c r="BC203" i="11"/>
  <c r="BD203" i="11"/>
  <c r="BE203" i="11"/>
  <c r="BF203" i="11"/>
  <c r="BG203" i="11"/>
  <c r="BH203" i="11"/>
  <c r="BI203" i="11"/>
  <c r="BJ203" i="11"/>
  <c r="BK203" i="11"/>
  <c r="BL203" i="11"/>
  <c r="BM203" i="11"/>
  <c r="BN203" i="11"/>
  <c r="BO203" i="11"/>
  <c r="BP203" i="11"/>
  <c r="BQ203" i="11"/>
  <c r="BR203" i="11"/>
  <c r="BS203" i="11"/>
  <c r="BT203" i="11"/>
  <c r="BU203" i="11"/>
  <c r="BV203" i="11"/>
  <c r="BW203" i="11"/>
  <c r="BX203" i="11"/>
  <c r="BY203" i="11"/>
  <c r="BZ203" i="11"/>
  <c r="CA203" i="11"/>
  <c r="CB203" i="11"/>
  <c r="CC203" i="11"/>
  <c r="CD203" i="11"/>
  <c r="CE203" i="11"/>
  <c r="CF203" i="11"/>
  <c r="CG203" i="11"/>
  <c r="CH203" i="11"/>
  <c r="CI203" i="11"/>
  <c r="CJ203" i="11"/>
  <c r="CK203" i="11"/>
  <c r="CL203" i="11"/>
  <c r="CM203" i="11"/>
  <c r="CN203" i="11"/>
  <c r="CO203" i="11"/>
  <c r="CP203" i="11"/>
  <c r="CQ203" i="11"/>
  <c r="CR203" i="11"/>
  <c r="CS203" i="11"/>
  <c r="CT203" i="11"/>
  <c r="CU203" i="11"/>
  <c r="CV203" i="11"/>
  <c r="CW203" i="11"/>
  <c r="CX203" i="11"/>
  <c r="CY203" i="11"/>
  <c r="CZ203" i="11"/>
  <c r="DA203" i="11"/>
  <c r="DB203" i="11"/>
  <c r="DC203" i="11"/>
  <c r="DD203" i="11"/>
  <c r="DE203" i="11"/>
  <c r="DF203" i="11"/>
  <c r="DG203" i="11"/>
  <c r="DH203" i="11"/>
  <c r="DI203" i="11"/>
  <c r="DJ203" i="11"/>
  <c r="DK203" i="11"/>
  <c r="DL203" i="11"/>
  <c r="DM203" i="11"/>
  <c r="DN203" i="11"/>
  <c r="DO203" i="11"/>
  <c r="DP203" i="11"/>
  <c r="DQ203" i="11"/>
  <c r="DR203" i="11"/>
  <c r="DS203" i="11"/>
  <c r="DT203" i="11"/>
  <c r="DU203" i="11"/>
  <c r="DV203" i="11"/>
  <c r="DW203" i="11"/>
  <c r="DX203" i="11"/>
  <c r="DY203" i="11"/>
  <c r="DZ203" i="11"/>
  <c r="EA203" i="11"/>
  <c r="EB203" i="11"/>
  <c r="EC203" i="11"/>
  <c r="ED203" i="11"/>
  <c r="EE203" i="11"/>
  <c r="EF203" i="11"/>
  <c r="EG203" i="11"/>
  <c r="EH203" i="11"/>
  <c r="EI203" i="11"/>
  <c r="EJ203" i="11"/>
  <c r="EK203" i="11"/>
  <c r="EL203" i="11"/>
  <c r="EM203" i="11"/>
  <c r="EN203" i="11"/>
  <c r="EO203" i="11"/>
  <c r="EP203" i="11"/>
  <c r="EQ203" i="11"/>
  <c r="ER203" i="11"/>
  <c r="ES203" i="11"/>
  <c r="ET203" i="11"/>
  <c r="EU203" i="11"/>
  <c r="EV203" i="11"/>
  <c r="EW203" i="11"/>
  <c r="EX203" i="11"/>
  <c r="EY203" i="11"/>
  <c r="EZ203" i="11"/>
  <c r="FA203" i="11"/>
  <c r="FB203" i="11"/>
  <c r="FC203" i="11"/>
  <c r="FD203" i="11"/>
  <c r="FE203" i="11"/>
  <c r="FF203" i="11"/>
  <c r="FG203" i="11"/>
  <c r="FH203" i="11"/>
  <c r="FI203" i="11"/>
  <c r="FJ203" i="11"/>
  <c r="FK203" i="11"/>
  <c r="FL203" i="11"/>
  <c r="FM203" i="11"/>
  <c r="FN203" i="11"/>
  <c r="FO203" i="11"/>
  <c r="FP203" i="11"/>
  <c r="FQ203" i="11"/>
  <c r="FR203" i="11"/>
  <c r="FS203" i="11"/>
  <c r="FT203" i="11"/>
  <c r="FU203" i="11"/>
  <c r="FV203" i="11"/>
  <c r="FW203" i="11"/>
  <c r="FX203" i="11"/>
  <c r="FY203" i="11"/>
  <c r="FZ203" i="11"/>
  <c r="GA203" i="11"/>
  <c r="GB203" i="11"/>
  <c r="GC203" i="11"/>
  <c r="GD203" i="11"/>
  <c r="GE203" i="11"/>
  <c r="GF203" i="11"/>
  <c r="GG203" i="11"/>
  <c r="GH203" i="11"/>
  <c r="GI203" i="11"/>
  <c r="GJ203" i="11"/>
  <c r="GK203" i="11"/>
  <c r="GL203" i="11"/>
  <c r="GM203" i="11"/>
  <c r="GN203" i="11"/>
  <c r="GO203" i="11"/>
  <c r="GP203" i="11"/>
  <c r="GQ203" i="11"/>
  <c r="GR203" i="11"/>
  <c r="GS203" i="11"/>
  <c r="GT203" i="11"/>
  <c r="GU203" i="11"/>
  <c r="GV203" i="11"/>
  <c r="GW203" i="11"/>
  <c r="GX203" i="11"/>
  <c r="GY203" i="11"/>
  <c r="GZ203" i="11"/>
  <c r="HA203" i="11"/>
  <c r="HB203" i="11"/>
  <c r="HC203" i="11"/>
  <c r="HD203" i="11"/>
  <c r="HE203" i="11"/>
  <c r="HF203" i="11"/>
  <c r="HG203" i="11"/>
  <c r="HH203" i="11"/>
  <c r="HI203" i="11"/>
  <c r="HJ203" i="11"/>
  <c r="HK203" i="11"/>
  <c r="HL203" i="11"/>
  <c r="HM203" i="11"/>
  <c r="HN203" i="11"/>
  <c r="HO203" i="11"/>
  <c r="HP203" i="11"/>
  <c r="HQ203" i="11"/>
  <c r="HR203" i="11"/>
  <c r="HS203" i="11"/>
  <c r="HT203" i="11"/>
  <c r="HU203" i="11"/>
  <c r="HV203" i="11"/>
  <c r="HW203" i="11"/>
  <c r="HX203" i="11"/>
  <c r="HY203" i="11"/>
  <c r="HZ203" i="11"/>
  <c r="IA203" i="11"/>
  <c r="IB203" i="11"/>
  <c r="IC203" i="11"/>
  <c r="ID203" i="11"/>
  <c r="IE203" i="11"/>
  <c r="IF203" i="11"/>
  <c r="IG203" i="11"/>
  <c r="IH203" i="11"/>
  <c r="II203" i="11"/>
  <c r="IJ203" i="11"/>
  <c r="IK203" i="11"/>
  <c r="IL203" i="11"/>
  <c r="IM203" i="11"/>
  <c r="IN203" i="11"/>
  <c r="IO203" i="11"/>
  <c r="IP203" i="11"/>
  <c r="IQ203" i="11"/>
  <c r="IR203" i="11"/>
  <c r="IS203" i="11"/>
  <c r="IT203" i="11"/>
  <c r="IU203" i="11"/>
  <c r="IV203" i="11"/>
  <c r="F204" i="11"/>
  <c r="G204" i="11"/>
  <c r="H204" i="11"/>
  <c r="I204" i="11"/>
  <c r="J204" i="11"/>
  <c r="K204" i="11"/>
  <c r="L204" i="11"/>
  <c r="M204" i="11"/>
  <c r="N204" i="11"/>
  <c r="O204" i="11"/>
  <c r="P204" i="11"/>
  <c r="Q204" i="11"/>
  <c r="R204" i="11"/>
  <c r="S204" i="11"/>
  <c r="T204" i="11"/>
  <c r="U204" i="11"/>
  <c r="V204" i="11"/>
  <c r="W204" i="11"/>
  <c r="X204" i="11"/>
  <c r="Y204" i="11"/>
  <c r="Z204" i="11"/>
  <c r="AA204" i="11"/>
  <c r="AB204" i="11"/>
  <c r="AC204" i="11"/>
  <c r="AD204" i="11"/>
  <c r="AE204" i="11"/>
  <c r="AF204" i="11"/>
  <c r="AG204" i="11"/>
  <c r="AH204" i="11"/>
  <c r="AI204" i="11"/>
  <c r="AJ204" i="11"/>
  <c r="AK204" i="11"/>
  <c r="AL204" i="11"/>
  <c r="AM204" i="11"/>
  <c r="AN204" i="11"/>
  <c r="AO204" i="11"/>
  <c r="AP204" i="11"/>
  <c r="AQ204" i="11"/>
  <c r="AR204" i="11"/>
  <c r="AS204" i="11"/>
  <c r="AT204" i="11"/>
  <c r="AU204" i="11"/>
  <c r="AV204" i="11"/>
  <c r="AW204" i="11"/>
  <c r="AX204" i="11"/>
  <c r="AY204" i="11"/>
  <c r="AZ204" i="11"/>
  <c r="BA204" i="11"/>
  <c r="BB204" i="11"/>
  <c r="BC204" i="11"/>
  <c r="BD204" i="11"/>
  <c r="BE204" i="11"/>
  <c r="BF204" i="11"/>
  <c r="BG204" i="11"/>
  <c r="BH204" i="11"/>
  <c r="BI204" i="11"/>
  <c r="BJ204" i="11"/>
  <c r="BK204" i="11"/>
  <c r="BL204" i="11"/>
  <c r="BM204" i="11"/>
  <c r="BN204" i="11"/>
  <c r="BO204" i="11"/>
  <c r="BP204" i="11"/>
  <c r="BQ204" i="11"/>
  <c r="BR204" i="11"/>
  <c r="BS204" i="11"/>
  <c r="BT204" i="11"/>
  <c r="BU204" i="11"/>
  <c r="BV204" i="11"/>
  <c r="BW204" i="11"/>
  <c r="BX204" i="11"/>
  <c r="BY204" i="11"/>
  <c r="BZ204" i="11"/>
  <c r="CA204" i="11"/>
  <c r="CB204" i="11"/>
  <c r="CC204" i="11"/>
  <c r="CD204" i="11"/>
  <c r="CE204" i="11"/>
  <c r="CF204" i="11"/>
  <c r="CG204" i="11"/>
  <c r="CH204" i="11"/>
  <c r="CI204" i="11"/>
  <c r="CJ204" i="11"/>
  <c r="CK204" i="11"/>
  <c r="CL204" i="11"/>
  <c r="CM204" i="11"/>
  <c r="CN204" i="11"/>
  <c r="CO204" i="11"/>
  <c r="CP204" i="11"/>
  <c r="CQ204" i="11"/>
  <c r="CR204" i="11"/>
  <c r="CS204" i="11"/>
  <c r="CT204" i="11"/>
  <c r="CU204" i="11"/>
  <c r="CV204" i="11"/>
  <c r="CW204" i="11"/>
  <c r="CX204" i="11"/>
  <c r="CY204" i="11"/>
  <c r="CZ204" i="11"/>
  <c r="DA204" i="11"/>
  <c r="DB204" i="11"/>
  <c r="DC204" i="11"/>
  <c r="DD204" i="11"/>
  <c r="DE204" i="11"/>
  <c r="DF204" i="11"/>
  <c r="DG204" i="11"/>
  <c r="DH204" i="11"/>
  <c r="DI204" i="11"/>
  <c r="DJ204" i="11"/>
  <c r="DK204" i="11"/>
  <c r="DL204" i="11"/>
  <c r="DM204" i="11"/>
  <c r="DN204" i="11"/>
  <c r="DO204" i="11"/>
  <c r="DP204" i="11"/>
  <c r="DQ204" i="11"/>
  <c r="DR204" i="11"/>
  <c r="DS204" i="11"/>
  <c r="DT204" i="11"/>
  <c r="DU204" i="11"/>
  <c r="DV204" i="11"/>
  <c r="DW204" i="11"/>
  <c r="DX204" i="11"/>
  <c r="DY204" i="11"/>
  <c r="DZ204" i="11"/>
  <c r="EA204" i="11"/>
  <c r="EB204" i="11"/>
  <c r="EC204" i="11"/>
  <c r="ED204" i="11"/>
  <c r="EE204" i="11"/>
  <c r="EF204" i="11"/>
  <c r="EG204" i="11"/>
  <c r="EH204" i="11"/>
  <c r="EI204" i="11"/>
  <c r="EJ204" i="11"/>
  <c r="EK204" i="11"/>
  <c r="EL204" i="11"/>
  <c r="EM204" i="11"/>
  <c r="EN204" i="11"/>
  <c r="EO204" i="11"/>
  <c r="EP204" i="11"/>
  <c r="EQ204" i="11"/>
  <c r="ER204" i="11"/>
  <c r="ES204" i="11"/>
  <c r="ET204" i="11"/>
  <c r="EU204" i="11"/>
  <c r="EV204" i="11"/>
  <c r="EW204" i="11"/>
  <c r="EX204" i="11"/>
  <c r="EY204" i="11"/>
  <c r="EZ204" i="11"/>
  <c r="FA204" i="11"/>
  <c r="FB204" i="11"/>
  <c r="FC204" i="11"/>
  <c r="FD204" i="11"/>
  <c r="FE204" i="11"/>
  <c r="FF204" i="11"/>
  <c r="FG204" i="11"/>
  <c r="FH204" i="11"/>
  <c r="FI204" i="11"/>
  <c r="FJ204" i="11"/>
  <c r="FK204" i="11"/>
  <c r="FL204" i="11"/>
  <c r="FM204" i="11"/>
  <c r="FN204" i="11"/>
  <c r="FO204" i="11"/>
  <c r="FP204" i="11"/>
  <c r="FQ204" i="11"/>
  <c r="FR204" i="11"/>
  <c r="FS204" i="11"/>
  <c r="FT204" i="11"/>
  <c r="FU204" i="11"/>
  <c r="FV204" i="11"/>
  <c r="FW204" i="11"/>
  <c r="FX204" i="11"/>
  <c r="FY204" i="11"/>
  <c r="FZ204" i="11"/>
  <c r="GA204" i="11"/>
  <c r="GB204" i="11"/>
  <c r="GC204" i="11"/>
  <c r="GD204" i="11"/>
  <c r="GE204" i="11"/>
  <c r="GF204" i="11"/>
  <c r="GG204" i="11"/>
  <c r="GH204" i="11"/>
  <c r="GI204" i="11"/>
  <c r="GJ204" i="11"/>
  <c r="GK204" i="11"/>
  <c r="GL204" i="11"/>
  <c r="GM204" i="11"/>
  <c r="GN204" i="11"/>
  <c r="GO204" i="11"/>
  <c r="GP204" i="11"/>
  <c r="GQ204" i="11"/>
  <c r="GR204" i="11"/>
  <c r="GS204" i="11"/>
  <c r="GT204" i="11"/>
  <c r="GU204" i="11"/>
  <c r="GV204" i="11"/>
  <c r="GW204" i="11"/>
  <c r="GX204" i="11"/>
  <c r="GY204" i="11"/>
  <c r="GZ204" i="11"/>
  <c r="HA204" i="11"/>
  <c r="HB204" i="11"/>
  <c r="HC204" i="11"/>
  <c r="HD204" i="11"/>
  <c r="HE204" i="11"/>
  <c r="HF204" i="11"/>
  <c r="HG204" i="11"/>
  <c r="HH204" i="11"/>
  <c r="HI204" i="11"/>
  <c r="HJ204" i="11"/>
  <c r="HK204" i="11"/>
  <c r="HL204" i="11"/>
  <c r="HM204" i="11"/>
  <c r="HN204" i="11"/>
  <c r="HO204" i="11"/>
  <c r="HP204" i="11"/>
  <c r="HQ204" i="11"/>
  <c r="HR204" i="11"/>
  <c r="HS204" i="11"/>
  <c r="HT204" i="11"/>
  <c r="HU204" i="11"/>
  <c r="HV204" i="11"/>
  <c r="HW204" i="11"/>
  <c r="HX204" i="11"/>
  <c r="HY204" i="11"/>
  <c r="HZ204" i="11"/>
  <c r="IA204" i="11"/>
  <c r="IB204" i="11"/>
  <c r="IC204" i="11"/>
  <c r="ID204" i="11"/>
  <c r="IE204" i="11"/>
  <c r="IF204" i="11"/>
  <c r="IG204" i="11"/>
  <c r="IH204" i="11"/>
  <c r="II204" i="11"/>
  <c r="IJ204" i="11"/>
  <c r="IK204" i="11"/>
  <c r="IL204" i="11"/>
  <c r="IM204" i="11"/>
  <c r="IN204" i="11"/>
  <c r="IO204" i="11"/>
  <c r="IP204" i="11"/>
  <c r="IQ204" i="11"/>
  <c r="IR204" i="11"/>
  <c r="IS204" i="11"/>
  <c r="IT204" i="11"/>
  <c r="IU204" i="11"/>
  <c r="IV204" i="11"/>
  <c r="F205" i="11"/>
  <c r="G205" i="11"/>
  <c r="H205" i="11"/>
  <c r="I205" i="11"/>
  <c r="J205" i="11"/>
  <c r="K205" i="11"/>
  <c r="L205" i="11"/>
  <c r="M205" i="11"/>
  <c r="N205" i="11"/>
  <c r="O205" i="11"/>
  <c r="P205" i="11"/>
  <c r="Q205" i="11"/>
  <c r="R205" i="11"/>
  <c r="S205" i="11"/>
  <c r="T205" i="11"/>
  <c r="U205" i="11"/>
  <c r="V205" i="11"/>
  <c r="W205" i="11"/>
  <c r="X205" i="11"/>
  <c r="Y205" i="11"/>
  <c r="Z205" i="11"/>
  <c r="AA205" i="11"/>
  <c r="AB205" i="11"/>
  <c r="AC205" i="11"/>
  <c r="AD205" i="11"/>
  <c r="AE205" i="11"/>
  <c r="AF205" i="11"/>
  <c r="AG205" i="11"/>
  <c r="AH205" i="11"/>
  <c r="AI205" i="11"/>
  <c r="AJ205" i="11"/>
  <c r="AK205" i="11"/>
  <c r="AL205" i="11"/>
  <c r="AM205" i="11"/>
  <c r="AN205" i="11"/>
  <c r="AO205" i="11"/>
  <c r="AP205" i="11"/>
  <c r="AQ205" i="11"/>
  <c r="AR205" i="11"/>
  <c r="AS205" i="11"/>
  <c r="AT205" i="11"/>
  <c r="AU205" i="11"/>
  <c r="AV205" i="11"/>
  <c r="AW205" i="11"/>
  <c r="AX205" i="11"/>
  <c r="AY205" i="11"/>
  <c r="AZ205" i="11"/>
  <c r="BA205" i="11"/>
  <c r="BB205" i="11"/>
  <c r="BC205" i="11"/>
  <c r="BD205" i="11"/>
  <c r="BE205" i="11"/>
  <c r="BF205" i="11"/>
  <c r="BG205" i="11"/>
  <c r="BH205" i="11"/>
  <c r="BI205" i="11"/>
  <c r="BJ205" i="11"/>
  <c r="BK205" i="11"/>
  <c r="BL205" i="11"/>
  <c r="BM205" i="11"/>
  <c r="BN205" i="11"/>
  <c r="BO205" i="11"/>
  <c r="BP205" i="11"/>
  <c r="BQ205" i="11"/>
  <c r="BR205" i="11"/>
  <c r="BS205" i="11"/>
  <c r="BT205" i="11"/>
  <c r="BU205" i="11"/>
  <c r="BV205" i="11"/>
  <c r="BW205" i="11"/>
  <c r="BX205" i="11"/>
  <c r="BY205" i="11"/>
  <c r="BZ205" i="11"/>
  <c r="CA205" i="11"/>
  <c r="CB205" i="11"/>
  <c r="CC205" i="11"/>
  <c r="CD205" i="11"/>
  <c r="CE205" i="11"/>
  <c r="CF205" i="11"/>
  <c r="CG205" i="11"/>
  <c r="CH205" i="11"/>
  <c r="CI205" i="11"/>
  <c r="CJ205" i="11"/>
  <c r="CK205" i="11"/>
  <c r="CL205" i="11"/>
  <c r="CM205" i="11"/>
  <c r="CN205" i="11"/>
  <c r="CO205" i="11"/>
  <c r="CP205" i="11"/>
  <c r="CQ205" i="11"/>
  <c r="CR205" i="11"/>
  <c r="CS205" i="11"/>
  <c r="CT205" i="11"/>
  <c r="CU205" i="11"/>
  <c r="CV205" i="11"/>
  <c r="CW205" i="11"/>
  <c r="CX205" i="11"/>
  <c r="CY205" i="11"/>
  <c r="CZ205" i="11"/>
  <c r="DA205" i="11"/>
  <c r="DB205" i="11"/>
  <c r="DC205" i="11"/>
  <c r="DD205" i="11"/>
  <c r="DE205" i="11"/>
  <c r="DF205" i="11"/>
  <c r="DG205" i="11"/>
  <c r="DH205" i="11"/>
  <c r="DI205" i="11"/>
  <c r="DJ205" i="11"/>
  <c r="DK205" i="11"/>
  <c r="DL205" i="11"/>
  <c r="DM205" i="11"/>
  <c r="DN205" i="11"/>
  <c r="DO205" i="11"/>
  <c r="DP205" i="11"/>
  <c r="DQ205" i="11"/>
  <c r="DR205" i="11"/>
  <c r="DS205" i="11"/>
  <c r="DT205" i="11"/>
  <c r="DU205" i="11"/>
  <c r="DV205" i="11"/>
  <c r="DW205" i="11"/>
  <c r="DX205" i="11"/>
  <c r="DY205" i="11"/>
  <c r="DZ205" i="11"/>
  <c r="EA205" i="11"/>
  <c r="EB205" i="11"/>
  <c r="EC205" i="11"/>
  <c r="ED205" i="11"/>
  <c r="EE205" i="11"/>
  <c r="EF205" i="11"/>
  <c r="EG205" i="11"/>
  <c r="EH205" i="11"/>
  <c r="EI205" i="11"/>
  <c r="EJ205" i="11"/>
  <c r="EK205" i="11"/>
  <c r="EL205" i="11"/>
  <c r="EM205" i="11"/>
  <c r="EN205" i="11"/>
  <c r="EO205" i="11"/>
  <c r="EP205" i="11"/>
  <c r="EQ205" i="11"/>
  <c r="ER205" i="11"/>
  <c r="ES205" i="11"/>
  <c r="ET205" i="11"/>
  <c r="EU205" i="11"/>
  <c r="EV205" i="11"/>
  <c r="EW205" i="11"/>
  <c r="EX205" i="11"/>
  <c r="EY205" i="11"/>
  <c r="EZ205" i="11"/>
  <c r="FA205" i="11"/>
  <c r="FB205" i="11"/>
  <c r="FC205" i="11"/>
  <c r="FD205" i="11"/>
  <c r="FE205" i="11"/>
  <c r="FF205" i="11"/>
  <c r="FG205" i="11"/>
  <c r="FH205" i="11"/>
  <c r="FI205" i="11"/>
  <c r="FJ205" i="11"/>
  <c r="FK205" i="11"/>
  <c r="FL205" i="11"/>
  <c r="FM205" i="11"/>
  <c r="FN205" i="11"/>
  <c r="FO205" i="11"/>
  <c r="FP205" i="11"/>
  <c r="FQ205" i="11"/>
  <c r="FR205" i="11"/>
  <c r="FS205" i="11"/>
  <c r="FT205" i="11"/>
  <c r="FU205" i="11"/>
  <c r="FV205" i="11"/>
  <c r="FW205" i="11"/>
  <c r="FX205" i="11"/>
  <c r="FY205" i="11"/>
  <c r="FZ205" i="11"/>
  <c r="GA205" i="11"/>
  <c r="GB205" i="11"/>
  <c r="GC205" i="11"/>
  <c r="GD205" i="11"/>
  <c r="GE205" i="11"/>
  <c r="GF205" i="11"/>
  <c r="GG205" i="11"/>
  <c r="GH205" i="11"/>
  <c r="GI205" i="11"/>
  <c r="GJ205" i="11"/>
  <c r="GK205" i="11"/>
  <c r="GL205" i="11"/>
  <c r="GM205" i="11"/>
  <c r="GN205" i="11"/>
  <c r="GO205" i="11"/>
  <c r="GP205" i="11"/>
  <c r="GQ205" i="11"/>
  <c r="GR205" i="11"/>
  <c r="GS205" i="11"/>
  <c r="GT205" i="11"/>
  <c r="GU205" i="11"/>
  <c r="GV205" i="11"/>
  <c r="GW205" i="11"/>
  <c r="GX205" i="11"/>
  <c r="GY205" i="11"/>
  <c r="GZ205" i="11"/>
  <c r="HA205" i="11"/>
  <c r="HB205" i="11"/>
  <c r="HC205" i="11"/>
  <c r="HD205" i="11"/>
  <c r="HE205" i="11"/>
  <c r="HF205" i="11"/>
  <c r="HG205" i="11"/>
  <c r="HH205" i="11"/>
  <c r="HI205" i="11"/>
  <c r="HJ205" i="11"/>
  <c r="HK205" i="11"/>
  <c r="HL205" i="11"/>
  <c r="HM205" i="11"/>
  <c r="HN205" i="11"/>
  <c r="HO205" i="11"/>
  <c r="HP205" i="11"/>
  <c r="HQ205" i="11"/>
  <c r="HR205" i="11"/>
  <c r="HS205" i="11"/>
  <c r="HT205" i="11"/>
  <c r="HU205" i="11"/>
  <c r="HV205" i="11"/>
  <c r="HW205" i="11"/>
  <c r="HX205" i="11"/>
  <c r="HY205" i="11"/>
  <c r="HZ205" i="11"/>
  <c r="IA205" i="11"/>
  <c r="IB205" i="11"/>
  <c r="IC205" i="11"/>
  <c r="ID205" i="11"/>
  <c r="IE205" i="11"/>
  <c r="IF205" i="11"/>
  <c r="IG205" i="11"/>
  <c r="IH205" i="11"/>
  <c r="II205" i="11"/>
  <c r="IJ205" i="11"/>
  <c r="IK205" i="11"/>
  <c r="IL205" i="11"/>
  <c r="IM205" i="11"/>
  <c r="IN205" i="11"/>
  <c r="IO205" i="11"/>
  <c r="IP205" i="11"/>
  <c r="IQ205" i="11"/>
  <c r="IR205" i="11"/>
  <c r="IS205" i="11"/>
  <c r="IT205" i="11"/>
  <c r="IU205" i="11"/>
  <c r="IV205" i="11"/>
  <c r="F206" i="11"/>
  <c r="G206" i="11"/>
  <c r="H206" i="11"/>
  <c r="I206" i="11"/>
  <c r="J206" i="11"/>
  <c r="K206" i="11"/>
  <c r="L206" i="11"/>
  <c r="M206" i="11"/>
  <c r="N206" i="11"/>
  <c r="O206" i="11"/>
  <c r="P206" i="11"/>
  <c r="Q206" i="11"/>
  <c r="R206" i="11"/>
  <c r="S206" i="11"/>
  <c r="T206" i="11"/>
  <c r="U206" i="11"/>
  <c r="V206" i="11"/>
  <c r="W206" i="11"/>
  <c r="X206" i="11"/>
  <c r="Y206" i="11"/>
  <c r="Z206" i="11"/>
  <c r="AA206" i="11"/>
  <c r="AB206" i="11"/>
  <c r="AC206" i="11"/>
  <c r="AD206" i="11"/>
  <c r="AE206" i="11"/>
  <c r="AF206" i="11"/>
  <c r="AG206" i="11"/>
  <c r="AH206" i="11"/>
  <c r="AI206" i="11"/>
  <c r="AJ206" i="11"/>
  <c r="AK206" i="11"/>
  <c r="AL206" i="11"/>
  <c r="AM206" i="11"/>
  <c r="AN206" i="11"/>
  <c r="AO206" i="11"/>
  <c r="AP206" i="11"/>
  <c r="AQ206" i="11"/>
  <c r="AR206" i="11"/>
  <c r="AS206" i="11"/>
  <c r="AT206" i="11"/>
  <c r="AU206" i="11"/>
  <c r="AV206" i="11"/>
  <c r="AW206" i="11"/>
  <c r="AX206" i="11"/>
  <c r="AY206" i="11"/>
  <c r="AZ206" i="11"/>
  <c r="BA206" i="11"/>
  <c r="BB206" i="11"/>
  <c r="BC206" i="11"/>
  <c r="BD206" i="11"/>
  <c r="BE206" i="11"/>
  <c r="BF206" i="11"/>
  <c r="BG206" i="11"/>
  <c r="BH206" i="11"/>
  <c r="BI206" i="11"/>
  <c r="BJ206" i="11"/>
  <c r="BK206" i="11"/>
  <c r="BL206" i="11"/>
  <c r="BM206" i="11"/>
  <c r="BN206" i="11"/>
  <c r="BO206" i="11"/>
  <c r="BP206" i="11"/>
  <c r="BQ206" i="11"/>
  <c r="BR206" i="11"/>
  <c r="BS206" i="11"/>
  <c r="BT206" i="11"/>
  <c r="BU206" i="11"/>
  <c r="BV206" i="11"/>
  <c r="BW206" i="11"/>
  <c r="BX206" i="11"/>
  <c r="BY206" i="11"/>
  <c r="BZ206" i="11"/>
  <c r="CA206" i="11"/>
  <c r="CB206" i="11"/>
  <c r="CC206" i="11"/>
  <c r="CD206" i="11"/>
  <c r="CE206" i="11"/>
  <c r="CF206" i="11"/>
  <c r="CG206" i="11"/>
  <c r="CH206" i="11"/>
  <c r="CI206" i="11"/>
  <c r="CJ206" i="11"/>
  <c r="CK206" i="11"/>
  <c r="CL206" i="11"/>
  <c r="CM206" i="11"/>
  <c r="CN206" i="11"/>
  <c r="CO206" i="11"/>
  <c r="CP206" i="11"/>
  <c r="CQ206" i="11"/>
  <c r="CR206" i="11"/>
  <c r="CS206" i="11"/>
  <c r="CT206" i="11"/>
  <c r="CU206" i="11"/>
  <c r="CV206" i="11"/>
  <c r="CW206" i="11"/>
  <c r="CX206" i="11"/>
  <c r="CY206" i="11"/>
  <c r="CZ206" i="11"/>
  <c r="DA206" i="11"/>
  <c r="DB206" i="11"/>
  <c r="DC206" i="11"/>
  <c r="DD206" i="11"/>
  <c r="DE206" i="11"/>
  <c r="DF206" i="11"/>
  <c r="DG206" i="11"/>
  <c r="DH206" i="11"/>
  <c r="DI206" i="11"/>
  <c r="DJ206" i="11"/>
  <c r="DK206" i="11"/>
  <c r="DL206" i="11"/>
  <c r="DM206" i="11"/>
  <c r="DN206" i="11"/>
  <c r="DO206" i="11"/>
  <c r="DP206" i="11"/>
  <c r="DQ206" i="11"/>
  <c r="DR206" i="11"/>
  <c r="DS206" i="11"/>
  <c r="DT206" i="11"/>
  <c r="DU206" i="11"/>
  <c r="DV206" i="11"/>
  <c r="DW206" i="11"/>
  <c r="DX206" i="11"/>
  <c r="DY206" i="11"/>
  <c r="DZ206" i="11"/>
  <c r="EA206" i="11"/>
  <c r="EB206" i="11"/>
  <c r="EC206" i="11"/>
  <c r="ED206" i="11"/>
  <c r="EE206" i="11"/>
  <c r="EF206" i="11"/>
  <c r="EG206" i="11"/>
  <c r="EH206" i="11"/>
  <c r="EI206" i="11"/>
  <c r="EJ206" i="11"/>
  <c r="EK206" i="11"/>
  <c r="EL206" i="11"/>
  <c r="EM206" i="11"/>
  <c r="EN206" i="11"/>
  <c r="EO206" i="11"/>
  <c r="EP206" i="11"/>
  <c r="EQ206" i="11"/>
  <c r="ER206" i="11"/>
  <c r="ES206" i="11"/>
  <c r="ET206" i="11"/>
  <c r="EU206" i="11"/>
  <c r="EV206" i="11"/>
  <c r="EW206" i="11"/>
  <c r="EX206" i="11"/>
  <c r="EY206" i="11"/>
  <c r="EZ206" i="11"/>
  <c r="FA206" i="11"/>
  <c r="FB206" i="11"/>
  <c r="FC206" i="11"/>
  <c r="FD206" i="11"/>
  <c r="FE206" i="11"/>
  <c r="FF206" i="11"/>
  <c r="FG206" i="11"/>
  <c r="FH206" i="11"/>
  <c r="FI206" i="11"/>
  <c r="FJ206" i="11"/>
  <c r="FK206" i="11"/>
  <c r="FL206" i="11"/>
  <c r="FM206" i="11"/>
  <c r="FN206" i="11"/>
  <c r="FO206" i="11"/>
  <c r="FP206" i="11"/>
  <c r="FQ206" i="11"/>
  <c r="FR206" i="11"/>
  <c r="FS206" i="11"/>
  <c r="FT206" i="11"/>
  <c r="FU206" i="11"/>
  <c r="FV206" i="11"/>
  <c r="FW206" i="11"/>
  <c r="FX206" i="11"/>
  <c r="FY206" i="11"/>
  <c r="FZ206" i="11"/>
  <c r="GA206" i="11"/>
  <c r="GB206" i="11"/>
  <c r="GC206" i="11"/>
  <c r="GD206" i="11"/>
  <c r="GE206" i="11"/>
  <c r="GF206" i="11"/>
  <c r="GG206" i="11"/>
  <c r="GH206" i="11"/>
  <c r="GI206" i="11"/>
  <c r="GJ206" i="11"/>
  <c r="GK206" i="11"/>
  <c r="GL206" i="11"/>
  <c r="GM206" i="11"/>
  <c r="GN206" i="11"/>
  <c r="GO206" i="11"/>
  <c r="GP206" i="11"/>
  <c r="GQ206" i="11"/>
  <c r="GR206" i="11"/>
  <c r="GS206" i="11"/>
  <c r="GT206" i="11"/>
  <c r="GU206" i="11"/>
  <c r="GV206" i="11"/>
  <c r="GW206" i="11"/>
  <c r="GX206" i="11"/>
  <c r="GY206" i="11"/>
  <c r="GZ206" i="11"/>
  <c r="HA206" i="11"/>
  <c r="HB206" i="11"/>
  <c r="HC206" i="11"/>
  <c r="HD206" i="11"/>
  <c r="HE206" i="11"/>
  <c r="HF206" i="11"/>
  <c r="HG206" i="11"/>
  <c r="HH206" i="11"/>
  <c r="HI206" i="11"/>
  <c r="HJ206" i="11"/>
  <c r="HK206" i="11"/>
  <c r="HL206" i="11"/>
  <c r="HM206" i="11"/>
  <c r="HN206" i="11"/>
  <c r="HO206" i="11"/>
  <c r="HP206" i="11"/>
  <c r="HQ206" i="11"/>
  <c r="HR206" i="11"/>
  <c r="HS206" i="11"/>
  <c r="HT206" i="11"/>
  <c r="HU206" i="11"/>
  <c r="HV206" i="11"/>
  <c r="HW206" i="11"/>
  <c r="HX206" i="11"/>
  <c r="HY206" i="11"/>
  <c r="HZ206" i="11"/>
  <c r="IA206" i="11"/>
  <c r="IB206" i="11"/>
  <c r="IC206" i="11"/>
  <c r="ID206" i="11"/>
  <c r="IE206" i="11"/>
  <c r="IF206" i="11"/>
  <c r="IG206" i="11"/>
  <c r="IH206" i="11"/>
  <c r="II206" i="11"/>
  <c r="IJ206" i="11"/>
  <c r="IK206" i="11"/>
  <c r="IL206" i="11"/>
  <c r="IM206" i="11"/>
  <c r="IN206" i="11"/>
  <c r="IO206" i="11"/>
  <c r="IP206" i="11"/>
  <c r="IQ206" i="11"/>
  <c r="IR206" i="11"/>
  <c r="IS206" i="11"/>
  <c r="IT206" i="11"/>
  <c r="IU206" i="11"/>
  <c r="IV206" i="11"/>
  <c r="F207" i="11"/>
  <c r="G207" i="11"/>
  <c r="H207" i="11"/>
  <c r="I207" i="11"/>
  <c r="J207" i="11"/>
  <c r="K207" i="11"/>
  <c r="L207" i="11"/>
  <c r="M207" i="11"/>
  <c r="N207" i="11"/>
  <c r="O207" i="11"/>
  <c r="P207" i="11"/>
  <c r="Q207" i="11"/>
  <c r="R207" i="11"/>
  <c r="S207" i="11"/>
  <c r="T207" i="11"/>
  <c r="U207" i="11"/>
  <c r="V207" i="11"/>
  <c r="W207" i="11"/>
  <c r="X207" i="11"/>
  <c r="Y207" i="11"/>
  <c r="Z207" i="11"/>
  <c r="AA207" i="11"/>
  <c r="AB207" i="11"/>
  <c r="AC207" i="11"/>
  <c r="AD207" i="11"/>
  <c r="AE207" i="11"/>
  <c r="AF207" i="11"/>
  <c r="AG207" i="11"/>
  <c r="AH207" i="11"/>
  <c r="AI207" i="11"/>
  <c r="AJ207" i="11"/>
  <c r="AK207" i="11"/>
  <c r="AL207" i="11"/>
  <c r="AM207" i="11"/>
  <c r="AN207" i="11"/>
  <c r="AO207" i="11"/>
  <c r="AP207" i="11"/>
  <c r="AQ207" i="11"/>
  <c r="AR207" i="11"/>
  <c r="AS207" i="11"/>
  <c r="AT207" i="11"/>
  <c r="AU207" i="11"/>
  <c r="AV207" i="11"/>
  <c r="AW207" i="11"/>
  <c r="AX207" i="11"/>
  <c r="AY207" i="11"/>
  <c r="AZ207" i="11"/>
  <c r="BA207" i="11"/>
  <c r="BB207" i="11"/>
  <c r="BC207" i="11"/>
  <c r="BD207" i="11"/>
  <c r="BE207" i="11"/>
  <c r="BF207" i="11"/>
  <c r="BG207" i="11"/>
  <c r="BH207" i="11"/>
  <c r="BI207" i="11"/>
  <c r="BJ207" i="11"/>
  <c r="BK207" i="11"/>
  <c r="BL207" i="11"/>
  <c r="BM207" i="11"/>
  <c r="BN207" i="11"/>
  <c r="BO207" i="11"/>
  <c r="BP207" i="11"/>
  <c r="BQ207" i="11"/>
  <c r="BR207" i="11"/>
  <c r="BS207" i="11"/>
  <c r="BT207" i="11"/>
  <c r="BU207" i="11"/>
  <c r="BV207" i="11"/>
  <c r="BW207" i="11"/>
  <c r="BX207" i="11"/>
  <c r="BY207" i="11"/>
  <c r="BZ207" i="11"/>
  <c r="CA207" i="11"/>
  <c r="CB207" i="11"/>
  <c r="CC207" i="11"/>
  <c r="CD207" i="11"/>
  <c r="CE207" i="11"/>
  <c r="CF207" i="11"/>
  <c r="CG207" i="11"/>
  <c r="CH207" i="11"/>
  <c r="CI207" i="11"/>
  <c r="CJ207" i="11"/>
  <c r="CK207" i="11"/>
  <c r="CL207" i="11"/>
  <c r="CM207" i="11"/>
  <c r="CN207" i="11"/>
  <c r="CO207" i="11"/>
  <c r="CP207" i="11"/>
  <c r="CQ207" i="11"/>
  <c r="CR207" i="11"/>
  <c r="CS207" i="11"/>
  <c r="CT207" i="11"/>
  <c r="CU207" i="11"/>
  <c r="CV207" i="11"/>
  <c r="CW207" i="11"/>
  <c r="CX207" i="11"/>
  <c r="CY207" i="11"/>
  <c r="CZ207" i="11"/>
  <c r="DA207" i="11"/>
  <c r="DB207" i="11"/>
  <c r="DC207" i="11"/>
  <c r="DD207" i="11"/>
  <c r="DE207" i="11"/>
  <c r="DF207" i="11"/>
  <c r="DG207" i="11"/>
  <c r="DH207" i="11"/>
  <c r="DI207" i="11"/>
  <c r="DJ207" i="11"/>
  <c r="DK207" i="11"/>
  <c r="DL207" i="11"/>
  <c r="DM207" i="11"/>
  <c r="DN207" i="11"/>
  <c r="DO207" i="11"/>
  <c r="DP207" i="11"/>
  <c r="DQ207" i="11"/>
  <c r="DR207" i="11"/>
  <c r="DS207" i="11"/>
  <c r="DT207" i="11"/>
  <c r="DU207" i="11"/>
  <c r="DV207" i="11"/>
  <c r="DW207" i="11"/>
  <c r="DX207" i="11"/>
  <c r="DY207" i="11"/>
  <c r="DZ207" i="11"/>
  <c r="EA207" i="11"/>
  <c r="EB207" i="11"/>
  <c r="EC207" i="11"/>
  <c r="ED207" i="11"/>
  <c r="EE207" i="11"/>
  <c r="EF207" i="11"/>
  <c r="EG207" i="11"/>
  <c r="EH207" i="11"/>
  <c r="EI207" i="11"/>
  <c r="EJ207" i="11"/>
  <c r="EK207" i="11"/>
  <c r="EL207" i="11"/>
  <c r="EM207" i="11"/>
  <c r="EN207" i="11"/>
  <c r="EO207" i="11"/>
  <c r="EP207" i="11"/>
  <c r="EQ207" i="11"/>
  <c r="ER207" i="11"/>
  <c r="ES207" i="11"/>
  <c r="ET207" i="11"/>
  <c r="EU207" i="11"/>
  <c r="EV207" i="11"/>
  <c r="EW207" i="11"/>
  <c r="EX207" i="11"/>
  <c r="EY207" i="11"/>
  <c r="EZ207" i="11"/>
  <c r="FA207" i="11"/>
  <c r="FB207" i="11"/>
  <c r="FC207" i="11"/>
  <c r="FD207" i="11"/>
  <c r="FE207" i="11"/>
  <c r="FF207" i="11"/>
  <c r="FG207" i="11"/>
  <c r="FH207" i="11"/>
  <c r="FI207" i="11"/>
  <c r="FJ207" i="11"/>
  <c r="FK207" i="11"/>
  <c r="FL207" i="11"/>
  <c r="FM207" i="11"/>
  <c r="FN207" i="11"/>
  <c r="FO207" i="11"/>
  <c r="FP207" i="11"/>
  <c r="FQ207" i="11"/>
  <c r="FR207" i="11"/>
  <c r="FS207" i="11"/>
  <c r="FT207" i="11"/>
  <c r="FU207" i="11"/>
  <c r="FV207" i="11"/>
  <c r="FW207" i="11"/>
  <c r="FX207" i="11"/>
  <c r="FY207" i="11"/>
  <c r="FZ207" i="11"/>
  <c r="GA207" i="11"/>
  <c r="GB207" i="11"/>
  <c r="GC207" i="11"/>
  <c r="GD207" i="11"/>
  <c r="GE207" i="11"/>
  <c r="GF207" i="11"/>
  <c r="GG207" i="11"/>
  <c r="GH207" i="11"/>
  <c r="GI207" i="11"/>
  <c r="GJ207" i="11"/>
  <c r="GK207" i="11"/>
  <c r="GL207" i="11"/>
  <c r="GM207" i="11"/>
  <c r="GN207" i="11"/>
  <c r="GO207" i="11"/>
  <c r="GP207" i="11"/>
  <c r="GQ207" i="11"/>
  <c r="GR207" i="11"/>
  <c r="GS207" i="11"/>
  <c r="GT207" i="11"/>
  <c r="GU207" i="11"/>
  <c r="GV207" i="11"/>
  <c r="GW207" i="11"/>
  <c r="GX207" i="11"/>
  <c r="GY207" i="11"/>
  <c r="GZ207" i="11"/>
  <c r="HA207" i="11"/>
  <c r="HB207" i="11"/>
  <c r="HC207" i="11"/>
  <c r="HD207" i="11"/>
  <c r="HE207" i="11"/>
  <c r="HF207" i="11"/>
  <c r="HG207" i="11"/>
  <c r="HH207" i="11"/>
  <c r="HI207" i="11"/>
  <c r="HJ207" i="11"/>
  <c r="HK207" i="11"/>
  <c r="HL207" i="11"/>
  <c r="HM207" i="11"/>
  <c r="HN207" i="11"/>
  <c r="HO207" i="11"/>
  <c r="HP207" i="11"/>
  <c r="HQ207" i="11"/>
  <c r="HR207" i="11"/>
  <c r="HS207" i="11"/>
  <c r="HT207" i="11"/>
  <c r="HU207" i="11"/>
  <c r="HV207" i="11"/>
  <c r="HW207" i="11"/>
  <c r="HX207" i="11"/>
  <c r="HY207" i="11"/>
  <c r="HZ207" i="11"/>
  <c r="IA207" i="11"/>
  <c r="IB207" i="11"/>
  <c r="IC207" i="11"/>
  <c r="ID207" i="11"/>
  <c r="IE207" i="11"/>
  <c r="IF207" i="11"/>
  <c r="IG207" i="11"/>
  <c r="IH207" i="11"/>
  <c r="II207" i="11"/>
  <c r="IJ207" i="11"/>
  <c r="IK207" i="11"/>
  <c r="IL207" i="11"/>
  <c r="IM207" i="11"/>
  <c r="IN207" i="11"/>
  <c r="IO207" i="11"/>
  <c r="IP207" i="11"/>
  <c r="IQ207" i="11"/>
  <c r="IR207" i="11"/>
  <c r="IS207" i="11"/>
  <c r="IT207" i="11"/>
  <c r="IU207" i="11"/>
  <c r="IV207" i="11"/>
  <c r="F208" i="11"/>
  <c r="G208" i="11"/>
  <c r="H208" i="11"/>
  <c r="I208" i="11"/>
  <c r="J208" i="11"/>
  <c r="K208" i="11"/>
  <c r="L208" i="11"/>
  <c r="M208" i="11"/>
  <c r="N208" i="11"/>
  <c r="O208" i="11"/>
  <c r="P208" i="11"/>
  <c r="Q208" i="11"/>
  <c r="R208" i="11"/>
  <c r="S208" i="11"/>
  <c r="T208" i="11"/>
  <c r="U208" i="11"/>
  <c r="V208" i="11"/>
  <c r="W208" i="11"/>
  <c r="X208" i="11"/>
  <c r="Y208" i="11"/>
  <c r="Z208" i="11"/>
  <c r="AA208" i="11"/>
  <c r="AB208" i="11"/>
  <c r="AC208" i="11"/>
  <c r="AD208" i="11"/>
  <c r="AE208" i="11"/>
  <c r="AF208" i="11"/>
  <c r="AG208" i="11"/>
  <c r="AH208" i="11"/>
  <c r="AI208" i="11"/>
  <c r="AJ208" i="11"/>
  <c r="AK208" i="11"/>
  <c r="AL208" i="11"/>
  <c r="AM208" i="11"/>
  <c r="AN208" i="11"/>
  <c r="AO208" i="11"/>
  <c r="AP208" i="11"/>
  <c r="AQ208" i="11"/>
  <c r="AR208" i="11"/>
  <c r="AS208" i="11"/>
  <c r="AT208" i="11"/>
  <c r="AU208" i="11"/>
  <c r="AV208" i="11"/>
  <c r="AW208" i="11"/>
  <c r="AX208" i="11"/>
  <c r="AY208" i="11"/>
  <c r="AZ208" i="11"/>
  <c r="BA208" i="11"/>
  <c r="BB208" i="11"/>
  <c r="BC208" i="11"/>
  <c r="BD208" i="11"/>
  <c r="BE208" i="11"/>
  <c r="BF208" i="11"/>
  <c r="BG208" i="11"/>
  <c r="BH208" i="11"/>
  <c r="BI208" i="11"/>
  <c r="BJ208" i="11"/>
  <c r="BK208" i="11"/>
  <c r="BL208" i="11"/>
  <c r="BM208" i="11"/>
  <c r="BN208" i="11"/>
  <c r="BO208" i="11"/>
  <c r="BP208" i="11"/>
  <c r="BQ208" i="11"/>
  <c r="BR208" i="11"/>
  <c r="BS208" i="11"/>
  <c r="BT208" i="11"/>
  <c r="BU208" i="11"/>
  <c r="BV208" i="11"/>
  <c r="BW208" i="11"/>
  <c r="BX208" i="11"/>
  <c r="BY208" i="11"/>
  <c r="BZ208" i="11"/>
  <c r="CA208" i="11"/>
  <c r="CB208" i="11"/>
  <c r="CC208" i="11"/>
  <c r="CD208" i="11"/>
  <c r="CE208" i="11"/>
  <c r="CF208" i="11"/>
  <c r="CG208" i="11"/>
  <c r="CH208" i="11"/>
  <c r="CI208" i="11"/>
  <c r="CJ208" i="11"/>
  <c r="CK208" i="11"/>
  <c r="CL208" i="11"/>
  <c r="CM208" i="11"/>
  <c r="CN208" i="11"/>
  <c r="CO208" i="11"/>
  <c r="CP208" i="11"/>
  <c r="CQ208" i="11"/>
  <c r="CR208" i="11"/>
  <c r="CS208" i="11"/>
  <c r="CT208" i="11"/>
  <c r="CU208" i="11"/>
  <c r="CV208" i="11"/>
  <c r="CW208" i="11"/>
  <c r="CX208" i="11"/>
  <c r="CY208" i="11"/>
  <c r="CZ208" i="11"/>
  <c r="DA208" i="11"/>
  <c r="DB208" i="11"/>
  <c r="DC208" i="11"/>
  <c r="DD208" i="11"/>
  <c r="DE208" i="11"/>
  <c r="DF208" i="11"/>
  <c r="DG208" i="11"/>
  <c r="DH208" i="11"/>
  <c r="DI208" i="11"/>
  <c r="DJ208" i="11"/>
  <c r="DK208" i="11"/>
  <c r="DL208" i="11"/>
  <c r="DM208" i="11"/>
  <c r="DN208" i="11"/>
  <c r="DO208" i="11"/>
  <c r="DP208" i="11"/>
  <c r="DQ208" i="11"/>
  <c r="DR208" i="11"/>
  <c r="DS208" i="11"/>
  <c r="DT208" i="11"/>
  <c r="DU208" i="11"/>
  <c r="DV208" i="11"/>
  <c r="DW208" i="11"/>
  <c r="DX208" i="11"/>
  <c r="DY208" i="11"/>
  <c r="DZ208" i="11"/>
  <c r="EA208" i="11"/>
  <c r="EB208" i="11"/>
  <c r="EC208" i="11"/>
  <c r="ED208" i="11"/>
  <c r="EE208" i="11"/>
  <c r="EF208" i="11"/>
  <c r="EG208" i="11"/>
  <c r="EH208" i="11"/>
  <c r="EI208" i="11"/>
  <c r="EJ208" i="11"/>
  <c r="EK208" i="11"/>
  <c r="EL208" i="11"/>
  <c r="EM208" i="11"/>
  <c r="EN208" i="11"/>
  <c r="EO208" i="11"/>
  <c r="EP208" i="11"/>
  <c r="EQ208" i="11"/>
  <c r="ER208" i="11"/>
  <c r="ES208" i="11"/>
  <c r="ET208" i="11"/>
  <c r="EU208" i="11"/>
  <c r="EV208" i="11"/>
  <c r="EW208" i="11"/>
  <c r="EX208" i="11"/>
  <c r="EY208" i="11"/>
  <c r="EZ208" i="11"/>
  <c r="FA208" i="11"/>
  <c r="FB208" i="11"/>
  <c r="FC208" i="11"/>
  <c r="FD208" i="11"/>
  <c r="FE208" i="11"/>
  <c r="FF208" i="11"/>
  <c r="FG208" i="11"/>
  <c r="FH208" i="11"/>
  <c r="FI208" i="11"/>
  <c r="FJ208" i="11"/>
  <c r="FK208" i="11"/>
  <c r="FL208" i="11"/>
  <c r="FM208" i="11"/>
  <c r="FN208" i="11"/>
  <c r="FO208" i="11"/>
  <c r="FP208" i="11"/>
  <c r="FQ208" i="11"/>
  <c r="FR208" i="11"/>
  <c r="FS208" i="11"/>
  <c r="FT208" i="11"/>
  <c r="FU208" i="11"/>
  <c r="FV208" i="11"/>
  <c r="FW208" i="11"/>
  <c r="FX208" i="11"/>
  <c r="FY208" i="11"/>
  <c r="FZ208" i="11"/>
  <c r="GA208" i="11"/>
  <c r="GB208" i="11"/>
  <c r="GC208" i="11"/>
  <c r="GD208" i="11"/>
  <c r="GE208" i="11"/>
  <c r="GF208" i="11"/>
  <c r="GG208" i="11"/>
  <c r="GH208" i="11"/>
  <c r="GI208" i="11"/>
  <c r="GJ208" i="11"/>
  <c r="GK208" i="11"/>
  <c r="GL208" i="11"/>
  <c r="GM208" i="11"/>
  <c r="GN208" i="11"/>
  <c r="GO208" i="11"/>
  <c r="GP208" i="11"/>
  <c r="GQ208" i="11"/>
  <c r="GR208" i="11"/>
  <c r="GS208" i="11"/>
  <c r="GT208" i="11"/>
  <c r="GU208" i="11"/>
  <c r="GV208" i="11"/>
  <c r="GW208" i="11"/>
  <c r="GX208" i="11"/>
  <c r="GY208" i="11"/>
  <c r="GZ208" i="11"/>
  <c r="HA208" i="11"/>
  <c r="HB208" i="11"/>
  <c r="HC208" i="11"/>
  <c r="HD208" i="11"/>
  <c r="HE208" i="11"/>
  <c r="HF208" i="11"/>
  <c r="HG208" i="11"/>
  <c r="HH208" i="11"/>
  <c r="HI208" i="11"/>
  <c r="HJ208" i="11"/>
  <c r="HK208" i="11"/>
  <c r="HL208" i="11"/>
  <c r="HM208" i="11"/>
  <c r="HN208" i="11"/>
  <c r="HO208" i="11"/>
  <c r="HP208" i="11"/>
  <c r="HQ208" i="11"/>
  <c r="HR208" i="11"/>
  <c r="HS208" i="11"/>
  <c r="HT208" i="11"/>
  <c r="HU208" i="11"/>
  <c r="HV208" i="11"/>
  <c r="HW208" i="11"/>
  <c r="HX208" i="11"/>
  <c r="HY208" i="11"/>
  <c r="HZ208" i="11"/>
  <c r="IA208" i="11"/>
  <c r="IB208" i="11"/>
  <c r="IC208" i="11"/>
  <c r="ID208" i="11"/>
  <c r="IE208" i="11"/>
  <c r="IF208" i="11"/>
  <c r="IG208" i="11"/>
  <c r="IH208" i="11"/>
  <c r="II208" i="11"/>
  <c r="IJ208" i="11"/>
  <c r="IK208" i="11"/>
  <c r="IL208" i="11"/>
  <c r="IM208" i="11"/>
  <c r="IN208" i="11"/>
  <c r="IO208" i="11"/>
  <c r="IP208" i="11"/>
  <c r="IQ208" i="11"/>
  <c r="IR208" i="11"/>
  <c r="IS208" i="11"/>
  <c r="IT208" i="11"/>
  <c r="IU208" i="11"/>
  <c r="IV208" i="11"/>
  <c r="F209" i="11"/>
  <c r="G209" i="11"/>
  <c r="H209" i="11"/>
  <c r="I209" i="11"/>
  <c r="J209" i="11"/>
  <c r="K209" i="11"/>
  <c r="L209" i="11"/>
  <c r="M209" i="11"/>
  <c r="N209" i="11"/>
  <c r="O209" i="11"/>
  <c r="P209" i="11"/>
  <c r="Q209" i="11"/>
  <c r="R209" i="11"/>
  <c r="S209" i="11"/>
  <c r="T209" i="11"/>
  <c r="U209" i="11"/>
  <c r="V209" i="11"/>
  <c r="W209" i="11"/>
  <c r="X209" i="11"/>
  <c r="Y209" i="11"/>
  <c r="Z209" i="11"/>
  <c r="AA209" i="11"/>
  <c r="AB209" i="11"/>
  <c r="AC209" i="11"/>
  <c r="AD209" i="11"/>
  <c r="AE209" i="11"/>
  <c r="AF209" i="11"/>
  <c r="AG209" i="11"/>
  <c r="AH209" i="11"/>
  <c r="AI209" i="11"/>
  <c r="AJ209" i="11"/>
  <c r="AK209" i="11"/>
  <c r="AL209" i="11"/>
  <c r="AM209" i="11"/>
  <c r="AN209" i="11"/>
  <c r="AO209" i="11"/>
  <c r="AP209" i="11"/>
  <c r="AQ209" i="11"/>
  <c r="AR209" i="11"/>
  <c r="AS209" i="11"/>
  <c r="AT209" i="11"/>
  <c r="AU209" i="11"/>
  <c r="AV209" i="11"/>
  <c r="AW209" i="11"/>
  <c r="AX209" i="11"/>
  <c r="AY209" i="11"/>
  <c r="AZ209" i="11"/>
  <c r="BA209" i="11"/>
  <c r="BB209" i="11"/>
  <c r="BC209" i="11"/>
  <c r="BD209" i="11"/>
  <c r="BE209" i="11"/>
  <c r="BF209" i="11"/>
  <c r="BG209" i="11"/>
  <c r="BH209" i="11"/>
  <c r="BI209" i="11"/>
  <c r="BJ209" i="11"/>
  <c r="BK209" i="11"/>
  <c r="BL209" i="11"/>
  <c r="BM209" i="11"/>
  <c r="BN209" i="11"/>
  <c r="BO209" i="11"/>
  <c r="BP209" i="11"/>
  <c r="BQ209" i="11"/>
  <c r="BR209" i="11"/>
  <c r="BS209" i="11"/>
  <c r="BT209" i="11"/>
  <c r="BU209" i="11"/>
  <c r="BV209" i="11"/>
  <c r="BW209" i="11"/>
  <c r="BX209" i="11"/>
  <c r="BY209" i="11"/>
  <c r="BZ209" i="11"/>
  <c r="CA209" i="11"/>
  <c r="CB209" i="11"/>
  <c r="CC209" i="11"/>
  <c r="CD209" i="11"/>
  <c r="CE209" i="11"/>
  <c r="CF209" i="11"/>
  <c r="CG209" i="11"/>
  <c r="CH209" i="11"/>
  <c r="CI209" i="11"/>
  <c r="CJ209" i="11"/>
  <c r="CK209" i="11"/>
  <c r="CL209" i="11"/>
  <c r="CM209" i="11"/>
  <c r="CN209" i="11"/>
  <c r="CO209" i="11"/>
  <c r="CP209" i="11"/>
  <c r="CQ209" i="11"/>
  <c r="CR209" i="11"/>
  <c r="CS209" i="11"/>
  <c r="CT209" i="11"/>
  <c r="CU209" i="11"/>
  <c r="CV209" i="11"/>
  <c r="CW209" i="11"/>
  <c r="CX209" i="11"/>
  <c r="CY209" i="11"/>
  <c r="CZ209" i="11"/>
  <c r="DA209" i="11"/>
  <c r="DB209" i="11"/>
  <c r="DC209" i="11"/>
  <c r="DD209" i="11"/>
  <c r="DE209" i="11"/>
  <c r="DF209" i="11"/>
  <c r="DG209" i="11"/>
  <c r="DH209" i="11"/>
  <c r="DI209" i="11"/>
  <c r="DJ209" i="11"/>
  <c r="DK209" i="11"/>
  <c r="DL209" i="11"/>
  <c r="DM209" i="11"/>
  <c r="DN209" i="11"/>
  <c r="DO209" i="11"/>
  <c r="DP209" i="11"/>
  <c r="DQ209" i="11"/>
  <c r="DR209" i="11"/>
  <c r="DS209" i="11"/>
  <c r="DT209" i="11"/>
  <c r="DU209" i="11"/>
  <c r="DV209" i="11"/>
  <c r="DW209" i="11"/>
  <c r="DX209" i="11"/>
  <c r="DY209" i="11"/>
  <c r="DZ209" i="11"/>
  <c r="EA209" i="11"/>
  <c r="EB209" i="11"/>
  <c r="EC209" i="11"/>
  <c r="ED209" i="11"/>
  <c r="EE209" i="11"/>
  <c r="EF209" i="11"/>
  <c r="EG209" i="11"/>
  <c r="EH209" i="11"/>
  <c r="EI209" i="11"/>
  <c r="EJ209" i="11"/>
  <c r="EK209" i="11"/>
  <c r="EL209" i="11"/>
  <c r="EM209" i="11"/>
  <c r="EN209" i="11"/>
  <c r="EO209" i="11"/>
  <c r="EP209" i="11"/>
  <c r="EQ209" i="11"/>
  <c r="ER209" i="11"/>
  <c r="ES209" i="11"/>
  <c r="ET209" i="11"/>
  <c r="EU209" i="11"/>
  <c r="EV209" i="11"/>
  <c r="EW209" i="11"/>
  <c r="EX209" i="11"/>
  <c r="EY209" i="11"/>
  <c r="EZ209" i="11"/>
  <c r="FA209" i="11"/>
  <c r="FB209" i="11"/>
  <c r="FC209" i="11"/>
  <c r="FD209" i="11"/>
  <c r="FE209" i="11"/>
  <c r="FF209" i="11"/>
  <c r="FG209" i="11"/>
  <c r="FH209" i="11"/>
  <c r="FI209" i="11"/>
  <c r="FJ209" i="11"/>
  <c r="FK209" i="11"/>
  <c r="FL209" i="11"/>
  <c r="FM209" i="11"/>
  <c r="FN209" i="11"/>
  <c r="FO209" i="11"/>
  <c r="FP209" i="11"/>
  <c r="FQ209" i="11"/>
  <c r="FR209" i="11"/>
  <c r="FS209" i="11"/>
  <c r="FT209" i="11"/>
  <c r="FU209" i="11"/>
  <c r="FV209" i="11"/>
  <c r="FW209" i="11"/>
  <c r="FX209" i="11"/>
  <c r="FY209" i="11"/>
  <c r="FZ209" i="11"/>
  <c r="GA209" i="11"/>
  <c r="GB209" i="11"/>
  <c r="GC209" i="11"/>
  <c r="GD209" i="11"/>
  <c r="GE209" i="11"/>
  <c r="GF209" i="11"/>
  <c r="GG209" i="11"/>
  <c r="GH209" i="11"/>
  <c r="GI209" i="11"/>
  <c r="GJ209" i="11"/>
  <c r="GK209" i="11"/>
  <c r="GL209" i="11"/>
  <c r="GM209" i="11"/>
  <c r="GN209" i="11"/>
  <c r="GO209" i="11"/>
  <c r="GP209" i="11"/>
  <c r="GQ209" i="11"/>
  <c r="GR209" i="11"/>
  <c r="GS209" i="11"/>
  <c r="GT209" i="11"/>
  <c r="GU209" i="11"/>
  <c r="GV209" i="11"/>
  <c r="GW209" i="11"/>
  <c r="GX209" i="11"/>
  <c r="GY209" i="11"/>
  <c r="GZ209" i="11"/>
  <c r="HA209" i="11"/>
  <c r="HB209" i="11"/>
  <c r="HC209" i="11"/>
  <c r="HD209" i="11"/>
  <c r="HE209" i="11"/>
  <c r="HF209" i="11"/>
  <c r="HG209" i="11"/>
  <c r="HH209" i="11"/>
  <c r="HI209" i="11"/>
  <c r="HJ209" i="11"/>
  <c r="HK209" i="11"/>
  <c r="HL209" i="11"/>
  <c r="HM209" i="11"/>
  <c r="HN209" i="11"/>
  <c r="HO209" i="11"/>
  <c r="HP209" i="11"/>
  <c r="HQ209" i="11"/>
  <c r="HR209" i="11"/>
  <c r="HS209" i="11"/>
  <c r="HT209" i="11"/>
  <c r="HU209" i="11"/>
  <c r="HV209" i="11"/>
  <c r="HW209" i="11"/>
  <c r="HX209" i="11"/>
  <c r="HY209" i="11"/>
  <c r="HZ209" i="11"/>
  <c r="IA209" i="11"/>
  <c r="IB209" i="11"/>
  <c r="IC209" i="11"/>
  <c r="ID209" i="11"/>
  <c r="IE209" i="11"/>
  <c r="IF209" i="11"/>
  <c r="IG209" i="11"/>
  <c r="IH209" i="11"/>
  <c r="II209" i="11"/>
  <c r="IJ209" i="11"/>
  <c r="IK209" i="11"/>
  <c r="IL209" i="11"/>
  <c r="IM209" i="11"/>
  <c r="IN209" i="11"/>
  <c r="IO209" i="11"/>
  <c r="IP209" i="11"/>
  <c r="IQ209" i="11"/>
  <c r="IR209" i="11"/>
  <c r="IS209" i="11"/>
  <c r="IT209" i="11"/>
  <c r="IU209" i="11"/>
  <c r="IV209" i="11"/>
  <c r="F210" i="11"/>
  <c r="G210" i="11"/>
  <c r="H210" i="11"/>
  <c r="I210" i="11"/>
  <c r="J210" i="11"/>
  <c r="K210" i="11"/>
  <c r="L210" i="11"/>
  <c r="M210" i="11"/>
  <c r="N210" i="11"/>
  <c r="O210" i="11"/>
  <c r="P210" i="11"/>
  <c r="Q210" i="11"/>
  <c r="R210" i="11"/>
  <c r="S210" i="11"/>
  <c r="T210" i="11"/>
  <c r="U210" i="11"/>
  <c r="V210" i="11"/>
  <c r="W210" i="11"/>
  <c r="X210" i="11"/>
  <c r="Y210" i="11"/>
  <c r="Z210" i="11"/>
  <c r="AA210" i="11"/>
  <c r="AB210" i="11"/>
  <c r="AC210" i="11"/>
  <c r="AD210" i="11"/>
  <c r="AE210" i="11"/>
  <c r="AF210" i="11"/>
  <c r="AG210" i="11"/>
  <c r="AH210" i="11"/>
  <c r="AI210" i="11"/>
  <c r="AJ210" i="11"/>
  <c r="AK210" i="11"/>
  <c r="AL210" i="11"/>
  <c r="AM210" i="11"/>
  <c r="AN210" i="11"/>
  <c r="AO210" i="11"/>
  <c r="AP210" i="11"/>
  <c r="AQ210" i="11"/>
  <c r="AR210" i="11"/>
  <c r="AS210" i="11"/>
  <c r="AT210" i="11"/>
  <c r="AU210" i="11"/>
  <c r="AV210" i="11"/>
  <c r="AW210" i="11"/>
  <c r="AX210" i="11"/>
  <c r="AY210" i="11"/>
  <c r="AZ210" i="11"/>
  <c r="BA210" i="11"/>
  <c r="BB210" i="11"/>
  <c r="BC210" i="11"/>
  <c r="BD210" i="11"/>
  <c r="BE210" i="11"/>
  <c r="BF210" i="11"/>
  <c r="BG210" i="11"/>
  <c r="BH210" i="11"/>
  <c r="BI210" i="11"/>
  <c r="BJ210" i="11"/>
  <c r="BK210" i="11"/>
  <c r="BL210" i="11"/>
  <c r="BM210" i="11"/>
  <c r="BN210" i="11"/>
  <c r="BO210" i="11"/>
  <c r="BP210" i="11"/>
  <c r="BQ210" i="11"/>
  <c r="BR210" i="11"/>
  <c r="BS210" i="11"/>
  <c r="BT210" i="11"/>
  <c r="BU210" i="11"/>
  <c r="BV210" i="11"/>
  <c r="BW210" i="11"/>
  <c r="BX210" i="11"/>
  <c r="BY210" i="11"/>
  <c r="BZ210" i="11"/>
  <c r="CA210" i="11"/>
  <c r="CB210" i="11"/>
  <c r="CC210" i="11"/>
  <c r="CD210" i="11"/>
  <c r="CE210" i="11"/>
  <c r="CF210" i="11"/>
  <c r="CG210" i="11"/>
  <c r="CH210" i="11"/>
  <c r="CI210" i="11"/>
  <c r="CJ210" i="11"/>
  <c r="CK210" i="11"/>
  <c r="CL210" i="11"/>
  <c r="CM210" i="11"/>
  <c r="CN210" i="11"/>
  <c r="CO210" i="11"/>
  <c r="CP210" i="11"/>
  <c r="CQ210" i="11"/>
  <c r="CR210" i="11"/>
  <c r="CS210" i="11"/>
  <c r="CT210" i="11"/>
  <c r="CU210" i="11"/>
  <c r="CV210" i="11"/>
  <c r="CW210" i="11"/>
  <c r="CX210" i="11"/>
  <c r="CY210" i="11"/>
  <c r="CZ210" i="11"/>
  <c r="DA210" i="11"/>
  <c r="DB210" i="11"/>
  <c r="DC210" i="11"/>
  <c r="DD210" i="11"/>
  <c r="DE210" i="11"/>
  <c r="DF210" i="11"/>
  <c r="DG210" i="11"/>
  <c r="DH210" i="11"/>
  <c r="DI210" i="11"/>
  <c r="DJ210" i="11"/>
  <c r="DK210" i="11"/>
  <c r="DL210" i="11"/>
  <c r="DM210" i="11"/>
  <c r="DN210" i="11"/>
  <c r="DO210" i="11"/>
  <c r="DP210" i="11"/>
  <c r="DQ210" i="11"/>
  <c r="DR210" i="11"/>
  <c r="DS210" i="11"/>
  <c r="DT210" i="11"/>
  <c r="DU210" i="11"/>
  <c r="DV210" i="11"/>
  <c r="DW210" i="11"/>
  <c r="DX210" i="11"/>
  <c r="DY210" i="11"/>
  <c r="DZ210" i="11"/>
  <c r="EA210" i="11"/>
  <c r="EB210" i="11"/>
  <c r="EC210" i="11"/>
  <c r="ED210" i="11"/>
  <c r="EE210" i="11"/>
  <c r="EF210" i="11"/>
  <c r="EG210" i="11"/>
  <c r="EH210" i="11"/>
  <c r="EI210" i="11"/>
  <c r="EJ210" i="11"/>
  <c r="EK210" i="11"/>
  <c r="EL210" i="11"/>
  <c r="EM210" i="11"/>
  <c r="EN210" i="11"/>
  <c r="EO210" i="11"/>
  <c r="EP210" i="11"/>
  <c r="EQ210" i="11"/>
  <c r="ER210" i="11"/>
  <c r="ES210" i="11"/>
  <c r="ET210" i="11"/>
  <c r="EU210" i="11"/>
  <c r="EV210" i="11"/>
  <c r="EW210" i="11"/>
  <c r="EX210" i="11"/>
  <c r="EY210" i="11"/>
  <c r="EZ210" i="11"/>
  <c r="FA210" i="11"/>
  <c r="FB210" i="11"/>
  <c r="FC210" i="11"/>
  <c r="FD210" i="11"/>
  <c r="FE210" i="11"/>
  <c r="FF210" i="11"/>
  <c r="FG210" i="11"/>
  <c r="FH210" i="11"/>
  <c r="FI210" i="11"/>
  <c r="FJ210" i="11"/>
  <c r="FK210" i="11"/>
  <c r="FL210" i="11"/>
  <c r="FM210" i="11"/>
  <c r="FN210" i="11"/>
  <c r="FO210" i="11"/>
  <c r="FP210" i="11"/>
  <c r="FQ210" i="11"/>
  <c r="FR210" i="11"/>
  <c r="FS210" i="11"/>
  <c r="FT210" i="11"/>
  <c r="FU210" i="11"/>
  <c r="FV210" i="11"/>
  <c r="FW210" i="11"/>
  <c r="FX210" i="11"/>
  <c r="FY210" i="11"/>
  <c r="FZ210" i="11"/>
  <c r="GA210" i="11"/>
  <c r="GB210" i="11"/>
  <c r="GC210" i="11"/>
  <c r="GD210" i="11"/>
  <c r="GE210" i="11"/>
  <c r="GF210" i="11"/>
  <c r="GG210" i="11"/>
  <c r="GH210" i="11"/>
  <c r="GI210" i="11"/>
  <c r="GJ210" i="11"/>
  <c r="GK210" i="11"/>
  <c r="GL210" i="11"/>
  <c r="GM210" i="11"/>
  <c r="GN210" i="11"/>
  <c r="GO210" i="11"/>
  <c r="GP210" i="11"/>
  <c r="GQ210" i="11"/>
  <c r="GR210" i="11"/>
  <c r="GS210" i="11"/>
  <c r="GT210" i="11"/>
  <c r="GU210" i="11"/>
  <c r="GV210" i="11"/>
  <c r="GW210" i="11"/>
  <c r="GX210" i="11"/>
  <c r="GY210" i="11"/>
  <c r="GZ210" i="11"/>
  <c r="HA210" i="11"/>
  <c r="HB210" i="11"/>
  <c r="HC210" i="11"/>
  <c r="HD210" i="11"/>
  <c r="HE210" i="11"/>
  <c r="HF210" i="11"/>
  <c r="HG210" i="11"/>
  <c r="HH210" i="11"/>
  <c r="HI210" i="11"/>
  <c r="HJ210" i="11"/>
  <c r="HK210" i="11"/>
  <c r="HL210" i="11"/>
  <c r="HM210" i="11"/>
  <c r="HN210" i="11"/>
  <c r="HO210" i="11"/>
  <c r="HP210" i="11"/>
  <c r="HQ210" i="11"/>
  <c r="HR210" i="11"/>
  <c r="HS210" i="11"/>
  <c r="HT210" i="11"/>
  <c r="HU210" i="11"/>
  <c r="HV210" i="11"/>
  <c r="HW210" i="11"/>
  <c r="HX210" i="11"/>
  <c r="HY210" i="11"/>
  <c r="HZ210" i="11"/>
  <c r="IA210" i="11"/>
  <c r="IB210" i="11"/>
  <c r="IC210" i="11"/>
  <c r="ID210" i="11"/>
  <c r="IE210" i="11"/>
  <c r="IF210" i="11"/>
  <c r="IG210" i="11"/>
  <c r="IH210" i="11"/>
  <c r="II210" i="11"/>
  <c r="IJ210" i="11"/>
  <c r="IK210" i="11"/>
  <c r="IL210" i="11"/>
  <c r="IM210" i="11"/>
  <c r="IN210" i="11"/>
  <c r="IO210" i="11"/>
  <c r="IP210" i="11"/>
  <c r="IQ210" i="11"/>
  <c r="IR210" i="11"/>
  <c r="IS210" i="11"/>
  <c r="IT210" i="11"/>
  <c r="IU210" i="11"/>
  <c r="IV210" i="11"/>
  <c r="F211" i="11"/>
  <c r="G211" i="11"/>
  <c r="H211" i="11"/>
  <c r="I211" i="11"/>
  <c r="J211" i="11"/>
  <c r="K211" i="11"/>
  <c r="L211" i="11"/>
  <c r="M211" i="11"/>
  <c r="N211" i="11"/>
  <c r="O211" i="11"/>
  <c r="P211" i="11"/>
  <c r="Q211" i="11"/>
  <c r="R211" i="11"/>
  <c r="S211" i="11"/>
  <c r="T211" i="11"/>
  <c r="U211" i="11"/>
  <c r="V211" i="11"/>
  <c r="W211" i="11"/>
  <c r="X211" i="11"/>
  <c r="Y211" i="11"/>
  <c r="Z211" i="11"/>
  <c r="AA211" i="11"/>
  <c r="AB211" i="11"/>
  <c r="AC211" i="11"/>
  <c r="AD211" i="11"/>
  <c r="AE211" i="11"/>
  <c r="AF211" i="11"/>
  <c r="AG211" i="11"/>
  <c r="AH211" i="11"/>
  <c r="AI211" i="11"/>
  <c r="AJ211" i="11"/>
  <c r="AK211" i="11"/>
  <c r="AL211" i="11"/>
  <c r="AM211" i="11"/>
  <c r="AN211" i="11"/>
  <c r="AO211" i="11"/>
  <c r="AP211" i="11"/>
  <c r="AQ211" i="11"/>
  <c r="AR211" i="11"/>
  <c r="AS211" i="11"/>
  <c r="AT211" i="11"/>
  <c r="AU211" i="11"/>
  <c r="AV211" i="11"/>
  <c r="AW211" i="11"/>
  <c r="AX211" i="11"/>
  <c r="AY211" i="11"/>
  <c r="AZ211" i="11"/>
  <c r="BA211" i="11"/>
  <c r="BB211" i="11"/>
  <c r="BC211" i="11"/>
  <c r="BD211" i="11"/>
  <c r="BE211" i="11"/>
  <c r="BF211" i="11"/>
  <c r="BG211" i="11"/>
  <c r="BH211" i="11"/>
  <c r="BI211" i="11"/>
  <c r="BJ211" i="11"/>
  <c r="BK211" i="11"/>
  <c r="BL211" i="11"/>
  <c r="BM211" i="11"/>
  <c r="BN211" i="11"/>
  <c r="BO211" i="11"/>
  <c r="BP211" i="11"/>
  <c r="BQ211" i="11"/>
  <c r="BR211" i="11"/>
  <c r="BS211" i="11"/>
  <c r="BT211" i="11"/>
  <c r="BU211" i="11"/>
  <c r="BV211" i="11"/>
  <c r="BW211" i="11"/>
  <c r="BX211" i="11"/>
  <c r="BY211" i="11"/>
  <c r="BZ211" i="11"/>
  <c r="CA211" i="11"/>
  <c r="CB211" i="11"/>
  <c r="CC211" i="11"/>
  <c r="CD211" i="11"/>
  <c r="CE211" i="11"/>
  <c r="CF211" i="11"/>
  <c r="CG211" i="11"/>
  <c r="CH211" i="11"/>
  <c r="CI211" i="11"/>
  <c r="CJ211" i="11"/>
  <c r="CK211" i="11"/>
  <c r="CL211" i="11"/>
  <c r="CM211" i="11"/>
  <c r="CN211" i="11"/>
  <c r="CO211" i="11"/>
  <c r="CP211" i="11"/>
  <c r="CQ211" i="11"/>
  <c r="CR211" i="11"/>
  <c r="CS211" i="11"/>
  <c r="CT211" i="11"/>
  <c r="CU211" i="11"/>
  <c r="CV211" i="11"/>
  <c r="CW211" i="11"/>
  <c r="CX211" i="11"/>
  <c r="CY211" i="11"/>
  <c r="CZ211" i="11"/>
  <c r="DA211" i="11"/>
  <c r="DB211" i="11"/>
  <c r="DC211" i="11"/>
  <c r="DD211" i="11"/>
  <c r="DE211" i="11"/>
  <c r="DF211" i="11"/>
  <c r="DG211" i="11"/>
  <c r="DH211" i="11"/>
  <c r="DI211" i="11"/>
  <c r="DJ211" i="11"/>
  <c r="DK211" i="11"/>
  <c r="DL211" i="11"/>
  <c r="DM211" i="11"/>
  <c r="DN211" i="11"/>
  <c r="DO211" i="11"/>
  <c r="DP211" i="11"/>
  <c r="DQ211" i="11"/>
  <c r="DR211" i="11"/>
  <c r="DS211" i="11"/>
  <c r="DT211" i="11"/>
  <c r="DU211" i="11"/>
  <c r="DV211" i="11"/>
  <c r="DW211" i="11"/>
  <c r="DX211" i="11"/>
  <c r="DY211" i="11"/>
  <c r="DZ211" i="11"/>
  <c r="EA211" i="11"/>
  <c r="EB211" i="11"/>
  <c r="EC211" i="11"/>
  <c r="ED211" i="11"/>
  <c r="EE211" i="11"/>
  <c r="EF211" i="11"/>
  <c r="EG211" i="11"/>
  <c r="EH211" i="11"/>
  <c r="EI211" i="11"/>
  <c r="EJ211" i="11"/>
  <c r="EK211" i="11"/>
  <c r="EL211" i="11"/>
  <c r="EM211" i="11"/>
  <c r="EN211" i="11"/>
  <c r="EO211" i="11"/>
  <c r="EP211" i="11"/>
  <c r="EQ211" i="11"/>
  <c r="ER211" i="11"/>
  <c r="ES211" i="11"/>
  <c r="ET211" i="11"/>
  <c r="EU211" i="11"/>
  <c r="EV211" i="11"/>
  <c r="EW211" i="11"/>
  <c r="EX211" i="11"/>
  <c r="EY211" i="11"/>
  <c r="EZ211" i="11"/>
  <c r="FA211" i="11"/>
  <c r="FB211" i="11"/>
  <c r="FC211" i="11"/>
  <c r="FD211" i="11"/>
  <c r="FE211" i="11"/>
  <c r="FF211" i="11"/>
  <c r="FG211" i="11"/>
  <c r="FH211" i="11"/>
  <c r="FI211" i="11"/>
  <c r="FJ211" i="11"/>
  <c r="FK211" i="11"/>
  <c r="FL211" i="11"/>
  <c r="FM211" i="11"/>
  <c r="FN211" i="11"/>
  <c r="FO211" i="11"/>
  <c r="FP211" i="11"/>
  <c r="FQ211" i="11"/>
  <c r="FR211" i="11"/>
  <c r="FS211" i="11"/>
  <c r="FT211" i="11"/>
  <c r="FU211" i="11"/>
  <c r="FV211" i="11"/>
  <c r="FW211" i="11"/>
  <c r="FX211" i="11"/>
  <c r="FY211" i="11"/>
  <c r="FZ211" i="11"/>
  <c r="GA211" i="11"/>
  <c r="GB211" i="11"/>
  <c r="GC211" i="11"/>
  <c r="GD211" i="11"/>
  <c r="GE211" i="11"/>
  <c r="GF211" i="11"/>
  <c r="GG211" i="11"/>
  <c r="GH211" i="11"/>
  <c r="GI211" i="11"/>
  <c r="GJ211" i="11"/>
  <c r="GK211" i="11"/>
  <c r="GL211" i="11"/>
  <c r="GM211" i="11"/>
  <c r="GN211" i="11"/>
  <c r="GO211" i="11"/>
  <c r="GP211" i="11"/>
  <c r="GQ211" i="11"/>
  <c r="GR211" i="11"/>
  <c r="GS211" i="11"/>
  <c r="GT211" i="11"/>
  <c r="GU211" i="11"/>
  <c r="GV211" i="11"/>
  <c r="GW211" i="11"/>
  <c r="GX211" i="11"/>
  <c r="GY211" i="11"/>
  <c r="GZ211" i="11"/>
  <c r="HA211" i="11"/>
  <c r="HB211" i="11"/>
  <c r="HC211" i="11"/>
  <c r="HD211" i="11"/>
  <c r="HE211" i="11"/>
  <c r="HF211" i="11"/>
  <c r="HG211" i="11"/>
  <c r="HH211" i="11"/>
  <c r="HI211" i="11"/>
  <c r="HJ211" i="11"/>
  <c r="HK211" i="11"/>
  <c r="HL211" i="11"/>
  <c r="HM211" i="11"/>
  <c r="HN211" i="11"/>
  <c r="HO211" i="11"/>
  <c r="HP211" i="11"/>
  <c r="HQ211" i="11"/>
  <c r="HR211" i="11"/>
  <c r="HS211" i="11"/>
  <c r="HT211" i="11"/>
  <c r="HU211" i="11"/>
  <c r="HV211" i="11"/>
  <c r="HW211" i="11"/>
  <c r="HX211" i="11"/>
  <c r="HY211" i="11"/>
  <c r="HZ211" i="11"/>
  <c r="IA211" i="11"/>
  <c r="IB211" i="11"/>
  <c r="IC211" i="11"/>
  <c r="ID211" i="11"/>
  <c r="IE211" i="11"/>
  <c r="IF211" i="11"/>
  <c r="IG211" i="11"/>
  <c r="IH211" i="11"/>
  <c r="II211" i="11"/>
  <c r="IJ211" i="11"/>
  <c r="IK211" i="11"/>
  <c r="IL211" i="11"/>
  <c r="IM211" i="11"/>
  <c r="IN211" i="11"/>
  <c r="IO211" i="11"/>
  <c r="IP211" i="11"/>
  <c r="IQ211" i="11"/>
  <c r="IR211" i="11"/>
  <c r="IS211" i="11"/>
  <c r="IT211" i="11"/>
  <c r="IU211" i="11"/>
  <c r="IV211" i="11"/>
  <c r="F212" i="11"/>
  <c r="G212" i="11"/>
  <c r="H212" i="11"/>
  <c r="I212" i="11"/>
  <c r="J212" i="11"/>
  <c r="K212" i="11"/>
  <c r="L212" i="11"/>
  <c r="M212" i="11"/>
  <c r="N212" i="11"/>
  <c r="O212" i="11"/>
  <c r="P212" i="11"/>
  <c r="Q212" i="11"/>
  <c r="R212" i="11"/>
  <c r="S212" i="11"/>
  <c r="T212" i="11"/>
  <c r="U212" i="11"/>
  <c r="V212" i="11"/>
  <c r="W212" i="11"/>
  <c r="X212" i="11"/>
  <c r="Y212" i="11"/>
  <c r="Z212" i="11"/>
  <c r="AA212" i="11"/>
  <c r="AB212" i="11"/>
  <c r="AC212" i="11"/>
  <c r="AD212" i="11"/>
  <c r="AE212" i="11"/>
  <c r="AF212" i="11"/>
  <c r="AG212" i="11"/>
  <c r="AH212" i="11"/>
  <c r="AI212" i="11"/>
  <c r="AJ212" i="11"/>
  <c r="AK212" i="11"/>
  <c r="AL212" i="11"/>
  <c r="AM212" i="11"/>
  <c r="AN212" i="11"/>
  <c r="AO212" i="11"/>
  <c r="AP212" i="11"/>
  <c r="AQ212" i="11"/>
  <c r="AR212" i="11"/>
  <c r="AS212" i="11"/>
  <c r="AT212" i="11"/>
  <c r="AU212" i="11"/>
  <c r="AV212" i="11"/>
  <c r="AW212" i="11"/>
  <c r="AX212" i="11"/>
  <c r="AY212" i="11"/>
  <c r="AZ212" i="11"/>
  <c r="BA212" i="11"/>
  <c r="BB212" i="11"/>
  <c r="BC212" i="11"/>
  <c r="BD212" i="11"/>
  <c r="BE212" i="11"/>
  <c r="BF212" i="11"/>
  <c r="BG212" i="11"/>
  <c r="BH212" i="11"/>
  <c r="BI212" i="11"/>
  <c r="BJ212" i="11"/>
  <c r="BK212" i="11"/>
  <c r="BL212" i="11"/>
  <c r="BM212" i="11"/>
  <c r="BN212" i="11"/>
  <c r="BO212" i="11"/>
  <c r="BP212" i="11"/>
  <c r="BQ212" i="11"/>
  <c r="BR212" i="11"/>
  <c r="BS212" i="11"/>
  <c r="BT212" i="11"/>
  <c r="BU212" i="11"/>
  <c r="BV212" i="11"/>
  <c r="BW212" i="11"/>
  <c r="BX212" i="11"/>
  <c r="BY212" i="11"/>
  <c r="BZ212" i="11"/>
  <c r="CA212" i="11"/>
  <c r="CB212" i="11"/>
  <c r="CC212" i="11"/>
  <c r="CD212" i="11"/>
  <c r="CE212" i="11"/>
  <c r="CF212" i="11"/>
  <c r="CG212" i="11"/>
  <c r="CH212" i="11"/>
  <c r="CI212" i="11"/>
  <c r="CJ212" i="11"/>
  <c r="CK212" i="11"/>
  <c r="CL212" i="11"/>
  <c r="CM212" i="11"/>
  <c r="CN212" i="11"/>
  <c r="CO212" i="11"/>
  <c r="CP212" i="11"/>
  <c r="CQ212" i="11"/>
  <c r="CR212" i="11"/>
  <c r="CS212" i="11"/>
  <c r="CT212" i="11"/>
  <c r="CU212" i="11"/>
  <c r="CV212" i="11"/>
  <c r="CW212" i="11"/>
  <c r="CX212" i="11"/>
  <c r="CY212" i="11"/>
  <c r="CZ212" i="11"/>
  <c r="DA212" i="11"/>
  <c r="DB212" i="11"/>
  <c r="DC212" i="11"/>
  <c r="DD212" i="11"/>
  <c r="DE212" i="11"/>
  <c r="DF212" i="11"/>
  <c r="DG212" i="11"/>
  <c r="DH212" i="11"/>
  <c r="DI212" i="11"/>
  <c r="DJ212" i="11"/>
  <c r="DK212" i="11"/>
  <c r="DL212" i="11"/>
  <c r="DM212" i="11"/>
  <c r="DN212" i="11"/>
  <c r="DO212" i="11"/>
  <c r="DP212" i="11"/>
  <c r="DQ212" i="11"/>
  <c r="DR212" i="11"/>
  <c r="DS212" i="11"/>
  <c r="DT212" i="11"/>
  <c r="DU212" i="11"/>
  <c r="DV212" i="11"/>
  <c r="DW212" i="11"/>
  <c r="DX212" i="11"/>
  <c r="DY212" i="11"/>
  <c r="DZ212" i="11"/>
  <c r="EA212" i="11"/>
  <c r="EB212" i="11"/>
  <c r="EC212" i="11"/>
  <c r="ED212" i="11"/>
  <c r="EE212" i="11"/>
  <c r="EF212" i="11"/>
  <c r="EG212" i="11"/>
  <c r="EH212" i="11"/>
  <c r="EI212" i="11"/>
  <c r="EJ212" i="11"/>
  <c r="EK212" i="11"/>
  <c r="EL212" i="11"/>
  <c r="EM212" i="11"/>
  <c r="EN212" i="11"/>
  <c r="EO212" i="11"/>
  <c r="EP212" i="11"/>
  <c r="EQ212" i="11"/>
  <c r="ER212" i="11"/>
  <c r="ES212" i="11"/>
  <c r="ET212" i="11"/>
  <c r="EU212" i="11"/>
  <c r="EV212" i="11"/>
  <c r="EW212" i="11"/>
  <c r="EX212" i="11"/>
  <c r="EY212" i="11"/>
  <c r="EZ212" i="11"/>
  <c r="FA212" i="11"/>
  <c r="FB212" i="11"/>
  <c r="FC212" i="11"/>
  <c r="FD212" i="11"/>
  <c r="FE212" i="11"/>
  <c r="FF212" i="11"/>
  <c r="FG212" i="11"/>
  <c r="FH212" i="11"/>
  <c r="FI212" i="11"/>
  <c r="FJ212" i="11"/>
  <c r="FK212" i="11"/>
  <c r="FL212" i="11"/>
  <c r="FM212" i="11"/>
  <c r="FN212" i="11"/>
  <c r="FO212" i="11"/>
  <c r="FP212" i="11"/>
  <c r="FQ212" i="11"/>
  <c r="FR212" i="11"/>
  <c r="FS212" i="11"/>
  <c r="FT212" i="11"/>
  <c r="FU212" i="11"/>
  <c r="FV212" i="11"/>
  <c r="FW212" i="11"/>
  <c r="FX212" i="11"/>
  <c r="FY212" i="11"/>
  <c r="FZ212" i="11"/>
  <c r="GA212" i="11"/>
  <c r="GB212" i="11"/>
  <c r="GC212" i="11"/>
  <c r="GD212" i="11"/>
  <c r="GE212" i="11"/>
  <c r="GF212" i="11"/>
  <c r="GG212" i="11"/>
  <c r="GH212" i="11"/>
  <c r="GI212" i="11"/>
  <c r="GJ212" i="11"/>
  <c r="GK212" i="11"/>
  <c r="GL212" i="11"/>
  <c r="GM212" i="11"/>
  <c r="GN212" i="11"/>
  <c r="GO212" i="11"/>
  <c r="GP212" i="11"/>
  <c r="GQ212" i="11"/>
  <c r="GR212" i="11"/>
  <c r="GS212" i="11"/>
  <c r="GT212" i="11"/>
  <c r="GU212" i="11"/>
  <c r="GV212" i="11"/>
  <c r="GW212" i="11"/>
  <c r="GX212" i="11"/>
  <c r="GY212" i="11"/>
  <c r="GZ212" i="11"/>
  <c r="HA212" i="11"/>
  <c r="HB212" i="11"/>
  <c r="HC212" i="11"/>
  <c r="HD212" i="11"/>
  <c r="HE212" i="11"/>
  <c r="HF212" i="11"/>
  <c r="HG212" i="11"/>
  <c r="HH212" i="11"/>
  <c r="HI212" i="11"/>
  <c r="HJ212" i="11"/>
  <c r="HK212" i="11"/>
  <c r="HL212" i="11"/>
  <c r="HM212" i="11"/>
  <c r="HN212" i="11"/>
  <c r="HO212" i="11"/>
  <c r="HP212" i="11"/>
  <c r="HQ212" i="11"/>
  <c r="HR212" i="11"/>
  <c r="HS212" i="11"/>
  <c r="HT212" i="11"/>
  <c r="HU212" i="11"/>
  <c r="HV212" i="11"/>
  <c r="HW212" i="11"/>
  <c r="HX212" i="11"/>
  <c r="HY212" i="11"/>
  <c r="HZ212" i="11"/>
  <c r="IA212" i="11"/>
  <c r="IB212" i="11"/>
  <c r="IC212" i="11"/>
  <c r="ID212" i="11"/>
  <c r="IE212" i="11"/>
  <c r="IF212" i="11"/>
  <c r="IG212" i="11"/>
  <c r="IH212" i="11"/>
  <c r="II212" i="11"/>
  <c r="IJ212" i="11"/>
  <c r="IK212" i="11"/>
  <c r="IL212" i="11"/>
  <c r="IM212" i="11"/>
  <c r="IN212" i="11"/>
  <c r="IO212" i="11"/>
  <c r="IP212" i="11"/>
  <c r="IQ212" i="11"/>
  <c r="IR212" i="11"/>
  <c r="IS212" i="11"/>
  <c r="IT212" i="11"/>
  <c r="IU212" i="11"/>
  <c r="IV212" i="11"/>
  <c r="F213" i="11"/>
  <c r="G213" i="11"/>
  <c r="H213" i="11"/>
  <c r="I213" i="11"/>
  <c r="J213" i="11"/>
  <c r="K213" i="11"/>
  <c r="L213" i="11"/>
  <c r="M213" i="11"/>
  <c r="N213" i="11"/>
  <c r="O213" i="11"/>
  <c r="P213" i="11"/>
  <c r="Q213" i="11"/>
  <c r="R213" i="11"/>
  <c r="S213" i="11"/>
  <c r="T213" i="11"/>
  <c r="U213" i="11"/>
  <c r="V213" i="11"/>
  <c r="W213" i="11"/>
  <c r="X213" i="11"/>
  <c r="Y213" i="11"/>
  <c r="Z213" i="11"/>
  <c r="AA213" i="11"/>
  <c r="AB213" i="11"/>
  <c r="AC213" i="11"/>
  <c r="AD213" i="11"/>
  <c r="AE213" i="11"/>
  <c r="AF213" i="11"/>
  <c r="AG213" i="11"/>
  <c r="AH213" i="11"/>
  <c r="AI213" i="11"/>
  <c r="AJ213" i="11"/>
  <c r="AK213" i="11"/>
  <c r="AL213" i="11"/>
  <c r="AM213" i="11"/>
  <c r="AN213" i="11"/>
  <c r="AO213" i="11"/>
  <c r="AP213" i="11"/>
  <c r="AQ213" i="11"/>
  <c r="AR213" i="11"/>
  <c r="AS213" i="11"/>
  <c r="AT213" i="11"/>
  <c r="AU213" i="11"/>
  <c r="AV213" i="11"/>
  <c r="AW213" i="11"/>
  <c r="AX213" i="11"/>
  <c r="AY213" i="11"/>
  <c r="AZ213" i="11"/>
  <c r="BA213" i="11"/>
  <c r="BB213" i="11"/>
  <c r="BC213" i="11"/>
  <c r="BD213" i="11"/>
  <c r="BE213" i="11"/>
  <c r="BF213" i="11"/>
  <c r="BG213" i="11"/>
  <c r="BH213" i="11"/>
  <c r="BI213" i="11"/>
  <c r="BJ213" i="11"/>
  <c r="BK213" i="11"/>
  <c r="BL213" i="11"/>
  <c r="BM213" i="11"/>
  <c r="BN213" i="11"/>
  <c r="BO213" i="11"/>
  <c r="BP213" i="11"/>
  <c r="BQ213" i="11"/>
  <c r="BR213" i="11"/>
  <c r="BS213" i="11"/>
  <c r="BT213" i="11"/>
  <c r="BU213" i="11"/>
  <c r="BV213" i="11"/>
  <c r="BW213" i="11"/>
  <c r="BX213" i="11"/>
  <c r="BY213" i="11"/>
  <c r="BZ213" i="11"/>
  <c r="CA213" i="11"/>
  <c r="CB213" i="11"/>
  <c r="CC213" i="11"/>
  <c r="CD213" i="11"/>
  <c r="CE213" i="11"/>
  <c r="CF213" i="11"/>
  <c r="CG213" i="11"/>
  <c r="CH213" i="11"/>
  <c r="CI213" i="11"/>
  <c r="CJ213" i="11"/>
  <c r="CK213" i="11"/>
  <c r="CL213" i="11"/>
  <c r="CM213" i="11"/>
  <c r="CN213" i="11"/>
  <c r="CO213" i="11"/>
  <c r="CP213" i="11"/>
  <c r="CQ213" i="11"/>
  <c r="CR213" i="11"/>
  <c r="CS213" i="11"/>
  <c r="CT213" i="11"/>
  <c r="CU213" i="11"/>
  <c r="CV213" i="11"/>
  <c r="CW213" i="11"/>
  <c r="CX213" i="11"/>
  <c r="CY213" i="11"/>
  <c r="CZ213" i="11"/>
  <c r="DA213" i="11"/>
  <c r="DB213" i="11"/>
  <c r="DC213" i="11"/>
  <c r="DD213" i="11"/>
  <c r="DE213" i="11"/>
  <c r="DF213" i="11"/>
  <c r="DG213" i="11"/>
  <c r="DH213" i="11"/>
  <c r="DI213" i="11"/>
  <c r="DJ213" i="11"/>
  <c r="DK213" i="11"/>
  <c r="DL213" i="11"/>
  <c r="DM213" i="11"/>
  <c r="DN213" i="11"/>
  <c r="DO213" i="11"/>
  <c r="DP213" i="11"/>
  <c r="DQ213" i="11"/>
  <c r="DR213" i="11"/>
  <c r="DS213" i="11"/>
  <c r="DT213" i="11"/>
  <c r="DU213" i="11"/>
  <c r="DV213" i="11"/>
  <c r="DW213" i="11"/>
  <c r="DX213" i="11"/>
  <c r="DY213" i="11"/>
  <c r="DZ213" i="11"/>
  <c r="EA213" i="11"/>
  <c r="EB213" i="11"/>
  <c r="EC213" i="11"/>
  <c r="ED213" i="11"/>
  <c r="EE213" i="11"/>
  <c r="EF213" i="11"/>
  <c r="EG213" i="11"/>
  <c r="EH213" i="11"/>
  <c r="EI213" i="11"/>
  <c r="EJ213" i="11"/>
  <c r="EK213" i="11"/>
  <c r="EL213" i="11"/>
  <c r="EM213" i="11"/>
  <c r="EN213" i="11"/>
  <c r="EO213" i="11"/>
  <c r="EP213" i="11"/>
  <c r="EQ213" i="11"/>
  <c r="ER213" i="11"/>
  <c r="ES213" i="11"/>
  <c r="ET213" i="11"/>
  <c r="EU213" i="11"/>
  <c r="EV213" i="11"/>
  <c r="EW213" i="11"/>
  <c r="EX213" i="11"/>
  <c r="EY213" i="11"/>
  <c r="EZ213" i="11"/>
  <c r="FA213" i="11"/>
  <c r="FB213" i="11"/>
  <c r="FC213" i="11"/>
  <c r="FD213" i="11"/>
  <c r="FE213" i="11"/>
  <c r="FF213" i="11"/>
  <c r="FG213" i="11"/>
  <c r="FH213" i="11"/>
  <c r="FI213" i="11"/>
  <c r="FJ213" i="11"/>
  <c r="FK213" i="11"/>
  <c r="FL213" i="11"/>
  <c r="FM213" i="11"/>
  <c r="FN213" i="11"/>
  <c r="FO213" i="11"/>
  <c r="FP213" i="11"/>
  <c r="FQ213" i="11"/>
  <c r="FR213" i="11"/>
  <c r="FS213" i="11"/>
  <c r="FT213" i="11"/>
  <c r="FU213" i="11"/>
  <c r="FV213" i="11"/>
  <c r="FW213" i="11"/>
  <c r="FX213" i="11"/>
  <c r="FY213" i="11"/>
  <c r="FZ213" i="11"/>
  <c r="GA213" i="11"/>
  <c r="GB213" i="11"/>
  <c r="GC213" i="11"/>
  <c r="GD213" i="11"/>
  <c r="GE213" i="11"/>
  <c r="GF213" i="11"/>
  <c r="GG213" i="11"/>
  <c r="GH213" i="11"/>
  <c r="GI213" i="11"/>
  <c r="GJ213" i="11"/>
  <c r="GK213" i="11"/>
  <c r="GL213" i="11"/>
  <c r="GM213" i="11"/>
  <c r="GN213" i="11"/>
  <c r="GO213" i="11"/>
  <c r="GP213" i="11"/>
  <c r="GQ213" i="11"/>
  <c r="GR213" i="11"/>
  <c r="GS213" i="11"/>
  <c r="GT213" i="11"/>
  <c r="GU213" i="11"/>
  <c r="GV213" i="11"/>
  <c r="GW213" i="11"/>
  <c r="GX213" i="11"/>
  <c r="GY213" i="11"/>
  <c r="GZ213" i="11"/>
  <c r="HA213" i="11"/>
  <c r="HB213" i="11"/>
  <c r="HC213" i="11"/>
  <c r="HD213" i="11"/>
  <c r="HE213" i="11"/>
  <c r="HF213" i="11"/>
  <c r="HG213" i="11"/>
  <c r="HH213" i="11"/>
  <c r="HI213" i="11"/>
  <c r="HJ213" i="11"/>
  <c r="HK213" i="11"/>
  <c r="HL213" i="11"/>
  <c r="HM213" i="11"/>
  <c r="HN213" i="11"/>
  <c r="HO213" i="11"/>
  <c r="HP213" i="11"/>
  <c r="HQ213" i="11"/>
  <c r="HR213" i="11"/>
  <c r="HS213" i="11"/>
  <c r="HT213" i="11"/>
  <c r="HU213" i="11"/>
  <c r="HV213" i="11"/>
  <c r="HW213" i="11"/>
  <c r="HX213" i="11"/>
  <c r="HY213" i="11"/>
  <c r="HZ213" i="11"/>
  <c r="IA213" i="11"/>
  <c r="IB213" i="11"/>
  <c r="IC213" i="11"/>
  <c r="ID213" i="11"/>
  <c r="IE213" i="11"/>
  <c r="IF213" i="11"/>
  <c r="IG213" i="11"/>
  <c r="IH213" i="11"/>
  <c r="II213" i="11"/>
  <c r="IJ213" i="11"/>
  <c r="IK213" i="11"/>
  <c r="IL213" i="11"/>
  <c r="IM213" i="11"/>
  <c r="IN213" i="11"/>
  <c r="IO213" i="11"/>
  <c r="IP213" i="11"/>
  <c r="IQ213" i="11"/>
  <c r="IR213" i="11"/>
  <c r="IS213" i="11"/>
  <c r="IT213" i="11"/>
  <c r="IU213" i="11"/>
  <c r="IV213" i="11"/>
  <c r="F214" i="11"/>
  <c r="G214" i="11"/>
  <c r="H214" i="11"/>
  <c r="I214" i="11"/>
  <c r="J214" i="11"/>
  <c r="K214" i="11"/>
  <c r="L214" i="11"/>
  <c r="M214" i="11"/>
  <c r="N214" i="11"/>
  <c r="O214" i="11"/>
  <c r="P214" i="11"/>
  <c r="Q214" i="11"/>
  <c r="R214" i="11"/>
  <c r="S214" i="11"/>
  <c r="T214" i="11"/>
  <c r="U214" i="11"/>
  <c r="V214" i="11"/>
  <c r="W214" i="11"/>
  <c r="X214" i="11"/>
  <c r="Y214" i="11"/>
  <c r="Z214" i="11"/>
  <c r="AA214" i="11"/>
  <c r="AB214" i="11"/>
  <c r="AC214" i="11"/>
  <c r="AD214" i="11"/>
  <c r="AE214" i="11"/>
  <c r="AF214" i="11"/>
  <c r="AG214" i="11"/>
  <c r="AH214" i="11"/>
  <c r="AI214" i="11"/>
  <c r="AJ214" i="11"/>
  <c r="AK214" i="11"/>
  <c r="AL214" i="11"/>
  <c r="AM214" i="11"/>
  <c r="AN214" i="11"/>
  <c r="AO214" i="11"/>
  <c r="AP214" i="11"/>
  <c r="AQ214" i="11"/>
  <c r="AR214" i="11"/>
  <c r="AS214" i="11"/>
  <c r="AT214" i="11"/>
  <c r="AU214" i="11"/>
  <c r="AV214" i="11"/>
  <c r="AW214" i="11"/>
  <c r="AX214" i="11"/>
  <c r="AY214" i="11"/>
  <c r="AZ214" i="11"/>
  <c r="BA214" i="11"/>
  <c r="BB214" i="11"/>
  <c r="BC214" i="11"/>
  <c r="BD214" i="11"/>
  <c r="BE214" i="11"/>
  <c r="BF214" i="11"/>
  <c r="BG214" i="11"/>
  <c r="BH214" i="11"/>
  <c r="BI214" i="11"/>
  <c r="BJ214" i="11"/>
  <c r="BK214" i="11"/>
  <c r="BL214" i="11"/>
  <c r="BM214" i="11"/>
  <c r="BN214" i="11"/>
  <c r="BO214" i="11"/>
  <c r="BP214" i="11"/>
  <c r="BQ214" i="11"/>
  <c r="BR214" i="11"/>
  <c r="BS214" i="11"/>
  <c r="BT214" i="11"/>
  <c r="BU214" i="11"/>
  <c r="BV214" i="11"/>
  <c r="BW214" i="11"/>
  <c r="BX214" i="11"/>
  <c r="BY214" i="11"/>
  <c r="BZ214" i="11"/>
  <c r="CA214" i="11"/>
  <c r="CB214" i="11"/>
  <c r="CC214" i="11"/>
  <c r="CD214" i="11"/>
  <c r="CE214" i="11"/>
  <c r="CF214" i="11"/>
  <c r="CG214" i="11"/>
  <c r="CH214" i="11"/>
  <c r="CI214" i="11"/>
  <c r="CJ214" i="11"/>
  <c r="CK214" i="11"/>
  <c r="CL214" i="11"/>
  <c r="CM214" i="11"/>
  <c r="CN214" i="11"/>
  <c r="CO214" i="11"/>
  <c r="CP214" i="11"/>
  <c r="CQ214" i="11"/>
  <c r="CR214" i="11"/>
  <c r="CS214" i="11"/>
  <c r="CT214" i="11"/>
  <c r="CU214" i="11"/>
  <c r="CV214" i="11"/>
  <c r="CW214" i="11"/>
  <c r="CX214" i="11"/>
  <c r="CY214" i="11"/>
  <c r="CZ214" i="11"/>
  <c r="DA214" i="11"/>
  <c r="DB214" i="11"/>
  <c r="DC214" i="11"/>
  <c r="DD214" i="11"/>
  <c r="DE214" i="11"/>
  <c r="DF214" i="11"/>
  <c r="DG214" i="11"/>
  <c r="DH214" i="11"/>
  <c r="DI214" i="11"/>
  <c r="DJ214" i="11"/>
  <c r="DK214" i="11"/>
  <c r="DL214" i="11"/>
  <c r="DM214" i="11"/>
  <c r="DN214" i="11"/>
  <c r="DO214" i="11"/>
  <c r="DP214" i="11"/>
  <c r="DQ214" i="11"/>
  <c r="DR214" i="11"/>
  <c r="DS214" i="11"/>
  <c r="DT214" i="11"/>
  <c r="DU214" i="11"/>
  <c r="DV214" i="11"/>
  <c r="DW214" i="11"/>
  <c r="DX214" i="11"/>
  <c r="DY214" i="11"/>
  <c r="DZ214" i="11"/>
  <c r="EA214" i="11"/>
  <c r="EB214" i="11"/>
  <c r="EC214" i="11"/>
  <c r="ED214" i="11"/>
  <c r="EE214" i="11"/>
  <c r="EF214" i="11"/>
  <c r="EG214" i="11"/>
  <c r="EH214" i="11"/>
  <c r="EI214" i="11"/>
  <c r="EJ214" i="11"/>
  <c r="EK214" i="11"/>
  <c r="EL214" i="11"/>
  <c r="EM214" i="11"/>
  <c r="EN214" i="11"/>
  <c r="EO214" i="11"/>
  <c r="EP214" i="11"/>
  <c r="EQ214" i="11"/>
  <c r="ER214" i="11"/>
  <c r="ES214" i="11"/>
  <c r="ET214" i="11"/>
  <c r="EU214" i="11"/>
  <c r="EV214" i="11"/>
  <c r="EW214" i="11"/>
  <c r="EX214" i="11"/>
  <c r="EY214" i="11"/>
  <c r="EZ214" i="11"/>
  <c r="FA214" i="11"/>
  <c r="FB214" i="11"/>
  <c r="FC214" i="11"/>
  <c r="FD214" i="11"/>
  <c r="FE214" i="11"/>
  <c r="FF214" i="11"/>
  <c r="FG214" i="11"/>
  <c r="FH214" i="11"/>
  <c r="FI214" i="11"/>
  <c r="FJ214" i="11"/>
  <c r="FK214" i="11"/>
  <c r="FL214" i="11"/>
  <c r="FM214" i="11"/>
  <c r="FN214" i="11"/>
  <c r="FO214" i="11"/>
  <c r="FP214" i="11"/>
  <c r="FQ214" i="11"/>
  <c r="FR214" i="11"/>
  <c r="FS214" i="11"/>
  <c r="FT214" i="11"/>
  <c r="FU214" i="11"/>
  <c r="FV214" i="11"/>
  <c r="FW214" i="11"/>
  <c r="FX214" i="11"/>
  <c r="FY214" i="11"/>
  <c r="FZ214" i="11"/>
  <c r="GA214" i="11"/>
  <c r="GB214" i="11"/>
  <c r="GC214" i="11"/>
  <c r="GD214" i="11"/>
  <c r="GE214" i="11"/>
  <c r="GF214" i="11"/>
  <c r="GG214" i="11"/>
  <c r="GH214" i="11"/>
  <c r="GI214" i="11"/>
  <c r="GJ214" i="11"/>
  <c r="GK214" i="11"/>
  <c r="GL214" i="11"/>
  <c r="GM214" i="11"/>
  <c r="GN214" i="11"/>
  <c r="GO214" i="11"/>
  <c r="GP214" i="11"/>
  <c r="GQ214" i="11"/>
  <c r="GR214" i="11"/>
  <c r="GS214" i="11"/>
  <c r="GT214" i="11"/>
  <c r="GU214" i="11"/>
  <c r="GV214" i="11"/>
  <c r="GW214" i="11"/>
  <c r="GX214" i="11"/>
  <c r="GY214" i="11"/>
  <c r="GZ214" i="11"/>
  <c r="HA214" i="11"/>
  <c r="HB214" i="11"/>
  <c r="HC214" i="11"/>
  <c r="HD214" i="11"/>
  <c r="HE214" i="11"/>
  <c r="HF214" i="11"/>
  <c r="HG214" i="11"/>
  <c r="HH214" i="11"/>
  <c r="HI214" i="11"/>
  <c r="HJ214" i="11"/>
  <c r="HK214" i="11"/>
  <c r="HL214" i="11"/>
  <c r="HM214" i="11"/>
  <c r="HN214" i="11"/>
  <c r="HO214" i="11"/>
  <c r="HP214" i="11"/>
  <c r="HQ214" i="11"/>
  <c r="HR214" i="11"/>
  <c r="HS214" i="11"/>
  <c r="HT214" i="11"/>
  <c r="HU214" i="11"/>
  <c r="HV214" i="11"/>
  <c r="HW214" i="11"/>
  <c r="HX214" i="11"/>
  <c r="HY214" i="11"/>
  <c r="HZ214" i="11"/>
  <c r="IA214" i="11"/>
  <c r="IB214" i="11"/>
  <c r="IC214" i="11"/>
  <c r="ID214" i="11"/>
  <c r="IE214" i="11"/>
  <c r="IF214" i="11"/>
  <c r="IG214" i="11"/>
  <c r="IH214" i="11"/>
  <c r="II214" i="11"/>
  <c r="IJ214" i="11"/>
  <c r="IK214" i="11"/>
  <c r="IL214" i="11"/>
  <c r="IM214" i="11"/>
  <c r="IN214" i="11"/>
  <c r="IO214" i="11"/>
  <c r="IP214" i="11"/>
  <c r="IQ214" i="11"/>
  <c r="IR214" i="11"/>
  <c r="IS214" i="11"/>
  <c r="IT214" i="11"/>
  <c r="IU214" i="11"/>
  <c r="IV214" i="11"/>
  <c r="F215" i="11"/>
  <c r="G215" i="11"/>
  <c r="H215" i="11"/>
  <c r="I215" i="11"/>
  <c r="J215" i="11"/>
  <c r="K215" i="11"/>
  <c r="L215" i="11"/>
  <c r="M215" i="11"/>
  <c r="N215" i="11"/>
  <c r="O215" i="11"/>
  <c r="P215" i="11"/>
  <c r="Q215" i="11"/>
  <c r="R215" i="11"/>
  <c r="S215" i="11"/>
  <c r="T215" i="11"/>
  <c r="U215" i="11"/>
  <c r="V215" i="11"/>
  <c r="W215" i="11"/>
  <c r="X215" i="11"/>
  <c r="Y215" i="11"/>
  <c r="Z215" i="11"/>
  <c r="AA215" i="11"/>
  <c r="AB215" i="11"/>
  <c r="AC215" i="11"/>
  <c r="AD215" i="11"/>
  <c r="AE215" i="11"/>
  <c r="AF215" i="11"/>
  <c r="AG215" i="11"/>
  <c r="AH215" i="11"/>
  <c r="AI215" i="11"/>
  <c r="AJ215" i="11"/>
  <c r="AK215" i="11"/>
  <c r="AL215" i="11"/>
  <c r="AM215" i="11"/>
  <c r="AN215" i="11"/>
  <c r="AO215" i="11"/>
  <c r="AP215" i="11"/>
  <c r="AQ215" i="11"/>
  <c r="AR215" i="11"/>
  <c r="AS215" i="11"/>
  <c r="AT215" i="11"/>
  <c r="AU215" i="11"/>
  <c r="AV215" i="11"/>
  <c r="AW215" i="11"/>
  <c r="AX215" i="11"/>
  <c r="AY215" i="11"/>
  <c r="AZ215" i="11"/>
  <c r="BA215" i="11"/>
  <c r="BB215" i="11"/>
  <c r="BC215" i="11"/>
  <c r="BD215" i="11"/>
  <c r="BE215" i="11"/>
  <c r="BF215" i="11"/>
  <c r="BG215" i="11"/>
  <c r="BH215" i="11"/>
  <c r="BI215" i="11"/>
  <c r="BJ215" i="11"/>
  <c r="BK215" i="11"/>
  <c r="BL215" i="11"/>
  <c r="BM215" i="11"/>
  <c r="BN215" i="11"/>
  <c r="BO215" i="11"/>
  <c r="BP215" i="11"/>
  <c r="BQ215" i="11"/>
  <c r="BR215" i="11"/>
  <c r="BS215" i="11"/>
  <c r="BT215" i="11"/>
  <c r="BU215" i="11"/>
  <c r="BV215" i="11"/>
  <c r="BW215" i="11"/>
  <c r="BX215" i="11"/>
  <c r="BY215" i="11"/>
  <c r="BZ215" i="11"/>
  <c r="CA215" i="11"/>
  <c r="CB215" i="11"/>
  <c r="CC215" i="11"/>
  <c r="CD215" i="11"/>
  <c r="CE215" i="11"/>
  <c r="CF215" i="11"/>
  <c r="CG215" i="11"/>
  <c r="CH215" i="11"/>
  <c r="CI215" i="11"/>
  <c r="CJ215" i="11"/>
  <c r="CK215" i="11"/>
  <c r="CL215" i="11"/>
  <c r="CM215" i="11"/>
  <c r="CN215" i="11"/>
  <c r="CO215" i="11"/>
  <c r="CP215" i="11"/>
  <c r="CQ215" i="11"/>
  <c r="CR215" i="11"/>
  <c r="CS215" i="11"/>
  <c r="CT215" i="11"/>
  <c r="CU215" i="11"/>
  <c r="CV215" i="11"/>
  <c r="CW215" i="11"/>
  <c r="CX215" i="11"/>
  <c r="CY215" i="11"/>
  <c r="CZ215" i="11"/>
  <c r="DA215" i="11"/>
  <c r="DB215" i="11"/>
  <c r="DC215" i="11"/>
  <c r="DD215" i="11"/>
  <c r="DE215" i="11"/>
  <c r="DF215" i="11"/>
  <c r="DG215" i="11"/>
  <c r="DH215" i="11"/>
  <c r="DI215" i="11"/>
  <c r="DJ215" i="11"/>
  <c r="DK215" i="11"/>
  <c r="DL215" i="11"/>
  <c r="DM215" i="11"/>
  <c r="DN215" i="11"/>
  <c r="DO215" i="11"/>
  <c r="DP215" i="11"/>
  <c r="DQ215" i="11"/>
  <c r="DR215" i="11"/>
  <c r="DS215" i="11"/>
  <c r="DT215" i="11"/>
  <c r="DU215" i="11"/>
  <c r="DV215" i="11"/>
  <c r="DW215" i="11"/>
  <c r="DX215" i="11"/>
  <c r="DY215" i="11"/>
  <c r="DZ215" i="11"/>
  <c r="EA215" i="11"/>
  <c r="EB215" i="11"/>
  <c r="EC215" i="11"/>
  <c r="ED215" i="11"/>
  <c r="EE215" i="11"/>
  <c r="EF215" i="11"/>
  <c r="EG215" i="11"/>
  <c r="EH215" i="11"/>
  <c r="EI215" i="11"/>
  <c r="EJ215" i="11"/>
  <c r="EK215" i="11"/>
  <c r="EL215" i="11"/>
  <c r="EM215" i="11"/>
  <c r="EN215" i="11"/>
  <c r="EO215" i="11"/>
  <c r="EP215" i="11"/>
  <c r="EQ215" i="11"/>
  <c r="ER215" i="11"/>
  <c r="ES215" i="11"/>
  <c r="ET215" i="11"/>
  <c r="EU215" i="11"/>
  <c r="EV215" i="11"/>
  <c r="EW215" i="11"/>
  <c r="EX215" i="11"/>
  <c r="EY215" i="11"/>
  <c r="EZ215" i="11"/>
  <c r="FA215" i="11"/>
  <c r="FB215" i="11"/>
  <c r="FC215" i="11"/>
  <c r="FD215" i="11"/>
  <c r="FE215" i="11"/>
  <c r="FF215" i="11"/>
  <c r="FG215" i="11"/>
  <c r="FH215" i="11"/>
  <c r="FI215" i="11"/>
  <c r="FJ215" i="11"/>
  <c r="FK215" i="11"/>
  <c r="FL215" i="11"/>
  <c r="FM215" i="11"/>
  <c r="FN215" i="11"/>
  <c r="FO215" i="11"/>
  <c r="FP215" i="11"/>
  <c r="FQ215" i="11"/>
  <c r="FR215" i="11"/>
  <c r="FS215" i="11"/>
  <c r="FT215" i="11"/>
  <c r="FU215" i="11"/>
  <c r="FV215" i="11"/>
  <c r="FW215" i="11"/>
  <c r="FX215" i="11"/>
  <c r="FY215" i="11"/>
  <c r="FZ215" i="11"/>
  <c r="GA215" i="11"/>
  <c r="GB215" i="11"/>
  <c r="GC215" i="11"/>
  <c r="GD215" i="11"/>
  <c r="GE215" i="11"/>
  <c r="GF215" i="11"/>
  <c r="GG215" i="11"/>
  <c r="GH215" i="11"/>
  <c r="GI215" i="11"/>
  <c r="GJ215" i="11"/>
  <c r="GK215" i="11"/>
  <c r="GL215" i="11"/>
  <c r="GM215" i="11"/>
  <c r="GN215" i="11"/>
  <c r="GO215" i="11"/>
  <c r="GP215" i="11"/>
  <c r="GQ215" i="11"/>
  <c r="GR215" i="11"/>
  <c r="GS215" i="11"/>
  <c r="GT215" i="11"/>
  <c r="GU215" i="11"/>
  <c r="GV215" i="11"/>
  <c r="GW215" i="11"/>
  <c r="GX215" i="11"/>
  <c r="GY215" i="11"/>
  <c r="GZ215" i="11"/>
  <c r="HA215" i="11"/>
  <c r="HB215" i="11"/>
  <c r="HC215" i="11"/>
  <c r="HD215" i="11"/>
  <c r="HE215" i="11"/>
  <c r="HF215" i="11"/>
  <c r="HG215" i="11"/>
  <c r="HH215" i="11"/>
  <c r="HI215" i="11"/>
  <c r="HJ215" i="11"/>
  <c r="HK215" i="11"/>
  <c r="HL215" i="11"/>
  <c r="HM215" i="11"/>
  <c r="HN215" i="11"/>
  <c r="HO215" i="11"/>
  <c r="HP215" i="11"/>
  <c r="HQ215" i="11"/>
  <c r="HR215" i="11"/>
  <c r="HS215" i="11"/>
  <c r="HT215" i="11"/>
  <c r="HU215" i="11"/>
  <c r="HV215" i="11"/>
  <c r="HW215" i="11"/>
  <c r="HX215" i="11"/>
  <c r="HY215" i="11"/>
  <c r="HZ215" i="11"/>
  <c r="IA215" i="11"/>
  <c r="IB215" i="11"/>
  <c r="IC215" i="11"/>
  <c r="ID215" i="11"/>
  <c r="IE215" i="11"/>
  <c r="IF215" i="11"/>
  <c r="IG215" i="11"/>
  <c r="IH215" i="11"/>
  <c r="II215" i="11"/>
  <c r="IJ215" i="11"/>
  <c r="IK215" i="11"/>
  <c r="IL215" i="11"/>
  <c r="IM215" i="11"/>
  <c r="IN215" i="11"/>
  <c r="IO215" i="11"/>
  <c r="IP215" i="11"/>
  <c r="IQ215" i="11"/>
  <c r="IR215" i="11"/>
  <c r="IS215" i="11"/>
  <c r="IT215" i="11"/>
  <c r="IU215" i="11"/>
  <c r="IV215" i="11"/>
  <c r="F216" i="11"/>
  <c r="G216" i="11"/>
  <c r="H216" i="11"/>
  <c r="I216" i="11"/>
  <c r="J216" i="11"/>
  <c r="K216" i="11"/>
  <c r="L216" i="11"/>
  <c r="M216" i="11"/>
  <c r="N216" i="11"/>
  <c r="O216" i="11"/>
  <c r="P216" i="11"/>
  <c r="Q216" i="11"/>
  <c r="R216" i="11"/>
  <c r="S216" i="11"/>
  <c r="T216" i="11"/>
  <c r="U216" i="11"/>
  <c r="V216" i="11"/>
  <c r="W216" i="11"/>
  <c r="X216" i="11"/>
  <c r="Y216" i="11"/>
  <c r="Z216" i="11"/>
  <c r="AA216" i="11"/>
  <c r="AB216" i="11"/>
  <c r="AC216" i="11"/>
  <c r="AD216" i="11"/>
  <c r="AE216" i="11"/>
  <c r="AF216" i="11"/>
  <c r="AG216" i="11"/>
  <c r="AH216" i="11"/>
  <c r="AI216" i="11"/>
  <c r="AJ216" i="11"/>
  <c r="AK216" i="11"/>
  <c r="AL216" i="11"/>
  <c r="AM216" i="11"/>
  <c r="AN216" i="11"/>
  <c r="AO216" i="11"/>
  <c r="AP216" i="11"/>
  <c r="AQ216" i="11"/>
  <c r="AR216" i="11"/>
  <c r="AS216" i="11"/>
  <c r="AT216" i="11"/>
  <c r="AU216" i="11"/>
  <c r="AV216" i="11"/>
  <c r="AW216" i="11"/>
  <c r="AX216" i="11"/>
  <c r="AY216" i="11"/>
  <c r="AZ216" i="11"/>
  <c r="BA216" i="11"/>
  <c r="BB216" i="11"/>
  <c r="BC216" i="11"/>
  <c r="BD216" i="11"/>
  <c r="BE216" i="11"/>
  <c r="BF216" i="11"/>
  <c r="BG216" i="11"/>
  <c r="BH216" i="11"/>
  <c r="BI216" i="11"/>
  <c r="BJ216" i="11"/>
  <c r="BK216" i="11"/>
  <c r="BL216" i="11"/>
  <c r="BM216" i="11"/>
  <c r="BN216" i="11"/>
  <c r="BO216" i="11"/>
  <c r="BP216" i="11"/>
  <c r="BQ216" i="11"/>
  <c r="BR216" i="11"/>
  <c r="BS216" i="11"/>
  <c r="BT216" i="11"/>
  <c r="BU216" i="11"/>
  <c r="BV216" i="11"/>
  <c r="BW216" i="11"/>
  <c r="BX216" i="11"/>
  <c r="BY216" i="11"/>
  <c r="BZ216" i="11"/>
  <c r="CA216" i="11"/>
  <c r="CB216" i="11"/>
  <c r="CC216" i="11"/>
  <c r="CD216" i="11"/>
  <c r="CE216" i="11"/>
  <c r="CF216" i="11"/>
  <c r="CG216" i="11"/>
  <c r="CH216" i="11"/>
  <c r="CI216" i="11"/>
  <c r="CJ216" i="11"/>
  <c r="CK216" i="11"/>
  <c r="CL216" i="11"/>
  <c r="CM216" i="11"/>
  <c r="CN216" i="11"/>
  <c r="CO216" i="11"/>
  <c r="CP216" i="11"/>
  <c r="CQ216" i="11"/>
  <c r="CR216" i="11"/>
  <c r="CS216" i="11"/>
  <c r="CT216" i="11"/>
  <c r="CU216" i="11"/>
  <c r="CV216" i="11"/>
  <c r="CW216" i="11"/>
  <c r="CX216" i="11"/>
  <c r="CY216" i="11"/>
  <c r="CZ216" i="11"/>
  <c r="DA216" i="11"/>
  <c r="DB216" i="11"/>
  <c r="DC216" i="11"/>
  <c r="DD216" i="11"/>
  <c r="DE216" i="11"/>
  <c r="DF216" i="11"/>
  <c r="DG216" i="11"/>
  <c r="DH216" i="11"/>
  <c r="DI216" i="11"/>
  <c r="DJ216" i="11"/>
  <c r="DK216" i="11"/>
  <c r="DL216" i="11"/>
  <c r="DM216" i="11"/>
  <c r="DN216" i="11"/>
  <c r="DO216" i="11"/>
  <c r="DP216" i="11"/>
  <c r="DQ216" i="11"/>
  <c r="DR216" i="11"/>
  <c r="DS216" i="11"/>
  <c r="DT216" i="11"/>
  <c r="DU216" i="11"/>
  <c r="DV216" i="11"/>
  <c r="DW216" i="11"/>
  <c r="DX216" i="11"/>
  <c r="DY216" i="11"/>
  <c r="DZ216" i="11"/>
  <c r="EA216" i="11"/>
  <c r="EB216" i="11"/>
  <c r="EC216" i="11"/>
  <c r="ED216" i="11"/>
  <c r="EE216" i="11"/>
  <c r="EF216" i="11"/>
  <c r="EG216" i="11"/>
  <c r="EH216" i="11"/>
  <c r="EI216" i="11"/>
  <c r="EJ216" i="11"/>
  <c r="EK216" i="11"/>
  <c r="EL216" i="11"/>
  <c r="EM216" i="11"/>
  <c r="EN216" i="11"/>
  <c r="EO216" i="11"/>
  <c r="EP216" i="11"/>
  <c r="EQ216" i="11"/>
  <c r="ER216" i="11"/>
  <c r="ES216" i="11"/>
  <c r="ET216" i="11"/>
  <c r="EU216" i="11"/>
  <c r="EV216" i="11"/>
  <c r="EW216" i="11"/>
  <c r="EX216" i="11"/>
  <c r="EY216" i="11"/>
  <c r="EZ216" i="11"/>
  <c r="FA216" i="11"/>
  <c r="FB216" i="11"/>
  <c r="FC216" i="11"/>
  <c r="FD216" i="11"/>
  <c r="FE216" i="11"/>
  <c r="FF216" i="11"/>
  <c r="FG216" i="11"/>
  <c r="FH216" i="11"/>
  <c r="FI216" i="11"/>
  <c r="FJ216" i="11"/>
  <c r="FK216" i="11"/>
  <c r="FL216" i="11"/>
  <c r="FM216" i="11"/>
  <c r="FN216" i="11"/>
  <c r="FO216" i="11"/>
  <c r="FP216" i="11"/>
  <c r="FQ216" i="11"/>
  <c r="FR216" i="11"/>
  <c r="FS216" i="11"/>
  <c r="FT216" i="11"/>
  <c r="FU216" i="11"/>
  <c r="FV216" i="11"/>
  <c r="FW216" i="11"/>
  <c r="FX216" i="11"/>
  <c r="FY216" i="11"/>
  <c r="FZ216" i="11"/>
  <c r="GA216" i="11"/>
  <c r="GB216" i="11"/>
  <c r="GC216" i="11"/>
  <c r="GD216" i="11"/>
  <c r="GE216" i="11"/>
  <c r="GF216" i="11"/>
  <c r="GG216" i="11"/>
  <c r="GH216" i="11"/>
  <c r="GI216" i="11"/>
  <c r="GJ216" i="11"/>
  <c r="GK216" i="11"/>
  <c r="GL216" i="11"/>
  <c r="GM216" i="11"/>
  <c r="GN216" i="11"/>
  <c r="GO216" i="11"/>
  <c r="GP216" i="11"/>
  <c r="GQ216" i="11"/>
  <c r="GR216" i="11"/>
  <c r="GS216" i="11"/>
  <c r="GT216" i="11"/>
  <c r="GU216" i="11"/>
  <c r="GV216" i="11"/>
  <c r="GW216" i="11"/>
  <c r="GX216" i="11"/>
  <c r="GY216" i="11"/>
  <c r="GZ216" i="11"/>
  <c r="HA216" i="11"/>
  <c r="HB216" i="11"/>
  <c r="HC216" i="11"/>
  <c r="HD216" i="11"/>
  <c r="HE216" i="11"/>
  <c r="HF216" i="11"/>
  <c r="HG216" i="11"/>
  <c r="HH216" i="11"/>
  <c r="HI216" i="11"/>
  <c r="HJ216" i="11"/>
  <c r="HK216" i="11"/>
  <c r="HL216" i="11"/>
  <c r="HM216" i="11"/>
  <c r="HN216" i="11"/>
  <c r="HO216" i="11"/>
  <c r="HP216" i="11"/>
  <c r="HQ216" i="11"/>
  <c r="HR216" i="11"/>
  <c r="HS216" i="11"/>
  <c r="HT216" i="11"/>
  <c r="HU216" i="11"/>
  <c r="HV216" i="11"/>
  <c r="HW216" i="11"/>
  <c r="HX216" i="11"/>
  <c r="HY216" i="11"/>
  <c r="HZ216" i="11"/>
  <c r="IA216" i="11"/>
  <c r="IB216" i="11"/>
  <c r="IC216" i="11"/>
  <c r="ID216" i="11"/>
  <c r="IE216" i="11"/>
  <c r="IF216" i="11"/>
  <c r="IG216" i="11"/>
  <c r="IH216" i="11"/>
  <c r="II216" i="11"/>
  <c r="IJ216" i="11"/>
  <c r="IK216" i="11"/>
  <c r="IL216" i="11"/>
  <c r="IM216" i="11"/>
  <c r="IN216" i="11"/>
  <c r="IO216" i="11"/>
  <c r="IP216" i="11"/>
  <c r="IQ216" i="11"/>
  <c r="IR216" i="11"/>
  <c r="IS216" i="11"/>
  <c r="IT216" i="11"/>
  <c r="IU216" i="11"/>
  <c r="IV216" i="11"/>
  <c r="F217" i="11"/>
  <c r="G217" i="11"/>
  <c r="H217" i="11"/>
  <c r="I217" i="11"/>
  <c r="J217" i="11"/>
  <c r="K217" i="11"/>
  <c r="L217" i="11"/>
  <c r="M217" i="11"/>
  <c r="N217" i="11"/>
  <c r="O217" i="11"/>
  <c r="P217" i="11"/>
  <c r="Q217" i="11"/>
  <c r="R217" i="11"/>
  <c r="S217" i="11"/>
  <c r="T217" i="11"/>
  <c r="U217" i="11"/>
  <c r="V217" i="11"/>
  <c r="W217" i="11"/>
  <c r="X217" i="11"/>
  <c r="Y217" i="11"/>
  <c r="Z217" i="11"/>
  <c r="AA217" i="11"/>
  <c r="AB217" i="11"/>
  <c r="AC217" i="11"/>
  <c r="AD217" i="11"/>
  <c r="AE217" i="11"/>
  <c r="AF217" i="11"/>
  <c r="AG217" i="11"/>
  <c r="AH217" i="11"/>
  <c r="AI217" i="11"/>
  <c r="AJ217" i="11"/>
  <c r="AK217" i="11"/>
  <c r="AL217" i="11"/>
  <c r="AM217" i="11"/>
  <c r="AN217" i="11"/>
  <c r="AO217" i="11"/>
  <c r="AP217" i="11"/>
  <c r="AQ217" i="11"/>
  <c r="AR217" i="11"/>
  <c r="AS217" i="11"/>
  <c r="AT217" i="11"/>
  <c r="AU217" i="11"/>
  <c r="AV217" i="11"/>
  <c r="AW217" i="11"/>
  <c r="AX217" i="11"/>
  <c r="AY217" i="11"/>
  <c r="AZ217" i="11"/>
  <c r="BA217" i="11"/>
  <c r="BB217" i="11"/>
  <c r="BC217" i="11"/>
  <c r="BD217" i="11"/>
  <c r="BE217" i="11"/>
  <c r="BF217" i="11"/>
  <c r="BG217" i="11"/>
  <c r="BH217" i="11"/>
  <c r="BI217" i="11"/>
  <c r="BJ217" i="11"/>
  <c r="BK217" i="11"/>
  <c r="BL217" i="11"/>
  <c r="BM217" i="11"/>
  <c r="BN217" i="11"/>
  <c r="BO217" i="11"/>
  <c r="BP217" i="11"/>
  <c r="BQ217" i="11"/>
  <c r="BR217" i="11"/>
  <c r="BS217" i="11"/>
  <c r="BT217" i="11"/>
  <c r="BU217" i="11"/>
  <c r="BV217" i="11"/>
  <c r="BW217" i="11"/>
  <c r="BX217" i="11"/>
  <c r="BY217" i="11"/>
  <c r="BZ217" i="11"/>
  <c r="CA217" i="11"/>
  <c r="CB217" i="11"/>
  <c r="CC217" i="11"/>
  <c r="CD217" i="11"/>
  <c r="CE217" i="11"/>
  <c r="CF217" i="11"/>
  <c r="CG217" i="11"/>
  <c r="CH217" i="11"/>
  <c r="CI217" i="11"/>
  <c r="CJ217" i="11"/>
  <c r="CK217" i="11"/>
  <c r="CL217" i="11"/>
  <c r="CM217" i="11"/>
  <c r="CN217" i="11"/>
  <c r="CO217" i="11"/>
  <c r="CP217" i="11"/>
  <c r="CQ217" i="11"/>
  <c r="CR217" i="11"/>
  <c r="CS217" i="11"/>
  <c r="CT217" i="11"/>
  <c r="CU217" i="11"/>
  <c r="CV217" i="11"/>
  <c r="CW217" i="11"/>
  <c r="CX217" i="11"/>
  <c r="CY217" i="11"/>
  <c r="CZ217" i="11"/>
  <c r="DA217" i="11"/>
  <c r="DB217" i="11"/>
  <c r="DC217" i="11"/>
  <c r="DD217" i="11"/>
  <c r="DE217" i="11"/>
  <c r="DF217" i="11"/>
  <c r="DG217" i="11"/>
  <c r="DH217" i="11"/>
  <c r="DI217" i="11"/>
  <c r="DJ217" i="11"/>
  <c r="DK217" i="11"/>
  <c r="DL217" i="11"/>
  <c r="DM217" i="11"/>
  <c r="DN217" i="11"/>
  <c r="DO217" i="11"/>
  <c r="DP217" i="11"/>
  <c r="DQ217" i="11"/>
  <c r="DR217" i="11"/>
  <c r="DS217" i="11"/>
  <c r="DT217" i="11"/>
  <c r="DU217" i="11"/>
  <c r="DV217" i="11"/>
  <c r="DW217" i="11"/>
  <c r="DX217" i="11"/>
  <c r="DY217" i="11"/>
  <c r="DZ217" i="11"/>
  <c r="EA217" i="11"/>
  <c r="EB217" i="11"/>
  <c r="EC217" i="11"/>
  <c r="ED217" i="11"/>
  <c r="EE217" i="11"/>
  <c r="EF217" i="11"/>
  <c r="EG217" i="11"/>
  <c r="EH217" i="11"/>
  <c r="EI217" i="11"/>
  <c r="EJ217" i="11"/>
  <c r="EK217" i="11"/>
  <c r="EL217" i="11"/>
  <c r="EM217" i="11"/>
  <c r="EN217" i="11"/>
  <c r="EO217" i="11"/>
  <c r="EP217" i="11"/>
  <c r="EQ217" i="11"/>
  <c r="ER217" i="11"/>
  <c r="ES217" i="11"/>
  <c r="ET217" i="11"/>
  <c r="EU217" i="11"/>
  <c r="EV217" i="11"/>
  <c r="EW217" i="11"/>
  <c r="EX217" i="11"/>
  <c r="EY217" i="11"/>
  <c r="EZ217" i="11"/>
  <c r="FA217" i="11"/>
  <c r="FB217" i="11"/>
  <c r="FC217" i="11"/>
  <c r="FD217" i="11"/>
  <c r="FE217" i="11"/>
  <c r="FF217" i="11"/>
  <c r="FG217" i="11"/>
  <c r="FH217" i="11"/>
  <c r="FI217" i="11"/>
  <c r="FJ217" i="11"/>
  <c r="FK217" i="11"/>
  <c r="FL217" i="11"/>
  <c r="FM217" i="11"/>
  <c r="FN217" i="11"/>
  <c r="FO217" i="11"/>
  <c r="FP217" i="11"/>
  <c r="FQ217" i="11"/>
  <c r="FR217" i="11"/>
  <c r="FS217" i="11"/>
  <c r="FT217" i="11"/>
  <c r="FU217" i="11"/>
  <c r="FV217" i="11"/>
  <c r="FW217" i="11"/>
  <c r="FX217" i="11"/>
  <c r="FY217" i="11"/>
  <c r="FZ217" i="11"/>
  <c r="GA217" i="11"/>
  <c r="GB217" i="11"/>
  <c r="GC217" i="11"/>
  <c r="GD217" i="11"/>
  <c r="GE217" i="11"/>
  <c r="GF217" i="11"/>
  <c r="GG217" i="11"/>
  <c r="GH217" i="11"/>
  <c r="GI217" i="11"/>
  <c r="GJ217" i="11"/>
  <c r="GK217" i="11"/>
  <c r="GL217" i="11"/>
  <c r="GM217" i="11"/>
  <c r="GN217" i="11"/>
  <c r="GO217" i="11"/>
  <c r="GP217" i="11"/>
  <c r="GQ217" i="11"/>
  <c r="GR217" i="11"/>
  <c r="GS217" i="11"/>
  <c r="GT217" i="11"/>
  <c r="GU217" i="11"/>
  <c r="GV217" i="11"/>
  <c r="GW217" i="11"/>
  <c r="GX217" i="11"/>
  <c r="GY217" i="11"/>
  <c r="GZ217" i="11"/>
  <c r="HA217" i="11"/>
  <c r="HB217" i="11"/>
  <c r="HC217" i="11"/>
  <c r="HD217" i="11"/>
  <c r="HE217" i="11"/>
  <c r="HF217" i="11"/>
  <c r="HG217" i="11"/>
  <c r="HH217" i="11"/>
  <c r="HI217" i="11"/>
  <c r="HJ217" i="11"/>
  <c r="HK217" i="11"/>
  <c r="HL217" i="11"/>
  <c r="HM217" i="11"/>
  <c r="HN217" i="11"/>
  <c r="HO217" i="11"/>
  <c r="HP217" i="11"/>
  <c r="HQ217" i="11"/>
  <c r="HR217" i="11"/>
  <c r="HS217" i="11"/>
  <c r="HT217" i="11"/>
  <c r="HU217" i="11"/>
  <c r="HV217" i="11"/>
  <c r="HW217" i="11"/>
  <c r="HX217" i="11"/>
  <c r="HY217" i="11"/>
  <c r="HZ217" i="11"/>
  <c r="IA217" i="11"/>
  <c r="IB217" i="11"/>
  <c r="IC217" i="11"/>
  <c r="ID217" i="11"/>
  <c r="IE217" i="11"/>
  <c r="IF217" i="11"/>
  <c r="IG217" i="11"/>
  <c r="IH217" i="11"/>
  <c r="II217" i="11"/>
  <c r="IJ217" i="11"/>
  <c r="IK217" i="11"/>
  <c r="IL217" i="11"/>
  <c r="IM217" i="11"/>
  <c r="IN217" i="11"/>
  <c r="IO217" i="11"/>
  <c r="IP217" i="11"/>
  <c r="IQ217" i="11"/>
  <c r="IR217" i="11"/>
  <c r="IS217" i="11"/>
  <c r="IT217" i="11"/>
  <c r="IU217" i="11"/>
  <c r="IV217" i="11"/>
  <c r="F218" i="11"/>
  <c r="G218" i="11"/>
  <c r="H218" i="11"/>
  <c r="I218" i="11"/>
  <c r="J218" i="11"/>
  <c r="K218" i="11"/>
  <c r="L218" i="11"/>
  <c r="M218" i="11"/>
  <c r="N218" i="11"/>
  <c r="O218" i="11"/>
  <c r="P218" i="11"/>
  <c r="Q218" i="11"/>
  <c r="R218" i="11"/>
  <c r="S218" i="11"/>
  <c r="T218" i="11"/>
  <c r="U218" i="11"/>
  <c r="V218" i="11"/>
  <c r="W218" i="11"/>
  <c r="X218" i="11"/>
  <c r="Y218" i="11"/>
  <c r="Z218" i="11"/>
  <c r="AA218" i="11"/>
  <c r="AB218" i="11"/>
  <c r="AC218" i="11"/>
  <c r="AD218" i="11"/>
  <c r="AE218" i="11"/>
  <c r="AF218" i="11"/>
  <c r="AG218" i="11"/>
  <c r="AH218" i="11"/>
  <c r="AI218" i="11"/>
  <c r="AJ218" i="11"/>
  <c r="AK218" i="11"/>
  <c r="AL218" i="11"/>
  <c r="AM218" i="11"/>
  <c r="AN218" i="11"/>
  <c r="AO218" i="11"/>
  <c r="AP218" i="11"/>
  <c r="AQ218" i="11"/>
  <c r="AR218" i="11"/>
  <c r="AS218" i="11"/>
  <c r="AT218" i="11"/>
  <c r="AU218" i="11"/>
  <c r="AV218" i="11"/>
  <c r="AW218" i="11"/>
  <c r="AX218" i="11"/>
  <c r="AY218" i="11"/>
  <c r="AZ218" i="11"/>
  <c r="BA218" i="11"/>
  <c r="BB218" i="11"/>
  <c r="BC218" i="11"/>
  <c r="BD218" i="11"/>
  <c r="BE218" i="11"/>
  <c r="BF218" i="11"/>
  <c r="BG218" i="11"/>
  <c r="BH218" i="11"/>
  <c r="BI218" i="11"/>
  <c r="BJ218" i="11"/>
  <c r="BK218" i="11"/>
  <c r="BL218" i="11"/>
  <c r="BM218" i="11"/>
  <c r="BN218" i="11"/>
  <c r="BO218" i="11"/>
  <c r="BP218" i="11"/>
  <c r="BQ218" i="11"/>
  <c r="BR218" i="11"/>
  <c r="BS218" i="11"/>
  <c r="BT218" i="11"/>
  <c r="BU218" i="11"/>
  <c r="BV218" i="11"/>
  <c r="BW218" i="11"/>
  <c r="BX218" i="11"/>
  <c r="BY218" i="11"/>
  <c r="BZ218" i="11"/>
  <c r="CA218" i="11"/>
  <c r="CB218" i="11"/>
  <c r="CC218" i="11"/>
  <c r="CD218" i="11"/>
  <c r="CE218" i="11"/>
  <c r="CF218" i="11"/>
  <c r="CG218" i="11"/>
  <c r="CH218" i="11"/>
  <c r="CI218" i="11"/>
  <c r="CJ218" i="11"/>
  <c r="CK218" i="11"/>
  <c r="CL218" i="11"/>
  <c r="CM218" i="11"/>
  <c r="CN218" i="11"/>
  <c r="CO218" i="11"/>
  <c r="CP218" i="11"/>
  <c r="CQ218" i="11"/>
  <c r="CR218" i="11"/>
  <c r="CS218" i="11"/>
  <c r="CT218" i="11"/>
  <c r="CU218" i="11"/>
  <c r="CV218" i="11"/>
  <c r="CW218" i="11"/>
  <c r="CX218" i="11"/>
  <c r="CY218" i="11"/>
  <c r="CZ218" i="11"/>
  <c r="DA218" i="11"/>
  <c r="DB218" i="11"/>
  <c r="DC218" i="11"/>
  <c r="DD218" i="11"/>
  <c r="DE218" i="11"/>
  <c r="DF218" i="11"/>
  <c r="DG218" i="11"/>
  <c r="DH218" i="11"/>
  <c r="DI218" i="11"/>
  <c r="DJ218" i="11"/>
  <c r="DK218" i="11"/>
  <c r="DL218" i="11"/>
  <c r="DM218" i="11"/>
  <c r="DN218" i="11"/>
  <c r="DO218" i="11"/>
  <c r="DP218" i="11"/>
  <c r="DQ218" i="11"/>
  <c r="DR218" i="11"/>
  <c r="DS218" i="11"/>
  <c r="DT218" i="11"/>
  <c r="DU218" i="11"/>
  <c r="DV218" i="11"/>
  <c r="DW218" i="11"/>
  <c r="DX218" i="11"/>
  <c r="DY218" i="11"/>
  <c r="DZ218" i="11"/>
  <c r="EA218" i="11"/>
  <c r="EB218" i="11"/>
  <c r="EC218" i="11"/>
  <c r="ED218" i="11"/>
  <c r="EE218" i="11"/>
  <c r="EF218" i="11"/>
  <c r="EG218" i="11"/>
  <c r="EH218" i="11"/>
  <c r="EI218" i="11"/>
  <c r="EJ218" i="11"/>
  <c r="EK218" i="11"/>
  <c r="EL218" i="11"/>
  <c r="EM218" i="11"/>
  <c r="EN218" i="11"/>
  <c r="EO218" i="11"/>
  <c r="EP218" i="11"/>
  <c r="EQ218" i="11"/>
  <c r="ER218" i="11"/>
  <c r="ES218" i="11"/>
  <c r="ET218" i="11"/>
  <c r="EU218" i="11"/>
  <c r="EV218" i="11"/>
  <c r="EW218" i="11"/>
  <c r="EX218" i="11"/>
  <c r="EY218" i="11"/>
  <c r="EZ218" i="11"/>
  <c r="FA218" i="11"/>
  <c r="FB218" i="11"/>
  <c r="FC218" i="11"/>
  <c r="FD218" i="11"/>
  <c r="FE218" i="11"/>
  <c r="FF218" i="11"/>
  <c r="FG218" i="11"/>
  <c r="FH218" i="11"/>
  <c r="FI218" i="11"/>
  <c r="FJ218" i="11"/>
  <c r="FK218" i="11"/>
  <c r="FL218" i="11"/>
  <c r="FM218" i="11"/>
  <c r="FN218" i="11"/>
  <c r="FO218" i="11"/>
  <c r="FP218" i="11"/>
  <c r="FQ218" i="11"/>
  <c r="FR218" i="11"/>
  <c r="FS218" i="11"/>
  <c r="FT218" i="11"/>
  <c r="FU218" i="11"/>
  <c r="FV218" i="11"/>
  <c r="FW218" i="11"/>
  <c r="FX218" i="11"/>
  <c r="FY218" i="11"/>
  <c r="FZ218" i="11"/>
  <c r="GA218" i="11"/>
  <c r="GB218" i="11"/>
  <c r="GC218" i="11"/>
  <c r="GD218" i="11"/>
  <c r="GE218" i="11"/>
  <c r="GF218" i="11"/>
  <c r="GG218" i="11"/>
  <c r="GH218" i="11"/>
  <c r="GI218" i="11"/>
  <c r="GJ218" i="11"/>
  <c r="GK218" i="11"/>
  <c r="GL218" i="11"/>
  <c r="GM218" i="11"/>
  <c r="GN218" i="11"/>
  <c r="GO218" i="11"/>
  <c r="GP218" i="11"/>
  <c r="GQ218" i="11"/>
  <c r="GR218" i="11"/>
  <c r="GS218" i="11"/>
  <c r="GT218" i="11"/>
  <c r="GU218" i="11"/>
  <c r="GV218" i="11"/>
  <c r="GW218" i="11"/>
  <c r="GX218" i="11"/>
  <c r="GY218" i="11"/>
  <c r="GZ218" i="11"/>
  <c r="HA218" i="11"/>
  <c r="HB218" i="11"/>
  <c r="HC218" i="11"/>
  <c r="HD218" i="11"/>
  <c r="HE218" i="11"/>
  <c r="HF218" i="11"/>
  <c r="HG218" i="11"/>
  <c r="HH218" i="11"/>
  <c r="HI218" i="11"/>
  <c r="HJ218" i="11"/>
  <c r="HK218" i="11"/>
  <c r="HL218" i="11"/>
  <c r="HM218" i="11"/>
  <c r="HN218" i="11"/>
  <c r="HO218" i="11"/>
  <c r="HP218" i="11"/>
  <c r="HQ218" i="11"/>
  <c r="HR218" i="11"/>
  <c r="HS218" i="11"/>
  <c r="HT218" i="11"/>
  <c r="HU218" i="11"/>
  <c r="HV218" i="11"/>
  <c r="HW218" i="11"/>
  <c r="HX218" i="11"/>
  <c r="HY218" i="11"/>
  <c r="HZ218" i="11"/>
  <c r="IA218" i="11"/>
  <c r="IB218" i="11"/>
  <c r="IC218" i="11"/>
  <c r="ID218" i="11"/>
  <c r="IE218" i="11"/>
  <c r="IF218" i="11"/>
  <c r="IG218" i="11"/>
  <c r="IH218" i="11"/>
  <c r="II218" i="11"/>
  <c r="IJ218" i="11"/>
  <c r="IK218" i="11"/>
  <c r="IL218" i="11"/>
  <c r="IM218" i="11"/>
  <c r="IN218" i="11"/>
  <c r="IO218" i="11"/>
  <c r="IP218" i="11"/>
  <c r="IQ218" i="11"/>
  <c r="IR218" i="11"/>
  <c r="IS218" i="11"/>
  <c r="IT218" i="11"/>
  <c r="IU218" i="11"/>
  <c r="IV218" i="11"/>
  <c r="F219" i="11"/>
  <c r="G219" i="11"/>
  <c r="H219" i="11"/>
  <c r="I219" i="11"/>
  <c r="J219" i="11"/>
  <c r="K219" i="11"/>
  <c r="L219" i="11"/>
  <c r="M219" i="11"/>
  <c r="N219" i="11"/>
  <c r="O219" i="11"/>
  <c r="P219" i="11"/>
  <c r="Q219" i="11"/>
  <c r="R219" i="11"/>
  <c r="S219" i="11"/>
  <c r="T219" i="11"/>
  <c r="U219" i="11"/>
  <c r="V219" i="11"/>
  <c r="W219" i="11"/>
  <c r="X219" i="11"/>
  <c r="Y219" i="11"/>
  <c r="Z219" i="11"/>
  <c r="AA219" i="11"/>
  <c r="AB219" i="11"/>
  <c r="AC219" i="11"/>
  <c r="AD219" i="11"/>
  <c r="AE219" i="11"/>
  <c r="AF219" i="11"/>
  <c r="AG219" i="11"/>
  <c r="AH219" i="11"/>
  <c r="AI219" i="11"/>
  <c r="AJ219" i="11"/>
  <c r="AK219" i="11"/>
  <c r="AL219" i="11"/>
  <c r="AM219" i="11"/>
  <c r="AN219" i="11"/>
  <c r="AO219" i="11"/>
  <c r="AP219" i="11"/>
  <c r="AQ219" i="11"/>
  <c r="AR219" i="11"/>
  <c r="AS219" i="11"/>
  <c r="AT219" i="11"/>
  <c r="AU219" i="11"/>
  <c r="AV219" i="11"/>
  <c r="AW219" i="11"/>
  <c r="AX219" i="11"/>
  <c r="AY219" i="11"/>
  <c r="AZ219" i="11"/>
  <c r="BA219" i="11"/>
  <c r="BB219" i="11"/>
  <c r="BC219" i="11"/>
  <c r="BD219" i="11"/>
  <c r="BE219" i="11"/>
  <c r="BF219" i="11"/>
  <c r="BG219" i="11"/>
  <c r="BH219" i="11"/>
  <c r="BI219" i="11"/>
  <c r="BJ219" i="11"/>
  <c r="BK219" i="11"/>
  <c r="BL219" i="11"/>
  <c r="BM219" i="11"/>
  <c r="BN219" i="11"/>
  <c r="BO219" i="11"/>
  <c r="BP219" i="11"/>
  <c r="BQ219" i="11"/>
  <c r="BR219" i="11"/>
  <c r="BS219" i="11"/>
  <c r="BT219" i="11"/>
  <c r="BU219" i="11"/>
  <c r="BV219" i="11"/>
  <c r="BW219" i="11"/>
  <c r="BX219" i="11"/>
  <c r="BY219" i="11"/>
  <c r="BZ219" i="11"/>
  <c r="CA219" i="11"/>
  <c r="CB219" i="11"/>
  <c r="CC219" i="11"/>
  <c r="CD219" i="11"/>
  <c r="CE219" i="11"/>
  <c r="CF219" i="11"/>
  <c r="CG219" i="11"/>
  <c r="CH219" i="11"/>
  <c r="CI219" i="11"/>
  <c r="CJ219" i="11"/>
  <c r="CK219" i="11"/>
  <c r="CL219" i="11"/>
  <c r="CM219" i="11"/>
  <c r="CN219" i="11"/>
  <c r="CO219" i="11"/>
  <c r="CP219" i="11"/>
  <c r="CQ219" i="11"/>
  <c r="CR219" i="11"/>
  <c r="CS219" i="11"/>
  <c r="CT219" i="11"/>
  <c r="CU219" i="11"/>
  <c r="CV219" i="11"/>
  <c r="CW219" i="11"/>
  <c r="CX219" i="11"/>
  <c r="CY219" i="11"/>
  <c r="CZ219" i="11"/>
  <c r="DA219" i="11"/>
  <c r="DB219" i="11"/>
  <c r="DC219" i="11"/>
  <c r="DD219" i="11"/>
  <c r="DE219" i="11"/>
  <c r="DF219" i="11"/>
  <c r="DG219" i="11"/>
  <c r="DH219" i="11"/>
  <c r="DI219" i="11"/>
  <c r="DJ219" i="11"/>
  <c r="DK219" i="11"/>
  <c r="DL219" i="11"/>
  <c r="DM219" i="11"/>
  <c r="DN219" i="11"/>
  <c r="DO219" i="11"/>
  <c r="DP219" i="11"/>
  <c r="DQ219" i="11"/>
  <c r="DR219" i="11"/>
  <c r="DS219" i="11"/>
  <c r="DT219" i="11"/>
  <c r="DU219" i="11"/>
  <c r="DV219" i="11"/>
  <c r="DW219" i="11"/>
  <c r="DX219" i="11"/>
  <c r="DY219" i="11"/>
  <c r="DZ219" i="11"/>
  <c r="EA219" i="11"/>
  <c r="EB219" i="11"/>
  <c r="EC219" i="11"/>
  <c r="ED219" i="11"/>
  <c r="EE219" i="11"/>
  <c r="EF219" i="11"/>
  <c r="EG219" i="11"/>
  <c r="EH219" i="11"/>
  <c r="EI219" i="11"/>
  <c r="EJ219" i="11"/>
  <c r="EK219" i="11"/>
  <c r="EL219" i="11"/>
  <c r="EM219" i="11"/>
  <c r="EN219" i="11"/>
  <c r="EO219" i="11"/>
  <c r="EP219" i="11"/>
  <c r="EQ219" i="11"/>
  <c r="ER219" i="11"/>
  <c r="ES219" i="11"/>
  <c r="ET219" i="11"/>
  <c r="EU219" i="11"/>
  <c r="EV219" i="11"/>
  <c r="EW219" i="11"/>
  <c r="EX219" i="11"/>
  <c r="EY219" i="11"/>
  <c r="EZ219" i="11"/>
  <c r="FA219" i="11"/>
  <c r="FB219" i="11"/>
  <c r="FC219" i="11"/>
  <c r="FD219" i="11"/>
  <c r="FE219" i="11"/>
  <c r="FF219" i="11"/>
  <c r="FG219" i="11"/>
  <c r="FH219" i="11"/>
  <c r="FI219" i="11"/>
  <c r="FJ219" i="11"/>
  <c r="FK219" i="11"/>
  <c r="FL219" i="11"/>
  <c r="FM219" i="11"/>
  <c r="FN219" i="11"/>
  <c r="FO219" i="11"/>
  <c r="FP219" i="11"/>
  <c r="FQ219" i="11"/>
  <c r="FR219" i="11"/>
  <c r="FS219" i="11"/>
  <c r="FT219" i="11"/>
  <c r="FU219" i="11"/>
  <c r="FV219" i="11"/>
  <c r="FW219" i="11"/>
  <c r="FX219" i="11"/>
  <c r="FY219" i="11"/>
  <c r="FZ219" i="11"/>
  <c r="GA219" i="11"/>
  <c r="GB219" i="11"/>
  <c r="GC219" i="11"/>
  <c r="GD219" i="11"/>
  <c r="GE219" i="11"/>
  <c r="GF219" i="11"/>
  <c r="GG219" i="11"/>
  <c r="GH219" i="11"/>
  <c r="GI219" i="11"/>
  <c r="GJ219" i="11"/>
  <c r="GK219" i="11"/>
  <c r="GL219" i="11"/>
  <c r="GM219" i="11"/>
  <c r="GN219" i="11"/>
  <c r="GO219" i="11"/>
  <c r="GP219" i="11"/>
  <c r="GQ219" i="11"/>
  <c r="GR219" i="11"/>
  <c r="GS219" i="11"/>
  <c r="GT219" i="11"/>
  <c r="GU219" i="11"/>
  <c r="GV219" i="11"/>
  <c r="GW219" i="11"/>
  <c r="GX219" i="11"/>
  <c r="GY219" i="11"/>
  <c r="GZ219" i="11"/>
  <c r="HA219" i="11"/>
  <c r="HB219" i="11"/>
  <c r="HC219" i="11"/>
  <c r="HD219" i="11"/>
  <c r="HE219" i="11"/>
  <c r="HF219" i="11"/>
  <c r="HG219" i="11"/>
  <c r="HH219" i="11"/>
  <c r="HI219" i="11"/>
  <c r="HJ219" i="11"/>
  <c r="HK219" i="11"/>
  <c r="HL219" i="11"/>
  <c r="HM219" i="11"/>
  <c r="HN219" i="11"/>
  <c r="HO219" i="11"/>
  <c r="HP219" i="11"/>
  <c r="HQ219" i="11"/>
  <c r="HR219" i="11"/>
  <c r="HS219" i="11"/>
  <c r="HT219" i="11"/>
  <c r="HU219" i="11"/>
  <c r="HV219" i="11"/>
  <c r="HW219" i="11"/>
  <c r="HX219" i="11"/>
  <c r="HY219" i="11"/>
  <c r="HZ219" i="11"/>
  <c r="IA219" i="11"/>
  <c r="IB219" i="11"/>
  <c r="IC219" i="11"/>
  <c r="ID219" i="11"/>
  <c r="IE219" i="11"/>
  <c r="IF219" i="11"/>
  <c r="IG219" i="11"/>
  <c r="IH219" i="11"/>
  <c r="II219" i="11"/>
  <c r="IJ219" i="11"/>
  <c r="IK219" i="11"/>
  <c r="IL219" i="11"/>
  <c r="IM219" i="11"/>
  <c r="IN219" i="11"/>
  <c r="IO219" i="11"/>
  <c r="IP219" i="11"/>
  <c r="IQ219" i="11"/>
  <c r="IR219" i="11"/>
  <c r="IS219" i="11"/>
  <c r="IT219" i="11"/>
  <c r="IU219" i="11"/>
  <c r="IV219" i="11"/>
  <c r="F220" i="11"/>
  <c r="G220" i="11"/>
  <c r="H220" i="11"/>
  <c r="I220" i="11"/>
  <c r="J220" i="11"/>
  <c r="K220" i="11"/>
  <c r="L220" i="11"/>
  <c r="M220" i="11"/>
  <c r="N220" i="11"/>
  <c r="O220" i="11"/>
  <c r="P220" i="11"/>
  <c r="Q220" i="11"/>
  <c r="R220" i="11"/>
  <c r="S220" i="11"/>
  <c r="T220" i="11"/>
  <c r="U220" i="11"/>
  <c r="V220" i="11"/>
  <c r="W220" i="11"/>
  <c r="X220" i="11"/>
  <c r="Y220" i="11"/>
  <c r="Z220" i="11"/>
  <c r="AA220" i="11"/>
  <c r="AB220" i="11"/>
  <c r="AC220" i="11"/>
  <c r="AD220" i="11"/>
  <c r="AE220" i="11"/>
  <c r="AF220" i="11"/>
  <c r="AG220" i="11"/>
  <c r="AH220" i="11"/>
  <c r="AI220" i="11"/>
  <c r="AJ220" i="11"/>
  <c r="AK220" i="11"/>
  <c r="AL220" i="11"/>
  <c r="AM220" i="11"/>
  <c r="AN220" i="11"/>
  <c r="AO220" i="11"/>
  <c r="AP220" i="11"/>
  <c r="AQ220" i="11"/>
  <c r="AR220" i="11"/>
  <c r="AS220" i="11"/>
  <c r="AT220" i="11"/>
  <c r="AU220" i="11"/>
  <c r="AV220" i="11"/>
  <c r="AW220" i="11"/>
  <c r="AX220" i="11"/>
  <c r="AY220" i="11"/>
  <c r="AZ220" i="11"/>
  <c r="BA220" i="11"/>
  <c r="BB220" i="11"/>
  <c r="BC220" i="11"/>
  <c r="BD220" i="11"/>
  <c r="BE220" i="11"/>
  <c r="BF220" i="11"/>
  <c r="BG220" i="11"/>
  <c r="BH220" i="11"/>
  <c r="BI220" i="11"/>
  <c r="BJ220" i="11"/>
  <c r="BK220" i="11"/>
  <c r="BL220" i="11"/>
  <c r="BM220" i="11"/>
  <c r="BN220" i="11"/>
  <c r="BO220" i="11"/>
  <c r="BP220" i="11"/>
  <c r="BQ220" i="11"/>
  <c r="BR220" i="11"/>
  <c r="BS220" i="11"/>
  <c r="BT220" i="11"/>
  <c r="BU220" i="11"/>
  <c r="BV220" i="11"/>
  <c r="BW220" i="11"/>
  <c r="BX220" i="11"/>
  <c r="BY220" i="11"/>
  <c r="BZ220" i="11"/>
  <c r="CA220" i="11"/>
  <c r="CB220" i="11"/>
  <c r="CC220" i="11"/>
  <c r="CD220" i="11"/>
  <c r="CE220" i="11"/>
  <c r="CF220" i="11"/>
  <c r="CG220" i="11"/>
  <c r="CH220" i="11"/>
  <c r="CI220" i="11"/>
  <c r="CJ220" i="11"/>
  <c r="CK220" i="11"/>
  <c r="CL220" i="11"/>
  <c r="CM220" i="11"/>
  <c r="CN220" i="11"/>
  <c r="CO220" i="11"/>
  <c r="CP220" i="11"/>
  <c r="CQ220" i="11"/>
  <c r="CR220" i="11"/>
  <c r="CS220" i="11"/>
  <c r="CT220" i="11"/>
  <c r="CU220" i="11"/>
  <c r="CV220" i="11"/>
  <c r="CW220" i="11"/>
  <c r="CX220" i="11"/>
  <c r="CY220" i="11"/>
  <c r="CZ220" i="11"/>
  <c r="DA220" i="11"/>
  <c r="DB220" i="11"/>
  <c r="DC220" i="11"/>
  <c r="DD220" i="11"/>
  <c r="DE220" i="11"/>
  <c r="DF220" i="11"/>
  <c r="DG220" i="11"/>
  <c r="DH220" i="11"/>
  <c r="DI220" i="11"/>
  <c r="DJ220" i="11"/>
  <c r="DK220" i="11"/>
  <c r="DL220" i="11"/>
  <c r="DM220" i="11"/>
  <c r="DN220" i="11"/>
  <c r="DO220" i="11"/>
  <c r="DP220" i="11"/>
  <c r="DQ220" i="11"/>
  <c r="DR220" i="11"/>
  <c r="DS220" i="11"/>
  <c r="DT220" i="11"/>
  <c r="DU220" i="11"/>
  <c r="DV220" i="11"/>
  <c r="DW220" i="11"/>
  <c r="DX220" i="11"/>
  <c r="DY220" i="11"/>
  <c r="DZ220" i="11"/>
  <c r="EA220" i="11"/>
  <c r="EB220" i="11"/>
  <c r="EC220" i="11"/>
  <c r="ED220" i="11"/>
  <c r="EE220" i="11"/>
  <c r="EF220" i="11"/>
  <c r="EG220" i="11"/>
  <c r="EH220" i="11"/>
  <c r="EI220" i="11"/>
  <c r="EJ220" i="11"/>
  <c r="EK220" i="11"/>
  <c r="EL220" i="11"/>
  <c r="EM220" i="11"/>
  <c r="EN220" i="11"/>
  <c r="EO220" i="11"/>
  <c r="EP220" i="11"/>
  <c r="EQ220" i="11"/>
  <c r="ER220" i="11"/>
  <c r="ES220" i="11"/>
  <c r="ET220" i="11"/>
  <c r="EU220" i="11"/>
  <c r="EV220" i="11"/>
  <c r="EW220" i="11"/>
  <c r="EX220" i="11"/>
  <c r="EY220" i="11"/>
  <c r="EZ220" i="11"/>
  <c r="FA220" i="11"/>
  <c r="FB220" i="11"/>
  <c r="FC220" i="11"/>
  <c r="FD220" i="11"/>
  <c r="FE220" i="11"/>
  <c r="FF220" i="11"/>
  <c r="FG220" i="11"/>
  <c r="FH220" i="11"/>
  <c r="FI220" i="11"/>
  <c r="FJ220" i="11"/>
  <c r="FK220" i="11"/>
  <c r="FL220" i="11"/>
  <c r="FM220" i="11"/>
  <c r="FN220" i="11"/>
  <c r="FO220" i="11"/>
  <c r="FP220" i="11"/>
  <c r="FQ220" i="11"/>
  <c r="FR220" i="11"/>
  <c r="FS220" i="11"/>
  <c r="FT220" i="11"/>
  <c r="FU220" i="11"/>
  <c r="FV220" i="11"/>
  <c r="FW220" i="11"/>
  <c r="FX220" i="11"/>
  <c r="FY220" i="11"/>
  <c r="FZ220" i="11"/>
  <c r="GA220" i="11"/>
  <c r="GB220" i="11"/>
  <c r="GC220" i="11"/>
  <c r="GD220" i="11"/>
  <c r="GE220" i="11"/>
  <c r="GF220" i="11"/>
  <c r="GG220" i="11"/>
  <c r="GH220" i="11"/>
  <c r="GI220" i="11"/>
  <c r="GJ220" i="11"/>
  <c r="GK220" i="11"/>
  <c r="GL220" i="11"/>
  <c r="GM220" i="11"/>
  <c r="GN220" i="11"/>
  <c r="GO220" i="11"/>
  <c r="GP220" i="11"/>
  <c r="GQ220" i="11"/>
  <c r="GR220" i="11"/>
  <c r="GS220" i="11"/>
  <c r="GT220" i="11"/>
  <c r="GU220" i="11"/>
  <c r="GV220" i="11"/>
  <c r="GW220" i="11"/>
  <c r="GX220" i="11"/>
  <c r="GY220" i="11"/>
  <c r="GZ220" i="11"/>
  <c r="HA220" i="11"/>
  <c r="HB220" i="11"/>
  <c r="HC220" i="11"/>
  <c r="HD220" i="11"/>
  <c r="HE220" i="11"/>
  <c r="HF220" i="11"/>
  <c r="HG220" i="11"/>
  <c r="HH220" i="11"/>
  <c r="HI220" i="11"/>
  <c r="HJ220" i="11"/>
  <c r="HK220" i="11"/>
  <c r="HL220" i="11"/>
  <c r="HM220" i="11"/>
  <c r="HN220" i="11"/>
  <c r="HO220" i="11"/>
  <c r="HP220" i="11"/>
  <c r="HQ220" i="11"/>
  <c r="HR220" i="11"/>
  <c r="HS220" i="11"/>
  <c r="HT220" i="11"/>
  <c r="HU220" i="11"/>
  <c r="HV220" i="11"/>
  <c r="HW220" i="11"/>
  <c r="HX220" i="11"/>
  <c r="HY220" i="11"/>
  <c r="HZ220" i="11"/>
  <c r="IA220" i="11"/>
  <c r="IB220" i="11"/>
  <c r="IC220" i="11"/>
  <c r="ID220" i="11"/>
  <c r="IE220" i="11"/>
  <c r="IF220" i="11"/>
  <c r="IG220" i="11"/>
  <c r="IH220" i="11"/>
  <c r="II220" i="11"/>
  <c r="IJ220" i="11"/>
  <c r="IK220" i="11"/>
  <c r="IL220" i="11"/>
  <c r="IM220" i="11"/>
  <c r="IN220" i="11"/>
  <c r="IO220" i="11"/>
  <c r="IP220" i="11"/>
  <c r="IQ220" i="11"/>
  <c r="IR220" i="11"/>
  <c r="IS220" i="11"/>
  <c r="IT220" i="11"/>
  <c r="IU220" i="11"/>
  <c r="IV220" i="11"/>
  <c r="F221" i="11"/>
  <c r="G221" i="11"/>
  <c r="H221" i="11"/>
  <c r="I221" i="11"/>
  <c r="J221" i="11"/>
  <c r="K221" i="11"/>
  <c r="L221" i="11"/>
  <c r="M221" i="11"/>
  <c r="N221" i="11"/>
  <c r="O221" i="11"/>
  <c r="P221" i="11"/>
  <c r="Q221" i="11"/>
  <c r="R221" i="11"/>
  <c r="S221" i="11"/>
  <c r="T221" i="11"/>
  <c r="U221" i="11"/>
  <c r="V221" i="11"/>
  <c r="W221" i="11"/>
  <c r="X221" i="11"/>
  <c r="Y221" i="11"/>
  <c r="Z221" i="11"/>
  <c r="AA221" i="11"/>
  <c r="AB221" i="11"/>
  <c r="AC221" i="11"/>
  <c r="AD221" i="11"/>
  <c r="AE221" i="11"/>
  <c r="AF221" i="11"/>
  <c r="AG221" i="11"/>
  <c r="AH221" i="11"/>
  <c r="AI221" i="11"/>
  <c r="AJ221" i="11"/>
  <c r="AK221" i="11"/>
  <c r="AL221" i="11"/>
  <c r="AM221" i="11"/>
  <c r="AN221" i="11"/>
  <c r="AO221" i="11"/>
  <c r="AP221" i="11"/>
  <c r="AQ221" i="11"/>
  <c r="AR221" i="11"/>
  <c r="AS221" i="11"/>
  <c r="AT221" i="11"/>
  <c r="AU221" i="11"/>
  <c r="AV221" i="11"/>
  <c r="AW221" i="11"/>
  <c r="AX221" i="11"/>
  <c r="AY221" i="11"/>
  <c r="AZ221" i="11"/>
  <c r="BA221" i="11"/>
  <c r="BB221" i="11"/>
  <c r="BC221" i="11"/>
  <c r="BD221" i="11"/>
  <c r="BE221" i="11"/>
  <c r="BF221" i="11"/>
  <c r="BG221" i="11"/>
  <c r="BH221" i="11"/>
  <c r="BI221" i="11"/>
  <c r="BJ221" i="11"/>
  <c r="BK221" i="11"/>
  <c r="BL221" i="11"/>
  <c r="BM221" i="11"/>
  <c r="BN221" i="11"/>
  <c r="BO221" i="11"/>
  <c r="BP221" i="11"/>
  <c r="BQ221" i="11"/>
  <c r="BR221" i="11"/>
  <c r="BS221" i="11"/>
  <c r="BT221" i="11"/>
  <c r="BU221" i="11"/>
  <c r="BV221" i="11"/>
  <c r="BW221" i="11"/>
  <c r="BX221" i="11"/>
  <c r="BY221" i="11"/>
  <c r="BZ221" i="11"/>
  <c r="CA221" i="11"/>
  <c r="CB221" i="11"/>
  <c r="CC221" i="11"/>
  <c r="CD221" i="11"/>
  <c r="CE221" i="11"/>
  <c r="CF221" i="11"/>
  <c r="CG221" i="11"/>
  <c r="CH221" i="11"/>
  <c r="CI221" i="11"/>
  <c r="CJ221" i="11"/>
  <c r="CK221" i="11"/>
  <c r="CL221" i="11"/>
  <c r="CM221" i="11"/>
  <c r="CN221" i="11"/>
  <c r="CO221" i="11"/>
  <c r="CP221" i="11"/>
  <c r="CQ221" i="11"/>
  <c r="CR221" i="11"/>
  <c r="CS221" i="11"/>
  <c r="CT221" i="11"/>
  <c r="CU221" i="11"/>
  <c r="CV221" i="11"/>
  <c r="CW221" i="11"/>
  <c r="CX221" i="11"/>
  <c r="CY221" i="11"/>
  <c r="CZ221" i="11"/>
  <c r="DA221" i="11"/>
  <c r="DB221" i="11"/>
  <c r="DC221" i="11"/>
  <c r="DD221" i="11"/>
  <c r="DE221" i="11"/>
  <c r="DF221" i="11"/>
  <c r="DG221" i="11"/>
  <c r="DH221" i="11"/>
  <c r="DI221" i="11"/>
  <c r="DJ221" i="11"/>
  <c r="DK221" i="11"/>
  <c r="DL221" i="11"/>
  <c r="DM221" i="11"/>
  <c r="DN221" i="11"/>
  <c r="DO221" i="11"/>
  <c r="DP221" i="11"/>
  <c r="DQ221" i="11"/>
  <c r="DR221" i="11"/>
  <c r="DS221" i="11"/>
  <c r="DT221" i="11"/>
  <c r="DU221" i="11"/>
  <c r="DV221" i="11"/>
  <c r="DW221" i="11"/>
  <c r="DX221" i="11"/>
  <c r="DY221" i="11"/>
  <c r="DZ221" i="11"/>
  <c r="EA221" i="11"/>
  <c r="EB221" i="11"/>
  <c r="EC221" i="11"/>
  <c r="ED221" i="11"/>
  <c r="EE221" i="11"/>
  <c r="EF221" i="11"/>
  <c r="EG221" i="11"/>
  <c r="EH221" i="11"/>
  <c r="EI221" i="11"/>
  <c r="EJ221" i="11"/>
  <c r="EK221" i="11"/>
  <c r="EL221" i="11"/>
  <c r="EM221" i="11"/>
  <c r="EN221" i="11"/>
  <c r="EO221" i="11"/>
  <c r="EP221" i="11"/>
  <c r="EQ221" i="11"/>
  <c r="ER221" i="11"/>
  <c r="ES221" i="11"/>
  <c r="ET221" i="11"/>
  <c r="EU221" i="11"/>
  <c r="EV221" i="11"/>
  <c r="EW221" i="11"/>
  <c r="EX221" i="11"/>
  <c r="EY221" i="11"/>
  <c r="EZ221" i="11"/>
  <c r="FA221" i="11"/>
  <c r="FB221" i="11"/>
  <c r="FC221" i="11"/>
  <c r="FD221" i="11"/>
  <c r="FE221" i="11"/>
  <c r="FF221" i="11"/>
  <c r="FG221" i="11"/>
  <c r="FH221" i="11"/>
  <c r="FI221" i="11"/>
  <c r="FJ221" i="11"/>
  <c r="FK221" i="11"/>
  <c r="FL221" i="11"/>
  <c r="FM221" i="11"/>
  <c r="FN221" i="11"/>
  <c r="FO221" i="11"/>
  <c r="FP221" i="11"/>
  <c r="FQ221" i="11"/>
  <c r="FR221" i="11"/>
  <c r="FS221" i="11"/>
  <c r="FT221" i="11"/>
  <c r="FU221" i="11"/>
  <c r="FV221" i="11"/>
  <c r="FW221" i="11"/>
  <c r="FX221" i="11"/>
  <c r="FY221" i="11"/>
  <c r="FZ221" i="11"/>
  <c r="GA221" i="11"/>
  <c r="GB221" i="11"/>
  <c r="GC221" i="11"/>
  <c r="GD221" i="11"/>
  <c r="GE221" i="11"/>
  <c r="GF221" i="11"/>
  <c r="GG221" i="11"/>
  <c r="GH221" i="11"/>
  <c r="GI221" i="11"/>
  <c r="GJ221" i="11"/>
  <c r="GK221" i="11"/>
  <c r="GL221" i="11"/>
  <c r="GM221" i="11"/>
  <c r="GN221" i="11"/>
  <c r="GO221" i="11"/>
  <c r="GP221" i="11"/>
  <c r="GQ221" i="11"/>
  <c r="GR221" i="11"/>
  <c r="GS221" i="11"/>
  <c r="GT221" i="11"/>
  <c r="GU221" i="11"/>
  <c r="GV221" i="11"/>
  <c r="GW221" i="11"/>
  <c r="GX221" i="11"/>
  <c r="GY221" i="11"/>
  <c r="GZ221" i="11"/>
  <c r="HA221" i="11"/>
  <c r="HB221" i="11"/>
  <c r="HC221" i="11"/>
  <c r="HD221" i="11"/>
  <c r="HE221" i="11"/>
  <c r="HF221" i="11"/>
  <c r="HG221" i="11"/>
  <c r="HH221" i="11"/>
  <c r="HI221" i="11"/>
  <c r="HJ221" i="11"/>
  <c r="HK221" i="11"/>
  <c r="HL221" i="11"/>
  <c r="HM221" i="11"/>
  <c r="HN221" i="11"/>
  <c r="HO221" i="11"/>
  <c r="HP221" i="11"/>
  <c r="HQ221" i="11"/>
  <c r="HR221" i="11"/>
  <c r="HS221" i="11"/>
  <c r="HT221" i="11"/>
  <c r="HU221" i="11"/>
  <c r="HV221" i="11"/>
  <c r="HW221" i="11"/>
  <c r="HX221" i="11"/>
  <c r="HY221" i="11"/>
  <c r="HZ221" i="11"/>
  <c r="IA221" i="11"/>
  <c r="IB221" i="11"/>
  <c r="IC221" i="11"/>
  <c r="ID221" i="11"/>
  <c r="IE221" i="11"/>
  <c r="IF221" i="11"/>
  <c r="IG221" i="11"/>
  <c r="IH221" i="11"/>
  <c r="II221" i="11"/>
  <c r="IJ221" i="11"/>
  <c r="IK221" i="11"/>
  <c r="IL221" i="11"/>
  <c r="IM221" i="11"/>
  <c r="IN221" i="11"/>
  <c r="IO221" i="11"/>
  <c r="IP221" i="11"/>
  <c r="IQ221" i="11"/>
  <c r="IR221" i="11"/>
  <c r="IS221" i="11"/>
  <c r="IT221" i="11"/>
  <c r="IU221" i="11"/>
  <c r="IV221" i="11"/>
  <c r="F222" i="11"/>
  <c r="G222" i="11"/>
  <c r="H222" i="11"/>
  <c r="I222" i="11"/>
  <c r="J222" i="11"/>
  <c r="K222" i="11"/>
  <c r="L222" i="11"/>
  <c r="M222" i="11"/>
  <c r="N222" i="11"/>
  <c r="O222" i="11"/>
  <c r="P222" i="11"/>
  <c r="Q222" i="11"/>
  <c r="R222" i="11"/>
  <c r="S222" i="11"/>
  <c r="T222" i="11"/>
  <c r="U222" i="11"/>
  <c r="V222" i="11"/>
  <c r="W222" i="11"/>
  <c r="X222" i="11"/>
  <c r="Y222" i="11"/>
  <c r="Z222" i="11"/>
  <c r="AA222" i="11"/>
  <c r="AB222" i="11"/>
  <c r="AC222" i="11"/>
  <c r="AD222" i="11"/>
  <c r="AE222" i="11"/>
  <c r="AF222" i="11"/>
  <c r="AG222" i="11"/>
  <c r="AH222" i="11"/>
  <c r="AI222" i="11"/>
  <c r="AJ222" i="11"/>
  <c r="AK222" i="11"/>
  <c r="AL222" i="11"/>
  <c r="AM222" i="11"/>
  <c r="AN222" i="11"/>
  <c r="AO222" i="11"/>
  <c r="AP222" i="11"/>
  <c r="AQ222" i="11"/>
  <c r="AR222" i="11"/>
  <c r="AS222" i="11"/>
  <c r="AT222" i="11"/>
  <c r="AU222" i="11"/>
  <c r="AV222" i="11"/>
  <c r="AW222" i="11"/>
  <c r="AX222" i="11"/>
  <c r="AY222" i="11"/>
  <c r="AZ222" i="11"/>
  <c r="BA222" i="11"/>
  <c r="BB222" i="11"/>
  <c r="BC222" i="11"/>
  <c r="BD222" i="11"/>
  <c r="BE222" i="11"/>
  <c r="BF222" i="11"/>
  <c r="BG222" i="11"/>
  <c r="BH222" i="11"/>
  <c r="BI222" i="11"/>
  <c r="BJ222" i="11"/>
  <c r="BK222" i="11"/>
  <c r="BL222" i="11"/>
  <c r="BM222" i="11"/>
  <c r="BN222" i="11"/>
  <c r="BO222" i="11"/>
  <c r="BP222" i="11"/>
  <c r="BQ222" i="11"/>
  <c r="BR222" i="11"/>
  <c r="BS222" i="11"/>
  <c r="BT222" i="11"/>
  <c r="BU222" i="11"/>
  <c r="BV222" i="11"/>
  <c r="BW222" i="11"/>
  <c r="BX222" i="11"/>
  <c r="BY222" i="11"/>
  <c r="BZ222" i="11"/>
  <c r="CA222" i="11"/>
  <c r="CB222" i="11"/>
  <c r="CC222" i="11"/>
  <c r="CD222" i="11"/>
  <c r="CE222" i="11"/>
  <c r="CF222" i="11"/>
  <c r="CG222" i="11"/>
  <c r="CH222" i="11"/>
  <c r="CI222" i="11"/>
  <c r="CJ222" i="11"/>
  <c r="CK222" i="11"/>
  <c r="CL222" i="11"/>
  <c r="CM222" i="11"/>
  <c r="CN222" i="11"/>
  <c r="CO222" i="11"/>
  <c r="CP222" i="11"/>
  <c r="CQ222" i="11"/>
  <c r="CR222" i="11"/>
  <c r="CS222" i="11"/>
  <c r="CT222" i="11"/>
  <c r="CU222" i="11"/>
  <c r="CV222" i="11"/>
  <c r="CW222" i="11"/>
  <c r="CX222" i="11"/>
  <c r="CY222" i="11"/>
  <c r="CZ222" i="11"/>
  <c r="DA222" i="11"/>
  <c r="DB222" i="11"/>
  <c r="DC222" i="11"/>
  <c r="DD222" i="11"/>
  <c r="DE222" i="11"/>
  <c r="DF222" i="11"/>
  <c r="DG222" i="11"/>
  <c r="DH222" i="11"/>
  <c r="DI222" i="11"/>
  <c r="DJ222" i="11"/>
  <c r="DK222" i="11"/>
  <c r="DL222" i="11"/>
  <c r="DM222" i="11"/>
  <c r="DN222" i="11"/>
  <c r="DO222" i="11"/>
  <c r="DP222" i="11"/>
  <c r="DQ222" i="11"/>
  <c r="DR222" i="11"/>
  <c r="DS222" i="11"/>
  <c r="DT222" i="11"/>
  <c r="DU222" i="11"/>
  <c r="DV222" i="11"/>
  <c r="DW222" i="11"/>
  <c r="DX222" i="11"/>
  <c r="DY222" i="11"/>
  <c r="DZ222" i="11"/>
  <c r="EA222" i="11"/>
  <c r="EB222" i="11"/>
  <c r="EC222" i="11"/>
  <c r="ED222" i="11"/>
  <c r="EE222" i="11"/>
  <c r="EF222" i="11"/>
  <c r="EG222" i="11"/>
  <c r="EH222" i="11"/>
  <c r="EI222" i="11"/>
  <c r="EJ222" i="11"/>
  <c r="EK222" i="11"/>
  <c r="EL222" i="11"/>
  <c r="EM222" i="11"/>
  <c r="EN222" i="11"/>
  <c r="EO222" i="11"/>
  <c r="EP222" i="11"/>
  <c r="EQ222" i="11"/>
  <c r="ER222" i="11"/>
  <c r="ES222" i="11"/>
  <c r="ET222" i="11"/>
  <c r="EU222" i="11"/>
  <c r="EV222" i="11"/>
  <c r="EW222" i="11"/>
  <c r="EX222" i="11"/>
  <c r="EY222" i="11"/>
  <c r="EZ222" i="11"/>
  <c r="FA222" i="11"/>
  <c r="FB222" i="11"/>
  <c r="FC222" i="11"/>
  <c r="FD222" i="11"/>
  <c r="FE222" i="11"/>
  <c r="FF222" i="11"/>
  <c r="FG222" i="11"/>
  <c r="FH222" i="11"/>
  <c r="FI222" i="11"/>
  <c r="FJ222" i="11"/>
  <c r="FK222" i="11"/>
  <c r="FL222" i="11"/>
  <c r="FM222" i="11"/>
  <c r="FN222" i="11"/>
  <c r="FO222" i="11"/>
  <c r="FP222" i="11"/>
  <c r="FQ222" i="11"/>
  <c r="FR222" i="11"/>
  <c r="FS222" i="11"/>
  <c r="FT222" i="11"/>
  <c r="FU222" i="11"/>
  <c r="FV222" i="11"/>
  <c r="FW222" i="11"/>
  <c r="FX222" i="11"/>
  <c r="FY222" i="11"/>
  <c r="FZ222" i="11"/>
  <c r="GA222" i="11"/>
  <c r="GB222" i="11"/>
  <c r="GC222" i="11"/>
  <c r="GD222" i="11"/>
  <c r="GE222" i="11"/>
  <c r="GF222" i="11"/>
  <c r="GG222" i="11"/>
  <c r="GH222" i="11"/>
  <c r="GI222" i="11"/>
  <c r="GJ222" i="11"/>
  <c r="GK222" i="11"/>
  <c r="GL222" i="11"/>
  <c r="GM222" i="11"/>
  <c r="GN222" i="11"/>
  <c r="GO222" i="11"/>
  <c r="GP222" i="11"/>
  <c r="GQ222" i="11"/>
  <c r="GR222" i="11"/>
  <c r="GS222" i="11"/>
  <c r="GT222" i="11"/>
  <c r="GU222" i="11"/>
  <c r="GV222" i="11"/>
  <c r="GW222" i="11"/>
  <c r="GX222" i="11"/>
  <c r="GY222" i="11"/>
  <c r="GZ222" i="11"/>
  <c r="HA222" i="11"/>
  <c r="HB222" i="11"/>
  <c r="HC222" i="11"/>
  <c r="HD222" i="11"/>
  <c r="HE222" i="11"/>
  <c r="HF222" i="11"/>
  <c r="HG222" i="11"/>
  <c r="HH222" i="11"/>
  <c r="HI222" i="11"/>
  <c r="HJ222" i="11"/>
  <c r="HK222" i="11"/>
  <c r="HL222" i="11"/>
  <c r="HM222" i="11"/>
  <c r="HN222" i="11"/>
  <c r="HO222" i="11"/>
  <c r="HP222" i="11"/>
  <c r="HQ222" i="11"/>
  <c r="HR222" i="11"/>
  <c r="HS222" i="11"/>
  <c r="HT222" i="11"/>
  <c r="HU222" i="11"/>
  <c r="HV222" i="11"/>
  <c r="HW222" i="11"/>
  <c r="HX222" i="11"/>
  <c r="HY222" i="11"/>
  <c r="HZ222" i="11"/>
  <c r="IA222" i="11"/>
  <c r="IB222" i="11"/>
  <c r="IC222" i="11"/>
  <c r="ID222" i="11"/>
  <c r="IE222" i="11"/>
  <c r="IF222" i="11"/>
  <c r="IG222" i="11"/>
  <c r="IH222" i="11"/>
  <c r="II222" i="11"/>
  <c r="IJ222" i="11"/>
  <c r="IK222" i="11"/>
  <c r="IL222" i="11"/>
  <c r="IM222" i="11"/>
  <c r="IN222" i="11"/>
  <c r="IO222" i="11"/>
  <c r="IP222" i="11"/>
  <c r="IQ222" i="11"/>
  <c r="IR222" i="11"/>
  <c r="IS222" i="11"/>
  <c r="IT222" i="11"/>
  <c r="IU222" i="11"/>
  <c r="IV222" i="11"/>
  <c r="F223" i="11"/>
  <c r="G223" i="11"/>
  <c r="H223" i="11"/>
  <c r="I223" i="11"/>
  <c r="J223" i="11"/>
  <c r="K223" i="11"/>
  <c r="L223" i="11"/>
  <c r="M223" i="11"/>
  <c r="N223" i="11"/>
  <c r="O223" i="11"/>
  <c r="P223" i="11"/>
  <c r="Q223" i="11"/>
  <c r="R223" i="11"/>
  <c r="S223" i="11"/>
  <c r="T223" i="11"/>
  <c r="U223" i="11"/>
  <c r="V223" i="11"/>
  <c r="W223" i="11"/>
  <c r="X223" i="11"/>
  <c r="Y223" i="11"/>
  <c r="Z223" i="11"/>
  <c r="AA223" i="11"/>
  <c r="AB223" i="11"/>
  <c r="AC223" i="11"/>
  <c r="AD223" i="11"/>
  <c r="AE223" i="11"/>
  <c r="AF223" i="11"/>
  <c r="AG223" i="11"/>
  <c r="AH223" i="11"/>
  <c r="AI223" i="11"/>
  <c r="AJ223" i="11"/>
  <c r="AK223" i="11"/>
  <c r="AL223" i="11"/>
  <c r="AM223" i="11"/>
  <c r="AN223" i="11"/>
  <c r="AO223" i="11"/>
  <c r="AP223" i="11"/>
  <c r="AQ223" i="11"/>
  <c r="AR223" i="11"/>
  <c r="AS223" i="11"/>
  <c r="AT223" i="11"/>
  <c r="AU223" i="11"/>
  <c r="AV223" i="11"/>
  <c r="AW223" i="11"/>
  <c r="AX223" i="11"/>
  <c r="AY223" i="11"/>
  <c r="AZ223" i="11"/>
  <c r="BA223" i="11"/>
  <c r="BB223" i="11"/>
  <c r="BC223" i="11"/>
  <c r="BD223" i="11"/>
  <c r="BE223" i="11"/>
  <c r="BF223" i="11"/>
  <c r="BG223" i="11"/>
  <c r="BH223" i="11"/>
  <c r="BI223" i="11"/>
  <c r="BJ223" i="11"/>
  <c r="BK223" i="11"/>
  <c r="BL223" i="11"/>
  <c r="BM223" i="11"/>
  <c r="BN223" i="11"/>
  <c r="BO223" i="11"/>
  <c r="BP223" i="11"/>
  <c r="BQ223" i="11"/>
  <c r="BR223" i="11"/>
  <c r="BS223" i="11"/>
  <c r="BT223" i="11"/>
  <c r="BU223" i="11"/>
  <c r="BV223" i="11"/>
  <c r="BW223" i="11"/>
  <c r="BX223" i="11"/>
  <c r="BY223" i="11"/>
  <c r="BZ223" i="11"/>
  <c r="CA223" i="11"/>
  <c r="CB223" i="11"/>
  <c r="CC223" i="11"/>
  <c r="CD223" i="11"/>
  <c r="CE223" i="11"/>
  <c r="CF223" i="11"/>
  <c r="CG223" i="11"/>
  <c r="CH223" i="11"/>
  <c r="CI223" i="11"/>
  <c r="CJ223" i="11"/>
  <c r="CK223" i="11"/>
  <c r="CL223" i="11"/>
  <c r="CM223" i="11"/>
  <c r="CN223" i="11"/>
  <c r="CO223" i="11"/>
  <c r="CP223" i="11"/>
  <c r="CQ223" i="11"/>
  <c r="CR223" i="11"/>
  <c r="CS223" i="11"/>
  <c r="CT223" i="11"/>
  <c r="CU223" i="11"/>
  <c r="CV223" i="11"/>
  <c r="CW223" i="11"/>
  <c r="CX223" i="11"/>
  <c r="CY223" i="11"/>
  <c r="CZ223" i="11"/>
  <c r="DA223" i="11"/>
  <c r="DB223" i="11"/>
  <c r="DC223" i="11"/>
  <c r="DD223" i="11"/>
  <c r="DE223" i="11"/>
  <c r="DF223" i="11"/>
  <c r="DG223" i="11"/>
  <c r="DH223" i="11"/>
  <c r="DI223" i="11"/>
  <c r="DJ223" i="11"/>
  <c r="DK223" i="11"/>
  <c r="DL223" i="11"/>
  <c r="DM223" i="11"/>
  <c r="DN223" i="11"/>
  <c r="DO223" i="11"/>
  <c r="DP223" i="11"/>
  <c r="DQ223" i="11"/>
  <c r="DR223" i="11"/>
  <c r="DS223" i="11"/>
  <c r="DT223" i="11"/>
  <c r="DU223" i="11"/>
  <c r="DV223" i="11"/>
  <c r="DW223" i="11"/>
  <c r="DX223" i="11"/>
  <c r="DY223" i="11"/>
  <c r="DZ223" i="11"/>
  <c r="EA223" i="11"/>
  <c r="EB223" i="11"/>
  <c r="EC223" i="11"/>
  <c r="ED223" i="11"/>
  <c r="EE223" i="11"/>
  <c r="EF223" i="11"/>
  <c r="EG223" i="11"/>
  <c r="EH223" i="11"/>
  <c r="EI223" i="11"/>
  <c r="EJ223" i="11"/>
  <c r="EK223" i="11"/>
  <c r="EL223" i="11"/>
  <c r="EM223" i="11"/>
  <c r="EN223" i="11"/>
  <c r="EO223" i="11"/>
  <c r="EP223" i="11"/>
  <c r="EQ223" i="11"/>
  <c r="ER223" i="11"/>
  <c r="ES223" i="11"/>
  <c r="ET223" i="11"/>
  <c r="EU223" i="11"/>
  <c r="EV223" i="11"/>
  <c r="EW223" i="11"/>
  <c r="EX223" i="11"/>
  <c r="EY223" i="11"/>
  <c r="EZ223" i="11"/>
  <c r="FA223" i="11"/>
  <c r="FB223" i="11"/>
  <c r="FC223" i="11"/>
  <c r="FD223" i="11"/>
  <c r="FE223" i="11"/>
  <c r="FF223" i="11"/>
  <c r="FG223" i="11"/>
  <c r="FH223" i="11"/>
  <c r="FI223" i="11"/>
  <c r="FJ223" i="11"/>
  <c r="FK223" i="11"/>
  <c r="FL223" i="11"/>
  <c r="FM223" i="11"/>
  <c r="FN223" i="11"/>
  <c r="FO223" i="11"/>
  <c r="FP223" i="11"/>
  <c r="FQ223" i="11"/>
  <c r="FR223" i="11"/>
  <c r="FS223" i="11"/>
  <c r="FT223" i="11"/>
  <c r="FU223" i="11"/>
  <c r="FV223" i="11"/>
  <c r="FW223" i="11"/>
  <c r="FX223" i="11"/>
  <c r="FY223" i="11"/>
  <c r="FZ223" i="11"/>
  <c r="GA223" i="11"/>
  <c r="GB223" i="11"/>
  <c r="GC223" i="11"/>
  <c r="GD223" i="11"/>
  <c r="GE223" i="11"/>
  <c r="GF223" i="11"/>
  <c r="GG223" i="11"/>
  <c r="GH223" i="11"/>
  <c r="GI223" i="11"/>
  <c r="GJ223" i="11"/>
  <c r="GK223" i="11"/>
  <c r="GL223" i="11"/>
  <c r="GM223" i="11"/>
  <c r="GN223" i="11"/>
  <c r="GO223" i="11"/>
  <c r="GP223" i="11"/>
  <c r="GQ223" i="11"/>
  <c r="GR223" i="11"/>
  <c r="GS223" i="11"/>
  <c r="GT223" i="11"/>
  <c r="GU223" i="11"/>
  <c r="GV223" i="11"/>
  <c r="GW223" i="11"/>
  <c r="GX223" i="11"/>
  <c r="GY223" i="11"/>
  <c r="GZ223" i="11"/>
  <c r="HA223" i="11"/>
  <c r="HB223" i="11"/>
  <c r="HC223" i="11"/>
  <c r="HD223" i="11"/>
  <c r="HE223" i="11"/>
  <c r="HF223" i="11"/>
  <c r="HG223" i="11"/>
  <c r="HH223" i="11"/>
  <c r="HI223" i="11"/>
  <c r="HJ223" i="11"/>
  <c r="HK223" i="11"/>
  <c r="HL223" i="11"/>
  <c r="HM223" i="11"/>
  <c r="HN223" i="11"/>
  <c r="HO223" i="11"/>
  <c r="HP223" i="11"/>
  <c r="HQ223" i="11"/>
  <c r="HR223" i="11"/>
  <c r="HS223" i="11"/>
  <c r="HT223" i="11"/>
  <c r="HU223" i="11"/>
  <c r="HV223" i="11"/>
  <c r="HW223" i="11"/>
  <c r="HX223" i="11"/>
  <c r="HY223" i="11"/>
  <c r="HZ223" i="11"/>
  <c r="IA223" i="11"/>
  <c r="IB223" i="11"/>
  <c r="IC223" i="11"/>
  <c r="ID223" i="11"/>
  <c r="IE223" i="11"/>
  <c r="IF223" i="11"/>
  <c r="IG223" i="11"/>
  <c r="IH223" i="11"/>
  <c r="II223" i="11"/>
  <c r="IJ223" i="11"/>
  <c r="IK223" i="11"/>
  <c r="IL223" i="11"/>
  <c r="IM223" i="11"/>
  <c r="IN223" i="11"/>
  <c r="IO223" i="11"/>
  <c r="IP223" i="11"/>
  <c r="IQ223" i="11"/>
  <c r="IR223" i="11"/>
  <c r="IS223" i="11"/>
  <c r="IT223" i="11"/>
  <c r="IU223" i="11"/>
  <c r="IV223" i="11"/>
  <c r="F224" i="11"/>
  <c r="G224" i="11"/>
  <c r="H224" i="11"/>
  <c r="I224" i="11"/>
  <c r="J224" i="11"/>
  <c r="K224" i="11"/>
  <c r="L224" i="11"/>
  <c r="M224" i="11"/>
  <c r="N224" i="11"/>
  <c r="O224" i="11"/>
  <c r="P224" i="11"/>
  <c r="Q224" i="11"/>
  <c r="R224" i="11"/>
  <c r="S224" i="11"/>
  <c r="T224" i="11"/>
  <c r="U224" i="11"/>
  <c r="V224" i="11"/>
  <c r="W224" i="11"/>
  <c r="X224" i="11"/>
  <c r="Y224" i="11"/>
  <c r="Z224" i="11"/>
  <c r="AA224" i="11"/>
  <c r="AB224" i="11"/>
  <c r="AC224" i="11"/>
  <c r="AD224" i="11"/>
  <c r="AE224" i="11"/>
  <c r="AF224" i="11"/>
  <c r="AG224" i="11"/>
  <c r="AH224" i="11"/>
  <c r="AI224" i="11"/>
  <c r="AJ224" i="11"/>
  <c r="AK224" i="11"/>
  <c r="AL224" i="11"/>
  <c r="AM224" i="11"/>
  <c r="AN224" i="11"/>
  <c r="AO224" i="11"/>
  <c r="AP224" i="11"/>
  <c r="AQ224" i="11"/>
  <c r="AR224" i="11"/>
  <c r="AS224" i="11"/>
  <c r="AT224" i="11"/>
  <c r="AU224" i="11"/>
  <c r="AV224" i="11"/>
  <c r="AW224" i="11"/>
  <c r="AX224" i="11"/>
  <c r="AY224" i="11"/>
  <c r="AZ224" i="11"/>
  <c r="BA224" i="11"/>
  <c r="BB224" i="11"/>
  <c r="BC224" i="11"/>
  <c r="BD224" i="11"/>
  <c r="BE224" i="11"/>
  <c r="BF224" i="11"/>
  <c r="BG224" i="11"/>
  <c r="BH224" i="11"/>
  <c r="BI224" i="11"/>
  <c r="BJ224" i="11"/>
  <c r="BK224" i="11"/>
  <c r="BL224" i="11"/>
  <c r="BM224" i="11"/>
  <c r="BN224" i="11"/>
  <c r="BO224" i="11"/>
  <c r="BP224" i="11"/>
  <c r="BQ224" i="11"/>
  <c r="BR224" i="11"/>
  <c r="BS224" i="11"/>
  <c r="BT224" i="11"/>
  <c r="BU224" i="11"/>
  <c r="BV224" i="11"/>
  <c r="BW224" i="11"/>
  <c r="BX224" i="11"/>
  <c r="BY224" i="11"/>
  <c r="BZ224" i="11"/>
  <c r="CA224" i="11"/>
  <c r="CB224" i="11"/>
  <c r="CC224" i="11"/>
  <c r="CD224" i="11"/>
  <c r="CE224" i="11"/>
  <c r="CF224" i="11"/>
  <c r="CG224" i="11"/>
  <c r="CH224" i="11"/>
  <c r="CI224" i="11"/>
  <c r="CJ224" i="11"/>
  <c r="CK224" i="11"/>
  <c r="CL224" i="11"/>
  <c r="CM224" i="11"/>
  <c r="CN224" i="11"/>
  <c r="CO224" i="11"/>
  <c r="CP224" i="11"/>
  <c r="CQ224" i="11"/>
  <c r="CR224" i="11"/>
  <c r="CS224" i="11"/>
  <c r="CT224" i="11"/>
  <c r="CU224" i="11"/>
  <c r="CV224" i="11"/>
  <c r="CW224" i="11"/>
  <c r="CX224" i="11"/>
  <c r="CY224" i="11"/>
  <c r="CZ224" i="11"/>
  <c r="DA224" i="11"/>
  <c r="DB224" i="11"/>
  <c r="DC224" i="11"/>
  <c r="DD224" i="11"/>
  <c r="DE224" i="11"/>
  <c r="DF224" i="11"/>
  <c r="DG224" i="11"/>
  <c r="DH224" i="11"/>
  <c r="DI224" i="11"/>
  <c r="DJ224" i="11"/>
  <c r="DK224" i="11"/>
  <c r="DL224" i="11"/>
  <c r="DM224" i="11"/>
  <c r="DN224" i="11"/>
  <c r="DO224" i="11"/>
  <c r="DP224" i="11"/>
  <c r="DQ224" i="11"/>
  <c r="DR224" i="11"/>
  <c r="DS224" i="11"/>
  <c r="DT224" i="11"/>
  <c r="DU224" i="11"/>
  <c r="DV224" i="11"/>
  <c r="DW224" i="11"/>
  <c r="DX224" i="11"/>
  <c r="DY224" i="11"/>
  <c r="DZ224" i="11"/>
  <c r="EA224" i="11"/>
  <c r="EB224" i="11"/>
  <c r="EC224" i="11"/>
  <c r="ED224" i="11"/>
  <c r="EE224" i="11"/>
  <c r="EF224" i="11"/>
  <c r="EG224" i="11"/>
  <c r="EH224" i="11"/>
  <c r="EI224" i="11"/>
  <c r="EJ224" i="11"/>
  <c r="EK224" i="11"/>
  <c r="EL224" i="11"/>
  <c r="EM224" i="11"/>
  <c r="EN224" i="11"/>
  <c r="EO224" i="11"/>
  <c r="EP224" i="11"/>
  <c r="EQ224" i="11"/>
  <c r="ER224" i="11"/>
  <c r="ES224" i="11"/>
  <c r="ET224" i="11"/>
  <c r="EU224" i="11"/>
  <c r="EV224" i="11"/>
  <c r="EW224" i="11"/>
  <c r="EX224" i="11"/>
  <c r="EY224" i="11"/>
  <c r="EZ224" i="11"/>
  <c r="FA224" i="11"/>
  <c r="FB224" i="11"/>
  <c r="FC224" i="11"/>
  <c r="FD224" i="11"/>
  <c r="FE224" i="11"/>
  <c r="FF224" i="11"/>
  <c r="FG224" i="11"/>
  <c r="FH224" i="11"/>
  <c r="FI224" i="11"/>
  <c r="FJ224" i="11"/>
  <c r="FK224" i="11"/>
  <c r="FL224" i="11"/>
  <c r="FM224" i="11"/>
  <c r="FN224" i="11"/>
  <c r="FO224" i="11"/>
  <c r="FP224" i="11"/>
  <c r="FQ224" i="11"/>
  <c r="FR224" i="11"/>
  <c r="FS224" i="11"/>
  <c r="FT224" i="11"/>
  <c r="FU224" i="11"/>
  <c r="FV224" i="11"/>
  <c r="FW224" i="11"/>
  <c r="FX224" i="11"/>
  <c r="FY224" i="11"/>
  <c r="FZ224" i="11"/>
  <c r="GA224" i="11"/>
  <c r="GB224" i="11"/>
  <c r="GC224" i="11"/>
  <c r="GD224" i="11"/>
  <c r="GE224" i="11"/>
  <c r="GF224" i="11"/>
  <c r="GG224" i="11"/>
  <c r="GH224" i="11"/>
  <c r="GI224" i="11"/>
  <c r="GJ224" i="11"/>
  <c r="GK224" i="11"/>
  <c r="GL224" i="11"/>
  <c r="GM224" i="11"/>
  <c r="GN224" i="11"/>
  <c r="GO224" i="11"/>
  <c r="GP224" i="11"/>
  <c r="GQ224" i="11"/>
  <c r="GR224" i="11"/>
  <c r="GS224" i="11"/>
  <c r="GT224" i="11"/>
  <c r="GU224" i="11"/>
  <c r="GV224" i="11"/>
  <c r="GW224" i="11"/>
  <c r="GX224" i="11"/>
  <c r="GY224" i="11"/>
  <c r="GZ224" i="11"/>
  <c r="HA224" i="11"/>
  <c r="HB224" i="11"/>
  <c r="HC224" i="11"/>
  <c r="HD224" i="11"/>
  <c r="HE224" i="11"/>
  <c r="HF224" i="11"/>
  <c r="HG224" i="11"/>
  <c r="HH224" i="11"/>
  <c r="HI224" i="11"/>
  <c r="HJ224" i="11"/>
  <c r="HK224" i="11"/>
  <c r="HL224" i="11"/>
  <c r="HM224" i="11"/>
  <c r="HN224" i="11"/>
  <c r="HO224" i="11"/>
  <c r="HP224" i="11"/>
  <c r="HQ224" i="11"/>
  <c r="HR224" i="11"/>
  <c r="HS224" i="11"/>
  <c r="HT224" i="11"/>
  <c r="HU224" i="11"/>
  <c r="HV224" i="11"/>
  <c r="HW224" i="11"/>
  <c r="HX224" i="11"/>
  <c r="HY224" i="11"/>
  <c r="HZ224" i="11"/>
  <c r="IA224" i="11"/>
  <c r="IB224" i="11"/>
  <c r="IC224" i="11"/>
  <c r="ID224" i="11"/>
  <c r="IE224" i="11"/>
  <c r="IF224" i="11"/>
  <c r="IG224" i="11"/>
  <c r="IH224" i="11"/>
  <c r="II224" i="11"/>
  <c r="IJ224" i="11"/>
  <c r="IK224" i="11"/>
  <c r="IL224" i="11"/>
  <c r="IM224" i="11"/>
  <c r="IN224" i="11"/>
  <c r="IO224" i="11"/>
  <c r="IP224" i="11"/>
  <c r="IQ224" i="11"/>
  <c r="IR224" i="11"/>
  <c r="IS224" i="11"/>
  <c r="IT224" i="11"/>
  <c r="IU224" i="11"/>
  <c r="IV224" i="11"/>
  <c r="F225" i="11"/>
  <c r="G225" i="11"/>
  <c r="H225" i="11"/>
  <c r="I225" i="11"/>
  <c r="J225" i="11"/>
  <c r="K225" i="11"/>
  <c r="L225" i="11"/>
  <c r="M225" i="11"/>
  <c r="N225" i="11"/>
  <c r="O225" i="11"/>
  <c r="P225" i="11"/>
  <c r="Q225" i="11"/>
  <c r="R225" i="11"/>
  <c r="S225" i="11"/>
  <c r="T225" i="11"/>
  <c r="U225" i="11"/>
  <c r="V225" i="11"/>
  <c r="W225" i="11"/>
  <c r="X225" i="11"/>
  <c r="Y225" i="11"/>
  <c r="Z225" i="11"/>
  <c r="AA225" i="11"/>
  <c r="AB225" i="11"/>
  <c r="AC225" i="11"/>
  <c r="AD225" i="11"/>
  <c r="AE225" i="11"/>
  <c r="AF225" i="11"/>
  <c r="AG225" i="11"/>
  <c r="AH225" i="11"/>
  <c r="AI225" i="11"/>
  <c r="AJ225" i="11"/>
  <c r="AK225" i="11"/>
  <c r="AL225" i="11"/>
  <c r="AM225" i="11"/>
  <c r="AN225" i="11"/>
  <c r="AO225" i="11"/>
  <c r="AP225" i="11"/>
  <c r="AQ225" i="11"/>
  <c r="AR225" i="11"/>
  <c r="AS225" i="11"/>
  <c r="AT225" i="11"/>
  <c r="AU225" i="11"/>
  <c r="AV225" i="11"/>
  <c r="AW225" i="11"/>
  <c r="AX225" i="11"/>
  <c r="AY225" i="11"/>
  <c r="AZ225" i="11"/>
  <c r="BA225" i="11"/>
  <c r="BB225" i="11"/>
  <c r="BC225" i="11"/>
  <c r="BD225" i="11"/>
  <c r="BE225" i="11"/>
  <c r="BF225" i="11"/>
  <c r="BG225" i="11"/>
  <c r="BH225" i="11"/>
  <c r="BI225" i="11"/>
  <c r="BJ225" i="11"/>
  <c r="BK225" i="11"/>
  <c r="BL225" i="11"/>
  <c r="BM225" i="11"/>
  <c r="BN225" i="11"/>
  <c r="BO225" i="11"/>
  <c r="BP225" i="11"/>
  <c r="BQ225" i="11"/>
  <c r="BR225" i="11"/>
  <c r="BS225" i="11"/>
  <c r="BT225" i="11"/>
  <c r="BU225" i="11"/>
  <c r="BV225" i="11"/>
  <c r="BW225" i="11"/>
  <c r="BX225" i="11"/>
  <c r="BY225" i="11"/>
  <c r="BZ225" i="11"/>
  <c r="CA225" i="11"/>
  <c r="CB225" i="11"/>
  <c r="CC225" i="11"/>
  <c r="CD225" i="11"/>
  <c r="CE225" i="11"/>
  <c r="CF225" i="11"/>
  <c r="CG225" i="11"/>
  <c r="CH225" i="11"/>
  <c r="CI225" i="11"/>
  <c r="CJ225" i="11"/>
  <c r="CK225" i="11"/>
  <c r="CL225" i="11"/>
  <c r="CM225" i="11"/>
  <c r="CN225" i="11"/>
  <c r="CO225" i="11"/>
  <c r="CP225" i="11"/>
  <c r="CQ225" i="11"/>
  <c r="CR225" i="11"/>
  <c r="CS225" i="11"/>
  <c r="CT225" i="11"/>
  <c r="CU225" i="11"/>
  <c r="CV225" i="11"/>
  <c r="CW225" i="11"/>
  <c r="CX225" i="11"/>
  <c r="CY225" i="11"/>
  <c r="CZ225" i="11"/>
  <c r="DA225" i="11"/>
  <c r="DB225" i="11"/>
  <c r="DC225" i="11"/>
  <c r="DD225" i="11"/>
  <c r="DE225" i="11"/>
  <c r="DF225" i="11"/>
  <c r="DG225" i="11"/>
  <c r="DH225" i="11"/>
  <c r="DI225" i="11"/>
  <c r="DJ225" i="11"/>
  <c r="DK225" i="11"/>
  <c r="DL225" i="11"/>
  <c r="DM225" i="11"/>
  <c r="DN225" i="11"/>
  <c r="DO225" i="11"/>
  <c r="DP225" i="11"/>
  <c r="DQ225" i="11"/>
  <c r="DR225" i="11"/>
  <c r="DS225" i="11"/>
  <c r="DT225" i="11"/>
  <c r="DU225" i="11"/>
  <c r="DV225" i="11"/>
  <c r="DW225" i="11"/>
  <c r="DX225" i="11"/>
  <c r="DY225" i="11"/>
  <c r="DZ225" i="11"/>
  <c r="EA225" i="11"/>
  <c r="EB225" i="11"/>
  <c r="EC225" i="11"/>
  <c r="ED225" i="11"/>
  <c r="EE225" i="11"/>
  <c r="EF225" i="11"/>
  <c r="EG225" i="11"/>
  <c r="EH225" i="11"/>
  <c r="EI225" i="11"/>
  <c r="EJ225" i="11"/>
  <c r="EK225" i="11"/>
  <c r="EL225" i="11"/>
  <c r="EM225" i="11"/>
  <c r="EN225" i="11"/>
  <c r="EO225" i="11"/>
  <c r="EP225" i="11"/>
  <c r="EQ225" i="11"/>
  <c r="ER225" i="11"/>
  <c r="ES225" i="11"/>
  <c r="ET225" i="11"/>
  <c r="EU225" i="11"/>
  <c r="EV225" i="11"/>
  <c r="EW225" i="11"/>
  <c r="EX225" i="11"/>
  <c r="EY225" i="11"/>
  <c r="EZ225" i="11"/>
  <c r="FA225" i="11"/>
  <c r="FB225" i="11"/>
  <c r="FC225" i="11"/>
  <c r="FD225" i="11"/>
  <c r="FE225" i="11"/>
  <c r="FF225" i="11"/>
  <c r="FG225" i="11"/>
  <c r="FH225" i="11"/>
  <c r="FI225" i="11"/>
  <c r="FJ225" i="11"/>
  <c r="FK225" i="11"/>
  <c r="FL225" i="11"/>
  <c r="FM225" i="11"/>
  <c r="FN225" i="11"/>
  <c r="FO225" i="11"/>
  <c r="FP225" i="11"/>
  <c r="FQ225" i="11"/>
  <c r="FR225" i="11"/>
  <c r="FS225" i="11"/>
  <c r="FT225" i="11"/>
  <c r="FU225" i="11"/>
  <c r="FV225" i="11"/>
  <c r="FW225" i="11"/>
  <c r="FX225" i="11"/>
  <c r="FY225" i="11"/>
  <c r="FZ225" i="11"/>
  <c r="GA225" i="11"/>
  <c r="GB225" i="11"/>
  <c r="GC225" i="11"/>
  <c r="GD225" i="11"/>
  <c r="GE225" i="11"/>
  <c r="GF225" i="11"/>
  <c r="GG225" i="11"/>
  <c r="GH225" i="11"/>
  <c r="GI225" i="11"/>
  <c r="GJ225" i="11"/>
  <c r="GK225" i="11"/>
  <c r="GL225" i="11"/>
  <c r="GM225" i="11"/>
  <c r="GN225" i="11"/>
  <c r="GO225" i="11"/>
  <c r="GP225" i="11"/>
  <c r="GQ225" i="11"/>
  <c r="GR225" i="11"/>
  <c r="GS225" i="11"/>
  <c r="GT225" i="11"/>
  <c r="GU225" i="11"/>
  <c r="GV225" i="11"/>
  <c r="GW225" i="11"/>
  <c r="GX225" i="11"/>
  <c r="GY225" i="11"/>
  <c r="GZ225" i="11"/>
  <c r="HA225" i="11"/>
  <c r="HB225" i="11"/>
  <c r="HC225" i="11"/>
  <c r="HD225" i="11"/>
  <c r="HE225" i="11"/>
  <c r="HF225" i="11"/>
  <c r="HG225" i="11"/>
  <c r="HH225" i="11"/>
  <c r="HI225" i="11"/>
  <c r="HJ225" i="11"/>
  <c r="HK225" i="11"/>
  <c r="HL225" i="11"/>
  <c r="HM225" i="11"/>
  <c r="HN225" i="11"/>
  <c r="HO225" i="11"/>
  <c r="HP225" i="11"/>
  <c r="HQ225" i="11"/>
  <c r="HR225" i="11"/>
  <c r="HS225" i="11"/>
  <c r="HT225" i="11"/>
  <c r="HU225" i="11"/>
  <c r="HV225" i="11"/>
  <c r="HW225" i="11"/>
  <c r="HX225" i="11"/>
  <c r="HY225" i="11"/>
  <c r="HZ225" i="11"/>
  <c r="IA225" i="11"/>
  <c r="IB225" i="11"/>
  <c r="IC225" i="11"/>
  <c r="ID225" i="11"/>
  <c r="IE225" i="11"/>
  <c r="IF225" i="11"/>
  <c r="IG225" i="11"/>
  <c r="IH225" i="11"/>
  <c r="II225" i="11"/>
  <c r="IJ225" i="11"/>
  <c r="IK225" i="11"/>
  <c r="IL225" i="11"/>
  <c r="IM225" i="11"/>
  <c r="IN225" i="11"/>
  <c r="IO225" i="11"/>
  <c r="IP225" i="11"/>
  <c r="IQ225" i="11"/>
  <c r="IR225" i="11"/>
  <c r="IS225" i="11"/>
  <c r="IT225" i="11"/>
  <c r="IU225" i="11"/>
  <c r="IV225" i="11"/>
  <c r="F226" i="11"/>
  <c r="G226" i="11"/>
  <c r="H226" i="11"/>
  <c r="I226" i="11"/>
  <c r="J226" i="11"/>
  <c r="K226" i="11"/>
  <c r="L226" i="11"/>
  <c r="M226" i="11"/>
  <c r="N226" i="11"/>
  <c r="O226" i="11"/>
  <c r="P226" i="11"/>
  <c r="Q226" i="11"/>
  <c r="R226" i="11"/>
  <c r="S226" i="11"/>
  <c r="T226" i="11"/>
  <c r="U226" i="11"/>
  <c r="V226" i="11"/>
  <c r="W226" i="11"/>
  <c r="X226" i="11"/>
  <c r="Y226" i="11"/>
  <c r="Z226" i="11"/>
  <c r="AA226" i="11"/>
  <c r="AB226" i="11"/>
  <c r="AC226" i="11"/>
  <c r="AD226" i="11"/>
  <c r="AE226" i="11"/>
  <c r="AF226" i="11"/>
  <c r="AG226" i="11"/>
  <c r="AH226" i="11"/>
  <c r="AI226" i="11"/>
  <c r="AJ226" i="11"/>
  <c r="AK226" i="11"/>
  <c r="AL226" i="11"/>
  <c r="AM226" i="11"/>
  <c r="AN226" i="11"/>
  <c r="AO226" i="11"/>
  <c r="AP226" i="11"/>
  <c r="AQ226" i="11"/>
  <c r="AR226" i="11"/>
  <c r="AS226" i="11"/>
  <c r="AT226" i="11"/>
  <c r="AU226" i="11"/>
  <c r="AV226" i="11"/>
  <c r="AW226" i="11"/>
  <c r="AX226" i="11"/>
  <c r="AY226" i="11"/>
  <c r="AZ226" i="11"/>
  <c r="BA226" i="11"/>
  <c r="BB226" i="11"/>
  <c r="BC226" i="11"/>
  <c r="BD226" i="11"/>
  <c r="BE226" i="11"/>
  <c r="BF226" i="11"/>
  <c r="BG226" i="11"/>
  <c r="BH226" i="11"/>
  <c r="BI226" i="11"/>
  <c r="BJ226" i="11"/>
  <c r="BK226" i="11"/>
  <c r="BL226" i="11"/>
  <c r="BM226" i="11"/>
  <c r="BN226" i="11"/>
  <c r="BO226" i="11"/>
  <c r="BP226" i="11"/>
  <c r="BQ226" i="11"/>
  <c r="BR226" i="11"/>
  <c r="BS226" i="11"/>
  <c r="BT226" i="11"/>
  <c r="BU226" i="11"/>
  <c r="BV226" i="11"/>
  <c r="BW226" i="11"/>
  <c r="BX226" i="11"/>
  <c r="BY226" i="11"/>
  <c r="BZ226" i="11"/>
  <c r="CA226" i="11"/>
  <c r="CB226" i="11"/>
  <c r="CC226" i="11"/>
  <c r="CD226" i="11"/>
  <c r="CE226" i="11"/>
  <c r="CF226" i="11"/>
  <c r="CG226" i="11"/>
  <c r="CH226" i="11"/>
  <c r="CI226" i="11"/>
  <c r="CJ226" i="11"/>
  <c r="CK226" i="11"/>
  <c r="CL226" i="11"/>
  <c r="CM226" i="11"/>
  <c r="CN226" i="11"/>
  <c r="CO226" i="11"/>
  <c r="CP226" i="11"/>
  <c r="CQ226" i="11"/>
  <c r="CR226" i="11"/>
  <c r="CS226" i="11"/>
  <c r="CT226" i="11"/>
  <c r="CU226" i="11"/>
  <c r="CV226" i="11"/>
  <c r="CW226" i="11"/>
  <c r="CX226" i="11"/>
  <c r="CY226" i="11"/>
  <c r="CZ226" i="11"/>
  <c r="DA226" i="11"/>
  <c r="DB226" i="11"/>
  <c r="DC226" i="11"/>
  <c r="DD226" i="11"/>
  <c r="DE226" i="11"/>
  <c r="DF226" i="11"/>
  <c r="DG226" i="11"/>
  <c r="DH226" i="11"/>
  <c r="DI226" i="11"/>
  <c r="DJ226" i="11"/>
  <c r="DK226" i="11"/>
  <c r="DL226" i="11"/>
  <c r="DM226" i="11"/>
  <c r="DN226" i="11"/>
  <c r="DO226" i="11"/>
  <c r="DP226" i="11"/>
  <c r="DQ226" i="11"/>
  <c r="DR226" i="11"/>
  <c r="DS226" i="11"/>
  <c r="DT226" i="11"/>
  <c r="DU226" i="11"/>
  <c r="DV226" i="11"/>
  <c r="DW226" i="11"/>
  <c r="DX226" i="11"/>
  <c r="DY226" i="11"/>
  <c r="DZ226" i="11"/>
  <c r="EA226" i="11"/>
  <c r="EB226" i="11"/>
  <c r="EC226" i="11"/>
  <c r="ED226" i="11"/>
  <c r="EE226" i="11"/>
  <c r="EF226" i="11"/>
  <c r="EG226" i="11"/>
  <c r="EH226" i="11"/>
  <c r="EI226" i="11"/>
  <c r="EJ226" i="11"/>
  <c r="EK226" i="11"/>
  <c r="EL226" i="11"/>
  <c r="EM226" i="11"/>
  <c r="EN226" i="11"/>
  <c r="EO226" i="11"/>
  <c r="EP226" i="11"/>
  <c r="EQ226" i="11"/>
  <c r="ER226" i="11"/>
  <c r="ES226" i="11"/>
  <c r="ET226" i="11"/>
  <c r="EU226" i="11"/>
  <c r="EV226" i="11"/>
  <c r="EW226" i="11"/>
  <c r="EX226" i="11"/>
  <c r="EY226" i="11"/>
  <c r="EZ226" i="11"/>
  <c r="FA226" i="11"/>
  <c r="FB226" i="11"/>
  <c r="FC226" i="11"/>
  <c r="FD226" i="11"/>
  <c r="FE226" i="11"/>
  <c r="FF226" i="11"/>
  <c r="FG226" i="11"/>
  <c r="FH226" i="11"/>
  <c r="FI226" i="11"/>
  <c r="FJ226" i="11"/>
  <c r="FK226" i="11"/>
  <c r="FL226" i="11"/>
  <c r="FM226" i="11"/>
  <c r="FN226" i="11"/>
  <c r="FO226" i="11"/>
  <c r="FP226" i="11"/>
  <c r="FQ226" i="11"/>
  <c r="FR226" i="11"/>
  <c r="FS226" i="11"/>
  <c r="FT226" i="11"/>
  <c r="FU226" i="11"/>
  <c r="FV226" i="11"/>
  <c r="FW226" i="11"/>
  <c r="FX226" i="11"/>
  <c r="FY226" i="11"/>
  <c r="FZ226" i="11"/>
  <c r="GA226" i="11"/>
  <c r="GB226" i="11"/>
  <c r="GC226" i="11"/>
  <c r="GD226" i="11"/>
  <c r="GE226" i="11"/>
  <c r="GF226" i="11"/>
  <c r="GG226" i="11"/>
  <c r="GH226" i="11"/>
  <c r="GI226" i="11"/>
  <c r="GJ226" i="11"/>
  <c r="GK226" i="11"/>
  <c r="GL226" i="11"/>
  <c r="GM226" i="11"/>
  <c r="GN226" i="11"/>
  <c r="GO226" i="11"/>
  <c r="GP226" i="11"/>
  <c r="GQ226" i="11"/>
  <c r="GR226" i="11"/>
  <c r="GS226" i="11"/>
  <c r="GT226" i="11"/>
  <c r="GU226" i="11"/>
  <c r="GV226" i="11"/>
  <c r="GW226" i="11"/>
  <c r="GX226" i="11"/>
  <c r="GY226" i="11"/>
  <c r="GZ226" i="11"/>
  <c r="HA226" i="11"/>
  <c r="HB226" i="11"/>
  <c r="HC226" i="11"/>
  <c r="HD226" i="11"/>
  <c r="HE226" i="11"/>
  <c r="HF226" i="11"/>
  <c r="HG226" i="11"/>
  <c r="HH226" i="11"/>
  <c r="HI226" i="11"/>
  <c r="HJ226" i="11"/>
  <c r="HK226" i="11"/>
  <c r="HL226" i="11"/>
  <c r="HM226" i="11"/>
  <c r="HN226" i="11"/>
  <c r="HO226" i="11"/>
  <c r="HP226" i="11"/>
  <c r="HQ226" i="11"/>
  <c r="HR226" i="11"/>
  <c r="HS226" i="11"/>
  <c r="HT226" i="11"/>
  <c r="HU226" i="11"/>
  <c r="HV226" i="11"/>
  <c r="HW226" i="11"/>
  <c r="HX226" i="11"/>
  <c r="HY226" i="11"/>
  <c r="HZ226" i="11"/>
  <c r="IA226" i="11"/>
  <c r="IB226" i="11"/>
  <c r="IC226" i="11"/>
  <c r="ID226" i="11"/>
  <c r="IE226" i="11"/>
  <c r="IF226" i="11"/>
  <c r="IG226" i="11"/>
  <c r="IH226" i="11"/>
  <c r="II226" i="11"/>
  <c r="IJ226" i="11"/>
  <c r="IK226" i="11"/>
  <c r="IL226" i="11"/>
  <c r="IM226" i="11"/>
  <c r="IN226" i="11"/>
  <c r="IO226" i="11"/>
  <c r="IP226" i="11"/>
  <c r="IQ226" i="11"/>
  <c r="IR226" i="11"/>
  <c r="IS226" i="11"/>
  <c r="IT226" i="11"/>
  <c r="IU226" i="11"/>
  <c r="IV226" i="11"/>
  <c r="F227" i="11"/>
  <c r="G227" i="11"/>
  <c r="H227" i="11"/>
  <c r="I227" i="11"/>
  <c r="J227" i="11"/>
  <c r="K227" i="11"/>
  <c r="L227" i="11"/>
  <c r="M227" i="11"/>
  <c r="N227" i="11"/>
  <c r="O227" i="11"/>
  <c r="P227" i="11"/>
  <c r="Q227" i="11"/>
  <c r="R227" i="11"/>
  <c r="S227" i="11"/>
  <c r="T227" i="11"/>
  <c r="U227" i="11"/>
  <c r="V227" i="11"/>
  <c r="W227" i="11"/>
  <c r="X227" i="11"/>
  <c r="Y227" i="11"/>
  <c r="Z227" i="11"/>
  <c r="AA227" i="11"/>
  <c r="AB227" i="11"/>
  <c r="AC227" i="11"/>
  <c r="AD227" i="11"/>
  <c r="AE227" i="11"/>
  <c r="AF227" i="11"/>
  <c r="AG227" i="11"/>
  <c r="AH227" i="11"/>
  <c r="AI227" i="11"/>
  <c r="AJ227" i="11"/>
  <c r="AK227" i="11"/>
  <c r="AL227" i="11"/>
  <c r="AM227" i="11"/>
  <c r="AN227" i="11"/>
  <c r="AO227" i="11"/>
  <c r="AP227" i="11"/>
  <c r="AQ227" i="11"/>
  <c r="AR227" i="11"/>
  <c r="AS227" i="11"/>
  <c r="AT227" i="11"/>
  <c r="AU227" i="11"/>
  <c r="AV227" i="11"/>
  <c r="AW227" i="11"/>
  <c r="AX227" i="11"/>
  <c r="AY227" i="11"/>
  <c r="AZ227" i="11"/>
  <c r="BA227" i="11"/>
  <c r="BB227" i="11"/>
  <c r="BC227" i="11"/>
  <c r="BD227" i="11"/>
  <c r="BE227" i="11"/>
  <c r="BF227" i="11"/>
  <c r="BG227" i="11"/>
  <c r="BH227" i="11"/>
  <c r="BI227" i="11"/>
  <c r="BJ227" i="11"/>
  <c r="BK227" i="11"/>
  <c r="BL227" i="11"/>
  <c r="BM227" i="11"/>
  <c r="BN227" i="11"/>
  <c r="BO227" i="11"/>
  <c r="BP227" i="11"/>
  <c r="BQ227" i="11"/>
  <c r="BR227" i="11"/>
  <c r="BS227" i="11"/>
  <c r="BT227" i="11"/>
  <c r="BU227" i="11"/>
  <c r="BV227" i="11"/>
  <c r="BW227" i="11"/>
  <c r="BX227" i="11"/>
  <c r="BY227" i="11"/>
  <c r="BZ227" i="11"/>
  <c r="CA227" i="11"/>
  <c r="CB227" i="11"/>
  <c r="CC227" i="11"/>
  <c r="CD227" i="11"/>
  <c r="CE227" i="11"/>
  <c r="CF227" i="11"/>
  <c r="CG227" i="11"/>
  <c r="CH227" i="11"/>
  <c r="CI227" i="11"/>
  <c r="CJ227" i="11"/>
  <c r="CK227" i="11"/>
  <c r="CL227" i="11"/>
  <c r="CM227" i="11"/>
  <c r="CN227" i="11"/>
  <c r="CO227" i="11"/>
  <c r="CP227" i="11"/>
  <c r="CQ227" i="11"/>
  <c r="CR227" i="11"/>
  <c r="CS227" i="11"/>
  <c r="CT227" i="11"/>
  <c r="CU227" i="11"/>
  <c r="CV227" i="11"/>
  <c r="CW227" i="11"/>
  <c r="CX227" i="11"/>
  <c r="CY227" i="11"/>
  <c r="CZ227" i="11"/>
  <c r="DA227" i="11"/>
  <c r="DB227" i="11"/>
  <c r="DC227" i="11"/>
  <c r="DD227" i="11"/>
  <c r="DE227" i="11"/>
  <c r="DF227" i="11"/>
  <c r="DG227" i="11"/>
  <c r="DH227" i="11"/>
  <c r="DI227" i="11"/>
  <c r="DJ227" i="11"/>
  <c r="DK227" i="11"/>
  <c r="DL227" i="11"/>
  <c r="DM227" i="11"/>
  <c r="DN227" i="11"/>
  <c r="DO227" i="11"/>
  <c r="DP227" i="11"/>
  <c r="DQ227" i="11"/>
  <c r="DR227" i="11"/>
  <c r="DS227" i="11"/>
  <c r="DT227" i="11"/>
  <c r="DU227" i="11"/>
  <c r="DV227" i="11"/>
  <c r="DW227" i="11"/>
  <c r="DX227" i="11"/>
  <c r="DY227" i="11"/>
  <c r="DZ227" i="11"/>
  <c r="EA227" i="11"/>
  <c r="EB227" i="11"/>
  <c r="EC227" i="11"/>
  <c r="ED227" i="11"/>
  <c r="EE227" i="11"/>
  <c r="EF227" i="11"/>
  <c r="EG227" i="11"/>
  <c r="EH227" i="11"/>
  <c r="EI227" i="11"/>
  <c r="EJ227" i="11"/>
  <c r="EK227" i="11"/>
  <c r="EL227" i="11"/>
  <c r="EM227" i="11"/>
  <c r="EN227" i="11"/>
  <c r="EO227" i="11"/>
  <c r="EP227" i="11"/>
  <c r="EQ227" i="11"/>
  <c r="ER227" i="11"/>
  <c r="ES227" i="11"/>
  <c r="ET227" i="11"/>
  <c r="EU227" i="11"/>
  <c r="EV227" i="11"/>
  <c r="EW227" i="11"/>
  <c r="EX227" i="11"/>
  <c r="EY227" i="11"/>
  <c r="EZ227" i="11"/>
  <c r="FA227" i="11"/>
  <c r="FB227" i="11"/>
  <c r="FC227" i="11"/>
  <c r="FD227" i="11"/>
  <c r="FE227" i="11"/>
  <c r="FF227" i="11"/>
  <c r="FG227" i="11"/>
  <c r="FH227" i="11"/>
  <c r="FI227" i="11"/>
  <c r="FJ227" i="11"/>
  <c r="FK227" i="11"/>
  <c r="FL227" i="11"/>
  <c r="FM227" i="11"/>
  <c r="FN227" i="11"/>
  <c r="FO227" i="11"/>
  <c r="FP227" i="11"/>
  <c r="FQ227" i="11"/>
  <c r="FR227" i="11"/>
  <c r="FS227" i="11"/>
  <c r="FT227" i="11"/>
  <c r="FU227" i="11"/>
  <c r="FV227" i="11"/>
  <c r="FW227" i="11"/>
  <c r="FX227" i="11"/>
  <c r="FY227" i="11"/>
  <c r="FZ227" i="11"/>
  <c r="GA227" i="11"/>
  <c r="GB227" i="11"/>
  <c r="GC227" i="11"/>
  <c r="GD227" i="11"/>
  <c r="GE227" i="11"/>
  <c r="GF227" i="11"/>
  <c r="GG227" i="11"/>
  <c r="GH227" i="11"/>
  <c r="GI227" i="11"/>
  <c r="GJ227" i="11"/>
  <c r="GK227" i="11"/>
  <c r="GL227" i="11"/>
  <c r="GM227" i="11"/>
  <c r="GN227" i="11"/>
  <c r="GO227" i="11"/>
  <c r="GP227" i="11"/>
  <c r="GQ227" i="11"/>
  <c r="GR227" i="11"/>
  <c r="GS227" i="11"/>
  <c r="GT227" i="11"/>
  <c r="GU227" i="11"/>
  <c r="GV227" i="11"/>
  <c r="GW227" i="11"/>
  <c r="GX227" i="11"/>
  <c r="GY227" i="11"/>
  <c r="GZ227" i="11"/>
  <c r="HA227" i="11"/>
  <c r="HB227" i="11"/>
  <c r="HC227" i="11"/>
  <c r="HD227" i="11"/>
  <c r="HE227" i="11"/>
  <c r="HF227" i="11"/>
  <c r="HG227" i="11"/>
  <c r="HH227" i="11"/>
  <c r="HI227" i="11"/>
  <c r="HJ227" i="11"/>
  <c r="HK227" i="11"/>
  <c r="HL227" i="11"/>
  <c r="HM227" i="11"/>
  <c r="HN227" i="11"/>
  <c r="HO227" i="11"/>
  <c r="HP227" i="11"/>
  <c r="HQ227" i="11"/>
  <c r="HR227" i="11"/>
  <c r="HS227" i="11"/>
  <c r="HT227" i="11"/>
  <c r="HU227" i="11"/>
  <c r="HV227" i="11"/>
  <c r="HW227" i="11"/>
  <c r="HX227" i="11"/>
  <c r="HY227" i="11"/>
  <c r="HZ227" i="11"/>
  <c r="IA227" i="11"/>
  <c r="IB227" i="11"/>
  <c r="IC227" i="11"/>
  <c r="ID227" i="11"/>
  <c r="IE227" i="11"/>
  <c r="IF227" i="11"/>
  <c r="IG227" i="11"/>
  <c r="IH227" i="11"/>
  <c r="II227" i="11"/>
  <c r="IJ227" i="11"/>
  <c r="IK227" i="11"/>
  <c r="IL227" i="11"/>
  <c r="IM227" i="11"/>
  <c r="IN227" i="11"/>
  <c r="IO227" i="11"/>
  <c r="IP227" i="11"/>
  <c r="IQ227" i="11"/>
  <c r="IR227" i="11"/>
  <c r="IS227" i="11"/>
  <c r="IT227" i="11"/>
  <c r="IU227" i="11"/>
  <c r="IV227" i="11"/>
  <c r="F228" i="11"/>
  <c r="G228" i="11"/>
  <c r="H228" i="11"/>
  <c r="I228" i="11"/>
  <c r="J228" i="11"/>
  <c r="K228" i="11"/>
  <c r="L228" i="11"/>
  <c r="M228" i="11"/>
  <c r="N228" i="11"/>
  <c r="O228" i="11"/>
  <c r="P228" i="11"/>
  <c r="Q228" i="11"/>
  <c r="R228" i="11"/>
  <c r="S228" i="11"/>
  <c r="T228" i="11"/>
  <c r="U228" i="11"/>
  <c r="V228" i="11"/>
  <c r="W228" i="11"/>
  <c r="X228" i="11"/>
  <c r="Y228" i="11"/>
  <c r="Z228" i="11"/>
  <c r="AA228" i="11"/>
  <c r="AB228" i="11"/>
  <c r="AC228" i="11"/>
  <c r="AD228" i="11"/>
  <c r="AE228" i="11"/>
  <c r="AF228" i="11"/>
  <c r="AG228" i="11"/>
  <c r="AH228" i="11"/>
  <c r="AI228" i="11"/>
  <c r="AJ228" i="11"/>
  <c r="AK228" i="11"/>
  <c r="AL228" i="11"/>
  <c r="AM228" i="11"/>
  <c r="AN228" i="11"/>
  <c r="AO228" i="11"/>
  <c r="AP228" i="11"/>
  <c r="AQ228" i="11"/>
  <c r="AR228" i="11"/>
  <c r="AS228" i="11"/>
  <c r="AT228" i="11"/>
  <c r="AU228" i="11"/>
  <c r="AV228" i="11"/>
  <c r="AW228" i="11"/>
  <c r="AX228" i="11"/>
  <c r="AY228" i="11"/>
  <c r="AZ228" i="11"/>
  <c r="BA228" i="11"/>
  <c r="BB228" i="11"/>
  <c r="BC228" i="11"/>
  <c r="BD228" i="11"/>
  <c r="BE228" i="11"/>
  <c r="BF228" i="11"/>
  <c r="BG228" i="11"/>
  <c r="BH228" i="11"/>
  <c r="BI228" i="11"/>
  <c r="BJ228" i="11"/>
  <c r="BK228" i="11"/>
  <c r="BL228" i="11"/>
  <c r="BM228" i="11"/>
  <c r="BN228" i="11"/>
  <c r="BO228" i="11"/>
  <c r="BP228" i="11"/>
  <c r="BQ228" i="11"/>
  <c r="BR228" i="11"/>
  <c r="BS228" i="11"/>
  <c r="BT228" i="11"/>
  <c r="BU228" i="11"/>
  <c r="BV228" i="11"/>
  <c r="BW228" i="11"/>
  <c r="BX228" i="11"/>
  <c r="BY228" i="11"/>
  <c r="BZ228" i="11"/>
  <c r="CA228" i="11"/>
  <c r="CB228" i="11"/>
  <c r="CC228" i="11"/>
  <c r="CD228" i="11"/>
  <c r="CE228" i="11"/>
  <c r="CF228" i="11"/>
  <c r="CG228" i="11"/>
  <c r="CH228" i="11"/>
  <c r="CI228" i="11"/>
  <c r="CJ228" i="11"/>
  <c r="CK228" i="11"/>
  <c r="CL228" i="11"/>
  <c r="CM228" i="11"/>
  <c r="CN228" i="11"/>
  <c r="CO228" i="11"/>
  <c r="CP228" i="11"/>
  <c r="CQ228" i="11"/>
  <c r="CR228" i="11"/>
  <c r="CS228" i="11"/>
  <c r="CT228" i="11"/>
  <c r="CU228" i="11"/>
  <c r="CV228" i="11"/>
  <c r="CW228" i="11"/>
  <c r="CX228" i="11"/>
  <c r="CY228" i="11"/>
  <c r="CZ228" i="11"/>
  <c r="DA228" i="11"/>
  <c r="DB228" i="11"/>
  <c r="DC228" i="11"/>
  <c r="DD228" i="11"/>
  <c r="DE228" i="11"/>
  <c r="DF228" i="11"/>
  <c r="DG228" i="11"/>
  <c r="DH228" i="11"/>
  <c r="DI228" i="11"/>
  <c r="DJ228" i="11"/>
  <c r="DK228" i="11"/>
  <c r="DL228" i="11"/>
  <c r="DM228" i="11"/>
  <c r="DN228" i="11"/>
  <c r="DO228" i="11"/>
  <c r="DP228" i="11"/>
  <c r="DQ228" i="11"/>
  <c r="DR228" i="11"/>
  <c r="DS228" i="11"/>
  <c r="DT228" i="11"/>
  <c r="DU228" i="11"/>
  <c r="DV228" i="11"/>
  <c r="DW228" i="11"/>
  <c r="DX228" i="11"/>
  <c r="DY228" i="11"/>
  <c r="DZ228" i="11"/>
  <c r="EA228" i="11"/>
  <c r="EB228" i="11"/>
  <c r="EC228" i="11"/>
  <c r="ED228" i="11"/>
  <c r="EE228" i="11"/>
  <c r="EF228" i="11"/>
  <c r="EG228" i="11"/>
  <c r="EH228" i="11"/>
  <c r="EI228" i="11"/>
  <c r="EJ228" i="11"/>
  <c r="EK228" i="11"/>
  <c r="EL228" i="11"/>
  <c r="EM228" i="11"/>
  <c r="EN228" i="11"/>
  <c r="EO228" i="11"/>
  <c r="EP228" i="11"/>
  <c r="EQ228" i="11"/>
  <c r="ER228" i="11"/>
  <c r="ES228" i="11"/>
  <c r="ET228" i="11"/>
  <c r="EU228" i="11"/>
  <c r="EV228" i="11"/>
  <c r="EW228" i="11"/>
  <c r="EX228" i="11"/>
  <c r="EY228" i="11"/>
  <c r="EZ228" i="11"/>
  <c r="FA228" i="11"/>
  <c r="FB228" i="11"/>
  <c r="FC228" i="11"/>
  <c r="FD228" i="11"/>
  <c r="FE228" i="11"/>
  <c r="FF228" i="11"/>
  <c r="FG228" i="11"/>
  <c r="FH228" i="11"/>
  <c r="FI228" i="11"/>
  <c r="FJ228" i="11"/>
  <c r="FK228" i="11"/>
  <c r="FL228" i="11"/>
  <c r="FM228" i="11"/>
  <c r="FN228" i="11"/>
  <c r="FO228" i="11"/>
  <c r="FP228" i="11"/>
  <c r="FQ228" i="11"/>
  <c r="FR228" i="11"/>
  <c r="FS228" i="11"/>
  <c r="FT228" i="11"/>
  <c r="FU228" i="11"/>
  <c r="FV228" i="11"/>
  <c r="FW228" i="11"/>
  <c r="FX228" i="11"/>
  <c r="FY228" i="11"/>
  <c r="FZ228" i="11"/>
  <c r="GA228" i="11"/>
  <c r="GB228" i="11"/>
  <c r="GC228" i="11"/>
  <c r="GD228" i="11"/>
  <c r="GE228" i="11"/>
  <c r="GF228" i="11"/>
  <c r="GG228" i="11"/>
  <c r="GH228" i="11"/>
  <c r="GI228" i="11"/>
  <c r="GJ228" i="11"/>
  <c r="GK228" i="11"/>
  <c r="GL228" i="11"/>
  <c r="GM228" i="11"/>
  <c r="GN228" i="11"/>
  <c r="GO228" i="11"/>
  <c r="GP228" i="11"/>
  <c r="GQ228" i="11"/>
  <c r="GR228" i="11"/>
  <c r="GS228" i="11"/>
  <c r="GT228" i="11"/>
  <c r="GU228" i="11"/>
  <c r="GV228" i="11"/>
  <c r="GW228" i="11"/>
  <c r="GX228" i="11"/>
  <c r="GY228" i="11"/>
  <c r="GZ228" i="11"/>
  <c r="HA228" i="11"/>
  <c r="HB228" i="11"/>
  <c r="HC228" i="11"/>
  <c r="HD228" i="11"/>
  <c r="HE228" i="11"/>
  <c r="HF228" i="11"/>
  <c r="HG228" i="11"/>
  <c r="HH228" i="11"/>
  <c r="HI228" i="11"/>
  <c r="HJ228" i="11"/>
  <c r="HK228" i="11"/>
  <c r="HL228" i="11"/>
  <c r="HM228" i="11"/>
  <c r="HN228" i="11"/>
  <c r="HO228" i="11"/>
  <c r="HP228" i="11"/>
  <c r="HQ228" i="11"/>
  <c r="HR228" i="11"/>
  <c r="HS228" i="11"/>
  <c r="HT228" i="11"/>
  <c r="HU228" i="11"/>
  <c r="HV228" i="11"/>
  <c r="HW228" i="11"/>
  <c r="HX228" i="11"/>
  <c r="HY228" i="11"/>
  <c r="HZ228" i="11"/>
  <c r="IA228" i="11"/>
  <c r="IB228" i="11"/>
  <c r="IC228" i="11"/>
  <c r="ID228" i="11"/>
  <c r="IE228" i="11"/>
  <c r="IF228" i="11"/>
  <c r="IG228" i="11"/>
  <c r="IH228" i="11"/>
  <c r="II228" i="11"/>
  <c r="IJ228" i="11"/>
  <c r="IK228" i="11"/>
  <c r="IL228" i="11"/>
  <c r="IM228" i="11"/>
  <c r="IN228" i="11"/>
  <c r="IO228" i="11"/>
  <c r="IP228" i="11"/>
  <c r="IQ228" i="11"/>
  <c r="IR228" i="11"/>
  <c r="IS228" i="11"/>
  <c r="IT228" i="11"/>
  <c r="IU228" i="11"/>
  <c r="IV228" i="11"/>
  <c r="F229" i="11"/>
  <c r="G229" i="11"/>
  <c r="H229" i="11"/>
  <c r="I229" i="11"/>
  <c r="J229" i="11"/>
  <c r="K229" i="11"/>
  <c r="L229" i="11"/>
  <c r="M229" i="11"/>
  <c r="N229" i="11"/>
  <c r="O229" i="11"/>
  <c r="P229" i="11"/>
  <c r="Q229" i="11"/>
  <c r="R229" i="11"/>
  <c r="S229" i="11"/>
  <c r="T229" i="11"/>
  <c r="U229" i="11"/>
  <c r="V229" i="11"/>
  <c r="W229" i="11"/>
  <c r="X229" i="11"/>
  <c r="Y229" i="11"/>
  <c r="Z229" i="11"/>
  <c r="AA229" i="11"/>
  <c r="AB229" i="11"/>
  <c r="AC229" i="11"/>
  <c r="AD229" i="11"/>
  <c r="AE229" i="11"/>
  <c r="AF229" i="11"/>
  <c r="AG229" i="11"/>
  <c r="AH229" i="11"/>
  <c r="AI229" i="11"/>
  <c r="AJ229" i="11"/>
  <c r="AK229" i="11"/>
  <c r="AL229" i="11"/>
  <c r="AM229" i="11"/>
  <c r="AN229" i="11"/>
  <c r="AO229" i="11"/>
  <c r="AP229" i="11"/>
  <c r="AQ229" i="11"/>
  <c r="AR229" i="11"/>
  <c r="AS229" i="11"/>
  <c r="AT229" i="11"/>
  <c r="AU229" i="11"/>
  <c r="AV229" i="11"/>
  <c r="AW229" i="11"/>
  <c r="AX229" i="11"/>
  <c r="AY229" i="11"/>
  <c r="AZ229" i="11"/>
  <c r="BA229" i="11"/>
  <c r="BB229" i="11"/>
  <c r="BC229" i="11"/>
  <c r="BD229" i="11"/>
  <c r="BE229" i="11"/>
  <c r="BF229" i="11"/>
  <c r="BG229" i="11"/>
  <c r="BH229" i="11"/>
  <c r="BI229" i="11"/>
  <c r="BJ229" i="11"/>
  <c r="BK229" i="11"/>
  <c r="BL229" i="11"/>
  <c r="BM229" i="11"/>
  <c r="BN229" i="11"/>
  <c r="BO229" i="11"/>
  <c r="BP229" i="11"/>
  <c r="BQ229" i="11"/>
  <c r="BR229" i="11"/>
  <c r="BS229" i="11"/>
  <c r="BT229" i="11"/>
  <c r="BU229" i="11"/>
  <c r="BV229" i="11"/>
  <c r="BW229" i="11"/>
  <c r="BX229" i="11"/>
  <c r="BY229" i="11"/>
  <c r="BZ229" i="11"/>
  <c r="CA229" i="11"/>
  <c r="CB229" i="11"/>
  <c r="CC229" i="11"/>
  <c r="CD229" i="11"/>
  <c r="CE229" i="11"/>
  <c r="CF229" i="11"/>
  <c r="CG229" i="11"/>
  <c r="CH229" i="11"/>
  <c r="CI229" i="11"/>
  <c r="CJ229" i="11"/>
  <c r="CK229" i="11"/>
  <c r="CL229" i="11"/>
  <c r="CM229" i="11"/>
  <c r="CN229" i="11"/>
  <c r="CO229" i="11"/>
  <c r="CP229" i="11"/>
  <c r="CQ229" i="11"/>
  <c r="CR229" i="11"/>
  <c r="CS229" i="11"/>
  <c r="CT229" i="11"/>
  <c r="CU229" i="11"/>
  <c r="CV229" i="11"/>
  <c r="CW229" i="11"/>
  <c r="CX229" i="11"/>
  <c r="CY229" i="11"/>
  <c r="CZ229" i="11"/>
  <c r="DA229" i="11"/>
  <c r="DB229" i="11"/>
  <c r="DC229" i="11"/>
  <c r="DD229" i="11"/>
  <c r="DE229" i="11"/>
  <c r="DF229" i="11"/>
  <c r="DG229" i="11"/>
  <c r="DH229" i="11"/>
  <c r="DI229" i="11"/>
  <c r="DJ229" i="11"/>
  <c r="DK229" i="11"/>
  <c r="DL229" i="11"/>
  <c r="DM229" i="11"/>
  <c r="DN229" i="11"/>
  <c r="DO229" i="11"/>
  <c r="DP229" i="11"/>
  <c r="DQ229" i="11"/>
  <c r="DR229" i="11"/>
  <c r="DS229" i="11"/>
  <c r="DT229" i="11"/>
  <c r="DU229" i="11"/>
  <c r="DV229" i="11"/>
  <c r="DW229" i="11"/>
  <c r="DX229" i="11"/>
  <c r="DY229" i="11"/>
  <c r="DZ229" i="11"/>
  <c r="EA229" i="11"/>
  <c r="EB229" i="11"/>
  <c r="EC229" i="11"/>
  <c r="ED229" i="11"/>
  <c r="EE229" i="11"/>
  <c r="EF229" i="11"/>
  <c r="EG229" i="11"/>
  <c r="EH229" i="11"/>
  <c r="EI229" i="11"/>
  <c r="EJ229" i="11"/>
  <c r="EK229" i="11"/>
  <c r="EL229" i="11"/>
  <c r="EM229" i="11"/>
  <c r="EN229" i="11"/>
  <c r="EO229" i="11"/>
  <c r="EP229" i="11"/>
  <c r="EQ229" i="11"/>
  <c r="ER229" i="11"/>
  <c r="ES229" i="11"/>
  <c r="ET229" i="11"/>
  <c r="EU229" i="11"/>
  <c r="EV229" i="11"/>
  <c r="EW229" i="11"/>
  <c r="EX229" i="11"/>
  <c r="EY229" i="11"/>
  <c r="EZ229" i="11"/>
  <c r="FA229" i="11"/>
  <c r="FB229" i="11"/>
  <c r="FC229" i="11"/>
  <c r="FD229" i="11"/>
  <c r="FE229" i="11"/>
  <c r="FF229" i="11"/>
  <c r="FG229" i="11"/>
  <c r="FH229" i="11"/>
  <c r="FI229" i="11"/>
  <c r="FJ229" i="11"/>
  <c r="FK229" i="11"/>
  <c r="FL229" i="11"/>
  <c r="FM229" i="11"/>
  <c r="FN229" i="11"/>
  <c r="FO229" i="11"/>
  <c r="FP229" i="11"/>
  <c r="FQ229" i="11"/>
  <c r="FR229" i="11"/>
  <c r="FS229" i="11"/>
  <c r="FT229" i="11"/>
  <c r="FU229" i="11"/>
  <c r="FV229" i="11"/>
  <c r="FW229" i="11"/>
  <c r="FX229" i="11"/>
  <c r="FY229" i="11"/>
  <c r="FZ229" i="11"/>
  <c r="GA229" i="11"/>
  <c r="GB229" i="11"/>
  <c r="GC229" i="11"/>
  <c r="GD229" i="11"/>
  <c r="GE229" i="11"/>
  <c r="GF229" i="11"/>
  <c r="GG229" i="11"/>
  <c r="GH229" i="11"/>
  <c r="GI229" i="11"/>
  <c r="GJ229" i="11"/>
  <c r="GK229" i="11"/>
  <c r="GL229" i="11"/>
  <c r="GM229" i="11"/>
  <c r="GN229" i="11"/>
  <c r="GO229" i="11"/>
  <c r="GP229" i="11"/>
  <c r="GQ229" i="11"/>
  <c r="GR229" i="11"/>
  <c r="GS229" i="11"/>
  <c r="GT229" i="11"/>
  <c r="GU229" i="11"/>
  <c r="GV229" i="11"/>
  <c r="GW229" i="11"/>
  <c r="GX229" i="11"/>
  <c r="GY229" i="11"/>
  <c r="GZ229" i="11"/>
  <c r="HA229" i="11"/>
  <c r="HB229" i="11"/>
  <c r="HC229" i="11"/>
  <c r="HD229" i="11"/>
  <c r="HE229" i="11"/>
  <c r="HF229" i="11"/>
  <c r="HG229" i="11"/>
  <c r="HH229" i="11"/>
  <c r="HI229" i="11"/>
  <c r="HJ229" i="11"/>
  <c r="HK229" i="11"/>
  <c r="HL229" i="11"/>
  <c r="HM229" i="11"/>
  <c r="HN229" i="11"/>
  <c r="HO229" i="11"/>
  <c r="HP229" i="11"/>
  <c r="HQ229" i="11"/>
  <c r="HR229" i="11"/>
  <c r="HS229" i="11"/>
  <c r="HT229" i="11"/>
  <c r="HU229" i="11"/>
  <c r="HV229" i="11"/>
  <c r="HW229" i="11"/>
  <c r="HX229" i="11"/>
  <c r="HY229" i="11"/>
  <c r="HZ229" i="11"/>
  <c r="IA229" i="11"/>
  <c r="IB229" i="11"/>
  <c r="IC229" i="11"/>
  <c r="ID229" i="11"/>
  <c r="IE229" i="11"/>
  <c r="IF229" i="11"/>
  <c r="IG229" i="11"/>
  <c r="IH229" i="11"/>
  <c r="II229" i="11"/>
  <c r="IJ229" i="11"/>
  <c r="IK229" i="11"/>
  <c r="IL229" i="11"/>
  <c r="IM229" i="11"/>
  <c r="IN229" i="11"/>
  <c r="IO229" i="11"/>
  <c r="IP229" i="11"/>
  <c r="IQ229" i="11"/>
  <c r="IR229" i="11"/>
  <c r="IS229" i="11"/>
  <c r="IT229" i="11"/>
  <c r="IU229" i="11"/>
  <c r="IV229" i="11"/>
  <c r="F230" i="11"/>
  <c r="G230" i="11"/>
  <c r="H230" i="11"/>
  <c r="I230" i="11"/>
  <c r="J230" i="11"/>
  <c r="K230" i="11"/>
  <c r="L230" i="11"/>
  <c r="M230" i="11"/>
  <c r="N230" i="11"/>
  <c r="O230" i="11"/>
  <c r="P230" i="11"/>
  <c r="Q230" i="11"/>
  <c r="R230" i="11"/>
  <c r="S230" i="11"/>
  <c r="T230" i="11"/>
  <c r="U230" i="11"/>
  <c r="V230" i="11"/>
  <c r="W230" i="11"/>
  <c r="X230" i="11"/>
  <c r="Y230" i="11"/>
  <c r="Z230" i="11"/>
  <c r="AA230" i="11"/>
  <c r="AB230" i="11"/>
  <c r="AC230" i="11"/>
  <c r="AD230" i="11"/>
  <c r="AE230" i="11"/>
  <c r="AF230" i="11"/>
  <c r="AG230" i="11"/>
  <c r="AH230" i="11"/>
  <c r="AI230" i="11"/>
  <c r="AJ230" i="11"/>
  <c r="AK230" i="11"/>
  <c r="AL230" i="11"/>
  <c r="AM230" i="11"/>
  <c r="AN230" i="11"/>
  <c r="AO230" i="11"/>
  <c r="AP230" i="11"/>
  <c r="AQ230" i="11"/>
  <c r="AR230" i="11"/>
  <c r="AS230" i="11"/>
  <c r="AT230" i="11"/>
  <c r="AU230" i="11"/>
  <c r="AV230" i="11"/>
  <c r="AW230" i="11"/>
  <c r="AX230" i="11"/>
  <c r="AY230" i="11"/>
  <c r="AZ230" i="11"/>
  <c r="BA230" i="11"/>
  <c r="BB230" i="11"/>
  <c r="BC230" i="11"/>
  <c r="BD230" i="11"/>
  <c r="BE230" i="11"/>
  <c r="BF230" i="11"/>
  <c r="BG230" i="11"/>
  <c r="BH230" i="11"/>
  <c r="BI230" i="11"/>
  <c r="BJ230" i="11"/>
  <c r="BK230" i="11"/>
  <c r="BL230" i="11"/>
  <c r="BM230" i="11"/>
  <c r="BN230" i="11"/>
  <c r="BO230" i="11"/>
  <c r="BP230" i="11"/>
  <c r="BQ230" i="11"/>
  <c r="BR230" i="11"/>
  <c r="BS230" i="11"/>
  <c r="BT230" i="11"/>
  <c r="BU230" i="11"/>
  <c r="BV230" i="11"/>
  <c r="BW230" i="11"/>
  <c r="BX230" i="11"/>
  <c r="BY230" i="11"/>
  <c r="BZ230" i="11"/>
  <c r="CA230" i="11"/>
  <c r="CB230" i="11"/>
  <c r="CC230" i="11"/>
  <c r="CD230" i="11"/>
  <c r="CE230" i="11"/>
  <c r="CF230" i="11"/>
  <c r="CG230" i="11"/>
  <c r="CH230" i="11"/>
  <c r="CI230" i="11"/>
  <c r="CJ230" i="11"/>
  <c r="CK230" i="11"/>
  <c r="CL230" i="11"/>
  <c r="CM230" i="11"/>
  <c r="CN230" i="11"/>
  <c r="CO230" i="11"/>
  <c r="CP230" i="11"/>
  <c r="CQ230" i="11"/>
  <c r="CR230" i="11"/>
  <c r="CS230" i="11"/>
  <c r="CT230" i="11"/>
  <c r="CU230" i="11"/>
  <c r="CV230" i="11"/>
  <c r="CW230" i="11"/>
  <c r="CX230" i="11"/>
  <c r="CY230" i="11"/>
  <c r="CZ230" i="11"/>
  <c r="DA230" i="11"/>
  <c r="DB230" i="11"/>
  <c r="DC230" i="11"/>
  <c r="DD230" i="11"/>
  <c r="DE230" i="11"/>
  <c r="DF230" i="11"/>
  <c r="DG230" i="11"/>
  <c r="DH230" i="11"/>
  <c r="DI230" i="11"/>
  <c r="DJ230" i="11"/>
  <c r="DK230" i="11"/>
  <c r="DL230" i="11"/>
  <c r="DM230" i="11"/>
  <c r="DN230" i="11"/>
  <c r="DO230" i="11"/>
  <c r="DP230" i="11"/>
  <c r="DQ230" i="11"/>
  <c r="DR230" i="11"/>
  <c r="DS230" i="11"/>
  <c r="DT230" i="11"/>
  <c r="DU230" i="11"/>
  <c r="DV230" i="11"/>
  <c r="DW230" i="11"/>
  <c r="DX230" i="11"/>
  <c r="DY230" i="11"/>
  <c r="DZ230" i="11"/>
  <c r="EA230" i="11"/>
  <c r="EB230" i="11"/>
  <c r="EC230" i="11"/>
  <c r="ED230" i="11"/>
  <c r="EE230" i="11"/>
  <c r="EF230" i="11"/>
  <c r="EG230" i="11"/>
  <c r="EH230" i="11"/>
  <c r="EI230" i="11"/>
  <c r="EJ230" i="11"/>
  <c r="EK230" i="11"/>
  <c r="EL230" i="11"/>
  <c r="EM230" i="11"/>
  <c r="EN230" i="11"/>
  <c r="EO230" i="11"/>
  <c r="EP230" i="11"/>
  <c r="EQ230" i="11"/>
  <c r="ER230" i="11"/>
  <c r="ES230" i="11"/>
  <c r="ET230" i="11"/>
  <c r="EU230" i="11"/>
  <c r="EV230" i="11"/>
  <c r="EW230" i="11"/>
  <c r="EX230" i="11"/>
  <c r="EY230" i="11"/>
  <c r="EZ230" i="11"/>
  <c r="FA230" i="11"/>
  <c r="FB230" i="11"/>
  <c r="FC230" i="11"/>
  <c r="FD230" i="11"/>
  <c r="FE230" i="11"/>
  <c r="FF230" i="11"/>
  <c r="FG230" i="11"/>
  <c r="FH230" i="11"/>
  <c r="FI230" i="11"/>
  <c r="FJ230" i="11"/>
  <c r="FK230" i="11"/>
  <c r="FL230" i="11"/>
  <c r="FM230" i="11"/>
  <c r="FN230" i="11"/>
  <c r="FO230" i="11"/>
  <c r="FP230" i="11"/>
  <c r="FQ230" i="11"/>
  <c r="FR230" i="11"/>
  <c r="FS230" i="11"/>
  <c r="FT230" i="11"/>
  <c r="FU230" i="11"/>
  <c r="FV230" i="11"/>
  <c r="FW230" i="11"/>
  <c r="FX230" i="11"/>
  <c r="FY230" i="11"/>
  <c r="FZ230" i="11"/>
  <c r="GA230" i="11"/>
  <c r="GB230" i="11"/>
  <c r="GC230" i="11"/>
  <c r="GD230" i="11"/>
  <c r="GE230" i="11"/>
  <c r="GF230" i="11"/>
  <c r="GG230" i="11"/>
  <c r="GH230" i="11"/>
  <c r="GI230" i="11"/>
  <c r="GJ230" i="11"/>
  <c r="GK230" i="11"/>
  <c r="GL230" i="11"/>
  <c r="GM230" i="11"/>
  <c r="GN230" i="11"/>
  <c r="GO230" i="11"/>
  <c r="GP230" i="11"/>
  <c r="GQ230" i="11"/>
  <c r="GR230" i="11"/>
  <c r="GS230" i="11"/>
  <c r="GT230" i="11"/>
  <c r="GU230" i="11"/>
  <c r="GV230" i="11"/>
  <c r="GW230" i="11"/>
  <c r="GX230" i="11"/>
  <c r="GY230" i="11"/>
  <c r="GZ230" i="11"/>
  <c r="HA230" i="11"/>
  <c r="HB230" i="11"/>
  <c r="HC230" i="11"/>
  <c r="HD230" i="11"/>
  <c r="HE230" i="11"/>
  <c r="HF230" i="11"/>
  <c r="HG230" i="11"/>
  <c r="HH230" i="11"/>
  <c r="HI230" i="11"/>
  <c r="HJ230" i="11"/>
  <c r="HK230" i="11"/>
  <c r="HL230" i="11"/>
  <c r="HM230" i="11"/>
  <c r="HN230" i="11"/>
  <c r="HO230" i="11"/>
  <c r="HP230" i="11"/>
  <c r="HQ230" i="11"/>
  <c r="HR230" i="11"/>
  <c r="HS230" i="11"/>
  <c r="HT230" i="11"/>
  <c r="HU230" i="11"/>
  <c r="HV230" i="11"/>
  <c r="HW230" i="11"/>
  <c r="HX230" i="11"/>
  <c r="HY230" i="11"/>
  <c r="HZ230" i="11"/>
  <c r="IA230" i="11"/>
  <c r="IB230" i="11"/>
  <c r="IC230" i="11"/>
  <c r="ID230" i="11"/>
  <c r="IE230" i="11"/>
  <c r="IF230" i="11"/>
  <c r="IG230" i="11"/>
  <c r="IH230" i="11"/>
  <c r="II230" i="11"/>
  <c r="IJ230" i="11"/>
  <c r="IK230" i="11"/>
  <c r="IL230" i="11"/>
  <c r="IM230" i="11"/>
  <c r="IN230" i="11"/>
  <c r="IO230" i="11"/>
  <c r="IP230" i="11"/>
  <c r="IQ230" i="11"/>
  <c r="IR230" i="11"/>
  <c r="IS230" i="11"/>
  <c r="IT230" i="11"/>
  <c r="IU230" i="11"/>
  <c r="IV230" i="11"/>
  <c r="F231" i="11"/>
  <c r="G231" i="11"/>
  <c r="H231" i="11"/>
  <c r="I231" i="11"/>
  <c r="J231" i="11"/>
  <c r="K231" i="11"/>
  <c r="L231" i="11"/>
  <c r="M231" i="11"/>
  <c r="N231" i="11"/>
  <c r="O231" i="11"/>
  <c r="P231" i="11"/>
  <c r="Q231" i="11"/>
  <c r="R231" i="11"/>
  <c r="S231" i="11"/>
  <c r="T231" i="11"/>
  <c r="U231" i="11"/>
  <c r="V231" i="11"/>
  <c r="W231" i="11"/>
  <c r="X231" i="11"/>
  <c r="Y231" i="11"/>
  <c r="Z231" i="11"/>
  <c r="AA231" i="11"/>
  <c r="AB231" i="11"/>
  <c r="AC231" i="11"/>
  <c r="AD231" i="11"/>
  <c r="AE231" i="11"/>
  <c r="AF231" i="11"/>
  <c r="AG231" i="11"/>
  <c r="AH231" i="11"/>
  <c r="AI231" i="11"/>
  <c r="AJ231" i="11"/>
  <c r="AK231" i="11"/>
  <c r="AL231" i="11"/>
  <c r="AM231" i="11"/>
  <c r="AN231" i="11"/>
  <c r="AO231" i="11"/>
  <c r="AP231" i="11"/>
  <c r="AQ231" i="11"/>
  <c r="AR231" i="11"/>
  <c r="AS231" i="11"/>
  <c r="AT231" i="11"/>
  <c r="AU231" i="11"/>
  <c r="AV231" i="11"/>
  <c r="AW231" i="11"/>
  <c r="AX231" i="11"/>
  <c r="AY231" i="11"/>
  <c r="AZ231" i="11"/>
  <c r="BA231" i="11"/>
  <c r="BB231" i="11"/>
  <c r="BC231" i="11"/>
  <c r="BD231" i="11"/>
  <c r="BE231" i="11"/>
  <c r="BF231" i="11"/>
  <c r="BG231" i="11"/>
  <c r="BH231" i="11"/>
  <c r="BI231" i="11"/>
  <c r="BJ231" i="11"/>
  <c r="BK231" i="11"/>
  <c r="BL231" i="11"/>
  <c r="BM231" i="11"/>
  <c r="BN231" i="11"/>
  <c r="BO231" i="11"/>
  <c r="BP231" i="11"/>
  <c r="BQ231" i="11"/>
  <c r="BR231" i="11"/>
  <c r="BS231" i="11"/>
  <c r="BT231" i="11"/>
  <c r="BU231" i="11"/>
  <c r="BV231" i="11"/>
  <c r="BW231" i="11"/>
  <c r="BX231" i="11"/>
  <c r="BY231" i="11"/>
  <c r="BZ231" i="11"/>
  <c r="CA231" i="11"/>
  <c r="CB231" i="11"/>
  <c r="CC231" i="11"/>
  <c r="CD231" i="11"/>
  <c r="CE231" i="11"/>
  <c r="CF231" i="11"/>
  <c r="CG231" i="11"/>
  <c r="CH231" i="11"/>
  <c r="CI231" i="11"/>
  <c r="CJ231" i="11"/>
  <c r="CK231" i="11"/>
  <c r="CL231" i="11"/>
  <c r="CM231" i="11"/>
  <c r="CN231" i="11"/>
  <c r="CO231" i="11"/>
  <c r="CP231" i="11"/>
  <c r="CQ231" i="11"/>
  <c r="CR231" i="11"/>
  <c r="CS231" i="11"/>
  <c r="CT231" i="11"/>
  <c r="CU231" i="11"/>
  <c r="CV231" i="11"/>
  <c r="CW231" i="11"/>
  <c r="CX231" i="11"/>
  <c r="CY231" i="11"/>
  <c r="CZ231" i="11"/>
  <c r="DA231" i="11"/>
  <c r="DB231" i="11"/>
  <c r="DC231" i="11"/>
  <c r="DD231" i="11"/>
  <c r="DE231" i="11"/>
  <c r="DF231" i="11"/>
  <c r="DG231" i="11"/>
  <c r="DH231" i="11"/>
  <c r="DI231" i="11"/>
  <c r="DJ231" i="11"/>
  <c r="DK231" i="11"/>
  <c r="DL231" i="11"/>
  <c r="DM231" i="11"/>
  <c r="DN231" i="11"/>
  <c r="DO231" i="11"/>
  <c r="DP231" i="11"/>
  <c r="DQ231" i="11"/>
  <c r="DR231" i="11"/>
  <c r="DS231" i="11"/>
  <c r="DT231" i="11"/>
  <c r="DU231" i="11"/>
  <c r="DV231" i="11"/>
  <c r="DW231" i="11"/>
  <c r="DX231" i="11"/>
  <c r="DY231" i="11"/>
  <c r="DZ231" i="11"/>
  <c r="EA231" i="11"/>
  <c r="EB231" i="11"/>
  <c r="EC231" i="11"/>
  <c r="ED231" i="11"/>
  <c r="EE231" i="11"/>
  <c r="EF231" i="11"/>
  <c r="EG231" i="11"/>
  <c r="EH231" i="11"/>
  <c r="EI231" i="11"/>
  <c r="EJ231" i="11"/>
  <c r="EK231" i="11"/>
  <c r="EL231" i="11"/>
  <c r="EM231" i="11"/>
  <c r="EN231" i="11"/>
  <c r="EO231" i="11"/>
  <c r="EP231" i="11"/>
  <c r="EQ231" i="11"/>
  <c r="ER231" i="11"/>
  <c r="ES231" i="11"/>
  <c r="ET231" i="11"/>
  <c r="EU231" i="11"/>
  <c r="EV231" i="11"/>
  <c r="EW231" i="11"/>
  <c r="EX231" i="11"/>
  <c r="EY231" i="11"/>
  <c r="EZ231" i="11"/>
  <c r="FA231" i="11"/>
  <c r="FB231" i="11"/>
  <c r="FC231" i="11"/>
  <c r="FD231" i="11"/>
  <c r="FE231" i="11"/>
  <c r="FF231" i="11"/>
  <c r="FG231" i="11"/>
  <c r="FH231" i="11"/>
  <c r="FI231" i="11"/>
  <c r="FJ231" i="11"/>
  <c r="FK231" i="11"/>
  <c r="FL231" i="11"/>
  <c r="FM231" i="11"/>
  <c r="FN231" i="11"/>
  <c r="FO231" i="11"/>
  <c r="FP231" i="11"/>
  <c r="FQ231" i="11"/>
  <c r="FR231" i="11"/>
  <c r="FS231" i="11"/>
  <c r="FT231" i="11"/>
  <c r="FU231" i="11"/>
  <c r="FV231" i="11"/>
  <c r="FW231" i="11"/>
  <c r="FX231" i="11"/>
  <c r="FY231" i="11"/>
  <c r="FZ231" i="11"/>
  <c r="GA231" i="11"/>
  <c r="GB231" i="11"/>
  <c r="GC231" i="11"/>
  <c r="GD231" i="11"/>
  <c r="GE231" i="11"/>
  <c r="GF231" i="11"/>
  <c r="GG231" i="11"/>
  <c r="GH231" i="11"/>
  <c r="GI231" i="11"/>
  <c r="GJ231" i="11"/>
  <c r="GK231" i="11"/>
  <c r="GL231" i="11"/>
  <c r="GM231" i="11"/>
  <c r="GN231" i="11"/>
  <c r="GO231" i="11"/>
  <c r="GP231" i="11"/>
  <c r="GQ231" i="11"/>
  <c r="GR231" i="11"/>
  <c r="GS231" i="11"/>
  <c r="GT231" i="11"/>
  <c r="GU231" i="11"/>
  <c r="GV231" i="11"/>
  <c r="GW231" i="11"/>
  <c r="GX231" i="11"/>
  <c r="GY231" i="11"/>
  <c r="GZ231" i="11"/>
  <c r="HA231" i="11"/>
  <c r="HB231" i="11"/>
  <c r="HC231" i="11"/>
  <c r="HD231" i="11"/>
  <c r="HE231" i="11"/>
  <c r="HF231" i="11"/>
  <c r="HG231" i="11"/>
  <c r="HH231" i="11"/>
  <c r="HI231" i="11"/>
  <c r="HJ231" i="11"/>
  <c r="HK231" i="11"/>
  <c r="HL231" i="11"/>
  <c r="HM231" i="11"/>
  <c r="HN231" i="11"/>
  <c r="HO231" i="11"/>
  <c r="HP231" i="11"/>
  <c r="HQ231" i="11"/>
  <c r="HR231" i="11"/>
  <c r="HS231" i="11"/>
  <c r="HT231" i="11"/>
  <c r="HU231" i="11"/>
  <c r="HV231" i="11"/>
  <c r="HW231" i="11"/>
  <c r="HX231" i="11"/>
  <c r="HY231" i="11"/>
  <c r="HZ231" i="11"/>
  <c r="IA231" i="11"/>
  <c r="IB231" i="11"/>
  <c r="IC231" i="11"/>
  <c r="ID231" i="11"/>
  <c r="IE231" i="11"/>
  <c r="IF231" i="11"/>
  <c r="IG231" i="11"/>
  <c r="IH231" i="11"/>
  <c r="II231" i="11"/>
  <c r="IJ231" i="11"/>
  <c r="IK231" i="11"/>
  <c r="IL231" i="11"/>
  <c r="IM231" i="11"/>
  <c r="IN231" i="11"/>
  <c r="IO231" i="11"/>
  <c r="IP231" i="11"/>
  <c r="IQ231" i="11"/>
  <c r="IR231" i="11"/>
  <c r="IS231" i="11"/>
  <c r="IT231" i="11"/>
  <c r="IU231" i="11"/>
  <c r="IV231" i="11"/>
  <c r="F232" i="11"/>
  <c r="G232" i="11"/>
  <c r="H232" i="11"/>
  <c r="I232" i="11"/>
  <c r="J232" i="11"/>
  <c r="K232" i="11"/>
  <c r="L232" i="11"/>
  <c r="M232" i="11"/>
  <c r="N232" i="11"/>
  <c r="O232" i="11"/>
  <c r="P232" i="11"/>
  <c r="Q232" i="11"/>
  <c r="R232" i="11"/>
  <c r="S232" i="11"/>
  <c r="T232" i="11"/>
  <c r="U232" i="11"/>
  <c r="V232" i="11"/>
  <c r="W232" i="11"/>
  <c r="X232" i="11"/>
  <c r="Y232" i="11"/>
  <c r="Z232" i="11"/>
  <c r="AA232" i="11"/>
  <c r="AB232" i="11"/>
  <c r="AC232" i="11"/>
  <c r="AD232" i="11"/>
  <c r="AE232" i="11"/>
  <c r="AF232" i="11"/>
  <c r="AG232" i="11"/>
  <c r="AH232" i="11"/>
  <c r="AI232" i="11"/>
  <c r="AJ232" i="11"/>
  <c r="AK232" i="11"/>
  <c r="AL232" i="11"/>
  <c r="AM232" i="11"/>
  <c r="AN232" i="11"/>
  <c r="AO232" i="11"/>
  <c r="AP232" i="11"/>
  <c r="AQ232" i="11"/>
  <c r="AR232" i="11"/>
  <c r="AS232" i="11"/>
  <c r="AT232" i="11"/>
  <c r="AU232" i="11"/>
  <c r="AV232" i="11"/>
  <c r="AW232" i="11"/>
  <c r="AX232" i="11"/>
  <c r="AY232" i="11"/>
  <c r="AZ232" i="11"/>
  <c r="BA232" i="11"/>
  <c r="BB232" i="11"/>
  <c r="BC232" i="11"/>
  <c r="BD232" i="11"/>
  <c r="BE232" i="11"/>
  <c r="BF232" i="11"/>
  <c r="BG232" i="11"/>
  <c r="BH232" i="11"/>
  <c r="BI232" i="11"/>
  <c r="BJ232" i="11"/>
  <c r="BK232" i="11"/>
  <c r="BL232" i="11"/>
  <c r="BM232" i="11"/>
  <c r="BN232" i="11"/>
  <c r="BO232" i="11"/>
  <c r="BP232" i="11"/>
  <c r="BQ232" i="11"/>
  <c r="BR232" i="11"/>
  <c r="BS232" i="11"/>
  <c r="BT232" i="11"/>
  <c r="BU232" i="11"/>
  <c r="BV232" i="11"/>
  <c r="BW232" i="11"/>
  <c r="BX232" i="11"/>
  <c r="BY232" i="11"/>
  <c r="BZ232" i="11"/>
  <c r="CA232" i="11"/>
  <c r="CB232" i="11"/>
  <c r="CC232" i="11"/>
  <c r="CD232" i="11"/>
  <c r="CE232" i="11"/>
  <c r="CF232" i="11"/>
  <c r="CG232" i="11"/>
  <c r="CH232" i="11"/>
  <c r="CI232" i="11"/>
  <c r="CJ232" i="11"/>
  <c r="CK232" i="11"/>
  <c r="CL232" i="11"/>
  <c r="CM232" i="11"/>
  <c r="CN232" i="11"/>
  <c r="CO232" i="11"/>
  <c r="CP232" i="11"/>
  <c r="CQ232" i="11"/>
  <c r="CR232" i="11"/>
  <c r="CS232" i="11"/>
  <c r="CT232" i="11"/>
  <c r="CU232" i="11"/>
  <c r="CV232" i="11"/>
  <c r="CW232" i="11"/>
  <c r="CX232" i="11"/>
  <c r="CY232" i="11"/>
  <c r="CZ232" i="11"/>
  <c r="DA232" i="11"/>
  <c r="DB232" i="11"/>
  <c r="DC232" i="11"/>
  <c r="DD232" i="11"/>
  <c r="DE232" i="11"/>
  <c r="DF232" i="11"/>
  <c r="DG232" i="11"/>
  <c r="DH232" i="11"/>
  <c r="DI232" i="11"/>
  <c r="DJ232" i="11"/>
  <c r="DK232" i="11"/>
  <c r="DL232" i="11"/>
  <c r="DM232" i="11"/>
  <c r="DN232" i="11"/>
  <c r="DO232" i="11"/>
  <c r="DP232" i="11"/>
  <c r="DQ232" i="11"/>
  <c r="DR232" i="11"/>
  <c r="DS232" i="11"/>
  <c r="DT232" i="11"/>
  <c r="DU232" i="11"/>
  <c r="DV232" i="11"/>
  <c r="DW232" i="11"/>
  <c r="DX232" i="11"/>
  <c r="DY232" i="11"/>
  <c r="DZ232" i="11"/>
  <c r="EA232" i="11"/>
  <c r="EB232" i="11"/>
  <c r="EC232" i="11"/>
  <c r="ED232" i="11"/>
  <c r="EE232" i="11"/>
  <c r="EF232" i="11"/>
  <c r="EG232" i="11"/>
  <c r="EH232" i="11"/>
  <c r="EI232" i="11"/>
  <c r="EJ232" i="11"/>
  <c r="EK232" i="11"/>
  <c r="EL232" i="11"/>
  <c r="EM232" i="11"/>
  <c r="EN232" i="11"/>
  <c r="EO232" i="11"/>
  <c r="EP232" i="11"/>
  <c r="EQ232" i="11"/>
  <c r="ER232" i="11"/>
  <c r="ES232" i="11"/>
  <c r="ET232" i="11"/>
  <c r="EU232" i="11"/>
  <c r="EV232" i="11"/>
  <c r="EW232" i="11"/>
  <c r="EX232" i="11"/>
  <c r="EY232" i="11"/>
  <c r="EZ232" i="11"/>
  <c r="FA232" i="11"/>
  <c r="FB232" i="11"/>
  <c r="FC232" i="11"/>
  <c r="FD232" i="11"/>
  <c r="FE232" i="11"/>
  <c r="FF232" i="11"/>
  <c r="FG232" i="11"/>
  <c r="FH232" i="11"/>
  <c r="FI232" i="11"/>
  <c r="FJ232" i="11"/>
  <c r="FK232" i="11"/>
  <c r="FL232" i="11"/>
  <c r="FM232" i="11"/>
  <c r="FN232" i="11"/>
  <c r="FO232" i="11"/>
  <c r="FP232" i="11"/>
  <c r="FQ232" i="11"/>
  <c r="FR232" i="11"/>
  <c r="FS232" i="11"/>
  <c r="FT232" i="11"/>
  <c r="FU232" i="11"/>
  <c r="FV232" i="11"/>
  <c r="FW232" i="11"/>
  <c r="FX232" i="11"/>
  <c r="FY232" i="11"/>
  <c r="FZ232" i="11"/>
  <c r="GA232" i="11"/>
  <c r="GB232" i="11"/>
  <c r="GC232" i="11"/>
  <c r="GD232" i="11"/>
  <c r="GE232" i="11"/>
  <c r="GF232" i="11"/>
  <c r="GG232" i="11"/>
  <c r="GH232" i="11"/>
  <c r="GI232" i="11"/>
  <c r="GJ232" i="11"/>
  <c r="GK232" i="11"/>
  <c r="GL232" i="11"/>
  <c r="GM232" i="11"/>
  <c r="GN232" i="11"/>
  <c r="GO232" i="11"/>
  <c r="GP232" i="11"/>
  <c r="GQ232" i="11"/>
  <c r="GR232" i="11"/>
  <c r="GS232" i="11"/>
  <c r="GT232" i="11"/>
  <c r="GU232" i="11"/>
  <c r="GV232" i="11"/>
  <c r="GW232" i="11"/>
  <c r="GX232" i="11"/>
  <c r="GY232" i="11"/>
  <c r="GZ232" i="11"/>
  <c r="HA232" i="11"/>
  <c r="HB232" i="11"/>
  <c r="HC232" i="11"/>
  <c r="HD232" i="11"/>
  <c r="HE232" i="11"/>
  <c r="HF232" i="11"/>
  <c r="HG232" i="11"/>
  <c r="HH232" i="11"/>
  <c r="HI232" i="11"/>
  <c r="HJ232" i="11"/>
  <c r="HK232" i="11"/>
  <c r="HL232" i="11"/>
  <c r="HM232" i="11"/>
  <c r="HN232" i="11"/>
  <c r="HO232" i="11"/>
  <c r="HP232" i="11"/>
  <c r="HQ232" i="11"/>
  <c r="HR232" i="11"/>
  <c r="HS232" i="11"/>
  <c r="HT232" i="11"/>
  <c r="HU232" i="11"/>
  <c r="HV232" i="11"/>
  <c r="HW232" i="11"/>
  <c r="HX232" i="11"/>
  <c r="HY232" i="11"/>
  <c r="HZ232" i="11"/>
  <c r="IA232" i="11"/>
  <c r="IB232" i="11"/>
  <c r="IC232" i="11"/>
  <c r="ID232" i="11"/>
  <c r="IE232" i="11"/>
  <c r="IF232" i="11"/>
  <c r="IG232" i="11"/>
  <c r="IH232" i="11"/>
  <c r="II232" i="11"/>
  <c r="IJ232" i="11"/>
  <c r="IK232" i="11"/>
  <c r="IL232" i="11"/>
  <c r="IM232" i="11"/>
  <c r="IN232" i="11"/>
  <c r="IO232" i="11"/>
  <c r="IP232" i="11"/>
  <c r="IQ232" i="11"/>
  <c r="IR232" i="11"/>
  <c r="IS232" i="11"/>
  <c r="IT232" i="11"/>
  <c r="IU232" i="11"/>
  <c r="IV232" i="11"/>
  <c r="F233" i="11"/>
  <c r="G233" i="11"/>
  <c r="H233" i="11"/>
  <c r="I233" i="11"/>
  <c r="J233" i="11"/>
  <c r="K233" i="11"/>
  <c r="L233" i="11"/>
  <c r="M233" i="11"/>
  <c r="N233" i="11"/>
  <c r="O233" i="11"/>
  <c r="P233" i="11"/>
  <c r="Q233" i="11"/>
  <c r="R233" i="11"/>
  <c r="S233" i="11"/>
  <c r="T233" i="11"/>
  <c r="U233" i="11"/>
  <c r="V233" i="11"/>
  <c r="W233" i="11"/>
  <c r="X233" i="11"/>
  <c r="Y233" i="11"/>
  <c r="Z233" i="11"/>
  <c r="AA233" i="11"/>
  <c r="AB233" i="11"/>
  <c r="AC233" i="11"/>
  <c r="AD233" i="11"/>
  <c r="AE233" i="11"/>
  <c r="AF233" i="11"/>
  <c r="AG233" i="11"/>
  <c r="AH233" i="11"/>
  <c r="AI233" i="11"/>
  <c r="AJ233" i="11"/>
  <c r="AK233" i="11"/>
  <c r="AL233" i="11"/>
  <c r="AM233" i="11"/>
  <c r="AN233" i="11"/>
  <c r="AO233" i="11"/>
  <c r="AP233" i="11"/>
  <c r="AQ233" i="11"/>
  <c r="AR233" i="11"/>
  <c r="AS233" i="11"/>
  <c r="AT233" i="11"/>
  <c r="AU233" i="11"/>
  <c r="AV233" i="11"/>
  <c r="AW233" i="11"/>
  <c r="AX233" i="11"/>
  <c r="AY233" i="11"/>
  <c r="AZ233" i="11"/>
  <c r="BA233" i="11"/>
  <c r="BB233" i="11"/>
  <c r="BC233" i="11"/>
  <c r="BD233" i="11"/>
  <c r="BE233" i="11"/>
  <c r="BF233" i="11"/>
  <c r="BG233" i="11"/>
  <c r="BH233" i="11"/>
  <c r="BI233" i="11"/>
  <c r="BJ233" i="11"/>
  <c r="BK233" i="11"/>
  <c r="BL233" i="11"/>
  <c r="BM233" i="11"/>
  <c r="BN233" i="11"/>
  <c r="BO233" i="11"/>
  <c r="BP233" i="11"/>
  <c r="BQ233" i="11"/>
  <c r="BR233" i="11"/>
  <c r="BS233" i="11"/>
  <c r="BT233" i="11"/>
  <c r="BU233" i="11"/>
  <c r="BV233" i="11"/>
  <c r="BW233" i="11"/>
  <c r="BX233" i="11"/>
  <c r="BY233" i="11"/>
  <c r="BZ233" i="11"/>
  <c r="CA233" i="11"/>
  <c r="CB233" i="11"/>
  <c r="CC233" i="11"/>
  <c r="CD233" i="11"/>
  <c r="CE233" i="11"/>
  <c r="CF233" i="11"/>
  <c r="CG233" i="11"/>
  <c r="CH233" i="11"/>
  <c r="CI233" i="11"/>
  <c r="CJ233" i="11"/>
  <c r="CK233" i="11"/>
  <c r="CL233" i="11"/>
  <c r="CM233" i="11"/>
  <c r="CN233" i="11"/>
  <c r="CO233" i="11"/>
  <c r="CP233" i="11"/>
  <c r="CQ233" i="11"/>
  <c r="CR233" i="11"/>
  <c r="CS233" i="11"/>
  <c r="CT233" i="11"/>
  <c r="CU233" i="11"/>
  <c r="CV233" i="11"/>
  <c r="CW233" i="11"/>
  <c r="CX233" i="11"/>
  <c r="CY233" i="11"/>
  <c r="CZ233" i="11"/>
  <c r="DA233" i="11"/>
  <c r="DB233" i="11"/>
  <c r="DC233" i="11"/>
  <c r="DD233" i="11"/>
  <c r="DE233" i="11"/>
  <c r="DF233" i="11"/>
  <c r="DG233" i="11"/>
  <c r="DH233" i="11"/>
  <c r="DI233" i="11"/>
  <c r="DJ233" i="11"/>
  <c r="DK233" i="11"/>
  <c r="DL233" i="11"/>
  <c r="DM233" i="11"/>
  <c r="DN233" i="11"/>
  <c r="DO233" i="11"/>
  <c r="DP233" i="11"/>
  <c r="DQ233" i="11"/>
  <c r="DR233" i="11"/>
  <c r="DS233" i="11"/>
  <c r="DT233" i="11"/>
  <c r="DU233" i="11"/>
  <c r="DV233" i="11"/>
  <c r="DW233" i="11"/>
  <c r="DX233" i="11"/>
  <c r="DY233" i="11"/>
  <c r="DZ233" i="11"/>
  <c r="EA233" i="11"/>
  <c r="EB233" i="11"/>
  <c r="EC233" i="11"/>
  <c r="ED233" i="11"/>
  <c r="EE233" i="11"/>
  <c r="EF233" i="11"/>
  <c r="EG233" i="11"/>
  <c r="EH233" i="11"/>
  <c r="EI233" i="11"/>
  <c r="EJ233" i="11"/>
  <c r="EK233" i="11"/>
  <c r="EL233" i="11"/>
  <c r="EM233" i="11"/>
  <c r="EN233" i="11"/>
  <c r="EO233" i="11"/>
  <c r="EP233" i="11"/>
  <c r="EQ233" i="11"/>
  <c r="ER233" i="11"/>
  <c r="ES233" i="11"/>
  <c r="ET233" i="11"/>
  <c r="EU233" i="11"/>
  <c r="EV233" i="11"/>
  <c r="EW233" i="11"/>
  <c r="EX233" i="11"/>
  <c r="EY233" i="11"/>
  <c r="EZ233" i="11"/>
  <c r="FA233" i="11"/>
  <c r="FB233" i="11"/>
  <c r="FC233" i="11"/>
  <c r="FD233" i="11"/>
  <c r="FE233" i="11"/>
  <c r="FF233" i="11"/>
  <c r="FG233" i="11"/>
  <c r="FH233" i="11"/>
  <c r="FI233" i="11"/>
  <c r="FJ233" i="11"/>
  <c r="FK233" i="11"/>
  <c r="FL233" i="11"/>
  <c r="FM233" i="11"/>
  <c r="FN233" i="11"/>
  <c r="FO233" i="11"/>
  <c r="FP233" i="11"/>
  <c r="FQ233" i="11"/>
  <c r="FR233" i="11"/>
  <c r="FS233" i="11"/>
  <c r="FT233" i="11"/>
  <c r="FU233" i="11"/>
  <c r="FV233" i="11"/>
  <c r="FW233" i="11"/>
  <c r="FX233" i="11"/>
  <c r="FY233" i="11"/>
  <c r="FZ233" i="11"/>
  <c r="GA233" i="11"/>
  <c r="GB233" i="11"/>
  <c r="GC233" i="11"/>
  <c r="GD233" i="11"/>
  <c r="GE233" i="11"/>
  <c r="GF233" i="11"/>
  <c r="GG233" i="11"/>
  <c r="GH233" i="11"/>
  <c r="GI233" i="11"/>
  <c r="GJ233" i="11"/>
  <c r="GK233" i="11"/>
  <c r="GL233" i="11"/>
  <c r="GM233" i="11"/>
  <c r="GN233" i="11"/>
  <c r="GO233" i="11"/>
  <c r="GP233" i="11"/>
  <c r="GQ233" i="11"/>
  <c r="GR233" i="11"/>
  <c r="GS233" i="11"/>
  <c r="GT233" i="11"/>
  <c r="GU233" i="11"/>
  <c r="GV233" i="11"/>
  <c r="GW233" i="11"/>
  <c r="GX233" i="11"/>
  <c r="GY233" i="11"/>
  <c r="GZ233" i="11"/>
  <c r="HA233" i="11"/>
  <c r="HB233" i="11"/>
  <c r="HC233" i="11"/>
  <c r="HD233" i="11"/>
  <c r="HE233" i="11"/>
  <c r="HF233" i="11"/>
  <c r="HG233" i="11"/>
  <c r="HH233" i="11"/>
  <c r="HI233" i="11"/>
  <c r="HJ233" i="11"/>
  <c r="HK233" i="11"/>
  <c r="HL233" i="11"/>
  <c r="HM233" i="11"/>
  <c r="HN233" i="11"/>
  <c r="HO233" i="11"/>
  <c r="HP233" i="11"/>
  <c r="HQ233" i="11"/>
  <c r="HR233" i="11"/>
  <c r="HS233" i="11"/>
  <c r="HT233" i="11"/>
  <c r="HU233" i="11"/>
  <c r="HV233" i="11"/>
  <c r="HW233" i="11"/>
  <c r="HX233" i="11"/>
  <c r="HY233" i="11"/>
  <c r="HZ233" i="11"/>
  <c r="IA233" i="11"/>
  <c r="IB233" i="11"/>
  <c r="IC233" i="11"/>
  <c r="ID233" i="11"/>
  <c r="IE233" i="11"/>
  <c r="IF233" i="11"/>
  <c r="IG233" i="11"/>
  <c r="IH233" i="11"/>
  <c r="II233" i="11"/>
  <c r="IJ233" i="11"/>
  <c r="IK233" i="11"/>
  <c r="IL233" i="11"/>
  <c r="IM233" i="11"/>
  <c r="IN233" i="11"/>
  <c r="IO233" i="11"/>
  <c r="IP233" i="11"/>
  <c r="IQ233" i="11"/>
  <c r="IR233" i="11"/>
  <c r="IS233" i="11"/>
  <c r="IT233" i="11"/>
  <c r="IU233" i="11"/>
  <c r="IV233" i="11"/>
  <c r="F234" i="11"/>
  <c r="G234" i="11"/>
  <c r="H234" i="11"/>
  <c r="I234" i="11"/>
  <c r="J234" i="11"/>
  <c r="K234" i="11"/>
  <c r="L234" i="11"/>
  <c r="M234" i="11"/>
  <c r="N234" i="11"/>
  <c r="O234" i="11"/>
  <c r="P234" i="11"/>
  <c r="Q234" i="11"/>
  <c r="R234" i="11"/>
  <c r="S234" i="11"/>
  <c r="T234" i="11"/>
  <c r="U234" i="11"/>
  <c r="V234" i="11"/>
  <c r="W234" i="11"/>
  <c r="X234" i="11"/>
  <c r="Y234" i="11"/>
  <c r="Z234" i="11"/>
  <c r="AA234" i="11"/>
  <c r="AB234" i="11"/>
  <c r="AC234" i="11"/>
  <c r="AD234" i="11"/>
  <c r="AE234" i="11"/>
  <c r="AF234" i="11"/>
  <c r="AG234" i="11"/>
  <c r="AH234" i="11"/>
  <c r="AI234" i="11"/>
  <c r="AJ234" i="11"/>
  <c r="AK234" i="11"/>
  <c r="AL234" i="11"/>
  <c r="AM234" i="11"/>
  <c r="AN234" i="11"/>
  <c r="AO234" i="11"/>
  <c r="AP234" i="11"/>
  <c r="AQ234" i="11"/>
  <c r="AR234" i="11"/>
  <c r="AS234" i="11"/>
  <c r="AT234" i="11"/>
  <c r="AU234" i="11"/>
  <c r="AV234" i="11"/>
  <c r="AW234" i="11"/>
  <c r="AX234" i="11"/>
  <c r="AY234" i="11"/>
  <c r="AZ234" i="11"/>
  <c r="BA234" i="11"/>
  <c r="BB234" i="11"/>
  <c r="BC234" i="11"/>
  <c r="BD234" i="11"/>
  <c r="BE234" i="11"/>
  <c r="BF234" i="11"/>
  <c r="BG234" i="11"/>
  <c r="BH234" i="11"/>
  <c r="BI234" i="11"/>
  <c r="BJ234" i="11"/>
  <c r="BK234" i="11"/>
  <c r="BL234" i="11"/>
  <c r="BM234" i="11"/>
  <c r="BN234" i="11"/>
  <c r="BO234" i="11"/>
  <c r="BP234" i="11"/>
  <c r="BQ234" i="11"/>
  <c r="BR234" i="11"/>
  <c r="BS234" i="11"/>
  <c r="BT234" i="11"/>
  <c r="BU234" i="11"/>
  <c r="BV234" i="11"/>
  <c r="BW234" i="11"/>
  <c r="BX234" i="11"/>
  <c r="BY234" i="11"/>
  <c r="BZ234" i="11"/>
  <c r="CA234" i="11"/>
  <c r="CB234" i="11"/>
  <c r="CC234" i="11"/>
  <c r="CD234" i="11"/>
  <c r="CE234" i="11"/>
  <c r="CF234" i="11"/>
  <c r="CG234" i="11"/>
  <c r="CH234" i="11"/>
  <c r="CI234" i="11"/>
  <c r="CJ234" i="11"/>
  <c r="CK234" i="11"/>
  <c r="CL234" i="11"/>
  <c r="CM234" i="11"/>
  <c r="CN234" i="11"/>
  <c r="CO234" i="11"/>
  <c r="CP234" i="11"/>
  <c r="CQ234" i="11"/>
  <c r="CR234" i="11"/>
  <c r="CS234" i="11"/>
  <c r="CT234" i="11"/>
  <c r="CU234" i="11"/>
  <c r="CV234" i="11"/>
  <c r="CW234" i="11"/>
  <c r="CX234" i="11"/>
  <c r="CY234" i="11"/>
  <c r="CZ234" i="11"/>
  <c r="DA234" i="11"/>
  <c r="DB234" i="11"/>
  <c r="DC234" i="11"/>
  <c r="DD234" i="11"/>
  <c r="DE234" i="11"/>
  <c r="DF234" i="11"/>
  <c r="DG234" i="11"/>
  <c r="DH234" i="11"/>
  <c r="DI234" i="11"/>
  <c r="DJ234" i="11"/>
  <c r="DK234" i="11"/>
  <c r="DL234" i="11"/>
  <c r="DM234" i="11"/>
  <c r="DN234" i="11"/>
  <c r="DO234" i="11"/>
  <c r="DP234" i="11"/>
  <c r="DQ234" i="11"/>
  <c r="DR234" i="11"/>
  <c r="DS234" i="11"/>
  <c r="DT234" i="11"/>
  <c r="DU234" i="11"/>
  <c r="DV234" i="11"/>
  <c r="DW234" i="11"/>
  <c r="DX234" i="11"/>
  <c r="DY234" i="11"/>
  <c r="DZ234" i="11"/>
  <c r="EA234" i="11"/>
  <c r="EB234" i="11"/>
  <c r="EC234" i="11"/>
  <c r="ED234" i="11"/>
  <c r="EE234" i="11"/>
  <c r="EF234" i="11"/>
  <c r="EG234" i="11"/>
  <c r="EH234" i="11"/>
  <c r="EI234" i="11"/>
  <c r="EJ234" i="11"/>
  <c r="EK234" i="11"/>
  <c r="EL234" i="11"/>
  <c r="EM234" i="11"/>
  <c r="EN234" i="11"/>
  <c r="EO234" i="11"/>
  <c r="EP234" i="11"/>
  <c r="EQ234" i="11"/>
  <c r="ER234" i="11"/>
  <c r="ES234" i="11"/>
  <c r="ET234" i="11"/>
  <c r="EU234" i="11"/>
  <c r="EV234" i="11"/>
  <c r="EW234" i="11"/>
  <c r="EX234" i="11"/>
  <c r="EY234" i="11"/>
  <c r="EZ234" i="11"/>
  <c r="FA234" i="11"/>
  <c r="FB234" i="11"/>
  <c r="FC234" i="11"/>
  <c r="FD234" i="11"/>
  <c r="FE234" i="11"/>
  <c r="FF234" i="11"/>
  <c r="FG234" i="11"/>
  <c r="FH234" i="11"/>
  <c r="FI234" i="11"/>
  <c r="FJ234" i="11"/>
  <c r="FK234" i="11"/>
  <c r="FL234" i="11"/>
  <c r="FM234" i="11"/>
  <c r="FN234" i="11"/>
  <c r="FO234" i="11"/>
  <c r="FP234" i="11"/>
  <c r="FQ234" i="11"/>
  <c r="FR234" i="11"/>
  <c r="FS234" i="11"/>
  <c r="FT234" i="11"/>
  <c r="FU234" i="11"/>
  <c r="FV234" i="11"/>
  <c r="FW234" i="11"/>
  <c r="FX234" i="11"/>
  <c r="FY234" i="11"/>
  <c r="FZ234" i="11"/>
  <c r="GA234" i="11"/>
  <c r="GB234" i="11"/>
  <c r="GC234" i="11"/>
  <c r="GD234" i="11"/>
  <c r="GE234" i="11"/>
  <c r="GF234" i="11"/>
  <c r="GG234" i="11"/>
  <c r="GH234" i="11"/>
  <c r="GI234" i="11"/>
  <c r="GJ234" i="11"/>
  <c r="GK234" i="11"/>
  <c r="GL234" i="11"/>
  <c r="GM234" i="11"/>
  <c r="GN234" i="11"/>
  <c r="GO234" i="11"/>
  <c r="GP234" i="11"/>
  <c r="GQ234" i="11"/>
  <c r="GR234" i="11"/>
  <c r="GS234" i="11"/>
  <c r="GT234" i="11"/>
  <c r="GU234" i="11"/>
  <c r="GV234" i="11"/>
  <c r="GW234" i="11"/>
  <c r="GX234" i="11"/>
  <c r="GY234" i="11"/>
  <c r="GZ234" i="11"/>
  <c r="HA234" i="11"/>
  <c r="HB234" i="11"/>
  <c r="HC234" i="11"/>
  <c r="HD234" i="11"/>
  <c r="HE234" i="11"/>
  <c r="HF234" i="11"/>
  <c r="HG234" i="11"/>
  <c r="HH234" i="11"/>
  <c r="HI234" i="11"/>
  <c r="HJ234" i="11"/>
  <c r="HK234" i="11"/>
  <c r="HL234" i="11"/>
  <c r="HM234" i="11"/>
  <c r="HN234" i="11"/>
  <c r="HO234" i="11"/>
  <c r="HP234" i="11"/>
  <c r="HQ234" i="11"/>
  <c r="HR234" i="11"/>
  <c r="HS234" i="11"/>
  <c r="HT234" i="11"/>
  <c r="HU234" i="11"/>
  <c r="HV234" i="11"/>
  <c r="HW234" i="11"/>
  <c r="HX234" i="11"/>
  <c r="HY234" i="11"/>
  <c r="HZ234" i="11"/>
  <c r="IA234" i="11"/>
  <c r="IB234" i="11"/>
  <c r="IC234" i="11"/>
  <c r="ID234" i="11"/>
  <c r="IE234" i="11"/>
  <c r="IF234" i="11"/>
  <c r="IG234" i="11"/>
  <c r="IH234" i="11"/>
  <c r="II234" i="11"/>
  <c r="IJ234" i="11"/>
  <c r="IK234" i="11"/>
  <c r="IL234" i="11"/>
  <c r="IM234" i="11"/>
  <c r="IN234" i="11"/>
  <c r="IO234" i="11"/>
  <c r="IP234" i="11"/>
  <c r="IQ234" i="11"/>
  <c r="IR234" i="11"/>
  <c r="IS234" i="11"/>
  <c r="IT234" i="11"/>
  <c r="IU234" i="11"/>
  <c r="IV234" i="11"/>
  <c r="F235" i="11"/>
  <c r="G235" i="11"/>
  <c r="H235" i="11"/>
  <c r="I235" i="11"/>
  <c r="J235" i="11"/>
  <c r="K235" i="11"/>
  <c r="L235" i="11"/>
  <c r="M235" i="11"/>
  <c r="N235" i="11"/>
  <c r="O235" i="11"/>
  <c r="P235" i="11"/>
  <c r="Q235" i="11"/>
  <c r="R235" i="11"/>
  <c r="S235" i="11"/>
  <c r="T235" i="11"/>
  <c r="U235" i="11"/>
  <c r="V235" i="11"/>
  <c r="W235" i="11"/>
  <c r="X235" i="11"/>
  <c r="Y235" i="11"/>
  <c r="Z235" i="11"/>
  <c r="AA235" i="11"/>
  <c r="AB235" i="11"/>
  <c r="AC235" i="11"/>
  <c r="AD235" i="11"/>
  <c r="AE235" i="11"/>
  <c r="AF235" i="11"/>
  <c r="AG235" i="11"/>
  <c r="AH235" i="11"/>
  <c r="AI235" i="11"/>
  <c r="AJ235" i="11"/>
  <c r="AK235" i="11"/>
  <c r="AL235" i="11"/>
  <c r="AM235" i="11"/>
  <c r="AN235" i="11"/>
  <c r="AO235" i="11"/>
  <c r="AP235" i="11"/>
  <c r="AQ235" i="11"/>
  <c r="AR235" i="11"/>
  <c r="AS235" i="11"/>
  <c r="AT235" i="11"/>
  <c r="AU235" i="11"/>
  <c r="AV235" i="11"/>
  <c r="AW235" i="11"/>
  <c r="AX235" i="11"/>
  <c r="AY235" i="11"/>
  <c r="AZ235" i="11"/>
  <c r="BA235" i="11"/>
  <c r="BB235" i="11"/>
  <c r="BC235" i="11"/>
  <c r="BD235" i="11"/>
  <c r="BE235" i="11"/>
  <c r="BF235" i="11"/>
  <c r="BG235" i="11"/>
  <c r="BH235" i="11"/>
  <c r="BI235" i="11"/>
  <c r="BJ235" i="11"/>
  <c r="BK235" i="11"/>
  <c r="BL235" i="11"/>
  <c r="BM235" i="11"/>
  <c r="BN235" i="11"/>
  <c r="BO235" i="11"/>
  <c r="BP235" i="11"/>
  <c r="BQ235" i="11"/>
  <c r="BR235" i="11"/>
  <c r="BS235" i="11"/>
  <c r="BT235" i="11"/>
  <c r="BU235" i="11"/>
  <c r="BV235" i="11"/>
  <c r="BW235" i="11"/>
  <c r="BX235" i="11"/>
  <c r="BY235" i="11"/>
  <c r="BZ235" i="11"/>
  <c r="CA235" i="11"/>
  <c r="CB235" i="11"/>
  <c r="CC235" i="11"/>
  <c r="CD235" i="11"/>
  <c r="CE235" i="11"/>
  <c r="CF235" i="11"/>
  <c r="CG235" i="11"/>
  <c r="CH235" i="11"/>
  <c r="CI235" i="11"/>
  <c r="CJ235" i="11"/>
  <c r="CK235" i="11"/>
  <c r="CL235" i="11"/>
  <c r="CM235" i="11"/>
  <c r="CN235" i="11"/>
  <c r="CO235" i="11"/>
  <c r="CP235" i="11"/>
  <c r="CQ235" i="11"/>
  <c r="CR235" i="11"/>
  <c r="CS235" i="11"/>
  <c r="CT235" i="11"/>
  <c r="CU235" i="11"/>
  <c r="CV235" i="11"/>
  <c r="CW235" i="11"/>
  <c r="CX235" i="11"/>
  <c r="CY235" i="11"/>
  <c r="CZ235" i="11"/>
  <c r="DA235" i="11"/>
  <c r="DB235" i="11"/>
  <c r="DC235" i="11"/>
  <c r="DD235" i="11"/>
  <c r="DE235" i="11"/>
  <c r="DF235" i="11"/>
  <c r="DG235" i="11"/>
  <c r="DH235" i="11"/>
  <c r="DI235" i="11"/>
  <c r="DJ235" i="11"/>
  <c r="DK235" i="11"/>
  <c r="DL235" i="11"/>
  <c r="DM235" i="11"/>
  <c r="DN235" i="11"/>
  <c r="DO235" i="11"/>
  <c r="DP235" i="11"/>
  <c r="DQ235" i="11"/>
  <c r="DR235" i="11"/>
  <c r="DS235" i="11"/>
  <c r="DT235" i="11"/>
  <c r="DU235" i="11"/>
  <c r="DV235" i="11"/>
  <c r="DW235" i="11"/>
  <c r="DX235" i="11"/>
  <c r="DY235" i="11"/>
  <c r="DZ235" i="11"/>
  <c r="EA235" i="11"/>
  <c r="EB235" i="11"/>
  <c r="EC235" i="11"/>
  <c r="ED235" i="11"/>
  <c r="EE235" i="11"/>
  <c r="EF235" i="11"/>
  <c r="EG235" i="11"/>
  <c r="EH235" i="11"/>
  <c r="EI235" i="11"/>
  <c r="EJ235" i="11"/>
  <c r="EK235" i="11"/>
  <c r="EL235" i="11"/>
  <c r="EM235" i="11"/>
  <c r="EN235" i="11"/>
  <c r="EO235" i="11"/>
  <c r="EP235" i="11"/>
  <c r="EQ235" i="11"/>
  <c r="ER235" i="11"/>
  <c r="ES235" i="11"/>
  <c r="ET235" i="11"/>
  <c r="EU235" i="11"/>
  <c r="EV235" i="11"/>
  <c r="EW235" i="11"/>
  <c r="EX235" i="11"/>
  <c r="EY235" i="11"/>
  <c r="EZ235" i="11"/>
  <c r="FA235" i="11"/>
  <c r="FB235" i="11"/>
  <c r="FC235" i="11"/>
  <c r="FD235" i="11"/>
  <c r="FE235" i="11"/>
  <c r="FF235" i="11"/>
  <c r="FG235" i="11"/>
  <c r="FH235" i="11"/>
  <c r="FI235" i="11"/>
  <c r="FJ235" i="11"/>
  <c r="FK235" i="11"/>
  <c r="FL235" i="11"/>
  <c r="FM235" i="11"/>
  <c r="FN235" i="11"/>
  <c r="FO235" i="11"/>
  <c r="FP235" i="11"/>
  <c r="FQ235" i="11"/>
  <c r="FR235" i="11"/>
  <c r="FS235" i="11"/>
  <c r="FT235" i="11"/>
  <c r="FU235" i="11"/>
  <c r="FV235" i="11"/>
  <c r="FW235" i="11"/>
  <c r="FX235" i="11"/>
  <c r="FY235" i="11"/>
  <c r="FZ235" i="11"/>
  <c r="GA235" i="11"/>
  <c r="GB235" i="11"/>
  <c r="GC235" i="11"/>
  <c r="GD235" i="11"/>
  <c r="GE235" i="11"/>
  <c r="GF235" i="11"/>
  <c r="GG235" i="11"/>
  <c r="GH235" i="11"/>
  <c r="GI235" i="11"/>
  <c r="GJ235" i="11"/>
  <c r="GK235" i="11"/>
  <c r="GL235" i="11"/>
  <c r="GM235" i="11"/>
  <c r="GN235" i="11"/>
  <c r="GO235" i="11"/>
  <c r="GP235" i="11"/>
  <c r="GQ235" i="11"/>
  <c r="GR235" i="11"/>
  <c r="GS235" i="11"/>
  <c r="GT235" i="11"/>
  <c r="GU235" i="11"/>
  <c r="GV235" i="11"/>
  <c r="GW235" i="11"/>
  <c r="GX235" i="11"/>
  <c r="GY235" i="11"/>
  <c r="GZ235" i="11"/>
  <c r="HA235" i="11"/>
  <c r="HB235" i="11"/>
  <c r="HC235" i="11"/>
  <c r="HD235" i="11"/>
  <c r="HE235" i="11"/>
  <c r="HF235" i="11"/>
  <c r="HG235" i="11"/>
  <c r="HH235" i="11"/>
  <c r="HI235" i="11"/>
  <c r="HJ235" i="11"/>
  <c r="HK235" i="11"/>
  <c r="HL235" i="11"/>
  <c r="HM235" i="11"/>
  <c r="HN235" i="11"/>
  <c r="HO235" i="11"/>
  <c r="HP235" i="11"/>
  <c r="HQ235" i="11"/>
  <c r="HR235" i="11"/>
  <c r="HS235" i="11"/>
  <c r="HT235" i="11"/>
  <c r="HU235" i="11"/>
  <c r="HV235" i="11"/>
  <c r="HW235" i="11"/>
  <c r="HX235" i="11"/>
  <c r="HY235" i="11"/>
  <c r="HZ235" i="11"/>
  <c r="IA235" i="11"/>
  <c r="IB235" i="11"/>
  <c r="IC235" i="11"/>
  <c r="ID235" i="11"/>
  <c r="IE235" i="11"/>
  <c r="IF235" i="11"/>
  <c r="IG235" i="11"/>
  <c r="IH235" i="11"/>
  <c r="II235" i="11"/>
  <c r="IJ235" i="11"/>
  <c r="IK235" i="11"/>
  <c r="IL235" i="11"/>
  <c r="IM235" i="11"/>
  <c r="IN235" i="11"/>
  <c r="IO235" i="11"/>
  <c r="IP235" i="11"/>
  <c r="IQ235" i="11"/>
  <c r="IR235" i="11"/>
  <c r="IS235" i="11"/>
  <c r="IT235" i="11"/>
  <c r="IU235" i="11"/>
  <c r="IV235" i="11"/>
  <c r="F236" i="11"/>
  <c r="G236" i="11"/>
  <c r="H236" i="11"/>
  <c r="I236" i="11"/>
  <c r="J236" i="11"/>
  <c r="K236" i="11"/>
  <c r="L236" i="11"/>
  <c r="M236" i="11"/>
  <c r="N236" i="11"/>
  <c r="O236" i="11"/>
  <c r="P236" i="11"/>
  <c r="Q236" i="11"/>
  <c r="R236" i="11"/>
  <c r="S236" i="11"/>
  <c r="T236" i="11"/>
  <c r="U236" i="11"/>
  <c r="V236" i="11"/>
  <c r="W236" i="11"/>
  <c r="X236" i="11"/>
  <c r="Y236" i="11"/>
  <c r="Z236" i="11"/>
  <c r="AA236" i="11"/>
  <c r="AB236" i="11"/>
  <c r="AC236" i="11"/>
  <c r="AD236" i="11"/>
  <c r="AE236" i="11"/>
  <c r="AF236"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B236" i="11"/>
  <c r="BC236" i="11"/>
  <c r="BD236" i="11"/>
  <c r="BE236" i="11"/>
  <c r="BF236" i="11"/>
  <c r="BG236" i="11"/>
  <c r="BH236" i="11"/>
  <c r="BI236" i="11"/>
  <c r="BJ236" i="11"/>
  <c r="BK236" i="11"/>
  <c r="BL236" i="11"/>
  <c r="BM236" i="11"/>
  <c r="BN236" i="11"/>
  <c r="BO236" i="11"/>
  <c r="BP236" i="11"/>
  <c r="BQ236" i="11"/>
  <c r="BR236" i="11"/>
  <c r="BS236" i="11"/>
  <c r="BT236" i="11"/>
  <c r="BU236" i="11"/>
  <c r="BV236" i="11"/>
  <c r="BW236" i="11"/>
  <c r="BX236" i="11"/>
  <c r="BY236" i="11"/>
  <c r="BZ236" i="11"/>
  <c r="CA236" i="11"/>
  <c r="CB236" i="11"/>
  <c r="CC236" i="11"/>
  <c r="CD236" i="11"/>
  <c r="CE236" i="11"/>
  <c r="CF236" i="11"/>
  <c r="CG236" i="11"/>
  <c r="CH236" i="11"/>
  <c r="CI236" i="11"/>
  <c r="CJ236" i="11"/>
  <c r="CK236" i="11"/>
  <c r="CL236" i="11"/>
  <c r="CM236" i="11"/>
  <c r="CN236" i="11"/>
  <c r="CO236" i="11"/>
  <c r="CP236" i="11"/>
  <c r="CQ236" i="11"/>
  <c r="CR236" i="11"/>
  <c r="CS236" i="11"/>
  <c r="CT236" i="11"/>
  <c r="CU236" i="11"/>
  <c r="CV236" i="11"/>
  <c r="CW236" i="11"/>
  <c r="CX236" i="11"/>
  <c r="CY236" i="11"/>
  <c r="CZ236" i="11"/>
  <c r="DA236" i="11"/>
  <c r="DB236" i="11"/>
  <c r="DC236" i="11"/>
  <c r="DD236" i="11"/>
  <c r="DE236" i="11"/>
  <c r="DF236" i="11"/>
  <c r="DG236" i="11"/>
  <c r="DH236" i="11"/>
  <c r="DI236" i="11"/>
  <c r="DJ236" i="11"/>
  <c r="DK236" i="11"/>
  <c r="DL236" i="11"/>
  <c r="DM236" i="11"/>
  <c r="DN236" i="11"/>
  <c r="DO236" i="11"/>
  <c r="DP236" i="11"/>
  <c r="DQ236" i="11"/>
  <c r="DR236" i="11"/>
  <c r="DS236" i="11"/>
  <c r="DT236" i="11"/>
  <c r="DU236" i="11"/>
  <c r="DV236" i="11"/>
  <c r="DW236" i="11"/>
  <c r="DX236" i="11"/>
  <c r="DY236" i="11"/>
  <c r="DZ236" i="11"/>
  <c r="EA236" i="11"/>
  <c r="EB236" i="11"/>
  <c r="EC236" i="11"/>
  <c r="ED236" i="11"/>
  <c r="EE236" i="11"/>
  <c r="EF236" i="11"/>
  <c r="EG236" i="11"/>
  <c r="EH236" i="11"/>
  <c r="EI236" i="11"/>
  <c r="EJ236" i="11"/>
  <c r="EK236" i="11"/>
  <c r="EL236" i="11"/>
  <c r="EM236" i="11"/>
  <c r="EN236" i="11"/>
  <c r="EO236" i="11"/>
  <c r="EP236" i="11"/>
  <c r="EQ236" i="11"/>
  <c r="ER236" i="11"/>
  <c r="ES236" i="11"/>
  <c r="ET236" i="11"/>
  <c r="EU236" i="11"/>
  <c r="EV236" i="11"/>
  <c r="EW236" i="11"/>
  <c r="EX236" i="11"/>
  <c r="EY236" i="11"/>
  <c r="EZ236" i="11"/>
  <c r="FA236" i="11"/>
  <c r="FB236" i="11"/>
  <c r="FC236" i="11"/>
  <c r="FD236" i="11"/>
  <c r="FE236" i="11"/>
  <c r="FF236" i="11"/>
  <c r="FG236" i="11"/>
  <c r="FH236" i="11"/>
  <c r="FI236" i="11"/>
  <c r="FJ236" i="11"/>
  <c r="FK236" i="11"/>
  <c r="FL236" i="11"/>
  <c r="FM236" i="11"/>
  <c r="FN236" i="11"/>
  <c r="FO236" i="11"/>
  <c r="FP236" i="11"/>
  <c r="FQ236" i="11"/>
  <c r="FR236" i="11"/>
  <c r="FS236" i="11"/>
  <c r="FT236" i="11"/>
  <c r="FU236" i="11"/>
  <c r="FV236" i="11"/>
  <c r="FW236" i="11"/>
  <c r="FX236" i="11"/>
  <c r="FY236" i="11"/>
  <c r="FZ236" i="11"/>
  <c r="GA236" i="11"/>
  <c r="GB236" i="11"/>
  <c r="GC236" i="11"/>
  <c r="GD236" i="11"/>
  <c r="GE236" i="11"/>
  <c r="GF236" i="11"/>
  <c r="GG236" i="11"/>
  <c r="GH236" i="11"/>
  <c r="GI236" i="11"/>
  <c r="GJ236" i="11"/>
  <c r="GK236" i="11"/>
  <c r="GL236" i="11"/>
  <c r="GM236" i="11"/>
  <c r="GN236" i="11"/>
  <c r="GO236" i="11"/>
  <c r="GP236" i="11"/>
  <c r="GQ236" i="11"/>
  <c r="GR236" i="11"/>
  <c r="GS236" i="11"/>
  <c r="GT236" i="11"/>
  <c r="GU236" i="11"/>
  <c r="GV236" i="11"/>
  <c r="GW236" i="11"/>
  <c r="GX236" i="11"/>
  <c r="GY236" i="11"/>
  <c r="GZ236" i="11"/>
  <c r="HA236" i="11"/>
  <c r="HB236" i="11"/>
  <c r="HC236" i="11"/>
  <c r="HD236" i="11"/>
  <c r="HE236" i="11"/>
  <c r="HF236" i="11"/>
  <c r="HG236" i="11"/>
  <c r="HH236" i="11"/>
  <c r="HI236" i="11"/>
  <c r="HJ236" i="11"/>
  <c r="HK236" i="11"/>
  <c r="HL236" i="11"/>
  <c r="HM236" i="11"/>
  <c r="HN236" i="11"/>
  <c r="HO236" i="11"/>
  <c r="HP236" i="11"/>
  <c r="HQ236" i="11"/>
  <c r="HR236" i="11"/>
  <c r="HS236" i="11"/>
  <c r="HT236" i="11"/>
  <c r="HU236" i="11"/>
  <c r="HV236" i="11"/>
  <c r="HW236" i="11"/>
  <c r="HX236" i="11"/>
  <c r="HY236" i="11"/>
  <c r="HZ236" i="11"/>
  <c r="IA236" i="11"/>
  <c r="IB236" i="11"/>
  <c r="IC236" i="11"/>
  <c r="ID236" i="11"/>
  <c r="IE236" i="11"/>
  <c r="IF236" i="11"/>
  <c r="IG236" i="11"/>
  <c r="IH236" i="11"/>
  <c r="II236" i="11"/>
  <c r="IJ236" i="11"/>
  <c r="IK236" i="11"/>
  <c r="IL236" i="11"/>
  <c r="IM236" i="11"/>
  <c r="IN236" i="11"/>
  <c r="IO236" i="11"/>
  <c r="IP236" i="11"/>
  <c r="IQ236" i="11"/>
  <c r="IR236" i="11"/>
  <c r="IS236" i="11"/>
  <c r="IT236" i="11"/>
  <c r="IU236" i="11"/>
  <c r="IV236" i="11"/>
  <c r="F237" i="11"/>
  <c r="G237" i="11"/>
  <c r="H237" i="11"/>
  <c r="I237" i="11"/>
  <c r="J237" i="11"/>
  <c r="K237" i="11"/>
  <c r="L237" i="11"/>
  <c r="M237" i="11"/>
  <c r="N237" i="11"/>
  <c r="O237" i="11"/>
  <c r="P237" i="11"/>
  <c r="Q237" i="11"/>
  <c r="R237" i="11"/>
  <c r="S237" i="11"/>
  <c r="T237" i="11"/>
  <c r="U237" i="11"/>
  <c r="V237" i="11"/>
  <c r="W237" i="11"/>
  <c r="X237" i="11"/>
  <c r="Y237" i="11"/>
  <c r="Z237" i="11"/>
  <c r="AA237" i="11"/>
  <c r="AB237" i="11"/>
  <c r="AC237" i="11"/>
  <c r="AD237" i="11"/>
  <c r="AE237" i="11"/>
  <c r="AF237" i="11"/>
  <c r="AG237" i="11"/>
  <c r="AH237" i="11"/>
  <c r="AI237" i="11"/>
  <c r="AJ237" i="11"/>
  <c r="AK237" i="11"/>
  <c r="AL237" i="11"/>
  <c r="AM237" i="11"/>
  <c r="AN237" i="11"/>
  <c r="AO237" i="11"/>
  <c r="AP237" i="11"/>
  <c r="AQ237" i="11"/>
  <c r="AR237" i="11"/>
  <c r="AS237" i="11"/>
  <c r="AT237" i="11"/>
  <c r="AU237" i="11"/>
  <c r="AV237" i="11"/>
  <c r="AW237" i="11"/>
  <c r="AX237" i="11"/>
  <c r="AY237" i="11"/>
  <c r="AZ237" i="11"/>
  <c r="BA237" i="11"/>
  <c r="BB237" i="11"/>
  <c r="BC237" i="11"/>
  <c r="BD237" i="11"/>
  <c r="BE237" i="11"/>
  <c r="BF237" i="11"/>
  <c r="BG237" i="11"/>
  <c r="BH237" i="11"/>
  <c r="BI237" i="11"/>
  <c r="BJ237" i="11"/>
  <c r="BK237" i="11"/>
  <c r="BL237" i="11"/>
  <c r="BM237" i="11"/>
  <c r="BN237" i="11"/>
  <c r="BO237" i="11"/>
  <c r="BP237" i="11"/>
  <c r="BQ237" i="11"/>
  <c r="BR237" i="11"/>
  <c r="BS237" i="11"/>
  <c r="BT237" i="11"/>
  <c r="BU237" i="11"/>
  <c r="BV237" i="11"/>
  <c r="BW237" i="11"/>
  <c r="BX237" i="11"/>
  <c r="BY237" i="11"/>
  <c r="BZ237" i="11"/>
  <c r="CA237" i="11"/>
  <c r="CB237" i="11"/>
  <c r="CC237" i="11"/>
  <c r="CD237" i="11"/>
  <c r="CE237" i="11"/>
  <c r="CF237" i="11"/>
  <c r="CG237" i="11"/>
  <c r="CH237" i="11"/>
  <c r="CI237" i="11"/>
  <c r="CJ237" i="11"/>
  <c r="CK237" i="11"/>
  <c r="CL237" i="11"/>
  <c r="CM237" i="11"/>
  <c r="CN237" i="11"/>
  <c r="CO237" i="11"/>
  <c r="CP237" i="11"/>
  <c r="CQ237" i="11"/>
  <c r="CR237" i="11"/>
  <c r="CS237" i="11"/>
  <c r="CT237" i="11"/>
  <c r="CU237" i="11"/>
  <c r="CV237" i="11"/>
  <c r="CW237" i="11"/>
  <c r="CX237" i="11"/>
  <c r="CY237" i="11"/>
  <c r="CZ237" i="11"/>
  <c r="DA237" i="11"/>
  <c r="DB237" i="11"/>
  <c r="DC237" i="11"/>
  <c r="DD237" i="11"/>
  <c r="DE237" i="11"/>
  <c r="DF237" i="11"/>
  <c r="DG237" i="11"/>
  <c r="DH237" i="11"/>
  <c r="DI237" i="11"/>
  <c r="DJ237" i="11"/>
  <c r="DK237" i="11"/>
  <c r="DL237" i="11"/>
  <c r="DM237" i="11"/>
  <c r="DN237" i="11"/>
  <c r="DO237" i="11"/>
  <c r="DP237" i="11"/>
  <c r="DQ237" i="11"/>
  <c r="DR237" i="11"/>
  <c r="DS237" i="11"/>
  <c r="DT237" i="11"/>
  <c r="DU237" i="11"/>
  <c r="DV237" i="11"/>
  <c r="DW237" i="11"/>
  <c r="DX237" i="11"/>
  <c r="DY237" i="11"/>
  <c r="DZ237" i="11"/>
  <c r="EA237" i="11"/>
  <c r="EB237" i="11"/>
  <c r="EC237" i="11"/>
  <c r="ED237" i="11"/>
  <c r="EE237" i="11"/>
  <c r="EF237" i="11"/>
  <c r="EG237" i="11"/>
  <c r="EH237" i="11"/>
  <c r="EI237" i="11"/>
  <c r="EJ237" i="11"/>
  <c r="EK237" i="11"/>
  <c r="EL237" i="11"/>
  <c r="EM237" i="11"/>
  <c r="EN237" i="11"/>
  <c r="EO237" i="11"/>
  <c r="EP237" i="11"/>
  <c r="EQ237" i="11"/>
  <c r="ER237" i="11"/>
  <c r="ES237" i="11"/>
  <c r="ET237" i="11"/>
  <c r="EU237" i="11"/>
  <c r="EV237" i="11"/>
  <c r="EW237" i="11"/>
  <c r="EX237" i="11"/>
  <c r="EY237" i="11"/>
  <c r="EZ237" i="11"/>
  <c r="FA237" i="11"/>
  <c r="FB237" i="11"/>
  <c r="FC237" i="11"/>
  <c r="FD237" i="11"/>
  <c r="FE237" i="11"/>
  <c r="FF237" i="11"/>
  <c r="FG237" i="11"/>
  <c r="FH237" i="11"/>
  <c r="FI237" i="11"/>
  <c r="FJ237" i="11"/>
  <c r="FK237" i="11"/>
  <c r="FL237" i="11"/>
  <c r="FM237" i="11"/>
  <c r="FN237" i="11"/>
  <c r="FO237" i="11"/>
  <c r="FP237" i="11"/>
  <c r="FQ237" i="11"/>
  <c r="FR237" i="11"/>
  <c r="FS237" i="11"/>
  <c r="FT237" i="11"/>
  <c r="FU237" i="11"/>
  <c r="FV237" i="11"/>
  <c r="FW237" i="11"/>
  <c r="FX237" i="11"/>
  <c r="FY237" i="11"/>
  <c r="FZ237" i="11"/>
  <c r="GA237" i="11"/>
  <c r="GB237" i="11"/>
  <c r="GC237" i="11"/>
  <c r="GD237" i="11"/>
  <c r="GE237" i="11"/>
  <c r="GF237" i="11"/>
  <c r="GG237" i="11"/>
  <c r="GH237" i="11"/>
  <c r="GI237" i="11"/>
  <c r="GJ237" i="11"/>
  <c r="GK237" i="11"/>
  <c r="GL237" i="11"/>
  <c r="GM237" i="11"/>
  <c r="GN237" i="11"/>
  <c r="GO237" i="11"/>
  <c r="GP237" i="11"/>
  <c r="GQ237" i="11"/>
  <c r="GR237" i="11"/>
  <c r="GS237" i="11"/>
  <c r="GT237" i="11"/>
  <c r="GU237" i="11"/>
  <c r="GV237" i="11"/>
  <c r="GW237" i="11"/>
  <c r="GX237" i="11"/>
  <c r="GY237" i="11"/>
  <c r="GZ237" i="11"/>
  <c r="HA237" i="11"/>
  <c r="HB237" i="11"/>
  <c r="HC237" i="11"/>
  <c r="HD237" i="11"/>
  <c r="HE237" i="11"/>
  <c r="HF237" i="11"/>
  <c r="HG237" i="11"/>
  <c r="HH237" i="11"/>
  <c r="HI237" i="11"/>
  <c r="HJ237" i="11"/>
  <c r="HK237" i="11"/>
  <c r="HL237" i="11"/>
  <c r="HM237" i="11"/>
  <c r="HN237" i="11"/>
  <c r="HO237" i="11"/>
  <c r="HP237" i="11"/>
  <c r="HQ237" i="11"/>
  <c r="HR237" i="11"/>
  <c r="HS237" i="11"/>
  <c r="HT237" i="11"/>
  <c r="HU237" i="11"/>
  <c r="HV237" i="11"/>
  <c r="HW237" i="11"/>
  <c r="HX237" i="11"/>
  <c r="HY237" i="11"/>
  <c r="HZ237" i="11"/>
  <c r="IA237" i="11"/>
  <c r="IB237" i="11"/>
  <c r="IC237" i="11"/>
  <c r="ID237" i="11"/>
  <c r="IE237" i="11"/>
  <c r="IF237" i="11"/>
  <c r="IG237" i="11"/>
  <c r="IH237" i="11"/>
  <c r="II237" i="11"/>
  <c r="IJ237" i="11"/>
  <c r="IK237" i="11"/>
  <c r="IL237" i="11"/>
  <c r="IM237" i="11"/>
  <c r="IN237" i="11"/>
  <c r="IO237" i="11"/>
  <c r="IP237" i="11"/>
  <c r="IQ237" i="11"/>
  <c r="IR237" i="11"/>
  <c r="IS237" i="11"/>
  <c r="IT237" i="11"/>
  <c r="IU237" i="11"/>
  <c r="IV237" i="11"/>
  <c r="F238" i="11"/>
  <c r="G238" i="11"/>
  <c r="H238" i="11"/>
  <c r="I238" i="11"/>
  <c r="J238" i="11"/>
  <c r="K238" i="11"/>
  <c r="L238" i="11"/>
  <c r="M238" i="11"/>
  <c r="N238" i="11"/>
  <c r="O238" i="11"/>
  <c r="P238" i="11"/>
  <c r="Q238" i="11"/>
  <c r="R238" i="11"/>
  <c r="S238" i="11"/>
  <c r="T238" i="11"/>
  <c r="U238" i="11"/>
  <c r="V238" i="11"/>
  <c r="W238" i="11"/>
  <c r="X238" i="11"/>
  <c r="Y238" i="11"/>
  <c r="Z238" i="11"/>
  <c r="AA238" i="11"/>
  <c r="AB238" i="11"/>
  <c r="AC238" i="11"/>
  <c r="AD238" i="11"/>
  <c r="AE238" i="11"/>
  <c r="AF238" i="11"/>
  <c r="AG238" i="11"/>
  <c r="AH238" i="11"/>
  <c r="AI238" i="11"/>
  <c r="AJ238" i="11"/>
  <c r="AK238" i="11"/>
  <c r="AL238" i="11"/>
  <c r="AM238" i="11"/>
  <c r="AN238" i="11"/>
  <c r="AO238" i="11"/>
  <c r="AP238" i="11"/>
  <c r="AQ238" i="11"/>
  <c r="AR238" i="11"/>
  <c r="AS238" i="11"/>
  <c r="AT238" i="11"/>
  <c r="AU238" i="11"/>
  <c r="AV238" i="11"/>
  <c r="AW238" i="11"/>
  <c r="AX238" i="11"/>
  <c r="AY238" i="11"/>
  <c r="AZ238" i="11"/>
  <c r="BA238" i="11"/>
  <c r="BB238" i="11"/>
  <c r="BC238" i="11"/>
  <c r="BD238" i="11"/>
  <c r="BE238" i="11"/>
  <c r="BF238" i="11"/>
  <c r="BG238" i="11"/>
  <c r="BH238" i="11"/>
  <c r="BI238" i="11"/>
  <c r="BJ238" i="11"/>
  <c r="BK238" i="11"/>
  <c r="BL238" i="11"/>
  <c r="BM238" i="11"/>
  <c r="BN238" i="11"/>
  <c r="BO238" i="11"/>
  <c r="BP238" i="11"/>
  <c r="BQ238" i="11"/>
  <c r="BR238" i="11"/>
  <c r="BS238" i="11"/>
  <c r="BT238" i="11"/>
  <c r="BU238" i="11"/>
  <c r="BV238" i="11"/>
  <c r="BW238" i="11"/>
  <c r="BX238" i="11"/>
  <c r="BY238" i="11"/>
  <c r="BZ238" i="11"/>
  <c r="CA238" i="11"/>
  <c r="CB238" i="11"/>
  <c r="CC238" i="11"/>
  <c r="CD238" i="11"/>
  <c r="CE238" i="11"/>
  <c r="CF238" i="11"/>
  <c r="CG238" i="11"/>
  <c r="CH238" i="11"/>
  <c r="CI238" i="11"/>
  <c r="CJ238" i="11"/>
  <c r="CK238" i="11"/>
  <c r="CL238" i="11"/>
  <c r="CM238" i="11"/>
  <c r="CN238" i="11"/>
  <c r="CO238" i="11"/>
  <c r="CP238" i="11"/>
  <c r="CQ238" i="11"/>
  <c r="CR238" i="11"/>
  <c r="CS238" i="11"/>
  <c r="CT238" i="11"/>
  <c r="CU238" i="11"/>
  <c r="CV238" i="11"/>
  <c r="CW238" i="11"/>
  <c r="CX238" i="11"/>
  <c r="CY238" i="11"/>
  <c r="CZ238" i="11"/>
  <c r="DA238" i="11"/>
  <c r="DB238" i="11"/>
  <c r="DC238" i="11"/>
  <c r="DD238" i="11"/>
  <c r="DE238" i="11"/>
  <c r="DF238" i="11"/>
  <c r="DG238" i="11"/>
  <c r="DH238" i="11"/>
  <c r="DI238" i="11"/>
  <c r="DJ238" i="11"/>
  <c r="DK238" i="11"/>
  <c r="DL238" i="11"/>
  <c r="DM238" i="11"/>
  <c r="DN238" i="11"/>
  <c r="DO238" i="11"/>
  <c r="DP238" i="11"/>
  <c r="DQ238" i="11"/>
  <c r="DR238" i="11"/>
  <c r="DS238" i="11"/>
  <c r="DT238" i="11"/>
  <c r="DU238" i="11"/>
  <c r="DV238" i="11"/>
  <c r="DW238" i="11"/>
  <c r="DX238" i="11"/>
  <c r="DY238" i="11"/>
  <c r="DZ238" i="11"/>
  <c r="EA238" i="11"/>
  <c r="EB238" i="11"/>
  <c r="EC238" i="11"/>
  <c r="ED238" i="11"/>
  <c r="EE238" i="11"/>
  <c r="EF238" i="11"/>
  <c r="EG238" i="11"/>
  <c r="EH238" i="11"/>
  <c r="EI238" i="11"/>
  <c r="EJ238" i="11"/>
  <c r="EK238" i="11"/>
  <c r="EL238" i="11"/>
  <c r="EM238" i="11"/>
  <c r="EN238" i="11"/>
  <c r="EO238" i="11"/>
  <c r="EP238" i="11"/>
  <c r="EQ238" i="11"/>
  <c r="ER238" i="11"/>
  <c r="ES238" i="11"/>
  <c r="ET238" i="11"/>
  <c r="EU238" i="11"/>
  <c r="EV238" i="11"/>
  <c r="EW238" i="11"/>
  <c r="EX238" i="11"/>
  <c r="EY238" i="11"/>
  <c r="EZ238" i="11"/>
  <c r="FA238" i="11"/>
  <c r="FB238" i="11"/>
  <c r="FC238" i="11"/>
  <c r="FD238" i="11"/>
  <c r="FE238" i="11"/>
  <c r="FF238" i="11"/>
  <c r="FG238" i="11"/>
  <c r="FH238" i="11"/>
  <c r="FI238" i="11"/>
  <c r="FJ238" i="11"/>
  <c r="FK238" i="11"/>
  <c r="FL238" i="11"/>
  <c r="FM238" i="11"/>
  <c r="FN238" i="11"/>
  <c r="FO238" i="11"/>
  <c r="FP238" i="11"/>
  <c r="FQ238" i="11"/>
  <c r="FR238" i="11"/>
  <c r="FS238" i="11"/>
  <c r="FT238" i="11"/>
  <c r="FU238" i="11"/>
  <c r="FV238" i="11"/>
  <c r="FW238" i="11"/>
  <c r="FX238" i="11"/>
  <c r="FY238" i="11"/>
  <c r="FZ238" i="11"/>
  <c r="GA238" i="11"/>
  <c r="GB238" i="11"/>
  <c r="GC238" i="11"/>
  <c r="GD238" i="11"/>
  <c r="GE238" i="11"/>
  <c r="GF238" i="11"/>
  <c r="GG238" i="11"/>
  <c r="GH238" i="11"/>
  <c r="GI238" i="11"/>
  <c r="GJ238" i="11"/>
  <c r="GK238" i="11"/>
  <c r="GL238" i="11"/>
  <c r="GM238" i="11"/>
  <c r="GN238" i="11"/>
  <c r="GO238" i="11"/>
  <c r="GP238" i="11"/>
  <c r="GQ238" i="11"/>
  <c r="GR238" i="11"/>
  <c r="GS238" i="11"/>
  <c r="GT238" i="11"/>
  <c r="GU238" i="11"/>
  <c r="GV238" i="11"/>
  <c r="GW238" i="11"/>
  <c r="GX238" i="11"/>
  <c r="GY238" i="11"/>
  <c r="GZ238" i="11"/>
  <c r="HA238" i="11"/>
  <c r="HB238" i="11"/>
  <c r="HC238" i="11"/>
  <c r="HD238" i="11"/>
  <c r="HE238" i="11"/>
  <c r="HF238" i="11"/>
  <c r="HG238" i="11"/>
  <c r="HH238" i="11"/>
  <c r="HI238" i="11"/>
  <c r="HJ238" i="11"/>
  <c r="HK238" i="11"/>
  <c r="HL238" i="11"/>
  <c r="HM238" i="11"/>
  <c r="HN238" i="11"/>
  <c r="HO238" i="11"/>
  <c r="HP238" i="11"/>
  <c r="HQ238" i="11"/>
  <c r="HR238" i="11"/>
  <c r="HS238" i="11"/>
  <c r="HT238" i="11"/>
  <c r="HU238" i="11"/>
  <c r="HV238" i="11"/>
  <c r="HW238" i="11"/>
  <c r="HX238" i="11"/>
  <c r="HY238" i="11"/>
  <c r="HZ238" i="11"/>
  <c r="IA238" i="11"/>
  <c r="IB238" i="11"/>
  <c r="IC238" i="11"/>
  <c r="ID238" i="11"/>
  <c r="IE238" i="11"/>
  <c r="IF238" i="11"/>
  <c r="IG238" i="11"/>
  <c r="IH238" i="11"/>
  <c r="II238" i="11"/>
  <c r="IJ238" i="11"/>
  <c r="IK238" i="11"/>
  <c r="IL238" i="11"/>
  <c r="IM238" i="11"/>
  <c r="IN238" i="11"/>
  <c r="IO238" i="11"/>
  <c r="IP238" i="11"/>
  <c r="IQ238" i="11"/>
  <c r="IR238" i="11"/>
  <c r="IS238" i="11"/>
  <c r="IT238" i="11"/>
  <c r="IU238" i="11"/>
  <c r="IV238" i="11"/>
  <c r="F239" i="11"/>
  <c r="G239" i="11"/>
  <c r="H239" i="11"/>
  <c r="I239" i="11"/>
  <c r="J239" i="11"/>
  <c r="K239" i="11"/>
  <c r="L239" i="11"/>
  <c r="M239" i="11"/>
  <c r="N239" i="11"/>
  <c r="O239" i="11"/>
  <c r="P239" i="11"/>
  <c r="Q239" i="11"/>
  <c r="R239" i="11"/>
  <c r="S239" i="11"/>
  <c r="T239" i="11"/>
  <c r="U239" i="11"/>
  <c r="V239" i="11"/>
  <c r="W239" i="11"/>
  <c r="X239" i="11"/>
  <c r="Y239" i="11"/>
  <c r="Z239" i="11"/>
  <c r="AA239" i="11"/>
  <c r="AB239" i="11"/>
  <c r="AC239" i="11"/>
  <c r="AD239" i="11"/>
  <c r="AE239" i="11"/>
  <c r="AF239" i="11"/>
  <c r="AG239" i="11"/>
  <c r="AH239" i="11"/>
  <c r="AI239" i="11"/>
  <c r="AJ239" i="11"/>
  <c r="AK239" i="11"/>
  <c r="AL239" i="11"/>
  <c r="AM239" i="11"/>
  <c r="AN239" i="11"/>
  <c r="AO239" i="11"/>
  <c r="AP239" i="11"/>
  <c r="AQ239" i="11"/>
  <c r="AR239" i="11"/>
  <c r="AS239" i="11"/>
  <c r="AT239" i="11"/>
  <c r="AU239" i="11"/>
  <c r="AV239" i="11"/>
  <c r="AW239" i="11"/>
  <c r="AX239" i="11"/>
  <c r="AY239" i="11"/>
  <c r="AZ239" i="11"/>
  <c r="BA239" i="11"/>
  <c r="BB239" i="11"/>
  <c r="BC239" i="11"/>
  <c r="BD239" i="11"/>
  <c r="BE239" i="11"/>
  <c r="BF239" i="11"/>
  <c r="BG239" i="11"/>
  <c r="BH239" i="11"/>
  <c r="BI239" i="11"/>
  <c r="BJ239" i="11"/>
  <c r="BK239" i="11"/>
  <c r="BL239" i="11"/>
  <c r="BM239" i="11"/>
  <c r="BN239" i="11"/>
  <c r="BO239" i="11"/>
  <c r="BP239" i="11"/>
  <c r="BQ239" i="11"/>
  <c r="BR239" i="11"/>
  <c r="BS239" i="11"/>
  <c r="BT239" i="11"/>
  <c r="BU239" i="11"/>
  <c r="BV239" i="11"/>
  <c r="BW239" i="11"/>
  <c r="BX239" i="11"/>
  <c r="BY239" i="11"/>
  <c r="BZ239" i="11"/>
  <c r="CA239" i="11"/>
  <c r="CB239" i="11"/>
  <c r="CC239" i="11"/>
  <c r="CD239" i="11"/>
  <c r="CE239" i="11"/>
  <c r="CF239" i="11"/>
  <c r="CG239" i="11"/>
  <c r="CH239" i="11"/>
  <c r="CI239" i="11"/>
  <c r="CJ239" i="11"/>
  <c r="CK239" i="11"/>
  <c r="CL239" i="11"/>
  <c r="CM239" i="11"/>
  <c r="CN239" i="11"/>
  <c r="CO239" i="11"/>
  <c r="CP239" i="11"/>
  <c r="CQ239" i="11"/>
  <c r="CR239" i="11"/>
  <c r="CS239" i="11"/>
  <c r="CT239" i="11"/>
  <c r="CU239" i="11"/>
  <c r="CV239" i="11"/>
  <c r="CW239" i="11"/>
  <c r="CX239" i="11"/>
  <c r="CY239" i="11"/>
  <c r="CZ239" i="11"/>
  <c r="DA239" i="11"/>
  <c r="DB239" i="11"/>
  <c r="DC239" i="11"/>
  <c r="DD239" i="11"/>
  <c r="DE239" i="11"/>
  <c r="DF239" i="11"/>
  <c r="DG239" i="11"/>
  <c r="DH239" i="11"/>
  <c r="DI239" i="11"/>
  <c r="DJ239" i="11"/>
  <c r="DK239" i="11"/>
  <c r="DL239" i="11"/>
  <c r="DM239" i="11"/>
  <c r="DN239" i="11"/>
  <c r="DO239" i="11"/>
  <c r="DP239" i="11"/>
  <c r="DQ239" i="11"/>
  <c r="DR239" i="11"/>
  <c r="DS239" i="11"/>
  <c r="DT239" i="11"/>
  <c r="DU239" i="11"/>
  <c r="DV239" i="11"/>
  <c r="DW239" i="11"/>
  <c r="DX239" i="11"/>
  <c r="DY239" i="11"/>
  <c r="DZ239" i="11"/>
  <c r="EA239" i="11"/>
  <c r="EB239" i="11"/>
  <c r="EC239" i="11"/>
  <c r="ED239" i="11"/>
  <c r="EE239" i="11"/>
  <c r="EF239" i="11"/>
  <c r="EG239" i="11"/>
  <c r="EH239" i="11"/>
  <c r="EI239" i="11"/>
  <c r="EJ239" i="11"/>
  <c r="EK239" i="11"/>
  <c r="EL239" i="11"/>
  <c r="EM239" i="11"/>
  <c r="EN239" i="11"/>
  <c r="EO239" i="11"/>
  <c r="EP239" i="11"/>
  <c r="EQ239" i="11"/>
  <c r="ER239" i="11"/>
  <c r="ES239" i="11"/>
  <c r="ET239" i="11"/>
  <c r="EU239" i="11"/>
  <c r="EV239" i="11"/>
  <c r="EW239" i="11"/>
  <c r="EX239" i="11"/>
  <c r="EY239" i="11"/>
  <c r="EZ239" i="11"/>
  <c r="FA239" i="11"/>
  <c r="FB239" i="11"/>
  <c r="FC239" i="11"/>
  <c r="FD239" i="11"/>
  <c r="FE239" i="11"/>
  <c r="FF239" i="11"/>
  <c r="FG239" i="11"/>
  <c r="FH239" i="11"/>
  <c r="FI239" i="11"/>
  <c r="FJ239" i="11"/>
  <c r="FK239" i="11"/>
  <c r="FL239" i="11"/>
  <c r="FM239" i="11"/>
  <c r="FN239" i="11"/>
  <c r="FO239" i="11"/>
  <c r="FP239" i="11"/>
  <c r="FQ239" i="11"/>
  <c r="FR239" i="11"/>
  <c r="FS239" i="11"/>
  <c r="FT239" i="11"/>
  <c r="FU239" i="11"/>
  <c r="FV239" i="11"/>
  <c r="FW239" i="11"/>
  <c r="FX239" i="11"/>
  <c r="FY239" i="11"/>
  <c r="FZ239" i="11"/>
  <c r="GA239" i="11"/>
  <c r="GB239" i="11"/>
  <c r="GC239" i="11"/>
  <c r="GD239" i="11"/>
  <c r="GE239" i="11"/>
  <c r="GF239" i="11"/>
  <c r="GG239" i="11"/>
  <c r="GH239" i="11"/>
  <c r="GI239" i="11"/>
  <c r="GJ239" i="11"/>
  <c r="GK239" i="11"/>
  <c r="GL239" i="11"/>
  <c r="GM239" i="11"/>
  <c r="GN239" i="11"/>
  <c r="GO239" i="11"/>
  <c r="GP239" i="11"/>
  <c r="GQ239" i="11"/>
  <c r="GR239" i="11"/>
  <c r="GS239" i="11"/>
  <c r="GT239" i="11"/>
  <c r="GU239" i="11"/>
  <c r="GV239" i="11"/>
  <c r="GW239" i="11"/>
  <c r="GX239" i="11"/>
  <c r="GY239" i="11"/>
  <c r="GZ239" i="11"/>
  <c r="HA239" i="11"/>
  <c r="HB239" i="11"/>
  <c r="HC239" i="11"/>
  <c r="HD239" i="11"/>
  <c r="HE239" i="11"/>
  <c r="HF239" i="11"/>
  <c r="HG239" i="11"/>
  <c r="HH239" i="11"/>
  <c r="HI239" i="11"/>
  <c r="HJ239" i="11"/>
  <c r="HK239" i="11"/>
  <c r="HL239" i="11"/>
  <c r="HM239" i="11"/>
  <c r="HN239" i="11"/>
  <c r="HO239" i="11"/>
  <c r="HP239" i="11"/>
  <c r="HQ239" i="11"/>
  <c r="HR239" i="11"/>
  <c r="HS239" i="11"/>
  <c r="HT239" i="11"/>
  <c r="HU239" i="11"/>
  <c r="HV239" i="11"/>
  <c r="HW239" i="11"/>
  <c r="HX239" i="11"/>
  <c r="HY239" i="11"/>
  <c r="HZ239" i="11"/>
  <c r="IA239" i="11"/>
  <c r="IB239" i="11"/>
  <c r="IC239" i="11"/>
  <c r="ID239" i="11"/>
  <c r="IE239" i="11"/>
  <c r="IF239" i="11"/>
  <c r="IG239" i="11"/>
  <c r="IH239" i="11"/>
  <c r="II239" i="11"/>
  <c r="IJ239" i="11"/>
  <c r="IK239" i="11"/>
  <c r="IL239" i="11"/>
  <c r="IM239" i="11"/>
  <c r="IN239" i="11"/>
  <c r="IO239" i="11"/>
  <c r="IP239" i="11"/>
  <c r="IQ239" i="11"/>
  <c r="IR239" i="11"/>
  <c r="IS239" i="11"/>
  <c r="IT239" i="11"/>
  <c r="IU239" i="11"/>
  <c r="IV239" i="11"/>
  <c r="F240" i="11"/>
  <c r="G240" i="11"/>
  <c r="H240" i="11"/>
  <c r="I240" i="11"/>
  <c r="J240" i="11"/>
  <c r="K240" i="11"/>
  <c r="L240" i="11"/>
  <c r="M240" i="11"/>
  <c r="N240" i="11"/>
  <c r="O240" i="11"/>
  <c r="P240" i="11"/>
  <c r="Q240" i="11"/>
  <c r="R240" i="11"/>
  <c r="S240" i="11"/>
  <c r="T240" i="11"/>
  <c r="U240" i="11"/>
  <c r="V240" i="11"/>
  <c r="W240" i="11"/>
  <c r="X240" i="11"/>
  <c r="Y240" i="11"/>
  <c r="Z240" i="11"/>
  <c r="AA240" i="11"/>
  <c r="AB240" i="11"/>
  <c r="AC240" i="11"/>
  <c r="AD240" i="11"/>
  <c r="AE240" i="11"/>
  <c r="AF240" i="11"/>
  <c r="AG240" i="11"/>
  <c r="AH240" i="11"/>
  <c r="AI240" i="11"/>
  <c r="AJ240" i="11"/>
  <c r="AK240" i="11"/>
  <c r="AL240" i="11"/>
  <c r="AM240" i="11"/>
  <c r="AN240" i="11"/>
  <c r="AO240" i="11"/>
  <c r="AP240" i="11"/>
  <c r="AQ240" i="11"/>
  <c r="AR240" i="11"/>
  <c r="AS240" i="11"/>
  <c r="AT240" i="11"/>
  <c r="AU240" i="11"/>
  <c r="AV240" i="11"/>
  <c r="AW240" i="11"/>
  <c r="AX240" i="11"/>
  <c r="AY240" i="11"/>
  <c r="AZ240" i="11"/>
  <c r="BA240" i="11"/>
  <c r="BB240" i="11"/>
  <c r="BC240" i="11"/>
  <c r="BD240" i="11"/>
  <c r="BE240" i="11"/>
  <c r="BF240" i="11"/>
  <c r="BG240" i="11"/>
  <c r="BH240" i="11"/>
  <c r="BI240" i="11"/>
  <c r="BJ240" i="11"/>
  <c r="BK240" i="11"/>
  <c r="BL240" i="11"/>
  <c r="BM240" i="11"/>
  <c r="BN240" i="11"/>
  <c r="BO240" i="11"/>
  <c r="BP240" i="11"/>
  <c r="BQ240" i="11"/>
  <c r="BR240" i="11"/>
  <c r="BS240" i="11"/>
  <c r="BT240" i="11"/>
  <c r="BU240" i="11"/>
  <c r="BV240" i="11"/>
  <c r="BW240" i="11"/>
  <c r="BX240" i="11"/>
  <c r="BY240" i="11"/>
  <c r="BZ240" i="11"/>
  <c r="CA240" i="11"/>
  <c r="CB240" i="11"/>
  <c r="CC240" i="11"/>
  <c r="CD240" i="11"/>
  <c r="CE240" i="11"/>
  <c r="CF240" i="11"/>
  <c r="CG240" i="11"/>
  <c r="CH240" i="11"/>
  <c r="CI240" i="11"/>
  <c r="CJ240" i="11"/>
  <c r="CK240" i="11"/>
  <c r="CL240" i="11"/>
  <c r="CM240" i="11"/>
  <c r="CN240" i="11"/>
  <c r="CO240" i="11"/>
  <c r="CP240" i="11"/>
  <c r="CQ240" i="11"/>
  <c r="CR240" i="11"/>
  <c r="CS240" i="11"/>
  <c r="CT240" i="11"/>
  <c r="CU240" i="11"/>
  <c r="CV240" i="11"/>
  <c r="CW240" i="11"/>
  <c r="CX240" i="11"/>
  <c r="CY240" i="11"/>
  <c r="CZ240" i="11"/>
  <c r="DA240" i="11"/>
  <c r="DB240" i="11"/>
  <c r="DC240" i="11"/>
  <c r="DD240" i="11"/>
  <c r="DE240" i="11"/>
  <c r="DF240" i="11"/>
  <c r="DG240" i="11"/>
  <c r="DH240" i="11"/>
  <c r="DI240" i="11"/>
  <c r="DJ240" i="11"/>
  <c r="DK240" i="11"/>
  <c r="DL240" i="11"/>
  <c r="DM240" i="11"/>
  <c r="DN240" i="11"/>
  <c r="DO240" i="11"/>
  <c r="DP240" i="11"/>
  <c r="DQ240" i="11"/>
  <c r="DR240" i="11"/>
  <c r="DS240" i="11"/>
  <c r="DT240" i="11"/>
  <c r="DU240" i="11"/>
  <c r="DV240" i="11"/>
  <c r="DW240" i="11"/>
  <c r="DX240" i="11"/>
  <c r="DY240" i="11"/>
  <c r="DZ240" i="11"/>
  <c r="EA240" i="11"/>
  <c r="EB240" i="11"/>
  <c r="EC240" i="11"/>
  <c r="ED240" i="11"/>
  <c r="EE240" i="11"/>
  <c r="EF240" i="11"/>
  <c r="EG240" i="11"/>
  <c r="EH240" i="11"/>
  <c r="EI240" i="11"/>
  <c r="EJ240" i="11"/>
  <c r="EK240" i="11"/>
  <c r="EL240" i="11"/>
  <c r="EM240" i="11"/>
  <c r="EN240" i="11"/>
  <c r="EO240" i="11"/>
  <c r="EP240" i="11"/>
  <c r="EQ240" i="11"/>
  <c r="ER240" i="11"/>
  <c r="ES240" i="11"/>
  <c r="ET240" i="11"/>
  <c r="EU240" i="11"/>
  <c r="EV240" i="11"/>
  <c r="EW240" i="11"/>
  <c r="EX240" i="11"/>
  <c r="EY240" i="11"/>
  <c r="EZ240" i="11"/>
  <c r="FA240" i="11"/>
  <c r="FB240" i="11"/>
  <c r="FC240" i="11"/>
  <c r="FD240" i="11"/>
  <c r="FE240" i="11"/>
  <c r="FF240" i="11"/>
  <c r="FG240" i="11"/>
  <c r="FH240" i="11"/>
  <c r="FI240" i="11"/>
  <c r="FJ240" i="11"/>
  <c r="FK240" i="11"/>
  <c r="FL240" i="11"/>
  <c r="FM240" i="11"/>
  <c r="FN240" i="11"/>
  <c r="FO240" i="11"/>
  <c r="FP240" i="11"/>
  <c r="FQ240" i="11"/>
  <c r="FR240" i="11"/>
  <c r="FS240" i="11"/>
  <c r="FT240" i="11"/>
  <c r="FU240" i="11"/>
  <c r="FV240" i="11"/>
  <c r="FW240" i="11"/>
  <c r="FX240" i="11"/>
  <c r="FY240" i="11"/>
  <c r="FZ240" i="11"/>
  <c r="GA240" i="11"/>
  <c r="GB240" i="11"/>
  <c r="GC240" i="11"/>
  <c r="GD240" i="11"/>
  <c r="GE240" i="11"/>
  <c r="GF240" i="11"/>
  <c r="GG240" i="11"/>
  <c r="GH240" i="11"/>
  <c r="GI240" i="11"/>
  <c r="GJ240" i="11"/>
  <c r="GK240" i="11"/>
  <c r="GL240" i="11"/>
  <c r="GM240" i="11"/>
  <c r="GN240" i="11"/>
  <c r="GO240" i="11"/>
  <c r="GP240" i="11"/>
  <c r="GQ240" i="11"/>
  <c r="GR240" i="11"/>
  <c r="GS240" i="11"/>
  <c r="GT240" i="11"/>
  <c r="GU240" i="11"/>
  <c r="GV240" i="11"/>
  <c r="GW240" i="11"/>
  <c r="GX240" i="11"/>
  <c r="GY240" i="11"/>
  <c r="GZ240" i="11"/>
  <c r="HA240" i="11"/>
  <c r="HB240" i="11"/>
  <c r="HC240" i="11"/>
  <c r="HD240" i="11"/>
  <c r="HE240" i="11"/>
  <c r="HF240" i="11"/>
  <c r="HG240" i="11"/>
  <c r="HH240" i="11"/>
  <c r="HI240" i="11"/>
  <c r="HJ240" i="11"/>
  <c r="HK240" i="11"/>
  <c r="HL240" i="11"/>
  <c r="HM240" i="11"/>
  <c r="HN240" i="11"/>
  <c r="HO240" i="11"/>
  <c r="HP240" i="11"/>
  <c r="HQ240" i="11"/>
  <c r="HR240" i="11"/>
  <c r="HS240" i="11"/>
  <c r="HT240" i="11"/>
  <c r="HU240" i="11"/>
  <c r="HV240" i="11"/>
  <c r="HW240" i="11"/>
  <c r="HX240" i="11"/>
  <c r="HY240" i="11"/>
  <c r="HZ240" i="11"/>
  <c r="IA240" i="11"/>
  <c r="IB240" i="11"/>
  <c r="IC240" i="11"/>
  <c r="ID240" i="11"/>
  <c r="IE240" i="11"/>
  <c r="IF240" i="11"/>
  <c r="IG240" i="11"/>
  <c r="IH240" i="11"/>
  <c r="II240" i="11"/>
  <c r="IJ240" i="11"/>
  <c r="IK240" i="11"/>
  <c r="IL240" i="11"/>
  <c r="IM240" i="11"/>
  <c r="IN240" i="11"/>
  <c r="IO240" i="11"/>
  <c r="IP240" i="11"/>
  <c r="IQ240" i="11"/>
  <c r="IR240" i="11"/>
  <c r="IS240" i="11"/>
  <c r="IT240" i="11"/>
  <c r="IU240" i="11"/>
  <c r="IV240" i="11"/>
  <c r="F241" i="11"/>
  <c r="G241" i="11"/>
  <c r="H241" i="11"/>
  <c r="I241" i="11"/>
  <c r="J241" i="11"/>
  <c r="K241" i="11"/>
  <c r="L241" i="11"/>
  <c r="M241" i="11"/>
  <c r="N241" i="11"/>
  <c r="O241" i="11"/>
  <c r="P241" i="11"/>
  <c r="Q241" i="11"/>
  <c r="R241" i="11"/>
  <c r="S241" i="11"/>
  <c r="T241" i="11"/>
  <c r="U241" i="11"/>
  <c r="V241" i="11"/>
  <c r="W241" i="11"/>
  <c r="X241" i="11"/>
  <c r="Y241" i="11"/>
  <c r="Z241" i="11"/>
  <c r="AA241" i="11"/>
  <c r="AB241" i="11"/>
  <c r="AC241" i="11"/>
  <c r="AD241" i="11"/>
  <c r="AE241" i="11"/>
  <c r="AF241" i="11"/>
  <c r="AG241" i="11"/>
  <c r="AH241" i="11"/>
  <c r="AI241" i="11"/>
  <c r="AJ241" i="11"/>
  <c r="AK241" i="11"/>
  <c r="AL241" i="11"/>
  <c r="AM241" i="11"/>
  <c r="AN241" i="11"/>
  <c r="AO241" i="11"/>
  <c r="AP241" i="11"/>
  <c r="AQ241" i="11"/>
  <c r="AR241" i="11"/>
  <c r="AS241" i="11"/>
  <c r="AT241" i="11"/>
  <c r="AU241" i="11"/>
  <c r="AV241" i="11"/>
  <c r="AW241" i="11"/>
  <c r="AX241" i="11"/>
  <c r="AY241" i="11"/>
  <c r="AZ241" i="11"/>
  <c r="BA241" i="11"/>
  <c r="BB241" i="11"/>
  <c r="BC241" i="11"/>
  <c r="BD241" i="11"/>
  <c r="BE241" i="11"/>
  <c r="BF241" i="11"/>
  <c r="BG241" i="11"/>
  <c r="BH241" i="11"/>
  <c r="BI241" i="11"/>
  <c r="BJ241" i="11"/>
  <c r="BK241" i="11"/>
  <c r="BL241" i="11"/>
  <c r="BM241" i="11"/>
  <c r="BN241" i="11"/>
  <c r="BO241" i="11"/>
  <c r="BP241" i="11"/>
  <c r="BQ241" i="11"/>
  <c r="BR241" i="11"/>
  <c r="BS241" i="11"/>
  <c r="BT241" i="11"/>
  <c r="BU241" i="11"/>
  <c r="BV241" i="11"/>
  <c r="BW241" i="11"/>
  <c r="BX241" i="11"/>
  <c r="BY241" i="11"/>
  <c r="BZ241" i="11"/>
  <c r="CA241" i="11"/>
  <c r="CB241" i="11"/>
  <c r="CC241" i="11"/>
  <c r="CD241" i="11"/>
  <c r="CE241" i="11"/>
  <c r="CF241" i="11"/>
  <c r="CG241" i="11"/>
  <c r="CH241" i="11"/>
  <c r="CI241" i="11"/>
  <c r="CJ241" i="11"/>
  <c r="CK241" i="11"/>
  <c r="CL241" i="11"/>
  <c r="CM241" i="11"/>
  <c r="CN241" i="11"/>
  <c r="CO241" i="11"/>
  <c r="CP241" i="11"/>
  <c r="CQ241" i="11"/>
  <c r="CR241" i="11"/>
  <c r="CS241" i="11"/>
  <c r="CT241" i="11"/>
  <c r="CU241" i="11"/>
  <c r="CV241" i="11"/>
  <c r="CW241" i="11"/>
  <c r="CX241" i="11"/>
  <c r="CY241" i="11"/>
  <c r="CZ241" i="11"/>
  <c r="DA241" i="11"/>
  <c r="DB241" i="11"/>
  <c r="DC241" i="11"/>
  <c r="DD241" i="11"/>
  <c r="DE241" i="11"/>
  <c r="DF241" i="11"/>
  <c r="DG241" i="11"/>
  <c r="DH241" i="11"/>
  <c r="DI241" i="11"/>
  <c r="DJ241" i="11"/>
  <c r="DK241" i="11"/>
  <c r="DL241" i="11"/>
  <c r="DM241" i="11"/>
  <c r="DN241" i="11"/>
  <c r="DO241" i="11"/>
  <c r="DP241" i="11"/>
  <c r="DQ241" i="11"/>
  <c r="DR241" i="11"/>
  <c r="DS241" i="11"/>
  <c r="DT241" i="11"/>
  <c r="DU241" i="11"/>
  <c r="DV241" i="11"/>
  <c r="DW241" i="11"/>
  <c r="DX241" i="11"/>
  <c r="DY241" i="11"/>
  <c r="DZ241" i="11"/>
  <c r="EA241" i="11"/>
  <c r="EB241" i="11"/>
  <c r="EC241" i="11"/>
  <c r="ED241" i="11"/>
  <c r="EE241" i="11"/>
  <c r="EF241" i="11"/>
  <c r="EG241" i="11"/>
  <c r="EH241" i="11"/>
  <c r="EI241" i="11"/>
  <c r="EJ241" i="11"/>
  <c r="EK241" i="11"/>
  <c r="EL241" i="11"/>
  <c r="EM241" i="11"/>
  <c r="EN241" i="11"/>
  <c r="EO241" i="11"/>
  <c r="EP241" i="11"/>
  <c r="EQ241" i="11"/>
  <c r="ER241" i="11"/>
  <c r="ES241" i="11"/>
  <c r="ET241" i="11"/>
  <c r="EU241" i="11"/>
  <c r="EV241" i="11"/>
  <c r="EW241" i="11"/>
  <c r="EX241" i="11"/>
  <c r="EY241" i="11"/>
  <c r="EZ241" i="11"/>
  <c r="FA241" i="11"/>
  <c r="FB241" i="11"/>
  <c r="FC241" i="11"/>
  <c r="FD241" i="11"/>
  <c r="FE241" i="11"/>
  <c r="FF241" i="11"/>
  <c r="FG241" i="11"/>
  <c r="FH241" i="11"/>
  <c r="FI241" i="11"/>
  <c r="FJ241" i="11"/>
  <c r="FK241" i="11"/>
  <c r="FL241" i="11"/>
  <c r="FM241" i="11"/>
  <c r="FN241" i="11"/>
  <c r="FO241" i="11"/>
  <c r="FP241" i="11"/>
  <c r="FQ241" i="11"/>
  <c r="FR241" i="11"/>
  <c r="FS241" i="11"/>
  <c r="FT241" i="11"/>
  <c r="FU241" i="11"/>
  <c r="FV241" i="11"/>
  <c r="FW241" i="11"/>
  <c r="FX241" i="11"/>
  <c r="FY241" i="11"/>
  <c r="FZ241" i="11"/>
  <c r="GA241" i="11"/>
  <c r="GB241" i="11"/>
  <c r="GC241" i="11"/>
  <c r="GD241" i="11"/>
  <c r="GE241" i="11"/>
  <c r="GF241" i="11"/>
  <c r="GG241" i="11"/>
  <c r="GH241" i="11"/>
  <c r="GI241" i="11"/>
  <c r="GJ241" i="11"/>
  <c r="GK241" i="11"/>
  <c r="GL241" i="11"/>
  <c r="GM241" i="11"/>
  <c r="GN241" i="11"/>
  <c r="GO241" i="11"/>
  <c r="GP241" i="11"/>
  <c r="GQ241" i="11"/>
  <c r="GR241" i="11"/>
  <c r="GS241" i="11"/>
  <c r="GT241" i="11"/>
  <c r="GU241" i="11"/>
  <c r="GV241" i="11"/>
  <c r="GW241" i="11"/>
  <c r="GX241" i="11"/>
  <c r="GY241" i="11"/>
  <c r="GZ241" i="11"/>
  <c r="HA241" i="11"/>
  <c r="HB241" i="11"/>
  <c r="HC241" i="11"/>
  <c r="HD241" i="11"/>
  <c r="HE241" i="11"/>
  <c r="HF241" i="11"/>
  <c r="HG241" i="11"/>
  <c r="HH241" i="11"/>
  <c r="HI241" i="11"/>
  <c r="HJ241" i="11"/>
  <c r="HK241" i="11"/>
  <c r="HL241" i="11"/>
  <c r="HM241" i="11"/>
  <c r="HN241" i="11"/>
  <c r="HO241" i="11"/>
  <c r="HP241" i="11"/>
  <c r="HQ241" i="11"/>
  <c r="HR241" i="11"/>
  <c r="HS241" i="11"/>
  <c r="HT241" i="11"/>
  <c r="HU241" i="11"/>
  <c r="HV241" i="11"/>
  <c r="HW241" i="11"/>
  <c r="HX241" i="11"/>
  <c r="HY241" i="11"/>
  <c r="HZ241" i="11"/>
  <c r="IA241" i="11"/>
  <c r="IB241" i="11"/>
  <c r="IC241" i="11"/>
  <c r="ID241" i="11"/>
  <c r="IE241" i="11"/>
  <c r="IF241" i="11"/>
  <c r="IG241" i="11"/>
  <c r="IH241" i="11"/>
  <c r="II241" i="11"/>
  <c r="IJ241" i="11"/>
  <c r="IK241" i="11"/>
  <c r="IL241" i="11"/>
  <c r="IM241" i="11"/>
  <c r="IN241" i="11"/>
  <c r="IO241" i="11"/>
  <c r="IP241" i="11"/>
  <c r="IQ241" i="11"/>
  <c r="IR241" i="11"/>
  <c r="IS241" i="11"/>
  <c r="IT241" i="11"/>
  <c r="IU241" i="11"/>
  <c r="IV241" i="11"/>
  <c r="F242" i="11"/>
  <c r="G242" i="11"/>
  <c r="H242" i="11"/>
  <c r="I242" i="11"/>
  <c r="J242" i="11"/>
  <c r="K242" i="11"/>
  <c r="L242" i="11"/>
  <c r="M242" i="11"/>
  <c r="N242" i="11"/>
  <c r="O242" i="11"/>
  <c r="P242" i="11"/>
  <c r="Q242" i="11"/>
  <c r="R242" i="11"/>
  <c r="S242" i="11"/>
  <c r="T242" i="11"/>
  <c r="U242" i="11"/>
  <c r="V242" i="11"/>
  <c r="W242" i="11"/>
  <c r="X242" i="11"/>
  <c r="Y242" i="11"/>
  <c r="Z242" i="11"/>
  <c r="AA242" i="11"/>
  <c r="AB242" i="11"/>
  <c r="AC242" i="11"/>
  <c r="AD242" i="11"/>
  <c r="AE242" i="11"/>
  <c r="AF242" i="11"/>
  <c r="AG242" i="11"/>
  <c r="AH242" i="11"/>
  <c r="AI242" i="11"/>
  <c r="AJ242" i="11"/>
  <c r="AK242" i="11"/>
  <c r="AL242" i="11"/>
  <c r="AM242" i="11"/>
  <c r="AN242" i="11"/>
  <c r="AO242" i="11"/>
  <c r="AP242" i="11"/>
  <c r="AQ242" i="11"/>
  <c r="AR242" i="11"/>
  <c r="AS242" i="11"/>
  <c r="AT242" i="11"/>
  <c r="AU242" i="11"/>
  <c r="AV242" i="11"/>
  <c r="AW242" i="11"/>
  <c r="AX242" i="11"/>
  <c r="AY242" i="11"/>
  <c r="AZ242" i="11"/>
  <c r="BA242" i="11"/>
  <c r="BB242" i="11"/>
  <c r="BC242" i="11"/>
  <c r="BD242" i="11"/>
  <c r="BE242" i="11"/>
  <c r="BF242" i="11"/>
  <c r="BG242" i="11"/>
  <c r="BH242" i="11"/>
  <c r="BI242" i="11"/>
  <c r="BJ242" i="11"/>
  <c r="BK242" i="11"/>
  <c r="BL242" i="11"/>
  <c r="BM242" i="11"/>
  <c r="BN242" i="11"/>
  <c r="BO242" i="11"/>
  <c r="BP242" i="11"/>
  <c r="BQ242" i="11"/>
  <c r="BR242" i="11"/>
  <c r="BS242" i="11"/>
  <c r="BT242" i="11"/>
  <c r="BU242" i="11"/>
  <c r="BV242" i="11"/>
  <c r="BW242" i="11"/>
  <c r="BX242" i="11"/>
  <c r="BY242" i="11"/>
  <c r="BZ242" i="11"/>
  <c r="CA242" i="11"/>
  <c r="CB242" i="11"/>
  <c r="CC242" i="11"/>
  <c r="CD242" i="11"/>
  <c r="CE242" i="11"/>
  <c r="CF242" i="11"/>
  <c r="CG242" i="11"/>
  <c r="CH242" i="11"/>
  <c r="CI242" i="11"/>
  <c r="CJ242" i="11"/>
  <c r="CK242" i="11"/>
  <c r="CL242" i="11"/>
  <c r="CM242" i="11"/>
  <c r="CN242" i="11"/>
  <c r="CO242" i="11"/>
  <c r="CP242" i="11"/>
  <c r="CQ242" i="11"/>
  <c r="CR242" i="11"/>
  <c r="CS242" i="11"/>
  <c r="CT242" i="11"/>
  <c r="CU242" i="11"/>
  <c r="CV242" i="11"/>
  <c r="CW242" i="11"/>
  <c r="CX242" i="11"/>
  <c r="CY242" i="11"/>
  <c r="CZ242" i="11"/>
  <c r="DA242" i="11"/>
  <c r="DB242" i="11"/>
  <c r="DC242" i="11"/>
  <c r="DD242" i="11"/>
  <c r="DE242" i="11"/>
  <c r="DF242" i="11"/>
  <c r="DG242" i="11"/>
  <c r="DH242" i="11"/>
  <c r="DI242" i="11"/>
  <c r="DJ242" i="11"/>
  <c r="DK242" i="11"/>
  <c r="DL242" i="11"/>
  <c r="DM242" i="11"/>
  <c r="DN242" i="11"/>
  <c r="DO242" i="11"/>
  <c r="DP242" i="11"/>
  <c r="DQ242" i="11"/>
  <c r="DR242" i="11"/>
  <c r="DS242" i="11"/>
  <c r="DT242" i="11"/>
  <c r="DU242" i="11"/>
  <c r="DV242" i="11"/>
  <c r="DW242" i="11"/>
  <c r="DX242" i="11"/>
  <c r="DY242" i="11"/>
  <c r="DZ242" i="11"/>
  <c r="EA242" i="11"/>
  <c r="EB242" i="11"/>
  <c r="EC242" i="11"/>
  <c r="ED242" i="11"/>
  <c r="EE242" i="11"/>
  <c r="EF242" i="11"/>
  <c r="EG242" i="11"/>
  <c r="EH242" i="11"/>
  <c r="EI242" i="11"/>
  <c r="EJ242" i="11"/>
  <c r="EK242" i="11"/>
  <c r="EL242" i="11"/>
  <c r="EM242" i="11"/>
  <c r="EN242" i="11"/>
  <c r="EO242" i="11"/>
  <c r="EP242" i="11"/>
  <c r="EQ242" i="11"/>
  <c r="ER242" i="11"/>
  <c r="ES242" i="11"/>
  <c r="ET242" i="11"/>
  <c r="EU242" i="11"/>
  <c r="EV242" i="11"/>
  <c r="EW242" i="11"/>
  <c r="EX242" i="11"/>
  <c r="EY242" i="11"/>
  <c r="EZ242" i="11"/>
  <c r="FA242" i="11"/>
  <c r="FB242" i="11"/>
  <c r="FC242" i="11"/>
  <c r="FD242" i="11"/>
  <c r="FE242" i="11"/>
  <c r="FF242" i="11"/>
  <c r="FG242" i="11"/>
  <c r="FH242" i="11"/>
  <c r="FI242" i="11"/>
  <c r="FJ242" i="11"/>
  <c r="FK242" i="11"/>
  <c r="FL242" i="11"/>
  <c r="FM242" i="11"/>
  <c r="FN242" i="11"/>
  <c r="FO242" i="11"/>
  <c r="FP242" i="11"/>
  <c r="FQ242" i="11"/>
  <c r="FR242" i="11"/>
  <c r="FS242" i="11"/>
  <c r="FT242" i="11"/>
  <c r="FU242" i="11"/>
  <c r="FV242" i="11"/>
  <c r="FW242" i="11"/>
  <c r="FX242" i="11"/>
  <c r="FY242" i="11"/>
  <c r="FZ242" i="11"/>
  <c r="GA242" i="11"/>
  <c r="GB242" i="11"/>
  <c r="GC242" i="11"/>
  <c r="GD242" i="11"/>
  <c r="GE242" i="11"/>
  <c r="GF242" i="11"/>
  <c r="GG242" i="11"/>
  <c r="GH242" i="11"/>
  <c r="GI242" i="11"/>
  <c r="GJ242" i="11"/>
  <c r="GK242" i="11"/>
  <c r="GL242" i="11"/>
  <c r="GM242" i="11"/>
  <c r="GN242" i="11"/>
  <c r="GO242" i="11"/>
  <c r="GP242" i="11"/>
  <c r="GQ242" i="11"/>
  <c r="GR242" i="11"/>
  <c r="GS242" i="11"/>
  <c r="GT242" i="11"/>
  <c r="GU242" i="11"/>
  <c r="GV242" i="11"/>
  <c r="GW242" i="11"/>
  <c r="GX242" i="11"/>
  <c r="GY242" i="11"/>
  <c r="GZ242" i="11"/>
  <c r="HA242" i="11"/>
  <c r="HB242" i="11"/>
  <c r="HC242" i="11"/>
  <c r="HD242" i="11"/>
  <c r="HE242" i="11"/>
  <c r="HF242" i="11"/>
  <c r="HG242" i="11"/>
  <c r="HH242" i="11"/>
  <c r="HI242" i="11"/>
  <c r="HJ242" i="11"/>
  <c r="HK242" i="11"/>
  <c r="HL242" i="11"/>
  <c r="HM242" i="11"/>
  <c r="HN242" i="11"/>
  <c r="HO242" i="11"/>
  <c r="HP242" i="11"/>
  <c r="HQ242" i="11"/>
  <c r="HR242" i="11"/>
  <c r="HS242" i="11"/>
  <c r="HT242" i="11"/>
  <c r="HU242" i="11"/>
  <c r="HV242" i="11"/>
  <c r="HW242" i="11"/>
  <c r="HX242" i="11"/>
  <c r="HY242" i="11"/>
  <c r="HZ242" i="11"/>
  <c r="IA242" i="11"/>
  <c r="IB242" i="11"/>
  <c r="IC242" i="11"/>
  <c r="ID242" i="11"/>
  <c r="IE242" i="11"/>
  <c r="IF242" i="11"/>
  <c r="IG242" i="11"/>
  <c r="IH242" i="11"/>
  <c r="II242" i="11"/>
  <c r="IJ242" i="11"/>
  <c r="IK242" i="11"/>
  <c r="IL242" i="11"/>
  <c r="IM242" i="11"/>
  <c r="IN242" i="11"/>
  <c r="IO242" i="11"/>
  <c r="IP242" i="11"/>
  <c r="IQ242" i="11"/>
  <c r="IR242" i="11"/>
  <c r="IS242" i="11"/>
  <c r="IT242" i="11"/>
  <c r="IU242" i="11"/>
  <c r="IV242" i="11"/>
  <c r="F243" i="11"/>
  <c r="G243" i="11"/>
  <c r="H243" i="11"/>
  <c r="I243" i="11"/>
  <c r="J243" i="11"/>
  <c r="K243" i="11"/>
  <c r="L243" i="11"/>
  <c r="M243" i="11"/>
  <c r="N243" i="11"/>
  <c r="O243" i="11"/>
  <c r="P243" i="11"/>
  <c r="Q243" i="11"/>
  <c r="R243" i="11"/>
  <c r="S243" i="11"/>
  <c r="T243" i="11"/>
  <c r="U243" i="11"/>
  <c r="V243" i="11"/>
  <c r="W243" i="11"/>
  <c r="X243" i="11"/>
  <c r="Y243" i="11"/>
  <c r="Z243" i="11"/>
  <c r="AA243" i="11"/>
  <c r="AB243" i="11"/>
  <c r="AC243" i="11"/>
  <c r="AD243" i="11"/>
  <c r="AE243" i="11"/>
  <c r="AF243" i="11"/>
  <c r="AG243" i="11"/>
  <c r="AH243" i="11"/>
  <c r="AI243" i="11"/>
  <c r="AJ243" i="11"/>
  <c r="AK243" i="11"/>
  <c r="AL243" i="11"/>
  <c r="AM243" i="11"/>
  <c r="AN243" i="11"/>
  <c r="AO243" i="11"/>
  <c r="AP243" i="11"/>
  <c r="AQ243" i="11"/>
  <c r="AR243" i="11"/>
  <c r="AS243" i="11"/>
  <c r="AT243" i="11"/>
  <c r="AU243" i="11"/>
  <c r="AV243" i="11"/>
  <c r="AW243" i="11"/>
  <c r="AX243" i="11"/>
  <c r="AY243" i="11"/>
  <c r="AZ243" i="11"/>
  <c r="BA243" i="11"/>
  <c r="BB243" i="11"/>
  <c r="BC243" i="11"/>
  <c r="BD243" i="11"/>
  <c r="BE243" i="11"/>
  <c r="BF243" i="11"/>
  <c r="BG243" i="11"/>
  <c r="BH243" i="11"/>
  <c r="BI243" i="11"/>
  <c r="BJ243" i="11"/>
  <c r="BK243" i="11"/>
  <c r="BL243" i="11"/>
  <c r="BM243" i="11"/>
  <c r="BN243" i="11"/>
  <c r="BO243" i="11"/>
  <c r="BP243" i="11"/>
  <c r="BQ243" i="11"/>
  <c r="BR243" i="11"/>
  <c r="BS243" i="11"/>
  <c r="BT243" i="11"/>
  <c r="BU243" i="11"/>
  <c r="BV243" i="11"/>
  <c r="BW243" i="11"/>
  <c r="BX243" i="11"/>
  <c r="BY243" i="11"/>
  <c r="BZ243" i="11"/>
  <c r="CA243" i="11"/>
  <c r="CB243" i="11"/>
  <c r="CC243" i="11"/>
  <c r="CD243" i="11"/>
  <c r="CE243" i="11"/>
  <c r="CF243" i="11"/>
  <c r="CG243" i="11"/>
  <c r="CH243" i="11"/>
  <c r="CI243" i="11"/>
  <c r="CJ243" i="11"/>
  <c r="CK243" i="11"/>
  <c r="CL243" i="11"/>
  <c r="CM243" i="11"/>
  <c r="CN243" i="11"/>
  <c r="CO243" i="11"/>
  <c r="CP243" i="11"/>
  <c r="CQ243" i="11"/>
  <c r="CR243" i="11"/>
  <c r="CS243" i="11"/>
  <c r="CT243" i="11"/>
  <c r="CU243" i="11"/>
  <c r="CV243" i="11"/>
  <c r="CW243" i="11"/>
  <c r="CX243" i="11"/>
  <c r="CY243" i="11"/>
  <c r="CZ243" i="11"/>
  <c r="DA243" i="11"/>
  <c r="DB243" i="11"/>
  <c r="DC243" i="11"/>
  <c r="DD243" i="11"/>
  <c r="DE243" i="11"/>
  <c r="DF243" i="11"/>
  <c r="DG243" i="11"/>
  <c r="DH243" i="11"/>
  <c r="DI243" i="11"/>
  <c r="DJ243" i="11"/>
  <c r="DK243" i="11"/>
  <c r="DL243" i="11"/>
  <c r="DM243" i="11"/>
  <c r="DN243" i="11"/>
  <c r="DO243" i="11"/>
  <c r="DP243" i="11"/>
  <c r="DQ243" i="11"/>
  <c r="DR243" i="11"/>
  <c r="DS243" i="11"/>
  <c r="DT243" i="11"/>
  <c r="DU243" i="11"/>
  <c r="DV243" i="11"/>
  <c r="DW243" i="11"/>
  <c r="DX243" i="11"/>
  <c r="DY243" i="11"/>
  <c r="DZ243" i="11"/>
  <c r="EA243" i="11"/>
  <c r="EB243" i="11"/>
  <c r="EC243" i="11"/>
  <c r="ED243" i="11"/>
  <c r="EE243" i="11"/>
  <c r="EF243" i="11"/>
  <c r="EG243" i="11"/>
  <c r="EH243" i="11"/>
  <c r="EI243" i="11"/>
  <c r="EJ243" i="11"/>
  <c r="EK243" i="11"/>
  <c r="EL243" i="11"/>
  <c r="EM243" i="11"/>
  <c r="EN243" i="11"/>
  <c r="EO243" i="11"/>
  <c r="EP243" i="11"/>
  <c r="EQ243" i="11"/>
  <c r="ER243" i="11"/>
  <c r="ES243" i="11"/>
  <c r="ET243" i="11"/>
  <c r="EU243" i="11"/>
  <c r="EV243" i="11"/>
  <c r="EW243" i="11"/>
  <c r="EX243" i="11"/>
  <c r="EY243" i="11"/>
  <c r="EZ243" i="11"/>
  <c r="FA243" i="11"/>
  <c r="FB243" i="11"/>
  <c r="FC243" i="11"/>
  <c r="FD243" i="11"/>
  <c r="FE243" i="11"/>
  <c r="FF243" i="11"/>
  <c r="FG243" i="11"/>
  <c r="FH243" i="11"/>
  <c r="FI243" i="11"/>
  <c r="FJ243" i="11"/>
  <c r="FK243" i="11"/>
  <c r="FL243" i="11"/>
  <c r="FM243" i="11"/>
  <c r="FN243" i="11"/>
  <c r="FO243" i="11"/>
  <c r="FP243" i="11"/>
  <c r="FQ243" i="11"/>
  <c r="FR243" i="11"/>
  <c r="FS243" i="11"/>
  <c r="FT243" i="11"/>
  <c r="FU243" i="11"/>
  <c r="FV243" i="11"/>
  <c r="FW243" i="11"/>
  <c r="FX243" i="11"/>
  <c r="FY243" i="11"/>
  <c r="FZ243" i="11"/>
  <c r="GA243" i="11"/>
  <c r="GB243" i="11"/>
  <c r="GC243" i="11"/>
  <c r="GD243" i="11"/>
  <c r="GE243" i="11"/>
  <c r="GF243" i="11"/>
  <c r="GG243" i="11"/>
  <c r="GH243" i="11"/>
  <c r="GI243" i="11"/>
  <c r="GJ243" i="11"/>
  <c r="GK243" i="11"/>
  <c r="GL243" i="11"/>
  <c r="GM243" i="11"/>
  <c r="GN243" i="11"/>
  <c r="GO243" i="11"/>
  <c r="GP243" i="11"/>
  <c r="GQ243" i="11"/>
  <c r="GR243" i="11"/>
  <c r="GS243" i="11"/>
  <c r="GT243" i="11"/>
  <c r="GU243" i="11"/>
  <c r="GV243" i="11"/>
  <c r="GW243" i="11"/>
  <c r="GX243" i="11"/>
  <c r="GY243" i="11"/>
  <c r="GZ243" i="11"/>
  <c r="HA243" i="11"/>
  <c r="HB243" i="11"/>
  <c r="HC243" i="11"/>
  <c r="HD243" i="11"/>
  <c r="HE243" i="11"/>
  <c r="HF243" i="11"/>
  <c r="HG243" i="11"/>
  <c r="HH243" i="11"/>
  <c r="HI243" i="11"/>
  <c r="HJ243" i="11"/>
  <c r="HK243" i="11"/>
  <c r="HL243" i="11"/>
  <c r="HM243" i="11"/>
  <c r="HN243" i="11"/>
  <c r="HO243" i="11"/>
  <c r="HP243" i="11"/>
  <c r="HQ243" i="11"/>
  <c r="HR243" i="11"/>
  <c r="HS243" i="11"/>
  <c r="HT243" i="11"/>
  <c r="HU243" i="11"/>
  <c r="HV243" i="11"/>
  <c r="HW243" i="11"/>
  <c r="HX243" i="11"/>
  <c r="HY243" i="11"/>
  <c r="HZ243" i="11"/>
  <c r="IA243" i="11"/>
  <c r="IB243" i="11"/>
  <c r="IC243" i="11"/>
  <c r="ID243" i="11"/>
  <c r="IE243" i="11"/>
  <c r="IF243" i="11"/>
  <c r="IG243" i="11"/>
  <c r="IH243" i="11"/>
  <c r="II243" i="11"/>
  <c r="IJ243" i="11"/>
  <c r="IK243" i="11"/>
  <c r="IL243" i="11"/>
  <c r="IM243" i="11"/>
  <c r="IN243" i="11"/>
  <c r="IO243" i="11"/>
  <c r="IP243" i="11"/>
  <c r="IQ243" i="11"/>
  <c r="IR243" i="11"/>
  <c r="IS243" i="11"/>
  <c r="IT243" i="11"/>
  <c r="IU243" i="11"/>
  <c r="IV243" i="11"/>
  <c r="F244" i="11"/>
  <c r="G244" i="11"/>
  <c r="H244" i="11"/>
  <c r="I244" i="11"/>
  <c r="J244" i="11"/>
  <c r="K244" i="11"/>
  <c r="L244" i="11"/>
  <c r="M244" i="11"/>
  <c r="N244" i="11"/>
  <c r="O244" i="11"/>
  <c r="P244" i="11"/>
  <c r="Q244" i="11"/>
  <c r="R244" i="11"/>
  <c r="S244" i="11"/>
  <c r="T244" i="11"/>
  <c r="U244" i="11"/>
  <c r="V244" i="11"/>
  <c r="W244" i="11"/>
  <c r="X244" i="11"/>
  <c r="Y244" i="11"/>
  <c r="Z244" i="11"/>
  <c r="AA244" i="11"/>
  <c r="AB244" i="11"/>
  <c r="AC244" i="11"/>
  <c r="AD244" i="11"/>
  <c r="AE244" i="11"/>
  <c r="AF244" i="11"/>
  <c r="AG244" i="11"/>
  <c r="AH244" i="11"/>
  <c r="AI244" i="11"/>
  <c r="AJ244" i="11"/>
  <c r="AK244" i="11"/>
  <c r="AL244" i="11"/>
  <c r="AM244" i="11"/>
  <c r="AN244" i="11"/>
  <c r="AO244" i="11"/>
  <c r="AP244" i="11"/>
  <c r="AQ244" i="11"/>
  <c r="AR244" i="11"/>
  <c r="AS244" i="11"/>
  <c r="AT244" i="11"/>
  <c r="AU244" i="11"/>
  <c r="AV244" i="11"/>
  <c r="AW244" i="11"/>
  <c r="AX244" i="11"/>
  <c r="AY244" i="11"/>
  <c r="AZ244" i="11"/>
  <c r="BA244" i="11"/>
  <c r="BB244" i="11"/>
  <c r="BC244" i="11"/>
  <c r="BD244" i="11"/>
  <c r="BE244" i="11"/>
  <c r="BF244" i="11"/>
  <c r="BG244" i="11"/>
  <c r="BH244" i="11"/>
  <c r="BI244" i="11"/>
  <c r="BJ244" i="11"/>
  <c r="BK244" i="11"/>
  <c r="BL244" i="11"/>
  <c r="BM244" i="11"/>
  <c r="BN244" i="11"/>
  <c r="BO244" i="11"/>
  <c r="BP244" i="11"/>
  <c r="BQ244" i="11"/>
  <c r="BR244" i="11"/>
  <c r="BS244" i="11"/>
  <c r="BT244" i="11"/>
  <c r="BU244" i="11"/>
  <c r="BV244" i="11"/>
  <c r="BW244" i="11"/>
  <c r="BX244" i="11"/>
  <c r="BY244" i="11"/>
  <c r="BZ244" i="11"/>
  <c r="CA244" i="11"/>
  <c r="CB244" i="11"/>
  <c r="CC244" i="11"/>
  <c r="CD244" i="11"/>
  <c r="CE244" i="11"/>
  <c r="CF244" i="11"/>
  <c r="CG244" i="11"/>
  <c r="CH244" i="11"/>
  <c r="CI244" i="11"/>
  <c r="CJ244" i="11"/>
  <c r="CK244" i="11"/>
  <c r="CL244" i="11"/>
  <c r="CM244" i="11"/>
  <c r="CN244" i="11"/>
  <c r="CO244" i="11"/>
  <c r="CP244" i="11"/>
  <c r="CQ244" i="11"/>
  <c r="CR244" i="11"/>
  <c r="CS244" i="11"/>
  <c r="CT244" i="11"/>
  <c r="CU244" i="11"/>
  <c r="CV244" i="11"/>
  <c r="CW244" i="11"/>
  <c r="CX244" i="11"/>
  <c r="CY244" i="11"/>
  <c r="CZ244" i="11"/>
  <c r="DA244" i="11"/>
  <c r="DB244" i="11"/>
  <c r="DC244" i="11"/>
  <c r="DD244" i="11"/>
  <c r="DE244" i="11"/>
  <c r="DF244" i="11"/>
  <c r="DG244" i="11"/>
  <c r="DH244" i="11"/>
  <c r="DI244" i="11"/>
  <c r="DJ244" i="11"/>
  <c r="DK244" i="11"/>
  <c r="DL244" i="11"/>
  <c r="DM244" i="11"/>
  <c r="DN244" i="11"/>
  <c r="DO244" i="11"/>
  <c r="DP244" i="11"/>
  <c r="DQ244" i="11"/>
  <c r="DR244" i="11"/>
  <c r="DS244" i="11"/>
  <c r="DT244" i="11"/>
  <c r="DU244" i="11"/>
  <c r="DV244" i="11"/>
  <c r="DW244" i="11"/>
  <c r="DX244" i="11"/>
  <c r="DY244" i="11"/>
  <c r="DZ244" i="11"/>
  <c r="EA244" i="11"/>
  <c r="EB244" i="11"/>
  <c r="EC244" i="11"/>
  <c r="ED244" i="11"/>
  <c r="EE244" i="11"/>
  <c r="EF244" i="11"/>
  <c r="EG244" i="11"/>
  <c r="EH244" i="11"/>
  <c r="EI244" i="11"/>
  <c r="EJ244" i="11"/>
  <c r="EK244" i="11"/>
  <c r="EL244" i="11"/>
  <c r="EM244" i="11"/>
  <c r="EN244" i="11"/>
  <c r="EO244" i="11"/>
  <c r="EP244" i="11"/>
  <c r="EQ244" i="11"/>
  <c r="ER244" i="11"/>
  <c r="ES244" i="11"/>
  <c r="ET244" i="11"/>
  <c r="EU244" i="11"/>
  <c r="EV244" i="11"/>
  <c r="EW244" i="11"/>
  <c r="EX244" i="11"/>
  <c r="EY244" i="11"/>
  <c r="EZ244" i="11"/>
  <c r="FA244" i="11"/>
  <c r="FB244" i="11"/>
  <c r="FC244" i="11"/>
  <c r="FD244" i="11"/>
  <c r="FE244" i="11"/>
  <c r="FF244" i="11"/>
  <c r="FG244" i="11"/>
  <c r="FH244" i="11"/>
  <c r="FI244" i="11"/>
  <c r="FJ244" i="11"/>
  <c r="FK244" i="11"/>
  <c r="FL244" i="11"/>
  <c r="FM244" i="11"/>
  <c r="FN244" i="11"/>
  <c r="FO244" i="11"/>
  <c r="FP244" i="11"/>
  <c r="FQ244" i="11"/>
  <c r="FR244" i="11"/>
  <c r="FS244" i="11"/>
  <c r="FT244" i="11"/>
  <c r="FU244" i="11"/>
  <c r="FV244" i="11"/>
  <c r="FW244" i="11"/>
  <c r="FX244" i="11"/>
  <c r="FY244" i="11"/>
  <c r="FZ244" i="11"/>
  <c r="GA244" i="11"/>
  <c r="GB244" i="11"/>
  <c r="GC244" i="11"/>
  <c r="GD244" i="11"/>
  <c r="GE244" i="11"/>
  <c r="GF244" i="11"/>
  <c r="GG244" i="11"/>
  <c r="GH244" i="11"/>
  <c r="GI244" i="11"/>
  <c r="GJ244" i="11"/>
  <c r="GK244" i="11"/>
  <c r="GL244" i="11"/>
  <c r="GM244" i="11"/>
  <c r="GN244" i="11"/>
  <c r="GO244" i="11"/>
  <c r="GP244" i="11"/>
  <c r="GQ244" i="11"/>
  <c r="GR244" i="11"/>
  <c r="GS244" i="11"/>
  <c r="GT244" i="11"/>
  <c r="GU244" i="11"/>
  <c r="GV244" i="11"/>
  <c r="GW244" i="11"/>
  <c r="GX244" i="11"/>
  <c r="GY244" i="11"/>
  <c r="GZ244" i="11"/>
  <c r="HA244" i="11"/>
  <c r="HB244" i="11"/>
  <c r="HC244" i="11"/>
  <c r="HD244" i="11"/>
  <c r="HE244" i="11"/>
  <c r="HF244" i="11"/>
  <c r="HG244" i="11"/>
  <c r="HH244" i="11"/>
  <c r="HI244" i="11"/>
  <c r="HJ244" i="11"/>
  <c r="HK244" i="11"/>
  <c r="HL244" i="11"/>
  <c r="HM244" i="11"/>
  <c r="HN244" i="11"/>
  <c r="HO244" i="11"/>
  <c r="HP244" i="11"/>
  <c r="HQ244" i="11"/>
  <c r="HR244" i="11"/>
  <c r="HS244" i="11"/>
  <c r="HT244" i="11"/>
  <c r="HU244" i="11"/>
  <c r="HV244" i="11"/>
  <c r="HW244" i="11"/>
  <c r="HX244" i="11"/>
  <c r="HY244" i="11"/>
  <c r="HZ244" i="11"/>
  <c r="IA244" i="11"/>
  <c r="IB244" i="11"/>
  <c r="IC244" i="11"/>
  <c r="ID244" i="11"/>
  <c r="IE244" i="11"/>
  <c r="IF244" i="11"/>
  <c r="IG244" i="11"/>
  <c r="IH244" i="11"/>
  <c r="II244" i="11"/>
  <c r="IJ244" i="11"/>
  <c r="IK244" i="11"/>
  <c r="IL244" i="11"/>
  <c r="IM244" i="11"/>
  <c r="IN244" i="11"/>
  <c r="IO244" i="11"/>
  <c r="IP244" i="11"/>
  <c r="IQ244" i="11"/>
  <c r="IR244" i="11"/>
  <c r="IS244" i="11"/>
  <c r="IT244" i="11"/>
  <c r="IU244" i="11"/>
  <c r="IV244" i="11"/>
  <c r="F245" i="11"/>
  <c r="G245" i="11"/>
  <c r="H245" i="11"/>
  <c r="I245" i="11"/>
  <c r="J245" i="11"/>
  <c r="K245" i="11"/>
  <c r="L245" i="11"/>
  <c r="M245" i="11"/>
  <c r="N245" i="11"/>
  <c r="O245" i="11"/>
  <c r="P245" i="11"/>
  <c r="Q245" i="11"/>
  <c r="R245" i="11"/>
  <c r="S245" i="11"/>
  <c r="T245" i="11"/>
  <c r="U245" i="11"/>
  <c r="V245" i="11"/>
  <c r="W245" i="11"/>
  <c r="X245" i="11"/>
  <c r="Y245" i="11"/>
  <c r="Z245" i="11"/>
  <c r="AA245" i="11"/>
  <c r="AB245" i="11"/>
  <c r="AC245" i="11"/>
  <c r="AD245" i="11"/>
  <c r="AE245" i="11"/>
  <c r="AF245" i="11"/>
  <c r="AG245" i="11"/>
  <c r="AH245" i="11"/>
  <c r="AI245" i="11"/>
  <c r="AJ245" i="11"/>
  <c r="AK245" i="11"/>
  <c r="AL245" i="11"/>
  <c r="AM245" i="11"/>
  <c r="AN245" i="11"/>
  <c r="AO245" i="11"/>
  <c r="AP245" i="11"/>
  <c r="AQ245" i="11"/>
  <c r="AR245" i="11"/>
  <c r="AS245" i="11"/>
  <c r="AT245" i="11"/>
  <c r="AU245" i="11"/>
  <c r="AV245" i="11"/>
  <c r="AW245" i="11"/>
  <c r="AX245" i="11"/>
  <c r="AY245" i="11"/>
  <c r="AZ245" i="11"/>
  <c r="BA245" i="11"/>
  <c r="BB245" i="11"/>
  <c r="BC245" i="11"/>
  <c r="BD245" i="11"/>
  <c r="BE245" i="11"/>
  <c r="BF245" i="11"/>
  <c r="BG245" i="11"/>
  <c r="BH245" i="11"/>
  <c r="BI245" i="11"/>
  <c r="BJ245" i="11"/>
  <c r="BK245" i="11"/>
  <c r="BL245" i="11"/>
  <c r="BM245" i="11"/>
  <c r="BN245" i="11"/>
  <c r="BO245" i="11"/>
  <c r="BP245" i="11"/>
  <c r="BQ245" i="11"/>
  <c r="BR245" i="11"/>
  <c r="BS245" i="11"/>
  <c r="BT245" i="11"/>
  <c r="BU245" i="11"/>
  <c r="BV245" i="11"/>
  <c r="BW245" i="11"/>
  <c r="BX245" i="11"/>
  <c r="BY245" i="11"/>
  <c r="BZ245" i="11"/>
  <c r="CA245" i="11"/>
  <c r="CB245" i="11"/>
  <c r="CC245" i="11"/>
  <c r="CD245" i="11"/>
  <c r="CE245" i="11"/>
  <c r="CF245" i="11"/>
  <c r="CG245" i="11"/>
  <c r="CH245" i="11"/>
  <c r="CI245" i="11"/>
  <c r="CJ245" i="11"/>
  <c r="CK245" i="11"/>
  <c r="CL245" i="11"/>
  <c r="CM245" i="11"/>
  <c r="CN245" i="11"/>
  <c r="CO245" i="11"/>
  <c r="CP245" i="11"/>
  <c r="CQ245" i="11"/>
  <c r="CR245" i="11"/>
  <c r="CS245" i="11"/>
  <c r="CT245" i="11"/>
  <c r="CU245" i="11"/>
  <c r="CV245" i="11"/>
  <c r="CW245" i="11"/>
  <c r="CX245" i="11"/>
  <c r="CY245" i="11"/>
  <c r="CZ245" i="11"/>
  <c r="DA245" i="11"/>
  <c r="DB245" i="11"/>
  <c r="DC245" i="11"/>
  <c r="DD245" i="11"/>
  <c r="DE245" i="11"/>
  <c r="DF245" i="11"/>
  <c r="DG245" i="11"/>
  <c r="DH245" i="11"/>
  <c r="DI245" i="11"/>
  <c r="DJ245" i="11"/>
  <c r="DK245" i="11"/>
  <c r="DL245" i="11"/>
  <c r="DM245" i="11"/>
  <c r="DN245" i="11"/>
  <c r="DO245" i="11"/>
  <c r="DP245" i="11"/>
  <c r="DQ245" i="11"/>
  <c r="DR245" i="11"/>
  <c r="DS245" i="11"/>
  <c r="DT245" i="11"/>
  <c r="DU245" i="11"/>
  <c r="DV245" i="11"/>
  <c r="DW245" i="11"/>
  <c r="DX245" i="11"/>
  <c r="DY245" i="11"/>
  <c r="DZ245" i="11"/>
  <c r="EA245" i="11"/>
  <c r="EB245" i="11"/>
  <c r="EC245" i="11"/>
  <c r="ED245" i="11"/>
  <c r="EE245" i="11"/>
  <c r="EF245" i="11"/>
  <c r="EG245" i="11"/>
  <c r="EH245" i="11"/>
  <c r="EI245" i="11"/>
  <c r="EJ245" i="11"/>
  <c r="EK245" i="11"/>
  <c r="EL245" i="11"/>
  <c r="EM245" i="11"/>
  <c r="EN245" i="11"/>
  <c r="EO245" i="11"/>
  <c r="EP245" i="11"/>
  <c r="EQ245" i="11"/>
  <c r="ER245" i="11"/>
  <c r="ES245" i="11"/>
  <c r="ET245" i="11"/>
  <c r="EU245" i="11"/>
  <c r="EV245" i="11"/>
  <c r="EW245" i="11"/>
  <c r="EX245" i="11"/>
  <c r="EY245" i="11"/>
  <c r="EZ245" i="11"/>
  <c r="FA245" i="11"/>
  <c r="FB245" i="11"/>
  <c r="FC245" i="11"/>
  <c r="FD245" i="11"/>
  <c r="FE245" i="11"/>
  <c r="FF245" i="11"/>
  <c r="FG245" i="11"/>
  <c r="FH245" i="11"/>
  <c r="FI245" i="11"/>
  <c r="FJ245" i="11"/>
  <c r="FK245" i="11"/>
  <c r="FL245" i="11"/>
  <c r="FM245" i="11"/>
  <c r="FN245" i="11"/>
  <c r="FO245" i="11"/>
  <c r="FP245" i="11"/>
  <c r="FQ245" i="11"/>
  <c r="FR245" i="11"/>
  <c r="FS245" i="11"/>
  <c r="FT245" i="11"/>
  <c r="FU245" i="11"/>
  <c r="FV245" i="11"/>
  <c r="FW245" i="11"/>
  <c r="FX245" i="11"/>
  <c r="FY245" i="11"/>
  <c r="FZ245" i="11"/>
  <c r="GA245" i="11"/>
  <c r="GB245" i="11"/>
  <c r="GC245" i="11"/>
  <c r="GD245" i="11"/>
  <c r="GE245" i="11"/>
  <c r="GF245" i="11"/>
  <c r="GG245" i="11"/>
  <c r="GH245" i="11"/>
  <c r="GI245" i="11"/>
  <c r="GJ245" i="11"/>
  <c r="GK245" i="11"/>
  <c r="GL245" i="11"/>
  <c r="GM245" i="11"/>
  <c r="GN245" i="11"/>
  <c r="GO245" i="11"/>
  <c r="GP245" i="11"/>
  <c r="GQ245" i="11"/>
  <c r="GR245" i="11"/>
  <c r="GS245" i="11"/>
  <c r="GT245" i="11"/>
  <c r="GU245" i="11"/>
  <c r="GV245" i="11"/>
  <c r="GW245" i="11"/>
  <c r="GX245" i="11"/>
  <c r="GY245" i="11"/>
  <c r="GZ245" i="11"/>
  <c r="HA245" i="11"/>
  <c r="HB245" i="11"/>
  <c r="HC245" i="11"/>
  <c r="HD245" i="11"/>
  <c r="HE245" i="11"/>
  <c r="HF245" i="11"/>
  <c r="HG245" i="11"/>
  <c r="HH245" i="11"/>
  <c r="HI245" i="11"/>
  <c r="HJ245" i="11"/>
  <c r="HK245" i="11"/>
  <c r="HL245" i="11"/>
  <c r="HM245" i="11"/>
  <c r="HN245" i="11"/>
  <c r="HO245" i="11"/>
  <c r="HP245" i="11"/>
  <c r="HQ245" i="11"/>
  <c r="HR245" i="11"/>
  <c r="HS245" i="11"/>
  <c r="HT245" i="11"/>
  <c r="HU245" i="11"/>
  <c r="HV245" i="11"/>
  <c r="HW245" i="11"/>
  <c r="HX245" i="11"/>
  <c r="HY245" i="11"/>
  <c r="HZ245" i="11"/>
  <c r="IA245" i="11"/>
  <c r="IB245" i="11"/>
  <c r="IC245" i="11"/>
  <c r="ID245" i="11"/>
  <c r="IE245" i="11"/>
  <c r="IF245" i="11"/>
  <c r="IG245" i="11"/>
  <c r="IH245" i="11"/>
  <c r="II245" i="11"/>
  <c r="IJ245" i="11"/>
  <c r="IK245" i="11"/>
  <c r="IL245" i="11"/>
  <c r="IM245" i="11"/>
  <c r="IN245" i="11"/>
  <c r="IO245" i="11"/>
  <c r="IP245" i="11"/>
  <c r="IQ245" i="11"/>
  <c r="IR245" i="11"/>
  <c r="IS245" i="11"/>
  <c r="IT245" i="11"/>
  <c r="IU245" i="11"/>
  <c r="IV245" i="11"/>
  <c r="F246" i="11"/>
  <c r="G246" i="11"/>
  <c r="H246" i="11"/>
  <c r="I246" i="11"/>
  <c r="J246" i="11"/>
  <c r="K246" i="11"/>
  <c r="L246" i="11"/>
  <c r="M246" i="11"/>
  <c r="N246" i="11"/>
  <c r="O246" i="11"/>
  <c r="P246" i="11"/>
  <c r="Q246" i="11"/>
  <c r="R246" i="11"/>
  <c r="S246" i="11"/>
  <c r="T246" i="11"/>
  <c r="U246" i="11"/>
  <c r="V246" i="11"/>
  <c r="W246" i="11"/>
  <c r="X246" i="11"/>
  <c r="Y246" i="11"/>
  <c r="Z246" i="11"/>
  <c r="AA246" i="11"/>
  <c r="AB246" i="11"/>
  <c r="AC246" i="11"/>
  <c r="AD246" i="11"/>
  <c r="AE246" i="11"/>
  <c r="AF246" i="11"/>
  <c r="AG246" i="11"/>
  <c r="AH246" i="11"/>
  <c r="AI246" i="11"/>
  <c r="AJ246" i="11"/>
  <c r="AK246" i="11"/>
  <c r="AL246" i="11"/>
  <c r="AM246" i="11"/>
  <c r="AN246" i="11"/>
  <c r="AO246" i="11"/>
  <c r="AP246" i="11"/>
  <c r="AQ246" i="11"/>
  <c r="AR246" i="11"/>
  <c r="AS246" i="11"/>
  <c r="AT246" i="11"/>
  <c r="AU246" i="11"/>
  <c r="AV246" i="11"/>
  <c r="AW246" i="11"/>
  <c r="AX246" i="11"/>
  <c r="AY246" i="11"/>
  <c r="AZ246" i="11"/>
  <c r="BA246" i="11"/>
  <c r="BB246" i="11"/>
  <c r="BC246" i="11"/>
  <c r="BD246" i="11"/>
  <c r="BE246" i="11"/>
  <c r="BF246" i="11"/>
  <c r="BG246" i="11"/>
  <c r="BH246" i="11"/>
  <c r="BI246" i="11"/>
  <c r="BJ246" i="11"/>
  <c r="BK246" i="11"/>
  <c r="BL246" i="11"/>
  <c r="BM246" i="11"/>
  <c r="BN246" i="11"/>
  <c r="BO246" i="11"/>
  <c r="BP246" i="11"/>
  <c r="BQ246" i="11"/>
  <c r="BR246" i="11"/>
  <c r="BS246" i="11"/>
  <c r="BT246" i="11"/>
  <c r="BU246" i="11"/>
  <c r="BV246" i="11"/>
  <c r="BW246" i="11"/>
  <c r="BX246" i="11"/>
  <c r="BY246" i="11"/>
  <c r="BZ246" i="11"/>
  <c r="CA246" i="11"/>
  <c r="CB246" i="11"/>
  <c r="CC246" i="11"/>
  <c r="CD246" i="11"/>
  <c r="CE246" i="11"/>
  <c r="CF246" i="11"/>
  <c r="CG246" i="11"/>
  <c r="CH246" i="11"/>
  <c r="CI246" i="11"/>
  <c r="CJ246" i="11"/>
  <c r="CK246" i="11"/>
  <c r="CL246" i="11"/>
  <c r="CM246" i="11"/>
  <c r="CN246" i="11"/>
  <c r="CO246" i="11"/>
  <c r="CP246" i="11"/>
  <c r="CQ246" i="11"/>
  <c r="CR246" i="11"/>
  <c r="CS246" i="11"/>
  <c r="CT246" i="11"/>
  <c r="CU246" i="11"/>
  <c r="CV246" i="11"/>
  <c r="CW246" i="11"/>
  <c r="CX246" i="11"/>
  <c r="CY246" i="11"/>
  <c r="CZ246" i="11"/>
  <c r="DA246" i="11"/>
  <c r="DB246" i="11"/>
  <c r="DC246" i="11"/>
  <c r="DD246" i="11"/>
  <c r="DE246" i="11"/>
  <c r="DF246" i="11"/>
  <c r="DG246" i="11"/>
  <c r="DH246" i="11"/>
  <c r="DI246" i="11"/>
  <c r="DJ246" i="11"/>
  <c r="DK246" i="11"/>
  <c r="DL246" i="11"/>
  <c r="DM246" i="11"/>
  <c r="DN246" i="11"/>
  <c r="DO246" i="11"/>
  <c r="DP246" i="11"/>
  <c r="DQ246" i="11"/>
  <c r="DR246" i="11"/>
  <c r="DS246" i="11"/>
  <c r="DT246" i="11"/>
  <c r="DU246" i="11"/>
  <c r="DV246" i="11"/>
  <c r="DW246" i="11"/>
  <c r="DX246" i="11"/>
  <c r="DY246" i="11"/>
  <c r="DZ246" i="11"/>
  <c r="EA246" i="11"/>
  <c r="EB246" i="11"/>
  <c r="EC246" i="11"/>
  <c r="ED246" i="11"/>
  <c r="EE246" i="11"/>
  <c r="EF246" i="11"/>
  <c r="EG246" i="11"/>
  <c r="EH246" i="11"/>
  <c r="EI246" i="11"/>
  <c r="EJ246" i="11"/>
  <c r="EK246" i="11"/>
  <c r="EL246" i="11"/>
  <c r="EM246" i="11"/>
  <c r="EN246" i="11"/>
  <c r="EO246" i="11"/>
  <c r="EP246" i="11"/>
  <c r="EQ246" i="11"/>
  <c r="ER246" i="11"/>
  <c r="ES246" i="11"/>
  <c r="ET246" i="11"/>
  <c r="EU246" i="11"/>
  <c r="EV246" i="11"/>
  <c r="EW246" i="11"/>
  <c r="EX246" i="11"/>
  <c r="EY246" i="11"/>
  <c r="EZ246" i="11"/>
  <c r="FA246" i="11"/>
  <c r="FB246" i="11"/>
  <c r="FC246" i="11"/>
  <c r="FD246" i="11"/>
  <c r="FE246" i="11"/>
  <c r="FF246" i="11"/>
  <c r="FG246" i="11"/>
  <c r="FH246" i="11"/>
  <c r="FI246" i="11"/>
  <c r="FJ246" i="11"/>
  <c r="FK246" i="11"/>
  <c r="FL246" i="11"/>
  <c r="FM246" i="11"/>
  <c r="FN246" i="11"/>
  <c r="FO246" i="11"/>
  <c r="FP246" i="11"/>
  <c r="FQ246" i="11"/>
  <c r="FR246" i="11"/>
  <c r="FS246" i="11"/>
  <c r="FT246" i="11"/>
  <c r="FU246" i="11"/>
  <c r="FV246" i="11"/>
  <c r="FW246" i="11"/>
  <c r="FX246" i="11"/>
  <c r="FY246" i="11"/>
  <c r="FZ246" i="11"/>
  <c r="GA246" i="11"/>
  <c r="GB246" i="11"/>
  <c r="GC246" i="11"/>
  <c r="GD246" i="11"/>
  <c r="GE246" i="11"/>
  <c r="GF246" i="11"/>
  <c r="GG246" i="11"/>
  <c r="GH246" i="11"/>
  <c r="GI246" i="11"/>
  <c r="GJ246" i="11"/>
  <c r="GK246" i="11"/>
  <c r="GL246" i="11"/>
  <c r="GM246" i="11"/>
  <c r="GN246" i="11"/>
  <c r="GO246" i="11"/>
  <c r="GP246" i="11"/>
  <c r="GQ246" i="11"/>
  <c r="GR246" i="11"/>
  <c r="GS246" i="11"/>
  <c r="GT246" i="11"/>
  <c r="GU246" i="11"/>
  <c r="GV246" i="11"/>
  <c r="GW246" i="11"/>
  <c r="GX246" i="11"/>
  <c r="GY246" i="11"/>
  <c r="GZ246" i="11"/>
  <c r="HA246" i="11"/>
  <c r="HB246" i="11"/>
  <c r="HC246" i="11"/>
  <c r="HD246" i="11"/>
  <c r="HE246" i="11"/>
  <c r="HF246" i="11"/>
  <c r="HG246" i="11"/>
  <c r="HH246" i="11"/>
  <c r="HI246" i="11"/>
  <c r="HJ246" i="11"/>
  <c r="HK246" i="11"/>
  <c r="HL246" i="11"/>
  <c r="HM246" i="11"/>
  <c r="HN246" i="11"/>
  <c r="HO246" i="11"/>
  <c r="HP246" i="11"/>
  <c r="HQ246" i="11"/>
  <c r="HR246" i="11"/>
  <c r="HS246" i="11"/>
  <c r="HT246" i="11"/>
  <c r="HU246" i="11"/>
  <c r="HV246" i="11"/>
  <c r="HW246" i="11"/>
  <c r="HX246" i="11"/>
  <c r="HY246" i="11"/>
  <c r="HZ246" i="11"/>
  <c r="IA246" i="11"/>
  <c r="IB246" i="11"/>
  <c r="IC246" i="11"/>
  <c r="ID246" i="11"/>
  <c r="IE246" i="11"/>
  <c r="IF246" i="11"/>
  <c r="IG246" i="11"/>
  <c r="IH246" i="11"/>
  <c r="II246" i="11"/>
  <c r="IJ246" i="11"/>
  <c r="IK246" i="11"/>
  <c r="IL246" i="11"/>
  <c r="IM246" i="11"/>
  <c r="IN246" i="11"/>
  <c r="IO246" i="11"/>
  <c r="IP246" i="11"/>
  <c r="IQ246" i="11"/>
  <c r="IR246" i="11"/>
  <c r="IS246" i="11"/>
  <c r="IT246" i="11"/>
  <c r="IU246" i="11"/>
  <c r="IV246" i="11"/>
  <c r="F247" i="11"/>
  <c r="G247" i="11"/>
  <c r="H247" i="11"/>
  <c r="I247" i="11"/>
  <c r="J247" i="11"/>
  <c r="K247" i="11"/>
  <c r="L247" i="11"/>
  <c r="M247" i="11"/>
  <c r="N247" i="11"/>
  <c r="O247" i="11"/>
  <c r="P247" i="11"/>
  <c r="Q247" i="11"/>
  <c r="R247" i="11"/>
  <c r="S247" i="11"/>
  <c r="T247" i="11"/>
  <c r="U247" i="11"/>
  <c r="V247" i="11"/>
  <c r="W247" i="11"/>
  <c r="X247" i="11"/>
  <c r="Y247" i="11"/>
  <c r="Z247" i="11"/>
  <c r="AA247" i="11"/>
  <c r="AB247" i="11"/>
  <c r="AC247" i="11"/>
  <c r="AD247" i="11"/>
  <c r="AE247" i="11"/>
  <c r="AF247" i="11"/>
  <c r="AG247" i="11"/>
  <c r="AH247" i="11"/>
  <c r="AI247" i="11"/>
  <c r="AJ247" i="11"/>
  <c r="AK247" i="11"/>
  <c r="AL247" i="11"/>
  <c r="AM247" i="11"/>
  <c r="AN247" i="11"/>
  <c r="AO247" i="11"/>
  <c r="AP247" i="11"/>
  <c r="AQ247" i="11"/>
  <c r="AR247" i="11"/>
  <c r="AS247" i="11"/>
  <c r="AT247" i="11"/>
  <c r="AU247" i="11"/>
  <c r="AV247" i="11"/>
  <c r="AW247" i="11"/>
  <c r="AX247" i="11"/>
  <c r="AY247" i="11"/>
  <c r="AZ247" i="11"/>
  <c r="BA247" i="11"/>
  <c r="BB247" i="11"/>
  <c r="BC247" i="11"/>
  <c r="BD247" i="11"/>
  <c r="BE247" i="11"/>
  <c r="BF247" i="11"/>
  <c r="BG247" i="11"/>
  <c r="BH247" i="11"/>
  <c r="BI247" i="11"/>
  <c r="BJ247" i="11"/>
  <c r="BK247" i="11"/>
  <c r="BL247" i="11"/>
  <c r="BM247" i="11"/>
  <c r="BN247" i="11"/>
  <c r="BO247" i="11"/>
  <c r="BP247" i="11"/>
  <c r="BQ247" i="11"/>
  <c r="BR247" i="11"/>
  <c r="BS247" i="11"/>
  <c r="BT247" i="11"/>
  <c r="BU247" i="11"/>
  <c r="BV247" i="11"/>
  <c r="BW247" i="11"/>
  <c r="BX247" i="11"/>
  <c r="BY247" i="11"/>
  <c r="BZ247" i="11"/>
  <c r="CA247" i="11"/>
  <c r="CB247" i="11"/>
  <c r="CC247" i="11"/>
  <c r="CD247" i="11"/>
  <c r="CE247" i="11"/>
  <c r="CF247" i="11"/>
  <c r="CG247" i="11"/>
  <c r="CH247" i="11"/>
  <c r="CI247" i="11"/>
  <c r="CJ247" i="11"/>
  <c r="CK247" i="11"/>
  <c r="CL247" i="11"/>
  <c r="CM247" i="11"/>
  <c r="CN247" i="11"/>
  <c r="CO247" i="11"/>
  <c r="CP247" i="11"/>
  <c r="CQ247" i="11"/>
  <c r="CR247" i="11"/>
  <c r="CS247" i="11"/>
  <c r="CT247" i="11"/>
  <c r="CU247" i="11"/>
  <c r="CV247" i="11"/>
  <c r="CW247" i="11"/>
  <c r="CX247" i="11"/>
  <c r="CY247" i="11"/>
  <c r="CZ247" i="11"/>
  <c r="DA247" i="11"/>
  <c r="DB247" i="11"/>
  <c r="DC247" i="11"/>
  <c r="DD247" i="11"/>
  <c r="DE247" i="11"/>
  <c r="DF247" i="11"/>
  <c r="DG247" i="11"/>
  <c r="DH247" i="11"/>
  <c r="DI247" i="11"/>
  <c r="DJ247" i="11"/>
  <c r="DK247" i="11"/>
  <c r="DL247" i="11"/>
  <c r="DM247" i="11"/>
  <c r="DN247" i="11"/>
  <c r="DO247" i="11"/>
  <c r="DP247" i="11"/>
  <c r="DQ247" i="11"/>
  <c r="DR247" i="11"/>
  <c r="DS247" i="11"/>
  <c r="DT247" i="11"/>
  <c r="DU247" i="11"/>
  <c r="DV247" i="11"/>
  <c r="DW247" i="11"/>
  <c r="DX247" i="11"/>
  <c r="DY247" i="11"/>
  <c r="DZ247" i="11"/>
  <c r="EA247" i="11"/>
  <c r="EB247" i="11"/>
  <c r="EC247" i="11"/>
  <c r="ED247" i="11"/>
  <c r="EE247" i="11"/>
  <c r="EF247" i="11"/>
  <c r="EG247" i="11"/>
  <c r="EH247" i="11"/>
  <c r="EI247" i="11"/>
  <c r="EJ247" i="11"/>
  <c r="EK247" i="11"/>
  <c r="EL247" i="11"/>
  <c r="EM247" i="11"/>
  <c r="EN247" i="11"/>
  <c r="EO247" i="11"/>
  <c r="EP247" i="11"/>
  <c r="EQ247" i="11"/>
  <c r="ER247" i="11"/>
  <c r="ES247" i="11"/>
  <c r="ET247" i="11"/>
  <c r="EU247" i="11"/>
  <c r="EV247" i="11"/>
  <c r="EW247" i="11"/>
  <c r="EX247" i="11"/>
  <c r="EY247" i="11"/>
  <c r="EZ247" i="11"/>
  <c r="FA247" i="11"/>
  <c r="FB247" i="11"/>
  <c r="FC247" i="11"/>
  <c r="FD247" i="11"/>
  <c r="FE247" i="11"/>
  <c r="FF247" i="11"/>
  <c r="FG247" i="11"/>
  <c r="FH247" i="11"/>
  <c r="FI247" i="11"/>
  <c r="FJ247" i="11"/>
  <c r="FK247" i="11"/>
  <c r="FL247" i="11"/>
  <c r="FM247" i="11"/>
  <c r="FN247" i="11"/>
  <c r="FO247" i="11"/>
  <c r="FP247" i="11"/>
  <c r="FQ247" i="11"/>
  <c r="FR247" i="11"/>
  <c r="FS247" i="11"/>
  <c r="FT247" i="11"/>
  <c r="FU247" i="11"/>
  <c r="FV247" i="11"/>
  <c r="FW247" i="11"/>
  <c r="FX247" i="11"/>
  <c r="FY247" i="11"/>
  <c r="FZ247" i="11"/>
  <c r="GA247" i="11"/>
  <c r="GB247" i="11"/>
  <c r="GC247" i="11"/>
  <c r="GD247" i="11"/>
  <c r="GE247" i="11"/>
  <c r="GF247" i="11"/>
  <c r="GG247" i="11"/>
  <c r="GH247" i="11"/>
  <c r="GI247" i="11"/>
  <c r="GJ247" i="11"/>
  <c r="GK247" i="11"/>
  <c r="GL247" i="11"/>
  <c r="GM247" i="11"/>
  <c r="GN247" i="11"/>
  <c r="GO247" i="11"/>
  <c r="GP247" i="11"/>
  <c r="GQ247" i="11"/>
  <c r="GR247" i="11"/>
  <c r="GS247" i="11"/>
  <c r="GT247" i="11"/>
  <c r="GU247" i="11"/>
  <c r="GV247" i="11"/>
  <c r="GW247" i="11"/>
  <c r="GX247" i="11"/>
  <c r="GY247" i="11"/>
  <c r="GZ247" i="11"/>
  <c r="HA247" i="11"/>
  <c r="HB247" i="11"/>
  <c r="HC247" i="11"/>
  <c r="HD247" i="11"/>
  <c r="HE247" i="11"/>
  <c r="HF247" i="11"/>
  <c r="HG247" i="11"/>
  <c r="HH247" i="11"/>
  <c r="HI247" i="11"/>
  <c r="HJ247" i="11"/>
  <c r="HK247" i="11"/>
  <c r="HL247" i="11"/>
  <c r="HM247" i="11"/>
  <c r="HN247" i="11"/>
  <c r="HO247" i="11"/>
  <c r="HP247" i="11"/>
  <c r="HQ247" i="11"/>
  <c r="HR247" i="11"/>
  <c r="HS247" i="11"/>
  <c r="HT247" i="11"/>
  <c r="HU247" i="11"/>
  <c r="HV247" i="11"/>
  <c r="HW247" i="11"/>
  <c r="HX247" i="11"/>
  <c r="HY247" i="11"/>
  <c r="HZ247" i="11"/>
  <c r="IA247" i="11"/>
  <c r="IB247" i="11"/>
  <c r="IC247" i="11"/>
  <c r="ID247" i="11"/>
  <c r="IE247" i="11"/>
  <c r="IF247" i="11"/>
  <c r="IG247" i="11"/>
  <c r="IH247" i="11"/>
  <c r="II247" i="11"/>
  <c r="IJ247" i="11"/>
  <c r="IK247" i="11"/>
  <c r="IL247" i="11"/>
  <c r="IM247" i="11"/>
  <c r="IN247" i="11"/>
  <c r="IO247" i="11"/>
  <c r="IP247" i="11"/>
  <c r="IQ247" i="11"/>
  <c r="IR247" i="11"/>
  <c r="IS247" i="11"/>
  <c r="IT247" i="11"/>
  <c r="IU247" i="11"/>
  <c r="IV247" i="11"/>
  <c r="F248" i="11"/>
  <c r="G248" i="11"/>
  <c r="H248" i="11"/>
  <c r="I248" i="11"/>
  <c r="J248" i="11"/>
  <c r="K248" i="11"/>
  <c r="L248" i="11"/>
  <c r="M248" i="11"/>
  <c r="N248" i="11"/>
  <c r="O248" i="11"/>
  <c r="P248" i="11"/>
  <c r="Q248" i="11"/>
  <c r="R248" i="11"/>
  <c r="S248" i="11"/>
  <c r="T248" i="11"/>
  <c r="U248" i="11"/>
  <c r="V248" i="11"/>
  <c r="W248" i="11"/>
  <c r="X248" i="11"/>
  <c r="Y248" i="11"/>
  <c r="Z248" i="11"/>
  <c r="AA248" i="11"/>
  <c r="AB248" i="11"/>
  <c r="AC248" i="11"/>
  <c r="AD248" i="11"/>
  <c r="AE248" i="11"/>
  <c r="AF248" i="11"/>
  <c r="AG248" i="11"/>
  <c r="AH248" i="11"/>
  <c r="AI248" i="11"/>
  <c r="AJ248" i="11"/>
  <c r="AK248" i="11"/>
  <c r="AL248" i="11"/>
  <c r="AM248" i="11"/>
  <c r="AN248" i="11"/>
  <c r="AO248" i="11"/>
  <c r="AP248" i="11"/>
  <c r="AQ248" i="11"/>
  <c r="AR248" i="11"/>
  <c r="AS248" i="11"/>
  <c r="AT248" i="11"/>
  <c r="AU248" i="11"/>
  <c r="AV248" i="11"/>
  <c r="AW248" i="11"/>
  <c r="AX248" i="11"/>
  <c r="AY248" i="11"/>
  <c r="AZ248" i="11"/>
  <c r="BA248" i="11"/>
  <c r="BB248" i="11"/>
  <c r="BC248" i="11"/>
  <c r="BD248" i="11"/>
  <c r="BE248" i="11"/>
  <c r="BF248" i="11"/>
  <c r="BG248" i="11"/>
  <c r="BH248" i="11"/>
  <c r="BI248" i="11"/>
  <c r="BJ248" i="11"/>
  <c r="BK248" i="11"/>
  <c r="BL248" i="11"/>
  <c r="BM248" i="11"/>
  <c r="BN248" i="11"/>
  <c r="BO248" i="11"/>
  <c r="BP248" i="11"/>
  <c r="BQ248" i="11"/>
  <c r="BR248" i="11"/>
  <c r="BS248" i="11"/>
  <c r="BT248" i="11"/>
  <c r="BU248" i="11"/>
  <c r="BV248" i="11"/>
  <c r="BW248" i="11"/>
  <c r="BX248" i="11"/>
  <c r="BY248" i="11"/>
  <c r="BZ248" i="11"/>
  <c r="CA248" i="11"/>
  <c r="CB248" i="11"/>
  <c r="CC248" i="11"/>
  <c r="CD248" i="11"/>
  <c r="CE248" i="11"/>
  <c r="CF248" i="11"/>
  <c r="CG248" i="11"/>
  <c r="CH248" i="11"/>
  <c r="CI248" i="11"/>
  <c r="CJ248" i="11"/>
  <c r="CK248" i="11"/>
  <c r="CL248" i="11"/>
  <c r="CM248" i="11"/>
  <c r="CN248" i="11"/>
  <c r="CO248" i="11"/>
  <c r="CP248" i="11"/>
  <c r="CQ248" i="11"/>
  <c r="CR248" i="11"/>
  <c r="CS248" i="11"/>
  <c r="CT248" i="11"/>
  <c r="CU248" i="11"/>
  <c r="CV248" i="11"/>
  <c r="CW248" i="11"/>
  <c r="CX248" i="11"/>
  <c r="CY248" i="11"/>
  <c r="CZ248" i="11"/>
  <c r="DA248" i="11"/>
  <c r="DB248" i="11"/>
  <c r="DC248" i="11"/>
  <c r="DD248" i="11"/>
  <c r="DE248" i="11"/>
  <c r="DF248" i="11"/>
  <c r="DG248" i="11"/>
  <c r="DH248" i="11"/>
  <c r="DI248" i="11"/>
  <c r="DJ248" i="11"/>
  <c r="DK248" i="11"/>
  <c r="DL248" i="11"/>
  <c r="DM248" i="11"/>
  <c r="DN248" i="11"/>
  <c r="DO248" i="11"/>
  <c r="DP248" i="11"/>
  <c r="DQ248" i="11"/>
  <c r="DR248" i="11"/>
  <c r="DS248" i="11"/>
  <c r="DT248" i="11"/>
  <c r="DU248" i="11"/>
  <c r="DV248" i="11"/>
  <c r="DW248" i="11"/>
  <c r="DX248" i="11"/>
  <c r="DY248" i="11"/>
  <c r="DZ248" i="11"/>
  <c r="EA248" i="11"/>
  <c r="EB248" i="11"/>
  <c r="EC248" i="11"/>
  <c r="ED248" i="11"/>
  <c r="EE248" i="11"/>
  <c r="EF248" i="11"/>
  <c r="EG248" i="11"/>
  <c r="EH248" i="11"/>
  <c r="EI248" i="11"/>
  <c r="EJ248" i="11"/>
  <c r="EK248" i="11"/>
  <c r="EL248" i="11"/>
  <c r="EM248" i="11"/>
  <c r="EN248" i="11"/>
  <c r="EO248" i="11"/>
  <c r="EP248" i="11"/>
  <c r="EQ248" i="11"/>
  <c r="ER248" i="11"/>
  <c r="ES248" i="11"/>
  <c r="ET248" i="11"/>
  <c r="EU248" i="11"/>
  <c r="EV248" i="11"/>
  <c r="EW248" i="11"/>
  <c r="EX248" i="11"/>
  <c r="EY248" i="11"/>
  <c r="EZ248" i="11"/>
  <c r="FA248" i="11"/>
  <c r="FB248" i="11"/>
  <c r="FC248" i="11"/>
  <c r="FD248" i="11"/>
  <c r="FE248" i="11"/>
  <c r="FF248" i="11"/>
  <c r="FG248" i="11"/>
  <c r="FH248" i="11"/>
  <c r="FI248" i="11"/>
  <c r="FJ248" i="11"/>
  <c r="FK248" i="11"/>
  <c r="FL248" i="11"/>
  <c r="FM248" i="11"/>
  <c r="FN248" i="11"/>
  <c r="FO248" i="11"/>
  <c r="FP248" i="11"/>
  <c r="FQ248" i="11"/>
  <c r="FR248" i="11"/>
  <c r="FS248" i="11"/>
  <c r="FT248" i="11"/>
  <c r="FU248" i="11"/>
  <c r="FV248" i="11"/>
  <c r="FW248" i="11"/>
  <c r="FX248" i="11"/>
  <c r="FY248" i="11"/>
  <c r="FZ248" i="11"/>
  <c r="GA248" i="11"/>
  <c r="GB248" i="11"/>
  <c r="GC248" i="11"/>
  <c r="GD248" i="11"/>
  <c r="GE248" i="11"/>
  <c r="GF248" i="11"/>
  <c r="GG248" i="11"/>
  <c r="GH248" i="11"/>
  <c r="GI248" i="11"/>
  <c r="GJ248" i="11"/>
  <c r="GK248" i="11"/>
  <c r="GL248" i="11"/>
  <c r="GM248" i="11"/>
  <c r="GN248" i="11"/>
  <c r="GO248" i="11"/>
  <c r="GP248" i="11"/>
  <c r="GQ248" i="11"/>
  <c r="GR248" i="11"/>
  <c r="GS248" i="11"/>
  <c r="GT248" i="11"/>
  <c r="GU248" i="11"/>
  <c r="GV248" i="11"/>
  <c r="GW248" i="11"/>
  <c r="GX248" i="11"/>
  <c r="GY248" i="11"/>
  <c r="GZ248" i="11"/>
  <c r="HA248" i="11"/>
  <c r="HB248" i="11"/>
  <c r="HC248" i="11"/>
  <c r="HD248" i="11"/>
  <c r="HE248" i="11"/>
  <c r="HF248" i="11"/>
  <c r="HG248" i="11"/>
  <c r="HH248" i="11"/>
  <c r="HI248" i="11"/>
  <c r="HJ248" i="11"/>
  <c r="HK248" i="11"/>
  <c r="HL248" i="11"/>
  <c r="HM248" i="11"/>
  <c r="HN248" i="11"/>
  <c r="HO248" i="11"/>
  <c r="HP248" i="11"/>
  <c r="HQ248" i="11"/>
  <c r="HR248" i="11"/>
  <c r="HS248" i="11"/>
  <c r="HT248" i="11"/>
  <c r="HU248" i="11"/>
  <c r="HV248" i="11"/>
  <c r="HW248" i="11"/>
  <c r="HX248" i="11"/>
  <c r="HY248" i="11"/>
  <c r="HZ248" i="11"/>
  <c r="IA248" i="11"/>
  <c r="IB248" i="11"/>
  <c r="IC248" i="11"/>
  <c r="ID248" i="11"/>
  <c r="IE248" i="11"/>
  <c r="IF248" i="11"/>
  <c r="IG248" i="11"/>
  <c r="IH248" i="11"/>
  <c r="II248" i="11"/>
  <c r="IJ248" i="11"/>
  <c r="IK248" i="11"/>
  <c r="IL248" i="11"/>
  <c r="IM248" i="11"/>
  <c r="IN248" i="11"/>
  <c r="IO248" i="11"/>
  <c r="IP248" i="11"/>
  <c r="IQ248" i="11"/>
  <c r="IR248" i="11"/>
  <c r="IS248" i="11"/>
  <c r="IT248" i="11"/>
  <c r="IU248" i="11"/>
  <c r="IV248" i="11"/>
  <c r="F249" i="11"/>
  <c r="G249" i="11"/>
  <c r="H249" i="11"/>
  <c r="I249" i="11"/>
  <c r="J249" i="11"/>
  <c r="K249" i="11"/>
  <c r="L249" i="11"/>
  <c r="M249" i="11"/>
  <c r="N249" i="11"/>
  <c r="O249" i="11"/>
  <c r="P249" i="11"/>
  <c r="Q249" i="11"/>
  <c r="R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AP249" i="11"/>
  <c r="AQ249" i="11"/>
  <c r="AR249" i="11"/>
  <c r="AS249" i="11"/>
  <c r="AT249" i="11"/>
  <c r="AU249" i="11"/>
  <c r="AV249" i="11"/>
  <c r="AW249" i="11"/>
  <c r="AX249" i="11"/>
  <c r="AY249" i="11"/>
  <c r="AZ249" i="11"/>
  <c r="BA249" i="11"/>
  <c r="BB249" i="11"/>
  <c r="BC249" i="11"/>
  <c r="BD249" i="11"/>
  <c r="BE249" i="11"/>
  <c r="BF249" i="11"/>
  <c r="BG249" i="11"/>
  <c r="BH249" i="11"/>
  <c r="BI249" i="11"/>
  <c r="BJ249" i="11"/>
  <c r="BK249" i="11"/>
  <c r="BL249" i="11"/>
  <c r="BM249" i="11"/>
  <c r="BN249" i="11"/>
  <c r="BO249" i="11"/>
  <c r="BP249" i="11"/>
  <c r="BQ249" i="11"/>
  <c r="BR249" i="11"/>
  <c r="BS249" i="11"/>
  <c r="BT249" i="11"/>
  <c r="BU249" i="11"/>
  <c r="BV249" i="11"/>
  <c r="BW249" i="11"/>
  <c r="BX249" i="11"/>
  <c r="BY249" i="11"/>
  <c r="BZ249" i="11"/>
  <c r="CA249" i="11"/>
  <c r="CB249" i="11"/>
  <c r="CC249" i="11"/>
  <c r="CD249" i="11"/>
  <c r="CE249" i="11"/>
  <c r="CF249" i="11"/>
  <c r="CG249" i="11"/>
  <c r="CH249" i="11"/>
  <c r="CI249" i="11"/>
  <c r="CJ249" i="11"/>
  <c r="CK249" i="11"/>
  <c r="CL249" i="11"/>
  <c r="CM249" i="11"/>
  <c r="CN249" i="11"/>
  <c r="CO249" i="11"/>
  <c r="CP249" i="11"/>
  <c r="CQ249" i="11"/>
  <c r="CR249" i="11"/>
  <c r="CS249" i="11"/>
  <c r="CT249" i="11"/>
  <c r="CU249" i="11"/>
  <c r="CV249" i="11"/>
  <c r="CW249" i="11"/>
  <c r="CX249" i="11"/>
  <c r="CY249" i="11"/>
  <c r="CZ249" i="11"/>
  <c r="DA249" i="11"/>
  <c r="DB249" i="11"/>
  <c r="DC249" i="11"/>
  <c r="DD249" i="11"/>
  <c r="DE249" i="11"/>
  <c r="DF249" i="11"/>
  <c r="DG249" i="11"/>
  <c r="DH249" i="11"/>
  <c r="DI249" i="11"/>
  <c r="DJ249" i="11"/>
  <c r="DK249" i="11"/>
  <c r="DL249" i="11"/>
  <c r="DM249" i="11"/>
  <c r="DN249" i="11"/>
  <c r="DO249" i="11"/>
  <c r="DP249" i="11"/>
  <c r="DQ249" i="11"/>
  <c r="DR249" i="11"/>
  <c r="DS249" i="11"/>
  <c r="DT249" i="11"/>
  <c r="DU249" i="11"/>
  <c r="DV249" i="11"/>
  <c r="DW249" i="11"/>
  <c r="DX249" i="11"/>
  <c r="DY249" i="11"/>
  <c r="DZ249" i="11"/>
  <c r="EA249" i="11"/>
  <c r="EB249" i="11"/>
  <c r="EC249" i="11"/>
  <c r="ED249" i="11"/>
  <c r="EE249" i="11"/>
  <c r="EF249" i="11"/>
  <c r="EG249" i="11"/>
  <c r="EH249" i="11"/>
  <c r="EI249" i="11"/>
  <c r="EJ249" i="11"/>
  <c r="EK249" i="11"/>
  <c r="EL249" i="11"/>
  <c r="EM249" i="11"/>
  <c r="EN249" i="11"/>
  <c r="EO249" i="11"/>
  <c r="EP249" i="11"/>
  <c r="EQ249" i="11"/>
  <c r="ER249" i="11"/>
  <c r="ES249" i="11"/>
  <c r="ET249" i="11"/>
  <c r="EU249" i="11"/>
  <c r="EV249" i="11"/>
  <c r="EW249" i="11"/>
  <c r="EX249" i="11"/>
  <c r="EY249" i="11"/>
  <c r="EZ249" i="11"/>
  <c r="FA249" i="11"/>
  <c r="FB249" i="11"/>
  <c r="FC249" i="11"/>
  <c r="FD249" i="11"/>
  <c r="FE249" i="11"/>
  <c r="FF249" i="11"/>
  <c r="FG249" i="11"/>
  <c r="FH249" i="11"/>
  <c r="FI249" i="11"/>
  <c r="FJ249" i="11"/>
  <c r="FK249" i="11"/>
  <c r="FL249" i="11"/>
  <c r="FM249" i="11"/>
  <c r="FN249" i="11"/>
  <c r="FO249" i="11"/>
  <c r="FP249" i="11"/>
  <c r="FQ249" i="11"/>
  <c r="FR249" i="11"/>
  <c r="FS249" i="11"/>
  <c r="FT249" i="11"/>
  <c r="FU249" i="11"/>
  <c r="FV249" i="11"/>
  <c r="FW249" i="11"/>
  <c r="FX249" i="11"/>
  <c r="FY249" i="11"/>
  <c r="FZ249" i="11"/>
  <c r="GA249" i="11"/>
  <c r="GB249" i="11"/>
  <c r="GC249" i="11"/>
  <c r="GD249" i="11"/>
  <c r="GE249" i="11"/>
  <c r="GF249" i="11"/>
  <c r="GG249" i="11"/>
  <c r="GH249" i="11"/>
  <c r="GI249" i="11"/>
  <c r="GJ249" i="11"/>
  <c r="GK249" i="11"/>
  <c r="GL249" i="11"/>
  <c r="GM249" i="11"/>
  <c r="GN249" i="11"/>
  <c r="GO249" i="11"/>
  <c r="GP249" i="11"/>
  <c r="GQ249" i="11"/>
  <c r="GR249" i="11"/>
  <c r="GS249" i="11"/>
  <c r="GT249" i="11"/>
  <c r="GU249" i="11"/>
  <c r="GV249" i="11"/>
  <c r="GW249" i="11"/>
  <c r="GX249" i="11"/>
  <c r="GY249" i="11"/>
  <c r="GZ249" i="11"/>
  <c r="HA249" i="11"/>
  <c r="HB249" i="11"/>
  <c r="HC249" i="11"/>
  <c r="HD249" i="11"/>
  <c r="HE249" i="11"/>
  <c r="HF249" i="11"/>
  <c r="HG249" i="11"/>
  <c r="HH249" i="11"/>
  <c r="HI249" i="11"/>
  <c r="HJ249" i="11"/>
  <c r="HK249" i="11"/>
  <c r="HL249" i="11"/>
  <c r="HM249" i="11"/>
  <c r="HN249" i="11"/>
  <c r="HO249" i="11"/>
  <c r="HP249" i="11"/>
  <c r="HQ249" i="11"/>
  <c r="HR249" i="11"/>
  <c r="HS249" i="11"/>
  <c r="HT249" i="11"/>
  <c r="HU249" i="11"/>
  <c r="HV249" i="11"/>
  <c r="HW249" i="11"/>
  <c r="HX249" i="11"/>
  <c r="HY249" i="11"/>
  <c r="HZ249" i="11"/>
  <c r="IA249" i="11"/>
  <c r="IB249" i="11"/>
  <c r="IC249" i="11"/>
  <c r="ID249" i="11"/>
  <c r="IE249" i="11"/>
  <c r="IF249" i="11"/>
  <c r="IG249" i="11"/>
  <c r="IH249" i="11"/>
  <c r="II249" i="11"/>
  <c r="IJ249" i="11"/>
  <c r="IK249" i="11"/>
  <c r="IL249" i="11"/>
  <c r="IM249" i="11"/>
  <c r="IN249" i="11"/>
  <c r="IO249" i="11"/>
  <c r="IP249" i="11"/>
  <c r="IQ249" i="11"/>
  <c r="IR249" i="11"/>
  <c r="IS249" i="11"/>
  <c r="IT249" i="11"/>
  <c r="IU249" i="11"/>
  <c r="IV249" i="11"/>
  <c r="F250" i="11"/>
  <c r="G250" i="11"/>
  <c r="H250" i="11"/>
  <c r="I250" i="11"/>
  <c r="J250" i="11"/>
  <c r="K250" i="11"/>
  <c r="L250" i="11"/>
  <c r="M250" i="11"/>
  <c r="N250" i="11"/>
  <c r="O250" i="11"/>
  <c r="P250" i="11"/>
  <c r="Q250" i="11"/>
  <c r="R250" i="11"/>
  <c r="S250" i="11"/>
  <c r="T250" i="11"/>
  <c r="U250" i="11"/>
  <c r="V250" i="11"/>
  <c r="W250" i="11"/>
  <c r="X250" i="11"/>
  <c r="Y250" i="11"/>
  <c r="Z250" i="11"/>
  <c r="AA250" i="11"/>
  <c r="AB250" i="11"/>
  <c r="AC250" i="11"/>
  <c r="AD250" i="11"/>
  <c r="AE250" i="11"/>
  <c r="AF250" i="11"/>
  <c r="AG250" i="11"/>
  <c r="AH250" i="11"/>
  <c r="AI250" i="11"/>
  <c r="AJ250" i="11"/>
  <c r="AK250" i="11"/>
  <c r="AL250" i="11"/>
  <c r="AM250" i="11"/>
  <c r="AN250" i="11"/>
  <c r="AO250" i="11"/>
  <c r="AP250" i="11"/>
  <c r="AQ250" i="11"/>
  <c r="AR250" i="11"/>
  <c r="AS250" i="11"/>
  <c r="AT250" i="11"/>
  <c r="AU250" i="11"/>
  <c r="AV250" i="11"/>
  <c r="AW250" i="11"/>
  <c r="AX250" i="11"/>
  <c r="AY250" i="11"/>
  <c r="AZ250" i="11"/>
  <c r="BA250" i="11"/>
  <c r="BB250" i="11"/>
  <c r="BC250" i="11"/>
  <c r="BD250" i="11"/>
  <c r="BE250" i="11"/>
  <c r="BF250" i="11"/>
  <c r="BG250" i="11"/>
  <c r="BH250" i="11"/>
  <c r="BI250" i="11"/>
  <c r="BJ250" i="11"/>
  <c r="BK250" i="11"/>
  <c r="BL250" i="11"/>
  <c r="BM250" i="11"/>
  <c r="BN250" i="11"/>
  <c r="BO250" i="11"/>
  <c r="BP250" i="11"/>
  <c r="BQ250" i="11"/>
  <c r="BR250" i="11"/>
  <c r="BS250" i="11"/>
  <c r="BT250" i="11"/>
  <c r="BU250" i="11"/>
  <c r="BV250" i="11"/>
  <c r="BW250" i="11"/>
  <c r="BX250" i="11"/>
  <c r="BY250" i="11"/>
  <c r="BZ250" i="11"/>
  <c r="CA250" i="11"/>
  <c r="CB250" i="11"/>
  <c r="CC250" i="11"/>
  <c r="CD250" i="11"/>
  <c r="CE250" i="11"/>
  <c r="CF250" i="11"/>
  <c r="CG250" i="11"/>
  <c r="CH250" i="11"/>
  <c r="CI250" i="11"/>
  <c r="CJ250" i="11"/>
  <c r="CK250" i="11"/>
  <c r="CL250" i="11"/>
  <c r="CM250" i="11"/>
  <c r="CN250" i="11"/>
  <c r="CO250" i="11"/>
  <c r="CP250" i="11"/>
  <c r="CQ250" i="11"/>
  <c r="CR250" i="11"/>
  <c r="CS250" i="11"/>
  <c r="CT250" i="11"/>
  <c r="CU250" i="11"/>
  <c r="CV250" i="11"/>
  <c r="CW250" i="11"/>
  <c r="CX250" i="11"/>
  <c r="CY250" i="11"/>
  <c r="CZ250" i="11"/>
  <c r="DA250" i="11"/>
  <c r="DB250" i="11"/>
  <c r="DC250" i="11"/>
  <c r="DD250" i="11"/>
  <c r="DE250" i="11"/>
  <c r="DF250" i="11"/>
  <c r="DG250" i="11"/>
  <c r="DH250" i="11"/>
  <c r="DI250" i="11"/>
  <c r="DJ250" i="11"/>
  <c r="DK250" i="11"/>
  <c r="DL250" i="11"/>
  <c r="DM250" i="11"/>
  <c r="DN250" i="11"/>
  <c r="DO250" i="11"/>
  <c r="DP250" i="11"/>
  <c r="DQ250" i="11"/>
  <c r="DR250" i="11"/>
  <c r="DS250" i="11"/>
  <c r="DT250" i="11"/>
  <c r="DU250" i="11"/>
  <c r="DV250" i="11"/>
  <c r="DW250" i="11"/>
  <c r="DX250" i="11"/>
  <c r="DY250" i="11"/>
  <c r="DZ250" i="11"/>
  <c r="EA250" i="11"/>
  <c r="EB250" i="11"/>
  <c r="EC250" i="11"/>
  <c r="ED250" i="11"/>
  <c r="EE250" i="11"/>
  <c r="EF250" i="11"/>
  <c r="EG250" i="11"/>
  <c r="EH250" i="11"/>
  <c r="EI250" i="11"/>
  <c r="EJ250" i="11"/>
  <c r="EK250" i="11"/>
  <c r="EL250" i="11"/>
  <c r="EM250" i="11"/>
  <c r="EN250" i="11"/>
  <c r="EO250" i="11"/>
  <c r="EP250" i="11"/>
  <c r="EQ250" i="11"/>
  <c r="ER250" i="11"/>
  <c r="ES250" i="11"/>
  <c r="ET250" i="11"/>
  <c r="EU250" i="11"/>
  <c r="EV250" i="11"/>
  <c r="EW250" i="11"/>
  <c r="EX250" i="11"/>
  <c r="EY250" i="11"/>
  <c r="EZ250" i="11"/>
  <c r="FA250" i="11"/>
  <c r="FB250" i="11"/>
  <c r="FC250" i="11"/>
  <c r="FD250" i="11"/>
  <c r="FE250" i="11"/>
  <c r="FF250" i="11"/>
  <c r="FG250" i="11"/>
  <c r="FH250" i="11"/>
  <c r="FI250" i="11"/>
  <c r="FJ250" i="11"/>
  <c r="FK250" i="11"/>
  <c r="FL250" i="11"/>
  <c r="FM250" i="11"/>
  <c r="FN250" i="11"/>
  <c r="FO250" i="11"/>
  <c r="FP250" i="11"/>
  <c r="FQ250" i="11"/>
  <c r="FR250" i="11"/>
  <c r="FS250" i="11"/>
  <c r="FT250" i="11"/>
  <c r="FU250" i="11"/>
  <c r="FV250" i="11"/>
  <c r="FW250" i="11"/>
  <c r="FX250" i="11"/>
  <c r="FY250" i="11"/>
  <c r="FZ250" i="11"/>
  <c r="GA250" i="11"/>
  <c r="GB250" i="11"/>
  <c r="GC250" i="11"/>
  <c r="GD250" i="11"/>
  <c r="GE250" i="11"/>
  <c r="GF250" i="11"/>
  <c r="GG250" i="11"/>
  <c r="GH250" i="11"/>
  <c r="GI250" i="11"/>
  <c r="GJ250" i="11"/>
  <c r="GK250" i="11"/>
  <c r="GL250" i="11"/>
  <c r="GM250" i="11"/>
  <c r="GN250" i="11"/>
  <c r="GO250" i="11"/>
  <c r="GP250" i="11"/>
  <c r="GQ250" i="11"/>
  <c r="GR250" i="11"/>
  <c r="GS250" i="11"/>
  <c r="GT250" i="11"/>
  <c r="GU250" i="11"/>
  <c r="GV250" i="11"/>
  <c r="GW250" i="11"/>
  <c r="GX250" i="11"/>
  <c r="GY250" i="11"/>
  <c r="GZ250" i="11"/>
  <c r="HA250" i="11"/>
  <c r="HB250" i="11"/>
  <c r="HC250" i="11"/>
  <c r="HD250" i="11"/>
  <c r="HE250" i="11"/>
  <c r="HF250" i="11"/>
  <c r="HG250" i="11"/>
  <c r="HH250" i="11"/>
  <c r="HI250" i="11"/>
  <c r="HJ250" i="11"/>
  <c r="HK250" i="11"/>
  <c r="HL250" i="11"/>
  <c r="HM250" i="11"/>
  <c r="HN250" i="11"/>
  <c r="HO250" i="11"/>
  <c r="HP250" i="11"/>
  <c r="HQ250" i="11"/>
  <c r="HR250" i="11"/>
  <c r="HS250" i="11"/>
  <c r="HT250" i="11"/>
  <c r="HU250" i="11"/>
  <c r="HV250" i="11"/>
  <c r="HW250" i="11"/>
  <c r="HX250" i="11"/>
  <c r="HY250" i="11"/>
  <c r="HZ250" i="11"/>
  <c r="IA250" i="11"/>
  <c r="IB250" i="11"/>
  <c r="IC250" i="11"/>
  <c r="ID250" i="11"/>
  <c r="IE250" i="11"/>
  <c r="IF250" i="11"/>
  <c r="IG250" i="11"/>
  <c r="IH250" i="11"/>
  <c r="II250" i="11"/>
  <c r="IJ250" i="11"/>
  <c r="IK250" i="11"/>
  <c r="IL250" i="11"/>
  <c r="IM250" i="11"/>
  <c r="IN250" i="11"/>
  <c r="IO250" i="11"/>
  <c r="IP250" i="11"/>
  <c r="IQ250" i="11"/>
  <c r="IR250" i="11"/>
  <c r="IS250" i="11"/>
  <c r="IT250" i="11"/>
  <c r="IU250" i="11"/>
  <c r="IV250" i="11"/>
  <c r="F251" i="11"/>
  <c r="G251" i="11"/>
  <c r="H251" i="11"/>
  <c r="I251" i="11"/>
  <c r="J251" i="11"/>
  <c r="K251" i="11"/>
  <c r="L251" i="11"/>
  <c r="M251" i="11"/>
  <c r="N251" i="11"/>
  <c r="O251" i="11"/>
  <c r="P251" i="11"/>
  <c r="Q251" i="11"/>
  <c r="R251" i="11"/>
  <c r="S251" i="11"/>
  <c r="T251" i="11"/>
  <c r="U251" i="11"/>
  <c r="V251" i="11"/>
  <c r="W251" i="11"/>
  <c r="X251" i="11"/>
  <c r="Y251" i="11"/>
  <c r="Z251" i="11"/>
  <c r="AA251" i="11"/>
  <c r="AB251" i="11"/>
  <c r="AC251" i="11"/>
  <c r="AD251" i="11"/>
  <c r="AE251" i="11"/>
  <c r="AF251" i="11"/>
  <c r="AG251" i="11"/>
  <c r="AH251" i="11"/>
  <c r="AI251" i="11"/>
  <c r="AJ251" i="11"/>
  <c r="AK251" i="11"/>
  <c r="AL251" i="11"/>
  <c r="AM251" i="11"/>
  <c r="AN251" i="11"/>
  <c r="AO251" i="11"/>
  <c r="AP251" i="11"/>
  <c r="AQ251" i="11"/>
  <c r="AR251" i="11"/>
  <c r="AS251" i="11"/>
  <c r="AT251" i="11"/>
  <c r="AU251" i="11"/>
  <c r="AV251" i="11"/>
  <c r="AW251" i="11"/>
  <c r="AX251" i="11"/>
  <c r="AY251" i="11"/>
  <c r="AZ251" i="11"/>
  <c r="BA251" i="11"/>
  <c r="BB251" i="11"/>
  <c r="BC251" i="11"/>
  <c r="BD251" i="11"/>
  <c r="BE251" i="11"/>
  <c r="BF251" i="11"/>
  <c r="BG251" i="11"/>
  <c r="BH251" i="11"/>
  <c r="BI251" i="11"/>
  <c r="BJ251" i="11"/>
  <c r="BK251" i="11"/>
  <c r="BL251" i="11"/>
  <c r="BM251" i="11"/>
  <c r="BN251" i="11"/>
  <c r="BO251" i="11"/>
  <c r="BP251" i="11"/>
  <c r="BQ251" i="11"/>
  <c r="BR251" i="11"/>
  <c r="BS251" i="11"/>
  <c r="BT251" i="11"/>
  <c r="BU251" i="11"/>
  <c r="BV251" i="11"/>
  <c r="BW251" i="11"/>
  <c r="BX251" i="11"/>
  <c r="BY251" i="11"/>
  <c r="BZ251" i="11"/>
  <c r="CA251" i="11"/>
  <c r="CB251" i="11"/>
  <c r="CC251" i="11"/>
  <c r="CD251" i="11"/>
  <c r="CE251" i="11"/>
  <c r="CF251" i="11"/>
  <c r="CG251" i="11"/>
  <c r="CH251" i="11"/>
  <c r="CI251" i="11"/>
  <c r="CJ251" i="11"/>
  <c r="CK251" i="11"/>
  <c r="CL251" i="11"/>
  <c r="CM251" i="11"/>
  <c r="CN251" i="11"/>
  <c r="CO251" i="11"/>
  <c r="CP251" i="11"/>
  <c r="CQ251" i="11"/>
  <c r="CR251" i="11"/>
  <c r="CS251" i="11"/>
  <c r="CT251" i="11"/>
  <c r="CU251" i="11"/>
  <c r="CV251" i="11"/>
  <c r="CW251" i="11"/>
  <c r="CX251" i="11"/>
  <c r="CY251" i="11"/>
  <c r="CZ251" i="11"/>
  <c r="DA251" i="11"/>
  <c r="DB251" i="11"/>
  <c r="DC251" i="11"/>
  <c r="DD251" i="11"/>
  <c r="DE251" i="11"/>
  <c r="DF251" i="11"/>
  <c r="DG251" i="11"/>
  <c r="DH251" i="11"/>
  <c r="DI251" i="11"/>
  <c r="DJ251" i="11"/>
  <c r="DK251" i="11"/>
  <c r="DL251" i="11"/>
  <c r="DM251" i="11"/>
  <c r="DN251" i="11"/>
  <c r="DO251" i="11"/>
  <c r="DP251" i="11"/>
  <c r="DQ251" i="11"/>
  <c r="DR251" i="11"/>
  <c r="DS251" i="11"/>
  <c r="DT251" i="11"/>
  <c r="DU251" i="11"/>
  <c r="DV251" i="11"/>
  <c r="DW251" i="11"/>
  <c r="DX251" i="11"/>
  <c r="DY251" i="11"/>
  <c r="DZ251" i="11"/>
  <c r="EA251" i="11"/>
  <c r="EB251" i="11"/>
  <c r="EC251" i="11"/>
  <c r="ED251" i="11"/>
  <c r="EE251" i="11"/>
  <c r="EF251" i="11"/>
  <c r="EG251" i="11"/>
  <c r="EH251" i="11"/>
  <c r="EI251" i="11"/>
  <c r="EJ251" i="11"/>
  <c r="EK251" i="11"/>
  <c r="EL251" i="11"/>
  <c r="EM251" i="11"/>
  <c r="EN251" i="11"/>
  <c r="EO251" i="11"/>
  <c r="EP251" i="11"/>
  <c r="EQ251" i="11"/>
  <c r="ER251" i="11"/>
  <c r="ES251" i="11"/>
  <c r="ET251" i="11"/>
  <c r="EU251" i="11"/>
  <c r="EV251" i="11"/>
  <c r="EW251" i="11"/>
  <c r="EX251" i="11"/>
  <c r="EY251" i="11"/>
  <c r="EZ251" i="11"/>
  <c r="FA251" i="11"/>
  <c r="FB251" i="11"/>
  <c r="FC251" i="11"/>
  <c r="FD251" i="11"/>
  <c r="FE251" i="11"/>
  <c r="FF251" i="11"/>
  <c r="FG251" i="11"/>
  <c r="FH251" i="11"/>
  <c r="FI251" i="11"/>
  <c r="FJ251" i="11"/>
  <c r="FK251" i="11"/>
  <c r="FL251" i="11"/>
  <c r="FM251" i="11"/>
  <c r="FN251" i="11"/>
  <c r="FO251" i="11"/>
  <c r="FP251" i="11"/>
  <c r="FQ251" i="11"/>
  <c r="FR251" i="11"/>
  <c r="FS251" i="11"/>
  <c r="FT251" i="11"/>
  <c r="FU251" i="11"/>
  <c r="FV251" i="11"/>
  <c r="FW251" i="11"/>
  <c r="FX251" i="11"/>
  <c r="FY251" i="11"/>
  <c r="FZ251" i="11"/>
  <c r="GA251" i="11"/>
  <c r="GB251" i="11"/>
  <c r="GC251" i="11"/>
  <c r="GD251" i="11"/>
  <c r="GE251" i="11"/>
  <c r="GF251" i="11"/>
  <c r="GG251" i="11"/>
  <c r="GH251" i="11"/>
  <c r="GI251" i="11"/>
  <c r="GJ251" i="11"/>
  <c r="GK251" i="11"/>
  <c r="GL251" i="11"/>
  <c r="GM251" i="11"/>
  <c r="GN251" i="11"/>
  <c r="GO251" i="11"/>
  <c r="GP251" i="11"/>
  <c r="GQ251" i="11"/>
  <c r="GR251" i="11"/>
  <c r="GS251" i="11"/>
  <c r="GT251" i="11"/>
  <c r="GU251" i="11"/>
  <c r="GV251" i="11"/>
  <c r="GW251" i="11"/>
  <c r="GX251" i="11"/>
  <c r="GY251" i="11"/>
  <c r="GZ251" i="11"/>
  <c r="HA251" i="11"/>
  <c r="HB251" i="11"/>
  <c r="HC251" i="11"/>
  <c r="HD251" i="11"/>
  <c r="HE251" i="11"/>
  <c r="HF251" i="11"/>
  <c r="HG251" i="11"/>
  <c r="HH251" i="11"/>
  <c r="HI251" i="11"/>
  <c r="HJ251" i="11"/>
  <c r="HK251" i="11"/>
  <c r="HL251" i="11"/>
  <c r="HM251" i="11"/>
  <c r="HN251" i="11"/>
  <c r="HO251" i="11"/>
  <c r="HP251" i="11"/>
  <c r="HQ251" i="11"/>
  <c r="HR251" i="11"/>
  <c r="HS251" i="11"/>
  <c r="HT251" i="11"/>
  <c r="HU251" i="11"/>
  <c r="HV251" i="11"/>
  <c r="HW251" i="11"/>
  <c r="HX251" i="11"/>
  <c r="HY251" i="11"/>
  <c r="HZ251" i="11"/>
  <c r="IA251" i="11"/>
  <c r="IB251" i="11"/>
  <c r="IC251" i="11"/>
  <c r="ID251" i="11"/>
  <c r="IE251" i="11"/>
  <c r="IF251" i="11"/>
  <c r="IG251" i="11"/>
  <c r="IH251" i="11"/>
  <c r="II251" i="11"/>
  <c r="IJ251" i="11"/>
  <c r="IK251" i="11"/>
  <c r="IL251" i="11"/>
  <c r="IM251" i="11"/>
  <c r="IN251" i="11"/>
  <c r="IO251" i="11"/>
  <c r="IP251" i="11"/>
  <c r="IQ251" i="11"/>
  <c r="IR251" i="11"/>
  <c r="IS251" i="11"/>
  <c r="IT251" i="11"/>
  <c r="IU251" i="11"/>
  <c r="IV251" i="11"/>
  <c r="F252" i="11"/>
  <c r="G252" i="11"/>
  <c r="H252" i="11"/>
  <c r="I252" i="11"/>
  <c r="J252" i="11"/>
  <c r="K252" i="11"/>
  <c r="L252" i="11"/>
  <c r="M252" i="11"/>
  <c r="N252" i="11"/>
  <c r="O252" i="11"/>
  <c r="P252" i="11"/>
  <c r="Q252" i="11"/>
  <c r="R252" i="11"/>
  <c r="S252" i="11"/>
  <c r="T252" i="11"/>
  <c r="U252" i="11"/>
  <c r="V252" i="11"/>
  <c r="W252" i="11"/>
  <c r="X252" i="11"/>
  <c r="Y252" i="11"/>
  <c r="Z252" i="11"/>
  <c r="AA252" i="11"/>
  <c r="AB252" i="11"/>
  <c r="AC252" i="11"/>
  <c r="AD252" i="11"/>
  <c r="AE252" i="11"/>
  <c r="AF252" i="11"/>
  <c r="AG252" i="11"/>
  <c r="AH252" i="11"/>
  <c r="AI252" i="11"/>
  <c r="AJ252" i="11"/>
  <c r="AK252" i="11"/>
  <c r="AL252" i="11"/>
  <c r="AM252" i="11"/>
  <c r="AN252" i="11"/>
  <c r="AO252" i="11"/>
  <c r="AP252" i="11"/>
  <c r="AQ252" i="11"/>
  <c r="AR252" i="11"/>
  <c r="AS252" i="11"/>
  <c r="AT252" i="11"/>
  <c r="AU252" i="11"/>
  <c r="AV252" i="11"/>
  <c r="AW252" i="11"/>
  <c r="AX252" i="11"/>
  <c r="AY252" i="11"/>
  <c r="AZ252" i="11"/>
  <c r="BA252" i="11"/>
  <c r="BB252" i="11"/>
  <c r="BC252" i="11"/>
  <c r="BD252" i="11"/>
  <c r="BE252" i="11"/>
  <c r="BF252" i="11"/>
  <c r="BG252" i="11"/>
  <c r="BH252" i="11"/>
  <c r="BI252" i="11"/>
  <c r="BJ252" i="11"/>
  <c r="BK252" i="11"/>
  <c r="BL252" i="11"/>
  <c r="BM252" i="11"/>
  <c r="BN252" i="11"/>
  <c r="BO252" i="11"/>
  <c r="BP252" i="11"/>
  <c r="BQ252" i="11"/>
  <c r="BR252" i="11"/>
  <c r="BS252" i="11"/>
  <c r="BT252" i="11"/>
  <c r="BU252" i="11"/>
  <c r="BV252" i="11"/>
  <c r="BW252" i="11"/>
  <c r="BX252" i="11"/>
  <c r="BY252" i="11"/>
  <c r="BZ252" i="11"/>
  <c r="CA252" i="11"/>
  <c r="CB252" i="11"/>
  <c r="CC252" i="11"/>
  <c r="CD252" i="11"/>
  <c r="CE252" i="11"/>
  <c r="CF252" i="11"/>
  <c r="CG252" i="11"/>
  <c r="CH252" i="11"/>
  <c r="CI252" i="11"/>
  <c r="CJ252" i="11"/>
  <c r="CK252" i="11"/>
  <c r="CL252" i="11"/>
  <c r="CM252" i="11"/>
  <c r="CN252" i="11"/>
  <c r="CO252" i="11"/>
  <c r="CP252" i="11"/>
  <c r="CQ252" i="11"/>
  <c r="CR252" i="11"/>
  <c r="CS252" i="11"/>
  <c r="CT252" i="11"/>
  <c r="CU252" i="11"/>
  <c r="CV252" i="11"/>
  <c r="CW252" i="11"/>
  <c r="CX252" i="11"/>
  <c r="CY252" i="11"/>
  <c r="CZ252" i="11"/>
  <c r="DA252" i="11"/>
  <c r="DB252" i="11"/>
  <c r="DC252" i="11"/>
  <c r="DD252" i="11"/>
  <c r="DE252" i="11"/>
  <c r="DF252" i="11"/>
  <c r="DG252" i="11"/>
  <c r="DH252" i="11"/>
  <c r="DI252" i="11"/>
  <c r="DJ252" i="11"/>
  <c r="DK252" i="11"/>
  <c r="DL252" i="11"/>
  <c r="DM252" i="11"/>
  <c r="DN252" i="11"/>
  <c r="DO252" i="11"/>
  <c r="DP252" i="11"/>
  <c r="DQ252" i="11"/>
  <c r="DR252" i="11"/>
  <c r="DS252" i="11"/>
  <c r="DT252" i="11"/>
  <c r="DU252" i="11"/>
  <c r="DV252" i="11"/>
  <c r="DW252" i="11"/>
  <c r="DX252" i="11"/>
  <c r="DY252" i="11"/>
  <c r="DZ252" i="11"/>
  <c r="EA252" i="11"/>
  <c r="EB252" i="11"/>
  <c r="EC252" i="11"/>
  <c r="ED252" i="11"/>
  <c r="EE252" i="11"/>
  <c r="EF252" i="11"/>
  <c r="EG252" i="11"/>
  <c r="EH252" i="11"/>
  <c r="EI252" i="11"/>
  <c r="EJ252" i="11"/>
  <c r="EK252" i="11"/>
  <c r="EL252" i="11"/>
  <c r="EM252" i="11"/>
  <c r="EN252" i="11"/>
  <c r="EO252" i="11"/>
  <c r="EP252" i="11"/>
  <c r="EQ252" i="11"/>
  <c r="ER252" i="11"/>
  <c r="ES252" i="11"/>
  <c r="ET252" i="11"/>
  <c r="EU252" i="11"/>
  <c r="EV252" i="11"/>
  <c r="EW252" i="11"/>
  <c r="EX252" i="11"/>
  <c r="EY252" i="11"/>
  <c r="EZ252" i="11"/>
  <c r="FA252" i="11"/>
  <c r="FB252" i="11"/>
  <c r="FC252" i="11"/>
  <c r="FD252" i="11"/>
  <c r="FE252" i="11"/>
  <c r="FF252" i="11"/>
  <c r="FG252" i="11"/>
  <c r="FH252" i="11"/>
  <c r="FI252" i="11"/>
  <c r="FJ252" i="11"/>
  <c r="FK252" i="11"/>
  <c r="FL252" i="11"/>
  <c r="FM252" i="11"/>
  <c r="FN252" i="11"/>
  <c r="FO252" i="11"/>
  <c r="FP252" i="11"/>
  <c r="FQ252" i="11"/>
  <c r="FR252" i="11"/>
  <c r="FS252" i="11"/>
  <c r="FT252" i="11"/>
  <c r="FU252" i="11"/>
  <c r="FV252" i="11"/>
  <c r="FW252" i="11"/>
  <c r="FX252" i="11"/>
  <c r="FY252" i="11"/>
  <c r="FZ252" i="11"/>
  <c r="GA252" i="11"/>
  <c r="GB252" i="11"/>
  <c r="GC252" i="11"/>
  <c r="GD252" i="11"/>
  <c r="GE252" i="11"/>
  <c r="GF252" i="11"/>
  <c r="GG252" i="11"/>
  <c r="GH252" i="11"/>
  <c r="GI252" i="11"/>
  <c r="GJ252" i="11"/>
  <c r="GK252" i="11"/>
  <c r="GL252" i="11"/>
  <c r="GM252" i="11"/>
  <c r="GN252" i="11"/>
  <c r="GO252" i="11"/>
  <c r="GP252" i="11"/>
  <c r="GQ252" i="11"/>
  <c r="GR252" i="11"/>
  <c r="GS252" i="11"/>
  <c r="GT252" i="11"/>
  <c r="GU252" i="11"/>
  <c r="GV252" i="11"/>
  <c r="GW252" i="11"/>
  <c r="GX252" i="11"/>
  <c r="GY252" i="11"/>
  <c r="GZ252" i="11"/>
  <c r="HA252" i="11"/>
  <c r="HB252" i="11"/>
  <c r="HC252" i="11"/>
  <c r="HD252" i="11"/>
  <c r="HE252" i="11"/>
  <c r="HF252" i="11"/>
  <c r="HG252" i="11"/>
  <c r="HH252" i="11"/>
  <c r="HI252" i="11"/>
  <c r="HJ252" i="11"/>
  <c r="HK252" i="11"/>
  <c r="HL252" i="11"/>
  <c r="HM252" i="11"/>
  <c r="HN252" i="11"/>
  <c r="HO252" i="11"/>
  <c r="HP252" i="11"/>
  <c r="HQ252" i="11"/>
  <c r="HR252" i="11"/>
  <c r="HS252" i="11"/>
  <c r="HT252" i="11"/>
  <c r="HU252" i="11"/>
  <c r="HV252" i="11"/>
  <c r="HW252" i="11"/>
  <c r="HX252" i="11"/>
  <c r="HY252" i="11"/>
  <c r="HZ252" i="11"/>
  <c r="IA252" i="11"/>
  <c r="IB252" i="11"/>
  <c r="IC252" i="11"/>
  <c r="ID252" i="11"/>
  <c r="IE252" i="11"/>
  <c r="IF252" i="11"/>
  <c r="IG252" i="11"/>
  <c r="IH252" i="11"/>
  <c r="II252" i="11"/>
  <c r="IJ252" i="11"/>
  <c r="IK252" i="11"/>
  <c r="IL252" i="11"/>
  <c r="IM252" i="11"/>
  <c r="IN252" i="11"/>
  <c r="IO252" i="11"/>
  <c r="IP252" i="11"/>
  <c r="IQ252" i="11"/>
  <c r="IR252" i="11"/>
  <c r="IS252" i="11"/>
  <c r="IT252" i="11"/>
  <c r="IU252" i="11"/>
  <c r="IV252" i="11"/>
  <c r="F253" i="11"/>
  <c r="G253" i="11"/>
  <c r="H253" i="11"/>
  <c r="I253" i="11"/>
  <c r="J253" i="11"/>
  <c r="K253" i="11"/>
  <c r="L253" i="11"/>
  <c r="M253" i="11"/>
  <c r="N253" i="11"/>
  <c r="O253" i="11"/>
  <c r="P253" i="11"/>
  <c r="Q253" i="11"/>
  <c r="R253" i="11"/>
  <c r="S253" i="11"/>
  <c r="T253" i="11"/>
  <c r="U253" i="11"/>
  <c r="V253" i="11"/>
  <c r="W253" i="11"/>
  <c r="X253" i="11"/>
  <c r="Y253" i="11"/>
  <c r="Z253" i="11"/>
  <c r="AA253" i="11"/>
  <c r="AB253" i="11"/>
  <c r="AC253" i="11"/>
  <c r="AD253" i="11"/>
  <c r="AE253" i="11"/>
  <c r="AF253" i="11"/>
  <c r="AG253" i="11"/>
  <c r="AH253" i="11"/>
  <c r="AI253" i="11"/>
  <c r="AJ253" i="11"/>
  <c r="AK253" i="11"/>
  <c r="AL253" i="11"/>
  <c r="AM253" i="11"/>
  <c r="AN253" i="11"/>
  <c r="AO253" i="11"/>
  <c r="AP253" i="11"/>
  <c r="AQ253" i="11"/>
  <c r="AR253" i="11"/>
  <c r="AS253" i="11"/>
  <c r="AT253" i="11"/>
  <c r="AU253" i="11"/>
  <c r="AV253" i="11"/>
  <c r="AW253" i="11"/>
  <c r="AX253" i="11"/>
  <c r="AY253" i="11"/>
  <c r="AZ253" i="11"/>
  <c r="BA253" i="11"/>
  <c r="BB253" i="11"/>
  <c r="BC253" i="11"/>
  <c r="BD253" i="11"/>
  <c r="BE253" i="11"/>
  <c r="BF253" i="11"/>
  <c r="BG253" i="11"/>
  <c r="BH253" i="11"/>
  <c r="BI253" i="11"/>
  <c r="BJ253" i="11"/>
  <c r="BK253" i="11"/>
  <c r="BL253" i="11"/>
  <c r="BM253" i="11"/>
  <c r="BN253" i="11"/>
  <c r="BO253" i="11"/>
  <c r="BP253" i="11"/>
  <c r="BQ253" i="11"/>
  <c r="BR253" i="11"/>
  <c r="BS253" i="11"/>
  <c r="BT253" i="11"/>
  <c r="BU253" i="11"/>
  <c r="BV253" i="11"/>
  <c r="BW253" i="11"/>
  <c r="BX253" i="11"/>
  <c r="BY253" i="11"/>
  <c r="BZ253" i="11"/>
  <c r="CA253" i="11"/>
  <c r="CB253" i="11"/>
  <c r="CC253" i="11"/>
  <c r="CD253" i="11"/>
  <c r="CE253" i="11"/>
  <c r="CF253" i="11"/>
  <c r="CG253" i="11"/>
  <c r="CH253" i="11"/>
  <c r="CI253" i="11"/>
  <c r="CJ253" i="11"/>
  <c r="CK253" i="11"/>
  <c r="CL253" i="11"/>
  <c r="CM253" i="11"/>
  <c r="CN253" i="11"/>
  <c r="CO253" i="11"/>
  <c r="CP253" i="11"/>
  <c r="CQ253" i="11"/>
  <c r="CR253" i="11"/>
  <c r="CS253" i="11"/>
  <c r="CT253" i="11"/>
  <c r="CU253" i="11"/>
  <c r="CV253" i="11"/>
  <c r="CW253" i="11"/>
  <c r="CX253" i="11"/>
  <c r="CY253" i="11"/>
  <c r="CZ253" i="11"/>
  <c r="DA253" i="11"/>
  <c r="DB253" i="11"/>
  <c r="DC253" i="11"/>
  <c r="DD253" i="11"/>
  <c r="DE253" i="11"/>
  <c r="DF253" i="11"/>
  <c r="DG253" i="11"/>
  <c r="DH253" i="11"/>
  <c r="DI253" i="11"/>
  <c r="DJ253" i="11"/>
  <c r="DK253" i="11"/>
  <c r="DL253" i="11"/>
  <c r="DM253" i="11"/>
  <c r="DN253" i="11"/>
  <c r="DO253" i="11"/>
  <c r="DP253" i="11"/>
  <c r="DQ253" i="11"/>
  <c r="DR253" i="11"/>
  <c r="DS253" i="11"/>
  <c r="DT253" i="11"/>
  <c r="DU253" i="11"/>
  <c r="DV253" i="11"/>
  <c r="DW253" i="11"/>
  <c r="DX253" i="11"/>
  <c r="DY253" i="11"/>
  <c r="DZ253" i="11"/>
  <c r="EA253" i="11"/>
  <c r="EB253" i="11"/>
  <c r="EC253" i="11"/>
  <c r="ED253" i="11"/>
  <c r="EE253" i="11"/>
  <c r="EF253" i="11"/>
  <c r="EG253" i="11"/>
  <c r="EH253" i="11"/>
  <c r="EI253" i="11"/>
  <c r="EJ253" i="11"/>
  <c r="EK253" i="11"/>
  <c r="EL253" i="11"/>
  <c r="EM253" i="11"/>
  <c r="EN253" i="11"/>
  <c r="EO253" i="11"/>
  <c r="EP253" i="11"/>
  <c r="EQ253" i="11"/>
  <c r="ER253" i="11"/>
  <c r="ES253" i="11"/>
  <c r="ET253" i="11"/>
  <c r="EU253" i="11"/>
  <c r="EV253" i="11"/>
  <c r="EW253" i="11"/>
  <c r="EX253" i="11"/>
  <c r="EY253" i="11"/>
  <c r="EZ253" i="11"/>
  <c r="FA253" i="11"/>
  <c r="FB253" i="11"/>
  <c r="FC253" i="11"/>
  <c r="FD253" i="11"/>
  <c r="FE253" i="11"/>
  <c r="FF253" i="11"/>
  <c r="FG253" i="11"/>
  <c r="FH253" i="11"/>
  <c r="FI253" i="11"/>
  <c r="FJ253" i="11"/>
  <c r="FK253" i="11"/>
  <c r="FL253" i="11"/>
  <c r="FM253" i="11"/>
  <c r="FN253" i="11"/>
  <c r="FO253" i="11"/>
  <c r="FP253" i="11"/>
  <c r="FQ253" i="11"/>
  <c r="FR253" i="11"/>
  <c r="FS253" i="11"/>
  <c r="FT253" i="11"/>
  <c r="FU253" i="11"/>
  <c r="FV253" i="11"/>
  <c r="FW253" i="11"/>
  <c r="FX253" i="11"/>
  <c r="FY253" i="11"/>
  <c r="FZ253" i="11"/>
  <c r="GA253" i="11"/>
  <c r="GB253" i="11"/>
  <c r="GC253" i="11"/>
  <c r="GD253" i="11"/>
  <c r="GE253" i="11"/>
  <c r="GF253" i="11"/>
  <c r="GG253" i="11"/>
  <c r="GH253" i="11"/>
  <c r="GI253" i="11"/>
  <c r="GJ253" i="11"/>
  <c r="GK253" i="11"/>
  <c r="GL253" i="11"/>
  <c r="GM253" i="11"/>
  <c r="GN253" i="11"/>
  <c r="GO253" i="11"/>
  <c r="GP253" i="11"/>
  <c r="GQ253" i="11"/>
  <c r="GR253" i="11"/>
  <c r="GS253" i="11"/>
  <c r="GT253" i="11"/>
  <c r="GU253" i="11"/>
  <c r="GV253" i="11"/>
  <c r="GW253" i="11"/>
  <c r="GX253" i="11"/>
  <c r="GY253" i="11"/>
  <c r="GZ253" i="11"/>
  <c r="HA253" i="11"/>
  <c r="HB253" i="11"/>
  <c r="HC253" i="11"/>
  <c r="HD253" i="11"/>
  <c r="HE253" i="11"/>
  <c r="HF253" i="11"/>
  <c r="HG253" i="11"/>
  <c r="HH253" i="11"/>
  <c r="HI253" i="11"/>
  <c r="HJ253" i="11"/>
  <c r="HK253" i="11"/>
  <c r="HL253" i="11"/>
  <c r="HM253" i="11"/>
  <c r="HN253" i="11"/>
  <c r="HO253" i="11"/>
  <c r="HP253" i="11"/>
  <c r="HQ253" i="11"/>
  <c r="HR253" i="11"/>
  <c r="HS253" i="11"/>
  <c r="HT253" i="11"/>
  <c r="HU253" i="11"/>
  <c r="HV253" i="11"/>
  <c r="HW253" i="11"/>
  <c r="HX253" i="11"/>
  <c r="HY253" i="11"/>
  <c r="HZ253" i="11"/>
  <c r="IA253" i="11"/>
  <c r="IB253" i="11"/>
  <c r="IC253" i="11"/>
  <c r="ID253" i="11"/>
  <c r="IE253" i="11"/>
  <c r="IF253" i="11"/>
  <c r="IG253" i="11"/>
  <c r="IH253" i="11"/>
  <c r="II253" i="11"/>
  <c r="IJ253" i="11"/>
  <c r="IK253" i="11"/>
  <c r="IL253" i="11"/>
  <c r="IM253" i="11"/>
  <c r="IN253" i="11"/>
  <c r="IO253" i="11"/>
  <c r="IP253" i="11"/>
  <c r="IQ253" i="11"/>
  <c r="IR253" i="11"/>
  <c r="IS253" i="11"/>
  <c r="IT253" i="11"/>
  <c r="IU253" i="11"/>
  <c r="IV253" i="11"/>
  <c r="F254" i="11"/>
  <c r="G254" i="11"/>
  <c r="H254" i="11"/>
  <c r="I254" i="11"/>
  <c r="J254" i="11"/>
  <c r="K254" i="11"/>
  <c r="L254" i="11"/>
  <c r="M254" i="11"/>
  <c r="N254" i="11"/>
  <c r="O254" i="11"/>
  <c r="P254" i="11"/>
  <c r="Q254" i="11"/>
  <c r="R254" i="11"/>
  <c r="S254" i="11"/>
  <c r="T254" i="11"/>
  <c r="U254" i="11"/>
  <c r="V254" i="11"/>
  <c r="W254" i="11"/>
  <c r="X254" i="11"/>
  <c r="Y254" i="11"/>
  <c r="Z254" i="11"/>
  <c r="AA254" i="11"/>
  <c r="AB254" i="11"/>
  <c r="AC254" i="11"/>
  <c r="AD254" i="11"/>
  <c r="AE254" i="11"/>
  <c r="AF254" i="11"/>
  <c r="AG254" i="11"/>
  <c r="AH254" i="11"/>
  <c r="AI254" i="11"/>
  <c r="AJ254" i="11"/>
  <c r="AK254" i="11"/>
  <c r="AL254" i="11"/>
  <c r="AM254" i="11"/>
  <c r="AN254" i="11"/>
  <c r="AO254" i="11"/>
  <c r="AP254" i="11"/>
  <c r="AQ254" i="11"/>
  <c r="AR254" i="11"/>
  <c r="AS254" i="11"/>
  <c r="AT254" i="11"/>
  <c r="AU254" i="11"/>
  <c r="AV254" i="11"/>
  <c r="AW254" i="11"/>
  <c r="AX254" i="11"/>
  <c r="AY254" i="11"/>
  <c r="AZ254" i="11"/>
  <c r="BA254" i="11"/>
  <c r="BB254" i="11"/>
  <c r="BC254" i="11"/>
  <c r="BD254" i="11"/>
  <c r="BE254" i="11"/>
  <c r="BF254" i="11"/>
  <c r="BG254" i="11"/>
  <c r="BH254" i="11"/>
  <c r="BI254" i="11"/>
  <c r="BJ254" i="11"/>
  <c r="BK254" i="11"/>
  <c r="BL254" i="11"/>
  <c r="BM254" i="11"/>
  <c r="BN254" i="11"/>
  <c r="BO254" i="11"/>
  <c r="BP254" i="11"/>
  <c r="BQ254" i="11"/>
  <c r="BR254" i="11"/>
  <c r="BS254" i="11"/>
  <c r="BT254" i="11"/>
  <c r="BU254" i="11"/>
  <c r="BV254" i="11"/>
  <c r="BW254" i="11"/>
  <c r="BX254" i="11"/>
  <c r="BY254" i="11"/>
  <c r="BZ254" i="11"/>
  <c r="CA254" i="11"/>
  <c r="CB254" i="11"/>
  <c r="CC254" i="11"/>
  <c r="CD254" i="11"/>
  <c r="CE254" i="11"/>
  <c r="CF254" i="11"/>
  <c r="CG254" i="11"/>
  <c r="CH254" i="11"/>
  <c r="CI254" i="11"/>
  <c r="CJ254" i="11"/>
  <c r="CK254" i="11"/>
  <c r="CL254" i="11"/>
  <c r="CM254" i="11"/>
  <c r="CN254" i="11"/>
  <c r="CO254" i="11"/>
  <c r="CP254" i="11"/>
  <c r="CQ254" i="11"/>
  <c r="CR254" i="11"/>
  <c r="CS254" i="11"/>
  <c r="CT254" i="11"/>
  <c r="CU254" i="11"/>
  <c r="CV254" i="11"/>
  <c r="CW254" i="11"/>
  <c r="CX254" i="11"/>
  <c r="CY254" i="11"/>
  <c r="CZ254" i="11"/>
  <c r="DA254" i="11"/>
  <c r="DB254" i="11"/>
  <c r="DC254" i="11"/>
  <c r="DD254" i="11"/>
  <c r="DE254" i="11"/>
  <c r="DF254" i="11"/>
  <c r="DG254" i="11"/>
  <c r="DH254" i="11"/>
  <c r="DI254" i="11"/>
  <c r="DJ254" i="11"/>
  <c r="DK254" i="11"/>
  <c r="DL254" i="11"/>
  <c r="DM254" i="11"/>
  <c r="DN254" i="11"/>
  <c r="DO254" i="11"/>
  <c r="DP254" i="11"/>
  <c r="DQ254" i="11"/>
  <c r="DR254" i="11"/>
  <c r="DS254" i="11"/>
  <c r="DT254" i="11"/>
  <c r="DU254" i="11"/>
  <c r="DV254" i="11"/>
  <c r="DW254" i="11"/>
  <c r="DX254" i="11"/>
  <c r="DY254" i="11"/>
  <c r="DZ254" i="11"/>
  <c r="EA254" i="11"/>
  <c r="EB254" i="11"/>
  <c r="EC254" i="11"/>
  <c r="ED254" i="11"/>
  <c r="EE254" i="11"/>
  <c r="EF254" i="11"/>
  <c r="EG254" i="11"/>
  <c r="EH254" i="11"/>
  <c r="EI254" i="11"/>
  <c r="EJ254" i="11"/>
  <c r="EK254" i="11"/>
  <c r="EL254" i="11"/>
  <c r="EM254" i="11"/>
  <c r="EN254" i="11"/>
  <c r="EO254" i="11"/>
  <c r="EP254" i="11"/>
  <c r="EQ254" i="11"/>
  <c r="ER254" i="11"/>
  <c r="ES254" i="11"/>
  <c r="ET254" i="11"/>
  <c r="EU254" i="11"/>
  <c r="EV254" i="11"/>
  <c r="EW254" i="11"/>
  <c r="EX254" i="11"/>
  <c r="EY254" i="11"/>
  <c r="EZ254" i="11"/>
  <c r="FA254" i="11"/>
  <c r="FB254" i="11"/>
  <c r="FC254" i="11"/>
  <c r="FD254" i="11"/>
  <c r="FE254" i="11"/>
  <c r="FF254" i="11"/>
  <c r="FG254" i="11"/>
  <c r="FH254" i="11"/>
  <c r="FI254" i="11"/>
  <c r="FJ254" i="11"/>
  <c r="FK254" i="11"/>
  <c r="FL254" i="11"/>
  <c r="FM254" i="11"/>
  <c r="FN254" i="11"/>
  <c r="FO254" i="11"/>
  <c r="FP254" i="11"/>
  <c r="FQ254" i="11"/>
  <c r="FR254" i="11"/>
  <c r="FS254" i="11"/>
  <c r="FT254" i="11"/>
  <c r="FU254" i="11"/>
  <c r="FV254" i="11"/>
  <c r="FW254" i="11"/>
  <c r="FX254" i="11"/>
  <c r="FY254" i="11"/>
  <c r="FZ254" i="11"/>
  <c r="GA254" i="11"/>
  <c r="GB254" i="11"/>
  <c r="GC254" i="11"/>
  <c r="GD254" i="11"/>
  <c r="GE254" i="11"/>
  <c r="GF254" i="11"/>
  <c r="GG254" i="11"/>
  <c r="GH254" i="11"/>
  <c r="GI254" i="11"/>
  <c r="GJ254" i="11"/>
  <c r="GK254" i="11"/>
  <c r="GL254" i="11"/>
  <c r="GM254" i="11"/>
  <c r="GN254" i="11"/>
  <c r="GO254" i="11"/>
  <c r="GP254" i="11"/>
  <c r="GQ254" i="11"/>
  <c r="GR254" i="11"/>
  <c r="GS254" i="11"/>
  <c r="GT254" i="11"/>
  <c r="GU254" i="11"/>
  <c r="GV254" i="11"/>
  <c r="GW254" i="11"/>
  <c r="GX254" i="11"/>
  <c r="GY254" i="11"/>
  <c r="GZ254" i="11"/>
  <c r="HA254" i="11"/>
  <c r="HB254" i="11"/>
  <c r="HC254" i="11"/>
  <c r="HD254" i="11"/>
  <c r="HE254" i="11"/>
  <c r="HF254" i="11"/>
  <c r="HG254" i="11"/>
  <c r="HH254" i="11"/>
  <c r="HI254" i="11"/>
  <c r="HJ254" i="11"/>
  <c r="HK254" i="11"/>
  <c r="HL254" i="11"/>
  <c r="HM254" i="11"/>
  <c r="HN254" i="11"/>
  <c r="HO254" i="11"/>
  <c r="HP254" i="11"/>
  <c r="HQ254" i="11"/>
  <c r="HR254" i="11"/>
  <c r="HS254" i="11"/>
  <c r="HT254" i="11"/>
  <c r="HU254" i="11"/>
  <c r="HV254" i="11"/>
  <c r="HW254" i="11"/>
  <c r="HX254" i="11"/>
  <c r="HY254" i="11"/>
  <c r="HZ254" i="11"/>
  <c r="IA254" i="11"/>
  <c r="IB254" i="11"/>
  <c r="IC254" i="11"/>
  <c r="ID254" i="11"/>
  <c r="IE254" i="11"/>
  <c r="IF254" i="11"/>
  <c r="IG254" i="11"/>
  <c r="IH254" i="11"/>
  <c r="II254" i="11"/>
  <c r="IJ254" i="11"/>
  <c r="IK254" i="11"/>
  <c r="IL254" i="11"/>
  <c r="IM254" i="11"/>
  <c r="IN254" i="11"/>
  <c r="IO254" i="11"/>
  <c r="IP254" i="11"/>
  <c r="IQ254" i="11"/>
  <c r="IR254" i="11"/>
  <c r="IS254" i="11"/>
  <c r="IT254" i="11"/>
  <c r="IU254" i="11"/>
  <c r="IV254" i="11"/>
  <c r="F255" i="11"/>
  <c r="G255" i="11"/>
  <c r="H255" i="11"/>
  <c r="I255" i="11"/>
  <c r="J255" i="11"/>
  <c r="K255" i="11"/>
  <c r="L255" i="11"/>
  <c r="M255" i="11"/>
  <c r="N255" i="11"/>
  <c r="O255" i="11"/>
  <c r="P255" i="11"/>
  <c r="Q255" i="11"/>
  <c r="R255" i="11"/>
  <c r="S255" i="11"/>
  <c r="T255" i="11"/>
  <c r="U255" i="11"/>
  <c r="V255" i="11"/>
  <c r="W255" i="11"/>
  <c r="X255" i="11"/>
  <c r="Y255" i="11"/>
  <c r="Z255" i="11"/>
  <c r="AA255" i="11"/>
  <c r="AB255" i="11"/>
  <c r="AC255" i="11"/>
  <c r="AD255" i="11"/>
  <c r="AE255" i="11"/>
  <c r="AF255" i="11"/>
  <c r="AG255" i="11"/>
  <c r="AH255" i="11"/>
  <c r="AI255" i="11"/>
  <c r="AJ255" i="11"/>
  <c r="AK255" i="11"/>
  <c r="AL255" i="11"/>
  <c r="AM255" i="11"/>
  <c r="AN255" i="11"/>
  <c r="AO255" i="11"/>
  <c r="AP255" i="11"/>
  <c r="AQ255" i="11"/>
  <c r="AR255" i="11"/>
  <c r="AS255" i="11"/>
  <c r="AT255" i="11"/>
  <c r="AU255" i="11"/>
  <c r="AV255" i="11"/>
  <c r="AW255" i="11"/>
  <c r="AX255" i="11"/>
  <c r="AY255" i="11"/>
  <c r="AZ255" i="11"/>
  <c r="BA255" i="11"/>
  <c r="BB255" i="11"/>
  <c r="BC255" i="11"/>
  <c r="BD255" i="11"/>
  <c r="BE255" i="11"/>
  <c r="BF255" i="11"/>
  <c r="BG255" i="11"/>
  <c r="BH255" i="11"/>
  <c r="BI255" i="11"/>
  <c r="BJ255" i="11"/>
  <c r="BK255" i="11"/>
  <c r="BL255" i="11"/>
  <c r="BM255" i="11"/>
  <c r="BN255" i="11"/>
  <c r="BO255" i="11"/>
  <c r="BP255" i="11"/>
  <c r="BQ255" i="11"/>
  <c r="BR255" i="11"/>
  <c r="BS255" i="11"/>
  <c r="BT255" i="11"/>
  <c r="BU255" i="11"/>
  <c r="BV255" i="11"/>
  <c r="BW255" i="11"/>
  <c r="BX255" i="11"/>
  <c r="BY255" i="11"/>
  <c r="BZ255" i="11"/>
  <c r="CA255" i="11"/>
  <c r="CB255" i="11"/>
  <c r="CC255" i="11"/>
  <c r="CD255" i="11"/>
  <c r="CE255" i="11"/>
  <c r="CF255" i="11"/>
  <c r="CG255" i="11"/>
  <c r="CH255" i="11"/>
  <c r="CI255" i="11"/>
  <c r="CJ255" i="11"/>
  <c r="CK255" i="11"/>
  <c r="CL255" i="11"/>
  <c r="CM255" i="11"/>
  <c r="CN255" i="11"/>
  <c r="CO255" i="11"/>
  <c r="CP255" i="11"/>
  <c r="CQ255" i="11"/>
  <c r="CR255" i="11"/>
  <c r="CS255" i="11"/>
  <c r="CT255" i="11"/>
  <c r="CU255" i="11"/>
  <c r="CV255" i="11"/>
  <c r="CW255" i="11"/>
  <c r="CX255" i="11"/>
  <c r="CY255" i="11"/>
  <c r="CZ255" i="11"/>
  <c r="DA255" i="11"/>
  <c r="DB255" i="11"/>
  <c r="DC255" i="11"/>
  <c r="DD255" i="11"/>
  <c r="DE255" i="11"/>
  <c r="DF255" i="11"/>
  <c r="DG255" i="11"/>
  <c r="DH255" i="11"/>
  <c r="DI255" i="11"/>
  <c r="DJ255" i="11"/>
  <c r="DK255" i="11"/>
  <c r="DL255" i="11"/>
  <c r="DM255" i="11"/>
  <c r="DN255" i="11"/>
  <c r="DO255" i="11"/>
  <c r="DP255" i="11"/>
  <c r="DQ255" i="11"/>
  <c r="DR255" i="11"/>
  <c r="DS255" i="11"/>
  <c r="DT255" i="11"/>
  <c r="DU255" i="11"/>
  <c r="DV255" i="11"/>
  <c r="DW255" i="11"/>
  <c r="DX255" i="11"/>
  <c r="DY255" i="11"/>
  <c r="DZ255" i="11"/>
  <c r="EA255" i="11"/>
  <c r="EB255" i="11"/>
  <c r="EC255" i="11"/>
  <c r="ED255" i="11"/>
  <c r="EE255" i="11"/>
  <c r="EF255" i="11"/>
  <c r="EG255" i="11"/>
  <c r="EH255" i="11"/>
  <c r="EI255" i="11"/>
  <c r="EJ255" i="11"/>
  <c r="EK255" i="11"/>
  <c r="EL255" i="11"/>
  <c r="EM255" i="11"/>
  <c r="EN255" i="11"/>
  <c r="EO255" i="11"/>
  <c r="EP255" i="11"/>
  <c r="EQ255" i="11"/>
  <c r="ER255" i="11"/>
  <c r="ES255" i="11"/>
  <c r="ET255" i="11"/>
  <c r="EU255" i="11"/>
  <c r="EV255" i="11"/>
  <c r="EW255" i="11"/>
  <c r="EX255" i="11"/>
  <c r="EY255" i="11"/>
  <c r="EZ255" i="11"/>
  <c r="FA255" i="11"/>
  <c r="FB255" i="11"/>
  <c r="FC255" i="11"/>
  <c r="FD255" i="11"/>
  <c r="FE255" i="11"/>
  <c r="FF255" i="11"/>
  <c r="FG255" i="11"/>
  <c r="FH255" i="11"/>
  <c r="FI255" i="11"/>
  <c r="FJ255" i="11"/>
  <c r="FK255" i="11"/>
  <c r="FL255" i="11"/>
  <c r="FM255" i="11"/>
  <c r="FN255" i="11"/>
  <c r="FO255" i="11"/>
  <c r="FP255" i="11"/>
  <c r="FQ255" i="11"/>
  <c r="FR255" i="11"/>
  <c r="FS255" i="11"/>
  <c r="FT255" i="11"/>
  <c r="FU255" i="11"/>
  <c r="FV255" i="11"/>
  <c r="FW255" i="11"/>
  <c r="FX255" i="11"/>
  <c r="FY255" i="11"/>
  <c r="FZ255" i="11"/>
  <c r="GA255" i="11"/>
  <c r="GB255" i="11"/>
  <c r="GC255" i="11"/>
  <c r="GD255" i="11"/>
  <c r="GE255" i="11"/>
  <c r="GF255" i="11"/>
  <c r="GG255" i="11"/>
  <c r="GH255" i="11"/>
  <c r="GI255" i="11"/>
  <c r="GJ255" i="11"/>
  <c r="GK255" i="11"/>
  <c r="GL255" i="11"/>
  <c r="GM255" i="11"/>
  <c r="GN255" i="11"/>
  <c r="GO255" i="11"/>
  <c r="GP255" i="11"/>
  <c r="GQ255" i="11"/>
  <c r="GR255" i="11"/>
  <c r="GS255" i="11"/>
  <c r="GT255" i="11"/>
  <c r="GU255" i="11"/>
  <c r="GV255" i="11"/>
  <c r="GW255" i="11"/>
  <c r="GX255" i="11"/>
  <c r="GY255" i="11"/>
  <c r="GZ255" i="11"/>
  <c r="HA255" i="11"/>
  <c r="HB255" i="11"/>
  <c r="HC255" i="11"/>
  <c r="HD255" i="11"/>
  <c r="HE255" i="11"/>
  <c r="HF255" i="11"/>
  <c r="HG255" i="11"/>
  <c r="HH255" i="11"/>
  <c r="HI255" i="11"/>
  <c r="HJ255" i="11"/>
  <c r="HK255" i="11"/>
  <c r="HL255" i="11"/>
  <c r="HM255" i="11"/>
  <c r="HN255" i="11"/>
  <c r="HO255" i="11"/>
  <c r="HP255" i="11"/>
  <c r="HQ255" i="11"/>
  <c r="HR255" i="11"/>
  <c r="HS255" i="11"/>
  <c r="HT255" i="11"/>
  <c r="HU255" i="11"/>
  <c r="HV255" i="11"/>
  <c r="HW255" i="11"/>
  <c r="HX255" i="11"/>
  <c r="HY255" i="11"/>
  <c r="HZ255" i="11"/>
  <c r="IA255" i="11"/>
  <c r="IB255" i="11"/>
  <c r="IC255" i="11"/>
  <c r="ID255" i="11"/>
  <c r="IE255" i="11"/>
  <c r="IF255" i="11"/>
  <c r="IG255" i="11"/>
  <c r="IH255" i="11"/>
  <c r="II255" i="11"/>
  <c r="IJ255" i="11"/>
  <c r="IK255" i="11"/>
  <c r="IL255" i="11"/>
  <c r="IM255" i="11"/>
  <c r="IN255" i="11"/>
  <c r="IO255" i="11"/>
  <c r="IP255" i="11"/>
  <c r="IQ255" i="11"/>
  <c r="IR255" i="11"/>
  <c r="IS255" i="11"/>
  <c r="IT255" i="11"/>
  <c r="IU255" i="11"/>
  <c r="IV255" i="11"/>
  <c r="F256" i="11"/>
  <c r="G256" i="11"/>
  <c r="H256" i="11"/>
  <c r="I256" i="11"/>
  <c r="J256" i="11"/>
  <c r="K256" i="11"/>
  <c r="L256" i="11"/>
  <c r="M256" i="11"/>
  <c r="N256" i="11"/>
  <c r="O256" i="11"/>
  <c r="P256" i="11"/>
  <c r="Q256" i="11"/>
  <c r="R256" i="11"/>
  <c r="S256" i="11"/>
  <c r="T256" i="11"/>
  <c r="U256" i="11"/>
  <c r="V256" i="11"/>
  <c r="W256" i="11"/>
  <c r="X256" i="11"/>
  <c r="Y256" i="11"/>
  <c r="Z256" i="11"/>
  <c r="AA256" i="11"/>
  <c r="AB256" i="11"/>
  <c r="AC256" i="11"/>
  <c r="AD256" i="11"/>
  <c r="AE256" i="11"/>
  <c r="AF256" i="11"/>
  <c r="AG256" i="11"/>
  <c r="AH256" i="11"/>
  <c r="AI256" i="11"/>
  <c r="AJ256" i="11"/>
  <c r="AK256" i="11"/>
  <c r="AL256" i="11"/>
  <c r="AM256" i="11"/>
  <c r="AN256" i="11"/>
  <c r="AO256" i="11"/>
  <c r="AP256" i="11"/>
  <c r="AQ256" i="11"/>
  <c r="AR256" i="11"/>
  <c r="AS256" i="11"/>
  <c r="AT256" i="11"/>
  <c r="AU256" i="11"/>
  <c r="AV256" i="11"/>
  <c r="AW256" i="11"/>
  <c r="AX256" i="11"/>
  <c r="AY256" i="11"/>
  <c r="AZ256" i="11"/>
  <c r="BA256" i="11"/>
  <c r="BB256" i="11"/>
  <c r="BC256" i="11"/>
  <c r="BD256" i="11"/>
  <c r="BE256" i="11"/>
  <c r="BF256" i="11"/>
  <c r="BG256" i="11"/>
  <c r="BH256" i="11"/>
  <c r="BI256" i="11"/>
  <c r="BJ256" i="11"/>
  <c r="BK256" i="11"/>
  <c r="BL256" i="11"/>
  <c r="BM256" i="11"/>
  <c r="BN256" i="11"/>
  <c r="BO256" i="11"/>
  <c r="BP256" i="11"/>
  <c r="BQ256" i="11"/>
  <c r="BR256" i="11"/>
  <c r="BS256" i="11"/>
  <c r="BT256" i="11"/>
  <c r="BU256" i="11"/>
  <c r="BV256" i="11"/>
  <c r="BW256" i="11"/>
  <c r="BX256" i="11"/>
  <c r="BY256" i="11"/>
  <c r="BZ256" i="11"/>
  <c r="CA256" i="11"/>
  <c r="CB256" i="11"/>
  <c r="CC256" i="11"/>
  <c r="CD256" i="11"/>
  <c r="CE256" i="11"/>
  <c r="CF256" i="11"/>
  <c r="CG256" i="11"/>
  <c r="CH256" i="11"/>
  <c r="CI256" i="11"/>
  <c r="CJ256" i="11"/>
  <c r="CK256" i="11"/>
  <c r="CL256" i="11"/>
  <c r="CM256" i="11"/>
  <c r="CN256" i="11"/>
  <c r="CO256" i="11"/>
  <c r="CP256" i="11"/>
  <c r="CQ256" i="11"/>
  <c r="CR256" i="11"/>
  <c r="CS256" i="11"/>
  <c r="CT256" i="11"/>
  <c r="CU256" i="11"/>
  <c r="CV256" i="11"/>
  <c r="CW256" i="11"/>
  <c r="CX256" i="11"/>
  <c r="CY256" i="11"/>
  <c r="CZ256" i="11"/>
  <c r="DA256" i="11"/>
  <c r="DB256" i="11"/>
  <c r="DC256" i="11"/>
  <c r="DD256" i="11"/>
  <c r="DE256" i="11"/>
  <c r="DF256" i="11"/>
  <c r="DG256" i="11"/>
  <c r="DH256" i="11"/>
  <c r="DI256" i="11"/>
  <c r="DJ256" i="11"/>
  <c r="DK256" i="11"/>
  <c r="DL256" i="11"/>
  <c r="DM256" i="11"/>
  <c r="DN256" i="11"/>
  <c r="DO256" i="11"/>
  <c r="DP256" i="11"/>
  <c r="DQ256" i="11"/>
  <c r="DR256" i="11"/>
  <c r="DS256" i="11"/>
  <c r="DT256" i="11"/>
  <c r="DU256" i="11"/>
  <c r="DV256" i="11"/>
  <c r="DW256" i="11"/>
  <c r="DX256" i="11"/>
  <c r="DY256" i="11"/>
  <c r="DZ256" i="11"/>
  <c r="EA256" i="11"/>
  <c r="EB256" i="11"/>
  <c r="EC256" i="11"/>
  <c r="ED256" i="11"/>
  <c r="EE256" i="11"/>
  <c r="EF256" i="11"/>
  <c r="EG256" i="11"/>
  <c r="EH256" i="11"/>
  <c r="EI256" i="11"/>
  <c r="EJ256" i="11"/>
  <c r="EK256" i="11"/>
  <c r="EL256" i="11"/>
  <c r="EM256" i="11"/>
  <c r="EN256" i="11"/>
  <c r="EO256" i="11"/>
  <c r="EP256" i="11"/>
  <c r="EQ256" i="11"/>
  <c r="ER256" i="11"/>
  <c r="ES256" i="11"/>
  <c r="ET256" i="11"/>
  <c r="EU256" i="11"/>
  <c r="EV256" i="11"/>
  <c r="EW256" i="11"/>
  <c r="EX256" i="11"/>
  <c r="EY256" i="11"/>
  <c r="EZ256" i="11"/>
  <c r="FA256" i="11"/>
  <c r="FB256" i="11"/>
  <c r="FC256" i="11"/>
  <c r="FD256" i="11"/>
  <c r="FE256" i="11"/>
  <c r="FF256" i="11"/>
  <c r="FG256" i="11"/>
  <c r="FH256" i="11"/>
  <c r="FI256" i="11"/>
  <c r="FJ256" i="11"/>
  <c r="FK256" i="11"/>
  <c r="FL256" i="11"/>
  <c r="FM256" i="11"/>
  <c r="FN256" i="11"/>
  <c r="FO256" i="11"/>
  <c r="FP256" i="11"/>
  <c r="FQ256" i="11"/>
  <c r="FR256" i="11"/>
  <c r="FS256" i="11"/>
  <c r="FT256" i="11"/>
  <c r="FU256" i="11"/>
  <c r="FV256" i="11"/>
  <c r="FW256" i="11"/>
  <c r="FX256" i="11"/>
  <c r="FY256" i="11"/>
  <c r="FZ256" i="11"/>
  <c r="GA256" i="11"/>
  <c r="GB256" i="11"/>
  <c r="GC256" i="11"/>
  <c r="GD256" i="11"/>
  <c r="GE256" i="11"/>
  <c r="GF256" i="11"/>
  <c r="GG256" i="11"/>
  <c r="GH256" i="11"/>
  <c r="GI256" i="11"/>
  <c r="GJ256" i="11"/>
  <c r="GK256" i="11"/>
  <c r="GL256" i="11"/>
  <c r="GM256" i="11"/>
  <c r="GN256" i="11"/>
  <c r="GO256" i="11"/>
  <c r="GP256" i="11"/>
  <c r="GQ256" i="11"/>
  <c r="GR256" i="11"/>
  <c r="GS256" i="11"/>
  <c r="GT256" i="11"/>
  <c r="GU256" i="11"/>
  <c r="GV256" i="11"/>
  <c r="GW256" i="11"/>
  <c r="GX256" i="11"/>
  <c r="GY256" i="11"/>
  <c r="GZ256" i="11"/>
  <c r="HA256" i="11"/>
  <c r="HB256" i="11"/>
  <c r="HC256" i="11"/>
  <c r="HD256" i="11"/>
  <c r="HE256" i="11"/>
  <c r="HF256" i="11"/>
  <c r="HG256" i="11"/>
  <c r="HH256" i="11"/>
  <c r="HI256" i="11"/>
  <c r="HJ256" i="11"/>
  <c r="HK256" i="11"/>
  <c r="HL256" i="11"/>
  <c r="HM256" i="11"/>
  <c r="HN256" i="11"/>
  <c r="HO256" i="11"/>
  <c r="HP256" i="11"/>
  <c r="HQ256" i="11"/>
  <c r="HR256" i="11"/>
  <c r="HS256" i="11"/>
  <c r="HT256" i="11"/>
  <c r="HU256" i="11"/>
  <c r="HV256" i="11"/>
  <c r="HW256" i="11"/>
  <c r="HX256" i="11"/>
  <c r="HY256" i="11"/>
  <c r="HZ256" i="11"/>
  <c r="IA256" i="11"/>
  <c r="IB256" i="11"/>
  <c r="IC256" i="11"/>
  <c r="ID256" i="11"/>
  <c r="IE256" i="11"/>
  <c r="IF256" i="11"/>
  <c r="IG256" i="11"/>
  <c r="IH256" i="11"/>
  <c r="II256" i="11"/>
  <c r="IJ256" i="11"/>
  <c r="IK256" i="11"/>
  <c r="IL256" i="11"/>
  <c r="IM256" i="11"/>
  <c r="IN256" i="11"/>
  <c r="IO256" i="11"/>
  <c r="IP256" i="11"/>
  <c r="IQ256" i="11"/>
  <c r="IR256" i="11"/>
  <c r="IS256" i="11"/>
  <c r="IT256" i="11"/>
  <c r="IU256" i="11"/>
  <c r="IV256" i="11"/>
  <c r="F257" i="11"/>
  <c r="G257" i="11"/>
  <c r="H257" i="11"/>
  <c r="I257" i="11"/>
  <c r="J257" i="11"/>
  <c r="K257" i="11"/>
  <c r="L257" i="11"/>
  <c r="M257" i="11"/>
  <c r="N257" i="11"/>
  <c r="O257" i="11"/>
  <c r="P257" i="11"/>
  <c r="Q257" i="11"/>
  <c r="R257" i="11"/>
  <c r="S257" i="11"/>
  <c r="T257" i="11"/>
  <c r="U257" i="11"/>
  <c r="V257" i="11"/>
  <c r="W257" i="11"/>
  <c r="X257" i="11"/>
  <c r="Y257" i="11"/>
  <c r="Z257" i="11"/>
  <c r="AA257" i="11"/>
  <c r="AB257" i="11"/>
  <c r="AC257" i="11"/>
  <c r="AD257" i="11"/>
  <c r="AE257" i="11"/>
  <c r="AF257" i="11"/>
  <c r="AG257" i="11"/>
  <c r="AH257" i="11"/>
  <c r="AI257" i="11"/>
  <c r="AJ257" i="11"/>
  <c r="AK257" i="11"/>
  <c r="AL257" i="11"/>
  <c r="AM257" i="11"/>
  <c r="AN257" i="11"/>
  <c r="AO257" i="11"/>
  <c r="AP257" i="11"/>
  <c r="AQ257" i="11"/>
  <c r="AR257" i="11"/>
  <c r="AS257" i="11"/>
  <c r="AT257" i="11"/>
  <c r="AU257" i="11"/>
  <c r="AV257" i="11"/>
  <c r="AW257" i="11"/>
  <c r="AX257" i="11"/>
  <c r="AY257" i="11"/>
  <c r="AZ257" i="11"/>
  <c r="BA257" i="11"/>
  <c r="BB257" i="11"/>
  <c r="BC257" i="11"/>
  <c r="BD257" i="11"/>
  <c r="BE257" i="11"/>
  <c r="BF257" i="11"/>
  <c r="BG257" i="11"/>
  <c r="BH257" i="11"/>
  <c r="BI257" i="11"/>
  <c r="BJ257" i="11"/>
  <c r="BK257" i="11"/>
  <c r="BL257" i="11"/>
  <c r="BM257" i="11"/>
  <c r="BN257" i="11"/>
  <c r="BO257" i="11"/>
  <c r="BP257" i="11"/>
  <c r="BQ257" i="11"/>
  <c r="BR257" i="11"/>
  <c r="BS257" i="11"/>
  <c r="BT257" i="11"/>
  <c r="BU257" i="11"/>
  <c r="BV257" i="11"/>
  <c r="BW257" i="11"/>
  <c r="BX257" i="11"/>
  <c r="BY257" i="11"/>
  <c r="BZ257" i="11"/>
  <c r="CA257" i="11"/>
  <c r="CB257" i="11"/>
  <c r="CC257" i="11"/>
  <c r="CD257" i="11"/>
  <c r="CE257" i="11"/>
  <c r="CF257" i="11"/>
  <c r="CG257" i="11"/>
  <c r="CH257" i="11"/>
  <c r="CI257" i="11"/>
  <c r="CJ257" i="11"/>
  <c r="CK257" i="11"/>
  <c r="CL257" i="11"/>
  <c r="CM257" i="11"/>
  <c r="CN257" i="11"/>
  <c r="CO257" i="11"/>
  <c r="CP257" i="11"/>
  <c r="CQ257" i="11"/>
  <c r="CR257" i="11"/>
  <c r="CS257" i="11"/>
  <c r="CT257" i="11"/>
  <c r="CU257" i="11"/>
  <c r="CV257" i="11"/>
  <c r="CW257" i="11"/>
  <c r="CX257" i="11"/>
  <c r="CY257" i="11"/>
  <c r="CZ257" i="11"/>
  <c r="DA257" i="11"/>
  <c r="DB257" i="11"/>
  <c r="DC257" i="11"/>
  <c r="DD257" i="11"/>
  <c r="DE257" i="11"/>
  <c r="DF257" i="11"/>
  <c r="DG257" i="11"/>
  <c r="DH257" i="11"/>
  <c r="DI257" i="11"/>
  <c r="DJ257" i="11"/>
  <c r="DK257" i="11"/>
  <c r="DL257" i="11"/>
  <c r="DM257" i="11"/>
  <c r="DN257" i="11"/>
  <c r="DO257" i="11"/>
  <c r="DP257" i="11"/>
  <c r="DQ257" i="11"/>
  <c r="DR257" i="11"/>
  <c r="DS257" i="11"/>
  <c r="DT257" i="11"/>
  <c r="DU257" i="11"/>
  <c r="DV257" i="11"/>
  <c r="DW257" i="11"/>
  <c r="DX257" i="11"/>
  <c r="DY257" i="11"/>
  <c r="DZ257" i="11"/>
  <c r="EA257" i="11"/>
  <c r="EB257" i="11"/>
  <c r="EC257" i="11"/>
  <c r="ED257" i="11"/>
  <c r="EE257" i="11"/>
  <c r="EF257" i="11"/>
  <c r="EG257" i="11"/>
  <c r="EH257" i="11"/>
  <c r="EI257" i="11"/>
  <c r="EJ257" i="11"/>
  <c r="EK257" i="11"/>
  <c r="EL257" i="11"/>
  <c r="EM257" i="11"/>
  <c r="EN257" i="11"/>
  <c r="EO257" i="11"/>
  <c r="EP257" i="11"/>
  <c r="EQ257" i="11"/>
  <c r="ER257" i="11"/>
  <c r="ES257" i="11"/>
  <c r="ET257" i="11"/>
  <c r="EU257" i="11"/>
  <c r="EV257" i="11"/>
  <c r="EW257" i="11"/>
  <c r="EX257" i="11"/>
  <c r="EY257" i="11"/>
  <c r="EZ257" i="11"/>
  <c r="FA257" i="11"/>
  <c r="FB257" i="11"/>
  <c r="FC257" i="11"/>
  <c r="FD257" i="11"/>
  <c r="FE257" i="11"/>
  <c r="FF257" i="11"/>
  <c r="FG257" i="11"/>
  <c r="FH257" i="11"/>
  <c r="FI257" i="11"/>
  <c r="FJ257" i="11"/>
  <c r="FK257" i="11"/>
  <c r="FL257" i="11"/>
  <c r="FM257" i="11"/>
  <c r="FN257" i="11"/>
  <c r="FO257" i="11"/>
  <c r="FP257" i="11"/>
  <c r="FQ257" i="11"/>
  <c r="FR257" i="11"/>
  <c r="FS257" i="11"/>
  <c r="FT257" i="11"/>
  <c r="FU257" i="11"/>
  <c r="FV257" i="11"/>
  <c r="FW257" i="11"/>
  <c r="FX257" i="11"/>
  <c r="FY257" i="11"/>
  <c r="FZ257" i="11"/>
  <c r="GA257" i="11"/>
  <c r="GB257" i="11"/>
  <c r="GC257" i="11"/>
  <c r="GD257" i="11"/>
  <c r="GE257" i="11"/>
  <c r="GF257" i="11"/>
  <c r="GG257" i="11"/>
  <c r="GH257" i="11"/>
  <c r="GI257" i="11"/>
  <c r="GJ257" i="11"/>
  <c r="GK257" i="11"/>
  <c r="GL257" i="11"/>
  <c r="GM257" i="11"/>
  <c r="GN257" i="11"/>
  <c r="GO257" i="11"/>
  <c r="GP257" i="11"/>
  <c r="GQ257" i="11"/>
  <c r="GR257" i="11"/>
  <c r="GS257" i="11"/>
  <c r="GT257" i="11"/>
  <c r="GU257" i="11"/>
  <c r="GV257" i="11"/>
  <c r="GW257" i="11"/>
  <c r="GX257" i="11"/>
  <c r="GY257" i="11"/>
  <c r="GZ257" i="11"/>
  <c r="HA257" i="11"/>
  <c r="HB257" i="11"/>
  <c r="HC257" i="11"/>
  <c r="HD257" i="11"/>
  <c r="HE257" i="11"/>
  <c r="HF257" i="11"/>
  <c r="HG257" i="11"/>
  <c r="HH257" i="11"/>
  <c r="HI257" i="11"/>
  <c r="HJ257" i="11"/>
  <c r="HK257" i="11"/>
  <c r="HL257" i="11"/>
  <c r="HM257" i="11"/>
  <c r="HN257" i="11"/>
  <c r="HO257" i="11"/>
  <c r="HP257" i="11"/>
  <c r="HQ257" i="11"/>
  <c r="HR257" i="11"/>
  <c r="HS257" i="11"/>
  <c r="HT257" i="11"/>
  <c r="HU257" i="11"/>
  <c r="HV257" i="11"/>
  <c r="HW257" i="11"/>
  <c r="HX257" i="11"/>
  <c r="HY257" i="11"/>
  <c r="HZ257" i="11"/>
  <c r="IA257" i="11"/>
  <c r="IB257" i="11"/>
  <c r="IC257" i="11"/>
  <c r="ID257" i="11"/>
  <c r="IE257" i="11"/>
  <c r="IF257" i="11"/>
  <c r="IG257" i="11"/>
  <c r="IH257" i="11"/>
  <c r="II257" i="11"/>
  <c r="IJ257" i="11"/>
  <c r="IK257" i="11"/>
  <c r="IL257" i="11"/>
  <c r="IM257" i="11"/>
  <c r="IN257" i="11"/>
  <c r="IO257" i="11"/>
  <c r="IP257" i="11"/>
  <c r="IQ257" i="11"/>
  <c r="IR257" i="11"/>
  <c r="IS257" i="11"/>
  <c r="IT257" i="11"/>
  <c r="IU257" i="11"/>
  <c r="IV257" i="11"/>
  <c r="F258" i="11"/>
  <c r="G258" i="11"/>
  <c r="H258" i="11"/>
  <c r="I258" i="11"/>
  <c r="J258" i="11"/>
  <c r="K258" i="11"/>
  <c r="L258" i="11"/>
  <c r="M258" i="11"/>
  <c r="N258" i="11"/>
  <c r="O258" i="11"/>
  <c r="P258" i="11"/>
  <c r="Q258" i="11"/>
  <c r="R258" i="11"/>
  <c r="S258" i="11"/>
  <c r="T258" i="11"/>
  <c r="U258" i="11"/>
  <c r="V258" i="11"/>
  <c r="W258" i="11"/>
  <c r="X258" i="11"/>
  <c r="Y258" i="11"/>
  <c r="Z258" i="11"/>
  <c r="AA258" i="11"/>
  <c r="AB258" i="11"/>
  <c r="AC258" i="11"/>
  <c r="AD258" i="11"/>
  <c r="AE258" i="11"/>
  <c r="AF258" i="11"/>
  <c r="AG258" i="11"/>
  <c r="AH258" i="11"/>
  <c r="AI258" i="11"/>
  <c r="AJ258" i="11"/>
  <c r="AK258" i="11"/>
  <c r="AL258" i="11"/>
  <c r="AM258" i="11"/>
  <c r="AN258" i="11"/>
  <c r="AO258" i="11"/>
  <c r="AP258" i="11"/>
  <c r="AQ258" i="11"/>
  <c r="AR258" i="11"/>
  <c r="AS258" i="11"/>
  <c r="AT258" i="11"/>
  <c r="AU258" i="11"/>
  <c r="AV258" i="11"/>
  <c r="AW258" i="11"/>
  <c r="AX258" i="11"/>
  <c r="AY258" i="11"/>
  <c r="AZ258" i="11"/>
  <c r="BA258" i="11"/>
  <c r="BB258" i="11"/>
  <c r="BC258" i="11"/>
  <c r="BD258" i="11"/>
  <c r="BE258" i="11"/>
  <c r="BF258" i="11"/>
  <c r="BG258" i="11"/>
  <c r="BH258" i="11"/>
  <c r="BI258" i="11"/>
  <c r="BJ258" i="11"/>
  <c r="BK258" i="11"/>
  <c r="BL258" i="11"/>
  <c r="BM258" i="11"/>
  <c r="BN258" i="11"/>
  <c r="BO258" i="11"/>
  <c r="BP258" i="11"/>
  <c r="BQ258" i="11"/>
  <c r="BR258" i="11"/>
  <c r="BS258" i="11"/>
  <c r="BT258" i="11"/>
  <c r="BU258" i="11"/>
  <c r="BV258" i="11"/>
  <c r="BW258" i="11"/>
  <c r="BX258" i="11"/>
  <c r="BY258" i="11"/>
  <c r="BZ258" i="11"/>
  <c r="CA258" i="11"/>
  <c r="CB258" i="11"/>
  <c r="CC258" i="11"/>
  <c r="CD258" i="11"/>
  <c r="CE258" i="11"/>
  <c r="CF258" i="11"/>
  <c r="CG258" i="11"/>
  <c r="CH258" i="11"/>
  <c r="CI258" i="11"/>
  <c r="CJ258" i="11"/>
  <c r="CK258" i="11"/>
  <c r="CL258" i="11"/>
  <c r="CM258" i="11"/>
  <c r="CN258" i="11"/>
  <c r="CO258" i="11"/>
  <c r="CP258" i="11"/>
  <c r="CQ258" i="11"/>
  <c r="CR258" i="11"/>
  <c r="CS258" i="11"/>
  <c r="CT258" i="11"/>
  <c r="CU258" i="11"/>
  <c r="CV258" i="11"/>
  <c r="CW258" i="11"/>
  <c r="CX258" i="11"/>
  <c r="CY258" i="11"/>
  <c r="CZ258" i="11"/>
  <c r="DA258" i="11"/>
  <c r="DB258" i="11"/>
  <c r="DC258" i="11"/>
  <c r="DD258" i="11"/>
  <c r="DE258" i="11"/>
  <c r="DF258" i="11"/>
  <c r="DG258" i="11"/>
  <c r="DH258" i="11"/>
  <c r="DI258" i="11"/>
  <c r="DJ258" i="11"/>
  <c r="DK258" i="11"/>
  <c r="DL258" i="11"/>
  <c r="DM258" i="11"/>
  <c r="DN258" i="11"/>
  <c r="DO258" i="11"/>
  <c r="DP258" i="11"/>
  <c r="DQ258" i="11"/>
  <c r="DR258" i="11"/>
  <c r="DS258" i="11"/>
  <c r="DT258" i="11"/>
  <c r="DU258" i="11"/>
  <c r="DV258" i="11"/>
  <c r="DW258" i="11"/>
  <c r="DX258" i="11"/>
  <c r="DY258" i="11"/>
  <c r="DZ258" i="11"/>
  <c r="EA258" i="11"/>
  <c r="EB258" i="11"/>
  <c r="EC258" i="11"/>
  <c r="ED258" i="11"/>
  <c r="EE258" i="11"/>
  <c r="EF258" i="11"/>
  <c r="EG258" i="11"/>
  <c r="EH258" i="11"/>
  <c r="EI258" i="11"/>
  <c r="EJ258" i="11"/>
  <c r="EK258" i="11"/>
  <c r="EL258" i="11"/>
  <c r="EM258" i="11"/>
  <c r="EN258" i="11"/>
  <c r="EO258" i="11"/>
  <c r="EP258" i="11"/>
  <c r="EQ258" i="11"/>
  <c r="ER258" i="11"/>
  <c r="ES258" i="11"/>
  <c r="ET258" i="11"/>
  <c r="EU258" i="11"/>
  <c r="EV258" i="11"/>
  <c r="EW258" i="11"/>
  <c r="EX258" i="11"/>
  <c r="EY258" i="11"/>
  <c r="EZ258" i="11"/>
  <c r="FA258" i="11"/>
  <c r="FB258" i="11"/>
  <c r="FC258" i="11"/>
  <c r="FD258" i="11"/>
  <c r="FE258" i="11"/>
  <c r="FF258" i="11"/>
  <c r="FG258" i="11"/>
  <c r="FH258" i="11"/>
  <c r="FI258" i="11"/>
  <c r="FJ258" i="11"/>
  <c r="FK258" i="11"/>
  <c r="FL258" i="11"/>
  <c r="FM258" i="11"/>
  <c r="FN258" i="11"/>
  <c r="FO258" i="11"/>
  <c r="FP258" i="11"/>
  <c r="FQ258" i="11"/>
  <c r="FR258" i="11"/>
  <c r="FS258" i="11"/>
  <c r="FT258" i="11"/>
  <c r="FU258" i="11"/>
  <c r="FV258" i="11"/>
  <c r="FW258" i="11"/>
  <c r="FX258" i="11"/>
  <c r="FY258" i="11"/>
  <c r="FZ258" i="11"/>
  <c r="GA258" i="11"/>
  <c r="GB258" i="11"/>
  <c r="GC258" i="11"/>
  <c r="GD258" i="11"/>
  <c r="GE258" i="11"/>
  <c r="GF258" i="11"/>
  <c r="GG258" i="11"/>
  <c r="GH258" i="11"/>
  <c r="GI258" i="11"/>
  <c r="GJ258" i="11"/>
  <c r="GK258" i="11"/>
  <c r="GL258" i="11"/>
  <c r="GM258" i="11"/>
  <c r="GN258" i="11"/>
  <c r="GO258" i="11"/>
  <c r="GP258" i="11"/>
  <c r="GQ258" i="11"/>
  <c r="GR258" i="11"/>
  <c r="GS258" i="11"/>
  <c r="GT258" i="11"/>
  <c r="GU258" i="11"/>
  <c r="GV258" i="11"/>
  <c r="GW258" i="11"/>
  <c r="GX258" i="11"/>
  <c r="GY258" i="11"/>
  <c r="GZ258" i="11"/>
  <c r="HA258" i="11"/>
  <c r="HB258" i="11"/>
  <c r="HC258" i="11"/>
  <c r="HD258" i="11"/>
  <c r="HE258" i="11"/>
  <c r="HF258" i="11"/>
  <c r="HG258" i="11"/>
  <c r="HH258" i="11"/>
  <c r="HI258" i="11"/>
  <c r="HJ258" i="11"/>
  <c r="HK258" i="11"/>
  <c r="HL258" i="11"/>
  <c r="HM258" i="11"/>
  <c r="HN258" i="11"/>
  <c r="HO258" i="11"/>
  <c r="HP258" i="11"/>
  <c r="HQ258" i="11"/>
  <c r="HR258" i="11"/>
  <c r="HS258" i="11"/>
  <c r="HT258" i="11"/>
  <c r="HU258" i="11"/>
  <c r="HV258" i="11"/>
  <c r="HW258" i="11"/>
  <c r="HX258" i="11"/>
  <c r="HY258" i="11"/>
  <c r="HZ258" i="11"/>
  <c r="IA258" i="11"/>
  <c r="IB258" i="11"/>
  <c r="IC258" i="11"/>
  <c r="ID258" i="11"/>
  <c r="IE258" i="11"/>
  <c r="IF258" i="11"/>
  <c r="IG258" i="11"/>
  <c r="IH258" i="11"/>
  <c r="II258" i="11"/>
  <c r="IJ258" i="11"/>
  <c r="IK258" i="11"/>
  <c r="IL258" i="11"/>
  <c r="IM258" i="11"/>
  <c r="IN258" i="11"/>
  <c r="IO258" i="11"/>
  <c r="IP258" i="11"/>
  <c r="IQ258" i="11"/>
  <c r="IR258" i="11"/>
  <c r="IS258" i="11"/>
  <c r="IT258" i="11"/>
  <c r="IU258" i="11"/>
  <c r="IV258" i="11"/>
  <c r="F259" i="11"/>
  <c r="G259" i="11"/>
  <c r="H259" i="11"/>
  <c r="I259" i="11"/>
  <c r="J259" i="11"/>
  <c r="K259" i="11"/>
  <c r="L259" i="11"/>
  <c r="M259" i="11"/>
  <c r="N259" i="11"/>
  <c r="O259" i="11"/>
  <c r="P259" i="11"/>
  <c r="Q259" i="11"/>
  <c r="R259" i="11"/>
  <c r="S259" i="11"/>
  <c r="T259" i="11"/>
  <c r="U259" i="11"/>
  <c r="V259" i="11"/>
  <c r="W259" i="11"/>
  <c r="X259" i="11"/>
  <c r="Y259" i="11"/>
  <c r="Z259" i="11"/>
  <c r="AA259" i="11"/>
  <c r="AB259" i="11"/>
  <c r="AC259" i="11"/>
  <c r="AD259" i="11"/>
  <c r="AE259" i="11"/>
  <c r="AF259" i="11"/>
  <c r="AG259" i="11"/>
  <c r="AH259" i="11"/>
  <c r="AI259" i="11"/>
  <c r="AJ259" i="11"/>
  <c r="AK259" i="11"/>
  <c r="AL259" i="11"/>
  <c r="AM259" i="11"/>
  <c r="AN259" i="11"/>
  <c r="AO259" i="11"/>
  <c r="AP259" i="11"/>
  <c r="AQ259" i="11"/>
  <c r="AR259" i="11"/>
  <c r="AS259" i="11"/>
  <c r="AT259" i="11"/>
  <c r="AU259" i="11"/>
  <c r="AV259" i="11"/>
  <c r="AW259" i="11"/>
  <c r="AX259" i="11"/>
  <c r="AY259" i="11"/>
  <c r="AZ259" i="11"/>
  <c r="BA259" i="11"/>
  <c r="BB259" i="11"/>
  <c r="BC259" i="11"/>
  <c r="BD259" i="11"/>
  <c r="BE259" i="11"/>
  <c r="BF259" i="11"/>
  <c r="BG259" i="11"/>
  <c r="BH259" i="11"/>
  <c r="BI259" i="11"/>
  <c r="BJ259" i="11"/>
  <c r="BK259" i="11"/>
  <c r="BL259" i="11"/>
  <c r="BM259" i="11"/>
  <c r="BN259" i="11"/>
  <c r="BO259" i="11"/>
  <c r="BP259" i="11"/>
  <c r="BQ259" i="11"/>
  <c r="BR259" i="11"/>
  <c r="BS259" i="11"/>
  <c r="BT259" i="11"/>
  <c r="BU259" i="11"/>
  <c r="BV259" i="11"/>
  <c r="BW259" i="11"/>
  <c r="BX259" i="11"/>
  <c r="BY259" i="11"/>
  <c r="BZ259" i="11"/>
  <c r="CA259" i="11"/>
  <c r="CB259" i="11"/>
  <c r="CC259" i="11"/>
  <c r="CD259" i="11"/>
  <c r="CE259" i="11"/>
  <c r="CF259" i="11"/>
  <c r="CG259" i="11"/>
  <c r="CH259" i="11"/>
  <c r="CI259" i="11"/>
  <c r="CJ259" i="11"/>
  <c r="CK259" i="11"/>
  <c r="CL259" i="11"/>
  <c r="CM259" i="11"/>
  <c r="CN259" i="11"/>
  <c r="CO259" i="11"/>
  <c r="CP259" i="11"/>
  <c r="CQ259" i="11"/>
  <c r="CR259" i="11"/>
  <c r="CS259" i="11"/>
  <c r="CT259" i="11"/>
  <c r="CU259" i="11"/>
  <c r="CV259" i="11"/>
  <c r="CW259" i="11"/>
  <c r="CX259" i="11"/>
  <c r="CY259" i="11"/>
  <c r="CZ259" i="11"/>
  <c r="DA259" i="11"/>
  <c r="DB259" i="11"/>
  <c r="DC259" i="11"/>
  <c r="DD259" i="11"/>
  <c r="DE259" i="11"/>
  <c r="DF259" i="11"/>
  <c r="DG259" i="11"/>
  <c r="DH259" i="11"/>
  <c r="DI259" i="11"/>
  <c r="DJ259" i="11"/>
  <c r="DK259" i="11"/>
  <c r="DL259" i="11"/>
  <c r="DM259" i="11"/>
  <c r="DN259" i="11"/>
  <c r="DO259" i="11"/>
  <c r="DP259" i="11"/>
  <c r="DQ259" i="11"/>
  <c r="DR259" i="11"/>
  <c r="DS259" i="11"/>
  <c r="DT259" i="11"/>
  <c r="DU259" i="11"/>
  <c r="DV259" i="11"/>
  <c r="DW259" i="11"/>
  <c r="DX259" i="11"/>
  <c r="DY259" i="11"/>
  <c r="DZ259" i="11"/>
  <c r="EA259" i="11"/>
  <c r="EB259" i="11"/>
  <c r="EC259" i="11"/>
  <c r="ED259" i="11"/>
  <c r="EE259" i="11"/>
  <c r="EF259" i="11"/>
  <c r="EG259" i="11"/>
  <c r="EH259" i="11"/>
  <c r="EI259" i="11"/>
  <c r="EJ259" i="11"/>
  <c r="EK259" i="11"/>
  <c r="EL259" i="11"/>
  <c r="EM259" i="11"/>
  <c r="EN259" i="11"/>
  <c r="EO259" i="11"/>
  <c r="EP259" i="11"/>
  <c r="EQ259" i="11"/>
  <c r="ER259" i="11"/>
  <c r="ES259" i="11"/>
  <c r="ET259" i="11"/>
  <c r="EU259" i="11"/>
  <c r="EV259" i="11"/>
  <c r="EW259" i="11"/>
  <c r="EX259" i="11"/>
  <c r="EY259" i="11"/>
  <c r="EZ259" i="11"/>
  <c r="FA259" i="11"/>
  <c r="FB259" i="11"/>
  <c r="FC259" i="11"/>
  <c r="FD259" i="11"/>
  <c r="FE259" i="11"/>
  <c r="FF259" i="11"/>
  <c r="FG259" i="11"/>
  <c r="FH259" i="11"/>
  <c r="FI259" i="11"/>
  <c r="FJ259" i="11"/>
  <c r="FK259" i="11"/>
  <c r="FL259" i="11"/>
  <c r="FM259" i="11"/>
  <c r="FN259" i="11"/>
  <c r="FO259" i="11"/>
  <c r="FP259" i="11"/>
  <c r="FQ259" i="11"/>
  <c r="FR259" i="11"/>
  <c r="FS259" i="11"/>
  <c r="FT259" i="11"/>
  <c r="FU259" i="11"/>
  <c r="FV259" i="11"/>
  <c r="FW259" i="11"/>
  <c r="FX259" i="11"/>
  <c r="FY259" i="11"/>
  <c r="FZ259" i="11"/>
  <c r="GA259" i="11"/>
  <c r="GB259" i="11"/>
  <c r="GC259" i="11"/>
  <c r="GD259" i="11"/>
  <c r="GE259" i="11"/>
  <c r="GF259" i="11"/>
  <c r="GG259" i="11"/>
  <c r="GH259" i="11"/>
  <c r="GI259" i="11"/>
  <c r="GJ259" i="11"/>
  <c r="GK259" i="11"/>
  <c r="GL259" i="11"/>
  <c r="GM259" i="11"/>
  <c r="GN259" i="11"/>
  <c r="GO259" i="11"/>
  <c r="GP259" i="11"/>
  <c r="GQ259" i="11"/>
  <c r="GR259" i="11"/>
  <c r="GS259" i="11"/>
  <c r="GT259" i="11"/>
  <c r="GU259" i="11"/>
  <c r="GV259" i="11"/>
  <c r="GW259" i="11"/>
  <c r="GX259" i="11"/>
  <c r="GY259" i="11"/>
  <c r="GZ259" i="11"/>
  <c r="HA259" i="11"/>
  <c r="HB259" i="11"/>
  <c r="HC259" i="11"/>
  <c r="HD259" i="11"/>
  <c r="HE259" i="11"/>
  <c r="HF259" i="11"/>
  <c r="HG259" i="11"/>
  <c r="HH259" i="11"/>
  <c r="HI259" i="11"/>
  <c r="HJ259" i="11"/>
  <c r="HK259" i="11"/>
  <c r="HL259" i="11"/>
  <c r="HM259" i="11"/>
  <c r="HN259" i="11"/>
  <c r="HO259" i="11"/>
  <c r="HP259" i="11"/>
  <c r="HQ259" i="11"/>
  <c r="HR259" i="11"/>
  <c r="HS259" i="11"/>
  <c r="HT259" i="11"/>
  <c r="HU259" i="11"/>
  <c r="HV259" i="11"/>
  <c r="HW259" i="11"/>
  <c r="HX259" i="11"/>
  <c r="HY259" i="11"/>
  <c r="HZ259" i="11"/>
  <c r="IA259" i="11"/>
  <c r="IB259" i="11"/>
  <c r="IC259" i="11"/>
  <c r="ID259" i="11"/>
  <c r="IE259" i="11"/>
  <c r="IF259" i="11"/>
  <c r="IG259" i="11"/>
  <c r="IH259" i="11"/>
  <c r="II259" i="11"/>
  <c r="IJ259" i="11"/>
  <c r="IK259" i="11"/>
  <c r="IL259" i="11"/>
  <c r="IM259" i="11"/>
  <c r="IN259" i="11"/>
  <c r="IO259" i="11"/>
  <c r="IP259" i="11"/>
  <c r="IQ259" i="11"/>
  <c r="IR259" i="11"/>
  <c r="IS259" i="11"/>
  <c r="IT259" i="11"/>
  <c r="IU259" i="11"/>
  <c r="IV259" i="11"/>
  <c r="F260" i="11"/>
  <c r="G260" i="11"/>
  <c r="H260" i="11"/>
  <c r="I260" i="11"/>
  <c r="J260" i="11"/>
  <c r="K260" i="11"/>
  <c r="L260" i="11"/>
  <c r="M260" i="11"/>
  <c r="N260" i="11"/>
  <c r="O260" i="11"/>
  <c r="P260" i="11"/>
  <c r="Q260" i="11"/>
  <c r="R260" i="11"/>
  <c r="S260" i="11"/>
  <c r="T260" i="11"/>
  <c r="U260" i="11"/>
  <c r="V260" i="11"/>
  <c r="W260" i="11"/>
  <c r="X260" i="11"/>
  <c r="Y260" i="11"/>
  <c r="Z260" i="11"/>
  <c r="AA260" i="11"/>
  <c r="AB260" i="11"/>
  <c r="AC260" i="11"/>
  <c r="AD260" i="11"/>
  <c r="AE260" i="11"/>
  <c r="AF260" i="11"/>
  <c r="AG260" i="11"/>
  <c r="AH260" i="11"/>
  <c r="AI260" i="11"/>
  <c r="AJ260" i="11"/>
  <c r="AK260" i="11"/>
  <c r="AL260" i="11"/>
  <c r="AM260" i="11"/>
  <c r="AN260" i="11"/>
  <c r="AO260" i="11"/>
  <c r="AP260" i="11"/>
  <c r="AQ260" i="11"/>
  <c r="AR260" i="11"/>
  <c r="AS260" i="11"/>
  <c r="AT260" i="11"/>
  <c r="AU260" i="11"/>
  <c r="AV260" i="11"/>
  <c r="AW260" i="11"/>
  <c r="AX260" i="11"/>
  <c r="AY260" i="11"/>
  <c r="AZ260" i="11"/>
  <c r="BA260" i="11"/>
  <c r="BB260" i="11"/>
  <c r="BC260" i="11"/>
  <c r="BD260" i="11"/>
  <c r="BE260" i="11"/>
  <c r="BF260" i="11"/>
  <c r="BG260" i="11"/>
  <c r="BH260" i="11"/>
  <c r="BI260" i="11"/>
  <c r="BJ260" i="11"/>
  <c r="BK260" i="11"/>
  <c r="BL260" i="11"/>
  <c r="BM260" i="11"/>
  <c r="BN260" i="11"/>
  <c r="BO260" i="11"/>
  <c r="BP260" i="11"/>
  <c r="BQ260" i="11"/>
  <c r="BR260" i="11"/>
  <c r="BS260" i="11"/>
  <c r="BT260" i="11"/>
  <c r="BU260" i="11"/>
  <c r="BV260" i="11"/>
  <c r="BW260" i="11"/>
  <c r="BX260" i="11"/>
  <c r="BY260" i="11"/>
  <c r="BZ260" i="11"/>
  <c r="CA260" i="11"/>
  <c r="CB260" i="11"/>
  <c r="CC260" i="11"/>
  <c r="CD260" i="11"/>
  <c r="CE260" i="11"/>
  <c r="CF260" i="11"/>
  <c r="CG260" i="11"/>
  <c r="CH260" i="11"/>
  <c r="CI260" i="11"/>
  <c r="CJ260" i="11"/>
  <c r="CK260" i="11"/>
  <c r="CL260" i="11"/>
  <c r="CM260" i="11"/>
  <c r="CN260" i="11"/>
  <c r="CO260" i="11"/>
  <c r="CP260" i="11"/>
  <c r="CQ260" i="11"/>
  <c r="CR260" i="11"/>
  <c r="CS260" i="11"/>
  <c r="CT260" i="11"/>
  <c r="CU260" i="11"/>
  <c r="CV260" i="11"/>
  <c r="CW260" i="11"/>
  <c r="CX260" i="11"/>
  <c r="CY260" i="11"/>
  <c r="CZ260" i="11"/>
  <c r="DA260" i="11"/>
  <c r="DB260" i="11"/>
  <c r="DC260" i="11"/>
  <c r="DD260" i="11"/>
  <c r="DE260" i="11"/>
  <c r="DF260" i="11"/>
  <c r="DG260" i="11"/>
  <c r="DH260" i="11"/>
  <c r="DI260" i="11"/>
  <c r="DJ260" i="11"/>
  <c r="DK260" i="11"/>
  <c r="DL260" i="11"/>
  <c r="DM260" i="11"/>
  <c r="DN260" i="11"/>
  <c r="DO260" i="11"/>
  <c r="DP260" i="11"/>
  <c r="DQ260" i="11"/>
  <c r="DR260" i="11"/>
  <c r="DS260" i="11"/>
  <c r="DT260" i="11"/>
  <c r="DU260" i="11"/>
  <c r="DV260" i="11"/>
  <c r="DW260" i="11"/>
  <c r="DX260" i="11"/>
  <c r="DY260" i="11"/>
  <c r="DZ260" i="11"/>
  <c r="EA260" i="11"/>
  <c r="EB260" i="11"/>
  <c r="EC260" i="11"/>
  <c r="ED260" i="11"/>
  <c r="EE260" i="11"/>
  <c r="EF260" i="11"/>
  <c r="EG260" i="11"/>
  <c r="EH260" i="11"/>
  <c r="EI260" i="11"/>
  <c r="EJ260" i="11"/>
  <c r="EK260" i="11"/>
  <c r="EL260" i="11"/>
  <c r="EM260" i="11"/>
  <c r="EN260" i="11"/>
  <c r="EO260" i="11"/>
  <c r="EP260" i="11"/>
  <c r="EQ260" i="11"/>
  <c r="ER260" i="11"/>
  <c r="ES260" i="11"/>
  <c r="ET260" i="11"/>
  <c r="EU260" i="11"/>
  <c r="EV260" i="11"/>
  <c r="EW260" i="11"/>
  <c r="EX260" i="11"/>
  <c r="EY260" i="11"/>
  <c r="EZ260" i="11"/>
  <c r="FA260" i="11"/>
  <c r="FB260" i="11"/>
  <c r="FC260" i="11"/>
  <c r="FD260" i="11"/>
  <c r="FE260" i="11"/>
  <c r="FF260" i="11"/>
  <c r="FG260" i="11"/>
  <c r="FH260" i="11"/>
  <c r="FI260" i="11"/>
  <c r="FJ260" i="11"/>
  <c r="FK260" i="11"/>
  <c r="FL260" i="11"/>
  <c r="FM260" i="11"/>
  <c r="FN260" i="11"/>
  <c r="FO260" i="11"/>
  <c r="FP260" i="11"/>
  <c r="FQ260" i="11"/>
  <c r="FR260" i="11"/>
  <c r="FS260" i="11"/>
  <c r="FT260" i="11"/>
  <c r="FU260" i="11"/>
  <c r="FV260" i="11"/>
  <c r="FW260" i="11"/>
  <c r="FX260" i="11"/>
  <c r="FY260" i="11"/>
  <c r="FZ260" i="11"/>
  <c r="GA260" i="11"/>
  <c r="GB260" i="11"/>
  <c r="GC260" i="11"/>
  <c r="GD260" i="11"/>
  <c r="GE260" i="11"/>
  <c r="GF260" i="11"/>
  <c r="GG260" i="11"/>
  <c r="GH260" i="11"/>
  <c r="GI260" i="11"/>
  <c r="GJ260" i="11"/>
  <c r="GK260" i="11"/>
  <c r="GL260" i="11"/>
  <c r="GM260" i="11"/>
  <c r="GN260" i="11"/>
  <c r="GO260" i="11"/>
  <c r="GP260" i="11"/>
  <c r="GQ260" i="11"/>
  <c r="GR260" i="11"/>
  <c r="GS260" i="11"/>
  <c r="GT260" i="11"/>
  <c r="GU260" i="11"/>
  <c r="GV260" i="11"/>
  <c r="GW260" i="11"/>
  <c r="GX260" i="11"/>
  <c r="GY260" i="11"/>
  <c r="GZ260" i="11"/>
  <c r="HA260" i="11"/>
  <c r="HB260" i="11"/>
  <c r="HC260" i="11"/>
  <c r="HD260" i="11"/>
  <c r="HE260" i="11"/>
  <c r="HF260" i="11"/>
  <c r="HG260" i="11"/>
  <c r="HH260" i="11"/>
  <c r="HI260" i="11"/>
  <c r="HJ260" i="11"/>
  <c r="HK260" i="11"/>
  <c r="HL260" i="11"/>
  <c r="HM260" i="11"/>
  <c r="HN260" i="11"/>
  <c r="HO260" i="11"/>
  <c r="HP260" i="11"/>
  <c r="HQ260" i="11"/>
  <c r="HR260" i="11"/>
  <c r="HS260" i="11"/>
  <c r="HT260" i="11"/>
  <c r="HU260" i="11"/>
  <c r="HV260" i="11"/>
  <c r="HW260" i="11"/>
  <c r="HX260" i="11"/>
  <c r="HY260" i="11"/>
  <c r="HZ260" i="11"/>
  <c r="IA260" i="11"/>
  <c r="IB260" i="11"/>
  <c r="IC260" i="11"/>
  <c r="ID260" i="11"/>
  <c r="IE260" i="11"/>
  <c r="IF260" i="11"/>
  <c r="IG260" i="11"/>
  <c r="IH260" i="11"/>
  <c r="II260" i="11"/>
  <c r="IJ260" i="11"/>
  <c r="IK260" i="11"/>
  <c r="IL260" i="11"/>
  <c r="IM260" i="11"/>
  <c r="IN260" i="11"/>
  <c r="IO260" i="11"/>
  <c r="IP260" i="11"/>
  <c r="IQ260" i="11"/>
  <c r="IR260" i="11"/>
  <c r="IS260" i="11"/>
  <c r="IT260" i="11"/>
  <c r="IU260" i="11"/>
  <c r="IV260" i="11"/>
  <c r="F261" i="11"/>
  <c r="G261" i="11"/>
  <c r="H261" i="11"/>
  <c r="I261" i="11"/>
  <c r="J261" i="11"/>
  <c r="K261" i="11"/>
  <c r="L261" i="11"/>
  <c r="M261" i="11"/>
  <c r="N261" i="11"/>
  <c r="O261" i="11"/>
  <c r="P261" i="11"/>
  <c r="Q261" i="11"/>
  <c r="R261" i="11"/>
  <c r="S261" i="11"/>
  <c r="T261" i="11"/>
  <c r="U261" i="11"/>
  <c r="V261" i="11"/>
  <c r="W261" i="11"/>
  <c r="X261" i="11"/>
  <c r="Y261" i="11"/>
  <c r="Z261" i="11"/>
  <c r="AA261" i="11"/>
  <c r="AB261" i="11"/>
  <c r="AC261" i="11"/>
  <c r="AD261" i="11"/>
  <c r="AE261" i="11"/>
  <c r="AF261" i="11"/>
  <c r="AG261" i="11"/>
  <c r="AH261" i="11"/>
  <c r="AI261" i="11"/>
  <c r="AJ261" i="11"/>
  <c r="AK261" i="11"/>
  <c r="AL261" i="11"/>
  <c r="AM261" i="11"/>
  <c r="AN261" i="11"/>
  <c r="AO261" i="11"/>
  <c r="AP261" i="11"/>
  <c r="AQ261" i="11"/>
  <c r="AR261" i="11"/>
  <c r="AS261" i="11"/>
  <c r="AT261" i="11"/>
  <c r="AU261" i="11"/>
  <c r="AV261" i="11"/>
  <c r="AW261" i="11"/>
  <c r="AX261" i="11"/>
  <c r="AY261" i="11"/>
  <c r="AZ261" i="11"/>
  <c r="BA261" i="11"/>
  <c r="BB261" i="11"/>
  <c r="BC261" i="11"/>
  <c r="BD261" i="11"/>
  <c r="BE261" i="11"/>
  <c r="BF261" i="11"/>
  <c r="BG261" i="11"/>
  <c r="BH261" i="11"/>
  <c r="BI261" i="11"/>
  <c r="BJ261" i="11"/>
  <c r="BK261" i="11"/>
  <c r="BL261" i="11"/>
  <c r="BM261" i="11"/>
  <c r="BN261" i="11"/>
  <c r="BO261" i="11"/>
  <c r="BP261" i="11"/>
  <c r="BQ261" i="11"/>
  <c r="BR261" i="11"/>
  <c r="BS261" i="11"/>
  <c r="BT261" i="11"/>
  <c r="BU261" i="11"/>
  <c r="BV261" i="11"/>
  <c r="BW261" i="11"/>
  <c r="BX261" i="11"/>
  <c r="BY261" i="11"/>
  <c r="BZ261" i="11"/>
  <c r="CA261" i="11"/>
  <c r="CB261" i="11"/>
  <c r="CC261" i="11"/>
  <c r="CD261" i="11"/>
  <c r="CE261" i="11"/>
  <c r="CF261" i="11"/>
  <c r="CG261" i="11"/>
  <c r="CH261" i="11"/>
  <c r="CI261" i="11"/>
  <c r="CJ261" i="11"/>
  <c r="CK261" i="11"/>
  <c r="CL261" i="11"/>
  <c r="CM261" i="11"/>
  <c r="CN261" i="11"/>
  <c r="CO261" i="11"/>
  <c r="CP261" i="11"/>
  <c r="CQ261" i="11"/>
  <c r="CR261" i="11"/>
  <c r="CS261" i="11"/>
  <c r="CT261" i="11"/>
  <c r="CU261" i="11"/>
  <c r="CV261" i="11"/>
  <c r="CW261" i="11"/>
  <c r="CX261" i="11"/>
  <c r="CY261" i="11"/>
  <c r="CZ261" i="11"/>
  <c r="DA261" i="11"/>
  <c r="DB261" i="11"/>
  <c r="DC261" i="11"/>
  <c r="DD261" i="11"/>
  <c r="DE261" i="11"/>
  <c r="DF261" i="11"/>
  <c r="DG261" i="11"/>
  <c r="DH261" i="11"/>
  <c r="DI261" i="11"/>
  <c r="DJ261" i="11"/>
  <c r="DK261" i="11"/>
  <c r="DL261" i="11"/>
  <c r="DM261" i="11"/>
  <c r="DN261" i="11"/>
  <c r="DO261" i="11"/>
  <c r="DP261" i="11"/>
  <c r="DQ261" i="11"/>
  <c r="DR261" i="11"/>
  <c r="DS261" i="11"/>
  <c r="DT261" i="11"/>
  <c r="DU261" i="11"/>
  <c r="DV261" i="11"/>
  <c r="DW261" i="11"/>
  <c r="DX261" i="11"/>
  <c r="DY261" i="11"/>
  <c r="DZ261" i="11"/>
  <c r="EA261" i="11"/>
  <c r="EB261" i="11"/>
  <c r="EC261" i="11"/>
  <c r="ED261" i="11"/>
  <c r="EE261" i="11"/>
  <c r="EF261" i="11"/>
  <c r="EG261" i="11"/>
  <c r="EH261" i="11"/>
  <c r="EI261" i="11"/>
  <c r="EJ261" i="11"/>
  <c r="EK261" i="11"/>
  <c r="EL261" i="11"/>
  <c r="EM261" i="11"/>
  <c r="EN261" i="11"/>
  <c r="EO261" i="11"/>
  <c r="EP261" i="11"/>
  <c r="EQ261" i="11"/>
  <c r="ER261" i="11"/>
  <c r="ES261" i="11"/>
  <c r="ET261" i="11"/>
  <c r="EU261" i="11"/>
  <c r="EV261" i="11"/>
  <c r="EW261" i="11"/>
  <c r="EX261" i="11"/>
  <c r="EY261" i="11"/>
  <c r="EZ261" i="11"/>
  <c r="FA261" i="11"/>
  <c r="FB261" i="11"/>
  <c r="FC261" i="11"/>
  <c r="FD261" i="11"/>
  <c r="FE261" i="11"/>
  <c r="FF261" i="11"/>
  <c r="FG261" i="11"/>
  <c r="FH261" i="11"/>
  <c r="FI261" i="11"/>
  <c r="FJ261" i="11"/>
  <c r="FK261" i="11"/>
  <c r="FL261" i="11"/>
  <c r="FM261" i="11"/>
  <c r="FN261" i="11"/>
  <c r="FO261" i="11"/>
  <c r="FP261" i="11"/>
  <c r="FQ261" i="11"/>
  <c r="FR261" i="11"/>
  <c r="FS261" i="11"/>
  <c r="FT261" i="11"/>
  <c r="FU261" i="11"/>
  <c r="FV261" i="11"/>
  <c r="FW261" i="11"/>
  <c r="FX261" i="11"/>
  <c r="FY261" i="11"/>
  <c r="FZ261" i="11"/>
  <c r="GA261" i="11"/>
  <c r="GB261" i="11"/>
  <c r="GC261" i="11"/>
  <c r="GD261" i="11"/>
  <c r="GE261" i="11"/>
  <c r="GF261" i="11"/>
  <c r="GG261" i="11"/>
  <c r="GH261" i="11"/>
  <c r="GI261" i="11"/>
  <c r="GJ261" i="11"/>
  <c r="GK261" i="11"/>
  <c r="GL261" i="11"/>
  <c r="GM261" i="11"/>
  <c r="GN261" i="11"/>
  <c r="GO261" i="11"/>
  <c r="GP261" i="11"/>
  <c r="GQ261" i="11"/>
  <c r="GR261" i="11"/>
  <c r="GS261" i="11"/>
  <c r="GT261" i="11"/>
  <c r="GU261" i="11"/>
  <c r="GV261" i="11"/>
  <c r="GW261" i="11"/>
  <c r="GX261" i="11"/>
  <c r="GY261" i="11"/>
  <c r="GZ261" i="11"/>
  <c r="HA261" i="11"/>
  <c r="HB261" i="11"/>
  <c r="HC261" i="11"/>
  <c r="HD261" i="11"/>
  <c r="HE261" i="11"/>
  <c r="HF261" i="11"/>
  <c r="HG261" i="11"/>
  <c r="HH261" i="11"/>
  <c r="HI261" i="11"/>
  <c r="HJ261" i="11"/>
  <c r="HK261" i="11"/>
  <c r="HL261" i="11"/>
  <c r="HM261" i="11"/>
  <c r="HN261" i="11"/>
  <c r="HO261" i="11"/>
  <c r="HP261" i="11"/>
  <c r="HQ261" i="11"/>
  <c r="HR261" i="11"/>
  <c r="HS261" i="11"/>
  <c r="HT261" i="11"/>
  <c r="HU261" i="11"/>
  <c r="HV261" i="11"/>
  <c r="HW261" i="11"/>
  <c r="HX261" i="11"/>
  <c r="HY261" i="11"/>
  <c r="HZ261" i="11"/>
  <c r="IA261" i="11"/>
  <c r="IB261" i="11"/>
  <c r="IC261" i="11"/>
  <c r="ID261" i="11"/>
  <c r="IE261" i="11"/>
  <c r="IF261" i="11"/>
  <c r="IG261" i="11"/>
  <c r="IH261" i="11"/>
  <c r="II261" i="11"/>
  <c r="IJ261" i="11"/>
  <c r="IK261" i="11"/>
  <c r="IL261" i="11"/>
  <c r="IM261" i="11"/>
  <c r="IN261" i="11"/>
  <c r="IO261" i="11"/>
  <c r="IP261" i="11"/>
  <c r="IQ261" i="11"/>
  <c r="IR261" i="11"/>
  <c r="IS261" i="11"/>
  <c r="IT261" i="11"/>
  <c r="IU261" i="11"/>
  <c r="IV261" i="11"/>
  <c r="F262" i="11"/>
  <c r="G262" i="11"/>
  <c r="H262" i="11"/>
  <c r="I262" i="11"/>
  <c r="J262" i="11"/>
  <c r="K262" i="11"/>
  <c r="L262" i="11"/>
  <c r="M262" i="11"/>
  <c r="N262" i="11"/>
  <c r="O262" i="11"/>
  <c r="P262" i="11"/>
  <c r="Q262" i="11"/>
  <c r="R262" i="11"/>
  <c r="S262" i="11"/>
  <c r="T262" i="11"/>
  <c r="U262" i="11"/>
  <c r="V262" i="11"/>
  <c r="W262" i="11"/>
  <c r="X262" i="11"/>
  <c r="Y262" i="11"/>
  <c r="Z262" i="11"/>
  <c r="AA262" i="11"/>
  <c r="AB262" i="11"/>
  <c r="AC262" i="11"/>
  <c r="AD262" i="11"/>
  <c r="AE262" i="11"/>
  <c r="AF262" i="11"/>
  <c r="AG262" i="11"/>
  <c r="AH262" i="11"/>
  <c r="AI262" i="11"/>
  <c r="AJ262" i="11"/>
  <c r="AK262" i="11"/>
  <c r="AL262" i="11"/>
  <c r="AM262" i="11"/>
  <c r="AN262" i="11"/>
  <c r="AO262" i="11"/>
  <c r="AP262" i="11"/>
  <c r="AQ262" i="11"/>
  <c r="AR262" i="11"/>
  <c r="AS262" i="11"/>
  <c r="AT262" i="11"/>
  <c r="AU262" i="11"/>
  <c r="AV262" i="11"/>
  <c r="AW262" i="11"/>
  <c r="AX262" i="11"/>
  <c r="AY262" i="11"/>
  <c r="AZ262" i="11"/>
  <c r="BA262" i="11"/>
  <c r="BB262" i="11"/>
  <c r="BC262" i="11"/>
  <c r="BD262" i="11"/>
  <c r="BE262" i="11"/>
  <c r="BF262" i="11"/>
  <c r="BG262" i="11"/>
  <c r="BH262" i="11"/>
  <c r="BI262" i="11"/>
  <c r="BJ262" i="11"/>
  <c r="BK262" i="11"/>
  <c r="BL262" i="11"/>
  <c r="BM262" i="11"/>
  <c r="BN262" i="11"/>
  <c r="BO262" i="11"/>
  <c r="BP262" i="11"/>
  <c r="BQ262" i="11"/>
  <c r="BR262" i="11"/>
  <c r="BS262" i="11"/>
  <c r="BT262" i="11"/>
  <c r="BU262" i="11"/>
  <c r="BV262" i="11"/>
  <c r="BW262" i="11"/>
  <c r="BX262" i="11"/>
  <c r="BY262" i="11"/>
  <c r="BZ262" i="11"/>
  <c r="CA262" i="11"/>
  <c r="CB262" i="11"/>
  <c r="CC262" i="11"/>
  <c r="CD262" i="11"/>
  <c r="CE262" i="11"/>
  <c r="CF262" i="11"/>
  <c r="CG262" i="11"/>
  <c r="CH262" i="11"/>
  <c r="CI262" i="11"/>
  <c r="CJ262" i="11"/>
  <c r="CK262" i="11"/>
  <c r="CL262" i="11"/>
  <c r="CM262" i="11"/>
  <c r="CN262" i="11"/>
  <c r="CO262" i="11"/>
  <c r="CP262" i="11"/>
  <c r="CQ262" i="11"/>
  <c r="CR262" i="11"/>
  <c r="CS262" i="11"/>
  <c r="CT262" i="11"/>
  <c r="CU262" i="11"/>
  <c r="CV262" i="11"/>
  <c r="CW262" i="11"/>
  <c r="CX262" i="11"/>
  <c r="CY262" i="11"/>
  <c r="CZ262" i="11"/>
  <c r="DA262" i="11"/>
  <c r="DB262" i="11"/>
  <c r="DC262" i="11"/>
  <c r="DD262" i="11"/>
  <c r="DE262" i="11"/>
  <c r="DF262" i="11"/>
  <c r="DG262" i="11"/>
  <c r="DH262" i="11"/>
  <c r="DI262" i="11"/>
  <c r="DJ262" i="11"/>
  <c r="DK262" i="11"/>
  <c r="DL262" i="11"/>
  <c r="DM262" i="11"/>
  <c r="DN262" i="11"/>
  <c r="DO262" i="11"/>
  <c r="DP262" i="11"/>
  <c r="DQ262" i="11"/>
  <c r="DR262" i="11"/>
  <c r="DS262" i="11"/>
  <c r="DT262" i="11"/>
  <c r="DU262" i="11"/>
  <c r="DV262" i="11"/>
  <c r="DW262" i="11"/>
  <c r="DX262" i="11"/>
  <c r="DY262" i="11"/>
  <c r="DZ262" i="11"/>
  <c r="EA262" i="11"/>
  <c r="EB262" i="11"/>
  <c r="EC262" i="11"/>
  <c r="ED262" i="11"/>
  <c r="EE262" i="11"/>
  <c r="EF262" i="11"/>
  <c r="EG262" i="11"/>
  <c r="EH262" i="11"/>
  <c r="EI262" i="11"/>
  <c r="EJ262" i="11"/>
  <c r="EK262" i="11"/>
  <c r="EL262" i="11"/>
  <c r="EM262" i="11"/>
  <c r="EN262" i="11"/>
  <c r="EO262" i="11"/>
  <c r="EP262" i="11"/>
  <c r="EQ262" i="11"/>
  <c r="ER262" i="11"/>
  <c r="ES262" i="11"/>
  <c r="ET262" i="11"/>
  <c r="EU262" i="11"/>
  <c r="EV262" i="11"/>
  <c r="EW262" i="11"/>
  <c r="EX262" i="11"/>
  <c r="EY262" i="11"/>
  <c r="EZ262" i="11"/>
  <c r="FA262" i="11"/>
  <c r="FB262" i="11"/>
  <c r="FC262" i="11"/>
  <c r="FD262" i="11"/>
  <c r="FE262" i="11"/>
  <c r="FF262" i="11"/>
  <c r="FG262" i="11"/>
  <c r="FH262" i="11"/>
  <c r="FI262" i="11"/>
  <c r="FJ262" i="11"/>
  <c r="FK262" i="11"/>
  <c r="FL262" i="11"/>
  <c r="FM262" i="11"/>
  <c r="FN262" i="11"/>
  <c r="FO262" i="11"/>
  <c r="FP262" i="11"/>
  <c r="FQ262" i="11"/>
  <c r="FR262" i="11"/>
  <c r="FS262" i="11"/>
  <c r="FT262" i="11"/>
  <c r="FU262" i="11"/>
  <c r="FV262" i="11"/>
  <c r="FW262" i="11"/>
  <c r="FX262" i="11"/>
  <c r="FY262" i="11"/>
  <c r="FZ262" i="11"/>
  <c r="GA262" i="11"/>
  <c r="GB262" i="11"/>
  <c r="GC262" i="11"/>
  <c r="GD262" i="11"/>
  <c r="GE262" i="11"/>
  <c r="GF262" i="11"/>
  <c r="GG262" i="11"/>
  <c r="GH262" i="11"/>
  <c r="GI262" i="11"/>
  <c r="GJ262" i="11"/>
  <c r="GK262" i="11"/>
  <c r="GL262" i="11"/>
  <c r="GM262" i="11"/>
  <c r="GN262" i="11"/>
  <c r="GO262" i="11"/>
  <c r="GP262" i="11"/>
  <c r="GQ262" i="11"/>
  <c r="GR262" i="11"/>
  <c r="GS262" i="11"/>
  <c r="GT262" i="11"/>
  <c r="GU262" i="11"/>
  <c r="GV262" i="11"/>
  <c r="GW262" i="11"/>
  <c r="GX262" i="11"/>
  <c r="GY262" i="11"/>
  <c r="GZ262" i="11"/>
  <c r="HA262" i="11"/>
  <c r="HB262" i="11"/>
  <c r="HC262" i="11"/>
  <c r="HD262" i="11"/>
  <c r="HE262" i="11"/>
  <c r="HF262" i="11"/>
  <c r="HG262" i="11"/>
  <c r="HH262" i="11"/>
  <c r="HI262" i="11"/>
  <c r="HJ262" i="11"/>
  <c r="HK262" i="11"/>
  <c r="HL262" i="11"/>
  <c r="HM262" i="11"/>
  <c r="HN262" i="11"/>
  <c r="HO262" i="11"/>
  <c r="HP262" i="11"/>
  <c r="HQ262" i="11"/>
  <c r="HR262" i="11"/>
  <c r="HS262" i="11"/>
  <c r="HT262" i="11"/>
  <c r="HU262" i="11"/>
  <c r="HV262" i="11"/>
  <c r="HW262" i="11"/>
  <c r="HX262" i="11"/>
  <c r="HY262" i="11"/>
  <c r="HZ262" i="11"/>
  <c r="IA262" i="11"/>
  <c r="IB262" i="11"/>
  <c r="IC262" i="11"/>
  <c r="ID262" i="11"/>
  <c r="IE262" i="11"/>
  <c r="IF262" i="11"/>
  <c r="IG262" i="11"/>
  <c r="IH262" i="11"/>
  <c r="II262" i="11"/>
  <c r="IJ262" i="11"/>
  <c r="IK262" i="11"/>
  <c r="IL262" i="11"/>
  <c r="IM262" i="11"/>
  <c r="IN262" i="11"/>
  <c r="IO262" i="11"/>
  <c r="IP262" i="11"/>
  <c r="IQ262" i="11"/>
  <c r="IR262" i="11"/>
  <c r="IS262" i="11"/>
  <c r="IT262" i="11"/>
  <c r="IU262" i="11"/>
  <c r="IV262" i="11"/>
  <c r="F263" i="11"/>
  <c r="G263" i="11"/>
  <c r="H263" i="11"/>
  <c r="I263" i="11"/>
  <c r="J263" i="11"/>
  <c r="K263" i="11"/>
  <c r="L263" i="11"/>
  <c r="M263" i="11"/>
  <c r="N263" i="11"/>
  <c r="O263" i="11"/>
  <c r="P263" i="11"/>
  <c r="Q263" i="11"/>
  <c r="R263" i="11"/>
  <c r="S263" i="11"/>
  <c r="T263" i="11"/>
  <c r="U263" i="11"/>
  <c r="V263" i="11"/>
  <c r="W263" i="11"/>
  <c r="X263" i="11"/>
  <c r="Y263" i="11"/>
  <c r="Z263" i="11"/>
  <c r="AA263" i="11"/>
  <c r="AB263" i="11"/>
  <c r="AC263" i="11"/>
  <c r="AD263" i="11"/>
  <c r="AE263" i="11"/>
  <c r="AF263" i="11"/>
  <c r="AG263" i="11"/>
  <c r="AH263" i="11"/>
  <c r="AI263" i="11"/>
  <c r="AJ263" i="11"/>
  <c r="AK263" i="11"/>
  <c r="AL263" i="11"/>
  <c r="AM263" i="11"/>
  <c r="AN263" i="11"/>
  <c r="AO263" i="11"/>
  <c r="AP263" i="11"/>
  <c r="AQ263" i="11"/>
  <c r="AR263" i="11"/>
  <c r="AS263" i="11"/>
  <c r="AT263" i="11"/>
  <c r="AU263" i="11"/>
  <c r="AV263" i="11"/>
  <c r="AW263" i="11"/>
  <c r="AX263" i="11"/>
  <c r="AY263" i="11"/>
  <c r="AZ263" i="11"/>
  <c r="BA263" i="11"/>
  <c r="BB263" i="11"/>
  <c r="BC263" i="11"/>
  <c r="BD263" i="11"/>
  <c r="BE263" i="11"/>
  <c r="BF263" i="11"/>
  <c r="BG263" i="11"/>
  <c r="BH263" i="11"/>
  <c r="BI263" i="11"/>
  <c r="BJ263" i="11"/>
  <c r="BK263" i="11"/>
  <c r="BL263" i="11"/>
  <c r="BM263" i="11"/>
  <c r="BN263" i="11"/>
  <c r="BO263" i="11"/>
  <c r="BP263" i="11"/>
  <c r="BQ263" i="11"/>
  <c r="BR263" i="11"/>
  <c r="BS263" i="11"/>
  <c r="BT263" i="11"/>
  <c r="BU263" i="11"/>
  <c r="BV263" i="11"/>
  <c r="BW263" i="11"/>
  <c r="BX263" i="11"/>
  <c r="BY263" i="11"/>
  <c r="BZ263" i="11"/>
  <c r="CA263" i="11"/>
  <c r="CB263" i="11"/>
  <c r="CC263" i="11"/>
  <c r="CD263" i="11"/>
  <c r="CE263" i="11"/>
  <c r="CF263" i="11"/>
  <c r="CG263" i="11"/>
  <c r="CH263" i="11"/>
  <c r="CI263" i="11"/>
  <c r="CJ263" i="11"/>
  <c r="CK263" i="11"/>
  <c r="CL263" i="11"/>
  <c r="CM263" i="11"/>
  <c r="CN263" i="11"/>
  <c r="CO263" i="11"/>
  <c r="CP263" i="11"/>
  <c r="CQ263" i="11"/>
  <c r="CR263" i="11"/>
  <c r="CS263" i="11"/>
  <c r="CT263" i="11"/>
  <c r="CU263" i="11"/>
  <c r="CV263" i="11"/>
  <c r="CW263" i="11"/>
  <c r="CX263" i="11"/>
  <c r="CY263" i="11"/>
  <c r="CZ263" i="11"/>
  <c r="DA263" i="11"/>
  <c r="DB263" i="11"/>
  <c r="DC263" i="11"/>
  <c r="DD263" i="11"/>
  <c r="DE263" i="11"/>
  <c r="DF263" i="11"/>
  <c r="DG263" i="11"/>
  <c r="DH263" i="11"/>
  <c r="DI263" i="11"/>
  <c r="DJ263" i="11"/>
  <c r="DK263" i="11"/>
  <c r="DL263" i="11"/>
  <c r="DM263" i="11"/>
  <c r="DN263" i="11"/>
  <c r="DO263" i="11"/>
  <c r="DP263" i="11"/>
  <c r="DQ263" i="11"/>
  <c r="DR263" i="11"/>
  <c r="DS263" i="11"/>
  <c r="DT263" i="11"/>
  <c r="DU263" i="11"/>
  <c r="DV263" i="11"/>
  <c r="DW263" i="11"/>
  <c r="DX263" i="11"/>
  <c r="DY263" i="11"/>
  <c r="DZ263" i="11"/>
  <c r="EA263" i="11"/>
  <c r="EB263" i="11"/>
  <c r="EC263" i="11"/>
  <c r="ED263" i="11"/>
  <c r="EE263" i="11"/>
  <c r="EF263" i="11"/>
  <c r="EG263" i="11"/>
  <c r="EH263" i="11"/>
  <c r="EI263" i="11"/>
  <c r="EJ263" i="11"/>
  <c r="EK263" i="11"/>
  <c r="EL263" i="11"/>
  <c r="EM263" i="11"/>
  <c r="EN263" i="11"/>
  <c r="EO263" i="11"/>
  <c r="EP263" i="11"/>
  <c r="EQ263" i="11"/>
  <c r="ER263" i="11"/>
  <c r="ES263" i="11"/>
  <c r="ET263" i="11"/>
  <c r="EU263" i="11"/>
  <c r="EV263" i="11"/>
  <c r="EW263" i="11"/>
  <c r="EX263" i="11"/>
  <c r="EY263" i="11"/>
  <c r="EZ263" i="11"/>
  <c r="FA263" i="11"/>
  <c r="FB263" i="11"/>
  <c r="FC263" i="11"/>
  <c r="FD263" i="11"/>
  <c r="FE263" i="11"/>
  <c r="FF263" i="11"/>
  <c r="FG263" i="11"/>
  <c r="FH263" i="11"/>
  <c r="FI263" i="11"/>
  <c r="FJ263" i="11"/>
  <c r="FK263" i="11"/>
  <c r="FL263" i="11"/>
  <c r="FM263" i="11"/>
  <c r="FN263" i="11"/>
  <c r="FO263" i="11"/>
  <c r="FP263" i="11"/>
  <c r="FQ263" i="11"/>
  <c r="FR263" i="11"/>
  <c r="FS263" i="11"/>
  <c r="FT263" i="11"/>
  <c r="FU263" i="11"/>
  <c r="FV263" i="11"/>
  <c r="FW263" i="11"/>
  <c r="FX263" i="11"/>
  <c r="FY263" i="11"/>
  <c r="FZ263" i="11"/>
  <c r="GA263" i="11"/>
  <c r="GB263" i="11"/>
  <c r="GC263" i="11"/>
  <c r="GD263" i="11"/>
  <c r="GE263" i="11"/>
  <c r="GF263" i="11"/>
  <c r="GG263" i="11"/>
  <c r="GH263" i="11"/>
  <c r="GI263" i="11"/>
  <c r="GJ263" i="11"/>
  <c r="GK263" i="11"/>
  <c r="GL263" i="11"/>
  <c r="GM263" i="11"/>
  <c r="GN263" i="11"/>
  <c r="GO263" i="11"/>
  <c r="GP263" i="11"/>
  <c r="GQ263" i="11"/>
  <c r="GR263" i="11"/>
  <c r="GS263" i="11"/>
  <c r="GT263" i="11"/>
  <c r="GU263" i="11"/>
  <c r="GV263" i="11"/>
  <c r="GW263" i="11"/>
  <c r="GX263" i="11"/>
  <c r="GY263" i="11"/>
  <c r="GZ263" i="11"/>
  <c r="HA263" i="11"/>
  <c r="HB263" i="11"/>
  <c r="HC263" i="11"/>
  <c r="HD263" i="11"/>
  <c r="HE263" i="11"/>
  <c r="HF263" i="11"/>
  <c r="HG263" i="11"/>
  <c r="HH263" i="11"/>
  <c r="HI263" i="11"/>
  <c r="HJ263" i="11"/>
  <c r="HK263" i="11"/>
  <c r="HL263" i="11"/>
  <c r="HM263" i="11"/>
  <c r="HN263" i="11"/>
  <c r="HO263" i="11"/>
  <c r="HP263" i="11"/>
  <c r="HQ263" i="11"/>
  <c r="HR263" i="11"/>
  <c r="HS263" i="11"/>
  <c r="HT263" i="11"/>
  <c r="HU263" i="11"/>
  <c r="HV263" i="11"/>
  <c r="HW263" i="11"/>
  <c r="HX263" i="11"/>
  <c r="HY263" i="11"/>
  <c r="HZ263" i="11"/>
  <c r="IA263" i="11"/>
  <c r="IB263" i="11"/>
  <c r="IC263" i="11"/>
  <c r="ID263" i="11"/>
  <c r="IE263" i="11"/>
  <c r="IF263" i="11"/>
  <c r="IG263" i="11"/>
  <c r="IH263" i="11"/>
  <c r="II263" i="11"/>
  <c r="IJ263" i="11"/>
  <c r="IK263" i="11"/>
  <c r="IL263" i="11"/>
  <c r="IM263" i="11"/>
  <c r="IN263" i="11"/>
  <c r="IO263" i="11"/>
  <c r="IP263" i="11"/>
  <c r="IQ263" i="11"/>
  <c r="IR263" i="11"/>
  <c r="IS263" i="11"/>
  <c r="IT263" i="11"/>
  <c r="IU263" i="11"/>
  <c r="IV263" i="11"/>
  <c r="F264" i="11"/>
  <c r="G264" i="11"/>
  <c r="H264" i="11"/>
  <c r="I264" i="11"/>
  <c r="J264" i="11"/>
  <c r="K264" i="11"/>
  <c r="L264" i="11"/>
  <c r="M264" i="11"/>
  <c r="N264" i="11"/>
  <c r="O264" i="11"/>
  <c r="P264" i="11"/>
  <c r="Q264" i="11"/>
  <c r="R264" i="11"/>
  <c r="S264" i="11"/>
  <c r="T264" i="11"/>
  <c r="U264" i="11"/>
  <c r="V264" i="11"/>
  <c r="W264" i="11"/>
  <c r="X264" i="11"/>
  <c r="Y264" i="11"/>
  <c r="Z264" i="11"/>
  <c r="AA264" i="11"/>
  <c r="AB264" i="11"/>
  <c r="AC264" i="11"/>
  <c r="AD264" i="11"/>
  <c r="AE264" i="11"/>
  <c r="AF264" i="11"/>
  <c r="AG264" i="11"/>
  <c r="AH264" i="11"/>
  <c r="AI264" i="11"/>
  <c r="AJ264" i="11"/>
  <c r="AK264" i="11"/>
  <c r="AL264" i="11"/>
  <c r="AM264" i="11"/>
  <c r="AN264" i="11"/>
  <c r="AO264" i="11"/>
  <c r="AP264" i="11"/>
  <c r="AQ264" i="11"/>
  <c r="AR264" i="11"/>
  <c r="AS264" i="11"/>
  <c r="AT264" i="11"/>
  <c r="AU264" i="11"/>
  <c r="AV264" i="11"/>
  <c r="AW264" i="11"/>
  <c r="AX264" i="11"/>
  <c r="AY264" i="11"/>
  <c r="AZ264" i="11"/>
  <c r="BA264" i="11"/>
  <c r="BB264" i="11"/>
  <c r="BC264" i="11"/>
  <c r="BD264" i="11"/>
  <c r="BE264" i="11"/>
  <c r="BF264" i="11"/>
  <c r="BG264" i="11"/>
  <c r="BH264" i="11"/>
  <c r="BI264" i="11"/>
  <c r="BJ264" i="11"/>
  <c r="BK264" i="11"/>
  <c r="BL264" i="11"/>
  <c r="BM264" i="11"/>
  <c r="BN264" i="11"/>
  <c r="BO264" i="11"/>
  <c r="BP264" i="11"/>
  <c r="BQ264" i="11"/>
  <c r="BR264" i="11"/>
  <c r="BS264" i="11"/>
  <c r="BT264" i="11"/>
  <c r="BU264" i="11"/>
  <c r="BV264" i="11"/>
  <c r="BW264" i="11"/>
  <c r="BX264" i="11"/>
  <c r="BY264" i="11"/>
  <c r="BZ264" i="11"/>
  <c r="CA264" i="11"/>
  <c r="CB264" i="11"/>
  <c r="CC264" i="11"/>
  <c r="CD264" i="11"/>
  <c r="CE264" i="11"/>
  <c r="CF264" i="11"/>
  <c r="CG264" i="11"/>
  <c r="CH264" i="11"/>
  <c r="CI264" i="11"/>
  <c r="CJ264" i="11"/>
  <c r="CK264" i="11"/>
  <c r="CL264" i="11"/>
  <c r="CM264" i="11"/>
  <c r="CN264" i="11"/>
  <c r="CO264" i="11"/>
  <c r="CP264" i="11"/>
  <c r="CQ264" i="11"/>
  <c r="CR264" i="11"/>
  <c r="CS264" i="11"/>
  <c r="CT264" i="11"/>
  <c r="CU264" i="11"/>
  <c r="CV264" i="11"/>
  <c r="CW264" i="11"/>
  <c r="CX264" i="11"/>
  <c r="CY264" i="11"/>
  <c r="CZ264" i="11"/>
  <c r="DA264" i="11"/>
  <c r="DB264" i="11"/>
  <c r="DC264" i="11"/>
  <c r="DD264" i="11"/>
  <c r="DE264" i="11"/>
  <c r="DF264" i="11"/>
  <c r="DG264" i="11"/>
  <c r="DH264" i="11"/>
  <c r="DI264" i="11"/>
  <c r="DJ264" i="11"/>
  <c r="DK264" i="11"/>
  <c r="DL264" i="11"/>
  <c r="DM264" i="11"/>
  <c r="DN264" i="11"/>
  <c r="DO264" i="11"/>
  <c r="DP264" i="11"/>
  <c r="DQ264" i="11"/>
  <c r="DR264" i="11"/>
  <c r="DS264" i="11"/>
  <c r="DT264" i="11"/>
  <c r="DU264" i="11"/>
  <c r="DV264" i="11"/>
  <c r="DW264" i="11"/>
  <c r="DX264" i="11"/>
  <c r="DY264" i="11"/>
  <c r="DZ264" i="11"/>
  <c r="EA264" i="11"/>
  <c r="EB264" i="11"/>
  <c r="EC264" i="11"/>
  <c r="ED264" i="11"/>
  <c r="EE264" i="11"/>
  <c r="EF264" i="11"/>
  <c r="EG264" i="11"/>
  <c r="EH264" i="11"/>
  <c r="EI264" i="11"/>
  <c r="EJ264" i="11"/>
  <c r="EK264" i="11"/>
  <c r="EL264" i="11"/>
  <c r="EM264" i="11"/>
  <c r="EN264" i="11"/>
  <c r="EO264" i="11"/>
  <c r="EP264" i="11"/>
  <c r="EQ264" i="11"/>
  <c r="ER264" i="11"/>
  <c r="ES264" i="11"/>
  <c r="ET264" i="11"/>
  <c r="EU264" i="11"/>
  <c r="EV264" i="11"/>
  <c r="EW264" i="11"/>
  <c r="EX264" i="11"/>
  <c r="EY264" i="11"/>
  <c r="EZ264" i="11"/>
  <c r="FA264" i="11"/>
  <c r="FB264" i="11"/>
  <c r="FC264" i="11"/>
  <c r="FD264" i="11"/>
  <c r="FE264" i="11"/>
  <c r="FF264" i="11"/>
  <c r="FG264" i="11"/>
  <c r="FH264" i="11"/>
  <c r="FI264" i="11"/>
  <c r="FJ264" i="11"/>
  <c r="FK264" i="11"/>
  <c r="FL264" i="11"/>
  <c r="FM264" i="11"/>
  <c r="FN264" i="11"/>
  <c r="FO264" i="11"/>
  <c r="FP264" i="11"/>
  <c r="FQ264" i="11"/>
  <c r="FR264" i="11"/>
  <c r="FS264" i="11"/>
  <c r="FT264" i="11"/>
  <c r="FU264" i="11"/>
  <c r="FV264" i="11"/>
  <c r="FW264" i="11"/>
  <c r="FX264" i="11"/>
  <c r="FY264" i="11"/>
  <c r="FZ264" i="11"/>
  <c r="GA264" i="11"/>
  <c r="GB264" i="11"/>
  <c r="GC264" i="11"/>
  <c r="GD264" i="11"/>
  <c r="GE264" i="11"/>
  <c r="GF264" i="11"/>
  <c r="GG264" i="11"/>
  <c r="GH264" i="11"/>
  <c r="GI264" i="11"/>
  <c r="GJ264" i="11"/>
  <c r="GK264" i="11"/>
  <c r="GL264" i="11"/>
  <c r="GM264" i="11"/>
  <c r="GN264" i="11"/>
  <c r="GO264" i="11"/>
  <c r="GP264" i="11"/>
  <c r="GQ264" i="11"/>
  <c r="GR264" i="11"/>
  <c r="GS264" i="11"/>
  <c r="GT264" i="11"/>
  <c r="GU264" i="11"/>
  <c r="GV264" i="11"/>
  <c r="GW264" i="11"/>
  <c r="GX264" i="11"/>
  <c r="GY264" i="11"/>
  <c r="GZ264" i="11"/>
  <c r="HA264" i="11"/>
  <c r="HB264" i="11"/>
  <c r="HC264" i="11"/>
  <c r="HD264" i="11"/>
  <c r="HE264" i="11"/>
  <c r="HF264" i="11"/>
  <c r="HG264" i="11"/>
  <c r="HH264" i="11"/>
  <c r="HI264" i="11"/>
  <c r="HJ264" i="11"/>
  <c r="HK264" i="11"/>
  <c r="HL264" i="11"/>
  <c r="HM264" i="11"/>
  <c r="HN264" i="11"/>
  <c r="HO264" i="11"/>
  <c r="HP264" i="11"/>
  <c r="HQ264" i="11"/>
  <c r="HR264" i="11"/>
  <c r="HS264" i="11"/>
  <c r="HT264" i="11"/>
  <c r="HU264" i="11"/>
  <c r="HV264" i="11"/>
  <c r="HW264" i="11"/>
  <c r="HX264" i="11"/>
  <c r="HY264" i="11"/>
  <c r="HZ264" i="11"/>
  <c r="IA264" i="11"/>
  <c r="IB264" i="11"/>
  <c r="IC264" i="11"/>
  <c r="ID264" i="11"/>
  <c r="IE264" i="11"/>
  <c r="IF264" i="11"/>
  <c r="IG264" i="11"/>
  <c r="IH264" i="11"/>
  <c r="II264" i="11"/>
  <c r="IJ264" i="11"/>
  <c r="IK264" i="11"/>
  <c r="IL264" i="11"/>
  <c r="IM264" i="11"/>
  <c r="IN264" i="11"/>
  <c r="IO264" i="11"/>
  <c r="IP264" i="11"/>
  <c r="IQ264" i="11"/>
  <c r="IR264" i="11"/>
  <c r="IS264" i="11"/>
  <c r="IT264" i="11"/>
  <c r="IU264" i="11"/>
  <c r="IV264" i="11"/>
  <c r="F265" i="11"/>
  <c r="G265" i="11"/>
  <c r="H265" i="11"/>
  <c r="I265" i="11"/>
  <c r="J265" i="11"/>
  <c r="K265" i="11"/>
  <c r="L265" i="11"/>
  <c r="M265" i="11"/>
  <c r="N265" i="11"/>
  <c r="O265" i="11"/>
  <c r="P265" i="11"/>
  <c r="Q265" i="11"/>
  <c r="R265" i="11"/>
  <c r="S265" i="11"/>
  <c r="T265" i="11"/>
  <c r="U265" i="11"/>
  <c r="V265" i="11"/>
  <c r="W265" i="11"/>
  <c r="X265" i="11"/>
  <c r="Y265" i="11"/>
  <c r="Z265" i="11"/>
  <c r="AA265" i="11"/>
  <c r="AB265" i="11"/>
  <c r="AC265" i="11"/>
  <c r="AD265" i="11"/>
  <c r="AE265" i="11"/>
  <c r="AF265" i="11"/>
  <c r="AG265" i="11"/>
  <c r="AH265" i="11"/>
  <c r="AI265" i="11"/>
  <c r="AJ265" i="11"/>
  <c r="AK265" i="11"/>
  <c r="AL265" i="11"/>
  <c r="AM265" i="11"/>
  <c r="AN265" i="11"/>
  <c r="AO265" i="11"/>
  <c r="AP265" i="11"/>
  <c r="AQ265" i="11"/>
  <c r="AR265" i="11"/>
  <c r="AS265" i="11"/>
  <c r="AT265" i="11"/>
  <c r="AU265" i="11"/>
  <c r="AV265" i="11"/>
  <c r="AW265" i="11"/>
  <c r="AX265" i="11"/>
  <c r="AY265" i="11"/>
  <c r="AZ265" i="11"/>
  <c r="BA265" i="11"/>
  <c r="BB265" i="11"/>
  <c r="BC265" i="11"/>
  <c r="BD265" i="11"/>
  <c r="BE265" i="11"/>
  <c r="BF265" i="11"/>
  <c r="BG265" i="11"/>
  <c r="BH265" i="11"/>
  <c r="BI265" i="11"/>
  <c r="BJ265" i="11"/>
  <c r="BK265" i="11"/>
  <c r="BL265" i="11"/>
  <c r="BM265" i="11"/>
  <c r="BN265" i="11"/>
  <c r="BO265" i="11"/>
  <c r="BP265" i="11"/>
  <c r="BQ265" i="11"/>
  <c r="BR265" i="11"/>
  <c r="BS265" i="11"/>
  <c r="BT265" i="11"/>
  <c r="BU265" i="11"/>
  <c r="BV265" i="11"/>
  <c r="BW265" i="11"/>
  <c r="BX265" i="11"/>
  <c r="BY265" i="11"/>
  <c r="BZ265" i="11"/>
  <c r="CA265" i="11"/>
  <c r="CB265" i="11"/>
  <c r="CC265" i="11"/>
  <c r="CD265" i="11"/>
  <c r="CE265" i="11"/>
  <c r="CF265" i="11"/>
  <c r="CG265" i="11"/>
  <c r="CH265" i="11"/>
  <c r="CI265" i="11"/>
  <c r="CJ265" i="11"/>
  <c r="CK265" i="11"/>
  <c r="CL265" i="11"/>
  <c r="CM265" i="11"/>
  <c r="CN265" i="11"/>
  <c r="CO265" i="11"/>
  <c r="CP265" i="11"/>
  <c r="CQ265" i="11"/>
  <c r="CR265" i="11"/>
  <c r="CS265" i="11"/>
  <c r="CT265" i="11"/>
  <c r="CU265" i="11"/>
  <c r="CV265" i="11"/>
  <c r="CW265" i="11"/>
  <c r="CX265" i="11"/>
  <c r="CY265" i="11"/>
  <c r="CZ265" i="11"/>
  <c r="DA265" i="11"/>
  <c r="DB265" i="11"/>
  <c r="DC265" i="11"/>
  <c r="DD265" i="11"/>
  <c r="DE265" i="11"/>
  <c r="DF265" i="11"/>
  <c r="DG265" i="11"/>
  <c r="DH265" i="11"/>
  <c r="DI265" i="11"/>
  <c r="DJ265" i="11"/>
  <c r="DK265" i="11"/>
  <c r="DL265" i="11"/>
  <c r="DM265" i="11"/>
  <c r="DN265" i="11"/>
  <c r="DO265" i="11"/>
  <c r="DP265" i="11"/>
  <c r="DQ265" i="11"/>
  <c r="DR265" i="11"/>
  <c r="DS265" i="11"/>
  <c r="DT265" i="11"/>
  <c r="DU265" i="11"/>
  <c r="DV265" i="11"/>
  <c r="DW265" i="11"/>
  <c r="DX265" i="11"/>
  <c r="DY265" i="11"/>
  <c r="DZ265" i="11"/>
  <c r="EA265" i="11"/>
  <c r="EB265" i="11"/>
  <c r="EC265" i="11"/>
  <c r="ED265" i="11"/>
  <c r="EE265" i="11"/>
  <c r="EF265" i="11"/>
  <c r="EG265" i="11"/>
  <c r="EH265" i="11"/>
  <c r="EI265" i="11"/>
  <c r="EJ265" i="11"/>
  <c r="EK265" i="11"/>
  <c r="EL265" i="11"/>
  <c r="EM265" i="11"/>
  <c r="EN265" i="11"/>
  <c r="EO265" i="11"/>
  <c r="EP265" i="11"/>
  <c r="EQ265" i="11"/>
  <c r="ER265" i="11"/>
  <c r="ES265" i="11"/>
  <c r="ET265" i="11"/>
  <c r="EU265" i="11"/>
  <c r="EV265" i="11"/>
  <c r="EW265" i="11"/>
  <c r="EX265" i="11"/>
  <c r="EY265" i="11"/>
  <c r="EZ265" i="11"/>
  <c r="FA265" i="11"/>
  <c r="FB265" i="11"/>
  <c r="FC265" i="11"/>
  <c r="FD265" i="11"/>
  <c r="FE265" i="11"/>
  <c r="FF265" i="11"/>
  <c r="FG265" i="11"/>
  <c r="FH265" i="11"/>
  <c r="FI265" i="11"/>
  <c r="FJ265" i="11"/>
  <c r="FK265" i="11"/>
  <c r="FL265" i="11"/>
  <c r="FM265" i="11"/>
  <c r="FN265" i="11"/>
  <c r="FO265" i="11"/>
  <c r="FP265" i="11"/>
  <c r="FQ265" i="11"/>
  <c r="FR265" i="11"/>
  <c r="FS265" i="11"/>
  <c r="FT265" i="11"/>
  <c r="FU265" i="11"/>
  <c r="FV265" i="11"/>
  <c r="FW265" i="11"/>
  <c r="FX265" i="11"/>
  <c r="FY265" i="11"/>
  <c r="FZ265" i="11"/>
  <c r="GA265" i="11"/>
  <c r="GB265" i="11"/>
  <c r="GC265" i="11"/>
  <c r="GD265" i="11"/>
  <c r="GE265" i="11"/>
  <c r="GF265" i="11"/>
  <c r="GG265" i="11"/>
  <c r="GH265" i="11"/>
  <c r="GI265" i="11"/>
  <c r="GJ265" i="11"/>
  <c r="GK265" i="11"/>
  <c r="GL265" i="11"/>
  <c r="GM265" i="11"/>
  <c r="GN265" i="11"/>
  <c r="GO265" i="11"/>
  <c r="GP265" i="11"/>
  <c r="GQ265" i="11"/>
  <c r="GR265" i="11"/>
  <c r="GS265" i="11"/>
  <c r="GT265" i="11"/>
  <c r="GU265" i="11"/>
  <c r="GV265" i="11"/>
  <c r="GW265" i="11"/>
  <c r="GX265" i="11"/>
  <c r="GY265" i="11"/>
  <c r="GZ265" i="11"/>
  <c r="HA265" i="11"/>
  <c r="HB265" i="11"/>
  <c r="HC265" i="11"/>
  <c r="HD265" i="11"/>
  <c r="HE265" i="11"/>
  <c r="HF265" i="11"/>
  <c r="HG265" i="11"/>
  <c r="HH265" i="11"/>
  <c r="HI265" i="11"/>
  <c r="HJ265" i="11"/>
  <c r="HK265" i="11"/>
  <c r="HL265" i="11"/>
  <c r="HM265" i="11"/>
  <c r="HN265" i="11"/>
  <c r="HO265" i="11"/>
  <c r="HP265" i="11"/>
  <c r="HQ265" i="11"/>
  <c r="HR265" i="11"/>
  <c r="HS265" i="11"/>
  <c r="HT265" i="11"/>
  <c r="HU265" i="11"/>
  <c r="HV265" i="11"/>
  <c r="HW265" i="11"/>
  <c r="HX265" i="11"/>
  <c r="HY265" i="11"/>
  <c r="HZ265" i="11"/>
  <c r="IA265" i="11"/>
  <c r="IB265" i="11"/>
  <c r="IC265" i="11"/>
  <c r="ID265" i="11"/>
  <c r="IE265" i="11"/>
  <c r="IF265" i="11"/>
  <c r="IG265" i="11"/>
  <c r="IH265" i="11"/>
  <c r="II265" i="11"/>
  <c r="IJ265" i="11"/>
  <c r="IK265" i="11"/>
  <c r="IL265" i="11"/>
  <c r="IM265" i="11"/>
  <c r="IN265" i="11"/>
  <c r="IO265" i="11"/>
  <c r="IP265" i="11"/>
  <c r="IQ265" i="11"/>
  <c r="IR265" i="11"/>
  <c r="IS265" i="11"/>
  <c r="IT265" i="11"/>
  <c r="IU265" i="11"/>
  <c r="IV265" i="11"/>
  <c r="F266" i="11"/>
  <c r="G266" i="11"/>
  <c r="H266" i="11"/>
  <c r="I266" i="11"/>
  <c r="J266" i="11"/>
  <c r="K266" i="11"/>
  <c r="L266" i="11"/>
  <c r="M266" i="11"/>
  <c r="N266" i="11"/>
  <c r="O266" i="11"/>
  <c r="P266" i="11"/>
  <c r="Q266" i="11"/>
  <c r="R266" i="11"/>
  <c r="S266" i="11"/>
  <c r="T266" i="11"/>
  <c r="U266" i="11"/>
  <c r="V266" i="11"/>
  <c r="W266" i="11"/>
  <c r="X266" i="11"/>
  <c r="Y266" i="11"/>
  <c r="Z266" i="11"/>
  <c r="AA266" i="11"/>
  <c r="AB266" i="11"/>
  <c r="AC266" i="11"/>
  <c r="AD266" i="11"/>
  <c r="AE266" i="11"/>
  <c r="AF266" i="11"/>
  <c r="AG266" i="11"/>
  <c r="AH266" i="11"/>
  <c r="AI266" i="11"/>
  <c r="AJ266" i="11"/>
  <c r="AK266" i="11"/>
  <c r="AL266" i="11"/>
  <c r="AM266" i="11"/>
  <c r="AN266" i="11"/>
  <c r="AO266" i="11"/>
  <c r="AP266" i="11"/>
  <c r="AQ266" i="11"/>
  <c r="AR266" i="11"/>
  <c r="AS266" i="11"/>
  <c r="AT266" i="11"/>
  <c r="AU266" i="11"/>
  <c r="AV266" i="11"/>
  <c r="AW266" i="11"/>
  <c r="AX266" i="11"/>
  <c r="AY266" i="11"/>
  <c r="AZ266" i="11"/>
  <c r="BA266" i="11"/>
  <c r="BB266" i="11"/>
  <c r="BC266" i="11"/>
  <c r="BD266" i="11"/>
  <c r="BE266" i="11"/>
  <c r="BF266" i="11"/>
  <c r="BG266" i="11"/>
  <c r="BH266" i="11"/>
  <c r="BI266" i="11"/>
  <c r="BJ266" i="11"/>
  <c r="BK266" i="11"/>
  <c r="BL266" i="11"/>
  <c r="BM266" i="11"/>
  <c r="BN266" i="11"/>
  <c r="BO266" i="11"/>
  <c r="BP266" i="11"/>
  <c r="BQ266" i="11"/>
  <c r="BR266" i="11"/>
  <c r="BS266" i="11"/>
  <c r="BT266" i="11"/>
  <c r="BU266" i="11"/>
  <c r="BV266" i="11"/>
  <c r="BW266" i="11"/>
  <c r="BX266" i="11"/>
  <c r="BY266" i="11"/>
  <c r="BZ266" i="11"/>
  <c r="CA266" i="11"/>
  <c r="CB266" i="11"/>
  <c r="CC266" i="11"/>
  <c r="CD266" i="11"/>
  <c r="CE266" i="11"/>
  <c r="CF266" i="11"/>
  <c r="CG266" i="11"/>
  <c r="CH266" i="11"/>
  <c r="CI266" i="11"/>
  <c r="CJ266" i="11"/>
  <c r="CK266" i="11"/>
  <c r="CL266" i="11"/>
  <c r="CM266" i="11"/>
  <c r="CN266" i="11"/>
  <c r="CO266" i="11"/>
  <c r="CP266" i="11"/>
  <c r="CQ266" i="11"/>
  <c r="CR266" i="11"/>
  <c r="CS266" i="11"/>
  <c r="CT266" i="11"/>
  <c r="CU266" i="11"/>
  <c r="CV266" i="11"/>
  <c r="CW266" i="11"/>
  <c r="CX266" i="11"/>
  <c r="CY266" i="11"/>
  <c r="CZ266" i="11"/>
  <c r="DA266" i="11"/>
  <c r="DB266" i="11"/>
  <c r="DC266" i="11"/>
  <c r="DD266" i="11"/>
  <c r="DE266" i="11"/>
  <c r="DF266" i="11"/>
  <c r="DG266" i="11"/>
  <c r="DH266" i="11"/>
  <c r="DI266" i="11"/>
  <c r="DJ266" i="11"/>
  <c r="DK266" i="11"/>
  <c r="DL266" i="11"/>
  <c r="DM266" i="11"/>
  <c r="DN266" i="11"/>
  <c r="DO266" i="11"/>
  <c r="DP266" i="11"/>
  <c r="DQ266" i="11"/>
  <c r="DR266" i="11"/>
  <c r="DS266" i="11"/>
  <c r="DT266" i="11"/>
  <c r="DU266" i="11"/>
  <c r="DV266" i="11"/>
  <c r="DW266" i="11"/>
  <c r="DX266" i="11"/>
  <c r="DY266" i="11"/>
  <c r="DZ266" i="11"/>
  <c r="EA266" i="11"/>
  <c r="EB266" i="11"/>
  <c r="EC266" i="11"/>
  <c r="ED266" i="11"/>
  <c r="EE266" i="11"/>
  <c r="EF266" i="11"/>
  <c r="EG266" i="11"/>
  <c r="EH266" i="11"/>
  <c r="EI266" i="11"/>
  <c r="EJ266" i="11"/>
  <c r="EK266" i="11"/>
  <c r="EL266" i="11"/>
  <c r="EM266" i="11"/>
  <c r="EN266" i="11"/>
  <c r="EO266" i="11"/>
  <c r="EP266" i="11"/>
  <c r="EQ266" i="11"/>
  <c r="ER266" i="11"/>
  <c r="ES266" i="11"/>
  <c r="ET266" i="11"/>
  <c r="EU266" i="11"/>
  <c r="EV266" i="11"/>
  <c r="EW266" i="11"/>
  <c r="EX266" i="11"/>
  <c r="EY266" i="11"/>
  <c r="EZ266" i="11"/>
  <c r="FA266" i="11"/>
  <c r="FB266" i="11"/>
  <c r="FC266" i="11"/>
  <c r="FD266" i="11"/>
  <c r="FE266" i="11"/>
  <c r="FF266" i="11"/>
  <c r="FG266" i="11"/>
  <c r="FH266" i="11"/>
  <c r="FI266" i="11"/>
  <c r="FJ266" i="11"/>
  <c r="FK266" i="11"/>
  <c r="FL266" i="11"/>
  <c r="FM266" i="11"/>
  <c r="FN266" i="11"/>
  <c r="FO266" i="11"/>
  <c r="FP266" i="11"/>
  <c r="FQ266" i="11"/>
  <c r="FR266" i="11"/>
  <c r="FS266" i="11"/>
  <c r="FT266" i="11"/>
  <c r="FU266" i="11"/>
  <c r="FV266" i="11"/>
  <c r="FW266" i="11"/>
  <c r="FX266" i="11"/>
  <c r="FY266" i="11"/>
  <c r="FZ266" i="11"/>
  <c r="GA266" i="11"/>
  <c r="GB266" i="11"/>
  <c r="GC266" i="11"/>
  <c r="GD266" i="11"/>
  <c r="GE266" i="11"/>
  <c r="GF266" i="11"/>
  <c r="GG266" i="11"/>
  <c r="GH266" i="11"/>
  <c r="GI266" i="11"/>
  <c r="GJ266" i="11"/>
  <c r="GK266" i="11"/>
  <c r="GL266" i="11"/>
  <c r="GM266" i="11"/>
  <c r="GN266" i="11"/>
  <c r="GO266" i="11"/>
  <c r="GP266" i="11"/>
  <c r="GQ266" i="11"/>
  <c r="GR266" i="11"/>
  <c r="GS266" i="11"/>
  <c r="GT266" i="11"/>
  <c r="GU266" i="11"/>
  <c r="GV266" i="11"/>
  <c r="GW266" i="11"/>
  <c r="GX266" i="11"/>
  <c r="GY266" i="11"/>
  <c r="GZ266" i="11"/>
  <c r="HA266" i="11"/>
  <c r="HB266" i="11"/>
  <c r="HC266" i="11"/>
  <c r="HD266" i="11"/>
  <c r="HE266" i="11"/>
  <c r="HF266" i="11"/>
  <c r="HG266" i="11"/>
  <c r="HH266" i="11"/>
  <c r="HI266" i="11"/>
  <c r="HJ266" i="11"/>
  <c r="HK266" i="11"/>
  <c r="HL266" i="11"/>
  <c r="HM266" i="11"/>
  <c r="HN266" i="11"/>
  <c r="HO266" i="11"/>
  <c r="HP266" i="11"/>
  <c r="HQ266" i="11"/>
  <c r="HR266" i="11"/>
  <c r="HS266" i="11"/>
  <c r="HT266" i="11"/>
  <c r="HU266" i="11"/>
  <c r="HV266" i="11"/>
  <c r="HW266" i="11"/>
  <c r="HX266" i="11"/>
  <c r="HY266" i="11"/>
  <c r="HZ266" i="11"/>
  <c r="IA266" i="11"/>
  <c r="IB266" i="11"/>
  <c r="IC266" i="11"/>
  <c r="ID266" i="11"/>
  <c r="IE266" i="11"/>
  <c r="IF266" i="11"/>
  <c r="IG266" i="11"/>
  <c r="IH266" i="11"/>
  <c r="II266" i="11"/>
  <c r="IJ266" i="11"/>
  <c r="IK266" i="11"/>
  <c r="IL266" i="11"/>
  <c r="IM266" i="11"/>
  <c r="IN266" i="11"/>
  <c r="IO266" i="11"/>
  <c r="IP266" i="11"/>
  <c r="IQ266" i="11"/>
  <c r="IR266" i="11"/>
  <c r="IS266" i="11"/>
  <c r="IT266" i="11"/>
  <c r="IU266" i="11"/>
  <c r="IV266" i="11"/>
  <c r="F267" i="11"/>
  <c r="G267" i="11"/>
  <c r="H267" i="11"/>
  <c r="I267" i="11"/>
  <c r="J267" i="11"/>
  <c r="K267" i="11"/>
  <c r="L267" i="11"/>
  <c r="M267" i="11"/>
  <c r="N267" i="11"/>
  <c r="O267" i="11"/>
  <c r="P267" i="11"/>
  <c r="Q267" i="11"/>
  <c r="R267" i="11"/>
  <c r="S267" i="11"/>
  <c r="T267" i="11"/>
  <c r="U267" i="11"/>
  <c r="V267" i="11"/>
  <c r="W267" i="11"/>
  <c r="X267" i="11"/>
  <c r="Y267" i="11"/>
  <c r="Z267" i="11"/>
  <c r="AA267" i="11"/>
  <c r="AB267" i="11"/>
  <c r="AC267" i="11"/>
  <c r="AD267" i="11"/>
  <c r="AE267" i="11"/>
  <c r="AF267" i="11"/>
  <c r="AG267" i="11"/>
  <c r="AH267" i="11"/>
  <c r="AI267" i="11"/>
  <c r="AJ267" i="11"/>
  <c r="AK267" i="11"/>
  <c r="AL267" i="11"/>
  <c r="AM267" i="11"/>
  <c r="AN267" i="11"/>
  <c r="AO267" i="11"/>
  <c r="AP267" i="11"/>
  <c r="AQ267" i="11"/>
  <c r="AR267" i="11"/>
  <c r="AS267" i="11"/>
  <c r="AT267" i="11"/>
  <c r="AU267" i="11"/>
  <c r="AV267" i="11"/>
  <c r="AW267" i="11"/>
  <c r="AX267" i="11"/>
  <c r="AY267" i="11"/>
  <c r="AZ267" i="11"/>
  <c r="BA267" i="11"/>
  <c r="BB267" i="11"/>
  <c r="BC267" i="11"/>
  <c r="BD267" i="11"/>
  <c r="BE267" i="11"/>
  <c r="BF267" i="11"/>
  <c r="BG267" i="11"/>
  <c r="BH267" i="11"/>
  <c r="BI267" i="11"/>
  <c r="BJ267" i="11"/>
  <c r="BK267" i="11"/>
  <c r="BL267" i="11"/>
  <c r="BM267" i="11"/>
  <c r="BN267" i="11"/>
  <c r="BO267" i="11"/>
  <c r="BP267" i="11"/>
  <c r="BQ267" i="11"/>
  <c r="BR267" i="11"/>
  <c r="BS267" i="11"/>
  <c r="BT267" i="11"/>
  <c r="BU267" i="11"/>
  <c r="BV267" i="11"/>
  <c r="BW267" i="11"/>
  <c r="BX267" i="11"/>
  <c r="BY267" i="11"/>
  <c r="BZ267" i="11"/>
  <c r="CA267" i="11"/>
  <c r="CB267" i="11"/>
  <c r="CC267" i="11"/>
  <c r="CD267" i="11"/>
  <c r="CE267" i="11"/>
  <c r="CF267" i="11"/>
  <c r="CG267" i="11"/>
  <c r="CH267" i="11"/>
  <c r="CI267" i="11"/>
  <c r="CJ267" i="11"/>
  <c r="CK267" i="11"/>
  <c r="CL267" i="11"/>
  <c r="CM267" i="11"/>
  <c r="CN267" i="11"/>
  <c r="CO267" i="11"/>
  <c r="CP267" i="11"/>
  <c r="CQ267" i="11"/>
  <c r="CR267" i="11"/>
  <c r="CS267" i="11"/>
  <c r="CT267" i="11"/>
  <c r="CU267" i="11"/>
  <c r="CV267" i="11"/>
  <c r="CW267" i="11"/>
  <c r="CX267" i="11"/>
  <c r="CY267" i="11"/>
  <c r="CZ267" i="11"/>
  <c r="DA267" i="11"/>
  <c r="DB267" i="11"/>
  <c r="DC267" i="11"/>
  <c r="DD267" i="11"/>
  <c r="DE267" i="11"/>
  <c r="DF267" i="11"/>
  <c r="DG267" i="11"/>
  <c r="DH267" i="11"/>
  <c r="DI267" i="11"/>
  <c r="DJ267" i="11"/>
  <c r="DK267" i="11"/>
  <c r="DL267" i="11"/>
  <c r="DM267" i="11"/>
  <c r="DN267" i="11"/>
  <c r="DO267" i="11"/>
  <c r="DP267" i="11"/>
  <c r="DQ267" i="11"/>
  <c r="DR267" i="11"/>
  <c r="DS267" i="11"/>
  <c r="DT267" i="11"/>
  <c r="DU267" i="11"/>
  <c r="DV267" i="11"/>
  <c r="DW267" i="11"/>
  <c r="DX267" i="11"/>
  <c r="DY267" i="11"/>
  <c r="DZ267" i="11"/>
  <c r="EA267" i="11"/>
  <c r="EB267" i="11"/>
  <c r="EC267" i="11"/>
  <c r="ED267" i="11"/>
  <c r="EE267" i="11"/>
  <c r="EF267" i="11"/>
  <c r="EG267" i="11"/>
  <c r="EH267" i="11"/>
  <c r="EI267" i="11"/>
  <c r="EJ267" i="11"/>
  <c r="EK267" i="11"/>
  <c r="EL267" i="11"/>
  <c r="EM267" i="11"/>
  <c r="EN267" i="11"/>
  <c r="EO267" i="11"/>
  <c r="EP267" i="11"/>
  <c r="EQ267" i="11"/>
  <c r="ER267" i="11"/>
  <c r="ES267" i="11"/>
  <c r="ET267" i="11"/>
  <c r="EU267" i="11"/>
  <c r="EV267" i="11"/>
  <c r="EW267" i="11"/>
  <c r="EX267" i="11"/>
  <c r="EY267" i="11"/>
  <c r="EZ267" i="11"/>
  <c r="FA267" i="11"/>
  <c r="FB267" i="11"/>
  <c r="FC267" i="11"/>
  <c r="FD267" i="11"/>
  <c r="FE267" i="11"/>
  <c r="FF267" i="11"/>
  <c r="FG267" i="11"/>
  <c r="FH267" i="11"/>
  <c r="FI267" i="11"/>
  <c r="FJ267" i="11"/>
  <c r="FK267" i="11"/>
  <c r="FL267" i="11"/>
  <c r="FM267" i="11"/>
  <c r="FN267" i="11"/>
  <c r="FO267" i="11"/>
  <c r="FP267" i="11"/>
  <c r="FQ267" i="11"/>
  <c r="FR267" i="11"/>
  <c r="FS267" i="11"/>
  <c r="FT267" i="11"/>
  <c r="FU267" i="11"/>
  <c r="FV267" i="11"/>
  <c r="FW267" i="11"/>
  <c r="FX267" i="11"/>
  <c r="FY267" i="11"/>
  <c r="FZ267" i="11"/>
  <c r="GA267" i="11"/>
  <c r="GB267" i="11"/>
  <c r="GC267" i="11"/>
  <c r="GD267" i="11"/>
  <c r="GE267" i="11"/>
  <c r="GF267" i="11"/>
  <c r="GG267" i="11"/>
  <c r="GH267" i="11"/>
  <c r="GI267" i="11"/>
  <c r="GJ267" i="11"/>
  <c r="GK267" i="11"/>
  <c r="GL267" i="11"/>
  <c r="GM267" i="11"/>
  <c r="GN267" i="11"/>
  <c r="GO267" i="11"/>
  <c r="GP267" i="11"/>
  <c r="GQ267" i="11"/>
  <c r="GR267" i="11"/>
  <c r="GS267" i="11"/>
  <c r="GT267" i="11"/>
  <c r="GU267" i="11"/>
  <c r="GV267" i="11"/>
  <c r="GW267" i="11"/>
  <c r="GX267" i="11"/>
  <c r="GY267" i="11"/>
  <c r="GZ267" i="11"/>
  <c r="HA267" i="11"/>
  <c r="HB267" i="11"/>
  <c r="HC267" i="11"/>
  <c r="HD267" i="11"/>
  <c r="HE267" i="11"/>
  <c r="HF267" i="11"/>
  <c r="HG267" i="11"/>
  <c r="HH267" i="11"/>
  <c r="HI267" i="11"/>
  <c r="HJ267" i="11"/>
  <c r="HK267" i="11"/>
  <c r="HL267" i="11"/>
  <c r="HM267" i="11"/>
  <c r="HN267" i="11"/>
  <c r="HO267" i="11"/>
  <c r="HP267" i="11"/>
  <c r="HQ267" i="11"/>
  <c r="HR267" i="11"/>
  <c r="HS267" i="11"/>
  <c r="HT267" i="11"/>
  <c r="HU267" i="11"/>
  <c r="HV267" i="11"/>
  <c r="HW267" i="11"/>
  <c r="HX267" i="11"/>
  <c r="HY267" i="11"/>
  <c r="HZ267" i="11"/>
  <c r="IA267" i="11"/>
  <c r="IB267" i="11"/>
  <c r="IC267" i="11"/>
  <c r="ID267" i="11"/>
  <c r="IE267" i="11"/>
  <c r="IF267" i="11"/>
  <c r="IG267" i="11"/>
  <c r="IH267" i="11"/>
  <c r="II267" i="11"/>
  <c r="IJ267" i="11"/>
  <c r="IK267" i="11"/>
  <c r="IL267" i="11"/>
  <c r="IM267" i="11"/>
  <c r="IN267" i="11"/>
  <c r="IO267" i="11"/>
  <c r="IP267" i="11"/>
  <c r="IQ267" i="11"/>
  <c r="IR267" i="11"/>
  <c r="IS267" i="11"/>
  <c r="IT267" i="11"/>
  <c r="IU267" i="11"/>
  <c r="IV267" i="11"/>
  <c r="F268" i="11"/>
  <c r="G268" i="11"/>
  <c r="H268" i="11"/>
  <c r="I268" i="11"/>
  <c r="J268" i="11"/>
  <c r="K268" i="11"/>
  <c r="L268" i="11"/>
  <c r="M268" i="11"/>
  <c r="N268" i="11"/>
  <c r="O268" i="11"/>
  <c r="P268" i="11"/>
  <c r="Q268" i="11"/>
  <c r="R268" i="11"/>
  <c r="S268" i="11"/>
  <c r="T268" i="11"/>
  <c r="U268" i="11"/>
  <c r="V268" i="11"/>
  <c r="W268" i="11"/>
  <c r="X268" i="11"/>
  <c r="Y268" i="11"/>
  <c r="Z268" i="11"/>
  <c r="AA268" i="11"/>
  <c r="AB268" i="11"/>
  <c r="AC268" i="11"/>
  <c r="AD268" i="11"/>
  <c r="AE268" i="11"/>
  <c r="AF268" i="11"/>
  <c r="AG268" i="11"/>
  <c r="AH268" i="11"/>
  <c r="AI268" i="11"/>
  <c r="AJ268" i="11"/>
  <c r="AK268" i="11"/>
  <c r="AL268" i="11"/>
  <c r="AM268" i="11"/>
  <c r="AN268" i="11"/>
  <c r="AO268" i="11"/>
  <c r="AP268" i="11"/>
  <c r="AQ268" i="11"/>
  <c r="AR268" i="11"/>
  <c r="AS268" i="11"/>
  <c r="AT268" i="11"/>
  <c r="AU268" i="11"/>
  <c r="AV268" i="11"/>
  <c r="AW268" i="11"/>
  <c r="AX268" i="11"/>
  <c r="AY268" i="11"/>
  <c r="AZ268" i="11"/>
  <c r="BA268" i="11"/>
  <c r="BB268" i="11"/>
  <c r="BC268" i="11"/>
  <c r="BD268" i="11"/>
  <c r="BE268" i="11"/>
  <c r="BF268" i="11"/>
  <c r="BG268" i="11"/>
  <c r="BH268" i="11"/>
  <c r="BI268" i="11"/>
  <c r="BJ268" i="11"/>
  <c r="BK268" i="11"/>
  <c r="BL268" i="11"/>
  <c r="BM268" i="11"/>
  <c r="BN268" i="11"/>
  <c r="BO268" i="11"/>
  <c r="BP268" i="11"/>
  <c r="BQ268" i="11"/>
  <c r="BR268" i="11"/>
  <c r="BS268" i="11"/>
  <c r="BT268" i="11"/>
  <c r="BU268" i="11"/>
  <c r="BV268" i="11"/>
  <c r="BW268" i="11"/>
  <c r="BX268" i="11"/>
  <c r="BY268" i="11"/>
  <c r="BZ268" i="11"/>
  <c r="CA268" i="11"/>
  <c r="CB268" i="11"/>
  <c r="CC268" i="11"/>
  <c r="CD268" i="11"/>
  <c r="CE268" i="11"/>
  <c r="CF268" i="11"/>
  <c r="CG268" i="11"/>
  <c r="CH268" i="11"/>
  <c r="CI268" i="11"/>
  <c r="CJ268" i="11"/>
  <c r="CK268" i="11"/>
  <c r="CL268" i="11"/>
  <c r="CM268" i="11"/>
  <c r="CN268" i="11"/>
  <c r="CO268" i="11"/>
  <c r="CP268" i="11"/>
  <c r="CQ268" i="11"/>
  <c r="CR268" i="11"/>
  <c r="CS268" i="11"/>
  <c r="CT268" i="11"/>
  <c r="CU268" i="11"/>
  <c r="CV268" i="11"/>
  <c r="CW268" i="11"/>
  <c r="CX268" i="11"/>
  <c r="CY268" i="11"/>
  <c r="CZ268" i="11"/>
  <c r="DA268" i="11"/>
  <c r="DB268" i="11"/>
  <c r="DC268" i="11"/>
  <c r="DD268" i="11"/>
  <c r="DE268" i="11"/>
  <c r="DF268" i="11"/>
  <c r="DG268" i="11"/>
  <c r="DH268" i="11"/>
  <c r="DI268" i="11"/>
  <c r="DJ268" i="11"/>
  <c r="DK268" i="11"/>
  <c r="DL268" i="11"/>
  <c r="DM268" i="11"/>
  <c r="DN268" i="11"/>
  <c r="DO268" i="11"/>
  <c r="DP268" i="11"/>
  <c r="DQ268" i="11"/>
  <c r="DR268" i="11"/>
  <c r="DS268" i="11"/>
  <c r="DT268" i="11"/>
  <c r="DU268" i="11"/>
  <c r="DV268" i="11"/>
  <c r="DW268" i="11"/>
  <c r="DX268" i="11"/>
  <c r="DY268" i="11"/>
  <c r="DZ268" i="11"/>
  <c r="EA268" i="11"/>
  <c r="EB268" i="11"/>
  <c r="EC268" i="11"/>
  <c r="ED268" i="11"/>
  <c r="EE268" i="11"/>
  <c r="EF268" i="11"/>
  <c r="EG268" i="11"/>
  <c r="EH268" i="11"/>
  <c r="EI268" i="11"/>
  <c r="EJ268" i="11"/>
  <c r="EK268" i="11"/>
  <c r="EL268" i="11"/>
  <c r="EM268" i="11"/>
  <c r="EN268" i="11"/>
  <c r="EO268" i="11"/>
  <c r="EP268" i="11"/>
  <c r="EQ268" i="11"/>
  <c r="ER268" i="11"/>
  <c r="ES268" i="11"/>
  <c r="ET268" i="11"/>
  <c r="EU268" i="11"/>
  <c r="EV268" i="11"/>
  <c r="EW268" i="11"/>
  <c r="EX268" i="11"/>
  <c r="EY268" i="11"/>
  <c r="EZ268" i="11"/>
  <c r="FA268" i="11"/>
  <c r="FB268" i="11"/>
  <c r="FC268" i="11"/>
  <c r="FD268" i="11"/>
  <c r="FE268" i="11"/>
  <c r="FF268" i="11"/>
  <c r="FG268" i="11"/>
  <c r="FH268" i="11"/>
  <c r="FI268" i="11"/>
  <c r="FJ268" i="11"/>
  <c r="FK268" i="11"/>
  <c r="FL268" i="11"/>
  <c r="FM268" i="11"/>
  <c r="FN268" i="11"/>
  <c r="FO268" i="11"/>
  <c r="FP268" i="11"/>
  <c r="FQ268" i="11"/>
  <c r="FR268" i="11"/>
  <c r="FS268" i="11"/>
  <c r="FT268" i="11"/>
  <c r="FU268" i="11"/>
  <c r="FV268" i="11"/>
  <c r="FW268" i="11"/>
  <c r="FX268" i="11"/>
  <c r="FY268" i="11"/>
  <c r="FZ268" i="11"/>
  <c r="GA268" i="11"/>
  <c r="GB268" i="11"/>
  <c r="GC268" i="11"/>
  <c r="GD268" i="11"/>
  <c r="GE268" i="11"/>
  <c r="GF268" i="11"/>
  <c r="GG268" i="11"/>
  <c r="GH268" i="11"/>
  <c r="GI268" i="11"/>
  <c r="GJ268" i="11"/>
  <c r="GK268" i="11"/>
  <c r="GL268" i="11"/>
  <c r="GM268" i="11"/>
  <c r="GN268" i="11"/>
  <c r="GO268" i="11"/>
  <c r="GP268" i="11"/>
  <c r="GQ268" i="11"/>
  <c r="GR268" i="11"/>
  <c r="GS268" i="11"/>
  <c r="GT268" i="11"/>
  <c r="GU268" i="11"/>
  <c r="GV268" i="11"/>
  <c r="GW268" i="11"/>
  <c r="GX268" i="11"/>
  <c r="GY268" i="11"/>
  <c r="GZ268" i="11"/>
  <c r="HA268" i="11"/>
  <c r="HB268" i="11"/>
  <c r="HC268" i="11"/>
  <c r="HD268" i="11"/>
  <c r="HE268" i="11"/>
  <c r="HF268" i="11"/>
  <c r="HG268" i="11"/>
  <c r="HH268" i="11"/>
  <c r="HI268" i="11"/>
  <c r="HJ268" i="11"/>
  <c r="HK268" i="11"/>
  <c r="HL268" i="11"/>
  <c r="HM268" i="11"/>
  <c r="HN268" i="11"/>
  <c r="HO268" i="11"/>
  <c r="HP268" i="11"/>
  <c r="HQ268" i="11"/>
  <c r="HR268" i="11"/>
  <c r="HS268" i="11"/>
  <c r="HT268" i="11"/>
  <c r="HU268" i="11"/>
  <c r="HV268" i="11"/>
  <c r="HW268" i="11"/>
  <c r="HX268" i="11"/>
  <c r="HY268" i="11"/>
  <c r="HZ268" i="11"/>
  <c r="IA268" i="11"/>
  <c r="IB268" i="11"/>
  <c r="IC268" i="11"/>
  <c r="ID268" i="11"/>
  <c r="IE268" i="11"/>
  <c r="IF268" i="11"/>
  <c r="IG268" i="11"/>
  <c r="IH268" i="11"/>
  <c r="II268" i="11"/>
  <c r="IJ268" i="11"/>
  <c r="IK268" i="11"/>
  <c r="IL268" i="11"/>
  <c r="IM268" i="11"/>
  <c r="IN268" i="11"/>
  <c r="IO268" i="11"/>
  <c r="IP268" i="11"/>
  <c r="IQ268" i="11"/>
  <c r="IR268" i="11"/>
  <c r="IS268" i="11"/>
  <c r="IT268" i="11"/>
  <c r="IU268" i="11"/>
  <c r="IV268" i="11"/>
  <c r="F269" i="11"/>
  <c r="G269" i="11"/>
  <c r="H269" i="11"/>
  <c r="I269" i="11"/>
  <c r="J269" i="11"/>
  <c r="K269" i="11"/>
  <c r="L269" i="11"/>
  <c r="M269" i="11"/>
  <c r="N269" i="11"/>
  <c r="O269" i="11"/>
  <c r="P269" i="11"/>
  <c r="Q269" i="11"/>
  <c r="R269" i="11"/>
  <c r="S269" i="11"/>
  <c r="T269" i="11"/>
  <c r="U269" i="11"/>
  <c r="V269" i="11"/>
  <c r="W269" i="11"/>
  <c r="X269" i="11"/>
  <c r="Y269" i="11"/>
  <c r="Z269" i="11"/>
  <c r="AA269" i="11"/>
  <c r="AB269" i="11"/>
  <c r="AC269" i="11"/>
  <c r="AD269" i="11"/>
  <c r="AE269" i="11"/>
  <c r="AF269" i="11"/>
  <c r="AG269" i="11"/>
  <c r="AH269" i="11"/>
  <c r="AI269" i="11"/>
  <c r="AJ269" i="11"/>
  <c r="AK269" i="11"/>
  <c r="AL269" i="11"/>
  <c r="AM269" i="11"/>
  <c r="AN269" i="11"/>
  <c r="AO269" i="11"/>
  <c r="AP269" i="11"/>
  <c r="AQ269" i="11"/>
  <c r="AR269" i="11"/>
  <c r="AS269" i="11"/>
  <c r="AT269" i="11"/>
  <c r="AU269" i="11"/>
  <c r="AV269" i="11"/>
  <c r="AW269" i="11"/>
  <c r="AX269" i="11"/>
  <c r="AY269" i="11"/>
  <c r="AZ269" i="11"/>
  <c r="BA269" i="11"/>
  <c r="BB269" i="11"/>
  <c r="BC269" i="11"/>
  <c r="BD269" i="11"/>
  <c r="BE269" i="11"/>
  <c r="BF269" i="11"/>
  <c r="BG269" i="11"/>
  <c r="BH269" i="11"/>
  <c r="BI269" i="11"/>
  <c r="BJ269" i="11"/>
  <c r="BK269" i="11"/>
  <c r="BL269" i="11"/>
  <c r="BM269" i="11"/>
  <c r="BN269" i="11"/>
  <c r="BO269" i="11"/>
  <c r="BP269" i="11"/>
  <c r="BQ269" i="11"/>
  <c r="BR269" i="11"/>
  <c r="BS269" i="11"/>
  <c r="BT269" i="11"/>
  <c r="BU269" i="11"/>
  <c r="BV269" i="11"/>
  <c r="BW269" i="11"/>
  <c r="BX269" i="11"/>
  <c r="BY269" i="11"/>
  <c r="BZ269" i="11"/>
  <c r="CA269" i="11"/>
  <c r="CB269" i="11"/>
  <c r="CC269" i="11"/>
  <c r="CD269" i="11"/>
  <c r="CE269" i="11"/>
  <c r="CF269" i="11"/>
  <c r="CG269" i="11"/>
  <c r="CH269" i="11"/>
  <c r="CI269" i="11"/>
  <c r="CJ269" i="11"/>
  <c r="CK269" i="11"/>
  <c r="CL269" i="11"/>
  <c r="CM269" i="11"/>
  <c r="CN269" i="11"/>
  <c r="CO269" i="11"/>
  <c r="CP269" i="11"/>
  <c r="CQ269" i="11"/>
  <c r="CR269" i="11"/>
  <c r="CS269" i="11"/>
  <c r="CT269" i="11"/>
  <c r="CU269" i="11"/>
  <c r="CV269" i="11"/>
  <c r="CW269" i="11"/>
  <c r="CX269" i="11"/>
  <c r="CY269" i="11"/>
  <c r="CZ269" i="11"/>
  <c r="DA269" i="11"/>
  <c r="DB269" i="11"/>
  <c r="DC269" i="11"/>
  <c r="DD269" i="11"/>
  <c r="DE269" i="11"/>
  <c r="DF269" i="11"/>
  <c r="DG269" i="11"/>
  <c r="DH269" i="11"/>
  <c r="DI269" i="11"/>
  <c r="DJ269" i="11"/>
  <c r="DK269" i="11"/>
  <c r="DL269" i="11"/>
  <c r="DM269" i="11"/>
  <c r="DN269" i="11"/>
  <c r="DO269" i="11"/>
  <c r="DP269" i="11"/>
  <c r="DQ269" i="11"/>
  <c r="DR269" i="11"/>
  <c r="DS269" i="11"/>
  <c r="DT269" i="11"/>
  <c r="DU269" i="11"/>
  <c r="DV269" i="11"/>
  <c r="DW269" i="11"/>
  <c r="DX269" i="11"/>
  <c r="DY269" i="11"/>
  <c r="DZ269" i="11"/>
  <c r="EA269" i="11"/>
  <c r="EB269" i="11"/>
  <c r="EC269" i="11"/>
  <c r="ED269" i="11"/>
  <c r="EE269" i="11"/>
  <c r="EF269" i="11"/>
  <c r="EG269" i="11"/>
  <c r="EH269" i="11"/>
  <c r="EI269" i="11"/>
  <c r="EJ269" i="11"/>
  <c r="EK269" i="11"/>
  <c r="EL269" i="11"/>
  <c r="EM269" i="11"/>
  <c r="EN269" i="11"/>
  <c r="EO269" i="11"/>
  <c r="EP269" i="11"/>
  <c r="EQ269" i="11"/>
  <c r="ER269" i="11"/>
  <c r="ES269" i="11"/>
  <c r="ET269" i="11"/>
  <c r="EU269" i="11"/>
  <c r="EV269" i="11"/>
  <c r="EW269" i="11"/>
  <c r="EX269" i="11"/>
  <c r="EY269" i="11"/>
  <c r="EZ269" i="11"/>
  <c r="FA269" i="11"/>
  <c r="FB269" i="11"/>
  <c r="FC269" i="11"/>
  <c r="FD269" i="11"/>
  <c r="FE269" i="11"/>
  <c r="FF269" i="11"/>
  <c r="FG269" i="11"/>
  <c r="FH269" i="11"/>
  <c r="FI269" i="11"/>
  <c r="FJ269" i="11"/>
  <c r="FK269" i="11"/>
  <c r="FL269" i="11"/>
  <c r="FM269" i="11"/>
  <c r="FN269" i="11"/>
  <c r="FO269" i="11"/>
  <c r="FP269" i="11"/>
  <c r="FQ269" i="11"/>
  <c r="FR269" i="11"/>
  <c r="FS269" i="11"/>
  <c r="FT269" i="11"/>
  <c r="FU269" i="11"/>
  <c r="FV269" i="11"/>
  <c r="FW269" i="11"/>
  <c r="FX269" i="11"/>
  <c r="FY269" i="11"/>
  <c r="FZ269" i="11"/>
  <c r="GA269" i="11"/>
  <c r="GB269" i="11"/>
  <c r="GC269" i="11"/>
  <c r="GD269" i="11"/>
  <c r="GE269" i="11"/>
  <c r="GF269" i="11"/>
  <c r="GG269" i="11"/>
  <c r="GH269" i="11"/>
  <c r="GI269" i="11"/>
  <c r="GJ269" i="11"/>
  <c r="GK269" i="11"/>
  <c r="GL269" i="11"/>
  <c r="GM269" i="11"/>
  <c r="GN269" i="11"/>
  <c r="GO269" i="11"/>
  <c r="GP269" i="11"/>
  <c r="GQ269" i="11"/>
  <c r="GR269" i="11"/>
  <c r="GS269" i="11"/>
  <c r="GT269" i="11"/>
  <c r="GU269" i="11"/>
  <c r="GV269" i="11"/>
  <c r="GW269" i="11"/>
  <c r="GX269" i="11"/>
  <c r="GY269" i="11"/>
  <c r="GZ269" i="11"/>
  <c r="HA269" i="11"/>
  <c r="HB269" i="11"/>
  <c r="HC269" i="11"/>
  <c r="HD269" i="11"/>
  <c r="HE269" i="11"/>
  <c r="HF269" i="11"/>
  <c r="HG269" i="11"/>
  <c r="HH269" i="11"/>
  <c r="HI269" i="11"/>
  <c r="HJ269" i="11"/>
  <c r="HK269" i="11"/>
  <c r="HL269" i="11"/>
  <c r="HM269" i="11"/>
  <c r="HN269" i="11"/>
  <c r="HO269" i="11"/>
  <c r="HP269" i="11"/>
  <c r="HQ269" i="11"/>
  <c r="HR269" i="11"/>
  <c r="HS269" i="11"/>
  <c r="HT269" i="11"/>
  <c r="HU269" i="11"/>
  <c r="HV269" i="11"/>
  <c r="HW269" i="11"/>
  <c r="HX269" i="11"/>
  <c r="HY269" i="11"/>
  <c r="HZ269" i="11"/>
  <c r="IA269" i="11"/>
  <c r="IB269" i="11"/>
  <c r="IC269" i="11"/>
  <c r="ID269" i="11"/>
  <c r="IE269" i="11"/>
  <c r="IF269" i="11"/>
  <c r="IG269" i="11"/>
  <c r="IH269" i="11"/>
  <c r="II269" i="11"/>
  <c r="IJ269" i="11"/>
  <c r="IK269" i="11"/>
  <c r="IL269" i="11"/>
  <c r="IM269" i="11"/>
  <c r="IN269" i="11"/>
  <c r="IO269" i="11"/>
  <c r="IP269" i="11"/>
  <c r="IQ269" i="11"/>
  <c r="IR269" i="11"/>
  <c r="IS269" i="11"/>
  <c r="IT269" i="11"/>
  <c r="IU269" i="11"/>
  <c r="IV269" i="11"/>
  <c r="F270" i="11"/>
  <c r="G270" i="11"/>
  <c r="H270" i="11"/>
  <c r="I270" i="11"/>
  <c r="J270" i="11"/>
  <c r="K270" i="11"/>
  <c r="L270" i="11"/>
  <c r="M270" i="11"/>
  <c r="N270" i="11"/>
  <c r="O270" i="11"/>
  <c r="P270" i="11"/>
  <c r="Q270" i="11"/>
  <c r="R270" i="11"/>
  <c r="S270" i="11"/>
  <c r="T270" i="11"/>
  <c r="U270" i="11"/>
  <c r="V270" i="11"/>
  <c r="W270" i="11"/>
  <c r="X270" i="11"/>
  <c r="Y270" i="11"/>
  <c r="Z270" i="11"/>
  <c r="AA270" i="11"/>
  <c r="AB270" i="11"/>
  <c r="AC270" i="11"/>
  <c r="AD270" i="11"/>
  <c r="AE270" i="11"/>
  <c r="AF270" i="11"/>
  <c r="AG270" i="11"/>
  <c r="AH270" i="11"/>
  <c r="AI270" i="11"/>
  <c r="AJ270" i="11"/>
  <c r="AK270" i="11"/>
  <c r="AL270" i="11"/>
  <c r="AM270" i="11"/>
  <c r="AN270" i="11"/>
  <c r="AO270" i="11"/>
  <c r="AP270" i="11"/>
  <c r="AQ270" i="11"/>
  <c r="AR270" i="11"/>
  <c r="AS270" i="11"/>
  <c r="AT270" i="11"/>
  <c r="AU270" i="11"/>
  <c r="AV270" i="11"/>
  <c r="AW270" i="11"/>
  <c r="AX270" i="11"/>
  <c r="AY270" i="11"/>
  <c r="AZ270" i="11"/>
  <c r="BA270" i="11"/>
  <c r="BB270" i="11"/>
  <c r="BC270" i="11"/>
  <c r="BD270" i="11"/>
  <c r="BE270" i="11"/>
  <c r="BF270" i="11"/>
  <c r="BG270" i="11"/>
  <c r="BH270" i="11"/>
  <c r="BI270" i="11"/>
  <c r="BJ270" i="11"/>
  <c r="BK270" i="11"/>
  <c r="BL270" i="11"/>
  <c r="BM270" i="11"/>
  <c r="BN270" i="11"/>
  <c r="BO270" i="11"/>
  <c r="BP270" i="11"/>
  <c r="BQ270" i="11"/>
  <c r="BR270" i="11"/>
  <c r="BS270" i="11"/>
  <c r="BT270" i="11"/>
  <c r="BU270" i="11"/>
  <c r="BV270" i="11"/>
  <c r="BW270" i="11"/>
  <c r="BX270" i="11"/>
  <c r="BY270" i="11"/>
  <c r="BZ270" i="11"/>
  <c r="CA270" i="11"/>
  <c r="CB270" i="11"/>
  <c r="CC270" i="11"/>
  <c r="CD270" i="11"/>
  <c r="CE270" i="11"/>
  <c r="CF270" i="11"/>
  <c r="CG270" i="11"/>
  <c r="CH270" i="11"/>
  <c r="CI270" i="11"/>
  <c r="CJ270" i="11"/>
  <c r="CK270" i="11"/>
  <c r="CL270" i="11"/>
  <c r="CM270" i="11"/>
  <c r="CN270" i="11"/>
  <c r="CO270" i="11"/>
  <c r="CP270" i="11"/>
  <c r="CQ270" i="11"/>
  <c r="CR270" i="11"/>
  <c r="CS270" i="11"/>
  <c r="CT270" i="11"/>
  <c r="CU270" i="11"/>
  <c r="CV270" i="11"/>
  <c r="CW270" i="11"/>
  <c r="CX270" i="11"/>
  <c r="CY270" i="11"/>
  <c r="CZ270" i="11"/>
  <c r="DA270" i="11"/>
  <c r="DB270" i="11"/>
  <c r="DC270" i="11"/>
  <c r="DD270" i="11"/>
  <c r="DE270" i="11"/>
  <c r="DF270" i="11"/>
  <c r="DG270" i="11"/>
  <c r="DH270" i="11"/>
  <c r="DI270" i="11"/>
  <c r="DJ270" i="11"/>
  <c r="DK270" i="11"/>
  <c r="DL270" i="11"/>
  <c r="DM270" i="11"/>
  <c r="DN270" i="11"/>
  <c r="DO270" i="11"/>
  <c r="DP270" i="11"/>
  <c r="DQ270" i="11"/>
  <c r="DR270" i="11"/>
  <c r="DS270" i="11"/>
  <c r="DT270" i="11"/>
  <c r="DU270" i="11"/>
  <c r="DV270" i="11"/>
  <c r="DW270" i="11"/>
  <c r="DX270" i="11"/>
  <c r="DY270" i="11"/>
  <c r="DZ270" i="11"/>
  <c r="EA270" i="11"/>
  <c r="EB270" i="11"/>
  <c r="EC270" i="11"/>
  <c r="ED270" i="11"/>
  <c r="EE270" i="11"/>
  <c r="EF270" i="11"/>
  <c r="EG270" i="11"/>
  <c r="EH270" i="11"/>
  <c r="EI270" i="11"/>
  <c r="EJ270" i="11"/>
  <c r="EK270" i="11"/>
  <c r="EL270" i="11"/>
  <c r="EM270" i="11"/>
  <c r="EN270" i="11"/>
  <c r="EO270" i="11"/>
  <c r="EP270" i="11"/>
  <c r="EQ270" i="11"/>
  <c r="ER270" i="11"/>
  <c r="ES270" i="11"/>
  <c r="ET270" i="11"/>
  <c r="EU270" i="11"/>
  <c r="EV270" i="11"/>
  <c r="EW270" i="11"/>
  <c r="EX270" i="11"/>
  <c r="EY270" i="11"/>
  <c r="EZ270" i="11"/>
  <c r="FA270" i="11"/>
  <c r="FB270" i="11"/>
  <c r="FC270" i="11"/>
  <c r="FD270" i="11"/>
  <c r="FE270" i="11"/>
  <c r="FF270" i="11"/>
  <c r="FG270" i="11"/>
  <c r="FH270" i="11"/>
  <c r="FI270" i="11"/>
  <c r="FJ270" i="11"/>
  <c r="FK270" i="11"/>
  <c r="FL270" i="11"/>
  <c r="FM270" i="11"/>
  <c r="FN270" i="11"/>
  <c r="FO270" i="11"/>
  <c r="FP270" i="11"/>
  <c r="FQ270" i="11"/>
  <c r="FR270" i="11"/>
  <c r="FS270" i="11"/>
  <c r="FT270" i="11"/>
  <c r="FU270" i="11"/>
  <c r="FV270" i="11"/>
  <c r="FW270" i="11"/>
  <c r="FX270" i="11"/>
  <c r="FY270" i="11"/>
  <c r="FZ270" i="11"/>
  <c r="GA270" i="11"/>
  <c r="GB270" i="11"/>
  <c r="GC270" i="11"/>
  <c r="GD270" i="11"/>
  <c r="GE270" i="11"/>
  <c r="GF270" i="11"/>
  <c r="GG270" i="11"/>
  <c r="GH270" i="11"/>
  <c r="GI270" i="11"/>
  <c r="GJ270" i="11"/>
  <c r="GK270" i="11"/>
  <c r="GL270" i="11"/>
  <c r="GM270" i="11"/>
  <c r="GN270" i="11"/>
  <c r="GO270" i="11"/>
  <c r="GP270" i="11"/>
  <c r="GQ270" i="11"/>
  <c r="GR270" i="11"/>
  <c r="GS270" i="11"/>
  <c r="GT270" i="11"/>
  <c r="GU270" i="11"/>
  <c r="GV270" i="11"/>
  <c r="GW270" i="11"/>
  <c r="GX270" i="11"/>
  <c r="GY270" i="11"/>
  <c r="GZ270" i="11"/>
  <c r="HA270" i="11"/>
  <c r="HB270" i="11"/>
  <c r="HC270" i="11"/>
  <c r="HD270" i="11"/>
  <c r="HE270" i="11"/>
  <c r="HF270" i="11"/>
  <c r="HG270" i="11"/>
  <c r="HH270" i="11"/>
  <c r="HI270" i="11"/>
  <c r="HJ270" i="11"/>
  <c r="HK270" i="11"/>
  <c r="HL270" i="11"/>
  <c r="HM270" i="11"/>
  <c r="HN270" i="11"/>
  <c r="HO270" i="11"/>
  <c r="HP270" i="11"/>
  <c r="HQ270" i="11"/>
  <c r="HR270" i="11"/>
  <c r="HS270" i="11"/>
  <c r="HT270" i="11"/>
  <c r="HU270" i="11"/>
  <c r="HV270" i="11"/>
  <c r="HW270" i="11"/>
  <c r="HX270" i="11"/>
  <c r="HY270" i="11"/>
  <c r="HZ270" i="11"/>
  <c r="IA270" i="11"/>
  <c r="IB270" i="11"/>
  <c r="IC270" i="11"/>
  <c r="ID270" i="11"/>
  <c r="IE270" i="11"/>
  <c r="IF270" i="11"/>
  <c r="IG270" i="11"/>
  <c r="IH270" i="11"/>
  <c r="II270" i="11"/>
  <c r="IJ270" i="11"/>
  <c r="IK270" i="11"/>
  <c r="IL270" i="11"/>
  <c r="IM270" i="11"/>
  <c r="IN270" i="11"/>
  <c r="IO270" i="11"/>
  <c r="IP270" i="11"/>
  <c r="IQ270" i="11"/>
  <c r="IR270" i="11"/>
  <c r="IS270" i="11"/>
  <c r="IT270" i="11"/>
  <c r="IU270" i="11"/>
  <c r="IV270" i="11"/>
  <c r="F271" i="11"/>
  <c r="G271" i="11"/>
  <c r="H271" i="11"/>
  <c r="I271" i="11"/>
  <c r="J271" i="11"/>
  <c r="K271" i="11"/>
  <c r="L271" i="11"/>
  <c r="M271" i="11"/>
  <c r="N271" i="11"/>
  <c r="O271" i="11"/>
  <c r="P271" i="11"/>
  <c r="Q271" i="11"/>
  <c r="R271" i="11"/>
  <c r="S271" i="11"/>
  <c r="T271" i="11"/>
  <c r="U271" i="11"/>
  <c r="V271" i="11"/>
  <c r="W271" i="11"/>
  <c r="X271" i="11"/>
  <c r="Y271" i="11"/>
  <c r="Z271" i="11"/>
  <c r="AA271" i="11"/>
  <c r="AB271" i="11"/>
  <c r="AC271" i="11"/>
  <c r="AD271" i="11"/>
  <c r="AE271" i="11"/>
  <c r="AF271" i="11"/>
  <c r="AG271" i="11"/>
  <c r="AH271" i="11"/>
  <c r="AI271" i="11"/>
  <c r="AJ271" i="11"/>
  <c r="AK271" i="11"/>
  <c r="AL271" i="11"/>
  <c r="AM271" i="11"/>
  <c r="AN271" i="11"/>
  <c r="AO271" i="11"/>
  <c r="AP271" i="11"/>
  <c r="AQ271" i="11"/>
  <c r="AR271" i="11"/>
  <c r="AS271" i="11"/>
  <c r="AT271" i="11"/>
  <c r="AU271" i="11"/>
  <c r="AV271" i="11"/>
  <c r="AW271" i="11"/>
  <c r="AX271" i="11"/>
  <c r="AY271" i="11"/>
  <c r="AZ271" i="11"/>
  <c r="BA271" i="11"/>
  <c r="BB271" i="11"/>
  <c r="BC271" i="11"/>
  <c r="BD271" i="11"/>
  <c r="BE271" i="11"/>
  <c r="BF271" i="11"/>
  <c r="BG271" i="11"/>
  <c r="BH271" i="11"/>
  <c r="BI271" i="11"/>
  <c r="BJ271" i="11"/>
  <c r="BK271" i="11"/>
  <c r="BL271" i="11"/>
  <c r="BM271" i="11"/>
  <c r="BN271" i="11"/>
  <c r="BO271" i="11"/>
  <c r="BP271" i="11"/>
  <c r="BQ271" i="11"/>
  <c r="BR271" i="11"/>
  <c r="BS271" i="11"/>
  <c r="BT271" i="11"/>
  <c r="BU271" i="11"/>
  <c r="BV271" i="11"/>
  <c r="BW271" i="11"/>
  <c r="BX271" i="11"/>
  <c r="BY271" i="11"/>
  <c r="BZ271" i="11"/>
  <c r="CA271" i="11"/>
  <c r="CB271" i="11"/>
  <c r="CC271" i="11"/>
  <c r="CD271" i="11"/>
  <c r="CE271" i="11"/>
  <c r="CF271" i="11"/>
  <c r="CG271" i="11"/>
  <c r="CH271" i="11"/>
  <c r="CI271" i="11"/>
  <c r="CJ271" i="11"/>
  <c r="CK271" i="11"/>
  <c r="CL271" i="11"/>
  <c r="CM271" i="11"/>
  <c r="CN271" i="11"/>
  <c r="CO271" i="11"/>
  <c r="CP271" i="11"/>
  <c r="CQ271" i="11"/>
  <c r="CR271" i="11"/>
  <c r="CS271" i="11"/>
  <c r="CT271" i="11"/>
  <c r="CU271" i="11"/>
  <c r="CV271" i="11"/>
  <c r="CW271" i="11"/>
  <c r="CX271" i="11"/>
  <c r="CY271" i="11"/>
  <c r="CZ271" i="11"/>
  <c r="DA271" i="11"/>
  <c r="DB271" i="11"/>
  <c r="DC271" i="11"/>
  <c r="DD271" i="11"/>
  <c r="DE271" i="11"/>
  <c r="DF271" i="11"/>
  <c r="DG271" i="11"/>
  <c r="DH271" i="11"/>
  <c r="DI271" i="11"/>
  <c r="DJ271" i="11"/>
  <c r="DK271" i="11"/>
  <c r="DL271" i="11"/>
  <c r="DM271" i="11"/>
  <c r="DN271" i="11"/>
  <c r="DO271" i="11"/>
  <c r="DP271" i="11"/>
  <c r="DQ271" i="11"/>
  <c r="DR271" i="11"/>
  <c r="DS271" i="11"/>
  <c r="DT271" i="11"/>
  <c r="DU271" i="11"/>
  <c r="DV271" i="11"/>
  <c r="DW271" i="11"/>
  <c r="DX271" i="11"/>
  <c r="DY271" i="11"/>
  <c r="DZ271" i="11"/>
  <c r="EA271" i="11"/>
  <c r="EB271" i="11"/>
  <c r="EC271" i="11"/>
  <c r="ED271" i="11"/>
  <c r="EE271" i="11"/>
  <c r="EF271" i="11"/>
  <c r="EG271" i="11"/>
  <c r="EH271" i="11"/>
  <c r="EI271" i="11"/>
  <c r="EJ271" i="11"/>
  <c r="EK271" i="11"/>
  <c r="EL271" i="11"/>
  <c r="EM271" i="11"/>
  <c r="EN271" i="11"/>
  <c r="EO271" i="11"/>
  <c r="EP271" i="11"/>
  <c r="EQ271" i="11"/>
  <c r="ER271" i="11"/>
  <c r="ES271" i="11"/>
  <c r="ET271" i="11"/>
  <c r="EU271" i="11"/>
  <c r="EV271" i="11"/>
  <c r="EW271" i="11"/>
  <c r="EX271" i="11"/>
  <c r="EY271" i="11"/>
  <c r="EZ271" i="11"/>
  <c r="FA271" i="11"/>
  <c r="FB271" i="11"/>
  <c r="FC271" i="11"/>
  <c r="FD271" i="11"/>
  <c r="FE271" i="11"/>
  <c r="FF271" i="11"/>
  <c r="FG271" i="11"/>
  <c r="FH271" i="11"/>
  <c r="FI271" i="11"/>
  <c r="FJ271" i="11"/>
  <c r="FK271" i="11"/>
  <c r="FL271" i="11"/>
  <c r="FM271" i="11"/>
  <c r="FN271" i="11"/>
  <c r="FO271" i="11"/>
  <c r="FP271" i="11"/>
  <c r="FQ271" i="11"/>
  <c r="FR271" i="11"/>
  <c r="FS271" i="11"/>
  <c r="FT271" i="11"/>
  <c r="FU271" i="11"/>
  <c r="FV271" i="11"/>
  <c r="FW271" i="11"/>
  <c r="FX271" i="11"/>
  <c r="FY271" i="11"/>
  <c r="FZ271" i="11"/>
  <c r="GA271" i="11"/>
  <c r="GB271" i="11"/>
  <c r="GC271" i="11"/>
  <c r="GD271" i="11"/>
  <c r="GE271" i="11"/>
  <c r="GF271" i="11"/>
  <c r="GG271" i="11"/>
  <c r="GH271" i="11"/>
  <c r="GI271" i="11"/>
  <c r="GJ271" i="11"/>
  <c r="GK271" i="11"/>
  <c r="GL271" i="11"/>
  <c r="GM271" i="11"/>
  <c r="GN271" i="11"/>
  <c r="GO271" i="11"/>
  <c r="GP271" i="11"/>
  <c r="GQ271" i="11"/>
  <c r="GR271" i="11"/>
  <c r="GS271" i="11"/>
  <c r="GT271" i="11"/>
  <c r="GU271" i="11"/>
  <c r="GV271" i="11"/>
  <c r="GW271" i="11"/>
  <c r="GX271" i="11"/>
  <c r="GY271" i="11"/>
  <c r="GZ271" i="11"/>
  <c r="HA271" i="11"/>
  <c r="HB271" i="11"/>
  <c r="HC271" i="11"/>
  <c r="HD271" i="11"/>
  <c r="HE271" i="11"/>
  <c r="HF271" i="11"/>
  <c r="HG271" i="11"/>
  <c r="HH271" i="11"/>
  <c r="HI271" i="11"/>
  <c r="HJ271" i="11"/>
  <c r="HK271" i="11"/>
  <c r="HL271" i="11"/>
  <c r="HM271" i="11"/>
  <c r="HN271" i="11"/>
  <c r="HO271" i="11"/>
  <c r="HP271" i="11"/>
  <c r="HQ271" i="11"/>
  <c r="HR271" i="11"/>
  <c r="HS271" i="11"/>
  <c r="HT271" i="11"/>
  <c r="HU271" i="11"/>
  <c r="HV271" i="11"/>
  <c r="HW271" i="11"/>
  <c r="HX271" i="11"/>
  <c r="HY271" i="11"/>
  <c r="HZ271" i="11"/>
  <c r="IA271" i="11"/>
  <c r="IB271" i="11"/>
  <c r="IC271" i="11"/>
  <c r="ID271" i="11"/>
  <c r="IE271" i="11"/>
  <c r="IF271" i="11"/>
  <c r="IG271" i="11"/>
  <c r="IH271" i="11"/>
  <c r="II271" i="11"/>
  <c r="IJ271" i="11"/>
  <c r="IK271" i="11"/>
  <c r="IL271" i="11"/>
  <c r="IM271" i="11"/>
  <c r="IN271" i="11"/>
  <c r="IO271" i="11"/>
  <c r="IP271" i="11"/>
  <c r="IQ271" i="11"/>
  <c r="IR271" i="11"/>
  <c r="IS271" i="11"/>
  <c r="IT271" i="11"/>
  <c r="IU271" i="11"/>
  <c r="IV271" i="11"/>
  <c r="F272" i="11"/>
  <c r="G272" i="11"/>
  <c r="H272" i="11"/>
  <c r="I272" i="11"/>
  <c r="J272" i="11"/>
  <c r="K272" i="11"/>
  <c r="L272" i="11"/>
  <c r="M272" i="11"/>
  <c r="N272" i="11"/>
  <c r="O272" i="11"/>
  <c r="P272" i="11"/>
  <c r="Q272" i="11"/>
  <c r="R272" i="11"/>
  <c r="S272" i="11"/>
  <c r="T272" i="11"/>
  <c r="U272" i="11"/>
  <c r="V272" i="11"/>
  <c r="W272" i="11"/>
  <c r="X272" i="11"/>
  <c r="Y272" i="11"/>
  <c r="Z272" i="11"/>
  <c r="AA272" i="11"/>
  <c r="AB272" i="11"/>
  <c r="AC272" i="11"/>
  <c r="AD272" i="11"/>
  <c r="AE272" i="11"/>
  <c r="AF272" i="11"/>
  <c r="AG272" i="11"/>
  <c r="AH272" i="11"/>
  <c r="AI272" i="11"/>
  <c r="AJ272" i="11"/>
  <c r="AK272" i="11"/>
  <c r="AL272" i="11"/>
  <c r="AM272" i="11"/>
  <c r="AN272" i="11"/>
  <c r="AO272" i="11"/>
  <c r="AP272" i="11"/>
  <c r="AQ272" i="11"/>
  <c r="AR272" i="11"/>
  <c r="AS272" i="11"/>
  <c r="AT272" i="11"/>
  <c r="AU272" i="11"/>
  <c r="AV272" i="11"/>
  <c r="AW272" i="11"/>
  <c r="AX272" i="11"/>
  <c r="AY272" i="11"/>
  <c r="AZ272" i="11"/>
  <c r="BA272" i="11"/>
  <c r="BB272" i="11"/>
  <c r="BC272" i="11"/>
  <c r="BD272" i="11"/>
  <c r="BE272" i="11"/>
  <c r="BF272" i="11"/>
  <c r="BG272" i="11"/>
  <c r="BH272" i="11"/>
  <c r="BI272" i="11"/>
  <c r="BJ272" i="11"/>
  <c r="BK272" i="11"/>
  <c r="BL272" i="11"/>
  <c r="BM272" i="11"/>
  <c r="BN272" i="11"/>
  <c r="BO272" i="11"/>
  <c r="BP272" i="11"/>
  <c r="BQ272" i="11"/>
  <c r="BR272" i="11"/>
  <c r="BS272" i="11"/>
  <c r="BT272" i="11"/>
  <c r="BU272" i="11"/>
  <c r="BV272" i="11"/>
  <c r="BW272" i="11"/>
  <c r="BX272" i="11"/>
  <c r="BY272" i="11"/>
  <c r="BZ272" i="11"/>
  <c r="CA272" i="11"/>
  <c r="CB272" i="11"/>
  <c r="CC272" i="11"/>
  <c r="CD272" i="11"/>
  <c r="CE272" i="11"/>
  <c r="CF272" i="11"/>
  <c r="CG272" i="11"/>
  <c r="CH272" i="11"/>
  <c r="CI272" i="11"/>
  <c r="CJ272" i="11"/>
  <c r="CK272" i="11"/>
  <c r="CL272" i="11"/>
  <c r="CM272" i="11"/>
  <c r="CN272" i="11"/>
  <c r="CO272" i="11"/>
  <c r="CP272" i="11"/>
  <c r="CQ272" i="11"/>
  <c r="CR272" i="11"/>
  <c r="CS272" i="11"/>
  <c r="CT272" i="11"/>
  <c r="CU272" i="11"/>
  <c r="CV272" i="11"/>
  <c r="CW272" i="11"/>
  <c r="CX272" i="11"/>
  <c r="CY272" i="11"/>
  <c r="CZ272" i="11"/>
  <c r="DA272" i="11"/>
  <c r="DB272" i="11"/>
  <c r="DC272" i="11"/>
  <c r="DD272" i="11"/>
  <c r="DE272" i="11"/>
  <c r="DF272" i="11"/>
  <c r="DG272" i="11"/>
  <c r="DH272" i="11"/>
  <c r="DI272" i="11"/>
  <c r="DJ272" i="11"/>
  <c r="DK272" i="11"/>
  <c r="DL272" i="11"/>
  <c r="DM272" i="11"/>
  <c r="DN272" i="11"/>
  <c r="DO272" i="11"/>
  <c r="DP272" i="11"/>
  <c r="DQ272" i="11"/>
  <c r="DR272" i="11"/>
  <c r="DS272" i="11"/>
  <c r="DT272" i="11"/>
  <c r="DU272" i="11"/>
  <c r="DV272" i="11"/>
  <c r="DW272" i="11"/>
  <c r="DX272" i="11"/>
  <c r="DY272" i="11"/>
  <c r="DZ272" i="11"/>
  <c r="EA272" i="11"/>
  <c r="EB272" i="11"/>
  <c r="EC272" i="11"/>
  <c r="ED272" i="11"/>
  <c r="EE272" i="11"/>
  <c r="EF272" i="11"/>
  <c r="EG272" i="11"/>
  <c r="EH272" i="11"/>
  <c r="EI272" i="11"/>
  <c r="EJ272" i="11"/>
  <c r="EK272" i="11"/>
  <c r="EL272" i="11"/>
  <c r="EM272" i="11"/>
  <c r="EN272" i="11"/>
  <c r="EO272" i="11"/>
  <c r="EP272" i="11"/>
  <c r="EQ272" i="11"/>
  <c r="ER272" i="11"/>
  <c r="ES272" i="11"/>
  <c r="ET272" i="11"/>
  <c r="EU272" i="11"/>
  <c r="EV272" i="11"/>
  <c r="EW272" i="11"/>
  <c r="EX272" i="11"/>
  <c r="EY272" i="11"/>
  <c r="EZ272" i="11"/>
  <c r="FA272" i="11"/>
  <c r="FB272" i="11"/>
  <c r="FC272" i="11"/>
  <c r="FD272" i="11"/>
  <c r="FE272" i="11"/>
  <c r="FF272" i="11"/>
  <c r="FG272" i="11"/>
  <c r="FH272" i="11"/>
  <c r="FI272" i="11"/>
  <c r="FJ272" i="11"/>
  <c r="FK272" i="11"/>
  <c r="FL272" i="11"/>
  <c r="FM272" i="11"/>
  <c r="FN272" i="11"/>
  <c r="FO272" i="11"/>
  <c r="FP272" i="11"/>
  <c r="FQ272" i="11"/>
  <c r="FR272" i="11"/>
  <c r="FS272" i="11"/>
  <c r="FT272" i="11"/>
  <c r="FU272" i="11"/>
  <c r="FV272" i="11"/>
  <c r="FW272" i="11"/>
  <c r="FX272" i="11"/>
  <c r="FY272" i="11"/>
  <c r="FZ272" i="11"/>
  <c r="GA272" i="11"/>
  <c r="GB272" i="11"/>
  <c r="GC272" i="11"/>
  <c r="GD272" i="11"/>
  <c r="GE272" i="11"/>
  <c r="GF272" i="11"/>
  <c r="GG272" i="11"/>
  <c r="GH272" i="11"/>
  <c r="GI272" i="11"/>
  <c r="GJ272" i="11"/>
  <c r="GK272" i="11"/>
  <c r="GL272" i="11"/>
  <c r="GM272" i="11"/>
  <c r="GN272" i="11"/>
  <c r="GO272" i="11"/>
  <c r="GP272" i="11"/>
  <c r="GQ272" i="11"/>
  <c r="GR272" i="11"/>
  <c r="GS272" i="11"/>
  <c r="GT272" i="11"/>
  <c r="GU272" i="11"/>
  <c r="GV272" i="11"/>
  <c r="GW272" i="11"/>
  <c r="GX272" i="11"/>
  <c r="GY272" i="11"/>
  <c r="GZ272" i="11"/>
  <c r="HA272" i="11"/>
  <c r="HB272" i="11"/>
  <c r="HC272" i="11"/>
  <c r="HD272" i="11"/>
  <c r="HE272" i="11"/>
  <c r="HF272" i="11"/>
  <c r="HG272" i="11"/>
  <c r="HH272" i="11"/>
  <c r="HI272" i="11"/>
  <c r="HJ272" i="11"/>
  <c r="HK272" i="11"/>
  <c r="HL272" i="11"/>
  <c r="HM272" i="11"/>
  <c r="HN272" i="11"/>
  <c r="HO272" i="11"/>
  <c r="HP272" i="11"/>
  <c r="HQ272" i="11"/>
  <c r="HR272" i="11"/>
  <c r="HS272" i="11"/>
  <c r="HT272" i="11"/>
  <c r="HU272" i="11"/>
  <c r="HV272" i="11"/>
  <c r="HW272" i="11"/>
  <c r="HX272" i="11"/>
  <c r="HY272" i="11"/>
  <c r="HZ272" i="11"/>
  <c r="IA272" i="11"/>
  <c r="IB272" i="11"/>
  <c r="IC272" i="11"/>
  <c r="ID272" i="11"/>
  <c r="IE272" i="11"/>
  <c r="IF272" i="11"/>
  <c r="IG272" i="11"/>
  <c r="IH272" i="11"/>
  <c r="II272" i="11"/>
  <c r="IJ272" i="11"/>
  <c r="IK272" i="11"/>
  <c r="IL272" i="11"/>
  <c r="IM272" i="11"/>
  <c r="IN272" i="11"/>
  <c r="IO272" i="11"/>
  <c r="IP272" i="11"/>
  <c r="IQ272" i="11"/>
  <c r="IR272" i="11"/>
  <c r="IS272" i="11"/>
  <c r="IT272" i="11"/>
  <c r="IU272" i="11"/>
  <c r="IV272" i="11"/>
  <c r="F273" i="11"/>
  <c r="G273" i="11"/>
  <c r="H273" i="11"/>
  <c r="I273" i="11"/>
  <c r="J273" i="11"/>
  <c r="K273" i="11"/>
  <c r="L273" i="11"/>
  <c r="M273" i="11"/>
  <c r="N273" i="11"/>
  <c r="O273" i="11"/>
  <c r="P273" i="11"/>
  <c r="Q273" i="11"/>
  <c r="R273" i="11"/>
  <c r="S273" i="11"/>
  <c r="T273" i="11"/>
  <c r="U273" i="11"/>
  <c r="V273" i="11"/>
  <c r="W273" i="11"/>
  <c r="X273" i="11"/>
  <c r="Y273" i="11"/>
  <c r="Z273" i="11"/>
  <c r="AA273" i="11"/>
  <c r="AB273" i="11"/>
  <c r="AC273" i="11"/>
  <c r="AD273" i="11"/>
  <c r="AE273" i="11"/>
  <c r="AF273" i="11"/>
  <c r="AG273" i="11"/>
  <c r="AH273" i="11"/>
  <c r="AI273" i="11"/>
  <c r="AJ273" i="11"/>
  <c r="AK273" i="11"/>
  <c r="AL273" i="11"/>
  <c r="AM273" i="11"/>
  <c r="AN273" i="11"/>
  <c r="AO273" i="11"/>
  <c r="AP273" i="11"/>
  <c r="AQ273" i="11"/>
  <c r="AR273" i="11"/>
  <c r="AS273" i="11"/>
  <c r="AT273" i="11"/>
  <c r="AU273" i="11"/>
  <c r="AV273" i="11"/>
  <c r="AW273" i="11"/>
  <c r="AX273" i="11"/>
  <c r="AY273" i="11"/>
  <c r="AZ273" i="11"/>
  <c r="BA273" i="11"/>
  <c r="BB273" i="11"/>
  <c r="BC273" i="11"/>
  <c r="BD273" i="11"/>
  <c r="BE273" i="11"/>
  <c r="BF273" i="11"/>
  <c r="BG273" i="11"/>
  <c r="BH273" i="11"/>
  <c r="BI273" i="11"/>
  <c r="BJ273" i="11"/>
  <c r="BK273" i="11"/>
  <c r="BL273" i="11"/>
  <c r="BM273" i="11"/>
  <c r="BN273" i="11"/>
  <c r="BO273" i="11"/>
  <c r="BP273" i="11"/>
  <c r="BQ273" i="11"/>
  <c r="BR273" i="11"/>
  <c r="BS273" i="11"/>
  <c r="BT273" i="11"/>
  <c r="BU273" i="11"/>
  <c r="BV273" i="11"/>
  <c r="BW273" i="11"/>
  <c r="BX273" i="11"/>
  <c r="BY273" i="11"/>
  <c r="BZ273" i="11"/>
  <c r="CA273" i="11"/>
  <c r="CB273" i="11"/>
  <c r="CC273" i="11"/>
  <c r="CD273" i="11"/>
  <c r="CE273" i="11"/>
  <c r="CF273" i="11"/>
  <c r="CG273" i="11"/>
  <c r="CH273" i="11"/>
  <c r="CI273" i="11"/>
  <c r="CJ273" i="11"/>
  <c r="CK273" i="11"/>
  <c r="CL273" i="11"/>
  <c r="CM273" i="11"/>
  <c r="CN273" i="11"/>
  <c r="CO273" i="11"/>
  <c r="CP273" i="11"/>
  <c r="CQ273" i="11"/>
  <c r="CR273" i="11"/>
  <c r="CS273" i="11"/>
  <c r="CT273" i="11"/>
  <c r="CU273" i="11"/>
  <c r="CV273" i="11"/>
  <c r="CW273" i="11"/>
  <c r="CX273" i="11"/>
  <c r="CY273" i="11"/>
  <c r="CZ273" i="11"/>
  <c r="DA273" i="11"/>
  <c r="DB273" i="11"/>
  <c r="DC273" i="11"/>
  <c r="DD273" i="11"/>
  <c r="DE273" i="11"/>
  <c r="DF273" i="11"/>
  <c r="DG273" i="11"/>
  <c r="DH273" i="11"/>
  <c r="DI273" i="11"/>
  <c r="DJ273" i="11"/>
  <c r="DK273" i="11"/>
  <c r="DL273" i="11"/>
  <c r="DM273" i="11"/>
  <c r="DN273" i="11"/>
  <c r="DO273" i="11"/>
  <c r="DP273" i="11"/>
  <c r="DQ273" i="11"/>
  <c r="DR273" i="11"/>
  <c r="DS273" i="11"/>
  <c r="DT273" i="11"/>
  <c r="DU273" i="11"/>
  <c r="DV273" i="11"/>
  <c r="DW273" i="11"/>
  <c r="DX273" i="11"/>
  <c r="DY273" i="11"/>
  <c r="DZ273" i="11"/>
  <c r="EA273" i="11"/>
  <c r="EB273" i="11"/>
  <c r="EC273" i="11"/>
  <c r="ED273" i="11"/>
  <c r="EE273" i="11"/>
  <c r="EF273" i="11"/>
  <c r="EG273" i="11"/>
  <c r="EH273" i="11"/>
  <c r="EI273" i="11"/>
  <c r="EJ273" i="11"/>
  <c r="EK273" i="11"/>
  <c r="EL273" i="11"/>
  <c r="EM273" i="11"/>
  <c r="EN273" i="11"/>
  <c r="EO273" i="11"/>
  <c r="EP273" i="11"/>
  <c r="EQ273" i="11"/>
  <c r="ER273" i="11"/>
  <c r="ES273" i="11"/>
  <c r="ET273" i="11"/>
  <c r="EU273" i="11"/>
  <c r="EV273" i="11"/>
  <c r="EW273" i="11"/>
  <c r="EX273" i="11"/>
  <c r="EY273" i="11"/>
  <c r="EZ273" i="11"/>
  <c r="FA273" i="11"/>
  <c r="FB273" i="11"/>
  <c r="FC273" i="11"/>
  <c r="FD273" i="11"/>
  <c r="FE273" i="11"/>
  <c r="FF273" i="11"/>
  <c r="FG273" i="11"/>
  <c r="FH273" i="11"/>
  <c r="FI273" i="11"/>
  <c r="FJ273" i="11"/>
  <c r="FK273" i="11"/>
  <c r="FL273" i="11"/>
  <c r="FM273" i="11"/>
  <c r="FN273" i="11"/>
  <c r="FO273" i="11"/>
  <c r="FP273" i="11"/>
  <c r="FQ273" i="11"/>
  <c r="FR273" i="11"/>
  <c r="FS273" i="11"/>
  <c r="FT273" i="11"/>
  <c r="FU273" i="11"/>
  <c r="FV273" i="11"/>
  <c r="FW273" i="11"/>
  <c r="FX273" i="11"/>
  <c r="FY273" i="11"/>
  <c r="FZ273" i="11"/>
  <c r="GA273" i="11"/>
  <c r="GB273" i="11"/>
  <c r="GC273" i="11"/>
  <c r="GD273" i="11"/>
  <c r="GE273" i="11"/>
  <c r="GF273" i="11"/>
  <c r="GG273" i="11"/>
  <c r="GH273" i="11"/>
  <c r="GI273" i="11"/>
  <c r="GJ273" i="11"/>
  <c r="GK273" i="11"/>
  <c r="GL273" i="11"/>
  <c r="GM273" i="11"/>
  <c r="GN273" i="11"/>
  <c r="GO273" i="11"/>
  <c r="GP273" i="11"/>
  <c r="GQ273" i="11"/>
  <c r="GR273" i="11"/>
  <c r="GS273" i="11"/>
  <c r="GT273" i="11"/>
  <c r="GU273" i="11"/>
  <c r="GV273" i="11"/>
  <c r="GW273" i="11"/>
  <c r="GX273" i="11"/>
  <c r="GY273" i="11"/>
  <c r="GZ273" i="11"/>
  <c r="HA273" i="11"/>
  <c r="HB273" i="11"/>
  <c r="HC273" i="11"/>
  <c r="HD273" i="11"/>
  <c r="HE273" i="11"/>
  <c r="HF273" i="11"/>
  <c r="HG273" i="11"/>
  <c r="HH273" i="11"/>
  <c r="HI273" i="11"/>
  <c r="HJ273" i="11"/>
  <c r="HK273" i="11"/>
  <c r="HL273" i="11"/>
  <c r="HM273" i="11"/>
  <c r="HN273" i="11"/>
  <c r="HO273" i="11"/>
  <c r="HP273" i="11"/>
  <c r="HQ273" i="11"/>
  <c r="HR273" i="11"/>
  <c r="HS273" i="11"/>
  <c r="HT273" i="11"/>
  <c r="HU273" i="11"/>
  <c r="HV273" i="11"/>
  <c r="HW273" i="11"/>
  <c r="HX273" i="11"/>
  <c r="HY273" i="11"/>
  <c r="HZ273" i="11"/>
  <c r="IA273" i="11"/>
  <c r="IB273" i="11"/>
  <c r="IC273" i="11"/>
  <c r="ID273" i="11"/>
  <c r="IE273" i="11"/>
  <c r="IF273" i="11"/>
  <c r="IG273" i="11"/>
  <c r="IH273" i="11"/>
  <c r="II273" i="11"/>
  <c r="IJ273" i="11"/>
  <c r="IK273" i="11"/>
  <c r="IL273" i="11"/>
  <c r="IM273" i="11"/>
  <c r="IN273" i="11"/>
  <c r="IO273" i="11"/>
  <c r="IP273" i="11"/>
  <c r="IQ273" i="11"/>
  <c r="IR273" i="11"/>
  <c r="IS273" i="11"/>
  <c r="IT273" i="11"/>
  <c r="IU273" i="11"/>
  <c r="IV273" i="11"/>
  <c r="F274" i="11"/>
  <c r="G274" i="11"/>
  <c r="H274" i="11"/>
  <c r="I274" i="11"/>
  <c r="J274" i="11"/>
  <c r="K274" i="11"/>
  <c r="L274" i="11"/>
  <c r="M274" i="11"/>
  <c r="N274" i="11"/>
  <c r="O274" i="11"/>
  <c r="P274" i="11"/>
  <c r="Q274" i="11"/>
  <c r="R274" i="11"/>
  <c r="S274" i="11"/>
  <c r="T274" i="11"/>
  <c r="U274" i="11"/>
  <c r="V274" i="11"/>
  <c r="W274" i="11"/>
  <c r="X274" i="11"/>
  <c r="Y274" i="11"/>
  <c r="Z274" i="11"/>
  <c r="AA274" i="11"/>
  <c r="AB274" i="11"/>
  <c r="AC274" i="11"/>
  <c r="AD274" i="11"/>
  <c r="AE274" i="11"/>
  <c r="AF274" i="11"/>
  <c r="AG274" i="11"/>
  <c r="AH274" i="11"/>
  <c r="AI274" i="11"/>
  <c r="AJ274" i="11"/>
  <c r="AK274" i="11"/>
  <c r="AL274" i="11"/>
  <c r="AM274" i="11"/>
  <c r="AN274" i="11"/>
  <c r="AO274" i="11"/>
  <c r="AP274" i="11"/>
  <c r="AQ274" i="11"/>
  <c r="AR274" i="11"/>
  <c r="AS274" i="11"/>
  <c r="AT274" i="11"/>
  <c r="AU274" i="11"/>
  <c r="AV274" i="11"/>
  <c r="AW274" i="11"/>
  <c r="AX274" i="11"/>
  <c r="AY274" i="11"/>
  <c r="AZ274" i="11"/>
  <c r="BA274" i="11"/>
  <c r="BB274" i="11"/>
  <c r="BC274" i="11"/>
  <c r="BD274" i="11"/>
  <c r="BE274" i="11"/>
  <c r="BF274" i="11"/>
  <c r="BG274" i="11"/>
  <c r="BH274" i="11"/>
  <c r="BI274" i="11"/>
  <c r="BJ274" i="11"/>
  <c r="BK274" i="11"/>
  <c r="BL274" i="11"/>
  <c r="BM274" i="11"/>
  <c r="BN274" i="11"/>
  <c r="BO274" i="11"/>
  <c r="BP274" i="11"/>
  <c r="BQ274" i="11"/>
  <c r="BR274" i="11"/>
  <c r="BS274" i="11"/>
  <c r="BT274" i="11"/>
  <c r="BU274" i="11"/>
  <c r="BV274" i="11"/>
  <c r="BW274" i="11"/>
  <c r="BX274" i="11"/>
  <c r="BY274" i="11"/>
  <c r="BZ274" i="11"/>
  <c r="CA274" i="11"/>
  <c r="CB274" i="11"/>
  <c r="CC274" i="11"/>
  <c r="CD274" i="11"/>
  <c r="CE274" i="11"/>
  <c r="CF274" i="11"/>
  <c r="CG274" i="11"/>
  <c r="CH274" i="11"/>
  <c r="CI274" i="11"/>
  <c r="CJ274" i="11"/>
  <c r="CK274" i="11"/>
  <c r="CL274" i="11"/>
  <c r="CM274" i="11"/>
  <c r="CN274" i="11"/>
  <c r="CO274" i="11"/>
  <c r="CP274" i="11"/>
  <c r="CQ274" i="11"/>
  <c r="CR274" i="11"/>
  <c r="CS274" i="11"/>
  <c r="CT274" i="11"/>
  <c r="CU274" i="11"/>
  <c r="CV274" i="11"/>
  <c r="CW274" i="11"/>
  <c r="CX274" i="11"/>
  <c r="CY274" i="11"/>
  <c r="CZ274" i="11"/>
  <c r="DA274" i="11"/>
  <c r="DB274" i="11"/>
  <c r="DC274" i="11"/>
  <c r="DD274" i="11"/>
  <c r="DE274" i="11"/>
  <c r="DF274" i="11"/>
  <c r="DG274" i="11"/>
  <c r="DH274" i="11"/>
  <c r="DI274" i="11"/>
  <c r="DJ274" i="11"/>
  <c r="DK274" i="11"/>
  <c r="DL274" i="11"/>
  <c r="DM274" i="11"/>
  <c r="DN274" i="11"/>
  <c r="DO274" i="11"/>
  <c r="DP274" i="11"/>
  <c r="DQ274" i="11"/>
  <c r="DR274" i="11"/>
  <c r="DS274" i="11"/>
  <c r="DT274" i="11"/>
  <c r="DU274" i="11"/>
  <c r="DV274" i="11"/>
  <c r="DW274" i="11"/>
  <c r="DX274" i="11"/>
  <c r="DY274" i="11"/>
  <c r="DZ274" i="11"/>
  <c r="EA274" i="11"/>
  <c r="EB274" i="11"/>
  <c r="EC274" i="11"/>
  <c r="ED274" i="11"/>
  <c r="EE274" i="11"/>
  <c r="EF274" i="11"/>
  <c r="EG274" i="11"/>
  <c r="EH274" i="11"/>
  <c r="EI274" i="11"/>
  <c r="EJ274" i="11"/>
  <c r="EK274" i="11"/>
  <c r="EL274" i="11"/>
  <c r="EM274" i="11"/>
  <c r="EN274" i="11"/>
  <c r="EO274" i="11"/>
  <c r="EP274" i="11"/>
  <c r="EQ274" i="11"/>
  <c r="ER274" i="11"/>
  <c r="ES274" i="11"/>
  <c r="ET274" i="11"/>
  <c r="EU274" i="11"/>
  <c r="EV274" i="11"/>
  <c r="EW274" i="11"/>
  <c r="EX274" i="11"/>
  <c r="EY274" i="11"/>
  <c r="EZ274" i="11"/>
  <c r="FA274" i="11"/>
  <c r="FB274" i="11"/>
  <c r="FC274" i="11"/>
  <c r="FD274" i="11"/>
  <c r="FE274" i="11"/>
  <c r="FF274" i="11"/>
  <c r="FG274" i="11"/>
  <c r="FH274" i="11"/>
  <c r="FI274" i="11"/>
  <c r="FJ274" i="11"/>
  <c r="FK274" i="11"/>
  <c r="FL274" i="11"/>
  <c r="FM274" i="11"/>
  <c r="FN274" i="11"/>
  <c r="FO274" i="11"/>
  <c r="FP274" i="11"/>
  <c r="FQ274" i="11"/>
  <c r="FR274" i="11"/>
  <c r="FS274" i="11"/>
  <c r="FT274" i="11"/>
  <c r="FU274" i="11"/>
  <c r="FV274" i="11"/>
  <c r="FW274" i="11"/>
  <c r="FX274" i="11"/>
  <c r="FY274" i="11"/>
  <c r="FZ274" i="11"/>
  <c r="GA274" i="11"/>
  <c r="GB274" i="11"/>
  <c r="GC274" i="11"/>
  <c r="GD274" i="11"/>
  <c r="GE274" i="11"/>
  <c r="GF274" i="11"/>
  <c r="GG274" i="11"/>
  <c r="GH274" i="11"/>
  <c r="GI274" i="11"/>
  <c r="GJ274" i="11"/>
  <c r="GK274" i="11"/>
  <c r="GL274" i="11"/>
  <c r="GM274" i="11"/>
  <c r="GN274" i="11"/>
  <c r="GO274" i="11"/>
  <c r="GP274" i="11"/>
  <c r="GQ274" i="11"/>
  <c r="GR274" i="11"/>
  <c r="GS274" i="11"/>
  <c r="GT274" i="11"/>
  <c r="GU274" i="11"/>
  <c r="GV274" i="11"/>
  <c r="GW274" i="11"/>
  <c r="GX274" i="11"/>
  <c r="GY274" i="11"/>
  <c r="GZ274" i="11"/>
  <c r="HA274" i="11"/>
  <c r="HB274" i="11"/>
  <c r="HC274" i="11"/>
  <c r="HD274" i="11"/>
  <c r="HE274" i="11"/>
  <c r="HF274" i="11"/>
  <c r="HG274" i="11"/>
  <c r="HH274" i="11"/>
  <c r="HI274" i="11"/>
  <c r="HJ274" i="11"/>
  <c r="HK274" i="11"/>
  <c r="HL274" i="11"/>
  <c r="HM274" i="11"/>
  <c r="HN274" i="11"/>
  <c r="HO274" i="11"/>
  <c r="HP274" i="11"/>
  <c r="HQ274" i="11"/>
  <c r="HR274" i="11"/>
  <c r="HS274" i="11"/>
  <c r="HT274" i="11"/>
  <c r="HU274" i="11"/>
  <c r="HV274" i="11"/>
  <c r="HW274" i="11"/>
  <c r="HX274" i="11"/>
  <c r="HY274" i="11"/>
  <c r="HZ274" i="11"/>
  <c r="IA274" i="11"/>
  <c r="IB274" i="11"/>
  <c r="IC274" i="11"/>
  <c r="ID274" i="11"/>
  <c r="IE274" i="11"/>
  <c r="IF274" i="11"/>
  <c r="IG274" i="11"/>
  <c r="IH274" i="11"/>
  <c r="II274" i="11"/>
  <c r="IJ274" i="11"/>
  <c r="IK274" i="11"/>
  <c r="IL274" i="11"/>
  <c r="IM274" i="11"/>
  <c r="IN274" i="11"/>
  <c r="IO274" i="11"/>
  <c r="IP274" i="11"/>
  <c r="IQ274" i="11"/>
  <c r="IR274" i="11"/>
  <c r="IS274" i="11"/>
  <c r="IT274" i="11"/>
  <c r="IU274" i="11"/>
  <c r="IV274" i="11"/>
  <c r="F275" i="11"/>
  <c r="G275" i="11"/>
  <c r="H275" i="11"/>
  <c r="I275" i="11"/>
  <c r="J275" i="11"/>
  <c r="K275" i="11"/>
  <c r="L275" i="11"/>
  <c r="M275" i="11"/>
  <c r="N275" i="11"/>
  <c r="O275" i="11"/>
  <c r="P275" i="11"/>
  <c r="Q275" i="11"/>
  <c r="R275" i="11"/>
  <c r="S275" i="11"/>
  <c r="T275" i="11"/>
  <c r="U275" i="11"/>
  <c r="V275" i="11"/>
  <c r="W275" i="11"/>
  <c r="X275" i="11"/>
  <c r="Y275" i="11"/>
  <c r="Z275" i="11"/>
  <c r="AA275" i="11"/>
  <c r="AB275" i="11"/>
  <c r="AC275" i="11"/>
  <c r="AD275" i="11"/>
  <c r="AE275" i="11"/>
  <c r="AF275" i="11"/>
  <c r="AG275" i="11"/>
  <c r="AH275" i="11"/>
  <c r="AI275" i="11"/>
  <c r="AJ275" i="11"/>
  <c r="AK275" i="11"/>
  <c r="AL275" i="11"/>
  <c r="AM275" i="11"/>
  <c r="AN275" i="11"/>
  <c r="AO275" i="11"/>
  <c r="AP275" i="11"/>
  <c r="AQ275" i="11"/>
  <c r="AR275" i="11"/>
  <c r="AS275" i="11"/>
  <c r="AT275" i="11"/>
  <c r="AU275" i="11"/>
  <c r="AV275" i="11"/>
  <c r="AW275" i="11"/>
  <c r="AX275" i="11"/>
  <c r="AY275" i="11"/>
  <c r="AZ275" i="11"/>
  <c r="BA275" i="11"/>
  <c r="BB275" i="11"/>
  <c r="BC275" i="11"/>
  <c r="BD275" i="11"/>
  <c r="BE275" i="11"/>
  <c r="BF275" i="11"/>
  <c r="BG275" i="11"/>
  <c r="BH275" i="11"/>
  <c r="BI275" i="11"/>
  <c r="BJ275" i="11"/>
  <c r="BK275" i="11"/>
  <c r="BL275" i="11"/>
  <c r="BM275" i="11"/>
  <c r="BN275" i="11"/>
  <c r="BO275" i="11"/>
  <c r="BP275" i="11"/>
  <c r="BQ275" i="11"/>
  <c r="BR275" i="11"/>
  <c r="BS275" i="11"/>
  <c r="BT275" i="11"/>
  <c r="BU275" i="11"/>
  <c r="BV275" i="11"/>
  <c r="BW275" i="11"/>
  <c r="BX275" i="11"/>
  <c r="BY275" i="11"/>
  <c r="BZ275" i="11"/>
  <c r="CA275" i="11"/>
  <c r="CB275" i="11"/>
  <c r="CC275" i="11"/>
  <c r="CD275" i="11"/>
  <c r="CE275" i="11"/>
  <c r="CF275" i="11"/>
  <c r="CG275" i="11"/>
  <c r="CH275" i="11"/>
  <c r="CI275" i="11"/>
  <c r="CJ275" i="11"/>
  <c r="CK275" i="11"/>
  <c r="CL275" i="11"/>
  <c r="CM275" i="11"/>
  <c r="CN275" i="11"/>
  <c r="CO275" i="11"/>
  <c r="CP275" i="11"/>
  <c r="CQ275" i="11"/>
  <c r="CR275" i="11"/>
  <c r="CS275" i="11"/>
  <c r="CT275" i="11"/>
  <c r="CU275" i="11"/>
  <c r="CV275" i="11"/>
  <c r="CW275" i="11"/>
  <c r="CX275" i="11"/>
  <c r="CY275" i="11"/>
  <c r="CZ275" i="11"/>
  <c r="DA275" i="11"/>
  <c r="DB275" i="11"/>
  <c r="DC275" i="11"/>
  <c r="DD275" i="11"/>
  <c r="DE275" i="11"/>
  <c r="DF275" i="11"/>
  <c r="DG275" i="11"/>
  <c r="DH275" i="11"/>
  <c r="DI275" i="11"/>
  <c r="DJ275" i="11"/>
  <c r="DK275" i="11"/>
  <c r="DL275" i="11"/>
  <c r="DM275" i="11"/>
  <c r="DN275" i="11"/>
  <c r="DO275" i="11"/>
  <c r="DP275" i="11"/>
  <c r="DQ275" i="11"/>
  <c r="DR275" i="11"/>
  <c r="DS275" i="11"/>
  <c r="DT275" i="11"/>
  <c r="DU275" i="11"/>
  <c r="DV275" i="11"/>
  <c r="DW275" i="11"/>
  <c r="DX275" i="11"/>
  <c r="DY275" i="11"/>
  <c r="DZ275" i="11"/>
  <c r="EA275" i="11"/>
  <c r="EB275" i="11"/>
  <c r="EC275" i="11"/>
  <c r="ED275" i="11"/>
  <c r="EE275" i="11"/>
  <c r="EF275" i="11"/>
  <c r="EG275" i="11"/>
  <c r="EH275" i="11"/>
  <c r="EI275" i="11"/>
  <c r="EJ275" i="11"/>
  <c r="EK275" i="11"/>
  <c r="EL275" i="11"/>
  <c r="EM275" i="11"/>
  <c r="EN275" i="11"/>
  <c r="EO275" i="11"/>
  <c r="EP275" i="11"/>
  <c r="EQ275" i="11"/>
  <c r="ER275" i="11"/>
  <c r="ES275" i="11"/>
  <c r="ET275" i="11"/>
  <c r="EU275" i="11"/>
  <c r="EV275" i="11"/>
  <c r="EW275" i="11"/>
  <c r="EX275" i="11"/>
  <c r="EY275" i="11"/>
  <c r="EZ275" i="11"/>
  <c r="FA275" i="11"/>
  <c r="FB275" i="11"/>
  <c r="FC275" i="11"/>
  <c r="FD275" i="11"/>
  <c r="FE275" i="11"/>
  <c r="FF275" i="11"/>
  <c r="FG275" i="11"/>
  <c r="FH275" i="11"/>
  <c r="FI275" i="11"/>
  <c r="FJ275" i="11"/>
  <c r="FK275" i="11"/>
  <c r="FL275" i="11"/>
  <c r="FM275" i="11"/>
  <c r="FN275" i="11"/>
  <c r="FO275" i="11"/>
  <c r="FP275" i="11"/>
  <c r="FQ275" i="11"/>
  <c r="FR275" i="11"/>
  <c r="FS275" i="11"/>
  <c r="FT275" i="11"/>
  <c r="FU275" i="11"/>
  <c r="FV275" i="11"/>
  <c r="FW275" i="11"/>
  <c r="FX275" i="11"/>
  <c r="FY275" i="11"/>
  <c r="FZ275" i="11"/>
  <c r="GA275" i="11"/>
  <c r="GB275" i="11"/>
  <c r="GC275" i="11"/>
  <c r="GD275" i="11"/>
  <c r="GE275" i="11"/>
  <c r="GF275" i="11"/>
  <c r="GG275" i="11"/>
  <c r="GH275" i="11"/>
  <c r="GI275" i="11"/>
  <c r="GJ275" i="11"/>
  <c r="GK275" i="11"/>
  <c r="GL275" i="11"/>
  <c r="GM275" i="11"/>
  <c r="GN275" i="11"/>
  <c r="GO275" i="11"/>
  <c r="GP275" i="11"/>
  <c r="GQ275" i="11"/>
  <c r="GR275" i="11"/>
  <c r="GS275" i="11"/>
  <c r="GT275" i="11"/>
  <c r="GU275" i="11"/>
  <c r="GV275" i="11"/>
  <c r="GW275" i="11"/>
  <c r="GX275" i="11"/>
  <c r="GY275" i="11"/>
  <c r="GZ275" i="11"/>
  <c r="HA275" i="11"/>
  <c r="HB275" i="11"/>
  <c r="HC275" i="11"/>
  <c r="HD275" i="11"/>
  <c r="HE275" i="11"/>
  <c r="HF275" i="11"/>
  <c r="HG275" i="11"/>
  <c r="HH275" i="11"/>
  <c r="HI275" i="11"/>
  <c r="HJ275" i="11"/>
  <c r="HK275" i="11"/>
  <c r="HL275" i="11"/>
  <c r="HM275" i="11"/>
  <c r="HN275" i="11"/>
  <c r="HO275" i="11"/>
  <c r="HP275" i="11"/>
  <c r="HQ275" i="11"/>
  <c r="HR275" i="11"/>
  <c r="HS275" i="11"/>
  <c r="HT275" i="11"/>
  <c r="HU275" i="11"/>
  <c r="HV275" i="11"/>
  <c r="HW275" i="11"/>
  <c r="HX275" i="11"/>
  <c r="HY275" i="11"/>
  <c r="HZ275" i="11"/>
  <c r="IA275" i="11"/>
  <c r="IB275" i="11"/>
  <c r="IC275" i="11"/>
  <c r="ID275" i="11"/>
  <c r="IE275" i="11"/>
  <c r="IF275" i="11"/>
  <c r="IG275" i="11"/>
  <c r="IH275" i="11"/>
  <c r="II275" i="11"/>
  <c r="IJ275" i="11"/>
  <c r="IK275" i="11"/>
  <c r="IL275" i="11"/>
  <c r="IM275" i="11"/>
  <c r="IN275" i="11"/>
  <c r="IO275" i="11"/>
  <c r="IP275" i="11"/>
  <c r="IQ275" i="11"/>
  <c r="IR275" i="11"/>
  <c r="IS275" i="11"/>
  <c r="IT275" i="11"/>
  <c r="IU275" i="11"/>
  <c r="IV275" i="11"/>
  <c r="F276" i="11"/>
  <c r="G276" i="11"/>
  <c r="H276" i="11"/>
  <c r="I276" i="11"/>
  <c r="J276" i="11"/>
  <c r="K276" i="11"/>
  <c r="L276" i="11"/>
  <c r="M276" i="11"/>
  <c r="N276" i="11"/>
  <c r="O276" i="11"/>
  <c r="P276" i="11"/>
  <c r="Q276" i="11"/>
  <c r="R276" i="11"/>
  <c r="S276" i="11"/>
  <c r="T276" i="11"/>
  <c r="U276" i="11"/>
  <c r="V276" i="11"/>
  <c r="W276" i="11"/>
  <c r="X276" i="11"/>
  <c r="Y276" i="11"/>
  <c r="Z276" i="11"/>
  <c r="AA276" i="11"/>
  <c r="AB276" i="11"/>
  <c r="AC276" i="11"/>
  <c r="AD276" i="11"/>
  <c r="AE276" i="11"/>
  <c r="AF276" i="11"/>
  <c r="AG276" i="11"/>
  <c r="AH276" i="11"/>
  <c r="AI276" i="11"/>
  <c r="AJ276" i="11"/>
  <c r="AK276" i="11"/>
  <c r="AL276" i="11"/>
  <c r="AM276" i="11"/>
  <c r="AN276" i="11"/>
  <c r="AO276" i="11"/>
  <c r="AP276" i="11"/>
  <c r="AQ276" i="11"/>
  <c r="AR276" i="11"/>
  <c r="AS276" i="11"/>
  <c r="AT276" i="11"/>
  <c r="AU276" i="11"/>
  <c r="AV276" i="11"/>
  <c r="AW276" i="11"/>
  <c r="AX276" i="11"/>
  <c r="AY276" i="11"/>
  <c r="AZ276" i="11"/>
  <c r="BA276" i="11"/>
  <c r="BB276" i="11"/>
  <c r="BC276" i="11"/>
  <c r="BD276" i="11"/>
  <c r="BE276" i="11"/>
  <c r="BF276" i="11"/>
  <c r="BG276" i="11"/>
  <c r="BH276" i="11"/>
  <c r="BI276" i="11"/>
  <c r="BJ276" i="11"/>
  <c r="BK276" i="11"/>
  <c r="BL276" i="11"/>
  <c r="BM276" i="11"/>
  <c r="BN276" i="11"/>
  <c r="BO276" i="11"/>
  <c r="BP276" i="11"/>
  <c r="BQ276" i="11"/>
  <c r="BR276" i="11"/>
  <c r="BS276" i="11"/>
  <c r="BT276" i="11"/>
  <c r="BU276" i="11"/>
  <c r="BV276" i="11"/>
  <c r="BW276" i="11"/>
  <c r="BX276" i="11"/>
  <c r="BY276" i="11"/>
  <c r="BZ276" i="11"/>
  <c r="CA276" i="11"/>
  <c r="CB276" i="11"/>
  <c r="CC276" i="11"/>
  <c r="CD276" i="11"/>
  <c r="CE276" i="11"/>
  <c r="CF276" i="11"/>
  <c r="CG276" i="11"/>
  <c r="CH276" i="11"/>
  <c r="CI276" i="11"/>
  <c r="CJ276" i="11"/>
  <c r="CK276" i="11"/>
  <c r="CL276" i="11"/>
  <c r="CM276" i="11"/>
  <c r="CN276" i="11"/>
  <c r="CO276" i="11"/>
  <c r="CP276" i="11"/>
  <c r="CQ276" i="11"/>
  <c r="CR276" i="11"/>
  <c r="CS276" i="11"/>
  <c r="CT276" i="11"/>
  <c r="CU276" i="11"/>
  <c r="CV276" i="11"/>
  <c r="CW276" i="11"/>
  <c r="CX276" i="11"/>
  <c r="CY276" i="11"/>
  <c r="CZ276" i="11"/>
  <c r="DA276" i="11"/>
  <c r="DB276" i="11"/>
  <c r="DC276" i="11"/>
  <c r="DD276" i="11"/>
  <c r="DE276" i="11"/>
  <c r="DF276" i="11"/>
  <c r="DG276" i="11"/>
  <c r="DH276" i="11"/>
  <c r="DI276" i="11"/>
  <c r="DJ276" i="11"/>
  <c r="DK276" i="11"/>
  <c r="DL276" i="11"/>
  <c r="DM276" i="11"/>
  <c r="DN276" i="11"/>
  <c r="DO276" i="11"/>
  <c r="DP276" i="11"/>
  <c r="DQ276" i="11"/>
  <c r="DR276" i="11"/>
  <c r="DS276" i="11"/>
  <c r="DT276" i="11"/>
  <c r="DU276" i="11"/>
  <c r="DV276" i="11"/>
  <c r="DW276" i="11"/>
  <c r="DX276" i="11"/>
  <c r="DY276" i="11"/>
  <c r="DZ276" i="11"/>
  <c r="EA276" i="11"/>
  <c r="EB276" i="11"/>
  <c r="EC276" i="11"/>
  <c r="ED276" i="11"/>
  <c r="EE276" i="11"/>
  <c r="EF276" i="11"/>
  <c r="EG276" i="11"/>
  <c r="EH276" i="11"/>
  <c r="EI276" i="11"/>
  <c r="EJ276" i="11"/>
  <c r="EK276" i="11"/>
  <c r="EL276" i="11"/>
  <c r="EM276" i="11"/>
  <c r="EN276" i="11"/>
  <c r="EO276" i="11"/>
  <c r="EP276" i="11"/>
  <c r="EQ276" i="11"/>
  <c r="ER276" i="11"/>
  <c r="ES276" i="11"/>
  <c r="ET276" i="11"/>
  <c r="EU276" i="11"/>
  <c r="EV276" i="11"/>
  <c r="EW276" i="11"/>
  <c r="EX276" i="11"/>
  <c r="EY276" i="11"/>
  <c r="EZ276" i="11"/>
  <c r="FA276" i="11"/>
  <c r="FB276" i="11"/>
  <c r="FC276" i="11"/>
  <c r="FD276" i="11"/>
  <c r="FE276" i="11"/>
  <c r="FF276" i="11"/>
  <c r="FG276" i="11"/>
  <c r="FH276" i="11"/>
  <c r="FI276" i="11"/>
  <c r="FJ276" i="11"/>
  <c r="FK276" i="11"/>
  <c r="FL276" i="11"/>
  <c r="FM276" i="11"/>
  <c r="FN276" i="11"/>
  <c r="FO276" i="11"/>
  <c r="FP276" i="11"/>
  <c r="FQ276" i="11"/>
  <c r="FR276" i="11"/>
  <c r="FS276" i="11"/>
  <c r="FT276" i="11"/>
  <c r="FU276" i="11"/>
  <c r="FV276" i="11"/>
  <c r="FW276" i="11"/>
  <c r="FX276" i="11"/>
  <c r="FY276" i="11"/>
  <c r="FZ276" i="11"/>
  <c r="GA276" i="11"/>
  <c r="GB276" i="11"/>
  <c r="GC276" i="11"/>
  <c r="GD276" i="11"/>
  <c r="GE276" i="11"/>
  <c r="GF276" i="11"/>
  <c r="GG276" i="11"/>
  <c r="GH276" i="11"/>
  <c r="GI276" i="11"/>
  <c r="GJ276" i="11"/>
  <c r="GK276" i="11"/>
  <c r="GL276" i="11"/>
  <c r="GM276" i="11"/>
  <c r="GN276" i="11"/>
  <c r="GO276" i="11"/>
  <c r="GP276" i="11"/>
  <c r="GQ276" i="11"/>
  <c r="GR276" i="11"/>
  <c r="GS276" i="11"/>
  <c r="GT276" i="11"/>
  <c r="GU276" i="11"/>
  <c r="GV276" i="11"/>
  <c r="GW276" i="11"/>
  <c r="GX276" i="11"/>
  <c r="GY276" i="11"/>
  <c r="GZ276" i="11"/>
  <c r="HA276" i="11"/>
  <c r="HB276" i="11"/>
  <c r="HC276" i="11"/>
  <c r="HD276" i="11"/>
  <c r="HE276" i="11"/>
  <c r="HF276" i="11"/>
  <c r="HG276" i="11"/>
  <c r="HH276" i="11"/>
  <c r="HI276" i="11"/>
  <c r="HJ276" i="11"/>
  <c r="HK276" i="11"/>
  <c r="HL276" i="11"/>
  <c r="HM276" i="11"/>
  <c r="HN276" i="11"/>
  <c r="HO276" i="11"/>
  <c r="HP276" i="11"/>
  <c r="HQ276" i="11"/>
  <c r="HR276" i="11"/>
  <c r="HS276" i="11"/>
  <c r="HT276" i="11"/>
  <c r="HU276" i="11"/>
  <c r="HV276" i="11"/>
  <c r="HW276" i="11"/>
  <c r="HX276" i="11"/>
  <c r="HY276" i="11"/>
  <c r="HZ276" i="11"/>
  <c r="IA276" i="11"/>
  <c r="IB276" i="11"/>
  <c r="IC276" i="11"/>
  <c r="ID276" i="11"/>
  <c r="IE276" i="11"/>
  <c r="IF276" i="11"/>
  <c r="IG276" i="11"/>
  <c r="IH276" i="11"/>
  <c r="II276" i="11"/>
  <c r="IJ276" i="11"/>
  <c r="IK276" i="11"/>
  <c r="IL276" i="11"/>
  <c r="IM276" i="11"/>
  <c r="IN276" i="11"/>
  <c r="IO276" i="11"/>
  <c r="IP276" i="11"/>
  <c r="IQ276" i="11"/>
  <c r="IR276" i="11"/>
  <c r="IS276" i="11"/>
  <c r="IT276" i="11"/>
  <c r="IU276" i="11"/>
  <c r="IV276" i="11"/>
  <c r="F277" i="11"/>
  <c r="G277" i="11"/>
  <c r="H277" i="11"/>
  <c r="I277" i="11"/>
  <c r="J277" i="11"/>
  <c r="K277" i="11"/>
  <c r="L277" i="11"/>
  <c r="M277" i="11"/>
  <c r="N277" i="11"/>
  <c r="O277" i="11"/>
  <c r="P277" i="11"/>
  <c r="Q277" i="11"/>
  <c r="R277" i="11"/>
  <c r="S277" i="11"/>
  <c r="T277" i="11"/>
  <c r="U277" i="11"/>
  <c r="V277" i="11"/>
  <c r="W277" i="11"/>
  <c r="X277" i="11"/>
  <c r="Y277" i="11"/>
  <c r="Z277" i="11"/>
  <c r="AA277" i="11"/>
  <c r="AB277" i="11"/>
  <c r="AC277" i="11"/>
  <c r="AD277" i="11"/>
  <c r="AE277" i="11"/>
  <c r="AF277" i="11"/>
  <c r="AG277" i="11"/>
  <c r="AH277" i="11"/>
  <c r="AI277" i="11"/>
  <c r="AJ277" i="11"/>
  <c r="AK277" i="11"/>
  <c r="AL277" i="11"/>
  <c r="AM277" i="11"/>
  <c r="AN277" i="11"/>
  <c r="AO277" i="11"/>
  <c r="AP277" i="11"/>
  <c r="AQ277" i="11"/>
  <c r="AR277" i="11"/>
  <c r="AS277" i="11"/>
  <c r="AT277" i="11"/>
  <c r="AU277" i="11"/>
  <c r="AV277" i="11"/>
  <c r="AW277" i="11"/>
  <c r="AX277" i="11"/>
  <c r="AY277" i="11"/>
  <c r="AZ277" i="11"/>
  <c r="BA277" i="11"/>
  <c r="BB277" i="11"/>
  <c r="BC277" i="11"/>
  <c r="BD277" i="11"/>
  <c r="BE277" i="11"/>
  <c r="BF277" i="11"/>
  <c r="BG277" i="11"/>
  <c r="BH277" i="11"/>
  <c r="BI277" i="11"/>
  <c r="BJ277" i="11"/>
  <c r="BK277" i="11"/>
  <c r="BL277" i="11"/>
  <c r="BM277" i="11"/>
  <c r="BN277" i="11"/>
  <c r="BO277" i="11"/>
  <c r="BP277" i="11"/>
  <c r="BQ277" i="11"/>
  <c r="BR277" i="11"/>
  <c r="BS277" i="11"/>
  <c r="BT277" i="11"/>
  <c r="BU277" i="11"/>
  <c r="BV277" i="11"/>
  <c r="BW277" i="11"/>
  <c r="BX277" i="11"/>
  <c r="BY277" i="11"/>
  <c r="BZ277" i="11"/>
  <c r="CA277" i="11"/>
  <c r="CB277" i="11"/>
  <c r="CC277" i="11"/>
  <c r="CD277" i="11"/>
  <c r="CE277" i="11"/>
  <c r="CF277" i="11"/>
  <c r="CG277" i="11"/>
  <c r="CH277" i="11"/>
  <c r="CI277" i="11"/>
  <c r="CJ277" i="11"/>
  <c r="CK277" i="11"/>
  <c r="CL277" i="11"/>
  <c r="CM277" i="11"/>
  <c r="CN277" i="11"/>
  <c r="CO277" i="11"/>
  <c r="CP277" i="11"/>
  <c r="CQ277" i="11"/>
  <c r="CR277" i="11"/>
  <c r="CS277" i="11"/>
  <c r="CT277" i="11"/>
  <c r="CU277" i="11"/>
  <c r="CV277" i="11"/>
  <c r="CW277" i="11"/>
  <c r="CX277" i="11"/>
  <c r="CY277" i="11"/>
  <c r="CZ277" i="11"/>
  <c r="DA277" i="11"/>
  <c r="DB277" i="11"/>
  <c r="DC277" i="11"/>
  <c r="DD277" i="11"/>
  <c r="DE277" i="11"/>
  <c r="DF277" i="11"/>
  <c r="DG277" i="11"/>
  <c r="DH277" i="11"/>
  <c r="DI277" i="11"/>
  <c r="DJ277" i="11"/>
  <c r="DK277" i="11"/>
  <c r="DL277" i="11"/>
  <c r="DM277" i="11"/>
  <c r="DN277" i="11"/>
  <c r="DO277" i="11"/>
  <c r="DP277" i="11"/>
  <c r="DQ277" i="11"/>
  <c r="DR277" i="11"/>
  <c r="DS277" i="11"/>
  <c r="DT277" i="11"/>
  <c r="DU277" i="11"/>
  <c r="DV277" i="11"/>
  <c r="DW277" i="11"/>
  <c r="DX277" i="11"/>
  <c r="DY277" i="11"/>
  <c r="DZ277" i="11"/>
  <c r="EA277" i="11"/>
  <c r="EB277" i="11"/>
  <c r="EC277" i="11"/>
  <c r="ED277" i="11"/>
  <c r="EE277" i="11"/>
  <c r="EF277" i="11"/>
  <c r="EG277" i="11"/>
  <c r="EH277" i="11"/>
  <c r="EI277" i="11"/>
  <c r="EJ277" i="11"/>
  <c r="EK277" i="11"/>
  <c r="EL277" i="11"/>
  <c r="EM277" i="11"/>
  <c r="EN277" i="11"/>
  <c r="EO277" i="11"/>
  <c r="EP277" i="11"/>
  <c r="EQ277" i="11"/>
  <c r="ER277" i="11"/>
  <c r="ES277" i="11"/>
  <c r="ET277" i="11"/>
  <c r="EU277" i="11"/>
  <c r="EV277" i="11"/>
  <c r="EW277" i="11"/>
  <c r="EX277" i="11"/>
  <c r="EY277" i="11"/>
  <c r="EZ277" i="11"/>
  <c r="FA277" i="11"/>
  <c r="FB277" i="11"/>
  <c r="FC277" i="11"/>
  <c r="FD277" i="11"/>
  <c r="FE277" i="11"/>
  <c r="FF277" i="11"/>
  <c r="FG277" i="11"/>
  <c r="FH277" i="11"/>
  <c r="FI277" i="11"/>
  <c r="FJ277" i="11"/>
  <c r="FK277" i="11"/>
  <c r="FL277" i="11"/>
  <c r="FM277" i="11"/>
  <c r="FN277" i="11"/>
  <c r="FO277" i="11"/>
  <c r="FP277" i="11"/>
  <c r="FQ277" i="11"/>
  <c r="FR277" i="11"/>
  <c r="FS277" i="11"/>
  <c r="FT277" i="11"/>
  <c r="FU277" i="11"/>
  <c r="FV277" i="11"/>
  <c r="FW277" i="11"/>
  <c r="FX277" i="11"/>
  <c r="FY277" i="11"/>
  <c r="FZ277" i="11"/>
  <c r="GA277" i="11"/>
  <c r="GB277" i="11"/>
  <c r="GC277" i="11"/>
  <c r="GD277" i="11"/>
  <c r="GE277" i="11"/>
  <c r="GF277" i="11"/>
  <c r="GG277" i="11"/>
  <c r="GH277" i="11"/>
  <c r="GI277" i="11"/>
  <c r="GJ277" i="11"/>
  <c r="GK277" i="11"/>
  <c r="GL277" i="11"/>
  <c r="GM277" i="11"/>
  <c r="GN277" i="11"/>
  <c r="GO277" i="11"/>
  <c r="GP277" i="11"/>
  <c r="GQ277" i="11"/>
  <c r="GR277" i="11"/>
  <c r="GS277" i="11"/>
  <c r="GT277" i="11"/>
  <c r="GU277" i="11"/>
  <c r="GV277" i="11"/>
  <c r="GW277" i="11"/>
  <c r="GX277" i="11"/>
  <c r="GY277" i="11"/>
  <c r="GZ277" i="11"/>
  <c r="HA277" i="11"/>
  <c r="HB277" i="11"/>
  <c r="HC277" i="11"/>
  <c r="HD277" i="11"/>
  <c r="HE277" i="11"/>
  <c r="HF277" i="11"/>
  <c r="HG277" i="11"/>
  <c r="HH277" i="11"/>
  <c r="HI277" i="11"/>
  <c r="HJ277" i="11"/>
  <c r="HK277" i="11"/>
  <c r="HL277" i="11"/>
  <c r="HM277" i="11"/>
  <c r="HN277" i="11"/>
  <c r="HO277" i="11"/>
  <c r="HP277" i="11"/>
  <c r="HQ277" i="11"/>
  <c r="HR277" i="11"/>
  <c r="HS277" i="11"/>
  <c r="HT277" i="11"/>
  <c r="HU277" i="11"/>
  <c r="HV277" i="11"/>
  <c r="HW277" i="11"/>
  <c r="HX277" i="11"/>
  <c r="HY277" i="11"/>
  <c r="HZ277" i="11"/>
  <c r="IA277" i="11"/>
  <c r="IB277" i="11"/>
  <c r="IC277" i="11"/>
  <c r="ID277" i="11"/>
  <c r="IE277" i="11"/>
  <c r="IF277" i="11"/>
  <c r="IG277" i="11"/>
  <c r="IH277" i="11"/>
  <c r="II277" i="11"/>
  <c r="IJ277" i="11"/>
  <c r="IK277" i="11"/>
  <c r="IL277" i="11"/>
  <c r="IM277" i="11"/>
  <c r="IN277" i="11"/>
  <c r="IO277" i="11"/>
  <c r="IP277" i="11"/>
  <c r="IQ277" i="11"/>
  <c r="IR277" i="11"/>
  <c r="IS277" i="11"/>
  <c r="IT277" i="11"/>
  <c r="IU277" i="11"/>
  <c r="IV277" i="11"/>
  <c r="F278" i="11"/>
  <c r="G278" i="11"/>
  <c r="H278" i="11"/>
  <c r="I278" i="11"/>
  <c r="J278" i="11"/>
  <c r="K278" i="11"/>
  <c r="L278" i="11"/>
  <c r="M278" i="11"/>
  <c r="N278" i="11"/>
  <c r="O278" i="11"/>
  <c r="P278" i="11"/>
  <c r="Q278" i="11"/>
  <c r="R278" i="11"/>
  <c r="S278" i="11"/>
  <c r="T278" i="11"/>
  <c r="U278" i="11"/>
  <c r="V278" i="11"/>
  <c r="W278" i="11"/>
  <c r="X278" i="11"/>
  <c r="Y278" i="11"/>
  <c r="Z278" i="11"/>
  <c r="AA278" i="11"/>
  <c r="AB278" i="11"/>
  <c r="AC278" i="11"/>
  <c r="AD278" i="11"/>
  <c r="AE278" i="11"/>
  <c r="AF278" i="11"/>
  <c r="AG278" i="11"/>
  <c r="AH278" i="11"/>
  <c r="AI278" i="11"/>
  <c r="AJ278" i="11"/>
  <c r="AK278" i="11"/>
  <c r="AL278" i="11"/>
  <c r="AM278" i="11"/>
  <c r="AN278" i="11"/>
  <c r="AO278" i="11"/>
  <c r="AP278" i="11"/>
  <c r="AQ278" i="11"/>
  <c r="AR278" i="11"/>
  <c r="AS278" i="11"/>
  <c r="AT278" i="11"/>
  <c r="AU278" i="11"/>
  <c r="AV278" i="11"/>
  <c r="AW278" i="11"/>
  <c r="AX278" i="11"/>
  <c r="AY278" i="11"/>
  <c r="AZ278" i="11"/>
  <c r="BA278" i="11"/>
  <c r="BB278" i="11"/>
  <c r="BC278" i="11"/>
  <c r="BD278" i="11"/>
  <c r="BE278" i="11"/>
  <c r="BF278" i="11"/>
  <c r="BG278" i="11"/>
  <c r="BH278" i="11"/>
  <c r="BI278" i="11"/>
  <c r="BJ278" i="11"/>
  <c r="BK278" i="11"/>
  <c r="BL278" i="11"/>
  <c r="BM278" i="11"/>
  <c r="BN278" i="11"/>
  <c r="BO278" i="11"/>
  <c r="BP278" i="11"/>
  <c r="BQ278" i="11"/>
  <c r="BR278" i="11"/>
  <c r="BS278" i="11"/>
  <c r="BT278" i="11"/>
  <c r="BU278" i="11"/>
  <c r="BV278" i="11"/>
  <c r="BW278" i="11"/>
  <c r="BX278" i="11"/>
  <c r="BY278" i="11"/>
  <c r="BZ278" i="11"/>
  <c r="CA278" i="11"/>
  <c r="CB278" i="11"/>
  <c r="CC278" i="11"/>
  <c r="CD278" i="11"/>
  <c r="CE278" i="11"/>
  <c r="CF278" i="11"/>
  <c r="CG278" i="11"/>
  <c r="CH278" i="11"/>
  <c r="CI278" i="11"/>
  <c r="CJ278" i="11"/>
  <c r="CK278" i="11"/>
  <c r="CL278" i="11"/>
  <c r="CM278" i="11"/>
  <c r="CN278" i="11"/>
  <c r="CO278" i="11"/>
  <c r="CP278" i="11"/>
  <c r="CQ278" i="11"/>
  <c r="CR278" i="11"/>
  <c r="CS278" i="11"/>
  <c r="CT278" i="11"/>
  <c r="CU278" i="11"/>
  <c r="CV278" i="11"/>
  <c r="CW278" i="11"/>
  <c r="CX278" i="11"/>
  <c r="CY278" i="11"/>
  <c r="CZ278" i="11"/>
  <c r="DA278" i="11"/>
  <c r="DB278" i="11"/>
  <c r="DC278" i="11"/>
  <c r="DD278" i="11"/>
  <c r="DE278" i="11"/>
  <c r="DF278" i="11"/>
  <c r="DG278" i="11"/>
  <c r="DH278" i="11"/>
  <c r="DI278" i="11"/>
  <c r="DJ278" i="11"/>
  <c r="DK278" i="11"/>
  <c r="DL278" i="11"/>
  <c r="DM278" i="11"/>
  <c r="DN278" i="11"/>
  <c r="DO278" i="11"/>
  <c r="DP278" i="11"/>
  <c r="DQ278" i="11"/>
  <c r="DR278" i="11"/>
  <c r="DS278" i="11"/>
  <c r="DT278" i="11"/>
  <c r="DU278" i="11"/>
  <c r="DV278" i="11"/>
  <c r="DW278" i="11"/>
  <c r="DX278" i="11"/>
  <c r="DY278" i="11"/>
  <c r="DZ278" i="11"/>
  <c r="EA278" i="11"/>
  <c r="EB278" i="11"/>
  <c r="EC278" i="11"/>
  <c r="ED278" i="11"/>
  <c r="EE278" i="11"/>
  <c r="EF278" i="11"/>
  <c r="EG278" i="11"/>
  <c r="EH278" i="11"/>
  <c r="EI278" i="11"/>
  <c r="EJ278" i="11"/>
  <c r="EK278" i="11"/>
  <c r="EL278" i="11"/>
  <c r="EM278" i="11"/>
  <c r="EN278" i="11"/>
  <c r="EO278" i="11"/>
  <c r="EP278" i="11"/>
  <c r="EQ278" i="11"/>
  <c r="ER278" i="11"/>
  <c r="ES278" i="11"/>
  <c r="ET278" i="11"/>
  <c r="EU278" i="11"/>
  <c r="EV278" i="11"/>
  <c r="EW278" i="11"/>
  <c r="EX278" i="11"/>
  <c r="EY278" i="11"/>
  <c r="EZ278" i="11"/>
  <c r="FA278" i="11"/>
  <c r="FB278" i="11"/>
  <c r="FC278" i="11"/>
  <c r="FD278" i="11"/>
  <c r="FE278" i="11"/>
  <c r="FF278" i="11"/>
  <c r="FG278" i="11"/>
  <c r="FH278" i="11"/>
  <c r="FI278" i="11"/>
  <c r="FJ278" i="11"/>
  <c r="FK278" i="11"/>
  <c r="FL278" i="11"/>
  <c r="FM278" i="11"/>
  <c r="FN278" i="11"/>
  <c r="FO278" i="11"/>
  <c r="FP278" i="11"/>
  <c r="FQ278" i="11"/>
  <c r="FR278" i="11"/>
  <c r="FS278" i="11"/>
  <c r="FT278" i="11"/>
  <c r="FU278" i="11"/>
  <c r="FV278" i="11"/>
  <c r="FW278" i="11"/>
  <c r="FX278" i="11"/>
  <c r="FY278" i="11"/>
  <c r="FZ278" i="11"/>
  <c r="GA278" i="11"/>
  <c r="GB278" i="11"/>
  <c r="GC278" i="11"/>
  <c r="GD278" i="11"/>
  <c r="GE278" i="11"/>
  <c r="GF278" i="11"/>
  <c r="GG278" i="11"/>
  <c r="GH278" i="11"/>
  <c r="GI278" i="11"/>
  <c r="GJ278" i="11"/>
  <c r="GK278" i="11"/>
  <c r="GL278" i="11"/>
  <c r="GM278" i="11"/>
  <c r="GN278" i="11"/>
  <c r="GO278" i="11"/>
  <c r="GP278" i="11"/>
  <c r="GQ278" i="11"/>
  <c r="GR278" i="11"/>
  <c r="GS278" i="11"/>
  <c r="GT278" i="11"/>
  <c r="GU278" i="11"/>
  <c r="GV278" i="11"/>
  <c r="GW278" i="11"/>
  <c r="GX278" i="11"/>
  <c r="GY278" i="11"/>
  <c r="GZ278" i="11"/>
  <c r="HA278" i="11"/>
  <c r="HB278" i="11"/>
  <c r="HC278" i="11"/>
  <c r="HD278" i="11"/>
  <c r="HE278" i="11"/>
  <c r="HF278" i="11"/>
  <c r="HG278" i="11"/>
  <c r="HH278" i="11"/>
  <c r="HI278" i="11"/>
  <c r="HJ278" i="11"/>
  <c r="HK278" i="11"/>
  <c r="HL278" i="11"/>
  <c r="HM278" i="11"/>
  <c r="HN278" i="11"/>
  <c r="HO278" i="11"/>
  <c r="HP278" i="11"/>
  <c r="HQ278" i="11"/>
  <c r="HR278" i="11"/>
  <c r="HS278" i="11"/>
  <c r="HT278" i="11"/>
  <c r="HU278" i="11"/>
  <c r="HV278" i="11"/>
  <c r="HW278" i="11"/>
  <c r="HX278" i="11"/>
  <c r="HY278" i="11"/>
  <c r="HZ278" i="11"/>
  <c r="IA278" i="11"/>
  <c r="IB278" i="11"/>
  <c r="IC278" i="11"/>
  <c r="ID278" i="11"/>
  <c r="IE278" i="11"/>
  <c r="IF278" i="11"/>
  <c r="IG278" i="11"/>
  <c r="IH278" i="11"/>
  <c r="II278" i="11"/>
  <c r="IJ278" i="11"/>
  <c r="IK278" i="11"/>
  <c r="IL278" i="11"/>
  <c r="IM278" i="11"/>
  <c r="IN278" i="11"/>
  <c r="IO278" i="11"/>
  <c r="IP278" i="11"/>
  <c r="IQ278" i="11"/>
  <c r="IR278" i="11"/>
  <c r="IS278" i="11"/>
  <c r="IT278" i="11"/>
  <c r="IU278" i="11"/>
  <c r="IV278" i="11"/>
  <c r="F279" i="11"/>
  <c r="G279" i="11"/>
  <c r="H279" i="11"/>
  <c r="I279" i="11"/>
  <c r="J279" i="11"/>
  <c r="K279" i="11"/>
  <c r="L279" i="11"/>
  <c r="M279" i="11"/>
  <c r="N279" i="11"/>
  <c r="O279" i="11"/>
  <c r="P279" i="11"/>
  <c r="Q279" i="11"/>
  <c r="R279" i="11"/>
  <c r="S279" i="11"/>
  <c r="T279" i="11"/>
  <c r="U279" i="11"/>
  <c r="V279" i="11"/>
  <c r="W279" i="11"/>
  <c r="X279" i="11"/>
  <c r="Y279" i="11"/>
  <c r="Z279" i="11"/>
  <c r="AA279" i="11"/>
  <c r="AB279" i="11"/>
  <c r="AC279" i="11"/>
  <c r="AD279" i="11"/>
  <c r="AE279" i="11"/>
  <c r="AF279" i="11"/>
  <c r="AG279" i="11"/>
  <c r="AH279" i="11"/>
  <c r="AI279" i="11"/>
  <c r="AJ279" i="11"/>
  <c r="AK279" i="11"/>
  <c r="AL279" i="11"/>
  <c r="AM279" i="11"/>
  <c r="AN279" i="11"/>
  <c r="AO279" i="11"/>
  <c r="AP279" i="11"/>
  <c r="AQ279" i="11"/>
  <c r="AR279" i="11"/>
  <c r="AS279" i="11"/>
  <c r="AT279" i="11"/>
  <c r="AU279" i="11"/>
  <c r="AV279" i="11"/>
  <c r="AW279" i="11"/>
  <c r="AX279" i="11"/>
  <c r="AY279" i="11"/>
  <c r="AZ279" i="11"/>
  <c r="BA279" i="11"/>
  <c r="BB279" i="11"/>
  <c r="BC279" i="11"/>
  <c r="BD279" i="11"/>
  <c r="BE279" i="11"/>
  <c r="BF279" i="11"/>
  <c r="BG279" i="11"/>
  <c r="BH279" i="11"/>
  <c r="BI279" i="11"/>
  <c r="BJ279" i="11"/>
  <c r="BK279" i="11"/>
  <c r="BL279" i="11"/>
  <c r="BM279" i="11"/>
  <c r="BN279" i="11"/>
  <c r="BO279" i="11"/>
  <c r="BP279" i="11"/>
  <c r="BQ279" i="11"/>
  <c r="BR279" i="11"/>
  <c r="BS279" i="11"/>
  <c r="BT279" i="11"/>
  <c r="BU279" i="11"/>
  <c r="BV279" i="11"/>
  <c r="BW279" i="11"/>
  <c r="BX279" i="11"/>
  <c r="BY279" i="11"/>
  <c r="BZ279" i="11"/>
  <c r="CA279" i="11"/>
  <c r="CB279" i="11"/>
  <c r="CC279" i="11"/>
  <c r="CD279" i="11"/>
  <c r="CE279" i="11"/>
  <c r="CF279" i="11"/>
  <c r="CG279" i="11"/>
  <c r="CH279" i="11"/>
  <c r="CI279" i="11"/>
  <c r="CJ279" i="11"/>
  <c r="CK279" i="11"/>
  <c r="CL279" i="11"/>
  <c r="CM279" i="11"/>
  <c r="CN279" i="11"/>
  <c r="CO279" i="11"/>
  <c r="CP279" i="11"/>
  <c r="CQ279" i="11"/>
  <c r="CR279" i="11"/>
  <c r="CS279" i="11"/>
  <c r="CT279" i="11"/>
  <c r="CU279" i="11"/>
  <c r="CV279" i="11"/>
  <c r="CW279" i="11"/>
  <c r="CX279" i="11"/>
  <c r="CY279" i="11"/>
  <c r="CZ279" i="11"/>
  <c r="DA279" i="11"/>
  <c r="DB279" i="11"/>
  <c r="DC279" i="11"/>
  <c r="DD279" i="11"/>
  <c r="DE279" i="11"/>
  <c r="DF279" i="11"/>
  <c r="DG279" i="11"/>
  <c r="DH279" i="11"/>
  <c r="DI279" i="11"/>
  <c r="DJ279" i="11"/>
  <c r="DK279" i="11"/>
  <c r="DL279" i="11"/>
  <c r="DM279" i="11"/>
  <c r="DN279" i="11"/>
  <c r="DO279" i="11"/>
  <c r="DP279" i="11"/>
  <c r="DQ279" i="11"/>
  <c r="DR279" i="11"/>
  <c r="DS279" i="11"/>
  <c r="DT279" i="11"/>
  <c r="DU279" i="11"/>
  <c r="DV279" i="11"/>
  <c r="DW279" i="11"/>
  <c r="DX279" i="11"/>
  <c r="DY279" i="11"/>
  <c r="DZ279" i="11"/>
  <c r="EA279" i="11"/>
  <c r="EB279" i="11"/>
  <c r="EC279" i="11"/>
  <c r="ED279" i="11"/>
  <c r="EE279" i="11"/>
  <c r="EF279" i="11"/>
  <c r="EG279" i="11"/>
  <c r="EH279" i="11"/>
  <c r="EI279" i="11"/>
  <c r="EJ279" i="11"/>
  <c r="EK279" i="11"/>
  <c r="EL279" i="11"/>
  <c r="EM279" i="11"/>
  <c r="EN279" i="11"/>
  <c r="EO279" i="11"/>
  <c r="EP279" i="11"/>
  <c r="EQ279" i="11"/>
  <c r="ER279" i="11"/>
  <c r="ES279" i="11"/>
  <c r="ET279" i="11"/>
  <c r="EU279" i="11"/>
  <c r="EV279" i="11"/>
  <c r="EW279" i="11"/>
  <c r="EX279" i="11"/>
  <c r="EY279" i="11"/>
  <c r="EZ279" i="11"/>
  <c r="FA279" i="11"/>
  <c r="FB279" i="11"/>
  <c r="FC279" i="11"/>
  <c r="FD279" i="11"/>
  <c r="FE279" i="11"/>
  <c r="FF279" i="11"/>
  <c r="FG279" i="11"/>
  <c r="FH279" i="11"/>
  <c r="FI279" i="11"/>
  <c r="FJ279" i="11"/>
  <c r="FK279" i="11"/>
  <c r="FL279" i="11"/>
  <c r="FM279" i="11"/>
  <c r="FN279" i="11"/>
  <c r="FO279" i="11"/>
  <c r="FP279" i="11"/>
  <c r="FQ279" i="11"/>
  <c r="FR279" i="11"/>
  <c r="FS279" i="11"/>
  <c r="FT279" i="11"/>
  <c r="FU279" i="11"/>
  <c r="FV279" i="11"/>
  <c r="FW279" i="11"/>
  <c r="FX279" i="11"/>
  <c r="FY279" i="11"/>
  <c r="FZ279" i="11"/>
  <c r="GA279" i="11"/>
  <c r="GB279" i="11"/>
  <c r="GC279" i="11"/>
  <c r="GD279" i="11"/>
  <c r="GE279" i="11"/>
  <c r="GF279" i="11"/>
  <c r="GG279" i="11"/>
  <c r="GH279" i="11"/>
  <c r="GI279" i="11"/>
  <c r="GJ279" i="11"/>
  <c r="GK279" i="11"/>
  <c r="GL279" i="11"/>
  <c r="GM279" i="11"/>
  <c r="GN279" i="11"/>
  <c r="GO279" i="11"/>
  <c r="GP279" i="11"/>
  <c r="GQ279" i="11"/>
  <c r="GR279" i="11"/>
  <c r="GS279" i="11"/>
  <c r="GT279" i="11"/>
  <c r="GU279" i="11"/>
  <c r="GV279" i="11"/>
  <c r="GW279" i="11"/>
  <c r="GX279" i="11"/>
  <c r="GY279" i="11"/>
  <c r="GZ279" i="11"/>
  <c r="HA279" i="11"/>
  <c r="HB279" i="11"/>
  <c r="HC279" i="11"/>
  <c r="HD279" i="11"/>
  <c r="HE279" i="11"/>
  <c r="HF279" i="11"/>
  <c r="HG279" i="11"/>
  <c r="HH279" i="11"/>
  <c r="HI279" i="11"/>
  <c r="HJ279" i="11"/>
  <c r="HK279" i="11"/>
  <c r="HL279" i="11"/>
  <c r="HM279" i="11"/>
  <c r="HN279" i="11"/>
  <c r="HO279" i="11"/>
  <c r="HP279" i="11"/>
  <c r="HQ279" i="11"/>
  <c r="HR279" i="11"/>
  <c r="HS279" i="11"/>
  <c r="HT279" i="11"/>
  <c r="HU279" i="11"/>
  <c r="HV279" i="11"/>
  <c r="HW279" i="11"/>
  <c r="HX279" i="11"/>
  <c r="HY279" i="11"/>
  <c r="HZ279" i="11"/>
  <c r="IA279" i="11"/>
  <c r="IB279" i="11"/>
  <c r="IC279" i="11"/>
  <c r="ID279" i="11"/>
  <c r="IE279" i="11"/>
  <c r="IF279" i="11"/>
  <c r="IG279" i="11"/>
  <c r="IH279" i="11"/>
  <c r="II279" i="11"/>
  <c r="IJ279" i="11"/>
  <c r="IK279" i="11"/>
  <c r="IL279" i="11"/>
  <c r="IM279" i="11"/>
  <c r="IN279" i="11"/>
  <c r="IO279" i="11"/>
  <c r="IP279" i="11"/>
  <c r="IQ279" i="11"/>
  <c r="IR279" i="11"/>
  <c r="IS279" i="11"/>
  <c r="IT279" i="11"/>
  <c r="IU279" i="11"/>
  <c r="IV279" i="11"/>
  <c r="F280" i="11"/>
  <c r="G280" i="11"/>
  <c r="H280" i="11"/>
  <c r="I280" i="11"/>
  <c r="J280" i="11"/>
  <c r="K280" i="11"/>
  <c r="L280" i="11"/>
  <c r="M280" i="11"/>
  <c r="N280" i="11"/>
  <c r="O280" i="11"/>
  <c r="P280" i="11"/>
  <c r="Q280" i="11"/>
  <c r="R280" i="11"/>
  <c r="S280" i="11"/>
  <c r="T280" i="11"/>
  <c r="U280" i="11"/>
  <c r="V280" i="11"/>
  <c r="W280" i="11"/>
  <c r="X280" i="11"/>
  <c r="Y280" i="11"/>
  <c r="Z280" i="11"/>
  <c r="AA280" i="11"/>
  <c r="AB280" i="11"/>
  <c r="AC280" i="11"/>
  <c r="AD280" i="11"/>
  <c r="AE280" i="11"/>
  <c r="AF280" i="11"/>
  <c r="AG280" i="11"/>
  <c r="AH280" i="11"/>
  <c r="AI280" i="11"/>
  <c r="AJ280" i="11"/>
  <c r="AK280" i="11"/>
  <c r="AL280" i="11"/>
  <c r="AM280" i="11"/>
  <c r="AN280" i="11"/>
  <c r="AO280" i="11"/>
  <c r="AP280" i="11"/>
  <c r="AQ280" i="11"/>
  <c r="AR280" i="11"/>
  <c r="AS280" i="11"/>
  <c r="AT280" i="11"/>
  <c r="AU280" i="11"/>
  <c r="AV280" i="11"/>
  <c r="AW280" i="11"/>
  <c r="AX280" i="11"/>
  <c r="AY280" i="11"/>
  <c r="AZ280" i="11"/>
  <c r="BA280" i="11"/>
  <c r="BB280" i="11"/>
  <c r="BC280" i="11"/>
  <c r="BD280" i="11"/>
  <c r="BE280" i="11"/>
  <c r="BF280" i="11"/>
  <c r="BG280" i="11"/>
  <c r="BH280" i="11"/>
  <c r="BI280" i="11"/>
  <c r="BJ280" i="11"/>
  <c r="BK280" i="11"/>
  <c r="BL280" i="11"/>
  <c r="BM280" i="11"/>
  <c r="BN280" i="11"/>
  <c r="BO280" i="11"/>
  <c r="BP280" i="11"/>
  <c r="BQ280" i="11"/>
  <c r="BR280" i="11"/>
  <c r="BS280" i="11"/>
  <c r="BT280" i="11"/>
  <c r="BU280" i="11"/>
  <c r="BV280" i="11"/>
  <c r="BW280" i="11"/>
  <c r="BX280" i="11"/>
  <c r="BY280" i="11"/>
  <c r="BZ280" i="11"/>
  <c r="CA280" i="11"/>
  <c r="CB280" i="11"/>
  <c r="CC280" i="11"/>
  <c r="CD280" i="11"/>
  <c r="CE280" i="11"/>
  <c r="CF280" i="11"/>
  <c r="CG280" i="11"/>
  <c r="CH280" i="11"/>
  <c r="CI280" i="11"/>
  <c r="CJ280" i="11"/>
  <c r="CK280" i="11"/>
  <c r="CL280" i="11"/>
  <c r="CM280" i="11"/>
  <c r="CN280" i="11"/>
  <c r="CO280" i="11"/>
  <c r="CP280" i="11"/>
  <c r="CQ280" i="11"/>
  <c r="CR280" i="11"/>
  <c r="CS280" i="11"/>
  <c r="CT280" i="11"/>
  <c r="CU280" i="11"/>
  <c r="CV280" i="11"/>
  <c r="CW280" i="11"/>
  <c r="CX280" i="11"/>
  <c r="CY280" i="11"/>
  <c r="CZ280" i="11"/>
  <c r="DA280" i="11"/>
  <c r="DB280" i="11"/>
  <c r="DC280" i="11"/>
  <c r="DD280" i="11"/>
  <c r="DE280" i="11"/>
  <c r="DF280" i="11"/>
  <c r="DG280" i="11"/>
  <c r="DH280" i="11"/>
  <c r="DI280" i="11"/>
  <c r="DJ280" i="11"/>
  <c r="DK280" i="11"/>
  <c r="DL280" i="11"/>
  <c r="DM280" i="11"/>
  <c r="DN280" i="11"/>
  <c r="DO280" i="11"/>
  <c r="DP280" i="11"/>
  <c r="DQ280" i="11"/>
  <c r="DR280" i="11"/>
  <c r="DS280" i="11"/>
  <c r="DT280" i="11"/>
  <c r="DU280" i="11"/>
  <c r="DV280" i="11"/>
  <c r="DW280" i="11"/>
  <c r="DX280" i="11"/>
  <c r="DY280" i="11"/>
  <c r="DZ280" i="11"/>
  <c r="EA280" i="11"/>
  <c r="EB280" i="11"/>
  <c r="EC280" i="11"/>
  <c r="ED280" i="11"/>
  <c r="EE280" i="11"/>
  <c r="EF280" i="11"/>
  <c r="EG280" i="11"/>
  <c r="EH280" i="11"/>
  <c r="EI280" i="11"/>
  <c r="EJ280" i="11"/>
  <c r="EK280" i="11"/>
  <c r="EL280" i="11"/>
  <c r="EM280" i="11"/>
  <c r="EN280" i="11"/>
  <c r="EO280" i="11"/>
  <c r="EP280" i="11"/>
  <c r="EQ280" i="11"/>
  <c r="ER280" i="11"/>
  <c r="ES280" i="11"/>
  <c r="ET280" i="11"/>
  <c r="EU280" i="11"/>
  <c r="EV280" i="11"/>
  <c r="EW280" i="11"/>
  <c r="EX280" i="11"/>
  <c r="EY280" i="11"/>
  <c r="EZ280" i="11"/>
  <c r="FA280" i="11"/>
  <c r="FB280" i="11"/>
  <c r="FC280" i="11"/>
  <c r="FD280" i="11"/>
  <c r="FE280" i="11"/>
  <c r="FF280" i="11"/>
  <c r="FG280" i="11"/>
  <c r="FH280" i="11"/>
  <c r="FI280" i="11"/>
  <c r="FJ280" i="11"/>
  <c r="FK280" i="11"/>
  <c r="FL280" i="11"/>
  <c r="FM280" i="11"/>
  <c r="FN280" i="11"/>
  <c r="FO280" i="11"/>
  <c r="FP280" i="11"/>
  <c r="FQ280" i="11"/>
  <c r="FR280" i="11"/>
  <c r="FS280" i="11"/>
  <c r="FT280" i="11"/>
  <c r="FU280" i="11"/>
  <c r="FV280" i="11"/>
  <c r="FW280" i="11"/>
  <c r="FX280" i="11"/>
  <c r="FY280" i="11"/>
  <c r="FZ280" i="11"/>
  <c r="GA280" i="11"/>
  <c r="GB280" i="11"/>
  <c r="GC280" i="11"/>
  <c r="GD280" i="11"/>
  <c r="GE280" i="11"/>
  <c r="GF280" i="11"/>
  <c r="GG280" i="11"/>
  <c r="GH280" i="11"/>
  <c r="GI280" i="11"/>
  <c r="GJ280" i="11"/>
  <c r="GK280" i="11"/>
  <c r="GL280" i="11"/>
  <c r="GM280" i="11"/>
  <c r="GN280" i="11"/>
  <c r="GO280" i="11"/>
  <c r="GP280" i="11"/>
  <c r="GQ280" i="11"/>
  <c r="GR280" i="11"/>
  <c r="GS280" i="11"/>
  <c r="GT280" i="11"/>
  <c r="GU280" i="11"/>
  <c r="GV280" i="11"/>
  <c r="GW280" i="11"/>
  <c r="GX280" i="11"/>
  <c r="GY280" i="11"/>
  <c r="GZ280" i="11"/>
  <c r="HA280" i="11"/>
  <c r="HB280" i="11"/>
  <c r="HC280" i="11"/>
  <c r="HD280" i="11"/>
  <c r="HE280" i="11"/>
  <c r="HF280" i="11"/>
  <c r="HG280" i="11"/>
  <c r="HH280" i="11"/>
  <c r="HI280" i="11"/>
  <c r="HJ280" i="11"/>
  <c r="HK280" i="11"/>
  <c r="HL280" i="11"/>
  <c r="HM280" i="11"/>
  <c r="HN280" i="11"/>
  <c r="HO280" i="11"/>
  <c r="HP280" i="11"/>
  <c r="HQ280" i="11"/>
  <c r="HR280" i="11"/>
  <c r="HS280" i="11"/>
  <c r="HT280" i="11"/>
  <c r="HU280" i="11"/>
  <c r="HV280" i="11"/>
  <c r="HW280" i="11"/>
  <c r="HX280" i="11"/>
  <c r="HY280" i="11"/>
  <c r="HZ280" i="11"/>
  <c r="IA280" i="11"/>
  <c r="IB280" i="11"/>
  <c r="IC280" i="11"/>
  <c r="ID280" i="11"/>
  <c r="IE280" i="11"/>
  <c r="IF280" i="11"/>
  <c r="IG280" i="11"/>
  <c r="IH280" i="11"/>
  <c r="II280" i="11"/>
  <c r="IJ280" i="11"/>
  <c r="IK280" i="11"/>
  <c r="IL280" i="11"/>
  <c r="IM280" i="11"/>
  <c r="IN280" i="11"/>
  <c r="IO280" i="11"/>
  <c r="IP280" i="11"/>
  <c r="IQ280" i="11"/>
  <c r="IR280" i="11"/>
  <c r="IS280" i="11"/>
  <c r="IT280" i="11"/>
  <c r="IU280" i="11"/>
  <c r="IV280" i="11"/>
  <c r="F281" i="11"/>
  <c r="G281" i="11"/>
  <c r="H281" i="11"/>
  <c r="I281" i="11"/>
  <c r="J281" i="11"/>
  <c r="K281" i="11"/>
  <c r="L281" i="11"/>
  <c r="M281" i="11"/>
  <c r="N281" i="11"/>
  <c r="O281" i="11"/>
  <c r="P281" i="11"/>
  <c r="Q281" i="11"/>
  <c r="R281" i="11"/>
  <c r="S281" i="11"/>
  <c r="T281" i="11"/>
  <c r="U281" i="11"/>
  <c r="V281" i="11"/>
  <c r="W281" i="11"/>
  <c r="X281" i="11"/>
  <c r="Y281" i="11"/>
  <c r="Z281" i="11"/>
  <c r="AA281" i="11"/>
  <c r="AB281" i="11"/>
  <c r="AC281" i="11"/>
  <c r="AD281" i="11"/>
  <c r="AE281" i="11"/>
  <c r="AF281" i="11"/>
  <c r="AG281" i="11"/>
  <c r="AH281" i="11"/>
  <c r="AI281" i="11"/>
  <c r="AJ281" i="11"/>
  <c r="AK281" i="11"/>
  <c r="AL281" i="11"/>
  <c r="AM281" i="11"/>
  <c r="AN281" i="11"/>
  <c r="AO281" i="11"/>
  <c r="AP281" i="11"/>
  <c r="AQ281" i="11"/>
  <c r="AR281" i="11"/>
  <c r="AS281" i="11"/>
  <c r="AT281" i="11"/>
  <c r="AU281" i="11"/>
  <c r="AV281" i="11"/>
  <c r="AW281" i="11"/>
  <c r="AX281" i="11"/>
  <c r="AY281" i="11"/>
  <c r="AZ281" i="11"/>
  <c r="BA281" i="11"/>
  <c r="BB281" i="11"/>
  <c r="BC281" i="11"/>
  <c r="BD281" i="11"/>
  <c r="BE281" i="11"/>
  <c r="BF281" i="11"/>
  <c r="BG281" i="11"/>
  <c r="BH281" i="11"/>
  <c r="BI281" i="11"/>
  <c r="BJ281" i="11"/>
  <c r="BK281" i="11"/>
  <c r="BL281" i="11"/>
  <c r="BM281" i="11"/>
  <c r="BN281" i="11"/>
  <c r="BO281" i="11"/>
  <c r="BP281" i="11"/>
  <c r="BQ281" i="11"/>
  <c r="BR281" i="11"/>
  <c r="BS281" i="11"/>
  <c r="BT281" i="11"/>
  <c r="BU281" i="11"/>
  <c r="BV281" i="11"/>
  <c r="BW281" i="11"/>
  <c r="BX281" i="11"/>
  <c r="BY281" i="11"/>
  <c r="BZ281" i="11"/>
  <c r="CA281" i="11"/>
  <c r="CB281" i="11"/>
  <c r="CC281" i="11"/>
  <c r="CD281" i="11"/>
  <c r="CE281" i="11"/>
  <c r="CF281" i="11"/>
  <c r="CG281" i="11"/>
  <c r="CH281" i="11"/>
  <c r="CI281" i="11"/>
  <c r="CJ281" i="11"/>
  <c r="CK281" i="11"/>
  <c r="CL281" i="11"/>
  <c r="CM281" i="11"/>
  <c r="CN281" i="11"/>
  <c r="CO281" i="11"/>
  <c r="CP281" i="11"/>
  <c r="CQ281" i="11"/>
  <c r="CR281" i="11"/>
  <c r="CS281" i="11"/>
  <c r="CT281" i="11"/>
  <c r="CU281" i="11"/>
  <c r="CV281" i="11"/>
  <c r="CW281" i="11"/>
  <c r="CX281" i="11"/>
  <c r="CY281" i="11"/>
  <c r="CZ281" i="11"/>
  <c r="DA281" i="11"/>
  <c r="DB281" i="11"/>
  <c r="DC281" i="11"/>
  <c r="DD281" i="11"/>
  <c r="DE281" i="11"/>
  <c r="DF281" i="11"/>
  <c r="DG281" i="11"/>
  <c r="DH281" i="11"/>
  <c r="DI281" i="11"/>
  <c r="DJ281" i="11"/>
  <c r="DK281" i="11"/>
  <c r="DL281" i="11"/>
  <c r="DM281" i="11"/>
  <c r="DN281" i="11"/>
  <c r="DO281" i="11"/>
  <c r="DP281" i="11"/>
  <c r="DQ281" i="11"/>
  <c r="DR281" i="11"/>
  <c r="DS281" i="11"/>
  <c r="DT281" i="11"/>
  <c r="DU281" i="11"/>
  <c r="DV281" i="11"/>
  <c r="DW281" i="11"/>
  <c r="DX281" i="11"/>
  <c r="DY281" i="11"/>
  <c r="DZ281" i="11"/>
  <c r="EA281" i="11"/>
  <c r="EB281" i="11"/>
  <c r="EC281" i="11"/>
  <c r="ED281" i="11"/>
  <c r="EE281" i="11"/>
  <c r="EF281" i="11"/>
  <c r="EG281" i="11"/>
  <c r="EH281" i="11"/>
  <c r="EI281" i="11"/>
  <c r="EJ281" i="11"/>
  <c r="EK281" i="11"/>
  <c r="EL281" i="11"/>
  <c r="EM281" i="11"/>
  <c r="EN281" i="11"/>
  <c r="EO281" i="11"/>
  <c r="EP281" i="11"/>
  <c r="EQ281" i="11"/>
  <c r="ER281" i="11"/>
  <c r="ES281" i="11"/>
  <c r="ET281" i="11"/>
  <c r="EU281" i="11"/>
  <c r="EV281" i="11"/>
  <c r="EW281" i="11"/>
  <c r="EX281" i="11"/>
  <c r="EY281" i="11"/>
  <c r="EZ281" i="11"/>
  <c r="FA281" i="11"/>
  <c r="FB281" i="11"/>
  <c r="FC281" i="11"/>
  <c r="FD281" i="11"/>
  <c r="FE281" i="11"/>
  <c r="FF281" i="11"/>
  <c r="FG281" i="11"/>
  <c r="FH281" i="11"/>
  <c r="FI281" i="11"/>
  <c r="FJ281" i="11"/>
  <c r="FK281" i="11"/>
  <c r="FL281" i="11"/>
  <c r="FM281" i="11"/>
  <c r="FN281" i="11"/>
  <c r="FO281" i="11"/>
  <c r="FP281" i="11"/>
  <c r="FQ281" i="11"/>
  <c r="FR281" i="11"/>
  <c r="FS281" i="11"/>
  <c r="FT281" i="11"/>
  <c r="FU281" i="11"/>
  <c r="FV281" i="11"/>
  <c r="FW281" i="11"/>
  <c r="FX281" i="11"/>
  <c r="FY281" i="11"/>
  <c r="FZ281" i="11"/>
  <c r="GA281" i="11"/>
  <c r="GB281" i="11"/>
  <c r="GC281" i="11"/>
  <c r="GD281" i="11"/>
  <c r="GE281" i="11"/>
  <c r="GF281" i="11"/>
  <c r="GG281" i="11"/>
  <c r="GH281" i="11"/>
  <c r="GI281" i="11"/>
  <c r="GJ281" i="11"/>
  <c r="GK281" i="11"/>
  <c r="GL281" i="11"/>
  <c r="GM281" i="11"/>
  <c r="GN281" i="11"/>
  <c r="GO281" i="11"/>
  <c r="GP281" i="11"/>
  <c r="GQ281" i="11"/>
  <c r="GR281" i="11"/>
  <c r="GS281" i="11"/>
  <c r="GT281" i="11"/>
  <c r="GU281" i="11"/>
  <c r="GV281" i="11"/>
  <c r="GW281" i="11"/>
  <c r="GX281" i="11"/>
  <c r="GY281" i="11"/>
  <c r="GZ281" i="11"/>
  <c r="HA281" i="11"/>
  <c r="HB281" i="11"/>
  <c r="HC281" i="11"/>
  <c r="HD281" i="11"/>
  <c r="HE281" i="11"/>
  <c r="HF281" i="11"/>
  <c r="HG281" i="11"/>
  <c r="HH281" i="11"/>
  <c r="HI281" i="11"/>
  <c r="HJ281" i="11"/>
  <c r="HK281" i="11"/>
  <c r="HL281" i="11"/>
  <c r="HM281" i="11"/>
  <c r="HN281" i="11"/>
  <c r="HO281" i="11"/>
  <c r="HP281" i="11"/>
  <c r="HQ281" i="11"/>
  <c r="HR281" i="11"/>
  <c r="HS281" i="11"/>
  <c r="HT281" i="11"/>
  <c r="HU281" i="11"/>
  <c r="HV281" i="11"/>
  <c r="HW281" i="11"/>
  <c r="HX281" i="11"/>
  <c r="HY281" i="11"/>
  <c r="HZ281" i="11"/>
  <c r="IA281" i="11"/>
  <c r="IB281" i="11"/>
  <c r="IC281" i="11"/>
  <c r="ID281" i="11"/>
  <c r="IE281" i="11"/>
  <c r="IF281" i="11"/>
  <c r="IG281" i="11"/>
  <c r="IH281" i="11"/>
  <c r="II281" i="11"/>
  <c r="IJ281" i="11"/>
  <c r="IK281" i="11"/>
  <c r="IL281" i="11"/>
  <c r="IM281" i="11"/>
  <c r="IN281" i="11"/>
  <c r="IO281" i="11"/>
  <c r="IP281" i="11"/>
  <c r="IQ281" i="11"/>
  <c r="IR281" i="11"/>
  <c r="IS281" i="11"/>
  <c r="IT281" i="11"/>
  <c r="IU281" i="11"/>
  <c r="IV281" i="11"/>
  <c r="F282" i="11"/>
  <c r="G282" i="11"/>
  <c r="H282" i="11"/>
  <c r="I282" i="11"/>
  <c r="J282" i="11"/>
  <c r="K282" i="11"/>
  <c r="L282" i="11"/>
  <c r="M282" i="11"/>
  <c r="N282" i="11"/>
  <c r="O282" i="11"/>
  <c r="P282" i="11"/>
  <c r="Q282" i="11"/>
  <c r="R282" i="11"/>
  <c r="S282" i="11"/>
  <c r="T282" i="11"/>
  <c r="U282" i="11"/>
  <c r="V282" i="11"/>
  <c r="W282" i="11"/>
  <c r="X282" i="11"/>
  <c r="Y282" i="11"/>
  <c r="Z282" i="11"/>
  <c r="AA282" i="11"/>
  <c r="AB282" i="11"/>
  <c r="AC282" i="11"/>
  <c r="AD282" i="11"/>
  <c r="AE282" i="11"/>
  <c r="AF282" i="11"/>
  <c r="AG282" i="11"/>
  <c r="AH282" i="11"/>
  <c r="AI282" i="11"/>
  <c r="AJ282" i="11"/>
  <c r="AK282" i="11"/>
  <c r="AL282" i="11"/>
  <c r="AM282" i="11"/>
  <c r="AN282" i="11"/>
  <c r="AO282" i="11"/>
  <c r="AP282" i="11"/>
  <c r="AQ282" i="11"/>
  <c r="AR282" i="11"/>
  <c r="AS282" i="11"/>
  <c r="AT282" i="11"/>
  <c r="AU282" i="11"/>
  <c r="AV282" i="11"/>
  <c r="AW282" i="11"/>
  <c r="AX282" i="11"/>
  <c r="AY282" i="11"/>
  <c r="AZ282" i="11"/>
  <c r="BA282" i="11"/>
  <c r="BB282" i="11"/>
  <c r="BC282" i="11"/>
  <c r="BD282" i="11"/>
  <c r="BE282" i="11"/>
  <c r="BF282" i="11"/>
  <c r="BG282" i="11"/>
  <c r="BH282" i="11"/>
  <c r="BI282" i="11"/>
  <c r="BJ282" i="11"/>
  <c r="BK282" i="11"/>
  <c r="BL282" i="11"/>
  <c r="BM282" i="11"/>
  <c r="BN282" i="11"/>
  <c r="BO282" i="11"/>
  <c r="BP282" i="11"/>
  <c r="BQ282" i="11"/>
  <c r="BR282" i="11"/>
  <c r="BS282" i="11"/>
  <c r="BT282" i="11"/>
  <c r="BU282" i="11"/>
  <c r="BV282" i="11"/>
  <c r="BW282" i="11"/>
  <c r="BX282" i="11"/>
  <c r="BY282" i="11"/>
  <c r="BZ282" i="11"/>
  <c r="CA282" i="11"/>
  <c r="CB282" i="11"/>
  <c r="CC282" i="11"/>
  <c r="CD282" i="11"/>
  <c r="CE282" i="11"/>
  <c r="CF282" i="11"/>
  <c r="CG282" i="11"/>
  <c r="CH282" i="11"/>
  <c r="CI282" i="11"/>
  <c r="CJ282" i="11"/>
  <c r="CK282" i="11"/>
  <c r="CL282" i="11"/>
  <c r="CM282" i="11"/>
  <c r="CN282" i="11"/>
  <c r="CO282" i="11"/>
  <c r="CP282" i="11"/>
  <c r="CQ282" i="11"/>
  <c r="CR282" i="11"/>
  <c r="CS282" i="11"/>
  <c r="CT282" i="11"/>
  <c r="CU282" i="11"/>
  <c r="CV282" i="11"/>
  <c r="CW282" i="11"/>
  <c r="CX282" i="11"/>
  <c r="CY282" i="11"/>
  <c r="CZ282" i="11"/>
  <c r="DA282" i="11"/>
  <c r="DB282" i="11"/>
  <c r="DC282" i="11"/>
  <c r="DD282" i="11"/>
  <c r="DE282" i="11"/>
  <c r="DF282" i="11"/>
  <c r="DG282" i="11"/>
  <c r="DH282" i="11"/>
  <c r="DI282" i="11"/>
  <c r="DJ282" i="11"/>
  <c r="DK282" i="11"/>
  <c r="DL282" i="11"/>
  <c r="DM282" i="11"/>
  <c r="DN282" i="11"/>
  <c r="DO282" i="11"/>
  <c r="DP282" i="11"/>
  <c r="DQ282" i="11"/>
  <c r="DR282" i="11"/>
  <c r="DS282" i="11"/>
  <c r="DT282" i="11"/>
  <c r="DU282" i="11"/>
  <c r="DV282" i="11"/>
  <c r="DW282" i="11"/>
  <c r="DX282" i="11"/>
  <c r="DY282" i="11"/>
  <c r="DZ282" i="11"/>
  <c r="EA282" i="11"/>
  <c r="EB282" i="11"/>
  <c r="EC282" i="11"/>
  <c r="ED282" i="11"/>
  <c r="EE282" i="11"/>
  <c r="EF282" i="11"/>
  <c r="EG282" i="11"/>
  <c r="EH282" i="11"/>
  <c r="EI282" i="11"/>
  <c r="EJ282" i="11"/>
  <c r="EK282" i="11"/>
  <c r="EL282" i="11"/>
  <c r="EM282" i="11"/>
  <c r="EN282" i="11"/>
  <c r="EO282" i="11"/>
  <c r="EP282" i="11"/>
  <c r="EQ282" i="11"/>
  <c r="ER282" i="11"/>
  <c r="ES282" i="11"/>
  <c r="ET282" i="11"/>
  <c r="EU282" i="11"/>
  <c r="EV282" i="11"/>
  <c r="EW282" i="11"/>
  <c r="EX282" i="11"/>
  <c r="EY282" i="11"/>
  <c r="EZ282" i="11"/>
  <c r="FA282" i="11"/>
  <c r="FB282" i="11"/>
  <c r="FC282" i="11"/>
  <c r="FD282" i="11"/>
  <c r="FE282" i="11"/>
  <c r="FF282" i="11"/>
  <c r="FG282" i="11"/>
  <c r="FH282" i="11"/>
  <c r="FI282" i="11"/>
  <c r="FJ282" i="11"/>
  <c r="FK282" i="11"/>
  <c r="FL282" i="11"/>
  <c r="FM282" i="11"/>
  <c r="FN282" i="11"/>
  <c r="FO282" i="11"/>
  <c r="FP282" i="11"/>
  <c r="FQ282" i="11"/>
  <c r="FR282" i="11"/>
  <c r="FS282" i="11"/>
  <c r="FT282" i="11"/>
  <c r="FU282" i="11"/>
  <c r="FV282" i="11"/>
  <c r="FW282" i="11"/>
  <c r="FX282" i="11"/>
  <c r="FY282" i="11"/>
  <c r="FZ282" i="11"/>
  <c r="GA282" i="11"/>
  <c r="GB282" i="11"/>
  <c r="GC282" i="11"/>
  <c r="GD282" i="11"/>
  <c r="GE282" i="11"/>
  <c r="GF282" i="11"/>
  <c r="GG282" i="11"/>
  <c r="GH282" i="11"/>
  <c r="GI282" i="11"/>
  <c r="GJ282" i="11"/>
  <c r="GK282" i="11"/>
  <c r="GL282" i="11"/>
  <c r="GM282" i="11"/>
  <c r="GN282" i="11"/>
  <c r="GO282" i="11"/>
  <c r="GP282" i="11"/>
  <c r="GQ282" i="11"/>
  <c r="GR282" i="11"/>
  <c r="GS282" i="11"/>
  <c r="GT282" i="11"/>
  <c r="GU282" i="11"/>
  <c r="GV282" i="11"/>
  <c r="GW282" i="11"/>
  <c r="GX282" i="11"/>
  <c r="GY282" i="11"/>
  <c r="GZ282" i="11"/>
  <c r="HA282" i="11"/>
  <c r="HB282" i="11"/>
  <c r="HC282" i="11"/>
  <c r="HD282" i="11"/>
  <c r="HE282" i="11"/>
  <c r="HF282" i="11"/>
  <c r="HG282" i="11"/>
  <c r="HH282" i="11"/>
  <c r="HI282" i="11"/>
  <c r="HJ282" i="11"/>
  <c r="HK282" i="11"/>
  <c r="HL282" i="11"/>
  <c r="HM282" i="11"/>
  <c r="HN282" i="11"/>
  <c r="HO282" i="11"/>
  <c r="HP282" i="11"/>
  <c r="HQ282" i="11"/>
  <c r="HR282" i="11"/>
  <c r="HS282" i="11"/>
  <c r="HT282" i="11"/>
  <c r="HU282" i="11"/>
  <c r="HV282" i="11"/>
  <c r="HW282" i="11"/>
  <c r="HX282" i="11"/>
  <c r="HY282" i="11"/>
  <c r="HZ282" i="11"/>
  <c r="IA282" i="11"/>
  <c r="IB282" i="11"/>
  <c r="IC282" i="11"/>
  <c r="ID282" i="11"/>
  <c r="IE282" i="11"/>
  <c r="IF282" i="11"/>
  <c r="IG282" i="11"/>
  <c r="IH282" i="11"/>
  <c r="II282" i="11"/>
  <c r="IJ282" i="11"/>
  <c r="IK282" i="11"/>
  <c r="IL282" i="11"/>
  <c r="IM282" i="11"/>
  <c r="IN282" i="11"/>
  <c r="IO282" i="11"/>
  <c r="IP282" i="11"/>
  <c r="IQ282" i="11"/>
  <c r="IR282" i="11"/>
  <c r="IS282" i="11"/>
  <c r="IT282" i="11"/>
  <c r="IU282" i="11"/>
  <c r="IV282" i="11"/>
  <c r="F283" i="11"/>
  <c r="G283" i="11"/>
  <c r="H283" i="11"/>
  <c r="I283" i="11"/>
  <c r="J283" i="11"/>
  <c r="K283" i="11"/>
  <c r="L283" i="11"/>
  <c r="M283" i="11"/>
  <c r="N283" i="11"/>
  <c r="O283" i="11"/>
  <c r="P283" i="11"/>
  <c r="Q283" i="11"/>
  <c r="R283" i="11"/>
  <c r="S283" i="11"/>
  <c r="T283" i="11"/>
  <c r="U283" i="11"/>
  <c r="V283" i="11"/>
  <c r="W283" i="11"/>
  <c r="X283" i="11"/>
  <c r="Y283" i="11"/>
  <c r="Z283" i="11"/>
  <c r="AA283" i="11"/>
  <c r="AB283" i="11"/>
  <c r="AC283" i="11"/>
  <c r="AD283" i="11"/>
  <c r="AE283" i="11"/>
  <c r="AF283" i="11"/>
  <c r="AG283" i="11"/>
  <c r="AH283" i="11"/>
  <c r="AI283" i="11"/>
  <c r="AJ283" i="11"/>
  <c r="AK283" i="11"/>
  <c r="AL283" i="11"/>
  <c r="AM283" i="11"/>
  <c r="AN283" i="11"/>
  <c r="AO283" i="11"/>
  <c r="AP283" i="11"/>
  <c r="AQ283" i="11"/>
  <c r="AR283" i="11"/>
  <c r="AS283" i="11"/>
  <c r="AT283" i="11"/>
  <c r="AU283" i="11"/>
  <c r="AV283" i="11"/>
  <c r="AW283" i="11"/>
  <c r="AX283" i="11"/>
  <c r="AY283" i="11"/>
  <c r="AZ283" i="11"/>
  <c r="BA283" i="11"/>
  <c r="BB283" i="11"/>
  <c r="BC283" i="11"/>
  <c r="BD283" i="11"/>
  <c r="BE283" i="11"/>
  <c r="BF283" i="11"/>
  <c r="BG283" i="11"/>
  <c r="BH283" i="11"/>
  <c r="BI283" i="11"/>
  <c r="BJ283" i="11"/>
  <c r="BK283" i="11"/>
  <c r="BL283" i="11"/>
  <c r="BM283" i="11"/>
  <c r="BN283" i="11"/>
  <c r="BO283" i="11"/>
  <c r="BP283" i="11"/>
  <c r="BQ283" i="11"/>
  <c r="BR283" i="11"/>
  <c r="BS283" i="11"/>
  <c r="BT283" i="11"/>
  <c r="BU283" i="11"/>
  <c r="BV283" i="11"/>
  <c r="BW283" i="11"/>
  <c r="BX283" i="11"/>
  <c r="BY283" i="11"/>
  <c r="BZ283" i="11"/>
  <c r="CA283" i="11"/>
  <c r="CB283" i="11"/>
  <c r="CC283" i="11"/>
  <c r="CD283" i="11"/>
  <c r="CE283" i="11"/>
  <c r="CF283" i="11"/>
  <c r="CG283" i="11"/>
  <c r="CH283" i="11"/>
  <c r="CI283" i="11"/>
  <c r="CJ283" i="11"/>
  <c r="CK283" i="11"/>
  <c r="CL283" i="11"/>
  <c r="CM283" i="11"/>
  <c r="CN283" i="11"/>
  <c r="CO283" i="11"/>
  <c r="CP283" i="11"/>
  <c r="CQ283" i="11"/>
  <c r="CR283" i="11"/>
  <c r="CS283" i="11"/>
  <c r="CT283" i="11"/>
  <c r="CU283" i="11"/>
  <c r="CV283" i="11"/>
  <c r="CW283" i="11"/>
  <c r="CX283" i="11"/>
  <c r="CY283" i="11"/>
  <c r="CZ283" i="11"/>
  <c r="DA283" i="11"/>
  <c r="DB283" i="11"/>
  <c r="DC283" i="11"/>
  <c r="DD283" i="11"/>
  <c r="DE283" i="11"/>
  <c r="DF283" i="11"/>
  <c r="DG283" i="11"/>
  <c r="DH283" i="11"/>
  <c r="DI283" i="11"/>
  <c r="DJ283" i="11"/>
  <c r="DK283" i="11"/>
  <c r="DL283" i="11"/>
  <c r="DM283" i="11"/>
  <c r="DN283" i="11"/>
  <c r="DO283" i="11"/>
  <c r="DP283" i="11"/>
  <c r="DQ283" i="11"/>
  <c r="DR283" i="11"/>
  <c r="DS283" i="11"/>
  <c r="DT283" i="11"/>
  <c r="DU283" i="11"/>
  <c r="DV283" i="11"/>
  <c r="DW283" i="11"/>
  <c r="DX283" i="11"/>
  <c r="DY283" i="11"/>
  <c r="DZ283" i="11"/>
  <c r="EA283" i="11"/>
  <c r="EB283" i="11"/>
  <c r="EC283" i="11"/>
  <c r="ED283" i="11"/>
  <c r="EE283" i="11"/>
  <c r="EF283" i="11"/>
  <c r="EG283" i="11"/>
  <c r="EH283" i="11"/>
  <c r="EI283" i="11"/>
  <c r="EJ283" i="11"/>
  <c r="EK283" i="11"/>
  <c r="EL283" i="11"/>
  <c r="EM283" i="11"/>
  <c r="EN283" i="11"/>
  <c r="EO283" i="11"/>
  <c r="EP283" i="11"/>
  <c r="EQ283" i="11"/>
  <c r="ER283" i="11"/>
  <c r="ES283" i="11"/>
  <c r="ET283" i="11"/>
  <c r="EU283" i="11"/>
  <c r="EV283" i="11"/>
  <c r="EW283" i="11"/>
  <c r="EX283" i="11"/>
  <c r="EY283" i="11"/>
  <c r="EZ283" i="11"/>
  <c r="FA283" i="11"/>
  <c r="FB283" i="11"/>
  <c r="FC283" i="11"/>
  <c r="FD283" i="11"/>
  <c r="FE283" i="11"/>
  <c r="FF283" i="11"/>
  <c r="FG283" i="11"/>
  <c r="FH283" i="11"/>
  <c r="FI283" i="11"/>
  <c r="FJ283" i="11"/>
  <c r="FK283" i="11"/>
  <c r="FL283" i="11"/>
  <c r="FM283" i="11"/>
  <c r="FN283" i="11"/>
  <c r="FO283" i="11"/>
  <c r="FP283" i="11"/>
  <c r="FQ283" i="11"/>
  <c r="FR283" i="11"/>
  <c r="FS283" i="11"/>
  <c r="FT283" i="11"/>
  <c r="FU283" i="11"/>
  <c r="FV283" i="11"/>
  <c r="FW283" i="11"/>
  <c r="FX283" i="11"/>
  <c r="FY283" i="11"/>
  <c r="FZ283" i="11"/>
  <c r="GA283" i="11"/>
  <c r="GB283" i="11"/>
  <c r="GC283" i="11"/>
  <c r="GD283" i="11"/>
  <c r="GE283" i="11"/>
  <c r="GF283" i="11"/>
  <c r="GG283" i="11"/>
  <c r="GH283" i="11"/>
  <c r="GI283" i="11"/>
  <c r="GJ283" i="11"/>
  <c r="GK283" i="11"/>
  <c r="GL283" i="11"/>
  <c r="GM283" i="11"/>
  <c r="GN283" i="11"/>
  <c r="GO283" i="11"/>
  <c r="GP283" i="11"/>
  <c r="GQ283" i="11"/>
  <c r="GR283" i="11"/>
  <c r="GS283" i="11"/>
  <c r="GT283" i="11"/>
  <c r="GU283" i="11"/>
  <c r="GV283" i="11"/>
  <c r="GW283" i="11"/>
  <c r="GX283" i="11"/>
  <c r="GY283" i="11"/>
  <c r="GZ283" i="11"/>
  <c r="HA283" i="11"/>
  <c r="HB283" i="11"/>
  <c r="HC283" i="11"/>
  <c r="HD283" i="11"/>
  <c r="HE283" i="11"/>
  <c r="HF283" i="11"/>
  <c r="HG283" i="11"/>
  <c r="HH283" i="11"/>
  <c r="HI283" i="11"/>
  <c r="HJ283" i="11"/>
  <c r="HK283" i="11"/>
  <c r="HL283" i="11"/>
  <c r="HM283" i="11"/>
  <c r="HN283" i="11"/>
  <c r="HO283" i="11"/>
  <c r="HP283" i="11"/>
  <c r="HQ283" i="11"/>
  <c r="HR283" i="11"/>
  <c r="HS283" i="11"/>
  <c r="HT283" i="11"/>
  <c r="HU283" i="11"/>
  <c r="HV283" i="11"/>
  <c r="HW283" i="11"/>
  <c r="HX283" i="11"/>
  <c r="HY283" i="11"/>
  <c r="HZ283" i="11"/>
  <c r="IA283" i="11"/>
  <c r="IB283" i="11"/>
  <c r="IC283" i="11"/>
  <c r="ID283" i="11"/>
  <c r="IE283" i="11"/>
  <c r="IF283" i="11"/>
  <c r="IG283" i="11"/>
  <c r="IH283" i="11"/>
  <c r="II283" i="11"/>
  <c r="IJ283" i="11"/>
  <c r="IK283" i="11"/>
  <c r="IL283" i="11"/>
  <c r="IM283" i="11"/>
  <c r="IN283" i="11"/>
  <c r="IO283" i="11"/>
  <c r="IP283" i="11"/>
  <c r="IQ283" i="11"/>
  <c r="IR283" i="11"/>
  <c r="IS283" i="11"/>
  <c r="IT283" i="11"/>
  <c r="IU283" i="11"/>
  <c r="IV283" i="11"/>
  <c r="F284" i="11"/>
  <c r="G284" i="11"/>
  <c r="H284" i="11"/>
  <c r="I284" i="11"/>
  <c r="J284" i="11"/>
  <c r="K284" i="11"/>
  <c r="L284" i="11"/>
  <c r="M284" i="11"/>
  <c r="N284" i="11"/>
  <c r="O284" i="11"/>
  <c r="P284" i="11"/>
  <c r="Q284" i="11"/>
  <c r="R284" i="11"/>
  <c r="S284" i="11"/>
  <c r="T284" i="11"/>
  <c r="U284" i="11"/>
  <c r="V284" i="11"/>
  <c r="W284" i="11"/>
  <c r="X284" i="11"/>
  <c r="Y284" i="11"/>
  <c r="Z284" i="11"/>
  <c r="AA284" i="11"/>
  <c r="AB284" i="11"/>
  <c r="AC284" i="11"/>
  <c r="AD284" i="11"/>
  <c r="AE284" i="11"/>
  <c r="AF284" i="11"/>
  <c r="AG284" i="11"/>
  <c r="AH284" i="11"/>
  <c r="AI284" i="11"/>
  <c r="AJ284" i="11"/>
  <c r="AK284" i="11"/>
  <c r="AL284" i="11"/>
  <c r="AM284" i="11"/>
  <c r="AN284" i="11"/>
  <c r="AO284" i="11"/>
  <c r="AP284" i="11"/>
  <c r="AQ284" i="11"/>
  <c r="AR284" i="11"/>
  <c r="AS284" i="11"/>
  <c r="AT284" i="11"/>
  <c r="AU284" i="11"/>
  <c r="AV284" i="11"/>
  <c r="AW284" i="11"/>
  <c r="AX284" i="11"/>
  <c r="AY284" i="11"/>
  <c r="AZ284" i="11"/>
  <c r="BA284" i="11"/>
  <c r="BB284" i="11"/>
  <c r="BC284" i="11"/>
  <c r="BD284" i="11"/>
  <c r="BE284" i="11"/>
  <c r="BF284" i="11"/>
  <c r="BG284" i="11"/>
  <c r="BH284" i="11"/>
  <c r="BI284" i="11"/>
  <c r="BJ284" i="11"/>
  <c r="BK284" i="11"/>
  <c r="BL284" i="11"/>
  <c r="BM284" i="11"/>
  <c r="BN284" i="11"/>
  <c r="BO284" i="11"/>
  <c r="BP284" i="11"/>
  <c r="BQ284" i="11"/>
  <c r="BR284" i="11"/>
  <c r="BS284" i="11"/>
  <c r="BT284" i="11"/>
  <c r="BU284" i="11"/>
  <c r="BV284" i="11"/>
  <c r="BW284" i="11"/>
  <c r="BX284" i="11"/>
  <c r="BY284" i="11"/>
  <c r="BZ284" i="11"/>
  <c r="CA284" i="11"/>
  <c r="CB284" i="11"/>
  <c r="CC284" i="11"/>
  <c r="CD284" i="11"/>
  <c r="CE284" i="11"/>
  <c r="CF284" i="11"/>
  <c r="CG284" i="11"/>
  <c r="CH284" i="11"/>
  <c r="CI284" i="11"/>
  <c r="CJ284" i="11"/>
  <c r="CK284" i="11"/>
  <c r="CL284" i="11"/>
  <c r="CM284" i="11"/>
  <c r="CN284" i="11"/>
  <c r="CO284" i="11"/>
  <c r="CP284" i="11"/>
  <c r="CQ284" i="11"/>
  <c r="CR284" i="11"/>
  <c r="CS284" i="11"/>
  <c r="CT284" i="11"/>
  <c r="CU284" i="11"/>
  <c r="CV284" i="11"/>
  <c r="CW284" i="11"/>
  <c r="CX284" i="11"/>
  <c r="CY284" i="11"/>
  <c r="CZ284" i="11"/>
  <c r="DA284" i="11"/>
  <c r="DB284" i="11"/>
  <c r="DC284" i="11"/>
  <c r="DD284" i="11"/>
  <c r="DE284" i="11"/>
  <c r="DF284" i="11"/>
  <c r="DG284" i="11"/>
  <c r="DH284" i="11"/>
  <c r="DI284" i="11"/>
  <c r="DJ284" i="11"/>
  <c r="DK284" i="11"/>
  <c r="DL284" i="11"/>
  <c r="DM284" i="11"/>
  <c r="DN284" i="11"/>
  <c r="DO284" i="11"/>
  <c r="DP284" i="11"/>
  <c r="DQ284" i="11"/>
  <c r="DR284" i="11"/>
  <c r="DS284" i="11"/>
  <c r="DT284" i="11"/>
  <c r="DU284" i="11"/>
  <c r="DV284" i="11"/>
  <c r="DW284" i="11"/>
  <c r="DX284" i="11"/>
  <c r="DY284" i="11"/>
  <c r="DZ284" i="11"/>
  <c r="EA284" i="11"/>
  <c r="EB284" i="11"/>
  <c r="EC284" i="11"/>
  <c r="ED284" i="11"/>
  <c r="EE284" i="11"/>
  <c r="EF284" i="11"/>
  <c r="EG284" i="11"/>
  <c r="EH284" i="11"/>
  <c r="EI284" i="11"/>
  <c r="EJ284" i="11"/>
  <c r="EK284" i="11"/>
  <c r="EL284" i="11"/>
  <c r="EM284" i="11"/>
  <c r="EN284" i="11"/>
  <c r="EO284" i="11"/>
  <c r="EP284" i="11"/>
  <c r="EQ284" i="11"/>
  <c r="ER284" i="11"/>
  <c r="ES284" i="11"/>
  <c r="ET284" i="11"/>
  <c r="EU284" i="11"/>
  <c r="EV284" i="11"/>
  <c r="EW284" i="11"/>
  <c r="EX284" i="11"/>
  <c r="EY284" i="11"/>
  <c r="EZ284" i="11"/>
  <c r="FA284" i="11"/>
  <c r="FB284" i="11"/>
  <c r="FC284" i="11"/>
  <c r="FD284" i="11"/>
  <c r="FE284" i="11"/>
  <c r="FF284" i="11"/>
  <c r="FG284" i="11"/>
  <c r="FH284" i="11"/>
  <c r="FI284" i="11"/>
  <c r="FJ284" i="11"/>
  <c r="FK284" i="11"/>
  <c r="FL284" i="11"/>
  <c r="FM284" i="11"/>
  <c r="FN284" i="11"/>
  <c r="FO284" i="11"/>
  <c r="FP284" i="11"/>
  <c r="FQ284" i="11"/>
  <c r="FR284" i="11"/>
  <c r="FS284" i="11"/>
  <c r="FT284" i="11"/>
  <c r="FU284" i="11"/>
  <c r="FV284" i="11"/>
  <c r="FW284" i="11"/>
  <c r="FX284" i="11"/>
  <c r="FY284" i="11"/>
  <c r="FZ284" i="11"/>
  <c r="GA284" i="11"/>
  <c r="GB284" i="11"/>
  <c r="GC284" i="11"/>
  <c r="GD284" i="11"/>
  <c r="GE284" i="11"/>
  <c r="GF284" i="11"/>
  <c r="GG284" i="11"/>
  <c r="GH284" i="11"/>
  <c r="GI284" i="11"/>
  <c r="GJ284" i="11"/>
  <c r="GK284" i="11"/>
  <c r="GL284" i="11"/>
  <c r="GM284" i="11"/>
  <c r="GN284" i="11"/>
  <c r="GO284" i="11"/>
  <c r="GP284" i="11"/>
  <c r="GQ284" i="11"/>
  <c r="GR284" i="11"/>
  <c r="GS284" i="11"/>
  <c r="GT284" i="11"/>
  <c r="GU284" i="11"/>
  <c r="GV284" i="11"/>
  <c r="GW284" i="11"/>
  <c r="GX284" i="11"/>
  <c r="GY284" i="11"/>
  <c r="GZ284" i="11"/>
  <c r="HA284" i="11"/>
  <c r="HB284" i="11"/>
  <c r="HC284" i="11"/>
  <c r="HD284" i="11"/>
  <c r="HE284" i="11"/>
  <c r="HF284" i="11"/>
  <c r="HG284" i="11"/>
  <c r="HH284" i="11"/>
  <c r="HI284" i="11"/>
  <c r="HJ284" i="11"/>
  <c r="HK284" i="11"/>
  <c r="HL284" i="11"/>
  <c r="HM284" i="11"/>
  <c r="HN284" i="11"/>
  <c r="HO284" i="11"/>
  <c r="HP284" i="11"/>
  <c r="HQ284" i="11"/>
  <c r="HR284" i="11"/>
  <c r="HS284" i="11"/>
  <c r="HT284" i="11"/>
  <c r="HU284" i="11"/>
  <c r="HV284" i="11"/>
  <c r="HW284" i="11"/>
  <c r="HX284" i="11"/>
  <c r="HY284" i="11"/>
  <c r="HZ284" i="11"/>
  <c r="IA284" i="11"/>
  <c r="IB284" i="11"/>
  <c r="IC284" i="11"/>
  <c r="ID284" i="11"/>
  <c r="IE284" i="11"/>
  <c r="IF284" i="11"/>
  <c r="IG284" i="11"/>
  <c r="IH284" i="11"/>
  <c r="II284" i="11"/>
  <c r="IJ284" i="11"/>
  <c r="IK284" i="11"/>
  <c r="IL284" i="11"/>
  <c r="IM284" i="11"/>
  <c r="IN284" i="11"/>
  <c r="IO284" i="11"/>
  <c r="IP284" i="11"/>
  <c r="IQ284" i="11"/>
  <c r="IR284" i="11"/>
  <c r="IS284" i="11"/>
  <c r="IT284" i="11"/>
  <c r="IU284" i="11"/>
  <c r="IV284" i="11"/>
  <c r="F285" i="11"/>
  <c r="G285" i="11"/>
  <c r="H285" i="11"/>
  <c r="I285" i="11"/>
  <c r="J285" i="11"/>
  <c r="K285" i="11"/>
  <c r="L285" i="11"/>
  <c r="M285" i="11"/>
  <c r="N285" i="11"/>
  <c r="O285" i="11"/>
  <c r="P285" i="11"/>
  <c r="Q285" i="11"/>
  <c r="R285" i="11"/>
  <c r="S285" i="11"/>
  <c r="T285" i="11"/>
  <c r="U285" i="11"/>
  <c r="V285" i="11"/>
  <c r="W285" i="11"/>
  <c r="X285" i="11"/>
  <c r="Y285" i="11"/>
  <c r="Z285" i="11"/>
  <c r="AA285" i="11"/>
  <c r="AB285" i="11"/>
  <c r="AC285" i="11"/>
  <c r="AD285" i="11"/>
  <c r="AE285" i="11"/>
  <c r="AF285" i="11"/>
  <c r="AG285" i="11"/>
  <c r="AH285" i="11"/>
  <c r="AI285" i="11"/>
  <c r="AJ285" i="11"/>
  <c r="AK285" i="11"/>
  <c r="AL285" i="11"/>
  <c r="AM285" i="11"/>
  <c r="AN285" i="11"/>
  <c r="AO285" i="11"/>
  <c r="AP285" i="11"/>
  <c r="AQ285" i="11"/>
  <c r="AR285" i="11"/>
  <c r="AS285" i="11"/>
  <c r="AT285" i="11"/>
  <c r="AU285" i="11"/>
  <c r="AV285" i="11"/>
  <c r="AW285" i="11"/>
  <c r="AX285" i="11"/>
  <c r="AY285" i="11"/>
  <c r="AZ285" i="11"/>
  <c r="BA285" i="11"/>
  <c r="BB285" i="11"/>
  <c r="BC285" i="11"/>
  <c r="BD285" i="11"/>
  <c r="BE285" i="11"/>
  <c r="BF285" i="11"/>
  <c r="BG285" i="11"/>
  <c r="BH285" i="11"/>
  <c r="BI285" i="11"/>
  <c r="BJ285" i="11"/>
  <c r="BK285" i="11"/>
  <c r="BL285" i="11"/>
  <c r="BM285" i="11"/>
  <c r="BN285" i="11"/>
  <c r="BO285" i="11"/>
  <c r="BP285" i="11"/>
  <c r="BQ285" i="11"/>
  <c r="BR285" i="11"/>
  <c r="BS285" i="11"/>
  <c r="BT285" i="11"/>
  <c r="BU285" i="11"/>
  <c r="BV285" i="11"/>
  <c r="BW285" i="11"/>
  <c r="BX285" i="11"/>
  <c r="BY285" i="11"/>
  <c r="BZ285" i="11"/>
  <c r="CA285" i="11"/>
  <c r="CB285" i="11"/>
  <c r="CC285" i="11"/>
  <c r="CD285" i="11"/>
  <c r="CE285" i="11"/>
  <c r="CF285" i="11"/>
  <c r="CG285" i="11"/>
  <c r="CH285" i="11"/>
  <c r="CI285" i="11"/>
  <c r="CJ285" i="11"/>
  <c r="CK285" i="11"/>
  <c r="CL285" i="11"/>
  <c r="CM285" i="11"/>
  <c r="CN285" i="11"/>
  <c r="CO285" i="11"/>
  <c r="CP285" i="11"/>
  <c r="CQ285" i="11"/>
  <c r="CR285" i="11"/>
  <c r="CS285" i="11"/>
  <c r="CT285" i="11"/>
  <c r="CU285" i="11"/>
  <c r="CV285" i="11"/>
  <c r="CW285" i="11"/>
  <c r="CX285" i="11"/>
  <c r="CY285" i="11"/>
  <c r="CZ285" i="11"/>
  <c r="DA285" i="11"/>
  <c r="DB285" i="11"/>
  <c r="DC285" i="11"/>
  <c r="DD285" i="11"/>
  <c r="DE285" i="11"/>
  <c r="DF285" i="11"/>
  <c r="DG285" i="11"/>
  <c r="DH285" i="11"/>
  <c r="DI285" i="11"/>
  <c r="DJ285" i="11"/>
  <c r="DK285" i="11"/>
  <c r="DL285" i="11"/>
  <c r="DM285" i="11"/>
  <c r="DN285" i="11"/>
  <c r="DO285" i="11"/>
  <c r="DP285" i="11"/>
  <c r="DQ285" i="11"/>
  <c r="DR285" i="11"/>
  <c r="DS285" i="11"/>
  <c r="DT285" i="11"/>
  <c r="DU285" i="11"/>
  <c r="DV285" i="11"/>
  <c r="DW285" i="11"/>
  <c r="DX285" i="11"/>
  <c r="DY285" i="11"/>
  <c r="DZ285" i="11"/>
  <c r="EA285" i="11"/>
  <c r="EB285" i="11"/>
  <c r="EC285" i="11"/>
  <c r="ED285" i="11"/>
  <c r="EE285" i="11"/>
  <c r="EF285" i="11"/>
  <c r="EG285" i="11"/>
  <c r="EH285" i="11"/>
  <c r="EI285" i="11"/>
  <c r="EJ285" i="11"/>
  <c r="EK285" i="11"/>
  <c r="EL285" i="11"/>
  <c r="EM285" i="11"/>
  <c r="EN285" i="11"/>
  <c r="EO285" i="11"/>
  <c r="EP285" i="11"/>
  <c r="EQ285" i="11"/>
  <c r="ER285" i="11"/>
  <c r="ES285" i="11"/>
  <c r="ET285" i="11"/>
  <c r="EU285" i="11"/>
  <c r="EV285" i="11"/>
  <c r="EW285" i="11"/>
  <c r="EX285" i="11"/>
  <c r="EY285" i="11"/>
  <c r="EZ285" i="11"/>
  <c r="FA285" i="11"/>
  <c r="FB285" i="11"/>
  <c r="FC285" i="11"/>
  <c r="FD285" i="11"/>
  <c r="FE285" i="11"/>
  <c r="FF285" i="11"/>
  <c r="FG285" i="11"/>
  <c r="FH285" i="11"/>
  <c r="FI285" i="11"/>
  <c r="FJ285" i="11"/>
  <c r="FK285" i="11"/>
  <c r="FL285" i="11"/>
  <c r="FM285" i="11"/>
  <c r="FN285" i="11"/>
  <c r="FO285" i="11"/>
  <c r="FP285" i="11"/>
  <c r="FQ285" i="11"/>
  <c r="FR285" i="11"/>
  <c r="FS285" i="11"/>
  <c r="FT285" i="11"/>
  <c r="FU285" i="11"/>
  <c r="FV285" i="11"/>
  <c r="FW285" i="11"/>
  <c r="FX285" i="11"/>
  <c r="FY285" i="11"/>
  <c r="FZ285" i="11"/>
  <c r="GA285" i="11"/>
  <c r="GB285" i="11"/>
  <c r="GC285" i="11"/>
  <c r="GD285" i="11"/>
  <c r="GE285" i="11"/>
  <c r="GF285" i="11"/>
  <c r="GG285" i="11"/>
  <c r="GH285" i="11"/>
  <c r="GI285" i="11"/>
  <c r="GJ285" i="11"/>
  <c r="GK285" i="11"/>
  <c r="GL285" i="11"/>
  <c r="GM285" i="11"/>
  <c r="GN285" i="11"/>
  <c r="GO285" i="11"/>
  <c r="GP285" i="11"/>
  <c r="GQ285" i="11"/>
  <c r="GR285" i="11"/>
  <c r="GS285" i="11"/>
  <c r="GT285" i="11"/>
  <c r="GU285" i="11"/>
  <c r="GV285" i="11"/>
  <c r="GW285" i="11"/>
  <c r="GX285" i="11"/>
  <c r="GY285" i="11"/>
  <c r="GZ285" i="11"/>
  <c r="HA285" i="11"/>
  <c r="HB285" i="11"/>
  <c r="HC285" i="11"/>
  <c r="HD285" i="11"/>
  <c r="HE285" i="11"/>
  <c r="HF285" i="11"/>
  <c r="HG285" i="11"/>
  <c r="HH285" i="11"/>
  <c r="HI285" i="11"/>
  <c r="HJ285" i="11"/>
  <c r="HK285" i="11"/>
  <c r="HL285" i="11"/>
  <c r="HM285" i="11"/>
  <c r="HN285" i="11"/>
  <c r="HO285" i="11"/>
  <c r="HP285" i="11"/>
  <c r="HQ285" i="11"/>
  <c r="HR285" i="11"/>
  <c r="HS285" i="11"/>
  <c r="HT285" i="11"/>
  <c r="HU285" i="11"/>
  <c r="HV285" i="11"/>
  <c r="HW285" i="11"/>
  <c r="HX285" i="11"/>
  <c r="HY285" i="11"/>
  <c r="HZ285" i="11"/>
  <c r="IA285" i="11"/>
  <c r="IB285" i="11"/>
  <c r="IC285" i="11"/>
  <c r="ID285" i="11"/>
  <c r="IE285" i="11"/>
  <c r="IF285" i="11"/>
  <c r="IG285" i="11"/>
  <c r="IH285" i="11"/>
  <c r="II285" i="11"/>
  <c r="IJ285" i="11"/>
  <c r="IK285" i="11"/>
  <c r="IL285" i="11"/>
  <c r="IM285" i="11"/>
  <c r="IN285" i="11"/>
  <c r="IO285" i="11"/>
  <c r="IP285" i="11"/>
  <c r="IQ285" i="11"/>
  <c r="IR285" i="11"/>
  <c r="IS285" i="11"/>
  <c r="IT285" i="11"/>
  <c r="IU285" i="11"/>
  <c r="IV285" i="11"/>
  <c r="F286" i="11"/>
  <c r="G286" i="11"/>
  <c r="H286" i="11"/>
  <c r="I286" i="11"/>
  <c r="J286" i="11"/>
  <c r="K286" i="11"/>
  <c r="L286" i="11"/>
  <c r="M286" i="11"/>
  <c r="N286" i="11"/>
  <c r="O286" i="11"/>
  <c r="P286" i="11"/>
  <c r="Q286" i="11"/>
  <c r="R286" i="11"/>
  <c r="S286" i="11"/>
  <c r="T286" i="11"/>
  <c r="U286" i="11"/>
  <c r="V286" i="11"/>
  <c r="W286" i="11"/>
  <c r="X286" i="11"/>
  <c r="Y286" i="11"/>
  <c r="Z286" i="11"/>
  <c r="AA286" i="11"/>
  <c r="AB286" i="11"/>
  <c r="AC286" i="11"/>
  <c r="AD286" i="11"/>
  <c r="AE286" i="11"/>
  <c r="AF286" i="11"/>
  <c r="AG286" i="11"/>
  <c r="AH286" i="11"/>
  <c r="AI286" i="11"/>
  <c r="AJ286" i="11"/>
  <c r="AK286" i="11"/>
  <c r="AL286" i="11"/>
  <c r="AM286" i="11"/>
  <c r="AN286" i="11"/>
  <c r="AO286" i="11"/>
  <c r="AP286" i="11"/>
  <c r="AQ286" i="11"/>
  <c r="AR286" i="11"/>
  <c r="AS286" i="11"/>
  <c r="AT286" i="11"/>
  <c r="AU286" i="11"/>
  <c r="AV286" i="11"/>
  <c r="AW286" i="11"/>
  <c r="AX286" i="11"/>
  <c r="AY286" i="11"/>
  <c r="AZ286" i="11"/>
  <c r="BA286" i="11"/>
  <c r="BB286" i="11"/>
  <c r="BC286" i="11"/>
  <c r="BD286" i="11"/>
  <c r="BE286" i="11"/>
  <c r="BF286" i="11"/>
  <c r="BG286" i="11"/>
  <c r="BH286" i="11"/>
  <c r="BI286" i="11"/>
  <c r="BJ286" i="11"/>
  <c r="BK286" i="11"/>
  <c r="BL286" i="11"/>
  <c r="BM286" i="11"/>
  <c r="BN286" i="11"/>
  <c r="BO286" i="11"/>
  <c r="BP286" i="11"/>
  <c r="BQ286" i="11"/>
  <c r="BR286" i="11"/>
  <c r="BS286" i="11"/>
  <c r="BT286" i="11"/>
  <c r="BU286" i="11"/>
  <c r="BV286" i="11"/>
  <c r="BW286" i="11"/>
  <c r="BX286" i="11"/>
  <c r="BY286" i="11"/>
  <c r="BZ286" i="11"/>
  <c r="CA286" i="11"/>
  <c r="CB286" i="11"/>
  <c r="CC286" i="11"/>
  <c r="CD286" i="11"/>
  <c r="CE286" i="11"/>
  <c r="CF286" i="11"/>
  <c r="CG286" i="11"/>
  <c r="CH286" i="11"/>
  <c r="CI286" i="11"/>
  <c r="CJ286" i="11"/>
  <c r="CK286" i="11"/>
  <c r="CL286" i="11"/>
  <c r="CM286" i="11"/>
  <c r="CN286" i="11"/>
  <c r="CO286" i="11"/>
  <c r="CP286" i="11"/>
  <c r="CQ286" i="11"/>
  <c r="CR286" i="11"/>
  <c r="CS286" i="11"/>
  <c r="CT286" i="11"/>
  <c r="CU286" i="11"/>
  <c r="CV286" i="11"/>
  <c r="CW286" i="11"/>
  <c r="CX286" i="11"/>
  <c r="CY286" i="11"/>
  <c r="CZ286" i="11"/>
  <c r="DA286" i="11"/>
  <c r="DB286" i="11"/>
  <c r="DC286" i="11"/>
  <c r="DD286" i="11"/>
  <c r="DE286" i="11"/>
  <c r="DF286" i="11"/>
  <c r="DG286" i="11"/>
  <c r="DH286" i="11"/>
  <c r="DI286" i="11"/>
  <c r="DJ286" i="11"/>
  <c r="DK286" i="11"/>
  <c r="DL286" i="11"/>
  <c r="DM286" i="11"/>
  <c r="DN286" i="11"/>
  <c r="DO286" i="11"/>
  <c r="DP286" i="11"/>
  <c r="DQ286" i="11"/>
  <c r="DR286" i="11"/>
  <c r="DS286" i="11"/>
  <c r="DT286" i="11"/>
  <c r="DU286" i="11"/>
  <c r="DV286" i="11"/>
  <c r="DW286" i="11"/>
  <c r="DX286" i="11"/>
  <c r="DY286" i="11"/>
  <c r="DZ286" i="11"/>
  <c r="EA286" i="11"/>
  <c r="EB286" i="11"/>
  <c r="EC286" i="11"/>
  <c r="ED286" i="11"/>
  <c r="EE286" i="11"/>
  <c r="EF286" i="11"/>
  <c r="EG286" i="11"/>
  <c r="EH286" i="11"/>
  <c r="EI286" i="11"/>
  <c r="EJ286" i="11"/>
  <c r="EK286" i="11"/>
  <c r="EL286" i="11"/>
  <c r="EM286" i="11"/>
  <c r="EN286" i="11"/>
  <c r="EO286" i="11"/>
  <c r="EP286" i="11"/>
  <c r="EQ286" i="11"/>
  <c r="ER286" i="11"/>
  <c r="ES286" i="11"/>
  <c r="ET286" i="11"/>
  <c r="EU286" i="11"/>
  <c r="EV286" i="11"/>
  <c r="EW286" i="11"/>
  <c r="EX286" i="11"/>
  <c r="EY286" i="11"/>
  <c r="EZ286" i="11"/>
  <c r="FA286" i="11"/>
  <c r="FB286" i="11"/>
  <c r="FC286" i="11"/>
  <c r="FD286" i="11"/>
  <c r="FE286" i="11"/>
  <c r="FF286" i="11"/>
  <c r="FG286" i="11"/>
  <c r="FH286" i="11"/>
  <c r="FI286" i="11"/>
  <c r="FJ286" i="11"/>
  <c r="FK286" i="11"/>
  <c r="FL286" i="11"/>
  <c r="FM286" i="11"/>
  <c r="FN286" i="11"/>
  <c r="FO286" i="11"/>
  <c r="FP286" i="11"/>
  <c r="FQ286" i="11"/>
  <c r="FR286" i="11"/>
  <c r="FS286" i="11"/>
  <c r="FT286" i="11"/>
  <c r="FU286" i="11"/>
  <c r="FV286" i="11"/>
  <c r="FW286" i="11"/>
  <c r="FX286" i="11"/>
  <c r="FY286" i="11"/>
  <c r="FZ286" i="11"/>
  <c r="GA286" i="11"/>
  <c r="GB286" i="11"/>
  <c r="GC286" i="11"/>
  <c r="GD286" i="11"/>
  <c r="GE286" i="11"/>
  <c r="GF286" i="11"/>
  <c r="GG286" i="11"/>
  <c r="GH286" i="11"/>
  <c r="GI286" i="11"/>
  <c r="GJ286" i="11"/>
  <c r="GK286" i="11"/>
  <c r="GL286" i="11"/>
  <c r="GM286" i="11"/>
  <c r="GN286" i="11"/>
  <c r="GO286" i="11"/>
  <c r="GP286" i="11"/>
  <c r="GQ286" i="11"/>
  <c r="GR286" i="11"/>
  <c r="GS286" i="11"/>
  <c r="GT286" i="11"/>
  <c r="GU286" i="11"/>
  <c r="GV286" i="11"/>
  <c r="GW286" i="11"/>
  <c r="GX286" i="11"/>
  <c r="GY286" i="11"/>
  <c r="GZ286" i="11"/>
  <c r="HA286" i="11"/>
  <c r="HB286" i="11"/>
  <c r="HC286" i="11"/>
  <c r="HD286" i="11"/>
  <c r="HE286" i="11"/>
  <c r="HF286" i="11"/>
  <c r="HG286" i="11"/>
  <c r="HH286" i="11"/>
  <c r="HI286" i="11"/>
  <c r="HJ286" i="11"/>
  <c r="HK286" i="11"/>
  <c r="HL286" i="11"/>
  <c r="HM286" i="11"/>
  <c r="HN286" i="11"/>
  <c r="HO286" i="11"/>
  <c r="HP286" i="11"/>
  <c r="HQ286" i="11"/>
  <c r="HR286" i="11"/>
  <c r="HS286" i="11"/>
  <c r="HT286" i="11"/>
  <c r="HU286" i="11"/>
  <c r="HV286" i="11"/>
  <c r="HW286" i="11"/>
  <c r="HX286" i="11"/>
  <c r="HY286" i="11"/>
  <c r="HZ286" i="11"/>
  <c r="IA286" i="11"/>
  <c r="IB286" i="11"/>
  <c r="IC286" i="11"/>
  <c r="ID286" i="11"/>
  <c r="IE286" i="11"/>
  <c r="IF286" i="11"/>
  <c r="IG286" i="11"/>
  <c r="IH286" i="11"/>
  <c r="II286" i="11"/>
  <c r="IJ286" i="11"/>
  <c r="IK286" i="11"/>
  <c r="IL286" i="11"/>
  <c r="IM286" i="11"/>
  <c r="IN286" i="11"/>
  <c r="IO286" i="11"/>
  <c r="IP286" i="11"/>
  <c r="IQ286" i="11"/>
  <c r="IR286" i="11"/>
  <c r="IS286" i="11"/>
  <c r="IT286" i="11"/>
  <c r="IU286" i="11"/>
  <c r="IV286" i="11"/>
  <c r="F287" i="11"/>
  <c r="G287" i="11"/>
  <c r="H287" i="11"/>
  <c r="I287" i="11"/>
  <c r="J287" i="11"/>
  <c r="K287" i="11"/>
  <c r="L287" i="11"/>
  <c r="M287" i="11"/>
  <c r="N287" i="11"/>
  <c r="O287" i="11"/>
  <c r="P287" i="11"/>
  <c r="Q287" i="11"/>
  <c r="R287" i="11"/>
  <c r="S287" i="11"/>
  <c r="T287" i="11"/>
  <c r="U287" i="11"/>
  <c r="V287" i="11"/>
  <c r="W287" i="11"/>
  <c r="X287" i="11"/>
  <c r="Y287" i="11"/>
  <c r="Z287" i="11"/>
  <c r="AA287" i="11"/>
  <c r="AB287" i="11"/>
  <c r="AC287" i="11"/>
  <c r="AD287" i="11"/>
  <c r="AE287" i="11"/>
  <c r="AF287" i="11"/>
  <c r="AG287" i="11"/>
  <c r="AH287" i="11"/>
  <c r="AI287" i="11"/>
  <c r="AJ287" i="11"/>
  <c r="AK287" i="11"/>
  <c r="AL287" i="11"/>
  <c r="AM287" i="11"/>
  <c r="AN287" i="11"/>
  <c r="AO287" i="11"/>
  <c r="AP287" i="11"/>
  <c r="AQ287" i="11"/>
  <c r="AR287" i="11"/>
  <c r="AS287" i="11"/>
  <c r="AT287" i="11"/>
  <c r="AU287" i="11"/>
  <c r="AV287" i="11"/>
  <c r="AW287" i="11"/>
  <c r="AX287" i="11"/>
  <c r="AY287" i="11"/>
  <c r="AZ287" i="11"/>
  <c r="BA287" i="11"/>
  <c r="BB287" i="11"/>
  <c r="BC287" i="11"/>
  <c r="BD287" i="11"/>
  <c r="BE287" i="11"/>
  <c r="BF287" i="11"/>
  <c r="BG287" i="11"/>
  <c r="BH287" i="11"/>
  <c r="BI287" i="11"/>
  <c r="BJ287" i="11"/>
  <c r="BK287" i="11"/>
  <c r="BL287" i="11"/>
  <c r="BM287" i="11"/>
  <c r="BN287" i="11"/>
  <c r="BO287" i="11"/>
  <c r="BP287" i="11"/>
  <c r="BQ287" i="11"/>
  <c r="BR287" i="11"/>
  <c r="BS287" i="11"/>
  <c r="BT287" i="11"/>
  <c r="BU287" i="11"/>
  <c r="BV287" i="11"/>
  <c r="BW287" i="11"/>
  <c r="BX287" i="11"/>
  <c r="BY287" i="11"/>
  <c r="BZ287" i="11"/>
  <c r="CA287" i="11"/>
  <c r="CB287" i="11"/>
  <c r="CC287" i="11"/>
  <c r="CD287" i="11"/>
  <c r="CE287" i="11"/>
  <c r="CF287" i="11"/>
  <c r="CG287" i="11"/>
  <c r="CH287" i="11"/>
  <c r="CI287" i="11"/>
  <c r="CJ287" i="11"/>
  <c r="CK287" i="11"/>
  <c r="CL287" i="11"/>
  <c r="CM287" i="11"/>
  <c r="CN287" i="11"/>
  <c r="CO287" i="11"/>
  <c r="CP287" i="11"/>
  <c r="CQ287" i="11"/>
  <c r="CR287" i="11"/>
  <c r="CS287" i="11"/>
  <c r="CT287" i="11"/>
  <c r="CU287" i="11"/>
  <c r="CV287" i="11"/>
  <c r="CW287" i="11"/>
  <c r="CX287" i="11"/>
  <c r="CY287" i="11"/>
  <c r="CZ287" i="11"/>
  <c r="DA287" i="11"/>
  <c r="DB287" i="11"/>
  <c r="DC287" i="11"/>
  <c r="DD287" i="11"/>
  <c r="DE287" i="11"/>
  <c r="DF287" i="11"/>
  <c r="DG287" i="11"/>
  <c r="DH287" i="11"/>
  <c r="DI287" i="11"/>
  <c r="DJ287" i="11"/>
  <c r="DK287" i="11"/>
  <c r="DL287" i="11"/>
  <c r="DM287" i="11"/>
  <c r="DN287" i="11"/>
  <c r="DO287" i="11"/>
  <c r="DP287" i="11"/>
  <c r="DQ287" i="11"/>
  <c r="DR287" i="11"/>
  <c r="DS287" i="11"/>
  <c r="DT287" i="11"/>
  <c r="DU287" i="11"/>
  <c r="DV287" i="11"/>
  <c r="DW287" i="11"/>
  <c r="DX287" i="11"/>
  <c r="DY287" i="11"/>
  <c r="DZ287" i="11"/>
  <c r="EA287" i="11"/>
  <c r="EB287" i="11"/>
  <c r="EC287" i="11"/>
  <c r="ED287" i="11"/>
  <c r="EE287" i="11"/>
  <c r="EF287" i="11"/>
  <c r="EG287" i="11"/>
  <c r="EH287" i="11"/>
  <c r="EI287" i="11"/>
  <c r="EJ287" i="11"/>
  <c r="EK287" i="11"/>
  <c r="EL287" i="11"/>
  <c r="EM287" i="11"/>
  <c r="EN287" i="11"/>
  <c r="EO287" i="11"/>
  <c r="EP287" i="11"/>
  <c r="EQ287" i="11"/>
  <c r="ER287" i="11"/>
  <c r="ES287" i="11"/>
  <c r="ET287" i="11"/>
  <c r="EU287" i="11"/>
  <c r="EV287" i="11"/>
  <c r="EW287" i="11"/>
  <c r="EX287" i="11"/>
  <c r="EY287" i="11"/>
  <c r="EZ287" i="11"/>
  <c r="FA287" i="11"/>
  <c r="FB287" i="11"/>
  <c r="FC287" i="11"/>
  <c r="FD287" i="11"/>
  <c r="FE287" i="11"/>
  <c r="FF287" i="11"/>
  <c r="FG287" i="11"/>
  <c r="FH287" i="11"/>
  <c r="FI287" i="11"/>
  <c r="FJ287" i="11"/>
  <c r="FK287" i="11"/>
  <c r="FL287" i="11"/>
  <c r="FM287" i="11"/>
  <c r="FN287" i="11"/>
  <c r="FO287" i="11"/>
  <c r="FP287" i="11"/>
  <c r="FQ287" i="11"/>
  <c r="FR287" i="11"/>
  <c r="FS287" i="11"/>
  <c r="FT287" i="11"/>
  <c r="FU287" i="11"/>
  <c r="FV287" i="11"/>
  <c r="FW287" i="11"/>
  <c r="FX287" i="11"/>
  <c r="FY287" i="11"/>
  <c r="FZ287" i="11"/>
  <c r="GA287" i="11"/>
  <c r="GB287" i="11"/>
  <c r="GC287" i="11"/>
  <c r="GD287" i="11"/>
  <c r="GE287" i="11"/>
  <c r="GF287" i="11"/>
  <c r="GG287" i="11"/>
  <c r="GH287" i="11"/>
  <c r="GI287" i="11"/>
  <c r="GJ287" i="11"/>
  <c r="GK287" i="11"/>
  <c r="GL287" i="11"/>
  <c r="GM287" i="11"/>
  <c r="GN287" i="11"/>
  <c r="GO287" i="11"/>
  <c r="GP287" i="11"/>
  <c r="GQ287" i="11"/>
  <c r="GR287" i="11"/>
  <c r="GS287" i="11"/>
  <c r="GT287" i="11"/>
  <c r="GU287" i="11"/>
  <c r="GV287" i="11"/>
  <c r="GW287" i="11"/>
  <c r="GX287" i="11"/>
  <c r="GY287" i="11"/>
  <c r="GZ287" i="11"/>
  <c r="HA287" i="11"/>
  <c r="HB287" i="11"/>
  <c r="HC287" i="11"/>
  <c r="HD287" i="11"/>
  <c r="HE287" i="11"/>
  <c r="HF287" i="11"/>
  <c r="HG287" i="11"/>
  <c r="HH287" i="11"/>
  <c r="HI287" i="11"/>
  <c r="HJ287" i="11"/>
  <c r="HK287" i="11"/>
  <c r="HL287" i="11"/>
  <c r="HM287" i="11"/>
  <c r="HN287" i="11"/>
  <c r="HO287" i="11"/>
  <c r="HP287" i="11"/>
  <c r="HQ287" i="11"/>
  <c r="HR287" i="11"/>
  <c r="HS287" i="11"/>
  <c r="HT287" i="11"/>
  <c r="HU287" i="11"/>
  <c r="HV287" i="11"/>
  <c r="HW287" i="11"/>
  <c r="HX287" i="11"/>
  <c r="HY287" i="11"/>
  <c r="HZ287" i="11"/>
  <c r="IA287" i="11"/>
  <c r="IB287" i="11"/>
  <c r="IC287" i="11"/>
  <c r="ID287" i="11"/>
  <c r="IE287" i="11"/>
  <c r="IF287" i="11"/>
  <c r="IG287" i="11"/>
  <c r="IH287" i="11"/>
  <c r="II287" i="11"/>
  <c r="IJ287" i="11"/>
  <c r="IK287" i="11"/>
  <c r="IL287" i="11"/>
  <c r="IM287" i="11"/>
  <c r="IN287" i="11"/>
  <c r="IO287" i="11"/>
  <c r="IP287" i="11"/>
  <c r="IQ287" i="11"/>
  <c r="IR287" i="11"/>
  <c r="IS287" i="11"/>
  <c r="IT287" i="11"/>
  <c r="IU287" i="11"/>
  <c r="IV287" i="11"/>
  <c r="F288" i="11"/>
  <c r="G288" i="11"/>
  <c r="H288" i="11"/>
  <c r="I288" i="11"/>
  <c r="J288" i="11"/>
  <c r="K288" i="11"/>
  <c r="L288" i="11"/>
  <c r="M288" i="11"/>
  <c r="N288" i="11"/>
  <c r="O288" i="11"/>
  <c r="P288" i="11"/>
  <c r="Q288" i="11"/>
  <c r="R288" i="11"/>
  <c r="S288" i="11"/>
  <c r="T288" i="11"/>
  <c r="U288" i="11"/>
  <c r="V288" i="11"/>
  <c r="W288" i="11"/>
  <c r="X288" i="11"/>
  <c r="Y288" i="11"/>
  <c r="Z288" i="11"/>
  <c r="AA288" i="11"/>
  <c r="AB288" i="11"/>
  <c r="AC288" i="11"/>
  <c r="AD288" i="11"/>
  <c r="AE288" i="11"/>
  <c r="AF288" i="11"/>
  <c r="AG288" i="11"/>
  <c r="AH288" i="11"/>
  <c r="AI288" i="11"/>
  <c r="AJ288" i="11"/>
  <c r="AK288" i="11"/>
  <c r="AL288" i="11"/>
  <c r="AM288" i="11"/>
  <c r="AN288" i="11"/>
  <c r="AO288" i="11"/>
  <c r="AP288" i="11"/>
  <c r="AQ288" i="11"/>
  <c r="AR288" i="11"/>
  <c r="AS288" i="11"/>
  <c r="AT288" i="11"/>
  <c r="AU288" i="11"/>
  <c r="AV288" i="11"/>
  <c r="AW288" i="11"/>
  <c r="AX288" i="11"/>
  <c r="AY288" i="11"/>
  <c r="AZ288" i="11"/>
  <c r="BA288" i="11"/>
  <c r="BB288" i="11"/>
  <c r="BC288" i="11"/>
  <c r="BD288" i="11"/>
  <c r="BE288" i="11"/>
  <c r="BF288" i="11"/>
  <c r="BG288" i="11"/>
  <c r="BH288" i="11"/>
  <c r="BI288" i="11"/>
  <c r="BJ288" i="11"/>
  <c r="BK288" i="11"/>
  <c r="BL288" i="11"/>
  <c r="BM288" i="11"/>
  <c r="BN288" i="11"/>
  <c r="BO288" i="11"/>
  <c r="BP288" i="11"/>
  <c r="BQ288" i="11"/>
  <c r="BR288" i="11"/>
  <c r="BS288" i="11"/>
  <c r="BT288" i="11"/>
  <c r="BU288" i="11"/>
  <c r="BV288" i="11"/>
  <c r="BW288" i="11"/>
  <c r="BX288" i="11"/>
  <c r="BY288" i="11"/>
  <c r="BZ288" i="11"/>
  <c r="CA288" i="11"/>
  <c r="CB288" i="11"/>
  <c r="CC288" i="11"/>
  <c r="CD288" i="11"/>
  <c r="CE288" i="11"/>
  <c r="CF288" i="11"/>
  <c r="CG288" i="11"/>
  <c r="CH288" i="11"/>
  <c r="CI288" i="11"/>
  <c r="CJ288" i="11"/>
  <c r="CK288" i="11"/>
  <c r="CL288" i="11"/>
  <c r="CM288" i="11"/>
  <c r="CN288" i="11"/>
  <c r="CO288" i="11"/>
  <c r="CP288" i="11"/>
  <c r="CQ288" i="11"/>
  <c r="CR288" i="11"/>
  <c r="CS288" i="11"/>
  <c r="CT288" i="11"/>
  <c r="CU288" i="11"/>
  <c r="CV288" i="11"/>
  <c r="CW288" i="11"/>
  <c r="CX288" i="11"/>
  <c r="CY288" i="11"/>
  <c r="CZ288" i="11"/>
  <c r="DA288" i="11"/>
  <c r="DB288" i="11"/>
  <c r="DC288" i="11"/>
  <c r="DD288" i="11"/>
  <c r="DE288" i="11"/>
  <c r="DF288" i="11"/>
  <c r="DG288" i="11"/>
  <c r="DH288" i="11"/>
  <c r="DI288" i="11"/>
  <c r="DJ288" i="11"/>
  <c r="DK288" i="11"/>
  <c r="DL288" i="11"/>
  <c r="DM288" i="11"/>
  <c r="DN288" i="11"/>
  <c r="DO288" i="11"/>
  <c r="DP288" i="11"/>
  <c r="DQ288" i="11"/>
  <c r="DR288" i="11"/>
  <c r="DS288" i="11"/>
  <c r="DT288" i="11"/>
  <c r="DU288" i="11"/>
  <c r="DV288" i="11"/>
  <c r="DW288" i="11"/>
  <c r="DX288" i="11"/>
  <c r="DY288" i="11"/>
  <c r="DZ288" i="11"/>
  <c r="EA288" i="11"/>
  <c r="EB288" i="11"/>
  <c r="EC288" i="11"/>
  <c r="ED288" i="11"/>
  <c r="EE288" i="11"/>
  <c r="EF288" i="11"/>
  <c r="EG288" i="11"/>
  <c r="EH288" i="11"/>
  <c r="EI288" i="11"/>
  <c r="EJ288" i="11"/>
  <c r="EK288" i="11"/>
  <c r="EL288" i="11"/>
  <c r="EM288" i="11"/>
  <c r="EN288" i="11"/>
  <c r="EO288" i="11"/>
  <c r="EP288" i="11"/>
  <c r="EQ288" i="11"/>
  <c r="ER288" i="11"/>
  <c r="ES288" i="11"/>
  <c r="ET288" i="11"/>
  <c r="EU288" i="11"/>
  <c r="EV288" i="11"/>
  <c r="EW288" i="11"/>
  <c r="EX288" i="11"/>
  <c r="EY288" i="11"/>
  <c r="EZ288" i="11"/>
  <c r="FA288" i="11"/>
  <c r="FB288" i="11"/>
  <c r="FC288" i="11"/>
  <c r="FD288" i="11"/>
  <c r="FE288" i="11"/>
  <c r="FF288" i="11"/>
  <c r="FG288" i="11"/>
  <c r="FH288" i="11"/>
  <c r="FI288" i="11"/>
  <c r="FJ288" i="11"/>
  <c r="FK288" i="11"/>
  <c r="FL288" i="11"/>
  <c r="FM288" i="11"/>
  <c r="FN288" i="11"/>
  <c r="FO288" i="11"/>
  <c r="FP288" i="11"/>
  <c r="FQ288" i="11"/>
  <c r="FR288" i="11"/>
  <c r="FS288" i="11"/>
  <c r="FT288" i="11"/>
  <c r="FU288" i="11"/>
  <c r="FV288" i="11"/>
  <c r="FW288" i="11"/>
  <c r="FX288" i="11"/>
  <c r="FY288" i="11"/>
  <c r="FZ288" i="11"/>
  <c r="GA288" i="11"/>
  <c r="GB288" i="11"/>
  <c r="GC288" i="11"/>
  <c r="GD288" i="11"/>
  <c r="GE288" i="11"/>
  <c r="GF288" i="11"/>
  <c r="GG288" i="11"/>
  <c r="GH288" i="11"/>
  <c r="GI288" i="11"/>
  <c r="GJ288" i="11"/>
  <c r="GK288" i="11"/>
  <c r="GL288" i="11"/>
  <c r="GM288" i="11"/>
  <c r="GN288" i="11"/>
  <c r="GO288" i="11"/>
  <c r="GP288" i="11"/>
  <c r="GQ288" i="11"/>
  <c r="GR288" i="11"/>
  <c r="GS288" i="11"/>
  <c r="GT288" i="11"/>
  <c r="GU288" i="11"/>
  <c r="GV288" i="11"/>
  <c r="GW288" i="11"/>
  <c r="GX288" i="11"/>
  <c r="GY288" i="11"/>
  <c r="GZ288" i="11"/>
  <c r="HA288" i="11"/>
  <c r="HB288" i="11"/>
  <c r="HC288" i="11"/>
  <c r="HD288" i="11"/>
  <c r="HE288" i="11"/>
  <c r="HF288" i="11"/>
  <c r="HG288" i="11"/>
  <c r="HH288" i="11"/>
  <c r="HI288" i="11"/>
  <c r="HJ288" i="11"/>
  <c r="HK288" i="11"/>
  <c r="HL288" i="11"/>
  <c r="HM288" i="11"/>
  <c r="HN288" i="11"/>
  <c r="HO288" i="11"/>
  <c r="HP288" i="11"/>
  <c r="HQ288" i="11"/>
  <c r="HR288" i="11"/>
  <c r="HS288" i="11"/>
  <c r="HT288" i="11"/>
  <c r="HU288" i="11"/>
  <c r="HV288" i="11"/>
  <c r="HW288" i="11"/>
  <c r="HX288" i="11"/>
  <c r="HY288" i="11"/>
  <c r="HZ288" i="11"/>
  <c r="IA288" i="11"/>
  <c r="IB288" i="11"/>
  <c r="IC288" i="11"/>
  <c r="ID288" i="11"/>
  <c r="IE288" i="11"/>
  <c r="IF288" i="11"/>
  <c r="IG288" i="11"/>
  <c r="IH288" i="11"/>
  <c r="II288" i="11"/>
  <c r="IJ288" i="11"/>
  <c r="IK288" i="11"/>
  <c r="IL288" i="11"/>
  <c r="IM288" i="11"/>
  <c r="IN288" i="11"/>
  <c r="IO288" i="11"/>
  <c r="IP288" i="11"/>
  <c r="IQ288" i="11"/>
  <c r="IR288" i="11"/>
  <c r="IS288" i="11"/>
  <c r="IT288" i="11"/>
  <c r="IU288" i="11"/>
  <c r="IV288" i="11"/>
  <c r="F289" i="11"/>
  <c r="G289" i="11"/>
  <c r="H289" i="11"/>
  <c r="I289" i="11"/>
  <c r="J289" i="11"/>
  <c r="K289" i="11"/>
  <c r="L289" i="11"/>
  <c r="M289" i="11"/>
  <c r="N289" i="11"/>
  <c r="O289" i="11"/>
  <c r="P289" i="11"/>
  <c r="Q289" i="11"/>
  <c r="R289" i="11"/>
  <c r="S289" i="11"/>
  <c r="T289" i="11"/>
  <c r="U289" i="11"/>
  <c r="V289" i="11"/>
  <c r="W289" i="11"/>
  <c r="X289" i="11"/>
  <c r="Y289" i="11"/>
  <c r="Z289" i="11"/>
  <c r="AA289" i="11"/>
  <c r="AB289" i="11"/>
  <c r="AC289" i="11"/>
  <c r="AD289" i="11"/>
  <c r="AE289" i="11"/>
  <c r="AF289" i="11"/>
  <c r="AG289" i="11"/>
  <c r="AH289" i="11"/>
  <c r="AI289" i="11"/>
  <c r="AJ289" i="11"/>
  <c r="AK289" i="11"/>
  <c r="AL289" i="11"/>
  <c r="AM289" i="11"/>
  <c r="AN289" i="11"/>
  <c r="AO289" i="11"/>
  <c r="AP289" i="11"/>
  <c r="AQ289" i="11"/>
  <c r="AR289" i="11"/>
  <c r="AS289" i="11"/>
  <c r="AT289" i="11"/>
  <c r="AU289" i="11"/>
  <c r="AV289" i="11"/>
  <c r="AW289" i="11"/>
  <c r="AX289" i="11"/>
  <c r="AY289" i="11"/>
  <c r="AZ289" i="11"/>
  <c r="BA289" i="11"/>
  <c r="BB289" i="11"/>
  <c r="BC289" i="11"/>
  <c r="BD289" i="11"/>
  <c r="BE289" i="11"/>
  <c r="BF289" i="11"/>
  <c r="BG289" i="11"/>
  <c r="BH289" i="11"/>
  <c r="BI289" i="11"/>
  <c r="BJ289" i="11"/>
  <c r="BK289" i="11"/>
  <c r="BL289" i="11"/>
  <c r="BM289" i="11"/>
  <c r="BN289" i="11"/>
  <c r="BO289" i="11"/>
  <c r="BP289" i="11"/>
  <c r="BQ289" i="11"/>
  <c r="BR289" i="11"/>
  <c r="BS289" i="11"/>
  <c r="BT289" i="11"/>
  <c r="BU289" i="11"/>
  <c r="BV289" i="11"/>
  <c r="BW289" i="11"/>
  <c r="BX289" i="11"/>
  <c r="BY289" i="11"/>
  <c r="BZ289" i="11"/>
  <c r="CA289" i="11"/>
  <c r="CB289" i="11"/>
  <c r="CC289" i="11"/>
  <c r="CD289" i="11"/>
  <c r="CE289" i="11"/>
  <c r="CF289" i="11"/>
  <c r="CG289" i="11"/>
  <c r="CH289" i="11"/>
  <c r="CI289" i="11"/>
  <c r="CJ289" i="11"/>
  <c r="CK289" i="11"/>
  <c r="CL289" i="11"/>
  <c r="CM289" i="11"/>
  <c r="CN289" i="11"/>
  <c r="CO289" i="11"/>
  <c r="CP289" i="11"/>
  <c r="CQ289" i="11"/>
  <c r="CR289" i="11"/>
  <c r="CS289" i="11"/>
  <c r="CT289" i="11"/>
  <c r="CU289" i="11"/>
  <c r="CV289" i="11"/>
  <c r="CW289" i="11"/>
  <c r="CX289" i="11"/>
  <c r="CY289" i="11"/>
  <c r="CZ289" i="11"/>
  <c r="DA289" i="11"/>
  <c r="DB289" i="11"/>
  <c r="DC289" i="11"/>
  <c r="DD289" i="11"/>
  <c r="DE289" i="11"/>
  <c r="DF289" i="11"/>
  <c r="DG289" i="11"/>
  <c r="DH289" i="11"/>
  <c r="DI289" i="11"/>
  <c r="DJ289" i="11"/>
  <c r="DK289" i="11"/>
  <c r="DL289" i="11"/>
  <c r="DM289" i="11"/>
  <c r="DN289" i="11"/>
  <c r="DO289" i="11"/>
  <c r="DP289" i="11"/>
  <c r="DQ289" i="11"/>
  <c r="DR289" i="11"/>
  <c r="DS289" i="11"/>
  <c r="DT289" i="11"/>
  <c r="DU289" i="11"/>
  <c r="DV289" i="11"/>
  <c r="DW289" i="11"/>
  <c r="DX289" i="11"/>
  <c r="DY289" i="11"/>
  <c r="DZ289" i="11"/>
  <c r="EA289" i="11"/>
  <c r="EB289" i="11"/>
  <c r="EC289" i="11"/>
  <c r="ED289" i="11"/>
  <c r="EE289" i="11"/>
  <c r="EF289" i="11"/>
  <c r="EG289" i="11"/>
  <c r="EH289" i="11"/>
  <c r="EI289" i="11"/>
  <c r="EJ289" i="11"/>
  <c r="EK289" i="11"/>
  <c r="EL289" i="11"/>
  <c r="EM289" i="11"/>
  <c r="EN289" i="11"/>
  <c r="EO289" i="11"/>
  <c r="EP289" i="11"/>
  <c r="EQ289" i="11"/>
  <c r="ER289" i="11"/>
  <c r="ES289" i="11"/>
  <c r="ET289" i="11"/>
  <c r="EU289" i="11"/>
  <c r="EV289" i="11"/>
  <c r="EW289" i="11"/>
  <c r="EX289" i="11"/>
  <c r="EY289" i="11"/>
  <c r="EZ289" i="11"/>
  <c r="FA289" i="11"/>
  <c r="FB289" i="11"/>
  <c r="FC289" i="11"/>
  <c r="FD289" i="11"/>
  <c r="FE289" i="11"/>
  <c r="FF289" i="11"/>
  <c r="FG289" i="11"/>
  <c r="FH289" i="11"/>
  <c r="FI289" i="11"/>
  <c r="FJ289" i="11"/>
  <c r="FK289" i="11"/>
  <c r="FL289" i="11"/>
  <c r="FM289" i="11"/>
  <c r="FN289" i="11"/>
  <c r="FO289" i="11"/>
  <c r="FP289" i="11"/>
  <c r="FQ289" i="11"/>
  <c r="FR289" i="11"/>
  <c r="FS289" i="11"/>
  <c r="FT289" i="11"/>
  <c r="FU289" i="11"/>
  <c r="FV289" i="11"/>
  <c r="FW289" i="11"/>
  <c r="FX289" i="11"/>
  <c r="FY289" i="11"/>
  <c r="FZ289" i="11"/>
  <c r="GA289" i="11"/>
  <c r="GB289" i="11"/>
  <c r="GC289" i="11"/>
  <c r="GD289" i="11"/>
  <c r="GE289" i="11"/>
  <c r="GF289" i="11"/>
  <c r="GG289" i="11"/>
  <c r="GH289" i="11"/>
  <c r="GI289" i="11"/>
  <c r="GJ289" i="11"/>
  <c r="GK289" i="11"/>
  <c r="GL289" i="11"/>
  <c r="GM289" i="11"/>
  <c r="GN289" i="11"/>
  <c r="GO289" i="11"/>
  <c r="GP289" i="11"/>
  <c r="GQ289" i="11"/>
  <c r="GR289" i="11"/>
  <c r="GS289" i="11"/>
  <c r="GT289" i="11"/>
  <c r="GU289" i="11"/>
  <c r="GV289" i="11"/>
  <c r="GW289" i="11"/>
  <c r="GX289" i="11"/>
  <c r="GY289" i="11"/>
  <c r="GZ289" i="11"/>
  <c r="HA289" i="11"/>
  <c r="HB289" i="11"/>
  <c r="HC289" i="11"/>
  <c r="HD289" i="11"/>
  <c r="HE289" i="11"/>
  <c r="HF289" i="11"/>
  <c r="HG289" i="11"/>
  <c r="HH289" i="11"/>
  <c r="HI289" i="11"/>
  <c r="HJ289" i="11"/>
  <c r="HK289" i="11"/>
  <c r="HL289" i="11"/>
  <c r="HM289" i="11"/>
  <c r="HN289" i="11"/>
  <c r="HO289" i="11"/>
  <c r="HP289" i="11"/>
  <c r="HQ289" i="11"/>
  <c r="HR289" i="11"/>
  <c r="HS289" i="11"/>
  <c r="HT289" i="11"/>
  <c r="HU289" i="11"/>
  <c r="HV289" i="11"/>
  <c r="HW289" i="11"/>
  <c r="HX289" i="11"/>
  <c r="HY289" i="11"/>
  <c r="HZ289" i="11"/>
  <c r="IA289" i="11"/>
  <c r="IB289" i="11"/>
  <c r="IC289" i="11"/>
  <c r="ID289" i="11"/>
  <c r="IE289" i="11"/>
  <c r="IF289" i="11"/>
  <c r="IG289" i="11"/>
  <c r="IH289" i="11"/>
  <c r="II289" i="11"/>
  <c r="IJ289" i="11"/>
  <c r="IK289" i="11"/>
  <c r="IL289" i="11"/>
  <c r="IM289" i="11"/>
  <c r="IN289" i="11"/>
  <c r="IO289" i="11"/>
  <c r="IP289" i="11"/>
  <c r="IQ289" i="11"/>
  <c r="IR289" i="11"/>
  <c r="IS289" i="11"/>
  <c r="IT289" i="11"/>
  <c r="IU289" i="11"/>
  <c r="IV289" i="11"/>
  <c r="F290" i="11"/>
  <c r="G290" i="11"/>
  <c r="H290" i="11"/>
  <c r="I290" i="11"/>
  <c r="J290" i="11"/>
  <c r="K290" i="11"/>
  <c r="L290" i="11"/>
  <c r="M290" i="11"/>
  <c r="N290" i="11"/>
  <c r="O290" i="11"/>
  <c r="P290" i="11"/>
  <c r="Q290" i="11"/>
  <c r="R290" i="11"/>
  <c r="S290" i="11"/>
  <c r="T290" i="11"/>
  <c r="U290" i="11"/>
  <c r="V290" i="11"/>
  <c r="W290" i="11"/>
  <c r="X290" i="11"/>
  <c r="Y290" i="11"/>
  <c r="Z290" i="11"/>
  <c r="AA290" i="11"/>
  <c r="AB290" i="11"/>
  <c r="AC290" i="11"/>
  <c r="AD290" i="11"/>
  <c r="AE290" i="11"/>
  <c r="AF290" i="11"/>
  <c r="AG290" i="11"/>
  <c r="AH290" i="11"/>
  <c r="AI290" i="11"/>
  <c r="AJ290" i="11"/>
  <c r="AK290" i="11"/>
  <c r="AL290" i="11"/>
  <c r="AM290" i="11"/>
  <c r="AN290" i="11"/>
  <c r="AO290" i="11"/>
  <c r="AP290" i="11"/>
  <c r="AQ290" i="11"/>
  <c r="AR290" i="11"/>
  <c r="AS290" i="11"/>
  <c r="AT290" i="11"/>
  <c r="AU290" i="11"/>
  <c r="AV290" i="11"/>
  <c r="AW290" i="11"/>
  <c r="AX290" i="11"/>
  <c r="AY290" i="11"/>
  <c r="AZ290" i="11"/>
  <c r="BA290" i="11"/>
  <c r="BB290" i="11"/>
  <c r="BC290" i="11"/>
  <c r="BD290" i="11"/>
  <c r="BE290" i="11"/>
  <c r="BF290" i="11"/>
  <c r="BG290" i="11"/>
  <c r="BH290" i="11"/>
  <c r="BI290" i="11"/>
  <c r="BJ290" i="11"/>
  <c r="BK290" i="11"/>
  <c r="BL290" i="11"/>
  <c r="BM290" i="11"/>
  <c r="BN290" i="11"/>
  <c r="BO290" i="11"/>
  <c r="BP290" i="11"/>
  <c r="BQ290" i="11"/>
  <c r="BR290" i="11"/>
  <c r="BS290" i="11"/>
  <c r="BT290" i="11"/>
  <c r="BU290" i="11"/>
  <c r="BV290" i="11"/>
  <c r="BW290" i="11"/>
  <c r="BX290" i="11"/>
  <c r="BY290" i="11"/>
  <c r="BZ290" i="11"/>
  <c r="CA290" i="11"/>
  <c r="CB290" i="11"/>
  <c r="CC290" i="11"/>
  <c r="CD290" i="11"/>
  <c r="CE290" i="11"/>
  <c r="CF290" i="11"/>
  <c r="CG290" i="11"/>
  <c r="CH290" i="11"/>
  <c r="CI290" i="11"/>
  <c r="CJ290" i="11"/>
  <c r="CK290" i="11"/>
  <c r="CL290" i="11"/>
  <c r="CM290" i="11"/>
  <c r="CN290" i="11"/>
  <c r="CO290" i="11"/>
  <c r="CP290" i="11"/>
  <c r="CQ290" i="11"/>
  <c r="CR290" i="11"/>
  <c r="CS290" i="11"/>
  <c r="CT290" i="11"/>
  <c r="CU290" i="11"/>
  <c r="CV290" i="11"/>
  <c r="CW290" i="11"/>
  <c r="CX290" i="11"/>
  <c r="CY290" i="11"/>
  <c r="CZ290" i="11"/>
  <c r="DA290" i="11"/>
  <c r="DB290" i="11"/>
  <c r="DC290" i="11"/>
  <c r="DD290" i="11"/>
  <c r="DE290" i="11"/>
  <c r="DF290" i="11"/>
  <c r="DG290" i="11"/>
  <c r="DH290" i="11"/>
  <c r="DI290" i="11"/>
  <c r="DJ290" i="11"/>
  <c r="DK290" i="11"/>
  <c r="DL290" i="11"/>
  <c r="DM290" i="11"/>
  <c r="DN290" i="11"/>
  <c r="DO290" i="11"/>
  <c r="DP290" i="11"/>
  <c r="DQ290" i="11"/>
  <c r="DR290" i="11"/>
  <c r="DS290" i="11"/>
  <c r="DT290" i="11"/>
  <c r="DU290" i="11"/>
  <c r="DV290" i="11"/>
  <c r="DW290" i="11"/>
  <c r="DX290" i="11"/>
  <c r="DY290" i="11"/>
  <c r="DZ290" i="11"/>
  <c r="EA290" i="11"/>
  <c r="EB290" i="11"/>
  <c r="EC290" i="11"/>
  <c r="ED290" i="11"/>
  <c r="EE290" i="11"/>
  <c r="EF290" i="11"/>
  <c r="EG290" i="11"/>
  <c r="EH290" i="11"/>
  <c r="EI290" i="11"/>
  <c r="EJ290" i="11"/>
  <c r="EK290" i="11"/>
  <c r="EL290" i="11"/>
  <c r="EM290" i="11"/>
  <c r="EN290" i="11"/>
  <c r="EO290" i="11"/>
  <c r="EP290" i="11"/>
  <c r="EQ290" i="11"/>
  <c r="ER290" i="11"/>
  <c r="ES290" i="11"/>
  <c r="ET290" i="11"/>
  <c r="EU290" i="11"/>
  <c r="EV290" i="11"/>
  <c r="EW290" i="11"/>
  <c r="EX290" i="11"/>
  <c r="EY290" i="11"/>
  <c r="EZ290" i="11"/>
  <c r="FA290" i="11"/>
  <c r="FB290" i="11"/>
  <c r="FC290" i="11"/>
  <c r="FD290" i="11"/>
  <c r="FE290" i="11"/>
  <c r="FF290" i="11"/>
  <c r="FG290" i="11"/>
  <c r="FH290" i="11"/>
  <c r="FI290" i="11"/>
  <c r="FJ290" i="11"/>
  <c r="FK290" i="11"/>
  <c r="FL290" i="11"/>
  <c r="FM290" i="11"/>
  <c r="FN290" i="11"/>
  <c r="FO290" i="11"/>
  <c r="FP290" i="11"/>
  <c r="FQ290" i="11"/>
  <c r="FR290" i="11"/>
  <c r="FS290" i="11"/>
  <c r="FT290" i="11"/>
  <c r="FU290" i="11"/>
  <c r="FV290" i="11"/>
  <c r="FW290" i="11"/>
  <c r="FX290" i="11"/>
  <c r="FY290" i="11"/>
  <c r="FZ290" i="11"/>
  <c r="GA290" i="11"/>
  <c r="GB290" i="11"/>
  <c r="GC290" i="11"/>
  <c r="GD290" i="11"/>
  <c r="GE290" i="11"/>
  <c r="GF290" i="11"/>
  <c r="GG290" i="11"/>
  <c r="GH290" i="11"/>
  <c r="GI290" i="11"/>
  <c r="GJ290" i="11"/>
  <c r="GK290" i="11"/>
  <c r="GL290" i="11"/>
  <c r="GM290" i="11"/>
  <c r="GN290" i="11"/>
  <c r="GO290" i="11"/>
  <c r="GP290" i="11"/>
  <c r="GQ290" i="11"/>
  <c r="GR290" i="11"/>
  <c r="GS290" i="11"/>
  <c r="GT290" i="11"/>
  <c r="GU290" i="11"/>
  <c r="GV290" i="11"/>
  <c r="GW290" i="11"/>
  <c r="GX290" i="11"/>
  <c r="GY290" i="11"/>
  <c r="GZ290" i="11"/>
  <c r="HA290" i="11"/>
  <c r="HB290" i="11"/>
  <c r="HC290" i="11"/>
  <c r="HD290" i="11"/>
  <c r="HE290" i="11"/>
  <c r="HF290" i="11"/>
  <c r="HG290" i="11"/>
  <c r="HH290" i="11"/>
  <c r="HI290" i="11"/>
  <c r="HJ290" i="11"/>
  <c r="HK290" i="11"/>
  <c r="HL290" i="11"/>
  <c r="HM290" i="11"/>
  <c r="HN290" i="11"/>
  <c r="HO290" i="11"/>
  <c r="HP290" i="11"/>
  <c r="HQ290" i="11"/>
  <c r="HR290" i="11"/>
  <c r="HS290" i="11"/>
  <c r="HT290" i="11"/>
  <c r="HU290" i="11"/>
  <c r="HV290" i="11"/>
  <c r="HW290" i="11"/>
  <c r="HX290" i="11"/>
  <c r="HY290" i="11"/>
  <c r="HZ290" i="11"/>
  <c r="IA290" i="11"/>
  <c r="IB290" i="11"/>
  <c r="IC290" i="11"/>
  <c r="ID290" i="11"/>
  <c r="IE290" i="11"/>
  <c r="IF290" i="11"/>
  <c r="IG290" i="11"/>
  <c r="IH290" i="11"/>
  <c r="II290" i="11"/>
  <c r="IJ290" i="11"/>
  <c r="IK290" i="11"/>
  <c r="IL290" i="11"/>
  <c r="IM290" i="11"/>
  <c r="IN290" i="11"/>
  <c r="IO290" i="11"/>
  <c r="IP290" i="11"/>
  <c r="IQ290" i="11"/>
  <c r="IR290" i="11"/>
  <c r="IS290" i="11"/>
  <c r="IT290" i="11"/>
  <c r="IU290" i="11"/>
  <c r="IV290" i="11"/>
  <c r="F291" i="11"/>
  <c r="G291" i="11"/>
  <c r="H291" i="11"/>
  <c r="I291" i="11"/>
  <c r="J291" i="11"/>
  <c r="K291" i="11"/>
  <c r="L291" i="11"/>
  <c r="M291" i="11"/>
  <c r="N291" i="11"/>
  <c r="O291" i="11"/>
  <c r="P291" i="11"/>
  <c r="Q291" i="11"/>
  <c r="R291" i="11"/>
  <c r="S291" i="11"/>
  <c r="T291" i="11"/>
  <c r="U291" i="11"/>
  <c r="V291" i="11"/>
  <c r="W291" i="11"/>
  <c r="X291" i="11"/>
  <c r="Y291" i="11"/>
  <c r="Z291" i="11"/>
  <c r="AA291" i="11"/>
  <c r="AB291" i="11"/>
  <c r="AC291" i="11"/>
  <c r="AD291" i="11"/>
  <c r="AE291" i="11"/>
  <c r="AF291" i="11"/>
  <c r="AG291" i="11"/>
  <c r="AH291" i="11"/>
  <c r="AI291" i="11"/>
  <c r="AJ291" i="11"/>
  <c r="AK291" i="11"/>
  <c r="AL291" i="11"/>
  <c r="AM291" i="11"/>
  <c r="AN291" i="11"/>
  <c r="AO291" i="11"/>
  <c r="AP291" i="11"/>
  <c r="AQ291" i="11"/>
  <c r="AR291" i="11"/>
  <c r="AS291" i="11"/>
  <c r="AT291" i="11"/>
  <c r="AU291" i="11"/>
  <c r="AV291" i="11"/>
  <c r="AW291" i="11"/>
  <c r="AX291" i="11"/>
  <c r="AY291" i="11"/>
  <c r="AZ291" i="11"/>
  <c r="BA291" i="11"/>
  <c r="BB291" i="11"/>
  <c r="BC291" i="11"/>
  <c r="BD291" i="11"/>
  <c r="BE291" i="11"/>
  <c r="BF291" i="11"/>
  <c r="BG291" i="11"/>
  <c r="BH291" i="11"/>
  <c r="BI291" i="11"/>
  <c r="BJ291" i="11"/>
  <c r="BK291" i="11"/>
  <c r="BL291" i="11"/>
  <c r="BM291" i="11"/>
  <c r="BN291" i="11"/>
  <c r="BO291" i="11"/>
  <c r="BP291" i="11"/>
  <c r="BQ291" i="11"/>
  <c r="BR291" i="11"/>
  <c r="BS291" i="11"/>
  <c r="BT291" i="11"/>
  <c r="BU291" i="11"/>
  <c r="BV291" i="11"/>
  <c r="BW291" i="11"/>
  <c r="BX291" i="11"/>
  <c r="BY291" i="11"/>
  <c r="BZ291" i="11"/>
  <c r="CA291" i="11"/>
  <c r="CB291" i="11"/>
  <c r="CC291" i="11"/>
  <c r="CD291" i="11"/>
  <c r="CE291" i="11"/>
  <c r="CF291" i="11"/>
  <c r="CG291" i="11"/>
  <c r="CH291" i="11"/>
  <c r="CI291" i="11"/>
  <c r="CJ291" i="11"/>
  <c r="CK291" i="11"/>
  <c r="CL291" i="11"/>
  <c r="CM291" i="11"/>
  <c r="CN291" i="11"/>
  <c r="CO291" i="11"/>
  <c r="CP291" i="11"/>
  <c r="CQ291" i="11"/>
  <c r="CR291" i="11"/>
  <c r="CS291" i="11"/>
  <c r="CT291" i="11"/>
  <c r="CU291" i="11"/>
  <c r="CV291" i="11"/>
  <c r="CW291" i="11"/>
  <c r="CX291" i="11"/>
  <c r="CY291" i="11"/>
  <c r="CZ291" i="11"/>
  <c r="DA291" i="11"/>
  <c r="DB291" i="11"/>
  <c r="DC291" i="11"/>
  <c r="DD291" i="11"/>
  <c r="DE291" i="11"/>
  <c r="DF291" i="11"/>
  <c r="DG291" i="11"/>
  <c r="DH291" i="11"/>
  <c r="DI291" i="11"/>
  <c r="DJ291" i="11"/>
  <c r="DK291" i="11"/>
  <c r="DL291" i="11"/>
  <c r="DM291" i="11"/>
  <c r="DN291" i="11"/>
  <c r="DO291" i="11"/>
  <c r="DP291" i="11"/>
  <c r="DQ291" i="11"/>
  <c r="DR291" i="11"/>
  <c r="DS291" i="11"/>
  <c r="DT291" i="11"/>
  <c r="DU291" i="11"/>
  <c r="DV291" i="11"/>
  <c r="DW291" i="11"/>
  <c r="DX291" i="11"/>
  <c r="DY291" i="11"/>
  <c r="DZ291" i="11"/>
  <c r="EA291" i="11"/>
  <c r="EB291" i="11"/>
  <c r="EC291" i="11"/>
  <c r="ED291" i="11"/>
  <c r="EE291" i="11"/>
  <c r="EF291" i="11"/>
  <c r="EG291" i="11"/>
  <c r="EH291" i="11"/>
  <c r="EI291" i="11"/>
  <c r="EJ291" i="11"/>
  <c r="EK291" i="11"/>
  <c r="EL291" i="11"/>
  <c r="EM291" i="11"/>
  <c r="EN291" i="11"/>
  <c r="EO291" i="11"/>
  <c r="EP291" i="11"/>
  <c r="EQ291" i="11"/>
  <c r="ER291" i="11"/>
  <c r="ES291" i="11"/>
  <c r="ET291" i="11"/>
  <c r="EU291" i="11"/>
  <c r="EV291" i="11"/>
  <c r="EW291" i="11"/>
  <c r="EX291" i="11"/>
  <c r="EY291" i="11"/>
  <c r="EZ291" i="11"/>
  <c r="FA291" i="11"/>
  <c r="FB291" i="11"/>
  <c r="FC291" i="11"/>
  <c r="FD291" i="11"/>
  <c r="FE291" i="11"/>
  <c r="FF291" i="11"/>
  <c r="FG291" i="11"/>
  <c r="FH291" i="11"/>
  <c r="FI291" i="11"/>
  <c r="FJ291" i="11"/>
  <c r="FK291" i="11"/>
  <c r="FL291" i="11"/>
  <c r="FM291" i="11"/>
  <c r="FN291" i="11"/>
  <c r="FO291" i="11"/>
  <c r="FP291" i="11"/>
  <c r="FQ291" i="11"/>
  <c r="FR291" i="11"/>
  <c r="FS291" i="11"/>
  <c r="FT291" i="11"/>
  <c r="FU291" i="11"/>
  <c r="FV291" i="11"/>
  <c r="FW291" i="11"/>
  <c r="FX291" i="11"/>
  <c r="FY291" i="11"/>
  <c r="FZ291" i="11"/>
  <c r="GA291" i="11"/>
  <c r="GB291" i="11"/>
  <c r="GC291" i="11"/>
  <c r="GD291" i="11"/>
  <c r="GE291" i="11"/>
  <c r="GF291" i="11"/>
  <c r="GG291" i="11"/>
  <c r="GH291" i="11"/>
  <c r="GI291" i="11"/>
  <c r="GJ291" i="11"/>
  <c r="GK291" i="11"/>
  <c r="GL291" i="11"/>
  <c r="GM291" i="11"/>
  <c r="GN291" i="11"/>
  <c r="GO291" i="11"/>
  <c r="GP291" i="11"/>
  <c r="GQ291" i="11"/>
  <c r="GR291" i="11"/>
  <c r="GS291" i="11"/>
  <c r="GT291" i="11"/>
  <c r="GU291" i="11"/>
  <c r="GV291" i="11"/>
  <c r="GW291" i="11"/>
  <c r="GX291" i="11"/>
  <c r="GY291" i="11"/>
  <c r="GZ291" i="11"/>
  <c r="HA291" i="11"/>
  <c r="HB291" i="11"/>
  <c r="HC291" i="11"/>
  <c r="HD291" i="11"/>
  <c r="HE291" i="11"/>
  <c r="HF291" i="11"/>
  <c r="HG291" i="11"/>
  <c r="HH291" i="11"/>
  <c r="HI291" i="11"/>
  <c r="HJ291" i="11"/>
  <c r="HK291" i="11"/>
  <c r="HL291" i="11"/>
  <c r="HM291" i="11"/>
  <c r="HN291" i="11"/>
  <c r="HO291" i="11"/>
  <c r="HP291" i="11"/>
  <c r="HQ291" i="11"/>
  <c r="HR291" i="11"/>
  <c r="HS291" i="11"/>
  <c r="HT291" i="11"/>
  <c r="HU291" i="11"/>
  <c r="HV291" i="11"/>
  <c r="HW291" i="11"/>
  <c r="HX291" i="11"/>
  <c r="HY291" i="11"/>
  <c r="HZ291" i="11"/>
  <c r="IA291" i="11"/>
  <c r="IB291" i="11"/>
  <c r="IC291" i="11"/>
  <c r="ID291" i="11"/>
  <c r="IE291" i="11"/>
  <c r="IF291" i="11"/>
  <c r="IG291" i="11"/>
  <c r="IH291" i="11"/>
  <c r="II291" i="11"/>
  <c r="IJ291" i="11"/>
  <c r="IK291" i="11"/>
  <c r="IL291" i="11"/>
  <c r="IM291" i="11"/>
  <c r="IN291" i="11"/>
  <c r="IO291" i="11"/>
  <c r="IP291" i="11"/>
  <c r="IQ291" i="11"/>
  <c r="IR291" i="11"/>
  <c r="IS291" i="11"/>
  <c r="IT291" i="11"/>
  <c r="IU291" i="11"/>
  <c r="IV291" i="11"/>
  <c r="F292" i="11"/>
  <c r="G292" i="11"/>
  <c r="H292" i="11"/>
  <c r="I292" i="11"/>
  <c r="J292" i="11"/>
  <c r="K292" i="11"/>
  <c r="L292" i="11"/>
  <c r="M292" i="11"/>
  <c r="N292" i="11"/>
  <c r="O292" i="11"/>
  <c r="P292" i="11"/>
  <c r="Q292" i="11"/>
  <c r="R292" i="11"/>
  <c r="S292" i="11"/>
  <c r="T292" i="11"/>
  <c r="U292" i="11"/>
  <c r="V292" i="11"/>
  <c r="W292" i="11"/>
  <c r="X292" i="11"/>
  <c r="Y292" i="11"/>
  <c r="Z292" i="11"/>
  <c r="AA292" i="11"/>
  <c r="AB292" i="11"/>
  <c r="AC292" i="11"/>
  <c r="AD292" i="11"/>
  <c r="AE292" i="11"/>
  <c r="AF292" i="11"/>
  <c r="AG292" i="11"/>
  <c r="AH292" i="11"/>
  <c r="AI292" i="11"/>
  <c r="AJ292" i="11"/>
  <c r="AK292" i="11"/>
  <c r="AL292" i="11"/>
  <c r="AM292" i="11"/>
  <c r="AN292" i="11"/>
  <c r="AO292" i="11"/>
  <c r="AP292" i="11"/>
  <c r="AQ292" i="11"/>
  <c r="AR292" i="11"/>
  <c r="AS292" i="11"/>
  <c r="AT292" i="11"/>
  <c r="AU292" i="11"/>
  <c r="AV292" i="11"/>
  <c r="AW292" i="11"/>
  <c r="AX292" i="11"/>
  <c r="AY292" i="11"/>
  <c r="AZ292" i="11"/>
  <c r="BA292" i="11"/>
  <c r="BB292" i="11"/>
  <c r="BC292" i="11"/>
  <c r="BD292" i="11"/>
  <c r="BE292" i="11"/>
  <c r="BF292" i="11"/>
  <c r="BG292" i="11"/>
  <c r="BH292" i="11"/>
  <c r="BI292" i="11"/>
  <c r="BJ292" i="11"/>
  <c r="BK292" i="11"/>
  <c r="BL292" i="11"/>
  <c r="BM292" i="11"/>
  <c r="BN292" i="11"/>
  <c r="BO292" i="11"/>
  <c r="BP292" i="11"/>
  <c r="BQ292" i="11"/>
  <c r="BR292" i="11"/>
  <c r="BS292" i="11"/>
  <c r="BT292" i="11"/>
  <c r="BU292" i="11"/>
  <c r="BV292" i="11"/>
  <c r="BW292" i="11"/>
  <c r="BX292" i="11"/>
  <c r="BY292" i="11"/>
  <c r="BZ292" i="11"/>
  <c r="CA292" i="11"/>
  <c r="CB292" i="11"/>
  <c r="CC292" i="11"/>
  <c r="CD292" i="11"/>
  <c r="CE292" i="11"/>
  <c r="CF292" i="11"/>
  <c r="CG292" i="11"/>
  <c r="CH292" i="11"/>
  <c r="CI292" i="11"/>
  <c r="CJ292" i="11"/>
  <c r="CK292" i="11"/>
  <c r="CL292" i="11"/>
  <c r="CM292" i="11"/>
  <c r="CN292" i="11"/>
  <c r="CO292" i="11"/>
  <c r="CP292" i="11"/>
  <c r="CQ292" i="11"/>
  <c r="CR292" i="11"/>
  <c r="CS292" i="11"/>
  <c r="CT292" i="11"/>
  <c r="CU292" i="11"/>
  <c r="CV292" i="11"/>
  <c r="CW292" i="11"/>
  <c r="CX292" i="11"/>
  <c r="CY292" i="11"/>
  <c r="CZ292" i="11"/>
  <c r="DA292" i="11"/>
  <c r="DB292" i="11"/>
  <c r="DC292" i="11"/>
  <c r="DD292" i="11"/>
  <c r="DE292" i="11"/>
  <c r="DF292" i="11"/>
  <c r="DG292" i="11"/>
  <c r="DH292" i="11"/>
  <c r="DI292" i="11"/>
  <c r="DJ292" i="11"/>
  <c r="DK292" i="11"/>
  <c r="DL292" i="11"/>
  <c r="DM292" i="11"/>
  <c r="DN292" i="11"/>
  <c r="DO292" i="11"/>
  <c r="DP292" i="11"/>
  <c r="DQ292" i="11"/>
  <c r="DR292" i="11"/>
  <c r="DS292" i="11"/>
  <c r="DT292" i="11"/>
  <c r="DU292" i="11"/>
  <c r="DV292" i="11"/>
  <c r="DW292" i="11"/>
  <c r="DX292" i="11"/>
  <c r="DY292" i="11"/>
  <c r="DZ292" i="11"/>
  <c r="EA292" i="11"/>
  <c r="EB292" i="11"/>
  <c r="EC292" i="11"/>
  <c r="ED292" i="11"/>
  <c r="EE292" i="11"/>
  <c r="EF292" i="11"/>
  <c r="EG292" i="11"/>
  <c r="EH292" i="11"/>
  <c r="EI292" i="11"/>
  <c r="EJ292" i="11"/>
  <c r="EK292" i="11"/>
  <c r="EL292" i="11"/>
  <c r="EM292" i="11"/>
  <c r="EN292" i="11"/>
  <c r="EO292" i="11"/>
  <c r="EP292" i="11"/>
  <c r="EQ292" i="11"/>
  <c r="ER292" i="11"/>
  <c r="ES292" i="11"/>
  <c r="ET292" i="11"/>
  <c r="EU292" i="11"/>
  <c r="EV292" i="11"/>
  <c r="EW292" i="11"/>
  <c r="EX292" i="11"/>
  <c r="EY292" i="11"/>
  <c r="EZ292" i="11"/>
  <c r="FA292" i="11"/>
  <c r="FB292" i="11"/>
  <c r="FC292" i="11"/>
  <c r="FD292" i="11"/>
  <c r="FE292" i="11"/>
  <c r="FF292" i="11"/>
  <c r="FG292" i="11"/>
  <c r="FH292" i="11"/>
  <c r="FI292" i="11"/>
  <c r="FJ292" i="11"/>
  <c r="FK292" i="11"/>
  <c r="FL292" i="11"/>
  <c r="FM292" i="11"/>
  <c r="FN292" i="11"/>
  <c r="FO292" i="11"/>
  <c r="FP292" i="11"/>
  <c r="FQ292" i="11"/>
  <c r="FR292" i="11"/>
  <c r="FS292" i="11"/>
  <c r="FT292" i="11"/>
  <c r="FU292" i="11"/>
  <c r="FV292" i="11"/>
  <c r="FW292" i="11"/>
  <c r="FX292" i="11"/>
  <c r="FY292" i="11"/>
  <c r="FZ292" i="11"/>
  <c r="GA292" i="11"/>
  <c r="GB292" i="11"/>
  <c r="GC292" i="11"/>
  <c r="GD292" i="11"/>
  <c r="GE292" i="11"/>
  <c r="GF292" i="11"/>
  <c r="GG292" i="11"/>
  <c r="GH292" i="11"/>
  <c r="GI292" i="11"/>
  <c r="GJ292" i="11"/>
  <c r="GK292" i="11"/>
  <c r="GL292" i="11"/>
  <c r="GM292" i="11"/>
  <c r="GN292" i="11"/>
  <c r="GO292" i="11"/>
  <c r="GP292" i="11"/>
  <c r="GQ292" i="11"/>
  <c r="GR292" i="11"/>
  <c r="GS292" i="11"/>
  <c r="GT292" i="11"/>
  <c r="GU292" i="11"/>
  <c r="GV292" i="11"/>
  <c r="GW292" i="11"/>
  <c r="GX292" i="11"/>
  <c r="GY292" i="11"/>
  <c r="GZ292" i="11"/>
  <c r="HA292" i="11"/>
  <c r="HB292" i="11"/>
  <c r="HC292" i="11"/>
  <c r="HD292" i="11"/>
  <c r="HE292" i="11"/>
  <c r="HF292" i="11"/>
  <c r="HG292" i="11"/>
  <c r="HH292" i="11"/>
  <c r="HI292" i="11"/>
  <c r="HJ292" i="11"/>
  <c r="HK292" i="11"/>
  <c r="HL292" i="11"/>
  <c r="HM292" i="11"/>
  <c r="HN292" i="11"/>
  <c r="HO292" i="11"/>
  <c r="HP292" i="11"/>
  <c r="HQ292" i="11"/>
  <c r="HR292" i="11"/>
  <c r="HS292" i="11"/>
  <c r="HT292" i="11"/>
  <c r="HU292" i="11"/>
  <c r="HV292" i="11"/>
  <c r="HW292" i="11"/>
  <c r="HX292" i="11"/>
  <c r="HY292" i="11"/>
  <c r="HZ292" i="11"/>
  <c r="IA292" i="11"/>
  <c r="IB292" i="11"/>
  <c r="IC292" i="11"/>
  <c r="ID292" i="11"/>
  <c r="IE292" i="11"/>
  <c r="IF292" i="11"/>
  <c r="IG292" i="11"/>
  <c r="IH292" i="11"/>
  <c r="II292" i="11"/>
  <c r="IJ292" i="11"/>
  <c r="IK292" i="11"/>
  <c r="IL292" i="11"/>
  <c r="IM292" i="11"/>
  <c r="IN292" i="11"/>
  <c r="IO292" i="11"/>
  <c r="IP292" i="11"/>
  <c r="IQ292" i="11"/>
  <c r="IR292" i="11"/>
  <c r="IS292" i="11"/>
  <c r="IT292" i="11"/>
  <c r="IU292" i="11"/>
  <c r="IV292" i="11"/>
  <c r="F293" i="11"/>
  <c r="G293" i="11"/>
  <c r="H293" i="11"/>
  <c r="I293" i="11"/>
  <c r="J293" i="11"/>
  <c r="K293" i="11"/>
  <c r="L293" i="11"/>
  <c r="M293" i="11"/>
  <c r="N293" i="11"/>
  <c r="O293" i="11"/>
  <c r="P293" i="11"/>
  <c r="Q293" i="11"/>
  <c r="R293" i="11"/>
  <c r="S293" i="11"/>
  <c r="T293" i="11"/>
  <c r="U293" i="11"/>
  <c r="V293" i="11"/>
  <c r="W293" i="11"/>
  <c r="X293" i="11"/>
  <c r="Y293" i="11"/>
  <c r="Z293" i="11"/>
  <c r="AA293" i="11"/>
  <c r="AB293" i="11"/>
  <c r="AC293" i="11"/>
  <c r="AD293" i="11"/>
  <c r="AE293" i="11"/>
  <c r="AF293" i="11"/>
  <c r="AG293" i="11"/>
  <c r="AH293" i="11"/>
  <c r="AI293" i="11"/>
  <c r="AJ293" i="11"/>
  <c r="AK293" i="11"/>
  <c r="AL293" i="11"/>
  <c r="AM293" i="11"/>
  <c r="AN293" i="11"/>
  <c r="AO293" i="11"/>
  <c r="AP293" i="11"/>
  <c r="AQ293" i="11"/>
  <c r="AR293" i="11"/>
  <c r="AS293" i="11"/>
  <c r="AT293" i="11"/>
  <c r="AU293" i="11"/>
  <c r="AV293" i="11"/>
  <c r="AW293" i="11"/>
  <c r="AX293" i="11"/>
  <c r="AY293" i="11"/>
  <c r="AZ293" i="11"/>
  <c r="BA293" i="11"/>
  <c r="BB293" i="11"/>
  <c r="BC293" i="11"/>
  <c r="BD293" i="11"/>
  <c r="BE293" i="11"/>
  <c r="BF293" i="11"/>
  <c r="BG293" i="11"/>
  <c r="BH293" i="11"/>
  <c r="BI293" i="11"/>
  <c r="BJ293" i="11"/>
  <c r="BK293" i="11"/>
  <c r="BL293" i="11"/>
  <c r="BM293" i="11"/>
  <c r="BN293" i="11"/>
  <c r="BO293" i="11"/>
  <c r="BP293" i="11"/>
  <c r="BQ293" i="11"/>
  <c r="BR293" i="11"/>
  <c r="BS293" i="11"/>
  <c r="BT293" i="11"/>
  <c r="BU293" i="11"/>
  <c r="BV293" i="11"/>
  <c r="BW293" i="11"/>
  <c r="BX293" i="11"/>
  <c r="BY293" i="11"/>
  <c r="BZ293" i="11"/>
  <c r="CA293" i="11"/>
  <c r="CB293" i="11"/>
  <c r="CC293" i="11"/>
  <c r="CD293" i="11"/>
  <c r="CE293" i="11"/>
  <c r="CF293" i="11"/>
  <c r="CG293" i="11"/>
  <c r="CH293" i="11"/>
  <c r="CI293" i="11"/>
  <c r="CJ293" i="11"/>
  <c r="CK293" i="11"/>
  <c r="CL293" i="11"/>
  <c r="CM293" i="11"/>
  <c r="CN293" i="11"/>
  <c r="CO293" i="11"/>
  <c r="CP293" i="11"/>
  <c r="CQ293" i="11"/>
  <c r="CR293" i="11"/>
  <c r="CS293" i="11"/>
  <c r="CT293" i="11"/>
  <c r="CU293" i="11"/>
  <c r="CV293" i="11"/>
  <c r="CW293" i="11"/>
  <c r="CX293" i="11"/>
  <c r="CY293" i="11"/>
  <c r="CZ293" i="11"/>
  <c r="DA293" i="11"/>
  <c r="DB293" i="11"/>
  <c r="DC293" i="11"/>
  <c r="DD293" i="11"/>
  <c r="DE293" i="11"/>
  <c r="DF293" i="11"/>
  <c r="DG293" i="11"/>
  <c r="DH293" i="11"/>
  <c r="DI293" i="11"/>
  <c r="DJ293" i="11"/>
  <c r="DK293" i="11"/>
  <c r="DL293" i="11"/>
  <c r="DM293" i="11"/>
  <c r="DN293" i="11"/>
  <c r="DO293" i="11"/>
  <c r="DP293" i="11"/>
  <c r="DQ293" i="11"/>
  <c r="DR293" i="11"/>
  <c r="DS293" i="11"/>
  <c r="DT293" i="11"/>
  <c r="DU293" i="11"/>
  <c r="DV293" i="11"/>
  <c r="DW293" i="11"/>
  <c r="DX293" i="11"/>
  <c r="DY293" i="11"/>
  <c r="DZ293" i="11"/>
  <c r="EA293" i="11"/>
  <c r="EB293" i="11"/>
  <c r="EC293" i="11"/>
  <c r="ED293" i="11"/>
  <c r="EE293" i="11"/>
  <c r="EF293" i="11"/>
  <c r="EG293" i="11"/>
  <c r="EH293" i="11"/>
  <c r="EI293" i="11"/>
  <c r="EJ293" i="11"/>
  <c r="EK293" i="11"/>
  <c r="EL293" i="11"/>
  <c r="EM293" i="11"/>
  <c r="EN293" i="11"/>
  <c r="EO293" i="11"/>
  <c r="EP293" i="11"/>
  <c r="EQ293" i="11"/>
  <c r="ER293" i="11"/>
  <c r="ES293" i="11"/>
  <c r="ET293" i="11"/>
  <c r="EU293" i="11"/>
  <c r="EV293" i="11"/>
  <c r="EW293" i="11"/>
  <c r="EX293" i="11"/>
  <c r="EY293" i="11"/>
  <c r="EZ293" i="11"/>
  <c r="FA293" i="11"/>
  <c r="FB293" i="11"/>
  <c r="FC293" i="11"/>
  <c r="FD293" i="11"/>
  <c r="FE293" i="11"/>
  <c r="FF293" i="11"/>
  <c r="FG293" i="11"/>
  <c r="FH293" i="11"/>
  <c r="FI293" i="11"/>
  <c r="FJ293" i="11"/>
  <c r="FK293" i="11"/>
  <c r="FL293" i="11"/>
  <c r="FM293" i="11"/>
  <c r="FN293" i="11"/>
  <c r="FO293" i="11"/>
  <c r="FP293" i="11"/>
  <c r="FQ293" i="11"/>
  <c r="FR293" i="11"/>
  <c r="FS293" i="11"/>
  <c r="FT293" i="11"/>
  <c r="FU293" i="11"/>
  <c r="FV293" i="11"/>
  <c r="FW293" i="11"/>
  <c r="FX293" i="11"/>
  <c r="FY293" i="11"/>
  <c r="FZ293" i="11"/>
  <c r="GA293" i="11"/>
  <c r="GB293" i="11"/>
  <c r="GC293" i="11"/>
  <c r="GD293" i="11"/>
  <c r="GE293" i="11"/>
  <c r="GF293" i="11"/>
  <c r="GG293" i="11"/>
  <c r="GH293" i="11"/>
  <c r="GI293" i="11"/>
  <c r="GJ293" i="11"/>
  <c r="GK293" i="11"/>
  <c r="GL293" i="11"/>
  <c r="GM293" i="11"/>
  <c r="GN293" i="11"/>
  <c r="GO293" i="11"/>
  <c r="GP293" i="11"/>
  <c r="GQ293" i="11"/>
  <c r="GR293" i="11"/>
  <c r="GS293" i="11"/>
  <c r="GT293" i="11"/>
  <c r="GU293" i="11"/>
  <c r="GV293" i="11"/>
  <c r="GW293" i="11"/>
  <c r="GX293" i="11"/>
  <c r="GY293" i="11"/>
  <c r="GZ293" i="11"/>
  <c r="HA293" i="11"/>
  <c r="HB293" i="11"/>
  <c r="HC293" i="11"/>
  <c r="HD293" i="11"/>
  <c r="HE293" i="11"/>
  <c r="HF293" i="11"/>
  <c r="HG293" i="11"/>
  <c r="HH293" i="11"/>
  <c r="HI293" i="11"/>
  <c r="HJ293" i="11"/>
  <c r="HK293" i="11"/>
  <c r="HL293" i="11"/>
  <c r="HM293" i="11"/>
  <c r="HN293" i="11"/>
  <c r="HO293" i="11"/>
  <c r="HP293" i="11"/>
  <c r="HQ293" i="11"/>
  <c r="HR293" i="11"/>
  <c r="HS293" i="11"/>
  <c r="HT293" i="11"/>
  <c r="HU293" i="11"/>
  <c r="HV293" i="11"/>
  <c r="HW293" i="11"/>
  <c r="HX293" i="11"/>
  <c r="HY293" i="11"/>
  <c r="HZ293" i="11"/>
  <c r="IA293" i="11"/>
  <c r="IB293" i="11"/>
  <c r="IC293" i="11"/>
  <c r="ID293" i="11"/>
  <c r="IE293" i="11"/>
  <c r="IF293" i="11"/>
  <c r="IG293" i="11"/>
  <c r="IH293" i="11"/>
  <c r="II293" i="11"/>
  <c r="IJ293" i="11"/>
  <c r="IK293" i="11"/>
  <c r="IL293" i="11"/>
  <c r="IM293" i="11"/>
  <c r="IN293" i="11"/>
  <c r="IO293" i="11"/>
  <c r="IP293" i="11"/>
  <c r="IQ293" i="11"/>
  <c r="IR293" i="11"/>
  <c r="IS293" i="11"/>
  <c r="IT293" i="11"/>
  <c r="IU293" i="11"/>
  <c r="IV293" i="11"/>
  <c r="F294" i="11"/>
  <c r="G294" i="11"/>
  <c r="H294" i="11"/>
  <c r="I294" i="11"/>
  <c r="J294" i="11"/>
  <c r="K294" i="11"/>
  <c r="L294" i="11"/>
  <c r="M294" i="11"/>
  <c r="N294" i="11"/>
  <c r="O294" i="11"/>
  <c r="P294" i="11"/>
  <c r="Q294" i="11"/>
  <c r="R294" i="11"/>
  <c r="S294" i="11"/>
  <c r="T294" i="11"/>
  <c r="U294" i="11"/>
  <c r="V294" i="11"/>
  <c r="W294" i="11"/>
  <c r="X294" i="11"/>
  <c r="Y294" i="11"/>
  <c r="Z294" i="11"/>
  <c r="AA294" i="11"/>
  <c r="AB294" i="11"/>
  <c r="AC294" i="11"/>
  <c r="AD294" i="11"/>
  <c r="AE294" i="11"/>
  <c r="AF294" i="11"/>
  <c r="AG294" i="11"/>
  <c r="AH294" i="11"/>
  <c r="AI294" i="11"/>
  <c r="AJ294" i="11"/>
  <c r="AK294" i="11"/>
  <c r="AL294" i="11"/>
  <c r="AM294" i="11"/>
  <c r="AN294" i="11"/>
  <c r="AO294" i="11"/>
  <c r="AP294" i="11"/>
  <c r="AQ294" i="11"/>
  <c r="AR294" i="11"/>
  <c r="AS294" i="11"/>
  <c r="AT294" i="11"/>
  <c r="AU294" i="11"/>
  <c r="AV294" i="11"/>
  <c r="AW294" i="11"/>
  <c r="AX294" i="11"/>
  <c r="AY294" i="11"/>
  <c r="AZ294" i="11"/>
  <c r="BA294" i="11"/>
  <c r="BB294" i="11"/>
  <c r="BC294" i="11"/>
  <c r="BD294" i="11"/>
  <c r="BE294" i="11"/>
  <c r="BF294" i="11"/>
  <c r="BG294" i="11"/>
  <c r="BH294" i="11"/>
  <c r="BI294" i="11"/>
  <c r="BJ294" i="11"/>
  <c r="BK294" i="11"/>
  <c r="BL294" i="11"/>
  <c r="BM294" i="11"/>
  <c r="BN294" i="11"/>
  <c r="BO294" i="11"/>
  <c r="BP294" i="11"/>
  <c r="BQ294" i="11"/>
  <c r="BR294" i="11"/>
  <c r="BS294" i="11"/>
  <c r="BT294" i="11"/>
  <c r="BU294" i="11"/>
  <c r="BV294" i="11"/>
  <c r="BW294" i="11"/>
  <c r="BX294" i="11"/>
  <c r="BY294" i="11"/>
  <c r="BZ294" i="11"/>
  <c r="CA294" i="11"/>
  <c r="CB294" i="11"/>
  <c r="CC294" i="11"/>
  <c r="CD294" i="11"/>
  <c r="CE294" i="11"/>
  <c r="CF294" i="11"/>
  <c r="CG294" i="11"/>
  <c r="CH294" i="11"/>
  <c r="CI294" i="11"/>
  <c r="CJ294" i="11"/>
  <c r="CK294" i="11"/>
  <c r="CL294" i="11"/>
  <c r="CM294" i="11"/>
  <c r="CN294" i="11"/>
  <c r="CO294" i="11"/>
  <c r="CP294" i="11"/>
  <c r="CQ294" i="11"/>
  <c r="CR294" i="11"/>
  <c r="CS294" i="11"/>
  <c r="CT294" i="11"/>
  <c r="CU294" i="11"/>
  <c r="CV294" i="11"/>
  <c r="CW294" i="11"/>
  <c r="CX294" i="11"/>
  <c r="CY294" i="11"/>
  <c r="CZ294" i="11"/>
  <c r="DA294" i="11"/>
  <c r="DB294" i="11"/>
  <c r="DC294" i="11"/>
  <c r="DD294" i="11"/>
  <c r="DE294" i="11"/>
  <c r="DF294" i="11"/>
  <c r="DG294" i="11"/>
  <c r="DH294" i="11"/>
  <c r="DI294" i="11"/>
  <c r="DJ294" i="11"/>
  <c r="DK294" i="11"/>
  <c r="DL294" i="11"/>
  <c r="DM294" i="11"/>
  <c r="DN294" i="11"/>
  <c r="DO294" i="11"/>
  <c r="DP294" i="11"/>
  <c r="DQ294" i="11"/>
  <c r="DR294" i="11"/>
  <c r="DS294" i="11"/>
  <c r="DT294" i="11"/>
  <c r="DU294" i="11"/>
  <c r="DV294" i="11"/>
  <c r="DW294" i="11"/>
  <c r="DX294" i="11"/>
  <c r="DY294" i="11"/>
  <c r="DZ294" i="11"/>
  <c r="EA294" i="11"/>
  <c r="EB294" i="11"/>
  <c r="EC294" i="11"/>
  <c r="ED294" i="11"/>
  <c r="EE294" i="11"/>
  <c r="EF294" i="11"/>
  <c r="EG294" i="11"/>
  <c r="EH294" i="11"/>
  <c r="EI294" i="11"/>
  <c r="EJ294" i="11"/>
  <c r="EK294" i="11"/>
  <c r="EL294" i="11"/>
  <c r="EM294" i="11"/>
  <c r="EN294" i="11"/>
  <c r="EO294" i="11"/>
  <c r="EP294" i="11"/>
  <c r="EQ294" i="11"/>
  <c r="ER294" i="11"/>
  <c r="ES294" i="11"/>
  <c r="ET294" i="11"/>
  <c r="EU294" i="11"/>
  <c r="EV294" i="11"/>
  <c r="EW294" i="11"/>
  <c r="EX294" i="11"/>
  <c r="EY294" i="11"/>
  <c r="EZ294" i="11"/>
  <c r="FA294" i="11"/>
  <c r="FB294" i="11"/>
  <c r="FC294" i="11"/>
  <c r="FD294" i="11"/>
  <c r="FE294" i="11"/>
  <c r="FF294" i="11"/>
  <c r="FG294" i="11"/>
  <c r="FH294" i="11"/>
  <c r="FI294" i="11"/>
  <c r="FJ294" i="11"/>
  <c r="FK294" i="11"/>
  <c r="FL294" i="11"/>
  <c r="FM294" i="11"/>
  <c r="FN294" i="11"/>
  <c r="FO294" i="11"/>
  <c r="FP294" i="11"/>
  <c r="FQ294" i="11"/>
  <c r="FR294" i="11"/>
  <c r="FS294" i="11"/>
  <c r="FT294" i="11"/>
  <c r="FU294" i="11"/>
  <c r="FV294" i="11"/>
  <c r="FW294" i="11"/>
  <c r="FX294" i="11"/>
  <c r="FY294" i="11"/>
  <c r="FZ294" i="11"/>
  <c r="GA294" i="11"/>
  <c r="GB294" i="11"/>
  <c r="GC294" i="11"/>
  <c r="GD294" i="11"/>
  <c r="GE294" i="11"/>
  <c r="GF294" i="11"/>
  <c r="GG294" i="11"/>
  <c r="GH294" i="11"/>
  <c r="GI294" i="11"/>
  <c r="GJ294" i="11"/>
  <c r="GK294" i="11"/>
  <c r="GL294" i="11"/>
  <c r="GM294" i="11"/>
  <c r="GN294" i="11"/>
  <c r="GO294" i="11"/>
  <c r="GP294" i="11"/>
  <c r="GQ294" i="11"/>
  <c r="GR294" i="11"/>
  <c r="GS294" i="11"/>
  <c r="GT294" i="11"/>
  <c r="GU294" i="11"/>
  <c r="GV294" i="11"/>
  <c r="GW294" i="11"/>
  <c r="GX294" i="11"/>
  <c r="GY294" i="11"/>
  <c r="GZ294" i="11"/>
  <c r="HA294" i="11"/>
  <c r="HB294" i="11"/>
  <c r="HC294" i="11"/>
  <c r="HD294" i="11"/>
  <c r="HE294" i="11"/>
  <c r="HF294" i="11"/>
  <c r="HG294" i="11"/>
  <c r="HH294" i="11"/>
  <c r="HI294" i="11"/>
  <c r="HJ294" i="11"/>
  <c r="HK294" i="11"/>
  <c r="HL294" i="11"/>
  <c r="HM294" i="11"/>
  <c r="HN294" i="11"/>
  <c r="HO294" i="11"/>
  <c r="HP294" i="11"/>
  <c r="HQ294" i="11"/>
  <c r="HR294" i="11"/>
  <c r="HS294" i="11"/>
  <c r="HT294" i="11"/>
  <c r="HU294" i="11"/>
  <c r="HV294" i="11"/>
  <c r="HW294" i="11"/>
  <c r="HX294" i="11"/>
  <c r="HY294" i="11"/>
  <c r="HZ294" i="11"/>
  <c r="IA294" i="11"/>
  <c r="IB294" i="11"/>
  <c r="IC294" i="11"/>
  <c r="ID294" i="11"/>
  <c r="IE294" i="11"/>
  <c r="IF294" i="11"/>
  <c r="IG294" i="11"/>
  <c r="IH294" i="11"/>
  <c r="II294" i="11"/>
  <c r="IJ294" i="11"/>
  <c r="IK294" i="11"/>
  <c r="IL294" i="11"/>
  <c r="IM294" i="11"/>
  <c r="IN294" i="11"/>
  <c r="IO294" i="11"/>
  <c r="IP294" i="11"/>
  <c r="IQ294" i="11"/>
  <c r="IR294" i="11"/>
  <c r="IS294" i="11"/>
  <c r="IT294" i="11"/>
  <c r="IU294" i="11"/>
  <c r="IV294" i="11"/>
  <c r="F295" i="11"/>
  <c r="G295" i="11"/>
  <c r="H295" i="11"/>
  <c r="I295" i="11"/>
  <c r="J295" i="11"/>
  <c r="K295" i="11"/>
  <c r="L295" i="11"/>
  <c r="M295" i="11"/>
  <c r="N295" i="11"/>
  <c r="O295" i="11"/>
  <c r="P295" i="11"/>
  <c r="Q295" i="11"/>
  <c r="R295" i="11"/>
  <c r="S295" i="11"/>
  <c r="T295" i="11"/>
  <c r="U295" i="11"/>
  <c r="V295" i="11"/>
  <c r="W295" i="11"/>
  <c r="X295" i="11"/>
  <c r="Y295" i="11"/>
  <c r="Z295" i="11"/>
  <c r="AA295" i="11"/>
  <c r="AB295" i="11"/>
  <c r="AC295" i="11"/>
  <c r="AD295" i="11"/>
  <c r="AE295" i="11"/>
  <c r="AF295" i="11"/>
  <c r="AG295" i="11"/>
  <c r="AH295" i="11"/>
  <c r="AI295" i="11"/>
  <c r="AJ295" i="11"/>
  <c r="AK295" i="11"/>
  <c r="AL295" i="11"/>
  <c r="AM295" i="11"/>
  <c r="AN295" i="11"/>
  <c r="AO295" i="11"/>
  <c r="AP295" i="11"/>
  <c r="AQ295" i="11"/>
  <c r="AR295" i="11"/>
  <c r="AS295" i="11"/>
  <c r="AT295" i="11"/>
  <c r="AU295" i="11"/>
  <c r="AV295" i="11"/>
  <c r="AW295" i="11"/>
  <c r="AX295" i="11"/>
  <c r="AY295" i="11"/>
  <c r="AZ295" i="11"/>
  <c r="BA295" i="11"/>
  <c r="BB295" i="11"/>
  <c r="BC295" i="11"/>
  <c r="BD295" i="11"/>
  <c r="BE295" i="11"/>
  <c r="BF295" i="11"/>
  <c r="BG295" i="11"/>
  <c r="BH295" i="11"/>
  <c r="BI295" i="11"/>
  <c r="BJ295" i="11"/>
  <c r="BK295" i="11"/>
  <c r="BL295" i="11"/>
  <c r="BM295" i="11"/>
  <c r="BN295" i="11"/>
  <c r="BO295" i="11"/>
  <c r="BP295" i="11"/>
  <c r="BQ295" i="11"/>
  <c r="BR295" i="11"/>
  <c r="BS295" i="11"/>
  <c r="BT295" i="11"/>
  <c r="BU295" i="11"/>
  <c r="BV295" i="11"/>
  <c r="BW295" i="11"/>
  <c r="BX295" i="11"/>
  <c r="BY295" i="11"/>
  <c r="BZ295" i="11"/>
  <c r="CA295" i="11"/>
  <c r="CB295" i="11"/>
  <c r="CC295" i="11"/>
  <c r="CD295" i="11"/>
  <c r="CE295" i="11"/>
  <c r="CF295" i="11"/>
  <c r="CG295" i="11"/>
  <c r="CH295" i="11"/>
  <c r="CI295" i="11"/>
  <c r="CJ295" i="11"/>
  <c r="CK295" i="11"/>
  <c r="CL295" i="11"/>
  <c r="CM295" i="11"/>
  <c r="CN295" i="11"/>
  <c r="CO295" i="11"/>
  <c r="CP295" i="11"/>
  <c r="CQ295" i="11"/>
  <c r="CR295" i="11"/>
  <c r="CS295" i="11"/>
  <c r="CT295" i="11"/>
  <c r="CU295" i="11"/>
  <c r="CV295" i="11"/>
  <c r="CW295" i="11"/>
  <c r="CX295" i="11"/>
  <c r="CY295" i="11"/>
  <c r="CZ295" i="11"/>
  <c r="DA295" i="11"/>
  <c r="DB295" i="11"/>
  <c r="DC295" i="11"/>
  <c r="DD295" i="11"/>
  <c r="DE295" i="11"/>
  <c r="DF295" i="11"/>
  <c r="DG295" i="11"/>
  <c r="DH295" i="11"/>
  <c r="DI295" i="11"/>
  <c r="DJ295" i="11"/>
  <c r="DK295" i="11"/>
  <c r="DL295" i="11"/>
  <c r="DM295" i="11"/>
  <c r="DN295" i="11"/>
  <c r="DO295" i="11"/>
  <c r="DP295" i="11"/>
  <c r="DQ295" i="11"/>
  <c r="DR295" i="11"/>
  <c r="DS295" i="11"/>
  <c r="DT295" i="11"/>
  <c r="DU295" i="11"/>
  <c r="DV295" i="11"/>
  <c r="DW295" i="11"/>
  <c r="DX295" i="11"/>
  <c r="DY295" i="11"/>
  <c r="DZ295" i="11"/>
  <c r="EA295" i="11"/>
  <c r="EB295" i="11"/>
  <c r="EC295" i="11"/>
  <c r="ED295" i="11"/>
  <c r="EE295" i="11"/>
  <c r="EF295" i="11"/>
  <c r="EG295" i="11"/>
  <c r="EH295" i="11"/>
  <c r="EI295" i="11"/>
  <c r="EJ295" i="11"/>
  <c r="EK295" i="11"/>
  <c r="EL295" i="11"/>
  <c r="EM295" i="11"/>
  <c r="EN295" i="11"/>
  <c r="EO295" i="11"/>
  <c r="EP295" i="11"/>
  <c r="EQ295" i="11"/>
  <c r="ER295" i="11"/>
  <c r="ES295" i="11"/>
  <c r="ET295" i="11"/>
  <c r="EU295" i="11"/>
  <c r="EV295" i="11"/>
  <c r="EW295" i="11"/>
  <c r="EX295" i="11"/>
  <c r="EY295" i="11"/>
  <c r="EZ295" i="11"/>
  <c r="FA295" i="11"/>
  <c r="FB295" i="11"/>
  <c r="FC295" i="11"/>
  <c r="FD295" i="11"/>
  <c r="FE295" i="11"/>
  <c r="FF295" i="11"/>
  <c r="FG295" i="11"/>
  <c r="FH295" i="11"/>
  <c r="FI295" i="11"/>
  <c r="FJ295" i="11"/>
  <c r="FK295" i="11"/>
  <c r="FL295" i="11"/>
  <c r="FM295" i="11"/>
  <c r="FN295" i="11"/>
  <c r="FO295" i="11"/>
  <c r="FP295" i="11"/>
  <c r="FQ295" i="11"/>
  <c r="FR295" i="11"/>
  <c r="FS295" i="11"/>
  <c r="FT295" i="11"/>
  <c r="FU295" i="11"/>
  <c r="FV295" i="11"/>
  <c r="FW295" i="11"/>
  <c r="FX295" i="11"/>
  <c r="FY295" i="11"/>
  <c r="FZ295" i="11"/>
  <c r="GA295" i="11"/>
  <c r="GB295" i="11"/>
  <c r="GC295" i="11"/>
  <c r="GD295" i="11"/>
  <c r="GE295" i="11"/>
  <c r="GF295" i="11"/>
  <c r="GG295" i="11"/>
  <c r="GH295" i="11"/>
  <c r="GI295" i="11"/>
  <c r="GJ295" i="11"/>
  <c r="GK295" i="11"/>
  <c r="GL295" i="11"/>
  <c r="GM295" i="11"/>
  <c r="GN295" i="11"/>
  <c r="GO295" i="11"/>
  <c r="GP295" i="11"/>
  <c r="GQ295" i="11"/>
  <c r="GR295" i="11"/>
  <c r="GS295" i="11"/>
  <c r="GT295" i="11"/>
  <c r="GU295" i="11"/>
  <c r="GV295" i="11"/>
  <c r="GW295" i="11"/>
  <c r="GX295" i="11"/>
  <c r="GY295" i="11"/>
  <c r="GZ295" i="11"/>
  <c r="HA295" i="11"/>
  <c r="HB295" i="11"/>
  <c r="HC295" i="11"/>
  <c r="HD295" i="11"/>
  <c r="HE295" i="11"/>
  <c r="HF295" i="11"/>
  <c r="HG295" i="11"/>
  <c r="HH295" i="11"/>
  <c r="HI295" i="11"/>
  <c r="HJ295" i="11"/>
  <c r="HK295" i="11"/>
  <c r="HL295" i="11"/>
  <c r="HM295" i="11"/>
  <c r="HN295" i="11"/>
  <c r="HO295" i="11"/>
  <c r="HP295" i="11"/>
  <c r="HQ295" i="11"/>
  <c r="HR295" i="11"/>
  <c r="HS295" i="11"/>
  <c r="HT295" i="11"/>
  <c r="HU295" i="11"/>
  <c r="HV295" i="11"/>
  <c r="HW295" i="11"/>
  <c r="HX295" i="11"/>
  <c r="HY295" i="11"/>
  <c r="HZ295" i="11"/>
  <c r="IA295" i="11"/>
  <c r="IB295" i="11"/>
  <c r="IC295" i="11"/>
  <c r="ID295" i="11"/>
  <c r="IE295" i="11"/>
  <c r="IF295" i="11"/>
  <c r="IG295" i="11"/>
  <c r="IH295" i="11"/>
  <c r="II295" i="11"/>
  <c r="IJ295" i="11"/>
  <c r="IK295" i="11"/>
  <c r="IL295" i="11"/>
  <c r="IM295" i="11"/>
  <c r="IN295" i="11"/>
  <c r="IO295" i="11"/>
  <c r="IP295" i="11"/>
  <c r="IQ295" i="11"/>
  <c r="IR295" i="11"/>
  <c r="IS295" i="11"/>
  <c r="IT295" i="11"/>
  <c r="IU295" i="11"/>
  <c r="IV295" i="11"/>
  <c r="F296" i="11"/>
  <c r="G296" i="11"/>
  <c r="H296" i="11"/>
  <c r="I296" i="11"/>
  <c r="J296" i="11"/>
  <c r="K296" i="11"/>
  <c r="L296" i="11"/>
  <c r="M296" i="11"/>
  <c r="N296" i="11"/>
  <c r="O296" i="11"/>
  <c r="P296" i="11"/>
  <c r="Q296" i="11"/>
  <c r="R296" i="11"/>
  <c r="S296" i="11"/>
  <c r="T296" i="11"/>
  <c r="U296" i="11"/>
  <c r="V296" i="11"/>
  <c r="W296" i="11"/>
  <c r="X296" i="11"/>
  <c r="Y296" i="11"/>
  <c r="Z296" i="11"/>
  <c r="AA296" i="11"/>
  <c r="AB296" i="11"/>
  <c r="AC296" i="11"/>
  <c r="AD296" i="11"/>
  <c r="AE296" i="11"/>
  <c r="AF296" i="11"/>
  <c r="AG296" i="11"/>
  <c r="AH296" i="11"/>
  <c r="AI296" i="11"/>
  <c r="AJ296" i="11"/>
  <c r="AK296" i="11"/>
  <c r="AL296" i="11"/>
  <c r="AM296" i="11"/>
  <c r="AN296" i="11"/>
  <c r="AO296" i="11"/>
  <c r="AP296" i="11"/>
  <c r="AQ296" i="11"/>
  <c r="AR296" i="11"/>
  <c r="AS296" i="11"/>
  <c r="AT296" i="11"/>
  <c r="AU296" i="11"/>
  <c r="AV296" i="11"/>
  <c r="AW296" i="11"/>
  <c r="AX296" i="11"/>
  <c r="AY296" i="11"/>
  <c r="AZ296" i="11"/>
  <c r="BA296" i="11"/>
  <c r="BB296" i="11"/>
  <c r="BC296" i="11"/>
  <c r="BD296" i="11"/>
  <c r="BE296" i="11"/>
  <c r="BF296" i="11"/>
  <c r="BG296" i="11"/>
  <c r="BH296" i="11"/>
  <c r="BI296" i="11"/>
  <c r="BJ296" i="11"/>
  <c r="BK296" i="11"/>
  <c r="BL296" i="11"/>
  <c r="BM296" i="11"/>
  <c r="BN296" i="11"/>
  <c r="BO296" i="11"/>
  <c r="BP296" i="11"/>
  <c r="BQ296" i="11"/>
  <c r="BR296" i="11"/>
  <c r="BS296" i="11"/>
  <c r="BT296" i="11"/>
  <c r="BU296" i="11"/>
  <c r="BV296" i="11"/>
  <c r="BW296" i="11"/>
  <c r="BX296" i="11"/>
  <c r="BY296" i="11"/>
  <c r="BZ296" i="11"/>
  <c r="CA296" i="11"/>
  <c r="CB296" i="11"/>
  <c r="CC296" i="11"/>
  <c r="CD296" i="11"/>
  <c r="CE296" i="11"/>
  <c r="CF296" i="11"/>
  <c r="CG296" i="11"/>
  <c r="CH296" i="11"/>
  <c r="CI296" i="11"/>
  <c r="CJ296" i="11"/>
  <c r="CK296" i="11"/>
  <c r="CL296" i="11"/>
  <c r="CM296" i="11"/>
  <c r="CN296" i="11"/>
  <c r="CO296" i="11"/>
  <c r="CP296" i="11"/>
  <c r="CQ296" i="11"/>
  <c r="CR296" i="11"/>
  <c r="CS296" i="11"/>
  <c r="CT296" i="11"/>
  <c r="CU296" i="11"/>
  <c r="CV296" i="11"/>
  <c r="CW296" i="11"/>
  <c r="CX296" i="11"/>
  <c r="CY296" i="11"/>
  <c r="CZ296" i="11"/>
  <c r="DA296" i="11"/>
  <c r="DB296" i="11"/>
  <c r="DC296" i="11"/>
  <c r="DD296" i="11"/>
  <c r="DE296" i="11"/>
  <c r="DF296" i="11"/>
  <c r="DG296" i="11"/>
  <c r="DH296" i="11"/>
  <c r="DI296" i="11"/>
  <c r="DJ296" i="11"/>
  <c r="DK296" i="11"/>
  <c r="DL296" i="11"/>
  <c r="DM296" i="11"/>
  <c r="DN296" i="11"/>
  <c r="DO296" i="11"/>
  <c r="DP296" i="11"/>
  <c r="DQ296" i="11"/>
  <c r="DR296" i="11"/>
  <c r="DS296" i="11"/>
  <c r="DT296" i="11"/>
  <c r="DU296" i="11"/>
  <c r="DV296" i="11"/>
  <c r="DW296" i="11"/>
  <c r="DX296" i="11"/>
  <c r="DY296" i="11"/>
  <c r="DZ296" i="11"/>
  <c r="EA296" i="11"/>
  <c r="EB296" i="11"/>
  <c r="EC296" i="11"/>
  <c r="ED296" i="11"/>
  <c r="EE296" i="11"/>
  <c r="EF296" i="11"/>
  <c r="EG296" i="11"/>
  <c r="EH296" i="11"/>
  <c r="EI296" i="11"/>
  <c r="EJ296" i="11"/>
  <c r="EK296" i="11"/>
  <c r="EL296" i="11"/>
  <c r="EM296" i="11"/>
  <c r="EN296" i="11"/>
  <c r="EO296" i="11"/>
  <c r="EP296" i="11"/>
  <c r="EQ296" i="11"/>
  <c r="ER296" i="11"/>
  <c r="ES296" i="11"/>
  <c r="ET296" i="11"/>
  <c r="EU296" i="11"/>
  <c r="EV296" i="11"/>
  <c r="EW296" i="11"/>
  <c r="EX296" i="11"/>
  <c r="EY296" i="11"/>
  <c r="EZ296" i="11"/>
  <c r="FA296" i="11"/>
  <c r="FB296" i="11"/>
  <c r="FC296" i="11"/>
  <c r="FD296" i="11"/>
  <c r="FE296" i="11"/>
  <c r="FF296" i="11"/>
  <c r="FG296" i="11"/>
  <c r="FH296" i="11"/>
  <c r="FI296" i="11"/>
  <c r="FJ296" i="11"/>
  <c r="FK296" i="11"/>
  <c r="FL296" i="11"/>
  <c r="FM296" i="11"/>
  <c r="FN296" i="11"/>
  <c r="FO296" i="11"/>
  <c r="FP296" i="11"/>
  <c r="FQ296" i="11"/>
  <c r="FR296" i="11"/>
  <c r="FS296" i="11"/>
  <c r="FT296" i="11"/>
  <c r="FU296" i="11"/>
  <c r="FV296" i="11"/>
  <c r="FW296" i="11"/>
  <c r="FX296" i="11"/>
  <c r="FY296" i="11"/>
  <c r="FZ296" i="11"/>
  <c r="GA296" i="11"/>
  <c r="GB296" i="11"/>
  <c r="GC296" i="11"/>
  <c r="GD296" i="11"/>
  <c r="GE296" i="11"/>
  <c r="GF296" i="11"/>
  <c r="GG296" i="11"/>
  <c r="GH296" i="11"/>
  <c r="GI296" i="11"/>
  <c r="GJ296" i="11"/>
  <c r="GK296" i="11"/>
  <c r="GL296" i="11"/>
  <c r="GM296" i="11"/>
  <c r="GN296" i="11"/>
  <c r="GO296" i="11"/>
  <c r="GP296" i="11"/>
  <c r="GQ296" i="11"/>
  <c r="GR296" i="11"/>
  <c r="GS296" i="11"/>
  <c r="GT296" i="11"/>
  <c r="GU296" i="11"/>
  <c r="GV296" i="11"/>
  <c r="GW296" i="11"/>
  <c r="GX296" i="11"/>
  <c r="GY296" i="11"/>
  <c r="GZ296" i="11"/>
  <c r="HA296" i="11"/>
  <c r="HB296" i="11"/>
  <c r="HC296" i="11"/>
  <c r="HD296" i="11"/>
  <c r="HE296" i="11"/>
  <c r="HF296" i="11"/>
  <c r="HG296" i="11"/>
  <c r="HH296" i="11"/>
  <c r="HI296" i="11"/>
  <c r="HJ296" i="11"/>
  <c r="HK296" i="11"/>
  <c r="HL296" i="11"/>
  <c r="HM296" i="11"/>
  <c r="HN296" i="11"/>
  <c r="HO296" i="11"/>
  <c r="HP296" i="11"/>
  <c r="HQ296" i="11"/>
  <c r="HR296" i="11"/>
  <c r="HS296" i="11"/>
  <c r="HT296" i="11"/>
  <c r="HU296" i="11"/>
  <c r="HV296" i="11"/>
  <c r="HW296" i="11"/>
  <c r="HX296" i="11"/>
  <c r="HY296" i="11"/>
  <c r="HZ296" i="11"/>
  <c r="IA296" i="11"/>
  <c r="IB296" i="11"/>
  <c r="IC296" i="11"/>
  <c r="ID296" i="11"/>
  <c r="IE296" i="11"/>
  <c r="IF296" i="11"/>
  <c r="IG296" i="11"/>
  <c r="IH296" i="11"/>
  <c r="II296" i="11"/>
  <c r="IJ296" i="11"/>
  <c r="IK296" i="11"/>
  <c r="IL296" i="11"/>
  <c r="IM296" i="11"/>
  <c r="IN296" i="11"/>
  <c r="IO296" i="11"/>
  <c r="IP296" i="11"/>
  <c r="IQ296" i="11"/>
  <c r="IR296" i="11"/>
  <c r="IS296" i="11"/>
  <c r="IT296" i="11"/>
  <c r="IU296" i="11"/>
  <c r="IV296" i="11"/>
  <c r="F297" i="11"/>
  <c r="G297" i="11"/>
  <c r="H297" i="11"/>
  <c r="I297" i="11"/>
  <c r="J297" i="11"/>
  <c r="K297" i="11"/>
  <c r="L297" i="11"/>
  <c r="M297" i="11"/>
  <c r="N297" i="11"/>
  <c r="O297" i="11"/>
  <c r="P297" i="11"/>
  <c r="Q297" i="11"/>
  <c r="R297" i="11"/>
  <c r="S297" i="11"/>
  <c r="T297" i="11"/>
  <c r="U297" i="11"/>
  <c r="V297" i="11"/>
  <c r="W297" i="11"/>
  <c r="X297" i="11"/>
  <c r="Y297" i="11"/>
  <c r="Z297" i="11"/>
  <c r="AA297" i="11"/>
  <c r="AB297" i="11"/>
  <c r="AC297" i="11"/>
  <c r="AD297" i="11"/>
  <c r="AE297" i="11"/>
  <c r="AF297" i="11"/>
  <c r="AG297" i="11"/>
  <c r="AH297" i="11"/>
  <c r="AI297" i="11"/>
  <c r="AJ297" i="11"/>
  <c r="AK297" i="11"/>
  <c r="AL297" i="11"/>
  <c r="AM297" i="11"/>
  <c r="AN297" i="11"/>
  <c r="AO297" i="11"/>
  <c r="AP297" i="11"/>
  <c r="AQ297" i="11"/>
  <c r="AR297" i="11"/>
  <c r="AS297" i="11"/>
  <c r="AT297" i="11"/>
  <c r="AU297" i="11"/>
  <c r="AV297" i="11"/>
  <c r="AW297" i="11"/>
  <c r="AX297" i="11"/>
  <c r="AY297" i="11"/>
  <c r="AZ297" i="11"/>
  <c r="BA297" i="11"/>
  <c r="BB297" i="11"/>
  <c r="BC297" i="11"/>
  <c r="BD297" i="11"/>
  <c r="BE297" i="11"/>
  <c r="BF297" i="11"/>
  <c r="BG297" i="11"/>
  <c r="BH297" i="11"/>
  <c r="BI297" i="11"/>
  <c r="BJ297" i="11"/>
  <c r="BK297" i="11"/>
  <c r="BL297" i="11"/>
  <c r="BM297" i="11"/>
  <c r="BN297" i="11"/>
  <c r="BO297" i="11"/>
  <c r="BP297" i="11"/>
  <c r="BQ297" i="11"/>
  <c r="BR297" i="11"/>
  <c r="BS297" i="11"/>
  <c r="BT297" i="11"/>
  <c r="BU297" i="11"/>
  <c r="BV297" i="11"/>
  <c r="BW297" i="11"/>
  <c r="BX297" i="11"/>
  <c r="BY297" i="11"/>
  <c r="BZ297" i="11"/>
  <c r="CA297" i="11"/>
  <c r="CB297" i="11"/>
  <c r="CC297" i="11"/>
  <c r="CD297" i="11"/>
  <c r="CE297" i="11"/>
  <c r="CF297" i="11"/>
  <c r="CG297" i="11"/>
  <c r="CH297" i="11"/>
  <c r="CI297" i="11"/>
  <c r="CJ297" i="11"/>
  <c r="CK297" i="11"/>
  <c r="CL297" i="11"/>
  <c r="CM297" i="11"/>
  <c r="CN297" i="11"/>
  <c r="CO297" i="11"/>
  <c r="CP297" i="11"/>
  <c r="CQ297" i="11"/>
  <c r="CR297" i="11"/>
  <c r="CS297" i="11"/>
  <c r="CT297" i="11"/>
  <c r="CU297" i="11"/>
  <c r="CV297" i="11"/>
  <c r="CW297" i="11"/>
  <c r="CX297" i="11"/>
  <c r="CY297" i="11"/>
  <c r="CZ297" i="11"/>
  <c r="DA297" i="11"/>
  <c r="DB297" i="11"/>
  <c r="DC297" i="11"/>
  <c r="DD297" i="11"/>
  <c r="DE297" i="11"/>
  <c r="DF297" i="11"/>
  <c r="DG297" i="11"/>
  <c r="DH297" i="11"/>
  <c r="DI297" i="11"/>
  <c r="DJ297" i="11"/>
  <c r="DK297" i="11"/>
  <c r="DL297" i="11"/>
  <c r="DM297" i="11"/>
  <c r="DN297" i="11"/>
  <c r="DO297" i="11"/>
  <c r="DP297" i="11"/>
  <c r="DQ297" i="11"/>
  <c r="DR297" i="11"/>
  <c r="DS297" i="11"/>
  <c r="DT297" i="11"/>
  <c r="DU297" i="11"/>
  <c r="DV297" i="11"/>
  <c r="DW297" i="11"/>
  <c r="DX297" i="11"/>
  <c r="DY297" i="11"/>
  <c r="DZ297" i="11"/>
  <c r="EA297" i="11"/>
  <c r="EB297" i="11"/>
  <c r="EC297" i="11"/>
  <c r="ED297" i="11"/>
  <c r="EE297" i="11"/>
  <c r="EF297" i="11"/>
  <c r="EG297" i="11"/>
  <c r="EH297" i="11"/>
  <c r="EI297" i="11"/>
  <c r="EJ297" i="11"/>
  <c r="EK297" i="11"/>
  <c r="EL297" i="11"/>
  <c r="EM297" i="11"/>
  <c r="EN297" i="11"/>
  <c r="EO297" i="11"/>
  <c r="EP297" i="11"/>
  <c r="EQ297" i="11"/>
  <c r="ER297" i="11"/>
  <c r="ES297" i="11"/>
  <c r="ET297" i="11"/>
  <c r="EU297" i="11"/>
  <c r="EV297" i="11"/>
  <c r="EW297" i="11"/>
  <c r="EX297" i="11"/>
  <c r="EY297" i="11"/>
  <c r="EZ297" i="11"/>
  <c r="FA297" i="11"/>
  <c r="FB297" i="11"/>
  <c r="FC297" i="11"/>
  <c r="FD297" i="11"/>
  <c r="FE297" i="11"/>
  <c r="FF297" i="11"/>
  <c r="FG297" i="11"/>
  <c r="FH297" i="11"/>
  <c r="FI297" i="11"/>
  <c r="FJ297" i="11"/>
  <c r="FK297" i="11"/>
  <c r="FL297" i="11"/>
  <c r="FM297" i="11"/>
  <c r="FN297" i="11"/>
  <c r="FO297" i="11"/>
  <c r="FP297" i="11"/>
  <c r="FQ297" i="11"/>
  <c r="FR297" i="11"/>
  <c r="FS297" i="11"/>
  <c r="FT297" i="11"/>
  <c r="FU297" i="11"/>
  <c r="FV297" i="11"/>
  <c r="FW297" i="11"/>
  <c r="FX297" i="11"/>
  <c r="FY297" i="11"/>
  <c r="FZ297" i="11"/>
  <c r="GA297" i="11"/>
  <c r="GB297" i="11"/>
  <c r="GC297" i="11"/>
  <c r="GD297" i="11"/>
  <c r="GE297" i="11"/>
  <c r="GF297" i="11"/>
  <c r="GG297" i="11"/>
  <c r="GH297" i="11"/>
  <c r="GI297" i="11"/>
  <c r="GJ297" i="11"/>
  <c r="GK297" i="11"/>
  <c r="GL297" i="11"/>
  <c r="GM297" i="11"/>
  <c r="GN297" i="11"/>
  <c r="GO297" i="11"/>
  <c r="GP297" i="11"/>
  <c r="GQ297" i="11"/>
  <c r="GR297" i="11"/>
  <c r="GS297" i="11"/>
  <c r="GT297" i="11"/>
  <c r="GU297" i="11"/>
  <c r="GV297" i="11"/>
  <c r="GW297" i="11"/>
  <c r="GX297" i="11"/>
  <c r="GY297" i="11"/>
  <c r="GZ297" i="11"/>
  <c r="HA297" i="11"/>
  <c r="HB297" i="11"/>
  <c r="HC297" i="11"/>
  <c r="HD297" i="11"/>
  <c r="HE297" i="11"/>
  <c r="HF297" i="11"/>
  <c r="HG297" i="11"/>
  <c r="HH297" i="11"/>
  <c r="HI297" i="11"/>
  <c r="HJ297" i="11"/>
  <c r="HK297" i="11"/>
  <c r="HL297" i="11"/>
  <c r="HM297" i="11"/>
  <c r="HN297" i="11"/>
  <c r="HO297" i="11"/>
  <c r="HP297" i="11"/>
  <c r="HQ297" i="11"/>
  <c r="HR297" i="11"/>
  <c r="HS297" i="11"/>
  <c r="HT297" i="11"/>
  <c r="HU297" i="11"/>
  <c r="HV297" i="11"/>
  <c r="HW297" i="11"/>
  <c r="HX297" i="11"/>
  <c r="HY297" i="11"/>
  <c r="HZ297" i="11"/>
  <c r="IA297" i="11"/>
  <c r="IB297" i="11"/>
  <c r="IC297" i="11"/>
  <c r="ID297" i="11"/>
  <c r="IE297" i="11"/>
  <c r="IF297" i="11"/>
  <c r="IG297" i="11"/>
  <c r="IH297" i="11"/>
  <c r="II297" i="11"/>
  <c r="IJ297" i="11"/>
  <c r="IK297" i="11"/>
  <c r="IL297" i="11"/>
  <c r="IM297" i="11"/>
  <c r="IN297" i="11"/>
  <c r="IO297" i="11"/>
  <c r="IP297" i="11"/>
  <c r="IQ297" i="11"/>
  <c r="IR297" i="11"/>
  <c r="IS297" i="11"/>
  <c r="IT297" i="11"/>
  <c r="IU297" i="11"/>
  <c r="IV297" i="11"/>
  <c r="F298" i="11"/>
  <c r="G298" i="11"/>
  <c r="H298" i="11"/>
  <c r="I298" i="11"/>
  <c r="J298" i="11"/>
  <c r="K298" i="11"/>
  <c r="L298" i="11"/>
  <c r="M298" i="11"/>
  <c r="N298" i="11"/>
  <c r="O298" i="11"/>
  <c r="P298" i="11"/>
  <c r="Q298" i="11"/>
  <c r="R298" i="11"/>
  <c r="S298" i="11"/>
  <c r="T298" i="11"/>
  <c r="U298" i="11"/>
  <c r="V298" i="11"/>
  <c r="W298" i="11"/>
  <c r="X298" i="11"/>
  <c r="Y298" i="11"/>
  <c r="Z298" i="11"/>
  <c r="AA298" i="11"/>
  <c r="AB298" i="11"/>
  <c r="AC298" i="11"/>
  <c r="AD298" i="11"/>
  <c r="AE298" i="11"/>
  <c r="AF298" i="11"/>
  <c r="AG298" i="11"/>
  <c r="AH298" i="11"/>
  <c r="AI298" i="11"/>
  <c r="AJ298" i="11"/>
  <c r="AK298" i="11"/>
  <c r="AL298" i="11"/>
  <c r="AM298" i="11"/>
  <c r="AN298" i="11"/>
  <c r="AO298" i="11"/>
  <c r="AP298" i="11"/>
  <c r="AQ298" i="11"/>
  <c r="AR298" i="11"/>
  <c r="AS298" i="11"/>
  <c r="AT298" i="11"/>
  <c r="AU298" i="11"/>
  <c r="AV298" i="11"/>
  <c r="AW298" i="11"/>
  <c r="AX298" i="11"/>
  <c r="AY298" i="11"/>
  <c r="AZ298" i="11"/>
  <c r="BA298" i="11"/>
  <c r="BB298" i="11"/>
  <c r="BC298" i="11"/>
  <c r="BD298" i="11"/>
  <c r="BE298" i="11"/>
  <c r="BF298" i="11"/>
  <c r="BG298" i="11"/>
  <c r="BH298" i="11"/>
  <c r="BI298" i="11"/>
  <c r="BJ298" i="11"/>
  <c r="BK298" i="11"/>
  <c r="BL298" i="11"/>
  <c r="BM298" i="11"/>
  <c r="BN298" i="11"/>
  <c r="BO298" i="11"/>
  <c r="BP298" i="11"/>
  <c r="BQ298" i="11"/>
  <c r="BR298" i="11"/>
  <c r="BS298" i="11"/>
  <c r="BT298" i="11"/>
  <c r="BU298" i="11"/>
  <c r="BV298" i="11"/>
  <c r="BW298" i="11"/>
  <c r="BX298" i="11"/>
  <c r="BY298" i="11"/>
  <c r="BZ298" i="11"/>
  <c r="CA298" i="11"/>
  <c r="CB298" i="11"/>
  <c r="CC298" i="11"/>
  <c r="CD298" i="11"/>
  <c r="CE298" i="11"/>
  <c r="CF298" i="11"/>
  <c r="CG298" i="11"/>
  <c r="CH298" i="11"/>
  <c r="CI298" i="11"/>
  <c r="CJ298" i="11"/>
  <c r="CK298" i="11"/>
  <c r="CL298" i="11"/>
  <c r="CM298" i="11"/>
  <c r="CN298" i="11"/>
  <c r="CO298" i="11"/>
  <c r="CP298" i="11"/>
  <c r="CQ298" i="11"/>
  <c r="CR298" i="11"/>
  <c r="CS298" i="11"/>
  <c r="CT298" i="11"/>
  <c r="CU298" i="11"/>
  <c r="CV298" i="11"/>
  <c r="CW298" i="11"/>
  <c r="CX298" i="11"/>
  <c r="CY298" i="11"/>
  <c r="CZ298" i="11"/>
  <c r="DA298" i="11"/>
  <c r="DB298" i="11"/>
  <c r="DC298" i="11"/>
  <c r="DD298" i="11"/>
  <c r="DE298" i="11"/>
  <c r="DF298" i="11"/>
  <c r="DG298" i="11"/>
  <c r="DH298" i="11"/>
  <c r="DI298" i="11"/>
  <c r="DJ298" i="11"/>
  <c r="DK298" i="11"/>
  <c r="DL298" i="11"/>
  <c r="DM298" i="11"/>
  <c r="DN298" i="11"/>
  <c r="DO298" i="11"/>
  <c r="DP298" i="11"/>
  <c r="DQ298" i="11"/>
  <c r="DR298" i="11"/>
  <c r="DS298" i="11"/>
  <c r="DT298" i="11"/>
  <c r="DU298" i="11"/>
  <c r="DV298" i="11"/>
  <c r="DW298" i="11"/>
  <c r="DX298" i="11"/>
  <c r="DY298" i="11"/>
  <c r="DZ298" i="11"/>
  <c r="EA298" i="11"/>
  <c r="EB298" i="11"/>
  <c r="EC298" i="11"/>
  <c r="ED298" i="11"/>
  <c r="EE298" i="11"/>
  <c r="EF298" i="11"/>
  <c r="EG298" i="11"/>
  <c r="EH298" i="11"/>
  <c r="EI298" i="11"/>
  <c r="EJ298" i="11"/>
  <c r="EK298" i="11"/>
  <c r="EL298" i="11"/>
  <c r="EM298" i="11"/>
  <c r="EN298" i="11"/>
  <c r="EO298" i="11"/>
  <c r="EP298" i="11"/>
  <c r="EQ298" i="11"/>
  <c r="ER298" i="11"/>
  <c r="ES298" i="11"/>
  <c r="ET298" i="11"/>
  <c r="EU298" i="11"/>
  <c r="EV298" i="11"/>
  <c r="EW298" i="11"/>
  <c r="EX298" i="11"/>
  <c r="EY298" i="11"/>
  <c r="EZ298" i="11"/>
  <c r="FA298" i="11"/>
  <c r="FB298" i="11"/>
  <c r="FC298" i="11"/>
  <c r="FD298" i="11"/>
  <c r="FE298" i="11"/>
  <c r="FF298" i="11"/>
  <c r="FG298" i="11"/>
  <c r="FH298" i="11"/>
  <c r="FI298" i="11"/>
  <c r="FJ298" i="11"/>
  <c r="FK298" i="11"/>
  <c r="FL298" i="11"/>
  <c r="FM298" i="11"/>
  <c r="FN298" i="11"/>
  <c r="FO298" i="11"/>
  <c r="FP298" i="11"/>
  <c r="FQ298" i="11"/>
  <c r="FR298" i="11"/>
  <c r="FS298" i="11"/>
  <c r="FT298" i="11"/>
  <c r="FU298" i="11"/>
  <c r="FV298" i="11"/>
  <c r="FW298" i="11"/>
  <c r="FX298" i="11"/>
  <c r="FY298" i="11"/>
  <c r="FZ298" i="11"/>
  <c r="GA298" i="11"/>
  <c r="GB298" i="11"/>
  <c r="GC298" i="11"/>
  <c r="GD298" i="11"/>
  <c r="GE298" i="11"/>
  <c r="GF298" i="11"/>
  <c r="GG298" i="11"/>
  <c r="GH298" i="11"/>
  <c r="GI298" i="11"/>
  <c r="GJ298" i="11"/>
  <c r="GK298" i="11"/>
  <c r="GL298" i="11"/>
  <c r="GM298" i="11"/>
  <c r="GN298" i="11"/>
  <c r="GO298" i="11"/>
  <c r="GP298" i="11"/>
  <c r="GQ298" i="11"/>
  <c r="GR298" i="11"/>
  <c r="GS298" i="11"/>
  <c r="GT298" i="11"/>
  <c r="GU298" i="11"/>
  <c r="GV298" i="11"/>
  <c r="GW298" i="11"/>
  <c r="GX298" i="11"/>
  <c r="GY298" i="11"/>
  <c r="GZ298" i="11"/>
  <c r="HA298" i="11"/>
  <c r="HB298" i="11"/>
  <c r="HC298" i="11"/>
  <c r="HD298" i="11"/>
  <c r="HE298" i="11"/>
  <c r="HF298" i="11"/>
  <c r="HG298" i="11"/>
  <c r="HH298" i="11"/>
  <c r="HI298" i="11"/>
  <c r="HJ298" i="11"/>
  <c r="HK298" i="11"/>
  <c r="HL298" i="11"/>
  <c r="HM298" i="11"/>
  <c r="HN298" i="11"/>
  <c r="HO298" i="11"/>
  <c r="HP298" i="11"/>
  <c r="HQ298" i="11"/>
  <c r="HR298" i="11"/>
  <c r="HS298" i="11"/>
  <c r="HT298" i="11"/>
  <c r="HU298" i="11"/>
  <c r="HV298" i="11"/>
  <c r="HW298" i="11"/>
  <c r="HX298" i="11"/>
  <c r="HY298" i="11"/>
  <c r="HZ298" i="11"/>
  <c r="IA298" i="11"/>
  <c r="IB298" i="11"/>
  <c r="IC298" i="11"/>
  <c r="ID298" i="11"/>
  <c r="IE298" i="11"/>
  <c r="IF298" i="11"/>
  <c r="IG298" i="11"/>
  <c r="IH298" i="11"/>
  <c r="II298" i="11"/>
  <c r="IJ298" i="11"/>
  <c r="IK298" i="11"/>
  <c r="IL298" i="11"/>
  <c r="IM298" i="11"/>
  <c r="IN298" i="11"/>
  <c r="IO298" i="11"/>
  <c r="IP298" i="11"/>
  <c r="IQ298" i="11"/>
  <c r="IR298" i="11"/>
  <c r="IS298" i="11"/>
  <c r="IT298" i="11"/>
  <c r="IU298" i="11"/>
  <c r="IV298" i="11"/>
  <c r="F299" i="11"/>
  <c r="G299" i="11"/>
  <c r="H299" i="11"/>
  <c r="I299" i="11"/>
  <c r="J299" i="11"/>
  <c r="K299" i="11"/>
  <c r="L299" i="11"/>
  <c r="M299" i="11"/>
  <c r="N299" i="11"/>
  <c r="O299" i="11"/>
  <c r="P299" i="11"/>
  <c r="Q299" i="11"/>
  <c r="R299" i="11"/>
  <c r="S299" i="11"/>
  <c r="T299" i="11"/>
  <c r="U299" i="11"/>
  <c r="V299" i="11"/>
  <c r="W299" i="11"/>
  <c r="X299" i="11"/>
  <c r="Y299" i="11"/>
  <c r="Z299" i="11"/>
  <c r="AA299" i="11"/>
  <c r="AB299" i="11"/>
  <c r="AC299" i="11"/>
  <c r="AD299" i="11"/>
  <c r="AE299" i="11"/>
  <c r="AF299" i="11"/>
  <c r="AG299" i="11"/>
  <c r="AH299" i="11"/>
  <c r="AI299" i="11"/>
  <c r="AJ299" i="11"/>
  <c r="AK299" i="11"/>
  <c r="AL299" i="11"/>
  <c r="AM299" i="11"/>
  <c r="AN299" i="11"/>
  <c r="AO299" i="11"/>
  <c r="AP299" i="11"/>
  <c r="AQ299" i="11"/>
  <c r="AR299" i="11"/>
  <c r="AS299" i="11"/>
  <c r="AT299" i="11"/>
  <c r="AU299" i="11"/>
  <c r="AV299" i="11"/>
  <c r="AW299" i="11"/>
  <c r="AX299" i="11"/>
  <c r="AY299" i="11"/>
  <c r="AZ299" i="11"/>
  <c r="BA299" i="11"/>
  <c r="BB299" i="11"/>
  <c r="BC299" i="11"/>
  <c r="BD299" i="11"/>
  <c r="BE299" i="11"/>
  <c r="BF299" i="11"/>
  <c r="BG299" i="11"/>
  <c r="BH299" i="11"/>
  <c r="BI299" i="11"/>
  <c r="BJ299" i="11"/>
  <c r="BK299" i="11"/>
  <c r="BL299" i="11"/>
  <c r="BM299" i="11"/>
  <c r="BN299" i="11"/>
  <c r="BO299" i="11"/>
  <c r="BP299" i="11"/>
  <c r="BQ299" i="11"/>
  <c r="BR299" i="11"/>
  <c r="BS299" i="11"/>
  <c r="BT299" i="11"/>
  <c r="BU299" i="11"/>
  <c r="BV299" i="11"/>
  <c r="BW299" i="11"/>
  <c r="BX299" i="11"/>
  <c r="BY299" i="11"/>
  <c r="BZ299" i="11"/>
  <c r="CA299" i="11"/>
  <c r="CB299" i="11"/>
  <c r="CC299" i="11"/>
  <c r="CD299" i="11"/>
  <c r="CE299" i="11"/>
  <c r="CF299" i="11"/>
  <c r="CG299" i="11"/>
  <c r="CH299" i="11"/>
  <c r="CI299" i="11"/>
  <c r="CJ299" i="11"/>
  <c r="CK299" i="11"/>
  <c r="CL299" i="11"/>
  <c r="CM299" i="11"/>
  <c r="CN299" i="11"/>
  <c r="CO299" i="11"/>
  <c r="CP299" i="11"/>
  <c r="CQ299" i="11"/>
  <c r="CR299" i="11"/>
  <c r="CS299" i="11"/>
  <c r="CT299" i="11"/>
  <c r="CU299" i="11"/>
  <c r="CV299" i="11"/>
  <c r="CW299" i="11"/>
  <c r="CX299" i="11"/>
  <c r="CY299" i="11"/>
  <c r="CZ299" i="11"/>
  <c r="DA299" i="11"/>
  <c r="DB299" i="11"/>
  <c r="DC299" i="11"/>
  <c r="DD299" i="11"/>
  <c r="DE299" i="11"/>
  <c r="DF299" i="11"/>
  <c r="DG299" i="11"/>
  <c r="DH299" i="11"/>
  <c r="DI299" i="11"/>
  <c r="DJ299" i="11"/>
  <c r="DK299" i="11"/>
  <c r="DL299" i="11"/>
  <c r="DM299" i="11"/>
  <c r="DN299" i="11"/>
  <c r="DO299" i="11"/>
  <c r="DP299" i="11"/>
  <c r="DQ299" i="11"/>
  <c r="DR299" i="11"/>
  <c r="DS299" i="11"/>
  <c r="DT299" i="11"/>
  <c r="DU299" i="11"/>
  <c r="DV299" i="11"/>
  <c r="DW299" i="11"/>
  <c r="DX299" i="11"/>
  <c r="DY299" i="11"/>
  <c r="DZ299" i="11"/>
  <c r="EA299" i="11"/>
  <c r="EB299" i="11"/>
  <c r="EC299" i="11"/>
  <c r="ED299" i="11"/>
  <c r="EE299" i="11"/>
  <c r="EF299" i="11"/>
  <c r="EG299" i="11"/>
  <c r="EH299" i="11"/>
  <c r="EI299" i="11"/>
  <c r="EJ299" i="11"/>
  <c r="EK299" i="11"/>
  <c r="EL299" i="11"/>
  <c r="EM299" i="11"/>
  <c r="EN299" i="11"/>
  <c r="EO299" i="11"/>
  <c r="EP299" i="11"/>
  <c r="EQ299" i="11"/>
  <c r="ER299" i="11"/>
  <c r="ES299" i="11"/>
  <c r="ET299" i="11"/>
  <c r="EU299" i="11"/>
  <c r="EV299" i="11"/>
  <c r="EW299" i="11"/>
  <c r="EX299" i="11"/>
  <c r="EY299" i="11"/>
  <c r="EZ299" i="11"/>
  <c r="FA299" i="11"/>
  <c r="FB299" i="11"/>
  <c r="FC299" i="11"/>
  <c r="FD299" i="11"/>
  <c r="FE299" i="11"/>
  <c r="FF299" i="11"/>
  <c r="FG299" i="11"/>
  <c r="FH299" i="11"/>
  <c r="FI299" i="11"/>
  <c r="FJ299" i="11"/>
  <c r="FK299" i="11"/>
  <c r="FL299" i="11"/>
  <c r="FM299" i="11"/>
  <c r="FN299" i="11"/>
  <c r="FO299" i="11"/>
  <c r="FP299" i="11"/>
  <c r="FQ299" i="11"/>
  <c r="FR299" i="11"/>
  <c r="FS299" i="11"/>
  <c r="FT299" i="11"/>
  <c r="FU299" i="11"/>
  <c r="FV299" i="11"/>
  <c r="FW299" i="11"/>
  <c r="FX299" i="11"/>
  <c r="FY299" i="11"/>
  <c r="FZ299" i="11"/>
  <c r="GA299" i="11"/>
  <c r="GB299" i="11"/>
  <c r="GC299" i="11"/>
  <c r="GD299" i="11"/>
  <c r="GE299" i="11"/>
  <c r="GF299" i="11"/>
  <c r="GG299" i="11"/>
  <c r="GH299" i="11"/>
  <c r="GI299" i="11"/>
  <c r="GJ299" i="11"/>
  <c r="GK299" i="11"/>
  <c r="GL299" i="11"/>
  <c r="GM299" i="11"/>
  <c r="GN299" i="11"/>
  <c r="GO299" i="11"/>
  <c r="GP299" i="11"/>
  <c r="GQ299" i="11"/>
  <c r="GR299" i="11"/>
  <c r="GS299" i="11"/>
  <c r="GT299" i="11"/>
  <c r="GU299" i="11"/>
  <c r="GV299" i="11"/>
  <c r="GW299" i="11"/>
  <c r="GX299" i="11"/>
  <c r="GY299" i="11"/>
  <c r="GZ299" i="11"/>
  <c r="HA299" i="11"/>
  <c r="HB299" i="11"/>
  <c r="HC299" i="11"/>
  <c r="HD299" i="11"/>
  <c r="HE299" i="11"/>
  <c r="HF299" i="11"/>
  <c r="HG299" i="11"/>
  <c r="HH299" i="11"/>
  <c r="HI299" i="11"/>
  <c r="HJ299" i="11"/>
  <c r="HK299" i="11"/>
  <c r="HL299" i="11"/>
  <c r="HM299" i="11"/>
  <c r="HN299" i="11"/>
  <c r="HO299" i="11"/>
  <c r="HP299" i="11"/>
  <c r="HQ299" i="11"/>
  <c r="HR299" i="11"/>
  <c r="HS299" i="11"/>
  <c r="HT299" i="11"/>
  <c r="HU299" i="11"/>
  <c r="HV299" i="11"/>
  <c r="HW299" i="11"/>
  <c r="HX299" i="11"/>
  <c r="HY299" i="11"/>
  <c r="HZ299" i="11"/>
  <c r="IA299" i="11"/>
  <c r="IB299" i="11"/>
  <c r="IC299" i="11"/>
  <c r="ID299" i="11"/>
  <c r="IE299" i="11"/>
  <c r="IF299" i="11"/>
  <c r="IG299" i="11"/>
  <c r="IH299" i="11"/>
  <c r="II299" i="11"/>
  <c r="IJ299" i="11"/>
  <c r="IK299" i="11"/>
  <c r="IL299" i="11"/>
  <c r="IM299" i="11"/>
  <c r="IN299" i="11"/>
  <c r="IO299" i="11"/>
  <c r="IP299" i="11"/>
  <c r="IQ299" i="11"/>
  <c r="IR299" i="11"/>
  <c r="IS299" i="11"/>
  <c r="IT299" i="11"/>
  <c r="IU299" i="11"/>
  <c r="IV299" i="11"/>
  <c r="F300" i="11"/>
  <c r="G300" i="11"/>
  <c r="H300" i="11"/>
  <c r="I300" i="11"/>
  <c r="J300" i="11"/>
  <c r="K300" i="11"/>
  <c r="L300" i="11"/>
  <c r="M300" i="11"/>
  <c r="N300" i="11"/>
  <c r="O300" i="11"/>
  <c r="P300" i="11"/>
  <c r="Q300" i="11"/>
  <c r="R300" i="11"/>
  <c r="S300" i="11"/>
  <c r="T300" i="11"/>
  <c r="U300" i="11"/>
  <c r="V300" i="11"/>
  <c r="W300" i="11"/>
  <c r="X300" i="11"/>
  <c r="Y300" i="11"/>
  <c r="Z300" i="11"/>
  <c r="AA300" i="11"/>
  <c r="AB300" i="11"/>
  <c r="AC300" i="11"/>
  <c r="AD300" i="11"/>
  <c r="AE300" i="11"/>
  <c r="AF300" i="11"/>
  <c r="AG300" i="11"/>
  <c r="AH300" i="11"/>
  <c r="AI300" i="11"/>
  <c r="AJ300" i="11"/>
  <c r="AK300" i="11"/>
  <c r="AL300" i="11"/>
  <c r="AM300" i="11"/>
  <c r="AN300" i="11"/>
  <c r="AO300" i="11"/>
  <c r="AP300" i="11"/>
  <c r="AQ300" i="11"/>
  <c r="AR300" i="11"/>
  <c r="AS300" i="11"/>
  <c r="AT300" i="11"/>
  <c r="AU300" i="11"/>
  <c r="AV300" i="11"/>
  <c r="AW300" i="11"/>
  <c r="AX300" i="11"/>
  <c r="AY300" i="11"/>
  <c r="AZ300" i="11"/>
  <c r="BA300" i="11"/>
  <c r="BB300" i="11"/>
  <c r="BC300" i="11"/>
  <c r="BD300" i="11"/>
  <c r="BE300" i="11"/>
  <c r="BF300" i="11"/>
  <c r="BG300" i="11"/>
  <c r="BH300" i="11"/>
  <c r="BI300" i="11"/>
  <c r="BJ300" i="11"/>
  <c r="BK300" i="11"/>
  <c r="BL300" i="11"/>
  <c r="BM300" i="11"/>
  <c r="BN300" i="11"/>
  <c r="BO300" i="11"/>
  <c r="BP300" i="11"/>
  <c r="BQ300" i="11"/>
  <c r="BR300" i="11"/>
  <c r="BS300" i="11"/>
  <c r="BT300" i="11"/>
  <c r="BU300" i="11"/>
  <c r="BV300" i="11"/>
  <c r="BW300" i="11"/>
  <c r="BX300" i="11"/>
  <c r="BY300" i="11"/>
  <c r="BZ300" i="11"/>
  <c r="CA300" i="11"/>
  <c r="CB300" i="11"/>
  <c r="CC300" i="11"/>
  <c r="CD300" i="11"/>
  <c r="CE300" i="11"/>
  <c r="CF300" i="11"/>
  <c r="CG300" i="11"/>
  <c r="CH300" i="11"/>
  <c r="CI300" i="11"/>
  <c r="CJ300" i="11"/>
  <c r="CK300" i="11"/>
  <c r="CL300" i="11"/>
  <c r="CM300" i="11"/>
  <c r="CN300" i="11"/>
  <c r="CO300" i="11"/>
  <c r="CP300" i="11"/>
  <c r="CQ300" i="11"/>
  <c r="CR300" i="11"/>
  <c r="CS300" i="11"/>
  <c r="CT300" i="11"/>
  <c r="CU300" i="11"/>
  <c r="CV300" i="11"/>
  <c r="CW300" i="11"/>
  <c r="CX300" i="11"/>
  <c r="CY300" i="11"/>
  <c r="CZ300" i="11"/>
  <c r="DA300" i="11"/>
  <c r="DB300" i="11"/>
  <c r="DC300" i="11"/>
  <c r="DD300" i="11"/>
  <c r="DE300" i="11"/>
  <c r="DF300" i="11"/>
  <c r="DG300" i="11"/>
  <c r="DH300" i="11"/>
  <c r="DI300" i="11"/>
  <c r="DJ300" i="11"/>
  <c r="DK300" i="11"/>
  <c r="DL300" i="11"/>
  <c r="DM300" i="11"/>
  <c r="DN300" i="11"/>
  <c r="DO300" i="11"/>
  <c r="DP300" i="11"/>
  <c r="DQ300" i="11"/>
  <c r="DR300" i="11"/>
  <c r="DS300" i="11"/>
  <c r="DT300" i="11"/>
  <c r="DU300" i="11"/>
  <c r="DV300" i="11"/>
  <c r="DW300" i="11"/>
  <c r="DX300" i="11"/>
  <c r="DY300" i="11"/>
  <c r="DZ300" i="11"/>
  <c r="EA300" i="11"/>
  <c r="EB300" i="11"/>
  <c r="EC300" i="11"/>
  <c r="ED300" i="11"/>
  <c r="EE300" i="11"/>
  <c r="EF300" i="11"/>
  <c r="EG300" i="11"/>
  <c r="EH300" i="11"/>
  <c r="EI300" i="11"/>
  <c r="EJ300" i="11"/>
  <c r="EK300" i="11"/>
  <c r="EL300" i="11"/>
  <c r="EM300" i="11"/>
  <c r="EN300" i="11"/>
  <c r="EO300" i="11"/>
  <c r="EP300" i="11"/>
  <c r="EQ300" i="11"/>
  <c r="ER300" i="11"/>
  <c r="ES300" i="11"/>
  <c r="ET300" i="11"/>
  <c r="EU300" i="11"/>
  <c r="EV300" i="11"/>
  <c r="EW300" i="11"/>
  <c r="EX300" i="11"/>
  <c r="EY300" i="11"/>
  <c r="EZ300" i="11"/>
  <c r="FA300" i="11"/>
  <c r="FB300" i="11"/>
  <c r="FC300" i="11"/>
  <c r="FD300" i="11"/>
  <c r="FE300" i="11"/>
  <c r="FF300" i="11"/>
  <c r="FG300" i="11"/>
  <c r="FH300" i="11"/>
  <c r="FI300" i="11"/>
  <c r="FJ300" i="11"/>
  <c r="FK300" i="11"/>
  <c r="FL300" i="11"/>
  <c r="FM300" i="11"/>
  <c r="FN300" i="11"/>
  <c r="FO300" i="11"/>
  <c r="FP300" i="11"/>
  <c r="FQ300" i="11"/>
  <c r="FR300" i="11"/>
  <c r="FS300" i="11"/>
  <c r="FT300" i="11"/>
  <c r="FU300" i="11"/>
  <c r="FV300" i="11"/>
  <c r="FW300" i="11"/>
  <c r="FX300" i="11"/>
  <c r="FY300" i="11"/>
  <c r="FZ300" i="11"/>
  <c r="GA300" i="11"/>
  <c r="GB300" i="11"/>
  <c r="GC300" i="11"/>
  <c r="GD300" i="11"/>
  <c r="GE300" i="11"/>
  <c r="GF300" i="11"/>
  <c r="GG300" i="11"/>
  <c r="GH300" i="11"/>
  <c r="GI300" i="11"/>
  <c r="GJ300" i="11"/>
  <c r="GK300" i="11"/>
  <c r="GL300" i="11"/>
  <c r="GM300" i="11"/>
  <c r="GN300" i="11"/>
  <c r="GO300" i="11"/>
  <c r="GP300" i="11"/>
  <c r="GQ300" i="11"/>
  <c r="GR300" i="11"/>
  <c r="GS300" i="11"/>
  <c r="GT300" i="11"/>
  <c r="GU300" i="11"/>
  <c r="GV300" i="11"/>
  <c r="GW300" i="11"/>
  <c r="GX300" i="11"/>
  <c r="GY300" i="11"/>
  <c r="GZ300" i="11"/>
  <c r="HA300" i="11"/>
  <c r="HB300" i="11"/>
  <c r="HC300" i="11"/>
  <c r="HD300" i="11"/>
  <c r="HE300" i="11"/>
  <c r="HF300" i="11"/>
  <c r="HG300" i="11"/>
  <c r="HH300" i="11"/>
  <c r="HI300" i="11"/>
  <c r="HJ300" i="11"/>
  <c r="HK300" i="11"/>
  <c r="HL300" i="11"/>
  <c r="HM300" i="11"/>
  <c r="HN300" i="11"/>
  <c r="HO300" i="11"/>
  <c r="HP300" i="11"/>
  <c r="HQ300" i="11"/>
  <c r="HR300" i="11"/>
  <c r="HS300" i="11"/>
  <c r="HT300" i="11"/>
  <c r="HU300" i="11"/>
  <c r="HV300" i="11"/>
  <c r="HW300" i="11"/>
  <c r="HX300" i="11"/>
  <c r="HY300" i="11"/>
  <c r="HZ300" i="11"/>
  <c r="IA300" i="11"/>
  <c r="IB300" i="11"/>
  <c r="IC300" i="11"/>
  <c r="ID300" i="11"/>
  <c r="IE300" i="11"/>
  <c r="IF300" i="11"/>
  <c r="IG300" i="11"/>
  <c r="IH300" i="11"/>
  <c r="II300" i="11"/>
  <c r="IJ300" i="11"/>
  <c r="IK300" i="11"/>
  <c r="IL300" i="11"/>
  <c r="IM300" i="11"/>
  <c r="IN300" i="11"/>
  <c r="IO300" i="11"/>
  <c r="IP300" i="11"/>
  <c r="IQ300" i="11"/>
  <c r="IR300" i="11"/>
  <c r="IS300" i="11"/>
  <c r="IT300" i="11"/>
  <c r="IU300" i="11"/>
  <c r="IV300" i="11"/>
  <c r="F301" i="11"/>
  <c r="G301" i="11"/>
  <c r="H301" i="11"/>
  <c r="I301" i="11"/>
  <c r="J301" i="11"/>
  <c r="K301" i="11"/>
  <c r="L301" i="11"/>
  <c r="M301" i="11"/>
  <c r="N301" i="11"/>
  <c r="O301" i="11"/>
  <c r="P301" i="11"/>
  <c r="Q301" i="11"/>
  <c r="R301" i="11"/>
  <c r="S301" i="11"/>
  <c r="T301" i="11"/>
  <c r="U301" i="11"/>
  <c r="V301" i="11"/>
  <c r="W301" i="11"/>
  <c r="X301" i="11"/>
  <c r="Y301" i="11"/>
  <c r="Z301" i="11"/>
  <c r="AA301" i="11"/>
  <c r="AB301" i="11"/>
  <c r="AC301" i="11"/>
  <c r="AD301" i="11"/>
  <c r="AE301" i="11"/>
  <c r="AF301" i="11"/>
  <c r="AG301" i="11"/>
  <c r="AH301" i="11"/>
  <c r="AI301" i="11"/>
  <c r="AJ301" i="11"/>
  <c r="AK301" i="11"/>
  <c r="AL301" i="11"/>
  <c r="AM301" i="11"/>
  <c r="AN301" i="11"/>
  <c r="AO301" i="11"/>
  <c r="AP301" i="11"/>
  <c r="AQ301" i="11"/>
  <c r="AR301" i="11"/>
  <c r="AS301" i="11"/>
  <c r="AT301" i="11"/>
  <c r="AU301" i="11"/>
  <c r="AV301" i="11"/>
  <c r="AW301" i="11"/>
  <c r="AX301" i="11"/>
  <c r="AY301" i="11"/>
  <c r="AZ301" i="11"/>
  <c r="BA301" i="11"/>
  <c r="BB301" i="11"/>
  <c r="BC301" i="11"/>
  <c r="BD301" i="11"/>
  <c r="BE301" i="11"/>
  <c r="BF301" i="11"/>
  <c r="BG301" i="11"/>
  <c r="BH301" i="11"/>
  <c r="BI301" i="11"/>
  <c r="BJ301" i="11"/>
  <c r="BK301" i="11"/>
  <c r="BL301" i="11"/>
  <c r="BM301" i="11"/>
  <c r="BN301" i="11"/>
  <c r="BO301" i="11"/>
  <c r="BP301" i="11"/>
  <c r="BQ301" i="11"/>
  <c r="BR301" i="11"/>
  <c r="BS301" i="11"/>
  <c r="BT301" i="11"/>
  <c r="BU301" i="11"/>
  <c r="BV301" i="11"/>
  <c r="BW301" i="11"/>
  <c r="BX301" i="11"/>
  <c r="BY301" i="11"/>
  <c r="BZ301" i="11"/>
  <c r="CA301" i="11"/>
  <c r="CB301" i="11"/>
  <c r="CC301" i="11"/>
  <c r="CD301" i="11"/>
  <c r="CE301" i="11"/>
  <c r="CF301" i="11"/>
  <c r="CG301" i="11"/>
  <c r="CH301" i="11"/>
  <c r="CI301" i="11"/>
  <c r="CJ301" i="11"/>
  <c r="CK301" i="11"/>
  <c r="CL301" i="11"/>
  <c r="CM301" i="11"/>
  <c r="CN301" i="11"/>
  <c r="CO301" i="11"/>
  <c r="CP301" i="11"/>
  <c r="CQ301" i="11"/>
  <c r="CR301" i="11"/>
  <c r="CS301" i="11"/>
  <c r="CT301" i="11"/>
  <c r="CU301" i="11"/>
  <c r="CV301" i="11"/>
  <c r="CW301" i="11"/>
  <c r="CX301" i="11"/>
  <c r="CY301" i="11"/>
  <c r="CZ301" i="11"/>
  <c r="DA301" i="11"/>
  <c r="DB301" i="11"/>
  <c r="DC301" i="11"/>
  <c r="DD301" i="11"/>
  <c r="DE301" i="11"/>
  <c r="DF301" i="11"/>
  <c r="DG301" i="11"/>
  <c r="DH301" i="11"/>
  <c r="DI301" i="11"/>
  <c r="DJ301" i="11"/>
  <c r="DK301" i="11"/>
  <c r="DL301" i="11"/>
  <c r="DM301" i="11"/>
  <c r="DN301" i="11"/>
  <c r="DO301" i="11"/>
  <c r="DP301" i="11"/>
  <c r="DQ301" i="11"/>
  <c r="DR301" i="11"/>
  <c r="DS301" i="11"/>
  <c r="DT301" i="11"/>
  <c r="DU301" i="11"/>
  <c r="DV301" i="11"/>
  <c r="DW301" i="11"/>
  <c r="DX301" i="11"/>
  <c r="DY301" i="11"/>
  <c r="DZ301" i="11"/>
  <c r="EA301" i="11"/>
  <c r="EB301" i="11"/>
  <c r="EC301" i="11"/>
  <c r="ED301" i="11"/>
  <c r="EE301" i="11"/>
  <c r="EF301" i="11"/>
  <c r="EG301" i="11"/>
  <c r="EH301" i="11"/>
  <c r="EI301" i="11"/>
  <c r="EJ301" i="11"/>
  <c r="EK301" i="11"/>
  <c r="EL301" i="11"/>
  <c r="EM301" i="11"/>
  <c r="EN301" i="11"/>
  <c r="EO301" i="11"/>
  <c r="EP301" i="11"/>
  <c r="EQ301" i="11"/>
  <c r="ER301" i="11"/>
  <c r="ES301" i="11"/>
  <c r="ET301" i="11"/>
  <c r="EU301" i="11"/>
  <c r="EV301" i="11"/>
  <c r="EW301" i="11"/>
  <c r="EX301" i="11"/>
  <c r="EY301" i="11"/>
  <c r="EZ301" i="11"/>
  <c r="FA301" i="11"/>
  <c r="FB301" i="11"/>
  <c r="FC301" i="11"/>
  <c r="FD301" i="11"/>
  <c r="FE301" i="11"/>
  <c r="FF301" i="11"/>
  <c r="FG301" i="11"/>
  <c r="FH301" i="11"/>
  <c r="FI301" i="11"/>
  <c r="FJ301" i="11"/>
  <c r="FK301" i="11"/>
  <c r="FL301" i="11"/>
  <c r="FM301" i="11"/>
  <c r="FN301" i="11"/>
  <c r="FO301" i="11"/>
  <c r="FP301" i="11"/>
  <c r="FQ301" i="11"/>
  <c r="FR301" i="11"/>
  <c r="FS301" i="11"/>
  <c r="FT301" i="11"/>
  <c r="FU301" i="11"/>
  <c r="FV301" i="11"/>
  <c r="FW301" i="11"/>
  <c r="FX301" i="11"/>
  <c r="FY301" i="11"/>
  <c r="FZ301" i="11"/>
  <c r="GA301" i="11"/>
  <c r="GB301" i="11"/>
  <c r="GC301" i="11"/>
  <c r="GD301" i="11"/>
  <c r="GE301" i="11"/>
  <c r="GF301" i="11"/>
  <c r="GG301" i="11"/>
  <c r="GH301" i="11"/>
  <c r="GI301" i="11"/>
  <c r="GJ301" i="11"/>
  <c r="GK301" i="11"/>
  <c r="GL301" i="11"/>
  <c r="GM301" i="11"/>
  <c r="GN301" i="11"/>
  <c r="GO301" i="11"/>
  <c r="GP301" i="11"/>
  <c r="GQ301" i="11"/>
  <c r="GR301" i="11"/>
  <c r="GS301" i="11"/>
  <c r="GT301" i="11"/>
  <c r="GU301" i="11"/>
  <c r="GV301" i="11"/>
  <c r="GW301" i="11"/>
  <c r="GX301" i="11"/>
  <c r="GY301" i="11"/>
  <c r="GZ301" i="11"/>
  <c r="HA301" i="11"/>
  <c r="HB301" i="11"/>
  <c r="HC301" i="11"/>
  <c r="HD301" i="11"/>
  <c r="HE301" i="11"/>
  <c r="HF301" i="11"/>
  <c r="HG301" i="11"/>
  <c r="HH301" i="11"/>
  <c r="HI301" i="11"/>
  <c r="HJ301" i="11"/>
  <c r="HK301" i="11"/>
  <c r="HL301" i="11"/>
  <c r="HM301" i="11"/>
  <c r="HN301" i="11"/>
  <c r="HO301" i="11"/>
  <c r="HP301" i="11"/>
  <c r="HQ301" i="11"/>
  <c r="HR301" i="11"/>
  <c r="HS301" i="11"/>
  <c r="HT301" i="11"/>
  <c r="HU301" i="11"/>
  <c r="HV301" i="11"/>
  <c r="HW301" i="11"/>
  <c r="HX301" i="11"/>
  <c r="HY301" i="11"/>
  <c r="HZ301" i="11"/>
  <c r="IA301" i="11"/>
  <c r="IB301" i="11"/>
  <c r="IC301" i="11"/>
  <c r="ID301" i="11"/>
  <c r="IE301" i="11"/>
  <c r="IF301" i="11"/>
  <c r="IG301" i="11"/>
  <c r="IH301" i="11"/>
  <c r="II301" i="11"/>
  <c r="IJ301" i="11"/>
  <c r="IK301" i="11"/>
  <c r="IL301" i="11"/>
  <c r="IM301" i="11"/>
  <c r="IN301" i="11"/>
  <c r="IO301" i="11"/>
  <c r="IP301" i="11"/>
  <c r="IQ301" i="11"/>
  <c r="IR301" i="11"/>
  <c r="IS301" i="11"/>
  <c r="IT301" i="11"/>
  <c r="IU301" i="11"/>
  <c r="IV301" i="11"/>
  <c r="F302" i="11"/>
  <c r="G302" i="11"/>
  <c r="H302" i="11"/>
  <c r="I302" i="11"/>
  <c r="J302" i="11"/>
  <c r="K302" i="11"/>
  <c r="L302" i="11"/>
  <c r="M302" i="11"/>
  <c r="N302" i="11"/>
  <c r="O302" i="11"/>
  <c r="P302" i="11"/>
  <c r="Q302" i="11"/>
  <c r="R302" i="11"/>
  <c r="S302" i="11"/>
  <c r="T302" i="11"/>
  <c r="U302" i="11"/>
  <c r="V302" i="11"/>
  <c r="W302" i="11"/>
  <c r="X302" i="11"/>
  <c r="Y302" i="11"/>
  <c r="Z302" i="11"/>
  <c r="AA302" i="11"/>
  <c r="AB302" i="11"/>
  <c r="AC302" i="11"/>
  <c r="AD302" i="11"/>
  <c r="AE302" i="11"/>
  <c r="AF302" i="11"/>
  <c r="AG302" i="11"/>
  <c r="AH302" i="11"/>
  <c r="AI302" i="11"/>
  <c r="AJ302" i="11"/>
  <c r="AK302" i="11"/>
  <c r="AL302" i="11"/>
  <c r="AM302" i="11"/>
  <c r="AN302" i="11"/>
  <c r="AO302" i="11"/>
  <c r="AP302" i="11"/>
  <c r="AQ302" i="11"/>
  <c r="AR302" i="11"/>
  <c r="AS302" i="11"/>
  <c r="AT302" i="11"/>
  <c r="AU302" i="11"/>
  <c r="AV302" i="11"/>
  <c r="AW302" i="11"/>
  <c r="AX302" i="11"/>
  <c r="AY302" i="11"/>
  <c r="AZ302" i="11"/>
  <c r="BA302" i="11"/>
  <c r="BB302" i="11"/>
  <c r="BC302" i="11"/>
  <c r="BD302" i="11"/>
  <c r="BE302" i="11"/>
  <c r="BF302" i="11"/>
  <c r="BG302" i="11"/>
  <c r="BH302" i="11"/>
  <c r="BI302" i="11"/>
  <c r="BJ302" i="11"/>
  <c r="BK302" i="11"/>
  <c r="BL302" i="11"/>
  <c r="BM302" i="11"/>
  <c r="BN302" i="11"/>
  <c r="BO302" i="11"/>
  <c r="BP302" i="11"/>
  <c r="BQ302" i="11"/>
  <c r="BR302" i="11"/>
  <c r="BS302" i="11"/>
  <c r="BT302" i="11"/>
  <c r="BU302" i="11"/>
  <c r="BV302" i="11"/>
  <c r="BW302" i="11"/>
  <c r="BX302" i="11"/>
  <c r="BY302" i="11"/>
  <c r="BZ302" i="11"/>
  <c r="CA302" i="11"/>
  <c r="CB302" i="11"/>
  <c r="CC302" i="11"/>
  <c r="CD302" i="11"/>
  <c r="CE302" i="11"/>
  <c r="CF302" i="11"/>
  <c r="CG302" i="11"/>
  <c r="CH302" i="11"/>
  <c r="CI302" i="11"/>
  <c r="CJ302" i="11"/>
  <c r="CK302" i="11"/>
  <c r="CL302" i="11"/>
  <c r="CM302" i="11"/>
  <c r="CN302" i="11"/>
  <c r="CO302" i="11"/>
  <c r="CP302" i="11"/>
  <c r="CQ302" i="11"/>
  <c r="CR302" i="11"/>
  <c r="CS302" i="11"/>
  <c r="CT302" i="11"/>
  <c r="CU302" i="11"/>
  <c r="CV302" i="11"/>
  <c r="CW302" i="11"/>
  <c r="CX302" i="11"/>
  <c r="CY302" i="11"/>
  <c r="CZ302" i="11"/>
  <c r="DA302" i="11"/>
  <c r="DB302" i="11"/>
  <c r="DC302" i="11"/>
  <c r="DD302" i="11"/>
  <c r="DE302" i="11"/>
  <c r="DF302" i="11"/>
  <c r="DG302" i="11"/>
  <c r="DH302" i="11"/>
  <c r="DI302" i="11"/>
  <c r="DJ302" i="11"/>
  <c r="DK302" i="11"/>
  <c r="DL302" i="11"/>
  <c r="DM302" i="11"/>
  <c r="DN302" i="11"/>
  <c r="DO302" i="11"/>
  <c r="DP302" i="11"/>
  <c r="DQ302" i="11"/>
  <c r="DR302" i="11"/>
  <c r="DS302" i="11"/>
  <c r="DT302" i="11"/>
  <c r="DU302" i="11"/>
  <c r="DV302" i="11"/>
  <c r="DW302" i="11"/>
  <c r="DX302" i="11"/>
  <c r="DY302" i="11"/>
  <c r="DZ302" i="11"/>
  <c r="EA302" i="11"/>
  <c r="EB302" i="11"/>
  <c r="EC302" i="11"/>
  <c r="ED302" i="11"/>
  <c r="EE302" i="11"/>
  <c r="EF302" i="11"/>
  <c r="EG302" i="11"/>
  <c r="EH302" i="11"/>
  <c r="EI302" i="11"/>
  <c r="EJ302" i="11"/>
  <c r="EK302" i="11"/>
  <c r="EL302" i="11"/>
  <c r="EM302" i="11"/>
  <c r="EN302" i="11"/>
  <c r="EO302" i="11"/>
  <c r="EP302" i="11"/>
  <c r="EQ302" i="11"/>
  <c r="ER302" i="11"/>
  <c r="ES302" i="11"/>
  <c r="ET302" i="11"/>
  <c r="EU302" i="11"/>
  <c r="EV302" i="11"/>
  <c r="EW302" i="11"/>
  <c r="EX302" i="11"/>
  <c r="EY302" i="11"/>
  <c r="EZ302" i="11"/>
  <c r="FA302" i="11"/>
  <c r="FB302" i="11"/>
  <c r="FC302" i="11"/>
  <c r="FD302" i="11"/>
  <c r="FE302" i="11"/>
  <c r="FF302" i="11"/>
  <c r="FG302" i="11"/>
  <c r="FH302" i="11"/>
  <c r="FI302" i="11"/>
  <c r="FJ302" i="11"/>
  <c r="FK302" i="11"/>
  <c r="FL302" i="11"/>
  <c r="FM302" i="11"/>
  <c r="FN302" i="11"/>
  <c r="FO302" i="11"/>
  <c r="FP302" i="11"/>
  <c r="FQ302" i="11"/>
  <c r="FR302" i="11"/>
  <c r="FS302" i="11"/>
  <c r="FT302" i="11"/>
  <c r="FU302" i="11"/>
  <c r="FV302" i="11"/>
  <c r="FW302" i="11"/>
  <c r="FX302" i="11"/>
  <c r="FY302" i="11"/>
  <c r="FZ302" i="11"/>
  <c r="GA302" i="11"/>
  <c r="GB302" i="11"/>
  <c r="GC302" i="11"/>
  <c r="GD302" i="11"/>
  <c r="GE302" i="11"/>
  <c r="GF302" i="11"/>
  <c r="GG302" i="11"/>
  <c r="GH302" i="11"/>
  <c r="GI302" i="11"/>
  <c r="GJ302" i="11"/>
  <c r="GK302" i="11"/>
  <c r="GL302" i="11"/>
  <c r="GM302" i="11"/>
  <c r="GN302" i="11"/>
  <c r="GO302" i="11"/>
  <c r="GP302" i="11"/>
  <c r="GQ302" i="11"/>
  <c r="GR302" i="11"/>
  <c r="GS302" i="11"/>
  <c r="GT302" i="11"/>
  <c r="GU302" i="11"/>
  <c r="GV302" i="11"/>
  <c r="GW302" i="11"/>
  <c r="GX302" i="11"/>
  <c r="GY302" i="11"/>
  <c r="GZ302" i="11"/>
  <c r="HA302" i="11"/>
  <c r="HB302" i="11"/>
  <c r="HC302" i="11"/>
  <c r="HD302" i="11"/>
  <c r="HE302" i="11"/>
  <c r="HF302" i="11"/>
  <c r="HG302" i="11"/>
  <c r="HH302" i="11"/>
  <c r="HI302" i="11"/>
  <c r="HJ302" i="11"/>
  <c r="HK302" i="11"/>
  <c r="HL302" i="11"/>
  <c r="HM302" i="11"/>
  <c r="HN302" i="11"/>
  <c r="HO302" i="11"/>
  <c r="HP302" i="11"/>
  <c r="HQ302" i="11"/>
  <c r="HR302" i="11"/>
  <c r="HS302" i="11"/>
  <c r="HT302" i="11"/>
  <c r="HU302" i="11"/>
  <c r="HV302" i="11"/>
  <c r="HW302" i="11"/>
  <c r="HX302" i="11"/>
  <c r="HY302" i="11"/>
  <c r="HZ302" i="11"/>
  <c r="IA302" i="11"/>
  <c r="IB302" i="11"/>
  <c r="IC302" i="11"/>
  <c r="ID302" i="11"/>
  <c r="IE302" i="11"/>
  <c r="IF302" i="11"/>
  <c r="IG302" i="11"/>
  <c r="IH302" i="11"/>
  <c r="II302" i="11"/>
  <c r="IJ302" i="11"/>
  <c r="IK302" i="11"/>
  <c r="IL302" i="11"/>
  <c r="IM302" i="11"/>
  <c r="IN302" i="11"/>
  <c r="IO302" i="11"/>
  <c r="IP302" i="11"/>
  <c r="IQ302" i="11"/>
  <c r="IR302" i="11"/>
  <c r="IS302" i="11"/>
  <c r="IT302" i="11"/>
  <c r="IU302" i="11"/>
  <c r="IV302" i="11"/>
  <c r="F303" i="11"/>
  <c r="G303" i="11"/>
  <c r="H303" i="11"/>
  <c r="I303" i="11"/>
  <c r="J303" i="11"/>
  <c r="K303" i="11"/>
  <c r="L303" i="11"/>
  <c r="M303" i="11"/>
  <c r="N303" i="11"/>
  <c r="O303" i="11"/>
  <c r="P303" i="11"/>
  <c r="Q303" i="11"/>
  <c r="R303" i="11"/>
  <c r="S303" i="11"/>
  <c r="T303" i="11"/>
  <c r="U303" i="11"/>
  <c r="V303" i="11"/>
  <c r="W303" i="11"/>
  <c r="X303" i="11"/>
  <c r="Y303" i="11"/>
  <c r="Z303" i="11"/>
  <c r="AA303" i="11"/>
  <c r="AB303" i="11"/>
  <c r="AC303" i="11"/>
  <c r="AD303" i="11"/>
  <c r="AE303" i="11"/>
  <c r="AF303" i="11"/>
  <c r="AG303" i="11"/>
  <c r="AH303" i="11"/>
  <c r="AI303" i="11"/>
  <c r="AJ303" i="11"/>
  <c r="AK303" i="11"/>
  <c r="AL303" i="11"/>
  <c r="AM303" i="11"/>
  <c r="AN303" i="11"/>
  <c r="AO303" i="11"/>
  <c r="AP303" i="11"/>
  <c r="AQ303" i="11"/>
  <c r="AR303" i="11"/>
  <c r="AS303" i="11"/>
  <c r="AT303" i="11"/>
  <c r="AU303" i="11"/>
  <c r="AV303" i="11"/>
  <c r="AW303" i="11"/>
  <c r="AX303" i="11"/>
  <c r="AY303" i="11"/>
  <c r="AZ303" i="11"/>
  <c r="BA303" i="11"/>
  <c r="BB303" i="11"/>
  <c r="BC303" i="11"/>
  <c r="BD303" i="11"/>
  <c r="BE303" i="11"/>
  <c r="BF303" i="11"/>
  <c r="BG303" i="11"/>
  <c r="BH303" i="11"/>
  <c r="BI303" i="11"/>
  <c r="BJ303" i="11"/>
  <c r="BK303" i="11"/>
  <c r="BL303" i="11"/>
  <c r="BM303" i="11"/>
  <c r="BN303" i="11"/>
  <c r="BO303" i="11"/>
  <c r="BP303" i="11"/>
  <c r="BQ303" i="11"/>
  <c r="BR303" i="11"/>
  <c r="BS303" i="11"/>
  <c r="BT303" i="11"/>
  <c r="BU303" i="11"/>
  <c r="BV303" i="11"/>
  <c r="BW303" i="11"/>
  <c r="BX303" i="11"/>
  <c r="BY303" i="11"/>
  <c r="BZ303" i="11"/>
  <c r="CA303" i="11"/>
  <c r="CB303" i="11"/>
  <c r="CC303" i="11"/>
  <c r="CD303" i="11"/>
  <c r="CE303" i="11"/>
  <c r="CF303" i="11"/>
  <c r="CG303" i="11"/>
  <c r="CH303" i="11"/>
  <c r="CI303" i="11"/>
  <c r="CJ303" i="11"/>
  <c r="CK303" i="11"/>
  <c r="CL303" i="11"/>
  <c r="CM303" i="11"/>
  <c r="CN303" i="11"/>
  <c r="CO303" i="11"/>
  <c r="CP303" i="11"/>
  <c r="CQ303" i="11"/>
  <c r="CR303" i="11"/>
  <c r="CS303" i="11"/>
  <c r="CT303" i="11"/>
  <c r="CU303" i="11"/>
  <c r="CV303" i="11"/>
  <c r="CW303" i="11"/>
  <c r="CX303" i="11"/>
  <c r="CY303" i="11"/>
  <c r="CZ303" i="11"/>
  <c r="DA303" i="11"/>
  <c r="DB303" i="11"/>
  <c r="DC303" i="11"/>
  <c r="DD303" i="11"/>
  <c r="DE303" i="11"/>
  <c r="DF303" i="11"/>
  <c r="DG303" i="11"/>
  <c r="DH303" i="11"/>
  <c r="DI303" i="11"/>
  <c r="DJ303" i="11"/>
  <c r="DK303" i="11"/>
  <c r="DL303" i="11"/>
  <c r="DM303" i="11"/>
  <c r="DN303" i="11"/>
  <c r="DO303" i="11"/>
  <c r="DP303" i="11"/>
  <c r="DQ303" i="11"/>
  <c r="DR303" i="11"/>
  <c r="DS303" i="11"/>
  <c r="DT303" i="11"/>
  <c r="DU303" i="11"/>
  <c r="DV303" i="11"/>
  <c r="DW303" i="11"/>
  <c r="DX303" i="11"/>
  <c r="DY303" i="11"/>
  <c r="DZ303" i="11"/>
  <c r="EA303" i="11"/>
  <c r="EB303" i="11"/>
  <c r="EC303" i="11"/>
  <c r="ED303" i="11"/>
  <c r="EE303" i="11"/>
  <c r="EF303" i="11"/>
  <c r="EG303" i="11"/>
  <c r="EH303" i="11"/>
  <c r="EI303" i="11"/>
  <c r="EJ303" i="11"/>
  <c r="EK303" i="11"/>
  <c r="EL303" i="11"/>
  <c r="EM303" i="11"/>
  <c r="EN303" i="11"/>
  <c r="EO303" i="11"/>
  <c r="EP303" i="11"/>
  <c r="EQ303" i="11"/>
  <c r="ER303" i="11"/>
  <c r="ES303" i="11"/>
  <c r="ET303" i="11"/>
  <c r="EU303" i="11"/>
  <c r="EV303" i="11"/>
  <c r="EW303" i="11"/>
  <c r="EX303" i="11"/>
  <c r="EY303" i="11"/>
  <c r="EZ303" i="11"/>
  <c r="FA303" i="11"/>
  <c r="FB303" i="11"/>
  <c r="FC303" i="11"/>
  <c r="FD303" i="11"/>
  <c r="FE303" i="11"/>
  <c r="FF303" i="11"/>
  <c r="FG303" i="11"/>
  <c r="FH303" i="11"/>
  <c r="FI303" i="11"/>
  <c r="FJ303" i="11"/>
  <c r="FK303" i="11"/>
  <c r="FL303" i="11"/>
  <c r="FM303" i="11"/>
  <c r="FN303" i="11"/>
  <c r="FO303" i="11"/>
  <c r="FP303" i="11"/>
  <c r="FQ303" i="11"/>
  <c r="FR303" i="11"/>
  <c r="FS303" i="11"/>
  <c r="FT303" i="11"/>
  <c r="FU303" i="11"/>
  <c r="FV303" i="11"/>
  <c r="FW303" i="11"/>
  <c r="FX303" i="11"/>
  <c r="FY303" i="11"/>
  <c r="FZ303" i="11"/>
  <c r="GA303" i="11"/>
  <c r="GB303" i="11"/>
  <c r="GC303" i="11"/>
  <c r="GD303" i="11"/>
  <c r="GE303" i="11"/>
  <c r="GF303" i="11"/>
  <c r="GG303" i="11"/>
  <c r="GH303" i="11"/>
  <c r="GI303" i="11"/>
  <c r="GJ303" i="11"/>
  <c r="GK303" i="11"/>
  <c r="GL303" i="11"/>
  <c r="GM303" i="11"/>
  <c r="GN303" i="11"/>
  <c r="GO303" i="11"/>
  <c r="GP303" i="11"/>
  <c r="GQ303" i="11"/>
  <c r="GR303" i="11"/>
  <c r="GS303" i="11"/>
  <c r="GT303" i="11"/>
  <c r="GU303" i="11"/>
  <c r="GV303" i="11"/>
  <c r="GW303" i="11"/>
  <c r="GX303" i="11"/>
  <c r="GY303" i="11"/>
  <c r="GZ303" i="11"/>
  <c r="HA303" i="11"/>
  <c r="HB303" i="11"/>
  <c r="HC303" i="11"/>
  <c r="HD303" i="11"/>
  <c r="HE303" i="11"/>
  <c r="HF303" i="11"/>
  <c r="HG303" i="11"/>
  <c r="HH303" i="11"/>
  <c r="HI303" i="11"/>
  <c r="HJ303" i="11"/>
  <c r="HK303" i="11"/>
  <c r="HL303" i="11"/>
  <c r="HM303" i="11"/>
  <c r="HN303" i="11"/>
  <c r="HO303" i="11"/>
  <c r="HP303" i="11"/>
  <c r="HQ303" i="11"/>
  <c r="HR303" i="11"/>
  <c r="HS303" i="11"/>
  <c r="HT303" i="11"/>
  <c r="HU303" i="11"/>
  <c r="HV303" i="11"/>
  <c r="HW303" i="11"/>
  <c r="HX303" i="11"/>
  <c r="HY303" i="11"/>
  <c r="HZ303" i="11"/>
  <c r="IA303" i="11"/>
  <c r="IB303" i="11"/>
  <c r="IC303" i="11"/>
  <c r="ID303" i="11"/>
  <c r="IE303" i="11"/>
  <c r="IF303" i="11"/>
  <c r="IG303" i="11"/>
  <c r="IH303" i="11"/>
  <c r="II303" i="11"/>
  <c r="IJ303" i="11"/>
  <c r="IK303" i="11"/>
  <c r="IL303" i="11"/>
  <c r="IM303" i="11"/>
  <c r="IN303" i="11"/>
  <c r="IO303" i="11"/>
  <c r="IP303" i="11"/>
  <c r="IQ303" i="11"/>
  <c r="IR303" i="11"/>
  <c r="IS303" i="11"/>
  <c r="IT303" i="11"/>
  <c r="IU303" i="11"/>
  <c r="IV303" i="11"/>
  <c r="F304" i="11"/>
  <c r="G304" i="11"/>
  <c r="H304" i="11"/>
  <c r="I304" i="11"/>
  <c r="J304" i="11"/>
  <c r="K304" i="11"/>
  <c r="L304" i="11"/>
  <c r="M304" i="11"/>
  <c r="N304" i="11"/>
  <c r="O304" i="11"/>
  <c r="P304" i="11"/>
  <c r="Q304" i="11"/>
  <c r="R304" i="11"/>
  <c r="S304" i="11"/>
  <c r="T304" i="11"/>
  <c r="U304" i="11"/>
  <c r="V304" i="11"/>
  <c r="W304" i="11"/>
  <c r="X304" i="11"/>
  <c r="Y304" i="11"/>
  <c r="Z304" i="11"/>
  <c r="AA304" i="11"/>
  <c r="AB304" i="11"/>
  <c r="AC304" i="11"/>
  <c r="AD304" i="11"/>
  <c r="AE304" i="11"/>
  <c r="AF304" i="11"/>
  <c r="AG304" i="11"/>
  <c r="AH304" i="11"/>
  <c r="AI304" i="11"/>
  <c r="AJ304" i="11"/>
  <c r="AK304" i="11"/>
  <c r="AL304" i="11"/>
  <c r="AM304" i="11"/>
  <c r="AN304" i="11"/>
  <c r="AO304" i="11"/>
  <c r="AP304" i="11"/>
  <c r="AQ304" i="11"/>
  <c r="AR304" i="11"/>
  <c r="AS304" i="11"/>
  <c r="AT304" i="11"/>
  <c r="AU304" i="11"/>
  <c r="AV304" i="11"/>
  <c r="AW304" i="11"/>
  <c r="AX304" i="11"/>
  <c r="AY304" i="11"/>
  <c r="AZ304" i="11"/>
  <c r="BA304" i="11"/>
  <c r="BB304" i="11"/>
  <c r="BC304" i="11"/>
  <c r="BD304" i="11"/>
  <c r="BE304" i="11"/>
  <c r="BF304" i="11"/>
  <c r="BG304" i="11"/>
  <c r="BH304" i="11"/>
  <c r="BI304" i="11"/>
  <c r="BJ304" i="11"/>
  <c r="BK304" i="11"/>
  <c r="BL304" i="11"/>
  <c r="BM304" i="11"/>
  <c r="BN304" i="11"/>
  <c r="BO304" i="11"/>
  <c r="BP304" i="11"/>
  <c r="BQ304" i="11"/>
  <c r="BR304" i="11"/>
  <c r="BS304" i="11"/>
  <c r="BT304" i="11"/>
  <c r="BU304" i="11"/>
  <c r="BV304" i="11"/>
  <c r="BW304" i="11"/>
  <c r="BX304" i="11"/>
  <c r="BY304" i="11"/>
  <c r="BZ304" i="11"/>
  <c r="CA304" i="11"/>
  <c r="CB304" i="11"/>
  <c r="CC304" i="11"/>
  <c r="CD304" i="11"/>
  <c r="CE304" i="11"/>
  <c r="CF304" i="11"/>
  <c r="CG304" i="11"/>
  <c r="CH304" i="11"/>
  <c r="CI304" i="11"/>
  <c r="CJ304" i="11"/>
  <c r="CK304" i="11"/>
  <c r="CL304" i="11"/>
  <c r="CM304" i="11"/>
  <c r="CN304" i="11"/>
  <c r="CO304" i="11"/>
  <c r="CP304" i="11"/>
  <c r="CQ304" i="11"/>
  <c r="CR304" i="11"/>
  <c r="CS304" i="11"/>
  <c r="CT304" i="11"/>
  <c r="CU304" i="11"/>
  <c r="CV304" i="11"/>
  <c r="CW304" i="11"/>
  <c r="CX304" i="11"/>
  <c r="CY304" i="11"/>
  <c r="CZ304" i="11"/>
  <c r="DA304" i="11"/>
  <c r="DB304" i="11"/>
  <c r="DC304" i="11"/>
  <c r="DD304" i="11"/>
  <c r="DE304" i="11"/>
  <c r="DF304" i="11"/>
  <c r="DG304" i="11"/>
  <c r="DH304" i="11"/>
  <c r="DI304" i="11"/>
  <c r="DJ304" i="11"/>
  <c r="DK304" i="11"/>
  <c r="DL304" i="11"/>
  <c r="DM304" i="11"/>
  <c r="DN304" i="11"/>
  <c r="DO304" i="11"/>
  <c r="DP304" i="11"/>
  <c r="DQ304" i="11"/>
  <c r="DR304" i="11"/>
  <c r="DS304" i="11"/>
  <c r="DT304" i="11"/>
  <c r="DU304" i="11"/>
  <c r="DV304" i="11"/>
  <c r="DW304" i="11"/>
  <c r="DX304" i="11"/>
  <c r="DY304" i="11"/>
  <c r="DZ304" i="11"/>
  <c r="EA304" i="11"/>
  <c r="EB304" i="11"/>
  <c r="EC304" i="11"/>
  <c r="ED304" i="11"/>
  <c r="EE304" i="11"/>
  <c r="EF304" i="11"/>
  <c r="EG304" i="11"/>
  <c r="EH304" i="11"/>
  <c r="EI304" i="11"/>
  <c r="EJ304" i="11"/>
  <c r="EK304" i="11"/>
  <c r="EL304" i="11"/>
  <c r="EM304" i="11"/>
  <c r="EN304" i="11"/>
  <c r="EO304" i="11"/>
  <c r="EP304" i="11"/>
  <c r="EQ304" i="11"/>
  <c r="ER304" i="11"/>
  <c r="ES304" i="11"/>
  <c r="ET304" i="11"/>
  <c r="EU304" i="11"/>
  <c r="EV304" i="11"/>
  <c r="EW304" i="11"/>
  <c r="EX304" i="11"/>
  <c r="EY304" i="11"/>
  <c r="EZ304" i="11"/>
  <c r="FA304" i="11"/>
  <c r="FB304" i="11"/>
  <c r="FC304" i="11"/>
  <c r="FD304" i="11"/>
  <c r="FE304" i="11"/>
  <c r="FF304" i="11"/>
  <c r="FG304" i="11"/>
  <c r="FH304" i="11"/>
  <c r="FI304" i="11"/>
  <c r="FJ304" i="11"/>
  <c r="FK304" i="11"/>
  <c r="FL304" i="11"/>
  <c r="FM304" i="11"/>
  <c r="FN304" i="11"/>
  <c r="FO304" i="11"/>
  <c r="FP304" i="11"/>
  <c r="FQ304" i="11"/>
  <c r="FR304" i="11"/>
  <c r="FS304" i="11"/>
  <c r="FT304" i="11"/>
  <c r="FU304" i="11"/>
  <c r="FV304" i="11"/>
  <c r="FW304" i="11"/>
  <c r="FX304" i="11"/>
  <c r="FY304" i="11"/>
  <c r="FZ304" i="11"/>
  <c r="GA304" i="11"/>
  <c r="GB304" i="11"/>
  <c r="GC304" i="11"/>
  <c r="GD304" i="11"/>
  <c r="GE304" i="11"/>
  <c r="GF304" i="11"/>
  <c r="GG304" i="11"/>
  <c r="GH304" i="11"/>
  <c r="GI304" i="11"/>
  <c r="GJ304" i="11"/>
  <c r="GK304" i="11"/>
  <c r="GL304" i="11"/>
  <c r="GM304" i="11"/>
  <c r="GN304" i="11"/>
  <c r="GO304" i="11"/>
  <c r="GP304" i="11"/>
  <c r="GQ304" i="11"/>
  <c r="GR304" i="11"/>
  <c r="GS304" i="11"/>
  <c r="GT304" i="11"/>
  <c r="GU304" i="11"/>
  <c r="GV304" i="11"/>
  <c r="GW304" i="11"/>
  <c r="GX304" i="11"/>
  <c r="GY304" i="11"/>
  <c r="GZ304" i="11"/>
  <c r="HA304" i="11"/>
  <c r="HB304" i="11"/>
  <c r="HC304" i="11"/>
  <c r="HD304" i="11"/>
  <c r="HE304" i="11"/>
  <c r="HF304" i="11"/>
  <c r="HG304" i="11"/>
  <c r="HH304" i="11"/>
  <c r="HI304" i="11"/>
  <c r="HJ304" i="11"/>
  <c r="HK304" i="11"/>
  <c r="HL304" i="11"/>
  <c r="HM304" i="11"/>
  <c r="HN304" i="11"/>
  <c r="HO304" i="11"/>
  <c r="HP304" i="11"/>
  <c r="HQ304" i="11"/>
  <c r="HR304" i="11"/>
  <c r="HS304" i="11"/>
  <c r="HT304" i="11"/>
  <c r="HU304" i="11"/>
  <c r="HV304" i="11"/>
  <c r="HW304" i="11"/>
  <c r="HX304" i="11"/>
  <c r="HY304" i="11"/>
  <c r="HZ304" i="11"/>
  <c r="IA304" i="11"/>
  <c r="IB304" i="11"/>
  <c r="IC304" i="11"/>
  <c r="ID304" i="11"/>
  <c r="IE304" i="11"/>
  <c r="IF304" i="11"/>
  <c r="IG304" i="11"/>
  <c r="IH304" i="11"/>
  <c r="II304" i="11"/>
  <c r="IJ304" i="11"/>
  <c r="IK304" i="11"/>
  <c r="IL304" i="11"/>
  <c r="IM304" i="11"/>
  <c r="IN304" i="11"/>
  <c r="IO304" i="11"/>
  <c r="IP304" i="11"/>
  <c r="IQ304" i="11"/>
  <c r="IR304" i="11"/>
  <c r="IS304" i="11"/>
  <c r="IT304" i="11"/>
  <c r="IU304" i="11"/>
  <c r="IV304" i="11"/>
  <c r="F305" i="11"/>
  <c r="G305" i="11"/>
  <c r="H305" i="11"/>
  <c r="I305" i="11"/>
  <c r="J305" i="11"/>
  <c r="K305" i="11"/>
  <c r="L305" i="11"/>
  <c r="M305" i="11"/>
  <c r="N305" i="11"/>
  <c r="O305" i="11"/>
  <c r="P305" i="11"/>
  <c r="Q305" i="11"/>
  <c r="R305" i="11"/>
  <c r="S305" i="11"/>
  <c r="T305" i="11"/>
  <c r="U305" i="11"/>
  <c r="V305" i="11"/>
  <c r="W305" i="11"/>
  <c r="X305" i="11"/>
  <c r="Y305" i="11"/>
  <c r="Z305" i="11"/>
  <c r="AA305" i="11"/>
  <c r="AB305" i="11"/>
  <c r="AC305" i="11"/>
  <c r="AD305" i="11"/>
  <c r="AE305" i="11"/>
  <c r="AF305" i="11"/>
  <c r="AG305" i="11"/>
  <c r="AH305" i="11"/>
  <c r="AI305" i="11"/>
  <c r="AJ305" i="11"/>
  <c r="AK305" i="11"/>
  <c r="AL305" i="11"/>
  <c r="AM305" i="11"/>
  <c r="AN305" i="11"/>
  <c r="AO305" i="11"/>
  <c r="AP305" i="11"/>
  <c r="AQ305" i="11"/>
  <c r="AR305" i="11"/>
  <c r="AS305" i="11"/>
  <c r="AT305" i="11"/>
  <c r="AU305" i="11"/>
  <c r="AV305" i="11"/>
  <c r="AW305" i="11"/>
  <c r="AX305" i="11"/>
  <c r="AY305" i="11"/>
  <c r="AZ305" i="11"/>
  <c r="BA305" i="11"/>
  <c r="BB305" i="11"/>
  <c r="BC305" i="11"/>
  <c r="BD305" i="11"/>
  <c r="BE305" i="11"/>
  <c r="BF305" i="11"/>
  <c r="BG305" i="11"/>
  <c r="BH305" i="11"/>
  <c r="BI305" i="11"/>
  <c r="BJ305" i="11"/>
  <c r="BK305" i="11"/>
  <c r="BL305" i="11"/>
  <c r="BM305" i="11"/>
  <c r="BN305" i="11"/>
  <c r="BO305" i="11"/>
  <c r="BP305" i="11"/>
  <c r="BQ305" i="11"/>
  <c r="BR305" i="11"/>
  <c r="BS305" i="11"/>
  <c r="BT305" i="11"/>
  <c r="BU305" i="11"/>
  <c r="BV305" i="11"/>
  <c r="BW305" i="11"/>
  <c r="BX305" i="11"/>
  <c r="BY305" i="11"/>
  <c r="BZ305" i="11"/>
  <c r="CA305" i="11"/>
  <c r="CB305" i="11"/>
  <c r="CC305" i="11"/>
  <c r="CD305" i="11"/>
  <c r="CE305" i="11"/>
  <c r="CF305" i="11"/>
  <c r="CG305" i="11"/>
  <c r="CH305" i="11"/>
  <c r="CI305" i="11"/>
  <c r="CJ305" i="11"/>
  <c r="CK305" i="11"/>
  <c r="CL305" i="11"/>
  <c r="CM305" i="11"/>
  <c r="CN305" i="11"/>
  <c r="CO305" i="11"/>
  <c r="CP305" i="11"/>
  <c r="CQ305" i="11"/>
  <c r="CR305" i="11"/>
  <c r="CS305" i="11"/>
  <c r="CT305" i="11"/>
  <c r="CU305" i="11"/>
  <c r="CV305" i="11"/>
  <c r="CW305" i="11"/>
  <c r="CX305" i="11"/>
  <c r="CY305" i="11"/>
  <c r="CZ305" i="11"/>
  <c r="DA305" i="11"/>
  <c r="DB305" i="11"/>
  <c r="DC305" i="11"/>
  <c r="DD305" i="11"/>
  <c r="DE305" i="11"/>
  <c r="DF305" i="11"/>
  <c r="DG305" i="11"/>
  <c r="DH305" i="11"/>
  <c r="DI305" i="11"/>
  <c r="DJ305" i="11"/>
  <c r="DK305" i="11"/>
  <c r="DL305" i="11"/>
  <c r="DM305" i="11"/>
  <c r="DN305" i="11"/>
  <c r="DO305" i="11"/>
  <c r="DP305" i="11"/>
  <c r="DQ305" i="11"/>
  <c r="DR305" i="11"/>
  <c r="DS305" i="11"/>
  <c r="DT305" i="11"/>
  <c r="DU305" i="11"/>
  <c r="DV305" i="11"/>
  <c r="DW305" i="11"/>
  <c r="DX305" i="11"/>
  <c r="DY305" i="11"/>
  <c r="DZ305" i="11"/>
  <c r="EA305" i="11"/>
  <c r="EB305" i="11"/>
  <c r="EC305" i="11"/>
  <c r="ED305" i="11"/>
  <c r="EE305" i="11"/>
  <c r="EF305" i="11"/>
  <c r="EG305" i="11"/>
  <c r="EH305" i="11"/>
  <c r="EI305" i="11"/>
  <c r="EJ305" i="11"/>
  <c r="EK305" i="11"/>
  <c r="EL305" i="11"/>
  <c r="EM305" i="11"/>
  <c r="EN305" i="11"/>
  <c r="EO305" i="11"/>
  <c r="EP305" i="11"/>
  <c r="EQ305" i="11"/>
  <c r="ER305" i="11"/>
  <c r="ES305" i="11"/>
  <c r="ET305" i="11"/>
  <c r="EU305" i="11"/>
  <c r="EV305" i="11"/>
  <c r="EW305" i="11"/>
  <c r="EX305" i="11"/>
  <c r="EY305" i="11"/>
  <c r="EZ305" i="11"/>
  <c r="FA305" i="11"/>
  <c r="FB305" i="11"/>
  <c r="FC305" i="11"/>
  <c r="FD305" i="11"/>
  <c r="FE305" i="11"/>
  <c r="FF305" i="11"/>
  <c r="FG305" i="11"/>
  <c r="FH305" i="11"/>
  <c r="FI305" i="11"/>
  <c r="FJ305" i="11"/>
  <c r="FK305" i="11"/>
  <c r="FL305" i="11"/>
  <c r="FM305" i="11"/>
  <c r="FN305" i="11"/>
  <c r="FO305" i="11"/>
  <c r="FP305" i="11"/>
  <c r="FQ305" i="11"/>
  <c r="FR305" i="11"/>
  <c r="FS305" i="11"/>
  <c r="FT305" i="11"/>
  <c r="FU305" i="11"/>
  <c r="FV305" i="11"/>
  <c r="FW305" i="11"/>
  <c r="FX305" i="11"/>
  <c r="FY305" i="11"/>
  <c r="FZ305" i="11"/>
  <c r="GA305" i="11"/>
  <c r="GB305" i="11"/>
  <c r="GC305" i="11"/>
  <c r="GD305" i="11"/>
  <c r="GE305" i="11"/>
  <c r="GF305" i="11"/>
  <c r="GG305" i="11"/>
  <c r="GH305" i="11"/>
  <c r="GI305" i="11"/>
  <c r="GJ305" i="11"/>
  <c r="GK305" i="11"/>
  <c r="GL305" i="11"/>
  <c r="GM305" i="11"/>
  <c r="GN305" i="11"/>
  <c r="GO305" i="11"/>
  <c r="GP305" i="11"/>
  <c r="GQ305" i="11"/>
  <c r="GR305" i="11"/>
  <c r="GS305" i="11"/>
  <c r="GT305" i="11"/>
  <c r="GU305" i="11"/>
  <c r="GV305" i="11"/>
  <c r="GW305" i="11"/>
  <c r="GX305" i="11"/>
  <c r="GY305" i="11"/>
  <c r="GZ305" i="11"/>
  <c r="HA305" i="11"/>
  <c r="HB305" i="11"/>
  <c r="HC305" i="11"/>
  <c r="HD305" i="11"/>
  <c r="HE305" i="11"/>
  <c r="HF305" i="11"/>
  <c r="HG305" i="11"/>
  <c r="HH305" i="11"/>
  <c r="HI305" i="11"/>
  <c r="HJ305" i="11"/>
  <c r="HK305" i="11"/>
  <c r="HL305" i="11"/>
  <c r="HM305" i="11"/>
  <c r="HN305" i="11"/>
  <c r="HO305" i="11"/>
  <c r="HP305" i="11"/>
  <c r="HQ305" i="11"/>
  <c r="HR305" i="11"/>
  <c r="HS305" i="11"/>
  <c r="HT305" i="11"/>
  <c r="HU305" i="11"/>
  <c r="HV305" i="11"/>
  <c r="HW305" i="11"/>
  <c r="HX305" i="11"/>
  <c r="HY305" i="11"/>
  <c r="HZ305" i="11"/>
  <c r="IA305" i="11"/>
  <c r="IB305" i="11"/>
  <c r="IC305" i="11"/>
  <c r="ID305" i="11"/>
  <c r="IE305" i="11"/>
  <c r="IF305" i="11"/>
  <c r="IG305" i="11"/>
  <c r="IH305" i="11"/>
  <c r="II305" i="11"/>
  <c r="IJ305" i="11"/>
  <c r="IK305" i="11"/>
  <c r="IL305" i="11"/>
  <c r="IM305" i="11"/>
  <c r="IN305" i="11"/>
  <c r="IO305" i="11"/>
  <c r="IP305" i="11"/>
  <c r="IQ305" i="11"/>
  <c r="IR305" i="11"/>
  <c r="IS305" i="11"/>
  <c r="IT305" i="11"/>
  <c r="IU305" i="11"/>
  <c r="IV305" i="11"/>
  <c r="F306" i="11"/>
  <c r="G306" i="11"/>
  <c r="H306" i="11"/>
  <c r="I306" i="11"/>
  <c r="J306" i="11"/>
  <c r="K306" i="11"/>
  <c r="L306" i="11"/>
  <c r="M306" i="11"/>
  <c r="N306" i="11"/>
  <c r="O306" i="11"/>
  <c r="P306" i="11"/>
  <c r="Q306" i="11"/>
  <c r="R306" i="11"/>
  <c r="S306" i="11"/>
  <c r="T306" i="11"/>
  <c r="U306" i="11"/>
  <c r="V306" i="11"/>
  <c r="W306" i="11"/>
  <c r="X306" i="11"/>
  <c r="Y306" i="11"/>
  <c r="Z306" i="11"/>
  <c r="AA306" i="11"/>
  <c r="AB306" i="11"/>
  <c r="AC306" i="11"/>
  <c r="AD306" i="11"/>
  <c r="AE306" i="11"/>
  <c r="AF306" i="11"/>
  <c r="AG306" i="11"/>
  <c r="AH306" i="11"/>
  <c r="AI306" i="11"/>
  <c r="AJ306" i="11"/>
  <c r="AK306" i="11"/>
  <c r="AL306" i="11"/>
  <c r="AM306" i="11"/>
  <c r="AN306" i="11"/>
  <c r="AO306" i="11"/>
  <c r="AP306" i="11"/>
  <c r="AQ306" i="11"/>
  <c r="AR306" i="11"/>
  <c r="AS306" i="11"/>
  <c r="AT306" i="11"/>
  <c r="AU306" i="11"/>
  <c r="AV306" i="11"/>
  <c r="AW306" i="11"/>
  <c r="AX306" i="11"/>
  <c r="AY306" i="11"/>
  <c r="AZ306" i="11"/>
  <c r="BA306" i="11"/>
  <c r="BB306" i="11"/>
  <c r="BC306" i="11"/>
  <c r="BD306" i="11"/>
  <c r="BE306" i="11"/>
  <c r="BF306" i="11"/>
  <c r="BG306" i="11"/>
  <c r="BH306" i="11"/>
  <c r="BI306" i="11"/>
  <c r="BJ306" i="11"/>
  <c r="BK306" i="11"/>
  <c r="BL306" i="11"/>
  <c r="BM306" i="11"/>
  <c r="BN306" i="11"/>
  <c r="BO306" i="11"/>
  <c r="BP306" i="11"/>
  <c r="BQ306" i="11"/>
  <c r="BR306" i="11"/>
  <c r="BS306" i="11"/>
  <c r="BT306" i="11"/>
  <c r="BU306" i="11"/>
  <c r="BV306" i="11"/>
  <c r="BW306" i="11"/>
  <c r="BX306" i="11"/>
  <c r="BY306" i="11"/>
  <c r="BZ306" i="11"/>
  <c r="CA306" i="11"/>
  <c r="CB306" i="11"/>
  <c r="CC306" i="11"/>
  <c r="CD306" i="11"/>
  <c r="CE306" i="11"/>
  <c r="CF306" i="11"/>
  <c r="CG306" i="11"/>
  <c r="CH306" i="11"/>
  <c r="CI306" i="11"/>
  <c r="CJ306" i="11"/>
  <c r="CK306" i="11"/>
  <c r="CL306" i="11"/>
  <c r="CM306" i="11"/>
  <c r="CN306" i="11"/>
  <c r="CO306" i="11"/>
  <c r="CP306" i="11"/>
  <c r="CQ306" i="11"/>
  <c r="CR306" i="11"/>
  <c r="CS306" i="11"/>
  <c r="CT306" i="11"/>
  <c r="CU306" i="11"/>
  <c r="CV306" i="11"/>
  <c r="CW306" i="11"/>
  <c r="CX306" i="11"/>
  <c r="CY306" i="11"/>
  <c r="CZ306" i="11"/>
  <c r="DA306" i="11"/>
  <c r="DB306" i="11"/>
  <c r="DC306" i="11"/>
  <c r="DD306" i="11"/>
  <c r="DE306" i="11"/>
  <c r="DF306" i="11"/>
  <c r="DG306" i="11"/>
  <c r="DH306" i="11"/>
  <c r="DI306" i="11"/>
  <c r="DJ306" i="11"/>
  <c r="DK306" i="11"/>
  <c r="DL306" i="11"/>
  <c r="DM306" i="11"/>
  <c r="DN306" i="11"/>
  <c r="DO306" i="11"/>
  <c r="DP306" i="11"/>
  <c r="DQ306" i="11"/>
  <c r="DR306" i="11"/>
  <c r="DS306" i="11"/>
  <c r="DT306" i="11"/>
  <c r="DU306" i="11"/>
  <c r="DV306" i="11"/>
  <c r="DW306" i="11"/>
  <c r="DX306" i="11"/>
  <c r="DY306" i="11"/>
  <c r="DZ306" i="11"/>
  <c r="EA306" i="11"/>
  <c r="EB306" i="11"/>
  <c r="EC306" i="11"/>
  <c r="ED306" i="11"/>
  <c r="EE306" i="11"/>
  <c r="EF306" i="11"/>
  <c r="EG306" i="11"/>
  <c r="EH306" i="11"/>
  <c r="EI306" i="11"/>
  <c r="EJ306" i="11"/>
  <c r="EK306" i="11"/>
  <c r="EL306" i="11"/>
  <c r="EM306" i="11"/>
  <c r="EN306" i="11"/>
  <c r="EO306" i="11"/>
  <c r="EP306" i="11"/>
  <c r="EQ306" i="11"/>
  <c r="ER306" i="11"/>
  <c r="ES306" i="11"/>
  <c r="ET306" i="11"/>
  <c r="EU306" i="11"/>
  <c r="EV306" i="11"/>
  <c r="EW306" i="11"/>
  <c r="EX306" i="11"/>
  <c r="EY306" i="11"/>
  <c r="EZ306" i="11"/>
  <c r="FA306" i="11"/>
  <c r="FB306" i="11"/>
  <c r="FC306" i="11"/>
  <c r="FD306" i="11"/>
  <c r="FE306" i="11"/>
  <c r="FF306" i="11"/>
  <c r="FG306" i="11"/>
  <c r="FH306" i="11"/>
  <c r="FI306" i="11"/>
  <c r="FJ306" i="11"/>
  <c r="FK306" i="11"/>
  <c r="FL306" i="11"/>
  <c r="FM306" i="11"/>
  <c r="FN306" i="11"/>
  <c r="FO306" i="11"/>
  <c r="FP306" i="11"/>
  <c r="FQ306" i="11"/>
  <c r="FR306" i="11"/>
  <c r="FS306" i="11"/>
  <c r="FT306" i="11"/>
  <c r="FU306" i="11"/>
  <c r="FV306" i="11"/>
  <c r="FW306" i="11"/>
  <c r="FX306" i="11"/>
  <c r="FY306" i="11"/>
  <c r="FZ306" i="11"/>
  <c r="GA306" i="11"/>
  <c r="GB306" i="11"/>
  <c r="GC306" i="11"/>
  <c r="GD306" i="11"/>
  <c r="GE306" i="11"/>
  <c r="GF306" i="11"/>
  <c r="GG306" i="11"/>
  <c r="GH306" i="11"/>
  <c r="GI306" i="11"/>
  <c r="GJ306" i="11"/>
  <c r="GK306" i="11"/>
  <c r="GL306" i="11"/>
  <c r="GM306" i="11"/>
  <c r="GN306" i="11"/>
  <c r="GO306" i="11"/>
  <c r="GP306" i="11"/>
  <c r="GQ306" i="11"/>
  <c r="GR306" i="11"/>
  <c r="GS306" i="11"/>
  <c r="GT306" i="11"/>
  <c r="GU306" i="11"/>
  <c r="GV306" i="11"/>
  <c r="GW306" i="11"/>
  <c r="GX306" i="11"/>
  <c r="GY306" i="11"/>
  <c r="GZ306" i="11"/>
  <c r="HA306" i="11"/>
  <c r="HB306" i="11"/>
  <c r="HC306" i="11"/>
  <c r="HD306" i="11"/>
  <c r="HE306" i="11"/>
  <c r="HF306" i="11"/>
  <c r="HG306" i="11"/>
  <c r="HH306" i="11"/>
  <c r="HI306" i="11"/>
  <c r="HJ306" i="11"/>
  <c r="HK306" i="11"/>
  <c r="HL306" i="11"/>
  <c r="HM306" i="11"/>
  <c r="HN306" i="11"/>
  <c r="HO306" i="11"/>
  <c r="HP306" i="11"/>
  <c r="HQ306" i="11"/>
  <c r="HR306" i="11"/>
  <c r="HS306" i="11"/>
  <c r="HT306" i="11"/>
  <c r="HU306" i="11"/>
  <c r="HV306" i="11"/>
  <c r="HW306" i="11"/>
  <c r="HX306" i="11"/>
  <c r="HY306" i="11"/>
  <c r="HZ306" i="11"/>
  <c r="IA306" i="11"/>
  <c r="IB306" i="11"/>
  <c r="IC306" i="11"/>
  <c r="ID306" i="11"/>
  <c r="IE306" i="11"/>
  <c r="IF306" i="11"/>
  <c r="IG306" i="11"/>
  <c r="IH306" i="11"/>
  <c r="II306" i="11"/>
  <c r="IJ306" i="11"/>
  <c r="IK306" i="11"/>
  <c r="IL306" i="11"/>
  <c r="IM306" i="11"/>
  <c r="IN306" i="11"/>
  <c r="IO306" i="11"/>
  <c r="IP306" i="11"/>
  <c r="IQ306" i="11"/>
  <c r="IR306" i="11"/>
  <c r="IS306" i="11"/>
  <c r="IT306" i="11"/>
  <c r="IU306" i="11"/>
  <c r="IV306" i="11"/>
  <c r="F307" i="11"/>
  <c r="G307" i="11"/>
  <c r="H307" i="11"/>
  <c r="I307" i="11"/>
  <c r="J307" i="11"/>
  <c r="K307" i="11"/>
  <c r="L307" i="11"/>
  <c r="M307" i="11"/>
  <c r="N307" i="11"/>
  <c r="O307" i="11"/>
  <c r="P307" i="11"/>
  <c r="Q307" i="11"/>
  <c r="R307" i="11"/>
  <c r="S307" i="11"/>
  <c r="T307" i="11"/>
  <c r="U307" i="11"/>
  <c r="V307" i="11"/>
  <c r="W307" i="11"/>
  <c r="X307" i="11"/>
  <c r="Y307" i="11"/>
  <c r="Z307" i="11"/>
  <c r="AA307" i="11"/>
  <c r="AB307" i="11"/>
  <c r="AC307" i="11"/>
  <c r="AD307" i="11"/>
  <c r="AE307" i="11"/>
  <c r="AF307" i="11"/>
  <c r="AG307" i="11"/>
  <c r="AH307" i="11"/>
  <c r="AI307" i="11"/>
  <c r="AJ307" i="11"/>
  <c r="AK307" i="11"/>
  <c r="AL307" i="11"/>
  <c r="AM307" i="11"/>
  <c r="AN307" i="11"/>
  <c r="AO307" i="11"/>
  <c r="AP307" i="11"/>
  <c r="AQ307" i="11"/>
  <c r="AR307" i="11"/>
  <c r="AS307" i="11"/>
  <c r="AT307" i="11"/>
  <c r="AU307" i="11"/>
  <c r="AV307" i="11"/>
  <c r="AW307" i="11"/>
  <c r="AX307" i="11"/>
  <c r="AY307" i="11"/>
  <c r="AZ307" i="11"/>
  <c r="BA307" i="11"/>
  <c r="BB307" i="11"/>
  <c r="BC307" i="11"/>
  <c r="BD307" i="11"/>
  <c r="BE307" i="11"/>
  <c r="BF307" i="11"/>
  <c r="BG307" i="11"/>
  <c r="BH307" i="11"/>
  <c r="BI307" i="11"/>
  <c r="BJ307" i="11"/>
  <c r="BK307" i="11"/>
  <c r="BL307" i="11"/>
  <c r="BM307" i="11"/>
  <c r="BN307" i="11"/>
  <c r="BO307" i="11"/>
  <c r="BP307" i="11"/>
  <c r="BQ307" i="11"/>
  <c r="BR307" i="11"/>
  <c r="BS307" i="11"/>
  <c r="BT307" i="11"/>
  <c r="BU307" i="11"/>
  <c r="BV307" i="11"/>
  <c r="BW307" i="11"/>
  <c r="BX307" i="11"/>
  <c r="BY307" i="11"/>
  <c r="BZ307" i="11"/>
  <c r="CA307" i="11"/>
  <c r="CB307" i="11"/>
  <c r="CC307" i="11"/>
  <c r="CD307" i="11"/>
  <c r="CE307" i="11"/>
  <c r="CF307" i="11"/>
  <c r="CG307" i="11"/>
  <c r="CH307" i="11"/>
  <c r="CI307" i="11"/>
  <c r="CJ307" i="11"/>
  <c r="CK307" i="11"/>
  <c r="CL307" i="11"/>
  <c r="CM307" i="11"/>
  <c r="CN307" i="11"/>
  <c r="CO307" i="11"/>
  <c r="CP307" i="11"/>
  <c r="CQ307" i="11"/>
  <c r="CR307" i="11"/>
  <c r="CS307" i="11"/>
  <c r="CT307" i="11"/>
  <c r="CU307" i="11"/>
  <c r="CV307" i="11"/>
  <c r="CW307" i="11"/>
  <c r="CX307" i="11"/>
  <c r="CY307" i="11"/>
  <c r="CZ307" i="11"/>
  <c r="DA307" i="11"/>
  <c r="DB307" i="11"/>
  <c r="DC307" i="11"/>
  <c r="DD307" i="11"/>
  <c r="DE307" i="11"/>
  <c r="DF307" i="11"/>
  <c r="DG307" i="11"/>
  <c r="DH307" i="11"/>
  <c r="DI307" i="11"/>
  <c r="DJ307" i="11"/>
  <c r="DK307" i="11"/>
  <c r="DL307" i="11"/>
  <c r="DM307" i="11"/>
  <c r="DN307" i="11"/>
  <c r="DO307" i="11"/>
  <c r="DP307" i="11"/>
  <c r="DQ307" i="11"/>
  <c r="DR307" i="11"/>
  <c r="DS307" i="11"/>
  <c r="DT307" i="11"/>
  <c r="DU307" i="11"/>
  <c r="DV307" i="11"/>
  <c r="DW307" i="11"/>
  <c r="DX307" i="11"/>
  <c r="DY307" i="11"/>
  <c r="DZ307" i="11"/>
  <c r="EA307" i="11"/>
  <c r="EB307" i="11"/>
  <c r="EC307" i="11"/>
  <c r="ED307" i="11"/>
  <c r="EE307" i="11"/>
  <c r="EF307" i="11"/>
  <c r="EG307" i="11"/>
  <c r="EH307" i="11"/>
  <c r="EI307" i="11"/>
  <c r="EJ307" i="11"/>
  <c r="EK307" i="11"/>
  <c r="EL307" i="11"/>
  <c r="EM307" i="11"/>
  <c r="EN307" i="11"/>
  <c r="EO307" i="11"/>
  <c r="EP307" i="11"/>
  <c r="EQ307" i="11"/>
  <c r="ER307" i="11"/>
  <c r="ES307" i="11"/>
  <c r="ET307" i="11"/>
  <c r="EU307" i="11"/>
  <c r="EV307" i="11"/>
  <c r="EW307" i="11"/>
  <c r="EX307" i="11"/>
  <c r="EY307" i="11"/>
  <c r="EZ307" i="11"/>
  <c r="FA307" i="11"/>
  <c r="FB307" i="11"/>
  <c r="FC307" i="11"/>
  <c r="FD307" i="11"/>
  <c r="FE307" i="11"/>
  <c r="FF307" i="11"/>
  <c r="FG307" i="11"/>
  <c r="FH307" i="11"/>
  <c r="FI307" i="11"/>
  <c r="FJ307" i="11"/>
  <c r="FK307" i="11"/>
  <c r="FL307" i="11"/>
  <c r="FM307" i="11"/>
  <c r="FN307" i="11"/>
  <c r="FO307" i="11"/>
  <c r="FP307" i="11"/>
  <c r="FQ307" i="11"/>
  <c r="FR307" i="11"/>
  <c r="FS307" i="11"/>
  <c r="FT307" i="11"/>
  <c r="FU307" i="11"/>
  <c r="FV307" i="11"/>
  <c r="FW307" i="11"/>
  <c r="FX307" i="11"/>
  <c r="FY307" i="11"/>
  <c r="FZ307" i="11"/>
  <c r="GA307" i="11"/>
  <c r="GB307" i="11"/>
  <c r="GC307" i="11"/>
  <c r="GD307" i="11"/>
  <c r="GE307" i="11"/>
  <c r="GF307" i="11"/>
  <c r="GG307" i="11"/>
  <c r="GH307" i="11"/>
  <c r="GI307" i="11"/>
  <c r="GJ307" i="11"/>
  <c r="GK307" i="11"/>
  <c r="GL307" i="11"/>
  <c r="GM307" i="11"/>
  <c r="GN307" i="11"/>
  <c r="GO307" i="11"/>
  <c r="GP307" i="11"/>
  <c r="GQ307" i="11"/>
  <c r="GR307" i="11"/>
  <c r="GS307" i="11"/>
  <c r="GT307" i="11"/>
  <c r="GU307" i="11"/>
  <c r="GV307" i="11"/>
  <c r="GW307" i="11"/>
  <c r="GX307" i="11"/>
  <c r="GY307" i="11"/>
  <c r="GZ307" i="11"/>
  <c r="HA307" i="11"/>
  <c r="HB307" i="11"/>
  <c r="HC307" i="11"/>
  <c r="HD307" i="11"/>
  <c r="HE307" i="11"/>
  <c r="HF307" i="11"/>
  <c r="HG307" i="11"/>
  <c r="HH307" i="11"/>
  <c r="HI307" i="11"/>
  <c r="HJ307" i="11"/>
  <c r="HK307" i="11"/>
  <c r="HL307" i="11"/>
  <c r="HM307" i="11"/>
  <c r="HN307" i="11"/>
  <c r="HO307" i="11"/>
  <c r="HP307" i="11"/>
  <c r="HQ307" i="11"/>
  <c r="HR307" i="11"/>
  <c r="HS307" i="11"/>
  <c r="HT307" i="11"/>
  <c r="HU307" i="11"/>
  <c r="HV307" i="11"/>
  <c r="HW307" i="11"/>
  <c r="HX307" i="11"/>
  <c r="HY307" i="11"/>
  <c r="HZ307" i="11"/>
  <c r="IA307" i="11"/>
  <c r="IB307" i="11"/>
  <c r="IC307" i="11"/>
  <c r="ID307" i="11"/>
  <c r="IE307" i="11"/>
  <c r="IF307" i="11"/>
  <c r="IG307" i="11"/>
  <c r="IH307" i="11"/>
  <c r="II307" i="11"/>
  <c r="IJ307" i="11"/>
  <c r="IK307" i="11"/>
  <c r="IL307" i="11"/>
  <c r="IM307" i="11"/>
  <c r="IN307" i="11"/>
  <c r="IO307" i="11"/>
  <c r="IP307" i="11"/>
  <c r="IQ307" i="11"/>
  <c r="IR307" i="11"/>
  <c r="IS307" i="11"/>
  <c r="IT307" i="11"/>
  <c r="IU307" i="11"/>
  <c r="IV307" i="11"/>
  <c r="F308" i="11"/>
  <c r="G308" i="11"/>
  <c r="H308" i="11"/>
  <c r="I308" i="11"/>
  <c r="J308" i="11"/>
  <c r="K308" i="11"/>
  <c r="L308" i="11"/>
  <c r="M308" i="11"/>
  <c r="N308" i="11"/>
  <c r="O308" i="11"/>
  <c r="P308" i="11"/>
  <c r="Q308" i="11"/>
  <c r="R308" i="11"/>
  <c r="S308" i="11"/>
  <c r="T308" i="11"/>
  <c r="U308" i="11"/>
  <c r="V308" i="11"/>
  <c r="W308" i="11"/>
  <c r="X308" i="11"/>
  <c r="Y308" i="11"/>
  <c r="Z308" i="11"/>
  <c r="AA308" i="11"/>
  <c r="AB308" i="11"/>
  <c r="AC308" i="11"/>
  <c r="AD308" i="11"/>
  <c r="AE308" i="11"/>
  <c r="AF308" i="11"/>
  <c r="AG308" i="11"/>
  <c r="AH308" i="11"/>
  <c r="AI308" i="11"/>
  <c r="AJ308" i="11"/>
  <c r="AK308" i="11"/>
  <c r="AL308" i="11"/>
  <c r="AM308" i="11"/>
  <c r="AN308" i="11"/>
  <c r="AO308" i="11"/>
  <c r="AP308" i="11"/>
  <c r="AQ308" i="11"/>
  <c r="AR308" i="11"/>
  <c r="AS308" i="11"/>
  <c r="AT308" i="11"/>
  <c r="AU308" i="11"/>
  <c r="AV308" i="11"/>
  <c r="AW308" i="11"/>
  <c r="AX308" i="11"/>
  <c r="AY308" i="11"/>
  <c r="AZ308" i="11"/>
  <c r="BA308" i="11"/>
  <c r="BB308" i="11"/>
  <c r="BC308" i="11"/>
  <c r="BD308" i="11"/>
  <c r="BE308" i="11"/>
  <c r="BF308" i="11"/>
  <c r="BG308" i="11"/>
  <c r="BH308" i="11"/>
  <c r="BI308" i="11"/>
  <c r="BJ308" i="11"/>
  <c r="BK308" i="11"/>
  <c r="BL308" i="11"/>
  <c r="BM308" i="11"/>
  <c r="BN308" i="11"/>
  <c r="BO308" i="11"/>
  <c r="BP308" i="11"/>
  <c r="BQ308" i="11"/>
  <c r="BR308" i="11"/>
  <c r="BS308" i="11"/>
  <c r="BT308" i="11"/>
  <c r="BU308" i="11"/>
  <c r="BV308" i="11"/>
  <c r="BW308" i="11"/>
  <c r="BX308" i="11"/>
  <c r="BY308" i="11"/>
  <c r="BZ308" i="11"/>
  <c r="CA308" i="11"/>
  <c r="CB308" i="11"/>
  <c r="CC308" i="11"/>
  <c r="CD308" i="11"/>
  <c r="CE308" i="11"/>
  <c r="CF308" i="11"/>
  <c r="CG308" i="11"/>
  <c r="CH308" i="11"/>
  <c r="CI308" i="11"/>
  <c r="CJ308" i="11"/>
  <c r="CK308" i="11"/>
  <c r="CL308" i="11"/>
  <c r="CM308" i="11"/>
  <c r="CN308" i="11"/>
  <c r="CO308" i="11"/>
  <c r="CP308" i="11"/>
  <c r="CQ308" i="11"/>
  <c r="CR308" i="11"/>
  <c r="CS308" i="11"/>
  <c r="CT308" i="11"/>
  <c r="CU308" i="11"/>
  <c r="CV308" i="11"/>
  <c r="CW308" i="11"/>
  <c r="CX308" i="11"/>
  <c r="CY308" i="11"/>
  <c r="CZ308" i="11"/>
  <c r="DA308" i="11"/>
  <c r="DB308" i="11"/>
  <c r="DC308" i="11"/>
  <c r="DD308" i="11"/>
  <c r="DE308" i="11"/>
  <c r="DF308" i="11"/>
  <c r="DG308" i="11"/>
  <c r="DH308" i="11"/>
  <c r="DI308" i="11"/>
  <c r="DJ308" i="11"/>
  <c r="DK308" i="11"/>
  <c r="DL308" i="11"/>
  <c r="DM308" i="11"/>
  <c r="DN308" i="11"/>
  <c r="DO308" i="11"/>
  <c r="DP308" i="11"/>
  <c r="DQ308" i="11"/>
  <c r="DR308" i="11"/>
  <c r="DS308" i="11"/>
  <c r="DT308" i="11"/>
  <c r="DU308" i="11"/>
  <c r="DV308" i="11"/>
  <c r="DW308" i="11"/>
  <c r="DX308" i="11"/>
  <c r="DY308" i="11"/>
  <c r="DZ308" i="11"/>
  <c r="EA308" i="11"/>
  <c r="EB308" i="11"/>
  <c r="EC308" i="11"/>
  <c r="ED308" i="11"/>
  <c r="EE308" i="11"/>
  <c r="EF308" i="11"/>
  <c r="EG308" i="11"/>
  <c r="EH308" i="11"/>
  <c r="EI308" i="11"/>
  <c r="EJ308" i="11"/>
  <c r="EK308" i="11"/>
  <c r="EL308" i="11"/>
  <c r="EM308" i="11"/>
  <c r="EN308" i="11"/>
  <c r="EO308" i="11"/>
  <c r="EP308" i="11"/>
  <c r="EQ308" i="11"/>
  <c r="ER308" i="11"/>
  <c r="ES308" i="11"/>
  <c r="ET308" i="11"/>
  <c r="EU308" i="11"/>
  <c r="EV308" i="11"/>
  <c r="EW308" i="11"/>
  <c r="EX308" i="11"/>
  <c r="EY308" i="11"/>
  <c r="EZ308" i="11"/>
  <c r="FA308" i="11"/>
  <c r="FB308" i="11"/>
  <c r="FC308" i="11"/>
  <c r="FD308" i="11"/>
  <c r="FE308" i="11"/>
  <c r="FF308" i="11"/>
  <c r="FG308" i="11"/>
  <c r="FH308" i="11"/>
  <c r="FI308" i="11"/>
  <c r="FJ308" i="11"/>
  <c r="FK308" i="11"/>
  <c r="FL308" i="11"/>
  <c r="FM308" i="11"/>
  <c r="FN308" i="11"/>
  <c r="FO308" i="11"/>
  <c r="FP308" i="11"/>
  <c r="FQ308" i="11"/>
  <c r="FR308" i="11"/>
  <c r="FS308" i="11"/>
  <c r="FT308" i="11"/>
  <c r="FU308" i="11"/>
  <c r="FV308" i="11"/>
  <c r="FW308" i="11"/>
  <c r="FX308" i="11"/>
  <c r="FY308" i="11"/>
  <c r="FZ308" i="11"/>
  <c r="GA308" i="11"/>
  <c r="GB308" i="11"/>
  <c r="GC308" i="11"/>
  <c r="GD308" i="11"/>
  <c r="GE308" i="11"/>
  <c r="GF308" i="11"/>
  <c r="GG308" i="11"/>
  <c r="GH308" i="11"/>
  <c r="GI308" i="11"/>
  <c r="GJ308" i="11"/>
  <c r="GK308" i="11"/>
  <c r="GL308" i="11"/>
  <c r="GM308" i="11"/>
  <c r="GN308" i="11"/>
  <c r="GO308" i="11"/>
  <c r="GP308" i="11"/>
  <c r="GQ308" i="11"/>
  <c r="GR308" i="11"/>
  <c r="GS308" i="11"/>
  <c r="GT308" i="11"/>
  <c r="GU308" i="11"/>
  <c r="GV308" i="11"/>
  <c r="GW308" i="11"/>
  <c r="GX308" i="11"/>
  <c r="GY308" i="11"/>
  <c r="GZ308" i="11"/>
  <c r="HA308" i="11"/>
  <c r="HB308" i="11"/>
  <c r="HC308" i="11"/>
  <c r="HD308" i="11"/>
  <c r="HE308" i="11"/>
  <c r="HF308" i="11"/>
  <c r="HG308" i="11"/>
  <c r="HH308" i="11"/>
  <c r="HI308" i="11"/>
  <c r="HJ308" i="11"/>
  <c r="HK308" i="11"/>
  <c r="HL308" i="11"/>
  <c r="HM308" i="11"/>
  <c r="HN308" i="11"/>
  <c r="HO308" i="11"/>
  <c r="HP308" i="11"/>
  <c r="HQ308" i="11"/>
  <c r="HR308" i="11"/>
  <c r="HS308" i="11"/>
  <c r="HT308" i="11"/>
  <c r="HU308" i="11"/>
  <c r="HV308" i="11"/>
  <c r="HW308" i="11"/>
  <c r="HX308" i="11"/>
  <c r="HY308" i="11"/>
  <c r="HZ308" i="11"/>
  <c r="IA308" i="11"/>
  <c r="IB308" i="11"/>
  <c r="IC308" i="11"/>
  <c r="ID308" i="11"/>
  <c r="IE308" i="11"/>
  <c r="IF308" i="11"/>
  <c r="IG308" i="11"/>
  <c r="IH308" i="11"/>
  <c r="II308" i="11"/>
  <c r="IJ308" i="11"/>
  <c r="IK308" i="11"/>
  <c r="IL308" i="11"/>
  <c r="IM308" i="11"/>
  <c r="IN308" i="11"/>
  <c r="IO308" i="11"/>
  <c r="IP308" i="11"/>
  <c r="IQ308" i="11"/>
  <c r="IR308" i="11"/>
  <c r="IS308" i="11"/>
  <c r="IT308" i="11"/>
  <c r="IU308" i="11"/>
  <c r="IV308" i="11"/>
  <c r="F309" i="11"/>
  <c r="G309" i="11"/>
  <c r="H309" i="11"/>
  <c r="I309" i="11"/>
  <c r="J309" i="11"/>
  <c r="K309" i="11"/>
  <c r="L309" i="11"/>
  <c r="M309" i="11"/>
  <c r="N309" i="11"/>
  <c r="O309" i="11"/>
  <c r="P309" i="11"/>
  <c r="Q309" i="11"/>
  <c r="R309" i="11"/>
  <c r="S309" i="11"/>
  <c r="T309" i="11"/>
  <c r="U309" i="11"/>
  <c r="V309" i="11"/>
  <c r="W309" i="11"/>
  <c r="X309" i="11"/>
  <c r="Y309" i="11"/>
  <c r="Z309" i="11"/>
  <c r="AA309" i="11"/>
  <c r="AB309" i="11"/>
  <c r="AC309" i="11"/>
  <c r="AD309" i="11"/>
  <c r="AE309" i="11"/>
  <c r="AF309" i="11"/>
  <c r="AG309" i="11"/>
  <c r="AH309" i="11"/>
  <c r="AI309" i="11"/>
  <c r="AJ309" i="11"/>
  <c r="AK309" i="11"/>
  <c r="AL309" i="11"/>
  <c r="AM309" i="11"/>
  <c r="AN309" i="11"/>
  <c r="AO309" i="11"/>
  <c r="AP309" i="11"/>
  <c r="AQ309" i="11"/>
  <c r="AR309" i="11"/>
  <c r="AS309" i="11"/>
  <c r="AT309" i="11"/>
  <c r="AU309" i="11"/>
  <c r="AV309" i="11"/>
  <c r="AW309" i="11"/>
  <c r="AX309" i="11"/>
  <c r="AY309" i="11"/>
  <c r="AZ309" i="11"/>
  <c r="BA309" i="11"/>
  <c r="BB309" i="11"/>
  <c r="BC309" i="11"/>
  <c r="BD309" i="11"/>
  <c r="BE309" i="11"/>
  <c r="BF309" i="11"/>
  <c r="BG309" i="11"/>
  <c r="BH309" i="11"/>
  <c r="BI309" i="11"/>
  <c r="BJ309" i="11"/>
  <c r="BK309" i="11"/>
  <c r="BL309" i="11"/>
  <c r="BM309" i="11"/>
  <c r="BN309" i="11"/>
  <c r="BO309" i="11"/>
  <c r="BP309" i="11"/>
  <c r="BQ309" i="11"/>
  <c r="BR309" i="11"/>
  <c r="BS309" i="11"/>
  <c r="BT309" i="11"/>
  <c r="BU309" i="11"/>
  <c r="BV309" i="11"/>
  <c r="BW309" i="11"/>
  <c r="BX309" i="11"/>
  <c r="BY309" i="11"/>
  <c r="BZ309" i="11"/>
  <c r="CA309" i="11"/>
  <c r="CB309" i="11"/>
  <c r="CC309" i="11"/>
  <c r="CD309" i="11"/>
  <c r="CE309" i="11"/>
  <c r="CF309" i="11"/>
  <c r="CG309" i="11"/>
  <c r="CH309" i="11"/>
  <c r="CI309" i="11"/>
  <c r="CJ309" i="11"/>
  <c r="CK309" i="11"/>
  <c r="CL309" i="11"/>
  <c r="CM309" i="11"/>
  <c r="CN309" i="11"/>
  <c r="CO309" i="11"/>
  <c r="CP309" i="11"/>
  <c r="CQ309" i="11"/>
  <c r="CR309" i="11"/>
  <c r="CS309" i="11"/>
  <c r="CT309" i="11"/>
  <c r="CU309" i="11"/>
  <c r="CV309" i="11"/>
  <c r="CW309" i="11"/>
  <c r="CX309" i="11"/>
  <c r="CY309" i="11"/>
  <c r="CZ309" i="11"/>
  <c r="DA309" i="11"/>
  <c r="DB309" i="11"/>
  <c r="DC309" i="11"/>
  <c r="DD309" i="11"/>
  <c r="DE309" i="11"/>
  <c r="DF309" i="11"/>
  <c r="DG309" i="11"/>
  <c r="DH309" i="11"/>
  <c r="DI309" i="11"/>
  <c r="DJ309" i="11"/>
  <c r="DK309" i="11"/>
  <c r="DL309" i="11"/>
  <c r="DM309" i="11"/>
  <c r="DN309" i="11"/>
  <c r="DO309" i="11"/>
  <c r="DP309" i="11"/>
  <c r="DQ309" i="11"/>
  <c r="DR309" i="11"/>
  <c r="DS309" i="11"/>
  <c r="DT309" i="11"/>
  <c r="DU309" i="11"/>
  <c r="DV309" i="11"/>
  <c r="DW309" i="11"/>
  <c r="DX309" i="11"/>
  <c r="DY309" i="11"/>
  <c r="DZ309" i="11"/>
  <c r="EA309" i="11"/>
  <c r="EB309" i="11"/>
  <c r="EC309" i="11"/>
  <c r="ED309" i="11"/>
  <c r="EE309" i="11"/>
  <c r="EF309" i="11"/>
  <c r="EG309" i="11"/>
  <c r="EH309" i="11"/>
  <c r="EI309" i="11"/>
  <c r="EJ309" i="11"/>
  <c r="EK309" i="11"/>
  <c r="EL309" i="11"/>
  <c r="EM309" i="11"/>
  <c r="EN309" i="11"/>
  <c r="EO309" i="11"/>
  <c r="EP309" i="11"/>
  <c r="EQ309" i="11"/>
  <c r="ER309" i="11"/>
  <c r="ES309" i="11"/>
  <c r="ET309" i="11"/>
  <c r="EU309" i="11"/>
  <c r="EV309" i="11"/>
  <c r="EW309" i="11"/>
  <c r="EX309" i="11"/>
  <c r="EY309" i="11"/>
  <c r="EZ309" i="11"/>
  <c r="FA309" i="11"/>
  <c r="FB309" i="11"/>
  <c r="FC309" i="11"/>
  <c r="FD309" i="11"/>
  <c r="FE309" i="11"/>
  <c r="FF309" i="11"/>
  <c r="FG309" i="11"/>
  <c r="FH309" i="11"/>
  <c r="FI309" i="11"/>
  <c r="FJ309" i="11"/>
  <c r="FK309" i="11"/>
  <c r="FL309" i="11"/>
  <c r="FM309" i="11"/>
  <c r="FN309" i="11"/>
  <c r="FO309" i="11"/>
  <c r="FP309" i="11"/>
  <c r="FQ309" i="11"/>
  <c r="FR309" i="11"/>
  <c r="FS309" i="11"/>
  <c r="FT309" i="11"/>
  <c r="FU309" i="11"/>
  <c r="FV309" i="11"/>
  <c r="FW309" i="11"/>
  <c r="FX309" i="11"/>
  <c r="FY309" i="11"/>
  <c r="FZ309" i="11"/>
  <c r="GA309" i="11"/>
  <c r="GB309" i="11"/>
  <c r="GC309" i="11"/>
  <c r="GD309" i="11"/>
  <c r="GE309" i="11"/>
  <c r="GF309" i="11"/>
  <c r="GG309" i="11"/>
  <c r="GH309" i="11"/>
  <c r="GI309" i="11"/>
  <c r="GJ309" i="11"/>
  <c r="GK309" i="11"/>
  <c r="GL309" i="11"/>
  <c r="GM309" i="11"/>
  <c r="GN309" i="11"/>
  <c r="GO309" i="11"/>
  <c r="GP309" i="11"/>
  <c r="GQ309" i="11"/>
  <c r="GR309" i="11"/>
  <c r="GS309" i="11"/>
  <c r="GT309" i="11"/>
  <c r="GU309" i="11"/>
  <c r="GV309" i="11"/>
  <c r="GW309" i="11"/>
  <c r="GX309" i="11"/>
  <c r="GY309" i="11"/>
  <c r="GZ309" i="11"/>
  <c r="HA309" i="11"/>
  <c r="HB309" i="11"/>
  <c r="HC309" i="11"/>
  <c r="HD309" i="11"/>
  <c r="HE309" i="11"/>
  <c r="HF309" i="11"/>
  <c r="HG309" i="11"/>
  <c r="HH309" i="11"/>
  <c r="HI309" i="11"/>
  <c r="HJ309" i="11"/>
  <c r="HK309" i="11"/>
  <c r="HL309" i="11"/>
  <c r="HM309" i="11"/>
  <c r="HN309" i="11"/>
  <c r="HO309" i="11"/>
  <c r="HP309" i="11"/>
  <c r="HQ309" i="11"/>
  <c r="HR309" i="11"/>
  <c r="HS309" i="11"/>
  <c r="HT309" i="11"/>
  <c r="HU309" i="11"/>
  <c r="HV309" i="11"/>
  <c r="HW309" i="11"/>
  <c r="HX309" i="11"/>
  <c r="HY309" i="11"/>
  <c r="HZ309" i="11"/>
  <c r="IA309" i="11"/>
  <c r="IB309" i="11"/>
  <c r="IC309" i="11"/>
  <c r="ID309" i="11"/>
  <c r="IE309" i="11"/>
  <c r="IF309" i="11"/>
  <c r="IG309" i="11"/>
  <c r="IH309" i="11"/>
  <c r="II309" i="11"/>
  <c r="IJ309" i="11"/>
  <c r="IK309" i="11"/>
  <c r="IL309" i="11"/>
  <c r="IM309" i="11"/>
  <c r="IN309" i="11"/>
  <c r="IO309" i="11"/>
  <c r="IP309" i="11"/>
  <c r="IQ309" i="11"/>
  <c r="IR309" i="11"/>
  <c r="IS309" i="11"/>
  <c r="IT309" i="11"/>
  <c r="IU309" i="11"/>
  <c r="IV309" i="11"/>
  <c r="F310" i="11"/>
  <c r="G310" i="11"/>
  <c r="H310" i="11"/>
  <c r="I310" i="11"/>
  <c r="J310" i="11"/>
  <c r="K310" i="11"/>
  <c r="L310" i="11"/>
  <c r="M310" i="11"/>
  <c r="N310" i="11"/>
  <c r="O310" i="11"/>
  <c r="P310" i="11"/>
  <c r="Q310" i="11"/>
  <c r="R310" i="11"/>
  <c r="S310" i="11"/>
  <c r="T310" i="11"/>
  <c r="U310" i="11"/>
  <c r="V310" i="11"/>
  <c r="W310" i="11"/>
  <c r="X310" i="11"/>
  <c r="Y310" i="11"/>
  <c r="Z310" i="11"/>
  <c r="AA310" i="11"/>
  <c r="AB310" i="11"/>
  <c r="AC310" i="11"/>
  <c r="AD310" i="11"/>
  <c r="AE310" i="11"/>
  <c r="AF310" i="11"/>
  <c r="AG310" i="11"/>
  <c r="AH310" i="11"/>
  <c r="AI310" i="11"/>
  <c r="AJ310" i="11"/>
  <c r="AK310" i="11"/>
  <c r="AL310" i="11"/>
  <c r="AM310" i="11"/>
  <c r="AN310" i="11"/>
  <c r="AO310" i="11"/>
  <c r="AP310" i="11"/>
  <c r="AQ310" i="11"/>
  <c r="AR310" i="11"/>
  <c r="AS310" i="11"/>
  <c r="AT310" i="11"/>
  <c r="AU310" i="11"/>
  <c r="AV310" i="11"/>
  <c r="AW310" i="11"/>
  <c r="AX310" i="11"/>
  <c r="AY310" i="11"/>
  <c r="AZ310" i="11"/>
  <c r="BA310" i="11"/>
  <c r="BB310" i="11"/>
  <c r="BC310" i="11"/>
  <c r="BD310" i="11"/>
  <c r="BE310" i="11"/>
  <c r="BF310" i="11"/>
  <c r="BG310" i="11"/>
  <c r="BH310" i="11"/>
  <c r="BI310" i="11"/>
  <c r="BJ310" i="11"/>
  <c r="BK310" i="11"/>
  <c r="BL310" i="11"/>
  <c r="BM310" i="11"/>
  <c r="BN310" i="11"/>
  <c r="BO310" i="11"/>
  <c r="BP310" i="11"/>
  <c r="BQ310" i="11"/>
  <c r="BR310" i="11"/>
  <c r="BS310" i="11"/>
  <c r="BT310" i="11"/>
  <c r="BU310" i="11"/>
  <c r="BV310" i="11"/>
  <c r="BW310" i="11"/>
  <c r="BX310" i="11"/>
  <c r="BY310" i="11"/>
  <c r="BZ310" i="11"/>
  <c r="CA310" i="11"/>
  <c r="CB310" i="11"/>
  <c r="CC310" i="11"/>
  <c r="CD310" i="11"/>
  <c r="CE310" i="11"/>
  <c r="CF310" i="11"/>
  <c r="CG310" i="11"/>
  <c r="CH310" i="11"/>
  <c r="CI310" i="11"/>
  <c r="CJ310" i="11"/>
  <c r="CK310" i="11"/>
  <c r="CL310" i="11"/>
  <c r="CM310" i="11"/>
  <c r="CN310" i="11"/>
  <c r="CO310" i="11"/>
  <c r="CP310" i="11"/>
  <c r="CQ310" i="11"/>
  <c r="CR310" i="11"/>
  <c r="CS310" i="11"/>
  <c r="CT310" i="11"/>
  <c r="CU310" i="11"/>
  <c r="CV310" i="11"/>
  <c r="CW310" i="11"/>
  <c r="CX310" i="11"/>
  <c r="CY310" i="11"/>
  <c r="CZ310" i="11"/>
  <c r="DA310" i="11"/>
  <c r="DB310" i="11"/>
  <c r="DC310" i="11"/>
  <c r="DD310" i="11"/>
  <c r="DE310" i="11"/>
  <c r="DF310" i="11"/>
  <c r="DG310" i="11"/>
  <c r="DH310" i="11"/>
  <c r="DI310" i="11"/>
  <c r="DJ310" i="11"/>
  <c r="DK310" i="11"/>
  <c r="DL310" i="11"/>
  <c r="DM310" i="11"/>
  <c r="DN310" i="11"/>
  <c r="DO310" i="11"/>
  <c r="DP310" i="11"/>
  <c r="DQ310" i="11"/>
  <c r="DR310" i="11"/>
  <c r="DS310" i="11"/>
  <c r="DT310" i="11"/>
  <c r="DU310" i="11"/>
  <c r="DV310" i="11"/>
  <c r="DW310" i="11"/>
  <c r="DX310" i="11"/>
  <c r="DY310" i="11"/>
  <c r="DZ310" i="11"/>
  <c r="EA310" i="11"/>
  <c r="EB310" i="11"/>
  <c r="EC310" i="11"/>
  <c r="ED310" i="11"/>
  <c r="EE310" i="11"/>
  <c r="EF310" i="11"/>
  <c r="EG310" i="11"/>
  <c r="EH310" i="11"/>
  <c r="EI310" i="11"/>
  <c r="EJ310" i="11"/>
  <c r="EK310" i="11"/>
  <c r="EL310" i="11"/>
  <c r="EM310" i="11"/>
  <c r="EN310" i="11"/>
  <c r="EO310" i="11"/>
  <c r="EP310" i="11"/>
  <c r="EQ310" i="11"/>
  <c r="ER310" i="11"/>
  <c r="ES310" i="11"/>
  <c r="ET310" i="11"/>
  <c r="EU310" i="11"/>
  <c r="EV310" i="11"/>
  <c r="EW310" i="11"/>
  <c r="EX310" i="11"/>
  <c r="EY310" i="11"/>
  <c r="EZ310" i="11"/>
  <c r="FA310" i="11"/>
  <c r="FB310" i="11"/>
  <c r="FC310" i="11"/>
  <c r="FD310" i="11"/>
  <c r="FE310" i="11"/>
  <c r="FF310" i="11"/>
  <c r="FG310" i="11"/>
  <c r="FH310" i="11"/>
  <c r="FI310" i="11"/>
  <c r="FJ310" i="11"/>
  <c r="FK310" i="11"/>
  <c r="FL310" i="11"/>
  <c r="FM310" i="11"/>
  <c r="FN310" i="11"/>
  <c r="FO310" i="11"/>
  <c r="FP310" i="11"/>
  <c r="FQ310" i="11"/>
  <c r="FR310" i="11"/>
  <c r="FS310" i="11"/>
  <c r="FT310" i="11"/>
  <c r="FU310" i="11"/>
  <c r="FV310" i="11"/>
  <c r="FW310" i="11"/>
  <c r="FX310" i="11"/>
  <c r="FY310" i="11"/>
  <c r="FZ310" i="11"/>
  <c r="GA310" i="11"/>
  <c r="GB310" i="11"/>
  <c r="GC310" i="11"/>
  <c r="GD310" i="11"/>
  <c r="GE310" i="11"/>
  <c r="GF310" i="11"/>
  <c r="GG310" i="11"/>
  <c r="GH310" i="11"/>
  <c r="GI310" i="11"/>
  <c r="GJ310" i="11"/>
  <c r="GK310" i="11"/>
  <c r="GL310" i="11"/>
  <c r="GM310" i="11"/>
  <c r="GN310" i="11"/>
  <c r="GO310" i="11"/>
  <c r="GP310" i="11"/>
  <c r="GQ310" i="11"/>
  <c r="GR310" i="11"/>
  <c r="GS310" i="11"/>
  <c r="GT310" i="11"/>
  <c r="GU310" i="11"/>
  <c r="GV310" i="11"/>
  <c r="GW310" i="11"/>
  <c r="GX310" i="11"/>
  <c r="GY310" i="11"/>
  <c r="GZ310" i="11"/>
  <c r="HA310" i="11"/>
  <c r="HB310" i="11"/>
  <c r="HC310" i="11"/>
  <c r="HD310" i="11"/>
  <c r="HE310" i="11"/>
  <c r="HF310" i="11"/>
  <c r="HG310" i="11"/>
  <c r="HH310" i="11"/>
  <c r="HI310" i="11"/>
  <c r="HJ310" i="11"/>
  <c r="HK310" i="11"/>
  <c r="HL310" i="11"/>
  <c r="HM310" i="11"/>
  <c r="HN310" i="11"/>
  <c r="HO310" i="11"/>
  <c r="HP310" i="11"/>
  <c r="HQ310" i="11"/>
  <c r="HR310" i="11"/>
  <c r="HS310" i="11"/>
  <c r="HT310" i="11"/>
  <c r="HU310" i="11"/>
  <c r="HV310" i="11"/>
  <c r="HW310" i="11"/>
  <c r="HX310" i="11"/>
  <c r="HY310" i="11"/>
  <c r="HZ310" i="11"/>
  <c r="IA310" i="11"/>
  <c r="IB310" i="11"/>
  <c r="IC310" i="11"/>
  <c r="ID310" i="11"/>
  <c r="IE310" i="11"/>
  <c r="IF310" i="11"/>
  <c r="IG310" i="11"/>
  <c r="IH310" i="11"/>
  <c r="II310" i="11"/>
  <c r="IJ310" i="11"/>
  <c r="IK310" i="11"/>
  <c r="IL310" i="11"/>
  <c r="IM310" i="11"/>
  <c r="IN310" i="11"/>
  <c r="IO310" i="11"/>
  <c r="IP310" i="11"/>
  <c r="IQ310" i="11"/>
  <c r="IR310" i="11"/>
  <c r="IS310" i="11"/>
  <c r="IT310" i="11"/>
  <c r="IU310" i="11"/>
  <c r="IV310" i="11"/>
  <c r="F311" i="11"/>
  <c r="G311" i="11"/>
  <c r="H311" i="11"/>
  <c r="I311" i="11"/>
  <c r="J311" i="11"/>
  <c r="K311" i="11"/>
  <c r="L311" i="11"/>
  <c r="M311" i="11"/>
  <c r="N311" i="11"/>
  <c r="O311" i="11"/>
  <c r="P311" i="11"/>
  <c r="Q311" i="11"/>
  <c r="R311" i="11"/>
  <c r="S311" i="11"/>
  <c r="T311" i="11"/>
  <c r="U311" i="11"/>
  <c r="V311" i="11"/>
  <c r="W311" i="11"/>
  <c r="X311" i="11"/>
  <c r="Y311" i="11"/>
  <c r="Z311" i="11"/>
  <c r="AA311" i="11"/>
  <c r="AB311" i="11"/>
  <c r="AC311" i="11"/>
  <c r="AD311" i="11"/>
  <c r="AE311" i="11"/>
  <c r="AF311" i="11"/>
  <c r="AG311" i="11"/>
  <c r="AH311" i="11"/>
  <c r="AI311" i="11"/>
  <c r="AJ311" i="11"/>
  <c r="AK311" i="11"/>
  <c r="AL311" i="11"/>
  <c r="AM311" i="11"/>
  <c r="AN311" i="11"/>
  <c r="AO311" i="11"/>
  <c r="AP311" i="11"/>
  <c r="AQ311" i="11"/>
  <c r="AR311" i="11"/>
  <c r="AS311" i="11"/>
  <c r="AT311" i="11"/>
  <c r="AU311" i="11"/>
  <c r="AV311" i="11"/>
  <c r="AW311" i="11"/>
  <c r="AX311" i="11"/>
  <c r="AY311" i="11"/>
  <c r="AZ311" i="11"/>
  <c r="BA311" i="11"/>
  <c r="BB311" i="11"/>
  <c r="BC311" i="11"/>
  <c r="BD311" i="11"/>
  <c r="BE311" i="11"/>
  <c r="BF311" i="11"/>
  <c r="BG311" i="11"/>
  <c r="BH311" i="11"/>
  <c r="BI311" i="11"/>
  <c r="BJ311" i="11"/>
  <c r="BK311" i="11"/>
  <c r="BL311" i="11"/>
  <c r="BM311" i="11"/>
  <c r="BN311" i="11"/>
  <c r="BO311" i="11"/>
  <c r="BP311" i="11"/>
  <c r="BQ311" i="11"/>
  <c r="BR311" i="11"/>
  <c r="BS311" i="11"/>
  <c r="BT311" i="11"/>
  <c r="BU311" i="11"/>
  <c r="BV311" i="11"/>
  <c r="BW311" i="11"/>
  <c r="BX311" i="11"/>
  <c r="BY311" i="11"/>
  <c r="BZ311" i="11"/>
  <c r="CA311" i="11"/>
  <c r="CB311" i="11"/>
  <c r="CC311" i="11"/>
  <c r="CD311" i="11"/>
  <c r="CE311" i="11"/>
  <c r="CF311" i="11"/>
  <c r="CG311" i="11"/>
  <c r="CH311" i="11"/>
  <c r="CI311" i="11"/>
  <c r="CJ311" i="11"/>
  <c r="CK311" i="11"/>
  <c r="CL311" i="11"/>
  <c r="CM311" i="11"/>
  <c r="CN311" i="11"/>
  <c r="CO311" i="11"/>
  <c r="CP311" i="11"/>
  <c r="CQ311" i="11"/>
  <c r="CR311" i="11"/>
  <c r="CS311" i="11"/>
  <c r="CT311" i="11"/>
  <c r="CU311" i="11"/>
  <c r="CV311" i="11"/>
  <c r="CW311" i="11"/>
  <c r="CX311" i="11"/>
  <c r="CY311" i="11"/>
  <c r="CZ311" i="11"/>
  <c r="DA311" i="11"/>
  <c r="DB311" i="11"/>
  <c r="DC311" i="11"/>
  <c r="DD311" i="11"/>
  <c r="DE311" i="11"/>
  <c r="DF311" i="11"/>
  <c r="DG311" i="11"/>
  <c r="DH311" i="11"/>
  <c r="DI311" i="11"/>
  <c r="DJ311" i="11"/>
  <c r="DK311" i="11"/>
  <c r="DL311" i="11"/>
  <c r="DM311" i="11"/>
  <c r="DN311" i="11"/>
  <c r="DO311" i="11"/>
  <c r="DP311" i="11"/>
  <c r="DQ311" i="11"/>
  <c r="DR311" i="11"/>
  <c r="DS311" i="11"/>
  <c r="DT311" i="11"/>
  <c r="DU311" i="11"/>
  <c r="DV311" i="11"/>
  <c r="DW311" i="11"/>
  <c r="DX311" i="11"/>
  <c r="DY311" i="11"/>
  <c r="DZ311" i="11"/>
  <c r="EA311" i="11"/>
  <c r="EB311" i="11"/>
  <c r="EC311" i="11"/>
  <c r="ED311" i="11"/>
  <c r="EE311" i="11"/>
  <c r="EF311" i="11"/>
  <c r="EG311" i="11"/>
  <c r="EH311" i="11"/>
  <c r="EI311" i="11"/>
  <c r="EJ311" i="11"/>
  <c r="EK311" i="11"/>
  <c r="EL311" i="11"/>
  <c r="EM311" i="11"/>
  <c r="EN311" i="11"/>
  <c r="EO311" i="11"/>
  <c r="EP311" i="11"/>
  <c r="EQ311" i="11"/>
  <c r="ER311" i="11"/>
  <c r="ES311" i="11"/>
  <c r="ET311" i="11"/>
  <c r="EU311" i="11"/>
  <c r="EV311" i="11"/>
  <c r="EW311" i="11"/>
  <c r="EX311" i="11"/>
  <c r="EY311" i="11"/>
  <c r="EZ311" i="11"/>
  <c r="FA311" i="11"/>
  <c r="FB311" i="11"/>
  <c r="FC311" i="11"/>
  <c r="FD311" i="11"/>
  <c r="FE311" i="11"/>
  <c r="FF311" i="11"/>
  <c r="FG311" i="11"/>
  <c r="FH311" i="11"/>
  <c r="FI311" i="11"/>
  <c r="FJ311" i="11"/>
  <c r="FK311" i="11"/>
  <c r="FL311" i="11"/>
  <c r="FM311" i="11"/>
  <c r="FN311" i="11"/>
  <c r="FO311" i="11"/>
  <c r="FP311" i="11"/>
  <c r="FQ311" i="11"/>
  <c r="FR311" i="11"/>
  <c r="FS311" i="11"/>
  <c r="FT311" i="11"/>
  <c r="FU311" i="11"/>
  <c r="FV311" i="11"/>
  <c r="FW311" i="11"/>
  <c r="FX311" i="11"/>
  <c r="FY311" i="11"/>
  <c r="FZ311" i="11"/>
  <c r="GA311" i="11"/>
  <c r="GB311" i="11"/>
  <c r="GC311" i="11"/>
  <c r="GD311" i="11"/>
  <c r="GE311" i="11"/>
  <c r="GF311" i="11"/>
  <c r="GG311" i="11"/>
  <c r="GH311" i="11"/>
  <c r="GI311" i="11"/>
  <c r="GJ311" i="11"/>
  <c r="GK311" i="11"/>
  <c r="GL311" i="11"/>
  <c r="GM311" i="11"/>
  <c r="GN311" i="11"/>
  <c r="GO311" i="11"/>
  <c r="GP311" i="11"/>
  <c r="GQ311" i="11"/>
  <c r="GR311" i="11"/>
  <c r="GS311" i="11"/>
  <c r="GT311" i="11"/>
  <c r="GU311" i="11"/>
  <c r="GV311" i="11"/>
  <c r="GW311" i="11"/>
  <c r="GX311" i="11"/>
  <c r="GY311" i="11"/>
  <c r="GZ311" i="11"/>
  <c r="HA311" i="11"/>
  <c r="HB311" i="11"/>
  <c r="HC311" i="11"/>
  <c r="HD311" i="11"/>
  <c r="HE311" i="11"/>
  <c r="HF311" i="11"/>
  <c r="HG311" i="11"/>
  <c r="HH311" i="11"/>
  <c r="HI311" i="11"/>
  <c r="HJ311" i="11"/>
  <c r="HK311" i="11"/>
  <c r="HL311" i="11"/>
  <c r="HM311" i="11"/>
  <c r="HN311" i="11"/>
  <c r="HO311" i="11"/>
  <c r="HP311" i="11"/>
  <c r="HQ311" i="11"/>
  <c r="HR311" i="11"/>
  <c r="HS311" i="11"/>
  <c r="HT311" i="11"/>
  <c r="HU311" i="11"/>
  <c r="HV311" i="11"/>
  <c r="HW311" i="11"/>
  <c r="HX311" i="11"/>
  <c r="HY311" i="11"/>
  <c r="HZ311" i="11"/>
  <c r="IA311" i="11"/>
  <c r="IB311" i="11"/>
  <c r="IC311" i="11"/>
  <c r="ID311" i="11"/>
  <c r="IE311" i="11"/>
  <c r="IF311" i="11"/>
  <c r="IG311" i="11"/>
  <c r="IH311" i="11"/>
  <c r="II311" i="11"/>
  <c r="IJ311" i="11"/>
  <c r="IK311" i="11"/>
  <c r="IL311" i="11"/>
  <c r="IM311" i="11"/>
  <c r="IN311" i="11"/>
  <c r="IO311" i="11"/>
  <c r="IP311" i="11"/>
  <c r="IQ311" i="11"/>
  <c r="IR311" i="11"/>
  <c r="IS311" i="11"/>
  <c r="IT311" i="11"/>
  <c r="IU311" i="11"/>
  <c r="IV311" i="11"/>
  <c r="F312" i="11"/>
  <c r="G312" i="11"/>
  <c r="H312" i="11"/>
  <c r="I312" i="11"/>
  <c r="J312" i="11"/>
  <c r="K312" i="11"/>
  <c r="L312" i="11"/>
  <c r="M312" i="11"/>
  <c r="N312" i="11"/>
  <c r="O312" i="11"/>
  <c r="P312" i="11"/>
  <c r="Q312" i="11"/>
  <c r="R312" i="11"/>
  <c r="S312" i="11"/>
  <c r="T312" i="11"/>
  <c r="U312" i="11"/>
  <c r="V312" i="11"/>
  <c r="W312" i="11"/>
  <c r="X312" i="11"/>
  <c r="Y312" i="11"/>
  <c r="Z312" i="11"/>
  <c r="AA312" i="11"/>
  <c r="AB312" i="11"/>
  <c r="AC312" i="11"/>
  <c r="AD312" i="11"/>
  <c r="AE312" i="11"/>
  <c r="AF312" i="11"/>
  <c r="AG312" i="11"/>
  <c r="AH312" i="11"/>
  <c r="AI312" i="11"/>
  <c r="AJ312" i="11"/>
  <c r="AK312" i="11"/>
  <c r="AL312" i="11"/>
  <c r="AM312" i="11"/>
  <c r="AN312" i="11"/>
  <c r="AO312" i="11"/>
  <c r="AP312" i="11"/>
  <c r="AQ312" i="11"/>
  <c r="AR312" i="11"/>
  <c r="AS312" i="11"/>
  <c r="AT312" i="11"/>
  <c r="AU312" i="11"/>
  <c r="AV312" i="11"/>
  <c r="AW312" i="11"/>
  <c r="AX312" i="11"/>
  <c r="AY312" i="11"/>
  <c r="AZ312" i="11"/>
  <c r="BA312" i="11"/>
  <c r="BB312" i="11"/>
  <c r="BC312" i="11"/>
  <c r="BD312" i="11"/>
  <c r="BE312" i="11"/>
  <c r="BF312" i="11"/>
  <c r="BG312" i="11"/>
  <c r="BH312" i="11"/>
  <c r="BI312" i="11"/>
  <c r="BJ312" i="11"/>
  <c r="BK312" i="11"/>
  <c r="BL312" i="11"/>
  <c r="BM312" i="11"/>
  <c r="BN312" i="11"/>
  <c r="BO312" i="11"/>
  <c r="BP312" i="11"/>
  <c r="BQ312" i="11"/>
  <c r="BR312" i="11"/>
  <c r="BS312" i="11"/>
  <c r="BT312" i="11"/>
  <c r="BU312" i="11"/>
  <c r="BV312" i="11"/>
  <c r="BW312" i="11"/>
  <c r="BX312" i="11"/>
  <c r="BY312" i="11"/>
  <c r="BZ312" i="11"/>
  <c r="CA312" i="11"/>
  <c r="CB312" i="11"/>
  <c r="CC312" i="11"/>
  <c r="CD312" i="11"/>
  <c r="CE312" i="11"/>
  <c r="CF312" i="11"/>
  <c r="CG312" i="11"/>
  <c r="CH312" i="11"/>
  <c r="CI312" i="11"/>
  <c r="CJ312" i="11"/>
  <c r="CK312" i="11"/>
  <c r="CL312" i="11"/>
  <c r="CM312" i="11"/>
  <c r="CN312" i="11"/>
  <c r="CO312" i="11"/>
  <c r="CP312" i="11"/>
  <c r="CQ312" i="11"/>
  <c r="CR312" i="11"/>
  <c r="CS312" i="11"/>
  <c r="CT312" i="11"/>
  <c r="CU312" i="11"/>
  <c r="CV312" i="11"/>
  <c r="CW312" i="11"/>
  <c r="CX312" i="11"/>
  <c r="CY312" i="11"/>
  <c r="CZ312" i="11"/>
  <c r="DA312" i="11"/>
  <c r="DB312" i="11"/>
  <c r="DC312" i="11"/>
  <c r="DD312" i="11"/>
  <c r="DE312" i="11"/>
  <c r="DF312" i="11"/>
  <c r="DG312" i="11"/>
  <c r="DH312" i="11"/>
  <c r="DI312" i="11"/>
  <c r="DJ312" i="11"/>
  <c r="DK312" i="11"/>
  <c r="DL312" i="11"/>
  <c r="DM312" i="11"/>
  <c r="DN312" i="11"/>
  <c r="DO312" i="11"/>
  <c r="DP312" i="11"/>
  <c r="DQ312" i="11"/>
  <c r="DR312" i="11"/>
  <c r="DS312" i="11"/>
  <c r="DT312" i="11"/>
  <c r="DU312" i="11"/>
  <c r="DV312" i="11"/>
  <c r="DW312" i="11"/>
  <c r="DX312" i="11"/>
  <c r="DY312" i="11"/>
  <c r="DZ312" i="11"/>
  <c r="EA312" i="11"/>
  <c r="EB312" i="11"/>
  <c r="EC312" i="11"/>
  <c r="ED312" i="11"/>
  <c r="EE312" i="11"/>
  <c r="EF312" i="11"/>
  <c r="EG312" i="11"/>
  <c r="EH312" i="11"/>
  <c r="EI312" i="11"/>
  <c r="EJ312" i="11"/>
  <c r="EK312" i="11"/>
  <c r="EL312" i="11"/>
  <c r="EM312" i="11"/>
  <c r="EN312" i="11"/>
  <c r="EO312" i="11"/>
  <c r="EP312" i="11"/>
  <c r="EQ312" i="11"/>
  <c r="ER312" i="11"/>
  <c r="ES312" i="11"/>
  <c r="ET312" i="11"/>
  <c r="EU312" i="11"/>
  <c r="EV312" i="11"/>
  <c r="EW312" i="11"/>
  <c r="EX312" i="11"/>
  <c r="EY312" i="11"/>
  <c r="EZ312" i="11"/>
  <c r="FA312" i="11"/>
  <c r="FB312" i="11"/>
  <c r="FC312" i="11"/>
  <c r="FD312" i="11"/>
  <c r="FE312" i="11"/>
  <c r="FF312" i="11"/>
  <c r="FG312" i="11"/>
  <c r="FH312" i="11"/>
  <c r="FI312" i="11"/>
  <c r="FJ312" i="11"/>
  <c r="FK312" i="11"/>
  <c r="FL312" i="11"/>
  <c r="FM312" i="11"/>
  <c r="FN312" i="11"/>
  <c r="FO312" i="11"/>
  <c r="FP312" i="11"/>
  <c r="FQ312" i="11"/>
  <c r="FR312" i="11"/>
  <c r="FS312" i="11"/>
  <c r="FT312" i="11"/>
  <c r="FU312" i="11"/>
  <c r="FV312" i="11"/>
  <c r="FW312" i="11"/>
  <c r="FX312" i="11"/>
  <c r="FY312" i="11"/>
  <c r="FZ312" i="11"/>
  <c r="GA312" i="11"/>
  <c r="GB312" i="11"/>
  <c r="GC312" i="11"/>
  <c r="GD312" i="11"/>
  <c r="GE312" i="11"/>
  <c r="GF312" i="11"/>
  <c r="GG312" i="11"/>
  <c r="GH312" i="11"/>
  <c r="GI312" i="11"/>
  <c r="GJ312" i="11"/>
  <c r="GK312" i="11"/>
  <c r="GL312" i="11"/>
  <c r="GM312" i="11"/>
  <c r="GN312" i="11"/>
  <c r="GO312" i="11"/>
  <c r="GP312" i="11"/>
  <c r="GQ312" i="11"/>
  <c r="GR312" i="11"/>
  <c r="GS312" i="11"/>
  <c r="GT312" i="11"/>
  <c r="GU312" i="11"/>
  <c r="GV312" i="11"/>
  <c r="GW312" i="11"/>
  <c r="GX312" i="11"/>
  <c r="GY312" i="11"/>
  <c r="GZ312" i="11"/>
  <c r="HA312" i="11"/>
  <c r="HB312" i="11"/>
  <c r="HC312" i="11"/>
  <c r="HD312" i="11"/>
  <c r="HE312" i="11"/>
  <c r="HF312" i="11"/>
  <c r="HG312" i="11"/>
  <c r="HH312" i="11"/>
  <c r="HI312" i="11"/>
  <c r="HJ312" i="11"/>
  <c r="HK312" i="11"/>
  <c r="HL312" i="11"/>
  <c r="HM312" i="11"/>
  <c r="HN312" i="11"/>
  <c r="HO312" i="11"/>
  <c r="HP312" i="11"/>
  <c r="HQ312" i="11"/>
  <c r="HR312" i="11"/>
  <c r="HS312" i="11"/>
  <c r="HT312" i="11"/>
  <c r="HU312" i="11"/>
  <c r="HV312" i="11"/>
  <c r="HW312" i="11"/>
  <c r="HX312" i="11"/>
  <c r="HY312" i="11"/>
  <c r="HZ312" i="11"/>
  <c r="IA312" i="11"/>
  <c r="IB312" i="11"/>
  <c r="IC312" i="11"/>
  <c r="ID312" i="11"/>
  <c r="IE312" i="11"/>
  <c r="IF312" i="11"/>
  <c r="IG312" i="11"/>
  <c r="IH312" i="11"/>
  <c r="II312" i="11"/>
  <c r="IJ312" i="11"/>
  <c r="IK312" i="11"/>
  <c r="IL312" i="11"/>
  <c r="IM312" i="11"/>
  <c r="IN312" i="11"/>
  <c r="IO312" i="11"/>
  <c r="IP312" i="11"/>
  <c r="IQ312" i="11"/>
  <c r="IR312" i="11"/>
  <c r="IS312" i="11"/>
  <c r="IT312" i="11"/>
  <c r="IU312" i="11"/>
  <c r="IV312" i="11"/>
  <c r="F313" i="11"/>
  <c r="G313" i="11"/>
  <c r="H313" i="11"/>
  <c r="I313" i="11"/>
  <c r="J313" i="11"/>
  <c r="K313" i="11"/>
  <c r="L313" i="11"/>
  <c r="M313" i="11"/>
  <c r="N313" i="11"/>
  <c r="O313" i="11"/>
  <c r="P313" i="11"/>
  <c r="Q313" i="11"/>
  <c r="R313" i="11"/>
  <c r="S313" i="11"/>
  <c r="T313" i="11"/>
  <c r="U313" i="11"/>
  <c r="V313" i="11"/>
  <c r="W313" i="11"/>
  <c r="X313" i="11"/>
  <c r="Y313" i="11"/>
  <c r="Z313" i="11"/>
  <c r="AA313" i="11"/>
  <c r="AB313" i="11"/>
  <c r="AC313" i="11"/>
  <c r="AD313" i="11"/>
  <c r="AE313" i="11"/>
  <c r="AF313" i="11"/>
  <c r="AG313" i="11"/>
  <c r="AH313" i="11"/>
  <c r="AI313" i="11"/>
  <c r="AJ313" i="11"/>
  <c r="AK313" i="11"/>
  <c r="AL313" i="11"/>
  <c r="AM313" i="11"/>
  <c r="AN313" i="11"/>
  <c r="AO313" i="11"/>
  <c r="AP313" i="11"/>
  <c r="AQ313" i="11"/>
  <c r="AR313" i="11"/>
  <c r="AS313" i="11"/>
  <c r="AT313" i="11"/>
  <c r="AU313" i="11"/>
  <c r="AV313" i="11"/>
  <c r="AW313" i="11"/>
  <c r="AX313" i="11"/>
  <c r="AY313" i="11"/>
  <c r="AZ313" i="11"/>
  <c r="BA313" i="11"/>
  <c r="BB313" i="11"/>
  <c r="BC313" i="11"/>
  <c r="BD313" i="11"/>
  <c r="BE313" i="11"/>
  <c r="BF313" i="11"/>
  <c r="BG313" i="11"/>
  <c r="BH313" i="11"/>
  <c r="BI313" i="11"/>
  <c r="BJ313" i="11"/>
  <c r="BK313" i="11"/>
  <c r="BL313" i="11"/>
  <c r="BM313" i="11"/>
  <c r="BN313" i="11"/>
  <c r="BO313" i="11"/>
  <c r="BP313" i="11"/>
  <c r="BQ313" i="11"/>
  <c r="BR313" i="11"/>
  <c r="BS313" i="11"/>
  <c r="BT313" i="11"/>
  <c r="BU313" i="11"/>
  <c r="BV313" i="11"/>
  <c r="BW313" i="11"/>
  <c r="BX313" i="11"/>
  <c r="BY313" i="11"/>
  <c r="BZ313" i="11"/>
  <c r="CA313" i="11"/>
  <c r="CB313" i="11"/>
  <c r="CC313" i="11"/>
  <c r="CD313" i="11"/>
  <c r="CE313" i="11"/>
  <c r="CF313" i="11"/>
  <c r="CG313" i="11"/>
  <c r="CH313" i="11"/>
  <c r="CI313" i="11"/>
  <c r="CJ313" i="11"/>
  <c r="CK313" i="11"/>
  <c r="CL313" i="11"/>
  <c r="CM313" i="11"/>
  <c r="CN313" i="11"/>
  <c r="CO313" i="11"/>
  <c r="CP313" i="11"/>
  <c r="CQ313" i="11"/>
  <c r="CR313" i="11"/>
  <c r="CS313" i="11"/>
  <c r="CT313" i="11"/>
  <c r="CU313" i="11"/>
  <c r="CV313" i="11"/>
  <c r="CW313" i="11"/>
  <c r="CX313" i="11"/>
  <c r="CY313" i="11"/>
  <c r="CZ313" i="11"/>
  <c r="DA313" i="11"/>
  <c r="DB313" i="11"/>
  <c r="DC313" i="11"/>
  <c r="DD313" i="11"/>
  <c r="DE313" i="11"/>
  <c r="DF313" i="11"/>
  <c r="DG313" i="11"/>
  <c r="DH313" i="11"/>
  <c r="DI313" i="11"/>
  <c r="DJ313" i="11"/>
  <c r="DK313" i="11"/>
  <c r="DL313" i="11"/>
  <c r="DM313" i="11"/>
  <c r="DN313" i="11"/>
  <c r="DO313" i="11"/>
  <c r="DP313" i="11"/>
  <c r="DQ313" i="11"/>
  <c r="DR313" i="11"/>
  <c r="DS313" i="11"/>
  <c r="DT313" i="11"/>
  <c r="DU313" i="11"/>
  <c r="DV313" i="11"/>
  <c r="DW313" i="11"/>
  <c r="DX313" i="11"/>
  <c r="DY313" i="11"/>
  <c r="DZ313" i="11"/>
  <c r="EA313" i="11"/>
  <c r="EB313" i="11"/>
  <c r="EC313" i="11"/>
  <c r="ED313" i="11"/>
  <c r="EE313" i="11"/>
  <c r="EF313" i="11"/>
  <c r="EG313" i="11"/>
  <c r="EH313" i="11"/>
  <c r="EI313" i="11"/>
  <c r="EJ313" i="11"/>
  <c r="EK313" i="11"/>
  <c r="EL313" i="11"/>
  <c r="EM313" i="11"/>
  <c r="EN313" i="11"/>
  <c r="EO313" i="11"/>
  <c r="EP313" i="11"/>
  <c r="EQ313" i="11"/>
  <c r="ER313" i="11"/>
  <c r="ES313" i="11"/>
  <c r="ET313" i="11"/>
  <c r="EU313" i="11"/>
  <c r="EV313" i="11"/>
  <c r="EW313" i="11"/>
  <c r="EX313" i="11"/>
  <c r="EY313" i="11"/>
  <c r="EZ313" i="11"/>
  <c r="FA313" i="11"/>
  <c r="FB313" i="11"/>
  <c r="FC313" i="11"/>
  <c r="FD313" i="11"/>
  <c r="FE313" i="11"/>
  <c r="FF313" i="11"/>
  <c r="FG313" i="11"/>
  <c r="FH313" i="11"/>
  <c r="FI313" i="11"/>
  <c r="FJ313" i="11"/>
  <c r="FK313" i="11"/>
  <c r="FL313" i="11"/>
  <c r="FM313" i="11"/>
  <c r="FN313" i="11"/>
  <c r="FO313" i="11"/>
  <c r="FP313" i="11"/>
  <c r="FQ313" i="11"/>
  <c r="FR313" i="11"/>
  <c r="FS313" i="11"/>
  <c r="FT313" i="11"/>
  <c r="FU313" i="11"/>
  <c r="FV313" i="11"/>
  <c r="FW313" i="11"/>
  <c r="FX313" i="11"/>
  <c r="FY313" i="11"/>
  <c r="FZ313" i="11"/>
  <c r="GA313" i="11"/>
  <c r="GB313" i="11"/>
  <c r="GC313" i="11"/>
  <c r="GD313" i="11"/>
  <c r="GE313" i="11"/>
  <c r="GF313" i="11"/>
  <c r="GG313" i="11"/>
  <c r="GH313" i="11"/>
  <c r="GI313" i="11"/>
  <c r="GJ313" i="11"/>
  <c r="GK313" i="11"/>
  <c r="GL313" i="11"/>
  <c r="GM313" i="11"/>
  <c r="GN313" i="11"/>
  <c r="GO313" i="11"/>
  <c r="GP313" i="11"/>
  <c r="GQ313" i="11"/>
  <c r="GR313" i="11"/>
  <c r="GS313" i="11"/>
  <c r="GT313" i="11"/>
  <c r="GU313" i="11"/>
  <c r="GV313" i="11"/>
  <c r="GW313" i="11"/>
  <c r="GX313" i="11"/>
  <c r="GY313" i="11"/>
  <c r="GZ313" i="11"/>
  <c r="HA313" i="11"/>
  <c r="HB313" i="11"/>
  <c r="HC313" i="11"/>
  <c r="HD313" i="11"/>
  <c r="HE313" i="11"/>
  <c r="HF313" i="11"/>
  <c r="HG313" i="11"/>
  <c r="HH313" i="11"/>
  <c r="HI313" i="11"/>
  <c r="HJ313" i="11"/>
  <c r="HK313" i="11"/>
  <c r="HL313" i="11"/>
  <c r="HM313" i="11"/>
  <c r="HN313" i="11"/>
  <c r="HO313" i="11"/>
  <c r="HP313" i="11"/>
  <c r="HQ313" i="11"/>
  <c r="HR313" i="11"/>
  <c r="HS313" i="11"/>
  <c r="HT313" i="11"/>
  <c r="HU313" i="11"/>
  <c r="HV313" i="11"/>
  <c r="HW313" i="11"/>
  <c r="HX313" i="11"/>
  <c r="HY313" i="11"/>
  <c r="HZ313" i="11"/>
  <c r="IA313" i="11"/>
  <c r="IB313" i="11"/>
  <c r="IC313" i="11"/>
  <c r="ID313" i="11"/>
  <c r="IE313" i="11"/>
  <c r="IF313" i="11"/>
  <c r="IG313" i="11"/>
  <c r="IH313" i="11"/>
  <c r="II313" i="11"/>
  <c r="IJ313" i="11"/>
  <c r="IK313" i="11"/>
  <c r="IL313" i="11"/>
  <c r="IM313" i="11"/>
  <c r="IN313" i="11"/>
  <c r="IO313" i="11"/>
  <c r="IP313" i="11"/>
  <c r="IQ313" i="11"/>
  <c r="IR313" i="11"/>
  <c r="IS313" i="11"/>
  <c r="IT313" i="11"/>
  <c r="IU313" i="11"/>
  <c r="IV313" i="11"/>
  <c r="F314" i="11"/>
  <c r="G314" i="11"/>
  <c r="H314" i="11"/>
  <c r="I314" i="11"/>
  <c r="J314" i="11"/>
  <c r="K314" i="11"/>
  <c r="L314" i="11"/>
  <c r="M314" i="11"/>
  <c r="N314" i="11"/>
  <c r="O314" i="11"/>
  <c r="P314" i="11"/>
  <c r="Q314" i="11"/>
  <c r="R314" i="11"/>
  <c r="S314" i="11"/>
  <c r="T314" i="11"/>
  <c r="U314" i="11"/>
  <c r="V314" i="11"/>
  <c r="W314" i="11"/>
  <c r="X314" i="11"/>
  <c r="Y314" i="11"/>
  <c r="Z314" i="11"/>
  <c r="AA314" i="11"/>
  <c r="AB314" i="11"/>
  <c r="AC314" i="11"/>
  <c r="AD314" i="11"/>
  <c r="AE314" i="11"/>
  <c r="AF314" i="11"/>
  <c r="AG314" i="11"/>
  <c r="AH314" i="11"/>
  <c r="AI314" i="11"/>
  <c r="AJ314" i="11"/>
  <c r="AK314" i="11"/>
  <c r="AL314" i="11"/>
  <c r="AM314" i="11"/>
  <c r="AN314" i="11"/>
  <c r="AO314" i="11"/>
  <c r="AP314" i="11"/>
  <c r="AQ314" i="11"/>
  <c r="AR314" i="11"/>
  <c r="AS314" i="11"/>
  <c r="AT314" i="11"/>
  <c r="AU314" i="11"/>
  <c r="AV314" i="11"/>
  <c r="AW314" i="11"/>
  <c r="AX314" i="11"/>
  <c r="AY314" i="11"/>
  <c r="AZ314" i="11"/>
  <c r="BA314" i="11"/>
  <c r="BB314" i="11"/>
  <c r="BC314" i="11"/>
  <c r="BD314" i="11"/>
  <c r="BE314" i="11"/>
  <c r="BF314" i="11"/>
  <c r="BG314" i="11"/>
  <c r="BH314" i="11"/>
  <c r="BI314" i="11"/>
  <c r="BJ314" i="11"/>
  <c r="BK314" i="11"/>
  <c r="BL314" i="11"/>
  <c r="BM314" i="11"/>
  <c r="BN314" i="11"/>
  <c r="BO314" i="11"/>
  <c r="BP314" i="11"/>
  <c r="BQ314" i="11"/>
  <c r="BR314" i="11"/>
  <c r="BS314" i="11"/>
  <c r="BT314" i="11"/>
  <c r="BU314" i="11"/>
  <c r="BV314" i="11"/>
  <c r="BW314" i="11"/>
  <c r="BX314" i="11"/>
  <c r="BY314" i="11"/>
  <c r="BZ314" i="11"/>
  <c r="CA314" i="11"/>
  <c r="CB314" i="11"/>
  <c r="CC314" i="11"/>
  <c r="CD314" i="11"/>
  <c r="CE314" i="11"/>
  <c r="CF314" i="11"/>
  <c r="CG314" i="11"/>
  <c r="CH314" i="11"/>
  <c r="CI314" i="11"/>
  <c r="CJ314" i="11"/>
  <c r="CK314" i="11"/>
  <c r="CL314" i="11"/>
  <c r="CM314" i="11"/>
  <c r="CN314" i="11"/>
  <c r="CO314" i="11"/>
  <c r="CP314" i="11"/>
  <c r="CQ314" i="11"/>
  <c r="CR314" i="11"/>
  <c r="CS314" i="11"/>
  <c r="CT314" i="11"/>
  <c r="CU314" i="11"/>
  <c r="CV314" i="11"/>
  <c r="CW314" i="11"/>
  <c r="CX314" i="11"/>
  <c r="CY314" i="11"/>
  <c r="CZ314" i="11"/>
  <c r="DA314" i="11"/>
  <c r="DB314" i="11"/>
  <c r="DC314" i="11"/>
  <c r="DD314" i="11"/>
  <c r="DE314" i="11"/>
  <c r="DF314" i="11"/>
  <c r="DG314" i="11"/>
  <c r="DH314" i="11"/>
  <c r="DI314" i="11"/>
  <c r="DJ314" i="11"/>
  <c r="DK314" i="11"/>
  <c r="DL314" i="11"/>
  <c r="DM314" i="11"/>
  <c r="DN314" i="11"/>
  <c r="DO314" i="11"/>
  <c r="DP314" i="11"/>
  <c r="DQ314" i="11"/>
  <c r="DR314" i="11"/>
  <c r="DS314" i="11"/>
  <c r="DT314" i="11"/>
  <c r="DU314" i="11"/>
  <c r="DV314" i="11"/>
  <c r="DW314" i="11"/>
  <c r="DX314" i="11"/>
  <c r="DY314" i="11"/>
  <c r="DZ314" i="11"/>
  <c r="EA314" i="11"/>
  <c r="EB314" i="11"/>
  <c r="EC314" i="11"/>
  <c r="ED314" i="11"/>
  <c r="EE314" i="11"/>
  <c r="EF314" i="11"/>
  <c r="EG314" i="11"/>
  <c r="EH314" i="11"/>
  <c r="EI314" i="11"/>
  <c r="EJ314" i="11"/>
  <c r="EK314" i="11"/>
  <c r="EL314" i="11"/>
  <c r="EM314" i="11"/>
  <c r="EN314" i="11"/>
  <c r="EO314" i="11"/>
  <c r="EP314" i="11"/>
  <c r="EQ314" i="11"/>
  <c r="ER314" i="11"/>
  <c r="ES314" i="11"/>
  <c r="ET314" i="11"/>
  <c r="EU314" i="11"/>
  <c r="EV314" i="11"/>
  <c r="EW314" i="11"/>
  <c r="EX314" i="11"/>
  <c r="EY314" i="11"/>
  <c r="EZ314" i="11"/>
  <c r="FA314" i="11"/>
  <c r="FB314" i="11"/>
  <c r="FC314" i="11"/>
  <c r="FD314" i="11"/>
  <c r="FE314" i="11"/>
  <c r="FF314" i="11"/>
  <c r="FG314" i="11"/>
  <c r="FH314" i="11"/>
  <c r="FI314" i="11"/>
  <c r="FJ314" i="11"/>
  <c r="FK314" i="11"/>
  <c r="FL314" i="11"/>
  <c r="FM314" i="11"/>
  <c r="FN314" i="11"/>
  <c r="FO314" i="11"/>
  <c r="FP314" i="11"/>
  <c r="FQ314" i="11"/>
  <c r="FR314" i="11"/>
  <c r="FS314" i="11"/>
  <c r="FT314" i="11"/>
  <c r="FU314" i="11"/>
  <c r="FV314" i="11"/>
  <c r="FW314" i="11"/>
  <c r="FX314" i="11"/>
  <c r="FY314" i="11"/>
  <c r="FZ314" i="11"/>
  <c r="GA314" i="11"/>
  <c r="GB314" i="11"/>
  <c r="GC314" i="11"/>
  <c r="GD314" i="11"/>
  <c r="GE314" i="11"/>
  <c r="GF314" i="11"/>
  <c r="GG314" i="11"/>
  <c r="GH314" i="11"/>
  <c r="GI314" i="11"/>
  <c r="GJ314" i="11"/>
  <c r="GK314" i="11"/>
  <c r="GL314" i="11"/>
  <c r="GM314" i="11"/>
  <c r="GN314" i="11"/>
  <c r="GO314" i="11"/>
  <c r="GP314" i="11"/>
  <c r="GQ314" i="11"/>
  <c r="GR314" i="11"/>
  <c r="GS314" i="11"/>
  <c r="GT314" i="11"/>
  <c r="GU314" i="11"/>
  <c r="GV314" i="11"/>
  <c r="GW314" i="11"/>
  <c r="GX314" i="11"/>
  <c r="GY314" i="11"/>
  <c r="GZ314" i="11"/>
  <c r="HA314" i="11"/>
  <c r="HB314" i="11"/>
  <c r="HC314" i="11"/>
  <c r="HD314" i="11"/>
  <c r="HE314" i="11"/>
  <c r="HF314" i="11"/>
  <c r="HG314" i="11"/>
  <c r="HH314" i="11"/>
  <c r="HI314" i="11"/>
  <c r="HJ314" i="11"/>
  <c r="HK314" i="11"/>
  <c r="HL314" i="11"/>
  <c r="HM314" i="11"/>
  <c r="HN314" i="11"/>
  <c r="HO314" i="11"/>
  <c r="HP314" i="11"/>
  <c r="HQ314" i="11"/>
  <c r="HR314" i="11"/>
  <c r="HS314" i="11"/>
  <c r="HT314" i="11"/>
  <c r="HU314" i="11"/>
  <c r="HV314" i="11"/>
  <c r="HW314" i="11"/>
  <c r="HX314" i="11"/>
  <c r="HY314" i="11"/>
  <c r="HZ314" i="11"/>
  <c r="IA314" i="11"/>
  <c r="IB314" i="11"/>
  <c r="IC314" i="11"/>
  <c r="ID314" i="11"/>
  <c r="IE314" i="11"/>
  <c r="IF314" i="11"/>
  <c r="IG314" i="11"/>
  <c r="IH314" i="11"/>
  <c r="II314" i="11"/>
  <c r="IJ314" i="11"/>
  <c r="IK314" i="11"/>
  <c r="IL314" i="11"/>
  <c r="IM314" i="11"/>
  <c r="IN314" i="11"/>
  <c r="IO314" i="11"/>
  <c r="IP314" i="11"/>
  <c r="IQ314" i="11"/>
  <c r="IR314" i="11"/>
  <c r="IS314" i="11"/>
  <c r="IT314" i="11"/>
  <c r="IU314" i="11"/>
  <c r="IV314" i="11"/>
  <c r="F315" i="11"/>
  <c r="G315" i="11"/>
  <c r="H315" i="11"/>
  <c r="I315" i="11"/>
  <c r="J315" i="11"/>
  <c r="K315" i="11"/>
  <c r="L315" i="11"/>
  <c r="M315" i="11"/>
  <c r="N315" i="11"/>
  <c r="O315" i="11"/>
  <c r="P315" i="11"/>
  <c r="Q315" i="11"/>
  <c r="R315" i="11"/>
  <c r="S315" i="11"/>
  <c r="T315" i="11"/>
  <c r="U315" i="11"/>
  <c r="V315" i="11"/>
  <c r="W315" i="11"/>
  <c r="X315" i="11"/>
  <c r="Y315" i="11"/>
  <c r="Z315" i="11"/>
  <c r="AA315" i="11"/>
  <c r="AB315" i="11"/>
  <c r="AC315" i="11"/>
  <c r="AD315" i="11"/>
  <c r="AE315" i="11"/>
  <c r="AF315" i="11"/>
  <c r="AG315" i="11"/>
  <c r="AH315" i="11"/>
  <c r="AI315" i="11"/>
  <c r="AJ315" i="11"/>
  <c r="AK315" i="11"/>
  <c r="AL315" i="11"/>
  <c r="AM315" i="11"/>
  <c r="AN315" i="11"/>
  <c r="AO315" i="11"/>
  <c r="AP315" i="11"/>
  <c r="AQ315" i="11"/>
  <c r="AR315" i="11"/>
  <c r="AS315" i="11"/>
  <c r="AT315" i="11"/>
  <c r="AU315" i="11"/>
  <c r="AV315" i="11"/>
  <c r="AW315" i="11"/>
  <c r="AX315" i="11"/>
  <c r="AY315" i="11"/>
  <c r="AZ315" i="11"/>
  <c r="BA315" i="11"/>
  <c r="BB315" i="11"/>
  <c r="BC315" i="11"/>
  <c r="BD315" i="11"/>
  <c r="BE315" i="11"/>
  <c r="BF315" i="11"/>
  <c r="BG315" i="11"/>
  <c r="BH315" i="11"/>
  <c r="BI315" i="11"/>
  <c r="BJ315" i="11"/>
  <c r="BK315" i="11"/>
  <c r="BL315" i="11"/>
  <c r="BM315" i="11"/>
  <c r="BN315" i="11"/>
  <c r="BO315" i="11"/>
  <c r="BP315" i="11"/>
  <c r="BQ315" i="11"/>
  <c r="BR315" i="11"/>
  <c r="BS315" i="11"/>
  <c r="BT315" i="11"/>
  <c r="BU315" i="11"/>
  <c r="BV315" i="11"/>
  <c r="BW315" i="11"/>
  <c r="BX315" i="11"/>
  <c r="BY315" i="11"/>
  <c r="BZ315" i="11"/>
  <c r="CA315" i="11"/>
  <c r="CB315" i="11"/>
  <c r="CC315" i="11"/>
  <c r="CD315" i="11"/>
  <c r="CE315" i="11"/>
  <c r="CF315" i="11"/>
  <c r="CG315" i="11"/>
  <c r="CH315" i="11"/>
  <c r="CI315" i="11"/>
  <c r="CJ315" i="11"/>
  <c r="CK315" i="11"/>
  <c r="CL315" i="11"/>
  <c r="CM315" i="11"/>
  <c r="CN315" i="11"/>
  <c r="CO315" i="11"/>
  <c r="CP315" i="11"/>
  <c r="CQ315" i="11"/>
  <c r="CR315" i="11"/>
  <c r="CS315" i="11"/>
  <c r="CT315" i="11"/>
  <c r="CU315" i="11"/>
  <c r="CV315" i="11"/>
  <c r="CW315" i="11"/>
  <c r="CX315" i="11"/>
  <c r="CY315" i="11"/>
  <c r="CZ315" i="11"/>
  <c r="DA315" i="11"/>
  <c r="DB315" i="11"/>
  <c r="DC315" i="11"/>
  <c r="DD315" i="11"/>
  <c r="DE315" i="11"/>
  <c r="DF315" i="11"/>
  <c r="DG315" i="11"/>
  <c r="DH315" i="11"/>
  <c r="DI315" i="11"/>
  <c r="DJ315" i="11"/>
  <c r="DK315" i="11"/>
  <c r="DL315" i="11"/>
  <c r="DM315" i="11"/>
  <c r="DN315" i="11"/>
  <c r="DO315" i="11"/>
  <c r="DP315" i="11"/>
  <c r="DQ315" i="11"/>
  <c r="DR315" i="11"/>
  <c r="DS315" i="11"/>
  <c r="DT315" i="11"/>
  <c r="DU315" i="11"/>
  <c r="DV315" i="11"/>
  <c r="DW315" i="11"/>
  <c r="DX315" i="11"/>
  <c r="DY315" i="11"/>
  <c r="DZ315" i="11"/>
  <c r="EA315" i="11"/>
  <c r="EB315" i="11"/>
  <c r="EC315" i="11"/>
  <c r="ED315" i="11"/>
  <c r="EE315" i="11"/>
  <c r="EF315" i="11"/>
  <c r="EG315" i="11"/>
  <c r="EH315" i="11"/>
  <c r="EI315" i="11"/>
  <c r="EJ315" i="11"/>
  <c r="EK315" i="11"/>
  <c r="EL315" i="11"/>
  <c r="EM315" i="11"/>
  <c r="EN315" i="11"/>
  <c r="EO315" i="11"/>
  <c r="EP315" i="11"/>
  <c r="EQ315" i="11"/>
  <c r="ER315" i="11"/>
  <c r="ES315" i="11"/>
  <c r="ET315" i="11"/>
  <c r="EU315" i="11"/>
  <c r="EV315" i="11"/>
  <c r="EW315" i="11"/>
  <c r="EX315" i="11"/>
  <c r="EY315" i="11"/>
  <c r="EZ315" i="11"/>
  <c r="FA315" i="11"/>
  <c r="FB315" i="11"/>
  <c r="FC315" i="11"/>
  <c r="FD315" i="11"/>
  <c r="FE315" i="11"/>
  <c r="FF315" i="11"/>
  <c r="FG315" i="11"/>
  <c r="FH315" i="11"/>
  <c r="FI315" i="11"/>
  <c r="FJ315" i="11"/>
  <c r="FK315" i="11"/>
  <c r="FL315" i="11"/>
  <c r="FM315" i="11"/>
  <c r="FN315" i="11"/>
  <c r="FO315" i="11"/>
  <c r="FP315" i="11"/>
  <c r="FQ315" i="11"/>
  <c r="FR315" i="11"/>
  <c r="FS315" i="11"/>
  <c r="FT315" i="11"/>
  <c r="FU315" i="11"/>
  <c r="FV315" i="11"/>
  <c r="FW315" i="11"/>
  <c r="FX315" i="11"/>
  <c r="FY315" i="11"/>
  <c r="FZ315" i="11"/>
  <c r="GA315" i="11"/>
  <c r="GB315" i="11"/>
  <c r="GC315" i="11"/>
  <c r="GD315" i="11"/>
  <c r="GE315" i="11"/>
  <c r="GF315" i="11"/>
  <c r="GG315" i="11"/>
  <c r="GH315" i="11"/>
  <c r="GI315" i="11"/>
  <c r="GJ315" i="11"/>
  <c r="GK315" i="11"/>
  <c r="GL315" i="11"/>
  <c r="GM315" i="11"/>
  <c r="GN315" i="11"/>
  <c r="GO315" i="11"/>
  <c r="GP315" i="11"/>
  <c r="GQ315" i="11"/>
  <c r="GR315" i="11"/>
  <c r="GS315" i="11"/>
  <c r="GT315" i="11"/>
  <c r="GU315" i="11"/>
  <c r="GV315" i="11"/>
  <c r="GW315" i="11"/>
  <c r="GX315" i="11"/>
  <c r="GY315" i="11"/>
  <c r="GZ315" i="11"/>
  <c r="HA315" i="11"/>
  <c r="HB315" i="11"/>
  <c r="HC315" i="11"/>
  <c r="HD315" i="11"/>
  <c r="HE315" i="11"/>
  <c r="HF315" i="11"/>
  <c r="HG315" i="11"/>
  <c r="HH315" i="11"/>
  <c r="HI315" i="11"/>
  <c r="HJ315" i="11"/>
  <c r="HK315" i="11"/>
  <c r="HL315" i="11"/>
  <c r="HM315" i="11"/>
  <c r="HN315" i="11"/>
  <c r="HO315" i="11"/>
  <c r="HP315" i="11"/>
  <c r="HQ315" i="11"/>
  <c r="HR315" i="11"/>
  <c r="HS315" i="11"/>
  <c r="HT315" i="11"/>
  <c r="HU315" i="11"/>
  <c r="HV315" i="11"/>
  <c r="HW315" i="11"/>
  <c r="HX315" i="11"/>
  <c r="HY315" i="11"/>
  <c r="HZ315" i="11"/>
  <c r="IA315" i="11"/>
  <c r="IB315" i="11"/>
  <c r="IC315" i="11"/>
  <c r="ID315" i="11"/>
  <c r="IE315" i="11"/>
  <c r="IF315" i="11"/>
  <c r="IG315" i="11"/>
  <c r="IH315" i="11"/>
  <c r="II315" i="11"/>
  <c r="IJ315" i="11"/>
  <c r="IK315" i="11"/>
  <c r="IL315" i="11"/>
  <c r="IM315" i="11"/>
  <c r="IN315" i="11"/>
  <c r="IO315" i="11"/>
  <c r="IP315" i="11"/>
  <c r="IQ315" i="11"/>
  <c r="IR315" i="11"/>
  <c r="IS315" i="11"/>
  <c r="IT315" i="11"/>
  <c r="IU315" i="11"/>
  <c r="IV315" i="11"/>
  <c r="F316" i="11"/>
  <c r="G316" i="11"/>
  <c r="H316" i="11"/>
  <c r="I316" i="11"/>
  <c r="J316" i="11"/>
  <c r="K316" i="11"/>
  <c r="L316" i="11"/>
  <c r="M316" i="11"/>
  <c r="N316" i="11"/>
  <c r="O316" i="11"/>
  <c r="P316" i="11"/>
  <c r="Q316" i="11"/>
  <c r="R316" i="11"/>
  <c r="S316" i="11"/>
  <c r="T316" i="11"/>
  <c r="U316" i="11"/>
  <c r="V316" i="11"/>
  <c r="W316" i="11"/>
  <c r="X316" i="11"/>
  <c r="Y316" i="11"/>
  <c r="Z316" i="11"/>
  <c r="AA316" i="11"/>
  <c r="AB316" i="11"/>
  <c r="AC316" i="11"/>
  <c r="AD316" i="11"/>
  <c r="AE316" i="11"/>
  <c r="AF316" i="11"/>
  <c r="AG316" i="11"/>
  <c r="AH316" i="11"/>
  <c r="AI316" i="11"/>
  <c r="AJ316" i="11"/>
  <c r="AK316" i="11"/>
  <c r="AL316" i="11"/>
  <c r="AM316" i="11"/>
  <c r="AN316" i="11"/>
  <c r="AO316" i="11"/>
  <c r="AP316" i="11"/>
  <c r="AQ316" i="11"/>
  <c r="AR316" i="11"/>
  <c r="AS316" i="11"/>
  <c r="AT316" i="11"/>
  <c r="AU316" i="11"/>
  <c r="AV316" i="11"/>
  <c r="AW316" i="11"/>
  <c r="AX316" i="11"/>
  <c r="AY316" i="11"/>
  <c r="AZ316" i="11"/>
  <c r="BA316" i="11"/>
  <c r="BB316" i="11"/>
  <c r="BC316" i="11"/>
  <c r="BD316" i="11"/>
  <c r="BE316" i="11"/>
  <c r="BF316" i="11"/>
  <c r="BG316" i="11"/>
  <c r="BH316" i="11"/>
  <c r="BI316" i="11"/>
  <c r="BJ316" i="11"/>
  <c r="BK316" i="11"/>
  <c r="BL316" i="11"/>
  <c r="BM316" i="11"/>
  <c r="BN316" i="11"/>
  <c r="BO316" i="11"/>
  <c r="BP316" i="11"/>
  <c r="BQ316" i="11"/>
  <c r="BR316" i="11"/>
  <c r="BS316" i="11"/>
  <c r="BT316" i="11"/>
  <c r="BU316" i="11"/>
  <c r="BV316" i="11"/>
  <c r="BW316" i="11"/>
  <c r="BX316" i="11"/>
  <c r="BY316" i="11"/>
  <c r="BZ316" i="11"/>
  <c r="CA316" i="11"/>
  <c r="CB316" i="11"/>
  <c r="CC316" i="11"/>
  <c r="CD316" i="11"/>
  <c r="CE316" i="11"/>
  <c r="CF316" i="11"/>
  <c r="CG316" i="11"/>
  <c r="CH316" i="11"/>
  <c r="CI316" i="11"/>
  <c r="CJ316" i="11"/>
  <c r="CK316" i="11"/>
  <c r="CL316" i="11"/>
  <c r="CM316" i="11"/>
  <c r="CN316" i="11"/>
  <c r="CO316" i="11"/>
  <c r="CP316" i="11"/>
  <c r="CQ316" i="11"/>
  <c r="CR316" i="11"/>
  <c r="CS316" i="11"/>
  <c r="CT316" i="11"/>
  <c r="CU316" i="11"/>
  <c r="CV316" i="11"/>
  <c r="CW316" i="11"/>
  <c r="CX316" i="11"/>
  <c r="CY316" i="11"/>
  <c r="CZ316" i="11"/>
  <c r="DA316" i="11"/>
  <c r="DB316" i="11"/>
  <c r="DC316" i="11"/>
  <c r="DD316" i="11"/>
  <c r="DE316" i="11"/>
  <c r="DF316" i="11"/>
  <c r="DG316" i="11"/>
  <c r="DH316" i="11"/>
  <c r="DI316" i="11"/>
  <c r="DJ316" i="11"/>
  <c r="DK316" i="11"/>
  <c r="DL316" i="11"/>
  <c r="DM316" i="11"/>
  <c r="DN316" i="11"/>
  <c r="DO316" i="11"/>
  <c r="DP316" i="11"/>
  <c r="DQ316" i="11"/>
  <c r="DR316" i="11"/>
  <c r="DS316" i="11"/>
  <c r="DT316" i="11"/>
  <c r="DU316" i="11"/>
  <c r="DV316" i="11"/>
  <c r="DW316" i="11"/>
  <c r="DX316" i="11"/>
  <c r="DY316" i="11"/>
  <c r="DZ316" i="11"/>
  <c r="EA316" i="11"/>
  <c r="EB316" i="11"/>
  <c r="EC316" i="11"/>
  <c r="ED316" i="11"/>
  <c r="EE316" i="11"/>
  <c r="EF316" i="11"/>
  <c r="EG316" i="11"/>
  <c r="EH316" i="11"/>
  <c r="EI316" i="11"/>
  <c r="EJ316" i="11"/>
  <c r="EK316" i="11"/>
  <c r="EL316" i="11"/>
  <c r="EM316" i="11"/>
  <c r="EN316" i="11"/>
  <c r="EO316" i="11"/>
  <c r="EP316" i="11"/>
  <c r="EQ316" i="11"/>
  <c r="ER316" i="11"/>
  <c r="ES316" i="11"/>
  <c r="ET316" i="11"/>
  <c r="EU316" i="11"/>
  <c r="EV316" i="11"/>
  <c r="EW316" i="11"/>
  <c r="EX316" i="11"/>
  <c r="EY316" i="11"/>
  <c r="EZ316" i="11"/>
  <c r="FA316" i="11"/>
  <c r="FB316" i="11"/>
  <c r="FC316" i="11"/>
  <c r="FD316" i="11"/>
  <c r="FE316" i="11"/>
  <c r="FF316" i="11"/>
  <c r="FG316" i="11"/>
  <c r="FH316" i="11"/>
  <c r="FI316" i="11"/>
  <c r="FJ316" i="11"/>
  <c r="FK316" i="11"/>
  <c r="FL316" i="11"/>
  <c r="FM316" i="11"/>
  <c r="FN316" i="11"/>
  <c r="FO316" i="11"/>
  <c r="FP316" i="11"/>
  <c r="FQ316" i="11"/>
  <c r="FR316" i="11"/>
  <c r="FS316" i="11"/>
  <c r="FT316" i="11"/>
  <c r="FU316" i="11"/>
  <c r="FV316" i="11"/>
  <c r="FW316" i="11"/>
  <c r="FX316" i="11"/>
  <c r="FY316" i="11"/>
  <c r="FZ316" i="11"/>
  <c r="GA316" i="11"/>
  <c r="GB316" i="11"/>
  <c r="GC316" i="11"/>
  <c r="GD316" i="11"/>
  <c r="GE316" i="11"/>
  <c r="GF316" i="11"/>
  <c r="GG316" i="11"/>
  <c r="GH316" i="11"/>
  <c r="GI316" i="11"/>
  <c r="GJ316" i="11"/>
  <c r="GK316" i="11"/>
  <c r="GL316" i="11"/>
  <c r="GM316" i="11"/>
  <c r="GN316" i="11"/>
  <c r="GO316" i="11"/>
  <c r="GP316" i="11"/>
  <c r="GQ316" i="11"/>
  <c r="GR316" i="11"/>
  <c r="GS316" i="11"/>
  <c r="GT316" i="11"/>
  <c r="GU316" i="11"/>
  <c r="GV316" i="11"/>
  <c r="GW316" i="11"/>
  <c r="GX316" i="11"/>
  <c r="GY316" i="11"/>
  <c r="GZ316" i="11"/>
  <c r="HA316" i="11"/>
  <c r="HB316" i="11"/>
  <c r="HC316" i="11"/>
  <c r="HD316" i="11"/>
  <c r="HE316" i="11"/>
  <c r="HF316" i="11"/>
  <c r="HG316" i="11"/>
  <c r="HH316" i="11"/>
  <c r="HI316" i="11"/>
  <c r="HJ316" i="11"/>
  <c r="HK316" i="11"/>
  <c r="HL316" i="11"/>
  <c r="HM316" i="11"/>
  <c r="HN316" i="11"/>
  <c r="HO316" i="11"/>
  <c r="HP316" i="11"/>
  <c r="HQ316" i="11"/>
  <c r="HR316" i="11"/>
  <c r="HS316" i="11"/>
  <c r="HT316" i="11"/>
  <c r="HU316" i="11"/>
  <c r="HV316" i="11"/>
  <c r="HW316" i="11"/>
  <c r="HX316" i="11"/>
  <c r="HY316" i="11"/>
  <c r="HZ316" i="11"/>
  <c r="IA316" i="11"/>
  <c r="IB316" i="11"/>
  <c r="IC316" i="11"/>
  <c r="ID316" i="11"/>
  <c r="IE316" i="11"/>
  <c r="IF316" i="11"/>
  <c r="IG316" i="11"/>
  <c r="IH316" i="11"/>
  <c r="II316" i="11"/>
  <c r="IJ316" i="11"/>
  <c r="IK316" i="11"/>
  <c r="IL316" i="11"/>
  <c r="IM316" i="11"/>
  <c r="IN316" i="11"/>
  <c r="IO316" i="11"/>
  <c r="IP316" i="11"/>
  <c r="IQ316" i="11"/>
  <c r="IR316" i="11"/>
  <c r="IS316" i="11"/>
  <c r="IT316" i="11"/>
  <c r="IU316" i="11"/>
  <c r="IV316" i="11"/>
  <c r="F317" i="11"/>
  <c r="G317" i="11"/>
  <c r="H317" i="11"/>
  <c r="I317" i="11"/>
  <c r="J317" i="11"/>
  <c r="K317" i="11"/>
  <c r="L317" i="11"/>
  <c r="M317" i="11"/>
  <c r="N317" i="11"/>
  <c r="O317" i="11"/>
  <c r="P317" i="11"/>
  <c r="Q317" i="11"/>
  <c r="R317" i="11"/>
  <c r="S317" i="11"/>
  <c r="T317" i="11"/>
  <c r="U317" i="11"/>
  <c r="V317" i="11"/>
  <c r="W317" i="11"/>
  <c r="X317" i="11"/>
  <c r="Y317" i="11"/>
  <c r="Z317" i="11"/>
  <c r="AA317" i="11"/>
  <c r="AB317" i="11"/>
  <c r="AC317" i="11"/>
  <c r="AD317" i="11"/>
  <c r="AE317" i="11"/>
  <c r="AF317" i="11"/>
  <c r="AG317" i="11"/>
  <c r="AH317" i="11"/>
  <c r="AI317" i="11"/>
  <c r="AJ317" i="11"/>
  <c r="AK317" i="11"/>
  <c r="AL317" i="11"/>
  <c r="AM317" i="11"/>
  <c r="AN317" i="11"/>
  <c r="AO317" i="11"/>
  <c r="AP317" i="11"/>
  <c r="AQ317" i="11"/>
  <c r="AR317" i="11"/>
  <c r="AS317" i="11"/>
  <c r="AT317" i="11"/>
  <c r="AU317" i="11"/>
  <c r="AV317" i="11"/>
  <c r="AW317" i="11"/>
  <c r="AX317" i="11"/>
  <c r="AY317" i="11"/>
  <c r="AZ317" i="11"/>
  <c r="BA317" i="11"/>
  <c r="BB317" i="11"/>
  <c r="BC317" i="11"/>
  <c r="BD317" i="11"/>
  <c r="BE317" i="11"/>
  <c r="BF317" i="11"/>
  <c r="BG317" i="11"/>
  <c r="BH317" i="11"/>
  <c r="BI317" i="11"/>
  <c r="BJ317" i="11"/>
  <c r="BK317" i="11"/>
  <c r="BL317" i="11"/>
  <c r="BM317" i="11"/>
  <c r="BN317" i="11"/>
  <c r="BO317" i="11"/>
  <c r="BP317" i="11"/>
  <c r="BQ317" i="11"/>
  <c r="BR317" i="11"/>
  <c r="BS317" i="11"/>
  <c r="BT317" i="11"/>
  <c r="BU317" i="11"/>
  <c r="BV317" i="11"/>
  <c r="BW317" i="11"/>
  <c r="BX317" i="11"/>
  <c r="BY317" i="11"/>
  <c r="BZ317" i="11"/>
  <c r="CA317" i="11"/>
  <c r="CB317" i="11"/>
  <c r="CC317" i="11"/>
  <c r="CD317" i="11"/>
  <c r="CE317" i="11"/>
  <c r="CF317" i="11"/>
  <c r="CG317" i="11"/>
  <c r="CH317" i="11"/>
  <c r="CI317" i="11"/>
  <c r="CJ317" i="11"/>
  <c r="CK317" i="11"/>
  <c r="CL317" i="11"/>
  <c r="CM317" i="11"/>
  <c r="CN317" i="11"/>
  <c r="CO317" i="11"/>
  <c r="CP317" i="11"/>
  <c r="CQ317" i="11"/>
  <c r="CR317" i="11"/>
  <c r="CS317" i="11"/>
  <c r="CT317" i="11"/>
  <c r="CU317" i="11"/>
  <c r="CV317" i="11"/>
  <c r="CW317" i="11"/>
  <c r="CX317" i="11"/>
  <c r="CY317" i="11"/>
  <c r="CZ317" i="11"/>
  <c r="DA317" i="11"/>
  <c r="DB317" i="11"/>
  <c r="DC317" i="11"/>
  <c r="DD317" i="11"/>
  <c r="DE317" i="11"/>
  <c r="DF317" i="11"/>
  <c r="DG317" i="11"/>
  <c r="DH317" i="11"/>
  <c r="DI317" i="11"/>
  <c r="DJ317" i="11"/>
  <c r="DK317" i="11"/>
  <c r="DL317" i="11"/>
  <c r="DM317" i="11"/>
  <c r="DN317" i="11"/>
  <c r="DO317" i="11"/>
  <c r="DP317" i="11"/>
  <c r="DQ317" i="11"/>
  <c r="DR317" i="11"/>
  <c r="DS317" i="11"/>
  <c r="DT317" i="11"/>
  <c r="DU317" i="11"/>
  <c r="DV317" i="11"/>
  <c r="DW317" i="11"/>
  <c r="DX317" i="11"/>
  <c r="DY317" i="11"/>
  <c r="DZ317" i="11"/>
  <c r="EA317" i="11"/>
  <c r="EB317" i="11"/>
  <c r="EC317" i="11"/>
  <c r="ED317" i="11"/>
  <c r="EE317" i="11"/>
  <c r="EF317" i="11"/>
  <c r="EG317" i="11"/>
  <c r="EH317" i="11"/>
  <c r="EI317" i="11"/>
  <c r="EJ317" i="11"/>
  <c r="EK317" i="11"/>
  <c r="EL317" i="11"/>
  <c r="EM317" i="11"/>
  <c r="EN317" i="11"/>
  <c r="EO317" i="11"/>
  <c r="EP317" i="11"/>
  <c r="EQ317" i="11"/>
  <c r="ER317" i="11"/>
  <c r="ES317" i="11"/>
  <c r="ET317" i="11"/>
  <c r="EU317" i="11"/>
  <c r="EV317" i="11"/>
  <c r="EW317" i="11"/>
  <c r="EX317" i="11"/>
  <c r="EY317" i="11"/>
  <c r="EZ317" i="11"/>
  <c r="FA317" i="11"/>
  <c r="FB317" i="11"/>
  <c r="FC317" i="11"/>
  <c r="FD317" i="11"/>
  <c r="FE317" i="11"/>
  <c r="FF317" i="11"/>
  <c r="FG317" i="11"/>
  <c r="FH317" i="11"/>
  <c r="FI317" i="11"/>
  <c r="FJ317" i="11"/>
  <c r="FK317" i="11"/>
  <c r="FL317" i="11"/>
  <c r="FM317" i="11"/>
  <c r="FN317" i="11"/>
  <c r="FO317" i="11"/>
  <c r="FP317" i="11"/>
  <c r="FQ317" i="11"/>
  <c r="FR317" i="11"/>
  <c r="FS317" i="11"/>
  <c r="FT317" i="11"/>
  <c r="FU317" i="11"/>
  <c r="FV317" i="11"/>
  <c r="FW317" i="11"/>
  <c r="FX317" i="11"/>
  <c r="FY317" i="11"/>
  <c r="FZ317" i="11"/>
  <c r="GA317" i="11"/>
  <c r="GB317" i="11"/>
  <c r="GC317" i="11"/>
  <c r="GD317" i="11"/>
  <c r="GE317" i="11"/>
  <c r="GF317" i="11"/>
  <c r="GG317" i="11"/>
  <c r="GH317" i="11"/>
  <c r="GI317" i="11"/>
  <c r="GJ317" i="11"/>
  <c r="GK317" i="11"/>
  <c r="GL317" i="11"/>
  <c r="GM317" i="11"/>
  <c r="GN317" i="11"/>
  <c r="GO317" i="11"/>
  <c r="GP317" i="11"/>
  <c r="GQ317" i="11"/>
  <c r="GR317" i="11"/>
  <c r="GS317" i="11"/>
  <c r="GT317" i="11"/>
  <c r="GU317" i="11"/>
  <c r="GV317" i="11"/>
  <c r="GW317" i="11"/>
  <c r="GX317" i="11"/>
  <c r="GY317" i="11"/>
  <c r="GZ317" i="11"/>
  <c r="HA317" i="11"/>
  <c r="HB317" i="11"/>
  <c r="HC317" i="11"/>
  <c r="HD317" i="11"/>
  <c r="HE317" i="11"/>
  <c r="HF317" i="11"/>
  <c r="HG317" i="11"/>
  <c r="HH317" i="11"/>
  <c r="HI317" i="11"/>
  <c r="HJ317" i="11"/>
  <c r="HK317" i="11"/>
  <c r="HL317" i="11"/>
  <c r="HM317" i="11"/>
  <c r="HN317" i="11"/>
  <c r="HO317" i="11"/>
  <c r="HP317" i="11"/>
  <c r="HQ317" i="11"/>
  <c r="HR317" i="11"/>
  <c r="HS317" i="11"/>
  <c r="HT317" i="11"/>
  <c r="HU317" i="11"/>
  <c r="HV317" i="11"/>
  <c r="HW317" i="11"/>
  <c r="HX317" i="11"/>
  <c r="HY317" i="11"/>
  <c r="HZ317" i="11"/>
  <c r="IA317" i="11"/>
  <c r="IB317" i="11"/>
  <c r="IC317" i="11"/>
  <c r="ID317" i="11"/>
  <c r="IE317" i="11"/>
  <c r="IF317" i="11"/>
  <c r="IG317" i="11"/>
  <c r="IH317" i="11"/>
  <c r="II317" i="11"/>
  <c r="IJ317" i="11"/>
  <c r="IK317" i="11"/>
  <c r="IL317" i="11"/>
  <c r="IM317" i="11"/>
  <c r="IN317" i="11"/>
  <c r="IO317" i="11"/>
  <c r="IP317" i="11"/>
  <c r="IQ317" i="11"/>
  <c r="IR317" i="11"/>
  <c r="IS317" i="11"/>
  <c r="IT317" i="11"/>
  <c r="IU317" i="11"/>
  <c r="IV317" i="11"/>
  <c r="F318" i="11"/>
  <c r="G318" i="11"/>
  <c r="H318" i="11"/>
  <c r="I318" i="11"/>
  <c r="J318" i="11"/>
  <c r="K318" i="11"/>
  <c r="L318" i="11"/>
  <c r="M318" i="11"/>
  <c r="N318" i="11"/>
  <c r="O318" i="11"/>
  <c r="P318" i="11"/>
  <c r="Q318" i="11"/>
  <c r="R318" i="11"/>
  <c r="S318" i="11"/>
  <c r="T318" i="11"/>
  <c r="U318" i="11"/>
  <c r="V318" i="11"/>
  <c r="W318" i="11"/>
  <c r="X318" i="11"/>
  <c r="Y318" i="11"/>
  <c r="Z318" i="11"/>
  <c r="AA318" i="11"/>
  <c r="AB318" i="11"/>
  <c r="AC318" i="11"/>
  <c r="AD318" i="11"/>
  <c r="AE318" i="11"/>
  <c r="AF318" i="11"/>
  <c r="AG318" i="11"/>
  <c r="AH318" i="11"/>
  <c r="AI318" i="11"/>
  <c r="AJ318" i="11"/>
  <c r="AK318" i="11"/>
  <c r="AL318" i="11"/>
  <c r="AM318" i="11"/>
  <c r="AN318" i="11"/>
  <c r="AO318" i="11"/>
  <c r="AP318" i="11"/>
  <c r="AQ318" i="11"/>
  <c r="AR318" i="11"/>
  <c r="AS318" i="11"/>
  <c r="AT318" i="11"/>
  <c r="AU318" i="11"/>
  <c r="AV318" i="11"/>
  <c r="AW318" i="11"/>
  <c r="AX318" i="11"/>
  <c r="AY318" i="11"/>
  <c r="AZ318" i="11"/>
  <c r="BA318" i="11"/>
  <c r="BB318" i="11"/>
  <c r="BC318" i="11"/>
  <c r="BD318" i="11"/>
  <c r="BE318" i="11"/>
  <c r="BF318" i="11"/>
  <c r="BG318" i="11"/>
  <c r="BH318" i="11"/>
  <c r="BI318" i="11"/>
  <c r="BJ318" i="11"/>
  <c r="BK318" i="11"/>
  <c r="BL318" i="11"/>
  <c r="BM318" i="11"/>
  <c r="BN318" i="11"/>
  <c r="BO318" i="11"/>
  <c r="BP318" i="11"/>
  <c r="BQ318" i="11"/>
  <c r="BR318" i="11"/>
  <c r="BS318" i="11"/>
  <c r="BT318" i="11"/>
  <c r="BU318" i="11"/>
  <c r="BV318" i="11"/>
  <c r="BW318" i="11"/>
  <c r="BX318" i="11"/>
  <c r="BY318" i="11"/>
  <c r="BZ318" i="11"/>
  <c r="CA318" i="11"/>
  <c r="CB318" i="11"/>
  <c r="CC318" i="11"/>
  <c r="CD318" i="11"/>
  <c r="CE318" i="11"/>
  <c r="CF318" i="11"/>
  <c r="CG318" i="11"/>
  <c r="CH318" i="11"/>
  <c r="CI318" i="11"/>
  <c r="CJ318" i="11"/>
  <c r="CK318" i="11"/>
  <c r="CL318" i="11"/>
  <c r="CM318" i="11"/>
  <c r="CN318" i="11"/>
  <c r="CO318" i="11"/>
  <c r="CP318" i="11"/>
  <c r="CQ318" i="11"/>
  <c r="CR318" i="11"/>
  <c r="CS318" i="11"/>
  <c r="CT318" i="11"/>
  <c r="CU318" i="11"/>
  <c r="CV318" i="11"/>
  <c r="CW318" i="11"/>
  <c r="CX318" i="11"/>
  <c r="CY318" i="11"/>
  <c r="CZ318" i="11"/>
  <c r="DA318" i="11"/>
  <c r="DB318" i="11"/>
  <c r="DC318" i="11"/>
  <c r="DD318" i="11"/>
  <c r="DE318" i="11"/>
  <c r="DF318" i="11"/>
  <c r="DG318" i="11"/>
  <c r="DH318" i="11"/>
  <c r="DI318" i="11"/>
  <c r="DJ318" i="11"/>
  <c r="DK318" i="11"/>
  <c r="DL318" i="11"/>
  <c r="DM318" i="11"/>
  <c r="DN318" i="11"/>
  <c r="DO318" i="11"/>
  <c r="DP318" i="11"/>
  <c r="DQ318" i="11"/>
  <c r="DR318" i="11"/>
  <c r="DS318" i="11"/>
  <c r="DT318" i="11"/>
  <c r="DU318" i="11"/>
  <c r="DV318" i="11"/>
  <c r="DW318" i="11"/>
  <c r="DX318" i="11"/>
  <c r="DY318" i="11"/>
  <c r="DZ318" i="11"/>
  <c r="EA318" i="11"/>
  <c r="EB318" i="11"/>
  <c r="EC318" i="11"/>
  <c r="ED318" i="11"/>
  <c r="EE318" i="11"/>
  <c r="EF318" i="11"/>
  <c r="EG318" i="11"/>
  <c r="EH318" i="11"/>
  <c r="EI318" i="11"/>
  <c r="EJ318" i="11"/>
  <c r="EK318" i="11"/>
  <c r="EL318" i="11"/>
  <c r="EM318" i="11"/>
  <c r="EN318" i="11"/>
  <c r="EO318" i="11"/>
  <c r="EP318" i="11"/>
  <c r="EQ318" i="11"/>
  <c r="ER318" i="11"/>
  <c r="ES318" i="11"/>
  <c r="ET318" i="11"/>
  <c r="EU318" i="11"/>
  <c r="EV318" i="11"/>
  <c r="EW318" i="11"/>
  <c r="EX318" i="11"/>
  <c r="EY318" i="11"/>
  <c r="EZ318" i="11"/>
  <c r="FA318" i="11"/>
  <c r="FB318" i="11"/>
  <c r="FC318" i="11"/>
  <c r="FD318" i="11"/>
  <c r="FE318" i="11"/>
  <c r="FF318" i="11"/>
  <c r="FG318" i="11"/>
  <c r="FH318" i="11"/>
  <c r="FI318" i="11"/>
  <c r="FJ318" i="11"/>
  <c r="FK318" i="11"/>
  <c r="FL318" i="11"/>
  <c r="FM318" i="11"/>
  <c r="FN318" i="11"/>
  <c r="FO318" i="11"/>
  <c r="FP318" i="11"/>
  <c r="FQ318" i="11"/>
  <c r="FR318" i="11"/>
  <c r="FS318" i="11"/>
  <c r="FT318" i="11"/>
  <c r="FU318" i="11"/>
  <c r="FV318" i="11"/>
  <c r="FW318" i="11"/>
  <c r="FX318" i="11"/>
  <c r="FY318" i="11"/>
  <c r="FZ318" i="11"/>
  <c r="GA318" i="11"/>
  <c r="GB318" i="11"/>
  <c r="GC318" i="11"/>
  <c r="GD318" i="11"/>
  <c r="GE318" i="11"/>
  <c r="GF318" i="11"/>
  <c r="GG318" i="11"/>
  <c r="GH318" i="11"/>
  <c r="GI318" i="11"/>
  <c r="GJ318" i="11"/>
  <c r="GK318" i="11"/>
  <c r="GL318" i="11"/>
  <c r="GM318" i="11"/>
  <c r="GN318" i="11"/>
  <c r="GO318" i="11"/>
  <c r="GP318" i="11"/>
  <c r="GQ318" i="11"/>
  <c r="GR318" i="11"/>
  <c r="GS318" i="11"/>
  <c r="GT318" i="11"/>
  <c r="GU318" i="11"/>
  <c r="GV318" i="11"/>
  <c r="GW318" i="11"/>
  <c r="GX318" i="11"/>
  <c r="GY318" i="11"/>
  <c r="GZ318" i="11"/>
  <c r="HA318" i="11"/>
  <c r="HB318" i="11"/>
  <c r="HC318" i="11"/>
  <c r="HD318" i="11"/>
  <c r="HE318" i="11"/>
  <c r="HF318" i="11"/>
  <c r="HG318" i="11"/>
  <c r="HH318" i="11"/>
  <c r="HI318" i="11"/>
  <c r="HJ318" i="11"/>
  <c r="HK318" i="11"/>
  <c r="HL318" i="11"/>
  <c r="HM318" i="11"/>
  <c r="HN318" i="11"/>
  <c r="HO318" i="11"/>
  <c r="HP318" i="11"/>
  <c r="HQ318" i="11"/>
  <c r="HR318" i="11"/>
  <c r="HS318" i="11"/>
  <c r="HT318" i="11"/>
  <c r="HU318" i="11"/>
  <c r="HV318" i="11"/>
  <c r="HW318" i="11"/>
  <c r="HX318" i="11"/>
  <c r="HY318" i="11"/>
  <c r="HZ318" i="11"/>
  <c r="IA318" i="11"/>
  <c r="IB318" i="11"/>
  <c r="IC318" i="11"/>
  <c r="ID318" i="11"/>
  <c r="IE318" i="11"/>
  <c r="IF318" i="11"/>
  <c r="IG318" i="11"/>
  <c r="IH318" i="11"/>
  <c r="II318" i="11"/>
  <c r="IJ318" i="11"/>
  <c r="IK318" i="11"/>
  <c r="IL318" i="11"/>
  <c r="IM318" i="11"/>
  <c r="IN318" i="11"/>
  <c r="IO318" i="11"/>
  <c r="IP318" i="11"/>
  <c r="IQ318" i="11"/>
  <c r="IR318" i="11"/>
  <c r="IS318" i="11"/>
  <c r="IT318" i="11"/>
  <c r="IU318" i="11"/>
  <c r="IV318" i="11"/>
  <c r="F319" i="11"/>
  <c r="G319" i="11"/>
  <c r="H319" i="11"/>
  <c r="I319" i="11"/>
  <c r="J319" i="11"/>
  <c r="K319" i="11"/>
  <c r="L319" i="11"/>
  <c r="M319" i="11"/>
  <c r="N319" i="11"/>
  <c r="O319" i="11"/>
  <c r="P319" i="11"/>
  <c r="Q319" i="11"/>
  <c r="R319" i="11"/>
  <c r="S319" i="11"/>
  <c r="T319" i="11"/>
  <c r="U319" i="11"/>
  <c r="V319" i="11"/>
  <c r="W319" i="11"/>
  <c r="X319" i="11"/>
  <c r="Y319" i="11"/>
  <c r="Z319" i="11"/>
  <c r="AA319" i="11"/>
  <c r="AB319" i="11"/>
  <c r="AC319" i="11"/>
  <c r="AD319" i="11"/>
  <c r="AE319" i="11"/>
  <c r="AF319" i="11"/>
  <c r="AG319" i="11"/>
  <c r="AH319" i="11"/>
  <c r="AI319" i="11"/>
  <c r="AJ319" i="11"/>
  <c r="AK319" i="11"/>
  <c r="AL319" i="11"/>
  <c r="AM319" i="11"/>
  <c r="AN319" i="11"/>
  <c r="AO319" i="11"/>
  <c r="AP319" i="11"/>
  <c r="AQ319" i="11"/>
  <c r="AR319" i="11"/>
  <c r="AS319" i="11"/>
  <c r="AT319" i="11"/>
  <c r="AU319" i="11"/>
  <c r="AV319" i="11"/>
  <c r="AW319" i="11"/>
  <c r="AX319" i="11"/>
  <c r="AY319" i="11"/>
  <c r="AZ319" i="11"/>
  <c r="BA319" i="11"/>
  <c r="BB319" i="11"/>
  <c r="BC319" i="11"/>
  <c r="BD319" i="11"/>
  <c r="BE319" i="11"/>
  <c r="BF319" i="11"/>
  <c r="BG319" i="11"/>
  <c r="BH319" i="11"/>
  <c r="BI319" i="11"/>
  <c r="BJ319" i="11"/>
  <c r="BK319" i="11"/>
  <c r="BL319" i="11"/>
  <c r="BM319" i="11"/>
  <c r="BN319" i="11"/>
  <c r="BO319" i="11"/>
  <c r="BP319" i="11"/>
  <c r="BQ319" i="11"/>
  <c r="BR319" i="11"/>
  <c r="BS319" i="11"/>
  <c r="BT319" i="11"/>
  <c r="BU319" i="11"/>
  <c r="BV319" i="11"/>
  <c r="BW319" i="11"/>
  <c r="BX319" i="11"/>
  <c r="BY319" i="11"/>
  <c r="BZ319" i="11"/>
  <c r="CA319" i="11"/>
  <c r="CB319" i="11"/>
  <c r="CC319" i="11"/>
  <c r="CD319" i="11"/>
  <c r="CE319" i="11"/>
  <c r="CF319" i="11"/>
  <c r="CG319" i="11"/>
  <c r="CH319" i="11"/>
  <c r="CI319" i="11"/>
  <c r="CJ319" i="11"/>
  <c r="CK319" i="11"/>
  <c r="CL319" i="11"/>
  <c r="CM319" i="11"/>
  <c r="CN319" i="11"/>
  <c r="CO319" i="11"/>
  <c r="CP319" i="11"/>
  <c r="CQ319" i="11"/>
  <c r="CR319" i="11"/>
  <c r="CS319" i="11"/>
  <c r="CT319" i="11"/>
  <c r="CU319" i="11"/>
  <c r="CV319" i="11"/>
  <c r="CW319" i="11"/>
  <c r="CX319" i="11"/>
  <c r="CY319" i="11"/>
  <c r="CZ319" i="11"/>
  <c r="DA319" i="11"/>
  <c r="DB319" i="11"/>
  <c r="DC319" i="11"/>
  <c r="DD319" i="11"/>
  <c r="DE319" i="11"/>
  <c r="DF319" i="11"/>
  <c r="DG319" i="11"/>
  <c r="DH319" i="11"/>
  <c r="DI319" i="11"/>
  <c r="DJ319" i="11"/>
  <c r="DK319" i="11"/>
  <c r="DL319" i="11"/>
  <c r="DM319" i="11"/>
  <c r="DN319" i="11"/>
  <c r="DO319" i="11"/>
  <c r="DP319" i="11"/>
  <c r="DQ319" i="11"/>
  <c r="DR319" i="11"/>
  <c r="DS319" i="11"/>
  <c r="DT319" i="11"/>
  <c r="DU319" i="11"/>
  <c r="DV319" i="11"/>
  <c r="DW319" i="11"/>
  <c r="DX319" i="11"/>
  <c r="DY319" i="11"/>
  <c r="DZ319" i="11"/>
  <c r="EA319" i="11"/>
  <c r="EB319" i="11"/>
  <c r="EC319" i="11"/>
  <c r="ED319" i="11"/>
  <c r="EE319" i="11"/>
  <c r="EF319" i="11"/>
  <c r="EG319" i="11"/>
  <c r="EH319" i="11"/>
  <c r="EI319" i="11"/>
  <c r="EJ319" i="11"/>
  <c r="EK319" i="11"/>
  <c r="EL319" i="11"/>
  <c r="EM319" i="11"/>
  <c r="EN319" i="11"/>
  <c r="EO319" i="11"/>
  <c r="EP319" i="11"/>
  <c r="EQ319" i="11"/>
  <c r="ER319" i="11"/>
  <c r="ES319" i="11"/>
  <c r="ET319" i="11"/>
  <c r="EU319" i="11"/>
  <c r="EV319" i="11"/>
  <c r="EW319" i="11"/>
  <c r="EX319" i="11"/>
  <c r="EY319" i="11"/>
  <c r="EZ319" i="11"/>
  <c r="FA319" i="11"/>
  <c r="FB319" i="11"/>
  <c r="FC319" i="11"/>
  <c r="FD319" i="11"/>
  <c r="FE319" i="11"/>
  <c r="FF319" i="11"/>
  <c r="FG319" i="11"/>
  <c r="FH319" i="11"/>
  <c r="FI319" i="11"/>
  <c r="FJ319" i="11"/>
  <c r="FK319" i="11"/>
  <c r="FL319" i="11"/>
  <c r="FM319" i="11"/>
  <c r="FN319" i="11"/>
  <c r="FO319" i="11"/>
  <c r="FP319" i="11"/>
  <c r="FQ319" i="11"/>
  <c r="FR319" i="11"/>
  <c r="FS319" i="11"/>
  <c r="FT319" i="11"/>
  <c r="FU319" i="11"/>
  <c r="FV319" i="11"/>
  <c r="FW319" i="11"/>
  <c r="FX319" i="11"/>
  <c r="FY319" i="11"/>
  <c r="FZ319" i="11"/>
  <c r="GA319" i="11"/>
  <c r="GB319" i="11"/>
  <c r="GC319" i="11"/>
  <c r="GD319" i="11"/>
  <c r="GE319" i="11"/>
  <c r="GF319" i="11"/>
  <c r="GG319" i="11"/>
  <c r="GH319" i="11"/>
  <c r="GI319" i="11"/>
  <c r="GJ319" i="11"/>
  <c r="GK319" i="11"/>
  <c r="GL319" i="11"/>
  <c r="GM319" i="11"/>
  <c r="GN319" i="11"/>
  <c r="GO319" i="11"/>
  <c r="GP319" i="11"/>
  <c r="GQ319" i="11"/>
  <c r="GR319" i="11"/>
  <c r="GS319" i="11"/>
  <c r="GT319" i="11"/>
  <c r="GU319" i="11"/>
  <c r="GV319" i="11"/>
  <c r="GW319" i="11"/>
  <c r="GX319" i="11"/>
  <c r="GY319" i="11"/>
  <c r="GZ319" i="11"/>
  <c r="HA319" i="11"/>
  <c r="HB319" i="11"/>
  <c r="HC319" i="11"/>
  <c r="HD319" i="11"/>
  <c r="HE319" i="11"/>
  <c r="HF319" i="11"/>
  <c r="HG319" i="11"/>
  <c r="HH319" i="11"/>
  <c r="HI319" i="11"/>
  <c r="HJ319" i="11"/>
  <c r="HK319" i="11"/>
  <c r="HL319" i="11"/>
  <c r="HM319" i="11"/>
  <c r="HN319" i="11"/>
  <c r="HO319" i="11"/>
  <c r="HP319" i="11"/>
  <c r="HQ319" i="11"/>
  <c r="HR319" i="11"/>
  <c r="HS319" i="11"/>
  <c r="HT319" i="11"/>
  <c r="HU319" i="11"/>
  <c r="HV319" i="11"/>
  <c r="HW319" i="11"/>
  <c r="HX319" i="11"/>
  <c r="HY319" i="11"/>
  <c r="HZ319" i="11"/>
  <c r="IA319" i="11"/>
  <c r="IB319" i="11"/>
  <c r="IC319" i="11"/>
  <c r="ID319" i="11"/>
  <c r="IE319" i="11"/>
  <c r="IF319" i="11"/>
  <c r="IG319" i="11"/>
  <c r="IH319" i="11"/>
  <c r="II319" i="11"/>
  <c r="IJ319" i="11"/>
  <c r="IK319" i="11"/>
  <c r="IL319" i="11"/>
  <c r="IM319" i="11"/>
  <c r="IN319" i="11"/>
  <c r="IO319" i="11"/>
  <c r="IP319" i="11"/>
  <c r="IQ319" i="11"/>
  <c r="IR319" i="11"/>
  <c r="IS319" i="11"/>
  <c r="IT319" i="11"/>
  <c r="IU319" i="11"/>
  <c r="IV319" i="11"/>
  <c r="F320" i="11"/>
  <c r="G320" i="11"/>
  <c r="H320" i="11"/>
  <c r="I320" i="11"/>
  <c r="J320" i="11"/>
  <c r="K320" i="11"/>
  <c r="L320" i="11"/>
  <c r="M320" i="11"/>
  <c r="N320" i="11"/>
  <c r="O320" i="11"/>
  <c r="P320" i="11"/>
  <c r="Q320" i="11"/>
  <c r="R320" i="11"/>
  <c r="S320" i="11"/>
  <c r="T320" i="11"/>
  <c r="U320" i="11"/>
  <c r="V320" i="11"/>
  <c r="W320" i="11"/>
  <c r="X320" i="11"/>
  <c r="Y320" i="11"/>
  <c r="Z320" i="11"/>
  <c r="AA320" i="11"/>
  <c r="AB320" i="11"/>
  <c r="AC320" i="11"/>
  <c r="AD320" i="11"/>
  <c r="AE320" i="11"/>
  <c r="AF320" i="11"/>
  <c r="AG320" i="11"/>
  <c r="AH320" i="11"/>
  <c r="AI320" i="11"/>
  <c r="AJ320" i="11"/>
  <c r="AK320" i="11"/>
  <c r="AL320" i="11"/>
  <c r="AM320" i="11"/>
  <c r="AN320" i="11"/>
  <c r="AO320" i="11"/>
  <c r="AP320" i="11"/>
  <c r="AQ320" i="11"/>
  <c r="AR320" i="11"/>
  <c r="AS320" i="11"/>
  <c r="AT320" i="11"/>
  <c r="AU320" i="11"/>
  <c r="AV320" i="11"/>
  <c r="AW320" i="11"/>
  <c r="AX320" i="11"/>
  <c r="AY320" i="11"/>
  <c r="AZ320" i="11"/>
  <c r="BA320" i="11"/>
  <c r="BB320" i="11"/>
  <c r="BC320" i="11"/>
  <c r="BD320" i="11"/>
  <c r="BE320" i="11"/>
  <c r="BF320" i="11"/>
  <c r="BG320" i="11"/>
  <c r="BH320" i="11"/>
  <c r="BI320" i="11"/>
  <c r="BJ320" i="11"/>
  <c r="BK320" i="11"/>
  <c r="BL320" i="11"/>
  <c r="BM320" i="11"/>
  <c r="BN320" i="11"/>
  <c r="BO320" i="11"/>
  <c r="BP320" i="11"/>
  <c r="BQ320" i="11"/>
  <c r="BR320" i="11"/>
  <c r="BS320" i="11"/>
  <c r="BT320" i="11"/>
  <c r="BU320" i="11"/>
  <c r="BV320" i="11"/>
  <c r="BW320" i="11"/>
  <c r="BX320" i="11"/>
  <c r="BY320" i="11"/>
  <c r="BZ320" i="11"/>
  <c r="CA320" i="11"/>
  <c r="CB320" i="11"/>
  <c r="CC320" i="11"/>
  <c r="CD320" i="11"/>
  <c r="CE320" i="11"/>
  <c r="CF320" i="11"/>
  <c r="CG320" i="11"/>
  <c r="CH320" i="11"/>
  <c r="CI320" i="11"/>
  <c r="CJ320" i="11"/>
  <c r="CK320" i="11"/>
  <c r="CL320" i="11"/>
  <c r="CM320" i="11"/>
  <c r="CN320" i="11"/>
  <c r="CO320" i="11"/>
  <c r="CP320" i="11"/>
  <c r="CQ320" i="11"/>
  <c r="CR320" i="11"/>
  <c r="CS320" i="11"/>
  <c r="CT320" i="11"/>
  <c r="CU320" i="11"/>
  <c r="CV320" i="11"/>
  <c r="CW320" i="11"/>
  <c r="CX320" i="11"/>
  <c r="CY320" i="11"/>
  <c r="CZ320" i="11"/>
  <c r="DA320" i="11"/>
  <c r="DB320" i="11"/>
  <c r="DC320" i="11"/>
  <c r="DD320" i="11"/>
  <c r="DE320" i="11"/>
  <c r="DF320" i="11"/>
  <c r="DG320" i="11"/>
  <c r="DH320" i="11"/>
  <c r="DI320" i="11"/>
  <c r="DJ320" i="11"/>
  <c r="DK320" i="11"/>
  <c r="DL320" i="11"/>
  <c r="DM320" i="11"/>
  <c r="DN320" i="11"/>
  <c r="DO320" i="11"/>
  <c r="DP320" i="11"/>
  <c r="DQ320" i="11"/>
  <c r="DR320" i="11"/>
  <c r="DS320" i="11"/>
  <c r="DT320" i="11"/>
  <c r="DU320" i="11"/>
  <c r="DV320" i="11"/>
  <c r="DW320" i="11"/>
  <c r="DX320" i="11"/>
  <c r="DY320" i="11"/>
  <c r="DZ320" i="11"/>
  <c r="EA320" i="11"/>
  <c r="EB320" i="11"/>
  <c r="EC320" i="11"/>
  <c r="ED320" i="11"/>
  <c r="EE320" i="11"/>
  <c r="EF320" i="11"/>
  <c r="EG320" i="11"/>
  <c r="EH320" i="11"/>
  <c r="EI320" i="11"/>
  <c r="EJ320" i="11"/>
  <c r="EK320" i="11"/>
  <c r="EL320" i="11"/>
  <c r="EM320" i="11"/>
  <c r="EN320" i="11"/>
  <c r="EO320" i="11"/>
  <c r="EP320" i="11"/>
  <c r="EQ320" i="11"/>
  <c r="ER320" i="11"/>
  <c r="ES320" i="11"/>
  <c r="ET320" i="11"/>
  <c r="EU320" i="11"/>
  <c r="EV320" i="11"/>
  <c r="EW320" i="11"/>
  <c r="EX320" i="11"/>
  <c r="EY320" i="11"/>
  <c r="EZ320" i="11"/>
  <c r="FA320" i="11"/>
  <c r="FB320" i="11"/>
  <c r="FC320" i="11"/>
  <c r="FD320" i="11"/>
  <c r="FE320" i="11"/>
  <c r="FF320" i="11"/>
  <c r="FG320" i="11"/>
  <c r="FH320" i="11"/>
  <c r="FI320" i="11"/>
  <c r="FJ320" i="11"/>
  <c r="FK320" i="11"/>
  <c r="FL320" i="11"/>
  <c r="FM320" i="11"/>
  <c r="FN320" i="11"/>
  <c r="FO320" i="11"/>
  <c r="FP320" i="11"/>
  <c r="FQ320" i="11"/>
  <c r="FR320" i="11"/>
  <c r="FS320" i="11"/>
  <c r="FT320" i="11"/>
  <c r="FU320" i="11"/>
  <c r="FV320" i="11"/>
  <c r="FW320" i="11"/>
  <c r="FX320" i="11"/>
  <c r="FY320" i="11"/>
  <c r="FZ320" i="11"/>
  <c r="GA320" i="11"/>
  <c r="GB320" i="11"/>
  <c r="GC320" i="11"/>
  <c r="GD320" i="11"/>
  <c r="GE320" i="11"/>
  <c r="GF320" i="11"/>
  <c r="GG320" i="11"/>
  <c r="GH320" i="11"/>
  <c r="GI320" i="11"/>
  <c r="GJ320" i="11"/>
  <c r="GK320" i="11"/>
  <c r="GL320" i="11"/>
  <c r="GM320" i="11"/>
  <c r="GN320" i="11"/>
  <c r="GO320" i="11"/>
  <c r="GP320" i="11"/>
  <c r="GQ320" i="11"/>
  <c r="GR320" i="11"/>
  <c r="GS320" i="11"/>
  <c r="GT320" i="11"/>
  <c r="GU320" i="11"/>
  <c r="GV320" i="11"/>
  <c r="GW320" i="11"/>
  <c r="GX320" i="11"/>
  <c r="GY320" i="11"/>
  <c r="GZ320" i="11"/>
  <c r="HA320" i="11"/>
  <c r="HB320" i="11"/>
  <c r="HC320" i="11"/>
  <c r="HD320" i="11"/>
  <c r="HE320" i="11"/>
  <c r="HF320" i="11"/>
  <c r="HG320" i="11"/>
  <c r="HH320" i="11"/>
  <c r="HI320" i="11"/>
  <c r="HJ320" i="11"/>
  <c r="HK320" i="11"/>
  <c r="HL320" i="11"/>
  <c r="HM320" i="11"/>
  <c r="HN320" i="11"/>
  <c r="HO320" i="11"/>
  <c r="HP320" i="11"/>
  <c r="HQ320" i="11"/>
  <c r="HR320" i="11"/>
  <c r="HS320" i="11"/>
  <c r="HT320" i="11"/>
  <c r="HU320" i="11"/>
  <c r="HV320" i="11"/>
  <c r="HW320" i="11"/>
  <c r="HX320" i="11"/>
  <c r="HY320" i="11"/>
  <c r="HZ320" i="11"/>
  <c r="IA320" i="11"/>
  <c r="IB320" i="11"/>
  <c r="IC320" i="11"/>
  <c r="ID320" i="11"/>
  <c r="IE320" i="11"/>
  <c r="IF320" i="11"/>
  <c r="IG320" i="11"/>
  <c r="IH320" i="11"/>
  <c r="II320" i="11"/>
  <c r="IJ320" i="11"/>
  <c r="IK320" i="11"/>
  <c r="IL320" i="11"/>
  <c r="IM320" i="11"/>
  <c r="IN320" i="11"/>
  <c r="IO320" i="11"/>
  <c r="IP320" i="11"/>
  <c r="IQ320" i="11"/>
  <c r="IR320" i="11"/>
  <c r="IS320" i="11"/>
  <c r="IT320" i="11"/>
  <c r="IU320" i="11"/>
  <c r="IV320" i="11"/>
  <c r="F321" i="11"/>
  <c r="G321" i="11"/>
  <c r="H321" i="11"/>
  <c r="I321" i="11"/>
  <c r="J321" i="11"/>
  <c r="K321" i="11"/>
  <c r="L321" i="11"/>
  <c r="M321" i="11"/>
  <c r="N321" i="11"/>
  <c r="O321" i="11"/>
  <c r="P321" i="11"/>
  <c r="Q321" i="11"/>
  <c r="R321" i="11"/>
  <c r="S321" i="11"/>
  <c r="T321" i="11"/>
  <c r="U321" i="11"/>
  <c r="V321" i="11"/>
  <c r="W321" i="11"/>
  <c r="X321" i="11"/>
  <c r="Y321" i="11"/>
  <c r="Z321" i="11"/>
  <c r="AA321" i="11"/>
  <c r="AB321" i="11"/>
  <c r="AC321" i="11"/>
  <c r="AD321" i="11"/>
  <c r="AE321" i="11"/>
  <c r="AF321" i="11"/>
  <c r="AG321" i="11"/>
  <c r="AH321" i="11"/>
  <c r="AI321" i="11"/>
  <c r="AJ321" i="11"/>
  <c r="AK321" i="11"/>
  <c r="AL321" i="11"/>
  <c r="AM321" i="11"/>
  <c r="AN321" i="11"/>
  <c r="AO321" i="11"/>
  <c r="AP321" i="11"/>
  <c r="AQ321" i="11"/>
  <c r="AR321" i="11"/>
  <c r="AS321" i="11"/>
  <c r="AT321" i="11"/>
  <c r="AU321" i="11"/>
  <c r="AV321" i="11"/>
  <c r="AW321" i="11"/>
  <c r="AX321" i="11"/>
  <c r="AY321" i="11"/>
  <c r="AZ321" i="11"/>
  <c r="BA321" i="11"/>
  <c r="BB321" i="11"/>
  <c r="BC321" i="11"/>
  <c r="BD321" i="11"/>
  <c r="BE321" i="11"/>
  <c r="BF321" i="11"/>
  <c r="BG321" i="11"/>
  <c r="BH321" i="11"/>
  <c r="BI321" i="11"/>
  <c r="BJ321" i="11"/>
  <c r="BK321" i="11"/>
  <c r="BL321" i="11"/>
  <c r="BM321" i="11"/>
  <c r="BN321" i="11"/>
  <c r="BO321" i="11"/>
  <c r="BP321" i="11"/>
  <c r="BQ321" i="11"/>
  <c r="BR321" i="11"/>
  <c r="BS321" i="11"/>
  <c r="BT321" i="11"/>
  <c r="BU321" i="11"/>
  <c r="BV321" i="11"/>
  <c r="BW321" i="11"/>
  <c r="BX321" i="11"/>
  <c r="BY321" i="11"/>
  <c r="BZ321" i="11"/>
  <c r="CA321" i="11"/>
  <c r="CB321" i="11"/>
  <c r="CC321" i="11"/>
  <c r="CD321" i="11"/>
  <c r="CE321" i="11"/>
  <c r="CF321" i="11"/>
  <c r="CG321" i="11"/>
  <c r="CH321" i="11"/>
  <c r="CI321" i="11"/>
  <c r="CJ321" i="11"/>
  <c r="CK321" i="11"/>
  <c r="CL321" i="11"/>
  <c r="CM321" i="11"/>
  <c r="CN321" i="11"/>
  <c r="CO321" i="11"/>
  <c r="CP321" i="11"/>
  <c r="CQ321" i="11"/>
  <c r="CR321" i="11"/>
  <c r="CS321" i="11"/>
  <c r="CT321" i="11"/>
  <c r="CU321" i="11"/>
  <c r="CV321" i="11"/>
  <c r="CW321" i="11"/>
  <c r="CX321" i="11"/>
  <c r="CY321" i="11"/>
  <c r="CZ321" i="11"/>
  <c r="DA321" i="11"/>
  <c r="DB321" i="11"/>
  <c r="DC321" i="11"/>
  <c r="DD321" i="11"/>
  <c r="DE321" i="11"/>
  <c r="DF321" i="11"/>
  <c r="DG321" i="11"/>
  <c r="DH321" i="11"/>
  <c r="DI321" i="11"/>
  <c r="DJ321" i="11"/>
  <c r="DK321" i="11"/>
  <c r="DL321" i="11"/>
  <c r="DM321" i="11"/>
  <c r="DN321" i="11"/>
  <c r="DO321" i="11"/>
  <c r="DP321" i="11"/>
  <c r="DQ321" i="11"/>
  <c r="DR321" i="11"/>
  <c r="DS321" i="11"/>
  <c r="DT321" i="11"/>
  <c r="DU321" i="11"/>
  <c r="DV321" i="11"/>
  <c r="DW321" i="11"/>
  <c r="DX321" i="11"/>
  <c r="DY321" i="11"/>
  <c r="DZ321" i="11"/>
  <c r="EA321" i="11"/>
  <c r="EB321" i="11"/>
  <c r="EC321" i="11"/>
  <c r="ED321" i="11"/>
  <c r="EE321" i="11"/>
  <c r="EF321" i="11"/>
  <c r="EG321" i="11"/>
  <c r="EH321" i="11"/>
  <c r="EI321" i="11"/>
  <c r="EJ321" i="11"/>
  <c r="EK321" i="11"/>
  <c r="EL321" i="11"/>
  <c r="EM321" i="11"/>
  <c r="EN321" i="11"/>
  <c r="EO321" i="11"/>
  <c r="EP321" i="11"/>
  <c r="EQ321" i="11"/>
  <c r="ER321" i="11"/>
  <c r="ES321" i="11"/>
  <c r="ET321" i="11"/>
  <c r="EU321" i="11"/>
  <c r="EV321" i="11"/>
  <c r="EW321" i="11"/>
  <c r="EX321" i="11"/>
  <c r="EY321" i="11"/>
  <c r="EZ321" i="11"/>
  <c r="FA321" i="11"/>
  <c r="FB321" i="11"/>
  <c r="FC321" i="11"/>
  <c r="FD321" i="11"/>
  <c r="FE321" i="11"/>
  <c r="FF321" i="11"/>
  <c r="FG321" i="11"/>
  <c r="FH321" i="11"/>
  <c r="FI321" i="11"/>
  <c r="FJ321" i="11"/>
  <c r="FK321" i="11"/>
  <c r="FL321" i="11"/>
  <c r="FM321" i="11"/>
  <c r="FN321" i="11"/>
  <c r="FO321" i="11"/>
  <c r="FP321" i="11"/>
  <c r="FQ321" i="11"/>
  <c r="FR321" i="11"/>
  <c r="FS321" i="11"/>
  <c r="FT321" i="11"/>
  <c r="FU321" i="11"/>
  <c r="FV321" i="11"/>
  <c r="FW321" i="11"/>
  <c r="FX321" i="11"/>
  <c r="FY321" i="11"/>
  <c r="FZ321" i="11"/>
  <c r="GA321" i="11"/>
  <c r="GB321" i="11"/>
  <c r="GC321" i="11"/>
  <c r="GD321" i="11"/>
  <c r="GE321" i="11"/>
  <c r="GF321" i="11"/>
  <c r="GG321" i="11"/>
  <c r="GH321" i="11"/>
  <c r="GI321" i="11"/>
  <c r="GJ321" i="11"/>
  <c r="GK321" i="11"/>
  <c r="GL321" i="11"/>
  <c r="GM321" i="11"/>
  <c r="GN321" i="11"/>
  <c r="GO321" i="11"/>
  <c r="GP321" i="11"/>
  <c r="GQ321" i="11"/>
  <c r="GR321" i="11"/>
  <c r="GS321" i="11"/>
  <c r="GT321" i="11"/>
  <c r="GU321" i="11"/>
  <c r="GV321" i="11"/>
  <c r="GW321" i="11"/>
  <c r="GX321" i="11"/>
  <c r="GY321" i="11"/>
  <c r="GZ321" i="11"/>
  <c r="HA321" i="11"/>
  <c r="HB321" i="11"/>
  <c r="HC321" i="11"/>
  <c r="HD321" i="11"/>
  <c r="HE321" i="11"/>
  <c r="HF321" i="11"/>
  <c r="HG321" i="11"/>
  <c r="HH321" i="11"/>
  <c r="HI321" i="11"/>
  <c r="HJ321" i="11"/>
  <c r="HK321" i="11"/>
  <c r="HL321" i="11"/>
  <c r="HM321" i="11"/>
  <c r="HN321" i="11"/>
  <c r="HO321" i="11"/>
  <c r="HP321" i="11"/>
  <c r="HQ321" i="11"/>
  <c r="HR321" i="11"/>
  <c r="HS321" i="11"/>
  <c r="HT321" i="11"/>
  <c r="HU321" i="11"/>
  <c r="HV321" i="11"/>
  <c r="HW321" i="11"/>
  <c r="HX321" i="11"/>
  <c r="HY321" i="11"/>
  <c r="HZ321" i="11"/>
  <c r="IA321" i="11"/>
  <c r="IB321" i="11"/>
  <c r="IC321" i="11"/>
  <c r="ID321" i="11"/>
  <c r="IE321" i="11"/>
  <c r="IF321" i="11"/>
  <c r="IG321" i="11"/>
  <c r="IH321" i="11"/>
  <c r="II321" i="11"/>
  <c r="IJ321" i="11"/>
  <c r="IK321" i="11"/>
  <c r="IL321" i="11"/>
  <c r="IM321" i="11"/>
  <c r="IN321" i="11"/>
  <c r="IO321" i="11"/>
  <c r="IP321" i="11"/>
  <c r="IQ321" i="11"/>
  <c r="IR321" i="11"/>
  <c r="IS321" i="11"/>
  <c r="IT321" i="11"/>
  <c r="IU321" i="11"/>
  <c r="IV321" i="11"/>
  <c r="F322" i="11"/>
  <c r="G322" i="11"/>
  <c r="H322" i="11"/>
  <c r="I322" i="11"/>
  <c r="J322" i="11"/>
  <c r="K322" i="11"/>
  <c r="L322" i="11"/>
  <c r="M322" i="11"/>
  <c r="N322" i="11"/>
  <c r="O322" i="11"/>
  <c r="P322" i="11"/>
  <c r="Q322" i="11"/>
  <c r="R322" i="11"/>
  <c r="S322" i="11"/>
  <c r="T322" i="11"/>
  <c r="U322" i="11"/>
  <c r="V322" i="11"/>
  <c r="W322" i="11"/>
  <c r="X322" i="11"/>
  <c r="Y322" i="11"/>
  <c r="Z322" i="11"/>
  <c r="AA322" i="11"/>
  <c r="AB322" i="11"/>
  <c r="AC322" i="11"/>
  <c r="AD322" i="11"/>
  <c r="AE322" i="11"/>
  <c r="AF322" i="11"/>
  <c r="AG322" i="11"/>
  <c r="AH322" i="11"/>
  <c r="AI322" i="11"/>
  <c r="AJ322" i="11"/>
  <c r="AK322" i="11"/>
  <c r="AL322" i="11"/>
  <c r="AM322" i="11"/>
  <c r="AN322" i="11"/>
  <c r="AO322" i="11"/>
  <c r="AP322" i="11"/>
  <c r="AQ322" i="11"/>
  <c r="AR322" i="11"/>
  <c r="AS322" i="11"/>
  <c r="AT322" i="11"/>
  <c r="AU322" i="11"/>
  <c r="AV322" i="11"/>
  <c r="AW322" i="11"/>
  <c r="AX322" i="11"/>
  <c r="AY322" i="11"/>
  <c r="AZ322" i="11"/>
  <c r="BA322" i="11"/>
  <c r="BB322" i="11"/>
  <c r="BC322" i="11"/>
  <c r="BD322" i="11"/>
  <c r="BE322" i="11"/>
  <c r="BF322" i="11"/>
  <c r="BG322" i="11"/>
  <c r="BH322" i="11"/>
  <c r="BI322" i="11"/>
  <c r="BJ322" i="11"/>
  <c r="BK322" i="11"/>
  <c r="BL322" i="11"/>
  <c r="BM322" i="11"/>
  <c r="BN322" i="11"/>
  <c r="BO322" i="11"/>
  <c r="BP322" i="11"/>
  <c r="BQ322" i="11"/>
  <c r="BR322" i="11"/>
  <c r="BS322" i="11"/>
  <c r="BT322" i="11"/>
  <c r="BU322" i="11"/>
  <c r="BV322" i="11"/>
  <c r="BW322" i="11"/>
  <c r="BX322" i="11"/>
  <c r="BY322" i="11"/>
  <c r="BZ322" i="11"/>
  <c r="CA322" i="11"/>
  <c r="CB322" i="11"/>
  <c r="CC322" i="11"/>
  <c r="CD322" i="11"/>
  <c r="CE322" i="11"/>
  <c r="CF322" i="11"/>
  <c r="CG322" i="11"/>
  <c r="CH322" i="11"/>
  <c r="CI322" i="11"/>
  <c r="CJ322" i="11"/>
  <c r="CK322" i="11"/>
  <c r="CL322" i="11"/>
  <c r="CM322" i="11"/>
  <c r="CN322" i="11"/>
  <c r="CO322" i="11"/>
  <c r="CP322" i="11"/>
  <c r="CQ322" i="11"/>
  <c r="CR322" i="11"/>
  <c r="CS322" i="11"/>
  <c r="CT322" i="11"/>
  <c r="CU322" i="11"/>
  <c r="CV322" i="11"/>
  <c r="CW322" i="11"/>
  <c r="CX322" i="11"/>
  <c r="CY322" i="11"/>
  <c r="CZ322" i="11"/>
  <c r="DA322" i="11"/>
  <c r="DB322" i="11"/>
  <c r="DC322" i="11"/>
  <c r="DD322" i="11"/>
  <c r="DE322" i="11"/>
  <c r="DF322" i="11"/>
  <c r="DG322" i="11"/>
  <c r="DH322" i="11"/>
  <c r="DI322" i="11"/>
  <c r="DJ322" i="11"/>
  <c r="DK322" i="11"/>
  <c r="DL322" i="11"/>
  <c r="DM322" i="11"/>
  <c r="DN322" i="11"/>
  <c r="DO322" i="11"/>
  <c r="DP322" i="11"/>
  <c r="DQ322" i="11"/>
  <c r="DR322" i="11"/>
  <c r="DS322" i="11"/>
  <c r="DT322" i="11"/>
  <c r="DU322" i="11"/>
  <c r="DV322" i="11"/>
  <c r="DW322" i="11"/>
  <c r="DX322" i="11"/>
  <c r="DY322" i="11"/>
  <c r="DZ322" i="11"/>
  <c r="EA322" i="11"/>
  <c r="EB322" i="11"/>
  <c r="EC322" i="11"/>
  <c r="ED322" i="11"/>
  <c r="EE322" i="11"/>
  <c r="EF322" i="11"/>
  <c r="EG322" i="11"/>
  <c r="EH322" i="11"/>
  <c r="EI322" i="11"/>
  <c r="EJ322" i="11"/>
  <c r="EK322" i="11"/>
  <c r="EL322" i="11"/>
  <c r="EM322" i="11"/>
  <c r="EN322" i="11"/>
  <c r="EO322" i="11"/>
  <c r="EP322" i="11"/>
  <c r="EQ322" i="11"/>
  <c r="ER322" i="11"/>
  <c r="ES322" i="11"/>
  <c r="ET322" i="11"/>
  <c r="EU322" i="11"/>
  <c r="EV322" i="11"/>
  <c r="EW322" i="11"/>
  <c r="EX322" i="11"/>
  <c r="EY322" i="11"/>
  <c r="EZ322" i="11"/>
  <c r="FA322" i="11"/>
  <c r="FB322" i="11"/>
  <c r="FC322" i="11"/>
  <c r="FD322" i="11"/>
  <c r="FE322" i="11"/>
  <c r="FF322" i="11"/>
  <c r="FG322" i="11"/>
  <c r="FH322" i="11"/>
  <c r="FI322" i="11"/>
  <c r="FJ322" i="11"/>
  <c r="FK322" i="11"/>
  <c r="FL322" i="11"/>
  <c r="FM322" i="11"/>
  <c r="FN322" i="11"/>
  <c r="FO322" i="11"/>
  <c r="FP322" i="11"/>
  <c r="FQ322" i="11"/>
  <c r="FR322" i="11"/>
  <c r="FS322" i="11"/>
  <c r="FT322" i="11"/>
  <c r="FU322" i="11"/>
  <c r="FV322" i="11"/>
  <c r="FW322" i="11"/>
  <c r="FX322" i="11"/>
  <c r="FY322" i="11"/>
  <c r="FZ322" i="11"/>
  <c r="GA322" i="11"/>
  <c r="GB322" i="11"/>
  <c r="GC322" i="11"/>
  <c r="GD322" i="11"/>
  <c r="GE322" i="11"/>
  <c r="GF322" i="11"/>
  <c r="GG322" i="11"/>
  <c r="GH322" i="11"/>
  <c r="GI322" i="11"/>
  <c r="GJ322" i="11"/>
  <c r="GK322" i="11"/>
  <c r="GL322" i="11"/>
  <c r="GM322" i="11"/>
  <c r="GN322" i="11"/>
  <c r="GO322" i="11"/>
  <c r="GP322" i="11"/>
  <c r="GQ322" i="11"/>
  <c r="GR322" i="11"/>
  <c r="GS322" i="11"/>
  <c r="GT322" i="11"/>
  <c r="GU322" i="11"/>
  <c r="GV322" i="11"/>
  <c r="GW322" i="11"/>
  <c r="GX322" i="11"/>
  <c r="GY322" i="11"/>
  <c r="GZ322" i="11"/>
  <c r="HA322" i="11"/>
  <c r="HB322" i="11"/>
  <c r="HC322" i="11"/>
  <c r="HD322" i="11"/>
  <c r="HE322" i="11"/>
  <c r="HF322" i="11"/>
  <c r="HG322" i="11"/>
  <c r="HH322" i="11"/>
  <c r="HI322" i="11"/>
  <c r="HJ322" i="11"/>
  <c r="HK322" i="11"/>
  <c r="HL322" i="11"/>
  <c r="HM322" i="11"/>
  <c r="HN322" i="11"/>
  <c r="HO322" i="11"/>
  <c r="HP322" i="11"/>
  <c r="HQ322" i="11"/>
  <c r="HR322" i="11"/>
  <c r="HS322" i="11"/>
  <c r="HT322" i="11"/>
  <c r="HU322" i="11"/>
  <c r="HV322" i="11"/>
  <c r="HW322" i="11"/>
  <c r="HX322" i="11"/>
  <c r="HY322" i="11"/>
  <c r="HZ322" i="11"/>
  <c r="IA322" i="11"/>
  <c r="IB322" i="11"/>
  <c r="IC322" i="11"/>
  <c r="ID322" i="11"/>
  <c r="IE322" i="11"/>
  <c r="IF322" i="11"/>
  <c r="IG322" i="11"/>
  <c r="IH322" i="11"/>
  <c r="II322" i="11"/>
  <c r="IJ322" i="11"/>
  <c r="IK322" i="11"/>
  <c r="IL322" i="11"/>
  <c r="IM322" i="11"/>
  <c r="IN322" i="11"/>
  <c r="IO322" i="11"/>
  <c r="IP322" i="11"/>
  <c r="IQ322" i="11"/>
  <c r="IR322" i="11"/>
  <c r="IS322" i="11"/>
  <c r="IT322" i="11"/>
  <c r="IU322" i="11"/>
  <c r="IV322" i="11"/>
  <c r="F323" i="11"/>
  <c r="G323" i="11"/>
  <c r="H323" i="11"/>
  <c r="I323" i="11"/>
  <c r="J323" i="11"/>
  <c r="K323" i="11"/>
  <c r="L323" i="11"/>
  <c r="M323" i="11"/>
  <c r="N323" i="11"/>
  <c r="O323" i="11"/>
  <c r="P323" i="11"/>
  <c r="Q323" i="11"/>
  <c r="R323" i="11"/>
  <c r="S323" i="11"/>
  <c r="T323" i="11"/>
  <c r="U323" i="11"/>
  <c r="V323" i="11"/>
  <c r="W323" i="11"/>
  <c r="X323" i="11"/>
  <c r="Y323" i="11"/>
  <c r="Z323" i="11"/>
  <c r="AA323" i="11"/>
  <c r="AB323" i="11"/>
  <c r="AC323" i="11"/>
  <c r="AD323" i="11"/>
  <c r="AE323" i="11"/>
  <c r="AF323" i="11"/>
  <c r="AG323" i="11"/>
  <c r="AH323" i="11"/>
  <c r="AI323" i="11"/>
  <c r="AJ323" i="11"/>
  <c r="AK323" i="11"/>
  <c r="AL323" i="11"/>
  <c r="AM323" i="11"/>
  <c r="AN323" i="11"/>
  <c r="AO323" i="11"/>
  <c r="AP323" i="11"/>
  <c r="AQ323" i="11"/>
  <c r="AR323" i="11"/>
  <c r="AS323" i="11"/>
  <c r="AT323" i="11"/>
  <c r="AU323" i="11"/>
  <c r="AV323" i="11"/>
  <c r="AW323" i="11"/>
  <c r="AX323" i="11"/>
  <c r="AY323" i="11"/>
  <c r="AZ323" i="11"/>
  <c r="BA323" i="11"/>
  <c r="BB323" i="11"/>
  <c r="BC323" i="11"/>
  <c r="BD323" i="11"/>
  <c r="BE323" i="11"/>
  <c r="BF323" i="11"/>
  <c r="BG323" i="11"/>
  <c r="BH323" i="11"/>
  <c r="BI323" i="11"/>
  <c r="BJ323" i="11"/>
  <c r="BK323" i="11"/>
  <c r="BL323" i="11"/>
  <c r="BM323" i="11"/>
  <c r="BN323" i="11"/>
  <c r="BO323" i="11"/>
  <c r="BP323" i="11"/>
  <c r="BQ323" i="11"/>
  <c r="BR323" i="11"/>
  <c r="BS323" i="11"/>
  <c r="BT323" i="11"/>
  <c r="BU323" i="11"/>
  <c r="BV323" i="11"/>
  <c r="BW323" i="11"/>
  <c r="BX323" i="11"/>
  <c r="BY323" i="11"/>
  <c r="BZ323" i="11"/>
  <c r="CA323" i="11"/>
  <c r="CB323" i="11"/>
  <c r="CC323" i="11"/>
  <c r="CD323" i="11"/>
  <c r="CE323" i="11"/>
  <c r="CF323" i="11"/>
  <c r="CG323" i="11"/>
  <c r="CH323" i="11"/>
  <c r="CI323" i="11"/>
  <c r="CJ323" i="11"/>
  <c r="CK323" i="11"/>
  <c r="CL323" i="11"/>
  <c r="CM323" i="11"/>
  <c r="CN323" i="11"/>
  <c r="CO323" i="11"/>
  <c r="CP323" i="11"/>
  <c r="CQ323" i="11"/>
  <c r="CR323" i="11"/>
  <c r="CS323" i="11"/>
  <c r="CT323" i="11"/>
  <c r="CU323" i="11"/>
  <c r="CV323" i="11"/>
  <c r="CW323" i="11"/>
  <c r="CX323" i="11"/>
  <c r="CY323" i="11"/>
  <c r="CZ323" i="11"/>
  <c r="DA323" i="11"/>
  <c r="DB323" i="11"/>
  <c r="DC323" i="11"/>
  <c r="DD323" i="11"/>
  <c r="DE323" i="11"/>
  <c r="DF323" i="11"/>
  <c r="DG323" i="11"/>
  <c r="DH323" i="11"/>
  <c r="DI323" i="11"/>
  <c r="DJ323" i="11"/>
  <c r="DK323" i="11"/>
  <c r="DL323" i="11"/>
  <c r="DM323" i="11"/>
  <c r="DN323" i="11"/>
  <c r="DO323" i="11"/>
  <c r="DP323" i="11"/>
  <c r="DQ323" i="11"/>
  <c r="DR323" i="11"/>
  <c r="DS323" i="11"/>
  <c r="DT323" i="11"/>
  <c r="DU323" i="11"/>
  <c r="DV323" i="11"/>
  <c r="DW323" i="11"/>
  <c r="DX323" i="11"/>
  <c r="DY323" i="11"/>
  <c r="DZ323" i="11"/>
  <c r="EA323" i="11"/>
  <c r="EB323" i="11"/>
  <c r="EC323" i="11"/>
  <c r="ED323" i="11"/>
  <c r="EE323" i="11"/>
  <c r="EF323" i="11"/>
  <c r="EG323" i="11"/>
  <c r="EH323" i="11"/>
  <c r="EI323" i="11"/>
  <c r="EJ323" i="11"/>
  <c r="EK323" i="11"/>
  <c r="EL323" i="11"/>
  <c r="EM323" i="11"/>
  <c r="EN323" i="11"/>
  <c r="EO323" i="11"/>
  <c r="EP323" i="11"/>
  <c r="EQ323" i="11"/>
  <c r="ER323" i="11"/>
  <c r="ES323" i="11"/>
  <c r="ET323" i="11"/>
  <c r="EU323" i="11"/>
  <c r="EV323" i="11"/>
  <c r="EW323" i="11"/>
  <c r="EX323" i="11"/>
  <c r="EY323" i="11"/>
  <c r="EZ323" i="11"/>
  <c r="FA323" i="11"/>
  <c r="FB323" i="11"/>
  <c r="FC323" i="11"/>
  <c r="FD323" i="11"/>
  <c r="FE323" i="11"/>
  <c r="FF323" i="11"/>
  <c r="FG323" i="11"/>
  <c r="FH323" i="11"/>
  <c r="FI323" i="11"/>
  <c r="FJ323" i="11"/>
  <c r="FK323" i="11"/>
  <c r="FL323" i="11"/>
  <c r="FM323" i="11"/>
  <c r="FN323" i="11"/>
  <c r="FO323" i="11"/>
  <c r="FP323" i="11"/>
  <c r="FQ323" i="11"/>
  <c r="FR323" i="11"/>
  <c r="FS323" i="11"/>
  <c r="FT323" i="11"/>
  <c r="FU323" i="11"/>
  <c r="FV323" i="11"/>
  <c r="FW323" i="11"/>
  <c r="FX323" i="11"/>
  <c r="FY323" i="11"/>
  <c r="FZ323" i="11"/>
  <c r="GA323" i="11"/>
  <c r="GB323" i="11"/>
  <c r="GC323" i="11"/>
  <c r="GD323" i="11"/>
  <c r="GE323" i="11"/>
  <c r="GF323" i="11"/>
  <c r="GG323" i="11"/>
  <c r="GH323" i="11"/>
  <c r="GI323" i="11"/>
  <c r="GJ323" i="11"/>
  <c r="GK323" i="11"/>
  <c r="GL323" i="11"/>
  <c r="GM323" i="11"/>
  <c r="GN323" i="11"/>
  <c r="GO323" i="11"/>
  <c r="GP323" i="11"/>
  <c r="GQ323" i="11"/>
  <c r="GR323" i="11"/>
  <c r="GS323" i="11"/>
  <c r="GT323" i="11"/>
  <c r="GU323" i="11"/>
  <c r="GV323" i="11"/>
  <c r="GW323" i="11"/>
  <c r="GX323" i="11"/>
  <c r="GY323" i="11"/>
  <c r="GZ323" i="11"/>
  <c r="HA323" i="11"/>
  <c r="HB323" i="11"/>
  <c r="HC323" i="11"/>
  <c r="HD323" i="11"/>
  <c r="HE323" i="11"/>
  <c r="HF323" i="11"/>
  <c r="HG323" i="11"/>
  <c r="HH323" i="11"/>
  <c r="HI323" i="11"/>
  <c r="HJ323" i="11"/>
  <c r="HK323" i="11"/>
  <c r="HL323" i="11"/>
  <c r="HM323" i="11"/>
  <c r="HN323" i="11"/>
  <c r="HO323" i="11"/>
  <c r="HP323" i="11"/>
  <c r="HQ323" i="11"/>
  <c r="HR323" i="11"/>
  <c r="HS323" i="11"/>
  <c r="HT323" i="11"/>
  <c r="HU323" i="11"/>
  <c r="HV323" i="11"/>
  <c r="HW323" i="11"/>
  <c r="HX323" i="11"/>
  <c r="HY323" i="11"/>
  <c r="HZ323" i="11"/>
  <c r="IA323" i="11"/>
  <c r="IB323" i="11"/>
  <c r="IC323" i="11"/>
  <c r="ID323" i="11"/>
  <c r="IE323" i="11"/>
  <c r="IF323" i="11"/>
  <c r="IG323" i="11"/>
  <c r="IH323" i="11"/>
  <c r="II323" i="11"/>
  <c r="IJ323" i="11"/>
  <c r="IK323" i="11"/>
  <c r="IL323" i="11"/>
  <c r="IM323" i="11"/>
  <c r="IN323" i="11"/>
  <c r="IO323" i="11"/>
  <c r="IP323" i="11"/>
  <c r="IQ323" i="11"/>
  <c r="IR323" i="11"/>
  <c r="IS323" i="11"/>
  <c r="IT323" i="11"/>
  <c r="IU323" i="11"/>
  <c r="IV323" i="11"/>
  <c r="F324" i="11"/>
  <c r="G324" i="11"/>
  <c r="H324" i="11"/>
  <c r="I324" i="11"/>
  <c r="J324" i="11"/>
  <c r="K324" i="11"/>
  <c r="L324" i="11"/>
  <c r="M324" i="11"/>
  <c r="N324" i="11"/>
  <c r="O324" i="11"/>
  <c r="P324" i="11"/>
  <c r="Q324" i="11"/>
  <c r="R324" i="11"/>
  <c r="S324" i="11"/>
  <c r="T324" i="11"/>
  <c r="U324" i="11"/>
  <c r="V324" i="11"/>
  <c r="W324" i="11"/>
  <c r="X324" i="11"/>
  <c r="Y324" i="11"/>
  <c r="Z324" i="11"/>
  <c r="AA324" i="11"/>
  <c r="AB324" i="11"/>
  <c r="AC324" i="11"/>
  <c r="AD324" i="11"/>
  <c r="AE324" i="11"/>
  <c r="AF324" i="11"/>
  <c r="AG324" i="11"/>
  <c r="AH324" i="11"/>
  <c r="AI324" i="11"/>
  <c r="AJ324" i="11"/>
  <c r="AK324" i="11"/>
  <c r="AL324" i="11"/>
  <c r="AM324" i="11"/>
  <c r="AN324" i="11"/>
  <c r="AO324" i="11"/>
  <c r="AP324" i="11"/>
  <c r="AQ324" i="11"/>
  <c r="AR324" i="11"/>
  <c r="AS324" i="11"/>
  <c r="AT324" i="11"/>
  <c r="AU324" i="11"/>
  <c r="AV324" i="11"/>
  <c r="AW324" i="11"/>
  <c r="AX324" i="11"/>
  <c r="AY324" i="11"/>
  <c r="AZ324" i="11"/>
  <c r="BA324" i="11"/>
  <c r="BB324" i="11"/>
  <c r="BC324" i="11"/>
  <c r="BD324" i="11"/>
  <c r="BE324" i="11"/>
  <c r="BF324" i="11"/>
  <c r="BG324" i="11"/>
  <c r="BH324" i="11"/>
  <c r="BI324" i="11"/>
  <c r="BJ324" i="11"/>
  <c r="BK324" i="11"/>
  <c r="BL324" i="11"/>
  <c r="BM324" i="11"/>
  <c r="BN324" i="11"/>
  <c r="BO324" i="11"/>
  <c r="BP324" i="11"/>
  <c r="BQ324" i="11"/>
  <c r="BR324" i="11"/>
  <c r="BS324" i="11"/>
  <c r="BT324" i="11"/>
  <c r="BU324" i="11"/>
  <c r="BV324" i="11"/>
  <c r="BW324" i="11"/>
  <c r="BX324" i="11"/>
  <c r="BY324" i="11"/>
  <c r="BZ324" i="11"/>
  <c r="CA324" i="11"/>
  <c r="CB324" i="11"/>
  <c r="CC324" i="11"/>
  <c r="CD324" i="11"/>
  <c r="CE324" i="11"/>
  <c r="CF324" i="11"/>
  <c r="CG324" i="11"/>
  <c r="CH324" i="11"/>
  <c r="CI324" i="11"/>
  <c r="CJ324" i="11"/>
  <c r="CK324" i="11"/>
  <c r="CL324" i="11"/>
  <c r="CM324" i="11"/>
  <c r="CN324" i="11"/>
  <c r="CO324" i="11"/>
  <c r="CP324" i="11"/>
  <c r="CQ324" i="11"/>
  <c r="CR324" i="11"/>
  <c r="CS324" i="11"/>
  <c r="CT324" i="11"/>
  <c r="CU324" i="11"/>
  <c r="CV324" i="11"/>
  <c r="CW324" i="11"/>
  <c r="CX324" i="11"/>
  <c r="CY324" i="11"/>
  <c r="CZ324" i="11"/>
  <c r="DA324" i="11"/>
  <c r="DB324" i="11"/>
  <c r="DC324" i="11"/>
  <c r="DD324" i="11"/>
  <c r="DE324" i="11"/>
  <c r="DF324" i="11"/>
  <c r="DG324" i="11"/>
  <c r="DH324" i="11"/>
  <c r="DI324" i="11"/>
  <c r="DJ324" i="11"/>
  <c r="DK324" i="11"/>
  <c r="DL324" i="11"/>
  <c r="DM324" i="11"/>
  <c r="DN324" i="11"/>
  <c r="DO324" i="11"/>
  <c r="DP324" i="11"/>
  <c r="DQ324" i="11"/>
  <c r="DR324" i="11"/>
  <c r="DS324" i="11"/>
  <c r="DT324" i="11"/>
  <c r="DU324" i="11"/>
  <c r="DV324" i="11"/>
  <c r="DW324" i="11"/>
  <c r="DX324" i="11"/>
  <c r="DY324" i="11"/>
  <c r="DZ324" i="11"/>
  <c r="EA324" i="11"/>
  <c r="EB324" i="11"/>
  <c r="EC324" i="11"/>
  <c r="ED324" i="11"/>
  <c r="EE324" i="11"/>
  <c r="EF324" i="11"/>
  <c r="EG324" i="11"/>
  <c r="EH324" i="11"/>
  <c r="EI324" i="11"/>
  <c r="EJ324" i="11"/>
  <c r="EK324" i="11"/>
  <c r="EL324" i="11"/>
  <c r="EM324" i="11"/>
  <c r="EN324" i="11"/>
  <c r="EO324" i="11"/>
  <c r="EP324" i="11"/>
  <c r="EQ324" i="11"/>
  <c r="ER324" i="11"/>
  <c r="ES324" i="11"/>
  <c r="ET324" i="11"/>
  <c r="EU324" i="11"/>
  <c r="EV324" i="11"/>
  <c r="EW324" i="11"/>
  <c r="EX324" i="11"/>
  <c r="EY324" i="11"/>
  <c r="EZ324" i="11"/>
  <c r="FA324" i="11"/>
  <c r="FB324" i="11"/>
  <c r="FC324" i="11"/>
  <c r="FD324" i="11"/>
  <c r="FE324" i="11"/>
  <c r="FF324" i="11"/>
  <c r="FG324" i="11"/>
  <c r="FH324" i="11"/>
  <c r="FI324" i="11"/>
  <c r="FJ324" i="11"/>
  <c r="FK324" i="11"/>
  <c r="FL324" i="11"/>
  <c r="FM324" i="11"/>
  <c r="FN324" i="11"/>
  <c r="FO324" i="11"/>
  <c r="FP324" i="11"/>
  <c r="FQ324" i="11"/>
  <c r="FR324" i="11"/>
  <c r="FS324" i="11"/>
  <c r="FT324" i="11"/>
  <c r="FU324" i="11"/>
  <c r="FV324" i="11"/>
  <c r="FW324" i="11"/>
  <c r="FX324" i="11"/>
  <c r="FY324" i="11"/>
  <c r="FZ324" i="11"/>
  <c r="GA324" i="11"/>
  <c r="GB324" i="11"/>
  <c r="GC324" i="11"/>
  <c r="GD324" i="11"/>
  <c r="GE324" i="11"/>
  <c r="GF324" i="11"/>
  <c r="GG324" i="11"/>
  <c r="GH324" i="11"/>
  <c r="GI324" i="11"/>
  <c r="GJ324" i="11"/>
  <c r="GK324" i="11"/>
  <c r="GL324" i="11"/>
  <c r="GM324" i="11"/>
  <c r="GN324" i="11"/>
  <c r="GO324" i="11"/>
  <c r="GP324" i="11"/>
  <c r="GQ324" i="11"/>
  <c r="GR324" i="11"/>
  <c r="GS324" i="11"/>
  <c r="GT324" i="11"/>
  <c r="GU324" i="11"/>
  <c r="GV324" i="11"/>
  <c r="GW324" i="11"/>
  <c r="GX324" i="11"/>
  <c r="GY324" i="11"/>
  <c r="GZ324" i="11"/>
  <c r="HA324" i="11"/>
  <c r="HB324" i="11"/>
  <c r="HC324" i="11"/>
  <c r="HD324" i="11"/>
  <c r="HE324" i="11"/>
  <c r="HF324" i="11"/>
  <c r="HG324" i="11"/>
  <c r="HH324" i="11"/>
  <c r="HI324" i="11"/>
  <c r="HJ324" i="11"/>
  <c r="HK324" i="11"/>
  <c r="HL324" i="11"/>
  <c r="HM324" i="11"/>
  <c r="HN324" i="11"/>
  <c r="HO324" i="11"/>
  <c r="HP324" i="11"/>
  <c r="HQ324" i="11"/>
  <c r="HR324" i="11"/>
  <c r="HS324" i="11"/>
  <c r="HT324" i="11"/>
  <c r="HU324" i="11"/>
  <c r="HV324" i="11"/>
  <c r="HW324" i="11"/>
  <c r="HX324" i="11"/>
  <c r="HY324" i="11"/>
  <c r="HZ324" i="11"/>
  <c r="IA324" i="11"/>
  <c r="IB324" i="11"/>
  <c r="IC324" i="11"/>
  <c r="ID324" i="11"/>
  <c r="IE324" i="11"/>
  <c r="IF324" i="11"/>
  <c r="IG324" i="11"/>
  <c r="IH324" i="11"/>
  <c r="II324" i="11"/>
  <c r="IJ324" i="11"/>
  <c r="IK324" i="11"/>
  <c r="IL324" i="11"/>
  <c r="IM324" i="11"/>
  <c r="IN324" i="11"/>
  <c r="IO324" i="11"/>
  <c r="IP324" i="11"/>
  <c r="IQ324" i="11"/>
  <c r="IR324" i="11"/>
  <c r="IS324" i="11"/>
  <c r="IT324" i="11"/>
  <c r="IU324" i="11"/>
  <c r="IV324" i="11"/>
  <c r="F325" i="11"/>
  <c r="G325" i="11"/>
  <c r="H325" i="11"/>
  <c r="I325" i="11"/>
  <c r="J325" i="11"/>
  <c r="K325" i="11"/>
  <c r="L325" i="11"/>
  <c r="M325" i="11"/>
  <c r="N325" i="11"/>
  <c r="O325" i="11"/>
  <c r="P325" i="11"/>
  <c r="Q325" i="11"/>
  <c r="R325" i="11"/>
  <c r="S325" i="11"/>
  <c r="T325" i="11"/>
  <c r="U325" i="11"/>
  <c r="V325" i="11"/>
  <c r="W325" i="11"/>
  <c r="X325" i="11"/>
  <c r="Y325" i="11"/>
  <c r="Z325" i="11"/>
  <c r="AA325" i="11"/>
  <c r="AB325" i="11"/>
  <c r="AC325" i="11"/>
  <c r="AD325" i="11"/>
  <c r="AE325" i="11"/>
  <c r="AF325" i="11"/>
  <c r="AG325" i="11"/>
  <c r="AH325" i="11"/>
  <c r="AI325" i="11"/>
  <c r="AJ325" i="11"/>
  <c r="AK325" i="11"/>
  <c r="AL325" i="11"/>
  <c r="AM325" i="11"/>
  <c r="AN325" i="11"/>
  <c r="AO325" i="11"/>
  <c r="AP325" i="11"/>
  <c r="AQ325" i="11"/>
  <c r="AR325" i="11"/>
  <c r="AS325" i="11"/>
  <c r="AT325" i="11"/>
  <c r="AU325" i="11"/>
  <c r="AV325" i="11"/>
  <c r="AW325" i="11"/>
  <c r="AX325" i="11"/>
  <c r="AY325" i="11"/>
  <c r="AZ325" i="11"/>
  <c r="BA325" i="11"/>
  <c r="BB325" i="11"/>
  <c r="BC325" i="11"/>
  <c r="BD325" i="11"/>
  <c r="BE325" i="11"/>
  <c r="BF325" i="11"/>
  <c r="BG325" i="11"/>
  <c r="BH325" i="11"/>
  <c r="BI325" i="11"/>
  <c r="BJ325" i="11"/>
  <c r="BK325" i="11"/>
  <c r="BL325" i="11"/>
  <c r="BM325" i="11"/>
  <c r="BN325" i="11"/>
  <c r="BO325" i="11"/>
  <c r="BP325" i="11"/>
  <c r="BQ325" i="11"/>
  <c r="BR325" i="11"/>
  <c r="BS325" i="11"/>
  <c r="BT325" i="11"/>
  <c r="BU325" i="11"/>
  <c r="BV325" i="11"/>
  <c r="BW325" i="11"/>
  <c r="BX325" i="11"/>
  <c r="BY325" i="11"/>
  <c r="BZ325" i="11"/>
  <c r="CA325" i="11"/>
  <c r="CB325" i="11"/>
  <c r="CC325" i="11"/>
  <c r="CD325" i="11"/>
  <c r="CE325" i="11"/>
  <c r="CF325" i="11"/>
  <c r="CG325" i="11"/>
  <c r="CH325" i="11"/>
  <c r="CI325" i="11"/>
  <c r="CJ325" i="11"/>
  <c r="CK325" i="11"/>
  <c r="CL325" i="11"/>
  <c r="CM325" i="11"/>
  <c r="CN325" i="11"/>
  <c r="CO325" i="11"/>
  <c r="CP325" i="11"/>
  <c r="CQ325" i="11"/>
  <c r="CR325" i="11"/>
  <c r="CS325" i="11"/>
  <c r="CT325" i="11"/>
  <c r="CU325" i="11"/>
  <c r="CV325" i="11"/>
  <c r="CW325" i="11"/>
  <c r="CX325" i="11"/>
  <c r="CY325" i="11"/>
  <c r="CZ325" i="11"/>
  <c r="DA325" i="11"/>
  <c r="DB325" i="11"/>
  <c r="DC325" i="11"/>
  <c r="DD325" i="11"/>
  <c r="DE325" i="11"/>
  <c r="DF325" i="11"/>
  <c r="DG325" i="11"/>
  <c r="DH325" i="11"/>
  <c r="DI325" i="11"/>
  <c r="DJ325" i="11"/>
  <c r="DK325" i="11"/>
  <c r="DL325" i="11"/>
  <c r="DM325" i="11"/>
  <c r="DN325" i="11"/>
  <c r="DO325" i="11"/>
  <c r="DP325" i="11"/>
  <c r="DQ325" i="11"/>
  <c r="DR325" i="11"/>
  <c r="DS325" i="11"/>
  <c r="DT325" i="11"/>
  <c r="DU325" i="11"/>
  <c r="DV325" i="11"/>
  <c r="DW325" i="11"/>
  <c r="DX325" i="11"/>
  <c r="DY325" i="11"/>
  <c r="DZ325" i="11"/>
  <c r="EA325" i="11"/>
  <c r="EB325" i="11"/>
  <c r="EC325" i="11"/>
  <c r="ED325" i="11"/>
  <c r="EE325" i="11"/>
  <c r="EF325" i="11"/>
  <c r="EG325" i="11"/>
  <c r="EH325" i="11"/>
  <c r="EI325" i="11"/>
  <c r="EJ325" i="11"/>
  <c r="EK325" i="11"/>
  <c r="EL325" i="11"/>
  <c r="EM325" i="11"/>
  <c r="EN325" i="11"/>
  <c r="EO325" i="11"/>
  <c r="EP325" i="11"/>
  <c r="EQ325" i="11"/>
  <c r="ER325" i="11"/>
  <c r="ES325" i="11"/>
  <c r="ET325" i="11"/>
  <c r="EU325" i="11"/>
  <c r="EV325" i="11"/>
  <c r="EW325" i="11"/>
  <c r="EX325" i="11"/>
  <c r="EY325" i="11"/>
  <c r="EZ325" i="11"/>
  <c r="FA325" i="11"/>
  <c r="FB325" i="11"/>
  <c r="FC325" i="11"/>
  <c r="FD325" i="11"/>
  <c r="FE325" i="11"/>
  <c r="FF325" i="11"/>
  <c r="FG325" i="11"/>
  <c r="FH325" i="11"/>
  <c r="FI325" i="11"/>
  <c r="FJ325" i="11"/>
  <c r="FK325" i="11"/>
  <c r="FL325" i="11"/>
  <c r="FM325" i="11"/>
  <c r="FN325" i="11"/>
  <c r="FO325" i="11"/>
  <c r="FP325" i="11"/>
  <c r="FQ325" i="11"/>
  <c r="FR325" i="11"/>
  <c r="FS325" i="11"/>
  <c r="FT325" i="11"/>
  <c r="FU325" i="11"/>
  <c r="FV325" i="11"/>
  <c r="FW325" i="11"/>
  <c r="FX325" i="11"/>
  <c r="FY325" i="11"/>
  <c r="FZ325" i="11"/>
  <c r="GA325" i="11"/>
  <c r="GB325" i="11"/>
  <c r="GC325" i="11"/>
  <c r="GD325" i="11"/>
  <c r="GE325" i="11"/>
  <c r="GF325" i="11"/>
  <c r="GG325" i="11"/>
  <c r="GH325" i="11"/>
  <c r="GI325" i="11"/>
  <c r="GJ325" i="11"/>
  <c r="GK325" i="11"/>
  <c r="GL325" i="11"/>
  <c r="GM325" i="11"/>
  <c r="GN325" i="11"/>
  <c r="GO325" i="11"/>
  <c r="GP325" i="11"/>
  <c r="GQ325" i="11"/>
  <c r="GR325" i="11"/>
  <c r="GS325" i="11"/>
  <c r="GT325" i="11"/>
  <c r="GU325" i="11"/>
  <c r="GV325" i="11"/>
  <c r="GW325" i="11"/>
  <c r="GX325" i="11"/>
  <c r="GY325" i="11"/>
  <c r="GZ325" i="11"/>
  <c r="HA325" i="11"/>
  <c r="HB325" i="11"/>
  <c r="HC325" i="11"/>
  <c r="HD325" i="11"/>
  <c r="HE325" i="11"/>
  <c r="HF325" i="11"/>
  <c r="HG325" i="11"/>
  <c r="HH325" i="11"/>
  <c r="HI325" i="11"/>
  <c r="HJ325" i="11"/>
  <c r="HK325" i="11"/>
  <c r="HL325" i="11"/>
  <c r="HM325" i="11"/>
  <c r="HN325" i="11"/>
  <c r="HO325" i="11"/>
  <c r="HP325" i="11"/>
  <c r="HQ325" i="11"/>
  <c r="HR325" i="11"/>
  <c r="HS325" i="11"/>
  <c r="HT325" i="11"/>
  <c r="HU325" i="11"/>
  <c r="HV325" i="11"/>
  <c r="HW325" i="11"/>
  <c r="HX325" i="11"/>
  <c r="HY325" i="11"/>
  <c r="HZ325" i="11"/>
  <c r="IA325" i="11"/>
  <c r="IB325" i="11"/>
  <c r="IC325" i="11"/>
  <c r="ID325" i="11"/>
  <c r="IE325" i="11"/>
  <c r="IF325" i="11"/>
  <c r="IG325" i="11"/>
  <c r="IH325" i="11"/>
  <c r="II325" i="11"/>
  <c r="IJ325" i="11"/>
  <c r="IK325" i="11"/>
  <c r="IL325" i="11"/>
  <c r="IM325" i="11"/>
  <c r="IN325" i="11"/>
  <c r="IO325" i="11"/>
  <c r="IP325" i="11"/>
  <c r="IQ325" i="11"/>
  <c r="IR325" i="11"/>
  <c r="IS325" i="11"/>
  <c r="IT325" i="11"/>
  <c r="IU325" i="11"/>
  <c r="IV325" i="11"/>
  <c r="F326" i="11"/>
  <c r="G326" i="11"/>
  <c r="H326" i="11"/>
  <c r="I326" i="11"/>
  <c r="J326" i="11"/>
  <c r="K326" i="11"/>
  <c r="L326" i="11"/>
  <c r="M326" i="11"/>
  <c r="N326" i="11"/>
  <c r="O326" i="11"/>
  <c r="P326" i="11"/>
  <c r="Q326" i="11"/>
  <c r="R326" i="11"/>
  <c r="S326" i="11"/>
  <c r="T326" i="11"/>
  <c r="U326" i="11"/>
  <c r="V326" i="11"/>
  <c r="W326" i="11"/>
  <c r="X326" i="11"/>
  <c r="Y326" i="11"/>
  <c r="Z326" i="11"/>
  <c r="AA326" i="11"/>
  <c r="AB326" i="11"/>
  <c r="AC326" i="11"/>
  <c r="AD326" i="11"/>
  <c r="AE326" i="11"/>
  <c r="AF326" i="11"/>
  <c r="AG326" i="11"/>
  <c r="AH326" i="11"/>
  <c r="AI326" i="11"/>
  <c r="AJ326" i="11"/>
  <c r="AK326" i="11"/>
  <c r="AL326" i="11"/>
  <c r="AM326" i="11"/>
  <c r="AN326" i="11"/>
  <c r="AO326" i="11"/>
  <c r="AP326" i="11"/>
  <c r="AQ326" i="11"/>
  <c r="AR326" i="11"/>
  <c r="AS326" i="11"/>
  <c r="AT326" i="11"/>
  <c r="AU326" i="11"/>
  <c r="AV326" i="11"/>
  <c r="AW326" i="11"/>
  <c r="AX326" i="11"/>
  <c r="AY326" i="11"/>
  <c r="AZ326" i="11"/>
  <c r="BA326" i="11"/>
  <c r="BB326" i="11"/>
  <c r="BC326" i="11"/>
  <c r="BD326" i="11"/>
  <c r="BE326" i="11"/>
  <c r="BF326" i="11"/>
  <c r="BG326" i="11"/>
  <c r="BH326" i="11"/>
  <c r="BI326" i="11"/>
  <c r="BJ326" i="11"/>
  <c r="BK326" i="11"/>
  <c r="BL326" i="11"/>
  <c r="BM326" i="11"/>
  <c r="BN326" i="11"/>
  <c r="BO326" i="11"/>
  <c r="BP326" i="11"/>
  <c r="BQ326" i="11"/>
  <c r="BR326" i="11"/>
  <c r="BS326" i="11"/>
  <c r="BT326" i="11"/>
  <c r="BU326" i="11"/>
  <c r="BV326" i="11"/>
  <c r="BW326" i="11"/>
  <c r="BX326" i="11"/>
  <c r="BY326" i="11"/>
  <c r="BZ326" i="11"/>
  <c r="CA326" i="11"/>
  <c r="CB326" i="11"/>
  <c r="CC326" i="11"/>
  <c r="CD326" i="11"/>
  <c r="CE326" i="11"/>
  <c r="CF326" i="11"/>
  <c r="CG326" i="11"/>
  <c r="CH326" i="11"/>
  <c r="CI326" i="11"/>
  <c r="CJ326" i="11"/>
  <c r="CK326" i="11"/>
  <c r="CL326" i="11"/>
  <c r="CM326" i="11"/>
  <c r="CN326" i="11"/>
  <c r="CO326" i="11"/>
  <c r="CP326" i="11"/>
  <c r="CQ326" i="11"/>
  <c r="CR326" i="11"/>
  <c r="CS326" i="11"/>
  <c r="CT326" i="11"/>
  <c r="CU326" i="11"/>
  <c r="CV326" i="11"/>
  <c r="CW326" i="11"/>
  <c r="CX326" i="11"/>
  <c r="CY326" i="11"/>
  <c r="CZ326" i="11"/>
  <c r="DA326" i="11"/>
  <c r="DB326" i="11"/>
  <c r="DC326" i="11"/>
  <c r="DD326" i="11"/>
  <c r="DE326" i="11"/>
  <c r="DF326" i="11"/>
  <c r="DG326" i="11"/>
  <c r="DH326" i="11"/>
  <c r="DI326" i="11"/>
  <c r="DJ326" i="11"/>
  <c r="DK326" i="11"/>
  <c r="DL326" i="11"/>
  <c r="DM326" i="11"/>
  <c r="DN326" i="11"/>
  <c r="DO326" i="11"/>
  <c r="DP326" i="11"/>
  <c r="DQ326" i="11"/>
  <c r="DR326" i="11"/>
  <c r="DS326" i="11"/>
  <c r="DT326" i="11"/>
  <c r="DU326" i="11"/>
  <c r="DV326" i="11"/>
  <c r="DW326" i="11"/>
  <c r="DX326" i="11"/>
  <c r="DY326" i="11"/>
  <c r="DZ326" i="11"/>
  <c r="EA326" i="11"/>
  <c r="EB326" i="11"/>
  <c r="EC326" i="11"/>
  <c r="ED326" i="11"/>
  <c r="EE326" i="11"/>
  <c r="EF326" i="11"/>
  <c r="EG326" i="11"/>
  <c r="EH326" i="11"/>
  <c r="EI326" i="11"/>
  <c r="EJ326" i="11"/>
  <c r="EK326" i="11"/>
  <c r="EL326" i="11"/>
  <c r="EM326" i="11"/>
  <c r="EN326" i="11"/>
  <c r="EO326" i="11"/>
  <c r="EP326" i="11"/>
  <c r="EQ326" i="11"/>
  <c r="ER326" i="11"/>
  <c r="ES326" i="11"/>
  <c r="ET326" i="11"/>
  <c r="EU326" i="11"/>
  <c r="EV326" i="11"/>
  <c r="EW326" i="11"/>
  <c r="EX326" i="11"/>
  <c r="EY326" i="11"/>
  <c r="EZ326" i="11"/>
  <c r="FA326" i="11"/>
  <c r="FB326" i="11"/>
  <c r="FC326" i="11"/>
  <c r="FD326" i="11"/>
  <c r="FE326" i="11"/>
  <c r="FF326" i="11"/>
  <c r="FG326" i="11"/>
  <c r="FH326" i="11"/>
  <c r="FI326" i="11"/>
  <c r="FJ326" i="11"/>
  <c r="FK326" i="11"/>
  <c r="FL326" i="11"/>
  <c r="FM326" i="11"/>
  <c r="FN326" i="11"/>
  <c r="FO326" i="11"/>
  <c r="FP326" i="11"/>
  <c r="FQ326" i="11"/>
  <c r="FR326" i="11"/>
  <c r="FS326" i="11"/>
  <c r="FT326" i="11"/>
  <c r="FU326" i="11"/>
  <c r="FV326" i="11"/>
  <c r="FW326" i="11"/>
  <c r="FX326" i="11"/>
  <c r="FY326" i="11"/>
  <c r="FZ326" i="11"/>
  <c r="GA326" i="11"/>
  <c r="GB326" i="11"/>
  <c r="GC326" i="11"/>
  <c r="GD326" i="11"/>
  <c r="GE326" i="11"/>
  <c r="GF326" i="11"/>
  <c r="GG326" i="11"/>
  <c r="GH326" i="11"/>
  <c r="GI326" i="11"/>
  <c r="GJ326" i="11"/>
  <c r="GK326" i="11"/>
  <c r="GL326" i="11"/>
  <c r="GM326" i="11"/>
  <c r="GN326" i="11"/>
  <c r="GO326" i="11"/>
  <c r="GP326" i="11"/>
  <c r="GQ326" i="11"/>
  <c r="GR326" i="11"/>
  <c r="GS326" i="11"/>
  <c r="GT326" i="11"/>
  <c r="GU326" i="11"/>
  <c r="GV326" i="11"/>
  <c r="GW326" i="11"/>
  <c r="GX326" i="11"/>
  <c r="GY326" i="11"/>
  <c r="GZ326" i="11"/>
  <c r="HA326" i="11"/>
  <c r="HB326" i="11"/>
  <c r="HC326" i="11"/>
  <c r="HD326" i="11"/>
  <c r="HE326" i="11"/>
  <c r="HF326" i="11"/>
  <c r="HG326" i="11"/>
  <c r="HH326" i="11"/>
  <c r="HI326" i="11"/>
  <c r="HJ326" i="11"/>
  <c r="HK326" i="11"/>
  <c r="HL326" i="11"/>
  <c r="HM326" i="11"/>
  <c r="HN326" i="11"/>
  <c r="HO326" i="11"/>
  <c r="HP326" i="11"/>
  <c r="HQ326" i="11"/>
  <c r="HR326" i="11"/>
  <c r="HS326" i="11"/>
  <c r="HT326" i="11"/>
  <c r="HU326" i="11"/>
  <c r="HV326" i="11"/>
  <c r="HW326" i="11"/>
  <c r="HX326" i="11"/>
  <c r="HY326" i="11"/>
  <c r="HZ326" i="11"/>
  <c r="IA326" i="11"/>
  <c r="IB326" i="11"/>
  <c r="IC326" i="11"/>
  <c r="ID326" i="11"/>
  <c r="IE326" i="11"/>
  <c r="IF326" i="11"/>
  <c r="IG326" i="11"/>
  <c r="IH326" i="11"/>
  <c r="II326" i="11"/>
  <c r="IJ326" i="11"/>
  <c r="IK326" i="11"/>
  <c r="IL326" i="11"/>
  <c r="IM326" i="11"/>
  <c r="IN326" i="11"/>
  <c r="IO326" i="11"/>
  <c r="IP326" i="11"/>
  <c r="IQ326" i="11"/>
  <c r="IR326" i="11"/>
  <c r="IS326" i="11"/>
  <c r="IT326" i="11"/>
  <c r="IU326" i="11"/>
  <c r="IV326" i="11"/>
  <c r="F327" i="11"/>
  <c r="G327" i="11"/>
  <c r="H327" i="11"/>
  <c r="I327" i="11"/>
  <c r="J327" i="11"/>
  <c r="K327" i="11"/>
  <c r="L327" i="11"/>
  <c r="M327" i="11"/>
  <c r="N327" i="11"/>
  <c r="O327" i="11"/>
  <c r="P327" i="11"/>
  <c r="Q327" i="11"/>
  <c r="R327" i="11"/>
  <c r="S327" i="11"/>
  <c r="T327" i="11"/>
  <c r="U327" i="11"/>
  <c r="V327" i="11"/>
  <c r="W327" i="11"/>
  <c r="X327" i="11"/>
  <c r="Y327" i="11"/>
  <c r="Z327" i="11"/>
  <c r="AA327" i="11"/>
  <c r="AB327" i="11"/>
  <c r="AC327" i="11"/>
  <c r="AD327" i="11"/>
  <c r="AE327" i="11"/>
  <c r="AF327" i="11"/>
  <c r="AG327" i="11"/>
  <c r="AH327" i="11"/>
  <c r="AI327" i="11"/>
  <c r="AJ327" i="11"/>
  <c r="AK327" i="11"/>
  <c r="AL327" i="11"/>
  <c r="AM327" i="11"/>
  <c r="AN327" i="11"/>
  <c r="AO327" i="11"/>
  <c r="AP327" i="11"/>
  <c r="AQ327" i="11"/>
  <c r="AR327" i="11"/>
  <c r="AS327" i="11"/>
  <c r="AT327" i="11"/>
  <c r="AU327" i="11"/>
  <c r="AV327" i="11"/>
  <c r="AW327" i="11"/>
  <c r="AX327" i="11"/>
  <c r="AY327" i="11"/>
  <c r="AZ327" i="11"/>
  <c r="BA327" i="11"/>
  <c r="BB327" i="11"/>
  <c r="BC327" i="11"/>
  <c r="BD327" i="11"/>
  <c r="BE327" i="11"/>
  <c r="BF327" i="11"/>
  <c r="BG327" i="11"/>
  <c r="BH327" i="11"/>
  <c r="BI327" i="11"/>
  <c r="BJ327" i="11"/>
  <c r="BK327" i="11"/>
  <c r="BL327" i="11"/>
  <c r="BM327" i="11"/>
  <c r="BN327" i="11"/>
  <c r="BO327" i="11"/>
  <c r="BP327" i="11"/>
  <c r="BQ327" i="11"/>
  <c r="BR327" i="11"/>
  <c r="BS327" i="11"/>
  <c r="BT327" i="11"/>
  <c r="BU327" i="11"/>
  <c r="BV327" i="11"/>
  <c r="BW327" i="11"/>
  <c r="BX327" i="11"/>
  <c r="BY327" i="11"/>
  <c r="BZ327" i="11"/>
  <c r="CA327" i="11"/>
  <c r="CB327" i="11"/>
  <c r="CC327" i="11"/>
  <c r="CD327" i="11"/>
  <c r="CE327" i="11"/>
  <c r="CF327" i="11"/>
  <c r="CG327" i="11"/>
  <c r="CH327" i="11"/>
  <c r="CI327" i="11"/>
  <c r="CJ327" i="11"/>
  <c r="CK327" i="11"/>
  <c r="CL327" i="11"/>
  <c r="CM327" i="11"/>
  <c r="CN327" i="11"/>
  <c r="CO327" i="11"/>
  <c r="CP327" i="11"/>
  <c r="CQ327" i="11"/>
  <c r="CR327" i="11"/>
  <c r="CS327" i="11"/>
  <c r="CT327" i="11"/>
  <c r="CU327" i="11"/>
  <c r="CV327" i="11"/>
  <c r="CW327" i="11"/>
  <c r="CX327" i="11"/>
  <c r="CY327" i="11"/>
  <c r="CZ327" i="11"/>
  <c r="DA327" i="11"/>
  <c r="DB327" i="11"/>
  <c r="DC327" i="11"/>
  <c r="DD327" i="11"/>
  <c r="DE327" i="11"/>
  <c r="DF327" i="11"/>
  <c r="DG327" i="11"/>
  <c r="DH327" i="11"/>
  <c r="DI327" i="11"/>
  <c r="DJ327" i="11"/>
  <c r="DK327" i="11"/>
  <c r="DL327" i="11"/>
  <c r="DM327" i="11"/>
  <c r="DN327" i="11"/>
  <c r="DO327" i="11"/>
  <c r="DP327" i="11"/>
  <c r="DQ327" i="11"/>
  <c r="DR327" i="11"/>
  <c r="DS327" i="11"/>
  <c r="DT327" i="11"/>
  <c r="DU327" i="11"/>
  <c r="DV327" i="11"/>
  <c r="DW327" i="11"/>
  <c r="DX327" i="11"/>
  <c r="DY327" i="11"/>
  <c r="DZ327" i="11"/>
  <c r="EA327" i="11"/>
  <c r="EB327" i="11"/>
  <c r="EC327" i="11"/>
  <c r="ED327" i="11"/>
  <c r="EE327" i="11"/>
  <c r="EF327" i="11"/>
  <c r="EG327" i="11"/>
  <c r="EH327" i="11"/>
  <c r="EI327" i="11"/>
  <c r="EJ327" i="11"/>
  <c r="EK327" i="11"/>
  <c r="EL327" i="11"/>
  <c r="EM327" i="11"/>
  <c r="EN327" i="11"/>
  <c r="EO327" i="11"/>
  <c r="EP327" i="11"/>
  <c r="EQ327" i="11"/>
  <c r="ER327" i="11"/>
  <c r="ES327" i="11"/>
  <c r="ET327" i="11"/>
  <c r="EU327" i="11"/>
  <c r="EV327" i="11"/>
  <c r="EW327" i="11"/>
  <c r="EX327" i="11"/>
  <c r="EY327" i="11"/>
  <c r="EZ327" i="11"/>
  <c r="FA327" i="11"/>
  <c r="FB327" i="11"/>
  <c r="FC327" i="11"/>
  <c r="FD327" i="11"/>
  <c r="FE327" i="11"/>
  <c r="FF327" i="11"/>
  <c r="FG327" i="11"/>
  <c r="FH327" i="11"/>
  <c r="FI327" i="11"/>
  <c r="FJ327" i="11"/>
  <c r="FK327" i="11"/>
  <c r="FL327" i="11"/>
  <c r="FM327" i="11"/>
  <c r="FN327" i="11"/>
  <c r="FO327" i="11"/>
  <c r="FP327" i="11"/>
  <c r="FQ327" i="11"/>
  <c r="FR327" i="11"/>
  <c r="FS327" i="11"/>
  <c r="FT327" i="11"/>
  <c r="FU327" i="11"/>
  <c r="FV327" i="11"/>
  <c r="FW327" i="11"/>
  <c r="FX327" i="11"/>
  <c r="FY327" i="11"/>
  <c r="FZ327" i="11"/>
  <c r="GA327" i="11"/>
  <c r="GB327" i="11"/>
  <c r="GC327" i="11"/>
  <c r="GD327" i="11"/>
  <c r="GE327" i="11"/>
  <c r="GF327" i="11"/>
  <c r="GG327" i="11"/>
  <c r="GH327" i="11"/>
  <c r="GI327" i="11"/>
  <c r="GJ327" i="11"/>
  <c r="GK327" i="11"/>
  <c r="GL327" i="11"/>
  <c r="GM327" i="11"/>
  <c r="GN327" i="11"/>
  <c r="GO327" i="11"/>
  <c r="GP327" i="11"/>
  <c r="GQ327" i="11"/>
  <c r="GR327" i="11"/>
  <c r="GS327" i="11"/>
  <c r="GT327" i="11"/>
  <c r="GU327" i="11"/>
  <c r="GV327" i="11"/>
  <c r="GW327" i="11"/>
  <c r="GX327" i="11"/>
  <c r="GY327" i="11"/>
  <c r="GZ327" i="11"/>
  <c r="HA327" i="11"/>
  <c r="HB327" i="11"/>
  <c r="HC327" i="11"/>
  <c r="HD327" i="11"/>
  <c r="HE327" i="11"/>
  <c r="HF327" i="11"/>
  <c r="HG327" i="11"/>
  <c r="HH327" i="11"/>
  <c r="HI327" i="11"/>
  <c r="HJ327" i="11"/>
  <c r="HK327" i="11"/>
  <c r="HL327" i="11"/>
  <c r="HM327" i="11"/>
  <c r="HN327" i="11"/>
  <c r="HO327" i="11"/>
  <c r="HP327" i="11"/>
  <c r="HQ327" i="11"/>
  <c r="HR327" i="11"/>
  <c r="HS327" i="11"/>
  <c r="HT327" i="11"/>
  <c r="HU327" i="11"/>
  <c r="HV327" i="11"/>
  <c r="HW327" i="11"/>
  <c r="HX327" i="11"/>
  <c r="HY327" i="11"/>
  <c r="HZ327" i="11"/>
  <c r="IA327" i="11"/>
  <c r="IB327" i="11"/>
  <c r="IC327" i="11"/>
  <c r="ID327" i="11"/>
  <c r="IE327" i="11"/>
  <c r="IF327" i="11"/>
  <c r="IG327" i="11"/>
  <c r="IH327" i="11"/>
  <c r="II327" i="11"/>
  <c r="IJ327" i="11"/>
  <c r="IK327" i="11"/>
  <c r="IL327" i="11"/>
  <c r="IM327" i="11"/>
  <c r="IN327" i="11"/>
  <c r="IO327" i="11"/>
  <c r="IP327" i="11"/>
  <c r="IQ327" i="11"/>
  <c r="IR327" i="11"/>
  <c r="IS327" i="11"/>
  <c r="IT327" i="11"/>
  <c r="IU327" i="11"/>
  <c r="IV327" i="11"/>
  <c r="F328" i="11"/>
  <c r="G328" i="11"/>
  <c r="H328" i="11"/>
  <c r="I328" i="11"/>
  <c r="J328" i="11"/>
  <c r="K328" i="11"/>
  <c r="L328" i="11"/>
  <c r="M328" i="11"/>
  <c r="N328" i="11"/>
  <c r="O328" i="11"/>
  <c r="P328" i="11"/>
  <c r="Q328" i="11"/>
  <c r="R328" i="11"/>
  <c r="S328" i="11"/>
  <c r="T328" i="11"/>
  <c r="U328" i="11"/>
  <c r="V328" i="11"/>
  <c r="W328" i="11"/>
  <c r="X328" i="11"/>
  <c r="Y328" i="11"/>
  <c r="Z328" i="11"/>
  <c r="AA328" i="11"/>
  <c r="AB328" i="11"/>
  <c r="AC328" i="11"/>
  <c r="AD328" i="11"/>
  <c r="AE328" i="11"/>
  <c r="AF328" i="11"/>
  <c r="AG328" i="11"/>
  <c r="AH328" i="11"/>
  <c r="AI328" i="11"/>
  <c r="AJ328" i="11"/>
  <c r="AK328" i="11"/>
  <c r="AL328" i="11"/>
  <c r="AM328" i="11"/>
  <c r="AN328" i="11"/>
  <c r="AO328" i="11"/>
  <c r="AP328" i="11"/>
  <c r="AQ328" i="11"/>
  <c r="AR328" i="11"/>
  <c r="AS328" i="11"/>
  <c r="AT328" i="11"/>
  <c r="AU328" i="11"/>
  <c r="AV328" i="11"/>
  <c r="AW328" i="11"/>
  <c r="AX328" i="11"/>
  <c r="AY328" i="11"/>
  <c r="AZ328" i="11"/>
  <c r="BA328" i="11"/>
  <c r="BB328" i="11"/>
  <c r="BC328" i="11"/>
  <c r="BD328" i="11"/>
  <c r="BE328" i="11"/>
  <c r="BF328" i="11"/>
  <c r="BG328" i="11"/>
  <c r="BH328" i="11"/>
  <c r="BI328" i="11"/>
  <c r="BJ328" i="11"/>
  <c r="BK328" i="11"/>
  <c r="BL328" i="11"/>
  <c r="BM328" i="11"/>
  <c r="BN328" i="11"/>
  <c r="BO328" i="11"/>
  <c r="BP328" i="11"/>
  <c r="BQ328" i="11"/>
  <c r="BR328" i="11"/>
  <c r="BS328" i="11"/>
  <c r="BT328" i="11"/>
  <c r="BU328" i="11"/>
  <c r="BV328" i="11"/>
  <c r="BW328" i="11"/>
  <c r="BX328" i="11"/>
  <c r="BY328" i="11"/>
  <c r="BZ328" i="11"/>
  <c r="CA328" i="11"/>
  <c r="CB328" i="11"/>
  <c r="CC328" i="11"/>
  <c r="CD328" i="11"/>
  <c r="CE328" i="11"/>
  <c r="CF328" i="11"/>
  <c r="CG328" i="11"/>
  <c r="CH328" i="11"/>
  <c r="CI328" i="11"/>
  <c r="CJ328" i="11"/>
  <c r="CK328" i="11"/>
  <c r="CL328" i="11"/>
  <c r="CM328" i="11"/>
  <c r="CN328" i="11"/>
  <c r="CO328" i="11"/>
  <c r="CP328" i="11"/>
  <c r="CQ328" i="11"/>
  <c r="CR328" i="11"/>
  <c r="CS328" i="11"/>
  <c r="CT328" i="11"/>
  <c r="CU328" i="11"/>
  <c r="CV328" i="11"/>
  <c r="CW328" i="11"/>
  <c r="CX328" i="11"/>
  <c r="CY328" i="11"/>
  <c r="CZ328" i="11"/>
  <c r="DA328" i="11"/>
  <c r="DB328" i="11"/>
  <c r="DC328" i="11"/>
  <c r="DD328" i="11"/>
  <c r="DE328" i="11"/>
  <c r="DF328" i="11"/>
  <c r="DG328" i="11"/>
  <c r="DH328" i="11"/>
  <c r="DI328" i="11"/>
  <c r="DJ328" i="11"/>
  <c r="DK328" i="11"/>
  <c r="DL328" i="11"/>
  <c r="DM328" i="11"/>
  <c r="DN328" i="11"/>
  <c r="DO328" i="11"/>
  <c r="DP328" i="11"/>
  <c r="DQ328" i="11"/>
  <c r="DR328" i="11"/>
  <c r="DS328" i="11"/>
  <c r="DT328" i="11"/>
  <c r="DU328" i="11"/>
  <c r="DV328" i="11"/>
  <c r="DW328" i="11"/>
  <c r="DX328" i="11"/>
  <c r="DY328" i="11"/>
  <c r="DZ328" i="11"/>
  <c r="EA328" i="11"/>
  <c r="EB328" i="11"/>
  <c r="EC328" i="11"/>
  <c r="ED328" i="11"/>
  <c r="EE328" i="11"/>
  <c r="EF328" i="11"/>
  <c r="EG328" i="11"/>
  <c r="EH328" i="11"/>
  <c r="EI328" i="11"/>
  <c r="EJ328" i="11"/>
  <c r="EK328" i="11"/>
  <c r="EL328" i="11"/>
  <c r="EM328" i="11"/>
  <c r="EN328" i="11"/>
  <c r="EO328" i="11"/>
  <c r="EP328" i="11"/>
  <c r="EQ328" i="11"/>
  <c r="ER328" i="11"/>
  <c r="ES328" i="11"/>
  <c r="ET328" i="11"/>
  <c r="EU328" i="11"/>
  <c r="EV328" i="11"/>
  <c r="EW328" i="11"/>
  <c r="EX328" i="11"/>
  <c r="EY328" i="11"/>
  <c r="EZ328" i="11"/>
  <c r="FA328" i="11"/>
  <c r="FB328" i="11"/>
  <c r="FC328" i="11"/>
  <c r="FD328" i="11"/>
  <c r="FE328" i="11"/>
  <c r="FF328" i="11"/>
  <c r="FG328" i="11"/>
  <c r="FH328" i="11"/>
  <c r="FI328" i="11"/>
  <c r="FJ328" i="11"/>
  <c r="FK328" i="11"/>
  <c r="FL328" i="11"/>
  <c r="FM328" i="11"/>
  <c r="FN328" i="11"/>
  <c r="FO328" i="11"/>
  <c r="FP328" i="11"/>
  <c r="FQ328" i="11"/>
  <c r="FR328" i="11"/>
  <c r="FS328" i="11"/>
  <c r="FT328" i="11"/>
  <c r="FU328" i="11"/>
  <c r="FV328" i="11"/>
  <c r="FW328" i="11"/>
  <c r="FX328" i="11"/>
  <c r="FY328" i="11"/>
  <c r="FZ328" i="11"/>
  <c r="GA328" i="11"/>
  <c r="GB328" i="11"/>
  <c r="GC328" i="11"/>
  <c r="GD328" i="11"/>
  <c r="GE328" i="11"/>
  <c r="GF328" i="11"/>
  <c r="GG328" i="11"/>
  <c r="GH328" i="11"/>
  <c r="GI328" i="11"/>
  <c r="GJ328" i="11"/>
  <c r="GK328" i="11"/>
  <c r="GL328" i="11"/>
  <c r="GM328" i="11"/>
  <c r="GN328" i="11"/>
  <c r="GO328" i="11"/>
  <c r="GP328" i="11"/>
  <c r="GQ328" i="11"/>
  <c r="GR328" i="11"/>
  <c r="GS328" i="11"/>
  <c r="GT328" i="11"/>
  <c r="GU328" i="11"/>
  <c r="GV328" i="11"/>
  <c r="GW328" i="11"/>
  <c r="GX328" i="11"/>
  <c r="GY328" i="11"/>
  <c r="GZ328" i="11"/>
  <c r="HA328" i="11"/>
  <c r="HB328" i="11"/>
  <c r="HC328" i="11"/>
  <c r="HD328" i="11"/>
  <c r="HE328" i="11"/>
  <c r="HF328" i="11"/>
  <c r="HG328" i="11"/>
  <c r="HH328" i="11"/>
  <c r="HI328" i="11"/>
  <c r="HJ328" i="11"/>
  <c r="HK328" i="11"/>
  <c r="HL328" i="11"/>
  <c r="HM328" i="11"/>
  <c r="HN328" i="11"/>
  <c r="HO328" i="11"/>
  <c r="HP328" i="11"/>
  <c r="HQ328" i="11"/>
  <c r="HR328" i="11"/>
  <c r="HS328" i="11"/>
  <c r="HT328" i="11"/>
  <c r="HU328" i="11"/>
  <c r="HV328" i="11"/>
  <c r="HW328" i="11"/>
  <c r="HX328" i="11"/>
  <c r="HY328" i="11"/>
  <c r="HZ328" i="11"/>
  <c r="IA328" i="11"/>
  <c r="IB328" i="11"/>
  <c r="IC328" i="11"/>
  <c r="ID328" i="11"/>
  <c r="IE328" i="11"/>
  <c r="IF328" i="11"/>
  <c r="IG328" i="11"/>
  <c r="IH328" i="11"/>
  <c r="II328" i="11"/>
  <c r="IJ328" i="11"/>
  <c r="IK328" i="11"/>
  <c r="IL328" i="11"/>
  <c r="IM328" i="11"/>
  <c r="IN328" i="11"/>
  <c r="IO328" i="11"/>
  <c r="IP328" i="11"/>
  <c r="IQ328" i="11"/>
  <c r="IR328" i="11"/>
  <c r="IS328" i="11"/>
  <c r="IT328" i="11"/>
  <c r="IU328" i="11"/>
  <c r="IV328" i="11"/>
  <c r="F329" i="11"/>
  <c r="G329" i="11"/>
  <c r="H329" i="11"/>
  <c r="I329" i="11"/>
  <c r="J329" i="11"/>
  <c r="K329" i="11"/>
  <c r="L329" i="11"/>
  <c r="M329" i="11"/>
  <c r="N329" i="11"/>
  <c r="O329" i="11"/>
  <c r="P329" i="11"/>
  <c r="Q329" i="11"/>
  <c r="R329" i="11"/>
  <c r="S329" i="11"/>
  <c r="T329" i="11"/>
  <c r="U329" i="11"/>
  <c r="V329" i="11"/>
  <c r="W329" i="11"/>
  <c r="X329" i="11"/>
  <c r="Y329" i="11"/>
  <c r="Z329" i="11"/>
  <c r="AA329" i="11"/>
  <c r="AB329" i="11"/>
  <c r="AC329" i="11"/>
  <c r="AD329" i="11"/>
  <c r="AE329" i="11"/>
  <c r="AF329" i="11"/>
  <c r="AG329" i="11"/>
  <c r="AH329" i="11"/>
  <c r="AI329" i="11"/>
  <c r="AJ329" i="11"/>
  <c r="AK329" i="11"/>
  <c r="AL329" i="11"/>
  <c r="AM329" i="11"/>
  <c r="AN329" i="11"/>
  <c r="AO329" i="11"/>
  <c r="AP329" i="11"/>
  <c r="AQ329" i="11"/>
  <c r="AR329" i="11"/>
  <c r="AS329" i="11"/>
  <c r="AT329" i="11"/>
  <c r="AU329" i="11"/>
  <c r="AV329" i="11"/>
  <c r="AW329" i="11"/>
  <c r="AX329" i="11"/>
  <c r="AY329" i="11"/>
  <c r="AZ329" i="11"/>
  <c r="BA329" i="11"/>
  <c r="BB329" i="11"/>
  <c r="BC329" i="11"/>
  <c r="BD329" i="11"/>
  <c r="BE329" i="11"/>
  <c r="BF329" i="11"/>
  <c r="BG329" i="11"/>
  <c r="BH329" i="11"/>
  <c r="BI329" i="11"/>
  <c r="BJ329" i="11"/>
  <c r="BK329" i="11"/>
  <c r="BL329" i="11"/>
  <c r="BM329" i="11"/>
  <c r="BN329" i="11"/>
  <c r="BO329" i="11"/>
  <c r="BP329" i="11"/>
  <c r="BQ329" i="11"/>
  <c r="BR329" i="11"/>
  <c r="BS329" i="11"/>
  <c r="BT329" i="11"/>
  <c r="BU329" i="11"/>
  <c r="BV329" i="11"/>
  <c r="BW329" i="11"/>
  <c r="BX329" i="11"/>
  <c r="BY329" i="11"/>
  <c r="BZ329" i="11"/>
  <c r="CA329" i="11"/>
  <c r="CB329" i="11"/>
  <c r="CC329" i="11"/>
  <c r="CD329" i="11"/>
  <c r="CE329" i="11"/>
  <c r="CF329" i="11"/>
  <c r="CG329" i="11"/>
  <c r="CH329" i="11"/>
  <c r="CI329" i="11"/>
  <c r="CJ329" i="11"/>
  <c r="CK329" i="11"/>
  <c r="CL329" i="11"/>
  <c r="CM329" i="11"/>
  <c r="CN329" i="11"/>
  <c r="CO329" i="11"/>
  <c r="CP329" i="11"/>
  <c r="CQ329" i="11"/>
  <c r="CR329" i="11"/>
  <c r="CS329" i="11"/>
  <c r="CT329" i="11"/>
  <c r="CU329" i="11"/>
  <c r="CV329" i="11"/>
  <c r="CW329" i="11"/>
  <c r="CX329" i="11"/>
  <c r="CY329" i="11"/>
  <c r="CZ329" i="11"/>
  <c r="DA329" i="11"/>
  <c r="DB329" i="11"/>
  <c r="DC329" i="11"/>
  <c r="DD329" i="11"/>
  <c r="DE329" i="11"/>
  <c r="DF329" i="11"/>
  <c r="DG329" i="11"/>
  <c r="DH329" i="11"/>
  <c r="DI329" i="11"/>
  <c r="DJ329" i="11"/>
  <c r="DK329" i="11"/>
  <c r="DL329" i="11"/>
  <c r="DM329" i="11"/>
  <c r="DN329" i="11"/>
  <c r="DO329" i="11"/>
  <c r="DP329" i="11"/>
  <c r="DQ329" i="11"/>
  <c r="DR329" i="11"/>
  <c r="DS329" i="11"/>
  <c r="DT329" i="11"/>
  <c r="DU329" i="11"/>
  <c r="DV329" i="11"/>
  <c r="DW329" i="11"/>
  <c r="DX329" i="11"/>
  <c r="DY329" i="11"/>
  <c r="DZ329" i="11"/>
  <c r="EA329" i="11"/>
  <c r="EB329" i="11"/>
  <c r="EC329" i="11"/>
  <c r="ED329" i="11"/>
  <c r="EE329" i="11"/>
  <c r="EF329" i="11"/>
  <c r="EG329" i="11"/>
  <c r="EH329" i="11"/>
  <c r="EI329" i="11"/>
  <c r="EJ329" i="11"/>
  <c r="EK329" i="11"/>
  <c r="EL329" i="11"/>
  <c r="EM329" i="11"/>
  <c r="EN329" i="11"/>
  <c r="EO329" i="11"/>
  <c r="EP329" i="11"/>
  <c r="EQ329" i="11"/>
  <c r="ER329" i="11"/>
  <c r="ES329" i="11"/>
  <c r="ET329" i="11"/>
  <c r="EU329" i="11"/>
  <c r="EV329" i="11"/>
  <c r="EW329" i="11"/>
  <c r="EX329" i="11"/>
  <c r="EY329" i="11"/>
  <c r="EZ329" i="11"/>
  <c r="FA329" i="11"/>
  <c r="FB329" i="11"/>
  <c r="FC329" i="11"/>
  <c r="FD329" i="11"/>
  <c r="FE329" i="11"/>
  <c r="FF329" i="11"/>
  <c r="FG329" i="11"/>
  <c r="FH329" i="11"/>
  <c r="FI329" i="11"/>
  <c r="FJ329" i="11"/>
  <c r="FK329" i="11"/>
  <c r="FL329" i="11"/>
  <c r="FM329" i="11"/>
  <c r="FN329" i="11"/>
  <c r="FO329" i="11"/>
  <c r="FP329" i="11"/>
  <c r="FQ329" i="11"/>
  <c r="FR329" i="11"/>
  <c r="FS329" i="11"/>
  <c r="FT329" i="11"/>
  <c r="FU329" i="11"/>
  <c r="FV329" i="11"/>
  <c r="FW329" i="11"/>
  <c r="FX329" i="11"/>
  <c r="FY329" i="11"/>
  <c r="FZ329" i="11"/>
  <c r="GA329" i="11"/>
  <c r="GB329" i="11"/>
  <c r="GC329" i="11"/>
  <c r="GD329" i="11"/>
  <c r="GE329" i="11"/>
  <c r="GF329" i="11"/>
  <c r="GG329" i="11"/>
  <c r="GH329" i="11"/>
  <c r="GI329" i="11"/>
  <c r="GJ329" i="11"/>
  <c r="GK329" i="11"/>
  <c r="GL329" i="11"/>
  <c r="GM329" i="11"/>
  <c r="GN329" i="11"/>
  <c r="GO329" i="11"/>
  <c r="GP329" i="11"/>
  <c r="GQ329" i="11"/>
  <c r="GR329" i="11"/>
  <c r="GS329" i="11"/>
  <c r="GT329" i="11"/>
  <c r="GU329" i="11"/>
  <c r="GV329" i="11"/>
  <c r="GW329" i="11"/>
  <c r="GX329" i="11"/>
  <c r="GY329" i="11"/>
  <c r="GZ329" i="11"/>
  <c r="HA329" i="11"/>
  <c r="HB329" i="11"/>
  <c r="HC329" i="11"/>
  <c r="HD329" i="11"/>
  <c r="HE329" i="11"/>
  <c r="HF329" i="11"/>
  <c r="HG329" i="11"/>
  <c r="HH329" i="11"/>
  <c r="HI329" i="11"/>
  <c r="HJ329" i="11"/>
  <c r="HK329" i="11"/>
  <c r="HL329" i="11"/>
  <c r="HM329" i="11"/>
  <c r="HN329" i="11"/>
  <c r="HO329" i="11"/>
  <c r="HP329" i="11"/>
  <c r="HQ329" i="11"/>
  <c r="HR329" i="11"/>
  <c r="HS329" i="11"/>
  <c r="HT329" i="11"/>
  <c r="HU329" i="11"/>
  <c r="HV329" i="11"/>
  <c r="HW329" i="11"/>
  <c r="HX329" i="11"/>
  <c r="HY329" i="11"/>
  <c r="HZ329" i="11"/>
  <c r="IA329" i="11"/>
  <c r="IB329" i="11"/>
  <c r="IC329" i="11"/>
  <c r="ID329" i="11"/>
  <c r="IE329" i="11"/>
  <c r="IF329" i="11"/>
  <c r="IG329" i="11"/>
  <c r="IH329" i="11"/>
  <c r="II329" i="11"/>
  <c r="IJ329" i="11"/>
  <c r="IK329" i="11"/>
  <c r="IL329" i="11"/>
  <c r="IM329" i="11"/>
  <c r="IN329" i="11"/>
  <c r="IO329" i="11"/>
  <c r="IP329" i="11"/>
  <c r="IQ329" i="11"/>
  <c r="IR329" i="11"/>
  <c r="IS329" i="11"/>
  <c r="IT329" i="11"/>
  <c r="IU329" i="11"/>
  <c r="IV329" i="11"/>
  <c r="F330" i="11"/>
  <c r="G330" i="11"/>
  <c r="H330" i="11"/>
  <c r="I330" i="11"/>
  <c r="J330" i="11"/>
  <c r="K330" i="11"/>
  <c r="L330" i="11"/>
  <c r="M330" i="11"/>
  <c r="N330" i="11"/>
  <c r="O330" i="11"/>
  <c r="P330" i="11"/>
  <c r="Q330" i="11"/>
  <c r="R330" i="11"/>
  <c r="S330" i="11"/>
  <c r="T330" i="11"/>
  <c r="U330" i="11"/>
  <c r="V330" i="11"/>
  <c r="W330" i="11"/>
  <c r="X330" i="11"/>
  <c r="Y330" i="11"/>
  <c r="Z330" i="11"/>
  <c r="AA330" i="11"/>
  <c r="AB330" i="11"/>
  <c r="AC330" i="11"/>
  <c r="AD330" i="11"/>
  <c r="AE330" i="11"/>
  <c r="AF330" i="11"/>
  <c r="AG330" i="11"/>
  <c r="AH330" i="11"/>
  <c r="AI330" i="11"/>
  <c r="AJ330" i="11"/>
  <c r="AK330" i="11"/>
  <c r="AL330" i="11"/>
  <c r="AM330" i="11"/>
  <c r="AN330" i="11"/>
  <c r="AO330" i="11"/>
  <c r="AP330" i="11"/>
  <c r="AQ330" i="11"/>
  <c r="AR330" i="11"/>
  <c r="AS330" i="11"/>
  <c r="AT330" i="11"/>
  <c r="AU330" i="11"/>
  <c r="AV330" i="11"/>
  <c r="AW330" i="11"/>
  <c r="AX330" i="11"/>
  <c r="AY330" i="11"/>
  <c r="AZ330" i="11"/>
  <c r="BA330" i="11"/>
  <c r="BB330" i="11"/>
  <c r="BC330" i="11"/>
  <c r="BD330" i="11"/>
  <c r="BE330" i="11"/>
  <c r="BF330" i="11"/>
  <c r="BG330" i="11"/>
  <c r="BH330" i="11"/>
  <c r="BI330" i="11"/>
  <c r="BJ330" i="11"/>
  <c r="BK330" i="11"/>
  <c r="BL330" i="11"/>
  <c r="BM330" i="11"/>
  <c r="BN330" i="11"/>
  <c r="BO330" i="11"/>
  <c r="BP330" i="11"/>
  <c r="BQ330" i="11"/>
  <c r="BR330" i="11"/>
  <c r="BS330" i="11"/>
  <c r="BT330" i="11"/>
  <c r="BU330" i="11"/>
  <c r="BV330" i="11"/>
  <c r="BW330" i="11"/>
  <c r="BX330" i="11"/>
  <c r="BY330" i="11"/>
  <c r="BZ330" i="11"/>
  <c r="CA330" i="11"/>
  <c r="CB330" i="11"/>
  <c r="CC330" i="11"/>
  <c r="CD330" i="11"/>
  <c r="CE330" i="11"/>
  <c r="CF330" i="11"/>
  <c r="CG330" i="11"/>
  <c r="CH330" i="11"/>
  <c r="CI330" i="11"/>
  <c r="CJ330" i="11"/>
  <c r="CK330" i="11"/>
  <c r="CL330" i="11"/>
  <c r="CM330" i="11"/>
  <c r="CN330" i="11"/>
  <c r="CO330" i="11"/>
  <c r="CP330" i="11"/>
  <c r="CQ330" i="11"/>
  <c r="CR330" i="11"/>
  <c r="CS330" i="11"/>
  <c r="CT330" i="11"/>
  <c r="CU330" i="11"/>
  <c r="CV330" i="11"/>
  <c r="CW330" i="11"/>
  <c r="CX330" i="11"/>
  <c r="CY330" i="11"/>
  <c r="CZ330" i="11"/>
  <c r="DA330" i="11"/>
  <c r="DB330" i="11"/>
  <c r="DC330" i="11"/>
  <c r="DD330" i="11"/>
  <c r="DE330" i="11"/>
  <c r="DF330" i="11"/>
  <c r="DG330" i="11"/>
  <c r="DH330" i="11"/>
  <c r="DI330" i="11"/>
  <c r="DJ330" i="11"/>
  <c r="DK330" i="11"/>
  <c r="DL330" i="11"/>
  <c r="DM330" i="11"/>
  <c r="DN330" i="11"/>
  <c r="DO330" i="11"/>
  <c r="DP330" i="11"/>
  <c r="DQ330" i="11"/>
  <c r="DR330" i="11"/>
  <c r="DS330" i="11"/>
  <c r="DT330" i="11"/>
  <c r="DU330" i="11"/>
  <c r="DV330" i="11"/>
  <c r="DW330" i="11"/>
  <c r="DX330" i="11"/>
  <c r="DY330" i="11"/>
  <c r="DZ330" i="11"/>
  <c r="EA330" i="11"/>
  <c r="EB330" i="11"/>
  <c r="EC330" i="11"/>
  <c r="ED330" i="11"/>
  <c r="EE330" i="11"/>
  <c r="EF330" i="11"/>
  <c r="EG330" i="11"/>
  <c r="EH330" i="11"/>
  <c r="EI330" i="11"/>
  <c r="EJ330" i="11"/>
  <c r="EK330" i="11"/>
  <c r="EL330" i="11"/>
  <c r="EM330" i="11"/>
  <c r="EN330" i="11"/>
  <c r="EO330" i="11"/>
  <c r="EP330" i="11"/>
  <c r="EQ330" i="11"/>
  <c r="ER330" i="11"/>
  <c r="ES330" i="11"/>
  <c r="ET330" i="11"/>
  <c r="EU330" i="11"/>
  <c r="EV330" i="11"/>
  <c r="EW330" i="11"/>
  <c r="EX330" i="11"/>
  <c r="EY330" i="11"/>
  <c r="EZ330" i="11"/>
  <c r="FA330" i="11"/>
  <c r="FB330" i="11"/>
  <c r="FC330" i="11"/>
  <c r="FD330" i="11"/>
  <c r="FE330" i="11"/>
  <c r="FF330" i="11"/>
  <c r="FG330" i="11"/>
  <c r="FH330" i="11"/>
  <c r="FI330" i="11"/>
  <c r="FJ330" i="11"/>
  <c r="FK330" i="11"/>
  <c r="FL330" i="11"/>
  <c r="FM330" i="11"/>
  <c r="FN330" i="11"/>
  <c r="FO330" i="11"/>
  <c r="FP330" i="11"/>
  <c r="FQ330" i="11"/>
  <c r="FR330" i="11"/>
  <c r="FS330" i="11"/>
  <c r="FT330" i="11"/>
  <c r="FU330" i="11"/>
  <c r="FV330" i="11"/>
  <c r="FW330" i="11"/>
  <c r="FX330" i="11"/>
  <c r="FY330" i="11"/>
  <c r="FZ330" i="11"/>
  <c r="GA330" i="11"/>
  <c r="GB330" i="11"/>
  <c r="GC330" i="11"/>
  <c r="GD330" i="11"/>
  <c r="GE330" i="11"/>
  <c r="GF330" i="11"/>
  <c r="GG330" i="11"/>
  <c r="GH330" i="11"/>
  <c r="GI330" i="11"/>
  <c r="GJ330" i="11"/>
  <c r="GK330" i="11"/>
  <c r="GL330" i="11"/>
  <c r="GM330" i="11"/>
  <c r="GN330" i="11"/>
  <c r="GO330" i="11"/>
  <c r="GP330" i="11"/>
  <c r="GQ330" i="11"/>
  <c r="GR330" i="11"/>
  <c r="GS330" i="11"/>
  <c r="GT330" i="11"/>
  <c r="GU330" i="11"/>
  <c r="GV330" i="11"/>
  <c r="GW330" i="11"/>
  <c r="GX330" i="11"/>
  <c r="GY330" i="11"/>
  <c r="GZ330" i="11"/>
  <c r="HA330" i="11"/>
  <c r="HB330" i="11"/>
  <c r="HC330" i="11"/>
  <c r="HD330" i="11"/>
  <c r="HE330" i="11"/>
  <c r="HF330" i="11"/>
  <c r="HG330" i="11"/>
  <c r="HH330" i="11"/>
  <c r="HI330" i="11"/>
  <c r="HJ330" i="11"/>
  <c r="HK330" i="11"/>
  <c r="HL330" i="11"/>
  <c r="HM330" i="11"/>
  <c r="HN330" i="11"/>
  <c r="HO330" i="11"/>
  <c r="HP330" i="11"/>
  <c r="HQ330" i="11"/>
  <c r="HR330" i="11"/>
  <c r="HS330" i="11"/>
  <c r="HT330" i="11"/>
  <c r="HU330" i="11"/>
  <c r="HV330" i="11"/>
  <c r="HW330" i="11"/>
  <c r="HX330" i="11"/>
  <c r="HY330" i="11"/>
  <c r="HZ330" i="11"/>
  <c r="IA330" i="11"/>
  <c r="IB330" i="11"/>
  <c r="IC330" i="11"/>
  <c r="ID330" i="11"/>
  <c r="IE330" i="11"/>
  <c r="IF330" i="11"/>
  <c r="IG330" i="11"/>
  <c r="IH330" i="11"/>
  <c r="II330" i="11"/>
  <c r="IJ330" i="11"/>
  <c r="IK330" i="11"/>
  <c r="IL330" i="11"/>
  <c r="IM330" i="11"/>
  <c r="IN330" i="11"/>
  <c r="IO330" i="11"/>
  <c r="IP330" i="11"/>
  <c r="IQ330" i="11"/>
  <c r="IR330" i="11"/>
  <c r="IS330" i="11"/>
  <c r="IT330" i="11"/>
  <c r="IU330" i="11"/>
  <c r="IV330" i="11"/>
  <c r="F331" i="11"/>
  <c r="G331" i="11"/>
  <c r="H331" i="11"/>
  <c r="I331" i="11"/>
  <c r="J331" i="11"/>
  <c r="K331" i="11"/>
  <c r="L331" i="11"/>
  <c r="M331" i="11"/>
  <c r="N331" i="11"/>
  <c r="O331" i="11"/>
  <c r="P331" i="11"/>
  <c r="Q331" i="11"/>
  <c r="R331" i="11"/>
  <c r="S331" i="11"/>
  <c r="T331" i="11"/>
  <c r="U331" i="11"/>
  <c r="V331" i="11"/>
  <c r="W331" i="11"/>
  <c r="X331" i="11"/>
  <c r="Y331" i="11"/>
  <c r="Z331" i="11"/>
  <c r="AA331" i="11"/>
  <c r="AB331" i="11"/>
  <c r="AC331" i="11"/>
  <c r="AD331" i="11"/>
  <c r="AE331" i="11"/>
  <c r="AF331" i="11"/>
  <c r="AG331" i="11"/>
  <c r="AH331" i="11"/>
  <c r="AI331" i="11"/>
  <c r="AJ331" i="11"/>
  <c r="AK331" i="11"/>
  <c r="AL331" i="11"/>
  <c r="AM331" i="11"/>
  <c r="AN331" i="11"/>
  <c r="AO331" i="11"/>
  <c r="AP331" i="11"/>
  <c r="AQ331" i="11"/>
  <c r="AR331" i="11"/>
  <c r="AS331" i="11"/>
  <c r="AT331" i="11"/>
  <c r="AU331" i="11"/>
  <c r="AV331" i="11"/>
  <c r="AW331" i="11"/>
  <c r="AX331" i="11"/>
  <c r="AY331" i="11"/>
  <c r="AZ331" i="11"/>
  <c r="BA331" i="11"/>
  <c r="BB331" i="11"/>
  <c r="BC331" i="11"/>
  <c r="BD331" i="11"/>
  <c r="BE331" i="11"/>
  <c r="BF331" i="11"/>
  <c r="BG331" i="11"/>
  <c r="BH331" i="11"/>
  <c r="BI331" i="11"/>
  <c r="BJ331" i="11"/>
  <c r="BK331" i="11"/>
  <c r="BL331" i="11"/>
  <c r="BM331" i="11"/>
  <c r="BN331" i="11"/>
  <c r="BO331" i="11"/>
  <c r="BP331" i="11"/>
  <c r="BQ331" i="11"/>
  <c r="BR331" i="11"/>
  <c r="BS331" i="11"/>
  <c r="BT331" i="11"/>
  <c r="BU331" i="11"/>
  <c r="BV331" i="11"/>
  <c r="BW331" i="11"/>
  <c r="BX331" i="11"/>
  <c r="BY331" i="11"/>
  <c r="BZ331" i="11"/>
  <c r="CA331" i="11"/>
  <c r="CB331" i="11"/>
  <c r="CC331" i="11"/>
  <c r="CD331" i="11"/>
  <c r="CE331" i="11"/>
  <c r="CF331" i="11"/>
  <c r="CG331" i="11"/>
  <c r="CH331" i="11"/>
  <c r="CI331" i="11"/>
  <c r="CJ331" i="11"/>
  <c r="CK331" i="11"/>
  <c r="CL331" i="11"/>
  <c r="CM331" i="11"/>
  <c r="CN331" i="11"/>
  <c r="CO331" i="11"/>
  <c r="CP331" i="11"/>
  <c r="CQ331" i="11"/>
  <c r="CR331" i="11"/>
  <c r="CS331" i="11"/>
  <c r="CT331" i="11"/>
  <c r="CU331" i="11"/>
  <c r="CV331" i="11"/>
  <c r="CW331" i="11"/>
  <c r="CX331" i="11"/>
  <c r="CY331" i="11"/>
  <c r="CZ331" i="11"/>
  <c r="DA331" i="11"/>
  <c r="DB331" i="11"/>
  <c r="DC331" i="11"/>
  <c r="DD331" i="11"/>
  <c r="DE331" i="11"/>
  <c r="DF331" i="11"/>
  <c r="DG331" i="11"/>
  <c r="DH331" i="11"/>
  <c r="DI331" i="11"/>
  <c r="DJ331" i="11"/>
  <c r="DK331" i="11"/>
  <c r="DL331" i="11"/>
  <c r="DM331" i="11"/>
  <c r="DN331" i="11"/>
  <c r="DO331" i="11"/>
  <c r="DP331" i="11"/>
  <c r="DQ331" i="11"/>
  <c r="DR331" i="11"/>
  <c r="DS331" i="11"/>
  <c r="DT331" i="11"/>
  <c r="DU331" i="11"/>
  <c r="DV331" i="11"/>
  <c r="DW331" i="11"/>
  <c r="DX331" i="11"/>
  <c r="DY331" i="11"/>
  <c r="DZ331" i="11"/>
  <c r="EA331" i="11"/>
  <c r="EB331" i="11"/>
  <c r="EC331" i="11"/>
  <c r="ED331" i="11"/>
  <c r="EE331" i="11"/>
  <c r="EF331" i="11"/>
  <c r="EG331" i="11"/>
  <c r="EH331" i="11"/>
  <c r="EI331" i="11"/>
  <c r="EJ331" i="11"/>
  <c r="EK331" i="11"/>
  <c r="EL331" i="11"/>
  <c r="EM331" i="11"/>
  <c r="EN331" i="11"/>
  <c r="EO331" i="11"/>
  <c r="EP331" i="11"/>
  <c r="EQ331" i="11"/>
  <c r="ER331" i="11"/>
  <c r="ES331" i="11"/>
  <c r="ET331" i="11"/>
  <c r="EU331" i="11"/>
  <c r="EV331" i="11"/>
  <c r="EW331" i="11"/>
  <c r="EX331" i="11"/>
  <c r="EY331" i="11"/>
  <c r="EZ331" i="11"/>
  <c r="FA331" i="11"/>
  <c r="FB331" i="11"/>
  <c r="FC331" i="11"/>
  <c r="FD331" i="11"/>
  <c r="FE331" i="11"/>
  <c r="FF331" i="11"/>
  <c r="FG331" i="11"/>
  <c r="FH331" i="11"/>
  <c r="FI331" i="11"/>
  <c r="FJ331" i="11"/>
  <c r="FK331" i="11"/>
  <c r="FL331" i="11"/>
  <c r="FM331" i="11"/>
  <c r="FN331" i="11"/>
  <c r="FO331" i="11"/>
  <c r="FP331" i="11"/>
  <c r="FQ331" i="11"/>
  <c r="FR331" i="11"/>
  <c r="FS331" i="11"/>
  <c r="FT331" i="11"/>
  <c r="FU331" i="11"/>
  <c r="FV331" i="11"/>
  <c r="FW331" i="11"/>
  <c r="FX331" i="11"/>
  <c r="FY331" i="11"/>
  <c r="FZ331" i="11"/>
  <c r="GA331" i="11"/>
  <c r="GB331" i="11"/>
  <c r="GC331" i="11"/>
  <c r="GD331" i="11"/>
  <c r="GE331" i="11"/>
  <c r="GF331" i="11"/>
  <c r="GG331" i="11"/>
  <c r="GH331" i="11"/>
  <c r="GI331" i="11"/>
  <c r="GJ331" i="11"/>
  <c r="GK331" i="11"/>
  <c r="GL331" i="11"/>
  <c r="GM331" i="11"/>
  <c r="GN331" i="11"/>
  <c r="GO331" i="11"/>
  <c r="GP331" i="11"/>
  <c r="GQ331" i="11"/>
  <c r="GR331" i="11"/>
  <c r="GS331" i="11"/>
  <c r="GT331" i="11"/>
  <c r="GU331" i="11"/>
  <c r="GV331" i="11"/>
  <c r="GW331" i="11"/>
  <c r="GX331" i="11"/>
  <c r="GY331" i="11"/>
  <c r="GZ331" i="11"/>
  <c r="HA331" i="11"/>
  <c r="HB331" i="11"/>
  <c r="HC331" i="11"/>
  <c r="HD331" i="11"/>
  <c r="HE331" i="11"/>
  <c r="HF331" i="11"/>
  <c r="HG331" i="11"/>
  <c r="HH331" i="11"/>
  <c r="HI331" i="11"/>
  <c r="HJ331" i="11"/>
  <c r="HK331" i="11"/>
  <c r="HL331" i="11"/>
  <c r="HM331" i="11"/>
  <c r="HN331" i="11"/>
  <c r="HO331" i="11"/>
  <c r="HP331" i="11"/>
  <c r="HQ331" i="11"/>
  <c r="HR331" i="11"/>
  <c r="HS331" i="11"/>
  <c r="HT331" i="11"/>
  <c r="HU331" i="11"/>
  <c r="HV331" i="11"/>
  <c r="HW331" i="11"/>
  <c r="HX331" i="11"/>
  <c r="HY331" i="11"/>
  <c r="HZ331" i="11"/>
  <c r="IA331" i="11"/>
  <c r="IB331" i="11"/>
  <c r="IC331" i="11"/>
  <c r="ID331" i="11"/>
  <c r="IE331" i="11"/>
  <c r="IF331" i="11"/>
  <c r="IG331" i="11"/>
  <c r="IH331" i="11"/>
  <c r="II331" i="11"/>
  <c r="IJ331" i="11"/>
  <c r="IK331" i="11"/>
  <c r="IL331" i="11"/>
  <c r="IM331" i="11"/>
  <c r="IN331" i="11"/>
  <c r="IO331" i="11"/>
  <c r="IP331" i="11"/>
  <c r="IQ331" i="11"/>
  <c r="IR331" i="11"/>
  <c r="IS331" i="11"/>
  <c r="IT331" i="11"/>
  <c r="IU331" i="11"/>
  <c r="IV331" i="11"/>
  <c r="F332" i="11"/>
  <c r="G332" i="11"/>
  <c r="H332" i="11"/>
  <c r="I332" i="11"/>
  <c r="J332" i="11"/>
  <c r="K332" i="11"/>
  <c r="L332" i="11"/>
  <c r="M332" i="11"/>
  <c r="N332" i="11"/>
  <c r="O332" i="11"/>
  <c r="P332" i="11"/>
  <c r="Q332" i="11"/>
  <c r="R332" i="11"/>
  <c r="S332" i="11"/>
  <c r="T332" i="11"/>
  <c r="U332" i="11"/>
  <c r="V332" i="11"/>
  <c r="W332" i="11"/>
  <c r="X332" i="11"/>
  <c r="Y332" i="11"/>
  <c r="Z332" i="11"/>
  <c r="AA332" i="11"/>
  <c r="AB332" i="11"/>
  <c r="AC332" i="11"/>
  <c r="AD332" i="11"/>
  <c r="AE332" i="11"/>
  <c r="AF332" i="11"/>
  <c r="AG332" i="11"/>
  <c r="AH332" i="11"/>
  <c r="AI332" i="11"/>
  <c r="AJ332" i="11"/>
  <c r="AK332" i="11"/>
  <c r="AL332" i="11"/>
  <c r="AM332" i="11"/>
  <c r="AN332" i="11"/>
  <c r="AO332" i="11"/>
  <c r="AP332" i="11"/>
  <c r="AQ332" i="11"/>
  <c r="AR332" i="11"/>
  <c r="AS332" i="11"/>
  <c r="AT332" i="11"/>
  <c r="AU332" i="11"/>
  <c r="AV332" i="11"/>
  <c r="AW332" i="11"/>
  <c r="AX332" i="11"/>
  <c r="AY332" i="11"/>
  <c r="AZ332" i="11"/>
  <c r="BA332" i="11"/>
  <c r="BB332" i="11"/>
  <c r="BC332" i="11"/>
  <c r="BD332" i="11"/>
  <c r="BE332" i="11"/>
  <c r="BF332" i="11"/>
  <c r="BG332" i="11"/>
  <c r="BH332" i="11"/>
  <c r="BI332" i="11"/>
  <c r="BJ332" i="11"/>
  <c r="BK332" i="11"/>
  <c r="BL332" i="11"/>
  <c r="BM332" i="11"/>
  <c r="BN332" i="11"/>
  <c r="BO332" i="11"/>
  <c r="BP332" i="11"/>
  <c r="BQ332" i="11"/>
  <c r="BR332" i="11"/>
  <c r="BS332" i="11"/>
  <c r="BT332" i="11"/>
  <c r="BU332" i="11"/>
  <c r="BV332" i="11"/>
  <c r="BW332" i="11"/>
  <c r="BX332" i="11"/>
  <c r="BY332" i="11"/>
  <c r="BZ332" i="11"/>
  <c r="CA332" i="11"/>
  <c r="CB332" i="11"/>
  <c r="CC332" i="11"/>
  <c r="CD332" i="11"/>
  <c r="CE332" i="11"/>
  <c r="CF332" i="11"/>
  <c r="CG332" i="11"/>
  <c r="CH332" i="11"/>
  <c r="CI332" i="11"/>
  <c r="CJ332" i="11"/>
  <c r="CK332" i="11"/>
  <c r="CL332" i="11"/>
  <c r="CM332" i="11"/>
  <c r="CN332" i="11"/>
  <c r="CO332" i="11"/>
  <c r="CP332" i="11"/>
  <c r="CQ332" i="11"/>
  <c r="CR332" i="11"/>
  <c r="CS332" i="11"/>
  <c r="CT332" i="11"/>
  <c r="CU332" i="11"/>
  <c r="CV332" i="11"/>
  <c r="CW332" i="11"/>
  <c r="CX332" i="11"/>
  <c r="CY332" i="11"/>
  <c r="CZ332" i="11"/>
  <c r="DA332" i="11"/>
  <c r="DB332" i="11"/>
  <c r="DC332" i="11"/>
  <c r="DD332" i="11"/>
  <c r="DE332" i="11"/>
  <c r="DF332" i="11"/>
  <c r="DG332" i="11"/>
  <c r="DH332" i="11"/>
  <c r="DI332" i="11"/>
  <c r="DJ332" i="11"/>
  <c r="DK332" i="11"/>
  <c r="DL332" i="11"/>
  <c r="DM332" i="11"/>
  <c r="DN332" i="11"/>
  <c r="DO332" i="11"/>
  <c r="DP332" i="11"/>
  <c r="DQ332" i="11"/>
  <c r="DR332" i="11"/>
  <c r="DS332" i="11"/>
  <c r="DT332" i="11"/>
  <c r="DU332" i="11"/>
  <c r="DV332" i="11"/>
  <c r="DW332" i="11"/>
  <c r="DX332" i="11"/>
  <c r="DY332" i="11"/>
  <c r="DZ332" i="11"/>
  <c r="EA332" i="11"/>
  <c r="EB332" i="11"/>
  <c r="EC332" i="11"/>
  <c r="ED332" i="11"/>
  <c r="EE332" i="11"/>
  <c r="EF332" i="11"/>
  <c r="EG332" i="11"/>
  <c r="EH332" i="11"/>
  <c r="EI332" i="11"/>
  <c r="EJ332" i="11"/>
  <c r="EK332" i="11"/>
  <c r="EL332" i="11"/>
  <c r="EM332" i="11"/>
  <c r="EN332" i="11"/>
  <c r="EO332" i="11"/>
  <c r="EP332" i="11"/>
  <c r="EQ332" i="11"/>
  <c r="ER332" i="11"/>
  <c r="ES332" i="11"/>
  <c r="ET332" i="11"/>
  <c r="EU332" i="11"/>
  <c r="EV332" i="11"/>
  <c r="EW332" i="11"/>
  <c r="EX332" i="11"/>
  <c r="EY332" i="11"/>
  <c r="EZ332" i="11"/>
  <c r="FA332" i="11"/>
  <c r="FB332" i="11"/>
  <c r="FC332" i="11"/>
  <c r="FD332" i="11"/>
  <c r="FE332" i="11"/>
  <c r="FF332" i="11"/>
  <c r="FG332" i="11"/>
  <c r="FH332" i="11"/>
  <c r="FI332" i="11"/>
  <c r="FJ332" i="11"/>
  <c r="FK332" i="11"/>
  <c r="FL332" i="11"/>
  <c r="FM332" i="11"/>
  <c r="FN332" i="11"/>
  <c r="FO332" i="11"/>
  <c r="FP332" i="11"/>
  <c r="FQ332" i="11"/>
  <c r="FR332" i="11"/>
  <c r="FS332" i="11"/>
  <c r="FT332" i="11"/>
  <c r="FU332" i="11"/>
  <c r="FV332" i="11"/>
  <c r="FW332" i="11"/>
  <c r="FX332" i="11"/>
  <c r="FY332" i="11"/>
  <c r="FZ332" i="11"/>
  <c r="GA332" i="11"/>
  <c r="GB332" i="11"/>
  <c r="GC332" i="11"/>
  <c r="GD332" i="11"/>
  <c r="GE332" i="11"/>
  <c r="GF332" i="11"/>
  <c r="GG332" i="11"/>
  <c r="GH332" i="11"/>
  <c r="GI332" i="11"/>
  <c r="GJ332" i="11"/>
  <c r="GK332" i="11"/>
  <c r="GL332" i="11"/>
  <c r="GM332" i="11"/>
  <c r="GN332" i="11"/>
  <c r="GO332" i="11"/>
  <c r="GP332" i="11"/>
  <c r="GQ332" i="11"/>
  <c r="GR332" i="11"/>
  <c r="GS332" i="11"/>
  <c r="GT332" i="11"/>
  <c r="GU332" i="11"/>
  <c r="GV332" i="11"/>
  <c r="GW332" i="11"/>
  <c r="GX332" i="11"/>
  <c r="GY332" i="11"/>
  <c r="GZ332" i="11"/>
  <c r="HA332" i="11"/>
  <c r="HB332" i="11"/>
  <c r="HC332" i="11"/>
  <c r="HD332" i="11"/>
  <c r="HE332" i="11"/>
  <c r="HF332" i="11"/>
  <c r="HG332" i="11"/>
  <c r="HH332" i="11"/>
  <c r="HI332" i="11"/>
  <c r="HJ332" i="11"/>
  <c r="HK332" i="11"/>
  <c r="HL332" i="11"/>
  <c r="HM332" i="11"/>
  <c r="HN332" i="11"/>
  <c r="HO332" i="11"/>
  <c r="HP332" i="11"/>
  <c r="HQ332" i="11"/>
  <c r="HR332" i="11"/>
  <c r="HS332" i="11"/>
  <c r="HT332" i="11"/>
  <c r="HU332" i="11"/>
  <c r="HV332" i="11"/>
  <c r="HW332" i="11"/>
  <c r="HX332" i="11"/>
  <c r="HY332" i="11"/>
  <c r="HZ332" i="11"/>
  <c r="IA332" i="11"/>
  <c r="IB332" i="11"/>
  <c r="IC332" i="11"/>
  <c r="ID332" i="11"/>
  <c r="IE332" i="11"/>
  <c r="IF332" i="11"/>
  <c r="IG332" i="11"/>
  <c r="IH332" i="11"/>
  <c r="II332" i="11"/>
  <c r="IJ332" i="11"/>
  <c r="IK332" i="11"/>
  <c r="IL332" i="11"/>
  <c r="IM332" i="11"/>
  <c r="IN332" i="11"/>
  <c r="IO332" i="11"/>
  <c r="IP332" i="11"/>
  <c r="IQ332" i="11"/>
  <c r="IR332" i="11"/>
  <c r="IS332" i="11"/>
  <c r="IT332" i="11"/>
  <c r="IU332" i="11"/>
  <c r="IV332" i="11"/>
  <c r="F333" i="11"/>
  <c r="G333" i="11"/>
  <c r="H333" i="11"/>
  <c r="I333" i="11"/>
  <c r="J333" i="11"/>
  <c r="K333" i="11"/>
  <c r="L333" i="11"/>
  <c r="M333" i="11"/>
  <c r="N333" i="11"/>
  <c r="O333" i="11"/>
  <c r="P333" i="11"/>
  <c r="Q333" i="11"/>
  <c r="R333" i="11"/>
  <c r="S333" i="11"/>
  <c r="T333" i="11"/>
  <c r="U333" i="11"/>
  <c r="V333" i="11"/>
  <c r="W333" i="11"/>
  <c r="X333" i="11"/>
  <c r="Y333" i="11"/>
  <c r="Z333" i="11"/>
  <c r="AA333" i="11"/>
  <c r="AB333" i="11"/>
  <c r="AC333" i="11"/>
  <c r="AD333" i="11"/>
  <c r="AE333" i="11"/>
  <c r="AF333" i="11"/>
  <c r="AG333" i="11"/>
  <c r="AH333" i="11"/>
  <c r="AI333" i="11"/>
  <c r="AJ333" i="11"/>
  <c r="AK333" i="11"/>
  <c r="AL333" i="11"/>
  <c r="AM333" i="11"/>
  <c r="AN333" i="11"/>
  <c r="AO333" i="11"/>
  <c r="AP333" i="11"/>
  <c r="AQ333" i="11"/>
  <c r="AR333" i="11"/>
  <c r="AS333" i="11"/>
  <c r="AT333" i="11"/>
  <c r="AU333" i="11"/>
  <c r="AV333" i="11"/>
  <c r="AW333" i="11"/>
  <c r="AX333" i="11"/>
  <c r="AY333" i="11"/>
  <c r="AZ333" i="11"/>
  <c r="BA333" i="11"/>
  <c r="BB333" i="11"/>
  <c r="BC333" i="11"/>
  <c r="BD333" i="11"/>
  <c r="BE333" i="11"/>
  <c r="BF333" i="11"/>
  <c r="BG333" i="11"/>
  <c r="BH333" i="11"/>
  <c r="BI333" i="11"/>
  <c r="BJ333" i="11"/>
  <c r="BK333" i="11"/>
  <c r="BL333" i="11"/>
  <c r="BM333" i="11"/>
  <c r="BN333" i="11"/>
  <c r="BO333" i="11"/>
  <c r="BP333" i="11"/>
  <c r="BQ333" i="11"/>
  <c r="BR333" i="11"/>
  <c r="BS333" i="11"/>
  <c r="BT333" i="11"/>
  <c r="BU333" i="11"/>
  <c r="BV333" i="11"/>
  <c r="BW333" i="11"/>
  <c r="BX333" i="11"/>
  <c r="BY333" i="11"/>
  <c r="BZ333" i="11"/>
  <c r="CA333" i="11"/>
  <c r="CB333" i="11"/>
  <c r="CC333" i="11"/>
  <c r="CD333" i="11"/>
  <c r="CE333" i="11"/>
  <c r="CF333" i="11"/>
  <c r="CG333" i="11"/>
  <c r="CH333" i="11"/>
  <c r="CI333" i="11"/>
  <c r="CJ333" i="11"/>
  <c r="CK333" i="11"/>
  <c r="CL333" i="11"/>
  <c r="CM333" i="11"/>
  <c r="CN333" i="11"/>
  <c r="CO333" i="11"/>
  <c r="CP333" i="11"/>
  <c r="CQ333" i="11"/>
  <c r="CR333" i="11"/>
  <c r="CS333" i="11"/>
  <c r="CT333" i="11"/>
  <c r="CU333" i="11"/>
  <c r="CV333" i="11"/>
  <c r="CW333" i="11"/>
  <c r="CX333" i="11"/>
  <c r="CY333" i="11"/>
  <c r="CZ333" i="11"/>
  <c r="DA333" i="11"/>
  <c r="DB333" i="11"/>
  <c r="DC333" i="11"/>
  <c r="DD333" i="11"/>
  <c r="DE333" i="11"/>
  <c r="DF333" i="11"/>
  <c r="DG333" i="11"/>
  <c r="DH333" i="11"/>
  <c r="DI333" i="11"/>
  <c r="DJ333" i="11"/>
  <c r="DK333" i="11"/>
  <c r="DL333" i="11"/>
  <c r="DM333" i="11"/>
  <c r="DN333" i="11"/>
  <c r="DO333" i="11"/>
  <c r="DP333" i="11"/>
  <c r="DQ333" i="11"/>
  <c r="DR333" i="11"/>
  <c r="DS333" i="11"/>
  <c r="DT333" i="11"/>
  <c r="DU333" i="11"/>
  <c r="DV333" i="11"/>
  <c r="DW333" i="11"/>
  <c r="DX333" i="11"/>
  <c r="DY333" i="11"/>
  <c r="DZ333" i="11"/>
  <c r="EA333" i="11"/>
  <c r="EB333" i="11"/>
  <c r="EC333" i="11"/>
  <c r="ED333" i="11"/>
  <c r="EE333" i="11"/>
  <c r="EF333" i="11"/>
  <c r="EG333" i="11"/>
  <c r="EH333" i="11"/>
  <c r="EI333" i="11"/>
  <c r="EJ333" i="11"/>
  <c r="EK333" i="11"/>
  <c r="EL333" i="11"/>
  <c r="EM333" i="11"/>
  <c r="EN333" i="11"/>
  <c r="EO333" i="11"/>
  <c r="EP333" i="11"/>
  <c r="EQ333" i="11"/>
  <c r="ER333" i="11"/>
  <c r="ES333" i="11"/>
  <c r="ET333" i="11"/>
  <c r="EU333" i="11"/>
  <c r="EV333" i="11"/>
  <c r="EW333" i="11"/>
  <c r="EX333" i="11"/>
  <c r="EY333" i="11"/>
  <c r="EZ333" i="11"/>
  <c r="FA333" i="11"/>
  <c r="FB333" i="11"/>
  <c r="FC333" i="11"/>
  <c r="FD333" i="11"/>
  <c r="FE333" i="11"/>
  <c r="FF333" i="11"/>
  <c r="FG333" i="11"/>
  <c r="FH333" i="11"/>
  <c r="FI333" i="11"/>
  <c r="FJ333" i="11"/>
  <c r="FK333" i="11"/>
  <c r="FL333" i="11"/>
  <c r="FM333" i="11"/>
  <c r="FN333" i="11"/>
  <c r="FO333" i="11"/>
  <c r="FP333" i="11"/>
  <c r="FQ333" i="11"/>
  <c r="FR333" i="11"/>
  <c r="FS333" i="11"/>
  <c r="FT333" i="11"/>
  <c r="FU333" i="11"/>
  <c r="FV333" i="11"/>
  <c r="FW333" i="11"/>
  <c r="FX333" i="11"/>
  <c r="FY333" i="11"/>
  <c r="FZ333" i="11"/>
  <c r="GA333" i="11"/>
  <c r="GB333" i="11"/>
  <c r="GC333" i="11"/>
  <c r="GD333" i="11"/>
  <c r="GE333" i="11"/>
  <c r="GF333" i="11"/>
  <c r="GG333" i="11"/>
  <c r="GH333" i="11"/>
  <c r="GI333" i="11"/>
  <c r="GJ333" i="11"/>
  <c r="GK333" i="11"/>
  <c r="GL333" i="11"/>
  <c r="GM333" i="11"/>
  <c r="GN333" i="11"/>
  <c r="GO333" i="11"/>
  <c r="GP333" i="11"/>
  <c r="GQ333" i="11"/>
  <c r="GR333" i="11"/>
  <c r="GS333" i="11"/>
  <c r="GT333" i="11"/>
  <c r="GU333" i="11"/>
  <c r="GV333" i="11"/>
  <c r="GW333" i="11"/>
  <c r="GX333" i="11"/>
  <c r="GY333" i="11"/>
  <c r="GZ333" i="11"/>
  <c r="HA333" i="11"/>
  <c r="HB333" i="11"/>
  <c r="HC333" i="11"/>
  <c r="HD333" i="11"/>
  <c r="HE333" i="11"/>
  <c r="HF333" i="11"/>
  <c r="HG333" i="11"/>
  <c r="HH333" i="11"/>
  <c r="HI333" i="11"/>
  <c r="HJ333" i="11"/>
  <c r="HK333" i="11"/>
  <c r="HL333" i="11"/>
  <c r="HM333" i="11"/>
  <c r="HN333" i="11"/>
  <c r="HO333" i="11"/>
  <c r="HP333" i="11"/>
  <c r="HQ333" i="11"/>
  <c r="HR333" i="11"/>
  <c r="HS333" i="11"/>
  <c r="HT333" i="11"/>
  <c r="HU333" i="11"/>
  <c r="HV333" i="11"/>
  <c r="HW333" i="11"/>
  <c r="HX333" i="11"/>
  <c r="HY333" i="11"/>
  <c r="HZ333" i="11"/>
  <c r="IA333" i="11"/>
  <c r="IB333" i="11"/>
  <c r="IC333" i="11"/>
  <c r="ID333" i="11"/>
  <c r="IE333" i="11"/>
  <c r="IF333" i="11"/>
  <c r="IG333" i="11"/>
  <c r="IH333" i="11"/>
  <c r="II333" i="11"/>
  <c r="IJ333" i="11"/>
  <c r="IK333" i="11"/>
  <c r="IL333" i="11"/>
  <c r="IM333" i="11"/>
  <c r="IN333" i="11"/>
  <c r="IO333" i="11"/>
  <c r="IP333" i="11"/>
  <c r="IQ333" i="11"/>
  <c r="IR333" i="11"/>
  <c r="IS333" i="11"/>
  <c r="IT333" i="11"/>
  <c r="IU333" i="11"/>
  <c r="IV333" i="11"/>
  <c r="F334" i="11"/>
  <c r="G334" i="11"/>
  <c r="H334" i="11"/>
  <c r="I334" i="11"/>
  <c r="J334" i="11"/>
  <c r="K334" i="11"/>
  <c r="L334" i="11"/>
  <c r="M334" i="11"/>
  <c r="N334" i="11"/>
  <c r="O334" i="11"/>
  <c r="P334" i="11"/>
  <c r="Q334" i="11"/>
  <c r="R334" i="11"/>
  <c r="S334" i="11"/>
  <c r="T334" i="11"/>
  <c r="U334" i="11"/>
  <c r="V334" i="11"/>
  <c r="W334" i="11"/>
  <c r="X334" i="11"/>
  <c r="Y334" i="11"/>
  <c r="Z334" i="11"/>
  <c r="AA334" i="11"/>
  <c r="AB334" i="11"/>
  <c r="AC334" i="11"/>
  <c r="AD334" i="11"/>
  <c r="AE334" i="11"/>
  <c r="AF334" i="11"/>
  <c r="AG334" i="11"/>
  <c r="AH334" i="11"/>
  <c r="AI334" i="11"/>
  <c r="AJ334" i="11"/>
  <c r="AK334" i="11"/>
  <c r="AL334" i="11"/>
  <c r="AM334" i="11"/>
  <c r="AN334" i="11"/>
  <c r="AO334" i="11"/>
  <c r="AP334" i="11"/>
  <c r="AQ334" i="11"/>
  <c r="AR334" i="11"/>
  <c r="AS334" i="11"/>
  <c r="AT334" i="11"/>
  <c r="AU334" i="11"/>
  <c r="AV334" i="11"/>
  <c r="AW334" i="11"/>
  <c r="AX334" i="11"/>
  <c r="AY334" i="11"/>
  <c r="AZ334" i="11"/>
  <c r="BA334" i="11"/>
  <c r="BB334" i="11"/>
  <c r="BC334" i="11"/>
  <c r="BD334" i="11"/>
  <c r="BE334" i="11"/>
  <c r="BF334" i="11"/>
  <c r="BG334" i="11"/>
  <c r="BH334" i="11"/>
  <c r="BI334" i="11"/>
  <c r="BJ334" i="11"/>
  <c r="BK334" i="11"/>
  <c r="BL334" i="11"/>
  <c r="BM334" i="11"/>
  <c r="BN334" i="11"/>
  <c r="BO334" i="11"/>
  <c r="BP334" i="11"/>
  <c r="BQ334" i="11"/>
  <c r="BR334" i="11"/>
  <c r="BS334" i="11"/>
  <c r="BT334" i="11"/>
  <c r="BU334" i="11"/>
  <c r="BV334" i="11"/>
  <c r="BW334" i="11"/>
  <c r="BX334" i="11"/>
  <c r="BY334" i="11"/>
  <c r="BZ334" i="11"/>
  <c r="CA334" i="11"/>
  <c r="CB334" i="11"/>
  <c r="CC334" i="11"/>
  <c r="CD334" i="11"/>
  <c r="CE334" i="11"/>
  <c r="CF334" i="11"/>
  <c r="CG334" i="11"/>
  <c r="CH334" i="11"/>
  <c r="CI334" i="11"/>
  <c r="CJ334" i="11"/>
  <c r="CK334" i="11"/>
  <c r="CL334" i="11"/>
  <c r="CM334" i="11"/>
  <c r="CN334" i="11"/>
  <c r="CO334" i="11"/>
  <c r="CP334" i="11"/>
  <c r="CQ334" i="11"/>
  <c r="CR334" i="11"/>
  <c r="CS334" i="11"/>
  <c r="CT334" i="11"/>
  <c r="CU334" i="11"/>
  <c r="CV334" i="11"/>
  <c r="CW334" i="11"/>
  <c r="CX334" i="11"/>
  <c r="CY334" i="11"/>
  <c r="CZ334" i="11"/>
  <c r="DA334" i="11"/>
  <c r="DB334" i="11"/>
  <c r="DC334" i="11"/>
  <c r="DD334" i="11"/>
  <c r="DE334" i="11"/>
  <c r="DF334" i="11"/>
  <c r="DG334" i="11"/>
  <c r="DH334" i="11"/>
  <c r="DI334" i="11"/>
  <c r="DJ334" i="11"/>
  <c r="DK334" i="11"/>
  <c r="DL334" i="11"/>
  <c r="DM334" i="11"/>
  <c r="DN334" i="11"/>
  <c r="DO334" i="11"/>
  <c r="DP334" i="11"/>
  <c r="DQ334" i="11"/>
  <c r="DR334" i="11"/>
  <c r="DS334" i="11"/>
  <c r="DT334" i="11"/>
  <c r="DU334" i="11"/>
  <c r="DV334" i="11"/>
  <c r="DW334" i="11"/>
  <c r="DX334" i="11"/>
  <c r="DY334" i="11"/>
  <c r="DZ334" i="11"/>
  <c r="EA334" i="11"/>
  <c r="EB334" i="11"/>
  <c r="EC334" i="11"/>
  <c r="ED334" i="11"/>
  <c r="EE334" i="11"/>
  <c r="EF334" i="11"/>
  <c r="EG334" i="11"/>
  <c r="EH334" i="11"/>
  <c r="EI334" i="11"/>
  <c r="EJ334" i="11"/>
  <c r="EK334" i="11"/>
  <c r="EL334" i="11"/>
  <c r="EM334" i="11"/>
  <c r="EN334" i="11"/>
  <c r="EO334" i="11"/>
  <c r="EP334" i="11"/>
  <c r="EQ334" i="11"/>
  <c r="ER334" i="11"/>
  <c r="ES334" i="11"/>
  <c r="ET334" i="11"/>
  <c r="EU334" i="11"/>
  <c r="EV334" i="11"/>
  <c r="EW334" i="11"/>
  <c r="EX334" i="11"/>
  <c r="EY334" i="11"/>
  <c r="EZ334" i="11"/>
  <c r="FA334" i="11"/>
  <c r="FB334" i="11"/>
  <c r="FC334" i="11"/>
  <c r="FD334" i="11"/>
  <c r="FE334" i="11"/>
  <c r="FF334" i="11"/>
  <c r="FG334" i="11"/>
  <c r="FH334" i="11"/>
  <c r="FI334" i="11"/>
  <c r="FJ334" i="11"/>
  <c r="FK334" i="11"/>
  <c r="FL334" i="11"/>
  <c r="FM334" i="11"/>
  <c r="FN334" i="11"/>
  <c r="FO334" i="11"/>
  <c r="FP334" i="11"/>
  <c r="FQ334" i="11"/>
  <c r="FR334" i="11"/>
  <c r="FS334" i="11"/>
  <c r="FT334" i="11"/>
  <c r="FU334" i="11"/>
  <c r="FV334" i="11"/>
  <c r="FW334" i="11"/>
  <c r="FX334" i="11"/>
  <c r="FY334" i="11"/>
  <c r="FZ334" i="11"/>
  <c r="GA334" i="11"/>
  <c r="GB334" i="11"/>
  <c r="GC334" i="11"/>
  <c r="GD334" i="11"/>
  <c r="GE334" i="11"/>
  <c r="GF334" i="11"/>
  <c r="GG334" i="11"/>
  <c r="GH334" i="11"/>
  <c r="GI334" i="11"/>
  <c r="GJ334" i="11"/>
  <c r="GK334" i="11"/>
  <c r="GL334" i="11"/>
  <c r="GM334" i="11"/>
  <c r="GN334" i="11"/>
  <c r="GO334" i="11"/>
  <c r="GP334" i="11"/>
  <c r="GQ334" i="11"/>
  <c r="GR334" i="11"/>
  <c r="GS334" i="11"/>
  <c r="GT334" i="11"/>
  <c r="GU334" i="11"/>
  <c r="GV334" i="11"/>
  <c r="GW334" i="11"/>
  <c r="GX334" i="11"/>
  <c r="GY334" i="11"/>
  <c r="GZ334" i="11"/>
  <c r="HA334" i="11"/>
  <c r="HB334" i="11"/>
  <c r="HC334" i="11"/>
  <c r="HD334" i="11"/>
  <c r="HE334" i="11"/>
  <c r="HF334" i="11"/>
  <c r="HG334" i="11"/>
  <c r="HH334" i="11"/>
  <c r="HI334" i="11"/>
  <c r="HJ334" i="11"/>
  <c r="HK334" i="11"/>
  <c r="HL334" i="11"/>
  <c r="HM334" i="11"/>
  <c r="HN334" i="11"/>
  <c r="HO334" i="11"/>
  <c r="HP334" i="11"/>
  <c r="HQ334" i="11"/>
  <c r="HR334" i="11"/>
  <c r="HS334" i="11"/>
  <c r="HT334" i="11"/>
  <c r="HU334" i="11"/>
  <c r="HV334" i="11"/>
  <c r="HW334" i="11"/>
  <c r="HX334" i="11"/>
  <c r="HY334" i="11"/>
  <c r="HZ334" i="11"/>
  <c r="IA334" i="11"/>
  <c r="IB334" i="11"/>
  <c r="IC334" i="11"/>
  <c r="ID334" i="11"/>
  <c r="IE334" i="11"/>
  <c r="IF334" i="11"/>
  <c r="IG334" i="11"/>
  <c r="IH334" i="11"/>
  <c r="II334" i="11"/>
  <c r="IJ334" i="11"/>
  <c r="IK334" i="11"/>
  <c r="IL334" i="11"/>
  <c r="IM334" i="11"/>
  <c r="IN334" i="11"/>
  <c r="IO334" i="11"/>
  <c r="IP334" i="11"/>
  <c r="IQ334" i="11"/>
  <c r="IR334" i="11"/>
  <c r="IS334" i="11"/>
  <c r="IT334" i="11"/>
  <c r="IU334" i="11"/>
  <c r="IV334" i="11"/>
  <c r="F335" i="11"/>
  <c r="G335" i="11"/>
  <c r="H335" i="11"/>
  <c r="I335" i="11"/>
  <c r="J335" i="11"/>
  <c r="K335" i="11"/>
  <c r="L335" i="11"/>
  <c r="M335" i="11"/>
  <c r="N335" i="11"/>
  <c r="O335" i="11"/>
  <c r="P335" i="11"/>
  <c r="Q335" i="11"/>
  <c r="R335" i="11"/>
  <c r="S335" i="11"/>
  <c r="T335" i="11"/>
  <c r="U335" i="11"/>
  <c r="V335" i="11"/>
  <c r="W335" i="11"/>
  <c r="X335" i="11"/>
  <c r="Y335" i="11"/>
  <c r="Z335" i="11"/>
  <c r="AA335" i="11"/>
  <c r="AB335" i="11"/>
  <c r="AC335" i="11"/>
  <c r="AD335" i="11"/>
  <c r="AE335" i="11"/>
  <c r="AF335" i="11"/>
  <c r="AG335" i="11"/>
  <c r="AH335" i="11"/>
  <c r="AI335" i="11"/>
  <c r="AJ335" i="11"/>
  <c r="AK335" i="11"/>
  <c r="AL335" i="11"/>
  <c r="AM335" i="11"/>
  <c r="AN335" i="11"/>
  <c r="AO335" i="11"/>
  <c r="AP335" i="11"/>
  <c r="AQ335" i="11"/>
  <c r="AR335" i="11"/>
  <c r="AS335" i="11"/>
  <c r="AT335" i="11"/>
  <c r="AU335" i="11"/>
  <c r="AV335" i="11"/>
  <c r="AW335" i="11"/>
  <c r="AX335" i="11"/>
  <c r="AY335" i="11"/>
  <c r="AZ335" i="11"/>
  <c r="BA335" i="11"/>
  <c r="BB335" i="11"/>
  <c r="BC335" i="11"/>
  <c r="BD335" i="11"/>
  <c r="BE335" i="11"/>
  <c r="BF335" i="11"/>
  <c r="BG335" i="11"/>
  <c r="BH335" i="11"/>
  <c r="BI335" i="11"/>
  <c r="BJ335" i="11"/>
  <c r="BK335" i="11"/>
  <c r="BL335" i="11"/>
  <c r="BM335" i="11"/>
  <c r="BN335" i="11"/>
  <c r="BO335" i="11"/>
  <c r="BP335" i="11"/>
  <c r="BQ335" i="11"/>
  <c r="BR335" i="11"/>
  <c r="BS335" i="11"/>
  <c r="BT335" i="11"/>
  <c r="BU335" i="11"/>
  <c r="BV335" i="11"/>
  <c r="BW335" i="11"/>
  <c r="BX335" i="11"/>
  <c r="BY335" i="11"/>
  <c r="BZ335" i="11"/>
  <c r="CA335" i="11"/>
  <c r="CB335" i="11"/>
  <c r="CC335" i="11"/>
  <c r="CD335" i="11"/>
  <c r="CE335" i="11"/>
  <c r="CF335" i="11"/>
  <c r="CG335" i="11"/>
  <c r="CH335" i="11"/>
  <c r="CI335" i="11"/>
  <c r="CJ335" i="11"/>
  <c r="CK335" i="11"/>
  <c r="CL335" i="11"/>
  <c r="CM335" i="11"/>
  <c r="CN335" i="11"/>
  <c r="CO335" i="11"/>
  <c r="CP335" i="11"/>
  <c r="CQ335" i="11"/>
  <c r="CR335" i="11"/>
  <c r="CS335" i="11"/>
  <c r="CT335" i="11"/>
  <c r="CU335" i="11"/>
  <c r="CV335" i="11"/>
  <c r="CW335" i="11"/>
  <c r="CX335" i="11"/>
  <c r="CY335" i="11"/>
  <c r="CZ335" i="11"/>
  <c r="DA335" i="11"/>
  <c r="DB335" i="11"/>
  <c r="DC335" i="11"/>
  <c r="DD335" i="11"/>
  <c r="DE335" i="11"/>
  <c r="DF335" i="11"/>
  <c r="DG335" i="11"/>
  <c r="DH335" i="11"/>
  <c r="DI335" i="11"/>
  <c r="DJ335" i="11"/>
  <c r="DK335" i="11"/>
  <c r="DL335" i="11"/>
  <c r="DM335" i="11"/>
  <c r="DN335" i="11"/>
  <c r="DO335" i="11"/>
  <c r="DP335" i="11"/>
  <c r="DQ335" i="11"/>
  <c r="DR335" i="11"/>
  <c r="DS335" i="11"/>
  <c r="DT335" i="11"/>
  <c r="DU335" i="11"/>
  <c r="DV335" i="11"/>
  <c r="DW335" i="11"/>
  <c r="DX335" i="11"/>
  <c r="DY335" i="11"/>
  <c r="DZ335" i="11"/>
  <c r="EA335" i="11"/>
  <c r="EB335" i="11"/>
  <c r="EC335" i="11"/>
  <c r="ED335" i="11"/>
  <c r="EE335" i="11"/>
  <c r="EF335" i="11"/>
  <c r="EG335" i="11"/>
  <c r="EH335" i="11"/>
  <c r="EI335" i="11"/>
  <c r="EJ335" i="11"/>
  <c r="EK335" i="11"/>
  <c r="EL335" i="11"/>
  <c r="EM335" i="11"/>
  <c r="EN335" i="11"/>
  <c r="EO335" i="11"/>
  <c r="EP335" i="11"/>
  <c r="EQ335" i="11"/>
  <c r="ER335" i="11"/>
  <c r="ES335" i="11"/>
  <c r="ET335" i="11"/>
  <c r="EU335" i="11"/>
  <c r="EV335" i="11"/>
  <c r="EW335" i="11"/>
  <c r="EX335" i="11"/>
  <c r="EY335" i="11"/>
  <c r="EZ335" i="11"/>
  <c r="FA335" i="11"/>
  <c r="FB335" i="11"/>
  <c r="FC335" i="11"/>
  <c r="FD335" i="11"/>
  <c r="FE335" i="11"/>
  <c r="FF335" i="11"/>
  <c r="FG335" i="11"/>
  <c r="FH335" i="11"/>
  <c r="FI335" i="11"/>
  <c r="FJ335" i="11"/>
  <c r="FK335" i="11"/>
  <c r="FL335" i="11"/>
  <c r="FM335" i="11"/>
  <c r="FN335" i="11"/>
  <c r="FO335" i="11"/>
  <c r="FP335" i="11"/>
  <c r="FQ335" i="11"/>
  <c r="FR335" i="11"/>
  <c r="FS335" i="11"/>
  <c r="FT335" i="11"/>
  <c r="FU335" i="11"/>
  <c r="FV335" i="11"/>
  <c r="FW335" i="11"/>
  <c r="FX335" i="11"/>
  <c r="FY335" i="11"/>
  <c r="FZ335" i="11"/>
  <c r="GA335" i="11"/>
  <c r="GB335" i="11"/>
  <c r="GC335" i="11"/>
  <c r="GD335" i="11"/>
  <c r="GE335" i="11"/>
  <c r="GF335" i="11"/>
  <c r="GG335" i="11"/>
  <c r="GH335" i="11"/>
  <c r="GI335" i="11"/>
  <c r="GJ335" i="11"/>
  <c r="GK335" i="11"/>
  <c r="GL335" i="11"/>
  <c r="GM335" i="11"/>
  <c r="GN335" i="11"/>
  <c r="GO335" i="11"/>
  <c r="GP335" i="11"/>
  <c r="GQ335" i="11"/>
  <c r="GR335" i="11"/>
  <c r="GS335" i="11"/>
  <c r="GT335" i="11"/>
  <c r="GU335" i="11"/>
  <c r="GV335" i="11"/>
  <c r="GW335" i="11"/>
  <c r="GX335" i="11"/>
  <c r="GY335" i="11"/>
  <c r="GZ335" i="11"/>
  <c r="HA335" i="11"/>
  <c r="HB335" i="11"/>
  <c r="HC335" i="11"/>
  <c r="HD335" i="11"/>
  <c r="HE335" i="11"/>
  <c r="HF335" i="11"/>
  <c r="HG335" i="11"/>
  <c r="HH335" i="11"/>
  <c r="HI335" i="11"/>
  <c r="HJ335" i="11"/>
  <c r="HK335" i="11"/>
  <c r="HL335" i="11"/>
  <c r="HM335" i="11"/>
  <c r="HN335" i="11"/>
  <c r="HO335" i="11"/>
  <c r="HP335" i="11"/>
  <c r="HQ335" i="11"/>
  <c r="HR335" i="11"/>
  <c r="HS335" i="11"/>
  <c r="HT335" i="11"/>
  <c r="HU335" i="11"/>
  <c r="HV335" i="11"/>
  <c r="HW335" i="11"/>
  <c r="HX335" i="11"/>
  <c r="HY335" i="11"/>
  <c r="HZ335" i="11"/>
  <c r="IA335" i="11"/>
  <c r="IB335" i="11"/>
  <c r="IC335" i="11"/>
  <c r="ID335" i="11"/>
  <c r="IE335" i="11"/>
  <c r="IF335" i="11"/>
  <c r="IG335" i="11"/>
  <c r="IH335" i="11"/>
  <c r="II335" i="11"/>
  <c r="IJ335" i="11"/>
  <c r="IK335" i="11"/>
  <c r="IL335" i="11"/>
  <c r="IM335" i="11"/>
  <c r="IN335" i="11"/>
  <c r="IO335" i="11"/>
  <c r="IP335" i="11"/>
  <c r="IQ335" i="11"/>
  <c r="IR335" i="11"/>
  <c r="IS335" i="11"/>
  <c r="IT335" i="11"/>
  <c r="IU335" i="11"/>
  <c r="IV335" i="11"/>
  <c r="F336" i="11"/>
  <c r="G336" i="11"/>
  <c r="H336" i="11"/>
  <c r="I336" i="11"/>
  <c r="J336" i="11"/>
  <c r="K336" i="11"/>
  <c r="L336" i="11"/>
  <c r="M336" i="11"/>
  <c r="N336" i="11"/>
  <c r="O336" i="11"/>
  <c r="P336" i="11"/>
  <c r="Q336" i="11"/>
  <c r="R336" i="11"/>
  <c r="S336" i="11"/>
  <c r="T336" i="11"/>
  <c r="U336" i="11"/>
  <c r="V336" i="11"/>
  <c r="W336" i="11"/>
  <c r="X336" i="11"/>
  <c r="Y336" i="11"/>
  <c r="Z336" i="11"/>
  <c r="AA336" i="11"/>
  <c r="AB336" i="11"/>
  <c r="AC336" i="11"/>
  <c r="AD336" i="11"/>
  <c r="AE336" i="11"/>
  <c r="AF336" i="11"/>
  <c r="AG336" i="11"/>
  <c r="AH336" i="11"/>
  <c r="AI336" i="11"/>
  <c r="AJ336" i="11"/>
  <c r="AK336" i="11"/>
  <c r="AL336" i="11"/>
  <c r="AM336" i="11"/>
  <c r="AN336" i="11"/>
  <c r="AO336" i="11"/>
  <c r="AP336" i="11"/>
  <c r="AQ336" i="11"/>
  <c r="AR336" i="11"/>
  <c r="AS336" i="11"/>
  <c r="AT336" i="11"/>
  <c r="AU336" i="11"/>
  <c r="AV336" i="11"/>
  <c r="AW336" i="11"/>
  <c r="AX336" i="11"/>
  <c r="AY336" i="11"/>
  <c r="AZ336" i="11"/>
  <c r="BA336" i="11"/>
  <c r="BB336" i="11"/>
  <c r="BC336" i="11"/>
  <c r="BD336" i="11"/>
  <c r="BE336" i="11"/>
  <c r="BF336" i="11"/>
  <c r="BG336" i="11"/>
  <c r="BH336" i="11"/>
  <c r="BI336" i="11"/>
  <c r="BJ336" i="11"/>
  <c r="BK336" i="11"/>
  <c r="BL336" i="11"/>
  <c r="BM336" i="11"/>
  <c r="BN336" i="11"/>
  <c r="BO336" i="11"/>
  <c r="BP336" i="11"/>
  <c r="BQ336" i="11"/>
  <c r="BR336" i="11"/>
  <c r="BS336" i="11"/>
  <c r="BT336" i="11"/>
  <c r="BU336" i="11"/>
  <c r="BV336" i="11"/>
  <c r="BW336" i="11"/>
  <c r="BX336" i="11"/>
  <c r="BY336" i="11"/>
  <c r="BZ336" i="11"/>
  <c r="CA336" i="11"/>
  <c r="CB336" i="11"/>
  <c r="CC336" i="11"/>
  <c r="CD336" i="11"/>
  <c r="CE336" i="11"/>
  <c r="CF336" i="11"/>
  <c r="CG336" i="11"/>
  <c r="CH336" i="11"/>
  <c r="CI336" i="11"/>
  <c r="CJ336" i="11"/>
  <c r="CK336" i="11"/>
  <c r="CL336" i="11"/>
  <c r="CM336" i="11"/>
  <c r="CN336" i="11"/>
  <c r="CO336" i="11"/>
  <c r="CP336" i="11"/>
  <c r="CQ336" i="11"/>
  <c r="CR336" i="11"/>
  <c r="CS336" i="11"/>
  <c r="CT336" i="11"/>
  <c r="CU336" i="11"/>
  <c r="CV336" i="11"/>
  <c r="CW336" i="11"/>
  <c r="CX336" i="11"/>
  <c r="CY336" i="11"/>
  <c r="CZ336" i="11"/>
  <c r="DA336" i="11"/>
  <c r="DB336" i="11"/>
  <c r="DC336" i="11"/>
  <c r="DD336" i="11"/>
  <c r="DE336" i="11"/>
  <c r="DF336" i="11"/>
  <c r="DG336" i="11"/>
  <c r="DH336" i="11"/>
  <c r="DI336" i="11"/>
  <c r="DJ336" i="11"/>
  <c r="DK336" i="11"/>
  <c r="DL336" i="11"/>
  <c r="DM336" i="11"/>
  <c r="DN336" i="11"/>
  <c r="DO336" i="11"/>
  <c r="DP336" i="11"/>
  <c r="DQ336" i="11"/>
  <c r="DR336" i="11"/>
  <c r="DS336" i="11"/>
  <c r="DT336" i="11"/>
  <c r="DU336" i="11"/>
  <c r="DV336" i="11"/>
  <c r="DW336" i="11"/>
  <c r="DX336" i="11"/>
  <c r="DY336" i="11"/>
  <c r="DZ336" i="11"/>
  <c r="EA336" i="11"/>
  <c r="EB336" i="11"/>
  <c r="EC336" i="11"/>
  <c r="ED336" i="11"/>
  <c r="EE336" i="11"/>
  <c r="EF336" i="11"/>
  <c r="EG336" i="11"/>
  <c r="EH336" i="11"/>
  <c r="EI336" i="11"/>
  <c r="EJ336" i="11"/>
  <c r="EK336" i="11"/>
  <c r="EL336" i="11"/>
  <c r="EM336" i="11"/>
  <c r="EN336" i="11"/>
  <c r="EO336" i="11"/>
  <c r="EP336" i="11"/>
  <c r="EQ336" i="11"/>
  <c r="ER336" i="11"/>
  <c r="ES336" i="11"/>
  <c r="ET336" i="11"/>
  <c r="EU336" i="11"/>
  <c r="EV336" i="11"/>
  <c r="EW336" i="11"/>
  <c r="EX336" i="11"/>
  <c r="EY336" i="11"/>
  <c r="EZ336" i="11"/>
  <c r="FA336" i="11"/>
  <c r="FB336" i="11"/>
  <c r="FC336" i="11"/>
  <c r="FD336" i="11"/>
  <c r="FE336" i="11"/>
  <c r="FF336" i="11"/>
  <c r="FG336" i="11"/>
  <c r="FH336" i="11"/>
  <c r="FI336" i="11"/>
  <c r="FJ336" i="11"/>
  <c r="FK336" i="11"/>
  <c r="FL336" i="11"/>
  <c r="FM336" i="11"/>
  <c r="FN336" i="11"/>
  <c r="FO336" i="11"/>
  <c r="FP336" i="11"/>
  <c r="FQ336" i="11"/>
  <c r="FR336" i="11"/>
  <c r="FS336" i="11"/>
  <c r="FT336" i="11"/>
  <c r="FU336" i="11"/>
  <c r="FV336" i="11"/>
  <c r="FW336" i="11"/>
  <c r="FX336" i="11"/>
  <c r="FY336" i="11"/>
  <c r="FZ336" i="11"/>
  <c r="GA336" i="11"/>
  <c r="GB336" i="11"/>
  <c r="GC336" i="11"/>
  <c r="GD336" i="11"/>
  <c r="GE336" i="11"/>
  <c r="GF336" i="11"/>
  <c r="GG336" i="11"/>
  <c r="GH336" i="11"/>
  <c r="GI336" i="11"/>
  <c r="GJ336" i="11"/>
  <c r="GK336" i="11"/>
  <c r="GL336" i="11"/>
  <c r="GM336" i="11"/>
  <c r="GN336" i="11"/>
  <c r="GO336" i="11"/>
  <c r="GP336" i="11"/>
  <c r="GQ336" i="11"/>
  <c r="GR336" i="11"/>
  <c r="GS336" i="11"/>
  <c r="GT336" i="11"/>
  <c r="GU336" i="11"/>
  <c r="GV336" i="11"/>
  <c r="GW336" i="11"/>
  <c r="GX336" i="11"/>
  <c r="GY336" i="11"/>
  <c r="GZ336" i="11"/>
  <c r="HA336" i="11"/>
  <c r="HB336" i="11"/>
  <c r="HC336" i="11"/>
  <c r="HD336" i="11"/>
  <c r="HE336" i="11"/>
  <c r="HF336" i="11"/>
  <c r="HG336" i="11"/>
  <c r="HH336" i="11"/>
  <c r="HI336" i="11"/>
  <c r="HJ336" i="11"/>
  <c r="HK336" i="11"/>
  <c r="HL336" i="11"/>
  <c r="HM336" i="11"/>
  <c r="HN336" i="11"/>
  <c r="HO336" i="11"/>
  <c r="HP336" i="11"/>
  <c r="HQ336" i="11"/>
  <c r="HR336" i="11"/>
  <c r="HS336" i="11"/>
  <c r="HT336" i="11"/>
  <c r="HU336" i="11"/>
  <c r="HV336" i="11"/>
  <c r="HW336" i="11"/>
  <c r="HX336" i="11"/>
  <c r="HY336" i="11"/>
  <c r="HZ336" i="11"/>
  <c r="IA336" i="11"/>
  <c r="IB336" i="11"/>
  <c r="IC336" i="11"/>
  <c r="ID336" i="11"/>
  <c r="IE336" i="11"/>
  <c r="IF336" i="11"/>
  <c r="IG336" i="11"/>
  <c r="IH336" i="11"/>
  <c r="II336" i="11"/>
  <c r="IJ336" i="11"/>
  <c r="IK336" i="11"/>
  <c r="IL336" i="11"/>
  <c r="IM336" i="11"/>
  <c r="IN336" i="11"/>
  <c r="IO336" i="11"/>
  <c r="IP336" i="11"/>
  <c r="IQ336" i="11"/>
  <c r="IR336" i="11"/>
  <c r="IS336" i="11"/>
  <c r="IT336" i="11"/>
  <c r="IU336" i="11"/>
  <c r="IV336" i="11"/>
  <c r="F337" i="11"/>
  <c r="G337" i="11"/>
  <c r="H337" i="11"/>
  <c r="I337" i="11"/>
  <c r="J337" i="11"/>
  <c r="K337" i="11"/>
  <c r="L337" i="11"/>
  <c r="M337" i="11"/>
  <c r="N337" i="11"/>
  <c r="O337" i="11"/>
  <c r="P337" i="11"/>
  <c r="Q337" i="11"/>
  <c r="R337" i="11"/>
  <c r="S337" i="11"/>
  <c r="T337" i="11"/>
  <c r="U337" i="11"/>
  <c r="V337" i="11"/>
  <c r="W337" i="11"/>
  <c r="X337" i="11"/>
  <c r="Y337" i="11"/>
  <c r="Z337" i="11"/>
  <c r="AA337" i="11"/>
  <c r="AB337" i="11"/>
  <c r="AC337" i="11"/>
  <c r="AD337" i="11"/>
  <c r="AE337" i="11"/>
  <c r="AF337" i="11"/>
  <c r="AG337" i="11"/>
  <c r="AH337" i="11"/>
  <c r="AI337" i="11"/>
  <c r="AJ337" i="11"/>
  <c r="AK337" i="11"/>
  <c r="AL337" i="11"/>
  <c r="AM337" i="11"/>
  <c r="AN337" i="11"/>
  <c r="AO337" i="11"/>
  <c r="AP337" i="11"/>
  <c r="AQ337" i="11"/>
  <c r="AR337" i="11"/>
  <c r="AS337" i="11"/>
  <c r="AT337" i="11"/>
  <c r="AU337" i="11"/>
  <c r="AV337" i="11"/>
  <c r="AW337" i="11"/>
  <c r="AX337" i="11"/>
  <c r="AY337" i="11"/>
  <c r="AZ337" i="11"/>
  <c r="BA337" i="11"/>
  <c r="BB337" i="11"/>
  <c r="BC337" i="11"/>
  <c r="BD337" i="11"/>
  <c r="BE337" i="11"/>
  <c r="BF337" i="11"/>
  <c r="BG337" i="11"/>
  <c r="BH337" i="11"/>
  <c r="BI337" i="11"/>
  <c r="BJ337" i="11"/>
  <c r="BK337" i="11"/>
  <c r="BL337" i="11"/>
  <c r="BM337" i="11"/>
  <c r="BN337" i="11"/>
  <c r="BO337" i="11"/>
  <c r="BP337" i="11"/>
  <c r="BQ337" i="11"/>
  <c r="BR337" i="11"/>
  <c r="BS337" i="11"/>
  <c r="BT337" i="11"/>
  <c r="BU337" i="11"/>
  <c r="BV337" i="11"/>
  <c r="BW337" i="11"/>
  <c r="BX337" i="11"/>
  <c r="BY337" i="11"/>
  <c r="BZ337" i="11"/>
  <c r="CA337" i="11"/>
  <c r="CB337" i="11"/>
  <c r="CC337" i="11"/>
  <c r="CD337" i="11"/>
  <c r="CE337" i="11"/>
  <c r="CF337" i="11"/>
  <c r="CG337" i="11"/>
  <c r="CH337" i="11"/>
  <c r="CI337" i="11"/>
  <c r="CJ337" i="11"/>
  <c r="CK337" i="11"/>
  <c r="CL337" i="11"/>
  <c r="CM337" i="11"/>
  <c r="CN337" i="11"/>
  <c r="CO337" i="11"/>
  <c r="CP337" i="11"/>
  <c r="CQ337" i="11"/>
  <c r="CR337" i="11"/>
  <c r="CS337" i="11"/>
  <c r="CT337" i="11"/>
  <c r="CU337" i="11"/>
  <c r="CV337" i="11"/>
  <c r="CW337" i="11"/>
  <c r="CX337" i="11"/>
  <c r="CY337" i="11"/>
  <c r="CZ337" i="11"/>
  <c r="DA337" i="11"/>
  <c r="DB337" i="11"/>
  <c r="DC337" i="11"/>
  <c r="DD337" i="11"/>
  <c r="DE337" i="11"/>
  <c r="DF337" i="11"/>
  <c r="DG337" i="11"/>
  <c r="DH337" i="11"/>
  <c r="DI337" i="11"/>
  <c r="DJ337" i="11"/>
  <c r="DK337" i="11"/>
  <c r="DL337" i="11"/>
  <c r="DM337" i="11"/>
  <c r="DN337" i="11"/>
  <c r="DO337" i="11"/>
  <c r="DP337" i="11"/>
  <c r="DQ337" i="11"/>
  <c r="DR337" i="11"/>
  <c r="DS337" i="11"/>
  <c r="DT337" i="11"/>
  <c r="DU337" i="11"/>
  <c r="DV337" i="11"/>
  <c r="DW337" i="11"/>
  <c r="DX337" i="11"/>
  <c r="DY337" i="11"/>
  <c r="DZ337" i="11"/>
  <c r="EA337" i="11"/>
  <c r="EB337" i="11"/>
  <c r="EC337" i="11"/>
  <c r="ED337" i="11"/>
  <c r="EE337" i="11"/>
  <c r="EF337" i="11"/>
  <c r="EG337" i="11"/>
  <c r="EH337" i="11"/>
  <c r="EI337" i="11"/>
  <c r="EJ337" i="11"/>
  <c r="EK337" i="11"/>
  <c r="EL337" i="11"/>
  <c r="EM337" i="11"/>
  <c r="EN337" i="11"/>
  <c r="EO337" i="11"/>
  <c r="EP337" i="11"/>
  <c r="EQ337" i="11"/>
  <c r="ER337" i="11"/>
  <c r="ES337" i="11"/>
  <c r="ET337" i="11"/>
  <c r="EU337" i="11"/>
  <c r="EV337" i="11"/>
  <c r="EW337" i="11"/>
  <c r="EX337" i="11"/>
  <c r="EY337" i="11"/>
  <c r="EZ337" i="11"/>
  <c r="FA337" i="11"/>
  <c r="FB337" i="11"/>
  <c r="FC337" i="11"/>
  <c r="FD337" i="11"/>
  <c r="FE337" i="11"/>
  <c r="FF337" i="11"/>
  <c r="FG337" i="11"/>
  <c r="FH337" i="11"/>
  <c r="FI337" i="11"/>
  <c r="FJ337" i="11"/>
  <c r="FK337" i="11"/>
  <c r="FL337" i="11"/>
  <c r="FM337" i="11"/>
  <c r="FN337" i="11"/>
  <c r="FO337" i="11"/>
  <c r="FP337" i="11"/>
  <c r="FQ337" i="11"/>
  <c r="FR337" i="11"/>
  <c r="FS337" i="11"/>
  <c r="FT337" i="11"/>
  <c r="FU337" i="11"/>
  <c r="FV337" i="11"/>
  <c r="FW337" i="11"/>
  <c r="FX337" i="11"/>
  <c r="FY337" i="11"/>
  <c r="FZ337" i="11"/>
  <c r="GA337" i="11"/>
  <c r="GB337" i="11"/>
  <c r="GC337" i="11"/>
  <c r="GD337" i="11"/>
  <c r="GE337" i="11"/>
  <c r="GF337" i="11"/>
  <c r="GG337" i="11"/>
  <c r="GH337" i="11"/>
  <c r="GI337" i="11"/>
  <c r="GJ337" i="11"/>
  <c r="GK337" i="11"/>
  <c r="GL337" i="11"/>
  <c r="GM337" i="11"/>
  <c r="GN337" i="11"/>
  <c r="GO337" i="11"/>
  <c r="GP337" i="11"/>
  <c r="GQ337" i="11"/>
  <c r="GR337" i="11"/>
  <c r="GS337" i="11"/>
  <c r="GT337" i="11"/>
  <c r="GU337" i="11"/>
  <c r="GV337" i="11"/>
  <c r="GW337" i="11"/>
  <c r="GX337" i="11"/>
  <c r="GY337" i="11"/>
  <c r="GZ337" i="11"/>
  <c r="HA337" i="11"/>
  <c r="HB337" i="11"/>
  <c r="HC337" i="11"/>
  <c r="HD337" i="11"/>
  <c r="HE337" i="11"/>
  <c r="HF337" i="11"/>
  <c r="HG337" i="11"/>
  <c r="HH337" i="11"/>
  <c r="HI337" i="11"/>
  <c r="HJ337" i="11"/>
  <c r="HK337" i="11"/>
  <c r="HL337" i="11"/>
  <c r="HM337" i="11"/>
  <c r="HN337" i="11"/>
  <c r="HO337" i="11"/>
  <c r="HP337" i="11"/>
  <c r="HQ337" i="11"/>
  <c r="HR337" i="11"/>
  <c r="HS337" i="11"/>
  <c r="HT337" i="11"/>
  <c r="HU337" i="11"/>
  <c r="HV337" i="11"/>
  <c r="HW337" i="11"/>
  <c r="HX337" i="11"/>
  <c r="HY337" i="11"/>
  <c r="HZ337" i="11"/>
  <c r="IA337" i="11"/>
  <c r="IB337" i="11"/>
  <c r="IC337" i="11"/>
  <c r="ID337" i="11"/>
  <c r="IE337" i="11"/>
  <c r="IF337" i="11"/>
  <c r="IG337" i="11"/>
  <c r="IH337" i="11"/>
  <c r="II337" i="11"/>
  <c r="IJ337" i="11"/>
  <c r="IK337" i="11"/>
  <c r="IL337" i="11"/>
  <c r="IM337" i="11"/>
  <c r="IN337" i="11"/>
  <c r="IO337" i="11"/>
  <c r="IP337" i="11"/>
  <c r="IQ337" i="11"/>
  <c r="IR337" i="11"/>
  <c r="IS337" i="11"/>
  <c r="IT337" i="11"/>
  <c r="IU337" i="11"/>
  <c r="IV337" i="11"/>
  <c r="F338" i="11"/>
  <c r="G338" i="11"/>
  <c r="H338" i="11"/>
  <c r="I338" i="11"/>
  <c r="J338" i="11"/>
  <c r="K338" i="11"/>
  <c r="L338" i="11"/>
  <c r="M338" i="11"/>
  <c r="N338" i="11"/>
  <c r="O338" i="11"/>
  <c r="P338" i="11"/>
  <c r="Q338" i="11"/>
  <c r="R338" i="11"/>
  <c r="S338" i="11"/>
  <c r="T338" i="11"/>
  <c r="U338" i="11"/>
  <c r="V338" i="11"/>
  <c r="W338" i="11"/>
  <c r="X338" i="11"/>
  <c r="Y338" i="11"/>
  <c r="Z338" i="11"/>
  <c r="AA338" i="11"/>
  <c r="AB338" i="11"/>
  <c r="AC338" i="11"/>
  <c r="AD338" i="11"/>
  <c r="AE338" i="11"/>
  <c r="AF338" i="11"/>
  <c r="AG338" i="11"/>
  <c r="AH338" i="11"/>
  <c r="AI338" i="11"/>
  <c r="AJ338" i="11"/>
  <c r="AK338" i="11"/>
  <c r="AL338" i="11"/>
  <c r="AM338" i="11"/>
  <c r="AN338" i="11"/>
  <c r="AO338" i="11"/>
  <c r="AP338" i="11"/>
  <c r="AQ338" i="11"/>
  <c r="AR338" i="11"/>
  <c r="AS338" i="11"/>
  <c r="AT338" i="11"/>
  <c r="AU338" i="11"/>
  <c r="AV338" i="11"/>
  <c r="AW338" i="11"/>
  <c r="AX338" i="11"/>
  <c r="AY338" i="11"/>
  <c r="AZ338" i="11"/>
  <c r="BA338" i="11"/>
  <c r="BB338" i="11"/>
  <c r="BC338" i="11"/>
  <c r="BD338" i="11"/>
  <c r="BE338" i="11"/>
  <c r="BF338" i="11"/>
  <c r="BG338" i="11"/>
  <c r="BH338" i="11"/>
  <c r="BI338" i="11"/>
  <c r="BJ338" i="11"/>
  <c r="BK338" i="11"/>
  <c r="BL338" i="11"/>
  <c r="BM338" i="11"/>
  <c r="BN338" i="11"/>
  <c r="BO338" i="11"/>
  <c r="BP338" i="11"/>
  <c r="BQ338" i="11"/>
  <c r="BR338" i="11"/>
  <c r="BS338" i="11"/>
  <c r="BT338" i="11"/>
  <c r="BU338" i="11"/>
  <c r="BV338" i="11"/>
  <c r="BW338" i="11"/>
  <c r="BX338" i="11"/>
  <c r="BY338" i="11"/>
  <c r="BZ338" i="11"/>
  <c r="CA338" i="11"/>
  <c r="CB338" i="11"/>
  <c r="CC338" i="11"/>
  <c r="CD338" i="11"/>
  <c r="CE338" i="11"/>
  <c r="CF338" i="11"/>
  <c r="CG338" i="11"/>
  <c r="CH338" i="11"/>
  <c r="CI338" i="11"/>
  <c r="CJ338" i="11"/>
  <c r="CK338" i="11"/>
  <c r="CL338" i="11"/>
  <c r="CM338" i="11"/>
  <c r="CN338" i="11"/>
  <c r="CO338" i="11"/>
  <c r="CP338" i="11"/>
  <c r="CQ338" i="11"/>
  <c r="CR338" i="11"/>
  <c r="CS338" i="11"/>
  <c r="CT338" i="11"/>
  <c r="CU338" i="11"/>
  <c r="CV338" i="11"/>
  <c r="CW338" i="11"/>
  <c r="CX338" i="11"/>
  <c r="CY338" i="11"/>
  <c r="CZ338" i="11"/>
  <c r="DA338" i="11"/>
  <c r="DB338" i="11"/>
  <c r="DC338" i="11"/>
  <c r="DD338" i="11"/>
  <c r="DE338" i="11"/>
  <c r="DF338" i="11"/>
  <c r="DG338" i="11"/>
  <c r="DH338" i="11"/>
  <c r="DI338" i="11"/>
  <c r="DJ338" i="11"/>
  <c r="DK338" i="11"/>
  <c r="DL338" i="11"/>
  <c r="DM338" i="11"/>
  <c r="DN338" i="11"/>
  <c r="DO338" i="11"/>
  <c r="DP338" i="11"/>
  <c r="DQ338" i="11"/>
  <c r="DR338" i="11"/>
  <c r="DS338" i="11"/>
  <c r="DT338" i="11"/>
  <c r="DU338" i="11"/>
  <c r="DV338" i="11"/>
  <c r="DW338" i="11"/>
  <c r="DX338" i="11"/>
  <c r="DY338" i="11"/>
  <c r="DZ338" i="11"/>
  <c r="EA338" i="11"/>
  <c r="EB338" i="11"/>
  <c r="EC338" i="11"/>
  <c r="ED338" i="11"/>
  <c r="EE338" i="11"/>
  <c r="EF338" i="11"/>
  <c r="EG338" i="11"/>
  <c r="EH338" i="11"/>
  <c r="EI338" i="11"/>
  <c r="EJ338" i="11"/>
  <c r="EK338" i="11"/>
  <c r="EL338" i="11"/>
  <c r="EM338" i="11"/>
  <c r="EN338" i="11"/>
  <c r="EO338" i="11"/>
  <c r="EP338" i="11"/>
  <c r="EQ338" i="11"/>
  <c r="ER338" i="11"/>
  <c r="ES338" i="11"/>
  <c r="ET338" i="11"/>
  <c r="EU338" i="11"/>
  <c r="EV338" i="11"/>
  <c r="EW338" i="11"/>
  <c r="EX338" i="11"/>
  <c r="EY338" i="11"/>
  <c r="EZ338" i="11"/>
  <c r="FA338" i="11"/>
  <c r="FB338" i="11"/>
  <c r="FC338" i="11"/>
  <c r="FD338" i="11"/>
  <c r="FE338" i="11"/>
  <c r="FF338" i="11"/>
  <c r="FG338" i="11"/>
  <c r="FH338" i="11"/>
  <c r="FI338" i="11"/>
  <c r="FJ338" i="11"/>
  <c r="FK338" i="11"/>
  <c r="FL338" i="11"/>
  <c r="FM338" i="11"/>
  <c r="FN338" i="11"/>
  <c r="FO338" i="11"/>
  <c r="FP338" i="11"/>
  <c r="FQ338" i="11"/>
  <c r="FR338" i="11"/>
  <c r="FS338" i="11"/>
  <c r="FT338" i="11"/>
  <c r="FU338" i="11"/>
  <c r="FV338" i="11"/>
  <c r="FW338" i="11"/>
  <c r="FX338" i="11"/>
  <c r="FY338" i="11"/>
  <c r="FZ338" i="11"/>
  <c r="GA338" i="11"/>
  <c r="GB338" i="11"/>
  <c r="GC338" i="11"/>
  <c r="GD338" i="11"/>
  <c r="GE338" i="11"/>
  <c r="GF338" i="11"/>
  <c r="GG338" i="11"/>
  <c r="GH338" i="11"/>
  <c r="GI338" i="11"/>
  <c r="GJ338" i="11"/>
  <c r="GK338" i="11"/>
  <c r="GL338" i="11"/>
  <c r="GM338" i="11"/>
  <c r="GN338" i="11"/>
  <c r="GO338" i="11"/>
  <c r="GP338" i="11"/>
  <c r="GQ338" i="11"/>
  <c r="GR338" i="11"/>
  <c r="GS338" i="11"/>
  <c r="GT338" i="11"/>
  <c r="GU338" i="11"/>
  <c r="GV338" i="11"/>
  <c r="GW338" i="11"/>
  <c r="GX338" i="11"/>
  <c r="GY338" i="11"/>
  <c r="GZ338" i="11"/>
  <c r="HA338" i="11"/>
  <c r="HB338" i="11"/>
  <c r="HC338" i="11"/>
  <c r="HD338" i="11"/>
  <c r="HE338" i="11"/>
  <c r="HF338" i="11"/>
  <c r="HG338" i="11"/>
  <c r="HH338" i="11"/>
  <c r="HI338" i="11"/>
  <c r="HJ338" i="11"/>
  <c r="HK338" i="11"/>
  <c r="HL338" i="11"/>
  <c r="HM338" i="11"/>
  <c r="HN338" i="11"/>
  <c r="HO338" i="11"/>
  <c r="HP338" i="11"/>
  <c r="HQ338" i="11"/>
  <c r="HR338" i="11"/>
  <c r="HS338" i="11"/>
  <c r="HT338" i="11"/>
  <c r="HU338" i="11"/>
  <c r="HV338" i="11"/>
  <c r="HW338" i="11"/>
  <c r="HX338" i="11"/>
  <c r="HY338" i="11"/>
  <c r="HZ338" i="11"/>
  <c r="IA338" i="11"/>
  <c r="IB338" i="11"/>
  <c r="IC338" i="11"/>
  <c r="ID338" i="11"/>
  <c r="IE338" i="11"/>
  <c r="IF338" i="11"/>
  <c r="IG338" i="11"/>
  <c r="IH338" i="11"/>
  <c r="II338" i="11"/>
  <c r="IJ338" i="11"/>
  <c r="IK338" i="11"/>
  <c r="IL338" i="11"/>
  <c r="IM338" i="11"/>
  <c r="IN338" i="11"/>
  <c r="IO338" i="11"/>
  <c r="IP338" i="11"/>
  <c r="IQ338" i="11"/>
  <c r="IR338" i="11"/>
  <c r="IS338" i="11"/>
  <c r="IT338" i="11"/>
  <c r="IU338" i="11"/>
  <c r="IV338" i="11"/>
  <c r="F339" i="11"/>
  <c r="G339" i="11"/>
  <c r="H339" i="11"/>
  <c r="I339" i="11"/>
  <c r="J339" i="11"/>
  <c r="K339" i="11"/>
  <c r="L339" i="11"/>
  <c r="M339" i="11"/>
  <c r="N339" i="11"/>
  <c r="O339" i="11"/>
  <c r="P339" i="11"/>
  <c r="Q339" i="11"/>
  <c r="R339" i="11"/>
  <c r="S339" i="11"/>
  <c r="T339" i="11"/>
  <c r="U339" i="11"/>
  <c r="V339" i="11"/>
  <c r="W339" i="11"/>
  <c r="X339" i="11"/>
  <c r="Y339" i="11"/>
  <c r="Z339" i="11"/>
  <c r="AA339" i="11"/>
  <c r="AB339" i="11"/>
  <c r="AC339" i="11"/>
  <c r="AD339" i="11"/>
  <c r="AE339" i="11"/>
  <c r="AF339" i="11"/>
  <c r="AG339" i="11"/>
  <c r="AH339" i="11"/>
  <c r="AI339" i="11"/>
  <c r="AJ339" i="11"/>
  <c r="AK339" i="11"/>
  <c r="AL339" i="11"/>
  <c r="AM339" i="11"/>
  <c r="AN339" i="11"/>
  <c r="AO339" i="11"/>
  <c r="AP339" i="11"/>
  <c r="AQ339" i="11"/>
  <c r="AR339" i="11"/>
  <c r="AS339" i="11"/>
  <c r="AT339" i="11"/>
  <c r="AU339" i="11"/>
  <c r="AV339" i="11"/>
  <c r="AW339" i="11"/>
  <c r="AX339" i="11"/>
  <c r="AY339" i="11"/>
  <c r="AZ339" i="11"/>
  <c r="BA339" i="11"/>
  <c r="BB339" i="11"/>
  <c r="BC339" i="11"/>
  <c r="BD339" i="11"/>
  <c r="BE339" i="11"/>
  <c r="BF339" i="11"/>
  <c r="BG339" i="11"/>
  <c r="BH339" i="11"/>
  <c r="BI339" i="11"/>
  <c r="BJ339" i="11"/>
  <c r="BK339" i="11"/>
  <c r="BL339" i="11"/>
  <c r="BM339" i="11"/>
  <c r="BN339" i="11"/>
  <c r="BO339" i="11"/>
  <c r="BP339" i="11"/>
  <c r="BQ339" i="11"/>
  <c r="BR339" i="11"/>
  <c r="BS339" i="11"/>
  <c r="BT339" i="11"/>
  <c r="BU339" i="11"/>
  <c r="BV339" i="11"/>
  <c r="BW339" i="11"/>
  <c r="BX339" i="11"/>
  <c r="BY339" i="11"/>
  <c r="BZ339" i="11"/>
  <c r="CA339" i="11"/>
  <c r="CB339" i="11"/>
  <c r="CC339" i="11"/>
  <c r="CD339" i="11"/>
  <c r="CE339" i="11"/>
  <c r="CF339" i="11"/>
  <c r="CG339" i="11"/>
  <c r="CH339" i="11"/>
  <c r="CI339" i="11"/>
  <c r="CJ339" i="11"/>
  <c r="CK339" i="11"/>
  <c r="CL339" i="11"/>
  <c r="CM339" i="11"/>
  <c r="CN339" i="11"/>
  <c r="CO339" i="11"/>
  <c r="CP339" i="11"/>
  <c r="CQ339" i="11"/>
  <c r="CR339" i="11"/>
  <c r="CS339" i="11"/>
  <c r="CT339" i="11"/>
  <c r="CU339" i="11"/>
  <c r="CV339" i="11"/>
  <c r="CW339" i="11"/>
  <c r="CX339" i="11"/>
  <c r="CY339" i="11"/>
  <c r="CZ339" i="11"/>
  <c r="DA339" i="11"/>
  <c r="DB339" i="11"/>
  <c r="DC339" i="11"/>
  <c r="DD339" i="11"/>
  <c r="DE339" i="11"/>
  <c r="DF339" i="11"/>
  <c r="DG339" i="11"/>
  <c r="DH339" i="11"/>
  <c r="DI339" i="11"/>
  <c r="DJ339" i="11"/>
  <c r="DK339" i="11"/>
  <c r="DL339" i="11"/>
  <c r="DM339" i="11"/>
  <c r="DN339" i="11"/>
  <c r="DO339" i="11"/>
  <c r="DP339" i="11"/>
  <c r="DQ339" i="11"/>
  <c r="DR339" i="11"/>
  <c r="DS339" i="11"/>
  <c r="DT339" i="11"/>
  <c r="DU339" i="11"/>
  <c r="DV339" i="11"/>
  <c r="DW339" i="11"/>
  <c r="DX339" i="11"/>
  <c r="DY339" i="11"/>
  <c r="DZ339" i="11"/>
  <c r="EA339" i="11"/>
  <c r="EB339" i="11"/>
  <c r="EC339" i="11"/>
  <c r="ED339" i="11"/>
  <c r="EE339" i="11"/>
  <c r="EF339" i="11"/>
  <c r="EG339" i="11"/>
  <c r="EH339" i="11"/>
  <c r="EI339" i="11"/>
  <c r="EJ339" i="11"/>
  <c r="EK339" i="11"/>
  <c r="EL339" i="11"/>
  <c r="EM339" i="11"/>
  <c r="EN339" i="11"/>
  <c r="EO339" i="11"/>
  <c r="EP339" i="11"/>
  <c r="EQ339" i="11"/>
  <c r="ER339" i="11"/>
  <c r="ES339" i="11"/>
  <c r="ET339" i="11"/>
  <c r="EU339" i="11"/>
  <c r="EV339" i="11"/>
  <c r="EW339" i="11"/>
  <c r="EX339" i="11"/>
  <c r="EY339" i="11"/>
  <c r="EZ339" i="11"/>
  <c r="FA339" i="11"/>
  <c r="FB339" i="11"/>
  <c r="FC339" i="11"/>
  <c r="FD339" i="11"/>
  <c r="FE339" i="11"/>
  <c r="FF339" i="11"/>
  <c r="FG339" i="11"/>
  <c r="FH339" i="11"/>
  <c r="FI339" i="11"/>
  <c r="FJ339" i="11"/>
  <c r="FK339" i="11"/>
  <c r="FL339" i="11"/>
  <c r="FM339" i="11"/>
  <c r="FN339" i="11"/>
  <c r="FO339" i="11"/>
  <c r="FP339" i="11"/>
  <c r="FQ339" i="11"/>
  <c r="FR339" i="11"/>
  <c r="FS339" i="11"/>
  <c r="FT339" i="11"/>
  <c r="FU339" i="11"/>
  <c r="FV339" i="11"/>
  <c r="FW339" i="11"/>
  <c r="FX339" i="11"/>
  <c r="FY339" i="11"/>
  <c r="FZ339" i="11"/>
  <c r="GA339" i="11"/>
  <c r="GB339" i="11"/>
  <c r="GC339" i="11"/>
  <c r="GD339" i="11"/>
  <c r="GE339" i="11"/>
  <c r="GF339" i="11"/>
  <c r="GG339" i="11"/>
  <c r="GH339" i="11"/>
  <c r="GI339" i="11"/>
  <c r="GJ339" i="11"/>
  <c r="GK339" i="11"/>
  <c r="GL339" i="11"/>
  <c r="GM339" i="11"/>
  <c r="GN339" i="11"/>
  <c r="GO339" i="11"/>
  <c r="GP339" i="11"/>
  <c r="GQ339" i="11"/>
  <c r="GR339" i="11"/>
  <c r="GS339" i="11"/>
  <c r="GT339" i="11"/>
  <c r="GU339" i="11"/>
  <c r="GV339" i="11"/>
  <c r="GW339" i="11"/>
  <c r="GX339" i="11"/>
  <c r="GY339" i="11"/>
  <c r="GZ339" i="11"/>
  <c r="HA339" i="11"/>
  <c r="HB339" i="11"/>
  <c r="HC339" i="11"/>
  <c r="HD339" i="11"/>
  <c r="HE339" i="11"/>
  <c r="HF339" i="11"/>
  <c r="HG339" i="11"/>
  <c r="HH339" i="11"/>
  <c r="HI339" i="11"/>
  <c r="HJ339" i="11"/>
  <c r="HK339" i="11"/>
  <c r="HL339" i="11"/>
  <c r="HM339" i="11"/>
  <c r="HN339" i="11"/>
  <c r="HO339" i="11"/>
  <c r="HP339" i="11"/>
  <c r="HQ339" i="11"/>
  <c r="HR339" i="11"/>
  <c r="HS339" i="11"/>
  <c r="HT339" i="11"/>
  <c r="HU339" i="11"/>
  <c r="HV339" i="11"/>
  <c r="HW339" i="11"/>
  <c r="HX339" i="11"/>
  <c r="HY339" i="11"/>
  <c r="HZ339" i="11"/>
  <c r="IA339" i="11"/>
  <c r="IB339" i="11"/>
  <c r="IC339" i="11"/>
  <c r="ID339" i="11"/>
  <c r="IE339" i="11"/>
  <c r="IF339" i="11"/>
  <c r="IG339" i="11"/>
  <c r="IH339" i="11"/>
  <c r="II339" i="11"/>
  <c r="IJ339" i="11"/>
  <c r="IK339" i="11"/>
  <c r="IL339" i="11"/>
  <c r="IM339" i="11"/>
  <c r="IN339" i="11"/>
  <c r="IO339" i="11"/>
  <c r="IP339" i="11"/>
  <c r="IQ339" i="11"/>
  <c r="IR339" i="11"/>
  <c r="IS339" i="11"/>
  <c r="IT339" i="11"/>
  <c r="IU339" i="11"/>
  <c r="IV339" i="11"/>
  <c r="F340" i="11"/>
  <c r="G340" i="11"/>
  <c r="H340" i="11"/>
  <c r="I340" i="11"/>
  <c r="J340" i="11"/>
  <c r="K340" i="11"/>
  <c r="L340" i="11"/>
  <c r="M340" i="11"/>
  <c r="N340" i="11"/>
  <c r="O340" i="11"/>
  <c r="P340" i="11"/>
  <c r="Q340" i="11"/>
  <c r="R340" i="11"/>
  <c r="S340" i="11"/>
  <c r="T340" i="11"/>
  <c r="U340" i="11"/>
  <c r="V340" i="11"/>
  <c r="W340" i="11"/>
  <c r="X340" i="11"/>
  <c r="Y340" i="11"/>
  <c r="Z340" i="11"/>
  <c r="AA340" i="11"/>
  <c r="AB340" i="11"/>
  <c r="AC340" i="11"/>
  <c r="AD340" i="11"/>
  <c r="AE340" i="11"/>
  <c r="AF340" i="11"/>
  <c r="AG340" i="11"/>
  <c r="AH340" i="11"/>
  <c r="AI340" i="11"/>
  <c r="AJ340" i="11"/>
  <c r="AK340" i="11"/>
  <c r="AL340" i="11"/>
  <c r="AM340" i="11"/>
  <c r="AN340" i="11"/>
  <c r="AO340" i="11"/>
  <c r="AP340" i="11"/>
  <c r="AQ340" i="11"/>
  <c r="AR340" i="11"/>
  <c r="AS340" i="11"/>
  <c r="AT340" i="11"/>
  <c r="AU340" i="11"/>
  <c r="AV340" i="11"/>
  <c r="AW340" i="11"/>
  <c r="AX340" i="11"/>
  <c r="AY340" i="11"/>
  <c r="AZ340" i="11"/>
  <c r="BA340" i="11"/>
  <c r="BB340" i="11"/>
  <c r="BC340" i="11"/>
  <c r="BD340" i="11"/>
  <c r="BE340" i="11"/>
  <c r="BF340" i="11"/>
  <c r="BG340" i="11"/>
  <c r="BH340" i="11"/>
  <c r="BI340" i="11"/>
  <c r="BJ340" i="11"/>
  <c r="BK340" i="11"/>
  <c r="BL340" i="11"/>
  <c r="BM340" i="11"/>
  <c r="BN340" i="11"/>
  <c r="BO340" i="11"/>
  <c r="BP340" i="11"/>
  <c r="BQ340" i="11"/>
  <c r="BR340" i="11"/>
  <c r="BS340" i="11"/>
  <c r="BT340" i="11"/>
  <c r="BU340" i="11"/>
  <c r="BV340" i="11"/>
  <c r="BW340" i="11"/>
  <c r="BX340" i="11"/>
  <c r="BY340" i="11"/>
  <c r="BZ340" i="11"/>
  <c r="CA340" i="11"/>
  <c r="CB340" i="11"/>
  <c r="CC340" i="11"/>
  <c r="CD340" i="11"/>
  <c r="CE340" i="11"/>
  <c r="CF340" i="11"/>
  <c r="CG340" i="11"/>
  <c r="CH340" i="11"/>
  <c r="CI340" i="11"/>
  <c r="CJ340" i="11"/>
  <c r="CK340" i="11"/>
  <c r="CL340" i="11"/>
  <c r="CM340" i="11"/>
  <c r="CN340" i="11"/>
  <c r="CO340" i="11"/>
  <c r="CP340" i="11"/>
  <c r="CQ340" i="11"/>
  <c r="CR340" i="11"/>
  <c r="CS340" i="11"/>
  <c r="CT340" i="11"/>
  <c r="CU340" i="11"/>
  <c r="CV340" i="11"/>
  <c r="CW340" i="11"/>
  <c r="CX340" i="11"/>
  <c r="CY340" i="11"/>
  <c r="CZ340" i="11"/>
  <c r="DA340" i="11"/>
  <c r="DB340" i="11"/>
  <c r="DC340" i="11"/>
  <c r="DD340" i="11"/>
  <c r="DE340" i="11"/>
  <c r="DF340" i="11"/>
  <c r="DG340" i="11"/>
  <c r="DH340" i="11"/>
  <c r="DI340" i="11"/>
  <c r="DJ340" i="11"/>
  <c r="DK340" i="11"/>
  <c r="DL340" i="11"/>
  <c r="DM340" i="11"/>
  <c r="DN340" i="11"/>
  <c r="DO340" i="11"/>
  <c r="DP340" i="11"/>
  <c r="DQ340" i="11"/>
  <c r="DR340" i="11"/>
  <c r="DS340" i="11"/>
  <c r="DT340" i="11"/>
  <c r="DU340" i="11"/>
  <c r="DV340" i="11"/>
  <c r="DW340" i="11"/>
  <c r="DX340" i="11"/>
  <c r="DY340" i="11"/>
  <c r="DZ340" i="11"/>
  <c r="EA340" i="11"/>
  <c r="EB340" i="11"/>
  <c r="EC340" i="11"/>
  <c r="ED340" i="11"/>
  <c r="EE340" i="11"/>
  <c r="EF340" i="11"/>
  <c r="EG340" i="11"/>
  <c r="EH340" i="11"/>
  <c r="EI340" i="11"/>
  <c r="EJ340" i="11"/>
  <c r="EK340" i="11"/>
  <c r="EL340" i="11"/>
  <c r="EM340" i="11"/>
  <c r="EN340" i="11"/>
  <c r="EO340" i="11"/>
  <c r="EP340" i="11"/>
  <c r="EQ340" i="11"/>
  <c r="ER340" i="11"/>
  <c r="ES340" i="11"/>
  <c r="ET340" i="11"/>
  <c r="EU340" i="11"/>
  <c r="EV340" i="11"/>
  <c r="EW340" i="11"/>
  <c r="EX340" i="11"/>
  <c r="EY340" i="11"/>
  <c r="EZ340" i="11"/>
  <c r="FA340" i="11"/>
  <c r="FB340" i="11"/>
  <c r="FC340" i="11"/>
  <c r="FD340" i="11"/>
  <c r="FE340" i="11"/>
  <c r="FF340" i="11"/>
  <c r="FG340" i="11"/>
  <c r="FH340" i="11"/>
  <c r="FI340" i="11"/>
  <c r="FJ340" i="11"/>
  <c r="FK340" i="11"/>
  <c r="FL340" i="11"/>
  <c r="FM340" i="11"/>
  <c r="FN340" i="11"/>
  <c r="FO340" i="11"/>
  <c r="FP340" i="11"/>
  <c r="FQ340" i="11"/>
  <c r="FR340" i="11"/>
  <c r="FS340" i="11"/>
  <c r="FT340" i="11"/>
  <c r="FU340" i="11"/>
  <c r="FV340" i="11"/>
  <c r="FW340" i="11"/>
  <c r="FX340" i="11"/>
  <c r="FY340" i="11"/>
  <c r="FZ340" i="11"/>
  <c r="GA340" i="11"/>
  <c r="GB340" i="11"/>
  <c r="GC340" i="11"/>
  <c r="GD340" i="11"/>
  <c r="GE340" i="11"/>
  <c r="GF340" i="11"/>
  <c r="GG340" i="11"/>
  <c r="GH340" i="11"/>
  <c r="GI340" i="11"/>
  <c r="GJ340" i="11"/>
  <c r="GK340" i="11"/>
  <c r="GL340" i="11"/>
  <c r="GM340" i="11"/>
  <c r="GN340" i="11"/>
  <c r="GO340" i="11"/>
  <c r="GP340" i="11"/>
  <c r="GQ340" i="11"/>
  <c r="GR340" i="11"/>
  <c r="GS340" i="11"/>
  <c r="GT340" i="11"/>
  <c r="GU340" i="11"/>
  <c r="GV340" i="11"/>
  <c r="GW340" i="11"/>
  <c r="GX340" i="11"/>
  <c r="GY340" i="11"/>
  <c r="GZ340" i="11"/>
  <c r="HA340" i="11"/>
  <c r="HB340" i="11"/>
  <c r="HC340" i="11"/>
  <c r="HD340" i="11"/>
  <c r="HE340" i="11"/>
  <c r="HF340" i="11"/>
  <c r="HG340" i="11"/>
  <c r="HH340" i="11"/>
  <c r="HI340" i="11"/>
  <c r="HJ340" i="11"/>
  <c r="HK340" i="11"/>
  <c r="HL340" i="11"/>
  <c r="HM340" i="11"/>
  <c r="HN340" i="11"/>
  <c r="HO340" i="11"/>
  <c r="HP340" i="11"/>
  <c r="HQ340" i="11"/>
  <c r="HR340" i="11"/>
  <c r="HS340" i="11"/>
  <c r="HT340" i="11"/>
  <c r="HU340" i="11"/>
  <c r="HV340" i="11"/>
  <c r="HW340" i="11"/>
  <c r="HX340" i="11"/>
  <c r="HY340" i="11"/>
  <c r="HZ340" i="11"/>
  <c r="IA340" i="11"/>
  <c r="IB340" i="11"/>
  <c r="IC340" i="11"/>
  <c r="ID340" i="11"/>
  <c r="IE340" i="11"/>
  <c r="IF340" i="11"/>
  <c r="IG340" i="11"/>
  <c r="IH340" i="11"/>
  <c r="II340" i="11"/>
  <c r="IJ340" i="11"/>
  <c r="IK340" i="11"/>
  <c r="IL340" i="11"/>
  <c r="IM340" i="11"/>
  <c r="IN340" i="11"/>
  <c r="IO340" i="11"/>
  <c r="IP340" i="11"/>
  <c r="IQ340" i="11"/>
  <c r="IR340" i="11"/>
  <c r="IS340" i="11"/>
  <c r="IT340" i="11"/>
  <c r="IU340" i="11"/>
  <c r="IV340" i="11"/>
  <c r="F341" i="11"/>
  <c r="G341" i="11"/>
  <c r="H341" i="11"/>
  <c r="I341" i="11"/>
  <c r="J341" i="11"/>
  <c r="K341" i="11"/>
  <c r="L341" i="11"/>
  <c r="M341" i="11"/>
  <c r="N341" i="11"/>
  <c r="O341" i="11"/>
  <c r="P341" i="11"/>
  <c r="Q341" i="11"/>
  <c r="R341" i="11"/>
  <c r="S341" i="11"/>
  <c r="T341" i="11"/>
  <c r="U341" i="11"/>
  <c r="V341" i="11"/>
  <c r="W341" i="11"/>
  <c r="X341" i="11"/>
  <c r="Y341" i="11"/>
  <c r="Z341" i="11"/>
  <c r="AA341" i="11"/>
  <c r="AB341" i="11"/>
  <c r="AC341" i="11"/>
  <c r="AD341" i="11"/>
  <c r="AE341" i="11"/>
  <c r="AF341" i="11"/>
  <c r="AG341" i="11"/>
  <c r="AH341" i="11"/>
  <c r="AI341" i="11"/>
  <c r="AJ341" i="11"/>
  <c r="AK341" i="11"/>
  <c r="AL341" i="11"/>
  <c r="AM341" i="11"/>
  <c r="AN341" i="11"/>
  <c r="AO341" i="11"/>
  <c r="AP341" i="11"/>
  <c r="AQ341" i="11"/>
  <c r="AR341" i="11"/>
  <c r="AS341" i="11"/>
  <c r="AT341" i="11"/>
  <c r="AU341" i="11"/>
  <c r="AV341" i="11"/>
  <c r="AW341" i="11"/>
  <c r="AX341" i="11"/>
  <c r="AY341" i="11"/>
  <c r="AZ341" i="11"/>
  <c r="BA341" i="11"/>
  <c r="BB341" i="11"/>
  <c r="BC341" i="11"/>
  <c r="BD341" i="11"/>
  <c r="BE341" i="11"/>
  <c r="BF341" i="11"/>
  <c r="BG341" i="11"/>
  <c r="BH341" i="11"/>
  <c r="BI341" i="11"/>
  <c r="BJ341" i="11"/>
  <c r="BK341" i="11"/>
  <c r="BL341" i="11"/>
  <c r="BM341" i="11"/>
  <c r="BN341" i="11"/>
  <c r="BO341" i="11"/>
  <c r="BP341" i="11"/>
  <c r="BQ341" i="11"/>
  <c r="BR341" i="11"/>
  <c r="BS341" i="11"/>
  <c r="BT341" i="11"/>
  <c r="BU341" i="11"/>
  <c r="BV341" i="11"/>
  <c r="BW341" i="11"/>
  <c r="BX341" i="11"/>
  <c r="BY341" i="11"/>
  <c r="BZ341" i="11"/>
  <c r="CA341" i="11"/>
  <c r="CB341" i="11"/>
  <c r="CC341" i="11"/>
  <c r="CD341" i="11"/>
  <c r="CE341" i="11"/>
  <c r="CF341" i="11"/>
  <c r="CG341" i="11"/>
  <c r="CH341" i="11"/>
  <c r="CI341" i="11"/>
  <c r="CJ341" i="11"/>
  <c r="CK341" i="11"/>
  <c r="CL341" i="11"/>
  <c r="CM341" i="11"/>
  <c r="CN341" i="11"/>
  <c r="CO341" i="11"/>
  <c r="CP341" i="11"/>
  <c r="CQ341" i="11"/>
  <c r="CR341" i="11"/>
  <c r="CS341" i="11"/>
  <c r="CT341" i="11"/>
  <c r="CU341" i="11"/>
  <c r="CV341" i="11"/>
  <c r="CW341" i="11"/>
  <c r="CX341" i="11"/>
  <c r="CY341" i="11"/>
  <c r="CZ341" i="11"/>
  <c r="DA341" i="11"/>
  <c r="DB341" i="11"/>
  <c r="DC341" i="11"/>
  <c r="DD341" i="11"/>
  <c r="DE341" i="11"/>
  <c r="DF341" i="11"/>
  <c r="DG341" i="11"/>
  <c r="DH341" i="11"/>
  <c r="DI341" i="11"/>
  <c r="DJ341" i="11"/>
  <c r="DK341" i="11"/>
  <c r="DL341" i="11"/>
  <c r="DM341" i="11"/>
  <c r="DN341" i="11"/>
  <c r="DO341" i="11"/>
  <c r="DP341" i="11"/>
  <c r="DQ341" i="11"/>
  <c r="DR341" i="11"/>
  <c r="DS341" i="11"/>
  <c r="DT341" i="11"/>
  <c r="DU341" i="11"/>
  <c r="DV341" i="11"/>
  <c r="DW341" i="11"/>
  <c r="DX341" i="11"/>
  <c r="DY341" i="11"/>
  <c r="DZ341" i="11"/>
  <c r="EA341" i="11"/>
  <c r="EB341" i="11"/>
  <c r="EC341" i="11"/>
  <c r="ED341" i="11"/>
  <c r="EE341" i="11"/>
  <c r="EF341" i="11"/>
  <c r="EG341" i="11"/>
  <c r="EH341" i="11"/>
  <c r="EI341" i="11"/>
  <c r="EJ341" i="11"/>
  <c r="EK341" i="11"/>
  <c r="EL341" i="11"/>
  <c r="EM341" i="11"/>
  <c r="EN341" i="11"/>
  <c r="EO341" i="11"/>
  <c r="EP341" i="11"/>
  <c r="EQ341" i="11"/>
  <c r="ER341" i="11"/>
  <c r="ES341" i="11"/>
  <c r="ET341" i="11"/>
  <c r="EU341" i="11"/>
  <c r="EV341" i="11"/>
  <c r="EW341" i="11"/>
  <c r="EX341" i="11"/>
  <c r="EY341" i="11"/>
  <c r="EZ341" i="11"/>
  <c r="FA341" i="11"/>
  <c r="FB341" i="11"/>
  <c r="FC341" i="11"/>
  <c r="FD341" i="11"/>
  <c r="FE341" i="11"/>
  <c r="FF341" i="11"/>
  <c r="FG341" i="11"/>
  <c r="FH341" i="11"/>
  <c r="FI341" i="11"/>
  <c r="FJ341" i="11"/>
  <c r="FK341" i="11"/>
  <c r="FL341" i="11"/>
  <c r="FM341" i="11"/>
  <c r="FN341" i="11"/>
  <c r="FO341" i="11"/>
  <c r="FP341" i="11"/>
  <c r="FQ341" i="11"/>
  <c r="FR341" i="11"/>
  <c r="FS341" i="11"/>
  <c r="FT341" i="11"/>
  <c r="FU341" i="11"/>
  <c r="FV341" i="11"/>
  <c r="FW341" i="11"/>
  <c r="FX341" i="11"/>
  <c r="FY341" i="11"/>
  <c r="FZ341" i="11"/>
  <c r="GA341" i="11"/>
  <c r="GB341" i="11"/>
  <c r="GC341" i="11"/>
  <c r="GD341" i="11"/>
  <c r="GE341" i="11"/>
  <c r="GF341" i="11"/>
  <c r="GG341" i="11"/>
  <c r="GH341" i="11"/>
  <c r="GI341" i="11"/>
  <c r="GJ341" i="11"/>
  <c r="GK341" i="11"/>
  <c r="GL341" i="11"/>
  <c r="GM341" i="11"/>
  <c r="GN341" i="11"/>
  <c r="GO341" i="11"/>
  <c r="GP341" i="11"/>
  <c r="GQ341" i="11"/>
  <c r="GR341" i="11"/>
  <c r="GS341" i="11"/>
  <c r="GT341" i="11"/>
  <c r="GU341" i="11"/>
  <c r="GV341" i="11"/>
  <c r="GW341" i="11"/>
  <c r="GX341" i="11"/>
  <c r="GY341" i="11"/>
  <c r="GZ341" i="11"/>
  <c r="HA341" i="11"/>
  <c r="HB341" i="11"/>
  <c r="HC341" i="11"/>
  <c r="HD341" i="11"/>
  <c r="HE341" i="11"/>
  <c r="HF341" i="11"/>
  <c r="HG341" i="11"/>
  <c r="HH341" i="11"/>
  <c r="HI341" i="11"/>
  <c r="HJ341" i="11"/>
  <c r="HK341" i="11"/>
  <c r="HL341" i="11"/>
  <c r="HM341" i="11"/>
  <c r="HN341" i="11"/>
  <c r="HO341" i="11"/>
  <c r="HP341" i="11"/>
  <c r="HQ341" i="11"/>
  <c r="HR341" i="11"/>
  <c r="HS341" i="11"/>
  <c r="HT341" i="11"/>
  <c r="HU341" i="11"/>
  <c r="HV341" i="11"/>
  <c r="HW341" i="11"/>
  <c r="HX341" i="11"/>
  <c r="HY341" i="11"/>
  <c r="HZ341" i="11"/>
  <c r="IA341" i="11"/>
  <c r="IB341" i="11"/>
  <c r="IC341" i="11"/>
  <c r="ID341" i="11"/>
  <c r="IE341" i="11"/>
  <c r="IF341" i="11"/>
  <c r="IG341" i="11"/>
  <c r="IH341" i="11"/>
  <c r="II341" i="11"/>
  <c r="IJ341" i="11"/>
  <c r="IK341" i="11"/>
  <c r="IL341" i="11"/>
  <c r="IM341" i="11"/>
  <c r="IN341" i="11"/>
  <c r="IO341" i="11"/>
  <c r="IP341" i="11"/>
  <c r="IQ341" i="11"/>
  <c r="IR341" i="11"/>
  <c r="IS341" i="11"/>
  <c r="IT341" i="11"/>
  <c r="IU341" i="11"/>
  <c r="IV341" i="11"/>
  <c r="F342" i="11"/>
  <c r="G342" i="11"/>
  <c r="H342" i="11"/>
  <c r="I342" i="11"/>
  <c r="J342" i="11"/>
  <c r="K342" i="11"/>
  <c r="L342" i="11"/>
  <c r="M342" i="11"/>
  <c r="N342" i="11"/>
  <c r="O342" i="11"/>
  <c r="P342" i="11"/>
  <c r="Q342" i="11"/>
  <c r="R342" i="11"/>
  <c r="S342" i="11"/>
  <c r="T342" i="11"/>
  <c r="U342" i="11"/>
  <c r="V342" i="11"/>
  <c r="W342" i="11"/>
  <c r="X342" i="11"/>
  <c r="Y342" i="11"/>
  <c r="Z342" i="11"/>
  <c r="AA342" i="11"/>
  <c r="AB342" i="11"/>
  <c r="AC342" i="11"/>
  <c r="AD342" i="11"/>
  <c r="AE342" i="11"/>
  <c r="AF342" i="11"/>
  <c r="AG342" i="11"/>
  <c r="AH342" i="11"/>
  <c r="AI342" i="11"/>
  <c r="AJ342" i="11"/>
  <c r="AK342" i="11"/>
  <c r="AL342" i="11"/>
  <c r="AM342" i="11"/>
  <c r="AN342" i="11"/>
  <c r="AO342" i="11"/>
  <c r="AP342" i="11"/>
  <c r="AQ342" i="11"/>
  <c r="AR342" i="11"/>
  <c r="AS342" i="11"/>
  <c r="AT342" i="11"/>
  <c r="AU342" i="11"/>
  <c r="AV342" i="11"/>
  <c r="AW342" i="11"/>
  <c r="AX342" i="11"/>
  <c r="AY342" i="11"/>
  <c r="AZ342" i="11"/>
  <c r="BA342" i="11"/>
  <c r="BB342" i="11"/>
  <c r="BC342" i="11"/>
  <c r="BD342" i="11"/>
  <c r="BE342" i="11"/>
  <c r="BF342" i="11"/>
  <c r="BG342" i="11"/>
  <c r="BH342" i="11"/>
  <c r="BI342" i="11"/>
  <c r="BJ342" i="11"/>
  <c r="BK342" i="11"/>
  <c r="BL342" i="11"/>
  <c r="BM342" i="11"/>
  <c r="BN342" i="11"/>
  <c r="BO342" i="11"/>
  <c r="BP342" i="11"/>
  <c r="BQ342" i="11"/>
  <c r="BR342" i="11"/>
  <c r="BS342" i="11"/>
  <c r="BT342" i="11"/>
  <c r="BU342" i="11"/>
  <c r="BV342" i="11"/>
  <c r="BW342" i="11"/>
  <c r="BX342" i="11"/>
  <c r="BY342" i="11"/>
  <c r="BZ342" i="11"/>
  <c r="CA342" i="11"/>
  <c r="CB342" i="11"/>
  <c r="CC342" i="11"/>
  <c r="CD342" i="11"/>
  <c r="CE342" i="11"/>
  <c r="CF342" i="11"/>
  <c r="CG342" i="11"/>
  <c r="CH342" i="11"/>
  <c r="CI342" i="11"/>
  <c r="CJ342" i="11"/>
  <c r="CK342" i="11"/>
  <c r="CL342" i="11"/>
  <c r="CM342" i="11"/>
  <c r="CN342" i="11"/>
  <c r="CO342" i="11"/>
  <c r="CP342" i="11"/>
  <c r="CQ342" i="11"/>
  <c r="CR342" i="11"/>
  <c r="CS342" i="11"/>
  <c r="CT342" i="11"/>
  <c r="CU342" i="11"/>
  <c r="CV342" i="11"/>
  <c r="CW342" i="11"/>
  <c r="CX342" i="11"/>
  <c r="CY342" i="11"/>
  <c r="CZ342" i="11"/>
  <c r="DA342" i="11"/>
  <c r="DB342" i="11"/>
  <c r="DC342" i="11"/>
  <c r="DD342" i="11"/>
  <c r="DE342" i="11"/>
  <c r="DF342" i="11"/>
  <c r="DG342" i="11"/>
  <c r="DH342" i="11"/>
  <c r="DI342" i="11"/>
  <c r="DJ342" i="11"/>
  <c r="DK342" i="11"/>
  <c r="DL342" i="11"/>
  <c r="DM342" i="11"/>
  <c r="DN342" i="11"/>
  <c r="DO342" i="11"/>
  <c r="DP342" i="11"/>
  <c r="DQ342" i="11"/>
  <c r="DR342" i="11"/>
  <c r="DS342" i="11"/>
  <c r="DT342" i="11"/>
  <c r="DU342" i="11"/>
  <c r="DV342" i="11"/>
  <c r="DW342" i="11"/>
  <c r="DX342" i="11"/>
  <c r="DY342" i="11"/>
  <c r="DZ342" i="11"/>
  <c r="EA342" i="11"/>
  <c r="EB342" i="11"/>
  <c r="EC342" i="11"/>
  <c r="ED342" i="11"/>
  <c r="EE342" i="11"/>
  <c r="EF342" i="11"/>
  <c r="EG342" i="11"/>
  <c r="EH342" i="11"/>
  <c r="EI342" i="11"/>
  <c r="EJ342" i="11"/>
  <c r="EK342" i="11"/>
  <c r="EL342" i="11"/>
  <c r="EM342" i="11"/>
  <c r="EN342" i="11"/>
  <c r="EO342" i="11"/>
  <c r="EP342" i="11"/>
  <c r="EQ342" i="11"/>
  <c r="ER342" i="11"/>
  <c r="ES342" i="11"/>
  <c r="ET342" i="11"/>
  <c r="EU342" i="11"/>
  <c r="EV342" i="11"/>
  <c r="EW342" i="11"/>
  <c r="EX342" i="11"/>
  <c r="EY342" i="11"/>
  <c r="EZ342" i="11"/>
  <c r="FA342" i="11"/>
  <c r="FB342" i="11"/>
  <c r="FC342" i="11"/>
  <c r="FD342" i="11"/>
  <c r="FE342" i="11"/>
  <c r="FF342" i="11"/>
  <c r="FG342" i="11"/>
  <c r="FH342" i="11"/>
  <c r="FI342" i="11"/>
  <c r="FJ342" i="11"/>
  <c r="FK342" i="11"/>
  <c r="FL342" i="11"/>
  <c r="FM342" i="11"/>
  <c r="FN342" i="11"/>
  <c r="FO342" i="11"/>
  <c r="FP342" i="11"/>
  <c r="FQ342" i="11"/>
  <c r="FR342" i="11"/>
  <c r="FS342" i="11"/>
  <c r="FT342" i="11"/>
  <c r="FU342" i="11"/>
  <c r="FV342" i="11"/>
  <c r="FW342" i="11"/>
  <c r="FX342" i="11"/>
  <c r="FY342" i="11"/>
  <c r="FZ342" i="11"/>
  <c r="GA342" i="11"/>
  <c r="GB342" i="11"/>
  <c r="GC342" i="11"/>
  <c r="GD342" i="11"/>
  <c r="GE342" i="11"/>
  <c r="GF342" i="11"/>
  <c r="GG342" i="11"/>
  <c r="GH342" i="11"/>
  <c r="GI342" i="11"/>
  <c r="GJ342" i="11"/>
  <c r="GK342" i="11"/>
  <c r="GL342" i="11"/>
  <c r="GM342" i="11"/>
  <c r="GN342" i="11"/>
  <c r="GO342" i="11"/>
  <c r="GP342" i="11"/>
  <c r="GQ342" i="11"/>
  <c r="GR342" i="11"/>
  <c r="GS342" i="11"/>
  <c r="GT342" i="11"/>
  <c r="GU342" i="11"/>
  <c r="GV342" i="11"/>
  <c r="GW342" i="11"/>
  <c r="GX342" i="11"/>
  <c r="GY342" i="11"/>
  <c r="GZ342" i="11"/>
  <c r="HA342" i="11"/>
  <c r="HB342" i="11"/>
  <c r="HC342" i="11"/>
  <c r="HD342" i="11"/>
  <c r="HE342" i="11"/>
  <c r="HF342" i="11"/>
  <c r="HG342" i="11"/>
  <c r="HH342" i="11"/>
  <c r="HI342" i="11"/>
  <c r="HJ342" i="11"/>
  <c r="HK342" i="11"/>
  <c r="HL342" i="11"/>
  <c r="HM342" i="11"/>
  <c r="HN342" i="11"/>
  <c r="HO342" i="11"/>
  <c r="HP342" i="11"/>
  <c r="HQ342" i="11"/>
  <c r="HR342" i="11"/>
  <c r="HS342" i="11"/>
  <c r="HT342" i="11"/>
  <c r="HU342" i="11"/>
  <c r="HV342" i="11"/>
  <c r="HW342" i="11"/>
  <c r="HX342" i="11"/>
  <c r="HY342" i="11"/>
  <c r="HZ342" i="11"/>
  <c r="IA342" i="11"/>
  <c r="IB342" i="11"/>
  <c r="IC342" i="11"/>
  <c r="ID342" i="11"/>
  <c r="IE342" i="11"/>
  <c r="IF342" i="11"/>
  <c r="IG342" i="11"/>
  <c r="IH342" i="11"/>
  <c r="II342" i="11"/>
  <c r="IJ342" i="11"/>
  <c r="IK342" i="11"/>
  <c r="IL342" i="11"/>
  <c r="IM342" i="11"/>
  <c r="IN342" i="11"/>
  <c r="IO342" i="11"/>
  <c r="IP342" i="11"/>
  <c r="IQ342" i="11"/>
  <c r="IR342" i="11"/>
  <c r="IS342" i="11"/>
  <c r="IT342" i="11"/>
  <c r="IU342" i="11"/>
  <c r="IV342" i="11"/>
  <c r="F343" i="11"/>
  <c r="G343" i="11"/>
  <c r="H343" i="11"/>
  <c r="I343" i="11"/>
  <c r="J343" i="11"/>
  <c r="K343" i="11"/>
  <c r="L343" i="11"/>
  <c r="M343" i="11"/>
  <c r="N343" i="11"/>
  <c r="O343" i="11"/>
  <c r="P343" i="11"/>
  <c r="Q343" i="11"/>
  <c r="R343" i="11"/>
  <c r="S343" i="11"/>
  <c r="T343" i="11"/>
  <c r="U343" i="11"/>
  <c r="V343" i="11"/>
  <c r="W343" i="11"/>
  <c r="X343" i="11"/>
  <c r="Y343" i="11"/>
  <c r="Z343" i="11"/>
  <c r="AA343" i="11"/>
  <c r="AB343" i="11"/>
  <c r="AC343" i="11"/>
  <c r="AD343" i="11"/>
  <c r="AE343" i="11"/>
  <c r="AF343" i="11"/>
  <c r="AG343" i="11"/>
  <c r="AH343" i="11"/>
  <c r="AI343" i="11"/>
  <c r="AJ343" i="11"/>
  <c r="AK343" i="11"/>
  <c r="AL343" i="11"/>
  <c r="AM343" i="11"/>
  <c r="AN343" i="11"/>
  <c r="AO343" i="11"/>
  <c r="AP343" i="11"/>
  <c r="AQ343" i="11"/>
  <c r="AR343" i="11"/>
  <c r="AS343" i="11"/>
  <c r="AT343" i="11"/>
  <c r="AU343" i="11"/>
  <c r="AV343" i="11"/>
  <c r="AW343" i="11"/>
  <c r="AX343" i="11"/>
  <c r="AY343" i="11"/>
  <c r="AZ343" i="11"/>
  <c r="BA343" i="11"/>
  <c r="BB343" i="11"/>
  <c r="BC343" i="11"/>
  <c r="BD343" i="11"/>
  <c r="BE343" i="11"/>
  <c r="BF343" i="11"/>
  <c r="BG343" i="11"/>
  <c r="BH343" i="11"/>
  <c r="BI343" i="11"/>
  <c r="BJ343" i="11"/>
  <c r="BK343" i="11"/>
  <c r="BL343" i="11"/>
  <c r="BM343" i="11"/>
  <c r="BN343" i="11"/>
  <c r="BO343" i="11"/>
  <c r="BP343" i="11"/>
  <c r="BQ343" i="11"/>
  <c r="BR343" i="11"/>
  <c r="BS343" i="11"/>
  <c r="BT343" i="11"/>
  <c r="BU343" i="11"/>
  <c r="BV343" i="11"/>
  <c r="BW343" i="11"/>
  <c r="BX343" i="11"/>
  <c r="BY343" i="11"/>
  <c r="BZ343" i="11"/>
  <c r="CA343" i="11"/>
  <c r="CB343" i="11"/>
  <c r="CC343" i="11"/>
  <c r="CD343" i="11"/>
  <c r="CE343" i="11"/>
  <c r="CF343" i="11"/>
  <c r="CG343" i="11"/>
  <c r="CH343" i="11"/>
  <c r="CI343" i="11"/>
  <c r="CJ343" i="11"/>
  <c r="CK343" i="11"/>
  <c r="CL343" i="11"/>
  <c r="CM343" i="11"/>
  <c r="CN343" i="11"/>
  <c r="CO343" i="11"/>
  <c r="CP343" i="11"/>
  <c r="CQ343" i="11"/>
  <c r="CR343" i="11"/>
  <c r="CS343" i="11"/>
  <c r="CT343" i="11"/>
  <c r="CU343" i="11"/>
  <c r="CV343" i="11"/>
  <c r="CW343" i="11"/>
  <c r="CX343" i="11"/>
  <c r="CY343" i="11"/>
  <c r="CZ343" i="11"/>
  <c r="DA343" i="11"/>
  <c r="DB343" i="11"/>
  <c r="DC343" i="11"/>
  <c r="DD343" i="11"/>
  <c r="DE343" i="11"/>
  <c r="DF343" i="11"/>
  <c r="DG343" i="11"/>
  <c r="DH343" i="11"/>
  <c r="DI343" i="11"/>
  <c r="DJ343" i="11"/>
  <c r="DK343" i="11"/>
  <c r="DL343" i="11"/>
  <c r="DM343" i="11"/>
  <c r="DN343" i="11"/>
  <c r="DO343" i="11"/>
  <c r="DP343" i="11"/>
  <c r="DQ343" i="11"/>
  <c r="DR343" i="11"/>
  <c r="DS343" i="11"/>
  <c r="DT343" i="11"/>
  <c r="DU343" i="11"/>
  <c r="DV343" i="11"/>
  <c r="DW343" i="11"/>
  <c r="DX343" i="11"/>
  <c r="DY343" i="11"/>
  <c r="DZ343" i="11"/>
  <c r="EA343" i="11"/>
  <c r="EB343" i="11"/>
  <c r="EC343" i="11"/>
  <c r="ED343" i="11"/>
  <c r="EE343" i="11"/>
  <c r="EF343" i="11"/>
  <c r="EG343" i="11"/>
  <c r="EH343" i="11"/>
  <c r="EI343" i="11"/>
  <c r="EJ343" i="11"/>
  <c r="EK343" i="11"/>
  <c r="EL343" i="11"/>
  <c r="EM343" i="11"/>
  <c r="EN343" i="11"/>
  <c r="EO343" i="11"/>
  <c r="EP343" i="11"/>
  <c r="EQ343" i="11"/>
  <c r="ER343" i="11"/>
  <c r="ES343" i="11"/>
  <c r="ET343" i="11"/>
  <c r="EU343" i="11"/>
  <c r="EV343" i="11"/>
  <c r="EW343" i="11"/>
  <c r="EX343" i="11"/>
  <c r="EY343" i="11"/>
  <c r="EZ343" i="11"/>
  <c r="FA343" i="11"/>
  <c r="FB343" i="11"/>
  <c r="FC343" i="11"/>
  <c r="FD343" i="11"/>
  <c r="FE343" i="11"/>
  <c r="FF343" i="11"/>
  <c r="FG343" i="11"/>
  <c r="FH343" i="11"/>
  <c r="FI343" i="11"/>
  <c r="FJ343" i="11"/>
  <c r="FK343" i="11"/>
  <c r="FL343" i="11"/>
  <c r="FM343" i="11"/>
  <c r="FN343" i="11"/>
  <c r="FO343" i="11"/>
  <c r="FP343" i="11"/>
  <c r="FQ343" i="11"/>
  <c r="FR343" i="11"/>
  <c r="FS343" i="11"/>
  <c r="FT343" i="11"/>
  <c r="FU343" i="11"/>
  <c r="FV343" i="11"/>
  <c r="FW343" i="11"/>
  <c r="FX343" i="11"/>
  <c r="FY343" i="11"/>
  <c r="FZ343" i="11"/>
  <c r="GA343" i="11"/>
  <c r="GB343" i="11"/>
  <c r="GC343" i="11"/>
  <c r="GD343" i="11"/>
  <c r="GE343" i="11"/>
  <c r="GF343" i="11"/>
  <c r="GG343" i="11"/>
  <c r="GH343" i="11"/>
  <c r="GI343" i="11"/>
  <c r="GJ343" i="11"/>
  <c r="GK343" i="11"/>
  <c r="GL343" i="11"/>
  <c r="GM343" i="11"/>
  <c r="GN343" i="11"/>
  <c r="GO343" i="11"/>
  <c r="GP343" i="11"/>
  <c r="GQ343" i="11"/>
  <c r="GR343" i="11"/>
  <c r="GS343" i="11"/>
  <c r="GT343" i="11"/>
  <c r="GU343" i="11"/>
  <c r="GV343" i="11"/>
  <c r="GW343" i="11"/>
  <c r="GX343" i="11"/>
  <c r="GY343" i="11"/>
  <c r="GZ343" i="11"/>
  <c r="HA343" i="11"/>
  <c r="HB343" i="11"/>
  <c r="HC343" i="11"/>
  <c r="HD343" i="11"/>
  <c r="HE343" i="11"/>
  <c r="HF343" i="11"/>
  <c r="HG343" i="11"/>
  <c r="HH343" i="11"/>
  <c r="HI343" i="11"/>
  <c r="HJ343" i="11"/>
  <c r="HK343" i="11"/>
  <c r="HL343" i="11"/>
  <c r="HM343" i="11"/>
  <c r="HN343" i="11"/>
  <c r="HO343" i="11"/>
  <c r="HP343" i="11"/>
  <c r="HQ343" i="11"/>
  <c r="HR343" i="11"/>
  <c r="HS343" i="11"/>
  <c r="HT343" i="11"/>
  <c r="HU343" i="11"/>
  <c r="HV343" i="11"/>
  <c r="HW343" i="11"/>
  <c r="HX343" i="11"/>
  <c r="HY343" i="11"/>
  <c r="HZ343" i="11"/>
  <c r="IA343" i="11"/>
  <c r="IB343" i="11"/>
  <c r="IC343" i="11"/>
  <c r="ID343" i="11"/>
  <c r="IE343" i="11"/>
  <c r="IF343" i="11"/>
  <c r="IG343" i="11"/>
  <c r="IH343" i="11"/>
  <c r="II343" i="11"/>
  <c r="IJ343" i="11"/>
  <c r="IK343" i="11"/>
  <c r="IL343" i="11"/>
  <c r="IM343" i="11"/>
  <c r="IN343" i="11"/>
  <c r="IO343" i="11"/>
  <c r="IP343" i="11"/>
  <c r="IQ343" i="11"/>
  <c r="IR343" i="11"/>
  <c r="IS343" i="11"/>
  <c r="IT343" i="11"/>
  <c r="IU343" i="11"/>
  <c r="IV343" i="11"/>
  <c r="F344" i="11"/>
  <c r="G344" i="11"/>
  <c r="H344" i="11"/>
  <c r="I344" i="11"/>
  <c r="J344" i="11"/>
  <c r="K344" i="11"/>
  <c r="L344" i="11"/>
  <c r="M344" i="11"/>
  <c r="N344" i="11"/>
  <c r="O344" i="11"/>
  <c r="P344" i="11"/>
  <c r="Q344" i="11"/>
  <c r="R344" i="11"/>
  <c r="S344" i="11"/>
  <c r="T344" i="11"/>
  <c r="U344" i="11"/>
  <c r="V344" i="11"/>
  <c r="W344" i="11"/>
  <c r="X344" i="11"/>
  <c r="Y344" i="11"/>
  <c r="Z344" i="11"/>
  <c r="AA344" i="11"/>
  <c r="AB344" i="11"/>
  <c r="AC344" i="11"/>
  <c r="AD344" i="11"/>
  <c r="AE344" i="11"/>
  <c r="AF344" i="11"/>
  <c r="AG344" i="11"/>
  <c r="AH344" i="11"/>
  <c r="AI344" i="11"/>
  <c r="AJ344" i="11"/>
  <c r="AK344" i="11"/>
  <c r="AL344" i="11"/>
  <c r="AM344" i="11"/>
  <c r="AN344" i="11"/>
  <c r="AO344" i="11"/>
  <c r="AP344" i="11"/>
  <c r="AQ344" i="11"/>
  <c r="AR344" i="11"/>
  <c r="AS344" i="11"/>
  <c r="AT344" i="11"/>
  <c r="AU344" i="11"/>
  <c r="AV344" i="11"/>
  <c r="AW344" i="11"/>
  <c r="AX344" i="11"/>
  <c r="AY344" i="11"/>
  <c r="AZ344" i="11"/>
  <c r="BA344" i="11"/>
  <c r="BB344" i="11"/>
  <c r="BC344" i="11"/>
  <c r="BD344" i="11"/>
  <c r="BE344" i="11"/>
  <c r="BF344" i="11"/>
  <c r="BG344" i="11"/>
  <c r="BH344" i="11"/>
  <c r="BI344" i="11"/>
  <c r="BJ344" i="11"/>
  <c r="BK344" i="11"/>
  <c r="BL344" i="11"/>
  <c r="BM344" i="11"/>
  <c r="BN344" i="11"/>
  <c r="BO344" i="11"/>
  <c r="BP344" i="11"/>
  <c r="BQ344" i="11"/>
  <c r="BR344" i="11"/>
  <c r="BS344" i="11"/>
  <c r="BT344" i="11"/>
  <c r="BU344" i="11"/>
  <c r="BV344" i="11"/>
  <c r="BW344" i="11"/>
  <c r="BX344" i="11"/>
  <c r="BY344" i="11"/>
  <c r="BZ344" i="11"/>
  <c r="CA344" i="11"/>
  <c r="CB344" i="11"/>
  <c r="CC344" i="11"/>
  <c r="CD344" i="11"/>
  <c r="CE344" i="11"/>
  <c r="CF344" i="11"/>
  <c r="CG344" i="11"/>
  <c r="CH344" i="11"/>
  <c r="CI344" i="11"/>
  <c r="CJ344" i="11"/>
  <c r="CK344" i="11"/>
  <c r="CL344" i="11"/>
  <c r="CM344" i="11"/>
  <c r="CN344" i="11"/>
  <c r="CO344" i="11"/>
  <c r="CP344" i="11"/>
  <c r="CQ344" i="11"/>
  <c r="CR344" i="11"/>
  <c r="CS344" i="11"/>
  <c r="CT344" i="11"/>
  <c r="CU344" i="11"/>
  <c r="CV344" i="11"/>
  <c r="CW344" i="11"/>
  <c r="CX344" i="11"/>
  <c r="CY344" i="11"/>
  <c r="CZ344" i="11"/>
  <c r="DA344" i="11"/>
  <c r="DB344" i="11"/>
  <c r="DC344" i="11"/>
  <c r="DD344" i="11"/>
  <c r="DE344" i="11"/>
  <c r="DF344" i="11"/>
  <c r="DG344" i="11"/>
  <c r="DH344" i="11"/>
  <c r="DI344" i="11"/>
  <c r="DJ344" i="11"/>
  <c r="DK344" i="11"/>
  <c r="DL344" i="11"/>
  <c r="DM344" i="11"/>
  <c r="DN344" i="11"/>
  <c r="DO344" i="11"/>
  <c r="DP344" i="11"/>
  <c r="DQ344" i="11"/>
  <c r="DR344" i="11"/>
  <c r="DS344" i="11"/>
  <c r="DT344" i="11"/>
  <c r="DU344" i="11"/>
  <c r="DV344" i="11"/>
  <c r="DW344" i="11"/>
  <c r="DX344" i="11"/>
  <c r="DY344" i="11"/>
  <c r="DZ344" i="11"/>
  <c r="EA344" i="11"/>
  <c r="EB344" i="11"/>
  <c r="EC344" i="11"/>
  <c r="ED344" i="11"/>
  <c r="EE344" i="11"/>
  <c r="EF344" i="11"/>
  <c r="EG344" i="11"/>
  <c r="EH344" i="11"/>
  <c r="EI344" i="11"/>
  <c r="EJ344" i="11"/>
  <c r="EK344" i="11"/>
  <c r="EL344" i="11"/>
  <c r="EM344" i="11"/>
  <c r="EN344" i="11"/>
  <c r="EO344" i="11"/>
  <c r="EP344" i="11"/>
  <c r="EQ344" i="11"/>
  <c r="ER344" i="11"/>
  <c r="ES344" i="11"/>
  <c r="ET344" i="11"/>
  <c r="EU344" i="11"/>
  <c r="EV344" i="11"/>
  <c r="EW344" i="11"/>
  <c r="EX344" i="11"/>
  <c r="EY344" i="11"/>
  <c r="EZ344" i="11"/>
  <c r="FA344" i="11"/>
  <c r="FB344" i="11"/>
  <c r="FC344" i="11"/>
  <c r="FD344" i="11"/>
  <c r="FE344" i="11"/>
  <c r="FF344" i="11"/>
  <c r="FG344" i="11"/>
  <c r="FH344" i="11"/>
  <c r="FI344" i="11"/>
  <c r="FJ344" i="11"/>
  <c r="FK344" i="11"/>
  <c r="FL344" i="11"/>
  <c r="FM344" i="11"/>
  <c r="FN344" i="11"/>
  <c r="FO344" i="11"/>
  <c r="FP344" i="11"/>
  <c r="FQ344" i="11"/>
  <c r="FR344" i="11"/>
  <c r="FS344" i="11"/>
  <c r="FT344" i="11"/>
  <c r="FU344" i="11"/>
  <c r="FV344" i="11"/>
  <c r="FW344" i="11"/>
  <c r="FX344" i="11"/>
  <c r="FY344" i="11"/>
  <c r="FZ344" i="11"/>
  <c r="GA344" i="11"/>
  <c r="GB344" i="11"/>
  <c r="GC344" i="11"/>
  <c r="GD344" i="11"/>
  <c r="GE344" i="11"/>
  <c r="GF344" i="11"/>
  <c r="GG344" i="11"/>
  <c r="GH344" i="11"/>
  <c r="GI344" i="11"/>
  <c r="GJ344" i="11"/>
  <c r="GK344" i="11"/>
  <c r="GL344" i="11"/>
  <c r="GM344" i="11"/>
  <c r="GN344" i="11"/>
  <c r="GO344" i="11"/>
  <c r="GP344" i="11"/>
  <c r="GQ344" i="11"/>
  <c r="GR344" i="11"/>
  <c r="GS344" i="11"/>
  <c r="GT344" i="11"/>
  <c r="GU344" i="11"/>
  <c r="GV344" i="11"/>
  <c r="GW344" i="11"/>
  <c r="GX344" i="11"/>
  <c r="GY344" i="11"/>
  <c r="GZ344" i="11"/>
  <c r="HA344" i="11"/>
  <c r="HB344" i="11"/>
  <c r="HC344" i="11"/>
  <c r="HD344" i="11"/>
  <c r="HE344" i="11"/>
  <c r="HF344" i="11"/>
  <c r="HG344" i="11"/>
  <c r="HH344" i="11"/>
  <c r="HI344" i="11"/>
  <c r="HJ344" i="11"/>
  <c r="HK344" i="11"/>
  <c r="HL344" i="11"/>
  <c r="HM344" i="11"/>
  <c r="HN344" i="11"/>
  <c r="HO344" i="11"/>
  <c r="HP344" i="11"/>
  <c r="HQ344" i="11"/>
  <c r="HR344" i="11"/>
  <c r="HS344" i="11"/>
  <c r="HT344" i="11"/>
  <c r="HU344" i="11"/>
  <c r="HV344" i="11"/>
  <c r="HW344" i="11"/>
  <c r="HX344" i="11"/>
  <c r="HY344" i="11"/>
  <c r="HZ344" i="11"/>
  <c r="IA344" i="11"/>
  <c r="IB344" i="11"/>
  <c r="IC344" i="11"/>
  <c r="ID344" i="11"/>
  <c r="IE344" i="11"/>
  <c r="IF344" i="11"/>
  <c r="IG344" i="11"/>
  <c r="IH344" i="11"/>
  <c r="II344" i="11"/>
  <c r="IJ344" i="11"/>
  <c r="IK344" i="11"/>
  <c r="IL344" i="11"/>
  <c r="IM344" i="11"/>
  <c r="IN344" i="11"/>
  <c r="IO344" i="11"/>
  <c r="IP344" i="11"/>
  <c r="IQ344" i="11"/>
  <c r="IR344" i="11"/>
  <c r="IS344" i="11"/>
  <c r="IT344" i="11"/>
  <c r="IU344" i="11"/>
  <c r="IV344" i="11"/>
  <c r="F345" i="11"/>
  <c r="G345" i="11"/>
  <c r="H345" i="11"/>
  <c r="I345" i="11"/>
  <c r="J345" i="11"/>
  <c r="K345" i="11"/>
  <c r="L345" i="11"/>
  <c r="M345" i="11"/>
  <c r="N345" i="11"/>
  <c r="O345" i="11"/>
  <c r="P345" i="11"/>
  <c r="Q345" i="11"/>
  <c r="R345" i="11"/>
  <c r="S345" i="11"/>
  <c r="T345" i="11"/>
  <c r="U345" i="11"/>
  <c r="V345" i="11"/>
  <c r="W345" i="11"/>
  <c r="X345" i="11"/>
  <c r="Y345" i="11"/>
  <c r="Z345" i="11"/>
  <c r="AA345" i="11"/>
  <c r="AB345" i="11"/>
  <c r="AC345" i="11"/>
  <c r="AD345" i="11"/>
  <c r="AE345" i="11"/>
  <c r="AF345" i="11"/>
  <c r="AG345" i="11"/>
  <c r="AH345" i="11"/>
  <c r="AI345" i="11"/>
  <c r="AJ345" i="11"/>
  <c r="AK345" i="11"/>
  <c r="AL345" i="11"/>
  <c r="AM345" i="11"/>
  <c r="AN345" i="11"/>
  <c r="AO345" i="11"/>
  <c r="AP345" i="11"/>
  <c r="AQ345" i="11"/>
  <c r="AR345" i="11"/>
  <c r="AS345" i="11"/>
  <c r="AT345" i="11"/>
  <c r="AU345" i="11"/>
  <c r="AV345" i="11"/>
  <c r="AW345" i="11"/>
  <c r="AX345" i="11"/>
  <c r="AY345" i="11"/>
  <c r="AZ345" i="11"/>
  <c r="BA345" i="11"/>
  <c r="BB345" i="11"/>
  <c r="BC345" i="11"/>
  <c r="BD345" i="11"/>
  <c r="BE345" i="11"/>
  <c r="BF345" i="11"/>
  <c r="BG345" i="11"/>
  <c r="BH345" i="11"/>
  <c r="BI345" i="11"/>
  <c r="BJ345" i="11"/>
  <c r="BK345" i="11"/>
  <c r="BL345" i="11"/>
  <c r="BM345" i="11"/>
  <c r="BN345" i="11"/>
  <c r="BO345" i="11"/>
  <c r="BP345" i="11"/>
  <c r="BQ345" i="11"/>
  <c r="BR345" i="11"/>
  <c r="BS345" i="11"/>
  <c r="BT345" i="11"/>
  <c r="BU345" i="11"/>
  <c r="BV345" i="11"/>
  <c r="BW345" i="11"/>
  <c r="BX345" i="11"/>
  <c r="BY345" i="11"/>
  <c r="BZ345" i="11"/>
  <c r="CA345" i="11"/>
  <c r="CB345" i="11"/>
  <c r="CC345" i="11"/>
  <c r="CD345" i="11"/>
  <c r="CE345" i="11"/>
  <c r="CF345" i="11"/>
  <c r="CG345" i="11"/>
  <c r="CH345" i="11"/>
  <c r="CI345" i="11"/>
  <c r="CJ345" i="11"/>
  <c r="CK345" i="11"/>
  <c r="CL345" i="11"/>
  <c r="CM345" i="11"/>
  <c r="CN345" i="11"/>
  <c r="CO345" i="11"/>
  <c r="CP345" i="11"/>
  <c r="CQ345" i="11"/>
  <c r="CR345" i="11"/>
  <c r="CS345" i="11"/>
  <c r="CT345" i="11"/>
  <c r="CU345" i="11"/>
  <c r="CV345" i="11"/>
  <c r="CW345" i="11"/>
  <c r="CX345" i="11"/>
  <c r="CY345" i="11"/>
  <c r="CZ345" i="11"/>
  <c r="DA345" i="11"/>
  <c r="DB345" i="11"/>
  <c r="DC345" i="11"/>
  <c r="DD345" i="11"/>
  <c r="DE345" i="11"/>
  <c r="DF345" i="11"/>
  <c r="DG345" i="11"/>
  <c r="DH345" i="11"/>
  <c r="DI345" i="11"/>
  <c r="DJ345" i="11"/>
  <c r="DK345" i="11"/>
  <c r="DL345" i="11"/>
  <c r="DM345" i="11"/>
  <c r="DN345" i="11"/>
  <c r="DO345" i="11"/>
  <c r="DP345" i="11"/>
  <c r="DQ345" i="11"/>
  <c r="DR345" i="11"/>
  <c r="DS345" i="11"/>
  <c r="DT345" i="11"/>
  <c r="DU345" i="11"/>
  <c r="DV345" i="11"/>
  <c r="DW345" i="11"/>
  <c r="DX345" i="11"/>
  <c r="DY345" i="11"/>
  <c r="DZ345" i="11"/>
  <c r="EA345" i="11"/>
  <c r="EB345" i="11"/>
  <c r="EC345" i="11"/>
  <c r="ED345" i="11"/>
  <c r="EE345" i="11"/>
  <c r="EF345" i="11"/>
  <c r="EG345" i="11"/>
  <c r="EH345" i="11"/>
  <c r="EI345" i="11"/>
  <c r="EJ345" i="11"/>
  <c r="EK345" i="11"/>
  <c r="EL345" i="11"/>
  <c r="EM345" i="11"/>
  <c r="EN345" i="11"/>
  <c r="EO345" i="11"/>
  <c r="EP345" i="11"/>
  <c r="EQ345" i="11"/>
  <c r="ER345" i="11"/>
  <c r="ES345" i="11"/>
  <c r="ET345" i="11"/>
  <c r="EU345" i="11"/>
  <c r="EV345" i="11"/>
  <c r="EW345" i="11"/>
  <c r="EX345" i="11"/>
  <c r="EY345" i="11"/>
  <c r="EZ345" i="11"/>
  <c r="FA345" i="11"/>
  <c r="FB345" i="11"/>
  <c r="FC345" i="11"/>
  <c r="FD345" i="11"/>
  <c r="FE345" i="11"/>
  <c r="FF345" i="11"/>
  <c r="FG345" i="11"/>
  <c r="FH345" i="11"/>
  <c r="FI345" i="11"/>
  <c r="FJ345" i="11"/>
  <c r="FK345" i="11"/>
  <c r="FL345" i="11"/>
  <c r="FM345" i="11"/>
  <c r="FN345" i="11"/>
  <c r="FO345" i="11"/>
  <c r="FP345" i="11"/>
  <c r="FQ345" i="11"/>
  <c r="FR345" i="11"/>
  <c r="FS345" i="11"/>
  <c r="FT345" i="11"/>
  <c r="FU345" i="11"/>
  <c r="FV345" i="11"/>
  <c r="FW345" i="11"/>
  <c r="FX345" i="11"/>
  <c r="FY345" i="11"/>
  <c r="FZ345" i="11"/>
  <c r="GA345" i="11"/>
  <c r="GB345" i="11"/>
  <c r="GC345" i="11"/>
  <c r="GD345" i="11"/>
  <c r="GE345" i="11"/>
  <c r="GF345" i="11"/>
  <c r="GG345" i="11"/>
  <c r="GH345" i="11"/>
  <c r="GI345" i="11"/>
  <c r="GJ345" i="11"/>
  <c r="GK345" i="11"/>
  <c r="GL345" i="11"/>
  <c r="GM345" i="11"/>
  <c r="GN345" i="11"/>
  <c r="GO345" i="11"/>
  <c r="GP345" i="11"/>
  <c r="GQ345" i="11"/>
  <c r="GR345" i="11"/>
  <c r="GS345" i="11"/>
  <c r="GT345" i="11"/>
  <c r="GU345" i="11"/>
  <c r="GV345" i="11"/>
  <c r="GW345" i="11"/>
  <c r="GX345" i="11"/>
  <c r="GY345" i="11"/>
  <c r="GZ345" i="11"/>
  <c r="HA345" i="11"/>
  <c r="HB345" i="11"/>
  <c r="HC345" i="11"/>
  <c r="HD345" i="11"/>
  <c r="HE345" i="11"/>
  <c r="HF345" i="11"/>
  <c r="HG345" i="11"/>
  <c r="HH345" i="11"/>
  <c r="HI345" i="11"/>
  <c r="HJ345" i="11"/>
  <c r="HK345" i="11"/>
  <c r="HL345" i="11"/>
  <c r="HM345" i="11"/>
  <c r="HN345" i="11"/>
  <c r="HO345" i="11"/>
  <c r="HP345" i="11"/>
  <c r="HQ345" i="11"/>
  <c r="HR345" i="11"/>
  <c r="HS345" i="11"/>
  <c r="HT345" i="11"/>
  <c r="HU345" i="11"/>
  <c r="HV345" i="11"/>
  <c r="HW345" i="11"/>
  <c r="HX345" i="11"/>
  <c r="HY345" i="11"/>
  <c r="HZ345" i="11"/>
  <c r="IA345" i="11"/>
  <c r="IB345" i="11"/>
  <c r="IC345" i="11"/>
  <c r="ID345" i="11"/>
  <c r="IE345" i="11"/>
  <c r="IF345" i="11"/>
  <c r="IG345" i="11"/>
  <c r="IH345" i="11"/>
  <c r="II345" i="11"/>
  <c r="IJ345" i="11"/>
  <c r="IK345" i="11"/>
  <c r="IL345" i="11"/>
  <c r="IM345" i="11"/>
  <c r="IN345" i="11"/>
  <c r="IO345" i="11"/>
  <c r="IP345" i="11"/>
  <c r="IQ345" i="11"/>
  <c r="IR345" i="11"/>
  <c r="IS345" i="11"/>
  <c r="IT345" i="11"/>
  <c r="IU345" i="11"/>
  <c r="IV345" i="11"/>
  <c r="F346" i="11"/>
  <c r="G346" i="11"/>
  <c r="H346" i="11"/>
  <c r="I346" i="11"/>
  <c r="J346" i="11"/>
  <c r="K346" i="11"/>
  <c r="L346" i="11"/>
  <c r="M346" i="11"/>
  <c r="N346" i="11"/>
  <c r="O346" i="11"/>
  <c r="P346" i="11"/>
  <c r="Q346" i="11"/>
  <c r="R346" i="11"/>
  <c r="S346" i="11"/>
  <c r="T346" i="11"/>
  <c r="U346" i="11"/>
  <c r="V346" i="11"/>
  <c r="W346" i="11"/>
  <c r="X346" i="11"/>
  <c r="Y346" i="11"/>
  <c r="Z346" i="11"/>
  <c r="AA346" i="11"/>
  <c r="AB346" i="11"/>
  <c r="AC346" i="11"/>
  <c r="AD346" i="11"/>
  <c r="AE346" i="11"/>
  <c r="AF346" i="11"/>
  <c r="AG346" i="11"/>
  <c r="AH346" i="11"/>
  <c r="AI346" i="11"/>
  <c r="AJ346" i="11"/>
  <c r="AK346" i="11"/>
  <c r="AL346" i="11"/>
  <c r="AM346" i="11"/>
  <c r="AN346" i="11"/>
  <c r="AO346" i="11"/>
  <c r="AP346" i="11"/>
  <c r="AQ346" i="11"/>
  <c r="AR346" i="11"/>
  <c r="AS346" i="11"/>
  <c r="AT346" i="11"/>
  <c r="AU346" i="11"/>
  <c r="AV346" i="11"/>
  <c r="AW346" i="11"/>
  <c r="AX346" i="11"/>
  <c r="AY346" i="11"/>
  <c r="AZ346" i="11"/>
  <c r="BA346" i="11"/>
  <c r="BB346" i="11"/>
  <c r="BC346" i="11"/>
  <c r="BD346" i="11"/>
  <c r="BE346" i="11"/>
  <c r="BF346" i="11"/>
  <c r="BG346" i="11"/>
  <c r="BH346" i="11"/>
  <c r="BI346" i="11"/>
  <c r="BJ346" i="11"/>
  <c r="BK346" i="11"/>
  <c r="BL346" i="11"/>
  <c r="BM346" i="11"/>
  <c r="BN346" i="11"/>
  <c r="BO346" i="11"/>
  <c r="BP346" i="11"/>
  <c r="BQ346" i="11"/>
  <c r="BR346" i="11"/>
  <c r="BS346" i="11"/>
  <c r="BT346" i="11"/>
  <c r="BU346" i="11"/>
  <c r="BV346" i="11"/>
  <c r="BW346" i="11"/>
  <c r="BX346" i="11"/>
  <c r="BY346" i="11"/>
  <c r="BZ346" i="11"/>
  <c r="CA346" i="11"/>
  <c r="CB346" i="11"/>
  <c r="CC346" i="11"/>
  <c r="CD346" i="11"/>
  <c r="CE346" i="11"/>
  <c r="CF346" i="11"/>
  <c r="CG346" i="11"/>
  <c r="CH346" i="11"/>
  <c r="CI346" i="11"/>
  <c r="CJ346" i="11"/>
  <c r="CK346" i="11"/>
  <c r="CL346" i="11"/>
  <c r="CM346" i="11"/>
  <c r="CN346" i="11"/>
  <c r="CO346" i="11"/>
  <c r="CP346" i="11"/>
  <c r="CQ346" i="11"/>
  <c r="CR346" i="11"/>
  <c r="CS346" i="11"/>
  <c r="CT346" i="11"/>
  <c r="CU346" i="11"/>
  <c r="CV346" i="11"/>
  <c r="CW346" i="11"/>
  <c r="CX346" i="11"/>
  <c r="CY346" i="11"/>
  <c r="CZ346" i="11"/>
  <c r="DA346" i="11"/>
  <c r="DB346" i="11"/>
  <c r="DC346" i="11"/>
  <c r="DD346" i="11"/>
  <c r="DE346" i="11"/>
  <c r="DF346" i="11"/>
  <c r="DG346" i="11"/>
  <c r="DH346" i="11"/>
  <c r="DI346" i="11"/>
  <c r="DJ346" i="11"/>
  <c r="DK346" i="11"/>
  <c r="DL346" i="11"/>
  <c r="DM346" i="11"/>
  <c r="DN346" i="11"/>
  <c r="DO346" i="11"/>
  <c r="DP346" i="11"/>
  <c r="DQ346" i="11"/>
  <c r="DR346" i="11"/>
  <c r="DS346" i="11"/>
  <c r="DT346" i="11"/>
  <c r="DU346" i="11"/>
  <c r="DV346" i="11"/>
  <c r="DW346" i="11"/>
  <c r="DX346" i="11"/>
  <c r="DY346" i="11"/>
  <c r="DZ346" i="11"/>
  <c r="EA346" i="11"/>
  <c r="EB346" i="11"/>
  <c r="EC346" i="11"/>
  <c r="ED346" i="11"/>
  <c r="EE346" i="11"/>
  <c r="EF346" i="11"/>
  <c r="EG346" i="11"/>
  <c r="EH346" i="11"/>
  <c r="EI346" i="11"/>
  <c r="EJ346" i="11"/>
  <c r="EK346" i="11"/>
  <c r="EL346" i="11"/>
  <c r="EM346" i="11"/>
  <c r="EN346" i="11"/>
  <c r="EO346" i="11"/>
  <c r="EP346" i="11"/>
  <c r="EQ346" i="11"/>
  <c r="ER346" i="11"/>
  <c r="ES346" i="11"/>
  <c r="ET346" i="11"/>
  <c r="EU346" i="11"/>
  <c r="EV346" i="11"/>
  <c r="EW346" i="11"/>
  <c r="EX346" i="11"/>
  <c r="EY346" i="11"/>
  <c r="EZ346" i="11"/>
  <c r="FA346" i="11"/>
  <c r="FB346" i="11"/>
  <c r="FC346" i="11"/>
  <c r="FD346" i="11"/>
  <c r="FE346" i="11"/>
  <c r="FF346" i="11"/>
  <c r="FG346" i="11"/>
  <c r="FH346" i="11"/>
  <c r="FI346" i="11"/>
  <c r="FJ346" i="11"/>
  <c r="FK346" i="11"/>
  <c r="FL346" i="11"/>
  <c r="FM346" i="11"/>
  <c r="FN346" i="11"/>
  <c r="FO346" i="11"/>
  <c r="FP346" i="11"/>
  <c r="FQ346" i="11"/>
  <c r="FR346" i="11"/>
  <c r="FS346" i="11"/>
  <c r="FT346" i="11"/>
  <c r="FU346" i="11"/>
  <c r="FV346" i="11"/>
  <c r="FW346" i="11"/>
  <c r="FX346" i="11"/>
  <c r="FY346" i="11"/>
  <c r="FZ346" i="11"/>
  <c r="GA346" i="11"/>
  <c r="GB346" i="11"/>
  <c r="GC346" i="11"/>
  <c r="GD346" i="11"/>
  <c r="GE346" i="11"/>
  <c r="GF346" i="11"/>
  <c r="GG346" i="11"/>
  <c r="GH346" i="11"/>
  <c r="GI346" i="11"/>
  <c r="GJ346" i="11"/>
  <c r="GK346" i="11"/>
  <c r="GL346" i="11"/>
  <c r="GM346" i="11"/>
  <c r="GN346" i="11"/>
  <c r="GO346" i="11"/>
  <c r="GP346" i="11"/>
  <c r="GQ346" i="11"/>
  <c r="GR346" i="11"/>
  <c r="GS346" i="11"/>
  <c r="GT346" i="11"/>
  <c r="GU346" i="11"/>
  <c r="GV346" i="11"/>
  <c r="GW346" i="11"/>
  <c r="GX346" i="11"/>
  <c r="GY346" i="11"/>
  <c r="GZ346" i="11"/>
  <c r="HA346" i="11"/>
  <c r="HB346" i="11"/>
  <c r="HC346" i="11"/>
  <c r="HD346" i="11"/>
  <c r="HE346" i="11"/>
  <c r="HF346" i="11"/>
  <c r="HG346" i="11"/>
  <c r="HH346" i="11"/>
  <c r="HI346" i="11"/>
  <c r="HJ346" i="11"/>
  <c r="HK346" i="11"/>
  <c r="HL346" i="11"/>
  <c r="HM346" i="11"/>
  <c r="HN346" i="11"/>
  <c r="HO346" i="11"/>
  <c r="HP346" i="11"/>
  <c r="HQ346" i="11"/>
  <c r="HR346" i="11"/>
  <c r="HS346" i="11"/>
  <c r="HT346" i="11"/>
  <c r="HU346" i="11"/>
  <c r="HV346" i="11"/>
  <c r="HW346" i="11"/>
  <c r="HX346" i="11"/>
  <c r="HY346" i="11"/>
  <c r="HZ346" i="11"/>
  <c r="IA346" i="11"/>
  <c r="IB346" i="11"/>
  <c r="IC346" i="11"/>
  <c r="ID346" i="11"/>
  <c r="IE346" i="11"/>
  <c r="IF346" i="11"/>
  <c r="IG346" i="11"/>
  <c r="IH346" i="11"/>
  <c r="II346" i="11"/>
  <c r="IJ346" i="11"/>
  <c r="IK346" i="11"/>
  <c r="IL346" i="11"/>
  <c r="IM346" i="11"/>
  <c r="IN346" i="11"/>
  <c r="IO346" i="11"/>
  <c r="IP346" i="11"/>
  <c r="IQ346" i="11"/>
  <c r="IR346" i="11"/>
  <c r="IS346" i="11"/>
  <c r="IT346" i="11"/>
  <c r="IU346" i="11"/>
  <c r="IV346" i="11"/>
  <c r="F347" i="11"/>
  <c r="G347" i="11"/>
  <c r="H347" i="11"/>
  <c r="I347" i="11"/>
  <c r="J347" i="11"/>
  <c r="K347" i="11"/>
  <c r="L347" i="11"/>
  <c r="M347" i="11"/>
  <c r="N347" i="11"/>
  <c r="O347" i="11"/>
  <c r="P347" i="11"/>
  <c r="Q347" i="11"/>
  <c r="R347" i="11"/>
  <c r="S347" i="11"/>
  <c r="T347" i="11"/>
  <c r="U347" i="11"/>
  <c r="V347" i="11"/>
  <c r="W347" i="11"/>
  <c r="X347" i="11"/>
  <c r="Y347" i="11"/>
  <c r="Z347" i="11"/>
  <c r="AA347" i="11"/>
  <c r="AB347" i="11"/>
  <c r="AC347" i="11"/>
  <c r="AD347" i="11"/>
  <c r="AE347" i="11"/>
  <c r="AF347" i="11"/>
  <c r="AG347" i="11"/>
  <c r="AH347" i="11"/>
  <c r="AI347" i="11"/>
  <c r="AJ347" i="11"/>
  <c r="AK347" i="11"/>
  <c r="AL347" i="11"/>
  <c r="AM347" i="11"/>
  <c r="AN347" i="11"/>
  <c r="AO347" i="11"/>
  <c r="AP347" i="11"/>
  <c r="AQ347" i="11"/>
  <c r="AR347" i="11"/>
  <c r="AS347" i="11"/>
  <c r="AT347" i="11"/>
  <c r="AU347" i="11"/>
  <c r="AV347" i="11"/>
  <c r="AW347" i="11"/>
  <c r="AX347" i="11"/>
  <c r="AY347" i="11"/>
  <c r="AZ347" i="11"/>
  <c r="BA347" i="11"/>
  <c r="BB347" i="11"/>
  <c r="BC347" i="11"/>
  <c r="BD347" i="11"/>
  <c r="BE347" i="11"/>
  <c r="BF347" i="11"/>
  <c r="BG347" i="11"/>
  <c r="BH347" i="11"/>
  <c r="BI347" i="11"/>
  <c r="BJ347" i="11"/>
  <c r="BK347" i="11"/>
  <c r="BL347" i="11"/>
  <c r="BM347" i="11"/>
  <c r="BN347" i="11"/>
  <c r="BO347" i="11"/>
  <c r="BP347" i="11"/>
  <c r="BQ347" i="11"/>
  <c r="BR347" i="11"/>
  <c r="BS347" i="11"/>
  <c r="BT347" i="11"/>
  <c r="BU347" i="11"/>
  <c r="BV347" i="11"/>
  <c r="BW347" i="11"/>
  <c r="BX347" i="11"/>
  <c r="BY347" i="11"/>
  <c r="BZ347" i="11"/>
  <c r="CA347" i="11"/>
  <c r="CB347" i="11"/>
  <c r="CC347" i="11"/>
  <c r="CD347" i="11"/>
  <c r="CE347" i="11"/>
  <c r="CF347" i="11"/>
  <c r="CG347" i="11"/>
  <c r="CH347" i="11"/>
  <c r="CI347" i="11"/>
  <c r="CJ347" i="11"/>
  <c r="CK347" i="11"/>
  <c r="CL347" i="11"/>
  <c r="CM347" i="11"/>
  <c r="CN347" i="11"/>
  <c r="CO347" i="11"/>
  <c r="CP347" i="11"/>
  <c r="CQ347" i="11"/>
  <c r="CR347" i="11"/>
  <c r="CS347" i="11"/>
  <c r="CT347" i="11"/>
  <c r="CU347" i="11"/>
  <c r="CV347" i="11"/>
  <c r="CW347" i="11"/>
  <c r="CX347" i="11"/>
  <c r="CY347" i="11"/>
  <c r="CZ347" i="11"/>
  <c r="DA347" i="11"/>
  <c r="DB347" i="11"/>
  <c r="DC347" i="11"/>
  <c r="DD347" i="11"/>
  <c r="DE347" i="11"/>
  <c r="DF347" i="11"/>
  <c r="DG347" i="11"/>
  <c r="DH347" i="11"/>
  <c r="DI347" i="11"/>
  <c r="DJ347" i="11"/>
  <c r="DK347" i="11"/>
  <c r="DL347" i="11"/>
  <c r="DM347" i="11"/>
  <c r="DN347" i="11"/>
  <c r="DO347" i="11"/>
  <c r="DP347" i="11"/>
  <c r="DQ347" i="11"/>
  <c r="DR347" i="11"/>
  <c r="DS347" i="11"/>
  <c r="DT347" i="11"/>
  <c r="DU347" i="11"/>
  <c r="DV347" i="11"/>
  <c r="DW347" i="11"/>
  <c r="DX347" i="11"/>
  <c r="DY347" i="11"/>
  <c r="DZ347" i="11"/>
  <c r="EA347" i="11"/>
  <c r="EB347" i="11"/>
  <c r="EC347" i="11"/>
  <c r="ED347" i="11"/>
  <c r="EE347" i="11"/>
  <c r="EF347" i="11"/>
  <c r="EG347" i="11"/>
  <c r="EH347" i="11"/>
  <c r="EI347" i="11"/>
  <c r="EJ347" i="11"/>
  <c r="EK347" i="11"/>
  <c r="EL347" i="11"/>
  <c r="EM347" i="11"/>
  <c r="EN347" i="11"/>
  <c r="EO347" i="11"/>
  <c r="EP347" i="11"/>
  <c r="EQ347" i="11"/>
  <c r="ER347" i="11"/>
  <c r="ES347" i="11"/>
  <c r="ET347" i="11"/>
  <c r="EU347" i="11"/>
  <c r="EV347" i="11"/>
  <c r="EW347" i="11"/>
  <c r="EX347" i="11"/>
  <c r="EY347" i="11"/>
  <c r="EZ347" i="11"/>
  <c r="FA347" i="11"/>
  <c r="FB347" i="11"/>
  <c r="FC347" i="11"/>
  <c r="FD347" i="11"/>
  <c r="FE347" i="11"/>
  <c r="FF347" i="11"/>
  <c r="FG347" i="11"/>
  <c r="FH347" i="11"/>
  <c r="FI347" i="11"/>
  <c r="FJ347" i="11"/>
  <c r="FK347" i="11"/>
  <c r="FL347" i="11"/>
  <c r="FM347" i="11"/>
  <c r="FN347" i="11"/>
  <c r="FO347" i="11"/>
  <c r="FP347" i="11"/>
  <c r="FQ347" i="11"/>
  <c r="FR347" i="11"/>
  <c r="FS347" i="11"/>
  <c r="FT347" i="11"/>
  <c r="FU347" i="11"/>
  <c r="FV347" i="11"/>
  <c r="FW347" i="11"/>
  <c r="FX347" i="11"/>
  <c r="FY347" i="11"/>
  <c r="FZ347" i="11"/>
  <c r="GA347" i="11"/>
  <c r="GB347" i="11"/>
  <c r="GC347" i="11"/>
  <c r="GD347" i="11"/>
  <c r="GE347" i="11"/>
  <c r="GF347" i="11"/>
  <c r="GG347" i="11"/>
  <c r="GH347" i="11"/>
  <c r="GI347" i="11"/>
  <c r="GJ347" i="11"/>
  <c r="GK347" i="11"/>
  <c r="GL347" i="11"/>
  <c r="GM347" i="11"/>
  <c r="GN347" i="11"/>
  <c r="GO347" i="11"/>
  <c r="GP347" i="11"/>
  <c r="GQ347" i="11"/>
  <c r="GR347" i="11"/>
  <c r="GS347" i="11"/>
  <c r="GT347" i="11"/>
  <c r="GU347" i="11"/>
  <c r="GV347" i="11"/>
  <c r="GW347" i="11"/>
  <c r="GX347" i="11"/>
  <c r="GY347" i="11"/>
  <c r="GZ347" i="11"/>
  <c r="HA347" i="11"/>
  <c r="HB347" i="11"/>
  <c r="HC347" i="11"/>
  <c r="HD347" i="11"/>
  <c r="HE347" i="11"/>
  <c r="HF347" i="11"/>
  <c r="HG347" i="11"/>
  <c r="HH347" i="11"/>
  <c r="HI347" i="11"/>
  <c r="HJ347" i="11"/>
  <c r="HK347" i="11"/>
  <c r="HL347" i="11"/>
  <c r="HM347" i="11"/>
  <c r="HN347" i="11"/>
  <c r="HO347" i="11"/>
  <c r="HP347" i="11"/>
  <c r="HQ347" i="11"/>
  <c r="HR347" i="11"/>
  <c r="HS347" i="11"/>
  <c r="HT347" i="11"/>
  <c r="HU347" i="11"/>
  <c r="HV347" i="11"/>
  <c r="HW347" i="11"/>
  <c r="HX347" i="11"/>
  <c r="HY347" i="11"/>
  <c r="HZ347" i="11"/>
  <c r="IA347" i="11"/>
  <c r="IB347" i="11"/>
  <c r="IC347" i="11"/>
  <c r="ID347" i="11"/>
  <c r="IE347" i="11"/>
  <c r="IF347" i="11"/>
  <c r="IG347" i="11"/>
  <c r="IH347" i="11"/>
  <c r="II347" i="11"/>
  <c r="IJ347" i="11"/>
  <c r="IK347" i="11"/>
  <c r="IL347" i="11"/>
  <c r="IM347" i="11"/>
  <c r="IN347" i="11"/>
  <c r="IO347" i="11"/>
  <c r="IP347" i="11"/>
  <c r="IQ347" i="11"/>
  <c r="IR347" i="11"/>
  <c r="IS347" i="11"/>
  <c r="IT347" i="11"/>
  <c r="IU347" i="11"/>
  <c r="IV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AC348" i="11"/>
  <c r="AD348" i="11"/>
  <c r="AE348" i="11"/>
  <c r="AF348" i="11"/>
  <c r="AG348" i="11"/>
  <c r="AH348" i="11"/>
  <c r="AI348" i="11"/>
  <c r="AJ348" i="11"/>
  <c r="AK348" i="11"/>
  <c r="AL348" i="11"/>
  <c r="AM348" i="11"/>
  <c r="AN348" i="11"/>
  <c r="AO348" i="11"/>
  <c r="AP348" i="11"/>
  <c r="AQ348" i="11"/>
  <c r="AR348" i="11"/>
  <c r="AS348" i="11"/>
  <c r="AT348" i="11"/>
  <c r="AU348" i="11"/>
  <c r="AV348" i="11"/>
  <c r="AW348" i="11"/>
  <c r="AX348" i="11"/>
  <c r="AY348" i="11"/>
  <c r="AZ348" i="11"/>
  <c r="BA348" i="11"/>
  <c r="BB348" i="11"/>
  <c r="BC348" i="11"/>
  <c r="BD348" i="11"/>
  <c r="BE348" i="11"/>
  <c r="BF348" i="11"/>
  <c r="BG348" i="11"/>
  <c r="BH348" i="11"/>
  <c r="BI348" i="11"/>
  <c r="BJ348" i="11"/>
  <c r="BK348" i="11"/>
  <c r="BL348" i="11"/>
  <c r="BM348" i="11"/>
  <c r="BN348" i="11"/>
  <c r="BO348" i="11"/>
  <c r="BP348" i="11"/>
  <c r="BQ348" i="11"/>
  <c r="BR348" i="11"/>
  <c r="BS348" i="11"/>
  <c r="BT348" i="11"/>
  <c r="BU348" i="11"/>
  <c r="BV348" i="11"/>
  <c r="BW348" i="11"/>
  <c r="BX348" i="11"/>
  <c r="BY348" i="11"/>
  <c r="BZ348" i="11"/>
  <c r="CA348" i="11"/>
  <c r="CB348" i="11"/>
  <c r="CC348" i="11"/>
  <c r="CD348" i="11"/>
  <c r="CE348" i="11"/>
  <c r="CF348" i="11"/>
  <c r="CG348" i="11"/>
  <c r="CH348" i="11"/>
  <c r="CI348" i="11"/>
  <c r="CJ348" i="11"/>
  <c r="CK348" i="11"/>
  <c r="CL348" i="11"/>
  <c r="CM348" i="11"/>
  <c r="CN348" i="11"/>
  <c r="CO348" i="11"/>
  <c r="CP348" i="11"/>
  <c r="CQ348" i="11"/>
  <c r="CR348" i="11"/>
  <c r="CS348" i="11"/>
  <c r="CT348" i="11"/>
  <c r="CU348" i="11"/>
  <c r="CV348" i="11"/>
  <c r="CW348" i="11"/>
  <c r="CX348" i="11"/>
  <c r="CY348" i="11"/>
  <c r="CZ348" i="11"/>
  <c r="DA348" i="11"/>
  <c r="DB348" i="11"/>
  <c r="DC348" i="11"/>
  <c r="DD348" i="11"/>
  <c r="DE348" i="11"/>
  <c r="DF348" i="11"/>
  <c r="DG348" i="11"/>
  <c r="DH348" i="11"/>
  <c r="DI348" i="11"/>
  <c r="DJ348" i="11"/>
  <c r="DK348" i="11"/>
  <c r="DL348" i="11"/>
  <c r="DM348" i="11"/>
  <c r="DN348" i="11"/>
  <c r="DO348" i="11"/>
  <c r="DP348" i="11"/>
  <c r="DQ348" i="11"/>
  <c r="DR348" i="11"/>
  <c r="DS348" i="11"/>
  <c r="DT348" i="11"/>
  <c r="DU348" i="11"/>
  <c r="DV348" i="11"/>
  <c r="DW348" i="11"/>
  <c r="DX348" i="11"/>
  <c r="DY348" i="11"/>
  <c r="DZ348" i="11"/>
  <c r="EA348" i="11"/>
  <c r="EB348" i="11"/>
  <c r="EC348" i="11"/>
  <c r="ED348" i="11"/>
  <c r="EE348" i="11"/>
  <c r="EF348" i="11"/>
  <c r="EG348" i="11"/>
  <c r="EH348" i="11"/>
  <c r="EI348" i="11"/>
  <c r="EJ348" i="11"/>
  <c r="EK348" i="11"/>
  <c r="EL348" i="11"/>
  <c r="EM348" i="11"/>
  <c r="EN348" i="11"/>
  <c r="EO348" i="11"/>
  <c r="EP348" i="11"/>
  <c r="EQ348" i="11"/>
  <c r="ER348" i="11"/>
  <c r="ES348" i="11"/>
  <c r="ET348" i="11"/>
  <c r="EU348" i="11"/>
  <c r="EV348" i="11"/>
  <c r="EW348" i="11"/>
  <c r="EX348" i="11"/>
  <c r="EY348" i="11"/>
  <c r="EZ348" i="11"/>
  <c r="FA348" i="11"/>
  <c r="FB348" i="11"/>
  <c r="FC348" i="11"/>
  <c r="FD348" i="11"/>
  <c r="FE348" i="11"/>
  <c r="FF348" i="11"/>
  <c r="FG348" i="11"/>
  <c r="FH348" i="11"/>
  <c r="FI348" i="11"/>
  <c r="FJ348" i="11"/>
  <c r="FK348" i="11"/>
  <c r="FL348" i="11"/>
  <c r="FM348" i="11"/>
  <c r="FN348" i="11"/>
  <c r="FO348" i="11"/>
  <c r="FP348" i="11"/>
  <c r="FQ348" i="11"/>
  <c r="FR348" i="11"/>
  <c r="FS348" i="11"/>
  <c r="FT348" i="11"/>
  <c r="FU348" i="11"/>
  <c r="FV348" i="11"/>
  <c r="FW348" i="11"/>
  <c r="FX348" i="11"/>
  <c r="FY348" i="11"/>
  <c r="FZ348" i="11"/>
  <c r="GA348" i="11"/>
  <c r="GB348" i="11"/>
  <c r="GC348" i="11"/>
  <c r="GD348" i="11"/>
  <c r="GE348" i="11"/>
  <c r="GF348" i="11"/>
  <c r="GG348" i="11"/>
  <c r="GH348" i="11"/>
  <c r="GI348" i="11"/>
  <c r="GJ348" i="11"/>
  <c r="GK348" i="11"/>
  <c r="GL348" i="11"/>
  <c r="GM348" i="11"/>
  <c r="GN348" i="11"/>
  <c r="GO348" i="11"/>
  <c r="GP348" i="11"/>
  <c r="GQ348" i="11"/>
  <c r="GR348" i="11"/>
  <c r="GS348" i="11"/>
  <c r="GT348" i="11"/>
  <c r="GU348" i="11"/>
  <c r="GV348" i="11"/>
  <c r="GW348" i="11"/>
  <c r="GX348" i="11"/>
  <c r="GY348" i="11"/>
  <c r="GZ348" i="11"/>
  <c r="HA348" i="11"/>
  <c r="HB348" i="11"/>
  <c r="HC348" i="11"/>
  <c r="HD348" i="11"/>
  <c r="HE348" i="11"/>
  <c r="HF348" i="11"/>
  <c r="HG348" i="11"/>
  <c r="HH348" i="11"/>
  <c r="HI348" i="11"/>
  <c r="HJ348" i="11"/>
  <c r="HK348" i="11"/>
  <c r="HL348" i="11"/>
  <c r="HM348" i="11"/>
  <c r="HN348" i="11"/>
  <c r="HO348" i="11"/>
  <c r="HP348" i="11"/>
  <c r="HQ348" i="11"/>
  <c r="HR348" i="11"/>
  <c r="HS348" i="11"/>
  <c r="HT348" i="11"/>
  <c r="HU348" i="11"/>
  <c r="HV348" i="11"/>
  <c r="HW348" i="11"/>
  <c r="HX348" i="11"/>
  <c r="HY348" i="11"/>
  <c r="HZ348" i="11"/>
  <c r="IA348" i="11"/>
  <c r="IB348" i="11"/>
  <c r="IC348" i="11"/>
  <c r="ID348" i="11"/>
  <c r="IE348" i="11"/>
  <c r="IF348" i="11"/>
  <c r="IG348" i="11"/>
  <c r="IH348" i="11"/>
  <c r="II348" i="11"/>
  <c r="IJ348" i="11"/>
  <c r="IK348" i="11"/>
  <c r="IL348" i="11"/>
  <c r="IM348" i="11"/>
  <c r="IN348" i="11"/>
  <c r="IO348" i="11"/>
  <c r="IP348" i="11"/>
  <c r="IQ348" i="11"/>
  <c r="IR348" i="11"/>
  <c r="IS348" i="11"/>
  <c r="IT348" i="11"/>
  <c r="IU348" i="11"/>
  <c r="IV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AC349" i="11"/>
  <c r="AD349" i="11"/>
  <c r="AE349" i="11"/>
  <c r="AF349" i="11"/>
  <c r="AG349" i="11"/>
  <c r="AH349" i="11"/>
  <c r="AI349" i="11"/>
  <c r="AJ349" i="11"/>
  <c r="AK349" i="11"/>
  <c r="AL349" i="11"/>
  <c r="AM349" i="11"/>
  <c r="AN349" i="11"/>
  <c r="AO349" i="11"/>
  <c r="AP349" i="11"/>
  <c r="AQ349" i="11"/>
  <c r="AR349" i="11"/>
  <c r="AS349" i="11"/>
  <c r="AT349" i="11"/>
  <c r="AU349" i="11"/>
  <c r="AV349" i="11"/>
  <c r="AW349" i="11"/>
  <c r="AX349" i="11"/>
  <c r="AY349" i="11"/>
  <c r="AZ349" i="11"/>
  <c r="BA349" i="11"/>
  <c r="BB349" i="11"/>
  <c r="BC349" i="11"/>
  <c r="BD349" i="11"/>
  <c r="BE349" i="11"/>
  <c r="BF349" i="11"/>
  <c r="BG349" i="11"/>
  <c r="BH349" i="11"/>
  <c r="BI349" i="11"/>
  <c r="BJ349" i="11"/>
  <c r="BK349" i="11"/>
  <c r="BL349" i="11"/>
  <c r="BM349" i="11"/>
  <c r="BN349" i="11"/>
  <c r="BO349" i="11"/>
  <c r="BP349" i="11"/>
  <c r="BQ349" i="11"/>
  <c r="BR349" i="11"/>
  <c r="BS349" i="11"/>
  <c r="BT349" i="11"/>
  <c r="BU349" i="11"/>
  <c r="BV349" i="11"/>
  <c r="BW349" i="11"/>
  <c r="BX349" i="11"/>
  <c r="BY349" i="11"/>
  <c r="BZ349" i="11"/>
  <c r="CA349" i="11"/>
  <c r="CB349" i="11"/>
  <c r="CC349" i="11"/>
  <c r="CD349" i="11"/>
  <c r="CE349" i="11"/>
  <c r="CF349" i="11"/>
  <c r="CG349" i="11"/>
  <c r="CH349" i="11"/>
  <c r="CI349" i="11"/>
  <c r="CJ349" i="11"/>
  <c r="CK349" i="11"/>
  <c r="CL349" i="11"/>
  <c r="CM349" i="11"/>
  <c r="CN349" i="11"/>
  <c r="CO349" i="11"/>
  <c r="CP349" i="11"/>
  <c r="CQ349" i="11"/>
  <c r="CR349" i="11"/>
  <c r="CS349" i="11"/>
  <c r="CT349" i="11"/>
  <c r="CU349" i="11"/>
  <c r="CV349" i="11"/>
  <c r="CW349" i="11"/>
  <c r="CX349" i="11"/>
  <c r="CY349" i="11"/>
  <c r="CZ349" i="11"/>
  <c r="DA349" i="11"/>
  <c r="DB349" i="11"/>
  <c r="DC349" i="11"/>
  <c r="DD349" i="11"/>
  <c r="DE349" i="11"/>
  <c r="DF349" i="11"/>
  <c r="DG349" i="11"/>
  <c r="DH349" i="11"/>
  <c r="DI349" i="11"/>
  <c r="DJ349" i="11"/>
  <c r="DK349" i="11"/>
  <c r="DL349" i="11"/>
  <c r="DM349" i="11"/>
  <c r="DN349" i="11"/>
  <c r="DO349" i="11"/>
  <c r="DP349" i="11"/>
  <c r="DQ349" i="11"/>
  <c r="DR349" i="11"/>
  <c r="DS349" i="11"/>
  <c r="DT349" i="11"/>
  <c r="DU349" i="11"/>
  <c r="DV349" i="11"/>
  <c r="DW349" i="11"/>
  <c r="DX349" i="11"/>
  <c r="DY349" i="11"/>
  <c r="DZ349" i="11"/>
  <c r="EA349" i="11"/>
  <c r="EB349" i="11"/>
  <c r="EC349" i="11"/>
  <c r="ED349" i="11"/>
  <c r="EE349" i="11"/>
  <c r="EF349" i="11"/>
  <c r="EG349" i="11"/>
  <c r="EH349" i="11"/>
  <c r="EI349" i="11"/>
  <c r="EJ349" i="11"/>
  <c r="EK349" i="11"/>
  <c r="EL349" i="11"/>
  <c r="EM349" i="11"/>
  <c r="EN349" i="11"/>
  <c r="EO349" i="11"/>
  <c r="EP349" i="11"/>
  <c r="EQ349" i="11"/>
  <c r="ER349" i="11"/>
  <c r="ES349" i="11"/>
  <c r="ET349" i="11"/>
  <c r="EU349" i="11"/>
  <c r="EV349" i="11"/>
  <c r="EW349" i="11"/>
  <c r="EX349" i="11"/>
  <c r="EY349" i="11"/>
  <c r="EZ349" i="11"/>
  <c r="FA349" i="11"/>
  <c r="FB349" i="11"/>
  <c r="FC349" i="11"/>
  <c r="FD349" i="11"/>
  <c r="FE349" i="11"/>
  <c r="FF349" i="11"/>
  <c r="FG349" i="11"/>
  <c r="FH349" i="11"/>
  <c r="FI349" i="11"/>
  <c r="FJ349" i="11"/>
  <c r="FK349" i="11"/>
  <c r="FL349" i="11"/>
  <c r="FM349" i="11"/>
  <c r="FN349" i="11"/>
  <c r="FO349" i="11"/>
  <c r="FP349" i="11"/>
  <c r="FQ349" i="11"/>
  <c r="FR349" i="11"/>
  <c r="FS349" i="11"/>
  <c r="FT349" i="11"/>
  <c r="FU349" i="11"/>
  <c r="FV349" i="11"/>
  <c r="FW349" i="11"/>
  <c r="FX349" i="11"/>
  <c r="FY349" i="11"/>
  <c r="FZ349" i="11"/>
  <c r="GA349" i="11"/>
  <c r="GB349" i="11"/>
  <c r="GC349" i="11"/>
  <c r="GD349" i="11"/>
  <c r="GE349" i="11"/>
  <c r="GF349" i="11"/>
  <c r="GG349" i="11"/>
  <c r="GH349" i="11"/>
  <c r="GI349" i="11"/>
  <c r="GJ349" i="11"/>
  <c r="GK349" i="11"/>
  <c r="GL349" i="11"/>
  <c r="GM349" i="11"/>
  <c r="GN349" i="11"/>
  <c r="GO349" i="11"/>
  <c r="GP349" i="11"/>
  <c r="GQ349" i="11"/>
  <c r="GR349" i="11"/>
  <c r="GS349" i="11"/>
  <c r="GT349" i="11"/>
  <c r="GU349" i="11"/>
  <c r="GV349" i="11"/>
  <c r="GW349" i="11"/>
  <c r="GX349" i="11"/>
  <c r="GY349" i="11"/>
  <c r="GZ349" i="11"/>
  <c r="HA349" i="11"/>
  <c r="HB349" i="11"/>
  <c r="HC349" i="11"/>
  <c r="HD349" i="11"/>
  <c r="HE349" i="11"/>
  <c r="HF349" i="11"/>
  <c r="HG349" i="11"/>
  <c r="HH349" i="11"/>
  <c r="HI349" i="11"/>
  <c r="HJ349" i="11"/>
  <c r="HK349" i="11"/>
  <c r="HL349" i="11"/>
  <c r="HM349" i="11"/>
  <c r="HN349" i="11"/>
  <c r="HO349" i="11"/>
  <c r="HP349" i="11"/>
  <c r="HQ349" i="11"/>
  <c r="HR349" i="11"/>
  <c r="HS349" i="11"/>
  <c r="HT349" i="11"/>
  <c r="HU349" i="11"/>
  <c r="HV349" i="11"/>
  <c r="HW349" i="11"/>
  <c r="HX349" i="11"/>
  <c r="HY349" i="11"/>
  <c r="HZ349" i="11"/>
  <c r="IA349" i="11"/>
  <c r="IB349" i="11"/>
  <c r="IC349" i="11"/>
  <c r="ID349" i="11"/>
  <c r="IE349" i="11"/>
  <c r="IF349" i="11"/>
  <c r="IG349" i="11"/>
  <c r="IH349" i="11"/>
  <c r="II349" i="11"/>
  <c r="IJ349" i="11"/>
  <c r="IK349" i="11"/>
  <c r="IL349" i="11"/>
  <c r="IM349" i="11"/>
  <c r="IN349" i="11"/>
  <c r="IO349" i="11"/>
  <c r="IP349" i="11"/>
  <c r="IQ349" i="11"/>
  <c r="IR349" i="11"/>
  <c r="IS349" i="11"/>
  <c r="IT349" i="11"/>
  <c r="IU349" i="11"/>
  <c r="IV349" i="11"/>
  <c r="F350" i="11"/>
  <c r="G350" i="11"/>
  <c r="H350" i="11"/>
  <c r="I350" i="11"/>
  <c r="J350" i="11"/>
  <c r="K350" i="11"/>
  <c r="L350" i="11"/>
  <c r="M350" i="11"/>
  <c r="N350" i="11"/>
  <c r="O350" i="11"/>
  <c r="P350" i="11"/>
  <c r="Q350" i="11"/>
  <c r="R350" i="11"/>
  <c r="S350" i="11"/>
  <c r="T350" i="11"/>
  <c r="U350" i="11"/>
  <c r="V350" i="11"/>
  <c r="W350" i="11"/>
  <c r="X350" i="11"/>
  <c r="Y350" i="11"/>
  <c r="Z350" i="11"/>
  <c r="AA350" i="11"/>
  <c r="AB350" i="11"/>
  <c r="AC350" i="11"/>
  <c r="AD350" i="11"/>
  <c r="AE350" i="11"/>
  <c r="AF350" i="11"/>
  <c r="AG350" i="11"/>
  <c r="AH350" i="11"/>
  <c r="AI350" i="11"/>
  <c r="AJ350" i="11"/>
  <c r="AK350" i="11"/>
  <c r="AL350" i="11"/>
  <c r="AM350" i="11"/>
  <c r="AN350" i="11"/>
  <c r="AO350" i="11"/>
  <c r="AP350" i="11"/>
  <c r="AQ350" i="11"/>
  <c r="AR350" i="11"/>
  <c r="AS350" i="11"/>
  <c r="AT350" i="11"/>
  <c r="AU350" i="11"/>
  <c r="AV350" i="11"/>
  <c r="AW350" i="11"/>
  <c r="AX350" i="11"/>
  <c r="AY350" i="11"/>
  <c r="AZ350" i="11"/>
  <c r="BA350" i="11"/>
  <c r="BB350" i="11"/>
  <c r="BC350" i="11"/>
  <c r="BD350" i="11"/>
  <c r="BE350" i="11"/>
  <c r="BF350" i="11"/>
  <c r="BG350" i="11"/>
  <c r="BH350" i="11"/>
  <c r="BI350" i="11"/>
  <c r="BJ350" i="11"/>
  <c r="BK350" i="11"/>
  <c r="BL350" i="11"/>
  <c r="BM350" i="11"/>
  <c r="BN350" i="11"/>
  <c r="BO350" i="11"/>
  <c r="BP350" i="11"/>
  <c r="BQ350" i="11"/>
  <c r="BR350" i="11"/>
  <c r="BS350" i="11"/>
  <c r="BT350" i="11"/>
  <c r="BU350" i="11"/>
  <c r="BV350" i="11"/>
  <c r="BW350" i="11"/>
  <c r="BX350" i="11"/>
  <c r="BY350" i="11"/>
  <c r="BZ350" i="11"/>
  <c r="CA350" i="11"/>
  <c r="CB350" i="11"/>
  <c r="CC350" i="11"/>
  <c r="CD350" i="11"/>
  <c r="CE350" i="11"/>
  <c r="CF350" i="11"/>
  <c r="CG350" i="11"/>
  <c r="CH350" i="11"/>
  <c r="CI350" i="11"/>
  <c r="CJ350" i="11"/>
  <c r="CK350" i="11"/>
  <c r="CL350" i="11"/>
  <c r="CM350" i="11"/>
  <c r="CN350" i="11"/>
  <c r="CO350" i="11"/>
  <c r="CP350" i="11"/>
  <c r="CQ350" i="11"/>
  <c r="CR350" i="11"/>
  <c r="CS350" i="11"/>
  <c r="CT350" i="11"/>
  <c r="CU350" i="11"/>
  <c r="CV350" i="11"/>
  <c r="CW350" i="11"/>
  <c r="CX350" i="11"/>
  <c r="CY350" i="11"/>
  <c r="CZ350" i="11"/>
  <c r="DA350" i="11"/>
  <c r="DB350" i="11"/>
  <c r="DC350" i="11"/>
  <c r="DD350" i="11"/>
  <c r="DE350" i="11"/>
  <c r="DF350" i="11"/>
  <c r="DG350" i="11"/>
  <c r="DH350" i="11"/>
  <c r="DI350" i="11"/>
  <c r="DJ350" i="11"/>
  <c r="DK350" i="11"/>
  <c r="DL350" i="11"/>
  <c r="DM350" i="11"/>
  <c r="DN350" i="11"/>
  <c r="DO350" i="11"/>
  <c r="DP350" i="11"/>
  <c r="DQ350" i="11"/>
  <c r="DR350" i="11"/>
  <c r="DS350" i="11"/>
  <c r="DT350" i="11"/>
  <c r="DU350" i="11"/>
  <c r="DV350" i="11"/>
  <c r="DW350" i="11"/>
  <c r="DX350" i="11"/>
  <c r="DY350" i="11"/>
  <c r="DZ350" i="11"/>
  <c r="EA350" i="11"/>
  <c r="EB350" i="11"/>
  <c r="EC350" i="11"/>
  <c r="ED350" i="11"/>
  <c r="EE350" i="11"/>
  <c r="EF350" i="11"/>
  <c r="EG350" i="11"/>
  <c r="EH350" i="11"/>
  <c r="EI350" i="11"/>
  <c r="EJ350" i="11"/>
  <c r="EK350" i="11"/>
  <c r="EL350" i="11"/>
  <c r="EM350" i="11"/>
  <c r="EN350" i="11"/>
  <c r="EO350" i="11"/>
  <c r="EP350" i="11"/>
  <c r="EQ350" i="11"/>
  <c r="ER350" i="11"/>
  <c r="ES350" i="11"/>
  <c r="ET350" i="11"/>
  <c r="EU350" i="11"/>
  <c r="EV350" i="11"/>
  <c r="EW350" i="11"/>
  <c r="EX350" i="11"/>
  <c r="EY350" i="11"/>
  <c r="EZ350" i="11"/>
  <c r="FA350" i="11"/>
  <c r="FB350" i="11"/>
  <c r="FC350" i="11"/>
  <c r="FD350" i="11"/>
  <c r="FE350" i="11"/>
  <c r="FF350" i="11"/>
  <c r="FG350" i="11"/>
  <c r="FH350" i="11"/>
  <c r="FI350" i="11"/>
  <c r="FJ350" i="11"/>
  <c r="FK350" i="11"/>
  <c r="FL350" i="11"/>
  <c r="FM350" i="11"/>
  <c r="FN350" i="11"/>
  <c r="FO350" i="11"/>
  <c r="FP350" i="11"/>
  <c r="FQ350" i="11"/>
  <c r="FR350" i="11"/>
  <c r="FS350" i="11"/>
  <c r="FT350" i="11"/>
  <c r="FU350" i="11"/>
  <c r="FV350" i="11"/>
  <c r="FW350" i="11"/>
  <c r="FX350" i="11"/>
  <c r="FY350" i="11"/>
  <c r="FZ350" i="11"/>
  <c r="GA350" i="11"/>
  <c r="GB350" i="11"/>
  <c r="GC350" i="11"/>
  <c r="GD350" i="11"/>
  <c r="GE350" i="11"/>
  <c r="GF350" i="11"/>
  <c r="GG350" i="11"/>
  <c r="GH350" i="11"/>
  <c r="GI350" i="11"/>
  <c r="GJ350" i="11"/>
  <c r="GK350" i="11"/>
  <c r="GL350" i="11"/>
  <c r="GM350" i="11"/>
  <c r="GN350" i="11"/>
  <c r="GO350" i="11"/>
  <c r="GP350" i="11"/>
  <c r="GQ350" i="11"/>
  <c r="GR350" i="11"/>
  <c r="GS350" i="11"/>
  <c r="GT350" i="11"/>
  <c r="GU350" i="11"/>
  <c r="GV350" i="11"/>
  <c r="GW350" i="11"/>
  <c r="GX350" i="11"/>
  <c r="GY350" i="11"/>
  <c r="GZ350" i="11"/>
  <c r="HA350" i="11"/>
  <c r="HB350" i="11"/>
  <c r="HC350" i="11"/>
  <c r="HD350" i="11"/>
  <c r="HE350" i="11"/>
  <c r="HF350" i="11"/>
  <c r="HG350" i="11"/>
  <c r="HH350" i="11"/>
  <c r="HI350" i="11"/>
  <c r="HJ350" i="11"/>
  <c r="HK350" i="11"/>
  <c r="HL350" i="11"/>
  <c r="HM350" i="11"/>
  <c r="HN350" i="11"/>
  <c r="HO350" i="11"/>
  <c r="HP350" i="11"/>
  <c r="HQ350" i="11"/>
  <c r="HR350" i="11"/>
  <c r="HS350" i="11"/>
  <c r="HT350" i="11"/>
  <c r="HU350" i="11"/>
  <c r="HV350" i="11"/>
  <c r="HW350" i="11"/>
  <c r="HX350" i="11"/>
  <c r="HY350" i="11"/>
  <c r="HZ350" i="11"/>
  <c r="IA350" i="11"/>
  <c r="IB350" i="11"/>
  <c r="IC350" i="11"/>
  <c r="ID350" i="11"/>
  <c r="IE350" i="11"/>
  <c r="IF350" i="11"/>
  <c r="IG350" i="11"/>
  <c r="IH350" i="11"/>
  <c r="II350" i="11"/>
  <c r="IJ350" i="11"/>
  <c r="IK350" i="11"/>
  <c r="IL350" i="11"/>
  <c r="IM350" i="11"/>
  <c r="IN350" i="11"/>
  <c r="IO350" i="11"/>
  <c r="IP350" i="11"/>
  <c r="IQ350" i="11"/>
  <c r="IR350" i="11"/>
  <c r="IS350" i="11"/>
  <c r="IT350" i="11"/>
  <c r="IU350" i="11"/>
  <c r="IV350" i="11"/>
  <c r="F351" i="11"/>
  <c r="G351" i="11"/>
  <c r="H351" i="11"/>
  <c r="I351" i="11"/>
  <c r="J351" i="11"/>
  <c r="K351" i="11"/>
  <c r="L351" i="11"/>
  <c r="M351" i="11"/>
  <c r="N351" i="11"/>
  <c r="O351" i="11"/>
  <c r="P351" i="11"/>
  <c r="Q351" i="11"/>
  <c r="R351" i="11"/>
  <c r="S351" i="11"/>
  <c r="T351" i="11"/>
  <c r="U351" i="11"/>
  <c r="V351" i="11"/>
  <c r="W351" i="11"/>
  <c r="X351" i="11"/>
  <c r="Y351" i="11"/>
  <c r="Z351" i="11"/>
  <c r="AA351" i="11"/>
  <c r="AB351" i="11"/>
  <c r="AC351" i="11"/>
  <c r="AD351" i="11"/>
  <c r="AE351" i="11"/>
  <c r="AF351" i="11"/>
  <c r="AG351" i="11"/>
  <c r="AH351" i="11"/>
  <c r="AI351" i="11"/>
  <c r="AJ351" i="11"/>
  <c r="AK351" i="11"/>
  <c r="AL351" i="11"/>
  <c r="AM351" i="11"/>
  <c r="AN351" i="11"/>
  <c r="AO351" i="11"/>
  <c r="AP351" i="11"/>
  <c r="AQ351" i="11"/>
  <c r="AR351" i="11"/>
  <c r="AS351" i="11"/>
  <c r="AT351" i="11"/>
  <c r="AU351" i="11"/>
  <c r="AV351" i="11"/>
  <c r="AW351" i="11"/>
  <c r="AX351" i="11"/>
  <c r="AY351" i="11"/>
  <c r="AZ351" i="11"/>
  <c r="BA351" i="11"/>
  <c r="BB351" i="11"/>
  <c r="BC351" i="11"/>
  <c r="BD351" i="11"/>
  <c r="BE351" i="11"/>
  <c r="BF351" i="11"/>
  <c r="BG351" i="11"/>
  <c r="BH351" i="11"/>
  <c r="BI351" i="11"/>
  <c r="BJ351" i="11"/>
  <c r="BK351" i="11"/>
  <c r="BL351" i="11"/>
  <c r="BM351" i="11"/>
  <c r="BN351" i="11"/>
  <c r="BO351" i="11"/>
  <c r="BP351" i="11"/>
  <c r="BQ351" i="11"/>
  <c r="BR351" i="11"/>
  <c r="BS351" i="11"/>
  <c r="BT351" i="11"/>
  <c r="BU351" i="11"/>
  <c r="BV351" i="11"/>
  <c r="BW351" i="11"/>
  <c r="BX351" i="11"/>
  <c r="BY351" i="11"/>
  <c r="BZ351" i="11"/>
  <c r="CA351" i="11"/>
  <c r="CB351" i="11"/>
  <c r="CC351" i="11"/>
  <c r="CD351" i="11"/>
  <c r="CE351" i="11"/>
  <c r="CF351" i="11"/>
  <c r="CG351" i="11"/>
  <c r="CH351" i="11"/>
  <c r="CI351" i="11"/>
  <c r="CJ351" i="11"/>
  <c r="CK351" i="11"/>
  <c r="CL351" i="11"/>
  <c r="CM351" i="11"/>
  <c r="CN351" i="11"/>
  <c r="CO351" i="11"/>
  <c r="CP351" i="11"/>
  <c r="CQ351" i="11"/>
  <c r="CR351" i="11"/>
  <c r="CS351" i="11"/>
  <c r="CT351" i="11"/>
  <c r="CU351" i="11"/>
  <c r="CV351" i="11"/>
  <c r="CW351" i="11"/>
  <c r="CX351" i="11"/>
  <c r="CY351" i="11"/>
  <c r="CZ351" i="11"/>
  <c r="DA351" i="11"/>
  <c r="DB351" i="11"/>
  <c r="DC351" i="11"/>
  <c r="DD351" i="11"/>
  <c r="DE351" i="11"/>
  <c r="DF351" i="11"/>
  <c r="DG351" i="11"/>
  <c r="DH351" i="11"/>
  <c r="DI351" i="11"/>
  <c r="DJ351" i="11"/>
  <c r="DK351" i="11"/>
  <c r="DL351" i="11"/>
  <c r="DM351" i="11"/>
  <c r="DN351" i="11"/>
  <c r="DO351" i="11"/>
  <c r="DP351" i="11"/>
  <c r="DQ351" i="11"/>
  <c r="DR351" i="11"/>
  <c r="DS351" i="11"/>
  <c r="DT351" i="11"/>
  <c r="DU351" i="11"/>
  <c r="DV351" i="11"/>
  <c r="DW351" i="11"/>
  <c r="DX351" i="11"/>
  <c r="DY351" i="11"/>
  <c r="DZ351" i="11"/>
  <c r="EA351" i="11"/>
  <c r="EB351" i="11"/>
  <c r="EC351" i="11"/>
  <c r="ED351" i="11"/>
  <c r="EE351" i="11"/>
  <c r="EF351" i="11"/>
  <c r="EG351" i="11"/>
  <c r="EH351" i="11"/>
  <c r="EI351" i="11"/>
  <c r="EJ351" i="11"/>
  <c r="EK351" i="11"/>
  <c r="EL351" i="11"/>
  <c r="EM351" i="11"/>
  <c r="EN351" i="11"/>
  <c r="EO351" i="11"/>
  <c r="EP351" i="11"/>
  <c r="EQ351" i="11"/>
  <c r="ER351" i="11"/>
  <c r="ES351" i="11"/>
  <c r="ET351" i="11"/>
  <c r="EU351" i="11"/>
  <c r="EV351" i="11"/>
  <c r="EW351" i="11"/>
  <c r="EX351" i="11"/>
  <c r="EY351" i="11"/>
  <c r="EZ351" i="11"/>
  <c r="FA351" i="11"/>
  <c r="FB351" i="11"/>
  <c r="FC351" i="11"/>
  <c r="FD351" i="11"/>
  <c r="FE351" i="11"/>
  <c r="FF351" i="11"/>
  <c r="FG351" i="11"/>
  <c r="FH351" i="11"/>
  <c r="FI351" i="11"/>
  <c r="FJ351" i="11"/>
  <c r="FK351" i="11"/>
  <c r="FL351" i="11"/>
  <c r="FM351" i="11"/>
  <c r="FN351" i="11"/>
  <c r="FO351" i="11"/>
  <c r="FP351" i="11"/>
  <c r="FQ351" i="11"/>
  <c r="FR351" i="11"/>
  <c r="FS351" i="11"/>
  <c r="FT351" i="11"/>
  <c r="FU351" i="11"/>
  <c r="FV351" i="11"/>
  <c r="FW351" i="11"/>
  <c r="FX351" i="11"/>
  <c r="FY351" i="11"/>
  <c r="FZ351" i="11"/>
  <c r="GA351" i="11"/>
  <c r="GB351" i="11"/>
  <c r="GC351" i="11"/>
  <c r="GD351" i="11"/>
  <c r="GE351" i="11"/>
  <c r="GF351" i="11"/>
  <c r="GG351" i="11"/>
  <c r="GH351" i="11"/>
  <c r="GI351" i="11"/>
  <c r="GJ351" i="11"/>
  <c r="GK351" i="11"/>
  <c r="GL351" i="11"/>
  <c r="GM351" i="11"/>
  <c r="GN351" i="11"/>
  <c r="GO351" i="11"/>
  <c r="GP351" i="11"/>
  <c r="GQ351" i="11"/>
  <c r="GR351" i="11"/>
  <c r="GS351" i="11"/>
  <c r="GT351" i="11"/>
  <c r="GU351" i="11"/>
  <c r="GV351" i="11"/>
  <c r="GW351" i="11"/>
  <c r="GX351" i="11"/>
  <c r="GY351" i="11"/>
  <c r="GZ351" i="11"/>
  <c r="HA351" i="11"/>
  <c r="HB351" i="11"/>
  <c r="HC351" i="11"/>
  <c r="HD351" i="11"/>
  <c r="HE351" i="11"/>
  <c r="HF351" i="11"/>
  <c r="HG351" i="11"/>
  <c r="HH351" i="11"/>
  <c r="HI351" i="11"/>
  <c r="HJ351" i="11"/>
  <c r="HK351" i="11"/>
  <c r="HL351" i="11"/>
  <c r="HM351" i="11"/>
  <c r="HN351" i="11"/>
  <c r="HO351" i="11"/>
  <c r="HP351" i="11"/>
  <c r="HQ351" i="11"/>
  <c r="HR351" i="11"/>
  <c r="HS351" i="11"/>
  <c r="HT351" i="11"/>
  <c r="HU351" i="11"/>
  <c r="HV351" i="11"/>
  <c r="HW351" i="11"/>
  <c r="HX351" i="11"/>
  <c r="HY351" i="11"/>
  <c r="HZ351" i="11"/>
  <c r="IA351" i="11"/>
  <c r="IB351" i="11"/>
  <c r="IC351" i="11"/>
  <c r="ID351" i="11"/>
  <c r="IE351" i="11"/>
  <c r="IF351" i="11"/>
  <c r="IG351" i="11"/>
  <c r="IH351" i="11"/>
  <c r="II351" i="11"/>
  <c r="IJ351" i="11"/>
  <c r="IK351" i="11"/>
  <c r="IL351" i="11"/>
  <c r="IM351" i="11"/>
  <c r="IN351" i="11"/>
  <c r="IO351" i="11"/>
  <c r="IP351" i="11"/>
  <c r="IQ351" i="11"/>
  <c r="IR351" i="11"/>
  <c r="IS351" i="11"/>
  <c r="IT351" i="11"/>
  <c r="IU351" i="11"/>
  <c r="IV351" i="11"/>
  <c r="F352" i="11"/>
  <c r="G352" i="11"/>
  <c r="H352" i="11"/>
  <c r="I352" i="11"/>
  <c r="J352" i="11"/>
  <c r="K352" i="11"/>
  <c r="L352" i="11"/>
  <c r="M352" i="11"/>
  <c r="N352" i="11"/>
  <c r="O352" i="11"/>
  <c r="P352" i="11"/>
  <c r="Q352" i="11"/>
  <c r="R352" i="11"/>
  <c r="S352" i="11"/>
  <c r="T352" i="11"/>
  <c r="U352" i="11"/>
  <c r="V352" i="11"/>
  <c r="W352" i="11"/>
  <c r="X352" i="11"/>
  <c r="Y352" i="11"/>
  <c r="Z352" i="11"/>
  <c r="AA352" i="11"/>
  <c r="AB352" i="11"/>
  <c r="AC352" i="11"/>
  <c r="AD352" i="11"/>
  <c r="AE352" i="11"/>
  <c r="AF352" i="11"/>
  <c r="AG352" i="11"/>
  <c r="AH352" i="11"/>
  <c r="AI352" i="11"/>
  <c r="AJ352" i="11"/>
  <c r="AK352" i="11"/>
  <c r="AL352" i="11"/>
  <c r="AM352" i="11"/>
  <c r="AN352" i="11"/>
  <c r="AO352" i="11"/>
  <c r="AP352" i="11"/>
  <c r="AQ352" i="11"/>
  <c r="AR352" i="11"/>
  <c r="AS352" i="11"/>
  <c r="AT352" i="11"/>
  <c r="AU352" i="11"/>
  <c r="AV352" i="11"/>
  <c r="AW352" i="11"/>
  <c r="AX352" i="11"/>
  <c r="AY352" i="11"/>
  <c r="AZ352" i="11"/>
  <c r="BA352" i="11"/>
  <c r="BB352" i="11"/>
  <c r="BC352" i="11"/>
  <c r="BD352" i="11"/>
  <c r="BE352" i="11"/>
  <c r="BF352" i="11"/>
  <c r="BG352" i="11"/>
  <c r="BH352" i="11"/>
  <c r="BI352" i="11"/>
  <c r="BJ352" i="11"/>
  <c r="BK352" i="11"/>
  <c r="BL352" i="11"/>
  <c r="BM352" i="11"/>
  <c r="BN352" i="11"/>
  <c r="BO352" i="11"/>
  <c r="BP352" i="11"/>
  <c r="BQ352" i="11"/>
  <c r="BR352" i="11"/>
  <c r="BS352" i="11"/>
  <c r="BT352" i="11"/>
  <c r="BU352" i="11"/>
  <c r="BV352" i="11"/>
  <c r="BW352" i="11"/>
  <c r="BX352" i="11"/>
  <c r="BY352" i="11"/>
  <c r="BZ352" i="11"/>
  <c r="CA352" i="11"/>
  <c r="CB352" i="11"/>
  <c r="CC352" i="11"/>
  <c r="CD352" i="11"/>
  <c r="CE352" i="11"/>
  <c r="CF352" i="11"/>
  <c r="CG352" i="11"/>
  <c r="CH352" i="11"/>
  <c r="CI352" i="11"/>
  <c r="CJ352" i="11"/>
  <c r="CK352" i="11"/>
  <c r="CL352" i="11"/>
  <c r="CM352" i="11"/>
  <c r="CN352" i="11"/>
  <c r="CO352" i="11"/>
  <c r="CP352" i="11"/>
  <c r="CQ352" i="11"/>
  <c r="CR352" i="11"/>
  <c r="CS352" i="11"/>
  <c r="CT352" i="11"/>
  <c r="CU352" i="11"/>
  <c r="CV352" i="11"/>
  <c r="CW352" i="11"/>
  <c r="CX352" i="11"/>
  <c r="CY352" i="11"/>
  <c r="CZ352" i="11"/>
  <c r="DA352" i="11"/>
  <c r="DB352" i="11"/>
  <c r="DC352" i="11"/>
  <c r="DD352" i="11"/>
  <c r="DE352" i="11"/>
  <c r="DF352" i="11"/>
  <c r="DG352" i="11"/>
  <c r="DH352" i="11"/>
  <c r="DI352" i="11"/>
  <c r="DJ352" i="11"/>
  <c r="DK352" i="11"/>
  <c r="DL352" i="11"/>
  <c r="DM352" i="11"/>
  <c r="DN352" i="11"/>
  <c r="DO352" i="11"/>
  <c r="DP352" i="11"/>
  <c r="DQ352" i="11"/>
  <c r="DR352" i="11"/>
  <c r="DS352" i="11"/>
  <c r="DT352" i="11"/>
  <c r="DU352" i="11"/>
  <c r="DV352" i="11"/>
  <c r="DW352" i="11"/>
  <c r="DX352" i="11"/>
  <c r="DY352" i="11"/>
  <c r="DZ352" i="11"/>
  <c r="EA352" i="11"/>
  <c r="EB352" i="11"/>
  <c r="EC352" i="11"/>
  <c r="ED352" i="11"/>
  <c r="EE352" i="11"/>
  <c r="EF352" i="11"/>
  <c r="EG352" i="11"/>
  <c r="EH352" i="11"/>
  <c r="EI352" i="11"/>
  <c r="EJ352" i="11"/>
  <c r="EK352" i="11"/>
  <c r="EL352" i="11"/>
  <c r="EM352" i="11"/>
  <c r="EN352" i="11"/>
  <c r="EO352" i="11"/>
  <c r="EP352" i="11"/>
  <c r="EQ352" i="11"/>
  <c r="ER352" i="11"/>
  <c r="ES352" i="11"/>
  <c r="ET352" i="11"/>
  <c r="EU352" i="11"/>
  <c r="EV352" i="11"/>
  <c r="EW352" i="11"/>
  <c r="EX352" i="11"/>
  <c r="EY352" i="11"/>
  <c r="EZ352" i="11"/>
  <c r="FA352" i="11"/>
  <c r="FB352" i="11"/>
  <c r="FC352" i="11"/>
  <c r="FD352" i="11"/>
  <c r="FE352" i="11"/>
  <c r="FF352" i="11"/>
  <c r="FG352" i="11"/>
  <c r="FH352" i="11"/>
  <c r="FI352" i="11"/>
  <c r="FJ352" i="11"/>
  <c r="FK352" i="11"/>
  <c r="FL352" i="11"/>
  <c r="FM352" i="11"/>
  <c r="FN352" i="11"/>
  <c r="FO352" i="11"/>
  <c r="FP352" i="11"/>
  <c r="FQ352" i="11"/>
  <c r="FR352" i="11"/>
  <c r="FS352" i="11"/>
  <c r="FT352" i="11"/>
  <c r="FU352" i="11"/>
  <c r="FV352" i="11"/>
  <c r="FW352" i="11"/>
  <c r="FX352" i="11"/>
  <c r="FY352" i="11"/>
  <c r="FZ352" i="11"/>
  <c r="GA352" i="11"/>
  <c r="GB352" i="11"/>
  <c r="GC352" i="11"/>
  <c r="GD352" i="11"/>
  <c r="GE352" i="11"/>
  <c r="GF352" i="11"/>
  <c r="GG352" i="11"/>
  <c r="GH352" i="11"/>
  <c r="GI352" i="11"/>
  <c r="GJ352" i="11"/>
  <c r="GK352" i="11"/>
  <c r="GL352" i="11"/>
  <c r="GM352" i="11"/>
  <c r="GN352" i="11"/>
  <c r="GO352" i="11"/>
  <c r="GP352" i="11"/>
  <c r="GQ352" i="11"/>
  <c r="GR352" i="11"/>
  <c r="GS352" i="11"/>
  <c r="GT352" i="11"/>
  <c r="GU352" i="11"/>
  <c r="GV352" i="11"/>
  <c r="GW352" i="11"/>
  <c r="GX352" i="11"/>
  <c r="GY352" i="11"/>
  <c r="GZ352" i="11"/>
  <c r="HA352" i="11"/>
  <c r="HB352" i="11"/>
  <c r="HC352" i="11"/>
  <c r="HD352" i="11"/>
  <c r="HE352" i="11"/>
  <c r="HF352" i="11"/>
  <c r="HG352" i="11"/>
  <c r="HH352" i="11"/>
  <c r="HI352" i="11"/>
  <c r="HJ352" i="11"/>
  <c r="HK352" i="11"/>
  <c r="HL352" i="11"/>
  <c r="HM352" i="11"/>
  <c r="HN352" i="11"/>
  <c r="HO352" i="11"/>
  <c r="HP352" i="11"/>
  <c r="HQ352" i="11"/>
  <c r="HR352" i="11"/>
  <c r="HS352" i="11"/>
  <c r="HT352" i="11"/>
  <c r="HU352" i="11"/>
  <c r="HV352" i="11"/>
  <c r="HW352" i="11"/>
  <c r="HX352" i="11"/>
  <c r="HY352" i="11"/>
  <c r="HZ352" i="11"/>
  <c r="IA352" i="11"/>
  <c r="IB352" i="11"/>
  <c r="IC352" i="11"/>
  <c r="ID352" i="11"/>
  <c r="IE352" i="11"/>
  <c r="IF352" i="11"/>
  <c r="IG352" i="11"/>
  <c r="IH352" i="11"/>
  <c r="II352" i="11"/>
  <c r="IJ352" i="11"/>
  <c r="IK352" i="11"/>
  <c r="IL352" i="11"/>
  <c r="IM352" i="11"/>
  <c r="IN352" i="11"/>
  <c r="IO352" i="11"/>
  <c r="IP352" i="11"/>
  <c r="IQ352" i="11"/>
  <c r="IR352" i="11"/>
  <c r="IS352" i="11"/>
  <c r="IT352" i="11"/>
  <c r="IU352" i="11"/>
  <c r="IV352" i="11"/>
  <c r="F353" i="11"/>
  <c r="G353" i="11"/>
  <c r="H353" i="11"/>
  <c r="I353" i="11"/>
  <c r="J353" i="11"/>
  <c r="K353" i="11"/>
  <c r="L353" i="11"/>
  <c r="M353" i="11"/>
  <c r="N353" i="11"/>
  <c r="O353" i="11"/>
  <c r="P353" i="11"/>
  <c r="Q353" i="11"/>
  <c r="R353" i="11"/>
  <c r="S353" i="11"/>
  <c r="T353" i="11"/>
  <c r="U353" i="11"/>
  <c r="V353" i="11"/>
  <c r="W353" i="11"/>
  <c r="X353" i="11"/>
  <c r="Y353" i="11"/>
  <c r="Z353" i="11"/>
  <c r="AA353" i="11"/>
  <c r="AB353" i="11"/>
  <c r="AC353" i="11"/>
  <c r="AD353" i="11"/>
  <c r="AE353" i="11"/>
  <c r="AF353" i="11"/>
  <c r="AG353" i="11"/>
  <c r="AH353" i="11"/>
  <c r="AI353" i="11"/>
  <c r="AJ353" i="11"/>
  <c r="AK353" i="11"/>
  <c r="AL353" i="11"/>
  <c r="AM353" i="11"/>
  <c r="AN353" i="11"/>
  <c r="AO353" i="11"/>
  <c r="AP353" i="11"/>
  <c r="AQ353" i="11"/>
  <c r="AR353" i="11"/>
  <c r="AS353" i="11"/>
  <c r="AT353" i="11"/>
  <c r="AU353" i="11"/>
  <c r="AV353" i="11"/>
  <c r="AW353" i="11"/>
  <c r="AX353" i="11"/>
  <c r="AY353" i="11"/>
  <c r="AZ353" i="11"/>
  <c r="BA353" i="11"/>
  <c r="BB353" i="11"/>
  <c r="BC353" i="11"/>
  <c r="BD353" i="11"/>
  <c r="BE353" i="11"/>
  <c r="BF353" i="11"/>
  <c r="BG353" i="11"/>
  <c r="BH353" i="11"/>
  <c r="BI353" i="11"/>
  <c r="BJ353" i="11"/>
  <c r="BK353" i="11"/>
  <c r="BL353" i="11"/>
  <c r="BM353" i="11"/>
  <c r="BN353" i="11"/>
  <c r="BO353" i="11"/>
  <c r="BP353" i="11"/>
  <c r="BQ353" i="11"/>
  <c r="BR353" i="11"/>
  <c r="BS353" i="11"/>
  <c r="BT353" i="11"/>
  <c r="BU353" i="11"/>
  <c r="BV353" i="11"/>
  <c r="BW353" i="11"/>
  <c r="BX353" i="11"/>
  <c r="BY353" i="11"/>
  <c r="BZ353" i="11"/>
  <c r="CA353" i="11"/>
  <c r="CB353" i="11"/>
  <c r="CC353" i="11"/>
  <c r="CD353" i="11"/>
  <c r="CE353" i="11"/>
  <c r="CF353" i="11"/>
  <c r="CG353" i="11"/>
  <c r="CH353" i="11"/>
  <c r="CI353" i="11"/>
  <c r="CJ353" i="11"/>
  <c r="CK353" i="11"/>
  <c r="CL353" i="11"/>
  <c r="CM353" i="11"/>
  <c r="CN353" i="11"/>
  <c r="CO353" i="11"/>
  <c r="CP353" i="11"/>
  <c r="CQ353" i="11"/>
  <c r="CR353" i="11"/>
  <c r="CS353" i="11"/>
  <c r="CT353" i="11"/>
  <c r="CU353" i="11"/>
  <c r="CV353" i="11"/>
  <c r="CW353" i="11"/>
  <c r="CX353" i="11"/>
  <c r="CY353" i="11"/>
  <c r="CZ353" i="11"/>
  <c r="DA353" i="11"/>
  <c r="DB353" i="11"/>
  <c r="DC353" i="11"/>
  <c r="DD353" i="11"/>
  <c r="DE353" i="11"/>
  <c r="DF353" i="11"/>
  <c r="DG353" i="11"/>
  <c r="DH353" i="11"/>
  <c r="DI353" i="11"/>
  <c r="DJ353" i="11"/>
  <c r="DK353" i="11"/>
  <c r="DL353" i="11"/>
  <c r="DM353" i="11"/>
  <c r="DN353" i="11"/>
  <c r="DO353" i="11"/>
  <c r="DP353" i="11"/>
  <c r="DQ353" i="11"/>
  <c r="DR353" i="11"/>
  <c r="DS353" i="11"/>
  <c r="DT353" i="11"/>
  <c r="DU353" i="11"/>
  <c r="DV353" i="11"/>
  <c r="DW353" i="11"/>
  <c r="DX353" i="11"/>
  <c r="DY353" i="11"/>
  <c r="DZ353" i="11"/>
  <c r="EA353" i="11"/>
  <c r="EB353" i="11"/>
  <c r="EC353" i="11"/>
  <c r="ED353" i="11"/>
  <c r="EE353" i="11"/>
  <c r="EF353" i="11"/>
  <c r="EG353" i="11"/>
  <c r="EH353" i="11"/>
  <c r="EI353" i="11"/>
  <c r="EJ353" i="11"/>
  <c r="EK353" i="11"/>
  <c r="EL353" i="11"/>
  <c r="EM353" i="11"/>
  <c r="EN353" i="11"/>
  <c r="EO353" i="11"/>
  <c r="EP353" i="11"/>
  <c r="EQ353" i="11"/>
  <c r="ER353" i="11"/>
  <c r="ES353" i="11"/>
  <c r="ET353" i="11"/>
  <c r="EU353" i="11"/>
  <c r="EV353" i="11"/>
  <c r="EW353" i="11"/>
  <c r="EX353" i="11"/>
  <c r="EY353" i="11"/>
  <c r="EZ353" i="11"/>
  <c r="FA353" i="11"/>
  <c r="FB353" i="11"/>
  <c r="FC353" i="11"/>
  <c r="FD353" i="11"/>
  <c r="FE353" i="11"/>
  <c r="FF353" i="11"/>
  <c r="FG353" i="11"/>
  <c r="FH353" i="11"/>
  <c r="FI353" i="11"/>
  <c r="FJ353" i="11"/>
  <c r="FK353" i="11"/>
  <c r="FL353" i="11"/>
  <c r="FM353" i="11"/>
  <c r="FN353" i="11"/>
  <c r="FO353" i="11"/>
  <c r="FP353" i="11"/>
  <c r="FQ353" i="11"/>
  <c r="FR353" i="11"/>
  <c r="FS353" i="11"/>
  <c r="FT353" i="11"/>
  <c r="FU353" i="11"/>
  <c r="FV353" i="11"/>
  <c r="FW353" i="11"/>
  <c r="FX353" i="11"/>
  <c r="FY353" i="11"/>
  <c r="FZ353" i="11"/>
  <c r="GA353" i="11"/>
  <c r="GB353" i="11"/>
  <c r="GC353" i="11"/>
  <c r="GD353" i="11"/>
  <c r="GE353" i="11"/>
  <c r="GF353" i="11"/>
  <c r="GG353" i="11"/>
  <c r="GH353" i="11"/>
  <c r="GI353" i="11"/>
  <c r="GJ353" i="11"/>
  <c r="GK353" i="11"/>
  <c r="GL353" i="11"/>
  <c r="GM353" i="11"/>
  <c r="GN353" i="11"/>
  <c r="GO353" i="11"/>
  <c r="GP353" i="11"/>
  <c r="GQ353" i="11"/>
  <c r="GR353" i="11"/>
  <c r="GS353" i="11"/>
  <c r="GT353" i="11"/>
  <c r="GU353" i="11"/>
  <c r="GV353" i="11"/>
  <c r="GW353" i="11"/>
  <c r="GX353" i="11"/>
  <c r="GY353" i="11"/>
  <c r="GZ353" i="11"/>
  <c r="HA353" i="11"/>
  <c r="HB353" i="11"/>
  <c r="HC353" i="11"/>
  <c r="HD353" i="11"/>
  <c r="HE353" i="11"/>
  <c r="HF353" i="11"/>
  <c r="HG353" i="11"/>
  <c r="HH353" i="11"/>
  <c r="HI353" i="11"/>
  <c r="HJ353" i="11"/>
  <c r="HK353" i="11"/>
  <c r="HL353" i="11"/>
  <c r="HM353" i="11"/>
  <c r="HN353" i="11"/>
  <c r="HO353" i="11"/>
  <c r="HP353" i="11"/>
  <c r="HQ353" i="11"/>
  <c r="HR353" i="11"/>
  <c r="HS353" i="11"/>
  <c r="HT353" i="11"/>
  <c r="HU353" i="11"/>
  <c r="HV353" i="11"/>
  <c r="HW353" i="11"/>
  <c r="HX353" i="11"/>
  <c r="HY353" i="11"/>
  <c r="HZ353" i="11"/>
  <c r="IA353" i="11"/>
  <c r="IB353" i="11"/>
  <c r="IC353" i="11"/>
  <c r="ID353" i="11"/>
  <c r="IE353" i="11"/>
  <c r="IF353" i="11"/>
  <c r="IG353" i="11"/>
  <c r="IH353" i="11"/>
  <c r="II353" i="11"/>
  <c r="IJ353" i="11"/>
  <c r="IK353" i="11"/>
  <c r="IL353" i="11"/>
  <c r="IM353" i="11"/>
  <c r="IN353" i="11"/>
  <c r="IO353" i="11"/>
  <c r="IP353" i="11"/>
  <c r="IQ353" i="11"/>
  <c r="IR353" i="11"/>
  <c r="IS353" i="11"/>
  <c r="IT353" i="11"/>
  <c r="IU353" i="11"/>
  <c r="IV353" i="11"/>
  <c r="F354" i="11"/>
  <c r="G354" i="11"/>
  <c r="H354" i="11"/>
  <c r="I354" i="11"/>
  <c r="J354" i="11"/>
  <c r="K354" i="11"/>
  <c r="L354" i="11"/>
  <c r="M354" i="11"/>
  <c r="N354" i="11"/>
  <c r="O354" i="11"/>
  <c r="P354" i="11"/>
  <c r="Q354" i="11"/>
  <c r="R354" i="11"/>
  <c r="S354" i="11"/>
  <c r="T354" i="11"/>
  <c r="U354" i="11"/>
  <c r="V354" i="11"/>
  <c r="W354" i="11"/>
  <c r="X354" i="11"/>
  <c r="Y354" i="11"/>
  <c r="Z354" i="11"/>
  <c r="AA354" i="11"/>
  <c r="AB354" i="11"/>
  <c r="AC354" i="11"/>
  <c r="AD354" i="11"/>
  <c r="AE354" i="11"/>
  <c r="AF354" i="11"/>
  <c r="AG354" i="11"/>
  <c r="AH354" i="11"/>
  <c r="AI354" i="11"/>
  <c r="AJ354" i="11"/>
  <c r="AK354" i="11"/>
  <c r="AL354" i="11"/>
  <c r="AM354" i="11"/>
  <c r="AN354" i="11"/>
  <c r="AO354" i="11"/>
  <c r="AP354" i="11"/>
  <c r="AQ354" i="11"/>
  <c r="AR354" i="11"/>
  <c r="AS354" i="11"/>
  <c r="AT354" i="11"/>
  <c r="AU354" i="11"/>
  <c r="AV354" i="11"/>
  <c r="AW354" i="11"/>
  <c r="AX354" i="11"/>
  <c r="AY354" i="11"/>
  <c r="AZ354" i="11"/>
  <c r="BA354" i="11"/>
  <c r="BB354" i="11"/>
  <c r="BC354" i="11"/>
  <c r="BD354" i="11"/>
  <c r="BE354" i="11"/>
  <c r="BF354" i="11"/>
  <c r="BG354" i="11"/>
  <c r="BH354" i="11"/>
  <c r="BI354" i="11"/>
  <c r="BJ354" i="11"/>
  <c r="BK354" i="11"/>
  <c r="BL354" i="11"/>
  <c r="BM354" i="11"/>
  <c r="BN354" i="11"/>
  <c r="BO354" i="11"/>
  <c r="BP354" i="11"/>
  <c r="BQ354" i="11"/>
  <c r="BR354" i="11"/>
  <c r="BS354" i="11"/>
  <c r="BT354" i="11"/>
  <c r="BU354" i="11"/>
  <c r="BV354" i="11"/>
  <c r="BW354" i="11"/>
  <c r="BX354" i="11"/>
  <c r="BY354" i="11"/>
  <c r="BZ354" i="11"/>
  <c r="CA354" i="11"/>
  <c r="CB354" i="11"/>
  <c r="CC354" i="11"/>
  <c r="CD354" i="11"/>
  <c r="CE354" i="11"/>
  <c r="CF354" i="11"/>
  <c r="CG354" i="11"/>
  <c r="CH354" i="11"/>
  <c r="CI354" i="11"/>
  <c r="CJ354" i="11"/>
  <c r="CK354" i="11"/>
  <c r="CL354" i="11"/>
  <c r="CM354" i="11"/>
  <c r="CN354" i="11"/>
  <c r="CO354" i="11"/>
  <c r="CP354" i="11"/>
  <c r="CQ354" i="11"/>
  <c r="CR354" i="11"/>
  <c r="CS354" i="11"/>
  <c r="CT354" i="11"/>
  <c r="CU354" i="11"/>
  <c r="CV354" i="11"/>
  <c r="CW354" i="11"/>
  <c r="CX354" i="11"/>
  <c r="CY354" i="11"/>
  <c r="CZ354" i="11"/>
  <c r="DA354" i="11"/>
  <c r="DB354" i="11"/>
  <c r="DC354" i="11"/>
  <c r="DD354" i="11"/>
  <c r="DE354" i="11"/>
  <c r="DF354" i="11"/>
  <c r="DG354" i="11"/>
  <c r="DH354" i="11"/>
  <c r="DI354" i="11"/>
  <c r="DJ354" i="11"/>
  <c r="DK354" i="11"/>
  <c r="DL354" i="11"/>
  <c r="DM354" i="11"/>
  <c r="DN354" i="11"/>
  <c r="DO354" i="11"/>
  <c r="DP354" i="11"/>
  <c r="DQ354" i="11"/>
  <c r="DR354" i="11"/>
  <c r="DS354" i="11"/>
  <c r="DT354" i="11"/>
  <c r="DU354" i="11"/>
  <c r="DV354" i="11"/>
  <c r="DW354" i="11"/>
  <c r="DX354" i="11"/>
  <c r="DY354" i="11"/>
  <c r="DZ354" i="11"/>
  <c r="EA354" i="11"/>
  <c r="EB354" i="11"/>
  <c r="EC354" i="11"/>
  <c r="ED354" i="11"/>
  <c r="EE354" i="11"/>
  <c r="EF354" i="11"/>
  <c r="EG354" i="11"/>
  <c r="EH354" i="11"/>
  <c r="EI354" i="11"/>
  <c r="EJ354" i="11"/>
  <c r="EK354" i="11"/>
  <c r="EL354" i="11"/>
  <c r="EM354" i="11"/>
  <c r="EN354" i="11"/>
  <c r="EO354" i="11"/>
  <c r="EP354" i="11"/>
  <c r="EQ354" i="11"/>
  <c r="ER354" i="11"/>
  <c r="ES354" i="11"/>
  <c r="ET354" i="11"/>
  <c r="EU354" i="11"/>
  <c r="EV354" i="11"/>
  <c r="EW354" i="11"/>
  <c r="EX354" i="11"/>
  <c r="EY354" i="11"/>
  <c r="EZ354" i="11"/>
  <c r="FA354" i="11"/>
  <c r="FB354" i="11"/>
  <c r="FC354" i="11"/>
  <c r="FD354" i="11"/>
  <c r="FE354" i="11"/>
  <c r="FF354" i="11"/>
  <c r="FG354" i="11"/>
  <c r="FH354" i="11"/>
  <c r="FI354" i="11"/>
  <c r="FJ354" i="11"/>
  <c r="FK354" i="11"/>
  <c r="FL354" i="11"/>
  <c r="FM354" i="11"/>
  <c r="FN354" i="11"/>
  <c r="FO354" i="11"/>
  <c r="FP354" i="11"/>
  <c r="FQ354" i="11"/>
  <c r="FR354" i="11"/>
  <c r="FS354" i="11"/>
  <c r="FT354" i="11"/>
  <c r="FU354" i="11"/>
  <c r="FV354" i="11"/>
  <c r="FW354" i="11"/>
  <c r="FX354" i="11"/>
  <c r="FY354" i="11"/>
  <c r="FZ354" i="11"/>
  <c r="GA354" i="11"/>
  <c r="GB354" i="11"/>
  <c r="GC354" i="11"/>
  <c r="GD354" i="11"/>
  <c r="GE354" i="11"/>
  <c r="GF354" i="11"/>
  <c r="GG354" i="11"/>
  <c r="GH354" i="11"/>
  <c r="GI354" i="11"/>
  <c r="GJ354" i="11"/>
  <c r="GK354" i="11"/>
  <c r="GL354" i="11"/>
  <c r="GM354" i="11"/>
  <c r="GN354" i="11"/>
  <c r="GO354" i="11"/>
  <c r="GP354" i="11"/>
  <c r="GQ354" i="11"/>
  <c r="GR354" i="11"/>
  <c r="GS354" i="11"/>
  <c r="GT354" i="11"/>
  <c r="GU354" i="11"/>
  <c r="GV354" i="11"/>
  <c r="GW354" i="11"/>
  <c r="GX354" i="11"/>
  <c r="GY354" i="11"/>
  <c r="GZ354" i="11"/>
  <c r="HA354" i="11"/>
  <c r="HB354" i="11"/>
  <c r="HC354" i="11"/>
  <c r="HD354" i="11"/>
  <c r="HE354" i="11"/>
  <c r="HF354" i="11"/>
  <c r="HG354" i="11"/>
  <c r="HH354" i="11"/>
  <c r="HI354" i="11"/>
  <c r="HJ354" i="11"/>
  <c r="HK354" i="11"/>
  <c r="HL354" i="11"/>
  <c r="HM354" i="11"/>
  <c r="HN354" i="11"/>
  <c r="HO354" i="11"/>
  <c r="HP354" i="11"/>
  <c r="HQ354" i="11"/>
  <c r="HR354" i="11"/>
  <c r="HS354" i="11"/>
  <c r="HT354" i="11"/>
  <c r="HU354" i="11"/>
  <c r="HV354" i="11"/>
  <c r="HW354" i="11"/>
  <c r="HX354" i="11"/>
  <c r="HY354" i="11"/>
  <c r="HZ354" i="11"/>
  <c r="IA354" i="11"/>
  <c r="IB354" i="11"/>
  <c r="IC354" i="11"/>
  <c r="ID354" i="11"/>
  <c r="IE354" i="11"/>
  <c r="IF354" i="11"/>
  <c r="IG354" i="11"/>
  <c r="IH354" i="11"/>
  <c r="II354" i="11"/>
  <c r="IJ354" i="11"/>
  <c r="IK354" i="11"/>
  <c r="IL354" i="11"/>
  <c r="IM354" i="11"/>
  <c r="IN354" i="11"/>
  <c r="IO354" i="11"/>
  <c r="IP354" i="11"/>
  <c r="IQ354" i="11"/>
  <c r="IR354" i="11"/>
  <c r="IS354" i="11"/>
  <c r="IT354" i="11"/>
  <c r="IU354" i="11"/>
  <c r="IV354" i="11"/>
  <c r="F355" i="11"/>
  <c r="G355" i="11"/>
  <c r="H355" i="11"/>
  <c r="I355" i="11"/>
  <c r="J355" i="11"/>
  <c r="K355" i="11"/>
  <c r="L355" i="11"/>
  <c r="M355" i="11"/>
  <c r="N355" i="11"/>
  <c r="O355" i="11"/>
  <c r="P355" i="11"/>
  <c r="Q355" i="11"/>
  <c r="R355" i="11"/>
  <c r="S355" i="11"/>
  <c r="T355" i="11"/>
  <c r="U355" i="11"/>
  <c r="V355" i="11"/>
  <c r="W355" i="11"/>
  <c r="X355" i="11"/>
  <c r="Y355" i="11"/>
  <c r="Z355" i="11"/>
  <c r="AA355" i="11"/>
  <c r="AB355" i="11"/>
  <c r="AC355" i="11"/>
  <c r="AD355" i="11"/>
  <c r="AE355" i="11"/>
  <c r="AF355" i="11"/>
  <c r="AG355" i="11"/>
  <c r="AH355" i="11"/>
  <c r="AI355" i="11"/>
  <c r="AJ355" i="11"/>
  <c r="AK355" i="11"/>
  <c r="AL355" i="11"/>
  <c r="AM355" i="11"/>
  <c r="AN355" i="11"/>
  <c r="AO355" i="11"/>
  <c r="AP355" i="11"/>
  <c r="AQ355" i="11"/>
  <c r="AR355" i="11"/>
  <c r="AS355" i="11"/>
  <c r="AT355" i="11"/>
  <c r="AU355" i="11"/>
  <c r="AV355" i="11"/>
  <c r="AW355" i="11"/>
  <c r="AX355" i="11"/>
  <c r="AY355" i="11"/>
  <c r="AZ355" i="11"/>
  <c r="BA355" i="11"/>
  <c r="BB355" i="11"/>
  <c r="BC355" i="11"/>
  <c r="BD355" i="11"/>
  <c r="BE355" i="11"/>
  <c r="BF355" i="11"/>
  <c r="BG355" i="11"/>
  <c r="BH355" i="11"/>
  <c r="BI355" i="11"/>
  <c r="BJ355" i="11"/>
  <c r="BK355" i="11"/>
  <c r="BL355" i="11"/>
  <c r="BM355" i="11"/>
  <c r="BN355" i="11"/>
  <c r="BO355" i="11"/>
  <c r="BP355" i="11"/>
  <c r="BQ355" i="11"/>
  <c r="BR355" i="11"/>
  <c r="BS355" i="11"/>
  <c r="BT355" i="11"/>
  <c r="BU355" i="11"/>
  <c r="BV355" i="11"/>
  <c r="BW355" i="11"/>
  <c r="BX355" i="11"/>
  <c r="BY355" i="11"/>
  <c r="BZ355" i="11"/>
  <c r="CA355" i="11"/>
  <c r="CB355" i="11"/>
  <c r="CC355" i="11"/>
  <c r="CD355" i="11"/>
  <c r="CE355" i="11"/>
  <c r="CF355" i="11"/>
  <c r="CG355" i="11"/>
  <c r="CH355" i="11"/>
  <c r="CI355" i="11"/>
  <c r="CJ355" i="11"/>
  <c r="CK355" i="11"/>
  <c r="CL355" i="11"/>
  <c r="CM355" i="11"/>
  <c r="CN355" i="11"/>
  <c r="CO355" i="11"/>
  <c r="CP355" i="11"/>
  <c r="CQ355" i="11"/>
  <c r="CR355" i="11"/>
  <c r="CS355" i="11"/>
  <c r="CT355" i="11"/>
  <c r="CU355" i="11"/>
  <c r="CV355" i="11"/>
  <c r="CW355" i="11"/>
  <c r="CX355" i="11"/>
  <c r="CY355" i="11"/>
  <c r="CZ355" i="11"/>
  <c r="DA355" i="11"/>
  <c r="DB355" i="11"/>
  <c r="DC355" i="11"/>
  <c r="DD355" i="11"/>
  <c r="DE355" i="11"/>
  <c r="DF355" i="11"/>
  <c r="DG355" i="11"/>
  <c r="DH355" i="11"/>
  <c r="DI355" i="11"/>
  <c r="DJ355" i="11"/>
  <c r="DK355" i="11"/>
  <c r="DL355" i="11"/>
  <c r="DM355" i="11"/>
  <c r="DN355" i="11"/>
  <c r="DO355" i="11"/>
  <c r="DP355" i="11"/>
  <c r="DQ355" i="11"/>
  <c r="DR355" i="11"/>
  <c r="DS355" i="11"/>
  <c r="DT355" i="11"/>
  <c r="DU355" i="11"/>
  <c r="DV355" i="11"/>
  <c r="DW355" i="11"/>
  <c r="DX355" i="11"/>
  <c r="DY355" i="11"/>
  <c r="DZ355" i="11"/>
  <c r="EA355" i="11"/>
  <c r="EB355" i="11"/>
  <c r="EC355" i="11"/>
  <c r="ED355" i="11"/>
  <c r="EE355" i="11"/>
  <c r="EF355" i="11"/>
  <c r="EG355" i="11"/>
  <c r="EH355" i="11"/>
  <c r="EI355" i="11"/>
  <c r="EJ355" i="11"/>
  <c r="EK355" i="11"/>
  <c r="EL355" i="11"/>
  <c r="EM355" i="11"/>
  <c r="EN355" i="11"/>
  <c r="EO355" i="11"/>
  <c r="EP355" i="11"/>
  <c r="EQ355" i="11"/>
  <c r="ER355" i="11"/>
  <c r="ES355" i="11"/>
  <c r="ET355" i="11"/>
  <c r="EU355" i="11"/>
  <c r="EV355" i="11"/>
  <c r="EW355" i="11"/>
  <c r="EX355" i="11"/>
  <c r="EY355" i="11"/>
  <c r="EZ355" i="11"/>
  <c r="FA355" i="11"/>
  <c r="FB355" i="11"/>
  <c r="FC355" i="11"/>
  <c r="FD355" i="11"/>
  <c r="FE355" i="11"/>
  <c r="FF355" i="11"/>
  <c r="FG355" i="11"/>
  <c r="FH355" i="11"/>
  <c r="FI355" i="11"/>
  <c r="FJ355" i="11"/>
  <c r="FK355" i="11"/>
  <c r="FL355" i="11"/>
  <c r="FM355" i="11"/>
  <c r="FN355" i="11"/>
  <c r="FO355" i="11"/>
  <c r="FP355" i="11"/>
  <c r="FQ355" i="11"/>
  <c r="FR355" i="11"/>
  <c r="FS355" i="11"/>
  <c r="FT355" i="11"/>
  <c r="FU355" i="11"/>
  <c r="FV355" i="11"/>
  <c r="FW355" i="11"/>
  <c r="FX355" i="11"/>
  <c r="FY355" i="11"/>
  <c r="FZ355" i="11"/>
  <c r="GA355" i="11"/>
  <c r="GB355" i="11"/>
  <c r="GC355" i="11"/>
  <c r="GD355" i="11"/>
  <c r="GE355" i="11"/>
  <c r="GF355" i="11"/>
  <c r="GG355" i="11"/>
  <c r="GH355" i="11"/>
  <c r="GI355" i="11"/>
  <c r="GJ355" i="11"/>
  <c r="GK355" i="11"/>
  <c r="GL355" i="11"/>
  <c r="GM355" i="11"/>
  <c r="GN355" i="11"/>
  <c r="GO355" i="11"/>
  <c r="GP355" i="11"/>
  <c r="GQ355" i="11"/>
  <c r="GR355" i="11"/>
  <c r="GS355" i="11"/>
  <c r="GT355" i="11"/>
  <c r="GU355" i="11"/>
  <c r="GV355" i="11"/>
  <c r="GW355" i="11"/>
  <c r="GX355" i="11"/>
  <c r="GY355" i="11"/>
  <c r="GZ355" i="11"/>
  <c r="HA355" i="11"/>
  <c r="HB355" i="11"/>
  <c r="HC355" i="11"/>
  <c r="HD355" i="11"/>
  <c r="HE355" i="11"/>
  <c r="HF355" i="11"/>
  <c r="HG355" i="11"/>
  <c r="HH355" i="11"/>
  <c r="HI355" i="11"/>
  <c r="HJ355" i="11"/>
  <c r="HK355" i="11"/>
  <c r="HL355" i="11"/>
  <c r="HM355" i="11"/>
  <c r="HN355" i="11"/>
  <c r="HO355" i="11"/>
  <c r="HP355" i="11"/>
  <c r="HQ355" i="11"/>
  <c r="HR355" i="11"/>
  <c r="HS355" i="11"/>
  <c r="HT355" i="11"/>
  <c r="HU355" i="11"/>
  <c r="HV355" i="11"/>
  <c r="HW355" i="11"/>
  <c r="HX355" i="11"/>
  <c r="HY355" i="11"/>
  <c r="HZ355" i="11"/>
  <c r="IA355" i="11"/>
  <c r="IB355" i="11"/>
  <c r="IC355" i="11"/>
  <c r="ID355" i="11"/>
  <c r="IE355" i="11"/>
  <c r="IF355" i="11"/>
  <c r="IG355" i="11"/>
  <c r="IH355" i="11"/>
  <c r="II355" i="11"/>
  <c r="IJ355" i="11"/>
  <c r="IK355" i="11"/>
  <c r="IL355" i="11"/>
  <c r="IM355" i="11"/>
  <c r="IN355" i="11"/>
  <c r="IO355" i="11"/>
  <c r="IP355" i="11"/>
  <c r="IQ355" i="11"/>
  <c r="IR355" i="11"/>
  <c r="IS355" i="11"/>
  <c r="IT355" i="11"/>
  <c r="IU355" i="11"/>
  <c r="IV355" i="11"/>
  <c r="F356" i="11"/>
  <c r="G356" i="11"/>
  <c r="H356" i="11"/>
  <c r="I356" i="11"/>
  <c r="J356" i="11"/>
  <c r="K356" i="11"/>
  <c r="L356" i="11"/>
  <c r="M356" i="11"/>
  <c r="N356" i="11"/>
  <c r="O356" i="11"/>
  <c r="P356" i="11"/>
  <c r="Q356" i="11"/>
  <c r="R356" i="11"/>
  <c r="S356" i="11"/>
  <c r="T356" i="11"/>
  <c r="U356" i="11"/>
  <c r="V356" i="11"/>
  <c r="W356" i="11"/>
  <c r="X356" i="11"/>
  <c r="Y356" i="11"/>
  <c r="Z356" i="11"/>
  <c r="AA356" i="11"/>
  <c r="AB356" i="11"/>
  <c r="AC356" i="11"/>
  <c r="AD356" i="11"/>
  <c r="AE356" i="11"/>
  <c r="AF356" i="11"/>
  <c r="AG356" i="11"/>
  <c r="AH356" i="11"/>
  <c r="AI356" i="11"/>
  <c r="AJ356" i="11"/>
  <c r="AK356" i="11"/>
  <c r="AL356" i="11"/>
  <c r="AM356" i="11"/>
  <c r="AN356" i="11"/>
  <c r="AO356" i="11"/>
  <c r="AP356" i="11"/>
  <c r="AQ356" i="11"/>
  <c r="AR356" i="11"/>
  <c r="AS356" i="11"/>
  <c r="AT356" i="11"/>
  <c r="AU356" i="11"/>
  <c r="AV356" i="11"/>
  <c r="AW356" i="11"/>
  <c r="AX356" i="11"/>
  <c r="AY356" i="11"/>
  <c r="AZ356" i="11"/>
  <c r="BA356" i="11"/>
  <c r="BB356" i="11"/>
  <c r="BC356" i="11"/>
  <c r="BD356" i="11"/>
  <c r="BE356" i="11"/>
  <c r="BF356" i="11"/>
  <c r="BG356" i="11"/>
  <c r="BH356" i="11"/>
  <c r="BI356" i="11"/>
  <c r="BJ356" i="11"/>
  <c r="BK356" i="11"/>
  <c r="BL356" i="11"/>
  <c r="BM356" i="11"/>
  <c r="BN356" i="11"/>
  <c r="BO356" i="11"/>
  <c r="BP356" i="11"/>
  <c r="BQ356" i="11"/>
  <c r="BR356" i="11"/>
  <c r="BS356" i="11"/>
  <c r="BT356" i="11"/>
  <c r="BU356" i="11"/>
  <c r="BV356" i="11"/>
  <c r="BW356" i="11"/>
  <c r="BX356" i="11"/>
  <c r="BY356" i="11"/>
  <c r="BZ356" i="11"/>
  <c r="CA356" i="11"/>
  <c r="CB356" i="11"/>
  <c r="CC356" i="11"/>
  <c r="CD356" i="11"/>
  <c r="CE356" i="11"/>
  <c r="CF356" i="11"/>
  <c r="CG356" i="11"/>
  <c r="CH356" i="11"/>
  <c r="CI356" i="11"/>
  <c r="CJ356" i="11"/>
  <c r="CK356" i="11"/>
  <c r="CL356" i="11"/>
  <c r="CM356" i="11"/>
  <c r="CN356" i="11"/>
  <c r="CO356" i="11"/>
  <c r="CP356" i="11"/>
  <c r="CQ356" i="11"/>
  <c r="CR356" i="11"/>
  <c r="CS356" i="11"/>
  <c r="CT356" i="11"/>
  <c r="CU356" i="11"/>
  <c r="CV356" i="11"/>
  <c r="CW356" i="11"/>
  <c r="CX356" i="11"/>
  <c r="CY356" i="11"/>
  <c r="CZ356" i="11"/>
  <c r="DA356" i="11"/>
  <c r="DB356" i="11"/>
  <c r="DC356" i="11"/>
  <c r="DD356" i="11"/>
  <c r="DE356" i="11"/>
  <c r="DF356" i="11"/>
  <c r="DG356" i="11"/>
  <c r="DH356" i="11"/>
  <c r="DI356" i="11"/>
  <c r="DJ356" i="11"/>
  <c r="DK356" i="11"/>
  <c r="DL356" i="11"/>
  <c r="DM356" i="11"/>
  <c r="DN356" i="11"/>
  <c r="DO356" i="11"/>
  <c r="DP356" i="11"/>
  <c r="DQ356" i="11"/>
  <c r="DR356" i="11"/>
  <c r="DS356" i="11"/>
  <c r="DT356" i="11"/>
  <c r="DU356" i="11"/>
  <c r="DV356" i="11"/>
  <c r="DW356" i="11"/>
  <c r="DX356" i="11"/>
  <c r="DY356" i="11"/>
  <c r="DZ356" i="11"/>
  <c r="EA356" i="11"/>
  <c r="EB356" i="11"/>
  <c r="EC356" i="11"/>
  <c r="ED356" i="11"/>
  <c r="EE356" i="11"/>
  <c r="EF356" i="11"/>
  <c r="EG356" i="11"/>
  <c r="EH356" i="11"/>
  <c r="EI356" i="11"/>
  <c r="EJ356" i="11"/>
  <c r="EK356" i="11"/>
  <c r="EL356" i="11"/>
  <c r="EM356" i="11"/>
  <c r="EN356" i="11"/>
  <c r="EO356" i="11"/>
  <c r="EP356" i="11"/>
  <c r="EQ356" i="11"/>
  <c r="ER356" i="11"/>
  <c r="ES356" i="11"/>
  <c r="ET356" i="11"/>
  <c r="EU356" i="11"/>
  <c r="EV356" i="11"/>
  <c r="EW356" i="11"/>
  <c r="EX356" i="11"/>
  <c r="EY356" i="11"/>
  <c r="EZ356" i="11"/>
  <c r="FA356" i="11"/>
  <c r="FB356" i="11"/>
  <c r="FC356" i="11"/>
  <c r="FD356" i="11"/>
  <c r="FE356" i="11"/>
  <c r="FF356" i="11"/>
  <c r="FG356" i="11"/>
  <c r="FH356" i="11"/>
  <c r="FI356" i="11"/>
  <c r="FJ356" i="11"/>
  <c r="FK356" i="11"/>
  <c r="FL356" i="11"/>
  <c r="FM356" i="11"/>
  <c r="FN356" i="11"/>
  <c r="FO356" i="11"/>
  <c r="FP356" i="11"/>
  <c r="FQ356" i="11"/>
  <c r="FR356" i="11"/>
  <c r="FS356" i="11"/>
  <c r="FT356" i="11"/>
  <c r="FU356" i="11"/>
  <c r="FV356" i="11"/>
  <c r="FW356" i="11"/>
  <c r="FX356" i="11"/>
  <c r="FY356" i="11"/>
  <c r="FZ356" i="11"/>
  <c r="GA356" i="11"/>
  <c r="GB356" i="11"/>
  <c r="GC356" i="11"/>
  <c r="GD356" i="11"/>
  <c r="GE356" i="11"/>
  <c r="GF356" i="11"/>
  <c r="GG356" i="11"/>
  <c r="GH356" i="11"/>
  <c r="GI356" i="11"/>
  <c r="GJ356" i="11"/>
  <c r="GK356" i="11"/>
  <c r="GL356" i="11"/>
  <c r="GM356" i="11"/>
  <c r="GN356" i="11"/>
  <c r="GO356" i="11"/>
  <c r="GP356" i="11"/>
  <c r="GQ356" i="11"/>
  <c r="GR356" i="11"/>
  <c r="GS356" i="11"/>
  <c r="GT356" i="11"/>
  <c r="GU356" i="11"/>
  <c r="GV356" i="11"/>
  <c r="GW356" i="11"/>
  <c r="GX356" i="11"/>
  <c r="GY356" i="11"/>
  <c r="GZ356" i="11"/>
  <c r="HA356" i="11"/>
  <c r="HB356" i="11"/>
  <c r="HC356" i="11"/>
  <c r="HD356" i="11"/>
  <c r="HE356" i="11"/>
  <c r="HF356" i="11"/>
  <c r="HG356" i="11"/>
  <c r="HH356" i="11"/>
  <c r="HI356" i="11"/>
  <c r="HJ356" i="11"/>
  <c r="HK356" i="11"/>
  <c r="HL356" i="11"/>
  <c r="HM356" i="11"/>
  <c r="HN356" i="11"/>
  <c r="HO356" i="11"/>
  <c r="HP356" i="11"/>
  <c r="HQ356" i="11"/>
  <c r="HR356" i="11"/>
  <c r="HS356" i="11"/>
  <c r="HT356" i="11"/>
  <c r="HU356" i="11"/>
  <c r="HV356" i="11"/>
  <c r="HW356" i="11"/>
  <c r="HX356" i="11"/>
  <c r="HY356" i="11"/>
  <c r="HZ356" i="11"/>
  <c r="IA356" i="11"/>
  <c r="IB356" i="11"/>
  <c r="IC356" i="11"/>
  <c r="ID356" i="11"/>
  <c r="IE356" i="11"/>
  <c r="IF356" i="11"/>
  <c r="IG356" i="11"/>
  <c r="IH356" i="11"/>
  <c r="II356" i="11"/>
  <c r="IJ356" i="11"/>
  <c r="IK356" i="11"/>
  <c r="IL356" i="11"/>
  <c r="IM356" i="11"/>
  <c r="IN356" i="11"/>
  <c r="IO356" i="11"/>
  <c r="IP356" i="11"/>
  <c r="IQ356" i="11"/>
  <c r="IR356" i="11"/>
  <c r="IS356" i="11"/>
  <c r="IT356" i="11"/>
  <c r="IU356" i="11"/>
  <c r="IV356" i="11"/>
  <c r="F357" i="11"/>
  <c r="G357" i="11"/>
  <c r="H357" i="11"/>
  <c r="I357" i="11"/>
  <c r="J357" i="11"/>
  <c r="K357" i="11"/>
  <c r="L357" i="11"/>
  <c r="M357" i="11"/>
  <c r="N357" i="11"/>
  <c r="O357" i="11"/>
  <c r="P357" i="11"/>
  <c r="Q357" i="11"/>
  <c r="R357" i="11"/>
  <c r="S357" i="11"/>
  <c r="T357" i="11"/>
  <c r="U357" i="11"/>
  <c r="V357" i="11"/>
  <c r="W357" i="11"/>
  <c r="X357" i="11"/>
  <c r="Y357" i="11"/>
  <c r="Z357" i="11"/>
  <c r="AA357" i="11"/>
  <c r="AB357" i="11"/>
  <c r="AC357" i="11"/>
  <c r="AD357" i="11"/>
  <c r="AE357" i="11"/>
  <c r="AF357" i="11"/>
  <c r="AG357" i="11"/>
  <c r="AH357" i="11"/>
  <c r="AI357" i="11"/>
  <c r="AJ357" i="11"/>
  <c r="AK357" i="11"/>
  <c r="AL357" i="11"/>
  <c r="AM357" i="11"/>
  <c r="AN357" i="11"/>
  <c r="AO357" i="11"/>
  <c r="AP357" i="11"/>
  <c r="AQ357" i="11"/>
  <c r="AR357" i="11"/>
  <c r="AS357" i="11"/>
  <c r="AT357" i="11"/>
  <c r="AU357" i="11"/>
  <c r="AV357" i="11"/>
  <c r="AW357" i="11"/>
  <c r="AX357" i="11"/>
  <c r="AY357" i="11"/>
  <c r="AZ357" i="11"/>
  <c r="BA357" i="11"/>
  <c r="BB357" i="11"/>
  <c r="BC357" i="11"/>
  <c r="BD357" i="11"/>
  <c r="BE357" i="11"/>
  <c r="BF357" i="11"/>
  <c r="BG357" i="11"/>
  <c r="BH357" i="11"/>
  <c r="BI357" i="11"/>
  <c r="BJ357" i="11"/>
  <c r="BK357" i="11"/>
  <c r="BL357" i="11"/>
  <c r="BM357" i="11"/>
  <c r="BN357" i="11"/>
  <c r="BO357" i="11"/>
  <c r="BP357" i="11"/>
  <c r="BQ357" i="11"/>
  <c r="BR357" i="11"/>
  <c r="BS357" i="11"/>
  <c r="BT357" i="11"/>
  <c r="BU357" i="11"/>
  <c r="BV357" i="11"/>
  <c r="BW357" i="11"/>
  <c r="BX357" i="11"/>
  <c r="BY357" i="11"/>
  <c r="BZ357" i="11"/>
  <c r="CA357" i="11"/>
  <c r="CB357" i="11"/>
  <c r="CC357" i="11"/>
  <c r="CD357" i="11"/>
  <c r="CE357" i="11"/>
  <c r="CF357" i="11"/>
  <c r="CG357" i="11"/>
  <c r="CH357" i="11"/>
  <c r="CI357" i="11"/>
  <c r="CJ357" i="11"/>
  <c r="CK357" i="11"/>
  <c r="CL357" i="11"/>
  <c r="CM357" i="11"/>
  <c r="CN357" i="11"/>
  <c r="CO357" i="11"/>
  <c r="CP357" i="11"/>
  <c r="CQ357" i="11"/>
  <c r="CR357" i="11"/>
  <c r="CS357" i="11"/>
  <c r="CT357" i="11"/>
  <c r="CU357" i="11"/>
  <c r="CV357" i="11"/>
  <c r="CW357" i="11"/>
  <c r="CX357" i="11"/>
  <c r="CY357" i="11"/>
  <c r="CZ357" i="11"/>
  <c r="DA357" i="11"/>
  <c r="DB357" i="11"/>
  <c r="DC357" i="11"/>
  <c r="DD357" i="11"/>
  <c r="DE357" i="11"/>
  <c r="DF357" i="11"/>
  <c r="DG357" i="11"/>
  <c r="DH357" i="11"/>
  <c r="DI357" i="11"/>
  <c r="DJ357" i="11"/>
  <c r="DK357" i="11"/>
  <c r="DL357" i="11"/>
  <c r="DM357" i="11"/>
  <c r="DN357" i="11"/>
  <c r="DO357" i="11"/>
  <c r="DP357" i="11"/>
  <c r="DQ357" i="11"/>
  <c r="DR357" i="11"/>
  <c r="DS357" i="11"/>
  <c r="DT357" i="11"/>
  <c r="DU357" i="11"/>
  <c r="DV357" i="11"/>
  <c r="DW357" i="11"/>
  <c r="DX357" i="11"/>
  <c r="DY357" i="11"/>
  <c r="DZ357" i="11"/>
  <c r="EA357" i="11"/>
  <c r="EB357" i="11"/>
  <c r="EC357" i="11"/>
  <c r="ED357" i="11"/>
  <c r="EE357" i="11"/>
  <c r="EF357" i="11"/>
  <c r="EG357" i="11"/>
  <c r="EH357" i="11"/>
  <c r="EI357" i="11"/>
  <c r="EJ357" i="11"/>
  <c r="EK357" i="11"/>
  <c r="EL357" i="11"/>
  <c r="EM357" i="11"/>
  <c r="EN357" i="11"/>
  <c r="EO357" i="11"/>
  <c r="EP357" i="11"/>
  <c r="EQ357" i="11"/>
  <c r="ER357" i="11"/>
  <c r="ES357" i="11"/>
  <c r="ET357" i="11"/>
  <c r="EU357" i="11"/>
  <c r="EV357" i="11"/>
  <c r="EW357" i="11"/>
  <c r="EX357" i="11"/>
  <c r="EY357" i="11"/>
  <c r="EZ357" i="11"/>
  <c r="FA357" i="11"/>
  <c r="FB357" i="11"/>
  <c r="FC357" i="11"/>
  <c r="FD357" i="11"/>
  <c r="FE357" i="11"/>
  <c r="FF357" i="11"/>
  <c r="FG357" i="11"/>
  <c r="FH357" i="11"/>
  <c r="FI357" i="11"/>
  <c r="FJ357" i="11"/>
  <c r="FK357" i="11"/>
  <c r="FL357" i="11"/>
  <c r="FM357" i="11"/>
  <c r="FN357" i="11"/>
  <c r="FO357" i="11"/>
  <c r="FP357" i="11"/>
  <c r="FQ357" i="11"/>
  <c r="FR357" i="11"/>
  <c r="FS357" i="11"/>
  <c r="FT357" i="11"/>
  <c r="FU357" i="11"/>
  <c r="FV357" i="11"/>
  <c r="FW357" i="11"/>
  <c r="FX357" i="11"/>
  <c r="FY357" i="11"/>
  <c r="FZ357" i="11"/>
  <c r="GA357" i="11"/>
  <c r="GB357" i="11"/>
  <c r="GC357" i="11"/>
  <c r="GD357" i="11"/>
  <c r="GE357" i="11"/>
  <c r="GF357" i="11"/>
  <c r="GG357" i="11"/>
  <c r="GH357" i="11"/>
  <c r="GI357" i="11"/>
  <c r="GJ357" i="11"/>
  <c r="GK357" i="11"/>
  <c r="GL357" i="11"/>
  <c r="GM357" i="11"/>
  <c r="GN357" i="11"/>
  <c r="GO357" i="11"/>
  <c r="GP357" i="11"/>
  <c r="GQ357" i="11"/>
  <c r="GR357" i="11"/>
  <c r="GS357" i="11"/>
  <c r="GT357" i="11"/>
  <c r="GU357" i="11"/>
  <c r="GV357" i="11"/>
  <c r="GW357" i="11"/>
  <c r="GX357" i="11"/>
  <c r="GY357" i="11"/>
  <c r="GZ357" i="11"/>
  <c r="HA357" i="11"/>
  <c r="HB357" i="11"/>
  <c r="HC357" i="11"/>
  <c r="HD357" i="11"/>
  <c r="HE357" i="11"/>
  <c r="HF357" i="11"/>
  <c r="HG357" i="11"/>
  <c r="HH357" i="11"/>
  <c r="HI357" i="11"/>
  <c r="HJ357" i="11"/>
  <c r="HK357" i="11"/>
  <c r="HL357" i="11"/>
  <c r="HM357" i="11"/>
  <c r="HN357" i="11"/>
  <c r="HO357" i="11"/>
  <c r="HP357" i="11"/>
  <c r="HQ357" i="11"/>
  <c r="HR357" i="11"/>
  <c r="HS357" i="11"/>
  <c r="HT357" i="11"/>
  <c r="HU357" i="11"/>
  <c r="HV357" i="11"/>
  <c r="HW357" i="11"/>
  <c r="HX357" i="11"/>
  <c r="HY357" i="11"/>
  <c r="HZ357" i="11"/>
  <c r="IA357" i="11"/>
  <c r="IB357" i="11"/>
  <c r="IC357" i="11"/>
  <c r="ID357" i="11"/>
  <c r="IE357" i="11"/>
  <c r="IF357" i="11"/>
  <c r="IG357" i="11"/>
  <c r="IH357" i="11"/>
  <c r="II357" i="11"/>
  <c r="IJ357" i="11"/>
  <c r="IK357" i="11"/>
  <c r="IL357" i="11"/>
  <c r="IM357" i="11"/>
  <c r="IN357" i="11"/>
  <c r="IO357" i="11"/>
  <c r="IP357" i="11"/>
  <c r="IQ357" i="11"/>
  <c r="IR357" i="11"/>
  <c r="IS357" i="11"/>
  <c r="IT357" i="11"/>
  <c r="IU357" i="11"/>
  <c r="IV357" i="11"/>
  <c r="F358" i="11"/>
  <c r="G358" i="11"/>
  <c r="H358" i="11"/>
  <c r="I358" i="11"/>
  <c r="J358" i="11"/>
  <c r="K358" i="11"/>
  <c r="L358" i="11"/>
  <c r="M358" i="11"/>
  <c r="N358" i="11"/>
  <c r="O358" i="11"/>
  <c r="P358" i="11"/>
  <c r="Q358" i="11"/>
  <c r="R358" i="11"/>
  <c r="S358" i="11"/>
  <c r="T358" i="11"/>
  <c r="U358" i="11"/>
  <c r="V358" i="11"/>
  <c r="W358" i="11"/>
  <c r="X358" i="11"/>
  <c r="Y358" i="11"/>
  <c r="Z358" i="11"/>
  <c r="AA358" i="11"/>
  <c r="AB358" i="11"/>
  <c r="AC358" i="11"/>
  <c r="AD358" i="11"/>
  <c r="AE358" i="11"/>
  <c r="AF358" i="11"/>
  <c r="AG358" i="11"/>
  <c r="AH358" i="11"/>
  <c r="AI358" i="11"/>
  <c r="AJ358" i="11"/>
  <c r="AK358" i="11"/>
  <c r="AL358" i="11"/>
  <c r="AM358" i="11"/>
  <c r="AN358" i="11"/>
  <c r="AO358" i="11"/>
  <c r="AP358" i="11"/>
  <c r="AQ358" i="11"/>
  <c r="AR358" i="11"/>
  <c r="AS358" i="11"/>
  <c r="AT358" i="11"/>
  <c r="AU358" i="11"/>
  <c r="AV358" i="11"/>
  <c r="AW358" i="11"/>
  <c r="AX358" i="11"/>
  <c r="AY358" i="11"/>
  <c r="AZ358" i="11"/>
  <c r="BA358" i="11"/>
  <c r="BB358" i="11"/>
  <c r="BC358" i="11"/>
  <c r="BD358" i="11"/>
  <c r="BE358" i="11"/>
  <c r="BF358" i="11"/>
  <c r="BG358" i="11"/>
  <c r="BH358" i="11"/>
  <c r="BI358" i="11"/>
  <c r="BJ358" i="11"/>
  <c r="BK358" i="11"/>
  <c r="BL358" i="11"/>
  <c r="BM358" i="11"/>
  <c r="BN358" i="11"/>
  <c r="BO358" i="11"/>
  <c r="BP358" i="11"/>
  <c r="BQ358" i="11"/>
  <c r="BR358" i="11"/>
  <c r="BS358" i="11"/>
  <c r="BT358" i="11"/>
  <c r="BU358" i="11"/>
  <c r="BV358" i="11"/>
  <c r="BW358" i="11"/>
  <c r="BX358" i="11"/>
  <c r="BY358" i="11"/>
  <c r="BZ358" i="11"/>
  <c r="CA358" i="11"/>
  <c r="CB358" i="11"/>
  <c r="CC358" i="11"/>
  <c r="CD358" i="11"/>
  <c r="CE358" i="11"/>
  <c r="CF358" i="11"/>
  <c r="CG358" i="11"/>
  <c r="CH358" i="11"/>
  <c r="CI358" i="11"/>
  <c r="CJ358" i="11"/>
  <c r="CK358" i="11"/>
  <c r="CL358" i="11"/>
  <c r="CM358" i="11"/>
  <c r="CN358" i="11"/>
  <c r="CO358" i="11"/>
  <c r="CP358" i="11"/>
  <c r="CQ358" i="11"/>
  <c r="CR358" i="11"/>
  <c r="CS358" i="11"/>
  <c r="CT358" i="11"/>
  <c r="CU358" i="11"/>
  <c r="CV358" i="11"/>
  <c r="CW358" i="11"/>
  <c r="CX358" i="11"/>
  <c r="CY358" i="11"/>
  <c r="CZ358" i="11"/>
  <c r="DA358" i="11"/>
  <c r="DB358" i="11"/>
  <c r="DC358" i="11"/>
  <c r="DD358" i="11"/>
  <c r="DE358" i="11"/>
  <c r="DF358" i="11"/>
  <c r="DG358" i="11"/>
  <c r="DH358" i="11"/>
  <c r="DI358" i="11"/>
  <c r="DJ358" i="11"/>
  <c r="DK358" i="11"/>
  <c r="DL358" i="11"/>
  <c r="DM358" i="11"/>
  <c r="DN358" i="11"/>
  <c r="DO358" i="11"/>
  <c r="DP358" i="11"/>
  <c r="DQ358" i="11"/>
  <c r="DR358" i="11"/>
  <c r="DS358" i="11"/>
  <c r="DT358" i="11"/>
  <c r="DU358" i="11"/>
  <c r="DV358" i="11"/>
  <c r="DW358" i="11"/>
  <c r="DX358" i="11"/>
  <c r="DY358" i="11"/>
  <c r="DZ358" i="11"/>
  <c r="EA358" i="11"/>
  <c r="EB358" i="11"/>
  <c r="EC358" i="11"/>
  <c r="ED358" i="11"/>
  <c r="EE358" i="11"/>
  <c r="EF358" i="11"/>
  <c r="EG358" i="11"/>
  <c r="EH358" i="11"/>
  <c r="EI358" i="11"/>
  <c r="EJ358" i="11"/>
  <c r="EK358" i="11"/>
  <c r="EL358" i="11"/>
  <c r="EM358" i="11"/>
  <c r="EN358" i="11"/>
  <c r="EO358" i="11"/>
  <c r="EP358" i="11"/>
  <c r="EQ358" i="11"/>
  <c r="ER358" i="11"/>
  <c r="ES358" i="11"/>
  <c r="ET358" i="11"/>
  <c r="EU358" i="11"/>
  <c r="EV358" i="11"/>
  <c r="EW358" i="11"/>
  <c r="EX358" i="11"/>
  <c r="EY358" i="11"/>
  <c r="EZ358" i="11"/>
  <c r="FA358" i="11"/>
  <c r="FB358" i="11"/>
  <c r="FC358" i="11"/>
  <c r="FD358" i="11"/>
  <c r="FE358" i="11"/>
  <c r="FF358" i="11"/>
  <c r="FG358" i="11"/>
  <c r="FH358" i="11"/>
  <c r="FI358" i="11"/>
  <c r="FJ358" i="11"/>
  <c r="FK358" i="11"/>
  <c r="FL358" i="11"/>
  <c r="FM358" i="11"/>
  <c r="FN358" i="11"/>
  <c r="FO358" i="11"/>
  <c r="FP358" i="11"/>
  <c r="FQ358" i="11"/>
  <c r="FR358" i="11"/>
  <c r="FS358" i="11"/>
  <c r="FT358" i="11"/>
  <c r="FU358" i="11"/>
  <c r="FV358" i="11"/>
  <c r="FW358" i="11"/>
  <c r="FX358" i="11"/>
  <c r="FY358" i="11"/>
  <c r="FZ358" i="11"/>
  <c r="GA358" i="11"/>
  <c r="GB358" i="11"/>
  <c r="GC358" i="11"/>
  <c r="GD358" i="11"/>
  <c r="GE358" i="11"/>
  <c r="GF358" i="11"/>
  <c r="GG358" i="11"/>
  <c r="GH358" i="11"/>
  <c r="GI358" i="11"/>
  <c r="GJ358" i="11"/>
  <c r="GK358" i="11"/>
  <c r="GL358" i="11"/>
  <c r="GM358" i="11"/>
  <c r="GN358" i="11"/>
  <c r="GO358" i="11"/>
  <c r="GP358" i="11"/>
  <c r="GQ358" i="11"/>
  <c r="GR358" i="11"/>
  <c r="GS358" i="11"/>
  <c r="GT358" i="11"/>
  <c r="GU358" i="11"/>
  <c r="GV358" i="11"/>
  <c r="GW358" i="11"/>
  <c r="GX358" i="11"/>
  <c r="GY358" i="11"/>
  <c r="GZ358" i="11"/>
  <c r="HA358" i="11"/>
  <c r="HB358" i="11"/>
  <c r="HC358" i="11"/>
  <c r="HD358" i="11"/>
  <c r="HE358" i="11"/>
  <c r="HF358" i="11"/>
  <c r="HG358" i="11"/>
  <c r="HH358" i="11"/>
  <c r="HI358" i="11"/>
  <c r="HJ358" i="11"/>
  <c r="HK358" i="11"/>
  <c r="HL358" i="11"/>
  <c r="HM358" i="11"/>
  <c r="HN358" i="11"/>
  <c r="HO358" i="11"/>
  <c r="HP358" i="11"/>
  <c r="HQ358" i="11"/>
  <c r="HR358" i="11"/>
  <c r="HS358" i="11"/>
  <c r="HT358" i="11"/>
  <c r="HU358" i="11"/>
  <c r="HV358" i="11"/>
  <c r="HW358" i="11"/>
  <c r="HX358" i="11"/>
  <c r="HY358" i="11"/>
  <c r="HZ358" i="11"/>
  <c r="IA358" i="11"/>
  <c r="IB358" i="11"/>
  <c r="IC358" i="11"/>
  <c r="ID358" i="11"/>
  <c r="IE358" i="11"/>
  <c r="IF358" i="11"/>
  <c r="IG358" i="11"/>
  <c r="IH358" i="11"/>
  <c r="II358" i="11"/>
  <c r="IJ358" i="11"/>
  <c r="IK358" i="11"/>
  <c r="IL358" i="11"/>
  <c r="IM358" i="11"/>
  <c r="IN358" i="11"/>
  <c r="IO358" i="11"/>
  <c r="IP358" i="11"/>
  <c r="IQ358" i="11"/>
  <c r="IR358" i="11"/>
  <c r="IS358" i="11"/>
  <c r="IT358" i="11"/>
  <c r="IU358" i="11"/>
  <c r="IV358" i="11"/>
  <c r="F359" i="11"/>
  <c r="G359" i="11"/>
  <c r="H359" i="11"/>
  <c r="I359" i="11"/>
  <c r="J359" i="11"/>
  <c r="K359" i="11"/>
  <c r="L359" i="11"/>
  <c r="M359" i="11"/>
  <c r="N359" i="11"/>
  <c r="O359" i="11"/>
  <c r="P359" i="11"/>
  <c r="Q359" i="11"/>
  <c r="R359" i="11"/>
  <c r="S359" i="11"/>
  <c r="T359" i="11"/>
  <c r="U359" i="11"/>
  <c r="V359" i="11"/>
  <c r="W359" i="11"/>
  <c r="X359" i="11"/>
  <c r="Y359" i="11"/>
  <c r="Z359" i="11"/>
  <c r="AA359" i="11"/>
  <c r="AB359" i="11"/>
  <c r="AC359" i="11"/>
  <c r="AD359" i="11"/>
  <c r="AE359" i="11"/>
  <c r="AF359" i="11"/>
  <c r="AG359" i="11"/>
  <c r="AH359" i="11"/>
  <c r="AI359" i="11"/>
  <c r="AJ359" i="11"/>
  <c r="AK359" i="11"/>
  <c r="AL359" i="11"/>
  <c r="AM359" i="11"/>
  <c r="AN359" i="11"/>
  <c r="AO359" i="11"/>
  <c r="AP359" i="11"/>
  <c r="AQ359" i="11"/>
  <c r="AR359" i="11"/>
  <c r="AS359" i="11"/>
  <c r="AT359" i="11"/>
  <c r="AU359" i="11"/>
  <c r="AV359" i="11"/>
  <c r="AW359" i="11"/>
  <c r="AX359" i="11"/>
  <c r="AY359" i="11"/>
  <c r="AZ359" i="11"/>
  <c r="BA359" i="11"/>
  <c r="BB359" i="11"/>
  <c r="BC359" i="11"/>
  <c r="BD359" i="11"/>
  <c r="BE359" i="11"/>
  <c r="BF359" i="11"/>
  <c r="BG359" i="11"/>
  <c r="BH359" i="11"/>
  <c r="BI359" i="11"/>
  <c r="BJ359" i="11"/>
  <c r="BK359" i="11"/>
  <c r="BL359" i="11"/>
  <c r="BM359" i="11"/>
  <c r="BN359" i="11"/>
  <c r="BO359" i="11"/>
  <c r="BP359" i="11"/>
  <c r="BQ359" i="11"/>
  <c r="BR359" i="11"/>
  <c r="BS359" i="11"/>
  <c r="BT359" i="11"/>
  <c r="BU359" i="11"/>
  <c r="BV359" i="11"/>
  <c r="BW359" i="11"/>
  <c r="BX359" i="11"/>
  <c r="BY359" i="11"/>
  <c r="BZ359" i="11"/>
  <c r="CA359" i="11"/>
  <c r="CB359" i="11"/>
  <c r="CC359" i="11"/>
  <c r="CD359" i="11"/>
  <c r="CE359" i="11"/>
  <c r="CF359" i="11"/>
  <c r="CG359" i="11"/>
  <c r="CH359" i="11"/>
  <c r="CI359" i="11"/>
  <c r="CJ359" i="11"/>
  <c r="CK359" i="11"/>
  <c r="CL359" i="11"/>
  <c r="CM359" i="11"/>
  <c r="CN359" i="11"/>
  <c r="CO359" i="11"/>
  <c r="CP359" i="11"/>
  <c r="CQ359" i="11"/>
  <c r="CR359" i="11"/>
  <c r="CS359" i="11"/>
  <c r="CT359" i="11"/>
  <c r="CU359" i="11"/>
  <c r="CV359" i="11"/>
  <c r="CW359" i="11"/>
  <c r="CX359" i="11"/>
  <c r="CY359" i="11"/>
  <c r="CZ359" i="11"/>
  <c r="DA359" i="11"/>
  <c r="DB359" i="11"/>
  <c r="DC359" i="11"/>
  <c r="DD359" i="11"/>
  <c r="DE359" i="11"/>
  <c r="DF359" i="11"/>
  <c r="DG359" i="11"/>
  <c r="DH359" i="11"/>
  <c r="DI359" i="11"/>
  <c r="DJ359" i="11"/>
  <c r="DK359" i="11"/>
  <c r="DL359" i="11"/>
  <c r="DM359" i="11"/>
  <c r="DN359" i="11"/>
  <c r="DO359" i="11"/>
  <c r="DP359" i="11"/>
  <c r="DQ359" i="11"/>
  <c r="DR359" i="11"/>
  <c r="DS359" i="11"/>
  <c r="DT359" i="11"/>
  <c r="DU359" i="11"/>
  <c r="DV359" i="11"/>
  <c r="DW359" i="11"/>
  <c r="DX359" i="11"/>
  <c r="DY359" i="11"/>
  <c r="DZ359" i="11"/>
  <c r="EA359" i="11"/>
  <c r="EB359" i="11"/>
  <c r="EC359" i="11"/>
  <c r="ED359" i="11"/>
  <c r="EE359" i="11"/>
  <c r="EF359" i="11"/>
  <c r="EG359" i="11"/>
  <c r="EH359" i="11"/>
  <c r="EI359" i="11"/>
  <c r="EJ359" i="11"/>
  <c r="EK359" i="11"/>
  <c r="EL359" i="11"/>
  <c r="EM359" i="11"/>
  <c r="EN359" i="11"/>
  <c r="EO359" i="11"/>
  <c r="EP359" i="11"/>
  <c r="EQ359" i="11"/>
  <c r="ER359" i="11"/>
  <c r="ES359" i="11"/>
  <c r="ET359" i="11"/>
  <c r="EU359" i="11"/>
  <c r="EV359" i="11"/>
  <c r="EW359" i="11"/>
  <c r="EX359" i="11"/>
  <c r="EY359" i="11"/>
  <c r="EZ359" i="11"/>
  <c r="FA359" i="11"/>
  <c r="FB359" i="11"/>
  <c r="FC359" i="11"/>
  <c r="FD359" i="11"/>
  <c r="FE359" i="11"/>
  <c r="FF359" i="11"/>
  <c r="FG359" i="11"/>
  <c r="FH359" i="11"/>
  <c r="FI359" i="11"/>
  <c r="FJ359" i="11"/>
  <c r="FK359" i="11"/>
  <c r="FL359" i="11"/>
  <c r="FM359" i="11"/>
  <c r="FN359" i="11"/>
  <c r="FO359" i="11"/>
  <c r="FP359" i="11"/>
  <c r="FQ359" i="11"/>
  <c r="FR359" i="11"/>
  <c r="FS359" i="11"/>
  <c r="FT359" i="11"/>
  <c r="FU359" i="11"/>
  <c r="FV359" i="11"/>
  <c r="FW359" i="11"/>
  <c r="FX359" i="11"/>
  <c r="FY359" i="11"/>
  <c r="FZ359" i="11"/>
  <c r="GA359" i="11"/>
  <c r="GB359" i="11"/>
  <c r="GC359" i="11"/>
  <c r="GD359" i="11"/>
  <c r="GE359" i="11"/>
  <c r="GF359" i="11"/>
  <c r="GG359" i="11"/>
  <c r="GH359" i="11"/>
  <c r="GI359" i="11"/>
  <c r="GJ359" i="11"/>
  <c r="GK359" i="11"/>
  <c r="GL359" i="11"/>
  <c r="GM359" i="11"/>
  <c r="GN359" i="11"/>
  <c r="GO359" i="11"/>
  <c r="GP359" i="11"/>
  <c r="GQ359" i="11"/>
  <c r="GR359" i="11"/>
  <c r="GS359" i="11"/>
  <c r="GT359" i="11"/>
  <c r="GU359" i="11"/>
  <c r="GV359" i="11"/>
  <c r="GW359" i="11"/>
  <c r="GX359" i="11"/>
  <c r="GY359" i="11"/>
  <c r="GZ359" i="11"/>
  <c r="HA359" i="11"/>
  <c r="HB359" i="11"/>
  <c r="HC359" i="11"/>
  <c r="HD359" i="11"/>
  <c r="HE359" i="11"/>
  <c r="HF359" i="11"/>
  <c r="HG359" i="11"/>
  <c r="HH359" i="11"/>
  <c r="HI359" i="11"/>
  <c r="HJ359" i="11"/>
  <c r="HK359" i="11"/>
  <c r="HL359" i="11"/>
  <c r="HM359" i="11"/>
  <c r="HN359" i="11"/>
  <c r="HO359" i="11"/>
  <c r="HP359" i="11"/>
  <c r="HQ359" i="11"/>
  <c r="HR359" i="11"/>
  <c r="HS359" i="11"/>
  <c r="HT359" i="11"/>
  <c r="HU359" i="11"/>
  <c r="HV359" i="11"/>
  <c r="HW359" i="11"/>
  <c r="HX359" i="11"/>
  <c r="HY359" i="11"/>
  <c r="HZ359" i="11"/>
  <c r="IA359" i="11"/>
  <c r="IB359" i="11"/>
  <c r="IC359" i="11"/>
  <c r="ID359" i="11"/>
  <c r="IE359" i="11"/>
  <c r="IF359" i="11"/>
  <c r="IG359" i="11"/>
  <c r="IH359" i="11"/>
  <c r="II359" i="11"/>
  <c r="IJ359" i="11"/>
  <c r="IK359" i="11"/>
  <c r="IL359" i="11"/>
  <c r="IM359" i="11"/>
  <c r="IN359" i="11"/>
  <c r="IO359" i="11"/>
  <c r="IP359" i="11"/>
  <c r="IQ359" i="11"/>
  <c r="IR359" i="11"/>
  <c r="IS359" i="11"/>
  <c r="IT359" i="11"/>
  <c r="IU359" i="11"/>
  <c r="IV359" i="11"/>
  <c r="F360" i="11"/>
  <c r="G360" i="11"/>
  <c r="H360" i="11"/>
  <c r="I360" i="11"/>
  <c r="J360" i="11"/>
  <c r="K360" i="11"/>
  <c r="L360" i="11"/>
  <c r="M360" i="11"/>
  <c r="N360" i="11"/>
  <c r="O360" i="11"/>
  <c r="P360" i="11"/>
  <c r="Q360" i="11"/>
  <c r="R360" i="11"/>
  <c r="S360" i="11"/>
  <c r="T360" i="11"/>
  <c r="U360" i="11"/>
  <c r="V360" i="11"/>
  <c r="W360" i="11"/>
  <c r="X360" i="11"/>
  <c r="Y360" i="11"/>
  <c r="Z360" i="11"/>
  <c r="AA360" i="11"/>
  <c r="AB360" i="11"/>
  <c r="AC360" i="11"/>
  <c r="AD360" i="11"/>
  <c r="AE360" i="11"/>
  <c r="AF360" i="11"/>
  <c r="AG360" i="11"/>
  <c r="AH360" i="11"/>
  <c r="AI360" i="11"/>
  <c r="AJ360" i="11"/>
  <c r="AK360" i="11"/>
  <c r="AL360" i="11"/>
  <c r="AM360" i="11"/>
  <c r="AN360" i="11"/>
  <c r="AO360" i="11"/>
  <c r="AP360" i="11"/>
  <c r="AQ360" i="11"/>
  <c r="AR360" i="11"/>
  <c r="AS360" i="11"/>
  <c r="AT360" i="11"/>
  <c r="AU360" i="11"/>
  <c r="AV360" i="11"/>
  <c r="AW360" i="11"/>
  <c r="AX360" i="11"/>
  <c r="AY360" i="11"/>
  <c r="AZ360" i="11"/>
  <c r="BA360" i="11"/>
  <c r="BB360" i="11"/>
  <c r="BC360" i="11"/>
  <c r="BD360" i="11"/>
  <c r="BE360" i="11"/>
  <c r="BF360" i="11"/>
  <c r="BG360" i="11"/>
  <c r="BH360" i="11"/>
  <c r="BI360" i="11"/>
  <c r="BJ360" i="11"/>
  <c r="BK360" i="11"/>
  <c r="BL360" i="11"/>
  <c r="BM360" i="11"/>
  <c r="BN360" i="11"/>
  <c r="BO360" i="11"/>
  <c r="BP360" i="11"/>
  <c r="BQ360" i="11"/>
  <c r="BR360" i="11"/>
  <c r="BS360" i="11"/>
  <c r="BT360" i="11"/>
  <c r="BU360" i="11"/>
  <c r="BV360" i="11"/>
  <c r="BW360" i="11"/>
  <c r="BX360" i="11"/>
  <c r="BY360" i="11"/>
  <c r="BZ360" i="11"/>
  <c r="CA360" i="11"/>
  <c r="CB360" i="11"/>
  <c r="CC360" i="11"/>
  <c r="CD360" i="11"/>
  <c r="CE360" i="11"/>
  <c r="CF360" i="11"/>
  <c r="CG360" i="11"/>
  <c r="CH360" i="11"/>
  <c r="CI360" i="11"/>
  <c r="CJ360" i="11"/>
  <c r="CK360" i="11"/>
  <c r="CL360" i="11"/>
  <c r="CM360" i="11"/>
  <c r="CN360" i="11"/>
  <c r="CO360" i="11"/>
  <c r="CP360" i="11"/>
  <c r="CQ360" i="11"/>
  <c r="CR360" i="11"/>
  <c r="CS360" i="11"/>
  <c r="CT360" i="11"/>
  <c r="CU360" i="11"/>
  <c r="CV360" i="11"/>
  <c r="CW360" i="11"/>
  <c r="CX360" i="11"/>
  <c r="CY360" i="11"/>
  <c r="CZ360" i="11"/>
  <c r="DA360" i="11"/>
  <c r="DB360" i="11"/>
  <c r="DC360" i="11"/>
  <c r="DD360" i="11"/>
  <c r="DE360" i="11"/>
  <c r="DF360" i="11"/>
  <c r="DG360" i="11"/>
  <c r="DH360" i="11"/>
  <c r="DI360" i="11"/>
  <c r="DJ360" i="11"/>
  <c r="DK360" i="11"/>
  <c r="DL360" i="11"/>
  <c r="DM360" i="11"/>
  <c r="DN360" i="11"/>
  <c r="DO360" i="11"/>
  <c r="DP360" i="11"/>
  <c r="DQ360" i="11"/>
  <c r="DR360" i="11"/>
  <c r="DS360" i="11"/>
  <c r="DT360" i="11"/>
  <c r="DU360" i="11"/>
  <c r="DV360" i="11"/>
  <c r="DW360" i="11"/>
  <c r="DX360" i="11"/>
  <c r="DY360" i="11"/>
  <c r="DZ360" i="11"/>
  <c r="EA360" i="11"/>
  <c r="EB360" i="11"/>
  <c r="EC360" i="11"/>
  <c r="ED360" i="11"/>
  <c r="EE360" i="11"/>
  <c r="EF360" i="11"/>
  <c r="EG360" i="11"/>
  <c r="EH360" i="11"/>
  <c r="EI360" i="11"/>
  <c r="EJ360" i="11"/>
  <c r="EK360" i="11"/>
  <c r="EL360" i="11"/>
  <c r="EM360" i="11"/>
  <c r="EN360" i="11"/>
  <c r="EO360" i="11"/>
  <c r="EP360" i="11"/>
  <c r="EQ360" i="11"/>
  <c r="ER360" i="11"/>
  <c r="ES360" i="11"/>
  <c r="ET360" i="11"/>
  <c r="EU360" i="11"/>
  <c r="EV360" i="11"/>
  <c r="EW360" i="11"/>
  <c r="EX360" i="11"/>
  <c r="EY360" i="11"/>
  <c r="EZ360" i="11"/>
  <c r="FA360" i="11"/>
  <c r="FB360" i="11"/>
  <c r="FC360" i="11"/>
  <c r="FD360" i="11"/>
  <c r="FE360" i="11"/>
  <c r="FF360" i="11"/>
  <c r="FG360" i="11"/>
  <c r="FH360" i="11"/>
  <c r="FI360" i="11"/>
  <c r="FJ360" i="11"/>
  <c r="FK360" i="11"/>
  <c r="FL360" i="11"/>
  <c r="FM360" i="11"/>
  <c r="FN360" i="11"/>
  <c r="FO360" i="11"/>
  <c r="FP360" i="11"/>
  <c r="FQ360" i="11"/>
  <c r="FR360" i="11"/>
  <c r="FS360" i="11"/>
  <c r="FT360" i="11"/>
  <c r="FU360" i="11"/>
  <c r="FV360" i="11"/>
  <c r="FW360" i="11"/>
  <c r="FX360" i="11"/>
  <c r="FY360" i="11"/>
  <c r="FZ360" i="11"/>
  <c r="GA360" i="11"/>
  <c r="GB360" i="11"/>
  <c r="GC360" i="11"/>
  <c r="GD360" i="11"/>
  <c r="GE360" i="11"/>
  <c r="GF360" i="11"/>
  <c r="GG360" i="11"/>
  <c r="GH360" i="11"/>
  <c r="GI360" i="11"/>
  <c r="GJ360" i="11"/>
  <c r="GK360" i="11"/>
  <c r="GL360" i="11"/>
  <c r="GM360" i="11"/>
  <c r="GN360" i="11"/>
  <c r="GO360" i="11"/>
  <c r="GP360" i="11"/>
  <c r="GQ360" i="11"/>
  <c r="GR360" i="11"/>
  <c r="GS360" i="11"/>
  <c r="GT360" i="11"/>
  <c r="GU360" i="11"/>
  <c r="GV360" i="11"/>
  <c r="GW360" i="11"/>
  <c r="GX360" i="11"/>
  <c r="GY360" i="11"/>
  <c r="GZ360" i="11"/>
  <c r="HA360" i="11"/>
  <c r="HB360" i="11"/>
  <c r="HC360" i="11"/>
  <c r="HD360" i="11"/>
  <c r="HE360" i="11"/>
  <c r="HF360" i="11"/>
  <c r="HG360" i="11"/>
  <c r="HH360" i="11"/>
  <c r="HI360" i="11"/>
  <c r="HJ360" i="11"/>
  <c r="HK360" i="11"/>
  <c r="HL360" i="11"/>
  <c r="HM360" i="11"/>
  <c r="HN360" i="11"/>
  <c r="HO360" i="11"/>
  <c r="HP360" i="11"/>
  <c r="HQ360" i="11"/>
  <c r="HR360" i="11"/>
  <c r="HS360" i="11"/>
  <c r="HT360" i="11"/>
  <c r="HU360" i="11"/>
  <c r="HV360" i="11"/>
  <c r="HW360" i="11"/>
  <c r="HX360" i="11"/>
  <c r="HY360" i="11"/>
  <c r="HZ360" i="11"/>
  <c r="IA360" i="11"/>
  <c r="IB360" i="11"/>
  <c r="IC360" i="11"/>
  <c r="ID360" i="11"/>
  <c r="IE360" i="11"/>
  <c r="IF360" i="11"/>
  <c r="IG360" i="11"/>
  <c r="IH360" i="11"/>
  <c r="II360" i="11"/>
  <c r="IJ360" i="11"/>
  <c r="IK360" i="11"/>
  <c r="IL360" i="11"/>
  <c r="IM360" i="11"/>
  <c r="IN360" i="11"/>
  <c r="IO360" i="11"/>
  <c r="IP360" i="11"/>
  <c r="IQ360" i="11"/>
  <c r="IR360" i="11"/>
  <c r="IS360" i="11"/>
  <c r="IT360" i="11"/>
  <c r="IU360" i="11"/>
  <c r="IV360" i="11"/>
  <c r="F361" i="11"/>
  <c r="G361" i="11"/>
  <c r="H361" i="11"/>
  <c r="I361" i="11"/>
  <c r="J361" i="11"/>
  <c r="K361" i="11"/>
  <c r="L361" i="11"/>
  <c r="M361" i="11"/>
  <c r="N361" i="11"/>
  <c r="O361" i="11"/>
  <c r="P361" i="11"/>
  <c r="Q361" i="11"/>
  <c r="R361" i="11"/>
  <c r="S361" i="11"/>
  <c r="T361" i="11"/>
  <c r="U361" i="11"/>
  <c r="V361" i="11"/>
  <c r="W361" i="11"/>
  <c r="X361" i="11"/>
  <c r="Y361" i="11"/>
  <c r="Z361" i="11"/>
  <c r="AA361" i="11"/>
  <c r="AB361" i="11"/>
  <c r="AC361" i="11"/>
  <c r="AD361" i="11"/>
  <c r="AE361" i="11"/>
  <c r="AF361" i="11"/>
  <c r="AG361" i="11"/>
  <c r="AH361" i="11"/>
  <c r="AI361" i="11"/>
  <c r="AJ361" i="11"/>
  <c r="AK361" i="11"/>
  <c r="AL361" i="11"/>
  <c r="AM361" i="11"/>
  <c r="AN361" i="11"/>
  <c r="AO361" i="11"/>
  <c r="AP361" i="11"/>
  <c r="AQ361" i="11"/>
  <c r="AR361" i="11"/>
  <c r="AS361" i="11"/>
  <c r="AT361" i="11"/>
  <c r="AU361" i="11"/>
  <c r="AV361" i="11"/>
  <c r="AW361" i="11"/>
  <c r="AX361" i="11"/>
  <c r="AY361" i="11"/>
  <c r="AZ361" i="11"/>
  <c r="BA361" i="11"/>
  <c r="BB361" i="11"/>
  <c r="BC361" i="11"/>
  <c r="BD361" i="11"/>
  <c r="BE361" i="11"/>
  <c r="BF361" i="11"/>
  <c r="BG361" i="11"/>
  <c r="BH361" i="11"/>
  <c r="BI361" i="11"/>
  <c r="BJ361" i="11"/>
  <c r="BK361" i="11"/>
  <c r="BL361" i="11"/>
  <c r="BM361" i="11"/>
  <c r="BN361" i="11"/>
  <c r="BO361" i="11"/>
  <c r="BP361" i="11"/>
  <c r="BQ361" i="11"/>
  <c r="BR361" i="11"/>
  <c r="BS361" i="11"/>
  <c r="BT361" i="11"/>
  <c r="BU361" i="11"/>
  <c r="BV361" i="11"/>
  <c r="BW361" i="11"/>
  <c r="BX361" i="11"/>
  <c r="BY361" i="11"/>
  <c r="BZ361" i="11"/>
  <c r="CA361" i="11"/>
  <c r="CB361" i="11"/>
  <c r="CC361" i="11"/>
  <c r="CD361" i="11"/>
  <c r="CE361" i="11"/>
  <c r="CF361" i="11"/>
  <c r="CG361" i="11"/>
  <c r="CH361" i="11"/>
  <c r="CI361" i="11"/>
  <c r="CJ361" i="11"/>
  <c r="CK361" i="11"/>
  <c r="CL361" i="11"/>
  <c r="CM361" i="11"/>
  <c r="CN361" i="11"/>
  <c r="CO361" i="11"/>
  <c r="CP361" i="11"/>
  <c r="CQ361" i="11"/>
  <c r="CR361" i="11"/>
  <c r="CS361" i="11"/>
  <c r="CT361" i="11"/>
  <c r="CU361" i="11"/>
  <c r="CV361" i="11"/>
  <c r="CW361" i="11"/>
  <c r="CX361" i="11"/>
  <c r="CY361" i="11"/>
  <c r="CZ361" i="11"/>
  <c r="DA361" i="11"/>
  <c r="DB361" i="11"/>
  <c r="DC361" i="11"/>
  <c r="DD361" i="11"/>
  <c r="DE361" i="11"/>
  <c r="DF361" i="11"/>
  <c r="DG361" i="11"/>
  <c r="DH361" i="11"/>
  <c r="DI361" i="11"/>
  <c r="DJ361" i="11"/>
  <c r="DK361" i="11"/>
  <c r="DL361" i="11"/>
  <c r="DM361" i="11"/>
  <c r="DN361" i="11"/>
  <c r="DO361" i="11"/>
  <c r="DP361" i="11"/>
  <c r="DQ361" i="11"/>
  <c r="DR361" i="11"/>
  <c r="DS361" i="11"/>
  <c r="DT361" i="11"/>
  <c r="DU361" i="11"/>
  <c r="DV361" i="11"/>
  <c r="DW361" i="11"/>
  <c r="DX361" i="11"/>
  <c r="DY361" i="11"/>
  <c r="DZ361" i="11"/>
  <c r="EA361" i="11"/>
  <c r="EB361" i="11"/>
  <c r="EC361" i="11"/>
  <c r="ED361" i="11"/>
  <c r="EE361" i="11"/>
  <c r="EF361" i="11"/>
  <c r="EG361" i="11"/>
  <c r="EH361" i="11"/>
  <c r="EI361" i="11"/>
  <c r="EJ361" i="11"/>
  <c r="EK361" i="11"/>
  <c r="EL361" i="11"/>
  <c r="EM361" i="11"/>
  <c r="EN361" i="11"/>
  <c r="EO361" i="11"/>
  <c r="EP361" i="11"/>
  <c r="EQ361" i="11"/>
  <c r="ER361" i="11"/>
  <c r="ES361" i="11"/>
  <c r="ET361" i="11"/>
  <c r="EU361" i="11"/>
  <c r="EV361" i="11"/>
  <c r="EW361" i="11"/>
  <c r="EX361" i="11"/>
  <c r="EY361" i="11"/>
  <c r="EZ361" i="11"/>
  <c r="FA361" i="11"/>
  <c r="FB361" i="11"/>
  <c r="FC361" i="11"/>
  <c r="FD361" i="11"/>
  <c r="FE361" i="11"/>
  <c r="FF361" i="11"/>
  <c r="FG361" i="11"/>
  <c r="FH361" i="11"/>
  <c r="FI361" i="11"/>
  <c r="FJ361" i="11"/>
  <c r="FK361" i="11"/>
  <c r="FL361" i="11"/>
  <c r="FM361" i="11"/>
  <c r="FN361" i="11"/>
  <c r="FO361" i="11"/>
  <c r="FP361" i="11"/>
  <c r="FQ361" i="11"/>
  <c r="FR361" i="11"/>
  <c r="FS361" i="11"/>
  <c r="FT361" i="11"/>
  <c r="FU361" i="11"/>
  <c r="FV361" i="11"/>
  <c r="FW361" i="11"/>
  <c r="FX361" i="11"/>
  <c r="FY361" i="11"/>
  <c r="FZ361" i="11"/>
  <c r="GA361" i="11"/>
  <c r="GB361" i="11"/>
  <c r="GC361" i="11"/>
  <c r="GD361" i="11"/>
  <c r="GE361" i="11"/>
  <c r="GF361" i="11"/>
  <c r="GG361" i="11"/>
  <c r="GH361" i="11"/>
  <c r="GI361" i="11"/>
  <c r="GJ361" i="11"/>
  <c r="GK361" i="11"/>
  <c r="GL361" i="11"/>
  <c r="GM361" i="11"/>
  <c r="GN361" i="11"/>
  <c r="GO361" i="11"/>
  <c r="GP361" i="11"/>
  <c r="GQ361" i="11"/>
  <c r="GR361" i="11"/>
  <c r="GS361" i="11"/>
  <c r="GT361" i="11"/>
  <c r="GU361" i="11"/>
  <c r="GV361" i="11"/>
  <c r="GW361" i="11"/>
  <c r="GX361" i="11"/>
  <c r="GY361" i="11"/>
  <c r="GZ361" i="11"/>
  <c r="HA361" i="11"/>
  <c r="HB361" i="11"/>
  <c r="HC361" i="11"/>
  <c r="HD361" i="11"/>
  <c r="HE361" i="11"/>
  <c r="HF361" i="11"/>
  <c r="HG361" i="11"/>
  <c r="HH361" i="11"/>
  <c r="HI361" i="11"/>
  <c r="HJ361" i="11"/>
  <c r="HK361" i="11"/>
  <c r="HL361" i="11"/>
  <c r="HM361" i="11"/>
  <c r="HN361" i="11"/>
  <c r="HO361" i="11"/>
  <c r="HP361" i="11"/>
  <c r="HQ361" i="11"/>
  <c r="HR361" i="11"/>
  <c r="HS361" i="11"/>
  <c r="HT361" i="11"/>
  <c r="HU361" i="11"/>
  <c r="HV361" i="11"/>
  <c r="HW361" i="11"/>
  <c r="HX361" i="11"/>
  <c r="HY361" i="11"/>
  <c r="HZ361" i="11"/>
  <c r="IA361" i="11"/>
  <c r="IB361" i="11"/>
  <c r="IC361" i="11"/>
  <c r="ID361" i="11"/>
  <c r="IE361" i="11"/>
  <c r="IF361" i="11"/>
  <c r="IG361" i="11"/>
  <c r="IH361" i="11"/>
  <c r="II361" i="11"/>
  <c r="IJ361" i="11"/>
  <c r="IK361" i="11"/>
  <c r="IL361" i="11"/>
  <c r="IM361" i="11"/>
  <c r="IN361" i="11"/>
  <c r="IO361" i="11"/>
  <c r="IP361" i="11"/>
  <c r="IQ361" i="11"/>
  <c r="IR361" i="11"/>
  <c r="IS361" i="11"/>
  <c r="IT361" i="11"/>
  <c r="IU361" i="11"/>
  <c r="IV361" i="11"/>
  <c r="F362" i="11"/>
  <c r="G362" i="11"/>
  <c r="H362" i="11"/>
  <c r="I362" i="11"/>
  <c r="J362" i="11"/>
  <c r="K362" i="11"/>
  <c r="L362" i="11"/>
  <c r="M362" i="11"/>
  <c r="N362" i="11"/>
  <c r="O362" i="11"/>
  <c r="P362" i="11"/>
  <c r="Q362" i="11"/>
  <c r="R362" i="11"/>
  <c r="S362" i="11"/>
  <c r="T362" i="11"/>
  <c r="U362" i="11"/>
  <c r="V362" i="11"/>
  <c r="W362" i="11"/>
  <c r="X362" i="11"/>
  <c r="Y362" i="11"/>
  <c r="Z362" i="11"/>
  <c r="AA362" i="11"/>
  <c r="AB362" i="11"/>
  <c r="AC362" i="11"/>
  <c r="AD362" i="11"/>
  <c r="AE362" i="11"/>
  <c r="AF362" i="11"/>
  <c r="AG362" i="11"/>
  <c r="AH362" i="11"/>
  <c r="AI362" i="11"/>
  <c r="AJ362" i="11"/>
  <c r="AK362" i="11"/>
  <c r="AL362" i="11"/>
  <c r="AM362" i="11"/>
  <c r="AN362" i="11"/>
  <c r="AO362" i="11"/>
  <c r="AP362" i="11"/>
  <c r="AQ362" i="11"/>
  <c r="AR362" i="11"/>
  <c r="AS362" i="11"/>
  <c r="AT362" i="11"/>
  <c r="AU362" i="11"/>
  <c r="AV362" i="11"/>
  <c r="AW362" i="11"/>
  <c r="AX362" i="11"/>
  <c r="AY362" i="11"/>
  <c r="AZ362" i="11"/>
  <c r="BA362" i="11"/>
  <c r="BB362" i="11"/>
  <c r="BC362" i="11"/>
  <c r="BD362" i="11"/>
  <c r="BE362" i="11"/>
  <c r="BF362" i="11"/>
  <c r="BG362" i="11"/>
  <c r="BH362" i="11"/>
  <c r="BI362" i="11"/>
  <c r="BJ362" i="11"/>
  <c r="BK362" i="11"/>
  <c r="BL362" i="11"/>
  <c r="BM362" i="11"/>
  <c r="BN362" i="11"/>
  <c r="BO362" i="11"/>
  <c r="BP362" i="11"/>
  <c r="BQ362" i="11"/>
  <c r="BR362" i="11"/>
  <c r="BS362" i="11"/>
  <c r="BT362" i="11"/>
  <c r="BU362" i="11"/>
  <c r="BV362" i="11"/>
  <c r="BW362" i="11"/>
  <c r="BX362" i="11"/>
  <c r="BY362" i="11"/>
  <c r="BZ362" i="11"/>
  <c r="CA362" i="11"/>
  <c r="CB362" i="11"/>
  <c r="CC362" i="11"/>
  <c r="CD362" i="11"/>
  <c r="CE362" i="11"/>
  <c r="CF362" i="11"/>
  <c r="CG362" i="11"/>
  <c r="CH362" i="11"/>
  <c r="CI362" i="11"/>
  <c r="CJ362" i="11"/>
  <c r="CK362" i="11"/>
  <c r="CL362" i="11"/>
  <c r="CM362" i="11"/>
  <c r="CN362" i="11"/>
  <c r="CO362" i="11"/>
  <c r="CP362" i="11"/>
  <c r="CQ362" i="11"/>
  <c r="CR362" i="11"/>
  <c r="CS362" i="11"/>
  <c r="CT362" i="11"/>
  <c r="CU362" i="11"/>
  <c r="CV362" i="11"/>
  <c r="CW362" i="11"/>
  <c r="CX362" i="11"/>
  <c r="CY362" i="11"/>
  <c r="CZ362" i="11"/>
  <c r="DA362" i="11"/>
  <c r="DB362" i="11"/>
  <c r="DC362" i="11"/>
  <c r="DD362" i="11"/>
  <c r="DE362" i="11"/>
  <c r="DF362" i="11"/>
  <c r="DG362" i="11"/>
  <c r="DH362" i="11"/>
  <c r="DI362" i="11"/>
  <c r="DJ362" i="11"/>
  <c r="DK362" i="11"/>
  <c r="DL362" i="11"/>
  <c r="DM362" i="11"/>
  <c r="DN362" i="11"/>
  <c r="DO362" i="11"/>
  <c r="DP362" i="11"/>
  <c r="DQ362" i="11"/>
  <c r="DR362" i="11"/>
  <c r="DS362" i="11"/>
  <c r="DT362" i="11"/>
  <c r="DU362" i="11"/>
  <c r="DV362" i="11"/>
  <c r="DW362" i="11"/>
  <c r="DX362" i="11"/>
  <c r="DY362" i="11"/>
  <c r="DZ362" i="11"/>
  <c r="EA362" i="11"/>
  <c r="EB362" i="11"/>
  <c r="EC362" i="11"/>
  <c r="ED362" i="11"/>
  <c r="EE362" i="11"/>
  <c r="EF362" i="11"/>
  <c r="EG362" i="11"/>
  <c r="EH362" i="11"/>
  <c r="EI362" i="11"/>
  <c r="EJ362" i="11"/>
  <c r="EK362" i="11"/>
  <c r="EL362" i="11"/>
  <c r="EM362" i="11"/>
  <c r="EN362" i="11"/>
  <c r="EO362" i="11"/>
  <c r="EP362" i="11"/>
  <c r="EQ362" i="11"/>
  <c r="ER362" i="11"/>
  <c r="ES362" i="11"/>
  <c r="ET362" i="11"/>
  <c r="EU362" i="11"/>
  <c r="EV362" i="11"/>
  <c r="EW362" i="11"/>
  <c r="EX362" i="11"/>
  <c r="EY362" i="11"/>
  <c r="EZ362" i="11"/>
  <c r="FA362" i="11"/>
  <c r="FB362" i="11"/>
  <c r="FC362" i="11"/>
  <c r="FD362" i="11"/>
  <c r="FE362" i="11"/>
  <c r="FF362" i="11"/>
  <c r="FG362" i="11"/>
  <c r="FH362" i="11"/>
  <c r="FI362" i="11"/>
  <c r="FJ362" i="11"/>
  <c r="FK362" i="11"/>
  <c r="FL362" i="11"/>
  <c r="FM362" i="11"/>
  <c r="FN362" i="11"/>
  <c r="FO362" i="11"/>
  <c r="FP362" i="11"/>
  <c r="FQ362" i="11"/>
  <c r="FR362" i="11"/>
  <c r="FS362" i="11"/>
  <c r="FT362" i="11"/>
  <c r="FU362" i="11"/>
  <c r="FV362" i="11"/>
  <c r="FW362" i="11"/>
  <c r="FX362" i="11"/>
  <c r="FY362" i="11"/>
  <c r="FZ362" i="11"/>
  <c r="GA362" i="11"/>
  <c r="GB362" i="11"/>
  <c r="GC362" i="11"/>
  <c r="GD362" i="11"/>
  <c r="GE362" i="11"/>
  <c r="GF362" i="11"/>
  <c r="GG362" i="11"/>
  <c r="GH362" i="11"/>
  <c r="GI362" i="11"/>
  <c r="GJ362" i="11"/>
  <c r="GK362" i="11"/>
  <c r="GL362" i="11"/>
  <c r="GM362" i="11"/>
  <c r="GN362" i="11"/>
  <c r="GO362" i="11"/>
  <c r="GP362" i="11"/>
  <c r="GQ362" i="11"/>
  <c r="GR362" i="11"/>
  <c r="GS362" i="11"/>
  <c r="GT362" i="11"/>
  <c r="GU362" i="11"/>
  <c r="GV362" i="11"/>
  <c r="GW362" i="11"/>
  <c r="GX362" i="11"/>
  <c r="GY362" i="11"/>
  <c r="GZ362" i="11"/>
  <c r="HA362" i="11"/>
  <c r="HB362" i="11"/>
  <c r="HC362" i="11"/>
  <c r="HD362" i="11"/>
  <c r="HE362" i="11"/>
  <c r="HF362" i="11"/>
  <c r="HG362" i="11"/>
  <c r="HH362" i="11"/>
  <c r="HI362" i="11"/>
  <c r="HJ362" i="11"/>
  <c r="HK362" i="11"/>
  <c r="HL362" i="11"/>
  <c r="HM362" i="11"/>
  <c r="HN362" i="11"/>
  <c r="HO362" i="11"/>
  <c r="HP362" i="11"/>
  <c r="HQ362" i="11"/>
  <c r="HR362" i="11"/>
  <c r="HS362" i="11"/>
  <c r="HT362" i="11"/>
  <c r="HU362" i="11"/>
  <c r="HV362" i="11"/>
  <c r="HW362" i="11"/>
  <c r="HX362" i="11"/>
  <c r="HY362" i="11"/>
  <c r="HZ362" i="11"/>
  <c r="IA362" i="11"/>
  <c r="IB362" i="11"/>
  <c r="IC362" i="11"/>
  <c r="ID362" i="11"/>
  <c r="IE362" i="11"/>
  <c r="IF362" i="11"/>
  <c r="IG362" i="11"/>
  <c r="IH362" i="11"/>
  <c r="II362" i="11"/>
  <c r="IJ362" i="11"/>
  <c r="IK362" i="11"/>
  <c r="IL362" i="11"/>
  <c r="IM362" i="11"/>
  <c r="IN362" i="11"/>
  <c r="IO362" i="11"/>
  <c r="IP362" i="11"/>
  <c r="IQ362" i="11"/>
  <c r="IR362" i="11"/>
  <c r="IS362" i="11"/>
  <c r="IT362" i="11"/>
  <c r="IU362" i="11"/>
  <c r="IV362" i="11"/>
  <c r="F363" i="11"/>
  <c r="G363" i="11"/>
  <c r="H363" i="11"/>
  <c r="I363" i="11"/>
  <c r="J363" i="11"/>
  <c r="K363" i="11"/>
  <c r="L363" i="11"/>
  <c r="M363" i="11"/>
  <c r="N363" i="11"/>
  <c r="O363" i="11"/>
  <c r="P363" i="11"/>
  <c r="Q363" i="11"/>
  <c r="R363" i="11"/>
  <c r="S363" i="11"/>
  <c r="T363" i="11"/>
  <c r="U363" i="11"/>
  <c r="V363" i="11"/>
  <c r="W363" i="11"/>
  <c r="X363" i="11"/>
  <c r="Y363" i="11"/>
  <c r="Z363" i="11"/>
  <c r="AA363" i="11"/>
  <c r="AB363" i="11"/>
  <c r="AC363" i="11"/>
  <c r="AD363" i="11"/>
  <c r="AE363" i="11"/>
  <c r="AF363" i="11"/>
  <c r="AG363" i="11"/>
  <c r="AH363" i="11"/>
  <c r="AI363" i="11"/>
  <c r="AJ363" i="11"/>
  <c r="AK363" i="11"/>
  <c r="AL363" i="11"/>
  <c r="AM363" i="11"/>
  <c r="AN363" i="11"/>
  <c r="AO363" i="11"/>
  <c r="AP363" i="11"/>
  <c r="AQ363" i="11"/>
  <c r="AR363" i="11"/>
  <c r="AS363" i="11"/>
  <c r="AT363" i="11"/>
  <c r="AU363" i="11"/>
  <c r="AV363" i="11"/>
  <c r="AW363" i="11"/>
  <c r="AX363" i="11"/>
  <c r="AY363" i="11"/>
  <c r="AZ363" i="11"/>
  <c r="BA363" i="11"/>
  <c r="BB363" i="11"/>
  <c r="BC363" i="11"/>
  <c r="BD363" i="11"/>
  <c r="BE363" i="11"/>
  <c r="BF363" i="11"/>
  <c r="BG363" i="11"/>
  <c r="BH363" i="11"/>
  <c r="BI363" i="11"/>
  <c r="BJ363" i="11"/>
  <c r="BK363" i="11"/>
  <c r="BL363" i="11"/>
  <c r="BM363" i="11"/>
  <c r="BN363" i="11"/>
  <c r="BO363" i="11"/>
  <c r="BP363" i="11"/>
  <c r="BQ363" i="11"/>
  <c r="BR363" i="11"/>
  <c r="BS363" i="11"/>
  <c r="BT363" i="11"/>
  <c r="BU363" i="11"/>
  <c r="BV363" i="11"/>
  <c r="BW363" i="11"/>
  <c r="BX363" i="11"/>
  <c r="BY363" i="11"/>
  <c r="BZ363" i="11"/>
  <c r="CA363" i="11"/>
  <c r="CB363" i="11"/>
  <c r="CC363" i="11"/>
  <c r="CD363" i="11"/>
  <c r="CE363" i="11"/>
  <c r="CF363" i="11"/>
  <c r="CG363" i="11"/>
  <c r="CH363" i="11"/>
  <c r="CI363" i="11"/>
  <c r="CJ363" i="11"/>
  <c r="CK363" i="11"/>
  <c r="CL363" i="11"/>
  <c r="CM363" i="11"/>
  <c r="CN363" i="11"/>
  <c r="CO363" i="11"/>
  <c r="CP363" i="11"/>
  <c r="CQ363" i="11"/>
  <c r="CR363" i="11"/>
  <c r="CS363" i="11"/>
  <c r="CT363" i="11"/>
  <c r="CU363" i="11"/>
  <c r="CV363" i="11"/>
  <c r="CW363" i="11"/>
  <c r="CX363" i="11"/>
  <c r="CY363" i="11"/>
  <c r="CZ363" i="11"/>
  <c r="DA363" i="11"/>
  <c r="DB363" i="11"/>
  <c r="DC363" i="11"/>
  <c r="DD363" i="11"/>
  <c r="DE363" i="11"/>
  <c r="DF363" i="11"/>
  <c r="DG363" i="11"/>
  <c r="DH363" i="11"/>
  <c r="DI363" i="11"/>
  <c r="DJ363" i="11"/>
  <c r="DK363" i="11"/>
  <c r="DL363" i="11"/>
  <c r="DM363" i="11"/>
  <c r="DN363" i="11"/>
  <c r="DO363" i="11"/>
  <c r="DP363" i="11"/>
  <c r="DQ363" i="11"/>
  <c r="DR363" i="11"/>
  <c r="DS363" i="11"/>
  <c r="DT363" i="11"/>
  <c r="DU363" i="11"/>
  <c r="DV363" i="11"/>
  <c r="DW363" i="11"/>
  <c r="DX363" i="11"/>
  <c r="DY363" i="11"/>
  <c r="DZ363" i="11"/>
  <c r="EA363" i="11"/>
  <c r="EB363" i="11"/>
  <c r="EC363" i="11"/>
  <c r="ED363" i="11"/>
  <c r="EE363" i="11"/>
  <c r="EF363" i="11"/>
  <c r="EG363" i="11"/>
  <c r="EH363" i="11"/>
  <c r="EI363" i="11"/>
  <c r="EJ363" i="11"/>
  <c r="EK363" i="11"/>
  <c r="EL363" i="11"/>
  <c r="EM363" i="11"/>
  <c r="EN363" i="11"/>
  <c r="EO363" i="11"/>
  <c r="EP363" i="11"/>
  <c r="EQ363" i="11"/>
  <c r="ER363" i="11"/>
  <c r="ES363" i="11"/>
  <c r="ET363" i="11"/>
  <c r="EU363" i="11"/>
  <c r="EV363" i="11"/>
  <c r="EW363" i="11"/>
  <c r="EX363" i="11"/>
  <c r="EY363" i="11"/>
  <c r="EZ363" i="11"/>
  <c r="FA363" i="11"/>
  <c r="FB363" i="11"/>
  <c r="FC363" i="11"/>
  <c r="FD363" i="11"/>
  <c r="FE363" i="11"/>
  <c r="FF363" i="11"/>
  <c r="FG363" i="11"/>
  <c r="FH363" i="11"/>
  <c r="FI363" i="11"/>
  <c r="FJ363" i="11"/>
  <c r="FK363" i="11"/>
  <c r="FL363" i="11"/>
  <c r="FM363" i="11"/>
  <c r="FN363" i="11"/>
  <c r="FO363" i="11"/>
  <c r="FP363" i="11"/>
  <c r="FQ363" i="11"/>
  <c r="FR363" i="11"/>
  <c r="FS363" i="11"/>
  <c r="FT363" i="11"/>
  <c r="FU363" i="11"/>
  <c r="FV363" i="11"/>
  <c r="FW363" i="11"/>
  <c r="FX363" i="11"/>
  <c r="FY363" i="11"/>
  <c r="FZ363" i="11"/>
  <c r="GA363" i="11"/>
  <c r="GB363" i="11"/>
  <c r="GC363" i="11"/>
  <c r="GD363" i="11"/>
  <c r="GE363" i="11"/>
  <c r="GF363" i="11"/>
  <c r="GG363" i="11"/>
  <c r="GH363" i="11"/>
  <c r="GI363" i="11"/>
  <c r="GJ363" i="11"/>
  <c r="GK363" i="11"/>
  <c r="GL363" i="11"/>
  <c r="GM363" i="11"/>
  <c r="GN363" i="11"/>
  <c r="GO363" i="11"/>
  <c r="GP363" i="11"/>
  <c r="GQ363" i="11"/>
  <c r="GR363" i="11"/>
  <c r="GS363" i="11"/>
  <c r="GT363" i="11"/>
  <c r="GU363" i="11"/>
  <c r="GV363" i="11"/>
  <c r="GW363" i="11"/>
  <c r="GX363" i="11"/>
  <c r="GY363" i="11"/>
  <c r="GZ363" i="11"/>
  <c r="HA363" i="11"/>
  <c r="HB363" i="11"/>
  <c r="HC363" i="11"/>
  <c r="HD363" i="11"/>
  <c r="HE363" i="11"/>
  <c r="HF363" i="11"/>
  <c r="HG363" i="11"/>
  <c r="HH363" i="11"/>
  <c r="HI363" i="11"/>
  <c r="HJ363" i="11"/>
  <c r="HK363" i="11"/>
  <c r="HL363" i="11"/>
  <c r="HM363" i="11"/>
  <c r="HN363" i="11"/>
  <c r="HO363" i="11"/>
  <c r="HP363" i="11"/>
  <c r="HQ363" i="11"/>
  <c r="HR363" i="11"/>
  <c r="HS363" i="11"/>
  <c r="HT363" i="11"/>
  <c r="HU363" i="11"/>
  <c r="HV363" i="11"/>
  <c r="HW363" i="11"/>
  <c r="HX363" i="11"/>
  <c r="HY363" i="11"/>
  <c r="HZ363" i="11"/>
  <c r="IA363" i="11"/>
  <c r="IB363" i="11"/>
  <c r="IC363" i="11"/>
  <c r="ID363" i="11"/>
  <c r="IE363" i="11"/>
  <c r="IF363" i="11"/>
  <c r="IG363" i="11"/>
  <c r="IH363" i="11"/>
  <c r="II363" i="11"/>
  <c r="IJ363" i="11"/>
  <c r="IK363" i="11"/>
  <c r="IL363" i="11"/>
  <c r="IM363" i="11"/>
  <c r="IN363" i="11"/>
  <c r="IO363" i="11"/>
  <c r="IP363" i="11"/>
  <c r="IQ363" i="11"/>
  <c r="IR363" i="11"/>
  <c r="IS363" i="11"/>
  <c r="IT363" i="11"/>
  <c r="IU363" i="11"/>
  <c r="IV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AC364" i="11"/>
  <c r="AD364" i="11"/>
  <c r="AE364" i="11"/>
  <c r="AF364" i="11"/>
  <c r="AG364" i="11"/>
  <c r="AH364" i="11"/>
  <c r="AI364" i="11"/>
  <c r="AJ364" i="11"/>
  <c r="AK364" i="11"/>
  <c r="AL364" i="11"/>
  <c r="AM364" i="11"/>
  <c r="AN364" i="11"/>
  <c r="AO364" i="11"/>
  <c r="AP364" i="11"/>
  <c r="AQ364" i="11"/>
  <c r="AR364" i="11"/>
  <c r="AS364" i="11"/>
  <c r="AT364" i="11"/>
  <c r="AU364" i="11"/>
  <c r="AV364" i="11"/>
  <c r="AW364" i="11"/>
  <c r="AX364" i="11"/>
  <c r="AY364" i="11"/>
  <c r="AZ364" i="11"/>
  <c r="BA364" i="11"/>
  <c r="BB364" i="11"/>
  <c r="BC364" i="11"/>
  <c r="BD364" i="11"/>
  <c r="BE364" i="11"/>
  <c r="BF364" i="11"/>
  <c r="BG364" i="11"/>
  <c r="BH364" i="11"/>
  <c r="BI364" i="11"/>
  <c r="BJ364" i="11"/>
  <c r="BK364" i="11"/>
  <c r="BL364" i="11"/>
  <c r="BM364" i="11"/>
  <c r="BN364" i="11"/>
  <c r="BO364" i="11"/>
  <c r="BP364" i="11"/>
  <c r="BQ364" i="11"/>
  <c r="BR364" i="11"/>
  <c r="BS364" i="11"/>
  <c r="BT364" i="11"/>
  <c r="BU364" i="11"/>
  <c r="BV364" i="11"/>
  <c r="BW364" i="11"/>
  <c r="BX364" i="11"/>
  <c r="BY364" i="11"/>
  <c r="BZ364" i="11"/>
  <c r="CA364" i="11"/>
  <c r="CB364" i="11"/>
  <c r="CC364" i="11"/>
  <c r="CD364" i="11"/>
  <c r="CE364" i="11"/>
  <c r="CF364" i="11"/>
  <c r="CG364" i="11"/>
  <c r="CH364" i="11"/>
  <c r="CI364" i="11"/>
  <c r="CJ364" i="11"/>
  <c r="CK364" i="11"/>
  <c r="CL364" i="11"/>
  <c r="CM364" i="11"/>
  <c r="CN364" i="11"/>
  <c r="CO364" i="11"/>
  <c r="CP364" i="11"/>
  <c r="CQ364" i="11"/>
  <c r="CR364" i="11"/>
  <c r="CS364" i="11"/>
  <c r="CT364" i="11"/>
  <c r="CU364" i="11"/>
  <c r="CV364" i="11"/>
  <c r="CW364" i="11"/>
  <c r="CX364" i="11"/>
  <c r="CY364" i="11"/>
  <c r="CZ364" i="11"/>
  <c r="DA364" i="11"/>
  <c r="DB364" i="11"/>
  <c r="DC364" i="11"/>
  <c r="DD364" i="11"/>
  <c r="DE364" i="11"/>
  <c r="DF364" i="11"/>
  <c r="DG364" i="11"/>
  <c r="DH364" i="11"/>
  <c r="DI364" i="11"/>
  <c r="DJ364" i="11"/>
  <c r="DK364" i="11"/>
  <c r="DL364" i="11"/>
  <c r="DM364" i="11"/>
  <c r="DN364" i="11"/>
  <c r="DO364" i="11"/>
  <c r="DP364" i="11"/>
  <c r="DQ364" i="11"/>
  <c r="DR364" i="11"/>
  <c r="DS364" i="11"/>
  <c r="DT364" i="11"/>
  <c r="DU364" i="11"/>
  <c r="DV364" i="11"/>
  <c r="DW364" i="11"/>
  <c r="DX364" i="11"/>
  <c r="DY364" i="11"/>
  <c r="DZ364" i="11"/>
  <c r="EA364" i="11"/>
  <c r="EB364" i="11"/>
  <c r="EC364" i="11"/>
  <c r="ED364" i="11"/>
  <c r="EE364" i="11"/>
  <c r="EF364" i="11"/>
  <c r="EG364" i="11"/>
  <c r="EH364" i="11"/>
  <c r="EI364" i="11"/>
  <c r="EJ364" i="11"/>
  <c r="EK364" i="11"/>
  <c r="EL364" i="11"/>
  <c r="EM364" i="11"/>
  <c r="EN364" i="11"/>
  <c r="EO364" i="11"/>
  <c r="EP364" i="11"/>
  <c r="EQ364" i="11"/>
  <c r="ER364" i="11"/>
  <c r="ES364" i="11"/>
  <c r="ET364" i="11"/>
  <c r="EU364" i="11"/>
  <c r="EV364" i="11"/>
  <c r="EW364" i="11"/>
  <c r="EX364" i="11"/>
  <c r="EY364" i="11"/>
  <c r="EZ364" i="11"/>
  <c r="FA364" i="11"/>
  <c r="FB364" i="11"/>
  <c r="FC364" i="11"/>
  <c r="FD364" i="11"/>
  <c r="FE364" i="11"/>
  <c r="FF364" i="11"/>
  <c r="FG364" i="11"/>
  <c r="FH364" i="11"/>
  <c r="FI364" i="11"/>
  <c r="FJ364" i="11"/>
  <c r="FK364" i="11"/>
  <c r="FL364" i="11"/>
  <c r="FM364" i="11"/>
  <c r="FN364" i="11"/>
  <c r="FO364" i="11"/>
  <c r="FP364" i="11"/>
  <c r="FQ364" i="11"/>
  <c r="FR364" i="11"/>
  <c r="FS364" i="11"/>
  <c r="FT364" i="11"/>
  <c r="FU364" i="11"/>
  <c r="FV364" i="11"/>
  <c r="FW364" i="11"/>
  <c r="FX364" i="11"/>
  <c r="FY364" i="11"/>
  <c r="FZ364" i="11"/>
  <c r="GA364" i="11"/>
  <c r="GB364" i="11"/>
  <c r="GC364" i="11"/>
  <c r="GD364" i="11"/>
  <c r="GE364" i="11"/>
  <c r="GF364" i="11"/>
  <c r="GG364" i="11"/>
  <c r="GH364" i="11"/>
  <c r="GI364" i="11"/>
  <c r="GJ364" i="11"/>
  <c r="GK364" i="11"/>
  <c r="GL364" i="11"/>
  <c r="GM364" i="11"/>
  <c r="GN364" i="11"/>
  <c r="GO364" i="11"/>
  <c r="GP364" i="11"/>
  <c r="GQ364" i="11"/>
  <c r="GR364" i="11"/>
  <c r="GS364" i="11"/>
  <c r="GT364" i="11"/>
  <c r="GU364" i="11"/>
  <c r="GV364" i="11"/>
  <c r="GW364" i="11"/>
  <c r="GX364" i="11"/>
  <c r="GY364" i="11"/>
  <c r="GZ364" i="11"/>
  <c r="HA364" i="11"/>
  <c r="HB364" i="11"/>
  <c r="HC364" i="11"/>
  <c r="HD364" i="11"/>
  <c r="HE364" i="11"/>
  <c r="HF364" i="11"/>
  <c r="HG364" i="11"/>
  <c r="HH364" i="11"/>
  <c r="HI364" i="11"/>
  <c r="HJ364" i="11"/>
  <c r="HK364" i="11"/>
  <c r="HL364" i="11"/>
  <c r="HM364" i="11"/>
  <c r="HN364" i="11"/>
  <c r="HO364" i="11"/>
  <c r="HP364" i="11"/>
  <c r="HQ364" i="11"/>
  <c r="HR364" i="11"/>
  <c r="HS364" i="11"/>
  <c r="HT364" i="11"/>
  <c r="HU364" i="11"/>
  <c r="HV364" i="11"/>
  <c r="HW364" i="11"/>
  <c r="HX364" i="11"/>
  <c r="HY364" i="11"/>
  <c r="HZ364" i="11"/>
  <c r="IA364" i="11"/>
  <c r="IB364" i="11"/>
  <c r="IC364" i="11"/>
  <c r="ID364" i="11"/>
  <c r="IE364" i="11"/>
  <c r="IF364" i="11"/>
  <c r="IG364" i="11"/>
  <c r="IH364" i="11"/>
  <c r="II364" i="11"/>
  <c r="IJ364" i="11"/>
  <c r="IK364" i="11"/>
  <c r="IL364" i="11"/>
  <c r="IM364" i="11"/>
  <c r="IN364" i="11"/>
  <c r="IO364" i="11"/>
  <c r="IP364" i="11"/>
  <c r="IQ364" i="11"/>
  <c r="IR364" i="11"/>
  <c r="IS364" i="11"/>
  <c r="IT364" i="11"/>
  <c r="IU364" i="11"/>
  <c r="IV364" i="11"/>
  <c r="F365" i="11"/>
  <c r="G365" i="11"/>
  <c r="H365" i="11"/>
  <c r="I365" i="11"/>
  <c r="J365" i="11"/>
  <c r="K365" i="11"/>
  <c r="L365" i="11"/>
  <c r="M365" i="11"/>
  <c r="N365" i="11"/>
  <c r="O365" i="11"/>
  <c r="P365" i="11"/>
  <c r="Q365" i="11"/>
  <c r="R365" i="11"/>
  <c r="S365" i="11"/>
  <c r="T365" i="11"/>
  <c r="U365" i="11"/>
  <c r="V365" i="11"/>
  <c r="W365" i="11"/>
  <c r="X365" i="11"/>
  <c r="Y365" i="11"/>
  <c r="Z365" i="11"/>
  <c r="AA365" i="11"/>
  <c r="AB365" i="11"/>
  <c r="AC365" i="11"/>
  <c r="AD365" i="11"/>
  <c r="AE365" i="11"/>
  <c r="AF365" i="11"/>
  <c r="AG365" i="11"/>
  <c r="AH365" i="11"/>
  <c r="AI365" i="11"/>
  <c r="AJ365" i="11"/>
  <c r="AK365" i="11"/>
  <c r="AL365" i="11"/>
  <c r="AM365" i="11"/>
  <c r="AN365" i="11"/>
  <c r="AO365" i="11"/>
  <c r="AP365" i="11"/>
  <c r="AQ365" i="11"/>
  <c r="AR365" i="11"/>
  <c r="AS365" i="11"/>
  <c r="AT365" i="11"/>
  <c r="AU365" i="11"/>
  <c r="AV365" i="11"/>
  <c r="AW365" i="11"/>
  <c r="AX365" i="11"/>
  <c r="AY365" i="11"/>
  <c r="AZ365" i="11"/>
  <c r="BA365" i="11"/>
  <c r="BB365" i="11"/>
  <c r="BC365" i="11"/>
  <c r="BD365" i="11"/>
  <c r="BE365" i="11"/>
  <c r="BF365" i="11"/>
  <c r="BG365" i="11"/>
  <c r="BH365" i="11"/>
  <c r="BI365" i="11"/>
  <c r="BJ365" i="11"/>
  <c r="BK365" i="11"/>
  <c r="BL365" i="11"/>
  <c r="BM365" i="11"/>
  <c r="BN365" i="11"/>
  <c r="BO365" i="11"/>
  <c r="BP365" i="11"/>
  <c r="BQ365" i="11"/>
  <c r="BR365" i="11"/>
  <c r="BS365" i="11"/>
  <c r="BT365" i="11"/>
  <c r="BU365" i="11"/>
  <c r="BV365" i="11"/>
  <c r="BW365" i="11"/>
  <c r="BX365" i="11"/>
  <c r="BY365" i="11"/>
  <c r="BZ365" i="11"/>
  <c r="CA365" i="11"/>
  <c r="CB365" i="11"/>
  <c r="CC365" i="11"/>
  <c r="CD365" i="11"/>
  <c r="CE365" i="11"/>
  <c r="CF365" i="11"/>
  <c r="CG365" i="11"/>
  <c r="CH365" i="11"/>
  <c r="CI365" i="11"/>
  <c r="CJ365" i="11"/>
  <c r="CK365" i="11"/>
  <c r="CL365" i="11"/>
  <c r="CM365" i="11"/>
  <c r="CN365" i="11"/>
  <c r="CO365" i="11"/>
  <c r="CP365" i="11"/>
  <c r="CQ365" i="11"/>
  <c r="CR365" i="11"/>
  <c r="CS365" i="11"/>
  <c r="CT365" i="11"/>
  <c r="CU365" i="11"/>
  <c r="CV365" i="11"/>
  <c r="CW365" i="11"/>
  <c r="CX365" i="11"/>
  <c r="CY365" i="11"/>
  <c r="CZ365" i="11"/>
  <c r="DA365" i="11"/>
  <c r="DB365" i="11"/>
  <c r="DC365" i="11"/>
  <c r="DD365" i="11"/>
  <c r="DE365" i="11"/>
  <c r="DF365" i="11"/>
  <c r="DG365" i="11"/>
  <c r="DH365" i="11"/>
  <c r="DI365" i="11"/>
  <c r="DJ365" i="11"/>
  <c r="DK365" i="11"/>
  <c r="DL365" i="11"/>
  <c r="DM365" i="11"/>
  <c r="DN365" i="11"/>
  <c r="DO365" i="11"/>
  <c r="DP365" i="11"/>
  <c r="DQ365" i="11"/>
  <c r="DR365" i="11"/>
  <c r="DS365" i="11"/>
  <c r="DT365" i="11"/>
  <c r="DU365" i="11"/>
  <c r="DV365" i="11"/>
  <c r="DW365" i="11"/>
  <c r="DX365" i="11"/>
  <c r="DY365" i="11"/>
  <c r="DZ365" i="11"/>
  <c r="EA365" i="11"/>
  <c r="EB365" i="11"/>
  <c r="EC365" i="11"/>
  <c r="ED365" i="11"/>
  <c r="EE365" i="11"/>
  <c r="EF365" i="11"/>
  <c r="EG365" i="11"/>
  <c r="EH365" i="11"/>
  <c r="EI365" i="11"/>
  <c r="EJ365" i="11"/>
  <c r="EK365" i="11"/>
  <c r="EL365" i="11"/>
  <c r="EM365" i="11"/>
  <c r="EN365" i="11"/>
  <c r="EO365" i="11"/>
  <c r="EP365" i="11"/>
  <c r="EQ365" i="11"/>
  <c r="ER365" i="11"/>
  <c r="ES365" i="11"/>
  <c r="ET365" i="11"/>
  <c r="EU365" i="11"/>
  <c r="EV365" i="11"/>
  <c r="EW365" i="11"/>
  <c r="EX365" i="11"/>
  <c r="EY365" i="11"/>
  <c r="EZ365" i="11"/>
  <c r="FA365" i="11"/>
  <c r="FB365" i="11"/>
  <c r="FC365" i="11"/>
  <c r="FD365" i="11"/>
  <c r="FE365" i="11"/>
  <c r="FF365" i="11"/>
  <c r="FG365" i="11"/>
  <c r="FH365" i="11"/>
  <c r="FI365" i="11"/>
  <c r="FJ365" i="11"/>
  <c r="FK365" i="11"/>
  <c r="FL365" i="11"/>
  <c r="FM365" i="11"/>
  <c r="FN365" i="11"/>
  <c r="FO365" i="11"/>
  <c r="FP365" i="11"/>
  <c r="FQ365" i="11"/>
  <c r="FR365" i="11"/>
  <c r="FS365" i="11"/>
  <c r="FT365" i="11"/>
  <c r="FU365" i="11"/>
  <c r="FV365" i="11"/>
  <c r="FW365" i="11"/>
  <c r="FX365" i="11"/>
  <c r="FY365" i="11"/>
  <c r="FZ365" i="11"/>
  <c r="GA365" i="11"/>
  <c r="GB365" i="11"/>
  <c r="GC365" i="11"/>
  <c r="GD365" i="11"/>
  <c r="GE365" i="11"/>
  <c r="GF365" i="11"/>
  <c r="GG365" i="11"/>
  <c r="GH365" i="11"/>
  <c r="GI365" i="11"/>
  <c r="GJ365" i="11"/>
  <c r="GK365" i="11"/>
  <c r="GL365" i="11"/>
  <c r="GM365" i="11"/>
  <c r="GN365" i="11"/>
  <c r="GO365" i="11"/>
  <c r="GP365" i="11"/>
  <c r="GQ365" i="11"/>
  <c r="GR365" i="11"/>
  <c r="GS365" i="11"/>
  <c r="GT365" i="11"/>
  <c r="GU365" i="11"/>
  <c r="GV365" i="11"/>
  <c r="GW365" i="11"/>
  <c r="GX365" i="11"/>
  <c r="GY365" i="11"/>
  <c r="GZ365" i="11"/>
  <c r="HA365" i="11"/>
  <c r="HB365" i="11"/>
  <c r="HC365" i="11"/>
  <c r="HD365" i="11"/>
  <c r="HE365" i="11"/>
  <c r="HF365" i="11"/>
  <c r="HG365" i="11"/>
  <c r="HH365" i="11"/>
  <c r="HI365" i="11"/>
  <c r="HJ365" i="11"/>
  <c r="HK365" i="11"/>
  <c r="HL365" i="11"/>
  <c r="HM365" i="11"/>
  <c r="HN365" i="11"/>
  <c r="HO365" i="11"/>
  <c r="HP365" i="11"/>
  <c r="HQ365" i="11"/>
  <c r="HR365" i="11"/>
  <c r="HS365" i="11"/>
  <c r="HT365" i="11"/>
  <c r="HU365" i="11"/>
  <c r="HV365" i="11"/>
  <c r="HW365" i="11"/>
  <c r="HX365" i="11"/>
  <c r="HY365" i="11"/>
  <c r="HZ365" i="11"/>
  <c r="IA365" i="11"/>
  <c r="IB365" i="11"/>
  <c r="IC365" i="11"/>
  <c r="ID365" i="11"/>
  <c r="IE365" i="11"/>
  <c r="IF365" i="11"/>
  <c r="IG365" i="11"/>
  <c r="IH365" i="11"/>
  <c r="II365" i="11"/>
  <c r="IJ365" i="11"/>
  <c r="IK365" i="11"/>
  <c r="IL365" i="11"/>
  <c r="IM365" i="11"/>
  <c r="IN365" i="11"/>
  <c r="IO365" i="11"/>
  <c r="IP365" i="11"/>
  <c r="IQ365" i="11"/>
  <c r="IR365" i="11"/>
  <c r="IS365" i="11"/>
  <c r="IT365" i="11"/>
  <c r="IU365" i="11"/>
  <c r="IV365" i="11"/>
  <c r="F366" i="11"/>
  <c r="G366" i="11"/>
  <c r="H366" i="11"/>
  <c r="I366" i="11"/>
  <c r="J366" i="11"/>
  <c r="K366" i="11"/>
  <c r="L366" i="11"/>
  <c r="M366" i="11"/>
  <c r="N366" i="11"/>
  <c r="O366" i="11"/>
  <c r="P366" i="11"/>
  <c r="Q366" i="11"/>
  <c r="R366" i="11"/>
  <c r="S366" i="11"/>
  <c r="T366" i="11"/>
  <c r="U366" i="11"/>
  <c r="V366" i="11"/>
  <c r="W366" i="11"/>
  <c r="X366" i="11"/>
  <c r="Y366" i="11"/>
  <c r="Z366" i="11"/>
  <c r="AA366" i="11"/>
  <c r="AB366" i="11"/>
  <c r="AC366" i="11"/>
  <c r="AD366" i="11"/>
  <c r="AE366" i="11"/>
  <c r="AF366" i="11"/>
  <c r="AG366" i="11"/>
  <c r="AH366" i="11"/>
  <c r="AI366" i="11"/>
  <c r="AJ366" i="11"/>
  <c r="AK366" i="11"/>
  <c r="AL366" i="11"/>
  <c r="AM366" i="11"/>
  <c r="AN366" i="11"/>
  <c r="AO366" i="11"/>
  <c r="AP366" i="11"/>
  <c r="AQ366" i="11"/>
  <c r="AR366" i="11"/>
  <c r="AS366" i="11"/>
  <c r="AT366" i="11"/>
  <c r="AU366" i="11"/>
  <c r="AV366" i="11"/>
  <c r="AW366" i="11"/>
  <c r="AX366" i="11"/>
  <c r="AY366" i="11"/>
  <c r="AZ366" i="11"/>
  <c r="BA366" i="11"/>
  <c r="BB366" i="11"/>
  <c r="BC366" i="11"/>
  <c r="BD366" i="11"/>
  <c r="BE366" i="11"/>
  <c r="BF366" i="11"/>
  <c r="BG366" i="11"/>
  <c r="BH366" i="11"/>
  <c r="BI366" i="11"/>
  <c r="BJ366" i="11"/>
  <c r="BK366" i="11"/>
  <c r="BL366" i="11"/>
  <c r="BM366" i="11"/>
  <c r="BN366" i="11"/>
  <c r="BO366" i="11"/>
  <c r="BP366" i="11"/>
  <c r="BQ366" i="11"/>
  <c r="BR366" i="11"/>
  <c r="BS366" i="11"/>
  <c r="BT366" i="11"/>
  <c r="BU366" i="11"/>
  <c r="BV366" i="11"/>
  <c r="BW366" i="11"/>
  <c r="BX366" i="11"/>
  <c r="BY366" i="11"/>
  <c r="BZ366" i="11"/>
  <c r="CA366" i="11"/>
  <c r="CB366" i="11"/>
  <c r="CC366" i="11"/>
  <c r="CD366" i="11"/>
  <c r="CE366" i="11"/>
  <c r="CF366" i="11"/>
  <c r="CG366" i="11"/>
  <c r="CH366" i="11"/>
  <c r="CI366" i="11"/>
  <c r="CJ366" i="11"/>
  <c r="CK366" i="11"/>
  <c r="CL366" i="11"/>
  <c r="CM366" i="11"/>
  <c r="CN366" i="11"/>
  <c r="CO366" i="11"/>
  <c r="CP366" i="11"/>
  <c r="CQ366" i="11"/>
  <c r="CR366" i="11"/>
  <c r="CS366" i="11"/>
  <c r="CT366" i="11"/>
  <c r="CU366" i="11"/>
  <c r="CV366" i="11"/>
  <c r="CW366" i="11"/>
  <c r="CX366" i="11"/>
  <c r="CY366" i="11"/>
  <c r="CZ366" i="11"/>
  <c r="DA366" i="11"/>
  <c r="DB366" i="11"/>
  <c r="DC366" i="11"/>
  <c r="DD366" i="11"/>
  <c r="DE366" i="11"/>
  <c r="DF366" i="11"/>
  <c r="DG366" i="11"/>
  <c r="DH366" i="11"/>
  <c r="DI366" i="11"/>
  <c r="DJ366" i="11"/>
  <c r="DK366" i="11"/>
  <c r="DL366" i="11"/>
  <c r="DM366" i="11"/>
  <c r="DN366" i="11"/>
  <c r="DO366" i="11"/>
  <c r="DP366" i="11"/>
  <c r="DQ366" i="11"/>
  <c r="DR366" i="11"/>
  <c r="DS366" i="11"/>
  <c r="DT366" i="11"/>
  <c r="DU366" i="11"/>
  <c r="DV366" i="11"/>
  <c r="DW366" i="11"/>
  <c r="DX366" i="11"/>
  <c r="DY366" i="11"/>
  <c r="DZ366" i="11"/>
  <c r="EA366" i="11"/>
  <c r="EB366" i="11"/>
  <c r="EC366" i="11"/>
  <c r="ED366" i="11"/>
  <c r="EE366" i="11"/>
  <c r="EF366" i="11"/>
  <c r="EG366" i="11"/>
  <c r="EH366" i="11"/>
  <c r="EI366" i="11"/>
  <c r="EJ366" i="11"/>
  <c r="EK366" i="11"/>
  <c r="EL366" i="11"/>
  <c r="EM366" i="11"/>
  <c r="EN366" i="11"/>
  <c r="EO366" i="11"/>
  <c r="EP366" i="11"/>
  <c r="EQ366" i="11"/>
  <c r="ER366" i="11"/>
  <c r="ES366" i="11"/>
  <c r="ET366" i="11"/>
  <c r="EU366" i="11"/>
  <c r="EV366" i="11"/>
  <c r="EW366" i="11"/>
  <c r="EX366" i="11"/>
  <c r="EY366" i="11"/>
  <c r="EZ366" i="11"/>
  <c r="FA366" i="11"/>
  <c r="FB366" i="11"/>
  <c r="FC366" i="11"/>
  <c r="FD366" i="11"/>
  <c r="FE366" i="11"/>
  <c r="FF366" i="11"/>
  <c r="FG366" i="11"/>
  <c r="FH366" i="11"/>
  <c r="FI366" i="11"/>
  <c r="FJ366" i="11"/>
  <c r="FK366" i="11"/>
  <c r="FL366" i="11"/>
  <c r="FM366" i="11"/>
  <c r="FN366" i="11"/>
  <c r="FO366" i="11"/>
  <c r="FP366" i="11"/>
  <c r="FQ366" i="11"/>
  <c r="FR366" i="11"/>
  <c r="FS366" i="11"/>
  <c r="FT366" i="11"/>
  <c r="FU366" i="11"/>
  <c r="FV366" i="11"/>
  <c r="FW366" i="11"/>
  <c r="FX366" i="11"/>
  <c r="FY366" i="11"/>
  <c r="FZ366" i="11"/>
  <c r="GA366" i="11"/>
  <c r="GB366" i="11"/>
  <c r="GC366" i="11"/>
  <c r="GD366" i="11"/>
  <c r="GE366" i="11"/>
  <c r="GF366" i="11"/>
  <c r="GG366" i="11"/>
  <c r="GH366" i="11"/>
  <c r="GI366" i="11"/>
  <c r="GJ366" i="11"/>
  <c r="GK366" i="11"/>
  <c r="GL366" i="11"/>
  <c r="GM366" i="11"/>
  <c r="GN366" i="11"/>
  <c r="GO366" i="11"/>
  <c r="GP366" i="11"/>
  <c r="GQ366" i="11"/>
  <c r="GR366" i="11"/>
  <c r="GS366" i="11"/>
  <c r="GT366" i="11"/>
  <c r="GU366" i="11"/>
  <c r="GV366" i="11"/>
  <c r="GW366" i="11"/>
  <c r="GX366" i="11"/>
  <c r="GY366" i="11"/>
  <c r="GZ366" i="11"/>
  <c r="HA366" i="11"/>
  <c r="HB366" i="11"/>
  <c r="HC366" i="11"/>
  <c r="HD366" i="11"/>
  <c r="HE366" i="11"/>
  <c r="HF366" i="11"/>
  <c r="HG366" i="11"/>
  <c r="HH366" i="11"/>
  <c r="HI366" i="11"/>
  <c r="HJ366" i="11"/>
  <c r="HK366" i="11"/>
  <c r="HL366" i="11"/>
  <c r="HM366" i="11"/>
  <c r="HN366" i="11"/>
  <c r="HO366" i="11"/>
  <c r="HP366" i="11"/>
  <c r="HQ366" i="11"/>
  <c r="HR366" i="11"/>
  <c r="HS366" i="11"/>
  <c r="HT366" i="11"/>
  <c r="HU366" i="11"/>
  <c r="HV366" i="11"/>
  <c r="HW366" i="11"/>
  <c r="HX366" i="11"/>
  <c r="HY366" i="11"/>
  <c r="HZ366" i="11"/>
  <c r="IA366" i="11"/>
  <c r="IB366" i="11"/>
  <c r="IC366" i="11"/>
  <c r="ID366" i="11"/>
  <c r="IE366" i="11"/>
  <c r="IF366" i="11"/>
  <c r="IG366" i="11"/>
  <c r="IH366" i="11"/>
  <c r="II366" i="11"/>
  <c r="IJ366" i="11"/>
  <c r="IK366" i="11"/>
  <c r="IL366" i="11"/>
  <c r="IM366" i="11"/>
  <c r="IN366" i="11"/>
  <c r="IO366" i="11"/>
  <c r="IP366" i="11"/>
  <c r="IQ366" i="11"/>
  <c r="IR366" i="11"/>
  <c r="IS366" i="11"/>
  <c r="IT366" i="11"/>
  <c r="IU366" i="11"/>
  <c r="IV366" i="11"/>
  <c r="F367" i="11"/>
  <c r="G367" i="11"/>
  <c r="H367" i="11"/>
  <c r="I367" i="11"/>
  <c r="J367" i="11"/>
  <c r="K367" i="11"/>
  <c r="L367" i="11"/>
  <c r="M367" i="11"/>
  <c r="N367" i="11"/>
  <c r="O367" i="11"/>
  <c r="P367" i="11"/>
  <c r="Q367" i="11"/>
  <c r="R367" i="11"/>
  <c r="S367" i="11"/>
  <c r="T367" i="11"/>
  <c r="U367" i="11"/>
  <c r="V367" i="11"/>
  <c r="W367" i="11"/>
  <c r="X367" i="11"/>
  <c r="Y367" i="11"/>
  <c r="Z367" i="11"/>
  <c r="AA367" i="11"/>
  <c r="AB367" i="11"/>
  <c r="AC367" i="11"/>
  <c r="AD367" i="11"/>
  <c r="AE367" i="11"/>
  <c r="AF367" i="11"/>
  <c r="AG367" i="11"/>
  <c r="AH367" i="11"/>
  <c r="AI367" i="11"/>
  <c r="AJ367" i="11"/>
  <c r="AK367" i="11"/>
  <c r="AL367" i="11"/>
  <c r="AM367" i="11"/>
  <c r="AN367" i="11"/>
  <c r="AO367" i="11"/>
  <c r="AP367" i="11"/>
  <c r="AQ367" i="11"/>
  <c r="AR367" i="11"/>
  <c r="AS367" i="11"/>
  <c r="AT367" i="11"/>
  <c r="AU367" i="11"/>
  <c r="AV367" i="11"/>
  <c r="AW367" i="11"/>
  <c r="AX367" i="11"/>
  <c r="AY367" i="11"/>
  <c r="AZ367" i="11"/>
  <c r="BA367" i="11"/>
  <c r="BB367" i="11"/>
  <c r="BC367" i="11"/>
  <c r="BD367" i="11"/>
  <c r="BE367" i="11"/>
  <c r="BF367" i="11"/>
  <c r="BG367" i="11"/>
  <c r="BH367" i="11"/>
  <c r="BI367" i="11"/>
  <c r="BJ367" i="11"/>
  <c r="BK367" i="11"/>
  <c r="BL367" i="11"/>
  <c r="BM367" i="11"/>
  <c r="BN367" i="11"/>
  <c r="BO367" i="11"/>
  <c r="BP367" i="11"/>
  <c r="BQ367" i="11"/>
  <c r="BR367" i="11"/>
  <c r="BS367" i="11"/>
  <c r="BT367" i="11"/>
  <c r="BU367" i="11"/>
  <c r="BV367" i="11"/>
  <c r="BW367" i="11"/>
  <c r="BX367" i="11"/>
  <c r="BY367" i="11"/>
  <c r="BZ367" i="11"/>
  <c r="CA367" i="11"/>
  <c r="CB367" i="11"/>
  <c r="CC367" i="11"/>
  <c r="CD367" i="11"/>
  <c r="CE367" i="11"/>
  <c r="CF367" i="11"/>
  <c r="CG367" i="11"/>
  <c r="CH367" i="11"/>
  <c r="CI367" i="11"/>
  <c r="CJ367" i="11"/>
  <c r="CK367" i="11"/>
  <c r="CL367" i="11"/>
  <c r="CM367" i="11"/>
  <c r="CN367" i="11"/>
  <c r="CO367" i="11"/>
  <c r="CP367" i="11"/>
  <c r="CQ367" i="11"/>
  <c r="CR367" i="11"/>
  <c r="CS367" i="11"/>
  <c r="CT367" i="11"/>
  <c r="CU367" i="11"/>
  <c r="CV367" i="11"/>
  <c r="CW367" i="11"/>
  <c r="CX367" i="11"/>
  <c r="CY367" i="11"/>
  <c r="CZ367" i="11"/>
  <c r="DA367" i="11"/>
  <c r="DB367" i="11"/>
  <c r="DC367" i="11"/>
  <c r="DD367" i="11"/>
  <c r="DE367" i="11"/>
  <c r="DF367" i="11"/>
  <c r="DG367" i="11"/>
  <c r="DH367" i="11"/>
  <c r="DI367" i="11"/>
  <c r="DJ367" i="11"/>
  <c r="DK367" i="11"/>
  <c r="DL367" i="11"/>
  <c r="DM367" i="11"/>
  <c r="DN367" i="11"/>
  <c r="DO367" i="11"/>
  <c r="DP367" i="11"/>
  <c r="DQ367" i="11"/>
  <c r="DR367" i="11"/>
  <c r="DS367" i="11"/>
  <c r="DT367" i="11"/>
  <c r="DU367" i="11"/>
  <c r="DV367" i="11"/>
  <c r="DW367" i="11"/>
  <c r="DX367" i="11"/>
  <c r="DY367" i="11"/>
  <c r="DZ367" i="11"/>
  <c r="EA367" i="11"/>
  <c r="EB367" i="11"/>
  <c r="EC367" i="11"/>
  <c r="ED367" i="11"/>
  <c r="EE367" i="11"/>
  <c r="EF367" i="11"/>
  <c r="EG367" i="11"/>
  <c r="EH367" i="11"/>
  <c r="EI367" i="11"/>
  <c r="EJ367" i="11"/>
  <c r="EK367" i="11"/>
  <c r="EL367" i="11"/>
  <c r="EM367" i="11"/>
  <c r="EN367" i="11"/>
  <c r="EO367" i="11"/>
  <c r="EP367" i="11"/>
  <c r="EQ367" i="11"/>
  <c r="ER367" i="11"/>
  <c r="ES367" i="11"/>
  <c r="ET367" i="11"/>
  <c r="EU367" i="11"/>
  <c r="EV367" i="11"/>
  <c r="EW367" i="11"/>
  <c r="EX367" i="11"/>
  <c r="EY367" i="11"/>
  <c r="EZ367" i="11"/>
  <c r="FA367" i="11"/>
  <c r="FB367" i="11"/>
  <c r="FC367" i="11"/>
  <c r="FD367" i="11"/>
  <c r="FE367" i="11"/>
  <c r="FF367" i="11"/>
  <c r="FG367" i="11"/>
  <c r="FH367" i="11"/>
  <c r="FI367" i="11"/>
  <c r="FJ367" i="11"/>
  <c r="FK367" i="11"/>
  <c r="FL367" i="11"/>
  <c r="FM367" i="11"/>
  <c r="FN367" i="11"/>
  <c r="FO367" i="11"/>
  <c r="FP367" i="11"/>
  <c r="FQ367" i="11"/>
  <c r="FR367" i="11"/>
  <c r="FS367" i="11"/>
  <c r="FT367" i="11"/>
  <c r="FU367" i="11"/>
  <c r="FV367" i="11"/>
  <c r="FW367" i="11"/>
  <c r="FX367" i="11"/>
  <c r="FY367" i="11"/>
  <c r="FZ367" i="11"/>
  <c r="GA367" i="11"/>
  <c r="GB367" i="11"/>
  <c r="GC367" i="11"/>
  <c r="GD367" i="11"/>
  <c r="GE367" i="11"/>
  <c r="GF367" i="11"/>
  <c r="GG367" i="11"/>
  <c r="GH367" i="11"/>
  <c r="GI367" i="11"/>
  <c r="GJ367" i="11"/>
  <c r="GK367" i="11"/>
  <c r="GL367" i="11"/>
  <c r="GM367" i="11"/>
  <c r="GN367" i="11"/>
  <c r="GO367" i="11"/>
  <c r="GP367" i="11"/>
  <c r="GQ367" i="11"/>
  <c r="GR367" i="11"/>
  <c r="GS367" i="11"/>
  <c r="GT367" i="11"/>
  <c r="GU367" i="11"/>
  <c r="GV367" i="11"/>
  <c r="GW367" i="11"/>
  <c r="GX367" i="11"/>
  <c r="GY367" i="11"/>
  <c r="GZ367" i="11"/>
  <c r="HA367" i="11"/>
  <c r="HB367" i="11"/>
  <c r="HC367" i="11"/>
  <c r="HD367" i="11"/>
  <c r="HE367" i="11"/>
  <c r="HF367" i="11"/>
  <c r="HG367" i="11"/>
  <c r="HH367" i="11"/>
  <c r="HI367" i="11"/>
  <c r="HJ367" i="11"/>
  <c r="HK367" i="11"/>
  <c r="HL367" i="11"/>
  <c r="HM367" i="11"/>
  <c r="HN367" i="11"/>
  <c r="HO367" i="11"/>
  <c r="HP367" i="11"/>
  <c r="HQ367" i="11"/>
  <c r="HR367" i="11"/>
  <c r="HS367" i="11"/>
  <c r="HT367" i="11"/>
  <c r="HU367" i="11"/>
  <c r="HV367" i="11"/>
  <c r="HW367" i="11"/>
  <c r="HX367" i="11"/>
  <c r="HY367" i="11"/>
  <c r="HZ367" i="11"/>
  <c r="IA367" i="11"/>
  <c r="IB367" i="11"/>
  <c r="IC367" i="11"/>
  <c r="ID367" i="11"/>
  <c r="IE367" i="11"/>
  <c r="IF367" i="11"/>
  <c r="IG367" i="11"/>
  <c r="IH367" i="11"/>
  <c r="II367" i="11"/>
  <c r="IJ367" i="11"/>
  <c r="IK367" i="11"/>
  <c r="IL367" i="11"/>
  <c r="IM367" i="11"/>
  <c r="IN367" i="11"/>
  <c r="IO367" i="11"/>
  <c r="IP367" i="11"/>
  <c r="IQ367" i="11"/>
  <c r="IR367" i="11"/>
  <c r="IS367" i="11"/>
  <c r="IT367" i="11"/>
  <c r="IU367" i="11"/>
  <c r="IV367" i="11"/>
  <c r="F368" i="11"/>
  <c r="G368" i="11"/>
  <c r="H368" i="11"/>
  <c r="I368" i="11"/>
  <c r="J368" i="11"/>
  <c r="K368" i="11"/>
  <c r="L368" i="11"/>
  <c r="M368" i="11"/>
  <c r="N368" i="11"/>
  <c r="O368" i="11"/>
  <c r="P368" i="11"/>
  <c r="Q368" i="11"/>
  <c r="R368" i="11"/>
  <c r="S368" i="11"/>
  <c r="T368" i="11"/>
  <c r="U368" i="11"/>
  <c r="V368" i="11"/>
  <c r="W368" i="11"/>
  <c r="X368" i="11"/>
  <c r="Y368" i="11"/>
  <c r="Z368" i="11"/>
  <c r="AA368" i="11"/>
  <c r="AB368" i="11"/>
  <c r="AC368" i="11"/>
  <c r="AD368" i="11"/>
  <c r="AE368" i="11"/>
  <c r="AF368" i="11"/>
  <c r="AG368" i="11"/>
  <c r="AH368" i="11"/>
  <c r="AI368" i="11"/>
  <c r="AJ368" i="11"/>
  <c r="AK368" i="11"/>
  <c r="AL368" i="11"/>
  <c r="AM368" i="11"/>
  <c r="AN368" i="11"/>
  <c r="AO368" i="11"/>
  <c r="AP368" i="11"/>
  <c r="AQ368" i="11"/>
  <c r="AR368" i="11"/>
  <c r="AS368" i="11"/>
  <c r="AT368" i="11"/>
  <c r="AU368" i="11"/>
  <c r="AV368" i="11"/>
  <c r="AW368" i="11"/>
  <c r="AX368" i="11"/>
  <c r="AY368" i="11"/>
  <c r="AZ368" i="11"/>
  <c r="BA368" i="11"/>
  <c r="BB368" i="11"/>
  <c r="BC368" i="11"/>
  <c r="BD368" i="11"/>
  <c r="BE368" i="11"/>
  <c r="BF368" i="11"/>
  <c r="BG368" i="11"/>
  <c r="BH368" i="11"/>
  <c r="BI368" i="11"/>
  <c r="BJ368" i="11"/>
  <c r="BK368" i="11"/>
  <c r="BL368" i="11"/>
  <c r="BM368" i="11"/>
  <c r="BN368" i="11"/>
  <c r="BO368" i="11"/>
  <c r="BP368" i="11"/>
  <c r="BQ368" i="11"/>
  <c r="BR368" i="11"/>
  <c r="BS368" i="11"/>
  <c r="BT368" i="11"/>
  <c r="BU368" i="11"/>
  <c r="BV368" i="11"/>
  <c r="BW368" i="11"/>
  <c r="BX368" i="11"/>
  <c r="BY368" i="11"/>
  <c r="BZ368" i="11"/>
  <c r="CA368" i="11"/>
  <c r="CB368" i="11"/>
  <c r="CC368" i="11"/>
  <c r="CD368" i="11"/>
  <c r="CE368" i="11"/>
  <c r="CF368" i="11"/>
  <c r="CG368" i="11"/>
  <c r="CH368" i="11"/>
  <c r="CI368" i="11"/>
  <c r="CJ368" i="11"/>
  <c r="CK368" i="11"/>
  <c r="CL368" i="11"/>
  <c r="CM368" i="11"/>
  <c r="CN368" i="11"/>
  <c r="CO368" i="11"/>
  <c r="CP368" i="11"/>
  <c r="CQ368" i="11"/>
  <c r="CR368" i="11"/>
  <c r="CS368" i="11"/>
  <c r="CT368" i="11"/>
  <c r="CU368" i="11"/>
  <c r="CV368" i="11"/>
  <c r="CW368" i="11"/>
  <c r="CX368" i="11"/>
  <c r="CY368" i="11"/>
  <c r="CZ368" i="11"/>
  <c r="DA368" i="11"/>
  <c r="DB368" i="11"/>
  <c r="DC368" i="11"/>
  <c r="DD368" i="11"/>
  <c r="DE368" i="11"/>
  <c r="DF368" i="11"/>
  <c r="DG368" i="11"/>
  <c r="DH368" i="11"/>
  <c r="DI368" i="11"/>
  <c r="DJ368" i="11"/>
  <c r="DK368" i="11"/>
  <c r="DL368" i="11"/>
  <c r="DM368" i="11"/>
  <c r="DN368" i="11"/>
  <c r="DO368" i="11"/>
  <c r="DP368" i="11"/>
  <c r="DQ368" i="11"/>
  <c r="DR368" i="11"/>
  <c r="DS368" i="11"/>
  <c r="DT368" i="11"/>
  <c r="DU368" i="11"/>
  <c r="DV368" i="11"/>
  <c r="DW368" i="11"/>
  <c r="DX368" i="11"/>
  <c r="DY368" i="11"/>
  <c r="DZ368" i="11"/>
  <c r="EA368" i="11"/>
  <c r="EB368" i="11"/>
  <c r="EC368" i="11"/>
  <c r="ED368" i="11"/>
  <c r="EE368" i="11"/>
  <c r="EF368" i="11"/>
  <c r="EG368" i="11"/>
  <c r="EH368" i="11"/>
  <c r="EI368" i="11"/>
  <c r="EJ368" i="11"/>
  <c r="EK368" i="11"/>
  <c r="EL368" i="11"/>
  <c r="EM368" i="11"/>
  <c r="EN368" i="11"/>
  <c r="EO368" i="11"/>
  <c r="EP368" i="11"/>
  <c r="EQ368" i="11"/>
  <c r="ER368" i="11"/>
  <c r="ES368" i="11"/>
  <c r="ET368" i="11"/>
  <c r="EU368" i="11"/>
  <c r="EV368" i="11"/>
  <c r="EW368" i="11"/>
  <c r="EX368" i="11"/>
  <c r="EY368" i="11"/>
  <c r="EZ368" i="11"/>
  <c r="FA368" i="11"/>
  <c r="FB368" i="11"/>
  <c r="FC368" i="11"/>
  <c r="FD368" i="11"/>
  <c r="FE368" i="11"/>
  <c r="FF368" i="11"/>
  <c r="FG368" i="11"/>
  <c r="FH368" i="11"/>
  <c r="FI368" i="11"/>
  <c r="FJ368" i="11"/>
  <c r="FK368" i="11"/>
  <c r="FL368" i="11"/>
  <c r="FM368" i="11"/>
  <c r="FN368" i="11"/>
  <c r="FO368" i="11"/>
  <c r="FP368" i="11"/>
  <c r="FQ368" i="11"/>
  <c r="FR368" i="11"/>
  <c r="FS368" i="11"/>
  <c r="FT368" i="11"/>
  <c r="FU368" i="11"/>
  <c r="FV368" i="11"/>
  <c r="FW368" i="11"/>
  <c r="FX368" i="11"/>
  <c r="FY368" i="11"/>
  <c r="FZ368" i="11"/>
  <c r="GA368" i="11"/>
  <c r="GB368" i="11"/>
  <c r="GC368" i="11"/>
  <c r="GD368" i="11"/>
  <c r="GE368" i="11"/>
  <c r="GF368" i="11"/>
  <c r="GG368" i="11"/>
  <c r="GH368" i="11"/>
  <c r="GI368" i="11"/>
  <c r="GJ368" i="11"/>
  <c r="GK368" i="11"/>
  <c r="GL368" i="11"/>
  <c r="GM368" i="11"/>
  <c r="GN368" i="11"/>
  <c r="GO368" i="11"/>
  <c r="GP368" i="11"/>
  <c r="GQ368" i="11"/>
  <c r="GR368" i="11"/>
  <c r="GS368" i="11"/>
  <c r="GT368" i="11"/>
  <c r="GU368" i="11"/>
  <c r="GV368" i="11"/>
  <c r="GW368" i="11"/>
  <c r="GX368" i="11"/>
  <c r="GY368" i="11"/>
  <c r="GZ368" i="11"/>
  <c r="HA368" i="11"/>
  <c r="HB368" i="11"/>
  <c r="HC368" i="11"/>
  <c r="HD368" i="11"/>
  <c r="HE368" i="11"/>
  <c r="HF368" i="11"/>
  <c r="HG368" i="11"/>
  <c r="HH368" i="11"/>
  <c r="HI368" i="11"/>
  <c r="HJ368" i="11"/>
  <c r="HK368" i="11"/>
  <c r="HL368" i="11"/>
  <c r="HM368" i="11"/>
  <c r="HN368" i="11"/>
  <c r="HO368" i="11"/>
  <c r="HP368" i="11"/>
  <c r="HQ368" i="11"/>
  <c r="HR368" i="11"/>
  <c r="HS368" i="11"/>
  <c r="HT368" i="11"/>
  <c r="HU368" i="11"/>
  <c r="HV368" i="11"/>
  <c r="HW368" i="11"/>
  <c r="HX368" i="11"/>
  <c r="HY368" i="11"/>
  <c r="HZ368" i="11"/>
  <c r="IA368" i="11"/>
  <c r="IB368" i="11"/>
  <c r="IC368" i="11"/>
  <c r="ID368" i="11"/>
  <c r="IE368" i="11"/>
  <c r="IF368" i="11"/>
  <c r="IG368" i="11"/>
  <c r="IH368" i="11"/>
  <c r="II368" i="11"/>
  <c r="IJ368" i="11"/>
  <c r="IK368" i="11"/>
  <c r="IL368" i="11"/>
  <c r="IM368" i="11"/>
  <c r="IN368" i="11"/>
  <c r="IO368" i="11"/>
  <c r="IP368" i="11"/>
  <c r="IQ368" i="11"/>
  <c r="IR368" i="11"/>
  <c r="IS368" i="11"/>
  <c r="IT368" i="11"/>
  <c r="IU368" i="11"/>
  <c r="IV368" i="11"/>
  <c r="F369" i="11"/>
  <c r="G369" i="11"/>
  <c r="H369" i="11"/>
  <c r="I369" i="11"/>
  <c r="J369" i="11"/>
  <c r="K369" i="11"/>
  <c r="L369" i="11"/>
  <c r="M369" i="11"/>
  <c r="N369" i="11"/>
  <c r="O369" i="11"/>
  <c r="P369" i="11"/>
  <c r="Q369" i="11"/>
  <c r="R369" i="11"/>
  <c r="S369" i="11"/>
  <c r="T369" i="11"/>
  <c r="U369" i="11"/>
  <c r="V369" i="11"/>
  <c r="W369" i="11"/>
  <c r="X369" i="11"/>
  <c r="Y369" i="11"/>
  <c r="Z369" i="11"/>
  <c r="AA369" i="11"/>
  <c r="AB369" i="11"/>
  <c r="AC369" i="11"/>
  <c r="AD369" i="11"/>
  <c r="AE369" i="11"/>
  <c r="AF369" i="11"/>
  <c r="AG369" i="11"/>
  <c r="AH369" i="11"/>
  <c r="AI369" i="11"/>
  <c r="AJ369" i="11"/>
  <c r="AK369" i="11"/>
  <c r="AL369" i="11"/>
  <c r="AM369" i="11"/>
  <c r="AN369" i="11"/>
  <c r="AO369" i="11"/>
  <c r="AP369" i="11"/>
  <c r="AQ369" i="11"/>
  <c r="AR369" i="11"/>
  <c r="AS369" i="11"/>
  <c r="AT369" i="11"/>
  <c r="AU369" i="11"/>
  <c r="AV369" i="11"/>
  <c r="AW369" i="11"/>
  <c r="AX369" i="11"/>
  <c r="AY369" i="11"/>
  <c r="AZ369" i="11"/>
  <c r="BA369" i="11"/>
  <c r="BB369" i="11"/>
  <c r="BC369" i="11"/>
  <c r="BD369" i="11"/>
  <c r="BE369" i="11"/>
  <c r="BF369" i="11"/>
  <c r="BG369" i="11"/>
  <c r="BH369" i="11"/>
  <c r="BI369" i="11"/>
  <c r="BJ369" i="11"/>
  <c r="BK369" i="11"/>
  <c r="BL369" i="11"/>
  <c r="BM369" i="11"/>
  <c r="BN369" i="11"/>
  <c r="BO369" i="11"/>
  <c r="BP369" i="11"/>
  <c r="BQ369" i="11"/>
  <c r="BR369" i="11"/>
  <c r="BS369" i="11"/>
  <c r="BT369" i="11"/>
  <c r="BU369" i="11"/>
  <c r="BV369" i="11"/>
  <c r="BW369" i="11"/>
  <c r="BX369" i="11"/>
  <c r="BY369" i="11"/>
  <c r="BZ369" i="11"/>
  <c r="CA369" i="11"/>
  <c r="CB369" i="11"/>
  <c r="CC369" i="11"/>
  <c r="CD369" i="11"/>
  <c r="CE369" i="11"/>
  <c r="CF369" i="11"/>
  <c r="CG369" i="11"/>
  <c r="CH369" i="11"/>
  <c r="CI369" i="11"/>
  <c r="CJ369" i="11"/>
  <c r="CK369" i="11"/>
  <c r="CL369" i="11"/>
  <c r="CM369" i="11"/>
  <c r="CN369" i="11"/>
  <c r="CO369" i="11"/>
  <c r="CP369" i="11"/>
  <c r="CQ369" i="11"/>
  <c r="CR369" i="11"/>
  <c r="CS369" i="11"/>
  <c r="CT369" i="11"/>
  <c r="CU369" i="11"/>
  <c r="CV369" i="11"/>
  <c r="CW369" i="11"/>
  <c r="CX369" i="11"/>
  <c r="CY369" i="11"/>
  <c r="CZ369" i="11"/>
  <c r="DA369" i="11"/>
  <c r="DB369" i="11"/>
  <c r="DC369" i="11"/>
  <c r="DD369" i="11"/>
  <c r="DE369" i="11"/>
  <c r="DF369" i="11"/>
  <c r="DG369" i="11"/>
  <c r="DH369" i="11"/>
  <c r="DI369" i="11"/>
  <c r="DJ369" i="11"/>
  <c r="DK369" i="11"/>
  <c r="DL369" i="11"/>
  <c r="DM369" i="11"/>
  <c r="DN369" i="11"/>
  <c r="DO369" i="11"/>
  <c r="DP369" i="11"/>
  <c r="DQ369" i="11"/>
  <c r="DR369" i="11"/>
  <c r="DS369" i="11"/>
  <c r="DT369" i="11"/>
  <c r="DU369" i="11"/>
  <c r="DV369" i="11"/>
  <c r="DW369" i="11"/>
  <c r="DX369" i="11"/>
  <c r="DY369" i="11"/>
  <c r="DZ369" i="11"/>
  <c r="EA369" i="11"/>
  <c r="EB369" i="11"/>
  <c r="EC369" i="11"/>
  <c r="ED369" i="11"/>
  <c r="EE369" i="11"/>
  <c r="EF369" i="11"/>
  <c r="EG369" i="11"/>
  <c r="EH369" i="11"/>
  <c r="EI369" i="11"/>
  <c r="EJ369" i="11"/>
  <c r="EK369" i="11"/>
  <c r="EL369" i="11"/>
  <c r="EM369" i="11"/>
  <c r="EN369" i="11"/>
  <c r="EO369" i="11"/>
  <c r="EP369" i="11"/>
  <c r="EQ369" i="11"/>
  <c r="ER369" i="11"/>
  <c r="ES369" i="11"/>
  <c r="ET369" i="11"/>
  <c r="EU369" i="11"/>
  <c r="EV369" i="11"/>
  <c r="EW369" i="11"/>
  <c r="EX369" i="11"/>
  <c r="EY369" i="11"/>
  <c r="EZ369" i="11"/>
  <c r="FA369" i="11"/>
  <c r="FB369" i="11"/>
  <c r="FC369" i="11"/>
  <c r="FD369" i="11"/>
  <c r="FE369" i="11"/>
  <c r="FF369" i="11"/>
  <c r="FG369" i="11"/>
  <c r="FH369" i="11"/>
  <c r="FI369" i="11"/>
  <c r="FJ369" i="11"/>
  <c r="FK369" i="11"/>
  <c r="FL369" i="11"/>
  <c r="FM369" i="11"/>
  <c r="FN369" i="11"/>
  <c r="FO369" i="11"/>
  <c r="FP369" i="11"/>
  <c r="FQ369" i="11"/>
  <c r="FR369" i="11"/>
  <c r="FS369" i="11"/>
  <c r="FT369" i="11"/>
  <c r="FU369" i="11"/>
  <c r="FV369" i="11"/>
  <c r="FW369" i="11"/>
  <c r="FX369" i="11"/>
  <c r="FY369" i="11"/>
  <c r="FZ369" i="11"/>
  <c r="GA369" i="11"/>
  <c r="GB369" i="11"/>
  <c r="GC369" i="11"/>
  <c r="GD369" i="11"/>
  <c r="GE369" i="11"/>
  <c r="GF369" i="11"/>
  <c r="GG369" i="11"/>
  <c r="GH369" i="11"/>
  <c r="GI369" i="11"/>
  <c r="GJ369" i="11"/>
  <c r="GK369" i="11"/>
  <c r="GL369" i="11"/>
  <c r="GM369" i="11"/>
  <c r="GN369" i="11"/>
  <c r="GO369" i="11"/>
  <c r="GP369" i="11"/>
  <c r="GQ369" i="11"/>
  <c r="GR369" i="11"/>
  <c r="GS369" i="11"/>
  <c r="GT369" i="11"/>
  <c r="GU369" i="11"/>
  <c r="GV369" i="11"/>
  <c r="GW369" i="11"/>
  <c r="GX369" i="11"/>
  <c r="GY369" i="11"/>
  <c r="GZ369" i="11"/>
  <c r="HA369" i="11"/>
  <c r="HB369" i="11"/>
  <c r="HC369" i="11"/>
  <c r="HD369" i="11"/>
  <c r="HE369" i="11"/>
  <c r="HF369" i="11"/>
  <c r="HG369" i="11"/>
  <c r="HH369" i="11"/>
  <c r="HI369" i="11"/>
  <c r="HJ369" i="11"/>
  <c r="HK369" i="11"/>
  <c r="HL369" i="11"/>
  <c r="HM369" i="11"/>
  <c r="HN369" i="11"/>
  <c r="HO369" i="11"/>
  <c r="HP369" i="11"/>
  <c r="HQ369" i="11"/>
  <c r="HR369" i="11"/>
  <c r="HS369" i="11"/>
  <c r="HT369" i="11"/>
  <c r="HU369" i="11"/>
  <c r="HV369" i="11"/>
  <c r="HW369" i="11"/>
  <c r="HX369" i="11"/>
  <c r="HY369" i="11"/>
  <c r="HZ369" i="11"/>
  <c r="IA369" i="11"/>
  <c r="IB369" i="11"/>
  <c r="IC369" i="11"/>
  <c r="ID369" i="11"/>
  <c r="IE369" i="11"/>
  <c r="IF369" i="11"/>
  <c r="IG369" i="11"/>
  <c r="IH369" i="11"/>
  <c r="II369" i="11"/>
  <c r="IJ369" i="11"/>
  <c r="IK369" i="11"/>
  <c r="IL369" i="11"/>
  <c r="IM369" i="11"/>
  <c r="IN369" i="11"/>
  <c r="IO369" i="11"/>
  <c r="IP369" i="11"/>
  <c r="IQ369" i="11"/>
  <c r="IR369" i="11"/>
  <c r="IS369" i="11"/>
  <c r="IT369" i="11"/>
  <c r="IU369" i="11"/>
  <c r="IV369" i="11"/>
  <c r="F370" i="11"/>
  <c r="G370" i="11"/>
  <c r="H370" i="11"/>
  <c r="I370" i="11"/>
  <c r="J370" i="11"/>
  <c r="K370" i="11"/>
  <c r="L370" i="11"/>
  <c r="M370" i="11"/>
  <c r="N370" i="11"/>
  <c r="O370" i="11"/>
  <c r="P370" i="11"/>
  <c r="Q370" i="11"/>
  <c r="R370" i="11"/>
  <c r="S370" i="11"/>
  <c r="T370" i="11"/>
  <c r="U370" i="11"/>
  <c r="V370" i="11"/>
  <c r="W370" i="11"/>
  <c r="X370" i="11"/>
  <c r="Y370" i="11"/>
  <c r="Z370" i="11"/>
  <c r="AA370" i="11"/>
  <c r="AB370" i="11"/>
  <c r="AC370" i="11"/>
  <c r="AD370" i="11"/>
  <c r="AE370" i="11"/>
  <c r="AF370" i="11"/>
  <c r="AG370" i="11"/>
  <c r="AH370" i="11"/>
  <c r="AI370" i="11"/>
  <c r="AJ370" i="11"/>
  <c r="AK370" i="11"/>
  <c r="AL370" i="11"/>
  <c r="AM370" i="11"/>
  <c r="AN370" i="11"/>
  <c r="AO370" i="11"/>
  <c r="AP370" i="11"/>
  <c r="AQ370" i="11"/>
  <c r="AR370" i="11"/>
  <c r="AS370" i="11"/>
  <c r="AT370" i="11"/>
  <c r="AU370" i="11"/>
  <c r="AV370" i="11"/>
  <c r="AW370" i="11"/>
  <c r="AX370" i="11"/>
  <c r="AY370" i="11"/>
  <c r="AZ370" i="11"/>
  <c r="BA370" i="11"/>
  <c r="BB370" i="11"/>
  <c r="BC370" i="11"/>
  <c r="BD370" i="11"/>
  <c r="BE370" i="11"/>
  <c r="BF370" i="11"/>
  <c r="BG370" i="11"/>
  <c r="BH370" i="11"/>
  <c r="BI370" i="11"/>
  <c r="BJ370" i="11"/>
  <c r="BK370" i="11"/>
  <c r="BL370" i="11"/>
  <c r="BM370" i="11"/>
  <c r="BN370" i="11"/>
  <c r="BO370" i="11"/>
  <c r="BP370" i="11"/>
  <c r="BQ370" i="11"/>
  <c r="BR370" i="11"/>
  <c r="BS370" i="11"/>
  <c r="BT370" i="11"/>
  <c r="BU370" i="11"/>
  <c r="BV370" i="11"/>
  <c r="BW370" i="11"/>
  <c r="BX370" i="11"/>
  <c r="BY370" i="11"/>
  <c r="BZ370" i="11"/>
  <c r="CA370" i="11"/>
  <c r="CB370" i="11"/>
  <c r="CC370" i="11"/>
  <c r="CD370" i="11"/>
  <c r="CE370" i="11"/>
  <c r="CF370" i="11"/>
  <c r="CG370" i="11"/>
  <c r="CH370" i="11"/>
  <c r="CI370" i="11"/>
  <c r="CJ370" i="11"/>
  <c r="CK370" i="11"/>
  <c r="CL370" i="11"/>
  <c r="CM370" i="11"/>
  <c r="CN370" i="11"/>
  <c r="CO370" i="11"/>
  <c r="CP370" i="11"/>
  <c r="CQ370" i="11"/>
  <c r="CR370" i="11"/>
  <c r="CS370" i="11"/>
  <c r="CT370" i="11"/>
  <c r="CU370" i="11"/>
  <c r="CV370" i="11"/>
  <c r="CW370" i="11"/>
  <c r="CX370" i="11"/>
  <c r="CY370" i="11"/>
  <c r="CZ370" i="11"/>
  <c r="DA370" i="11"/>
  <c r="DB370" i="11"/>
  <c r="DC370" i="11"/>
  <c r="DD370" i="11"/>
  <c r="DE370" i="11"/>
  <c r="DF370" i="11"/>
  <c r="DG370" i="11"/>
  <c r="DH370" i="11"/>
  <c r="DI370" i="11"/>
  <c r="DJ370" i="11"/>
  <c r="DK370" i="11"/>
  <c r="DL370" i="11"/>
  <c r="DM370" i="11"/>
  <c r="DN370" i="11"/>
  <c r="DO370" i="11"/>
  <c r="DP370" i="11"/>
  <c r="DQ370" i="11"/>
  <c r="DR370" i="11"/>
  <c r="DS370" i="11"/>
  <c r="DT370" i="11"/>
  <c r="DU370" i="11"/>
  <c r="DV370" i="11"/>
  <c r="DW370" i="11"/>
  <c r="DX370" i="11"/>
  <c r="DY370" i="11"/>
  <c r="DZ370" i="11"/>
  <c r="EA370" i="11"/>
  <c r="EB370" i="11"/>
  <c r="EC370" i="11"/>
  <c r="ED370" i="11"/>
  <c r="EE370" i="11"/>
  <c r="EF370" i="11"/>
  <c r="EG370" i="11"/>
  <c r="EH370" i="11"/>
  <c r="EI370" i="11"/>
  <c r="EJ370" i="11"/>
  <c r="EK370" i="11"/>
  <c r="EL370" i="11"/>
  <c r="EM370" i="11"/>
  <c r="EN370" i="11"/>
  <c r="EO370" i="11"/>
  <c r="EP370" i="11"/>
  <c r="EQ370" i="11"/>
  <c r="ER370" i="11"/>
  <c r="ES370" i="11"/>
  <c r="ET370" i="11"/>
  <c r="EU370" i="11"/>
  <c r="EV370" i="11"/>
  <c r="EW370" i="11"/>
  <c r="EX370" i="11"/>
  <c r="EY370" i="11"/>
  <c r="EZ370" i="11"/>
  <c r="FA370" i="11"/>
  <c r="FB370" i="11"/>
  <c r="FC370" i="11"/>
  <c r="FD370" i="11"/>
  <c r="FE370" i="11"/>
  <c r="FF370" i="11"/>
  <c r="FG370" i="11"/>
  <c r="FH370" i="11"/>
  <c r="FI370" i="11"/>
  <c r="FJ370" i="11"/>
  <c r="FK370" i="11"/>
  <c r="FL370" i="11"/>
  <c r="FM370" i="11"/>
  <c r="FN370" i="11"/>
  <c r="FO370" i="11"/>
  <c r="FP370" i="11"/>
  <c r="FQ370" i="11"/>
  <c r="FR370" i="11"/>
  <c r="FS370" i="11"/>
  <c r="FT370" i="11"/>
  <c r="FU370" i="11"/>
  <c r="FV370" i="11"/>
  <c r="FW370" i="11"/>
  <c r="FX370" i="11"/>
  <c r="FY370" i="11"/>
  <c r="FZ370" i="11"/>
  <c r="GA370" i="11"/>
  <c r="GB370" i="11"/>
  <c r="GC370" i="11"/>
  <c r="GD370" i="11"/>
  <c r="GE370" i="11"/>
  <c r="GF370" i="11"/>
  <c r="GG370" i="11"/>
  <c r="GH370" i="11"/>
  <c r="GI370" i="11"/>
  <c r="GJ370" i="11"/>
  <c r="GK370" i="11"/>
  <c r="GL370" i="11"/>
  <c r="GM370" i="11"/>
  <c r="GN370" i="11"/>
  <c r="GO370" i="11"/>
  <c r="GP370" i="11"/>
  <c r="GQ370" i="11"/>
  <c r="GR370" i="11"/>
  <c r="GS370" i="11"/>
  <c r="GT370" i="11"/>
  <c r="GU370" i="11"/>
  <c r="GV370" i="11"/>
  <c r="GW370" i="11"/>
  <c r="GX370" i="11"/>
  <c r="GY370" i="11"/>
  <c r="GZ370" i="11"/>
  <c r="HA370" i="11"/>
  <c r="HB370" i="11"/>
  <c r="HC370" i="11"/>
  <c r="HD370" i="11"/>
  <c r="HE370" i="11"/>
  <c r="HF370" i="11"/>
  <c r="HG370" i="11"/>
  <c r="HH370" i="11"/>
  <c r="HI370" i="11"/>
  <c r="HJ370" i="11"/>
  <c r="HK370" i="11"/>
  <c r="HL370" i="11"/>
  <c r="HM370" i="11"/>
  <c r="HN370" i="11"/>
  <c r="HO370" i="11"/>
  <c r="HP370" i="11"/>
  <c r="HQ370" i="11"/>
  <c r="HR370" i="11"/>
  <c r="HS370" i="11"/>
  <c r="HT370" i="11"/>
  <c r="HU370" i="11"/>
  <c r="HV370" i="11"/>
  <c r="HW370" i="11"/>
  <c r="HX370" i="11"/>
  <c r="HY370" i="11"/>
  <c r="HZ370" i="11"/>
  <c r="IA370" i="11"/>
  <c r="IB370" i="11"/>
  <c r="IC370" i="11"/>
  <c r="ID370" i="11"/>
  <c r="IE370" i="11"/>
  <c r="IF370" i="11"/>
  <c r="IG370" i="11"/>
  <c r="IH370" i="11"/>
  <c r="II370" i="11"/>
  <c r="IJ370" i="11"/>
  <c r="IK370" i="11"/>
  <c r="IL370" i="11"/>
  <c r="IM370" i="11"/>
  <c r="IN370" i="11"/>
  <c r="IO370" i="11"/>
  <c r="IP370" i="11"/>
  <c r="IQ370" i="11"/>
  <c r="IR370" i="11"/>
  <c r="IS370" i="11"/>
  <c r="IT370" i="11"/>
  <c r="IU370" i="11"/>
  <c r="IV370" i="11"/>
  <c r="F371" i="11"/>
  <c r="G371" i="11"/>
  <c r="H371" i="11"/>
  <c r="I371" i="11"/>
  <c r="J371" i="11"/>
  <c r="K371" i="11"/>
  <c r="L371" i="11"/>
  <c r="M371" i="11"/>
  <c r="N371" i="11"/>
  <c r="O371" i="11"/>
  <c r="P371" i="11"/>
  <c r="Q371" i="11"/>
  <c r="R371" i="11"/>
  <c r="S371" i="11"/>
  <c r="T371" i="11"/>
  <c r="U371" i="11"/>
  <c r="V371" i="11"/>
  <c r="W371" i="11"/>
  <c r="X371" i="11"/>
  <c r="Y371" i="11"/>
  <c r="Z371" i="11"/>
  <c r="AA371" i="11"/>
  <c r="AB371" i="11"/>
  <c r="AC371" i="11"/>
  <c r="AD371" i="11"/>
  <c r="AE371" i="11"/>
  <c r="AF371" i="11"/>
  <c r="AG371" i="11"/>
  <c r="AH371" i="11"/>
  <c r="AI371" i="11"/>
  <c r="AJ371" i="11"/>
  <c r="AK371" i="11"/>
  <c r="AL371" i="11"/>
  <c r="AM371" i="11"/>
  <c r="AN371" i="11"/>
  <c r="AO371" i="11"/>
  <c r="AP371" i="11"/>
  <c r="AQ371" i="11"/>
  <c r="AR371" i="11"/>
  <c r="AS371" i="11"/>
  <c r="AT371" i="11"/>
  <c r="AU371" i="11"/>
  <c r="AV371" i="11"/>
  <c r="AW371" i="11"/>
  <c r="AX371" i="11"/>
  <c r="AY371" i="11"/>
  <c r="AZ371" i="11"/>
  <c r="BA371" i="11"/>
  <c r="BB371" i="11"/>
  <c r="BC371" i="11"/>
  <c r="BD371" i="11"/>
  <c r="BE371" i="11"/>
  <c r="BF371" i="11"/>
  <c r="BG371" i="11"/>
  <c r="BH371" i="11"/>
  <c r="BI371" i="11"/>
  <c r="BJ371" i="11"/>
  <c r="BK371" i="11"/>
  <c r="BL371" i="11"/>
  <c r="BM371" i="11"/>
  <c r="BN371" i="11"/>
  <c r="BO371" i="11"/>
  <c r="BP371" i="11"/>
  <c r="BQ371" i="11"/>
  <c r="BR371" i="11"/>
  <c r="BS371" i="11"/>
  <c r="BT371" i="11"/>
  <c r="BU371" i="11"/>
  <c r="BV371" i="11"/>
  <c r="BW371" i="11"/>
  <c r="BX371" i="11"/>
  <c r="BY371" i="11"/>
  <c r="BZ371" i="11"/>
  <c r="CA371" i="11"/>
  <c r="CB371" i="11"/>
  <c r="CC371" i="11"/>
  <c r="CD371" i="11"/>
  <c r="CE371" i="11"/>
  <c r="CF371" i="11"/>
  <c r="CG371" i="11"/>
  <c r="CH371" i="11"/>
  <c r="CI371" i="11"/>
  <c r="CJ371" i="11"/>
  <c r="CK371" i="11"/>
  <c r="CL371" i="11"/>
  <c r="CM371" i="11"/>
  <c r="CN371" i="11"/>
  <c r="CO371" i="11"/>
  <c r="CP371" i="11"/>
  <c r="CQ371" i="11"/>
  <c r="CR371" i="11"/>
  <c r="CS371" i="11"/>
  <c r="CT371" i="11"/>
  <c r="CU371" i="11"/>
  <c r="CV371" i="11"/>
  <c r="CW371" i="11"/>
  <c r="CX371" i="11"/>
  <c r="CY371" i="11"/>
  <c r="CZ371" i="11"/>
  <c r="DA371" i="11"/>
  <c r="DB371" i="11"/>
  <c r="DC371" i="11"/>
  <c r="DD371" i="11"/>
  <c r="DE371" i="11"/>
  <c r="DF371" i="11"/>
  <c r="DG371" i="11"/>
  <c r="DH371" i="11"/>
  <c r="DI371" i="11"/>
  <c r="DJ371" i="11"/>
  <c r="DK371" i="11"/>
  <c r="DL371" i="11"/>
  <c r="DM371" i="11"/>
  <c r="DN371" i="11"/>
  <c r="DO371" i="11"/>
  <c r="DP371" i="11"/>
  <c r="DQ371" i="11"/>
  <c r="DR371" i="11"/>
  <c r="DS371" i="11"/>
  <c r="DT371" i="11"/>
  <c r="DU371" i="11"/>
  <c r="DV371" i="11"/>
  <c r="DW371" i="11"/>
  <c r="DX371" i="11"/>
  <c r="DY371" i="11"/>
  <c r="DZ371" i="11"/>
  <c r="EA371" i="11"/>
  <c r="EB371" i="11"/>
  <c r="EC371" i="11"/>
  <c r="ED371" i="11"/>
  <c r="EE371" i="11"/>
  <c r="EF371" i="11"/>
  <c r="EG371" i="11"/>
  <c r="EH371" i="11"/>
  <c r="EI371" i="11"/>
  <c r="EJ371" i="11"/>
  <c r="EK371" i="11"/>
  <c r="EL371" i="11"/>
  <c r="EM371" i="11"/>
  <c r="EN371" i="11"/>
  <c r="EO371" i="11"/>
  <c r="EP371" i="11"/>
  <c r="EQ371" i="11"/>
  <c r="ER371" i="11"/>
  <c r="ES371" i="11"/>
  <c r="ET371" i="11"/>
  <c r="EU371" i="11"/>
  <c r="EV371" i="11"/>
  <c r="EW371" i="11"/>
  <c r="EX371" i="11"/>
  <c r="EY371" i="11"/>
  <c r="EZ371" i="11"/>
  <c r="FA371" i="11"/>
  <c r="FB371" i="11"/>
  <c r="FC371" i="11"/>
  <c r="FD371" i="11"/>
  <c r="FE371" i="11"/>
  <c r="FF371" i="11"/>
  <c r="FG371" i="11"/>
  <c r="FH371" i="11"/>
  <c r="FI371" i="11"/>
  <c r="FJ371" i="11"/>
  <c r="FK371" i="11"/>
  <c r="FL371" i="11"/>
  <c r="FM371" i="11"/>
  <c r="FN371" i="11"/>
  <c r="FO371" i="11"/>
  <c r="FP371" i="11"/>
  <c r="FQ371" i="11"/>
  <c r="FR371" i="11"/>
  <c r="FS371" i="11"/>
  <c r="FT371" i="11"/>
  <c r="FU371" i="11"/>
  <c r="FV371" i="11"/>
  <c r="FW371" i="11"/>
  <c r="FX371" i="11"/>
  <c r="FY371" i="11"/>
  <c r="FZ371" i="11"/>
  <c r="GA371" i="11"/>
  <c r="GB371" i="11"/>
  <c r="GC371" i="11"/>
  <c r="GD371" i="11"/>
  <c r="GE371" i="11"/>
  <c r="GF371" i="11"/>
  <c r="GG371" i="11"/>
  <c r="GH371" i="11"/>
  <c r="GI371" i="11"/>
  <c r="GJ371" i="11"/>
  <c r="GK371" i="11"/>
  <c r="GL371" i="11"/>
  <c r="GM371" i="11"/>
  <c r="GN371" i="11"/>
  <c r="GO371" i="11"/>
  <c r="GP371" i="11"/>
  <c r="GQ371" i="11"/>
  <c r="GR371" i="11"/>
  <c r="GS371" i="11"/>
  <c r="GT371" i="11"/>
  <c r="GU371" i="11"/>
  <c r="GV371" i="11"/>
  <c r="GW371" i="11"/>
  <c r="GX371" i="11"/>
  <c r="GY371" i="11"/>
  <c r="GZ371" i="11"/>
  <c r="HA371" i="11"/>
  <c r="HB371" i="11"/>
  <c r="HC371" i="11"/>
  <c r="HD371" i="11"/>
  <c r="HE371" i="11"/>
  <c r="HF371" i="11"/>
  <c r="HG371" i="11"/>
  <c r="HH371" i="11"/>
  <c r="HI371" i="11"/>
  <c r="HJ371" i="11"/>
  <c r="HK371" i="11"/>
  <c r="HL371" i="11"/>
  <c r="HM371" i="11"/>
  <c r="HN371" i="11"/>
  <c r="HO371" i="11"/>
  <c r="HP371" i="11"/>
  <c r="HQ371" i="11"/>
  <c r="HR371" i="11"/>
  <c r="HS371" i="11"/>
  <c r="HT371" i="11"/>
  <c r="HU371" i="11"/>
  <c r="HV371" i="11"/>
  <c r="HW371" i="11"/>
  <c r="HX371" i="11"/>
  <c r="HY371" i="11"/>
  <c r="HZ371" i="11"/>
  <c r="IA371" i="11"/>
  <c r="IB371" i="11"/>
  <c r="IC371" i="11"/>
  <c r="ID371" i="11"/>
  <c r="IE371" i="11"/>
  <c r="IF371" i="11"/>
  <c r="IG371" i="11"/>
  <c r="IH371" i="11"/>
  <c r="II371" i="11"/>
  <c r="IJ371" i="11"/>
  <c r="IK371" i="11"/>
  <c r="IL371" i="11"/>
  <c r="IM371" i="11"/>
  <c r="IN371" i="11"/>
  <c r="IO371" i="11"/>
  <c r="IP371" i="11"/>
  <c r="IQ371" i="11"/>
  <c r="IR371" i="11"/>
  <c r="IS371" i="11"/>
  <c r="IT371" i="11"/>
  <c r="IU371" i="11"/>
  <c r="IV371" i="11"/>
  <c r="F372" i="11"/>
  <c r="G372" i="11"/>
  <c r="H372" i="11"/>
  <c r="I372" i="11"/>
  <c r="J372" i="11"/>
  <c r="K372" i="11"/>
  <c r="L372" i="11"/>
  <c r="M372" i="11"/>
  <c r="N372" i="11"/>
  <c r="O372" i="11"/>
  <c r="P372" i="11"/>
  <c r="Q372" i="11"/>
  <c r="R372" i="11"/>
  <c r="S372" i="11"/>
  <c r="T372" i="11"/>
  <c r="U372" i="11"/>
  <c r="V372" i="11"/>
  <c r="W372" i="11"/>
  <c r="X372" i="11"/>
  <c r="Y372" i="11"/>
  <c r="Z372" i="11"/>
  <c r="AA372" i="11"/>
  <c r="AB372" i="11"/>
  <c r="AC372" i="11"/>
  <c r="AD372" i="11"/>
  <c r="AE372" i="11"/>
  <c r="AF372" i="11"/>
  <c r="AG372" i="11"/>
  <c r="AH372" i="11"/>
  <c r="AI372" i="11"/>
  <c r="AJ372" i="11"/>
  <c r="AK372" i="11"/>
  <c r="AL372" i="11"/>
  <c r="AM372" i="11"/>
  <c r="AN372" i="11"/>
  <c r="AO372" i="11"/>
  <c r="AP372" i="11"/>
  <c r="AQ372" i="11"/>
  <c r="AR372" i="11"/>
  <c r="AS372" i="11"/>
  <c r="AT372" i="11"/>
  <c r="AU372" i="11"/>
  <c r="AV372" i="11"/>
  <c r="AW372" i="11"/>
  <c r="AX372" i="11"/>
  <c r="AY372" i="11"/>
  <c r="AZ372" i="11"/>
  <c r="BA372" i="11"/>
  <c r="BB372" i="11"/>
  <c r="BC372" i="11"/>
  <c r="BD372" i="11"/>
  <c r="BE372" i="11"/>
  <c r="BF372" i="11"/>
  <c r="BG372" i="11"/>
  <c r="BH372" i="11"/>
  <c r="BI372" i="11"/>
  <c r="BJ372" i="11"/>
  <c r="BK372" i="11"/>
  <c r="BL372" i="11"/>
  <c r="BM372" i="11"/>
  <c r="BN372" i="11"/>
  <c r="BO372" i="11"/>
  <c r="BP372" i="11"/>
  <c r="BQ372" i="11"/>
  <c r="BR372" i="11"/>
  <c r="BS372" i="11"/>
  <c r="BT372" i="11"/>
  <c r="BU372" i="11"/>
  <c r="BV372" i="11"/>
  <c r="BW372" i="11"/>
  <c r="BX372" i="11"/>
  <c r="BY372" i="11"/>
  <c r="BZ372" i="11"/>
  <c r="CA372" i="11"/>
  <c r="CB372" i="11"/>
  <c r="CC372" i="11"/>
  <c r="CD372" i="11"/>
  <c r="CE372" i="11"/>
  <c r="CF372" i="11"/>
  <c r="CG372" i="11"/>
  <c r="CH372" i="11"/>
  <c r="CI372" i="11"/>
  <c r="CJ372" i="11"/>
  <c r="CK372" i="11"/>
  <c r="CL372" i="11"/>
  <c r="CM372" i="11"/>
  <c r="CN372" i="11"/>
  <c r="CO372" i="11"/>
  <c r="CP372" i="11"/>
  <c r="CQ372" i="11"/>
  <c r="CR372" i="11"/>
  <c r="CS372" i="11"/>
  <c r="CT372" i="11"/>
  <c r="CU372" i="11"/>
  <c r="CV372" i="11"/>
  <c r="CW372" i="11"/>
  <c r="CX372" i="11"/>
  <c r="CY372" i="11"/>
  <c r="CZ372" i="11"/>
  <c r="DA372" i="11"/>
  <c r="DB372" i="11"/>
  <c r="DC372" i="11"/>
  <c r="DD372" i="11"/>
  <c r="DE372" i="11"/>
  <c r="DF372" i="11"/>
  <c r="DG372" i="11"/>
  <c r="DH372" i="11"/>
  <c r="DI372" i="11"/>
  <c r="DJ372" i="11"/>
  <c r="DK372" i="11"/>
  <c r="DL372" i="11"/>
  <c r="DM372" i="11"/>
  <c r="DN372" i="11"/>
  <c r="DO372" i="11"/>
  <c r="DP372" i="11"/>
  <c r="DQ372" i="11"/>
  <c r="DR372" i="11"/>
  <c r="DS372" i="11"/>
  <c r="DT372" i="11"/>
  <c r="DU372" i="11"/>
  <c r="DV372" i="11"/>
  <c r="DW372" i="11"/>
  <c r="DX372" i="11"/>
  <c r="DY372" i="11"/>
  <c r="DZ372" i="11"/>
  <c r="EA372" i="11"/>
  <c r="EB372" i="11"/>
  <c r="EC372" i="11"/>
  <c r="ED372" i="11"/>
  <c r="EE372" i="11"/>
  <c r="EF372" i="11"/>
  <c r="EG372" i="11"/>
  <c r="EH372" i="11"/>
  <c r="EI372" i="11"/>
  <c r="EJ372" i="11"/>
  <c r="EK372" i="11"/>
  <c r="EL372" i="11"/>
  <c r="EM372" i="11"/>
  <c r="EN372" i="11"/>
  <c r="EO372" i="11"/>
  <c r="EP372" i="11"/>
  <c r="EQ372" i="11"/>
  <c r="ER372" i="11"/>
  <c r="ES372" i="11"/>
  <c r="ET372" i="11"/>
  <c r="EU372" i="11"/>
  <c r="EV372" i="11"/>
  <c r="EW372" i="11"/>
  <c r="EX372" i="11"/>
  <c r="EY372" i="11"/>
  <c r="EZ372" i="11"/>
  <c r="FA372" i="11"/>
  <c r="FB372" i="11"/>
  <c r="FC372" i="11"/>
  <c r="FD372" i="11"/>
  <c r="FE372" i="11"/>
  <c r="FF372" i="11"/>
  <c r="FG372" i="11"/>
  <c r="FH372" i="11"/>
  <c r="FI372" i="11"/>
  <c r="FJ372" i="11"/>
  <c r="FK372" i="11"/>
  <c r="FL372" i="11"/>
  <c r="FM372" i="11"/>
  <c r="FN372" i="11"/>
  <c r="FO372" i="11"/>
  <c r="FP372" i="11"/>
  <c r="FQ372" i="11"/>
  <c r="FR372" i="11"/>
  <c r="FS372" i="11"/>
  <c r="FT372" i="11"/>
  <c r="FU372" i="11"/>
  <c r="FV372" i="11"/>
  <c r="FW372" i="11"/>
  <c r="FX372" i="11"/>
  <c r="FY372" i="11"/>
  <c r="FZ372" i="11"/>
  <c r="GA372" i="11"/>
  <c r="GB372" i="11"/>
  <c r="GC372" i="11"/>
  <c r="GD372" i="11"/>
  <c r="GE372" i="11"/>
  <c r="GF372" i="11"/>
  <c r="GG372" i="11"/>
  <c r="GH372" i="11"/>
  <c r="GI372" i="11"/>
  <c r="GJ372" i="11"/>
  <c r="GK372" i="11"/>
  <c r="GL372" i="11"/>
  <c r="GM372" i="11"/>
  <c r="GN372" i="11"/>
  <c r="GO372" i="11"/>
  <c r="GP372" i="11"/>
  <c r="GQ372" i="11"/>
  <c r="GR372" i="11"/>
  <c r="GS372" i="11"/>
  <c r="GT372" i="11"/>
  <c r="GU372" i="11"/>
  <c r="GV372" i="11"/>
  <c r="GW372" i="11"/>
  <c r="GX372" i="11"/>
  <c r="GY372" i="11"/>
  <c r="GZ372" i="11"/>
  <c r="HA372" i="11"/>
  <c r="HB372" i="11"/>
  <c r="HC372" i="11"/>
  <c r="HD372" i="11"/>
  <c r="HE372" i="11"/>
  <c r="HF372" i="11"/>
  <c r="HG372" i="11"/>
  <c r="HH372" i="11"/>
  <c r="HI372" i="11"/>
  <c r="HJ372" i="11"/>
  <c r="HK372" i="11"/>
  <c r="HL372" i="11"/>
  <c r="HM372" i="11"/>
  <c r="HN372" i="11"/>
  <c r="HO372" i="11"/>
  <c r="HP372" i="11"/>
  <c r="HQ372" i="11"/>
  <c r="HR372" i="11"/>
  <c r="HS372" i="11"/>
  <c r="HT372" i="11"/>
  <c r="HU372" i="11"/>
  <c r="HV372" i="11"/>
  <c r="HW372" i="11"/>
  <c r="HX372" i="11"/>
  <c r="HY372" i="11"/>
  <c r="HZ372" i="11"/>
  <c r="IA372" i="11"/>
  <c r="IB372" i="11"/>
  <c r="IC372" i="11"/>
  <c r="ID372" i="11"/>
  <c r="IE372" i="11"/>
  <c r="IF372" i="11"/>
  <c r="IG372" i="11"/>
  <c r="IH372" i="11"/>
  <c r="II372" i="11"/>
  <c r="IJ372" i="11"/>
  <c r="IK372" i="11"/>
  <c r="IL372" i="11"/>
  <c r="IM372" i="11"/>
  <c r="IN372" i="11"/>
  <c r="IO372" i="11"/>
  <c r="IP372" i="11"/>
  <c r="IQ372" i="11"/>
  <c r="IR372" i="11"/>
  <c r="IS372" i="11"/>
  <c r="IT372" i="11"/>
  <c r="IU372" i="11"/>
  <c r="IV372" i="11"/>
  <c r="F373" i="11"/>
  <c r="G373" i="11"/>
  <c r="H373" i="11"/>
  <c r="I373" i="11"/>
  <c r="J373" i="11"/>
  <c r="K373" i="11"/>
  <c r="L373" i="11"/>
  <c r="M373" i="11"/>
  <c r="N373" i="11"/>
  <c r="O373" i="11"/>
  <c r="P373" i="11"/>
  <c r="Q373" i="11"/>
  <c r="R373" i="11"/>
  <c r="S373" i="11"/>
  <c r="T373" i="11"/>
  <c r="U373" i="11"/>
  <c r="V373" i="11"/>
  <c r="W373" i="11"/>
  <c r="X373" i="11"/>
  <c r="Y373" i="11"/>
  <c r="Z373" i="11"/>
  <c r="AA373" i="11"/>
  <c r="AB373" i="11"/>
  <c r="AC373" i="11"/>
  <c r="AD373" i="11"/>
  <c r="AE373" i="11"/>
  <c r="AF373" i="11"/>
  <c r="AG373" i="11"/>
  <c r="AH373" i="11"/>
  <c r="AI373" i="11"/>
  <c r="AJ373" i="11"/>
  <c r="AK373" i="11"/>
  <c r="AL373" i="11"/>
  <c r="AM373" i="11"/>
  <c r="AN373" i="11"/>
  <c r="AO373" i="11"/>
  <c r="AP373" i="11"/>
  <c r="AQ373" i="11"/>
  <c r="AR373" i="11"/>
  <c r="AS373" i="11"/>
  <c r="AT373" i="11"/>
  <c r="AU373" i="11"/>
  <c r="AV373" i="11"/>
  <c r="AW373" i="11"/>
  <c r="AX373" i="11"/>
  <c r="AY373" i="11"/>
  <c r="AZ373" i="11"/>
  <c r="BA373" i="11"/>
  <c r="BB373" i="11"/>
  <c r="BC373" i="11"/>
  <c r="BD373" i="11"/>
  <c r="BE373" i="11"/>
  <c r="BF373" i="11"/>
  <c r="BG373" i="11"/>
  <c r="BH373" i="11"/>
  <c r="BI373" i="11"/>
  <c r="BJ373" i="11"/>
  <c r="BK373" i="11"/>
  <c r="BL373" i="11"/>
  <c r="BM373" i="11"/>
  <c r="BN373" i="11"/>
  <c r="BO373" i="11"/>
  <c r="BP373" i="11"/>
  <c r="BQ373" i="11"/>
  <c r="BR373" i="11"/>
  <c r="BS373" i="11"/>
  <c r="BT373" i="11"/>
  <c r="BU373" i="11"/>
  <c r="BV373" i="11"/>
  <c r="BW373" i="11"/>
  <c r="BX373" i="11"/>
  <c r="BY373" i="11"/>
  <c r="BZ373" i="11"/>
  <c r="CA373" i="11"/>
  <c r="CB373" i="11"/>
  <c r="CC373" i="11"/>
  <c r="CD373" i="11"/>
  <c r="CE373" i="11"/>
  <c r="CF373" i="11"/>
  <c r="CG373" i="11"/>
  <c r="CH373" i="11"/>
  <c r="CI373" i="11"/>
  <c r="CJ373" i="11"/>
  <c r="CK373" i="11"/>
  <c r="CL373" i="11"/>
  <c r="CM373" i="11"/>
  <c r="CN373" i="11"/>
  <c r="CO373" i="11"/>
  <c r="CP373" i="11"/>
  <c r="CQ373" i="11"/>
  <c r="CR373" i="11"/>
  <c r="CS373" i="11"/>
  <c r="CT373" i="11"/>
  <c r="CU373" i="11"/>
  <c r="CV373" i="11"/>
  <c r="CW373" i="11"/>
  <c r="CX373" i="11"/>
  <c r="CY373" i="11"/>
  <c r="CZ373" i="11"/>
  <c r="DA373" i="11"/>
  <c r="DB373" i="11"/>
  <c r="DC373" i="11"/>
  <c r="DD373" i="11"/>
  <c r="DE373" i="11"/>
  <c r="DF373" i="11"/>
  <c r="DG373" i="11"/>
  <c r="DH373" i="11"/>
  <c r="DI373" i="11"/>
  <c r="DJ373" i="11"/>
  <c r="DK373" i="11"/>
  <c r="DL373" i="11"/>
  <c r="DM373" i="11"/>
  <c r="DN373" i="11"/>
  <c r="DO373" i="11"/>
  <c r="DP373" i="11"/>
  <c r="DQ373" i="11"/>
  <c r="DR373" i="11"/>
  <c r="DS373" i="11"/>
  <c r="DT373" i="11"/>
  <c r="DU373" i="11"/>
  <c r="DV373" i="11"/>
  <c r="DW373" i="11"/>
  <c r="DX373" i="11"/>
  <c r="DY373" i="11"/>
  <c r="DZ373" i="11"/>
  <c r="EA373" i="11"/>
  <c r="EB373" i="11"/>
  <c r="EC373" i="11"/>
  <c r="ED373" i="11"/>
  <c r="EE373" i="11"/>
  <c r="EF373" i="11"/>
  <c r="EG373" i="11"/>
  <c r="EH373" i="11"/>
  <c r="EI373" i="11"/>
  <c r="EJ373" i="11"/>
  <c r="EK373" i="11"/>
  <c r="EL373" i="11"/>
  <c r="EM373" i="11"/>
  <c r="EN373" i="11"/>
  <c r="EO373" i="11"/>
  <c r="EP373" i="11"/>
  <c r="EQ373" i="11"/>
  <c r="ER373" i="11"/>
  <c r="ES373" i="11"/>
  <c r="ET373" i="11"/>
  <c r="EU373" i="11"/>
  <c r="EV373" i="11"/>
  <c r="EW373" i="11"/>
  <c r="EX373" i="11"/>
  <c r="EY373" i="11"/>
  <c r="EZ373" i="11"/>
  <c r="FA373" i="11"/>
  <c r="FB373" i="11"/>
  <c r="FC373" i="11"/>
  <c r="FD373" i="11"/>
  <c r="FE373" i="11"/>
  <c r="FF373" i="11"/>
  <c r="FG373" i="11"/>
  <c r="FH373" i="11"/>
  <c r="FI373" i="11"/>
  <c r="FJ373" i="11"/>
  <c r="FK373" i="11"/>
  <c r="FL373" i="11"/>
  <c r="FM373" i="11"/>
  <c r="FN373" i="11"/>
  <c r="FO373" i="11"/>
  <c r="FP373" i="11"/>
  <c r="FQ373" i="11"/>
  <c r="FR373" i="11"/>
  <c r="FS373" i="11"/>
  <c r="FT373" i="11"/>
  <c r="FU373" i="11"/>
  <c r="FV373" i="11"/>
  <c r="FW373" i="11"/>
  <c r="FX373" i="11"/>
  <c r="FY373" i="11"/>
  <c r="FZ373" i="11"/>
  <c r="GA373" i="11"/>
  <c r="GB373" i="11"/>
  <c r="GC373" i="11"/>
  <c r="GD373" i="11"/>
  <c r="GE373" i="11"/>
  <c r="GF373" i="11"/>
  <c r="GG373" i="11"/>
  <c r="GH373" i="11"/>
  <c r="GI373" i="11"/>
  <c r="GJ373" i="11"/>
  <c r="GK373" i="11"/>
  <c r="GL373" i="11"/>
  <c r="GM373" i="11"/>
  <c r="GN373" i="11"/>
  <c r="GO373" i="11"/>
  <c r="GP373" i="11"/>
  <c r="GQ373" i="11"/>
  <c r="GR373" i="11"/>
  <c r="GS373" i="11"/>
  <c r="GT373" i="11"/>
  <c r="GU373" i="11"/>
  <c r="GV373" i="11"/>
  <c r="GW373" i="11"/>
  <c r="GX373" i="11"/>
  <c r="GY373" i="11"/>
  <c r="GZ373" i="11"/>
  <c r="HA373" i="11"/>
  <c r="HB373" i="11"/>
  <c r="HC373" i="11"/>
  <c r="HD373" i="11"/>
  <c r="HE373" i="11"/>
  <c r="HF373" i="11"/>
  <c r="HG373" i="11"/>
  <c r="HH373" i="11"/>
  <c r="HI373" i="11"/>
  <c r="HJ373" i="11"/>
  <c r="HK373" i="11"/>
  <c r="HL373" i="11"/>
  <c r="HM373" i="11"/>
  <c r="HN373" i="11"/>
  <c r="HO373" i="11"/>
  <c r="HP373" i="11"/>
  <c r="HQ373" i="11"/>
  <c r="HR373" i="11"/>
  <c r="HS373" i="11"/>
  <c r="HT373" i="11"/>
  <c r="HU373" i="11"/>
  <c r="HV373" i="11"/>
  <c r="HW373" i="11"/>
  <c r="HX373" i="11"/>
  <c r="HY373" i="11"/>
  <c r="HZ373" i="11"/>
  <c r="IA373" i="11"/>
  <c r="IB373" i="11"/>
  <c r="IC373" i="11"/>
  <c r="ID373" i="11"/>
  <c r="IE373" i="11"/>
  <c r="IF373" i="11"/>
  <c r="IG373" i="11"/>
  <c r="IH373" i="11"/>
  <c r="II373" i="11"/>
  <c r="IJ373" i="11"/>
  <c r="IK373" i="11"/>
  <c r="IL373" i="11"/>
  <c r="IM373" i="11"/>
  <c r="IN373" i="11"/>
  <c r="IO373" i="11"/>
  <c r="IP373" i="11"/>
  <c r="IQ373" i="11"/>
  <c r="IR373" i="11"/>
  <c r="IS373" i="11"/>
  <c r="IT373" i="11"/>
  <c r="IU373" i="11"/>
  <c r="IV373" i="11"/>
  <c r="F374" i="11"/>
  <c r="G374" i="11"/>
  <c r="H374" i="11"/>
  <c r="I374" i="11"/>
  <c r="J374" i="11"/>
  <c r="K374" i="11"/>
  <c r="L374" i="11"/>
  <c r="M374" i="11"/>
  <c r="N374" i="11"/>
  <c r="O374" i="11"/>
  <c r="P374" i="11"/>
  <c r="Q374" i="11"/>
  <c r="R374" i="11"/>
  <c r="S374" i="11"/>
  <c r="T374" i="11"/>
  <c r="U374" i="11"/>
  <c r="V374" i="11"/>
  <c r="W374" i="11"/>
  <c r="X374" i="11"/>
  <c r="Y374" i="11"/>
  <c r="Z374" i="11"/>
  <c r="AA374" i="11"/>
  <c r="AB374" i="11"/>
  <c r="AC374" i="11"/>
  <c r="AD374" i="11"/>
  <c r="AE374" i="11"/>
  <c r="AF374" i="11"/>
  <c r="AG374" i="11"/>
  <c r="AH374" i="11"/>
  <c r="AI374" i="11"/>
  <c r="AJ374" i="11"/>
  <c r="AK374" i="11"/>
  <c r="AL374" i="11"/>
  <c r="AM374" i="11"/>
  <c r="AN374" i="11"/>
  <c r="AO374" i="11"/>
  <c r="AP374" i="11"/>
  <c r="AQ374" i="11"/>
  <c r="AR374" i="11"/>
  <c r="AS374" i="11"/>
  <c r="AT374" i="11"/>
  <c r="AU374" i="11"/>
  <c r="AV374" i="11"/>
  <c r="AW374" i="11"/>
  <c r="AX374" i="11"/>
  <c r="AY374" i="11"/>
  <c r="AZ374" i="11"/>
  <c r="BA374" i="11"/>
  <c r="BB374" i="11"/>
  <c r="BC374" i="11"/>
  <c r="BD374" i="11"/>
  <c r="BE374" i="11"/>
  <c r="BF374" i="11"/>
  <c r="BG374" i="11"/>
  <c r="BH374" i="11"/>
  <c r="BI374" i="11"/>
  <c r="BJ374" i="11"/>
  <c r="BK374" i="11"/>
  <c r="BL374" i="11"/>
  <c r="BM374" i="11"/>
  <c r="BN374" i="11"/>
  <c r="BO374" i="11"/>
  <c r="BP374" i="11"/>
  <c r="BQ374" i="11"/>
  <c r="BR374" i="11"/>
  <c r="BS374" i="11"/>
  <c r="BT374" i="11"/>
  <c r="BU374" i="11"/>
  <c r="BV374" i="11"/>
  <c r="BW374" i="11"/>
  <c r="BX374" i="11"/>
  <c r="BY374" i="11"/>
  <c r="BZ374" i="11"/>
  <c r="CA374" i="11"/>
  <c r="CB374" i="11"/>
  <c r="CC374" i="11"/>
  <c r="CD374" i="11"/>
  <c r="CE374" i="11"/>
  <c r="CF374" i="11"/>
  <c r="CG374" i="11"/>
  <c r="CH374" i="11"/>
  <c r="CI374" i="11"/>
  <c r="CJ374" i="11"/>
  <c r="CK374" i="11"/>
  <c r="CL374" i="11"/>
  <c r="CM374" i="11"/>
  <c r="CN374" i="11"/>
  <c r="CO374" i="11"/>
  <c r="CP374" i="11"/>
  <c r="CQ374" i="11"/>
  <c r="CR374" i="11"/>
  <c r="CS374" i="11"/>
  <c r="CT374" i="11"/>
  <c r="CU374" i="11"/>
  <c r="CV374" i="11"/>
  <c r="CW374" i="11"/>
  <c r="CX374" i="11"/>
  <c r="CY374" i="11"/>
  <c r="CZ374" i="11"/>
  <c r="DA374" i="11"/>
  <c r="DB374" i="11"/>
  <c r="DC374" i="11"/>
  <c r="DD374" i="11"/>
  <c r="DE374" i="11"/>
  <c r="DF374" i="11"/>
  <c r="DG374" i="11"/>
  <c r="DH374" i="11"/>
  <c r="DI374" i="11"/>
  <c r="DJ374" i="11"/>
  <c r="DK374" i="11"/>
  <c r="DL374" i="11"/>
  <c r="DM374" i="11"/>
  <c r="DN374" i="11"/>
  <c r="DO374" i="11"/>
  <c r="DP374" i="11"/>
  <c r="DQ374" i="11"/>
  <c r="DR374" i="11"/>
  <c r="DS374" i="11"/>
  <c r="DT374" i="11"/>
  <c r="DU374" i="11"/>
  <c r="DV374" i="11"/>
  <c r="DW374" i="11"/>
  <c r="DX374" i="11"/>
  <c r="DY374" i="11"/>
  <c r="DZ374" i="11"/>
  <c r="EA374" i="11"/>
  <c r="EB374" i="11"/>
  <c r="EC374" i="11"/>
  <c r="ED374" i="11"/>
  <c r="EE374" i="11"/>
  <c r="EF374" i="11"/>
  <c r="EG374" i="11"/>
  <c r="EH374" i="11"/>
  <c r="EI374" i="11"/>
  <c r="EJ374" i="11"/>
  <c r="EK374" i="11"/>
  <c r="EL374" i="11"/>
  <c r="EM374" i="11"/>
  <c r="EN374" i="11"/>
  <c r="EO374" i="11"/>
  <c r="EP374" i="11"/>
  <c r="EQ374" i="11"/>
  <c r="ER374" i="11"/>
  <c r="ES374" i="11"/>
  <c r="ET374" i="11"/>
  <c r="EU374" i="11"/>
  <c r="EV374" i="11"/>
  <c r="EW374" i="11"/>
  <c r="EX374" i="11"/>
  <c r="EY374" i="11"/>
  <c r="EZ374" i="11"/>
  <c r="FA374" i="11"/>
  <c r="FB374" i="11"/>
  <c r="FC374" i="11"/>
  <c r="FD374" i="11"/>
  <c r="FE374" i="11"/>
  <c r="FF374" i="11"/>
  <c r="FG374" i="11"/>
  <c r="FH374" i="11"/>
  <c r="FI374" i="11"/>
  <c r="FJ374" i="11"/>
  <c r="FK374" i="11"/>
  <c r="FL374" i="11"/>
  <c r="FM374" i="11"/>
  <c r="FN374" i="11"/>
  <c r="FO374" i="11"/>
  <c r="FP374" i="11"/>
  <c r="FQ374" i="11"/>
  <c r="FR374" i="11"/>
  <c r="FS374" i="11"/>
  <c r="FT374" i="11"/>
  <c r="FU374" i="11"/>
  <c r="FV374" i="11"/>
  <c r="FW374" i="11"/>
  <c r="FX374" i="11"/>
  <c r="FY374" i="11"/>
  <c r="FZ374" i="11"/>
  <c r="GA374" i="11"/>
  <c r="GB374" i="11"/>
  <c r="GC374" i="11"/>
  <c r="GD374" i="11"/>
  <c r="GE374" i="11"/>
  <c r="GF374" i="11"/>
  <c r="GG374" i="11"/>
  <c r="GH374" i="11"/>
  <c r="GI374" i="11"/>
  <c r="GJ374" i="11"/>
  <c r="GK374" i="11"/>
  <c r="GL374" i="11"/>
  <c r="GM374" i="11"/>
  <c r="GN374" i="11"/>
  <c r="GO374" i="11"/>
  <c r="GP374" i="11"/>
  <c r="GQ374" i="11"/>
  <c r="GR374" i="11"/>
  <c r="GS374" i="11"/>
  <c r="GT374" i="11"/>
  <c r="GU374" i="11"/>
  <c r="GV374" i="11"/>
  <c r="GW374" i="11"/>
  <c r="GX374" i="11"/>
  <c r="GY374" i="11"/>
  <c r="GZ374" i="11"/>
  <c r="HA374" i="11"/>
  <c r="HB374" i="11"/>
  <c r="HC374" i="11"/>
  <c r="HD374" i="11"/>
  <c r="HE374" i="11"/>
  <c r="HF374" i="11"/>
  <c r="HG374" i="11"/>
  <c r="HH374" i="11"/>
  <c r="HI374" i="11"/>
  <c r="HJ374" i="11"/>
  <c r="HK374" i="11"/>
  <c r="HL374" i="11"/>
  <c r="HM374" i="11"/>
  <c r="HN374" i="11"/>
  <c r="HO374" i="11"/>
  <c r="HP374" i="11"/>
  <c r="HQ374" i="11"/>
  <c r="HR374" i="11"/>
  <c r="HS374" i="11"/>
  <c r="HT374" i="11"/>
  <c r="HU374" i="11"/>
  <c r="HV374" i="11"/>
  <c r="HW374" i="11"/>
  <c r="HX374" i="11"/>
  <c r="HY374" i="11"/>
  <c r="HZ374" i="11"/>
  <c r="IA374" i="11"/>
  <c r="IB374" i="11"/>
  <c r="IC374" i="11"/>
  <c r="ID374" i="11"/>
  <c r="IE374" i="11"/>
  <c r="IF374" i="11"/>
  <c r="IG374" i="11"/>
  <c r="IH374" i="11"/>
  <c r="II374" i="11"/>
  <c r="IJ374" i="11"/>
  <c r="IK374" i="11"/>
  <c r="IL374" i="11"/>
  <c r="IM374" i="11"/>
  <c r="IN374" i="11"/>
  <c r="IO374" i="11"/>
  <c r="IP374" i="11"/>
  <c r="IQ374" i="11"/>
  <c r="IR374" i="11"/>
  <c r="IS374" i="11"/>
  <c r="IT374" i="11"/>
  <c r="IU374" i="11"/>
  <c r="IV374" i="11"/>
  <c r="F375" i="11"/>
  <c r="G375" i="11"/>
  <c r="H375" i="11"/>
  <c r="I375" i="11"/>
  <c r="J375" i="11"/>
  <c r="K375" i="11"/>
  <c r="L375" i="11"/>
  <c r="M375" i="11"/>
  <c r="N375" i="11"/>
  <c r="O375" i="11"/>
  <c r="P375" i="11"/>
  <c r="Q375" i="11"/>
  <c r="R375" i="11"/>
  <c r="S375" i="11"/>
  <c r="T375" i="11"/>
  <c r="U375" i="11"/>
  <c r="V375" i="11"/>
  <c r="W375" i="11"/>
  <c r="X375" i="11"/>
  <c r="Y375" i="11"/>
  <c r="Z375" i="11"/>
  <c r="AA375" i="11"/>
  <c r="AB375" i="11"/>
  <c r="AC375" i="11"/>
  <c r="AD375" i="11"/>
  <c r="AE375" i="11"/>
  <c r="AF375" i="11"/>
  <c r="AG375" i="11"/>
  <c r="AH375" i="11"/>
  <c r="AI375" i="11"/>
  <c r="AJ375" i="11"/>
  <c r="AK375" i="11"/>
  <c r="AL375" i="11"/>
  <c r="AM375" i="11"/>
  <c r="AN375" i="11"/>
  <c r="AO375" i="11"/>
  <c r="AP375" i="11"/>
  <c r="AQ375" i="11"/>
  <c r="AR375" i="11"/>
  <c r="AS375" i="11"/>
  <c r="AT375" i="11"/>
  <c r="AU375" i="11"/>
  <c r="AV375" i="11"/>
  <c r="AW375" i="11"/>
  <c r="AX375" i="11"/>
  <c r="AY375" i="11"/>
  <c r="AZ375" i="11"/>
  <c r="BA375" i="11"/>
  <c r="BB375" i="11"/>
  <c r="BC375" i="11"/>
  <c r="BD375" i="11"/>
  <c r="BE375" i="11"/>
  <c r="BF375" i="11"/>
  <c r="BG375" i="11"/>
  <c r="BH375" i="11"/>
  <c r="BI375" i="11"/>
  <c r="BJ375" i="11"/>
  <c r="BK375" i="11"/>
  <c r="BL375" i="11"/>
  <c r="BM375" i="11"/>
  <c r="BN375" i="11"/>
  <c r="BO375" i="11"/>
  <c r="BP375" i="11"/>
  <c r="BQ375" i="11"/>
  <c r="BR375" i="11"/>
  <c r="BS375" i="11"/>
  <c r="BT375" i="11"/>
  <c r="BU375" i="11"/>
  <c r="BV375" i="11"/>
  <c r="BW375" i="11"/>
  <c r="BX375" i="11"/>
  <c r="BY375" i="11"/>
  <c r="BZ375" i="11"/>
  <c r="CA375" i="11"/>
  <c r="CB375" i="11"/>
  <c r="CC375" i="11"/>
  <c r="CD375" i="11"/>
  <c r="CE375" i="11"/>
  <c r="CF375" i="11"/>
  <c r="CG375" i="11"/>
  <c r="CH375" i="11"/>
  <c r="CI375" i="11"/>
  <c r="CJ375" i="11"/>
  <c r="CK375" i="11"/>
  <c r="CL375" i="11"/>
  <c r="CM375" i="11"/>
  <c r="CN375" i="11"/>
  <c r="CO375" i="11"/>
  <c r="CP375" i="11"/>
  <c r="CQ375" i="11"/>
  <c r="CR375" i="11"/>
  <c r="CS375" i="11"/>
  <c r="CT375" i="11"/>
  <c r="CU375" i="11"/>
  <c r="CV375" i="11"/>
  <c r="CW375" i="11"/>
  <c r="CX375" i="11"/>
  <c r="CY375" i="11"/>
  <c r="CZ375" i="11"/>
  <c r="DA375" i="11"/>
  <c r="DB375" i="11"/>
  <c r="DC375" i="11"/>
  <c r="DD375" i="11"/>
  <c r="DE375" i="11"/>
  <c r="DF375" i="11"/>
  <c r="DG375" i="11"/>
  <c r="DH375" i="11"/>
  <c r="DI375" i="11"/>
  <c r="DJ375" i="11"/>
  <c r="DK375" i="11"/>
  <c r="DL375" i="11"/>
  <c r="DM375" i="11"/>
  <c r="DN375" i="11"/>
  <c r="DO375" i="11"/>
  <c r="DP375" i="11"/>
  <c r="DQ375" i="11"/>
  <c r="DR375" i="11"/>
  <c r="DS375" i="11"/>
  <c r="DT375" i="11"/>
  <c r="DU375" i="11"/>
  <c r="DV375" i="11"/>
  <c r="DW375" i="11"/>
  <c r="DX375" i="11"/>
  <c r="DY375" i="11"/>
  <c r="DZ375" i="11"/>
  <c r="EA375" i="11"/>
  <c r="EB375" i="11"/>
  <c r="EC375" i="11"/>
  <c r="ED375" i="11"/>
  <c r="EE375" i="11"/>
  <c r="EF375" i="11"/>
  <c r="EG375" i="11"/>
  <c r="EH375" i="11"/>
  <c r="EI375" i="11"/>
  <c r="EJ375" i="11"/>
  <c r="EK375" i="11"/>
  <c r="EL375" i="11"/>
  <c r="EM375" i="11"/>
  <c r="EN375" i="11"/>
  <c r="EO375" i="11"/>
  <c r="EP375" i="11"/>
  <c r="EQ375" i="11"/>
  <c r="ER375" i="11"/>
  <c r="ES375" i="11"/>
  <c r="ET375" i="11"/>
  <c r="EU375" i="11"/>
  <c r="EV375" i="11"/>
  <c r="EW375" i="11"/>
  <c r="EX375" i="11"/>
  <c r="EY375" i="11"/>
  <c r="EZ375" i="11"/>
  <c r="FA375" i="11"/>
  <c r="FB375" i="11"/>
  <c r="FC375" i="11"/>
  <c r="FD375" i="11"/>
  <c r="FE375" i="11"/>
  <c r="FF375" i="11"/>
  <c r="FG375" i="11"/>
  <c r="FH375" i="11"/>
  <c r="FI375" i="11"/>
  <c r="FJ375" i="11"/>
  <c r="FK375" i="11"/>
  <c r="FL375" i="11"/>
  <c r="FM375" i="11"/>
  <c r="FN375" i="11"/>
  <c r="FO375" i="11"/>
  <c r="FP375" i="11"/>
  <c r="FQ375" i="11"/>
  <c r="FR375" i="11"/>
  <c r="FS375" i="11"/>
  <c r="FT375" i="11"/>
  <c r="FU375" i="11"/>
  <c r="FV375" i="11"/>
  <c r="FW375" i="11"/>
  <c r="FX375" i="11"/>
  <c r="FY375" i="11"/>
  <c r="FZ375" i="11"/>
  <c r="GA375" i="11"/>
  <c r="GB375" i="11"/>
  <c r="GC375" i="11"/>
  <c r="GD375" i="11"/>
  <c r="GE375" i="11"/>
  <c r="GF375" i="11"/>
  <c r="GG375" i="11"/>
  <c r="GH375" i="11"/>
  <c r="GI375" i="11"/>
  <c r="GJ375" i="11"/>
  <c r="GK375" i="11"/>
  <c r="GL375" i="11"/>
  <c r="GM375" i="11"/>
  <c r="GN375" i="11"/>
  <c r="GO375" i="11"/>
  <c r="GP375" i="11"/>
  <c r="GQ375" i="11"/>
  <c r="GR375" i="11"/>
  <c r="GS375" i="11"/>
  <c r="GT375" i="11"/>
  <c r="GU375" i="11"/>
  <c r="GV375" i="11"/>
  <c r="GW375" i="11"/>
  <c r="GX375" i="11"/>
  <c r="GY375" i="11"/>
  <c r="GZ375" i="11"/>
  <c r="HA375" i="11"/>
  <c r="HB375" i="11"/>
  <c r="HC375" i="11"/>
  <c r="HD375" i="11"/>
  <c r="HE375" i="11"/>
  <c r="HF375" i="11"/>
  <c r="HG375" i="11"/>
  <c r="HH375" i="11"/>
  <c r="HI375" i="11"/>
  <c r="HJ375" i="11"/>
  <c r="HK375" i="11"/>
  <c r="HL375" i="11"/>
  <c r="HM375" i="11"/>
  <c r="HN375" i="11"/>
  <c r="HO375" i="11"/>
  <c r="HP375" i="11"/>
  <c r="HQ375" i="11"/>
  <c r="HR375" i="11"/>
  <c r="HS375" i="11"/>
  <c r="HT375" i="11"/>
  <c r="HU375" i="11"/>
  <c r="HV375" i="11"/>
  <c r="HW375" i="11"/>
  <c r="HX375" i="11"/>
  <c r="HY375" i="11"/>
  <c r="HZ375" i="11"/>
  <c r="IA375" i="11"/>
  <c r="IB375" i="11"/>
  <c r="IC375" i="11"/>
  <c r="ID375" i="11"/>
  <c r="IE375" i="11"/>
  <c r="IF375" i="11"/>
  <c r="IG375" i="11"/>
  <c r="IH375" i="11"/>
  <c r="II375" i="11"/>
  <c r="IJ375" i="11"/>
  <c r="IK375" i="11"/>
  <c r="IL375" i="11"/>
  <c r="IM375" i="11"/>
  <c r="IN375" i="11"/>
  <c r="IO375" i="11"/>
  <c r="IP375" i="11"/>
  <c r="IQ375" i="11"/>
  <c r="IR375" i="11"/>
  <c r="IS375" i="11"/>
  <c r="IT375" i="11"/>
  <c r="IU375" i="11"/>
  <c r="IV375" i="11"/>
  <c r="F376" i="11"/>
  <c r="G376" i="11"/>
  <c r="H376" i="11"/>
  <c r="I376" i="11"/>
  <c r="J376" i="11"/>
  <c r="K376" i="11"/>
  <c r="L376" i="11"/>
  <c r="M376" i="11"/>
  <c r="N376" i="11"/>
  <c r="O376" i="11"/>
  <c r="P376" i="11"/>
  <c r="Q376" i="11"/>
  <c r="R376" i="11"/>
  <c r="S376" i="11"/>
  <c r="T376" i="11"/>
  <c r="U376" i="11"/>
  <c r="V376" i="11"/>
  <c r="W376" i="11"/>
  <c r="X376" i="11"/>
  <c r="Y376" i="11"/>
  <c r="Z376" i="11"/>
  <c r="AA376" i="11"/>
  <c r="AB376" i="11"/>
  <c r="AC376" i="11"/>
  <c r="AD376" i="11"/>
  <c r="AE376" i="11"/>
  <c r="AF376" i="11"/>
  <c r="AG376" i="11"/>
  <c r="AH376" i="11"/>
  <c r="AI376" i="11"/>
  <c r="AJ376" i="11"/>
  <c r="AK376" i="11"/>
  <c r="AL376" i="11"/>
  <c r="AM376" i="11"/>
  <c r="AN376" i="11"/>
  <c r="AO376" i="11"/>
  <c r="AP376" i="11"/>
  <c r="AQ376" i="11"/>
  <c r="AR376" i="11"/>
  <c r="AS376" i="11"/>
  <c r="AT376" i="11"/>
  <c r="AU376" i="11"/>
  <c r="AV376" i="11"/>
  <c r="AW376" i="11"/>
  <c r="AX376" i="11"/>
  <c r="AY376" i="11"/>
  <c r="AZ376" i="11"/>
  <c r="BA376" i="11"/>
  <c r="BB376" i="11"/>
  <c r="BC376" i="11"/>
  <c r="BD376" i="11"/>
  <c r="BE376" i="11"/>
  <c r="BF376" i="11"/>
  <c r="BG376" i="11"/>
  <c r="BH376" i="11"/>
  <c r="BI376" i="11"/>
  <c r="BJ376" i="11"/>
  <c r="BK376" i="11"/>
  <c r="BL376" i="11"/>
  <c r="BM376" i="11"/>
  <c r="BN376" i="11"/>
  <c r="BO376" i="11"/>
  <c r="BP376" i="11"/>
  <c r="BQ376" i="11"/>
  <c r="BR376" i="11"/>
  <c r="BS376" i="11"/>
  <c r="BT376" i="11"/>
  <c r="BU376" i="11"/>
  <c r="BV376" i="11"/>
  <c r="BW376" i="11"/>
  <c r="BX376" i="11"/>
  <c r="BY376" i="11"/>
  <c r="BZ376" i="11"/>
  <c r="CA376" i="11"/>
  <c r="CB376" i="11"/>
  <c r="CC376" i="11"/>
  <c r="CD376" i="11"/>
  <c r="CE376" i="11"/>
  <c r="CF376" i="11"/>
  <c r="CG376" i="11"/>
  <c r="CH376" i="11"/>
  <c r="CI376" i="11"/>
  <c r="CJ376" i="11"/>
  <c r="CK376" i="11"/>
  <c r="CL376" i="11"/>
  <c r="CM376" i="11"/>
  <c r="CN376" i="11"/>
  <c r="CO376" i="11"/>
  <c r="CP376" i="11"/>
  <c r="CQ376" i="11"/>
  <c r="CR376" i="11"/>
  <c r="CS376" i="11"/>
  <c r="CT376" i="11"/>
  <c r="CU376" i="11"/>
  <c r="CV376" i="11"/>
  <c r="CW376" i="11"/>
  <c r="CX376" i="11"/>
  <c r="CY376" i="11"/>
  <c r="CZ376" i="11"/>
  <c r="DA376" i="11"/>
  <c r="DB376" i="11"/>
  <c r="DC376" i="11"/>
  <c r="DD376" i="11"/>
  <c r="DE376" i="11"/>
  <c r="DF376" i="11"/>
  <c r="DG376" i="11"/>
  <c r="DH376" i="11"/>
  <c r="DI376" i="11"/>
  <c r="DJ376" i="11"/>
  <c r="DK376" i="11"/>
  <c r="DL376" i="11"/>
  <c r="DM376" i="11"/>
  <c r="DN376" i="11"/>
  <c r="DO376" i="11"/>
  <c r="DP376" i="11"/>
  <c r="DQ376" i="11"/>
  <c r="DR376" i="11"/>
  <c r="DS376" i="11"/>
  <c r="DT376" i="11"/>
  <c r="DU376" i="11"/>
  <c r="DV376" i="11"/>
  <c r="DW376" i="11"/>
  <c r="DX376" i="11"/>
  <c r="DY376" i="11"/>
  <c r="DZ376" i="11"/>
  <c r="EA376" i="11"/>
  <c r="EB376" i="11"/>
  <c r="EC376" i="11"/>
  <c r="ED376" i="11"/>
  <c r="EE376" i="11"/>
  <c r="EF376" i="11"/>
  <c r="EG376" i="11"/>
  <c r="EH376" i="11"/>
  <c r="EI376" i="11"/>
  <c r="EJ376" i="11"/>
  <c r="EK376" i="11"/>
  <c r="EL376" i="11"/>
  <c r="EM376" i="11"/>
  <c r="EN376" i="11"/>
  <c r="EO376" i="11"/>
  <c r="EP376" i="11"/>
  <c r="EQ376" i="11"/>
  <c r="ER376" i="11"/>
  <c r="ES376" i="11"/>
  <c r="ET376" i="11"/>
  <c r="EU376" i="11"/>
  <c r="EV376" i="11"/>
  <c r="EW376" i="11"/>
  <c r="EX376" i="11"/>
  <c r="EY376" i="11"/>
  <c r="EZ376" i="11"/>
  <c r="FA376" i="11"/>
  <c r="FB376" i="11"/>
  <c r="FC376" i="11"/>
  <c r="FD376" i="11"/>
  <c r="FE376" i="11"/>
  <c r="FF376" i="11"/>
  <c r="FG376" i="11"/>
  <c r="FH376" i="11"/>
  <c r="FI376" i="11"/>
  <c r="FJ376" i="11"/>
  <c r="FK376" i="11"/>
  <c r="FL376" i="11"/>
  <c r="FM376" i="11"/>
  <c r="FN376" i="11"/>
  <c r="FO376" i="11"/>
  <c r="FP376" i="11"/>
  <c r="FQ376" i="11"/>
  <c r="FR376" i="11"/>
  <c r="FS376" i="11"/>
  <c r="FT376" i="11"/>
  <c r="FU376" i="11"/>
  <c r="FV376" i="11"/>
  <c r="FW376" i="11"/>
  <c r="FX376" i="11"/>
  <c r="FY376" i="11"/>
  <c r="FZ376" i="11"/>
  <c r="GA376" i="11"/>
  <c r="GB376" i="11"/>
  <c r="GC376" i="11"/>
  <c r="GD376" i="11"/>
  <c r="GE376" i="11"/>
  <c r="GF376" i="11"/>
  <c r="GG376" i="11"/>
  <c r="GH376" i="11"/>
  <c r="GI376" i="11"/>
  <c r="GJ376" i="11"/>
  <c r="GK376" i="11"/>
  <c r="GL376" i="11"/>
  <c r="GM376" i="11"/>
  <c r="GN376" i="11"/>
  <c r="GO376" i="11"/>
  <c r="GP376" i="11"/>
  <c r="GQ376" i="11"/>
  <c r="GR376" i="11"/>
  <c r="GS376" i="11"/>
  <c r="GT376" i="11"/>
  <c r="GU376" i="11"/>
  <c r="GV376" i="11"/>
  <c r="GW376" i="11"/>
  <c r="GX376" i="11"/>
  <c r="GY376" i="11"/>
  <c r="GZ376" i="11"/>
  <c r="HA376" i="11"/>
  <c r="HB376" i="11"/>
  <c r="HC376" i="11"/>
  <c r="HD376" i="11"/>
  <c r="HE376" i="11"/>
  <c r="HF376" i="11"/>
  <c r="HG376" i="11"/>
  <c r="HH376" i="11"/>
  <c r="HI376" i="11"/>
  <c r="HJ376" i="11"/>
  <c r="HK376" i="11"/>
  <c r="HL376" i="11"/>
  <c r="HM376" i="11"/>
  <c r="HN376" i="11"/>
  <c r="HO376" i="11"/>
  <c r="HP376" i="11"/>
  <c r="HQ376" i="11"/>
  <c r="HR376" i="11"/>
  <c r="HS376" i="11"/>
  <c r="HT376" i="11"/>
  <c r="HU376" i="11"/>
  <c r="HV376" i="11"/>
  <c r="HW376" i="11"/>
  <c r="HX376" i="11"/>
  <c r="HY376" i="11"/>
  <c r="HZ376" i="11"/>
  <c r="IA376" i="11"/>
  <c r="IB376" i="11"/>
  <c r="IC376" i="11"/>
  <c r="ID376" i="11"/>
  <c r="IE376" i="11"/>
  <c r="IF376" i="11"/>
  <c r="IG376" i="11"/>
  <c r="IH376" i="11"/>
  <c r="II376" i="11"/>
  <c r="IJ376" i="11"/>
  <c r="IK376" i="11"/>
  <c r="IL376" i="11"/>
  <c r="IM376" i="11"/>
  <c r="IN376" i="11"/>
  <c r="IO376" i="11"/>
  <c r="IP376" i="11"/>
  <c r="IQ376" i="11"/>
  <c r="IR376" i="11"/>
  <c r="IS376" i="11"/>
  <c r="IT376" i="11"/>
  <c r="IU376" i="11"/>
  <c r="IV376" i="11"/>
  <c r="F377" i="11"/>
  <c r="G377" i="11"/>
  <c r="H377" i="11"/>
  <c r="I377" i="11"/>
  <c r="J377" i="11"/>
  <c r="K377" i="11"/>
  <c r="L377" i="11"/>
  <c r="M377" i="11"/>
  <c r="N377" i="11"/>
  <c r="O377" i="11"/>
  <c r="P377" i="11"/>
  <c r="Q377" i="11"/>
  <c r="R377" i="11"/>
  <c r="S377" i="11"/>
  <c r="T377" i="11"/>
  <c r="U377" i="11"/>
  <c r="V377" i="11"/>
  <c r="W377" i="11"/>
  <c r="X377" i="11"/>
  <c r="Y377" i="11"/>
  <c r="Z377" i="11"/>
  <c r="AA377" i="11"/>
  <c r="AB377" i="11"/>
  <c r="AC377" i="11"/>
  <c r="AD377" i="11"/>
  <c r="AE377" i="11"/>
  <c r="AF377" i="11"/>
  <c r="AG377" i="11"/>
  <c r="AH377" i="11"/>
  <c r="AI377" i="11"/>
  <c r="AJ377" i="11"/>
  <c r="AK377" i="11"/>
  <c r="AL377" i="11"/>
  <c r="AM377" i="11"/>
  <c r="AN377" i="11"/>
  <c r="AO377" i="11"/>
  <c r="AP377" i="11"/>
  <c r="AQ377" i="11"/>
  <c r="AR377" i="11"/>
  <c r="AS377" i="11"/>
  <c r="AT377" i="11"/>
  <c r="AU377" i="11"/>
  <c r="AV377" i="11"/>
  <c r="AW377" i="11"/>
  <c r="AX377" i="11"/>
  <c r="AY377" i="11"/>
  <c r="AZ377" i="11"/>
  <c r="BA377" i="11"/>
  <c r="BB377" i="11"/>
  <c r="BC377" i="11"/>
  <c r="BD377" i="11"/>
  <c r="BE377" i="11"/>
  <c r="BF377" i="11"/>
  <c r="BG377" i="11"/>
  <c r="BH377" i="11"/>
  <c r="BI377" i="11"/>
  <c r="BJ377" i="11"/>
  <c r="BK377" i="11"/>
  <c r="BL377" i="11"/>
  <c r="BM377" i="11"/>
  <c r="BN377" i="11"/>
  <c r="BO377" i="11"/>
  <c r="BP377" i="11"/>
  <c r="BQ377" i="11"/>
  <c r="BR377" i="11"/>
  <c r="BS377" i="11"/>
  <c r="BT377" i="11"/>
  <c r="BU377" i="11"/>
  <c r="BV377" i="11"/>
  <c r="BW377" i="11"/>
  <c r="BX377" i="11"/>
  <c r="BY377" i="11"/>
  <c r="BZ377" i="11"/>
  <c r="CA377" i="11"/>
  <c r="CB377" i="11"/>
  <c r="CC377" i="11"/>
  <c r="CD377" i="11"/>
  <c r="CE377" i="11"/>
  <c r="CF377" i="11"/>
  <c r="CG377" i="11"/>
  <c r="CH377" i="11"/>
  <c r="CI377" i="11"/>
  <c r="CJ377" i="11"/>
  <c r="CK377" i="11"/>
  <c r="CL377" i="11"/>
  <c r="CM377" i="11"/>
  <c r="CN377" i="11"/>
  <c r="CO377" i="11"/>
  <c r="CP377" i="11"/>
  <c r="CQ377" i="11"/>
  <c r="CR377" i="11"/>
  <c r="CS377" i="11"/>
  <c r="CT377" i="11"/>
  <c r="CU377" i="11"/>
  <c r="CV377" i="11"/>
  <c r="CW377" i="11"/>
  <c r="CX377" i="11"/>
  <c r="CY377" i="11"/>
  <c r="CZ377" i="11"/>
  <c r="DA377" i="11"/>
  <c r="DB377" i="11"/>
  <c r="DC377" i="11"/>
  <c r="DD377" i="11"/>
  <c r="DE377" i="11"/>
  <c r="DF377" i="11"/>
  <c r="DG377" i="11"/>
  <c r="DH377" i="11"/>
  <c r="DI377" i="11"/>
  <c r="DJ377" i="11"/>
  <c r="DK377" i="11"/>
  <c r="DL377" i="11"/>
  <c r="DM377" i="11"/>
  <c r="DN377" i="11"/>
  <c r="DO377" i="11"/>
  <c r="DP377" i="11"/>
  <c r="DQ377" i="11"/>
  <c r="DR377" i="11"/>
  <c r="DS377" i="11"/>
  <c r="DT377" i="11"/>
  <c r="DU377" i="11"/>
  <c r="DV377" i="11"/>
  <c r="DW377" i="11"/>
  <c r="DX377" i="11"/>
  <c r="DY377" i="11"/>
  <c r="DZ377" i="11"/>
  <c r="EA377" i="11"/>
  <c r="EB377" i="11"/>
  <c r="EC377" i="11"/>
  <c r="ED377" i="11"/>
  <c r="EE377" i="11"/>
  <c r="EF377" i="11"/>
  <c r="EG377" i="11"/>
  <c r="EH377" i="11"/>
  <c r="EI377" i="11"/>
  <c r="EJ377" i="11"/>
  <c r="EK377" i="11"/>
  <c r="EL377" i="11"/>
  <c r="EM377" i="11"/>
  <c r="EN377" i="11"/>
  <c r="EO377" i="11"/>
  <c r="EP377" i="11"/>
  <c r="EQ377" i="11"/>
  <c r="ER377" i="11"/>
  <c r="ES377" i="11"/>
  <c r="ET377" i="11"/>
  <c r="EU377" i="11"/>
  <c r="EV377" i="11"/>
  <c r="EW377" i="11"/>
  <c r="EX377" i="11"/>
  <c r="EY377" i="11"/>
  <c r="EZ377" i="11"/>
  <c r="FA377" i="11"/>
  <c r="FB377" i="11"/>
  <c r="FC377" i="11"/>
  <c r="FD377" i="11"/>
  <c r="FE377" i="11"/>
  <c r="FF377" i="11"/>
  <c r="FG377" i="11"/>
  <c r="FH377" i="11"/>
  <c r="FI377" i="11"/>
  <c r="FJ377" i="11"/>
  <c r="FK377" i="11"/>
  <c r="FL377" i="11"/>
  <c r="FM377" i="11"/>
  <c r="FN377" i="11"/>
  <c r="FO377" i="11"/>
  <c r="FP377" i="11"/>
  <c r="FQ377" i="11"/>
  <c r="FR377" i="11"/>
  <c r="FS377" i="11"/>
  <c r="FT377" i="11"/>
  <c r="FU377" i="11"/>
  <c r="FV377" i="11"/>
  <c r="FW377" i="11"/>
  <c r="FX377" i="11"/>
  <c r="FY377" i="11"/>
  <c r="FZ377" i="11"/>
  <c r="GA377" i="11"/>
  <c r="GB377" i="11"/>
  <c r="GC377" i="11"/>
  <c r="GD377" i="11"/>
  <c r="GE377" i="11"/>
  <c r="GF377" i="11"/>
  <c r="GG377" i="11"/>
  <c r="GH377" i="11"/>
  <c r="GI377" i="11"/>
  <c r="GJ377" i="11"/>
  <c r="GK377" i="11"/>
  <c r="GL377" i="11"/>
  <c r="GM377" i="11"/>
  <c r="GN377" i="11"/>
  <c r="GO377" i="11"/>
  <c r="GP377" i="11"/>
  <c r="GQ377" i="11"/>
  <c r="GR377" i="11"/>
  <c r="GS377" i="11"/>
  <c r="GT377" i="11"/>
  <c r="GU377" i="11"/>
  <c r="GV377" i="11"/>
  <c r="GW377" i="11"/>
  <c r="GX377" i="11"/>
  <c r="GY377" i="11"/>
  <c r="GZ377" i="11"/>
  <c r="HA377" i="11"/>
  <c r="HB377" i="11"/>
  <c r="HC377" i="11"/>
  <c r="HD377" i="11"/>
  <c r="HE377" i="11"/>
  <c r="HF377" i="11"/>
  <c r="HG377" i="11"/>
  <c r="HH377" i="11"/>
  <c r="HI377" i="11"/>
  <c r="HJ377" i="11"/>
  <c r="HK377" i="11"/>
  <c r="HL377" i="11"/>
  <c r="HM377" i="11"/>
  <c r="HN377" i="11"/>
  <c r="HO377" i="11"/>
  <c r="HP377" i="11"/>
  <c r="HQ377" i="11"/>
  <c r="HR377" i="11"/>
  <c r="HS377" i="11"/>
  <c r="HT377" i="11"/>
  <c r="HU377" i="11"/>
  <c r="HV377" i="11"/>
  <c r="HW377" i="11"/>
  <c r="HX377" i="11"/>
  <c r="HY377" i="11"/>
  <c r="HZ377" i="11"/>
  <c r="IA377" i="11"/>
  <c r="IB377" i="11"/>
  <c r="IC377" i="11"/>
  <c r="ID377" i="11"/>
  <c r="IE377" i="11"/>
  <c r="IF377" i="11"/>
  <c r="IG377" i="11"/>
  <c r="IH377" i="11"/>
  <c r="II377" i="11"/>
  <c r="IJ377" i="11"/>
  <c r="IK377" i="11"/>
  <c r="IL377" i="11"/>
  <c r="IM377" i="11"/>
  <c r="IN377" i="11"/>
  <c r="IO377" i="11"/>
  <c r="IP377" i="11"/>
  <c r="IQ377" i="11"/>
  <c r="IR377" i="11"/>
  <c r="IS377" i="11"/>
  <c r="IT377" i="11"/>
  <c r="IU377" i="11"/>
  <c r="IV377" i="11"/>
  <c r="F378" i="11"/>
  <c r="G378" i="11"/>
  <c r="H378" i="11"/>
  <c r="I378" i="11"/>
  <c r="J378" i="11"/>
  <c r="K378" i="11"/>
  <c r="L378" i="11"/>
  <c r="M378" i="11"/>
  <c r="N378" i="11"/>
  <c r="O378" i="11"/>
  <c r="P378" i="11"/>
  <c r="Q378" i="11"/>
  <c r="R378" i="11"/>
  <c r="S378" i="11"/>
  <c r="T378" i="11"/>
  <c r="U378" i="11"/>
  <c r="V378" i="11"/>
  <c r="W378" i="11"/>
  <c r="X378" i="11"/>
  <c r="Y378" i="11"/>
  <c r="Z378" i="11"/>
  <c r="AA378" i="11"/>
  <c r="AB378" i="11"/>
  <c r="AC378" i="11"/>
  <c r="AD378" i="11"/>
  <c r="AE378" i="11"/>
  <c r="AF378" i="11"/>
  <c r="AG378" i="11"/>
  <c r="AH378" i="11"/>
  <c r="AI378" i="11"/>
  <c r="AJ378" i="11"/>
  <c r="AK378" i="11"/>
  <c r="AL378" i="11"/>
  <c r="AM378" i="11"/>
  <c r="AN378" i="11"/>
  <c r="AO378" i="11"/>
  <c r="AP378" i="11"/>
  <c r="AQ378" i="11"/>
  <c r="AR378" i="11"/>
  <c r="AS378" i="11"/>
  <c r="AT378" i="11"/>
  <c r="AU378" i="11"/>
  <c r="AV378" i="11"/>
  <c r="AW378" i="11"/>
  <c r="AX378" i="11"/>
  <c r="AY378" i="11"/>
  <c r="AZ378" i="11"/>
  <c r="BA378" i="11"/>
  <c r="BB378" i="11"/>
  <c r="BC378" i="11"/>
  <c r="BD378" i="11"/>
  <c r="BE378" i="11"/>
  <c r="BF378" i="11"/>
  <c r="BG378" i="11"/>
  <c r="BH378" i="11"/>
  <c r="BI378" i="11"/>
  <c r="BJ378" i="11"/>
  <c r="BK378" i="11"/>
  <c r="BL378" i="11"/>
  <c r="BM378" i="11"/>
  <c r="BN378" i="11"/>
  <c r="BO378" i="11"/>
  <c r="BP378" i="11"/>
  <c r="BQ378" i="11"/>
  <c r="BR378" i="11"/>
  <c r="BS378" i="11"/>
  <c r="BT378" i="11"/>
  <c r="BU378" i="11"/>
  <c r="BV378" i="11"/>
  <c r="BW378" i="11"/>
  <c r="BX378" i="11"/>
  <c r="BY378" i="11"/>
  <c r="BZ378" i="11"/>
  <c r="CA378" i="11"/>
  <c r="CB378" i="11"/>
  <c r="CC378" i="11"/>
  <c r="CD378" i="11"/>
  <c r="CE378" i="11"/>
  <c r="CF378" i="11"/>
  <c r="CG378" i="11"/>
  <c r="CH378" i="11"/>
  <c r="CI378" i="11"/>
  <c r="CJ378" i="11"/>
  <c r="CK378" i="11"/>
  <c r="CL378" i="11"/>
  <c r="CM378" i="11"/>
  <c r="CN378" i="11"/>
  <c r="CO378" i="11"/>
  <c r="CP378" i="11"/>
  <c r="CQ378" i="11"/>
  <c r="CR378" i="11"/>
  <c r="CS378" i="11"/>
  <c r="CT378" i="11"/>
  <c r="CU378" i="11"/>
  <c r="CV378" i="11"/>
  <c r="CW378" i="11"/>
  <c r="CX378" i="11"/>
  <c r="CY378" i="11"/>
  <c r="CZ378" i="11"/>
  <c r="DA378" i="11"/>
  <c r="DB378" i="11"/>
  <c r="DC378" i="11"/>
  <c r="DD378" i="11"/>
  <c r="DE378" i="11"/>
  <c r="DF378" i="11"/>
  <c r="DG378" i="11"/>
  <c r="DH378" i="11"/>
  <c r="DI378" i="11"/>
  <c r="DJ378" i="11"/>
  <c r="DK378" i="11"/>
  <c r="DL378" i="11"/>
  <c r="DM378" i="11"/>
  <c r="DN378" i="11"/>
  <c r="DO378" i="11"/>
  <c r="DP378" i="11"/>
  <c r="DQ378" i="11"/>
  <c r="DR378" i="11"/>
  <c r="DS378" i="11"/>
  <c r="DT378" i="11"/>
  <c r="DU378" i="11"/>
  <c r="DV378" i="11"/>
  <c r="DW378" i="11"/>
  <c r="DX378" i="11"/>
  <c r="DY378" i="11"/>
  <c r="DZ378" i="11"/>
  <c r="EA378" i="11"/>
  <c r="EB378" i="11"/>
  <c r="EC378" i="11"/>
  <c r="ED378" i="11"/>
  <c r="EE378" i="11"/>
  <c r="EF378" i="11"/>
  <c r="EG378" i="11"/>
  <c r="EH378" i="11"/>
  <c r="EI378" i="11"/>
  <c r="EJ378" i="11"/>
  <c r="EK378" i="11"/>
  <c r="EL378" i="11"/>
  <c r="EM378" i="11"/>
  <c r="EN378" i="11"/>
  <c r="EO378" i="11"/>
  <c r="EP378" i="11"/>
  <c r="EQ378" i="11"/>
  <c r="ER378" i="11"/>
  <c r="ES378" i="11"/>
  <c r="ET378" i="11"/>
  <c r="EU378" i="11"/>
  <c r="EV378" i="11"/>
  <c r="EW378" i="11"/>
  <c r="EX378" i="11"/>
  <c r="EY378" i="11"/>
  <c r="EZ378" i="11"/>
  <c r="FA378" i="11"/>
  <c r="FB378" i="11"/>
  <c r="FC378" i="11"/>
  <c r="FD378" i="11"/>
  <c r="FE378" i="11"/>
  <c r="FF378" i="11"/>
  <c r="FG378" i="11"/>
  <c r="FH378" i="11"/>
  <c r="FI378" i="11"/>
  <c r="FJ378" i="11"/>
  <c r="FK378" i="11"/>
  <c r="FL378" i="11"/>
  <c r="FM378" i="11"/>
  <c r="FN378" i="11"/>
  <c r="FO378" i="11"/>
  <c r="FP378" i="11"/>
  <c r="FQ378" i="11"/>
  <c r="FR378" i="11"/>
  <c r="FS378" i="11"/>
  <c r="FT378" i="11"/>
  <c r="FU378" i="11"/>
  <c r="FV378" i="11"/>
  <c r="FW378" i="11"/>
  <c r="FX378" i="11"/>
  <c r="FY378" i="11"/>
  <c r="FZ378" i="11"/>
  <c r="GA378" i="11"/>
  <c r="GB378" i="11"/>
  <c r="GC378" i="11"/>
  <c r="GD378" i="11"/>
  <c r="GE378" i="11"/>
  <c r="GF378" i="11"/>
  <c r="GG378" i="11"/>
  <c r="GH378" i="11"/>
  <c r="GI378" i="11"/>
  <c r="GJ378" i="11"/>
  <c r="GK378" i="11"/>
  <c r="GL378" i="11"/>
  <c r="GM378" i="11"/>
  <c r="GN378" i="11"/>
  <c r="GO378" i="11"/>
  <c r="GP378" i="11"/>
  <c r="GQ378" i="11"/>
  <c r="GR378" i="11"/>
  <c r="GS378" i="11"/>
  <c r="GT378" i="11"/>
  <c r="GU378" i="11"/>
  <c r="GV378" i="11"/>
  <c r="GW378" i="11"/>
  <c r="GX378" i="11"/>
  <c r="GY378" i="11"/>
  <c r="GZ378" i="11"/>
  <c r="HA378" i="11"/>
  <c r="HB378" i="11"/>
  <c r="HC378" i="11"/>
  <c r="HD378" i="11"/>
  <c r="HE378" i="11"/>
  <c r="HF378" i="11"/>
  <c r="HG378" i="11"/>
  <c r="HH378" i="11"/>
  <c r="HI378" i="11"/>
  <c r="HJ378" i="11"/>
  <c r="HK378" i="11"/>
  <c r="HL378" i="11"/>
  <c r="HM378" i="11"/>
  <c r="HN378" i="11"/>
  <c r="HO378" i="11"/>
  <c r="HP378" i="11"/>
  <c r="HQ378" i="11"/>
  <c r="HR378" i="11"/>
  <c r="HS378" i="11"/>
  <c r="HT378" i="11"/>
  <c r="HU378" i="11"/>
  <c r="HV378" i="11"/>
  <c r="HW378" i="11"/>
  <c r="HX378" i="11"/>
  <c r="HY378" i="11"/>
  <c r="HZ378" i="11"/>
  <c r="IA378" i="11"/>
  <c r="IB378" i="11"/>
  <c r="IC378" i="11"/>
  <c r="ID378" i="11"/>
  <c r="IE378" i="11"/>
  <c r="IF378" i="11"/>
  <c r="IG378" i="11"/>
  <c r="IH378" i="11"/>
  <c r="II378" i="11"/>
  <c r="IJ378" i="11"/>
  <c r="IK378" i="11"/>
  <c r="IL378" i="11"/>
  <c r="IM378" i="11"/>
  <c r="IN378" i="11"/>
  <c r="IO378" i="11"/>
  <c r="IP378" i="11"/>
  <c r="IQ378" i="11"/>
  <c r="IR378" i="11"/>
  <c r="IS378" i="11"/>
  <c r="IT378" i="11"/>
  <c r="IU378" i="11"/>
  <c r="IV378" i="11"/>
  <c r="F379" i="11"/>
  <c r="G379" i="11"/>
  <c r="H379" i="11"/>
  <c r="I379" i="11"/>
  <c r="J379" i="11"/>
  <c r="K379" i="11"/>
  <c r="L379" i="11"/>
  <c r="M379" i="11"/>
  <c r="N379" i="11"/>
  <c r="O379" i="11"/>
  <c r="P379" i="11"/>
  <c r="Q379" i="11"/>
  <c r="R379" i="11"/>
  <c r="S379" i="11"/>
  <c r="T379" i="11"/>
  <c r="U379" i="11"/>
  <c r="V379" i="11"/>
  <c r="W379" i="11"/>
  <c r="X379" i="11"/>
  <c r="Y379" i="11"/>
  <c r="Z379" i="11"/>
  <c r="AA379" i="11"/>
  <c r="AB379" i="11"/>
  <c r="AC379" i="11"/>
  <c r="AD379" i="11"/>
  <c r="AE379" i="11"/>
  <c r="AF379" i="11"/>
  <c r="AG379" i="11"/>
  <c r="AH379" i="11"/>
  <c r="AI379" i="11"/>
  <c r="AJ379" i="11"/>
  <c r="AK379" i="11"/>
  <c r="AL379" i="11"/>
  <c r="AM379" i="11"/>
  <c r="AN379" i="11"/>
  <c r="AO379" i="11"/>
  <c r="AP379" i="11"/>
  <c r="AQ379" i="11"/>
  <c r="AR379" i="11"/>
  <c r="AS379" i="11"/>
  <c r="AT379" i="11"/>
  <c r="AU379" i="11"/>
  <c r="AV379" i="11"/>
  <c r="AW379" i="11"/>
  <c r="AX379" i="11"/>
  <c r="AY379" i="11"/>
  <c r="AZ379" i="11"/>
  <c r="BA379" i="11"/>
  <c r="BB379" i="11"/>
  <c r="BC379" i="11"/>
  <c r="BD379" i="11"/>
  <c r="BE379" i="11"/>
  <c r="BF379" i="11"/>
  <c r="BG379" i="11"/>
  <c r="BH379" i="11"/>
  <c r="BI379" i="11"/>
  <c r="BJ379" i="11"/>
  <c r="BK379" i="11"/>
  <c r="BL379" i="11"/>
  <c r="BM379" i="11"/>
  <c r="BN379" i="11"/>
  <c r="BO379" i="11"/>
  <c r="BP379" i="11"/>
  <c r="BQ379" i="11"/>
  <c r="BR379" i="11"/>
  <c r="BS379" i="11"/>
  <c r="BT379" i="11"/>
  <c r="BU379" i="11"/>
  <c r="BV379" i="11"/>
  <c r="BW379" i="11"/>
  <c r="BX379" i="11"/>
  <c r="BY379" i="11"/>
  <c r="BZ379" i="11"/>
  <c r="CA379" i="11"/>
  <c r="CB379" i="11"/>
  <c r="CC379" i="11"/>
  <c r="CD379" i="11"/>
  <c r="CE379" i="11"/>
  <c r="CF379" i="11"/>
  <c r="CG379" i="11"/>
  <c r="CH379" i="11"/>
  <c r="CI379" i="11"/>
  <c r="CJ379" i="11"/>
  <c r="CK379" i="11"/>
  <c r="CL379" i="11"/>
  <c r="CM379" i="11"/>
  <c r="CN379" i="11"/>
  <c r="CO379" i="11"/>
  <c r="CP379" i="11"/>
  <c r="CQ379" i="11"/>
  <c r="CR379" i="11"/>
  <c r="CS379" i="11"/>
  <c r="CT379" i="11"/>
  <c r="CU379" i="11"/>
  <c r="CV379" i="11"/>
  <c r="CW379" i="11"/>
  <c r="CX379" i="11"/>
  <c r="CY379" i="11"/>
  <c r="CZ379" i="11"/>
  <c r="DA379" i="11"/>
  <c r="DB379" i="11"/>
  <c r="DC379" i="11"/>
  <c r="DD379" i="11"/>
  <c r="DE379" i="11"/>
  <c r="DF379" i="11"/>
  <c r="DG379" i="11"/>
  <c r="DH379" i="11"/>
  <c r="DI379" i="11"/>
  <c r="DJ379" i="11"/>
  <c r="DK379" i="11"/>
  <c r="DL379" i="11"/>
  <c r="DM379" i="11"/>
  <c r="DN379" i="11"/>
  <c r="DO379" i="11"/>
  <c r="DP379" i="11"/>
  <c r="DQ379" i="11"/>
  <c r="DR379" i="11"/>
  <c r="DS379" i="11"/>
  <c r="DT379" i="11"/>
  <c r="DU379" i="11"/>
  <c r="DV379" i="11"/>
  <c r="DW379" i="11"/>
  <c r="DX379" i="11"/>
  <c r="DY379" i="11"/>
  <c r="DZ379" i="11"/>
  <c r="EA379" i="11"/>
  <c r="EB379" i="11"/>
  <c r="EC379" i="11"/>
  <c r="ED379" i="11"/>
  <c r="EE379" i="11"/>
  <c r="EF379" i="11"/>
  <c r="EG379" i="11"/>
  <c r="EH379" i="11"/>
  <c r="EI379" i="11"/>
  <c r="EJ379" i="11"/>
  <c r="EK379" i="11"/>
  <c r="EL379" i="11"/>
  <c r="EM379" i="11"/>
  <c r="EN379" i="11"/>
  <c r="EO379" i="11"/>
  <c r="EP379" i="11"/>
  <c r="EQ379" i="11"/>
  <c r="ER379" i="11"/>
  <c r="ES379" i="11"/>
  <c r="ET379" i="11"/>
  <c r="EU379" i="11"/>
  <c r="EV379" i="11"/>
  <c r="EW379" i="11"/>
  <c r="EX379" i="11"/>
  <c r="EY379" i="11"/>
  <c r="EZ379" i="11"/>
  <c r="FA379" i="11"/>
  <c r="FB379" i="11"/>
  <c r="FC379" i="11"/>
  <c r="FD379" i="11"/>
  <c r="FE379" i="11"/>
  <c r="FF379" i="11"/>
  <c r="FG379" i="11"/>
  <c r="FH379" i="11"/>
  <c r="FI379" i="11"/>
  <c r="FJ379" i="11"/>
  <c r="FK379" i="11"/>
  <c r="FL379" i="11"/>
  <c r="FM379" i="11"/>
  <c r="FN379" i="11"/>
  <c r="FO379" i="11"/>
  <c r="FP379" i="11"/>
  <c r="FQ379" i="11"/>
  <c r="FR379" i="11"/>
  <c r="FS379" i="11"/>
  <c r="FT379" i="11"/>
  <c r="FU379" i="11"/>
  <c r="FV379" i="11"/>
  <c r="FW379" i="11"/>
  <c r="FX379" i="11"/>
  <c r="FY379" i="11"/>
  <c r="FZ379" i="11"/>
  <c r="GA379" i="11"/>
  <c r="GB379" i="11"/>
  <c r="GC379" i="11"/>
  <c r="GD379" i="11"/>
  <c r="GE379" i="11"/>
  <c r="GF379" i="11"/>
  <c r="GG379" i="11"/>
  <c r="GH379" i="11"/>
  <c r="GI379" i="11"/>
  <c r="GJ379" i="11"/>
  <c r="GK379" i="11"/>
  <c r="GL379" i="11"/>
  <c r="GM379" i="11"/>
  <c r="GN379" i="11"/>
  <c r="GO379" i="11"/>
  <c r="GP379" i="11"/>
  <c r="GQ379" i="11"/>
  <c r="GR379" i="11"/>
  <c r="GS379" i="11"/>
  <c r="GT379" i="11"/>
  <c r="GU379" i="11"/>
  <c r="GV379" i="11"/>
  <c r="GW379" i="11"/>
  <c r="GX379" i="11"/>
  <c r="GY379" i="11"/>
  <c r="GZ379" i="11"/>
  <c r="HA379" i="11"/>
  <c r="HB379" i="11"/>
  <c r="HC379" i="11"/>
  <c r="HD379" i="11"/>
  <c r="HE379" i="11"/>
  <c r="HF379" i="11"/>
  <c r="HG379" i="11"/>
  <c r="HH379" i="11"/>
  <c r="HI379" i="11"/>
  <c r="HJ379" i="11"/>
  <c r="HK379" i="11"/>
  <c r="HL379" i="11"/>
  <c r="HM379" i="11"/>
  <c r="HN379" i="11"/>
  <c r="HO379" i="11"/>
  <c r="HP379" i="11"/>
  <c r="HQ379" i="11"/>
  <c r="HR379" i="11"/>
  <c r="HS379" i="11"/>
  <c r="HT379" i="11"/>
  <c r="HU379" i="11"/>
  <c r="HV379" i="11"/>
  <c r="HW379" i="11"/>
  <c r="HX379" i="11"/>
  <c r="HY379" i="11"/>
  <c r="HZ379" i="11"/>
  <c r="IA379" i="11"/>
  <c r="IB379" i="11"/>
  <c r="IC379" i="11"/>
  <c r="ID379" i="11"/>
  <c r="IE379" i="11"/>
  <c r="IF379" i="11"/>
  <c r="IG379" i="11"/>
  <c r="IH379" i="11"/>
  <c r="II379" i="11"/>
  <c r="IJ379" i="11"/>
  <c r="IK379" i="11"/>
  <c r="IL379" i="11"/>
  <c r="IM379" i="11"/>
  <c r="IN379" i="11"/>
  <c r="IO379" i="11"/>
  <c r="IP379" i="11"/>
  <c r="IQ379" i="11"/>
  <c r="IR379" i="11"/>
  <c r="IS379" i="11"/>
  <c r="IT379" i="11"/>
  <c r="IU379" i="11"/>
  <c r="IV379" i="11"/>
  <c r="F380" i="11"/>
  <c r="G380" i="11"/>
  <c r="H380" i="11"/>
  <c r="I380" i="11"/>
  <c r="J380" i="11"/>
  <c r="K380" i="11"/>
  <c r="L380" i="11"/>
  <c r="M380" i="11"/>
  <c r="N380" i="11"/>
  <c r="O380" i="11"/>
  <c r="P380" i="11"/>
  <c r="Q380" i="11"/>
  <c r="R380" i="11"/>
  <c r="S380" i="11"/>
  <c r="T380" i="11"/>
  <c r="U380" i="11"/>
  <c r="V380" i="11"/>
  <c r="W380" i="11"/>
  <c r="X380" i="11"/>
  <c r="Y380" i="11"/>
  <c r="Z380" i="11"/>
  <c r="AA380" i="11"/>
  <c r="AB380" i="11"/>
  <c r="AC380" i="11"/>
  <c r="AD380" i="11"/>
  <c r="AE380" i="11"/>
  <c r="AF380" i="11"/>
  <c r="AG380" i="11"/>
  <c r="AH380" i="11"/>
  <c r="AI380" i="11"/>
  <c r="AJ380" i="11"/>
  <c r="AK380" i="11"/>
  <c r="AL380" i="11"/>
  <c r="AM380" i="11"/>
  <c r="AN380" i="11"/>
  <c r="AO380" i="11"/>
  <c r="AP380" i="11"/>
  <c r="AQ380" i="11"/>
  <c r="AR380" i="11"/>
  <c r="AS380" i="11"/>
  <c r="AT380" i="11"/>
  <c r="AU380" i="11"/>
  <c r="AV380" i="11"/>
  <c r="AW380" i="11"/>
  <c r="AX380" i="11"/>
  <c r="AY380" i="11"/>
  <c r="AZ380" i="11"/>
  <c r="BA380" i="11"/>
  <c r="BB380" i="11"/>
  <c r="BC380" i="11"/>
  <c r="BD380" i="11"/>
  <c r="BE380" i="11"/>
  <c r="BF380" i="11"/>
  <c r="BG380" i="11"/>
  <c r="BH380" i="11"/>
  <c r="BI380" i="11"/>
  <c r="BJ380" i="11"/>
  <c r="BK380" i="11"/>
  <c r="BL380" i="11"/>
  <c r="BM380" i="11"/>
  <c r="BN380" i="11"/>
  <c r="BO380" i="11"/>
  <c r="BP380" i="11"/>
  <c r="BQ380" i="11"/>
  <c r="BR380" i="11"/>
  <c r="BS380" i="11"/>
  <c r="BT380" i="11"/>
  <c r="BU380" i="11"/>
  <c r="BV380" i="11"/>
  <c r="BW380" i="11"/>
  <c r="BX380" i="11"/>
  <c r="BY380" i="11"/>
  <c r="BZ380" i="11"/>
  <c r="CA380" i="11"/>
  <c r="CB380" i="11"/>
  <c r="CC380" i="11"/>
  <c r="CD380" i="11"/>
  <c r="CE380" i="11"/>
  <c r="CF380" i="11"/>
  <c r="CG380" i="11"/>
  <c r="CH380" i="11"/>
  <c r="CI380" i="11"/>
  <c r="CJ380" i="11"/>
  <c r="CK380" i="11"/>
  <c r="CL380" i="11"/>
  <c r="CM380" i="11"/>
  <c r="CN380" i="11"/>
  <c r="CO380" i="11"/>
  <c r="CP380" i="11"/>
  <c r="CQ380" i="11"/>
  <c r="CR380" i="11"/>
  <c r="CS380" i="11"/>
  <c r="CT380" i="11"/>
  <c r="CU380" i="11"/>
  <c r="CV380" i="11"/>
  <c r="CW380" i="11"/>
  <c r="CX380" i="11"/>
  <c r="CY380" i="11"/>
  <c r="CZ380" i="11"/>
  <c r="DA380" i="11"/>
  <c r="DB380" i="11"/>
  <c r="DC380" i="11"/>
  <c r="DD380" i="11"/>
  <c r="DE380" i="11"/>
  <c r="DF380" i="11"/>
  <c r="DG380" i="11"/>
  <c r="DH380" i="11"/>
  <c r="DI380" i="11"/>
  <c r="DJ380" i="11"/>
  <c r="DK380" i="11"/>
  <c r="DL380" i="11"/>
  <c r="DM380" i="11"/>
  <c r="DN380" i="11"/>
  <c r="DO380" i="11"/>
  <c r="DP380" i="11"/>
  <c r="DQ380" i="11"/>
  <c r="DR380" i="11"/>
  <c r="DS380" i="11"/>
  <c r="DT380" i="11"/>
  <c r="DU380" i="11"/>
  <c r="DV380" i="11"/>
  <c r="DW380" i="11"/>
  <c r="DX380" i="11"/>
  <c r="DY380" i="11"/>
  <c r="DZ380" i="11"/>
  <c r="EA380" i="11"/>
  <c r="EB380" i="11"/>
  <c r="EC380" i="11"/>
  <c r="ED380" i="11"/>
  <c r="EE380" i="11"/>
  <c r="EF380" i="11"/>
  <c r="EG380" i="11"/>
  <c r="EH380" i="11"/>
  <c r="EI380" i="11"/>
  <c r="EJ380" i="11"/>
  <c r="EK380" i="11"/>
  <c r="EL380" i="11"/>
  <c r="EM380" i="11"/>
  <c r="EN380" i="11"/>
  <c r="EO380" i="11"/>
  <c r="EP380" i="11"/>
  <c r="EQ380" i="11"/>
  <c r="ER380" i="11"/>
  <c r="ES380" i="11"/>
  <c r="ET380" i="11"/>
  <c r="EU380" i="11"/>
  <c r="EV380" i="11"/>
  <c r="EW380" i="11"/>
  <c r="EX380" i="11"/>
  <c r="EY380" i="11"/>
  <c r="EZ380" i="11"/>
  <c r="FA380" i="11"/>
  <c r="FB380" i="11"/>
  <c r="FC380" i="11"/>
  <c r="FD380" i="11"/>
  <c r="FE380" i="11"/>
  <c r="FF380" i="11"/>
  <c r="FG380" i="11"/>
  <c r="FH380" i="11"/>
  <c r="FI380" i="11"/>
  <c r="FJ380" i="11"/>
  <c r="FK380" i="11"/>
  <c r="FL380" i="11"/>
  <c r="FM380" i="11"/>
  <c r="FN380" i="11"/>
  <c r="FO380" i="11"/>
  <c r="FP380" i="11"/>
  <c r="FQ380" i="11"/>
  <c r="FR380" i="11"/>
  <c r="FS380" i="11"/>
  <c r="FT380" i="11"/>
  <c r="FU380" i="11"/>
  <c r="FV380" i="11"/>
  <c r="FW380" i="11"/>
  <c r="FX380" i="11"/>
  <c r="FY380" i="11"/>
  <c r="FZ380" i="11"/>
  <c r="GA380" i="11"/>
  <c r="GB380" i="11"/>
  <c r="GC380" i="11"/>
  <c r="GD380" i="11"/>
  <c r="GE380" i="11"/>
  <c r="GF380" i="11"/>
  <c r="GG380" i="11"/>
  <c r="GH380" i="11"/>
  <c r="GI380" i="11"/>
  <c r="GJ380" i="11"/>
  <c r="GK380" i="11"/>
  <c r="GL380" i="11"/>
  <c r="GM380" i="11"/>
  <c r="GN380" i="11"/>
  <c r="GO380" i="11"/>
  <c r="GP380" i="11"/>
  <c r="GQ380" i="11"/>
  <c r="GR380" i="11"/>
  <c r="GS380" i="11"/>
  <c r="GT380" i="11"/>
  <c r="GU380" i="11"/>
  <c r="GV380" i="11"/>
  <c r="GW380" i="11"/>
  <c r="GX380" i="11"/>
  <c r="GY380" i="11"/>
  <c r="GZ380" i="11"/>
  <c r="HA380" i="11"/>
  <c r="HB380" i="11"/>
  <c r="HC380" i="11"/>
  <c r="HD380" i="11"/>
  <c r="HE380" i="11"/>
  <c r="HF380" i="11"/>
  <c r="HG380" i="11"/>
  <c r="HH380" i="11"/>
  <c r="HI380" i="11"/>
  <c r="HJ380" i="11"/>
  <c r="HK380" i="11"/>
  <c r="HL380" i="11"/>
  <c r="HM380" i="11"/>
  <c r="HN380" i="11"/>
  <c r="HO380" i="11"/>
  <c r="HP380" i="11"/>
  <c r="HQ380" i="11"/>
  <c r="HR380" i="11"/>
  <c r="HS380" i="11"/>
  <c r="HT380" i="11"/>
  <c r="HU380" i="11"/>
  <c r="HV380" i="11"/>
  <c r="HW380" i="11"/>
  <c r="HX380" i="11"/>
  <c r="HY380" i="11"/>
  <c r="HZ380" i="11"/>
  <c r="IA380" i="11"/>
  <c r="IB380" i="11"/>
  <c r="IC380" i="11"/>
  <c r="ID380" i="11"/>
  <c r="IE380" i="11"/>
  <c r="IF380" i="11"/>
  <c r="IG380" i="11"/>
  <c r="IH380" i="11"/>
  <c r="II380" i="11"/>
  <c r="IJ380" i="11"/>
  <c r="IK380" i="11"/>
  <c r="IL380" i="11"/>
  <c r="IM380" i="11"/>
  <c r="IN380" i="11"/>
  <c r="IO380" i="11"/>
  <c r="IP380" i="11"/>
  <c r="IQ380" i="11"/>
  <c r="IR380" i="11"/>
  <c r="IS380" i="11"/>
  <c r="IT380" i="11"/>
  <c r="IU380" i="11"/>
  <c r="IV380" i="11"/>
  <c r="F381" i="11"/>
  <c r="G381" i="11"/>
  <c r="H381" i="11"/>
  <c r="I381" i="11"/>
  <c r="J381" i="11"/>
  <c r="K381" i="11"/>
  <c r="L381" i="11"/>
  <c r="M381" i="11"/>
  <c r="N381" i="11"/>
  <c r="O381" i="11"/>
  <c r="P381" i="11"/>
  <c r="Q381" i="11"/>
  <c r="R381" i="11"/>
  <c r="S381" i="11"/>
  <c r="T381" i="11"/>
  <c r="U381" i="11"/>
  <c r="V381" i="11"/>
  <c r="W381" i="11"/>
  <c r="X381" i="11"/>
  <c r="Y381" i="11"/>
  <c r="Z381" i="11"/>
  <c r="AA381" i="11"/>
  <c r="AB381" i="11"/>
  <c r="AC381" i="11"/>
  <c r="AD381" i="11"/>
  <c r="AE381" i="11"/>
  <c r="AF381" i="11"/>
  <c r="AG381" i="11"/>
  <c r="AH381" i="11"/>
  <c r="AI381" i="11"/>
  <c r="AJ381" i="11"/>
  <c r="AK381" i="11"/>
  <c r="AL381" i="11"/>
  <c r="AM381" i="11"/>
  <c r="AN381" i="11"/>
  <c r="AO381" i="11"/>
  <c r="AP381" i="11"/>
  <c r="AQ381" i="11"/>
  <c r="AR381" i="11"/>
  <c r="AS381" i="11"/>
  <c r="AT381" i="11"/>
  <c r="AU381" i="11"/>
  <c r="AV381" i="11"/>
  <c r="AW381" i="11"/>
  <c r="AX381" i="11"/>
  <c r="AY381" i="11"/>
  <c r="AZ381" i="11"/>
  <c r="BA381" i="11"/>
  <c r="BB381" i="11"/>
  <c r="BC381" i="11"/>
  <c r="BD381" i="11"/>
  <c r="BE381" i="11"/>
  <c r="BF381" i="11"/>
  <c r="BG381" i="11"/>
  <c r="BH381" i="11"/>
  <c r="BI381" i="11"/>
  <c r="BJ381" i="11"/>
  <c r="BK381" i="11"/>
  <c r="BL381" i="11"/>
  <c r="BM381" i="11"/>
  <c r="BN381" i="11"/>
  <c r="BO381" i="11"/>
  <c r="BP381" i="11"/>
  <c r="BQ381" i="11"/>
  <c r="BR381" i="11"/>
  <c r="BS381" i="11"/>
  <c r="BT381" i="11"/>
  <c r="BU381" i="11"/>
  <c r="BV381" i="11"/>
  <c r="BW381" i="11"/>
  <c r="BX381" i="11"/>
  <c r="BY381" i="11"/>
  <c r="BZ381" i="11"/>
  <c r="CA381" i="11"/>
  <c r="CB381" i="11"/>
  <c r="CC381" i="11"/>
  <c r="CD381" i="11"/>
  <c r="CE381" i="11"/>
  <c r="CF381" i="11"/>
  <c r="CG381" i="11"/>
  <c r="CH381" i="11"/>
  <c r="CI381" i="11"/>
  <c r="CJ381" i="11"/>
  <c r="CK381" i="11"/>
  <c r="CL381" i="11"/>
  <c r="CM381" i="11"/>
  <c r="CN381" i="11"/>
  <c r="CO381" i="11"/>
  <c r="CP381" i="11"/>
  <c r="CQ381" i="11"/>
  <c r="CR381" i="11"/>
  <c r="CS381" i="11"/>
  <c r="CT381" i="11"/>
  <c r="CU381" i="11"/>
  <c r="CV381" i="11"/>
  <c r="CW381" i="11"/>
  <c r="CX381" i="11"/>
  <c r="CY381" i="11"/>
  <c r="CZ381" i="11"/>
  <c r="DA381" i="11"/>
  <c r="DB381" i="11"/>
  <c r="DC381" i="11"/>
  <c r="DD381" i="11"/>
  <c r="DE381" i="11"/>
  <c r="DF381" i="11"/>
  <c r="DG381" i="11"/>
  <c r="DH381" i="11"/>
  <c r="DI381" i="11"/>
  <c r="DJ381" i="11"/>
  <c r="DK381" i="11"/>
  <c r="DL381" i="11"/>
  <c r="DM381" i="11"/>
  <c r="DN381" i="11"/>
  <c r="DO381" i="11"/>
  <c r="DP381" i="11"/>
  <c r="DQ381" i="11"/>
  <c r="DR381" i="11"/>
  <c r="DS381" i="11"/>
  <c r="DT381" i="11"/>
  <c r="DU381" i="11"/>
  <c r="DV381" i="11"/>
  <c r="DW381" i="11"/>
  <c r="DX381" i="11"/>
  <c r="DY381" i="11"/>
  <c r="DZ381" i="11"/>
  <c r="EA381" i="11"/>
  <c r="EB381" i="11"/>
  <c r="EC381" i="11"/>
  <c r="ED381" i="11"/>
  <c r="EE381" i="11"/>
  <c r="EF381" i="11"/>
  <c r="EG381" i="11"/>
  <c r="EH381" i="11"/>
  <c r="EI381" i="11"/>
  <c r="EJ381" i="11"/>
  <c r="EK381" i="11"/>
  <c r="EL381" i="11"/>
  <c r="EM381" i="11"/>
  <c r="EN381" i="11"/>
  <c r="EO381" i="11"/>
  <c r="EP381" i="11"/>
  <c r="EQ381" i="11"/>
  <c r="ER381" i="11"/>
  <c r="ES381" i="11"/>
  <c r="ET381" i="11"/>
  <c r="EU381" i="11"/>
  <c r="EV381" i="11"/>
  <c r="EW381" i="11"/>
  <c r="EX381" i="11"/>
  <c r="EY381" i="11"/>
  <c r="EZ381" i="11"/>
  <c r="FA381" i="11"/>
  <c r="FB381" i="11"/>
  <c r="FC381" i="11"/>
  <c r="FD381" i="11"/>
  <c r="FE381" i="11"/>
  <c r="FF381" i="11"/>
  <c r="FG381" i="11"/>
  <c r="FH381" i="11"/>
  <c r="FI381" i="11"/>
  <c r="FJ381" i="11"/>
  <c r="FK381" i="11"/>
  <c r="FL381" i="11"/>
  <c r="FM381" i="11"/>
  <c r="FN381" i="11"/>
  <c r="FO381" i="11"/>
  <c r="FP381" i="11"/>
  <c r="FQ381" i="11"/>
  <c r="FR381" i="11"/>
  <c r="FS381" i="11"/>
  <c r="FT381" i="11"/>
  <c r="FU381" i="11"/>
  <c r="FV381" i="11"/>
  <c r="FW381" i="11"/>
  <c r="FX381" i="11"/>
  <c r="FY381" i="11"/>
  <c r="FZ381" i="11"/>
  <c r="GA381" i="11"/>
  <c r="GB381" i="11"/>
  <c r="GC381" i="11"/>
  <c r="GD381" i="11"/>
  <c r="GE381" i="11"/>
  <c r="GF381" i="11"/>
  <c r="GG381" i="11"/>
  <c r="GH381" i="11"/>
  <c r="GI381" i="11"/>
  <c r="GJ381" i="11"/>
  <c r="GK381" i="11"/>
  <c r="GL381" i="11"/>
  <c r="GM381" i="11"/>
  <c r="GN381" i="11"/>
  <c r="GO381" i="11"/>
  <c r="GP381" i="11"/>
  <c r="GQ381" i="11"/>
  <c r="GR381" i="11"/>
  <c r="GS381" i="11"/>
  <c r="GT381" i="11"/>
  <c r="GU381" i="11"/>
  <c r="GV381" i="11"/>
  <c r="GW381" i="11"/>
  <c r="GX381" i="11"/>
  <c r="GY381" i="11"/>
  <c r="GZ381" i="11"/>
  <c r="HA381" i="11"/>
  <c r="HB381" i="11"/>
  <c r="HC381" i="11"/>
  <c r="HD381" i="11"/>
  <c r="HE381" i="11"/>
  <c r="HF381" i="11"/>
  <c r="HG381" i="11"/>
  <c r="HH381" i="11"/>
  <c r="HI381" i="11"/>
  <c r="HJ381" i="11"/>
  <c r="HK381" i="11"/>
  <c r="HL381" i="11"/>
  <c r="HM381" i="11"/>
  <c r="HN381" i="11"/>
  <c r="HO381" i="11"/>
  <c r="HP381" i="11"/>
  <c r="HQ381" i="11"/>
  <c r="HR381" i="11"/>
  <c r="HS381" i="11"/>
  <c r="HT381" i="11"/>
  <c r="HU381" i="11"/>
  <c r="HV381" i="11"/>
  <c r="HW381" i="11"/>
  <c r="HX381" i="11"/>
  <c r="HY381" i="11"/>
  <c r="HZ381" i="11"/>
  <c r="IA381" i="11"/>
  <c r="IB381" i="11"/>
  <c r="IC381" i="11"/>
  <c r="ID381" i="11"/>
  <c r="IE381" i="11"/>
  <c r="IF381" i="11"/>
  <c r="IG381" i="11"/>
  <c r="IH381" i="11"/>
  <c r="II381" i="11"/>
  <c r="IJ381" i="11"/>
  <c r="IK381" i="11"/>
  <c r="IL381" i="11"/>
  <c r="IM381" i="11"/>
  <c r="IN381" i="11"/>
  <c r="IO381" i="11"/>
  <c r="IP381" i="11"/>
  <c r="IQ381" i="11"/>
  <c r="IR381" i="11"/>
  <c r="IS381" i="11"/>
  <c r="IT381" i="11"/>
  <c r="IU381" i="11"/>
  <c r="IV381" i="11"/>
  <c r="F382" i="11"/>
  <c r="G382" i="11"/>
  <c r="H382" i="11"/>
  <c r="I382" i="11"/>
  <c r="J382" i="11"/>
  <c r="K382" i="11"/>
  <c r="L382" i="11"/>
  <c r="M382" i="11"/>
  <c r="N382" i="11"/>
  <c r="O382" i="11"/>
  <c r="P382" i="11"/>
  <c r="Q382" i="11"/>
  <c r="R382" i="11"/>
  <c r="S382" i="11"/>
  <c r="T382" i="11"/>
  <c r="U382" i="11"/>
  <c r="V382" i="11"/>
  <c r="W382" i="11"/>
  <c r="X382" i="11"/>
  <c r="Y382" i="11"/>
  <c r="Z382" i="11"/>
  <c r="AA382" i="11"/>
  <c r="AB382" i="11"/>
  <c r="AC382" i="11"/>
  <c r="AD382" i="11"/>
  <c r="AE382" i="11"/>
  <c r="AF382" i="11"/>
  <c r="AG382" i="11"/>
  <c r="AH382" i="11"/>
  <c r="AI382" i="11"/>
  <c r="AJ382" i="11"/>
  <c r="AK382" i="11"/>
  <c r="AL382" i="11"/>
  <c r="AM382" i="11"/>
  <c r="AN382" i="11"/>
  <c r="AO382" i="11"/>
  <c r="AP382" i="11"/>
  <c r="AQ382" i="11"/>
  <c r="AR382" i="11"/>
  <c r="AS382" i="11"/>
  <c r="AT382" i="11"/>
  <c r="AU382" i="11"/>
  <c r="AV382" i="11"/>
  <c r="AW382" i="11"/>
  <c r="AX382" i="11"/>
  <c r="AY382" i="11"/>
  <c r="AZ382" i="11"/>
  <c r="BA382" i="11"/>
  <c r="BB382" i="11"/>
  <c r="BC382" i="11"/>
  <c r="BD382" i="11"/>
  <c r="BE382" i="11"/>
  <c r="BF382" i="11"/>
  <c r="BG382" i="11"/>
  <c r="BH382" i="11"/>
  <c r="BI382" i="11"/>
  <c r="BJ382" i="11"/>
  <c r="BK382" i="11"/>
  <c r="BL382" i="11"/>
  <c r="BM382" i="11"/>
  <c r="BN382" i="11"/>
  <c r="BO382" i="11"/>
  <c r="BP382" i="11"/>
  <c r="BQ382" i="11"/>
  <c r="BR382" i="11"/>
  <c r="BS382" i="11"/>
  <c r="BT382" i="11"/>
  <c r="BU382" i="11"/>
  <c r="BV382" i="11"/>
  <c r="BW382" i="11"/>
  <c r="BX382" i="11"/>
  <c r="BY382" i="11"/>
  <c r="BZ382" i="11"/>
  <c r="CA382" i="11"/>
  <c r="CB382" i="11"/>
  <c r="CC382" i="11"/>
  <c r="CD382" i="11"/>
  <c r="CE382" i="11"/>
  <c r="CF382" i="11"/>
  <c r="CG382" i="11"/>
  <c r="CH382" i="11"/>
  <c r="CI382" i="11"/>
  <c r="CJ382" i="11"/>
  <c r="CK382" i="11"/>
  <c r="CL382" i="11"/>
  <c r="CM382" i="11"/>
  <c r="CN382" i="11"/>
  <c r="CO382" i="11"/>
  <c r="CP382" i="11"/>
  <c r="CQ382" i="11"/>
  <c r="CR382" i="11"/>
  <c r="CS382" i="11"/>
  <c r="CT382" i="11"/>
  <c r="CU382" i="11"/>
  <c r="CV382" i="11"/>
  <c r="CW382" i="11"/>
  <c r="CX382" i="11"/>
  <c r="CY382" i="11"/>
  <c r="CZ382" i="11"/>
  <c r="DA382" i="11"/>
  <c r="DB382" i="11"/>
  <c r="DC382" i="11"/>
  <c r="DD382" i="11"/>
  <c r="DE382" i="11"/>
  <c r="DF382" i="11"/>
  <c r="DG382" i="11"/>
  <c r="DH382" i="11"/>
  <c r="DI382" i="11"/>
  <c r="DJ382" i="11"/>
  <c r="DK382" i="11"/>
  <c r="DL382" i="11"/>
  <c r="DM382" i="11"/>
  <c r="DN382" i="11"/>
  <c r="DO382" i="11"/>
  <c r="DP382" i="11"/>
  <c r="DQ382" i="11"/>
  <c r="DR382" i="11"/>
  <c r="DS382" i="11"/>
  <c r="DT382" i="11"/>
  <c r="DU382" i="11"/>
  <c r="DV382" i="11"/>
  <c r="DW382" i="11"/>
  <c r="DX382" i="11"/>
  <c r="DY382" i="11"/>
  <c r="DZ382" i="11"/>
  <c r="EA382" i="11"/>
  <c r="EB382" i="11"/>
  <c r="EC382" i="11"/>
  <c r="ED382" i="11"/>
  <c r="EE382" i="11"/>
  <c r="EF382" i="11"/>
  <c r="EG382" i="11"/>
  <c r="EH382" i="11"/>
  <c r="EI382" i="11"/>
  <c r="EJ382" i="11"/>
  <c r="EK382" i="11"/>
  <c r="EL382" i="11"/>
  <c r="EM382" i="11"/>
  <c r="EN382" i="11"/>
  <c r="EO382" i="11"/>
  <c r="EP382" i="11"/>
  <c r="EQ382" i="11"/>
  <c r="ER382" i="11"/>
  <c r="ES382" i="11"/>
  <c r="ET382" i="11"/>
  <c r="EU382" i="11"/>
  <c r="EV382" i="11"/>
  <c r="EW382" i="11"/>
  <c r="EX382" i="11"/>
  <c r="EY382" i="11"/>
  <c r="EZ382" i="11"/>
  <c r="FA382" i="11"/>
  <c r="FB382" i="11"/>
  <c r="FC382" i="11"/>
  <c r="FD382" i="11"/>
  <c r="FE382" i="11"/>
  <c r="FF382" i="11"/>
  <c r="FG382" i="11"/>
  <c r="FH382" i="11"/>
  <c r="FI382" i="11"/>
  <c r="FJ382" i="11"/>
  <c r="FK382" i="11"/>
  <c r="FL382" i="11"/>
  <c r="FM382" i="11"/>
  <c r="FN382" i="11"/>
  <c r="FO382" i="11"/>
  <c r="FP382" i="11"/>
  <c r="FQ382" i="11"/>
  <c r="FR382" i="11"/>
  <c r="FS382" i="11"/>
  <c r="FT382" i="11"/>
  <c r="FU382" i="11"/>
  <c r="FV382" i="11"/>
  <c r="FW382" i="11"/>
  <c r="FX382" i="11"/>
  <c r="FY382" i="11"/>
  <c r="FZ382" i="11"/>
  <c r="GA382" i="11"/>
  <c r="GB382" i="11"/>
  <c r="GC382" i="11"/>
  <c r="GD382" i="11"/>
  <c r="GE382" i="11"/>
  <c r="GF382" i="11"/>
  <c r="GG382" i="11"/>
  <c r="GH382" i="11"/>
  <c r="GI382" i="11"/>
  <c r="GJ382" i="11"/>
  <c r="GK382" i="11"/>
  <c r="GL382" i="11"/>
  <c r="GM382" i="11"/>
  <c r="GN382" i="11"/>
  <c r="GO382" i="11"/>
  <c r="GP382" i="11"/>
  <c r="GQ382" i="11"/>
  <c r="GR382" i="11"/>
  <c r="GS382" i="11"/>
  <c r="GT382" i="11"/>
  <c r="GU382" i="11"/>
  <c r="GV382" i="11"/>
  <c r="GW382" i="11"/>
  <c r="GX382" i="11"/>
  <c r="GY382" i="11"/>
  <c r="GZ382" i="11"/>
  <c r="HA382" i="11"/>
  <c r="HB382" i="11"/>
  <c r="HC382" i="11"/>
  <c r="HD382" i="11"/>
  <c r="HE382" i="11"/>
  <c r="HF382" i="11"/>
  <c r="HG382" i="11"/>
  <c r="HH382" i="11"/>
  <c r="HI382" i="11"/>
  <c r="HJ382" i="11"/>
  <c r="HK382" i="11"/>
  <c r="HL382" i="11"/>
  <c r="HM382" i="11"/>
  <c r="HN382" i="11"/>
  <c r="HO382" i="11"/>
  <c r="HP382" i="11"/>
  <c r="HQ382" i="11"/>
  <c r="HR382" i="11"/>
  <c r="HS382" i="11"/>
  <c r="HT382" i="11"/>
  <c r="HU382" i="11"/>
  <c r="HV382" i="11"/>
  <c r="HW382" i="11"/>
  <c r="HX382" i="11"/>
  <c r="HY382" i="11"/>
  <c r="HZ382" i="11"/>
  <c r="IA382" i="11"/>
  <c r="IB382" i="11"/>
  <c r="IC382" i="11"/>
  <c r="ID382" i="11"/>
  <c r="IE382" i="11"/>
  <c r="IF382" i="11"/>
  <c r="IG382" i="11"/>
  <c r="IH382" i="11"/>
  <c r="II382" i="11"/>
  <c r="IJ382" i="11"/>
  <c r="IK382" i="11"/>
  <c r="IL382" i="11"/>
  <c r="IM382" i="11"/>
  <c r="IN382" i="11"/>
  <c r="IO382" i="11"/>
  <c r="IP382" i="11"/>
  <c r="IQ382" i="11"/>
  <c r="IR382" i="11"/>
  <c r="IS382" i="11"/>
  <c r="IT382" i="11"/>
  <c r="IU382" i="11"/>
  <c r="IV382" i="11"/>
  <c r="F383" i="11"/>
  <c r="G383" i="11"/>
  <c r="H383" i="11"/>
  <c r="I383" i="11"/>
  <c r="J383" i="11"/>
  <c r="K383" i="11"/>
  <c r="L383" i="11"/>
  <c r="M383" i="11"/>
  <c r="N383" i="11"/>
  <c r="O383" i="11"/>
  <c r="P383" i="11"/>
  <c r="Q383" i="11"/>
  <c r="R383" i="11"/>
  <c r="S383" i="11"/>
  <c r="T383" i="11"/>
  <c r="U383" i="11"/>
  <c r="V383" i="11"/>
  <c r="W383" i="11"/>
  <c r="X383" i="11"/>
  <c r="Y383" i="11"/>
  <c r="Z383" i="11"/>
  <c r="AA383" i="11"/>
  <c r="AB383" i="11"/>
  <c r="AC383" i="11"/>
  <c r="AD383" i="11"/>
  <c r="AE383" i="11"/>
  <c r="AF383" i="11"/>
  <c r="AG383" i="11"/>
  <c r="AH383" i="11"/>
  <c r="AI383" i="11"/>
  <c r="AJ383" i="11"/>
  <c r="AK383" i="11"/>
  <c r="AL383" i="11"/>
  <c r="AM383" i="11"/>
  <c r="AN383" i="11"/>
  <c r="AO383" i="11"/>
  <c r="AP383" i="11"/>
  <c r="AQ383" i="11"/>
  <c r="AR383" i="11"/>
  <c r="AS383" i="11"/>
  <c r="AT383" i="11"/>
  <c r="AU383" i="11"/>
  <c r="AV383" i="11"/>
  <c r="AW383" i="11"/>
  <c r="AX383" i="11"/>
  <c r="AY383" i="11"/>
  <c r="AZ383" i="11"/>
  <c r="BA383" i="11"/>
  <c r="BB383" i="11"/>
  <c r="BC383" i="11"/>
  <c r="BD383" i="11"/>
  <c r="BE383" i="11"/>
  <c r="BF383" i="11"/>
  <c r="BG383" i="11"/>
  <c r="BH383" i="11"/>
  <c r="BI383" i="11"/>
  <c r="BJ383" i="11"/>
  <c r="BK383" i="11"/>
  <c r="BL383" i="11"/>
  <c r="BM383" i="11"/>
  <c r="BN383" i="11"/>
  <c r="BO383" i="11"/>
  <c r="BP383" i="11"/>
  <c r="BQ383" i="11"/>
  <c r="BR383" i="11"/>
  <c r="BS383" i="11"/>
  <c r="BT383" i="11"/>
  <c r="BU383" i="11"/>
  <c r="BV383" i="11"/>
  <c r="BW383" i="11"/>
  <c r="BX383" i="11"/>
  <c r="BY383" i="11"/>
  <c r="BZ383" i="11"/>
  <c r="CA383" i="11"/>
  <c r="CB383" i="11"/>
  <c r="CC383" i="11"/>
  <c r="CD383" i="11"/>
  <c r="CE383" i="11"/>
  <c r="CF383" i="11"/>
  <c r="CG383" i="11"/>
  <c r="CH383" i="11"/>
  <c r="CI383" i="11"/>
  <c r="CJ383" i="11"/>
  <c r="CK383" i="11"/>
  <c r="CL383" i="11"/>
  <c r="CM383" i="11"/>
  <c r="CN383" i="11"/>
  <c r="CO383" i="11"/>
  <c r="CP383" i="11"/>
  <c r="CQ383" i="11"/>
  <c r="CR383" i="11"/>
  <c r="CS383" i="11"/>
  <c r="CT383" i="11"/>
  <c r="CU383" i="11"/>
  <c r="CV383" i="11"/>
  <c r="CW383" i="11"/>
  <c r="CX383" i="11"/>
  <c r="CY383" i="11"/>
  <c r="CZ383" i="11"/>
  <c r="DA383" i="11"/>
  <c r="DB383" i="11"/>
  <c r="DC383" i="11"/>
  <c r="DD383" i="11"/>
  <c r="DE383" i="11"/>
  <c r="DF383" i="11"/>
  <c r="DG383" i="11"/>
  <c r="DH383" i="11"/>
  <c r="DI383" i="11"/>
  <c r="DJ383" i="11"/>
  <c r="DK383" i="11"/>
  <c r="DL383" i="11"/>
  <c r="DM383" i="11"/>
  <c r="DN383" i="11"/>
  <c r="DO383" i="11"/>
  <c r="DP383" i="11"/>
  <c r="DQ383" i="11"/>
  <c r="DR383" i="11"/>
  <c r="DS383" i="11"/>
  <c r="DT383" i="11"/>
  <c r="DU383" i="11"/>
  <c r="DV383" i="11"/>
  <c r="DW383" i="11"/>
  <c r="DX383" i="11"/>
  <c r="DY383" i="11"/>
  <c r="DZ383" i="11"/>
  <c r="EA383" i="11"/>
  <c r="EB383" i="11"/>
  <c r="EC383" i="11"/>
  <c r="ED383" i="11"/>
  <c r="EE383" i="11"/>
  <c r="EF383" i="11"/>
  <c r="EG383" i="11"/>
  <c r="EH383" i="11"/>
  <c r="EI383" i="11"/>
  <c r="EJ383" i="11"/>
  <c r="EK383" i="11"/>
  <c r="EL383" i="11"/>
  <c r="EM383" i="11"/>
  <c r="EN383" i="11"/>
  <c r="EO383" i="11"/>
  <c r="EP383" i="11"/>
  <c r="EQ383" i="11"/>
  <c r="ER383" i="11"/>
  <c r="ES383" i="11"/>
  <c r="ET383" i="11"/>
  <c r="EU383" i="11"/>
  <c r="EV383" i="11"/>
  <c r="EW383" i="11"/>
  <c r="EX383" i="11"/>
  <c r="EY383" i="11"/>
  <c r="EZ383" i="11"/>
  <c r="FA383" i="11"/>
  <c r="FB383" i="11"/>
  <c r="FC383" i="11"/>
  <c r="FD383" i="11"/>
  <c r="FE383" i="11"/>
  <c r="FF383" i="11"/>
  <c r="FG383" i="11"/>
  <c r="FH383" i="11"/>
  <c r="FI383" i="11"/>
  <c r="FJ383" i="11"/>
  <c r="FK383" i="11"/>
  <c r="FL383" i="11"/>
  <c r="FM383" i="11"/>
  <c r="FN383" i="11"/>
  <c r="FO383" i="11"/>
  <c r="FP383" i="11"/>
  <c r="FQ383" i="11"/>
  <c r="FR383" i="11"/>
  <c r="FS383" i="11"/>
  <c r="FT383" i="11"/>
  <c r="FU383" i="11"/>
  <c r="FV383" i="11"/>
  <c r="FW383" i="11"/>
  <c r="FX383" i="11"/>
  <c r="FY383" i="11"/>
  <c r="FZ383" i="11"/>
  <c r="GA383" i="11"/>
  <c r="GB383" i="11"/>
  <c r="GC383" i="11"/>
  <c r="GD383" i="11"/>
  <c r="GE383" i="11"/>
  <c r="GF383" i="11"/>
  <c r="GG383" i="11"/>
  <c r="GH383" i="11"/>
  <c r="GI383" i="11"/>
  <c r="GJ383" i="11"/>
  <c r="GK383" i="11"/>
  <c r="GL383" i="11"/>
  <c r="GM383" i="11"/>
  <c r="GN383" i="11"/>
  <c r="GO383" i="11"/>
  <c r="GP383" i="11"/>
  <c r="GQ383" i="11"/>
  <c r="GR383" i="11"/>
  <c r="GS383" i="11"/>
  <c r="GT383" i="11"/>
  <c r="GU383" i="11"/>
  <c r="GV383" i="11"/>
  <c r="GW383" i="11"/>
  <c r="GX383" i="11"/>
  <c r="GY383" i="11"/>
  <c r="GZ383" i="11"/>
  <c r="HA383" i="11"/>
  <c r="HB383" i="11"/>
  <c r="HC383" i="11"/>
  <c r="HD383" i="11"/>
  <c r="HE383" i="11"/>
  <c r="HF383" i="11"/>
  <c r="HG383" i="11"/>
  <c r="HH383" i="11"/>
  <c r="HI383" i="11"/>
  <c r="HJ383" i="11"/>
  <c r="HK383" i="11"/>
  <c r="HL383" i="11"/>
  <c r="HM383" i="11"/>
  <c r="HN383" i="11"/>
  <c r="HO383" i="11"/>
  <c r="HP383" i="11"/>
  <c r="HQ383" i="11"/>
  <c r="HR383" i="11"/>
  <c r="HS383" i="11"/>
  <c r="HT383" i="11"/>
  <c r="HU383" i="11"/>
  <c r="HV383" i="11"/>
  <c r="HW383" i="11"/>
  <c r="HX383" i="11"/>
  <c r="HY383" i="11"/>
  <c r="HZ383" i="11"/>
  <c r="IA383" i="11"/>
  <c r="IB383" i="11"/>
  <c r="IC383" i="11"/>
  <c r="ID383" i="11"/>
  <c r="IE383" i="11"/>
  <c r="IF383" i="11"/>
  <c r="IG383" i="11"/>
  <c r="IH383" i="11"/>
  <c r="II383" i="11"/>
  <c r="IJ383" i="11"/>
  <c r="IK383" i="11"/>
  <c r="IL383" i="11"/>
  <c r="IM383" i="11"/>
  <c r="IN383" i="11"/>
  <c r="IO383" i="11"/>
  <c r="IP383" i="11"/>
  <c r="IQ383" i="11"/>
  <c r="IR383" i="11"/>
  <c r="IS383" i="11"/>
  <c r="IT383" i="11"/>
  <c r="IU383" i="11"/>
  <c r="IV383" i="11"/>
  <c r="F384" i="11"/>
  <c r="G384" i="11"/>
  <c r="H384" i="11"/>
  <c r="I384" i="11"/>
  <c r="J384" i="11"/>
  <c r="K384" i="11"/>
  <c r="L384" i="11"/>
  <c r="M384" i="11"/>
  <c r="N384" i="11"/>
  <c r="O384" i="11"/>
  <c r="P384" i="11"/>
  <c r="Q384" i="11"/>
  <c r="R384" i="11"/>
  <c r="S384" i="11"/>
  <c r="T384" i="11"/>
  <c r="U384" i="11"/>
  <c r="V384" i="11"/>
  <c r="W384" i="11"/>
  <c r="X384" i="11"/>
  <c r="Y384" i="11"/>
  <c r="Z384" i="11"/>
  <c r="AA384" i="11"/>
  <c r="AB384" i="11"/>
  <c r="AC384" i="11"/>
  <c r="AD384" i="11"/>
  <c r="AE384" i="11"/>
  <c r="AF384" i="11"/>
  <c r="AG384" i="11"/>
  <c r="AH384" i="11"/>
  <c r="AI384" i="11"/>
  <c r="AJ384" i="11"/>
  <c r="AK384" i="11"/>
  <c r="AL384" i="11"/>
  <c r="AM384" i="11"/>
  <c r="AN384" i="11"/>
  <c r="AO384" i="11"/>
  <c r="AP384" i="11"/>
  <c r="AQ384" i="11"/>
  <c r="AR384" i="11"/>
  <c r="AS384" i="11"/>
  <c r="AT384" i="11"/>
  <c r="AU384" i="11"/>
  <c r="AV384" i="11"/>
  <c r="AW384" i="11"/>
  <c r="AX384" i="11"/>
  <c r="AY384" i="11"/>
  <c r="AZ384" i="11"/>
  <c r="BA384" i="11"/>
  <c r="BB384" i="11"/>
  <c r="BC384" i="11"/>
  <c r="BD384" i="11"/>
  <c r="BE384" i="11"/>
  <c r="BF384" i="11"/>
  <c r="BG384" i="11"/>
  <c r="BH384" i="11"/>
  <c r="BI384" i="11"/>
  <c r="BJ384" i="11"/>
  <c r="BK384" i="11"/>
  <c r="BL384" i="11"/>
  <c r="BM384" i="11"/>
  <c r="BN384" i="11"/>
  <c r="BO384" i="11"/>
  <c r="BP384" i="11"/>
  <c r="BQ384" i="11"/>
  <c r="BR384" i="11"/>
  <c r="BS384" i="11"/>
  <c r="BT384" i="11"/>
  <c r="BU384" i="11"/>
  <c r="BV384" i="11"/>
  <c r="BW384" i="11"/>
  <c r="BX384" i="11"/>
  <c r="BY384" i="11"/>
  <c r="BZ384" i="11"/>
  <c r="CA384" i="11"/>
  <c r="CB384" i="11"/>
  <c r="CC384" i="11"/>
  <c r="CD384" i="11"/>
  <c r="CE384" i="11"/>
  <c r="CF384" i="11"/>
  <c r="CG384" i="11"/>
  <c r="CH384" i="11"/>
  <c r="CI384" i="11"/>
  <c r="CJ384" i="11"/>
  <c r="CK384" i="11"/>
  <c r="CL384" i="11"/>
  <c r="CM384" i="11"/>
  <c r="CN384" i="11"/>
  <c r="CO384" i="11"/>
  <c r="CP384" i="11"/>
  <c r="CQ384" i="11"/>
  <c r="CR384" i="11"/>
  <c r="CS384" i="11"/>
  <c r="CT384" i="11"/>
  <c r="CU384" i="11"/>
  <c r="CV384" i="11"/>
  <c r="CW384" i="11"/>
  <c r="CX384" i="11"/>
  <c r="CY384" i="11"/>
  <c r="CZ384" i="11"/>
  <c r="DA384" i="11"/>
  <c r="DB384" i="11"/>
  <c r="DC384" i="11"/>
  <c r="DD384" i="11"/>
  <c r="DE384" i="11"/>
  <c r="DF384" i="11"/>
  <c r="DG384" i="11"/>
  <c r="DH384" i="11"/>
  <c r="DI384" i="11"/>
  <c r="DJ384" i="11"/>
  <c r="DK384" i="11"/>
  <c r="DL384" i="11"/>
  <c r="DM384" i="11"/>
  <c r="DN384" i="11"/>
  <c r="DO384" i="11"/>
  <c r="DP384" i="11"/>
  <c r="DQ384" i="11"/>
  <c r="DR384" i="11"/>
  <c r="DS384" i="11"/>
  <c r="DT384" i="11"/>
  <c r="DU384" i="11"/>
  <c r="DV384" i="11"/>
  <c r="DW384" i="11"/>
  <c r="DX384" i="11"/>
  <c r="DY384" i="11"/>
  <c r="DZ384" i="11"/>
  <c r="EA384" i="11"/>
  <c r="EB384" i="11"/>
  <c r="EC384" i="11"/>
  <c r="ED384" i="11"/>
  <c r="EE384" i="11"/>
  <c r="EF384" i="11"/>
  <c r="EG384" i="11"/>
  <c r="EH384" i="11"/>
  <c r="EI384" i="11"/>
  <c r="EJ384" i="11"/>
  <c r="EK384" i="11"/>
  <c r="EL384" i="11"/>
  <c r="EM384" i="11"/>
  <c r="EN384" i="11"/>
  <c r="EO384" i="11"/>
  <c r="EP384" i="11"/>
  <c r="EQ384" i="11"/>
  <c r="ER384" i="11"/>
  <c r="ES384" i="11"/>
  <c r="ET384" i="11"/>
  <c r="EU384" i="11"/>
  <c r="EV384" i="11"/>
  <c r="EW384" i="11"/>
  <c r="EX384" i="11"/>
  <c r="EY384" i="11"/>
  <c r="EZ384" i="11"/>
  <c r="FA384" i="11"/>
  <c r="FB384" i="11"/>
  <c r="FC384" i="11"/>
  <c r="FD384" i="11"/>
  <c r="FE384" i="11"/>
  <c r="FF384" i="11"/>
  <c r="FG384" i="11"/>
  <c r="FH384" i="11"/>
  <c r="FI384" i="11"/>
  <c r="FJ384" i="11"/>
  <c r="FK384" i="11"/>
  <c r="FL384" i="11"/>
  <c r="FM384" i="11"/>
  <c r="FN384" i="11"/>
  <c r="FO384" i="11"/>
  <c r="FP384" i="11"/>
  <c r="FQ384" i="11"/>
  <c r="FR384" i="11"/>
  <c r="FS384" i="11"/>
  <c r="FT384" i="11"/>
  <c r="FU384" i="11"/>
  <c r="FV384" i="11"/>
  <c r="FW384" i="11"/>
  <c r="FX384" i="11"/>
  <c r="FY384" i="11"/>
  <c r="FZ384" i="11"/>
  <c r="GA384" i="11"/>
  <c r="GB384" i="11"/>
  <c r="GC384" i="11"/>
  <c r="GD384" i="11"/>
  <c r="GE384" i="11"/>
  <c r="GF384" i="11"/>
  <c r="GG384" i="11"/>
  <c r="GH384" i="11"/>
  <c r="GI384" i="11"/>
  <c r="GJ384" i="11"/>
  <c r="GK384" i="11"/>
  <c r="GL384" i="11"/>
  <c r="GM384" i="11"/>
  <c r="GN384" i="11"/>
  <c r="GO384" i="11"/>
  <c r="GP384" i="11"/>
  <c r="GQ384" i="11"/>
  <c r="GR384" i="11"/>
  <c r="GS384" i="11"/>
  <c r="GT384" i="11"/>
  <c r="GU384" i="11"/>
  <c r="GV384" i="11"/>
  <c r="GW384" i="11"/>
  <c r="GX384" i="11"/>
  <c r="GY384" i="11"/>
  <c r="GZ384" i="11"/>
  <c r="HA384" i="11"/>
  <c r="HB384" i="11"/>
  <c r="HC384" i="11"/>
  <c r="HD384" i="11"/>
  <c r="HE384" i="11"/>
  <c r="HF384" i="11"/>
  <c r="HG384" i="11"/>
  <c r="HH384" i="11"/>
  <c r="HI384" i="11"/>
  <c r="HJ384" i="11"/>
  <c r="HK384" i="11"/>
  <c r="HL384" i="11"/>
  <c r="HM384" i="11"/>
  <c r="HN384" i="11"/>
  <c r="HO384" i="11"/>
  <c r="HP384" i="11"/>
  <c r="HQ384" i="11"/>
  <c r="HR384" i="11"/>
  <c r="HS384" i="11"/>
  <c r="HT384" i="11"/>
  <c r="HU384" i="11"/>
  <c r="HV384" i="11"/>
  <c r="HW384" i="11"/>
  <c r="HX384" i="11"/>
  <c r="HY384" i="11"/>
  <c r="HZ384" i="11"/>
  <c r="IA384" i="11"/>
  <c r="IB384" i="11"/>
  <c r="IC384" i="11"/>
  <c r="ID384" i="11"/>
  <c r="IE384" i="11"/>
  <c r="IF384" i="11"/>
  <c r="IG384" i="11"/>
  <c r="IH384" i="11"/>
  <c r="II384" i="11"/>
  <c r="IJ384" i="11"/>
  <c r="IK384" i="11"/>
  <c r="IL384" i="11"/>
  <c r="IM384" i="11"/>
  <c r="IN384" i="11"/>
  <c r="IO384" i="11"/>
  <c r="IP384" i="11"/>
  <c r="IQ384" i="11"/>
  <c r="IR384" i="11"/>
  <c r="IS384" i="11"/>
  <c r="IT384" i="11"/>
  <c r="IU384" i="11"/>
  <c r="IV384" i="11"/>
  <c r="F385" i="11"/>
  <c r="G385" i="11"/>
  <c r="H385" i="11"/>
  <c r="I385" i="11"/>
  <c r="J385" i="11"/>
  <c r="K385" i="11"/>
  <c r="L385" i="11"/>
  <c r="M385" i="11"/>
  <c r="N385" i="11"/>
  <c r="O385" i="11"/>
  <c r="P385" i="11"/>
  <c r="Q385" i="11"/>
  <c r="R385" i="11"/>
  <c r="S385" i="11"/>
  <c r="T385" i="11"/>
  <c r="U385" i="11"/>
  <c r="V385" i="11"/>
  <c r="W385" i="11"/>
  <c r="X385" i="11"/>
  <c r="Y385" i="11"/>
  <c r="Z385" i="11"/>
  <c r="AA385" i="11"/>
  <c r="AB385" i="11"/>
  <c r="AC385" i="11"/>
  <c r="AD385" i="11"/>
  <c r="AE385" i="11"/>
  <c r="AF385" i="11"/>
  <c r="AG385" i="11"/>
  <c r="AH385" i="11"/>
  <c r="AI385" i="11"/>
  <c r="AJ385" i="11"/>
  <c r="AK385" i="11"/>
  <c r="AL385" i="11"/>
  <c r="AM385" i="11"/>
  <c r="AN385" i="11"/>
  <c r="AO385" i="11"/>
  <c r="AP385" i="11"/>
  <c r="AQ385" i="11"/>
  <c r="AR385" i="11"/>
  <c r="AS385" i="11"/>
  <c r="AT385" i="11"/>
  <c r="AU385" i="11"/>
  <c r="AV385" i="11"/>
  <c r="AW385" i="11"/>
  <c r="AX385" i="11"/>
  <c r="AY385" i="11"/>
  <c r="AZ385" i="11"/>
  <c r="BA385" i="11"/>
  <c r="BB385" i="11"/>
  <c r="BC385" i="11"/>
  <c r="BD385" i="11"/>
  <c r="BE385" i="11"/>
  <c r="BF385" i="11"/>
  <c r="BG385" i="11"/>
  <c r="BH385" i="11"/>
  <c r="BI385" i="11"/>
  <c r="BJ385" i="11"/>
  <c r="BK385" i="11"/>
  <c r="BL385" i="11"/>
  <c r="BM385" i="11"/>
  <c r="BN385" i="11"/>
  <c r="BO385" i="11"/>
  <c r="BP385" i="11"/>
  <c r="BQ385" i="11"/>
  <c r="BR385" i="11"/>
  <c r="BS385" i="11"/>
  <c r="BT385" i="11"/>
  <c r="BU385" i="11"/>
  <c r="BV385" i="11"/>
  <c r="BW385" i="11"/>
  <c r="BX385" i="11"/>
  <c r="BY385" i="11"/>
  <c r="BZ385" i="11"/>
  <c r="CA385" i="11"/>
  <c r="CB385" i="11"/>
  <c r="CC385" i="11"/>
  <c r="CD385" i="11"/>
  <c r="CE385" i="11"/>
  <c r="CF385" i="11"/>
  <c r="CG385" i="11"/>
  <c r="CH385" i="11"/>
  <c r="CI385" i="11"/>
  <c r="CJ385" i="11"/>
  <c r="CK385" i="11"/>
  <c r="CL385" i="11"/>
  <c r="CM385" i="11"/>
  <c r="CN385" i="11"/>
  <c r="CO385" i="11"/>
  <c r="CP385" i="11"/>
  <c r="CQ385" i="11"/>
  <c r="CR385" i="11"/>
  <c r="CS385" i="11"/>
  <c r="CT385" i="11"/>
  <c r="CU385" i="11"/>
  <c r="CV385" i="11"/>
  <c r="CW385" i="11"/>
  <c r="CX385" i="11"/>
  <c r="CY385" i="11"/>
  <c r="CZ385" i="11"/>
  <c r="DA385" i="11"/>
  <c r="DB385" i="11"/>
  <c r="DC385" i="11"/>
  <c r="DD385" i="11"/>
  <c r="DE385" i="11"/>
  <c r="DF385" i="11"/>
  <c r="DG385" i="11"/>
  <c r="DH385" i="11"/>
  <c r="DI385" i="11"/>
  <c r="DJ385" i="11"/>
  <c r="DK385" i="11"/>
  <c r="DL385" i="11"/>
  <c r="DM385" i="11"/>
  <c r="DN385" i="11"/>
  <c r="DO385" i="11"/>
  <c r="DP385" i="11"/>
  <c r="DQ385" i="11"/>
  <c r="DR385" i="11"/>
  <c r="DS385" i="11"/>
  <c r="DT385" i="11"/>
  <c r="DU385" i="11"/>
  <c r="DV385" i="11"/>
  <c r="DW385" i="11"/>
  <c r="DX385" i="11"/>
  <c r="DY385" i="11"/>
  <c r="DZ385" i="11"/>
  <c r="EA385" i="11"/>
  <c r="EB385" i="11"/>
  <c r="EC385" i="11"/>
  <c r="ED385" i="11"/>
  <c r="EE385" i="11"/>
  <c r="EF385" i="11"/>
  <c r="EG385" i="11"/>
  <c r="EH385" i="11"/>
  <c r="EI385" i="11"/>
  <c r="EJ385" i="11"/>
  <c r="EK385" i="11"/>
  <c r="EL385" i="11"/>
  <c r="EM385" i="11"/>
  <c r="EN385" i="11"/>
  <c r="EO385" i="11"/>
  <c r="EP385" i="11"/>
  <c r="EQ385" i="11"/>
  <c r="ER385" i="11"/>
  <c r="ES385" i="11"/>
  <c r="ET385" i="11"/>
  <c r="EU385" i="11"/>
  <c r="EV385" i="11"/>
  <c r="EW385" i="11"/>
  <c r="EX385" i="11"/>
  <c r="EY385" i="11"/>
  <c r="EZ385" i="11"/>
  <c r="FA385" i="11"/>
  <c r="FB385" i="11"/>
  <c r="FC385" i="11"/>
  <c r="FD385" i="11"/>
  <c r="FE385" i="11"/>
  <c r="FF385" i="11"/>
  <c r="FG385" i="11"/>
  <c r="FH385" i="11"/>
  <c r="FI385" i="11"/>
  <c r="FJ385" i="11"/>
  <c r="FK385" i="11"/>
  <c r="FL385" i="11"/>
  <c r="FM385" i="11"/>
  <c r="FN385" i="11"/>
  <c r="FO385" i="11"/>
  <c r="FP385" i="11"/>
  <c r="FQ385" i="11"/>
  <c r="FR385" i="11"/>
  <c r="FS385" i="11"/>
  <c r="FT385" i="11"/>
  <c r="FU385" i="11"/>
  <c r="FV385" i="11"/>
  <c r="FW385" i="11"/>
  <c r="FX385" i="11"/>
  <c r="FY385" i="11"/>
  <c r="FZ385" i="11"/>
  <c r="GA385" i="11"/>
  <c r="GB385" i="11"/>
  <c r="GC385" i="11"/>
  <c r="GD385" i="11"/>
  <c r="GE385" i="11"/>
  <c r="GF385" i="11"/>
  <c r="GG385" i="11"/>
  <c r="GH385" i="11"/>
  <c r="GI385" i="11"/>
  <c r="GJ385" i="11"/>
  <c r="GK385" i="11"/>
  <c r="GL385" i="11"/>
  <c r="GM385" i="11"/>
  <c r="GN385" i="11"/>
  <c r="GO385" i="11"/>
  <c r="GP385" i="11"/>
  <c r="GQ385" i="11"/>
  <c r="GR385" i="11"/>
  <c r="GS385" i="11"/>
  <c r="GT385" i="11"/>
  <c r="GU385" i="11"/>
  <c r="GV385" i="11"/>
  <c r="GW385" i="11"/>
  <c r="GX385" i="11"/>
  <c r="GY385" i="11"/>
  <c r="GZ385" i="11"/>
  <c r="HA385" i="11"/>
  <c r="HB385" i="11"/>
  <c r="HC385" i="11"/>
  <c r="HD385" i="11"/>
  <c r="HE385" i="11"/>
  <c r="HF385" i="11"/>
  <c r="HG385" i="11"/>
  <c r="HH385" i="11"/>
  <c r="HI385" i="11"/>
  <c r="HJ385" i="11"/>
  <c r="HK385" i="11"/>
  <c r="HL385" i="11"/>
  <c r="HM385" i="11"/>
  <c r="HN385" i="11"/>
  <c r="HO385" i="11"/>
  <c r="HP385" i="11"/>
  <c r="HQ385" i="11"/>
  <c r="HR385" i="11"/>
  <c r="HS385" i="11"/>
  <c r="HT385" i="11"/>
  <c r="HU385" i="11"/>
  <c r="HV385" i="11"/>
  <c r="HW385" i="11"/>
  <c r="HX385" i="11"/>
  <c r="HY385" i="11"/>
  <c r="HZ385" i="11"/>
  <c r="IA385" i="11"/>
  <c r="IB385" i="11"/>
  <c r="IC385" i="11"/>
  <c r="ID385" i="11"/>
  <c r="IE385" i="11"/>
  <c r="IF385" i="11"/>
  <c r="IG385" i="11"/>
  <c r="IH385" i="11"/>
  <c r="II385" i="11"/>
  <c r="IJ385" i="11"/>
  <c r="IK385" i="11"/>
  <c r="IL385" i="11"/>
  <c r="IM385" i="11"/>
  <c r="IN385" i="11"/>
  <c r="IO385" i="11"/>
  <c r="IP385" i="11"/>
  <c r="IQ385" i="11"/>
  <c r="IR385" i="11"/>
  <c r="IS385" i="11"/>
  <c r="IT385" i="11"/>
  <c r="IU385" i="11"/>
  <c r="IV385" i="11"/>
  <c r="F386" i="11"/>
  <c r="G386" i="11"/>
  <c r="H386" i="11"/>
  <c r="I386" i="11"/>
  <c r="J386" i="11"/>
  <c r="K386" i="11"/>
  <c r="L386" i="11"/>
  <c r="M386" i="11"/>
  <c r="N386" i="11"/>
  <c r="O386" i="11"/>
  <c r="P386" i="11"/>
  <c r="Q386" i="11"/>
  <c r="R386" i="11"/>
  <c r="S386" i="11"/>
  <c r="T386" i="11"/>
  <c r="U386" i="11"/>
  <c r="V386" i="11"/>
  <c r="W386" i="11"/>
  <c r="X386" i="11"/>
  <c r="Y386" i="11"/>
  <c r="Z386" i="11"/>
  <c r="AA386" i="11"/>
  <c r="AB386" i="11"/>
  <c r="AC386" i="11"/>
  <c r="AD386" i="11"/>
  <c r="AE386" i="11"/>
  <c r="AF386" i="11"/>
  <c r="AG386" i="11"/>
  <c r="AH386" i="11"/>
  <c r="AI386" i="11"/>
  <c r="AJ386" i="11"/>
  <c r="AK386" i="11"/>
  <c r="AL386" i="11"/>
  <c r="AM386" i="11"/>
  <c r="AN386" i="11"/>
  <c r="AO386" i="11"/>
  <c r="AP386" i="11"/>
  <c r="AQ386" i="11"/>
  <c r="AR386" i="11"/>
  <c r="AS386" i="11"/>
  <c r="AT386" i="11"/>
  <c r="AU386" i="11"/>
  <c r="AV386" i="11"/>
  <c r="AW386" i="11"/>
  <c r="AX386" i="11"/>
  <c r="AY386" i="11"/>
  <c r="AZ386" i="11"/>
  <c r="BA386" i="11"/>
  <c r="BB386" i="11"/>
  <c r="BC386" i="11"/>
  <c r="BD386" i="11"/>
  <c r="BE386" i="11"/>
  <c r="BF386" i="11"/>
  <c r="BG386" i="11"/>
  <c r="BH386" i="11"/>
  <c r="BI386" i="11"/>
  <c r="BJ386" i="11"/>
  <c r="BK386" i="11"/>
  <c r="BL386" i="11"/>
  <c r="BM386" i="11"/>
  <c r="BN386" i="11"/>
  <c r="BO386" i="11"/>
  <c r="BP386" i="11"/>
  <c r="BQ386" i="11"/>
  <c r="BR386" i="11"/>
  <c r="BS386" i="11"/>
  <c r="BT386" i="11"/>
  <c r="BU386" i="11"/>
  <c r="BV386" i="11"/>
  <c r="BW386" i="11"/>
  <c r="BX386" i="11"/>
  <c r="BY386" i="11"/>
  <c r="BZ386" i="11"/>
  <c r="CA386" i="11"/>
  <c r="CB386" i="11"/>
  <c r="CC386" i="11"/>
  <c r="CD386" i="11"/>
  <c r="CE386" i="11"/>
  <c r="CF386" i="11"/>
  <c r="CG386" i="11"/>
  <c r="CH386" i="11"/>
  <c r="CI386" i="11"/>
  <c r="CJ386" i="11"/>
  <c r="CK386" i="11"/>
  <c r="CL386" i="11"/>
  <c r="CM386" i="11"/>
  <c r="CN386" i="11"/>
  <c r="CO386" i="11"/>
  <c r="CP386" i="11"/>
  <c r="CQ386" i="11"/>
  <c r="CR386" i="11"/>
  <c r="CS386" i="11"/>
  <c r="CT386" i="11"/>
  <c r="CU386" i="11"/>
  <c r="CV386" i="11"/>
  <c r="CW386" i="11"/>
  <c r="CX386" i="11"/>
  <c r="CY386" i="11"/>
  <c r="CZ386" i="11"/>
  <c r="DA386" i="11"/>
  <c r="DB386" i="11"/>
  <c r="DC386" i="11"/>
  <c r="DD386" i="11"/>
  <c r="DE386" i="11"/>
  <c r="DF386" i="11"/>
  <c r="DG386" i="11"/>
  <c r="DH386" i="11"/>
  <c r="DI386" i="11"/>
  <c r="DJ386" i="11"/>
  <c r="DK386" i="11"/>
  <c r="DL386" i="11"/>
  <c r="DM386" i="11"/>
  <c r="DN386" i="11"/>
  <c r="DO386" i="11"/>
  <c r="DP386" i="11"/>
  <c r="DQ386" i="11"/>
  <c r="DR386" i="11"/>
  <c r="DS386" i="11"/>
  <c r="DT386" i="11"/>
  <c r="DU386" i="11"/>
  <c r="DV386" i="11"/>
  <c r="DW386" i="11"/>
  <c r="DX386" i="11"/>
  <c r="DY386" i="11"/>
  <c r="DZ386" i="11"/>
  <c r="EA386" i="11"/>
  <c r="EB386" i="11"/>
  <c r="EC386" i="11"/>
  <c r="ED386" i="11"/>
  <c r="EE386" i="11"/>
  <c r="EF386" i="11"/>
  <c r="EG386" i="11"/>
  <c r="EH386" i="11"/>
  <c r="EI386" i="11"/>
  <c r="EJ386" i="11"/>
  <c r="EK386" i="11"/>
  <c r="EL386" i="11"/>
  <c r="EM386" i="11"/>
  <c r="EN386" i="11"/>
  <c r="EO386" i="11"/>
  <c r="EP386" i="11"/>
  <c r="EQ386" i="11"/>
  <c r="ER386" i="11"/>
  <c r="ES386" i="11"/>
  <c r="ET386" i="11"/>
  <c r="EU386" i="11"/>
  <c r="EV386" i="11"/>
  <c r="EW386" i="11"/>
  <c r="EX386" i="11"/>
  <c r="EY386" i="11"/>
  <c r="EZ386" i="11"/>
  <c r="FA386" i="11"/>
  <c r="FB386" i="11"/>
  <c r="FC386" i="11"/>
  <c r="FD386" i="11"/>
  <c r="FE386" i="11"/>
  <c r="FF386" i="11"/>
  <c r="FG386" i="11"/>
  <c r="FH386" i="11"/>
  <c r="FI386" i="11"/>
  <c r="FJ386" i="11"/>
  <c r="FK386" i="11"/>
  <c r="FL386" i="11"/>
  <c r="FM386" i="11"/>
  <c r="FN386" i="11"/>
  <c r="FO386" i="11"/>
  <c r="FP386" i="11"/>
  <c r="FQ386" i="11"/>
  <c r="FR386" i="11"/>
  <c r="FS386" i="11"/>
  <c r="FT386" i="11"/>
  <c r="FU386" i="11"/>
  <c r="FV386" i="11"/>
  <c r="FW386" i="11"/>
  <c r="FX386" i="11"/>
  <c r="FY386" i="11"/>
  <c r="FZ386" i="11"/>
  <c r="GA386" i="11"/>
  <c r="GB386" i="11"/>
  <c r="GC386" i="11"/>
  <c r="GD386" i="11"/>
  <c r="GE386" i="11"/>
  <c r="GF386" i="11"/>
  <c r="GG386" i="11"/>
  <c r="GH386" i="11"/>
  <c r="GI386" i="11"/>
  <c r="GJ386" i="11"/>
  <c r="GK386" i="11"/>
  <c r="GL386" i="11"/>
  <c r="GM386" i="11"/>
  <c r="GN386" i="11"/>
  <c r="GO386" i="11"/>
  <c r="GP386" i="11"/>
  <c r="GQ386" i="11"/>
  <c r="GR386" i="11"/>
  <c r="GS386" i="11"/>
  <c r="GT386" i="11"/>
  <c r="GU386" i="11"/>
  <c r="GV386" i="11"/>
  <c r="GW386" i="11"/>
  <c r="GX386" i="11"/>
  <c r="GY386" i="11"/>
  <c r="GZ386" i="11"/>
  <c r="HA386" i="11"/>
  <c r="HB386" i="11"/>
  <c r="HC386" i="11"/>
  <c r="HD386" i="11"/>
  <c r="HE386" i="11"/>
  <c r="HF386" i="11"/>
  <c r="HG386" i="11"/>
  <c r="HH386" i="11"/>
  <c r="HI386" i="11"/>
  <c r="HJ386" i="11"/>
  <c r="HK386" i="11"/>
  <c r="HL386" i="11"/>
  <c r="HM386" i="11"/>
  <c r="HN386" i="11"/>
  <c r="HO386" i="11"/>
  <c r="HP386" i="11"/>
  <c r="HQ386" i="11"/>
  <c r="HR386" i="11"/>
  <c r="HS386" i="11"/>
  <c r="HT386" i="11"/>
  <c r="HU386" i="11"/>
  <c r="HV386" i="11"/>
  <c r="HW386" i="11"/>
  <c r="HX386" i="11"/>
  <c r="HY386" i="11"/>
  <c r="HZ386" i="11"/>
  <c r="IA386" i="11"/>
  <c r="IB386" i="11"/>
  <c r="IC386" i="11"/>
  <c r="ID386" i="11"/>
  <c r="IE386" i="11"/>
  <c r="IF386" i="11"/>
  <c r="IG386" i="11"/>
  <c r="IH386" i="11"/>
  <c r="II386" i="11"/>
  <c r="IJ386" i="11"/>
  <c r="IK386" i="11"/>
  <c r="IL386" i="11"/>
  <c r="IM386" i="11"/>
  <c r="IN386" i="11"/>
  <c r="IO386" i="11"/>
  <c r="IP386" i="11"/>
  <c r="IQ386" i="11"/>
  <c r="IR386" i="11"/>
  <c r="IS386" i="11"/>
  <c r="IT386" i="11"/>
  <c r="IU386" i="11"/>
  <c r="IV386" i="11"/>
  <c r="F387" i="11"/>
  <c r="G387" i="11"/>
  <c r="H387" i="11"/>
  <c r="I387" i="11"/>
  <c r="J387" i="11"/>
  <c r="K387" i="11"/>
  <c r="L387" i="11"/>
  <c r="M387" i="11"/>
  <c r="N387" i="11"/>
  <c r="O387" i="11"/>
  <c r="P387" i="11"/>
  <c r="Q387" i="11"/>
  <c r="R387" i="11"/>
  <c r="S387" i="11"/>
  <c r="T387" i="11"/>
  <c r="U387" i="11"/>
  <c r="V387" i="11"/>
  <c r="W387" i="11"/>
  <c r="X387" i="11"/>
  <c r="Y387" i="11"/>
  <c r="Z387" i="11"/>
  <c r="AA387" i="11"/>
  <c r="AB387" i="11"/>
  <c r="AC387" i="11"/>
  <c r="AD387" i="11"/>
  <c r="AE387" i="11"/>
  <c r="AF387" i="11"/>
  <c r="AG387" i="11"/>
  <c r="AH387" i="11"/>
  <c r="AI387" i="11"/>
  <c r="AJ387" i="11"/>
  <c r="AK387" i="11"/>
  <c r="AL387" i="11"/>
  <c r="AM387" i="11"/>
  <c r="AN387" i="11"/>
  <c r="AO387" i="11"/>
  <c r="AP387" i="11"/>
  <c r="AQ387" i="11"/>
  <c r="AR387" i="11"/>
  <c r="AS387" i="11"/>
  <c r="AT387" i="11"/>
  <c r="AU387" i="11"/>
  <c r="AV387" i="11"/>
  <c r="AW387" i="11"/>
  <c r="AX387" i="11"/>
  <c r="AY387" i="11"/>
  <c r="AZ387" i="11"/>
  <c r="BA387" i="11"/>
  <c r="BB387" i="11"/>
  <c r="BC387" i="11"/>
  <c r="BD387" i="11"/>
  <c r="BE387" i="11"/>
  <c r="BF387" i="11"/>
  <c r="BG387" i="11"/>
  <c r="BH387" i="11"/>
  <c r="BI387" i="11"/>
  <c r="BJ387" i="11"/>
  <c r="BK387" i="11"/>
  <c r="BL387" i="11"/>
  <c r="BM387" i="11"/>
  <c r="BN387" i="11"/>
  <c r="BO387" i="11"/>
  <c r="BP387" i="11"/>
  <c r="BQ387" i="11"/>
  <c r="BR387" i="11"/>
  <c r="BS387" i="11"/>
  <c r="BT387" i="11"/>
  <c r="BU387" i="11"/>
  <c r="BV387" i="11"/>
  <c r="BW387" i="11"/>
  <c r="BX387" i="11"/>
  <c r="BY387" i="11"/>
  <c r="BZ387" i="11"/>
  <c r="CA387" i="11"/>
  <c r="CB387" i="11"/>
  <c r="CC387" i="11"/>
  <c r="CD387" i="11"/>
  <c r="CE387" i="11"/>
  <c r="CF387" i="11"/>
  <c r="CG387" i="11"/>
  <c r="CH387" i="11"/>
  <c r="CI387" i="11"/>
  <c r="CJ387" i="11"/>
  <c r="CK387" i="11"/>
  <c r="CL387" i="11"/>
  <c r="CM387" i="11"/>
  <c r="CN387" i="11"/>
  <c r="CO387" i="11"/>
  <c r="CP387" i="11"/>
  <c r="CQ387" i="11"/>
  <c r="CR387" i="11"/>
  <c r="CS387" i="11"/>
  <c r="CT387" i="11"/>
  <c r="CU387" i="11"/>
  <c r="CV387" i="11"/>
  <c r="CW387" i="11"/>
  <c r="CX387" i="11"/>
  <c r="CY387" i="11"/>
  <c r="CZ387" i="11"/>
  <c r="DA387" i="11"/>
  <c r="DB387" i="11"/>
  <c r="DC387" i="11"/>
  <c r="DD387" i="11"/>
  <c r="DE387" i="11"/>
  <c r="DF387" i="11"/>
  <c r="DG387" i="11"/>
  <c r="DH387" i="11"/>
  <c r="DI387" i="11"/>
  <c r="DJ387" i="11"/>
  <c r="DK387" i="11"/>
  <c r="DL387" i="11"/>
  <c r="DM387" i="11"/>
  <c r="DN387" i="11"/>
  <c r="DO387" i="11"/>
  <c r="DP387" i="11"/>
  <c r="DQ387" i="11"/>
  <c r="DR387" i="11"/>
  <c r="DS387" i="11"/>
  <c r="DT387" i="11"/>
  <c r="DU387" i="11"/>
  <c r="DV387" i="11"/>
  <c r="DW387" i="11"/>
  <c r="DX387" i="11"/>
  <c r="DY387" i="11"/>
  <c r="DZ387" i="11"/>
  <c r="EA387" i="11"/>
  <c r="EB387" i="11"/>
  <c r="EC387" i="11"/>
  <c r="ED387" i="11"/>
  <c r="EE387" i="11"/>
  <c r="EF387" i="11"/>
  <c r="EG387" i="11"/>
  <c r="EH387" i="11"/>
  <c r="EI387" i="11"/>
  <c r="EJ387" i="11"/>
  <c r="EK387" i="11"/>
  <c r="EL387" i="11"/>
  <c r="EM387" i="11"/>
  <c r="EN387" i="11"/>
  <c r="EO387" i="11"/>
  <c r="EP387" i="11"/>
  <c r="EQ387" i="11"/>
  <c r="ER387" i="11"/>
  <c r="ES387" i="11"/>
  <c r="ET387" i="11"/>
  <c r="EU387" i="11"/>
  <c r="EV387" i="11"/>
  <c r="EW387" i="11"/>
  <c r="EX387" i="11"/>
  <c r="EY387" i="11"/>
  <c r="EZ387" i="11"/>
  <c r="FA387" i="11"/>
  <c r="FB387" i="11"/>
  <c r="FC387" i="11"/>
  <c r="FD387" i="11"/>
  <c r="FE387" i="11"/>
  <c r="FF387" i="11"/>
  <c r="FG387" i="11"/>
  <c r="FH387" i="11"/>
  <c r="FI387" i="11"/>
  <c r="FJ387" i="11"/>
  <c r="FK387" i="11"/>
  <c r="FL387" i="11"/>
  <c r="FM387" i="11"/>
  <c r="FN387" i="11"/>
  <c r="FO387" i="11"/>
  <c r="FP387" i="11"/>
  <c r="FQ387" i="11"/>
  <c r="FR387" i="11"/>
  <c r="FS387" i="11"/>
  <c r="FT387" i="11"/>
  <c r="FU387" i="11"/>
  <c r="FV387" i="11"/>
  <c r="FW387" i="11"/>
  <c r="FX387" i="11"/>
  <c r="FY387" i="11"/>
  <c r="FZ387" i="11"/>
  <c r="GA387" i="11"/>
  <c r="GB387" i="11"/>
  <c r="GC387" i="11"/>
  <c r="GD387" i="11"/>
  <c r="GE387" i="11"/>
  <c r="GF387" i="11"/>
  <c r="GG387" i="11"/>
  <c r="GH387" i="11"/>
  <c r="GI387" i="11"/>
  <c r="GJ387" i="11"/>
  <c r="GK387" i="11"/>
  <c r="GL387" i="11"/>
  <c r="GM387" i="11"/>
  <c r="GN387" i="11"/>
  <c r="GO387" i="11"/>
  <c r="GP387" i="11"/>
  <c r="GQ387" i="11"/>
  <c r="GR387" i="11"/>
  <c r="GS387" i="11"/>
  <c r="GT387" i="11"/>
  <c r="GU387" i="11"/>
  <c r="GV387" i="11"/>
  <c r="GW387" i="11"/>
  <c r="GX387" i="11"/>
  <c r="GY387" i="11"/>
  <c r="GZ387" i="11"/>
  <c r="HA387" i="11"/>
  <c r="HB387" i="11"/>
  <c r="HC387" i="11"/>
  <c r="HD387" i="11"/>
  <c r="HE387" i="11"/>
  <c r="HF387" i="11"/>
  <c r="HG387" i="11"/>
  <c r="HH387" i="11"/>
  <c r="HI387" i="11"/>
  <c r="HJ387" i="11"/>
  <c r="HK387" i="11"/>
  <c r="HL387" i="11"/>
  <c r="HM387" i="11"/>
  <c r="HN387" i="11"/>
  <c r="HO387" i="11"/>
  <c r="HP387" i="11"/>
  <c r="HQ387" i="11"/>
  <c r="HR387" i="11"/>
  <c r="HS387" i="11"/>
  <c r="HT387" i="11"/>
  <c r="HU387" i="11"/>
  <c r="HV387" i="11"/>
  <c r="HW387" i="11"/>
  <c r="HX387" i="11"/>
  <c r="HY387" i="11"/>
  <c r="HZ387" i="11"/>
  <c r="IA387" i="11"/>
  <c r="IB387" i="11"/>
  <c r="IC387" i="11"/>
  <c r="ID387" i="11"/>
  <c r="IE387" i="11"/>
  <c r="IF387" i="11"/>
  <c r="IG387" i="11"/>
  <c r="IH387" i="11"/>
  <c r="II387" i="11"/>
  <c r="IJ387" i="11"/>
  <c r="IK387" i="11"/>
  <c r="IL387" i="11"/>
  <c r="IM387" i="11"/>
  <c r="IN387" i="11"/>
  <c r="IO387" i="11"/>
  <c r="IP387" i="11"/>
  <c r="IQ387" i="11"/>
  <c r="IR387" i="11"/>
  <c r="IS387" i="11"/>
  <c r="IT387" i="11"/>
  <c r="IU387" i="11"/>
  <c r="IV387" i="11"/>
  <c r="F388" i="11"/>
  <c r="G388" i="11"/>
  <c r="H388" i="11"/>
  <c r="I388" i="11"/>
  <c r="J388" i="11"/>
  <c r="K388" i="11"/>
  <c r="L388" i="11"/>
  <c r="M388" i="11"/>
  <c r="N388" i="11"/>
  <c r="O388" i="11"/>
  <c r="P388" i="11"/>
  <c r="Q388" i="11"/>
  <c r="R388" i="11"/>
  <c r="S388" i="11"/>
  <c r="T388" i="11"/>
  <c r="U388" i="11"/>
  <c r="V388" i="11"/>
  <c r="W388" i="11"/>
  <c r="X388" i="11"/>
  <c r="Y388" i="11"/>
  <c r="Z388" i="11"/>
  <c r="AA388" i="11"/>
  <c r="AB388" i="11"/>
  <c r="AC388" i="11"/>
  <c r="AD388" i="11"/>
  <c r="AE388" i="11"/>
  <c r="AF388" i="11"/>
  <c r="AG388" i="11"/>
  <c r="AH388" i="11"/>
  <c r="AI388" i="11"/>
  <c r="AJ388" i="11"/>
  <c r="AK388" i="11"/>
  <c r="AL388" i="11"/>
  <c r="AM388" i="11"/>
  <c r="AN388" i="11"/>
  <c r="AO388" i="11"/>
  <c r="AP388" i="11"/>
  <c r="AQ388" i="11"/>
  <c r="AR388" i="11"/>
  <c r="AS388" i="11"/>
  <c r="AT388" i="11"/>
  <c r="AU388" i="11"/>
  <c r="AV388" i="11"/>
  <c r="AW388" i="11"/>
  <c r="AX388" i="11"/>
  <c r="AY388" i="11"/>
  <c r="AZ388" i="11"/>
  <c r="BA388" i="11"/>
  <c r="BB388" i="11"/>
  <c r="BC388" i="11"/>
  <c r="BD388" i="11"/>
  <c r="BE388" i="11"/>
  <c r="BF388" i="11"/>
  <c r="BG388" i="11"/>
  <c r="BH388" i="11"/>
  <c r="BI388" i="11"/>
  <c r="BJ388" i="11"/>
  <c r="BK388" i="11"/>
  <c r="BL388" i="11"/>
  <c r="BM388" i="11"/>
  <c r="BN388" i="11"/>
  <c r="BO388" i="11"/>
  <c r="BP388" i="11"/>
  <c r="BQ388" i="11"/>
  <c r="BR388" i="11"/>
  <c r="BS388" i="11"/>
  <c r="BT388" i="11"/>
  <c r="BU388" i="11"/>
  <c r="BV388" i="11"/>
  <c r="BW388" i="11"/>
  <c r="BX388" i="11"/>
  <c r="BY388" i="11"/>
  <c r="BZ388" i="11"/>
  <c r="CA388" i="11"/>
  <c r="CB388" i="11"/>
  <c r="CC388" i="11"/>
  <c r="CD388" i="11"/>
  <c r="CE388" i="11"/>
  <c r="CF388" i="11"/>
  <c r="CG388" i="11"/>
  <c r="CH388" i="11"/>
  <c r="CI388" i="11"/>
  <c r="CJ388" i="11"/>
  <c r="CK388" i="11"/>
  <c r="CL388" i="11"/>
  <c r="CM388" i="11"/>
  <c r="CN388" i="11"/>
  <c r="CO388" i="11"/>
  <c r="CP388" i="11"/>
  <c r="CQ388" i="11"/>
  <c r="CR388" i="11"/>
  <c r="CS388" i="11"/>
  <c r="CT388" i="11"/>
  <c r="CU388" i="11"/>
  <c r="CV388" i="11"/>
  <c r="CW388" i="11"/>
  <c r="CX388" i="11"/>
  <c r="CY388" i="11"/>
  <c r="CZ388" i="11"/>
  <c r="DA388" i="11"/>
  <c r="DB388" i="11"/>
  <c r="DC388" i="11"/>
  <c r="DD388" i="11"/>
  <c r="DE388" i="11"/>
  <c r="DF388" i="11"/>
  <c r="DG388" i="11"/>
  <c r="DH388" i="11"/>
  <c r="DI388" i="11"/>
  <c r="DJ388" i="11"/>
  <c r="DK388" i="11"/>
  <c r="DL388" i="11"/>
  <c r="DM388" i="11"/>
  <c r="DN388" i="11"/>
  <c r="DO388" i="11"/>
  <c r="DP388" i="11"/>
  <c r="DQ388" i="11"/>
  <c r="DR388" i="11"/>
  <c r="DS388" i="11"/>
  <c r="DT388" i="11"/>
  <c r="DU388" i="11"/>
  <c r="DV388" i="11"/>
  <c r="DW388" i="11"/>
  <c r="DX388" i="11"/>
  <c r="DY388" i="11"/>
  <c r="DZ388" i="11"/>
  <c r="EA388" i="11"/>
  <c r="EB388" i="11"/>
  <c r="EC388" i="11"/>
  <c r="ED388" i="11"/>
  <c r="EE388" i="11"/>
  <c r="EF388" i="11"/>
  <c r="EG388" i="11"/>
  <c r="EH388" i="11"/>
  <c r="EI388" i="11"/>
  <c r="EJ388" i="11"/>
  <c r="EK388" i="11"/>
  <c r="EL388" i="11"/>
  <c r="EM388" i="11"/>
  <c r="EN388" i="11"/>
  <c r="EO388" i="11"/>
  <c r="EP388" i="11"/>
  <c r="EQ388" i="11"/>
  <c r="ER388" i="11"/>
  <c r="ES388" i="11"/>
  <c r="ET388" i="11"/>
  <c r="EU388" i="11"/>
  <c r="EV388" i="11"/>
  <c r="EW388" i="11"/>
  <c r="EX388" i="11"/>
  <c r="EY388" i="11"/>
  <c r="EZ388" i="11"/>
  <c r="FA388" i="11"/>
  <c r="FB388" i="11"/>
  <c r="FC388" i="11"/>
  <c r="FD388" i="11"/>
  <c r="FE388" i="11"/>
  <c r="FF388" i="11"/>
  <c r="FG388" i="11"/>
  <c r="FH388" i="11"/>
  <c r="FI388" i="11"/>
  <c r="FJ388" i="11"/>
  <c r="FK388" i="11"/>
  <c r="FL388" i="11"/>
  <c r="FM388" i="11"/>
  <c r="FN388" i="11"/>
  <c r="FO388" i="11"/>
  <c r="FP388" i="11"/>
  <c r="FQ388" i="11"/>
  <c r="FR388" i="11"/>
  <c r="FS388" i="11"/>
  <c r="FT388" i="11"/>
  <c r="FU388" i="11"/>
  <c r="FV388" i="11"/>
  <c r="FW388" i="11"/>
  <c r="FX388" i="11"/>
  <c r="FY388" i="11"/>
  <c r="FZ388" i="11"/>
  <c r="GA388" i="11"/>
  <c r="GB388" i="11"/>
  <c r="GC388" i="11"/>
  <c r="GD388" i="11"/>
  <c r="GE388" i="11"/>
  <c r="GF388" i="11"/>
  <c r="GG388" i="11"/>
  <c r="GH388" i="11"/>
  <c r="GI388" i="11"/>
  <c r="GJ388" i="11"/>
  <c r="GK388" i="11"/>
  <c r="GL388" i="11"/>
  <c r="GM388" i="11"/>
  <c r="GN388" i="11"/>
  <c r="GO388" i="11"/>
  <c r="GP388" i="11"/>
  <c r="GQ388" i="11"/>
  <c r="GR388" i="11"/>
  <c r="GS388" i="11"/>
  <c r="GT388" i="11"/>
  <c r="GU388" i="11"/>
  <c r="GV388" i="11"/>
  <c r="GW388" i="11"/>
  <c r="GX388" i="11"/>
  <c r="GY388" i="11"/>
  <c r="GZ388" i="11"/>
  <c r="HA388" i="11"/>
  <c r="HB388" i="11"/>
  <c r="HC388" i="11"/>
  <c r="HD388" i="11"/>
  <c r="HE388" i="11"/>
  <c r="HF388" i="11"/>
  <c r="HG388" i="11"/>
  <c r="HH388" i="11"/>
  <c r="HI388" i="11"/>
  <c r="HJ388" i="11"/>
  <c r="HK388" i="11"/>
  <c r="HL388" i="11"/>
  <c r="HM388" i="11"/>
  <c r="HN388" i="11"/>
  <c r="HO388" i="11"/>
  <c r="HP388" i="11"/>
  <c r="HQ388" i="11"/>
  <c r="HR388" i="11"/>
  <c r="HS388" i="11"/>
  <c r="HT388" i="11"/>
  <c r="HU388" i="11"/>
  <c r="HV388" i="11"/>
  <c r="HW388" i="11"/>
  <c r="HX388" i="11"/>
  <c r="HY388" i="11"/>
  <c r="HZ388" i="11"/>
  <c r="IA388" i="11"/>
  <c r="IB388" i="11"/>
  <c r="IC388" i="11"/>
  <c r="ID388" i="11"/>
  <c r="IE388" i="11"/>
  <c r="IF388" i="11"/>
  <c r="IG388" i="11"/>
  <c r="IH388" i="11"/>
  <c r="II388" i="11"/>
  <c r="IJ388" i="11"/>
  <c r="IK388" i="11"/>
  <c r="IL388" i="11"/>
  <c r="IM388" i="11"/>
  <c r="IN388" i="11"/>
  <c r="IO388" i="11"/>
  <c r="IP388" i="11"/>
  <c r="IQ388" i="11"/>
  <c r="IR388" i="11"/>
  <c r="IS388" i="11"/>
  <c r="IT388" i="11"/>
  <c r="IU388" i="11"/>
  <c r="IV388" i="11"/>
  <c r="F389" i="11"/>
  <c r="G389" i="11"/>
  <c r="H389" i="11"/>
  <c r="I389" i="11"/>
  <c r="J389" i="11"/>
  <c r="K389" i="11"/>
  <c r="L389" i="11"/>
  <c r="M389" i="11"/>
  <c r="N389" i="11"/>
  <c r="O389" i="11"/>
  <c r="P389" i="11"/>
  <c r="Q389" i="11"/>
  <c r="R389" i="11"/>
  <c r="S389" i="11"/>
  <c r="T389" i="11"/>
  <c r="U389" i="11"/>
  <c r="V389" i="11"/>
  <c r="W389" i="11"/>
  <c r="X389" i="11"/>
  <c r="Y389" i="11"/>
  <c r="Z389" i="11"/>
  <c r="AA389" i="11"/>
  <c r="AB389" i="11"/>
  <c r="AC389" i="11"/>
  <c r="AD389" i="11"/>
  <c r="AE389" i="11"/>
  <c r="AF389" i="11"/>
  <c r="AG389" i="11"/>
  <c r="AH389" i="11"/>
  <c r="AI389" i="11"/>
  <c r="AJ389" i="11"/>
  <c r="AK389" i="11"/>
  <c r="AL389" i="11"/>
  <c r="AM389" i="11"/>
  <c r="AN389" i="11"/>
  <c r="AO389" i="11"/>
  <c r="AP389" i="11"/>
  <c r="AQ389" i="11"/>
  <c r="AR389" i="11"/>
  <c r="AS389" i="11"/>
  <c r="AT389" i="11"/>
  <c r="AU389" i="11"/>
  <c r="AV389" i="11"/>
  <c r="AW389" i="11"/>
  <c r="AX389" i="11"/>
  <c r="AY389" i="11"/>
  <c r="AZ389" i="11"/>
  <c r="BA389" i="11"/>
  <c r="BB389" i="11"/>
  <c r="BC389" i="11"/>
  <c r="BD389" i="11"/>
  <c r="BE389" i="11"/>
  <c r="BF389" i="11"/>
  <c r="BG389" i="11"/>
  <c r="BH389" i="11"/>
  <c r="BI389" i="11"/>
  <c r="BJ389" i="11"/>
  <c r="BK389" i="11"/>
  <c r="BL389" i="11"/>
  <c r="BM389" i="11"/>
  <c r="BN389" i="11"/>
  <c r="BO389" i="11"/>
  <c r="BP389" i="11"/>
  <c r="BQ389" i="11"/>
  <c r="BR389" i="11"/>
  <c r="BS389" i="11"/>
  <c r="BT389" i="11"/>
  <c r="BU389" i="11"/>
  <c r="BV389" i="11"/>
  <c r="BW389" i="11"/>
  <c r="BX389" i="11"/>
  <c r="BY389" i="11"/>
  <c r="BZ389" i="11"/>
  <c r="CA389" i="11"/>
  <c r="CB389" i="11"/>
  <c r="CC389" i="11"/>
  <c r="CD389" i="11"/>
  <c r="CE389" i="11"/>
  <c r="CF389" i="11"/>
  <c r="CG389" i="11"/>
  <c r="CH389" i="11"/>
  <c r="CI389" i="11"/>
  <c r="CJ389" i="11"/>
  <c r="CK389" i="11"/>
  <c r="CL389" i="11"/>
  <c r="CM389" i="11"/>
  <c r="CN389" i="11"/>
  <c r="CO389" i="11"/>
  <c r="CP389" i="11"/>
  <c r="CQ389" i="11"/>
  <c r="CR389" i="11"/>
  <c r="CS389" i="11"/>
  <c r="CT389" i="11"/>
  <c r="CU389" i="11"/>
  <c r="CV389" i="11"/>
  <c r="CW389" i="11"/>
  <c r="CX389" i="11"/>
  <c r="CY389" i="11"/>
  <c r="CZ389" i="11"/>
  <c r="DA389" i="11"/>
  <c r="DB389" i="11"/>
  <c r="DC389" i="11"/>
  <c r="DD389" i="11"/>
  <c r="DE389" i="11"/>
  <c r="DF389" i="11"/>
  <c r="DG389" i="11"/>
  <c r="DH389" i="11"/>
  <c r="DI389" i="11"/>
  <c r="DJ389" i="11"/>
  <c r="DK389" i="11"/>
  <c r="DL389" i="11"/>
  <c r="DM389" i="11"/>
  <c r="DN389" i="11"/>
  <c r="DO389" i="11"/>
  <c r="DP389" i="11"/>
  <c r="DQ389" i="11"/>
  <c r="DR389" i="11"/>
  <c r="DS389" i="11"/>
  <c r="DT389" i="11"/>
  <c r="DU389" i="11"/>
  <c r="DV389" i="11"/>
  <c r="DW389" i="11"/>
  <c r="DX389" i="11"/>
  <c r="DY389" i="11"/>
  <c r="DZ389" i="11"/>
  <c r="EA389" i="11"/>
  <c r="EB389" i="11"/>
  <c r="EC389" i="11"/>
  <c r="ED389" i="11"/>
  <c r="EE389" i="11"/>
  <c r="EF389" i="11"/>
  <c r="EG389" i="11"/>
  <c r="EH389" i="11"/>
  <c r="EI389" i="11"/>
  <c r="EJ389" i="11"/>
  <c r="EK389" i="11"/>
  <c r="EL389" i="11"/>
  <c r="EM389" i="11"/>
  <c r="EN389" i="11"/>
  <c r="EO389" i="11"/>
  <c r="EP389" i="11"/>
  <c r="EQ389" i="11"/>
  <c r="ER389" i="11"/>
  <c r="ES389" i="11"/>
  <c r="ET389" i="11"/>
  <c r="EU389" i="11"/>
  <c r="EV389" i="11"/>
  <c r="EW389" i="11"/>
  <c r="EX389" i="11"/>
  <c r="EY389" i="11"/>
  <c r="EZ389" i="11"/>
  <c r="FA389" i="11"/>
  <c r="FB389" i="11"/>
  <c r="FC389" i="11"/>
  <c r="FD389" i="11"/>
  <c r="FE389" i="11"/>
  <c r="FF389" i="11"/>
  <c r="FG389" i="11"/>
  <c r="FH389" i="11"/>
  <c r="FI389" i="11"/>
  <c r="FJ389" i="11"/>
  <c r="FK389" i="11"/>
  <c r="FL389" i="11"/>
  <c r="FM389" i="11"/>
  <c r="FN389" i="11"/>
  <c r="FO389" i="11"/>
  <c r="FP389" i="11"/>
  <c r="FQ389" i="11"/>
  <c r="FR389" i="11"/>
  <c r="FS389" i="11"/>
  <c r="FT389" i="11"/>
  <c r="FU389" i="11"/>
  <c r="FV389" i="11"/>
  <c r="FW389" i="11"/>
  <c r="FX389" i="11"/>
  <c r="FY389" i="11"/>
  <c r="FZ389" i="11"/>
  <c r="GA389" i="11"/>
  <c r="GB389" i="11"/>
  <c r="GC389" i="11"/>
  <c r="GD389" i="11"/>
  <c r="GE389" i="11"/>
  <c r="GF389" i="11"/>
  <c r="GG389" i="11"/>
  <c r="GH389" i="11"/>
  <c r="GI389" i="11"/>
  <c r="GJ389" i="11"/>
  <c r="GK389" i="11"/>
  <c r="GL389" i="11"/>
  <c r="GM389" i="11"/>
  <c r="GN389" i="11"/>
  <c r="GO389" i="11"/>
  <c r="GP389" i="11"/>
  <c r="GQ389" i="11"/>
  <c r="GR389" i="11"/>
  <c r="GS389" i="11"/>
  <c r="GT389" i="11"/>
  <c r="GU389" i="11"/>
  <c r="GV389" i="11"/>
  <c r="GW389" i="11"/>
  <c r="GX389" i="11"/>
  <c r="GY389" i="11"/>
  <c r="GZ389" i="11"/>
  <c r="HA389" i="11"/>
  <c r="HB389" i="11"/>
  <c r="HC389" i="11"/>
  <c r="HD389" i="11"/>
  <c r="HE389" i="11"/>
  <c r="HF389" i="11"/>
  <c r="HG389" i="11"/>
  <c r="HH389" i="11"/>
  <c r="HI389" i="11"/>
  <c r="HJ389" i="11"/>
  <c r="HK389" i="11"/>
  <c r="HL389" i="11"/>
  <c r="HM389" i="11"/>
  <c r="HN389" i="11"/>
  <c r="HO389" i="11"/>
  <c r="HP389" i="11"/>
  <c r="HQ389" i="11"/>
  <c r="HR389" i="11"/>
  <c r="HS389" i="11"/>
  <c r="HT389" i="11"/>
  <c r="HU389" i="11"/>
  <c r="HV389" i="11"/>
  <c r="HW389" i="11"/>
  <c r="HX389" i="11"/>
  <c r="HY389" i="11"/>
  <c r="HZ389" i="11"/>
  <c r="IA389" i="11"/>
  <c r="IB389" i="11"/>
  <c r="IC389" i="11"/>
  <c r="ID389" i="11"/>
  <c r="IE389" i="11"/>
  <c r="IF389" i="11"/>
  <c r="IG389" i="11"/>
  <c r="IH389" i="11"/>
  <c r="II389" i="11"/>
  <c r="IJ389" i="11"/>
  <c r="IK389" i="11"/>
  <c r="IL389" i="11"/>
  <c r="IM389" i="11"/>
  <c r="IN389" i="11"/>
  <c r="IO389" i="11"/>
  <c r="IP389" i="11"/>
  <c r="IQ389" i="11"/>
  <c r="IR389" i="11"/>
  <c r="IS389" i="11"/>
  <c r="IT389" i="11"/>
  <c r="IU389" i="11"/>
  <c r="IV389" i="11"/>
  <c r="F390" i="11"/>
  <c r="G390" i="11"/>
  <c r="H390" i="11"/>
  <c r="I390" i="11"/>
  <c r="J390" i="11"/>
  <c r="K390" i="11"/>
  <c r="L390" i="11"/>
  <c r="M390" i="11"/>
  <c r="N390" i="11"/>
  <c r="O390" i="11"/>
  <c r="P390" i="11"/>
  <c r="Q390" i="11"/>
  <c r="R390" i="11"/>
  <c r="S390" i="11"/>
  <c r="T390" i="11"/>
  <c r="U390" i="11"/>
  <c r="V390" i="11"/>
  <c r="W390" i="11"/>
  <c r="X390" i="11"/>
  <c r="Y390" i="11"/>
  <c r="Z390" i="11"/>
  <c r="AA390" i="11"/>
  <c r="AB390" i="11"/>
  <c r="AC390" i="11"/>
  <c r="AD390" i="11"/>
  <c r="AE390" i="11"/>
  <c r="AF390" i="11"/>
  <c r="AG390" i="11"/>
  <c r="AH390" i="11"/>
  <c r="AI390" i="11"/>
  <c r="AJ390" i="11"/>
  <c r="AK390" i="11"/>
  <c r="AL390" i="11"/>
  <c r="AM390" i="11"/>
  <c r="AN390" i="11"/>
  <c r="AO390" i="11"/>
  <c r="AP390" i="11"/>
  <c r="AQ390" i="11"/>
  <c r="AR390" i="11"/>
  <c r="AS390" i="11"/>
  <c r="AT390" i="11"/>
  <c r="AU390" i="11"/>
  <c r="AV390" i="11"/>
  <c r="AW390" i="11"/>
  <c r="AX390" i="11"/>
  <c r="AY390" i="11"/>
  <c r="AZ390" i="11"/>
  <c r="BA390" i="11"/>
  <c r="BB390" i="11"/>
  <c r="BC390" i="11"/>
  <c r="BD390" i="11"/>
  <c r="BE390" i="11"/>
  <c r="BF390" i="11"/>
  <c r="BG390" i="11"/>
  <c r="BH390" i="11"/>
  <c r="BI390" i="11"/>
  <c r="BJ390" i="11"/>
  <c r="BK390" i="11"/>
  <c r="BL390" i="11"/>
  <c r="BM390" i="11"/>
  <c r="BN390" i="11"/>
  <c r="BO390" i="11"/>
  <c r="BP390" i="11"/>
  <c r="BQ390" i="11"/>
  <c r="BR390" i="11"/>
  <c r="BS390" i="11"/>
  <c r="BT390" i="11"/>
  <c r="BU390" i="11"/>
  <c r="BV390" i="11"/>
  <c r="BW390" i="11"/>
  <c r="BX390" i="11"/>
  <c r="BY390" i="11"/>
  <c r="BZ390" i="11"/>
  <c r="CA390" i="11"/>
  <c r="CB390" i="11"/>
  <c r="CC390" i="11"/>
  <c r="CD390" i="11"/>
  <c r="CE390" i="11"/>
  <c r="CF390" i="11"/>
  <c r="CG390" i="11"/>
  <c r="CH390" i="11"/>
  <c r="CI390" i="11"/>
  <c r="CJ390" i="11"/>
  <c r="CK390" i="11"/>
  <c r="CL390" i="11"/>
  <c r="CM390" i="11"/>
  <c r="CN390" i="11"/>
  <c r="CO390" i="11"/>
  <c r="CP390" i="11"/>
  <c r="CQ390" i="11"/>
  <c r="CR390" i="11"/>
  <c r="CS390" i="11"/>
  <c r="CT390" i="11"/>
  <c r="CU390" i="11"/>
  <c r="CV390" i="11"/>
  <c r="CW390" i="11"/>
  <c r="CX390" i="11"/>
  <c r="CY390" i="11"/>
  <c r="CZ390" i="11"/>
  <c r="DA390" i="11"/>
  <c r="DB390" i="11"/>
  <c r="DC390" i="11"/>
  <c r="DD390" i="11"/>
  <c r="DE390" i="11"/>
  <c r="DF390" i="11"/>
  <c r="DG390" i="11"/>
  <c r="DH390" i="11"/>
  <c r="DI390" i="11"/>
  <c r="DJ390" i="11"/>
  <c r="DK390" i="11"/>
  <c r="DL390" i="11"/>
  <c r="DM390" i="11"/>
  <c r="DN390" i="11"/>
  <c r="DO390" i="11"/>
  <c r="DP390" i="11"/>
  <c r="DQ390" i="11"/>
  <c r="DR390" i="11"/>
  <c r="DS390" i="11"/>
  <c r="DT390" i="11"/>
  <c r="DU390" i="11"/>
  <c r="DV390" i="11"/>
  <c r="DW390" i="11"/>
  <c r="DX390" i="11"/>
  <c r="DY390" i="11"/>
  <c r="DZ390" i="11"/>
  <c r="EA390" i="11"/>
  <c r="EB390" i="11"/>
  <c r="EC390" i="11"/>
  <c r="ED390" i="11"/>
  <c r="EE390" i="11"/>
  <c r="EF390" i="11"/>
  <c r="EG390" i="11"/>
  <c r="EH390" i="11"/>
  <c r="EI390" i="11"/>
  <c r="EJ390" i="11"/>
  <c r="EK390" i="11"/>
  <c r="EL390" i="11"/>
  <c r="EM390" i="11"/>
  <c r="EN390" i="11"/>
  <c r="EO390" i="11"/>
  <c r="EP390" i="11"/>
  <c r="EQ390" i="11"/>
  <c r="ER390" i="11"/>
  <c r="ES390" i="11"/>
  <c r="ET390" i="11"/>
  <c r="EU390" i="11"/>
  <c r="EV390" i="11"/>
  <c r="EW390" i="11"/>
  <c r="EX390" i="11"/>
  <c r="EY390" i="11"/>
  <c r="EZ390" i="11"/>
  <c r="FA390" i="11"/>
  <c r="FB390" i="11"/>
  <c r="FC390" i="11"/>
  <c r="FD390" i="11"/>
  <c r="FE390" i="11"/>
  <c r="FF390" i="11"/>
  <c r="FG390" i="11"/>
  <c r="FH390" i="11"/>
  <c r="FI390" i="11"/>
  <c r="FJ390" i="11"/>
  <c r="FK390" i="11"/>
  <c r="FL390" i="11"/>
  <c r="FM390" i="11"/>
  <c r="FN390" i="11"/>
  <c r="FO390" i="11"/>
  <c r="FP390" i="11"/>
  <c r="FQ390" i="11"/>
  <c r="FR390" i="11"/>
  <c r="FS390" i="11"/>
  <c r="FT390" i="11"/>
  <c r="FU390" i="11"/>
  <c r="FV390" i="11"/>
  <c r="FW390" i="11"/>
  <c r="FX390" i="11"/>
  <c r="FY390" i="11"/>
  <c r="FZ390" i="11"/>
  <c r="GA390" i="11"/>
  <c r="GB390" i="11"/>
  <c r="GC390" i="11"/>
  <c r="GD390" i="11"/>
  <c r="GE390" i="11"/>
  <c r="GF390" i="11"/>
  <c r="GG390" i="11"/>
  <c r="GH390" i="11"/>
  <c r="GI390" i="11"/>
  <c r="GJ390" i="11"/>
  <c r="GK390" i="11"/>
  <c r="GL390" i="11"/>
  <c r="GM390" i="11"/>
  <c r="GN390" i="11"/>
  <c r="GO390" i="11"/>
  <c r="GP390" i="11"/>
  <c r="GQ390" i="11"/>
  <c r="GR390" i="11"/>
  <c r="GS390" i="11"/>
  <c r="GT390" i="11"/>
  <c r="GU390" i="11"/>
  <c r="GV390" i="11"/>
  <c r="GW390" i="11"/>
  <c r="GX390" i="11"/>
  <c r="GY390" i="11"/>
  <c r="GZ390" i="11"/>
  <c r="HA390" i="11"/>
  <c r="HB390" i="11"/>
  <c r="HC390" i="11"/>
  <c r="HD390" i="11"/>
  <c r="HE390" i="11"/>
  <c r="HF390" i="11"/>
  <c r="HG390" i="11"/>
  <c r="HH390" i="11"/>
  <c r="HI390" i="11"/>
  <c r="HJ390" i="11"/>
  <c r="HK390" i="11"/>
  <c r="HL390" i="11"/>
  <c r="HM390" i="11"/>
  <c r="HN390" i="11"/>
  <c r="HO390" i="11"/>
  <c r="HP390" i="11"/>
  <c r="HQ390" i="11"/>
  <c r="HR390" i="11"/>
  <c r="HS390" i="11"/>
  <c r="HT390" i="11"/>
  <c r="HU390" i="11"/>
  <c r="HV390" i="11"/>
  <c r="HW390" i="11"/>
  <c r="HX390" i="11"/>
  <c r="HY390" i="11"/>
  <c r="HZ390" i="11"/>
  <c r="IA390" i="11"/>
  <c r="IB390" i="11"/>
  <c r="IC390" i="11"/>
  <c r="ID390" i="11"/>
  <c r="IE390" i="11"/>
  <c r="IF390" i="11"/>
  <c r="IG390" i="11"/>
  <c r="IH390" i="11"/>
  <c r="II390" i="11"/>
  <c r="IJ390" i="11"/>
  <c r="IK390" i="11"/>
  <c r="IL390" i="11"/>
  <c r="IM390" i="11"/>
  <c r="IN390" i="11"/>
  <c r="IO390" i="11"/>
  <c r="IP390" i="11"/>
  <c r="IQ390" i="11"/>
  <c r="IR390" i="11"/>
  <c r="IS390" i="11"/>
  <c r="IT390" i="11"/>
  <c r="IU390" i="11"/>
  <c r="IV390" i="11"/>
  <c r="F391" i="11"/>
  <c r="G391" i="11"/>
  <c r="H391" i="11"/>
  <c r="I391" i="11"/>
  <c r="J391" i="11"/>
  <c r="K391" i="11"/>
  <c r="L391" i="11"/>
  <c r="M391" i="11"/>
  <c r="N391" i="11"/>
  <c r="O391" i="11"/>
  <c r="P391" i="11"/>
  <c r="Q391" i="11"/>
  <c r="R391" i="11"/>
  <c r="S391" i="11"/>
  <c r="T391" i="11"/>
  <c r="U391" i="11"/>
  <c r="V391" i="11"/>
  <c r="W391" i="11"/>
  <c r="X391" i="11"/>
  <c r="Y391" i="11"/>
  <c r="Z391" i="11"/>
  <c r="AA391" i="11"/>
  <c r="AB391" i="11"/>
  <c r="AC391" i="11"/>
  <c r="AD391" i="11"/>
  <c r="AE391" i="11"/>
  <c r="AF391" i="11"/>
  <c r="AG391" i="11"/>
  <c r="AH391" i="11"/>
  <c r="AI391" i="11"/>
  <c r="AJ391" i="11"/>
  <c r="AK391" i="11"/>
  <c r="AL391" i="11"/>
  <c r="AM391" i="11"/>
  <c r="AN391" i="11"/>
  <c r="AO391" i="11"/>
  <c r="AP391" i="11"/>
  <c r="AQ391" i="11"/>
  <c r="AR391" i="11"/>
  <c r="AS391" i="11"/>
  <c r="AT391" i="11"/>
  <c r="AU391" i="11"/>
  <c r="AV391" i="11"/>
  <c r="AW391" i="11"/>
  <c r="AX391" i="11"/>
  <c r="AY391" i="11"/>
  <c r="AZ391" i="11"/>
  <c r="BA391" i="11"/>
  <c r="BB391" i="11"/>
  <c r="BC391" i="11"/>
  <c r="BD391" i="11"/>
  <c r="BE391" i="11"/>
  <c r="BF391" i="11"/>
  <c r="BG391" i="11"/>
  <c r="BH391" i="11"/>
  <c r="BI391" i="11"/>
  <c r="BJ391" i="11"/>
  <c r="BK391" i="11"/>
  <c r="BL391" i="11"/>
  <c r="BM391" i="11"/>
  <c r="BN391" i="11"/>
  <c r="BO391" i="11"/>
  <c r="BP391" i="11"/>
  <c r="BQ391" i="11"/>
  <c r="BR391" i="11"/>
  <c r="BS391" i="11"/>
  <c r="BT391" i="11"/>
  <c r="BU391" i="11"/>
  <c r="BV391" i="11"/>
  <c r="BW391" i="11"/>
  <c r="BX391" i="11"/>
  <c r="BY391" i="11"/>
  <c r="BZ391" i="11"/>
  <c r="CA391" i="11"/>
  <c r="CB391" i="11"/>
  <c r="CC391" i="11"/>
  <c r="CD391" i="11"/>
  <c r="CE391" i="11"/>
  <c r="CF391" i="11"/>
  <c r="CG391" i="11"/>
  <c r="CH391" i="11"/>
  <c r="CI391" i="11"/>
  <c r="CJ391" i="11"/>
  <c r="CK391" i="11"/>
  <c r="CL391" i="11"/>
  <c r="CM391" i="11"/>
  <c r="CN391" i="11"/>
  <c r="CO391" i="11"/>
  <c r="CP391" i="11"/>
  <c r="CQ391" i="11"/>
  <c r="CR391" i="11"/>
  <c r="CS391" i="11"/>
  <c r="CT391" i="11"/>
  <c r="CU391" i="11"/>
  <c r="CV391" i="11"/>
  <c r="CW391" i="11"/>
  <c r="CX391" i="11"/>
  <c r="CY391" i="11"/>
  <c r="CZ391" i="11"/>
  <c r="DA391" i="11"/>
  <c r="DB391" i="11"/>
  <c r="DC391" i="11"/>
  <c r="DD391" i="11"/>
  <c r="DE391" i="11"/>
  <c r="DF391" i="11"/>
  <c r="DG391" i="11"/>
  <c r="DH391" i="11"/>
  <c r="DI391" i="11"/>
  <c r="DJ391" i="11"/>
  <c r="DK391" i="11"/>
  <c r="DL391" i="11"/>
  <c r="DM391" i="11"/>
  <c r="DN391" i="11"/>
  <c r="DO391" i="11"/>
  <c r="DP391" i="11"/>
  <c r="DQ391" i="11"/>
  <c r="DR391" i="11"/>
  <c r="DS391" i="11"/>
  <c r="DT391" i="11"/>
  <c r="DU391" i="11"/>
  <c r="DV391" i="11"/>
  <c r="DW391" i="11"/>
  <c r="DX391" i="11"/>
  <c r="DY391" i="11"/>
  <c r="DZ391" i="11"/>
  <c r="EA391" i="11"/>
  <c r="EB391" i="11"/>
  <c r="EC391" i="11"/>
  <c r="ED391" i="11"/>
  <c r="EE391" i="11"/>
  <c r="EF391" i="11"/>
  <c r="EG391" i="11"/>
  <c r="EH391" i="11"/>
  <c r="EI391" i="11"/>
  <c r="EJ391" i="11"/>
  <c r="EK391" i="11"/>
  <c r="EL391" i="11"/>
  <c r="EM391" i="11"/>
  <c r="EN391" i="11"/>
  <c r="EO391" i="11"/>
  <c r="EP391" i="11"/>
  <c r="EQ391" i="11"/>
  <c r="ER391" i="11"/>
  <c r="ES391" i="11"/>
  <c r="ET391" i="11"/>
  <c r="EU391" i="11"/>
  <c r="EV391" i="11"/>
  <c r="EW391" i="11"/>
  <c r="EX391" i="11"/>
  <c r="EY391" i="11"/>
  <c r="EZ391" i="11"/>
  <c r="FA391" i="11"/>
  <c r="FB391" i="11"/>
  <c r="FC391" i="11"/>
  <c r="FD391" i="11"/>
  <c r="FE391" i="11"/>
  <c r="FF391" i="11"/>
  <c r="FG391" i="11"/>
  <c r="FH391" i="11"/>
  <c r="FI391" i="11"/>
  <c r="FJ391" i="11"/>
  <c r="FK391" i="11"/>
  <c r="FL391" i="11"/>
  <c r="FM391" i="11"/>
  <c r="FN391" i="11"/>
  <c r="FO391" i="11"/>
  <c r="FP391" i="11"/>
  <c r="FQ391" i="11"/>
  <c r="FR391" i="11"/>
  <c r="FS391" i="11"/>
  <c r="FT391" i="11"/>
  <c r="FU391" i="11"/>
  <c r="FV391" i="11"/>
  <c r="FW391" i="11"/>
  <c r="FX391" i="11"/>
  <c r="FY391" i="11"/>
  <c r="FZ391" i="11"/>
  <c r="GA391" i="11"/>
  <c r="GB391" i="11"/>
  <c r="GC391" i="11"/>
  <c r="GD391" i="11"/>
  <c r="GE391" i="11"/>
  <c r="GF391" i="11"/>
  <c r="GG391" i="11"/>
  <c r="GH391" i="11"/>
  <c r="GI391" i="11"/>
  <c r="GJ391" i="11"/>
  <c r="GK391" i="11"/>
  <c r="GL391" i="11"/>
  <c r="GM391" i="11"/>
  <c r="GN391" i="11"/>
  <c r="GO391" i="11"/>
  <c r="GP391" i="11"/>
  <c r="GQ391" i="11"/>
  <c r="GR391" i="11"/>
  <c r="GS391" i="11"/>
  <c r="GT391" i="11"/>
  <c r="GU391" i="11"/>
  <c r="GV391" i="11"/>
  <c r="GW391" i="11"/>
  <c r="GX391" i="11"/>
  <c r="GY391" i="11"/>
  <c r="GZ391" i="11"/>
  <c r="HA391" i="11"/>
  <c r="HB391" i="11"/>
  <c r="HC391" i="11"/>
  <c r="HD391" i="11"/>
  <c r="HE391" i="11"/>
  <c r="HF391" i="11"/>
  <c r="HG391" i="11"/>
  <c r="HH391" i="11"/>
  <c r="HI391" i="11"/>
  <c r="HJ391" i="11"/>
  <c r="HK391" i="11"/>
  <c r="HL391" i="11"/>
  <c r="HM391" i="11"/>
  <c r="HN391" i="11"/>
  <c r="HO391" i="11"/>
  <c r="HP391" i="11"/>
  <c r="HQ391" i="11"/>
  <c r="HR391" i="11"/>
  <c r="HS391" i="11"/>
  <c r="HT391" i="11"/>
  <c r="HU391" i="11"/>
  <c r="HV391" i="11"/>
  <c r="HW391" i="11"/>
  <c r="HX391" i="11"/>
  <c r="HY391" i="11"/>
  <c r="HZ391" i="11"/>
  <c r="IA391" i="11"/>
  <c r="IB391" i="11"/>
  <c r="IC391" i="11"/>
  <c r="ID391" i="11"/>
  <c r="IE391" i="11"/>
  <c r="IF391" i="11"/>
  <c r="IG391" i="11"/>
  <c r="IH391" i="11"/>
  <c r="II391" i="11"/>
  <c r="IJ391" i="11"/>
  <c r="IK391" i="11"/>
  <c r="IL391" i="11"/>
  <c r="IM391" i="11"/>
  <c r="IN391" i="11"/>
  <c r="IO391" i="11"/>
  <c r="IP391" i="11"/>
  <c r="IQ391" i="11"/>
  <c r="IR391" i="11"/>
  <c r="IS391" i="11"/>
  <c r="IT391" i="11"/>
  <c r="IU391" i="11"/>
  <c r="IV391" i="11"/>
  <c r="F392" i="11"/>
  <c r="G392" i="11"/>
  <c r="H392" i="11"/>
  <c r="I392" i="11"/>
  <c r="J392" i="11"/>
  <c r="K392" i="11"/>
  <c r="L392" i="11"/>
  <c r="M392" i="11"/>
  <c r="N392" i="11"/>
  <c r="O392" i="11"/>
  <c r="P392" i="11"/>
  <c r="Q392" i="11"/>
  <c r="R392" i="11"/>
  <c r="S392" i="11"/>
  <c r="T392" i="11"/>
  <c r="U392" i="11"/>
  <c r="V392" i="11"/>
  <c r="W392" i="11"/>
  <c r="X392" i="11"/>
  <c r="Y392" i="11"/>
  <c r="Z392" i="11"/>
  <c r="AA392" i="11"/>
  <c r="AB392" i="11"/>
  <c r="AC392" i="11"/>
  <c r="AD392" i="11"/>
  <c r="AE392" i="11"/>
  <c r="AF392" i="11"/>
  <c r="AG392" i="11"/>
  <c r="AH392" i="11"/>
  <c r="AI392" i="11"/>
  <c r="AJ392" i="11"/>
  <c r="AK392" i="11"/>
  <c r="AL392" i="11"/>
  <c r="AM392" i="11"/>
  <c r="AN392" i="11"/>
  <c r="AO392" i="11"/>
  <c r="AP392" i="11"/>
  <c r="AQ392" i="11"/>
  <c r="AR392" i="11"/>
  <c r="AS392" i="11"/>
  <c r="AT392" i="11"/>
  <c r="AU392" i="11"/>
  <c r="AV392" i="11"/>
  <c r="AW392" i="11"/>
  <c r="AX392" i="11"/>
  <c r="AY392" i="11"/>
  <c r="AZ392" i="11"/>
  <c r="BA392" i="11"/>
  <c r="BB392" i="11"/>
  <c r="BC392" i="11"/>
  <c r="BD392" i="11"/>
  <c r="BE392" i="11"/>
  <c r="BF392" i="11"/>
  <c r="BG392" i="11"/>
  <c r="BH392" i="11"/>
  <c r="BI392" i="11"/>
  <c r="BJ392" i="11"/>
  <c r="BK392" i="11"/>
  <c r="BL392" i="11"/>
  <c r="BM392" i="11"/>
  <c r="BN392" i="11"/>
  <c r="BO392" i="11"/>
  <c r="BP392" i="11"/>
  <c r="BQ392" i="11"/>
  <c r="BR392" i="11"/>
  <c r="BS392" i="11"/>
  <c r="BT392" i="11"/>
  <c r="BU392" i="11"/>
  <c r="BV392" i="11"/>
  <c r="BW392" i="11"/>
  <c r="BX392" i="11"/>
  <c r="BY392" i="11"/>
  <c r="BZ392" i="11"/>
  <c r="CA392" i="11"/>
  <c r="CB392" i="11"/>
  <c r="CC392" i="11"/>
  <c r="CD392" i="11"/>
  <c r="CE392" i="11"/>
  <c r="CF392" i="11"/>
  <c r="CG392" i="11"/>
  <c r="CH392" i="11"/>
  <c r="CI392" i="11"/>
  <c r="CJ392" i="11"/>
  <c r="CK392" i="11"/>
  <c r="CL392" i="11"/>
  <c r="CM392" i="11"/>
  <c r="CN392" i="11"/>
  <c r="CO392" i="11"/>
  <c r="CP392" i="11"/>
  <c r="CQ392" i="11"/>
  <c r="CR392" i="11"/>
  <c r="CS392" i="11"/>
  <c r="CT392" i="11"/>
  <c r="CU392" i="11"/>
  <c r="CV392" i="11"/>
  <c r="CW392" i="11"/>
  <c r="CX392" i="11"/>
  <c r="CY392" i="11"/>
  <c r="CZ392" i="11"/>
  <c r="DA392" i="11"/>
  <c r="DB392" i="11"/>
  <c r="DC392" i="11"/>
  <c r="DD392" i="11"/>
  <c r="DE392" i="11"/>
  <c r="DF392" i="11"/>
  <c r="DG392" i="11"/>
  <c r="DH392" i="11"/>
  <c r="DI392" i="11"/>
  <c r="DJ392" i="11"/>
  <c r="DK392" i="11"/>
  <c r="DL392" i="11"/>
  <c r="DM392" i="11"/>
  <c r="DN392" i="11"/>
  <c r="DO392" i="11"/>
  <c r="DP392" i="11"/>
  <c r="DQ392" i="11"/>
  <c r="DR392" i="11"/>
  <c r="DS392" i="11"/>
  <c r="DT392" i="11"/>
  <c r="DU392" i="11"/>
  <c r="DV392" i="11"/>
  <c r="DW392" i="11"/>
  <c r="DX392" i="11"/>
  <c r="DY392" i="11"/>
  <c r="DZ392" i="11"/>
  <c r="EA392" i="11"/>
  <c r="EB392" i="11"/>
  <c r="EC392" i="11"/>
  <c r="ED392" i="11"/>
  <c r="EE392" i="11"/>
  <c r="EF392" i="11"/>
  <c r="EG392" i="11"/>
  <c r="EH392" i="11"/>
  <c r="EI392" i="11"/>
  <c r="EJ392" i="11"/>
  <c r="EK392" i="11"/>
  <c r="EL392" i="11"/>
  <c r="EM392" i="11"/>
  <c r="EN392" i="11"/>
  <c r="EO392" i="11"/>
  <c r="EP392" i="11"/>
  <c r="EQ392" i="11"/>
  <c r="ER392" i="11"/>
  <c r="ES392" i="11"/>
  <c r="ET392" i="11"/>
  <c r="EU392" i="11"/>
  <c r="EV392" i="11"/>
  <c r="EW392" i="11"/>
  <c r="EX392" i="11"/>
  <c r="EY392" i="11"/>
  <c r="EZ392" i="11"/>
  <c r="FA392" i="11"/>
  <c r="FB392" i="11"/>
  <c r="FC392" i="11"/>
  <c r="FD392" i="11"/>
  <c r="FE392" i="11"/>
  <c r="FF392" i="11"/>
  <c r="FG392" i="11"/>
  <c r="FH392" i="11"/>
  <c r="FI392" i="11"/>
  <c r="FJ392" i="11"/>
  <c r="FK392" i="11"/>
  <c r="FL392" i="11"/>
  <c r="FM392" i="11"/>
  <c r="FN392" i="11"/>
  <c r="FO392" i="11"/>
  <c r="FP392" i="11"/>
  <c r="FQ392" i="11"/>
  <c r="FR392" i="11"/>
  <c r="FS392" i="11"/>
  <c r="FT392" i="11"/>
  <c r="FU392" i="11"/>
  <c r="FV392" i="11"/>
  <c r="FW392" i="11"/>
  <c r="FX392" i="11"/>
  <c r="FY392" i="11"/>
  <c r="FZ392" i="11"/>
  <c r="GA392" i="11"/>
  <c r="GB392" i="11"/>
  <c r="GC392" i="11"/>
  <c r="GD392" i="11"/>
  <c r="GE392" i="11"/>
  <c r="GF392" i="11"/>
  <c r="GG392" i="11"/>
  <c r="GH392" i="11"/>
  <c r="GI392" i="11"/>
  <c r="GJ392" i="11"/>
  <c r="GK392" i="11"/>
  <c r="GL392" i="11"/>
  <c r="GM392" i="11"/>
  <c r="GN392" i="11"/>
  <c r="GO392" i="11"/>
  <c r="GP392" i="11"/>
  <c r="GQ392" i="11"/>
  <c r="GR392" i="11"/>
  <c r="GS392" i="11"/>
  <c r="GT392" i="11"/>
  <c r="GU392" i="11"/>
  <c r="GV392" i="11"/>
  <c r="GW392" i="11"/>
  <c r="GX392" i="11"/>
  <c r="GY392" i="11"/>
  <c r="GZ392" i="11"/>
  <c r="HA392" i="11"/>
  <c r="HB392" i="11"/>
  <c r="HC392" i="11"/>
  <c r="HD392" i="11"/>
  <c r="HE392" i="11"/>
  <c r="HF392" i="11"/>
  <c r="HG392" i="11"/>
  <c r="HH392" i="11"/>
  <c r="HI392" i="11"/>
  <c r="HJ392" i="11"/>
  <c r="HK392" i="11"/>
  <c r="HL392" i="11"/>
  <c r="HM392" i="11"/>
  <c r="HN392" i="11"/>
  <c r="HO392" i="11"/>
  <c r="HP392" i="11"/>
  <c r="HQ392" i="11"/>
  <c r="HR392" i="11"/>
  <c r="HS392" i="11"/>
  <c r="HT392" i="11"/>
  <c r="HU392" i="11"/>
  <c r="HV392" i="11"/>
  <c r="HW392" i="11"/>
  <c r="HX392" i="11"/>
  <c r="HY392" i="11"/>
  <c r="HZ392" i="11"/>
  <c r="IA392" i="11"/>
  <c r="IB392" i="11"/>
  <c r="IC392" i="11"/>
  <c r="ID392" i="11"/>
  <c r="IE392" i="11"/>
  <c r="IF392" i="11"/>
  <c r="IG392" i="11"/>
  <c r="IH392" i="11"/>
  <c r="II392" i="11"/>
  <c r="IJ392" i="11"/>
  <c r="IK392" i="11"/>
  <c r="IL392" i="11"/>
  <c r="IM392" i="11"/>
  <c r="IN392" i="11"/>
  <c r="IO392" i="11"/>
  <c r="IP392" i="11"/>
  <c r="IQ392" i="11"/>
  <c r="IR392" i="11"/>
  <c r="IS392" i="11"/>
  <c r="IT392" i="11"/>
  <c r="IU392" i="11"/>
  <c r="IV392" i="11"/>
  <c r="F393" i="11"/>
  <c r="G393" i="11"/>
  <c r="H393" i="11"/>
  <c r="I393" i="11"/>
  <c r="J393" i="11"/>
  <c r="K393" i="11"/>
  <c r="L393" i="11"/>
  <c r="M393" i="11"/>
  <c r="N393" i="11"/>
  <c r="O393" i="11"/>
  <c r="P393" i="11"/>
  <c r="Q393" i="11"/>
  <c r="R393" i="11"/>
  <c r="S393" i="11"/>
  <c r="T393" i="11"/>
  <c r="U393" i="11"/>
  <c r="V393" i="11"/>
  <c r="W393" i="11"/>
  <c r="X393" i="11"/>
  <c r="Y393" i="11"/>
  <c r="Z393" i="11"/>
  <c r="AA393" i="11"/>
  <c r="AB393" i="11"/>
  <c r="AC393" i="11"/>
  <c r="AD393" i="11"/>
  <c r="AE393" i="11"/>
  <c r="AF393" i="11"/>
  <c r="AG393" i="11"/>
  <c r="AH393" i="11"/>
  <c r="AI393" i="11"/>
  <c r="AJ393" i="11"/>
  <c r="AK393" i="11"/>
  <c r="AL393" i="11"/>
  <c r="AM393" i="11"/>
  <c r="AN393" i="11"/>
  <c r="AO393" i="11"/>
  <c r="AP393" i="11"/>
  <c r="AQ393" i="11"/>
  <c r="AR393" i="11"/>
  <c r="AS393" i="11"/>
  <c r="AT393" i="11"/>
  <c r="AU393" i="11"/>
  <c r="AV393" i="11"/>
  <c r="AW393" i="11"/>
  <c r="AX393" i="11"/>
  <c r="AY393" i="11"/>
  <c r="AZ393" i="11"/>
  <c r="BA393" i="11"/>
  <c r="BB393" i="11"/>
  <c r="BC393" i="11"/>
  <c r="BD393" i="11"/>
  <c r="BE393" i="11"/>
  <c r="BF393" i="11"/>
  <c r="BG393" i="11"/>
  <c r="BH393" i="11"/>
  <c r="BI393" i="11"/>
  <c r="BJ393" i="11"/>
  <c r="BK393" i="11"/>
  <c r="BL393" i="11"/>
  <c r="BM393" i="11"/>
  <c r="BN393" i="11"/>
  <c r="BO393" i="11"/>
  <c r="BP393" i="11"/>
  <c r="BQ393" i="11"/>
  <c r="BR393" i="11"/>
  <c r="BS393" i="11"/>
  <c r="BT393" i="11"/>
  <c r="BU393" i="11"/>
  <c r="BV393" i="11"/>
  <c r="BW393" i="11"/>
  <c r="BX393" i="11"/>
  <c r="BY393" i="11"/>
  <c r="BZ393" i="11"/>
  <c r="CA393" i="11"/>
  <c r="CB393" i="11"/>
  <c r="CC393" i="11"/>
  <c r="CD393" i="11"/>
  <c r="CE393" i="11"/>
  <c r="CF393" i="11"/>
  <c r="CG393" i="11"/>
  <c r="CH393" i="11"/>
  <c r="CI393" i="11"/>
  <c r="CJ393" i="11"/>
  <c r="CK393" i="11"/>
  <c r="CL393" i="11"/>
  <c r="CM393" i="11"/>
  <c r="CN393" i="11"/>
  <c r="CO393" i="11"/>
  <c r="CP393" i="11"/>
  <c r="CQ393" i="11"/>
  <c r="CR393" i="11"/>
  <c r="CS393" i="11"/>
  <c r="CT393" i="11"/>
  <c r="CU393" i="11"/>
  <c r="CV393" i="11"/>
  <c r="CW393" i="11"/>
  <c r="CX393" i="11"/>
  <c r="CY393" i="11"/>
  <c r="CZ393" i="11"/>
  <c r="DA393" i="11"/>
  <c r="DB393" i="11"/>
  <c r="DC393" i="11"/>
  <c r="DD393" i="11"/>
  <c r="DE393" i="11"/>
  <c r="DF393" i="11"/>
  <c r="DG393" i="11"/>
  <c r="DH393" i="11"/>
  <c r="DI393" i="11"/>
  <c r="DJ393" i="11"/>
  <c r="DK393" i="11"/>
  <c r="DL393" i="11"/>
  <c r="DM393" i="11"/>
  <c r="DN393" i="11"/>
  <c r="DO393" i="11"/>
  <c r="DP393" i="11"/>
  <c r="DQ393" i="11"/>
  <c r="DR393" i="11"/>
  <c r="DS393" i="11"/>
  <c r="DT393" i="11"/>
  <c r="DU393" i="11"/>
  <c r="DV393" i="11"/>
  <c r="DW393" i="11"/>
  <c r="DX393" i="11"/>
  <c r="DY393" i="11"/>
  <c r="DZ393" i="11"/>
  <c r="EA393" i="11"/>
  <c r="EB393" i="11"/>
  <c r="EC393" i="11"/>
  <c r="ED393" i="11"/>
  <c r="EE393" i="11"/>
  <c r="EF393" i="11"/>
  <c r="EG393" i="11"/>
  <c r="EH393" i="11"/>
  <c r="EI393" i="11"/>
  <c r="EJ393" i="11"/>
  <c r="EK393" i="11"/>
  <c r="EL393" i="11"/>
  <c r="EM393" i="11"/>
  <c r="EN393" i="11"/>
  <c r="EO393" i="11"/>
  <c r="EP393" i="11"/>
  <c r="EQ393" i="11"/>
  <c r="ER393" i="11"/>
  <c r="ES393" i="11"/>
  <c r="ET393" i="11"/>
  <c r="EU393" i="11"/>
  <c r="EV393" i="11"/>
  <c r="EW393" i="11"/>
  <c r="EX393" i="11"/>
  <c r="EY393" i="11"/>
  <c r="EZ393" i="11"/>
  <c r="FA393" i="11"/>
  <c r="FB393" i="11"/>
  <c r="FC393" i="11"/>
  <c r="FD393" i="11"/>
  <c r="FE393" i="11"/>
  <c r="FF393" i="11"/>
  <c r="FG393" i="11"/>
  <c r="FH393" i="11"/>
  <c r="FI393" i="11"/>
  <c r="FJ393" i="11"/>
  <c r="FK393" i="11"/>
  <c r="FL393" i="11"/>
  <c r="FM393" i="11"/>
  <c r="FN393" i="11"/>
  <c r="FO393" i="11"/>
  <c r="FP393" i="11"/>
  <c r="FQ393" i="11"/>
  <c r="FR393" i="11"/>
  <c r="FS393" i="11"/>
  <c r="FT393" i="11"/>
  <c r="FU393" i="11"/>
  <c r="FV393" i="11"/>
  <c r="FW393" i="11"/>
  <c r="FX393" i="11"/>
  <c r="FY393" i="11"/>
  <c r="FZ393" i="11"/>
  <c r="GA393" i="11"/>
  <c r="GB393" i="11"/>
  <c r="GC393" i="11"/>
  <c r="GD393" i="11"/>
  <c r="GE393" i="11"/>
  <c r="GF393" i="11"/>
  <c r="GG393" i="11"/>
  <c r="GH393" i="11"/>
  <c r="GI393" i="11"/>
  <c r="GJ393" i="11"/>
  <c r="GK393" i="11"/>
  <c r="GL393" i="11"/>
  <c r="GM393" i="11"/>
  <c r="GN393" i="11"/>
  <c r="GO393" i="11"/>
  <c r="GP393" i="11"/>
  <c r="GQ393" i="11"/>
  <c r="GR393" i="11"/>
  <c r="GS393" i="11"/>
  <c r="GT393" i="11"/>
  <c r="GU393" i="11"/>
  <c r="GV393" i="11"/>
  <c r="GW393" i="11"/>
  <c r="GX393" i="11"/>
  <c r="GY393" i="11"/>
  <c r="GZ393" i="11"/>
  <c r="HA393" i="11"/>
  <c r="HB393" i="11"/>
  <c r="HC393" i="11"/>
  <c r="HD393" i="11"/>
  <c r="HE393" i="11"/>
  <c r="HF393" i="11"/>
  <c r="HG393" i="11"/>
  <c r="HH393" i="11"/>
  <c r="HI393" i="11"/>
  <c r="HJ393" i="11"/>
  <c r="HK393" i="11"/>
  <c r="HL393" i="11"/>
  <c r="HM393" i="11"/>
  <c r="HN393" i="11"/>
  <c r="HO393" i="11"/>
  <c r="HP393" i="11"/>
  <c r="HQ393" i="11"/>
  <c r="HR393" i="11"/>
  <c r="HS393" i="11"/>
  <c r="HT393" i="11"/>
  <c r="HU393" i="11"/>
  <c r="HV393" i="11"/>
  <c r="HW393" i="11"/>
  <c r="HX393" i="11"/>
  <c r="HY393" i="11"/>
  <c r="HZ393" i="11"/>
  <c r="IA393" i="11"/>
  <c r="IB393" i="11"/>
  <c r="IC393" i="11"/>
  <c r="ID393" i="11"/>
  <c r="IE393" i="11"/>
  <c r="IF393" i="11"/>
  <c r="IG393" i="11"/>
  <c r="IH393" i="11"/>
  <c r="II393" i="11"/>
  <c r="IJ393" i="11"/>
  <c r="IK393" i="11"/>
  <c r="IL393" i="11"/>
  <c r="IM393" i="11"/>
  <c r="IN393" i="11"/>
  <c r="IO393" i="11"/>
  <c r="IP393" i="11"/>
  <c r="IQ393" i="11"/>
  <c r="IR393" i="11"/>
  <c r="IS393" i="11"/>
  <c r="IT393" i="11"/>
  <c r="IU393" i="11"/>
  <c r="IV393" i="11"/>
  <c r="F394" i="11"/>
  <c r="G394" i="11"/>
  <c r="H394" i="11"/>
  <c r="I394" i="11"/>
  <c r="J394" i="11"/>
  <c r="K394" i="11"/>
  <c r="L394" i="11"/>
  <c r="M394" i="11"/>
  <c r="N394" i="11"/>
  <c r="O394" i="11"/>
  <c r="P394" i="11"/>
  <c r="Q394" i="11"/>
  <c r="R394" i="11"/>
  <c r="S394" i="11"/>
  <c r="T394" i="11"/>
  <c r="U394" i="11"/>
  <c r="V394" i="11"/>
  <c r="W394" i="11"/>
  <c r="X394" i="11"/>
  <c r="Y394" i="11"/>
  <c r="Z394" i="11"/>
  <c r="AA394" i="11"/>
  <c r="AB394" i="11"/>
  <c r="AC394" i="11"/>
  <c r="AD394" i="11"/>
  <c r="AE394" i="11"/>
  <c r="AF394" i="11"/>
  <c r="AG394" i="11"/>
  <c r="AH394" i="11"/>
  <c r="AI394" i="11"/>
  <c r="AJ394" i="11"/>
  <c r="AK394" i="11"/>
  <c r="AL394" i="11"/>
  <c r="AM394" i="11"/>
  <c r="AN394" i="11"/>
  <c r="AO394" i="11"/>
  <c r="AP394" i="11"/>
  <c r="AQ394" i="11"/>
  <c r="AR394" i="11"/>
  <c r="AS394" i="11"/>
  <c r="AT394" i="11"/>
  <c r="AU394" i="11"/>
  <c r="AV394" i="11"/>
  <c r="AW394" i="11"/>
  <c r="AX394" i="11"/>
  <c r="AY394" i="11"/>
  <c r="AZ394" i="11"/>
  <c r="BA394" i="11"/>
  <c r="BB394" i="11"/>
  <c r="BC394" i="11"/>
  <c r="BD394" i="11"/>
  <c r="BE394" i="11"/>
  <c r="BF394" i="11"/>
  <c r="BG394" i="11"/>
  <c r="BH394" i="11"/>
  <c r="BI394" i="11"/>
  <c r="BJ394" i="11"/>
  <c r="BK394" i="11"/>
  <c r="BL394" i="11"/>
  <c r="BM394" i="11"/>
  <c r="BN394" i="11"/>
  <c r="BO394" i="11"/>
  <c r="BP394" i="11"/>
  <c r="BQ394" i="11"/>
  <c r="BR394" i="11"/>
  <c r="BS394" i="11"/>
  <c r="BT394" i="11"/>
  <c r="BU394" i="11"/>
  <c r="BV394" i="11"/>
  <c r="BW394" i="11"/>
  <c r="BX394" i="11"/>
  <c r="BY394" i="11"/>
  <c r="BZ394" i="11"/>
  <c r="CA394" i="11"/>
  <c r="CB394" i="11"/>
  <c r="CC394" i="11"/>
  <c r="CD394" i="11"/>
  <c r="CE394" i="11"/>
  <c r="CF394" i="11"/>
  <c r="CG394" i="11"/>
  <c r="CH394" i="11"/>
  <c r="CI394" i="11"/>
  <c r="CJ394" i="11"/>
  <c r="CK394" i="11"/>
  <c r="CL394" i="11"/>
  <c r="CM394" i="11"/>
  <c r="CN394" i="11"/>
  <c r="CO394" i="11"/>
  <c r="CP394" i="11"/>
  <c r="CQ394" i="11"/>
  <c r="CR394" i="11"/>
  <c r="CS394" i="11"/>
  <c r="CT394" i="11"/>
  <c r="CU394" i="11"/>
  <c r="CV394" i="11"/>
  <c r="CW394" i="11"/>
  <c r="CX394" i="11"/>
  <c r="CY394" i="11"/>
  <c r="CZ394" i="11"/>
  <c r="DA394" i="11"/>
  <c r="DB394" i="11"/>
  <c r="DC394" i="11"/>
  <c r="DD394" i="11"/>
  <c r="DE394" i="11"/>
  <c r="DF394" i="11"/>
  <c r="DG394" i="11"/>
  <c r="DH394" i="11"/>
  <c r="DI394" i="11"/>
  <c r="DJ394" i="11"/>
  <c r="DK394" i="11"/>
  <c r="DL394" i="11"/>
  <c r="DM394" i="11"/>
  <c r="DN394" i="11"/>
  <c r="DO394" i="11"/>
  <c r="DP394" i="11"/>
  <c r="DQ394" i="11"/>
  <c r="DR394" i="11"/>
  <c r="DS394" i="11"/>
  <c r="DT394" i="11"/>
  <c r="DU394" i="11"/>
  <c r="DV394" i="11"/>
  <c r="DW394" i="11"/>
  <c r="DX394" i="11"/>
  <c r="DY394" i="11"/>
  <c r="DZ394" i="11"/>
  <c r="EA394" i="11"/>
  <c r="EB394" i="11"/>
  <c r="EC394" i="11"/>
  <c r="ED394" i="11"/>
  <c r="EE394" i="11"/>
  <c r="EF394" i="11"/>
  <c r="EG394" i="11"/>
  <c r="EH394" i="11"/>
  <c r="EI394" i="11"/>
  <c r="EJ394" i="11"/>
  <c r="EK394" i="11"/>
  <c r="EL394" i="11"/>
  <c r="EM394" i="11"/>
  <c r="EN394" i="11"/>
  <c r="EO394" i="11"/>
  <c r="EP394" i="11"/>
  <c r="EQ394" i="11"/>
  <c r="ER394" i="11"/>
  <c r="ES394" i="11"/>
  <c r="ET394" i="11"/>
  <c r="EU394" i="11"/>
  <c r="EV394" i="11"/>
  <c r="EW394" i="11"/>
  <c r="EX394" i="11"/>
  <c r="EY394" i="11"/>
  <c r="EZ394" i="11"/>
  <c r="FA394" i="11"/>
  <c r="FB394" i="11"/>
  <c r="FC394" i="11"/>
  <c r="FD394" i="11"/>
  <c r="FE394" i="11"/>
  <c r="FF394" i="11"/>
  <c r="FG394" i="11"/>
  <c r="FH394" i="11"/>
  <c r="FI394" i="11"/>
  <c r="FJ394" i="11"/>
  <c r="FK394" i="11"/>
  <c r="FL394" i="11"/>
  <c r="FM394" i="11"/>
  <c r="FN394" i="11"/>
  <c r="FO394" i="11"/>
  <c r="FP394" i="11"/>
  <c r="FQ394" i="11"/>
  <c r="FR394" i="11"/>
  <c r="FS394" i="11"/>
  <c r="FT394" i="11"/>
  <c r="FU394" i="11"/>
  <c r="FV394" i="11"/>
  <c r="FW394" i="11"/>
  <c r="FX394" i="11"/>
  <c r="FY394" i="11"/>
  <c r="FZ394" i="11"/>
  <c r="GA394" i="11"/>
  <c r="GB394" i="11"/>
  <c r="GC394" i="11"/>
  <c r="GD394" i="11"/>
  <c r="GE394" i="11"/>
  <c r="GF394" i="11"/>
  <c r="GG394" i="11"/>
  <c r="GH394" i="11"/>
  <c r="GI394" i="11"/>
  <c r="GJ394" i="11"/>
  <c r="GK394" i="11"/>
  <c r="GL394" i="11"/>
  <c r="GM394" i="11"/>
  <c r="GN394" i="11"/>
  <c r="GO394" i="11"/>
  <c r="GP394" i="11"/>
  <c r="GQ394" i="11"/>
  <c r="GR394" i="11"/>
  <c r="GS394" i="11"/>
  <c r="GT394" i="11"/>
  <c r="GU394" i="11"/>
  <c r="GV394" i="11"/>
  <c r="GW394" i="11"/>
  <c r="GX394" i="11"/>
  <c r="GY394" i="11"/>
  <c r="GZ394" i="11"/>
  <c r="HA394" i="11"/>
  <c r="HB394" i="11"/>
  <c r="HC394" i="11"/>
  <c r="HD394" i="11"/>
  <c r="HE394" i="11"/>
  <c r="HF394" i="11"/>
  <c r="HG394" i="11"/>
  <c r="HH394" i="11"/>
  <c r="HI394" i="11"/>
  <c r="HJ394" i="11"/>
  <c r="HK394" i="11"/>
  <c r="HL394" i="11"/>
  <c r="HM394" i="11"/>
  <c r="HN394" i="11"/>
  <c r="HO394" i="11"/>
  <c r="HP394" i="11"/>
  <c r="HQ394" i="11"/>
  <c r="HR394" i="11"/>
  <c r="HS394" i="11"/>
  <c r="HT394" i="11"/>
  <c r="HU394" i="11"/>
  <c r="HV394" i="11"/>
  <c r="HW394" i="11"/>
  <c r="HX394" i="11"/>
  <c r="HY394" i="11"/>
  <c r="HZ394" i="11"/>
  <c r="IA394" i="11"/>
  <c r="IB394" i="11"/>
  <c r="IC394" i="11"/>
  <c r="ID394" i="11"/>
  <c r="IE394" i="11"/>
  <c r="IF394" i="11"/>
  <c r="IG394" i="11"/>
  <c r="IH394" i="11"/>
  <c r="II394" i="11"/>
  <c r="IJ394" i="11"/>
  <c r="IK394" i="11"/>
  <c r="IL394" i="11"/>
  <c r="IM394" i="11"/>
  <c r="IN394" i="11"/>
  <c r="IO394" i="11"/>
  <c r="IP394" i="11"/>
  <c r="IQ394" i="11"/>
  <c r="IR394" i="11"/>
  <c r="IS394" i="11"/>
  <c r="IT394" i="11"/>
  <c r="IU394" i="11"/>
  <c r="IV394" i="11"/>
  <c r="F395" i="11"/>
  <c r="G395" i="11"/>
  <c r="H395" i="11"/>
  <c r="I395" i="11"/>
  <c r="J395" i="11"/>
  <c r="K395" i="11"/>
  <c r="L395" i="11"/>
  <c r="M395" i="11"/>
  <c r="N395" i="11"/>
  <c r="O395" i="11"/>
  <c r="P395" i="11"/>
  <c r="Q395" i="11"/>
  <c r="R395" i="11"/>
  <c r="S395" i="11"/>
  <c r="T395" i="11"/>
  <c r="U395" i="11"/>
  <c r="V395" i="11"/>
  <c r="W395" i="11"/>
  <c r="X395" i="11"/>
  <c r="Y395" i="11"/>
  <c r="Z395" i="11"/>
  <c r="AA395" i="11"/>
  <c r="AB395" i="11"/>
  <c r="AC395" i="11"/>
  <c r="AD395" i="11"/>
  <c r="AE395" i="11"/>
  <c r="AF395" i="11"/>
  <c r="AG395" i="11"/>
  <c r="AH395" i="11"/>
  <c r="AI395" i="11"/>
  <c r="AJ395" i="11"/>
  <c r="AK395" i="11"/>
  <c r="AL395" i="11"/>
  <c r="AM395" i="11"/>
  <c r="AN395" i="11"/>
  <c r="AO395" i="11"/>
  <c r="AP395" i="11"/>
  <c r="AQ395" i="11"/>
  <c r="AR395" i="11"/>
  <c r="AS395" i="11"/>
  <c r="AT395" i="11"/>
  <c r="AU395" i="11"/>
  <c r="AV395" i="11"/>
  <c r="AW395" i="11"/>
  <c r="AX395" i="11"/>
  <c r="AY395" i="11"/>
  <c r="AZ395" i="11"/>
  <c r="BA395" i="11"/>
  <c r="BB395" i="11"/>
  <c r="BC395" i="11"/>
  <c r="BD395" i="11"/>
  <c r="BE395" i="11"/>
  <c r="BF395" i="11"/>
  <c r="BG395" i="11"/>
  <c r="BH395" i="11"/>
  <c r="BI395" i="11"/>
  <c r="BJ395" i="11"/>
  <c r="BK395" i="11"/>
  <c r="BL395" i="11"/>
  <c r="BM395" i="11"/>
  <c r="BN395" i="11"/>
  <c r="BO395" i="11"/>
  <c r="BP395" i="11"/>
  <c r="BQ395" i="11"/>
  <c r="BR395" i="11"/>
  <c r="BS395" i="11"/>
  <c r="BT395" i="11"/>
  <c r="BU395" i="11"/>
  <c r="BV395" i="11"/>
  <c r="BW395" i="11"/>
  <c r="BX395" i="11"/>
  <c r="BY395" i="11"/>
  <c r="BZ395" i="11"/>
  <c r="CA395" i="11"/>
  <c r="CB395" i="11"/>
  <c r="CC395" i="11"/>
  <c r="CD395" i="11"/>
  <c r="CE395" i="11"/>
  <c r="CF395" i="11"/>
  <c r="CG395" i="11"/>
  <c r="CH395" i="11"/>
  <c r="CI395" i="11"/>
  <c r="CJ395" i="11"/>
  <c r="CK395" i="11"/>
  <c r="CL395" i="11"/>
  <c r="CM395" i="11"/>
  <c r="CN395" i="11"/>
  <c r="CO395" i="11"/>
  <c r="CP395" i="11"/>
  <c r="CQ395" i="11"/>
  <c r="CR395" i="11"/>
  <c r="CS395" i="11"/>
  <c r="CT395" i="11"/>
  <c r="CU395" i="11"/>
  <c r="CV395" i="11"/>
  <c r="CW395" i="11"/>
  <c r="CX395" i="11"/>
  <c r="CY395" i="11"/>
  <c r="CZ395" i="11"/>
  <c r="DA395" i="11"/>
  <c r="DB395" i="11"/>
  <c r="DC395" i="11"/>
  <c r="DD395" i="11"/>
  <c r="DE395" i="11"/>
  <c r="DF395" i="11"/>
  <c r="DG395" i="11"/>
  <c r="DH395" i="11"/>
  <c r="DI395" i="11"/>
  <c r="DJ395" i="11"/>
  <c r="DK395" i="11"/>
  <c r="DL395" i="11"/>
  <c r="DM395" i="11"/>
  <c r="DN395" i="11"/>
  <c r="DO395" i="11"/>
  <c r="DP395" i="11"/>
  <c r="DQ395" i="11"/>
  <c r="DR395" i="11"/>
  <c r="DS395" i="11"/>
  <c r="DT395" i="11"/>
  <c r="DU395" i="11"/>
  <c r="DV395" i="11"/>
  <c r="DW395" i="11"/>
  <c r="DX395" i="11"/>
  <c r="DY395" i="11"/>
  <c r="DZ395" i="11"/>
  <c r="EA395" i="11"/>
  <c r="EB395" i="11"/>
  <c r="EC395" i="11"/>
  <c r="ED395" i="11"/>
  <c r="EE395" i="11"/>
  <c r="EF395" i="11"/>
  <c r="EG395" i="11"/>
  <c r="EH395" i="11"/>
  <c r="EI395" i="11"/>
  <c r="EJ395" i="11"/>
  <c r="EK395" i="11"/>
  <c r="EL395" i="11"/>
  <c r="EM395" i="11"/>
  <c r="EN395" i="11"/>
  <c r="EO395" i="11"/>
  <c r="EP395" i="11"/>
  <c r="EQ395" i="11"/>
  <c r="ER395" i="11"/>
  <c r="ES395" i="11"/>
  <c r="ET395" i="11"/>
  <c r="EU395" i="11"/>
  <c r="EV395" i="11"/>
  <c r="EW395" i="11"/>
  <c r="EX395" i="11"/>
  <c r="EY395" i="11"/>
  <c r="EZ395" i="11"/>
  <c r="FA395" i="11"/>
  <c r="FB395" i="11"/>
  <c r="FC395" i="11"/>
  <c r="FD395" i="11"/>
  <c r="FE395" i="11"/>
  <c r="FF395" i="11"/>
  <c r="FG395" i="11"/>
  <c r="FH395" i="11"/>
  <c r="FI395" i="11"/>
  <c r="FJ395" i="11"/>
  <c r="FK395" i="11"/>
  <c r="FL395" i="11"/>
  <c r="FM395" i="11"/>
  <c r="FN395" i="11"/>
  <c r="FO395" i="11"/>
  <c r="FP395" i="11"/>
  <c r="FQ395" i="11"/>
  <c r="FR395" i="11"/>
  <c r="FS395" i="11"/>
  <c r="FT395" i="11"/>
  <c r="FU395" i="11"/>
  <c r="FV395" i="11"/>
  <c r="FW395" i="11"/>
  <c r="FX395" i="11"/>
  <c r="FY395" i="11"/>
  <c r="FZ395" i="11"/>
  <c r="GA395" i="11"/>
  <c r="GB395" i="11"/>
  <c r="GC395" i="11"/>
  <c r="GD395" i="11"/>
  <c r="GE395" i="11"/>
  <c r="GF395" i="11"/>
  <c r="GG395" i="11"/>
  <c r="GH395" i="11"/>
  <c r="GI395" i="11"/>
  <c r="GJ395" i="11"/>
  <c r="GK395" i="11"/>
  <c r="GL395" i="11"/>
  <c r="GM395" i="11"/>
  <c r="GN395" i="11"/>
  <c r="GO395" i="11"/>
  <c r="GP395" i="11"/>
  <c r="GQ395" i="11"/>
  <c r="GR395" i="11"/>
  <c r="GS395" i="11"/>
  <c r="GT395" i="11"/>
  <c r="GU395" i="11"/>
  <c r="GV395" i="11"/>
  <c r="GW395" i="11"/>
  <c r="GX395" i="11"/>
  <c r="GY395" i="11"/>
  <c r="GZ395" i="11"/>
  <c r="HA395" i="11"/>
  <c r="HB395" i="11"/>
  <c r="HC395" i="11"/>
  <c r="HD395" i="11"/>
  <c r="HE395" i="11"/>
  <c r="HF395" i="11"/>
  <c r="HG395" i="11"/>
  <c r="HH395" i="11"/>
  <c r="HI395" i="11"/>
  <c r="HJ395" i="11"/>
  <c r="HK395" i="11"/>
  <c r="HL395" i="11"/>
  <c r="HM395" i="11"/>
  <c r="HN395" i="11"/>
  <c r="HO395" i="11"/>
  <c r="HP395" i="11"/>
  <c r="HQ395" i="11"/>
  <c r="HR395" i="11"/>
  <c r="HS395" i="11"/>
  <c r="HT395" i="11"/>
  <c r="HU395" i="11"/>
  <c r="HV395" i="11"/>
  <c r="HW395" i="11"/>
  <c r="HX395" i="11"/>
  <c r="HY395" i="11"/>
  <c r="HZ395" i="11"/>
  <c r="IA395" i="11"/>
  <c r="IB395" i="11"/>
  <c r="IC395" i="11"/>
  <c r="ID395" i="11"/>
  <c r="IE395" i="11"/>
  <c r="IF395" i="11"/>
  <c r="IG395" i="11"/>
  <c r="IH395" i="11"/>
  <c r="II395" i="11"/>
  <c r="IJ395" i="11"/>
  <c r="IK395" i="11"/>
  <c r="IL395" i="11"/>
  <c r="IM395" i="11"/>
  <c r="IN395" i="11"/>
  <c r="IO395" i="11"/>
  <c r="IP395" i="11"/>
  <c r="IQ395" i="11"/>
  <c r="IR395" i="11"/>
  <c r="IS395" i="11"/>
  <c r="IT395" i="11"/>
  <c r="IU395" i="11"/>
  <c r="IV395" i="11"/>
  <c r="F396" i="11"/>
  <c r="G396" i="11"/>
  <c r="H396" i="11"/>
  <c r="I396" i="11"/>
  <c r="J396" i="11"/>
  <c r="K396" i="11"/>
  <c r="L396" i="11"/>
  <c r="M396" i="11"/>
  <c r="N396" i="11"/>
  <c r="O396" i="11"/>
  <c r="P396" i="11"/>
  <c r="Q396" i="11"/>
  <c r="R396" i="11"/>
  <c r="S396" i="11"/>
  <c r="T396" i="11"/>
  <c r="U396" i="11"/>
  <c r="V396" i="11"/>
  <c r="W396" i="11"/>
  <c r="X396" i="11"/>
  <c r="Y396" i="11"/>
  <c r="Z396" i="11"/>
  <c r="AA396" i="11"/>
  <c r="AB396" i="11"/>
  <c r="AC396" i="11"/>
  <c r="AD396" i="11"/>
  <c r="AE396" i="11"/>
  <c r="AF396" i="11"/>
  <c r="AG396" i="11"/>
  <c r="AH396" i="11"/>
  <c r="AI396" i="11"/>
  <c r="AJ396" i="11"/>
  <c r="AK396" i="11"/>
  <c r="AL396" i="11"/>
  <c r="AM396" i="11"/>
  <c r="AN396" i="11"/>
  <c r="AO396" i="11"/>
  <c r="AP396" i="11"/>
  <c r="AQ396" i="11"/>
  <c r="AR396" i="11"/>
  <c r="AS396" i="11"/>
  <c r="AT396" i="11"/>
  <c r="AU396" i="11"/>
  <c r="AV396" i="11"/>
  <c r="AW396" i="11"/>
  <c r="AX396" i="11"/>
  <c r="AY396" i="11"/>
  <c r="AZ396" i="11"/>
  <c r="BA396" i="11"/>
  <c r="BB396" i="11"/>
  <c r="BC396" i="11"/>
  <c r="BD396" i="11"/>
  <c r="BE396" i="11"/>
  <c r="BF396" i="11"/>
  <c r="BG396" i="11"/>
  <c r="BH396" i="11"/>
  <c r="BI396" i="11"/>
  <c r="BJ396" i="11"/>
  <c r="BK396" i="11"/>
  <c r="BL396" i="11"/>
  <c r="BM396" i="11"/>
  <c r="BN396" i="11"/>
  <c r="BO396" i="11"/>
  <c r="BP396" i="11"/>
  <c r="BQ396" i="11"/>
  <c r="BR396" i="11"/>
  <c r="BS396" i="11"/>
  <c r="BT396" i="11"/>
  <c r="BU396" i="11"/>
  <c r="BV396" i="11"/>
  <c r="BW396" i="11"/>
  <c r="BX396" i="11"/>
  <c r="BY396" i="11"/>
  <c r="BZ396" i="11"/>
  <c r="CA396" i="11"/>
  <c r="CB396" i="11"/>
  <c r="CC396" i="11"/>
  <c r="CD396" i="11"/>
  <c r="CE396" i="11"/>
  <c r="CF396" i="11"/>
  <c r="CG396" i="11"/>
  <c r="CH396" i="11"/>
  <c r="CI396" i="11"/>
  <c r="CJ396" i="11"/>
  <c r="CK396" i="11"/>
  <c r="CL396" i="11"/>
  <c r="CM396" i="11"/>
  <c r="CN396" i="11"/>
  <c r="CO396" i="11"/>
  <c r="CP396" i="11"/>
  <c r="CQ396" i="11"/>
  <c r="CR396" i="11"/>
  <c r="CS396" i="11"/>
  <c r="CT396" i="11"/>
  <c r="CU396" i="11"/>
  <c r="CV396" i="11"/>
  <c r="CW396" i="11"/>
  <c r="CX396" i="11"/>
  <c r="CY396" i="11"/>
  <c r="CZ396" i="11"/>
  <c r="DA396" i="11"/>
  <c r="DB396" i="11"/>
  <c r="DC396" i="11"/>
  <c r="DD396" i="11"/>
  <c r="DE396" i="11"/>
  <c r="DF396" i="11"/>
  <c r="DG396" i="11"/>
  <c r="DH396" i="11"/>
  <c r="DI396" i="11"/>
  <c r="DJ396" i="11"/>
  <c r="DK396" i="11"/>
  <c r="DL396" i="11"/>
  <c r="DM396" i="11"/>
  <c r="DN396" i="11"/>
  <c r="DO396" i="11"/>
  <c r="DP396" i="11"/>
  <c r="DQ396" i="11"/>
  <c r="DR396" i="11"/>
  <c r="DS396" i="11"/>
  <c r="DT396" i="11"/>
  <c r="DU396" i="11"/>
  <c r="DV396" i="11"/>
  <c r="DW396" i="11"/>
  <c r="DX396" i="11"/>
  <c r="DY396" i="11"/>
  <c r="DZ396" i="11"/>
  <c r="EA396" i="11"/>
  <c r="EB396" i="11"/>
  <c r="EC396" i="11"/>
  <c r="ED396" i="11"/>
  <c r="EE396" i="11"/>
  <c r="EF396" i="11"/>
  <c r="EG396" i="11"/>
  <c r="EH396" i="11"/>
  <c r="EI396" i="11"/>
  <c r="EJ396" i="11"/>
  <c r="EK396" i="11"/>
  <c r="EL396" i="11"/>
  <c r="EM396" i="11"/>
  <c r="EN396" i="11"/>
  <c r="EO396" i="11"/>
  <c r="EP396" i="11"/>
  <c r="EQ396" i="11"/>
  <c r="ER396" i="11"/>
  <c r="ES396" i="11"/>
  <c r="ET396" i="11"/>
  <c r="EU396" i="11"/>
  <c r="EV396" i="11"/>
  <c r="EW396" i="11"/>
  <c r="EX396" i="11"/>
  <c r="EY396" i="11"/>
  <c r="EZ396" i="11"/>
  <c r="FA396" i="11"/>
  <c r="FB396" i="11"/>
  <c r="FC396" i="11"/>
  <c r="FD396" i="11"/>
  <c r="FE396" i="11"/>
  <c r="FF396" i="11"/>
  <c r="FG396" i="11"/>
  <c r="FH396" i="11"/>
  <c r="FI396" i="11"/>
  <c r="FJ396" i="11"/>
  <c r="FK396" i="11"/>
  <c r="FL396" i="11"/>
  <c r="FM396" i="11"/>
  <c r="FN396" i="11"/>
  <c r="FO396" i="11"/>
  <c r="FP396" i="11"/>
  <c r="FQ396" i="11"/>
  <c r="FR396" i="11"/>
  <c r="FS396" i="11"/>
  <c r="FT396" i="11"/>
  <c r="FU396" i="11"/>
  <c r="FV396" i="11"/>
  <c r="FW396" i="11"/>
  <c r="FX396" i="11"/>
  <c r="FY396" i="11"/>
  <c r="FZ396" i="11"/>
  <c r="GA396" i="11"/>
  <c r="GB396" i="11"/>
  <c r="GC396" i="11"/>
  <c r="GD396" i="11"/>
  <c r="GE396" i="11"/>
  <c r="GF396" i="11"/>
  <c r="GG396" i="11"/>
  <c r="GH396" i="11"/>
  <c r="GI396" i="11"/>
  <c r="GJ396" i="11"/>
  <c r="GK396" i="11"/>
  <c r="GL396" i="11"/>
  <c r="GM396" i="11"/>
  <c r="GN396" i="11"/>
  <c r="GO396" i="11"/>
  <c r="GP396" i="11"/>
  <c r="GQ396" i="11"/>
  <c r="GR396" i="11"/>
  <c r="GS396" i="11"/>
  <c r="GT396" i="11"/>
  <c r="GU396" i="11"/>
  <c r="GV396" i="11"/>
  <c r="GW396" i="11"/>
  <c r="GX396" i="11"/>
  <c r="GY396" i="11"/>
  <c r="GZ396" i="11"/>
  <c r="HA396" i="11"/>
  <c r="HB396" i="11"/>
  <c r="HC396" i="11"/>
  <c r="HD396" i="11"/>
  <c r="HE396" i="11"/>
  <c r="HF396" i="11"/>
  <c r="HG396" i="11"/>
  <c r="HH396" i="11"/>
  <c r="HI396" i="11"/>
  <c r="HJ396" i="11"/>
  <c r="HK396" i="11"/>
  <c r="HL396" i="11"/>
  <c r="HM396" i="11"/>
  <c r="HN396" i="11"/>
  <c r="HO396" i="11"/>
  <c r="HP396" i="11"/>
  <c r="HQ396" i="11"/>
  <c r="HR396" i="11"/>
  <c r="HS396" i="11"/>
  <c r="HT396" i="11"/>
  <c r="HU396" i="11"/>
  <c r="HV396" i="11"/>
  <c r="HW396" i="11"/>
  <c r="HX396" i="11"/>
  <c r="HY396" i="11"/>
  <c r="HZ396" i="11"/>
  <c r="IA396" i="11"/>
  <c r="IB396" i="11"/>
  <c r="IC396" i="11"/>
  <c r="ID396" i="11"/>
  <c r="IE396" i="11"/>
  <c r="IF396" i="11"/>
  <c r="IG396" i="11"/>
  <c r="IH396" i="11"/>
  <c r="II396" i="11"/>
  <c r="IJ396" i="11"/>
  <c r="IK396" i="11"/>
  <c r="IL396" i="11"/>
  <c r="IM396" i="11"/>
  <c r="IN396" i="11"/>
  <c r="IO396" i="11"/>
  <c r="IP396" i="11"/>
  <c r="IQ396" i="11"/>
  <c r="IR396" i="11"/>
  <c r="IS396" i="11"/>
  <c r="IT396" i="11"/>
  <c r="IU396" i="11"/>
  <c r="IV396" i="11"/>
  <c r="F397" i="11"/>
  <c r="G397" i="11"/>
  <c r="H397" i="11"/>
  <c r="I397" i="11"/>
  <c r="J397" i="11"/>
  <c r="K397" i="11"/>
  <c r="L397" i="11"/>
  <c r="M397" i="11"/>
  <c r="N397" i="11"/>
  <c r="O397" i="11"/>
  <c r="P397" i="11"/>
  <c r="Q397" i="11"/>
  <c r="R397" i="11"/>
  <c r="S397" i="11"/>
  <c r="T397" i="11"/>
  <c r="U397" i="11"/>
  <c r="V397" i="11"/>
  <c r="W397" i="11"/>
  <c r="X397" i="11"/>
  <c r="Y397" i="11"/>
  <c r="Z397" i="11"/>
  <c r="AA397" i="11"/>
  <c r="AB397" i="11"/>
  <c r="AC397" i="11"/>
  <c r="AD397" i="11"/>
  <c r="AE397" i="11"/>
  <c r="AF397" i="11"/>
  <c r="AG397" i="11"/>
  <c r="AH397" i="11"/>
  <c r="AI397" i="11"/>
  <c r="AJ397" i="11"/>
  <c r="AK397" i="11"/>
  <c r="AL397" i="11"/>
  <c r="AM397" i="11"/>
  <c r="AN397" i="11"/>
  <c r="AO397" i="11"/>
  <c r="AP397" i="11"/>
  <c r="AQ397" i="11"/>
  <c r="AR397" i="11"/>
  <c r="AS397" i="11"/>
  <c r="AT397" i="11"/>
  <c r="AU397" i="11"/>
  <c r="AV397" i="11"/>
  <c r="AW397" i="11"/>
  <c r="AX397" i="11"/>
  <c r="AY397" i="11"/>
  <c r="AZ397" i="11"/>
  <c r="BA397" i="11"/>
  <c r="BB397" i="11"/>
  <c r="BC397" i="11"/>
  <c r="BD397" i="11"/>
  <c r="BE397" i="11"/>
  <c r="BF397" i="11"/>
  <c r="BG397" i="11"/>
  <c r="BH397" i="11"/>
  <c r="BI397" i="11"/>
  <c r="BJ397" i="11"/>
  <c r="BK397" i="11"/>
  <c r="BL397" i="11"/>
  <c r="BM397" i="11"/>
  <c r="BN397" i="11"/>
  <c r="BO397" i="11"/>
  <c r="BP397" i="11"/>
  <c r="BQ397" i="11"/>
  <c r="BR397" i="11"/>
  <c r="BS397" i="11"/>
  <c r="BT397" i="11"/>
  <c r="BU397" i="11"/>
  <c r="BV397" i="11"/>
  <c r="BW397" i="11"/>
  <c r="BX397" i="11"/>
  <c r="BY397" i="11"/>
  <c r="BZ397" i="11"/>
  <c r="CA397" i="11"/>
  <c r="CB397" i="11"/>
  <c r="CC397" i="11"/>
  <c r="CD397" i="11"/>
  <c r="CE397" i="11"/>
  <c r="CF397" i="11"/>
  <c r="CG397" i="11"/>
  <c r="CH397" i="11"/>
  <c r="CI397" i="11"/>
  <c r="CJ397" i="11"/>
  <c r="CK397" i="11"/>
  <c r="CL397" i="11"/>
  <c r="CM397" i="11"/>
  <c r="CN397" i="11"/>
  <c r="CO397" i="11"/>
  <c r="CP397" i="11"/>
  <c r="CQ397" i="11"/>
  <c r="CR397" i="11"/>
  <c r="CS397" i="11"/>
  <c r="CT397" i="11"/>
  <c r="CU397" i="11"/>
  <c r="CV397" i="11"/>
  <c r="CW397" i="11"/>
  <c r="CX397" i="11"/>
  <c r="CY397" i="11"/>
  <c r="CZ397" i="11"/>
  <c r="DA397" i="11"/>
  <c r="DB397" i="11"/>
  <c r="DC397" i="11"/>
  <c r="DD397" i="11"/>
  <c r="DE397" i="11"/>
  <c r="DF397" i="11"/>
  <c r="DG397" i="11"/>
  <c r="DH397" i="11"/>
  <c r="DI397" i="11"/>
  <c r="DJ397" i="11"/>
  <c r="DK397" i="11"/>
  <c r="DL397" i="11"/>
  <c r="DM397" i="11"/>
  <c r="DN397" i="11"/>
  <c r="DO397" i="11"/>
  <c r="DP397" i="11"/>
  <c r="DQ397" i="11"/>
  <c r="DR397" i="11"/>
  <c r="DS397" i="11"/>
  <c r="DT397" i="11"/>
  <c r="DU397" i="11"/>
  <c r="DV397" i="11"/>
  <c r="DW397" i="11"/>
  <c r="DX397" i="11"/>
  <c r="DY397" i="11"/>
  <c r="DZ397" i="11"/>
  <c r="EA397" i="11"/>
  <c r="EB397" i="11"/>
  <c r="EC397" i="11"/>
  <c r="ED397" i="11"/>
  <c r="EE397" i="11"/>
  <c r="EF397" i="11"/>
  <c r="EG397" i="11"/>
  <c r="EH397" i="11"/>
  <c r="EI397" i="11"/>
  <c r="EJ397" i="11"/>
  <c r="EK397" i="11"/>
  <c r="EL397" i="11"/>
  <c r="EM397" i="11"/>
  <c r="EN397" i="11"/>
  <c r="EO397" i="11"/>
  <c r="EP397" i="11"/>
  <c r="EQ397" i="11"/>
  <c r="ER397" i="11"/>
  <c r="ES397" i="11"/>
  <c r="ET397" i="11"/>
  <c r="EU397" i="11"/>
  <c r="EV397" i="11"/>
  <c r="EW397" i="11"/>
  <c r="EX397" i="11"/>
  <c r="EY397" i="11"/>
  <c r="EZ397" i="11"/>
  <c r="FA397" i="11"/>
  <c r="FB397" i="11"/>
  <c r="FC397" i="11"/>
  <c r="FD397" i="11"/>
  <c r="FE397" i="11"/>
  <c r="FF397" i="11"/>
  <c r="FG397" i="11"/>
  <c r="FH397" i="11"/>
  <c r="FI397" i="11"/>
  <c r="FJ397" i="11"/>
  <c r="FK397" i="11"/>
  <c r="FL397" i="11"/>
  <c r="FM397" i="11"/>
  <c r="FN397" i="11"/>
  <c r="FO397" i="11"/>
  <c r="FP397" i="11"/>
  <c r="FQ397" i="11"/>
  <c r="FR397" i="11"/>
  <c r="FS397" i="11"/>
  <c r="FT397" i="11"/>
  <c r="FU397" i="11"/>
  <c r="FV397" i="11"/>
  <c r="FW397" i="11"/>
  <c r="FX397" i="11"/>
  <c r="FY397" i="11"/>
  <c r="FZ397" i="11"/>
  <c r="GA397" i="11"/>
  <c r="GB397" i="11"/>
  <c r="GC397" i="11"/>
  <c r="GD397" i="11"/>
  <c r="GE397" i="11"/>
  <c r="GF397" i="11"/>
  <c r="GG397" i="11"/>
  <c r="GH397" i="11"/>
  <c r="GI397" i="11"/>
  <c r="GJ397" i="11"/>
  <c r="GK397" i="11"/>
  <c r="GL397" i="11"/>
  <c r="GM397" i="11"/>
  <c r="GN397" i="11"/>
  <c r="GO397" i="11"/>
  <c r="GP397" i="11"/>
  <c r="GQ397" i="11"/>
  <c r="GR397" i="11"/>
  <c r="GS397" i="11"/>
  <c r="GT397" i="11"/>
  <c r="GU397" i="11"/>
  <c r="GV397" i="11"/>
  <c r="GW397" i="11"/>
  <c r="GX397" i="11"/>
  <c r="GY397" i="11"/>
  <c r="GZ397" i="11"/>
  <c r="HA397" i="11"/>
  <c r="HB397" i="11"/>
  <c r="HC397" i="11"/>
  <c r="HD397" i="11"/>
  <c r="HE397" i="11"/>
  <c r="HF397" i="11"/>
  <c r="HG397" i="11"/>
  <c r="HH397" i="11"/>
  <c r="HI397" i="11"/>
  <c r="HJ397" i="11"/>
  <c r="HK397" i="11"/>
  <c r="HL397" i="11"/>
  <c r="HM397" i="11"/>
  <c r="HN397" i="11"/>
  <c r="HO397" i="11"/>
  <c r="HP397" i="11"/>
  <c r="HQ397" i="11"/>
  <c r="HR397" i="11"/>
  <c r="HS397" i="11"/>
  <c r="HT397" i="11"/>
  <c r="HU397" i="11"/>
  <c r="HV397" i="11"/>
  <c r="HW397" i="11"/>
  <c r="HX397" i="11"/>
  <c r="HY397" i="11"/>
  <c r="HZ397" i="11"/>
  <c r="IA397" i="11"/>
  <c r="IB397" i="11"/>
  <c r="IC397" i="11"/>
  <c r="ID397" i="11"/>
  <c r="IE397" i="11"/>
  <c r="IF397" i="11"/>
  <c r="IG397" i="11"/>
  <c r="IH397" i="11"/>
  <c r="II397" i="11"/>
  <c r="IJ397" i="11"/>
  <c r="IK397" i="11"/>
  <c r="IL397" i="11"/>
  <c r="IM397" i="11"/>
  <c r="IN397" i="11"/>
  <c r="IO397" i="11"/>
  <c r="IP397" i="11"/>
  <c r="IQ397" i="11"/>
  <c r="IR397" i="11"/>
  <c r="IS397" i="11"/>
  <c r="IT397" i="11"/>
  <c r="IU397" i="11"/>
  <c r="IV397" i="11"/>
  <c r="F398" i="11"/>
  <c r="G398" i="11"/>
  <c r="H398" i="11"/>
  <c r="I398" i="11"/>
  <c r="J398" i="11"/>
  <c r="K398" i="11"/>
  <c r="L398" i="11"/>
  <c r="M398" i="11"/>
  <c r="N398" i="11"/>
  <c r="O398" i="11"/>
  <c r="P398" i="11"/>
  <c r="Q398" i="11"/>
  <c r="R398" i="11"/>
  <c r="S398" i="11"/>
  <c r="T398" i="11"/>
  <c r="U398" i="11"/>
  <c r="V398" i="11"/>
  <c r="W398" i="11"/>
  <c r="X398" i="11"/>
  <c r="Y398" i="11"/>
  <c r="Z398" i="11"/>
  <c r="AA398" i="11"/>
  <c r="AB398" i="11"/>
  <c r="AC398" i="11"/>
  <c r="AD398" i="11"/>
  <c r="AE398" i="11"/>
  <c r="AF398" i="11"/>
  <c r="AG398" i="11"/>
  <c r="AH398" i="11"/>
  <c r="AI398" i="11"/>
  <c r="AJ398" i="11"/>
  <c r="AK398" i="11"/>
  <c r="AL398" i="11"/>
  <c r="AM398" i="11"/>
  <c r="AN398" i="11"/>
  <c r="AO398" i="11"/>
  <c r="AP398" i="11"/>
  <c r="AQ398" i="11"/>
  <c r="AR398" i="11"/>
  <c r="AS398" i="11"/>
  <c r="AT398" i="11"/>
  <c r="AU398" i="11"/>
  <c r="AV398" i="11"/>
  <c r="AW398" i="11"/>
  <c r="AX398" i="11"/>
  <c r="AY398" i="11"/>
  <c r="AZ398" i="11"/>
  <c r="BA398" i="11"/>
  <c r="BB398" i="11"/>
  <c r="BC398" i="11"/>
  <c r="BD398" i="11"/>
  <c r="BE398" i="11"/>
  <c r="BF398" i="11"/>
  <c r="BG398" i="11"/>
  <c r="BH398" i="11"/>
  <c r="BI398" i="11"/>
  <c r="BJ398" i="11"/>
  <c r="BK398" i="11"/>
  <c r="BL398" i="11"/>
  <c r="BM398" i="11"/>
  <c r="BN398" i="11"/>
  <c r="BO398" i="11"/>
  <c r="BP398" i="11"/>
  <c r="BQ398" i="11"/>
  <c r="BR398" i="11"/>
  <c r="BS398" i="11"/>
  <c r="BT398" i="11"/>
  <c r="BU398" i="11"/>
  <c r="BV398" i="11"/>
  <c r="BW398" i="11"/>
  <c r="BX398" i="11"/>
  <c r="BY398" i="11"/>
  <c r="BZ398" i="11"/>
  <c r="CA398" i="11"/>
  <c r="CB398" i="11"/>
  <c r="CC398" i="11"/>
  <c r="CD398" i="11"/>
  <c r="CE398" i="11"/>
  <c r="CF398" i="11"/>
  <c r="CG398" i="11"/>
  <c r="CH398" i="11"/>
  <c r="CI398" i="11"/>
  <c r="CJ398" i="11"/>
  <c r="CK398" i="11"/>
  <c r="CL398" i="11"/>
  <c r="CM398" i="11"/>
  <c r="CN398" i="11"/>
  <c r="CO398" i="11"/>
  <c r="CP398" i="11"/>
  <c r="CQ398" i="11"/>
  <c r="CR398" i="11"/>
  <c r="CS398" i="11"/>
  <c r="CT398" i="11"/>
  <c r="CU398" i="11"/>
  <c r="CV398" i="11"/>
  <c r="CW398" i="11"/>
  <c r="CX398" i="11"/>
  <c r="CY398" i="11"/>
  <c r="CZ398" i="11"/>
  <c r="DA398" i="11"/>
  <c r="DB398" i="11"/>
  <c r="DC398" i="11"/>
  <c r="DD398" i="11"/>
  <c r="DE398" i="11"/>
  <c r="DF398" i="11"/>
  <c r="DG398" i="11"/>
  <c r="DH398" i="11"/>
  <c r="DI398" i="11"/>
  <c r="DJ398" i="11"/>
  <c r="DK398" i="11"/>
  <c r="DL398" i="11"/>
  <c r="DM398" i="11"/>
  <c r="DN398" i="11"/>
  <c r="DO398" i="11"/>
  <c r="DP398" i="11"/>
  <c r="DQ398" i="11"/>
  <c r="DR398" i="11"/>
  <c r="DS398" i="11"/>
  <c r="DT398" i="11"/>
  <c r="DU398" i="11"/>
  <c r="DV398" i="11"/>
  <c r="DW398" i="11"/>
  <c r="DX398" i="11"/>
  <c r="DY398" i="11"/>
  <c r="DZ398" i="11"/>
  <c r="EA398" i="11"/>
  <c r="EB398" i="11"/>
  <c r="EC398" i="11"/>
  <c r="ED398" i="11"/>
  <c r="EE398" i="11"/>
  <c r="EF398" i="11"/>
  <c r="EG398" i="11"/>
  <c r="EH398" i="11"/>
  <c r="EI398" i="11"/>
  <c r="EJ398" i="11"/>
  <c r="EK398" i="11"/>
  <c r="EL398" i="11"/>
  <c r="EM398" i="11"/>
  <c r="EN398" i="11"/>
  <c r="EO398" i="11"/>
  <c r="EP398" i="11"/>
  <c r="EQ398" i="11"/>
  <c r="ER398" i="11"/>
  <c r="ES398" i="11"/>
  <c r="ET398" i="11"/>
  <c r="EU398" i="11"/>
  <c r="EV398" i="11"/>
  <c r="EW398" i="11"/>
  <c r="EX398" i="11"/>
  <c r="EY398" i="11"/>
  <c r="EZ398" i="11"/>
  <c r="FA398" i="11"/>
  <c r="FB398" i="11"/>
  <c r="FC398" i="11"/>
  <c r="FD398" i="11"/>
  <c r="FE398" i="11"/>
  <c r="FF398" i="11"/>
  <c r="FG398" i="11"/>
  <c r="FH398" i="11"/>
  <c r="FI398" i="11"/>
  <c r="FJ398" i="11"/>
  <c r="FK398" i="11"/>
  <c r="FL398" i="11"/>
  <c r="FM398" i="11"/>
  <c r="FN398" i="11"/>
  <c r="FO398" i="11"/>
  <c r="FP398" i="11"/>
  <c r="FQ398" i="11"/>
  <c r="FR398" i="11"/>
  <c r="FS398" i="11"/>
  <c r="FT398" i="11"/>
  <c r="FU398" i="11"/>
  <c r="FV398" i="11"/>
  <c r="FW398" i="11"/>
  <c r="FX398" i="11"/>
  <c r="FY398" i="11"/>
  <c r="FZ398" i="11"/>
  <c r="GA398" i="11"/>
  <c r="GB398" i="11"/>
  <c r="GC398" i="11"/>
  <c r="GD398" i="11"/>
  <c r="GE398" i="11"/>
  <c r="GF398" i="11"/>
  <c r="GG398" i="11"/>
  <c r="GH398" i="11"/>
  <c r="GI398" i="11"/>
  <c r="GJ398" i="11"/>
  <c r="GK398" i="11"/>
  <c r="GL398" i="11"/>
  <c r="GM398" i="11"/>
  <c r="GN398" i="11"/>
  <c r="GO398" i="11"/>
  <c r="GP398" i="11"/>
  <c r="GQ398" i="11"/>
  <c r="GR398" i="11"/>
  <c r="GS398" i="11"/>
  <c r="GT398" i="11"/>
  <c r="GU398" i="11"/>
  <c r="GV398" i="11"/>
  <c r="GW398" i="11"/>
  <c r="GX398" i="11"/>
  <c r="GY398" i="11"/>
  <c r="GZ398" i="11"/>
  <c r="HA398" i="11"/>
  <c r="HB398" i="11"/>
  <c r="HC398" i="11"/>
  <c r="HD398" i="11"/>
  <c r="HE398" i="11"/>
  <c r="HF398" i="11"/>
  <c r="HG398" i="11"/>
  <c r="HH398" i="11"/>
  <c r="HI398" i="11"/>
  <c r="HJ398" i="11"/>
  <c r="HK398" i="11"/>
  <c r="HL398" i="11"/>
  <c r="HM398" i="11"/>
  <c r="HN398" i="11"/>
  <c r="HO398" i="11"/>
  <c r="HP398" i="11"/>
  <c r="HQ398" i="11"/>
  <c r="HR398" i="11"/>
  <c r="HS398" i="11"/>
  <c r="HT398" i="11"/>
  <c r="HU398" i="11"/>
  <c r="HV398" i="11"/>
  <c r="HW398" i="11"/>
  <c r="HX398" i="11"/>
  <c r="HY398" i="11"/>
  <c r="HZ398" i="11"/>
  <c r="IA398" i="11"/>
  <c r="IB398" i="11"/>
  <c r="IC398" i="11"/>
  <c r="ID398" i="11"/>
  <c r="IE398" i="11"/>
  <c r="IF398" i="11"/>
  <c r="IG398" i="11"/>
  <c r="IH398" i="11"/>
  <c r="II398" i="11"/>
  <c r="IJ398" i="11"/>
  <c r="IK398" i="11"/>
  <c r="IL398" i="11"/>
  <c r="IM398" i="11"/>
  <c r="IN398" i="11"/>
  <c r="IO398" i="11"/>
  <c r="IP398" i="11"/>
  <c r="IQ398" i="11"/>
  <c r="IR398" i="11"/>
  <c r="IS398" i="11"/>
  <c r="IT398" i="11"/>
  <c r="IU398" i="11"/>
  <c r="IV398" i="11"/>
  <c r="F399" i="11"/>
  <c r="G399" i="11"/>
  <c r="H399" i="11"/>
  <c r="I399" i="11"/>
  <c r="J399" i="11"/>
  <c r="K399" i="11"/>
  <c r="L399" i="11"/>
  <c r="M399" i="11"/>
  <c r="N399" i="11"/>
  <c r="O399" i="11"/>
  <c r="P399" i="11"/>
  <c r="Q399" i="11"/>
  <c r="R399" i="11"/>
  <c r="S399" i="11"/>
  <c r="T399" i="11"/>
  <c r="U399" i="11"/>
  <c r="V399" i="11"/>
  <c r="W399" i="11"/>
  <c r="X399" i="11"/>
  <c r="Y399" i="11"/>
  <c r="Z399" i="11"/>
  <c r="AA399" i="11"/>
  <c r="AB399" i="11"/>
  <c r="AC399" i="11"/>
  <c r="AD399" i="11"/>
  <c r="AE399" i="11"/>
  <c r="AF399" i="11"/>
  <c r="AG399" i="11"/>
  <c r="AH399" i="11"/>
  <c r="AI399" i="11"/>
  <c r="AJ399" i="11"/>
  <c r="AK399" i="11"/>
  <c r="AL399" i="11"/>
  <c r="AM399" i="11"/>
  <c r="AN399" i="11"/>
  <c r="AO399" i="11"/>
  <c r="AP399" i="11"/>
  <c r="AQ399" i="11"/>
  <c r="AR399" i="11"/>
  <c r="AS399" i="11"/>
  <c r="AT399" i="11"/>
  <c r="AU399" i="11"/>
  <c r="AV399" i="11"/>
  <c r="AW399" i="11"/>
  <c r="AX399" i="11"/>
  <c r="AY399" i="11"/>
  <c r="AZ399" i="11"/>
  <c r="BA399" i="11"/>
  <c r="BB399" i="11"/>
  <c r="BC399" i="11"/>
  <c r="BD399" i="11"/>
  <c r="BE399" i="11"/>
  <c r="BF399" i="11"/>
  <c r="BG399" i="11"/>
  <c r="BH399" i="11"/>
  <c r="BI399" i="11"/>
  <c r="BJ399" i="11"/>
  <c r="BK399" i="11"/>
  <c r="BL399" i="11"/>
  <c r="BM399" i="11"/>
  <c r="BN399" i="11"/>
  <c r="BO399" i="11"/>
  <c r="BP399" i="11"/>
  <c r="BQ399" i="11"/>
  <c r="BR399" i="11"/>
  <c r="BS399" i="11"/>
  <c r="BT399" i="11"/>
  <c r="BU399" i="11"/>
  <c r="BV399" i="11"/>
  <c r="BW399" i="11"/>
  <c r="BX399" i="11"/>
  <c r="BY399" i="11"/>
  <c r="BZ399" i="11"/>
  <c r="CA399" i="11"/>
  <c r="CB399" i="11"/>
  <c r="CC399" i="11"/>
  <c r="CD399" i="11"/>
  <c r="CE399" i="11"/>
  <c r="CF399" i="11"/>
  <c r="CG399" i="11"/>
  <c r="CH399" i="11"/>
  <c r="CI399" i="11"/>
  <c r="CJ399" i="11"/>
  <c r="CK399" i="11"/>
  <c r="CL399" i="11"/>
  <c r="CM399" i="11"/>
  <c r="CN399" i="11"/>
  <c r="CO399" i="11"/>
  <c r="CP399" i="11"/>
  <c r="CQ399" i="11"/>
  <c r="CR399" i="11"/>
  <c r="CS399" i="11"/>
  <c r="CT399" i="11"/>
  <c r="CU399" i="11"/>
  <c r="CV399" i="11"/>
  <c r="CW399" i="11"/>
  <c r="CX399" i="11"/>
  <c r="CY399" i="11"/>
  <c r="CZ399" i="11"/>
  <c r="DA399" i="11"/>
  <c r="DB399" i="11"/>
  <c r="DC399" i="11"/>
  <c r="DD399" i="11"/>
  <c r="DE399" i="11"/>
  <c r="DF399" i="11"/>
  <c r="DG399" i="11"/>
  <c r="DH399" i="11"/>
  <c r="DI399" i="11"/>
  <c r="DJ399" i="11"/>
  <c r="DK399" i="11"/>
  <c r="DL399" i="11"/>
  <c r="DM399" i="11"/>
  <c r="DN399" i="11"/>
  <c r="DO399" i="11"/>
  <c r="DP399" i="11"/>
  <c r="DQ399" i="11"/>
  <c r="DR399" i="11"/>
  <c r="DS399" i="11"/>
  <c r="DT399" i="11"/>
  <c r="DU399" i="11"/>
  <c r="DV399" i="11"/>
  <c r="DW399" i="11"/>
  <c r="DX399" i="11"/>
  <c r="DY399" i="11"/>
  <c r="DZ399" i="11"/>
  <c r="EA399" i="11"/>
  <c r="EB399" i="11"/>
  <c r="EC399" i="11"/>
  <c r="ED399" i="11"/>
  <c r="EE399" i="11"/>
  <c r="EF399" i="11"/>
  <c r="EG399" i="11"/>
  <c r="EH399" i="11"/>
  <c r="EI399" i="11"/>
  <c r="EJ399" i="11"/>
  <c r="EK399" i="11"/>
  <c r="EL399" i="11"/>
  <c r="EM399" i="11"/>
  <c r="EN399" i="11"/>
  <c r="EO399" i="11"/>
  <c r="EP399" i="11"/>
  <c r="EQ399" i="11"/>
  <c r="ER399" i="11"/>
  <c r="ES399" i="11"/>
  <c r="ET399" i="11"/>
  <c r="EU399" i="11"/>
  <c r="EV399" i="11"/>
  <c r="EW399" i="11"/>
  <c r="EX399" i="11"/>
  <c r="EY399" i="11"/>
  <c r="EZ399" i="11"/>
  <c r="FA399" i="11"/>
  <c r="FB399" i="11"/>
  <c r="FC399" i="11"/>
  <c r="FD399" i="11"/>
  <c r="FE399" i="11"/>
  <c r="FF399" i="11"/>
  <c r="FG399" i="11"/>
  <c r="FH399" i="11"/>
  <c r="FI399" i="11"/>
  <c r="FJ399" i="11"/>
  <c r="FK399" i="11"/>
  <c r="FL399" i="11"/>
  <c r="FM399" i="11"/>
  <c r="FN399" i="11"/>
  <c r="FO399" i="11"/>
  <c r="FP399" i="11"/>
  <c r="FQ399" i="11"/>
  <c r="FR399" i="11"/>
  <c r="FS399" i="11"/>
  <c r="FT399" i="11"/>
  <c r="FU399" i="11"/>
  <c r="FV399" i="11"/>
  <c r="FW399" i="11"/>
  <c r="FX399" i="11"/>
  <c r="FY399" i="11"/>
  <c r="FZ399" i="11"/>
  <c r="GA399" i="11"/>
  <c r="GB399" i="11"/>
  <c r="GC399" i="11"/>
  <c r="GD399" i="11"/>
  <c r="GE399" i="11"/>
  <c r="GF399" i="11"/>
  <c r="GG399" i="11"/>
  <c r="GH399" i="11"/>
  <c r="GI399" i="11"/>
  <c r="GJ399" i="11"/>
  <c r="GK399" i="11"/>
  <c r="GL399" i="11"/>
  <c r="GM399" i="11"/>
  <c r="GN399" i="11"/>
  <c r="GO399" i="11"/>
  <c r="GP399" i="11"/>
  <c r="GQ399" i="11"/>
  <c r="GR399" i="11"/>
  <c r="GS399" i="11"/>
  <c r="GT399" i="11"/>
  <c r="GU399" i="11"/>
  <c r="GV399" i="11"/>
  <c r="GW399" i="11"/>
  <c r="GX399" i="11"/>
  <c r="GY399" i="11"/>
  <c r="GZ399" i="11"/>
  <c r="HA399" i="11"/>
  <c r="HB399" i="11"/>
  <c r="HC399" i="11"/>
  <c r="HD399" i="11"/>
  <c r="HE399" i="11"/>
  <c r="HF399" i="11"/>
  <c r="HG399" i="11"/>
  <c r="HH399" i="11"/>
  <c r="HI399" i="11"/>
  <c r="HJ399" i="11"/>
  <c r="HK399" i="11"/>
  <c r="HL399" i="11"/>
  <c r="HM399" i="11"/>
  <c r="HN399" i="11"/>
  <c r="HO399" i="11"/>
  <c r="HP399" i="11"/>
  <c r="HQ399" i="11"/>
  <c r="HR399" i="11"/>
  <c r="HS399" i="11"/>
  <c r="HT399" i="11"/>
  <c r="HU399" i="11"/>
  <c r="HV399" i="11"/>
  <c r="HW399" i="11"/>
  <c r="HX399" i="11"/>
  <c r="HY399" i="11"/>
  <c r="HZ399" i="11"/>
  <c r="IA399" i="11"/>
  <c r="IB399" i="11"/>
  <c r="IC399" i="11"/>
  <c r="ID399" i="11"/>
  <c r="IE399" i="11"/>
  <c r="IF399" i="11"/>
  <c r="IG399" i="11"/>
  <c r="IH399" i="11"/>
  <c r="II399" i="11"/>
  <c r="IJ399" i="11"/>
  <c r="IK399" i="11"/>
  <c r="IL399" i="11"/>
  <c r="IM399" i="11"/>
  <c r="IN399" i="11"/>
  <c r="IO399" i="11"/>
  <c r="IP399" i="11"/>
  <c r="IQ399" i="11"/>
  <c r="IR399" i="11"/>
  <c r="IS399" i="11"/>
  <c r="IT399" i="11"/>
  <c r="IU399" i="11"/>
  <c r="IV399" i="11"/>
  <c r="F400" i="11"/>
  <c r="G400" i="11"/>
  <c r="H400" i="11"/>
  <c r="I400" i="11"/>
  <c r="J400" i="11"/>
  <c r="K400" i="11"/>
  <c r="L400" i="11"/>
  <c r="M400" i="11"/>
  <c r="N400" i="11"/>
  <c r="O400" i="11"/>
  <c r="P400" i="11"/>
  <c r="Q400" i="11"/>
  <c r="R400" i="11"/>
  <c r="S400" i="11"/>
  <c r="T400" i="11"/>
  <c r="U400" i="11"/>
  <c r="V400" i="11"/>
  <c r="W400" i="11"/>
  <c r="X400" i="11"/>
  <c r="Y400" i="11"/>
  <c r="Z400" i="11"/>
  <c r="AA400" i="11"/>
  <c r="AB400" i="11"/>
  <c r="AC400" i="11"/>
  <c r="AD400" i="11"/>
  <c r="AE400" i="11"/>
  <c r="AF400" i="11"/>
  <c r="AG400" i="11"/>
  <c r="AH400" i="11"/>
  <c r="AI400" i="11"/>
  <c r="AJ400" i="11"/>
  <c r="AK400" i="11"/>
  <c r="AL400" i="11"/>
  <c r="AM400" i="11"/>
  <c r="AN400" i="11"/>
  <c r="AO400" i="11"/>
  <c r="AP400" i="11"/>
  <c r="AQ400" i="11"/>
  <c r="AR400" i="11"/>
  <c r="AS400" i="11"/>
  <c r="AT400" i="11"/>
  <c r="AU400" i="11"/>
  <c r="AV400" i="11"/>
  <c r="AW400" i="11"/>
  <c r="AX400" i="11"/>
  <c r="AY400" i="11"/>
  <c r="AZ400" i="11"/>
  <c r="BA400" i="11"/>
  <c r="BB400" i="11"/>
  <c r="BC400" i="11"/>
  <c r="BD400" i="11"/>
  <c r="BE400" i="11"/>
  <c r="BF400" i="11"/>
  <c r="BG400" i="11"/>
  <c r="BH400" i="11"/>
  <c r="BI400" i="11"/>
  <c r="BJ400" i="11"/>
  <c r="BK400" i="11"/>
  <c r="BL400" i="11"/>
  <c r="BM400" i="11"/>
  <c r="BN400" i="11"/>
  <c r="BO400" i="11"/>
  <c r="BP400" i="11"/>
  <c r="BQ400" i="11"/>
  <c r="BR400" i="11"/>
  <c r="BS400" i="11"/>
  <c r="BT400" i="11"/>
  <c r="BU400" i="11"/>
  <c r="BV400" i="11"/>
  <c r="BW400" i="11"/>
  <c r="BX400" i="11"/>
  <c r="BY400" i="11"/>
  <c r="BZ400" i="11"/>
  <c r="CA400" i="11"/>
  <c r="CB400" i="11"/>
  <c r="CC400" i="11"/>
  <c r="CD400" i="11"/>
  <c r="CE400" i="11"/>
  <c r="CF400" i="11"/>
  <c r="CG400" i="11"/>
  <c r="CH400" i="11"/>
  <c r="CI400" i="11"/>
  <c r="CJ400" i="11"/>
  <c r="CK400" i="11"/>
  <c r="CL400" i="11"/>
  <c r="CM400" i="11"/>
  <c r="CN400" i="11"/>
  <c r="CO400" i="11"/>
  <c r="CP400" i="11"/>
  <c r="CQ400" i="11"/>
  <c r="CR400" i="11"/>
  <c r="CS400" i="11"/>
  <c r="CT400" i="11"/>
  <c r="CU400" i="11"/>
  <c r="CV400" i="11"/>
  <c r="CW400" i="11"/>
  <c r="CX400" i="11"/>
  <c r="CY400" i="11"/>
  <c r="CZ400" i="11"/>
  <c r="DA400" i="11"/>
  <c r="DB400" i="11"/>
  <c r="DC400" i="11"/>
  <c r="DD400" i="11"/>
  <c r="DE400" i="11"/>
  <c r="DF400" i="11"/>
  <c r="DG400" i="11"/>
  <c r="DH400" i="11"/>
  <c r="DI400" i="11"/>
  <c r="DJ400" i="11"/>
  <c r="DK400" i="11"/>
  <c r="DL400" i="11"/>
  <c r="DM400" i="11"/>
  <c r="DN400" i="11"/>
  <c r="DO400" i="11"/>
  <c r="DP400" i="11"/>
  <c r="DQ400" i="11"/>
  <c r="DR400" i="11"/>
  <c r="DS400" i="11"/>
  <c r="DT400" i="11"/>
  <c r="DU400" i="11"/>
  <c r="DV400" i="11"/>
  <c r="DW400" i="11"/>
  <c r="DX400" i="11"/>
  <c r="DY400" i="11"/>
  <c r="DZ400" i="11"/>
  <c r="EA400" i="11"/>
  <c r="EB400" i="11"/>
  <c r="EC400" i="11"/>
  <c r="ED400" i="11"/>
  <c r="EE400" i="11"/>
  <c r="EF400" i="11"/>
  <c r="EG400" i="11"/>
  <c r="EH400" i="11"/>
  <c r="EI400" i="11"/>
  <c r="EJ400" i="11"/>
  <c r="EK400" i="11"/>
  <c r="EL400" i="11"/>
  <c r="EM400" i="11"/>
  <c r="EN400" i="11"/>
  <c r="EO400" i="11"/>
  <c r="EP400" i="11"/>
  <c r="EQ400" i="11"/>
  <c r="ER400" i="11"/>
  <c r="ES400" i="11"/>
  <c r="ET400" i="11"/>
  <c r="EU400" i="11"/>
  <c r="EV400" i="11"/>
  <c r="EW400" i="11"/>
  <c r="EX400" i="11"/>
  <c r="EY400" i="11"/>
  <c r="EZ400" i="11"/>
  <c r="FA400" i="11"/>
  <c r="FB400" i="11"/>
  <c r="FC400" i="11"/>
  <c r="FD400" i="11"/>
  <c r="FE400" i="11"/>
  <c r="FF400" i="11"/>
  <c r="FG400" i="11"/>
  <c r="FH400" i="11"/>
  <c r="FI400" i="11"/>
  <c r="FJ400" i="11"/>
  <c r="FK400" i="11"/>
  <c r="FL400" i="11"/>
  <c r="FM400" i="11"/>
  <c r="FN400" i="11"/>
  <c r="FO400" i="11"/>
  <c r="FP400" i="11"/>
  <c r="FQ400" i="11"/>
  <c r="FR400" i="11"/>
  <c r="FS400" i="11"/>
  <c r="FT400" i="11"/>
  <c r="FU400" i="11"/>
  <c r="FV400" i="11"/>
  <c r="FW400" i="11"/>
  <c r="FX400" i="11"/>
  <c r="FY400" i="11"/>
  <c r="FZ400" i="11"/>
  <c r="GA400" i="11"/>
  <c r="GB400" i="11"/>
  <c r="GC400" i="11"/>
  <c r="GD400" i="11"/>
  <c r="GE400" i="11"/>
  <c r="GF400" i="11"/>
  <c r="GG400" i="11"/>
  <c r="GH400" i="11"/>
  <c r="GI400" i="11"/>
  <c r="GJ400" i="11"/>
  <c r="GK400" i="11"/>
  <c r="GL400" i="11"/>
  <c r="GM400" i="11"/>
  <c r="GN400" i="11"/>
  <c r="GO400" i="11"/>
  <c r="GP400" i="11"/>
  <c r="GQ400" i="11"/>
  <c r="GR400" i="11"/>
  <c r="GS400" i="11"/>
  <c r="GT400" i="11"/>
  <c r="GU400" i="11"/>
  <c r="GV400" i="11"/>
  <c r="GW400" i="11"/>
  <c r="GX400" i="11"/>
  <c r="GY400" i="11"/>
  <c r="GZ400" i="11"/>
  <c r="HA400" i="11"/>
  <c r="HB400" i="11"/>
  <c r="HC400" i="11"/>
  <c r="HD400" i="11"/>
  <c r="HE400" i="11"/>
  <c r="HF400" i="11"/>
  <c r="HG400" i="11"/>
  <c r="HH400" i="11"/>
  <c r="HI400" i="11"/>
  <c r="HJ400" i="11"/>
  <c r="HK400" i="11"/>
  <c r="HL400" i="11"/>
  <c r="HM400" i="11"/>
  <c r="HN400" i="11"/>
  <c r="HO400" i="11"/>
  <c r="HP400" i="11"/>
  <c r="HQ400" i="11"/>
  <c r="HR400" i="11"/>
  <c r="HS400" i="11"/>
  <c r="HT400" i="11"/>
  <c r="HU400" i="11"/>
  <c r="HV400" i="11"/>
  <c r="HW400" i="11"/>
  <c r="HX400" i="11"/>
  <c r="HY400" i="11"/>
  <c r="HZ400" i="11"/>
  <c r="IA400" i="11"/>
  <c r="IB400" i="11"/>
  <c r="IC400" i="11"/>
  <c r="ID400" i="11"/>
  <c r="IE400" i="11"/>
  <c r="IF400" i="11"/>
  <c r="IG400" i="11"/>
  <c r="IH400" i="11"/>
  <c r="II400" i="11"/>
  <c r="IJ400" i="11"/>
  <c r="IK400" i="11"/>
  <c r="IL400" i="11"/>
  <c r="IM400" i="11"/>
  <c r="IN400" i="11"/>
  <c r="IO400" i="11"/>
  <c r="IP400" i="11"/>
  <c r="IQ400" i="11"/>
  <c r="IR400" i="11"/>
  <c r="IS400" i="11"/>
  <c r="IT400" i="11"/>
  <c r="IU400" i="11"/>
  <c r="IV400" i="11"/>
  <c r="F401" i="11"/>
  <c r="G401" i="11"/>
  <c r="H401" i="11"/>
  <c r="I401" i="11"/>
  <c r="J401" i="11"/>
  <c r="K401" i="11"/>
  <c r="L401" i="11"/>
  <c r="M401" i="11"/>
  <c r="N401" i="11"/>
  <c r="O401" i="11"/>
  <c r="P401" i="11"/>
  <c r="Q401" i="11"/>
  <c r="R401" i="11"/>
  <c r="S401" i="11"/>
  <c r="T401" i="11"/>
  <c r="U401" i="11"/>
  <c r="V401" i="11"/>
  <c r="W401" i="11"/>
  <c r="X401" i="11"/>
  <c r="Y401" i="11"/>
  <c r="Z401" i="11"/>
  <c r="AA401" i="11"/>
  <c r="AB401" i="11"/>
  <c r="AC401" i="11"/>
  <c r="AD401" i="11"/>
  <c r="AE401" i="11"/>
  <c r="AF401" i="11"/>
  <c r="AG401" i="11"/>
  <c r="AH401" i="11"/>
  <c r="AI401" i="11"/>
  <c r="AJ401" i="11"/>
  <c r="AK401" i="11"/>
  <c r="AL401" i="11"/>
  <c r="AM401" i="11"/>
  <c r="AN401" i="11"/>
  <c r="AO401" i="11"/>
  <c r="AP401" i="11"/>
  <c r="AQ401" i="11"/>
  <c r="AR401" i="11"/>
  <c r="AS401" i="11"/>
  <c r="AT401" i="11"/>
  <c r="AU401" i="11"/>
  <c r="AV401" i="11"/>
  <c r="AW401" i="11"/>
  <c r="AX401" i="11"/>
  <c r="AY401" i="11"/>
  <c r="AZ401" i="11"/>
  <c r="BA401" i="11"/>
  <c r="BB401" i="11"/>
  <c r="BC401" i="11"/>
  <c r="BD401" i="11"/>
  <c r="BE401" i="11"/>
  <c r="BF401" i="11"/>
  <c r="BG401" i="11"/>
  <c r="BH401" i="11"/>
  <c r="BI401" i="11"/>
  <c r="BJ401" i="11"/>
  <c r="BK401" i="11"/>
  <c r="BL401" i="11"/>
  <c r="BM401" i="11"/>
  <c r="BN401" i="11"/>
  <c r="BO401" i="11"/>
  <c r="BP401" i="11"/>
  <c r="BQ401" i="11"/>
  <c r="BR401" i="11"/>
  <c r="BS401" i="11"/>
  <c r="BT401" i="11"/>
  <c r="BU401" i="11"/>
  <c r="BV401" i="11"/>
  <c r="BW401" i="11"/>
  <c r="BX401" i="11"/>
  <c r="BY401" i="11"/>
  <c r="BZ401" i="11"/>
  <c r="CA401" i="11"/>
  <c r="CB401" i="11"/>
  <c r="CC401" i="11"/>
  <c r="CD401" i="11"/>
  <c r="CE401" i="11"/>
  <c r="CF401" i="11"/>
  <c r="CG401" i="11"/>
  <c r="CH401" i="11"/>
  <c r="CI401" i="11"/>
  <c r="CJ401" i="11"/>
  <c r="CK401" i="11"/>
  <c r="CL401" i="11"/>
  <c r="CM401" i="11"/>
  <c r="CN401" i="11"/>
  <c r="CO401" i="11"/>
  <c r="CP401" i="11"/>
  <c r="CQ401" i="11"/>
  <c r="CR401" i="11"/>
  <c r="CS401" i="11"/>
  <c r="CT401" i="11"/>
  <c r="CU401" i="11"/>
  <c r="CV401" i="11"/>
  <c r="CW401" i="11"/>
  <c r="CX401" i="11"/>
  <c r="CY401" i="11"/>
  <c r="CZ401" i="11"/>
  <c r="DA401" i="11"/>
  <c r="DB401" i="11"/>
  <c r="DC401" i="11"/>
  <c r="DD401" i="11"/>
  <c r="DE401" i="11"/>
  <c r="DF401" i="11"/>
  <c r="DG401" i="11"/>
  <c r="DH401" i="11"/>
  <c r="DI401" i="11"/>
  <c r="DJ401" i="11"/>
  <c r="DK401" i="11"/>
  <c r="DL401" i="11"/>
  <c r="DM401" i="11"/>
  <c r="DN401" i="11"/>
  <c r="DO401" i="11"/>
  <c r="DP401" i="11"/>
  <c r="DQ401" i="11"/>
  <c r="DR401" i="11"/>
  <c r="DS401" i="11"/>
  <c r="DT401" i="11"/>
  <c r="DU401" i="11"/>
  <c r="DV401" i="11"/>
  <c r="DW401" i="11"/>
  <c r="DX401" i="11"/>
  <c r="DY401" i="11"/>
  <c r="DZ401" i="11"/>
  <c r="EA401" i="11"/>
  <c r="EB401" i="11"/>
  <c r="EC401" i="11"/>
  <c r="ED401" i="11"/>
  <c r="EE401" i="11"/>
  <c r="EF401" i="11"/>
  <c r="EG401" i="11"/>
  <c r="EH401" i="11"/>
  <c r="EI401" i="11"/>
  <c r="EJ401" i="11"/>
  <c r="EK401" i="11"/>
  <c r="EL401" i="11"/>
  <c r="EM401" i="11"/>
  <c r="EN401" i="11"/>
  <c r="EO401" i="11"/>
  <c r="EP401" i="11"/>
  <c r="EQ401" i="11"/>
  <c r="ER401" i="11"/>
  <c r="ES401" i="11"/>
  <c r="ET401" i="11"/>
  <c r="EU401" i="11"/>
  <c r="EV401" i="11"/>
  <c r="EW401" i="11"/>
  <c r="EX401" i="11"/>
  <c r="EY401" i="11"/>
  <c r="EZ401" i="11"/>
  <c r="FA401" i="11"/>
  <c r="FB401" i="11"/>
  <c r="FC401" i="11"/>
  <c r="FD401" i="11"/>
  <c r="FE401" i="11"/>
  <c r="FF401" i="11"/>
  <c r="FG401" i="11"/>
  <c r="FH401" i="11"/>
  <c r="FI401" i="11"/>
  <c r="FJ401" i="11"/>
  <c r="FK401" i="11"/>
  <c r="FL401" i="11"/>
  <c r="FM401" i="11"/>
  <c r="FN401" i="11"/>
  <c r="FO401" i="11"/>
  <c r="FP401" i="11"/>
  <c r="FQ401" i="11"/>
  <c r="FR401" i="11"/>
  <c r="FS401" i="11"/>
  <c r="FT401" i="11"/>
  <c r="FU401" i="11"/>
  <c r="FV401" i="11"/>
  <c r="FW401" i="11"/>
  <c r="FX401" i="11"/>
  <c r="FY401" i="11"/>
  <c r="FZ401" i="11"/>
  <c r="GA401" i="11"/>
  <c r="GB401" i="11"/>
  <c r="GC401" i="11"/>
  <c r="GD401" i="11"/>
  <c r="GE401" i="11"/>
  <c r="GF401" i="11"/>
  <c r="GG401" i="11"/>
  <c r="GH401" i="11"/>
  <c r="GI401" i="11"/>
  <c r="GJ401" i="11"/>
  <c r="GK401" i="11"/>
  <c r="GL401" i="11"/>
  <c r="GM401" i="11"/>
  <c r="GN401" i="11"/>
  <c r="GO401" i="11"/>
  <c r="GP401" i="11"/>
  <c r="GQ401" i="11"/>
  <c r="GR401" i="11"/>
  <c r="GS401" i="11"/>
  <c r="GT401" i="11"/>
  <c r="GU401" i="11"/>
  <c r="GV401" i="11"/>
  <c r="GW401" i="11"/>
  <c r="GX401" i="11"/>
  <c r="GY401" i="11"/>
  <c r="GZ401" i="11"/>
  <c r="HA401" i="11"/>
  <c r="HB401" i="11"/>
  <c r="HC401" i="11"/>
  <c r="HD401" i="11"/>
  <c r="HE401" i="11"/>
  <c r="HF401" i="11"/>
  <c r="HG401" i="11"/>
  <c r="HH401" i="11"/>
  <c r="HI401" i="11"/>
  <c r="HJ401" i="11"/>
  <c r="HK401" i="11"/>
  <c r="HL401" i="11"/>
  <c r="HM401" i="11"/>
  <c r="HN401" i="11"/>
  <c r="HO401" i="11"/>
  <c r="HP401" i="11"/>
  <c r="HQ401" i="11"/>
  <c r="HR401" i="11"/>
  <c r="HS401" i="11"/>
  <c r="HT401" i="11"/>
  <c r="HU401" i="11"/>
  <c r="HV401" i="11"/>
  <c r="HW401" i="11"/>
  <c r="HX401" i="11"/>
  <c r="HY401" i="11"/>
  <c r="HZ401" i="11"/>
  <c r="IA401" i="11"/>
  <c r="IB401" i="11"/>
  <c r="IC401" i="11"/>
  <c r="ID401" i="11"/>
  <c r="IE401" i="11"/>
  <c r="IF401" i="11"/>
  <c r="IG401" i="11"/>
  <c r="IH401" i="11"/>
  <c r="II401" i="11"/>
  <c r="IJ401" i="11"/>
  <c r="IK401" i="11"/>
  <c r="IL401" i="11"/>
  <c r="IM401" i="11"/>
  <c r="IN401" i="11"/>
  <c r="IO401" i="11"/>
  <c r="IP401" i="11"/>
  <c r="IQ401" i="11"/>
  <c r="IR401" i="11"/>
  <c r="IS401" i="11"/>
  <c r="IT401" i="11"/>
  <c r="IU401" i="11"/>
  <c r="IV401" i="11"/>
  <c r="F402" i="11"/>
  <c r="G402" i="11"/>
  <c r="H402" i="11"/>
  <c r="I402" i="11"/>
  <c r="J402" i="11"/>
  <c r="K402" i="11"/>
  <c r="L402" i="11"/>
  <c r="M402" i="11"/>
  <c r="N402" i="11"/>
  <c r="O402" i="11"/>
  <c r="P402" i="11"/>
  <c r="Q402" i="11"/>
  <c r="R402" i="11"/>
  <c r="S402" i="11"/>
  <c r="T402" i="11"/>
  <c r="U402" i="11"/>
  <c r="V402" i="11"/>
  <c r="W402" i="11"/>
  <c r="X402" i="11"/>
  <c r="Y402" i="11"/>
  <c r="Z402" i="11"/>
  <c r="AA402" i="11"/>
  <c r="AB402" i="11"/>
  <c r="AC402" i="11"/>
  <c r="AD402" i="11"/>
  <c r="AE402" i="11"/>
  <c r="AF402" i="11"/>
  <c r="AG402" i="11"/>
  <c r="AH402" i="11"/>
  <c r="AI402" i="11"/>
  <c r="AJ402" i="11"/>
  <c r="AK402" i="11"/>
  <c r="AL402" i="11"/>
  <c r="AM402" i="11"/>
  <c r="AN402" i="11"/>
  <c r="AO402" i="11"/>
  <c r="AP402" i="11"/>
  <c r="AQ402" i="11"/>
  <c r="AR402" i="11"/>
  <c r="AS402" i="11"/>
  <c r="AT402" i="11"/>
  <c r="AU402" i="11"/>
  <c r="AV402" i="11"/>
  <c r="AW402" i="11"/>
  <c r="AX402" i="11"/>
  <c r="AY402" i="11"/>
  <c r="AZ402" i="11"/>
  <c r="BA402" i="11"/>
  <c r="BB402" i="11"/>
  <c r="BC402" i="11"/>
  <c r="BD402" i="11"/>
  <c r="BE402" i="11"/>
  <c r="BF402" i="11"/>
  <c r="BG402" i="11"/>
  <c r="BH402" i="11"/>
  <c r="BI402" i="11"/>
  <c r="BJ402" i="11"/>
  <c r="BK402" i="11"/>
  <c r="BL402" i="11"/>
  <c r="BM402" i="11"/>
  <c r="BN402" i="11"/>
  <c r="BO402" i="11"/>
  <c r="BP402" i="11"/>
  <c r="BQ402" i="11"/>
  <c r="BR402" i="11"/>
  <c r="BS402" i="11"/>
  <c r="BT402" i="11"/>
  <c r="BU402" i="11"/>
  <c r="BV402" i="11"/>
  <c r="BW402" i="11"/>
  <c r="BX402" i="11"/>
  <c r="BY402" i="11"/>
  <c r="BZ402" i="11"/>
  <c r="CA402" i="11"/>
  <c r="CB402" i="11"/>
  <c r="CC402" i="11"/>
  <c r="CD402" i="11"/>
  <c r="CE402" i="11"/>
  <c r="CF402" i="11"/>
  <c r="CG402" i="11"/>
  <c r="CH402" i="11"/>
  <c r="CI402" i="11"/>
  <c r="CJ402" i="11"/>
  <c r="CK402" i="11"/>
  <c r="CL402" i="11"/>
  <c r="CM402" i="11"/>
  <c r="CN402" i="11"/>
  <c r="CO402" i="11"/>
  <c r="CP402" i="11"/>
  <c r="CQ402" i="11"/>
  <c r="CR402" i="11"/>
  <c r="CS402" i="11"/>
  <c r="CT402" i="11"/>
  <c r="CU402" i="11"/>
  <c r="CV402" i="11"/>
  <c r="CW402" i="11"/>
  <c r="CX402" i="11"/>
  <c r="CY402" i="11"/>
  <c r="CZ402" i="11"/>
  <c r="DA402" i="11"/>
  <c r="DB402" i="11"/>
  <c r="DC402" i="11"/>
  <c r="DD402" i="11"/>
  <c r="DE402" i="11"/>
  <c r="DF402" i="11"/>
  <c r="DG402" i="11"/>
  <c r="DH402" i="11"/>
  <c r="DI402" i="11"/>
  <c r="DJ402" i="11"/>
  <c r="DK402" i="11"/>
  <c r="DL402" i="11"/>
  <c r="DM402" i="11"/>
  <c r="DN402" i="11"/>
  <c r="DO402" i="11"/>
  <c r="DP402" i="11"/>
  <c r="DQ402" i="11"/>
  <c r="DR402" i="11"/>
  <c r="DS402" i="11"/>
  <c r="DT402" i="11"/>
  <c r="DU402" i="11"/>
  <c r="DV402" i="11"/>
  <c r="DW402" i="11"/>
  <c r="DX402" i="11"/>
  <c r="DY402" i="11"/>
  <c r="DZ402" i="11"/>
  <c r="EA402" i="11"/>
  <c r="EB402" i="11"/>
  <c r="EC402" i="11"/>
  <c r="ED402" i="11"/>
  <c r="EE402" i="11"/>
  <c r="EF402" i="11"/>
  <c r="EG402" i="11"/>
  <c r="EH402" i="11"/>
  <c r="EI402" i="11"/>
  <c r="EJ402" i="11"/>
  <c r="EK402" i="11"/>
  <c r="EL402" i="11"/>
  <c r="EM402" i="11"/>
  <c r="EN402" i="11"/>
  <c r="EO402" i="11"/>
  <c r="EP402" i="11"/>
  <c r="EQ402" i="11"/>
  <c r="ER402" i="11"/>
  <c r="ES402" i="11"/>
  <c r="ET402" i="11"/>
  <c r="EU402" i="11"/>
  <c r="EV402" i="11"/>
  <c r="EW402" i="11"/>
  <c r="EX402" i="11"/>
  <c r="EY402" i="11"/>
  <c r="EZ402" i="11"/>
  <c r="FA402" i="11"/>
  <c r="FB402" i="11"/>
  <c r="FC402" i="11"/>
  <c r="FD402" i="11"/>
  <c r="FE402" i="11"/>
  <c r="FF402" i="11"/>
  <c r="FG402" i="11"/>
  <c r="FH402" i="11"/>
  <c r="FI402" i="11"/>
  <c r="FJ402" i="11"/>
  <c r="FK402" i="11"/>
  <c r="FL402" i="11"/>
  <c r="FM402" i="11"/>
  <c r="FN402" i="11"/>
  <c r="FO402" i="11"/>
  <c r="FP402" i="11"/>
  <c r="FQ402" i="11"/>
  <c r="FR402" i="11"/>
  <c r="FS402" i="11"/>
  <c r="FT402" i="11"/>
  <c r="FU402" i="11"/>
  <c r="FV402" i="11"/>
  <c r="FW402" i="11"/>
  <c r="FX402" i="11"/>
  <c r="FY402" i="11"/>
  <c r="FZ402" i="11"/>
  <c r="GA402" i="11"/>
  <c r="GB402" i="11"/>
  <c r="GC402" i="11"/>
  <c r="GD402" i="11"/>
  <c r="GE402" i="11"/>
  <c r="GF402" i="11"/>
  <c r="GG402" i="11"/>
  <c r="GH402" i="11"/>
  <c r="GI402" i="11"/>
  <c r="GJ402" i="11"/>
  <c r="GK402" i="11"/>
  <c r="GL402" i="11"/>
  <c r="GM402" i="11"/>
  <c r="GN402" i="11"/>
  <c r="GO402" i="11"/>
  <c r="GP402" i="11"/>
  <c r="GQ402" i="11"/>
  <c r="GR402" i="11"/>
  <c r="GS402" i="11"/>
  <c r="GT402" i="11"/>
  <c r="GU402" i="11"/>
  <c r="GV402" i="11"/>
  <c r="GW402" i="11"/>
  <c r="GX402" i="11"/>
  <c r="GY402" i="11"/>
  <c r="GZ402" i="11"/>
  <c r="HA402" i="11"/>
  <c r="HB402" i="11"/>
  <c r="HC402" i="11"/>
  <c r="HD402" i="11"/>
  <c r="HE402" i="11"/>
  <c r="HF402" i="11"/>
  <c r="HG402" i="11"/>
  <c r="HH402" i="11"/>
  <c r="HI402" i="11"/>
  <c r="HJ402" i="11"/>
  <c r="HK402" i="11"/>
  <c r="HL402" i="11"/>
  <c r="HM402" i="11"/>
  <c r="HN402" i="11"/>
  <c r="HO402" i="11"/>
  <c r="HP402" i="11"/>
  <c r="HQ402" i="11"/>
  <c r="HR402" i="11"/>
  <c r="HS402" i="11"/>
  <c r="HT402" i="11"/>
  <c r="HU402" i="11"/>
  <c r="HV402" i="11"/>
  <c r="HW402" i="11"/>
  <c r="HX402" i="11"/>
  <c r="HY402" i="11"/>
  <c r="HZ402" i="11"/>
  <c r="IA402" i="11"/>
  <c r="IB402" i="11"/>
  <c r="IC402" i="11"/>
  <c r="ID402" i="11"/>
  <c r="IE402" i="11"/>
  <c r="IF402" i="11"/>
  <c r="IG402" i="11"/>
  <c r="IH402" i="11"/>
  <c r="II402" i="11"/>
  <c r="IJ402" i="11"/>
  <c r="IK402" i="11"/>
  <c r="IL402" i="11"/>
  <c r="IM402" i="11"/>
  <c r="IN402" i="11"/>
  <c r="IO402" i="11"/>
  <c r="IP402" i="11"/>
  <c r="IQ402" i="11"/>
  <c r="IR402" i="11"/>
  <c r="IS402" i="11"/>
  <c r="IT402" i="11"/>
  <c r="IU402" i="11"/>
  <c r="IV402" i="11"/>
  <c r="F403" i="11"/>
  <c r="G403" i="11"/>
  <c r="H403" i="11"/>
  <c r="I403" i="11"/>
  <c r="J403" i="11"/>
  <c r="K403" i="11"/>
  <c r="L403" i="11"/>
  <c r="M403" i="11"/>
  <c r="N403" i="11"/>
  <c r="O403" i="11"/>
  <c r="P403" i="11"/>
  <c r="Q403" i="11"/>
  <c r="R403" i="11"/>
  <c r="S403" i="11"/>
  <c r="T403" i="11"/>
  <c r="U403" i="11"/>
  <c r="V403" i="11"/>
  <c r="W403" i="11"/>
  <c r="X403" i="11"/>
  <c r="Y403" i="11"/>
  <c r="Z403" i="11"/>
  <c r="AA403" i="11"/>
  <c r="AB403" i="11"/>
  <c r="AC403" i="11"/>
  <c r="AD403" i="11"/>
  <c r="AE403" i="11"/>
  <c r="AF403" i="11"/>
  <c r="AG403" i="11"/>
  <c r="AH403" i="11"/>
  <c r="AI403" i="11"/>
  <c r="AJ403" i="11"/>
  <c r="AK403" i="11"/>
  <c r="AL403" i="11"/>
  <c r="AM403" i="11"/>
  <c r="AN403" i="11"/>
  <c r="AO403" i="11"/>
  <c r="AP403" i="11"/>
  <c r="AQ403" i="11"/>
  <c r="AR403" i="11"/>
  <c r="AS403" i="11"/>
  <c r="AT403" i="11"/>
  <c r="AU403" i="11"/>
  <c r="AV403" i="11"/>
  <c r="AW403" i="11"/>
  <c r="AX403" i="11"/>
  <c r="AY403" i="11"/>
  <c r="AZ403" i="11"/>
  <c r="BA403" i="11"/>
  <c r="BB403" i="11"/>
  <c r="BC403" i="11"/>
  <c r="BD403" i="11"/>
  <c r="BE403" i="11"/>
  <c r="BF403" i="11"/>
  <c r="BG403" i="11"/>
  <c r="BH403" i="11"/>
  <c r="BI403" i="11"/>
  <c r="BJ403" i="11"/>
  <c r="BK403" i="11"/>
  <c r="BL403" i="11"/>
  <c r="BM403" i="11"/>
  <c r="BN403" i="11"/>
  <c r="BO403" i="11"/>
  <c r="BP403" i="11"/>
  <c r="BQ403" i="11"/>
  <c r="BR403" i="11"/>
  <c r="BS403" i="11"/>
  <c r="BT403" i="11"/>
  <c r="BU403" i="11"/>
  <c r="BV403" i="11"/>
  <c r="BW403" i="11"/>
  <c r="BX403" i="11"/>
  <c r="BY403" i="11"/>
  <c r="BZ403" i="11"/>
  <c r="CA403" i="11"/>
  <c r="CB403" i="11"/>
  <c r="CC403" i="11"/>
  <c r="CD403" i="11"/>
  <c r="CE403" i="11"/>
  <c r="CF403" i="11"/>
  <c r="CG403" i="11"/>
  <c r="CH403" i="11"/>
  <c r="CI403" i="11"/>
  <c r="CJ403" i="11"/>
  <c r="CK403" i="11"/>
  <c r="CL403" i="11"/>
  <c r="CM403" i="11"/>
  <c r="CN403" i="11"/>
  <c r="CO403" i="11"/>
  <c r="CP403" i="11"/>
  <c r="CQ403" i="11"/>
  <c r="CR403" i="11"/>
  <c r="CS403" i="11"/>
  <c r="CT403" i="11"/>
  <c r="CU403" i="11"/>
  <c r="CV403" i="11"/>
  <c r="CW403" i="11"/>
  <c r="CX403" i="11"/>
  <c r="CY403" i="11"/>
  <c r="CZ403" i="11"/>
  <c r="DA403" i="11"/>
  <c r="DB403" i="11"/>
  <c r="DC403" i="11"/>
  <c r="DD403" i="11"/>
  <c r="DE403" i="11"/>
  <c r="DF403" i="11"/>
  <c r="DG403" i="11"/>
  <c r="DH403" i="11"/>
  <c r="DI403" i="11"/>
  <c r="DJ403" i="11"/>
  <c r="DK403" i="11"/>
  <c r="DL403" i="11"/>
  <c r="DM403" i="11"/>
  <c r="DN403" i="11"/>
  <c r="DO403" i="11"/>
  <c r="DP403" i="11"/>
  <c r="DQ403" i="11"/>
  <c r="DR403" i="11"/>
  <c r="DS403" i="11"/>
  <c r="DT403" i="11"/>
  <c r="DU403" i="11"/>
  <c r="DV403" i="11"/>
  <c r="DW403" i="11"/>
  <c r="DX403" i="11"/>
  <c r="DY403" i="11"/>
  <c r="DZ403" i="11"/>
  <c r="EA403" i="11"/>
  <c r="EB403" i="11"/>
  <c r="EC403" i="11"/>
  <c r="ED403" i="11"/>
  <c r="EE403" i="11"/>
  <c r="EF403" i="11"/>
  <c r="EG403" i="11"/>
  <c r="EH403" i="11"/>
  <c r="EI403" i="11"/>
  <c r="EJ403" i="11"/>
  <c r="EK403" i="11"/>
  <c r="EL403" i="11"/>
  <c r="EM403" i="11"/>
  <c r="EN403" i="11"/>
  <c r="EO403" i="11"/>
  <c r="EP403" i="11"/>
  <c r="EQ403" i="11"/>
  <c r="ER403" i="11"/>
  <c r="ES403" i="11"/>
  <c r="ET403" i="11"/>
  <c r="EU403" i="11"/>
  <c r="EV403" i="11"/>
  <c r="EW403" i="11"/>
  <c r="EX403" i="11"/>
  <c r="EY403" i="11"/>
  <c r="EZ403" i="11"/>
  <c r="FA403" i="11"/>
  <c r="FB403" i="11"/>
  <c r="FC403" i="11"/>
  <c r="FD403" i="11"/>
  <c r="FE403" i="11"/>
  <c r="FF403" i="11"/>
  <c r="FG403" i="11"/>
  <c r="FH403" i="11"/>
  <c r="FI403" i="11"/>
  <c r="FJ403" i="11"/>
  <c r="FK403" i="11"/>
  <c r="FL403" i="11"/>
  <c r="FM403" i="11"/>
  <c r="FN403" i="11"/>
  <c r="FO403" i="11"/>
  <c r="FP403" i="11"/>
  <c r="FQ403" i="11"/>
  <c r="FR403" i="11"/>
  <c r="FS403" i="11"/>
  <c r="FT403" i="11"/>
  <c r="FU403" i="11"/>
  <c r="FV403" i="11"/>
  <c r="FW403" i="11"/>
  <c r="FX403" i="11"/>
  <c r="FY403" i="11"/>
  <c r="FZ403" i="11"/>
  <c r="GA403" i="11"/>
  <c r="GB403" i="11"/>
  <c r="GC403" i="11"/>
  <c r="GD403" i="11"/>
  <c r="GE403" i="11"/>
  <c r="GF403" i="11"/>
  <c r="GG403" i="11"/>
  <c r="GH403" i="11"/>
  <c r="GI403" i="11"/>
  <c r="GJ403" i="11"/>
  <c r="GK403" i="11"/>
  <c r="GL403" i="11"/>
  <c r="GM403" i="11"/>
  <c r="GN403" i="11"/>
  <c r="GO403" i="11"/>
  <c r="GP403" i="11"/>
  <c r="GQ403" i="11"/>
  <c r="GR403" i="11"/>
  <c r="GS403" i="11"/>
  <c r="GT403" i="11"/>
  <c r="GU403" i="11"/>
  <c r="GV403" i="11"/>
  <c r="GW403" i="11"/>
  <c r="GX403" i="11"/>
  <c r="GY403" i="11"/>
  <c r="GZ403" i="11"/>
  <c r="HA403" i="11"/>
  <c r="HB403" i="11"/>
  <c r="HC403" i="11"/>
  <c r="HD403" i="11"/>
  <c r="HE403" i="11"/>
  <c r="HF403" i="11"/>
  <c r="HG403" i="11"/>
  <c r="HH403" i="11"/>
  <c r="HI403" i="11"/>
  <c r="HJ403" i="11"/>
  <c r="HK403" i="11"/>
  <c r="HL403" i="11"/>
  <c r="HM403" i="11"/>
  <c r="HN403" i="11"/>
  <c r="HO403" i="11"/>
  <c r="HP403" i="11"/>
  <c r="HQ403" i="11"/>
  <c r="HR403" i="11"/>
  <c r="HS403" i="11"/>
  <c r="HT403" i="11"/>
  <c r="HU403" i="11"/>
  <c r="HV403" i="11"/>
  <c r="HW403" i="11"/>
  <c r="HX403" i="11"/>
  <c r="HY403" i="11"/>
  <c r="HZ403" i="11"/>
  <c r="IA403" i="11"/>
  <c r="IB403" i="11"/>
  <c r="IC403" i="11"/>
  <c r="ID403" i="11"/>
  <c r="IE403" i="11"/>
  <c r="IF403" i="11"/>
  <c r="IG403" i="11"/>
  <c r="IH403" i="11"/>
  <c r="II403" i="11"/>
  <c r="IJ403" i="11"/>
  <c r="IK403" i="11"/>
  <c r="IL403" i="11"/>
  <c r="IM403" i="11"/>
  <c r="IN403" i="11"/>
  <c r="IO403" i="11"/>
  <c r="IP403" i="11"/>
  <c r="IQ403" i="11"/>
  <c r="IR403" i="11"/>
  <c r="IS403" i="11"/>
  <c r="IT403" i="11"/>
  <c r="IU403" i="11"/>
  <c r="IV403" i="11"/>
  <c r="F404" i="11"/>
  <c r="G404" i="11"/>
  <c r="H404" i="11"/>
  <c r="I404" i="11"/>
  <c r="J404" i="11"/>
  <c r="K404" i="11"/>
  <c r="L404" i="11"/>
  <c r="M404" i="11"/>
  <c r="N404" i="11"/>
  <c r="O404" i="11"/>
  <c r="P404" i="11"/>
  <c r="Q404" i="11"/>
  <c r="R404" i="11"/>
  <c r="S404" i="11"/>
  <c r="T404" i="11"/>
  <c r="U404" i="11"/>
  <c r="V404" i="11"/>
  <c r="W404" i="11"/>
  <c r="X404" i="11"/>
  <c r="Y404" i="11"/>
  <c r="Z404" i="11"/>
  <c r="AA404" i="11"/>
  <c r="AB404" i="11"/>
  <c r="AC404" i="11"/>
  <c r="AD404" i="11"/>
  <c r="AE404" i="11"/>
  <c r="AF404" i="11"/>
  <c r="AG404" i="11"/>
  <c r="AH404" i="11"/>
  <c r="AI404" i="11"/>
  <c r="AJ404" i="11"/>
  <c r="AK404" i="11"/>
  <c r="AL404" i="11"/>
  <c r="AM404" i="11"/>
  <c r="AN404" i="11"/>
  <c r="AO404" i="11"/>
  <c r="AP404" i="11"/>
  <c r="AQ404" i="11"/>
  <c r="AR404" i="11"/>
  <c r="AS404" i="11"/>
  <c r="AT404" i="11"/>
  <c r="AU404" i="11"/>
  <c r="AV404" i="11"/>
  <c r="AW404" i="11"/>
  <c r="AX404" i="11"/>
  <c r="AY404" i="11"/>
  <c r="AZ404" i="11"/>
  <c r="BA404" i="11"/>
  <c r="BB404" i="11"/>
  <c r="BC404" i="11"/>
  <c r="BD404" i="11"/>
  <c r="BE404" i="11"/>
  <c r="BF404" i="11"/>
  <c r="BG404" i="11"/>
  <c r="BH404" i="11"/>
  <c r="BI404" i="11"/>
  <c r="BJ404" i="11"/>
  <c r="BK404" i="11"/>
  <c r="BL404" i="11"/>
  <c r="BM404" i="11"/>
  <c r="BN404" i="11"/>
  <c r="BO404" i="11"/>
  <c r="BP404" i="11"/>
  <c r="BQ404" i="11"/>
  <c r="BR404" i="11"/>
  <c r="BS404" i="11"/>
  <c r="BT404" i="11"/>
  <c r="BU404" i="11"/>
  <c r="BV404" i="11"/>
  <c r="BW404" i="11"/>
  <c r="BX404" i="11"/>
  <c r="BY404" i="11"/>
  <c r="BZ404" i="11"/>
  <c r="CA404" i="11"/>
  <c r="CB404" i="11"/>
  <c r="CC404" i="11"/>
  <c r="CD404" i="11"/>
  <c r="CE404" i="11"/>
  <c r="CF404" i="11"/>
  <c r="CG404" i="11"/>
  <c r="CH404" i="11"/>
  <c r="CI404" i="11"/>
  <c r="CJ404" i="11"/>
  <c r="CK404" i="11"/>
  <c r="CL404" i="11"/>
  <c r="CM404" i="11"/>
  <c r="CN404" i="11"/>
  <c r="CO404" i="11"/>
  <c r="CP404" i="11"/>
  <c r="CQ404" i="11"/>
  <c r="CR404" i="11"/>
  <c r="CS404" i="11"/>
  <c r="CT404" i="11"/>
  <c r="CU404" i="11"/>
  <c r="CV404" i="11"/>
  <c r="CW404" i="11"/>
  <c r="CX404" i="11"/>
  <c r="CY404" i="11"/>
  <c r="CZ404" i="11"/>
  <c r="DA404" i="11"/>
  <c r="DB404" i="11"/>
  <c r="DC404" i="11"/>
  <c r="DD404" i="11"/>
  <c r="DE404" i="11"/>
  <c r="DF404" i="11"/>
  <c r="DG404" i="11"/>
  <c r="DH404" i="11"/>
  <c r="DI404" i="11"/>
  <c r="DJ404" i="11"/>
  <c r="DK404" i="11"/>
  <c r="DL404" i="11"/>
  <c r="DM404" i="11"/>
  <c r="DN404" i="11"/>
  <c r="DO404" i="11"/>
  <c r="DP404" i="11"/>
  <c r="DQ404" i="11"/>
  <c r="DR404" i="11"/>
  <c r="DS404" i="11"/>
  <c r="DT404" i="11"/>
  <c r="DU404" i="11"/>
  <c r="DV404" i="11"/>
  <c r="DW404" i="11"/>
  <c r="DX404" i="11"/>
  <c r="DY404" i="11"/>
  <c r="DZ404" i="11"/>
  <c r="EA404" i="11"/>
  <c r="EB404" i="11"/>
  <c r="EC404" i="11"/>
  <c r="ED404" i="11"/>
  <c r="EE404" i="11"/>
  <c r="EF404" i="11"/>
  <c r="EG404" i="11"/>
  <c r="EH404" i="11"/>
  <c r="EI404" i="11"/>
  <c r="EJ404" i="11"/>
  <c r="EK404" i="11"/>
  <c r="EL404" i="11"/>
  <c r="EM404" i="11"/>
  <c r="EN404" i="11"/>
  <c r="EO404" i="11"/>
  <c r="EP404" i="11"/>
  <c r="EQ404" i="11"/>
  <c r="ER404" i="11"/>
  <c r="ES404" i="11"/>
  <c r="ET404" i="11"/>
  <c r="EU404" i="11"/>
  <c r="EV404" i="11"/>
  <c r="EW404" i="11"/>
  <c r="EX404" i="11"/>
  <c r="EY404" i="11"/>
  <c r="EZ404" i="11"/>
  <c r="FA404" i="11"/>
  <c r="FB404" i="11"/>
  <c r="FC404" i="11"/>
  <c r="FD404" i="11"/>
  <c r="FE404" i="11"/>
  <c r="FF404" i="11"/>
  <c r="FG404" i="11"/>
  <c r="FH404" i="11"/>
  <c r="FI404" i="11"/>
  <c r="FJ404" i="11"/>
  <c r="FK404" i="11"/>
  <c r="FL404" i="11"/>
  <c r="FM404" i="11"/>
  <c r="FN404" i="11"/>
  <c r="FO404" i="11"/>
  <c r="FP404" i="11"/>
  <c r="FQ404" i="11"/>
  <c r="FR404" i="11"/>
  <c r="FS404" i="11"/>
  <c r="FT404" i="11"/>
  <c r="FU404" i="11"/>
  <c r="FV404" i="11"/>
  <c r="FW404" i="11"/>
  <c r="FX404" i="11"/>
  <c r="FY404" i="11"/>
  <c r="FZ404" i="11"/>
  <c r="GA404" i="11"/>
  <c r="GB404" i="11"/>
  <c r="GC404" i="11"/>
  <c r="GD404" i="11"/>
  <c r="GE404" i="11"/>
  <c r="GF404" i="11"/>
  <c r="GG404" i="11"/>
  <c r="GH404" i="11"/>
  <c r="GI404" i="11"/>
  <c r="GJ404" i="11"/>
  <c r="GK404" i="11"/>
  <c r="GL404" i="11"/>
  <c r="GM404" i="11"/>
  <c r="GN404" i="11"/>
  <c r="GO404" i="11"/>
  <c r="GP404" i="11"/>
  <c r="GQ404" i="11"/>
  <c r="GR404" i="11"/>
  <c r="GS404" i="11"/>
  <c r="GT404" i="11"/>
  <c r="GU404" i="11"/>
  <c r="GV404" i="11"/>
  <c r="GW404" i="11"/>
  <c r="GX404" i="11"/>
  <c r="GY404" i="11"/>
  <c r="GZ404" i="11"/>
  <c r="HA404" i="11"/>
  <c r="HB404" i="11"/>
  <c r="HC404" i="11"/>
  <c r="HD404" i="11"/>
  <c r="HE404" i="11"/>
  <c r="HF404" i="11"/>
  <c r="HG404" i="11"/>
  <c r="HH404" i="11"/>
  <c r="HI404" i="11"/>
  <c r="HJ404" i="11"/>
  <c r="HK404" i="11"/>
  <c r="HL404" i="11"/>
  <c r="HM404" i="11"/>
  <c r="HN404" i="11"/>
  <c r="HO404" i="11"/>
  <c r="HP404" i="11"/>
  <c r="HQ404" i="11"/>
  <c r="HR404" i="11"/>
  <c r="HS404" i="11"/>
  <c r="HT404" i="11"/>
  <c r="HU404" i="11"/>
  <c r="HV404" i="11"/>
  <c r="HW404" i="11"/>
  <c r="HX404" i="11"/>
  <c r="HY404" i="11"/>
  <c r="HZ404" i="11"/>
  <c r="IA404" i="11"/>
  <c r="IB404" i="11"/>
  <c r="IC404" i="11"/>
  <c r="ID404" i="11"/>
  <c r="IE404" i="11"/>
  <c r="IF404" i="11"/>
  <c r="IG404" i="11"/>
  <c r="IH404" i="11"/>
  <c r="II404" i="11"/>
  <c r="IJ404" i="11"/>
  <c r="IK404" i="11"/>
  <c r="IL404" i="11"/>
  <c r="IM404" i="11"/>
  <c r="IN404" i="11"/>
  <c r="IO404" i="11"/>
  <c r="IP404" i="11"/>
  <c r="IQ404" i="11"/>
  <c r="IR404" i="11"/>
  <c r="IS404" i="11"/>
  <c r="IT404" i="11"/>
  <c r="IU404" i="11"/>
  <c r="IV404" i="11"/>
  <c r="F405" i="11"/>
  <c r="G405" i="11"/>
  <c r="H405" i="11"/>
  <c r="I405" i="11"/>
  <c r="J405" i="11"/>
  <c r="K405" i="11"/>
  <c r="L405" i="11"/>
  <c r="M405" i="11"/>
  <c r="N405" i="11"/>
  <c r="O405" i="11"/>
  <c r="P405" i="11"/>
  <c r="Q405" i="11"/>
  <c r="R405" i="11"/>
  <c r="S405" i="11"/>
  <c r="T405" i="11"/>
  <c r="U405" i="11"/>
  <c r="V405" i="11"/>
  <c r="W405" i="11"/>
  <c r="X405" i="11"/>
  <c r="Y405" i="11"/>
  <c r="Z405" i="11"/>
  <c r="AA405" i="11"/>
  <c r="AB405" i="11"/>
  <c r="AC405" i="11"/>
  <c r="AD405" i="11"/>
  <c r="AE405" i="11"/>
  <c r="AF405" i="11"/>
  <c r="AG405" i="11"/>
  <c r="AH405" i="11"/>
  <c r="AI405" i="11"/>
  <c r="AJ405" i="11"/>
  <c r="AK405" i="11"/>
  <c r="AL405" i="11"/>
  <c r="AM405" i="11"/>
  <c r="AN405" i="11"/>
  <c r="AO405" i="11"/>
  <c r="AP405" i="11"/>
  <c r="AQ405" i="11"/>
  <c r="AR405" i="11"/>
  <c r="AS405" i="11"/>
  <c r="AT405" i="11"/>
  <c r="AU405" i="11"/>
  <c r="AV405" i="11"/>
  <c r="AW405" i="11"/>
  <c r="AX405" i="11"/>
  <c r="AY405" i="11"/>
  <c r="AZ405" i="11"/>
  <c r="BA405" i="11"/>
  <c r="BB405" i="11"/>
  <c r="BC405" i="11"/>
  <c r="BD405" i="11"/>
  <c r="BE405" i="11"/>
  <c r="BF405" i="11"/>
  <c r="BG405" i="11"/>
  <c r="BH405" i="11"/>
  <c r="BI405" i="11"/>
  <c r="BJ405" i="11"/>
  <c r="BK405" i="11"/>
  <c r="BL405" i="11"/>
  <c r="BM405" i="11"/>
  <c r="BN405" i="11"/>
  <c r="BO405" i="11"/>
  <c r="BP405" i="11"/>
  <c r="BQ405" i="11"/>
  <c r="BR405" i="11"/>
  <c r="BS405" i="11"/>
  <c r="BT405" i="11"/>
  <c r="BU405" i="11"/>
  <c r="BV405" i="11"/>
  <c r="BW405" i="11"/>
  <c r="BX405" i="11"/>
  <c r="BY405" i="11"/>
  <c r="BZ405" i="11"/>
  <c r="CA405" i="11"/>
  <c r="CB405" i="11"/>
  <c r="CC405" i="11"/>
  <c r="CD405" i="11"/>
  <c r="CE405" i="11"/>
  <c r="CF405" i="11"/>
  <c r="CG405" i="11"/>
  <c r="CH405" i="11"/>
  <c r="CI405" i="11"/>
  <c r="CJ405" i="11"/>
  <c r="CK405" i="11"/>
  <c r="CL405" i="11"/>
  <c r="CM405" i="11"/>
  <c r="CN405" i="11"/>
  <c r="CO405" i="11"/>
  <c r="CP405" i="11"/>
  <c r="CQ405" i="11"/>
  <c r="CR405" i="11"/>
  <c r="CS405" i="11"/>
  <c r="CT405" i="11"/>
  <c r="CU405" i="11"/>
  <c r="CV405" i="11"/>
  <c r="CW405" i="11"/>
  <c r="CX405" i="11"/>
  <c r="CY405" i="11"/>
  <c r="CZ405" i="11"/>
  <c r="DA405" i="11"/>
  <c r="DB405" i="11"/>
  <c r="DC405" i="11"/>
  <c r="DD405" i="11"/>
  <c r="DE405" i="11"/>
  <c r="DF405" i="11"/>
  <c r="DG405" i="11"/>
  <c r="DH405" i="11"/>
  <c r="DI405" i="11"/>
  <c r="DJ405" i="11"/>
  <c r="DK405" i="11"/>
  <c r="DL405" i="11"/>
  <c r="DM405" i="11"/>
  <c r="DN405" i="11"/>
  <c r="DO405" i="11"/>
  <c r="DP405" i="11"/>
  <c r="DQ405" i="11"/>
  <c r="DR405" i="11"/>
  <c r="DS405" i="11"/>
  <c r="DT405" i="11"/>
  <c r="DU405" i="11"/>
  <c r="DV405" i="11"/>
  <c r="DW405" i="11"/>
  <c r="DX405" i="11"/>
  <c r="DY405" i="11"/>
  <c r="DZ405" i="11"/>
  <c r="EA405" i="11"/>
  <c r="EB405" i="11"/>
  <c r="EC405" i="11"/>
  <c r="ED405" i="11"/>
  <c r="EE405" i="11"/>
  <c r="EF405" i="11"/>
  <c r="EG405" i="11"/>
  <c r="EH405" i="11"/>
  <c r="EI405" i="11"/>
  <c r="EJ405" i="11"/>
  <c r="EK405" i="11"/>
  <c r="EL405" i="11"/>
  <c r="EM405" i="11"/>
  <c r="EN405" i="11"/>
  <c r="EO405" i="11"/>
  <c r="EP405" i="11"/>
  <c r="EQ405" i="11"/>
  <c r="ER405" i="11"/>
  <c r="ES405" i="11"/>
  <c r="ET405" i="11"/>
  <c r="EU405" i="11"/>
  <c r="EV405" i="11"/>
  <c r="EW405" i="11"/>
  <c r="EX405" i="11"/>
  <c r="EY405" i="11"/>
  <c r="EZ405" i="11"/>
  <c r="FA405" i="11"/>
  <c r="FB405" i="11"/>
  <c r="FC405" i="11"/>
  <c r="FD405" i="11"/>
  <c r="FE405" i="11"/>
  <c r="FF405" i="11"/>
  <c r="FG405" i="11"/>
  <c r="FH405" i="11"/>
  <c r="FI405" i="11"/>
  <c r="FJ405" i="11"/>
  <c r="FK405" i="11"/>
  <c r="FL405" i="11"/>
  <c r="FM405" i="11"/>
  <c r="FN405" i="11"/>
  <c r="FO405" i="11"/>
  <c r="FP405" i="11"/>
  <c r="FQ405" i="11"/>
  <c r="FR405" i="11"/>
  <c r="FS405" i="11"/>
  <c r="FT405" i="11"/>
  <c r="FU405" i="11"/>
  <c r="FV405" i="11"/>
  <c r="FW405" i="11"/>
  <c r="FX405" i="11"/>
  <c r="FY405" i="11"/>
  <c r="FZ405" i="11"/>
  <c r="GA405" i="11"/>
  <c r="GB405" i="11"/>
  <c r="GC405" i="11"/>
  <c r="GD405" i="11"/>
  <c r="GE405" i="11"/>
  <c r="GF405" i="11"/>
  <c r="GG405" i="11"/>
  <c r="GH405" i="11"/>
  <c r="GI405" i="11"/>
  <c r="GJ405" i="11"/>
  <c r="GK405" i="11"/>
  <c r="GL405" i="11"/>
  <c r="GM405" i="11"/>
  <c r="GN405" i="11"/>
  <c r="GO405" i="11"/>
  <c r="GP405" i="11"/>
  <c r="GQ405" i="11"/>
  <c r="GR405" i="11"/>
  <c r="GS405" i="11"/>
  <c r="GT405" i="11"/>
  <c r="GU405" i="11"/>
  <c r="GV405" i="11"/>
  <c r="GW405" i="11"/>
  <c r="GX405" i="11"/>
  <c r="GY405" i="11"/>
  <c r="GZ405" i="11"/>
  <c r="HA405" i="11"/>
  <c r="HB405" i="11"/>
  <c r="HC405" i="11"/>
  <c r="HD405" i="11"/>
  <c r="HE405" i="11"/>
  <c r="HF405" i="11"/>
  <c r="HG405" i="11"/>
  <c r="HH405" i="11"/>
  <c r="HI405" i="11"/>
  <c r="HJ405" i="11"/>
  <c r="HK405" i="11"/>
  <c r="HL405" i="11"/>
  <c r="HM405" i="11"/>
  <c r="HN405" i="11"/>
  <c r="HO405" i="11"/>
  <c r="HP405" i="11"/>
  <c r="HQ405" i="11"/>
  <c r="HR405" i="11"/>
  <c r="HS405" i="11"/>
  <c r="HT405" i="11"/>
  <c r="HU405" i="11"/>
  <c r="HV405" i="11"/>
  <c r="HW405" i="11"/>
  <c r="HX405" i="11"/>
  <c r="HY405" i="11"/>
  <c r="HZ405" i="11"/>
  <c r="IA405" i="11"/>
  <c r="IB405" i="11"/>
  <c r="IC405" i="11"/>
  <c r="ID405" i="11"/>
  <c r="IE405" i="11"/>
  <c r="IF405" i="11"/>
  <c r="IG405" i="11"/>
  <c r="IH405" i="11"/>
  <c r="II405" i="11"/>
  <c r="IJ405" i="11"/>
  <c r="IK405" i="11"/>
  <c r="IL405" i="11"/>
  <c r="IM405" i="11"/>
  <c r="IN405" i="11"/>
  <c r="IO405" i="11"/>
  <c r="IP405" i="11"/>
  <c r="IQ405" i="11"/>
  <c r="IR405" i="11"/>
  <c r="IS405" i="11"/>
  <c r="IT405" i="11"/>
  <c r="IU405" i="11"/>
  <c r="IV405" i="11"/>
  <c r="F406" i="11"/>
  <c r="G406" i="11"/>
  <c r="H406" i="11"/>
  <c r="I406" i="11"/>
  <c r="J406" i="11"/>
  <c r="K406" i="11"/>
  <c r="L406" i="11"/>
  <c r="M406" i="11"/>
  <c r="N406" i="11"/>
  <c r="O406" i="11"/>
  <c r="P406" i="11"/>
  <c r="Q406" i="11"/>
  <c r="R406" i="11"/>
  <c r="S406" i="11"/>
  <c r="T406" i="11"/>
  <c r="U406" i="11"/>
  <c r="V406" i="11"/>
  <c r="W406" i="11"/>
  <c r="X406" i="11"/>
  <c r="Y406" i="11"/>
  <c r="Z406" i="11"/>
  <c r="AA406" i="11"/>
  <c r="AB406" i="11"/>
  <c r="AC406" i="11"/>
  <c r="AD406" i="11"/>
  <c r="AE406" i="11"/>
  <c r="AF406" i="11"/>
  <c r="AG406" i="11"/>
  <c r="AH406" i="11"/>
  <c r="AI406" i="11"/>
  <c r="AJ406" i="11"/>
  <c r="AK406" i="11"/>
  <c r="AL406" i="11"/>
  <c r="AM406" i="11"/>
  <c r="AN406" i="11"/>
  <c r="AO406" i="11"/>
  <c r="AP406" i="11"/>
  <c r="AQ406" i="11"/>
  <c r="AR406" i="11"/>
  <c r="AS406" i="11"/>
  <c r="AT406" i="11"/>
  <c r="AU406" i="11"/>
  <c r="AV406" i="11"/>
  <c r="AW406" i="11"/>
  <c r="AX406" i="11"/>
  <c r="AY406" i="11"/>
  <c r="AZ406" i="11"/>
  <c r="BA406" i="11"/>
  <c r="BB406" i="11"/>
  <c r="BC406" i="11"/>
  <c r="BD406" i="11"/>
  <c r="BE406" i="11"/>
  <c r="BF406" i="11"/>
  <c r="BG406" i="11"/>
  <c r="BH406" i="11"/>
  <c r="BI406" i="11"/>
  <c r="BJ406" i="11"/>
  <c r="BK406" i="11"/>
  <c r="BL406" i="11"/>
  <c r="BM406" i="11"/>
  <c r="BN406" i="11"/>
  <c r="BO406" i="11"/>
  <c r="BP406" i="11"/>
  <c r="BQ406" i="11"/>
  <c r="BR406" i="11"/>
  <c r="BS406" i="11"/>
  <c r="BT406" i="11"/>
  <c r="BU406" i="11"/>
  <c r="BV406" i="11"/>
  <c r="BW406" i="11"/>
  <c r="BX406" i="11"/>
  <c r="BY406" i="11"/>
  <c r="BZ406" i="11"/>
  <c r="CA406" i="11"/>
  <c r="CB406" i="11"/>
  <c r="CC406" i="11"/>
  <c r="CD406" i="11"/>
  <c r="CE406" i="11"/>
  <c r="CF406" i="11"/>
  <c r="CG406" i="11"/>
  <c r="CH406" i="11"/>
  <c r="CI406" i="11"/>
  <c r="CJ406" i="11"/>
  <c r="CK406" i="11"/>
  <c r="CL406" i="11"/>
  <c r="CM406" i="11"/>
  <c r="CN406" i="11"/>
  <c r="CO406" i="11"/>
  <c r="CP406" i="11"/>
  <c r="CQ406" i="11"/>
  <c r="CR406" i="11"/>
  <c r="CS406" i="11"/>
  <c r="CT406" i="11"/>
  <c r="CU406" i="11"/>
  <c r="CV406" i="11"/>
  <c r="CW406" i="11"/>
  <c r="CX406" i="11"/>
  <c r="CY406" i="11"/>
  <c r="CZ406" i="11"/>
  <c r="DA406" i="11"/>
  <c r="DB406" i="11"/>
  <c r="DC406" i="11"/>
  <c r="DD406" i="11"/>
  <c r="DE406" i="11"/>
  <c r="DF406" i="11"/>
  <c r="DG406" i="11"/>
  <c r="DH406" i="11"/>
  <c r="DI406" i="11"/>
  <c r="DJ406" i="11"/>
  <c r="DK406" i="11"/>
  <c r="DL406" i="11"/>
  <c r="DM406" i="11"/>
  <c r="DN406" i="11"/>
  <c r="DO406" i="11"/>
  <c r="DP406" i="11"/>
  <c r="DQ406" i="11"/>
  <c r="DR406" i="11"/>
  <c r="DS406" i="11"/>
  <c r="DT406" i="11"/>
  <c r="DU406" i="11"/>
  <c r="DV406" i="11"/>
  <c r="DW406" i="11"/>
  <c r="DX406" i="11"/>
  <c r="DY406" i="11"/>
  <c r="DZ406" i="11"/>
  <c r="EA406" i="11"/>
  <c r="EB406" i="11"/>
  <c r="EC406" i="11"/>
  <c r="ED406" i="11"/>
  <c r="EE406" i="11"/>
  <c r="EF406" i="11"/>
  <c r="EG406" i="11"/>
  <c r="EH406" i="11"/>
  <c r="EI406" i="11"/>
  <c r="EJ406" i="11"/>
  <c r="EK406" i="11"/>
  <c r="EL406" i="11"/>
  <c r="EM406" i="11"/>
  <c r="EN406" i="11"/>
  <c r="EO406" i="11"/>
  <c r="EP406" i="11"/>
  <c r="EQ406" i="11"/>
  <c r="ER406" i="11"/>
  <c r="ES406" i="11"/>
  <c r="ET406" i="11"/>
  <c r="EU406" i="11"/>
  <c r="EV406" i="11"/>
  <c r="EW406" i="11"/>
  <c r="EX406" i="11"/>
  <c r="EY406" i="11"/>
  <c r="EZ406" i="11"/>
  <c r="FA406" i="11"/>
  <c r="FB406" i="11"/>
  <c r="FC406" i="11"/>
  <c r="FD406" i="11"/>
  <c r="FE406" i="11"/>
  <c r="FF406" i="11"/>
  <c r="FG406" i="11"/>
  <c r="FH406" i="11"/>
  <c r="FI406" i="11"/>
  <c r="FJ406" i="11"/>
  <c r="FK406" i="11"/>
  <c r="FL406" i="11"/>
  <c r="FM406" i="11"/>
  <c r="FN406" i="11"/>
  <c r="FO406" i="11"/>
  <c r="FP406" i="11"/>
  <c r="FQ406" i="11"/>
  <c r="FR406" i="11"/>
  <c r="FS406" i="11"/>
  <c r="FT406" i="11"/>
  <c r="FU406" i="11"/>
  <c r="FV406" i="11"/>
  <c r="FW406" i="11"/>
  <c r="FX406" i="11"/>
  <c r="FY406" i="11"/>
  <c r="FZ406" i="11"/>
  <c r="GA406" i="11"/>
  <c r="GB406" i="11"/>
  <c r="GC406" i="11"/>
  <c r="GD406" i="11"/>
  <c r="GE406" i="11"/>
  <c r="GF406" i="11"/>
  <c r="GG406" i="11"/>
  <c r="GH406" i="11"/>
  <c r="GI406" i="11"/>
  <c r="GJ406" i="11"/>
  <c r="GK406" i="11"/>
  <c r="GL406" i="11"/>
  <c r="GM406" i="11"/>
  <c r="GN406" i="11"/>
  <c r="GO406" i="11"/>
  <c r="GP406" i="11"/>
  <c r="GQ406" i="11"/>
  <c r="GR406" i="11"/>
  <c r="GS406" i="11"/>
  <c r="GT406" i="11"/>
  <c r="GU406" i="11"/>
  <c r="GV406" i="11"/>
  <c r="GW406" i="11"/>
  <c r="GX406" i="11"/>
  <c r="GY406" i="11"/>
  <c r="GZ406" i="11"/>
  <c r="HA406" i="11"/>
  <c r="HB406" i="11"/>
  <c r="HC406" i="11"/>
  <c r="HD406" i="11"/>
  <c r="HE406" i="11"/>
  <c r="HF406" i="11"/>
  <c r="HG406" i="11"/>
  <c r="HH406" i="11"/>
  <c r="HI406" i="11"/>
  <c r="HJ406" i="11"/>
  <c r="HK406" i="11"/>
  <c r="HL406" i="11"/>
  <c r="HM406" i="11"/>
  <c r="HN406" i="11"/>
  <c r="HO406" i="11"/>
  <c r="HP406" i="11"/>
  <c r="HQ406" i="11"/>
  <c r="HR406" i="11"/>
  <c r="HS406" i="11"/>
  <c r="HT406" i="11"/>
  <c r="HU406" i="11"/>
  <c r="HV406" i="11"/>
  <c r="HW406" i="11"/>
  <c r="HX406" i="11"/>
  <c r="HY406" i="11"/>
  <c r="HZ406" i="11"/>
  <c r="IA406" i="11"/>
  <c r="IB406" i="11"/>
  <c r="IC406" i="11"/>
  <c r="ID406" i="11"/>
  <c r="IE406" i="11"/>
  <c r="IF406" i="11"/>
  <c r="IG406" i="11"/>
  <c r="IH406" i="11"/>
  <c r="II406" i="11"/>
  <c r="IJ406" i="11"/>
  <c r="IK406" i="11"/>
  <c r="IL406" i="11"/>
  <c r="IM406" i="11"/>
  <c r="IN406" i="11"/>
  <c r="IO406" i="11"/>
  <c r="IP406" i="11"/>
  <c r="IQ406" i="11"/>
  <c r="IR406" i="11"/>
  <c r="IS406" i="11"/>
  <c r="IT406" i="11"/>
  <c r="IU406" i="11"/>
  <c r="IV406" i="11"/>
  <c r="F407" i="11"/>
  <c r="G407" i="11"/>
  <c r="H407" i="11"/>
  <c r="I407" i="11"/>
  <c r="J407" i="11"/>
  <c r="K407" i="11"/>
  <c r="L407" i="11"/>
  <c r="M407" i="11"/>
  <c r="N407" i="11"/>
  <c r="O407" i="11"/>
  <c r="P407" i="11"/>
  <c r="Q407" i="11"/>
  <c r="R407" i="11"/>
  <c r="S407" i="11"/>
  <c r="T407" i="11"/>
  <c r="U407" i="11"/>
  <c r="V407" i="11"/>
  <c r="W407" i="11"/>
  <c r="X407" i="11"/>
  <c r="Y407" i="11"/>
  <c r="Z407" i="11"/>
  <c r="AA407" i="11"/>
  <c r="AB407" i="11"/>
  <c r="AC407" i="11"/>
  <c r="AD407" i="11"/>
  <c r="AE407" i="11"/>
  <c r="AF407" i="11"/>
  <c r="AG407" i="11"/>
  <c r="AH407" i="11"/>
  <c r="AI407" i="11"/>
  <c r="AJ407" i="11"/>
  <c r="AK407" i="11"/>
  <c r="AL407" i="11"/>
  <c r="AM407" i="11"/>
  <c r="AN407" i="11"/>
  <c r="AO407" i="11"/>
  <c r="AP407" i="11"/>
  <c r="AQ407" i="11"/>
  <c r="AR407" i="11"/>
  <c r="AS407" i="11"/>
  <c r="AT407" i="11"/>
  <c r="AU407" i="11"/>
  <c r="AV407" i="11"/>
  <c r="AW407" i="11"/>
  <c r="AX407" i="11"/>
  <c r="AY407" i="11"/>
  <c r="AZ407" i="11"/>
  <c r="BA407" i="11"/>
  <c r="BB407" i="11"/>
  <c r="BC407" i="11"/>
  <c r="BD407" i="11"/>
  <c r="BE407" i="11"/>
  <c r="BF407" i="11"/>
  <c r="BG407" i="11"/>
  <c r="BH407" i="11"/>
  <c r="BI407" i="11"/>
  <c r="BJ407" i="11"/>
  <c r="BK407" i="11"/>
  <c r="BL407" i="11"/>
  <c r="BM407" i="11"/>
  <c r="BN407" i="11"/>
  <c r="BO407" i="11"/>
  <c r="BP407" i="11"/>
  <c r="BQ407" i="11"/>
  <c r="BR407" i="11"/>
  <c r="BS407" i="11"/>
  <c r="BT407" i="11"/>
  <c r="BU407" i="11"/>
  <c r="BV407" i="11"/>
  <c r="BW407" i="11"/>
  <c r="BX407" i="11"/>
  <c r="BY407" i="11"/>
  <c r="BZ407" i="11"/>
  <c r="CA407" i="11"/>
  <c r="CB407" i="11"/>
  <c r="CC407" i="11"/>
  <c r="CD407" i="11"/>
  <c r="CE407" i="11"/>
  <c r="CF407" i="11"/>
  <c r="CG407" i="11"/>
  <c r="CH407" i="11"/>
  <c r="CI407" i="11"/>
  <c r="CJ407" i="11"/>
  <c r="CK407" i="11"/>
  <c r="CL407" i="11"/>
  <c r="CM407" i="11"/>
  <c r="CN407" i="11"/>
  <c r="CO407" i="11"/>
  <c r="CP407" i="11"/>
  <c r="CQ407" i="11"/>
  <c r="CR407" i="11"/>
  <c r="CS407" i="11"/>
  <c r="CT407" i="11"/>
  <c r="CU407" i="11"/>
  <c r="CV407" i="11"/>
  <c r="CW407" i="11"/>
  <c r="CX407" i="11"/>
  <c r="CY407" i="11"/>
  <c r="CZ407" i="11"/>
  <c r="DA407" i="11"/>
  <c r="DB407" i="11"/>
  <c r="DC407" i="11"/>
  <c r="DD407" i="11"/>
  <c r="DE407" i="11"/>
  <c r="DF407" i="11"/>
  <c r="DG407" i="11"/>
  <c r="DH407" i="11"/>
  <c r="DI407" i="11"/>
  <c r="DJ407" i="11"/>
  <c r="DK407" i="11"/>
  <c r="DL407" i="11"/>
  <c r="DM407" i="11"/>
  <c r="DN407" i="11"/>
  <c r="DO407" i="11"/>
  <c r="DP407" i="11"/>
  <c r="DQ407" i="11"/>
  <c r="DR407" i="11"/>
  <c r="DS407" i="11"/>
  <c r="DT407" i="11"/>
  <c r="DU407" i="11"/>
  <c r="DV407" i="11"/>
  <c r="DW407" i="11"/>
  <c r="DX407" i="11"/>
  <c r="DY407" i="11"/>
  <c r="DZ407" i="11"/>
  <c r="EA407" i="11"/>
  <c r="EB407" i="11"/>
  <c r="EC407" i="11"/>
  <c r="ED407" i="11"/>
  <c r="EE407" i="11"/>
  <c r="EF407" i="11"/>
  <c r="EG407" i="11"/>
  <c r="EH407" i="11"/>
  <c r="EI407" i="11"/>
  <c r="EJ407" i="11"/>
  <c r="EK407" i="11"/>
  <c r="EL407" i="11"/>
  <c r="EM407" i="11"/>
  <c r="EN407" i="11"/>
  <c r="EO407" i="11"/>
  <c r="EP407" i="11"/>
  <c r="EQ407" i="11"/>
  <c r="ER407" i="11"/>
  <c r="ES407" i="11"/>
  <c r="ET407" i="11"/>
  <c r="EU407" i="11"/>
  <c r="EV407" i="11"/>
  <c r="EW407" i="11"/>
  <c r="EX407" i="11"/>
  <c r="EY407" i="11"/>
  <c r="EZ407" i="11"/>
  <c r="FA407" i="11"/>
  <c r="FB407" i="11"/>
  <c r="FC407" i="11"/>
  <c r="FD407" i="11"/>
  <c r="FE407" i="11"/>
  <c r="FF407" i="11"/>
  <c r="FG407" i="11"/>
  <c r="FH407" i="11"/>
  <c r="FI407" i="11"/>
  <c r="FJ407" i="11"/>
  <c r="FK407" i="11"/>
  <c r="FL407" i="11"/>
  <c r="FM407" i="11"/>
  <c r="FN407" i="11"/>
  <c r="FO407" i="11"/>
  <c r="FP407" i="11"/>
  <c r="FQ407" i="11"/>
  <c r="FR407" i="11"/>
  <c r="FS407" i="11"/>
  <c r="FT407" i="11"/>
  <c r="FU407" i="11"/>
  <c r="FV407" i="11"/>
  <c r="FW407" i="11"/>
  <c r="FX407" i="11"/>
  <c r="FY407" i="11"/>
  <c r="FZ407" i="11"/>
  <c r="GA407" i="11"/>
  <c r="GB407" i="11"/>
  <c r="GC407" i="11"/>
  <c r="GD407" i="11"/>
  <c r="GE407" i="11"/>
  <c r="GF407" i="11"/>
  <c r="GG407" i="11"/>
  <c r="GH407" i="11"/>
  <c r="GI407" i="11"/>
  <c r="GJ407" i="11"/>
  <c r="GK407" i="11"/>
  <c r="GL407" i="11"/>
  <c r="GM407" i="11"/>
  <c r="GN407" i="11"/>
  <c r="GO407" i="11"/>
  <c r="GP407" i="11"/>
  <c r="GQ407" i="11"/>
  <c r="GR407" i="11"/>
  <c r="GS407" i="11"/>
  <c r="GT407" i="11"/>
  <c r="GU407" i="11"/>
  <c r="GV407" i="11"/>
  <c r="GW407" i="11"/>
  <c r="GX407" i="11"/>
  <c r="GY407" i="11"/>
  <c r="GZ407" i="11"/>
  <c r="HA407" i="11"/>
  <c r="HB407" i="11"/>
  <c r="HC407" i="11"/>
  <c r="HD407" i="11"/>
  <c r="HE407" i="11"/>
  <c r="HF407" i="11"/>
  <c r="HG407" i="11"/>
  <c r="HH407" i="11"/>
  <c r="HI407" i="11"/>
  <c r="HJ407" i="11"/>
  <c r="HK407" i="11"/>
  <c r="HL407" i="11"/>
  <c r="HM407" i="11"/>
  <c r="HN407" i="11"/>
  <c r="HO407" i="11"/>
  <c r="HP407" i="11"/>
  <c r="HQ407" i="11"/>
  <c r="HR407" i="11"/>
  <c r="HS407" i="11"/>
  <c r="HT407" i="11"/>
  <c r="HU407" i="11"/>
  <c r="HV407" i="11"/>
  <c r="HW407" i="11"/>
  <c r="HX407" i="11"/>
  <c r="HY407" i="11"/>
  <c r="HZ407" i="11"/>
  <c r="IA407" i="11"/>
  <c r="IB407" i="11"/>
  <c r="IC407" i="11"/>
  <c r="ID407" i="11"/>
  <c r="IE407" i="11"/>
  <c r="IF407" i="11"/>
  <c r="IG407" i="11"/>
  <c r="IH407" i="11"/>
  <c r="II407" i="11"/>
  <c r="IJ407" i="11"/>
  <c r="IK407" i="11"/>
  <c r="IL407" i="11"/>
  <c r="IM407" i="11"/>
  <c r="IN407" i="11"/>
  <c r="IO407" i="11"/>
  <c r="IP407" i="11"/>
  <c r="IQ407" i="11"/>
  <c r="IR407" i="11"/>
  <c r="IS407" i="11"/>
  <c r="IT407" i="11"/>
  <c r="IU407" i="11"/>
  <c r="IV407" i="11"/>
  <c r="F408" i="11"/>
  <c r="G408" i="11"/>
  <c r="H408" i="11"/>
  <c r="I408" i="11"/>
  <c r="J408" i="11"/>
  <c r="K408" i="11"/>
  <c r="L408" i="11"/>
  <c r="M408" i="11"/>
  <c r="N408" i="11"/>
  <c r="O408" i="11"/>
  <c r="P408" i="11"/>
  <c r="Q408" i="11"/>
  <c r="R408" i="11"/>
  <c r="S408" i="11"/>
  <c r="T408" i="11"/>
  <c r="U408" i="11"/>
  <c r="V408" i="11"/>
  <c r="W408" i="11"/>
  <c r="X408" i="11"/>
  <c r="Y408" i="11"/>
  <c r="Z408" i="11"/>
  <c r="AA408" i="11"/>
  <c r="AB408" i="11"/>
  <c r="AC408" i="11"/>
  <c r="AD408" i="11"/>
  <c r="AE408" i="11"/>
  <c r="AF408" i="11"/>
  <c r="AG408" i="11"/>
  <c r="AH408" i="11"/>
  <c r="AI408" i="11"/>
  <c r="AJ408" i="11"/>
  <c r="AK408" i="11"/>
  <c r="AL408" i="11"/>
  <c r="AM408" i="11"/>
  <c r="AN408" i="11"/>
  <c r="AO408" i="11"/>
  <c r="AP408" i="11"/>
  <c r="AQ408" i="11"/>
  <c r="AR408" i="11"/>
  <c r="AS408" i="11"/>
  <c r="AT408" i="11"/>
  <c r="AU408" i="11"/>
  <c r="AV408" i="11"/>
  <c r="AW408" i="11"/>
  <c r="AX408" i="11"/>
  <c r="AY408" i="11"/>
  <c r="AZ408" i="11"/>
  <c r="BA408" i="11"/>
  <c r="BB408" i="11"/>
  <c r="BC408" i="11"/>
  <c r="BD408" i="11"/>
  <c r="BE408" i="11"/>
  <c r="BF408" i="11"/>
  <c r="BG408" i="11"/>
  <c r="BH408" i="11"/>
  <c r="BI408" i="11"/>
  <c r="BJ408" i="11"/>
  <c r="BK408" i="11"/>
  <c r="BL408" i="11"/>
  <c r="BM408" i="11"/>
  <c r="BN408" i="11"/>
  <c r="BO408" i="11"/>
  <c r="BP408" i="11"/>
  <c r="BQ408" i="11"/>
  <c r="BR408" i="11"/>
  <c r="BS408" i="11"/>
  <c r="BT408" i="11"/>
  <c r="BU408" i="11"/>
  <c r="BV408" i="11"/>
  <c r="BW408" i="11"/>
  <c r="BX408" i="11"/>
  <c r="BY408" i="11"/>
  <c r="BZ408" i="11"/>
  <c r="CA408" i="11"/>
  <c r="CB408" i="11"/>
  <c r="CC408" i="11"/>
  <c r="CD408" i="11"/>
  <c r="CE408" i="11"/>
  <c r="CF408" i="11"/>
  <c r="CG408" i="11"/>
  <c r="CH408" i="11"/>
  <c r="CI408" i="11"/>
  <c r="CJ408" i="11"/>
  <c r="CK408" i="11"/>
  <c r="CL408" i="11"/>
  <c r="CM408" i="11"/>
  <c r="CN408" i="11"/>
  <c r="CO408" i="11"/>
  <c r="CP408" i="11"/>
  <c r="CQ408" i="11"/>
  <c r="CR408" i="11"/>
  <c r="CS408" i="11"/>
  <c r="CT408" i="11"/>
  <c r="CU408" i="11"/>
  <c r="CV408" i="11"/>
  <c r="CW408" i="11"/>
  <c r="CX408" i="11"/>
  <c r="CY408" i="11"/>
  <c r="CZ408" i="11"/>
  <c r="DA408" i="11"/>
  <c r="DB408" i="11"/>
  <c r="DC408" i="11"/>
  <c r="DD408" i="11"/>
  <c r="DE408" i="11"/>
  <c r="DF408" i="11"/>
  <c r="DG408" i="11"/>
  <c r="DH408" i="11"/>
  <c r="DI408" i="11"/>
  <c r="DJ408" i="11"/>
  <c r="DK408" i="11"/>
  <c r="DL408" i="11"/>
  <c r="DM408" i="11"/>
  <c r="DN408" i="11"/>
  <c r="DO408" i="11"/>
  <c r="DP408" i="11"/>
  <c r="DQ408" i="11"/>
  <c r="DR408" i="11"/>
  <c r="DS408" i="11"/>
  <c r="DT408" i="11"/>
  <c r="DU408" i="11"/>
  <c r="DV408" i="11"/>
  <c r="DW408" i="11"/>
  <c r="DX408" i="11"/>
  <c r="DY408" i="11"/>
  <c r="DZ408" i="11"/>
  <c r="EA408" i="11"/>
  <c r="EB408" i="11"/>
  <c r="EC408" i="11"/>
  <c r="ED408" i="11"/>
  <c r="EE408" i="11"/>
  <c r="EF408" i="11"/>
  <c r="EG408" i="11"/>
  <c r="EH408" i="11"/>
  <c r="EI408" i="11"/>
  <c r="EJ408" i="11"/>
  <c r="EK408" i="11"/>
  <c r="EL408" i="11"/>
  <c r="EM408" i="11"/>
  <c r="EN408" i="11"/>
  <c r="EO408" i="11"/>
  <c r="EP408" i="11"/>
  <c r="EQ408" i="11"/>
  <c r="ER408" i="11"/>
  <c r="ES408" i="11"/>
  <c r="ET408" i="11"/>
  <c r="EU408" i="11"/>
  <c r="EV408" i="11"/>
  <c r="EW408" i="11"/>
  <c r="EX408" i="11"/>
  <c r="EY408" i="11"/>
  <c r="EZ408" i="11"/>
  <c r="FA408" i="11"/>
  <c r="FB408" i="11"/>
  <c r="FC408" i="11"/>
  <c r="FD408" i="11"/>
  <c r="FE408" i="11"/>
  <c r="FF408" i="11"/>
  <c r="FG408" i="11"/>
  <c r="FH408" i="11"/>
  <c r="FI408" i="11"/>
  <c r="FJ408" i="11"/>
  <c r="FK408" i="11"/>
  <c r="FL408" i="11"/>
  <c r="FM408" i="11"/>
  <c r="FN408" i="11"/>
  <c r="FO408" i="11"/>
  <c r="FP408" i="11"/>
  <c r="FQ408" i="11"/>
  <c r="FR408" i="11"/>
  <c r="FS408" i="11"/>
  <c r="FT408" i="11"/>
  <c r="FU408" i="11"/>
  <c r="FV408" i="11"/>
  <c r="FW408" i="11"/>
  <c r="FX408" i="11"/>
  <c r="FY408" i="11"/>
  <c r="FZ408" i="11"/>
  <c r="GA408" i="11"/>
  <c r="GB408" i="11"/>
  <c r="GC408" i="11"/>
  <c r="GD408" i="11"/>
  <c r="GE408" i="11"/>
  <c r="GF408" i="11"/>
  <c r="GG408" i="11"/>
  <c r="GH408" i="11"/>
  <c r="GI408" i="11"/>
  <c r="GJ408" i="11"/>
  <c r="GK408" i="11"/>
  <c r="GL408" i="11"/>
  <c r="GM408" i="11"/>
  <c r="GN408" i="11"/>
  <c r="GO408" i="11"/>
  <c r="GP408" i="11"/>
  <c r="GQ408" i="11"/>
  <c r="GR408" i="11"/>
  <c r="GS408" i="11"/>
  <c r="GT408" i="11"/>
  <c r="GU408" i="11"/>
  <c r="GV408" i="11"/>
  <c r="GW408" i="11"/>
  <c r="GX408" i="11"/>
  <c r="GY408" i="11"/>
  <c r="GZ408" i="11"/>
  <c r="HA408" i="11"/>
  <c r="HB408" i="11"/>
  <c r="HC408" i="11"/>
  <c r="HD408" i="11"/>
  <c r="HE408" i="11"/>
  <c r="HF408" i="11"/>
  <c r="HG408" i="11"/>
  <c r="HH408" i="11"/>
  <c r="HI408" i="11"/>
  <c r="HJ408" i="11"/>
  <c r="HK408" i="11"/>
  <c r="HL408" i="11"/>
  <c r="HM408" i="11"/>
  <c r="HN408" i="11"/>
  <c r="HO408" i="11"/>
  <c r="HP408" i="11"/>
  <c r="HQ408" i="11"/>
  <c r="HR408" i="11"/>
  <c r="HS408" i="11"/>
  <c r="HT408" i="11"/>
  <c r="HU408" i="11"/>
  <c r="HV408" i="11"/>
  <c r="HW408" i="11"/>
  <c r="HX408" i="11"/>
  <c r="HY408" i="11"/>
  <c r="HZ408" i="11"/>
  <c r="IA408" i="11"/>
  <c r="IB408" i="11"/>
  <c r="IC408" i="11"/>
  <c r="ID408" i="11"/>
  <c r="IE408" i="11"/>
  <c r="IF408" i="11"/>
  <c r="IG408" i="11"/>
  <c r="IH408" i="11"/>
  <c r="II408" i="11"/>
  <c r="IJ408" i="11"/>
  <c r="IK408" i="11"/>
  <c r="IL408" i="11"/>
  <c r="IM408" i="11"/>
  <c r="IN408" i="11"/>
  <c r="IO408" i="11"/>
  <c r="IP408" i="11"/>
  <c r="IQ408" i="11"/>
  <c r="IR408" i="11"/>
  <c r="IS408" i="11"/>
  <c r="IT408" i="11"/>
  <c r="IU408" i="11"/>
  <c r="IV408" i="11"/>
  <c r="F409" i="11"/>
  <c r="G409" i="11"/>
  <c r="H409" i="11"/>
  <c r="I409" i="11"/>
  <c r="J409" i="11"/>
  <c r="K409" i="11"/>
  <c r="L409" i="11"/>
  <c r="M409" i="11"/>
  <c r="N409" i="11"/>
  <c r="O409" i="11"/>
  <c r="P409" i="11"/>
  <c r="Q409" i="11"/>
  <c r="R409" i="11"/>
  <c r="S409" i="11"/>
  <c r="T409" i="11"/>
  <c r="U409" i="11"/>
  <c r="V409" i="11"/>
  <c r="W409" i="11"/>
  <c r="X409" i="11"/>
  <c r="Y409" i="11"/>
  <c r="Z409" i="11"/>
  <c r="AA409" i="11"/>
  <c r="AB409" i="11"/>
  <c r="AC409" i="11"/>
  <c r="AD409" i="11"/>
  <c r="AE409" i="11"/>
  <c r="AF409" i="11"/>
  <c r="AG409" i="11"/>
  <c r="AH409" i="11"/>
  <c r="AI409" i="11"/>
  <c r="AJ409" i="11"/>
  <c r="AK409" i="11"/>
  <c r="AL409" i="11"/>
  <c r="AM409" i="11"/>
  <c r="AN409" i="11"/>
  <c r="AO409" i="11"/>
  <c r="AP409" i="11"/>
  <c r="AQ409" i="11"/>
  <c r="AR409" i="11"/>
  <c r="AS409" i="11"/>
  <c r="AT409" i="11"/>
  <c r="AU409" i="11"/>
  <c r="AV409" i="11"/>
  <c r="AW409" i="11"/>
  <c r="AX409" i="11"/>
  <c r="AY409" i="11"/>
  <c r="AZ409" i="11"/>
  <c r="BA409" i="11"/>
  <c r="BB409" i="11"/>
  <c r="BC409" i="11"/>
  <c r="BD409" i="11"/>
  <c r="BE409" i="11"/>
  <c r="BF409" i="11"/>
  <c r="BG409" i="11"/>
  <c r="BH409" i="11"/>
  <c r="BI409" i="11"/>
  <c r="BJ409" i="11"/>
  <c r="BK409" i="11"/>
  <c r="BL409" i="11"/>
  <c r="BM409" i="11"/>
  <c r="BN409" i="11"/>
  <c r="BO409" i="11"/>
  <c r="BP409" i="11"/>
  <c r="BQ409" i="11"/>
  <c r="BR409" i="11"/>
  <c r="BS409" i="11"/>
  <c r="BT409" i="11"/>
  <c r="BU409" i="11"/>
  <c r="BV409" i="11"/>
  <c r="BW409" i="11"/>
  <c r="BX409" i="11"/>
  <c r="BY409" i="11"/>
  <c r="BZ409" i="11"/>
  <c r="CA409" i="11"/>
  <c r="CB409" i="11"/>
  <c r="CC409" i="11"/>
  <c r="CD409" i="11"/>
  <c r="CE409" i="11"/>
  <c r="CF409" i="11"/>
  <c r="CG409" i="11"/>
  <c r="CH409" i="11"/>
  <c r="CI409" i="11"/>
  <c r="CJ409" i="11"/>
  <c r="CK409" i="11"/>
  <c r="CL409" i="11"/>
  <c r="CM409" i="11"/>
  <c r="CN409" i="11"/>
  <c r="CO409" i="11"/>
  <c r="CP409" i="11"/>
  <c r="CQ409" i="11"/>
  <c r="CR409" i="11"/>
  <c r="CS409" i="11"/>
  <c r="CT409" i="11"/>
  <c r="CU409" i="11"/>
  <c r="CV409" i="11"/>
  <c r="CW409" i="11"/>
  <c r="CX409" i="11"/>
  <c r="CY409" i="11"/>
  <c r="CZ409" i="11"/>
  <c r="DA409" i="11"/>
  <c r="DB409" i="11"/>
  <c r="DC409" i="11"/>
  <c r="DD409" i="11"/>
  <c r="DE409" i="11"/>
  <c r="DF409" i="11"/>
  <c r="DG409" i="11"/>
  <c r="DH409" i="11"/>
  <c r="DI409" i="11"/>
  <c r="DJ409" i="11"/>
  <c r="DK409" i="11"/>
  <c r="DL409" i="11"/>
  <c r="DM409" i="11"/>
  <c r="DN409" i="11"/>
  <c r="DO409" i="11"/>
  <c r="DP409" i="11"/>
  <c r="DQ409" i="11"/>
  <c r="DR409" i="11"/>
  <c r="DS409" i="11"/>
  <c r="DT409" i="11"/>
  <c r="DU409" i="11"/>
  <c r="DV409" i="11"/>
  <c r="DW409" i="11"/>
  <c r="DX409" i="11"/>
  <c r="DY409" i="11"/>
  <c r="DZ409" i="11"/>
  <c r="EA409" i="11"/>
  <c r="EB409" i="11"/>
  <c r="EC409" i="11"/>
  <c r="ED409" i="11"/>
  <c r="EE409" i="11"/>
  <c r="EF409" i="11"/>
  <c r="EG409" i="11"/>
  <c r="EH409" i="11"/>
  <c r="EI409" i="11"/>
  <c r="EJ409" i="11"/>
  <c r="EK409" i="11"/>
  <c r="EL409" i="11"/>
  <c r="EM409" i="11"/>
  <c r="EN409" i="11"/>
  <c r="EO409" i="11"/>
  <c r="EP409" i="11"/>
  <c r="EQ409" i="11"/>
  <c r="ER409" i="11"/>
  <c r="ES409" i="11"/>
  <c r="ET409" i="11"/>
  <c r="EU409" i="11"/>
  <c r="EV409" i="11"/>
  <c r="EW409" i="11"/>
  <c r="EX409" i="11"/>
  <c r="EY409" i="11"/>
  <c r="EZ409" i="11"/>
  <c r="FA409" i="11"/>
  <c r="FB409" i="11"/>
  <c r="FC409" i="11"/>
  <c r="FD409" i="11"/>
  <c r="FE409" i="11"/>
  <c r="FF409" i="11"/>
  <c r="FG409" i="11"/>
  <c r="FH409" i="11"/>
  <c r="FI409" i="11"/>
  <c r="FJ409" i="11"/>
  <c r="FK409" i="11"/>
  <c r="FL409" i="11"/>
  <c r="FM409" i="11"/>
  <c r="FN409" i="11"/>
  <c r="FO409" i="11"/>
  <c r="FP409" i="11"/>
  <c r="FQ409" i="11"/>
  <c r="FR409" i="11"/>
  <c r="FS409" i="11"/>
  <c r="FT409" i="11"/>
  <c r="FU409" i="11"/>
  <c r="FV409" i="11"/>
  <c r="FW409" i="11"/>
  <c r="FX409" i="11"/>
  <c r="FY409" i="11"/>
  <c r="FZ409" i="11"/>
  <c r="GA409" i="11"/>
  <c r="GB409" i="11"/>
  <c r="GC409" i="11"/>
  <c r="GD409" i="11"/>
  <c r="GE409" i="11"/>
  <c r="GF409" i="11"/>
  <c r="GG409" i="11"/>
  <c r="GH409" i="11"/>
  <c r="GI409" i="11"/>
  <c r="GJ409" i="11"/>
  <c r="GK409" i="11"/>
  <c r="GL409" i="11"/>
  <c r="GM409" i="11"/>
  <c r="GN409" i="11"/>
  <c r="GO409" i="11"/>
  <c r="GP409" i="11"/>
  <c r="GQ409" i="11"/>
  <c r="GR409" i="11"/>
  <c r="GS409" i="11"/>
  <c r="GT409" i="11"/>
  <c r="GU409" i="11"/>
  <c r="GV409" i="11"/>
  <c r="GW409" i="11"/>
  <c r="GX409" i="11"/>
  <c r="GY409" i="11"/>
  <c r="GZ409" i="11"/>
  <c r="HA409" i="11"/>
  <c r="HB409" i="11"/>
  <c r="HC409" i="11"/>
  <c r="HD409" i="11"/>
  <c r="HE409" i="11"/>
  <c r="HF409" i="11"/>
  <c r="HG409" i="11"/>
  <c r="HH409" i="11"/>
  <c r="HI409" i="11"/>
  <c r="HJ409" i="11"/>
  <c r="HK409" i="11"/>
  <c r="HL409" i="11"/>
  <c r="HM409" i="11"/>
  <c r="HN409" i="11"/>
  <c r="HO409" i="11"/>
  <c r="HP409" i="11"/>
  <c r="HQ409" i="11"/>
  <c r="HR409" i="11"/>
  <c r="HS409" i="11"/>
  <c r="HT409" i="11"/>
  <c r="HU409" i="11"/>
  <c r="HV409" i="11"/>
  <c r="HW409" i="11"/>
  <c r="HX409" i="11"/>
  <c r="HY409" i="11"/>
  <c r="HZ409" i="11"/>
  <c r="IA409" i="11"/>
  <c r="IB409" i="11"/>
  <c r="IC409" i="11"/>
  <c r="ID409" i="11"/>
  <c r="IE409" i="11"/>
  <c r="IF409" i="11"/>
  <c r="IG409" i="11"/>
  <c r="IH409" i="11"/>
  <c r="II409" i="11"/>
  <c r="IJ409" i="11"/>
  <c r="IK409" i="11"/>
  <c r="IL409" i="11"/>
  <c r="IM409" i="11"/>
  <c r="IN409" i="11"/>
  <c r="IO409" i="11"/>
  <c r="IP409" i="11"/>
  <c r="IQ409" i="11"/>
  <c r="IR409" i="11"/>
  <c r="IS409" i="11"/>
  <c r="IT409" i="11"/>
  <c r="IU409" i="11"/>
  <c r="IV409" i="11"/>
  <c r="F410" i="11"/>
  <c r="G410" i="11"/>
  <c r="H410" i="11"/>
  <c r="I410" i="11"/>
  <c r="J410" i="11"/>
  <c r="K410" i="11"/>
  <c r="L410" i="11"/>
  <c r="M410" i="11"/>
  <c r="N410" i="11"/>
  <c r="O410" i="11"/>
  <c r="P410" i="11"/>
  <c r="Q410" i="11"/>
  <c r="R410" i="11"/>
  <c r="S410" i="11"/>
  <c r="T410" i="11"/>
  <c r="U410" i="11"/>
  <c r="V410" i="11"/>
  <c r="W410" i="11"/>
  <c r="X410" i="11"/>
  <c r="Y410" i="11"/>
  <c r="Z410" i="11"/>
  <c r="AA410" i="11"/>
  <c r="AB410" i="11"/>
  <c r="AC410" i="11"/>
  <c r="AD410" i="11"/>
  <c r="AE410" i="11"/>
  <c r="AF410" i="11"/>
  <c r="AG410" i="11"/>
  <c r="AH410" i="11"/>
  <c r="AI410" i="11"/>
  <c r="AJ410" i="11"/>
  <c r="AK410" i="11"/>
  <c r="AL410" i="11"/>
  <c r="AM410" i="11"/>
  <c r="AN410" i="11"/>
  <c r="AO410" i="11"/>
  <c r="AP410" i="11"/>
  <c r="AQ410" i="11"/>
  <c r="AR410" i="11"/>
  <c r="AS410" i="11"/>
  <c r="AT410" i="11"/>
  <c r="AU410" i="11"/>
  <c r="AV410" i="11"/>
  <c r="AW410" i="11"/>
  <c r="AX410" i="11"/>
  <c r="AY410" i="11"/>
  <c r="AZ410" i="11"/>
  <c r="BA410" i="11"/>
  <c r="BB410" i="11"/>
  <c r="BC410" i="11"/>
  <c r="BD410" i="11"/>
  <c r="BE410" i="11"/>
  <c r="BF410" i="11"/>
  <c r="BG410" i="11"/>
  <c r="BH410" i="11"/>
  <c r="BI410" i="11"/>
  <c r="BJ410" i="11"/>
  <c r="BK410" i="11"/>
  <c r="BL410" i="11"/>
  <c r="BM410" i="11"/>
  <c r="BN410" i="11"/>
  <c r="BO410" i="11"/>
  <c r="BP410" i="11"/>
  <c r="BQ410" i="11"/>
  <c r="BR410" i="11"/>
  <c r="BS410" i="11"/>
  <c r="BT410" i="11"/>
  <c r="BU410" i="11"/>
  <c r="BV410" i="11"/>
  <c r="BW410" i="11"/>
  <c r="BX410" i="11"/>
  <c r="BY410" i="11"/>
  <c r="BZ410" i="11"/>
  <c r="CA410" i="11"/>
  <c r="CB410" i="11"/>
  <c r="CC410" i="11"/>
  <c r="CD410" i="11"/>
  <c r="CE410" i="11"/>
  <c r="CF410" i="11"/>
  <c r="CG410" i="11"/>
  <c r="CH410" i="11"/>
  <c r="CI410" i="11"/>
  <c r="CJ410" i="11"/>
  <c r="CK410" i="11"/>
  <c r="CL410" i="11"/>
  <c r="CM410" i="11"/>
  <c r="CN410" i="11"/>
  <c r="CO410" i="11"/>
  <c r="CP410" i="11"/>
  <c r="CQ410" i="11"/>
  <c r="CR410" i="11"/>
  <c r="CS410" i="11"/>
  <c r="CT410" i="11"/>
  <c r="CU410" i="11"/>
  <c r="CV410" i="11"/>
  <c r="CW410" i="11"/>
  <c r="CX410" i="11"/>
  <c r="CY410" i="11"/>
  <c r="CZ410" i="11"/>
  <c r="DA410" i="11"/>
  <c r="DB410" i="11"/>
  <c r="DC410" i="11"/>
  <c r="DD410" i="11"/>
  <c r="DE410" i="11"/>
  <c r="DF410" i="11"/>
  <c r="DG410" i="11"/>
  <c r="DH410" i="11"/>
  <c r="DI410" i="11"/>
  <c r="DJ410" i="11"/>
  <c r="DK410" i="11"/>
  <c r="DL410" i="11"/>
  <c r="DM410" i="11"/>
  <c r="DN410" i="11"/>
  <c r="DO410" i="11"/>
  <c r="DP410" i="11"/>
  <c r="DQ410" i="11"/>
  <c r="DR410" i="11"/>
  <c r="DS410" i="11"/>
  <c r="DT410" i="11"/>
  <c r="DU410" i="11"/>
  <c r="DV410" i="11"/>
  <c r="DW410" i="11"/>
  <c r="DX410" i="11"/>
  <c r="DY410" i="11"/>
  <c r="DZ410" i="11"/>
  <c r="EA410" i="11"/>
  <c r="EB410" i="11"/>
  <c r="EC410" i="11"/>
  <c r="ED410" i="11"/>
  <c r="EE410" i="11"/>
  <c r="EF410" i="11"/>
  <c r="EG410" i="11"/>
  <c r="EH410" i="11"/>
  <c r="EI410" i="11"/>
  <c r="EJ410" i="11"/>
  <c r="EK410" i="11"/>
  <c r="EL410" i="11"/>
  <c r="EM410" i="11"/>
  <c r="EN410" i="11"/>
  <c r="EO410" i="11"/>
  <c r="EP410" i="11"/>
  <c r="EQ410" i="11"/>
  <c r="ER410" i="11"/>
  <c r="ES410" i="11"/>
  <c r="ET410" i="11"/>
  <c r="EU410" i="11"/>
  <c r="EV410" i="11"/>
  <c r="EW410" i="11"/>
  <c r="EX410" i="11"/>
  <c r="EY410" i="11"/>
  <c r="EZ410" i="11"/>
  <c r="FA410" i="11"/>
  <c r="FB410" i="11"/>
  <c r="FC410" i="11"/>
  <c r="FD410" i="11"/>
  <c r="FE410" i="11"/>
  <c r="FF410" i="11"/>
  <c r="FG410" i="11"/>
  <c r="FH410" i="11"/>
  <c r="FI410" i="11"/>
  <c r="FJ410" i="11"/>
  <c r="FK410" i="11"/>
  <c r="FL410" i="11"/>
  <c r="FM410" i="11"/>
  <c r="FN410" i="11"/>
  <c r="FO410" i="11"/>
  <c r="FP410" i="11"/>
  <c r="FQ410" i="11"/>
  <c r="FR410" i="11"/>
  <c r="FS410" i="11"/>
  <c r="FT410" i="11"/>
  <c r="FU410" i="11"/>
  <c r="FV410" i="11"/>
  <c r="FW410" i="11"/>
  <c r="FX410" i="11"/>
  <c r="FY410" i="11"/>
  <c r="FZ410" i="11"/>
  <c r="GA410" i="11"/>
  <c r="GB410" i="11"/>
  <c r="GC410" i="11"/>
  <c r="GD410" i="11"/>
  <c r="GE410" i="11"/>
  <c r="GF410" i="11"/>
  <c r="GG410" i="11"/>
  <c r="GH410" i="11"/>
  <c r="GI410" i="11"/>
  <c r="GJ410" i="11"/>
  <c r="GK410" i="11"/>
  <c r="GL410" i="11"/>
  <c r="GM410" i="11"/>
  <c r="GN410" i="11"/>
  <c r="GO410" i="11"/>
  <c r="GP410" i="11"/>
  <c r="GQ410" i="11"/>
  <c r="GR410" i="11"/>
  <c r="GS410" i="11"/>
  <c r="GT410" i="11"/>
  <c r="GU410" i="11"/>
  <c r="GV410" i="11"/>
  <c r="GW410" i="11"/>
  <c r="GX410" i="11"/>
  <c r="GY410" i="11"/>
  <c r="GZ410" i="11"/>
  <c r="HA410" i="11"/>
  <c r="HB410" i="11"/>
  <c r="HC410" i="11"/>
  <c r="HD410" i="11"/>
  <c r="HE410" i="11"/>
  <c r="HF410" i="11"/>
  <c r="HG410" i="11"/>
  <c r="HH410" i="11"/>
  <c r="HI410" i="11"/>
  <c r="HJ410" i="11"/>
  <c r="HK410" i="11"/>
  <c r="HL410" i="11"/>
  <c r="HM410" i="11"/>
  <c r="HN410" i="11"/>
  <c r="HO410" i="11"/>
  <c r="HP410" i="11"/>
  <c r="HQ410" i="11"/>
  <c r="HR410" i="11"/>
  <c r="HS410" i="11"/>
  <c r="HT410" i="11"/>
  <c r="HU410" i="11"/>
  <c r="HV410" i="11"/>
  <c r="HW410" i="11"/>
  <c r="HX410" i="11"/>
  <c r="HY410" i="11"/>
  <c r="HZ410" i="11"/>
  <c r="IA410" i="11"/>
  <c r="IB410" i="11"/>
  <c r="IC410" i="11"/>
  <c r="ID410" i="11"/>
  <c r="IE410" i="11"/>
  <c r="IF410" i="11"/>
  <c r="IG410" i="11"/>
  <c r="IH410" i="11"/>
  <c r="II410" i="11"/>
  <c r="IJ410" i="11"/>
  <c r="IK410" i="11"/>
  <c r="IL410" i="11"/>
  <c r="IM410" i="11"/>
  <c r="IN410" i="11"/>
  <c r="IO410" i="11"/>
  <c r="IP410" i="11"/>
  <c r="IQ410" i="11"/>
  <c r="IR410" i="11"/>
  <c r="IS410" i="11"/>
  <c r="IT410" i="11"/>
  <c r="IU410" i="11"/>
  <c r="IV410" i="11"/>
  <c r="F411" i="11"/>
  <c r="G411" i="11"/>
  <c r="H411" i="11"/>
  <c r="I411" i="11"/>
  <c r="J411" i="11"/>
  <c r="K411" i="11"/>
  <c r="L411" i="11"/>
  <c r="M411" i="11"/>
  <c r="N411" i="11"/>
  <c r="O411" i="11"/>
  <c r="P411" i="11"/>
  <c r="Q411" i="11"/>
  <c r="R411" i="11"/>
  <c r="S411" i="11"/>
  <c r="T411" i="11"/>
  <c r="U411" i="11"/>
  <c r="V411" i="11"/>
  <c r="W411" i="11"/>
  <c r="X411" i="11"/>
  <c r="Y411" i="11"/>
  <c r="Z411" i="11"/>
  <c r="AA411" i="11"/>
  <c r="AB411" i="11"/>
  <c r="AC411" i="11"/>
  <c r="AD411" i="11"/>
  <c r="AE411" i="11"/>
  <c r="AF411" i="11"/>
  <c r="AG411" i="11"/>
  <c r="AH411" i="11"/>
  <c r="AI411" i="11"/>
  <c r="AJ411" i="11"/>
  <c r="AK411" i="11"/>
  <c r="AL411" i="11"/>
  <c r="AM411" i="11"/>
  <c r="AN411" i="11"/>
  <c r="AO411" i="11"/>
  <c r="AP411" i="11"/>
  <c r="AQ411" i="11"/>
  <c r="AR411" i="11"/>
  <c r="AS411" i="11"/>
  <c r="AT411" i="11"/>
  <c r="AU411" i="11"/>
  <c r="AV411" i="11"/>
  <c r="AW411" i="11"/>
  <c r="AX411" i="11"/>
  <c r="AY411" i="11"/>
  <c r="AZ411" i="11"/>
  <c r="BA411" i="11"/>
  <c r="BB411" i="11"/>
  <c r="BC411" i="11"/>
  <c r="BD411" i="11"/>
  <c r="BE411" i="11"/>
  <c r="BF411" i="11"/>
  <c r="BG411" i="11"/>
  <c r="BH411" i="11"/>
  <c r="BI411" i="11"/>
  <c r="BJ411" i="11"/>
  <c r="BK411" i="11"/>
  <c r="BL411" i="11"/>
  <c r="BM411" i="11"/>
  <c r="BN411" i="11"/>
  <c r="BO411" i="11"/>
  <c r="BP411" i="11"/>
  <c r="BQ411" i="11"/>
  <c r="BR411" i="11"/>
  <c r="BS411" i="11"/>
  <c r="BT411" i="11"/>
  <c r="BU411" i="11"/>
  <c r="BV411" i="11"/>
  <c r="BW411" i="11"/>
  <c r="BX411" i="11"/>
  <c r="BY411" i="11"/>
  <c r="BZ411" i="11"/>
  <c r="CA411" i="11"/>
  <c r="CB411" i="11"/>
  <c r="CC411" i="11"/>
  <c r="CD411" i="11"/>
  <c r="CE411" i="11"/>
  <c r="CF411" i="11"/>
  <c r="CG411" i="11"/>
  <c r="CH411" i="11"/>
  <c r="CI411" i="11"/>
  <c r="CJ411" i="11"/>
  <c r="CK411" i="11"/>
  <c r="CL411" i="11"/>
  <c r="CM411" i="11"/>
  <c r="CN411" i="11"/>
  <c r="CO411" i="11"/>
  <c r="CP411" i="11"/>
  <c r="CQ411" i="11"/>
  <c r="CR411" i="11"/>
  <c r="CS411" i="11"/>
  <c r="CT411" i="11"/>
  <c r="CU411" i="11"/>
  <c r="CV411" i="11"/>
  <c r="CW411" i="11"/>
  <c r="CX411" i="11"/>
  <c r="CY411" i="11"/>
  <c r="CZ411" i="11"/>
  <c r="DA411" i="11"/>
  <c r="DB411" i="11"/>
  <c r="DC411" i="11"/>
  <c r="DD411" i="11"/>
  <c r="DE411" i="11"/>
  <c r="DF411" i="11"/>
  <c r="DG411" i="11"/>
  <c r="DH411" i="11"/>
  <c r="DI411" i="11"/>
  <c r="DJ411" i="11"/>
  <c r="DK411" i="11"/>
  <c r="DL411" i="11"/>
  <c r="DM411" i="11"/>
  <c r="DN411" i="11"/>
  <c r="DO411" i="11"/>
  <c r="DP411" i="11"/>
  <c r="DQ411" i="11"/>
  <c r="DR411" i="11"/>
  <c r="DS411" i="11"/>
  <c r="DT411" i="11"/>
  <c r="DU411" i="11"/>
  <c r="DV411" i="11"/>
  <c r="DW411" i="11"/>
  <c r="DX411" i="11"/>
  <c r="DY411" i="11"/>
  <c r="DZ411" i="11"/>
  <c r="EA411" i="11"/>
  <c r="EB411" i="11"/>
  <c r="EC411" i="11"/>
  <c r="ED411" i="11"/>
  <c r="EE411" i="11"/>
  <c r="EF411" i="11"/>
  <c r="EG411" i="11"/>
  <c r="EH411" i="11"/>
  <c r="EI411" i="11"/>
  <c r="EJ411" i="11"/>
  <c r="EK411" i="11"/>
  <c r="EL411" i="11"/>
  <c r="EM411" i="11"/>
  <c r="EN411" i="11"/>
  <c r="EO411" i="11"/>
  <c r="EP411" i="11"/>
  <c r="EQ411" i="11"/>
  <c r="ER411" i="11"/>
  <c r="ES411" i="11"/>
  <c r="ET411" i="11"/>
  <c r="EU411" i="11"/>
  <c r="EV411" i="11"/>
  <c r="EW411" i="11"/>
  <c r="EX411" i="11"/>
  <c r="EY411" i="11"/>
  <c r="EZ411" i="11"/>
  <c r="FA411" i="11"/>
  <c r="FB411" i="11"/>
  <c r="FC411" i="11"/>
  <c r="FD411" i="11"/>
  <c r="FE411" i="11"/>
  <c r="FF411" i="11"/>
  <c r="FG411" i="11"/>
  <c r="FH411" i="11"/>
  <c r="FI411" i="11"/>
  <c r="FJ411" i="11"/>
  <c r="FK411" i="11"/>
  <c r="FL411" i="11"/>
  <c r="FM411" i="11"/>
  <c r="FN411" i="11"/>
  <c r="FO411" i="11"/>
  <c r="FP411" i="11"/>
  <c r="FQ411" i="11"/>
  <c r="FR411" i="11"/>
  <c r="FS411" i="11"/>
  <c r="FT411" i="11"/>
  <c r="FU411" i="11"/>
  <c r="FV411" i="11"/>
  <c r="FW411" i="11"/>
  <c r="FX411" i="11"/>
  <c r="FY411" i="11"/>
  <c r="FZ411" i="11"/>
  <c r="GA411" i="11"/>
  <c r="GB411" i="11"/>
  <c r="GC411" i="11"/>
  <c r="GD411" i="11"/>
  <c r="GE411" i="11"/>
  <c r="GF411" i="11"/>
  <c r="GG411" i="11"/>
  <c r="GH411" i="11"/>
  <c r="GI411" i="11"/>
  <c r="GJ411" i="11"/>
  <c r="GK411" i="11"/>
  <c r="GL411" i="11"/>
  <c r="GM411" i="11"/>
  <c r="GN411" i="11"/>
  <c r="GO411" i="11"/>
  <c r="GP411" i="11"/>
  <c r="GQ411" i="11"/>
  <c r="GR411" i="11"/>
  <c r="GS411" i="11"/>
  <c r="GT411" i="11"/>
  <c r="GU411" i="11"/>
  <c r="GV411" i="11"/>
  <c r="GW411" i="11"/>
  <c r="GX411" i="11"/>
  <c r="GY411" i="11"/>
  <c r="GZ411" i="11"/>
  <c r="HA411" i="11"/>
  <c r="HB411" i="11"/>
  <c r="HC411" i="11"/>
  <c r="HD411" i="11"/>
  <c r="HE411" i="11"/>
  <c r="HF411" i="11"/>
  <c r="HG411" i="11"/>
  <c r="HH411" i="11"/>
  <c r="HI411" i="11"/>
  <c r="HJ411" i="11"/>
  <c r="HK411" i="11"/>
  <c r="HL411" i="11"/>
  <c r="HM411" i="11"/>
  <c r="HN411" i="11"/>
  <c r="HO411" i="11"/>
  <c r="HP411" i="11"/>
  <c r="HQ411" i="11"/>
  <c r="HR411" i="11"/>
  <c r="HS411" i="11"/>
  <c r="HT411" i="11"/>
  <c r="HU411" i="11"/>
  <c r="HV411" i="11"/>
  <c r="HW411" i="11"/>
  <c r="HX411" i="11"/>
  <c r="HY411" i="11"/>
  <c r="HZ411" i="11"/>
  <c r="IA411" i="11"/>
  <c r="IB411" i="11"/>
  <c r="IC411" i="11"/>
  <c r="ID411" i="11"/>
  <c r="IE411" i="11"/>
  <c r="IF411" i="11"/>
  <c r="IG411" i="11"/>
  <c r="IH411" i="11"/>
  <c r="II411" i="11"/>
  <c r="IJ411" i="11"/>
  <c r="IK411" i="11"/>
  <c r="IL411" i="11"/>
  <c r="IM411" i="11"/>
  <c r="IN411" i="11"/>
  <c r="IO411" i="11"/>
  <c r="IP411" i="11"/>
  <c r="IQ411" i="11"/>
  <c r="IR411" i="11"/>
  <c r="IS411" i="11"/>
  <c r="IT411" i="11"/>
  <c r="IU411" i="11"/>
  <c r="IV411" i="11"/>
  <c r="F412" i="11"/>
  <c r="G412" i="11"/>
  <c r="H412" i="11"/>
  <c r="I412" i="11"/>
  <c r="J412" i="11"/>
  <c r="K412" i="11"/>
  <c r="L412" i="11"/>
  <c r="M412" i="11"/>
  <c r="N412" i="11"/>
  <c r="O412" i="11"/>
  <c r="P412" i="11"/>
  <c r="Q412" i="11"/>
  <c r="R412" i="11"/>
  <c r="S412" i="11"/>
  <c r="T412" i="11"/>
  <c r="U412" i="11"/>
  <c r="V412" i="11"/>
  <c r="W412" i="11"/>
  <c r="X412" i="11"/>
  <c r="Y412" i="11"/>
  <c r="Z412" i="11"/>
  <c r="AA412" i="11"/>
  <c r="AB412" i="11"/>
  <c r="AC412" i="11"/>
  <c r="AD412" i="11"/>
  <c r="AE412" i="11"/>
  <c r="AF412" i="11"/>
  <c r="AG412" i="11"/>
  <c r="AH412" i="11"/>
  <c r="AI412" i="11"/>
  <c r="AJ412" i="11"/>
  <c r="AK412" i="11"/>
  <c r="AL412" i="11"/>
  <c r="AM412" i="11"/>
  <c r="AN412" i="11"/>
  <c r="AO412" i="11"/>
  <c r="AP412" i="11"/>
  <c r="AQ412" i="11"/>
  <c r="AR412" i="11"/>
  <c r="AS412" i="11"/>
  <c r="AT412" i="11"/>
  <c r="AU412" i="11"/>
  <c r="AV412" i="11"/>
  <c r="AW412" i="11"/>
  <c r="AX412" i="11"/>
  <c r="AY412" i="11"/>
  <c r="AZ412" i="11"/>
  <c r="BA412" i="11"/>
  <c r="BB412" i="11"/>
  <c r="BC412" i="11"/>
  <c r="BD412" i="11"/>
  <c r="BE412" i="11"/>
  <c r="BF412" i="11"/>
  <c r="BG412" i="11"/>
  <c r="BH412" i="11"/>
  <c r="BI412" i="11"/>
  <c r="BJ412" i="11"/>
  <c r="BK412" i="11"/>
  <c r="BL412" i="11"/>
  <c r="BM412" i="11"/>
  <c r="BN412" i="11"/>
  <c r="BO412" i="11"/>
  <c r="BP412" i="11"/>
  <c r="BQ412" i="11"/>
  <c r="BR412" i="11"/>
  <c r="BS412" i="11"/>
  <c r="BT412" i="11"/>
  <c r="BU412" i="11"/>
  <c r="BV412" i="11"/>
  <c r="BW412" i="11"/>
  <c r="BX412" i="11"/>
  <c r="BY412" i="11"/>
  <c r="BZ412" i="11"/>
  <c r="CA412" i="11"/>
  <c r="CB412" i="11"/>
  <c r="CC412" i="11"/>
  <c r="CD412" i="11"/>
  <c r="CE412" i="11"/>
  <c r="CF412" i="11"/>
  <c r="CG412" i="11"/>
  <c r="CH412" i="11"/>
  <c r="CI412" i="11"/>
  <c r="CJ412" i="11"/>
  <c r="CK412" i="11"/>
  <c r="CL412" i="11"/>
  <c r="CM412" i="11"/>
  <c r="CN412" i="11"/>
  <c r="CO412" i="11"/>
  <c r="CP412" i="11"/>
  <c r="CQ412" i="11"/>
  <c r="CR412" i="11"/>
  <c r="CS412" i="11"/>
  <c r="CT412" i="11"/>
  <c r="CU412" i="11"/>
  <c r="CV412" i="11"/>
  <c r="CW412" i="11"/>
  <c r="CX412" i="11"/>
  <c r="CY412" i="11"/>
  <c r="CZ412" i="11"/>
  <c r="DA412" i="11"/>
  <c r="DB412" i="11"/>
  <c r="DC412" i="11"/>
  <c r="DD412" i="11"/>
  <c r="DE412" i="11"/>
  <c r="DF412" i="11"/>
  <c r="DG412" i="11"/>
  <c r="DH412" i="11"/>
  <c r="DI412" i="11"/>
  <c r="DJ412" i="11"/>
  <c r="DK412" i="11"/>
  <c r="DL412" i="11"/>
  <c r="DM412" i="11"/>
  <c r="DN412" i="11"/>
  <c r="DO412" i="11"/>
  <c r="DP412" i="11"/>
  <c r="DQ412" i="11"/>
  <c r="DR412" i="11"/>
  <c r="DS412" i="11"/>
  <c r="DT412" i="11"/>
  <c r="DU412" i="11"/>
  <c r="DV412" i="11"/>
  <c r="DW412" i="11"/>
  <c r="DX412" i="11"/>
  <c r="DY412" i="11"/>
  <c r="DZ412" i="11"/>
  <c r="EA412" i="11"/>
  <c r="EB412" i="11"/>
  <c r="EC412" i="11"/>
  <c r="ED412" i="11"/>
  <c r="EE412" i="11"/>
  <c r="EF412" i="11"/>
  <c r="EG412" i="11"/>
  <c r="EH412" i="11"/>
  <c r="EI412" i="11"/>
  <c r="EJ412" i="11"/>
  <c r="EK412" i="11"/>
  <c r="EL412" i="11"/>
  <c r="EM412" i="11"/>
  <c r="EN412" i="11"/>
  <c r="EO412" i="11"/>
  <c r="EP412" i="11"/>
  <c r="EQ412" i="11"/>
  <c r="ER412" i="11"/>
  <c r="ES412" i="11"/>
  <c r="ET412" i="11"/>
  <c r="EU412" i="11"/>
  <c r="EV412" i="11"/>
  <c r="EW412" i="11"/>
  <c r="EX412" i="11"/>
  <c r="EY412" i="11"/>
  <c r="EZ412" i="11"/>
  <c r="FA412" i="11"/>
  <c r="FB412" i="11"/>
  <c r="FC412" i="11"/>
  <c r="FD412" i="11"/>
  <c r="FE412" i="11"/>
  <c r="FF412" i="11"/>
  <c r="FG412" i="11"/>
  <c r="FH412" i="11"/>
  <c r="FI412" i="11"/>
  <c r="FJ412" i="11"/>
  <c r="FK412" i="11"/>
  <c r="FL412" i="11"/>
  <c r="FM412" i="11"/>
  <c r="FN412" i="11"/>
  <c r="FO412" i="11"/>
  <c r="FP412" i="11"/>
  <c r="FQ412" i="11"/>
  <c r="FR412" i="11"/>
  <c r="FS412" i="11"/>
  <c r="FT412" i="11"/>
  <c r="FU412" i="11"/>
  <c r="FV412" i="11"/>
  <c r="FW412" i="11"/>
  <c r="FX412" i="11"/>
  <c r="FY412" i="11"/>
  <c r="FZ412" i="11"/>
  <c r="GA412" i="11"/>
  <c r="GB412" i="11"/>
  <c r="GC412" i="11"/>
  <c r="GD412" i="11"/>
  <c r="GE412" i="11"/>
  <c r="GF412" i="11"/>
  <c r="GG412" i="11"/>
  <c r="GH412" i="11"/>
  <c r="GI412" i="11"/>
  <c r="GJ412" i="11"/>
  <c r="GK412" i="11"/>
  <c r="GL412" i="11"/>
  <c r="GM412" i="11"/>
  <c r="GN412" i="11"/>
  <c r="GO412" i="11"/>
  <c r="GP412" i="11"/>
  <c r="GQ412" i="11"/>
  <c r="GR412" i="11"/>
  <c r="GS412" i="11"/>
  <c r="GT412" i="11"/>
  <c r="GU412" i="11"/>
  <c r="GV412" i="11"/>
  <c r="GW412" i="11"/>
  <c r="GX412" i="11"/>
  <c r="GY412" i="11"/>
  <c r="GZ412" i="11"/>
  <c r="HA412" i="11"/>
  <c r="HB412" i="11"/>
  <c r="HC412" i="11"/>
  <c r="HD412" i="11"/>
  <c r="HE412" i="11"/>
  <c r="HF412" i="11"/>
  <c r="HG412" i="11"/>
  <c r="HH412" i="11"/>
  <c r="HI412" i="11"/>
  <c r="HJ412" i="11"/>
  <c r="HK412" i="11"/>
  <c r="HL412" i="11"/>
  <c r="HM412" i="11"/>
  <c r="HN412" i="11"/>
  <c r="HO412" i="11"/>
  <c r="HP412" i="11"/>
  <c r="HQ412" i="11"/>
  <c r="HR412" i="11"/>
  <c r="HS412" i="11"/>
  <c r="HT412" i="11"/>
  <c r="HU412" i="11"/>
  <c r="HV412" i="11"/>
  <c r="HW412" i="11"/>
  <c r="HX412" i="11"/>
  <c r="HY412" i="11"/>
  <c r="HZ412" i="11"/>
  <c r="IA412" i="11"/>
  <c r="IB412" i="11"/>
  <c r="IC412" i="11"/>
  <c r="ID412" i="11"/>
  <c r="IE412" i="11"/>
  <c r="IF412" i="11"/>
  <c r="IG412" i="11"/>
  <c r="IH412" i="11"/>
  <c r="II412" i="11"/>
  <c r="IJ412" i="11"/>
  <c r="IK412" i="11"/>
  <c r="IL412" i="11"/>
  <c r="IM412" i="11"/>
  <c r="IN412" i="11"/>
  <c r="IO412" i="11"/>
  <c r="IP412" i="11"/>
  <c r="IQ412" i="11"/>
  <c r="IR412" i="11"/>
  <c r="IS412" i="11"/>
  <c r="IT412" i="11"/>
  <c r="IU412" i="11"/>
  <c r="IV412" i="11"/>
  <c r="F413" i="11"/>
  <c r="G413" i="11"/>
  <c r="H413" i="11"/>
  <c r="I413" i="11"/>
  <c r="J413" i="11"/>
  <c r="K413" i="11"/>
  <c r="L413" i="11"/>
  <c r="M413" i="11"/>
  <c r="N413" i="11"/>
  <c r="O413" i="11"/>
  <c r="P413" i="11"/>
  <c r="Q413" i="11"/>
  <c r="R413" i="11"/>
  <c r="S413" i="11"/>
  <c r="T413" i="11"/>
  <c r="U413" i="11"/>
  <c r="V413" i="11"/>
  <c r="W413" i="11"/>
  <c r="X413" i="11"/>
  <c r="Y413" i="11"/>
  <c r="Z413" i="11"/>
  <c r="AA413" i="11"/>
  <c r="AB413" i="11"/>
  <c r="AC413" i="11"/>
  <c r="AD413" i="11"/>
  <c r="AE413" i="11"/>
  <c r="AF413" i="11"/>
  <c r="AG413" i="11"/>
  <c r="AH413" i="11"/>
  <c r="AI413" i="11"/>
  <c r="AJ413" i="11"/>
  <c r="AK413" i="11"/>
  <c r="AL413" i="11"/>
  <c r="AM413" i="11"/>
  <c r="AN413" i="11"/>
  <c r="AO413" i="11"/>
  <c r="AP413" i="11"/>
  <c r="AQ413" i="11"/>
  <c r="AR413" i="11"/>
  <c r="AS413" i="11"/>
  <c r="AT413" i="11"/>
  <c r="AU413" i="11"/>
  <c r="AV413" i="11"/>
  <c r="AW413" i="11"/>
  <c r="AX413" i="11"/>
  <c r="AY413" i="11"/>
  <c r="AZ413" i="11"/>
  <c r="BA413" i="11"/>
  <c r="BB413" i="11"/>
  <c r="BC413" i="11"/>
  <c r="BD413" i="11"/>
  <c r="BE413" i="11"/>
  <c r="BF413" i="11"/>
  <c r="BG413" i="11"/>
  <c r="BH413" i="11"/>
  <c r="BI413" i="11"/>
  <c r="BJ413" i="11"/>
  <c r="BK413" i="11"/>
  <c r="BL413" i="11"/>
  <c r="BM413" i="11"/>
  <c r="BN413" i="11"/>
  <c r="BO413" i="11"/>
  <c r="BP413" i="11"/>
  <c r="BQ413" i="11"/>
  <c r="BR413" i="11"/>
  <c r="BS413" i="11"/>
  <c r="BT413" i="11"/>
  <c r="BU413" i="11"/>
  <c r="BV413" i="11"/>
  <c r="BW413" i="11"/>
  <c r="BX413" i="11"/>
  <c r="BY413" i="11"/>
  <c r="BZ413" i="11"/>
  <c r="CA413" i="11"/>
  <c r="CB413" i="11"/>
  <c r="CC413" i="11"/>
  <c r="CD413" i="11"/>
  <c r="CE413" i="11"/>
  <c r="CF413" i="11"/>
  <c r="CG413" i="11"/>
  <c r="CH413" i="11"/>
  <c r="CI413" i="11"/>
  <c r="CJ413" i="11"/>
  <c r="CK413" i="11"/>
  <c r="CL413" i="11"/>
  <c r="CM413" i="11"/>
  <c r="CN413" i="11"/>
  <c r="CO413" i="11"/>
  <c r="CP413" i="11"/>
  <c r="CQ413" i="11"/>
  <c r="CR413" i="11"/>
  <c r="CS413" i="11"/>
  <c r="CT413" i="11"/>
  <c r="CU413" i="11"/>
  <c r="CV413" i="11"/>
  <c r="CW413" i="11"/>
  <c r="CX413" i="11"/>
  <c r="CY413" i="11"/>
  <c r="CZ413" i="11"/>
  <c r="DA413" i="11"/>
  <c r="DB413" i="11"/>
  <c r="DC413" i="11"/>
  <c r="DD413" i="11"/>
  <c r="DE413" i="11"/>
  <c r="DF413" i="11"/>
  <c r="DG413" i="11"/>
  <c r="DH413" i="11"/>
  <c r="DI413" i="11"/>
  <c r="DJ413" i="11"/>
  <c r="DK413" i="11"/>
  <c r="DL413" i="11"/>
  <c r="DM413" i="11"/>
  <c r="DN413" i="11"/>
  <c r="DO413" i="11"/>
  <c r="DP413" i="11"/>
  <c r="DQ413" i="11"/>
  <c r="DR413" i="11"/>
  <c r="DS413" i="11"/>
  <c r="DT413" i="11"/>
  <c r="DU413" i="11"/>
  <c r="DV413" i="11"/>
  <c r="DW413" i="11"/>
  <c r="DX413" i="11"/>
  <c r="DY413" i="11"/>
  <c r="DZ413" i="11"/>
  <c r="EA413" i="11"/>
  <c r="EB413" i="11"/>
  <c r="EC413" i="11"/>
  <c r="ED413" i="11"/>
  <c r="EE413" i="11"/>
  <c r="EF413" i="11"/>
  <c r="EG413" i="11"/>
  <c r="EH413" i="11"/>
  <c r="EI413" i="11"/>
  <c r="EJ413" i="11"/>
  <c r="EK413" i="11"/>
  <c r="EL413" i="11"/>
  <c r="EM413" i="11"/>
  <c r="EN413" i="11"/>
  <c r="EO413" i="11"/>
  <c r="EP413" i="11"/>
  <c r="EQ413" i="11"/>
  <c r="ER413" i="11"/>
  <c r="ES413" i="11"/>
  <c r="ET413" i="11"/>
  <c r="EU413" i="11"/>
  <c r="EV413" i="11"/>
  <c r="EW413" i="11"/>
  <c r="EX413" i="11"/>
  <c r="EY413" i="11"/>
  <c r="EZ413" i="11"/>
  <c r="FA413" i="11"/>
  <c r="FB413" i="11"/>
  <c r="FC413" i="11"/>
  <c r="FD413" i="11"/>
  <c r="FE413" i="11"/>
  <c r="FF413" i="11"/>
  <c r="FG413" i="11"/>
  <c r="FH413" i="11"/>
  <c r="FI413" i="11"/>
  <c r="FJ413" i="11"/>
  <c r="FK413" i="11"/>
  <c r="FL413" i="11"/>
  <c r="FM413" i="11"/>
  <c r="FN413" i="11"/>
  <c r="FO413" i="11"/>
  <c r="FP413" i="11"/>
  <c r="FQ413" i="11"/>
  <c r="FR413" i="11"/>
  <c r="FS413" i="11"/>
  <c r="FT413" i="11"/>
  <c r="FU413" i="11"/>
  <c r="FV413" i="11"/>
  <c r="FW413" i="11"/>
  <c r="FX413" i="11"/>
  <c r="FY413" i="11"/>
  <c r="FZ413" i="11"/>
  <c r="GA413" i="11"/>
  <c r="GB413" i="11"/>
  <c r="GC413" i="11"/>
  <c r="GD413" i="11"/>
  <c r="GE413" i="11"/>
  <c r="GF413" i="11"/>
  <c r="GG413" i="11"/>
  <c r="GH413" i="11"/>
  <c r="GI413" i="11"/>
  <c r="GJ413" i="11"/>
  <c r="GK413" i="11"/>
  <c r="GL413" i="11"/>
  <c r="GM413" i="11"/>
  <c r="GN413" i="11"/>
  <c r="GO413" i="11"/>
  <c r="GP413" i="11"/>
  <c r="GQ413" i="11"/>
  <c r="GR413" i="11"/>
  <c r="GS413" i="11"/>
  <c r="GT413" i="11"/>
  <c r="GU413" i="11"/>
  <c r="GV413" i="11"/>
  <c r="GW413" i="11"/>
  <c r="GX413" i="11"/>
  <c r="GY413" i="11"/>
  <c r="GZ413" i="11"/>
  <c r="HA413" i="11"/>
  <c r="HB413" i="11"/>
  <c r="HC413" i="11"/>
  <c r="HD413" i="11"/>
  <c r="HE413" i="11"/>
  <c r="HF413" i="11"/>
  <c r="HG413" i="11"/>
  <c r="HH413" i="11"/>
  <c r="HI413" i="11"/>
  <c r="HJ413" i="11"/>
  <c r="HK413" i="11"/>
  <c r="HL413" i="11"/>
  <c r="HM413" i="11"/>
  <c r="HN413" i="11"/>
  <c r="HO413" i="11"/>
  <c r="HP413" i="11"/>
  <c r="HQ413" i="11"/>
  <c r="HR413" i="11"/>
  <c r="HS413" i="11"/>
  <c r="HT413" i="11"/>
  <c r="HU413" i="11"/>
  <c r="HV413" i="11"/>
  <c r="HW413" i="11"/>
  <c r="HX413" i="11"/>
  <c r="HY413" i="11"/>
  <c r="HZ413" i="11"/>
  <c r="IA413" i="11"/>
  <c r="IB413" i="11"/>
  <c r="IC413" i="11"/>
  <c r="ID413" i="11"/>
  <c r="IE413" i="11"/>
  <c r="IF413" i="11"/>
  <c r="IG413" i="11"/>
  <c r="IH413" i="11"/>
  <c r="II413" i="11"/>
  <c r="IJ413" i="11"/>
  <c r="IK413" i="11"/>
  <c r="IL413" i="11"/>
  <c r="IM413" i="11"/>
  <c r="IN413" i="11"/>
  <c r="IO413" i="11"/>
  <c r="IP413" i="11"/>
  <c r="IQ413" i="11"/>
  <c r="IR413" i="11"/>
  <c r="IS413" i="11"/>
  <c r="IT413" i="11"/>
  <c r="IU413" i="11"/>
  <c r="IV413" i="11"/>
  <c r="F414" i="11"/>
  <c r="G414" i="11"/>
  <c r="H414" i="11"/>
  <c r="I414" i="11"/>
  <c r="J414" i="11"/>
  <c r="K414" i="11"/>
  <c r="L414" i="11"/>
  <c r="M414" i="11"/>
  <c r="N414" i="11"/>
  <c r="O414" i="11"/>
  <c r="P414" i="11"/>
  <c r="Q414" i="11"/>
  <c r="R414" i="11"/>
  <c r="S414" i="11"/>
  <c r="T414" i="11"/>
  <c r="U414" i="11"/>
  <c r="V414" i="11"/>
  <c r="W414" i="11"/>
  <c r="X414" i="11"/>
  <c r="Y414" i="11"/>
  <c r="Z414" i="11"/>
  <c r="AA414" i="11"/>
  <c r="AB414" i="11"/>
  <c r="AC414" i="11"/>
  <c r="AD414" i="11"/>
  <c r="AE414" i="11"/>
  <c r="AF414" i="11"/>
  <c r="AG414" i="11"/>
  <c r="AH414" i="11"/>
  <c r="AI414" i="11"/>
  <c r="AJ414" i="11"/>
  <c r="AK414" i="11"/>
  <c r="AL414" i="11"/>
  <c r="AM414" i="11"/>
  <c r="AN414" i="11"/>
  <c r="AO414" i="11"/>
  <c r="AP414" i="11"/>
  <c r="AQ414" i="11"/>
  <c r="AR414" i="11"/>
  <c r="AS414" i="11"/>
  <c r="AT414" i="11"/>
  <c r="AU414" i="11"/>
  <c r="AV414" i="11"/>
  <c r="AW414" i="11"/>
  <c r="AX414" i="11"/>
  <c r="AY414" i="11"/>
  <c r="AZ414" i="11"/>
  <c r="BA414" i="11"/>
  <c r="BB414" i="11"/>
  <c r="BC414" i="11"/>
  <c r="BD414" i="11"/>
  <c r="BE414" i="11"/>
  <c r="BF414" i="11"/>
  <c r="BG414" i="11"/>
  <c r="BH414" i="11"/>
  <c r="BI414" i="11"/>
  <c r="BJ414" i="11"/>
  <c r="BK414" i="11"/>
  <c r="BL414" i="11"/>
  <c r="BM414" i="11"/>
  <c r="BN414" i="11"/>
  <c r="BO414" i="11"/>
  <c r="BP414" i="11"/>
  <c r="BQ414" i="11"/>
  <c r="BR414" i="11"/>
  <c r="BS414" i="11"/>
  <c r="BT414" i="11"/>
  <c r="BU414" i="11"/>
  <c r="BV414" i="11"/>
  <c r="BW414" i="11"/>
  <c r="BX414" i="11"/>
  <c r="BY414" i="11"/>
  <c r="BZ414" i="11"/>
  <c r="CA414" i="11"/>
  <c r="CB414" i="11"/>
  <c r="CC414" i="11"/>
  <c r="CD414" i="11"/>
  <c r="CE414" i="11"/>
  <c r="CF414" i="11"/>
  <c r="CG414" i="11"/>
  <c r="CH414" i="11"/>
  <c r="CI414" i="11"/>
  <c r="CJ414" i="11"/>
  <c r="CK414" i="11"/>
  <c r="CL414" i="11"/>
  <c r="CM414" i="11"/>
  <c r="CN414" i="11"/>
  <c r="CO414" i="11"/>
  <c r="CP414" i="11"/>
  <c r="CQ414" i="11"/>
  <c r="CR414" i="11"/>
  <c r="CS414" i="11"/>
  <c r="CT414" i="11"/>
  <c r="CU414" i="11"/>
  <c r="CV414" i="11"/>
  <c r="CW414" i="11"/>
  <c r="CX414" i="11"/>
  <c r="CY414" i="11"/>
  <c r="CZ414" i="11"/>
  <c r="DA414" i="11"/>
  <c r="DB414" i="11"/>
  <c r="DC414" i="11"/>
  <c r="DD414" i="11"/>
  <c r="DE414" i="11"/>
  <c r="DF414" i="11"/>
  <c r="DG414" i="11"/>
  <c r="DH414" i="11"/>
  <c r="DI414" i="11"/>
  <c r="DJ414" i="11"/>
  <c r="DK414" i="11"/>
  <c r="DL414" i="11"/>
  <c r="DM414" i="11"/>
  <c r="DN414" i="11"/>
  <c r="DO414" i="11"/>
  <c r="DP414" i="11"/>
  <c r="DQ414" i="11"/>
  <c r="DR414" i="11"/>
  <c r="DS414" i="11"/>
  <c r="DT414" i="11"/>
  <c r="DU414" i="11"/>
  <c r="DV414" i="11"/>
  <c r="DW414" i="11"/>
  <c r="DX414" i="11"/>
  <c r="DY414" i="11"/>
  <c r="DZ414" i="11"/>
  <c r="EA414" i="11"/>
  <c r="EB414" i="11"/>
  <c r="EC414" i="11"/>
  <c r="ED414" i="11"/>
  <c r="EE414" i="11"/>
  <c r="EF414" i="11"/>
  <c r="EG414" i="11"/>
  <c r="EH414" i="11"/>
  <c r="EI414" i="11"/>
  <c r="EJ414" i="11"/>
  <c r="EK414" i="11"/>
  <c r="EL414" i="11"/>
  <c r="EM414" i="11"/>
  <c r="EN414" i="11"/>
  <c r="EO414" i="11"/>
  <c r="EP414" i="11"/>
  <c r="EQ414" i="11"/>
  <c r="ER414" i="11"/>
  <c r="ES414" i="11"/>
  <c r="ET414" i="11"/>
  <c r="EU414" i="11"/>
  <c r="EV414" i="11"/>
  <c r="EW414" i="11"/>
  <c r="EX414" i="11"/>
  <c r="EY414" i="11"/>
  <c r="EZ414" i="11"/>
  <c r="FA414" i="11"/>
  <c r="FB414" i="11"/>
  <c r="FC414" i="11"/>
  <c r="FD414" i="11"/>
  <c r="FE414" i="11"/>
  <c r="FF414" i="11"/>
  <c r="FG414" i="11"/>
  <c r="FH414" i="11"/>
  <c r="FI414" i="11"/>
  <c r="FJ414" i="11"/>
  <c r="FK414" i="11"/>
  <c r="FL414" i="11"/>
  <c r="FM414" i="11"/>
  <c r="FN414" i="11"/>
  <c r="FO414" i="11"/>
  <c r="FP414" i="11"/>
  <c r="FQ414" i="11"/>
  <c r="FR414" i="11"/>
  <c r="FS414" i="11"/>
  <c r="FT414" i="11"/>
  <c r="FU414" i="11"/>
  <c r="FV414" i="11"/>
  <c r="FW414" i="11"/>
  <c r="FX414" i="11"/>
  <c r="FY414" i="11"/>
  <c r="FZ414" i="11"/>
  <c r="GA414" i="11"/>
  <c r="GB414" i="11"/>
  <c r="GC414" i="11"/>
  <c r="GD414" i="11"/>
  <c r="GE414" i="11"/>
  <c r="GF414" i="11"/>
  <c r="GG414" i="11"/>
  <c r="GH414" i="11"/>
  <c r="GI414" i="11"/>
  <c r="GJ414" i="11"/>
  <c r="GK414" i="11"/>
  <c r="GL414" i="11"/>
  <c r="GM414" i="11"/>
  <c r="GN414" i="11"/>
  <c r="GO414" i="11"/>
  <c r="GP414" i="11"/>
  <c r="GQ414" i="11"/>
  <c r="GR414" i="11"/>
  <c r="GS414" i="11"/>
  <c r="GT414" i="11"/>
  <c r="GU414" i="11"/>
  <c r="GV414" i="11"/>
  <c r="GW414" i="11"/>
  <c r="GX414" i="11"/>
  <c r="GY414" i="11"/>
  <c r="GZ414" i="11"/>
  <c r="HA414" i="11"/>
  <c r="HB414" i="11"/>
  <c r="HC414" i="11"/>
  <c r="HD414" i="11"/>
  <c r="HE414" i="11"/>
  <c r="HF414" i="11"/>
  <c r="HG414" i="11"/>
  <c r="HH414" i="11"/>
  <c r="HI414" i="11"/>
  <c r="HJ414" i="11"/>
  <c r="HK414" i="11"/>
  <c r="HL414" i="11"/>
  <c r="HM414" i="11"/>
  <c r="HN414" i="11"/>
  <c r="HO414" i="11"/>
  <c r="HP414" i="11"/>
  <c r="HQ414" i="11"/>
  <c r="HR414" i="11"/>
  <c r="HS414" i="11"/>
  <c r="HT414" i="11"/>
  <c r="HU414" i="11"/>
  <c r="HV414" i="11"/>
  <c r="HW414" i="11"/>
  <c r="HX414" i="11"/>
  <c r="HY414" i="11"/>
  <c r="HZ414" i="11"/>
  <c r="IA414" i="11"/>
  <c r="IB414" i="11"/>
  <c r="IC414" i="11"/>
  <c r="ID414" i="11"/>
  <c r="IE414" i="11"/>
  <c r="IF414" i="11"/>
  <c r="IG414" i="11"/>
  <c r="IH414" i="11"/>
  <c r="II414" i="11"/>
  <c r="IJ414" i="11"/>
  <c r="IK414" i="11"/>
  <c r="IL414" i="11"/>
  <c r="IM414" i="11"/>
  <c r="IN414" i="11"/>
  <c r="IO414" i="11"/>
  <c r="IP414" i="11"/>
  <c r="IQ414" i="11"/>
  <c r="IR414" i="11"/>
  <c r="IS414" i="11"/>
  <c r="IT414" i="11"/>
  <c r="IU414" i="11"/>
  <c r="IV414" i="11"/>
  <c r="F415" i="11"/>
  <c r="G415" i="11"/>
  <c r="H415" i="11"/>
  <c r="I415" i="11"/>
  <c r="J415" i="11"/>
  <c r="K415" i="11"/>
  <c r="L415" i="11"/>
  <c r="M415" i="11"/>
  <c r="N415" i="11"/>
  <c r="O415" i="11"/>
  <c r="P415" i="11"/>
  <c r="Q415" i="11"/>
  <c r="R415" i="11"/>
  <c r="S415" i="11"/>
  <c r="T415" i="11"/>
  <c r="U415" i="11"/>
  <c r="V415" i="11"/>
  <c r="W415" i="11"/>
  <c r="X415" i="11"/>
  <c r="Y415" i="11"/>
  <c r="Z415" i="11"/>
  <c r="AA415" i="11"/>
  <c r="AB415" i="11"/>
  <c r="AC415" i="11"/>
  <c r="AD415" i="11"/>
  <c r="AE415" i="11"/>
  <c r="AF415" i="11"/>
  <c r="AG415" i="11"/>
  <c r="AH415" i="11"/>
  <c r="AI415" i="11"/>
  <c r="AJ415" i="11"/>
  <c r="AK415" i="11"/>
  <c r="AL415" i="11"/>
  <c r="AM415" i="11"/>
  <c r="AN415" i="11"/>
  <c r="AO415" i="11"/>
  <c r="AP415" i="11"/>
  <c r="AQ415" i="11"/>
  <c r="AR415" i="11"/>
  <c r="AS415" i="11"/>
  <c r="AT415" i="11"/>
  <c r="AU415" i="11"/>
  <c r="AV415" i="11"/>
  <c r="AW415" i="11"/>
  <c r="AX415" i="11"/>
  <c r="AY415" i="11"/>
  <c r="AZ415" i="11"/>
  <c r="BA415" i="11"/>
  <c r="BB415" i="11"/>
  <c r="BC415" i="11"/>
  <c r="BD415" i="11"/>
  <c r="BE415" i="11"/>
  <c r="BF415" i="11"/>
  <c r="BG415" i="11"/>
  <c r="BH415" i="11"/>
  <c r="BI415" i="11"/>
  <c r="BJ415" i="11"/>
  <c r="BK415" i="11"/>
  <c r="BL415" i="11"/>
  <c r="BM415" i="11"/>
  <c r="BN415" i="11"/>
  <c r="BO415" i="11"/>
  <c r="BP415" i="11"/>
  <c r="BQ415" i="11"/>
  <c r="BR415" i="11"/>
  <c r="BS415" i="11"/>
  <c r="BT415" i="11"/>
  <c r="BU415" i="11"/>
  <c r="BV415" i="11"/>
  <c r="BW415" i="11"/>
  <c r="BX415" i="11"/>
  <c r="BY415" i="11"/>
  <c r="BZ415" i="11"/>
  <c r="CA415" i="11"/>
  <c r="CB415" i="11"/>
  <c r="CC415" i="11"/>
  <c r="CD415" i="11"/>
  <c r="CE415" i="11"/>
  <c r="CF415" i="11"/>
  <c r="CG415" i="11"/>
  <c r="CH415" i="11"/>
  <c r="CI415" i="11"/>
  <c r="CJ415" i="11"/>
  <c r="CK415" i="11"/>
  <c r="CL415" i="11"/>
  <c r="CM415" i="11"/>
  <c r="CN415" i="11"/>
  <c r="CO415" i="11"/>
  <c r="CP415" i="11"/>
  <c r="CQ415" i="11"/>
  <c r="CR415" i="11"/>
  <c r="CS415" i="11"/>
  <c r="CT415" i="11"/>
  <c r="CU415" i="11"/>
  <c r="CV415" i="11"/>
  <c r="CW415" i="11"/>
  <c r="CX415" i="11"/>
  <c r="CY415" i="11"/>
  <c r="CZ415" i="11"/>
  <c r="DA415" i="11"/>
  <c r="DB415" i="11"/>
  <c r="DC415" i="11"/>
  <c r="DD415" i="11"/>
  <c r="DE415" i="11"/>
  <c r="DF415" i="11"/>
  <c r="DG415" i="11"/>
  <c r="DH415" i="11"/>
  <c r="DI415" i="11"/>
  <c r="DJ415" i="11"/>
  <c r="DK415" i="11"/>
  <c r="DL415" i="11"/>
  <c r="DM415" i="11"/>
  <c r="DN415" i="11"/>
  <c r="DO415" i="11"/>
  <c r="DP415" i="11"/>
  <c r="DQ415" i="11"/>
  <c r="DR415" i="11"/>
  <c r="DS415" i="11"/>
  <c r="DT415" i="11"/>
  <c r="DU415" i="11"/>
  <c r="DV415" i="11"/>
  <c r="DW415" i="11"/>
  <c r="DX415" i="11"/>
  <c r="DY415" i="11"/>
  <c r="DZ415" i="11"/>
  <c r="EA415" i="11"/>
  <c r="EB415" i="11"/>
  <c r="EC415" i="11"/>
  <c r="ED415" i="11"/>
  <c r="EE415" i="11"/>
  <c r="EF415" i="11"/>
  <c r="EG415" i="11"/>
  <c r="EH415" i="11"/>
  <c r="EI415" i="11"/>
  <c r="EJ415" i="11"/>
  <c r="EK415" i="11"/>
  <c r="EL415" i="11"/>
  <c r="EM415" i="11"/>
  <c r="EN415" i="11"/>
  <c r="EO415" i="11"/>
  <c r="EP415" i="11"/>
  <c r="EQ415" i="11"/>
  <c r="ER415" i="11"/>
  <c r="ES415" i="11"/>
  <c r="ET415" i="11"/>
  <c r="EU415" i="11"/>
  <c r="EV415" i="11"/>
  <c r="EW415" i="11"/>
  <c r="EX415" i="11"/>
  <c r="EY415" i="11"/>
  <c r="EZ415" i="11"/>
  <c r="FA415" i="11"/>
  <c r="FB415" i="11"/>
  <c r="FC415" i="11"/>
  <c r="FD415" i="11"/>
  <c r="FE415" i="11"/>
  <c r="FF415" i="11"/>
  <c r="FG415" i="11"/>
  <c r="FH415" i="11"/>
  <c r="FI415" i="11"/>
  <c r="FJ415" i="11"/>
  <c r="FK415" i="11"/>
  <c r="FL415" i="11"/>
  <c r="FM415" i="11"/>
  <c r="FN415" i="11"/>
  <c r="FO415" i="11"/>
  <c r="FP415" i="11"/>
  <c r="FQ415" i="11"/>
  <c r="FR415" i="11"/>
  <c r="FS415" i="11"/>
  <c r="FT415" i="11"/>
  <c r="FU415" i="11"/>
  <c r="FV415" i="11"/>
  <c r="FW415" i="11"/>
  <c r="FX415" i="11"/>
  <c r="FY415" i="11"/>
  <c r="FZ415" i="11"/>
  <c r="GA415" i="11"/>
  <c r="GB415" i="11"/>
  <c r="GC415" i="11"/>
  <c r="GD415" i="11"/>
  <c r="GE415" i="11"/>
  <c r="GF415" i="11"/>
  <c r="GG415" i="11"/>
  <c r="GH415" i="11"/>
  <c r="GI415" i="11"/>
  <c r="GJ415" i="11"/>
  <c r="GK415" i="11"/>
  <c r="GL415" i="11"/>
  <c r="GM415" i="11"/>
  <c r="GN415" i="11"/>
  <c r="GO415" i="11"/>
  <c r="GP415" i="11"/>
  <c r="GQ415" i="11"/>
  <c r="GR415" i="11"/>
  <c r="GS415" i="11"/>
  <c r="GT415" i="11"/>
  <c r="GU415" i="11"/>
  <c r="GV415" i="11"/>
  <c r="GW415" i="11"/>
  <c r="GX415" i="11"/>
  <c r="GY415" i="11"/>
  <c r="GZ415" i="11"/>
  <c r="HA415" i="11"/>
  <c r="HB415" i="11"/>
  <c r="HC415" i="11"/>
  <c r="HD415" i="11"/>
  <c r="HE415" i="11"/>
  <c r="HF415" i="11"/>
  <c r="HG415" i="11"/>
  <c r="HH415" i="11"/>
  <c r="HI415" i="11"/>
  <c r="HJ415" i="11"/>
  <c r="HK415" i="11"/>
  <c r="HL415" i="11"/>
  <c r="HM415" i="11"/>
  <c r="HN415" i="11"/>
  <c r="HO415" i="11"/>
  <c r="HP415" i="11"/>
  <c r="HQ415" i="11"/>
  <c r="HR415" i="11"/>
  <c r="HS415" i="11"/>
  <c r="HT415" i="11"/>
  <c r="HU415" i="11"/>
  <c r="HV415" i="11"/>
  <c r="HW415" i="11"/>
  <c r="HX415" i="11"/>
  <c r="HY415" i="11"/>
  <c r="HZ415" i="11"/>
  <c r="IA415" i="11"/>
  <c r="IB415" i="11"/>
  <c r="IC415" i="11"/>
  <c r="ID415" i="11"/>
  <c r="IE415" i="11"/>
  <c r="IF415" i="11"/>
  <c r="IG415" i="11"/>
  <c r="IH415" i="11"/>
  <c r="II415" i="11"/>
  <c r="IJ415" i="11"/>
  <c r="IK415" i="11"/>
  <c r="IL415" i="11"/>
  <c r="IM415" i="11"/>
  <c r="IN415" i="11"/>
  <c r="IO415" i="11"/>
  <c r="IP415" i="11"/>
  <c r="IQ415" i="11"/>
  <c r="IR415" i="11"/>
  <c r="IS415" i="11"/>
  <c r="IT415" i="11"/>
  <c r="IU415" i="11"/>
  <c r="IV415" i="11"/>
  <c r="F416" i="11"/>
  <c r="G416" i="11"/>
  <c r="H416" i="11"/>
  <c r="I416" i="11"/>
  <c r="J416" i="11"/>
  <c r="K416" i="11"/>
  <c r="L416" i="11"/>
  <c r="M416" i="11"/>
  <c r="N416" i="11"/>
  <c r="O416" i="11"/>
  <c r="P416" i="11"/>
  <c r="Q416" i="11"/>
  <c r="R416" i="11"/>
  <c r="S416" i="11"/>
  <c r="T416" i="11"/>
  <c r="U416" i="11"/>
  <c r="V416" i="11"/>
  <c r="W416" i="11"/>
  <c r="X416" i="11"/>
  <c r="Y416" i="11"/>
  <c r="Z416" i="11"/>
  <c r="AA416" i="11"/>
  <c r="AB416" i="11"/>
  <c r="AC416" i="11"/>
  <c r="AD416" i="11"/>
  <c r="AE416" i="11"/>
  <c r="AF416" i="11"/>
  <c r="AG416" i="11"/>
  <c r="AH416" i="11"/>
  <c r="AI416" i="11"/>
  <c r="AJ416" i="11"/>
  <c r="AK416" i="11"/>
  <c r="AL416" i="11"/>
  <c r="AM416" i="11"/>
  <c r="AN416" i="11"/>
  <c r="AO416" i="11"/>
  <c r="AP416" i="11"/>
  <c r="AQ416" i="11"/>
  <c r="AR416" i="11"/>
  <c r="AS416" i="11"/>
  <c r="AT416" i="11"/>
  <c r="AU416" i="11"/>
  <c r="AV416" i="11"/>
  <c r="AW416" i="11"/>
  <c r="AX416" i="11"/>
  <c r="AY416" i="11"/>
  <c r="AZ416" i="11"/>
  <c r="BA416" i="11"/>
  <c r="BB416" i="11"/>
  <c r="BC416" i="11"/>
  <c r="BD416" i="11"/>
  <c r="BE416" i="11"/>
  <c r="BF416" i="11"/>
  <c r="BG416" i="11"/>
  <c r="BH416" i="11"/>
  <c r="BI416" i="11"/>
  <c r="BJ416" i="11"/>
  <c r="BK416" i="11"/>
  <c r="BL416" i="11"/>
  <c r="BM416" i="11"/>
  <c r="BN416" i="11"/>
  <c r="BO416" i="11"/>
  <c r="BP416" i="11"/>
  <c r="BQ416" i="11"/>
  <c r="BR416" i="11"/>
  <c r="BS416" i="11"/>
  <c r="BT416" i="11"/>
  <c r="BU416" i="11"/>
  <c r="BV416" i="11"/>
  <c r="BW416" i="11"/>
  <c r="BX416" i="11"/>
  <c r="BY416" i="11"/>
  <c r="BZ416" i="11"/>
  <c r="CA416" i="11"/>
  <c r="CB416" i="11"/>
  <c r="CC416" i="11"/>
  <c r="CD416" i="11"/>
  <c r="CE416" i="11"/>
  <c r="CF416" i="11"/>
  <c r="CG416" i="11"/>
  <c r="CH416" i="11"/>
  <c r="CI416" i="11"/>
  <c r="CJ416" i="11"/>
  <c r="CK416" i="11"/>
  <c r="CL416" i="11"/>
  <c r="CM416" i="11"/>
  <c r="CN416" i="11"/>
  <c r="CO416" i="11"/>
  <c r="CP416" i="11"/>
  <c r="CQ416" i="11"/>
  <c r="CR416" i="11"/>
  <c r="CS416" i="11"/>
  <c r="CT416" i="11"/>
  <c r="CU416" i="11"/>
  <c r="CV416" i="11"/>
  <c r="CW416" i="11"/>
  <c r="CX416" i="11"/>
  <c r="CY416" i="11"/>
  <c r="CZ416" i="11"/>
  <c r="DA416" i="11"/>
  <c r="DB416" i="11"/>
  <c r="DC416" i="11"/>
  <c r="DD416" i="11"/>
  <c r="DE416" i="11"/>
  <c r="DF416" i="11"/>
  <c r="DG416" i="11"/>
  <c r="DH416" i="11"/>
  <c r="DI416" i="11"/>
  <c r="DJ416" i="11"/>
  <c r="DK416" i="11"/>
  <c r="DL416" i="11"/>
  <c r="DM416" i="11"/>
  <c r="DN416" i="11"/>
  <c r="DO416" i="11"/>
  <c r="DP416" i="11"/>
  <c r="DQ416" i="11"/>
  <c r="DR416" i="11"/>
  <c r="DS416" i="11"/>
  <c r="DT416" i="11"/>
  <c r="DU416" i="11"/>
  <c r="DV416" i="11"/>
  <c r="DW416" i="11"/>
  <c r="DX416" i="11"/>
  <c r="DY416" i="11"/>
  <c r="DZ416" i="11"/>
  <c r="EA416" i="11"/>
  <c r="EB416" i="11"/>
  <c r="EC416" i="11"/>
  <c r="ED416" i="11"/>
  <c r="EE416" i="11"/>
  <c r="EF416" i="11"/>
  <c r="EG416" i="11"/>
  <c r="EH416" i="11"/>
  <c r="EI416" i="11"/>
  <c r="EJ416" i="11"/>
  <c r="EK416" i="11"/>
  <c r="EL416" i="11"/>
  <c r="EM416" i="11"/>
  <c r="EN416" i="11"/>
  <c r="EO416" i="11"/>
  <c r="EP416" i="11"/>
  <c r="EQ416" i="11"/>
  <c r="ER416" i="11"/>
  <c r="ES416" i="11"/>
  <c r="ET416" i="11"/>
  <c r="EU416" i="11"/>
  <c r="EV416" i="11"/>
  <c r="EW416" i="11"/>
  <c r="EX416" i="11"/>
  <c r="EY416" i="11"/>
  <c r="EZ416" i="11"/>
  <c r="FA416" i="11"/>
  <c r="FB416" i="11"/>
  <c r="FC416" i="11"/>
  <c r="FD416" i="11"/>
  <c r="FE416" i="11"/>
  <c r="FF416" i="11"/>
  <c r="FG416" i="11"/>
  <c r="FH416" i="11"/>
  <c r="FI416" i="11"/>
  <c r="FJ416" i="11"/>
  <c r="FK416" i="11"/>
  <c r="FL416" i="11"/>
  <c r="FM416" i="11"/>
  <c r="FN416" i="11"/>
  <c r="FO416" i="11"/>
  <c r="FP416" i="11"/>
  <c r="FQ416" i="11"/>
  <c r="FR416" i="11"/>
  <c r="FS416" i="11"/>
  <c r="FT416" i="11"/>
  <c r="FU416" i="11"/>
  <c r="FV416" i="11"/>
  <c r="FW416" i="11"/>
  <c r="FX416" i="11"/>
  <c r="FY416" i="11"/>
  <c r="FZ416" i="11"/>
  <c r="GA416" i="11"/>
  <c r="GB416" i="11"/>
  <c r="GC416" i="11"/>
  <c r="GD416" i="11"/>
  <c r="GE416" i="11"/>
  <c r="GF416" i="11"/>
  <c r="GG416" i="11"/>
  <c r="GH416" i="11"/>
  <c r="GI416" i="11"/>
  <c r="GJ416" i="11"/>
  <c r="GK416" i="11"/>
  <c r="GL416" i="11"/>
  <c r="GM416" i="11"/>
  <c r="GN416" i="11"/>
  <c r="GO416" i="11"/>
  <c r="GP416" i="11"/>
  <c r="GQ416" i="11"/>
  <c r="GR416" i="11"/>
  <c r="GS416" i="11"/>
  <c r="GT416" i="11"/>
  <c r="GU416" i="11"/>
  <c r="GV416" i="11"/>
  <c r="GW416" i="11"/>
  <c r="GX416" i="11"/>
  <c r="GY416" i="11"/>
  <c r="GZ416" i="11"/>
  <c r="HA416" i="11"/>
  <c r="HB416" i="11"/>
  <c r="HC416" i="11"/>
  <c r="HD416" i="11"/>
  <c r="HE416" i="11"/>
  <c r="HF416" i="11"/>
  <c r="HG416" i="11"/>
  <c r="HH416" i="11"/>
  <c r="HI416" i="11"/>
  <c r="HJ416" i="11"/>
  <c r="HK416" i="11"/>
  <c r="HL416" i="11"/>
  <c r="HM416" i="11"/>
  <c r="HN416" i="11"/>
  <c r="HO416" i="11"/>
  <c r="HP416" i="11"/>
  <c r="HQ416" i="11"/>
  <c r="HR416" i="11"/>
  <c r="HS416" i="11"/>
  <c r="HT416" i="11"/>
  <c r="HU416" i="11"/>
  <c r="HV416" i="11"/>
  <c r="HW416" i="11"/>
  <c r="HX416" i="11"/>
  <c r="HY416" i="11"/>
  <c r="HZ416" i="11"/>
  <c r="IA416" i="11"/>
  <c r="IB416" i="11"/>
  <c r="IC416" i="11"/>
  <c r="ID416" i="11"/>
  <c r="IE416" i="11"/>
  <c r="IF416" i="11"/>
  <c r="IG416" i="11"/>
  <c r="IH416" i="11"/>
  <c r="II416" i="11"/>
  <c r="IJ416" i="11"/>
  <c r="IK416" i="11"/>
  <c r="IL416" i="11"/>
  <c r="IM416" i="11"/>
  <c r="IN416" i="11"/>
  <c r="IO416" i="11"/>
  <c r="IP416" i="11"/>
  <c r="IQ416" i="11"/>
  <c r="IR416" i="11"/>
  <c r="IS416" i="11"/>
  <c r="IT416" i="11"/>
  <c r="IU416" i="11"/>
  <c r="IV416" i="11"/>
  <c r="F417" i="11"/>
  <c r="G417" i="11"/>
  <c r="H417" i="11"/>
  <c r="I417" i="11"/>
  <c r="J417" i="11"/>
  <c r="K417" i="11"/>
  <c r="L417" i="11"/>
  <c r="M417" i="11"/>
  <c r="N417" i="11"/>
  <c r="O417" i="11"/>
  <c r="P417" i="11"/>
  <c r="Q417" i="11"/>
  <c r="R417" i="11"/>
  <c r="S417" i="11"/>
  <c r="T417" i="11"/>
  <c r="U417" i="11"/>
  <c r="V417" i="11"/>
  <c r="W417" i="11"/>
  <c r="X417" i="11"/>
  <c r="Y417" i="11"/>
  <c r="Z417" i="11"/>
  <c r="AA417" i="11"/>
  <c r="AB417" i="11"/>
  <c r="AC417" i="11"/>
  <c r="AD417" i="11"/>
  <c r="AE417" i="11"/>
  <c r="AF417" i="11"/>
  <c r="AG417" i="11"/>
  <c r="AH417" i="11"/>
  <c r="AI417" i="11"/>
  <c r="AJ417" i="11"/>
  <c r="AK417" i="11"/>
  <c r="AL417" i="11"/>
  <c r="AM417" i="11"/>
  <c r="AN417" i="11"/>
  <c r="AO417" i="11"/>
  <c r="AP417" i="11"/>
  <c r="AQ417" i="11"/>
  <c r="AR417" i="11"/>
  <c r="AS417" i="11"/>
  <c r="AT417" i="11"/>
  <c r="AU417" i="11"/>
  <c r="AV417" i="11"/>
  <c r="AW417" i="11"/>
  <c r="AX417" i="11"/>
  <c r="AY417" i="11"/>
  <c r="AZ417" i="11"/>
  <c r="BA417" i="11"/>
  <c r="BB417" i="11"/>
  <c r="BC417" i="11"/>
  <c r="BD417" i="11"/>
  <c r="BE417" i="11"/>
  <c r="BF417" i="11"/>
  <c r="BG417" i="11"/>
  <c r="BH417" i="11"/>
  <c r="BI417" i="11"/>
  <c r="BJ417" i="11"/>
  <c r="BK417" i="11"/>
  <c r="BL417" i="11"/>
  <c r="BM417" i="11"/>
  <c r="BN417" i="11"/>
  <c r="BO417" i="11"/>
  <c r="BP417" i="11"/>
  <c r="BQ417" i="11"/>
  <c r="BR417" i="11"/>
  <c r="BS417" i="11"/>
  <c r="BT417" i="11"/>
  <c r="BU417" i="11"/>
  <c r="BV417" i="11"/>
  <c r="BW417" i="11"/>
  <c r="BX417" i="11"/>
  <c r="BY417" i="11"/>
  <c r="BZ417" i="11"/>
  <c r="CA417" i="11"/>
  <c r="CB417" i="11"/>
  <c r="CC417" i="11"/>
  <c r="CD417" i="11"/>
  <c r="CE417" i="11"/>
  <c r="CF417" i="11"/>
  <c r="CG417" i="11"/>
  <c r="CH417" i="11"/>
  <c r="CI417" i="11"/>
  <c r="CJ417" i="11"/>
  <c r="CK417" i="11"/>
  <c r="CL417" i="11"/>
  <c r="CM417" i="11"/>
  <c r="CN417" i="11"/>
  <c r="CO417" i="11"/>
  <c r="CP417" i="11"/>
  <c r="CQ417" i="11"/>
  <c r="CR417" i="11"/>
  <c r="CS417" i="11"/>
  <c r="CT417" i="11"/>
  <c r="CU417" i="11"/>
  <c r="CV417" i="11"/>
  <c r="CW417" i="11"/>
  <c r="CX417" i="11"/>
  <c r="CY417" i="11"/>
  <c r="CZ417" i="11"/>
  <c r="DA417" i="11"/>
  <c r="DB417" i="11"/>
  <c r="DC417" i="11"/>
  <c r="DD417" i="11"/>
  <c r="DE417" i="11"/>
  <c r="DF417" i="11"/>
  <c r="DG417" i="11"/>
  <c r="DH417" i="11"/>
  <c r="DI417" i="11"/>
  <c r="DJ417" i="11"/>
  <c r="DK417" i="11"/>
  <c r="DL417" i="11"/>
  <c r="DM417" i="11"/>
  <c r="DN417" i="11"/>
  <c r="DO417" i="11"/>
  <c r="DP417" i="11"/>
  <c r="DQ417" i="11"/>
  <c r="DR417" i="11"/>
  <c r="DS417" i="11"/>
  <c r="DT417" i="11"/>
  <c r="DU417" i="11"/>
  <c r="DV417" i="11"/>
  <c r="DW417" i="11"/>
  <c r="DX417" i="11"/>
  <c r="DY417" i="11"/>
  <c r="DZ417" i="11"/>
  <c r="EA417" i="11"/>
  <c r="EB417" i="11"/>
  <c r="EC417" i="11"/>
  <c r="ED417" i="11"/>
  <c r="EE417" i="11"/>
  <c r="EF417" i="11"/>
  <c r="EG417" i="11"/>
  <c r="EH417" i="11"/>
  <c r="EI417" i="11"/>
  <c r="EJ417" i="11"/>
  <c r="EK417" i="11"/>
  <c r="EL417" i="11"/>
  <c r="EM417" i="11"/>
  <c r="EN417" i="11"/>
  <c r="EO417" i="11"/>
  <c r="EP417" i="11"/>
  <c r="EQ417" i="11"/>
  <c r="ER417" i="11"/>
  <c r="ES417" i="11"/>
  <c r="ET417" i="11"/>
  <c r="EU417" i="11"/>
  <c r="EV417" i="11"/>
  <c r="EW417" i="11"/>
  <c r="EX417" i="11"/>
  <c r="EY417" i="11"/>
  <c r="EZ417" i="11"/>
  <c r="FA417" i="11"/>
  <c r="FB417" i="11"/>
  <c r="FC417" i="11"/>
  <c r="FD417" i="11"/>
  <c r="FE417" i="11"/>
  <c r="FF417" i="11"/>
  <c r="FG417" i="11"/>
  <c r="FH417" i="11"/>
  <c r="FI417" i="11"/>
  <c r="FJ417" i="11"/>
  <c r="FK417" i="11"/>
  <c r="FL417" i="11"/>
  <c r="FM417" i="11"/>
  <c r="FN417" i="11"/>
  <c r="FO417" i="11"/>
  <c r="FP417" i="11"/>
  <c r="FQ417" i="11"/>
  <c r="FR417" i="11"/>
  <c r="FS417" i="11"/>
  <c r="FT417" i="11"/>
  <c r="FU417" i="11"/>
  <c r="FV417" i="11"/>
  <c r="FW417" i="11"/>
  <c r="FX417" i="11"/>
  <c r="FY417" i="11"/>
  <c r="FZ417" i="11"/>
  <c r="GA417" i="11"/>
  <c r="GB417" i="11"/>
  <c r="GC417" i="11"/>
  <c r="GD417" i="11"/>
  <c r="GE417" i="11"/>
  <c r="GF417" i="11"/>
  <c r="GG417" i="11"/>
  <c r="GH417" i="11"/>
  <c r="GI417" i="11"/>
  <c r="GJ417" i="11"/>
  <c r="GK417" i="11"/>
  <c r="GL417" i="11"/>
  <c r="GM417" i="11"/>
  <c r="GN417" i="11"/>
  <c r="GO417" i="11"/>
  <c r="GP417" i="11"/>
  <c r="GQ417" i="11"/>
  <c r="GR417" i="11"/>
  <c r="GS417" i="11"/>
  <c r="GT417" i="11"/>
  <c r="GU417" i="11"/>
  <c r="GV417" i="11"/>
  <c r="GW417" i="11"/>
  <c r="GX417" i="11"/>
  <c r="GY417" i="11"/>
  <c r="GZ417" i="11"/>
  <c r="HA417" i="11"/>
  <c r="HB417" i="11"/>
  <c r="HC417" i="11"/>
  <c r="HD417" i="11"/>
  <c r="HE417" i="11"/>
  <c r="HF417" i="11"/>
  <c r="HG417" i="11"/>
  <c r="HH417" i="11"/>
  <c r="HI417" i="11"/>
  <c r="HJ417" i="11"/>
  <c r="HK417" i="11"/>
  <c r="HL417" i="11"/>
  <c r="HM417" i="11"/>
  <c r="HN417" i="11"/>
  <c r="HO417" i="11"/>
  <c r="HP417" i="11"/>
  <c r="HQ417" i="11"/>
  <c r="HR417" i="11"/>
  <c r="HS417" i="11"/>
  <c r="HT417" i="11"/>
  <c r="HU417" i="11"/>
  <c r="HV417" i="11"/>
  <c r="HW417" i="11"/>
  <c r="HX417" i="11"/>
  <c r="HY417" i="11"/>
  <c r="HZ417" i="11"/>
  <c r="IA417" i="11"/>
  <c r="IB417" i="11"/>
  <c r="IC417" i="11"/>
  <c r="ID417" i="11"/>
  <c r="IE417" i="11"/>
  <c r="IF417" i="11"/>
  <c r="IG417" i="11"/>
  <c r="IH417" i="11"/>
  <c r="II417" i="11"/>
  <c r="IJ417" i="11"/>
  <c r="IK417" i="11"/>
  <c r="IL417" i="11"/>
  <c r="IM417" i="11"/>
  <c r="IN417" i="11"/>
  <c r="IO417" i="11"/>
  <c r="IP417" i="11"/>
  <c r="IQ417" i="11"/>
  <c r="IR417" i="11"/>
  <c r="IS417" i="11"/>
  <c r="IT417" i="11"/>
  <c r="IU417" i="11"/>
  <c r="IV417" i="11"/>
  <c r="F418" i="11"/>
  <c r="G418" i="11"/>
  <c r="H418" i="11"/>
  <c r="I418" i="11"/>
  <c r="J418" i="11"/>
  <c r="K418" i="11"/>
  <c r="L418" i="11"/>
  <c r="M418" i="11"/>
  <c r="N418" i="11"/>
  <c r="O418" i="11"/>
  <c r="P418" i="11"/>
  <c r="Q418" i="11"/>
  <c r="R418" i="11"/>
  <c r="S418" i="11"/>
  <c r="T418" i="11"/>
  <c r="U418" i="11"/>
  <c r="V418" i="11"/>
  <c r="W418" i="11"/>
  <c r="X418" i="11"/>
  <c r="Y418" i="11"/>
  <c r="Z418" i="11"/>
  <c r="AA418" i="11"/>
  <c r="AB418" i="11"/>
  <c r="AC418" i="11"/>
  <c r="AD418" i="11"/>
  <c r="AE418" i="11"/>
  <c r="AF418" i="11"/>
  <c r="AG418" i="11"/>
  <c r="AH418" i="11"/>
  <c r="AI418" i="11"/>
  <c r="AJ418" i="11"/>
  <c r="AK418" i="11"/>
  <c r="AL418" i="11"/>
  <c r="AM418" i="11"/>
  <c r="AN418" i="11"/>
  <c r="AO418" i="11"/>
  <c r="AP418" i="11"/>
  <c r="AQ418" i="11"/>
  <c r="AR418" i="11"/>
  <c r="AS418" i="11"/>
  <c r="AT418" i="11"/>
  <c r="AU418" i="11"/>
  <c r="AV418" i="11"/>
  <c r="AW418" i="11"/>
  <c r="AX418" i="11"/>
  <c r="AY418" i="11"/>
  <c r="AZ418" i="11"/>
  <c r="BA418" i="11"/>
  <c r="BB418" i="11"/>
  <c r="BC418" i="11"/>
  <c r="BD418" i="11"/>
  <c r="BE418" i="11"/>
  <c r="BF418" i="11"/>
  <c r="BG418" i="11"/>
  <c r="BH418" i="11"/>
  <c r="BI418" i="11"/>
  <c r="BJ418" i="11"/>
  <c r="BK418" i="11"/>
  <c r="BL418" i="11"/>
  <c r="BM418" i="11"/>
  <c r="BN418" i="11"/>
  <c r="BO418" i="11"/>
  <c r="BP418" i="11"/>
  <c r="BQ418" i="11"/>
  <c r="BR418" i="11"/>
  <c r="BS418" i="11"/>
  <c r="BT418" i="11"/>
  <c r="BU418" i="11"/>
  <c r="BV418" i="11"/>
  <c r="BW418" i="11"/>
  <c r="BX418" i="11"/>
  <c r="BY418" i="11"/>
  <c r="BZ418" i="11"/>
  <c r="CA418" i="11"/>
  <c r="CB418" i="11"/>
  <c r="CC418" i="11"/>
  <c r="CD418" i="11"/>
  <c r="CE418" i="11"/>
  <c r="CF418" i="11"/>
  <c r="CG418" i="11"/>
  <c r="CH418" i="11"/>
  <c r="CI418" i="11"/>
  <c r="CJ418" i="11"/>
  <c r="CK418" i="11"/>
  <c r="CL418" i="11"/>
  <c r="CM418" i="11"/>
  <c r="CN418" i="11"/>
  <c r="CO418" i="11"/>
  <c r="CP418" i="11"/>
  <c r="CQ418" i="11"/>
  <c r="CR418" i="11"/>
  <c r="CS418" i="11"/>
  <c r="CT418" i="11"/>
  <c r="CU418" i="11"/>
  <c r="CV418" i="11"/>
  <c r="CW418" i="11"/>
  <c r="CX418" i="11"/>
  <c r="CY418" i="11"/>
  <c r="CZ418" i="11"/>
  <c r="DA418" i="11"/>
  <c r="DB418" i="11"/>
  <c r="DC418" i="11"/>
  <c r="DD418" i="11"/>
  <c r="DE418" i="11"/>
  <c r="DF418" i="11"/>
  <c r="DG418" i="11"/>
  <c r="DH418" i="11"/>
  <c r="DI418" i="11"/>
  <c r="DJ418" i="11"/>
  <c r="DK418" i="11"/>
  <c r="DL418" i="11"/>
  <c r="DM418" i="11"/>
  <c r="DN418" i="11"/>
  <c r="DO418" i="11"/>
  <c r="DP418" i="11"/>
  <c r="DQ418" i="11"/>
  <c r="DR418" i="11"/>
  <c r="DS418" i="11"/>
  <c r="DT418" i="11"/>
  <c r="DU418" i="11"/>
  <c r="DV418" i="11"/>
  <c r="DW418" i="11"/>
  <c r="DX418" i="11"/>
  <c r="DY418" i="11"/>
  <c r="DZ418" i="11"/>
  <c r="EA418" i="11"/>
  <c r="EB418" i="11"/>
  <c r="EC418" i="11"/>
  <c r="ED418" i="11"/>
  <c r="EE418" i="11"/>
  <c r="EF418" i="11"/>
  <c r="EG418" i="11"/>
  <c r="EH418" i="11"/>
  <c r="EI418" i="11"/>
  <c r="EJ418" i="11"/>
  <c r="EK418" i="11"/>
  <c r="EL418" i="11"/>
  <c r="EM418" i="11"/>
  <c r="EN418" i="11"/>
  <c r="EO418" i="11"/>
  <c r="EP418" i="11"/>
  <c r="EQ418" i="11"/>
  <c r="ER418" i="11"/>
  <c r="ES418" i="11"/>
  <c r="ET418" i="11"/>
  <c r="EU418" i="11"/>
  <c r="EV418" i="11"/>
  <c r="EW418" i="11"/>
  <c r="EX418" i="11"/>
  <c r="EY418" i="11"/>
  <c r="EZ418" i="11"/>
  <c r="FA418" i="11"/>
  <c r="FB418" i="11"/>
  <c r="FC418" i="11"/>
  <c r="FD418" i="11"/>
  <c r="FE418" i="11"/>
  <c r="FF418" i="11"/>
  <c r="FG418" i="11"/>
  <c r="FH418" i="11"/>
  <c r="FI418" i="11"/>
  <c r="FJ418" i="11"/>
  <c r="FK418" i="11"/>
  <c r="FL418" i="11"/>
  <c r="FM418" i="11"/>
  <c r="FN418" i="11"/>
  <c r="FO418" i="11"/>
  <c r="FP418" i="11"/>
  <c r="FQ418" i="11"/>
  <c r="FR418" i="11"/>
  <c r="FS418" i="11"/>
  <c r="FT418" i="11"/>
  <c r="FU418" i="11"/>
  <c r="FV418" i="11"/>
  <c r="FW418" i="11"/>
  <c r="FX418" i="11"/>
  <c r="FY418" i="11"/>
  <c r="FZ418" i="11"/>
  <c r="GA418" i="11"/>
  <c r="GB418" i="11"/>
  <c r="GC418" i="11"/>
  <c r="GD418" i="11"/>
  <c r="GE418" i="11"/>
  <c r="GF418" i="11"/>
  <c r="GG418" i="11"/>
  <c r="GH418" i="11"/>
  <c r="GI418" i="11"/>
  <c r="GJ418" i="11"/>
  <c r="GK418" i="11"/>
  <c r="GL418" i="11"/>
  <c r="GM418" i="11"/>
  <c r="GN418" i="11"/>
  <c r="GO418" i="11"/>
  <c r="GP418" i="11"/>
  <c r="GQ418" i="11"/>
  <c r="GR418" i="11"/>
  <c r="GS418" i="11"/>
  <c r="GT418" i="11"/>
  <c r="GU418" i="11"/>
  <c r="GV418" i="11"/>
  <c r="GW418" i="11"/>
  <c r="GX418" i="11"/>
  <c r="GY418" i="11"/>
  <c r="GZ418" i="11"/>
  <c r="HA418" i="11"/>
  <c r="HB418" i="11"/>
  <c r="HC418" i="11"/>
  <c r="HD418" i="11"/>
  <c r="HE418" i="11"/>
  <c r="HF418" i="11"/>
  <c r="HG418" i="11"/>
  <c r="HH418" i="11"/>
  <c r="HI418" i="11"/>
  <c r="HJ418" i="11"/>
  <c r="HK418" i="11"/>
  <c r="HL418" i="11"/>
  <c r="HM418" i="11"/>
  <c r="HN418" i="11"/>
  <c r="HO418" i="11"/>
  <c r="HP418" i="11"/>
  <c r="HQ418" i="11"/>
  <c r="HR418" i="11"/>
  <c r="HS418" i="11"/>
  <c r="HT418" i="11"/>
  <c r="HU418" i="11"/>
  <c r="HV418" i="11"/>
  <c r="HW418" i="11"/>
  <c r="HX418" i="11"/>
  <c r="HY418" i="11"/>
  <c r="HZ418" i="11"/>
  <c r="IA418" i="11"/>
  <c r="IB418" i="11"/>
  <c r="IC418" i="11"/>
  <c r="ID418" i="11"/>
  <c r="IE418" i="11"/>
  <c r="IF418" i="11"/>
  <c r="IG418" i="11"/>
  <c r="IH418" i="11"/>
  <c r="II418" i="11"/>
  <c r="IJ418" i="11"/>
  <c r="IK418" i="11"/>
  <c r="IL418" i="11"/>
  <c r="IM418" i="11"/>
  <c r="IN418" i="11"/>
  <c r="IO418" i="11"/>
  <c r="IP418" i="11"/>
  <c r="IQ418" i="11"/>
  <c r="IR418" i="11"/>
  <c r="IS418" i="11"/>
  <c r="IT418" i="11"/>
  <c r="IU418" i="11"/>
  <c r="IV418" i="11"/>
  <c r="F419" i="11"/>
  <c r="G419" i="11"/>
  <c r="H419" i="11"/>
  <c r="I419" i="11"/>
  <c r="J419" i="11"/>
  <c r="K419" i="11"/>
  <c r="L419" i="11"/>
  <c r="M419" i="11"/>
  <c r="N419" i="11"/>
  <c r="O419" i="11"/>
  <c r="P419" i="11"/>
  <c r="Q419" i="11"/>
  <c r="R419" i="11"/>
  <c r="S419" i="11"/>
  <c r="T419" i="11"/>
  <c r="U419" i="11"/>
  <c r="V419" i="11"/>
  <c r="W419" i="11"/>
  <c r="X419" i="11"/>
  <c r="Y419" i="11"/>
  <c r="Z419" i="11"/>
  <c r="AA419" i="11"/>
  <c r="AB419" i="11"/>
  <c r="AC419" i="11"/>
  <c r="AD419" i="11"/>
  <c r="AE419" i="11"/>
  <c r="AF419" i="11"/>
  <c r="AG419" i="11"/>
  <c r="AH419" i="11"/>
  <c r="AI419" i="11"/>
  <c r="AJ419" i="11"/>
  <c r="AK419" i="11"/>
  <c r="AL419" i="11"/>
  <c r="AM419" i="11"/>
  <c r="AN419" i="11"/>
  <c r="AO419" i="11"/>
  <c r="AP419" i="11"/>
  <c r="AQ419" i="11"/>
  <c r="AR419" i="11"/>
  <c r="AS419" i="11"/>
  <c r="AT419" i="11"/>
  <c r="AU419" i="11"/>
  <c r="AV419" i="11"/>
  <c r="AW419" i="11"/>
  <c r="AX419" i="11"/>
  <c r="AY419" i="11"/>
  <c r="AZ419" i="11"/>
  <c r="BA419" i="11"/>
  <c r="BB419" i="11"/>
  <c r="BC419" i="11"/>
  <c r="BD419" i="11"/>
  <c r="BE419" i="11"/>
  <c r="BF419" i="11"/>
  <c r="BG419" i="11"/>
  <c r="BH419" i="11"/>
  <c r="BI419" i="11"/>
  <c r="BJ419" i="11"/>
  <c r="BK419" i="11"/>
  <c r="BL419" i="11"/>
  <c r="BM419" i="11"/>
  <c r="BN419" i="11"/>
  <c r="BO419" i="11"/>
  <c r="BP419" i="11"/>
  <c r="BQ419" i="11"/>
  <c r="BR419" i="11"/>
  <c r="BS419" i="11"/>
  <c r="BT419" i="11"/>
  <c r="BU419" i="11"/>
  <c r="BV419" i="11"/>
  <c r="BW419" i="11"/>
  <c r="BX419" i="11"/>
  <c r="BY419" i="11"/>
  <c r="BZ419" i="11"/>
  <c r="CA419" i="11"/>
  <c r="CB419" i="11"/>
  <c r="CC419" i="11"/>
  <c r="CD419" i="11"/>
  <c r="CE419" i="11"/>
  <c r="CF419" i="11"/>
  <c r="CG419" i="11"/>
  <c r="CH419" i="11"/>
  <c r="CI419" i="11"/>
  <c r="CJ419" i="11"/>
  <c r="CK419" i="11"/>
  <c r="CL419" i="11"/>
  <c r="CM419" i="11"/>
  <c r="CN419" i="11"/>
  <c r="CO419" i="11"/>
  <c r="CP419" i="11"/>
  <c r="CQ419" i="11"/>
  <c r="CR419" i="11"/>
  <c r="CS419" i="11"/>
  <c r="CT419" i="11"/>
  <c r="CU419" i="11"/>
  <c r="CV419" i="11"/>
  <c r="CW419" i="11"/>
  <c r="CX419" i="11"/>
  <c r="CY419" i="11"/>
  <c r="CZ419" i="11"/>
  <c r="DA419" i="11"/>
  <c r="DB419" i="11"/>
  <c r="DC419" i="11"/>
  <c r="DD419" i="11"/>
  <c r="DE419" i="11"/>
  <c r="DF419" i="11"/>
  <c r="DG419" i="11"/>
  <c r="DH419" i="11"/>
  <c r="DI419" i="11"/>
  <c r="DJ419" i="11"/>
  <c r="DK419" i="11"/>
  <c r="DL419" i="11"/>
  <c r="DM419" i="11"/>
  <c r="DN419" i="11"/>
  <c r="DO419" i="11"/>
  <c r="DP419" i="11"/>
  <c r="DQ419" i="11"/>
  <c r="DR419" i="11"/>
  <c r="DS419" i="11"/>
  <c r="DT419" i="11"/>
  <c r="DU419" i="11"/>
  <c r="DV419" i="11"/>
  <c r="DW419" i="11"/>
  <c r="DX419" i="11"/>
  <c r="DY419" i="11"/>
  <c r="DZ419" i="11"/>
  <c r="EA419" i="11"/>
  <c r="EB419" i="11"/>
  <c r="EC419" i="11"/>
  <c r="ED419" i="11"/>
  <c r="EE419" i="11"/>
  <c r="EF419" i="11"/>
  <c r="EG419" i="11"/>
  <c r="EH419" i="11"/>
  <c r="EI419" i="11"/>
  <c r="EJ419" i="11"/>
  <c r="EK419" i="11"/>
  <c r="EL419" i="11"/>
  <c r="EM419" i="11"/>
  <c r="EN419" i="11"/>
  <c r="EO419" i="11"/>
  <c r="EP419" i="11"/>
  <c r="EQ419" i="11"/>
  <c r="ER419" i="11"/>
  <c r="ES419" i="11"/>
  <c r="ET419" i="11"/>
  <c r="EU419" i="11"/>
  <c r="EV419" i="11"/>
  <c r="EW419" i="11"/>
  <c r="EX419" i="11"/>
  <c r="EY419" i="11"/>
  <c r="EZ419" i="11"/>
  <c r="FA419" i="11"/>
  <c r="FB419" i="11"/>
  <c r="FC419" i="11"/>
  <c r="FD419" i="11"/>
  <c r="FE419" i="11"/>
  <c r="FF419" i="11"/>
  <c r="FG419" i="11"/>
  <c r="FH419" i="11"/>
  <c r="FI419" i="11"/>
  <c r="FJ419" i="11"/>
  <c r="FK419" i="11"/>
  <c r="FL419" i="11"/>
  <c r="FM419" i="11"/>
  <c r="FN419" i="11"/>
  <c r="FO419" i="11"/>
  <c r="FP419" i="11"/>
  <c r="FQ419" i="11"/>
  <c r="FR419" i="11"/>
  <c r="FS419" i="11"/>
  <c r="FT419" i="11"/>
  <c r="FU419" i="11"/>
  <c r="FV419" i="11"/>
  <c r="FW419" i="11"/>
  <c r="FX419" i="11"/>
  <c r="FY419" i="11"/>
  <c r="FZ419" i="11"/>
  <c r="GA419" i="11"/>
  <c r="GB419" i="11"/>
  <c r="GC419" i="11"/>
  <c r="GD419" i="11"/>
  <c r="GE419" i="11"/>
  <c r="GF419" i="11"/>
  <c r="GG419" i="11"/>
  <c r="GH419" i="11"/>
  <c r="GI419" i="11"/>
  <c r="GJ419" i="11"/>
  <c r="GK419" i="11"/>
  <c r="GL419" i="11"/>
  <c r="GM419" i="11"/>
  <c r="GN419" i="11"/>
  <c r="GO419" i="11"/>
  <c r="GP419" i="11"/>
  <c r="GQ419" i="11"/>
  <c r="GR419" i="11"/>
  <c r="GS419" i="11"/>
  <c r="GT419" i="11"/>
  <c r="GU419" i="11"/>
  <c r="GV419" i="11"/>
  <c r="GW419" i="11"/>
  <c r="GX419" i="11"/>
  <c r="GY419" i="11"/>
  <c r="GZ419" i="11"/>
  <c r="HA419" i="11"/>
  <c r="HB419" i="11"/>
  <c r="HC419" i="11"/>
  <c r="HD419" i="11"/>
  <c r="HE419" i="11"/>
  <c r="HF419" i="11"/>
  <c r="HG419" i="11"/>
  <c r="HH419" i="11"/>
  <c r="HI419" i="11"/>
  <c r="HJ419" i="11"/>
  <c r="HK419" i="11"/>
  <c r="HL419" i="11"/>
  <c r="HM419" i="11"/>
  <c r="HN419" i="11"/>
  <c r="HO419" i="11"/>
  <c r="HP419" i="11"/>
  <c r="HQ419" i="11"/>
  <c r="HR419" i="11"/>
  <c r="HS419" i="11"/>
  <c r="HT419" i="11"/>
  <c r="HU419" i="11"/>
  <c r="HV419" i="11"/>
  <c r="HW419" i="11"/>
  <c r="HX419" i="11"/>
  <c r="HY419" i="11"/>
  <c r="HZ419" i="11"/>
  <c r="IA419" i="11"/>
  <c r="IB419" i="11"/>
  <c r="IC419" i="11"/>
  <c r="ID419" i="11"/>
  <c r="IE419" i="11"/>
  <c r="IF419" i="11"/>
  <c r="IG419" i="11"/>
  <c r="IH419" i="11"/>
  <c r="II419" i="11"/>
  <c r="IJ419" i="11"/>
  <c r="IK419" i="11"/>
  <c r="IL419" i="11"/>
  <c r="IM419" i="11"/>
  <c r="IN419" i="11"/>
  <c r="IO419" i="11"/>
  <c r="IP419" i="11"/>
  <c r="IQ419" i="11"/>
  <c r="IR419" i="11"/>
  <c r="IS419" i="11"/>
  <c r="IT419" i="11"/>
  <c r="IU419" i="11"/>
  <c r="IV419" i="11"/>
  <c r="F420" i="11"/>
  <c r="G420" i="11"/>
  <c r="H420" i="11"/>
  <c r="I420" i="11"/>
  <c r="J420" i="11"/>
  <c r="K420" i="11"/>
  <c r="L420" i="11"/>
  <c r="M420" i="11"/>
  <c r="N420" i="11"/>
  <c r="O420" i="11"/>
  <c r="P420" i="11"/>
  <c r="Q420" i="11"/>
  <c r="R420" i="11"/>
  <c r="S420" i="11"/>
  <c r="T420" i="11"/>
  <c r="U420" i="11"/>
  <c r="V420" i="11"/>
  <c r="W420" i="11"/>
  <c r="X420" i="11"/>
  <c r="Y420" i="11"/>
  <c r="Z420" i="11"/>
  <c r="AA420" i="11"/>
  <c r="AB420" i="11"/>
  <c r="AC420" i="11"/>
  <c r="AD420" i="11"/>
  <c r="AE420" i="11"/>
  <c r="AF420" i="11"/>
  <c r="AG420" i="11"/>
  <c r="AH420" i="11"/>
  <c r="AI420" i="11"/>
  <c r="AJ420" i="11"/>
  <c r="AK420" i="11"/>
  <c r="AL420" i="11"/>
  <c r="AM420" i="11"/>
  <c r="AN420" i="11"/>
  <c r="AO420" i="11"/>
  <c r="AP420" i="11"/>
  <c r="AQ420" i="11"/>
  <c r="AR420" i="11"/>
  <c r="AS420" i="11"/>
  <c r="AT420" i="11"/>
  <c r="AU420" i="11"/>
  <c r="AV420" i="11"/>
  <c r="AW420" i="11"/>
  <c r="AX420" i="11"/>
  <c r="AY420" i="11"/>
  <c r="AZ420" i="11"/>
  <c r="BA420" i="11"/>
  <c r="BB420" i="11"/>
  <c r="BC420" i="11"/>
  <c r="BD420" i="11"/>
  <c r="BE420" i="11"/>
  <c r="BF420" i="11"/>
  <c r="BG420" i="11"/>
  <c r="BH420" i="11"/>
  <c r="BI420" i="11"/>
  <c r="BJ420" i="11"/>
  <c r="BK420" i="11"/>
  <c r="BL420" i="11"/>
  <c r="BM420" i="11"/>
  <c r="BN420" i="11"/>
  <c r="BO420" i="11"/>
  <c r="BP420" i="11"/>
  <c r="BQ420" i="11"/>
  <c r="BR420" i="11"/>
  <c r="BS420" i="11"/>
  <c r="BT420" i="11"/>
  <c r="BU420" i="11"/>
  <c r="BV420" i="11"/>
  <c r="BW420" i="11"/>
  <c r="BX420" i="11"/>
  <c r="BY420" i="11"/>
  <c r="BZ420" i="11"/>
  <c r="CA420" i="11"/>
  <c r="CB420" i="11"/>
  <c r="CC420" i="11"/>
  <c r="CD420" i="11"/>
  <c r="CE420" i="11"/>
  <c r="CF420" i="11"/>
  <c r="CG420" i="11"/>
  <c r="CH420" i="11"/>
  <c r="CI420" i="11"/>
  <c r="CJ420" i="11"/>
  <c r="CK420" i="11"/>
  <c r="CL420" i="11"/>
  <c r="CM420" i="11"/>
  <c r="CN420" i="11"/>
  <c r="CO420" i="11"/>
  <c r="CP420" i="11"/>
  <c r="CQ420" i="11"/>
  <c r="CR420" i="11"/>
  <c r="CS420" i="11"/>
  <c r="CT420" i="11"/>
  <c r="CU420" i="11"/>
  <c r="CV420" i="11"/>
  <c r="CW420" i="11"/>
  <c r="CX420" i="11"/>
  <c r="CY420" i="11"/>
  <c r="CZ420" i="11"/>
  <c r="DA420" i="11"/>
  <c r="DB420" i="11"/>
  <c r="DC420" i="11"/>
  <c r="DD420" i="11"/>
  <c r="DE420" i="11"/>
  <c r="DF420" i="11"/>
  <c r="DG420" i="11"/>
  <c r="DH420" i="11"/>
  <c r="DI420" i="11"/>
  <c r="DJ420" i="11"/>
  <c r="DK420" i="11"/>
  <c r="DL420" i="11"/>
  <c r="DM420" i="11"/>
  <c r="DN420" i="11"/>
  <c r="DO420" i="11"/>
  <c r="DP420" i="11"/>
  <c r="DQ420" i="11"/>
  <c r="DR420" i="11"/>
  <c r="DS420" i="11"/>
  <c r="DT420" i="11"/>
  <c r="DU420" i="11"/>
  <c r="DV420" i="11"/>
  <c r="DW420" i="11"/>
  <c r="DX420" i="11"/>
  <c r="DY420" i="11"/>
  <c r="DZ420" i="11"/>
  <c r="EA420" i="11"/>
  <c r="EB420" i="11"/>
  <c r="EC420" i="11"/>
  <c r="ED420" i="11"/>
  <c r="EE420" i="11"/>
  <c r="EF420" i="11"/>
  <c r="EG420" i="11"/>
  <c r="EH420" i="11"/>
  <c r="EI420" i="11"/>
  <c r="EJ420" i="11"/>
  <c r="EK420" i="11"/>
  <c r="EL420" i="11"/>
  <c r="EM420" i="11"/>
  <c r="EN420" i="11"/>
  <c r="EO420" i="11"/>
  <c r="EP420" i="11"/>
  <c r="EQ420" i="11"/>
  <c r="ER420" i="11"/>
  <c r="ES420" i="11"/>
  <c r="ET420" i="11"/>
  <c r="EU420" i="11"/>
  <c r="EV420" i="11"/>
  <c r="EW420" i="11"/>
  <c r="EX420" i="11"/>
  <c r="EY420" i="11"/>
  <c r="EZ420" i="11"/>
  <c r="FA420" i="11"/>
  <c r="FB420" i="11"/>
  <c r="FC420" i="11"/>
  <c r="FD420" i="11"/>
  <c r="FE420" i="11"/>
  <c r="FF420" i="11"/>
  <c r="FG420" i="11"/>
  <c r="FH420" i="11"/>
  <c r="FI420" i="11"/>
  <c r="FJ420" i="11"/>
  <c r="FK420" i="11"/>
  <c r="FL420" i="11"/>
  <c r="FM420" i="11"/>
  <c r="FN420" i="11"/>
  <c r="FO420" i="11"/>
  <c r="FP420" i="11"/>
  <c r="FQ420" i="11"/>
  <c r="FR420" i="11"/>
  <c r="FS420" i="11"/>
  <c r="FT420" i="11"/>
  <c r="FU420" i="11"/>
  <c r="FV420" i="11"/>
  <c r="FW420" i="11"/>
  <c r="FX420" i="11"/>
  <c r="FY420" i="11"/>
  <c r="FZ420" i="11"/>
  <c r="GA420" i="11"/>
  <c r="GB420" i="11"/>
  <c r="GC420" i="11"/>
  <c r="GD420" i="11"/>
  <c r="GE420" i="11"/>
  <c r="GF420" i="11"/>
  <c r="GG420" i="11"/>
  <c r="GH420" i="11"/>
  <c r="GI420" i="11"/>
  <c r="GJ420" i="11"/>
  <c r="GK420" i="11"/>
  <c r="GL420" i="11"/>
  <c r="GM420" i="11"/>
  <c r="GN420" i="11"/>
  <c r="GO420" i="11"/>
  <c r="GP420" i="11"/>
  <c r="GQ420" i="11"/>
  <c r="GR420" i="11"/>
  <c r="GS420" i="11"/>
  <c r="GT420" i="11"/>
  <c r="GU420" i="11"/>
  <c r="GV420" i="11"/>
  <c r="GW420" i="11"/>
  <c r="GX420" i="11"/>
  <c r="GY420" i="11"/>
  <c r="GZ420" i="11"/>
  <c r="HA420" i="11"/>
  <c r="HB420" i="11"/>
  <c r="HC420" i="11"/>
  <c r="HD420" i="11"/>
  <c r="HE420" i="11"/>
  <c r="HF420" i="11"/>
  <c r="HG420" i="11"/>
  <c r="HH420" i="11"/>
  <c r="HI420" i="11"/>
  <c r="HJ420" i="11"/>
  <c r="HK420" i="11"/>
  <c r="HL420" i="11"/>
  <c r="HM420" i="11"/>
  <c r="HN420" i="11"/>
  <c r="HO420" i="11"/>
  <c r="HP420" i="11"/>
  <c r="HQ420" i="11"/>
  <c r="HR420" i="11"/>
  <c r="HS420" i="11"/>
  <c r="HT420" i="11"/>
  <c r="HU420" i="11"/>
  <c r="HV420" i="11"/>
  <c r="HW420" i="11"/>
  <c r="HX420" i="11"/>
  <c r="HY420" i="11"/>
  <c r="HZ420" i="11"/>
  <c r="IA420" i="11"/>
  <c r="IB420" i="11"/>
  <c r="IC420" i="11"/>
  <c r="ID420" i="11"/>
  <c r="IE420" i="11"/>
  <c r="IF420" i="11"/>
  <c r="IG420" i="11"/>
  <c r="IH420" i="11"/>
  <c r="II420" i="11"/>
  <c r="IJ420" i="11"/>
  <c r="IK420" i="11"/>
  <c r="IL420" i="11"/>
  <c r="IM420" i="11"/>
  <c r="IN420" i="11"/>
  <c r="IO420" i="11"/>
  <c r="IP420" i="11"/>
  <c r="IQ420" i="11"/>
  <c r="IR420" i="11"/>
  <c r="IS420" i="11"/>
  <c r="IT420" i="11"/>
  <c r="IU420" i="11"/>
  <c r="IV420" i="11"/>
  <c r="F421" i="11"/>
  <c r="G421" i="11"/>
  <c r="H421" i="11"/>
  <c r="I421" i="11"/>
  <c r="J421" i="11"/>
  <c r="K421" i="11"/>
  <c r="L421" i="11"/>
  <c r="M421" i="11"/>
  <c r="N421" i="11"/>
  <c r="O421" i="11"/>
  <c r="P421" i="11"/>
  <c r="Q421" i="11"/>
  <c r="R421" i="11"/>
  <c r="S421" i="11"/>
  <c r="T421" i="11"/>
  <c r="U421" i="11"/>
  <c r="V421" i="11"/>
  <c r="W421" i="11"/>
  <c r="X421" i="11"/>
  <c r="Y421" i="11"/>
  <c r="Z421" i="11"/>
  <c r="AA421" i="11"/>
  <c r="AB421" i="11"/>
  <c r="AC421" i="11"/>
  <c r="AD421" i="11"/>
  <c r="AE421" i="11"/>
  <c r="AF421" i="11"/>
  <c r="AG421" i="11"/>
  <c r="AH421" i="11"/>
  <c r="AI421" i="11"/>
  <c r="AJ421" i="11"/>
  <c r="AK421" i="11"/>
  <c r="AL421" i="11"/>
  <c r="AM421" i="11"/>
  <c r="AN421" i="11"/>
  <c r="AO421" i="11"/>
  <c r="AP421" i="11"/>
  <c r="AQ421" i="11"/>
  <c r="AR421" i="11"/>
  <c r="AS421" i="11"/>
  <c r="AT421" i="11"/>
  <c r="AU421" i="11"/>
  <c r="AV421" i="11"/>
  <c r="AW421" i="11"/>
  <c r="AX421" i="11"/>
  <c r="AY421" i="11"/>
  <c r="AZ421" i="11"/>
  <c r="BA421" i="11"/>
  <c r="BB421" i="11"/>
  <c r="BC421" i="11"/>
  <c r="BD421" i="11"/>
  <c r="BE421" i="11"/>
  <c r="BF421" i="11"/>
  <c r="BG421" i="11"/>
  <c r="BH421" i="11"/>
  <c r="BI421" i="11"/>
  <c r="BJ421" i="11"/>
  <c r="BK421" i="11"/>
  <c r="BL421" i="11"/>
  <c r="BM421" i="11"/>
  <c r="BN421" i="11"/>
  <c r="BO421" i="11"/>
  <c r="BP421" i="11"/>
  <c r="BQ421" i="11"/>
  <c r="BR421" i="11"/>
  <c r="BS421" i="11"/>
  <c r="BT421" i="11"/>
  <c r="BU421" i="11"/>
  <c r="BV421" i="11"/>
  <c r="BW421" i="11"/>
  <c r="BX421" i="11"/>
  <c r="BY421" i="11"/>
  <c r="BZ421" i="11"/>
  <c r="CA421" i="11"/>
  <c r="CB421" i="11"/>
  <c r="CC421" i="11"/>
  <c r="CD421" i="11"/>
  <c r="CE421" i="11"/>
  <c r="CF421" i="11"/>
  <c r="CG421" i="11"/>
  <c r="CH421" i="11"/>
  <c r="CI421" i="11"/>
  <c r="CJ421" i="11"/>
  <c r="CK421" i="11"/>
  <c r="CL421" i="11"/>
  <c r="CM421" i="11"/>
  <c r="CN421" i="11"/>
  <c r="CO421" i="11"/>
  <c r="CP421" i="11"/>
  <c r="CQ421" i="11"/>
  <c r="CR421" i="11"/>
  <c r="CS421" i="11"/>
  <c r="CT421" i="11"/>
  <c r="CU421" i="11"/>
  <c r="CV421" i="11"/>
  <c r="CW421" i="11"/>
  <c r="CX421" i="11"/>
  <c r="CY421" i="11"/>
  <c r="CZ421" i="11"/>
  <c r="DA421" i="11"/>
  <c r="DB421" i="11"/>
  <c r="DC421" i="11"/>
  <c r="DD421" i="11"/>
  <c r="DE421" i="11"/>
  <c r="DF421" i="11"/>
  <c r="DG421" i="11"/>
  <c r="DH421" i="11"/>
  <c r="DI421" i="11"/>
  <c r="DJ421" i="11"/>
  <c r="DK421" i="11"/>
  <c r="DL421" i="11"/>
  <c r="DM421" i="11"/>
  <c r="DN421" i="11"/>
  <c r="DO421" i="11"/>
  <c r="DP421" i="11"/>
  <c r="DQ421" i="11"/>
  <c r="DR421" i="11"/>
  <c r="DS421" i="11"/>
  <c r="DT421" i="11"/>
  <c r="DU421" i="11"/>
  <c r="DV421" i="11"/>
  <c r="DW421" i="11"/>
  <c r="DX421" i="11"/>
  <c r="DY421" i="11"/>
  <c r="DZ421" i="11"/>
  <c r="EA421" i="11"/>
  <c r="EB421" i="11"/>
  <c r="EC421" i="11"/>
  <c r="ED421" i="11"/>
  <c r="EE421" i="11"/>
  <c r="EF421" i="11"/>
  <c r="EG421" i="11"/>
  <c r="EH421" i="11"/>
  <c r="EI421" i="11"/>
  <c r="EJ421" i="11"/>
  <c r="EK421" i="11"/>
  <c r="EL421" i="11"/>
  <c r="EM421" i="11"/>
  <c r="EN421" i="11"/>
  <c r="EO421" i="11"/>
  <c r="EP421" i="11"/>
  <c r="EQ421" i="11"/>
  <c r="ER421" i="11"/>
  <c r="ES421" i="11"/>
  <c r="ET421" i="11"/>
  <c r="EU421" i="11"/>
  <c r="EV421" i="11"/>
  <c r="EW421" i="11"/>
  <c r="EX421" i="11"/>
  <c r="EY421" i="11"/>
  <c r="EZ421" i="11"/>
  <c r="FA421" i="11"/>
  <c r="FB421" i="11"/>
  <c r="FC421" i="11"/>
  <c r="FD421" i="11"/>
  <c r="FE421" i="11"/>
  <c r="FF421" i="11"/>
  <c r="FG421" i="11"/>
  <c r="FH421" i="11"/>
  <c r="FI421" i="11"/>
  <c r="FJ421" i="11"/>
  <c r="FK421" i="11"/>
  <c r="FL421" i="11"/>
  <c r="FM421" i="11"/>
  <c r="FN421" i="11"/>
  <c r="FO421" i="11"/>
  <c r="FP421" i="11"/>
  <c r="FQ421" i="11"/>
  <c r="FR421" i="11"/>
  <c r="FS421" i="11"/>
  <c r="FT421" i="11"/>
  <c r="FU421" i="11"/>
  <c r="FV421" i="11"/>
  <c r="FW421" i="11"/>
  <c r="FX421" i="11"/>
  <c r="FY421" i="11"/>
  <c r="FZ421" i="11"/>
  <c r="GA421" i="11"/>
  <c r="GB421" i="11"/>
  <c r="GC421" i="11"/>
  <c r="GD421" i="11"/>
  <c r="GE421" i="11"/>
  <c r="GF421" i="11"/>
  <c r="GG421" i="11"/>
  <c r="GH421" i="11"/>
  <c r="GI421" i="11"/>
  <c r="GJ421" i="11"/>
  <c r="GK421" i="11"/>
  <c r="GL421" i="11"/>
  <c r="GM421" i="11"/>
  <c r="GN421" i="11"/>
  <c r="GO421" i="11"/>
  <c r="GP421" i="11"/>
  <c r="GQ421" i="11"/>
  <c r="GR421" i="11"/>
  <c r="GS421" i="11"/>
  <c r="GT421" i="11"/>
  <c r="GU421" i="11"/>
  <c r="GV421" i="11"/>
  <c r="GW421" i="11"/>
  <c r="GX421" i="11"/>
  <c r="GY421" i="11"/>
  <c r="GZ421" i="11"/>
  <c r="HA421" i="11"/>
  <c r="HB421" i="11"/>
  <c r="HC421" i="11"/>
  <c r="HD421" i="11"/>
  <c r="HE421" i="11"/>
  <c r="HF421" i="11"/>
  <c r="HG421" i="11"/>
  <c r="HH421" i="11"/>
  <c r="HI421" i="11"/>
  <c r="HJ421" i="11"/>
  <c r="HK421" i="11"/>
  <c r="HL421" i="11"/>
  <c r="HM421" i="11"/>
  <c r="HN421" i="11"/>
  <c r="HO421" i="11"/>
  <c r="HP421" i="11"/>
  <c r="HQ421" i="11"/>
  <c r="HR421" i="11"/>
  <c r="HS421" i="11"/>
  <c r="HT421" i="11"/>
  <c r="HU421" i="11"/>
  <c r="HV421" i="11"/>
  <c r="HW421" i="11"/>
  <c r="HX421" i="11"/>
  <c r="HY421" i="11"/>
  <c r="HZ421" i="11"/>
  <c r="IA421" i="11"/>
  <c r="IB421" i="11"/>
  <c r="IC421" i="11"/>
  <c r="ID421" i="11"/>
  <c r="IE421" i="11"/>
  <c r="IF421" i="11"/>
  <c r="IG421" i="11"/>
  <c r="IH421" i="11"/>
  <c r="II421" i="11"/>
  <c r="IJ421" i="11"/>
  <c r="IK421" i="11"/>
  <c r="IL421" i="11"/>
  <c r="IM421" i="11"/>
  <c r="IN421" i="11"/>
  <c r="IO421" i="11"/>
  <c r="IP421" i="11"/>
  <c r="IQ421" i="11"/>
  <c r="IR421" i="11"/>
  <c r="IS421" i="11"/>
  <c r="IT421" i="11"/>
  <c r="IU421" i="11"/>
  <c r="IV421" i="11"/>
  <c r="F422" i="11"/>
  <c r="G422" i="11"/>
  <c r="H422" i="11"/>
  <c r="I422" i="11"/>
  <c r="J422" i="11"/>
  <c r="K422" i="11"/>
  <c r="L422" i="11"/>
  <c r="M422" i="11"/>
  <c r="N422" i="11"/>
  <c r="O422" i="11"/>
  <c r="P422" i="11"/>
  <c r="Q422" i="11"/>
  <c r="R422" i="11"/>
  <c r="S422" i="11"/>
  <c r="T422" i="11"/>
  <c r="U422" i="11"/>
  <c r="V422" i="11"/>
  <c r="W422" i="11"/>
  <c r="X422" i="11"/>
  <c r="Y422" i="11"/>
  <c r="Z422" i="11"/>
  <c r="AA422" i="11"/>
  <c r="AB422" i="11"/>
  <c r="AC422" i="11"/>
  <c r="AD422" i="11"/>
  <c r="AE422" i="11"/>
  <c r="AF422" i="11"/>
  <c r="AG422" i="11"/>
  <c r="AH422" i="11"/>
  <c r="AI422" i="11"/>
  <c r="AJ422" i="11"/>
  <c r="AK422" i="11"/>
  <c r="AL422" i="11"/>
  <c r="AM422" i="11"/>
  <c r="AN422" i="11"/>
  <c r="AO422" i="11"/>
  <c r="AP422" i="11"/>
  <c r="AQ422" i="11"/>
  <c r="AR422" i="11"/>
  <c r="AS422" i="11"/>
  <c r="AT422" i="11"/>
  <c r="AU422" i="11"/>
  <c r="AV422" i="11"/>
  <c r="AW422" i="11"/>
  <c r="AX422" i="11"/>
  <c r="AY422" i="11"/>
  <c r="AZ422" i="11"/>
  <c r="BA422" i="11"/>
  <c r="BB422" i="11"/>
  <c r="BC422" i="11"/>
  <c r="BD422" i="11"/>
  <c r="BE422" i="11"/>
  <c r="BF422" i="11"/>
  <c r="BG422" i="11"/>
  <c r="BH422" i="11"/>
  <c r="BI422" i="11"/>
  <c r="BJ422" i="11"/>
  <c r="BK422" i="11"/>
  <c r="BL422" i="11"/>
  <c r="BM422" i="11"/>
  <c r="BN422" i="11"/>
  <c r="BO422" i="11"/>
  <c r="BP422" i="11"/>
  <c r="BQ422" i="11"/>
  <c r="BR422" i="11"/>
  <c r="BS422" i="11"/>
  <c r="BT422" i="11"/>
  <c r="BU422" i="11"/>
  <c r="BV422" i="11"/>
  <c r="BW422" i="11"/>
  <c r="BX422" i="11"/>
  <c r="BY422" i="11"/>
  <c r="BZ422" i="11"/>
  <c r="CA422" i="11"/>
  <c r="CB422" i="11"/>
  <c r="CC422" i="11"/>
  <c r="CD422" i="11"/>
  <c r="CE422" i="11"/>
  <c r="CF422" i="11"/>
  <c r="CG422" i="11"/>
  <c r="CH422" i="11"/>
  <c r="CI422" i="11"/>
  <c r="CJ422" i="11"/>
  <c r="CK422" i="11"/>
  <c r="CL422" i="11"/>
  <c r="CM422" i="11"/>
  <c r="CN422" i="11"/>
  <c r="CO422" i="11"/>
  <c r="CP422" i="11"/>
  <c r="CQ422" i="11"/>
  <c r="CR422" i="11"/>
  <c r="CS422" i="11"/>
  <c r="CT422" i="11"/>
  <c r="CU422" i="11"/>
  <c r="CV422" i="11"/>
  <c r="CW422" i="11"/>
  <c r="CX422" i="11"/>
  <c r="CY422" i="11"/>
  <c r="CZ422" i="11"/>
  <c r="DA422" i="11"/>
  <c r="DB422" i="11"/>
  <c r="DC422" i="11"/>
  <c r="DD422" i="11"/>
  <c r="DE422" i="11"/>
  <c r="DF422" i="11"/>
  <c r="DG422" i="11"/>
  <c r="DH422" i="11"/>
  <c r="DI422" i="11"/>
  <c r="DJ422" i="11"/>
  <c r="DK422" i="11"/>
  <c r="DL422" i="11"/>
  <c r="DM422" i="11"/>
  <c r="DN422" i="11"/>
  <c r="DO422" i="11"/>
  <c r="DP422" i="11"/>
  <c r="DQ422" i="11"/>
  <c r="DR422" i="11"/>
  <c r="DS422" i="11"/>
  <c r="DT422" i="11"/>
  <c r="DU422" i="11"/>
  <c r="DV422" i="11"/>
  <c r="DW422" i="11"/>
  <c r="DX422" i="11"/>
  <c r="DY422" i="11"/>
  <c r="DZ422" i="11"/>
  <c r="EA422" i="11"/>
  <c r="EB422" i="11"/>
  <c r="EC422" i="11"/>
  <c r="ED422" i="11"/>
  <c r="EE422" i="11"/>
  <c r="EF422" i="11"/>
  <c r="EG422" i="11"/>
  <c r="EH422" i="11"/>
  <c r="EI422" i="11"/>
  <c r="EJ422" i="11"/>
  <c r="EK422" i="11"/>
  <c r="EL422" i="11"/>
  <c r="EM422" i="11"/>
  <c r="EN422" i="11"/>
  <c r="EO422" i="11"/>
  <c r="EP422" i="11"/>
  <c r="EQ422" i="11"/>
  <c r="ER422" i="11"/>
  <c r="ES422" i="11"/>
  <c r="ET422" i="11"/>
  <c r="EU422" i="11"/>
  <c r="EV422" i="11"/>
  <c r="EW422" i="11"/>
  <c r="EX422" i="11"/>
  <c r="EY422" i="11"/>
  <c r="EZ422" i="11"/>
  <c r="FA422" i="11"/>
  <c r="FB422" i="11"/>
  <c r="FC422" i="11"/>
  <c r="FD422" i="11"/>
  <c r="FE422" i="11"/>
  <c r="FF422" i="11"/>
  <c r="FG422" i="11"/>
  <c r="FH422" i="11"/>
  <c r="FI422" i="11"/>
  <c r="FJ422" i="11"/>
  <c r="FK422" i="11"/>
  <c r="FL422" i="11"/>
  <c r="FM422" i="11"/>
  <c r="FN422" i="11"/>
  <c r="FO422" i="11"/>
  <c r="FP422" i="11"/>
  <c r="FQ422" i="11"/>
  <c r="FR422" i="11"/>
  <c r="FS422" i="11"/>
  <c r="FT422" i="11"/>
  <c r="FU422" i="11"/>
  <c r="FV422" i="11"/>
  <c r="FW422" i="11"/>
  <c r="FX422" i="11"/>
  <c r="FY422" i="11"/>
  <c r="FZ422" i="11"/>
  <c r="GA422" i="11"/>
  <c r="GB422" i="11"/>
  <c r="GC422" i="11"/>
  <c r="GD422" i="11"/>
  <c r="GE422" i="11"/>
  <c r="GF422" i="11"/>
  <c r="GG422" i="11"/>
  <c r="GH422" i="11"/>
  <c r="GI422" i="11"/>
  <c r="GJ422" i="11"/>
  <c r="GK422" i="11"/>
  <c r="GL422" i="11"/>
  <c r="GM422" i="11"/>
  <c r="GN422" i="11"/>
  <c r="GO422" i="11"/>
  <c r="GP422" i="11"/>
  <c r="GQ422" i="11"/>
  <c r="GR422" i="11"/>
  <c r="GS422" i="11"/>
  <c r="GT422" i="11"/>
  <c r="GU422" i="11"/>
  <c r="GV422" i="11"/>
  <c r="GW422" i="11"/>
  <c r="GX422" i="11"/>
  <c r="GY422" i="11"/>
  <c r="GZ422" i="11"/>
  <c r="HA422" i="11"/>
  <c r="HB422" i="11"/>
  <c r="HC422" i="11"/>
  <c r="HD422" i="11"/>
  <c r="HE422" i="11"/>
  <c r="HF422" i="11"/>
  <c r="HG422" i="11"/>
  <c r="HH422" i="11"/>
  <c r="HI422" i="11"/>
  <c r="HJ422" i="11"/>
  <c r="HK422" i="11"/>
  <c r="HL422" i="11"/>
  <c r="HM422" i="11"/>
  <c r="HN422" i="11"/>
  <c r="HO422" i="11"/>
  <c r="HP422" i="11"/>
  <c r="HQ422" i="11"/>
  <c r="HR422" i="11"/>
  <c r="HS422" i="11"/>
  <c r="HT422" i="11"/>
  <c r="HU422" i="11"/>
  <c r="HV422" i="11"/>
  <c r="HW422" i="11"/>
  <c r="HX422" i="11"/>
  <c r="HY422" i="11"/>
  <c r="HZ422" i="11"/>
  <c r="IA422" i="11"/>
  <c r="IB422" i="11"/>
  <c r="IC422" i="11"/>
  <c r="ID422" i="11"/>
  <c r="IE422" i="11"/>
  <c r="IF422" i="11"/>
  <c r="IG422" i="11"/>
  <c r="IH422" i="11"/>
  <c r="II422" i="11"/>
  <c r="IJ422" i="11"/>
  <c r="IK422" i="11"/>
  <c r="IL422" i="11"/>
  <c r="IM422" i="11"/>
  <c r="IN422" i="11"/>
  <c r="IO422" i="11"/>
  <c r="IP422" i="11"/>
  <c r="IQ422" i="11"/>
  <c r="IR422" i="11"/>
  <c r="IS422" i="11"/>
  <c r="IT422" i="11"/>
  <c r="IU422" i="11"/>
  <c r="IV422" i="11"/>
  <c r="F423" i="11"/>
  <c r="G423" i="11"/>
  <c r="H423" i="11"/>
  <c r="I423" i="11"/>
  <c r="J423" i="11"/>
  <c r="K423" i="11"/>
  <c r="L423" i="11"/>
  <c r="M423" i="11"/>
  <c r="N423" i="11"/>
  <c r="O423" i="11"/>
  <c r="P423" i="11"/>
  <c r="Q423" i="11"/>
  <c r="R423" i="11"/>
  <c r="S423" i="11"/>
  <c r="T423" i="11"/>
  <c r="U423" i="11"/>
  <c r="V423" i="11"/>
  <c r="W423" i="11"/>
  <c r="X423" i="11"/>
  <c r="Y423" i="11"/>
  <c r="Z423" i="11"/>
  <c r="AA423" i="11"/>
  <c r="AB423" i="11"/>
  <c r="AC423" i="11"/>
  <c r="AD423" i="11"/>
  <c r="AE423" i="11"/>
  <c r="AF423" i="11"/>
  <c r="AG423" i="11"/>
  <c r="AH423" i="11"/>
  <c r="AI423" i="11"/>
  <c r="AJ423" i="11"/>
  <c r="AK423" i="11"/>
  <c r="AL423" i="11"/>
  <c r="AM423" i="11"/>
  <c r="AN423" i="11"/>
  <c r="AO423" i="11"/>
  <c r="AP423" i="11"/>
  <c r="AQ423" i="11"/>
  <c r="AR423" i="11"/>
  <c r="AS423" i="11"/>
  <c r="AT423" i="11"/>
  <c r="AU423" i="11"/>
  <c r="AV423" i="11"/>
  <c r="AW423" i="11"/>
  <c r="AX423" i="11"/>
  <c r="AY423" i="11"/>
  <c r="AZ423" i="11"/>
  <c r="BA423" i="11"/>
  <c r="BB423" i="11"/>
  <c r="BC423" i="11"/>
  <c r="BD423" i="11"/>
  <c r="BE423" i="11"/>
  <c r="BF423" i="11"/>
  <c r="BG423" i="11"/>
  <c r="BH423" i="11"/>
  <c r="BI423" i="11"/>
  <c r="BJ423" i="11"/>
  <c r="BK423" i="11"/>
  <c r="BL423" i="11"/>
  <c r="BM423" i="11"/>
  <c r="BN423" i="11"/>
  <c r="BO423" i="11"/>
  <c r="BP423" i="11"/>
  <c r="BQ423" i="11"/>
  <c r="BR423" i="11"/>
  <c r="BS423" i="11"/>
  <c r="BT423" i="11"/>
  <c r="BU423" i="11"/>
  <c r="BV423" i="11"/>
  <c r="BW423" i="11"/>
  <c r="BX423" i="11"/>
  <c r="BY423" i="11"/>
  <c r="BZ423" i="11"/>
  <c r="CA423" i="11"/>
  <c r="CB423" i="11"/>
  <c r="CC423" i="11"/>
  <c r="CD423" i="11"/>
  <c r="CE423" i="11"/>
  <c r="CF423" i="11"/>
  <c r="CG423" i="11"/>
  <c r="CH423" i="11"/>
  <c r="CI423" i="11"/>
  <c r="CJ423" i="11"/>
  <c r="CK423" i="11"/>
  <c r="CL423" i="11"/>
  <c r="CM423" i="11"/>
  <c r="CN423" i="11"/>
  <c r="CO423" i="11"/>
  <c r="CP423" i="11"/>
  <c r="CQ423" i="11"/>
  <c r="CR423" i="11"/>
  <c r="CS423" i="11"/>
  <c r="CT423" i="11"/>
  <c r="CU423" i="11"/>
  <c r="CV423" i="11"/>
  <c r="CW423" i="11"/>
  <c r="CX423" i="11"/>
  <c r="CY423" i="11"/>
  <c r="CZ423" i="11"/>
  <c r="DA423" i="11"/>
  <c r="DB423" i="11"/>
  <c r="DC423" i="11"/>
  <c r="DD423" i="11"/>
  <c r="DE423" i="11"/>
  <c r="DF423" i="11"/>
  <c r="DG423" i="11"/>
  <c r="DH423" i="11"/>
  <c r="DI423" i="11"/>
  <c r="DJ423" i="11"/>
  <c r="DK423" i="11"/>
  <c r="DL423" i="11"/>
  <c r="DM423" i="11"/>
  <c r="DN423" i="11"/>
  <c r="DO423" i="11"/>
  <c r="DP423" i="11"/>
  <c r="DQ423" i="11"/>
  <c r="DR423" i="11"/>
  <c r="DS423" i="11"/>
  <c r="DT423" i="11"/>
  <c r="DU423" i="11"/>
  <c r="DV423" i="11"/>
  <c r="DW423" i="11"/>
  <c r="DX423" i="11"/>
  <c r="DY423" i="11"/>
  <c r="DZ423" i="11"/>
  <c r="EA423" i="11"/>
  <c r="EB423" i="11"/>
  <c r="EC423" i="11"/>
  <c r="ED423" i="11"/>
  <c r="EE423" i="11"/>
  <c r="EF423" i="11"/>
  <c r="EG423" i="11"/>
  <c r="EH423" i="11"/>
  <c r="EI423" i="11"/>
  <c r="EJ423" i="11"/>
  <c r="EK423" i="11"/>
  <c r="EL423" i="11"/>
  <c r="EM423" i="11"/>
  <c r="EN423" i="11"/>
  <c r="EO423" i="11"/>
  <c r="EP423" i="11"/>
  <c r="EQ423" i="11"/>
  <c r="ER423" i="11"/>
  <c r="ES423" i="11"/>
  <c r="ET423" i="11"/>
  <c r="EU423" i="11"/>
  <c r="EV423" i="11"/>
  <c r="EW423" i="11"/>
  <c r="EX423" i="11"/>
  <c r="EY423" i="11"/>
  <c r="EZ423" i="11"/>
  <c r="FA423" i="11"/>
  <c r="FB423" i="11"/>
  <c r="FC423" i="11"/>
  <c r="FD423" i="11"/>
  <c r="FE423" i="11"/>
  <c r="FF423" i="11"/>
  <c r="FG423" i="11"/>
  <c r="FH423" i="11"/>
  <c r="FI423" i="11"/>
  <c r="FJ423" i="11"/>
  <c r="FK423" i="11"/>
  <c r="FL423" i="11"/>
  <c r="FM423" i="11"/>
  <c r="FN423" i="11"/>
  <c r="FO423" i="11"/>
  <c r="FP423" i="11"/>
  <c r="FQ423" i="11"/>
  <c r="FR423" i="11"/>
  <c r="FS423" i="11"/>
  <c r="FT423" i="11"/>
  <c r="FU423" i="11"/>
  <c r="FV423" i="11"/>
  <c r="FW423" i="11"/>
  <c r="FX423" i="11"/>
  <c r="FY423" i="11"/>
  <c r="FZ423" i="11"/>
  <c r="GA423" i="11"/>
  <c r="GB423" i="11"/>
  <c r="GC423" i="11"/>
  <c r="GD423" i="11"/>
  <c r="GE423" i="11"/>
  <c r="GF423" i="11"/>
  <c r="GG423" i="11"/>
  <c r="GH423" i="11"/>
  <c r="GI423" i="11"/>
  <c r="GJ423" i="11"/>
  <c r="GK423" i="11"/>
  <c r="GL423" i="11"/>
  <c r="GM423" i="11"/>
  <c r="GN423" i="11"/>
  <c r="GO423" i="11"/>
  <c r="GP423" i="11"/>
  <c r="GQ423" i="11"/>
  <c r="GR423" i="11"/>
  <c r="GS423" i="11"/>
  <c r="GT423" i="11"/>
  <c r="GU423" i="11"/>
  <c r="GV423" i="11"/>
  <c r="GW423" i="11"/>
  <c r="GX423" i="11"/>
  <c r="GY423" i="11"/>
  <c r="GZ423" i="11"/>
  <c r="HA423" i="11"/>
  <c r="HB423" i="11"/>
  <c r="HC423" i="11"/>
  <c r="HD423" i="11"/>
  <c r="HE423" i="11"/>
  <c r="HF423" i="11"/>
  <c r="HG423" i="11"/>
  <c r="HH423" i="11"/>
  <c r="HI423" i="11"/>
  <c r="HJ423" i="11"/>
  <c r="HK423" i="11"/>
  <c r="HL423" i="11"/>
  <c r="HM423" i="11"/>
  <c r="HN423" i="11"/>
  <c r="HO423" i="11"/>
  <c r="HP423" i="11"/>
  <c r="HQ423" i="11"/>
  <c r="HR423" i="11"/>
  <c r="HS423" i="11"/>
  <c r="HT423" i="11"/>
  <c r="HU423" i="11"/>
  <c r="HV423" i="11"/>
  <c r="HW423" i="11"/>
  <c r="HX423" i="11"/>
  <c r="HY423" i="11"/>
  <c r="HZ423" i="11"/>
  <c r="IA423" i="11"/>
  <c r="IB423" i="11"/>
  <c r="IC423" i="11"/>
  <c r="ID423" i="11"/>
  <c r="IE423" i="11"/>
  <c r="IF423" i="11"/>
  <c r="IG423" i="11"/>
  <c r="IH423" i="11"/>
  <c r="II423" i="11"/>
  <c r="IJ423" i="11"/>
  <c r="IK423" i="11"/>
  <c r="IL423" i="11"/>
  <c r="IM423" i="11"/>
  <c r="IN423" i="11"/>
  <c r="IO423" i="11"/>
  <c r="IP423" i="11"/>
  <c r="IQ423" i="11"/>
  <c r="IR423" i="11"/>
  <c r="IS423" i="11"/>
  <c r="IT423" i="11"/>
  <c r="IU423" i="11"/>
  <c r="IV423" i="11"/>
  <c r="F424" i="11"/>
  <c r="G424" i="11"/>
  <c r="H424" i="11"/>
  <c r="I424" i="11"/>
  <c r="J424" i="11"/>
  <c r="K424" i="11"/>
  <c r="L424" i="11"/>
  <c r="M424" i="11"/>
  <c r="N424" i="11"/>
  <c r="O424" i="11"/>
  <c r="P424" i="11"/>
  <c r="Q424" i="11"/>
  <c r="R424" i="11"/>
  <c r="S424" i="11"/>
  <c r="T424" i="11"/>
  <c r="U424" i="11"/>
  <c r="V424" i="11"/>
  <c r="W424" i="11"/>
  <c r="X424" i="11"/>
  <c r="Y424" i="11"/>
  <c r="Z424" i="11"/>
  <c r="AA424" i="11"/>
  <c r="AB424" i="11"/>
  <c r="AC424" i="11"/>
  <c r="AD424" i="11"/>
  <c r="AE424" i="11"/>
  <c r="AF424" i="11"/>
  <c r="AG424" i="11"/>
  <c r="AH424" i="11"/>
  <c r="AI424" i="11"/>
  <c r="AJ424" i="11"/>
  <c r="AK424" i="11"/>
  <c r="AL424" i="11"/>
  <c r="AM424" i="11"/>
  <c r="AN424" i="11"/>
  <c r="AO424" i="11"/>
  <c r="AP424" i="11"/>
  <c r="AQ424" i="11"/>
  <c r="AR424" i="11"/>
  <c r="AS424" i="11"/>
  <c r="AT424" i="11"/>
  <c r="AU424" i="11"/>
  <c r="AV424" i="11"/>
  <c r="AW424" i="11"/>
  <c r="AX424" i="11"/>
  <c r="AY424" i="11"/>
  <c r="AZ424" i="11"/>
  <c r="BA424" i="11"/>
  <c r="BB424" i="11"/>
  <c r="BC424" i="11"/>
  <c r="BD424" i="11"/>
  <c r="BE424" i="11"/>
  <c r="BF424" i="11"/>
  <c r="BG424" i="11"/>
  <c r="BH424" i="11"/>
  <c r="BI424" i="11"/>
  <c r="BJ424" i="11"/>
  <c r="BK424" i="11"/>
  <c r="BL424" i="11"/>
  <c r="BM424" i="11"/>
  <c r="BN424" i="11"/>
  <c r="BO424" i="11"/>
  <c r="BP424" i="11"/>
  <c r="BQ424" i="11"/>
  <c r="BR424" i="11"/>
  <c r="BS424" i="11"/>
  <c r="BT424" i="11"/>
  <c r="BU424" i="11"/>
  <c r="BV424" i="11"/>
  <c r="BW424" i="11"/>
  <c r="BX424" i="11"/>
  <c r="BY424" i="11"/>
  <c r="BZ424" i="11"/>
  <c r="CA424" i="11"/>
  <c r="CB424" i="11"/>
  <c r="CC424" i="11"/>
  <c r="CD424" i="11"/>
  <c r="CE424" i="11"/>
  <c r="CF424" i="11"/>
  <c r="CG424" i="11"/>
  <c r="CH424" i="11"/>
  <c r="CI424" i="11"/>
  <c r="CJ424" i="11"/>
  <c r="CK424" i="11"/>
  <c r="CL424" i="11"/>
  <c r="CM424" i="11"/>
  <c r="CN424" i="11"/>
  <c r="CO424" i="11"/>
  <c r="CP424" i="11"/>
  <c r="CQ424" i="11"/>
  <c r="CR424" i="11"/>
  <c r="CS424" i="11"/>
  <c r="CT424" i="11"/>
  <c r="CU424" i="11"/>
  <c r="CV424" i="11"/>
  <c r="CW424" i="11"/>
  <c r="CX424" i="11"/>
  <c r="CY424" i="11"/>
  <c r="CZ424" i="11"/>
  <c r="DA424" i="11"/>
  <c r="DB424" i="11"/>
  <c r="DC424" i="11"/>
  <c r="DD424" i="11"/>
  <c r="DE424" i="11"/>
  <c r="DF424" i="11"/>
  <c r="DG424" i="11"/>
  <c r="DH424" i="11"/>
  <c r="DI424" i="11"/>
  <c r="DJ424" i="11"/>
  <c r="DK424" i="11"/>
  <c r="DL424" i="11"/>
  <c r="DM424" i="11"/>
  <c r="DN424" i="11"/>
  <c r="DO424" i="11"/>
  <c r="DP424" i="11"/>
  <c r="DQ424" i="11"/>
  <c r="DR424" i="11"/>
  <c r="DS424" i="11"/>
  <c r="DT424" i="11"/>
  <c r="DU424" i="11"/>
  <c r="DV424" i="11"/>
  <c r="DW424" i="11"/>
  <c r="DX424" i="11"/>
  <c r="DY424" i="11"/>
  <c r="DZ424" i="11"/>
  <c r="EA424" i="11"/>
  <c r="EB424" i="11"/>
  <c r="EC424" i="11"/>
  <c r="ED424" i="11"/>
  <c r="EE424" i="11"/>
  <c r="EF424" i="11"/>
  <c r="EG424" i="11"/>
  <c r="EH424" i="11"/>
  <c r="EI424" i="11"/>
  <c r="EJ424" i="11"/>
  <c r="EK424" i="11"/>
  <c r="EL424" i="11"/>
  <c r="EM424" i="11"/>
  <c r="EN424" i="11"/>
  <c r="EO424" i="11"/>
  <c r="EP424" i="11"/>
  <c r="EQ424" i="11"/>
  <c r="ER424" i="11"/>
  <c r="ES424" i="11"/>
  <c r="ET424" i="11"/>
  <c r="EU424" i="11"/>
  <c r="EV424" i="11"/>
  <c r="EW424" i="11"/>
  <c r="EX424" i="11"/>
  <c r="EY424" i="11"/>
  <c r="EZ424" i="11"/>
  <c r="FA424" i="11"/>
  <c r="FB424" i="11"/>
  <c r="FC424" i="11"/>
  <c r="FD424" i="11"/>
  <c r="FE424" i="11"/>
  <c r="FF424" i="11"/>
  <c r="FG424" i="11"/>
  <c r="FH424" i="11"/>
  <c r="FI424" i="11"/>
  <c r="FJ424" i="11"/>
  <c r="FK424" i="11"/>
  <c r="FL424" i="11"/>
  <c r="FM424" i="11"/>
  <c r="FN424" i="11"/>
  <c r="FO424" i="11"/>
  <c r="FP424" i="11"/>
  <c r="FQ424" i="11"/>
  <c r="FR424" i="11"/>
  <c r="FS424" i="11"/>
  <c r="FT424" i="11"/>
  <c r="FU424" i="11"/>
  <c r="FV424" i="11"/>
  <c r="FW424" i="11"/>
  <c r="FX424" i="11"/>
  <c r="FY424" i="11"/>
  <c r="FZ424" i="11"/>
  <c r="GA424" i="11"/>
  <c r="GB424" i="11"/>
  <c r="GC424" i="11"/>
  <c r="GD424" i="11"/>
  <c r="GE424" i="11"/>
  <c r="GF424" i="11"/>
  <c r="GG424" i="11"/>
  <c r="GH424" i="11"/>
  <c r="GI424" i="11"/>
  <c r="GJ424" i="11"/>
  <c r="GK424" i="11"/>
  <c r="GL424" i="11"/>
  <c r="GM424" i="11"/>
  <c r="GN424" i="11"/>
  <c r="GO424" i="11"/>
  <c r="GP424" i="11"/>
  <c r="GQ424" i="11"/>
  <c r="GR424" i="11"/>
  <c r="GS424" i="11"/>
  <c r="GT424" i="11"/>
  <c r="GU424" i="11"/>
  <c r="GV424" i="11"/>
  <c r="GW424" i="11"/>
  <c r="GX424" i="11"/>
  <c r="GY424" i="11"/>
  <c r="GZ424" i="11"/>
  <c r="HA424" i="11"/>
  <c r="HB424" i="11"/>
  <c r="HC424" i="11"/>
  <c r="HD424" i="11"/>
  <c r="HE424" i="11"/>
  <c r="HF424" i="11"/>
  <c r="HG424" i="11"/>
  <c r="HH424" i="11"/>
  <c r="HI424" i="11"/>
  <c r="HJ424" i="11"/>
  <c r="HK424" i="11"/>
  <c r="HL424" i="11"/>
  <c r="HM424" i="11"/>
  <c r="HN424" i="11"/>
  <c r="HO424" i="11"/>
  <c r="HP424" i="11"/>
  <c r="HQ424" i="11"/>
  <c r="HR424" i="11"/>
  <c r="HS424" i="11"/>
  <c r="HT424" i="11"/>
  <c r="HU424" i="11"/>
  <c r="HV424" i="11"/>
  <c r="HW424" i="11"/>
  <c r="HX424" i="11"/>
  <c r="HY424" i="11"/>
  <c r="HZ424" i="11"/>
  <c r="IA424" i="11"/>
  <c r="IB424" i="11"/>
  <c r="IC424" i="11"/>
  <c r="ID424" i="11"/>
  <c r="IE424" i="11"/>
  <c r="IF424" i="11"/>
  <c r="IG424" i="11"/>
  <c r="IH424" i="11"/>
  <c r="II424" i="11"/>
  <c r="IJ424" i="11"/>
  <c r="IK424" i="11"/>
  <c r="IL424" i="11"/>
  <c r="IM424" i="11"/>
  <c r="IN424" i="11"/>
  <c r="IO424" i="11"/>
  <c r="IP424" i="11"/>
  <c r="IQ424" i="11"/>
  <c r="IR424" i="11"/>
  <c r="IS424" i="11"/>
  <c r="IT424" i="11"/>
  <c r="IU424" i="11"/>
  <c r="IV424" i="11"/>
  <c r="F425" i="11"/>
  <c r="G425" i="11"/>
  <c r="H425" i="11"/>
  <c r="I425" i="11"/>
  <c r="J425" i="11"/>
  <c r="K425" i="11"/>
  <c r="L425" i="11"/>
  <c r="M425" i="11"/>
  <c r="N425" i="11"/>
  <c r="O425" i="11"/>
  <c r="P425" i="11"/>
  <c r="Q425" i="11"/>
  <c r="R425" i="11"/>
  <c r="S425" i="11"/>
  <c r="T425" i="11"/>
  <c r="U425" i="11"/>
  <c r="V425" i="11"/>
  <c r="W425" i="11"/>
  <c r="X425" i="11"/>
  <c r="Y425" i="11"/>
  <c r="Z425" i="11"/>
  <c r="AA425" i="11"/>
  <c r="AB425" i="11"/>
  <c r="AC425" i="11"/>
  <c r="AD425" i="11"/>
  <c r="AE425" i="11"/>
  <c r="AF425" i="11"/>
  <c r="AG425" i="11"/>
  <c r="AH425" i="11"/>
  <c r="AI425" i="11"/>
  <c r="AJ425" i="11"/>
  <c r="AK425" i="11"/>
  <c r="AL425" i="11"/>
  <c r="AM425" i="11"/>
  <c r="AN425" i="11"/>
  <c r="AO425" i="11"/>
  <c r="AP425" i="11"/>
  <c r="AQ425" i="11"/>
  <c r="AR425" i="11"/>
  <c r="AS425" i="11"/>
  <c r="AT425" i="11"/>
  <c r="AU425" i="11"/>
  <c r="AV425" i="11"/>
  <c r="AW425" i="11"/>
  <c r="AX425" i="11"/>
  <c r="AY425" i="11"/>
  <c r="AZ425" i="11"/>
  <c r="BA425" i="11"/>
  <c r="BB425" i="11"/>
  <c r="BC425" i="11"/>
  <c r="BD425" i="11"/>
  <c r="BE425" i="11"/>
  <c r="BF425" i="11"/>
  <c r="BG425" i="11"/>
  <c r="BH425" i="11"/>
  <c r="BI425" i="11"/>
  <c r="BJ425" i="11"/>
  <c r="BK425" i="11"/>
  <c r="BL425" i="11"/>
  <c r="BM425" i="11"/>
  <c r="BN425" i="11"/>
  <c r="BO425" i="11"/>
  <c r="BP425" i="11"/>
  <c r="BQ425" i="11"/>
  <c r="BR425" i="11"/>
  <c r="BS425" i="11"/>
  <c r="BT425" i="11"/>
  <c r="BU425" i="11"/>
  <c r="BV425" i="11"/>
  <c r="BW425" i="11"/>
  <c r="BX425" i="11"/>
  <c r="BY425" i="11"/>
  <c r="BZ425" i="11"/>
  <c r="CA425" i="11"/>
  <c r="CB425" i="11"/>
  <c r="CC425" i="11"/>
  <c r="CD425" i="11"/>
  <c r="CE425" i="11"/>
  <c r="CF425" i="11"/>
  <c r="CG425" i="11"/>
  <c r="CH425" i="11"/>
  <c r="CI425" i="11"/>
  <c r="CJ425" i="11"/>
  <c r="CK425" i="11"/>
  <c r="CL425" i="11"/>
  <c r="CM425" i="11"/>
  <c r="CN425" i="11"/>
  <c r="CO425" i="11"/>
  <c r="CP425" i="11"/>
  <c r="CQ425" i="11"/>
  <c r="CR425" i="11"/>
  <c r="CS425" i="11"/>
  <c r="CT425" i="11"/>
  <c r="CU425" i="11"/>
  <c r="CV425" i="11"/>
  <c r="CW425" i="11"/>
  <c r="CX425" i="11"/>
  <c r="CY425" i="11"/>
  <c r="CZ425" i="11"/>
  <c r="DA425" i="11"/>
  <c r="DB425" i="11"/>
  <c r="DC425" i="11"/>
  <c r="DD425" i="11"/>
  <c r="DE425" i="11"/>
  <c r="DF425" i="11"/>
  <c r="DG425" i="11"/>
  <c r="DH425" i="11"/>
  <c r="DI425" i="11"/>
  <c r="DJ425" i="11"/>
  <c r="DK425" i="11"/>
  <c r="DL425" i="11"/>
  <c r="DM425" i="11"/>
  <c r="DN425" i="11"/>
  <c r="DO425" i="11"/>
  <c r="DP425" i="11"/>
  <c r="DQ425" i="11"/>
  <c r="DR425" i="11"/>
  <c r="DS425" i="11"/>
  <c r="DT425" i="11"/>
  <c r="DU425" i="11"/>
  <c r="DV425" i="11"/>
  <c r="DW425" i="11"/>
  <c r="DX425" i="11"/>
  <c r="DY425" i="11"/>
  <c r="DZ425" i="11"/>
  <c r="EA425" i="11"/>
  <c r="EB425" i="11"/>
  <c r="EC425" i="11"/>
  <c r="ED425" i="11"/>
  <c r="EE425" i="11"/>
  <c r="EF425" i="11"/>
  <c r="EG425" i="11"/>
  <c r="EH425" i="11"/>
  <c r="EI425" i="11"/>
  <c r="EJ425" i="11"/>
  <c r="EK425" i="11"/>
  <c r="EL425" i="11"/>
  <c r="EM425" i="11"/>
  <c r="EN425" i="11"/>
  <c r="EO425" i="11"/>
  <c r="EP425" i="11"/>
  <c r="EQ425" i="11"/>
  <c r="ER425" i="11"/>
  <c r="ES425" i="11"/>
  <c r="ET425" i="11"/>
  <c r="EU425" i="11"/>
  <c r="EV425" i="11"/>
  <c r="EW425" i="11"/>
  <c r="EX425" i="11"/>
  <c r="EY425" i="11"/>
  <c r="EZ425" i="11"/>
  <c r="FA425" i="11"/>
  <c r="FB425" i="11"/>
  <c r="FC425" i="11"/>
  <c r="FD425" i="11"/>
  <c r="FE425" i="11"/>
  <c r="FF425" i="11"/>
  <c r="FG425" i="11"/>
  <c r="FH425" i="11"/>
  <c r="FI425" i="11"/>
  <c r="FJ425" i="11"/>
  <c r="FK425" i="11"/>
  <c r="FL425" i="11"/>
  <c r="FM425" i="11"/>
  <c r="FN425" i="11"/>
  <c r="FO425" i="11"/>
  <c r="FP425" i="11"/>
  <c r="FQ425" i="11"/>
  <c r="FR425" i="11"/>
  <c r="FS425" i="11"/>
  <c r="FT425" i="11"/>
  <c r="FU425" i="11"/>
  <c r="FV425" i="11"/>
  <c r="FW425" i="11"/>
  <c r="FX425" i="11"/>
  <c r="FY425" i="11"/>
  <c r="FZ425" i="11"/>
  <c r="GA425" i="11"/>
  <c r="GB425" i="11"/>
  <c r="GC425" i="11"/>
  <c r="GD425" i="11"/>
  <c r="GE425" i="11"/>
  <c r="GF425" i="11"/>
  <c r="GG425" i="11"/>
  <c r="GH425" i="11"/>
  <c r="GI425" i="11"/>
  <c r="GJ425" i="11"/>
  <c r="GK425" i="11"/>
  <c r="GL425" i="11"/>
  <c r="GM425" i="11"/>
  <c r="GN425" i="11"/>
  <c r="GO425" i="11"/>
  <c r="GP425" i="11"/>
  <c r="GQ425" i="11"/>
  <c r="GR425" i="11"/>
  <c r="GS425" i="11"/>
  <c r="GT425" i="11"/>
  <c r="GU425" i="11"/>
  <c r="GV425" i="11"/>
  <c r="GW425" i="11"/>
  <c r="GX425" i="11"/>
  <c r="GY425" i="11"/>
  <c r="GZ425" i="11"/>
  <c r="HA425" i="11"/>
  <c r="HB425" i="11"/>
  <c r="HC425" i="11"/>
  <c r="HD425" i="11"/>
  <c r="HE425" i="11"/>
  <c r="HF425" i="11"/>
  <c r="HG425" i="11"/>
  <c r="HH425" i="11"/>
  <c r="HI425" i="11"/>
  <c r="HJ425" i="11"/>
  <c r="HK425" i="11"/>
  <c r="HL425" i="11"/>
  <c r="HM425" i="11"/>
  <c r="HN425" i="11"/>
  <c r="HO425" i="11"/>
  <c r="HP425" i="11"/>
  <c r="HQ425" i="11"/>
  <c r="HR425" i="11"/>
  <c r="HS425" i="11"/>
  <c r="HT425" i="11"/>
  <c r="HU425" i="11"/>
  <c r="HV425" i="11"/>
  <c r="HW425" i="11"/>
  <c r="HX425" i="11"/>
  <c r="HY425" i="11"/>
  <c r="HZ425" i="11"/>
  <c r="IA425" i="11"/>
  <c r="IB425" i="11"/>
  <c r="IC425" i="11"/>
  <c r="ID425" i="11"/>
  <c r="IE425" i="11"/>
  <c r="IF425" i="11"/>
  <c r="IG425" i="11"/>
  <c r="IH425" i="11"/>
  <c r="II425" i="11"/>
  <c r="IJ425" i="11"/>
  <c r="IK425" i="11"/>
  <c r="IL425" i="11"/>
  <c r="IM425" i="11"/>
  <c r="IN425" i="11"/>
  <c r="IO425" i="11"/>
  <c r="IP425" i="11"/>
  <c r="IQ425" i="11"/>
  <c r="IR425" i="11"/>
  <c r="IS425" i="11"/>
  <c r="IT425" i="11"/>
  <c r="IU425" i="11"/>
  <c r="IV425" i="11"/>
  <c r="F426" i="11"/>
  <c r="G426" i="11"/>
  <c r="H426" i="11"/>
  <c r="I426" i="11"/>
  <c r="J426" i="11"/>
  <c r="K426" i="11"/>
  <c r="L426" i="11"/>
  <c r="M426" i="11"/>
  <c r="N426" i="11"/>
  <c r="O426" i="11"/>
  <c r="P426" i="11"/>
  <c r="Q426" i="11"/>
  <c r="R426" i="11"/>
  <c r="S426" i="11"/>
  <c r="T426" i="11"/>
  <c r="U426" i="11"/>
  <c r="V426" i="11"/>
  <c r="W426" i="11"/>
  <c r="X426" i="11"/>
  <c r="Y426" i="11"/>
  <c r="Z426" i="11"/>
  <c r="AA426" i="11"/>
  <c r="AB426" i="11"/>
  <c r="AC426" i="11"/>
  <c r="AD426" i="11"/>
  <c r="AE426" i="11"/>
  <c r="AF426" i="11"/>
  <c r="AG426" i="11"/>
  <c r="AH426" i="11"/>
  <c r="AI426" i="11"/>
  <c r="AJ426" i="11"/>
  <c r="AK426" i="11"/>
  <c r="AL426" i="11"/>
  <c r="AM426" i="11"/>
  <c r="AN426" i="11"/>
  <c r="AO426" i="11"/>
  <c r="AP426" i="11"/>
  <c r="AQ426" i="11"/>
  <c r="AR426" i="11"/>
  <c r="AS426" i="11"/>
  <c r="AT426" i="11"/>
  <c r="AU426" i="11"/>
  <c r="AV426" i="11"/>
  <c r="AW426" i="11"/>
  <c r="AX426" i="11"/>
  <c r="AY426" i="11"/>
  <c r="AZ426" i="11"/>
  <c r="BA426" i="11"/>
  <c r="BB426" i="11"/>
  <c r="BC426" i="11"/>
  <c r="BD426" i="11"/>
  <c r="BE426" i="11"/>
  <c r="BF426" i="11"/>
  <c r="BG426" i="11"/>
  <c r="BH426" i="11"/>
  <c r="BI426" i="11"/>
  <c r="BJ426" i="11"/>
  <c r="BK426" i="11"/>
  <c r="BL426" i="11"/>
  <c r="BM426" i="11"/>
  <c r="BN426" i="11"/>
  <c r="BO426" i="11"/>
  <c r="BP426" i="11"/>
  <c r="BQ426" i="11"/>
  <c r="BR426" i="11"/>
  <c r="BS426" i="11"/>
  <c r="BT426" i="11"/>
  <c r="BU426" i="11"/>
  <c r="BV426" i="11"/>
  <c r="BW426" i="11"/>
  <c r="BX426" i="11"/>
  <c r="BY426" i="11"/>
  <c r="BZ426" i="11"/>
  <c r="CA426" i="11"/>
  <c r="CB426" i="11"/>
  <c r="CC426" i="11"/>
  <c r="CD426" i="11"/>
  <c r="CE426" i="11"/>
  <c r="CF426" i="11"/>
  <c r="CG426" i="11"/>
  <c r="CH426" i="11"/>
  <c r="CI426" i="11"/>
  <c r="CJ426" i="11"/>
  <c r="CK426" i="11"/>
  <c r="CL426" i="11"/>
  <c r="CM426" i="11"/>
  <c r="CN426" i="11"/>
  <c r="CO426" i="11"/>
  <c r="CP426" i="11"/>
  <c r="CQ426" i="11"/>
  <c r="CR426" i="11"/>
  <c r="CS426" i="11"/>
  <c r="CT426" i="11"/>
  <c r="CU426" i="11"/>
  <c r="CV426" i="11"/>
  <c r="CW426" i="11"/>
  <c r="CX426" i="11"/>
  <c r="CY426" i="11"/>
  <c r="CZ426" i="11"/>
  <c r="DA426" i="11"/>
  <c r="DB426" i="11"/>
  <c r="DC426" i="11"/>
  <c r="DD426" i="11"/>
  <c r="DE426" i="11"/>
  <c r="DF426" i="11"/>
  <c r="DG426" i="11"/>
  <c r="DH426" i="11"/>
  <c r="DI426" i="11"/>
  <c r="DJ426" i="11"/>
  <c r="DK426" i="11"/>
  <c r="DL426" i="11"/>
  <c r="DM426" i="11"/>
  <c r="DN426" i="11"/>
  <c r="DO426" i="11"/>
  <c r="DP426" i="11"/>
  <c r="DQ426" i="11"/>
  <c r="DR426" i="11"/>
  <c r="DS426" i="11"/>
  <c r="DT426" i="11"/>
  <c r="DU426" i="11"/>
  <c r="DV426" i="11"/>
  <c r="DW426" i="11"/>
  <c r="DX426" i="11"/>
  <c r="DY426" i="11"/>
  <c r="DZ426" i="11"/>
  <c r="EA426" i="11"/>
  <c r="EB426" i="11"/>
  <c r="EC426" i="11"/>
  <c r="ED426" i="11"/>
  <c r="EE426" i="11"/>
  <c r="EF426" i="11"/>
  <c r="EG426" i="11"/>
  <c r="EH426" i="11"/>
  <c r="EI426" i="11"/>
  <c r="EJ426" i="11"/>
  <c r="EK426" i="11"/>
  <c r="EL426" i="11"/>
  <c r="EM426" i="11"/>
  <c r="EN426" i="11"/>
  <c r="EO426" i="11"/>
  <c r="EP426" i="11"/>
  <c r="EQ426" i="11"/>
  <c r="ER426" i="11"/>
  <c r="ES426" i="11"/>
  <c r="ET426" i="11"/>
  <c r="EU426" i="11"/>
  <c r="EV426" i="11"/>
  <c r="EW426" i="11"/>
  <c r="EX426" i="11"/>
  <c r="EY426" i="11"/>
  <c r="EZ426" i="11"/>
  <c r="FA426" i="11"/>
  <c r="FB426" i="11"/>
  <c r="FC426" i="11"/>
  <c r="FD426" i="11"/>
  <c r="FE426" i="11"/>
  <c r="FF426" i="11"/>
  <c r="FG426" i="11"/>
  <c r="FH426" i="11"/>
  <c r="FI426" i="11"/>
  <c r="FJ426" i="11"/>
  <c r="FK426" i="11"/>
  <c r="FL426" i="11"/>
  <c r="FM426" i="11"/>
  <c r="FN426" i="11"/>
  <c r="FO426" i="11"/>
  <c r="FP426" i="11"/>
  <c r="FQ426" i="11"/>
  <c r="FR426" i="11"/>
  <c r="FS426" i="11"/>
  <c r="FT426" i="11"/>
  <c r="FU426" i="11"/>
  <c r="FV426" i="11"/>
  <c r="FW426" i="11"/>
  <c r="FX426" i="11"/>
  <c r="FY426" i="11"/>
  <c r="FZ426" i="11"/>
  <c r="GA426" i="11"/>
  <c r="GB426" i="11"/>
  <c r="GC426" i="11"/>
  <c r="GD426" i="11"/>
  <c r="GE426" i="11"/>
  <c r="GF426" i="11"/>
  <c r="GG426" i="11"/>
  <c r="GH426" i="11"/>
  <c r="GI426" i="11"/>
  <c r="GJ426" i="11"/>
  <c r="GK426" i="11"/>
  <c r="GL426" i="11"/>
  <c r="GM426" i="11"/>
  <c r="GN426" i="11"/>
  <c r="GO426" i="11"/>
  <c r="GP426" i="11"/>
  <c r="GQ426" i="11"/>
  <c r="GR426" i="11"/>
  <c r="GS426" i="11"/>
  <c r="GT426" i="11"/>
  <c r="GU426" i="11"/>
  <c r="GV426" i="11"/>
  <c r="GW426" i="11"/>
  <c r="GX426" i="11"/>
  <c r="GY426" i="11"/>
  <c r="GZ426" i="11"/>
  <c r="HA426" i="11"/>
  <c r="HB426" i="11"/>
  <c r="HC426" i="11"/>
  <c r="HD426" i="11"/>
  <c r="HE426" i="11"/>
  <c r="HF426" i="11"/>
  <c r="HG426" i="11"/>
  <c r="HH426" i="11"/>
  <c r="HI426" i="11"/>
  <c r="HJ426" i="11"/>
  <c r="HK426" i="11"/>
  <c r="HL426" i="11"/>
  <c r="HM426" i="11"/>
  <c r="HN426" i="11"/>
  <c r="HO426" i="11"/>
  <c r="HP426" i="11"/>
  <c r="HQ426" i="11"/>
  <c r="HR426" i="11"/>
  <c r="HS426" i="11"/>
  <c r="HT426" i="11"/>
  <c r="HU426" i="11"/>
  <c r="HV426" i="11"/>
  <c r="HW426" i="11"/>
  <c r="HX426" i="11"/>
  <c r="HY426" i="11"/>
  <c r="HZ426" i="11"/>
  <c r="IA426" i="11"/>
  <c r="IB426" i="11"/>
  <c r="IC426" i="11"/>
  <c r="ID426" i="11"/>
  <c r="IE426" i="11"/>
  <c r="IF426" i="11"/>
  <c r="IG426" i="11"/>
  <c r="IH426" i="11"/>
  <c r="II426" i="11"/>
  <c r="IJ426" i="11"/>
  <c r="IK426" i="11"/>
  <c r="IL426" i="11"/>
  <c r="IM426" i="11"/>
  <c r="IN426" i="11"/>
  <c r="IO426" i="11"/>
  <c r="IP426" i="11"/>
  <c r="IQ426" i="11"/>
  <c r="IR426" i="11"/>
  <c r="IS426" i="11"/>
  <c r="IT426" i="11"/>
  <c r="IU426" i="11"/>
  <c r="IV426" i="11"/>
  <c r="F427" i="11"/>
  <c r="G427" i="11"/>
  <c r="H427" i="11"/>
  <c r="I427" i="11"/>
  <c r="J427" i="11"/>
  <c r="K427" i="11"/>
  <c r="L427" i="11"/>
  <c r="M427" i="11"/>
  <c r="N427" i="11"/>
  <c r="O427" i="11"/>
  <c r="P427" i="11"/>
  <c r="Q427" i="11"/>
  <c r="R427" i="11"/>
  <c r="S427" i="11"/>
  <c r="T427" i="11"/>
  <c r="U427" i="11"/>
  <c r="V427" i="11"/>
  <c r="W427" i="11"/>
  <c r="X427" i="11"/>
  <c r="Y427" i="11"/>
  <c r="Z427" i="11"/>
  <c r="AA427" i="11"/>
  <c r="AB427" i="11"/>
  <c r="AC427" i="11"/>
  <c r="AD427" i="11"/>
  <c r="AE427" i="11"/>
  <c r="AF427" i="11"/>
  <c r="AG427" i="11"/>
  <c r="AH427" i="11"/>
  <c r="AI427" i="11"/>
  <c r="AJ427" i="11"/>
  <c r="AK427" i="11"/>
  <c r="AL427" i="11"/>
  <c r="AM427" i="11"/>
  <c r="AN427" i="11"/>
  <c r="AO427" i="11"/>
  <c r="AP427" i="11"/>
  <c r="AQ427" i="11"/>
  <c r="AR427" i="11"/>
  <c r="AS427" i="11"/>
  <c r="AT427" i="11"/>
  <c r="AU427" i="11"/>
  <c r="AV427" i="11"/>
  <c r="AW427" i="11"/>
  <c r="AX427" i="11"/>
  <c r="AY427" i="11"/>
  <c r="AZ427" i="11"/>
  <c r="BA427" i="11"/>
  <c r="BB427" i="11"/>
  <c r="BC427" i="11"/>
  <c r="BD427" i="11"/>
  <c r="BE427" i="11"/>
  <c r="BF427" i="11"/>
  <c r="BG427" i="11"/>
  <c r="BH427" i="11"/>
  <c r="BI427" i="11"/>
  <c r="BJ427" i="11"/>
  <c r="BK427" i="11"/>
  <c r="BL427" i="11"/>
  <c r="BM427" i="11"/>
  <c r="BN427" i="11"/>
  <c r="BO427" i="11"/>
  <c r="BP427" i="11"/>
  <c r="BQ427" i="11"/>
  <c r="BR427" i="11"/>
  <c r="BS427" i="11"/>
  <c r="BT427" i="11"/>
  <c r="BU427" i="11"/>
  <c r="BV427" i="11"/>
  <c r="BW427" i="11"/>
  <c r="BX427" i="11"/>
  <c r="BY427" i="11"/>
  <c r="BZ427" i="11"/>
  <c r="CA427" i="11"/>
  <c r="CB427" i="11"/>
  <c r="CC427" i="11"/>
  <c r="CD427" i="11"/>
  <c r="CE427" i="11"/>
  <c r="CF427" i="11"/>
  <c r="CG427" i="11"/>
  <c r="CH427" i="11"/>
  <c r="CI427" i="11"/>
  <c r="CJ427" i="11"/>
  <c r="CK427" i="11"/>
  <c r="CL427" i="11"/>
  <c r="CM427" i="11"/>
  <c r="CN427" i="11"/>
  <c r="CO427" i="11"/>
  <c r="CP427" i="11"/>
  <c r="CQ427" i="11"/>
  <c r="CR427" i="11"/>
  <c r="CS427" i="11"/>
  <c r="CT427" i="11"/>
  <c r="CU427" i="11"/>
  <c r="CV427" i="11"/>
  <c r="CW427" i="11"/>
  <c r="CX427" i="11"/>
  <c r="CY427" i="11"/>
  <c r="CZ427" i="11"/>
  <c r="DA427" i="11"/>
  <c r="DB427" i="11"/>
  <c r="DC427" i="11"/>
  <c r="DD427" i="11"/>
  <c r="DE427" i="11"/>
  <c r="DF427" i="11"/>
  <c r="DG427" i="11"/>
  <c r="DH427" i="11"/>
  <c r="DI427" i="11"/>
  <c r="DJ427" i="11"/>
  <c r="DK427" i="11"/>
  <c r="DL427" i="11"/>
  <c r="DM427" i="11"/>
  <c r="DN427" i="11"/>
  <c r="DO427" i="11"/>
  <c r="DP427" i="11"/>
  <c r="DQ427" i="11"/>
  <c r="DR427" i="11"/>
  <c r="DS427" i="11"/>
  <c r="DT427" i="11"/>
  <c r="DU427" i="11"/>
  <c r="DV427" i="11"/>
  <c r="DW427" i="11"/>
  <c r="DX427" i="11"/>
  <c r="DY427" i="11"/>
  <c r="DZ427" i="11"/>
  <c r="EA427" i="11"/>
  <c r="EB427" i="11"/>
  <c r="EC427" i="11"/>
  <c r="ED427" i="11"/>
  <c r="EE427" i="11"/>
  <c r="EF427" i="11"/>
  <c r="EG427" i="11"/>
  <c r="EH427" i="11"/>
  <c r="EI427" i="11"/>
  <c r="EJ427" i="11"/>
  <c r="EK427" i="11"/>
  <c r="EL427" i="11"/>
  <c r="EM427" i="11"/>
  <c r="EN427" i="11"/>
  <c r="EO427" i="11"/>
  <c r="EP427" i="11"/>
  <c r="EQ427" i="11"/>
  <c r="ER427" i="11"/>
  <c r="ES427" i="11"/>
  <c r="ET427" i="11"/>
  <c r="EU427" i="11"/>
  <c r="EV427" i="11"/>
  <c r="EW427" i="11"/>
  <c r="EX427" i="11"/>
  <c r="EY427" i="11"/>
  <c r="EZ427" i="11"/>
  <c r="FA427" i="11"/>
  <c r="FB427" i="11"/>
  <c r="FC427" i="11"/>
  <c r="FD427" i="11"/>
  <c r="FE427" i="11"/>
  <c r="FF427" i="11"/>
  <c r="FG427" i="11"/>
  <c r="FH427" i="11"/>
  <c r="FI427" i="11"/>
  <c r="FJ427" i="11"/>
  <c r="FK427" i="11"/>
  <c r="FL427" i="11"/>
  <c r="FM427" i="11"/>
  <c r="FN427" i="11"/>
  <c r="FO427" i="11"/>
  <c r="FP427" i="11"/>
  <c r="FQ427" i="11"/>
  <c r="FR427" i="11"/>
  <c r="FS427" i="11"/>
  <c r="FT427" i="11"/>
  <c r="FU427" i="11"/>
  <c r="FV427" i="11"/>
  <c r="FW427" i="11"/>
  <c r="FX427" i="11"/>
  <c r="FY427" i="11"/>
  <c r="FZ427" i="11"/>
  <c r="GA427" i="11"/>
  <c r="GB427" i="11"/>
  <c r="GC427" i="11"/>
  <c r="GD427" i="11"/>
  <c r="GE427" i="11"/>
  <c r="GF427" i="11"/>
  <c r="GG427" i="11"/>
  <c r="GH427" i="11"/>
  <c r="GI427" i="11"/>
  <c r="GJ427" i="11"/>
  <c r="GK427" i="11"/>
  <c r="GL427" i="11"/>
  <c r="GM427" i="11"/>
  <c r="GN427" i="11"/>
  <c r="GO427" i="11"/>
  <c r="GP427" i="11"/>
  <c r="GQ427" i="11"/>
  <c r="GR427" i="11"/>
  <c r="GS427" i="11"/>
  <c r="GT427" i="11"/>
  <c r="GU427" i="11"/>
  <c r="GV427" i="11"/>
  <c r="GW427" i="11"/>
  <c r="GX427" i="11"/>
  <c r="GY427" i="11"/>
  <c r="GZ427" i="11"/>
  <c r="HA427" i="11"/>
  <c r="HB427" i="11"/>
  <c r="HC427" i="11"/>
  <c r="HD427" i="11"/>
  <c r="HE427" i="11"/>
  <c r="HF427" i="11"/>
  <c r="HG427" i="11"/>
  <c r="HH427" i="11"/>
  <c r="HI427" i="11"/>
  <c r="HJ427" i="11"/>
  <c r="HK427" i="11"/>
  <c r="HL427" i="11"/>
  <c r="HM427" i="11"/>
  <c r="HN427" i="11"/>
  <c r="HO427" i="11"/>
  <c r="HP427" i="11"/>
  <c r="HQ427" i="11"/>
  <c r="HR427" i="11"/>
  <c r="HS427" i="11"/>
  <c r="HT427" i="11"/>
  <c r="HU427" i="11"/>
  <c r="HV427" i="11"/>
  <c r="HW427" i="11"/>
  <c r="HX427" i="11"/>
  <c r="HY427" i="11"/>
  <c r="HZ427" i="11"/>
  <c r="IA427" i="11"/>
  <c r="IB427" i="11"/>
  <c r="IC427" i="11"/>
  <c r="ID427" i="11"/>
  <c r="IE427" i="11"/>
  <c r="IF427" i="11"/>
  <c r="IG427" i="11"/>
  <c r="IH427" i="11"/>
  <c r="II427" i="11"/>
  <c r="IJ427" i="11"/>
  <c r="IK427" i="11"/>
  <c r="IL427" i="11"/>
  <c r="IM427" i="11"/>
  <c r="IN427" i="11"/>
  <c r="IO427" i="11"/>
  <c r="IP427" i="11"/>
  <c r="IQ427" i="11"/>
  <c r="IR427" i="11"/>
  <c r="IS427" i="11"/>
  <c r="IT427" i="11"/>
  <c r="IU427" i="11"/>
  <c r="IV427" i="11"/>
  <c r="F428" i="11"/>
  <c r="G428" i="11"/>
  <c r="H428" i="11"/>
  <c r="I428" i="11"/>
  <c r="J428" i="11"/>
  <c r="K428" i="11"/>
  <c r="L428" i="11"/>
  <c r="M428" i="11"/>
  <c r="N428" i="11"/>
  <c r="O428" i="11"/>
  <c r="P428" i="11"/>
  <c r="Q428" i="11"/>
  <c r="R428" i="11"/>
  <c r="S428" i="11"/>
  <c r="T428" i="11"/>
  <c r="U428" i="11"/>
  <c r="V428" i="11"/>
  <c r="W428" i="11"/>
  <c r="X428" i="11"/>
  <c r="Y428" i="11"/>
  <c r="Z428" i="11"/>
  <c r="AA428" i="11"/>
  <c r="AB428" i="11"/>
  <c r="AC428" i="11"/>
  <c r="AD428" i="11"/>
  <c r="AE428" i="11"/>
  <c r="AF428" i="11"/>
  <c r="AG428" i="11"/>
  <c r="AH428" i="11"/>
  <c r="AI428" i="11"/>
  <c r="AJ428" i="11"/>
  <c r="AK428" i="11"/>
  <c r="AL428" i="11"/>
  <c r="AM428" i="11"/>
  <c r="AN428" i="11"/>
  <c r="AO428" i="11"/>
  <c r="AP428" i="11"/>
  <c r="AQ428" i="11"/>
  <c r="AR428" i="11"/>
  <c r="AS428" i="11"/>
  <c r="AT428" i="11"/>
  <c r="AU428" i="11"/>
  <c r="AV428" i="11"/>
  <c r="AW428" i="11"/>
  <c r="AX428" i="11"/>
  <c r="AY428" i="11"/>
  <c r="AZ428" i="11"/>
  <c r="BA428" i="11"/>
  <c r="BB428" i="11"/>
  <c r="BC428" i="11"/>
  <c r="BD428" i="11"/>
  <c r="BE428" i="11"/>
  <c r="BF428" i="11"/>
  <c r="BG428" i="11"/>
  <c r="BH428" i="11"/>
  <c r="BI428" i="11"/>
  <c r="BJ428" i="11"/>
  <c r="BK428" i="11"/>
  <c r="BL428" i="11"/>
  <c r="BM428" i="11"/>
  <c r="BN428" i="11"/>
  <c r="BO428" i="11"/>
  <c r="BP428" i="11"/>
  <c r="BQ428" i="11"/>
  <c r="BR428" i="11"/>
  <c r="BS428" i="11"/>
  <c r="BT428" i="11"/>
  <c r="BU428" i="11"/>
  <c r="BV428" i="11"/>
  <c r="BW428" i="11"/>
  <c r="BX428" i="11"/>
  <c r="BY428" i="11"/>
  <c r="BZ428" i="11"/>
  <c r="CA428" i="11"/>
  <c r="CB428" i="11"/>
  <c r="CC428" i="11"/>
  <c r="CD428" i="11"/>
  <c r="CE428" i="11"/>
  <c r="CF428" i="11"/>
  <c r="CG428" i="11"/>
  <c r="CH428" i="11"/>
  <c r="CI428" i="11"/>
  <c r="CJ428" i="11"/>
  <c r="CK428" i="11"/>
  <c r="CL428" i="11"/>
  <c r="CM428" i="11"/>
  <c r="CN428" i="11"/>
  <c r="CO428" i="11"/>
  <c r="CP428" i="11"/>
  <c r="CQ428" i="11"/>
  <c r="CR428" i="11"/>
  <c r="CS428" i="11"/>
  <c r="CT428" i="11"/>
  <c r="CU428" i="11"/>
  <c r="CV428" i="11"/>
  <c r="CW428" i="11"/>
  <c r="CX428" i="11"/>
  <c r="CY428" i="11"/>
  <c r="CZ428" i="11"/>
  <c r="DA428" i="11"/>
  <c r="DB428" i="11"/>
  <c r="DC428" i="11"/>
  <c r="DD428" i="11"/>
  <c r="DE428" i="11"/>
  <c r="DF428" i="11"/>
  <c r="DG428" i="11"/>
  <c r="DH428" i="11"/>
  <c r="DI428" i="11"/>
  <c r="DJ428" i="11"/>
  <c r="DK428" i="11"/>
  <c r="DL428" i="11"/>
  <c r="DM428" i="11"/>
  <c r="DN428" i="11"/>
  <c r="DO428" i="11"/>
  <c r="DP428" i="11"/>
  <c r="DQ428" i="11"/>
  <c r="DR428" i="11"/>
  <c r="DS428" i="11"/>
  <c r="DT428" i="11"/>
  <c r="DU428" i="11"/>
  <c r="DV428" i="11"/>
  <c r="DW428" i="11"/>
  <c r="DX428" i="11"/>
  <c r="DY428" i="11"/>
  <c r="DZ428" i="11"/>
  <c r="EA428" i="11"/>
  <c r="EB428" i="11"/>
  <c r="EC428" i="11"/>
  <c r="ED428" i="11"/>
  <c r="EE428" i="11"/>
  <c r="EF428" i="11"/>
  <c r="EG428" i="11"/>
  <c r="EH428" i="11"/>
  <c r="EI428" i="11"/>
  <c r="EJ428" i="11"/>
  <c r="EK428" i="11"/>
  <c r="EL428" i="11"/>
  <c r="EM428" i="11"/>
  <c r="EN428" i="11"/>
  <c r="EO428" i="11"/>
  <c r="EP428" i="11"/>
  <c r="EQ428" i="11"/>
  <c r="ER428" i="11"/>
  <c r="ES428" i="11"/>
  <c r="ET428" i="11"/>
  <c r="EU428" i="11"/>
  <c r="EV428" i="11"/>
  <c r="EW428" i="11"/>
  <c r="EX428" i="11"/>
  <c r="EY428" i="11"/>
  <c r="EZ428" i="11"/>
  <c r="FA428" i="11"/>
  <c r="FB428" i="11"/>
  <c r="FC428" i="11"/>
  <c r="FD428" i="11"/>
  <c r="FE428" i="11"/>
  <c r="FF428" i="11"/>
  <c r="FG428" i="11"/>
  <c r="FH428" i="11"/>
  <c r="FI428" i="11"/>
  <c r="FJ428" i="11"/>
  <c r="FK428" i="11"/>
  <c r="FL428" i="11"/>
  <c r="FM428" i="11"/>
  <c r="FN428" i="11"/>
  <c r="FO428" i="11"/>
  <c r="FP428" i="11"/>
  <c r="FQ428" i="11"/>
  <c r="FR428" i="11"/>
  <c r="FS428" i="11"/>
  <c r="FT428" i="11"/>
  <c r="FU428" i="11"/>
  <c r="FV428" i="11"/>
  <c r="FW428" i="11"/>
  <c r="FX428" i="11"/>
  <c r="FY428" i="11"/>
  <c r="FZ428" i="11"/>
  <c r="GA428" i="11"/>
  <c r="GB428" i="11"/>
  <c r="GC428" i="11"/>
  <c r="GD428" i="11"/>
  <c r="GE428" i="11"/>
  <c r="GF428" i="11"/>
  <c r="GG428" i="11"/>
  <c r="GH428" i="11"/>
  <c r="GI428" i="11"/>
  <c r="GJ428" i="11"/>
  <c r="GK428" i="11"/>
  <c r="GL428" i="11"/>
  <c r="GM428" i="11"/>
  <c r="GN428" i="11"/>
  <c r="GO428" i="11"/>
  <c r="GP428" i="11"/>
  <c r="GQ428" i="11"/>
  <c r="GR428" i="11"/>
  <c r="GS428" i="11"/>
  <c r="GT428" i="11"/>
  <c r="GU428" i="11"/>
  <c r="GV428" i="11"/>
  <c r="GW428" i="11"/>
  <c r="GX428" i="11"/>
  <c r="GY428" i="11"/>
  <c r="GZ428" i="11"/>
  <c r="HA428" i="11"/>
  <c r="HB428" i="11"/>
  <c r="HC428" i="11"/>
  <c r="HD428" i="11"/>
  <c r="HE428" i="11"/>
  <c r="HF428" i="11"/>
  <c r="HG428" i="11"/>
  <c r="HH428" i="11"/>
  <c r="HI428" i="11"/>
  <c r="HJ428" i="11"/>
  <c r="HK428" i="11"/>
  <c r="HL428" i="11"/>
  <c r="HM428" i="11"/>
  <c r="HN428" i="11"/>
  <c r="HO428" i="11"/>
  <c r="HP428" i="11"/>
  <c r="HQ428" i="11"/>
  <c r="HR428" i="11"/>
  <c r="HS428" i="11"/>
  <c r="HT428" i="11"/>
  <c r="HU428" i="11"/>
  <c r="HV428" i="11"/>
  <c r="HW428" i="11"/>
  <c r="HX428" i="11"/>
  <c r="HY428" i="11"/>
  <c r="HZ428" i="11"/>
  <c r="IA428" i="11"/>
  <c r="IB428" i="11"/>
  <c r="IC428" i="11"/>
  <c r="ID428" i="11"/>
  <c r="IE428" i="11"/>
  <c r="IF428" i="11"/>
  <c r="IG428" i="11"/>
  <c r="IH428" i="11"/>
  <c r="II428" i="11"/>
  <c r="IJ428" i="11"/>
  <c r="IK428" i="11"/>
  <c r="IL428" i="11"/>
  <c r="IM428" i="11"/>
  <c r="IN428" i="11"/>
  <c r="IO428" i="11"/>
  <c r="IP428" i="11"/>
  <c r="IQ428" i="11"/>
  <c r="IR428" i="11"/>
  <c r="IS428" i="11"/>
  <c r="IT428" i="11"/>
  <c r="IU428" i="11"/>
  <c r="IV428" i="11"/>
  <c r="F429" i="11"/>
  <c r="G429" i="11"/>
  <c r="H429" i="11"/>
  <c r="I429" i="11"/>
  <c r="J429" i="11"/>
  <c r="K429" i="11"/>
  <c r="L429" i="11"/>
  <c r="M429" i="11"/>
  <c r="N429" i="11"/>
  <c r="O429" i="11"/>
  <c r="P429" i="11"/>
  <c r="Q429" i="11"/>
  <c r="R429" i="11"/>
  <c r="S429" i="11"/>
  <c r="T429" i="11"/>
  <c r="U429" i="11"/>
  <c r="V429" i="11"/>
  <c r="W429" i="11"/>
  <c r="X429" i="11"/>
  <c r="Y429" i="11"/>
  <c r="Z429" i="11"/>
  <c r="AA429" i="11"/>
  <c r="AB429" i="11"/>
  <c r="AC429" i="11"/>
  <c r="AD429" i="11"/>
  <c r="AE429" i="11"/>
  <c r="AF429" i="11"/>
  <c r="AG429" i="11"/>
  <c r="AH429" i="11"/>
  <c r="AI429" i="11"/>
  <c r="AJ429" i="11"/>
  <c r="AK429" i="11"/>
  <c r="AL429" i="11"/>
  <c r="AM429" i="11"/>
  <c r="AN429" i="11"/>
  <c r="AO429" i="11"/>
  <c r="AP429" i="11"/>
  <c r="AQ429" i="11"/>
  <c r="AR429" i="11"/>
  <c r="AS429" i="11"/>
  <c r="AT429" i="11"/>
  <c r="AU429" i="11"/>
  <c r="AV429" i="11"/>
  <c r="AW429" i="11"/>
  <c r="AX429" i="11"/>
  <c r="AY429" i="11"/>
  <c r="AZ429" i="11"/>
  <c r="BA429" i="11"/>
  <c r="BB429" i="11"/>
  <c r="BC429" i="11"/>
  <c r="BD429" i="11"/>
  <c r="BE429" i="11"/>
  <c r="BF429" i="11"/>
  <c r="BG429" i="11"/>
  <c r="BH429" i="11"/>
  <c r="BI429" i="11"/>
  <c r="BJ429" i="11"/>
  <c r="BK429" i="11"/>
  <c r="BL429" i="11"/>
  <c r="BM429" i="11"/>
  <c r="BN429" i="11"/>
  <c r="BO429" i="11"/>
  <c r="BP429" i="11"/>
  <c r="BQ429" i="11"/>
  <c r="BR429" i="11"/>
  <c r="BS429" i="11"/>
  <c r="BT429" i="11"/>
  <c r="BU429" i="11"/>
  <c r="BV429" i="11"/>
  <c r="BW429" i="11"/>
  <c r="BX429" i="11"/>
  <c r="BY429" i="11"/>
  <c r="BZ429" i="11"/>
  <c r="CA429" i="11"/>
  <c r="CB429" i="11"/>
  <c r="CC429" i="11"/>
  <c r="CD429" i="11"/>
  <c r="CE429" i="11"/>
  <c r="CF429" i="11"/>
  <c r="CG429" i="11"/>
  <c r="CH429" i="11"/>
  <c r="CI429" i="11"/>
  <c r="CJ429" i="11"/>
  <c r="CK429" i="11"/>
  <c r="CL429" i="11"/>
  <c r="CM429" i="11"/>
  <c r="CN429" i="11"/>
  <c r="CO429" i="11"/>
  <c r="CP429" i="11"/>
  <c r="CQ429" i="11"/>
  <c r="CR429" i="11"/>
  <c r="CS429" i="11"/>
  <c r="CT429" i="11"/>
  <c r="CU429" i="11"/>
  <c r="CV429" i="11"/>
  <c r="CW429" i="11"/>
  <c r="CX429" i="11"/>
  <c r="CY429" i="11"/>
  <c r="CZ429" i="11"/>
  <c r="DA429" i="11"/>
  <c r="DB429" i="11"/>
  <c r="DC429" i="11"/>
  <c r="DD429" i="11"/>
  <c r="DE429" i="11"/>
  <c r="DF429" i="11"/>
  <c r="DG429" i="11"/>
  <c r="DH429" i="11"/>
  <c r="DI429" i="11"/>
  <c r="DJ429" i="11"/>
  <c r="DK429" i="11"/>
  <c r="DL429" i="11"/>
  <c r="DM429" i="11"/>
  <c r="DN429" i="11"/>
  <c r="DO429" i="11"/>
  <c r="DP429" i="11"/>
  <c r="DQ429" i="11"/>
  <c r="DR429" i="11"/>
  <c r="DS429" i="11"/>
  <c r="DT429" i="11"/>
  <c r="DU429" i="11"/>
  <c r="DV429" i="11"/>
  <c r="DW429" i="11"/>
  <c r="DX429" i="11"/>
  <c r="DY429" i="11"/>
  <c r="DZ429" i="11"/>
  <c r="EA429" i="11"/>
  <c r="EB429" i="11"/>
  <c r="EC429" i="11"/>
  <c r="ED429" i="11"/>
  <c r="EE429" i="11"/>
  <c r="EF429" i="11"/>
  <c r="EG429" i="11"/>
  <c r="EH429" i="11"/>
  <c r="EI429" i="11"/>
  <c r="EJ429" i="11"/>
  <c r="EK429" i="11"/>
  <c r="EL429" i="11"/>
  <c r="EM429" i="11"/>
  <c r="EN429" i="11"/>
  <c r="EO429" i="11"/>
  <c r="EP429" i="11"/>
  <c r="EQ429" i="11"/>
  <c r="ER429" i="11"/>
  <c r="ES429" i="11"/>
  <c r="ET429" i="11"/>
  <c r="EU429" i="11"/>
  <c r="EV429" i="11"/>
  <c r="EW429" i="11"/>
  <c r="EX429" i="11"/>
  <c r="EY429" i="11"/>
  <c r="EZ429" i="11"/>
  <c r="FA429" i="11"/>
  <c r="FB429" i="11"/>
  <c r="FC429" i="11"/>
  <c r="FD429" i="11"/>
  <c r="FE429" i="11"/>
  <c r="FF429" i="11"/>
  <c r="FG429" i="11"/>
  <c r="FH429" i="11"/>
  <c r="FI429" i="11"/>
  <c r="FJ429" i="11"/>
  <c r="FK429" i="11"/>
  <c r="FL429" i="11"/>
  <c r="FM429" i="11"/>
  <c r="FN429" i="11"/>
  <c r="FO429" i="11"/>
  <c r="FP429" i="11"/>
  <c r="FQ429" i="11"/>
  <c r="FR429" i="11"/>
  <c r="FS429" i="11"/>
  <c r="FT429" i="11"/>
  <c r="FU429" i="11"/>
  <c r="FV429" i="11"/>
  <c r="FW429" i="11"/>
  <c r="FX429" i="11"/>
  <c r="FY429" i="11"/>
  <c r="FZ429" i="11"/>
  <c r="GA429" i="11"/>
  <c r="GB429" i="11"/>
  <c r="GC429" i="11"/>
  <c r="GD429" i="11"/>
  <c r="GE429" i="11"/>
  <c r="GF429" i="11"/>
  <c r="GG429" i="11"/>
  <c r="GH429" i="11"/>
  <c r="GI429" i="11"/>
  <c r="GJ429" i="11"/>
  <c r="GK429" i="11"/>
  <c r="GL429" i="11"/>
  <c r="GM429" i="11"/>
  <c r="GN429" i="11"/>
  <c r="GO429" i="11"/>
  <c r="GP429" i="11"/>
  <c r="GQ429" i="11"/>
  <c r="GR429" i="11"/>
  <c r="GS429" i="11"/>
  <c r="GT429" i="11"/>
  <c r="GU429" i="11"/>
  <c r="GV429" i="11"/>
  <c r="GW429" i="11"/>
  <c r="GX429" i="11"/>
  <c r="GY429" i="11"/>
  <c r="GZ429" i="11"/>
  <c r="HA429" i="11"/>
  <c r="HB429" i="11"/>
  <c r="HC429" i="11"/>
  <c r="HD429" i="11"/>
  <c r="HE429" i="11"/>
  <c r="HF429" i="11"/>
  <c r="HG429" i="11"/>
  <c r="HH429" i="11"/>
  <c r="HI429" i="11"/>
  <c r="HJ429" i="11"/>
  <c r="HK429" i="11"/>
  <c r="HL429" i="11"/>
  <c r="HM429" i="11"/>
  <c r="HN429" i="11"/>
  <c r="HO429" i="11"/>
  <c r="HP429" i="11"/>
  <c r="HQ429" i="11"/>
  <c r="HR429" i="11"/>
  <c r="HS429" i="11"/>
  <c r="HT429" i="11"/>
  <c r="HU429" i="11"/>
  <c r="HV429" i="11"/>
  <c r="HW429" i="11"/>
  <c r="HX429" i="11"/>
  <c r="HY429" i="11"/>
  <c r="HZ429" i="11"/>
  <c r="IA429" i="11"/>
  <c r="IB429" i="11"/>
  <c r="IC429" i="11"/>
  <c r="ID429" i="11"/>
  <c r="IE429" i="11"/>
  <c r="IF429" i="11"/>
  <c r="IG429" i="11"/>
  <c r="IH429" i="11"/>
  <c r="II429" i="11"/>
  <c r="IJ429" i="11"/>
  <c r="IK429" i="11"/>
  <c r="IL429" i="11"/>
  <c r="IM429" i="11"/>
  <c r="IN429" i="11"/>
  <c r="IO429" i="11"/>
  <c r="IP429" i="11"/>
  <c r="IQ429" i="11"/>
  <c r="IR429" i="11"/>
  <c r="IS429" i="11"/>
  <c r="IT429" i="11"/>
  <c r="IU429" i="11"/>
  <c r="IV429" i="11"/>
  <c r="F430" i="11"/>
  <c r="G430" i="11"/>
  <c r="H430" i="11"/>
  <c r="I430" i="11"/>
  <c r="J430" i="11"/>
  <c r="K430" i="11"/>
  <c r="L430" i="11"/>
  <c r="M430" i="11"/>
  <c r="N430" i="11"/>
  <c r="O430" i="11"/>
  <c r="P430" i="11"/>
  <c r="Q430" i="11"/>
  <c r="R430" i="11"/>
  <c r="S430" i="11"/>
  <c r="T430" i="11"/>
  <c r="U430" i="11"/>
  <c r="V430" i="11"/>
  <c r="W430" i="11"/>
  <c r="X430" i="11"/>
  <c r="Y430" i="11"/>
  <c r="Z430" i="11"/>
  <c r="AA430" i="11"/>
  <c r="AB430" i="11"/>
  <c r="AC430" i="11"/>
  <c r="AD430" i="11"/>
  <c r="AE430" i="11"/>
  <c r="AF430" i="11"/>
  <c r="AG430" i="11"/>
  <c r="AH430" i="11"/>
  <c r="AI430" i="11"/>
  <c r="AJ430" i="11"/>
  <c r="AK430" i="11"/>
  <c r="AL430" i="11"/>
  <c r="AM430" i="11"/>
  <c r="AN430" i="11"/>
  <c r="AO430" i="11"/>
  <c r="AP430" i="11"/>
  <c r="AQ430" i="11"/>
  <c r="AR430" i="11"/>
  <c r="AS430" i="11"/>
  <c r="AT430" i="11"/>
  <c r="AU430" i="11"/>
  <c r="AV430" i="11"/>
  <c r="AW430" i="11"/>
  <c r="AX430" i="11"/>
  <c r="AY430" i="11"/>
  <c r="AZ430" i="11"/>
  <c r="BA430" i="11"/>
  <c r="BB430" i="11"/>
  <c r="BC430" i="11"/>
  <c r="BD430" i="11"/>
  <c r="BE430" i="11"/>
  <c r="BF430" i="11"/>
  <c r="BG430" i="11"/>
  <c r="BH430" i="11"/>
  <c r="BI430" i="11"/>
  <c r="BJ430" i="11"/>
  <c r="BK430" i="11"/>
  <c r="BL430" i="11"/>
  <c r="BM430" i="11"/>
  <c r="BN430" i="11"/>
  <c r="BO430" i="11"/>
  <c r="BP430" i="11"/>
  <c r="BQ430" i="11"/>
  <c r="BR430" i="11"/>
  <c r="BS430" i="11"/>
  <c r="BT430" i="11"/>
  <c r="BU430" i="11"/>
  <c r="BV430" i="11"/>
  <c r="BW430" i="11"/>
  <c r="BX430" i="11"/>
  <c r="BY430" i="11"/>
  <c r="BZ430" i="11"/>
  <c r="CA430" i="11"/>
  <c r="CB430" i="11"/>
  <c r="CC430" i="11"/>
  <c r="CD430" i="11"/>
  <c r="CE430" i="11"/>
  <c r="CF430" i="11"/>
  <c r="CG430" i="11"/>
  <c r="CH430" i="11"/>
  <c r="CI430" i="11"/>
  <c r="CJ430" i="11"/>
  <c r="CK430" i="11"/>
  <c r="CL430" i="11"/>
  <c r="CM430" i="11"/>
  <c r="CN430" i="11"/>
  <c r="CO430" i="11"/>
  <c r="CP430" i="11"/>
  <c r="CQ430" i="11"/>
  <c r="CR430" i="11"/>
  <c r="CS430" i="11"/>
  <c r="CT430" i="11"/>
  <c r="CU430" i="11"/>
  <c r="CV430" i="11"/>
  <c r="CW430" i="11"/>
  <c r="CX430" i="11"/>
  <c r="CY430" i="11"/>
  <c r="CZ430" i="11"/>
  <c r="DA430" i="11"/>
  <c r="DB430" i="11"/>
  <c r="DC430" i="11"/>
  <c r="DD430" i="11"/>
  <c r="DE430" i="11"/>
  <c r="DF430" i="11"/>
  <c r="DG430" i="11"/>
  <c r="DH430" i="11"/>
  <c r="DI430" i="11"/>
  <c r="DJ430" i="11"/>
  <c r="DK430" i="11"/>
  <c r="DL430" i="11"/>
  <c r="DM430" i="11"/>
  <c r="DN430" i="11"/>
  <c r="DO430" i="11"/>
  <c r="DP430" i="11"/>
  <c r="DQ430" i="11"/>
  <c r="DR430" i="11"/>
  <c r="DS430" i="11"/>
  <c r="DT430" i="11"/>
  <c r="DU430" i="11"/>
  <c r="DV430" i="11"/>
  <c r="DW430" i="11"/>
  <c r="DX430" i="11"/>
  <c r="DY430" i="11"/>
  <c r="DZ430" i="11"/>
  <c r="EA430" i="11"/>
  <c r="EB430" i="11"/>
  <c r="EC430" i="11"/>
  <c r="ED430" i="11"/>
  <c r="EE430" i="11"/>
  <c r="EF430" i="11"/>
  <c r="EG430" i="11"/>
  <c r="EH430" i="11"/>
  <c r="EI430" i="11"/>
  <c r="EJ430" i="11"/>
  <c r="EK430" i="11"/>
  <c r="EL430" i="11"/>
  <c r="EM430" i="11"/>
  <c r="EN430" i="11"/>
  <c r="EO430" i="11"/>
  <c r="EP430" i="11"/>
  <c r="EQ430" i="11"/>
  <c r="ER430" i="11"/>
  <c r="ES430" i="11"/>
  <c r="ET430" i="11"/>
  <c r="EU430" i="11"/>
  <c r="EV430" i="11"/>
  <c r="EW430" i="11"/>
  <c r="EX430" i="11"/>
  <c r="EY430" i="11"/>
  <c r="EZ430" i="11"/>
  <c r="FA430" i="11"/>
  <c r="FB430" i="11"/>
  <c r="FC430" i="11"/>
  <c r="FD430" i="11"/>
  <c r="FE430" i="11"/>
  <c r="FF430" i="11"/>
  <c r="FG430" i="11"/>
  <c r="FH430" i="11"/>
  <c r="FI430" i="11"/>
  <c r="FJ430" i="11"/>
  <c r="FK430" i="11"/>
  <c r="FL430" i="11"/>
  <c r="FM430" i="11"/>
  <c r="FN430" i="11"/>
  <c r="FO430" i="11"/>
  <c r="FP430" i="11"/>
  <c r="FQ430" i="11"/>
  <c r="FR430" i="11"/>
  <c r="FS430" i="11"/>
  <c r="FT430" i="11"/>
  <c r="FU430" i="11"/>
  <c r="FV430" i="11"/>
  <c r="FW430" i="11"/>
  <c r="FX430" i="11"/>
  <c r="FY430" i="11"/>
  <c r="FZ430" i="11"/>
  <c r="GA430" i="11"/>
  <c r="GB430" i="11"/>
  <c r="GC430" i="11"/>
  <c r="GD430" i="11"/>
  <c r="GE430" i="11"/>
  <c r="GF430" i="11"/>
  <c r="GG430" i="11"/>
  <c r="GH430" i="11"/>
  <c r="GI430" i="11"/>
  <c r="GJ430" i="11"/>
  <c r="GK430" i="11"/>
  <c r="GL430" i="11"/>
  <c r="GM430" i="11"/>
  <c r="GN430" i="11"/>
  <c r="GO430" i="11"/>
  <c r="GP430" i="11"/>
  <c r="GQ430" i="11"/>
  <c r="GR430" i="11"/>
  <c r="GS430" i="11"/>
  <c r="GT430" i="11"/>
  <c r="GU430" i="11"/>
  <c r="GV430" i="11"/>
  <c r="GW430" i="11"/>
  <c r="GX430" i="11"/>
  <c r="GY430" i="11"/>
  <c r="GZ430" i="11"/>
  <c r="HA430" i="11"/>
  <c r="HB430" i="11"/>
  <c r="HC430" i="11"/>
  <c r="HD430" i="11"/>
  <c r="HE430" i="11"/>
  <c r="HF430" i="11"/>
  <c r="HG430" i="11"/>
  <c r="HH430" i="11"/>
  <c r="HI430" i="11"/>
  <c r="HJ430" i="11"/>
  <c r="HK430" i="11"/>
  <c r="HL430" i="11"/>
  <c r="HM430" i="11"/>
  <c r="HN430" i="11"/>
  <c r="HO430" i="11"/>
  <c r="HP430" i="11"/>
  <c r="HQ430" i="11"/>
  <c r="HR430" i="11"/>
  <c r="HS430" i="11"/>
  <c r="HT430" i="11"/>
  <c r="HU430" i="11"/>
  <c r="HV430" i="11"/>
  <c r="HW430" i="11"/>
  <c r="HX430" i="11"/>
  <c r="HY430" i="11"/>
  <c r="HZ430" i="11"/>
  <c r="IA430" i="11"/>
  <c r="IB430" i="11"/>
  <c r="IC430" i="11"/>
  <c r="ID430" i="11"/>
  <c r="IE430" i="11"/>
  <c r="IF430" i="11"/>
  <c r="IG430" i="11"/>
  <c r="IH430" i="11"/>
  <c r="II430" i="11"/>
  <c r="IJ430" i="11"/>
  <c r="IK430" i="11"/>
  <c r="IL430" i="11"/>
  <c r="IM430" i="11"/>
  <c r="IN430" i="11"/>
  <c r="IO430" i="11"/>
  <c r="IP430" i="11"/>
  <c r="IQ430" i="11"/>
  <c r="IR430" i="11"/>
  <c r="IS430" i="11"/>
  <c r="IT430" i="11"/>
  <c r="IU430" i="11"/>
  <c r="IV430" i="11"/>
  <c r="F431" i="11"/>
  <c r="G431" i="11"/>
  <c r="H431" i="11"/>
  <c r="I431" i="11"/>
  <c r="J431" i="11"/>
  <c r="K431" i="11"/>
  <c r="L431" i="11"/>
  <c r="M431" i="11"/>
  <c r="N431" i="11"/>
  <c r="O431" i="11"/>
  <c r="P431" i="11"/>
  <c r="Q431" i="11"/>
  <c r="R431" i="11"/>
  <c r="S431" i="11"/>
  <c r="T431" i="11"/>
  <c r="U431" i="11"/>
  <c r="V431" i="11"/>
  <c r="W431" i="11"/>
  <c r="X431" i="11"/>
  <c r="Y431" i="11"/>
  <c r="Z431" i="11"/>
  <c r="AA431" i="11"/>
  <c r="AB431" i="11"/>
  <c r="AC431" i="11"/>
  <c r="AD431" i="11"/>
  <c r="AE431" i="11"/>
  <c r="AF431" i="11"/>
  <c r="AG431" i="11"/>
  <c r="AH431" i="11"/>
  <c r="AI431" i="11"/>
  <c r="AJ431" i="11"/>
  <c r="AK431" i="11"/>
  <c r="AL431" i="11"/>
  <c r="AM431" i="11"/>
  <c r="AN431" i="11"/>
  <c r="AO431" i="11"/>
  <c r="AP431" i="11"/>
  <c r="AQ431" i="11"/>
  <c r="AR431" i="11"/>
  <c r="AS431" i="11"/>
  <c r="AT431" i="11"/>
  <c r="AU431" i="11"/>
  <c r="AV431" i="11"/>
  <c r="AW431" i="11"/>
  <c r="AX431" i="11"/>
  <c r="AY431" i="11"/>
  <c r="AZ431" i="11"/>
  <c r="BA431" i="11"/>
  <c r="BB431" i="11"/>
  <c r="BC431" i="11"/>
  <c r="BD431" i="11"/>
  <c r="BE431" i="11"/>
  <c r="BF431" i="11"/>
  <c r="BG431" i="11"/>
  <c r="BH431" i="11"/>
  <c r="BI431" i="11"/>
  <c r="BJ431" i="11"/>
  <c r="BK431" i="11"/>
  <c r="BL431" i="11"/>
  <c r="BM431" i="11"/>
  <c r="BN431" i="11"/>
  <c r="BO431" i="11"/>
  <c r="BP431" i="11"/>
  <c r="BQ431" i="11"/>
  <c r="BR431" i="11"/>
  <c r="BS431" i="11"/>
  <c r="BT431" i="11"/>
  <c r="BU431" i="11"/>
  <c r="BV431" i="11"/>
  <c r="BW431" i="11"/>
  <c r="BX431" i="11"/>
  <c r="BY431" i="11"/>
  <c r="BZ431" i="11"/>
  <c r="CA431" i="11"/>
  <c r="CB431" i="11"/>
  <c r="CC431" i="11"/>
  <c r="CD431" i="11"/>
  <c r="CE431" i="11"/>
  <c r="CF431" i="11"/>
  <c r="CG431" i="11"/>
  <c r="CH431" i="11"/>
  <c r="CI431" i="11"/>
  <c r="CJ431" i="11"/>
  <c r="CK431" i="11"/>
  <c r="CL431" i="11"/>
  <c r="CM431" i="11"/>
  <c r="CN431" i="11"/>
  <c r="CO431" i="11"/>
  <c r="CP431" i="11"/>
  <c r="CQ431" i="11"/>
  <c r="CR431" i="11"/>
  <c r="CS431" i="11"/>
  <c r="CT431" i="11"/>
  <c r="CU431" i="11"/>
  <c r="CV431" i="11"/>
  <c r="CW431" i="11"/>
  <c r="CX431" i="11"/>
  <c r="CY431" i="11"/>
  <c r="CZ431" i="11"/>
  <c r="DA431" i="11"/>
  <c r="DB431" i="11"/>
  <c r="DC431" i="11"/>
  <c r="DD431" i="11"/>
  <c r="DE431" i="11"/>
  <c r="DF431" i="11"/>
  <c r="DG431" i="11"/>
  <c r="DH431" i="11"/>
  <c r="DI431" i="11"/>
  <c r="DJ431" i="11"/>
  <c r="DK431" i="11"/>
  <c r="DL431" i="11"/>
  <c r="DM431" i="11"/>
  <c r="DN431" i="11"/>
  <c r="DO431" i="11"/>
  <c r="DP431" i="11"/>
  <c r="DQ431" i="11"/>
  <c r="DR431" i="11"/>
  <c r="DS431" i="11"/>
  <c r="DT431" i="11"/>
  <c r="DU431" i="11"/>
  <c r="DV431" i="11"/>
  <c r="DW431" i="11"/>
  <c r="DX431" i="11"/>
  <c r="DY431" i="11"/>
  <c r="DZ431" i="11"/>
  <c r="EA431" i="11"/>
  <c r="EB431" i="11"/>
  <c r="EC431" i="11"/>
  <c r="ED431" i="11"/>
  <c r="EE431" i="11"/>
  <c r="EF431" i="11"/>
  <c r="EG431" i="11"/>
  <c r="EH431" i="11"/>
  <c r="EI431" i="11"/>
  <c r="EJ431" i="11"/>
  <c r="EK431" i="11"/>
  <c r="EL431" i="11"/>
  <c r="EM431" i="11"/>
  <c r="EN431" i="11"/>
  <c r="EO431" i="11"/>
  <c r="EP431" i="11"/>
  <c r="EQ431" i="11"/>
  <c r="ER431" i="11"/>
  <c r="ES431" i="11"/>
  <c r="ET431" i="11"/>
  <c r="EU431" i="11"/>
  <c r="EV431" i="11"/>
  <c r="EW431" i="11"/>
  <c r="EX431" i="11"/>
  <c r="EY431" i="11"/>
  <c r="EZ431" i="11"/>
  <c r="FA431" i="11"/>
  <c r="FB431" i="11"/>
  <c r="FC431" i="11"/>
  <c r="FD431" i="11"/>
  <c r="FE431" i="11"/>
  <c r="FF431" i="11"/>
  <c r="FG431" i="11"/>
  <c r="FH431" i="11"/>
  <c r="FI431" i="11"/>
  <c r="FJ431" i="11"/>
  <c r="FK431" i="11"/>
  <c r="FL431" i="11"/>
  <c r="FM431" i="11"/>
  <c r="FN431" i="11"/>
  <c r="FO431" i="11"/>
  <c r="FP431" i="11"/>
  <c r="FQ431" i="11"/>
  <c r="FR431" i="11"/>
  <c r="FS431" i="11"/>
  <c r="FT431" i="11"/>
  <c r="FU431" i="11"/>
  <c r="FV431" i="11"/>
  <c r="FW431" i="11"/>
  <c r="FX431" i="11"/>
  <c r="FY431" i="11"/>
  <c r="FZ431" i="11"/>
  <c r="GA431" i="11"/>
  <c r="GB431" i="11"/>
  <c r="GC431" i="11"/>
  <c r="GD431" i="11"/>
  <c r="GE431" i="11"/>
  <c r="GF431" i="11"/>
  <c r="GG431" i="11"/>
  <c r="GH431" i="11"/>
  <c r="GI431" i="11"/>
  <c r="GJ431" i="11"/>
  <c r="GK431" i="11"/>
  <c r="GL431" i="11"/>
  <c r="GM431" i="11"/>
  <c r="GN431" i="11"/>
  <c r="GO431" i="11"/>
  <c r="GP431" i="11"/>
  <c r="GQ431" i="11"/>
  <c r="GR431" i="11"/>
  <c r="GS431" i="11"/>
  <c r="GT431" i="11"/>
  <c r="GU431" i="11"/>
  <c r="GV431" i="11"/>
  <c r="GW431" i="11"/>
  <c r="GX431" i="11"/>
  <c r="GY431" i="11"/>
  <c r="GZ431" i="11"/>
  <c r="HA431" i="11"/>
  <c r="HB431" i="11"/>
  <c r="HC431" i="11"/>
  <c r="HD431" i="11"/>
  <c r="HE431" i="11"/>
  <c r="HF431" i="11"/>
  <c r="HG431" i="11"/>
  <c r="HH431" i="11"/>
  <c r="HI431" i="11"/>
  <c r="HJ431" i="11"/>
  <c r="HK431" i="11"/>
  <c r="HL431" i="11"/>
  <c r="HM431" i="11"/>
  <c r="HN431" i="11"/>
  <c r="HO431" i="11"/>
  <c r="HP431" i="11"/>
  <c r="HQ431" i="11"/>
  <c r="HR431" i="11"/>
  <c r="HS431" i="11"/>
  <c r="HT431" i="11"/>
  <c r="HU431" i="11"/>
  <c r="HV431" i="11"/>
  <c r="HW431" i="11"/>
  <c r="HX431" i="11"/>
  <c r="HY431" i="11"/>
  <c r="HZ431" i="11"/>
  <c r="IA431" i="11"/>
  <c r="IB431" i="11"/>
  <c r="IC431" i="11"/>
  <c r="ID431" i="11"/>
  <c r="IE431" i="11"/>
  <c r="IF431" i="11"/>
  <c r="IG431" i="11"/>
  <c r="IH431" i="11"/>
  <c r="II431" i="11"/>
  <c r="IJ431" i="11"/>
  <c r="IK431" i="11"/>
  <c r="IL431" i="11"/>
  <c r="IM431" i="11"/>
  <c r="IN431" i="11"/>
  <c r="IO431" i="11"/>
  <c r="IP431" i="11"/>
  <c r="IQ431" i="11"/>
  <c r="IR431" i="11"/>
  <c r="IS431" i="11"/>
  <c r="IT431" i="11"/>
  <c r="IU431" i="11"/>
  <c r="IV431" i="11"/>
  <c r="F432" i="11"/>
  <c r="G432" i="11"/>
  <c r="H432" i="11"/>
  <c r="I432" i="11"/>
  <c r="J432" i="11"/>
  <c r="K432" i="11"/>
  <c r="L432" i="11"/>
  <c r="M432" i="11"/>
  <c r="N432" i="11"/>
  <c r="O432" i="11"/>
  <c r="P432" i="11"/>
  <c r="Q432" i="11"/>
  <c r="R432" i="11"/>
  <c r="S432" i="11"/>
  <c r="T432" i="11"/>
  <c r="U432" i="11"/>
  <c r="V432" i="11"/>
  <c r="W432" i="11"/>
  <c r="X432" i="11"/>
  <c r="Y432" i="11"/>
  <c r="Z432" i="11"/>
  <c r="AA432" i="11"/>
  <c r="AB432" i="11"/>
  <c r="AC432" i="11"/>
  <c r="AD432" i="11"/>
  <c r="AE432" i="11"/>
  <c r="AF432" i="11"/>
  <c r="AG432" i="11"/>
  <c r="AH432" i="11"/>
  <c r="AI432" i="11"/>
  <c r="AJ432" i="11"/>
  <c r="AK432" i="11"/>
  <c r="AL432" i="11"/>
  <c r="AM432" i="11"/>
  <c r="AN432" i="11"/>
  <c r="AO432" i="11"/>
  <c r="AP432" i="11"/>
  <c r="AQ432" i="11"/>
  <c r="AR432" i="11"/>
  <c r="AS432" i="11"/>
  <c r="AT432" i="11"/>
  <c r="AU432" i="11"/>
  <c r="AV432" i="11"/>
  <c r="AW432" i="11"/>
  <c r="AX432" i="11"/>
  <c r="AY432" i="11"/>
  <c r="AZ432" i="11"/>
  <c r="BA432" i="11"/>
  <c r="BB432" i="11"/>
  <c r="BC432" i="11"/>
  <c r="BD432" i="11"/>
  <c r="BE432" i="11"/>
  <c r="BF432" i="11"/>
  <c r="BG432" i="11"/>
  <c r="BH432" i="11"/>
  <c r="BI432" i="11"/>
  <c r="BJ432" i="11"/>
  <c r="BK432" i="11"/>
  <c r="BL432" i="11"/>
  <c r="BM432" i="11"/>
  <c r="BN432" i="11"/>
  <c r="BO432" i="11"/>
  <c r="BP432" i="11"/>
  <c r="BQ432" i="11"/>
  <c r="BR432" i="11"/>
  <c r="BS432" i="11"/>
  <c r="BT432" i="11"/>
  <c r="BU432" i="11"/>
  <c r="BV432" i="11"/>
  <c r="BW432" i="11"/>
  <c r="BX432" i="11"/>
  <c r="BY432" i="11"/>
  <c r="BZ432" i="11"/>
  <c r="CA432" i="11"/>
  <c r="CB432" i="11"/>
  <c r="CC432" i="11"/>
  <c r="CD432" i="11"/>
  <c r="CE432" i="11"/>
  <c r="CF432" i="11"/>
  <c r="CG432" i="11"/>
  <c r="CH432" i="11"/>
  <c r="CI432" i="11"/>
  <c r="CJ432" i="11"/>
  <c r="CK432" i="11"/>
  <c r="CL432" i="11"/>
  <c r="CM432" i="11"/>
  <c r="CN432" i="11"/>
  <c r="CO432" i="11"/>
  <c r="CP432" i="11"/>
  <c r="CQ432" i="11"/>
  <c r="CR432" i="11"/>
  <c r="CS432" i="11"/>
  <c r="CT432" i="11"/>
  <c r="CU432" i="11"/>
  <c r="CV432" i="11"/>
  <c r="CW432" i="11"/>
  <c r="CX432" i="11"/>
  <c r="CY432" i="11"/>
  <c r="CZ432" i="11"/>
  <c r="DA432" i="11"/>
  <c r="DB432" i="11"/>
  <c r="DC432" i="11"/>
  <c r="DD432" i="11"/>
  <c r="DE432" i="11"/>
  <c r="DF432" i="11"/>
  <c r="DG432" i="11"/>
  <c r="DH432" i="11"/>
  <c r="DI432" i="11"/>
  <c r="DJ432" i="11"/>
  <c r="DK432" i="11"/>
  <c r="DL432" i="11"/>
  <c r="DM432" i="11"/>
  <c r="DN432" i="11"/>
  <c r="DO432" i="11"/>
  <c r="DP432" i="11"/>
  <c r="DQ432" i="11"/>
  <c r="DR432" i="11"/>
  <c r="DS432" i="11"/>
  <c r="DT432" i="11"/>
  <c r="DU432" i="11"/>
  <c r="DV432" i="11"/>
  <c r="DW432" i="11"/>
  <c r="DX432" i="11"/>
  <c r="DY432" i="11"/>
  <c r="DZ432" i="11"/>
  <c r="EA432" i="11"/>
  <c r="EB432" i="11"/>
  <c r="EC432" i="11"/>
  <c r="ED432" i="11"/>
  <c r="EE432" i="11"/>
  <c r="EF432" i="11"/>
  <c r="EG432" i="11"/>
  <c r="EH432" i="11"/>
  <c r="EI432" i="11"/>
  <c r="EJ432" i="11"/>
  <c r="EK432" i="11"/>
  <c r="EL432" i="11"/>
  <c r="EM432" i="11"/>
  <c r="EN432" i="11"/>
  <c r="EO432" i="11"/>
  <c r="EP432" i="11"/>
  <c r="EQ432" i="11"/>
  <c r="ER432" i="11"/>
  <c r="ES432" i="11"/>
  <c r="ET432" i="11"/>
  <c r="EU432" i="11"/>
  <c r="EV432" i="11"/>
  <c r="EW432" i="11"/>
  <c r="EX432" i="11"/>
  <c r="EY432" i="11"/>
  <c r="EZ432" i="11"/>
  <c r="FA432" i="11"/>
  <c r="FB432" i="11"/>
  <c r="FC432" i="11"/>
  <c r="FD432" i="11"/>
  <c r="FE432" i="11"/>
  <c r="FF432" i="11"/>
  <c r="FG432" i="11"/>
  <c r="FH432" i="11"/>
  <c r="FI432" i="11"/>
  <c r="FJ432" i="11"/>
  <c r="FK432" i="11"/>
  <c r="FL432" i="11"/>
  <c r="FM432" i="11"/>
  <c r="FN432" i="11"/>
  <c r="FO432" i="11"/>
  <c r="FP432" i="11"/>
  <c r="FQ432" i="11"/>
  <c r="FR432" i="11"/>
  <c r="FS432" i="11"/>
  <c r="FT432" i="11"/>
  <c r="FU432" i="11"/>
  <c r="FV432" i="11"/>
  <c r="FW432" i="11"/>
  <c r="FX432" i="11"/>
  <c r="FY432" i="11"/>
  <c r="FZ432" i="11"/>
  <c r="GA432" i="11"/>
  <c r="GB432" i="11"/>
  <c r="GC432" i="11"/>
  <c r="GD432" i="11"/>
  <c r="GE432" i="11"/>
  <c r="GF432" i="11"/>
  <c r="GG432" i="11"/>
  <c r="GH432" i="11"/>
  <c r="GI432" i="11"/>
  <c r="GJ432" i="11"/>
  <c r="GK432" i="11"/>
  <c r="GL432" i="11"/>
  <c r="GM432" i="11"/>
  <c r="GN432" i="11"/>
  <c r="GO432" i="11"/>
  <c r="GP432" i="11"/>
  <c r="GQ432" i="11"/>
  <c r="GR432" i="11"/>
  <c r="GS432" i="11"/>
  <c r="GT432" i="11"/>
  <c r="GU432" i="11"/>
  <c r="GV432" i="11"/>
  <c r="GW432" i="11"/>
  <c r="GX432" i="11"/>
  <c r="GY432" i="11"/>
  <c r="GZ432" i="11"/>
  <c r="HA432" i="11"/>
  <c r="HB432" i="11"/>
  <c r="HC432" i="11"/>
  <c r="HD432" i="11"/>
  <c r="HE432" i="11"/>
  <c r="HF432" i="11"/>
  <c r="HG432" i="11"/>
  <c r="HH432" i="11"/>
  <c r="HI432" i="11"/>
  <c r="HJ432" i="11"/>
  <c r="HK432" i="11"/>
  <c r="HL432" i="11"/>
  <c r="HM432" i="11"/>
  <c r="HN432" i="11"/>
  <c r="HO432" i="11"/>
  <c r="HP432" i="11"/>
  <c r="HQ432" i="11"/>
  <c r="HR432" i="11"/>
  <c r="HS432" i="11"/>
  <c r="HT432" i="11"/>
  <c r="HU432" i="11"/>
  <c r="HV432" i="11"/>
  <c r="HW432" i="11"/>
  <c r="HX432" i="11"/>
  <c r="HY432" i="11"/>
  <c r="HZ432" i="11"/>
  <c r="IA432" i="11"/>
  <c r="IB432" i="11"/>
  <c r="IC432" i="11"/>
  <c r="ID432" i="11"/>
  <c r="IE432" i="11"/>
  <c r="IF432" i="11"/>
  <c r="IG432" i="11"/>
  <c r="IH432" i="11"/>
  <c r="II432" i="11"/>
  <c r="IJ432" i="11"/>
  <c r="IK432" i="11"/>
  <c r="IL432" i="11"/>
  <c r="IM432" i="11"/>
  <c r="IN432" i="11"/>
  <c r="IO432" i="11"/>
  <c r="IP432" i="11"/>
  <c r="IQ432" i="11"/>
  <c r="IR432" i="11"/>
  <c r="IS432" i="11"/>
  <c r="IT432" i="11"/>
  <c r="IU432" i="11"/>
  <c r="IV432" i="11"/>
  <c r="F433" i="11"/>
  <c r="G433" i="11"/>
  <c r="H433" i="11"/>
  <c r="I433" i="11"/>
  <c r="J433" i="11"/>
  <c r="K433" i="11"/>
  <c r="L433" i="11"/>
  <c r="M433" i="11"/>
  <c r="N433" i="11"/>
  <c r="O433" i="11"/>
  <c r="P433" i="11"/>
  <c r="Q433" i="11"/>
  <c r="R433" i="11"/>
  <c r="S433" i="11"/>
  <c r="T433" i="11"/>
  <c r="U433" i="11"/>
  <c r="V433" i="11"/>
  <c r="W433" i="11"/>
  <c r="X433" i="11"/>
  <c r="Y433" i="11"/>
  <c r="Z433" i="11"/>
  <c r="AA433" i="11"/>
  <c r="AB433" i="11"/>
  <c r="AC433" i="11"/>
  <c r="AD433" i="11"/>
  <c r="AE433" i="11"/>
  <c r="AF433" i="11"/>
  <c r="AG433" i="11"/>
  <c r="AH433" i="11"/>
  <c r="AI433" i="11"/>
  <c r="AJ433" i="11"/>
  <c r="AK433" i="11"/>
  <c r="AL433" i="11"/>
  <c r="AM433" i="11"/>
  <c r="AN433" i="11"/>
  <c r="AO433" i="11"/>
  <c r="AP433" i="11"/>
  <c r="AQ433" i="11"/>
  <c r="AR433" i="11"/>
  <c r="AS433" i="11"/>
  <c r="AT433" i="11"/>
  <c r="AU433" i="11"/>
  <c r="AV433" i="11"/>
  <c r="AW433" i="11"/>
  <c r="AX433" i="11"/>
  <c r="AY433" i="11"/>
  <c r="AZ433" i="11"/>
  <c r="BA433" i="11"/>
  <c r="BB433" i="11"/>
  <c r="BC433" i="11"/>
  <c r="BD433" i="11"/>
  <c r="BE433" i="11"/>
  <c r="BF433" i="11"/>
  <c r="BG433" i="11"/>
  <c r="BH433" i="11"/>
  <c r="BI433" i="11"/>
  <c r="BJ433" i="11"/>
  <c r="BK433" i="11"/>
  <c r="BL433" i="11"/>
  <c r="BM433" i="11"/>
  <c r="BN433" i="11"/>
  <c r="BO433" i="11"/>
  <c r="BP433" i="11"/>
  <c r="BQ433" i="11"/>
  <c r="BR433" i="11"/>
  <c r="BS433" i="11"/>
  <c r="BT433" i="11"/>
  <c r="BU433" i="11"/>
  <c r="BV433" i="11"/>
  <c r="BW433" i="11"/>
  <c r="BX433" i="11"/>
  <c r="BY433" i="11"/>
  <c r="BZ433" i="11"/>
  <c r="CA433" i="11"/>
  <c r="CB433" i="11"/>
  <c r="CC433" i="11"/>
  <c r="CD433" i="11"/>
  <c r="CE433" i="11"/>
  <c r="CF433" i="11"/>
  <c r="CG433" i="11"/>
  <c r="CH433" i="11"/>
  <c r="CI433" i="11"/>
  <c r="CJ433" i="11"/>
  <c r="CK433" i="11"/>
  <c r="CL433" i="11"/>
  <c r="CM433" i="11"/>
  <c r="CN433" i="11"/>
  <c r="CO433" i="11"/>
  <c r="CP433" i="11"/>
  <c r="CQ433" i="11"/>
  <c r="CR433" i="11"/>
  <c r="CS433" i="11"/>
  <c r="CT433" i="11"/>
  <c r="CU433" i="11"/>
  <c r="CV433" i="11"/>
  <c r="CW433" i="11"/>
  <c r="CX433" i="11"/>
  <c r="CY433" i="11"/>
  <c r="CZ433" i="11"/>
  <c r="DA433" i="11"/>
  <c r="DB433" i="11"/>
  <c r="DC433" i="11"/>
  <c r="DD433" i="11"/>
  <c r="DE433" i="11"/>
  <c r="DF433" i="11"/>
  <c r="DG433" i="11"/>
  <c r="DH433" i="11"/>
  <c r="DI433" i="11"/>
  <c r="DJ433" i="11"/>
  <c r="DK433" i="11"/>
  <c r="DL433" i="11"/>
  <c r="DM433" i="11"/>
  <c r="DN433" i="11"/>
  <c r="DO433" i="11"/>
  <c r="DP433" i="11"/>
  <c r="DQ433" i="11"/>
  <c r="DR433" i="11"/>
  <c r="DS433" i="11"/>
  <c r="DT433" i="11"/>
  <c r="DU433" i="11"/>
  <c r="DV433" i="11"/>
  <c r="DW433" i="11"/>
  <c r="DX433" i="11"/>
  <c r="DY433" i="11"/>
  <c r="DZ433" i="11"/>
  <c r="EA433" i="11"/>
  <c r="EB433" i="11"/>
  <c r="EC433" i="11"/>
  <c r="ED433" i="11"/>
  <c r="EE433" i="11"/>
  <c r="EF433" i="11"/>
  <c r="EG433" i="11"/>
  <c r="EH433" i="11"/>
  <c r="EI433" i="11"/>
  <c r="EJ433" i="11"/>
  <c r="EK433" i="11"/>
  <c r="EL433" i="11"/>
  <c r="EM433" i="11"/>
  <c r="EN433" i="11"/>
  <c r="EO433" i="11"/>
  <c r="EP433" i="11"/>
  <c r="EQ433" i="11"/>
  <c r="ER433" i="11"/>
  <c r="ES433" i="11"/>
  <c r="ET433" i="11"/>
  <c r="EU433" i="11"/>
  <c r="EV433" i="11"/>
  <c r="EW433" i="11"/>
  <c r="EX433" i="11"/>
  <c r="EY433" i="11"/>
  <c r="EZ433" i="11"/>
  <c r="FA433" i="11"/>
  <c r="FB433" i="11"/>
  <c r="FC433" i="11"/>
  <c r="FD433" i="11"/>
  <c r="FE433" i="11"/>
  <c r="FF433" i="11"/>
  <c r="FG433" i="11"/>
  <c r="FH433" i="11"/>
  <c r="FI433" i="11"/>
  <c r="FJ433" i="11"/>
  <c r="FK433" i="11"/>
  <c r="FL433" i="11"/>
  <c r="FM433" i="11"/>
  <c r="FN433" i="11"/>
  <c r="FO433" i="11"/>
  <c r="FP433" i="11"/>
  <c r="FQ433" i="11"/>
  <c r="FR433" i="11"/>
  <c r="FS433" i="11"/>
  <c r="FT433" i="11"/>
  <c r="FU433" i="11"/>
  <c r="FV433" i="11"/>
  <c r="FW433" i="11"/>
  <c r="FX433" i="11"/>
  <c r="FY433" i="11"/>
  <c r="FZ433" i="11"/>
  <c r="GA433" i="11"/>
  <c r="GB433" i="11"/>
  <c r="GC433" i="11"/>
  <c r="GD433" i="11"/>
  <c r="GE433" i="11"/>
  <c r="GF433" i="11"/>
  <c r="GG433" i="11"/>
  <c r="GH433" i="11"/>
  <c r="GI433" i="11"/>
  <c r="GJ433" i="11"/>
  <c r="GK433" i="11"/>
  <c r="GL433" i="11"/>
  <c r="GM433" i="11"/>
  <c r="GN433" i="11"/>
  <c r="GO433" i="11"/>
  <c r="GP433" i="11"/>
  <c r="GQ433" i="11"/>
  <c r="GR433" i="11"/>
  <c r="GS433" i="11"/>
  <c r="GT433" i="11"/>
  <c r="GU433" i="11"/>
  <c r="GV433" i="11"/>
  <c r="GW433" i="11"/>
  <c r="GX433" i="11"/>
  <c r="GY433" i="11"/>
  <c r="GZ433" i="11"/>
  <c r="HA433" i="11"/>
  <c r="HB433" i="11"/>
  <c r="HC433" i="11"/>
  <c r="HD433" i="11"/>
  <c r="HE433" i="11"/>
  <c r="HF433" i="11"/>
  <c r="HG433" i="11"/>
  <c r="HH433" i="11"/>
  <c r="HI433" i="11"/>
  <c r="HJ433" i="11"/>
  <c r="HK433" i="11"/>
  <c r="HL433" i="11"/>
  <c r="HM433" i="11"/>
  <c r="HN433" i="11"/>
  <c r="HO433" i="11"/>
  <c r="HP433" i="11"/>
  <c r="HQ433" i="11"/>
  <c r="HR433" i="11"/>
  <c r="HS433" i="11"/>
  <c r="HT433" i="11"/>
  <c r="HU433" i="11"/>
  <c r="HV433" i="11"/>
  <c r="HW433" i="11"/>
  <c r="HX433" i="11"/>
  <c r="HY433" i="11"/>
  <c r="HZ433" i="11"/>
  <c r="IA433" i="11"/>
  <c r="IB433" i="11"/>
  <c r="IC433" i="11"/>
  <c r="ID433" i="11"/>
  <c r="IE433" i="11"/>
  <c r="IF433" i="11"/>
  <c r="IG433" i="11"/>
  <c r="IH433" i="11"/>
  <c r="II433" i="11"/>
  <c r="IJ433" i="11"/>
  <c r="IK433" i="11"/>
  <c r="IL433" i="11"/>
  <c r="IM433" i="11"/>
  <c r="IN433" i="11"/>
  <c r="IO433" i="11"/>
  <c r="IP433" i="11"/>
  <c r="IQ433" i="11"/>
  <c r="IR433" i="11"/>
  <c r="IS433" i="11"/>
  <c r="IT433" i="11"/>
  <c r="IU433" i="11"/>
  <c r="IV433" i="11"/>
  <c r="F434" i="11"/>
  <c r="G434" i="11"/>
  <c r="H434" i="11"/>
  <c r="I434" i="11"/>
  <c r="J434" i="11"/>
  <c r="K434" i="11"/>
  <c r="L434" i="11"/>
  <c r="M434" i="11"/>
  <c r="N434" i="11"/>
  <c r="O434" i="11"/>
  <c r="P434" i="11"/>
  <c r="Q434" i="11"/>
  <c r="R434" i="11"/>
  <c r="S434" i="11"/>
  <c r="T434" i="11"/>
  <c r="U434" i="11"/>
  <c r="V434" i="11"/>
  <c r="W434" i="11"/>
  <c r="X434" i="11"/>
  <c r="Y434" i="11"/>
  <c r="Z434" i="11"/>
  <c r="AA434" i="11"/>
  <c r="AB434" i="11"/>
  <c r="AC434" i="11"/>
  <c r="AD434" i="11"/>
  <c r="AE434" i="11"/>
  <c r="AF434" i="11"/>
  <c r="AG434" i="11"/>
  <c r="AH434" i="11"/>
  <c r="AI434" i="11"/>
  <c r="AJ434" i="11"/>
  <c r="AK434" i="11"/>
  <c r="AL434" i="11"/>
  <c r="AM434" i="11"/>
  <c r="AN434" i="11"/>
  <c r="AO434" i="11"/>
  <c r="AP434" i="11"/>
  <c r="AQ434" i="11"/>
  <c r="AR434" i="11"/>
  <c r="AS434" i="11"/>
  <c r="AT434" i="11"/>
  <c r="AU434" i="11"/>
  <c r="AV434" i="11"/>
  <c r="AW434" i="11"/>
  <c r="AX434" i="11"/>
  <c r="AY434" i="11"/>
  <c r="AZ434" i="11"/>
  <c r="BA434" i="11"/>
  <c r="BB434" i="11"/>
  <c r="BC434" i="11"/>
  <c r="BD434" i="11"/>
  <c r="BE434" i="11"/>
  <c r="BF434" i="11"/>
  <c r="BG434" i="11"/>
  <c r="BH434" i="11"/>
  <c r="BI434" i="11"/>
  <c r="BJ434" i="11"/>
  <c r="BK434" i="11"/>
  <c r="BL434" i="11"/>
  <c r="BM434" i="11"/>
  <c r="BN434" i="11"/>
  <c r="BO434" i="11"/>
  <c r="BP434" i="11"/>
  <c r="BQ434" i="11"/>
  <c r="BR434" i="11"/>
  <c r="BS434" i="11"/>
  <c r="BT434" i="11"/>
  <c r="BU434" i="11"/>
  <c r="BV434" i="11"/>
  <c r="BW434" i="11"/>
  <c r="BX434" i="11"/>
  <c r="BY434" i="11"/>
  <c r="BZ434" i="11"/>
  <c r="CA434" i="11"/>
  <c r="CB434" i="11"/>
  <c r="CC434" i="11"/>
  <c r="CD434" i="11"/>
  <c r="CE434" i="11"/>
  <c r="CF434" i="11"/>
  <c r="CG434" i="11"/>
  <c r="CH434" i="11"/>
  <c r="CI434" i="11"/>
  <c r="CJ434" i="11"/>
  <c r="CK434" i="11"/>
  <c r="CL434" i="11"/>
  <c r="CM434" i="11"/>
  <c r="CN434" i="11"/>
  <c r="CO434" i="11"/>
  <c r="CP434" i="11"/>
  <c r="CQ434" i="11"/>
  <c r="CR434" i="11"/>
  <c r="CS434" i="11"/>
  <c r="CT434" i="11"/>
  <c r="CU434" i="11"/>
  <c r="CV434" i="11"/>
  <c r="CW434" i="11"/>
  <c r="CX434" i="11"/>
  <c r="CY434" i="11"/>
  <c r="CZ434" i="11"/>
  <c r="DA434" i="11"/>
  <c r="DB434" i="11"/>
  <c r="DC434" i="11"/>
  <c r="DD434" i="11"/>
  <c r="DE434" i="11"/>
  <c r="DF434" i="11"/>
  <c r="DG434" i="11"/>
  <c r="DH434" i="11"/>
  <c r="DI434" i="11"/>
  <c r="DJ434" i="11"/>
  <c r="DK434" i="11"/>
  <c r="DL434" i="11"/>
  <c r="DM434" i="11"/>
  <c r="DN434" i="11"/>
  <c r="DO434" i="11"/>
  <c r="DP434" i="11"/>
  <c r="DQ434" i="11"/>
  <c r="DR434" i="11"/>
  <c r="DS434" i="11"/>
  <c r="DT434" i="11"/>
  <c r="DU434" i="11"/>
  <c r="DV434" i="11"/>
  <c r="DW434" i="11"/>
  <c r="DX434" i="11"/>
  <c r="DY434" i="11"/>
  <c r="DZ434" i="11"/>
  <c r="EA434" i="11"/>
  <c r="EB434" i="11"/>
  <c r="EC434" i="11"/>
  <c r="ED434" i="11"/>
  <c r="EE434" i="11"/>
  <c r="EF434" i="11"/>
  <c r="EG434" i="11"/>
  <c r="EH434" i="11"/>
  <c r="EI434" i="11"/>
  <c r="EJ434" i="11"/>
  <c r="EK434" i="11"/>
  <c r="EL434" i="11"/>
  <c r="EM434" i="11"/>
  <c r="EN434" i="11"/>
  <c r="EO434" i="11"/>
  <c r="EP434" i="11"/>
  <c r="EQ434" i="11"/>
  <c r="ER434" i="11"/>
  <c r="ES434" i="11"/>
  <c r="ET434" i="11"/>
  <c r="EU434" i="11"/>
  <c r="EV434" i="11"/>
  <c r="EW434" i="11"/>
  <c r="EX434" i="11"/>
  <c r="EY434" i="11"/>
  <c r="EZ434" i="11"/>
  <c r="FA434" i="11"/>
  <c r="FB434" i="11"/>
  <c r="FC434" i="11"/>
  <c r="FD434" i="11"/>
  <c r="FE434" i="11"/>
  <c r="FF434" i="11"/>
  <c r="FG434" i="11"/>
  <c r="FH434" i="11"/>
  <c r="FI434" i="11"/>
  <c r="FJ434" i="11"/>
  <c r="FK434" i="11"/>
  <c r="FL434" i="11"/>
  <c r="FM434" i="11"/>
  <c r="FN434" i="11"/>
  <c r="FO434" i="11"/>
  <c r="FP434" i="11"/>
  <c r="FQ434" i="11"/>
  <c r="FR434" i="11"/>
  <c r="FS434" i="11"/>
  <c r="FT434" i="11"/>
  <c r="FU434" i="11"/>
  <c r="FV434" i="11"/>
  <c r="FW434" i="11"/>
  <c r="FX434" i="11"/>
  <c r="FY434" i="11"/>
  <c r="FZ434" i="11"/>
  <c r="GA434" i="11"/>
  <c r="GB434" i="11"/>
  <c r="GC434" i="11"/>
  <c r="GD434" i="11"/>
  <c r="GE434" i="11"/>
  <c r="GF434" i="11"/>
  <c r="GG434" i="11"/>
  <c r="GH434" i="11"/>
  <c r="GI434" i="11"/>
  <c r="GJ434" i="11"/>
  <c r="GK434" i="11"/>
  <c r="GL434" i="11"/>
  <c r="GM434" i="11"/>
  <c r="GN434" i="11"/>
  <c r="GO434" i="11"/>
  <c r="GP434" i="11"/>
  <c r="GQ434" i="11"/>
  <c r="GR434" i="11"/>
  <c r="GS434" i="11"/>
  <c r="GT434" i="11"/>
  <c r="GU434" i="11"/>
  <c r="GV434" i="11"/>
  <c r="GW434" i="11"/>
  <c r="GX434" i="11"/>
  <c r="GY434" i="11"/>
  <c r="GZ434" i="11"/>
  <c r="HA434" i="11"/>
  <c r="HB434" i="11"/>
  <c r="HC434" i="11"/>
  <c r="HD434" i="11"/>
  <c r="HE434" i="11"/>
  <c r="HF434" i="11"/>
  <c r="HG434" i="11"/>
  <c r="HH434" i="11"/>
  <c r="HI434" i="11"/>
  <c r="HJ434" i="11"/>
  <c r="HK434" i="11"/>
  <c r="HL434" i="11"/>
  <c r="HM434" i="11"/>
  <c r="HN434" i="11"/>
  <c r="HO434" i="11"/>
  <c r="HP434" i="11"/>
  <c r="HQ434" i="11"/>
  <c r="HR434" i="11"/>
  <c r="HS434" i="11"/>
  <c r="HT434" i="11"/>
  <c r="HU434" i="11"/>
  <c r="HV434" i="11"/>
  <c r="HW434" i="11"/>
  <c r="HX434" i="11"/>
  <c r="HY434" i="11"/>
  <c r="HZ434" i="11"/>
  <c r="IA434" i="11"/>
  <c r="IB434" i="11"/>
  <c r="IC434" i="11"/>
  <c r="ID434" i="11"/>
  <c r="IE434" i="11"/>
  <c r="IF434" i="11"/>
  <c r="IG434" i="11"/>
  <c r="IH434" i="11"/>
  <c r="II434" i="11"/>
  <c r="IJ434" i="11"/>
  <c r="IK434" i="11"/>
  <c r="IL434" i="11"/>
  <c r="IM434" i="11"/>
  <c r="IN434" i="11"/>
  <c r="IO434" i="11"/>
  <c r="IP434" i="11"/>
  <c r="IQ434" i="11"/>
  <c r="IR434" i="11"/>
  <c r="IS434" i="11"/>
  <c r="IT434" i="11"/>
  <c r="IU434" i="11"/>
  <c r="IV434" i="11"/>
  <c r="F435" i="11"/>
  <c r="G435" i="11"/>
  <c r="H435" i="11"/>
  <c r="I435" i="11"/>
  <c r="J435" i="11"/>
  <c r="K435" i="11"/>
  <c r="L435" i="11"/>
  <c r="M435" i="11"/>
  <c r="N435" i="11"/>
  <c r="O435" i="11"/>
  <c r="P435" i="11"/>
  <c r="Q435" i="11"/>
  <c r="R435" i="11"/>
  <c r="S435" i="11"/>
  <c r="T435" i="11"/>
  <c r="U435" i="11"/>
  <c r="V435" i="11"/>
  <c r="W435" i="11"/>
  <c r="X435" i="11"/>
  <c r="Y435" i="11"/>
  <c r="Z435" i="11"/>
  <c r="AA435" i="11"/>
  <c r="AB435" i="11"/>
  <c r="AC435" i="11"/>
  <c r="AD435" i="11"/>
  <c r="AE435" i="11"/>
  <c r="AF435" i="11"/>
  <c r="AG435" i="11"/>
  <c r="AH435" i="11"/>
  <c r="AI435" i="11"/>
  <c r="AJ435" i="11"/>
  <c r="AK435" i="11"/>
  <c r="AL435" i="11"/>
  <c r="AM435" i="11"/>
  <c r="AN435" i="11"/>
  <c r="AO435" i="11"/>
  <c r="AP435" i="11"/>
  <c r="AQ435" i="11"/>
  <c r="AR435" i="11"/>
  <c r="AS435" i="11"/>
  <c r="AT435" i="11"/>
  <c r="AU435" i="11"/>
  <c r="AV435" i="11"/>
  <c r="AW435" i="11"/>
  <c r="AX435" i="11"/>
  <c r="AY435" i="11"/>
  <c r="AZ435" i="11"/>
  <c r="BA435" i="11"/>
  <c r="BB435" i="11"/>
  <c r="BC435" i="11"/>
  <c r="BD435" i="11"/>
  <c r="BE435" i="11"/>
  <c r="BF435" i="11"/>
  <c r="BG435" i="11"/>
  <c r="BH435" i="11"/>
  <c r="BI435" i="11"/>
  <c r="BJ435" i="11"/>
  <c r="BK435" i="11"/>
  <c r="BL435" i="11"/>
  <c r="BM435" i="11"/>
  <c r="BN435" i="11"/>
  <c r="BO435" i="11"/>
  <c r="BP435" i="11"/>
  <c r="BQ435" i="11"/>
  <c r="BR435" i="11"/>
  <c r="BS435" i="11"/>
  <c r="BT435" i="11"/>
  <c r="BU435" i="11"/>
  <c r="BV435" i="11"/>
  <c r="BW435" i="11"/>
  <c r="BX435" i="11"/>
  <c r="BY435" i="11"/>
  <c r="BZ435" i="11"/>
  <c r="CA435" i="11"/>
  <c r="CB435" i="11"/>
  <c r="CC435" i="11"/>
  <c r="CD435" i="11"/>
  <c r="CE435" i="11"/>
  <c r="CF435" i="11"/>
  <c r="CG435" i="11"/>
  <c r="CH435" i="11"/>
  <c r="CI435" i="11"/>
  <c r="CJ435" i="11"/>
  <c r="CK435" i="11"/>
  <c r="CL435" i="11"/>
  <c r="CM435" i="11"/>
  <c r="CN435" i="11"/>
  <c r="CO435" i="11"/>
  <c r="CP435" i="11"/>
  <c r="CQ435" i="11"/>
  <c r="CR435" i="11"/>
  <c r="CS435" i="11"/>
  <c r="CT435" i="11"/>
  <c r="CU435" i="11"/>
  <c r="CV435" i="11"/>
  <c r="CW435" i="11"/>
  <c r="CX435" i="11"/>
  <c r="CY435" i="11"/>
  <c r="CZ435" i="11"/>
  <c r="DA435" i="11"/>
  <c r="DB435" i="11"/>
  <c r="DC435" i="11"/>
  <c r="DD435" i="11"/>
  <c r="DE435" i="11"/>
  <c r="DF435" i="11"/>
  <c r="DG435" i="11"/>
  <c r="DH435" i="11"/>
  <c r="DI435" i="11"/>
  <c r="DJ435" i="11"/>
  <c r="DK435" i="11"/>
  <c r="DL435" i="11"/>
  <c r="DM435" i="11"/>
  <c r="DN435" i="11"/>
  <c r="DO435" i="11"/>
  <c r="DP435" i="11"/>
  <c r="DQ435" i="11"/>
  <c r="DR435" i="11"/>
  <c r="DS435" i="11"/>
  <c r="DT435" i="11"/>
  <c r="DU435" i="11"/>
  <c r="DV435" i="11"/>
  <c r="DW435" i="11"/>
  <c r="DX435" i="11"/>
  <c r="DY435" i="11"/>
  <c r="DZ435" i="11"/>
  <c r="EA435" i="11"/>
  <c r="EB435" i="11"/>
  <c r="EC435" i="11"/>
  <c r="ED435" i="11"/>
  <c r="EE435" i="11"/>
  <c r="EF435" i="11"/>
  <c r="EG435" i="11"/>
  <c r="EH435" i="11"/>
  <c r="EI435" i="11"/>
  <c r="EJ435" i="11"/>
  <c r="EK435" i="11"/>
  <c r="EL435" i="11"/>
  <c r="EM435" i="11"/>
  <c r="EN435" i="11"/>
  <c r="EO435" i="11"/>
  <c r="EP435" i="11"/>
  <c r="EQ435" i="11"/>
  <c r="ER435" i="11"/>
  <c r="ES435" i="11"/>
  <c r="ET435" i="11"/>
  <c r="EU435" i="11"/>
  <c r="EV435" i="11"/>
  <c r="EW435" i="11"/>
  <c r="EX435" i="11"/>
  <c r="EY435" i="11"/>
  <c r="EZ435" i="11"/>
  <c r="FA435" i="11"/>
  <c r="FB435" i="11"/>
  <c r="FC435" i="11"/>
  <c r="FD435" i="11"/>
  <c r="FE435" i="11"/>
  <c r="FF435" i="11"/>
  <c r="FG435" i="11"/>
  <c r="FH435" i="11"/>
  <c r="FI435" i="11"/>
  <c r="FJ435" i="11"/>
  <c r="FK435" i="11"/>
  <c r="FL435" i="11"/>
  <c r="FM435" i="11"/>
  <c r="FN435" i="11"/>
  <c r="FO435" i="11"/>
  <c r="FP435" i="11"/>
  <c r="FQ435" i="11"/>
  <c r="FR435" i="11"/>
  <c r="FS435" i="11"/>
  <c r="FT435" i="11"/>
  <c r="FU435" i="11"/>
  <c r="FV435" i="11"/>
  <c r="FW435" i="11"/>
  <c r="FX435" i="11"/>
  <c r="FY435" i="11"/>
  <c r="FZ435" i="11"/>
  <c r="GA435" i="11"/>
  <c r="GB435" i="11"/>
  <c r="GC435" i="11"/>
  <c r="GD435" i="11"/>
  <c r="GE435" i="11"/>
  <c r="GF435" i="11"/>
  <c r="GG435" i="11"/>
  <c r="GH435" i="11"/>
  <c r="GI435" i="11"/>
  <c r="GJ435" i="11"/>
  <c r="GK435" i="11"/>
  <c r="GL435" i="11"/>
  <c r="GM435" i="11"/>
  <c r="GN435" i="11"/>
  <c r="GO435" i="11"/>
  <c r="GP435" i="11"/>
  <c r="GQ435" i="11"/>
  <c r="GR435" i="11"/>
  <c r="GS435" i="11"/>
  <c r="GT435" i="11"/>
  <c r="GU435" i="11"/>
  <c r="GV435" i="11"/>
  <c r="GW435" i="11"/>
  <c r="GX435" i="11"/>
  <c r="GY435" i="11"/>
  <c r="GZ435" i="11"/>
  <c r="HA435" i="11"/>
  <c r="HB435" i="11"/>
  <c r="HC435" i="11"/>
  <c r="HD435" i="11"/>
  <c r="HE435" i="11"/>
  <c r="HF435" i="11"/>
  <c r="HG435" i="11"/>
  <c r="HH435" i="11"/>
  <c r="HI435" i="11"/>
  <c r="HJ435" i="11"/>
  <c r="HK435" i="11"/>
  <c r="HL435" i="11"/>
  <c r="HM435" i="11"/>
  <c r="HN435" i="11"/>
  <c r="HO435" i="11"/>
  <c r="HP435" i="11"/>
  <c r="HQ435" i="11"/>
  <c r="HR435" i="11"/>
  <c r="HS435" i="11"/>
  <c r="HT435" i="11"/>
  <c r="HU435" i="11"/>
  <c r="HV435" i="11"/>
  <c r="HW435" i="11"/>
  <c r="HX435" i="11"/>
  <c r="HY435" i="11"/>
  <c r="HZ435" i="11"/>
  <c r="IA435" i="11"/>
  <c r="IB435" i="11"/>
  <c r="IC435" i="11"/>
  <c r="ID435" i="11"/>
  <c r="IE435" i="11"/>
  <c r="IF435" i="11"/>
  <c r="IG435" i="11"/>
  <c r="IH435" i="11"/>
  <c r="II435" i="11"/>
  <c r="IJ435" i="11"/>
  <c r="IK435" i="11"/>
  <c r="IL435" i="11"/>
  <c r="IM435" i="11"/>
  <c r="IN435" i="11"/>
  <c r="IO435" i="11"/>
  <c r="IP435" i="11"/>
  <c r="IQ435" i="11"/>
  <c r="IR435" i="11"/>
  <c r="IS435" i="11"/>
  <c r="IT435" i="11"/>
  <c r="IU435" i="11"/>
  <c r="IV435" i="11"/>
  <c r="F436" i="11"/>
  <c r="G436" i="11"/>
  <c r="H436" i="11"/>
  <c r="I436" i="11"/>
  <c r="J436" i="11"/>
  <c r="K436" i="11"/>
  <c r="L436" i="11"/>
  <c r="M436" i="11"/>
  <c r="N436" i="11"/>
  <c r="O436" i="11"/>
  <c r="P436" i="11"/>
  <c r="Q436" i="11"/>
  <c r="R436" i="11"/>
  <c r="S436" i="11"/>
  <c r="T436" i="11"/>
  <c r="U436" i="11"/>
  <c r="V436" i="11"/>
  <c r="W436" i="11"/>
  <c r="X436" i="11"/>
  <c r="Y436" i="11"/>
  <c r="Z436" i="11"/>
  <c r="AA436" i="11"/>
  <c r="AB436" i="11"/>
  <c r="AC436" i="11"/>
  <c r="AD436" i="11"/>
  <c r="AE436" i="11"/>
  <c r="AF436" i="11"/>
  <c r="AG436" i="11"/>
  <c r="AH436" i="11"/>
  <c r="AI436" i="11"/>
  <c r="AJ436" i="11"/>
  <c r="AK436" i="11"/>
  <c r="AL436" i="11"/>
  <c r="AM436" i="11"/>
  <c r="AN436" i="11"/>
  <c r="AO436" i="11"/>
  <c r="AP436" i="11"/>
  <c r="AQ436" i="11"/>
  <c r="AR436" i="11"/>
  <c r="AS436" i="11"/>
  <c r="AT436" i="11"/>
  <c r="AU436" i="11"/>
  <c r="AV436" i="11"/>
  <c r="AW436" i="11"/>
  <c r="AX436" i="11"/>
  <c r="AY436" i="11"/>
  <c r="AZ436" i="11"/>
  <c r="BA436" i="11"/>
  <c r="BB436" i="11"/>
  <c r="BC436" i="11"/>
  <c r="BD436" i="11"/>
  <c r="BE436" i="11"/>
  <c r="BF436" i="11"/>
  <c r="BG436" i="11"/>
  <c r="BH436" i="11"/>
  <c r="BI436" i="11"/>
  <c r="BJ436" i="11"/>
  <c r="BK436" i="11"/>
  <c r="BL436" i="11"/>
  <c r="BM436" i="11"/>
  <c r="BN436" i="11"/>
  <c r="BO436" i="11"/>
  <c r="BP436" i="11"/>
  <c r="BQ436" i="11"/>
  <c r="BR436" i="11"/>
  <c r="BS436" i="11"/>
  <c r="BT436" i="11"/>
  <c r="BU436" i="11"/>
  <c r="BV436" i="11"/>
  <c r="BW436" i="11"/>
  <c r="BX436" i="11"/>
  <c r="BY436" i="11"/>
  <c r="BZ436" i="11"/>
  <c r="CA436" i="11"/>
  <c r="CB436" i="11"/>
  <c r="CC436" i="11"/>
  <c r="CD436" i="11"/>
  <c r="CE436" i="11"/>
  <c r="CF436" i="11"/>
  <c r="CG436" i="11"/>
  <c r="CH436" i="11"/>
  <c r="CI436" i="11"/>
  <c r="CJ436" i="11"/>
  <c r="CK436" i="11"/>
  <c r="CL436" i="11"/>
  <c r="CM436" i="11"/>
  <c r="CN436" i="11"/>
  <c r="CO436" i="11"/>
  <c r="CP436" i="11"/>
  <c r="CQ436" i="11"/>
  <c r="CR436" i="11"/>
  <c r="CS436" i="11"/>
  <c r="CT436" i="11"/>
  <c r="CU436" i="11"/>
  <c r="CV436" i="11"/>
  <c r="CW436" i="11"/>
  <c r="CX436" i="11"/>
  <c r="CY436" i="11"/>
  <c r="CZ436" i="11"/>
  <c r="DA436" i="11"/>
  <c r="DB436" i="11"/>
  <c r="DC436" i="11"/>
  <c r="DD436" i="11"/>
  <c r="DE436" i="11"/>
  <c r="DF436" i="11"/>
  <c r="DG436" i="11"/>
  <c r="DH436" i="11"/>
  <c r="DI436" i="11"/>
  <c r="DJ436" i="11"/>
  <c r="DK436" i="11"/>
  <c r="DL436" i="11"/>
  <c r="DM436" i="11"/>
  <c r="DN436" i="11"/>
  <c r="DO436" i="11"/>
  <c r="DP436" i="11"/>
  <c r="DQ436" i="11"/>
  <c r="DR436" i="11"/>
  <c r="DS436" i="11"/>
  <c r="DT436" i="11"/>
  <c r="DU436" i="11"/>
  <c r="DV436" i="11"/>
  <c r="DW436" i="11"/>
  <c r="DX436" i="11"/>
  <c r="DY436" i="11"/>
  <c r="DZ436" i="11"/>
  <c r="EA436" i="11"/>
  <c r="EB436" i="11"/>
  <c r="EC436" i="11"/>
  <c r="ED436" i="11"/>
  <c r="EE436" i="11"/>
  <c r="EF436" i="11"/>
  <c r="EG436" i="11"/>
  <c r="EH436" i="11"/>
  <c r="EI436" i="11"/>
  <c r="EJ436" i="11"/>
  <c r="EK436" i="11"/>
  <c r="EL436" i="11"/>
  <c r="EM436" i="11"/>
  <c r="EN436" i="11"/>
  <c r="EO436" i="11"/>
  <c r="EP436" i="11"/>
  <c r="EQ436" i="11"/>
  <c r="ER436" i="11"/>
  <c r="ES436" i="11"/>
  <c r="ET436" i="11"/>
  <c r="EU436" i="11"/>
  <c r="EV436" i="11"/>
  <c r="EW436" i="11"/>
  <c r="EX436" i="11"/>
  <c r="EY436" i="11"/>
  <c r="EZ436" i="11"/>
  <c r="FA436" i="11"/>
  <c r="FB436" i="11"/>
  <c r="FC436" i="11"/>
  <c r="FD436" i="11"/>
  <c r="FE436" i="11"/>
  <c r="FF436" i="11"/>
  <c r="FG436" i="11"/>
  <c r="FH436" i="11"/>
  <c r="FI436" i="11"/>
  <c r="FJ436" i="11"/>
  <c r="FK436" i="11"/>
  <c r="FL436" i="11"/>
  <c r="FM436" i="11"/>
  <c r="FN436" i="11"/>
  <c r="FO436" i="11"/>
  <c r="FP436" i="11"/>
  <c r="FQ436" i="11"/>
  <c r="FR436" i="11"/>
  <c r="FS436" i="11"/>
  <c r="FT436" i="11"/>
  <c r="FU436" i="11"/>
  <c r="FV436" i="11"/>
  <c r="FW436" i="11"/>
  <c r="FX436" i="11"/>
  <c r="FY436" i="11"/>
  <c r="FZ436" i="11"/>
  <c r="GA436" i="11"/>
  <c r="GB436" i="11"/>
  <c r="GC436" i="11"/>
  <c r="GD436" i="11"/>
  <c r="GE436" i="11"/>
  <c r="GF436" i="11"/>
  <c r="GG436" i="11"/>
  <c r="GH436" i="11"/>
  <c r="GI436" i="11"/>
  <c r="GJ436" i="11"/>
  <c r="GK436" i="11"/>
  <c r="GL436" i="11"/>
  <c r="GM436" i="11"/>
  <c r="GN436" i="11"/>
  <c r="GO436" i="11"/>
  <c r="GP436" i="11"/>
  <c r="GQ436" i="11"/>
  <c r="GR436" i="11"/>
  <c r="GS436" i="11"/>
  <c r="GT436" i="11"/>
  <c r="GU436" i="11"/>
  <c r="GV436" i="11"/>
  <c r="GW436" i="11"/>
  <c r="GX436" i="11"/>
  <c r="GY436" i="11"/>
  <c r="GZ436" i="11"/>
  <c r="HA436" i="11"/>
  <c r="HB436" i="11"/>
  <c r="HC436" i="11"/>
  <c r="HD436" i="11"/>
  <c r="HE436" i="11"/>
  <c r="HF436" i="11"/>
  <c r="HG436" i="11"/>
  <c r="HH436" i="11"/>
  <c r="HI436" i="11"/>
  <c r="HJ436" i="11"/>
  <c r="HK436" i="11"/>
  <c r="HL436" i="11"/>
  <c r="HM436" i="11"/>
  <c r="HN436" i="11"/>
  <c r="HO436" i="11"/>
  <c r="HP436" i="11"/>
  <c r="HQ436" i="11"/>
  <c r="HR436" i="11"/>
  <c r="HS436" i="11"/>
  <c r="HT436" i="11"/>
  <c r="HU436" i="11"/>
  <c r="HV436" i="11"/>
  <c r="HW436" i="11"/>
  <c r="HX436" i="11"/>
  <c r="HY436" i="11"/>
  <c r="HZ436" i="11"/>
  <c r="IA436" i="11"/>
  <c r="IB436" i="11"/>
  <c r="IC436" i="11"/>
  <c r="ID436" i="11"/>
  <c r="IE436" i="11"/>
  <c r="IF436" i="11"/>
  <c r="IG436" i="11"/>
  <c r="IH436" i="11"/>
  <c r="II436" i="11"/>
  <c r="IJ436" i="11"/>
  <c r="IK436" i="11"/>
  <c r="IL436" i="11"/>
  <c r="IM436" i="11"/>
  <c r="IN436" i="11"/>
  <c r="IO436" i="11"/>
  <c r="IP436" i="11"/>
  <c r="IQ436" i="11"/>
  <c r="IR436" i="11"/>
  <c r="IS436" i="11"/>
  <c r="IT436" i="11"/>
  <c r="IU436" i="11"/>
  <c r="IV436" i="11"/>
  <c r="F437" i="11"/>
  <c r="G437" i="11"/>
  <c r="H437" i="11"/>
  <c r="I437" i="11"/>
  <c r="J437" i="11"/>
  <c r="K437" i="11"/>
  <c r="L437" i="11"/>
  <c r="M437" i="11"/>
  <c r="N437" i="11"/>
  <c r="O437" i="11"/>
  <c r="P437" i="11"/>
  <c r="Q437" i="11"/>
  <c r="R437" i="11"/>
  <c r="S437" i="11"/>
  <c r="T437" i="11"/>
  <c r="U437" i="11"/>
  <c r="V437" i="11"/>
  <c r="W437" i="11"/>
  <c r="X437" i="11"/>
  <c r="Y437" i="11"/>
  <c r="Z437" i="11"/>
  <c r="AA437" i="11"/>
  <c r="AB437" i="11"/>
  <c r="AC437" i="11"/>
  <c r="AD437" i="11"/>
  <c r="AE437" i="11"/>
  <c r="AF437" i="11"/>
  <c r="AG437" i="11"/>
  <c r="AH437" i="11"/>
  <c r="AI437" i="11"/>
  <c r="AJ437" i="11"/>
  <c r="AK437" i="11"/>
  <c r="AL437" i="11"/>
  <c r="AM437" i="11"/>
  <c r="AN437" i="11"/>
  <c r="AO437" i="11"/>
  <c r="AP437" i="11"/>
  <c r="AQ437" i="11"/>
  <c r="AR437" i="11"/>
  <c r="AS437" i="11"/>
  <c r="AT437" i="11"/>
  <c r="AU437" i="11"/>
  <c r="AV437" i="11"/>
  <c r="AW437" i="11"/>
  <c r="AX437" i="11"/>
  <c r="AY437" i="11"/>
  <c r="AZ437" i="11"/>
  <c r="BA437" i="11"/>
  <c r="BB437" i="11"/>
  <c r="BC437" i="11"/>
  <c r="BD437" i="11"/>
  <c r="BE437" i="11"/>
  <c r="BF437" i="11"/>
  <c r="BG437" i="11"/>
  <c r="BH437" i="11"/>
  <c r="BI437" i="11"/>
  <c r="BJ437" i="11"/>
  <c r="BK437" i="11"/>
  <c r="BL437" i="11"/>
  <c r="BM437" i="11"/>
  <c r="BN437" i="11"/>
  <c r="BO437" i="11"/>
  <c r="BP437" i="11"/>
  <c r="BQ437" i="11"/>
  <c r="BR437" i="11"/>
  <c r="BS437" i="11"/>
  <c r="BT437" i="11"/>
  <c r="BU437" i="11"/>
  <c r="BV437" i="11"/>
  <c r="BW437" i="11"/>
  <c r="BX437" i="11"/>
  <c r="BY437" i="11"/>
  <c r="BZ437" i="11"/>
  <c r="CA437" i="11"/>
  <c r="CB437" i="11"/>
  <c r="CC437" i="11"/>
  <c r="CD437" i="11"/>
  <c r="CE437" i="11"/>
  <c r="CF437" i="11"/>
  <c r="CG437" i="11"/>
  <c r="CH437" i="11"/>
  <c r="CI437" i="11"/>
  <c r="CJ437" i="11"/>
  <c r="CK437" i="11"/>
  <c r="CL437" i="11"/>
  <c r="CM437" i="11"/>
  <c r="CN437" i="11"/>
  <c r="CO437" i="11"/>
  <c r="CP437" i="11"/>
  <c r="CQ437" i="11"/>
  <c r="CR437" i="11"/>
  <c r="CS437" i="11"/>
  <c r="CT437" i="11"/>
  <c r="CU437" i="11"/>
  <c r="CV437" i="11"/>
  <c r="CW437" i="11"/>
  <c r="CX437" i="11"/>
  <c r="CY437" i="11"/>
  <c r="CZ437" i="11"/>
  <c r="DA437" i="11"/>
  <c r="DB437" i="11"/>
  <c r="DC437" i="11"/>
  <c r="DD437" i="11"/>
  <c r="DE437" i="11"/>
  <c r="DF437" i="11"/>
  <c r="DG437" i="11"/>
  <c r="DH437" i="11"/>
  <c r="DI437" i="11"/>
  <c r="DJ437" i="11"/>
  <c r="DK437" i="11"/>
  <c r="DL437" i="11"/>
  <c r="DM437" i="11"/>
  <c r="DN437" i="11"/>
  <c r="DO437" i="11"/>
  <c r="DP437" i="11"/>
  <c r="DQ437" i="11"/>
  <c r="DR437" i="11"/>
  <c r="DS437" i="11"/>
  <c r="DT437" i="11"/>
  <c r="DU437" i="11"/>
  <c r="DV437" i="11"/>
  <c r="DW437" i="11"/>
  <c r="DX437" i="11"/>
  <c r="DY437" i="11"/>
  <c r="DZ437" i="11"/>
  <c r="EA437" i="11"/>
  <c r="EB437" i="11"/>
  <c r="EC437" i="11"/>
  <c r="ED437" i="11"/>
  <c r="EE437" i="11"/>
  <c r="EF437" i="11"/>
  <c r="EG437" i="11"/>
  <c r="EH437" i="11"/>
  <c r="EI437" i="11"/>
  <c r="EJ437" i="11"/>
  <c r="EK437" i="11"/>
  <c r="EL437" i="11"/>
  <c r="EM437" i="11"/>
  <c r="EN437" i="11"/>
  <c r="EO437" i="11"/>
  <c r="EP437" i="11"/>
  <c r="EQ437" i="11"/>
  <c r="ER437" i="11"/>
  <c r="ES437" i="11"/>
  <c r="ET437" i="11"/>
  <c r="EU437" i="11"/>
  <c r="EV437" i="11"/>
  <c r="EW437" i="11"/>
  <c r="EX437" i="11"/>
  <c r="EY437" i="11"/>
  <c r="EZ437" i="11"/>
  <c r="FA437" i="11"/>
  <c r="FB437" i="11"/>
  <c r="FC437" i="11"/>
  <c r="FD437" i="11"/>
  <c r="FE437" i="11"/>
  <c r="FF437" i="11"/>
  <c r="FG437" i="11"/>
  <c r="FH437" i="11"/>
  <c r="FI437" i="11"/>
  <c r="FJ437" i="11"/>
  <c r="FK437" i="11"/>
  <c r="FL437" i="11"/>
  <c r="FM437" i="11"/>
  <c r="FN437" i="11"/>
  <c r="FO437" i="11"/>
  <c r="FP437" i="11"/>
  <c r="FQ437" i="11"/>
  <c r="FR437" i="11"/>
  <c r="FS437" i="11"/>
  <c r="FT437" i="11"/>
  <c r="FU437" i="11"/>
  <c r="FV437" i="11"/>
  <c r="FW437" i="11"/>
  <c r="FX437" i="11"/>
  <c r="FY437" i="11"/>
  <c r="FZ437" i="11"/>
  <c r="GA437" i="11"/>
  <c r="GB437" i="11"/>
  <c r="GC437" i="11"/>
  <c r="GD437" i="11"/>
  <c r="GE437" i="11"/>
  <c r="GF437" i="11"/>
  <c r="GG437" i="11"/>
  <c r="GH437" i="11"/>
  <c r="GI437" i="11"/>
  <c r="GJ437" i="11"/>
  <c r="GK437" i="11"/>
  <c r="GL437" i="11"/>
  <c r="GM437" i="11"/>
  <c r="GN437" i="11"/>
  <c r="GO437" i="11"/>
  <c r="GP437" i="11"/>
  <c r="GQ437" i="11"/>
  <c r="GR437" i="11"/>
  <c r="GS437" i="11"/>
  <c r="GT437" i="11"/>
  <c r="GU437" i="11"/>
  <c r="GV437" i="11"/>
  <c r="GW437" i="11"/>
  <c r="GX437" i="11"/>
  <c r="GY437" i="11"/>
  <c r="GZ437" i="11"/>
  <c r="HA437" i="11"/>
  <c r="HB437" i="11"/>
  <c r="HC437" i="11"/>
  <c r="HD437" i="11"/>
  <c r="HE437" i="11"/>
  <c r="HF437" i="11"/>
  <c r="HG437" i="11"/>
  <c r="HH437" i="11"/>
  <c r="HI437" i="11"/>
  <c r="HJ437" i="11"/>
  <c r="HK437" i="11"/>
  <c r="HL437" i="11"/>
  <c r="HM437" i="11"/>
  <c r="HN437" i="11"/>
  <c r="HO437" i="11"/>
  <c r="HP437" i="11"/>
  <c r="HQ437" i="11"/>
  <c r="HR437" i="11"/>
  <c r="HS437" i="11"/>
  <c r="HT437" i="11"/>
  <c r="HU437" i="11"/>
  <c r="HV437" i="11"/>
  <c r="HW437" i="11"/>
  <c r="HX437" i="11"/>
  <c r="HY437" i="11"/>
  <c r="HZ437" i="11"/>
  <c r="IA437" i="11"/>
  <c r="IB437" i="11"/>
  <c r="IC437" i="11"/>
  <c r="ID437" i="11"/>
  <c r="IE437" i="11"/>
  <c r="IF437" i="11"/>
  <c r="IG437" i="11"/>
  <c r="IH437" i="11"/>
  <c r="II437" i="11"/>
  <c r="IJ437" i="11"/>
  <c r="IK437" i="11"/>
  <c r="IL437" i="11"/>
  <c r="IM437" i="11"/>
  <c r="IN437" i="11"/>
  <c r="IO437" i="11"/>
  <c r="IP437" i="11"/>
  <c r="IQ437" i="11"/>
  <c r="IR437" i="11"/>
  <c r="IS437" i="11"/>
  <c r="IT437" i="11"/>
  <c r="IU437" i="11"/>
  <c r="IV437" i="11"/>
  <c r="F438" i="11"/>
  <c r="G438" i="11"/>
  <c r="H438" i="11"/>
  <c r="I438" i="11"/>
  <c r="J438" i="11"/>
  <c r="K438" i="11"/>
  <c r="L438" i="11"/>
  <c r="M438" i="11"/>
  <c r="N438" i="11"/>
  <c r="O438" i="11"/>
  <c r="P438" i="11"/>
  <c r="Q438" i="11"/>
  <c r="R438" i="11"/>
  <c r="S438" i="11"/>
  <c r="T438" i="11"/>
  <c r="U438" i="11"/>
  <c r="V438" i="11"/>
  <c r="W438" i="11"/>
  <c r="X438" i="11"/>
  <c r="Y438" i="11"/>
  <c r="Z438" i="11"/>
  <c r="AA438" i="11"/>
  <c r="AB438" i="11"/>
  <c r="AC438" i="11"/>
  <c r="AD438" i="11"/>
  <c r="AE438" i="11"/>
  <c r="AF438" i="11"/>
  <c r="AG438" i="11"/>
  <c r="AH438" i="11"/>
  <c r="AI438" i="11"/>
  <c r="AJ438" i="11"/>
  <c r="AK438" i="11"/>
  <c r="AL438" i="11"/>
  <c r="AM438" i="11"/>
  <c r="AN438" i="11"/>
  <c r="AO438" i="11"/>
  <c r="AP438" i="11"/>
  <c r="AQ438" i="11"/>
  <c r="AR438" i="11"/>
  <c r="AS438" i="11"/>
  <c r="AT438" i="11"/>
  <c r="AU438" i="11"/>
  <c r="AV438" i="11"/>
  <c r="AW438" i="11"/>
  <c r="AX438" i="11"/>
  <c r="AY438" i="11"/>
  <c r="AZ438" i="11"/>
  <c r="BA438" i="11"/>
  <c r="BB438" i="11"/>
  <c r="BC438" i="11"/>
  <c r="BD438" i="11"/>
  <c r="BE438" i="11"/>
  <c r="BF438" i="11"/>
  <c r="BG438" i="11"/>
  <c r="BH438" i="11"/>
  <c r="BI438" i="11"/>
  <c r="BJ438" i="11"/>
  <c r="BK438" i="11"/>
  <c r="BL438" i="11"/>
  <c r="BM438" i="11"/>
  <c r="BN438" i="11"/>
  <c r="BO438" i="11"/>
  <c r="BP438" i="11"/>
  <c r="BQ438" i="11"/>
  <c r="BR438" i="11"/>
  <c r="BS438" i="11"/>
  <c r="BT438" i="11"/>
  <c r="BU438" i="11"/>
  <c r="BV438" i="11"/>
  <c r="BW438" i="11"/>
  <c r="BX438" i="11"/>
  <c r="BY438" i="11"/>
  <c r="BZ438" i="11"/>
  <c r="CA438" i="11"/>
  <c r="CB438" i="11"/>
  <c r="CC438" i="11"/>
  <c r="CD438" i="11"/>
  <c r="CE438" i="11"/>
  <c r="CF438" i="11"/>
  <c r="CG438" i="11"/>
  <c r="CH438" i="11"/>
  <c r="CI438" i="11"/>
  <c r="CJ438" i="11"/>
  <c r="CK438" i="11"/>
  <c r="CL438" i="11"/>
  <c r="CM438" i="11"/>
  <c r="CN438" i="11"/>
  <c r="CO438" i="11"/>
  <c r="CP438" i="11"/>
  <c r="CQ438" i="11"/>
  <c r="CR438" i="11"/>
  <c r="CS438" i="11"/>
  <c r="CT438" i="11"/>
  <c r="CU438" i="11"/>
  <c r="CV438" i="11"/>
  <c r="CW438" i="11"/>
  <c r="CX438" i="11"/>
  <c r="CY438" i="11"/>
  <c r="CZ438" i="11"/>
  <c r="DA438" i="11"/>
  <c r="DB438" i="11"/>
  <c r="DC438" i="11"/>
  <c r="DD438" i="11"/>
  <c r="DE438" i="11"/>
  <c r="DF438" i="11"/>
  <c r="DG438" i="11"/>
  <c r="DH438" i="11"/>
  <c r="DI438" i="11"/>
  <c r="DJ438" i="11"/>
  <c r="DK438" i="11"/>
  <c r="DL438" i="11"/>
  <c r="DM438" i="11"/>
  <c r="DN438" i="11"/>
  <c r="DO438" i="11"/>
  <c r="DP438" i="11"/>
  <c r="DQ438" i="11"/>
  <c r="DR438" i="11"/>
  <c r="DS438" i="11"/>
  <c r="DT438" i="11"/>
  <c r="DU438" i="11"/>
  <c r="DV438" i="11"/>
  <c r="DW438" i="11"/>
  <c r="DX438" i="11"/>
  <c r="DY438" i="11"/>
  <c r="DZ438" i="11"/>
  <c r="EA438" i="11"/>
  <c r="EB438" i="11"/>
  <c r="EC438" i="11"/>
  <c r="ED438" i="11"/>
  <c r="EE438" i="11"/>
  <c r="EF438" i="11"/>
  <c r="EG438" i="11"/>
  <c r="EH438" i="11"/>
  <c r="EI438" i="11"/>
  <c r="EJ438" i="11"/>
  <c r="EK438" i="11"/>
  <c r="EL438" i="11"/>
  <c r="EM438" i="11"/>
  <c r="EN438" i="11"/>
  <c r="EO438" i="11"/>
  <c r="EP438" i="11"/>
  <c r="EQ438" i="11"/>
  <c r="ER438" i="11"/>
  <c r="ES438" i="11"/>
  <c r="ET438" i="11"/>
  <c r="EU438" i="11"/>
  <c r="EV438" i="11"/>
  <c r="EW438" i="11"/>
  <c r="EX438" i="11"/>
  <c r="EY438" i="11"/>
  <c r="EZ438" i="11"/>
  <c r="FA438" i="11"/>
  <c r="FB438" i="11"/>
  <c r="FC438" i="11"/>
  <c r="FD438" i="11"/>
  <c r="FE438" i="11"/>
  <c r="FF438" i="11"/>
  <c r="FG438" i="11"/>
  <c r="FH438" i="11"/>
  <c r="FI438" i="11"/>
  <c r="FJ438" i="11"/>
  <c r="FK438" i="11"/>
  <c r="FL438" i="11"/>
  <c r="FM438" i="11"/>
  <c r="FN438" i="11"/>
  <c r="FO438" i="11"/>
  <c r="FP438" i="11"/>
  <c r="FQ438" i="11"/>
  <c r="FR438" i="11"/>
  <c r="FS438" i="11"/>
  <c r="FT438" i="11"/>
  <c r="FU438" i="11"/>
  <c r="FV438" i="11"/>
  <c r="FW438" i="11"/>
  <c r="FX438" i="11"/>
  <c r="FY438" i="11"/>
  <c r="FZ438" i="11"/>
  <c r="GA438" i="11"/>
  <c r="GB438" i="11"/>
  <c r="GC438" i="11"/>
  <c r="GD438" i="11"/>
  <c r="GE438" i="11"/>
  <c r="GF438" i="11"/>
  <c r="GG438" i="11"/>
  <c r="GH438" i="11"/>
  <c r="GI438" i="11"/>
  <c r="GJ438" i="11"/>
  <c r="GK438" i="11"/>
  <c r="GL438" i="11"/>
  <c r="GM438" i="11"/>
  <c r="GN438" i="11"/>
  <c r="GO438" i="11"/>
  <c r="GP438" i="11"/>
  <c r="GQ438" i="11"/>
  <c r="GR438" i="11"/>
  <c r="GS438" i="11"/>
  <c r="GT438" i="11"/>
  <c r="GU438" i="11"/>
  <c r="GV438" i="11"/>
  <c r="GW438" i="11"/>
  <c r="GX438" i="11"/>
  <c r="GY438" i="11"/>
  <c r="GZ438" i="11"/>
  <c r="HA438" i="11"/>
  <c r="HB438" i="11"/>
  <c r="HC438" i="11"/>
  <c r="HD438" i="11"/>
  <c r="HE438" i="11"/>
  <c r="HF438" i="11"/>
  <c r="HG438" i="11"/>
  <c r="HH438" i="11"/>
  <c r="HI438" i="11"/>
  <c r="HJ438" i="11"/>
  <c r="HK438" i="11"/>
  <c r="HL438" i="11"/>
  <c r="HM438" i="11"/>
  <c r="HN438" i="11"/>
  <c r="HO438" i="11"/>
  <c r="HP438" i="11"/>
  <c r="HQ438" i="11"/>
  <c r="HR438" i="11"/>
  <c r="HS438" i="11"/>
  <c r="HT438" i="11"/>
  <c r="HU438" i="11"/>
  <c r="HV438" i="11"/>
  <c r="HW438" i="11"/>
  <c r="HX438" i="11"/>
  <c r="HY438" i="11"/>
  <c r="HZ438" i="11"/>
  <c r="IA438" i="11"/>
  <c r="IB438" i="11"/>
  <c r="IC438" i="11"/>
  <c r="ID438" i="11"/>
  <c r="IE438" i="11"/>
  <c r="IF438" i="11"/>
  <c r="IG438" i="11"/>
  <c r="IH438" i="11"/>
  <c r="II438" i="11"/>
  <c r="IJ438" i="11"/>
  <c r="IK438" i="11"/>
  <c r="IL438" i="11"/>
  <c r="IM438" i="11"/>
  <c r="IN438" i="11"/>
  <c r="IO438" i="11"/>
  <c r="IP438" i="11"/>
  <c r="IQ438" i="11"/>
  <c r="IR438" i="11"/>
  <c r="IS438" i="11"/>
  <c r="IT438" i="11"/>
  <c r="IU438" i="11"/>
  <c r="IV438" i="11"/>
  <c r="F439" i="11"/>
  <c r="G439" i="11"/>
  <c r="H439" i="11"/>
  <c r="I439" i="11"/>
  <c r="J439" i="11"/>
  <c r="K439" i="11"/>
  <c r="L439" i="11"/>
  <c r="M439" i="11"/>
  <c r="N439" i="11"/>
  <c r="O439" i="11"/>
  <c r="P439" i="11"/>
  <c r="Q439" i="11"/>
  <c r="R439" i="11"/>
  <c r="S439" i="11"/>
  <c r="T439" i="11"/>
  <c r="U439" i="11"/>
  <c r="V439" i="11"/>
  <c r="W439" i="11"/>
  <c r="X439" i="11"/>
  <c r="Y439" i="11"/>
  <c r="Z439" i="11"/>
  <c r="AA439" i="11"/>
  <c r="AB439" i="11"/>
  <c r="AC439" i="11"/>
  <c r="AD439" i="11"/>
  <c r="AE439" i="11"/>
  <c r="AF439" i="11"/>
  <c r="AG439" i="11"/>
  <c r="AH439" i="11"/>
  <c r="AI439" i="11"/>
  <c r="AJ439" i="11"/>
  <c r="AK439" i="11"/>
  <c r="AL439" i="11"/>
  <c r="AM439" i="11"/>
  <c r="AN439" i="11"/>
  <c r="AO439" i="11"/>
  <c r="AP439" i="11"/>
  <c r="AQ439" i="11"/>
  <c r="AR439" i="11"/>
  <c r="AS439" i="11"/>
  <c r="AT439" i="11"/>
  <c r="AU439" i="11"/>
  <c r="AV439" i="11"/>
  <c r="AW439" i="11"/>
  <c r="AX439" i="11"/>
  <c r="AY439" i="11"/>
  <c r="AZ439" i="11"/>
  <c r="BA439" i="11"/>
  <c r="BB439" i="11"/>
  <c r="BC439" i="11"/>
  <c r="BD439" i="11"/>
  <c r="BE439" i="11"/>
  <c r="BF439" i="11"/>
  <c r="BG439" i="11"/>
  <c r="BH439" i="11"/>
  <c r="BI439" i="11"/>
  <c r="BJ439" i="11"/>
  <c r="BK439" i="11"/>
  <c r="BL439" i="11"/>
  <c r="BM439" i="11"/>
  <c r="BN439" i="11"/>
  <c r="BO439" i="11"/>
  <c r="BP439" i="11"/>
  <c r="BQ439" i="11"/>
  <c r="BR439" i="11"/>
  <c r="BS439" i="11"/>
  <c r="BT439" i="11"/>
  <c r="BU439" i="11"/>
  <c r="BV439" i="11"/>
  <c r="BW439" i="11"/>
  <c r="BX439" i="11"/>
  <c r="BY439" i="11"/>
  <c r="BZ439" i="11"/>
  <c r="CA439" i="11"/>
  <c r="CB439" i="11"/>
  <c r="CC439" i="11"/>
  <c r="CD439" i="11"/>
  <c r="CE439" i="11"/>
  <c r="CF439" i="11"/>
  <c r="CG439" i="11"/>
  <c r="CH439" i="11"/>
  <c r="CI439" i="11"/>
  <c r="CJ439" i="11"/>
  <c r="CK439" i="11"/>
  <c r="CL439" i="11"/>
  <c r="CM439" i="11"/>
  <c r="CN439" i="11"/>
  <c r="CO439" i="11"/>
  <c r="CP439" i="11"/>
  <c r="CQ439" i="11"/>
  <c r="CR439" i="11"/>
  <c r="CS439" i="11"/>
  <c r="CT439" i="11"/>
  <c r="CU439" i="11"/>
  <c r="CV439" i="11"/>
  <c r="CW439" i="11"/>
  <c r="CX439" i="11"/>
  <c r="CY439" i="11"/>
  <c r="CZ439" i="11"/>
  <c r="DA439" i="11"/>
  <c r="DB439" i="11"/>
  <c r="DC439" i="11"/>
  <c r="DD439" i="11"/>
  <c r="DE439" i="11"/>
  <c r="DF439" i="11"/>
  <c r="DG439" i="11"/>
  <c r="DH439" i="11"/>
  <c r="DI439" i="11"/>
  <c r="DJ439" i="11"/>
  <c r="DK439" i="11"/>
  <c r="DL439" i="11"/>
  <c r="DM439" i="11"/>
  <c r="DN439" i="11"/>
  <c r="DO439" i="11"/>
  <c r="DP439" i="11"/>
  <c r="DQ439" i="11"/>
  <c r="DR439" i="11"/>
  <c r="DS439" i="11"/>
  <c r="DT439" i="11"/>
  <c r="DU439" i="11"/>
  <c r="DV439" i="11"/>
  <c r="DW439" i="11"/>
  <c r="DX439" i="11"/>
  <c r="DY439" i="11"/>
  <c r="DZ439" i="11"/>
  <c r="EA439" i="11"/>
  <c r="EB439" i="11"/>
  <c r="EC439" i="11"/>
  <c r="ED439" i="11"/>
  <c r="EE439" i="11"/>
  <c r="EF439" i="11"/>
  <c r="EG439" i="11"/>
  <c r="EH439" i="11"/>
  <c r="EI439" i="11"/>
  <c r="EJ439" i="11"/>
  <c r="EK439" i="11"/>
  <c r="EL439" i="11"/>
  <c r="EM439" i="11"/>
  <c r="EN439" i="11"/>
  <c r="EO439" i="11"/>
  <c r="EP439" i="11"/>
  <c r="EQ439" i="11"/>
  <c r="ER439" i="11"/>
  <c r="ES439" i="11"/>
  <c r="ET439" i="11"/>
  <c r="EU439" i="11"/>
  <c r="EV439" i="11"/>
  <c r="EW439" i="11"/>
  <c r="EX439" i="11"/>
  <c r="EY439" i="11"/>
  <c r="EZ439" i="11"/>
  <c r="FA439" i="11"/>
  <c r="FB439" i="11"/>
  <c r="FC439" i="11"/>
  <c r="FD439" i="11"/>
  <c r="FE439" i="11"/>
  <c r="FF439" i="11"/>
  <c r="FG439" i="11"/>
  <c r="FH439" i="11"/>
  <c r="FI439" i="11"/>
  <c r="FJ439" i="11"/>
  <c r="FK439" i="11"/>
  <c r="FL439" i="11"/>
  <c r="FM439" i="11"/>
  <c r="FN439" i="11"/>
  <c r="FO439" i="11"/>
  <c r="FP439" i="11"/>
  <c r="FQ439" i="11"/>
  <c r="FR439" i="11"/>
  <c r="FS439" i="11"/>
  <c r="FT439" i="11"/>
  <c r="FU439" i="11"/>
  <c r="FV439" i="11"/>
  <c r="FW439" i="11"/>
  <c r="FX439" i="11"/>
  <c r="FY439" i="11"/>
  <c r="FZ439" i="11"/>
  <c r="GA439" i="11"/>
  <c r="GB439" i="11"/>
  <c r="GC439" i="11"/>
  <c r="GD439" i="11"/>
  <c r="GE439" i="11"/>
  <c r="GF439" i="11"/>
  <c r="GG439" i="11"/>
  <c r="GH439" i="11"/>
  <c r="GI439" i="11"/>
  <c r="GJ439" i="11"/>
  <c r="GK439" i="11"/>
  <c r="GL439" i="11"/>
  <c r="GM439" i="11"/>
  <c r="GN439" i="11"/>
  <c r="GO439" i="11"/>
  <c r="GP439" i="11"/>
  <c r="GQ439" i="11"/>
  <c r="GR439" i="11"/>
  <c r="GS439" i="11"/>
  <c r="GT439" i="11"/>
  <c r="GU439" i="11"/>
  <c r="GV439" i="11"/>
  <c r="GW439" i="11"/>
  <c r="GX439" i="11"/>
  <c r="GY439" i="11"/>
  <c r="GZ439" i="11"/>
  <c r="HA439" i="11"/>
  <c r="HB439" i="11"/>
  <c r="HC439" i="11"/>
  <c r="HD439" i="11"/>
  <c r="HE439" i="11"/>
  <c r="HF439" i="11"/>
  <c r="HG439" i="11"/>
  <c r="HH439" i="11"/>
  <c r="HI439" i="11"/>
  <c r="HJ439" i="11"/>
  <c r="HK439" i="11"/>
  <c r="HL439" i="11"/>
  <c r="HM439" i="11"/>
  <c r="HN439" i="11"/>
  <c r="HO439" i="11"/>
  <c r="HP439" i="11"/>
  <c r="HQ439" i="11"/>
  <c r="HR439" i="11"/>
  <c r="HS439" i="11"/>
  <c r="HT439" i="11"/>
  <c r="HU439" i="11"/>
  <c r="HV439" i="11"/>
  <c r="HW439" i="11"/>
  <c r="HX439" i="11"/>
  <c r="HY439" i="11"/>
  <c r="HZ439" i="11"/>
  <c r="IA439" i="11"/>
  <c r="IB439" i="11"/>
  <c r="IC439" i="11"/>
  <c r="ID439" i="11"/>
  <c r="IE439" i="11"/>
  <c r="IF439" i="11"/>
  <c r="IG439" i="11"/>
  <c r="IH439" i="11"/>
  <c r="II439" i="11"/>
  <c r="IJ439" i="11"/>
  <c r="IK439" i="11"/>
  <c r="IL439" i="11"/>
  <c r="IM439" i="11"/>
  <c r="IN439" i="11"/>
  <c r="IO439" i="11"/>
  <c r="IP439" i="11"/>
  <c r="IQ439" i="11"/>
  <c r="IR439" i="11"/>
  <c r="IS439" i="11"/>
  <c r="IT439" i="11"/>
  <c r="IU439" i="11"/>
  <c r="IV439" i="11"/>
  <c r="F440" i="11"/>
  <c r="G440" i="11"/>
  <c r="H440" i="11"/>
  <c r="I440" i="11"/>
  <c r="J440" i="11"/>
  <c r="K440" i="11"/>
  <c r="L440" i="11"/>
  <c r="M440" i="11"/>
  <c r="N440" i="11"/>
  <c r="O440" i="11"/>
  <c r="P440" i="11"/>
  <c r="Q440" i="11"/>
  <c r="R440" i="11"/>
  <c r="S440" i="11"/>
  <c r="T440" i="11"/>
  <c r="U440" i="11"/>
  <c r="V440" i="11"/>
  <c r="W440" i="11"/>
  <c r="X440" i="11"/>
  <c r="Y440" i="11"/>
  <c r="Z440" i="11"/>
  <c r="AA440" i="11"/>
  <c r="AB440" i="11"/>
  <c r="AC440" i="11"/>
  <c r="AD440" i="11"/>
  <c r="AE440" i="11"/>
  <c r="AF440" i="11"/>
  <c r="AG440" i="11"/>
  <c r="AH440" i="11"/>
  <c r="AI440" i="11"/>
  <c r="AJ440" i="11"/>
  <c r="AK440" i="11"/>
  <c r="AL440" i="11"/>
  <c r="AM440" i="11"/>
  <c r="AN440" i="11"/>
  <c r="AO440" i="11"/>
  <c r="AP440" i="11"/>
  <c r="AQ440" i="11"/>
  <c r="AR440" i="11"/>
  <c r="AS440" i="11"/>
  <c r="AT440" i="11"/>
  <c r="AU440" i="11"/>
  <c r="AV440" i="11"/>
  <c r="AW440" i="11"/>
  <c r="AX440" i="11"/>
  <c r="AY440" i="11"/>
  <c r="AZ440" i="11"/>
  <c r="BA440" i="11"/>
  <c r="BB440" i="11"/>
  <c r="BC440" i="11"/>
  <c r="BD440" i="11"/>
  <c r="BE440" i="11"/>
  <c r="BF440" i="11"/>
  <c r="BG440" i="11"/>
  <c r="BH440" i="11"/>
  <c r="BI440" i="11"/>
  <c r="BJ440" i="11"/>
  <c r="BK440" i="11"/>
  <c r="BL440" i="11"/>
  <c r="BM440" i="11"/>
  <c r="BN440" i="11"/>
  <c r="BO440" i="11"/>
  <c r="BP440" i="11"/>
  <c r="BQ440" i="11"/>
  <c r="BR440" i="11"/>
  <c r="BS440" i="11"/>
  <c r="BT440" i="11"/>
  <c r="BU440" i="11"/>
  <c r="BV440" i="11"/>
  <c r="BW440" i="11"/>
  <c r="BX440" i="11"/>
  <c r="BY440" i="11"/>
  <c r="BZ440" i="11"/>
  <c r="CA440" i="11"/>
  <c r="CB440" i="11"/>
  <c r="CC440" i="11"/>
  <c r="CD440" i="11"/>
  <c r="CE440" i="11"/>
  <c r="CF440" i="11"/>
  <c r="CG440" i="11"/>
  <c r="CH440" i="11"/>
  <c r="CI440" i="11"/>
  <c r="CJ440" i="11"/>
  <c r="CK440" i="11"/>
  <c r="CL440" i="11"/>
  <c r="CM440" i="11"/>
  <c r="CN440" i="11"/>
  <c r="CO440" i="11"/>
  <c r="CP440" i="11"/>
  <c r="CQ440" i="11"/>
  <c r="CR440" i="11"/>
  <c r="CS440" i="11"/>
  <c r="CT440" i="11"/>
  <c r="CU440" i="11"/>
  <c r="CV440" i="11"/>
  <c r="CW440" i="11"/>
  <c r="CX440" i="11"/>
  <c r="CY440" i="11"/>
  <c r="CZ440" i="11"/>
  <c r="DA440" i="11"/>
  <c r="DB440" i="11"/>
  <c r="DC440" i="11"/>
  <c r="DD440" i="11"/>
  <c r="DE440" i="11"/>
  <c r="DF440" i="11"/>
  <c r="DG440" i="11"/>
  <c r="DH440" i="11"/>
  <c r="DI440" i="11"/>
  <c r="DJ440" i="11"/>
  <c r="DK440" i="11"/>
  <c r="DL440" i="11"/>
  <c r="DM440" i="11"/>
  <c r="DN440" i="11"/>
  <c r="DO440" i="11"/>
  <c r="DP440" i="11"/>
  <c r="DQ440" i="11"/>
  <c r="DR440" i="11"/>
  <c r="DS440" i="11"/>
  <c r="DT440" i="11"/>
  <c r="DU440" i="11"/>
  <c r="DV440" i="11"/>
  <c r="DW440" i="11"/>
  <c r="DX440" i="11"/>
  <c r="DY440" i="11"/>
  <c r="DZ440" i="11"/>
  <c r="EA440" i="11"/>
  <c r="EB440" i="11"/>
  <c r="EC440" i="11"/>
  <c r="ED440" i="11"/>
  <c r="EE440" i="11"/>
  <c r="EF440" i="11"/>
  <c r="EG440" i="11"/>
  <c r="EH440" i="11"/>
  <c r="EI440" i="11"/>
  <c r="EJ440" i="11"/>
  <c r="EK440" i="11"/>
  <c r="EL440" i="11"/>
  <c r="EM440" i="11"/>
  <c r="EN440" i="11"/>
  <c r="EO440" i="11"/>
  <c r="EP440" i="11"/>
  <c r="EQ440" i="11"/>
  <c r="ER440" i="11"/>
  <c r="ES440" i="11"/>
  <c r="ET440" i="11"/>
  <c r="EU440" i="11"/>
  <c r="EV440" i="11"/>
  <c r="EW440" i="11"/>
  <c r="EX440" i="11"/>
  <c r="EY440" i="11"/>
  <c r="EZ440" i="11"/>
  <c r="FA440" i="11"/>
  <c r="FB440" i="11"/>
  <c r="FC440" i="11"/>
  <c r="FD440" i="11"/>
  <c r="FE440" i="11"/>
  <c r="FF440" i="11"/>
  <c r="FG440" i="11"/>
  <c r="FH440" i="11"/>
  <c r="FI440" i="11"/>
  <c r="FJ440" i="11"/>
  <c r="FK440" i="11"/>
  <c r="FL440" i="11"/>
  <c r="FM440" i="11"/>
  <c r="FN440" i="11"/>
  <c r="FO440" i="11"/>
  <c r="FP440" i="11"/>
  <c r="FQ440" i="11"/>
  <c r="FR440" i="11"/>
  <c r="FS440" i="11"/>
  <c r="FT440" i="11"/>
  <c r="FU440" i="11"/>
  <c r="FV440" i="11"/>
  <c r="FW440" i="11"/>
  <c r="FX440" i="11"/>
  <c r="FY440" i="11"/>
  <c r="FZ440" i="11"/>
  <c r="GA440" i="11"/>
  <c r="GB440" i="11"/>
  <c r="GC440" i="11"/>
  <c r="GD440" i="11"/>
  <c r="GE440" i="11"/>
  <c r="GF440" i="11"/>
  <c r="GG440" i="11"/>
  <c r="GH440" i="11"/>
  <c r="GI440" i="11"/>
  <c r="GJ440" i="11"/>
  <c r="GK440" i="11"/>
  <c r="GL440" i="11"/>
  <c r="GM440" i="11"/>
  <c r="GN440" i="11"/>
  <c r="GO440" i="11"/>
  <c r="GP440" i="11"/>
  <c r="GQ440" i="11"/>
  <c r="GR440" i="11"/>
  <c r="GS440" i="11"/>
  <c r="GT440" i="11"/>
  <c r="GU440" i="11"/>
  <c r="GV440" i="11"/>
  <c r="GW440" i="11"/>
  <c r="GX440" i="11"/>
  <c r="GY440" i="11"/>
  <c r="GZ440" i="11"/>
  <c r="HA440" i="11"/>
  <c r="HB440" i="11"/>
  <c r="HC440" i="11"/>
  <c r="HD440" i="11"/>
  <c r="HE440" i="11"/>
  <c r="HF440" i="11"/>
  <c r="HG440" i="11"/>
  <c r="HH440" i="11"/>
  <c r="HI440" i="11"/>
  <c r="HJ440" i="11"/>
  <c r="HK440" i="11"/>
  <c r="HL440" i="11"/>
  <c r="HM440" i="11"/>
  <c r="HN440" i="11"/>
  <c r="HO440" i="11"/>
  <c r="HP440" i="11"/>
  <c r="HQ440" i="11"/>
  <c r="HR440" i="11"/>
  <c r="HS440" i="11"/>
  <c r="HT440" i="11"/>
  <c r="HU440" i="11"/>
  <c r="HV440" i="11"/>
  <c r="HW440" i="11"/>
  <c r="HX440" i="11"/>
  <c r="HY440" i="11"/>
  <c r="HZ440" i="11"/>
  <c r="IA440" i="11"/>
  <c r="IB440" i="11"/>
  <c r="IC440" i="11"/>
  <c r="ID440" i="11"/>
  <c r="IE440" i="11"/>
  <c r="IF440" i="11"/>
  <c r="IG440" i="11"/>
  <c r="IH440" i="11"/>
  <c r="II440" i="11"/>
  <c r="IJ440" i="11"/>
  <c r="IK440" i="11"/>
  <c r="IL440" i="11"/>
  <c r="IM440" i="11"/>
  <c r="IN440" i="11"/>
  <c r="IO440" i="11"/>
  <c r="IP440" i="11"/>
  <c r="IQ440" i="11"/>
  <c r="IR440" i="11"/>
  <c r="IS440" i="11"/>
  <c r="IT440" i="11"/>
  <c r="IU440" i="11"/>
  <c r="IV440" i="11"/>
  <c r="F441" i="11"/>
  <c r="G441" i="11"/>
  <c r="H441" i="11"/>
  <c r="I441" i="11"/>
  <c r="J441" i="11"/>
  <c r="K441" i="11"/>
  <c r="L441" i="11"/>
  <c r="M441" i="11"/>
  <c r="N441" i="11"/>
  <c r="O441" i="11"/>
  <c r="P441" i="11"/>
  <c r="Q441" i="11"/>
  <c r="R441" i="11"/>
  <c r="S441" i="11"/>
  <c r="T441" i="11"/>
  <c r="U441" i="11"/>
  <c r="V441" i="11"/>
  <c r="W441" i="11"/>
  <c r="X441" i="11"/>
  <c r="Y441" i="11"/>
  <c r="Z441" i="11"/>
  <c r="AA441" i="11"/>
  <c r="AB441" i="11"/>
  <c r="AC441" i="11"/>
  <c r="AD441" i="11"/>
  <c r="AE441" i="11"/>
  <c r="AF441" i="11"/>
  <c r="AG441" i="11"/>
  <c r="AH441" i="11"/>
  <c r="AI441" i="11"/>
  <c r="AJ441" i="11"/>
  <c r="AK441" i="11"/>
  <c r="AL441" i="11"/>
  <c r="AM441" i="11"/>
  <c r="AN441" i="11"/>
  <c r="AO441" i="11"/>
  <c r="AP441" i="11"/>
  <c r="AQ441" i="11"/>
  <c r="AR441" i="11"/>
  <c r="AS441" i="11"/>
  <c r="AT441" i="11"/>
  <c r="AU441" i="11"/>
  <c r="AV441" i="11"/>
  <c r="AW441" i="11"/>
  <c r="AX441" i="11"/>
  <c r="AY441" i="11"/>
  <c r="AZ441" i="11"/>
  <c r="BA441" i="11"/>
  <c r="BB441" i="11"/>
  <c r="BC441" i="11"/>
  <c r="BD441" i="11"/>
  <c r="BE441" i="11"/>
  <c r="BF441" i="11"/>
  <c r="BG441" i="11"/>
  <c r="BH441" i="11"/>
  <c r="BI441" i="11"/>
  <c r="BJ441" i="11"/>
  <c r="BK441" i="11"/>
  <c r="BL441" i="11"/>
  <c r="BM441" i="11"/>
  <c r="BN441" i="11"/>
  <c r="BO441" i="11"/>
  <c r="BP441" i="11"/>
  <c r="BQ441" i="11"/>
  <c r="BR441" i="11"/>
  <c r="BS441" i="11"/>
  <c r="BT441" i="11"/>
  <c r="BU441" i="11"/>
  <c r="BV441" i="11"/>
  <c r="BW441" i="11"/>
  <c r="BX441" i="11"/>
  <c r="BY441" i="11"/>
  <c r="BZ441" i="11"/>
  <c r="CA441" i="11"/>
  <c r="CB441" i="11"/>
  <c r="CC441" i="11"/>
  <c r="CD441" i="11"/>
  <c r="CE441" i="11"/>
  <c r="CF441" i="11"/>
  <c r="CG441" i="11"/>
  <c r="CH441" i="11"/>
  <c r="CI441" i="11"/>
  <c r="CJ441" i="11"/>
  <c r="CK441" i="11"/>
  <c r="CL441" i="11"/>
  <c r="CM441" i="11"/>
  <c r="CN441" i="11"/>
  <c r="CO441" i="11"/>
  <c r="CP441" i="11"/>
  <c r="CQ441" i="11"/>
  <c r="CR441" i="11"/>
  <c r="CS441" i="11"/>
  <c r="CT441" i="11"/>
  <c r="CU441" i="11"/>
  <c r="CV441" i="11"/>
  <c r="CW441" i="11"/>
  <c r="CX441" i="11"/>
  <c r="CY441" i="11"/>
  <c r="CZ441" i="11"/>
  <c r="DA441" i="11"/>
  <c r="DB441" i="11"/>
  <c r="DC441" i="11"/>
  <c r="DD441" i="11"/>
  <c r="DE441" i="11"/>
  <c r="DF441" i="11"/>
  <c r="DG441" i="11"/>
  <c r="DH441" i="11"/>
  <c r="DI441" i="11"/>
  <c r="DJ441" i="11"/>
  <c r="DK441" i="11"/>
  <c r="DL441" i="11"/>
  <c r="DM441" i="11"/>
  <c r="DN441" i="11"/>
  <c r="DO441" i="11"/>
  <c r="DP441" i="11"/>
  <c r="DQ441" i="11"/>
  <c r="DR441" i="11"/>
  <c r="DS441" i="11"/>
  <c r="DT441" i="11"/>
  <c r="DU441" i="11"/>
  <c r="DV441" i="11"/>
  <c r="DW441" i="11"/>
  <c r="DX441" i="11"/>
  <c r="DY441" i="11"/>
  <c r="DZ441" i="11"/>
  <c r="EA441" i="11"/>
  <c r="EB441" i="11"/>
  <c r="EC441" i="11"/>
  <c r="ED441" i="11"/>
  <c r="EE441" i="11"/>
  <c r="EF441" i="11"/>
  <c r="EG441" i="11"/>
  <c r="EH441" i="11"/>
  <c r="EI441" i="11"/>
  <c r="EJ441" i="11"/>
  <c r="EK441" i="11"/>
  <c r="EL441" i="11"/>
  <c r="EM441" i="11"/>
  <c r="EN441" i="11"/>
  <c r="EO441" i="11"/>
  <c r="EP441" i="11"/>
  <c r="EQ441" i="11"/>
  <c r="ER441" i="11"/>
  <c r="ES441" i="11"/>
  <c r="ET441" i="11"/>
  <c r="EU441" i="11"/>
  <c r="EV441" i="11"/>
  <c r="EW441" i="11"/>
  <c r="EX441" i="11"/>
  <c r="EY441" i="11"/>
  <c r="EZ441" i="11"/>
  <c r="FA441" i="11"/>
  <c r="FB441" i="11"/>
  <c r="FC441" i="11"/>
  <c r="FD441" i="11"/>
  <c r="FE441" i="11"/>
  <c r="FF441" i="11"/>
  <c r="FG441" i="11"/>
  <c r="FH441" i="11"/>
  <c r="FI441" i="11"/>
  <c r="FJ441" i="11"/>
  <c r="FK441" i="11"/>
  <c r="FL441" i="11"/>
  <c r="FM441" i="11"/>
  <c r="FN441" i="11"/>
  <c r="FO441" i="11"/>
  <c r="FP441" i="11"/>
  <c r="FQ441" i="11"/>
  <c r="FR441" i="11"/>
  <c r="FS441" i="11"/>
  <c r="FT441" i="11"/>
  <c r="FU441" i="11"/>
  <c r="FV441" i="11"/>
  <c r="FW441" i="11"/>
  <c r="FX441" i="11"/>
  <c r="FY441" i="11"/>
  <c r="FZ441" i="11"/>
  <c r="GA441" i="11"/>
  <c r="GB441" i="11"/>
  <c r="GC441" i="11"/>
  <c r="GD441" i="11"/>
  <c r="GE441" i="11"/>
  <c r="GF441" i="11"/>
  <c r="GG441" i="11"/>
  <c r="GH441" i="11"/>
  <c r="GI441" i="11"/>
  <c r="GJ441" i="11"/>
  <c r="GK441" i="11"/>
  <c r="GL441" i="11"/>
  <c r="GM441" i="11"/>
  <c r="GN441" i="11"/>
  <c r="GO441" i="11"/>
  <c r="GP441" i="11"/>
  <c r="GQ441" i="11"/>
  <c r="GR441" i="11"/>
  <c r="GS441" i="11"/>
  <c r="GT441" i="11"/>
  <c r="GU441" i="11"/>
  <c r="GV441" i="11"/>
  <c r="GW441" i="11"/>
  <c r="GX441" i="11"/>
  <c r="GY441" i="11"/>
  <c r="GZ441" i="11"/>
  <c r="HA441" i="11"/>
  <c r="HB441" i="11"/>
  <c r="HC441" i="11"/>
  <c r="HD441" i="11"/>
  <c r="HE441" i="11"/>
  <c r="HF441" i="11"/>
  <c r="HG441" i="11"/>
  <c r="HH441" i="11"/>
  <c r="HI441" i="11"/>
  <c r="HJ441" i="11"/>
  <c r="HK441" i="11"/>
  <c r="HL441" i="11"/>
  <c r="HM441" i="11"/>
  <c r="HN441" i="11"/>
  <c r="HO441" i="11"/>
  <c r="HP441" i="11"/>
  <c r="HQ441" i="11"/>
  <c r="HR441" i="11"/>
  <c r="HS441" i="11"/>
  <c r="HT441" i="11"/>
  <c r="HU441" i="11"/>
  <c r="HV441" i="11"/>
  <c r="HW441" i="11"/>
  <c r="HX441" i="11"/>
  <c r="HY441" i="11"/>
  <c r="HZ441" i="11"/>
  <c r="IA441" i="11"/>
  <c r="IB441" i="11"/>
  <c r="IC441" i="11"/>
  <c r="ID441" i="11"/>
  <c r="IE441" i="11"/>
  <c r="IF441" i="11"/>
  <c r="IG441" i="11"/>
  <c r="IH441" i="11"/>
  <c r="II441" i="11"/>
  <c r="IJ441" i="11"/>
  <c r="IK441" i="11"/>
  <c r="IL441" i="11"/>
  <c r="IM441" i="11"/>
  <c r="IN441" i="11"/>
  <c r="IO441" i="11"/>
  <c r="IP441" i="11"/>
  <c r="IQ441" i="11"/>
  <c r="IR441" i="11"/>
  <c r="IS441" i="11"/>
  <c r="IT441" i="11"/>
  <c r="IU441" i="11"/>
  <c r="IV441" i="11"/>
  <c r="F442" i="11"/>
  <c r="G442" i="11"/>
  <c r="H442" i="11"/>
  <c r="I442" i="11"/>
  <c r="J442" i="11"/>
  <c r="K442" i="11"/>
  <c r="L442" i="11"/>
  <c r="M442" i="11"/>
  <c r="N442" i="11"/>
  <c r="O442" i="11"/>
  <c r="P442" i="11"/>
  <c r="Q442" i="11"/>
  <c r="R442" i="11"/>
  <c r="S442" i="11"/>
  <c r="T442" i="11"/>
  <c r="U442" i="11"/>
  <c r="V442" i="11"/>
  <c r="W442" i="11"/>
  <c r="X442" i="11"/>
  <c r="Y442" i="11"/>
  <c r="Z442" i="11"/>
  <c r="AA442" i="11"/>
  <c r="AB442" i="11"/>
  <c r="AC442" i="11"/>
  <c r="AD442" i="11"/>
  <c r="AE442" i="11"/>
  <c r="AF442" i="11"/>
  <c r="AG442" i="11"/>
  <c r="AH442" i="11"/>
  <c r="AI442" i="11"/>
  <c r="AJ442" i="11"/>
  <c r="AK442" i="11"/>
  <c r="AL442" i="11"/>
  <c r="AM442" i="11"/>
  <c r="AN442" i="11"/>
  <c r="AO442" i="11"/>
  <c r="AP442" i="11"/>
  <c r="AQ442" i="11"/>
  <c r="AR442" i="11"/>
  <c r="AS442" i="11"/>
  <c r="AT442" i="11"/>
  <c r="AU442" i="11"/>
  <c r="AV442" i="11"/>
  <c r="AW442" i="11"/>
  <c r="AX442" i="11"/>
  <c r="AY442" i="11"/>
  <c r="AZ442" i="11"/>
  <c r="BA442" i="11"/>
  <c r="BB442" i="11"/>
  <c r="BC442" i="11"/>
  <c r="BD442" i="11"/>
  <c r="BE442" i="11"/>
  <c r="BF442" i="11"/>
  <c r="BG442" i="11"/>
  <c r="BH442" i="11"/>
  <c r="BI442" i="11"/>
  <c r="BJ442" i="11"/>
  <c r="BK442" i="11"/>
  <c r="BL442" i="11"/>
  <c r="BM442" i="11"/>
  <c r="BN442" i="11"/>
  <c r="BO442" i="11"/>
  <c r="BP442" i="11"/>
  <c r="BQ442" i="11"/>
  <c r="BR442" i="11"/>
  <c r="BS442" i="11"/>
  <c r="BT442" i="11"/>
  <c r="BU442" i="11"/>
  <c r="BV442" i="11"/>
  <c r="BW442" i="11"/>
  <c r="BX442" i="11"/>
  <c r="BY442" i="11"/>
  <c r="BZ442" i="11"/>
  <c r="CA442" i="11"/>
  <c r="CB442" i="11"/>
  <c r="CC442" i="11"/>
  <c r="CD442" i="11"/>
  <c r="CE442" i="11"/>
  <c r="CF442" i="11"/>
  <c r="CG442" i="11"/>
  <c r="CH442" i="11"/>
  <c r="CI442" i="11"/>
  <c r="CJ442" i="11"/>
  <c r="CK442" i="11"/>
  <c r="CL442" i="11"/>
  <c r="CM442" i="11"/>
  <c r="CN442" i="11"/>
  <c r="CO442" i="11"/>
  <c r="CP442" i="11"/>
  <c r="CQ442" i="11"/>
  <c r="CR442" i="11"/>
  <c r="CS442" i="11"/>
  <c r="CT442" i="11"/>
  <c r="CU442" i="11"/>
  <c r="CV442" i="11"/>
  <c r="CW442" i="11"/>
  <c r="CX442" i="11"/>
  <c r="CY442" i="11"/>
  <c r="CZ442" i="11"/>
  <c r="DA442" i="11"/>
  <c r="DB442" i="11"/>
  <c r="DC442" i="11"/>
  <c r="DD442" i="11"/>
  <c r="DE442" i="11"/>
  <c r="DF442" i="11"/>
  <c r="DG442" i="11"/>
  <c r="DH442" i="11"/>
  <c r="DI442" i="11"/>
  <c r="DJ442" i="11"/>
  <c r="DK442" i="11"/>
  <c r="DL442" i="11"/>
  <c r="DM442" i="11"/>
  <c r="DN442" i="11"/>
  <c r="DO442" i="11"/>
  <c r="DP442" i="11"/>
  <c r="DQ442" i="11"/>
  <c r="DR442" i="11"/>
  <c r="DS442" i="11"/>
  <c r="DT442" i="11"/>
  <c r="DU442" i="11"/>
  <c r="DV442" i="11"/>
  <c r="DW442" i="11"/>
  <c r="DX442" i="11"/>
  <c r="DY442" i="11"/>
  <c r="DZ442" i="11"/>
  <c r="EA442" i="11"/>
  <c r="EB442" i="11"/>
  <c r="EC442" i="11"/>
  <c r="ED442" i="11"/>
  <c r="EE442" i="11"/>
  <c r="EF442" i="11"/>
  <c r="EG442" i="11"/>
  <c r="EH442" i="11"/>
  <c r="EI442" i="11"/>
  <c r="EJ442" i="11"/>
  <c r="EK442" i="11"/>
  <c r="EL442" i="11"/>
  <c r="EM442" i="11"/>
  <c r="EN442" i="11"/>
  <c r="EO442" i="11"/>
  <c r="EP442" i="11"/>
  <c r="EQ442" i="11"/>
  <c r="ER442" i="11"/>
  <c r="ES442" i="11"/>
  <c r="ET442" i="11"/>
  <c r="EU442" i="11"/>
  <c r="EV442" i="11"/>
  <c r="EW442" i="11"/>
  <c r="EX442" i="11"/>
  <c r="EY442" i="11"/>
  <c r="EZ442" i="11"/>
  <c r="FA442" i="11"/>
  <c r="FB442" i="11"/>
  <c r="FC442" i="11"/>
  <c r="FD442" i="11"/>
  <c r="FE442" i="11"/>
  <c r="FF442" i="11"/>
  <c r="FG442" i="11"/>
  <c r="FH442" i="11"/>
  <c r="FI442" i="11"/>
  <c r="FJ442" i="11"/>
  <c r="FK442" i="11"/>
  <c r="FL442" i="11"/>
  <c r="FM442" i="11"/>
  <c r="FN442" i="11"/>
  <c r="FO442" i="11"/>
  <c r="FP442" i="11"/>
  <c r="FQ442" i="11"/>
  <c r="FR442" i="11"/>
  <c r="FS442" i="11"/>
  <c r="FT442" i="11"/>
  <c r="FU442" i="11"/>
  <c r="FV442" i="11"/>
  <c r="FW442" i="11"/>
  <c r="FX442" i="11"/>
  <c r="FY442" i="11"/>
  <c r="FZ442" i="11"/>
  <c r="GA442" i="11"/>
  <c r="GB442" i="11"/>
  <c r="GC442" i="11"/>
  <c r="GD442" i="11"/>
  <c r="GE442" i="11"/>
  <c r="GF442" i="11"/>
  <c r="GG442" i="11"/>
  <c r="GH442" i="11"/>
  <c r="GI442" i="11"/>
  <c r="GJ442" i="11"/>
  <c r="GK442" i="11"/>
  <c r="GL442" i="11"/>
  <c r="GM442" i="11"/>
  <c r="GN442" i="11"/>
  <c r="GO442" i="11"/>
  <c r="GP442" i="11"/>
  <c r="GQ442" i="11"/>
  <c r="GR442" i="11"/>
  <c r="GS442" i="11"/>
  <c r="GT442" i="11"/>
  <c r="GU442" i="11"/>
  <c r="GV442" i="11"/>
  <c r="GW442" i="11"/>
  <c r="GX442" i="11"/>
  <c r="GY442" i="11"/>
  <c r="GZ442" i="11"/>
  <c r="HA442" i="11"/>
  <c r="HB442" i="11"/>
  <c r="HC442" i="11"/>
  <c r="HD442" i="11"/>
  <c r="HE442" i="11"/>
  <c r="HF442" i="11"/>
  <c r="HG442" i="11"/>
  <c r="HH442" i="11"/>
  <c r="HI442" i="11"/>
  <c r="HJ442" i="11"/>
  <c r="HK442" i="11"/>
  <c r="HL442" i="11"/>
  <c r="HM442" i="11"/>
  <c r="HN442" i="11"/>
  <c r="HO442" i="11"/>
  <c r="HP442" i="11"/>
  <c r="HQ442" i="11"/>
  <c r="HR442" i="11"/>
  <c r="HS442" i="11"/>
  <c r="HT442" i="11"/>
  <c r="HU442" i="11"/>
  <c r="HV442" i="11"/>
  <c r="HW442" i="11"/>
  <c r="HX442" i="11"/>
  <c r="HY442" i="11"/>
  <c r="HZ442" i="11"/>
  <c r="IA442" i="11"/>
  <c r="IB442" i="11"/>
  <c r="IC442" i="11"/>
  <c r="ID442" i="11"/>
  <c r="IE442" i="11"/>
  <c r="IF442" i="11"/>
  <c r="IG442" i="11"/>
  <c r="IH442" i="11"/>
  <c r="II442" i="11"/>
  <c r="IJ442" i="11"/>
  <c r="IK442" i="11"/>
  <c r="IL442" i="11"/>
  <c r="IM442" i="11"/>
  <c r="IN442" i="11"/>
  <c r="IO442" i="11"/>
  <c r="IP442" i="11"/>
  <c r="IQ442" i="11"/>
  <c r="IR442" i="11"/>
  <c r="IS442" i="11"/>
  <c r="IT442" i="11"/>
  <c r="IU442" i="11"/>
  <c r="IV442" i="11"/>
  <c r="F443" i="11"/>
  <c r="G443" i="11"/>
  <c r="H443" i="11"/>
  <c r="I443" i="11"/>
  <c r="J443" i="11"/>
  <c r="K443" i="11"/>
  <c r="L443" i="11"/>
  <c r="M443" i="11"/>
  <c r="N443" i="11"/>
  <c r="O443" i="11"/>
  <c r="P443" i="11"/>
  <c r="Q443" i="11"/>
  <c r="R443" i="11"/>
  <c r="S443" i="11"/>
  <c r="T443" i="11"/>
  <c r="U443" i="11"/>
  <c r="V443" i="11"/>
  <c r="W443" i="11"/>
  <c r="X443" i="11"/>
  <c r="Y443" i="11"/>
  <c r="Z443" i="11"/>
  <c r="AA443" i="11"/>
  <c r="AB443" i="11"/>
  <c r="AC443" i="11"/>
  <c r="AD443" i="11"/>
  <c r="AE443" i="11"/>
  <c r="AF443" i="11"/>
  <c r="AG443" i="11"/>
  <c r="AH443" i="11"/>
  <c r="AI443" i="11"/>
  <c r="AJ443" i="11"/>
  <c r="AK443" i="11"/>
  <c r="AL443" i="11"/>
  <c r="AM443" i="11"/>
  <c r="AN443" i="11"/>
  <c r="AO443" i="11"/>
  <c r="AP443" i="11"/>
  <c r="AQ443" i="11"/>
  <c r="AR443" i="11"/>
  <c r="AS443" i="11"/>
  <c r="AT443" i="11"/>
  <c r="AU443" i="11"/>
  <c r="AV443" i="11"/>
  <c r="AW443" i="11"/>
  <c r="AX443" i="11"/>
  <c r="AY443" i="11"/>
  <c r="AZ443" i="11"/>
  <c r="BA443" i="11"/>
  <c r="BB443" i="11"/>
  <c r="BC443" i="11"/>
  <c r="BD443" i="11"/>
  <c r="BE443" i="11"/>
  <c r="BF443" i="11"/>
  <c r="BG443" i="11"/>
  <c r="BH443" i="11"/>
  <c r="BI443" i="11"/>
  <c r="BJ443" i="11"/>
  <c r="BK443" i="11"/>
  <c r="BL443" i="11"/>
  <c r="BM443" i="11"/>
  <c r="BN443" i="11"/>
  <c r="BO443" i="11"/>
  <c r="BP443" i="11"/>
  <c r="BQ443" i="11"/>
  <c r="BR443" i="11"/>
  <c r="BS443" i="11"/>
  <c r="BT443" i="11"/>
  <c r="BU443" i="11"/>
  <c r="BV443" i="11"/>
  <c r="BW443" i="11"/>
  <c r="BX443" i="11"/>
  <c r="BY443" i="11"/>
  <c r="BZ443" i="11"/>
  <c r="CA443" i="11"/>
  <c r="CB443" i="11"/>
  <c r="CC443" i="11"/>
  <c r="CD443" i="11"/>
  <c r="CE443" i="11"/>
  <c r="CF443" i="11"/>
  <c r="CG443" i="11"/>
  <c r="CH443" i="11"/>
  <c r="CI443" i="11"/>
  <c r="CJ443" i="11"/>
  <c r="CK443" i="11"/>
  <c r="CL443" i="11"/>
  <c r="CM443" i="11"/>
  <c r="CN443" i="11"/>
  <c r="CO443" i="11"/>
  <c r="CP443" i="11"/>
  <c r="CQ443" i="11"/>
  <c r="CR443" i="11"/>
  <c r="CS443" i="11"/>
  <c r="CT443" i="11"/>
  <c r="CU443" i="11"/>
  <c r="CV443" i="11"/>
  <c r="CW443" i="11"/>
  <c r="CX443" i="11"/>
  <c r="CY443" i="11"/>
  <c r="CZ443" i="11"/>
  <c r="DA443" i="11"/>
  <c r="DB443" i="11"/>
  <c r="DC443" i="11"/>
  <c r="DD443" i="11"/>
  <c r="DE443" i="11"/>
  <c r="DF443" i="11"/>
  <c r="DG443" i="11"/>
  <c r="DH443" i="11"/>
  <c r="DI443" i="11"/>
  <c r="DJ443" i="11"/>
  <c r="DK443" i="11"/>
  <c r="DL443" i="11"/>
  <c r="DM443" i="11"/>
  <c r="DN443" i="11"/>
  <c r="DO443" i="11"/>
  <c r="DP443" i="11"/>
  <c r="DQ443" i="11"/>
  <c r="DR443" i="11"/>
  <c r="DS443" i="11"/>
  <c r="DT443" i="11"/>
  <c r="DU443" i="11"/>
  <c r="DV443" i="11"/>
  <c r="DW443" i="11"/>
  <c r="DX443" i="11"/>
  <c r="DY443" i="11"/>
  <c r="DZ443" i="11"/>
  <c r="EA443" i="11"/>
  <c r="EB443" i="11"/>
  <c r="EC443" i="11"/>
  <c r="ED443" i="11"/>
  <c r="EE443" i="11"/>
  <c r="EF443" i="11"/>
  <c r="EG443" i="11"/>
  <c r="EH443" i="11"/>
  <c r="EI443" i="11"/>
  <c r="EJ443" i="11"/>
  <c r="EK443" i="11"/>
  <c r="EL443" i="11"/>
  <c r="EM443" i="11"/>
  <c r="EN443" i="11"/>
  <c r="EO443" i="11"/>
  <c r="EP443" i="11"/>
  <c r="EQ443" i="11"/>
  <c r="ER443" i="11"/>
  <c r="ES443" i="11"/>
  <c r="ET443" i="11"/>
  <c r="EU443" i="11"/>
  <c r="EV443" i="11"/>
  <c r="EW443" i="11"/>
  <c r="EX443" i="11"/>
  <c r="EY443" i="11"/>
  <c r="EZ443" i="11"/>
  <c r="FA443" i="11"/>
  <c r="FB443" i="11"/>
  <c r="FC443" i="11"/>
  <c r="FD443" i="11"/>
  <c r="FE443" i="11"/>
  <c r="FF443" i="11"/>
  <c r="FG443" i="11"/>
  <c r="FH443" i="11"/>
  <c r="FI443" i="11"/>
  <c r="FJ443" i="11"/>
  <c r="FK443" i="11"/>
  <c r="FL443" i="11"/>
  <c r="FM443" i="11"/>
  <c r="FN443" i="11"/>
  <c r="FO443" i="11"/>
  <c r="FP443" i="11"/>
  <c r="FQ443" i="11"/>
  <c r="FR443" i="11"/>
  <c r="FS443" i="11"/>
  <c r="FT443" i="11"/>
  <c r="FU443" i="11"/>
  <c r="FV443" i="11"/>
  <c r="FW443" i="11"/>
  <c r="FX443" i="11"/>
  <c r="FY443" i="11"/>
  <c r="FZ443" i="11"/>
  <c r="GA443" i="11"/>
  <c r="GB443" i="11"/>
  <c r="GC443" i="11"/>
  <c r="GD443" i="11"/>
  <c r="GE443" i="11"/>
  <c r="GF443" i="11"/>
  <c r="GG443" i="11"/>
  <c r="GH443" i="11"/>
  <c r="GI443" i="11"/>
  <c r="GJ443" i="11"/>
  <c r="GK443" i="11"/>
  <c r="GL443" i="11"/>
  <c r="GM443" i="11"/>
  <c r="GN443" i="11"/>
  <c r="GO443" i="11"/>
  <c r="GP443" i="11"/>
  <c r="GQ443" i="11"/>
  <c r="GR443" i="11"/>
  <c r="GS443" i="11"/>
  <c r="GT443" i="11"/>
  <c r="GU443" i="11"/>
  <c r="GV443" i="11"/>
  <c r="GW443" i="11"/>
  <c r="GX443" i="11"/>
  <c r="GY443" i="11"/>
  <c r="GZ443" i="11"/>
  <c r="HA443" i="11"/>
  <c r="HB443" i="11"/>
  <c r="HC443" i="11"/>
  <c r="HD443" i="11"/>
  <c r="HE443" i="11"/>
  <c r="HF443" i="11"/>
  <c r="HG443" i="11"/>
  <c r="HH443" i="11"/>
  <c r="HI443" i="11"/>
  <c r="HJ443" i="11"/>
  <c r="HK443" i="11"/>
  <c r="HL443" i="11"/>
  <c r="HM443" i="11"/>
  <c r="HN443" i="11"/>
  <c r="HO443" i="11"/>
  <c r="HP443" i="11"/>
  <c r="HQ443" i="11"/>
  <c r="HR443" i="11"/>
  <c r="HS443" i="11"/>
  <c r="HT443" i="11"/>
  <c r="HU443" i="11"/>
  <c r="HV443" i="11"/>
  <c r="HW443" i="11"/>
  <c r="HX443" i="11"/>
  <c r="HY443" i="11"/>
  <c r="HZ443" i="11"/>
  <c r="IA443" i="11"/>
  <c r="IB443" i="11"/>
  <c r="IC443" i="11"/>
  <c r="ID443" i="11"/>
  <c r="IE443" i="11"/>
  <c r="IF443" i="11"/>
  <c r="IG443" i="11"/>
  <c r="IH443" i="11"/>
  <c r="II443" i="11"/>
  <c r="IJ443" i="11"/>
  <c r="IK443" i="11"/>
  <c r="IL443" i="11"/>
  <c r="IM443" i="11"/>
  <c r="IN443" i="11"/>
  <c r="IO443" i="11"/>
  <c r="IP443" i="11"/>
  <c r="IQ443" i="11"/>
  <c r="IR443" i="11"/>
  <c r="IS443" i="11"/>
  <c r="IT443" i="11"/>
  <c r="IU443" i="11"/>
  <c r="IV443" i="11"/>
  <c r="F444" i="11"/>
  <c r="G444" i="11"/>
  <c r="H444" i="11"/>
  <c r="I444" i="11"/>
  <c r="J444" i="11"/>
  <c r="K444" i="11"/>
  <c r="L444" i="11"/>
  <c r="M444" i="11"/>
  <c r="N444" i="11"/>
  <c r="O444" i="11"/>
  <c r="P444" i="11"/>
  <c r="Q444" i="11"/>
  <c r="R444" i="11"/>
  <c r="S444" i="11"/>
  <c r="T444" i="11"/>
  <c r="U444" i="11"/>
  <c r="V444" i="11"/>
  <c r="W444" i="11"/>
  <c r="X444" i="11"/>
  <c r="Y444" i="11"/>
  <c r="Z444" i="11"/>
  <c r="AA444" i="11"/>
  <c r="AB444" i="11"/>
  <c r="AC444" i="11"/>
  <c r="AD444" i="11"/>
  <c r="AE444" i="11"/>
  <c r="AF444" i="11"/>
  <c r="AG444" i="11"/>
  <c r="AH444" i="11"/>
  <c r="AI444" i="11"/>
  <c r="AJ444" i="11"/>
  <c r="AK444" i="11"/>
  <c r="AL444" i="11"/>
  <c r="AM444" i="11"/>
  <c r="AN444" i="11"/>
  <c r="AO444" i="11"/>
  <c r="AP444" i="11"/>
  <c r="AQ444" i="11"/>
  <c r="AR444" i="11"/>
  <c r="AS444" i="11"/>
  <c r="AT444" i="11"/>
  <c r="AU444" i="11"/>
  <c r="AV444" i="11"/>
  <c r="AW444" i="11"/>
  <c r="AX444" i="11"/>
  <c r="AY444" i="11"/>
  <c r="AZ444" i="11"/>
  <c r="BA444" i="11"/>
  <c r="BB444" i="11"/>
  <c r="BC444" i="11"/>
  <c r="BD444" i="11"/>
  <c r="BE444" i="11"/>
  <c r="BF444" i="11"/>
  <c r="BG444" i="11"/>
  <c r="BH444" i="11"/>
  <c r="BI444" i="11"/>
  <c r="BJ444" i="11"/>
  <c r="BK444" i="11"/>
  <c r="BL444" i="11"/>
  <c r="BM444" i="11"/>
  <c r="BN444" i="11"/>
  <c r="BO444" i="11"/>
  <c r="BP444" i="11"/>
  <c r="BQ444" i="11"/>
  <c r="BR444" i="11"/>
  <c r="BS444" i="11"/>
  <c r="BT444" i="11"/>
  <c r="BU444" i="11"/>
  <c r="BV444" i="11"/>
  <c r="BW444" i="11"/>
  <c r="BX444" i="11"/>
  <c r="BY444" i="11"/>
  <c r="BZ444" i="11"/>
  <c r="CA444" i="11"/>
  <c r="CB444" i="11"/>
  <c r="CC444" i="11"/>
  <c r="CD444" i="11"/>
  <c r="CE444" i="11"/>
  <c r="CF444" i="11"/>
  <c r="CG444" i="11"/>
  <c r="CH444" i="11"/>
  <c r="CI444" i="11"/>
  <c r="CJ444" i="11"/>
  <c r="CK444" i="11"/>
  <c r="CL444" i="11"/>
  <c r="CM444" i="11"/>
  <c r="CN444" i="11"/>
  <c r="CO444" i="11"/>
  <c r="CP444" i="11"/>
  <c r="CQ444" i="11"/>
  <c r="CR444" i="11"/>
  <c r="CS444" i="11"/>
  <c r="CT444" i="11"/>
  <c r="CU444" i="11"/>
  <c r="CV444" i="11"/>
  <c r="CW444" i="11"/>
  <c r="CX444" i="11"/>
  <c r="CY444" i="11"/>
  <c r="CZ444" i="11"/>
  <c r="DA444" i="11"/>
  <c r="DB444" i="11"/>
  <c r="DC444" i="11"/>
  <c r="DD444" i="11"/>
  <c r="DE444" i="11"/>
  <c r="DF444" i="11"/>
  <c r="DG444" i="11"/>
  <c r="DH444" i="11"/>
  <c r="DI444" i="11"/>
  <c r="DJ444" i="11"/>
  <c r="DK444" i="11"/>
  <c r="DL444" i="11"/>
  <c r="DM444" i="11"/>
  <c r="DN444" i="11"/>
  <c r="DO444" i="11"/>
  <c r="DP444" i="11"/>
  <c r="DQ444" i="11"/>
  <c r="DR444" i="11"/>
  <c r="DS444" i="11"/>
  <c r="DT444" i="11"/>
  <c r="DU444" i="11"/>
  <c r="DV444" i="11"/>
  <c r="DW444" i="11"/>
  <c r="DX444" i="11"/>
  <c r="DY444" i="11"/>
  <c r="DZ444" i="11"/>
  <c r="EA444" i="11"/>
  <c r="EB444" i="11"/>
  <c r="EC444" i="11"/>
  <c r="ED444" i="11"/>
  <c r="EE444" i="11"/>
  <c r="EF444" i="11"/>
  <c r="EG444" i="11"/>
  <c r="EH444" i="11"/>
  <c r="EI444" i="11"/>
  <c r="EJ444" i="11"/>
  <c r="EK444" i="11"/>
  <c r="EL444" i="11"/>
  <c r="EM444" i="11"/>
  <c r="EN444" i="11"/>
  <c r="EO444" i="11"/>
  <c r="EP444" i="11"/>
  <c r="EQ444" i="11"/>
  <c r="ER444" i="11"/>
  <c r="ES444" i="11"/>
  <c r="ET444" i="11"/>
  <c r="EU444" i="11"/>
  <c r="EV444" i="11"/>
  <c r="EW444" i="11"/>
  <c r="EX444" i="11"/>
  <c r="EY444" i="11"/>
  <c r="EZ444" i="11"/>
  <c r="FA444" i="11"/>
  <c r="FB444" i="11"/>
  <c r="FC444" i="11"/>
  <c r="FD444" i="11"/>
  <c r="FE444" i="11"/>
  <c r="FF444" i="11"/>
  <c r="FG444" i="11"/>
  <c r="FH444" i="11"/>
  <c r="FI444" i="11"/>
  <c r="FJ444" i="11"/>
  <c r="FK444" i="11"/>
  <c r="FL444" i="11"/>
  <c r="FM444" i="11"/>
  <c r="FN444" i="11"/>
  <c r="FO444" i="11"/>
  <c r="FP444" i="11"/>
  <c r="FQ444" i="11"/>
  <c r="FR444" i="11"/>
  <c r="FS444" i="11"/>
  <c r="FT444" i="11"/>
  <c r="FU444" i="11"/>
  <c r="FV444" i="11"/>
  <c r="FW444" i="11"/>
  <c r="FX444" i="11"/>
  <c r="FY444" i="11"/>
  <c r="FZ444" i="11"/>
  <c r="GA444" i="11"/>
  <c r="GB444" i="11"/>
  <c r="GC444" i="11"/>
  <c r="GD444" i="11"/>
  <c r="GE444" i="11"/>
  <c r="GF444" i="11"/>
  <c r="GG444" i="11"/>
  <c r="GH444" i="11"/>
  <c r="GI444" i="11"/>
  <c r="GJ444" i="11"/>
  <c r="GK444" i="11"/>
  <c r="GL444" i="11"/>
  <c r="GM444" i="11"/>
  <c r="GN444" i="11"/>
  <c r="GO444" i="11"/>
  <c r="GP444" i="11"/>
  <c r="GQ444" i="11"/>
  <c r="GR444" i="11"/>
  <c r="GS444" i="11"/>
  <c r="GT444" i="11"/>
  <c r="GU444" i="11"/>
  <c r="GV444" i="11"/>
  <c r="GW444" i="11"/>
  <c r="GX444" i="11"/>
  <c r="GY444" i="11"/>
  <c r="GZ444" i="11"/>
  <c r="HA444" i="11"/>
  <c r="HB444" i="11"/>
  <c r="HC444" i="11"/>
  <c r="HD444" i="11"/>
  <c r="HE444" i="11"/>
  <c r="HF444" i="11"/>
  <c r="HG444" i="11"/>
  <c r="HH444" i="11"/>
  <c r="HI444" i="11"/>
  <c r="HJ444" i="11"/>
  <c r="HK444" i="11"/>
  <c r="HL444" i="11"/>
  <c r="HM444" i="11"/>
  <c r="HN444" i="11"/>
  <c r="HO444" i="11"/>
  <c r="HP444" i="11"/>
  <c r="HQ444" i="11"/>
  <c r="HR444" i="11"/>
  <c r="HS444" i="11"/>
  <c r="HT444" i="11"/>
  <c r="HU444" i="11"/>
  <c r="HV444" i="11"/>
  <c r="HW444" i="11"/>
  <c r="HX444" i="11"/>
  <c r="HY444" i="11"/>
  <c r="HZ444" i="11"/>
  <c r="IA444" i="11"/>
  <c r="IB444" i="11"/>
  <c r="IC444" i="11"/>
  <c r="ID444" i="11"/>
  <c r="IE444" i="11"/>
  <c r="IF444" i="11"/>
  <c r="IG444" i="11"/>
  <c r="IH444" i="11"/>
  <c r="II444" i="11"/>
  <c r="IJ444" i="11"/>
  <c r="IK444" i="11"/>
  <c r="IL444" i="11"/>
  <c r="IM444" i="11"/>
  <c r="IN444" i="11"/>
  <c r="IO444" i="11"/>
  <c r="IP444" i="11"/>
  <c r="IQ444" i="11"/>
  <c r="IR444" i="11"/>
  <c r="IS444" i="11"/>
  <c r="IT444" i="11"/>
  <c r="IU444" i="11"/>
  <c r="IV444" i="11"/>
  <c r="F445" i="11"/>
  <c r="G445" i="11"/>
  <c r="H445" i="11"/>
  <c r="I445" i="11"/>
  <c r="J445" i="11"/>
  <c r="K445" i="11"/>
  <c r="L445" i="11"/>
  <c r="M445" i="11"/>
  <c r="N445" i="11"/>
  <c r="O445" i="11"/>
  <c r="P445" i="11"/>
  <c r="Q445" i="11"/>
  <c r="R445" i="11"/>
  <c r="S445" i="11"/>
  <c r="T445" i="11"/>
  <c r="U445" i="11"/>
  <c r="V445" i="11"/>
  <c r="W445" i="11"/>
  <c r="X445" i="11"/>
  <c r="Y445" i="11"/>
  <c r="Z445" i="11"/>
  <c r="AA445" i="11"/>
  <c r="AB445" i="11"/>
  <c r="AC445" i="11"/>
  <c r="AD445" i="11"/>
  <c r="AE445" i="11"/>
  <c r="AF445" i="11"/>
  <c r="AG445" i="11"/>
  <c r="AH445" i="11"/>
  <c r="AI445" i="11"/>
  <c r="AJ445" i="11"/>
  <c r="AK445" i="11"/>
  <c r="AL445" i="11"/>
  <c r="AM445" i="11"/>
  <c r="AN445" i="11"/>
  <c r="AO445" i="11"/>
  <c r="AP445" i="11"/>
  <c r="AQ445" i="11"/>
  <c r="AR445" i="11"/>
  <c r="AS445" i="11"/>
  <c r="AT445" i="11"/>
  <c r="AU445" i="11"/>
  <c r="AV445" i="11"/>
  <c r="AW445" i="11"/>
  <c r="AX445" i="11"/>
  <c r="AY445" i="11"/>
  <c r="AZ445" i="11"/>
  <c r="BA445" i="11"/>
  <c r="BB445" i="11"/>
  <c r="BC445" i="11"/>
  <c r="BD445" i="11"/>
  <c r="BE445" i="11"/>
  <c r="BF445" i="11"/>
  <c r="BG445" i="11"/>
  <c r="BH445" i="11"/>
  <c r="BI445" i="11"/>
  <c r="BJ445" i="11"/>
  <c r="BK445" i="11"/>
  <c r="BL445" i="11"/>
  <c r="BM445" i="11"/>
  <c r="BN445" i="11"/>
  <c r="BO445" i="11"/>
  <c r="BP445" i="11"/>
  <c r="BQ445" i="11"/>
  <c r="BR445" i="11"/>
  <c r="BS445" i="11"/>
  <c r="BT445" i="11"/>
  <c r="BU445" i="11"/>
  <c r="BV445" i="11"/>
  <c r="BW445" i="11"/>
  <c r="BX445" i="11"/>
  <c r="BY445" i="11"/>
  <c r="BZ445" i="11"/>
  <c r="CA445" i="11"/>
  <c r="CB445" i="11"/>
  <c r="CC445" i="11"/>
  <c r="CD445" i="11"/>
  <c r="CE445" i="11"/>
  <c r="CF445" i="11"/>
  <c r="CG445" i="11"/>
  <c r="CH445" i="11"/>
  <c r="CI445" i="11"/>
  <c r="CJ445" i="11"/>
  <c r="CK445" i="11"/>
  <c r="CL445" i="11"/>
  <c r="CM445" i="11"/>
  <c r="CN445" i="11"/>
  <c r="CO445" i="11"/>
  <c r="CP445" i="11"/>
  <c r="CQ445" i="11"/>
  <c r="CR445" i="11"/>
  <c r="CS445" i="11"/>
  <c r="CT445" i="11"/>
  <c r="CU445" i="11"/>
  <c r="CV445" i="11"/>
  <c r="CW445" i="11"/>
  <c r="CX445" i="11"/>
  <c r="CY445" i="11"/>
  <c r="CZ445" i="11"/>
  <c r="DA445" i="11"/>
  <c r="DB445" i="11"/>
  <c r="DC445" i="11"/>
  <c r="DD445" i="11"/>
  <c r="DE445" i="11"/>
  <c r="DF445" i="11"/>
  <c r="DG445" i="11"/>
  <c r="DH445" i="11"/>
  <c r="DI445" i="11"/>
  <c r="DJ445" i="11"/>
  <c r="DK445" i="11"/>
  <c r="DL445" i="11"/>
  <c r="DM445" i="11"/>
  <c r="DN445" i="11"/>
  <c r="DO445" i="11"/>
  <c r="DP445" i="11"/>
  <c r="DQ445" i="11"/>
  <c r="DR445" i="11"/>
  <c r="DS445" i="11"/>
  <c r="DT445" i="11"/>
  <c r="DU445" i="11"/>
  <c r="DV445" i="11"/>
  <c r="DW445" i="11"/>
  <c r="DX445" i="11"/>
  <c r="DY445" i="11"/>
  <c r="DZ445" i="11"/>
  <c r="EA445" i="11"/>
  <c r="EB445" i="11"/>
  <c r="EC445" i="11"/>
  <c r="ED445" i="11"/>
  <c r="EE445" i="11"/>
  <c r="EF445" i="11"/>
  <c r="EG445" i="11"/>
  <c r="EH445" i="11"/>
  <c r="EI445" i="11"/>
  <c r="EJ445" i="11"/>
  <c r="EK445" i="11"/>
  <c r="EL445" i="11"/>
  <c r="EM445" i="11"/>
  <c r="EN445" i="11"/>
  <c r="EO445" i="11"/>
  <c r="EP445" i="11"/>
  <c r="EQ445" i="11"/>
  <c r="ER445" i="11"/>
  <c r="ES445" i="11"/>
  <c r="ET445" i="11"/>
  <c r="EU445" i="11"/>
  <c r="EV445" i="11"/>
  <c r="EW445" i="11"/>
  <c r="EX445" i="11"/>
  <c r="EY445" i="11"/>
  <c r="EZ445" i="11"/>
  <c r="FA445" i="11"/>
  <c r="FB445" i="11"/>
  <c r="FC445" i="11"/>
  <c r="FD445" i="11"/>
  <c r="FE445" i="11"/>
  <c r="FF445" i="11"/>
  <c r="FG445" i="11"/>
  <c r="FH445" i="11"/>
  <c r="FI445" i="11"/>
  <c r="FJ445" i="11"/>
  <c r="FK445" i="11"/>
  <c r="FL445" i="11"/>
  <c r="FM445" i="11"/>
  <c r="FN445" i="11"/>
  <c r="FO445" i="11"/>
  <c r="FP445" i="11"/>
  <c r="FQ445" i="11"/>
  <c r="FR445" i="11"/>
  <c r="FS445" i="11"/>
  <c r="FT445" i="11"/>
  <c r="FU445" i="11"/>
  <c r="FV445" i="11"/>
  <c r="FW445" i="11"/>
  <c r="FX445" i="11"/>
  <c r="FY445" i="11"/>
  <c r="FZ445" i="11"/>
  <c r="GA445" i="11"/>
  <c r="GB445" i="11"/>
  <c r="GC445" i="11"/>
  <c r="GD445" i="11"/>
  <c r="GE445" i="11"/>
  <c r="GF445" i="11"/>
  <c r="GG445" i="11"/>
  <c r="GH445" i="11"/>
  <c r="GI445" i="11"/>
  <c r="GJ445" i="11"/>
  <c r="GK445" i="11"/>
  <c r="GL445" i="11"/>
  <c r="GM445" i="11"/>
  <c r="GN445" i="11"/>
  <c r="GO445" i="11"/>
  <c r="GP445" i="11"/>
  <c r="GQ445" i="11"/>
  <c r="GR445" i="11"/>
  <c r="GS445" i="11"/>
  <c r="GT445" i="11"/>
  <c r="GU445" i="11"/>
  <c r="GV445" i="11"/>
  <c r="GW445" i="11"/>
  <c r="GX445" i="11"/>
  <c r="GY445" i="11"/>
  <c r="GZ445" i="11"/>
  <c r="HA445" i="11"/>
  <c r="HB445" i="11"/>
  <c r="HC445" i="11"/>
  <c r="HD445" i="11"/>
  <c r="HE445" i="11"/>
  <c r="HF445" i="11"/>
  <c r="HG445" i="11"/>
  <c r="HH445" i="11"/>
  <c r="HI445" i="11"/>
  <c r="HJ445" i="11"/>
  <c r="HK445" i="11"/>
  <c r="HL445" i="11"/>
  <c r="HM445" i="11"/>
  <c r="HN445" i="11"/>
  <c r="HO445" i="11"/>
  <c r="HP445" i="11"/>
  <c r="HQ445" i="11"/>
  <c r="HR445" i="11"/>
  <c r="HS445" i="11"/>
  <c r="HT445" i="11"/>
  <c r="HU445" i="11"/>
  <c r="HV445" i="11"/>
  <c r="HW445" i="11"/>
  <c r="HX445" i="11"/>
  <c r="HY445" i="11"/>
  <c r="HZ445" i="11"/>
  <c r="IA445" i="11"/>
  <c r="IB445" i="11"/>
  <c r="IC445" i="11"/>
  <c r="ID445" i="11"/>
  <c r="IE445" i="11"/>
  <c r="IF445" i="11"/>
  <c r="IG445" i="11"/>
  <c r="IH445" i="11"/>
  <c r="II445" i="11"/>
  <c r="IJ445" i="11"/>
  <c r="IK445" i="11"/>
  <c r="IL445" i="11"/>
  <c r="IM445" i="11"/>
  <c r="IN445" i="11"/>
  <c r="IO445" i="11"/>
  <c r="IP445" i="11"/>
  <c r="IQ445" i="11"/>
  <c r="IR445" i="11"/>
  <c r="IS445" i="11"/>
  <c r="IT445" i="11"/>
  <c r="IU445" i="11"/>
  <c r="IV445" i="11"/>
  <c r="F446" i="11"/>
  <c r="G446" i="11"/>
  <c r="H446" i="11"/>
  <c r="I446" i="11"/>
  <c r="J446" i="11"/>
  <c r="K446" i="11"/>
  <c r="L446" i="11"/>
  <c r="M446" i="11"/>
  <c r="N446" i="11"/>
  <c r="O446" i="11"/>
  <c r="P446" i="11"/>
  <c r="Q446" i="11"/>
  <c r="R446" i="11"/>
  <c r="S446" i="11"/>
  <c r="T446" i="11"/>
  <c r="U446" i="11"/>
  <c r="V446" i="11"/>
  <c r="W446" i="11"/>
  <c r="X446" i="11"/>
  <c r="Y446" i="11"/>
  <c r="Z446" i="11"/>
  <c r="AA446" i="11"/>
  <c r="AB446" i="11"/>
  <c r="AC446" i="11"/>
  <c r="AD446" i="11"/>
  <c r="AE446" i="11"/>
  <c r="AF446" i="11"/>
  <c r="AG446" i="11"/>
  <c r="AH446" i="11"/>
  <c r="AI446" i="11"/>
  <c r="AJ446" i="11"/>
  <c r="AK446" i="11"/>
  <c r="AL446" i="11"/>
  <c r="AM446" i="11"/>
  <c r="AN446" i="11"/>
  <c r="AO446" i="11"/>
  <c r="AP446" i="11"/>
  <c r="AQ446" i="11"/>
  <c r="AR446" i="11"/>
  <c r="AS446" i="11"/>
  <c r="AT446" i="11"/>
  <c r="AU446" i="11"/>
  <c r="AV446" i="11"/>
  <c r="AW446" i="11"/>
  <c r="AX446" i="11"/>
  <c r="AY446" i="11"/>
  <c r="AZ446" i="11"/>
  <c r="BA446" i="11"/>
  <c r="BB446" i="11"/>
  <c r="BC446" i="11"/>
  <c r="BD446" i="11"/>
  <c r="BE446" i="11"/>
  <c r="BF446" i="11"/>
  <c r="BG446" i="11"/>
  <c r="BH446" i="11"/>
  <c r="BI446" i="11"/>
  <c r="BJ446" i="11"/>
  <c r="BK446" i="11"/>
  <c r="BL446" i="11"/>
  <c r="BM446" i="11"/>
  <c r="BN446" i="11"/>
  <c r="BO446" i="11"/>
  <c r="BP446" i="11"/>
  <c r="BQ446" i="11"/>
  <c r="BR446" i="11"/>
  <c r="BS446" i="11"/>
  <c r="BT446" i="11"/>
  <c r="BU446" i="11"/>
  <c r="BV446" i="11"/>
  <c r="BW446" i="11"/>
  <c r="BX446" i="11"/>
  <c r="BY446" i="11"/>
  <c r="BZ446" i="11"/>
  <c r="CA446" i="11"/>
  <c r="CB446" i="11"/>
  <c r="CC446" i="11"/>
  <c r="CD446" i="11"/>
  <c r="CE446" i="11"/>
  <c r="CF446" i="11"/>
  <c r="CG446" i="11"/>
  <c r="CH446" i="11"/>
  <c r="CI446" i="11"/>
  <c r="CJ446" i="11"/>
  <c r="CK446" i="11"/>
  <c r="CL446" i="11"/>
  <c r="CM446" i="11"/>
  <c r="CN446" i="11"/>
  <c r="CO446" i="11"/>
  <c r="CP446" i="11"/>
  <c r="CQ446" i="11"/>
  <c r="CR446" i="11"/>
  <c r="CS446" i="11"/>
  <c r="CT446" i="11"/>
  <c r="CU446" i="11"/>
  <c r="CV446" i="11"/>
  <c r="CW446" i="11"/>
  <c r="CX446" i="11"/>
  <c r="CY446" i="11"/>
  <c r="CZ446" i="11"/>
  <c r="DA446" i="11"/>
  <c r="DB446" i="11"/>
  <c r="DC446" i="11"/>
  <c r="DD446" i="11"/>
  <c r="DE446" i="11"/>
  <c r="DF446" i="11"/>
  <c r="DG446" i="11"/>
  <c r="DH446" i="11"/>
  <c r="DI446" i="11"/>
  <c r="DJ446" i="11"/>
  <c r="DK446" i="11"/>
  <c r="DL446" i="11"/>
  <c r="DM446" i="11"/>
  <c r="DN446" i="11"/>
  <c r="DO446" i="11"/>
  <c r="DP446" i="11"/>
  <c r="DQ446" i="11"/>
  <c r="DR446" i="11"/>
  <c r="DS446" i="11"/>
  <c r="DT446" i="11"/>
  <c r="DU446" i="11"/>
  <c r="DV446" i="11"/>
  <c r="DW446" i="11"/>
  <c r="DX446" i="11"/>
  <c r="DY446" i="11"/>
  <c r="DZ446" i="11"/>
  <c r="EA446" i="11"/>
  <c r="EB446" i="11"/>
  <c r="EC446" i="11"/>
  <c r="ED446" i="11"/>
  <c r="EE446" i="11"/>
  <c r="EF446" i="11"/>
  <c r="EG446" i="11"/>
  <c r="EH446" i="11"/>
  <c r="EI446" i="11"/>
  <c r="EJ446" i="11"/>
  <c r="EK446" i="11"/>
  <c r="EL446" i="11"/>
  <c r="EM446" i="11"/>
  <c r="EN446" i="11"/>
  <c r="EO446" i="11"/>
  <c r="EP446" i="11"/>
  <c r="EQ446" i="11"/>
  <c r="ER446" i="11"/>
  <c r="ES446" i="11"/>
  <c r="ET446" i="11"/>
  <c r="EU446" i="11"/>
  <c r="EV446" i="11"/>
  <c r="EW446" i="11"/>
  <c r="EX446" i="11"/>
  <c r="EY446" i="11"/>
  <c r="EZ446" i="11"/>
  <c r="FA446" i="11"/>
  <c r="FB446" i="11"/>
  <c r="FC446" i="11"/>
  <c r="FD446" i="11"/>
  <c r="FE446" i="11"/>
  <c r="FF446" i="11"/>
  <c r="FG446" i="11"/>
  <c r="FH446" i="11"/>
  <c r="FI446" i="11"/>
  <c r="FJ446" i="11"/>
  <c r="FK446" i="11"/>
  <c r="FL446" i="11"/>
  <c r="FM446" i="11"/>
  <c r="FN446" i="11"/>
  <c r="FO446" i="11"/>
  <c r="FP446" i="11"/>
  <c r="FQ446" i="11"/>
  <c r="FR446" i="11"/>
  <c r="FS446" i="11"/>
  <c r="FT446" i="11"/>
  <c r="FU446" i="11"/>
  <c r="FV446" i="11"/>
  <c r="FW446" i="11"/>
  <c r="FX446" i="11"/>
  <c r="FY446" i="11"/>
  <c r="FZ446" i="11"/>
  <c r="GA446" i="11"/>
  <c r="GB446" i="11"/>
  <c r="GC446" i="11"/>
  <c r="GD446" i="11"/>
  <c r="GE446" i="11"/>
  <c r="GF446" i="11"/>
  <c r="GG446" i="11"/>
  <c r="GH446" i="11"/>
  <c r="GI446" i="11"/>
  <c r="GJ446" i="11"/>
  <c r="GK446" i="11"/>
  <c r="GL446" i="11"/>
  <c r="GM446" i="11"/>
  <c r="GN446" i="11"/>
  <c r="GO446" i="11"/>
  <c r="GP446" i="11"/>
  <c r="GQ446" i="11"/>
  <c r="GR446" i="11"/>
  <c r="GS446" i="11"/>
  <c r="GT446" i="11"/>
  <c r="GU446" i="11"/>
  <c r="GV446" i="11"/>
  <c r="GW446" i="11"/>
  <c r="GX446" i="11"/>
  <c r="GY446" i="11"/>
  <c r="GZ446" i="11"/>
  <c r="HA446" i="11"/>
  <c r="HB446" i="11"/>
  <c r="HC446" i="11"/>
  <c r="HD446" i="11"/>
  <c r="HE446" i="11"/>
  <c r="HF446" i="11"/>
  <c r="HG446" i="11"/>
  <c r="HH446" i="11"/>
  <c r="HI446" i="11"/>
  <c r="HJ446" i="11"/>
  <c r="HK446" i="11"/>
  <c r="HL446" i="11"/>
  <c r="HM446" i="11"/>
  <c r="HN446" i="11"/>
  <c r="HO446" i="11"/>
  <c r="HP446" i="11"/>
  <c r="HQ446" i="11"/>
  <c r="HR446" i="11"/>
  <c r="HS446" i="11"/>
  <c r="HT446" i="11"/>
  <c r="HU446" i="11"/>
  <c r="HV446" i="11"/>
  <c r="HW446" i="11"/>
  <c r="HX446" i="11"/>
  <c r="HY446" i="11"/>
  <c r="HZ446" i="11"/>
  <c r="IA446" i="11"/>
  <c r="IB446" i="11"/>
  <c r="IC446" i="11"/>
  <c r="ID446" i="11"/>
  <c r="IE446" i="11"/>
  <c r="IF446" i="11"/>
  <c r="IG446" i="11"/>
  <c r="IH446" i="11"/>
  <c r="II446" i="11"/>
  <c r="IJ446" i="11"/>
  <c r="IK446" i="11"/>
  <c r="IL446" i="11"/>
  <c r="IM446" i="11"/>
  <c r="IN446" i="11"/>
  <c r="IO446" i="11"/>
  <c r="IP446" i="11"/>
  <c r="IQ446" i="11"/>
  <c r="IR446" i="11"/>
  <c r="IS446" i="11"/>
  <c r="IT446" i="11"/>
  <c r="IU446" i="11"/>
  <c r="IV446" i="11"/>
  <c r="F447" i="11"/>
  <c r="G447" i="11"/>
  <c r="H447" i="11"/>
  <c r="I447" i="11"/>
  <c r="J447" i="11"/>
  <c r="K447" i="11"/>
  <c r="L447" i="11"/>
  <c r="M447" i="11"/>
  <c r="N447" i="11"/>
  <c r="O447" i="11"/>
  <c r="P447" i="11"/>
  <c r="Q447" i="11"/>
  <c r="R447" i="11"/>
  <c r="S447" i="11"/>
  <c r="T447" i="11"/>
  <c r="U447" i="11"/>
  <c r="V447" i="11"/>
  <c r="W447" i="11"/>
  <c r="X447" i="11"/>
  <c r="Y447" i="11"/>
  <c r="Z447" i="11"/>
  <c r="AA447" i="11"/>
  <c r="AB447" i="11"/>
  <c r="AC447" i="11"/>
  <c r="AD447" i="11"/>
  <c r="AE447" i="11"/>
  <c r="AF447" i="11"/>
  <c r="AG447" i="11"/>
  <c r="AH447" i="11"/>
  <c r="AI447" i="11"/>
  <c r="AJ447" i="11"/>
  <c r="AK447" i="11"/>
  <c r="AL447" i="11"/>
  <c r="AM447" i="11"/>
  <c r="AN447" i="11"/>
  <c r="AO447" i="11"/>
  <c r="AP447" i="11"/>
  <c r="AQ447" i="11"/>
  <c r="AR447" i="11"/>
  <c r="AS447" i="11"/>
  <c r="AT447" i="11"/>
  <c r="AU447" i="11"/>
  <c r="AV447" i="11"/>
  <c r="AW447" i="11"/>
  <c r="AX447" i="11"/>
  <c r="AY447" i="11"/>
  <c r="AZ447" i="11"/>
  <c r="BA447" i="11"/>
  <c r="BB447" i="11"/>
  <c r="BC447" i="11"/>
  <c r="BD447" i="11"/>
  <c r="BE447" i="11"/>
  <c r="BF447" i="11"/>
  <c r="BG447" i="11"/>
  <c r="BH447" i="11"/>
  <c r="BI447" i="11"/>
  <c r="BJ447" i="11"/>
  <c r="BK447" i="11"/>
  <c r="BL447" i="11"/>
  <c r="BM447" i="11"/>
  <c r="BN447" i="11"/>
  <c r="BO447" i="11"/>
  <c r="BP447" i="11"/>
  <c r="BQ447" i="11"/>
  <c r="BR447" i="11"/>
  <c r="BS447" i="11"/>
  <c r="BT447" i="11"/>
  <c r="BU447" i="11"/>
  <c r="BV447" i="11"/>
  <c r="BW447" i="11"/>
  <c r="BX447" i="11"/>
  <c r="BY447" i="11"/>
  <c r="BZ447" i="11"/>
  <c r="CA447" i="11"/>
  <c r="CB447" i="11"/>
  <c r="CC447" i="11"/>
  <c r="CD447" i="11"/>
  <c r="CE447" i="11"/>
  <c r="CF447" i="11"/>
  <c r="CG447" i="11"/>
  <c r="CH447" i="11"/>
  <c r="CI447" i="11"/>
  <c r="CJ447" i="11"/>
  <c r="CK447" i="11"/>
  <c r="CL447" i="11"/>
  <c r="CM447" i="11"/>
  <c r="CN447" i="11"/>
  <c r="CO447" i="11"/>
  <c r="CP447" i="11"/>
  <c r="CQ447" i="11"/>
  <c r="CR447" i="11"/>
  <c r="CS447" i="11"/>
  <c r="CT447" i="11"/>
  <c r="CU447" i="11"/>
  <c r="CV447" i="11"/>
  <c r="CW447" i="11"/>
  <c r="CX447" i="11"/>
  <c r="CY447" i="11"/>
  <c r="CZ447" i="11"/>
  <c r="DA447" i="11"/>
  <c r="DB447" i="11"/>
  <c r="DC447" i="11"/>
  <c r="DD447" i="11"/>
  <c r="DE447" i="11"/>
  <c r="DF447" i="11"/>
  <c r="DG447" i="11"/>
  <c r="DH447" i="11"/>
  <c r="DI447" i="11"/>
  <c r="DJ447" i="11"/>
  <c r="DK447" i="11"/>
  <c r="DL447" i="11"/>
  <c r="DM447" i="11"/>
  <c r="DN447" i="11"/>
  <c r="DO447" i="11"/>
  <c r="DP447" i="11"/>
  <c r="DQ447" i="11"/>
  <c r="DR447" i="11"/>
  <c r="DS447" i="11"/>
  <c r="DT447" i="11"/>
  <c r="DU447" i="11"/>
  <c r="DV447" i="11"/>
  <c r="DW447" i="11"/>
  <c r="DX447" i="11"/>
  <c r="DY447" i="11"/>
  <c r="DZ447" i="11"/>
  <c r="EA447" i="11"/>
  <c r="EB447" i="11"/>
  <c r="EC447" i="11"/>
  <c r="ED447" i="11"/>
  <c r="EE447" i="11"/>
  <c r="EF447" i="11"/>
  <c r="EG447" i="11"/>
  <c r="EH447" i="11"/>
  <c r="EI447" i="11"/>
  <c r="EJ447" i="11"/>
  <c r="EK447" i="11"/>
  <c r="EL447" i="11"/>
  <c r="EM447" i="11"/>
  <c r="EN447" i="11"/>
  <c r="EO447" i="11"/>
  <c r="EP447" i="11"/>
  <c r="EQ447" i="11"/>
  <c r="ER447" i="11"/>
  <c r="ES447" i="11"/>
  <c r="ET447" i="11"/>
  <c r="EU447" i="11"/>
  <c r="EV447" i="11"/>
  <c r="EW447" i="11"/>
  <c r="EX447" i="11"/>
  <c r="EY447" i="11"/>
  <c r="EZ447" i="11"/>
  <c r="FA447" i="11"/>
  <c r="FB447" i="11"/>
  <c r="FC447" i="11"/>
  <c r="FD447" i="11"/>
  <c r="FE447" i="11"/>
  <c r="FF447" i="11"/>
  <c r="FG447" i="11"/>
  <c r="FH447" i="11"/>
  <c r="FI447" i="11"/>
  <c r="FJ447" i="11"/>
  <c r="FK447" i="11"/>
  <c r="FL447" i="11"/>
  <c r="FM447" i="11"/>
  <c r="FN447" i="11"/>
  <c r="FO447" i="11"/>
  <c r="FP447" i="11"/>
  <c r="FQ447" i="11"/>
  <c r="FR447" i="11"/>
  <c r="FS447" i="11"/>
  <c r="FT447" i="11"/>
  <c r="FU447" i="11"/>
  <c r="FV447" i="11"/>
  <c r="FW447" i="11"/>
  <c r="FX447" i="11"/>
  <c r="FY447" i="11"/>
  <c r="FZ447" i="11"/>
  <c r="GA447" i="11"/>
  <c r="GB447" i="11"/>
  <c r="GC447" i="11"/>
  <c r="GD447" i="11"/>
  <c r="GE447" i="11"/>
  <c r="GF447" i="11"/>
  <c r="GG447" i="11"/>
  <c r="GH447" i="11"/>
  <c r="GI447" i="11"/>
  <c r="GJ447" i="11"/>
  <c r="GK447" i="11"/>
  <c r="GL447" i="11"/>
  <c r="GM447" i="11"/>
  <c r="GN447" i="11"/>
  <c r="GO447" i="11"/>
  <c r="GP447" i="11"/>
  <c r="GQ447" i="11"/>
  <c r="GR447" i="11"/>
  <c r="GS447" i="11"/>
  <c r="GT447" i="11"/>
  <c r="GU447" i="11"/>
  <c r="GV447" i="11"/>
  <c r="GW447" i="11"/>
  <c r="GX447" i="11"/>
  <c r="GY447" i="11"/>
  <c r="GZ447" i="11"/>
  <c r="HA447" i="11"/>
  <c r="HB447" i="11"/>
  <c r="HC447" i="11"/>
  <c r="HD447" i="11"/>
  <c r="HE447" i="11"/>
  <c r="HF447" i="11"/>
  <c r="HG447" i="11"/>
  <c r="HH447" i="11"/>
  <c r="HI447" i="11"/>
  <c r="HJ447" i="11"/>
  <c r="HK447" i="11"/>
  <c r="HL447" i="11"/>
  <c r="HM447" i="11"/>
  <c r="HN447" i="11"/>
  <c r="HO447" i="11"/>
  <c r="HP447" i="11"/>
  <c r="HQ447" i="11"/>
  <c r="HR447" i="11"/>
  <c r="HS447" i="11"/>
  <c r="HT447" i="11"/>
  <c r="HU447" i="11"/>
  <c r="HV447" i="11"/>
  <c r="HW447" i="11"/>
  <c r="HX447" i="11"/>
  <c r="HY447" i="11"/>
  <c r="HZ447" i="11"/>
  <c r="IA447" i="11"/>
  <c r="IB447" i="11"/>
  <c r="IC447" i="11"/>
  <c r="ID447" i="11"/>
  <c r="IE447" i="11"/>
  <c r="IF447" i="11"/>
  <c r="IG447" i="11"/>
  <c r="IH447" i="11"/>
  <c r="II447" i="11"/>
  <c r="IJ447" i="11"/>
  <c r="IK447" i="11"/>
  <c r="IL447" i="11"/>
  <c r="IM447" i="11"/>
  <c r="IN447" i="11"/>
  <c r="IO447" i="11"/>
  <c r="IP447" i="11"/>
  <c r="IQ447" i="11"/>
  <c r="IR447" i="11"/>
  <c r="IS447" i="11"/>
  <c r="IT447" i="11"/>
  <c r="IU447" i="11"/>
  <c r="IV447" i="11"/>
  <c r="F448" i="11"/>
  <c r="G448" i="11"/>
  <c r="H448" i="11"/>
  <c r="I448" i="11"/>
  <c r="J448" i="11"/>
  <c r="K448" i="11"/>
  <c r="L448" i="11"/>
  <c r="M448" i="11"/>
  <c r="N448" i="11"/>
  <c r="O448" i="11"/>
  <c r="P448" i="11"/>
  <c r="Q448" i="11"/>
  <c r="R448" i="11"/>
  <c r="S448" i="11"/>
  <c r="T448" i="11"/>
  <c r="U448" i="11"/>
  <c r="V448" i="11"/>
  <c r="W448" i="11"/>
  <c r="X448" i="11"/>
  <c r="Y448" i="11"/>
  <c r="Z448" i="11"/>
  <c r="AA448" i="11"/>
  <c r="AB448" i="11"/>
  <c r="AC448" i="11"/>
  <c r="AD448" i="11"/>
  <c r="AE448" i="11"/>
  <c r="AF448" i="11"/>
  <c r="AG448" i="11"/>
  <c r="AH448" i="11"/>
  <c r="AI448" i="11"/>
  <c r="AJ448" i="11"/>
  <c r="AK448" i="11"/>
  <c r="AL448" i="11"/>
  <c r="AM448" i="11"/>
  <c r="AN448" i="11"/>
  <c r="AO448" i="11"/>
  <c r="AP448" i="11"/>
  <c r="AQ448" i="11"/>
  <c r="AR448" i="11"/>
  <c r="AS448" i="11"/>
  <c r="AT448" i="11"/>
  <c r="AU448" i="11"/>
  <c r="AV448" i="11"/>
  <c r="AW448" i="11"/>
  <c r="AX448" i="11"/>
  <c r="AY448" i="11"/>
  <c r="AZ448" i="11"/>
  <c r="BA448" i="11"/>
  <c r="BB448" i="11"/>
  <c r="BC448" i="11"/>
  <c r="BD448" i="11"/>
  <c r="BE448" i="11"/>
  <c r="BF448" i="11"/>
  <c r="BG448" i="11"/>
  <c r="BH448" i="11"/>
  <c r="BI448" i="11"/>
  <c r="BJ448" i="11"/>
  <c r="BK448" i="11"/>
  <c r="BL448" i="11"/>
  <c r="BM448" i="11"/>
  <c r="BN448" i="11"/>
  <c r="BO448" i="11"/>
  <c r="BP448" i="11"/>
  <c r="BQ448" i="11"/>
  <c r="BR448" i="11"/>
  <c r="BS448" i="11"/>
  <c r="BT448" i="11"/>
  <c r="BU448" i="11"/>
  <c r="BV448" i="11"/>
  <c r="BW448" i="11"/>
  <c r="BX448" i="11"/>
  <c r="BY448" i="11"/>
  <c r="BZ448" i="11"/>
  <c r="CA448" i="11"/>
  <c r="CB448" i="11"/>
  <c r="CC448" i="11"/>
  <c r="CD448" i="11"/>
  <c r="CE448" i="11"/>
  <c r="CF448" i="11"/>
  <c r="CG448" i="11"/>
  <c r="CH448" i="11"/>
  <c r="CI448" i="11"/>
  <c r="CJ448" i="11"/>
  <c r="CK448" i="11"/>
  <c r="CL448" i="11"/>
  <c r="CM448" i="11"/>
  <c r="CN448" i="11"/>
  <c r="CO448" i="11"/>
  <c r="CP448" i="11"/>
  <c r="CQ448" i="11"/>
  <c r="CR448" i="11"/>
  <c r="CS448" i="11"/>
  <c r="CT448" i="11"/>
  <c r="CU448" i="11"/>
  <c r="CV448" i="11"/>
  <c r="CW448" i="11"/>
  <c r="CX448" i="11"/>
  <c r="CY448" i="11"/>
  <c r="CZ448" i="11"/>
  <c r="DA448" i="11"/>
  <c r="DB448" i="11"/>
  <c r="DC448" i="11"/>
  <c r="DD448" i="11"/>
  <c r="DE448" i="11"/>
  <c r="DF448" i="11"/>
  <c r="DG448" i="11"/>
  <c r="DH448" i="11"/>
  <c r="DI448" i="11"/>
  <c r="DJ448" i="11"/>
  <c r="DK448" i="11"/>
  <c r="DL448" i="11"/>
  <c r="DM448" i="11"/>
  <c r="DN448" i="11"/>
  <c r="DO448" i="11"/>
  <c r="DP448" i="11"/>
  <c r="DQ448" i="11"/>
  <c r="DR448" i="11"/>
  <c r="DS448" i="11"/>
  <c r="DT448" i="11"/>
  <c r="DU448" i="11"/>
  <c r="DV448" i="11"/>
  <c r="DW448" i="11"/>
  <c r="DX448" i="11"/>
  <c r="DY448" i="11"/>
  <c r="DZ448" i="11"/>
  <c r="EA448" i="11"/>
  <c r="EB448" i="11"/>
  <c r="EC448" i="11"/>
  <c r="ED448" i="11"/>
  <c r="EE448" i="11"/>
  <c r="EF448" i="11"/>
  <c r="EG448" i="11"/>
  <c r="EH448" i="11"/>
  <c r="EI448" i="11"/>
  <c r="EJ448" i="11"/>
  <c r="EK448" i="11"/>
  <c r="EL448" i="11"/>
  <c r="EM448" i="11"/>
  <c r="EN448" i="11"/>
  <c r="EO448" i="11"/>
  <c r="EP448" i="11"/>
  <c r="EQ448" i="11"/>
  <c r="ER448" i="11"/>
  <c r="ES448" i="11"/>
  <c r="ET448" i="11"/>
  <c r="EU448" i="11"/>
  <c r="EV448" i="11"/>
  <c r="EW448" i="11"/>
  <c r="EX448" i="11"/>
  <c r="EY448" i="11"/>
  <c r="EZ448" i="11"/>
  <c r="FA448" i="11"/>
  <c r="FB448" i="11"/>
  <c r="FC448" i="11"/>
  <c r="FD448" i="11"/>
  <c r="FE448" i="11"/>
  <c r="FF448" i="11"/>
  <c r="FG448" i="11"/>
  <c r="FH448" i="11"/>
  <c r="FI448" i="11"/>
  <c r="FJ448" i="11"/>
  <c r="FK448" i="11"/>
  <c r="FL448" i="11"/>
  <c r="FM448" i="11"/>
  <c r="FN448" i="11"/>
  <c r="FO448" i="11"/>
  <c r="FP448" i="11"/>
  <c r="FQ448" i="11"/>
  <c r="FR448" i="11"/>
  <c r="FS448" i="11"/>
  <c r="FT448" i="11"/>
  <c r="FU448" i="11"/>
  <c r="FV448" i="11"/>
  <c r="FW448" i="11"/>
  <c r="FX448" i="11"/>
  <c r="FY448" i="11"/>
  <c r="FZ448" i="11"/>
  <c r="GA448" i="11"/>
  <c r="GB448" i="11"/>
  <c r="GC448" i="11"/>
  <c r="GD448" i="11"/>
  <c r="GE448" i="11"/>
  <c r="GF448" i="11"/>
  <c r="GG448" i="11"/>
  <c r="GH448" i="11"/>
  <c r="GI448" i="11"/>
  <c r="GJ448" i="11"/>
  <c r="GK448" i="11"/>
  <c r="GL448" i="11"/>
  <c r="GM448" i="11"/>
  <c r="GN448" i="11"/>
  <c r="GO448" i="11"/>
  <c r="GP448" i="11"/>
  <c r="GQ448" i="11"/>
  <c r="GR448" i="11"/>
  <c r="GS448" i="11"/>
  <c r="GT448" i="11"/>
  <c r="GU448" i="11"/>
  <c r="GV448" i="11"/>
  <c r="GW448" i="11"/>
  <c r="GX448" i="11"/>
  <c r="GY448" i="11"/>
  <c r="GZ448" i="11"/>
  <c r="HA448" i="11"/>
  <c r="HB448" i="11"/>
  <c r="HC448" i="11"/>
  <c r="HD448" i="11"/>
  <c r="HE448" i="11"/>
  <c r="HF448" i="11"/>
  <c r="HG448" i="11"/>
  <c r="HH448" i="11"/>
  <c r="HI448" i="11"/>
  <c r="HJ448" i="11"/>
  <c r="HK448" i="11"/>
  <c r="HL448" i="11"/>
  <c r="HM448" i="11"/>
  <c r="HN448" i="11"/>
  <c r="HO448" i="11"/>
  <c r="HP448" i="11"/>
  <c r="HQ448" i="11"/>
  <c r="HR448" i="11"/>
  <c r="HS448" i="11"/>
  <c r="HT448" i="11"/>
  <c r="HU448" i="11"/>
  <c r="HV448" i="11"/>
  <c r="HW448" i="11"/>
  <c r="HX448" i="11"/>
  <c r="HY448" i="11"/>
  <c r="HZ448" i="11"/>
  <c r="IA448" i="11"/>
  <c r="IB448" i="11"/>
  <c r="IC448" i="11"/>
  <c r="ID448" i="11"/>
  <c r="IE448" i="11"/>
  <c r="IF448" i="11"/>
  <c r="IG448" i="11"/>
  <c r="IH448" i="11"/>
  <c r="II448" i="11"/>
  <c r="IJ448" i="11"/>
  <c r="IK448" i="11"/>
  <c r="IL448" i="11"/>
  <c r="IM448" i="11"/>
  <c r="IN448" i="11"/>
  <c r="IO448" i="11"/>
  <c r="IP448" i="11"/>
  <c r="IQ448" i="11"/>
  <c r="IR448" i="11"/>
  <c r="IS448" i="11"/>
  <c r="IT448" i="11"/>
  <c r="IU448" i="11"/>
  <c r="IV448" i="11"/>
  <c r="F449" i="11"/>
  <c r="G449" i="11"/>
  <c r="H449" i="11"/>
  <c r="I449" i="11"/>
  <c r="J449" i="11"/>
  <c r="K449" i="11"/>
  <c r="L449" i="11"/>
  <c r="M449" i="11"/>
  <c r="N449" i="11"/>
  <c r="O449" i="11"/>
  <c r="P449" i="11"/>
  <c r="Q449" i="11"/>
  <c r="R449" i="11"/>
  <c r="S449" i="11"/>
  <c r="T449" i="11"/>
  <c r="U449" i="11"/>
  <c r="V449" i="11"/>
  <c r="W449" i="11"/>
  <c r="X449" i="11"/>
  <c r="Y449" i="11"/>
  <c r="Z449" i="11"/>
  <c r="AA449" i="11"/>
  <c r="AB449" i="11"/>
  <c r="AC449" i="11"/>
  <c r="AD449" i="11"/>
  <c r="AE449" i="11"/>
  <c r="AF449" i="11"/>
  <c r="AG449" i="11"/>
  <c r="AH449" i="11"/>
  <c r="AI449" i="11"/>
  <c r="AJ449" i="11"/>
  <c r="AK449" i="11"/>
  <c r="AL449" i="11"/>
  <c r="AM449" i="11"/>
  <c r="AN449" i="11"/>
  <c r="AO449" i="11"/>
  <c r="AP449" i="11"/>
  <c r="AQ449" i="11"/>
  <c r="AR449" i="11"/>
  <c r="AS449" i="11"/>
  <c r="AT449" i="11"/>
  <c r="AU449" i="11"/>
  <c r="AV449" i="11"/>
  <c r="AW449" i="11"/>
  <c r="AX449" i="11"/>
  <c r="AY449" i="11"/>
  <c r="AZ449" i="11"/>
  <c r="BA449" i="11"/>
  <c r="BB449" i="11"/>
  <c r="BC449" i="11"/>
  <c r="BD449" i="11"/>
  <c r="BE449" i="11"/>
  <c r="BF449" i="11"/>
  <c r="BG449" i="11"/>
  <c r="BH449" i="11"/>
  <c r="BI449" i="11"/>
  <c r="BJ449" i="11"/>
  <c r="BK449" i="11"/>
  <c r="BL449" i="11"/>
  <c r="BM449" i="11"/>
  <c r="BN449" i="11"/>
  <c r="BO449" i="11"/>
  <c r="BP449" i="11"/>
  <c r="BQ449" i="11"/>
  <c r="BR449" i="11"/>
  <c r="BS449" i="11"/>
  <c r="BT449" i="11"/>
  <c r="BU449" i="11"/>
  <c r="BV449" i="11"/>
  <c r="BW449" i="11"/>
  <c r="BX449" i="11"/>
  <c r="BY449" i="11"/>
  <c r="BZ449" i="11"/>
  <c r="CA449" i="11"/>
  <c r="CB449" i="11"/>
  <c r="CC449" i="11"/>
  <c r="CD449" i="11"/>
  <c r="CE449" i="11"/>
  <c r="CF449" i="11"/>
  <c r="CG449" i="11"/>
  <c r="CH449" i="11"/>
  <c r="CI449" i="11"/>
  <c r="CJ449" i="11"/>
  <c r="CK449" i="11"/>
  <c r="CL449" i="11"/>
  <c r="CM449" i="11"/>
  <c r="CN449" i="11"/>
  <c r="CO449" i="11"/>
  <c r="CP449" i="11"/>
  <c r="CQ449" i="11"/>
  <c r="CR449" i="11"/>
  <c r="CS449" i="11"/>
  <c r="CT449" i="11"/>
  <c r="CU449" i="11"/>
  <c r="CV449" i="11"/>
  <c r="CW449" i="11"/>
  <c r="CX449" i="11"/>
  <c r="CY449" i="11"/>
  <c r="CZ449" i="11"/>
  <c r="DA449" i="11"/>
  <c r="DB449" i="11"/>
  <c r="DC449" i="11"/>
  <c r="DD449" i="11"/>
  <c r="DE449" i="11"/>
  <c r="DF449" i="11"/>
  <c r="DG449" i="11"/>
  <c r="DH449" i="11"/>
  <c r="DI449" i="11"/>
  <c r="DJ449" i="11"/>
  <c r="DK449" i="11"/>
  <c r="DL449" i="11"/>
  <c r="DM449" i="11"/>
  <c r="DN449" i="11"/>
  <c r="DO449" i="11"/>
  <c r="DP449" i="11"/>
  <c r="DQ449" i="11"/>
  <c r="DR449" i="11"/>
  <c r="DS449" i="11"/>
  <c r="DT449" i="11"/>
  <c r="DU449" i="11"/>
  <c r="DV449" i="11"/>
  <c r="DW449" i="11"/>
  <c r="DX449" i="11"/>
  <c r="DY449" i="11"/>
  <c r="DZ449" i="11"/>
  <c r="EA449" i="11"/>
  <c r="EB449" i="11"/>
  <c r="EC449" i="11"/>
  <c r="ED449" i="11"/>
  <c r="EE449" i="11"/>
  <c r="EF449" i="11"/>
  <c r="EG449" i="11"/>
  <c r="EH449" i="11"/>
  <c r="EI449" i="11"/>
  <c r="EJ449" i="11"/>
  <c r="EK449" i="11"/>
  <c r="EL449" i="11"/>
  <c r="EM449" i="11"/>
  <c r="EN449" i="11"/>
  <c r="EO449" i="11"/>
  <c r="EP449" i="11"/>
  <c r="EQ449" i="11"/>
  <c r="ER449" i="11"/>
  <c r="ES449" i="11"/>
  <c r="ET449" i="11"/>
  <c r="EU449" i="11"/>
  <c r="EV449" i="11"/>
  <c r="EW449" i="11"/>
  <c r="EX449" i="11"/>
  <c r="EY449" i="11"/>
  <c r="EZ449" i="11"/>
  <c r="FA449" i="11"/>
  <c r="FB449" i="11"/>
  <c r="FC449" i="11"/>
  <c r="FD449" i="11"/>
  <c r="FE449" i="11"/>
  <c r="FF449" i="11"/>
  <c r="FG449" i="11"/>
  <c r="FH449" i="11"/>
  <c r="FI449" i="11"/>
  <c r="FJ449" i="11"/>
  <c r="FK449" i="11"/>
  <c r="FL449" i="11"/>
  <c r="FM449" i="11"/>
  <c r="FN449" i="11"/>
  <c r="FO449" i="11"/>
  <c r="FP449" i="11"/>
  <c r="FQ449" i="11"/>
  <c r="FR449" i="11"/>
  <c r="FS449" i="11"/>
  <c r="FT449" i="11"/>
  <c r="FU449" i="11"/>
  <c r="FV449" i="11"/>
  <c r="FW449" i="11"/>
  <c r="FX449" i="11"/>
  <c r="FY449" i="11"/>
  <c r="FZ449" i="11"/>
  <c r="GA449" i="11"/>
  <c r="GB449" i="11"/>
  <c r="GC449" i="11"/>
  <c r="GD449" i="11"/>
  <c r="GE449" i="11"/>
  <c r="GF449" i="11"/>
  <c r="GG449" i="11"/>
  <c r="GH449" i="11"/>
  <c r="GI449" i="11"/>
  <c r="GJ449" i="11"/>
  <c r="GK449" i="11"/>
  <c r="GL449" i="11"/>
  <c r="GM449" i="11"/>
  <c r="GN449" i="11"/>
  <c r="GO449" i="11"/>
  <c r="GP449" i="11"/>
  <c r="GQ449" i="11"/>
  <c r="GR449" i="11"/>
  <c r="GS449" i="11"/>
  <c r="GT449" i="11"/>
  <c r="GU449" i="11"/>
  <c r="GV449" i="11"/>
  <c r="GW449" i="11"/>
  <c r="GX449" i="11"/>
  <c r="GY449" i="11"/>
  <c r="GZ449" i="11"/>
  <c r="HA449" i="11"/>
  <c r="HB449" i="11"/>
  <c r="HC449" i="11"/>
  <c r="HD449" i="11"/>
  <c r="HE449" i="11"/>
  <c r="HF449" i="11"/>
  <c r="HG449" i="11"/>
  <c r="HH449" i="11"/>
  <c r="HI449" i="11"/>
  <c r="HJ449" i="11"/>
  <c r="HK449" i="11"/>
  <c r="HL449" i="11"/>
  <c r="HM449" i="11"/>
  <c r="HN449" i="11"/>
  <c r="HO449" i="11"/>
  <c r="HP449" i="11"/>
  <c r="HQ449" i="11"/>
  <c r="HR449" i="11"/>
  <c r="HS449" i="11"/>
  <c r="HT449" i="11"/>
  <c r="HU449" i="11"/>
  <c r="HV449" i="11"/>
  <c r="HW449" i="11"/>
  <c r="HX449" i="11"/>
  <c r="HY449" i="11"/>
  <c r="HZ449" i="11"/>
  <c r="IA449" i="11"/>
  <c r="IB449" i="11"/>
  <c r="IC449" i="11"/>
  <c r="ID449" i="11"/>
  <c r="IE449" i="11"/>
  <c r="IF449" i="11"/>
  <c r="IG449" i="11"/>
  <c r="IH449" i="11"/>
  <c r="II449" i="11"/>
  <c r="IJ449" i="11"/>
  <c r="IK449" i="11"/>
  <c r="IL449" i="11"/>
  <c r="IM449" i="11"/>
  <c r="IN449" i="11"/>
  <c r="IO449" i="11"/>
  <c r="IP449" i="11"/>
  <c r="IQ449" i="11"/>
  <c r="IR449" i="11"/>
  <c r="IS449" i="11"/>
  <c r="IT449" i="11"/>
  <c r="IU449" i="11"/>
  <c r="IV449" i="11"/>
  <c r="F450" i="11"/>
  <c r="G450" i="11"/>
  <c r="H450" i="11"/>
  <c r="I450" i="11"/>
  <c r="J450" i="11"/>
  <c r="K450" i="11"/>
  <c r="L450" i="11"/>
  <c r="M450" i="11"/>
  <c r="N450" i="11"/>
  <c r="O450" i="11"/>
  <c r="P450" i="11"/>
  <c r="Q450" i="11"/>
  <c r="R450" i="11"/>
  <c r="S450" i="11"/>
  <c r="T450" i="11"/>
  <c r="U450" i="11"/>
  <c r="V450" i="11"/>
  <c r="W450" i="11"/>
  <c r="X450" i="11"/>
  <c r="Y450" i="11"/>
  <c r="Z450" i="11"/>
  <c r="AA450" i="11"/>
  <c r="AB450" i="11"/>
  <c r="AC450" i="11"/>
  <c r="AD450" i="11"/>
  <c r="AE450" i="11"/>
  <c r="AF450" i="11"/>
  <c r="AG450" i="11"/>
  <c r="AH450" i="11"/>
  <c r="AI450" i="11"/>
  <c r="AJ450" i="11"/>
  <c r="AK450" i="11"/>
  <c r="AL450" i="11"/>
  <c r="AM450" i="11"/>
  <c r="AN450" i="11"/>
  <c r="AO450" i="11"/>
  <c r="AP450" i="11"/>
  <c r="AQ450" i="11"/>
  <c r="AR450" i="11"/>
  <c r="AS450" i="11"/>
  <c r="AT450" i="11"/>
  <c r="AU450" i="11"/>
  <c r="AV450" i="11"/>
  <c r="AW450" i="11"/>
  <c r="AX450" i="11"/>
  <c r="AY450" i="11"/>
  <c r="AZ450" i="11"/>
  <c r="BA450" i="11"/>
  <c r="BB450" i="11"/>
  <c r="BC450" i="11"/>
  <c r="BD450" i="11"/>
  <c r="BE450" i="11"/>
  <c r="BF450" i="11"/>
  <c r="BG450" i="11"/>
  <c r="BH450" i="11"/>
  <c r="BI450" i="11"/>
  <c r="BJ450" i="11"/>
  <c r="BK450" i="11"/>
  <c r="BL450" i="11"/>
  <c r="BM450" i="11"/>
  <c r="BN450" i="11"/>
  <c r="BO450" i="11"/>
  <c r="BP450" i="11"/>
  <c r="BQ450" i="11"/>
  <c r="BR450" i="11"/>
  <c r="BS450" i="11"/>
  <c r="BT450" i="11"/>
  <c r="BU450" i="11"/>
  <c r="BV450" i="11"/>
  <c r="BW450" i="11"/>
  <c r="BX450" i="11"/>
  <c r="BY450" i="11"/>
  <c r="BZ450" i="11"/>
  <c r="CA450" i="11"/>
  <c r="CB450" i="11"/>
  <c r="CC450" i="11"/>
  <c r="CD450" i="11"/>
  <c r="CE450" i="11"/>
  <c r="CF450" i="11"/>
  <c r="CG450" i="11"/>
  <c r="CH450" i="11"/>
  <c r="CI450" i="11"/>
  <c r="CJ450" i="11"/>
  <c r="CK450" i="11"/>
  <c r="CL450" i="11"/>
  <c r="CM450" i="11"/>
  <c r="CN450" i="11"/>
  <c r="CO450" i="11"/>
  <c r="CP450" i="11"/>
  <c r="CQ450" i="11"/>
  <c r="CR450" i="11"/>
  <c r="CS450" i="11"/>
  <c r="CT450" i="11"/>
  <c r="CU450" i="11"/>
  <c r="CV450" i="11"/>
  <c r="CW450" i="11"/>
  <c r="CX450" i="11"/>
  <c r="CY450" i="11"/>
  <c r="CZ450" i="11"/>
  <c r="DA450" i="11"/>
  <c r="DB450" i="11"/>
  <c r="DC450" i="11"/>
  <c r="DD450" i="11"/>
  <c r="DE450" i="11"/>
  <c r="DF450" i="11"/>
  <c r="DG450" i="11"/>
  <c r="DH450" i="11"/>
  <c r="DI450" i="11"/>
  <c r="DJ450" i="11"/>
  <c r="DK450" i="11"/>
  <c r="DL450" i="11"/>
  <c r="DM450" i="11"/>
  <c r="DN450" i="11"/>
  <c r="DO450" i="11"/>
  <c r="DP450" i="11"/>
  <c r="DQ450" i="11"/>
  <c r="DR450" i="11"/>
  <c r="DS450" i="11"/>
  <c r="DT450" i="11"/>
  <c r="DU450" i="11"/>
  <c r="DV450" i="11"/>
  <c r="DW450" i="11"/>
  <c r="DX450" i="11"/>
  <c r="DY450" i="11"/>
  <c r="DZ450" i="11"/>
  <c r="EA450" i="11"/>
  <c r="EB450" i="11"/>
  <c r="EC450" i="11"/>
  <c r="ED450" i="11"/>
  <c r="EE450" i="11"/>
  <c r="EF450" i="11"/>
  <c r="EG450" i="11"/>
  <c r="EH450" i="11"/>
  <c r="EI450" i="11"/>
  <c r="EJ450" i="11"/>
  <c r="EK450" i="11"/>
  <c r="EL450" i="11"/>
  <c r="EM450" i="11"/>
  <c r="EN450" i="11"/>
  <c r="EO450" i="11"/>
  <c r="EP450" i="11"/>
  <c r="EQ450" i="11"/>
  <c r="ER450" i="11"/>
  <c r="ES450" i="11"/>
  <c r="ET450" i="11"/>
  <c r="EU450" i="11"/>
  <c r="EV450" i="11"/>
  <c r="EW450" i="11"/>
  <c r="EX450" i="11"/>
  <c r="EY450" i="11"/>
  <c r="EZ450" i="11"/>
  <c r="FA450" i="11"/>
  <c r="FB450" i="11"/>
  <c r="FC450" i="11"/>
  <c r="FD450" i="11"/>
  <c r="FE450" i="11"/>
  <c r="FF450" i="11"/>
  <c r="FG450" i="11"/>
  <c r="FH450" i="11"/>
  <c r="FI450" i="11"/>
  <c r="FJ450" i="11"/>
  <c r="FK450" i="11"/>
  <c r="FL450" i="11"/>
  <c r="FM450" i="11"/>
  <c r="FN450" i="11"/>
  <c r="FO450" i="11"/>
  <c r="FP450" i="11"/>
  <c r="FQ450" i="11"/>
  <c r="FR450" i="11"/>
  <c r="FS450" i="11"/>
  <c r="FT450" i="11"/>
  <c r="FU450" i="11"/>
  <c r="FV450" i="11"/>
  <c r="FW450" i="11"/>
  <c r="FX450" i="11"/>
  <c r="FY450" i="11"/>
  <c r="FZ450" i="11"/>
  <c r="GA450" i="11"/>
  <c r="GB450" i="11"/>
  <c r="GC450" i="11"/>
  <c r="GD450" i="11"/>
  <c r="GE450" i="11"/>
  <c r="GF450" i="11"/>
  <c r="GG450" i="11"/>
  <c r="GH450" i="11"/>
  <c r="GI450" i="11"/>
  <c r="GJ450" i="11"/>
  <c r="GK450" i="11"/>
  <c r="GL450" i="11"/>
  <c r="GM450" i="11"/>
  <c r="GN450" i="11"/>
  <c r="GO450" i="11"/>
  <c r="GP450" i="11"/>
  <c r="GQ450" i="11"/>
  <c r="GR450" i="11"/>
  <c r="GS450" i="11"/>
  <c r="GT450" i="11"/>
  <c r="GU450" i="11"/>
  <c r="GV450" i="11"/>
  <c r="GW450" i="11"/>
  <c r="GX450" i="11"/>
  <c r="GY450" i="11"/>
  <c r="GZ450" i="11"/>
  <c r="HA450" i="11"/>
  <c r="HB450" i="11"/>
  <c r="HC450" i="11"/>
  <c r="HD450" i="11"/>
  <c r="HE450" i="11"/>
  <c r="HF450" i="11"/>
  <c r="HG450" i="11"/>
  <c r="HH450" i="11"/>
  <c r="HI450" i="11"/>
  <c r="HJ450" i="11"/>
  <c r="HK450" i="11"/>
  <c r="HL450" i="11"/>
  <c r="HM450" i="11"/>
  <c r="HN450" i="11"/>
  <c r="HO450" i="11"/>
  <c r="HP450" i="11"/>
  <c r="HQ450" i="11"/>
  <c r="HR450" i="11"/>
  <c r="HS450" i="11"/>
  <c r="HT450" i="11"/>
  <c r="HU450" i="11"/>
  <c r="HV450" i="11"/>
  <c r="HW450" i="11"/>
  <c r="HX450" i="11"/>
  <c r="HY450" i="11"/>
  <c r="HZ450" i="11"/>
  <c r="IA450" i="11"/>
  <c r="IB450" i="11"/>
  <c r="IC450" i="11"/>
  <c r="ID450" i="11"/>
  <c r="IE450" i="11"/>
  <c r="IF450" i="11"/>
  <c r="IG450" i="11"/>
  <c r="IH450" i="11"/>
  <c r="II450" i="11"/>
  <c r="IJ450" i="11"/>
  <c r="IK450" i="11"/>
  <c r="IL450" i="11"/>
  <c r="IM450" i="11"/>
  <c r="IN450" i="11"/>
  <c r="IO450" i="11"/>
  <c r="IP450" i="11"/>
  <c r="IQ450" i="11"/>
  <c r="IR450" i="11"/>
  <c r="IS450" i="11"/>
  <c r="IT450" i="11"/>
  <c r="IU450" i="11"/>
  <c r="IV450" i="11"/>
  <c r="F451" i="11"/>
  <c r="G451" i="11"/>
  <c r="H451" i="11"/>
  <c r="I451" i="11"/>
  <c r="J451" i="11"/>
  <c r="K451" i="11"/>
  <c r="L451" i="11"/>
  <c r="M451" i="11"/>
  <c r="N451" i="11"/>
  <c r="O451" i="11"/>
  <c r="P451" i="11"/>
  <c r="Q451" i="11"/>
  <c r="R451" i="11"/>
  <c r="S451" i="11"/>
  <c r="T451" i="11"/>
  <c r="U451" i="11"/>
  <c r="V451" i="11"/>
  <c r="W451" i="11"/>
  <c r="X451" i="11"/>
  <c r="Y451" i="11"/>
  <c r="Z451" i="11"/>
  <c r="AA451" i="11"/>
  <c r="AB451" i="11"/>
  <c r="AC451" i="11"/>
  <c r="AD451" i="11"/>
  <c r="AE451" i="11"/>
  <c r="AF451" i="11"/>
  <c r="AG451" i="11"/>
  <c r="AH451" i="11"/>
  <c r="AI451" i="11"/>
  <c r="AJ451" i="11"/>
  <c r="AK451" i="11"/>
  <c r="AL451" i="11"/>
  <c r="AM451" i="11"/>
  <c r="AN451" i="11"/>
  <c r="AO451" i="11"/>
  <c r="AP451" i="11"/>
  <c r="AQ451" i="11"/>
  <c r="AR451" i="11"/>
  <c r="AS451" i="11"/>
  <c r="AT451" i="11"/>
  <c r="AU451" i="11"/>
  <c r="AV451" i="11"/>
  <c r="AW451" i="11"/>
  <c r="AX451" i="11"/>
  <c r="AY451" i="11"/>
  <c r="AZ451" i="11"/>
  <c r="BA451" i="11"/>
  <c r="BB451" i="11"/>
  <c r="BC451" i="11"/>
  <c r="BD451" i="11"/>
  <c r="BE451" i="11"/>
  <c r="BF451" i="11"/>
  <c r="BG451" i="11"/>
  <c r="BH451" i="11"/>
  <c r="BI451" i="11"/>
  <c r="BJ451" i="11"/>
  <c r="BK451" i="11"/>
  <c r="BL451" i="11"/>
  <c r="BM451" i="11"/>
  <c r="BN451" i="11"/>
  <c r="BO451" i="11"/>
  <c r="BP451" i="11"/>
  <c r="BQ451" i="11"/>
  <c r="BR451" i="11"/>
  <c r="BS451" i="11"/>
  <c r="BT451" i="11"/>
  <c r="BU451" i="11"/>
  <c r="BV451" i="11"/>
  <c r="BW451" i="11"/>
  <c r="BX451" i="11"/>
  <c r="BY451" i="11"/>
  <c r="BZ451" i="11"/>
  <c r="CA451" i="11"/>
  <c r="CB451" i="11"/>
  <c r="CC451" i="11"/>
  <c r="CD451" i="11"/>
  <c r="CE451" i="11"/>
  <c r="CF451" i="11"/>
  <c r="CG451" i="11"/>
  <c r="CH451" i="11"/>
  <c r="CI451" i="11"/>
  <c r="CJ451" i="11"/>
  <c r="CK451" i="11"/>
  <c r="CL451" i="11"/>
  <c r="CM451" i="11"/>
  <c r="CN451" i="11"/>
  <c r="CO451" i="11"/>
  <c r="CP451" i="11"/>
  <c r="CQ451" i="11"/>
  <c r="CR451" i="11"/>
  <c r="CS451" i="11"/>
  <c r="CT451" i="11"/>
  <c r="CU451" i="11"/>
  <c r="CV451" i="11"/>
  <c r="CW451" i="11"/>
  <c r="CX451" i="11"/>
  <c r="CY451" i="11"/>
  <c r="CZ451" i="11"/>
  <c r="DA451" i="11"/>
  <c r="DB451" i="11"/>
  <c r="DC451" i="11"/>
  <c r="DD451" i="11"/>
  <c r="DE451" i="11"/>
  <c r="DF451" i="11"/>
  <c r="DG451" i="11"/>
  <c r="DH451" i="11"/>
  <c r="DI451" i="11"/>
  <c r="DJ451" i="11"/>
  <c r="DK451" i="11"/>
  <c r="DL451" i="11"/>
  <c r="DM451" i="11"/>
  <c r="DN451" i="11"/>
  <c r="DO451" i="11"/>
  <c r="DP451" i="11"/>
  <c r="DQ451" i="11"/>
  <c r="DR451" i="11"/>
  <c r="DS451" i="11"/>
  <c r="DT451" i="11"/>
  <c r="DU451" i="11"/>
  <c r="DV451" i="11"/>
  <c r="DW451" i="11"/>
  <c r="DX451" i="11"/>
  <c r="DY451" i="11"/>
  <c r="DZ451" i="11"/>
  <c r="EA451" i="11"/>
  <c r="EB451" i="11"/>
  <c r="EC451" i="11"/>
  <c r="ED451" i="11"/>
  <c r="EE451" i="11"/>
  <c r="EF451" i="11"/>
  <c r="EG451" i="11"/>
  <c r="EH451" i="11"/>
  <c r="EI451" i="11"/>
  <c r="EJ451" i="11"/>
  <c r="EK451" i="11"/>
  <c r="EL451" i="11"/>
  <c r="EM451" i="11"/>
  <c r="EN451" i="11"/>
  <c r="EO451" i="11"/>
  <c r="EP451" i="11"/>
  <c r="EQ451" i="11"/>
  <c r="ER451" i="11"/>
  <c r="ES451" i="11"/>
  <c r="ET451" i="11"/>
  <c r="EU451" i="11"/>
  <c r="EV451" i="11"/>
  <c r="EW451" i="11"/>
  <c r="EX451" i="11"/>
  <c r="EY451" i="11"/>
  <c r="EZ451" i="11"/>
  <c r="FA451" i="11"/>
  <c r="FB451" i="11"/>
  <c r="FC451" i="11"/>
  <c r="FD451" i="11"/>
  <c r="FE451" i="11"/>
  <c r="FF451" i="11"/>
  <c r="FG451" i="11"/>
  <c r="FH451" i="11"/>
  <c r="FI451" i="11"/>
  <c r="FJ451" i="11"/>
  <c r="FK451" i="11"/>
  <c r="FL451" i="11"/>
  <c r="FM451" i="11"/>
  <c r="FN451" i="11"/>
  <c r="FO451" i="11"/>
  <c r="FP451" i="11"/>
  <c r="FQ451" i="11"/>
  <c r="FR451" i="11"/>
  <c r="FS451" i="11"/>
  <c r="FT451" i="11"/>
  <c r="FU451" i="11"/>
  <c r="FV451" i="11"/>
  <c r="FW451" i="11"/>
  <c r="FX451" i="11"/>
  <c r="FY451" i="11"/>
  <c r="FZ451" i="11"/>
  <c r="GA451" i="11"/>
  <c r="GB451" i="11"/>
  <c r="GC451" i="11"/>
  <c r="GD451" i="11"/>
  <c r="GE451" i="11"/>
  <c r="GF451" i="11"/>
  <c r="GG451" i="11"/>
  <c r="GH451" i="11"/>
  <c r="GI451" i="11"/>
  <c r="GJ451" i="11"/>
  <c r="GK451" i="11"/>
  <c r="GL451" i="11"/>
  <c r="GM451" i="11"/>
  <c r="GN451" i="11"/>
  <c r="GO451" i="11"/>
  <c r="GP451" i="11"/>
  <c r="GQ451" i="11"/>
  <c r="GR451" i="11"/>
  <c r="GS451" i="11"/>
  <c r="GT451" i="11"/>
  <c r="GU451" i="11"/>
  <c r="GV451" i="11"/>
  <c r="GW451" i="11"/>
  <c r="GX451" i="11"/>
  <c r="GY451" i="11"/>
  <c r="GZ451" i="11"/>
  <c r="HA451" i="11"/>
  <c r="HB451" i="11"/>
  <c r="HC451" i="11"/>
  <c r="HD451" i="11"/>
  <c r="HE451" i="11"/>
  <c r="HF451" i="11"/>
  <c r="HG451" i="11"/>
  <c r="HH451" i="11"/>
  <c r="HI451" i="11"/>
  <c r="HJ451" i="11"/>
  <c r="HK451" i="11"/>
  <c r="HL451" i="11"/>
  <c r="HM451" i="11"/>
  <c r="HN451" i="11"/>
  <c r="HO451" i="11"/>
  <c r="HP451" i="11"/>
  <c r="HQ451" i="11"/>
  <c r="HR451" i="11"/>
  <c r="HS451" i="11"/>
  <c r="HT451" i="11"/>
  <c r="HU451" i="11"/>
  <c r="HV451" i="11"/>
  <c r="HW451" i="11"/>
  <c r="HX451" i="11"/>
  <c r="HY451" i="11"/>
  <c r="HZ451" i="11"/>
  <c r="IA451" i="11"/>
  <c r="IB451" i="11"/>
  <c r="IC451" i="11"/>
  <c r="ID451" i="11"/>
  <c r="IE451" i="11"/>
  <c r="IF451" i="11"/>
  <c r="IG451" i="11"/>
  <c r="IH451" i="11"/>
  <c r="II451" i="11"/>
  <c r="IJ451" i="11"/>
  <c r="IK451" i="11"/>
  <c r="IL451" i="11"/>
  <c r="IM451" i="11"/>
  <c r="IN451" i="11"/>
  <c r="IO451" i="11"/>
  <c r="IP451" i="11"/>
  <c r="IQ451" i="11"/>
  <c r="IR451" i="11"/>
  <c r="IS451" i="11"/>
  <c r="IT451" i="11"/>
  <c r="IU451" i="11"/>
  <c r="IV451" i="11"/>
  <c r="F452" i="11"/>
  <c r="G452" i="11"/>
  <c r="H452" i="11"/>
  <c r="I452" i="11"/>
  <c r="J452" i="11"/>
  <c r="K452" i="11"/>
  <c r="L452" i="11"/>
  <c r="M452" i="11"/>
  <c r="N452" i="11"/>
  <c r="O452" i="11"/>
  <c r="P452" i="11"/>
  <c r="Q452" i="11"/>
  <c r="R452" i="11"/>
  <c r="S452" i="11"/>
  <c r="T452" i="11"/>
  <c r="U452" i="11"/>
  <c r="V452" i="11"/>
  <c r="W452" i="11"/>
  <c r="X452" i="11"/>
  <c r="Y452" i="11"/>
  <c r="Z452" i="11"/>
  <c r="AA452" i="11"/>
  <c r="AB452" i="11"/>
  <c r="AC452" i="11"/>
  <c r="AD452" i="11"/>
  <c r="AE452" i="11"/>
  <c r="AF452" i="11"/>
  <c r="AG452" i="11"/>
  <c r="AH452" i="11"/>
  <c r="AI452" i="11"/>
  <c r="AJ452" i="11"/>
  <c r="AK452" i="11"/>
  <c r="AL452" i="11"/>
  <c r="AM452" i="11"/>
  <c r="AN452" i="11"/>
  <c r="AO452" i="11"/>
  <c r="AP452" i="11"/>
  <c r="AQ452" i="11"/>
  <c r="AR452" i="11"/>
  <c r="AS452" i="11"/>
  <c r="AT452" i="11"/>
  <c r="AU452" i="11"/>
  <c r="AV452" i="11"/>
  <c r="AW452" i="11"/>
  <c r="AX452" i="11"/>
  <c r="AY452" i="11"/>
  <c r="AZ452" i="11"/>
  <c r="BA452" i="11"/>
  <c r="BB452" i="11"/>
  <c r="BC452" i="11"/>
  <c r="BD452" i="11"/>
  <c r="BE452" i="11"/>
  <c r="BF452" i="11"/>
  <c r="BG452" i="11"/>
  <c r="BH452" i="11"/>
  <c r="BI452" i="11"/>
  <c r="BJ452" i="11"/>
  <c r="BK452" i="11"/>
  <c r="BL452" i="11"/>
  <c r="BM452" i="11"/>
  <c r="BN452" i="11"/>
  <c r="BO452" i="11"/>
  <c r="BP452" i="11"/>
  <c r="BQ452" i="11"/>
  <c r="BR452" i="11"/>
  <c r="BS452" i="11"/>
  <c r="BT452" i="11"/>
  <c r="BU452" i="11"/>
  <c r="BV452" i="11"/>
  <c r="BW452" i="11"/>
  <c r="BX452" i="11"/>
  <c r="BY452" i="11"/>
  <c r="BZ452" i="11"/>
  <c r="CA452" i="11"/>
  <c r="CB452" i="11"/>
  <c r="CC452" i="11"/>
  <c r="CD452" i="11"/>
  <c r="CE452" i="11"/>
  <c r="CF452" i="11"/>
  <c r="CG452" i="11"/>
  <c r="CH452" i="11"/>
  <c r="CI452" i="11"/>
  <c r="CJ452" i="11"/>
  <c r="CK452" i="11"/>
  <c r="CL452" i="11"/>
  <c r="CM452" i="11"/>
  <c r="CN452" i="11"/>
  <c r="CO452" i="11"/>
  <c r="CP452" i="11"/>
  <c r="CQ452" i="11"/>
  <c r="CR452" i="11"/>
  <c r="CS452" i="11"/>
  <c r="CT452" i="11"/>
  <c r="CU452" i="11"/>
  <c r="CV452" i="11"/>
  <c r="CW452" i="11"/>
  <c r="CX452" i="11"/>
  <c r="CY452" i="11"/>
  <c r="CZ452" i="11"/>
  <c r="DA452" i="11"/>
  <c r="DB452" i="11"/>
  <c r="DC452" i="11"/>
  <c r="DD452" i="11"/>
  <c r="DE452" i="11"/>
  <c r="DF452" i="11"/>
  <c r="DG452" i="11"/>
  <c r="DH452" i="11"/>
  <c r="DI452" i="11"/>
  <c r="DJ452" i="11"/>
  <c r="DK452" i="11"/>
  <c r="DL452" i="11"/>
  <c r="DM452" i="11"/>
  <c r="DN452" i="11"/>
  <c r="DO452" i="11"/>
  <c r="DP452" i="11"/>
  <c r="DQ452" i="11"/>
  <c r="DR452" i="11"/>
  <c r="DS452" i="11"/>
  <c r="DT452" i="11"/>
  <c r="DU452" i="11"/>
  <c r="DV452" i="11"/>
  <c r="DW452" i="11"/>
  <c r="DX452" i="11"/>
  <c r="DY452" i="11"/>
  <c r="DZ452" i="11"/>
  <c r="EA452" i="11"/>
  <c r="EB452" i="11"/>
  <c r="EC452" i="11"/>
  <c r="ED452" i="11"/>
  <c r="EE452" i="11"/>
  <c r="EF452" i="11"/>
  <c r="EG452" i="11"/>
  <c r="EH452" i="11"/>
  <c r="EI452" i="11"/>
  <c r="EJ452" i="11"/>
  <c r="EK452" i="11"/>
  <c r="EL452" i="11"/>
  <c r="EM452" i="11"/>
  <c r="EN452" i="11"/>
  <c r="EO452" i="11"/>
  <c r="EP452" i="11"/>
  <c r="EQ452" i="11"/>
  <c r="ER452" i="11"/>
  <c r="ES452" i="11"/>
  <c r="ET452" i="11"/>
  <c r="EU452" i="11"/>
  <c r="EV452" i="11"/>
  <c r="EW452" i="11"/>
  <c r="EX452" i="11"/>
  <c r="EY452" i="11"/>
  <c r="EZ452" i="11"/>
  <c r="FA452" i="11"/>
  <c r="FB452" i="11"/>
  <c r="FC452" i="11"/>
  <c r="FD452" i="11"/>
  <c r="FE452" i="11"/>
  <c r="FF452" i="11"/>
  <c r="FG452" i="11"/>
  <c r="FH452" i="11"/>
  <c r="FI452" i="11"/>
  <c r="FJ452" i="11"/>
  <c r="FK452" i="11"/>
  <c r="FL452" i="11"/>
  <c r="FM452" i="11"/>
  <c r="FN452" i="11"/>
  <c r="FO452" i="11"/>
  <c r="FP452" i="11"/>
  <c r="FQ452" i="11"/>
  <c r="FR452" i="11"/>
  <c r="FS452" i="11"/>
  <c r="FT452" i="11"/>
  <c r="FU452" i="11"/>
  <c r="FV452" i="11"/>
  <c r="FW452" i="11"/>
  <c r="FX452" i="11"/>
  <c r="FY452" i="11"/>
  <c r="FZ452" i="11"/>
  <c r="GA452" i="11"/>
  <c r="GB452" i="11"/>
  <c r="GC452" i="11"/>
  <c r="GD452" i="11"/>
  <c r="GE452" i="11"/>
  <c r="GF452" i="11"/>
  <c r="GG452" i="11"/>
  <c r="GH452" i="11"/>
  <c r="GI452" i="11"/>
  <c r="GJ452" i="11"/>
  <c r="GK452" i="11"/>
  <c r="GL452" i="11"/>
  <c r="GM452" i="11"/>
  <c r="GN452" i="11"/>
  <c r="GO452" i="11"/>
  <c r="GP452" i="11"/>
  <c r="GQ452" i="11"/>
  <c r="GR452" i="11"/>
  <c r="GS452" i="11"/>
  <c r="GT452" i="11"/>
  <c r="GU452" i="11"/>
  <c r="GV452" i="11"/>
  <c r="GW452" i="11"/>
  <c r="GX452" i="11"/>
  <c r="GY452" i="11"/>
  <c r="GZ452" i="11"/>
  <c r="HA452" i="11"/>
  <c r="HB452" i="11"/>
  <c r="HC452" i="11"/>
  <c r="HD452" i="11"/>
  <c r="HE452" i="11"/>
  <c r="HF452" i="11"/>
  <c r="HG452" i="11"/>
  <c r="HH452" i="11"/>
  <c r="HI452" i="11"/>
  <c r="HJ452" i="11"/>
  <c r="HK452" i="11"/>
  <c r="HL452" i="11"/>
  <c r="HM452" i="11"/>
  <c r="HN452" i="11"/>
  <c r="HO452" i="11"/>
  <c r="HP452" i="11"/>
  <c r="HQ452" i="11"/>
  <c r="HR452" i="11"/>
  <c r="HS452" i="11"/>
  <c r="HT452" i="11"/>
  <c r="HU452" i="11"/>
  <c r="HV452" i="11"/>
  <c r="HW452" i="11"/>
  <c r="HX452" i="11"/>
  <c r="HY452" i="11"/>
  <c r="HZ452" i="11"/>
  <c r="IA452" i="11"/>
  <c r="IB452" i="11"/>
  <c r="IC452" i="11"/>
  <c r="ID452" i="11"/>
  <c r="IE452" i="11"/>
  <c r="IF452" i="11"/>
  <c r="IG452" i="11"/>
  <c r="IH452" i="11"/>
  <c r="II452" i="11"/>
  <c r="IJ452" i="11"/>
  <c r="IK452" i="11"/>
  <c r="IL452" i="11"/>
  <c r="IM452" i="11"/>
  <c r="IN452" i="11"/>
  <c r="IO452" i="11"/>
  <c r="IP452" i="11"/>
  <c r="IQ452" i="11"/>
  <c r="IR452" i="11"/>
  <c r="IS452" i="11"/>
  <c r="IT452" i="11"/>
  <c r="IU452" i="11"/>
  <c r="IV452" i="11"/>
  <c r="F453" i="11"/>
  <c r="G453" i="11"/>
  <c r="H453" i="11"/>
  <c r="I453" i="11"/>
  <c r="J453" i="11"/>
  <c r="K453" i="11"/>
  <c r="L453" i="11"/>
  <c r="M453" i="11"/>
  <c r="N453" i="11"/>
  <c r="O453" i="11"/>
  <c r="P453" i="11"/>
  <c r="Q453" i="11"/>
  <c r="R453" i="11"/>
  <c r="S453" i="11"/>
  <c r="T453" i="11"/>
  <c r="U453" i="11"/>
  <c r="V453" i="11"/>
  <c r="W453" i="11"/>
  <c r="X453" i="11"/>
  <c r="Y453" i="11"/>
  <c r="Z453" i="11"/>
  <c r="AA453" i="11"/>
  <c r="AB453" i="11"/>
  <c r="AC453" i="11"/>
  <c r="AD453" i="11"/>
  <c r="AE453" i="11"/>
  <c r="AF453" i="11"/>
  <c r="AG453" i="11"/>
  <c r="AH453" i="11"/>
  <c r="AI453" i="11"/>
  <c r="AJ453" i="11"/>
  <c r="AK453" i="11"/>
  <c r="AL453" i="11"/>
  <c r="AM453" i="11"/>
  <c r="AN453" i="11"/>
  <c r="AO453" i="11"/>
  <c r="AP453" i="11"/>
  <c r="AQ453" i="11"/>
  <c r="AR453" i="11"/>
  <c r="AS453" i="11"/>
  <c r="AT453" i="11"/>
  <c r="AU453" i="11"/>
  <c r="AV453" i="11"/>
  <c r="AW453" i="11"/>
  <c r="AX453" i="11"/>
  <c r="AY453" i="11"/>
  <c r="AZ453" i="11"/>
  <c r="BA453" i="11"/>
  <c r="BB453" i="11"/>
  <c r="BC453" i="11"/>
  <c r="BD453" i="11"/>
  <c r="BE453" i="11"/>
  <c r="BF453" i="11"/>
  <c r="BG453" i="11"/>
  <c r="BH453" i="11"/>
  <c r="BI453" i="11"/>
  <c r="BJ453" i="11"/>
  <c r="BK453" i="11"/>
  <c r="BL453" i="11"/>
  <c r="BM453" i="11"/>
  <c r="BN453" i="11"/>
  <c r="BO453" i="11"/>
  <c r="BP453" i="11"/>
  <c r="BQ453" i="11"/>
  <c r="BR453" i="11"/>
  <c r="BS453" i="11"/>
  <c r="BT453" i="11"/>
  <c r="BU453" i="11"/>
  <c r="BV453" i="11"/>
  <c r="BW453" i="11"/>
  <c r="BX453" i="11"/>
  <c r="BY453" i="11"/>
  <c r="BZ453" i="11"/>
  <c r="CA453" i="11"/>
  <c r="CB453" i="11"/>
  <c r="CC453" i="11"/>
  <c r="CD453" i="11"/>
  <c r="CE453" i="11"/>
  <c r="CF453" i="11"/>
  <c r="CG453" i="11"/>
  <c r="CH453" i="11"/>
  <c r="CI453" i="11"/>
  <c r="CJ453" i="11"/>
  <c r="CK453" i="11"/>
  <c r="CL453" i="11"/>
  <c r="CM453" i="11"/>
  <c r="CN453" i="11"/>
  <c r="CO453" i="11"/>
  <c r="CP453" i="11"/>
  <c r="CQ453" i="11"/>
  <c r="CR453" i="11"/>
  <c r="CS453" i="11"/>
  <c r="CT453" i="11"/>
  <c r="CU453" i="11"/>
  <c r="CV453" i="11"/>
  <c r="CW453" i="11"/>
  <c r="CX453" i="11"/>
  <c r="CY453" i="11"/>
  <c r="CZ453" i="11"/>
  <c r="DA453" i="11"/>
  <c r="DB453" i="11"/>
  <c r="DC453" i="11"/>
  <c r="DD453" i="11"/>
  <c r="DE453" i="11"/>
  <c r="DF453" i="11"/>
  <c r="DG453" i="11"/>
  <c r="DH453" i="11"/>
  <c r="DI453" i="11"/>
  <c r="DJ453" i="11"/>
  <c r="DK453" i="11"/>
  <c r="DL453" i="11"/>
  <c r="DM453" i="11"/>
  <c r="DN453" i="11"/>
  <c r="DO453" i="11"/>
  <c r="DP453" i="11"/>
  <c r="DQ453" i="11"/>
  <c r="DR453" i="11"/>
  <c r="DS453" i="11"/>
  <c r="DT453" i="11"/>
  <c r="DU453" i="11"/>
  <c r="DV453" i="11"/>
  <c r="DW453" i="11"/>
  <c r="DX453" i="11"/>
  <c r="DY453" i="11"/>
  <c r="DZ453" i="11"/>
  <c r="EA453" i="11"/>
  <c r="EB453" i="11"/>
  <c r="EC453" i="11"/>
  <c r="ED453" i="11"/>
  <c r="EE453" i="11"/>
  <c r="EF453" i="11"/>
  <c r="EG453" i="11"/>
  <c r="EH453" i="11"/>
  <c r="EI453" i="11"/>
  <c r="EJ453" i="11"/>
  <c r="EK453" i="11"/>
  <c r="EL453" i="11"/>
  <c r="EM453" i="11"/>
  <c r="EN453" i="11"/>
  <c r="EO453" i="11"/>
  <c r="EP453" i="11"/>
  <c r="EQ453" i="11"/>
  <c r="ER453" i="11"/>
  <c r="ES453" i="11"/>
  <c r="ET453" i="11"/>
  <c r="EU453" i="11"/>
  <c r="EV453" i="11"/>
  <c r="EW453" i="11"/>
  <c r="EX453" i="11"/>
  <c r="EY453" i="11"/>
  <c r="EZ453" i="11"/>
  <c r="FA453" i="11"/>
  <c r="FB453" i="11"/>
  <c r="FC453" i="11"/>
  <c r="FD453" i="11"/>
  <c r="FE453" i="11"/>
  <c r="FF453" i="11"/>
  <c r="FG453" i="11"/>
  <c r="FH453" i="11"/>
  <c r="FI453" i="11"/>
  <c r="FJ453" i="11"/>
  <c r="FK453" i="11"/>
  <c r="FL453" i="11"/>
  <c r="FM453" i="11"/>
  <c r="FN453" i="11"/>
  <c r="FO453" i="11"/>
  <c r="FP453" i="11"/>
  <c r="FQ453" i="11"/>
  <c r="FR453" i="11"/>
  <c r="FS453" i="11"/>
  <c r="FT453" i="11"/>
  <c r="FU453" i="11"/>
  <c r="FV453" i="11"/>
  <c r="FW453" i="11"/>
  <c r="FX453" i="11"/>
  <c r="FY453" i="11"/>
  <c r="FZ453" i="11"/>
  <c r="GA453" i="11"/>
  <c r="GB453" i="11"/>
  <c r="GC453" i="11"/>
  <c r="GD453" i="11"/>
  <c r="GE453" i="11"/>
  <c r="GF453" i="11"/>
  <c r="GG453" i="11"/>
  <c r="GH453" i="11"/>
  <c r="GI453" i="11"/>
  <c r="GJ453" i="11"/>
  <c r="GK453" i="11"/>
  <c r="GL453" i="11"/>
  <c r="GM453" i="11"/>
  <c r="GN453" i="11"/>
  <c r="GO453" i="11"/>
  <c r="GP453" i="11"/>
  <c r="GQ453" i="11"/>
  <c r="GR453" i="11"/>
  <c r="GS453" i="11"/>
  <c r="GT453" i="11"/>
  <c r="GU453" i="11"/>
  <c r="GV453" i="11"/>
  <c r="GW453" i="11"/>
  <c r="GX453" i="11"/>
  <c r="GY453" i="11"/>
  <c r="GZ453" i="11"/>
  <c r="HA453" i="11"/>
  <c r="HB453" i="11"/>
  <c r="HC453" i="11"/>
  <c r="HD453" i="11"/>
  <c r="HE453" i="11"/>
  <c r="HF453" i="11"/>
  <c r="HG453" i="11"/>
  <c r="HH453" i="11"/>
  <c r="HI453" i="11"/>
  <c r="HJ453" i="11"/>
  <c r="HK453" i="11"/>
  <c r="HL453" i="11"/>
  <c r="HM453" i="11"/>
  <c r="HN453" i="11"/>
  <c r="HO453" i="11"/>
  <c r="HP453" i="11"/>
  <c r="HQ453" i="11"/>
  <c r="HR453" i="11"/>
  <c r="HS453" i="11"/>
  <c r="HT453" i="11"/>
  <c r="HU453" i="11"/>
  <c r="HV453" i="11"/>
  <c r="HW453" i="11"/>
  <c r="HX453" i="11"/>
  <c r="HY453" i="11"/>
  <c r="HZ453" i="11"/>
  <c r="IA453" i="11"/>
  <c r="IB453" i="11"/>
  <c r="IC453" i="11"/>
  <c r="ID453" i="11"/>
  <c r="IE453" i="11"/>
  <c r="IF453" i="11"/>
  <c r="IG453" i="11"/>
  <c r="IH453" i="11"/>
  <c r="II453" i="11"/>
  <c r="IJ453" i="11"/>
  <c r="IK453" i="11"/>
  <c r="IL453" i="11"/>
  <c r="IM453" i="11"/>
  <c r="IN453" i="11"/>
  <c r="IO453" i="11"/>
  <c r="IP453" i="11"/>
  <c r="IQ453" i="11"/>
  <c r="IR453" i="11"/>
  <c r="IS453" i="11"/>
  <c r="IT453" i="11"/>
  <c r="IU453" i="11"/>
  <c r="IV453" i="11"/>
  <c r="F454" i="11"/>
  <c r="G454" i="11"/>
  <c r="H454" i="11"/>
  <c r="I454" i="11"/>
  <c r="J454" i="11"/>
  <c r="K454" i="11"/>
  <c r="L454" i="11"/>
  <c r="M454" i="11"/>
  <c r="N454" i="11"/>
  <c r="O454" i="11"/>
  <c r="P454" i="11"/>
  <c r="Q454" i="11"/>
  <c r="R454" i="11"/>
  <c r="S454" i="11"/>
  <c r="T454" i="11"/>
  <c r="U454" i="11"/>
  <c r="V454" i="11"/>
  <c r="W454" i="11"/>
  <c r="X454" i="11"/>
  <c r="Y454" i="11"/>
  <c r="Z454" i="11"/>
  <c r="AA454" i="11"/>
  <c r="AB454" i="11"/>
  <c r="AC454" i="11"/>
  <c r="AD454" i="11"/>
  <c r="AE454" i="11"/>
  <c r="AF454" i="11"/>
  <c r="AG454" i="11"/>
  <c r="AH454" i="11"/>
  <c r="AI454" i="11"/>
  <c r="AJ454" i="11"/>
  <c r="AK454" i="11"/>
  <c r="AL454" i="11"/>
  <c r="AM454" i="11"/>
  <c r="AN454" i="11"/>
  <c r="AO454" i="11"/>
  <c r="AP454" i="11"/>
  <c r="AQ454" i="11"/>
  <c r="AR454" i="11"/>
  <c r="AS454" i="11"/>
  <c r="AT454" i="11"/>
  <c r="AU454" i="11"/>
  <c r="AV454" i="11"/>
  <c r="AW454" i="11"/>
  <c r="AX454" i="11"/>
  <c r="AY454" i="11"/>
  <c r="AZ454" i="11"/>
  <c r="BA454" i="11"/>
  <c r="BB454" i="11"/>
  <c r="BC454" i="11"/>
  <c r="BD454" i="11"/>
  <c r="BE454" i="11"/>
  <c r="BF454" i="11"/>
  <c r="BG454" i="11"/>
  <c r="BH454" i="11"/>
  <c r="BI454" i="11"/>
  <c r="BJ454" i="11"/>
  <c r="BK454" i="11"/>
  <c r="BL454" i="11"/>
  <c r="BM454" i="11"/>
  <c r="BN454" i="11"/>
  <c r="BO454" i="11"/>
  <c r="BP454" i="11"/>
  <c r="BQ454" i="11"/>
  <c r="BR454" i="11"/>
  <c r="BS454" i="11"/>
  <c r="BT454" i="11"/>
  <c r="BU454" i="11"/>
  <c r="BV454" i="11"/>
  <c r="BW454" i="11"/>
  <c r="BX454" i="11"/>
  <c r="BY454" i="11"/>
  <c r="BZ454" i="11"/>
  <c r="CA454" i="11"/>
  <c r="CB454" i="11"/>
  <c r="CC454" i="11"/>
  <c r="CD454" i="11"/>
  <c r="CE454" i="11"/>
  <c r="CF454" i="11"/>
  <c r="CG454" i="11"/>
  <c r="CH454" i="11"/>
  <c r="CI454" i="11"/>
  <c r="CJ454" i="11"/>
  <c r="CK454" i="11"/>
  <c r="CL454" i="11"/>
  <c r="CM454" i="11"/>
  <c r="CN454" i="11"/>
  <c r="CO454" i="11"/>
  <c r="CP454" i="11"/>
  <c r="CQ454" i="11"/>
  <c r="CR454" i="11"/>
  <c r="CS454" i="11"/>
  <c r="CT454" i="11"/>
  <c r="CU454" i="11"/>
  <c r="CV454" i="11"/>
  <c r="CW454" i="11"/>
  <c r="CX454" i="11"/>
  <c r="CY454" i="11"/>
  <c r="CZ454" i="11"/>
  <c r="DA454" i="11"/>
  <c r="DB454" i="11"/>
  <c r="DC454" i="11"/>
  <c r="DD454" i="11"/>
  <c r="DE454" i="11"/>
  <c r="DF454" i="11"/>
  <c r="DG454" i="11"/>
  <c r="DH454" i="11"/>
  <c r="DI454" i="11"/>
  <c r="DJ454" i="11"/>
  <c r="DK454" i="11"/>
  <c r="DL454" i="11"/>
  <c r="DM454" i="11"/>
  <c r="DN454" i="11"/>
  <c r="DO454" i="11"/>
  <c r="DP454" i="11"/>
  <c r="DQ454" i="11"/>
  <c r="DR454" i="11"/>
  <c r="DS454" i="11"/>
  <c r="DT454" i="11"/>
  <c r="DU454" i="11"/>
  <c r="DV454" i="11"/>
  <c r="DW454" i="11"/>
  <c r="DX454" i="11"/>
  <c r="DY454" i="11"/>
  <c r="DZ454" i="11"/>
  <c r="EA454" i="11"/>
  <c r="EB454" i="11"/>
  <c r="EC454" i="11"/>
  <c r="ED454" i="11"/>
  <c r="EE454" i="11"/>
  <c r="EF454" i="11"/>
  <c r="EG454" i="11"/>
  <c r="EH454" i="11"/>
  <c r="EI454" i="11"/>
  <c r="EJ454" i="11"/>
  <c r="EK454" i="11"/>
  <c r="EL454" i="11"/>
  <c r="EM454" i="11"/>
  <c r="EN454" i="11"/>
  <c r="EO454" i="11"/>
  <c r="EP454" i="11"/>
  <c r="EQ454" i="11"/>
  <c r="ER454" i="11"/>
  <c r="ES454" i="11"/>
  <c r="ET454" i="11"/>
  <c r="EU454" i="11"/>
  <c r="EV454" i="11"/>
  <c r="EW454" i="11"/>
  <c r="EX454" i="11"/>
  <c r="EY454" i="11"/>
  <c r="EZ454" i="11"/>
  <c r="FA454" i="11"/>
  <c r="FB454" i="11"/>
  <c r="FC454" i="11"/>
  <c r="FD454" i="11"/>
  <c r="FE454" i="11"/>
  <c r="FF454" i="11"/>
  <c r="FG454" i="11"/>
  <c r="FH454" i="11"/>
  <c r="FI454" i="11"/>
  <c r="FJ454" i="11"/>
  <c r="FK454" i="11"/>
  <c r="FL454" i="11"/>
  <c r="FM454" i="11"/>
  <c r="FN454" i="11"/>
  <c r="FO454" i="11"/>
  <c r="FP454" i="11"/>
  <c r="FQ454" i="11"/>
  <c r="FR454" i="11"/>
  <c r="FS454" i="11"/>
  <c r="FT454" i="11"/>
  <c r="FU454" i="11"/>
  <c r="FV454" i="11"/>
  <c r="FW454" i="11"/>
  <c r="FX454" i="11"/>
  <c r="FY454" i="11"/>
  <c r="FZ454" i="11"/>
  <c r="GA454" i="11"/>
  <c r="GB454" i="11"/>
  <c r="GC454" i="11"/>
  <c r="GD454" i="11"/>
  <c r="GE454" i="11"/>
  <c r="GF454" i="11"/>
  <c r="GG454" i="11"/>
  <c r="GH454" i="11"/>
  <c r="GI454" i="11"/>
  <c r="GJ454" i="11"/>
  <c r="GK454" i="11"/>
  <c r="GL454" i="11"/>
  <c r="GM454" i="11"/>
  <c r="GN454" i="11"/>
  <c r="GO454" i="11"/>
  <c r="GP454" i="11"/>
  <c r="GQ454" i="11"/>
  <c r="GR454" i="11"/>
  <c r="GS454" i="11"/>
  <c r="GT454" i="11"/>
  <c r="GU454" i="11"/>
  <c r="GV454" i="11"/>
  <c r="GW454" i="11"/>
  <c r="GX454" i="11"/>
  <c r="GY454" i="11"/>
  <c r="GZ454" i="11"/>
  <c r="HA454" i="11"/>
  <c r="HB454" i="11"/>
  <c r="HC454" i="11"/>
  <c r="HD454" i="11"/>
  <c r="HE454" i="11"/>
  <c r="HF454" i="11"/>
  <c r="HG454" i="11"/>
  <c r="HH454" i="11"/>
  <c r="HI454" i="11"/>
  <c r="HJ454" i="11"/>
  <c r="HK454" i="11"/>
  <c r="HL454" i="11"/>
  <c r="HM454" i="11"/>
  <c r="HN454" i="11"/>
  <c r="HO454" i="11"/>
  <c r="HP454" i="11"/>
  <c r="HQ454" i="11"/>
  <c r="HR454" i="11"/>
  <c r="HS454" i="11"/>
  <c r="HT454" i="11"/>
  <c r="HU454" i="11"/>
  <c r="HV454" i="11"/>
  <c r="HW454" i="11"/>
  <c r="HX454" i="11"/>
  <c r="HY454" i="11"/>
  <c r="HZ454" i="11"/>
  <c r="IA454" i="11"/>
  <c r="IB454" i="11"/>
  <c r="IC454" i="11"/>
  <c r="ID454" i="11"/>
  <c r="IE454" i="11"/>
  <c r="IF454" i="11"/>
  <c r="IG454" i="11"/>
  <c r="IH454" i="11"/>
  <c r="II454" i="11"/>
  <c r="IJ454" i="11"/>
  <c r="IK454" i="11"/>
  <c r="IL454" i="11"/>
  <c r="IM454" i="11"/>
  <c r="IN454" i="11"/>
  <c r="IO454" i="11"/>
  <c r="IP454" i="11"/>
  <c r="IQ454" i="11"/>
  <c r="IR454" i="11"/>
  <c r="IS454" i="11"/>
  <c r="IT454" i="11"/>
  <c r="IU454" i="11"/>
  <c r="IV454" i="11"/>
  <c r="F455" i="11"/>
  <c r="G455" i="11"/>
  <c r="H455" i="11"/>
  <c r="I455" i="11"/>
  <c r="J455" i="11"/>
  <c r="K455" i="11"/>
  <c r="L455" i="11"/>
  <c r="M455" i="11"/>
  <c r="N455" i="11"/>
  <c r="O455" i="11"/>
  <c r="P455" i="11"/>
  <c r="Q455" i="11"/>
  <c r="R455" i="11"/>
  <c r="S455" i="11"/>
  <c r="T455" i="11"/>
  <c r="U455" i="11"/>
  <c r="V455" i="11"/>
  <c r="W455" i="11"/>
  <c r="X455" i="11"/>
  <c r="Y455" i="11"/>
  <c r="Z455" i="11"/>
  <c r="AA455" i="11"/>
  <c r="AB455" i="11"/>
  <c r="AC455" i="11"/>
  <c r="AD455" i="11"/>
  <c r="AE455" i="11"/>
  <c r="AF455" i="11"/>
  <c r="AG455" i="11"/>
  <c r="AH455" i="11"/>
  <c r="AI455" i="11"/>
  <c r="AJ455" i="11"/>
  <c r="AK455" i="11"/>
  <c r="AL455" i="11"/>
  <c r="AM455" i="11"/>
  <c r="AN455" i="11"/>
  <c r="AO455" i="11"/>
  <c r="AP455" i="11"/>
  <c r="AQ455" i="11"/>
  <c r="AR455" i="11"/>
  <c r="AS455" i="11"/>
  <c r="AT455" i="11"/>
  <c r="AU455" i="11"/>
  <c r="AV455" i="11"/>
  <c r="AW455" i="11"/>
  <c r="AX455" i="11"/>
  <c r="AY455" i="11"/>
  <c r="AZ455" i="11"/>
  <c r="BA455" i="11"/>
  <c r="BB455" i="11"/>
  <c r="BC455" i="11"/>
  <c r="BD455" i="11"/>
  <c r="BE455" i="11"/>
  <c r="BF455" i="11"/>
  <c r="BG455" i="11"/>
  <c r="BH455" i="11"/>
  <c r="BI455" i="11"/>
  <c r="BJ455" i="11"/>
  <c r="BK455" i="11"/>
  <c r="BL455" i="11"/>
  <c r="BM455" i="11"/>
  <c r="BN455" i="11"/>
  <c r="BO455" i="11"/>
  <c r="BP455" i="11"/>
  <c r="BQ455" i="11"/>
  <c r="BR455" i="11"/>
  <c r="BS455" i="11"/>
  <c r="BT455" i="11"/>
  <c r="BU455" i="11"/>
  <c r="BV455" i="11"/>
  <c r="BW455" i="11"/>
  <c r="BX455" i="11"/>
  <c r="BY455" i="11"/>
  <c r="BZ455" i="11"/>
  <c r="CA455" i="11"/>
  <c r="CB455" i="11"/>
  <c r="CC455" i="11"/>
  <c r="CD455" i="11"/>
  <c r="CE455" i="11"/>
  <c r="CF455" i="11"/>
  <c r="CG455" i="11"/>
  <c r="CH455" i="11"/>
  <c r="CI455" i="11"/>
  <c r="CJ455" i="11"/>
  <c r="CK455" i="11"/>
  <c r="CL455" i="11"/>
  <c r="CM455" i="11"/>
  <c r="CN455" i="11"/>
  <c r="CO455" i="11"/>
  <c r="CP455" i="11"/>
  <c r="CQ455" i="11"/>
  <c r="CR455" i="11"/>
  <c r="CS455" i="11"/>
  <c r="CT455" i="11"/>
  <c r="CU455" i="11"/>
  <c r="CV455" i="11"/>
  <c r="CW455" i="11"/>
  <c r="CX455" i="11"/>
  <c r="CY455" i="11"/>
  <c r="CZ455" i="11"/>
  <c r="DA455" i="11"/>
  <c r="DB455" i="11"/>
  <c r="DC455" i="11"/>
  <c r="DD455" i="11"/>
  <c r="DE455" i="11"/>
  <c r="DF455" i="11"/>
  <c r="DG455" i="11"/>
  <c r="DH455" i="11"/>
  <c r="DI455" i="11"/>
  <c r="DJ455" i="11"/>
  <c r="DK455" i="11"/>
  <c r="DL455" i="11"/>
  <c r="DM455" i="11"/>
  <c r="DN455" i="11"/>
  <c r="DO455" i="11"/>
  <c r="DP455" i="11"/>
  <c r="DQ455" i="11"/>
  <c r="DR455" i="11"/>
  <c r="DS455" i="11"/>
  <c r="DT455" i="11"/>
  <c r="DU455" i="11"/>
  <c r="DV455" i="11"/>
  <c r="DW455" i="11"/>
  <c r="DX455" i="11"/>
  <c r="DY455" i="11"/>
  <c r="DZ455" i="11"/>
  <c r="EA455" i="11"/>
  <c r="EB455" i="11"/>
  <c r="EC455" i="11"/>
  <c r="ED455" i="11"/>
  <c r="EE455" i="11"/>
  <c r="EF455" i="11"/>
  <c r="EG455" i="11"/>
  <c r="EH455" i="11"/>
  <c r="EI455" i="11"/>
  <c r="EJ455" i="11"/>
  <c r="EK455" i="11"/>
  <c r="EL455" i="11"/>
  <c r="EM455" i="11"/>
  <c r="EN455" i="11"/>
  <c r="EO455" i="11"/>
  <c r="EP455" i="11"/>
  <c r="EQ455" i="11"/>
  <c r="ER455" i="11"/>
  <c r="ES455" i="11"/>
  <c r="ET455" i="11"/>
  <c r="EU455" i="11"/>
  <c r="EV455" i="11"/>
  <c r="EW455" i="11"/>
  <c r="EX455" i="11"/>
  <c r="EY455" i="11"/>
  <c r="EZ455" i="11"/>
  <c r="FA455" i="11"/>
  <c r="FB455" i="11"/>
  <c r="FC455" i="11"/>
  <c r="FD455" i="11"/>
  <c r="FE455" i="11"/>
  <c r="FF455" i="11"/>
  <c r="FG455" i="11"/>
  <c r="FH455" i="11"/>
  <c r="FI455" i="11"/>
  <c r="FJ455" i="11"/>
  <c r="FK455" i="11"/>
  <c r="FL455" i="11"/>
  <c r="FM455" i="11"/>
  <c r="FN455" i="11"/>
  <c r="FO455" i="11"/>
  <c r="FP455" i="11"/>
  <c r="FQ455" i="11"/>
  <c r="FR455" i="11"/>
  <c r="FS455" i="11"/>
  <c r="FT455" i="11"/>
  <c r="FU455" i="11"/>
  <c r="FV455" i="11"/>
  <c r="FW455" i="11"/>
  <c r="FX455" i="11"/>
  <c r="FY455" i="11"/>
  <c r="FZ455" i="11"/>
  <c r="GA455" i="11"/>
  <c r="GB455" i="11"/>
  <c r="GC455" i="11"/>
  <c r="GD455" i="11"/>
  <c r="GE455" i="11"/>
  <c r="GF455" i="11"/>
  <c r="GG455" i="11"/>
  <c r="GH455" i="11"/>
  <c r="GI455" i="11"/>
  <c r="GJ455" i="11"/>
  <c r="GK455" i="11"/>
  <c r="GL455" i="11"/>
  <c r="GM455" i="11"/>
  <c r="GN455" i="11"/>
  <c r="GO455" i="11"/>
  <c r="GP455" i="11"/>
  <c r="GQ455" i="11"/>
  <c r="GR455" i="11"/>
  <c r="GS455" i="11"/>
  <c r="GT455" i="11"/>
  <c r="GU455" i="11"/>
  <c r="GV455" i="11"/>
  <c r="GW455" i="11"/>
  <c r="GX455" i="11"/>
  <c r="GY455" i="11"/>
  <c r="GZ455" i="11"/>
  <c r="HA455" i="11"/>
  <c r="HB455" i="11"/>
  <c r="HC455" i="11"/>
  <c r="HD455" i="11"/>
  <c r="HE455" i="11"/>
  <c r="HF455" i="11"/>
  <c r="HG455" i="11"/>
  <c r="HH455" i="11"/>
  <c r="HI455" i="11"/>
  <c r="HJ455" i="11"/>
  <c r="HK455" i="11"/>
  <c r="HL455" i="11"/>
  <c r="HM455" i="11"/>
  <c r="HN455" i="11"/>
  <c r="HO455" i="11"/>
  <c r="HP455" i="11"/>
  <c r="HQ455" i="11"/>
  <c r="HR455" i="11"/>
  <c r="HS455" i="11"/>
  <c r="HT455" i="11"/>
  <c r="HU455" i="11"/>
  <c r="HV455" i="11"/>
  <c r="HW455" i="11"/>
  <c r="HX455" i="11"/>
  <c r="HY455" i="11"/>
  <c r="HZ455" i="11"/>
  <c r="IA455" i="11"/>
  <c r="IB455" i="11"/>
  <c r="IC455" i="11"/>
  <c r="ID455" i="11"/>
  <c r="IE455" i="11"/>
  <c r="IF455" i="11"/>
  <c r="IG455" i="11"/>
  <c r="IH455" i="11"/>
  <c r="II455" i="11"/>
  <c r="IJ455" i="11"/>
  <c r="IK455" i="11"/>
  <c r="IL455" i="11"/>
  <c r="IM455" i="11"/>
  <c r="IN455" i="11"/>
  <c r="IO455" i="11"/>
  <c r="IP455" i="11"/>
  <c r="IQ455" i="11"/>
  <c r="IR455" i="11"/>
  <c r="IS455" i="11"/>
  <c r="IT455" i="11"/>
  <c r="IU455" i="11"/>
  <c r="IV455" i="11"/>
  <c r="F456" i="11"/>
  <c r="G456" i="11"/>
  <c r="H456" i="11"/>
  <c r="I456" i="11"/>
  <c r="J456" i="11"/>
  <c r="K456" i="11"/>
  <c r="L456" i="11"/>
  <c r="M456" i="11"/>
  <c r="N456" i="11"/>
  <c r="O456" i="11"/>
  <c r="P456" i="11"/>
  <c r="Q456" i="11"/>
  <c r="R456" i="11"/>
  <c r="S456" i="11"/>
  <c r="T456" i="11"/>
  <c r="U456" i="11"/>
  <c r="V456" i="11"/>
  <c r="W456" i="11"/>
  <c r="X456" i="11"/>
  <c r="Y456" i="11"/>
  <c r="Z456" i="11"/>
  <c r="AA456" i="11"/>
  <c r="AB456" i="11"/>
  <c r="AC456" i="11"/>
  <c r="AD456" i="11"/>
  <c r="AE456" i="11"/>
  <c r="AF456" i="11"/>
  <c r="AG456" i="11"/>
  <c r="AH456" i="11"/>
  <c r="AI456" i="11"/>
  <c r="AJ456" i="11"/>
  <c r="AK456" i="11"/>
  <c r="AL456" i="11"/>
  <c r="AM456" i="11"/>
  <c r="AN456" i="11"/>
  <c r="AO456" i="11"/>
  <c r="AP456" i="11"/>
  <c r="AQ456" i="11"/>
  <c r="AR456" i="11"/>
  <c r="AS456" i="11"/>
  <c r="AT456" i="11"/>
  <c r="AU456" i="11"/>
  <c r="AV456" i="11"/>
  <c r="AW456" i="11"/>
  <c r="AX456" i="11"/>
  <c r="AY456" i="11"/>
  <c r="AZ456" i="11"/>
  <c r="BA456" i="11"/>
  <c r="BB456" i="11"/>
  <c r="BC456" i="11"/>
  <c r="BD456" i="11"/>
  <c r="BE456" i="11"/>
  <c r="BF456" i="11"/>
  <c r="BG456" i="11"/>
  <c r="BH456" i="11"/>
  <c r="BI456" i="11"/>
  <c r="BJ456" i="11"/>
  <c r="BK456" i="11"/>
  <c r="BL456" i="11"/>
  <c r="BM456" i="11"/>
  <c r="BN456" i="11"/>
  <c r="BO456" i="11"/>
  <c r="BP456" i="11"/>
  <c r="BQ456" i="11"/>
  <c r="BR456" i="11"/>
  <c r="BS456" i="11"/>
  <c r="BT456" i="11"/>
  <c r="BU456" i="11"/>
  <c r="BV456" i="11"/>
  <c r="BW456" i="11"/>
  <c r="BX456" i="11"/>
  <c r="BY456" i="11"/>
  <c r="BZ456" i="11"/>
  <c r="CA456" i="11"/>
  <c r="CB456" i="11"/>
  <c r="CC456" i="11"/>
  <c r="CD456" i="11"/>
  <c r="CE456" i="11"/>
  <c r="CF456" i="11"/>
  <c r="CG456" i="11"/>
  <c r="CH456" i="11"/>
  <c r="CI456" i="11"/>
  <c r="CJ456" i="11"/>
  <c r="CK456" i="11"/>
  <c r="CL456" i="11"/>
  <c r="CM456" i="11"/>
  <c r="CN456" i="11"/>
  <c r="CO456" i="11"/>
  <c r="CP456" i="11"/>
  <c r="CQ456" i="11"/>
  <c r="CR456" i="11"/>
  <c r="CS456" i="11"/>
  <c r="CT456" i="11"/>
  <c r="CU456" i="11"/>
  <c r="CV456" i="11"/>
  <c r="CW456" i="11"/>
  <c r="CX456" i="11"/>
  <c r="CY456" i="11"/>
  <c r="CZ456" i="11"/>
  <c r="DA456" i="11"/>
  <c r="DB456" i="11"/>
  <c r="DC456" i="11"/>
  <c r="DD456" i="11"/>
  <c r="DE456" i="11"/>
  <c r="DF456" i="11"/>
  <c r="DG456" i="11"/>
  <c r="DH456" i="11"/>
  <c r="DI456" i="11"/>
  <c r="DJ456" i="11"/>
  <c r="DK456" i="11"/>
  <c r="DL456" i="11"/>
  <c r="DM456" i="11"/>
  <c r="DN456" i="11"/>
  <c r="DO456" i="11"/>
  <c r="DP456" i="11"/>
  <c r="DQ456" i="11"/>
  <c r="DR456" i="11"/>
  <c r="DS456" i="11"/>
  <c r="DT456" i="11"/>
  <c r="DU456" i="11"/>
  <c r="DV456" i="11"/>
  <c r="DW456" i="11"/>
  <c r="DX456" i="11"/>
  <c r="DY456" i="11"/>
  <c r="DZ456" i="11"/>
  <c r="EA456" i="11"/>
  <c r="EB456" i="11"/>
  <c r="EC456" i="11"/>
  <c r="ED456" i="11"/>
  <c r="EE456" i="11"/>
  <c r="EF456" i="11"/>
  <c r="EG456" i="11"/>
  <c r="EH456" i="11"/>
  <c r="EI456" i="11"/>
  <c r="EJ456" i="11"/>
  <c r="EK456" i="11"/>
  <c r="EL456" i="11"/>
  <c r="EM456" i="11"/>
  <c r="EN456" i="11"/>
  <c r="EO456" i="11"/>
  <c r="EP456" i="11"/>
  <c r="EQ456" i="11"/>
  <c r="ER456" i="11"/>
  <c r="ES456" i="11"/>
  <c r="ET456" i="11"/>
  <c r="EU456" i="11"/>
  <c r="EV456" i="11"/>
  <c r="EW456" i="11"/>
  <c r="EX456" i="11"/>
  <c r="EY456" i="11"/>
  <c r="EZ456" i="11"/>
  <c r="FA456" i="11"/>
  <c r="FB456" i="11"/>
  <c r="FC456" i="11"/>
  <c r="FD456" i="11"/>
  <c r="FE456" i="11"/>
  <c r="FF456" i="11"/>
  <c r="FG456" i="11"/>
  <c r="FH456" i="11"/>
  <c r="FI456" i="11"/>
  <c r="FJ456" i="11"/>
  <c r="FK456" i="11"/>
  <c r="FL456" i="11"/>
  <c r="FM456" i="11"/>
  <c r="FN456" i="11"/>
  <c r="FO456" i="11"/>
  <c r="FP456" i="11"/>
  <c r="FQ456" i="11"/>
  <c r="FR456" i="11"/>
  <c r="FS456" i="11"/>
  <c r="FT456" i="11"/>
  <c r="FU456" i="11"/>
  <c r="FV456" i="11"/>
  <c r="FW456" i="11"/>
  <c r="FX456" i="11"/>
  <c r="FY456" i="11"/>
  <c r="FZ456" i="11"/>
  <c r="GA456" i="11"/>
  <c r="GB456" i="11"/>
  <c r="GC456" i="11"/>
  <c r="GD456" i="11"/>
  <c r="GE456" i="11"/>
  <c r="GF456" i="11"/>
  <c r="GG456" i="11"/>
  <c r="GH456" i="11"/>
  <c r="GI456" i="11"/>
  <c r="GJ456" i="11"/>
  <c r="GK456" i="11"/>
  <c r="GL456" i="11"/>
  <c r="GM456" i="11"/>
  <c r="GN456" i="11"/>
  <c r="GO456" i="11"/>
  <c r="GP456" i="11"/>
  <c r="GQ456" i="11"/>
  <c r="GR456" i="11"/>
  <c r="GS456" i="11"/>
  <c r="GT456" i="11"/>
  <c r="GU456" i="11"/>
  <c r="GV456" i="11"/>
  <c r="GW456" i="11"/>
  <c r="GX456" i="11"/>
  <c r="GY456" i="11"/>
  <c r="GZ456" i="11"/>
  <c r="HA456" i="11"/>
  <c r="HB456" i="11"/>
  <c r="HC456" i="11"/>
  <c r="HD456" i="11"/>
  <c r="HE456" i="11"/>
  <c r="HF456" i="11"/>
  <c r="HG456" i="11"/>
  <c r="HH456" i="11"/>
  <c r="HI456" i="11"/>
  <c r="HJ456" i="11"/>
  <c r="HK456" i="11"/>
  <c r="HL456" i="11"/>
  <c r="HM456" i="11"/>
  <c r="HN456" i="11"/>
  <c r="HO456" i="11"/>
  <c r="HP456" i="11"/>
  <c r="HQ456" i="11"/>
  <c r="HR456" i="11"/>
  <c r="HS456" i="11"/>
  <c r="HT456" i="11"/>
  <c r="HU456" i="11"/>
  <c r="HV456" i="11"/>
  <c r="HW456" i="11"/>
  <c r="HX456" i="11"/>
  <c r="HY456" i="11"/>
  <c r="HZ456" i="11"/>
  <c r="IA456" i="11"/>
  <c r="IB456" i="11"/>
  <c r="IC456" i="11"/>
  <c r="ID456" i="11"/>
  <c r="IE456" i="11"/>
  <c r="IF456" i="11"/>
  <c r="IG456" i="11"/>
  <c r="IH456" i="11"/>
  <c r="II456" i="11"/>
  <c r="IJ456" i="11"/>
  <c r="IK456" i="11"/>
  <c r="IL456" i="11"/>
  <c r="IM456" i="11"/>
  <c r="IN456" i="11"/>
  <c r="IO456" i="11"/>
  <c r="IP456" i="11"/>
  <c r="IQ456" i="11"/>
  <c r="IR456" i="11"/>
  <c r="IS456" i="11"/>
  <c r="IT456" i="11"/>
  <c r="IU456" i="11"/>
  <c r="IV456" i="11"/>
  <c r="F457" i="11"/>
  <c r="G457" i="11"/>
  <c r="H457" i="11"/>
  <c r="I457" i="11"/>
  <c r="J457" i="11"/>
  <c r="K457" i="11"/>
  <c r="L457" i="11"/>
  <c r="M457" i="11"/>
  <c r="N457" i="11"/>
  <c r="O457" i="11"/>
  <c r="P457" i="11"/>
  <c r="Q457" i="11"/>
  <c r="R457" i="11"/>
  <c r="S457" i="11"/>
  <c r="T457" i="11"/>
  <c r="U457" i="11"/>
  <c r="V457" i="11"/>
  <c r="W457" i="11"/>
  <c r="X457" i="11"/>
  <c r="Y457" i="11"/>
  <c r="Z457" i="11"/>
  <c r="AA457" i="11"/>
  <c r="AB457" i="11"/>
  <c r="AC457" i="11"/>
  <c r="AD457" i="11"/>
  <c r="AE457" i="11"/>
  <c r="AF457" i="11"/>
  <c r="AG457" i="11"/>
  <c r="AH457" i="11"/>
  <c r="AI457" i="11"/>
  <c r="AJ457" i="11"/>
  <c r="AK457" i="11"/>
  <c r="AL457" i="11"/>
  <c r="AM457" i="11"/>
  <c r="AN457" i="11"/>
  <c r="AO457" i="11"/>
  <c r="AP457" i="11"/>
  <c r="AQ457" i="11"/>
  <c r="AR457" i="11"/>
  <c r="AS457" i="11"/>
  <c r="AT457" i="11"/>
  <c r="AU457" i="11"/>
  <c r="AV457" i="11"/>
  <c r="AW457" i="11"/>
  <c r="AX457" i="11"/>
  <c r="AY457" i="11"/>
  <c r="AZ457" i="11"/>
  <c r="BA457" i="11"/>
  <c r="BB457" i="11"/>
  <c r="BC457" i="11"/>
  <c r="BD457" i="11"/>
  <c r="BE457" i="11"/>
  <c r="BF457" i="11"/>
  <c r="BG457" i="11"/>
  <c r="BH457" i="11"/>
  <c r="BI457" i="11"/>
  <c r="BJ457" i="11"/>
  <c r="BK457" i="11"/>
  <c r="BL457" i="11"/>
  <c r="BM457" i="11"/>
  <c r="BN457" i="11"/>
  <c r="BO457" i="11"/>
  <c r="BP457" i="11"/>
  <c r="BQ457" i="11"/>
  <c r="BR457" i="11"/>
  <c r="BS457" i="11"/>
  <c r="BT457" i="11"/>
  <c r="BU457" i="11"/>
  <c r="BV457" i="11"/>
  <c r="BW457" i="11"/>
  <c r="BX457" i="11"/>
  <c r="BY457" i="11"/>
  <c r="BZ457" i="11"/>
  <c r="CA457" i="11"/>
  <c r="CB457" i="11"/>
  <c r="CC457" i="11"/>
  <c r="CD457" i="11"/>
  <c r="CE457" i="11"/>
  <c r="CF457" i="11"/>
  <c r="CG457" i="11"/>
  <c r="CH457" i="11"/>
  <c r="CI457" i="11"/>
  <c r="CJ457" i="11"/>
  <c r="CK457" i="11"/>
  <c r="CL457" i="11"/>
  <c r="CM457" i="11"/>
  <c r="CN457" i="11"/>
  <c r="CO457" i="11"/>
  <c r="CP457" i="11"/>
  <c r="CQ457" i="11"/>
  <c r="CR457" i="11"/>
  <c r="CS457" i="11"/>
  <c r="CT457" i="11"/>
  <c r="CU457" i="11"/>
  <c r="CV457" i="11"/>
  <c r="CW457" i="11"/>
  <c r="CX457" i="11"/>
  <c r="CY457" i="11"/>
  <c r="CZ457" i="11"/>
  <c r="DA457" i="11"/>
  <c r="DB457" i="11"/>
  <c r="DC457" i="11"/>
  <c r="DD457" i="11"/>
  <c r="DE457" i="11"/>
  <c r="DF457" i="11"/>
  <c r="DG457" i="11"/>
  <c r="DH457" i="11"/>
  <c r="DI457" i="11"/>
  <c r="DJ457" i="11"/>
  <c r="DK457" i="11"/>
  <c r="DL457" i="11"/>
  <c r="DM457" i="11"/>
  <c r="DN457" i="11"/>
  <c r="DO457" i="11"/>
  <c r="DP457" i="11"/>
  <c r="DQ457" i="11"/>
  <c r="DR457" i="11"/>
  <c r="DS457" i="11"/>
  <c r="DT457" i="11"/>
  <c r="DU457" i="11"/>
  <c r="DV457" i="11"/>
  <c r="DW457" i="11"/>
  <c r="DX457" i="11"/>
  <c r="DY457" i="11"/>
  <c r="DZ457" i="11"/>
  <c r="EA457" i="11"/>
  <c r="EB457" i="11"/>
  <c r="EC457" i="11"/>
  <c r="ED457" i="11"/>
  <c r="EE457" i="11"/>
  <c r="EF457" i="11"/>
  <c r="EG457" i="11"/>
  <c r="EH457" i="11"/>
  <c r="EI457" i="11"/>
  <c r="EJ457" i="11"/>
  <c r="EK457" i="11"/>
  <c r="EL457" i="11"/>
  <c r="EM457" i="11"/>
  <c r="EN457" i="11"/>
  <c r="EO457" i="11"/>
  <c r="EP457" i="11"/>
  <c r="EQ457" i="11"/>
  <c r="ER457" i="11"/>
  <c r="ES457" i="11"/>
  <c r="ET457" i="11"/>
  <c r="EU457" i="11"/>
  <c r="EV457" i="11"/>
  <c r="EW457" i="11"/>
  <c r="EX457" i="11"/>
  <c r="EY457" i="11"/>
  <c r="EZ457" i="11"/>
  <c r="FA457" i="11"/>
  <c r="FB457" i="11"/>
  <c r="FC457" i="11"/>
  <c r="FD457" i="11"/>
  <c r="FE457" i="11"/>
  <c r="FF457" i="11"/>
  <c r="FG457" i="11"/>
  <c r="FH457" i="11"/>
  <c r="FI457" i="11"/>
  <c r="FJ457" i="11"/>
  <c r="FK457" i="11"/>
  <c r="FL457" i="11"/>
  <c r="FM457" i="11"/>
  <c r="FN457" i="11"/>
  <c r="FO457" i="11"/>
  <c r="FP457" i="11"/>
  <c r="FQ457" i="11"/>
  <c r="FR457" i="11"/>
  <c r="FS457" i="11"/>
  <c r="FT457" i="11"/>
  <c r="FU457" i="11"/>
  <c r="FV457" i="11"/>
  <c r="FW457" i="11"/>
  <c r="FX457" i="11"/>
  <c r="FY457" i="11"/>
  <c r="FZ457" i="11"/>
  <c r="GA457" i="11"/>
  <c r="GB457" i="11"/>
  <c r="GC457" i="11"/>
  <c r="GD457" i="11"/>
  <c r="GE457" i="11"/>
  <c r="GF457" i="11"/>
  <c r="GG457" i="11"/>
  <c r="GH457" i="11"/>
  <c r="GI457" i="11"/>
  <c r="GJ457" i="11"/>
  <c r="GK457" i="11"/>
  <c r="GL457" i="11"/>
  <c r="GM457" i="11"/>
  <c r="GN457" i="11"/>
  <c r="GO457" i="11"/>
  <c r="GP457" i="11"/>
  <c r="GQ457" i="11"/>
  <c r="GR457" i="11"/>
  <c r="GS457" i="11"/>
  <c r="GT457" i="11"/>
  <c r="GU457" i="11"/>
  <c r="GV457" i="11"/>
  <c r="GW457" i="11"/>
  <c r="GX457" i="11"/>
  <c r="GY457" i="11"/>
  <c r="GZ457" i="11"/>
  <c r="HA457" i="11"/>
  <c r="HB457" i="11"/>
  <c r="HC457" i="11"/>
  <c r="HD457" i="11"/>
  <c r="HE457" i="11"/>
  <c r="HF457" i="11"/>
  <c r="HG457" i="11"/>
  <c r="HH457" i="11"/>
  <c r="HI457" i="11"/>
  <c r="HJ457" i="11"/>
  <c r="HK457" i="11"/>
  <c r="HL457" i="11"/>
  <c r="HM457" i="11"/>
  <c r="HN457" i="11"/>
  <c r="HO457" i="11"/>
  <c r="HP457" i="11"/>
  <c r="HQ457" i="11"/>
  <c r="HR457" i="11"/>
  <c r="HS457" i="11"/>
  <c r="HT457" i="11"/>
  <c r="HU457" i="11"/>
  <c r="HV457" i="11"/>
  <c r="HW457" i="11"/>
  <c r="HX457" i="11"/>
  <c r="HY457" i="11"/>
  <c r="HZ457" i="11"/>
  <c r="IA457" i="11"/>
  <c r="IB457" i="11"/>
  <c r="IC457" i="11"/>
  <c r="ID457" i="11"/>
  <c r="IE457" i="11"/>
  <c r="IF457" i="11"/>
  <c r="IG457" i="11"/>
  <c r="IH457" i="11"/>
  <c r="II457" i="11"/>
  <c r="IJ457" i="11"/>
  <c r="IK457" i="11"/>
  <c r="IL457" i="11"/>
  <c r="IM457" i="11"/>
  <c r="IN457" i="11"/>
  <c r="IO457" i="11"/>
  <c r="IP457" i="11"/>
  <c r="IQ457" i="11"/>
  <c r="IR457" i="11"/>
  <c r="IS457" i="11"/>
  <c r="IT457" i="11"/>
  <c r="IU457" i="11"/>
  <c r="IV457" i="11"/>
  <c r="F458" i="11"/>
  <c r="G458" i="11"/>
  <c r="H458" i="11"/>
  <c r="I458" i="11"/>
  <c r="J458" i="11"/>
  <c r="K458" i="11"/>
  <c r="L458" i="11"/>
  <c r="M458" i="11"/>
  <c r="N458" i="11"/>
  <c r="O458" i="11"/>
  <c r="P458" i="11"/>
  <c r="Q458" i="11"/>
  <c r="R458" i="11"/>
  <c r="S458" i="11"/>
  <c r="T458" i="11"/>
  <c r="U458" i="11"/>
  <c r="V458" i="11"/>
  <c r="W458" i="11"/>
  <c r="X458" i="11"/>
  <c r="Y458" i="11"/>
  <c r="Z458" i="11"/>
  <c r="AA458" i="11"/>
  <c r="AB458" i="11"/>
  <c r="AC458" i="11"/>
  <c r="AD458" i="11"/>
  <c r="AE458" i="11"/>
  <c r="AF458" i="11"/>
  <c r="AG458" i="11"/>
  <c r="AH458" i="11"/>
  <c r="AI458" i="11"/>
  <c r="AJ458" i="11"/>
  <c r="AK458" i="11"/>
  <c r="AL458" i="11"/>
  <c r="AM458" i="11"/>
  <c r="AN458" i="11"/>
  <c r="AO458" i="11"/>
  <c r="AP458" i="11"/>
  <c r="AQ458" i="11"/>
  <c r="AR458" i="11"/>
  <c r="AS458" i="11"/>
  <c r="AT458" i="11"/>
  <c r="AU458" i="11"/>
  <c r="AV458" i="11"/>
  <c r="AW458" i="11"/>
  <c r="AX458" i="11"/>
  <c r="AY458" i="11"/>
  <c r="AZ458" i="11"/>
  <c r="BA458" i="11"/>
  <c r="BB458" i="11"/>
  <c r="BC458" i="11"/>
  <c r="BD458" i="11"/>
  <c r="BE458" i="11"/>
  <c r="BF458" i="11"/>
  <c r="BG458" i="11"/>
  <c r="BH458" i="11"/>
  <c r="BI458" i="11"/>
  <c r="BJ458" i="11"/>
  <c r="BK458" i="11"/>
  <c r="BL458" i="11"/>
  <c r="BM458" i="11"/>
  <c r="BN458" i="11"/>
  <c r="BO458" i="11"/>
  <c r="BP458" i="11"/>
  <c r="BQ458" i="11"/>
  <c r="BR458" i="11"/>
  <c r="BS458" i="11"/>
  <c r="BT458" i="11"/>
  <c r="BU458" i="11"/>
  <c r="BV458" i="11"/>
  <c r="BW458" i="11"/>
  <c r="BX458" i="11"/>
  <c r="BY458" i="11"/>
  <c r="BZ458" i="11"/>
  <c r="CA458" i="11"/>
  <c r="CB458" i="11"/>
  <c r="CC458" i="11"/>
  <c r="CD458" i="11"/>
  <c r="CE458" i="11"/>
  <c r="CF458" i="11"/>
  <c r="CG458" i="11"/>
  <c r="CH458" i="11"/>
  <c r="CI458" i="11"/>
  <c r="CJ458" i="11"/>
  <c r="CK458" i="11"/>
  <c r="CL458" i="11"/>
  <c r="CM458" i="11"/>
  <c r="CN458" i="11"/>
  <c r="CO458" i="11"/>
  <c r="CP458" i="11"/>
  <c r="CQ458" i="11"/>
  <c r="CR458" i="11"/>
  <c r="CS458" i="11"/>
  <c r="CT458" i="11"/>
  <c r="CU458" i="11"/>
  <c r="CV458" i="11"/>
  <c r="CW458" i="11"/>
  <c r="CX458" i="11"/>
  <c r="CY458" i="11"/>
  <c r="CZ458" i="11"/>
  <c r="DA458" i="11"/>
  <c r="DB458" i="11"/>
  <c r="DC458" i="11"/>
  <c r="DD458" i="11"/>
  <c r="DE458" i="11"/>
  <c r="DF458" i="11"/>
  <c r="DG458" i="11"/>
  <c r="DH458" i="11"/>
  <c r="DI458" i="11"/>
  <c r="DJ458" i="11"/>
  <c r="DK458" i="11"/>
  <c r="DL458" i="11"/>
  <c r="DM458" i="11"/>
  <c r="DN458" i="11"/>
  <c r="DO458" i="11"/>
  <c r="DP458" i="11"/>
  <c r="DQ458" i="11"/>
  <c r="DR458" i="11"/>
  <c r="DS458" i="11"/>
  <c r="DT458" i="11"/>
  <c r="DU458" i="11"/>
  <c r="DV458" i="11"/>
  <c r="DW458" i="11"/>
  <c r="DX458" i="11"/>
  <c r="DY458" i="11"/>
  <c r="DZ458" i="11"/>
  <c r="EA458" i="11"/>
  <c r="EB458" i="11"/>
  <c r="EC458" i="11"/>
  <c r="ED458" i="11"/>
  <c r="EE458" i="11"/>
  <c r="EF458" i="11"/>
  <c r="EG458" i="11"/>
  <c r="EH458" i="11"/>
  <c r="EI458" i="11"/>
  <c r="EJ458" i="11"/>
  <c r="EK458" i="11"/>
  <c r="EL458" i="11"/>
  <c r="EM458" i="11"/>
  <c r="EN458" i="11"/>
  <c r="EO458" i="11"/>
  <c r="EP458" i="11"/>
  <c r="EQ458" i="11"/>
  <c r="ER458" i="11"/>
  <c r="ES458" i="11"/>
  <c r="ET458" i="11"/>
  <c r="EU458" i="11"/>
  <c r="EV458" i="11"/>
  <c r="EW458" i="11"/>
  <c r="EX458" i="11"/>
  <c r="EY458" i="11"/>
  <c r="EZ458" i="11"/>
  <c r="FA458" i="11"/>
  <c r="FB458" i="11"/>
  <c r="FC458" i="11"/>
  <c r="FD458" i="11"/>
  <c r="FE458" i="11"/>
  <c r="FF458" i="11"/>
  <c r="FG458" i="11"/>
  <c r="FH458" i="11"/>
  <c r="FI458" i="11"/>
  <c r="FJ458" i="11"/>
  <c r="FK458" i="11"/>
  <c r="FL458" i="11"/>
  <c r="FM458" i="11"/>
  <c r="FN458" i="11"/>
  <c r="FO458" i="11"/>
  <c r="FP458" i="11"/>
  <c r="FQ458" i="11"/>
  <c r="FR458" i="11"/>
  <c r="FS458" i="11"/>
  <c r="FT458" i="11"/>
  <c r="FU458" i="11"/>
  <c r="FV458" i="11"/>
  <c r="FW458" i="11"/>
  <c r="FX458" i="11"/>
  <c r="FY458" i="11"/>
  <c r="FZ458" i="11"/>
  <c r="GA458" i="11"/>
  <c r="GB458" i="11"/>
  <c r="GC458" i="11"/>
  <c r="GD458" i="11"/>
  <c r="GE458" i="11"/>
  <c r="GF458" i="11"/>
  <c r="GG458" i="11"/>
  <c r="GH458" i="11"/>
  <c r="GI458" i="11"/>
  <c r="GJ458" i="11"/>
  <c r="GK458" i="11"/>
  <c r="GL458" i="11"/>
  <c r="GM458" i="11"/>
  <c r="GN458" i="11"/>
  <c r="GO458" i="11"/>
  <c r="GP458" i="11"/>
  <c r="GQ458" i="11"/>
  <c r="GR458" i="11"/>
  <c r="GS458" i="11"/>
  <c r="GT458" i="11"/>
  <c r="GU458" i="11"/>
  <c r="GV458" i="11"/>
  <c r="GW458" i="11"/>
  <c r="GX458" i="11"/>
  <c r="GY458" i="11"/>
  <c r="GZ458" i="11"/>
  <c r="HA458" i="11"/>
  <c r="HB458" i="11"/>
  <c r="HC458" i="11"/>
  <c r="HD458" i="11"/>
  <c r="HE458" i="11"/>
  <c r="HF458" i="11"/>
  <c r="HG458" i="11"/>
  <c r="HH458" i="11"/>
  <c r="HI458" i="11"/>
  <c r="HJ458" i="11"/>
  <c r="HK458" i="11"/>
  <c r="HL458" i="11"/>
  <c r="HM458" i="11"/>
  <c r="HN458" i="11"/>
  <c r="HO458" i="11"/>
  <c r="HP458" i="11"/>
  <c r="HQ458" i="11"/>
  <c r="HR458" i="11"/>
  <c r="HS458" i="11"/>
  <c r="HT458" i="11"/>
  <c r="HU458" i="11"/>
  <c r="HV458" i="11"/>
  <c r="HW458" i="11"/>
  <c r="HX458" i="11"/>
  <c r="HY458" i="11"/>
  <c r="HZ458" i="11"/>
  <c r="IA458" i="11"/>
  <c r="IB458" i="11"/>
  <c r="IC458" i="11"/>
  <c r="ID458" i="11"/>
  <c r="IE458" i="11"/>
  <c r="IF458" i="11"/>
  <c r="IG458" i="11"/>
  <c r="IH458" i="11"/>
  <c r="II458" i="11"/>
  <c r="IJ458" i="11"/>
  <c r="IK458" i="11"/>
  <c r="IL458" i="11"/>
  <c r="IM458" i="11"/>
  <c r="IN458" i="11"/>
  <c r="IO458" i="11"/>
  <c r="IP458" i="11"/>
  <c r="IQ458" i="11"/>
  <c r="IR458" i="11"/>
  <c r="IS458" i="11"/>
  <c r="IT458" i="11"/>
  <c r="IU458" i="11"/>
  <c r="IV458" i="11"/>
  <c r="F459" i="11"/>
  <c r="G459" i="11"/>
  <c r="H459" i="11"/>
  <c r="I459" i="11"/>
  <c r="J459" i="11"/>
  <c r="K459" i="11"/>
  <c r="L459" i="11"/>
  <c r="M459" i="11"/>
  <c r="N459" i="11"/>
  <c r="O459" i="11"/>
  <c r="P459" i="11"/>
  <c r="Q459" i="11"/>
  <c r="R459" i="11"/>
  <c r="S459" i="11"/>
  <c r="T459" i="11"/>
  <c r="U459" i="11"/>
  <c r="V459" i="11"/>
  <c r="W459" i="11"/>
  <c r="X459" i="11"/>
  <c r="Y459" i="11"/>
  <c r="Z459" i="11"/>
  <c r="AA459" i="11"/>
  <c r="AB459" i="11"/>
  <c r="AC459" i="11"/>
  <c r="AD459" i="11"/>
  <c r="AE459" i="11"/>
  <c r="AF459" i="11"/>
  <c r="AG459" i="11"/>
  <c r="AH459" i="11"/>
  <c r="AI459" i="11"/>
  <c r="AJ459" i="11"/>
  <c r="AK459" i="11"/>
  <c r="AL459" i="11"/>
  <c r="AM459" i="11"/>
  <c r="AN459" i="11"/>
  <c r="AO459" i="11"/>
  <c r="AP459" i="11"/>
  <c r="AQ459" i="11"/>
  <c r="AR459" i="11"/>
  <c r="AS459" i="11"/>
  <c r="AT459" i="11"/>
  <c r="AU459" i="11"/>
  <c r="AV459" i="11"/>
  <c r="AW459" i="11"/>
  <c r="AX459" i="11"/>
  <c r="AY459" i="11"/>
  <c r="AZ459" i="11"/>
  <c r="BA459" i="11"/>
  <c r="BB459" i="11"/>
  <c r="BC459" i="11"/>
  <c r="BD459" i="11"/>
  <c r="BE459" i="11"/>
  <c r="BF459" i="11"/>
  <c r="BG459" i="11"/>
  <c r="BH459" i="11"/>
  <c r="BI459" i="11"/>
  <c r="BJ459" i="11"/>
  <c r="BK459" i="11"/>
  <c r="BL459" i="11"/>
  <c r="BM459" i="11"/>
  <c r="BN459" i="11"/>
  <c r="BO459" i="11"/>
  <c r="BP459" i="11"/>
  <c r="BQ459" i="11"/>
  <c r="BR459" i="11"/>
  <c r="BS459" i="11"/>
  <c r="BT459" i="11"/>
  <c r="BU459" i="11"/>
  <c r="BV459" i="11"/>
  <c r="BW459" i="11"/>
  <c r="BX459" i="11"/>
  <c r="BY459" i="11"/>
  <c r="BZ459" i="11"/>
  <c r="CA459" i="11"/>
  <c r="CB459" i="11"/>
  <c r="CC459" i="11"/>
  <c r="CD459" i="11"/>
  <c r="CE459" i="11"/>
  <c r="CF459" i="11"/>
  <c r="CG459" i="11"/>
  <c r="CH459" i="11"/>
  <c r="CI459" i="11"/>
  <c r="CJ459" i="11"/>
  <c r="CK459" i="11"/>
  <c r="CL459" i="11"/>
  <c r="CM459" i="11"/>
  <c r="CN459" i="11"/>
  <c r="CO459" i="11"/>
  <c r="CP459" i="11"/>
  <c r="CQ459" i="11"/>
  <c r="CR459" i="11"/>
  <c r="CS459" i="11"/>
  <c r="CT459" i="11"/>
  <c r="CU459" i="11"/>
  <c r="CV459" i="11"/>
  <c r="CW459" i="11"/>
  <c r="CX459" i="11"/>
  <c r="CY459" i="11"/>
  <c r="CZ459" i="11"/>
  <c r="DA459" i="11"/>
  <c r="DB459" i="11"/>
  <c r="DC459" i="11"/>
  <c r="DD459" i="11"/>
  <c r="DE459" i="11"/>
  <c r="DF459" i="11"/>
  <c r="DG459" i="11"/>
  <c r="DH459" i="11"/>
  <c r="DI459" i="11"/>
  <c r="DJ459" i="11"/>
  <c r="DK459" i="11"/>
  <c r="DL459" i="11"/>
  <c r="DM459" i="11"/>
  <c r="DN459" i="11"/>
  <c r="DO459" i="11"/>
  <c r="DP459" i="11"/>
  <c r="DQ459" i="11"/>
  <c r="DR459" i="11"/>
  <c r="DS459" i="11"/>
  <c r="DT459" i="11"/>
  <c r="DU459" i="11"/>
  <c r="DV459" i="11"/>
  <c r="DW459" i="11"/>
  <c r="DX459" i="11"/>
  <c r="DY459" i="11"/>
  <c r="DZ459" i="11"/>
  <c r="EA459" i="11"/>
  <c r="EB459" i="11"/>
  <c r="EC459" i="11"/>
  <c r="ED459" i="11"/>
  <c r="EE459" i="11"/>
  <c r="EF459" i="11"/>
  <c r="EG459" i="11"/>
  <c r="EH459" i="11"/>
  <c r="EI459" i="11"/>
  <c r="EJ459" i="11"/>
  <c r="EK459" i="11"/>
  <c r="EL459" i="11"/>
  <c r="EM459" i="11"/>
  <c r="EN459" i="11"/>
  <c r="EO459" i="11"/>
  <c r="EP459" i="11"/>
  <c r="EQ459" i="11"/>
  <c r="ER459" i="11"/>
  <c r="ES459" i="11"/>
  <c r="ET459" i="11"/>
  <c r="EU459" i="11"/>
  <c r="EV459" i="11"/>
  <c r="EW459" i="11"/>
  <c r="EX459" i="11"/>
  <c r="EY459" i="11"/>
  <c r="EZ459" i="11"/>
  <c r="FA459" i="11"/>
  <c r="FB459" i="11"/>
  <c r="FC459" i="11"/>
  <c r="FD459" i="11"/>
  <c r="FE459" i="11"/>
  <c r="FF459" i="11"/>
  <c r="FG459" i="11"/>
  <c r="FH459" i="11"/>
  <c r="FI459" i="11"/>
  <c r="FJ459" i="11"/>
  <c r="FK459" i="11"/>
  <c r="FL459" i="11"/>
  <c r="FM459" i="11"/>
  <c r="FN459" i="11"/>
  <c r="FO459" i="11"/>
  <c r="FP459" i="11"/>
  <c r="FQ459" i="11"/>
  <c r="FR459" i="11"/>
  <c r="FS459" i="11"/>
  <c r="FT459" i="11"/>
  <c r="FU459" i="11"/>
  <c r="FV459" i="11"/>
  <c r="FW459" i="11"/>
  <c r="FX459" i="11"/>
  <c r="FY459" i="11"/>
  <c r="FZ459" i="11"/>
  <c r="GA459" i="11"/>
  <c r="GB459" i="11"/>
  <c r="GC459" i="11"/>
  <c r="GD459" i="11"/>
  <c r="GE459" i="11"/>
  <c r="GF459" i="11"/>
  <c r="GG459" i="11"/>
  <c r="GH459" i="11"/>
  <c r="GI459" i="11"/>
  <c r="GJ459" i="11"/>
  <c r="GK459" i="11"/>
  <c r="GL459" i="11"/>
  <c r="GM459" i="11"/>
  <c r="GN459" i="11"/>
  <c r="GO459" i="11"/>
  <c r="GP459" i="11"/>
  <c r="GQ459" i="11"/>
  <c r="GR459" i="11"/>
  <c r="GS459" i="11"/>
  <c r="GT459" i="11"/>
  <c r="GU459" i="11"/>
  <c r="GV459" i="11"/>
  <c r="GW459" i="11"/>
  <c r="GX459" i="11"/>
  <c r="GY459" i="11"/>
  <c r="GZ459" i="11"/>
  <c r="HA459" i="11"/>
  <c r="HB459" i="11"/>
  <c r="HC459" i="11"/>
  <c r="HD459" i="11"/>
  <c r="HE459" i="11"/>
  <c r="HF459" i="11"/>
  <c r="HG459" i="11"/>
  <c r="HH459" i="11"/>
  <c r="HI459" i="11"/>
  <c r="HJ459" i="11"/>
  <c r="HK459" i="11"/>
  <c r="HL459" i="11"/>
  <c r="HM459" i="11"/>
  <c r="HN459" i="11"/>
  <c r="HO459" i="11"/>
  <c r="HP459" i="11"/>
  <c r="HQ459" i="11"/>
  <c r="HR459" i="11"/>
  <c r="HS459" i="11"/>
  <c r="HT459" i="11"/>
  <c r="HU459" i="11"/>
  <c r="HV459" i="11"/>
  <c r="HW459" i="11"/>
  <c r="HX459" i="11"/>
  <c r="HY459" i="11"/>
  <c r="HZ459" i="11"/>
  <c r="IA459" i="11"/>
  <c r="IB459" i="11"/>
  <c r="IC459" i="11"/>
  <c r="ID459" i="11"/>
  <c r="IE459" i="11"/>
  <c r="IF459" i="11"/>
  <c r="IG459" i="11"/>
  <c r="IH459" i="11"/>
  <c r="II459" i="11"/>
  <c r="IJ459" i="11"/>
  <c r="IK459" i="11"/>
  <c r="IL459" i="11"/>
  <c r="IM459" i="11"/>
  <c r="IN459" i="11"/>
  <c r="IO459" i="11"/>
  <c r="IP459" i="11"/>
  <c r="IQ459" i="11"/>
  <c r="IR459" i="11"/>
  <c r="IS459" i="11"/>
  <c r="IT459" i="11"/>
  <c r="IU459" i="11"/>
  <c r="IV459" i="11"/>
  <c r="F460" i="11"/>
  <c r="G460" i="11"/>
  <c r="H460" i="11"/>
  <c r="I460" i="11"/>
  <c r="J460" i="11"/>
  <c r="K460" i="11"/>
  <c r="L460" i="11"/>
  <c r="M460" i="11"/>
  <c r="N460" i="11"/>
  <c r="O460" i="11"/>
  <c r="P460" i="11"/>
  <c r="Q460" i="11"/>
  <c r="R460" i="11"/>
  <c r="S460" i="11"/>
  <c r="T460" i="11"/>
  <c r="U460" i="11"/>
  <c r="V460" i="11"/>
  <c r="W460" i="11"/>
  <c r="X460" i="11"/>
  <c r="Y460" i="11"/>
  <c r="Z460" i="11"/>
  <c r="AA460" i="11"/>
  <c r="AB460" i="11"/>
  <c r="AC460" i="11"/>
  <c r="AD460" i="11"/>
  <c r="AE460" i="11"/>
  <c r="AF460" i="11"/>
  <c r="AG460" i="11"/>
  <c r="AH460" i="11"/>
  <c r="AI460" i="11"/>
  <c r="AJ460" i="11"/>
  <c r="AK460" i="11"/>
  <c r="AL460" i="11"/>
  <c r="AM460" i="11"/>
  <c r="AN460" i="11"/>
  <c r="AO460" i="11"/>
  <c r="AP460" i="11"/>
  <c r="AQ460" i="11"/>
  <c r="AR460" i="11"/>
  <c r="AS460" i="11"/>
  <c r="AT460" i="11"/>
  <c r="AU460" i="11"/>
  <c r="AV460" i="11"/>
  <c r="AW460" i="11"/>
  <c r="AX460" i="11"/>
  <c r="AY460" i="11"/>
  <c r="AZ460" i="11"/>
  <c r="BA460" i="11"/>
  <c r="BB460" i="11"/>
  <c r="BC460" i="11"/>
  <c r="BD460" i="11"/>
  <c r="BE460" i="11"/>
  <c r="BF460" i="11"/>
  <c r="BG460" i="11"/>
  <c r="BH460" i="11"/>
  <c r="BI460" i="11"/>
  <c r="BJ460" i="11"/>
  <c r="BK460" i="11"/>
  <c r="BL460" i="11"/>
  <c r="BM460" i="11"/>
  <c r="BN460" i="11"/>
  <c r="BO460" i="11"/>
  <c r="BP460" i="11"/>
  <c r="BQ460" i="11"/>
  <c r="BR460" i="11"/>
  <c r="BS460" i="11"/>
  <c r="BT460" i="11"/>
  <c r="BU460" i="11"/>
  <c r="BV460" i="11"/>
  <c r="BW460" i="11"/>
  <c r="BX460" i="11"/>
  <c r="BY460" i="11"/>
  <c r="BZ460" i="11"/>
  <c r="CA460" i="11"/>
  <c r="CB460" i="11"/>
  <c r="CC460" i="11"/>
  <c r="CD460" i="11"/>
  <c r="CE460" i="11"/>
  <c r="CF460" i="11"/>
  <c r="CG460" i="11"/>
  <c r="CH460" i="11"/>
  <c r="CI460" i="11"/>
  <c r="CJ460" i="11"/>
  <c r="CK460" i="11"/>
  <c r="CL460" i="11"/>
  <c r="CM460" i="11"/>
  <c r="CN460" i="11"/>
  <c r="CO460" i="11"/>
  <c r="CP460" i="11"/>
  <c r="CQ460" i="11"/>
  <c r="CR460" i="11"/>
  <c r="CS460" i="11"/>
  <c r="CT460" i="11"/>
  <c r="CU460" i="11"/>
  <c r="CV460" i="11"/>
  <c r="CW460" i="11"/>
  <c r="CX460" i="11"/>
  <c r="CY460" i="11"/>
  <c r="CZ460" i="11"/>
  <c r="DA460" i="11"/>
  <c r="DB460" i="11"/>
  <c r="DC460" i="11"/>
  <c r="DD460" i="11"/>
  <c r="DE460" i="11"/>
  <c r="DF460" i="11"/>
  <c r="DG460" i="11"/>
  <c r="DH460" i="11"/>
  <c r="DI460" i="11"/>
  <c r="DJ460" i="11"/>
  <c r="DK460" i="11"/>
  <c r="DL460" i="11"/>
  <c r="DM460" i="11"/>
  <c r="DN460" i="11"/>
  <c r="DO460" i="11"/>
  <c r="DP460" i="11"/>
  <c r="DQ460" i="11"/>
  <c r="DR460" i="11"/>
  <c r="DS460" i="11"/>
  <c r="DT460" i="11"/>
  <c r="DU460" i="11"/>
  <c r="DV460" i="11"/>
  <c r="DW460" i="11"/>
  <c r="DX460" i="11"/>
  <c r="DY460" i="11"/>
  <c r="DZ460" i="11"/>
  <c r="EA460" i="11"/>
  <c r="EB460" i="11"/>
  <c r="EC460" i="11"/>
  <c r="ED460" i="11"/>
  <c r="EE460" i="11"/>
  <c r="EF460" i="11"/>
  <c r="EG460" i="11"/>
  <c r="EH460" i="11"/>
  <c r="EI460" i="11"/>
  <c r="EJ460" i="11"/>
  <c r="EK460" i="11"/>
  <c r="EL460" i="11"/>
  <c r="EM460" i="11"/>
  <c r="EN460" i="11"/>
  <c r="EO460" i="11"/>
  <c r="EP460" i="11"/>
  <c r="EQ460" i="11"/>
  <c r="ER460" i="11"/>
  <c r="ES460" i="11"/>
  <c r="ET460" i="11"/>
  <c r="EU460" i="11"/>
  <c r="EV460" i="11"/>
  <c r="EW460" i="11"/>
  <c r="EX460" i="11"/>
  <c r="EY460" i="11"/>
  <c r="EZ460" i="11"/>
  <c r="FA460" i="11"/>
  <c r="FB460" i="11"/>
  <c r="FC460" i="11"/>
  <c r="FD460" i="11"/>
  <c r="FE460" i="11"/>
  <c r="FF460" i="11"/>
  <c r="FG460" i="11"/>
  <c r="FH460" i="11"/>
  <c r="FI460" i="11"/>
  <c r="FJ460" i="11"/>
  <c r="FK460" i="11"/>
  <c r="FL460" i="11"/>
  <c r="FM460" i="11"/>
  <c r="FN460" i="11"/>
  <c r="FO460" i="11"/>
  <c r="FP460" i="11"/>
  <c r="FQ460" i="11"/>
  <c r="FR460" i="11"/>
  <c r="FS460" i="11"/>
  <c r="FT460" i="11"/>
  <c r="FU460" i="11"/>
  <c r="FV460" i="11"/>
  <c r="FW460" i="11"/>
  <c r="FX460" i="11"/>
  <c r="FY460" i="11"/>
  <c r="FZ460" i="11"/>
  <c r="GA460" i="11"/>
  <c r="GB460" i="11"/>
  <c r="GC460" i="11"/>
  <c r="GD460" i="11"/>
  <c r="GE460" i="11"/>
  <c r="GF460" i="11"/>
  <c r="GG460" i="11"/>
  <c r="GH460" i="11"/>
  <c r="GI460" i="11"/>
  <c r="GJ460" i="11"/>
  <c r="GK460" i="11"/>
  <c r="GL460" i="11"/>
  <c r="GM460" i="11"/>
  <c r="GN460" i="11"/>
  <c r="GO460" i="11"/>
  <c r="GP460" i="11"/>
  <c r="GQ460" i="11"/>
  <c r="GR460" i="11"/>
  <c r="GS460" i="11"/>
  <c r="GT460" i="11"/>
  <c r="GU460" i="11"/>
  <c r="GV460" i="11"/>
  <c r="GW460" i="11"/>
  <c r="GX460" i="11"/>
  <c r="GY460" i="11"/>
  <c r="GZ460" i="11"/>
  <c r="HA460" i="11"/>
  <c r="HB460" i="11"/>
  <c r="HC460" i="11"/>
  <c r="HD460" i="11"/>
  <c r="HE460" i="11"/>
  <c r="HF460" i="11"/>
  <c r="HG460" i="11"/>
  <c r="HH460" i="11"/>
  <c r="HI460" i="11"/>
  <c r="HJ460" i="11"/>
  <c r="HK460" i="11"/>
  <c r="HL460" i="11"/>
  <c r="HM460" i="11"/>
  <c r="HN460" i="11"/>
  <c r="HO460" i="11"/>
  <c r="HP460" i="11"/>
  <c r="HQ460" i="11"/>
  <c r="HR460" i="11"/>
  <c r="HS460" i="11"/>
  <c r="HT460" i="11"/>
  <c r="HU460" i="11"/>
  <c r="HV460" i="11"/>
  <c r="HW460" i="11"/>
  <c r="HX460" i="11"/>
  <c r="HY460" i="11"/>
  <c r="HZ460" i="11"/>
  <c r="IA460" i="11"/>
  <c r="IB460" i="11"/>
  <c r="IC460" i="11"/>
  <c r="ID460" i="11"/>
  <c r="IE460" i="11"/>
  <c r="IF460" i="11"/>
  <c r="IG460" i="11"/>
  <c r="IH460" i="11"/>
  <c r="II460" i="11"/>
  <c r="IJ460" i="11"/>
  <c r="IK460" i="11"/>
  <c r="IL460" i="11"/>
  <c r="IM460" i="11"/>
  <c r="IN460" i="11"/>
  <c r="IO460" i="11"/>
  <c r="IP460" i="11"/>
  <c r="IQ460" i="11"/>
  <c r="IR460" i="11"/>
  <c r="IS460" i="11"/>
  <c r="IT460" i="11"/>
  <c r="IU460" i="11"/>
  <c r="IV460" i="11"/>
  <c r="F461" i="11"/>
  <c r="G461" i="11"/>
  <c r="H461" i="11"/>
  <c r="I461" i="11"/>
  <c r="J461" i="11"/>
  <c r="K461" i="11"/>
  <c r="L461" i="11"/>
  <c r="M461" i="11"/>
  <c r="N461" i="11"/>
  <c r="O461" i="11"/>
  <c r="P461" i="11"/>
  <c r="Q461" i="11"/>
  <c r="R461" i="11"/>
  <c r="S461" i="11"/>
  <c r="T461" i="11"/>
  <c r="U461" i="11"/>
  <c r="V461" i="11"/>
  <c r="W461" i="11"/>
  <c r="X461" i="11"/>
  <c r="Y461" i="11"/>
  <c r="Z461" i="11"/>
  <c r="AA461" i="11"/>
  <c r="AB461" i="11"/>
  <c r="AC461" i="11"/>
  <c r="AD461" i="11"/>
  <c r="AE461" i="11"/>
  <c r="AF461" i="11"/>
  <c r="AG461" i="11"/>
  <c r="AH461" i="11"/>
  <c r="AI461" i="11"/>
  <c r="AJ461" i="11"/>
  <c r="AK461" i="11"/>
  <c r="AL461" i="11"/>
  <c r="AM461" i="11"/>
  <c r="AN461" i="11"/>
  <c r="AO461" i="11"/>
  <c r="AP461" i="11"/>
  <c r="AQ461" i="11"/>
  <c r="AR461" i="11"/>
  <c r="AS461" i="11"/>
  <c r="AT461" i="11"/>
  <c r="AU461" i="11"/>
  <c r="AV461" i="11"/>
  <c r="AW461" i="11"/>
  <c r="AX461" i="11"/>
  <c r="AY461" i="11"/>
  <c r="AZ461" i="11"/>
  <c r="BA461" i="11"/>
  <c r="BB461" i="11"/>
  <c r="BC461" i="11"/>
  <c r="BD461" i="11"/>
  <c r="BE461" i="11"/>
  <c r="BF461" i="11"/>
  <c r="BG461" i="11"/>
  <c r="BH461" i="11"/>
  <c r="BI461" i="11"/>
  <c r="BJ461" i="11"/>
  <c r="BK461" i="11"/>
  <c r="BL461" i="11"/>
  <c r="BM461" i="11"/>
  <c r="BN461" i="11"/>
  <c r="BO461" i="11"/>
  <c r="BP461" i="11"/>
  <c r="BQ461" i="11"/>
  <c r="BR461" i="11"/>
  <c r="BS461" i="11"/>
  <c r="BT461" i="11"/>
  <c r="BU461" i="11"/>
  <c r="BV461" i="11"/>
  <c r="BW461" i="11"/>
  <c r="BX461" i="11"/>
  <c r="BY461" i="11"/>
  <c r="BZ461" i="11"/>
  <c r="CA461" i="11"/>
  <c r="CB461" i="11"/>
  <c r="CC461" i="11"/>
  <c r="CD461" i="11"/>
  <c r="CE461" i="11"/>
  <c r="CF461" i="11"/>
  <c r="CG461" i="11"/>
  <c r="CH461" i="11"/>
  <c r="CI461" i="11"/>
  <c r="CJ461" i="11"/>
  <c r="CK461" i="11"/>
  <c r="CL461" i="11"/>
  <c r="CM461" i="11"/>
  <c r="CN461" i="11"/>
  <c r="CO461" i="11"/>
  <c r="CP461" i="11"/>
  <c r="CQ461" i="11"/>
  <c r="CR461" i="11"/>
  <c r="CS461" i="11"/>
  <c r="CT461" i="11"/>
  <c r="CU461" i="11"/>
  <c r="CV461" i="11"/>
  <c r="CW461" i="11"/>
  <c r="CX461" i="11"/>
  <c r="CY461" i="11"/>
  <c r="CZ461" i="11"/>
  <c r="DA461" i="11"/>
  <c r="DB461" i="11"/>
  <c r="DC461" i="11"/>
  <c r="DD461" i="11"/>
  <c r="DE461" i="11"/>
  <c r="DF461" i="11"/>
  <c r="DG461" i="11"/>
  <c r="DH461" i="11"/>
  <c r="DI461" i="11"/>
  <c r="DJ461" i="11"/>
  <c r="DK461" i="11"/>
  <c r="DL461" i="11"/>
  <c r="DM461" i="11"/>
  <c r="DN461" i="11"/>
  <c r="DO461" i="11"/>
  <c r="DP461" i="11"/>
  <c r="DQ461" i="11"/>
  <c r="DR461" i="11"/>
  <c r="DS461" i="11"/>
  <c r="DT461" i="11"/>
  <c r="DU461" i="11"/>
  <c r="DV461" i="11"/>
  <c r="DW461" i="11"/>
  <c r="DX461" i="11"/>
  <c r="DY461" i="11"/>
  <c r="DZ461" i="11"/>
  <c r="EA461" i="11"/>
  <c r="EB461" i="11"/>
  <c r="EC461" i="11"/>
  <c r="ED461" i="11"/>
  <c r="EE461" i="11"/>
  <c r="EF461" i="11"/>
  <c r="EG461" i="11"/>
  <c r="EH461" i="11"/>
  <c r="EI461" i="11"/>
  <c r="EJ461" i="11"/>
  <c r="EK461" i="11"/>
  <c r="EL461" i="11"/>
  <c r="EM461" i="11"/>
  <c r="EN461" i="11"/>
  <c r="EO461" i="11"/>
  <c r="EP461" i="11"/>
  <c r="EQ461" i="11"/>
  <c r="ER461" i="11"/>
  <c r="ES461" i="11"/>
  <c r="ET461" i="11"/>
  <c r="EU461" i="11"/>
  <c r="EV461" i="11"/>
  <c r="EW461" i="11"/>
  <c r="EX461" i="11"/>
  <c r="EY461" i="11"/>
  <c r="EZ461" i="11"/>
  <c r="FA461" i="11"/>
  <c r="FB461" i="11"/>
  <c r="FC461" i="11"/>
  <c r="FD461" i="11"/>
  <c r="FE461" i="11"/>
  <c r="FF461" i="11"/>
  <c r="FG461" i="11"/>
  <c r="FH461" i="11"/>
  <c r="FI461" i="11"/>
  <c r="FJ461" i="11"/>
  <c r="FK461" i="11"/>
  <c r="FL461" i="11"/>
  <c r="FM461" i="11"/>
  <c r="FN461" i="11"/>
  <c r="FO461" i="11"/>
  <c r="FP461" i="11"/>
  <c r="FQ461" i="11"/>
  <c r="FR461" i="11"/>
  <c r="FS461" i="11"/>
  <c r="FT461" i="11"/>
  <c r="FU461" i="11"/>
  <c r="FV461" i="11"/>
  <c r="FW461" i="11"/>
  <c r="FX461" i="11"/>
  <c r="FY461" i="11"/>
  <c r="FZ461" i="11"/>
  <c r="GA461" i="11"/>
  <c r="GB461" i="11"/>
  <c r="GC461" i="11"/>
  <c r="GD461" i="11"/>
  <c r="GE461" i="11"/>
  <c r="GF461" i="11"/>
  <c r="GG461" i="11"/>
  <c r="GH461" i="11"/>
  <c r="GI461" i="11"/>
  <c r="GJ461" i="11"/>
  <c r="GK461" i="11"/>
  <c r="GL461" i="11"/>
  <c r="GM461" i="11"/>
  <c r="GN461" i="11"/>
  <c r="GO461" i="11"/>
  <c r="GP461" i="11"/>
  <c r="GQ461" i="11"/>
  <c r="GR461" i="11"/>
  <c r="GS461" i="11"/>
  <c r="GT461" i="11"/>
  <c r="GU461" i="11"/>
  <c r="GV461" i="11"/>
  <c r="GW461" i="11"/>
  <c r="GX461" i="11"/>
  <c r="GY461" i="11"/>
  <c r="GZ461" i="11"/>
  <c r="HA461" i="11"/>
  <c r="HB461" i="11"/>
  <c r="HC461" i="11"/>
  <c r="HD461" i="11"/>
  <c r="HE461" i="11"/>
  <c r="HF461" i="11"/>
  <c r="HG461" i="11"/>
  <c r="HH461" i="11"/>
  <c r="HI461" i="11"/>
  <c r="HJ461" i="11"/>
  <c r="HK461" i="11"/>
  <c r="HL461" i="11"/>
  <c r="HM461" i="11"/>
  <c r="HN461" i="11"/>
  <c r="HO461" i="11"/>
  <c r="HP461" i="11"/>
  <c r="HQ461" i="11"/>
  <c r="HR461" i="11"/>
  <c r="HS461" i="11"/>
  <c r="HT461" i="11"/>
  <c r="HU461" i="11"/>
  <c r="HV461" i="11"/>
  <c r="HW461" i="11"/>
  <c r="HX461" i="11"/>
  <c r="HY461" i="11"/>
  <c r="HZ461" i="11"/>
  <c r="IA461" i="11"/>
  <c r="IB461" i="11"/>
  <c r="IC461" i="11"/>
  <c r="ID461" i="11"/>
  <c r="IE461" i="11"/>
  <c r="IF461" i="11"/>
  <c r="IG461" i="11"/>
  <c r="IH461" i="11"/>
  <c r="II461" i="11"/>
  <c r="IJ461" i="11"/>
  <c r="IK461" i="11"/>
  <c r="IL461" i="11"/>
  <c r="IM461" i="11"/>
  <c r="IN461" i="11"/>
  <c r="IO461" i="11"/>
  <c r="IP461" i="11"/>
  <c r="IQ461" i="11"/>
  <c r="IR461" i="11"/>
  <c r="IS461" i="11"/>
  <c r="IT461" i="11"/>
  <c r="IU461" i="11"/>
  <c r="IV461" i="11"/>
  <c r="F462" i="11"/>
  <c r="G462" i="11"/>
  <c r="H462" i="11"/>
  <c r="I462" i="11"/>
  <c r="J462" i="11"/>
  <c r="K462" i="11"/>
  <c r="L462" i="11"/>
  <c r="M462" i="11"/>
  <c r="N462" i="11"/>
  <c r="O462" i="11"/>
  <c r="P462" i="11"/>
  <c r="Q462" i="11"/>
  <c r="R462" i="11"/>
  <c r="S462" i="11"/>
  <c r="T462" i="11"/>
  <c r="U462" i="11"/>
  <c r="V462" i="11"/>
  <c r="W462" i="11"/>
  <c r="X462" i="11"/>
  <c r="Y462" i="11"/>
  <c r="Z462" i="11"/>
  <c r="AA462" i="11"/>
  <c r="AB462" i="11"/>
  <c r="AC462" i="11"/>
  <c r="AD462" i="11"/>
  <c r="AE462" i="11"/>
  <c r="AF462" i="11"/>
  <c r="AG462" i="11"/>
  <c r="AH462" i="11"/>
  <c r="AI462" i="11"/>
  <c r="AJ462" i="11"/>
  <c r="AK462" i="11"/>
  <c r="AL462" i="11"/>
  <c r="AM462" i="11"/>
  <c r="AN462" i="11"/>
  <c r="AO462" i="11"/>
  <c r="AP462" i="11"/>
  <c r="AQ462" i="11"/>
  <c r="AR462" i="11"/>
  <c r="AS462" i="11"/>
  <c r="AT462" i="11"/>
  <c r="AU462" i="11"/>
  <c r="AV462" i="11"/>
  <c r="AW462" i="11"/>
  <c r="AX462" i="11"/>
  <c r="AY462" i="11"/>
  <c r="AZ462" i="11"/>
  <c r="BA462" i="11"/>
  <c r="BB462" i="11"/>
  <c r="BC462" i="11"/>
  <c r="BD462" i="11"/>
  <c r="BE462" i="11"/>
  <c r="BF462" i="11"/>
  <c r="BG462" i="11"/>
  <c r="BH462" i="11"/>
  <c r="BI462" i="11"/>
  <c r="BJ462" i="11"/>
  <c r="BK462" i="11"/>
  <c r="BL462" i="11"/>
  <c r="BM462" i="11"/>
  <c r="BN462" i="11"/>
  <c r="BO462" i="11"/>
  <c r="BP462" i="11"/>
  <c r="BQ462" i="11"/>
  <c r="BR462" i="11"/>
  <c r="BS462" i="11"/>
  <c r="BT462" i="11"/>
  <c r="BU462" i="11"/>
  <c r="BV462" i="11"/>
  <c r="BW462" i="11"/>
  <c r="BX462" i="11"/>
  <c r="BY462" i="11"/>
  <c r="BZ462" i="11"/>
  <c r="CA462" i="11"/>
  <c r="CB462" i="11"/>
  <c r="CC462" i="11"/>
  <c r="CD462" i="11"/>
  <c r="CE462" i="11"/>
  <c r="CF462" i="11"/>
  <c r="CG462" i="11"/>
  <c r="CH462" i="11"/>
  <c r="CI462" i="11"/>
  <c r="CJ462" i="11"/>
  <c r="CK462" i="11"/>
  <c r="CL462" i="11"/>
  <c r="CM462" i="11"/>
  <c r="CN462" i="11"/>
  <c r="CO462" i="11"/>
  <c r="CP462" i="11"/>
  <c r="CQ462" i="11"/>
  <c r="CR462" i="11"/>
  <c r="CS462" i="11"/>
  <c r="CT462" i="11"/>
  <c r="CU462" i="11"/>
  <c r="CV462" i="11"/>
  <c r="CW462" i="11"/>
  <c r="CX462" i="11"/>
  <c r="CY462" i="11"/>
  <c r="CZ462" i="11"/>
  <c r="DA462" i="11"/>
  <c r="DB462" i="11"/>
  <c r="DC462" i="11"/>
  <c r="DD462" i="11"/>
  <c r="DE462" i="11"/>
  <c r="DF462" i="11"/>
  <c r="DG462" i="11"/>
  <c r="DH462" i="11"/>
  <c r="DI462" i="11"/>
  <c r="DJ462" i="11"/>
  <c r="DK462" i="11"/>
  <c r="DL462" i="11"/>
  <c r="DM462" i="11"/>
  <c r="DN462" i="11"/>
  <c r="DO462" i="11"/>
  <c r="DP462" i="11"/>
  <c r="DQ462" i="11"/>
  <c r="DR462" i="11"/>
  <c r="DS462" i="11"/>
  <c r="DT462" i="11"/>
  <c r="DU462" i="11"/>
  <c r="DV462" i="11"/>
  <c r="DW462" i="11"/>
  <c r="DX462" i="11"/>
  <c r="DY462" i="11"/>
  <c r="DZ462" i="11"/>
  <c r="EA462" i="11"/>
  <c r="EB462" i="11"/>
  <c r="EC462" i="11"/>
  <c r="ED462" i="11"/>
  <c r="EE462" i="11"/>
  <c r="EF462" i="11"/>
  <c r="EG462" i="11"/>
  <c r="EH462" i="11"/>
  <c r="EI462" i="11"/>
  <c r="EJ462" i="11"/>
  <c r="EK462" i="11"/>
  <c r="EL462" i="11"/>
  <c r="EM462" i="11"/>
  <c r="EN462" i="11"/>
  <c r="EO462" i="11"/>
  <c r="EP462" i="11"/>
  <c r="EQ462" i="11"/>
  <c r="ER462" i="11"/>
  <c r="ES462" i="11"/>
  <c r="ET462" i="11"/>
  <c r="EU462" i="11"/>
  <c r="EV462" i="11"/>
  <c r="EW462" i="11"/>
  <c r="EX462" i="11"/>
  <c r="EY462" i="11"/>
  <c r="EZ462" i="11"/>
  <c r="FA462" i="11"/>
  <c r="FB462" i="11"/>
  <c r="FC462" i="11"/>
  <c r="FD462" i="11"/>
  <c r="FE462" i="11"/>
  <c r="FF462" i="11"/>
  <c r="FG462" i="11"/>
  <c r="FH462" i="11"/>
  <c r="FI462" i="11"/>
  <c r="FJ462" i="11"/>
  <c r="FK462" i="11"/>
  <c r="FL462" i="11"/>
  <c r="FM462" i="11"/>
  <c r="FN462" i="11"/>
  <c r="FO462" i="11"/>
  <c r="FP462" i="11"/>
  <c r="FQ462" i="11"/>
  <c r="FR462" i="11"/>
  <c r="FS462" i="11"/>
  <c r="FT462" i="11"/>
  <c r="FU462" i="11"/>
  <c r="FV462" i="11"/>
  <c r="FW462" i="11"/>
  <c r="FX462" i="11"/>
  <c r="FY462" i="11"/>
  <c r="FZ462" i="11"/>
  <c r="GA462" i="11"/>
  <c r="GB462" i="11"/>
  <c r="GC462" i="11"/>
  <c r="GD462" i="11"/>
  <c r="GE462" i="11"/>
  <c r="GF462" i="11"/>
  <c r="GG462" i="11"/>
  <c r="GH462" i="11"/>
  <c r="GI462" i="11"/>
  <c r="GJ462" i="11"/>
  <c r="GK462" i="11"/>
  <c r="GL462" i="11"/>
  <c r="GM462" i="11"/>
  <c r="GN462" i="11"/>
  <c r="GO462" i="11"/>
  <c r="GP462" i="11"/>
  <c r="GQ462" i="11"/>
  <c r="GR462" i="11"/>
  <c r="GS462" i="11"/>
  <c r="GT462" i="11"/>
  <c r="GU462" i="11"/>
  <c r="GV462" i="11"/>
  <c r="GW462" i="11"/>
  <c r="GX462" i="11"/>
  <c r="GY462" i="11"/>
  <c r="GZ462" i="11"/>
  <c r="HA462" i="11"/>
  <c r="HB462" i="11"/>
  <c r="HC462" i="11"/>
  <c r="HD462" i="11"/>
  <c r="HE462" i="11"/>
  <c r="HF462" i="11"/>
  <c r="HG462" i="11"/>
  <c r="HH462" i="11"/>
  <c r="HI462" i="11"/>
  <c r="HJ462" i="11"/>
  <c r="HK462" i="11"/>
  <c r="HL462" i="11"/>
  <c r="HM462" i="11"/>
  <c r="HN462" i="11"/>
  <c r="HO462" i="11"/>
  <c r="HP462" i="11"/>
  <c r="HQ462" i="11"/>
  <c r="HR462" i="11"/>
  <c r="HS462" i="11"/>
  <c r="HT462" i="11"/>
  <c r="HU462" i="11"/>
  <c r="HV462" i="11"/>
  <c r="HW462" i="11"/>
  <c r="HX462" i="11"/>
  <c r="HY462" i="11"/>
  <c r="HZ462" i="11"/>
  <c r="IA462" i="11"/>
  <c r="IB462" i="11"/>
  <c r="IC462" i="11"/>
  <c r="ID462" i="11"/>
  <c r="IE462" i="11"/>
  <c r="IF462" i="11"/>
  <c r="IG462" i="11"/>
  <c r="IH462" i="11"/>
  <c r="II462" i="11"/>
  <c r="IJ462" i="11"/>
  <c r="IK462" i="11"/>
  <c r="IL462" i="11"/>
  <c r="IM462" i="11"/>
  <c r="IN462" i="11"/>
  <c r="IO462" i="11"/>
  <c r="IP462" i="11"/>
  <c r="IQ462" i="11"/>
  <c r="IR462" i="11"/>
  <c r="IS462" i="11"/>
  <c r="IT462" i="11"/>
  <c r="IU462" i="11"/>
  <c r="IV462" i="11"/>
  <c r="F463" i="11"/>
  <c r="G463" i="11"/>
  <c r="H463" i="11"/>
  <c r="I463" i="11"/>
  <c r="J463" i="11"/>
  <c r="K463" i="11"/>
  <c r="L463" i="11"/>
  <c r="M463" i="11"/>
  <c r="N463" i="11"/>
  <c r="O463" i="11"/>
  <c r="P463" i="11"/>
  <c r="Q463" i="11"/>
  <c r="R463" i="11"/>
  <c r="S463" i="11"/>
  <c r="T463" i="11"/>
  <c r="U463" i="11"/>
  <c r="V463" i="11"/>
  <c r="W463" i="11"/>
  <c r="X463" i="11"/>
  <c r="Y463" i="11"/>
  <c r="Z463" i="11"/>
  <c r="AA463" i="11"/>
  <c r="AB463" i="11"/>
  <c r="AC463" i="11"/>
  <c r="AD463" i="11"/>
  <c r="AE463" i="11"/>
  <c r="AF463" i="11"/>
  <c r="AG463" i="11"/>
  <c r="AH463" i="11"/>
  <c r="AI463" i="11"/>
  <c r="AJ463" i="11"/>
  <c r="AK463" i="11"/>
  <c r="AL463" i="11"/>
  <c r="AM463" i="11"/>
  <c r="AN463" i="11"/>
  <c r="AO463" i="11"/>
  <c r="AP463" i="11"/>
  <c r="AQ463" i="11"/>
  <c r="AR463" i="11"/>
  <c r="AS463" i="11"/>
  <c r="AT463" i="11"/>
  <c r="AU463" i="11"/>
  <c r="AV463" i="11"/>
  <c r="AW463" i="11"/>
  <c r="AX463" i="11"/>
  <c r="AY463" i="11"/>
  <c r="AZ463" i="11"/>
  <c r="BA463" i="11"/>
  <c r="BB463" i="11"/>
  <c r="BC463" i="11"/>
  <c r="BD463" i="11"/>
  <c r="BE463" i="11"/>
  <c r="BF463" i="11"/>
  <c r="BG463" i="11"/>
  <c r="BH463" i="11"/>
  <c r="BI463" i="11"/>
  <c r="BJ463" i="11"/>
  <c r="BK463" i="11"/>
  <c r="BL463" i="11"/>
  <c r="BM463" i="11"/>
  <c r="BN463" i="11"/>
  <c r="BO463" i="11"/>
  <c r="BP463" i="11"/>
  <c r="BQ463" i="11"/>
  <c r="BR463" i="11"/>
  <c r="BS463" i="11"/>
  <c r="BT463" i="11"/>
  <c r="BU463" i="11"/>
  <c r="BV463" i="11"/>
  <c r="BW463" i="11"/>
  <c r="BX463" i="11"/>
  <c r="BY463" i="11"/>
  <c r="BZ463" i="11"/>
  <c r="CA463" i="11"/>
  <c r="CB463" i="11"/>
  <c r="CC463" i="11"/>
  <c r="CD463" i="11"/>
  <c r="CE463" i="11"/>
  <c r="CF463" i="11"/>
  <c r="CG463" i="11"/>
  <c r="CH463" i="11"/>
  <c r="CI463" i="11"/>
  <c r="CJ463" i="11"/>
  <c r="CK463" i="11"/>
  <c r="CL463" i="11"/>
  <c r="CM463" i="11"/>
  <c r="CN463" i="11"/>
  <c r="CO463" i="11"/>
  <c r="CP463" i="11"/>
  <c r="CQ463" i="11"/>
  <c r="CR463" i="11"/>
  <c r="CS463" i="11"/>
  <c r="CT463" i="11"/>
  <c r="CU463" i="11"/>
  <c r="CV463" i="11"/>
  <c r="CW463" i="11"/>
  <c r="CX463" i="11"/>
  <c r="CY463" i="11"/>
  <c r="CZ463" i="11"/>
  <c r="DA463" i="11"/>
  <c r="DB463" i="11"/>
  <c r="DC463" i="11"/>
  <c r="DD463" i="11"/>
  <c r="DE463" i="11"/>
  <c r="DF463" i="11"/>
  <c r="DG463" i="11"/>
  <c r="DH463" i="11"/>
  <c r="DI463" i="11"/>
  <c r="DJ463" i="11"/>
  <c r="DK463" i="11"/>
  <c r="DL463" i="11"/>
  <c r="DM463" i="11"/>
  <c r="DN463" i="11"/>
  <c r="DO463" i="11"/>
  <c r="DP463" i="11"/>
  <c r="DQ463" i="11"/>
  <c r="DR463" i="11"/>
  <c r="DS463" i="11"/>
  <c r="DT463" i="11"/>
  <c r="DU463" i="11"/>
  <c r="DV463" i="11"/>
  <c r="DW463" i="11"/>
  <c r="DX463" i="11"/>
  <c r="DY463" i="11"/>
  <c r="DZ463" i="11"/>
  <c r="EA463" i="11"/>
  <c r="EB463" i="11"/>
  <c r="EC463" i="11"/>
  <c r="ED463" i="11"/>
  <c r="EE463" i="11"/>
  <c r="EF463" i="11"/>
  <c r="EG463" i="11"/>
  <c r="EH463" i="11"/>
  <c r="EI463" i="11"/>
  <c r="EJ463" i="11"/>
  <c r="EK463" i="11"/>
  <c r="EL463" i="11"/>
  <c r="EM463" i="11"/>
  <c r="EN463" i="11"/>
  <c r="EO463" i="11"/>
  <c r="EP463" i="11"/>
  <c r="EQ463" i="11"/>
  <c r="ER463" i="11"/>
  <c r="ES463" i="11"/>
  <c r="ET463" i="11"/>
  <c r="EU463" i="11"/>
  <c r="EV463" i="11"/>
  <c r="EW463" i="11"/>
  <c r="EX463" i="11"/>
  <c r="EY463" i="11"/>
  <c r="EZ463" i="11"/>
  <c r="FA463" i="11"/>
  <c r="FB463" i="11"/>
  <c r="FC463" i="11"/>
  <c r="FD463" i="11"/>
  <c r="FE463" i="11"/>
  <c r="FF463" i="11"/>
  <c r="FG463" i="11"/>
  <c r="FH463" i="11"/>
  <c r="FI463" i="11"/>
  <c r="FJ463" i="11"/>
  <c r="FK463" i="11"/>
  <c r="FL463" i="11"/>
  <c r="FM463" i="11"/>
  <c r="FN463" i="11"/>
  <c r="FO463" i="11"/>
  <c r="FP463" i="11"/>
  <c r="FQ463" i="11"/>
  <c r="FR463" i="11"/>
  <c r="FS463" i="11"/>
  <c r="FT463" i="11"/>
  <c r="FU463" i="11"/>
  <c r="FV463" i="11"/>
  <c r="FW463" i="11"/>
  <c r="FX463" i="11"/>
  <c r="FY463" i="11"/>
  <c r="FZ463" i="11"/>
  <c r="GA463" i="11"/>
  <c r="GB463" i="11"/>
  <c r="GC463" i="11"/>
  <c r="GD463" i="11"/>
  <c r="GE463" i="11"/>
  <c r="GF463" i="11"/>
  <c r="GG463" i="11"/>
  <c r="GH463" i="11"/>
  <c r="GI463" i="11"/>
  <c r="GJ463" i="11"/>
  <c r="GK463" i="11"/>
  <c r="GL463" i="11"/>
  <c r="GM463" i="11"/>
  <c r="GN463" i="11"/>
  <c r="GO463" i="11"/>
  <c r="GP463" i="11"/>
  <c r="GQ463" i="11"/>
  <c r="GR463" i="11"/>
  <c r="GS463" i="11"/>
  <c r="GT463" i="11"/>
  <c r="GU463" i="11"/>
  <c r="GV463" i="11"/>
  <c r="GW463" i="11"/>
  <c r="GX463" i="11"/>
  <c r="GY463" i="11"/>
  <c r="GZ463" i="11"/>
  <c r="HA463" i="11"/>
  <c r="HB463" i="11"/>
  <c r="HC463" i="11"/>
  <c r="HD463" i="11"/>
  <c r="HE463" i="11"/>
  <c r="HF463" i="11"/>
  <c r="HG463" i="11"/>
  <c r="HH463" i="11"/>
  <c r="HI463" i="11"/>
  <c r="HJ463" i="11"/>
  <c r="HK463" i="11"/>
  <c r="HL463" i="11"/>
  <c r="HM463" i="11"/>
  <c r="HN463" i="11"/>
  <c r="HO463" i="11"/>
  <c r="HP463" i="11"/>
  <c r="HQ463" i="11"/>
  <c r="HR463" i="11"/>
  <c r="HS463" i="11"/>
  <c r="HT463" i="11"/>
  <c r="HU463" i="11"/>
  <c r="HV463" i="11"/>
  <c r="HW463" i="11"/>
  <c r="HX463" i="11"/>
  <c r="HY463" i="11"/>
  <c r="HZ463" i="11"/>
  <c r="IA463" i="11"/>
  <c r="IB463" i="11"/>
  <c r="IC463" i="11"/>
  <c r="ID463" i="11"/>
  <c r="IE463" i="11"/>
  <c r="IF463" i="11"/>
  <c r="IG463" i="11"/>
  <c r="IH463" i="11"/>
  <c r="II463" i="11"/>
  <c r="IJ463" i="11"/>
  <c r="IK463" i="11"/>
  <c r="IL463" i="11"/>
  <c r="IM463" i="11"/>
  <c r="IN463" i="11"/>
  <c r="IO463" i="11"/>
  <c r="IP463" i="11"/>
  <c r="IQ463" i="11"/>
  <c r="IR463" i="11"/>
  <c r="IS463" i="11"/>
  <c r="IT463" i="11"/>
  <c r="IU463" i="11"/>
  <c r="IV463" i="11"/>
  <c r="F464" i="11"/>
  <c r="G464" i="11"/>
  <c r="H464" i="11"/>
  <c r="I464" i="11"/>
  <c r="J464" i="11"/>
  <c r="K464" i="11"/>
  <c r="L464" i="11"/>
  <c r="M464" i="11"/>
  <c r="N464" i="11"/>
  <c r="O464" i="11"/>
  <c r="P464" i="11"/>
  <c r="Q464" i="11"/>
  <c r="R464" i="11"/>
  <c r="S464" i="11"/>
  <c r="T464" i="11"/>
  <c r="U464" i="11"/>
  <c r="V464" i="11"/>
  <c r="W464" i="11"/>
  <c r="X464" i="11"/>
  <c r="Y464" i="11"/>
  <c r="Z464" i="11"/>
  <c r="AA464" i="11"/>
  <c r="AB464" i="11"/>
  <c r="AC464" i="11"/>
  <c r="AD464" i="11"/>
  <c r="AE464" i="11"/>
  <c r="AF464" i="11"/>
  <c r="AG464" i="11"/>
  <c r="AH464" i="11"/>
  <c r="AI464" i="11"/>
  <c r="AJ464" i="11"/>
  <c r="AK464" i="11"/>
  <c r="AL464" i="11"/>
  <c r="AM464" i="11"/>
  <c r="AN464" i="11"/>
  <c r="AO464" i="11"/>
  <c r="AP464" i="11"/>
  <c r="AQ464" i="11"/>
  <c r="AR464" i="11"/>
  <c r="AS464" i="11"/>
  <c r="AT464" i="11"/>
  <c r="AU464" i="11"/>
  <c r="AV464" i="11"/>
  <c r="AW464" i="11"/>
  <c r="AX464" i="11"/>
  <c r="AY464" i="11"/>
  <c r="AZ464" i="11"/>
  <c r="BA464" i="11"/>
  <c r="BB464" i="11"/>
  <c r="BC464" i="11"/>
  <c r="BD464" i="11"/>
  <c r="BE464" i="11"/>
  <c r="BF464" i="11"/>
  <c r="BG464" i="11"/>
  <c r="BH464" i="11"/>
  <c r="BI464" i="11"/>
  <c r="BJ464" i="11"/>
  <c r="BK464" i="11"/>
  <c r="BL464" i="11"/>
  <c r="BM464" i="11"/>
  <c r="BN464" i="11"/>
  <c r="BO464" i="11"/>
  <c r="BP464" i="11"/>
  <c r="BQ464" i="11"/>
  <c r="BR464" i="11"/>
  <c r="BS464" i="11"/>
  <c r="BT464" i="11"/>
  <c r="BU464" i="11"/>
  <c r="BV464" i="11"/>
  <c r="BW464" i="11"/>
  <c r="BX464" i="11"/>
  <c r="BY464" i="11"/>
  <c r="BZ464" i="11"/>
  <c r="CA464" i="11"/>
  <c r="CB464" i="11"/>
  <c r="CC464" i="11"/>
  <c r="CD464" i="11"/>
  <c r="CE464" i="11"/>
  <c r="CF464" i="11"/>
  <c r="CG464" i="11"/>
  <c r="CH464" i="11"/>
  <c r="CI464" i="11"/>
  <c r="CJ464" i="11"/>
  <c r="CK464" i="11"/>
  <c r="CL464" i="11"/>
  <c r="CM464" i="11"/>
  <c r="CN464" i="11"/>
  <c r="CO464" i="11"/>
  <c r="CP464" i="11"/>
  <c r="CQ464" i="11"/>
  <c r="CR464" i="11"/>
  <c r="CS464" i="11"/>
  <c r="CT464" i="11"/>
  <c r="CU464" i="11"/>
  <c r="CV464" i="11"/>
  <c r="CW464" i="11"/>
  <c r="CX464" i="11"/>
  <c r="CY464" i="11"/>
  <c r="CZ464" i="11"/>
  <c r="DA464" i="11"/>
  <c r="DB464" i="11"/>
  <c r="DC464" i="11"/>
  <c r="DD464" i="11"/>
  <c r="DE464" i="11"/>
  <c r="DF464" i="11"/>
  <c r="DG464" i="11"/>
  <c r="DH464" i="11"/>
  <c r="DI464" i="11"/>
  <c r="DJ464" i="11"/>
  <c r="DK464" i="11"/>
  <c r="DL464" i="11"/>
  <c r="DM464" i="11"/>
  <c r="DN464" i="11"/>
  <c r="DO464" i="11"/>
  <c r="DP464" i="11"/>
  <c r="DQ464" i="11"/>
  <c r="DR464" i="11"/>
  <c r="DS464" i="11"/>
  <c r="DT464" i="11"/>
  <c r="DU464" i="11"/>
  <c r="DV464" i="11"/>
  <c r="DW464" i="11"/>
  <c r="DX464" i="11"/>
  <c r="DY464" i="11"/>
  <c r="DZ464" i="11"/>
  <c r="EA464" i="11"/>
  <c r="EB464" i="11"/>
  <c r="EC464" i="11"/>
  <c r="ED464" i="11"/>
  <c r="EE464" i="11"/>
  <c r="EF464" i="11"/>
  <c r="EG464" i="11"/>
  <c r="EH464" i="11"/>
  <c r="EI464" i="11"/>
  <c r="EJ464" i="11"/>
  <c r="EK464" i="11"/>
  <c r="EL464" i="11"/>
  <c r="EM464" i="11"/>
  <c r="EN464" i="11"/>
  <c r="EO464" i="11"/>
  <c r="EP464" i="11"/>
  <c r="EQ464" i="11"/>
  <c r="ER464" i="11"/>
  <c r="ES464" i="11"/>
  <c r="ET464" i="11"/>
  <c r="EU464" i="11"/>
  <c r="EV464" i="11"/>
  <c r="EW464" i="11"/>
  <c r="EX464" i="11"/>
  <c r="EY464" i="11"/>
  <c r="EZ464" i="11"/>
  <c r="FA464" i="11"/>
  <c r="FB464" i="11"/>
  <c r="FC464" i="11"/>
  <c r="FD464" i="11"/>
  <c r="FE464" i="11"/>
  <c r="FF464" i="11"/>
  <c r="FG464" i="11"/>
  <c r="FH464" i="11"/>
  <c r="FI464" i="11"/>
  <c r="FJ464" i="11"/>
  <c r="FK464" i="11"/>
  <c r="FL464" i="11"/>
  <c r="FM464" i="11"/>
  <c r="FN464" i="11"/>
  <c r="FO464" i="11"/>
  <c r="FP464" i="11"/>
  <c r="FQ464" i="11"/>
  <c r="FR464" i="11"/>
  <c r="FS464" i="11"/>
  <c r="FT464" i="11"/>
  <c r="FU464" i="11"/>
  <c r="FV464" i="11"/>
  <c r="FW464" i="11"/>
  <c r="FX464" i="11"/>
  <c r="FY464" i="11"/>
  <c r="FZ464" i="11"/>
  <c r="GA464" i="11"/>
  <c r="GB464" i="11"/>
  <c r="GC464" i="11"/>
  <c r="GD464" i="11"/>
  <c r="GE464" i="11"/>
  <c r="GF464" i="11"/>
  <c r="GG464" i="11"/>
  <c r="GH464" i="11"/>
  <c r="GI464" i="11"/>
  <c r="GJ464" i="11"/>
  <c r="GK464" i="11"/>
  <c r="GL464" i="11"/>
  <c r="GM464" i="11"/>
  <c r="GN464" i="11"/>
  <c r="GO464" i="11"/>
  <c r="GP464" i="11"/>
  <c r="GQ464" i="11"/>
  <c r="GR464" i="11"/>
  <c r="GS464" i="11"/>
  <c r="GT464" i="11"/>
  <c r="GU464" i="11"/>
  <c r="GV464" i="11"/>
  <c r="GW464" i="11"/>
  <c r="GX464" i="11"/>
  <c r="GY464" i="11"/>
  <c r="GZ464" i="11"/>
  <c r="HA464" i="11"/>
  <c r="HB464" i="11"/>
  <c r="HC464" i="11"/>
  <c r="HD464" i="11"/>
  <c r="HE464" i="11"/>
  <c r="HF464" i="11"/>
  <c r="HG464" i="11"/>
  <c r="HH464" i="11"/>
  <c r="HI464" i="11"/>
  <c r="HJ464" i="11"/>
  <c r="HK464" i="11"/>
  <c r="HL464" i="11"/>
  <c r="HM464" i="11"/>
  <c r="HN464" i="11"/>
  <c r="HO464" i="11"/>
  <c r="HP464" i="11"/>
  <c r="HQ464" i="11"/>
  <c r="HR464" i="11"/>
  <c r="HS464" i="11"/>
  <c r="HT464" i="11"/>
  <c r="HU464" i="11"/>
  <c r="HV464" i="11"/>
  <c r="HW464" i="11"/>
  <c r="HX464" i="11"/>
  <c r="HY464" i="11"/>
  <c r="HZ464" i="11"/>
  <c r="IA464" i="11"/>
  <c r="IB464" i="11"/>
  <c r="IC464" i="11"/>
  <c r="ID464" i="11"/>
  <c r="IE464" i="11"/>
  <c r="IF464" i="11"/>
  <c r="IG464" i="11"/>
  <c r="IH464" i="11"/>
  <c r="II464" i="11"/>
  <c r="IJ464" i="11"/>
  <c r="IK464" i="11"/>
  <c r="IL464" i="11"/>
  <c r="IM464" i="11"/>
  <c r="IN464" i="11"/>
  <c r="IO464" i="11"/>
  <c r="IP464" i="11"/>
  <c r="IQ464" i="11"/>
  <c r="IR464" i="11"/>
  <c r="IS464" i="11"/>
  <c r="IT464" i="11"/>
  <c r="IU464" i="11"/>
  <c r="IV464" i="11"/>
  <c r="F465" i="11"/>
  <c r="G465" i="11"/>
  <c r="H465" i="11"/>
  <c r="I465" i="11"/>
  <c r="J465" i="11"/>
  <c r="K465" i="11"/>
  <c r="L465" i="11"/>
  <c r="M465" i="11"/>
  <c r="N465" i="11"/>
  <c r="O465" i="11"/>
  <c r="P465" i="11"/>
  <c r="Q465" i="11"/>
  <c r="R465" i="11"/>
  <c r="S465" i="11"/>
  <c r="T465" i="11"/>
  <c r="U465" i="11"/>
  <c r="V465" i="11"/>
  <c r="W465" i="11"/>
  <c r="X465" i="11"/>
  <c r="Y465" i="11"/>
  <c r="Z465" i="11"/>
  <c r="AA465" i="11"/>
  <c r="AB465" i="11"/>
  <c r="AC465" i="11"/>
  <c r="AD465" i="11"/>
  <c r="AE465" i="11"/>
  <c r="AF465" i="11"/>
  <c r="AG465" i="11"/>
  <c r="AH465" i="11"/>
  <c r="AI465" i="11"/>
  <c r="AJ465" i="11"/>
  <c r="AK465" i="11"/>
  <c r="AL465" i="11"/>
  <c r="AM465" i="11"/>
  <c r="AN465" i="11"/>
  <c r="AO465" i="11"/>
  <c r="AP465" i="11"/>
  <c r="AQ465" i="11"/>
  <c r="AR465" i="11"/>
  <c r="AS465" i="11"/>
  <c r="AT465" i="11"/>
  <c r="AU465" i="11"/>
  <c r="AV465" i="11"/>
  <c r="AW465" i="11"/>
  <c r="AX465" i="11"/>
  <c r="AY465" i="11"/>
  <c r="AZ465" i="11"/>
  <c r="BA465" i="11"/>
  <c r="BB465" i="11"/>
  <c r="BC465" i="11"/>
  <c r="BD465" i="11"/>
  <c r="BE465" i="11"/>
  <c r="BF465" i="11"/>
  <c r="BG465" i="11"/>
  <c r="BH465" i="11"/>
  <c r="BI465" i="11"/>
  <c r="BJ465" i="11"/>
  <c r="BK465" i="11"/>
  <c r="BL465" i="11"/>
  <c r="BM465" i="11"/>
  <c r="BN465" i="11"/>
  <c r="BO465" i="11"/>
  <c r="BP465" i="11"/>
  <c r="BQ465" i="11"/>
  <c r="BR465" i="11"/>
  <c r="BS465" i="11"/>
  <c r="BT465" i="11"/>
  <c r="BU465" i="11"/>
  <c r="BV465" i="11"/>
  <c r="BW465" i="11"/>
  <c r="BX465" i="11"/>
  <c r="BY465" i="11"/>
  <c r="BZ465" i="11"/>
  <c r="CA465" i="11"/>
  <c r="CB465" i="11"/>
  <c r="CC465" i="11"/>
  <c r="CD465" i="11"/>
  <c r="CE465" i="11"/>
  <c r="CF465" i="11"/>
  <c r="CG465" i="11"/>
  <c r="CH465" i="11"/>
  <c r="CI465" i="11"/>
  <c r="CJ465" i="11"/>
  <c r="CK465" i="11"/>
  <c r="CL465" i="11"/>
  <c r="CM465" i="11"/>
  <c r="CN465" i="11"/>
  <c r="CO465" i="11"/>
  <c r="CP465" i="11"/>
  <c r="CQ465" i="11"/>
  <c r="CR465" i="11"/>
  <c r="CS465" i="11"/>
  <c r="CT465" i="11"/>
  <c r="CU465" i="11"/>
  <c r="CV465" i="11"/>
  <c r="CW465" i="11"/>
  <c r="CX465" i="11"/>
  <c r="CY465" i="11"/>
  <c r="CZ465" i="11"/>
  <c r="DA465" i="11"/>
  <c r="DB465" i="11"/>
  <c r="DC465" i="11"/>
  <c r="DD465" i="11"/>
  <c r="DE465" i="11"/>
  <c r="DF465" i="11"/>
  <c r="DG465" i="11"/>
  <c r="DH465" i="11"/>
  <c r="DI465" i="11"/>
  <c r="DJ465" i="11"/>
  <c r="DK465" i="11"/>
  <c r="DL465" i="11"/>
  <c r="DM465" i="11"/>
  <c r="DN465" i="11"/>
  <c r="DO465" i="11"/>
  <c r="DP465" i="11"/>
  <c r="DQ465" i="11"/>
  <c r="DR465" i="11"/>
  <c r="DS465" i="11"/>
  <c r="DT465" i="11"/>
  <c r="DU465" i="11"/>
  <c r="DV465" i="11"/>
  <c r="DW465" i="11"/>
  <c r="DX465" i="11"/>
  <c r="DY465" i="11"/>
  <c r="DZ465" i="11"/>
  <c r="EA465" i="11"/>
  <c r="EB465" i="11"/>
  <c r="EC465" i="11"/>
  <c r="ED465" i="11"/>
  <c r="EE465" i="11"/>
  <c r="EF465" i="11"/>
  <c r="EG465" i="11"/>
  <c r="EH465" i="11"/>
  <c r="EI465" i="11"/>
  <c r="EJ465" i="11"/>
  <c r="EK465" i="11"/>
  <c r="EL465" i="11"/>
  <c r="EM465" i="11"/>
  <c r="EN465" i="11"/>
  <c r="EO465" i="11"/>
  <c r="EP465" i="11"/>
  <c r="EQ465" i="11"/>
  <c r="ER465" i="11"/>
  <c r="ES465" i="11"/>
  <c r="ET465" i="11"/>
  <c r="EU465" i="11"/>
  <c r="EV465" i="11"/>
  <c r="EW465" i="11"/>
  <c r="EX465" i="11"/>
  <c r="EY465" i="11"/>
  <c r="EZ465" i="11"/>
  <c r="FA465" i="11"/>
  <c r="FB465" i="11"/>
  <c r="FC465" i="11"/>
  <c r="FD465" i="11"/>
  <c r="FE465" i="11"/>
  <c r="FF465" i="11"/>
  <c r="FG465" i="11"/>
  <c r="FH465" i="11"/>
  <c r="FI465" i="11"/>
  <c r="FJ465" i="11"/>
  <c r="FK465" i="11"/>
  <c r="FL465" i="11"/>
  <c r="FM465" i="11"/>
  <c r="FN465" i="11"/>
  <c r="FO465" i="11"/>
  <c r="FP465" i="11"/>
  <c r="FQ465" i="11"/>
  <c r="FR465" i="11"/>
  <c r="FS465" i="11"/>
  <c r="FT465" i="11"/>
  <c r="FU465" i="11"/>
  <c r="FV465" i="11"/>
  <c r="FW465" i="11"/>
  <c r="FX465" i="11"/>
  <c r="FY465" i="11"/>
  <c r="FZ465" i="11"/>
  <c r="GA465" i="11"/>
  <c r="GB465" i="11"/>
  <c r="GC465" i="11"/>
  <c r="GD465" i="11"/>
  <c r="GE465" i="11"/>
  <c r="GF465" i="11"/>
  <c r="GG465" i="11"/>
  <c r="GH465" i="11"/>
  <c r="GI465" i="11"/>
  <c r="GJ465" i="11"/>
  <c r="GK465" i="11"/>
  <c r="GL465" i="11"/>
  <c r="GM465" i="11"/>
  <c r="GN465" i="11"/>
  <c r="GO465" i="11"/>
  <c r="GP465" i="11"/>
  <c r="GQ465" i="11"/>
  <c r="GR465" i="11"/>
  <c r="GS465" i="11"/>
  <c r="GT465" i="11"/>
  <c r="GU465" i="11"/>
  <c r="GV465" i="11"/>
  <c r="GW465" i="11"/>
  <c r="GX465" i="11"/>
  <c r="GY465" i="11"/>
  <c r="GZ465" i="11"/>
  <c r="HA465" i="11"/>
  <c r="HB465" i="11"/>
  <c r="HC465" i="11"/>
  <c r="HD465" i="11"/>
  <c r="HE465" i="11"/>
  <c r="HF465" i="11"/>
  <c r="HG465" i="11"/>
  <c r="HH465" i="11"/>
  <c r="HI465" i="11"/>
  <c r="HJ465" i="11"/>
  <c r="HK465" i="11"/>
  <c r="HL465" i="11"/>
  <c r="HM465" i="11"/>
  <c r="HN465" i="11"/>
  <c r="HO465" i="11"/>
  <c r="HP465" i="11"/>
  <c r="HQ465" i="11"/>
  <c r="HR465" i="11"/>
  <c r="HS465" i="11"/>
  <c r="HT465" i="11"/>
  <c r="HU465" i="11"/>
  <c r="HV465" i="11"/>
  <c r="HW465" i="11"/>
  <c r="HX465" i="11"/>
  <c r="HY465" i="11"/>
  <c r="HZ465" i="11"/>
  <c r="IA465" i="11"/>
  <c r="IB465" i="11"/>
  <c r="IC465" i="11"/>
  <c r="ID465" i="11"/>
  <c r="IE465" i="11"/>
  <c r="IF465" i="11"/>
  <c r="IG465" i="11"/>
  <c r="IH465" i="11"/>
  <c r="II465" i="11"/>
  <c r="IJ465" i="11"/>
  <c r="IK465" i="11"/>
  <c r="IL465" i="11"/>
  <c r="IM465" i="11"/>
  <c r="IN465" i="11"/>
  <c r="IO465" i="11"/>
  <c r="IP465" i="11"/>
  <c r="IQ465" i="11"/>
  <c r="IR465" i="11"/>
  <c r="IS465" i="11"/>
  <c r="IT465" i="11"/>
  <c r="IU465" i="11"/>
  <c r="IV465" i="11"/>
  <c r="F466" i="11"/>
  <c r="G466" i="11"/>
  <c r="H466" i="11"/>
  <c r="I466" i="11"/>
  <c r="J466" i="11"/>
  <c r="K466" i="11"/>
  <c r="L466" i="11"/>
  <c r="M466" i="11"/>
  <c r="N466" i="11"/>
  <c r="O466" i="11"/>
  <c r="P466" i="11"/>
  <c r="Q466" i="11"/>
  <c r="R466" i="11"/>
  <c r="S466" i="11"/>
  <c r="T466" i="11"/>
  <c r="U466" i="11"/>
  <c r="V466" i="11"/>
  <c r="W466" i="11"/>
  <c r="X466" i="11"/>
  <c r="Y466" i="11"/>
  <c r="Z466" i="11"/>
  <c r="AA466" i="11"/>
  <c r="AB466" i="11"/>
  <c r="AC466" i="11"/>
  <c r="AD466" i="11"/>
  <c r="AE466" i="11"/>
  <c r="AF466" i="11"/>
  <c r="AG466" i="11"/>
  <c r="AH466" i="11"/>
  <c r="AI466" i="11"/>
  <c r="AJ466" i="11"/>
  <c r="AK466" i="11"/>
  <c r="AL466" i="11"/>
  <c r="AM466" i="11"/>
  <c r="AN466" i="11"/>
  <c r="AO466" i="11"/>
  <c r="AP466" i="11"/>
  <c r="AQ466" i="11"/>
  <c r="AR466" i="11"/>
  <c r="AS466" i="11"/>
  <c r="AT466" i="11"/>
  <c r="AU466" i="11"/>
  <c r="AV466" i="11"/>
  <c r="AW466" i="11"/>
  <c r="AX466" i="11"/>
  <c r="AY466" i="11"/>
  <c r="AZ466" i="11"/>
  <c r="BA466" i="11"/>
  <c r="BB466" i="11"/>
  <c r="BC466" i="11"/>
  <c r="BD466" i="11"/>
  <c r="BE466" i="11"/>
  <c r="BF466" i="11"/>
  <c r="BG466" i="11"/>
  <c r="BH466" i="11"/>
  <c r="BI466" i="11"/>
  <c r="BJ466" i="11"/>
  <c r="BK466" i="11"/>
  <c r="BL466" i="11"/>
  <c r="BM466" i="11"/>
  <c r="BN466" i="11"/>
  <c r="BO466" i="11"/>
  <c r="BP466" i="11"/>
  <c r="BQ466" i="11"/>
  <c r="BR466" i="11"/>
  <c r="BS466" i="11"/>
  <c r="BT466" i="11"/>
  <c r="BU466" i="11"/>
  <c r="BV466" i="11"/>
  <c r="BW466" i="11"/>
  <c r="BX466" i="11"/>
  <c r="BY466" i="11"/>
  <c r="BZ466" i="11"/>
  <c r="CA466" i="11"/>
  <c r="CB466" i="11"/>
  <c r="CC466" i="11"/>
  <c r="CD466" i="11"/>
  <c r="CE466" i="11"/>
  <c r="CF466" i="11"/>
  <c r="CG466" i="11"/>
  <c r="CH466" i="11"/>
  <c r="CI466" i="11"/>
  <c r="CJ466" i="11"/>
  <c r="CK466" i="11"/>
  <c r="CL466" i="11"/>
  <c r="CM466" i="11"/>
  <c r="CN466" i="11"/>
  <c r="CO466" i="11"/>
  <c r="CP466" i="11"/>
  <c r="CQ466" i="11"/>
  <c r="CR466" i="11"/>
  <c r="CS466" i="11"/>
  <c r="CT466" i="11"/>
  <c r="CU466" i="11"/>
  <c r="CV466" i="11"/>
  <c r="CW466" i="11"/>
  <c r="CX466" i="11"/>
  <c r="CY466" i="11"/>
  <c r="CZ466" i="11"/>
  <c r="DA466" i="11"/>
  <c r="DB466" i="11"/>
  <c r="DC466" i="11"/>
  <c r="DD466" i="11"/>
  <c r="DE466" i="11"/>
  <c r="DF466" i="11"/>
  <c r="DG466" i="11"/>
  <c r="DH466" i="11"/>
  <c r="DI466" i="11"/>
  <c r="DJ466" i="11"/>
  <c r="DK466" i="11"/>
  <c r="DL466" i="11"/>
  <c r="DM466" i="11"/>
  <c r="DN466" i="11"/>
  <c r="DO466" i="11"/>
  <c r="DP466" i="11"/>
  <c r="DQ466" i="11"/>
  <c r="DR466" i="11"/>
  <c r="DS466" i="11"/>
  <c r="DT466" i="11"/>
  <c r="DU466" i="11"/>
  <c r="DV466" i="11"/>
  <c r="DW466" i="11"/>
  <c r="DX466" i="11"/>
  <c r="DY466" i="11"/>
  <c r="DZ466" i="11"/>
  <c r="EA466" i="11"/>
  <c r="EB466" i="11"/>
  <c r="EC466" i="11"/>
  <c r="ED466" i="11"/>
  <c r="EE466" i="11"/>
  <c r="EF466" i="11"/>
  <c r="EG466" i="11"/>
  <c r="EH466" i="11"/>
  <c r="EI466" i="11"/>
  <c r="EJ466" i="11"/>
  <c r="EK466" i="11"/>
  <c r="EL466" i="11"/>
  <c r="EM466" i="11"/>
  <c r="EN466" i="11"/>
  <c r="EO466" i="11"/>
  <c r="EP466" i="11"/>
  <c r="EQ466" i="11"/>
  <c r="ER466" i="11"/>
  <c r="ES466" i="11"/>
  <c r="ET466" i="11"/>
  <c r="EU466" i="11"/>
  <c r="EV466" i="11"/>
  <c r="EW466" i="11"/>
  <c r="EX466" i="11"/>
  <c r="EY466" i="11"/>
  <c r="EZ466" i="11"/>
  <c r="FA466" i="11"/>
  <c r="FB466" i="11"/>
  <c r="FC466" i="11"/>
  <c r="FD466" i="11"/>
  <c r="FE466" i="11"/>
  <c r="FF466" i="11"/>
  <c r="FG466" i="11"/>
  <c r="FH466" i="11"/>
  <c r="FI466" i="11"/>
  <c r="FJ466" i="11"/>
  <c r="FK466" i="11"/>
  <c r="FL466" i="11"/>
  <c r="FM466" i="11"/>
  <c r="FN466" i="11"/>
  <c r="FO466" i="11"/>
  <c r="FP466" i="11"/>
  <c r="FQ466" i="11"/>
  <c r="FR466" i="11"/>
  <c r="FS466" i="11"/>
  <c r="FT466" i="11"/>
  <c r="FU466" i="11"/>
  <c r="FV466" i="11"/>
  <c r="FW466" i="11"/>
  <c r="FX466" i="11"/>
  <c r="FY466" i="11"/>
  <c r="FZ466" i="11"/>
  <c r="GA466" i="11"/>
  <c r="GB466" i="11"/>
  <c r="GC466" i="11"/>
  <c r="GD466" i="11"/>
  <c r="GE466" i="11"/>
  <c r="GF466" i="11"/>
  <c r="GG466" i="11"/>
  <c r="GH466" i="11"/>
  <c r="GI466" i="11"/>
  <c r="GJ466" i="11"/>
  <c r="GK466" i="11"/>
  <c r="GL466" i="11"/>
  <c r="GM466" i="11"/>
  <c r="GN466" i="11"/>
  <c r="GO466" i="11"/>
  <c r="GP466" i="11"/>
  <c r="GQ466" i="11"/>
  <c r="GR466" i="11"/>
  <c r="GS466" i="11"/>
  <c r="GT466" i="11"/>
  <c r="GU466" i="11"/>
  <c r="GV466" i="11"/>
  <c r="GW466" i="11"/>
  <c r="GX466" i="11"/>
  <c r="GY466" i="11"/>
  <c r="GZ466" i="11"/>
  <c r="HA466" i="11"/>
  <c r="HB466" i="11"/>
  <c r="HC466" i="11"/>
  <c r="HD466" i="11"/>
  <c r="HE466" i="11"/>
  <c r="HF466" i="11"/>
  <c r="HG466" i="11"/>
  <c r="HH466" i="11"/>
  <c r="HI466" i="11"/>
  <c r="HJ466" i="11"/>
  <c r="HK466" i="11"/>
  <c r="HL466" i="11"/>
  <c r="HM466" i="11"/>
  <c r="HN466" i="11"/>
  <c r="HO466" i="11"/>
  <c r="HP466" i="11"/>
  <c r="HQ466" i="11"/>
  <c r="HR466" i="11"/>
  <c r="HS466" i="11"/>
  <c r="HT466" i="11"/>
  <c r="HU466" i="11"/>
  <c r="HV466" i="11"/>
  <c r="HW466" i="11"/>
  <c r="HX466" i="11"/>
  <c r="HY466" i="11"/>
  <c r="HZ466" i="11"/>
  <c r="IA466" i="11"/>
  <c r="IB466" i="11"/>
  <c r="IC466" i="11"/>
  <c r="ID466" i="11"/>
  <c r="IE466" i="11"/>
  <c r="IF466" i="11"/>
  <c r="IG466" i="11"/>
  <c r="IH466" i="11"/>
  <c r="II466" i="11"/>
  <c r="IJ466" i="11"/>
  <c r="IK466" i="11"/>
  <c r="IL466" i="11"/>
  <c r="IM466" i="11"/>
  <c r="IN466" i="11"/>
  <c r="IO466" i="11"/>
  <c r="IP466" i="11"/>
  <c r="IQ466" i="11"/>
  <c r="IR466" i="11"/>
  <c r="IS466" i="11"/>
  <c r="IT466" i="11"/>
  <c r="IU466" i="11"/>
  <c r="IV466" i="11"/>
  <c r="F467" i="11"/>
  <c r="G467" i="11"/>
  <c r="H467" i="11"/>
  <c r="I467" i="11"/>
  <c r="J467" i="11"/>
  <c r="K467" i="11"/>
  <c r="L467" i="11"/>
  <c r="M467" i="11"/>
  <c r="N467" i="11"/>
  <c r="O467" i="11"/>
  <c r="P467" i="11"/>
  <c r="Q467" i="11"/>
  <c r="R467" i="11"/>
  <c r="S467" i="11"/>
  <c r="T467" i="11"/>
  <c r="U467" i="11"/>
  <c r="V467" i="11"/>
  <c r="W467" i="11"/>
  <c r="X467" i="11"/>
  <c r="Y467" i="11"/>
  <c r="Z467" i="11"/>
  <c r="AA467" i="11"/>
  <c r="AB467" i="11"/>
  <c r="AC467" i="11"/>
  <c r="AD467" i="11"/>
  <c r="AE467" i="11"/>
  <c r="AF467" i="11"/>
  <c r="AG467" i="11"/>
  <c r="AH467" i="11"/>
  <c r="AI467" i="11"/>
  <c r="AJ467" i="11"/>
  <c r="AK467" i="11"/>
  <c r="AL467" i="11"/>
  <c r="AM467" i="11"/>
  <c r="AN467" i="11"/>
  <c r="AO467" i="11"/>
  <c r="AP467" i="11"/>
  <c r="AQ467" i="11"/>
  <c r="AR467" i="11"/>
  <c r="AS467" i="11"/>
  <c r="AT467" i="11"/>
  <c r="AU467" i="11"/>
  <c r="AV467" i="11"/>
  <c r="AW467" i="11"/>
  <c r="AX467" i="11"/>
  <c r="AY467" i="11"/>
  <c r="AZ467" i="11"/>
  <c r="BA467" i="11"/>
  <c r="BB467" i="11"/>
  <c r="BC467" i="11"/>
  <c r="BD467" i="11"/>
  <c r="BE467" i="11"/>
  <c r="BF467" i="11"/>
  <c r="BG467" i="11"/>
  <c r="BH467" i="11"/>
  <c r="BI467" i="11"/>
  <c r="BJ467" i="11"/>
  <c r="BK467" i="11"/>
  <c r="BL467" i="11"/>
  <c r="BM467" i="11"/>
  <c r="BN467" i="11"/>
  <c r="BO467" i="11"/>
  <c r="BP467" i="11"/>
  <c r="BQ467" i="11"/>
  <c r="BR467" i="11"/>
  <c r="BS467" i="11"/>
  <c r="BT467" i="11"/>
  <c r="BU467" i="11"/>
  <c r="BV467" i="11"/>
  <c r="BW467" i="11"/>
  <c r="BX467" i="11"/>
  <c r="BY467" i="11"/>
  <c r="BZ467" i="11"/>
  <c r="CA467" i="11"/>
  <c r="CB467" i="11"/>
  <c r="CC467" i="11"/>
  <c r="CD467" i="11"/>
  <c r="CE467" i="11"/>
  <c r="CF467" i="11"/>
  <c r="CG467" i="11"/>
  <c r="CH467" i="11"/>
  <c r="CI467" i="11"/>
  <c r="CJ467" i="11"/>
  <c r="CK467" i="11"/>
  <c r="CL467" i="11"/>
  <c r="CM467" i="11"/>
  <c r="CN467" i="11"/>
  <c r="CO467" i="11"/>
  <c r="CP467" i="11"/>
  <c r="CQ467" i="11"/>
  <c r="CR467" i="11"/>
  <c r="CS467" i="11"/>
  <c r="CT467" i="11"/>
  <c r="CU467" i="11"/>
  <c r="CV467" i="11"/>
  <c r="CW467" i="11"/>
  <c r="CX467" i="11"/>
  <c r="CY467" i="11"/>
  <c r="CZ467" i="11"/>
  <c r="DA467" i="11"/>
  <c r="DB467" i="11"/>
  <c r="DC467" i="11"/>
  <c r="DD467" i="11"/>
  <c r="DE467" i="11"/>
  <c r="DF467" i="11"/>
  <c r="DG467" i="11"/>
  <c r="DH467" i="11"/>
  <c r="DI467" i="11"/>
  <c r="DJ467" i="11"/>
  <c r="DK467" i="11"/>
  <c r="DL467" i="11"/>
  <c r="DM467" i="11"/>
  <c r="DN467" i="11"/>
  <c r="DO467" i="11"/>
  <c r="DP467" i="11"/>
  <c r="DQ467" i="11"/>
  <c r="DR467" i="11"/>
  <c r="DS467" i="11"/>
  <c r="DT467" i="11"/>
  <c r="DU467" i="11"/>
  <c r="DV467" i="11"/>
  <c r="DW467" i="11"/>
  <c r="DX467" i="11"/>
  <c r="DY467" i="11"/>
  <c r="DZ467" i="11"/>
  <c r="EA467" i="11"/>
  <c r="EB467" i="11"/>
  <c r="EC467" i="11"/>
  <c r="ED467" i="11"/>
  <c r="EE467" i="11"/>
  <c r="EF467" i="11"/>
  <c r="EG467" i="11"/>
  <c r="EH467" i="11"/>
  <c r="EI467" i="11"/>
  <c r="EJ467" i="11"/>
  <c r="EK467" i="11"/>
  <c r="EL467" i="11"/>
  <c r="EM467" i="11"/>
  <c r="EN467" i="11"/>
  <c r="EO467" i="11"/>
  <c r="EP467" i="11"/>
  <c r="EQ467" i="11"/>
  <c r="ER467" i="11"/>
  <c r="ES467" i="11"/>
  <c r="ET467" i="11"/>
  <c r="EU467" i="11"/>
  <c r="EV467" i="11"/>
  <c r="EW467" i="11"/>
  <c r="EX467" i="11"/>
  <c r="EY467" i="11"/>
  <c r="EZ467" i="11"/>
  <c r="FA467" i="11"/>
  <c r="FB467" i="11"/>
  <c r="FC467" i="11"/>
  <c r="FD467" i="11"/>
  <c r="FE467" i="11"/>
  <c r="FF467" i="11"/>
  <c r="FG467" i="11"/>
  <c r="FH467" i="11"/>
  <c r="FI467" i="11"/>
  <c r="FJ467" i="11"/>
  <c r="FK467" i="11"/>
  <c r="FL467" i="11"/>
  <c r="FM467" i="11"/>
  <c r="FN467" i="11"/>
  <c r="FO467" i="11"/>
  <c r="FP467" i="11"/>
  <c r="FQ467" i="11"/>
  <c r="FR467" i="11"/>
  <c r="FS467" i="11"/>
  <c r="FT467" i="11"/>
  <c r="FU467" i="11"/>
  <c r="FV467" i="11"/>
  <c r="FW467" i="11"/>
  <c r="FX467" i="11"/>
  <c r="FY467" i="11"/>
  <c r="FZ467" i="11"/>
  <c r="GA467" i="11"/>
  <c r="GB467" i="11"/>
  <c r="GC467" i="11"/>
  <c r="GD467" i="11"/>
  <c r="GE467" i="11"/>
  <c r="GF467" i="11"/>
  <c r="GG467" i="11"/>
  <c r="GH467" i="11"/>
  <c r="GI467" i="11"/>
  <c r="GJ467" i="11"/>
  <c r="GK467" i="11"/>
  <c r="GL467" i="11"/>
  <c r="GM467" i="11"/>
  <c r="GN467" i="11"/>
  <c r="GO467" i="11"/>
  <c r="GP467" i="11"/>
  <c r="GQ467" i="11"/>
  <c r="GR467" i="11"/>
  <c r="GS467" i="11"/>
  <c r="GT467" i="11"/>
  <c r="GU467" i="11"/>
  <c r="GV467" i="11"/>
  <c r="GW467" i="11"/>
  <c r="GX467" i="11"/>
  <c r="GY467" i="11"/>
  <c r="GZ467" i="11"/>
  <c r="HA467" i="11"/>
  <c r="HB467" i="11"/>
  <c r="HC467" i="11"/>
  <c r="HD467" i="11"/>
  <c r="HE467" i="11"/>
  <c r="HF467" i="11"/>
  <c r="HG467" i="11"/>
  <c r="HH467" i="11"/>
  <c r="HI467" i="11"/>
  <c r="HJ467" i="11"/>
  <c r="HK467" i="11"/>
  <c r="HL467" i="11"/>
  <c r="HM467" i="11"/>
  <c r="HN467" i="11"/>
  <c r="HO467" i="11"/>
  <c r="HP467" i="11"/>
  <c r="HQ467" i="11"/>
  <c r="HR467" i="11"/>
  <c r="HS467" i="11"/>
  <c r="HT467" i="11"/>
  <c r="HU467" i="11"/>
  <c r="HV467" i="11"/>
  <c r="HW467" i="11"/>
  <c r="HX467" i="11"/>
  <c r="HY467" i="11"/>
  <c r="HZ467" i="11"/>
  <c r="IA467" i="11"/>
  <c r="IB467" i="11"/>
  <c r="IC467" i="11"/>
  <c r="ID467" i="11"/>
  <c r="IE467" i="11"/>
  <c r="IF467" i="11"/>
  <c r="IG467" i="11"/>
  <c r="IH467" i="11"/>
  <c r="II467" i="11"/>
  <c r="IJ467" i="11"/>
  <c r="IK467" i="11"/>
  <c r="IL467" i="11"/>
  <c r="IM467" i="11"/>
  <c r="IN467" i="11"/>
  <c r="IO467" i="11"/>
  <c r="IP467" i="11"/>
  <c r="IQ467" i="11"/>
  <c r="IR467" i="11"/>
  <c r="IS467" i="11"/>
  <c r="IT467" i="11"/>
  <c r="IU467" i="11"/>
  <c r="IV467" i="11"/>
  <c r="F468" i="11"/>
  <c r="G468" i="11"/>
  <c r="H468" i="11"/>
  <c r="I468" i="11"/>
  <c r="J468" i="11"/>
  <c r="K468" i="11"/>
  <c r="L468" i="11"/>
  <c r="M468" i="11"/>
  <c r="N468" i="11"/>
  <c r="O468" i="11"/>
  <c r="P468" i="11"/>
  <c r="Q468" i="11"/>
  <c r="R468" i="11"/>
  <c r="S468" i="11"/>
  <c r="T468" i="11"/>
  <c r="U468" i="11"/>
  <c r="V468" i="11"/>
  <c r="W468" i="11"/>
  <c r="X468" i="11"/>
  <c r="Y468" i="11"/>
  <c r="Z468" i="11"/>
  <c r="AA468" i="11"/>
  <c r="AB468" i="11"/>
  <c r="AC468" i="11"/>
  <c r="AD468" i="11"/>
  <c r="AE468" i="11"/>
  <c r="AF468" i="11"/>
  <c r="AG468" i="11"/>
  <c r="AH468" i="11"/>
  <c r="AI468" i="11"/>
  <c r="AJ468" i="11"/>
  <c r="AK468" i="11"/>
  <c r="AL468" i="11"/>
  <c r="AM468" i="11"/>
  <c r="AN468" i="11"/>
  <c r="AO468" i="11"/>
  <c r="AP468" i="11"/>
  <c r="AQ468" i="11"/>
  <c r="AR468" i="11"/>
  <c r="AS468" i="11"/>
  <c r="AT468" i="11"/>
  <c r="AU468" i="11"/>
  <c r="AV468" i="11"/>
  <c r="AW468" i="11"/>
  <c r="AX468" i="11"/>
  <c r="AY468" i="11"/>
  <c r="AZ468" i="11"/>
  <c r="BA468" i="11"/>
  <c r="BB468" i="11"/>
  <c r="BC468" i="11"/>
  <c r="BD468" i="11"/>
  <c r="BE468" i="11"/>
  <c r="BF468" i="11"/>
  <c r="BG468" i="11"/>
  <c r="BH468" i="11"/>
  <c r="BI468" i="11"/>
  <c r="BJ468" i="11"/>
  <c r="BK468" i="11"/>
  <c r="BL468" i="11"/>
  <c r="BM468" i="11"/>
  <c r="BN468" i="11"/>
  <c r="BO468" i="11"/>
  <c r="BP468" i="11"/>
  <c r="BQ468" i="11"/>
  <c r="BR468" i="11"/>
  <c r="BS468" i="11"/>
  <c r="BT468" i="11"/>
  <c r="BU468" i="11"/>
  <c r="BV468" i="11"/>
  <c r="BW468" i="11"/>
  <c r="BX468" i="11"/>
  <c r="BY468" i="11"/>
  <c r="BZ468" i="11"/>
  <c r="CA468" i="11"/>
  <c r="CB468" i="11"/>
  <c r="CC468" i="11"/>
  <c r="CD468" i="11"/>
  <c r="CE468" i="11"/>
  <c r="CF468" i="11"/>
  <c r="CG468" i="11"/>
  <c r="CH468" i="11"/>
  <c r="CI468" i="11"/>
  <c r="CJ468" i="11"/>
  <c r="CK468" i="11"/>
  <c r="CL468" i="11"/>
  <c r="CM468" i="11"/>
  <c r="CN468" i="11"/>
  <c r="CO468" i="11"/>
  <c r="CP468" i="11"/>
  <c r="CQ468" i="11"/>
  <c r="CR468" i="11"/>
  <c r="CS468" i="11"/>
  <c r="CT468" i="11"/>
  <c r="CU468" i="11"/>
  <c r="CV468" i="11"/>
  <c r="CW468" i="11"/>
  <c r="CX468" i="11"/>
  <c r="CY468" i="11"/>
  <c r="CZ468" i="11"/>
  <c r="DA468" i="11"/>
  <c r="DB468" i="11"/>
  <c r="DC468" i="11"/>
  <c r="DD468" i="11"/>
  <c r="DE468" i="11"/>
  <c r="DF468" i="11"/>
  <c r="DG468" i="11"/>
  <c r="DH468" i="11"/>
  <c r="DI468" i="11"/>
  <c r="DJ468" i="11"/>
  <c r="DK468" i="11"/>
  <c r="DL468" i="11"/>
  <c r="DM468" i="11"/>
  <c r="DN468" i="11"/>
  <c r="DO468" i="11"/>
  <c r="DP468" i="11"/>
  <c r="DQ468" i="11"/>
  <c r="DR468" i="11"/>
  <c r="DS468" i="11"/>
  <c r="DT468" i="11"/>
  <c r="DU468" i="11"/>
  <c r="DV468" i="11"/>
  <c r="DW468" i="11"/>
  <c r="DX468" i="11"/>
  <c r="DY468" i="11"/>
  <c r="DZ468" i="11"/>
  <c r="EA468" i="11"/>
  <c r="EB468" i="11"/>
  <c r="EC468" i="11"/>
  <c r="ED468" i="11"/>
  <c r="EE468" i="11"/>
  <c r="EF468" i="11"/>
  <c r="EG468" i="11"/>
  <c r="EH468" i="11"/>
  <c r="EI468" i="11"/>
  <c r="EJ468" i="11"/>
  <c r="EK468" i="11"/>
  <c r="EL468" i="11"/>
  <c r="EM468" i="11"/>
  <c r="EN468" i="11"/>
  <c r="EO468" i="11"/>
  <c r="EP468" i="11"/>
  <c r="EQ468" i="11"/>
  <c r="ER468" i="11"/>
  <c r="ES468" i="11"/>
  <c r="ET468" i="11"/>
  <c r="EU468" i="11"/>
  <c r="EV468" i="11"/>
  <c r="EW468" i="11"/>
  <c r="EX468" i="11"/>
  <c r="EY468" i="11"/>
  <c r="EZ468" i="11"/>
  <c r="FA468" i="11"/>
  <c r="FB468" i="11"/>
  <c r="FC468" i="11"/>
  <c r="FD468" i="11"/>
  <c r="FE468" i="11"/>
  <c r="FF468" i="11"/>
  <c r="FG468" i="11"/>
  <c r="FH468" i="11"/>
  <c r="FI468" i="11"/>
  <c r="FJ468" i="11"/>
  <c r="FK468" i="11"/>
  <c r="FL468" i="11"/>
  <c r="FM468" i="11"/>
  <c r="FN468" i="11"/>
  <c r="FO468" i="11"/>
  <c r="FP468" i="11"/>
  <c r="FQ468" i="11"/>
  <c r="FR468" i="11"/>
  <c r="FS468" i="11"/>
  <c r="FT468" i="11"/>
  <c r="FU468" i="11"/>
  <c r="FV468" i="11"/>
  <c r="FW468" i="11"/>
  <c r="FX468" i="11"/>
  <c r="FY468" i="11"/>
  <c r="FZ468" i="11"/>
  <c r="GA468" i="11"/>
  <c r="GB468" i="11"/>
  <c r="GC468" i="11"/>
  <c r="GD468" i="11"/>
  <c r="GE468" i="11"/>
  <c r="GF468" i="11"/>
  <c r="GG468" i="11"/>
  <c r="GH468" i="11"/>
  <c r="GI468" i="11"/>
  <c r="GJ468" i="11"/>
  <c r="GK468" i="11"/>
  <c r="GL468" i="11"/>
  <c r="GM468" i="11"/>
  <c r="GN468" i="11"/>
  <c r="GO468" i="11"/>
  <c r="GP468" i="11"/>
  <c r="GQ468" i="11"/>
  <c r="GR468" i="11"/>
  <c r="GS468" i="11"/>
  <c r="GT468" i="11"/>
  <c r="GU468" i="11"/>
  <c r="GV468" i="11"/>
  <c r="GW468" i="11"/>
  <c r="GX468" i="11"/>
  <c r="GY468" i="11"/>
  <c r="GZ468" i="11"/>
  <c r="HA468" i="11"/>
  <c r="HB468" i="11"/>
  <c r="HC468" i="11"/>
  <c r="HD468" i="11"/>
  <c r="HE468" i="11"/>
  <c r="HF468" i="11"/>
  <c r="HG468" i="11"/>
  <c r="HH468" i="11"/>
  <c r="HI468" i="11"/>
  <c r="HJ468" i="11"/>
  <c r="HK468" i="11"/>
  <c r="HL468" i="11"/>
  <c r="HM468" i="11"/>
  <c r="HN468" i="11"/>
  <c r="HO468" i="11"/>
  <c r="HP468" i="11"/>
  <c r="HQ468" i="11"/>
  <c r="HR468" i="11"/>
  <c r="HS468" i="11"/>
  <c r="HT468" i="11"/>
  <c r="HU468" i="11"/>
  <c r="HV468" i="11"/>
  <c r="HW468" i="11"/>
  <c r="HX468" i="11"/>
  <c r="HY468" i="11"/>
  <c r="HZ468" i="11"/>
  <c r="IA468" i="11"/>
  <c r="IB468" i="11"/>
  <c r="IC468" i="11"/>
  <c r="ID468" i="11"/>
  <c r="IE468" i="11"/>
  <c r="IF468" i="11"/>
  <c r="IG468" i="11"/>
  <c r="IH468" i="11"/>
  <c r="II468" i="11"/>
  <c r="IJ468" i="11"/>
  <c r="IK468" i="11"/>
  <c r="IL468" i="11"/>
  <c r="IM468" i="11"/>
  <c r="IN468" i="11"/>
  <c r="IO468" i="11"/>
  <c r="IP468" i="11"/>
  <c r="IQ468" i="11"/>
  <c r="IR468" i="11"/>
  <c r="IS468" i="11"/>
  <c r="IT468" i="11"/>
  <c r="IU468" i="11"/>
  <c r="IV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AC469" i="11"/>
  <c r="AD469" i="11"/>
  <c r="AE469" i="11"/>
  <c r="AF469" i="11"/>
  <c r="AG469" i="11"/>
  <c r="AH469" i="11"/>
  <c r="AI469" i="11"/>
  <c r="AJ469" i="11"/>
  <c r="AK469" i="11"/>
  <c r="AL469" i="11"/>
  <c r="AM469" i="11"/>
  <c r="AN469" i="11"/>
  <c r="AO469" i="11"/>
  <c r="AP469" i="11"/>
  <c r="AQ469" i="11"/>
  <c r="AR469" i="11"/>
  <c r="AS469" i="11"/>
  <c r="AT469" i="11"/>
  <c r="AU469" i="11"/>
  <c r="AV469" i="11"/>
  <c r="AW469" i="11"/>
  <c r="AX469" i="11"/>
  <c r="AY469" i="11"/>
  <c r="AZ469" i="11"/>
  <c r="BA469" i="11"/>
  <c r="BB469" i="11"/>
  <c r="BC469" i="11"/>
  <c r="BD469" i="11"/>
  <c r="BE469" i="11"/>
  <c r="BF469" i="11"/>
  <c r="BG469" i="11"/>
  <c r="BH469" i="11"/>
  <c r="BI469" i="11"/>
  <c r="BJ469" i="11"/>
  <c r="BK469" i="11"/>
  <c r="BL469" i="11"/>
  <c r="BM469" i="11"/>
  <c r="BN469" i="11"/>
  <c r="BO469" i="11"/>
  <c r="BP469" i="11"/>
  <c r="BQ469" i="11"/>
  <c r="BR469" i="11"/>
  <c r="BS469" i="11"/>
  <c r="BT469" i="11"/>
  <c r="BU469" i="11"/>
  <c r="BV469" i="11"/>
  <c r="BW469" i="11"/>
  <c r="BX469" i="11"/>
  <c r="BY469" i="11"/>
  <c r="BZ469" i="11"/>
  <c r="CA469" i="11"/>
  <c r="CB469" i="11"/>
  <c r="CC469" i="11"/>
  <c r="CD469" i="11"/>
  <c r="CE469" i="11"/>
  <c r="CF469" i="11"/>
  <c r="CG469" i="11"/>
  <c r="CH469" i="11"/>
  <c r="CI469" i="11"/>
  <c r="CJ469" i="11"/>
  <c r="CK469" i="11"/>
  <c r="CL469" i="11"/>
  <c r="CM469" i="11"/>
  <c r="CN469" i="11"/>
  <c r="CO469" i="11"/>
  <c r="CP469" i="11"/>
  <c r="CQ469" i="11"/>
  <c r="CR469" i="11"/>
  <c r="CS469" i="11"/>
  <c r="CT469" i="11"/>
  <c r="CU469" i="11"/>
  <c r="CV469" i="11"/>
  <c r="CW469" i="11"/>
  <c r="CX469" i="11"/>
  <c r="CY469" i="11"/>
  <c r="CZ469" i="11"/>
  <c r="DA469" i="11"/>
  <c r="DB469" i="11"/>
  <c r="DC469" i="11"/>
  <c r="DD469" i="11"/>
  <c r="DE469" i="11"/>
  <c r="DF469" i="11"/>
  <c r="DG469" i="11"/>
  <c r="DH469" i="11"/>
  <c r="DI469" i="11"/>
  <c r="DJ469" i="11"/>
  <c r="DK469" i="11"/>
  <c r="DL469" i="11"/>
  <c r="DM469" i="11"/>
  <c r="DN469" i="11"/>
  <c r="DO469" i="11"/>
  <c r="DP469" i="11"/>
  <c r="DQ469" i="11"/>
  <c r="DR469" i="11"/>
  <c r="DS469" i="11"/>
  <c r="DT469" i="11"/>
  <c r="DU469" i="11"/>
  <c r="DV469" i="11"/>
  <c r="DW469" i="11"/>
  <c r="DX469" i="11"/>
  <c r="DY469" i="11"/>
  <c r="DZ469" i="11"/>
  <c r="EA469" i="11"/>
  <c r="EB469" i="11"/>
  <c r="EC469" i="11"/>
  <c r="ED469" i="11"/>
  <c r="EE469" i="11"/>
  <c r="EF469" i="11"/>
  <c r="EG469" i="11"/>
  <c r="EH469" i="11"/>
  <c r="EI469" i="11"/>
  <c r="EJ469" i="11"/>
  <c r="EK469" i="11"/>
  <c r="EL469" i="11"/>
  <c r="EM469" i="11"/>
  <c r="EN469" i="11"/>
  <c r="EO469" i="11"/>
  <c r="EP469" i="11"/>
  <c r="EQ469" i="11"/>
  <c r="ER469" i="11"/>
  <c r="ES469" i="11"/>
  <c r="ET469" i="11"/>
  <c r="EU469" i="11"/>
  <c r="EV469" i="11"/>
  <c r="EW469" i="11"/>
  <c r="EX469" i="11"/>
  <c r="EY469" i="11"/>
  <c r="EZ469" i="11"/>
  <c r="FA469" i="11"/>
  <c r="FB469" i="11"/>
  <c r="FC469" i="11"/>
  <c r="FD469" i="11"/>
  <c r="FE469" i="11"/>
  <c r="FF469" i="11"/>
  <c r="FG469" i="11"/>
  <c r="FH469" i="11"/>
  <c r="FI469" i="11"/>
  <c r="FJ469" i="11"/>
  <c r="FK469" i="11"/>
  <c r="FL469" i="11"/>
  <c r="FM469" i="11"/>
  <c r="FN469" i="11"/>
  <c r="FO469" i="11"/>
  <c r="FP469" i="11"/>
  <c r="FQ469" i="11"/>
  <c r="FR469" i="11"/>
  <c r="FS469" i="11"/>
  <c r="FT469" i="11"/>
  <c r="FU469" i="11"/>
  <c r="FV469" i="11"/>
  <c r="FW469" i="11"/>
  <c r="FX469" i="11"/>
  <c r="FY469" i="11"/>
  <c r="FZ469" i="11"/>
  <c r="GA469" i="11"/>
  <c r="GB469" i="11"/>
  <c r="GC469" i="11"/>
  <c r="GD469" i="11"/>
  <c r="GE469" i="11"/>
  <c r="GF469" i="11"/>
  <c r="GG469" i="11"/>
  <c r="GH469" i="11"/>
  <c r="GI469" i="11"/>
  <c r="GJ469" i="11"/>
  <c r="GK469" i="11"/>
  <c r="GL469" i="11"/>
  <c r="GM469" i="11"/>
  <c r="GN469" i="11"/>
  <c r="GO469" i="11"/>
  <c r="GP469" i="11"/>
  <c r="GQ469" i="11"/>
  <c r="GR469" i="11"/>
  <c r="GS469" i="11"/>
  <c r="GT469" i="11"/>
  <c r="GU469" i="11"/>
  <c r="GV469" i="11"/>
  <c r="GW469" i="11"/>
  <c r="GX469" i="11"/>
  <c r="GY469" i="11"/>
  <c r="GZ469" i="11"/>
  <c r="HA469" i="11"/>
  <c r="HB469" i="11"/>
  <c r="HC469" i="11"/>
  <c r="HD469" i="11"/>
  <c r="HE469" i="11"/>
  <c r="HF469" i="11"/>
  <c r="HG469" i="11"/>
  <c r="HH469" i="11"/>
  <c r="HI469" i="11"/>
  <c r="HJ469" i="11"/>
  <c r="HK469" i="11"/>
  <c r="HL469" i="11"/>
  <c r="HM469" i="11"/>
  <c r="HN469" i="11"/>
  <c r="HO469" i="11"/>
  <c r="HP469" i="11"/>
  <c r="HQ469" i="11"/>
  <c r="HR469" i="11"/>
  <c r="HS469" i="11"/>
  <c r="HT469" i="11"/>
  <c r="HU469" i="11"/>
  <c r="HV469" i="11"/>
  <c r="HW469" i="11"/>
  <c r="HX469" i="11"/>
  <c r="HY469" i="11"/>
  <c r="HZ469" i="11"/>
  <c r="IA469" i="11"/>
  <c r="IB469" i="11"/>
  <c r="IC469" i="11"/>
  <c r="ID469" i="11"/>
  <c r="IE469" i="11"/>
  <c r="IF469" i="11"/>
  <c r="IG469" i="11"/>
  <c r="IH469" i="11"/>
  <c r="II469" i="11"/>
  <c r="IJ469" i="11"/>
  <c r="IK469" i="11"/>
  <c r="IL469" i="11"/>
  <c r="IM469" i="11"/>
  <c r="IN469" i="11"/>
  <c r="IO469" i="11"/>
  <c r="IP469" i="11"/>
  <c r="IQ469" i="11"/>
  <c r="IR469" i="11"/>
  <c r="IS469" i="11"/>
  <c r="IT469" i="11"/>
  <c r="IU469" i="11"/>
  <c r="IV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AC470" i="11"/>
  <c r="AD470" i="11"/>
  <c r="AE470" i="11"/>
  <c r="AF470" i="11"/>
  <c r="AG470" i="11"/>
  <c r="AH470" i="11"/>
  <c r="AI470" i="11"/>
  <c r="AJ470" i="11"/>
  <c r="AK470" i="11"/>
  <c r="AL470" i="11"/>
  <c r="AM470" i="11"/>
  <c r="AN470" i="11"/>
  <c r="AO470" i="11"/>
  <c r="AP470" i="11"/>
  <c r="AQ470" i="11"/>
  <c r="AR470" i="11"/>
  <c r="AS470" i="11"/>
  <c r="AT470" i="11"/>
  <c r="AU470" i="11"/>
  <c r="AV470" i="11"/>
  <c r="AW470" i="11"/>
  <c r="AX470" i="11"/>
  <c r="AY470" i="11"/>
  <c r="AZ470" i="11"/>
  <c r="BA470" i="11"/>
  <c r="BB470" i="11"/>
  <c r="BC470" i="11"/>
  <c r="BD470" i="11"/>
  <c r="BE470" i="11"/>
  <c r="BF470" i="11"/>
  <c r="BG470" i="11"/>
  <c r="BH470" i="11"/>
  <c r="BI470" i="11"/>
  <c r="BJ470" i="11"/>
  <c r="BK470" i="11"/>
  <c r="BL470" i="11"/>
  <c r="BM470" i="11"/>
  <c r="BN470" i="11"/>
  <c r="BO470" i="11"/>
  <c r="BP470" i="11"/>
  <c r="BQ470" i="11"/>
  <c r="BR470" i="11"/>
  <c r="BS470" i="11"/>
  <c r="BT470" i="11"/>
  <c r="BU470" i="11"/>
  <c r="BV470" i="11"/>
  <c r="BW470" i="11"/>
  <c r="BX470" i="11"/>
  <c r="BY470" i="11"/>
  <c r="BZ470" i="11"/>
  <c r="CA470" i="11"/>
  <c r="CB470" i="11"/>
  <c r="CC470" i="11"/>
  <c r="CD470" i="11"/>
  <c r="CE470" i="11"/>
  <c r="CF470" i="11"/>
  <c r="CG470" i="11"/>
  <c r="CH470" i="11"/>
  <c r="CI470" i="11"/>
  <c r="CJ470" i="11"/>
  <c r="CK470" i="11"/>
  <c r="CL470" i="11"/>
  <c r="CM470" i="11"/>
  <c r="CN470" i="11"/>
  <c r="CO470" i="11"/>
  <c r="CP470" i="11"/>
  <c r="CQ470" i="11"/>
  <c r="CR470" i="11"/>
  <c r="CS470" i="11"/>
  <c r="CT470" i="11"/>
  <c r="CU470" i="11"/>
  <c r="CV470" i="11"/>
  <c r="CW470" i="11"/>
  <c r="CX470" i="11"/>
  <c r="CY470" i="11"/>
  <c r="CZ470" i="11"/>
  <c r="DA470" i="11"/>
  <c r="DB470" i="11"/>
  <c r="DC470" i="11"/>
  <c r="DD470" i="11"/>
  <c r="DE470" i="11"/>
  <c r="DF470" i="11"/>
  <c r="DG470" i="11"/>
  <c r="DH470" i="11"/>
  <c r="DI470" i="11"/>
  <c r="DJ470" i="11"/>
  <c r="DK470" i="11"/>
  <c r="DL470" i="11"/>
  <c r="DM470" i="11"/>
  <c r="DN470" i="11"/>
  <c r="DO470" i="11"/>
  <c r="DP470" i="11"/>
  <c r="DQ470" i="11"/>
  <c r="DR470" i="11"/>
  <c r="DS470" i="11"/>
  <c r="DT470" i="11"/>
  <c r="DU470" i="11"/>
  <c r="DV470" i="11"/>
  <c r="DW470" i="11"/>
  <c r="DX470" i="11"/>
  <c r="DY470" i="11"/>
  <c r="DZ470" i="11"/>
  <c r="EA470" i="11"/>
  <c r="EB470" i="11"/>
  <c r="EC470" i="11"/>
  <c r="ED470" i="11"/>
  <c r="EE470" i="11"/>
  <c r="EF470" i="11"/>
  <c r="EG470" i="11"/>
  <c r="EH470" i="11"/>
  <c r="EI470" i="11"/>
  <c r="EJ470" i="11"/>
  <c r="EK470" i="11"/>
  <c r="EL470" i="11"/>
  <c r="EM470" i="11"/>
  <c r="EN470" i="11"/>
  <c r="EO470" i="11"/>
  <c r="EP470" i="11"/>
  <c r="EQ470" i="11"/>
  <c r="ER470" i="11"/>
  <c r="ES470" i="11"/>
  <c r="ET470" i="11"/>
  <c r="EU470" i="11"/>
  <c r="EV470" i="11"/>
  <c r="EW470" i="11"/>
  <c r="EX470" i="11"/>
  <c r="EY470" i="11"/>
  <c r="EZ470" i="11"/>
  <c r="FA470" i="11"/>
  <c r="FB470" i="11"/>
  <c r="FC470" i="11"/>
  <c r="FD470" i="11"/>
  <c r="FE470" i="11"/>
  <c r="FF470" i="11"/>
  <c r="FG470" i="11"/>
  <c r="FH470" i="11"/>
  <c r="FI470" i="11"/>
  <c r="FJ470" i="11"/>
  <c r="FK470" i="11"/>
  <c r="FL470" i="11"/>
  <c r="FM470" i="11"/>
  <c r="FN470" i="11"/>
  <c r="FO470" i="11"/>
  <c r="FP470" i="11"/>
  <c r="FQ470" i="11"/>
  <c r="FR470" i="11"/>
  <c r="FS470" i="11"/>
  <c r="FT470" i="11"/>
  <c r="FU470" i="11"/>
  <c r="FV470" i="11"/>
  <c r="FW470" i="11"/>
  <c r="FX470" i="11"/>
  <c r="FY470" i="11"/>
  <c r="FZ470" i="11"/>
  <c r="GA470" i="11"/>
  <c r="GB470" i="11"/>
  <c r="GC470" i="11"/>
  <c r="GD470" i="11"/>
  <c r="GE470" i="11"/>
  <c r="GF470" i="11"/>
  <c r="GG470" i="11"/>
  <c r="GH470" i="11"/>
  <c r="GI470" i="11"/>
  <c r="GJ470" i="11"/>
  <c r="GK470" i="11"/>
  <c r="GL470" i="11"/>
  <c r="GM470" i="11"/>
  <c r="GN470" i="11"/>
  <c r="GO470" i="11"/>
  <c r="GP470" i="11"/>
  <c r="GQ470" i="11"/>
  <c r="GR470" i="11"/>
  <c r="GS470" i="11"/>
  <c r="GT470" i="11"/>
  <c r="GU470" i="11"/>
  <c r="GV470" i="11"/>
  <c r="GW470" i="11"/>
  <c r="GX470" i="11"/>
  <c r="GY470" i="11"/>
  <c r="GZ470" i="11"/>
  <c r="HA470" i="11"/>
  <c r="HB470" i="11"/>
  <c r="HC470" i="11"/>
  <c r="HD470" i="11"/>
  <c r="HE470" i="11"/>
  <c r="HF470" i="11"/>
  <c r="HG470" i="11"/>
  <c r="HH470" i="11"/>
  <c r="HI470" i="11"/>
  <c r="HJ470" i="11"/>
  <c r="HK470" i="11"/>
  <c r="HL470" i="11"/>
  <c r="HM470" i="11"/>
  <c r="HN470" i="11"/>
  <c r="HO470" i="11"/>
  <c r="HP470" i="11"/>
  <c r="HQ470" i="11"/>
  <c r="HR470" i="11"/>
  <c r="HS470" i="11"/>
  <c r="HT470" i="11"/>
  <c r="HU470" i="11"/>
  <c r="HV470" i="11"/>
  <c r="HW470" i="11"/>
  <c r="HX470" i="11"/>
  <c r="HY470" i="11"/>
  <c r="HZ470" i="11"/>
  <c r="IA470" i="11"/>
  <c r="IB470" i="11"/>
  <c r="IC470" i="11"/>
  <c r="ID470" i="11"/>
  <c r="IE470" i="11"/>
  <c r="IF470" i="11"/>
  <c r="IG470" i="11"/>
  <c r="IH470" i="11"/>
  <c r="II470" i="11"/>
  <c r="IJ470" i="11"/>
  <c r="IK470" i="11"/>
  <c r="IL470" i="11"/>
  <c r="IM470" i="11"/>
  <c r="IN470" i="11"/>
  <c r="IO470" i="11"/>
  <c r="IP470" i="11"/>
  <c r="IQ470" i="11"/>
  <c r="IR470" i="11"/>
  <c r="IS470" i="11"/>
  <c r="IT470" i="11"/>
  <c r="IU470" i="11"/>
  <c r="IV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AC471" i="11"/>
  <c r="AD471" i="11"/>
  <c r="AE471" i="11"/>
  <c r="AF471" i="11"/>
  <c r="AG471" i="11"/>
  <c r="AH471" i="11"/>
  <c r="AI471" i="11"/>
  <c r="AJ471" i="11"/>
  <c r="AK471" i="11"/>
  <c r="AL471" i="11"/>
  <c r="AM471" i="11"/>
  <c r="AN471" i="11"/>
  <c r="AO471" i="11"/>
  <c r="AP471" i="11"/>
  <c r="AQ471" i="11"/>
  <c r="AR471" i="11"/>
  <c r="AS471" i="11"/>
  <c r="AT471" i="11"/>
  <c r="AU471" i="11"/>
  <c r="AV471" i="11"/>
  <c r="AW471" i="11"/>
  <c r="AX471" i="11"/>
  <c r="AY471" i="11"/>
  <c r="AZ471" i="11"/>
  <c r="BA471" i="11"/>
  <c r="BB471" i="11"/>
  <c r="BC471" i="11"/>
  <c r="BD471" i="11"/>
  <c r="BE471" i="11"/>
  <c r="BF471" i="11"/>
  <c r="BG471" i="11"/>
  <c r="BH471" i="11"/>
  <c r="BI471" i="11"/>
  <c r="BJ471" i="11"/>
  <c r="BK471" i="11"/>
  <c r="BL471" i="11"/>
  <c r="BM471" i="11"/>
  <c r="BN471" i="11"/>
  <c r="BO471" i="11"/>
  <c r="BP471" i="11"/>
  <c r="BQ471" i="11"/>
  <c r="BR471" i="11"/>
  <c r="BS471" i="11"/>
  <c r="BT471" i="11"/>
  <c r="BU471" i="11"/>
  <c r="BV471" i="11"/>
  <c r="BW471" i="11"/>
  <c r="BX471" i="11"/>
  <c r="BY471" i="11"/>
  <c r="BZ471" i="11"/>
  <c r="CA471" i="11"/>
  <c r="CB471" i="11"/>
  <c r="CC471" i="11"/>
  <c r="CD471" i="11"/>
  <c r="CE471" i="11"/>
  <c r="CF471" i="11"/>
  <c r="CG471" i="11"/>
  <c r="CH471" i="11"/>
  <c r="CI471" i="11"/>
  <c r="CJ471" i="11"/>
  <c r="CK471" i="11"/>
  <c r="CL471" i="11"/>
  <c r="CM471" i="11"/>
  <c r="CN471" i="11"/>
  <c r="CO471" i="11"/>
  <c r="CP471" i="11"/>
  <c r="CQ471" i="11"/>
  <c r="CR471" i="11"/>
  <c r="CS471" i="11"/>
  <c r="CT471" i="11"/>
  <c r="CU471" i="11"/>
  <c r="CV471" i="11"/>
  <c r="CW471" i="11"/>
  <c r="CX471" i="11"/>
  <c r="CY471" i="11"/>
  <c r="CZ471" i="11"/>
  <c r="DA471" i="11"/>
  <c r="DB471" i="11"/>
  <c r="DC471" i="11"/>
  <c r="DD471" i="11"/>
  <c r="DE471" i="11"/>
  <c r="DF471" i="11"/>
  <c r="DG471" i="11"/>
  <c r="DH471" i="11"/>
  <c r="DI471" i="11"/>
  <c r="DJ471" i="11"/>
  <c r="DK471" i="11"/>
  <c r="DL471" i="11"/>
  <c r="DM471" i="11"/>
  <c r="DN471" i="11"/>
  <c r="DO471" i="11"/>
  <c r="DP471" i="11"/>
  <c r="DQ471" i="11"/>
  <c r="DR471" i="11"/>
  <c r="DS471" i="11"/>
  <c r="DT471" i="11"/>
  <c r="DU471" i="11"/>
  <c r="DV471" i="11"/>
  <c r="DW471" i="11"/>
  <c r="DX471" i="11"/>
  <c r="DY471" i="11"/>
  <c r="DZ471" i="11"/>
  <c r="EA471" i="11"/>
  <c r="EB471" i="11"/>
  <c r="EC471" i="11"/>
  <c r="ED471" i="11"/>
  <c r="EE471" i="11"/>
  <c r="EF471" i="11"/>
  <c r="EG471" i="11"/>
  <c r="EH471" i="11"/>
  <c r="EI471" i="11"/>
  <c r="EJ471" i="11"/>
  <c r="EK471" i="11"/>
  <c r="EL471" i="11"/>
  <c r="EM471" i="11"/>
  <c r="EN471" i="11"/>
  <c r="EO471" i="11"/>
  <c r="EP471" i="11"/>
  <c r="EQ471" i="11"/>
  <c r="ER471" i="11"/>
  <c r="ES471" i="11"/>
  <c r="ET471" i="11"/>
  <c r="EU471" i="11"/>
  <c r="EV471" i="11"/>
  <c r="EW471" i="11"/>
  <c r="EX471" i="11"/>
  <c r="EY471" i="11"/>
  <c r="EZ471" i="11"/>
  <c r="FA471" i="11"/>
  <c r="FB471" i="11"/>
  <c r="FC471" i="11"/>
  <c r="FD471" i="11"/>
  <c r="FE471" i="11"/>
  <c r="FF471" i="11"/>
  <c r="FG471" i="11"/>
  <c r="FH471" i="11"/>
  <c r="FI471" i="11"/>
  <c r="FJ471" i="11"/>
  <c r="FK471" i="11"/>
  <c r="FL471" i="11"/>
  <c r="FM471" i="11"/>
  <c r="FN471" i="11"/>
  <c r="FO471" i="11"/>
  <c r="FP471" i="11"/>
  <c r="FQ471" i="11"/>
  <c r="FR471" i="11"/>
  <c r="FS471" i="11"/>
  <c r="FT471" i="11"/>
  <c r="FU471" i="11"/>
  <c r="FV471" i="11"/>
  <c r="FW471" i="11"/>
  <c r="FX471" i="11"/>
  <c r="FY471" i="11"/>
  <c r="FZ471" i="11"/>
  <c r="GA471" i="11"/>
  <c r="GB471" i="11"/>
  <c r="GC471" i="11"/>
  <c r="GD471" i="11"/>
  <c r="GE471" i="11"/>
  <c r="GF471" i="11"/>
  <c r="GG471" i="11"/>
  <c r="GH471" i="11"/>
  <c r="GI471" i="11"/>
  <c r="GJ471" i="11"/>
  <c r="GK471" i="11"/>
  <c r="GL471" i="11"/>
  <c r="GM471" i="11"/>
  <c r="GN471" i="11"/>
  <c r="GO471" i="11"/>
  <c r="GP471" i="11"/>
  <c r="GQ471" i="11"/>
  <c r="GR471" i="11"/>
  <c r="GS471" i="11"/>
  <c r="GT471" i="11"/>
  <c r="GU471" i="11"/>
  <c r="GV471" i="11"/>
  <c r="GW471" i="11"/>
  <c r="GX471" i="11"/>
  <c r="GY471" i="11"/>
  <c r="GZ471" i="11"/>
  <c r="HA471" i="11"/>
  <c r="HB471" i="11"/>
  <c r="HC471" i="11"/>
  <c r="HD471" i="11"/>
  <c r="HE471" i="11"/>
  <c r="HF471" i="11"/>
  <c r="HG471" i="11"/>
  <c r="HH471" i="11"/>
  <c r="HI471" i="11"/>
  <c r="HJ471" i="11"/>
  <c r="HK471" i="11"/>
  <c r="HL471" i="11"/>
  <c r="HM471" i="11"/>
  <c r="HN471" i="11"/>
  <c r="HO471" i="11"/>
  <c r="HP471" i="11"/>
  <c r="HQ471" i="11"/>
  <c r="HR471" i="11"/>
  <c r="HS471" i="11"/>
  <c r="HT471" i="11"/>
  <c r="HU471" i="11"/>
  <c r="HV471" i="11"/>
  <c r="HW471" i="11"/>
  <c r="HX471" i="11"/>
  <c r="HY471" i="11"/>
  <c r="HZ471" i="11"/>
  <c r="IA471" i="11"/>
  <c r="IB471" i="11"/>
  <c r="IC471" i="11"/>
  <c r="ID471" i="11"/>
  <c r="IE471" i="11"/>
  <c r="IF471" i="11"/>
  <c r="IG471" i="11"/>
  <c r="IH471" i="11"/>
  <c r="II471" i="11"/>
  <c r="IJ471" i="11"/>
  <c r="IK471" i="11"/>
  <c r="IL471" i="11"/>
  <c r="IM471" i="11"/>
  <c r="IN471" i="11"/>
  <c r="IO471" i="11"/>
  <c r="IP471" i="11"/>
  <c r="IQ471" i="11"/>
  <c r="IR471" i="11"/>
  <c r="IS471" i="11"/>
  <c r="IT471" i="11"/>
  <c r="IU471" i="11"/>
  <c r="IV471" i="11"/>
  <c r="F472" i="11"/>
  <c r="G472" i="11"/>
  <c r="H472" i="11"/>
  <c r="I472" i="11"/>
  <c r="J472" i="11"/>
  <c r="K472" i="11"/>
  <c r="L472" i="11"/>
  <c r="M472" i="11"/>
  <c r="N472" i="11"/>
  <c r="O472" i="11"/>
  <c r="P472" i="11"/>
  <c r="Q472" i="11"/>
  <c r="R472" i="11"/>
  <c r="S472" i="11"/>
  <c r="T472" i="11"/>
  <c r="U472" i="11"/>
  <c r="V472" i="11"/>
  <c r="W472" i="11"/>
  <c r="X472" i="11"/>
  <c r="Y472" i="11"/>
  <c r="Z472" i="11"/>
  <c r="AA472" i="11"/>
  <c r="AB472" i="11"/>
  <c r="AC472" i="11"/>
  <c r="AD472" i="11"/>
  <c r="AE472" i="11"/>
  <c r="AF472" i="11"/>
  <c r="AG472" i="11"/>
  <c r="AH472" i="11"/>
  <c r="AI472" i="11"/>
  <c r="AJ472" i="11"/>
  <c r="AK472" i="11"/>
  <c r="AL472" i="11"/>
  <c r="AM472" i="11"/>
  <c r="AN472" i="11"/>
  <c r="AO472" i="11"/>
  <c r="AP472" i="11"/>
  <c r="AQ472" i="11"/>
  <c r="AR472" i="11"/>
  <c r="AS472" i="11"/>
  <c r="AT472" i="11"/>
  <c r="AU472" i="11"/>
  <c r="AV472" i="11"/>
  <c r="AW472" i="11"/>
  <c r="AX472" i="11"/>
  <c r="AY472" i="11"/>
  <c r="AZ472" i="11"/>
  <c r="BA472" i="11"/>
  <c r="BB472" i="11"/>
  <c r="BC472" i="11"/>
  <c r="BD472" i="11"/>
  <c r="BE472" i="11"/>
  <c r="BF472" i="11"/>
  <c r="BG472" i="11"/>
  <c r="BH472" i="11"/>
  <c r="BI472" i="11"/>
  <c r="BJ472" i="11"/>
  <c r="BK472" i="11"/>
  <c r="BL472" i="11"/>
  <c r="BM472" i="11"/>
  <c r="BN472" i="11"/>
  <c r="BO472" i="11"/>
  <c r="BP472" i="11"/>
  <c r="BQ472" i="11"/>
  <c r="BR472" i="11"/>
  <c r="BS472" i="11"/>
  <c r="BT472" i="11"/>
  <c r="BU472" i="11"/>
  <c r="BV472" i="11"/>
  <c r="BW472" i="11"/>
  <c r="BX472" i="11"/>
  <c r="BY472" i="11"/>
  <c r="BZ472" i="11"/>
  <c r="CA472" i="11"/>
  <c r="CB472" i="11"/>
  <c r="CC472" i="11"/>
  <c r="CD472" i="11"/>
  <c r="CE472" i="11"/>
  <c r="CF472" i="11"/>
  <c r="CG472" i="11"/>
  <c r="CH472" i="11"/>
  <c r="CI472" i="11"/>
  <c r="CJ472" i="11"/>
  <c r="CK472" i="11"/>
  <c r="CL472" i="11"/>
  <c r="CM472" i="11"/>
  <c r="CN472" i="11"/>
  <c r="CO472" i="11"/>
  <c r="CP472" i="11"/>
  <c r="CQ472" i="11"/>
  <c r="CR472" i="11"/>
  <c r="CS472" i="11"/>
  <c r="CT472" i="11"/>
  <c r="CU472" i="11"/>
  <c r="CV472" i="11"/>
  <c r="CW472" i="11"/>
  <c r="CX472" i="11"/>
  <c r="CY472" i="11"/>
  <c r="CZ472" i="11"/>
  <c r="DA472" i="11"/>
  <c r="DB472" i="11"/>
  <c r="DC472" i="11"/>
  <c r="DD472" i="11"/>
  <c r="DE472" i="11"/>
  <c r="DF472" i="11"/>
  <c r="DG472" i="11"/>
  <c r="DH472" i="11"/>
  <c r="DI472" i="11"/>
  <c r="DJ472" i="11"/>
  <c r="DK472" i="11"/>
  <c r="DL472" i="11"/>
  <c r="DM472" i="11"/>
  <c r="DN472" i="11"/>
  <c r="DO472" i="11"/>
  <c r="DP472" i="11"/>
  <c r="DQ472" i="11"/>
  <c r="DR472" i="11"/>
  <c r="DS472" i="11"/>
  <c r="DT472" i="11"/>
  <c r="DU472" i="11"/>
  <c r="DV472" i="11"/>
  <c r="DW472" i="11"/>
  <c r="DX472" i="11"/>
  <c r="DY472" i="11"/>
  <c r="DZ472" i="11"/>
  <c r="EA472" i="11"/>
  <c r="EB472" i="11"/>
  <c r="EC472" i="11"/>
  <c r="ED472" i="11"/>
  <c r="EE472" i="11"/>
  <c r="EF472" i="11"/>
  <c r="EG472" i="11"/>
  <c r="EH472" i="11"/>
  <c r="EI472" i="11"/>
  <c r="EJ472" i="11"/>
  <c r="EK472" i="11"/>
  <c r="EL472" i="11"/>
  <c r="EM472" i="11"/>
  <c r="EN472" i="11"/>
  <c r="EO472" i="11"/>
  <c r="EP472" i="11"/>
  <c r="EQ472" i="11"/>
  <c r="ER472" i="11"/>
  <c r="ES472" i="11"/>
  <c r="ET472" i="11"/>
  <c r="EU472" i="11"/>
  <c r="EV472" i="11"/>
  <c r="EW472" i="11"/>
  <c r="EX472" i="11"/>
  <c r="EY472" i="11"/>
  <c r="EZ472" i="11"/>
  <c r="FA472" i="11"/>
  <c r="FB472" i="11"/>
  <c r="FC472" i="11"/>
  <c r="FD472" i="11"/>
  <c r="FE472" i="11"/>
  <c r="FF472" i="11"/>
  <c r="FG472" i="11"/>
  <c r="FH472" i="11"/>
  <c r="FI472" i="11"/>
  <c r="FJ472" i="11"/>
  <c r="FK472" i="11"/>
  <c r="FL472" i="11"/>
  <c r="FM472" i="11"/>
  <c r="FN472" i="11"/>
  <c r="FO472" i="11"/>
  <c r="FP472" i="11"/>
  <c r="FQ472" i="11"/>
  <c r="FR472" i="11"/>
  <c r="FS472" i="11"/>
  <c r="FT472" i="11"/>
  <c r="FU472" i="11"/>
  <c r="FV472" i="11"/>
  <c r="FW472" i="11"/>
  <c r="FX472" i="11"/>
  <c r="FY472" i="11"/>
  <c r="FZ472" i="11"/>
  <c r="GA472" i="11"/>
  <c r="GB472" i="11"/>
  <c r="GC472" i="11"/>
  <c r="GD472" i="11"/>
  <c r="GE472" i="11"/>
  <c r="GF472" i="11"/>
  <c r="GG472" i="11"/>
  <c r="GH472" i="11"/>
  <c r="GI472" i="11"/>
  <c r="GJ472" i="11"/>
  <c r="GK472" i="11"/>
  <c r="GL472" i="11"/>
  <c r="GM472" i="11"/>
  <c r="GN472" i="11"/>
  <c r="GO472" i="11"/>
  <c r="GP472" i="11"/>
  <c r="GQ472" i="11"/>
  <c r="GR472" i="11"/>
  <c r="GS472" i="11"/>
  <c r="GT472" i="11"/>
  <c r="GU472" i="11"/>
  <c r="GV472" i="11"/>
  <c r="GW472" i="11"/>
  <c r="GX472" i="11"/>
  <c r="GY472" i="11"/>
  <c r="GZ472" i="11"/>
  <c r="HA472" i="11"/>
  <c r="HB472" i="11"/>
  <c r="HC472" i="11"/>
  <c r="HD472" i="11"/>
  <c r="HE472" i="11"/>
  <c r="HF472" i="11"/>
  <c r="HG472" i="11"/>
  <c r="HH472" i="11"/>
  <c r="HI472" i="11"/>
  <c r="HJ472" i="11"/>
  <c r="HK472" i="11"/>
  <c r="HL472" i="11"/>
  <c r="HM472" i="11"/>
  <c r="HN472" i="11"/>
  <c r="HO472" i="11"/>
  <c r="HP472" i="11"/>
  <c r="HQ472" i="11"/>
  <c r="HR472" i="11"/>
  <c r="HS472" i="11"/>
  <c r="HT472" i="11"/>
  <c r="HU472" i="11"/>
  <c r="HV472" i="11"/>
  <c r="HW472" i="11"/>
  <c r="HX472" i="11"/>
  <c r="HY472" i="11"/>
  <c r="HZ472" i="11"/>
  <c r="IA472" i="11"/>
  <c r="IB472" i="11"/>
  <c r="IC472" i="11"/>
  <c r="ID472" i="11"/>
  <c r="IE472" i="11"/>
  <c r="IF472" i="11"/>
  <c r="IG472" i="11"/>
  <c r="IH472" i="11"/>
  <c r="II472" i="11"/>
  <c r="IJ472" i="11"/>
  <c r="IK472" i="11"/>
  <c r="IL472" i="11"/>
  <c r="IM472" i="11"/>
  <c r="IN472" i="11"/>
  <c r="IO472" i="11"/>
  <c r="IP472" i="11"/>
  <c r="IQ472" i="11"/>
  <c r="IR472" i="11"/>
  <c r="IS472" i="11"/>
  <c r="IT472" i="11"/>
  <c r="IU472" i="11"/>
  <c r="IV472" i="11"/>
  <c r="F473" i="11"/>
  <c r="G473" i="11"/>
  <c r="H473" i="11"/>
  <c r="I473" i="11"/>
  <c r="J473" i="11"/>
  <c r="K473" i="11"/>
  <c r="L473" i="11"/>
  <c r="M473" i="11"/>
  <c r="N473" i="11"/>
  <c r="O473" i="11"/>
  <c r="P473" i="11"/>
  <c r="Q473" i="11"/>
  <c r="R473" i="11"/>
  <c r="S473" i="11"/>
  <c r="T473" i="11"/>
  <c r="U473" i="11"/>
  <c r="V473" i="11"/>
  <c r="W473" i="11"/>
  <c r="X473" i="11"/>
  <c r="Y473" i="11"/>
  <c r="Z473" i="11"/>
  <c r="AA473" i="11"/>
  <c r="AB473" i="11"/>
  <c r="AC473" i="11"/>
  <c r="AD473" i="11"/>
  <c r="AE473" i="11"/>
  <c r="AF473" i="11"/>
  <c r="AG473" i="11"/>
  <c r="AH473" i="11"/>
  <c r="AI473" i="11"/>
  <c r="AJ473" i="11"/>
  <c r="AK473" i="11"/>
  <c r="AL473" i="11"/>
  <c r="AM473" i="11"/>
  <c r="AN473" i="11"/>
  <c r="AO473" i="11"/>
  <c r="AP473" i="11"/>
  <c r="AQ473" i="11"/>
  <c r="AR473" i="11"/>
  <c r="AS473" i="11"/>
  <c r="AT473" i="11"/>
  <c r="AU473" i="11"/>
  <c r="AV473" i="11"/>
  <c r="AW473" i="11"/>
  <c r="AX473" i="11"/>
  <c r="AY473" i="11"/>
  <c r="AZ473" i="11"/>
  <c r="BA473" i="11"/>
  <c r="BB473" i="11"/>
  <c r="BC473" i="11"/>
  <c r="BD473" i="11"/>
  <c r="BE473" i="11"/>
  <c r="BF473" i="11"/>
  <c r="BG473" i="11"/>
  <c r="BH473" i="11"/>
  <c r="BI473" i="11"/>
  <c r="BJ473" i="11"/>
  <c r="BK473" i="11"/>
  <c r="BL473" i="11"/>
  <c r="BM473" i="11"/>
  <c r="BN473" i="11"/>
  <c r="BO473" i="11"/>
  <c r="BP473" i="11"/>
  <c r="BQ473" i="11"/>
  <c r="BR473" i="11"/>
  <c r="BS473" i="11"/>
  <c r="BT473" i="11"/>
  <c r="BU473" i="11"/>
  <c r="BV473" i="11"/>
  <c r="BW473" i="11"/>
  <c r="BX473" i="11"/>
  <c r="BY473" i="11"/>
  <c r="BZ473" i="11"/>
  <c r="CA473" i="11"/>
  <c r="CB473" i="11"/>
  <c r="CC473" i="11"/>
  <c r="CD473" i="11"/>
  <c r="CE473" i="11"/>
  <c r="CF473" i="11"/>
  <c r="CG473" i="11"/>
  <c r="CH473" i="11"/>
  <c r="CI473" i="11"/>
  <c r="CJ473" i="11"/>
  <c r="CK473" i="11"/>
  <c r="CL473" i="11"/>
  <c r="CM473" i="11"/>
  <c r="CN473" i="11"/>
  <c r="CO473" i="11"/>
  <c r="CP473" i="11"/>
  <c r="CQ473" i="11"/>
  <c r="CR473" i="11"/>
  <c r="CS473" i="11"/>
  <c r="CT473" i="11"/>
  <c r="CU473" i="11"/>
  <c r="CV473" i="11"/>
  <c r="CW473" i="11"/>
  <c r="CX473" i="11"/>
  <c r="CY473" i="11"/>
  <c r="CZ473" i="11"/>
  <c r="DA473" i="11"/>
  <c r="DB473" i="11"/>
  <c r="DC473" i="11"/>
  <c r="DD473" i="11"/>
  <c r="DE473" i="11"/>
  <c r="DF473" i="11"/>
  <c r="DG473" i="11"/>
  <c r="DH473" i="11"/>
  <c r="DI473" i="11"/>
  <c r="DJ473" i="11"/>
  <c r="DK473" i="11"/>
  <c r="DL473" i="11"/>
  <c r="DM473" i="11"/>
  <c r="DN473" i="11"/>
  <c r="DO473" i="11"/>
  <c r="DP473" i="11"/>
  <c r="DQ473" i="11"/>
  <c r="DR473" i="11"/>
  <c r="DS473" i="11"/>
  <c r="DT473" i="11"/>
  <c r="DU473" i="11"/>
  <c r="DV473" i="11"/>
  <c r="DW473" i="11"/>
  <c r="DX473" i="11"/>
  <c r="DY473" i="11"/>
  <c r="DZ473" i="11"/>
  <c r="EA473" i="11"/>
  <c r="EB473" i="11"/>
  <c r="EC473" i="11"/>
  <c r="ED473" i="11"/>
  <c r="EE473" i="11"/>
  <c r="EF473" i="11"/>
  <c r="EG473" i="11"/>
  <c r="EH473" i="11"/>
  <c r="EI473" i="11"/>
  <c r="EJ473" i="11"/>
  <c r="EK473" i="11"/>
  <c r="EL473" i="11"/>
  <c r="EM473" i="11"/>
  <c r="EN473" i="11"/>
  <c r="EO473" i="11"/>
  <c r="EP473" i="11"/>
  <c r="EQ473" i="11"/>
  <c r="ER473" i="11"/>
  <c r="ES473" i="11"/>
  <c r="ET473" i="11"/>
  <c r="EU473" i="11"/>
  <c r="EV473" i="11"/>
  <c r="EW473" i="11"/>
  <c r="EX473" i="11"/>
  <c r="EY473" i="11"/>
  <c r="EZ473" i="11"/>
  <c r="FA473" i="11"/>
  <c r="FB473" i="11"/>
  <c r="FC473" i="11"/>
  <c r="FD473" i="11"/>
  <c r="FE473" i="11"/>
  <c r="FF473" i="11"/>
  <c r="FG473" i="11"/>
  <c r="FH473" i="11"/>
  <c r="FI473" i="11"/>
  <c r="FJ473" i="11"/>
  <c r="FK473" i="11"/>
  <c r="FL473" i="11"/>
  <c r="FM473" i="11"/>
  <c r="FN473" i="11"/>
  <c r="FO473" i="11"/>
  <c r="FP473" i="11"/>
  <c r="FQ473" i="11"/>
  <c r="FR473" i="11"/>
  <c r="FS473" i="11"/>
  <c r="FT473" i="11"/>
  <c r="FU473" i="11"/>
  <c r="FV473" i="11"/>
  <c r="FW473" i="11"/>
  <c r="FX473" i="11"/>
  <c r="FY473" i="11"/>
  <c r="FZ473" i="11"/>
  <c r="GA473" i="11"/>
  <c r="GB473" i="11"/>
  <c r="GC473" i="11"/>
  <c r="GD473" i="11"/>
  <c r="GE473" i="11"/>
  <c r="GF473" i="11"/>
  <c r="GG473" i="11"/>
  <c r="GH473" i="11"/>
  <c r="GI473" i="11"/>
  <c r="GJ473" i="11"/>
  <c r="GK473" i="11"/>
  <c r="GL473" i="11"/>
  <c r="GM473" i="11"/>
  <c r="GN473" i="11"/>
  <c r="GO473" i="11"/>
  <c r="GP473" i="11"/>
  <c r="GQ473" i="11"/>
  <c r="GR473" i="11"/>
  <c r="GS473" i="11"/>
  <c r="GT473" i="11"/>
  <c r="GU473" i="11"/>
  <c r="GV473" i="11"/>
  <c r="GW473" i="11"/>
  <c r="GX473" i="11"/>
  <c r="GY473" i="11"/>
  <c r="GZ473" i="11"/>
  <c r="HA473" i="11"/>
  <c r="HB473" i="11"/>
  <c r="HC473" i="11"/>
  <c r="HD473" i="11"/>
  <c r="HE473" i="11"/>
  <c r="HF473" i="11"/>
  <c r="HG473" i="11"/>
  <c r="HH473" i="11"/>
  <c r="HI473" i="11"/>
  <c r="HJ473" i="11"/>
  <c r="HK473" i="11"/>
  <c r="HL473" i="11"/>
  <c r="HM473" i="11"/>
  <c r="HN473" i="11"/>
  <c r="HO473" i="11"/>
  <c r="HP473" i="11"/>
  <c r="HQ473" i="11"/>
  <c r="HR473" i="11"/>
  <c r="HS473" i="11"/>
  <c r="HT473" i="11"/>
  <c r="HU473" i="11"/>
  <c r="HV473" i="11"/>
  <c r="HW473" i="11"/>
  <c r="HX473" i="11"/>
  <c r="HY473" i="11"/>
  <c r="HZ473" i="11"/>
  <c r="IA473" i="11"/>
  <c r="IB473" i="11"/>
  <c r="IC473" i="11"/>
  <c r="ID473" i="11"/>
  <c r="IE473" i="11"/>
  <c r="IF473" i="11"/>
  <c r="IG473" i="11"/>
  <c r="IH473" i="11"/>
  <c r="II473" i="11"/>
  <c r="IJ473" i="11"/>
  <c r="IK473" i="11"/>
  <c r="IL473" i="11"/>
  <c r="IM473" i="11"/>
  <c r="IN473" i="11"/>
  <c r="IO473" i="11"/>
  <c r="IP473" i="11"/>
  <c r="IQ473" i="11"/>
  <c r="IR473" i="11"/>
  <c r="IS473" i="11"/>
  <c r="IT473" i="11"/>
  <c r="IU473" i="11"/>
  <c r="IV473" i="11"/>
  <c r="F474" i="11"/>
  <c r="G474" i="11"/>
  <c r="H474" i="11"/>
  <c r="I474" i="11"/>
  <c r="J474" i="11"/>
  <c r="K474" i="11"/>
  <c r="L474" i="11"/>
  <c r="M474" i="11"/>
  <c r="N474" i="11"/>
  <c r="O474" i="11"/>
  <c r="P474" i="11"/>
  <c r="Q474" i="11"/>
  <c r="R474" i="11"/>
  <c r="S474" i="11"/>
  <c r="T474" i="11"/>
  <c r="U474" i="11"/>
  <c r="V474" i="11"/>
  <c r="W474" i="11"/>
  <c r="X474" i="11"/>
  <c r="Y474" i="11"/>
  <c r="Z474" i="11"/>
  <c r="AA474" i="11"/>
  <c r="AB474" i="11"/>
  <c r="AC474" i="11"/>
  <c r="AD474" i="11"/>
  <c r="AE474" i="11"/>
  <c r="AF474" i="11"/>
  <c r="AG474" i="11"/>
  <c r="AH474" i="11"/>
  <c r="AI474" i="11"/>
  <c r="AJ474" i="11"/>
  <c r="AK474" i="11"/>
  <c r="AL474" i="11"/>
  <c r="AM474" i="11"/>
  <c r="AN474" i="11"/>
  <c r="AO474" i="11"/>
  <c r="AP474" i="11"/>
  <c r="AQ474" i="11"/>
  <c r="AR474" i="11"/>
  <c r="AS474" i="11"/>
  <c r="AT474" i="11"/>
  <c r="AU474" i="11"/>
  <c r="AV474" i="11"/>
  <c r="AW474" i="11"/>
  <c r="AX474" i="11"/>
  <c r="AY474" i="11"/>
  <c r="AZ474" i="11"/>
  <c r="BA474" i="11"/>
  <c r="BB474" i="11"/>
  <c r="BC474" i="11"/>
  <c r="BD474" i="11"/>
  <c r="BE474" i="11"/>
  <c r="BF474" i="11"/>
  <c r="BG474" i="11"/>
  <c r="BH474" i="11"/>
  <c r="BI474" i="11"/>
  <c r="BJ474" i="11"/>
  <c r="BK474" i="11"/>
  <c r="BL474" i="11"/>
  <c r="BM474" i="11"/>
  <c r="BN474" i="11"/>
  <c r="BO474" i="11"/>
  <c r="BP474" i="11"/>
  <c r="BQ474" i="11"/>
  <c r="BR474" i="11"/>
  <c r="BS474" i="11"/>
  <c r="BT474" i="11"/>
  <c r="BU474" i="11"/>
  <c r="BV474" i="11"/>
  <c r="BW474" i="11"/>
  <c r="BX474" i="11"/>
  <c r="BY474" i="11"/>
  <c r="BZ474" i="11"/>
  <c r="CA474" i="11"/>
  <c r="CB474" i="11"/>
  <c r="CC474" i="11"/>
  <c r="CD474" i="11"/>
  <c r="CE474" i="11"/>
  <c r="CF474" i="11"/>
  <c r="CG474" i="11"/>
  <c r="CH474" i="11"/>
  <c r="CI474" i="11"/>
  <c r="CJ474" i="11"/>
  <c r="CK474" i="11"/>
  <c r="CL474" i="11"/>
  <c r="CM474" i="11"/>
  <c r="CN474" i="11"/>
  <c r="CO474" i="11"/>
  <c r="CP474" i="11"/>
  <c r="CQ474" i="11"/>
  <c r="CR474" i="11"/>
  <c r="CS474" i="11"/>
  <c r="CT474" i="11"/>
  <c r="CU474" i="11"/>
  <c r="CV474" i="11"/>
  <c r="CW474" i="11"/>
  <c r="CX474" i="11"/>
  <c r="CY474" i="11"/>
  <c r="CZ474" i="11"/>
  <c r="DA474" i="11"/>
  <c r="DB474" i="11"/>
  <c r="DC474" i="11"/>
  <c r="DD474" i="11"/>
  <c r="DE474" i="11"/>
  <c r="DF474" i="11"/>
  <c r="DG474" i="11"/>
  <c r="DH474" i="11"/>
  <c r="DI474" i="11"/>
  <c r="DJ474" i="11"/>
  <c r="DK474" i="11"/>
  <c r="DL474" i="11"/>
  <c r="DM474" i="11"/>
  <c r="DN474" i="11"/>
  <c r="DO474" i="11"/>
  <c r="DP474" i="11"/>
  <c r="DQ474" i="11"/>
  <c r="DR474" i="11"/>
  <c r="DS474" i="11"/>
  <c r="DT474" i="11"/>
  <c r="DU474" i="11"/>
  <c r="DV474" i="11"/>
  <c r="DW474" i="11"/>
  <c r="DX474" i="11"/>
  <c r="DY474" i="11"/>
  <c r="DZ474" i="11"/>
  <c r="EA474" i="11"/>
  <c r="EB474" i="11"/>
  <c r="EC474" i="11"/>
  <c r="ED474" i="11"/>
  <c r="EE474" i="11"/>
  <c r="EF474" i="11"/>
  <c r="EG474" i="11"/>
  <c r="EH474" i="11"/>
  <c r="EI474" i="11"/>
  <c r="EJ474" i="11"/>
  <c r="EK474" i="11"/>
  <c r="EL474" i="11"/>
  <c r="EM474" i="11"/>
  <c r="EN474" i="11"/>
  <c r="EO474" i="11"/>
  <c r="EP474" i="11"/>
  <c r="EQ474" i="11"/>
  <c r="ER474" i="11"/>
  <c r="ES474" i="11"/>
  <c r="ET474" i="11"/>
  <c r="EU474" i="11"/>
  <c r="EV474" i="11"/>
  <c r="EW474" i="11"/>
  <c r="EX474" i="11"/>
  <c r="EY474" i="11"/>
  <c r="EZ474" i="11"/>
  <c r="FA474" i="11"/>
  <c r="FB474" i="11"/>
  <c r="FC474" i="11"/>
  <c r="FD474" i="11"/>
  <c r="FE474" i="11"/>
  <c r="FF474" i="11"/>
  <c r="FG474" i="11"/>
  <c r="FH474" i="11"/>
  <c r="FI474" i="11"/>
  <c r="FJ474" i="11"/>
  <c r="FK474" i="11"/>
  <c r="FL474" i="11"/>
  <c r="FM474" i="11"/>
  <c r="FN474" i="11"/>
  <c r="FO474" i="11"/>
  <c r="FP474" i="11"/>
  <c r="FQ474" i="11"/>
  <c r="FR474" i="11"/>
  <c r="FS474" i="11"/>
  <c r="FT474" i="11"/>
  <c r="FU474" i="11"/>
  <c r="FV474" i="11"/>
  <c r="FW474" i="11"/>
  <c r="FX474" i="11"/>
  <c r="FY474" i="11"/>
  <c r="FZ474" i="11"/>
  <c r="GA474" i="11"/>
  <c r="GB474" i="11"/>
  <c r="GC474" i="11"/>
  <c r="GD474" i="11"/>
  <c r="GE474" i="11"/>
  <c r="GF474" i="11"/>
  <c r="GG474" i="11"/>
  <c r="GH474" i="11"/>
  <c r="GI474" i="11"/>
  <c r="GJ474" i="11"/>
  <c r="GK474" i="11"/>
  <c r="GL474" i="11"/>
  <c r="GM474" i="11"/>
  <c r="GN474" i="11"/>
  <c r="GO474" i="11"/>
  <c r="GP474" i="11"/>
  <c r="GQ474" i="11"/>
  <c r="GR474" i="11"/>
  <c r="GS474" i="11"/>
  <c r="GT474" i="11"/>
  <c r="GU474" i="11"/>
  <c r="GV474" i="11"/>
  <c r="GW474" i="11"/>
  <c r="GX474" i="11"/>
  <c r="GY474" i="11"/>
  <c r="GZ474" i="11"/>
  <c r="HA474" i="11"/>
  <c r="HB474" i="11"/>
  <c r="HC474" i="11"/>
  <c r="HD474" i="11"/>
  <c r="HE474" i="11"/>
  <c r="HF474" i="11"/>
  <c r="HG474" i="11"/>
  <c r="HH474" i="11"/>
  <c r="HI474" i="11"/>
  <c r="HJ474" i="11"/>
  <c r="HK474" i="11"/>
  <c r="HL474" i="11"/>
  <c r="HM474" i="11"/>
  <c r="HN474" i="11"/>
  <c r="HO474" i="11"/>
  <c r="HP474" i="11"/>
  <c r="HQ474" i="11"/>
  <c r="HR474" i="11"/>
  <c r="HS474" i="11"/>
  <c r="HT474" i="11"/>
  <c r="HU474" i="11"/>
  <c r="HV474" i="11"/>
  <c r="HW474" i="11"/>
  <c r="HX474" i="11"/>
  <c r="HY474" i="11"/>
  <c r="HZ474" i="11"/>
  <c r="IA474" i="11"/>
  <c r="IB474" i="11"/>
  <c r="IC474" i="11"/>
  <c r="ID474" i="11"/>
  <c r="IE474" i="11"/>
  <c r="IF474" i="11"/>
  <c r="IG474" i="11"/>
  <c r="IH474" i="11"/>
  <c r="II474" i="11"/>
  <c r="IJ474" i="11"/>
  <c r="IK474" i="11"/>
  <c r="IL474" i="11"/>
  <c r="IM474" i="11"/>
  <c r="IN474" i="11"/>
  <c r="IO474" i="11"/>
  <c r="IP474" i="11"/>
  <c r="IQ474" i="11"/>
  <c r="IR474" i="11"/>
  <c r="IS474" i="11"/>
  <c r="IT474" i="11"/>
  <c r="IU474" i="11"/>
  <c r="IV474" i="11"/>
  <c r="F475" i="11"/>
  <c r="G475" i="11"/>
  <c r="H475" i="11"/>
  <c r="I475" i="11"/>
  <c r="J475" i="11"/>
  <c r="K475" i="11"/>
  <c r="L475" i="11"/>
  <c r="M475" i="11"/>
  <c r="N475" i="11"/>
  <c r="O475" i="11"/>
  <c r="P475" i="11"/>
  <c r="Q475" i="11"/>
  <c r="R475" i="11"/>
  <c r="S475" i="11"/>
  <c r="T475" i="11"/>
  <c r="U475" i="11"/>
  <c r="V475" i="11"/>
  <c r="W475" i="11"/>
  <c r="X475" i="11"/>
  <c r="Y475" i="11"/>
  <c r="Z475" i="11"/>
  <c r="AA475" i="11"/>
  <c r="AB475" i="11"/>
  <c r="AC475" i="11"/>
  <c r="AD475" i="11"/>
  <c r="AE475" i="11"/>
  <c r="AF475" i="11"/>
  <c r="AG475" i="11"/>
  <c r="AH475" i="11"/>
  <c r="AI475" i="11"/>
  <c r="AJ475" i="11"/>
  <c r="AK475" i="11"/>
  <c r="AL475" i="11"/>
  <c r="AM475" i="11"/>
  <c r="AN475" i="11"/>
  <c r="AO475" i="11"/>
  <c r="AP475" i="11"/>
  <c r="AQ475" i="11"/>
  <c r="AR475" i="11"/>
  <c r="AS475" i="11"/>
  <c r="AT475" i="11"/>
  <c r="AU475" i="11"/>
  <c r="AV475" i="11"/>
  <c r="AW475" i="11"/>
  <c r="AX475" i="11"/>
  <c r="AY475" i="11"/>
  <c r="AZ475" i="11"/>
  <c r="BA475" i="11"/>
  <c r="BB475" i="11"/>
  <c r="BC475" i="11"/>
  <c r="BD475" i="11"/>
  <c r="BE475" i="11"/>
  <c r="BF475" i="11"/>
  <c r="BG475" i="11"/>
  <c r="BH475" i="11"/>
  <c r="BI475" i="11"/>
  <c r="BJ475" i="11"/>
  <c r="BK475" i="11"/>
  <c r="BL475" i="11"/>
  <c r="BM475" i="11"/>
  <c r="BN475" i="11"/>
  <c r="BO475" i="11"/>
  <c r="BP475" i="11"/>
  <c r="BQ475" i="11"/>
  <c r="BR475" i="11"/>
  <c r="BS475" i="11"/>
  <c r="BT475" i="11"/>
  <c r="BU475" i="11"/>
  <c r="BV475" i="11"/>
  <c r="BW475" i="11"/>
  <c r="BX475" i="11"/>
  <c r="BY475" i="11"/>
  <c r="BZ475" i="11"/>
  <c r="CA475" i="11"/>
  <c r="CB475" i="11"/>
  <c r="CC475" i="11"/>
  <c r="CD475" i="11"/>
  <c r="CE475" i="11"/>
  <c r="CF475" i="11"/>
  <c r="CG475" i="11"/>
  <c r="CH475" i="11"/>
  <c r="CI475" i="11"/>
  <c r="CJ475" i="11"/>
  <c r="CK475" i="11"/>
  <c r="CL475" i="11"/>
  <c r="CM475" i="11"/>
  <c r="CN475" i="11"/>
  <c r="CO475" i="11"/>
  <c r="CP475" i="11"/>
  <c r="CQ475" i="11"/>
  <c r="CR475" i="11"/>
  <c r="CS475" i="11"/>
  <c r="CT475" i="11"/>
  <c r="CU475" i="11"/>
  <c r="CV475" i="11"/>
  <c r="CW475" i="11"/>
  <c r="CX475" i="11"/>
  <c r="CY475" i="11"/>
  <c r="CZ475" i="11"/>
  <c r="DA475" i="11"/>
  <c r="DB475" i="11"/>
  <c r="DC475" i="11"/>
  <c r="DD475" i="11"/>
  <c r="DE475" i="11"/>
  <c r="DF475" i="11"/>
  <c r="DG475" i="11"/>
  <c r="DH475" i="11"/>
  <c r="DI475" i="11"/>
  <c r="DJ475" i="11"/>
  <c r="DK475" i="11"/>
  <c r="DL475" i="11"/>
  <c r="DM475" i="11"/>
  <c r="DN475" i="11"/>
  <c r="DO475" i="11"/>
  <c r="DP475" i="11"/>
  <c r="DQ475" i="11"/>
  <c r="DR475" i="11"/>
  <c r="DS475" i="11"/>
  <c r="DT475" i="11"/>
  <c r="DU475" i="11"/>
  <c r="DV475" i="11"/>
  <c r="DW475" i="11"/>
  <c r="DX475" i="11"/>
  <c r="DY475" i="11"/>
  <c r="DZ475" i="11"/>
  <c r="EA475" i="11"/>
  <c r="EB475" i="11"/>
  <c r="EC475" i="11"/>
  <c r="ED475" i="11"/>
  <c r="EE475" i="11"/>
  <c r="EF475" i="11"/>
  <c r="EG475" i="11"/>
  <c r="EH475" i="11"/>
  <c r="EI475" i="11"/>
  <c r="EJ475" i="11"/>
  <c r="EK475" i="11"/>
  <c r="EL475" i="11"/>
  <c r="EM475" i="11"/>
  <c r="EN475" i="11"/>
  <c r="EO475" i="11"/>
  <c r="EP475" i="11"/>
  <c r="EQ475" i="11"/>
  <c r="ER475" i="11"/>
  <c r="ES475" i="11"/>
  <c r="ET475" i="11"/>
  <c r="EU475" i="11"/>
  <c r="EV475" i="11"/>
  <c r="EW475" i="11"/>
  <c r="EX475" i="11"/>
  <c r="EY475" i="11"/>
  <c r="EZ475" i="11"/>
  <c r="FA475" i="11"/>
  <c r="FB475" i="11"/>
  <c r="FC475" i="11"/>
  <c r="FD475" i="11"/>
  <c r="FE475" i="11"/>
  <c r="FF475" i="11"/>
  <c r="FG475" i="11"/>
  <c r="FH475" i="11"/>
  <c r="FI475" i="11"/>
  <c r="FJ475" i="11"/>
  <c r="FK475" i="11"/>
  <c r="FL475" i="11"/>
  <c r="FM475" i="11"/>
  <c r="FN475" i="11"/>
  <c r="FO475" i="11"/>
  <c r="FP475" i="11"/>
  <c r="FQ475" i="11"/>
  <c r="FR475" i="11"/>
  <c r="FS475" i="11"/>
  <c r="FT475" i="11"/>
  <c r="FU475" i="11"/>
  <c r="FV475" i="11"/>
  <c r="FW475" i="11"/>
  <c r="FX475" i="11"/>
  <c r="FY475" i="11"/>
  <c r="FZ475" i="11"/>
  <c r="GA475" i="11"/>
  <c r="GB475" i="11"/>
  <c r="GC475" i="11"/>
  <c r="GD475" i="11"/>
  <c r="GE475" i="11"/>
  <c r="GF475" i="11"/>
  <c r="GG475" i="11"/>
  <c r="GH475" i="11"/>
  <c r="GI475" i="11"/>
  <c r="GJ475" i="11"/>
  <c r="GK475" i="11"/>
  <c r="GL475" i="11"/>
  <c r="GM475" i="11"/>
  <c r="GN475" i="11"/>
  <c r="GO475" i="11"/>
  <c r="GP475" i="11"/>
  <c r="GQ475" i="11"/>
  <c r="GR475" i="11"/>
  <c r="GS475" i="11"/>
  <c r="GT475" i="11"/>
  <c r="GU475" i="11"/>
  <c r="GV475" i="11"/>
  <c r="GW475" i="11"/>
  <c r="GX475" i="11"/>
  <c r="GY475" i="11"/>
  <c r="GZ475" i="11"/>
  <c r="HA475" i="11"/>
  <c r="HB475" i="11"/>
  <c r="HC475" i="11"/>
  <c r="HD475" i="11"/>
  <c r="HE475" i="11"/>
  <c r="HF475" i="11"/>
  <c r="HG475" i="11"/>
  <c r="HH475" i="11"/>
  <c r="HI475" i="11"/>
  <c r="HJ475" i="11"/>
  <c r="HK475" i="11"/>
  <c r="HL475" i="11"/>
  <c r="HM475" i="11"/>
  <c r="HN475" i="11"/>
  <c r="HO475" i="11"/>
  <c r="HP475" i="11"/>
  <c r="HQ475" i="11"/>
  <c r="HR475" i="11"/>
  <c r="HS475" i="11"/>
  <c r="HT475" i="11"/>
  <c r="HU475" i="11"/>
  <c r="HV475" i="11"/>
  <c r="HW475" i="11"/>
  <c r="HX475" i="11"/>
  <c r="HY475" i="11"/>
  <c r="HZ475" i="11"/>
  <c r="IA475" i="11"/>
  <c r="IB475" i="11"/>
  <c r="IC475" i="11"/>
  <c r="ID475" i="11"/>
  <c r="IE475" i="11"/>
  <c r="IF475" i="11"/>
  <c r="IG475" i="11"/>
  <c r="IH475" i="11"/>
  <c r="II475" i="11"/>
  <c r="IJ475" i="11"/>
  <c r="IK475" i="11"/>
  <c r="IL475" i="11"/>
  <c r="IM475" i="11"/>
  <c r="IN475" i="11"/>
  <c r="IO475" i="11"/>
  <c r="IP475" i="11"/>
  <c r="IQ475" i="11"/>
  <c r="IR475" i="11"/>
  <c r="IS475" i="11"/>
  <c r="IT475" i="11"/>
  <c r="IU475" i="11"/>
  <c r="IV475" i="11"/>
  <c r="F476" i="11"/>
  <c r="G476" i="11"/>
  <c r="H476" i="11"/>
  <c r="I476" i="11"/>
  <c r="J476" i="11"/>
  <c r="K476" i="11"/>
  <c r="L476" i="11"/>
  <c r="M476" i="11"/>
  <c r="N476" i="11"/>
  <c r="O476" i="11"/>
  <c r="P476" i="11"/>
  <c r="Q476" i="11"/>
  <c r="R476" i="11"/>
  <c r="S476" i="11"/>
  <c r="T476" i="11"/>
  <c r="U476" i="11"/>
  <c r="V476" i="11"/>
  <c r="W476" i="11"/>
  <c r="X476" i="11"/>
  <c r="Y476" i="11"/>
  <c r="Z476" i="11"/>
  <c r="AA476" i="11"/>
  <c r="AB476" i="11"/>
  <c r="AC476" i="11"/>
  <c r="AD476" i="11"/>
  <c r="AE476" i="11"/>
  <c r="AF476" i="11"/>
  <c r="AG476" i="11"/>
  <c r="AH476" i="11"/>
  <c r="AI476" i="11"/>
  <c r="AJ476" i="11"/>
  <c r="AK476" i="11"/>
  <c r="AL476" i="11"/>
  <c r="AM476" i="11"/>
  <c r="AN476" i="11"/>
  <c r="AO476" i="11"/>
  <c r="AP476" i="11"/>
  <c r="AQ476" i="11"/>
  <c r="AR476" i="11"/>
  <c r="AS476" i="11"/>
  <c r="AT476" i="11"/>
  <c r="AU476" i="11"/>
  <c r="AV476" i="11"/>
  <c r="AW476" i="11"/>
  <c r="AX476" i="11"/>
  <c r="AY476" i="11"/>
  <c r="AZ476" i="11"/>
  <c r="BA476" i="11"/>
  <c r="BB476" i="11"/>
  <c r="BC476" i="11"/>
  <c r="BD476" i="11"/>
  <c r="BE476" i="11"/>
  <c r="BF476" i="11"/>
  <c r="BG476" i="11"/>
  <c r="BH476" i="11"/>
  <c r="BI476" i="11"/>
  <c r="BJ476" i="11"/>
  <c r="BK476" i="11"/>
  <c r="BL476" i="11"/>
  <c r="BM476" i="11"/>
  <c r="BN476" i="11"/>
  <c r="BO476" i="11"/>
  <c r="BP476" i="11"/>
  <c r="BQ476" i="11"/>
  <c r="BR476" i="11"/>
  <c r="BS476" i="11"/>
  <c r="BT476" i="11"/>
  <c r="BU476" i="11"/>
  <c r="BV476" i="11"/>
  <c r="BW476" i="11"/>
  <c r="BX476" i="11"/>
  <c r="BY476" i="11"/>
  <c r="BZ476" i="11"/>
  <c r="CA476" i="11"/>
  <c r="CB476" i="11"/>
  <c r="CC476" i="11"/>
  <c r="CD476" i="11"/>
  <c r="CE476" i="11"/>
  <c r="CF476" i="11"/>
  <c r="CG476" i="11"/>
  <c r="CH476" i="11"/>
  <c r="CI476" i="11"/>
  <c r="CJ476" i="11"/>
  <c r="CK476" i="11"/>
  <c r="CL476" i="11"/>
  <c r="CM476" i="11"/>
  <c r="CN476" i="11"/>
  <c r="CO476" i="11"/>
  <c r="CP476" i="11"/>
  <c r="CQ476" i="11"/>
  <c r="CR476" i="11"/>
  <c r="CS476" i="11"/>
  <c r="CT476" i="11"/>
  <c r="CU476" i="11"/>
  <c r="CV476" i="11"/>
  <c r="CW476" i="11"/>
  <c r="CX476" i="11"/>
  <c r="CY476" i="11"/>
  <c r="CZ476" i="11"/>
  <c r="DA476" i="11"/>
  <c r="DB476" i="11"/>
  <c r="DC476" i="11"/>
  <c r="DD476" i="11"/>
  <c r="DE476" i="11"/>
  <c r="DF476" i="11"/>
  <c r="DG476" i="11"/>
  <c r="DH476" i="11"/>
  <c r="DI476" i="11"/>
  <c r="DJ476" i="11"/>
  <c r="DK476" i="11"/>
  <c r="DL476" i="11"/>
  <c r="DM476" i="11"/>
  <c r="DN476" i="11"/>
  <c r="DO476" i="11"/>
  <c r="DP476" i="11"/>
  <c r="DQ476" i="11"/>
  <c r="DR476" i="11"/>
  <c r="DS476" i="11"/>
  <c r="DT476" i="11"/>
  <c r="DU476" i="11"/>
  <c r="DV476" i="11"/>
  <c r="DW476" i="11"/>
  <c r="DX476" i="11"/>
  <c r="DY476" i="11"/>
  <c r="DZ476" i="11"/>
  <c r="EA476" i="11"/>
  <c r="EB476" i="11"/>
  <c r="EC476" i="11"/>
  <c r="ED476" i="11"/>
  <c r="EE476" i="11"/>
  <c r="EF476" i="11"/>
  <c r="EG476" i="11"/>
  <c r="EH476" i="11"/>
  <c r="EI476" i="11"/>
  <c r="EJ476" i="11"/>
  <c r="EK476" i="11"/>
  <c r="EL476" i="11"/>
  <c r="EM476" i="11"/>
  <c r="EN476" i="11"/>
  <c r="EO476" i="11"/>
  <c r="EP476" i="11"/>
  <c r="EQ476" i="11"/>
  <c r="ER476" i="11"/>
  <c r="ES476" i="11"/>
  <c r="ET476" i="11"/>
  <c r="EU476" i="11"/>
  <c r="EV476" i="11"/>
  <c r="EW476" i="11"/>
  <c r="EX476" i="11"/>
  <c r="EY476" i="11"/>
  <c r="EZ476" i="11"/>
  <c r="FA476" i="11"/>
  <c r="FB476" i="11"/>
  <c r="FC476" i="11"/>
  <c r="FD476" i="11"/>
  <c r="FE476" i="11"/>
  <c r="FF476" i="11"/>
  <c r="FG476" i="11"/>
  <c r="FH476" i="11"/>
  <c r="FI476" i="11"/>
  <c r="FJ476" i="11"/>
  <c r="FK476" i="11"/>
  <c r="FL476" i="11"/>
  <c r="FM476" i="11"/>
  <c r="FN476" i="11"/>
  <c r="FO476" i="11"/>
  <c r="FP476" i="11"/>
  <c r="FQ476" i="11"/>
  <c r="FR476" i="11"/>
  <c r="FS476" i="11"/>
  <c r="FT476" i="11"/>
  <c r="FU476" i="11"/>
  <c r="FV476" i="11"/>
  <c r="FW476" i="11"/>
  <c r="FX476" i="11"/>
  <c r="FY476" i="11"/>
  <c r="FZ476" i="11"/>
  <c r="GA476" i="11"/>
  <c r="GB476" i="11"/>
  <c r="GC476" i="11"/>
  <c r="GD476" i="11"/>
  <c r="GE476" i="11"/>
  <c r="GF476" i="11"/>
  <c r="GG476" i="11"/>
  <c r="GH476" i="11"/>
  <c r="GI476" i="11"/>
  <c r="GJ476" i="11"/>
  <c r="GK476" i="11"/>
  <c r="GL476" i="11"/>
  <c r="GM476" i="11"/>
  <c r="GN476" i="11"/>
  <c r="GO476" i="11"/>
  <c r="GP476" i="11"/>
  <c r="GQ476" i="11"/>
  <c r="GR476" i="11"/>
  <c r="GS476" i="11"/>
  <c r="GT476" i="11"/>
  <c r="GU476" i="11"/>
  <c r="GV476" i="11"/>
  <c r="GW476" i="11"/>
  <c r="GX476" i="11"/>
  <c r="GY476" i="11"/>
  <c r="GZ476" i="11"/>
  <c r="HA476" i="11"/>
  <c r="HB476" i="11"/>
  <c r="HC476" i="11"/>
  <c r="HD476" i="11"/>
  <c r="HE476" i="11"/>
  <c r="HF476" i="11"/>
  <c r="HG476" i="11"/>
  <c r="HH476" i="11"/>
  <c r="HI476" i="11"/>
  <c r="HJ476" i="11"/>
  <c r="HK476" i="11"/>
  <c r="HL476" i="11"/>
  <c r="HM476" i="11"/>
  <c r="HN476" i="11"/>
  <c r="HO476" i="11"/>
  <c r="HP476" i="11"/>
  <c r="HQ476" i="11"/>
  <c r="HR476" i="11"/>
  <c r="HS476" i="11"/>
  <c r="HT476" i="11"/>
  <c r="HU476" i="11"/>
  <c r="HV476" i="11"/>
  <c r="HW476" i="11"/>
  <c r="HX476" i="11"/>
  <c r="HY476" i="11"/>
  <c r="HZ476" i="11"/>
  <c r="IA476" i="11"/>
  <c r="IB476" i="11"/>
  <c r="IC476" i="11"/>
  <c r="ID476" i="11"/>
  <c r="IE476" i="11"/>
  <c r="IF476" i="11"/>
  <c r="IG476" i="11"/>
  <c r="IH476" i="11"/>
  <c r="II476" i="11"/>
  <c r="IJ476" i="11"/>
  <c r="IK476" i="11"/>
  <c r="IL476" i="11"/>
  <c r="IM476" i="11"/>
  <c r="IN476" i="11"/>
  <c r="IO476" i="11"/>
  <c r="IP476" i="11"/>
  <c r="IQ476" i="11"/>
  <c r="IR476" i="11"/>
  <c r="IS476" i="11"/>
  <c r="IT476" i="11"/>
  <c r="IU476" i="11"/>
  <c r="IV476" i="11"/>
  <c r="F477" i="11"/>
  <c r="G477" i="11"/>
  <c r="H477" i="11"/>
  <c r="I477" i="11"/>
  <c r="J477" i="11"/>
  <c r="K477" i="11"/>
  <c r="L477" i="11"/>
  <c r="M477" i="11"/>
  <c r="N477" i="11"/>
  <c r="O477" i="11"/>
  <c r="P477" i="11"/>
  <c r="Q477" i="11"/>
  <c r="R477" i="11"/>
  <c r="S477" i="11"/>
  <c r="T477" i="11"/>
  <c r="U477" i="11"/>
  <c r="V477" i="11"/>
  <c r="W477" i="11"/>
  <c r="X477" i="11"/>
  <c r="Y477" i="11"/>
  <c r="Z477" i="11"/>
  <c r="AA477" i="11"/>
  <c r="AB477" i="11"/>
  <c r="AC477" i="11"/>
  <c r="AD477" i="11"/>
  <c r="AE477" i="11"/>
  <c r="AF477" i="11"/>
  <c r="AG477" i="11"/>
  <c r="AH477" i="11"/>
  <c r="AI477" i="11"/>
  <c r="AJ477" i="11"/>
  <c r="AK477" i="11"/>
  <c r="AL477" i="11"/>
  <c r="AM477" i="11"/>
  <c r="AN477" i="11"/>
  <c r="AO477" i="11"/>
  <c r="AP477" i="11"/>
  <c r="AQ477" i="11"/>
  <c r="AR477" i="11"/>
  <c r="AS477" i="11"/>
  <c r="AT477" i="11"/>
  <c r="AU477" i="11"/>
  <c r="AV477" i="11"/>
  <c r="AW477" i="11"/>
  <c r="AX477" i="11"/>
  <c r="AY477" i="11"/>
  <c r="AZ477" i="11"/>
  <c r="BA477" i="11"/>
  <c r="BB477" i="11"/>
  <c r="BC477" i="11"/>
  <c r="BD477" i="11"/>
  <c r="BE477" i="11"/>
  <c r="BF477" i="11"/>
  <c r="BG477" i="11"/>
  <c r="BH477" i="11"/>
  <c r="BI477" i="11"/>
  <c r="BJ477" i="11"/>
  <c r="BK477" i="11"/>
  <c r="BL477" i="11"/>
  <c r="BM477" i="11"/>
  <c r="BN477" i="11"/>
  <c r="BO477" i="11"/>
  <c r="BP477" i="11"/>
  <c r="BQ477" i="11"/>
  <c r="BR477" i="11"/>
  <c r="BS477" i="11"/>
  <c r="BT477" i="11"/>
  <c r="BU477" i="11"/>
  <c r="BV477" i="11"/>
  <c r="BW477" i="11"/>
  <c r="BX477" i="11"/>
  <c r="BY477" i="11"/>
  <c r="BZ477" i="11"/>
  <c r="CA477" i="11"/>
  <c r="CB477" i="11"/>
  <c r="CC477" i="11"/>
  <c r="CD477" i="11"/>
  <c r="CE477" i="11"/>
  <c r="CF477" i="11"/>
  <c r="CG477" i="11"/>
  <c r="CH477" i="11"/>
  <c r="CI477" i="11"/>
  <c r="CJ477" i="11"/>
  <c r="CK477" i="11"/>
  <c r="CL477" i="11"/>
  <c r="CM477" i="11"/>
  <c r="CN477" i="11"/>
  <c r="CO477" i="11"/>
  <c r="CP477" i="11"/>
  <c r="CQ477" i="11"/>
  <c r="CR477" i="11"/>
  <c r="CS477" i="11"/>
  <c r="CT477" i="11"/>
  <c r="CU477" i="11"/>
  <c r="CV477" i="11"/>
  <c r="CW477" i="11"/>
  <c r="CX477" i="11"/>
  <c r="CY477" i="11"/>
  <c r="CZ477" i="11"/>
  <c r="DA477" i="11"/>
  <c r="DB477" i="11"/>
  <c r="DC477" i="11"/>
  <c r="DD477" i="11"/>
  <c r="DE477" i="11"/>
  <c r="DF477" i="11"/>
  <c r="DG477" i="11"/>
  <c r="DH477" i="11"/>
  <c r="DI477" i="11"/>
  <c r="DJ477" i="11"/>
  <c r="DK477" i="11"/>
  <c r="DL477" i="11"/>
  <c r="DM477" i="11"/>
  <c r="DN477" i="11"/>
  <c r="DO477" i="11"/>
  <c r="DP477" i="11"/>
  <c r="DQ477" i="11"/>
  <c r="DR477" i="11"/>
  <c r="DS477" i="11"/>
  <c r="DT477" i="11"/>
  <c r="DU477" i="11"/>
  <c r="DV477" i="11"/>
  <c r="DW477" i="11"/>
  <c r="DX477" i="11"/>
  <c r="DY477" i="11"/>
  <c r="DZ477" i="11"/>
  <c r="EA477" i="11"/>
  <c r="EB477" i="11"/>
  <c r="EC477" i="11"/>
  <c r="ED477" i="11"/>
  <c r="EE477" i="11"/>
  <c r="EF477" i="11"/>
  <c r="EG477" i="11"/>
  <c r="EH477" i="11"/>
  <c r="EI477" i="11"/>
  <c r="EJ477" i="11"/>
  <c r="EK477" i="11"/>
  <c r="EL477" i="11"/>
  <c r="EM477" i="11"/>
  <c r="EN477" i="11"/>
  <c r="EO477" i="11"/>
  <c r="EP477" i="11"/>
  <c r="EQ477" i="11"/>
  <c r="ER477" i="11"/>
  <c r="ES477" i="11"/>
  <c r="ET477" i="11"/>
  <c r="EU477" i="11"/>
  <c r="EV477" i="11"/>
  <c r="EW477" i="11"/>
  <c r="EX477" i="11"/>
  <c r="EY477" i="11"/>
  <c r="EZ477" i="11"/>
  <c r="FA477" i="11"/>
  <c r="FB477" i="11"/>
  <c r="FC477" i="11"/>
  <c r="FD477" i="11"/>
  <c r="FE477" i="11"/>
  <c r="FF477" i="11"/>
  <c r="FG477" i="11"/>
  <c r="FH477" i="11"/>
  <c r="FI477" i="11"/>
  <c r="FJ477" i="11"/>
  <c r="FK477" i="11"/>
  <c r="FL477" i="11"/>
  <c r="FM477" i="11"/>
  <c r="FN477" i="11"/>
  <c r="FO477" i="11"/>
  <c r="FP477" i="11"/>
  <c r="FQ477" i="11"/>
  <c r="FR477" i="11"/>
  <c r="FS477" i="11"/>
  <c r="FT477" i="11"/>
  <c r="FU477" i="11"/>
  <c r="FV477" i="11"/>
  <c r="FW477" i="11"/>
  <c r="FX477" i="11"/>
  <c r="FY477" i="11"/>
  <c r="FZ477" i="11"/>
  <c r="GA477" i="11"/>
  <c r="GB477" i="11"/>
  <c r="GC477" i="11"/>
  <c r="GD477" i="11"/>
  <c r="GE477" i="11"/>
  <c r="GF477" i="11"/>
  <c r="GG477" i="11"/>
  <c r="GH477" i="11"/>
  <c r="GI477" i="11"/>
  <c r="GJ477" i="11"/>
  <c r="GK477" i="11"/>
  <c r="GL477" i="11"/>
  <c r="GM477" i="11"/>
  <c r="GN477" i="11"/>
  <c r="GO477" i="11"/>
  <c r="GP477" i="11"/>
  <c r="GQ477" i="11"/>
  <c r="GR477" i="11"/>
  <c r="GS477" i="11"/>
  <c r="GT477" i="11"/>
  <c r="GU477" i="11"/>
  <c r="GV477" i="11"/>
  <c r="GW477" i="11"/>
  <c r="GX477" i="11"/>
  <c r="GY477" i="11"/>
  <c r="GZ477" i="11"/>
  <c r="HA477" i="11"/>
  <c r="HB477" i="11"/>
  <c r="HC477" i="11"/>
  <c r="HD477" i="11"/>
  <c r="HE477" i="11"/>
  <c r="HF477" i="11"/>
  <c r="HG477" i="11"/>
  <c r="HH477" i="11"/>
  <c r="HI477" i="11"/>
  <c r="HJ477" i="11"/>
  <c r="HK477" i="11"/>
  <c r="HL477" i="11"/>
  <c r="HM477" i="11"/>
  <c r="HN477" i="11"/>
  <c r="HO477" i="11"/>
  <c r="HP477" i="11"/>
  <c r="HQ477" i="11"/>
  <c r="HR477" i="11"/>
  <c r="HS477" i="11"/>
  <c r="HT477" i="11"/>
  <c r="HU477" i="11"/>
  <c r="HV477" i="11"/>
  <c r="HW477" i="11"/>
  <c r="HX477" i="11"/>
  <c r="HY477" i="11"/>
  <c r="HZ477" i="11"/>
  <c r="IA477" i="11"/>
  <c r="IB477" i="11"/>
  <c r="IC477" i="11"/>
  <c r="ID477" i="11"/>
  <c r="IE477" i="11"/>
  <c r="IF477" i="11"/>
  <c r="IG477" i="11"/>
  <c r="IH477" i="11"/>
  <c r="II477" i="11"/>
  <c r="IJ477" i="11"/>
  <c r="IK477" i="11"/>
  <c r="IL477" i="11"/>
  <c r="IM477" i="11"/>
  <c r="IN477" i="11"/>
  <c r="IO477" i="11"/>
  <c r="IP477" i="11"/>
  <c r="IQ477" i="11"/>
  <c r="IR477" i="11"/>
  <c r="IS477" i="11"/>
  <c r="IT477" i="11"/>
  <c r="IU477" i="11"/>
  <c r="IV477" i="11"/>
  <c r="F478" i="11"/>
  <c r="G478" i="11"/>
  <c r="H478" i="11"/>
  <c r="I478" i="11"/>
  <c r="J478" i="11"/>
  <c r="K478" i="11"/>
  <c r="L478" i="11"/>
  <c r="M478" i="11"/>
  <c r="N478" i="11"/>
  <c r="O478" i="11"/>
  <c r="P478" i="11"/>
  <c r="Q478" i="11"/>
  <c r="R478" i="11"/>
  <c r="S478" i="11"/>
  <c r="T478" i="11"/>
  <c r="U478" i="11"/>
  <c r="V478" i="11"/>
  <c r="W478" i="11"/>
  <c r="X478" i="11"/>
  <c r="Y478" i="11"/>
  <c r="Z478" i="11"/>
  <c r="AA478" i="11"/>
  <c r="AB478" i="11"/>
  <c r="AC478" i="11"/>
  <c r="AD478" i="11"/>
  <c r="AE478" i="11"/>
  <c r="AF478" i="11"/>
  <c r="AG478" i="11"/>
  <c r="AH478" i="11"/>
  <c r="AI478" i="11"/>
  <c r="AJ478" i="11"/>
  <c r="AK478" i="11"/>
  <c r="AL478" i="11"/>
  <c r="AM478" i="11"/>
  <c r="AN478" i="11"/>
  <c r="AO478" i="11"/>
  <c r="AP478" i="11"/>
  <c r="AQ478" i="11"/>
  <c r="AR478" i="11"/>
  <c r="AS478" i="11"/>
  <c r="AT478" i="11"/>
  <c r="AU478" i="11"/>
  <c r="AV478" i="11"/>
  <c r="AW478" i="11"/>
  <c r="AX478" i="11"/>
  <c r="AY478" i="11"/>
  <c r="AZ478" i="11"/>
  <c r="BA478" i="11"/>
  <c r="BB478" i="11"/>
  <c r="BC478" i="11"/>
  <c r="BD478" i="11"/>
  <c r="BE478" i="11"/>
  <c r="BF478" i="11"/>
  <c r="BG478" i="11"/>
  <c r="BH478" i="11"/>
  <c r="BI478" i="11"/>
  <c r="BJ478" i="11"/>
  <c r="BK478" i="11"/>
  <c r="BL478" i="11"/>
  <c r="BM478" i="11"/>
  <c r="BN478" i="11"/>
  <c r="BO478" i="11"/>
  <c r="BP478" i="11"/>
  <c r="BQ478" i="11"/>
  <c r="BR478" i="11"/>
  <c r="BS478" i="11"/>
  <c r="BT478" i="11"/>
  <c r="BU478" i="11"/>
  <c r="BV478" i="11"/>
  <c r="BW478" i="11"/>
  <c r="BX478" i="11"/>
  <c r="BY478" i="11"/>
  <c r="BZ478" i="11"/>
  <c r="CA478" i="11"/>
  <c r="CB478" i="11"/>
  <c r="CC478" i="11"/>
  <c r="CD478" i="11"/>
  <c r="CE478" i="11"/>
  <c r="CF478" i="11"/>
  <c r="CG478" i="11"/>
  <c r="CH478" i="11"/>
  <c r="CI478" i="11"/>
  <c r="CJ478" i="11"/>
  <c r="CK478" i="11"/>
  <c r="CL478" i="11"/>
  <c r="CM478" i="11"/>
  <c r="CN478" i="11"/>
  <c r="CO478" i="11"/>
  <c r="CP478" i="11"/>
  <c r="CQ478" i="11"/>
  <c r="CR478" i="11"/>
  <c r="CS478" i="11"/>
  <c r="CT478" i="11"/>
  <c r="CU478" i="11"/>
  <c r="CV478" i="11"/>
  <c r="CW478" i="11"/>
  <c r="CX478" i="11"/>
  <c r="CY478" i="11"/>
  <c r="CZ478" i="11"/>
  <c r="DA478" i="11"/>
  <c r="DB478" i="11"/>
  <c r="DC478" i="11"/>
  <c r="DD478" i="11"/>
  <c r="DE478" i="11"/>
  <c r="DF478" i="11"/>
  <c r="DG478" i="11"/>
  <c r="DH478" i="11"/>
  <c r="DI478" i="11"/>
  <c r="DJ478" i="11"/>
  <c r="DK478" i="11"/>
  <c r="DL478" i="11"/>
  <c r="DM478" i="11"/>
  <c r="DN478" i="11"/>
  <c r="DO478" i="11"/>
  <c r="DP478" i="11"/>
  <c r="DQ478" i="11"/>
  <c r="DR478" i="11"/>
  <c r="DS478" i="11"/>
  <c r="DT478" i="11"/>
  <c r="DU478" i="11"/>
  <c r="DV478" i="11"/>
  <c r="DW478" i="11"/>
  <c r="DX478" i="11"/>
  <c r="DY478" i="11"/>
  <c r="DZ478" i="11"/>
  <c r="EA478" i="11"/>
  <c r="EB478" i="11"/>
  <c r="EC478" i="11"/>
  <c r="ED478" i="11"/>
  <c r="EE478" i="11"/>
  <c r="EF478" i="11"/>
  <c r="EG478" i="11"/>
  <c r="EH478" i="11"/>
  <c r="EI478" i="11"/>
  <c r="EJ478" i="11"/>
  <c r="EK478" i="11"/>
  <c r="EL478" i="11"/>
  <c r="EM478" i="11"/>
  <c r="EN478" i="11"/>
  <c r="EO478" i="11"/>
  <c r="EP478" i="11"/>
  <c r="EQ478" i="11"/>
  <c r="ER478" i="11"/>
  <c r="ES478" i="11"/>
  <c r="ET478" i="11"/>
  <c r="EU478" i="11"/>
  <c r="EV478" i="11"/>
  <c r="EW478" i="11"/>
  <c r="EX478" i="11"/>
  <c r="EY478" i="11"/>
  <c r="EZ478" i="11"/>
  <c r="FA478" i="11"/>
  <c r="FB478" i="11"/>
  <c r="FC478" i="11"/>
  <c r="FD478" i="11"/>
  <c r="FE478" i="11"/>
  <c r="FF478" i="11"/>
  <c r="FG478" i="11"/>
  <c r="FH478" i="11"/>
  <c r="FI478" i="11"/>
  <c r="FJ478" i="11"/>
  <c r="FK478" i="11"/>
  <c r="FL478" i="11"/>
  <c r="FM478" i="11"/>
  <c r="FN478" i="11"/>
  <c r="FO478" i="11"/>
  <c r="FP478" i="11"/>
  <c r="FQ478" i="11"/>
  <c r="FR478" i="11"/>
  <c r="FS478" i="11"/>
  <c r="FT478" i="11"/>
  <c r="FU478" i="11"/>
  <c r="FV478" i="11"/>
  <c r="FW478" i="11"/>
  <c r="FX478" i="11"/>
  <c r="FY478" i="11"/>
  <c r="FZ478" i="11"/>
  <c r="GA478" i="11"/>
  <c r="GB478" i="11"/>
  <c r="GC478" i="11"/>
  <c r="GD478" i="11"/>
  <c r="GE478" i="11"/>
  <c r="GF478" i="11"/>
  <c r="GG478" i="11"/>
  <c r="GH478" i="11"/>
  <c r="GI478" i="11"/>
  <c r="GJ478" i="11"/>
  <c r="GK478" i="11"/>
  <c r="GL478" i="11"/>
  <c r="GM478" i="11"/>
  <c r="GN478" i="11"/>
  <c r="GO478" i="11"/>
  <c r="GP478" i="11"/>
  <c r="GQ478" i="11"/>
  <c r="GR478" i="11"/>
  <c r="GS478" i="11"/>
  <c r="GT478" i="11"/>
  <c r="GU478" i="11"/>
  <c r="GV478" i="11"/>
  <c r="GW478" i="11"/>
  <c r="GX478" i="11"/>
  <c r="GY478" i="11"/>
  <c r="GZ478" i="11"/>
  <c r="HA478" i="11"/>
  <c r="HB478" i="11"/>
  <c r="HC478" i="11"/>
  <c r="HD478" i="11"/>
  <c r="HE478" i="11"/>
  <c r="HF478" i="11"/>
  <c r="HG478" i="11"/>
  <c r="HH478" i="11"/>
  <c r="HI478" i="11"/>
  <c r="HJ478" i="11"/>
  <c r="HK478" i="11"/>
  <c r="HL478" i="11"/>
  <c r="HM478" i="11"/>
  <c r="HN478" i="11"/>
  <c r="HO478" i="11"/>
  <c r="HP478" i="11"/>
  <c r="HQ478" i="11"/>
  <c r="HR478" i="11"/>
  <c r="HS478" i="11"/>
  <c r="HT478" i="11"/>
  <c r="HU478" i="11"/>
  <c r="HV478" i="11"/>
  <c r="HW478" i="11"/>
  <c r="HX478" i="11"/>
  <c r="HY478" i="11"/>
  <c r="HZ478" i="11"/>
  <c r="IA478" i="11"/>
  <c r="IB478" i="11"/>
  <c r="IC478" i="11"/>
  <c r="ID478" i="11"/>
  <c r="IE478" i="11"/>
  <c r="IF478" i="11"/>
  <c r="IG478" i="11"/>
  <c r="IH478" i="11"/>
  <c r="II478" i="11"/>
  <c r="IJ478" i="11"/>
  <c r="IK478" i="11"/>
  <c r="IL478" i="11"/>
  <c r="IM478" i="11"/>
  <c r="IN478" i="11"/>
  <c r="IO478" i="11"/>
  <c r="IP478" i="11"/>
  <c r="IQ478" i="11"/>
  <c r="IR478" i="11"/>
  <c r="IS478" i="11"/>
  <c r="IT478" i="11"/>
  <c r="IU478" i="11"/>
  <c r="IV478" i="11"/>
  <c r="F479" i="11"/>
  <c r="G479" i="11"/>
  <c r="H479" i="11"/>
  <c r="I479" i="11"/>
  <c r="J479" i="11"/>
  <c r="K479" i="11"/>
  <c r="L479" i="11"/>
  <c r="M479" i="11"/>
  <c r="N479" i="11"/>
  <c r="O479" i="11"/>
  <c r="P479" i="11"/>
  <c r="Q479" i="11"/>
  <c r="R479" i="11"/>
  <c r="S479" i="11"/>
  <c r="T479" i="11"/>
  <c r="U479" i="11"/>
  <c r="V479" i="11"/>
  <c r="W479" i="11"/>
  <c r="X479" i="11"/>
  <c r="Y479" i="11"/>
  <c r="Z479" i="11"/>
  <c r="AA479" i="11"/>
  <c r="AB479" i="11"/>
  <c r="AC479" i="11"/>
  <c r="AD479" i="11"/>
  <c r="AE479" i="11"/>
  <c r="AF479" i="11"/>
  <c r="AG479" i="11"/>
  <c r="AH479" i="11"/>
  <c r="AI479" i="11"/>
  <c r="AJ479" i="11"/>
  <c r="AK479" i="11"/>
  <c r="AL479" i="11"/>
  <c r="AM479" i="11"/>
  <c r="AN479" i="11"/>
  <c r="AO479" i="11"/>
  <c r="AP479" i="11"/>
  <c r="AQ479" i="11"/>
  <c r="AR479" i="11"/>
  <c r="AS479" i="11"/>
  <c r="AT479" i="11"/>
  <c r="AU479" i="11"/>
  <c r="AV479" i="11"/>
  <c r="AW479" i="11"/>
  <c r="AX479" i="11"/>
  <c r="AY479" i="11"/>
  <c r="AZ479" i="11"/>
  <c r="BA479" i="11"/>
  <c r="BB479" i="11"/>
  <c r="BC479" i="11"/>
  <c r="BD479" i="11"/>
  <c r="BE479" i="11"/>
  <c r="BF479" i="11"/>
  <c r="BG479" i="11"/>
  <c r="BH479" i="11"/>
  <c r="BI479" i="11"/>
  <c r="BJ479" i="11"/>
  <c r="BK479" i="11"/>
  <c r="BL479" i="11"/>
  <c r="BM479" i="11"/>
  <c r="BN479" i="11"/>
  <c r="BO479" i="11"/>
  <c r="BP479" i="11"/>
  <c r="BQ479" i="11"/>
  <c r="BR479" i="11"/>
  <c r="BS479" i="11"/>
  <c r="BT479" i="11"/>
  <c r="BU479" i="11"/>
  <c r="BV479" i="11"/>
  <c r="BW479" i="11"/>
  <c r="BX479" i="11"/>
  <c r="BY479" i="11"/>
  <c r="BZ479" i="11"/>
  <c r="CA479" i="11"/>
  <c r="CB479" i="11"/>
  <c r="CC479" i="11"/>
  <c r="CD479" i="11"/>
  <c r="CE479" i="11"/>
  <c r="CF479" i="11"/>
  <c r="CG479" i="11"/>
  <c r="CH479" i="11"/>
  <c r="CI479" i="11"/>
  <c r="CJ479" i="11"/>
  <c r="CK479" i="11"/>
  <c r="CL479" i="11"/>
  <c r="CM479" i="11"/>
  <c r="CN479" i="11"/>
  <c r="CO479" i="11"/>
  <c r="CP479" i="11"/>
  <c r="CQ479" i="11"/>
  <c r="CR479" i="11"/>
  <c r="CS479" i="11"/>
  <c r="CT479" i="11"/>
  <c r="CU479" i="11"/>
  <c r="CV479" i="11"/>
  <c r="CW479" i="11"/>
  <c r="CX479" i="11"/>
  <c r="CY479" i="11"/>
  <c r="CZ479" i="11"/>
  <c r="DA479" i="11"/>
  <c r="DB479" i="11"/>
  <c r="DC479" i="11"/>
  <c r="DD479" i="11"/>
  <c r="DE479" i="11"/>
  <c r="DF479" i="11"/>
  <c r="DG479" i="11"/>
  <c r="DH479" i="11"/>
  <c r="DI479" i="11"/>
  <c r="DJ479" i="11"/>
  <c r="DK479" i="11"/>
  <c r="DL479" i="11"/>
  <c r="DM479" i="11"/>
  <c r="DN479" i="11"/>
  <c r="DO479" i="11"/>
  <c r="DP479" i="11"/>
  <c r="DQ479" i="11"/>
  <c r="DR479" i="11"/>
  <c r="DS479" i="11"/>
  <c r="DT479" i="11"/>
  <c r="DU479" i="11"/>
  <c r="DV479" i="11"/>
  <c r="DW479" i="11"/>
  <c r="DX479" i="11"/>
  <c r="DY479" i="11"/>
  <c r="DZ479" i="11"/>
  <c r="EA479" i="11"/>
  <c r="EB479" i="11"/>
  <c r="EC479" i="11"/>
  <c r="ED479" i="11"/>
  <c r="EE479" i="11"/>
  <c r="EF479" i="11"/>
  <c r="EG479" i="11"/>
  <c r="EH479" i="11"/>
  <c r="EI479" i="11"/>
  <c r="EJ479" i="11"/>
  <c r="EK479" i="11"/>
  <c r="EL479" i="11"/>
  <c r="EM479" i="11"/>
  <c r="EN479" i="11"/>
  <c r="EO479" i="11"/>
  <c r="EP479" i="11"/>
  <c r="EQ479" i="11"/>
  <c r="ER479" i="11"/>
  <c r="ES479" i="11"/>
  <c r="ET479" i="11"/>
  <c r="EU479" i="11"/>
  <c r="EV479" i="11"/>
  <c r="EW479" i="11"/>
  <c r="EX479" i="11"/>
  <c r="EY479" i="11"/>
  <c r="EZ479" i="11"/>
  <c r="FA479" i="11"/>
  <c r="FB479" i="11"/>
  <c r="FC479" i="11"/>
  <c r="FD479" i="11"/>
  <c r="FE479" i="11"/>
  <c r="FF479" i="11"/>
  <c r="FG479" i="11"/>
  <c r="FH479" i="11"/>
  <c r="FI479" i="11"/>
  <c r="FJ479" i="11"/>
  <c r="FK479" i="11"/>
  <c r="FL479" i="11"/>
  <c r="FM479" i="11"/>
  <c r="FN479" i="11"/>
  <c r="FO479" i="11"/>
  <c r="FP479" i="11"/>
  <c r="FQ479" i="11"/>
  <c r="FR479" i="11"/>
  <c r="FS479" i="11"/>
  <c r="FT479" i="11"/>
  <c r="FU479" i="11"/>
  <c r="FV479" i="11"/>
  <c r="FW479" i="11"/>
  <c r="FX479" i="11"/>
  <c r="FY479" i="11"/>
  <c r="FZ479" i="11"/>
  <c r="GA479" i="11"/>
  <c r="GB479" i="11"/>
  <c r="GC479" i="11"/>
  <c r="GD479" i="11"/>
  <c r="GE479" i="11"/>
  <c r="GF479" i="11"/>
  <c r="GG479" i="11"/>
  <c r="GH479" i="11"/>
  <c r="GI479" i="11"/>
  <c r="GJ479" i="11"/>
  <c r="GK479" i="11"/>
  <c r="GL479" i="11"/>
  <c r="GM479" i="11"/>
  <c r="GN479" i="11"/>
  <c r="GO479" i="11"/>
  <c r="GP479" i="11"/>
  <c r="GQ479" i="11"/>
  <c r="GR479" i="11"/>
  <c r="GS479" i="11"/>
  <c r="GT479" i="11"/>
  <c r="GU479" i="11"/>
  <c r="GV479" i="11"/>
  <c r="GW479" i="11"/>
  <c r="GX479" i="11"/>
  <c r="GY479" i="11"/>
  <c r="GZ479" i="11"/>
  <c r="HA479" i="11"/>
  <c r="HB479" i="11"/>
  <c r="HC479" i="11"/>
  <c r="HD479" i="11"/>
  <c r="HE479" i="11"/>
  <c r="HF479" i="11"/>
  <c r="HG479" i="11"/>
  <c r="HH479" i="11"/>
  <c r="HI479" i="11"/>
  <c r="HJ479" i="11"/>
  <c r="HK479" i="11"/>
  <c r="HL479" i="11"/>
  <c r="HM479" i="11"/>
  <c r="HN479" i="11"/>
  <c r="HO479" i="11"/>
  <c r="HP479" i="11"/>
  <c r="HQ479" i="11"/>
  <c r="HR479" i="11"/>
  <c r="HS479" i="11"/>
  <c r="HT479" i="11"/>
  <c r="HU479" i="11"/>
  <c r="HV479" i="11"/>
  <c r="HW479" i="11"/>
  <c r="HX479" i="11"/>
  <c r="HY479" i="11"/>
  <c r="HZ479" i="11"/>
  <c r="IA479" i="11"/>
  <c r="IB479" i="11"/>
  <c r="IC479" i="11"/>
  <c r="ID479" i="11"/>
  <c r="IE479" i="11"/>
  <c r="IF479" i="11"/>
  <c r="IG479" i="11"/>
  <c r="IH479" i="11"/>
  <c r="II479" i="11"/>
  <c r="IJ479" i="11"/>
  <c r="IK479" i="11"/>
  <c r="IL479" i="11"/>
  <c r="IM479" i="11"/>
  <c r="IN479" i="11"/>
  <c r="IO479" i="11"/>
  <c r="IP479" i="11"/>
  <c r="IQ479" i="11"/>
  <c r="IR479" i="11"/>
  <c r="IS479" i="11"/>
  <c r="IT479" i="11"/>
  <c r="IU479" i="11"/>
  <c r="IV479" i="11"/>
  <c r="F480" i="11"/>
  <c r="G480" i="11"/>
  <c r="H480" i="11"/>
  <c r="I480" i="11"/>
  <c r="J480" i="11"/>
  <c r="K480" i="11"/>
  <c r="L480" i="11"/>
  <c r="M480" i="11"/>
  <c r="N480" i="11"/>
  <c r="O480" i="11"/>
  <c r="P480" i="11"/>
  <c r="Q480" i="11"/>
  <c r="R480" i="11"/>
  <c r="S480" i="11"/>
  <c r="T480" i="11"/>
  <c r="U480" i="11"/>
  <c r="V480" i="11"/>
  <c r="W480" i="11"/>
  <c r="X480" i="11"/>
  <c r="Y480" i="11"/>
  <c r="Z480" i="11"/>
  <c r="AA480" i="11"/>
  <c r="AB480" i="11"/>
  <c r="AC480" i="11"/>
  <c r="AD480" i="11"/>
  <c r="AE480" i="11"/>
  <c r="AF480" i="11"/>
  <c r="AG480" i="11"/>
  <c r="AH480" i="11"/>
  <c r="AI480" i="11"/>
  <c r="AJ480" i="11"/>
  <c r="AK480" i="11"/>
  <c r="AL480" i="11"/>
  <c r="AM480" i="11"/>
  <c r="AN480" i="11"/>
  <c r="AO480" i="11"/>
  <c r="AP480" i="11"/>
  <c r="AQ480" i="11"/>
  <c r="AR480" i="11"/>
  <c r="AS480" i="11"/>
  <c r="AT480" i="11"/>
  <c r="AU480" i="11"/>
  <c r="AV480" i="11"/>
  <c r="AW480" i="11"/>
  <c r="AX480" i="11"/>
  <c r="AY480" i="11"/>
  <c r="AZ480" i="11"/>
  <c r="BA480" i="11"/>
  <c r="BB480" i="11"/>
  <c r="BC480" i="11"/>
  <c r="BD480" i="11"/>
  <c r="BE480" i="11"/>
  <c r="BF480" i="11"/>
  <c r="BG480" i="11"/>
  <c r="BH480" i="11"/>
  <c r="BI480" i="11"/>
  <c r="BJ480" i="11"/>
  <c r="BK480" i="11"/>
  <c r="BL480" i="11"/>
  <c r="BM480" i="11"/>
  <c r="BN480" i="11"/>
  <c r="BO480" i="11"/>
  <c r="BP480" i="11"/>
  <c r="BQ480" i="11"/>
  <c r="BR480" i="11"/>
  <c r="BS480" i="11"/>
  <c r="BT480" i="11"/>
  <c r="BU480" i="11"/>
  <c r="BV480" i="11"/>
  <c r="BW480" i="11"/>
  <c r="BX480" i="11"/>
  <c r="BY480" i="11"/>
  <c r="BZ480" i="11"/>
  <c r="CA480" i="11"/>
  <c r="CB480" i="11"/>
  <c r="CC480" i="11"/>
  <c r="CD480" i="11"/>
  <c r="CE480" i="11"/>
  <c r="CF480" i="11"/>
  <c r="CG480" i="11"/>
  <c r="CH480" i="11"/>
  <c r="CI480" i="11"/>
  <c r="CJ480" i="11"/>
  <c r="CK480" i="11"/>
  <c r="CL480" i="11"/>
  <c r="CM480" i="11"/>
  <c r="CN480" i="11"/>
  <c r="CO480" i="11"/>
  <c r="CP480" i="11"/>
  <c r="CQ480" i="11"/>
  <c r="CR480" i="11"/>
  <c r="CS480" i="11"/>
  <c r="CT480" i="11"/>
  <c r="CU480" i="11"/>
  <c r="CV480" i="11"/>
  <c r="CW480" i="11"/>
  <c r="CX480" i="11"/>
  <c r="CY480" i="11"/>
  <c r="CZ480" i="11"/>
  <c r="DA480" i="11"/>
  <c r="DB480" i="11"/>
  <c r="DC480" i="11"/>
  <c r="DD480" i="11"/>
  <c r="DE480" i="11"/>
  <c r="DF480" i="11"/>
  <c r="DG480" i="11"/>
  <c r="DH480" i="11"/>
  <c r="DI480" i="11"/>
  <c r="DJ480" i="11"/>
  <c r="DK480" i="11"/>
  <c r="DL480" i="11"/>
  <c r="DM480" i="11"/>
  <c r="DN480" i="11"/>
  <c r="DO480" i="11"/>
  <c r="DP480" i="11"/>
  <c r="DQ480" i="11"/>
  <c r="DR480" i="11"/>
  <c r="DS480" i="11"/>
  <c r="DT480" i="11"/>
  <c r="DU480" i="11"/>
  <c r="DV480" i="11"/>
  <c r="DW480" i="11"/>
  <c r="DX480" i="11"/>
  <c r="DY480" i="11"/>
  <c r="DZ480" i="11"/>
  <c r="EA480" i="11"/>
  <c r="EB480" i="11"/>
  <c r="EC480" i="11"/>
  <c r="ED480" i="11"/>
  <c r="EE480" i="11"/>
  <c r="EF480" i="11"/>
  <c r="EG480" i="11"/>
  <c r="EH480" i="11"/>
  <c r="EI480" i="11"/>
  <c r="EJ480" i="11"/>
  <c r="EK480" i="11"/>
  <c r="EL480" i="11"/>
  <c r="EM480" i="11"/>
  <c r="EN480" i="11"/>
  <c r="EO480" i="11"/>
  <c r="EP480" i="11"/>
  <c r="EQ480" i="11"/>
  <c r="ER480" i="11"/>
  <c r="ES480" i="11"/>
  <c r="ET480" i="11"/>
  <c r="EU480" i="11"/>
  <c r="EV480" i="11"/>
  <c r="EW480" i="11"/>
  <c r="EX480" i="11"/>
  <c r="EY480" i="11"/>
  <c r="EZ480" i="11"/>
  <c r="FA480" i="11"/>
  <c r="FB480" i="11"/>
  <c r="FC480" i="11"/>
  <c r="FD480" i="11"/>
  <c r="FE480" i="11"/>
  <c r="FF480" i="11"/>
  <c r="FG480" i="11"/>
  <c r="FH480" i="11"/>
  <c r="FI480" i="11"/>
  <c r="FJ480" i="11"/>
  <c r="FK480" i="11"/>
  <c r="FL480" i="11"/>
  <c r="FM480" i="11"/>
  <c r="FN480" i="11"/>
  <c r="FO480" i="11"/>
  <c r="FP480" i="11"/>
  <c r="FQ480" i="11"/>
  <c r="FR480" i="11"/>
  <c r="FS480" i="11"/>
  <c r="FT480" i="11"/>
  <c r="FU480" i="11"/>
  <c r="FV480" i="11"/>
  <c r="FW480" i="11"/>
  <c r="FX480" i="11"/>
  <c r="FY480" i="11"/>
  <c r="FZ480" i="11"/>
  <c r="GA480" i="11"/>
  <c r="GB480" i="11"/>
  <c r="GC480" i="11"/>
  <c r="GD480" i="11"/>
  <c r="GE480" i="11"/>
  <c r="GF480" i="11"/>
  <c r="GG480" i="11"/>
  <c r="GH480" i="11"/>
  <c r="GI480" i="11"/>
  <c r="GJ480" i="11"/>
  <c r="GK480" i="11"/>
  <c r="GL480" i="11"/>
  <c r="GM480" i="11"/>
  <c r="GN480" i="11"/>
  <c r="GO480" i="11"/>
  <c r="GP480" i="11"/>
  <c r="GQ480" i="11"/>
  <c r="GR480" i="11"/>
  <c r="GS480" i="11"/>
  <c r="GT480" i="11"/>
  <c r="GU480" i="11"/>
  <c r="GV480" i="11"/>
  <c r="GW480" i="11"/>
  <c r="GX480" i="11"/>
  <c r="GY480" i="11"/>
  <c r="GZ480" i="11"/>
  <c r="HA480" i="11"/>
  <c r="HB480" i="11"/>
  <c r="HC480" i="11"/>
  <c r="HD480" i="11"/>
  <c r="HE480" i="11"/>
  <c r="HF480" i="11"/>
  <c r="HG480" i="11"/>
  <c r="HH480" i="11"/>
  <c r="HI480" i="11"/>
  <c r="HJ480" i="11"/>
  <c r="HK480" i="11"/>
  <c r="HL480" i="11"/>
  <c r="HM480" i="11"/>
  <c r="HN480" i="11"/>
  <c r="HO480" i="11"/>
  <c r="HP480" i="11"/>
  <c r="HQ480" i="11"/>
  <c r="HR480" i="11"/>
  <c r="HS480" i="11"/>
  <c r="HT480" i="11"/>
  <c r="HU480" i="11"/>
  <c r="HV480" i="11"/>
  <c r="HW480" i="11"/>
  <c r="HX480" i="11"/>
  <c r="HY480" i="11"/>
  <c r="HZ480" i="11"/>
  <c r="IA480" i="11"/>
  <c r="IB480" i="11"/>
  <c r="IC480" i="11"/>
  <c r="ID480" i="11"/>
  <c r="IE480" i="11"/>
  <c r="IF480" i="11"/>
  <c r="IG480" i="11"/>
  <c r="IH480" i="11"/>
  <c r="II480" i="11"/>
  <c r="IJ480" i="11"/>
  <c r="IK480" i="11"/>
  <c r="IL480" i="11"/>
  <c r="IM480" i="11"/>
  <c r="IN480" i="11"/>
  <c r="IO480" i="11"/>
  <c r="IP480" i="11"/>
  <c r="IQ480" i="11"/>
  <c r="IR480" i="11"/>
  <c r="IS480" i="11"/>
  <c r="IT480" i="11"/>
  <c r="IU480" i="11"/>
  <c r="IV480" i="11"/>
  <c r="F481" i="11"/>
  <c r="G481" i="11"/>
  <c r="H481" i="11"/>
  <c r="I481" i="11"/>
  <c r="J481" i="11"/>
  <c r="K481" i="11"/>
  <c r="L481" i="11"/>
  <c r="M481" i="11"/>
  <c r="N481" i="11"/>
  <c r="O481" i="11"/>
  <c r="P481" i="11"/>
  <c r="Q481" i="11"/>
  <c r="R481" i="11"/>
  <c r="S481" i="11"/>
  <c r="T481" i="11"/>
  <c r="U481" i="11"/>
  <c r="V481" i="11"/>
  <c r="W481" i="11"/>
  <c r="X481" i="11"/>
  <c r="Y481" i="11"/>
  <c r="Z481" i="11"/>
  <c r="AA481" i="11"/>
  <c r="AB481" i="11"/>
  <c r="AC481" i="11"/>
  <c r="AD481" i="11"/>
  <c r="AE481" i="11"/>
  <c r="AF481" i="11"/>
  <c r="AG481" i="11"/>
  <c r="AH481" i="11"/>
  <c r="AI481" i="11"/>
  <c r="AJ481" i="11"/>
  <c r="AK481" i="11"/>
  <c r="AL481" i="11"/>
  <c r="AM481" i="11"/>
  <c r="AN481" i="11"/>
  <c r="AO481" i="11"/>
  <c r="AP481" i="11"/>
  <c r="AQ481" i="11"/>
  <c r="AR481" i="11"/>
  <c r="AS481" i="11"/>
  <c r="AT481" i="11"/>
  <c r="AU481" i="11"/>
  <c r="AV481" i="11"/>
  <c r="AW481" i="11"/>
  <c r="AX481" i="11"/>
  <c r="AY481" i="11"/>
  <c r="AZ481" i="11"/>
  <c r="BA481" i="11"/>
  <c r="BB481" i="11"/>
  <c r="BC481" i="11"/>
  <c r="BD481" i="11"/>
  <c r="BE481" i="11"/>
  <c r="BF481" i="11"/>
  <c r="BG481" i="11"/>
  <c r="BH481" i="11"/>
  <c r="BI481" i="11"/>
  <c r="BJ481" i="11"/>
  <c r="BK481" i="11"/>
  <c r="BL481" i="11"/>
  <c r="BM481" i="11"/>
  <c r="BN481" i="11"/>
  <c r="BO481" i="11"/>
  <c r="BP481" i="11"/>
  <c r="BQ481" i="11"/>
  <c r="BR481" i="11"/>
  <c r="BS481" i="11"/>
  <c r="BT481" i="11"/>
  <c r="BU481" i="11"/>
  <c r="BV481" i="11"/>
  <c r="BW481" i="11"/>
  <c r="BX481" i="11"/>
  <c r="BY481" i="11"/>
  <c r="BZ481" i="11"/>
  <c r="CA481" i="11"/>
  <c r="CB481" i="11"/>
  <c r="CC481" i="11"/>
  <c r="CD481" i="11"/>
  <c r="CE481" i="11"/>
  <c r="CF481" i="11"/>
  <c r="CG481" i="11"/>
  <c r="CH481" i="11"/>
  <c r="CI481" i="11"/>
  <c r="CJ481" i="11"/>
  <c r="CK481" i="11"/>
  <c r="CL481" i="11"/>
  <c r="CM481" i="11"/>
  <c r="CN481" i="11"/>
  <c r="CO481" i="11"/>
  <c r="CP481" i="11"/>
  <c r="CQ481" i="11"/>
  <c r="CR481" i="11"/>
  <c r="CS481" i="11"/>
  <c r="CT481" i="11"/>
  <c r="CU481" i="11"/>
  <c r="CV481" i="11"/>
  <c r="CW481" i="11"/>
  <c r="CX481" i="11"/>
  <c r="CY481" i="11"/>
  <c r="CZ481" i="11"/>
  <c r="DA481" i="11"/>
  <c r="DB481" i="11"/>
  <c r="DC481" i="11"/>
  <c r="DD481" i="11"/>
  <c r="DE481" i="11"/>
  <c r="DF481" i="11"/>
  <c r="DG481" i="11"/>
  <c r="DH481" i="11"/>
  <c r="DI481" i="11"/>
  <c r="DJ481" i="11"/>
  <c r="DK481" i="11"/>
  <c r="DL481" i="11"/>
  <c r="DM481" i="11"/>
  <c r="DN481" i="11"/>
  <c r="DO481" i="11"/>
  <c r="DP481" i="11"/>
  <c r="DQ481" i="11"/>
  <c r="DR481" i="11"/>
  <c r="DS481" i="11"/>
  <c r="DT481" i="11"/>
  <c r="DU481" i="11"/>
  <c r="DV481" i="11"/>
  <c r="DW481" i="11"/>
  <c r="DX481" i="11"/>
  <c r="DY481" i="11"/>
  <c r="DZ481" i="11"/>
  <c r="EA481" i="11"/>
  <c r="EB481" i="11"/>
  <c r="EC481" i="11"/>
  <c r="ED481" i="11"/>
  <c r="EE481" i="11"/>
  <c r="EF481" i="11"/>
  <c r="EG481" i="11"/>
  <c r="EH481" i="11"/>
  <c r="EI481" i="11"/>
  <c r="EJ481" i="11"/>
  <c r="EK481" i="11"/>
  <c r="EL481" i="11"/>
  <c r="EM481" i="11"/>
  <c r="EN481" i="11"/>
  <c r="EO481" i="11"/>
  <c r="EP481" i="11"/>
  <c r="EQ481" i="11"/>
  <c r="ER481" i="11"/>
  <c r="ES481" i="11"/>
  <c r="ET481" i="11"/>
  <c r="EU481" i="11"/>
  <c r="EV481" i="11"/>
  <c r="EW481" i="11"/>
  <c r="EX481" i="11"/>
  <c r="EY481" i="11"/>
  <c r="EZ481" i="11"/>
  <c r="FA481" i="11"/>
  <c r="FB481" i="11"/>
  <c r="FC481" i="11"/>
  <c r="FD481" i="11"/>
  <c r="FE481" i="11"/>
  <c r="FF481" i="11"/>
  <c r="FG481" i="11"/>
  <c r="FH481" i="11"/>
  <c r="FI481" i="11"/>
  <c r="FJ481" i="11"/>
  <c r="FK481" i="11"/>
  <c r="FL481" i="11"/>
  <c r="FM481" i="11"/>
  <c r="FN481" i="11"/>
  <c r="FO481" i="11"/>
  <c r="FP481" i="11"/>
  <c r="FQ481" i="11"/>
  <c r="FR481" i="11"/>
  <c r="FS481" i="11"/>
  <c r="FT481" i="11"/>
  <c r="FU481" i="11"/>
  <c r="FV481" i="11"/>
  <c r="FW481" i="11"/>
  <c r="FX481" i="11"/>
  <c r="FY481" i="11"/>
  <c r="FZ481" i="11"/>
  <c r="GA481" i="11"/>
  <c r="GB481" i="11"/>
  <c r="GC481" i="11"/>
  <c r="GD481" i="11"/>
  <c r="GE481" i="11"/>
  <c r="GF481" i="11"/>
  <c r="GG481" i="11"/>
  <c r="GH481" i="11"/>
  <c r="GI481" i="11"/>
  <c r="GJ481" i="11"/>
  <c r="GK481" i="11"/>
  <c r="GL481" i="11"/>
  <c r="GM481" i="11"/>
  <c r="GN481" i="11"/>
  <c r="GO481" i="11"/>
  <c r="GP481" i="11"/>
  <c r="GQ481" i="11"/>
  <c r="GR481" i="11"/>
  <c r="GS481" i="11"/>
  <c r="GT481" i="11"/>
  <c r="GU481" i="11"/>
  <c r="GV481" i="11"/>
  <c r="GW481" i="11"/>
  <c r="GX481" i="11"/>
  <c r="GY481" i="11"/>
  <c r="GZ481" i="11"/>
  <c r="HA481" i="11"/>
  <c r="HB481" i="11"/>
  <c r="HC481" i="11"/>
  <c r="HD481" i="11"/>
  <c r="HE481" i="11"/>
  <c r="HF481" i="11"/>
  <c r="HG481" i="11"/>
  <c r="HH481" i="11"/>
  <c r="HI481" i="11"/>
  <c r="HJ481" i="11"/>
  <c r="HK481" i="11"/>
  <c r="HL481" i="11"/>
  <c r="HM481" i="11"/>
  <c r="HN481" i="11"/>
  <c r="HO481" i="11"/>
  <c r="HP481" i="11"/>
  <c r="HQ481" i="11"/>
  <c r="HR481" i="11"/>
  <c r="HS481" i="11"/>
  <c r="HT481" i="11"/>
  <c r="HU481" i="11"/>
  <c r="HV481" i="11"/>
  <c r="HW481" i="11"/>
  <c r="HX481" i="11"/>
  <c r="HY481" i="11"/>
  <c r="HZ481" i="11"/>
  <c r="IA481" i="11"/>
  <c r="IB481" i="11"/>
  <c r="IC481" i="11"/>
  <c r="ID481" i="11"/>
  <c r="IE481" i="11"/>
  <c r="IF481" i="11"/>
  <c r="IG481" i="11"/>
  <c r="IH481" i="11"/>
  <c r="II481" i="11"/>
  <c r="IJ481" i="11"/>
  <c r="IK481" i="11"/>
  <c r="IL481" i="11"/>
  <c r="IM481" i="11"/>
  <c r="IN481" i="11"/>
  <c r="IO481" i="11"/>
  <c r="IP481" i="11"/>
  <c r="IQ481" i="11"/>
  <c r="IR481" i="11"/>
  <c r="IS481" i="11"/>
  <c r="IT481" i="11"/>
  <c r="IU481" i="11"/>
  <c r="IV481" i="11"/>
  <c r="F482" i="11"/>
  <c r="G482" i="11"/>
  <c r="H482" i="11"/>
  <c r="I482" i="11"/>
  <c r="J482" i="11"/>
  <c r="K482" i="11"/>
  <c r="L482" i="11"/>
  <c r="M482" i="11"/>
  <c r="N482" i="11"/>
  <c r="O482" i="11"/>
  <c r="P482" i="11"/>
  <c r="Q482" i="11"/>
  <c r="R482" i="11"/>
  <c r="S482" i="11"/>
  <c r="T482" i="11"/>
  <c r="U482" i="11"/>
  <c r="V482" i="11"/>
  <c r="W482" i="11"/>
  <c r="X482" i="11"/>
  <c r="Y482" i="11"/>
  <c r="Z482" i="11"/>
  <c r="AA482" i="11"/>
  <c r="AB482" i="11"/>
  <c r="AC482" i="11"/>
  <c r="AD482" i="11"/>
  <c r="AE482" i="11"/>
  <c r="AF482" i="11"/>
  <c r="AG482" i="11"/>
  <c r="AH482" i="11"/>
  <c r="AI482" i="11"/>
  <c r="AJ482" i="11"/>
  <c r="AK482" i="11"/>
  <c r="AL482" i="11"/>
  <c r="AM482" i="11"/>
  <c r="AN482" i="11"/>
  <c r="AO482" i="11"/>
  <c r="AP482" i="11"/>
  <c r="AQ482" i="11"/>
  <c r="AR482" i="11"/>
  <c r="AS482" i="11"/>
  <c r="AT482" i="11"/>
  <c r="AU482" i="11"/>
  <c r="AV482" i="11"/>
  <c r="AW482" i="11"/>
  <c r="AX482" i="11"/>
  <c r="AY482" i="11"/>
  <c r="AZ482" i="11"/>
  <c r="BA482" i="11"/>
  <c r="BB482" i="11"/>
  <c r="BC482" i="11"/>
  <c r="BD482" i="11"/>
  <c r="BE482" i="11"/>
  <c r="BF482" i="11"/>
  <c r="BG482" i="11"/>
  <c r="BH482" i="11"/>
  <c r="BI482" i="11"/>
  <c r="BJ482" i="11"/>
  <c r="BK482" i="11"/>
  <c r="BL482" i="11"/>
  <c r="BM482" i="11"/>
  <c r="BN482" i="11"/>
  <c r="BO482" i="11"/>
  <c r="BP482" i="11"/>
  <c r="BQ482" i="11"/>
  <c r="BR482" i="11"/>
  <c r="BS482" i="11"/>
  <c r="BT482" i="11"/>
  <c r="BU482" i="11"/>
  <c r="BV482" i="11"/>
  <c r="BW482" i="11"/>
  <c r="BX482" i="11"/>
  <c r="BY482" i="11"/>
  <c r="BZ482" i="11"/>
  <c r="CA482" i="11"/>
  <c r="CB482" i="11"/>
  <c r="CC482" i="11"/>
  <c r="CD482" i="11"/>
  <c r="CE482" i="11"/>
  <c r="CF482" i="11"/>
  <c r="CG482" i="11"/>
  <c r="CH482" i="11"/>
  <c r="CI482" i="11"/>
  <c r="CJ482" i="11"/>
  <c r="CK482" i="11"/>
  <c r="CL482" i="11"/>
  <c r="CM482" i="11"/>
  <c r="CN482" i="11"/>
  <c r="CO482" i="11"/>
  <c r="CP482" i="11"/>
  <c r="CQ482" i="11"/>
  <c r="CR482" i="11"/>
  <c r="CS482" i="11"/>
  <c r="CT482" i="11"/>
  <c r="CU482" i="11"/>
  <c r="CV482" i="11"/>
  <c r="CW482" i="11"/>
  <c r="CX482" i="11"/>
  <c r="CY482" i="11"/>
  <c r="CZ482" i="11"/>
  <c r="DA482" i="11"/>
  <c r="DB482" i="11"/>
  <c r="DC482" i="11"/>
  <c r="DD482" i="11"/>
  <c r="DE482" i="11"/>
  <c r="DF482" i="11"/>
  <c r="DG482" i="11"/>
  <c r="DH482" i="11"/>
  <c r="DI482" i="11"/>
  <c r="DJ482" i="11"/>
  <c r="DK482" i="11"/>
  <c r="DL482" i="11"/>
  <c r="DM482" i="11"/>
  <c r="DN482" i="11"/>
  <c r="DO482" i="11"/>
  <c r="DP482" i="11"/>
  <c r="DQ482" i="11"/>
  <c r="DR482" i="11"/>
  <c r="DS482" i="11"/>
  <c r="DT482" i="11"/>
  <c r="DU482" i="11"/>
  <c r="DV482" i="11"/>
  <c r="DW482" i="11"/>
  <c r="DX482" i="11"/>
  <c r="DY482" i="11"/>
  <c r="DZ482" i="11"/>
  <c r="EA482" i="11"/>
  <c r="EB482" i="11"/>
  <c r="EC482" i="11"/>
  <c r="ED482" i="11"/>
  <c r="EE482" i="11"/>
  <c r="EF482" i="11"/>
  <c r="EG482" i="11"/>
  <c r="EH482" i="11"/>
  <c r="EI482" i="11"/>
  <c r="EJ482" i="11"/>
  <c r="EK482" i="11"/>
  <c r="EL482" i="11"/>
  <c r="EM482" i="11"/>
  <c r="EN482" i="11"/>
  <c r="EO482" i="11"/>
  <c r="EP482" i="11"/>
  <c r="EQ482" i="11"/>
  <c r="ER482" i="11"/>
  <c r="ES482" i="11"/>
  <c r="ET482" i="11"/>
  <c r="EU482" i="11"/>
  <c r="EV482" i="11"/>
  <c r="EW482" i="11"/>
  <c r="EX482" i="11"/>
  <c r="EY482" i="11"/>
  <c r="EZ482" i="11"/>
  <c r="FA482" i="11"/>
  <c r="FB482" i="11"/>
  <c r="FC482" i="11"/>
  <c r="FD482" i="11"/>
  <c r="FE482" i="11"/>
  <c r="FF482" i="11"/>
  <c r="FG482" i="11"/>
  <c r="FH482" i="11"/>
  <c r="FI482" i="11"/>
  <c r="FJ482" i="11"/>
  <c r="FK482" i="11"/>
  <c r="FL482" i="11"/>
  <c r="FM482" i="11"/>
  <c r="FN482" i="11"/>
  <c r="FO482" i="11"/>
  <c r="FP482" i="11"/>
  <c r="FQ482" i="11"/>
  <c r="FR482" i="11"/>
  <c r="FS482" i="11"/>
  <c r="FT482" i="11"/>
  <c r="FU482" i="11"/>
  <c r="FV482" i="11"/>
  <c r="FW482" i="11"/>
  <c r="FX482" i="11"/>
  <c r="FY482" i="11"/>
  <c r="FZ482" i="11"/>
  <c r="GA482" i="11"/>
  <c r="GB482" i="11"/>
  <c r="GC482" i="11"/>
  <c r="GD482" i="11"/>
  <c r="GE482" i="11"/>
  <c r="GF482" i="11"/>
  <c r="GG482" i="11"/>
  <c r="GH482" i="11"/>
  <c r="GI482" i="11"/>
  <c r="GJ482" i="11"/>
  <c r="GK482" i="11"/>
  <c r="GL482" i="11"/>
  <c r="GM482" i="11"/>
  <c r="GN482" i="11"/>
  <c r="GO482" i="11"/>
  <c r="GP482" i="11"/>
  <c r="GQ482" i="11"/>
  <c r="GR482" i="11"/>
  <c r="GS482" i="11"/>
  <c r="GT482" i="11"/>
  <c r="GU482" i="11"/>
  <c r="GV482" i="11"/>
  <c r="GW482" i="11"/>
  <c r="GX482" i="11"/>
  <c r="GY482" i="11"/>
  <c r="GZ482" i="11"/>
  <c r="HA482" i="11"/>
  <c r="HB482" i="11"/>
  <c r="HC482" i="11"/>
  <c r="HD482" i="11"/>
  <c r="HE482" i="11"/>
  <c r="HF482" i="11"/>
  <c r="HG482" i="11"/>
  <c r="HH482" i="11"/>
  <c r="HI482" i="11"/>
  <c r="HJ482" i="11"/>
  <c r="HK482" i="11"/>
  <c r="HL482" i="11"/>
  <c r="HM482" i="11"/>
  <c r="HN482" i="11"/>
  <c r="HO482" i="11"/>
  <c r="HP482" i="11"/>
  <c r="HQ482" i="11"/>
  <c r="HR482" i="11"/>
  <c r="HS482" i="11"/>
  <c r="HT482" i="11"/>
  <c r="HU482" i="11"/>
  <c r="HV482" i="11"/>
  <c r="HW482" i="11"/>
  <c r="HX482" i="11"/>
  <c r="HY482" i="11"/>
  <c r="HZ482" i="11"/>
  <c r="IA482" i="11"/>
  <c r="IB482" i="11"/>
  <c r="IC482" i="11"/>
  <c r="ID482" i="11"/>
  <c r="IE482" i="11"/>
  <c r="IF482" i="11"/>
  <c r="IG482" i="11"/>
  <c r="IH482" i="11"/>
  <c r="II482" i="11"/>
  <c r="IJ482" i="11"/>
  <c r="IK482" i="11"/>
  <c r="IL482" i="11"/>
  <c r="IM482" i="11"/>
  <c r="IN482" i="11"/>
  <c r="IO482" i="11"/>
  <c r="IP482" i="11"/>
  <c r="IQ482" i="11"/>
  <c r="IR482" i="11"/>
  <c r="IS482" i="11"/>
  <c r="IT482" i="11"/>
  <c r="IU482" i="11"/>
  <c r="IV482" i="11"/>
  <c r="F483" i="11"/>
  <c r="G483" i="11"/>
  <c r="H483" i="11"/>
  <c r="I483" i="11"/>
  <c r="J483" i="11"/>
  <c r="K483" i="11"/>
  <c r="L483" i="11"/>
  <c r="M483" i="11"/>
  <c r="N483" i="11"/>
  <c r="O483" i="11"/>
  <c r="P483" i="11"/>
  <c r="Q483" i="11"/>
  <c r="R483" i="11"/>
  <c r="S483" i="11"/>
  <c r="T483" i="11"/>
  <c r="U483" i="11"/>
  <c r="V483" i="11"/>
  <c r="W483" i="11"/>
  <c r="X483" i="11"/>
  <c r="Y483" i="11"/>
  <c r="Z483" i="11"/>
  <c r="AA483" i="11"/>
  <c r="AB483" i="11"/>
  <c r="AC483" i="11"/>
  <c r="AD483" i="11"/>
  <c r="AE483" i="11"/>
  <c r="AF483" i="11"/>
  <c r="AG483" i="11"/>
  <c r="AH483" i="11"/>
  <c r="AI483" i="11"/>
  <c r="AJ483" i="11"/>
  <c r="AK483" i="11"/>
  <c r="AL483" i="11"/>
  <c r="AM483" i="11"/>
  <c r="AN483" i="11"/>
  <c r="AO483" i="11"/>
  <c r="AP483" i="11"/>
  <c r="AQ483" i="11"/>
  <c r="AR483" i="11"/>
  <c r="AS483" i="11"/>
  <c r="AT483" i="11"/>
  <c r="AU483" i="11"/>
  <c r="AV483" i="11"/>
  <c r="AW483" i="11"/>
  <c r="AX483" i="11"/>
  <c r="AY483" i="11"/>
  <c r="AZ483" i="11"/>
  <c r="BA483" i="11"/>
  <c r="BB483" i="11"/>
  <c r="BC483" i="11"/>
  <c r="BD483" i="11"/>
  <c r="BE483" i="11"/>
  <c r="BF483" i="11"/>
  <c r="BG483" i="11"/>
  <c r="BH483" i="11"/>
  <c r="BI483" i="11"/>
  <c r="BJ483" i="11"/>
  <c r="BK483" i="11"/>
  <c r="BL483" i="11"/>
  <c r="BM483" i="11"/>
  <c r="BN483" i="11"/>
  <c r="BO483" i="11"/>
  <c r="BP483" i="11"/>
  <c r="BQ483" i="11"/>
  <c r="BR483" i="11"/>
  <c r="BS483" i="11"/>
  <c r="BT483" i="11"/>
  <c r="BU483" i="11"/>
  <c r="BV483" i="11"/>
  <c r="BW483" i="11"/>
  <c r="BX483" i="11"/>
  <c r="BY483" i="11"/>
  <c r="BZ483" i="11"/>
  <c r="CA483" i="11"/>
  <c r="CB483" i="11"/>
  <c r="CC483" i="11"/>
  <c r="CD483" i="11"/>
  <c r="CE483" i="11"/>
  <c r="CF483" i="11"/>
  <c r="CG483" i="11"/>
  <c r="CH483" i="11"/>
  <c r="CI483" i="11"/>
  <c r="CJ483" i="11"/>
  <c r="CK483" i="11"/>
  <c r="CL483" i="11"/>
  <c r="CM483" i="11"/>
  <c r="CN483" i="11"/>
  <c r="CO483" i="11"/>
  <c r="CP483" i="11"/>
  <c r="CQ483" i="11"/>
  <c r="CR483" i="11"/>
  <c r="CS483" i="11"/>
  <c r="CT483" i="11"/>
  <c r="CU483" i="11"/>
  <c r="CV483" i="11"/>
  <c r="CW483" i="11"/>
  <c r="CX483" i="11"/>
  <c r="CY483" i="11"/>
  <c r="CZ483" i="11"/>
  <c r="DA483" i="11"/>
  <c r="DB483" i="11"/>
  <c r="DC483" i="11"/>
  <c r="DD483" i="11"/>
  <c r="DE483" i="11"/>
  <c r="DF483" i="11"/>
  <c r="DG483" i="11"/>
  <c r="DH483" i="11"/>
  <c r="DI483" i="11"/>
  <c r="DJ483" i="11"/>
  <c r="DK483" i="11"/>
  <c r="DL483" i="11"/>
  <c r="DM483" i="11"/>
  <c r="DN483" i="11"/>
  <c r="DO483" i="11"/>
  <c r="DP483" i="11"/>
  <c r="DQ483" i="11"/>
  <c r="DR483" i="11"/>
  <c r="DS483" i="11"/>
  <c r="DT483" i="11"/>
  <c r="DU483" i="11"/>
  <c r="DV483" i="11"/>
  <c r="DW483" i="11"/>
  <c r="DX483" i="11"/>
  <c r="DY483" i="11"/>
  <c r="DZ483" i="11"/>
  <c r="EA483" i="11"/>
  <c r="EB483" i="11"/>
  <c r="EC483" i="11"/>
  <c r="ED483" i="11"/>
  <c r="EE483" i="11"/>
  <c r="EF483" i="11"/>
  <c r="EG483" i="11"/>
  <c r="EH483" i="11"/>
  <c r="EI483" i="11"/>
  <c r="EJ483" i="11"/>
  <c r="EK483" i="11"/>
  <c r="EL483" i="11"/>
  <c r="EM483" i="11"/>
  <c r="EN483" i="11"/>
  <c r="EO483" i="11"/>
  <c r="EP483" i="11"/>
  <c r="EQ483" i="11"/>
  <c r="ER483" i="11"/>
  <c r="ES483" i="11"/>
  <c r="ET483" i="11"/>
  <c r="EU483" i="11"/>
  <c r="EV483" i="11"/>
  <c r="EW483" i="11"/>
  <c r="EX483" i="11"/>
  <c r="EY483" i="11"/>
  <c r="EZ483" i="11"/>
  <c r="FA483" i="11"/>
  <c r="FB483" i="11"/>
  <c r="FC483" i="11"/>
  <c r="FD483" i="11"/>
  <c r="FE483" i="11"/>
  <c r="FF483" i="11"/>
  <c r="FG483" i="11"/>
  <c r="FH483" i="11"/>
  <c r="FI483" i="11"/>
  <c r="FJ483" i="11"/>
  <c r="FK483" i="11"/>
  <c r="FL483" i="11"/>
  <c r="FM483" i="11"/>
  <c r="FN483" i="11"/>
  <c r="FO483" i="11"/>
  <c r="FP483" i="11"/>
  <c r="FQ483" i="11"/>
  <c r="FR483" i="11"/>
  <c r="FS483" i="11"/>
  <c r="FT483" i="11"/>
  <c r="FU483" i="11"/>
  <c r="FV483" i="11"/>
  <c r="FW483" i="11"/>
  <c r="FX483" i="11"/>
  <c r="FY483" i="11"/>
  <c r="FZ483" i="11"/>
  <c r="GA483" i="11"/>
  <c r="GB483" i="11"/>
  <c r="GC483" i="11"/>
  <c r="GD483" i="11"/>
  <c r="GE483" i="11"/>
  <c r="GF483" i="11"/>
  <c r="GG483" i="11"/>
  <c r="GH483" i="11"/>
  <c r="GI483" i="11"/>
  <c r="GJ483" i="11"/>
  <c r="GK483" i="11"/>
  <c r="GL483" i="11"/>
  <c r="GM483" i="11"/>
  <c r="GN483" i="11"/>
  <c r="GO483" i="11"/>
  <c r="GP483" i="11"/>
  <c r="GQ483" i="11"/>
  <c r="GR483" i="11"/>
  <c r="GS483" i="11"/>
  <c r="GT483" i="11"/>
  <c r="GU483" i="11"/>
  <c r="GV483" i="11"/>
  <c r="GW483" i="11"/>
  <c r="GX483" i="11"/>
  <c r="GY483" i="11"/>
  <c r="GZ483" i="11"/>
  <c r="HA483" i="11"/>
  <c r="HB483" i="11"/>
  <c r="HC483" i="11"/>
  <c r="HD483" i="11"/>
  <c r="HE483" i="11"/>
  <c r="HF483" i="11"/>
  <c r="HG483" i="11"/>
  <c r="HH483" i="11"/>
  <c r="HI483" i="11"/>
  <c r="HJ483" i="11"/>
  <c r="HK483" i="11"/>
  <c r="HL483" i="11"/>
  <c r="HM483" i="11"/>
  <c r="HN483" i="11"/>
  <c r="HO483" i="11"/>
  <c r="HP483" i="11"/>
  <c r="HQ483" i="11"/>
  <c r="HR483" i="11"/>
  <c r="HS483" i="11"/>
  <c r="HT483" i="11"/>
  <c r="HU483" i="11"/>
  <c r="HV483" i="11"/>
  <c r="HW483" i="11"/>
  <c r="HX483" i="11"/>
  <c r="HY483" i="11"/>
  <c r="HZ483" i="11"/>
  <c r="IA483" i="11"/>
  <c r="IB483" i="11"/>
  <c r="IC483" i="11"/>
  <c r="ID483" i="11"/>
  <c r="IE483" i="11"/>
  <c r="IF483" i="11"/>
  <c r="IG483" i="11"/>
  <c r="IH483" i="11"/>
  <c r="II483" i="11"/>
  <c r="IJ483" i="11"/>
  <c r="IK483" i="11"/>
  <c r="IL483" i="11"/>
  <c r="IM483" i="11"/>
  <c r="IN483" i="11"/>
  <c r="IO483" i="11"/>
  <c r="IP483" i="11"/>
  <c r="IQ483" i="11"/>
  <c r="IR483" i="11"/>
  <c r="IS483" i="11"/>
  <c r="IT483" i="11"/>
  <c r="IU483" i="11"/>
  <c r="IV483" i="11"/>
  <c r="F484" i="11"/>
  <c r="G484" i="11"/>
  <c r="H484" i="11"/>
  <c r="I484" i="11"/>
  <c r="J484" i="11"/>
  <c r="K484" i="11"/>
  <c r="L484" i="11"/>
  <c r="M484" i="11"/>
  <c r="N484" i="11"/>
  <c r="O484" i="11"/>
  <c r="P484" i="11"/>
  <c r="Q484" i="11"/>
  <c r="R484" i="11"/>
  <c r="S484" i="11"/>
  <c r="T484" i="11"/>
  <c r="U484" i="11"/>
  <c r="V484" i="11"/>
  <c r="W484" i="11"/>
  <c r="X484" i="11"/>
  <c r="Y484" i="11"/>
  <c r="Z484" i="11"/>
  <c r="AA484" i="11"/>
  <c r="AB484" i="11"/>
  <c r="AC484" i="11"/>
  <c r="AD484" i="11"/>
  <c r="AE484" i="11"/>
  <c r="AF484" i="11"/>
  <c r="AG484" i="11"/>
  <c r="AH484" i="11"/>
  <c r="AI484" i="11"/>
  <c r="AJ484" i="11"/>
  <c r="AK484" i="11"/>
  <c r="AL484" i="11"/>
  <c r="AM484" i="11"/>
  <c r="AN484" i="11"/>
  <c r="AO484" i="11"/>
  <c r="AP484" i="11"/>
  <c r="AQ484" i="11"/>
  <c r="AR484" i="11"/>
  <c r="AS484" i="11"/>
  <c r="AT484" i="11"/>
  <c r="AU484" i="11"/>
  <c r="AV484" i="11"/>
  <c r="AW484" i="11"/>
  <c r="AX484" i="11"/>
  <c r="AY484" i="11"/>
  <c r="AZ484" i="11"/>
  <c r="BA484" i="11"/>
  <c r="BB484" i="11"/>
  <c r="BC484" i="11"/>
  <c r="BD484" i="11"/>
  <c r="BE484" i="11"/>
  <c r="BF484" i="11"/>
  <c r="BG484" i="11"/>
  <c r="BH484" i="11"/>
  <c r="BI484" i="11"/>
  <c r="BJ484" i="11"/>
  <c r="BK484" i="11"/>
  <c r="BL484" i="11"/>
  <c r="BM484" i="11"/>
  <c r="BN484" i="11"/>
  <c r="BO484" i="11"/>
  <c r="BP484" i="11"/>
  <c r="BQ484" i="11"/>
  <c r="BR484" i="11"/>
  <c r="BS484" i="11"/>
  <c r="BT484" i="11"/>
  <c r="BU484" i="11"/>
  <c r="BV484" i="11"/>
  <c r="BW484" i="11"/>
  <c r="BX484" i="11"/>
  <c r="BY484" i="11"/>
  <c r="BZ484" i="11"/>
  <c r="CA484" i="11"/>
  <c r="CB484" i="11"/>
  <c r="CC484" i="11"/>
  <c r="CD484" i="11"/>
  <c r="CE484" i="11"/>
  <c r="CF484" i="11"/>
  <c r="CG484" i="11"/>
  <c r="CH484" i="11"/>
  <c r="CI484" i="11"/>
  <c r="CJ484" i="11"/>
  <c r="CK484" i="11"/>
  <c r="CL484" i="11"/>
  <c r="CM484" i="11"/>
  <c r="CN484" i="11"/>
  <c r="CO484" i="11"/>
  <c r="CP484" i="11"/>
  <c r="CQ484" i="11"/>
  <c r="CR484" i="11"/>
  <c r="CS484" i="11"/>
  <c r="CT484" i="11"/>
  <c r="CU484" i="11"/>
  <c r="CV484" i="11"/>
  <c r="CW484" i="11"/>
  <c r="CX484" i="11"/>
  <c r="CY484" i="11"/>
  <c r="CZ484" i="11"/>
  <c r="DA484" i="11"/>
  <c r="DB484" i="11"/>
  <c r="DC484" i="11"/>
  <c r="DD484" i="11"/>
  <c r="DE484" i="11"/>
  <c r="DF484" i="11"/>
  <c r="DG484" i="11"/>
  <c r="DH484" i="11"/>
  <c r="DI484" i="11"/>
  <c r="DJ484" i="11"/>
  <c r="DK484" i="11"/>
  <c r="DL484" i="11"/>
  <c r="DM484" i="11"/>
  <c r="DN484" i="11"/>
  <c r="DO484" i="11"/>
  <c r="DP484" i="11"/>
  <c r="DQ484" i="11"/>
  <c r="DR484" i="11"/>
  <c r="DS484" i="11"/>
  <c r="DT484" i="11"/>
  <c r="DU484" i="11"/>
  <c r="DV484" i="11"/>
  <c r="DW484" i="11"/>
  <c r="DX484" i="11"/>
  <c r="DY484" i="11"/>
  <c r="DZ484" i="11"/>
  <c r="EA484" i="11"/>
  <c r="EB484" i="11"/>
  <c r="EC484" i="11"/>
  <c r="ED484" i="11"/>
  <c r="EE484" i="11"/>
  <c r="EF484" i="11"/>
  <c r="EG484" i="11"/>
  <c r="EH484" i="11"/>
  <c r="EI484" i="11"/>
  <c r="EJ484" i="11"/>
  <c r="EK484" i="11"/>
  <c r="EL484" i="11"/>
  <c r="EM484" i="11"/>
  <c r="EN484" i="11"/>
  <c r="EO484" i="11"/>
  <c r="EP484" i="11"/>
  <c r="EQ484" i="11"/>
  <c r="ER484" i="11"/>
  <c r="ES484" i="11"/>
  <c r="ET484" i="11"/>
  <c r="EU484" i="11"/>
  <c r="EV484" i="11"/>
  <c r="EW484" i="11"/>
  <c r="EX484" i="11"/>
  <c r="EY484" i="11"/>
  <c r="EZ484" i="11"/>
  <c r="FA484" i="11"/>
  <c r="FB484" i="11"/>
  <c r="FC484" i="11"/>
  <c r="FD484" i="11"/>
  <c r="FE484" i="11"/>
  <c r="FF484" i="11"/>
  <c r="FG484" i="11"/>
  <c r="FH484" i="11"/>
  <c r="FI484" i="11"/>
  <c r="FJ484" i="11"/>
  <c r="FK484" i="11"/>
  <c r="FL484" i="11"/>
  <c r="FM484" i="11"/>
  <c r="FN484" i="11"/>
  <c r="FO484" i="11"/>
  <c r="FP484" i="11"/>
  <c r="FQ484" i="11"/>
  <c r="FR484" i="11"/>
  <c r="FS484" i="11"/>
  <c r="FT484" i="11"/>
  <c r="FU484" i="11"/>
  <c r="FV484" i="11"/>
  <c r="FW484" i="11"/>
  <c r="FX484" i="11"/>
  <c r="FY484" i="11"/>
  <c r="FZ484" i="11"/>
  <c r="GA484" i="11"/>
  <c r="GB484" i="11"/>
  <c r="GC484" i="11"/>
  <c r="GD484" i="11"/>
  <c r="GE484" i="11"/>
  <c r="GF484" i="11"/>
  <c r="GG484" i="11"/>
  <c r="GH484" i="11"/>
  <c r="GI484" i="11"/>
  <c r="GJ484" i="11"/>
  <c r="GK484" i="11"/>
  <c r="GL484" i="11"/>
  <c r="GM484" i="11"/>
  <c r="GN484" i="11"/>
  <c r="GO484" i="11"/>
  <c r="GP484" i="11"/>
  <c r="GQ484" i="11"/>
  <c r="GR484" i="11"/>
  <c r="GS484" i="11"/>
  <c r="GT484" i="11"/>
  <c r="GU484" i="11"/>
  <c r="GV484" i="11"/>
  <c r="GW484" i="11"/>
  <c r="GX484" i="11"/>
  <c r="GY484" i="11"/>
  <c r="GZ484" i="11"/>
  <c r="HA484" i="11"/>
  <c r="HB484" i="11"/>
  <c r="HC484" i="11"/>
  <c r="HD484" i="11"/>
  <c r="HE484" i="11"/>
  <c r="HF484" i="11"/>
  <c r="HG484" i="11"/>
  <c r="HH484" i="11"/>
  <c r="HI484" i="11"/>
  <c r="HJ484" i="11"/>
  <c r="HK484" i="11"/>
  <c r="HL484" i="11"/>
  <c r="HM484" i="11"/>
  <c r="HN484" i="11"/>
  <c r="HO484" i="11"/>
  <c r="HP484" i="11"/>
  <c r="HQ484" i="11"/>
  <c r="HR484" i="11"/>
  <c r="HS484" i="11"/>
  <c r="HT484" i="11"/>
  <c r="HU484" i="11"/>
  <c r="HV484" i="11"/>
  <c r="HW484" i="11"/>
  <c r="HX484" i="11"/>
  <c r="HY484" i="11"/>
  <c r="HZ484" i="11"/>
  <c r="IA484" i="11"/>
  <c r="IB484" i="11"/>
  <c r="IC484" i="11"/>
  <c r="ID484" i="11"/>
  <c r="IE484" i="11"/>
  <c r="IF484" i="11"/>
  <c r="IG484" i="11"/>
  <c r="IH484" i="11"/>
  <c r="II484" i="11"/>
  <c r="IJ484" i="11"/>
  <c r="IK484" i="11"/>
  <c r="IL484" i="11"/>
  <c r="IM484" i="11"/>
  <c r="IN484" i="11"/>
  <c r="IO484" i="11"/>
  <c r="IP484" i="11"/>
  <c r="IQ484" i="11"/>
  <c r="IR484" i="11"/>
  <c r="IS484" i="11"/>
  <c r="IT484" i="11"/>
  <c r="IU484" i="11"/>
  <c r="IV484" i="11"/>
  <c r="F485" i="11"/>
  <c r="G485" i="11"/>
  <c r="H485" i="11"/>
  <c r="I485" i="11"/>
  <c r="J485" i="11"/>
  <c r="K485" i="11"/>
  <c r="L485" i="11"/>
  <c r="M485" i="11"/>
  <c r="N485" i="11"/>
  <c r="O485" i="11"/>
  <c r="P485" i="11"/>
  <c r="Q485" i="11"/>
  <c r="R485" i="11"/>
  <c r="S485" i="11"/>
  <c r="T485" i="11"/>
  <c r="U485" i="11"/>
  <c r="V485" i="11"/>
  <c r="W485" i="11"/>
  <c r="X485" i="11"/>
  <c r="Y485" i="11"/>
  <c r="Z485" i="11"/>
  <c r="AA485" i="11"/>
  <c r="AB485" i="11"/>
  <c r="AC485" i="11"/>
  <c r="AD485" i="11"/>
  <c r="AE485" i="11"/>
  <c r="AF485" i="11"/>
  <c r="AG485" i="11"/>
  <c r="AH485" i="11"/>
  <c r="AI485" i="11"/>
  <c r="AJ485" i="11"/>
  <c r="AK485" i="11"/>
  <c r="AL485" i="11"/>
  <c r="AM485" i="11"/>
  <c r="AN485" i="11"/>
  <c r="AO485" i="11"/>
  <c r="AP485" i="11"/>
  <c r="AQ485" i="11"/>
  <c r="AR485" i="11"/>
  <c r="AS485" i="11"/>
  <c r="AT485" i="11"/>
  <c r="AU485" i="11"/>
  <c r="AV485" i="11"/>
  <c r="AW485" i="11"/>
  <c r="AX485" i="11"/>
  <c r="AY485" i="11"/>
  <c r="AZ485" i="11"/>
  <c r="BA485" i="11"/>
  <c r="BB485" i="11"/>
  <c r="BC485" i="11"/>
  <c r="BD485" i="11"/>
  <c r="BE485" i="11"/>
  <c r="BF485" i="11"/>
  <c r="BG485" i="11"/>
  <c r="BH485" i="11"/>
  <c r="BI485" i="11"/>
  <c r="BJ485" i="11"/>
  <c r="BK485" i="11"/>
  <c r="BL485" i="11"/>
  <c r="BM485" i="11"/>
  <c r="BN485" i="11"/>
  <c r="BO485" i="11"/>
  <c r="BP485" i="11"/>
  <c r="BQ485" i="11"/>
  <c r="BR485" i="11"/>
  <c r="BS485" i="11"/>
  <c r="BT485" i="11"/>
  <c r="BU485" i="11"/>
  <c r="BV485" i="11"/>
  <c r="BW485" i="11"/>
  <c r="BX485" i="11"/>
  <c r="BY485" i="11"/>
  <c r="BZ485" i="11"/>
  <c r="CA485" i="11"/>
  <c r="CB485" i="11"/>
  <c r="CC485" i="11"/>
  <c r="CD485" i="11"/>
  <c r="CE485" i="11"/>
  <c r="CF485" i="11"/>
  <c r="CG485" i="11"/>
  <c r="CH485" i="11"/>
  <c r="CI485" i="11"/>
  <c r="CJ485" i="11"/>
  <c r="CK485" i="11"/>
  <c r="CL485" i="11"/>
  <c r="CM485" i="11"/>
  <c r="CN485" i="11"/>
  <c r="CO485" i="11"/>
  <c r="CP485" i="11"/>
  <c r="CQ485" i="11"/>
  <c r="CR485" i="11"/>
  <c r="CS485" i="11"/>
  <c r="CT485" i="11"/>
  <c r="CU485" i="11"/>
  <c r="CV485" i="11"/>
  <c r="CW485" i="11"/>
  <c r="CX485" i="11"/>
  <c r="CY485" i="11"/>
  <c r="CZ485" i="11"/>
  <c r="DA485" i="11"/>
  <c r="DB485" i="11"/>
  <c r="DC485" i="11"/>
  <c r="DD485" i="11"/>
  <c r="DE485" i="11"/>
  <c r="DF485" i="11"/>
  <c r="DG485" i="11"/>
  <c r="DH485" i="11"/>
  <c r="DI485" i="11"/>
  <c r="DJ485" i="11"/>
  <c r="DK485" i="11"/>
  <c r="DL485" i="11"/>
  <c r="DM485" i="11"/>
  <c r="DN485" i="11"/>
  <c r="DO485" i="11"/>
  <c r="DP485" i="11"/>
  <c r="DQ485" i="11"/>
  <c r="DR485" i="11"/>
  <c r="DS485" i="11"/>
  <c r="DT485" i="11"/>
  <c r="DU485" i="11"/>
  <c r="DV485" i="11"/>
  <c r="DW485" i="11"/>
  <c r="DX485" i="11"/>
  <c r="DY485" i="11"/>
  <c r="DZ485" i="11"/>
  <c r="EA485" i="11"/>
  <c r="EB485" i="11"/>
  <c r="EC485" i="11"/>
  <c r="ED485" i="11"/>
  <c r="EE485" i="11"/>
  <c r="EF485" i="11"/>
  <c r="EG485" i="11"/>
  <c r="EH485" i="11"/>
  <c r="EI485" i="11"/>
  <c r="EJ485" i="11"/>
  <c r="EK485" i="11"/>
  <c r="EL485" i="11"/>
  <c r="EM485" i="11"/>
  <c r="EN485" i="11"/>
  <c r="EO485" i="11"/>
  <c r="EP485" i="11"/>
  <c r="EQ485" i="11"/>
  <c r="ER485" i="11"/>
  <c r="ES485" i="11"/>
  <c r="ET485" i="11"/>
  <c r="EU485" i="11"/>
  <c r="EV485" i="11"/>
  <c r="EW485" i="11"/>
  <c r="EX485" i="11"/>
  <c r="EY485" i="11"/>
  <c r="EZ485" i="11"/>
  <c r="FA485" i="11"/>
  <c r="FB485" i="11"/>
  <c r="FC485" i="11"/>
  <c r="FD485" i="11"/>
  <c r="FE485" i="11"/>
  <c r="FF485" i="11"/>
  <c r="FG485" i="11"/>
  <c r="FH485" i="11"/>
  <c r="FI485" i="11"/>
  <c r="FJ485" i="11"/>
  <c r="FK485" i="11"/>
  <c r="FL485" i="11"/>
  <c r="FM485" i="11"/>
  <c r="FN485" i="11"/>
  <c r="FO485" i="11"/>
  <c r="FP485" i="11"/>
  <c r="FQ485" i="11"/>
  <c r="FR485" i="11"/>
  <c r="FS485" i="11"/>
  <c r="FT485" i="11"/>
  <c r="FU485" i="11"/>
  <c r="FV485" i="11"/>
  <c r="FW485" i="11"/>
  <c r="FX485" i="11"/>
  <c r="FY485" i="11"/>
  <c r="FZ485" i="11"/>
  <c r="GA485" i="11"/>
  <c r="GB485" i="11"/>
  <c r="GC485" i="11"/>
  <c r="GD485" i="11"/>
  <c r="GE485" i="11"/>
  <c r="GF485" i="11"/>
  <c r="GG485" i="11"/>
  <c r="GH485" i="11"/>
  <c r="GI485" i="11"/>
  <c r="GJ485" i="11"/>
  <c r="GK485" i="11"/>
  <c r="GL485" i="11"/>
  <c r="GM485" i="11"/>
  <c r="GN485" i="11"/>
  <c r="GO485" i="11"/>
  <c r="GP485" i="11"/>
  <c r="GQ485" i="11"/>
  <c r="GR485" i="11"/>
  <c r="GS485" i="11"/>
  <c r="GT485" i="11"/>
  <c r="GU485" i="11"/>
  <c r="GV485" i="11"/>
  <c r="GW485" i="11"/>
  <c r="GX485" i="11"/>
  <c r="GY485" i="11"/>
  <c r="GZ485" i="11"/>
  <c r="HA485" i="11"/>
  <c r="HB485" i="11"/>
  <c r="HC485" i="11"/>
  <c r="HD485" i="11"/>
  <c r="HE485" i="11"/>
  <c r="HF485" i="11"/>
  <c r="HG485" i="11"/>
  <c r="HH485" i="11"/>
  <c r="HI485" i="11"/>
  <c r="HJ485" i="11"/>
  <c r="HK485" i="11"/>
  <c r="HL485" i="11"/>
  <c r="HM485" i="11"/>
  <c r="HN485" i="11"/>
  <c r="HO485" i="11"/>
  <c r="HP485" i="11"/>
  <c r="HQ485" i="11"/>
  <c r="F1" i="11"/>
  <c r="G1" i="11"/>
  <c r="H1" i="11"/>
  <c r="I1" i="11"/>
  <c r="J1" i="11"/>
  <c r="K1" i="11"/>
  <c r="L1" i="11"/>
  <c r="M1" i="11"/>
  <c r="N1" i="11"/>
  <c r="O1" i="11"/>
  <c r="P1" i="11"/>
  <c r="Q1" i="11"/>
  <c r="R1" i="11"/>
  <c r="S1" i="11"/>
  <c r="T1" i="11"/>
  <c r="U1" i="11"/>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AZ1" i="11"/>
  <c r="BA1" i="11"/>
  <c r="BB1" i="11"/>
  <c r="BC1" i="11"/>
  <c r="BD1" i="11"/>
  <c r="BE1" i="11"/>
  <c r="BF1" i="11"/>
  <c r="BG1" i="11"/>
  <c r="BH1" i="11"/>
  <c r="BI1" i="11"/>
  <c r="BJ1" i="11"/>
  <c r="BK1" i="11"/>
  <c r="BL1" i="11"/>
  <c r="BM1" i="11"/>
  <c r="BN1" i="11"/>
  <c r="BO1" i="11"/>
  <c r="BP1" i="11"/>
  <c r="BQ1" i="11"/>
  <c r="BR1" i="11"/>
  <c r="BS1" i="11"/>
  <c r="BT1" i="11"/>
  <c r="BU1" i="11"/>
  <c r="BV1" i="11"/>
  <c r="BW1" i="11"/>
  <c r="BX1" i="11"/>
  <c r="BY1" i="11"/>
  <c r="BZ1" i="11"/>
  <c r="CA1" i="11"/>
  <c r="CB1" i="11"/>
  <c r="CC1" i="11"/>
  <c r="CD1" i="11"/>
  <c r="CE1" i="11"/>
  <c r="CF1" i="11"/>
  <c r="CG1" i="11"/>
  <c r="CH1" i="11"/>
  <c r="CI1" i="11"/>
  <c r="CJ1" i="11"/>
  <c r="CK1" i="11"/>
  <c r="CL1" i="11"/>
  <c r="CM1" i="11"/>
  <c r="CN1" i="11"/>
  <c r="CO1" i="11"/>
  <c r="CP1" i="11"/>
  <c r="CQ1" i="11"/>
  <c r="CR1" i="11"/>
  <c r="CS1" i="11"/>
  <c r="CT1" i="11"/>
  <c r="CU1" i="11"/>
  <c r="CV1" i="11"/>
  <c r="CW1" i="11"/>
  <c r="CX1" i="11"/>
  <c r="CY1" i="11"/>
  <c r="CZ1" i="11"/>
  <c r="DA1" i="11"/>
  <c r="DB1" i="11"/>
  <c r="DC1" i="11"/>
  <c r="DD1" i="11"/>
  <c r="DE1" i="11"/>
  <c r="DF1" i="11"/>
  <c r="DG1" i="11"/>
  <c r="DH1" i="11"/>
  <c r="DI1" i="11"/>
  <c r="DJ1" i="11"/>
  <c r="DK1" i="11"/>
  <c r="DL1" i="11"/>
  <c r="DM1" i="11"/>
  <c r="DN1" i="11"/>
  <c r="DO1" i="11"/>
  <c r="DP1" i="11"/>
  <c r="DQ1" i="11"/>
  <c r="DR1" i="11"/>
  <c r="DS1" i="11"/>
  <c r="DT1" i="11"/>
  <c r="DU1" i="11"/>
  <c r="DV1" i="11"/>
  <c r="DW1" i="11"/>
  <c r="DX1" i="11"/>
  <c r="DY1" i="11"/>
  <c r="DZ1" i="11"/>
  <c r="EA1" i="11"/>
  <c r="EB1" i="11"/>
  <c r="EC1" i="11"/>
  <c r="ED1" i="11"/>
  <c r="EE1" i="11"/>
  <c r="EF1" i="11"/>
  <c r="EG1" i="11"/>
  <c r="EH1" i="11"/>
  <c r="EI1" i="11"/>
  <c r="EJ1" i="11"/>
  <c r="EK1" i="11"/>
  <c r="EL1" i="11"/>
  <c r="EM1" i="11"/>
  <c r="EN1" i="11"/>
  <c r="EO1" i="11"/>
  <c r="EP1" i="11"/>
  <c r="EQ1" i="11"/>
  <c r="ER1" i="11"/>
  <c r="ES1" i="11"/>
  <c r="ET1" i="11"/>
  <c r="EU1" i="11"/>
  <c r="EV1" i="11"/>
  <c r="EW1" i="11"/>
  <c r="EX1" i="11"/>
  <c r="EY1" i="11"/>
  <c r="EZ1" i="11"/>
  <c r="FA1" i="11"/>
  <c r="FB1" i="11"/>
  <c r="FC1" i="11"/>
  <c r="FD1" i="11"/>
  <c r="FE1" i="11"/>
  <c r="FF1" i="11"/>
  <c r="FG1" i="11"/>
  <c r="FH1" i="11"/>
  <c r="FI1" i="11"/>
  <c r="FJ1" i="11"/>
  <c r="FK1" i="11"/>
  <c r="FL1" i="11"/>
  <c r="FM1" i="11"/>
  <c r="FN1" i="11"/>
  <c r="FO1" i="11"/>
  <c r="FP1" i="11"/>
  <c r="FQ1" i="11"/>
  <c r="FR1" i="11"/>
  <c r="FS1" i="11"/>
  <c r="FT1" i="11"/>
  <c r="FU1" i="11"/>
  <c r="FV1" i="11"/>
  <c r="FW1" i="11"/>
  <c r="FX1" i="11"/>
  <c r="FY1" i="11"/>
  <c r="FZ1" i="11"/>
  <c r="GA1" i="11"/>
  <c r="GB1" i="11"/>
  <c r="GC1" i="11"/>
  <c r="GD1" i="11"/>
  <c r="GE1" i="11"/>
  <c r="GF1" i="11"/>
  <c r="GG1" i="11"/>
  <c r="GH1" i="11"/>
  <c r="GI1" i="11"/>
  <c r="GJ1" i="11"/>
  <c r="GK1" i="11"/>
  <c r="GL1" i="11"/>
  <c r="GM1" i="11"/>
  <c r="GN1" i="11"/>
  <c r="GO1" i="11"/>
  <c r="GP1" i="11"/>
  <c r="GQ1" i="11"/>
  <c r="GR1" i="11"/>
  <c r="GS1" i="11"/>
  <c r="GT1" i="11"/>
  <c r="GU1" i="11"/>
  <c r="GV1" i="11"/>
  <c r="GW1" i="11"/>
  <c r="GX1" i="11"/>
  <c r="GY1" i="11"/>
  <c r="GZ1" i="11"/>
  <c r="HA1" i="11"/>
  <c r="HB1" i="11"/>
  <c r="HC1" i="11"/>
  <c r="HD1" i="11"/>
  <c r="HE1" i="11"/>
  <c r="HF1" i="11"/>
  <c r="HG1" i="11"/>
  <c r="HH1" i="11"/>
  <c r="HI1" i="11"/>
  <c r="HJ1" i="11"/>
  <c r="HK1" i="11"/>
  <c r="HL1" i="11"/>
  <c r="HM1" i="11"/>
  <c r="HN1" i="11"/>
  <c r="HO1" i="11"/>
  <c r="HP1" i="11"/>
  <c r="HQ1" i="11"/>
  <c r="HR1" i="11"/>
  <c r="HS1" i="11"/>
  <c r="HT1" i="11"/>
  <c r="HU1" i="11"/>
  <c r="HV1" i="11"/>
  <c r="HW1" i="11"/>
  <c r="HX1" i="11"/>
  <c r="HY1" i="11"/>
  <c r="HZ1" i="11"/>
  <c r="IA1" i="11"/>
  <c r="IB1" i="11"/>
  <c r="IC1" i="11"/>
  <c r="ID1" i="11"/>
  <c r="IE1" i="11"/>
  <c r="IF1" i="11"/>
  <c r="IG1" i="11"/>
  <c r="IH1" i="11"/>
  <c r="II1" i="11"/>
  <c r="IJ1" i="11"/>
  <c r="IK1" i="11"/>
  <c r="IL1" i="11"/>
  <c r="IM1" i="11"/>
  <c r="IN1" i="11"/>
  <c r="IO1" i="11"/>
  <c r="IP1" i="11"/>
  <c r="IQ1" i="11"/>
  <c r="IR1" i="11"/>
  <c r="IS1" i="11"/>
  <c r="IT1" i="11"/>
  <c r="IU1" i="11"/>
  <c r="IV1" i="11"/>
</calcChain>
</file>

<file path=xl/sharedStrings.xml><?xml version="1.0" encoding="utf-8"?>
<sst xmlns="http://schemas.openxmlformats.org/spreadsheetml/2006/main" count="75514" uniqueCount="3013">
  <si>
    <t>Region</t>
  </si>
  <si>
    <t>Country</t>
  </si>
  <si>
    <t>Organisation Type</t>
  </si>
  <si>
    <t>Organisation</t>
  </si>
  <si>
    <t xml:space="preserve">Compliance Complete (CC) document type </t>
  </si>
  <si>
    <t xml:space="preserve">Thomson Reuters Regulatory Intelligence (TRRI) content type </t>
  </si>
  <si>
    <t>Selective?</t>
  </si>
  <si>
    <t>Details of selectivity/comments</t>
  </si>
  <si>
    <t>Non-English source documents?</t>
  </si>
  <si>
    <t>Language</t>
  </si>
  <si>
    <t>Europe</t>
  </si>
  <si>
    <t>Austria</t>
  </si>
  <si>
    <t>Trade associations</t>
  </si>
  <si>
    <t>Austrian Bankers' Association</t>
  </si>
  <si>
    <t>Annual report</t>
  </si>
  <si>
    <t>Annual / Quarterly Reports</t>
  </si>
  <si>
    <t xml:space="preserve">Y </t>
  </si>
  <si>
    <t>German</t>
  </si>
  <si>
    <t>Press release</t>
  </si>
  <si>
    <t>News and Press Releases</t>
  </si>
  <si>
    <t>Y</t>
  </si>
  <si>
    <t>Excludes documents that merely repeat announcements from other regulatory organisations. Also excludes documents concerning events, prize-winners, conferences, quizzes, surveys, forums, education programs/initiatives, appointments, board meetings, partnerships, employee remuneration, economics, tax, eurozone news, fundraising, statistics, start-ups, KYC and the Banking Union.</t>
  </si>
  <si>
    <t>Austrian Chamber of Commerce</t>
  </si>
  <si>
    <t xml:space="preserve">Exclude forms, questionnaires, documents concerning SME financing, ATM operators and charges, economics, conferences, phishing and the Capital Markets Union. </t>
  </si>
  <si>
    <t>Regulators</t>
  </si>
  <si>
    <t>Austrian Financial Market Authority (AFMA)</t>
  </si>
  <si>
    <t xml:space="preserve">German/English </t>
  </si>
  <si>
    <t>Circular</t>
  </si>
  <si>
    <t>Circulars</t>
  </si>
  <si>
    <t>Code</t>
  </si>
  <si>
    <t>Regulations</t>
  </si>
  <si>
    <t>Consultation paper</t>
  </si>
  <si>
    <t>Consultation Papers</t>
  </si>
  <si>
    <t>Draft legislation</t>
  </si>
  <si>
    <t>Pending Legislation</t>
  </si>
  <si>
    <t>Law</t>
  </si>
  <si>
    <t>Enacted Legislation</t>
  </si>
  <si>
    <t>Minimum standards</t>
  </si>
  <si>
    <t>Guidance</t>
  </si>
  <si>
    <t>Positions</t>
  </si>
  <si>
    <t>Policy Documents</t>
  </si>
  <si>
    <t xml:space="preserve">Excludes organisational changes (e.g. appointments), statistics, entity specific information (e.g mergers, portfolio information), public warnings, financial literacy events for consumers, future events/workshops, competitions and awards, website maintenance. Not included when a substantive document is available. Excludes notices of documents issued by other EU bodies  </t>
  </si>
  <si>
    <t>Sanction</t>
  </si>
  <si>
    <t>International Sanctions</t>
  </si>
  <si>
    <t>Warning</t>
  </si>
  <si>
    <t>Other Notifications</t>
  </si>
  <si>
    <t>N/A</t>
  </si>
  <si>
    <t>No longer tracked</t>
  </si>
  <si>
    <t>Austrian Takeover Commission</t>
  </si>
  <si>
    <t>Monthly bulletin</t>
  </si>
  <si>
    <t>Bulletins</t>
  </si>
  <si>
    <t>Opinion</t>
  </si>
  <si>
    <t>Opinions</t>
  </si>
  <si>
    <t xml:space="preserve">Excludes entity specific information (initiation of a verification procedure, suspension of voting rights, compulsory offers, changes to board members etc) </t>
  </si>
  <si>
    <t>Government departments/ ministries</t>
  </si>
  <si>
    <t>Ministry of Finance (Austria)</t>
  </si>
  <si>
    <t>Exclude FinanzOnline publications and documents that merely repeat announcements from other regulatory organisations. Also exclude documents concerning tax and customs, agriculture, economic policy, budgets, energy, meetings, internal business/IT changes and non-finance specific parliamentary decisions.</t>
  </si>
  <si>
    <t>Central Banks</t>
  </si>
  <si>
    <t>National Bank of Austria</t>
  </si>
  <si>
    <t xml:space="preserve">Financial stability report </t>
  </si>
  <si>
    <t>Financial Stability Reports</t>
  </si>
  <si>
    <t>Regulation</t>
  </si>
  <si>
    <t>SROs, exchanges, ATSs and clearing agencies</t>
  </si>
  <si>
    <t>Wiener Borse</t>
  </si>
  <si>
    <t>Position paper</t>
  </si>
  <si>
    <t>Comments and Position Papers</t>
  </si>
  <si>
    <t>Excludes organisational changes, statistics, entity specific information (capital increase, share increase etc) , listings and de-listings, market data, indices, new bonds</t>
  </si>
  <si>
    <t>Belarus</t>
  </si>
  <si>
    <t>National Bank of the Republic of Belarus</t>
  </si>
  <si>
    <t xml:space="preserve">Russian/Belarusian </t>
  </si>
  <si>
    <t>Excludes auction results, macroeconomic topics, lists, liquidity, providing tender, assets and liabilities, inflation, economy, monetary policy, statistics</t>
  </si>
  <si>
    <t>Belgium</t>
  </si>
  <si>
    <t>Belgian Banking, Finance and Insurance Commission (CBFA)</t>
  </si>
  <si>
    <t>No longer active; replaced by Financial Services and Markets Authority in 2011</t>
  </si>
  <si>
    <t>Announcement</t>
  </si>
  <si>
    <t>Notices</t>
  </si>
  <si>
    <t>Communication</t>
  </si>
  <si>
    <t>Newsletter</t>
  </si>
  <si>
    <t>Newsletters</t>
  </si>
  <si>
    <t>Procedural note</t>
  </si>
  <si>
    <t>Belgian Data Protection Authority (DPA)</t>
  </si>
  <si>
    <t xml:space="preserve">French </t>
  </si>
  <si>
    <t>Decision</t>
  </si>
  <si>
    <t>Decisions</t>
  </si>
  <si>
    <t xml:space="preserve">Includes only documents relating to banks, insurance companies, or securities and investment companies, or general data protection regulation </t>
  </si>
  <si>
    <t>Recommendations</t>
  </si>
  <si>
    <t>Belgian Financial Intelligence Processing Unit (CTIF-CFI)</t>
  </si>
  <si>
    <t>Notice</t>
  </si>
  <si>
    <t>Excludes statistics, warnings not specifically relating to banks, insurance companies, or securities and investment companies</t>
  </si>
  <si>
    <t>Publication</t>
  </si>
  <si>
    <t>Belgian Financial Sector Federation (Febelfin)</t>
  </si>
  <si>
    <t>News release</t>
  </si>
  <si>
    <t xml:space="preserve">Excludes publications on EU activity that has been published under another EU org, public warnings, notices regarding video content, future seminars and events, agendas, organisational changes, competitions and awards, website maintenance, financial literacy events for consumers </t>
  </si>
  <si>
    <t>Excludes publications on EU activity that has been published under another EU org or publications issued by other institutions</t>
  </si>
  <si>
    <t>Belgian Financial Services and Markets Authority (FSMA)</t>
  </si>
  <si>
    <t xml:space="preserve">French/English </t>
  </si>
  <si>
    <t>Enforcement action</t>
  </si>
  <si>
    <t xml:space="preserve">French/Dutch/English </t>
  </si>
  <si>
    <t>FAQs</t>
  </si>
  <si>
    <t xml:space="preserve">Excludes organisational changes,  statistics, entity specific information (suspension and reopening of trading, mandatory bid), warnings, financial literacy events for consumers, future events/workshops, competitions and awards, website maintenance . Not included when a substantive document is available. Excludes notices of documents issued by other EU bodies </t>
  </si>
  <si>
    <t>Regulatory calendar</t>
  </si>
  <si>
    <t>Regulatory Dates</t>
  </si>
  <si>
    <t>Federal Public Service Finance (FPS Finance)</t>
  </si>
  <si>
    <t>French/Dutch</t>
  </si>
  <si>
    <t>Only includes non fiscal laws/regulations. Excludes releases aimed at tax/consumers.</t>
  </si>
  <si>
    <t>MTS Belgium</t>
  </si>
  <si>
    <t>Rulebook update</t>
  </si>
  <si>
    <t>Final Rules</t>
  </si>
  <si>
    <t>National Bank of Belgium (NBB)</t>
  </si>
  <si>
    <t xml:space="preserve">Excludes statistics, buisness confidence indicator, economic indicators, ECB decisions, </t>
  </si>
  <si>
    <t xml:space="preserve">Excludes organisational changes, statistics, financial accounts, indicators, surveys, consumer confidence reports, voting rights, warnings, banknotes, coins, foreign exchange, macroeconomic topics. Not included when a substantive document is available. Excludes notices of documents issued by other EU bodies </t>
  </si>
  <si>
    <t xml:space="preserve">No longer applies to this org </t>
  </si>
  <si>
    <t>Working paper</t>
  </si>
  <si>
    <t>Working Papers</t>
  </si>
  <si>
    <t>Excludes macroeconomic topics e.g. monetary policy, interest rates, inflation, balance sheet, financial situation,  forecasting, sovereign debt, GDP, imports/exports, exchange rate</t>
  </si>
  <si>
    <t>NYSE Euronext Brussels</t>
  </si>
  <si>
    <t>Rulebook</t>
  </si>
  <si>
    <t>Bulgaria</t>
  </si>
  <si>
    <t>Financial Supervision Commission (FSC) (Bulgaria)</t>
  </si>
  <si>
    <t>Bulgarian</t>
  </si>
  <si>
    <t>Consultation</t>
  </si>
  <si>
    <t>Guidelines</t>
  </si>
  <si>
    <t>Guidelines and Forms</t>
  </si>
  <si>
    <t>Includes only financial services related material</t>
  </si>
  <si>
    <t>Order</t>
  </si>
  <si>
    <t>Other Enforcement Documents</t>
  </si>
  <si>
    <t>Ordinance</t>
  </si>
  <si>
    <t>Rule</t>
  </si>
  <si>
    <t>Croatia</t>
  </si>
  <si>
    <t>Croatian Financial Services Supervisory Agency (Hanfa)</t>
  </si>
  <si>
    <t>Act</t>
  </si>
  <si>
    <t>Croatian</t>
  </si>
  <si>
    <t>Includes only Hanfa documents; excludes ESMA and EBA documents</t>
  </si>
  <si>
    <t xml:space="preserve">Cyprus </t>
  </si>
  <si>
    <t>Central Bank of Cyprus</t>
  </si>
  <si>
    <t>Highly filtered. Excludes statistics, banknotes, balance sheet, interest rates, financial accounts, public holidays and duplicative releases</t>
  </si>
  <si>
    <t>Decree</t>
  </si>
  <si>
    <t>No longer published.</t>
  </si>
  <si>
    <t>Directive</t>
  </si>
  <si>
    <t>Instructions</t>
  </si>
  <si>
    <t>Cyprus Securities and Exchange Commission (CySEC)</t>
  </si>
  <si>
    <t xml:space="preserve">Excludes tender, forms, warnings, future seminars, ceremonies, vacancies. Not included when the substantive document is available. Excludes notices of documents issued by other EU bodies. </t>
  </si>
  <si>
    <t xml:space="preserve">Greek/English </t>
  </si>
  <si>
    <t>Cyprus Stock Exchange (CSE)</t>
  </si>
  <si>
    <t>Bulletin</t>
  </si>
  <si>
    <t>All regulation updates announced via circular.</t>
  </si>
  <si>
    <t>Ministry of Finance (Cyprus)</t>
  </si>
  <si>
    <t>Excludes macroeconomics/prudential, stats, nominations/appointments or tax</t>
  </si>
  <si>
    <t>Greek</t>
  </si>
  <si>
    <t>Speech</t>
  </si>
  <si>
    <t>Speeches and Statements</t>
  </si>
  <si>
    <t>Superintendent of Insurance (Cyprus)</t>
  </si>
  <si>
    <t>Czech Republic</t>
  </si>
  <si>
    <t>Czech National Bank</t>
  </si>
  <si>
    <t xml:space="preserve">Czech/English </t>
  </si>
  <si>
    <t>Consultation document</t>
  </si>
  <si>
    <t>Miscellaneous document</t>
  </si>
  <si>
    <t xml:space="preserve">Excludes organisational changes (appointments, members, vacancies, change of post etc), statistics, banknotes, coins, foreign exchange, macroeconomic topics, entity specific notices (e.g. revocation of licence).Excludes notices of documents issued by other EU bodies </t>
  </si>
  <si>
    <t>Official information</t>
  </si>
  <si>
    <t>Excludes banknotes, coins, foreign exchange, statistics, macroeconomic topics e.g. monetary policy, interest rates, inflation, balance sheet, financial situation, sovereign debt, GDP</t>
  </si>
  <si>
    <t>Financial Analytical Office (FAÚ) (Czech Republic)</t>
  </si>
  <si>
    <t>Czech</t>
  </si>
  <si>
    <t>Excludes press releases announcing the publication of a more substantive doc captured under another doc type e.g. Annual Reports</t>
  </si>
  <si>
    <t>Power Exchange Central Europe</t>
  </si>
  <si>
    <t>Denmark</t>
  </si>
  <si>
    <t>Danish Financial Supervisory Authority (Finanstilsynet)</t>
  </si>
  <si>
    <t xml:space="preserve">Danish </t>
  </si>
  <si>
    <t>Executive order</t>
  </si>
  <si>
    <t>Miscellaneous publication</t>
  </si>
  <si>
    <t>Includes discussion papers</t>
  </si>
  <si>
    <t>New rule</t>
  </si>
  <si>
    <t>Finance Denmark</t>
  </si>
  <si>
    <t>Consultation response</t>
  </si>
  <si>
    <t>MTS Denmark</t>
  </si>
  <si>
    <t>Estonia</t>
  </si>
  <si>
    <t>Estonian Financial Supervision Authority (EFSA)</t>
  </si>
  <si>
    <t>Memorandum of understanding</t>
  </si>
  <si>
    <t>Includes only Estonian regulations</t>
  </si>
  <si>
    <t>Nasdaq Tallinn</t>
  </si>
  <si>
    <t>Excludes awards, announcement of new members, organisation changes (e.g. appointments)</t>
  </si>
  <si>
    <t>EU</t>
  </si>
  <si>
    <t>International and regional bodies</t>
  </si>
  <si>
    <t>Agency for the Cooperation of Energy Regulators (ACER)</t>
  </si>
  <si>
    <t>Includes only REMIT, ENTSOG developments, ACER or cross border regulatory iniatives or market monitoring activity. Excludes sector specific documents e.g. gas, electricity, congestion etc</t>
  </si>
  <si>
    <t>Miscellaneous notice</t>
  </si>
  <si>
    <t>Council of Europe</t>
  </si>
  <si>
    <t xml:space="preserve">Includes only documents relating to anti-money laundering and terrorist financing </t>
  </si>
  <si>
    <t>Public statement</t>
  </si>
  <si>
    <t>Report</t>
  </si>
  <si>
    <t>Reports</t>
  </si>
  <si>
    <t>Council of the European Union</t>
  </si>
  <si>
    <t xml:space="preserve">Includes only documents relating to banking, insurance, securities and investments, data protection, anti-money laundering and terrorist financing </t>
  </si>
  <si>
    <t xml:space="preserve">Excludes future meetings, schedules. Only includes documents relating to banking, insurance, securities and investments, data protection, anti-money laundering and terrorist financing </t>
  </si>
  <si>
    <t>Statement</t>
  </si>
  <si>
    <t>Eurofi</t>
  </si>
  <si>
    <t>European Banking Authority (EBA)</t>
  </si>
  <si>
    <t>Accelus analysis</t>
  </si>
  <si>
    <t>Expert Analysis</t>
  </si>
  <si>
    <t>Comment letter</t>
  </si>
  <si>
    <t>Includes Banking Stakeholder Group releases</t>
  </si>
  <si>
    <t>Discussion paper</t>
  </si>
  <si>
    <t>Discussion Papers</t>
  </si>
  <si>
    <t>Feedback document</t>
  </si>
  <si>
    <t>Feedback Statements</t>
  </si>
  <si>
    <t>Paper</t>
  </si>
  <si>
    <t>Not included when a substantive document is available</t>
  </si>
  <si>
    <t>Excludes macroeconomic topics e.g. monetary policy, interest rates, inflation, balance sheet, financial situation, sovereign debt, GDP, asset purchase program, currency, exchange rate</t>
  </si>
  <si>
    <t>Standards and guidelines</t>
  </si>
  <si>
    <t>Submissions and technical advice to the European Commission</t>
  </si>
  <si>
    <t>European Banking Federation (EBF)</t>
  </si>
  <si>
    <t>European Central Bank (ECB)</t>
  </si>
  <si>
    <t>Feedback statement</t>
  </si>
  <si>
    <t>Financial stability review</t>
  </si>
  <si>
    <t>Letter</t>
  </si>
  <si>
    <t>Excludes banking bulletin, banknotes, coins, foreign exchange, statistics, macroeconomic topics, lists. Includes some working papers</t>
  </si>
  <si>
    <t xml:space="preserve">Excludes organisational changes (appointments, vacancies, tributes etc), statistics, banknotes, coins, foreign exchange, macroeconomic topics. Not included when a substantive document is available </t>
  </si>
  <si>
    <t xml:space="preserve">Excludes statistics and macroeconomic topics </t>
  </si>
  <si>
    <t xml:space="preserve">Excludes macroeconomic topics (economic bulletin) </t>
  </si>
  <si>
    <t>European Commission (EC)</t>
  </si>
  <si>
    <t xml:space="preserve">Includes only documents fallling under the banking and finance, and growth and investment sections </t>
  </si>
  <si>
    <t>Consultation and impact study</t>
  </si>
  <si>
    <t xml:space="preserve">Cross-sector issues </t>
  </si>
  <si>
    <t>European financial integration report</t>
  </si>
  <si>
    <t>Fin Focus Newsletter</t>
  </si>
  <si>
    <t>Financial services action plan paper</t>
  </si>
  <si>
    <t>Green paper</t>
  </si>
  <si>
    <t>Proposed directive</t>
  </si>
  <si>
    <t>Proposed regulation</t>
  </si>
  <si>
    <t>Proposed Rules</t>
  </si>
  <si>
    <t xml:space="preserve">Includes only documents relating to banking, insurance, securities and investments, data protection, anti-money laundering and terrorist financing. Excludes statistics </t>
  </si>
  <si>
    <t>White paper</t>
  </si>
  <si>
    <t>European Financial Reporting Advisory Group (EFRAG)</t>
  </si>
  <si>
    <t>Excludes appointments/vacancies/nominations</t>
  </si>
  <si>
    <t>European Financial Services Round Table (EFR)</t>
  </si>
  <si>
    <t>Exlcudes macroeconomic topics.</t>
  </si>
  <si>
    <t>European Fund and Asset Management Association (EFAMA)</t>
  </si>
  <si>
    <t>Excludes statistics</t>
  </si>
  <si>
    <t>European Insurance and Occupational Pensions Authority (EIOPA)</t>
  </si>
  <si>
    <t xml:space="preserve">Not included when a substantive document is available. Excludes joint documents already captured under another ESA. Excludes statistics and macroeconomic topics. </t>
  </si>
  <si>
    <t xml:space="preserve">Excludes organisational changes (re-elections, appointments etc), statistics, website maintenance, video content. Not included when a substantive document is available. Excludes joint documents already captured under another ESA. </t>
  </si>
  <si>
    <t>Excludes statistics and macroeconomic topics (including sovereign bonds)</t>
  </si>
  <si>
    <t xml:space="preserve">Excludes video content </t>
  </si>
  <si>
    <t>European Money Markets Institute (EMMI)</t>
  </si>
  <si>
    <t>No longer used. All relevant output classified to News and Press Releases.</t>
  </si>
  <si>
    <t>Response statement</t>
  </si>
  <si>
    <t>European Parliament</t>
  </si>
  <si>
    <t>Amendment</t>
  </si>
  <si>
    <t xml:space="preserve">Only includes documents produced by the 'Internal Market and Consumer Protection' Committee. </t>
  </si>
  <si>
    <t xml:space="preserve">Only includes documents relating to financial services </t>
  </si>
  <si>
    <t>Only includes documents produced by the 'Internal Market and Consumer Protection' Committee. Includes draft opinions.</t>
  </si>
  <si>
    <t>Only includes documents produced by the 'Internal Market and Consumer Protection' Committee. Includes draft reports. Only includes documents relating to financial services.</t>
  </si>
  <si>
    <t>European Payments Council (EPC)</t>
  </si>
  <si>
    <t>European Securities and Markets Authority (ESMA)</t>
  </si>
  <si>
    <t>Call for evidence</t>
  </si>
  <si>
    <t xml:space="preserve">Excludes calendars, reference documents, tender </t>
  </si>
  <si>
    <t>Excludes organisational changes (vacancies, call for candidates, appointments, dismissals, resignations, tributes), statistics, entity specific information, warnings, financial literacy events for consumers, future events/workshops, competitions and awards, website maintenance. Not included when a substantive document is available. Excludes joint documents already captured under another ESA</t>
  </si>
  <si>
    <t>European Systemic Risk Board (ESRB)</t>
  </si>
  <si>
    <t>Notification</t>
  </si>
  <si>
    <t>Occasional paper</t>
  </si>
  <si>
    <t>Occasional Papers</t>
  </si>
  <si>
    <t>Excludes statistics, warnings, financial literacy events for consumers, future events/workshops, competitions and awards, website maintenance, organisational changes</t>
  </si>
  <si>
    <t xml:space="preserve">Excludes macroeconomic topics </t>
  </si>
  <si>
    <t>Federation of European Securities Exchanges</t>
  </si>
  <si>
    <t>Excludes organisational changes (appointments, vacancies, dismissals, resignations, tributes), statistics, entity specific information (authorisation, cancellation of licences), warnings, financial literacy events for consumers, future events/workshops, competitions and awards, website maintenance. Not included when a substantive document is available</t>
  </si>
  <si>
    <t xml:space="preserve">Insurance Europe </t>
  </si>
  <si>
    <t xml:space="preserve">Excludes environmental issues e.g. climate change </t>
  </si>
  <si>
    <t xml:space="preserve">Excludes organisational changes, statistics, financial literacy events for consumers, future events/workshops, competitions and awards, website maintenance, environmental issues e.g. climate change . Not included when a substantive document is available. Excludes notices of documents issued by other EU bodies </t>
  </si>
  <si>
    <t>Joint Committee of the European Supervisory Authorities</t>
  </si>
  <si>
    <t xml:space="preserve">NYSE Arca </t>
  </si>
  <si>
    <t>Manual</t>
  </si>
  <si>
    <t>Manuals</t>
  </si>
  <si>
    <t>No longer tracked: Closed down by NYSE Euronext</t>
  </si>
  <si>
    <t>Finland</t>
  </si>
  <si>
    <t>Finland Financial Supervisory Authority (FIN-FSA)</t>
  </si>
  <si>
    <t xml:space="preserve">Excludes organisational changes (roles, appointments etc), statistics, financial literacy events for consumers, future events/workshops, competitions and awards, website maintenance. Not included when a substantive document is available. </t>
  </si>
  <si>
    <t xml:space="preserve">Finnish/English </t>
  </si>
  <si>
    <t>Statements and requests for comments</t>
  </si>
  <si>
    <t>Requests for Comment</t>
  </si>
  <si>
    <t>Supervision release</t>
  </si>
  <si>
    <t>MTS Finland</t>
  </si>
  <si>
    <t>France</t>
  </si>
  <si>
    <t>Association Française de la Gestion Financière (AFG)</t>
  </si>
  <si>
    <t>Includes only responses to consultations related to financial services</t>
  </si>
  <si>
    <t xml:space="preserve">Includes only Activity Reports, White Papers, Professional Guides and Codes and recommendations </t>
  </si>
  <si>
    <t>Association française des marchés financiers (AMAFI)</t>
  </si>
  <si>
    <t>Excludes documents published by other European bodies, future events, statistics</t>
  </si>
  <si>
    <t>Aurel BGC OTF</t>
  </si>
  <si>
    <t>Autorité de Contrôle des Assurances et des Mutuelles</t>
  </si>
  <si>
    <t xml:space="preserve">No longer tracked: now part of the ACPR </t>
  </si>
  <si>
    <t>Autorité de contrôle prudentiel et de résolution (ACPR)</t>
  </si>
  <si>
    <t xml:space="preserve">Excludes notices of documents issued by other EU bodies, templates, tables, questionnaires, lists of entities </t>
  </si>
  <si>
    <t>Instruction</t>
  </si>
  <si>
    <t>Excludes organisational changes, lists and other non-regulatory documents relating to individual members</t>
  </si>
  <si>
    <t xml:space="preserve">Excludes public warnings, statistics, website maintenance. Excludes notices of documents issued by other EU bodies. Not included when a substantive document is available. </t>
  </si>
  <si>
    <t>Autorité des Marchés Financiers (AMF)</t>
  </si>
  <si>
    <t>Enforcement committee decision</t>
  </si>
  <si>
    <t xml:space="preserve">Excludes organisational changes (appointments etc), public warnings,  statistics, financial literacy events for consumers, future events/workshops, competitions and awards, website maintenance. Not included when a substantive document is available. Excludes notices of documents issued by other EU bodies </t>
  </si>
  <si>
    <t>Professional guide</t>
  </si>
  <si>
    <t xml:space="preserve">Excludes consumer brochures and guidance </t>
  </si>
  <si>
    <t>Regulation newsletter</t>
  </si>
  <si>
    <t>Risk and trend mapping</t>
  </si>
  <si>
    <t xml:space="preserve">Excludes macroeconomic topics e.g. growth </t>
  </si>
  <si>
    <t>Summary of responses</t>
  </si>
  <si>
    <t>Working group report</t>
  </si>
  <si>
    <t>Banque de France</t>
  </si>
  <si>
    <t>Includes CCLRF notices and opinions. Excludes notices of upcoming publications, organisational changes (delegation of powers and signature, appointments, vacancies etc), statistics, banknotes, coins, foreign exchange, auction, macroeconomic topics, training/workshops/future events, competitions and prizes. Excludes notices of documents issued by other EU bodies (ECB)</t>
  </si>
  <si>
    <t xml:space="preserve">Excludes macroeconomic topics (economic publications) </t>
  </si>
  <si>
    <t>Comité consultatif du secteur financier (CCSF)</t>
  </si>
  <si>
    <t>Commission Bancaire (France)</t>
  </si>
  <si>
    <t>General secretariat paper</t>
  </si>
  <si>
    <t>Guidance for institutions</t>
  </si>
  <si>
    <t>Fédération Bancaire Française (FBF)</t>
  </si>
  <si>
    <t>Exclude documents concerning data protection, corporate governance, consumer rights, invoicing and anything non-regulatory.</t>
  </si>
  <si>
    <t>Excludes documents on appointments, events, statistics, public administration, SME financing, financial certifications, consumer guides, and any other non-BFSI regulatory information.</t>
  </si>
  <si>
    <t>Includes Mémos Banque, except those pertaining to employment, banking tariffs, economics, energy and other non-regulatory info; includes all Déontologie publications; includes other publications except those concerning financing the economy, politics, social integration, statistics, shares, or other non-regulatory info.</t>
  </si>
  <si>
    <t>Excludes management reports and documents about financing the economy, corporate structures etc.</t>
  </si>
  <si>
    <t>LCH SA</t>
  </si>
  <si>
    <t>Certification</t>
  </si>
  <si>
    <t>Certifications</t>
  </si>
  <si>
    <t>Federal Register</t>
  </si>
  <si>
    <t>SRO Rulemaking Notices (Federal Register)</t>
  </si>
  <si>
    <t>Rejection</t>
  </si>
  <si>
    <t>Rule filing &gt; Rule filing amendment</t>
  </si>
  <si>
    <t>Rule filing &gt; Amendment (accelerated approval)</t>
  </si>
  <si>
    <t>Rule filing &gt; Amendment (immediate effectiveness)</t>
  </si>
  <si>
    <t>Rule filing &gt; Extension</t>
  </si>
  <si>
    <t xml:space="preserve">Extension   </t>
  </si>
  <si>
    <t>Rule filing &gt; Initial filing</t>
  </si>
  <si>
    <t xml:space="preserve">Initial Filing </t>
  </si>
  <si>
    <t>Rule filing &gt; Initial filing (accelerated approval)</t>
  </si>
  <si>
    <t>Initial Filing (Accelerated Approval)</t>
  </si>
  <si>
    <t>Rule filing &gt; Initial filing (immediate effectiveness)</t>
  </si>
  <si>
    <t>Initial Filing (Immediate Effectiveness)</t>
  </si>
  <si>
    <t>Rule filing &gt; Withdrawal</t>
  </si>
  <si>
    <t>Withdrawal</t>
  </si>
  <si>
    <t xml:space="preserve">SRO rulemaking notice &gt; Extension of comment period </t>
  </si>
  <si>
    <t>Extension of Comment Period</t>
  </si>
  <si>
    <t>SRO rulemaking notice &gt; Notice of filing</t>
  </si>
  <si>
    <t>Notice of Filing</t>
  </si>
  <si>
    <t>SRO rulemaking notice &gt; Notice of filing and immediate effectiveness</t>
  </si>
  <si>
    <t>Notice of Filing and Immediate Effectiveness</t>
  </si>
  <si>
    <t>SRO rulemaking notice &gt; Notice of filing and order granting accelerated approval</t>
  </si>
  <si>
    <t>Notice of Filing and Order Granting Accelerated Approval</t>
  </si>
  <si>
    <t>SRO rulemaking notice &gt; Order granting accelerated approval</t>
  </si>
  <si>
    <t>Order Granting Accelerated Approval</t>
  </si>
  <si>
    <t>SRO rulemaking notice &gt; Order granting approval</t>
  </si>
  <si>
    <t>Order Granting Approval</t>
  </si>
  <si>
    <t xml:space="preserve">Ministry of Economy and Finance (France) </t>
  </si>
  <si>
    <t>Includes only documents relating to banking, insurance, securities and investments, data protection, anti-money laundering and terrorist financing</t>
  </si>
  <si>
    <t xml:space="preserve">Includes Tracfin reports. Only includes documents relating to banking, insurance, securities and investments, data protection, anti-money laundering and terrorist financing </t>
  </si>
  <si>
    <t>MTS France</t>
  </si>
  <si>
    <t>NYSE Euronext Paris</t>
  </si>
  <si>
    <t>Rule amendments</t>
  </si>
  <si>
    <t>Powernext</t>
  </si>
  <si>
    <t>Tendances carbone</t>
  </si>
  <si>
    <t>TSAF OTC</t>
  </si>
  <si>
    <t>Germany</t>
  </si>
  <si>
    <t>360T MTF</t>
  </si>
  <si>
    <t>Association of German Banks</t>
  </si>
  <si>
    <t>Excludes currency, releases not concerning banking regulation</t>
  </si>
  <si>
    <t>Excludes releases not concerning banking regulation</t>
  </si>
  <si>
    <t>BaFin (German Federal Financial Supervisory Authority)</t>
  </si>
  <si>
    <t>Interpretative decision</t>
  </si>
  <si>
    <t>Interpretations, Waivers and No-Action Letters</t>
  </si>
  <si>
    <t xml:space="preserve">Excludes organisational changes (appointments, members etc), statistics, future events/workshops, competitions and awards, forms, website maintenance. Not included when a substantive document is available. Excludes notices of documents issued by other EU bodies </t>
  </si>
  <si>
    <t>Not included when a substantive document is available. Excludes forms, technical information, consumer information</t>
  </si>
  <si>
    <t>Rulemaking instrument</t>
  </si>
  <si>
    <t>Rule Amendment Notices</t>
  </si>
  <si>
    <t xml:space="preserve">No longer used as a unique doc type. Amendments will be tagged to a more specifc type of document </t>
  </si>
  <si>
    <t>Berlin Stock Exchange (BSE)</t>
  </si>
  <si>
    <t>Excludes statistics, listings and de-listings, new bonds, market data</t>
  </si>
  <si>
    <t>Börse Düsseldorf</t>
  </si>
  <si>
    <t xml:space="preserve">Excludes statistics, listings and de-listings, new bonds market data, future seminars/workshops, competitions and awards, donations </t>
  </si>
  <si>
    <t>Börse München</t>
  </si>
  <si>
    <t>Excludes statistics, entity specific information (publications/reports, changes of details, admission to trading, acquisitions, repurchases etc), listings and de-listings, market data, future events/workshops, competitions and awards, website maintenance</t>
  </si>
  <si>
    <t>Rule change</t>
  </si>
  <si>
    <t>Clearstream Banking Frankfurt (CBF)</t>
  </si>
  <si>
    <t>Handbook</t>
  </si>
  <si>
    <t>Excludes appointments, awards</t>
  </si>
  <si>
    <t>Deutsche Boerse</t>
  </si>
  <si>
    <t>Deutsche Bundesbank</t>
  </si>
  <si>
    <t xml:space="preserve">Excludes statistics changes, code lists and amendments to general T&amp;Cs </t>
  </si>
  <si>
    <t>Excludes macroeconomic topics e.g. monetary policy, interest rates, inflation, balance sheet, GDP, currency, exchange rate</t>
  </si>
  <si>
    <t xml:space="preserve">Excludes statistics, banknotes, coins, foreign exchange, macroeconomic topics, video content. Excludes notices of documents issued by other EU bodies </t>
  </si>
  <si>
    <t xml:space="preserve">Excludes macroeconomic topics e.g. monetary policy, interest rates, inflation, balance sheet, GDP, currency, exchange rate. Excludes organisational changes (e.g. appointments) </t>
  </si>
  <si>
    <t>Eurex</t>
  </si>
  <si>
    <t>Clearing circular</t>
  </si>
  <si>
    <t>Rule amendment notice</t>
  </si>
  <si>
    <t>Trading circular</t>
  </si>
  <si>
    <t>Eurex Repo</t>
  </si>
  <si>
    <t>European Energy Exchange (EEX)</t>
  </si>
  <si>
    <t>Market monitor</t>
  </si>
  <si>
    <t>Federal Ministry of Justice and Consumer Protection (BMJV)</t>
  </si>
  <si>
    <t>Legislation and regulations</t>
  </si>
  <si>
    <t xml:space="preserve">Includes only documents under Finance and Investor Protection </t>
  </si>
  <si>
    <t>Financial Intelligence Unit (Germany)</t>
  </si>
  <si>
    <t>Excludes releases not pertaining to financial services regulation (e.g. appointments)</t>
  </si>
  <si>
    <t xml:space="preserve">German Banking Industry Committee </t>
  </si>
  <si>
    <t xml:space="preserve">Excludes macroeconomic topics (e.g. monetary policy, interest rates, inflation, balance sheet, GDP), future seminars/workshops, statistics, banknotes, coins, foreign exchange, organisational changes. Not included when a substantive document is available. Excludes notices of documents issued by other EU bodies </t>
  </si>
  <si>
    <t>German Investment Funds Association (BVI)</t>
  </si>
  <si>
    <t>Excludes releases not pertaining to financial services (e.g. appointments)</t>
  </si>
  <si>
    <t>Gesamtverband der Deutschen Versicherungswirtschaft (GDV)</t>
  </si>
  <si>
    <t>Includes only documents relating to regulation</t>
  </si>
  <si>
    <t>Ministry of Finance (Germany)</t>
  </si>
  <si>
    <t xml:space="preserve">German </t>
  </si>
  <si>
    <t>Includes only reports relating to financial market stability and macroprudential policy</t>
  </si>
  <si>
    <t>Includes only statements relating to financial market stability and macroprudential policy</t>
  </si>
  <si>
    <t>Stuttgart Stock Exchange</t>
  </si>
  <si>
    <t>Excludes statistics, competitions and awards, website features and maintenance, entity specific information, listings and de-listings, market data, future events/workshops.</t>
  </si>
  <si>
    <t>Tradegate Exchange</t>
  </si>
  <si>
    <t>Verband der Auslandsbanken in Deutschland (VAB)</t>
  </si>
  <si>
    <t>Excludes tax and statistics.</t>
  </si>
  <si>
    <t>Excludes tax and statistics, general economy, appointments</t>
  </si>
  <si>
    <t>Xetra</t>
  </si>
  <si>
    <t>Gibraltar</t>
  </si>
  <si>
    <t>Gibraltar Financial Services Commission</t>
  </si>
  <si>
    <t>Guidance note</t>
  </si>
  <si>
    <t>Policy statement</t>
  </si>
  <si>
    <t>Excludes organisational changes (e.g. appointments, vacancies etc), statistics, future events/workshops, charity work, website maintenance</t>
  </si>
  <si>
    <t>Government of Gibraltar Information Services</t>
  </si>
  <si>
    <t>Includes only documents relating to insurance, funds, private clients (banking) and pensions</t>
  </si>
  <si>
    <t>Greece</t>
  </si>
  <si>
    <t>Athens Stock Exchange (ATHEX) (ASE)</t>
  </si>
  <si>
    <t>Resolution</t>
  </si>
  <si>
    <t>Resolutions</t>
  </si>
  <si>
    <t>Bank of Greece</t>
  </si>
  <si>
    <t xml:space="preserve">Excludes statistics, macroeconomic topics (e.g. monetary policy, interest rates, inflation, balance sheet, GDP),  entity specific information (e.g. lists of candidates), banknotes, coins, foreign exchange. Excludes notices of documents issued by other EU bodies </t>
  </si>
  <si>
    <t xml:space="preserve">Greek </t>
  </si>
  <si>
    <t>Electronic Secondary Securities Market (HDAT)</t>
  </si>
  <si>
    <t>Financial Intelligence Unit (Greece)</t>
  </si>
  <si>
    <t>Very low output.</t>
  </si>
  <si>
    <t>Greek Capital Market Commission</t>
  </si>
  <si>
    <t>Excludes notices of documents issued by other EU bodies. short selling prohibition/extension, public warning, organisational changes (e.g. appointments, vacancies), statistics, future events/workshops, website maintenance. Not included when a substantive document is available</t>
  </si>
  <si>
    <t>Ministry of Finance (Greece)</t>
  </si>
  <si>
    <t>Only includes releases related to BFSI regulation</t>
  </si>
  <si>
    <t>Guernsey &amp; Jersey</t>
  </si>
  <si>
    <t>Courts and Tribunals</t>
  </si>
  <si>
    <t>Channel Islands Financial Ombudsman (CIFO)</t>
  </si>
  <si>
    <t>Media release</t>
  </si>
  <si>
    <t>Excludes releases announcing any of the substantial docs above.</t>
  </si>
  <si>
    <t>Guernsey</t>
  </si>
  <si>
    <t>Guernsey Financial Services Commission (GFSC)</t>
  </si>
  <si>
    <t>Excludes statistics, website maintenance</t>
  </si>
  <si>
    <t>Commission paper</t>
  </si>
  <si>
    <t xml:space="preserve">Excludes reports issued by international organisations </t>
  </si>
  <si>
    <t>Triparty paper</t>
  </si>
  <si>
    <t>Guernsey Investment Fund Association (GIFA)</t>
  </si>
  <si>
    <t>Hungary</t>
  </si>
  <si>
    <t>Hungarian Financial Intelligence Unit (HFIU)</t>
  </si>
  <si>
    <t>Hungarian</t>
  </si>
  <si>
    <t>Hungarian Financial Supervisory Authority</t>
  </si>
  <si>
    <t xml:space="preserve">No longer tracked </t>
  </si>
  <si>
    <t>Dear CEO letter</t>
  </si>
  <si>
    <t>National Bank of Hungary</t>
  </si>
  <si>
    <t xml:space="preserve">Hungarian/English </t>
  </si>
  <si>
    <t>Legal opinion</t>
  </si>
  <si>
    <t xml:space="preserve">Excludes notices of documents issued by other EU bodies, organisational changes (appointments etc), statistics, macroeconomic topics, financial literacy for consumers, entity specific information, public warnings, banknotes, coins, foreign exchange. </t>
  </si>
  <si>
    <t xml:space="preserve">Excludes macroeconomic topics and statistics </t>
  </si>
  <si>
    <t>Iceland</t>
  </si>
  <si>
    <t>Central Bank of Iceland</t>
  </si>
  <si>
    <t xml:space="preserve">Excludes foreign exchange, macroeconomic topics e.g. MPC minutes and economic indicators, banknotes, coins, future seminars/webcasts/workshops, statistics, organisational changes, website maintenance. Excludes notices of documents issued by other international organisations and notices of documents to be issued in future. </t>
  </si>
  <si>
    <t>Icelandic Financial Supervisory Authority (Fjármálaeftirlitið)</t>
  </si>
  <si>
    <t>Ireland</t>
  </si>
  <si>
    <t>Central Bank of Ireland</t>
  </si>
  <si>
    <t>Briefing note</t>
  </si>
  <si>
    <t>Excludes macroeconomic topics  (e.g. monetary policy, interest rates, inflation, balance sheet, GDP)</t>
  </si>
  <si>
    <t>Feedback paper</t>
  </si>
  <si>
    <t>Letter to the industry</t>
  </si>
  <si>
    <t>Includes schedule of dates for statistical reporting requirements.</t>
  </si>
  <si>
    <t>Policy document</t>
  </si>
  <si>
    <t>Excludes statistics, competitions and awards, public warnings, macroeconomic topics, banknotes, coins, foreign exchange, entity specific information (mergers etc), organisational changes (appointments, tributes etc)</t>
  </si>
  <si>
    <t>Public response statement</t>
  </si>
  <si>
    <t>Settlement agreement</t>
  </si>
  <si>
    <t xml:space="preserve">Settlements </t>
  </si>
  <si>
    <t>Warning notice</t>
  </si>
  <si>
    <t>Companies Registration Office (CRO)</t>
  </si>
  <si>
    <t>Gazette</t>
  </si>
  <si>
    <t>Data Protection Commissioner (Ireland)</t>
  </si>
  <si>
    <t>Excludes budget. Only includes documents relating to banks, insurance companies, securities and investments firms</t>
  </si>
  <si>
    <t>Department of Finance (Ireland)</t>
  </si>
  <si>
    <t>Excludes statistics and macroeconomic topics  (e.g. monetary policy, interest rates, inflation, balance sheet, GDP)</t>
  </si>
  <si>
    <t>EquiLend MTF</t>
  </si>
  <si>
    <t>Financial Regulator (Rialtoir Airgeadais)</t>
  </si>
  <si>
    <t xml:space="preserve">Now part of the Central Bank of Ireland </t>
  </si>
  <si>
    <t>Financial Services and Pensions Ombudsman (FSPO)</t>
  </si>
  <si>
    <t>Annual review</t>
  </si>
  <si>
    <t>Irish Stock Exchange</t>
  </si>
  <si>
    <t>Notification of rule changes</t>
  </si>
  <si>
    <t xml:space="preserve">Excludes statistics, listings and de-listings, market data, future events/workshops, competitions and awards, website maintenance. </t>
  </si>
  <si>
    <t>Waiver</t>
  </si>
  <si>
    <t xml:space="preserve">Office of the Revenue Commissioners </t>
  </si>
  <si>
    <t>POSIT MTF</t>
  </si>
  <si>
    <t>Isle of Man</t>
  </si>
  <si>
    <t>Department of Economic Development (Isle of Man)</t>
  </si>
  <si>
    <t xml:space="preserve">Excludes competitions and awards, apprenticeships, organisational changes, non-financial services sectors. Includes applications for dissolution, dissolution lists, companies' registration notices. </t>
  </si>
  <si>
    <t>Department of Home Affairs (Isle of Man)</t>
  </si>
  <si>
    <t>Excludes topics not related to financial services (e.g. justice, emergency planning, fire and rescue, prison and probation)</t>
  </si>
  <si>
    <t>Insurance and Pensions Authority (IoM)</t>
  </si>
  <si>
    <t>No longer tracked: replaced by Isle of Man Financial Services Authority</t>
  </si>
  <si>
    <t>Isle of Man Financial Services Authority</t>
  </si>
  <si>
    <t>Isle of Man Financial Supervision Commission</t>
  </si>
  <si>
    <t>Handbook document</t>
  </si>
  <si>
    <t>Industry comments on consultation</t>
  </si>
  <si>
    <t>Public Warning</t>
  </si>
  <si>
    <t>Regulatory impact paper</t>
  </si>
  <si>
    <t>Statutory document</t>
  </si>
  <si>
    <t>Office of Fair Trading (Isle of Man)</t>
  </si>
  <si>
    <t>Office of the Data Protection Supervisor</t>
  </si>
  <si>
    <t>Regulatory update</t>
  </si>
  <si>
    <t>Treasury Department (Isle of Man)</t>
  </si>
  <si>
    <t xml:space="preserve">Excludes articles relating to income tax, customs, import/export </t>
  </si>
  <si>
    <t>Italy</t>
  </si>
  <si>
    <t>Associazione del Risparmio Gestito (Assogestioni)</t>
  </si>
  <si>
    <t>Response to consultation</t>
  </si>
  <si>
    <t xml:space="preserve">Italian </t>
  </si>
  <si>
    <t>Associazione Bancaria Italiana (ABI)</t>
  </si>
  <si>
    <t>Italian/English</t>
  </si>
  <si>
    <t>Newsletters excluded if entirely duplicative of press release coverage.</t>
  </si>
  <si>
    <t>Monthly reports and region-specific releases excluded.</t>
  </si>
  <si>
    <t>Heavily filtered. Includes only speeches/statements concerned with financial services/banking regulation.</t>
  </si>
  <si>
    <t>Associazione Intermediari Mercati Finanziari (ASSOSIM)</t>
  </si>
  <si>
    <t>Associazione Italiana Private Banking (AIPB)</t>
  </si>
  <si>
    <t>Excludes macroeconomic/prudential topics, appointments, statistics</t>
  </si>
  <si>
    <t>Autorità Garante della Concorrenza e del Mercato (AGCM)</t>
  </si>
  <si>
    <t>Includes only documents relating to banks, insurance companies, securities and investments firms</t>
  </si>
  <si>
    <t>Bank of Italy</t>
  </si>
  <si>
    <t xml:space="preserve">Italian/English </t>
  </si>
  <si>
    <t xml:space="preserve">Excludes statistics, anniversaries, exhibitions, entity specific information, postponement of hearings, warnings, banknotes, coins, foreign exchange, macroeconomic topics, video content, organisational changes (e.g. appointments). Excludes notices of documents issued by other EU bodies </t>
  </si>
  <si>
    <t>Consultation report</t>
  </si>
  <si>
    <t xml:space="preserve">Excludes changes to hearing dates </t>
  </si>
  <si>
    <t>BondVision Europe MTF</t>
  </si>
  <si>
    <t xml:space="preserve">Borsa Italiana </t>
  </si>
  <si>
    <t>Exchange notice</t>
  </si>
  <si>
    <t>SRO / Exchange Notices</t>
  </si>
  <si>
    <t>Guides</t>
  </si>
  <si>
    <t>Excludes statistics, entity specific information (e.g. changes of details, admission to trading), listings and de-listings, market data, future events/workshops, competitions and awards, website maintenance</t>
  </si>
  <si>
    <t>Response to call for evidence</t>
  </si>
  <si>
    <t>Commissione di vigilanza sui fondi pensione (COVIP)</t>
  </si>
  <si>
    <t xml:space="preserve">Excludes statistics, market reports, future events, organisational changes such as appointments </t>
  </si>
  <si>
    <t>Commissione Nazionale per le Societa e la Borsa (CONSOB)</t>
  </si>
  <si>
    <t xml:space="preserve">Excludes entity specific communications </t>
  </si>
  <si>
    <t xml:space="preserve">Excludes organisational changes (appointments, vacancies etc), statistics, market trends, entity specific information (authorisation, cancellation of licences, mergers, portfolio information), warnings, financial literacy events for consumers, future events/workshops, competitions and awards, website maintenance. Not included when a substantive document is available. Excludes notices of documents issued by other EU bodies  </t>
  </si>
  <si>
    <t>Weekly newsletter</t>
  </si>
  <si>
    <t>EuroTLX</t>
  </si>
  <si>
    <t>Garante per la protezione dei dati personali</t>
  </si>
  <si>
    <t xml:space="preserve">Includes only documents relating to banks, insurance companies, securities and investments firms e.g. excludes health </t>
  </si>
  <si>
    <t>Excludes future events and seminars. Only includes documents relating to banks, insurance companies, securities and investments firms</t>
  </si>
  <si>
    <t xml:space="preserve">Includes only documents relating to banks, insurance companies, securities and investments firms e.g. excludes code of ethics relating to journalism </t>
  </si>
  <si>
    <t>Istituto per la Vigilanza sulle Assicurazioni (IVASS)</t>
  </si>
  <si>
    <t xml:space="preserve">Excludes organisational changes (e.g. appointments, etc), statistics, entity specific information, public warnings, financial literacy events for consumers/training, future events/workshops, competitions and awards, website maintenance. Not included when a substantive document is available. Excludes notices of documents issued by other EU bodies  </t>
  </si>
  <si>
    <t>Istituto per la Vigilanza sulle Assicurazioni Private e di Interesse Collettivo (ISVAP)</t>
  </si>
  <si>
    <t>Consultation outcomes</t>
  </si>
  <si>
    <t>Ministry of Economy and Finance (Italy)</t>
  </si>
  <si>
    <t xml:space="preserve">Excludes auction, indexation coefficients, treasury certificates, medium-long term announcement, government debt, yield of government securities, quarterly bulletin, currency, foreign debt </t>
  </si>
  <si>
    <t xml:space="preserve">Includes only payment institutions and TUF </t>
  </si>
  <si>
    <t>MTS Italy</t>
  </si>
  <si>
    <t>Unità di Informazione Finanziaria per l'Italia (UIF)</t>
  </si>
  <si>
    <t>Excludes news on awards and MoUs with orgs that are not of regulatory interest (e.g. Italian region-specific orgs.)</t>
  </si>
  <si>
    <t>Includes only Working Papers related to banking and financial services.</t>
  </si>
  <si>
    <t>Jersey</t>
  </si>
  <si>
    <t>Jersey Finance</t>
  </si>
  <si>
    <t>Excludes appointments, awards, releases with no regulatory significance</t>
  </si>
  <si>
    <t>Jersey Financial Services Commission</t>
  </si>
  <si>
    <t>Business plan</t>
  </si>
  <si>
    <t>Quarterly newsletter</t>
  </si>
  <si>
    <t xml:space="preserve">Excludes statistics, severity survey </t>
  </si>
  <si>
    <t>Includes presentation slides</t>
  </si>
  <si>
    <t>Jersey Funds Association (JFA)</t>
  </si>
  <si>
    <t>Latvia</t>
  </si>
  <si>
    <t>Financial and Capital Market Commission (FCMC) (Latvia)</t>
  </si>
  <si>
    <t>Liechtenstein</t>
  </si>
  <si>
    <t>Financial Market Authority (Finanzmarktaufsicht)</t>
  </si>
  <si>
    <t xml:space="preserve">Excludes entity specific information (authorisation and revocation of licences), public warnings, financial literacy events for consumers, future events/workshops, competitions and awards, website maintenance, statistics, organisational changes. Not included when a substantive document is available. Excludes notices of documents issued by other EU bodies  </t>
  </si>
  <si>
    <t>Lithuania</t>
  </si>
  <si>
    <t>Bank of Lithuania</t>
  </si>
  <si>
    <t>Luxembourg</t>
  </si>
  <si>
    <t>Administration des contributions directes (ACD)</t>
  </si>
  <si>
    <t>Includes only FATCA related documents</t>
  </si>
  <si>
    <t>French</t>
  </si>
  <si>
    <t>Association des Banques et Banquiers, Luxembourg (ABBL)</t>
  </si>
  <si>
    <t xml:space="preserve">Excludes organisational matters such as appointments/dismissals, new offices etc, statistics, lists of institutions, </t>
  </si>
  <si>
    <t>Association Luxembourgeoise des Compliance Officers (ALCO)</t>
  </si>
  <si>
    <t>Excludes appointments/dismissals, future training events/workshops, documents issued by other organisations</t>
  </si>
  <si>
    <t>Association Luxembourgeoise des Fonds d'Investissement</t>
  </si>
  <si>
    <t xml:space="preserve">Excludes documents only available to members </t>
  </si>
  <si>
    <t>Cellule de renseignement financier (CRF) (Luxembourg)</t>
  </si>
  <si>
    <t>Central Bank of Luxembourg</t>
  </si>
  <si>
    <t xml:space="preserve">Excludes surveys, statistics, organisational changes, future seminars/conferences/workshops, competitions and awards, banknotes, coins, foreign exchange, macroeconomic topics. Excludes notices of documents issued by other EU bodies </t>
  </si>
  <si>
    <t>Commissariat aux Assurances (CAA) (Luxembourg)</t>
  </si>
  <si>
    <t>Commission de Surveillance du Secteur Financier (Luxembourg) (CSSF)</t>
  </si>
  <si>
    <t xml:space="preserve">Excludes warning, statistics, global situation </t>
  </si>
  <si>
    <t>Excludes notices of documents issued by other EU bodies, statistics, public warnings, financial literacy events for consumers, future events/workshops, competitions and awards, website maintenance. Not included when a substantive document is available.</t>
  </si>
  <si>
    <t>Specific report</t>
  </si>
  <si>
    <t>Institut luxembourgeois des administrateurs (ILA)</t>
  </si>
  <si>
    <t xml:space="preserve">Includes only documents relating to financial services or corporate governance </t>
  </si>
  <si>
    <t>Luxembourg Stock Exchange</t>
  </si>
  <si>
    <t>Excludes listings and de-listings, market data, market transfers, shares, suspensions, statistics, issuers' notices</t>
  </si>
  <si>
    <t xml:space="preserve">Excludes statistics and documents relating to specific entities </t>
  </si>
  <si>
    <t>Ministry of Finance (Luxembourg)</t>
  </si>
  <si>
    <t xml:space="preserve">Includes only laws relating to financial services </t>
  </si>
  <si>
    <t xml:space="preserve">Excludes budget, statistics, vacancies, appointments. Only includes documents relating to financial services.  </t>
  </si>
  <si>
    <t>Excludes documents issued by other organisations, public finances, budget, forms</t>
  </si>
  <si>
    <t>Malta</t>
  </si>
  <si>
    <t>Central Bank of Malta</t>
  </si>
  <si>
    <t>Quarterly review</t>
  </si>
  <si>
    <t>Financial Intelligence Analysis Unit (FIAU)</t>
  </si>
  <si>
    <t xml:space="preserve">Excludes organisation changes (e.g. recruitment, re-location), future training and events. Not included when a substantive document is available. </t>
  </si>
  <si>
    <t>Inland Revenue Department (IRD) (Malta)</t>
  </si>
  <si>
    <t xml:space="preserve">Excludes deduction claims, technical/operational information, non-financial services sectors e.g. culture, eduction, </t>
  </si>
  <si>
    <t>Malta Bankers' Association (MBA)</t>
  </si>
  <si>
    <t xml:space="preserve">Media release </t>
  </si>
  <si>
    <t>Excludes republishes from other regulators and appointments</t>
  </si>
  <si>
    <t>Malta Financial Services Authority (MFSA)</t>
  </si>
  <si>
    <t>Enforcement notice</t>
  </si>
  <si>
    <t xml:space="preserve">Excludes public notices, entity specific information, organisational changes, campaigns. </t>
  </si>
  <si>
    <t>Policy paper</t>
  </si>
  <si>
    <t>Office for Competition</t>
  </si>
  <si>
    <t>Office for Consumer Affairs</t>
  </si>
  <si>
    <t>Monaco</t>
  </si>
  <si>
    <t>Commission de Controle des Activites Financieres</t>
  </si>
  <si>
    <t>Excludes warnings, calendars</t>
  </si>
  <si>
    <t>Service d'Information et de Controle sur les Circuits Financiers</t>
  </si>
  <si>
    <t>Netherlands</t>
  </si>
  <si>
    <t>De Nederlandsche Bank (DNB)</t>
  </si>
  <si>
    <t xml:space="preserve">Dutch/English </t>
  </si>
  <si>
    <t>Factsheet</t>
  </si>
  <si>
    <t xml:space="preserve">Excludes macroeconomic topics,  banknotes, coins,  foreign exchange, organisational changes, statistics, future seminars and workshops. </t>
  </si>
  <si>
    <t>Occasional study</t>
  </si>
  <si>
    <t>Quarterly bulletin</t>
  </si>
  <si>
    <t xml:space="preserve">Dutch Association of Insurers </t>
  </si>
  <si>
    <t>Dutch</t>
  </si>
  <si>
    <t xml:space="preserve">Excludes consumer brochures, education, topics not related to accident and health/life and annuities/property and casulty insurance </t>
  </si>
  <si>
    <t xml:space="preserve">Excludes statistics, brochures of a general nature regarding topics not related to property &amp; casulty, accident &amp; health, life and annuities, or insurance companies </t>
  </si>
  <si>
    <t>Dutch Banking Association (Nederlandse Vereniging van Banken) (NVB)</t>
  </si>
  <si>
    <t xml:space="preserve">Excludes consumer notices, education, macroeconomic topics e.g. growth </t>
  </si>
  <si>
    <t>Dutch Data Protection Authority</t>
  </si>
  <si>
    <t xml:space="preserve">Dutch </t>
  </si>
  <si>
    <t>EBS MTF</t>
  </si>
  <si>
    <t>Financial Intelligence Unit (The Netherlands)</t>
  </si>
  <si>
    <t>Includes any press releases on the Prevention of Money Laundering and Terrorist Financing Act. Excludes appointments, future events, general economy, statistics, content from other organisations.</t>
  </si>
  <si>
    <t>ICE Endex</t>
  </si>
  <si>
    <t xml:space="preserve">Excludes trade or entity specific informaton and market data </t>
  </si>
  <si>
    <t>iSwap Euro MTF</t>
  </si>
  <si>
    <t>Ministry of Finance (The Netherlands)</t>
  </si>
  <si>
    <t>Excludes tax, public finances</t>
  </si>
  <si>
    <t>Excludes statistics, tax, appointments</t>
  </si>
  <si>
    <t xml:space="preserve">Netherlands Authority for Consumers and Markets </t>
  </si>
  <si>
    <t>Netherlands Authority for Financial Markets (AFM)</t>
  </si>
  <si>
    <t>Enforcement press release</t>
  </si>
  <si>
    <t>Interpretation</t>
  </si>
  <si>
    <t xml:space="preserve">Includes only news from the 'Professionals' section. Excludes suspension or reopening of trading, organisational changes (e.g. appointments), entity specific information, public warnings, future events/workshops, competitions and awards, website maintenance. Not included when a substantive document is available. Excludes notices of documents issued by other EU bodies  </t>
  </si>
  <si>
    <t>Policies and priorities report</t>
  </si>
  <si>
    <t xml:space="preserve">Includes only publications from the 'Professionals' section. Excludes statistics </t>
  </si>
  <si>
    <t>Includes only publications from the 'Professionals' section</t>
  </si>
  <si>
    <t>Topical standpoint</t>
  </si>
  <si>
    <t>Netherlands Disciplinary Board for Financial Services (Insurance)</t>
  </si>
  <si>
    <t>NYSE Euronext Amsterdam</t>
  </si>
  <si>
    <t>Tradeweb EU MTF</t>
  </si>
  <si>
    <t>Norway</t>
  </si>
  <si>
    <t>NASDAQ Commodities</t>
  </si>
  <si>
    <t>Member notice</t>
  </si>
  <si>
    <t>Excludes entity/trade specific information</t>
  </si>
  <si>
    <t>Rule filing</t>
  </si>
  <si>
    <t>SRO Rule Filings and Rulemaking Notices (US)</t>
  </si>
  <si>
    <t>Norway Financial Supervisory Authority (Finanstilsynet)</t>
  </si>
  <si>
    <t xml:space="preserve">Norwegian/English </t>
  </si>
  <si>
    <t>Norwegian Data Protection Authority</t>
  </si>
  <si>
    <t>NOS Clearing</t>
  </si>
  <si>
    <t xml:space="preserve">Includes only Rulebook notices </t>
  </si>
  <si>
    <t>Oslo Bors</t>
  </si>
  <si>
    <t>Poland</t>
  </si>
  <si>
    <t>Central Securities Depository of Poland (KDPW)</t>
  </si>
  <si>
    <t xml:space="preserve">Polish </t>
  </si>
  <si>
    <t>Excludes operational/administrative announcements and issuance stats</t>
  </si>
  <si>
    <t>Inspector General for Personal Data Protection (GIODO)</t>
  </si>
  <si>
    <t>No longer active</t>
  </si>
  <si>
    <t>Ministry of Finance (Poland)</t>
  </si>
  <si>
    <t xml:space="preserve">Excludes notices on gambling, income tax, lottery, macroeconomic issues, social security, environment, awards, commemoration days etc. Only includes documents relating to banking, insurance, securities and investments, data protection, anti-money laundering and terrorist financing </t>
  </si>
  <si>
    <t>National Bank of Poland</t>
  </si>
  <si>
    <t>Excludes macroeconomic topics, banknotes, coins, foreign exchange,  minutes</t>
  </si>
  <si>
    <t>Excludes inflation report</t>
  </si>
  <si>
    <t>Office of Competition and Consumer Protection (UOKiK)</t>
  </si>
  <si>
    <t>Polish Chamber of Insurance (PIU)</t>
  </si>
  <si>
    <t>Polish Financial Supervision Authority</t>
  </si>
  <si>
    <t xml:space="preserve">Excludes statistics (e.g. quarterly bulletin), entity specific information (mergers etc), organisation changes. Not included when a substantive document is available. Excludes notices of documents issued by other EU bodies  </t>
  </si>
  <si>
    <t xml:space="preserve">Polish Power Exchange </t>
  </si>
  <si>
    <t>Excludes entity specific information, organisational changes, statistics, listings and de-listings, market data, website maintenance</t>
  </si>
  <si>
    <t>Treasury BondSpot Poland</t>
  </si>
  <si>
    <t>Warsaw Stock Exchange (GPW)</t>
  </si>
  <si>
    <t xml:space="preserve">Excludes competitions and awards, statistics, education for users, organisational changes, entity related decisions, website maintenance. Excludes notices of documents issued by other EU bodies </t>
  </si>
  <si>
    <t xml:space="preserve">Polish/English </t>
  </si>
  <si>
    <t xml:space="preserve">Publication </t>
  </si>
  <si>
    <t xml:space="preserve">Excludes statistics, trade specific information such as indices </t>
  </si>
  <si>
    <t>Portugal</t>
  </si>
  <si>
    <t xml:space="preserve">Autoridade de Supervisao de Seguros e Fundos de Pensoes </t>
  </si>
  <si>
    <t xml:space="preserve">Portuguese </t>
  </si>
  <si>
    <t xml:space="preserve">Excludes ASF decisions on specific entities, statistics, financial literacy events for consumers, future events/workshops, competitions and awards, website maintenance. Excludes notices of documents issued by other EU bodies  </t>
  </si>
  <si>
    <t>Bank of Portugal</t>
  </si>
  <si>
    <t xml:space="preserve">Portuguese/English </t>
  </si>
  <si>
    <t xml:space="preserve">Legislation and regulations </t>
  </si>
  <si>
    <t>Includes Bulletin and Supplements. Excludes banknotes, coins, foreign exchange, macroeconomic topics, notices of documents issued by other EU bodies, statistics, notices of future events</t>
  </si>
  <si>
    <t xml:space="preserve">Excludes statistics e.g. Bank of Portugal statistics report and macroeconomic topics such as Monetary Policy Report </t>
  </si>
  <si>
    <t>Excludes macroeconomic topics  (e.g. monetary policy)</t>
  </si>
  <si>
    <t>NYSE Euronext Lisbon</t>
  </si>
  <si>
    <t>OMIP</t>
  </si>
  <si>
    <t>Clearing notice</t>
  </si>
  <si>
    <t xml:space="preserve">Excludes trade specific notices e.g. auction </t>
  </si>
  <si>
    <t>Portuguese Data Protection Authority (CNPD)</t>
  </si>
  <si>
    <t>Litigation release</t>
  </si>
  <si>
    <t xml:space="preserve">Includes only documents relating to banks, insurance companies, securities and investments firms. Excludes document issued by other international bodies </t>
  </si>
  <si>
    <t xml:space="preserve">Includes periodic 'Forum' </t>
  </si>
  <si>
    <t>Portuguese Securities Market Commission (CMVM)</t>
  </si>
  <si>
    <t xml:space="preserve">Excludes statistics, public warnings, temporary short sale bans of 24 hours, privileged and other information. Not included when a substantive document is available. Excludes notices of documents issued by other EU bodies  </t>
  </si>
  <si>
    <t>Principal resolutions</t>
  </si>
  <si>
    <t>Understandings</t>
  </si>
  <si>
    <t>Excludes behaviour trends, macroeconomic topics e.g. growth</t>
  </si>
  <si>
    <t>Romania</t>
  </si>
  <si>
    <t>Autoritatea de Supraveghere Financiară (ASF)</t>
  </si>
  <si>
    <t>Includes only ASF documents; excludes ESMA/EBA/EIOPA republishes</t>
  </si>
  <si>
    <t>Romanian</t>
  </si>
  <si>
    <t>Russian Federation</t>
  </si>
  <si>
    <t>Bank National Clearing Centre Closed Joint-Stock Company</t>
  </si>
  <si>
    <t xml:space="preserve">Russian </t>
  </si>
  <si>
    <t>Excludes notices relating to shares of specific companies, election of candidates</t>
  </si>
  <si>
    <t>Excludes rules of a logistical nature, and forms</t>
  </si>
  <si>
    <t>Central Bank of the Russian Federation</t>
  </si>
  <si>
    <t xml:space="preserve">Excludes documents published under following sections: monetary policy, banknotes and coins, analytical materials, statistics, research, territorial structure. </t>
  </si>
  <si>
    <t xml:space="preserve">Excludes documents presented in the bulletin e.g. regarding administration or revocation of licence, macroeconomic topics, statistics, financial education for consumers, website maintenance, monitoring the maximum interest rate, adjustment ratios, notices on specific institutions e.g financial standing, reorganisation, porfolios, updating lists of official websites, </t>
  </si>
  <si>
    <t xml:space="preserve">Russian/English </t>
  </si>
  <si>
    <t>Federal Financial Monitoring Service (Rosfinmonitoring)</t>
  </si>
  <si>
    <t>Includes only documents relating to banking, insurance, securities and investments,</t>
  </si>
  <si>
    <t>Excludes lists. Only includes documents relating to banking, insurance, securities and investments,</t>
  </si>
  <si>
    <t>Ministry of Finance of the Russian Federation</t>
  </si>
  <si>
    <t>Includes only documents relating to banking, insurance, securities and investments</t>
  </si>
  <si>
    <t>Moscow Stock Exchange</t>
  </si>
  <si>
    <t>Russian National Association of Securities Market Participants (NAUFOR)</t>
  </si>
  <si>
    <t xml:space="preserve">Excludes documents issued by other organisations and members only documents </t>
  </si>
  <si>
    <t xml:space="preserve">Excludes seminar programmes/future round tables, documents issued by other organisations </t>
  </si>
  <si>
    <t xml:space="preserve">Standards </t>
  </si>
  <si>
    <t>Slovakia</t>
  </si>
  <si>
    <t>National Bank of Slovakia (NBS)</t>
  </si>
  <si>
    <t xml:space="preserve">Slovak/English </t>
  </si>
  <si>
    <t>Excludes statistics and macroeconomic topics e.g. medium term forecast</t>
  </si>
  <si>
    <t>Slovenia</t>
  </si>
  <si>
    <t>Bank of Slovenia</t>
  </si>
  <si>
    <t xml:space="preserve">Includes only documents relating to banking supervision, resolution and deposit guarantee scheme, application of ESA guidelines, payment services and payment systems, money laundering prevention </t>
  </si>
  <si>
    <t xml:space="preserve">Excludes monetary and fiscal policy, banknotes and coins, macroeconomic topics (e.g. summary of economic developments), currency, bank performance, statistics/surveys. Excludes documents issued by other international bodies. </t>
  </si>
  <si>
    <t>Serbia</t>
  </si>
  <si>
    <t>Republic of Serbia Securities Commission</t>
  </si>
  <si>
    <t>Serbian</t>
  </si>
  <si>
    <t>Excludes license revocations, meetings, roundtables, events, withdrawals from register and information on exams</t>
  </si>
  <si>
    <t>Spain</t>
  </si>
  <si>
    <t>Bank of Spain</t>
  </si>
  <si>
    <t xml:space="preserve">Spanish/English </t>
  </si>
  <si>
    <t>Excludes notices of documents issued by other EU bodies. Excludes banknotes, coins, foreign exchange, macroeconomic topics, organisational changes (e.g. new director), statistics</t>
  </si>
  <si>
    <t>Report on Banking supervision</t>
  </si>
  <si>
    <t>Excludes speeches on economics, statistics and research, cash management and branches</t>
  </si>
  <si>
    <t>Bolsa de Madrid</t>
  </si>
  <si>
    <t xml:space="preserve">Excludes entity specific circulars </t>
  </si>
  <si>
    <t>Spanish</t>
  </si>
  <si>
    <t>Operating Instruction</t>
  </si>
  <si>
    <t xml:space="preserve">Excludes entity specific information (public offers, registration, changes of details, cancellation of licences, mergers, incorporation, listing, reduction of capital) </t>
  </si>
  <si>
    <t>Comision Nacional del Mercado de Valores (CNMV)</t>
  </si>
  <si>
    <t>Agreement</t>
  </si>
  <si>
    <t xml:space="preserve">Excludes organisational changes, public warnings, competitions and awards, statistics, entity specific information (e.g. takeover bids, lists of institutions), website maintenance,  financial literacy events for consumers, future events/workshops. Excludes notices of documents issued by other EU bodies. Not included when a substantive document is available. </t>
  </si>
  <si>
    <t>Disciplinary penalty</t>
  </si>
  <si>
    <t>Includes Technical Guides</t>
  </si>
  <si>
    <t>Legislative update</t>
  </si>
  <si>
    <t>Dirección General de Seguros y Fondos de Pensiones (DGSFP)</t>
  </si>
  <si>
    <t>Ministerial order</t>
  </si>
  <si>
    <t xml:space="preserve">Excludes statistics, balances and accounts, market studies </t>
  </si>
  <si>
    <t>Electronic System for Trading in Financial Assets (SENAF)</t>
  </si>
  <si>
    <t>Mercado Espanol de Futuros Financieros</t>
  </si>
  <si>
    <t xml:space="preserve">Ministry of Economy, Industry and Competitiveness (Spain) </t>
  </si>
  <si>
    <t xml:space="preserve">Includes only documents relating to banking, insurance, securities and investments, anti-money laundering and terrorist financing. Excludes government bonds, public debt, regional finance etc </t>
  </si>
  <si>
    <t>Excludes statistics, documents issued by other EU bodies</t>
  </si>
  <si>
    <t>Sepblac</t>
  </si>
  <si>
    <t xml:space="preserve">Excludes documents issued by other EU bodies </t>
  </si>
  <si>
    <t>Excludes statistics, economic activities</t>
  </si>
  <si>
    <t>Sweden</t>
  </si>
  <si>
    <t>Central Bank of Sweden (Sveriges Riksbank)</t>
  </si>
  <si>
    <t>NASDAQ OMX Nordic</t>
  </si>
  <si>
    <t>Market notice</t>
  </si>
  <si>
    <t>Swedish Bankers Association</t>
  </si>
  <si>
    <t xml:space="preserve">Swedish/English </t>
  </si>
  <si>
    <t xml:space="preserve">Excludes bank statistics, macroeconomic topics. Excludes notices of documents issued by other EU bodies </t>
  </si>
  <si>
    <t>Swedish Financial Supervisory Authority (Finansinspektionen)</t>
  </si>
  <si>
    <t>Swedish</t>
  </si>
  <si>
    <t>Includes FI analysis, and reports. Excludes statistics</t>
  </si>
  <si>
    <t>Includes news. Excludes macroeconomic topics and press invitations</t>
  </si>
  <si>
    <t>Submission response</t>
  </si>
  <si>
    <t>Switzerland</t>
  </si>
  <si>
    <t>Association of Foreign Banks in Switzerland</t>
  </si>
  <si>
    <t xml:space="preserve">Comment letter </t>
  </si>
  <si>
    <t>Includes articles, excluding macroeconomic topics</t>
  </si>
  <si>
    <t>Economiesuisse</t>
  </si>
  <si>
    <t>Includes only position papers relating to financial regulation.</t>
  </si>
  <si>
    <t>French/German</t>
  </si>
  <si>
    <t>Includes only releases relating to financial regulation. Excludes appointment, awards, training, tax and monetary policy announcements. Also excludes releases announcing the publication of document covered elsewhere.</t>
  </si>
  <si>
    <t>Includes only publications relating to financial regulation.</t>
  </si>
  <si>
    <t>Esisuisse</t>
  </si>
  <si>
    <t>Legislative bodies</t>
  </si>
  <si>
    <t>Federal Authorities of the Swiss Confederation</t>
  </si>
  <si>
    <t>Federal Department of Finance (Switzerland)</t>
  </si>
  <si>
    <t>Money Laundering Reporting Office Switzerland (MROS)</t>
  </si>
  <si>
    <t>Excludes any non-financial AML publications (e.g. NPOs)</t>
  </si>
  <si>
    <t>SIX Repo AG</t>
  </si>
  <si>
    <t>SIX Swiss Exchange</t>
  </si>
  <si>
    <t>Excludes listings and de-listings, key figures, new companies/issuers, suspension and resumption of trading, indices, organisational changes, website maintenance</t>
  </si>
  <si>
    <t>Regulation communiques</t>
  </si>
  <si>
    <t>State Secretariat for Economic Affairs (SECO)</t>
  </si>
  <si>
    <t>State Secretariat for International Financial Matters (SIF)</t>
  </si>
  <si>
    <t>Excludes futures events, tax, monetary policy</t>
  </si>
  <si>
    <t>Excludes tax, reference pricing, monetary policy</t>
  </si>
  <si>
    <t>Swiss Bankers' Association</t>
  </si>
  <si>
    <t>Form</t>
  </si>
  <si>
    <t xml:space="preserve">Excludes priced documents, key figures, teaching aids, macroeconomic topics, statistics </t>
  </si>
  <si>
    <t>Swiss Federal Banking Commission</t>
  </si>
  <si>
    <t xml:space="preserve">No longer tracked: now part of FINMA </t>
  </si>
  <si>
    <t>Consultation summary</t>
  </si>
  <si>
    <t>Swiss Finance Council</t>
  </si>
  <si>
    <t>Excludes appointments and duplicative content</t>
  </si>
  <si>
    <t>Swiss Financial Market Supervisory Authority (FINMA)</t>
  </si>
  <si>
    <t xml:space="preserve">Excludes entity specific information (e.g lists of institutions/agents, notifications of bankruptcy proceedings), forms and templates. Not included when a substantive document is available. Excludes notices of documents issued by other EU bodies  </t>
  </si>
  <si>
    <t xml:space="preserve">Swiss Funds &amp; Asset Management Association </t>
  </si>
  <si>
    <t xml:space="preserve">Excludes documents available to Members Only, invitations, AGMs, organisational changes (new members, vacancies, dismissals, resignations, tributes), statistics, entity specific information (authorisation, cancellation of licences), warnings, financial literacy events for consumers, future events/workshops, competitions and awards, website maintenance, forms and templates. Not included when a substantive document is available. Excludes notices of documents issued by other EU bodies or that link to external websites </t>
  </si>
  <si>
    <t xml:space="preserve">Excludes documents available to Members Only </t>
  </si>
  <si>
    <t>Swiss National Bank</t>
  </si>
  <si>
    <t>Excludes balance of payments, money market debt register, monetary policy data, statistics, banknotes, coins, foreign exchange, macroeconomic topics</t>
  </si>
  <si>
    <t>Swiss Structured Products Association (SSPA)</t>
  </si>
  <si>
    <t xml:space="preserve">German /English </t>
  </si>
  <si>
    <t>Swiss Sustainable Finance (SSF)</t>
  </si>
  <si>
    <t>Excludes PRs announcing publication of reports</t>
  </si>
  <si>
    <t>Swiss Takeover Board</t>
  </si>
  <si>
    <t xml:space="preserve">Excludes organisational changes (appointments, vacancies, dismissals, resignations, tributes), statistics, entity specific information (authorisation, cancellation of licences, company specific details about offerings). Not included when a substantive document is available. Excludes notices of documents issued by other EU bodies </t>
  </si>
  <si>
    <t>SWX Europe</t>
  </si>
  <si>
    <t>Compliance newsletter</t>
  </si>
  <si>
    <t xml:space="preserve">No longer exists - all business transferred to SIX Swiss Exchange </t>
  </si>
  <si>
    <t>UBS MTF</t>
  </si>
  <si>
    <t>Zürcher Bankenverband</t>
  </si>
  <si>
    <t xml:space="preserve">Excludes Newsfeed articles as these have been published by other organisations. Excludes future events/forums, changes to organisation/location, website maintenance, macroeconomic topics (e.g. economic forum) </t>
  </si>
  <si>
    <t xml:space="preserve">Excludes statistics, working hours, macroeconomic topics </t>
  </si>
  <si>
    <t>Turkey</t>
  </si>
  <si>
    <t>Banking Regulation and Supervision Agency (Turkey)</t>
  </si>
  <si>
    <t xml:space="preserve">Turkish </t>
  </si>
  <si>
    <t xml:space="preserve">Excludes foreign currency, </t>
  </si>
  <si>
    <t xml:space="preserve">Excludes exchange rate reports </t>
  </si>
  <si>
    <t xml:space="preserve">Speeches and Statements </t>
  </si>
  <si>
    <t>Capital Markets Board of Turkey</t>
  </si>
  <si>
    <t>Excludes entrance exams, Capital Markets Board public notices (e.g.  personnel details), announcements relating to education seminars, human resources, non-exchange compnies</t>
  </si>
  <si>
    <t xml:space="preserve">Excludes training and education, future events </t>
  </si>
  <si>
    <t>Central Bank of Turkey</t>
  </si>
  <si>
    <t>Central Registry Agency (MKK)</t>
  </si>
  <si>
    <t>Includes General Letters. Excludes membership details, merger transactions, future training and events, website maintenance</t>
  </si>
  <si>
    <t>Financial Crimes Investigation Board (MASAK)</t>
  </si>
  <si>
    <t>ISE Settlement and Custody Bank (Takasbank)</t>
  </si>
  <si>
    <t xml:space="preserve">Excludes organisation changes (e.g. new address, buildings), website maintenance, foreign currency/exchange, campaigns, future events </t>
  </si>
  <si>
    <t>Istanbul Stock Exchange</t>
  </si>
  <si>
    <t xml:space="preserve">Excludes notices from the index and data division (unless of a regulatory/guidance nature) </t>
  </si>
  <si>
    <t>Ministry of Finance and Treasury (Turkey)</t>
  </si>
  <si>
    <t>The Banks Association of Turkey (TBB)</t>
  </si>
  <si>
    <t xml:space="preserve">Excludes public opinions, future workshops and events, statistical reports, banking magazine </t>
  </si>
  <si>
    <t>Research papers</t>
  </si>
  <si>
    <t>TurkDEX</t>
  </si>
  <si>
    <t>Merged with Borsa İstanbul Futures &amp; Options Market</t>
  </si>
  <si>
    <t xml:space="preserve">Regulation </t>
  </si>
  <si>
    <t>Turkish Capital Markets Association (TCMA)</t>
  </si>
  <si>
    <t>Excludes corporate actions/trading</t>
  </si>
  <si>
    <t>Excludes stats/economics</t>
  </si>
  <si>
    <t>Financial service regulation developments only. Excludes economics/macroprudential releases.</t>
  </si>
  <si>
    <t>Ukraine</t>
  </si>
  <si>
    <t>Deposit Guarantee Fund (DGF)</t>
  </si>
  <si>
    <t xml:space="preserve">Ukrainian </t>
  </si>
  <si>
    <t>Excludes auctions/sale of assets, selections, entity specific information (e.g. change of name, insolvency, reimbursements), statistics</t>
  </si>
  <si>
    <t>Ministry of Finance of Ukraine</t>
  </si>
  <si>
    <t>Excludes media ads, State Fiscal Service documents, VAT, macroeconomic topics, labour (e.g. payroll), currency, statistics, organisation changes (e.g. appointments), tenders.</t>
  </si>
  <si>
    <t xml:space="preserve">Ukrainian/English </t>
  </si>
  <si>
    <t>National Bank of Ukraine</t>
  </si>
  <si>
    <t xml:space="preserve">Excludes notices on interest rates, liquidity-providing tender, foreign exchage, organisational changes, statistics, entity specific information, banknotes, coins, foreign exchange, macroeconomic topics. Excludes notices of documents issued by other EU bodies </t>
  </si>
  <si>
    <t>National Securities and Stock Market Commission</t>
  </si>
  <si>
    <t xml:space="preserve">Excludes notices of documents issued by other EU bodies. Not included when the substantive document is available. </t>
  </si>
  <si>
    <t xml:space="preserve">Excludes statistics </t>
  </si>
  <si>
    <t>State Financial Monitoring Service of Ukraine</t>
  </si>
  <si>
    <t xml:space="preserve">Includes only documents relating to banking, insurance, securities and investments. Excludes guidelines issued by other bodies </t>
  </si>
  <si>
    <t>State Fiscal Service of Ukraine</t>
  </si>
  <si>
    <t>Includes only documents relating to financial services.</t>
  </si>
  <si>
    <t>United Kingdom</t>
  </si>
  <si>
    <t>Aquis Exchange</t>
  </si>
  <si>
    <t>Updates to rulebook announced via member notice</t>
  </si>
  <si>
    <t>Excludes appointments, statistics, awards</t>
  </si>
  <si>
    <t>Arian Financial Trading Facility OTF (AOTF)</t>
  </si>
  <si>
    <t>Association for Financial Markets in Europe (AFME)</t>
  </si>
  <si>
    <t xml:space="preserve">Excludes statistics/data, macroeconomic topics </t>
  </si>
  <si>
    <t xml:space="preserve">Excludes office location, organisational changes, statistics, future events, and macroeconomic topics </t>
  </si>
  <si>
    <t>Association of British Insurers (ABI)</t>
  </si>
  <si>
    <t>Code of Practice update</t>
  </si>
  <si>
    <t>Excludes budget, technology, climate change</t>
  </si>
  <si>
    <t xml:space="preserve">Excludes climate change, data </t>
  </si>
  <si>
    <t>Excludes climate change</t>
  </si>
  <si>
    <t>Bank of England</t>
  </si>
  <si>
    <t xml:space="preserve">Excludes macroeconomic topics,  banknotes, coins, foreign exchange, organisational changes. Excludes notices of documents issued by other EU bodies. Not included when a substantive document is available. </t>
  </si>
  <si>
    <t>Includes Statistical Notices only.</t>
  </si>
  <si>
    <t>Excludes inflation report, statistical releases, MPC summary and minutes, agents' summary</t>
  </si>
  <si>
    <t xml:space="preserve">Banking Standards Board (BSB) </t>
  </si>
  <si>
    <t>Excludes blogs series, organisational changes (e.g. appointments, new board members), future events, training/internships, video content, macroeconomic topics</t>
  </si>
  <si>
    <t>Banking Standards Review</t>
  </si>
  <si>
    <t>BGC Brokers OTF</t>
  </si>
  <si>
    <t>Bloomberg MTF</t>
  </si>
  <si>
    <t>BondVision UK MTF</t>
  </si>
  <si>
    <t>British Bankers' Association (BBA)</t>
  </si>
  <si>
    <t>Superseded by UK Finance</t>
  </si>
  <si>
    <t>Policy information</t>
  </si>
  <si>
    <t>British Insurance Brokers' Association (BIBA)</t>
  </si>
  <si>
    <t>Excludes statistics, BIBA website, webinar dates, notices on topics not related to property &amp; casulty, accident &amp; health, life and annuities, or insurance companies</t>
  </si>
  <si>
    <t>BrokerTec EU MTF</t>
  </si>
  <si>
    <t>Building Societies Association (BSA)</t>
  </si>
  <si>
    <t>Excludes organisational changes (e.g. appointments), statistics, macroeconomic topics</t>
  </si>
  <si>
    <t>Cboe Europe Equities</t>
  </si>
  <si>
    <t>Includes only Participant Notices concerning updates to the Rule Book and Participant Manual</t>
  </si>
  <si>
    <t>Chartered Institute for Securities &amp; Investment (CISI)</t>
  </si>
  <si>
    <t xml:space="preserve">Excludes training/apprenticeships/education, qualifications, network and events, statistics, competitions and awards, macroeconomic topics, </t>
  </si>
  <si>
    <t>Chartered Insurance Institute (CII)</t>
  </si>
  <si>
    <t xml:space="preserve">Excludes organisational changes (e.g.appointments), market data, statistics, technical news, Backstage with Keith Richards, regional conferences, </t>
  </si>
  <si>
    <t>Chi-x</t>
  </si>
  <si>
    <t>Trading notice</t>
  </si>
  <si>
    <t>CME Clearing Europe</t>
  </si>
  <si>
    <t xml:space="preserve">Excludes listings and de-listings, market data, trade/entity specific notices </t>
  </si>
  <si>
    <t>Competition and Markets Authority (CMA)</t>
  </si>
  <si>
    <t>Notices, actions and decisions</t>
  </si>
  <si>
    <t>Includes only documents relating to banks, insurance companies, securities and investments firms. In particular relating to Payday Lending, Personal Current Acounts Market Review, Private Motor Insurance Investigation</t>
  </si>
  <si>
    <t>Plan and budget</t>
  </si>
  <si>
    <t xml:space="preserve">Competition Commission </t>
  </si>
  <si>
    <t xml:space="preserve">No longer tracked: closed </t>
  </si>
  <si>
    <t>Inquiry report</t>
  </si>
  <si>
    <t>Council of Mortgage Lenders (CML)</t>
  </si>
  <si>
    <t>Creditex Brokerage MTF</t>
  </si>
  <si>
    <t>Currenex MTF</t>
  </si>
  <si>
    <t>CurveGlobal Markets</t>
  </si>
  <si>
    <t>Department for Business, Energy and Industrial Strategy (formerly the Department for Business, Innovation &amp; Skills)</t>
  </si>
  <si>
    <t>Response to submissions</t>
  </si>
  <si>
    <t>Department for Work and Pensions (DWP)</t>
  </si>
  <si>
    <t>Regulatory impact assessment</t>
  </si>
  <si>
    <t>Dowgate MTF</t>
  </si>
  <si>
    <t>EDX</t>
  </si>
  <si>
    <t>EquiLend Europe MTF</t>
  </si>
  <si>
    <t>FCA Practitioner Panel</t>
  </si>
  <si>
    <t>FICC Markets Standards Board (FMSB)</t>
  </si>
  <si>
    <t>Excludes organisational changes, statistics, entity specific information, warnings, financial literacy events for consumers, future events/workshops, competitions and awards, website maintenance</t>
  </si>
  <si>
    <t>Financial Conduct Authority (FCA)</t>
  </si>
  <si>
    <t>Board minutes</t>
  </si>
  <si>
    <t>Dear Compliance Officer letter</t>
  </si>
  <si>
    <t>Decision notice</t>
  </si>
  <si>
    <t>Finalised guidance</t>
  </si>
  <si>
    <t>First Supervisory Notice</t>
  </si>
  <si>
    <t>Guidance consultation</t>
  </si>
  <si>
    <t>Guidance Consultations</t>
  </si>
  <si>
    <t>Handbook notice</t>
  </si>
  <si>
    <t>Legal instrument</t>
  </si>
  <si>
    <t>Legal Instruments</t>
  </si>
  <si>
    <t>Market watch</t>
  </si>
  <si>
    <t xml:space="preserve">Policy development update </t>
  </si>
  <si>
    <t>Includes only impact assessments related to MiFID II</t>
  </si>
  <si>
    <t>Retail Conduct Risk Outlook</t>
  </si>
  <si>
    <t>Sector newsletter</t>
  </si>
  <si>
    <t>Supervisory notice</t>
  </si>
  <si>
    <t>Waivers and modifications</t>
  </si>
  <si>
    <t xml:space="preserve">Warning notice statement </t>
  </si>
  <si>
    <t>Financial Ombudsman Service (UK) (FOS)</t>
  </si>
  <si>
    <t>Corporate plan and budget</t>
  </si>
  <si>
    <t>Ombudsman newsletter</t>
  </si>
  <si>
    <t>Excludes complaints data, consumer guidance</t>
  </si>
  <si>
    <t>Financial Reporting Council (UK) (FRC)</t>
  </si>
  <si>
    <t>Exposure draft</t>
  </si>
  <si>
    <t>Financial Services Authority (UK)</t>
  </si>
  <si>
    <t>Financial risk outlook</t>
  </si>
  <si>
    <t>International regulatory outlook</t>
  </si>
  <si>
    <t>Prudential Risk Outlook</t>
  </si>
  <si>
    <t xml:space="preserve">Thematic work plan </t>
  </si>
  <si>
    <t>UKLA newsletter</t>
  </si>
  <si>
    <t>Financial Services Compensation Scheme (FSCS)</t>
  </si>
  <si>
    <t>Excludes consumer warnings, statistics, entity specific information, warnings,competitions and awards</t>
  </si>
  <si>
    <t>No longer published</t>
  </si>
  <si>
    <t>Financial Services Consumer Panel (FSCP)</t>
  </si>
  <si>
    <t>FX Connect MTF</t>
  </si>
  <si>
    <t>GFI Brokers</t>
  </si>
  <si>
    <t>GFI Securities</t>
  </si>
  <si>
    <t>HM Revenue and Customs (HMRC)</t>
  </si>
  <si>
    <t>Excludes taxes such as VAT, landfill tax, indirect taxes, income tax, childcare. Only includes documents relating to banking, insurance, securities and investments</t>
  </si>
  <si>
    <t xml:space="preserve">Includes only business tax and pension scheme administration </t>
  </si>
  <si>
    <t xml:space="preserve">Includes only pension schemes/liberation newsletter </t>
  </si>
  <si>
    <t>HM Treasury</t>
  </si>
  <si>
    <t>Includes only documents relating to banking, securities and investments</t>
  </si>
  <si>
    <t>Discussion document</t>
  </si>
  <si>
    <t>Excludes releases on sanctions already covered by OFSI</t>
  </si>
  <si>
    <t>Summary of responses and next steps</t>
  </si>
  <si>
    <t>ICAP Energy OTF</t>
  </si>
  <si>
    <t>ICAP Securities OTF</t>
  </si>
  <si>
    <t>ICE Benchmark Administration Limited</t>
  </si>
  <si>
    <t>Code of Conduct</t>
  </si>
  <si>
    <t>ICE Clear Europe</t>
  </si>
  <si>
    <t xml:space="preserve">Excludes appointment of members, succession events, listing, de-listing </t>
  </si>
  <si>
    <t>Procedure</t>
  </si>
  <si>
    <t>ICE Futures Europe</t>
  </si>
  <si>
    <t>ICE Libor</t>
  </si>
  <si>
    <t>Independent Commission on Banking</t>
  </si>
  <si>
    <t>No longer active. Created in wake of financial crisis and produced its final report in 2011.</t>
  </si>
  <si>
    <t>Final report</t>
  </si>
  <si>
    <t>Interim report</t>
  </si>
  <si>
    <t>Information Commissioner's Office (ICO)</t>
  </si>
  <si>
    <t>Audit report</t>
  </si>
  <si>
    <t>Integral MTF</t>
  </si>
  <si>
    <t>International Capital Market Association (ICMA)</t>
  </si>
  <si>
    <t>Excludes organisational changes (e.g. new members, committee elections), macroeconomic topics, statistics</t>
  </si>
  <si>
    <t xml:space="preserve">Excludes documents for subscribers only </t>
  </si>
  <si>
    <t>Investment Association</t>
  </si>
  <si>
    <t xml:space="preserve">Excludes organisational changes (e.g. appointments), statistics, diversity, macroeconomic topics </t>
  </si>
  <si>
    <t>Joint Money Laundering Steering Group (JMLSG)</t>
  </si>
  <si>
    <t>Kyte Broking OTF</t>
  </si>
  <si>
    <t>LCH Ltd</t>
  </si>
  <si>
    <t>Lending Standards Board (LSB)</t>
  </si>
  <si>
    <t>Review</t>
  </si>
  <si>
    <t>Standards</t>
  </si>
  <si>
    <t xml:space="preserve">Lloyd's </t>
  </si>
  <si>
    <t xml:space="preserve">Franchise Standards </t>
  </si>
  <si>
    <t>ICA Guidance</t>
  </si>
  <si>
    <t>Market bulletin</t>
  </si>
  <si>
    <t>Solvency II guidance</t>
  </si>
  <si>
    <t>LMAX Exchange</t>
  </si>
  <si>
    <t>London Metal Exchange (LME)</t>
  </si>
  <si>
    <t>Effective date of new rules</t>
  </si>
  <si>
    <t>Fines for dealing offences</t>
  </si>
  <si>
    <t xml:space="preserve">Excludes organisational changes (e.g. retirement, new members), market data, awards, future events/workshops, competitions and awards, technology </t>
  </si>
  <si>
    <t>Transitional period</t>
  </si>
  <si>
    <t>London Stock Exchange (LSE)</t>
  </si>
  <si>
    <t>Compliance update</t>
  </si>
  <si>
    <t>Stock exchange disciplinary notice</t>
  </si>
  <si>
    <t>Stock exchange notice</t>
  </si>
  <si>
    <t>Louis Capital Markets OTF</t>
  </si>
  <si>
    <t>Mariana UFP OTF</t>
  </si>
  <si>
    <t>MarketAxess Europe MTF</t>
  </si>
  <si>
    <t>Ministry of Justice (UK) (MoJ)</t>
  </si>
  <si>
    <t>Response paper</t>
  </si>
  <si>
    <t>Money and Pensions Service (MaPS)</t>
  </si>
  <si>
    <t>MTS Cash Domestic</t>
  </si>
  <si>
    <t>National Crime Agency (NCA)</t>
  </si>
  <si>
    <t xml:space="preserve">Includes only guidance notes relating to suspicious activity reports </t>
  </si>
  <si>
    <t>Includes BFSI enforcements only</t>
  </si>
  <si>
    <t>NEX Group</t>
  </si>
  <si>
    <t xml:space="preserve">Excludes trade specific notices, market data </t>
  </si>
  <si>
    <t>NEX SEF</t>
  </si>
  <si>
    <t>Market Regulation Advisory Notice</t>
  </si>
  <si>
    <t>Product certification</t>
  </si>
  <si>
    <t>NYSE Euronext</t>
  </si>
  <si>
    <t>Euronext LIFFE Notice</t>
  </si>
  <si>
    <t>Excludes entity specific notices e.g. listings, website maintenance and changes, trade specific notices e.g. indices, liquidity provider programme, market data</t>
  </si>
  <si>
    <t>Office of Fair Trading (UK)</t>
  </si>
  <si>
    <t>Guidance on legislation</t>
  </si>
  <si>
    <t>OFT response to consultation</t>
  </si>
  <si>
    <t>Office of Financial Sanctions Implementation (OFSI)</t>
  </si>
  <si>
    <t>Payment Systems Regulator (PSR)</t>
  </si>
  <si>
    <t xml:space="preserve">Legal instruments </t>
  </si>
  <si>
    <t xml:space="preserve">Excludes recruitment, statistics </t>
  </si>
  <si>
    <t>Payments UK</t>
  </si>
  <si>
    <t>Pay.UK</t>
  </si>
  <si>
    <t xml:space="preserve">Excludes statistics and appointments </t>
  </si>
  <si>
    <t>Pensions and Lifetime Savings Association</t>
  </si>
  <si>
    <t xml:space="preserve">Excludes organisational changes (appointments, vacancies, dismissals, resignations, tributes), statistics, entity specific information, warnings, financial literacy events for consumers, future events/workshops, competitions and awards, website maintenance, videos. Not included when a substantive document is available. Excludes notices of documents issued by other EU bodies  </t>
  </si>
  <si>
    <t>Personal Investment Management &amp; Financial Advice Association (PIMFA)</t>
  </si>
  <si>
    <t>Excludes organisational changes (e.g. board members)</t>
  </si>
  <si>
    <t>Prudential Regulation Authority (PRA)</t>
  </si>
  <si>
    <t xml:space="preserve">Excludes employer notices, organisational changes (e.g. appointments, new members), statistics. Not included when a substantive document is available. Excludes notices of documents issued by other EU bodies  </t>
  </si>
  <si>
    <t>Supervisory Statement</t>
  </si>
  <si>
    <t>PVM Oil Futures OTF</t>
  </si>
  <si>
    <t>Refinitiv MTF</t>
  </si>
  <si>
    <t>Square OTF</t>
  </si>
  <si>
    <t xml:space="preserve">SmartPool </t>
  </si>
  <si>
    <t>Standards Board for Alternative Investments (SBAI)</t>
  </si>
  <si>
    <t>Sunrise Brokers OTF</t>
  </si>
  <si>
    <t>The Law Commission</t>
  </si>
  <si>
    <t>Advice Paper</t>
  </si>
  <si>
    <t>Includes only documents relating to banking, insurance, securities and investment</t>
  </si>
  <si>
    <t>The Pensions Regulator</t>
  </si>
  <si>
    <t>Code of Practice</t>
  </si>
  <si>
    <t>Corporate plan</t>
  </si>
  <si>
    <t>Enforcement bulletin</t>
  </si>
  <si>
    <t xml:space="preserve">Includes only documents relating to strategy and policy </t>
  </si>
  <si>
    <t>The regulator's response</t>
  </si>
  <si>
    <t>The Takeover Panel</t>
  </si>
  <si>
    <t>Practice statement</t>
  </si>
  <si>
    <t xml:space="preserve">Excludes organisational changes (e.g. appointment of new member/chairman) </t>
  </si>
  <si>
    <t>The UK Cards Association</t>
  </si>
  <si>
    <t>TP ICAP UK MTF</t>
  </si>
  <si>
    <t>Tradeweb Europe MTF</t>
  </si>
  <si>
    <t>Tradition-NEX OTF</t>
  </si>
  <si>
    <t>Tradition (UK) OTF</t>
  </si>
  <si>
    <t>Trad-X MTF</t>
  </si>
  <si>
    <t>Tullett Prebon (Europe) OTF</t>
  </si>
  <si>
    <t>Tullett Prebon (Securities)</t>
  </si>
  <si>
    <t>Turquoise</t>
  </si>
  <si>
    <t xml:space="preserve">Excludes instrument changes </t>
  </si>
  <si>
    <t>UK Finance</t>
  </si>
  <si>
    <t>Excludes future events</t>
  </si>
  <si>
    <t>UK Serious Fraud Office (SFO)</t>
  </si>
  <si>
    <t>Upper Tribunal (Tax and Chancery Chamber)</t>
  </si>
  <si>
    <t xml:space="preserve">Includes only documents under the 'Financial Services' heading </t>
  </si>
  <si>
    <t>Middle East</t>
  </si>
  <si>
    <t>Bahrain</t>
  </si>
  <si>
    <t>Central Bank of Bahrain</t>
  </si>
  <si>
    <t xml:space="preserve">Ad-hoc communication </t>
  </si>
  <si>
    <t>Only captured once if published under multiple volumes</t>
  </si>
  <si>
    <t xml:space="preserve">Arabic/English </t>
  </si>
  <si>
    <t>Agency circular</t>
  </si>
  <si>
    <t>Cover letter</t>
  </si>
  <si>
    <t>Finalized consultation</t>
  </si>
  <si>
    <t>Industry feedback</t>
  </si>
  <si>
    <t>Industry newsletter</t>
  </si>
  <si>
    <t>Quarterly update</t>
  </si>
  <si>
    <t>Iraq</t>
  </si>
  <si>
    <t>Iraq Securities Commission (ISC)</t>
  </si>
  <si>
    <t>Arabic</t>
  </si>
  <si>
    <t>Iran</t>
  </si>
  <si>
    <t>Securities and Exchange Organization (SEO) (Iran)</t>
  </si>
  <si>
    <t>Exclude documents concerning tax, trading hours, issuing of stocks, listings and delistings, structural business changes, events, competitions and invitations</t>
  </si>
  <si>
    <t>Israel</t>
  </si>
  <si>
    <t>Bank of Israel</t>
  </si>
  <si>
    <t xml:space="preserve">Excludes notices on the monetary committee, monetary policy, staff foreast, foreign exchange reserves, exchange rate, banknotes, coins, acquisitions, interest rate, state of the economy index, statistics (including investments), inflation, awards, </t>
  </si>
  <si>
    <t>Excludes macroeconomic topics e.g. monetary policy, forecasts, and events not related to financial services e.g. manufacturers</t>
  </si>
  <si>
    <t>Capital Markets, Insurance and Savings Authority (Israel)</t>
  </si>
  <si>
    <t xml:space="preserve">Hebrew </t>
  </si>
  <si>
    <t>Includes regulatory updates only</t>
  </si>
  <si>
    <t>Israel Money Laundering and Terror Financing Prohibition Authority</t>
  </si>
  <si>
    <t>Israel Securities Authority</t>
  </si>
  <si>
    <t>Tel Aviv Stock Exchange</t>
  </si>
  <si>
    <t>Jordan</t>
  </si>
  <si>
    <t>Amman Stock Exchange</t>
  </si>
  <si>
    <t xml:space="preserve">Includes Exchange News. Excludes awards, statistics/performance, index </t>
  </si>
  <si>
    <t>Central Bank of Jordan</t>
  </si>
  <si>
    <t xml:space="preserve">Excludes economic and social issues, notices for consumers </t>
  </si>
  <si>
    <t xml:space="preserve">Arabic </t>
  </si>
  <si>
    <t>Financial stability report</t>
  </si>
  <si>
    <t xml:space="preserve">Excludes monthly report and statistics </t>
  </si>
  <si>
    <t>Jordan Securities Commission</t>
  </si>
  <si>
    <t xml:space="preserve">Excludes commemoration days, statistics, recording of securities, social issues </t>
  </si>
  <si>
    <t>Kuwait</t>
  </si>
  <si>
    <t>Central Bank of Kuwait (CBK)</t>
  </si>
  <si>
    <t>Economic report</t>
  </si>
  <si>
    <t xml:space="preserve">Excludes banknotes and coins, scholarship/training programs, discount rate, economic report, balance of payments, certification </t>
  </si>
  <si>
    <t>Lebanon</t>
  </si>
  <si>
    <t xml:space="preserve">Banking Control Commission of Lebanon </t>
  </si>
  <si>
    <t>Excludes sovereign bonds, foreign currency/exchange, organisational changes e.g. appointment of chairman/members, acquisitions</t>
  </si>
  <si>
    <t>Memorandum</t>
  </si>
  <si>
    <t>Excludes the sale of sovereign financial instruments, forms, foreign currency/exchange, organisational changes e.g. appointment of chairman/members</t>
  </si>
  <si>
    <t>Bank of Lebanon</t>
  </si>
  <si>
    <t>Excludes future events/workshops/conferences (e.g. Night of Museums, Accelerate), awards, monetary policy</t>
  </si>
  <si>
    <t>Beirut Stock Exchange</t>
  </si>
  <si>
    <t xml:space="preserve">Excludes de-listings, listings, deletions, capital decrease, ex-dividend date, dividend distribution, cease trading </t>
  </si>
  <si>
    <t>Capital Markets Authority (CMA) (Lebanon)</t>
  </si>
  <si>
    <t>Excludes future events, monetary policy, macroeconomics</t>
  </si>
  <si>
    <t>Oman</t>
  </si>
  <si>
    <t>Capital Market Authority (Oman) (CMA)</t>
  </si>
  <si>
    <t xml:space="preserve">Excludes future workshops/training programs, invitations to general meetings, staff bonuses, </t>
  </si>
  <si>
    <t xml:space="preserve">Excludes entity specific notices (e.g licensing, capitalization) </t>
  </si>
  <si>
    <t>Central Bank of Oman</t>
  </si>
  <si>
    <t>Concept paper</t>
  </si>
  <si>
    <t>Muscat Securities Market</t>
  </si>
  <si>
    <t>Qatar</t>
  </si>
  <si>
    <t>Qatar Central Bank</t>
  </si>
  <si>
    <t xml:space="preserve">Excludes notices about wages and staff </t>
  </si>
  <si>
    <t xml:space="preserve">Excludes cheques, forms, accounts, surveys, statistics </t>
  </si>
  <si>
    <t>Qatar Exchange</t>
  </si>
  <si>
    <t>Market news</t>
  </si>
  <si>
    <t>Qatar Financial Centre Authority (QFCA)</t>
  </si>
  <si>
    <t>Amending regulation</t>
  </si>
  <si>
    <t>Qatar Financial Centre Regulatory Authority (QFCRA)</t>
  </si>
  <si>
    <t>Accelus Analysis</t>
  </si>
  <si>
    <t>Compliance notice</t>
  </si>
  <si>
    <t>Practice note</t>
  </si>
  <si>
    <t>Qatar Financial Information Unit (QFIU)</t>
  </si>
  <si>
    <t>Excludes appointment, awards, training, tax and monetary policy announcements. Also excludes releases announcing the publication of document covered elsewhere in Content Set.</t>
  </si>
  <si>
    <t>Includes press articles concerning QFIU.</t>
  </si>
  <si>
    <t>Qatar Financial Markets Authority (QFMA)</t>
  </si>
  <si>
    <t>Rules, instruments and policies</t>
  </si>
  <si>
    <t>Saudi Arabia</t>
  </si>
  <si>
    <t>Capital Market Authority (Saudi Arabia) (CMA)</t>
  </si>
  <si>
    <t xml:space="preserve">Excludes reorganisation </t>
  </si>
  <si>
    <t xml:space="preserve">Ministry of Commerce and Investment (Saudi Arabia) </t>
  </si>
  <si>
    <t xml:space="preserve">Excludes sectors not related to financial services </t>
  </si>
  <si>
    <t>Saudi Arabian General Investment Authority (SAGIA)</t>
  </si>
  <si>
    <t>Saudi Arabian Monetary Authority (SAMA)</t>
  </si>
  <si>
    <t>Guidelines and procedures</t>
  </si>
  <si>
    <t xml:space="preserve">Excludes future workshops and seminars, awards, salary and staff issues, reverse repo, organisational changes (e.g. name change), suspicious websites and hacking, banknotes and coins, receiving/visits to non-financial institutions, market reports, budget </t>
  </si>
  <si>
    <t>No longer tracked.</t>
  </si>
  <si>
    <t xml:space="preserve">Excludes inflation report, statistics </t>
  </si>
  <si>
    <t xml:space="preserve">Excludes budget, national currency </t>
  </si>
  <si>
    <t xml:space="preserve">Saudi Stock Exchange (Tadawul)  </t>
  </si>
  <si>
    <t>The Saudi Credit Bureau (SIMAH)</t>
  </si>
  <si>
    <t xml:space="preserve">United Arab Emirates </t>
  </si>
  <si>
    <t>Abu Dhabi Department of Economic Development (ADDED)</t>
  </si>
  <si>
    <t xml:space="preserve">Heavily filtered. Excludes circulars related to customer charter, electronics, the issuance of facility cards </t>
  </si>
  <si>
    <t>Includes only laws relating to financial services and AML. Excludes laws concerning municipal affairs, employment classifications, consumer protection, trade practices and land allocation</t>
  </si>
  <si>
    <t>Excludes non-BFSI documents, appointments and workshops</t>
  </si>
  <si>
    <t>Includes only regulations relating to financial services and AML. Excludes others concerning municipal affairs, employment classifications, consumer protection, trade practices and land allocation</t>
  </si>
  <si>
    <t>Abu Dhabi Global Market (ADGM)</t>
  </si>
  <si>
    <t>Excludes appointments, office information and releases of a non-regulatory nature.</t>
  </si>
  <si>
    <t xml:space="preserve">Regulations </t>
  </si>
  <si>
    <t>Abu Dhabi Securities Exchange</t>
  </si>
  <si>
    <t>Central Bank of the United Arab Emirates</t>
  </si>
  <si>
    <t>AML circular</t>
  </si>
  <si>
    <t xml:space="preserve">Public statement </t>
  </si>
  <si>
    <t xml:space="preserve">English versions only </t>
  </si>
  <si>
    <t>Dubai Financial Market</t>
  </si>
  <si>
    <t>Dubai Financial Services Authority (DFSA)</t>
  </si>
  <si>
    <t>Amendment law</t>
  </si>
  <si>
    <t>Censure</t>
  </si>
  <si>
    <t>Dear SEO letter</t>
  </si>
  <si>
    <t>Enforceable undertaking</t>
  </si>
  <si>
    <t>Settlements</t>
  </si>
  <si>
    <t>Guidance making instrument</t>
  </si>
  <si>
    <t>Leaflet</t>
  </si>
  <si>
    <t>Rules of procedure</t>
  </si>
  <si>
    <t>UN sanctions</t>
  </si>
  <si>
    <t>Dubai Gold &amp; Commodities Exchange</t>
  </si>
  <si>
    <t>Dubai Mercantile Exchange (DME)</t>
  </si>
  <si>
    <t>Emirates Securities And Commodities Authority (SCA)</t>
  </si>
  <si>
    <t>No longer published by regulator.</t>
  </si>
  <si>
    <t>No longer tracked. "Decisions" can now be found under Final Rules</t>
  </si>
  <si>
    <t>Final rule</t>
  </si>
  <si>
    <t xml:space="preserve">Excludes memorials, awards/honors </t>
  </si>
  <si>
    <t>Proposed rule</t>
  </si>
  <si>
    <t>Insurance Authority of the UAE</t>
  </si>
  <si>
    <t>Excludes future events and training, awareness campaigns, statistics, rates, national day, revocation of licences, economic and social issues</t>
  </si>
  <si>
    <t>Ministry of Finance (United Arab Emirates)</t>
  </si>
  <si>
    <t>Excludes decisions and resolutions on tax matters, partnerships, service fees, human resources, telecommunications, general budgets and formation of councils or cabinets.</t>
  </si>
  <si>
    <t>Excludes laws concerning tax, public debt, real estate, formation of the cabinet, federal budgets and other non-regulatory content.</t>
  </si>
  <si>
    <t>Excludes non regulatory content such as cancellation of fees, tax matters, non-financial MoFs, workshops, meetings and events. Also excludes all news/press releases with an external link navigating outside the Ministry's website.</t>
  </si>
  <si>
    <t xml:space="preserve">Excludes decisions and resolutions on tax matters, partnerships, service fees, human resources, telecommunications, general budgets and formation of councils or cabinets. </t>
  </si>
  <si>
    <t>NASDAQ Dubai</t>
  </si>
  <si>
    <t>North America</t>
  </si>
  <si>
    <t>Bermuda</t>
  </si>
  <si>
    <t>Bermuda Monetary Authority</t>
  </si>
  <si>
    <t>Business Plan</t>
  </si>
  <si>
    <t>Guidance Note</t>
  </si>
  <si>
    <t>Excludes enforcements, meeting information, appointments</t>
  </si>
  <si>
    <t>Policy</t>
  </si>
  <si>
    <t xml:space="preserve">Policy Documents </t>
  </si>
  <si>
    <t>International sanctions</t>
  </si>
  <si>
    <t>Includes only AML/CFT specific content</t>
  </si>
  <si>
    <t>Canada</t>
  </si>
  <si>
    <t>Aequitas NEO Exchange</t>
  </si>
  <si>
    <t>OSC notice</t>
  </si>
  <si>
    <t>Alberta Insurance Council</t>
  </si>
  <si>
    <t>Alberta Securities Commission</t>
  </si>
  <si>
    <t>Adoption</t>
  </si>
  <si>
    <t>Adoptions</t>
  </si>
  <si>
    <t>ASC staff notice</t>
  </si>
  <si>
    <t>Authorizations &amp; MOUs</t>
  </si>
  <si>
    <t>Blanket order</t>
  </si>
  <si>
    <t>CSA staff notice</t>
  </si>
  <si>
    <t>Decisions and orders</t>
  </si>
  <si>
    <t>Excludes cease trade orders and notices of hearing</t>
  </si>
  <si>
    <t>Exemption order</t>
  </si>
  <si>
    <t>Request for comment</t>
  </si>
  <si>
    <t>Excludes only duplicative content</t>
  </si>
  <si>
    <t>Securities act amendment</t>
  </si>
  <si>
    <t>Alpha Group</t>
  </si>
  <si>
    <t>Autorité des Marchés Financiers (Québec) (AMF)</t>
  </si>
  <si>
    <t xml:space="preserve">Bank of Canada </t>
  </si>
  <si>
    <t xml:space="preserve">Consultation </t>
  </si>
  <si>
    <t xml:space="preserve">Market Notice </t>
  </si>
  <si>
    <t xml:space="preserve">BC Financial Services Authority (BCFSA) </t>
  </si>
  <si>
    <t>Industry notice</t>
  </si>
  <si>
    <t>British Columbia Securities Commission</t>
  </si>
  <si>
    <t>Excludes cease trade orders, notices of hearing, settlements, temporary orders, variation orders and rulings. Includes "Findings" and "Decisions"</t>
  </si>
  <si>
    <t>CBID / CBID Institutional</t>
  </si>
  <si>
    <t>No longer tracked; last release in 2012</t>
  </si>
  <si>
    <t>CanDeal</t>
  </si>
  <si>
    <t>Canada Deposit Insurance Corporation (CDIC)</t>
  </si>
  <si>
    <t>By-laws</t>
  </si>
  <si>
    <t>Information bulletin</t>
  </si>
  <si>
    <t>Canada Revenue Agency</t>
  </si>
  <si>
    <t>Includes only notices with effect on pensions and listed financial institutions</t>
  </si>
  <si>
    <t>Canadian Bankers Association</t>
  </si>
  <si>
    <t>Excludes warnings to retail banking consumers, appointments</t>
  </si>
  <si>
    <t>Submission</t>
  </si>
  <si>
    <t>Canadian Council of Insurance Regulators</t>
  </si>
  <si>
    <t>Stakeholder submission</t>
  </si>
  <si>
    <t>Canadian Depository for Securities</t>
  </si>
  <si>
    <t>Canadian Derivatives Clearing Corporation</t>
  </si>
  <si>
    <t>Canadian Life and Health Insurance Association (CLHIA)</t>
  </si>
  <si>
    <t>Canadian Radio-television and Telecommunications Commission</t>
  </si>
  <si>
    <t>Includes only 'Compliance and Enforcement' decisions only (Excludes 'Broadcasting' and 'Telecommunications' decisions)</t>
  </si>
  <si>
    <t>Includes only releases on telemarketing that would impact financial institutions</t>
  </si>
  <si>
    <t>Canadian Securities Administrators</t>
  </si>
  <si>
    <t>Canadian Securities Exchange (CSE)</t>
  </si>
  <si>
    <t>Dealer bulletin</t>
  </si>
  <si>
    <t>General bulletin</t>
  </si>
  <si>
    <t>Listing bulletin</t>
  </si>
  <si>
    <t>SRO notice</t>
  </si>
  <si>
    <t>Canadian Securities Transition Office</t>
  </si>
  <si>
    <t xml:space="preserve">Chambre de la sécurité financière </t>
  </si>
  <si>
    <t>Cooperative Capital Markets Regulatory System</t>
  </si>
  <si>
    <t>Department of Finance (Canada)</t>
  </si>
  <si>
    <t>Adopted regulation</t>
  </si>
  <si>
    <t>Media notice</t>
  </si>
  <si>
    <t>Deposit Insurance Corporation of Ontario (DICO)</t>
  </si>
  <si>
    <t>Advisory</t>
  </si>
  <si>
    <t>Excludes templates</t>
  </si>
  <si>
    <t>Information update</t>
  </si>
  <si>
    <t>Excludes forms and applications; includes guides, summaries of changes, due dates</t>
  </si>
  <si>
    <t>Financial Consumer Agency of Canada (FCAC)</t>
  </si>
  <si>
    <t>Financial Services Commission of Ontario</t>
  </si>
  <si>
    <t>Annual return</t>
  </si>
  <si>
    <t>Auto bulletin</t>
  </si>
  <si>
    <t>Financial Services Regulatory Authority of Ontario (FSRA)</t>
  </si>
  <si>
    <t>Excludes appointments, news releases on proposed/final rules, enforcement actions and consultations.</t>
  </si>
  <si>
    <t>Includes only Notices and Requests for Comments; excludes appointments</t>
  </si>
  <si>
    <t>Includes only reports and miscellaneous publications related to BFSI regulation</t>
  </si>
  <si>
    <t>Financial Transactions and Reports Analysis Centre (FINTRAC)</t>
  </si>
  <si>
    <t>Includes AML/CFT content; excludes data protection</t>
  </si>
  <si>
    <t>Interpretation notice</t>
  </si>
  <si>
    <t>Global Affairs Canada</t>
  </si>
  <si>
    <t>ICE Futures Canada</t>
  </si>
  <si>
    <t>ICE NGX</t>
  </si>
  <si>
    <t>ASC notice</t>
  </si>
  <si>
    <t>Innovation, Science and Economic Development Canada (ISED)</t>
  </si>
  <si>
    <t>Includes financial services related content only.</t>
  </si>
  <si>
    <t>Instinet Canada Cross (ICX)</t>
  </si>
  <si>
    <t>Insurance Council of British Columbia</t>
  </si>
  <si>
    <t>Insurance Council of Manitoba</t>
  </si>
  <si>
    <t>Investment Funds Institute of Canada (IFIC)</t>
  </si>
  <si>
    <t>Investment Industry Association of Canada (IIAC)</t>
  </si>
  <si>
    <t>Investment Industry Regulatory Organization of Canada (IIROC)</t>
  </si>
  <si>
    <t>Administrative notice</t>
  </si>
  <si>
    <t>Approval</t>
  </si>
  <si>
    <t>Approvals</t>
  </si>
  <si>
    <t>Dealer rules notice</t>
  </si>
  <si>
    <t>Education notice</t>
  </si>
  <si>
    <t>Includes only decisions (e.g. settlement agreements/penalty decisions); Excludes notices of hearing</t>
  </si>
  <si>
    <t>Marketplace notice</t>
  </si>
  <si>
    <t>Membership development notice</t>
  </si>
  <si>
    <t>Excludes duplicative content (enforcement notices that are jointly released as news releases)</t>
  </si>
  <si>
    <t>Summary of public comments</t>
  </si>
  <si>
    <t>Withdrawal of Proposed Rule</t>
  </si>
  <si>
    <t>Withdrawals of Proposed Rules</t>
  </si>
  <si>
    <t>Liquidnet Canada</t>
  </si>
  <si>
    <t>MATCH Now</t>
  </si>
  <si>
    <t>Manitoba Securities Commission</t>
  </si>
  <si>
    <t>Ministry of Finance (British Columbia)</t>
  </si>
  <si>
    <t>Includes Service Plans; excludes Public Accounts/budget  reports</t>
  </si>
  <si>
    <t>Montreal Exchange</t>
  </si>
  <si>
    <t>Mutual Fund Dealers Association of Canada (MFDA)</t>
  </si>
  <si>
    <t>Notice of non-objection</t>
  </si>
  <si>
    <t>Rescission</t>
  </si>
  <si>
    <t>Nasdaq CXC</t>
  </si>
  <si>
    <t>New Brunswick Financial and Consumer Services Commission</t>
  </si>
  <si>
    <t>Instrument out for public comment</t>
  </si>
  <si>
    <t xml:space="preserve">Newfoundland and Labrador Public Utilities Board, Insurance Division </t>
  </si>
  <si>
    <t>Nova Scotia Securities Commission</t>
  </si>
  <si>
    <t>Commission order</t>
  </si>
  <si>
    <t>Director's order</t>
  </si>
  <si>
    <t>Nova Scotia Superintendent of Insurance</t>
  </si>
  <si>
    <t>Excludes releases on budget, public pensions and appointments</t>
  </si>
  <si>
    <t>Office of the Privacy Commissioner of Canada</t>
  </si>
  <si>
    <t>Report of findings</t>
  </si>
  <si>
    <t>Includes only findings involving banks, insurance companies, securities and investments firms</t>
  </si>
  <si>
    <t>Office of the Superintendent of Financial Institutions (OSFI)</t>
  </si>
  <si>
    <t>Accounting guidelines</t>
  </si>
  <si>
    <t>BIS document</t>
  </si>
  <si>
    <t>Business and financial practices guidelines</t>
  </si>
  <si>
    <t xml:space="preserve">Capital adequacy guidelines </t>
  </si>
  <si>
    <t>List</t>
  </si>
  <si>
    <t>No longer published by OSFI</t>
  </si>
  <si>
    <t>Prudential guidelines</t>
  </si>
  <si>
    <t>Ombudsman for Banking Services and Investments (OBSI)</t>
  </si>
  <si>
    <t>Omega ATS</t>
  </si>
  <si>
    <t>Ontario Securities Commission (OSC)</t>
  </si>
  <si>
    <t>Ministerial approval</t>
  </si>
  <si>
    <t>Ministerial Approvals</t>
  </si>
  <si>
    <t>Excludes appointments</t>
  </si>
  <si>
    <t>OSC staff notice</t>
  </si>
  <si>
    <t>Ruling</t>
  </si>
  <si>
    <t>Parliament of Canada</t>
  </si>
  <si>
    <t>Includes only updates to the Bank Act</t>
  </si>
  <si>
    <t>Payments Canada</t>
  </si>
  <si>
    <t>Excludes "Speaker Spotlights"</t>
  </si>
  <si>
    <t xml:space="preserve">Pure Trading </t>
  </si>
  <si>
    <t>Now covered under Canadian Securities Exchange</t>
  </si>
  <si>
    <t>Stock list change</t>
  </si>
  <si>
    <t>Saskatchewan Financial and Consumer Affairs Authority</t>
  </si>
  <si>
    <t>Document for comment</t>
  </si>
  <si>
    <t>SIGMA X Canada</t>
  </si>
  <si>
    <t>Superintendent of Securities, Newfoundland and Labrador</t>
  </si>
  <si>
    <t>Rule making</t>
  </si>
  <si>
    <t>Superintendent of Securities, Northwest Territories</t>
  </si>
  <si>
    <t>Local rule</t>
  </si>
  <si>
    <t>Superintendent of Securities, Nunavut</t>
  </si>
  <si>
    <t>Superintendent of Securities, Prince Edward Island</t>
  </si>
  <si>
    <t>Superintendent of Securities, Yukon</t>
  </si>
  <si>
    <t>TMX Group</t>
  </si>
  <si>
    <t>Excludes financial results, trading statistics and member notices</t>
  </si>
  <si>
    <t>TMX Select</t>
  </si>
  <si>
    <t>TSX Alpha Exchange</t>
  </si>
  <si>
    <t>Listing notice</t>
  </si>
  <si>
    <t>TSX Venture Exchange</t>
  </si>
  <si>
    <t>BCSC notice</t>
  </si>
  <si>
    <t>Notice to participating organizations</t>
  </si>
  <si>
    <t>Toronto Stock Exchange (TSX)</t>
  </si>
  <si>
    <t>United States of America</t>
  </si>
  <si>
    <t>360T SEF</t>
  </si>
  <si>
    <t>American Bankers Association (ABA)</t>
  </si>
  <si>
    <t>No longer tracked; content moved behing paywall.</t>
  </si>
  <si>
    <t xml:space="preserve">American Stock Exchange (AMEX) </t>
  </si>
  <si>
    <t>Superseded</t>
  </si>
  <si>
    <t>Extension</t>
  </si>
  <si>
    <t>Arizona Corporation Commission Securities Division</t>
  </si>
  <si>
    <t>Emergency rule</t>
  </si>
  <si>
    <t>Emergency Regulations</t>
  </si>
  <si>
    <t>Arizona Legislature</t>
  </si>
  <si>
    <t>Bankers Association for Finance and Trade (BAFT)</t>
  </si>
  <si>
    <t xml:space="preserve">Guidance </t>
  </si>
  <si>
    <t xml:space="preserve">White paper </t>
  </si>
  <si>
    <t>Bank Policy Institute (BPI)</t>
  </si>
  <si>
    <t>Excludes appointments, PRs announcing the publication of comment letters/reports</t>
  </si>
  <si>
    <t>BGC Derivatives Market</t>
  </si>
  <si>
    <t>Bloomberg SEF</t>
  </si>
  <si>
    <t>Board of Trade of the City of Chicago, Inc. (CBOT)</t>
  </si>
  <si>
    <t>BOX Options Exchange</t>
  </si>
  <si>
    <t>Boston Stock Exchange (BSE)</t>
  </si>
  <si>
    <t>No longer active; replaced by NASDAQ BX (BX)</t>
  </si>
  <si>
    <t>Boston Stock Exchange Clearing Corporation (BSECC)</t>
  </si>
  <si>
    <t>CAT NMS</t>
  </si>
  <si>
    <t>Excludes upcoming meetings, recordings of said meetings</t>
  </si>
  <si>
    <t>Cboe C2 Options Exchange</t>
  </si>
  <si>
    <t>Cboe BYX Exchange</t>
  </si>
  <si>
    <t>Cboe BZX Exchange</t>
  </si>
  <si>
    <t>Cboe EDGA Exchange</t>
  </si>
  <si>
    <t>Cboe EDGX Exchange</t>
  </si>
  <si>
    <t>Cboe Futures Exchange (CFE)</t>
  </si>
  <si>
    <t>Cboe Options Exchange</t>
  </si>
  <si>
    <t>Excludes appointments and trading volumes</t>
  </si>
  <si>
    <t>Excludes some information circulars regarding appointments or operational memos</t>
  </si>
  <si>
    <t>Cboe SEF</t>
  </si>
  <si>
    <t>CME Group</t>
  </si>
  <si>
    <t>Advisory notice</t>
  </si>
  <si>
    <t>Disciplinary notice</t>
  </si>
  <si>
    <t>CME SEF</t>
  </si>
  <si>
    <t>COMEX</t>
  </si>
  <si>
    <t>California Department of Business Oversight</t>
  </si>
  <si>
    <t>California Department of Corporations Financial Division</t>
  </si>
  <si>
    <t>California Legislature</t>
  </si>
  <si>
    <t>Chicago Mercantile Exchange (CME)</t>
  </si>
  <si>
    <t>Commodity Futures Trading Commission (CFTC)</t>
  </si>
  <si>
    <t>Adjudicatory order</t>
  </si>
  <si>
    <t>Exemptive letter</t>
  </si>
  <si>
    <t>Information collection activities</t>
  </si>
  <si>
    <t>International publication</t>
  </si>
  <si>
    <t>Interpretive letter</t>
  </si>
  <si>
    <t>Interim final rule</t>
  </si>
  <si>
    <t>Temporary Regulations</t>
  </si>
  <si>
    <t>No-action letter</t>
  </si>
  <si>
    <t>Excludes only Sunshine Meeting Act notices published in the Federal Register</t>
  </si>
  <si>
    <t>Other Written Communication</t>
  </si>
  <si>
    <t>Proposed information collection activities</t>
  </si>
  <si>
    <t>Public meeting notice</t>
  </si>
  <si>
    <t>Consumer Financial Protection Bureau (CFPB)</t>
  </si>
  <si>
    <t>Final policy statement</t>
  </si>
  <si>
    <t>Excludes some releases on low-level debt collection enforcements. Lightly filtered.</t>
  </si>
  <si>
    <t>Proposed policy statement</t>
  </si>
  <si>
    <t>Excludes broad statements and speeches lacking specific regulatory content. Lightly filtered.</t>
  </si>
  <si>
    <t>DW SEF</t>
  </si>
  <si>
    <t>Delaware Office of the State Bank Commissioner</t>
  </si>
  <si>
    <t>Department of Financial Services (New York)</t>
  </si>
  <si>
    <t>Excludes check casher fees, relief/guidance after natural disasters</t>
  </si>
  <si>
    <t>Includes only documents relating to banks, securities and investments firms</t>
  </si>
  <si>
    <t>US Department of Justice</t>
  </si>
  <si>
    <t>Due to the broad enforcement brief of the DoJ, these releases are heavily filtered. Only enforcements related to banking, financial services or insurance will be captured.</t>
  </si>
  <si>
    <t>Department of Labor</t>
  </si>
  <si>
    <t>Department of Labor (DOL) content (applicable to employers generally) is heavily filtered except DOL issuances pursuant to the Employee Retirement Income Security Act (ERISA) - act regulating financial institutions acting as retirement plan fiduciaries or trustees, or EBSA which is responsible for administering and enforcing the fiduciary, reporting and disclosure provisions of Title I of ERISA.</t>
  </si>
  <si>
    <t>Department of the Treasury (US)</t>
  </si>
  <si>
    <t>Includes updates to Government and Securities Act Regulations and Department of Treasury Regulations</t>
  </si>
  <si>
    <t xml:space="preserve">Includes only final updates to TIC forms B, C, D, S and SLT </t>
  </si>
  <si>
    <t>Excludes Internal Revenue Service collections</t>
  </si>
  <si>
    <t xml:space="preserve">Includes only final updates to instructions for TIC forms B, C, D, S and SLT </t>
  </si>
  <si>
    <t>Includes only documents with regulatory significance</t>
  </si>
  <si>
    <t>Depository Trust Company (DTC)</t>
  </si>
  <si>
    <t>Advance notice filing</t>
  </si>
  <si>
    <t>Initial Filing</t>
  </si>
  <si>
    <t>Excludes appointments, awards. DTCC Connection (analysis pieces) also heavily filtered.</t>
  </si>
  <si>
    <t>Depository Trust &amp; Clearing Corporation (DTCC)</t>
  </si>
  <si>
    <t>EBS Direct</t>
  </si>
  <si>
    <t>ELX Futures</t>
  </si>
  <si>
    <t>Eris Exchange</t>
  </si>
  <si>
    <t>ErisX</t>
  </si>
  <si>
    <t>Excludes maintenance, holidays, trading hours (most market notices); includes all Exchange advisories</t>
  </si>
  <si>
    <t>Federal Deposit Insurance Corporation (FDIC)</t>
  </si>
  <si>
    <t>Financial institution letter</t>
  </si>
  <si>
    <t>Excludes documents on mergers between/enforcements against local banks. Includes releases listing banks examined for CRA compliance</t>
  </si>
  <si>
    <t>Federal Energy Regulatory Commission (FERC)</t>
  </si>
  <si>
    <t>Excludes appointments and meeting notices</t>
  </si>
  <si>
    <t>Notice of inquiry</t>
  </si>
  <si>
    <t>Federal Financial Institutions Examination Council (FFIEC)</t>
  </si>
  <si>
    <t>Federal Housing Finance Agency (FHFA)</t>
  </si>
  <si>
    <t>Advisory bulletin</t>
  </si>
  <si>
    <t xml:space="preserve">Federal Reserve </t>
  </si>
  <si>
    <t>Consumer Affairs Letters</t>
  </si>
  <si>
    <t>Includes only Recently Approved and Implemented Reporting Forms</t>
  </si>
  <si>
    <t>Includes only Instructions to Recently Approved and Implemented Reporting Forms</t>
  </si>
  <si>
    <t>Legal interpretation</t>
  </si>
  <si>
    <t>Excludes documents on monetary policy, orders on banking applications. Includes significant enforcement releases.</t>
  </si>
  <si>
    <t>Excludes documents on monetary policy, and those with little regulatory significance</t>
  </si>
  <si>
    <t>Supervision and regulation letter</t>
  </si>
  <si>
    <t>Supervisory staff report</t>
  </si>
  <si>
    <t>Federal Reserve Bank of Atlanta</t>
  </si>
  <si>
    <t>Federal Reserve Bank of Boston</t>
  </si>
  <si>
    <t>Federal Reserve Bank of Chicago</t>
  </si>
  <si>
    <t>Federal Reserve Bank of Cleveland</t>
  </si>
  <si>
    <t>Federal Reserve Bank of Dallas</t>
  </si>
  <si>
    <t>Federal Reserve Bank of Kansas City</t>
  </si>
  <si>
    <t>Federal Reserve Bank of Minneapolis</t>
  </si>
  <si>
    <t>Federal Reserve Bank of New York</t>
  </si>
  <si>
    <t>Only includes updates on the Shared National Credit Program</t>
  </si>
  <si>
    <t>Federal Reserve Bank of Philadelphia</t>
  </si>
  <si>
    <t>Circular letter</t>
  </si>
  <si>
    <t>Federal Reserve Bank of Richmond</t>
  </si>
  <si>
    <t>Federal Reserve Bank of San Francisco</t>
  </si>
  <si>
    <t>Federal Reserve Bank of St. Louis</t>
  </si>
  <si>
    <t>Federal Trade Commission (FTC)</t>
  </si>
  <si>
    <t>Includes only privacy and identity theft rules</t>
  </si>
  <si>
    <t>Includes only documents with relevance to financial institutions. Heavily filtered due to broad brief of FTC.</t>
  </si>
  <si>
    <t>Financial Crimes Enforcement Network (FinCEN)</t>
  </si>
  <si>
    <t>Financial Industry Regulatory Authority (FINRA)</t>
  </si>
  <si>
    <t>Includes FAQs on FINRA Rule 8210, Covered Agency Transactions Under FINRA Rule 4210, Non-Traditional ETFs, Trade Reporting, Trading Activity Fee, Tick Size Pilot OATS Data Collection, Data Collection Requirements for Broker-Dealers and SEC Regulation M.</t>
  </si>
  <si>
    <t>Investor alert</t>
  </si>
  <si>
    <t xml:space="preserve">No longer tracked. </t>
  </si>
  <si>
    <t>Fixed Income Clearing Corporation (FICC)</t>
  </si>
  <si>
    <t>Florida Legislature</t>
  </si>
  <si>
    <t>Florida Office of Financial Regulation Division of Securities and Finance</t>
  </si>
  <si>
    <t>FTSEF LLC</t>
  </si>
  <si>
    <t>GFI Swaps Exchange</t>
  </si>
  <si>
    <t>GTX SEF</t>
  </si>
  <si>
    <t>Housing and Urban Development (HUD)</t>
  </si>
  <si>
    <t>Not particularly productive for relevant content since Dodd Frank</t>
  </si>
  <si>
    <t>ICAP Global Derivatives Limited (IGDL)</t>
  </si>
  <si>
    <t>ICE Clear Credit</t>
  </si>
  <si>
    <t xml:space="preserve">Initial Filing   </t>
  </si>
  <si>
    <t>ICE Clear US</t>
  </si>
  <si>
    <t>ICE OTC Energy</t>
  </si>
  <si>
    <t>ICE Swap Trade</t>
  </si>
  <si>
    <t>ICE US</t>
  </si>
  <si>
    <t>Illinois Division of Banking</t>
  </si>
  <si>
    <t>Excludes Money management FAQs; Pawnbroker lookup and Electronic Licence Instructions</t>
  </si>
  <si>
    <t>Internal Revenue Service (USA)</t>
  </si>
  <si>
    <t xml:space="preserve">Form </t>
  </si>
  <si>
    <t>Includes specfically FATCA-related content. Also includes any other releases with special relevance for banks, insurance companies, securities and investments firms</t>
  </si>
  <si>
    <t>Investment Adviser Association (IAA)</t>
  </si>
  <si>
    <t>Excludes appointments, releases announcing  comment letter or annual report</t>
  </si>
  <si>
    <t>Investors Exchange (IEX)</t>
  </si>
  <si>
    <t>Investment Company Institute (ICI)</t>
  </si>
  <si>
    <t>Excludes appointments, releases announcing the publication of a substantive document covered elsewhere, and releases without regulatory significance</t>
  </si>
  <si>
    <t>Joint Audit Committee (JAC)</t>
  </si>
  <si>
    <t>Regulatory bulletin</t>
  </si>
  <si>
    <t>Kansas City Board of Trade</t>
  </si>
  <si>
    <t>LatAm SEF</t>
  </si>
  <si>
    <t>Liquidnet</t>
  </si>
  <si>
    <t>Excludes appointments, video interviews, releases without regulatory significance</t>
  </si>
  <si>
    <t>Long-Term Stock Exchange (LTSE)</t>
  </si>
  <si>
    <t>MIAX Emerald Exchange</t>
  </si>
  <si>
    <t>MIAX Options Exchange</t>
  </si>
  <si>
    <t>MIAX PEARL Exchange</t>
  </si>
  <si>
    <t>MarketAxess</t>
  </si>
  <si>
    <t>Excludes monthly volume statistics, appointments and financial reports</t>
  </si>
  <si>
    <t>MarketAxess SEF</t>
  </si>
  <si>
    <t>Massachusetts Securities Division</t>
  </si>
  <si>
    <t>Minneapolis Grain Exchange (MGEX)</t>
  </si>
  <si>
    <t xml:space="preserve">Rule Amendment Notices </t>
  </si>
  <si>
    <t>MTS BondsPro</t>
  </si>
  <si>
    <t>Municipal Securities Rulemaking Board (MSRB)</t>
  </si>
  <si>
    <t>NASD</t>
  </si>
  <si>
    <t xml:space="preserve">NASDAQ BX (BX) </t>
  </si>
  <si>
    <t>NASDAQ Futures (NFX)</t>
  </si>
  <si>
    <t xml:space="preserve">Nasdaq GEMX </t>
  </si>
  <si>
    <t xml:space="preserve">Nasdaq ISE </t>
  </si>
  <si>
    <t xml:space="preserve">Nasdaq MRX </t>
  </si>
  <si>
    <t>NASDAQ PHLX (Phlx)</t>
  </si>
  <si>
    <t>NASDAQ Stock Market LLC (NASDAQ)</t>
  </si>
  <si>
    <t>NYSE American</t>
  </si>
  <si>
    <t>Request for extension</t>
  </si>
  <si>
    <t>NYSE Arca, Inc. (NYSE Arca)</t>
  </si>
  <si>
    <t>NYSE Chicago</t>
  </si>
  <si>
    <t>Information circular</t>
  </si>
  <si>
    <t xml:space="preserve">NYSE National </t>
  </si>
  <si>
    <t>National Automated Clearing House Association (NACHA)</t>
  </si>
  <si>
    <t>National Credit Union Administration (NCUA)</t>
  </si>
  <si>
    <t>Regulatory guide</t>
  </si>
  <si>
    <t>National Futures Association (NFA)</t>
  </si>
  <si>
    <t>Rulemaking petition</t>
  </si>
  <si>
    <t>National Securities Clearing Corporation (NSCC)</t>
  </si>
  <si>
    <t>New York Mercantile Exchange (NYMEX)</t>
  </si>
  <si>
    <t>New York Office of the Attorney General</t>
  </si>
  <si>
    <t>Includes only releases related to financial services</t>
  </si>
  <si>
    <t>New York Stock Exchange (NYSE)</t>
  </si>
  <si>
    <t>Nodal Exchange</t>
  </si>
  <si>
    <t>North American Securities Administrators Association</t>
  </si>
  <si>
    <t>Model rule</t>
  </si>
  <si>
    <t>Office of Foreign Assets Control (OFAC)</t>
  </si>
  <si>
    <t>Office of Thrift Supervision (OTS)</t>
  </si>
  <si>
    <t>CEO Letter</t>
  </si>
  <si>
    <t>Thrift bulletin</t>
  </si>
  <si>
    <t>Office of the Comptroller of the Currency (OCC)</t>
  </si>
  <si>
    <t>Advisory letter</t>
  </si>
  <si>
    <t>Brief</t>
  </si>
  <si>
    <t>Excludes documents on local risk/compliance workshops</t>
  </si>
  <si>
    <t>OneChicago LLC (OC)</t>
  </si>
  <si>
    <t>Options Clearing Corporation (OCC)</t>
  </si>
  <si>
    <t>Refinitiv US SEF</t>
  </si>
  <si>
    <t>Risk Management Association (RMA)</t>
  </si>
  <si>
    <t>Excludes appointments, press releases announcing publication of a more substantive document covered by other RMA content types.</t>
  </si>
  <si>
    <t>Includes only freely available reports/executive summaries of surveys. Please note that full outcomes of surveys often behind paywall/only available to participating firms.</t>
  </si>
  <si>
    <t>Securities and Exchange Commission (SEC)</t>
  </si>
  <si>
    <t>Administrative proceeding</t>
  </si>
  <si>
    <t>Concept release</t>
  </si>
  <si>
    <t>Exemptive order</t>
  </si>
  <si>
    <t>Excludes only appointments or duplicative content e.g. a release concerning an enforcement whch has been seperately captured as a Administrative Proceeding</t>
  </si>
  <si>
    <t xml:space="preserve">NMS plan </t>
  </si>
  <si>
    <t>OCIE release</t>
  </si>
  <si>
    <t>Staff legal bulletin</t>
  </si>
  <si>
    <t>Securities Industry and Financial Markets Association (SIFMA)</t>
  </si>
  <si>
    <t>Securities Investor Protection Corporation (SIPC)</t>
  </si>
  <si>
    <t>Stock Clearing Corporation of Philadelphia (SCCP)</t>
  </si>
  <si>
    <t>Self-certifying rule submission</t>
  </si>
  <si>
    <t>SwapEx</t>
  </si>
  <si>
    <t>TeraExchange SEF</t>
  </si>
  <si>
    <t>Texas Legislature</t>
  </si>
  <si>
    <t>Texas State Securities Board</t>
  </si>
  <si>
    <t>The Clearing House (TCH)</t>
  </si>
  <si>
    <t xml:space="preserve">Report </t>
  </si>
  <si>
    <t xml:space="preserve">Reports </t>
  </si>
  <si>
    <t>tpSEF</t>
  </si>
  <si>
    <t>Tradeweb SEF</t>
  </si>
  <si>
    <t>Tradition SEF</t>
  </si>
  <si>
    <t>Treasury Market Practices Group (TMPG)</t>
  </si>
  <si>
    <t>trueEX SEF</t>
  </si>
  <si>
    <t>Asia</t>
  </si>
  <si>
    <t>Bangladesh</t>
  </si>
  <si>
    <t>Bangladesh Bank</t>
  </si>
  <si>
    <t>Includes only regulatory circulars in English language</t>
  </si>
  <si>
    <t>Includes only regulatory news in English language; excludes results of auctions, statements of affairs</t>
  </si>
  <si>
    <t xml:space="preserve">Other Notifications </t>
  </si>
  <si>
    <t>Includes only regulatory speeches in English language</t>
  </si>
  <si>
    <t>Bangladesh Financial Intelligence Unit (BFIU)</t>
  </si>
  <si>
    <t xml:space="preserve">Final Rules </t>
  </si>
  <si>
    <t>Bangladesh Securities and Exchange Commission (BSEC)</t>
  </si>
  <si>
    <t>Bengali</t>
  </si>
  <si>
    <t xml:space="preserve">Enacted Legislation </t>
  </si>
  <si>
    <t xml:space="preserve">Other Enforcement Documents </t>
  </si>
  <si>
    <t>Bengali/English</t>
  </si>
  <si>
    <t xml:space="preserve">Brunei </t>
  </si>
  <si>
    <t>Monetary Authority of Brunei Darussalam (AMBD)</t>
  </si>
  <si>
    <t>Excludes tender invitations, cessations of individual entities</t>
  </si>
  <si>
    <t xml:space="preserve">Guidelines </t>
  </si>
  <si>
    <t>Excludes tenders, revocation of license</t>
  </si>
  <si>
    <t>Excludes workshops, roadshows, employment opportunities, issuance of new products, ceremonies</t>
  </si>
  <si>
    <t>Excludes opening remarks/addresses</t>
  </si>
  <si>
    <t xml:space="preserve">Cambodia </t>
  </si>
  <si>
    <t>Cambodian Financial Intelligence Unit (CAFIU)</t>
  </si>
  <si>
    <t>Khmer/English</t>
  </si>
  <si>
    <t>National Bank of Cambodia</t>
  </si>
  <si>
    <t>Includes amendments to regulations</t>
  </si>
  <si>
    <t xml:space="preserve">Annual Report </t>
  </si>
  <si>
    <t xml:space="preserve">Circular </t>
  </si>
  <si>
    <t>Excludes regulations against non-financial entities and enforcements against individuals and individual companies</t>
  </si>
  <si>
    <t>Includes regulations</t>
  </si>
  <si>
    <t>Securities and Exchange Commission of Cambodia (SECC)</t>
  </si>
  <si>
    <t>Consultation papers</t>
  </si>
  <si>
    <t>Includes restrictions</t>
  </si>
  <si>
    <t>China</t>
  </si>
  <si>
    <t>Asset Management Association of China (AMAC)</t>
  </si>
  <si>
    <t>Chinese</t>
  </si>
  <si>
    <t>Excludes forums, seminars, conferences and competitions; Q&amp;As; appointments</t>
  </si>
  <si>
    <t xml:space="preserve">News and Press Releases </t>
  </si>
  <si>
    <t>Includes news on cooperation with other regulators in regulatory matters; training notices and duplicative content</t>
  </si>
  <si>
    <t xml:space="preserve">Rule amendments </t>
  </si>
  <si>
    <t>China Anti-Money Laundering Monitoring and Analysis Center (CAMLMAC)</t>
  </si>
  <si>
    <t>China Banking and Insurance Regulatory Commission (CBIRC)</t>
  </si>
  <si>
    <t>Excludes duplicative releases and those of a non regulatory nature</t>
  </si>
  <si>
    <t>China Banking Association (CBA)</t>
  </si>
  <si>
    <t>Excludes activities, appointment, recruitment, seminars</t>
  </si>
  <si>
    <t>Includes banking risk related speeches</t>
  </si>
  <si>
    <t xml:space="preserve">China Banking Regulatory Commission </t>
  </si>
  <si>
    <t>No longer tracked. Superseded by China Banking and Insurance Regulatory Commission (CBIRC).</t>
  </si>
  <si>
    <t>China Beijing Equity Exchange</t>
  </si>
  <si>
    <t>Includes regulatory news; news on cooperation with other regulators in regulatory matters</t>
  </si>
  <si>
    <t>Includes speeches that touch on specific future regulatory or economic policies</t>
  </si>
  <si>
    <t>China Central Depository &amp; Clearing Corporation (CCDC)</t>
  </si>
  <si>
    <t>Excludes releases on bond issuances, listing</t>
  </si>
  <si>
    <t>China Financial Futures Exchange</t>
  </si>
  <si>
    <t xml:space="preserve">Notice </t>
  </si>
  <si>
    <t>Includes revisions to margins, limits, fees etc; regulatory amendments; website changes; holiday notices</t>
  </si>
  <si>
    <t>China Foreign Exchange Trade System (CFETS)</t>
  </si>
  <si>
    <t>Excludes results, approvals, public notices</t>
  </si>
  <si>
    <t>Excludes statistics, activities</t>
  </si>
  <si>
    <t xml:space="preserve">Rules, instruments and policies </t>
  </si>
  <si>
    <t>China Futures Association (CFA)</t>
  </si>
  <si>
    <t>Excludes recruitments, name lists</t>
  </si>
  <si>
    <t xml:space="preserve">Rule change </t>
  </si>
  <si>
    <t>China Futures Margin Monitoring Center (CFMMC)</t>
  </si>
  <si>
    <t>Includes only documents issued by CFMMC</t>
  </si>
  <si>
    <t>China Insurance Regulatory Commission</t>
  </si>
  <si>
    <t>China Securities Depository and Clearing Corporation Limited (CSDC)</t>
  </si>
  <si>
    <t>Includes only financial regulatory related updates</t>
  </si>
  <si>
    <t xml:space="preserve">Market news </t>
  </si>
  <si>
    <t>China Securities Investor Protection Fund Corporation Limited (SIPF)</t>
  </si>
  <si>
    <t>China Securities Regulatory Commission</t>
  </si>
  <si>
    <t xml:space="preserve">Guidelines and procedures </t>
  </si>
  <si>
    <t>Dalian Commodity Exchange</t>
  </si>
  <si>
    <t>Excludes periodic reports, trading activities</t>
  </si>
  <si>
    <t>Excludes financial updates, market conditions, statistics, regulatory measures on individual entities</t>
  </si>
  <si>
    <t>Ministry of Finance (China)</t>
  </si>
  <si>
    <t>Includes only documents related to banking/insurance/securities sectors</t>
  </si>
  <si>
    <t>Ministry of Public Security of the People’s Republic of China</t>
  </si>
  <si>
    <t>Government agency that exercises oversight over day-to-day law enforcement; only include financial-related updates</t>
  </si>
  <si>
    <t>National Association of Financial Market Institutional Investors (NAFMII)</t>
  </si>
  <si>
    <t>Includes regulatory notices, meeting decisions which affect rules/regulations</t>
  </si>
  <si>
    <t>National Development and Reform Commission (China)</t>
  </si>
  <si>
    <t>Has broad administrative and planning control over the Chinese economy; only include financial-related updates</t>
  </si>
  <si>
    <t xml:space="preserve">Consultation  </t>
  </si>
  <si>
    <t>National Equities Exchange and Quotations (NEEQ)</t>
  </si>
  <si>
    <t xml:space="preserve">Guides </t>
  </si>
  <si>
    <t>Excludes training notices and news releases announcing more substantive docs covered elsewhere</t>
  </si>
  <si>
    <t>People's Bank of China</t>
  </si>
  <si>
    <t>Includes regulatory announcements; news on cooperation with other regulators in regulatory matters</t>
  </si>
  <si>
    <t>Includes regulatory notices; holiday notices</t>
  </si>
  <si>
    <t>Securities Association of China</t>
  </si>
  <si>
    <t>Excludes activities held, appointments, ranking lists</t>
  </si>
  <si>
    <t>Excludes tender invitations</t>
  </si>
  <si>
    <t>Shanghai Banking Association</t>
  </si>
  <si>
    <t>Includes only regulatory releases. Heavily filtered.</t>
  </si>
  <si>
    <t>Excludes vistations and awards. Heavily filtered to only include regulatory releases.</t>
  </si>
  <si>
    <t>Shanghai Clearing House</t>
  </si>
  <si>
    <t>Includes regulatory notices; holiday notices; cooperation with other regulators in regulatory matters</t>
  </si>
  <si>
    <t xml:space="preserve">Policy   </t>
  </si>
  <si>
    <t>Shanghai Futures Exchange</t>
  </si>
  <si>
    <t>Excludes penalties, investigations and punishments</t>
  </si>
  <si>
    <t>Shanghai Gold Exchange</t>
  </si>
  <si>
    <t>Includes regulatory notices (including settlement, fees etc); holiday notices; risk warning notices; changes to trading system; training and examination notices</t>
  </si>
  <si>
    <t>Shanghai Payment &amp; Clearing Association (SPCA)</t>
  </si>
  <si>
    <t xml:space="preserve">Includes only training and regulatory information </t>
  </si>
  <si>
    <t>Includes only material changes to the association and cooperation with other regulators</t>
  </si>
  <si>
    <t>Excludes documents issued by other regulators</t>
  </si>
  <si>
    <t>Shanghai Stock Exchange</t>
  </si>
  <si>
    <t>Shenzhen Stock Exchange</t>
  </si>
  <si>
    <t>Excludes individual company announcement</t>
  </si>
  <si>
    <t>State Administration for Industry and Commerce (SAIC)</t>
  </si>
  <si>
    <t>Responsible for advancing legislation concerning the administration of industry and commerce in China; only include financial-related updates</t>
  </si>
  <si>
    <t>State Administration of Foreign Exchange (SAFE)</t>
  </si>
  <si>
    <t>Includes certificates, notices</t>
  </si>
  <si>
    <t>Includes financial regulatory related measures</t>
  </si>
  <si>
    <t>State Administration of Taxation (China)</t>
  </si>
  <si>
    <t>Policy and procedures</t>
  </si>
  <si>
    <t>State-owned Assets Supervision and Administration Commission of the State Council (China)</t>
  </si>
  <si>
    <t>Excludes documents issued by other regulators; Includes only state-owned related documents</t>
  </si>
  <si>
    <t>Includes only training and regulatory info</t>
  </si>
  <si>
    <t>Zhengzhou Commodity Exchange</t>
  </si>
  <si>
    <t>Excludes workshop registrations</t>
  </si>
  <si>
    <t>Georgia</t>
  </si>
  <si>
    <t>National Bank of Georgia (NBG)</t>
  </si>
  <si>
    <t>Georgian</t>
  </si>
  <si>
    <t>Excludes statistics, entity specific information (issuance of licences, revocations etc), banknotes and coins, macroeconomic topics, financial education events for consumers, future events/workshops, organisaitonal changes (new members etc) website maintenance</t>
  </si>
  <si>
    <t xml:space="preserve">Hong Kong </t>
  </si>
  <si>
    <t>Asia Securities Industry &amp; Financial Markets Association (ASIFMA)</t>
  </si>
  <si>
    <t>Excludes financial publications, appointments of personnel, and updates from other news sources</t>
  </si>
  <si>
    <t>Companies Registry (Hong Kong)</t>
  </si>
  <si>
    <t>Only includes AML related news.</t>
  </si>
  <si>
    <t xml:space="preserve">Sanction </t>
  </si>
  <si>
    <t>Financial Services and the Treasury Bureau</t>
  </si>
  <si>
    <t>Consultation conclusions</t>
  </si>
  <si>
    <t>Excludes financial updates, market conditions, statistics, appointments of authorities</t>
  </si>
  <si>
    <t>Excludes financial updates, market conditions, statistics</t>
  </si>
  <si>
    <t>Hong Kong Association of Banks (HKAB)</t>
  </si>
  <si>
    <t>Code of conduct</t>
  </si>
  <si>
    <t>Excludes financial and trading updates, launching of services and programmes</t>
  </si>
  <si>
    <t>Hong Kong Confederation of Insurance Brokers</t>
  </si>
  <si>
    <t xml:space="preserve">Guidance note </t>
  </si>
  <si>
    <t>Hong Kong Customs and Excise Department</t>
  </si>
  <si>
    <t>Hong Kong Deposit Protection Board</t>
  </si>
  <si>
    <t>Includes regulatory news</t>
  </si>
  <si>
    <t>Hong Kong Exchanges and Clearing Limited (HKEX)</t>
  </si>
  <si>
    <t>Excludes statistics, closing prices</t>
  </si>
  <si>
    <t xml:space="preserve">Guidance  </t>
  </si>
  <si>
    <t>Industry consultation</t>
  </si>
  <si>
    <t>Excludes statistics, appointment of authorities, new products launched, financial results</t>
  </si>
  <si>
    <t>Participant update</t>
  </si>
  <si>
    <t>Excludes trading, financial and market speeches</t>
  </si>
  <si>
    <t>Hong Kong Federation of Insurers (HKFI)</t>
  </si>
  <si>
    <t>Hong Kong's Financial Dispute Resolution Centre (FDRC)</t>
  </si>
  <si>
    <t>Excludes non regulatory related news</t>
  </si>
  <si>
    <t>Hong Kong Investment Funds Association (HKIFA)</t>
  </si>
  <si>
    <t>Includes only regulatory updates; excludes releases regarding new funds</t>
  </si>
  <si>
    <t>Excludes fund management activities surveys</t>
  </si>
  <si>
    <t>Hong Kong Monetary Authority (HKMA)</t>
  </si>
  <si>
    <t>Briefing</t>
  </si>
  <si>
    <t>Includes only financial updates</t>
  </si>
  <si>
    <t>Excludes Exchange Fund Bills Tender Results and Composite Interest Rate</t>
  </si>
  <si>
    <t xml:space="preserve">Regulatory calendar </t>
  </si>
  <si>
    <t>Includes only speeches that address regulatory updates, standards, guidances, and measures</t>
  </si>
  <si>
    <t>Hong Kong Securities and Investment Institute</t>
  </si>
  <si>
    <t>Independent Commission Against Corruption (ICAC) (Hong Kong)</t>
  </si>
  <si>
    <t>Excludes election crimes, non-financial related crimes</t>
  </si>
  <si>
    <t>Insurance Authority (IA) (Hong Kong)</t>
  </si>
  <si>
    <t>Includes only regulatory speeches</t>
  </si>
  <si>
    <t>Joint Financial Intelligence Unit (JFIU) (Hong Kong)</t>
  </si>
  <si>
    <t>Excludes seminar schedules</t>
  </si>
  <si>
    <t>Mandatory Provident Fund Schemes Authority (MPFA)</t>
  </si>
  <si>
    <t>Includes only regulatory related updates</t>
  </si>
  <si>
    <t>Office of the Commissioner of Insurance (Hong Kong) (OCI)</t>
  </si>
  <si>
    <t>No longer tracked. Superseded by Insurance Authority (IA) (Hong Kong).</t>
  </si>
  <si>
    <t>Office of the Privacy Commissioner (Hong Kong)</t>
  </si>
  <si>
    <t>Code of practice update</t>
  </si>
  <si>
    <t>Excludes non-financial related updates</t>
  </si>
  <si>
    <t>Private Wealth Management Association (PWMA)</t>
  </si>
  <si>
    <t>Excludes application forms</t>
  </si>
  <si>
    <t>Professional Insurance Brokers Association (Hong Kong) (PIBA)</t>
  </si>
  <si>
    <t>Securities and Futures Commission (SFC)</t>
  </si>
  <si>
    <t>Excludes trading information</t>
  </si>
  <si>
    <t xml:space="preserve">Report   </t>
  </si>
  <si>
    <t xml:space="preserve">Review </t>
  </si>
  <si>
    <t>SFC bulletin</t>
  </si>
  <si>
    <t>Includes speeches regarding regulator's perspective, code of conduct, measures etc but excludes regulator's view on market updates</t>
  </si>
  <si>
    <t>Treasury Markets Association (TMA) (Hong Kong)</t>
  </si>
  <si>
    <t>Exclude seminars, events and survey results</t>
  </si>
  <si>
    <t>India</t>
  </si>
  <si>
    <t xml:space="preserve">Association of Mutual Funds in India </t>
  </si>
  <si>
    <t>Banking Codes and Standards Board of India (BCSBI)</t>
  </si>
  <si>
    <t>Bombay Stock Exchange</t>
  </si>
  <si>
    <t>Central Depository Services (India) Limited</t>
  </si>
  <si>
    <t>Clearing Corporation of India (CCIL)</t>
  </si>
  <si>
    <t>Deposit Insurance and Credit Guarantee Corporation</t>
  </si>
  <si>
    <t>Financial Benchmarks India Pvt. Ltd. (FBIL)</t>
  </si>
  <si>
    <t>Financial Intelligence Unit (India)</t>
  </si>
  <si>
    <t xml:space="preserve">Rule  </t>
  </si>
  <si>
    <t>Fixed Income and Money Market And Derivatives Association of India (FIMMDA)</t>
  </si>
  <si>
    <t xml:space="preserve">Foreign Exchange Dealers’ Association of India </t>
  </si>
  <si>
    <t>Indian Banks' Association (IBA)</t>
  </si>
  <si>
    <t>Insurance Regulatory and Development Authority of India (IRDAI)</t>
  </si>
  <si>
    <t>Excludes meetings, training schedules, personnel appointments</t>
  </si>
  <si>
    <t>Excludes insurance broker notices, public notices</t>
  </si>
  <si>
    <t>Includes amendments, issuance of new guidelines, exposure drafts, regulations  
Excluded are: premium rates, training schedules, status of insurance brokers, financial reports</t>
  </si>
  <si>
    <t>Excludes financial and economic reports</t>
  </si>
  <si>
    <t>Metropolitan Stock Exchange of India (MSEI)</t>
  </si>
  <si>
    <t>Includes only regulatory updates</t>
  </si>
  <si>
    <t>Ministry of Corporate Affairs (India)</t>
  </si>
  <si>
    <t>Ministry of Finance (India)</t>
  </si>
  <si>
    <t>Includes only regulatory and requirements related updates</t>
  </si>
  <si>
    <t>Multi Commodity Exchange of India (MCX)</t>
  </si>
  <si>
    <t>National Payments Corporation of India</t>
  </si>
  <si>
    <t xml:space="preserve">Includes only requirement related circulars </t>
  </si>
  <si>
    <t>Includes only requirement related updates</t>
  </si>
  <si>
    <t>National Securities Depository Limited</t>
  </si>
  <si>
    <t>Excludes tender offers</t>
  </si>
  <si>
    <t>National Stock Exchange of India</t>
  </si>
  <si>
    <t>NSE IFSC (India)</t>
  </si>
  <si>
    <t>Includes only content relevant to market access, regulatory themes</t>
  </si>
  <si>
    <t>OTC Exchange of India</t>
  </si>
  <si>
    <t>Reserve Bank of India</t>
  </si>
  <si>
    <t>Excludes auctions</t>
  </si>
  <si>
    <t>Excludes trading information, auction, statistics, surveys</t>
  </si>
  <si>
    <t>Excludes non-regulatory speeches</t>
  </si>
  <si>
    <t>Securities and Exchange Board of India (SEBI)</t>
  </si>
  <si>
    <t>Excludes market reviews</t>
  </si>
  <si>
    <t>Excludes hearings, appeals, disposal of show cause notices, exemptions dismissed, unserved notices, informal guidance</t>
  </si>
  <si>
    <t>Excludes board appointments, new premises, trading information</t>
  </si>
  <si>
    <t>Indonesia</t>
  </si>
  <si>
    <t>Asosiasi Perusahaan Efek Indonesia (Indonesia Securities Companies Association)</t>
  </si>
  <si>
    <t>Includes only financial services news/regulatory updates</t>
  </si>
  <si>
    <t>Badan Pemeriksa Keuangan Republik Indonesia (BPK RI)</t>
  </si>
  <si>
    <t>Includes only updates on consultation, financial accountability related news, and guidance</t>
  </si>
  <si>
    <t>Indonesian</t>
  </si>
  <si>
    <t>Includes only agreements and updates relating to compliance for financial institutions, financial accountability related news and guidance</t>
  </si>
  <si>
    <t>Bank Indonesia</t>
  </si>
  <si>
    <t>Excludes statistics, financial information, trading information, surveys, outlooks</t>
  </si>
  <si>
    <t xml:space="preserve">Bapepam-LK </t>
  </si>
  <si>
    <t>Replaced by the Indonesian Financial Services Authority</t>
  </si>
  <si>
    <t>Corruption Eradication Commission of Indonesia (KPK)</t>
  </si>
  <si>
    <t>Excludes non-financial related crimes</t>
  </si>
  <si>
    <t>Indonesia Central Securities Depository (KSEI)</t>
  </si>
  <si>
    <t xml:space="preserve">Indonesia Clearing and Guarantee Corporation (KPEI) </t>
  </si>
  <si>
    <t>Includes exchange holidays, amendments</t>
  </si>
  <si>
    <t>Includes new launch, implementation</t>
  </si>
  <si>
    <t>Indonesia Deposit Insurance Corporation</t>
  </si>
  <si>
    <t>Excludes claim payments, deposits, procurements</t>
  </si>
  <si>
    <t>Excludes claim payments, deposits, market updates</t>
  </si>
  <si>
    <t>Indonesian Financial Services Authority (OJK)</t>
  </si>
  <si>
    <t>Indonesian Financial Transaction Reports and Analysis Centre (Pusat Pelaporan dan Analisis Transaksi Keuangan)</t>
  </si>
  <si>
    <t>Excludes non-corruption related updates</t>
  </si>
  <si>
    <t>Includes annual reports but exclude financial and statistics updates</t>
  </si>
  <si>
    <t>Indonesia Stock Exchange</t>
  </si>
  <si>
    <t xml:space="preserve">Draft legislation </t>
  </si>
  <si>
    <t>Jakarta Futures Exchange (JFX)</t>
  </si>
  <si>
    <t>Ministry of Finance of Republic of Indonesia</t>
  </si>
  <si>
    <t>Includes call for papers and regulatory related matters</t>
  </si>
  <si>
    <t>Excludes economic development, financial updates, news on activities and promotions, seminars, inflation</t>
  </si>
  <si>
    <t>Includes only regulatory related releases and cooperation</t>
  </si>
  <si>
    <t>Ministry of Trade of the Republic of Indonesia</t>
  </si>
  <si>
    <t>Includes documents related to banking/insurance/securities sectors</t>
  </si>
  <si>
    <t>Japan</t>
  </si>
  <si>
    <t>Bank of Japan</t>
  </si>
  <si>
    <t>Japanese</t>
  </si>
  <si>
    <t>Commodity Futures Association of Japan (CFAJ)</t>
  </si>
  <si>
    <t>Deposit Insurance Corporation of Japan (DICJ)</t>
  </si>
  <si>
    <t>Excludes economic reports</t>
  </si>
  <si>
    <t>Includes policy board approvals; excludes changes in premium rates, tender repayments</t>
  </si>
  <si>
    <t>Financial Futures Association of Japan (FFAJ)</t>
  </si>
  <si>
    <t>Includes trading regulations</t>
  </si>
  <si>
    <t>Financial Instruments Mediation Assistance Center (FINMAC)</t>
  </si>
  <si>
    <t>Excludes updates on economic forums and lectures, appointments, statistical reports, and regular financial activities
Include updates on anti-money laundering and financial legislation</t>
  </si>
  <si>
    <t>General Insurance Association of Japan (GIAJ)</t>
  </si>
  <si>
    <t>Includes updates to regulations</t>
  </si>
  <si>
    <t>International Bankers Association of Japan</t>
  </si>
  <si>
    <t>Excludes economic speeches, financial reports</t>
  </si>
  <si>
    <t>Excludes general information, speeches</t>
  </si>
  <si>
    <t>Investment Trusts Association, Japan</t>
  </si>
  <si>
    <t>Japan Commodities Fund Association</t>
  </si>
  <si>
    <t>Japan Exchange Regulation (JPX-R)</t>
  </si>
  <si>
    <t xml:space="preserve">Japan Fair Trade Commission </t>
  </si>
  <si>
    <t>Excludes training courses/holidays/cease &amp; desist - Includes only press releases concerning regulatory updates/guidelines/reports</t>
  </si>
  <si>
    <t>Japan Financial Intelligence Center (Financial Intelligence Unit)</t>
  </si>
  <si>
    <t>Excludes statistical reports</t>
  </si>
  <si>
    <t>Japan Financial Services Agency</t>
  </si>
  <si>
    <t>Japan Financial Services Association</t>
  </si>
  <si>
    <t>Japan Insurance Brokers Association</t>
  </si>
  <si>
    <t>Excludes officer appointments, new premium rates, exam schedules</t>
  </si>
  <si>
    <t>Japan Investment Advisers Association (JIAA)</t>
  </si>
  <si>
    <t>Japan Securities Clearing Corporation</t>
  </si>
  <si>
    <t>Japan Securities Dealers Association</t>
  </si>
  <si>
    <t>Japan Securities Depository Center</t>
  </si>
  <si>
    <t>Japan Securities and Exchange Surveillance Commission</t>
  </si>
  <si>
    <t>Includes notices of amendments, rule enforcements</t>
  </si>
  <si>
    <t>Japanese Bankers Association (JBA)</t>
  </si>
  <si>
    <t>Includes calls for comment, regulatory updates and changes</t>
  </si>
  <si>
    <t>Includes policy related statements and announcements</t>
  </si>
  <si>
    <t>Kanto Local Finance Bureau</t>
  </si>
  <si>
    <t>Ministry of Finance (Japan)</t>
  </si>
  <si>
    <t>Includes only discussion papers, tax conventions</t>
  </si>
  <si>
    <t>Nagoya Stock Exchange</t>
  </si>
  <si>
    <t xml:space="preserve">By-laws </t>
  </si>
  <si>
    <t>Request for comments</t>
  </si>
  <si>
    <t>Osaka Dojima Commodity Exchange</t>
  </si>
  <si>
    <t xml:space="preserve">Announcement </t>
  </si>
  <si>
    <t>Osaka Securities Exchange</t>
  </si>
  <si>
    <t>Includes market operations notices and enforcements</t>
  </si>
  <si>
    <t>Shinkin Central Bank</t>
  </si>
  <si>
    <t>Includes operations announcements, amendments and regulatory news</t>
  </si>
  <si>
    <t>Tokyo Commodity Exchange, Inc</t>
  </si>
  <si>
    <t>Tokyo Financial Exchange</t>
  </si>
  <si>
    <t>Includes rule changes and new regulations</t>
  </si>
  <si>
    <t>Tokyo Stock Exchange</t>
  </si>
  <si>
    <t xml:space="preserve">Regulatory update </t>
  </si>
  <si>
    <t>Excludes broker-specific notices, stock price changes</t>
  </si>
  <si>
    <t>Trust Companies Association of Japan</t>
  </si>
  <si>
    <t>Type II Financial Instruments Firms Association</t>
  </si>
  <si>
    <t>Kazakhstan</t>
  </si>
  <si>
    <t>Astana Financial Services Authority (AFSA)</t>
  </si>
  <si>
    <t>Russian</t>
  </si>
  <si>
    <t xml:space="preserve">Only capture updates about cooperation/regulatory news. </t>
  </si>
  <si>
    <t>Laos</t>
  </si>
  <si>
    <t>Anti-Money Laundering Intelligence Office (AMLIO)</t>
  </si>
  <si>
    <t>Lao/English</t>
  </si>
  <si>
    <t>Bank of the Lao PDR</t>
  </si>
  <si>
    <t>Excludes releases on commemorative coins, appointments, meeting notices</t>
  </si>
  <si>
    <t>Thai</t>
  </si>
  <si>
    <t>Lao Securities Exchange (LSX)</t>
  </si>
  <si>
    <t>Listing notices only</t>
  </si>
  <si>
    <t>Macau</t>
  </si>
  <si>
    <t>Monetary Authority of Macau</t>
  </si>
  <si>
    <t>Excludes statistics, reserves, rates, credit rating</t>
  </si>
  <si>
    <t>Malaysia</t>
  </si>
  <si>
    <t>Association of Banks in Malaysia (ABM)</t>
  </si>
  <si>
    <t>Includes only regulatory-related updates</t>
  </si>
  <si>
    <t>Bank Negara Malaysia (BNM)</t>
  </si>
  <si>
    <t>Excludes newsletter updates, job vacancies</t>
  </si>
  <si>
    <t>Excludes scholarship programmes</t>
  </si>
  <si>
    <t>Excludes appointments, international reserves</t>
  </si>
  <si>
    <t xml:space="preserve">Speech </t>
  </si>
  <si>
    <t>Includes only speeches with substantive regulatory themes</t>
  </si>
  <si>
    <t>Bursa Malaysia</t>
  </si>
  <si>
    <t xml:space="preserve">Consultation papers </t>
  </si>
  <si>
    <t>Directives and clarifications</t>
  </si>
  <si>
    <t xml:space="preserve">Rule amendment notice </t>
  </si>
  <si>
    <t>Companies Commission of Malaysia</t>
  </si>
  <si>
    <t>Malay</t>
  </si>
  <si>
    <t>Islamic Financial Services Board (IFSB)</t>
  </si>
  <si>
    <t xml:space="preserve">Exposure draft </t>
  </si>
  <si>
    <t>Excludes appointments, membership and meeting notices</t>
  </si>
  <si>
    <t>Labuan Financial Services Authority</t>
  </si>
  <si>
    <t>Notification of caution</t>
  </si>
  <si>
    <t>Malaysia Competition Commission (MyCC)</t>
  </si>
  <si>
    <t xml:space="preserve">Consultation Papers </t>
  </si>
  <si>
    <t>Infringement notice</t>
  </si>
  <si>
    <t>Includes only regulatory and compliance related releases</t>
  </si>
  <si>
    <t>Ministry of Home Affairs (MOHA) (Malaysia)</t>
  </si>
  <si>
    <t xml:space="preserve">Includes only regulatory-related news </t>
  </si>
  <si>
    <t xml:space="preserve">Includes only regulatory-related speeches </t>
  </si>
  <si>
    <t>Payments Network Malaysia (Paynet)</t>
  </si>
  <si>
    <t>Perbadanan Insurans Deposit Malaysia (PIDM)</t>
  </si>
  <si>
    <t xml:space="preserve">Rule   </t>
  </si>
  <si>
    <t>Personal Data Protection Commissioner (PDPC)</t>
  </si>
  <si>
    <t>Securities Commission (Malaysia)</t>
  </si>
  <si>
    <t xml:space="preserve">Myanmar </t>
  </si>
  <si>
    <t>Central Bank of Myanmar</t>
  </si>
  <si>
    <t>Excludes updates on economic forums and lectures, appointments, statistical reports, and regular banking activities
Include updates on anti-money laundering and financial legislation</t>
  </si>
  <si>
    <t>Directorate of Investment and Company Administration (DICA)</t>
  </si>
  <si>
    <t>Excludes formations of committees</t>
  </si>
  <si>
    <t xml:space="preserve">Law </t>
  </si>
  <si>
    <t>Excludes meetings or formations of committees</t>
  </si>
  <si>
    <t>Ministry of Planning and Finance (MOPF)</t>
  </si>
  <si>
    <t>Nepal</t>
  </si>
  <si>
    <t>Beema Samiti (Insurance Board) (Nepal)</t>
  </si>
  <si>
    <t>Nepali</t>
  </si>
  <si>
    <t>Includes financial services and regulatory content only</t>
  </si>
  <si>
    <t>Department of Money Laundering Investigation (Nepal)</t>
  </si>
  <si>
    <t>Includes AML and CFT content only</t>
  </si>
  <si>
    <t>Nepal Clearing House Ltd. (NCHL)</t>
  </si>
  <si>
    <t>Nepal Rastra Bank (NRB)</t>
  </si>
  <si>
    <t>Excludes directives</t>
  </si>
  <si>
    <t xml:space="preserve">Excludes Macroeconomic Indicators Of Nepal </t>
  </si>
  <si>
    <t>Working papers</t>
  </si>
  <si>
    <t xml:space="preserve">Pakistan </t>
  </si>
  <si>
    <t>Financial Monitoring Unit (FMU) (Pakistan)</t>
  </si>
  <si>
    <t>Securities and Exchange Commission of Pakistan</t>
  </si>
  <si>
    <t>State Bank of Pakistan</t>
  </si>
  <si>
    <t xml:space="preserve">Excludes foreign travel, imports/exports, foreign exchange, buy-backs, entity specific notices (e.g. membership), receivables, banknotes and currency, </t>
  </si>
  <si>
    <t>Excludes foreign exchange, treasury bills, statistics, sectors that fall outside banking, insurance, securties and investment (e.g. horticulture, fisheries)</t>
  </si>
  <si>
    <t>Excludes foreign exchange, nationalisation, currency, credit bureau</t>
  </si>
  <si>
    <t>Excludes awards, macroeconomic topics (e.g. inflation, monetary policy statement), careers, organisation changes (e.g. appointments), public holidays, government duties/taxes, workers remit, future events/lectures, competitions/tournaments</t>
  </si>
  <si>
    <t>Excludes statistics, state of the economy</t>
  </si>
  <si>
    <t>Excludes awards/ceremonies, macroeconomic topics, commemoration days</t>
  </si>
  <si>
    <t xml:space="preserve">No longer tracked (notices for consumers) </t>
  </si>
  <si>
    <t xml:space="preserve">Philippines </t>
  </si>
  <si>
    <t>Anti-Money Laundering Council (AMLC)</t>
  </si>
  <si>
    <t>Bankers Association of the Philippines (BAP)</t>
  </si>
  <si>
    <t>Bureau of Internal Revenue</t>
  </si>
  <si>
    <t>Excludes updates on price of sugar</t>
  </si>
  <si>
    <t>Bureau of the Treasury (Philippines)</t>
  </si>
  <si>
    <t xml:space="preserve">Capital Markets Integrity Corporation (CMIC) </t>
  </si>
  <si>
    <t>Central Bank of the Philippines</t>
  </si>
  <si>
    <t>Excludes company mergers</t>
  </si>
  <si>
    <t xml:space="preserve">Memorandum </t>
  </si>
  <si>
    <t>Credit Information Corporation (CIC)</t>
  </si>
  <si>
    <t>Includes only regulatory-related news</t>
  </si>
  <si>
    <t>Insurance Commission of the Philippines</t>
  </si>
  <si>
    <t xml:space="preserve">National Privacy Commission (NPC) </t>
  </si>
  <si>
    <t>Excludes designations</t>
  </si>
  <si>
    <t xml:space="preserve">Includes only regulatory-related information </t>
  </si>
  <si>
    <t>Philippine Dealing &amp; Exchange Corporation (PDEx)</t>
  </si>
  <si>
    <t>Excludes statistics, calculations of reference rates</t>
  </si>
  <si>
    <t xml:space="preserve">News release </t>
  </si>
  <si>
    <t>Includes only financial regulation news</t>
  </si>
  <si>
    <t>Philippine Deposit Insurance Corporation (PDIC)</t>
  </si>
  <si>
    <t>Excludes duplicative content, forum schedules</t>
  </si>
  <si>
    <t>Excludes duplicative content (documents also published as notices)</t>
  </si>
  <si>
    <t>Philippines Securities and Exchange Commission</t>
  </si>
  <si>
    <t>SEC notice</t>
  </si>
  <si>
    <t>Philippine Stock Exchange</t>
  </si>
  <si>
    <t>Excludes personnel movement, approved nominee application, training, application, website maintenance</t>
  </si>
  <si>
    <t>Excludes surveys, summits, website maintenance, distribution of dividends, and single company-related information</t>
  </si>
  <si>
    <t>Securities Clearing Corporation of the Philippines (SCCP) </t>
  </si>
  <si>
    <t>Singapore</t>
  </si>
  <si>
    <t xml:space="preserve">Accounting and Corporate Regulatory Authority (ACRA) </t>
  </si>
  <si>
    <t>Includes only regulatory updates related to accounting practices in financial sectors</t>
  </si>
  <si>
    <t>Practice Statement</t>
  </si>
  <si>
    <t>Summary of Responses</t>
  </si>
  <si>
    <t>Association of Banks in Singapore (ABS)</t>
  </si>
  <si>
    <t>Includes only guidance and requirements updates</t>
  </si>
  <si>
    <t>Commercial Affairs Department (CAD) (Singapore)</t>
  </si>
  <si>
    <t>Includes only enforcements concerning financial services</t>
  </si>
  <si>
    <t>ICE Futures Singapore</t>
  </si>
  <si>
    <t>Inland Revenue Authority of Singapore (IRAS)</t>
  </si>
  <si>
    <t>Includes news on tax agreements and tax crimes</t>
  </si>
  <si>
    <t>Includes consultation papers and comments</t>
  </si>
  <si>
    <t>Institute of Banking and Finance Singapore (IBF)</t>
  </si>
  <si>
    <t>Excludes requests for quotation</t>
  </si>
  <si>
    <t>Only includes brochures</t>
  </si>
  <si>
    <t>Includes only regulatory news</t>
  </si>
  <si>
    <t>Investment Management Association of Singapore (IMAS)</t>
  </si>
  <si>
    <t>Includes only news relating to best practices, frameworks, and guidelines</t>
  </si>
  <si>
    <t>Life Insurance Association (Singapore) (LIA)</t>
  </si>
  <si>
    <t>Ministry of Finance (Singapore)</t>
  </si>
  <si>
    <t>Includes only updates concerning financial institutions</t>
  </si>
  <si>
    <t>Excludes budget, monetary policies, changes to board members, public policy</t>
  </si>
  <si>
    <t>Includes only speeches regarding amendments to Bills</t>
  </si>
  <si>
    <t>Monetary Authority of Singapore (MAS)</t>
  </si>
  <si>
    <t>Information paper</t>
  </si>
  <si>
    <t>Monograph</t>
  </si>
  <si>
    <t>Includes only Practice Statements from the MAS Securities Industry Council</t>
  </si>
  <si>
    <t>Includes only regulatory and enforcement related updates</t>
  </si>
  <si>
    <t xml:space="preserve">Regulatory Dates </t>
  </si>
  <si>
    <t>Personal Data Protection Commission (Singapore)</t>
  </si>
  <si>
    <t>Excludes advertorials, events</t>
  </si>
  <si>
    <t>Singapore Deposit Insurance Corporation (SDIC)</t>
  </si>
  <si>
    <t>Singapore Exchange (SGX)</t>
  </si>
  <si>
    <t>Regulator's column</t>
  </si>
  <si>
    <t>Singapore Foreign Exchange Market Committee</t>
  </si>
  <si>
    <t xml:space="preserve">South Korea </t>
  </si>
  <si>
    <t>Anti-Corruption &amp; Civil Rights Commission (ACRC)</t>
  </si>
  <si>
    <t>Bank of Korea</t>
  </si>
  <si>
    <t>Korean</t>
  </si>
  <si>
    <t>Korea Deposit Insurance Corporation (KDIC)</t>
  </si>
  <si>
    <t>Includes financial regulatory related updates; Excludes activities</t>
  </si>
  <si>
    <t>Korea Fair Trade Commission (KFTC)</t>
  </si>
  <si>
    <t xml:space="preserve">Annual report </t>
  </si>
  <si>
    <t>Korea Federation of Banks (KFB)</t>
  </si>
  <si>
    <t>Excludes non-financial news, economic news</t>
  </si>
  <si>
    <t>Excludes financial institution specific notices</t>
  </si>
  <si>
    <t>Korea Financial Intelligence Unit (KFIU)</t>
  </si>
  <si>
    <t xml:space="preserve">Korea Financial Investment Association </t>
  </si>
  <si>
    <t>Korea Financial Services Commission</t>
  </si>
  <si>
    <t>Korea Financial Supervisory Service</t>
  </si>
  <si>
    <t xml:space="preserve">Consultation   </t>
  </si>
  <si>
    <t>Korea Securities Dealers Association</t>
  </si>
  <si>
    <t>Korea Securities Depository (KSD)</t>
  </si>
  <si>
    <t>Excludes settlement value of bonds, trade name changes</t>
  </si>
  <si>
    <t xml:space="preserve">Korea Securities Finance Corp </t>
  </si>
  <si>
    <t xml:space="preserve">Korea Exchange </t>
  </si>
  <si>
    <t>Excludes updates on economic forums and lectures, appointments, statistical reports, and regular brokerage activities
Include updates on anti-money laundering and financial legislation</t>
  </si>
  <si>
    <t>Ministry of Economy and Finance (MOEF) (South Korea)</t>
  </si>
  <si>
    <t>Excludes updates on legislation concerning tourism on Jeju Island</t>
  </si>
  <si>
    <t xml:space="preserve">Sri Lanka </t>
  </si>
  <si>
    <t>Central Bank of Sri Lanka</t>
  </si>
  <si>
    <t>Excludes government securities, bonds, economic developments, sector performance, auctions, inflation updates, surveys</t>
  </si>
  <si>
    <t>Colombo Stock Exchange (CSE)</t>
  </si>
  <si>
    <t>Includes only regulatory updates, excludes trading information</t>
  </si>
  <si>
    <t>Ministry of Finance (Sri Lanka)</t>
  </si>
  <si>
    <t>Includes only regulatory updates related to financial sectors</t>
  </si>
  <si>
    <t>Securities and Exchange Commission of Sri Lanka</t>
  </si>
  <si>
    <t>Taiwan</t>
  </si>
  <si>
    <t>Bankers Association of the Republic of China</t>
  </si>
  <si>
    <t>Includes holiday schedules</t>
  </si>
  <si>
    <t>Includes directions, comparison tables</t>
  </si>
  <si>
    <t>Includes financial risk related speeches</t>
  </si>
  <si>
    <t>Central Bank of the Republic of China (Taiwan)</t>
  </si>
  <si>
    <t>Includes regulatory notices</t>
  </si>
  <si>
    <t>Includes news about public consultations; regulatory news; news on disasters and risk control measures; news on cooperation with other regulators in regulatory matters</t>
  </si>
  <si>
    <t>Central Deposit Insurance Corporation (CDIC) (Taiwan)</t>
  </si>
  <si>
    <t>Includes regulatory updates, cooperation with other organisations, system changes.</t>
  </si>
  <si>
    <t>Includes regulatory updates and inspections</t>
  </si>
  <si>
    <t>Chinese National Futures Association</t>
  </si>
  <si>
    <t>Consumer Protection Committee (CPC)</t>
  </si>
  <si>
    <t>Includes only regulatory updates related to financial consumers</t>
  </si>
  <si>
    <t>Fair Trade Commission (Taiwan)</t>
  </si>
  <si>
    <t>Includes only content relating to financial services</t>
  </si>
  <si>
    <t>Financial Information Service Co (FISC)</t>
  </si>
  <si>
    <t>Includes regulatory publications</t>
  </si>
  <si>
    <t>Insurance Agency Association of the Republic of China (Taiwan)</t>
  </si>
  <si>
    <t xml:space="preserve">Includes only notices published by the regulator </t>
  </si>
  <si>
    <t>Joint Credit Information Center (JCIC)</t>
  </si>
  <si>
    <t>Legislative Yuan of the Republic of China</t>
  </si>
  <si>
    <t>Ministry of Finance (Taiwan)</t>
  </si>
  <si>
    <t>Ministry of Justice (Taiwan)</t>
  </si>
  <si>
    <t>Includes only releases concerning AML/CFT</t>
  </si>
  <si>
    <t>R.O.C. Bills Finance Association</t>
  </si>
  <si>
    <t>Securities Investment Trust &amp; Consulting Association of The R.O.C.</t>
  </si>
  <si>
    <t xml:space="preserve">Includes only releases relating to SITCA </t>
  </si>
  <si>
    <t>Taipei Exchange (formerly GreTai Securities Market)</t>
  </si>
  <si>
    <t>Includes regulatory changes; tax matters; public consultations; holiday notices</t>
  </si>
  <si>
    <t>Policy Statement</t>
  </si>
  <si>
    <t>Taiwan Clearing House</t>
  </si>
  <si>
    <t>Includes regulatory news; news on disasters and risk control measures; news on cooperation with other regulators in regulatory matters</t>
  </si>
  <si>
    <t>Taiwan Depository &amp; Clearing Corporation</t>
  </si>
  <si>
    <t>Taiwan Financial Supervisory Commission</t>
  </si>
  <si>
    <t>Includes Monthly Financial Outlooks</t>
  </si>
  <si>
    <t>Includes amendments; claims; new rules, interpretations, supporting explanations</t>
  </si>
  <si>
    <t>Includes draft amendments, approvals, enforcement actions</t>
  </si>
  <si>
    <t>Taiwan Futures Exchange</t>
  </si>
  <si>
    <t>Includes amendments, adjustments, new rules, claims</t>
  </si>
  <si>
    <t>Includes market arrangements, trading services</t>
  </si>
  <si>
    <t>Includes only speeches regarding regulatory updates, standards, guidances, and measures</t>
  </si>
  <si>
    <t>Taiwan Securities Association</t>
  </si>
  <si>
    <t xml:space="preserve">Includes regulatory changes </t>
  </si>
  <si>
    <t>Taiwan Stock Exchange</t>
  </si>
  <si>
    <t>Trust Association of R.O.C.</t>
  </si>
  <si>
    <t>Includes regulatory news; training events</t>
  </si>
  <si>
    <t xml:space="preserve">Excludes regulatory updates already covered by other regulators, ie. only include regulatory updates originating from this regulator itself and regulations affecting members of this regulator but not covered by other Tracker updates. </t>
  </si>
  <si>
    <t>Thailand</t>
  </si>
  <si>
    <t xml:space="preserve">Anti-Money Laundering Office </t>
  </si>
  <si>
    <t xml:space="preserve">Ordinance </t>
  </si>
  <si>
    <t>Association of Thai Securities Companies (ASCO)</t>
  </si>
  <si>
    <t>Bank of Thailand</t>
  </si>
  <si>
    <t>Excludes bond issuance/sales or interest rates, includes announcements of guidelines or rules</t>
  </si>
  <si>
    <t>Excludes bond prices, selling schedules</t>
  </si>
  <si>
    <t>Includes policy news and reports, AML news, bank operations news</t>
  </si>
  <si>
    <t>Deposit Protection Agency (DPA)</t>
  </si>
  <si>
    <t>Excludes no gifts and agency locations</t>
  </si>
  <si>
    <t>Ministry of Finance (Thailand)</t>
  </si>
  <si>
    <t>Excludes placements/recruitments, macroeconomic topics, interest rates</t>
  </si>
  <si>
    <t>Office of Insurance Commission (OIC)</t>
  </si>
  <si>
    <t>Excludes regulations against non-financial entities &amp; enforcements against individuals and individual companies</t>
  </si>
  <si>
    <t xml:space="preserve">FAQs </t>
  </si>
  <si>
    <t>Securities and Exchange Commission (Thailand)</t>
  </si>
  <si>
    <t>Excludes updates on economic forums and lectures, appointments, statistical reports, and regular brokerage activities
Includes updates on anti-money laundering and financial legislation</t>
  </si>
  <si>
    <t>Stock Exchange of Thailand (SET)</t>
  </si>
  <si>
    <t>Includes suspensions, listings, market surveillance</t>
  </si>
  <si>
    <t>Thai Bond Market Association (ThaiBMA)</t>
  </si>
  <si>
    <t>Includes calls for comment, regulatory updates and changes and rule enforcements</t>
  </si>
  <si>
    <t>Thailand Futures Exchange (TFEX)</t>
  </si>
  <si>
    <t xml:space="preserve">Vietnam </t>
  </si>
  <si>
    <t>Deposit Insurance of Vietnam (DIV)</t>
  </si>
  <si>
    <t>Hanoi Stock Exchange (HNX)</t>
  </si>
  <si>
    <t>Vietnamese</t>
  </si>
  <si>
    <t>Hochiminh Stock Exchange</t>
  </si>
  <si>
    <t>Excludes financial reports, trading status</t>
  </si>
  <si>
    <t>Includes notices of amendments and rule enforcements</t>
  </si>
  <si>
    <t>Ministry of Finance (Vietnam)</t>
  </si>
  <si>
    <t>Includes only regulatory-related updates, excludes visitation updates</t>
  </si>
  <si>
    <t>State Bank of Vietnam</t>
  </si>
  <si>
    <t>Includes press releases on regulatory changes; entity authorisations; holiday announcements</t>
  </si>
  <si>
    <t>State Securities Commission of Vietnam</t>
  </si>
  <si>
    <t>Excludes trading information, seminars, non-regulatory related matters</t>
  </si>
  <si>
    <t>Vietnam Securities Depository (VSD)</t>
  </si>
  <si>
    <t>Excludes duplicative content captured separately</t>
  </si>
  <si>
    <t>Excludes trading information, cash dividend payments, statistics</t>
  </si>
  <si>
    <t>Latin America and Caribbean</t>
  </si>
  <si>
    <t xml:space="preserve">Antigua and Barbuda </t>
  </si>
  <si>
    <t>Financial Services Regulatory Commission (Antigua &amp; Barbuda)</t>
  </si>
  <si>
    <t>Includes CMTSPA Guide and regulatory laws. Most other content filtered</t>
  </si>
  <si>
    <t>News Release</t>
  </si>
  <si>
    <t>Argentina</t>
  </si>
  <si>
    <t>Bolsa y Mercados Argentinos (BYMA)</t>
  </si>
  <si>
    <t>Excludes tax legislation</t>
  </si>
  <si>
    <t xml:space="preserve">Central Bank of Argentina </t>
  </si>
  <si>
    <t>Excludes communications re: monetary policy, appointments, taxes, enforcements, educational opportunities</t>
  </si>
  <si>
    <t>Excludes content re: monetary policy, appointments, taxes, enforcements, educational opportunities</t>
  </si>
  <si>
    <t>Comision Nacional de Valores (Argentina)</t>
  </si>
  <si>
    <t>General resolution</t>
  </si>
  <si>
    <t>Interpretive release</t>
  </si>
  <si>
    <t xml:space="preserve">Press release </t>
  </si>
  <si>
    <t>Excludes enforcements</t>
  </si>
  <si>
    <t>Mercado Abierto Electronico de Argentina</t>
  </si>
  <si>
    <t>Excludes pricing requirements</t>
  </si>
  <si>
    <t>Rosario Futures Exchange</t>
  </si>
  <si>
    <t>Excludes withdrawals of approval notices</t>
  </si>
  <si>
    <t>Unidad de Informacion Financiera (Argentina)</t>
  </si>
  <si>
    <t>Aruba</t>
  </si>
  <si>
    <t>Central Bank of Aruba</t>
  </si>
  <si>
    <t>Includes AML and CFT content specifically</t>
  </si>
  <si>
    <t>Dutch/English</t>
  </si>
  <si>
    <t>Excludes Application Forms for Foreign Exchange Transactions</t>
  </si>
  <si>
    <t xml:space="preserve">Includes Foreign account holder and commercial bank content only </t>
  </si>
  <si>
    <t>Includes FATF content only</t>
  </si>
  <si>
    <t>The Bahamas</t>
  </si>
  <si>
    <t>Bahamas Financial Services Board</t>
  </si>
  <si>
    <t>Excludes approvals to operate and appointments</t>
  </si>
  <si>
    <t>Central Bank of the Bahamas</t>
  </si>
  <si>
    <t>Excludes approvals to operate</t>
  </si>
  <si>
    <t>Financial Intelligence Unit (Bahamas)</t>
  </si>
  <si>
    <t>Insurance Commission of the Bahamas</t>
  </si>
  <si>
    <t>Securities Commission of The Bahamas</t>
  </si>
  <si>
    <t xml:space="preserve">Code </t>
  </si>
  <si>
    <t>Excludes entity specific information (approval to operate, winding up, and similar)</t>
  </si>
  <si>
    <t>Barbados</t>
  </si>
  <si>
    <t>Barbados Financial Intelligence Unit/Anti-Money Laundering Authority (FIU/AMLA)</t>
  </si>
  <si>
    <t>Includes only content specific to financial services</t>
  </si>
  <si>
    <t>Barbados Stock Exchange</t>
  </si>
  <si>
    <t>Central Bank of Barbados</t>
  </si>
  <si>
    <t>Includes only regulatory releases.</t>
  </si>
  <si>
    <t>Financial Services Commission (FSC) (Barbados)</t>
  </si>
  <si>
    <t>Excludes tax-related releases</t>
  </si>
  <si>
    <t>Belize</t>
  </si>
  <si>
    <t>Central Bank of Belize</t>
  </si>
  <si>
    <t>Includes only the Domestic Banks &amp; Financial Institutions Act, International Banking Act, Money Laundering &amp; Terrorism (Prevention) Act and the Exchange Control Act</t>
  </si>
  <si>
    <t>International Financial Services Commission (IFSC) </t>
  </si>
  <si>
    <t>Includes financial services related content only</t>
  </si>
  <si>
    <t>Office of the Supervisor of Insurance &amp; Private Pension (OSIPP) (Belize)</t>
  </si>
  <si>
    <t>Includes CFATF and FATF releases not tracked via other regulators</t>
  </si>
  <si>
    <t>Bolivia</t>
  </si>
  <si>
    <t>Bolsa Boliviana De Valores</t>
  </si>
  <si>
    <t>Please note that some circulars are sometimes published years after the date on the document</t>
  </si>
  <si>
    <t>Brazil</t>
  </si>
  <si>
    <t>Associacao Brasileira das Entidades dos Mercados Financeiro e de Capitais (ANBIMA)</t>
  </si>
  <si>
    <t>Portuguese</t>
  </si>
  <si>
    <t xml:space="preserve">Y  </t>
  </si>
  <si>
    <t>Excludes training-related content</t>
  </si>
  <si>
    <t>Excludes administrative announcements</t>
  </si>
  <si>
    <t>Supervision Circular</t>
  </si>
  <si>
    <t>Excludes 'restricted content' circulars</t>
  </si>
  <si>
    <t>Supervision Release</t>
  </si>
  <si>
    <t>Excludes 'restricted content' communications</t>
  </si>
  <si>
    <t>Associacao dos Analistas e Profissionais de Investimento do Mercado de Capitais (APIMEC)</t>
  </si>
  <si>
    <t>Excludes training-related content, news bulletins, instrument-specific announcements</t>
  </si>
  <si>
    <t>B3</t>
  </si>
  <si>
    <t>Portuguese/English</t>
  </si>
  <si>
    <t>Excludes updates from other regulators</t>
  </si>
  <si>
    <t>BM&amp;FBOVESPA</t>
  </si>
  <si>
    <t>No longer tracked; superseded by B3</t>
  </si>
  <si>
    <t>Operational procedure manual</t>
  </si>
  <si>
    <t>Central Bank of Brazil</t>
  </si>
  <si>
    <t>Includes specifically international capital and foreign exchange market regulation and circulars that succeeded the RMCCI as of February 3, 2014</t>
  </si>
  <si>
    <t xml:space="preserve">Excludes appointments, monetary policy, approvals for operation, </t>
  </si>
  <si>
    <t>Cetip</t>
  </si>
  <si>
    <t>Comissao de Valores Mobiliarios</t>
  </si>
  <si>
    <t>Excludes training/meeting announcements</t>
  </si>
  <si>
    <t xml:space="preserve">Explanatory note </t>
  </si>
  <si>
    <t>Excludes market performance and enforcement announcements</t>
  </si>
  <si>
    <t>Conselho de Controle de Atividades Financeiras (COAF)</t>
  </si>
  <si>
    <t>Includes content applicable to financial institutions only</t>
  </si>
  <si>
    <t>Federação Brasileira de Bancos (FEBRABAN)</t>
  </si>
  <si>
    <t>Includes only regulatory announcements</t>
  </si>
  <si>
    <t>Presidente da República (Brazil)</t>
  </si>
  <si>
    <t>Includes only financial services content</t>
  </si>
  <si>
    <t>Superintendencia de Seguros Privados (SUSEP)</t>
  </si>
  <si>
    <t>Superintendência Nacional de Previdência Complementar (Previc)</t>
  </si>
  <si>
    <t>Excludes internal organization announcements</t>
  </si>
  <si>
    <t>Excludes authorizations</t>
  </si>
  <si>
    <t>British Virgin Islands</t>
  </si>
  <si>
    <t>British Virgin Islands Financial Services Commission</t>
  </si>
  <si>
    <t xml:space="preserve">Cayman Islands </t>
  </si>
  <si>
    <t>Cayman Islands Monetary Authority</t>
  </si>
  <si>
    <t>Includes only AML specific content</t>
  </si>
  <si>
    <t>Department for International Tax Cooperation (Cayman Islands)</t>
  </si>
  <si>
    <t xml:space="preserve">Includes FATCA Legislation and Resources only </t>
  </si>
  <si>
    <t>Financial Reporting Authority (FRA) (Cayman Islands)</t>
  </si>
  <si>
    <t>Chile</t>
  </si>
  <si>
    <t>Bolsa de Santiago</t>
  </si>
  <si>
    <t>Excludes lists of organizations/customers</t>
  </si>
  <si>
    <t>CCLV</t>
  </si>
  <si>
    <t>Excludes content on valuations, election results, appointments</t>
  </si>
  <si>
    <t>Excludes presentations and case studies</t>
  </si>
  <si>
    <t>Central Bank of Chile</t>
  </si>
  <si>
    <t xml:space="preserve">ComBanc </t>
  </si>
  <si>
    <t>Excludes instrument-specific announcements</t>
  </si>
  <si>
    <t>Comisión para el Mercado Financiero</t>
  </si>
  <si>
    <t xml:space="preserve">Excludes monetary policy </t>
  </si>
  <si>
    <t>General rule</t>
  </si>
  <si>
    <t>Excludes enforcements, market reports</t>
  </si>
  <si>
    <t>Depósito Central de Valores (DCV) (Chile)</t>
  </si>
  <si>
    <t>Excludes non-financial services content</t>
  </si>
  <si>
    <t>Ministerio de Hacienda (Chile)</t>
  </si>
  <si>
    <t>Superintendencia de Bancos e Instituciones Financieras (SBIF)</t>
  </si>
  <si>
    <t>Excludes enforcements, internal operations memos</t>
  </si>
  <si>
    <t>Unidad de Analisis Financiero (Chile)</t>
  </si>
  <si>
    <t>Excludes content for non-financial services institutions</t>
  </si>
  <si>
    <t>Colombia</t>
  </si>
  <si>
    <t>Asobancaria</t>
  </si>
  <si>
    <t>Autorregulador del Mercado de Valores (AMV)</t>
  </si>
  <si>
    <t>Bolsa de Valores de Colombia</t>
  </si>
  <si>
    <t>Excludes "Informational" Bulletin on Index updates, approvals to operate, instrument-specific information</t>
  </si>
  <si>
    <t>Central Bank of Colombia</t>
  </si>
  <si>
    <t>Dirección de Impuestos y Aduanas Nacionales (DIAN) (Colombia)</t>
  </si>
  <si>
    <t xml:space="preserve">N/A </t>
  </si>
  <si>
    <t>Ministerio de Hacienda y Crédito Público (Colombia)</t>
  </si>
  <si>
    <t>Ministerio del Trabajo (Colombia)</t>
  </si>
  <si>
    <t xml:space="preserve">Circular   </t>
  </si>
  <si>
    <t>Includes content applicable to pensions only</t>
  </si>
  <si>
    <t>Superintendencia Financiera de Colombia</t>
  </si>
  <si>
    <t>Excludes entity-specific approvals</t>
  </si>
  <si>
    <t>External circular</t>
  </si>
  <si>
    <t>Costa Rica</t>
  </si>
  <si>
    <t>Bolsa Nacional de Valores - Costa Rica</t>
  </si>
  <si>
    <t>Central Bank of Costa Rica</t>
  </si>
  <si>
    <t>Board agreement</t>
  </si>
  <si>
    <t>Excludes economic and monetary policy, internal operations, public-sector content</t>
  </si>
  <si>
    <t>Superintendencia de Pensiones (SUPEN) (Costa Rica)</t>
  </si>
  <si>
    <t>Superintendencia General de Entidades Financieras (SUGEF)</t>
  </si>
  <si>
    <t>Excludes training and education-related content</t>
  </si>
  <si>
    <t xml:space="preserve">Proposed regulation </t>
  </si>
  <si>
    <t>Superintendencia General de Seguros (SUGESE)</t>
  </si>
  <si>
    <t>Draft agreement</t>
  </si>
  <si>
    <t>Superintendencia General de Valores (SUGEVAL)</t>
  </si>
  <si>
    <t>Curaçao and Sint Maarten</t>
  </si>
  <si>
    <t>Central Bank of Curacao and Sint Maarten</t>
  </si>
  <si>
    <t>Excludes non-financial services content (e.g. healthcare)</t>
  </si>
  <si>
    <t>Dominica</t>
  </si>
  <si>
    <t>Financial Services Unit (FSU) (Dominica)</t>
  </si>
  <si>
    <t>Dominican Republic</t>
  </si>
  <si>
    <t>Banco Central de la República Dominicana</t>
  </si>
  <si>
    <t>Bolsa de Valores de la República Dominicana</t>
  </si>
  <si>
    <t>Superintendencia de Bancos (Dominican Republic)</t>
  </si>
  <si>
    <t>Excludes some internal operations content</t>
  </si>
  <si>
    <t>Superintendencia del Mercado de Valores de la República Dominicana (SIMV)</t>
  </si>
  <si>
    <t>Superintendencia de Pensiones (SIPEN) (Dominican Republic)</t>
  </si>
  <si>
    <t>Superintendencia de Seguros (Dominican Republic)</t>
  </si>
  <si>
    <t>Unidad de Análisis Financiero (Dominican Republic)</t>
  </si>
  <si>
    <t>Ecuador</t>
  </si>
  <si>
    <t>Junta de Política y Regulación Monetaria y Financiera</t>
  </si>
  <si>
    <t>Excludes internal governance/monetary policy content</t>
  </si>
  <si>
    <t>Superintendencia de Bancos (Ecuador)</t>
  </si>
  <si>
    <t>Excludes suitability report, authorizations and ratings</t>
  </si>
  <si>
    <t>Superintendencia de Companias, Valores, y Seguros</t>
  </si>
  <si>
    <t>Includes securities-related content only</t>
  </si>
  <si>
    <t>El Salvador</t>
  </si>
  <si>
    <t>Central Bank of El Salvador</t>
  </si>
  <si>
    <t>Excludes economic and monetary policy</t>
  </si>
  <si>
    <t>Superintendencia del Sistema Financiero (SSF)</t>
  </si>
  <si>
    <t>Excludes meeting, internal organization and authorization announcements</t>
  </si>
  <si>
    <t>Guyana</t>
  </si>
  <si>
    <t>Bank of Guyana</t>
  </si>
  <si>
    <t xml:space="preserve">Honduras </t>
  </si>
  <si>
    <t>Comision Nacional de Bancos y Seguros (CNBS)</t>
  </si>
  <si>
    <t>Excludes registration/authorization announcements and content exclusive to bonded warehouses</t>
  </si>
  <si>
    <t xml:space="preserve">Jamaica </t>
  </si>
  <si>
    <t>Bank of Jamaica</t>
  </si>
  <si>
    <t>Financial Services Commission of Jamaica (FSCJ)</t>
  </si>
  <si>
    <t>Includes securities/pensions/insurance-related content only</t>
  </si>
  <si>
    <t>Excludes education announcements, product announcements</t>
  </si>
  <si>
    <t>Jamaica Deposit Insurance Corporation (JDIC)</t>
  </si>
  <si>
    <t>Mexico</t>
  </si>
  <si>
    <t>Asigna, Compensación y Liquidación</t>
  </si>
  <si>
    <t>Asociacion Mexicana de Intermediarios Bursatiles</t>
  </si>
  <si>
    <t>Excludes authorizations, rates and enforcements</t>
  </si>
  <si>
    <t>Bank of Mexico</t>
  </si>
  <si>
    <t>Bolsa Mexicana de Valores (BMV)</t>
  </si>
  <si>
    <t>Spanish/English</t>
  </si>
  <si>
    <t>Comisión Nacional Bancaria y de Valores (CNBV)</t>
  </si>
  <si>
    <t>Comisión Nacional de Mejora Regulatoria (CONAMER)</t>
  </si>
  <si>
    <t>Comisión Nacional para la Protección y Defensa de los Usuarios de Servicios Financieros (CONDUSEF)</t>
  </si>
  <si>
    <t>Congreso de la Unión</t>
  </si>
  <si>
    <t>Contraparte Central de Valores (CCV)</t>
  </si>
  <si>
    <t>Excludes republished Federal content</t>
  </si>
  <si>
    <t>Indeval</t>
  </si>
  <si>
    <t>Instituto para la Protección al Ahorro Bancario (IPAB)</t>
  </si>
  <si>
    <t>Mexican Derivatives Exchange (MexDer)</t>
  </si>
  <si>
    <t>Secretaria de Hacienda y Credito Publico (SHCP)</t>
  </si>
  <si>
    <t>Montserrat</t>
  </si>
  <si>
    <t>Financial Services Commission of Montserrat</t>
  </si>
  <si>
    <t>Excludes information on taxes, trademarks, patents, partnerships and registrations</t>
  </si>
  <si>
    <t>Nicaragua</t>
  </si>
  <si>
    <t xml:space="preserve">Bolsa de Valores de Nicaragua   </t>
  </si>
  <si>
    <t xml:space="preserve">Manuals </t>
  </si>
  <si>
    <t>Unidad de Analisis Financiero (Nicaragua)</t>
  </si>
  <si>
    <t>Excludes news bulletins</t>
  </si>
  <si>
    <t>Excludes list of highest Authorities</t>
  </si>
  <si>
    <t>Panama</t>
  </si>
  <si>
    <t>Bolsa de Valores de Panamá</t>
  </si>
  <si>
    <t>Ministerio de Comercio e Industrias (MICI) </t>
  </si>
  <si>
    <t>Not currently tracked</t>
  </si>
  <si>
    <t>Superintendencia de Bancos de Panama</t>
  </si>
  <si>
    <t>Excludes payment suspensions</t>
  </si>
  <si>
    <t>Excludes training/appointment announcements</t>
  </si>
  <si>
    <t>Excludes public policy initiatives (industry support)</t>
  </si>
  <si>
    <t>Excludes authorizations to operate</t>
  </si>
  <si>
    <t>Superintendencia de Seguros y Reaseguros de Panamá</t>
  </si>
  <si>
    <t>Excludes monthly statistics announcements</t>
  </si>
  <si>
    <t>Superintendencia del Mercado de Valores (SMV Panama)</t>
  </si>
  <si>
    <t>Includes only AML content</t>
  </si>
  <si>
    <t>Unidad de Analisis Financiero (Panama)</t>
  </si>
  <si>
    <t>Excludes meeting and internal organizational announcements</t>
  </si>
  <si>
    <t>Excludes content for non-financial services institution</t>
  </si>
  <si>
    <t>Paraguay</t>
  </si>
  <si>
    <t>Central Bank of Paraguay</t>
  </si>
  <si>
    <t>Excludes authorizations,</t>
  </si>
  <si>
    <t>Comision Nacional de Valores (Paraguay)</t>
  </si>
  <si>
    <t>Peru</t>
  </si>
  <si>
    <t>Central Reserve Bank of Peru</t>
  </si>
  <si>
    <t>Excludes trip authorizations</t>
  </si>
  <si>
    <t>Ministerio del Trabajo y Promocion del Empleo (Peru)</t>
  </si>
  <si>
    <t>Superintendencia de Banca, Seguros y AFP (SBS)</t>
  </si>
  <si>
    <t>Accounting manual</t>
  </si>
  <si>
    <t>SUCAVE update</t>
  </si>
  <si>
    <t>Superintendencia del Mercado de Valores (SMV Peru)</t>
  </si>
  <si>
    <t>Excludes training announcements</t>
  </si>
  <si>
    <t>Excludes appointments/authorizations to operation</t>
  </si>
  <si>
    <t>Puerto Rico</t>
  </si>
  <si>
    <t>Office of the Commissioner of Insurance (Puerto Rico)</t>
  </si>
  <si>
    <t>Oficina del Comisionado de Instituciones Financieras (OCIF)</t>
  </si>
  <si>
    <t>Saint Kitts and Nevis</t>
  </si>
  <si>
    <t>Financial Services Regulatory Commission (FSRC) (Saint Kitts and Nevis)</t>
  </si>
  <si>
    <t>Saint Lucia</t>
  </si>
  <si>
    <t>Financial Services Regulatory Authority (FSRA) (Saint Lucia)</t>
  </si>
  <si>
    <t>Saint Vincent and the Grenadines</t>
  </si>
  <si>
    <t>Financial Services Authority (FSA) (Saint Vincent and the Grenadines)</t>
  </si>
  <si>
    <t>Suriname</t>
  </si>
  <si>
    <t>Central Bank of Suriname</t>
  </si>
  <si>
    <t>English/Dutch</t>
  </si>
  <si>
    <t>Excludes monetary policy announcements.</t>
  </si>
  <si>
    <t>Trinidad and Tobago</t>
  </si>
  <si>
    <t>Central Bank of Trinidad &amp; Tobago</t>
  </si>
  <si>
    <t>Financial Intelligence Unit of Trinidad and Tobago</t>
  </si>
  <si>
    <t>Excludes event notices</t>
  </si>
  <si>
    <t>Includes only documents specific to AML deficiencies</t>
  </si>
  <si>
    <t>Trinidad and Tobago Securities and Exchange Commission</t>
  </si>
  <si>
    <t xml:space="preserve">Circular letter </t>
  </si>
  <si>
    <t>Include only AML, repo agreements, compliance officers forms</t>
  </si>
  <si>
    <t>Include only AML, repo agreements, compliance officers forms. Excludes instrument-specific announcements</t>
  </si>
  <si>
    <t>Turks and Caicos Islands</t>
  </si>
  <si>
    <t>Financial Services Commission of Turks &amp; Caicos</t>
  </si>
  <si>
    <t>Excludes appointment, awards, training, and monetary policy announcements</t>
  </si>
  <si>
    <t>United States Virgin Islands</t>
  </si>
  <si>
    <t>Division of Banking, Insurance and Financial Regulation (United States Virgin Islands)</t>
  </si>
  <si>
    <t>Includes content related to insurance companies; excludes content related to property owners</t>
  </si>
  <si>
    <t>Uruguay</t>
  </si>
  <si>
    <t>Central Bank of Uruguay</t>
  </si>
  <si>
    <t>Excludes internal operations notices</t>
  </si>
  <si>
    <t>Dirección General Impositiva (DGI) (Uruguay)</t>
  </si>
  <si>
    <t xml:space="preserve">Includes only financial services content </t>
  </si>
  <si>
    <t>Venezuela</t>
  </si>
  <si>
    <t>Central Bank of Venezuela (BCV)</t>
  </si>
  <si>
    <t>Excludes appointment, awards, training, event notices</t>
  </si>
  <si>
    <t>Excludes event notices and some internal operations content</t>
  </si>
  <si>
    <t>Superintendencia de las Instituciones del Sector Bancario (SUDEBAN)</t>
  </si>
  <si>
    <t>Excludes economic policy and exchange rate content</t>
  </si>
  <si>
    <t>Australia and Oceania</t>
  </si>
  <si>
    <t xml:space="preserve">Australia </t>
  </si>
  <si>
    <t>Association of Financial Advisers (AFA) (Australia)</t>
  </si>
  <si>
    <t xml:space="preserve">Submission   </t>
  </si>
  <si>
    <t>Association of Superannuation Funds of Australia (ASFA)</t>
  </si>
  <si>
    <t>Excludes website maintenance notices, announcements about personal insolvencies/bankruptcy enforcement proceedings not related to finance, appointments</t>
  </si>
  <si>
    <t>Australian Banking Association (ABA)</t>
  </si>
  <si>
    <t xml:space="preserve">Excludes statistics and consumer-oriented releases not included </t>
  </si>
  <si>
    <t xml:space="preserve">Includes only speeches by ABA CEO </t>
  </si>
  <si>
    <t>Australian Competition and Consumer Commission</t>
  </si>
  <si>
    <t>Includes only releases related to Banking and Finance.</t>
  </si>
  <si>
    <t>Includes only publications about financial services regulation</t>
  </si>
  <si>
    <t>Includes only speeches about regulatory developments</t>
  </si>
  <si>
    <t>Australian Consumer Credit Code</t>
  </si>
  <si>
    <t xml:space="preserve">Credit law </t>
  </si>
  <si>
    <t>Australian Department of Foreign Affairs and Trade (DFAT)</t>
  </si>
  <si>
    <t>Includes only financial sanctions specific content</t>
  </si>
  <si>
    <t>Australian Finance Industry Association (AFIA)</t>
  </si>
  <si>
    <t>Australian Financial Complaints Authority (AFCA)</t>
  </si>
  <si>
    <t>Excludes appointments and releases announcing the publication of document covered elsewhere</t>
  </si>
  <si>
    <t>Australian Financial Markets Association (AFMA)</t>
  </si>
  <si>
    <t>Excludes announcements on appointments, elections, budget</t>
  </si>
  <si>
    <t>Australian Financial Security Authority (formerly the Insolvency and Trustee Service Australia)</t>
  </si>
  <si>
    <t>Excludes releases concerning statistics, personal insolvency, website maintenance</t>
  </si>
  <si>
    <t>Excludes notices concerning statistics, personal insolvency, website maintenance</t>
  </si>
  <si>
    <t>Australian Government - Attorney-General's Department</t>
  </si>
  <si>
    <t>Includes only releases about financial services regulation</t>
  </si>
  <si>
    <t>Australian Government - The Treasury</t>
  </si>
  <si>
    <t>Includes only releases about financial services regulation, consumer-oriented releases not included</t>
  </si>
  <si>
    <t>Includes only reports about financial services regulation</t>
  </si>
  <si>
    <t>Australian Institute of Superannuation Trustees (AIST)</t>
  </si>
  <si>
    <t>Excludes appointments/awards, releases aimed at consumers</t>
  </si>
  <si>
    <t xml:space="preserve">Australian Payments Council </t>
  </si>
  <si>
    <t>Australian Payments Network Limited</t>
  </si>
  <si>
    <t>Includes only milestone reports</t>
  </si>
  <si>
    <t>Australian Prudential Regulation Authority (APRA)</t>
  </si>
  <si>
    <t xml:space="preserve">Enforcement action </t>
  </si>
  <si>
    <t xml:space="preserve">Letter to ADIs </t>
  </si>
  <si>
    <t>Letter to General Insurers</t>
  </si>
  <si>
    <t>Letter to trustee</t>
  </si>
  <si>
    <t>Excludes duplicative content e.g. announcements about a document/ event we have caputured separately</t>
  </si>
  <si>
    <t>Prudential practice guide</t>
  </si>
  <si>
    <t xml:space="preserve">Includes statistical releases relating to the banking and insurance sectors and ad hoc regulatory updates </t>
  </si>
  <si>
    <t>Regulation impact statement</t>
  </si>
  <si>
    <t>Regulatory plan</t>
  </si>
  <si>
    <t>Australian Retail Credit Association (ARCA)</t>
  </si>
  <si>
    <t>Excludes "statements" and other non-regulatory content.</t>
  </si>
  <si>
    <t>Australian Securities Exchange (ASX)</t>
  </si>
  <si>
    <t>Compliance in focus newsletter</t>
  </si>
  <si>
    <t>Market announcement</t>
  </si>
  <si>
    <t>Excludes presentations to investors, appointments, meeting notices</t>
  </si>
  <si>
    <t>Includes only speeches about regulatory developments.</t>
  </si>
  <si>
    <t>Submission paper</t>
  </si>
  <si>
    <t>Australian Securities and Investments Commission (ASIC)</t>
  </si>
  <si>
    <t xml:space="preserve">Excludes duplicative content e.g. announcements about a document/ event we have caputured separately. Announcements aimed at consumers not included. </t>
  </si>
  <si>
    <t>Overview of decisions</t>
  </si>
  <si>
    <t>Regulatory impact statement</t>
  </si>
  <si>
    <t xml:space="preserve">Report on submissions </t>
  </si>
  <si>
    <t>Australian Taxation Office (ATO)</t>
  </si>
  <si>
    <t>Commissioner's update</t>
  </si>
  <si>
    <t>Includes only updates regarding Super</t>
  </si>
  <si>
    <t>Compliance programme</t>
  </si>
  <si>
    <t xml:space="preserve">Includes only releases about regulatory developments </t>
  </si>
  <si>
    <t>Includes only releases related to superannuation</t>
  </si>
  <si>
    <t>Australian Transactions Reports and Analysis Centre (AUSTRAC)</t>
  </si>
  <si>
    <t>Rule amendment instrument</t>
  </si>
  <si>
    <t>Banking Code Compliance Committee (BCCC)</t>
  </si>
  <si>
    <t>Chi-X Australia</t>
  </si>
  <si>
    <t>Council of Financial Regulators (CFR)</t>
  </si>
  <si>
    <t>Financial Ombudsman Service (Australia) (FOS)</t>
  </si>
  <si>
    <t>Superseded by Australian Financial Complaints Authority (AFCA)</t>
  </si>
  <si>
    <t>Financial Planning Association of Australia (FPA)</t>
  </si>
  <si>
    <t>Includes only releases about regulatory developments. Releases aimed at consumers not included.</t>
  </si>
  <si>
    <t>Financial Reporting Council (Australia)</t>
  </si>
  <si>
    <t>Financial Services Council (formerly IFSA)</t>
  </si>
  <si>
    <t xml:space="preserve">Financial System Inquiry </t>
  </si>
  <si>
    <t>Governance Institute of Australia</t>
  </si>
  <si>
    <t>Includes only releases about financial regulatory developments</t>
  </si>
  <si>
    <t>Insurance Council of Australia (ICA)</t>
  </si>
  <si>
    <t>Mortgage &amp; Finance Association of Australia (MFAA)</t>
  </si>
  <si>
    <t>National Stock Exchange of Australia</t>
  </si>
  <si>
    <t xml:space="preserve">Revenue NSW </t>
  </si>
  <si>
    <t>Includes only the newsletter titled 'Revenews'</t>
  </si>
  <si>
    <t>Office of the Australian Information Commissioner (OAIC)</t>
  </si>
  <si>
    <t>Expert analysis</t>
  </si>
  <si>
    <t>Includes only data privacy content related to financial regulation</t>
  </si>
  <si>
    <t>Reserve Bank of Australia (RBA)</t>
  </si>
  <si>
    <t>Excludes monetary policy, appointments, awards</t>
  </si>
  <si>
    <t>Payments system publication</t>
  </si>
  <si>
    <t>Excludes economic/ monetary policy</t>
  </si>
  <si>
    <t>Stockbrokers And Financial Advisers Association (SAFAA)</t>
  </si>
  <si>
    <t>Superannuation Complaints Tribunal</t>
  </si>
  <si>
    <t xml:space="preserve">Guidance paper </t>
  </si>
  <si>
    <t xml:space="preserve">Trustee Corporations Association of Australia </t>
  </si>
  <si>
    <t>Yieldbroker</t>
  </si>
  <si>
    <t>Cook Islands</t>
  </si>
  <si>
    <t>Financial Supervisory Commission (FSC) (Cook Islands)</t>
  </si>
  <si>
    <t>Excludes forms</t>
  </si>
  <si>
    <t>Fiji</t>
  </si>
  <si>
    <t>Reserve Bank of Fiji (RBF)</t>
  </si>
  <si>
    <t>Excludes monetary policy</t>
  </si>
  <si>
    <t>Excludes non-financial services topics (e.g. awards, student topics)</t>
  </si>
  <si>
    <t xml:space="preserve">New Zealand </t>
  </si>
  <si>
    <t>Code Committee for Financial Advisers</t>
  </si>
  <si>
    <t>Commerce Commission (New Zealand)</t>
  </si>
  <si>
    <t>Includes only consultations about financial services regulation</t>
  </si>
  <si>
    <t>Includes only enforcements about financial services</t>
  </si>
  <si>
    <t>Excludes releases not related to financial regulation</t>
  </si>
  <si>
    <t>Department of Internal Affairs (Te Tari Taiwhenua)</t>
  </si>
  <si>
    <t>Financial Intelligence Unit (New Zealand)</t>
  </si>
  <si>
    <t>Financial Markets Authority (FMA) (formerly Securities Commission New Zealand)</t>
  </si>
  <si>
    <t xml:space="preserve">Enforceable undertaking </t>
  </si>
  <si>
    <t>Excludes releases aimed at consumers, surveys, statistics, appointments</t>
  </si>
  <si>
    <t>Statement of intent</t>
  </si>
  <si>
    <t xml:space="preserve">Summary of responses </t>
  </si>
  <si>
    <t>Ministry of Business, Innovation and Employment (formerly the Ministry of Economic Development)</t>
  </si>
  <si>
    <t>Includes only reviews of Acts and other financial legislation</t>
  </si>
  <si>
    <t xml:space="preserve">Regulatory impact statement </t>
  </si>
  <si>
    <t>Ministry of Justice (New Zealand)</t>
  </si>
  <si>
    <t>Includes only financial services regulatory developments</t>
  </si>
  <si>
    <t xml:space="preserve">Industry update </t>
  </si>
  <si>
    <t>NZClear</t>
  </si>
  <si>
    <t>New Zealand Bankers' Association (NZBA)</t>
  </si>
  <si>
    <t>Exclude AEOI, conveyancing, weathertight homes</t>
  </si>
  <si>
    <t>New Zealand Exchange (NZX)</t>
  </si>
  <si>
    <t>Discipline annual report</t>
  </si>
  <si>
    <t>Includes only listings information, waivers and enforcements</t>
  </si>
  <si>
    <t>OPEN</t>
  </si>
  <si>
    <t>No longer tracked. Relevant releases captured under Market announcement</t>
  </si>
  <si>
    <t>Rule release</t>
  </si>
  <si>
    <t>New Zealand Serious Fraud Office (SFO)</t>
  </si>
  <si>
    <t>Excludes fraud not related to financial services</t>
  </si>
  <si>
    <t>Overseas Investment Office (OIO)</t>
  </si>
  <si>
    <t>Includes only releases about financial regulation</t>
  </si>
  <si>
    <t>Privacy Commissioner (New Zealand)</t>
  </si>
  <si>
    <t>Private word</t>
  </si>
  <si>
    <t>Reports to the Government</t>
  </si>
  <si>
    <t>Reserve Bank of New Zealand (RBNZ)</t>
  </si>
  <si>
    <t>Code of practice</t>
  </si>
  <si>
    <t>Excludes statistics, monetary policy</t>
  </si>
  <si>
    <t>No longer a productive doc type for this org</t>
  </si>
  <si>
    <t>Excludes monetary/ economic policy</t>
  </si>
  <si>
    <t>Papua New Guinea</t>
  </si>
  <si>
    <t>Bank of Papua New Guinea</t>
  </si>
  <si>
    <t>Includes only notices of a regulatory nature</t>
  </si>
  <si>
    <t>Includes only speeches of a regulatory nature; excludes monetary policy</t>
  </si>
  <si>
    <t>Samoa</t>
  </si>
  <si>
    <t>Central Bank of Samoa (CBS)</t>
  </si>
  <si>
    <t>Includes warnings, announcements of regulatory updates</t>
  </si>
  <si>
    <t>Solomon Islands</t>
  </si>
  <si>
    <t>Central Bank of Solomon Islands (CBSI)</t>
  </si>
  <si>
    <t>Includes warnings, announcements of regulatory updates, financial services related releases</t>
  </si>
  <si>
    <t>Tonga</t>
  </si>
  <si>
    <t>National Reserve Bank of Tonga (NRBT)</t>
  </si>
  <si>
    <t>Includes Financial Intelligence Unit Quarterly Reports only</t>
  </si>
  <si>
    <t>Vanuatu</t>
  </si>
  <si>
    <t>Reserve Bank of Vanuatu (RBV)</t>
  </si>
  <si>
    <t>Excludes monetary policy, currency or duplicative releases</t>
  </si>
  <si>
    <t>Includes only Financial Inclusion Reports</t>
  </si>
  <si>
    <t>Africa</t>
  </si>
  <si>
    <t>Algeria</t>
  </si>
  <si>
    <t>Commission d’Organisation et de Surveillance des Opérations de Bourse (COSOB)</t>
  </si>
  <si>
    <t>French/Arabic</t>
  </si>
  <si>
    <t>Excludes documents relating to admission to trading</t>
  </si>
  <si>
    <t>Angola</t>
  </si>
  <si>
    <t>Comissão do Mercado de Capitais (CMC) (Angola)</t>
  </si>
  <si>
    <t xml:space="preserve">Excludes appointments, warnings, future events, macroeconomics, banknotes, stats etc. </t>
  </si>
  <si>
    <t>Includes only speeches with regulatory value, e.g. details on initiatives or the work of the supervisor, global situation and development, measures or activities. etc. Speeches on general economy excluded.</t>
  </si>
  <si>
    <t xml:space="preserve">Botswana </t>
  </si>
  <si>
    <t>Bank of Botswana</t>
  </si>
  <si>
    <t>Excludes monetary policy, anniversary events</t>
  </si>
  <si>
    <t>Botswana Non-bank Financial Institutions Regulatory Authority (NBFIRA)</t>
  </si>
  <si>
    <t xml:space="preserve">Excludes public notices, warnings, vacancies </t>
  </si>
  <si>
    <t xml:space="preserve">Excludes forms, documents relating to income tax </t>
  </si>
  <si>
    <t>Botswana Stock Exchange</t>
  </si>
  <si>
    <t xml:space="preserve">Excludes company announcements </t>
  </si>
  <si>
    <t xml:space="preserve">Egypt </t>
  </si>
  <si>
    <t>Central Bank of Egypt</t>
  </si>
  <si>
    <t>Excludes foreign currency/exchange, tourism and sectors outside of banking, insurance, or securities and investment, import/export</t>
  </si>
  <si>
    <t>Egyptian Financial Supervisory Authority</t>
  </si>
  <si>
    <t xml:space="preserve">Excludes vacancies, appointments </t>
  </si>
  <si>
    <t xml:space="preserve">Ghana </t>
  </si>
  <si>
    <t>Bank of Ghana</t>
  </si>
  <si>
    <t>Excludes forex bureau guidelines</t>
  </si>
  <si>
    <t>Excludes news brief, issuance calendar</t>
  </si>
  <si>
    <t xml:space="preserve">Excludes commemorations/galas/dinners etc where the discussion is not on a regulatory matter. Excludes macroeconomic topics (e.g. monetary policy) </t>
  </si>
  <si>
    <t>National Insurance Commission (NIC)</t>
  </si>
  <si>
    <t xml:space="preserve">Excludes vacancies, appointments, donations </t>
  </si>
  <si>
    <t>Securities and Exchange Commission (Ghana)</t>
  </si>
  <si>
    <t>Excludes website improvements, appointments, general employee information</t>
  </si>
  <si>
    <t xml:space="preserve">Kenya </t>
  </si>
  <si>
    <t>Capital Markets Authority (Kenya)</t>
  </si>
  <si>
    <t>Excludes vacancies/tenders, appointments, prizes</t>
  </si>
  <si>
    <t>Excludes enterprise specific/business community speeches, macroeconomic topics (e.g. growth)</t>
  </si>
  <si>
    <t>Central Bank of Kenya</t>
  </si>
  <si>
    <t>Excludes bank rate/reference rates, foreign exchange, currency</t>
  </si>
  <si>
    <t xml:space="preserve">Includes only documents relating to banking supervision and financial stability </t>
  </si>
  <si>
    <t>Excludes guidelines for treasury bills</t>
  </si>
  <si>
    <t>Excludes currency handling regulations</t>
  </si>
  <si>
    <t xml:space="preserve">Excludes vacancies, appointments, monetary policy meetings, awards, youth projects, general employee information </t>
  </si>
  <si>
    <t xml:space="preserve">Excludes monetary policy reports, statistics </t>
  </si>
  <si>
    <t>Financial Reporting Centre (FRC) (Kenya)</t>
  </si>
  <si>
    <t xml:space="preserve">Excludes documents issued by other bodies </t>
  </si>
  <si>
    <t>Retirement Benefits Authority (RBA)</t>
  </si>
  <si>
    <t xml:space="preserve">Excludes organisation changes (e.g. appointments), calendar, statistics, forecast, campaigns </t>
  </si>
  <si>
    <t>Excludes research</t>
  </si>
  <si>
    <t xml:space="preserve">Mauritius </t>
  </si>
  <si>
    <t xml:space="preserve">Bank of Mauritius </t>
  </si>
  <si>
    <t xml:space="preserve">Consultation Paper </t>
  </si>
  <si>
    <t>Financial Stability Report</t>
  </si>
  <si>
    <t>Excludes currency</t>
  </si>
  <si>
    <t xml:space="preserve">Excludes FX intervention, treasury bills, awards, FX market, bank survey, buyback, balance sheet, statistics, government bonds, bank of mauritius bonds, interest rates, inflation </t>
  </si>
  <si>
    <t>Excludes awards, monetary policy, training, macroeconomic topics (e.g. trade, inflation), ceremonies/galas/dinners where the discussion is not on a regulatory matter</t>
  </si>
  <si>
    <t>Financial Services Commission (Mauritius)</t>
  </si>
  <si>
    <t xml:space="preserve">Excludes public notices (cancellation of licence) </t>
  </si>
  <si>
    <t>Excludes competitions</t>
  </si>
  <si>
    <t>Financial Intelligence Unit (Mauritius)</t>
  </si>
  <si>
    <t>Independent Commission Against Corruption (ICAC) (Mauritius)</t>
  </si>
  <si>
    <t>Includes only documents relating to banking, insurance and securities and investment</t>
  </si>
  <si>
    <t xml:space="preserve">Mauritius Revenue Authority (MRA) </t>
  </si>
  <si>
    <t>Ministry of Finance and Economic Development (Mauritius)</t>
  </si>
  <si>
    <t xml:space="preserve">Includes only guidelines under the 'financial management kit' </t>
  </si>
  <si>
    <t xml:space="preserve">Includes only financial instructions </t>
  </si>
  <si>
    <t xml:space="preserve">Excludes economic measures, public debt </t>
  </si>
  <si>
    <t>Stock Exchange of Mauritius (SEM)</t>
  </si>
  <si>
    <t>Morocco</t>
  </si>
  <si>
    <t>Autorité Marocaine du Marché des Capitaux (AMMC)</t>
  </si>
  <si>
    <t>Excludes decrees relating to data privacy, agriculture and real estate</t>
  </si>
  <si>
    <t>Excludes guides on financial education, corporate social responsibility and enterprise governance</t>
  </si>
  <si>
    <t>Excludes quarterly updates and statistical documents</t>
  </si>
  <si>
    <t xml:space="preserve">Mozambique </t>
  </si>
  <si>
    <t>Instituto de Supervisão de Seguros de Moçambique (ISSM)</t>
  </si>
  <si>
    <t>Namibia</t>
  </si>
  <si>
    <t>Bank of Namibia</t>
  </si>
  <si>
    <t xml:space="preserve">Includes only releases relating to banking supervision, payment and settlements, and financial stability </t>
  </si>
  <si>
    <t xml:space="preserve">Nigeria </t>
  </si>
  <si>
    <t>Central Bank of Nigeria</t>
  </si>
  <si>
    <t xml:space="preserve">Excludes website maintainance, foreign exchange, sectors outside of banking, insurance, or securities and investment (e.g. schools), currency, macroeconomic topics (e.g. trade) </t>
  </si>
  <si>
    <t xml:space="preserve">Excludes sectors outside of banking, insurance, or securities and investment (e.g. aviation), statistics, macroeconomic topics (e.g. monetary policy) </t>
  </si>
  <si>
    <t xml:space="preserve">Excludes macroeconomic topics (e.g. monetary policy) </t>
  </si>
  <si>
    <t>Excludes website maintainance, foreign exchange, macroeconomic topics (e.g. trade)</t>
  </si>
  <si>
    <t xml:space="preserve">No longer exists under this organisation </t>
  </si>
  <si>
    <t>Nigerian Financial Intelligence Unit (NFIU)</t>
  </si>
  <si>
    <t>Looks to be extremely low output but monitored in case.</t>
  </si>
  <si>
    <t>Securities and Exchange Commission (Nigeria)</t>
  </si>
  <si>
    <t xml:space="preserve">Excludes public warnings </t>
  </si>
  <si>
    <t xml:space="preserve">Rule release </t>
  </si>
  <si>
    <t xml:space="preserve">Seychelles </t>
  </si>
  <si>
    <t>Central Bank of Seychelles (SCB)</t>
  </si>
  <si>
    <t xml:space="preserve">Excludes foreign currency/exchange, monetary operations, scams, opening hours, </t>
  </si>
  <si>
    <t>Excludes monetary operations</t>
  </si>
  <si>
    <t>Excludes monetary policy, financial literacy, revocation of licences, banknotes and coins, statistics</t>
  </si>
  <si>
    <t>Excludes financial literacy, statistics, foreign exchange, currency, ceremonies/galas/dinners where the discussion is not on a regulatory matter</t>
  </si>
  <si>
    <t>Seychelles Financial Services Authority (FSA)</t>
  </si>
  <si>
    <t>Excludes gambling regulation</t>
  </si>
  <si>
    <t xml:space="preserve">South Africa </t>
  </si>
  <si>
    <t xml:space="preserve">Council for Medical Schemes </t>
  </si>
  <si>
    <t>Excludes agendas, seminars, workshops, recruitment, website maintenance, general health topics (non-insurance/compliance related)</t>
  </si>
  <si>
    <t xml:space="preserve">Excludes specific health topics (e.g. cancer) </t>
  </si>
  <si>
    <t xml:space="preserve">Financial Intelligence Centre </t>
  </si>
  <si>
    <t xml:space="preserve">Excludes public warnings (e.g. scams), statistics, technical issues </t>
  </si>
  <si>
    <t xml:space="preserve">Includes only enforcements relating to banking, insurance, securities and investments companies </t>
  </si>
  <si>
    <t>Financial Sector Conduct Authority (FSCA)</t>
  </si>
  <si>
    <t>Includes only FAIS Notices.</t>
  </si>
  <si>
    <t>Exclude warnings and docs that announce the release of a more substantial document captured elsewhere</t>
  </si>
  <si>
    <t>Financial Services Board</t>
  </si>
  <si>
    <t>No longer tracked. Superseded org.</t>
  </si>
  <si>
    <t xml:space="preserve">Independent Communications Authority of South Africa (ICASA) </t>
  </si>
  <si>
    <t>Johannesburg Stock Exchange (JSE)</t>
  </si>
  <si>
    <t xml:space="preserve">Excludes listings, statistics, awards, competitions </t>
  </si>
  <si>
    <t>National Credit Regulator (NCR)</t>
  </si>
  <si>
    <t xml:space="preserve">Excludes educational workshops, statistics </t>
  </si>
  <si>
    <t xml:space="preserve">National Treasury </t>
  </si>
  <si>
    <t>Excludes taxation, revenue</t>
  </si>
  <si>
    <t>Excludes appointments, budget, economic surveys</t>
  </si>
  <si>
    <t>Prudential Authority (PA)</t>
  </si>
  <si>
    <t>South Africa Financial Sector Charter Council</t>
  </si>
  <si>
    <t>South African Reserve Bank</t>
  </si>
  <si>
    <t xml:space="preserve">Excludes exchance control circulars </t>
  </si>
  <si>
    <t>Excludes future meetings, status of previously issued guidance notes</t>
  </si>
  <si>
    <t xml:space="preserve">Tanzania </t>
  </si>
  <si>
    <t>Bank of Tanzania</t>
  </si>
  <si>
    <t>Excludes treasury bonds, money market, statistics, rates, public notices, auction, macroeconomic topics, banknotes and coins</t>
  </si>
  <si>
    <t>Excludes foreign exchange, bureau de change, social security</t>
  </si>
  <si>
    <t>Excludes statistics, monetary policy, BOZ Reader</t>
  </si>
  <si>
    <t>Capital Markets &amp; Securities Authority (Tanzania)</t>
  </si>
  <si>
    <t>Dar Es Salaam Stock Exchange</t>
  </si>
  <si>
    <t>Financial Intelligence Unit (Tanzania)</t>
  </si>
  <si>
    <t>Excludes awards, organisation changes (e.g. appointments)</t>
  </si>
  <si>
    <t>Prevention and Combating of Corruption Bureau (PCCB)</t>
  </si>
  <si>
    <t xml:space="preserve">Excludes awards. Only includes documents relating to banking, insurance, securities and investments, data protection, anti-money laundering and terrorist financing </t>
  </si>
  <si>
    <t xml:space="preserve">Excludes campaigns, ceremonies/galas/dinners where the discussion is not on a regulatory matter, statistics </t>
  </si>
  <si>
    <t>Tanzania Insurance Regulatory Authority (TIRA)</t>
  </si>
  <si>
    <t>Uganda</t>
  </si>
  <si>
    <t>Bank of Uganda</t>
  </si>
  <si>
    <t>Includes only BoU reports and annual supervision reports</t>
  </si>
  <si>
    <t>Excludes regulations relating to foreign exchange and monetary policy</t>
  </si>
  <si>
    <t xml:space="preserve">Includes only governor/deputy governor speeches relating to banking supervision, financial stability and payment systems </t>
  </si>
  <si>
    <t>Capital Markets Authority (CMA) (Uganda)</t>
  </si>
  <si>
    <t xml:space="preserve">Zambia </t>
  </si>
  <si>
    <t>Bank of Zambia</t>
  </si>
  <si>
    <t>Excludes annual general meetings, data, government notices, locations, staff circulars</t>
  </si>
  <si>
    <t>Excludes monetary policy, financial literacy events, statistics</t>
  </si>
  <si>
    <t xml:space="preserve">Pensions and Insurance Authority (PIA) </t>
  </si>
  <si>
    <t>Excludes public notices, appointments, statistics</t>
  </si>
  <si>
    <t xml:space="preserve">Zimbabwe </t>
  </si>
  <si>
    <t>Deposit Protection Corporation (Zimbabwe)</t>
  </si>
  <si>
    <t>Excludes public notices</t>
  </si>
  <si>
    <t>Reserve Bank of Zimbabwe (RBZ)</t>
  </si>
  <si>
    <t>Includes only documents relating to payment system and banking supervision</t>
  </si>
  <si>
    <t>Excludes monetary policy, banknotes and coins, bond notes, imports and exports</t>
  </si>
  <si>
    <t>Excludes launches/ceremonies where the discussion is not on a regulatory matter, monetary policy</t>
  </si>
  <si>
    <t>Securities and Exchange Commission of Zimbabwe (SECZ)</t>
  </si>
  <si>
    <t>International</t>
  </si>
  <si>
    <t>ASEAN Capital Markets Forum (ACMF)</t>
  </si>
  <si>
    <t>Includes only updates relating to review of framework, reports, and standards</t>
  </si>
  <si>
    <t>Bank for International Settlements (BIS)</t>
  </si>
  <si>
    <t>Committee on Payments and Market Infrastructures papers</t>
  </si>
  <si>
    <t xml:space="preserve">Excludes press releases about a document that is being tracked separately. Excludes topics relating to monetary policy. Excludes appointments. </t>
  </si>
  <si>
    <t>The committee on payment and settlement system papers</t>
  </si>
  <si>
    <t>The committee on the global financial system papers</t>
  </si>
  <si>
    <t>Basel Committee on Banking Supervision (BCBS)</t>
  </si>
  <si>
    <t>Final paper</t>
  </si>
  <si>
    <t>Eastern Caribbean Central Bank (ECCB)</t>
  </si>
  <si>
    <t>Eastern Caribbean Securities Regulatory Commission (ECSRC)</t>
  </si>
  <si>
    <t>Egmont Group</t>
  </si>
  <si>
    <t>Includes Co-Chairs' Statements</t>
  </si>
  <si>
    <t>Financial Action Task Force (FATF)</t>
  </si>
  <si>
    <t>Financial Services Institute of Australasia (FINSIA)</t>
  </si>
  <si>
    <t>Financial Stability Board (FSB)</t>
  </si>
  <si>
    <t>Joint working group report</t>
  </si>
  <si>
    <t xml:space="preserve">Excludes announcements about a document/ event we have tracked separately. Announcements aimed at consumers also not included. </t>
  </si>
  <si>
    <t>Principles</t>
  </si>
  <si>
    <t>Futures Industry Association (FIA)</t>
  </si>
  <si>
    <t>Excludes duplicative content eg. PRs about Comment Letters and Guidance and releases of little regulatory significance</t>
  </si>
  <si>
    <t>Global Financial Markets Association (GFMA)</t>
  </si>
  <si>
    <t>Excludes news releases announcing publication of a more substantive document covered by other GFMA content types</t>
  </si>
  <si>
    <t>Global Foreign Exchange Committee (GFXC)</t>
  </si>
  <si>
    <t>Institute of International Finance (IIF)</t>
  </si>
  <si>
    <t>Excludes appointments and releases of little regulatory significance</t>
  </si>
  <si>
    <t>International Association of Insurance Supervisors (IAIS)</t>
  </si>
  <si>
    <t>Guidance paper</t>
  </si>
  <si>
    <t>Issues paper</t>
  </si>
  <si>
    <t>Excludes announcements about when seminars/ training/ stakeholder meetings will be taking place. Excludes press releases about any document that is being tracked separately. Excludes appointments.</t>
  </si>
  <si>
    <t>Questionnaire</t>
  </si>
  <si>
    <t>International Banking Federation (IBFed)</t>
  </si>
  <si>
    <t>Excludes tax, economic and monetary policy</t>
  </si>
  <si>
    <t>International Monetary Fund (IMF)</t>
  </si>
  <si>
    <t>Concluding statement</t>
  </si>
  <si>
    <t>Includes selected Issues Papers and Financial Sector Assessment Programs</t>
  </si>
  <si>
    <t xml:space="preserve">Includes only speeches on matters related to financial regulation - anything political/ about monetary policy excluded. </t>
  </si>
  <si>
    <t xml:space="preserve">Staff position note </t>
  </si>
  <si>
    <t>International Organisation of Securities Commissions (IOSCO)</t>
  </si>
  <si>
    <t>International Securities Lending Association (ISLA)</t>
  </si>
  <si>
    <t>Excludes appointments, duplicative content (announcements of other regulators' publications) and any release linking to content behind the paywall.</t>
  </si>
  <si>
    <t>International Securities Services Association (ISSA)</t>
  </si>
  <si>
    <t>International Swaps and Derivatives Association (ISDA)</t>
  </si>
  <si>
    <t>Joint Forum</t>
  </si>
  <si>
    <t>Legal Entity Identifier Regulatory Oversight Committee (LEIROC)</t>
  </si>
  <si>
    <t>Organisation for Economic Co-operation and Development (OECD)</t>
  </si>
  <si>
    <t>Includes economic policy only</t>
  </si>
  <si>
    <t>Single Resolution Board (SRB)</t>
  </si>
  <si>
    <t>Excludes appointments and releases of non-regulatory nature</t>
  </si>
  <si>
    <t>Includes only speeches with specific regulatory content</t>
  </si>
  <si>
    <t>SWIFT</t>
  </si>
  <si>
    <t>Excludes Training Newsletters</t>
  </si>
  <si>
    <t>Excludes appointments, events, press releases announcing publication of more substantial document published under different content type</t>
  </si>
  <si>
    <t>Includes remaining relevant publications (i.e. not Newsletters or White Papers)</t>
  </si>
  <si>
    <t>Transparency International</t>
  </si>
  <si>
    <t>Includes only documents related to financial markets</t>
  </si>
  <si>
    <t>United Nations Environment Programme Finance Initiative (UNEP FI)</t>
  </si>
  <si>
    <t>Includes English reports only with (eventual) regulatory significance</t>
  </si>
  <si>
    <t>United Nations Security Council (UNSC)</t>
  </si>
  <si>
    <t xml:space="preserve">International Sanctions </t>
  </si>
  <si>
    <t>Wolfsberg Group</t>
  </si>
  <si>
    <t>Excludes publication statements</t>
  </si>
  <si>
    <t>TRRI Content Types hierarchy</t>
  </si>
  <si>
    <t>Definition/usage</t>
  </si>
  <si>
    <t>News, Analysis and Insights</t>
  </si>
  <si>
    <t>Regulatory Guidance</t>
  </si>
  <si>
    <t>Regulatory Guidance Summaries providing plain English summaries of statutes and regulations. Coverage includes US, Canada and UK.</t>
  </si>
  <si>
    <t>Handbooks</t>
  </si>
  <si>
    <t>Guides providing advice from industry experts on best practices.</t>
  </si>
  <si>
    <t>Document Abstracts</t>
  </si>
  <si>
    <t>N/A. Content type not currently used.</t>
  </si>
  <si>
    <t xml:space="preserve"> </t>
  </si>
  <si>
    <t>Subordinate Legislation Indexes</t>
  </si>
  <si>
    <t>Tables of subordinate legislation to the Bank of England Act 1998 (ordered chronologically).</t>
  </si>
  <si>
    <t>Reuters and Accelus News</t>
  </si>
  <si>
    <t>Regulatory news articles authored by Reuters and TRRI journalists.</t>
  </si>
  <si>
    <t>Reuters News</t>
  </si>
  <si>
    <t>Newsroom</t>
  </si>
  <si>
    <t>TR authored analysis of regulatory developments.</t>
  </si>
  <si>
    <t>Expert Guidance</t>
  </si>
  <si>
    <t>Guidance from regulatory experts on specific areas of regulation and compliance; includes Country Updates which provide guidance as applicable to specific countries and Practice Notes providing guidance on best practice.</t>
  </si>
  <si>
    <t>Short summaries of recent regulatory developments, picking out important upcoming dates.</t>
  </si>
  <si>
    <t>Special Reports</t>
  </si>
  <si>
    <t>Country Guides</t>
  </si>
  <si>
    <t>High-level introductions to the regulatory environment of different jurisdictions.</t>
  </si>
  <si>
    <t>Legislative Materials</t>
  </si>
  <si>
    <t>Statutes</t>
  </si>
  <si>
    <t>Written laws passed by a legislative body. In the US this includes Federal law (United States Code) and laws for all states. In the UK, this includes Acts of Parliament.</t>
  </si>
  <si>
    <t xml:space="preserve">Public Laws or Amendment Acts. In the US, this includes Federal Public Laws &amp; all US states. </t>
  </si>
  <si>
    <t>Draft laws and directives. In the US, this includes pending and proposed Federal and State bills.</t>
  </si>
  <si>
    <t>Bill Summaries and Status</t>
  </si>
  <si>
    <t>US federal and state legislation tracking and summary documents.</t>
  </si>
  <si>
    <t>Model and Uniform Laws</t>
  </si>
  <si>
    <t>Model laws created to promote uniformity in US state lawmaking.</t>
  </si>
  <si>
    <t>EU Directives and Regulations</t>
  </si>
  <si>
    <t>Directives and Regulations issued by the European Union. Directives establish policy for member states to implement; while regulations are immediately enforceable as law in all member states.</t>
  </si>
  <si>
    <t>Committee Reports</t>
  </si>
  <si>
    <t>Federal (All congressional committee reports, including reports on bills that did not become law, beginning with 1990. Also sets out the legislative history of public laws as reprinted in U.S. Code Congressional and Administrative News (USCCAN) from 1948 through 1989, as well as the legislative history of securities laws beginning with 1933 and presidential signing statements reprinted in USCCAN beginning with 1986.) &amp; all US States Committee reports related to laws passed by state legislatures.</t>
  </si>
  <si>
    <t>Legislative Committee Schedules</t>
  </si>
  <si>
    <t>Federal (Coverage begins with December 2010 for the Committee Meeting Schedules for Federal Senate and House Committees ) &amp; all US States (coverage begins January 2008 for committee schedules).</t>
  </si>
  <si>
    <t>Testimony &amp; Debate</t>
  </si>
  <si>
    <t xml:space="preserve">Federal (Agendas and witness lists for U.S. congressional committee hearings, transcripts of oral statements, and written statements submitted to committees of Congress. Coverage begins with January 1993 and includes increased coverage from January 1996 to present and selected coverage from 1993 to 1996) and all US states (varies by states) </t>
  </si>
  <si>
    <t>Regulatory Materials</t>
  </si>
  <si>
    <t>Rules and regulations from all regions.</t>
  </si>
  <si>
    <t>Rule Promulgation / Rulemaking</t>
  </si>
  <si>
    <t>Proposed Rulemaking</t>
  </si>
  <si>
    <t>All proposed rule changes that are not issued by US Self-Regulatory Organisations (SROs). In the US, this includes proposed updates to the Code of Federal Regulations (CFR).</t>
  </si>
  <si>
    <t>Withdrawals of proposed rule changes that are not issued by US Self-Regulatory Organisations (SROs). In the US, this includes proposed updates to the Code of Federal Regulations (CFR).</t>
  </si>
  <si>
    <t>Proposed rule changes submitted by Self-Regulatory Organisations (SROs) and exchanges eg. NYSE, NASDAQ.</t>
  </si>
  <si>
    <t>Proposed rule change requiring SEC approval before becoming effective; does not contain a request for accelerated or immediate effectiveness.</t>
  </si>
  <si>
    <t>Proposed rule change that becomes immediately effective upon filing with the SEC pursuant to Section 19(b)(3)(A) of the Securities Exchange Act of 1934.</t>
  </si>
  <si>
    <t>Proposed rule change requesting accelerated review and approval by the SEC pursuant to Section 19(b) of the Securities Exchange Act of 1934.</t>
  </si>
  <si>
    <t>Amendment (from originating SRO) to a previously submitted rule filing.</t>
  </si>
  <si>
    <t>Extension of time for SEC action to approve/reject a rule filing.</t>
  </si>
  <si>
    <t>Withdrawal of a previously submitted filing/certification to the SEC or CFTC.</t>
  </si>
  <si>
    <t>Rejection/Disapproval by the SEC of a previously submitted rule filing.</t>
  </si>
  <si>
    <t>SEC-published notice indicating a proposed rule change has been submitted by an SRO.</t>
  </si>
  <si>
    <t>SEC notice extending the period for public comment/SEC action.</t>
  </si>
  <si>
    <t>Final Rulemaking</t>
  </si>
  <si>
    <t>Final rulemaking documents, that do not fit into any of the below final rulemaking categories. Includes all CFR final rules.</t>
  </si>
  <si>
    <t>Final SRO Rulemaking Notices (US)</t>
  </si>
  <si>
    <t>SEC-published notices indicating that a rule filing has been submitted with immediate effectiveness or approved.</t>
  </si>
  <si>
    <t>SEC notice indicating an initial filing (with immediate effectiveness) has been submitted. Such filings do not require SEC approval.</t>
  </si>
  <si>
    <t>SEC notice indicating an initial filing (requesting accelerated approval) has been submitted and approved by the SEC.</t>
  </si>
  <si>
    <t>SEC notice approving a rule change from an SRO.</t>
  </si>
  <si>
    <t>SEC notice approving a rule change (requesting accelerated approval) from a SRO.</t>
  </si>
  <si>
    <t>Rule change submitted by an organisation regulated by the CFTC, certifying that the new rule or rule amendment complies with the Commodity Exchange Act and CFTC regulations. Used by CFTC-regulated organisations eg. NFA, CME Group, SEFs.</t>
  </si>
  <si>
    <t>Final rule updates to the Financial Conduct Authority Handbook and Prudential Regulation Authority Rulebook (UK).</t>
  </si>
  <si>
    <t>Circulars (Regulation)</t>
  </si>
  <si>
    <t>Updates to regulations - primarily in the Latin American region.</t>
  </si>
  <si>
    <t>Adoption of an approved rule change - specific to Canadian Securities Administrators (CSA) member regulators.</t>
  </si>
  <si>
    <t>Approval of a proposed rule change. Used primarily by Canadian regulators.</t>
  </si>
  <si>
    <t>Notices issued by the Ontario Securities Commission (OSC) confirming that a rule change has received approval from the Canadian Minister of Finance.</t>
  </si>
  <si>
    <t>Notices detailing a final rule change - not region specific.</t>
  </si>
  <si>
    <t>Expedited rule changes (US federal and state only).</t>
  </si>
  <si>
    <t>Rule changes with only temporary effectiveness (US federal and state only).</t>
  </si>
  <si>
    <t>Publication of the above SEC Notices of Filing, Notices of Filing and Immediate Effectiveness in the Federal Register for public comment (with added comments deadline).</t>
  </si>
  <si>
    <t>Proposed Regulation Summaries and Status</t>
  </si>
  <si>
    <t>US federal and states regulatory tracking and summary documents.</t>
  </si>
  <si>
    <t>Discussion and Consultation</t>
  </si>
  <si>
    <t>Paper released by a regulator on a specific rule change or broader regulatory issue inviting industry comments. Used across regions.</t>
  </si>
  <si>
    <t>Comments provided in response to a consultation or a position defined in reaction to a recent regulatory development.</t>
  </si>
  <si>
    <t>Call for public comments on a specific regulatory initiative esp. Canada.</t>
  </si>
  <si>
    <t>Summary of comments received by a regulator and outline of next steps.</t>
  </si>
  <si>
    <t>Paper from a regulator on a particular regulatory theme rather than a specific rulemaking initiative.</t>
  </si>
  <si>
    <t xml:space="preserve">Consultations inviting comments on proposed updates to guidance rather than rules. </t>
  </si>
  <si>
    <t>Guidance and Interpretation</t>
  </si>
  <si>
    <t>Interpretations, Waivers and No-action Letters</t>
  </si>
  <si>
    <t>Interpretations of existing rules and temporary exemptions from existing rules.</t>
  </si>
  <si>
    <t>A rule-like book of instructions on best practice without full regulatory authority of rules.</t>
  </si>
  <si>
    <t>Guidance without full regulatory authority of rules.</t>
  </si>
  <si>
    <t>Guidance set out in a quasi rule-like structure and forms (scattered throughout regulations across regions).</t>
  </si>
  <si>
    <t>Insurance Bulletins</t>
  </si>
  <si>
    <t>Insurance bulletins and other advisory materials issued by the respective US state insurance division/department.</t>
  </si>
  <si>
    <t>Opinion provided by a regulator - can be concerned with specific rulemaking initiative, event or broader regulatory theme.</t>
  </si>
  <si>
    <t>Frequently Asked Questions - a form of guidance used by regulators across regions.</t>
  </si>
  <si>
    <t>Recommendations issued by primarily European based regulators eg. European Systemic Risk Board, European Banking Authority, AMF.</t>
  </si>
  <si>
    <t>Policy documents</t>
  </si>
  <si>
    <t>Documents outlining the policy or procedures of the issuing regulator. These may be about recent/ongoing rulemaking initiatives or a broader regulatory theme.</t>
  </si>
  <si>
    <t>Notifications</t>
  </si>
  <si>
    <t>News/press releases issued by regulatory bodies/exchanges.</t>
  </si>
  <si>
    <t>Specifically used for notices/circulars/bulletins issued by SROs and exchanges.</t>
  </si>
  <si>
    <t>Notices issued by regulatory bodies/exchanges (except US SROs).</t>
  </si>
  <si>
    <t>Bulletins issued by regulatory bodies/exchanges (except US SROs).</t>
  </si>
  <si>
    <t>Circulars issued by regulatory bodies/exchanges (except US SROs).</t>
  </si>
  <si>
    <t>Speeches/public statements concerned with either a recent rule change, regulatory event or broader theme.</t>
  </si>
  <si>
    <t>Newsletters issued by regulatory bodies/exchanges.</t>
  </si>
  <si>
    <t>Catch-all content type for notifications not classified under the more granular content types above.</t>
  </si>
  <si>
    <t>Enforcements</t>
  </si>
  <si>
    <t>Final decisions in enforcement proceedings.</t>
  </si>
  <si>
    <t>Any enforcement notice detailing a settlement. Examples include settlement agreements and enforceable undertakings (used by Central Bank of Ireland and ASIC, AUSTRAC and APRA (Australia)).</t>
  </si>
  <si>
    <t>Notices detailing changes to the United Nations Security Council (UNSC) sanctions list.</t>
  </si>
  <si>
    <t>Catch-all content type for enforcement releases not classified under the more granular content types above.</t>
  </si>
  <si>
    <t>Reports and Papers</t>
  </si>
  <si>
    <t>Reports issued by the regulatory bodies.</t>
  </si>
  <si>
    <t>Reports issued by regulatory bodies providing a review of its activities over the previous year/quarter.</t>
  </si>
  <si>
    <t>Broad reports on the stability of financial systems (issued by central banks).</t>
  </si>
  <si>
    <t>Technical papers describing research in progress to encourage further debate. Generally issued by central banks.</t>
  </si>
  <si>
    <t>Papers issued to broaden understanding and stimulate debate on a specific regulatory theme.</t>
  </si>
  <si>
    <t>Executive Materials</t>
  </si>
  <si>
    <t>Attorney General Opinions</t>
  </si>
  <si>
    <t>Written interpretations of existing laws released by the Attorney General of the United States and the Office of Legal Counsel of the United States Department of Justice.</t>
  </si>
  <si>
    <t>Executive Orders</t>
  </si>
  <si>
    <t>Orders issued by President of the United States or State Governor with full force of law.</t>
  </si>
  <si>
    <t>Governor Vetoes</t>
  </si>
  <si>
    <t>Documents detailing a US State Governor's rejection of a proposed bill.</t>
  </si>
  <si>
    <t>Governor Messages</t>
  </si>
  <si>
    <t>Documents detailing recent news from the US State Governors' Offices .</t>
  </si>
  <si>
    <t>Presidential Speeches</t>
  </si>
  <si>
    <t>Speeches and public statements from the President of the United States.</t>
  </si>
  <si>
    <t>Secondary Sources</t>
  </si>
  <si>
    <t>Treatises</t>
  </si>
  <si>
    <t>Detailed guides to an area of compliance. Examples include Money Manager's Compliance Guide and FIS Regulatory Compliance Manual.</t>
  </si>
  <si>
    <t>Forms</t>
  </si>
  <si>
    <t>US Federal and State printable forms. Sector coverage varies.</t>
  </si>
  <si>
    <t>Checklists</t>
  </si>
  <si>
    <t>Compliance Checklists from US states.</t>
  </si>
  <si>
    <t>D%$&amp;01_fe792f6c9c7142fe929a513849c0f645</t>
  </si>
  <si>
    <t>Neary, Bryan A. (TR Product)_11929__Windows (64-bit) NT 10.00_TR-H0STZY2_u0134637$$$26032020</t>
  </si>
  <si>
    <t>"n/&gt;!121705"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</si>
</sst>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0"/>
      <name val="Arial"/>
      <family val="2"/>
    </font>
    <font>
      <b/>
      <sz val="10"/>
      <name val="Arial"/>
      <family val="2"/>
    </font>
    <font>
      <sz val="11"/>
      <color theme="0"/>
      <name val="Calibri"/>
      <family val="2"/>
      <scheme val="minor"/>
    </font>
    <font>
      <b/>
      <sz val="10"/>
      <color rgb="FFFFFFFF"/>
      <name val="Arial"/>
      <family val="2"/>
    </font>
    <font>
      <sz val="10"/>
      <color rgb="FF000000"/>
      <name val="Arial"/>
      <family val="2"/>
    </font>
    <font>
      <sz val="11"/>
      <color theme="1"/>
      <name val="Calibri"/>
      <family val="2"/>
    </font>
    <font>
      <b/>
      <sz val="10"/>
      <color theme="0"/>
      <name val="Arial"/>
      <family val="2"/>
    </font>
    <font>
      <b/>
      <sz val="10"/>
      <color theme="1"/>
      <name val="Arial"/>
      <family val="2"/>
    </font>
    <font>
      <i/>
      <sz val="10"/>
      <color theme="1"/>
      <name val="Arial"/>
      <family val="2"/>
    </font>
    <font>
      <sz val="10"/>
      <color theme="1"/>
      <name val="Arial"/>
      <family val="2"/>
    </font>
    <font>
      <b/>
      <i/>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000000"/>
      <name val="Times New Roman"/>
      <family val="1"/>
    </font>
    <font>
      <u/>
      <sz val="10"/>
      <color theme="10"/>
      <name val="Times New Roman"/>
      <family val="1"/>
    </font>
    <font>
      <u/>
      <sz val="11"/>
      <color theme="10"/>
      <name val="Calibri"/>
      <family val="2"/>
    </font>
    <font>
      <sz val="11"/>
      <color theme="1"/>
      <name val="Arial"/>
      <family val="2"/>
    </font>
  </fonts>
  <fills count="33">
    <fill>
      <patternFill patternType="none"/>
    </fill>
    <fill>
      <patternFill patternType="gray125"/>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97">
    <xf numFmtId="0" fontId="0" fillId="0" borderId="0"/>
    <xf numFmtId="0" fontId="3" fillId="2" borderId="0" applyNumberFormat="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4" applyNumberFormat="0" applyAlignment="0" applyProtection="0"/>
    <xf numFmtId="0" fontId="21" fillId="7" borderId="5" applyNumberFormat="0" applyAlignment="0" applyProtection="0"/>
    <xf numFmtId="0" fontId="22" fillId="7" borderId="4" applyNumberFormat="0" applyAlignment="0" applyProtection="0"/>
    <xf numFmtId="0" fontId="23" fillId="0" borderId="6" applyNumberFormat="0" applyFill="0" applyAlignment="0" applyProtection="0"/>
    <xf numFmtId="0" fontId="24" fillId="8" borderId="7" applyNumberFormat="0" applyAlignment="0" applyProtection="0"/>
    <xf numFmtId="0" fontId="25" fillId="0" borderId="0" applyNumberFormat="0" applyFill="0" applyBorder="0" applyAlignment="0" applyProtection="0"/>
    <xf numFmtId="0" fontId="12" fillId="9" borderId="8" applyNumberFormat="0" applyFont="0" applyAlignment="0" applyProtection="0"/>
    <xf numFmtId="0" fontId="26" fillId="0" borderId="0" applyNumberFormat="0" applyFill="0" applyBorder="0" applyAlignment="0" applyProtection="0"/>
    <xf numFmtId="0" fontId="27" fillId="0" borderId="9" applyNumberFormat="0" applyFill="0" applyAlignment="0" applyProtection="0"/>
    <xf numFmtId="0" fontId="3"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3"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3" fillId="32" borderId="0" applyNumberFormat="0" applyBorder="0" applyAlignment="0" applyProtection="0"/>
    <xf numFmtId="0" fontId="28" fillId="0" borderId="0"/>
    <xf numFmtId="0" fontId="28" fillId="0" borderId="0"/>
    <xf numFmtId="0" fontId="1" fillId="0" borderId="0"/>
    <xf numFmtId="0" fontId="12" fillId="0" borderId="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28" fillId="0" borderId="0"/>
    <xf numFmtId="0" fontId="1" fillId="0" borderId="0" applyAlignment="0"/>
    <xf numFmtId="0" fontId="1" fillId="0" borderId="0" applyAlignment="0"/>
    <xf numFmtId="0" fontId="1" fillId="0" borderId="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xf numFmtId="0" fontId="12" fillId="0" borderId="0"/>
    <xf numFmtId="0" fontId="1" fillId="0" borderId="0"/>
  </cellStyleXfs>
  <cellXfs count="27">
    <xf numFmtId="0" fontId="0" fillId="0" borderId="0" xfId="0"/>
    <xf numFmtId="0" fontId="4" fillId="2" borderId="0" xfId="1" applyFont="1" applyBorder="1" applyAlignment="1">
      <alignment wrapText="1"/>
    </xf>
    <xf numFmtId="0" fontId="5" fillId="0" borderId="0" xfId="0" applyFont="1" applyBorder="1"/>
    <xf numFmtId="0" fontId="5" fillId="0" borderId="0" xfId="0" applyFont="1" applyFill="1" applyBorder="1"/>
    <xf numFmtId="0" fontId="6" fillId="0" borderId="0" xfId="0" applyFont="1" applyBorder="1"/>
    <xf numFmtId="0" fontId="8" fillId="0" borderId="0" xfId="0" applyFont="1" applyFill="1" applyAlignment="1"/>
    <xf numFmtId="0" fontId="9" fillId="0" borderId="0" xfId="0" applyFont="1" applyAlignment="1"/>
    <xf numFmtId="0" fontId="10" fillId="0" borderId="0" xfId="0" applyFont="1" applyAlignment="1"/>
    <xf numFmtId="0" fontId="8" fillId="0" borderId="0" xfId="0" applyFont="1" applyFill="1" applyBorder="1" applyAlignment="1"/>
    <xf numFmtId="0" fontId="10" fillId="0" borderId="0" xfId="0" applyFont="1" applyBorder="1" applyAlignment="1"/>
    <xf numFmtId="0" fontId="1" fillId="0" borderId="0" xfId="0" applyFont="1" applyBorder="1" applyAlignment="1"/>
    <xf numFmtId="0" fontId="1" fillId="0" borderId="0" xfId="0" applyFont="1" applyFill="1" applyBorder="1" applyAlignment="1"/>
    <xf numFmtId="0" fontId="2" fillId="0" borderId="0" xfId="0" applyFont="1" applyFill="1" applyAlignment="1"/>
    <xf numFmtId="0" fontId="10" fillId="0" borderId="0" xfId="0" applyFont="1" applyFill="1" applyAlignment="1"/>
    <xf numFmtId="0" fontId="11" fillId="0" borderId="0" xfId="0" applyFont="1" applyFill="1" applyBorder="1" applyAlignment="1"/>
    <xf numFmtId="0" fontId="0" fillId="0" borderId="0" xfId="0"/>
    <xf numFmtId="0" fontId="10"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31" fillId="0" borderId="0" xfId="0" applyFont="1"/>
    <xf numFmtId="0" fontId="0" fillId="0" borderId="0" xfId="0" applyFont="1" applyBorder="1" applyAlignment="1"/>
    <xf numFmtId="0" fontId="7" fillId="2" borderId="0" xfId="1" applyFont="1" applyAlignment="1"/>
    <xf numFmtId="0" fontId="7" fillId="2" borderId="0" xfId="1" applyFont="1" applyAlignment="1"/>
  </cellXfs>
  <cellStyles count="397">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39"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0"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1"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1"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46" xr:uid="{00000000-0005-0000-0000-000021000000}"/>
    <cellStyle name="Hyperlink 3" xfId="47" xr:uid="{00000000-0005-0000-0000-000022000000}"/>
    <cellStyle name="Input" xfId="10" builtinId="20" customBuiltin="1"/>
    <cellStyle name="Linked Cell" xfId="13" builtinId="24" customBuiltin="1"/>
    <cellStyle name="Neutral" xfId="9" builtinId="28" customBuiltin="1"/>
    <cellStyle name="Normal" xfId="0" builtinId="0"/>
    <cellStyle name="Normal 2" xfId="43" xr:uid="{00000000-0005-0000-0000-000027000000}"/>
    <cellStyle name="Normal 2 10" xfId="48" xr:uid="{00000000-0005-0000-0000-000028000000}"/>
    <cellStyle name="Normal 2 100" xfId="49" xr:uid="{00000000-0005-0000-0000-000029000000}"/>
    <cellStyle name="Normal 2 101" xfId="50" xr:uid="{00000000-0005-0000-0000-00002A000000}"/>
    <cellStyle name="Normal 2 102" xfId="51" xr:uid="{00000000-0005-0000-0000-00002B000000}"/>
    <cellStyle name="Normal 2 103" xfId="52" xr:uid="{00000000-0005-0000-0000-00002C000000}"/>
    <cellStyle name="Normal 2 104" xfId="53" xr:uid="{00000000-0005-0000-0000-00002D000000}"/>
    <cellStyle name="Normal 2 105" xfId="54" xr:uid="{00000000-0005-0000-0000-00002E000000}"/>
    <cellStyle name="Normal 2 106" xfId="55" xr:uid="{00000000-0005-0000-0000-00002F000000}"/>
    <cellStyle name="Normal 2 107" xfId="56" xr:uid="{00000000-0005-0000-0000-000030000000}"/>
    <cellStyle name="Normal 2 108" xfId="57" xr:uid="{00000000-0005-0000-0000-000031000000}"/>
    <cellStyle name="Normal 2 109" xfId="58" xr:uid="{00000000-0005-0000-0000-000032000000}"/>
    <cellStyle name="Normal 2 11" xfId="59" xr:uid="{00000000-0005-0000-0000-000033000000}"/>
    <cellStyle name="Normal 2 110" xfId="60" xr:uid="{00000000-0005-0000-0000-000034000000}"/>
    <cellStyle name="Normal 2 111" xfId="61" xr:uid="{00000000-0005-0000-0000-000035000000}"/>
    <cellStyle name="Normal 2 112" xfId="62" xr:uid="{00000000-0005-0000-0000-000036000000}"/>
    <cellStyle name="Normal 2 113" xfId="63" xr:uid="{00000000-0005-0000-0000-000037000000}"/>
    <cellStyle name="Normal 2 114" xfId="64" xr:uid="{00000000-0005-0000-0000-000038000000}"/>
    <cellStyle name="Normal 2 115" xfId="65" xr:uid="{00000000-0005-0000-0000-000039000000}"/>
    <cellStyle name="Normal 2 116" xfId="66" xr:uid="{00000000-0005-0000-0000-00003A000000}"/>
    <cellStyle name="Normal 2 117" xfId="67" xr:uid="{00000000-0005-0000-0000-00003B000000}"/>
    <cellStyle name="Normal 2 118" xfId="68" xr:uid="{00000000-0005-0000-0000-00003C000000}"/>
    <cellStyle name="Normal 2 119" xfId="69" xr:uid="{00000000-0005-0000-0000-00003D000000}"/>
    <cellStyle name="Normal 2 12" xfId="70" xr:uid="{00000000-0005-0000-0000-00003E000000}"/>
    <cellStyle name="Normal 2 120" xfId="71" xr:uid="{00000000-0005-0000-0000-00003F000000}"/>
    <cellStyle name="Normal 2 121" xfId="72" xr:uid="{00000000-0005-0000-0000-000040000000}"/>
    <cellStyle name="Normal 2 122" xfId="73" xr:uid="{00000000-0005-0000-0000-000041000000}"/>
    <cellStyle name="Normal 2 123" xfId="74" xr:uid="{00000000-0005-0000-0000-000042000000}"/>
    <cellStyle name="Normal 2 124" xfId="75" xr:uid="{00000000-0005-0000-0000-000043000000}"/>
    <cellStyle name="Normal 2 125" xfId="76" xr:uid="{00000000-0005-0000-0000-000044000000}"/>
    <cellStyle name="Normal 2 126" xfId="77" xr:uid="{00000000-0005-0000-0000-000045000000}"/>
    <cellStyle name="Normal 2 127" xfId="78" xr:uid="{00000000-0005-0000-0000-000046000000}"/>
    <cellStyle name="Normal 2 128" xfId="79" xr:uid="{00000000-0005-0000-0000-000047000000}"/>
    <cellStyle name="Normal 2 129" xfId="80" xr:uid="{00000000-0005-0000-0000-000048000000}"/>
    <cellStyle name="Normal 2 13" xfId="81" xr:uid="{00000000-0005-0000-0000-000049000000}"/>
    <cellStyle name="Normal 2 130" xfId="82" xr:uid="{00000000-0005-0000-0000-00004A000000}"/>
    <cellStyle name="Normal 2 131" xfId="83" xr:uid="{00000000-0005-0000-0000-00004B000000}"/>
    <cellStyle name="Normal 2 132" xfId="84" xr:uid="{00000000-0005-0000-0000-00004C000000}"/>
    <cellStyle name="Normal 2 133" xfId="85" xr:uid="{00000000-0005-0000-0000-00004D000000}"/>
    <cellStyle name="Normal 2 134" xfId="86" xr:uid="{00000000-0005-0000-0000-00004E000000}"/>
    <cellStyle name="Normal 2 135" xfId="87" xr:uid="{00000000-0005-0000-0000-00004F000000}"/>
    <cellStyle name="Normal 2 136" xfId="88" xr:uid="{00000000-0005-0000-0000-000050000000}"/>
    <cellStyle name="Normal 2 137" xfId="89" xr:uid="{00000000-0005-0000-0000-000051000000}"/>
    <cellStyle name="Normal 2 138" xfId="90" xr:uid="{00000000-0005-0000-0000-000052000000}"/>
    <cellStyle name="Normal 2 139" xfId="91" xr:uid="{00000000-0005-0000-0000-000053000000}"/>
    <cellStyle name="Normal 2 14" xfId="92" xr:uid="{00000000-0005-0000-0000-000054000000}"/>
    <cellStyle name="Normal 2 140" xfId="93" xr:uid="{00000000-0005-0000-0000-000055000000}"/>
    <cellStyle name="Normal 2 141" xfId="94" xr:uid="{00000000-0005-0000-0000-000056000000}"/>
    <cellStyle name="Normal 2 142" xfId="95" xr:uid="{00000000-0005-0000-0000-000057000000}"/>
    <cellStyle name="Normal 2 143" xfId="96" xr:uid="{00000000-0005-0000-0000-000058000000}"/>
    <cellStyle name="Normal 2 144" xfId="97" xr:uid="{00000000-0005-0000-0000-000059000000}"/>
    <cellStyle name="Normal 2 145" xfId="98" xr:uid="{00000000-0005-0000-0000-00005A000000}"/>
    <cellStyle name="Normal 2 146" xfId="99" xr:uid="{00000000-0005-0000-0000-00005B000000}"/>
    <cellStyle name="Normal 2 147" xfId="100" xr:uid="{00000000-0005-0000-0000-00005C000000}"/>
    <cellStyle name="Normal 2 148" xfId="101" xr:uid="{00000000-0005-0000-0000-00005D000000}"/>
    <cellStyle name="Normal 2 149" xfId="102" xr:uid="{00000000-0005-0000-0000-00005E000000}"/>
    <cellStyle name="Normal 2 15" xfId="103" xr:uid="{00000000-0005-0000-0000-00005F000000}"/>
    <cellStyle name="Normal 2 150" xfId="104" xr:uid="{00000000-0005-0000-0000-000060000000}"/>
    <cellStyle name="Normal 2 151" xfId="105" xr:uid="{00000000-0005-0000-0000-000061000000}"/>
    <cellStyle name="Normal 2 152" xfId="106" xr:uid="{00000000-0005-0000-0000-000062000000}"/>
    <cellStyle name="Normal 2 153" xfId="107" xr:uid="{00000000-0005-0000-0000-000063000000}"/>
    <cellStyle name="Normal 2 154" xfId="108" xr:uid="{00000000-0005-0000-0000-000064000000}"/>
    <cellStyle name="Normal 2 155" xfId="109" xr:uid="{00000000-0005-0000-0000-000065000000}"/>
    <cellStyle name="Normal 2 156" xfId="110" xr:uid="{00000000-0005-0000-0000-000066000000}"/>
    <cellStyle name="Normal 2 157" xfId="111" xr:uid="{00000000-0005-0000-0000-000067000000}"/>
    <cellStyle name="Normal 2 158" xfId="112" xr:uid="{00000000-0005-0000-0000-000068000000}"/>
    <cellStyle name="Normal 2 159" xfId="113" xr:uid="{00000000-0005-0000-0000-000069000000}"/>
    <cellStyle name="Normal 2 16" xfId="114" xr:uid="{00000000-0005-0000-0000-00006A000000}"/>
    <cellStyle name="Normal 2 160" xfId="115" xr:uid="{00000000-0005-0000-0000-00006B000000}"/>
    <cellStyle name="Normal 2 161" xfId="116" xr:uid="{00000000-0005-0000-0000-00006C000000}"/>
    <cellStyle name="Normal 2 162" xfId="117" xr:uid="{00000000-0005-0000-0000-00006D000000}"/>
    <cellStyle name="Normal 2 163" xfId="118" xr:uid="{00000000-0005-0000-0000-00006E000000}"/>
    <cellStyle name="Normal 2 164" xfId="119" xr:uid="{00000000-0005-0000-0000-00006F000000}"/>
    <cellStyle name="Normal 2 165" xfId="120" xr:uid="{00000000-0005-0000-0000-000070000000}"/>
    <cellStyle name="Normal 2 166" xfId="121" xr:uid="{00000000-0005-0000-0000-000071000000}"/>
    <cellStyle name="Normal 2 167" xfId="122" xr:uid="{00000000-0005-0000-0000-000072000000}"/>
    <cellStyle name="Normal 2 168" xfId="123" xr:uid="{00000000-0005-0000-0000-000073000000}"/>
    <cellStyle name="Normal 2 169" xfId="124" xr:uid="{00000000-0005-0000-0000-000074000000}"/>
    <cellStyle name="Normal 2 17" xfId="125" xr:uid="{00000000-0005-0000-0000-000075000000}"/>
    <cellStyle name="Normal 2 170" xfId="126" xr:uid="{00000000-0005-0000-0000-000076000000}"/>
    <cellStyle name="Normal 2 171" xfId="127" xr:uid="{00000000-0005-0000-0000-000077000000}"/>
    <cellStyle name="Normal 2 172" xfId="128" xr:uid="{00000000-0005-0000-0000-000078000000}"/>
    <cellStyle name="Normal 2 173" xfId="129" xr:uid="{00000000-0005-0000-0000-000079000000}"/>
    <cellStyle name="Normal 2 18" xfId="130" xr:uid="{00000000-0005-0000-0000-00007A000000}"/>
    <cellStyle name="Normal 2 19" xfId="131" xr:uid="{00000000-0005-0000-0000-00007B000000}"/>
    <cellStyle name="Normal 2 2" xfId="44" xr:uid="{00000000-0005-0000-0000-00007C000000}"/>
    <cellStyle name="Normal 2 2 10" xfId="133" xr:uid="{00000000-0005-0000-0000-00007D000000}"/>
    <cellStyle name="Normal 2 2 100" xfId="134" xr:uid="{00000000-0005-0000-0000-00007E000000}"/>
    <cellStyle name="Normal 2 2 101" xfId="135" xr:uid="{00000000-0005-0000-0000-00007F000000}"/>
    <cellStyle name="Normal 2 2 102" xfId="136" xr:uid="{00000000-0005-0000-0000-000080000000}"/>
    <cellStyle name="Normal 2 2 103" xfId="137" xr:uid="{00000000-0005-0000-0000-000081000000}"/>
    <cellStyle name="Normal 2 2 104" xfId="138" xr:uid="{00000000-0005-0000-0000-000082000000}"/>
    <cellStyle name="Normal 2 2 105" xfId="139" xr:uid="{00000000-0005-0000-0000-000083000000}"/>
    <cellStyle name="Normal 2 2 106" xfId="140" xr:uid="{00000000-0005-0000-0000-000084000000}"/>
    <cellStyle name="Normal 2 2 107" xfId="141" xr:uid="{00000000-0005-0000-0000-000085000000}"/>
    <cellStyle name="Normal 2 2 108" xfId="142" xr:uid="{00000000-0005-0000-0000-000086000000}"/>
    <cellStyle name="Normal 2 2 109" xfId="143" xr:uid="{00000000-0005-0000-0000-000087000000}"/>
    <cellStyle name="Normal 2 2 11" xfId="144" xr:uid="{00000000-0005-0000-0000-000088000000}"/>
    <cellStyle name="Normal 2 2 110" xfId="145" xr:uid="{00000000-0005-0000-0000-000089000000}"/>
    <cellStyle name="Normal 2 2 111" xfId="146" xr:uid="{00000000-0005-0000-0000-00008A000000}"/>
    <cellStyle name="Normal 2 2 112" xfId="147" xr:uid="{00000000-0005-0000-0000-00008B000000}"/>
    <cellStyle name="Normal 2 2 113" xfId="148" xr:uid="{00000000-0005-0000-0000-00008C000000}"/>
    <cellStyle name="Normal 2 2 114" xfId="149" xr:uid="{00000000-0005-0000-0000-00008D000000}"/>
    <cellStyle name="Normal 2 2 115" xfId="150" xr:uid="{00000000-0005-0000-0000-00008E000000}"/>
    <cellStyle name="Normal 2 2 116" xfId="151" xr:uid="{00000000-0005-0000-0000-00008F000000}"/>
    <cellStyle name="Normal 2 2 117" xfId="152" xr:uid="{00000000-0005-0000-0000-000090000000}"/>
    <cellStyle name="Normal 2 2 118" xfId="153" xr:uid="{00000000-0005-0000-0000-000091000000}"/>
    <cellStyle name="Normal 2 2 119" xfId="154" xr:uid="{00000000-0005-0000-0000-000092000000}"/>
    <cellStyle name="Normal 2 2 12" xfId="155" xr:uid="{00000000-0005-0000-0000-000093000000}"/>
    <cellStyle name="Normal 2 2 120" xfId="156" xr:uid="{00000000-0005-0000-0000-000094000000}"/>
    <cellStyle name="Normal 2 2 121" xfId="157" xr:uid="{00000000-0005-0000-0000-000095000000}"/>
    <cellStyle name="Normal 2 2 122" xfId="158" xr:uid="{00000000-0005-0000-0000-000096000000}"/>
    <cellStyle name="Normal 2 2 123" xfId="159" xr:uid="{00000000-0005-0000-0000-000097000000}"/>
    <cellStyle name="Normal 2 2 124" xfId="160" xr:uid="{00000000-0005-0000-0000-000098000000}"/>
    <cellStyle name="Normal 2 2 125" xfId="161" xr:uid="{00000000-0005-0000-0000-000099000000}"/>
    <cellStyle name="Normal 2 2 126" xfId="162" xr:uid="{00000000-0005-0000-0000-00009A000000}"/>
    <cellStyle name="Normal 2 2 127" xfId="163" xr:uid="{00000000-0005-0000-0000-00009B000000}"/>
    <cellStyle name="Normal 2 2 128" xfId="164" xr:uid="{00000000-0005-0000-0000-00009C000000}"/>
    <cellStyle name="Normal 2 2 129" xfId="165" xr:uid="{00000000-0005-0000-0000-00009D000000}"/>
    <cellStyle name="Normal 2 2 13" xfId="166" xr:uid="{00000000-0005-0000-0000-00009E000000}"/>
    <cellStyle name="Normal 2 2 130" xfId="167" xr:uid="{00000000-0005-0000-0000-00009F000000}"/>
    <cellStyle name="Normal 2 2 131" xfId="168" xr:uid="{00000000-0005-0000-0000-0000A0000000}"/>
    <cellStyle name="Normal 2 2 132" xfId="169" xr:uid="{00000000-0005-0000-0000-0000A1000000}"/>
    <cellStyle name="Normal 2 2 133" xfId="170" xr:uid="{00000000-0005-0000-0000-0000A2000000}"/>
    <cellStyle name="Normal 2 2 134" xfId="171" xr:uid="{00000000-0005-0000-0000-0000A3000000}"/>
    <cellStyle name="Normal 2 2 135" xfId="172" xr:uid="{00000000-0005-0000-0000-0000A4000000}"/>
    <cellStyle name="Normal 2 2 136" xfId="173" xr:uid="{00000000-0005-0000-0000-0000A5000000}"/>
    <cellStyle name="Normal 2 2 137" xfId="174" xr:uid="{00000000-0005-0000-0000-0000A6000000}"/>
    <cellStyle name="Normal 2 2 138" xfId="175" xr:uid="{00000000-0005-0000-0000-0000A7000000}"/>
    <cellStyle name="Normal 2 2 139" xfId="176" xr:uid="{00000000-0005-0000-0000-0000A8000000}"/>
    <cellStyle name="Normal 2 2 14" xfId="177" xr:uid="{00000000-0005-0000-0000-0000A9000000}"/>
    <cellStyle name="Normal 2 2 140" xfId="178" xr:uid="{00000000-0005-0000-0000-0000AA000000}"/>
    <cellStyle name="Normal 2 2 141" xfId="179" xr:uid="{00000000-0005-0000-0000-0000AB000000}"/>
    <cellStyle name="Normal 2 2 142" xfId="180" xr:uid="{00000000-0005-0000-0000-0000AC000000}"/>
    <cellStyle name="Normal 2 2 143" xfId="181" xr:uid="{00000000-0005-0000-0000-0000AD000000}"/>
    <cellStyle name="Normal 2 2 144" xfId="182" xr:uid="{00000000-0005-0000-0000-0000AE000000}"/>
    <cellStyle name="Normal 2 2 145" xfId="183" xr:uid="{00000000-0005-0000-0000-0000AF000000}"/>
    <cellStyle name="Normal 2 2 146" xfId="184" xr:uid="{00000000-0005-0000-0000-0000B0000000}"/>
    <cellStyle name="Normal 2 2 147" xfId="185" xr:uid="{00000000-0005-0000-0000-0000B1000000}"/>
    <cellStyle name="Normal 2 2 148" xfId="186" xr:uid="{00000000-0005-0000-0000-0000B2000000}"/>
    <cellStyle name="Normal 2 2 149" xfId="187" xr:uid="{00000000-0005-0000-0000-0000B3000000}"/>
    <cellStyle name="Normal 2 2 15" xfId="188" xr:uid="{00000000-0005-0000-0000-0000B4000000}"/>
    <cellStyle name="Normal 2 2 150" xfId="189" xr:uid="{00000000-0005-0000-0000-0000B5000000}"/>
    <cellStyle name="Normal 2 2 151" xfId="190" xr:uid="{00000000-0005-0000-0000-0000B6000000}"/>
    <cellStyle name="Normal 2 2 152" xfId="191" xr:uid="{00000000-0005-0000-0000-0000B7000000}"/>
    <cellStyle name="Normal 2 2 153" xfId="192" xr:uid="{00000000-0005-0000-0000-0000B8000000}"/>
    <cellStyle name="Normal 2 2 154" xfId="193" xr:uid="{00000000-0005-0000-0000-0000B9000000}"/>
    <cellStyle name="Normal 2 2 155" xfId="194" xr:uid="{00000000-0005-0000-0000-0000BA000000}"/>
    <cellStyle name="Normal 2 2 156" xfId="195" xr:uid="{00000000-0005-0000-0000-0000BB000000}"/>
    <cellStyle name="Normal 2 2 157" xfId="196" xr:uid="{00000000-0005-0000-0000-0000BC000000}"/>
    <cellStyle name="Normal 2 2 158" xfId="197" xr:uid="{00000000-0005-0000-0000-0000BD000000}"/>
    <cellStyle name="Normal 2 2 159" xfId="198" xr:uid="{00000000-0005-0000-0000-0000BE000000}"/>
    <cellStyle name="Normal 2 2 16" xfId="199" xr:uid="{00000000-0005-0000-0000-0000BF000000}"/>
    <cellStyle name="Normal 2 2 160" xfId="200" xr:uid="{00000000-0005-0000-0000-0000C0000000}"/>
    <cellStyle name="Normal 2 2 161" xfId="201" xr:uid="{00000000-0005-0000-0000-0000C1000000}"/>
    <cellStyle name="Normal 2 2 162" xfId="202" xr:uid="{00000000-0005-0000-0000-0000C2000000}"/>
    <cellStyle name="Normal 2 2 163" xfId="203" xr:uid="{00000000-0005-0000-0000-0000C3000000}"/>
    <cellStyle name="Normal 2 2 164" xfId="204" xr:uid="{00000000-0005-0000-0000-0000C4000000}"/>
    <cellStyle name="Normal 2 2 165" xfId="205" xr:uid="{00000000-0005-0000-0000-0000C5000000}"/>
    <cellStyle name="Normal 2 2 166" xfId="206" xr:uid="{00000000-0005-0000-0000-0000C6000000}"/>
    <cellStyle name="Normal 2 2 167" xfId="207" xr:uid="{00000000-0005-0000-0000-0000C7000000}"/>
    <cellStyle name="Normal 2 2 168" xfId="208" xr:uid="{00000000-0005-0000-0000-0000C8000000}"/>
    <cellStyle name="Normal 2 2 169" xfId="209" xr:uid="{00000000-0005-0000-0000-0000C9000000}"/>
    <cellStyle name="Normal 2 2 17" xfId="210" xr:uid="{00000000-0005-0000-0000-0000CA000000}"/>
    <cellStyle name="Normal 2 2 170" xfId="211" xr:uid="{00000000-0005-0000-0000-0000CB000000}"/>
    <cellStyle name="Normal 2 2 171" xfId="212" xr:uid="{00000000-0005-0000-0000-0000CC000000}"/>
    <cellStyle name="Normal 2 2 172" xfId="213" xr:uid="{00000000-0005-0000-0000-0000CD000000}"/>
    <cellStyle name="Normal 2 2 173" xfId="214" xr:uid="{00000000-0005-0000-0000-0000CE000000}"/>
    <cellStyle name="Normal 2 2 174" xfId="215" xr:uid="{00000000-0005-0000-0000-0000CF000000}"/>
    <cellStyle name="Normal 2 2 175" xfId="132" xr:uid="{00000000-0005-0000-0000-0000D0000000}"/>
    <cellStyle name="Normal 2 2 18" xfId="216" xr:uid="{00000000-0005-0000-0000-0000D1000000}"/>
    <cellStyle name="Normal 2 2 19" xfId="217" xr:uid="{00000000-0005-0000-0000-0000D2000000}"/>
    <cellStyle name="Normal 2 2 2" xfId="218" xr:uid="{00000000-0005-0000-0000-0000D3000000}"/>
    <cellStyle name="Normal 2 2 20" xfId="219" xr:uid="{00000000-0005-0000-0000-0000D4000000}"/>
    <cellStyle name="Normal 2 2 21" xfId="220" xr:uid="{00000000-0005-0000-0000-0000D5000000}"/>
    <cellStyle name="Normal 2 2 22" xfId="221" xr:uid="{00000000-0005-0000-0000-0000D6000000}"/>
    <cellStyle name="Normal 2 2 23" xfId="222" xr:uid="{00000000-0005-0000-0000-0000D7000000}"/>
    <cellStyle name="Normal 2 2 24" xfId="223" xr:uid="{00000000-0005-0000-0000-0000D8000000}"/>
    <cellStyle name="Normal 2 2 25" xfId="224" xr:uid="{00000000-0005-0000-0000-0000D9000000}"/>
    <cellStyle name="Normal 2 2 26" xfId="225" xr:uid="{00000000-0005-0000-0000-0000DA000000}"/>
    <cellStyle name="Normal 2 2 27" xfId="226" xr:uid="{00000000-0005-0000-0000-0000DB000000}"/>
    <cellStyle name="Normal 2 2 28" xfId="227" xr:uid="{00000000-0005-0000-0000-0000DC000000}"/>
    <cellStyle name="Normal 2 2 29" xfId="228" xr:uid="{00000000-0005-0000-0000-0000DD000000}"/>
    <cellStyle name="Normal 2 2 3" xfId="229" xr:uid="{00000000-0005-0000-0000-0000DE000000}"/>
    <cellStyle name="Normal 2 2 30" xfId="230" xr:uid="{00000000-0005-0000-0000-0000DF000000}"/>
    <cellStyle name="Normal 2 2 31" xfId="231" xr:uid="{00000000-0005-0000-0000-0000E0000000}"/>
    <cellStyle name="Normal 2 2 32" xfId="232" xr:uid="{00000000-0005-0000-0000-0000E1000000}"/>
    <cellStyle name="Normal 2 2 33" xfId="233" xr:uid="{00000000-0005-0000-0000-0000E2000000}"/>
    <cellStyle name="Normal 2 2 34" xfId="234" xr:uid="{00000000-0005-0000-0000-0000E3000000}"/>
    <cellStyle name="Normal 2 2 35" xfId="235" xr:uid="{00000000-0005-0000-0000-0000E4000000}"/>
    <cellStyle name="Normal 2 2 36" xfId="236" xr:uid="{00000000-0005-0000-0000-0000E5000000}"/>
    <cellStyle name="Normal 2 2 37" xfId="237" xr:uid="{00000000-0005-0000-0000-0000E6000000}"/>
    <cellStyle name="Normal 2 2 38" xfId="238" xr:uid="{00000000-0005-0000-0000-0000E7000000}"/>
    <cellStyle name="Normal 2 2 39" xfId="239" xr:uid="{00000000-0005-0000-0000-0000E8000000}"/>
    <cellStyle name="Normal 2 2 4" xfId="240" xr:uid="{00000000-0005-0000-0000-0000E9000000}"/>
    <cellStyle name="Normal 2 2 40" xfId="241" xr:uid="{00000000-0005-0000-0000-0000EA000000}"/>
    <cellStyle name="Normal 2 2 41" xfId="242" xr:uid="{00000000-0005-0000-0000-0000EB000000}"/>
    <cellStyle name="Normal 2 2 42" xfId="243" xr:uid="{00000000-0005-0000-0000-0000EC000000}"/>
    <cellStyle name="Normal 2 2 43" xfId="244" xr:uid="{00000000-0005-0000-0000-0000ED000000}"/>
    <cellStyle name="Normal 2 2 44" xfId="245" xr:uid="{00000000-0005-0000-0000-0000EE000000}"/>
    <cellStyle name="Normal 2 2 45" xfId="246" xr:uid="{00000000-0005-0000-0000-0000EF000000}"/>
    <cellStyle name="Normal 2 2 46" xfId="247" xr:uid="{00000000-0005-0000-0000-0000F0000000}"/>
    <cellStyle name="Normal 2 2 47" xfId="248" xr:uid="{00000000-0005-0000-0000-0000F1000000}"/>
    <cellStyle name="Normal 2 2 48" xfId="249" xr:uid="{00000000-0005-0000-0000-0000F2000000}"/>
    <cellStyle name="Normal 2 2 49" xfId="250" xr:uid="{00000000-0005-0000-0000-0000F3000000}"/>
    <cellStyle name="Normal 2 2 5" xfId="251" xr:uid="{00000000-0005-0000-0000-0000F4000000}"/>
    <cellStyle name="Normal 2 2 50" xfId="252" xr:uid="{00000000-0005-0000-0000-0000F5000000}"/>
    <cellStyle name="Normal 2 2 51" xfId="253" xr:uid="{00000000-0005-0000-0000-0000F6000000}"/>
    <cellStyle name="Normal 2 2 52" xfId="254" xr:uid="{00000000-0005-0000-0000-0000F7000000}"/>
    <cellStyle name="Normal 2 2 53" xfId="255" xr:uid="{00000000-0005-0000-0000-0000F8000000}"/>
    <cellStyle name="Normal 2 2 54" xfId="256" xr:uid="{00000000-0005-0000-0000-0000F9000000}"/>
    <cellStyle name="Normal 2 2 55" xfId="257" xr:uid="{00000000-0005-0000-0000-0000FA000000}"/>
    <cellStyle name="Normal 2 2 56" xfId="258" xr:uid="{00000000-0005-0000-0000-0000FB000000}"/>
    <cellStyle name="Normal 2 2 57" xfId="259" xr:uid="{00000000-0005-0000-0000-0000FC000000}"/>
    <cellStyle name="Normal 2 2 58" xfId="260" xr:uid="{00000000-0005-0000-0000-0000FD000000}"/>
    <cellStyle name="Normal 2 2 59" xfId="261" xr:uid="{00000000-0005-0000-0000-0000FE000000}"/>
    <cellStyle name="Normal 2 2 6" xfId="262" xr:uid="{00000000-0005-0000-0000-0000FF000000}"/>
    <cellStyle name="Normal 2 2 60" xfId="263" xr:uid="{00000000-0005-0000-0000-000000010000}"/>
    <cellStyle name="Normal 2 2 61" xfId="264" xr:uid="{00000000-0005-0000-0000-000001010000}"/>
    <cellStyle name="Normal 2 2 62" xfId="265" xr:uid="{00000000-0005-0000-0000-000002010000}"/>
    <cellStyle name="Normal 2 2 63" xfId="266" xr:uid="{00000000-0005-0000-0000-000003010000}"/>
    <cellStyle name="Normal 2 2 64" xfId="267" xr:uid="{00000000-0005-0000-0000-000004010000}"/>
    <cellStyle name="Normal 2 2 65" xfId="268" xr:uid="{00000000-0005-0000-0000-000005010000}"/>
    <cellStyle name="Normal 2 2 66" xfId="269" xr:uid="{00000000-0005-0000-0000-000006010000}"/>
    <cellStyle name="Normal 2 2 67" xfId="270" xr:uid="{00000000-0005-0000-0000-000007010000}"/>
    <cellStyle name="Normal 2 2 68" xfId="271" xr:uid="{00000000-0005-0000-0000-000008010000}"/>
    <cellStyle name="Normal 2 2 69" xfId="272" xr:uid="{00000000-0005-0000-0000-000009010000}"/>
    <cellStyle name="Normal 2 2 7" xfId="273" xr:uid="{00000000-0005-0000-0000-00000A010000}"/>
    <cellStyle name="Normal 2 2 70" xfId="274" xr:uid="{00000000-0005-0000-0000-00000B010000}"/>
    <cellStyle name="Normal 2 2 71" xfId="275" xr:uid="{00000000-0005-0000-0000-00000C010000}"/>
    <cellStyle name="Normal 2 2 72" xfId="276" xr:uid="{00000000-0005-0000-0000-00000D010000}"/>
    <cellStyle name="Normal 2 2 73" xfId="277" xr:uid="{00000000-0005-0000-0000-00000E010000}"/>
    <cellStyle name="Normal 2 2 74" xfId="278" xr:uid="{00000000-0005-0000-0000-00000F010000}"/>
    <cellStyle name="Normal 2 2 75" xfId="279" xr:uid="{00000000-0005-0000-0000-000010010000}"/>
    <cellStyle name="Normal 2 2 76" xfId="280" xr:uid="{00000000-0005-0000-0000-000011010000}"/>
    <cellStyle name="Normal 2 2 77" xfId="281" xr:uid="{00000000-0005-0000-0000-000012010000}"/>
    <cellStyle name="Normal 2 2 78" xfId="282" xr:uid="{00000000-0005-0000-0000-000013010000}"/>
    <cellStyle name="Normal 2 2 79" xfId="283" xr:uid="{00000000-0005-0000-0000-000014010000}"/>
    <cellStyle name="Normal 2 2 8" xfId="284" xr:uid="{00000000-0005-0000-0000-000015010000}"/>
    <cellStyle name="Normal 2 2 80" xfId="285" xr:uid="{00000000-0005-0000-0000-000016010000}"/>
    <cellStyle name="Normal 2 2 81" xfId="286" xr:uid="{00000000-0005-0000-0000-000017010000}"/>
    <cellStyle name="Normal 2 2 82" xfId="287" xr:uid="{00000000-0005-0000-0000-000018010000}"/>
    <cellStyle name="Normal 2 2 83" xfId="288" xr:uid="{00000000-0005-0000-0000-000019010000}"/>
    <cellStyle name="Normal 2 2 84" xfId="289" xr:uid="{00000000-0005-0000-0000-00001A010000}"/>
    <cellStyle name="Normal 2 2 85" xfId="290" xr:uid="{00000000-0005-0000-0000-00001B010000}"/>
    <cellStyle name="Normal 2 2 86" xfId="291" xr:uid="{00000000-0005-0000-0000-00001C010000}"/>
    <cellStyle name="Normal 2 2 87" xfId="292" xr:uid="{00000000-0005-0000-0000-00001D010000}"/>
    <cellStyle name="Normal 2 2 88" xfId="293" xr:uid="{00000000-0005-0000-0000-00001E010000}"/>
    <cellStyle name="Normal 2 2 89" xfId="294" xr:uid="{00000000-0005-0000-0000-00001F010000}"/>
    <cellStyle name="Normal 2 2 9" xfId="295" xr:uid="{00000000-0005-0000-0000-000020010000}"/>
    <cellStyle name="Normal 2 2 90" xfId="296" xr:uid="{00000000-0005-0000-0000-000021010000}"/>
    <cellStyle name="Normal 2 2 91" xfId="297" xr:uid="{00000000-0005-0000-0000-000022010000}"/>
    <cellStyle name="Normal 2 2 92" xfId="298" xr:uid="{00000000-0005-0000-0000-000023010000}"/>
    <cellStyle name="Normal 2 2 93" xfId="299" xr:uid="{00000000-0005-0000-0000-000024010000}"/>
    <cellStyle name="Normal 2 2 94" xfId="300" xr:uid="{00000000-0005-0000-0000-000025010000}"/>
    <cellStyle name="Normal 2 2 95" xfId="301" xr:uid="{00000000-0005-0000-0000-000026010000}"/>
    <cellStyle name="Normal 2 2 96" xfId="302" xr:uid="{00000000-0005-0000-0000-000027010000}"/>
    <cellStyle name="Normal 2 2 97" xfId="303" xr:uid="{00000000-0005-0000-0000-000028010000}"/>
    <cellStyle name="Normal 2 2 98" xfId="304" xr:uid="{00000000-0005-0000-0000-000029010000}"/>
    <cellStyle name="Normal 2 2 99" xfId="305" xr:uid="{00000000-0005-0000-0000-00002A010000}"/>
    <cellStyle name="Normal 2 20" xfId="306" xr:uid="{00000000-0005-0000-0000-00002B010000}"/>
    <cellStyle name="Normal 2 21" xfId="307" xr:uid="{00000000-0005-0000-0000-00002C010000}"/>
    <cellStyle name="Normal 2 22" xfId="308" xr:uid="{00000000-0005-0000-0000-00002D010000}"/>
    <cellStyle name="Normal 2 23" xfId="309" xr:uid="{00000000-0005-0000-0000-00002E010000}"/>
    <cellStyle name="Normal 2 24" xfId="310" xr:uid="{00000000-0005-0000-0000-00002F010000}"/>
    <cellStyle name="Normal 2 25" xfId="311" xr:uid="{00000000-0005-0000-0000-000030010000}"/>
    <cellStyle name="Normal 2 26" xfId="312" xr:uid="{00000000-0005-0000-0000-000031010000}"/>
    <cellStyle name="Normal 2 27" xfId="313" xr:uid="{00000000-0005-0000-0000-000032010000}"/>
    <cellStyle name="Normal 2 28" xfId="314" xr:uid="{00000000-0005-0000-0000-000033010000}"/>
    <cellStyle name="Normal 2 29" xfId="315" xr:uid="{00000000-0005-0000-0000-000034010000}"/>
    <cellStyle name="Normal 2 3" xfId="316" xr:uid="{00000000-0005-0000-0000-000035010000}"/>
    <cellStyle name="Normal 2 3 2" xfId="317" xr:uid="{00000000-0005-0000-0000-000036010000}"/>
    <cellStyle name="Normal 2 30" xfId="318" xr:uid="{00000000-0005-0000-0000-000037010000}"/>
    <cellStyle name="Normal 2 31" xfId="319" xr:uid="{00000000-0005-0000-0000-000038010000}"/>
    <cellStyle name="Normal 2 32" xfId="320" xr:uid="{00000000-0005-0000-0000-000039010000}"/>
    <cellStyle name="Normal 2 33" xfId="321" xr:uid="{00000000-0005-0000-0000-00003A010000}"/>
    <cellStyle name="Normal 2 34" xfId="322" xr:uid="{00000000-0005-0000-0000-00003B010000}"/>
    <cellStyle name="Normal 2 35" xfId="323" xr:uid="{00000000-0005-0000-0000-00003C010000}"/>
    <cellStyle name="Normal 2 36" xfId="324" xr:uid="{00000000-0005-0000-0000-00003D010000}"/>
    <cellStyle name="Normal 2 37" xfId="325" xr:uid="{00000000-0005-0000-0000-00003E010000}"/>
    <cellStyle name="Normal 2 38" xfId="326" xr:uid="{00000000-0005-0000-0000-00003F010000}"/>
    <cellStyle name="Normal 2 39" xfId="327" xr:uid="{00000000-0005-0000-0000-000040010000}"/>
    <cellStyle name="Normal 2 4" xfId="328" xr:uid="{00000000-0005-0000-0000-000041010000}"/>
    <cellStyle name="Normal 2 40" xfId="329" xr:uid="{00000000-0005-0000-0000-000042010000}"/>
    <cellStyle name="Normal 2 41" xfId="330" xr:uid="{00000000-0005-0000-0000-000043010000}"/>
    <cellStyle name="Normal 2 42" xfId="331" xr:uid="{00000000-0005-0000-0000-000044010000}"/>
    <cellStyle name="Normal 2 43" xfId="332" xr:uid="{00000000-0005-0000-0000-000045010000}"/>
    <cellStyle name="Normal 2 44" xfId="333" xr:uid="{00000000-0005-0000-0000-000046010000}"/>
    <cellStyle name="Normal 2 45" xfId="334" xr:uid="{00000000-0005-0000-0000-000047010000}"/>
    <cellStyle name="Normal 2 46" xfId="335" xr:uid="{00000000-0005-0000-0000-000048010000}"/>
    <cellStyle name="Normal 2 47" xfId="336" xr:uid="{00000000-0005-0000-0000-000049010000}"/>
    <cellStyle name="Normal 2 48" xfId="337" xr:uid="{00000000-0005-0000-0000-00004A010000}"/>
    <cellStyle name="Normal 2 49" xfId="338" xr:uid="{00000000-0005-0000-0000-00004B010000}"/>
    <cellStyle name="Normal 2 5" xfId="339" xr:uid="{00000000-0005-0000-0000-00004C010000}"/>
    <cellStyle name="Normal 2 50" xfId="340" xr:uid="{00000000-0005-0000-0000-00004D010000}"/>
    <cellStyle name="Normal 2 51" xfId="341" xr:uid="{00000000-0005-0000-0000-00004E010000}"/>
    <cellStyle name="Normal 2 52" xfId="342" xr:uid="{00000000-0005-0000-0000-00004F010000}"/>
    <cellStyle name="Normal 2 53" xfId="343" xr:uid="{00000000-0005-0000-0000-000050010000}"/>
    <cellStyle name="Normal 2 54" xfId="344" xr:uid="{00000000-0005-0000-0000-000051010000}"/>
    <cellStyle name="Normal 2 55" xfId="345" xr:uid="{00000000-0005-0000-0000-000052010000}"/>
    <cellStyle name="Normal 2 56" xfId="346" xr:uid="{00000000-0005-0000-0000-000053010000}"/>
    <cellStyle name="Normal 2 57" xfId="347" xr:uid="{00000000-0005-0000-0000-000054010000}"/>
    <cellStyle name="Normal 2 58" xfId="348" xr:uid="{00000000-0005-0000-0000-000055010000}"/>
    <cellStyle name="Normal 2 59" xfId="349" xr:uid="{00000000-0005-0000-0000-000056010000}"/>
    <cellStyle name="Normal 2 6" xfId="350" xr:uid="{00000000-0005-0000-0000-000057010000}"/>
    <cellStyle name="Normal 2 60" xfId="351" xr:uid="{00000000-0005-0000-0000-000058010000}"/>
    <cellStyle name="Normal 2 61" xfId="352" xr:uid="{00000000-0005-0000-0000-000059010000}"/>
    <cellStyle name="Normal 2 62" xfId="353" xr:uid="{00000000-0005-0000-0000-00005A010000}"/>
    <cellStyle name="Normal 2 63" xfId="354" xr:uid="{00000000-0005-0000-0000-00005B010000}"/>
    <cellStyle name="Normal 2 64" xfId="355" xr:uid="{00000000-0005-0000-0000-00005C010000}"/>
    <cellStyle name="Normal 2 65" xfId="356" xr:uid="{00000000-0005-0000-0000-00005D010000}"/>
    <cellStyle name="Normal 2 66" xfId="357" xr:uid="{00000000-0005-0000-0000-00005E010000}"/>
    <cellStyle name="Normal 2 67" xfId="358" xr:uid="{00000000-0005-0000-0000-00005F010000}"/>
    <cellStyle name="Normal 2 68" xfId="359" xr:uid="{00000000-0005-0000-0000-000060010000}"/>
    <cellStyle name="Normal 2 69" xfId="360" xr:uid="{00000000-0005-0000-0000-000061010000}"/>
    <cellStyle name="Normal 2 7" xfId="361" xr:uid="{00000000-0005-0000-0000-000062010000}"/>
    <cellStyle name="Normal 2 70" xfId="362" xr:uid="{00000000-0005-0000-0000-000063010000}"/>
    <cellStyle name="Normal 2 71" xfId="363" xr:uid="{00000000-0005-0000-0000-000064010000}"/>
    <cellStyle name="Normal 2 72" xfId="364" xr:uid="{00000000-0005-0000-0000-000065010000}"/>
    <cellStyle name="Normal 2 73" xfId="365" xr:uid="{00000000-0005-0000-0000-000066010000}"/>
    <cellStyle name="Normal 2 74" xfId="366" xr:uid="{00000000-0005-0000-0000-000067010000}"/>
    <cellStyle name="Normal 2 75" xfId="367" xr:uid="{00000000-0005-0000-0000-000068010000}"/>
    <cellStyle name="Normal 2 76" xfId="368" xr:uid="{00000000-0005-0000-0000-000069010000}"/>
    <cellStyle name="Normal 2 77" xfId="369" xr:uid="{00000000-0005-0000-0000-00006A010000}"/>
    <cellStyle name="Normal 2 78" xfId="370" xr:uid="{00000000-0005-0000-0000-00006B010000}"/>
    <cellStyle name="Normal 2 79" xfId="371" xr:uid="{00000000-0005-0000-0000-00006C010000}"/>
    <cellStyle name="Normal 2 8" xfId="372" xr:uid="{00000000-0005-0000-0000-00006D010000}"/>
    <cellStyle name="Normal 2 80" xfId="373" xr:uid="{00000000-0005-0000-0000-00006E010000}"/>
    <cellStyle name="Normal 2 81" xfId="374" xr:uid="{00000000-0005-0000-0000-00006F010000}"/>
    <cellStyle name="Normal 2 82" xfId="375" xr:uid="{00000000-0005-0000-0000-000070010000}"/>
    <cellStyle name="Normal 2 83" xfId="376" xr:uid="{00000000-0005-0000-0000-000071010000}"/>
    <cellStyle name="Normal 2 84" xfId="377" xr:uid="{00000000-0005-0000-0000-000072010000}"/>
    <cellStyle name="Normal 2 85" xfId="378" xr:uid="{00000000-0005-0000-0000-000073010000}"/>
    <cellStyle name="Normal 2 86" xfId="379" xr:uid="{00000000-0005-0000-0000-000074010000}"/>
    <cellStyle name="Normal 2 87" xfId="380" xr:uid="{00000000-0005-0000-0000-000075010000}"/>
    <cellStyle name="Normal 2 88" xfId="381" xr:uid="{00000000-0005-0000-0000-000076010000}"/>
    <cellStyle name="Normal 2 89" xfId="382" xr:uid="{00000000-0005-0000-0000-000077010000}"/>
    <cellStyle name="Normal 2 9" xfId="383" xr:uid="{00000000-0005-0000-0000-000078010000}"/>
    <cellStyle name="Normal 2 90" xfId="384" xr:uid="{00000000-0005-0000-0000-000079010000}"/>
    <cellStyle name="Normal 2 91" xfId="385" xr:uid="{00000000-0005-0000-0000-00007A010000}"/>
    <cellStyle name="Normal 2 92" xfId="386" xr:uid="{00000000-0005-0000-0000-00007B010000}"/>
    <cellStyle name="Normal 2 93" xfId="387" xr:uid="{00000000-0005-0000-0000-00007C010000}"/>
    <cellStyle name="Normal 2 94" xfId="388" xr:uid="{00000000-0005-0000-0000-00007D010000}"/>
    <cellStyle name="Normal 2 95" xfId="389" xr:uid="{00000000-0005-0000-0000-00007E010000}"/>
    <cellStyle name="Normal 2 96" xfId="390" xr:uid="{00000000-0005-0000-0000-00007F010000}"/>
    <cellStyle name="Normal 2 97" xfId="391" xr:uid="{00000000-0005-0000-0000-000080010000}"/>
    <cellStyle name="Normal 2 98" xfId="392" xr:uid="{00000000-0005-0000-0000-000081010000}"/>
    <cellStyle name="Normal 2 99" xfId="393" xr:uid="{00000000-0005-0000-0000-000082010000}"/>
    <cellStyle name="Normal 3" xfId="45" xr:uid="{00000000-0005-0000-0000-000083010000}"/>
    <cellStyle name="Normal 3 2" xfId="395" xr:uid="{00000000-0005-0000-0000-000084010000}"/>
    <cellStyle name="Normal 3 3" xfId="396" xr:uid="{00000000-0005-0000-0000-000085010000}"/>
    <cellStyle name="Normal 3 4" xfId="394" xr:uid="{00000000-0005-0000-0000-000086010000}"/>
    <cellStyle name="Normal 4" xfId="42" xr:uid="{00000000-0005-0000-0000-00008701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636"/>
  <sheetViews>
    <sheetView zoomScaleNormal="100" workbookViewId="0">
      <selection activeCell="A2" sqref="A2"/>
    </sheetView>
  </sheetViews>
  <sheetFormatPr defaultRowHeight="14.5" x14ac:dyDescent="0.35"/>
  <cols>
    <col min="1" max="1" width="16.453125" customWidth="1"/>
    <col min="2" max="2" width="19" customWidth="1"/>
    <col min="3" max="3" width="33.453125" customWidth="1"/>
    <col min="4" max="4" width="54.81640625" customWidth="1"/>
    <col min="5" max="5" width="27.7265625" customWidth="1"/>
    <col min="6" max="6" width="31.453125" customWidth="1"/>
    <col min="7" max="7" width="12.54296875" customWidth="1"/>
    <col min="8" max="8" width="34.54296875" customWidth="1"/>
    <col min="9" max="10" width="14.26953125" customWidth="1"/>
  </cols>
  <sheetData>
    <row r="1" spans="1:10" ht="42" customHeight="1" x14ac:dyDescent="0.35">
      <c r="A1" s="1" t="s">
        <v>0</v>
      </c>
      <c r="B1" s="1" t="s">
        <v>1</v>
      </c>
      <c r="C1" s="1" t="s">
        <v>2</v>
      </c>
      <c r="D1" s="1" t="s">
        <v>3</v>
      </c>
      <c r="E1" s="1" t="s">
        <v>4</v>
      </c>
      <c r="F1" s="1" t="s">
        <v>5</v>
      </c>
      <c r="G1" s="1" t="s">
        <v>6</v>
      </c>
      <c r="H1" s="1" t="s">
        <v>7</v>
      </c>
      <c r="I1" s="1" t="s">
        <v>8</v>
      </c>
      <c r="J1" s="1" t="s">
        <v>9</v>
      </c>
    </row>
    <row r="2" spans="1:10" x14ac:dyDescent="0.35">
      <c r="A2" s="2" t="s">
        <v>10</v>
      </c>
      <c r="B2" s="2" t="s">
        <v>11</v>
      </c>
      <c r="C2" s="2" t="s">
        <v>12</v>
      </c>
      <c r="D2" s="3" t="s">
        <v>13</v>
      </c>
      <c r="E2" s="2" t="s">
        <v>14</v>
      </c>
      <c r="F2" s="2" t="s">
        <v>15</v>
      </c>
      <c r="G2" s="21"/>
      <c r="H2" s="21"/>
      <c r="I2" s="2" t="s">
        <v>16</v>
      </c>
      <c r="J2" s="2" t="s">
        <v>17</v>
      </c>
    </row>
    <row r="3" spans="1:10" s="21" customFormat="1" x14ac:dyDescent="0.35">
      <c r="A3" s="2" t="s">
        <v>10</v>
      </c>
      <c r="B3" s="2" t="s">
        <v>11</v>
      </c>
      <c r="C3" s="2" t="s">
        <v>12</v>
      </c>
      <c r="D3" s="3" t="s">
        <v>13</v>
      </c>
      <c r="E3" s="2" t="s">
        <v>18</v>
      </c>
      <c r="F3" s="2" t="s">
        <v>19</v>
      </c>
      <c r="G3" s="2" t="s">
        <v>20</v>
      </c>
      <c r="H3" s="2" t="s">
        <v>21</v>
      </c>
      <c r="I3" s="2" t="s">
        <v>16</v>
      </c>
      <c r="J3" s="2" t="s">
        <v>17</v>
      </c>
    </row>
    <row r="4" spans="1:10" s="21" customFormat="1" x14ac:dyDescent="0.35">
      <c r="A4" s="2" t="s">
        <v>10</v>
      </c>
      <c r="B4" s="2" t="s">
        <v>11</v>
      </c>
      <c r="C4" s="2" t="s">
        <v>12</v>
      </c>
      <c r="D4" s="3" t="s">
        <v>22</v>
      </c>
      <c r="E4" s="2" t="s">
        <v>18</v>
      </c>
      <c r="F4" s="2" t="s">
        <v>19</v>
      </c>
      <c r="G4" s="2" t="s">
        <v>20</v>
      </c>
      <c r="H4" s="2" t="s">
        <v>23</v>
      </c>
      <c r="I4" s="2" t="s">
        <v>16</v>
      </c>
      <c r="J4" s="2" t="s">
        <v>17</v>
      </c>
    </row>
    <row r="5" spans="1:10" x14ac:dyDescent="0.35">
      <c r="A5" s="2" t="s">
        <v>10</v>
      </c>
      <c r="B5" s="2" t="s">
        <v>11</v>
      </c>
      <c r="C5" s="2" t="s">
        <v>24</v>
      </c>
      <c r="D5" s="2" t="s">
        <v>25</v>
      </c>
      <c r="E5" s="2" t="s">
        <v>14</v>
      </c>
      <c r="F5" s="2" t="s">
        <v>15</v>
      </c>
      <c r="G5" s="2"/>
      <c r="H5" s="2"/>
      <c r="I5" s="2" t="s">
        <v>16</v>
      </c>
      <c r="J5" s="2" t="s">
        <v>26</v>
      </c>
    </row>
    <row r="6" spans="1:10" x14ac:dyDescent="0.35">
      <c r="A6" s="2" t="s">
        <v>10</v>
      </c>
      <c r="B6" s="2" t="s">
        <v>11</v>
      </c>
      <c r="C6" s="2" t="s">
        <v>24</v>
      </c>
      <c r="D6" s="2" t="s">
        <v>25</v>
      </c>
      <c r="E6" s="2" t="s">
        <v>27</v>
      </c>
      <c r="F6" s="2" t="s">
        <v>28</v>
      </c>
      <c r="G6" s="2"/>
      <c r="H6" s="2"/>
      <c r="I6" s="2" t="s">
        <v>16</v>
      </c>
      <c r="J6" s="2" t="s">
        <v>26</v>
      </c>
    </row>
    <row r="7" spans="1:10" x14ac:dyDescent="0.35">
      <c r="A7" s="2" t="s">
        <v>10</v>
      </c>
      <c r="B7" s="2" t="s">
        <v>11</v>
      </c>
      <c r="C7" s="2" t="s">
        <v>24</v>
      </c>
      <c r="D7" s="2" t="s">
        <v>25</v>
      </c>
      <c r="E7" s="2" t="s">
        <v>29</v>
      </c>
      <c r="F7" s="2" t="s">
        <v>30</v>
      </c>
      <c r="G7" s="2"/>
      <c r="H7" s="2"/>
      <c r="I7" s="2" t="s">
        <v>16</v>
      </c>
      <c r="J7" s="2" t="s">
        <v>26</v>
      </c>
    </row>
    <row r="8" spans="1:10" x14ac:dyDescent="0.35">
      <c r="A8" s="2" t="s">
        <v>10</v>
      </c>
      <c r="B8" s="2" t="s">
        <v>11</v>
      </c>
      <c r="C8" s="2" t="s">
        <v>24</v>
      </c>
      <c r="D8" s="2" t="s">
        <v>25</v>
      </c>
      <c r="E8" s="2" t="s">
        <v>31</v>
      </c>
      <c r="F8" s="2" t="s">
        <v>32</v>
      </c>
      <c r="G8" s="2"/>
      <c r="H8" s="2"/>
      <c r="I8" s="2" t="s">
        <v>16</v>
      </c>
      <c r="J8" s="2" t="s">
        <v>26</v>
      </c>
    </row>
    <row r="9" spans="1:10" x14ac:dyDescent="0.35">
      <c r="A9" s="2" t="s">
        <v>10</v>
      </c>
      <c r="B9" s="2" t="s">
        <v>11</v>
      </c>
      <c r="C9" s="2" t="s">
        <v>24</v>
      </c>
      <c r="D9" s="2" t="s">
        <v>25</v>
      </c>
      <c r="E9" s="2" t="s">
        <v>33</v>
      </c>
      <c r="F9" s="2" t="s">
        <v>34</v>
      </c>
      <c r="G9" s="2"/>
      <c r="H9" s="2"/>
      <c r="I9" s="2" t="s">
        <v>16</v>
      </c>
      <c r="J9" s="2" t="s">
        <v>26</v>
      </c>
    </row>
    <row r="10" spans="1:10" x14ac:dyDescent="0.35">
      <c r="A10" s="2" t="s">
        <v>10</v>
      </c>
      <c r="B10" s="2" t="s">
        <v>11</v>
      </c>
      <c r="C10" s="2" t="s">
        <v>24</v>
      </c>
      <c r="D10" s="2" t="s">
        <v>25</v>
      </c>
      <c r="E10" s="2" t="s">
        <v>35</v>
      </c>
      <c r="F10" s="2" t="s">
        <v>36</v>
      </c>
      <c r="G10" s="2"/>
      <c r="H10" s="2"/>
      <c r="I10" s="2" t="s">
        <v>16</v>
      </c>
      <c r="J10" s="2" t="s">
        <v>26</v>
      </c>
    </row>
    <row r="11" spans="1:10" x14ac:dyDescent="0.35">
      <c r="A11" s="2" t="s">
        <v>10</v>
      </c>
      <c r="B11" s="2" t="s">
        <v>11</v>
      </c>
      <c r="C11" s="2" t="s">
        <v>24</v>
      </c>
      <c r="D11" s="2" t="s">
        <v>25</v>
      </c>
      <c r="E11" s="2" t="s">
        <v>37</v>
      </c>
      <c r="F11" s="2" t="s">
        <v>38</v>
      </c>
      <c r="G11" s="2"/>
      <c r="H11" s="2"/>
      <c r="I11" s="2" t="s">
        <v>16</v>
      </c>
      <c r="J11" s="2" t="s">
        <v>26</v>
      </c>
    </row>
    <row r="12" spans="1:10" x14ac:dyDescent="0.35">
      <c r="A12" s="2" t="s">
        <v>10</v>
      </c>
      <c r="B12" s="2" t="s">
        <v>11</v>
      </c>
      <c r="C12" s="2" t="s">
        <v>24</v>
      </c>
      <c r="D12" s="2" t="s">
        <v>25</v>
      </c>
      <c r="E12" s="2" t="s">
        <v>39</v>
      </c>
      <c r="F12" s="2" t="s">
        <v>40</v>
      </c>
      <c r="G12" s="2"/>
      <c r="H12" s="2"/>
      <c r="I12" s="2" t="s">
        <v>16</v>
      </c>
      <c r="J12" s="2" t="s">
        <v>26</v>
      </c>
    </row>
    <row r="13" spans="1:10" x14ac:dyDescent="0.35">
      <c r="A13" s="2" t="s">
        <v>10</v>
      </c>
      <c r="B13" s="2" t="s">
        <v>11</v>
      </c>
      <c r="C13" s="2" t="s">
        <v>24</v>
      </c>
      <c r="D13" s="2" t="s">
        <v>25</v>
      </c>
      <c r="E13" s="2" t="s">
        <v>18</v>
      </c>
      <c r="F13" s="2" t="s">
        <v>19</v>
      </c>
      <c r="G13" s="2" t="s">
        <v>16</v>
      </c>
      <c r="H13" s="2" t="s">
        <v>41</v>
      </c>
      <c r="I13" s="2" t="s">
        <v>16</v>
      </c>
      <c r="J13" s="2" t="s">
        <v>26</v>
      </c>
    </row>
    <row r="14" spans="1:10" x14ac:dyDescent="0.35">
      <c r="A14" s="2" t="s">
        <v>10</v>
      </c>
      <c r="B14" s="2" t="s">
        <v>11</v>
      </c>
      <c r="C14" s="2" t="s">
        <v>24</v>
      </c>
      <c r="D14" s="2" t="s">
        <v>25</v>
      </c>
      <c r="E14" s="2" t="s">
        <v>42</v>
      </c>
      <c r="F14" s="2" t="s">
        <v>43</v>
      </c>
      <c r="G14" s="2"/>
      <c r="H14" s="2"/>
      <c r="I14" s="2" t="s">
        <v>16</v>
      </c>
      <c r="J14" s="2" t="s">
        <v>26</v>
      </c>
    </row>
    <row r="15" spans="1:10" x14ac:dyDescent="0.35">
      <c r="A15" s="2" t="s">
        <v>10</v>
      </c>
      <c r="B15" s="2" t="s">
        <v>11</v>
      </c>
      <c r="C15" s="2" t="s">
        <v>24</v>
      </c>
      <c r="D15" s="2" t="s">
        <v>25</v>
      </c>
      <c r="E15" s="2" t="s">
        <v>44</v>
      </c>
      <c r="F15" s="2" t="s">
        <v>45</v>
      </c>
      <c r="G15" s="2" t="s">
        <v>46</v>
      </c>
      <c r="H15" s="2" t="s">
        <v>47</v>
      </c>
      <c r="I15" s="2" t="s">
        <v>16</v>
      </c>
      <c r="J15" s="2" t="s">
        <v>26</v>
      </c>
    </row>
    <row r="16" spans="1:10" x14ac:dyDescent="0.35">
      <c r="A16" s="2" t="s">
        <v>10</v>
      </c>
      <c r="B16" s="2" t="s">
        <v>11</v>
      </c>
      <c r="C16" s="2" t="s">
        <v>24</v>
      </c>
      <c r="D16" s="2" t="s">
        <v>48</v>
      </c>
      <c r="E16" s="2" t="s">
        <v>49</v>
      </c>
      <c r="F16" s="2" t="s">
        <v>50</v>
      </c>
      <c r="G16" s="2"/>
      <c r="H16" s="2"/>
      <c r="I16" s="2" t="s">
        <v>16</v>
      </c>
      <c r="J16" s="2" t="s">
        <v>17</v>
      </c>
    </row>
    <row r="17" spans="1:10" x14ac:dyDescent="0.35">
      <c r="A17" s="2" t="s">
        <v>10</v>
      </c>
      <c r="B17" s="2" t="s">
        <v>11</v>
      </c>
      <c r="C17" s="2" t="s">
        <v>24</v>
      </c>
      <c r="D17" s="2" t="s">
        <v>48</v>
      </c>
      <c r="E17" s="2" t="s">
        <v>35</v>
      </c>
      <c r="F17" s="2" t="s">
        <v>36</v>
      </c>
      <c r="G17" s="2"/>
      <c r="H17" s="2"/>
      <c r="I17" s="2" t="s">
        <v>16</v>
      </c>
      <c r="J17" s="2" t="s">
        <v>17</v>
      </c>
    </row>
    <row r="18" spans="1:10" x14ac:dyDescent="0.35">
      <c r="A18" s="2" t="s">
        <v>10</v>
      </c>
      <c r="B18" s="2" t="s">
        <v>11</v>
      </c>
      <c r="C18" s="2" t="s">
        <v>24</v>
      </c>
      <c r="D18" s="2" t="s">
        <v>48</v>
      </c>
      <c r="E18" s="2" t="s">
        <v>51</v>
      </c>
      <c r="F18" s="2" t="s">
        <v>52</v>
      </c>
      <c r="G18" s="2"/>
      <c r="H18" s="2"/>
      <c r="I18" s="2" t="s">
        <v>16</v>
      </c>
      <c r="J18" s="2" t="s">
        <v>17</v>
      </c>
    </row>
    <row r="19" spans="1:10" x14ac:dyDescent="0.35">
      <c r="A19" s="2" t="s">
        <v>10</v>
      </c>
      <c r="B19" s="2" t="s">
        <v>11</v>
      </c>
      <c r="C19" s="2" t="s">
        <v>24</v>
      </c>
      <c r="D19" s="2" t="s">
        <v>48</v>
      </c>
      <c r="E19" s="2" t="s">
        <v>18</v>
      </c>
      <c r="F19" s="2" t="s">
        <v>19</v>
      </c>
      <c r="G19" s="2" t="s">
        <v>16</v>
      </c>
      <c r="H19" s="2" t="s">
        <v>53</v>
      </c>
      <c r="I19" s="2" t="s">
        <v>16</v>
      </c>
      <c r="J19" s="2" t="s">
        <v>17</v>
      </c>
    </row>
    <row r="20" spans="1:10" s="21" customFormat="1" x14ac:dyDescent="0.35">
      <c r="A20" s="2" t="s">
        <v>10</v>
      </c>
      <c r="B20" s="2" t="s">
        <v>11</v>
      </c>
      <c r="C20" s="2" t="s">
        <v>54</v>
      </c>
      <c r="D20" s="2" t="s">
        <v>55</v>
      </c>
      <c r="E20" s="2" t="s">
        <v>18</v>
      </c>
      <c r="F20" s="2" t="s">
        <v>19</v>
      </c>
      <c r="G20" s="2" t="s">
        <v>20</v>
      </c>
      <c r="H20" s="2" t="s">
        <v>56</v>
      </c>
      <c r="I20" s="2" t="s">
        <v>16</v>
      </c>
      <c r="J20" s="2" t="s">
        <v>17</v>
      </c>
    </row>
    <row r="21" spans="1:10" x14ac:dyDescent="0.35">
      <c r="A21" s="2" t="s">
        <v>10</v>
      </c>
      <c r="B21" s="2" t="s">
        <v>11</v>
      </c>
      <c r="C21" s="2" t="s">
        <v>57</v>
      </c>
      <c r="D21" s="2" t="s">
        <v>58</v>
      </c>
      <c r="E21" s="2" t="s">
        <v>59</v>
      </c>
      <c r="F21" s="2" t="s">
        <v>60</v>
      </c>
      <c r="G21" s="2"/>
      <c r="H21" s="2"/>
      <c r="I21" s="2" t="s">
        <v>16</v>
      </c>
      <c r="J21" s="2" t="s">
        <v>17</v>
      </c>
    </row>
    <row r="22" spans="1:10" x14ac:dyDescent="0.35">
      <c r="A22" s="2" t="s">
        <v>10</v>
      </c>
      <c r="B22" s="2" t="s">
        <v>11</v>
      </c>
      <c r="C22" s="2" t="s">
        <v>57</v>
      </c>
      <c r="D22" s="2" t="s">
        <v>58</v>
      </c>
      <c r="E22" s="2" t="s">
        <v>18</v>
      </c>
      <c r="F22" s="2" t="s">
        <v>19</v>
      </c>
      <c r="G22" s="2"/>
      <c r="H22" s="2"/>
      <c r="I22" s="2" t="s">
        <v>16</v>
      </c>
      <c r="J22" s="2" t="s">
        <v>17</v>
      </c>
    </row>
    <row r="23" spans="1:10" x14ac:dyDescent="0.35">
      <c r="A23" s="2" t="s">
        <v>10</v>
      </c>
      <c r="B23" s="2" t="s">
        <v>11</v>
      </c>
      <c r="C23" s="2" t="s">
        <v>57</v>
      </c>
      <c r="D23" s="2" t="s">
        <v>58</v>
      </c>
      <c r="E23" s="2" t="s">
        <v>61</v>
      </c>
      <c r="F23" s="2" t="s">
        <v>30</v>
      </c>
      <c r="G23" s="2"/>
      <c r="H23" s="2"/>
      <c r="I23" s="2" t="s">
        <v>16</v>
      </c>
      <c r="J23" s="2" t="s">
        <v>17</v>
      </c>
    </row>
    <row r="24" spans="1:10" x14ac:dyDescent="0.35">
      <c r="A24" s="2" t="s">
        <v>10</v>
      </c>
      <c r="B24" s="2" t="s">
        <v>11</v>
      </c>
      <c r="C24" s="2" t="s">
        <v>62</v>
      </c>
      <c r="D24" s="2" t="s">
        <v>63</v>
      </c>
      <c r="E24" s="2" t="s">
        <v>64</v>
      </c>
      <c r="F24" s="2" t="s">
        <v>65</v>
      </c>
      <c r="G24" s="2"/>
      <c r="H24" s="2"/>
      <c r="I24" s="2" t="s">
        <v>16</v>
      </c>
      <c r="J24" s="2" t="s">
        <v>26</v>
      </c>
    </row>
    <row r="25" spans="1:10" x14ac:dyDescent="0.35">
      <c r="A25" s="2" t="s">
        <v>10</v>
      </c>
      <c r="B25" s="2" t="s">
        <v>11</v>
      </c>
      <c r="C25" s="2" t="s">
        <v>62</v>
      </c>
      <c r="D25" s="2" t="s">
        <v>63</v>
      </c>
      <c r="E25" s="2" t="s">
        <v>18</v>
      </c>
      <c r="F25" s="2" t="s">
        <v>19</v>
      </c>
      <c r="G25" s="2" t="s">
        <v>16</v>
      </c>
      <c r="H25" s="2" t="s">
        <v>66</v>
      </c>
      <c r="I25" s="2" t="s">
        <v>16</v>
      </c>
      <c r="J25" s="2" t="s">
        <v>26</v>
      </c>
    </row>
    <row r="26" spans="1:10" x14ac:dyDescent="0.35">
      <c r="A26" s="2" t="s">
        <v>10</v>
      </c>
      <c r="B26" s="2" t="s">
        <v>11</v>
      </c>
      <c r="C26" s="2" t="s">
        <v>62</v>
      </c>
      <c r="D26" s="2" t="s">
        <v>63</v>
      </c>
      <c r="E26" s="2" t="s">
        <v>61</v>
      </c>
      <c r="F26" s="2" t="s">
        <v>30</v>
      </c>
      <c r="G26" s="2"/>
      <c r="H26" s="2"/>
      <c r="I26" s="2" t="s">
        <v>16</v>
      </c>
      <c r="J26" s="2" t="s">
        <v>26</v>
      </c>
    </row>
    <row r="27" spans="1:10" s="21" customFormat="1" x14ac:dyDescent="0.35">
      <c r="A27" s="2" t="s">
        <v>10</v>
      </c>
      <c r="B27" s="2" t="s">
        <v>67</v>
      </c>
      <c r="C27" s="2" t="s">
        <v>57</v>
      </c>
      <c r="D27" s="2" t="s">
        <v>68</v>
      </c>
      <c r="E27" s="2" t="s">
        <v>35</v>
      </c>
      <c r="F27" s="2" t="s">
        <v>36</v>
      </c>
      <c r="G27" s="2"/>
      <c r="H27" s="2"/>
      <c r="I27" s="2" t="s">
        <v>20</v>
      </c>
      <c r="J27" s="2" t="s">
        <v>69</v>
      </c>
    </row>
    <row r="28" spans="1:10" s="21" customFormat="1" x14ac:dyDescent="0.35">
      <c r="A28" s="2" t="s">
        <v>10</v>
      </c>
      <c r="B28" s="2" t="s">
        <v>67</v>
      </c>
      <c r="C28" s="2" t="s">
        <v>57</v>
      </c>
      <c r="D28" s="2" t="s">
        <v>68</v>
      </c>
      <c r="E28" s="2" t="s">
        <v>18</v>
      </c>
      <c r="F28" s="2" t="s">
        <v>19</v>
      </c>
      <c r="G28" s="2" t="s">
        <v>20</v>
      </c>
      <c r="H28" s="2" t="s">
        <v>70</v>
      </c>
      <c r="I28" s="2" t="s">
        <v>20</v>
      </c>
      <c r="J28" s="2" t="s">
        <v>69</v>
      </c>
    </row>
    <row r="29" spans="1:10" s="21" customFormat="1" x14ac:dyDescent="0.35">
      <c r="A29" s="2" t="s">
        <v>10</v>
      </c>
      <c r="B29" s="2" t="s">
        <v>67</v>
      </c>
      <c r="C29" s="2" t="s">
        <v>57</v>
      </c>
      <c r="D29" s="2" t="s">
        <v>68</v>
      </c>
      <c r="E29" s="2" t="s">
        <v>61</v>
      </c>
      <c r="F29" s="2" t="s">
        <v>30</v>
      </c>
      <c r="G29" s="2"/>
      <c r="H29" s="2"/>
      <c r="I29" s="2" t="s">
        <v>20</v>
      </c>
      <c r="J29" s="2" t="s">
        <v>69</v>
      </c>
    </row>
    <row r="30" spans="1:10" x14ac:dyDescent="0.35">
      <c r="A30" s="2" t="s">
        <v>10</v>
      </c>
      <c r="B30" s="2" t="s">
        <v>71</v>
      </c>
      <c r="C30" s="2" t="s">
        <v>24</v>
      </c>
      <c r="D30" s="2" t="s">
        <v>72</v>
      </c>
      <c r="E30" s="2" t="s">
        <v>14</v>
      </c>
      <c r="F30" s="2" t="s">
        <v>15</v>
      </c>
      <c r="G30" s="2" t="s">
        <v>46</v>
      </c>
      <c r="H30" s="2" t="s">
        <v>73</v>
      </c>
      <c r="I30" s="2"/>
      <c r="J30" s="2"/>
    </row>
    <row r="31" spans="1:10" x14ac:dyDescent="0.35">
      <c r="A31" s="2" t="s">
        <v>10</v>
      </c>
      <c r="B31" s="2" t="s">
        <v>71</v>
      </c>
      <c r="C31" s="2" t="s">
        <v>24</v>
      </c>
      <c r="D31" s="2" t="s">
        <v>72</v>
      </c>
      <c r="E31" s="2" t="s">
        <v>74</v>
      </c>
      <c r="F31" s="2" t="s">
        <v>75</v>
      </c>
      <c r="G31" s="2" t="s">
        <v>46</v>
      </c>
      <c r="H31" s="2" t="s">
        <v>73</v>
      </c>
      <c r="I31" s="2"/>
      <c r="J31" s="2"/>
    </row>
    <row r="32" spans="1:10" x14ac:dyDescent="0.35">
      <c r="A32" s="2" t="s">
        <v>10</v>
      </c>
      <c r="B32" s="2" t="s">
        <v>71</v>
      </c>
      <c r="C32" s="2" t="s">
        <v>24</v>
      </c>
      <c r="D32" s="2" t="s">
        <v>72</v>
      </c>
      <c r="E32" s="2" t="s">
        <v>27</v>
      </c>
      <c r="F32" s="2" t="s">
        <v>28</v>
      </c>
      <c r="G32" s="2" t="s">
        <v>46</v>
      </c>
      <c r="H32" s="2" t="s">
        <v>73</v>
      </c>
      <c r="I32" s="2"/>
      <c r="J32" s="2"/>
    </row>
    <row r="33" spans="1:10" x14ac:dyDescent="0.35">
      <c r="A33" s="2" t="s">
        <v>10</v>
      </c>
      <c r="B33" s="2" t="s">
        <v>71</v>
      </c>
      <c r="C33" s="2" t="s">
        <v>24</v>
      </c>
      <c r="D33" s="2" t="s">
        <v>72</v>
      </c>
      <c r="E33" s="2" t="s">
        <v>76</v>
      </c>
      <c r="F33" s="2" t="s">
        <v>75</v>
      </c>
      <c r="G33" s="2" t="s">
        <v>46</v>
      </c>
      <c r="H33" s="2" t="s">
        <v>73</v>
      </c>
      <c r="I33" s="2"/>
      <c r="J33" s="2"/>
    </row>
    <row r="34" spans="1:10" x14ac:dyDescent="0.35">
      <c r="A34" s="2" t="s">
        <v>10</v>
      </c>
      <c r="B34" s="2" t="s">
        <v>71</v>
      </c>
      <c r="C34" s="2" t="s">
        <v>24</v>
      </c>
      <c r="D34" s="2" t="s">
        <v>72</v>
      </c>
      <c r="E34" s="2" t="s">
        <v>31</v>
      </c>
      <c r="F34" s="2" t="s">
        <v>32</v>
      </c>
      <c r="G34" s="2" t="s">
        <v>46</v>
      </c>
      <c r="H34" s="2" t="s">
        <v>73</v>
      </c>
      <c r="I34" s="2"/>
      <c r="J34" s="2"/>
    </row>
    <row r="35" spans="1:10" x14ac:dyDescent="0.35">
      <c r="A35" s="2" t="s">
        <v>10</v>
      </c>
      <c r="B35" s="2" t="s">
        <v>71</v>
      </c>
      <c r="C35" s="2" t="s">
        <v>24</v>
      </c>
      <c r="D35" s="2" t="s">
        <v>72</v>
      </c>
      <c r="E35" s="2" t="s">
        <v>77</v>
      </c>
      <c r="F35" s="2" t="s">
        <v>78</v>
      </c>
      <c r="G35" s="2" t="s">
        <v>46</v>
      </c>
      <c r="H35" s="2" t="s">
        <v>73</v>
      </c>
      <c r="I35" s="2"/>
      <c r="J35" s="2"/>
    </row>
    <row r="36" spans="1:10" x14ac:dyDescent="0.35">
      <c r="A36" s="2" t="s">
        <v>10</v>
      </c>
      <c r="B36" s="2" t="s">
        <v>71</v>
      </c>
      <c r="C36" s="2" t="s">
        <v>24</v>
      </c>
      <c r="D36" s="2" t="s">
        <v>72</v>
      </c>
      <c r="E36" s="2" t="s">
        <v>79</v>
      </c>
      <c r="F36" s="2" t="s">
        <v>38</v>
      </c>
      <c r="G36" s="2" t="s">
        <v>46</v>
      </c>
      <c r="H36" s="2" t="s">
        <v>73</v>
      </c>
      <c r="I36" s="2"/>
      <c r="J36" s="2"/>
    </row>
    <row r="37" spans="1:10" x14ac:dyDescent="0.35">
      <c r="A37" s="2" t="s">
        <v>10</v>
      </c>
      <c r="B37" s="2" t="s">
        <v>71</v>
      </c>
      <c r="C37" s="2" t="s">
        <v>24</v>
      </c>
      <c r="D37" s="2" t="s">
        <v>72</v>
      </c>
      <c r="E37" s="2" t="s">
        <v>44</v>
      </c>
      <c r="F37" s="2" t="s">
        <v>45</v>
      </c>
      <c r="G37" s="2" t="s">
        <v>46</v>
      </c>
      <c r="H37" s="2" t="s">
        <v>73</v>
      </c>
      <c r="I37" s="2"/>
      <c r="J37" s="2"/>
    </row>
    <row r="38" spans="1:10" x14ac:dyDescent="0.35">
      <c r="A38" s="2" t="s">
        <v>10</v>
      </c>
      <c r="B38" s="2" t="s">
        <v>71</v>
      </c>
      <c r="C38" s="2" t="s">
        <v>24</v>
      </c>
      <c r="D38" s="2" t="s">
        <v>80</v>
      </c>
      <c r="E38" s="2" t="s">
        <v>14</v>
      </c>
      <c r="F38" s="2" t="s">
        <v>15</v>
      </c>
      <c r="G38" s="2"/>
      <c r="H38" s="2"/>
      <c r="I38" s="2" t="s">
        <v>16</v>
      </c>
      <c r="J38" s="2" t="s">
        <v>81</v>
      </c>
    </row>
    <row r="39" spans="1:10" x14ac:dyDescent="0.35">
      <c r="A39" s="2" t="s">
        <v>10</v>
      </c>
      <c r="B39" s="2" t="s">
        <v>71</v>
      </c>
      <c r="C39" s="2" t="s">
        <v>24</v>
      </c>
      <c r="D39" s="2" t="s">
        <v>80</v>
      </c>
      <c r="E39" s="2" t="s">
        <v>82</v>
      </c>
      <c r="F39" s="2" t="s">
        <v>83</v>
      </c>
      <c r="G39" s="2" t="s">
        <v>16</v>
      </c>
      <c r="H39" s="2" t="s">
        <v>84</v>
      </c>
      <c r="I39" s="2" t="s">
        <v>16</v>
      </c>
      <c r="J39" s="2" t="s">
        <v>81</v>
      </c>
    </row>
    <row r="40" spans="1:10" x14ac:dyDescent="0.35">
      <c r="A40" s="2" t="s">
        <v>10</v>
      </c>
      <c r="B40" s="2" t="s">
        <v>71</v>
      </c>
      <c r="C40" s="2" t="s">
        <v>24</v>
      </c>
      <c r="D40" s="2" t="s">
        <v>80</v>
      </c>
      <c r="E40" s="2" t="s">
        <v>51</v>
      </c>
      <c r="F40" s="2" t="s">
        <v>52</v>
      </c>
      <c r="G40" s="2" t="s">
        <v>16</v>
      </c>
      <c r="H40" s="2" t="s">
        <v>84</v>
      </c>
      <c r="I40" s="2" t="s">
        <v>16</v>
      </c>
      <c r="J40" s="2" t="s">
        <v>81</v>
      </c>
    </row>
    <row r="41" spans="1:10" x14ac:dyDescent="0.35">
      <c r="A41" s="2" t="s">
        <v>10</v>
      </c>
      <c r="B41" s="2" t="s">
        <v>71</v>
      </c>
      <c r="C41" s="2" t="s">
        <v>24</v>
      </c>
      <c r="D41" s="2" t="s">
        <v>80</v>
      </c>
      <c r="E41" s="2" t="s">
        <v>85</v>
      </c>
      <c r="F41" s="2" t="s">
        <v>85</v>
      </c>
      <c r="G41" s="2" t="s">
        <v>16</v>
      </c>
      <c r="H41" s="2" t="s">
        <v>84</v>
      </c>
      <c r="I41" s="2" t="s">
        <v>16</v>
      </c>
      <c r="J41" s="2" t="s">
        <v>81</v>
      </c>
    </row>
    <row r="42" spans="1:10" x14ac:dyDescent="0.35">
      <c r="A42" s="2" t="s">
        <v>10</v>
      </c>
      <c r="B42" s="2" t="s">
        <v>71</v>
      </c>
      <c r="C42" s="2" t="s">
        <v>24</v>
      </c>
      <c r="D42" s="2" t="s">
        <v>86</v>
      </c>
      <c r="E42" s="2" t="s">
        <v>87</v>
      </c>
      <c r="F42" s="2" t="s">
        <v>75</v>
      </c>
      <c r="G42" s="2" t="s">
        <v>16</v>
      </c>
      <c r="H42" s="2" t="s">
        <v>88</v>
      </c>
      <c r="I42" s="2" t="s">
        <v>16</v>
      </c>
      <c r="J42" s="2" t="s">
        <v>81</v>
      </c>
    </row>
    <row r="43" spans="1:10" x14ac:dyDescent="0.35">
      <c r="A43" s="2" t="s">
        <v>10</v>
      </c>
      <c r="B43" s="2" t="s">
        <v>71</v>
      </c>
      <c r="C43" s="2" t="s">
        <v>24</v>
      </c>
      <c r="D43" s="2" t="s">
        <v>86</v>
      </c>
      <c r="E43" s="2" t="s">
        <v>89</v>
      </c>
      <c r="F43" s="2" t="s">
        <v>45</v>
      </c>
      <c r="G43" s="2"/>
      <c r="H43" s="2"/>
      <c r="I43" s="2" t="s">
        <v>16</v>
      </c>
      <c r="J43" s="2" t="s">
        <v>81</v>
      </c>
    </row>
    <row r="44" spans="1:10" x14ac:dyDescent="0.35">
      <c r="A44" s="2" t="s">
        <v>10</v>
      </c>
      <c r="B44" s="2" t="s">
        <v>71</v>
      </c>
      <c r="C44" s="2" t="s">
        <v>12</v>
      </c>
      <c r="D44" s="2" t="s">
        <v>90</v>
      </c>
      <c r="E44" s="2" t="s">
        <v>14</v>
      </c>
      <c r="F44" s="2" t="s">
        <v>15</v>
      </c>
      <c r="G44" s="2"/>
      <c r="H44" s="2"/>
      <c r="I44" s="2"/>
      <c r="J44" s="2"/>
    </row>
    <row r="45" spans="1:10" x14ac:dyDescent="0.35">
      <c r="A45" s="2" t="s">
        <v>10</v>
      </c>
      <c r="B45" s="2" t="s">
        <v>71</v>
      </c>
      <c r="C45" s="2" t="s">
        <v>12</v>
      </c>
      <c r="D45" s="2" t="s">
        <v>90</v>
      </c>
      <c r="E45" s="2" t="s">
        <v>77</v>
      </c>
      <c r="F45" s="2" t="s">
        <v>78</v>
      </c>
      <c r="G45" s="2"/>
      <c r="H45" s="2"/>
      <c r="I45" s="2"/>
      <c r="J45" s="2"/>
    </row>
    <row r="46" spans="1:10" x14ac:dyDescent="0.35">
      <c r="A46" s="2" t="s">
        <v>10</v>
      </c>
      <c r="B46" s="2" t="s">
        <v>71</v>
      </c>
      <c r="C46" s="2" t="s">
        <v>12</v>
      </c>
      <c r="D46" s="2" t="s">
        <v>90</v>
      </c>
      <c r="E46" s="2" t="s">
        <v>91</v>
      </c>
      <c r="F46" s="2" t="s">
        <v>19</v>
      </c>
      <c r="G46" s="2" t="s">
        <v>16</v>
      </c>
      <c r="H46" s="2" t="s">
        <v>92</v>
      </c>
      <c r="I46" s="2"/>
      <c r="J46" s="2"/>
    </row>
    <row r="47" spans="1:10" x14ac:dyDescent="0.35">
      <c r="A47" s="2" t="s">
        <v>10</v>
      </c>
      <c r="B47" s="2" t="s">
        <v>71</v>
      </c>
      <c r="C47" s="2" t="s">
        <v>12</v>
      </c>
      <c r="D47" s="2" t="s">
        <v>90</v>
      </c>
      <c r="E47" s="2" t="s">
        <v>89</v>
      </c>
      <c r="F47" s="2" t="s">
        <v>45</v>
      </c>
      <c r="G47" s="2" t="s">
        <v>16</v>
      </c>
      <c r="H47" s="2" t="s">
        <v>93</v>
      </c>
      <c r="I47" s="2"/>
      <c r="J47" s="2"/>
    </row>
    <row r="48" spans="1:10" x14ac:dyDescent="0.35">
      <c r="A48" s="2" t="s">
        <v>10</v>
      </c>
      <c r="B48" s="2" t="s">
        <v>71</v>
      </c>
      <c r="C48" s="2" t="s">
        <v>24</v>
      </c>
      <c r="D48" s="2" t="s">
        <v>94</v>
      </c>
      <c r="E48" s="2" t="s">
        <v>27</v>
      </c>
      <c r="F48" s="2" t="s">
        <v>28</v>
      </c>
      <c r="G48" s="2"/>
      <c r="H48" s="2"/>
      <c r="I48" s="2" t="s">
        <v>16</v>
      </c>
      <c r="J48" s="2" t="s">
        <v>95</v>
      </c>
    </row>
    <row r="49" spans="1:10" x14ac:dyDescent="0.35">
      <c r="A49" s="2" t="s">
        <v>10</v>
      </c>
      <c r="B49" s="2" t="s">
        <v>71</v>
      </c>
      <c r="C49" s="2" t="s">
        <v>24</v>
      </c>
      <c r="D49" s="2" t="s">
        <v>94</v>
      </c>
      <c r="E49" s="2" t="s">
        <v>76</v>
      </c>
      <c r="F49" s="2" t="s">
        <v>75</v>
      </c>
      <c r="G49" s="2"/>
      <c r="H49" s="2"/>
      <c r="I49" s="2" t="s">
        <v>16</v>
      </c>
      <c r="J49" s="2" t="s">
        <v>95</v>
      </c>
    </row>
    <row r="50" spans="1:10" x14ac:dyDescent="0.35">
      <c r="A50" s="2" t="s">
        <v>10</v>
      </c>
      <c r="B50" s="2" t="s">
        <v>71</v>
      </c>
      <c r="C50" s="2" t="s">
        <v>24</v>
      </c>
      <c r="D50" s="2" t="s">
        <v>94</v>
      </c>
      <c r="E50" s="2" t="s">
        <v>31</v>
      </c>
      <c r="F50" s="2" t="s">
        <v>32</v>
      </c>
      <c r="G50" s="2"/>
      <c r="H50" s="2"/>
      <c r="I50" s="2" t="s">
        <v>16</v>
      </c>
      <c r="J50" s="2" t="s">
        <v>95</v>
      </c>
    </row>
    <row r="51" spans="1:10" x14ac:dyDescent="0.35">
      <c r="A51" s="2" t="s">
        <v>10</v>
      </c>
      <c r="B51" s="2" t="s">
        <v>71</v>
      </c>
      <c r="C51" s="2" t="s">
        <v>24</v>
      </c>
      <c r="D51" s="2" t="s">
        <v>94</v>
      </c>
      <c r="E51" s="2" t="s">
        <v>96</v>
      </c>
      <c r="F51" s="2" t="s">
        <v>83</v>
      </c>
      <c r="G51" s="2"/>
      <c r="H51" s="2"/>
      <c r="I51" s="2" t="s">
        <v>16</v>
      </c>
      <c r="J51" s="2" t="s">
        <v>97</v>
      </c>
    </row>
    <row r="52" spans="1:10" x14ac:dyDescent="0.35">
      <c r="A52" s="2" t="s">
        <v>10</v>
      </c>
      <c r="B52" s="2" t="s">
        <v>71</v>
      </c>
      <c r="C52" s="2" t="s">
        <v>24</v>
      </c>
      <c r="D52" s="2" t="s">
        <v>94</v>
      </c>
      <c r="E52" s="2" t="s">
        <v>98</v>
      </c>
      <c r="F52" s="2" t="s">
        <v>98</v>
      </c>
      <c r="G52" s="2"/>
      <c r="H52" s="2"/>
      <c r="I52" s="2" t="s">
        <v>16</v>
      </c>
      <c r="J52" s="2" t="s">
        <v>97</v>
      </c>
    </row>
    <row r="53" spans="1:10" x14ac:dyDescent="0.35">
      <c r="A53" s="2" t="s">
        <v>10</v>
      </c>
      <c r="B53" s="2" t="s">
        <v>71</v>
      </c>
      <c r="C53" s="2" t="s">
        <v>24</v>
      </c>
      <c r="D53" s="2" t="s">
        <v>94</v>
      </c>
      <c r="E53" s="2" t="s">
        <v>51</v>
      </c>
      <c r="F53" s="2" t="s">
        <v>52</v>
      </c>
      <c r="G53" s="2"/>
      <c r="H53" s="2"/>
      <c r="I53" s="2" t="s">
        <v>16</v>
      </c>
      <c r="J53" s="2" t="s">
        <v>95</v>
      </c>
    </row>
    <row r="54" spans="1:10" x14ac:dyDescent="0.35">
      <c r="A54" s="2" t="s">
        <v>10</v>
      </c>
      <c r="B54" s="2" t="s">
        <v>71</v>
      </c>
      <c r="C54" s="2" t="s">
        <v>24</v>
      </c>
      <c r="D54" s="2" t="s">
        <v>94</v>
      </c>
      <c r="E54" s="2" t="s">
        <v>18</v>
      </c>
      <c r="F54" s="2" t="s">
        <v>19</v>
      </c>
      <c r="G54" s="2" t="s">
        <v>16</v>
      </c>
      <c r="H54" s="2" t="s">
        <v>99</v>
      </c>
      <c r="I54" s="2" t="s">
        <v>16</v>
      </c>
      <c r="J54" s="2" t="s">
        <v>95</v>
      </c>
    </row>
    <row r="55" spans="1:10" x14ac:dyDescent="0.35">
      <c r="A55" s="2" t="s">
        <v>10</v>
      </c>
      <c r="B55" s="2" t="s">
        <v>71</v>
      </c>
      <c r="C55" s="2" t="s">
        <v>24</v>
      </c>
      <c r="D55" s="2" t="s">
        <v>94</v>
      </c>
      <c r="E55" s="2" t="s">
        <v>79</v>
      </c>
      <c r="F55" s="2" t="s">
        <v>38</v>
      </c>
      <c r="G55" s="2" t="s">
        <v>46</v>
      </c>
      <c r="H55" s="2" t="s">
        <v>47</v>
      </c>
      <c r="I55" s="2"/>
      <c r="J55" s="2"/>
    </row>
    <row r="56" spans="1:10" x14ac:dyDescent="0.35">
      <c r="A56" s="2" t="s">
        <v>10</v>
      </c>
      <c r="B56" s="2" t="s">
        <v>71</v>
      </c>
      <c r="C56" s="2" t="s">
        <v>24</v>
      </c>
      <c r="D56" s="2" t="s">
        <v>94</v>
      </c>
      <c r="E56" s="2" t="s">
        <v>100</v>
      </c>
      <c r="F56" s="2" t="s">
        <v>101</v>
      </c>
      <c r="G56" s="2"/>
      <c r="H56" s="2"/>
      <c r="I56" s="2"/>
      <c r="J56" s="2"/>
    </row>
    <row r="57" spans="1:10" s="21" customFormat="1" x14ac:dyDescent="0.35">
      <c r="A57" s="2" t="s">
        <v>10</v>
      </c>
      <c r="B57" s="2" t="s">
        <v>71</v>
      </c>
      <c r="C57" s="2" t="s">
        <v>54</v>
      </c>
      <c r="D57" s="2" t="s">
        <v>102</v>
      </c>
      <c r="E57" s="2" t="s">
        <v>14</v>
      </c>
      <c r="F57" s="2" t="s">
        <v>15</v>
      </c>
      <c r="G57" s="2"/>
      <c r="H57" s="2"/>
      <c r="I57" s="2" t="s">
        <v>20</v>
      </c>
      <c r="J57" s="2" t="s">
        <v>103</v>
      </c>
    </row>
    <row r="58" spans="1:10" s="21" customFormat="1" x14ac:dyDescent="0.35">
      <c r="A58" s="2" t="s">
        <v>10</v>
      </c>
      <c r="B58" s="2" t="s">
        <v>71</v>
      </c>
      <c r="C58" s="2" t="s">
        <v>54</v>
      </c>
      <c r="D58" s="2" t="s">
        <v>102</v>
      </c>
      <c r="E58" s="2" t="s">
        <v>35</v>
      </c>
      <c r="F58" s="2" t="s">
        <v>36</v>
      </c>
      <c r="G58" s="2" t="s">
        <v>20</v>
      </c>
      <c r="H58" s="2" t="s">
        <v>104</v>
      </c>
      <c r="I58" s="2" t="s">
        <v>20</v>
      </c>
      <c r="J58" s="2" t="s">
        <v>103</v>
      </c>
    </row>
    <row r="59" spans="1:10" s="21" customFormat="1" x14ac:dyDescent="0.35">
      <c r="A59" s="2" t="s">
        <v>10</v>
      </c>
      <c r="B59" s="2" t="s">
        <v>71</v>
      </c>
      <c r="C59" s="2" t="s">
        <v>54</v>
      </c>
      <c r="D59" s="2" t="s">
        <v>102</v>
      </c>
      <c r="E59" s="2" t="s">
        <v>61</v>
      </c>
      <c r="F59" s="2" t="s">
        <v>30</v>
      </c>
      <c r="G59" s="2" t="s">
        <v>20</v>
      </c>
      <c r="H59" s="2" t="s">
        <v>104</v>
      </c>
      <c r="I59" s="2" t="s">
        <v>20</v>
      </c>
      <c r="J59" s="2" t="s">
        <v>103</v>
      </c>
    </row>
    <row r="60" spans="1:10" s="21" customFormat="1" x14ac:dyDescent="0.35">
      <c r="A60" s="2" t="s">
        <v>10</v>
      </c>
      <c r="B60" s="2" t="s">
        <v>71</v>
      </c>
      <c r="C60" s="2" t="s">
        <v>62</v>
      </c>
      <c r="D60" s="2" t="s">
        <v>105</v>
      </c>
      <c r="E60" s="2" t="s">
        <v>106</v>
      </c>
      <c r="F60" s="2" t="s">
        <v>107</v>
      </c>
      <c r="G60" s="2"/>
      <c r="H60" s="2"/>
      <c r="I60" s="2"/>
      <c r="J60" s="2"/>
    </row>
    <row r="61" spans="1:10" x14ac:dyDescent="0.35">
      <c r="A61" s="2" t="s">
        <v>10</v>
      </c>
      <c r="B61" s="2" t="s">
        <v>71</v>
      </c>
      <c r="C61" s="2" t="s">
        <v>57</v>
      </c>
      <c r="D61" s="2" t="s">
        <v>108</v>
      </c>
      <c r="E61" s="2" t="s">
        <v>14</v>
      </c>
      <c r="F61" s="2" t="s">
        <v>15</v>
      </c>
      <c r="G61" s="2"/>
      <c r="H61" s="2"/>
      <c r="I61" s="2" t="s">
        <v>16</v>
      </c>
      <c r="J61" s="2" t="s">
        <v>95</v>
      </c>
    </row>
    <row r="62" spans="1:10" x14ac:dyDescent="0.35">
      <c r="A62" s="2" t="s">
        <v>10</v>
      </c>
      <c r="B62" s="2" t="s">
        <v>71</v>
      </c>
      <c r="C62" s="2" t="s">
        <v>57</v>
      </c>
      <c r="D62" s="2" t="s">
        <v>108</v>
      </c>
      <c r="E62" s="2" t="s">
        <v>27</v>
      </c>
      <c r="F62" s="2" t="s">
        <v>28</v>
      </c>
      <c r="G62" s="2"/>
      <c r="H62" s="2"/>
      <c r="I62" s="2" t="s">
        <v>16</v>
      </c>
      <c r="J62" s="2" t="s">
        <v>95</v>
      </c>
    </row>
    <row r="63" spans="1:10" x14ac:dyDescent="0.35">
      <c r="A63" s="2" t="s">
        <v>10</v>
      </c>
      <c r="B63" s="2" t="s">
        <v>71</v>
      </c>
      <c r="C63" s="2" t="s">
        <v>57</v>
      </c>
      <c r="D63" s="2" t="s">
        <v>108</v>
      </c>
      <c r="E63" s="2" t="s">
        <v>76</v>
      </c>
      <c r="F63" s="2" t="s">
        <v>75</v>
      </c>
      <c r="G63" s="2" t="s">
        <v>16</v>
      </c>
      <c r="H63" s="2" t="s">
        <v>109</v>
      </c>
      <c r="I63" s="2" t="s">
        <v>16</v>
      </c>
      <c r="J63" s="2" t="s">
        <v>95</v>
      </c>
    </row>
    <row r="64" spans="1:10" x14ac:dyDescent="0.35">
      <c r="A64" s="2" t="s">
        <v>10</v>
      </c>
      <c r="B64" s="2" t="s">
        <v>71</v>
      </c>
      <c r="C64" s="2" t="s">
        <v>57</v>
      </c>
      <c r="D64" s="2" t="s">
        <v>108</v>
      </c>
      <c r="E64" s="2" t="s">
        <v>31</v>
      </c>
      <c r="F64" s="2" t="s">
        <v>32</v>
      </c>
      <c r="G64" s="2"/>
      <c r="H64" s="2"/>
      <c r="I64" s="2" t="s">
        <v>16</v>
      </c>
      <c r="J64" s="2" t="s">
        <v>95</v>
      </c>
    </row>
    <row r="65" spans="1:10" x14ac:dyDescent="0.35">
      <c r="A65" s="2" t="s">
        <v>10</v>
      </c>
      <c r="B65" s="2" t="s">
        <v>71</v>
      </c>
      <c r="C65" s="2" t="s">
        <v>57</v>
      </c>
      <c r="D65" s="2" t="s">
        <v>108</v>
      </c>
      <c r="E65" s="2" t="s">
        <v>35</v>
      </c>
      <c r="F65" s="2" t="s">
        <v>36</v>
      </c>
      <c r="G65" s="2"/>
      <c r="H65" s="2"/>
      <c r="I65" s="2" t="s">
        <v>16</v>
      </c>
      <c r="J65" s="2" t="s">
        <v>95</v>
      </c>
    </row>
    <row r="66" spans="1:10" x14ac:dyDescent="0.35">
      <c r="A66" s="2" t="s">
        <v>10</v>
      </c>
      <c r="B66" s="2" t="s">
        <v>71</v>
      </c>
      <c r="C66" s="2" t="s">
        <v>57</v>
      </c>
      <c r="D66" s="2" t="s">
        <v>108</v>
      </c>
      <c r="E66" s="2" t="s">
        <v>18</v>
      </c>
      <c r="F66" s="2" t="s">
        <v>19</v>
      </c>
      <c r="G66" s="2" t="s">
        <v>16</v>
      </c>
      <c r="H66" s="2" t="s">
        <v>110</v>
      </c>
      <c r="I66" s="2" t="s">
        <v>16</v>
      </c>
      <c r="J66" s="2" t="s">
        <v>95</v>
      </c>
    </row>
    <row r="67" spans="1:10" x14ac:dyDescent="0.35">
      <c r="A67" s="2" t="s">
        <v>10</v>
      </c>
      <c r="B67" s="2" t="s">
        <v>71</v>
      </c>
      <c r="C67" s="2" t="s">
        <v>57</v>
      </c>
      <c r="D67" s="2" t="s">
        <v>108</v>
      </c>
      <c r="E67" s="2" t="s">
        <v>42</v>
      </c>
      <c r="F67" s="2" t="s">
        <v>43</v>
      </c>
      <c r="G67" s="2" t="s">
        <v>46</v>
      </c>
      <c r="H67" s="2" t="s">
        <v>111</v>
      </c>
      <c r="I67" s="2" t="s">
        <v>16</v>
      </c>
      <c r="J67" s="2" t="s">
        <v>95</v>
      </c>
    </row>
    <row r="68" spans="1:10" x14ac:dyDescent="0.35">
      <c r="A68" s="2" t="s">
        <v>10</v>
      </c>
      <c r="B68" s="2" t="s">
        <v>71</v>
      </c>
      <c r="C68" s="2" t="s">
        <v>57</v>
      </c>
      <c r="D68" s="2" t="s">
        <v>108</v>
      </c>
      <c r="E68" s="2" t="s">
        <v>112</v>
      </c>
      <c r="F68" s="2" t="s">
        <v>113</v>
      </c>
      <c r="G68" s="2" t="s">
        <v>16</v>
      </c>
      <c r="H68" s="2" t="s">
        <v>114</v>
      </c>
      <c r="I68" s="2" t="s">
        <v>16</v>
      </c>
      <c r="J68" s="2" t="s">
        <v>95</v>
      </c>
    </row>
    <row r="69" spans="1:10" x14ac:dyDescent="0.35">
      <c r="A69" s="2" t="s">
        <v>10</v>
      </c>
      <c r="B69" s="2" t="s">
        <v>71</v>
      </c>
      <c r="C69" s="2" t="s">
        <v>62</v>
      </c>
      <c r="D69" s="2" t="s">
        <v>115</v>
      </c>
      <c r="E69" s="2" t="s">
        <v>116</v>
      </c>
      <c r="F69" s="2" t="s">
        <v>30</v>
      </c>
      <c r="G69" s="2"/>
      <c r="H69" s="2"/>
      <c r="I69" s="2"/>
      <c r="J69" s="2"/>
    </row>
    <row r="70" spans="1:10" x14ac:dyDescent="0.35">
      <c r="A70" s="2" t="s">
        <v>10</v>
      </c>
      <c r="B70" s="2" t="s">
        <v>117</v>
      </c>
      <c r="C70" s="2" t="s">
        <v>24</v>
      </c>
      <c r="D70" s="2" t="s">
        <v>118</v>
      </c>
      <c r="E70" s="2" t="s">
        <v>29</v>
      </c>
      <c r="F70" s="2" t="s">
        <v>30</v>
      </c>
      <c r="G70" s="2"/>
      <c r="H70" s="2"/>
      <c r="I70" s="2" t="s">
        <v>20</v>
      </c>
      <c r="J70" s="2" t="s">
        <v>119</v>
      </c>
    </row>
    <row r="71" spans="1:10" x14ac:dyDescent="0.35">
      <c r="A71" s="2" t="s">
        <v>10</v>
      </c>
      <c r="B71" s="2" t="s">
        <v>117</v>
      </c>
      <c r="C71" s="2" t="s">
        <v>24</v>
      </c>
      <c r="D71" s="2" t="s">
        <v>118</v>
      </c>
      <c r="E71" s="2" t="s">
        <v>120</v>
      </c>
      <c r="F71" s="2" t="s">
        <v>32</v>
      </c>
      <c r="G71" s="2"/>
      <c r="H71" s="2"/>
      <c r="I71" s="2" t="s">
        <v>20</v>
      </c>
      <c r="J71" s="2" t="s">
        <v>119</v>
      </c>
    </row>
    <row r="72" spans="1:10" x14ac:dyDescent="0.35">
      <c r="A72" s="2" t="s">
        <v>10</v>
      </c>
      <c r="B72" s="2" t="s">
        <v>117</v>
      </c>
      <c r="C72" s="2" t="s">
        <v>24</v>
      </c>
      <c r="D72" s="2" t="s">
        <v>118</v>
      </c>
      <c r="E72" s="2" t="s">
        <v>121</v>
      </c>
      <c r="F72" s="2" t="s">
        <v>122</v>
      </c>
      <c r="G72" s="2"/>
      <c r="H72" s="2"/>
      <c r="I72" s="2" t="s">
        <v>20</v>
      </c>
      <c r="J72" s="2" t="s">
        <v>119</v>
      </c>
    </row>
    <row r="73" spans="1:10" x14ac:dyDescent="0.35">
      <c r="A73" s="2" t="s">
        <v>10</v>
      </c>
      <c r="B73" s="2" t="s">
        <v>117</v>
      </c>
      <c r="C73" s="2" t="s">
        <v>24</v>
      </c>
      <c r="D73" s="2" t="s">
        <v>118</v>
      </c>
      <c r="E73" s="2" t="s">
        <v>35</v>
      </c>
      <c r="F73" s="2" t="s">
        <v>36</v>
      </c>
      <c r="G73" s="2"/>
      <c r="H73" s="2"/>
      <c r="I73" s="2" t="s">
        <v>20</v>
      </c>
      <c r="J73" s="2" t="s">
        <v>119</v>
      </c>
    </row>
    <row r="74" spans="1:10" x14ac:dyDescent="0.35">
      <c r="A74" s="2" t="s">
        <v>10</v>
      </c>
      <c r="B74" s="2" t="s">
        <v>117</v>
      </c>
      <c r="C74" s="2" t="s">
        <v>24</v>
      </c>
      <c r="D74" s="2" t="s">
        <v>118</v>
      </c>
      <c r="E74" s="2" t="s">
        <v>91</v>
      </c>
      <c r="F74" s="2" t="s">
        <v>19</v>
      </c>
      <c r="G74" s="2" t="s">
        <v>20</v>
      </c>
      <c r="H74" s="2" t="s">
        <v>123</v>
      </c>
      <c r="I74" s="2" t="s">
        <v>20</v>
      </c>
      <c r="J74" s="2" t="s">
        <v>119</v>
      </c>
    </row>
    <row r="75" spans="1:10" x14ac:dyDescent="0.35">
      <c r="A75" s="2" t="s">
        <v>10</v>
      </c>
      <c r="B75" s="2" t="s">
        <v>117</v>
      </c>
      <c r="C75" s="2" t="s">
        <v>24</v>
      </c>
      <c r="D75" s="2" t="s">
        <v>118</v>
      </c>
      <c r="E75" s="2" t="s">
        <v>124</v>
      </c>
      <c r="F75" s="2" t="s">
        <v>125</v>
      </c>
      <c r="G75" s="2"/>
      <c r="H75" s="2"/>
      <c r="I75" s="2" t="s">
        <v>20</v>
      </c>
      <c r="J75" s="2" t="s">
        <v>119</v>
      </c>
    </row>
    <row r="76" spans="1:10" x14ac:dyDescent="0.35">
      <c r="A76" s="2" t="s">
        <v>10</v>
      </c>
      <c r="B76" s="2" t="s">
        <v>117</v>
      </c>
      <c r="C76" s="2" t="s">
        <v>24</v>
      </c>
      <c r="D76" s="2" t="s">
        <v>118</v>
      </c>
      <c r="E76" s="2" t="s">
        <v>126</v>
      </c>
      <c r="F76" s="2" t="s">
        <v>36</v>
      </c>
      <c r="G76" s="2"/>
      <c r="H76" s="2"/>
      <c r="I76" s="2" t="s">
        <v>20</v>
      </c>
      <c r="J76" s="2" t="s">
        <v>119</v>
      </c>
    </row>
    <row r="77" spans="1:10" x14ac:dyDescent="0.35">
      <c r="A77" s="2" t="s">
        <v>10</v>
      </c>
      <c r="B77" s="2" t="s">
        <v>117</v>
      </c>
      <c r="C77" s="2" t="s">
        <v>24</v>
      </c>
      <c r="D77" s="2" t="s">
        <v>118</v>
      </c>
      <c r="E77" s="2" t="s">
        <v>61</v>
      </c>
      <c r="F77" s="2" t="s">
        <v>30</v>
      </c>
      <c r="G77" s="2"/>
      <c r="H77" s="2"/>
      <c r="I77" s="2" t="s">
        <v>20</v>
      </c>
      <c r="J77" s="2" t="s">
        <v>119</v>
      </c>
    </row>
    <row r="78" spans="1:10" x14ac:dyDescent="0.35">
      <c r="A78" s="2" t="s">
        <v>10</v>
      </c>
      <c r="B78" s="2" t="s">
        <v>117</v>
      </c>
      <c r="C78" s="2" t="s">
        <v>24</v>
      </c>
      <c r="D78" s="2" t="s">
        <v>118</v>
      </c>
      <c r="E78" s="2" t="s">
        <v>127</v>
      </c>
      <c r="F78" s="2" t="s">
        <v>107</v>
      </c>
      <c r="G78" s="2"/>
      <c r="H78" s="2"/>
      <c r="I78" s="2" t="s">
        <v>20</v>
      </c>
      <c r="J78" s="2" t="s">
        <v>119</v>
      </c>
    </row>
    <row r="79" spans="1:10" x14ac:dyDescent="0.35">
      <c r="A79" s="2" t="s">
        <v>10</v>
      </c>
      <c r="B79" s="2" t="s">
        <v>128</v>
      </c>
      <c r="C79" s="2" t="s">
        <v>24</v>
      </c>
      <c r="D79" s="2" t="s">
        <v>129</v>
      </c>
      <c r="E79" s="2" t="s">
        <v>130</v>
      </c>
      <c r="F79" s="2" t="s">
        <v>36</v>
      </c>
      <c r="G79" s="2"/>
      <c r="H79" s="2"/>
      <c r="I79" s="2" t="s">
        <v>16</v>
      </c>
      <c r="J79" s="2" t="s">
        <v>131</v>
      </c>
    </row>
    <row r="80" spans="1:10" x14ac:dyDescent="0.35">
      <c r="A80" s="2" t="s">
        <v>10</v>
      </c>
      <c r="B80" s="2" t="s">
        <v>128</v>
      </c>
      <c r="C80" s="2" t="s">
        <v>24</v>
      </c>
      <c r="D80" s="2" t="s">
        <v>129</v>
      </c>
      <c r="E80" s="2" t="s">
        <v>121</v>
      </c>
      <c r="F80" s="2" t="s">
        <v>122</v>
      </c>
      <c r="G80" s="2" t="s">
        <v>20</v>
      </c>
      <c r="H80" s="2" t="s">
        <v>132</v>
      </c>
      <c r="I80" s="2" t="s">
        <v>16</v>
      </c>
      <c r="J80" s="2" t="s">
        <v>131</v>
      </c>
    </row>
    <row r="81" spans="1:10" x14ac:dyDescent="0.35">
      <c r="A81" s="2" t="s">
        <v>10</v>
      </c>
      <c r="B81" s="2" t="s">
        <v>128</v>
      </c>
      <c r="C81" s="2" t="s">
        <v>24</v>
      </c>
      <c r="D81" s="2" t="s">
        <v>129</v>
      </c>
      <c r="E81" s="2" t="s">
        <v>91</v>
      </c>
      <c r="F81" s="2" t="s">
        <v>19</v>
      </c>
      <c r="G81" s="2"/>
      <c r="H81" s="2"/>
      <c r="I81" s="2" t="s">
        <v>16</v>
      </c>
      <c r="J81" s="2" t="s">
        <v>131</v>
      </c>
    </row>
    <row r="82" spans="1:10" x14ac:dyDescent="0.35">
      <c r="A82" s="2" t="s">
        <v>10</v>
      </c>
      <c r="B82" s="2" t="s">
        <v>128</v>
      </c>
      <c r="C82" s="2" t="s">
        <v>24</v>
      </c>
      <c r="D82" s="2" t="s">
        <v>129</v>
      </c>
      <c r="E82" s="2" t="s">
        <v>51</v>
      </c>
      <c r="F82" s="2" t="s">
        <v>52</v>
      </c>
      <c r="G82" s="2" t="s">
        <v>20</v>
      </c>
      <c r="H82" s="2" t="s">
        <v>132</v>
      </c>
      <c r="I82" s="2" t="s">
        <v>16</v>
      </c>
      <c r="J82" s="2" t="s">
        <v>131</v>
      </c>
    </row>
    <row r="83" spans="1:10" x14ac:dyDescent="0.35">
      <c r="A83" s="2" t="s">
        <v>10</v>
      </c>
      <c r="B83" s="2" t="s">
        <v>128</v>
      </c>
      <c r="C83" s="2" t="s">
        <v>24</v>
      </c>
      <c r="D83" s="2" t="s">
        <v>129</v>
      </c>
      <c r="E83" s="2" t="s">
        <v>126</v>
      </c>
      <c r="F83" s="2" t="s">
        <v>36</v>
      </c>
      <c r="G83" s="2" t="s">
        <v>20</v>
      </c>
      <c r="H83" s="2" t="s">
        <v>132</v>
      </c>
      <c r="I83" s="2" t="s">
        <v>16</v>
      </c>
      <c r="J83" s="2" t="s">
        <v>131</v>
      </c>
    </row>
    <row r="84" spans="1:10" s="21" customFormat="1" x14ac:dyDescent="0.35">
      <c r="A84" s="2" t="s">
        <v>10</v>
      </c>
      <c r="B84" s="2" t="s">
        <v>133</v>
      </c>
      <c r="C84" s="2" t="s">
        <v>57</v>
      </c>
      <c r="D84" s="2" t="s">
        <v>134</v>
      </c>
      <c r="E84" s="2" t="s">
        <v>74</v>
      </c>
      <c r="F84" s="2" t="s">
        <v>75</v>
      </c>
      <c r="G84" s="2" t="s">
        <v>20</v>
      </c>
      <c r="H84" s="2" t="s">
        <v>135</v>
      </c>
      <c r="I84" s="2"/>
      <c r="J84" s="2"/>
    </row>
    <row r="85" spans="1:10" x14ac:dyDescent="0.35">
      <c r="A85" s="2" t="s">
        <v>10</v>
      </c>
      <c r="B85" s="2" t="s">
        <v>133</v>
      </c>
      <c r="C85" s="2" t="s">
        <v>57</v>
      </c>
      <c r="D85" s="2" t="s">
        <v>134</v>
      </c>
      <c r="E85" s="2" t="s">
        <v>14</v>
      </c>
      <c r="F85" s="2" t="s">
        <v>15</v>
      </c>
      <c r="G85" s="2"/>
      <c r="H85" s="2"/>
      <c r="I85" s="2"/>
      <c r="J85" s="2"/>
    </row>
    <row r="86" spans="1:10" x14ac:dyDescent="0.35">
      <c r="A86" s="2" t="s">
        <v>10</v>
      </c>
      <c r="B86" s="2" t="s">
        <v>133</v>
      </c>
      <c r="C86" s="2" t="s">
        <v>57</v>
      </c>
      <c r="D86" s="2" t="s">
        <v>134</v>
      </c>
      <c r="E86" s="2" t="s">
        <v>136</v>
      </c>
      <c r="F86" s="2" t="s">
        <v>107</v>
      </c>
      <c r="G86" s="2"/>
      <c r="H86" s="2" t="s">
        <v>137</v>
      </c>
      <c r="I86" s="2"/>
      <c r="J86" s="2"/>
    </row>
    <row r="87" spans="1:10" s="21" customFormat="1" x14ac:dyDescent="0.35">
      <c r="A87" s="2" t="s">
        <v>10</v>
      </c>
      <c r="B87" s="2" t="s">
        <v>133</v>
      </c>
      <c r="C87" s="2" t="s">
        <v>57</v>
      </c>
      <c r="D87" s="2" t="s">
        <v>134</v>
      </c>
      <c r="E87" s="2" t="s">
        <v>138</v>
      </c>
      <c r="F87" s="2" t="s">
        <v>139</v>
      </c>
      <c r="G87" s="2"/>
      <c r="H87" s="2"/>
      <c r="I87" s="2"/>
      <c r="J87" s="2"/>
    </row>
    <row r="88" spans="1:10" s="21" customFormat="1" x14ac:dyDescent="0.35">
      <c r="A88" s="2" t="s">
        <v>10</v>
      </c>
      <c r="B88" s="2" t="s">
        <v>133</v>
      </c>
      <c r="C88" s="2" t="s">
        <v>57</v>
      </c>
      <c r="D88" s="2" t="s">
        <v>134</v>
      </c>
      <c r="E88" s="2" t="s">
        <v>59</v>
      </c>
      <c r="F88" s="2" t="s">
        <v>60</v>
      </c>
      <c r="G88" s="2"/>
      <c r="H88" s="2"/>
      <c r="I88" s="2"/>
      <c r="J88" s="2"/>
    </row>
    <row r="89" spans="1:10" x14ac:dyDescent="0.35">
      <c r="A89" s="2" t="s">
        <v>10</v>
      </c>
      <c r="B89" s="2" t="s">
        <v>133</v>
      </c>
      <c r="C89" s="2" t="s">
        <v>24</v>
      </c>
      <c r="D89" s="2" t="s">
        <v>140</v>
      </c>
      <c r="E89" s="2" t="s">
        <v>74</v>
      </c>
      <c r="F89" s="2" t="s">
        <v>75</v>
      </c>
      <c r="G89" s="2" t="s">
        <v>16</v>
      </c>
      <c r="H89" s="2" t="s">
        <v>141</v>
      </c>
      <c r="I89" s="2" t="s">
        <v>16</v>
      </c>
      <c r="J89" s="2" t="s">
        <v>142</v>
      </c>
    </row>
    <row r="90" spans="1:10" x14ac:dyDescent="0.35">
      <c r="A90" s="2" t="s">
        <v>10</v>
      </c>
      <c r="B90" s="2" t="s">
        <v>133</v>
      </c>
      <c r="C90" s="2" t="s">
        <v>24</v>
      </c>
      <c r="D90" s="2" t="s">
        <v>140</v>
      </c>
      <c r="E90" s="2" t="s">
        <v>27</v>
      </c>
      <c r="F90" s="2" t="s">
        <v>28</v>
      </c>
      <c r="G90" s="2"/>
      <c r="H90" s="2"/>
      <c r="I90" s="2" t="s">
        <v>16</v>
      </c>
      <c r="J90" s="2" t="s">
        <v>142</v>
      </c>
    </row>
    <row r="91" spans="1:10" x14ac:dyDescent="0.35">
      <c r="A91" s="2" t="s">
        <v>10</v>
      </c>
      <c r="B91" s="2" t="s">
        <v>133</v>
      </c>
      <c r="C91" s="2" t="s">
        <v>24</v>
      </c>
      <c r="D91" s="2" t="s">
        <v>140</v>
      </c>
      <c r="E91" s="2" t="s">
        <v>31</v>
      </c>
      <c r="F91" s="2" t="s">
        <v>32</v>
      </c>
      <c r="G91" s="2"/>
      <c r="H91" s="2"/>
      <c r="I91" s="2" t="s">
        <v>16</v>
      </c>
      <c r="J91" s="2" t="s">
        <v>142</v>
      </c>
    </row>
    <row r="92" spans="1:10" x14ac:dyDescent="0.35">
      <c r="A92" s="2" t="s">
        <v>10</v>
      </c>
      <c r="B92" s="2" t="s">
        <v>133</v>
      </c>
      <c r="C92" s="2" t="s">
        <v>24</v>
      </c>
      <c r="D92" s="2" t="s">
        <v>140</v>
      </c>
      <c r="E92" s="2" t="s">
        <v>100</v>
      </c>
      <c r="F92" s="2" t="s">
        <v>101</v>
      </c>
      <c r="G92" s="2"/>
      <c r="H92" s="2"/>
      <c r="I92" s="2"/>
      <c r="J92" s="2"/>
    </row>
    <row r="93" spans="1:10" s="21" customFormat="1" x14ac:dyDescent="0.35">
      <c r="A93" s="2" t="s">
        <v>10</v>
      </c>
      <c r="B93" s="2" t="s">
        <v>133</v>
      </c>
      <c r="C93" s="2" t="s">
        <v>62</v>
      </c>
      <c r="D93" s="2" t="s">
        <v>143</v>
      </c>
      <c r="E93" s="2" t="s">
        <v>144</v>
      </c>
      <c r="F93" s="2" t="s">
        <v>50</v>
      </c>
      <c r="G93" s="2"/>
      <c r="H93" s="2"/>
      <c r="I93" s="2"/>
      <c r="J93" s="2"/>
    </row>
    <row r="94" spans="1:10" s="21" customFormat="1" x14ac:dyDescent="0.35">
      <c r="A94" s="2" t="s">
        <v>10</v>
      </c>
      <c r="B94" s="2" t="s">
        <v>133</v>
      </c>
      <c r="C94" s="2" t="s">
        <v>62</v>
      </c>
      <c r="D94" s="2" t="s">
        <v>143</v>
      </c>
      <c r="E94" s="2" t="s">
        <v>27</v>
      </c>
      <c r="F94" s="2" t="s">
        <v>28</v>
      </c>
      <c r="G94" s="2"/>
      <c r="H94" s="2" t="s">
        <v>145</v>
      </c>
      <c r="I94" s="2"/>
      <c r="J94" s="2"/>
    </row>
    <row r="95" spans="1:10" s="21" customFormat="1" x14ac:dyDescent="0.35">
      <c r="A95" s="2" t="s">
        <v>10</v>
      </c>
      <c r="B95" s="2" t="s">
        <v>133</v>
      </c>
      <c r="C95" s="2" t="s">
        <v>54</v>
      </c>
      <c r="D95" s="2" t="s">
        <v>146</v>
      </c>
      <c r="E95" s="2" t="s">
        <v>74</v>
      </c>
      <c r="F95" s="2" t="s">
        <v>75</v>
      </c>
      <c r="G95" s="2" t="s">
        <v>20</v>
      </c>
      <c r="H95" s="2" t="s">
        <v>147</v>
      </c>
      <c r="I95" s="2" t="s">
        <v>16</v>
      </c>
      <c r="J95" s="2" t="s">
        <v>148</v>
      </c>
    </row>
    <row r="96" spans="1:10" s="21" customFormat="1" x14ac:dyDescent="0.35">
      <c r="A96" s="2" t="s">
        <v>10</v>
      </c>
      <c r="B96" s="2" t="s">
        <v>133</v>
      </c>
      <c r="C96" s="2" t="s">
        <v>54</v>
      </c>
      <c r="D96" s="2" t="s">
        <v>146</v>
      </c>
      <c r="E96" s="2" t="s">
        <v>14</v>
      </c>
      <c r="F96" s="2" t="s">
        <v>15</v>
      </c>
      <c r="G96" s="2"/>
      <c r="H96" s="2"/>
      <c r="I96" s="2" t="s">
        <v>16</v>
      </c>
      <c r="J96" s="2" t="s">
        <v>148</v>
      </c>
    </row>
    <row r="97" spans="1:10" s="21" customFormat="1" x14ac:dyDescent="0.35">
      <c r="A97" s="2" t="s">
        <v>10</v>
      </c>
      <c r="B97" s="2" t="s">
        <v>133</v>
      </c>
      <c r="C97" s="2" t="s">
        <v>54</v>
      </c>
      <c r="D97" s="2" t="s">
        <v>146</v>
      </c>
      <c r="E97" s="2" t="s">
        <v>120</v>
      </c>
      <c r="F97" s="2" t="s">
        <v>32</v>
      </c>
      <c r="G97" s="2"/>
      <c r="H97" s="2"/>
      <c r="I97" s="2" t="s">
        <v>16</v>
      </c>
      <c r="J97" s="2" t="s">
        <v>148</v>
      </c>
    </row>
    <row r="98" spans="1:10" s="21" customFormat="1" x14ac:dyDescent="0.35">
      <c r="A98" s="2" t="s">
        <v>10</v>
      </c>
      <c r="B98" s="2" t="s">
        <v>133</v>
      </c>
      <c r="C98" s="2" t="s">
        <v>54</v>
      </c>
      <c r="D98" s="2" t="s">
        <v>146</v>
      </c>
      <c r="E98" s="2" t="s">
        <v>35</v>
      </c>
      <c r="F98" s="2" t="s">
        <v>36</v>
      </c>
      <c r="G98" s="2"/>
      <c r="H98" s="2"/>
      <c r="I98" s="2" t="s">
        <v>16</v>
      </c>
      <c r="J98" s="2" t="s">
        <v>148</v>
      </c>
    </row>
    <row r="99" spans="1:10" s="21" customFormat="1" x14ac:dyDescent="0.35">
      <c r="A99" s="2" t="s">
        <v>10</v>
      </c>
      <c r="B99" s="2" t="s">
        <v>133</v>
      </c>
      <c r="C99" s="2" t="s">
        <v>54</v>
      </c>
      <c r="D99" s="2" t="s">
        <v>146</v>
      </c>
      <c r="E99" s="2" t="s">
        <v>149</v>
      </c>
      <c r="F99" s="2" t="s">
        <v>150</v>
      </c>
      <c r="G99" s="2"/>
      <c r="H99" s="2"/>
      <c r="I99" s="2" t="s">
        <v>16</v>
      </c>
      <c r="J99" s="2" t="s">
        <v>148</v>
      </c>
    </row>
    <row r="100" spans="1:10" s="21" customFormat="1" x14ac:dyDescent="0.35">
      <c r="A100" s="2" t="s">
        <v>10</v>
      </c>
      <c r="B100" s="2" t="s">
        <v>133</v>
      </c>
      <c r="C100" s="2" t="s">
        <v>24</v>
      </c>
      <c r="D100" s="2" t="s">
        <v>151</v>
      </c>
      <c r="E100" s="2" t="s">
        <v>27</v>
      </c>
      <c r="F100" s="2" t="s">
        <v>28</v>
      </c>
      <c r="G100" s="2"/>
      <c r="H100" s="2"/>
      <c r="I100" s="2" t="s">
        <v>16</v>
      </c>
      <c r="J100" s="2" t="s">
        <v>148</v>
      </c>
    </row>
    <row r="101" spans="1:10" s="21" customFormat="1" x14ac:dyDescent="0.35">
      <c r="A101" s="2" t="s">
        <v>10</v>
      </c>
      <c r="B101" s="2" t="s">
        <v>133</v>
      </c>
      <c r="C101" s="2" t="s">
        <v>24</v>
      </c>
      <c r="D101" s="2" t="s">
        <v>151</v>
      </c>
      <c r="E101" s="2" t="s">
        <v>121</v>
      </c>
      <c r="F101" s="2" t="s">
        <v>122</v>
      </c>
      <c r="G101" s="2"/>
      <c r="H101" s="2"/>
      <c r="I101" s="2" t="s">
        <v>16</v>
      </c>
      <c r="J101" s="2" t="s">
        <v>148</v>
      </c>
    </row>
    <row r="102" spans="1:10" s="21" customFormat="1" x14ac:dyDescent="0.35">
      <c r="A102" s="2" t="s">
        <v>10</v>
      </c>
      <c r="B102" s="2" t="s">
        <v>133</v>
      </c>
      <c r="C102" s="2" t="s">
        <v>24</v>
      </c>
      <c r="D102" s="2" t="s">
        <v>151</v>
      </c>
      <c r="E102" s="2" t="s">
        <v>35</v>
      </c>
      <c r="F102" s="2" t="s">
        <v>36</v>
      </c>
      <c r="G102" s="2"/>
      <c r="H102" s="2"/>
      <c r="I102" s="2" t="s">
        <v>16</v>
      </c>
      <c r="J102" s="2" t="s">
        <v>148</v>
      </c>
    </row>
    <row r="103" spans="1:10" x14ac:dyDescent="0.35">
      <c r="A103" s="2" t="s">
        <v>10</v>
      </c>
      <c r="B103" s="2" t="s">
        <v>152</v>
      </c>
      <c r="C103" s="2" t="s">
        <v>57</v>
      </c>
      <c r="D103" s="2" t="s">
        <v>153</v>
      </c>
      <c r="E103" s="2" t="s">
        <v>130</v>
      </c>
      <c r="F103" s="2" t="s">
        <v>36</v>
      </c>
      <c r="G103" s="2"/>
      <c r="H103" s="2"/>
      <c r="I103" s="2" t="s">
        <v>16</v>
      </c>
      <c r="J103" s="2" t="s">
        <v>154</v>
      </c>
    </row>
    <row r="104" spans="1:10" x14ac:dyDescent="0.35">
      <c r="A104" s="2" t="s">
        <v>10</v>
      </c>
      <c r="B104" s="2" t="s">
        <v>152</v>
      </c>
      <c r="C104" s="2" t="s">
        <v>57</v>
      </c>
      <c r="D104" s="2" t="s">
        <v>153</v>
      </c>
      <c r="E104" s="2" t="s">
        <v>155</v>
      </c>
      <c r="F104" s="2" t="s">
        <v>32</v>
      </c>
      <c r="G104" s="2"/>
      <c r="H104" s="2"/>
      <c r="I104" s="2" t="s">
        <v>16</v>
      </c>
      <c r="J104" s="2" t="s">
        <v>154</v>
      </c>
    </row>
    <row r="105" spans="1:10" x14ac:dyDescent="0.35">
      <c r="A105" s="2" t="s">
        <v>10</v>
      </c>
      <c r="B105" s="2" t="s">
        <v>152</v>
      </c>
      <c r="C105" s="2" t="s">
        <v>57</v>
      </c>
      <c r="D105" s="2" t="s">
        <v>153</v>
      </c>
      <c r="E105" s="2" t="s">
        <v>136</v>
      </c>
      <c r="F105" s="2" t="s">
        <v>107</v>
      </c>
      <c r="G105" s="2"/>
      <c r="H105" s="2"/>
      <c r="I105" s="2" t="s">
        <v>16</v>
      </c>
      <c r="J105" s="2" t="s">
        <v>154</v>
      </c>
    </row>
    <row r="106" spans="1:10" x14ac:dyDescent="0.35">
      <c r="A106" s="2" t="s">
        <v>10</v>
      </c>
      <c r="B106" s="2" t="s">
        <v>152</v>
      </c>
      <c r="C106" s="2" t="s">
        <v>57</v>
      </c>
      <c r="D106" s="2" t="s">
        <v>153</v>
      </c>
      <c r="E106" s="2" t="s">
        <v>33</v>
      </c>
      <c r="F106" s="2" t="s">
        <v>34</v>
      </c>
      <c r="G106" s="2"/>
      <c r="H106" s="2"/>
      <c r="I106" s="2" t="s">
        <v>16</v>
      </c>
      <c r="J106" s="2" t="s">
        <v>154</v>
      </c>
    </row>
    <row r="107" spans="1:10" x14ac:dyDescent="0.35">
      <c r="A107" s="2" t="s">
        <v>10</v>
      </c>
      <c r="B107" s="2" t="s">
        <v>152</v>
      </c>
      <c r="C107" s="2" t="s">
        <v>57</v>
      </c>
      <c r="D107" s="2" t="s">
        <v>153</v>
      </c>
      <c r="E107" s="2" t="s">
        <v>59</v>
      </c>
      <c r="F107" s="2" t="s">
        <v>60</v>
      </c>
      <c r="G107" s="2"/>
      <c r="H107" s="2"/>
      <c r="I107" s="2" t="s">
        <v>16</v>
      </c>
      <c r="J107" s="2" t="s">
        <v>154</v>
      </c>
    </row>
    <row r="108" spans="1:10" x14ac:dyDescent="0.35">
      <c r="A108" s="2" t="s">
        <v>10</v>
      </c>
      <c r="B108" s="2" t="s">
        <v>152</v>
      </c>
      <c r="C108" s="2" t="s">
        <v>57</v>
      </c>
      <c r="D108" s="2" t="s">
        <v>153</v>
      </c>
      <c r="E108" s="2" t="s">
        <v>156</v>
      </c>
      <c r="F108" s="2" t="s">
        <v>45</v>
      </c>
      <c r="G108" s="2" t="s">
        <v>16</v>
      </c>
      <c r="H108" s="2" t="s">
        <v>157</v>
      </c>
      <c r="I108" s="2" t="s">
        <v>16</v>
      </c>
      <c r="J108" s="2" t="s">
        <v>154</v>
      </c>
    </row>
    <row r="109" spans="1:10" x14ac:dyDescent="0.35">
      <c r="A109" s="2" t="s">
        <v>10</v>
      </c>
      <c r="B109" s="2" t="s">
        <v>152</v>
      </c>
      <c r="C109" s="2" t="s">
        <v>57</v>
      </c>
      <c r="D109" s="2" t="s">
        <v>153</v>
      </c>
      <c r="E109" s="2" t="s">
        <v>158</v>
      </c>
      <c r="F109" s="2" t="s">
        <v>40</v>
      </c>
      <c r="G109" s="2" t="s">
        <v>16</v>
      </c>
      <c r="H109" s="2" t="s">
        <v>159</v>
      </c>
      <c r="I109" s="2" t="s">
        <v>16</v>
      </c>
      <c r="J109" s="2" t="s">
        <v>154</v>
      </c>
    </row>
    <row r="110" spans="1:10" x14ac:dyDescent="0.35">
      <c r="A110" s="2" t="s">
        <v>10</v>
      </c>
      <c r="B110" s="2" t="s">
        <v>152</v>
      </c>
      <c r="C110" s="2" t="s">
        <v>57</v>
      </c>
      <c r="D110" s="2" t="s">
        <v>153</v>
      </c>
      <c r="E110" s="2" t="s">
        <v>52</v>
      </c>
      <c r="F110" s="2" t="s">
        <v>52</v>
      </c>
      <c r="G110" s="2"/>
      <c r="H110" s="2"/>
      <c r="I110" s="2" t="s">
        <v>16</v>
      </c>
      <c r="J110" s="2" t="s">
        <v>154</v>
      </c>
    </row>
    <row r="111" spans="1:10" s="21" customFormat="1" x14ac:dyDescent="0.35">
      <c r="A111" s="2" t="s">
        <v>10</v>
      </c>
      <c r="B111" s="2" t="s">
        <v>152</v>
      </c>
      <c r="C111" s="2" t="s">
        <v>24</v>
      </c>
      <c r="D111" s="2" t="s">
        <v>160</v>
      </c>
      <c r="E111" s="2" t="s">
        <v>130</v>
      </c>
      <c r="F111" s="2" t="s">
        <v>36</v>
      </c>
      <c r="G111" s="2"/>
      <c r="H111" s="2"/>
      <c r="I111" s="2" t="s">
        <v>16</v>
      </c>
      <c r="J111" s="2" t="s">
        <v>161</v>
      </c>
    </row>
    <row r="112" spans="1:10" s="21" customFormat="1" x14ac:dyDescent="0.35">
      <c r="A112" s="2" t="s">
        <v>10</v>
      </c>
      <c r="B112" s="2" t="s">
        <v>152</v>
      </c>
      <c r="C112" s="2" t="s">
        <v>24</v>
      </c>
      <c r="D112" s="2" t="s">
        <v>160</v>
      </c>
      <c r="E112" s="2" t="s">
        <v>14</v>
      </c>
      <c r="F112" s="2" t="s">
        <v>15</v>
      </c>
      <c r="G112" s="2"/>
      <c r="H112" s="2"/>
      <c r="I112" s="2" t="s">
        <v>16</v>
      </c>
      <c r="J112" s="2" t="s">
        <v>161</v>
      </c>
    </row>
    <row r="113" spans="1:10" s="21" customFormat="1" x14ac:dyDescent="0.35">
      <c r="A113" s="2" t="s">
        <v>10</v>
      </c>
      <c r="B113" s="2" t="s">
        <v>152</v>
      </c>
      <c r="C113" s="2" t="s">
        <v>24</v>
      </c>
      <c r="D113" s="2" t="s">
        <v>160</v>
      </c>
      <c r="E113" s="2" t="s">
        <v>136</v>
      </c>
      <c r="F113" s="2" t="s">
        <v>107</v>
      </c>
      <c r="G113" s="2"/>
      <c r="H113" s="2"/>
      <c r="I113" s="2" t="s">
        <v>16</v>
      </c>
      <c r="J113" s="2" t="s">
        <v>161</v>
      </c>
    </row>
    <row r="114" spans="1:10" s="21" customFormat="1" x14ac:dyDescent="0.35">
      <c r="A114" s="2" t="s">
        <v>10</v>
      </c>
      <c r="B114" s="2" t="s">
        <v>152</v>
      </c>
      <c r="C114" s="2" t="s">
        <v>24</v>
      </c>
      <c r="D114" s="2" t="s">
        <v>160</v>
      </c>
      <c r="E114" s="2" t="s">
        <v>121</v>
      </c>
      <c r="F114" s="2" t="s">
        <v>122</v>
      </c>
      <c r="G114" s="2"/>
      <c r="H114" s="2"/>
      <c r="I114" s="2" t="s">
        <v>16</v>
      </c>
      <c r="J114" s="2" t="s">
        <v>161</v>
      </c>
    </row>
    <row r="115" spans="1:10" s="21" customFormat="1" x14ac:dyDescent="0.35">
      <c r="A115" s="2" t="s">
        <v>10</v>
      </c>
      <c r="B115" s="2" t="s">
        <v>152</v>
      </c>
      <c r="C115" s="2" t="s">
        <v>24</v>
      </c>
      <c r="D115" s="2" t="s">
        <v>160</v>
      </c>
      <c r="E115" s="2" t="s">
        <v>51</v>
      </c>
      <c r="F115" s="2" t="s">
        <v>52</v>
      </c>
      <c r="G115" s="2"/>
      <c r="H115" s="2"/>
      <c r="I115" s="2" t="s">
        <v>16</v>
      </c>
      <c r="J115" s="2" t="s">
        <v>161</v>
      </c>
    </row>
    <row r="116" spans="1:10" s="21" customFormat="1" x14ac:dyDescent="0.35">
      <c r="A116" s="2" t="s">
        <v>10</v>
      </c>
      <c r="B116" s="2" t="s">
        <v>152</v>
      </c>
      <c r="C116" s="2" t="s">
        <v>24</v>
      </c>
      <c r="D116" s="2" t="s">
        <v>160</v>
      </c>
      <c r="E116" s="2" t="s">
        <v>18</v>
      </c>
      <c r="F116" s="2" t="s">
        <v>19</v>
      </c>
      <c r="G116" s="2" t="s">
        <v>20</v>
      </c>
      <c r="H116" s="2" t="s">
        <v>162</v>
      </c>
      <c r="I116" s="2" t="s">
        <v>16</v>
      </c>
      <c r="J116" s="2" t="s">
        <v>161</v>
      </c>
    </row>
    <row r="117" spans="1:10" x14ac:dyDescent="0.35">
      <c r="A117" s="2" t="s">
        <v>10</v>
      </c>
      <c r="B117" s="2" t="s">
        <v>152</v>
      </c>
      <c r="C117" s="2" t="s">
        <v>62</v>
      </c>
      <c r="D117" s="2" t="s">
        <v>163</v>
      </c>
      <c r="E117" s="2" t="s">
        <v>61</v>
      </c>
      <c r="F117" s="2" t="s">
        <v>30</v>
      </c>
      <c r="G117" s="2"/>
      <c r="H117" s="2"/>
      <c r="I117" s="2" t="s">
        <v>16</v>
      </c>
      <c r="J117" s="2" t="s">
        <v>154</v>
      </c>
    </row>
    <row r="118" spans="1:10" x14ac:dyDescent="0.35">
      <c r="A118" s="2" t="s">
        <v>10</v>
      </c>
      <c r="B118" s="2" t="s">
        <v>164</v>
      </c>
      <c r="C118" s="2" t="s">
        <v>24</v>
      </c>
      <c r="D118" s="2" t="s">
        <v>165</v>
      </c>
      <c r="E118" s="2" t="s">
        <v>31</v>
      </c>
      <c r="F118" s="2" t="s">
        <v>32</v>
      </c>
      <c r="G118" s="2"/>
      <c r="H118" s="2"/>
      <c r="I118" s="2" t="s">
        <v>16</v>
      </c>
      <c r="J118" s="2" t="s">
        <v>166</v>
      </c>
    </row>
    <row r="119" spans="1:10" x14ac:dyDescent="0.35">
      <c r="A119" s="2" t="s">
        <v>10</v>
      </c>
      <c r="B119" s="2" t="s">
        <v>164</v>
      </c>
      <c r="C119" s="2" t="s">
        <v>24</v>
      </c>
      <c r="D119" s="2" t="s">
        <v>165</v>
      </c>
      <c r="E119" s="2" t="s">
        <v>82</v>
      </c>
      <c r="F119" s="2" t="s">
        <v>83</v>
      </c>
      <c r="G119" s="2"/>
      <c r="H119" s="2"/>
      <c r="I119" s="2" t="s">
        <v>16</v>
      </c>
      <c r="J119" s="2" t="s">
        <v>166</v>
      </c>
    </row>
    <row r="120" spans="1:10" x14ac:dyDescent="0.35">
      <c r="A120" s="2" t="s">
        <v>10</v>
      </c>
      <c r="B120" s="2" t="s">
        <v>164</v>
      </c>
      <c r="C120" s="2" t="s">
        <v>24</v>
      </c>
      <c r="D120" s="2" t="s">
        <v>165</v>
      </c>
      <c r="E120" s="2" t="s">
        <v>33</v>
      </c>
      <c r="F120" s="2" t="s">
        <v>34</v>
      </c>
      <c r="G120" s="2"/>
      <c r="H120" s="2"/>
      <c r="I120" s="2" t="s">
        <v>16</v>
      </c>
      <c r="J120" s="2" t="s">
        <v>166</v>
      </c>
    </row>
    <row r="121" spans="1:10" x14ac:dyDescent="0.35">
      <c r="A121" s="2" t="s">
        <v>10</v>
      </c>
      <c r="B121" s="2" t="s">
        <v>164</v>
      </c>
      <c r="C121" s="2" t="s">
        <v>24</v>
      </c>
      <c r="D121" s="2" t="s">
        <v>165</v>
      </c>
      <c r="E121" s="2" t="s">
        <v>167</v>
      </c>
      <c r="F121" s="2" t="s">
        <v>40</v>
      </c>
      <c r="G121" s="2"/>
      <c r="H121" s="2"/>
      <c r="I121" s="2" t="s">
        <v>16</v>
      </c>
      <c r="J121" s="2" t="s">
        <v>166</v>
      </c>
    </row>
    <row r="122" spans="1:10" x14ac:dyDescent="0.35">
      <c r="A122" s="2" t="s">
        <v>10</v>
      </c>
      <c r="B122" s="2" t="s">
        <v>164</v>
      </c>
      <c r="C122" s="2" t="s">
        <v>24</v>
      </c>
      <c r="D122" s="2" t="s">
        <v>165</v>
      </c>
      <c r="E122" s="2" t="s">
        <v>121</v>
      </c>
      <c r="F122" s="2" t="s">
        <v>122</v>
      </c>
      <c r="G122" s="2"/>
      <c r="H122" s="2"/>
      <c r="I122" s="2" t="s">
        <v>16</v>
      </c>
      <c r="J122" s="2" t="s">
        <v>166</v>
      </c>
    </row>
    <row r="123" spans="1:10" x14ac:dyDescent="0.35">
      <c r="A123" s="2" t="s">
        <v>10</v>
      </c>
      <c r="B123" s="2" t="s">
        <v>164</v>
      </c>
      <c r="C123" s="2" t="s">
        <v>24</v>
      </c>
      <c r="D123" s="2" t="s">
        <v>165</v>
      </c>
      <c r="E123" s="2" t="s">
        <v>35</v>
      </c>
      <c r="F123" s="2" t="s">
        <v>36</v>
      </c>
      <c r="G123" s="2"/>
      <c r="H123" s="2"/>
      <c r="I123" s="2" t="s">
        <v>16</v>
      </c>
      <c r="J123" s="2" t="s">
        <v>166</v>
      </c>
    </row>
    <row r="124" spans="1:10" x14ac:dyDescent="0.35">
      <c r="A124" s="2" t="s">
        <v>10</v>
      </c>
      <c r="B124" s="2" t="s">
        <v>164</v>
      </c>
      <c r="C124" s="2" t="s">
        <v>24</v>
      </c>
      <c r="D124" s="2" t="s">
        <v>165</v>
      </c>
      <c r="E124" s="2" t="s">
        <v>168</v>
      </c>
      <c r="F124" s="2" t="s">
        <v>45</v>
      </c>
      <c r="G124" s="2"/>
      <c r="H124" s="2" t="s">
        <v>169</v>
      </c>
      <c r="I124" s="2" t="s">
        <v>16</v>
      </c>
      <c r="J124" s="2" t="s">
        <v>166</v>
      </c>
    </row>
    <row r="125" spans="1:10" x14ac:dyDescent="0.35">
      <c r="A125" s="2" t="s">
        <v>10</v>
      </c>
      <c r="B125" s="2" t="s">
        <v>164</v>
      </c>
      <c r="C125" s="2" t="s">
        <v>24</v>
      </c>
      <c r="D125" s="2" t="s">
        <v>165</v>
      </c>
      <c r="E125" s="2" t="s">
        <v>170</v>
      </c>
      <c r="F125" s="2" t="s">
        <v>30</v>
      </c>
      <c r="G125" s="2"/>
      <c r="H125" s="2"/>
      <c r="I125" s="2" t="s">
        <v>16</v>
      </c>
      <c r="J125" s="2" t="s">
        <v>166</v>
      </c>
    </row>
    <row r="126" spans="1:10" x14ac:dyDescent="0.35">
      <c r="A126" s="2" t="s">
        <v>10</v>
      </c>
      <c r="B126" s="2" t="s">
        <v>164</v>
      </c>
      <c r="C126" s="2" t="s">
        <v>24</v>
      </c>
      <c r="D126" s="2" t="s">
        <v>165</v>
      </c>
      <c r="E126" s="2" t="s">
        <v>100</v>
      </c>
      <c r="F126" s="2" t="s">
        <v>101</v>
      </c>
      <c r="G126" s="2"/>
      <c r="H126" s="2"/>
      <c r="I126" s="2"/>
      <c r="J126" s="2"/>
    </row>
    <row r="127" spans="1:10" s="21" customFormat="1" x14ac:dyDescent="0.35">
      <c r="A127" s="2" t="s">
        <v>10</v>
      </c>
      <c r="B127" s="2" t="s">
        <v>164</v>
      </c>
      <c r="C127" s="2" t="s">
        <v>12</v>
      </c>
      <c r="D127" s="2" t="s">
        <v>171</v>
      </c>
      <c r="E127" s="2" t="s">
        <v>172</v>
      </c>
      <c r="F127" s="2" t="s">
        <v>65</v>
      </c>
      <c r="G127" s="2"/>
      <c r="H127" s="2"/>
      <c r="I127" s="2"/>
      <c r="J127" s="2"/>
    </row>
    <row r="128" spans="1:10" s="21" customFormat="1" x14ac:dyDescent="0.35">
      <c r="A128" s="2" t="s">
        <v>10</v>
      </c>
      <c r="B128" s="2" t="s">
        <v>164</v>
      </c>
      <c r="C128" s="2" t="s">
        <v>12</v>
      </c>
      <c r="D128" s="2" t="s">
        <v>171</v>
      </c>
      <c r="E128" s="2" t="s">
        <v>91</v>
      </c>
      <c r="F128" s="2" t="s">
        <v>19</v>
      </c>
      <c r="G128" s="2"/>
      <c r="H128" s="2"/>
      <c r="I128" s="2"/>
      <c r="J128" s="2"/>
    </row>
    <row r="129" spans="1:10" s="21" customFormat="1" x14ac:dyDescent="0.35">
      <c r="A129" s="2" t="s">
        <v>10</v>
      </c>
      <c r="B129" s="2" t="s">
        <v>164</v>
      </c>
      <c r="C129" s="2" t="s">
        <v>62</v>
      </c>
      <c r="D129" s="2" t="s">
        <v>173</v>
      </c>
      <c r="E129" s="2" t="s">
        <v>106</v>
      </c>
      <c r="F129" s="2" t="s">
        <v>107</v>
      </c>
      <c r="G129" s="2"/>
      <c r="H129" s="2"/>
      <c r="I129" s="2"/>
      <c r="J129" s="2"/>
    </row>
    <row r="130" spans="1:10" x14ac:dyDescent="0.35">
      <c r="A130" s="2" t="s">
        <v>10</v>
      </c>
      <c r="B130" s="2" t="s">
        <v>174</v>
      </c>
      <c r="C130" s="2" t="s">
        <v>24</v>
      </c>
      <c r="D130" s="2" t="s">
        <v>175</v>
      </c>
      <c r="E130" s="2" t="s">
        <v>14</v>
      </c>
      <c r="F130" s="2" t="s">
        <v>15</v>
      </c>
      <c r="G130" s="2"/>
      <c r="H130" s="2"/>
      <c r="I130" s="2"/>
      <c r="J130" s="2"/>
    </row>
    <row r="131" spans="1:10" x14ac:dyDescent="0.35">
      <c r="A131" s="2" t="s">
        <v>10</v>
      </c>
      <c r="B131" s="2" t="s">
        <v>174</v>
      </c>
      <c r="C131" s="2" t="s">
        <v>24</v>
      </c>
      <c r="D131" s="2" t="s">
        <v>175</v>
      </c>
      <c r="E131" s="2" t="s">
        <v>121</v>
      </c>
      <c r="F131" s="2" t="s">
        <v>122</v>
      </c>
      <c r="G131" s="2"/>
      <c r="H131" s="2"/>
      <c r="I131" s="2"/>
      <c r="J131" s="2"/>
    </row>
    <row r="132" spans="1:10" x14ac:dyDescent="0.35">
      <c r="A132" s="2" t="s">
        <v>10</v>
      </c>
      <c r="B132" s="2" t="s">
        <v>174</v>
      </c>
      <c r="C132" s="2" t="s">
        <v>24</v>
      </c>
      <c r="D132" s="2" t="s">
        <v>175</v>
      </c>
      <c r="E132" s="2" t="s">
        <v>35</v>
      </c>
      <c r="F132" s="2" t="s">
        <v>36</v>
      </c>
      <c r="G132" s="2"/>
      <c r="H132" s="2"/>
      <c r="I132" s="2"/>
      <c r="J132" s="2"/>
    </row>
    <row r="133" spans="1:10" x14ac:dyDescent="0.35">
      <c r="A133" s="2" t="s">
        <v>10</v>
      </c>
      <c r="B133" s="2" t="s">
        <v>174</v>
      </c>
      <c r="C133" s="2" t="s">
        <v>24</v>
      </c>
      <c r="D133" s="2" t="s">
        <v>175</v>
      </c>
      <c r="E133" s="2" t="s">
        <v>176</v>
      </c>
      <c r="F133" s="2" t="s">
        <v>40</v>
      </c>
      <c r="G133" s="2"/>
      <c r="H133" s="2"/>
      <c r="I133" s="2"/>
      <c r="J133" s="2"/>
    </row>
    <row r="134" spans="1:10" x14ac:dyDescent="0.35">
      <c r="A134" s="2" t="s">
        <v>10</v>
      </c>
      <c r="B134" s="2" t="s">
        <v>174</v>
      </c>
      <c r="C134" s="2" t="s">
        <v>24</v>
      </c>
      <c r="D134" s="2" t="s">
        <v>175</v>
      </c>
      <c r="E134" s="2" t="s">
        <v>18</v>
      </c>
      <c r="F134" s="2" t="s">
        <v>19</v>
      </c>
      <c r="G134" s="2" t="s">
        <v>20</v>
      </c>
      <c r="H134" s="2" t="s">
        <v>123</v>
      </c>
      <c r="I134" s="2"/>
      <c r="J134" s="2"/>
    </row>
    <row r="135" spans="1:10" x14ac:dyDescent="0.35">
      <c r="A135" s="2" t="s">
        <v>10</v>
      </c>
      <c r="B135" s="2" t="s">
        <v>174</v>
      </c>
      <c r="C135" s="2" t="s">
        <v>24</v>
      </c>
      <c r="D135" s="2" t="s">
        <v>175</v>
      </c>
      <c r="E135" s="2" t="s">
        <v>61</v>
      </c>
      <c r="F135" s="2" t="s">
        <v>30</v>
      </c>
      <c r="G135" s="2" t="s">
        <v>20</v>
      </c>
      <c r="H135" s="2" t="s">
        <v>177</v>
      </c>
      <c r="I135" s="2"/>
      <c r="J135" s="2"/>
    </row>
    <row r="136" spans="1:10" x14ac:dyDescent="0.35">
      <c r="A136" s="2" t="s">
        <v>10</v>
      </c>
      <c r="B136" s="2" t="s">
        <v>174</v>
      </c>
      <c r="C136" s="2" t="s">
        <v>62</v>
      </c>
      <c r="D136" s="2" t="s">
        <v>178</v>
      </c>
      <c r="E136" s="2" t="s">
        <v>18</v>
      </c>
      <c r="F136" s="2" t="s">
        <v>19</v>
      </c>
      <c r="G136" s="2" t="s">
        <v>16</v>
      </c>
      <c r="H136" s="2" t="s">
        <v>179</v>
      </c>
      <c r="I136" s="2"/>
      <c r="J136" s="2"/>
    </row>
    <row r="137" spans="1:10" x14ac:dyDescent="0.35">
      <c r="A137" s="2" t="s">
        <v>10</v>
      </c>
      <c r="B137" s="2" t="s">
        <v>174</v>
      </c>
      <c r="C137" s="2" t="s">
        <v>62</v>
      </c>
      <c r="D137" s="2" t="s">
        <v>178</v>
      </c>
      <c r="E137" s="2" t="s">
        <v>127</v>
      </c>
      <c r="F137" s="2" t="s">
        <v>107</v>
      </c>
      <c r="G137" s="2"/>
      <c r="H137" s="2"/>
      <c r="I137" s="2"/>
      <c r="J137" s="2"/>
    </row>
    <row r="138" spans="1:10" x14ac:dyDescent="0.35">
      <c r="A138" s="2" t="s">
        <v>10</v>
      </c>
      <c r="B138" s="2" t="s">
        <v>180</v>
      </c>
      <c r="C138" s="2" t="s">
        <v>181</v>
      </c>
      <c r="D138" s="2" t="s">
        <v>182</v>
      </c>
      <c r="E138" s="2" t="s">
        <v>14</v>
      </c>
      <c r="F138" s="2" t="s">
        <v>15</v>
      </c>
      <c r="G138" s="2"/>
      <c r="H138" s="2"/>
      <c r="I138" s="2"/>
      <c r="J138" s="2"/>
    </row>
    <row r="139" spans="1:10" x14ac:dyDescent="0.35">
      <c r="A139" s="2" t="s">
        <v>10</v>
      </c>
      <c r="B139" s="2" t="s">
        <v>180</v>
      </c>
      <c r="C139" s="2" t="s">
        <v>181</v>
      </c>
      <c r="D139" s="2" t="s">
        <v>182</v>
      </c>
      <c r="E139" s="2" t="s">
        <v>31</v>
      </c>
      <c r="F139" s="2" t="s">
        <v>32</v>
      </c>
      <c r="G139" s="2" t="s">
        <v>16</v>
      </c>
      <c r="H139" s="2" t="s">
        <v>183</v>
      </c>
      <c r="I139" s="2"/>
      <c r="J139" s="2"/>
    </row>
    <row r="140" spans="1:10" x14ac:dyDescent="0.35">
      <c r="A140" s="2" t="s">
        <v>10</v>
      </c>
      <c r="B140" s="2" t="s">
        <v>180</v>
      </c>
      <c r="C140" s="2" t="s">
        <v>181</v>
      </c>
      <c r="D140" s="2" t="s">
        <v>182</v>
      </c>
      <c r="E140" s="2" t="s">
        <v>82</v>
      </c>
      <c r="F140" s="2" t="s">
        <v>83</v>
      </c>
      <c r="G140" s="2" t="s">
        <v>16</v>
      </c>
      <c r="H140" s="2" t="s">
        <v>183</v>
      </c>
      <c r="I140" s="2"/>
      <c r="J140" s="2"/>
    </row>
    <row r="141" spans="1:10" x14ac:dyDescent="0.35">
      <c r="A141" s="2" t="s">
        <v>10</v>
      </c>
      <c r="B141" s="2" t="s">
        <v>180</v>
      </c>
      <c r="C141" s="2" t="s">
        <v>181</v>
      </c>
      <c r="D141" s="2" t="s">
        <v>182</v>
      </c>
      <c r="E141" s="2" t="s">
        <v>38</v>
      </c>
      <c r="F141" s="2" t="s">
        <v>38</v>
      </c>
      <c r="G141" s="2" t="s">
        <v>16</v>
      </c>
      <c r="H141" s="2" t="s">
        <v>183</v>
      </c>
      <c r="I141" s="2"/>
      <c r="J141" s="2"/>
    </row>
    <row r="142" spans="1:10" x14ac:dyDescent="0.35">
      <c r="A142" s="2" t="s">
        <v>10</v>
      </c>
      <c r="B142" s="2" t="s">
        <v>180</v>
      </c>
      <c r="C142" s="2" t="s">
        <v>181</v>
      </c>
      <c r="D142" s="2" t="s">
        <v>182</v>
      </c>
      <c r="E142" s="2" t="s">
        <v>121</v>
      </c>
      <c r="F142" s="2" t="s">
        <v>122</v>
      </c>
      <c r="G142" s="2" t="s">
        <v>16</v>
      </c>
      <c r="H142" s="2" t="s">
        <v>183</v>
      </c>
      <c r="I142" s="2"/>
      <c r="J142" s="2"/>
    </row>
    <row r="143" spans="1:10" x14ac:dyDescent="0.35">
      <c r="A143" s="2" t="s">
        <v>10</v>
      </c>
      <c r="B143" s="2" t="s">
        <v>180</v>
      </c>
      <c r="C143" s="2" t="s">
        <v>181</v>
      </c>
      <c r="D143" s="2" t="s">
        <v>182</v>
      </c>
      <c r="E143" s="2" t="s">
        <v>184</v>
      </c>
      <c r="F143" s="2" t="s">
        <v>45</v>
      </c>
      <c r="G143" s="2" t="s">
        <v>16</v>
      </c>
      <c r="H143" s="2" t="s">
        <v>183</v>
      </c>
      <c r="I143" s="2"/>
      <c r="J143" s="2"/>
    </row>
    <row r="144" spans="1:10" x14ac:dyDescent="0.35">
      <c r="A144" s="2" t="s">
        <v>10</v>
      </c>
      <c r="B144" s="2" t="s">
        <v>180</v>
      </c>
      <c r="C144" s="2" t="s">
        <v>181</v>
      </c>
      <c r="D144" s="2" t="s">
        <v>182</v>
      </c>
      <c r="E144" s="2" t="s">
        <v>51</v>
      </c>
      <c r="F144" s="2" t="s">
        <v>52</v>
      </c>
      <c r="G144" s="2" t="s">
        <v>16</v>
      </c>
      <c r="H144" s="2" t="s">
        <v>183</v>
      </c>
      <c r="I144" s="2"/>
      <c r="J144" s="2"/>
    </row>
    <row r="145" spans="1:10" x14ac:dyDescent="0.35">
      <c r="A145" s="2" t="s">
        <v>10</v>
      </c>
      <c r="B145" s="2" t="s">
        <v>180</v>
      </c>
      <c r="C145" s="2" t="s">
        <v>181</v>
      </c>
      <c r="D145" s="2" t="s">
        <v>182</v>
      </c>
      <c r="E145" s="2" t="s">
        <v>85</v>
      </c>
      <c r="F145" s="2" t="s">
        <v>85</v>
      </c>
      <c r="G145" s="2" t="s">
        <v>16</v>
      </c>
      <c r="H145" s="2" t="s">
        <v>183</v>
      </c>
      <c r="I145" s="2"/>
      <c r="J145" s="2"/>
    </row>
    <row r="146" spans="1:10" x14ac:dyDescent="0.35">
      <c r="A146" s="2" t="s">
        <v>10</v>
      </c>
      <c r="B146" s="2" t="s">
        <v>180</v>
      </c>
      <c r="C146" s="2" t="s">
        <v>181</v>
      </c>
      <c r="D146" s="2" t="s">
        <v>185</v>
      </c>
      <c r="E146" s="2" t="s">
        <v>18</v>
      </c>
      <c r="F146" s="2" t="s">
        <v>19</v>
      </c>
      <c r="G146" s="2" t="s">
        <v>16</v>
      </c>
      <c r="H146" s="2" t="s">
        <v>186</v>
      </c>
      <c r="I146" s="2"/>
      <c r="J146" s="2"/>
    </row>
    <row r="147" spans="1:10" x14ac:dyDescent="0.35">
      <c r="A147" s="2" t="s">
        <v>10</v>
      </c>
      <c r="B147" s="2" t="s">
        <v>180</v>
      </c>
      <c r="C147" s="2" t="s">
        <v>181</v>
      </c>
      <c r="D147" s="2" t="s">
        <v>185</v>
      </c>
      <c r="E147" s="2" t="s">
        <v>187</v>
      </c>
      <c r="F147" s="2" t="s">
        <v>150</v>
      </c>
      <c r="G147" s="2" t="s">
        <v>16</v>
      </c>
      <c r="H147" s="2" t="s">
        <v>186</v>
      </c>
      <c r="I147" s="2"/>
      <c r="J147" s="2"/>
    </row>
    <row r="148" spans="1:10" x14ac:dyDescent="0.35">
      <c r="A148" s="2" t="s">
        <v>10</v>
      </c>
      <c r="B148" s="2" t="s">
        <v>180</v>
      </c>
      <c r="C148" s="2" t="s">
        <v>181</v>
      </c>
      <c r="D148" s="2" t="s">
        <v>185</v>
      </c>
      <c r="E148" s="2" t="s">
        <v>188</v>
      </c>
      <c r="F148" s="2" t="s">
        <v>189</v>
      </c>
      <c r="G148" s="2" t="s">
        <v>16</v>
      </c>
      <c r="H148" s="2" t="s">
        <v>186</v>
      </c>
      <c r="I148" s="2"/>
      <c r="J148" s="2"/>
    </row>
    <row r="149" spans="1:10" x14ac:dyDescent="0.35">
      <c r="A149" s="2" t="s">
        <v>10</v>
      </c>
      <c r="B149" s="2" t="s">
        <v>180</v>
      </c>
      <c r="C149" s="2" t="s">
        <v>181</v>
      </c>
      <c r="D149" s="2" t="s">
        <v>190</v>
      </c>
      <c r="E149" s="2" t="s">
        <v>74</v>
      </c>
      <c r="F149" s="2" t="s">
        <v>75</v>
      </c>
      <c r="G149" s="2" t="s">
        <v>16</v>
      </c>
      <c r="H149" s="2" t="s">
        <v>191</v>
      </c>
      <c r="I149" s="2"/>
      <c r="J149" s="2"/>
    </row>
    <row r="150" spans="1:10" x14ac:dyDescent="0.35">
      <c r="A150" s="2" t="s">
        <v>10</v>
      </c>
      <c r="B150" s="2" t="s">
        <v>180</v>
      </c>
      <c r="C150" s="2" t="s">
        <v>181</v>
      </c>
      <c r="D150" s="2" t="s">
        <v>190</v>
      </c>
      <c r="E150" s="2" t="s">
        <v>33</v>
      </c>
      <c r="F150" s="2" t="s">
        <v>34</v>
      </c>
      <c r="G150" s="2"/>
      <c r="H150" s="2"/>
      <c r="I150" s="2"/>
      <c r="J150" s="2"/>
    </row>
    <row r="151" spans="1:10" x14ac:dyDescent="0.35">
      <c r="A151" s="2" t="s">
        <v>10</v>
      </c>
      <c r="B151" s="2" t="s">
        <v>180</v>
      </c>
      <c r="C151" s="2" t="s">
        <v>181</v>
      </c>
      <c r="D151" s="2" t="s">
        <v>190</v>
      </c>
      <c r="E151" s="2" t="s">
        <v>18</v>
      </c>
      <c r="F151" s="2" t="s">
        <v>19</v>
      </c>
      <c r="G151" s="2" t="s">
        <v>16</v>
      </c>
      <c r="H151" s="2" t="s">
        <v>192</v>
      </c>
      <c r="I151" s="2"/>
      <c r="J151" s="2"/>
    </row>
    <row r="152" spans="1:10" x14ac:dyDescent="0.35">
      <c r="A152" s="2" t="s">
        <v>10</v>
      </c>
      <c r="B152" s="2" t="s">
        <v>180</v>
      </c>
      <c r="C152" s="2" t="s">
        <v>181</v>
      </c>
      <c r="D152" s="2" t="s">
        <v>190</v>
      </c>
      <c r="E152" s="2" t="s">
        <v>100</v>
      </c>
      <c r="F152" s="2" t="s">
        <v>101</v>
      </c>
      <c r="G152" s="2"/>
      <c r="H152" s="2"/>
      <c r="I152" s="2"/>
      <c r="J152" s="2"/>
    </row>
    <row r="153" spans="1:10" x14ac:dyDescent="0.35">
      <c r="A153" s="2" t="s">
        <v>10</v>
      </c>
      <c r="B153" s="2" t="s">
        <v>180</v>
      </c>
      <c r="C153" s="2" t="s">
        <v>181</v>
      </c>
      <c r="D153" s="2" t="s">
        <v>190</v>
      </c>
      <c r="E153" s="2" t="s">
        <v>188</v>
      </c>
      <c r="F153" s="2" t="s">
        <v>189</v>
      </c>
      <c r="G153" s="2"/>
      <c r="H153" s="2"/>
      <c r="I153" s="2"/>
      <c r="J153" s="2"/>
    </row>
    <row r="154" spans="1:10" x14ac:dyDescent="0.35">
      <c r="A154" s="2" t="s">
        <v>10</v>
      </c>
      <c r="B154" s="2" t="s">
        <v>180</v>
      </c>
      <c r="C154" s="2" t="s">
        <v>181</v>
      </c>
      <c r="D154" s="2" t="s">
        <v>190</v>
      </c>
      <c r="E154" s="2" t="s">
        <v>193</v>
      </c>
      <c r="F154" s="2" t="s">
        <v>40</v>
      </c>
      <c r="G154" s="2" t="s">
        <v>16</v>
      </c>
      <c r="H154" s="2" t="s">
        <v>191</v>
      </c>
      <c r="I154" s="2"/>
      <c r="J154" s="2"/>
    </row>
    <row r="155" spans="1:10" x14ac:dyDescent="0.35">
      <c r="A155" s="2" t="s">
        <v>10</v>
      </c>
      <c r="B155" s="2" t="s">
        <v>180</v>
      </c>
      <c r="C155" s="2" t="s">
        <v>12</v>
      </c>
      <c r="D155" s="2" t="s">
        <v>194</v>
      </c>
      <c r="E155" s="2" t="s">
        <v>89</v>
      </c>
      <c r="F155" s="2" t="s">
        <v>45</v>
      </c>
      <c r="G155" s="2"/>
      <c r="H155" s="2"/>
      <c r="I155" s="2"/>
      <c r="J155" s="2"/>
    </row>
    <row r="156" spans="1:10" x14ac:dyDescent="0.35">
      <c r="A156" s="2" t="s">
        <v>10</v>
      </c>
      <c r="B156" s="2" t="s">
        <v>180</v>
      </c>
      <c r="C156" s="2" t="s">
        <v>12</v>
      </c>
      <c r="D156" s="2" t="s">
        <v>194</v>
      </c>
      <c r="E156" s="2" t="s">
        <v>149</v>
      </c>
      <c r="F156" s="2" t="s">
        <v>150</v>
      </c>
      <c r="G156" s="2"/>
      <c r="H156" s="2"/>
      <c r="I156" s="2"/>
      <c r="J156" s="2"/>
    </row>
    <row r="157" spans="1:10" x14ac:dyDescent="0.35">
      <c r="A157" s="2" t="s">
        <v>10</v>
      </c>
      <c r="B157" s="2" t="s">
        <v>180</v>
      </c>
      <c r="C157" s="2" t="s">
        <v>181</v>
      </c>
      <c r="D157" s="2" t="s">
        <v>195</v>
      </c>
      <c r="E157" s="2" t="s">
        <v>196</v>
      </c>
      <c r="F157" s="2" t="s">
        <v>197</v>
      </c>
      <c r="G157" s="2"/>
      <c r="H157" s="2"/>
      <c r="I157" s="2"/>
      <c r="J157" s="2"/>
    </row>
    <row r="158" spans="1:10" x14ac:dyDescent="0.35">
      <c r="A158" s="2" t="s">
        <v>10</v>
      </c>
      <c r="B158" s="2" t="s">
        <v>180</v>
      </c>
      <c r="C158" s="2" t="s">
        <v>181</v>
      </c>
      <c r="D158" s="2" t="s">
        <v>195</v>
      </c>
      <c r="E158" s="2" t="s">
        <v>14</v>
      </c>
      <c r="F158" s="2" t="s">
        <v>15</v>
      </c>
      <c r="G158" s="2"/>
      <c r="H158" s="2"/>
      <c r="I158" s="2"/>
      <c r="J158" s="2"/>
    </row>
    <row r="159" spans="1:10" x14ac:dyDescent="0.35">
      <c r="A159" s="2" t="s">
        <v>10</v>
      </c>
      <c r="B159" s="2" t="s">
        <v>180</v>
      </c>
      <c r="C159" s="2" t="s">
        <v>181</v>
      </c>
      <c r="D159" s="2" t="s">
        <v>195</v>
      </c>
      <c r="E159" s="2" t="s">
        <v>198</v>
      </c>
      <c r="F159" s="2" t="s">
        <v>65</v>
      </c>
      <c r="G159" s="2"/>
      <c r="H159" s="2"/>
      <c r="I159" s="2"/>
      <c r="J159" s="2"/>
    </row>
    <row r="160" spans="1:10" x14ac:dyDescent="0.35">
      <c r="A160" s="2" t="s">
        <v>10</v>
      </c>
      <c r="B160" s="2" t="s">
        <v>180</v>
      </c>
      <c r="C160" s="2" t="s">
        <v>181</v>
      </c>
      <c r="D160" s="2" t="s">
        <v>195</v>
      </c>
      <c r="E160" s="2" t="s">
        <v>31</v>
      </c>
      <c r="F160" s="2" t="s">
        <v>32</v>
      </c>
      <c r="G160" s="2"/>
      <c r="H160" s="2"/>
      <c r="I160" s="2"/>
      <c r="J160" s="2"/>
    </row>
    <row r="161" spans="1:10" x14ac:dyDescent="0.35">
      <c r="A161" s="2" t="s">
        <v>10</v>
      </c>
      <c r="B161" s="2" t="s">
        <v>180</v>
      </c>
      <c r="C161" s="2" t="s">
        <v>181</v>
      </c>
      <c r="D161" s="2" t="s">
        <v>195</v>
      </c>
      <c r="E161" s="2" t="s">
        <v>172</v>
      </c>
      <c r="F161" s="2" t="s">
        <v>65</v>
      </c>
      <c r="G161" s="2"/>
      <c r="H161" s="2" t="s">
        <v>199</v>
      </c>
      <c r="I161" s="2"/>
      <c r="J161" s="2"/>
    </row>
    <row r="162" spans="1:10" x14ac:dyDescent="0.35">
      <c r="A162" s="2" t="s">
        <v>10</v>
      </c>
      <c r="B162" s="2" t="s">
        <v>180</v>
      </c>
      <c r="C162" s="2" t="s">
        <v>181</v>
      </c>
      <c r="D162" s="2" t="s">
        <v>195</v>
      </c>
      <c r="E162" s="2" t="s">
        <v>200</v>
      </c>
      <c r="F162" s="2" t="s">
        <v>201</v>
      </c>
      <c r="G162" s="2"/>
      <c r="H162" s="2"/>
      <c r="I162" s="2"/>
      <c r="J162" s="2"/>
    </row>
    <row r="163" spans="1:10" x14ac:dyDescent="0.35">
      <c r="A163" s="2" t="s">
        <v>10</v>
      </c>
      <c r="B163" s="2" t="s">
        <v>180</v>
      </c>
      <c r="C163" s="2" t="s">
        <v>181</v>
      </c>
      <c r="D163" s="2" t="s">
        <v>195</v>
      </c>
      <c r="E163" s="2" t="s">
        <v>202</v>
      </c>
      <c r="F163" s="2" t="s">
        <v>203</v>
      </c>
      <c r="G163" s="2"/>
      <c r="H163" s="2"/>
      <c r="I163" s="2"/>
      <c r="J163" s="2"/>
    </row>
    <row r="164" spans="1:10" x14ac:dyDescent="0.35">
      <c r="A164" s="2" t="s">
        <v>10</v>
      </c>
      <c r="B164" s="2" t="s">
        <v>180</v>
      </c>
      <c r="C164" s="2" t="s">
        <v>181</v>
      </c>
      <c r="D164" s="2" t="s">
        <v>195</v>
      </c>
      <c r="E164" s="2" t="s">
        <v>51</v>
      </c>
      <c r="F164" s="2" t="s">
        <v>52</v>
      </c>
      <c r="G164" s="2"/>
      <c r="H164" s="2"/>
      <c r="I164" s="2"/>
      <c r="J164" s="2"/>
    </row>
    <row r="165" spans="1:10" x14ac:dyDescent="0.35">
      <c r="A165" s="2" t="s">
        <v>10</v>
      </c>
      <c r="B165" s="2" t="s">
        <v>180</v>
      </c>
      <c r="C165" s="2" t="s">
        <v>181</v>
      </c>
      <c r="D165" s="2" t="s">
        <v>195</v>
      </c>
      <c r="E165" s="2" t="s">
        <v>204</v>
      </c>
      <c r="F165" s="2" t="s">
        <v>40</v>
      </c>
      <c r="G165" s="2"/>
      <c r="H165" s="2"/>
      <c r="I165" s="2"/>
      <c r="J165" s="2"/>
    </row>
    <row r="166" spans="1:10" x14ac:dyDescent="0.35">
      <c r="A166" s="2" t="s">
        <v>10</v>
      </c>
      <c r="B166" s="2" t="s">
        <v>180</v>
      </c>
      <c r="C166" s="2" t="s">
        <v>181</v>
      </c>
      <c r="D166" s="2" t="s">
        <v>195</v>
      </c>
      <c r="E166" s="2" t="s">
        <v>64</v>
      </c>
      <c r="F166" s="2" t="s">
        <v>65</v>
      </c>
      <c r="G166" s="2"/>
      <c r="H166" s="2" t="s">
        <v>199</v>
      </c>
      <c r="I166" s="2"/>
      <c r="J166" s="2"/>
    </row>
    <row r="167" spans="1:10" x14ac:dyDescent="0.35">
      <c r="A167" s="2" t="s">
        <v>10</v>
      </c>
      <c r="B167" s="2" t="s">
        <v>180</v>
      </c>
      <c r="C167" s="2" t="s">
        <v>181</v>
      </c>
      <c r="D167" s="2" t="s">
        <v>195</v>
      </c>
      <c r="E167" s="2" t="s">
        <v>18</v>
      </c>
      <c r="F167" s="2" t="s">
        <v>19</v>
      </c>
      <c r="G167" s="2" t="s">
        <v>16</v>
      </c>
      <c r="H167" s="2" t="s">
        <v>205</v>
      </c>
      <c r="I167" s="2"/>
      <c r="J167" s="2"/>
    </row>
    <row r="168" spans="1:10" x14ac:dyDescent="0.35">
      <c r="A168" s="2" t="s">
        <v>10</v>
      </c>
      <c r="B168" s="2" t="s">
        <v>180</v>
      </c>
      <c r="C168" s="2" t="s">
        <v>181</v>
      </c>
      <c r="D168" s="2" t="s">
        <v>195</v>
      </c>
      <c r="E168" s="2" t="s">
        <v>89</v>
      </c>
      <c r="F168" s="2" t="s">
        <v>45</v>
      </c>
      <c r="G168" s="2"/>
      <c r="H168" s="2" t="s">
        <v>199</v>
      </c>
      <c r="I168" s="2"/>
      <c r="J168" s="2"/>
    </row>
    <row r="169" spans="1:10" x14ac:dyDescent="0.35">
      <c r="A169" s="2" t="s">
        <v>10</v>
      </c>
      <c r="B169" s="2" t="s">
        <v>180</v>
      </c>
      <c r="C169" s="2" t="s">
        <v>181</v>
      </c>
      <c r="D169" s="2" t="s">
        <v>195</v>
      </c>
      <c r="E169" s="2" t="s">
        <v>98</v>
      </c>
      <c r="F169" s="2" t="s">
        <v>98</v>
      </c>
      <c r="G169" s="2"/>
      <c r="H169" s="2"/>
      <c r="I169" s="2"/>
      <c r="J169" s="2"/>
    </row>
    <row r="170" spans="1:10" x14ac:dyDescent="0.35">
      <c r="A170" s="2" t="s">
        <v>10</v>
      </c>
      <c r="B170" s="2" t="s">
        <v>180</v>
      </c>
      <c r="C170" s="2" t="s">
        <v>181</v>
      </c>
      <c r="D170" s="2" t="s">
        <v>195</v>
      </c>
      <c r="E170" s="2" t="s">
        <v>85</v>
      </c>
      <c r="F170" s="2" t="s">
        <v>85</v>
      </c>
      <c r="G170" s="2"/>
      <c r="H170" s="2"/>
      <c r="I170" s="2"/>
      <c r="J170" s="2"/>
    </row>
    <row r="171" spans="1:10" x14ac:dyDescent="0.35">
      <c r="A171" s="2" t="s">
        <v>10</v>
      </c>
      <c r="B171" s="2" t="s">
        <v>180</v>
      </c>
      <c r="C171" s="2" t="s">
        <v>181</v>
      </c>
      <c r="D171" s="2" t="s">
        <v>195</v>
      </c>
      <c r="E171" s="2" t="s">
        <v>61</v>
      </c>
      <c r="F171" s="2" t="s">
        <v>30</v>
      </c>
      <c r="G171" s="2"/>
      <c r="H171" s="2"/>
      <c r="I171" s="2"/>
      <c r="J171" s="2"/>
    </row>
    <row r="172" spans="1:10" x14ac:dyDescent="0.35">
      <c r="A172" s="2" t="s">
        <v>10</v>
      </c>
      <c r="B172" s="2" t="s">
        <v>180</v>
      </c>
      <c r="C172" s="2" t="s">
        <v>181</v>
      </c>
      <c r="D172" s="2" t="s">
        <v>195</v>
      </c>
      <c r="E172" s="2" t="s">
        <v>100</v>
      </c>
      <c r="F172" s="2" t="s">
        <v>101</v>
      </c>
      <c r="G172" s="2"/>
      <c r="H172" s="2"/>
      <c r="I172" s="2"/>
      <c r="J172" s="2"/>
    </row>
    <row r="173" spans="1:10" x14ac:dyDescent="0.35">
      <c r="A173" s="2" t="s">
        <v>10</v>
      </c>
      <c r="B173" s="2" t="s">
        <v>180</v>
      </c>
      <c r="C173" s="2" t="s">
        <v>181</v>
      </c>
      <c r="D173" s="2" t="s">
        <v>195</v>
      </c>
      <c r="E173" s="2" t="s">
        <v>188</v>
      </c>
      <c r="F173" s="2" t="s">
        <v>189</v>
      </c>
      <c r="G173" s="2"/>
      <c r="H173" s="2"/>
      <c r="I173" s="2"/>
      <c r="J173" s="2"/>
    </row>
    <row r="174" spans="1:10" x14ac:dyDescent="0.35">
      <c r="A174" s="2" t="s">
        <v>10</v>
      </c>
      <c r="B174" s="2" t="s">
        <v>180</v>
      </c>
      <c r="C174" s="2" t="s">
        <v>181</v>
      </c>
      <c r="D174" s="2" t="s">
        <v>195</v>
      </c>
      <c r="E174" s="2" t="s">
        <v>149</v>
      </c>
      <c r="F174" s="2" t="s">
        <v>150</v>
      </c>
      <c r="G174" s="2" t="s">
        <v>16</v>
      </c>
      <c r="H174" s="2" t="s">
        <v>206</v>
      </c>
      <c r="I174" s="2"/>
      <c r="J174" s="2"/>
    </row>
    <row r="175" spans="1:10" x14ac:dyDescent="0.35">
      <c r="A175" s="2" t="s">
        <v>10</v>
      </c>
      <c r="B175" s="2" t="s">
        <v>180</v>
      </c>
      <c r="C175" s="2" t="s">
        <v>181</v>
      </c>
      <c r="D175" s="2" t="s">
        <v>195</v>
      </c>
      <c r="E175" s="2" t="s">
        <v>207</v>
      </c>
      <c r="F175" s="2" t="s">
        <v>122</v>
      </c>
      <c r="G175" s="2"/>
      <c r="H175" s="2"/>
      <c r="I175" s="2"/>
      <c r="J175" s="2"/>
    </row>
    <row r="176" spans="1:10" x14ac:dyDescent="0.35">
      <c r="A176" s="2" t="s">
        <v>10</v>
      </c>
      <c r="B176" s="2" t="s">
        <v>180</v>
      </c>
      <c r="C176" s="2" t="s">
        <v>181</v>
      </c>
      <c r="D176" s="2" t="s">
        <v>195</v>
      </c>
      <c r="E176" s="2" t="s">
        <v>208</v>
      </c>
      <c r="F176" s="2" t="s">
        <v>65</v>
      </c>
      <c r="G176" s="2"/>
      <c r="H176" s="2"/>
      <c r="I176" s="2"/>
      <c r="J176" s="2"/>
    </row>
    <row r="177" spans="1:10" x14ac:dyDescent="0.35">
      <c r="A177" s="2" t="s">
        <v>10</v>
      </c>
      <c r="B177" s="2" t="s">
        <v>180</v>
      </c>
      <c r="C177" s="2" t="s">
        <v>12</v>
      </c>
      <c r="D177" s="2" t="s">
        <v>209</v>
      </c>
      <c r="E177" s="2" t="s">
        <v>121</v>
      </c>
      <c r="F177" s="2" t="s">
        <v>122</v>
      </c>
      <c r="G177" s="2"/>
      <c r="H177" s="2"/>
      <c r="I177" s="2"/>
      <c r="J177" s="2"/>
    </row>
    <row r="178" spans="1:10" x14ac:dyDescent="0.35">
      <c r="A178" s="2" t="s">
        <v>10</v>
      </c>
      <c r="B178" s="2" t="s">
        <v>180</v>
      </c>
      <c r="C178" s="2" t="s">
        <v>12</v>
      </c>
      <c r="D178" s="2" t="s">
        <v>209</v>
      </c>
      <c r="E178" s="2" t="s">
        <v>39</v>
      </c>
      <c r="F178" s="2" t="s">
        <v>40</v>
      </c>
      <c r="G178" s="2"/>
      <c r="H178" s="2"/>
      <c r="I178" s="2"/>
      <c r="J178" s="2"/>
    </row>
    <row r="179" spans="1:10" x14ac:dyDescent="0.35">
      <c r="A179" s="2" t="s">
        <v>10</v>
      </c>
      <c r="B179" s="2" t="s">
        <v>180</v>
      </c>
      <c r="C179" s="2" t="s">
        <v>12</v>
      </c>
      <c r="D179" s="2" t="s">
        <v>209</v>
      </c>
      <c r="E179" s="2" t="s">
        <v>18</v>
      </c>
      <c r="F179" s="2" t="s">
        <v>19</v>
      </c>
      <c r="G179" s="2"/>
      <c r="H179" s="2"/>
      <c r="I179" s="2"/>
      <c r="J179" s="2"/>
    </row>
    <row r="180" spans="1:10" x14ac:dyDescent="0.35">
      <c r="A180" s="2" t="s">
        <v>10</v>
      </c>
      <c r="B180" s="2" t="s">
        <v>180</v>
      </c>
      <c r="C180" s="2" t="s">
        <v>12</v>
      </c>
      <c r="D180" s="2" t="s">
        <v>209</v>
      </c>
      <c r="E180" s="2" t="s">
        <v>89</v>
      </c>
      <c r="F180" s="2" t="s">
        <v>45</v>
      </c>
      <c r="G180" s="2"/>
      <c r="H180" s="2"/>
      <c r="I180" s="2"/>
      <c r="J180" s="2"/>
    </row>
    <row r="181" spans="1:10" x14ac:dyDescent="0.35">
      <c r="A181" s="2" t="s">
        <v>10</v>
      </c>
      <c r="B181" s="2" t="s">
        <v>180</v>
      </c>
      <c r="C181" s="2" t="s">
        <v>57</v>
      </c>
      <c r="D181" s="2" t="s">
        <v>210</v>
      </c>
      <c r="E181" s="2" t="s">
        <v>14</v>
      </c>
      <c r="F181" s="2" t="s">
        <v>15</v>
      </c>
      <c r="G181" s="2"/>
      <c r="H181" s="2"/>
      <c r="I181" s="2"/>
      <c r="J181" s="2"/>
    </row>
    <row r="182" spans="1:10" x14ac:dyDescent="0.35">
      <c r="A182" s="2" t="s">
        <v>10</v>
      </c>
      <c r="B182" s="2" t="s">
        <v>180</v>
      </c>
      <c r="C182" s="2" t="s">
        <v>57</v>
      </c>
      <c r="D182" s="2" t="s">
        <v>210</v>
      </c>
      <c r="E182" s="2" t="s">
        <v>120</v>
      </c>
      <c r="F182" s="2" t="s">
        <v>32</v>
      </c>
      <c r="G182" s="2"/>
      <c r="H182" s="2"/>
      <c r="I182" s="2"/>
      <c r="J182" s="2"/>
    </row>
    <row r="183" spans="1:10" x14ac:dyDescent="0.35">
      <c r="A183" s="2" t="s">
        <v>10</v>
      </c>
      <c r="B183" s="2" t="s">
        <v>180</v>
      </c>
      <c r="C183" s="2" t="s">
        <v>57</v>
      </c>
      <c r="D183" s="2" t="s">
        <v>210</v>
      </c>
      <c r="E183" s="2" t="s">
        <v>82</v>
      </c>
      <c r="F183" s="2" t="s">
        <v>83</v>
      </c>
      <c r="G183" s="2"/>
      <c r="H183" s="2"/>
      <c r="I183" s="2"/>
      <c r="J183" s="2"/>
    </row>
    <row r="184" spans="1:10" x14ac:dyDescent="0.35">
      <c r="A184" s="2" t="s">
        <v>10</v>
      </c>
      <c r="B184" s="2" t="s">
        <v>180</v>
      </c>
      <c r="C184" s="2" t="s">
        <v>57</v>
      </c>
      <c r="D184" s="2" t="s">
        <v>210</v>
      </c>
      <c r="E184" s="2" t="s">
        <v>211</v>
      </c>
      <c r="F184" s="2" t="s">
        <v>203</v>
      </c>
      <c r="G184" s="2" t="s">
        <v>16</v>
      </c>
      <c r="H184" s="2" t="s">
        <v>206</v>
      </c>
      <c r="I184" s="2"/>
      <c r="J184" s="2"/>
    </row>
    <row r="185" spans="1:10" x14ac:dyDescent="0.35">
      <c r="A185" s="2" t="s">
        <v>10</v>
      </c>
      <c r="B185" s="2" t="s">
        <v>180</v>
      </c>
      <c r="C185" s="2" t="s">
        <v>57</v>
      </c>
      <c r="D185" s="2" t="s">
        <v>210</v>
      </c>
      <c r="E185" s="2" t="s">
        <v>212</v>
      </c>
      <c r="F185" s="2" t="s">
        <v>78</v>
      </c>
      <c r="G185" s="2"/>
      <c r="H185" s="2"/>
      <c r="I185" s="2"/>
      <c r="J185" s="2"/>
    </row>
    <row r="186" spans="1:10" x14ac:dyDescent="0.35">
      <c r="A186" s="2" t="s">
        <v>10</v>
      </c>
      <c r="B186" s="2" t="s">
        <v>180</v>
      </c>
      <c r="C186" s="2" t="s">
        <v>57</v>
      </c>
      <c r="D186" s="2" t="s">
        <v>210</v>
      </c>
      <c r="E186" s="2" t="s">
        <v>121</v>
      </c>
      <c r="F186" s="2" t="s">
        <v>122</v>
      </c>
      <c r="G186" s="2" t="s">
        <v>16</v>
      </c>
      <c r="H186" s="2" t="s">
        <v>206</v>
      </c>
      <c r="I186" s="2"/>
      <c r="J186" s="2"/>
    </row>
    <row r="187" spans="1:10" x14ac:dyDescent="0.35">
      <c r="A187" s="2" t="s">
        <v>10</v>
      </c>
      <c r="B187" s="2" t="s">
        <v>180</v>
      </c>
      <c r="C187" s="2" t="s">
        <v>57</v>
      </c>
      <c r="D187" s="2" t="s">
        <v>210</v>
      </c>
      <c r="E187" s="2" t="s">
        <v>213</v>
      </c>
      <c r="F187" s="2" t="s">
        <v>45</v>
      </c>
      <c r="G187" s="2" t="s">
        <v>16</v>
      </c>
      <c r="H187" s="2" t="s">
        <v>206</v>
      </c>
      <c r="I187" s="2"/>
      <c r="J187" s="2"/>
    </row>
    <row r="188" spans="1:10" x14ac:dyDescent="0.35">
      <c r="A188" s="2" t="s">
        <v>10</v>
      </c>
      <c r="B188" s="2" t="s">
        <v>180</v>
      </c>
      <c r="C188" s="2" t="s">
        <v>57</v>
      </c>
      <c r="D188" s="2" t="s">
        <v>210</v>
      </c>
      <c r="E188" s="2" t="s">
        <v>156</v>
      </c>
      <c r="F188" s="2" t="s">
        <v>45</v>
      </c>
      <c r="G188" s="2" t="s">
        <v>16</v>
      </c>
      <c r="H188" s="2" t="s">
        <v>214</v>
      </c>
      <c r="I188" s="2"/>
      <c r="J188" s="2"/>
    </row>
    <row r="189" spans="1:10" x14ac:dyDescent="0.35">
      <c r="A189" s="2" t="s">
        <v>10</v>
      </c>
      <c r="B189" s="2" t="s">
        <v>180</v>
      </c>
      <c r="C189" s="2" t="s">
        <v>57</v>
      </c>
      <c r="D189" s="2" t="s">
        <v>210</v>
      </c>
      <c r="E189" s="2" t="s">
        <v>51</v>
      </c>
      <c r="F189" s="2" t="s">
        <v>52</v>
      </c>
      <c r="G189" s="2" t="s">
        <v>16</v>
      </c>
      <c r="H189" s="2" t="s">
        <v>206</v>
      </c>
      <c r="I189" s="2"/>
      <c r="J189" s="2"/>
    </row>
    <row r="190" spans="1:10" x14ac:dyDescent="0.35">
      <c r="A190" s="2" t="s">
        <v>10</v>
      </c>
      <c r="B190" s="2" t="s">
        <v>180</v>
      </c>
      <c r="C190" s="2" t="s">
        <v>57</v>
      </c>
      <c r="D190" s="2" t="s">
        <v>210</v>
      </c>
      <c r="E190" s="2" t="s">
        <v>18</v>
      </c>
      <c r="F190" s="2" t="s">
        <v>19</v>
      </c>
      <c r="G190" s="2" t="s">
        <v>16</v>
      </c>
      <c r="H190" s="2" t="s">
        <v>215</v>
      </c>
      <c r="I190" s="2"/>
      <c r="J190" s="2"/>
    </row>
    <row r="191" spans="1:10" x14ac:dyDescent="0.35">
      <c r="A191" s="2" t="s">
        <v>10</v>
      </c>
      <c r="B191" s="2" t="s">
        <v>180</v>
      </c>
      <c r="C191" s="2" t="s">
        <v>57</v>
      </c>
      <c r="D191" s="2" t="s">
        <v>210</v>
      </c>
      <c r="E191" s="2" t="s">
        <v>61</v>
      </c>
      <c r="F191" s="2" t="s">
        <v>30</v>
      </c>
      <c r="G191" s="2" t="s">
        <v>16</v>
      </c>
      <c r="H191" s="2" t="s">
        <v>216</v>
      </c>
      <c r="I191" s="2"/>
      <c r="J191" s="2"/>
    </row>
    <row r="192" spans="1:10" x14ac:dyDescent="0.35">
      <c r="A192" s="2" t="s">
        <v>10</v>
      </c>
      <c r="B192" s="2" t="s">
        <v>180</v>
      </c>
      <c r="C192" s="2" t="s">
        <v>57</v>
      </c>
      <c r="D192" s="2" t="s">
        <v>210</v>
      </c>
      <c r="E192" s="2" t="s">
        <v>100</v>
      </c>
      <c r="F192" s="2" t="s">
        <v>101</v>
      </c>
      <c r="G192" s="2"/>
      <c r="H192" s="2"/>
      <c r="I192" s="2"/>
      <c r="J192" s="2"/>
    </row>
    <row r="193" spans="1:10" x14ac:dyDescent="0.35">
      <c r="A193" s="2" t="s">
        <v>10</v>
      </c>
      <c r="B193" s="2" t="s">
        <v>180</v>
      </c>
      <c r="C193" s="2" t="s">
        <v>57</v>
      </c>
      <c r="D193" s="2" t="s">
        <v>210</v>
      </c>
      <c r="E193" s="2" t="s">
        <v>188</v>
      </c>
      <c r="F193" s="2" t="s">
        <v>189</v>
      </c>
      <c r="G193" s="2" t="s">
        <v>16</v>
      </c>
      <c r="H193" s="2" t="s">
        <v>217</v>
      </c>
      <c r="I193" s="2"/>
      <c r="J193" s="2"/>
    </row>
    <row r="194" spans="1:10" x14ac:dyDescent="0.35">
      <c r="A194" s="2" t="s">
        <v>10</v>
      </c>
      <c r="B194" s="2" t="s">
        <v>180</v>
      </c>
      <c r="C194" s="2" t="s">
        <v>57</v>
      </c>
      <c r="D194" s="2" t="s">
        <v>210</v>
      </c>
      <c r="E194" s="2" t="s">
        <v>149</v>
      </c>
      <c r="F194" s="2" t="s">
        <v>150</v>
      </c>
      <c r="G194" s="2" t="s">
        <v>16</v>
      </c>
      <c r="H194" s="2" t="s">
        <v>206</v>
      </c>
      <c r="I194" s="2"/>
      <c r="J194" s="2"/>
    </row>
    <row r="195" spans="1:10" x14ac:dyDescent="0.35">
      <c r="A195" s="2" t="s">
        <v>10</v>
      </c>
      <c r="B195" s="2" t="s">
        <v>180</v>
      </c>
      <c r="C195" s="2" t="s">
        <v>181</v>
      </c>
      <c r="D195" s="2" t="s">
        <v>218</v>
      </c>
      <c r="E195" s="2" t="s">
        <v>196</v>
      </c>
      <c r="F195" s="2" t="s">
        <v>197</v>
      </c>
      <c r="G195" s="2"/>
      <c r="H195" s="2"/>
      <c r="I195" s="2"/>
      <c r="J195" s="2"/>
    </row>
    <row r="196" spans="1:10" x14ac:dyDescent="0.35">
      <c r="A196" s="2" t="s">
        <v>10</v>
      </c>
      <c r="B196" s="2" t="s">
        <v>180</v>
      </c>
      <c r="C196" s="2" t="s">
        <v>181</v>
      </c>
      <c r="D196" s="2" t="s">
        <v>218</v>
      </c>
      <c r="E196" s="2" t="s">
        <v>76</v>
      </c>
      <c r="F196" s="2" t="s">
        <v>75</v>
      </c>
      <c r="G196" s="2" t="s">
        <v>16</v>
      </c>
      <c r="H196" s="2" t="s">
        <v>219</v>
      </c>
      <c r="I196" s="2"/>
      <c r="J196" s="2"/>
    </row>
    <row r="197" spans="1:10" x14ac:dyDescent="0.35">
      <c r="A197" s="2" t="s">
        <v>10</v>
      </c>
      <c r="B197" s="2" t="s">
        <v>180</v>
      </c>
      <c r="C197" s="2" t="s">
        <v>181</v>
      </c>
      <c r="D197" s="2" t="s">
        <v>218</v>
      </c>
      <c r="E197" s="2" t="s">
        <v>220</v>
      </c>
      <c r="F197" s="2" t="s">
        <v>32</v>
      </c>
      <c r="G197" s="2" t="s">
        <v>16</v>
      </c>
      <c r="H197" s="2" t="s">
        <v>191</v>
      </c>
      <c r="I197" s="2"/>
      <c r="J197" s="2"/>
    </row>
    <row r="198" spans="1:10" x14ac:dyDescent="0.35">
      <c r="A198" s="2" t="s">
        <v>10</v>
      </c>
      <c r="B198" s="2" t="s">
        <v>180</v>
      </c>
      <c r="C198" s="2" t="s">
        <v>181</v>
      </c>
      <c r="D198" s="2" t="s">
        <v>218</v>
      </c>
      <c r="E198" s="2" t="s">
        <v>221</v>
      </c>
      <c r="F198" s="2" t="s">
        <v>75</v>
      </c>
      <c r="G198" s="2" t="s">
        <v>16</v>
      </c>
      <c r="H198" s="2" t="s">
        <v>191</v>
      </c>
      <c r="I198" s="2"/>
      <c r="J198" s="2"/>
    </row>
    <row r="199" spans="1:10" x14ac:dyDescent="0.35">
      <c r="A199" s="2" t="s">
        <v>10</v>
      </c>
      <c r="B199" s="2" t="s">
        <v>180</v>
      </c>
      <c r="C199" s="2" t="s">
        <v>181</v>
      </c>
      <c r="D199" s="2" t="s">
        <v>218</v>
      </c>
      <c r="E199" s="2" t="s">
        <v>82</v>
      </c>
      <c r="F199" s="2" t="s">
        <v>83</v>
      </c>
      <c r="G199" s="2" t="s">
        <v>16</v>
      </c>
      <c r="H199" s="2" t="s">
        <v>191</v>
      </c>
      <c r="I199" s="2"/>
      <c r="J199" s="2"/>
    </row>
    <row r="200" spans="1:10" x14ac:dyDescent="0.35">
      <c r="A200" s="2" t="s">
        <v>10</v>
      </c>
      <c r="B200" s="2" t="s">
        <v>180</v>
      </c>
      <c r="C200" s="2" t="s">
        <v>181</v>
      </c>
      <c r="D200" s="2" t="s">
        <v>218</v>
      </c>
      <c r="E200" s="2" t="s">
        <v>138</v>
      </c>
      <c r="F200" s="2" t="s">
        <v>139</v>
      </c>
      <c r="G200" s="2" t="s">
        <v>16</v>
      </c>
      <c r="H200" s="2" t="s">
        <v>191</v>
      </c>
      <c r="I200" s="2"/>
      <c r="J200" s="2"/>
    </row>
    <row r="201" spans="1:10" x14ac:dyDescent="0.35">
      <c r="A201" s="2" t="s">
        <v>10</v>
      </c>
      <c r="B201" s="2" t="s">
        <v>180</v>
      </c>
      <c r="C201" s="2" t="s">
        <v>181</v>
      </c>
      <c r="D201" s="2" t="s">
        <v>218</v>
      </c>
      <c r="E201" s="2" t="s">
        <v>222</v>
      </c>
      <c r="F201" s="2" t="s">
        <v>189</v>
      </c>
      <c r="G201" s="2"/>
      <c r="H201" s="2"/>
      <c r="I201" s="2"/>
      <c r="J201" s="2"/>
    </row>
    <row r="202" spans="1:10" x14ac:dyDescent="0.35">
      <c r="A202" s="2" t="s">
        <v>10</v>
      </c>
      <c r="B202" s="2" t="s">
        <v>180</v>
      </c>
      <c r="C202" s="2" t="s">
        <v>181</v>
      </c>
      <c r="D202" s="2" t="s">
        <v>218</v>
      </c>
      <c r="E202" s="2" t="s">
        <v>98</v>
      </c>
      <c r="F202" s="2" t="s">
        <v>98</v>
      </c>
      <c r="G202" s="2" t="s">
        <v>16</v>
      </c>
      <c r="H202" s="2" t="s">
        <v>191</v>
      </c>
      <c r="I202" s="2"/>
      <c r="J202" s="2"/>
    </row>
    <row r="203" spans="1:10" x14ac:dyDescent="0.35">
      <c r="A203" s="2" t="s">
        <v>10</v>
      </c>
      <c r="B203" s="2" t="s">
        <v>180</v>
      </c>
      <c r="C203" s="2" t="s">
        <v>181</v>
      </c>
      <c r="D203" s="2" t="s">
        <v>218</v>
      </c>
      <c r="E203" s="2" t="s">
        <v>202</v>
      </c>
      <c r="F203" s="2" t="s">
        <v>203</v>
      </c>
      <c r="G203" s="2" t="s">
        <v>16</v>
      </c>
      <c r="H203" s="2" t="s">
        <v>191</v>
      </c>
      <c r="I203" s="2"/>
      <c r="J203" s="2"/>
    </row>
    <row r="204" spans="1:10" x14ac:dyDescent="0.35">
      <c r="A204" s="2" t="s">
        <v>10</v>
      </c>
      <c r="B204" s="2" t="s">
        <v>180</v>
      </c>
      <c r="C204" s="2" t="s">
        <v>181</v>
      </c>
      <c r="D204" s="2" t="s">
        <v>218</v>
      </c>
      <c r="E204" s="2" t="s">
        <v>223</v>
      </c>
      <c r="F204" s="2" t="s">
        <v>78</v>
      </c>
      <c r="G204" s="2"/>
      <c r="H204" s="2"/>
      <c r="I204" s="2"/>
      <c r="J204" s="2"/>
    </row>
    <row r="205" spans="1:10" x14ac:dyDescent="0.35">
      <c r="A205" s="2" t="s">
        <v>10</v>
      </c>
      <c r="B205" s="2" t="s">
        <v>180</v>
      </c>
      <c r="C205" s="2" t="s">
        <v>181</v>
      </c>
      <c r="D205" s="2" t="s">
        <v>218</v>
      </c>
      <c r="E205" s="2" t="s">
        <v>224</v>
      </c>
      <c r="F205" s="2" t="s">
        <v>40</v>
      </c>
      <c r="G205" s="2" t="s">
        <v>16</v>
      </c>
      <c r="H205" s="2" t="s">
        <v>191</v>
      </c>
      <c r="I205" s="2"/>
      <c r="J205" s="2"/>
    </row>
    <row r="206" spans="1:10" x14ac:dyDescent="0.35">
      <c r="A206" s="2" t="s">
        <v>10</v>
      </c>
      <c r="B206" s="2" t="s">
        <v>180</v>
      </c>
      <c r="C206" s="2" t="s">
        <v>181</v>
      </c>
      <c r="D206" s="2" t="s">
        <v>218</v>
      </c>
      <c r="E206" s="2" t="s">
        <v>225</v>
      </c>
      <c r="F206" s="2" t="s">
        <v>32</v>
      </c>
      <c r="G206" s="2" t="s">
        <v>16</v>
      </c>
      <c r="H206" s="2" t="s">
        <v>191</v>
      </c>
      <c r="I206" s="2"/>
      <c r="J206" s="2"/>
    </row>
    <row r="207" spans="1:10" x14ac:dyDescent="0.35">
      <c r="A207" s="2" t="s">
        <v>10</v>
      </c>
      <c r="B207" s="2" t="s">
        <v>180</v>
      </c>
      <c r="C207" s="2" t="s">
        <v>181</v>
      </c>
      <c r="D207" s="2" t="s">
        <v>218</v>
      </c>
      <c r="E207" s="2" t="s">
        <v>156</v>
      </c>
      <c r="F207" s="2" t="s">
        <v>45</v>
      </c>
      <c r="G207" s="2" t="s">
        <v>16</v>
      </c>
      <c r="H207" s="2" t="s">
        <v>219</v>
      </c>
      <c r="I207" s="2"/>
      <c r="J207" s="2"/>
    </row>
    <row r="208" spans="1:10" x14ac:dyDescent="0.35">
      <c r="A208" s="2" t="s">
        <v>10</v>
      </c>
      <c r="B208" s="2" t="s">
        <v>180</v>
      </c>
      <c r="C208" s="2" t="s">
        <v>181</v>
      </c>
      <c r="D208" s="2" t="s">
        <v>218</v>
      </c>
      <c r="E208" s="2" t="s">
        <v>18</v>
      </c>
      <c r="F208" s="2" t="s">
        <v>19</v>
      </c>
      <c r="G208" s="2" t="s">
        <v>16</v>
      </c>
      <c r="H208" s="2" t="s">
        <v>219</v>
      </c>
      <c r="I208" s="2"/>
      <c r="J208" s="2"/>
    </row>
    <row r="209" spans="1:10" x14ac:dyDescent="0.35">
      <c r="A209" s="2" t="s">
        <v>10</v>
      </c>
      <c r="B209" s="2" t="s">
        <v>180</v>
      </c>
      <c r="C209" s="2" t="s">
        <v>181</v>
      </c>
      <c r="D209" s="2" t="s">
        <v>218</v>
      </c>
      <c r="E209" s="2" t="s">
        <v>226</v>
      </c>
      <c r="F209" s="2" t="s">
        <v>34</v>
      </c>
      <c r="G209" s="2" t="s">
        <v>16</v>
      </c>
      <c r="H209" s="2" t="s">
        <v>191</v>
      </c>
      <c r="I209" s="2"/>
      <c r="J209" s="2"/>
    </row>
    <row r="210" spans="1:10" x14ac:dyDescent="0.35">
      <c r="A210" s="2" t="s">
        <v>10</v>
      </c>
      <c r="B210" s="2" t="s">
        <v>180</v>
      </c>
      <c r="C210" s="2" t="s">
        <v>181</v>
      </c>
      <c r="D210" s="2" t="s">
        <v>218</v>
      </c>
      <c r="E210" s="2" t="s">
        <v>227</v>
      </c>
      <c r="F210" s="2" t="s">
        <v>228</v>
      </c>
      <c r="G210" s="2" t="s">
        <v>16</v>
      </c>
      <c r="H210" s="2" t="s">
        <v>191</v>
      </c>
      <c r="I210" s="2"/>
      <c r="J210" s="2"/>
    </row>
    <row r="211" spans="1:10" x14ac:dyDescent="0.35">
      <c r="A211" s="2" t="s">
        <v>10</v>
      </c>
      <c r="B211" s="2" t="s">
        <v>180</v>
      </c>
      <c r="C211" s="2" t="s">
        <v>181</v>
      </c>
      <c r="D211" s="2" t="s">
        <v>218</v>
      </c>
      <c r="E211" s="2" t="s">
        <v>61</v>
      </c>
      <c r="F211" s="2" t="s">
        <v>30</v>
      </c>
      <c r="G211" s="2" t="s">
        <v>16</v>
      </c>
      <c r="H211" s="2" t="s">
        <v>191</v>
      </c>
      <c r="I211" s="2"/>
      <c r="J211" s="2"/>
    </row>
    <row r="212" spans="1:10" x14ac:dyDescent="0.35">
      <c r="A212" s="2" t="s">
        <v>10</v>
      </c>
      <c r="B212" s="2" t="s">
        <v>180</v>
      </c>
      <c r="C212" s="2" t="s">
        <v>181</v>
      </c>
      <c r="D212" s="2" t="s">
        <v>218</v>
      </c>
      <c r="E212" s="2" t="s">
        <v>100</v>
      </c>
      <c r="F212" s="2" t="s">
        <v>101</v>
      </c>
      <c r="G212" s="2"/>
      <c r="H212" s="2"/>
      <c r="I212" s="2"/>
      <c r="J212" s="2"/>
    </row>
    <row r="213" spans="1:10" x14ac:dyDescent="0.35">
      <c r="A213" s="2" t="s">
        <v>10</v>
      </c>
      <c r="B213" s="2" t="s">
        <v>180</v>
      </c>
      <c r="C213" s="2" t="s">
        <v>181</v>
      </c>
      <c r="D213" s="2" t="s">
        <v>218</v>
      </c>
      <c r="E213" s="2" t="s">
        <v>188</v>
      </c>
      <c r="F213" s="2" t="s">
        <v>189</v>
      </c>
      <c r="G213" s="2" t="s">
        <v>16</v>
      </c>
      <c r="H213" s="2" t="s">
        <v>229</v>
      </c>
      <c r="I213" s="2"/>
      <c r="J213" s="2"/>
    </row>
    <row r="214" spans="1:10" x14ac:dyDescent="0.35">
      <c r="A214" s="2" t="s">
        <v>10</v>
      </c>
      <c r="B214" s="2" t="s">
        <v>180</v>
      </c>
      <c r="C214" s="2" t="s">
        <v>181</v>
      </c>
      <c r="D214" s="2" t="s">
        <v>218</v>
      </c>
      <c r="E214" s="2" t="s">
        <v>42</v>
      </c>
      <c r="F214" s="2" t="s">
        <v>43</v>
      </c>
      <c r="G214" s="2" t="s">
        <v>16</v>
      </c>
      <c r="H214" s="2" t="s">
        <v>191</v>
      </c>
      <c r="I214" s="2"/>
      <c r="J214" s="2"/>
    </row>
    <row r="215" spans="1:10" x14ac:dyDescent="0.35">
      <c r="A215" s="2" t="s">
        <v>10</v>
      </c>
      <c r="B215" s="2" t="s">
        <v>180</v>
      </c>
      <c r="C215" s="2" t="s">
        <v>181</v>
      </c>
      <c r="D215" s="2" t="s">
        <v>218</v>
      </c>
      <c r="E215" s="2" t="s">
        <v>149</v>
      </c>
      <c r="F215" s="2" t="s">
        <v>150</v>
      </c>
      <c r="G215" s="2" t="s">
        <v>16</v>
      </c>
      <c r="H215" s="2" t="s">
        <v>191</v>
      </c>
      <c r="I215" s="2"/>
      <c r="J215" s="2"/>
    </row>
    <row r="216" spans="1:10" x14ac:dyDescent="0.35">
      <c r="A216" s="2" t="s">
        <v>10</v>
      </c>
      <c r="B216" s="2" t="s">
        <v>180</v>
      </c>
      <c r="C216" s="2" t="s">
        <v>181</v>
      </c>
      <c r="D216" s="2" t="s">
        <v>218</v>
      </c>
      <c r="E216" s="2" t="s">
        <v>230</v>
      </c>
      <c r="F216" s="2" t="s">
        <v>189</v>
      </c>
      <c r="G216" s="2" t="s">
        <v>16</v>
      </c>
      <c r="H216" s="2" t="s">
        <v>191</v>
      </c>
      <c r="I216" s="2"/>
      <c r="J216" s="2"/>
    </row>
    <row r="217" spans="1:10" x14ac:dyDescent="0.35">
      <c r="A217" s="2" t="s">
        <v>10</v>
      </c>
      <c r="B217" s="2" t="s">
        <v>180</v>
      </c>
      <c r="C217" s="2" t="s">
        <v>12</v>
      </c>
      <c r="D217" s="2" t="s">
        <v>231</v>
      </c>
      <c r="E217" s="2" t="s">
        <v>14</v>
      </c>
      <c r="F217" s="2" t="s">
        <v>15</v>
      </c>
      <c r="G217" s="2"/>
      <c r="H217" s="2"/>
      <c r="I217" s="2"/>
      <c r="J217" s="2"/>
    </row>
    <row r="218" spans="1:10" x14ac:dyDescent="0.35">
      <c r="A218" s="2" t="s">
        <v>10</v>
      </c>
      <c r="B218" s="2" t="s">
        <v>180</v>
      </c>
      <c r="C218" s="2" t="s">
        <v>12</v>
      </c>
      <c r="D218" s="2" t="s">
        <v>231</v>
      </c>
      <c r="E218" s="2" t="s">
        <v>91</v>
      </c>
      <c r="F218" s="2" t="s">
        <v>19</v>
      </c>
      <c r="G218" s="2" t="s">
        <v>20</v>
      </c>
      <c r="H218" s="2" t="s">
        <v>232</v>
      </c>
      <c r="I218" s="2"/>
      <c r="J218" s="2"/>
    </row>
    <row r="219" spans="1:10" x14ac:dyDescent="0.35">
      <c r="A219" s="2" t="s">
        <v>10</v>
      </c>
      <c r="B219" s="2" t="s">
        <v>180</v>
      </c>
      <c r="C219" s="2" t="s">
        <v>12</v>
      </c>
      <c r="D219" s="2" t="s">
        <v>231</v>
      </c>
      <c r="E219" s="2" t="s">
        <v>89</v>
      </c>
      <c r="F219" s="2" t="s">
        <v>45</v>
      </c>
      <c r="G219" s="2"/>
      <c r="H219" s="2"/>
      <c r="I219" s="2"/>
      <c r="J219" s="2"/>
    </row>
    <row r="220" spans="1:10" s="21" customFormat="1" x14ac:dyDescent="0.35">
      <c r="A220" s="2" t="s">
        <v>10</v>
      </c>
      <c r="B220" s="2" t="s">
        <v>180</v>
      </c>
      <c r="C220" s="2" t="s">
        <v>12</v>
      </c>
      <c r="D220" s="2" t="s">
        <v>233</v>
      </c>
      <c r="E220" s="2" t="s">
        <v>14</v>
      </c>
      <c r="F220" s="2" t="s">
        <v>15</v>
      </c>
      <c r="G220" s="2"/>
      <c r="H220" s="2"/>
      <c r="I220" s="2"/>
      <c r="J220" s="2"/>
    </row>
    <row r="221" spans="1:10" s="21" customFormat="1" x14ac:dyDescent="0.35">
      <c r="A221" s="2" t="s">
        <v>10</v>
      </c>
      <c r="B221" s="2" t="s">
        <v>180</v>
      </c>
      <c r="C221" s="2" t="s">
        <v>12</v>
      </c>
      <c r="D221" s="2" t="s">
        <v>233</v>
      </c>
      <c r="E221" s="2" t="s">
        <v>213</v>
      </c>
      <c r="F221" s="2" t="s">
        <v>45</v>
      </c>
      <c r="G221" s="2" t="s">
        <v>20</v>
      </c>
      <c r="H221" s="2" t="s">
        <v>234</v>
      </c>
      <c r="I221" s="2"/>
      <c r="J221" s="2"/>
    </row>
    <row r="222" spans="1:10" s="21" customFormat="1" x14ac:dyDescent="0.35">
      <c r="A222" s="2" t="s">
        <v>10</v>
      </c>
      <c r="B222" s="2" t="s">
        <v>180</v>
      </c>
      <c r="C222" s="2" t="s">
        <v>12</v>
      </c>
      <c r="D222" s="2" t="s">
        <v>233</v>
      </c>
      <c r="E222" s="2" t="s">
        <v>204</v>
      </c>
      <c r="F222" s="2" t="s">
        <v>40</v>
      </c>
      <c r="G222" s="2" t="s">
        <v>20</v>
      </c>
      <c r="H222" s="2" t="s">
        <v>234</v>
      </c>
      <c r="I222" s="2"/>
      <c r="J222" s="2"/>
    </row>
    <row r="223" spans="1:10" s="21" customFormat="1" x14ac:dyDescent="0.35">
      <c r="A223" s="2" t="s">
        <v>10</v>
      </c>
      <c r="B223" s="2" t="s">
        <v>180</v>
      </c>
      <c r="C223" s="2" t="s">
        <v>12</v>
      </c>
      <c r="D223" s="2" t="s">
        <v>233</v>
      </c>
      <c r="E223" s="2" t="s">
        <v>64</v>
      </c>
      <c r="F223" s="2" t="s">
        <v>65</v>
      </c>
      <c r="G223" s="2" t="s">
        <v>20</v>
      </c>
      <c r="H223" s="2" t="s">
        <v>234</v>
      </c>
      <c r="I223" s="2"/>
      <c r="J223" s="2"/>
    </row>
    <row r="224" spans="1:10" x14ac:dyDescent="0.35">
      <c r="A224" s="2" t="s">
        <v>10</v>
      </c>
      <c r="B224" s="2" t="s">
        <v>180</v>
      </c>
      <c r="C224" s="2" t="s">
        <v>12</v>
      </c>
      <c r="D224" s="2" t="s">
        <v>235</v>
      </c>
      <c r="E224" s="2" t="s">
        <v>14</v>
      </c>
      <c r="F224" s="2" t="s">
        <v>15</v>
      </c>
      <c r="G224" s="2"/>
      <c r="H224" s="2"/>
      <c r="I224" s="2"/>
      <c r="J224" s="2"/>
    </row>
    <row r="225" spans="1:10" x14ac:dyDescent="0.35">
      <c r="A225" s="2" t="s">
        <v>10</v>
      </c>
      <c r="B225" s="2" t="s">
        <v>180</v>
      </c>
      <c r="C225" s="2" t="s">
        <v>12</v>
      </c>
      <c r="D225" s="2" t="s">
        <v>235</v>
      </c>
      <c r="E225" s="2" t="s">
        <v>18</v>
      </c>
      <c r="F225" s="2" t="s">
        <v>19</v>
      </c>
      <c r="G225" s="2"/>
      <c r="H225" s="2"/>
      <c r="I225" s="2"/>
      <c r="J225" s="2"/>
    </row>
    <row r="226" spans="1:10" x14ac:dyDescent="0.35">
      <c r="A226" s="2" t="s">
        <v>10</v>
      </c>
      <c r="B226" s="2" t="s">
        <v>180</v>
      </c>
      <c r="C226" s="2" t="s">
        <v>12</v>
      </c>
      <c r="D226" s="2" t="s">
        <v>235</v>
      </c>
      <c r="E226" s="2" t="s">
        <v>89</v>
      </c>
      <c r="F226" s="2" t="s">
        <v>45</v>
      </c>
      <c r="G226" s="2" t="s">
        <v>20</v>
      </c>
      <c r="H226" s="2" t="s">
        <v>236</v>
      </c>
      <c r="I226" s="2"/>
      <c r="J226" s="2"/>
    </row>
    <row r="227" spans="1:10" x14ac:dyDescent="0.35">
      <c r="A227" s="2" t="s">
        <v>10</v>
      </c>
      <c r="B227" s="2" t="s">
        <v>180</v>
      </c>
      <c r="C227" s="2" t="s">
        <v>181</v>
      </c>
      <c r="D227" s="2" t="s">
        <v>237</v>
      </c>
      <c r="E227" s="2" t="s">
        <v>196</v>
      </c>
      <c r="F227" s="2" t="s">
        <v>197</v>
      </c>
      <c r="G227" s="2"/>
      <c r="H227" s="2"/>
      <c r="I227" s="2"/>
      <c r="J227" s="2"/>
    </row>
    <row r="228" spans="1:10" x14ac:dyDescent="0.35">
      <c r="A228" s="2" t="s">
        <v>10</v>
      </c>
      <c r="B228" s="2" t="s">
        <v>180</v>
      </c>
      <c r="C228" s="2" t="s">
        <v>181</v>
      </c>
      <c r="D228" s="2" t="s">
        <v>237</v>
      </c>
      <c r="E228" s="2" t="s">
        <v>31</v>
      </c>
      <c r="F228" s="2" t="s">
        <v>32</v>
      </c>
      <c r="G228" s="2"/>
      <c r="H228" s="2"/>
      <c r="I228" s="2"/>
      <c r="J228" s="2"/>
    </row>
    <row r="229" spans="1:10" x14ac:dyDescent="0.35">
      <c r="A229" s="2" t="s">
        <v>10</v>
      </c>
      <c r="B229" s="2" t="s">
        <v>180</v>
      </c>
      <c r="C229" s="2" t="s">
        <v>181</v>
      </c>
      <c r="D229" s="2" t="s">
        <v>237</v>
      </c>
      <c r="E229" s="2" t="s">
        <v>200</v>
      </c>
      <c r="F229" s="2" t="s">
        <v>201</v>
      </c>
      <c r="G229" s="2"/>
      <c r="H229" s="2"/>
      <c r="I229" s="2"/>
      <c r="J229" s="2"/>
    </row>
    <row r="230" spans="1:10" x14ac:dyDescent="0.35">
      <c r="A230" s="2" t="s">
        <v>10</v>
      </c>
      <c r="B230" s="2" t="s">
        <v>180</v>
      </c>
      <c r="C230" s="2" t="s">
        <v>181</v>
      </c>
      <c r="D230" s="2" t="s">
        <v>237</v>
      </c>
      <c r="E230" s="2" t="s">
        <v>168</v>
      </c>
      <c r="F230" s="2" t="s">
        <v>45</v>
      </c>
      <c r="G230" s="2" t="s">
        <v>16</v>
      </c>
      <c r="H230" s="2" t="s">
        <v>238</v>
      </c>
      <c r="I230" s="2"/>
      <c r="J230" s="2"/>
    </row>
    <row r="231" spans="1:10" x14ac:dyDescent="0.35">
      <c r="A231" s="2" t="s">
        <v>10</v>
      </c>
      <c r="B231" s="2" t="s">
        <v>180</v>
      </c>
      <c r="C231" s="2" t="s">
        <v>181</v>
      </c>
      <c r="D231" s="2" t="s">
        <v>237</v>
      </c>
      <c r="E231" s="2" t="s">
        <v>51</v>
      </c>
      <c r="F231" s="2" t="s">
        <v>52</v>
      </c>
      <c r="G231" s="2"/>
      <c r="H231" s="2"/>
      <c r="I231" s="2"/>
      <c r="J231" s="2"/>
    </row>
    <row r="232" spans="1:10" x14ac:dyDescent="0.35">
      <c r="A232" s="2" t="s">
        <v>10</v>
      </c>
      <c r="B232" s="2" t="s">
        <v>180</v>
      </c>
      <c r="C232" s="2" t="s">
        <v>181</v>
      </c>
      <c r="D232" s="2" t="s">
        <v>237</v>
      </c>
      <c r="E232" s="2" t="s">
        <v>18</v>
      </c>
      <c r="F232" s="2" t="s">
        <v>19</v>
      </c>
      <c r="G232" s="2" t="s">
        <v>16</v>
      </c>
      <c r="H232" s="2" t="s">
        <v>239</v>
      </c>
      <c r="I232" s="2"/>
      <c r="J232" s="2"/>
    </row>
    <row r="233" spans="1:10" x14ac:dyDescent="0.35">
      <c r="A233" s="2" t="s">
        <v>10</v>
      </c>
      <c r="B233" s="2" t="s">
        <v>180</v>
      </c>
      <c r="C233" s="2" t="s">
        <v>181</v>
      </c>
      <c r="D233" s="2" t="s">
        <v>237</v>
      </c>
      <c r="E233" s="2" t="s">
        <v>100</v>
      </c>
      <c r="F233" s="2" t="s">
        <v>101</v>
      </c>
      <c r="G233" s="2"/>
      <c r="H233" s="2"/>
      <c r="I233" s="2"/>
      <c r="J233" s="2"/>
    </row>
    <row r="234" spans="1:10" x14ac:dyDescent="0.35">
      <c r="A234" s="2" t="s">
        <v>10</v>
      </c>
      <c r="B234" s="2" t="s">
        <v>180</v>
      </c>
      <c r="C234" s="2" t="s">
        <v>181</v>
      </c>
      <c r="D234" s="2" t="s">
        <v>237</v>
      </c>
      <c r="E234" s="2" t="s">
        <v>188</v>
      </c>
      <c r="F234" s="2" t="s">
        <v>189</v>
      </c>
      <c r="G234" s="2" t="s">
        <v>16</v>
      </c>
      <c r="H234" s="2" t="s">
        <v>240</v>
      </c>
      <c r="I234" s="2"/>
      <c r="J234" s="2"/>
    </row>
    <row r="235" spans="1:10" x14ac:dyDescent="0.35">
      <c r="A235" s="2" t="s">
        <v>10</v>
      </c>
      <c r="B235" s="2" t="s">
        <v>180</v>
      </c>
      <c r="C235" s="2" t="s">
        <v>181</v>
      </c>
      <c r="D235" s="2" t="s">
        <v>237</v>
      </c>
      <c r="E235" s="2" t="s">
        <v>61</v>
      </c>
      <c r="F235" s="2" t="s">
        <v>30</v>
      </c>
      <c r="G235" s="2"/>
      <c r="H235" s="2"/>
      <c r="I235" s="2"/>
      <c r="J235" s="2"/>
    </row>
    <row r="236" spans="1:10" x14ac:dyDescent="0.35">
      <c r="A236" s="2" t="s">
        <v>10</v>
      </c>
      <c r="B236" s="2" t="s">
        <v>180</v>
      </c>
      <c r="C236" s="2" t="s">
        <v>181</v>
      </c>
      <c r="D236" s="2" t="s">
        <v>237</v>
      </c>
      <c r="E236" s="2" t="s">
        <v>149</v>
      </c>
      <c r="F236" s="2" t="s">
        <v>150</v>
      </c>
      <c r="G236" s="2" t="s">
        <v>16</v>
      </c>
      <c r="H236" s="2" t="s">
        <v>241</v>
      </c>
      <c r="I236" s="2"/>
      <c r="J236" s="2"/>
    </row>
    <row r="237" spans="1:10" x14ac:dyDescent="0.35">
      <c r="A237" s="2" t="s">
        <v>10</v>
      </c>
      <c r="B237" s="2" t="s">
        <v>180</v>
      </c>
      <c r="C237" s="2" t="s">
        <v>181</v>
      </c>
      <c r="D237" s="2" t="s">
        <v>237</v>
      </c>
      <c r="E237" s="2" t="s">
        <v>207</v>
      </c>
      <c r="F237" s="2" t="s">
        <v>122</v>
      </c>
      <c r="G237" s="2"/>
      <c r="H237" s="2"/>
      <c r="I237" s="2"/>
      <c r="J237" s="2"/>
    </row>
    <row r="238" spans="1:10" x14ac:dyDescent="0.35">
      <c r="A238" s="2" t="s">
        <v>10</v>
      </c>
      <c r="B238" s="2" t="s">
        <v>180</v>
      </c>
      <c r="C238" s="2" t="s">
        <v>181</v>
      </c>
      <c r="D238" s="2" t="s">
        <v>237</v>
      </c>
      <c r="E238" s="2" t="s">
        <v>208</v>
      </c>
      <c r="F238" s="2" t="s">
        <v>65</v>
      </c>
      <c r="G238" s="2"/>
      <c r="H238" s="2"/>
      <c r="I238" s="2"/>
      <c r="J238" s="2"/>
    </row>
    <row r="239" spans="1:10" x14ac:dyDescent="0.35">
      <c r="A239" s="2" t="s">
        <v>10</v>
      </c>
      <c r="B239" s="2" t="s">
        <v>180</v>
      </c>
      <c r="C239" s="2" t="s">
        <v>12</v>
      </c>
      <c r="D239" s="2" t="s">
        <v>242</v>
      </c>
      <c r="E239" s="2" t="s">
        <v>168</v>
      </c>
      <c r="F239" s="2" t="s">
        <v>45</v>
      </c>
      <c r="G239" s="2" t="s">
        <v>46</v>
      </c>
      <c r="H239" s="2" t="s">
        <v>243</v>
      </c>
      <c r="I239" s="2"/>
      <c r="J239" s="2"/>
    </row>
    <row r="240" spans="1:10" x14ac:dyDescent="0.35">
      <c r="A240" s="2" t="s">
        <v>10</v>
      </c>
      <c r="B240" s="2" t="s">
        <v>180</v>
      </c>
      <c r="C240" s="2" t="s">
        <v>12</v>
      </c>
      <c r="D240" s="2" t="s">
        <v>242</v>
      </c>
      <c r="E240" s="2" t="s">
        <v>18</v>
      </c>
      <c r="F240" s="2" t="s">
        <v>19</v>
      </c>
      <c r="G240" s="2"/>
      <c r="H240" s="2"/>
      <c r="I240" s="2"/>
      <c r="J240" s="2"/>
    </row>
    <row r="241" spans="1:10" x14ac:dyDescent="0.35">
      <c r="A241" s="2" t="s">
        <v>10</v>
      </c>
      <c r="B241" s="2" t="s">
        <v>180</v>
      </c>
      <c r="C241" s="2" t="s">
        <v>12</v>
      </c>
      <c r="D241" s="2" t="s">
        <v>242</v>
      </c>
      <c r="E241" s="2" t="s">
        <v>188</v>
      </c>
      <c r="F241" s="2" t="s">
        <v>189</v>
      </c>
      <c r="G241" s="2" t="s">
        <v>46</v>
      </c>
      <c r="H241" s="2" t="s">
        <v>243</v>
      </c>
      <c r="I241" s="2"/>
      <c r="J241" s="2"/>
    </row>
    <row r="242" spans="1:10" x14ac:dyDescent="0.35">
      <c r="A242" s="2" t="s">
        <v>10</v>
      </c>
      <c r="B242" s="2" t="s">
        <v>180</v>
      </c>
      <c r="C242" s="2" t="s">
        <v>12</v>
      </c>
      <c r="D242" s="2" t="s">
        <v>242</v>
      </c>
      <c r="E242" s="2" t="s">
        <v>244</v>
      </c>
      <c r="F242" s="2" t="s">
        <v>65</v>
      </c>
      <c r="G242" s="2" t="s">
        <v>46</v>
      </c>
      <c r="H242" s="2" t="s">
        <v>243</v>
      </c>
      <c r="I242" s="2"/>
      <c r="J242" s="2"/>
    </row>
    <row r="243" spans="1:10" x14ac:dyDescent="0.35">
      <c r="A243" s="2" t="s">
        <v>10</v>
      </c>
      <c r="B243" s="2" t="s">
        <v>180</v>
      </c>
      <c r="C243" s="2" t="s">
        <v>181</v>
      </c>
      <c r="D243" s="2" t="s">
        <v>245</v>
      </c>
      <c r="E243" s="2" t="s">
        <v>246</v>
      </c>
      <c r="F243" s="2" t="s">
        <v>107</v>
      </c>
      <c r="G243" s="2" t="s">
        <v>20</v>
      </c>
      <c r="H243" s="2" t="s">
        <v>247</v>
      </c>
      <c r="I243" s="2"/>
      <c r="J243" s="2"/>
    </row>
    <row r="244" spans="1:10" x14ac:dyDescent="0.35">
      <c r="A244" s="2" t="s">
        <v>10</v>
      </c>
      <c r="B244" s="2" t="s">
        <v>180</v>
      </c>
      <c r="C244" s="2" t="s">
        <v>181</v>
      </c>
      <c r="D244" s="2" t="s">
        <v>245</v>
      </c>
      <c r="E244" s="2" t="s">
        <v>91</v>
      </c>
      <c r="F244" s="2" t="s">
        <v>19</v>
      </c>
      <c r="G244" s="2" t="s">
        <v>20</v>
      </c>
      <c r="H244" s="2" t="s">
        <v>248</v>
      </c>
      <c r="I244" s="2"/>
      <c r="J244" s="2"/>
    </row>
    <row r="245" spans="1:10" x14ac:dyDescent="0.35">
      <c r="A245" s="2" t="s">
        <v>10</v>
      </c>
      <c r="B245" s="2" t="s">
        <v>180</v>
      </c>
      <c r="C245" s="2" t="s">
        <v>181</v>
      </c>
      <c r="D245" s="2" t="s">
        <v>245</v>
      </c>
      <c r="E245" s="2" t="s">
        <v>51</v>
      </c>
      <c r="F245" s="2" t="s">
        <v>52</v>
      </c>
      <c r="G245" s="2" t="s">
        <v>20</v>
      </c>
      <c r="H245" s="2" t="s">
        <v>249</v>
      </c>
      <c r="I245" s="2"/>
      <c r="J245" s="2"/>
    </row>
    <row r="246" spans="1:10" x14ac:dyDescent="0.35">
      <c r="A246" s="2" t="s">
        <v>10</v>
      </c>
      <c r="B246" s="2" t="s">
        <v>180</v>
      </c>
      <c r="C246" s="2" t="s">
        <v>181</v>
      </c>
      <c r="D246" s="2" t="s">
        <v>245</v>
      </c>
      <c r="E246" s="2" t="s">
        <v>188</v>
      </c>
      <c r="F246" s="2" t="s">
        <v>189</v>
      </c>
      <c r="G246" s="2" t="s">
        <v>20</v>
      </c>
      <c r="H246" s="2" t="s">
        <v>250</v>
      </c>
      <c r="I246" s="2"/>
      <c r="J246" s="2"/>
    </row>
    <row r="247" spans="1:10" s="21" customFormat="1" x14ac:dyDescent="0.35">
      <c r="A247" s="2" t="s">
        <v>10</v>
      </c>
      <c r="B247" s="2" t="s">
        <v>180</v>
      </c>
      <c r="C247" s="2" t="s">
        <v>12</v>
      </c>
      <c r="D247" s="2" t="s">
        <v>251</v>
      </c>
      <c r="E247" s="2" t="s">
        <v>120</v>
      </c>
      <c r="F247" s="2" t="s">
        <v>32</v>
      </c>
      <c r="G247" s="2"/>
      <c r="H247" s="2"/>
      <c r="I247" s="2"/>
      <c r="J247" s="2"/>
    </row>
    <row r="248" spans="1:10" x14ac:dyDescent="0.35">
      <c r="A248" s="2" t="s">
        <v>10</v>
      </c>
      <c r="B248" s="2" t="s">
        <v>180</v>
      </c>
      <c r="C248" s="2" t="s">
        <v>12</v>
      </c>
      <c r="D248" s="2" t="s">
        <v>251</v>
      </c>
      <c r="E248" s="2" t="s">
        <v>38</v>
      </c>
      <c r="F248" s="2" t="s">
        <v>38</v>
      </c>
      <c r="G248" s="2"/>
      <c r="H248" s="2"/>
      <c r="I248" s="2"/>
      <c r="J248" s="2"/>
    </row>
    <row r="249" spans="1:10" x14ac:dyDescent="0.35">
      <c r="A249" s="2" t="s">
        <v>10</v>
      </c>
      <c r="B249" s="2" t="s">
        <v>180</v>
      </c>
      <c r="C249" s="2" t="s">
        <v>12</v>
      </c>
      <c r="D249" s="2" t="s">
        <v>251</v>
      </c>
      <c r="E249" s="2" t="s">
        <v>168</v>
      </c>
      <c r="F249" s="2" t="s">
        <v>45</v>
      </c>
      <c r="G249" s="2"/>
      <c r="H249" s="2"/>
      <c r="I249" s="2"/>
      <c r="J249" s="2"/>
    </row>
    <row r="250" spans="1:10" x14ac:dyDescent="0.35">
      <c r="A250" s="2" t="s">
        <v>10</v>
      </c>
      <c r="B250" s="2" t="s">
        <v>180</v>
      </c>
      <c r="C250" s="2" t="s">
        <v>12</v>
      </c>
      <c r="D250" s="2" t="s">
        <v>251</v>
      </c>
      <c r="E250" s="2" t="s">
        <v>39</v>
      </c>
      <c r="F250" s="2" t="s">
        <v>40</v>
      </c>
      <c r="G250" s="2"/>
      <c r="H250" s="2"/>
      <c r="I250" s="2"/>
      <c r="J250" s="2"/>
    </row>
    <row r="251" spans="1:10" x14ac:dyDescent="0.35">
      <c r="A251" s="2" t="s">
        <v>10</v>
      </c>
      <c r="B251" s="2" t="s">
        <v>180</v>
      </c>
      <c r="C251" s="2" t="s">
        <v>12</v>
      </c>
      <c r="D251" s="2" t="s">
        <v>251</v>
      </c>
      <c r="E251" s="2" t="s">
        <v>18</v>
      </c>
      <c r="F251" s="2" t="s">
        <v>19</v>
      </c>
      <c r="G251" s="2"/>
      <c r="H251" s="2"/>
      <c r="I251" s="2"/>
      <c r="J251" s="2"/>
    </row>
    <row r="252" spans="1:10" x14ac:dyDescent="0.35">
      <c r="A252" s="2" t="s">
        <v>10</v>
      </c>
      <c r="B252" s="2" t="s">
        <v>180</v>
      </c>
      <c r="C252" s="2" t="s">
        <v>12</v>
      </c>
      <c r="D252" s="2" t="s">
        <v>251</v>
      </c>
      <c r="E252" s="2" t="s">
        <v>188</v>
      </c>
      <c r="F252" s="2" t="s">
        <v>189</v>
      </c>
      <c r="G252" s="2"/>
      <c r="H252" s="2"/>
      <c r="I252" s="2"/>
      <c r="J252" s="2"/>
    </row>
    <row r="253" spans="1:10" x14ac:dyDescent="0.35">
      <c r="A253" s="2" t="s">
        <v>10</v>
      </c>
      <c r="B253" s="2" t="s">
        <v>180</v>
      </c>
      <c r="C253" s="2" t="s">
        <v>12</v>
      </c>
      <c r="D253" s="2" t="s">
        <v>251</v>
      </c>
      <c r="E253" s="2" t="s">
        <v>116</v>
      </c>
      <c r="F253" s="2" t="s">
        <v>30</v>
      </c>
      <c r="G253" s="2"/>
      <c r="H253" s="2"/>
      <c r="I253" s="2"/>
      <c r="J253" s="2"/>
    </row>
    <row r="254" spans="1:10" x14ac:dyDescent="0.35">
      <c r="A254" s="2" t="s">
        <v>10</v>
      </c>
      <c r="B254" s="2" t="s">
        <v>180</v>
      </c>
      <c r="C254" s="2" t="s">
        <v>181</v>
      </c>
      <c r="D254" s="2" t="s">
        <v>252</v>
      </c>
      <c r="E254" s="2" t="s">
        <v>196</v>
      </c>
      <c r="F254" s="2" t="s">
        <v>197</v>
      </c>
      <c r="G254" s="2"/>
      <c r="H254" s="2"/>
      <c r="I254" s="2"/>
      <c r="J254" s="2"/>
    </row>
    <row r="255" spans="1:10" x14ac:dyDescent="0.35">
      <c r="A255" s="2" t="s">
        <v>10</v>
      </c>
      <c r="B255" s="2" t="s">
        <v>180</v>
      </c>
      <c r="C255" s="2" t="s">
        <v>181</v>
      </c>
      <c r="D255" s="2" t="s">
        <v>252</v>
      </c>
      <c r="E255" s="2" t="s">
        <v>253</v>
      </c>
      <c r="F255" s="2" t="s">
        <v>32</v>
      </c>
      <c r="G255" s="2"/>
      <c r="H255" s="2"/>
      <c r="I255" s="2"/>
      <c r="J255" s="2"/>
    </row>
    <row r="256" spans="1:10" x14ac:dyDescent="0.35">
      <c r="A256" s="2" t="s">
        <v>10</v>
      </c>
      <c r="B256" s="2" t="s">
        <v>180</v>
      </c>
      <c r="C256" s="2" t="s">
        <v>181</v>
      </c>
      <c r="D256" s="2" t="s">
        <v>252</v>
      </c>
      <c r="E256" s="2" t="s">
        <v>31</v>
      </c>
      <c r="F256" s="2" t="s">
        <v>32</v>
      </c>
      <c r="G256" s="2"/>
      <c r="H256" s="2"/>
      <c r="I256" s="2"/>
      <c r="J256" s="2"/>
    </row>
    <row r="257" spans="1:10" x14ac:dyDescent="0.35">
      <c r="A257" s="2" t="s">
        <v>10</v>
      </c>
      <c r="B257" s="2" t="s">
        <v>180</v>
      </c>
      <c r="C257" s="2" t="s">
        <v>181</v>
      </c>
      <c r="D257" s="2" t="s">
        <v>252</v>
      </c>
      <c r="E257" s="2" t="s">
        <v>200</v>
      </c>
      <c r="F257" s="2" t="s">
        <v>201</v>
      </c>
      <c r="G257" s="2"/>
      <c r="H257" s="2"/>
      <c r="I257" s="2"/>
      <c r="J257" s="2"/>
    </row>
    <row r="258" spans="1:10" x14ac:dyDescent="0.35">
      <c r="A258" s="2" t="s">
        <v>10</v>
      </c>
      <c r="B258" s="2" t="s">
        <v>180</v>
      </c>
      <c r="C258" s="2" t="s">
        <v>181</v>
      </c>
      <c r="D258" s="2" t="s">
        <v>252</v>
      </c>
      <c r="E258" s="2" t="s">
        <v>98</v>
      </c>
      <c r="F258" s="2" t="s">
        <v>98</v>
      </c>
      <c r="G258" s="2"/>
      <c r="H258" s="2"/>
      <c r="I258" s="2"/>
      <c r="J258" s="2"/>
    </row>
    <row r="259" spans="1:10" x14ac:dyDescent="0.35">
      <c r="A259" s="2" t="s">
        <v>10</v>
      </c>
      <c r="B259" s="2" t="s">
        <v>180</v>
      </c>
      <c r="C259" s="2" t="s">
        <v>181</v>
      </c>
      <c r="D259" s="2" t="s">
        <v>252</v>
      </c>
      <c r="E259" s="2" t="s">
        <v>211</v>
      </c>
      <c r="F259" s="2" t="s">
        <v>203</v>
      </c>
      <c r="G259" s="2"/>
      <c r="H259" s="2"/>
      <c r="I259" s="2"/>
      <c r="J259" s="2"/>
    </row>
    <row r="260" spans="1:10" x14ac:dyDescent="0.35">
      <c r="A260" s="2" t="s">
        <v>10</v>
      </c>
      <c r="B260" s="2" t="s">
        <v>180</v>
      </c>
      <c r="C260" s="2" t="s">
        <v>181</v>
      </c>
      <c r="D260" s="2" t="s">
        <v>252</v>
      </c>
      <c r="E260" s="2" t="s">
        <v>213</v>
      </c>
      <c r="F260" s="2" t="s">
        <v>45</v>
      </c>
      <c r="G260" s="2"/>
      <c r="H260" s="2"/>
      <c r="I260" s="2"/>
      <c r="J260" s="2"/>
    </row>
    <row r="261" spans="1:10" x14ac:dyDescent="0.35">
      <c r="A261" s="2" t="s">
        <v>10</v>
      </c>
      <c r="B261" s="2" t="s">
        <v>180</v>
      </c>
      <c r="C261" s="2" t="s">
        <v>181</v>
      </c>
      <c r="D261" s="2" t="s">
        <v>252</v>
      </c>
      <c r="E261" s="2" t="s">
        <v>156</v>
      </c>
      <c r="F261" s="2" t="s">
        <v>45</v>
      </c>
      <c r="G261" s="2" t="s">
        <v>16</v>
      </c>
      <c r="H261" s="2" t="s">
        <v>254</v>
      </c>
      <c r="I261" s="2"/>
      <c r="J261" s="2"/>
    </row>
    <row r="262" spans="1:10" x14ac:dyDescent="0.35">
      <c r="A262" s="2" t="s">
        <v>10</v>
      </c>
      <c r="B262" s="2" t="s">
        <v>180</v>
      </c>
      <c r="C262" s="2" t="s">
        <v>181</v>
      </c>
      <c r="D262" s="2" t="s">
        <v>252</v>
      </c>
      <c r="E262" s="2" t="s">
        <v>51</v>
      </c>
      <c r="F262" s="2" t="s">
        <v>52</v>
      </c>
      <c r="G262" s="2"/>
      <c r="H262" s="2"/>
      <c r="I262" s="2"/>
      <c r="J262" s="2"/>
    </row>
    <row r="263" spans="1:10" x14ac:dyDescent="0.35">
      <c r="A263" s="2" t="s">
        <v>10</v>
      </c>
      <c r="B263" s="2" t="s">
        <v>180</v>
      </c>
      <c r="C263" s="2" t="s">
        <v>181</v>
      </c>
      <c r="D263" s="2" t="s">
        <v>252</v>
      </c>
      <c r="E263" s="2" t="s">
        <v>18</v>
      </c>
      <c r="F263" s="2" t="s">
        <v>19</v>
      </c>
      <c r="G263" s="2" t="s">
        <v>16</v>
      </c>
      <c r="H263" s="2" t="s">
        <v>255</v>
      </c>
      <c r="I263" s="2"/>
      <c r="J263" s="2"/>
    </row>
    <row r="264" spans="1:10" x14ac:dyDescent="0.35">
      <c r="A264" s="2" t="s">
        <v>10</v>
      </c>
      <c r="B264" s="2" t="s">
        <v>180</v>
      </c>
      <c r="C264" s="2" t="s">
        <v>181</v>
      </c>
      <c r="D264" s="2" t="s">
        <v>252</v>
      </c>
      <c r="E264" s="2" t="s">
        <v>61</v>
      </c>
      <c r="F264" s="2" t="s">
        <v>30</v>
      </c>
      <c r="G264" s="2"/>
      <c r="H264" s="2"/>
      <c r="I264" s="2"/>
      <c r="J264" s="2"/>
    </row>
    <row r="265" spans="1:10" x14ac:dyDescent="0.35">
      <c r="A265" s="2" t="s">
        <v>10</v>
      </c>
      <c r="B265" s="2" t="s">
        <v>180</v>
      </c>
      <c r="C265" s="2" t="s">
        <v>181</v>
      </c>
      <c r="D265" s="2" t="s">
        <v>252</v>
      </c>
      <c r="E265" s="2" t="s">
        <v>100</v>
      </c>
      <c r="F265" s="2" t="s">
        <v>101</v>
      </c>
      <c r="G265" s="2"/>
      <c r="H265" s="2"/>
      <c r="I265" s="2"/>
      <c r="J265" s="2"/>
    </row>
    <row r="266" spans="1:10" x14ac:dyDescent="0.35">
      <c r="A266" s="2" t="s">
        <v>10</v>
      </c>
      <c r="B266" s="2" t="s">
        <v>180</v>
      </c>
      <c r="C266" s="2" t="s">
        <v>181</v>
      </c>
      <c r="D266" s="2" t="s">
        <v>252</v>
      </c>
      <c r="E266" s="2" t="s">
        <v>188</v>
      </c>
      <c r="F266" s="2" t="s">
        <v>189</v>
      </c>
      <c r="G266" s="2"/>
      <c r="H266" s="2"/>
      <c r="I266" s="2"/>
      <c r="J266" s="2"/>
    </row>
    <row r="267" spans="1:10" x14ac:dyDescent="0.35">
      <c r="A267" s="2" t="s">
        <v>10</v>
      </c>
      <c r="B267" s="2" t="s">
        <v>180</v>
      </c>
      <c r="C267" s="2" t="s">
        <v>181</v>
      </c>
      <c r="D267" s="2" t="s">
        <v>252</v>
      </c>
      <c r="E267" s="2" t="s">
        <v>149</v>
      </c>
      <c r="F267" s="2" t="s">
        <v>150</v>
      </c>
      <c r="G267" s="2"/>
      <c r="H267" s="2"/>
      <c r="I267" s="2"/>
      <c r="J267" s="2"/>
    </row>
    <row r="268" spans="1:10" x14ac:dyDescent="0.35">
      <c r="A268" s="2" t="s">
        <v>10</v>
      </c>
      <c r="B268" s="2" t="s">
        <v>180</v>
      </c>
      <c r="C268" s="2" t="s">
        <v>181</v>
      </c>
      <c r="D268" s="2" t="s">
        <v>252</v>
      </c>
      <c r="E268" s="2" t="s">
        <v>207</v>
      </c>
      <c r="F268" s="2" t="s">
        <v>122</v>
      </c>
      <c r="G268" s="2"/>
      <c r="H268" s="2"/>
      <c r="I268" s="2"/>
      <c r="J268" s="2"/>
    </row>
    <row r="269" spans="1:10" x14ac:dyDescent="0.35">
      <c r="A269" s="2" t="s">
        <v>10</v>
      </c>
      <c r="B269" s="2" t="s">
        <v>180</v>
      </c>
      <c r="C269" s="2" t="s">
        <v>181</v>
      </c>
      <c r="D269" s="2" t="s">
        <v>252</v>
      </c>
      <c r="E269" s="2" t="s">
        <v>193</v>
      </c>
      <c r="F269" s="2" t="s">
        <v>40</v>
      </c>
      <c r="G269" s="2"/>
      <c r="H269" s="2"/>
      <c r="I269" s="2"/>
      <c r="J269" s="2"/>
    </row>
    <row r="270" spans="1:10" x14ac:dyDescent="0.35">
      <c r="A270" s="2" t="s">
        <v>10</v>
      </c>
      <c r="B270" s="2" t="s">
        <v>180</v>
      </c>
      <c r="C270" s="2" t="s">
        <v>181</v>
      </c>
      <c r="D270" s="2" t="s">
        <v>252</v>
      </c>
      <c r="E270" s="2" t="s">
        <v>208</v>
      </c>
      <c r="F270" s="2" t="s">
        <v>65</v>
      </c>
      <c r="G270" s="2"/>
      <c r="H270" s="2"/>
      <c r="I270" s="2"/>
      <c r="J270" s="2"/>
    </row>
    <row r="271" spans="1:10" x14ac:dyDescent="0.35">
      <c r="A271" s="2" t="s">
        <v>10</v>
      </c>
      <c r="B271" s="2" t="s">
        <v>180</v>
      </c>
      <c r="C271" s="2" t="s">
        <v>181</v>
      </c>
      <c r="D271" s="2" t="s">
        <v>252</v>
      </c>
      <c r="E271" s="2" t="s">
        <v>44</v>
      </c>
      <c r="F271" s="2" t="s">
        <v>45</v>
      </c>
      <c r="G271" s="2"/>
      <c r="H271" s="2"/>
      <c r="I271" s="2"/>
      <c r="J271" s="2"/>
    </row>
    <row r="272" spans="1:10" x14ac:dyDescent="0.35">
      <c r="A272" s="2" t="s">
        <v>10</v>
      </c>
      <c r="B272" s="2" t="s">
        <v>180</v>
      </c>
      <c r="C272" s="2" t="s">
        <v>181</v>
      </c>
      <c r="D272" s="2" t="s">
        <v>256</v>
      </c>
      <c r="E272" s="2" t="s">
        <v>82</v>
      </c>
      <c r="F272" s="2" t="s">
        <v>83</v>
      </c>
      <c r="G272" s="2"/>
      <c r="H272" s="2"/>
      <c r="I272" s="2"/>
      <c r="J272" s="2"/>
    </row>
    <row r="273" spans="1:10" x14ac:dyDescent="0.35">
      <c r="A273" s="2" t="s">
        <v>10</v>
      </c>
      <c r="B273" s="2" t="s">
        <v>180</v>
      </c>
      <c r="C273" s="2" t="s">
        <v>181</v>
      </c>
      <c r="D273" s="2" t="s">
        <v>256</v>
      </c>
      <c r="E273" s="2" t="s">
        <v>156</v>
      </c>
      <c r="F273" s="2" t="s">
        <v>45</v>
      </c>
      <c r="G273" s="2"/>
      <c r="H273" s="2"/>
      <c r="I273" s="2"/>
      <c r="J273" s="2"/>
    </row>
    <row r="274" spans="1:10" x14ac:dyDescent="0.35">
      <c r="A274" s="2" t="s">
        <v>10</v>
      </c>
      <c r="B274" s="2" t="s">
        <v>180</v>
      </c>
      <c r="C274" s="2" t="s">
        <v>181</v>
      </c>
      <c r="D274" s="2" t="s">
        <v>256</v>
      </c>
      <c r="E274" s="2" t="s">
        <v>257</v>
      </c>
      <c r="F274" s="2" t="s">
        <v>45</v>
      </c>
      <c r="G274" s="2"/>
      <c r="H274" s="2"/>
      <c r="I274" s="2"/>
      <c r="J274" s="2"/>
    </row>
    <row r="275" spans="1:10" x14ac:dyDescent="0.35">
      <c r="A275" s="2" t="s">
        <v>10</v>
      </c>
      <c r="B275" s="2" t="s">
        <v>180</v>
      </c>
      <c r="C275" s="2" t="s">
        <v>181</v>
      </c>
      <c r="D275" s="2" t="s">
        <v>256</v>
      </c>
      <c r="E275" s="2" t="s">
        <v>258</v>
      </c>
      <c r="F275" s="2" t="s">
        <v>259</v>
      </c>
      <c r="G275" s="2"/>
      <c r="H275" s="2"/>
      <c r="I275" s="2"/>
      <c r="J275" s="2"/>
    </row>
    <row r="276" spans="1:10" x14ac:dyDescent="0.35">
      <c r="A276" s="2" t="s">
        <v>10</v>
      </c>
      <c r="B276" s="2" t="s">
        <v>180</v>
      </c>
      <c r="C276" s="2" t="s">
        <v>181</v>
      </c>
      <c r="D276" s="2" t="s">
        <v>256</v>
      </c>
      <c r="E276" s="2" t="s">
        <v>18</v>
      </c>
      <c r="F276" s="2" t="s">
        <v>19</v>
      </c>
      <c r="G276" s="2" t="s">
        <v>16</v>
      </c>
      <c r="H276" s="2" t="s">
        <v>260</v>
      </c>
      <c r="I276" s="2"/>
      <c r="J276" s="2"/>
    </row>
    <row r="277" spans="1:10" x14ac:dyDescent="0.35">
      <c r="A277" s="2" t="s">
        <v>10</v>
      </c>
      <c r="B277" s="2" t="s">
        <v>180</v>
      </c>
      <c r="C277" s="2" t="s">
        <v>181</v>
      </c>
      <c r="D277" s="2" t="s">
        <v>256</v>
      </c>
      <c r="E277" s="2" t="s">
        <v>85</v>
      </c>
      <c r="F277" s="2" t="s">
        <v>85</v>
      </c>
      <c r="G277" s="2"/>
      <c r="H277" s="2"/>
      <c r="I277" s="2"/>
      <c r="J277" s="2"/>
    </row>
    <row r="278" spans="1:10" x14ac:dyDescent="0.35">
      <c r="A278" s="2" t="s">
        <v>10</v>
      </c>
      <c r="B278" s="2" t="s">
        <v>180</v>
      </c>
      <c r="C278" s="2" t="s">
        <v>181</v>
      </c>
      <c r="D278" s="2" t="s">
        <v>256</v>
      </c>
      <c r="E278" s="2" t="s">
        <v>100</v>
      </c>
      <c r="F278" s="2" t="s">
        <v>101</v>
      </c>
      <c r="G278" s="2"/>
      <c r="H278" s="2"/>
      <c r="I278" s="2"/>
      <c r="J278" s="2"/>
    </row>
    <row r="279" spans="1:10" x14ac:dyDescent="0.35">
      <c r="A279" s="2" t="s">
        <v>10</v>
      </c>
      <c r="B279" s="2" t="s">
        <v>180</v>
      </c>
      <c r="C279" s="2" t="s">
        <v>181</v>
      </c>
      <c r="D279" s="2" t="s">
        <v>256</v>
      </c>
      <c r="E279" s="2" t="s">
        <v>188</v>
      </c>
      <c r="F279" s="2" t="s">
        <v>189</v>
      </c>
      <c r="G279" s="2"/>
      <c r="H279" s="2"/>
      <c r="I279" s="2"/>
      <c r="J279" s="2"/>
    </row>
    <row r="280" spans="1:10" x14ac:dyDescent="0.35">
      <c r="A280" s="2" t="s">
        <v>10</v>
      </c>
      <c r="B280" s="2" t="s">
        <v>180</v>
      </c>
      <c r="C280" s="2" t="s">
        <v>181</v>
      </c>
      <c r="D280" s="2" t="s">
        <v>256</v>
      </c>
      <c r="E280" s="2" t="s">
        <v>193</v>
      </c>
      <c r="F280" s="2" t="s">
        <v>40</v>
      </c>
      <c r="G280" s="2" t="s">
        <v>16</v>
      </c>
      <c r="H280" s="2" t="s">
        <v>261</v>
      </c>
      <c r="I280" s="2"/>
      <c r="J280" s="2"/>
    </row>
    <row r="281" spans="1:10" x14ac:dyDescent="0.35">
      <c r="A281" s="2" t="s">
        <v>10</v>
      </c>
      <c r="B281" s="2" t="s">
        <v>180</v>
      </c>
      <c r="C281" s="2" t="s">
        <v>12</v>
      </c>
      <c r="D281" s="2" t="s">
        <v>262</v>
      </c>
      <c r="E281" s="2" t="s">
        <v>64</v>
      </c>
      <c r="F281" s="2" t="s">
        <v>65</v>
      </c>
      <c r="G281" s="2"/>
      <c r="H281" s="2"/>
      <c r="I281" s="2"/>
      <c r="J281" s="2"/>
    </row>
    <row r="282" spans="1:10" x14ac:dyDescent="0.35">
      <c r="A282" s="2" t="s">
        <v>10</v>
      </c>
      <c r="B282" s="2" t="s">
        <v>180</v>
      </c>
      <c r="C282" s="2" t="s">
        <v>12</v>
      </c>
      <c r="D282" s="2" t="s">
        <v>262</v>
      </c>
      <c r="E282" s="2" t="s">
        <v>18</v>
      </c>
      <c r="F282" s="2" t="s">
        <v>19</v>
      </c>
      <c r="G282" s="2" t="s">
        <v>16</v>
      </c>
      <c r="H282" s="2" t="s">
        <v>263</v>
      </c>
      <c r="I282" s="2"/>
      <c r="J282" s="2"/>
    </row>
    <row r="283" spans="1:10" x14ac:dyDescent="0.35">
      <c r="A283" s="2" t="s">
        <v>10</v>
      </c>
      <c r="B283" s="2" t="s">
        <v>180</v>
      </c>
      <c r="C283" s="2" t="s">
        <v>12</v>
      </c>
      <c r="D283" s="2" t="s">
        <v>262</v>
      </c>
      <c r="E283" s="2" t="s">
        <v>149</v>
      </c>
      <c r="F283" s="2" t="s">
        <v>150</v>
      </c>
      <c r="G283" s="2"/>
      <c r="H283" s="2"/>
      <c r="I283" s="2"/>
      <c r="J283" s="2"/>
    </row>
    <row r="284" spans="1:10" x14ac:dyDescent="0.35">
      <c r="A284" s="2" t="s">
        <v>10</v>
      </c>
      <c r="B284" s="2" t="s">
        <v>180</v>
      </c>
      <c r="C284" s="2" t="s">
        <v>12</v>
      </c>
      <c r="D284" s="2" t="s">
        <v>264</v>
      </c>
      <c r="E284" s="2" t="s">
        <v>14</v>
      </c>
      <c r="F284" s="2" t="s">
        <v>15</v>
      </c>
      <c r="G284" s="2"/>
      <c r="H284" s="2"/>
      <c r="I284" s="2"/>
      <c r="J284" s="2"/>
    </row>
    <row r="285" spans="1:10" x14ac:dyDescent="0.35">
      <c r="A285" s="2" t="s">
        <v>10</v>
      </c>
      <c r="B285" s="2" t="s">
        <v>180</v>
      </c>
      <c r="C285" s="2" t="s">
        <v>12</v>
      </c>
      <c r="D285" s="2" t="s">
        <v>264</v>
      </c>
      <c r="E285" s="2" t="s">
        <v>64</v>
      </c>
      <c r="F285" s="2" t="s">
        <v>65</v>
      </c>
      <c r="G285" s="2" t="s">
        <v>16</v>
      </c>
      <c r="H285" s="2" t="s">
        <v>265</v>
      </c>
      <c r="I285" s="2"/>
      <c r="J285" s="2"/>
    </row>
    <row r="286" spans="1:10" x14ac:dyDescent="0.35">
      <c r="A286" s="2" t="s">
        <v>10</v>
      </c>
      <c r="B286" s="2" t="s">
        <v>180</v>
      </c>
      <c r="C286" s="2" t="s">
        <v>12</v>
      </c>
      <c r="D286" s="2" t="s">
        <v>264</v>
      </c>
      <c r="E286" s="2" t="s">
        <v>18</v>
      </c>
      <c r="F286" s="2" t="s">
        <v>19</v>
      </c>
      <c r="G286" s="2" t="s">
        <v>16</v>
      </c>
      <c r="H286" s="2" t="s">
        <v>266</v>
      </c>
      <c r="I286" s="2"/>
      <c r="J286" s="2"/>
    </row>
    <row r="287" spans="1:10" x14ac:dyDescent="0.35">
      <c r="A287" s="2" t="s">
        <v>10</v>
      </c>
      <c r="B287" s="2" t="s">
        <v>180</v>
      </c>
      <c r="C287" s="2" t="s">
        <v>12</v>
      </c>
      <c r="D287" s="2" t="s">
        <v>264</v>
      </c>
      <c r="E287" s="2" t="s">
        <v>149</v>
      </c>
      <c r="F287" s="2" t="s">
        <v>150</v>
      </c>
      <c r="G287" s="2"/>
      <c r="H287" s="2"/>
      <c r="I287" s="2"/>
      <c r="J287" s="2"/>
    </row>
    <row r="288" spans="1:10" s="21" customFormat="1" x14ac:dyDescent="0.35">
      <c r="A288" s="2" t="s">
        <v>10</v>
      </c>
      <c r="B288" s="2" t="s">
        <v>180</v>
      </c>
      <c r="C288" s="2" t="s">
        <v>181</v>
      </c>
      <c r="D288" s="2" t="s">
        <v>267</v>
      </c>
      <c r="E288" s="2" t="s">
        <v>14</v>
      </c>
      <c r="F288" s="2" t="s">
        <v>15</v>
      </c>
      <c r="G288" s="2"/>
      <c r="H288" s="2"/>
      <c r="I288" s="2"/>
      <c r="J288" s="2"/>
    </row>
    <row r="289" spans="1:10" s="21" customFormat="1" x14ac:dyDescent="0.35">
      <c r="A289" s="2" t="s">
        <v>10</v>
      </c>
      <c r="B289" s="2" t="s">
        <v>180</v>
      </c>
      <c r="C289" s="2" t="s">
        <v>181</v>
      </c>
      <c r="D289" s="2" t="s">
        <v>267</v>
      </c>
      <c r="E289" s="2" t="s">
        <v>121</v>
      </c>
      <c r="F289" s="2" t="s">
        <v>122</v>
      </c>
      <c r="G289" s="2"/>
      <c r="H289" s="2"/>
      <c r="I289" s="2"/>
      <c r="J289" s="2"/>
    </row>
    <row r="290" spans="1:10" s="21" customFormat="1" x14ac:dyDescent="0.35">
      <c r="A290" s="2" t="s">
        <v>10</v>
      </c>
      <c r="B290" s="2" t="s">
        <v>180</v>
      </c>
      <c r="C290" s="2" t="s">
        <v>181</v>
      </c>
      <c r="D290" s="2" t="s">
        <v>267</v>
      </c>
      <c r="E290" s="2" t="s">
        <v>213</v>
      </c>
      <c r="F290" s="2" t="s">
        <v>45</v>
      </c>
      <c r="G290" s="2"/>
      <c r="H290" s="2"/>
      <c r="I290" s="2"/>
      <c r="J290" s="2"/>
    </row>
    <row r="291" spans="1:10" x14ac:dyDescent="0.35">
      <c r="A291" s="2" t="s">
        <v>10</v>
      </c>
      <c r="B291" s="2" t="s">
        <v>180</v>
      </c>
      <c r="C291" s="2" t="s">
        <v>62</v>
      </c>
      <c r="D291" s="2" t="s">
        <v>268</v>
      </c>
      <c r="E291" s="2" t="s">
        <v>269</v>
      </c>
      <c r="F291" s="2" t="s">
        <v>270</v>
      </c>
      <c r="G291" s="2" t="s">
        <v>46</v>
      </c>
      <c r="H291" s="2" t="s">
        <v>271</v>
      </c>
      <c r="I291" s="2"/>
      <c r="J291" s="2"/>
    </row>
    <row r="292" spans="1:10" x14ac:dyDescent="0.35">
      <c r="A292" s="2" t="s">
        <v>10</v>
      </c>
      <c r="B292" s="2" t="s">
        <v>180</v>
      </c>
      <c r="C292" s="2" t="s">
        <v>62</v>
      </c>
      <c r="D292" s="2" t="s">
        <v>268</v>
      </c>
      <c r="E292" s="2" t="s">
        <v>91</v>
      </c>
      <c r="F292" s="2" t="s">
        <v>19</v>
      </c>
      <c r="G292" s="2" t="s">
        <v>46</v>
      </c>
      <c r="H292" s="2" t="s">
        <v>271</v>
      </c>
      <c r="I292" s="2"/>
      <c r="J292" s="2"/>
    </row>
    <row r="293" spans="1:10" x14ac:dyDescent="0.35">
      <c r="A293" s="2" t="s">
        <v>10</v>
      </c>
      <c r="B293" s="2" t="s">
        <v>180</v>
      </c>
      <c r="C293" s="2" t="s">
        <v>62</v>
      </c>
      <c r="D293" s="2" t="s">
        <v>268</v>
      </c>
      <c r="E293" s="2" t="s">
        <v>127</v>
      </c>
      <c r="F293" s="2" t="s">
        <v>107</v>
      </c>
      <c r="G293" s="2" t="s">
        <v>46</v>
      </c>
      <c r="H293" s="2" t="s">
        <v>271</v>
      </c>
      <c r="I293" s="2"/>
      <c r="J293" s="2"/>
    </row>
    <row r="294" spans="1:10" x14ac:dyDescent="0.35">
      <c r="A294" s="2" t="s">
        <v>10</v>
      </c>
      <c r="B294" s="2" t="s">
        <v>272</v>
      </c>
      <c r="C294" s="2" t="s">
        <v>24</v>
      </c>
      <c r="D294" s="2" t="s">
        <v>273</v>
      </c>
      <c r="E294" s="2" t="s">
        <v>18</v>
      </c>
      <c r="F294" s="2" t="s">
        <v>19</v>
      </c>
      <c r="G294" s="2" t="s">
        <v>16</v>
      </c>
      <c r="H294" s="2" t="s">
        <v>274</v>
      </c>
      <c r="I294" s="2" t="s">
        <v>16</v>
      </c>
      <c r="J294" s="2" t="s">
        <v>275</v>
      </c>
    </row>
    <row r="295" spans="1:10" x14ac:dyDescent="0.35">
      <c r="A295" s="2" t="s">
        <v>10</v>
      </c>
      <c r="B295" s="2" t="s">
        <v>272</v>
      </c>
      <c r="C295" s="2" t="s">
        <v>24</v>
      </c>
      <c r="D295" s="2" t="s">
        <v>273</v>
      </c>
      <c r="E295" s="2" t="s">
        <v>100</v>
      </c>
      <c r="F295" s="2" t="s">
        <v>101</v>
      </c>
      <c r="G295" s="2"/>
      <c r="H295" s="2"/>
      <c r="I295" s="2"/>
      <c r="J295" s="2"/>
    </row>
    <row r="296" spans="1:10" x14ac:dyDescent="0.35">
      <c r="A296" s="2" t="s">
        <v>10</v>
      </c>
      <c r="B296" s="2" t="s">
        <v>272</v>
      </c>
      <c r="C296" s="2" t="s">
        <v>24</v>
      </c>
      <c r="D296" s="2" t="s">
        <v>273</v>
      </c>
      <c r="E296" s="2" t="s">
        <v>276</v>
      </c>
      <c r="F296" s="2" t="s">
        <v>277</v>
      </c>
      <c r="G296" s="2"/>
      <c r="H296" s="2"/>
      <c r="I296" s="2" t="s">
        <v>16</v>
      </c>
      <c r="J296" s="2" t="s">
        <v>275</v>
      </c>
    </row>
    <row r="297" spans="1:10" x14ac:dyDescent="0.35">
      <c r="A297" s="2" t="s">
        <v>10</v>
      </c>
      <c r="B297" s="2" t="s">
        <v>272</v>
      </c>
      <c r="C297" s="2" t="s">
        <v>24</v>
      </c>
      <c r="D297" s="2" t="s">
        <v>273</v>
      </c>
      <c r="E297" s="2" t="s">
        <v>278</v>
      </c>
      <c r="F297" s="2" t="s">
        <v>45</v>
      </c>
      <c r="G297" s="2"/>
      <c r="H297" s="2"/>
      <c r="I297" s="2" t="s">
        <v>16</v>
      </c>
      <c r="J297" s="2" t="s">
        <v>275</v>
      </c>
    </row>
    <row r="298" spans="1:10" s="21" customFormat="1" x14ac:dyDescent="0.35">
      <c r="A298" s="2" t="s">
        <v>10</v>
      </c>
      <c r="B298" s="2" t="s">
        <v>272</v>
      </c>
      <c r="C298" s="2" t="s">
        <v>62</v>
      </c>
      <c r="D298" s="2" t="s">
        <v>279</v>
      </c>
      <c r="E298" s="2" t="s">
        <v>106</v>
      </c>
      <c r="F298" s="2" t="s">
        <v>107</v>
      </c>
      <c r="G298" s="2"/>
      <c r="H298" s="2"/>
      <c r="I298" s="2"/>
      <c r="J298" s="2"/>
    </row>
    <row r="299" spans="1:10" s="19" customFormat="1" x14ac:dyDescent="0.35">
      <c r="A299" s="2" t="s">
        <v>10</v>
      </c>
      <c r="B299" s="2" t="s">
        <v>280</v>
      </c>
      <c r="C299" s="2" t="s">
        <v>12</v>
      </c>
      <c r="D299" s="2" t="s">
        <v>281</v>
      </c>
      <c r="E299" s="2" t="s">
        <v>172</v>
      </c>
      <c r="F299" s="2" t="s">
        <v>65</v>
      </c>
      <c r="G299" s="2" t="s">
        <v>20</v>
      </c>
      <c r="H299" s="2" t="s">
        <v>282</v>
      </c>
      <c r="I299" s="2" t="s">
        <v>16</v>
      </c>
      <c r="J299" s="2" t="s">
        <v>95</v>
      </c>
    </row>
    <row r="300" spans="1:10" s="19" customFormat="1" x14ac:dyDescent="0.35">
      <c r="A300" s="2" t="s">
        <v>10</v>
      </c>
      <c r="B300" s="2" t="s">
        <v>280</v>
      </c>
      <c r="C300" s="2" t="s">
        <v>12</v>
      </c>
      <c r="D300" s="2" t="s">
        <v>281</v>
      </c>
      <c r="E300" s="2" t="s">
        <v>89</v>
      </c>
      <c r="F300" s="2" t="s">
        <v>45</v>
      </c>
      <c r="G300" s="2" t="s">
        <v>20</v>
      </c>
      <c r="H300" s="2" t="s">
        <v>283</v>
      </c>
      <c r="I300" s="2" t="s">
        <v>16</v>
      </c>
      <c r="J300" s="2" t="s">
        <v>81</v>
      </c>
    </row>
    <row r="301" spans="1:10" x14ac:dyDescent="0.35">
      <c r="A301" s="2" t="s">
        <v>10</v>
      </c>
      <c r="B301" s="2" t="s">
        <v>280</v>
      </c>
      <c r="C301" s="2" t="s">
        <v>12</v>
      </c>
      <c r="D301" s="2" t="s">
        <v>284</v>
      </c>
      <c r="E301" s="2" t="s">
        <v>38</v>
      </c>
      <c r="F301" s="2" t="s">
        <v>38</v>
      </c>
      <c r="G301" s="2" t="s">
        <v>20</v>
      </c>
      <c r="H301" s="2" t="s">
        <v>285</v>
      </c>
      <c r="I301" s="2" t="s">
        <v>16</v>
      </c>
      <c r="J301" s="2" t="s">
        <v>81</v>
      </c>
    </row>
    <row r="302" spans="1:10" x14ac:dyDescent="0.35">
      <c r="A302" s="2" t="s">
        <v>10</v>
      </c>
      <c r="B302" s="2" t="s">
        <v>280</v>
      </c>
      <c r="C302" s="2" t="s">
        <v>12</v>
      </c>
      <c r="D302" s="2" t="s">
        <v>284</v>
      </c>
      <c r="E302" s="2" t="s">
        <v>91</v>
      </c>
      <c r="F302" s="2" t="s">
        <v>19</v>
      </c>
      <c r="G302" s="2"/>
      <c r="H302" s="2"/>
      <c r="I302" s="2" t="s">
        <v>16</v>
      </c>
      <c r="J302" s="2" t="s">
        <v>81</v>
      </c>
    </row>
    <row r="303" spans="1:10" x14ac:dyDescent="0.35">
      <c r="A303" s="2" t="s">
        <v>10</v>
      </c>
      <c r="B303" s="2" t="s">
        <v>280</v>
      </c>
      <c r="C303" s="2" t="s">
        <v>12</v>
      </c>
      <c r="D303" s="2" t="s">
        <v>284</v>
      </c>
      <c r="E303" s="2" t="s">
        <v>64</v>
      </c>
      <c r="F303" s="2" t="s">
        <v>65</v>
      </c>
      <c r="G303" s="2"/>
      <c r="H303" s="2"/>
      <c r="I303" s="2" t="s">
        <v>16</v>
      </c>
      <c r="J303" s="2" t="s">
        <v>81</v>
      </c>
    </row>
    <row r="304" spans="1:10" s="21" customFormat="1" x14ac:dyDescent="0.35">
      <c r="A304" s="2" t="s">
        <v>10</v>
      </c>
      <c r="B304" s="2" t="s">
        <v>280</v>
      </c>
      <c r="C304" s="2" t="s">
        <v>62</v>
      </c>
      <c r="D304" s="2" t="s">
        <v>286</v>
      </c>
      <c r="E304" s="2" t="s">
        <v>106</v>
      </c>
      <c r="F304" s="2" t="s">
        <v>107</v>
      </c>
      <c r="G304" s="2"/>
      <c r="H304" s="2"/>
      <c r="I304" s="2"/>
      <c r="J304" s="2"/>
    </row>
    <row r="305" spans="1:10" x14ac:dyDescent="0.35">
      <c r="A305" s="2" t="s">
        <v>10</v>
      </c>
      <c r="B305" s="2" t="s">
        <v>280</v>
      </c>
      <c r="C305" s="2" t="s">
        <v>24</v>
      </c>
      <c r="D305" s="2" t="s">
        <v>287</v>
      </c>
      <c r="E305" s="2" t="s">
        <v>18</v>
      </c>
      <c r="F305" s="2" t="s">
        <v>19</v>
      </c>
      <c r="G305" s="2" t="s">
        <v>46</v>
      </c>
      <c r="H305" s="2" t="s">
        <v>288</v>
      </c>
      <c r="I305" s="2"/>
      <c r="J305" s="2"/>
    </row>
    <row r="306" spans="1:10" x14ac:dyDescent="0.35">
      <c r="A306" s="2" t="s">
        <v>10</v>
      </c>
      <c r="B306" s="2" t="s">
        <v>280</v>
      </c>
      <c r="C306" s="2" t="s">
        <v>24</v>
      </c>
      <c r="D306" s="2" t="s">
        <v>289</v>
      </c>
      <c r="E306" s="2" t="s">
        <v>76</v>
      </c>
      <c r="F306" s="2" t="s">
        <v>75</v>
      </c>
      <c r="G306" s="2" t="s">
        <v>16</v>
      </c>
      <c r="H306" s="2" t="s">
        <v>290</v>
      </c>
      <c r="I306" s="2" t="s">
        <v>16</v>
      </c>
      <c r="J306" s="2" t="s">
        <v>95</v>
      </c>
    </row>
    <row r="307" spans="1:10" x14ac:dyDescent="0.35">
      <c r="A307" s="2" t="s">
        <v>10</v>
      </c>
      <c r="B307" s="2" t="s">
        <v>280</v>
      </c>
      <c r="C307" s="2" t="s">
        <v>24</v>
      </c>
      <c r="D307" s="2" t="s">
        <v>289</v>
      </c>
      <c r="E307" s="2" t="s">
        <v>82</v>
      </c>
      <c r="F307" s="2" t="s">
        <v>83</v>
      </c>
      <c r="G307" s="2"/>
      <c r="H307" s="2"/>
      <c r="I307" s="2" t="s">
        <v>16</v>
      </c>
      <c r="J307" s="2" t="s">
        <v>95</v>
      </c>
    </row>
    <row r="308" spans="1:10" x14ac:dyDescent="0.35">
      <c r="A308" s="2" t="s">
        <v>10</v>
      </c>
      <c r="B308" s="2" t="s">
        <v>280</v>
      </c>
      <c r="C308" s="2" t="s">
        <v>24</v>
      </c>
      <c r="D308" s="2" t="s">
        <v>289</v>
      </c>
      <c r="E308" s="2" t="s">
        <v>96</v>
      </c>
      <c r="F308" s="2" t="s">
        <v>83</v>
      </c>
      <c r="G308" s="2"/>
      <c r="H308" s="2"/>
      <c r="I308" s="2" t="s">
        <v>16</v>
      </c>
      <c r="J308" s="2" t="s">
        <v>95</v>
      </c>
    </row>
    <row r="309" spans="1:10" x14ac:dyDescent="0.35">
      <c r="A309" s="2" t="s">
        <v>10</v>
      </c>
      <c r="B309" s="2" t="s">
        <v>280</v>
      </c>
      <c r="C309" s="2" t="s">
        <v>24</v>
      </c>
      <c r="D309" s="2" t="s">
        <v>289</v>
      </c>
      <c r="E309" s="2" t="s">
        <v>121</v>
      </c>
      <c r="F309" s="2" t="s">
        <v>122</v>
      </c>
      <c r="G309" s="2"/>
      <c r="H309" s="2"/>
      <c r="I309" s="2" t="s">
        <v>16</v>
      </c>
      <c r="J309" s="2" t="s">
        <v>95</v>
      </c>
    </row>
    <row r="310" spans="1:10" x14ac:dyDescent="0.35">
      <c r="A310" s="2" t="s">
        <v>10</v>
      </c>
      <c r="B310" s="2" t="s">
        <v>280</v>
      </c>
      <c r="C310" s="2" t="s">
        <v>24</v>
      </c>
      <c r="D310" s="2" t="s">
        <v>289</v>
      </c>
      <c r="E310" s="2" t="s">
        <v>291</v>
      </c>
      <c r="F310" s="2" t="s">
        <v>139</v>
      </c>
      <c r="G310" s="2"/>
      <c r="H310" s="2"/>
      <c r="I310" s="2" t="s">
        <v>16</v>
      </c>
      <c r="J310" s="2" t="s">
        <v>95</v>
      </c>
    </row>
    <row r="311" spans="1:10" x14ac:dyDescent="0.35">
      <c r="A311" s="2" t="s">
        <v>10</v>
      </c>
      <c r="B311" s="2" t="s">
        <v>280</v>
      </c>
      <c r="C311" s="2" t="s">
        <v>24</v>
      </c>
      <c r="D311" s="2" t="s">
        <v>289</v>
      </c>
      <c r="E311" s="2" t="s">
        <v>168</v>
      </c>
      <c r="F311" s="2" t="s">
        <v>45</v>
      </c>
      <c r="G311" s="2" t="s">
        <v>16</v>
      </c>
      <c r="H311" s="2" t="s">
        <v>292</v>
      </c>
      <c r="I311" s="2" t="s">
        <v>16</v>
      </c>
      <c r="J311" s="2" t="s">
        <v>95</v>
      </c>
    </row>
    <row r="312" spans="1:10" x14ac:dyDescent="0.35">
      <c r="A312" s="2" t="s">
        <v>10</v>
      </c>
      <c r="B312" s="2" t="s">
        <v>280</v>
      </c>
      <c r="C312" s="2" t="s">
        <v>24</v>
      </c>
      <c r="D312" s="2" t="s">
        <v>289</v>
      </c>
      <c r="E312" s="2" t="s">
        <v>18</v>
      </c>
      <c r="F312" s="2" t="s">
        <v>19</v>
      </c>
      <c r="G312" s="2" t="s">
        <v>16</v>
      </c>
      <c r="H312" s="2" t="s">
        <v>293</v>
      </c>
      <c r="I312" s="2" t="s">
        <v>16</v>
      </c>
      <c r="J312" s="2" t="s">
        <v>95</v>
      </c>
    </row>
    <row r="313" spans="1:10" x14ac:dyDescent="0.35">
      <c r="A313" s="2" t="s">
        <v>10</v>
      </c>
      <c r="B313" s="2" t="s">
        <v>280</v>
      </c>
      <c r="C313" s="2" t="s">
        <v>24</v>
      </c>
      <c r="D313" s="2" t="s">
        <v>289</v>
      </c>
      <c r="E313" s="2" t="s">
        <v>61</v>
      </c>
      <c r="F313" s="2" t="s">
        <v>30</v>
      </c>
      <c r="G313" s="2"/>
      <c r="H313" s="2"/>
      <c r="I313" s="2" t="s">
        <v>16</v>
      </c>
      <c r="J313" s="2" t="s">
        <v>95</v>
      </c>
    </row>
    <row r="314" spans="1:10" x14ac:dyDescent="0.35">
      <c r="A314" s="2" t="s">
        <v>10</v>
      </c>
      <c r="B314" s="2" t="s">
        <v>280</v>
      </c>
      <c r="C314" s="2" t="s">
        <v>24</v>
      </c>
      <c r="D314" s="2" t="s">
        <v>289</v>
      </c>
      <c r="E314" s="2" t="s">
        <v>100</v>
      </c>
      <c r="F314" s="2" t="s">
        <v>101</v>
      </c>
      <c r="G314" s="2"/>
      <c r="H314" s="2"/>
      <c r="I314" s="2" t="s">
        <v>16</v>
      </c>
      <c r="J314" s="2" t="s">
        <v>95</v>
      </c>
    </row>
    <row r="315" spans="1:10" x14ac:dyDescent="0.35">
      <c r="A315" s="2" t="s">
        <v>10</v>
      </c>
      <c r="B315" s="2" t="s">
        <v>280</v>
      </c>
      <c r="C315" s="2" t="s">
        <v>24</v>
      </c>
      <c r="D315" s="2" t="s">
        <v>289</v>
      </c>
      <c r="E315" s="2" t="s">
        <v>149</v>
      </c>
      <c r="F315" s="2" t="s">
        <v>150</v>
      </c>
      <c r="G315" s="2" t="s">
        <v>16</v>
      </c>
      <c r="H315" s="2" t="s">
        <v>206</v>
      </c>
      <c r="I315" s="2" t="s">
        <v>16</v>
      </c>
      <c r="J315" s="2" t="s">
        <v>95</v>
      </c>
    </row>
    <row r="316" spans="1:10" x14ac:dyDescent="0.35">
      <c r="A316" s="2" t="s">
        <v>10</v>
      </c>
      <c r="B316" s="2" t="s">
        <v>280</v>
      </c>
      <c r="C316" s="2" t="s">
        <v>24</v>
      </c>
      <c r="D316" s="2" t="s">
        <v>294</v>
      </c>
      <c r="E316" s="2" t="s">
        <v>196</v>
      </c>
      <c r="F316" s="2" t="s">
        <v>197</v>
      </c>
      <c r="G316" s="2"/>
      <c r="H316" s="2"/>
      <c r="I316" s="2"/>
      <c r="J316" s="2"/>
    </row>
    <row r="317" spans="1:10" x14ac:dyDescent="0.35">
      <c r="A317" s="2" t="s">
        <v>10</v>
      </c>
      <c r="B317" s="2" t="s">
        <v>280</v>
      </c>
      <c r="C317" s="2" t="s">
        <v>24</v>
      </c>
      <c r="D317" s="2" t="s">
        <v>294</v>
      </c>
      <c r="E317" s="2" t="s">
        <v>74</v>
      </c>
      <c r="F317" s="2" t="s">
        <v>75</v>
      </c>
      <c r="G317" s="2"/>
      <c r="H317" s="2"/>
      <c r="I317" s="2" t="s">
        <v>16</v>
      </c>
      <c r="J317" s="2" t="s">
        <v>95</v>
      </c>
    </row>
    <row r="318" spans="1:10" x14ac:dyDescent="0.35">
      <c r="A318" s="2" t="s">
        <v>10</v>
      </c>
      <c r="B318" s="2" t="s">
        <v>280</v>
      </c>
      <c r="C318" s="2" t="s">
        <v>24</v>
      </c>
      <c r="D318" s="2" t="s">
        <v>294</v>
      </c>
      <c r="E318" s="2" t="s">
        <v>31</v>
      </c>
      <c r="F318" s="2" t="s">
        <v>32</v>
      </c>
      <c r="G318" s="2"/>
      <c r="H318" s="2"/>
      <c r="I318" s="2" t="s">
        <v>16</v>
      </c>
      <c r="J318" s="2" t="s">
        <v>95</v>
      </c>
    </row>
    <row r="319" spans="1:10" x14ac:dyDescent="0.35">
      <c r="A319" s="2" t="s">
        <v>10</v>
      </c>
      <c r="B319" s="2" t="s">
        <v>280</v>
      </c>
      <c r="C319" s="2" t="s">
        <v>24</v>
      </c>
      <c r="D319" s="2" t="s">
        <v>294</v>
      </c>
      <c r="E319" s="2" t="s">
        <v>82</v>
      </c>
      <c r="F319" s="2" t="s">
        <v>83</v>
      </c>
      <c r="G319" s="2"/>
      <c r="H319" s="2"/>
      <c r="I319" s="2" t="s">
        <v>16</v>
      </c>
      <c r="J319" s="2" t="s">
        <v>95</v>
      </c>
    </row>
    <row r="320" spans="1:10" x14ac:dyDescent="0.35">
      <c r="A320" s="2" t="s">
        <v>10</v>
      </c>
      <c r="B320" s="2" t="s">
        <v>280</v>
      </c>
      <c r="C320" s="2" t="s">
        <v>24</v>
      </c>
      <c r="D320" s="2" t="s">
        <v>294</v>
      </c>
      <c r="E320" s="2" t="s">
        <v>136</v>
      </c>
      <c r="F320" s="2" t="s">
        <v>107</v>
      </c>
      <c r="G320" s="2"/>
      <c r="H320" s="2"/>
      <c r="I320" s="2" t="s">
        <v>16</v>
      </c>
      <c r="J320" s="2" t="s">
        <v>95</v>
      </c>
    </row>
    <row r="321" spans="1:10" x14ac:dyDescent="0.35">
      <c r="A321" s="2" t="s">
        <v>10</v>
      </c>
      <c r="B321" s="2" t="s">
        <v>280</v>
      </c>
      <c r="C321" s="2" t="s">
        <v>24</v>
      </c>
      <c r="D321" s="2" t="s">
        <v>294</v>
      </c>
      <c r="E321" s="2" t="s">
        <v>295</v>
      </c>
      <c r="F321" s="2" t="s">
        <v>83</v>
      </c>
      <c r="G321" s="2"/>
      <c r="H321" s="2"/>
      <c r="I321" s="2" t="s">
        <v>16</v>
      </c>
      <c r="J321" s="2" t="s">
        <v>95</v>
      </c>
    </row>
    <row r="322" spans="1:10" x14ac:dyDescent="0.35">
      <c r="A322" s="2" t="s">
        <v>10</v>
      </c>
      <c r="B322" s="2" t="s">
        <v>280</v>
      </c>
      <c r="C322" s="2" t="s">
        <v>24</v>
      </c>
      <c r="D322" s="2" t="s">
        <v>294</v>
      </c>
      <c r="E322" s="2" t="s">
        <v>291</v>
      </c>
      <c r="F322" s="2" t="s">
        <v>139</v>
      </c>
      <c r="G322" s="2"/>
      <c r="H322" s="2"/>
      <c r="I322" s="2" t="s">
        <v>16</v>
      </c>
      <c r="J322" s="2" t="s">
        <v>95</v>
      </c>
    </row>
    <row r="323" spans="1:10" x14ac:dyDescent="0.35">
      <c r="A323" s="2" t="s">
        <v>10</v>
      </c>
      <c r="B323" s="2" t="s">
        <v>280</v>
      </c>
      <c r="C323" s="2" t="s">
        <v>24</v>
      </c>
      <c r="D323" s="2" t="s">
        <v>294</v>
      </c>
      <c r="E323" s="2" t="s">
        <v>91</v>
      </c>
      <c r="F323" s="2" t="s">
        <v>19</v>
      </c>
      <c r="G323" s="2" t="s">
        <v>16</v>
      </c>
      <c r="H323" s="2" t="s">
        <v>296</v>
      </c>
      <c r="I323" s="2" t="s">
        <v>16</v>
      </c>
      <c r="J323" s="2" t="s">
        <v>95</v>
      </c>
    </row>
    <row r="324" spans="1:10" x14ac:dyDescent="0.35">
      <c r="A324" s="2" t="s">
        <v>10</v>
      </c>
      <c r="B324" s="2" t="s">
        <v>280</v>
      </c>
      <c r="C324" s="2" t="s">
        <v>24</v>
      </c>
      <c r="D324" s="2" t="s">
        <v>294</v>
      </c>
      <c r="E324" s="2" t="s">
        <v>124</v>
      </c>
      <c r="F324" s="2" t="s">
        <v>125</v>
      </c>
      <c r="G324" s="2"/>
      <c r="H324" s="2"/>
      <c r="I324" s="2" t="s">
        <v>16</v>
      </c>
      <c r="J324" s="2" t="s">
        <v>95</v>
      </c>
    </row>
    <row r="325" spans="1:10" x14ac:dyDescent="0.35">
      <c r="A325" s="2" t="s">
        <v>10</v>
      </c>
      <c r="B325" s="2" t="s">
        <v>280</v>
      </c>
      <c r="C325" s="2" t="s">
        <v>24</v>
      </c>
      <c r="D325" s="2" t="s">
        <v>294</v>
      </c>
      <c r="E325" s="2" t="s">
        <v>39</v>
      </c>
      <c r="F325" s="2" t="s">
        <v>40</v>
      </c>
      <c r="G325" s="2"/>
      <c r="H325" s="2"/>
      <c r="I325" s="2" t="s">
        <v>16</v>
      </c>
      <c r="J325" s="2" t="s">
        <v>95</v>
      </c>
    </row>
    <row r="326" spans="1:10" x14ac:dyDescent="0.35">
      <c r="A326" s="2" t="s">
        <v>10</v>
      </c>
      <c r="B326" s="2" t="s">
        <v>280</v>
      </c>
      <c r="C326" s="2" t="s">
        <v>24</v>
      </c>
      <c r="D326" s="2" t="s">
        <v>294</v>
      </c>
      <c r="E326" s="2" t="s">
        <v>297</v>
      </c>
      <c r="F326" s="2" t="s">
        <v>38</v>
      </c>
      <c r="G326" s="2" t="s">
        <v>16</v>
      </c>
      <c r="H326" s="2" t="s">
        <v>298</v>
      </c>
      <c r="I326" s="2" t="s">
        <v>16</v>
      </c>
      <c r="J326" s="2" t="s">
        <v>95</v>
      </c>
    </row>
    <row r="327" spans="1:10" x14ac:dyDescent="0.35">
      <c r="A327" s="2" t="s">
        <v>10</v>
      </c>
      <c r="B327" s="2" t="s">
        <v>280</v>
      </c>
      <c r="C327" s="2" t="s">
        <v>24</v>
      </c>
      <c r="D327" s="2" t="s">
        <v>294</v>
      </c>
      <c r="E327" s="2" t="s">
        <v>85</v>
      </c>
      <c r="F327" s="2" t="s">
        <v>85</v>
      </c>
      <c r="G327" s="2"/>
      <c r="H327" s="2"/>
      <c r="I327" s="2" t="s">
        <v>16</v>
      </c>
      <c r="J327" s="2" t="s">
        <v>95</v>
      </c>
    </row>
    <row r="328" spans="1:10" x14ac:dyDescent="0.35">
      <c r="A328" s="2" t="s">
        <v>10</v>
      </c>
      <c r="B328" s="2" t="s">
        <v>280</v>
      </c>
      <c r="C328" s="2" t="s">
        <v>24</v>
      </c>
      <c r="D328" s="2" t="s">
        <v>294</v>
      </c>
      <c r="E328" s="2" t="s">
        <v>299</v>
      </c>
      <c r="F328" s="2" t="s">
        <v>78</v>
      </c>
      <c r="G328" s="2"/>
      <c r="H328" s="2"/>
      <c r="I328" s="2" t="s">
        <v>16</v>
      </c>
      <c r="J328" s="2" t="s">
        <v>95</v>
      </c>
    </row>
    <row r="329" spans="1:10" x14ac:dyDescent="0.35">
      <c r="A329" s="2" t="s">
        <v>10</v>
      </c>
      <c r="B329" s="2" t="s">
        <v>280</v>
      </c>
      <c r="C329" s="2" t="s">
        <v>24</v>
      </c>
      <c r="D329" s="2" t="s">
        <v>294</v>
      </c>
      <c r="E329" s="2" t="s">
        <v>100</v>
      </c>
      <c r="F329" s="2" t="s">
        <v>101</v>
      </c>
      <c r="G329" s="2"/>
      <c r="H329" s="2"/>
      <c r="I329" s="2"/>
      <c r="J329" s="2"/>
    </row>
    <row r="330" spans="1:10" x14ac:dyDescent="0.35">
      <c r="A330" s="2" t="s">
        <v>10</v>
      </c>
      <c r="B330" s="2" t="s">
        <v>280</v>
      </c>
      <c r="C330" s="2" t="s">
        <v>24</v>
      </c>
      <c r="D330" s="2" t="s">
        <v>294</v>
      </c>
      <c r="E330" s="2" t="s">
        <v>188</v>
      </c>
      <c r="F330" s="2" t="s">
        <v>189</v>
      </c>
      <c r="G330" s="2"/>
      <c r="H330" s="2"/>
      <c r="I330" s="2" t="s">
        <v>16</v>
      </c>
      <c r="J330" s="2" t="s">
        <v>95</v>
      </c>
    </row>
    <row r="331" spans="1:10" x14ac:dyDescent="0.35">
      <c r="A331" s="2" t="s">
        <v>10</v>
      </c>
      <c r="B331" s="2" t="s">
        <v>280</v>
      </c>
      <c r="C331" s="2" t="s">
        <v>24</v>
      </c>
      <c r="D331" s="2" t="s">
        <v>294</v>
      </c>
      <c r="E331" s="2" t="s">
        <v>300</v>
      </c>
      <c r="F331" s="2" t="s">
        <v>189</v>
      </c>
      <c r="G331" s="2"/>
      <c r="H331" s="2"/>
      <c r="I331" s="2" t="s">
        <v>16</v>
      </c>
      <c r="J331" s="2" t="s">
        <v>95</v>
      </c>
    </row>
    <row r="332" spans="1:10" x14ac:dyDescent="0.35">
      <c r="A332" s="2" t="s">
        <v>10</v>
      </c>
      <c r="B332" s="2" t="s">
        <v>280</v>
      </c>
      <c r="C332" s="2" t="s">
        <v>24</v>
      </c>
      <c r="D332" s="2" t="s">
        <v>294</v>
      </c>
      <c r="E332" s="2" t="s">
        <v>149</v>
      </c>
      <c r="F332" s="2" t="s">
        <v>150</v>
      </c>
      <c r="G332" s="2" t="s">
        <v>16</v>
      </c>
      <c r="H332" s="2" t="s">
        <v>301</v>
      </c>
      <c r="I332" s="2" t="s">
        <v>16</v>
      </c>
      <c r="J332" s="2" t="s">
        <v>95</v>
      </c>
    </row>
    <row r="333" spans="1:10" x14ac:dyDescent="0.35">
      <c r="A333" s="2" t="s">
        <v>10</v>
      </c>
      <c r="B333" s="2" t="s">
        <v>280</v>
      </c>
      <c r="C333" s="2" t="s">
        <v>24</v>
      </c>
      <c r="D333" s="2" t="s">
        <v>294</v>
      </c>
      <c r="E333" s="2" t="s">
        <v>302</v>
      </c>
      <c r="F333" s="2" t="s">
        <v>65</v>
      </c>
      <c r="G333" s="2"/>
      <c r="H333" s="2"/>
      <c r="I333" s="2" t="s">
        <v>16</v>
      </c>
      <c r="J333" s="2" t="s">
        <v>95</v>
      </c>
    </row>
    <row r="334" spans="1:10" x14ac:dyDescent="0.35">
      <c r="A334" s="2" t="s">
        <v>10</v>
      </c>
      <c r="B334" s="2" t="s">
        <v>280</v>
      </c>
      <c r="C334" s="2" t="s">
        <v>24</v>
      </c>
      <c r="D334" s="2" t="s">
        <v>294</v>
      </c>
      <c r="E334" s="2" t="s">
        <v>303</v>
      </c>
      <c r="F334" s="2" t="s">
        <v>189</v>
      </c>
      <c r="G334" s="2"/>
      <c r="H334" s="2"/>
      <c r="I334" s="2" t="s">
        <v>16</v>
      </c>
      <c r="J334" s="2" t="s">
        <v>95</v>
      </c>
    </row>
    <row r="335" spans="1:10" x14ac:dyDescent="0.35">
      <c r="A335" s="2" t="s">
        <v>10</v>
      </c>
      <c r="B335" s="2" t="s">
        <v>280</v>
      </c>
      <c r="C335" s="2" t="s">
        <v>57</v>
      </c>
      <c r="D335" s="2" t="s">
        <v>304</v>
      </c>
      <c r="E335" s="2" t="s">
        <v>74</v>
      </c>
      <c r="F335" s="2" t="s">
        <v>75</v>
      </c>
      <c r="G335" s="2" t="s">
        <v>16</v>
      </c>
      <c r="H335" s="2" t="s">
        <v>305</v>
      </c>
      <c r="I335" s="2" t="s">
        <v>16</v>
      </c>
      <c r="J335" s="2" t="s">
        <v>95</v>
      </c>
    </row>
    <row r="336" spans="1:10" x14ac:dyDescent="0.35">
      <c r="A336" s="2" t="s">
        <v>10</v>
      </c>
      <c r="B336" s="2" t="s">
        <v>280</v>
      </c>
      <c r="C336" s="2" t="s">
        <v>57</v>
      </c>
      <c r="D336" s="2" t="s">
        <v>304</v>
      </c>
      <c r="E336" s="2" t="s">
        <v>14</v>
      </c>
      <c r="F336" s="2" t="s">
        <v>15</v>
      </c>
      <c r="G336" s="2"/>
      <c r="H336" s="2"/>
      <c r="I336" s="2" t="s">
        <v>16</v>
      </c>
      <c r="J336" s="2" t="s">
        <v>95</v>
      </c>
    </row>
    <row r="337" spans="1:10" x14ac:dyDescent="0.35">
      <c r="A337" s="2" t="s">
        <v>10</v>
      </c>
      <c r="B337" s="2" t="s">
        <v>280</v>
      </c>
      <c r="C337" s="2" t="s">
        <v>57</v>
      </c>
      <c r="D337" s="2" t="s">
        <v>304</v>
      </c>
      <c r="E337" s="2" t="s">
        <v>212</v>
      </c>
      <c r="F337" s="2" t="s">
        <v>78</v>
      </c>
      <c r="G337" s="2"/>
      <c r="H337" s="2"/>
      <c r="I337" s="2" t="s">
        <v>16</v>
      </c>
      <c r="J337" s="2" t="s">
        <v>95</v>
      </c>
    </row>
    <row r="338" spans="1:10" x14ac:dyDescent="0.35">
      <c r="A338" s="2" t="s">
        <v>10</v>
      </c>
      <c r="B338" s="2" t="s">
        <v>280</v>
      </c>
      <c r="C338" s="2" t="s">
        <v>57</v>
      </c>
      <c r="D338" s="2" t="s">
        <v>304</v>
      </c>
      <c r="E338" s="2" t="s">
        <v>149</v>
      </c>
      <c r="F338" s="2" t="s">
        <v>150</v>
      </c>
      <c r="G338" s="2" t="s">
        <v>16</v>
      </c>
      <c r="H338" s="2" t="s">
        <v>206</v>
      </c>
      <c r="I338" s="2" t="s">
        <v>16</v>
      </c>
      <c r="J338" s="2" t="s">
        <v>95</v>
      </c>
    </row>
    <row r="339" spans="1:10" x14ac:dyDescent="0.35">
      <c r="A339" s="2" t="s">
        <v>10</v>
      </c>
      <c r="B339" s="2" t="s">
        <v>280</v>
      </c>
      <c r="C339" s="2" t="s">
        <v>57</v>
      </c>
      <c r="D339" s="2" t="s">
        <v>304</v>
      </c>
      <c r="E339" s="2" t="s">
        <v>112</v>
      </c>
      <c r="F339" s="2" t="s">
        <v>113</v>
      </c>
      <c r="G339" s="2" t="s">
        <v>16</v>
      </c>
      <c r="H339" s="2" t="s">
        <v>306</v>
      </c>
      <c r="I339" s="2" t="s">
        <v>16</v>
      </c>
      <c r="J339" s="2" t="s">
        <v>95</v>
      </c>
    </row>
    <row r="340" spans="1:10" x14ac:dyDescent="0.35">
      <c r="A340" s="2" t="s">
        <v>10</v>
      </c>
      <c r="B340" s="2" t="s">
        <v>280</v>
      </c>
      <c r="C340" s="2" t="s">
        <v>24</v>
      </c>
      <c r="D340" s="2" t="s">
        <v>307</v>
      </c>
      <c r="E340" s="2" t="s">
        <v>14</v>
      </c>
      <c r="F340" s="2" t="s">
        <v>15</v>
      </c>
      <c r="G340" s="2"/>
      <c r="H340" s="2"/>
      <c r="I340" s="2" t="s">
        <v>16</v>
      </c>
      <c r="J340" s="2" t="s">
        <v>81</v>
      </c>
    </row>
    <row r="341" spans="1:10" x14ac:dyDescent="0.35">
      <c r="A341" s="2" t="s">
        <v>10</v>
      </c>
      <c r="B341" s="2" t="s">
        <v>280</v>
      </c>
      <c r="C341" s="2" t="s">
        <v>24</v>
      </c>
      <c r="D341" s="2" t="s">
        <v>307</v>
      </c>
      <c r="E341" s="2" t="s">
        <v>87</v>
      </c>
      <c r="F341" s="2" t="s">
        <v>75</v>
      </c>
      <c r="G341" s="2"/>
      <c r="H341" s="2"/>
      <c r="I341" s="2" t="s">
        <v>16</v>
      </c>
      <c r="J341" s="2" t="s">
        <v>81</v>
      </c>
    </row>
    <row r="342" spans="1:10" x14ac:dyDescent="0.35">
      <c r="A342" s="2" t="s">
        <v>10</v>
      </c>
      <c r="B342" s="2" t="s">
        <v>280</v>
      </c>
      <c r="C342" s="2" t="s">
        <v>24</v>
      </c>
      <c r="D342" s="2" t="s">
        <v>307</v>
      </c>
      <c r="E342" s="2" t="s">
        <v>204</v>
      </c>
      <c r="F342" s="2" t="s">
        <v>40</v>
      </c>
      <c r="G342" s="2"/>
      <c r="H342" s="2"/>
      <c r="I342" s="2" t="s">
        <v>16</v>
      </c>
      <c r="J342" s="2" t="s">
        <v>81</v>
      </c>
    </row>
    <row r="343" spans="1:10" x14ac:dyDescent="0.35">
      <c r="A343" s="2" t="s">
        <v>10</v>
      </c>
      <c r="B343" s="2" t="s">
        <v>280</v>
      </c>
      <c r="C343" s="2" t="s">
        <v>24</v>
      </c>
      <c r="D343" s="2" t="s">
        <v>308</v>
      </c>
      <c r="E343" s="2" t="s">
        <v>196</v>
      </c>
      <c r="F343" s="2" t="s">
        <v>197</v>
      </c>
      <c r="G343" s="2" t="s">
        <v>46</v>
      </c>
      <c r="H343" s="2" t="s">
        <v>288</v>
      </c>
      <c r="I343" s="2"/>
      <c r="J343" s="2"/>
    </row>
    <row r="344" spans="1:10" x14ac:dyDescent="0.35">
      <c r="A344" s="2" t="s">
        <v>10</v>
      </c>
      <c r="B344" s="2" t="s">
        <v>280</v>
      </c>
      <c r="C344" s="2" t="s">
        <v>24</v>
      </c>
      <c r="D344" s="2" t="s">
        <v>308</v>
      </c>
      <c r="E344" s="2" t="s">
        <v>14</v>
      </c>
      <c r="F344" s="2" t="s">
        <v>15</v>
      </c>
      <c r="G344" s="2" t="s">
        <v>46</v>
      </c>
      <c r="H344" s="2" t="s">
        <v>288</v>
      </c>
      <c r="I344" s="2"/>
      <c r="J344" s="2"/>
    </row>
    <row r="345" spans="1:10" x14ac:dyDescent="0.35">
      <c r="A345" s="2" t="s">
        <v>10</v>
      </c>
      <c r="B345" s="2" t="s">
        <v>280</v>
      </c>
      <c r="C345" s="2" t="s">
        <v>24</v>
      </c>
      <c r="D345" s="2" t="s">
        <v>308</v>
      </c>
      <c r="E345" s="2" t="s">
        <v>212</v>
      </c>
      <c r="F345" s="2" t="s">
        <v>78</v>
      </c>
      <c r="G345" s="2" t="s">
        <v>46</v>
      </c>
      <c r="H345" s="2" t="s">
        <v>288</v>
      </c>
      <c r="I345" s="2"/>
      <c r="J345" s="2"/>
    </row>
    <row r="346" spans="1:10" x14ac:dyDescent="0.35">
      <c r="A346" s="2" t="s">
        <v>10</v>
      </c>
      <c r="B346" s="2" t="s">
        <v>280</v>
      </c>
      <c r="C346" s="2" t="s">
        <v>24</v>
      </c>
      <c r="D346" s="2" t="s">
        <v>308</v>
      </c>
      <c r="E346" s="2" t="s">
        <v>309</v>
      </c>
      <c r="F346" s="2" t="s">
        <v>40</v>
      </c>
      <c r="G346" s="2" t="s">
        <v>46</v>
      </c>
      <c r="H346" s="2" t="s">
        <v>288</v>
      </c>
      <c r="I346" s="2"/>
      <c r="J346" s="2"/>
    </row>
    <row r="347" spans="1:10" x14ac:dyDescent="0.35">
      <c r="A347" s="2" t="s">
        <v>10</v>
      </c>
      <c r="B347" s="2" t="s">
        <v>280</v>
      </c>
      <c r="C347" s="2" t="s">
        <v>24</v>
      </c>
      <c r="D347" s="2" t="s">
        <v>308</v>
      </c>
      <c r="E347" s="2" t="s">
        <v>310</v>
      </c>
      <c r="F347" s="2" t="s">
        <v>38</v>
      </c>
      <c r="G347" s="2" t="s">
        <v>46</v>
      </c>
      <c r="H347" s="2" t="s">
        <v>288</v>
      </c>
      <c r="I347" s="2"/>
      <c r="J347" s="2"/>
    </row>
    <row r="348" spans="1:10" x14ac:dyDescent="0.35">
      <c r="A348" s="2" t="s">
        <v>10</v>
      </c>
      <c r="B348" s="2" t="s">
        <v>280</v>
      </c>
      <c r="C348" s="2" t="s">
        <v>24</v>
      </c>
      <c r="D348" s="2" t="s">
        <v>308</v>
      </c>
      <c r="E348" s="2" t="s">
        <v>149</v>
      </c>
      <c r="F348" s="2" t="s">
        <v>150</v>
      </c>
      <c r="G348" s="2" t="s">
        <v>46</v>
      </c>
      <c r="H348" s="2" t="s">
        <v>288</v>
      </c>
      <c r="I348" s="2"/>
      <c r="J348" s="2"/>
    </row>
    <row r="349" spans="1:10" s="21" customFormat="1" x14ac:dyDescent="0.35">
      <c r="A349" s="2" t="s">
        <v>10</v>
      </c>
      <c r="B349" s="2" t="s">
        <v>280</v>
      </c>
      <c r="C349" s="2" t="s">
        <v>12</v>
      </c>
      <c r="D349" s="2" t="s">
        <v>311</v>
      </c>
      <c r="E349" s="2" t="s">
        <v>64</v>
      </c>
      <c r="F349" s="2" t="s">
        <v>65</v>
      </c>
      <c r="G349" s="2" t="s">
        <v>20</v>
      </c>
      <c r="H349" s="2" t="s">
        <v>312</v>
      </c>
      <c r="I349" s="2" t="s">
        <v>16</v>
      </c>
      <c r="J349" s="2" t="s">
        <v>81</v>
      </c>
    </row>
    <row r="350" spans="1:10" s="21" customFormat="1" x14ac:dyDescent="0.35">
      <c r="A350" s="2" t="s">
        <v>10</v>
      </c>
      <c r="B350" s="2" t="s">
        <v>280</v>
      </c>
      <c r="C350" s="2" t="s">
        <v>12</v>
      </c>
      <c r="D350" s="2" t="s">
        <v>311</v>
      </c>
      <c r="E350" s="2" t="s">
        <v>18</v>
      </c>
      <c r="F350" s="2" t="s">
        <v>19</v>
      </c>
      <c r="G350" s="2" t="s">
        <v>20</v>
      </c>
      <c r="H350" s="2" t="s">
        <v>313</v>
      </c>
      <c r="I350" s="2" t="s">
        <v>16</v>
      </c>
      <c r="J350" s="2" t="s">
        <v>81</v>
      </c>
    </row>
    <row r="351" spans="1:10" s="21" customFormat="1" x14ac:dyDescent="0.35">
      <c r="A351" s="2" t="s">
        <v>10</v>
      </c>
      <c r="B351" s="2" t="s">
        <v>280</v>
      </c>
      <c r="C351" s="2" t="s">
        <v>12</v>
      </c>
      <c r="D351" s="2" t="s">
        <v>311</v>
      </c>
      <c r="E351" s="2" t="s">
        <v>89</v>
      </c>
      <c r="F351" s="2" t="s">
        <v>45</v>
      </c>
      <c r="G351" s="2" t="s">
        <v>20</v>
      </c>
      <c r="H351" s="2" t="s">
        <v>314</v>
      </c>
      <c r="I351" s="2" t="s">
        <v>16</v>
      </c>
      <c r="J351" s="2" t="s">
        <v>81</v>
      </c>
    </row>
    <row r="352" spans="1:10" s="21" customFormat="1" x14ac:dyDescent="0.35">
      <c r="A352" s="2" t="s">
        <v>10</v>
      </c>
      <c r="B352" s="2" t="s">
        <v>280</v>
      </c>
      <c r="C352" s="2" t="s">
        <v>12</v>
      </c>
      <c r="D352" s="2" t="s">
        <v>311</v>
      </c>
      <c r="E352" s="2" t="s">
        <v>188</v>
      </c>
      <c r="F352" s="2" t="s">
        <v>189</v>
      </c>
      <c r="G352" s="2" t="s">
        <v>20</v>
      </c>
      <c r="H352" s="2" t="s">
        <v>315</v>
      </c>
      <c r="I352" s="2" t="s">
        <v>16</v>
      </c>
      <c r="J352" s="2" t="s">
        <v>81</v>
      </c>
    </row>
    <row r="353" spans="1:10" s="21" customFormat="1" x14ac:dyDescent="0.35">
      <c r="A353" s="2" t="s">
        <v>10</v>
      </c>
      <c r="B353" s="2" t="s">
        <v>280</v>
      </c>
      <c r="C353" s="2" t="s">
        <v>62</v>
      </c>
      <c r="D353" s="2" t="s">
        <v>316</v>
      </c>
      <c r="E353" s="2" t="s">
        <v>317</v>
      </c>
      <c r="F353" s="2" t="s">
        <v>318</v>
      </c>
      <c r="G353" s="2"/>
      <c r="H353" s="2"/>
      <c r="I353" s="2"/>
      <c r="J353" s="2"/>
    </row>
    <row r="354" spans="1:10" s="21" customFormat="1" x14ac:dyDescent="0.35">
      <c r="A354" s="2" t="s">
        <v>10</v>
      </c>
      <c r="B354" s="2" t="s">
        <v>280</v>
      </c>
      <c r="C354" s="2" t="s">
        <v>62</v>
      </c>
      <c r="D354" s="2" t="s">
        <v>316</v>
      </c>
      <c r="E354" s="2" t="s">
        <v>319</v>
      </c>
      <c r="F354" s="2" t="s">
        <v>320</v>
      </c>
      <c r="G354" s="2"/>
      <c r="H354" s="2"/>
      <c r="I354" s="2"/>
      <c r="J354" s="2"/>
    </row>
    <row r="355" spans="1:10" s="21" customFormat="1" x14ac:dyDescent="0.35">
      <c r="A355" s="2" t="s">
        <v>10</v>
      </c>
      <c r="B355" s="2" t="s">
        <v>280</v>
      </c>
      <c r="C355" s="2" t="s">
        <v>62</v>
      </c>
      <c r="D355" s="2" t="s">
        <v>316</v>
      </c>
      <c r="E355" s="2" t="s">
        <v>321</v>
      </c>
      <c r="F355" s="2" t="s">
        <v>321</v>
      </c>
      <c r="G355" s="2"/>
      <c r="H355" s="2"/>
      <c r="I355" s="2"/>
      <c r="J355" s="2"/>
    </row>
    <row r="356" spans="1:10" s="21" customFormat="1" x14ac:dyDescent="0.35">
      <c r="A356" s="2" t="s">
        <v>10</v>
      </c>
      <c r="B356" s="2" t="s">
        <v>280</v>
      </c>
      <c r="C356" s="2" t="s">
        <v>62</v>
      </c>
      <c r="D356" s="2" t="s">
        <v>316</v>
      </c>
      <c r="E356" s="2" t="s">
        <v>106</v>
      </c>
      <c r="F356" s="2" t="s">
        <v>107</v>
      </c>
      <c r="G356" s="2"/>
      <c r="H356" s="2"/>
      <c r="I356" s="2"/>
      <c r="J356" s="2"/>
    </row>
    <row r="357" spans="1:10" s="21" customFormat="1" x14ac:dyDescent="0.35">
      <c r="A357" s="2" t="s">
        <v>10</v>
      </c>
      <c r="B357" s="2" t="s">
        <v>280</v>
      </c>
      <c r="C357" s="2" t="s">
        <v>62</v>
      </c>
      <c r="D357" s="2" t="s">
        <v>316</v>
      </c>
      <c r="E357" s="2" t="s">
        <v>322</v>
      </c>
      <c r="F357" s="2" t="s">
        <v>246</v>
      </c>
      <c r="G357" s="2"/>
      <c r="H357" s="2"/>
      <c r="I357" s="2"/>
      <c r="J357" s="2"/>
    </row>
    <row r="358" spans="1:10" s="21" customFormat="1" x14ac:dyDescent="0.35">
      <c r="A358" s="2" t="s">
        <v>10</v>
      </c>
      <c r="B358" s="2" t="s">
        <v>280</v>
      </c>
      <c r="C358" s="2" t="s">
        <v>62</v>
      </c>
      <c r="D358" s="2" t="s">
        <v>316</v>
      </c>
      <c r="E358" s="2" t="s">
        <v>323</v>
      </c>
      <c r="F358" s="2" t="s">
        <v>246</v>
      </c>
      <c r="G358" s="2"/>
      <c r="H358" s="2"/>
      <c r="I358" s="2"/>
      <c r="J358" s="2"/>
    </row>
    <row r="359" spans="1:10" s="21" customFormat="1" x14ac:dyDescent="0.35">
      <c r="A359" s="2" t="s">
        <v>10</v>
      </c>
      <c r="B359" s="2" t="s">
        <v>280</v>
      </c>
      <c r="C359" s="2" t="s">
        <v>62</v>
      </c>
      <c r="D359" s="2" t="s">
        <v>316</v>
      </c>
      <c r="E359" s="2" t="s">
        <v>324</v>
      </c>
      <c r="F359" s="2" t="s">
        <v>246</v>
      </c>
      <c r="G359" s="2"/>
      <c r="H359" s="2"/>
      <c r="I359" s="2"/>
      <c r="J359" s="2"/>
    </row>
    <row r="360" spans="1:10" s="21" customFormat="1" x14ac:dyDescent="0.35">
      <c r="A360" s="2" t="s">
        <v>10</v>
      </c>
      <c r="B360" s="2" t="s">
        <v>280</v>
      </c>
      <c r="C360" s="2" t="s">
        <v>62</v>
      </c>
      <c r="D360" s="2" t="s">
        <v>316</v>
      </c>
      <c r="E360" s="2" t="s">
        <v>325</v>
      </c>
      <c r="F360" s="2" t="s">
        <v>326</v>
      </c>
      <c r="G360" s="2"/>
      <c r="H360" s="2"/>
      <c r="I360" s="2"/>
      <c r="J360" s="2"/>
    </row>
    <row r="361" spans="1:10" s="21" customFormat="1" x14ac:dyDescent="0.35">
      <c r="A361" s="2" t="s">
        <v>10</v>
      </c>
      <c r="B361" s="2" t="s">
        <v>280</v>
      </c>
      <c r="C361" s="2" t="s">
        <v>62</v>
      </c>
      <c r="D361" s="2" t="s">
        <v>316</v>
      </c>
      <c r="E361" s="2" t="s">
        <v>327</v>
      </c>
      <c r="F361" s="2" t="s">
        <v>328</v>
      </c>
      <c r="G361" s="2"/>
      <c r="H361" s="2"/>
      <c r="I361" s="2"/>
      <c r="J361" s="2"/>
    </row>
    <row r="362" spans="1:10" s="21" customFormat="1" x14ac:dyDescent="0.35">
      <c r="A362" s="2" t="s">
        <v>10</v>
      </c>
      <c r="B362" s="2" t="s">
        <v>280</v>
      </c>
      <c r="C362" s="2" t="s">
        <v>62</v>
      </c>
      <c r="D362" s="2" t="s">
        <v>316</v>
      </c>
      <c r="E362" s="2" t="s">
        <v>329</v>
      </c>
      <c r="F362" s="2" t="s">
        <v>330</v>
      </c>
      <c r="G362" s="2"/>
      <c r="H362" s="2"/>
      <c r="I362" s="2"/>
      <c r="J362" s="2"/>
    </row>
    <row r="363" spans="1:10" s="21" customFormat="1" x14ac:dyDescent="0.35">
      <c r="A363" s="2" t="s">
        <v>10</v>
      </c>
      <c r="B363" s="2" t="s">
        <v>280</v>
      </c>
      <c r="C363" s="2" t="s">
        <v>62</v>
      </c>
      <c r="D363" s="2" t="s">
        <v>316</v>
      </c>
      <c r="E363" s="2" t="s">
        <v>331</v>
      </c>
      <c r="F363" s="2" t="s">
        <v>332</v>
      </c>
      <c r="G363" s="2"/>
      <c r="H363" s="2"/>
      <c r="I363" s="2"/>
      <c r="J363" s="2"/>
    </row>
    <row r="364" spans="1:10" s="21" customFormat="1" x14ac:dyDescent="0.35">
      <c r="A364" s="2" t="s">
        <v>10</v>
      </c>
      <c r="B364" s="2" t="s">
        <v>280</v>
      </c>
      <c r="C364" s="2" t="s">
        <v>62</v>
      </c>
      <c r="D364" s="2" t="s">
        <v>316</v>
      </c>
      <c r="E364" s="2" t="s">
        <v>333</v>
      </c>
      <c r="F364" s="2" t="s">
        <v>334</v>
      </c>
      <c r="G364" s="2"/>
      <c r="H364" s="2"/>
      <c r="I364" s="2"/>
      <c r="J364" s="2"/>
    </row>
    <row r="365" spans="1:10" s="21" customFormat="1" x14ac:dyDescent="0.35">
      <c r="A365" s="2" t="s">
        <v>10</v>
      </c>
      <c r="B365" s="2" t="s">
        <v>280</v>
      </c>
      <c r="C365" s="2" t="s">
        <v>62</v>
      </c>
      <c r="D365" s="2" t="s">
        <v>316</v>
      </c>
      <c r="E365" s="2" t="s">
        <v>335</v>
      </c>
      <c r="F365" s="2" t="s">
        <v>336</v>
      </c>
      <c r="G365" s="2"/>
      <c r="H365" s="2"/>
      <c r="I365" s="2"/>
      <c r="J365" s="2"/>
    </row>
    <row r="366" spans="1:10" s="21" customFormat="1" x14ac:dyDescent="0.35">
      <c r="A366" s="2" t="s">
        <v>10</v>
      </c>
      <c r="B366" s="2" t="s">
        <v>280</v>
      </c>
      <c r="C366" s="2" t="s">
        <v>62</v>
      </c>
      <c r="D366" s="2" t="s">
        <v>316</v>
      </c>
      <c r="E366" s="2" t="s">
        <v>337</v>
      </c>
      <c r="F366" s="2" t="s">
        <v>338</v>
      </c>
      <c r="G366" s="2"/>
      <c r="H366" s="2"/>
      <c r="I366" s="2"/>
      <c r="J366" s="2"/>
    </row>
    <row r="367" spans="1:10" s="21" customFormat="1" x14ac:dyDescent="0.35">
      <c r="A367" s="2" t="s">
        <v>10</v>
      </c>
      <c r="B367" s="2" t="s">
        <v>280</v>
      </c>
      <c r="C367" s="2" t="s">
        <v>62</v>
      </c>
      <c r="D367" s="2" t="s">
        <v>316</v>
      </c>
      <c r="E367" s="2" t="s">
        <v>339</v>
      </c>
      <c r="F367" s="2" t="s">
        <v>340</v>
      </c>
      <c r="G367" s="2"/>
      <c r="H367" s="2"/>
      <c r="I367" s="2"/>
      <c r="J367" s="2"/>
    </row>
    <row r="368" spans="1:10" s="21" customFormat="1" x14ac:dyDescent="0.35">
      <c r="A368" s="2" t="s">
        <v>10</v>
      </c>
      <c r="B368" s="2" t="s">
        <v>280</v>
      </c>
      <c r="C368" s="2" t="s">
        <v>62</v>
      </c>
      <c r="D368" s="2" t="s">
        <v>316</v>
      </c>
      <c r="E368" s="2" t="s">
        <v>341</v>
      </c>
      <c r="F368" s="2" t="s">
        <v>342</v>
      </c>
      <c r="G368" s="2"/>
      <c r="H368" s="2"/>
      <c r="I368" s="2"/>
      <c r="J368" s="2"/>
    </row>
    <row r="369" spans="1:10" s="21" customFormat="1" x14ac:dyDescent="0.35">
      <c r="A369" s="2" t="s">
        <v>10</v>
      </c>
      <c r="B369" s="2" t="s">
        <v>280</v>
      </c>
      <c r="C369" s="2" t="s">
        <v>62</v>
      </c>
      <c r="D369" s="2" t="s">
        <v>316</v>
      </c>
      <c r="E369" s="2" t="s">
        <v>343</v>
      </c>
      <c r="F369" s="2" t="s">
        <v>344</v>
      </c>
      <c r="G369" s="2"/>
      <c r="H369" s="2"/>
      <c r="I369" s="2"/>
      <c r="J369" s="2"/>
    </row>
    <row r="370" spans="1:10" s="21" customFormat="1" x14ac:dyDescent="0.35">
      <c r="A370" s="2" t="s">
        <v>10</v>
      </c>
      <c r="B370" s="2" t="s">
        <v>280</v>
      </c>
      <c r="C370" s="2" t="s">
        <v>62</v>
      </c>
      <c r="D370" s="2" t="s">
        <v>316</v>
      </c>
      <c r="E370" s="2" t="s">
        <v>345</v>
      </c>
      <c r="F370" s="2" t="s">
        <v>346</v>
      </c>
      <c r="G370" s="2"/>
      <c r="H370" s="2"/>
      <c r="I370" s="2"/>
      <c r="J370" s="2"/>
    </row>
    <row r="371" spans="1:10" x14ac:dyDescent="0.35">
      <c r="A371" s="2" t="s">
        <v>10</v>
      </c>
      <c r="B371" s="2" t="s">
        <v>280</v>
      </c>
      <c r="C371" s="2" t="s">
        <v>54</v>
      </c>
      <c r="D371" s="2" t="s">
        <v>347</v>
      </c>
      <c r="E371" s="2" t="s">
        <v>120</v>
      </c>
      <c r="F371" s="2" t="s">
        <v>32</v>
      </c>
      <c r="G371" s="2" t="s">
        <v>16</v>
      </c>
      <c r="H371" s="2" t="s">
        <v>348</v>
      </c>
      <c r="I371" s="2" t="s">
        <v>16</v>
      </c>
      <c r="J371" s="2" t="s">
        <v>81</v>
      </c>
    </row>
    <row r="372" spans="1:10" x14ac:dyDescent="0.35">
      <c r="A372" s="2" t="s">
        <v>10</v>
      </c>
      <c r="B372" s="2" t="s">
        <v>280</v>
      </c>
      <c r="C372" s="2" t="s">
        <v>54</v>
      </c>
      <c r="D372" s="2" t="s">
        <v>347</v>
      </c>
      <c r="E372" s="2" t="s">
        <v>136</v>
      </c>
      <c r="F372" s="2" t="s">
        <v>107</v>
      </c>
      <c r="G372" s="2" t="s">
        <v>16</v>
      </c>
      <c r="H372" s="2" t="s">
        <v>191</v>
      </c>
      <c r="I372" s="2" t="s">
        <v>16</v>
      </c>
      <c r="J372" s="2" t="s">
        <v>81</v>
      </c>
    </row>
    <row r="373" spans="1:10" x14ac:dyDescent="0.35">
      <c r="A373" s="2" t="s">
        <v>10</v>
      </c>
      <c r="B373" s="2" t="s">
        <v>280</v>
      </c>
      <c r="C373" s="2" t="s">
        <v>54</v>
      </c>
      <c r="D373" s="2" t="s">
        <v>347</v>
      </c>
      <c r="E373" s="2" t="s">
        <v>33</v>
      </c>
      <c r="F373" s="2" t="s">
        <v>34</v>
      </c>
      <c r="G373" s="2" t="s">
        <v>16</v>
      </c>
      <c r="H373" s="2" t="s">
        <v>191</v>
      </c>
      <c r="I373" s="2" t="s">
        <v>16</v>
      </c>
      <c r="J373" s="2" t="s">
        <v>81</v>
      </c>
    </row>
    <row r="374" spans="1:10" x14ac:dyDescent="0.35">
      <c r="A374" s="2" t="s">
        <v>10</v>
      </c>
      <c r="B374" s="2" t="s">
        <v>280</v>
      </c>
      <c r="C374" s="2" t="s">
        <v>54</v>
      </c>
      <c r="D374" s="2" t="s">
        <v>347</v>
      </c>
      <c r="E374" s="2" t="s">
        <v>121</v>
      </c>
      <c r="F374" s="2" t="s">
        <v>122</v>
      </c>
      <c r="G374" s="2" t="s">
        <v>16</v>
      </c>
      <c r="H374" s="2" t="s">
        <v>191</v>
      </c>
      <c r="I374" s="2" t="s">
        <v>16</v>
      </c>
      <c r="J374" s="2" t="s">
        <v>81</v>
      </c>
    </row>
    <row r="375" spans="1:10" x14ac:dyDescent="0.35">
      <c r="A375" s="2" t="s">
        <v>10</v>
      </c>
      <c r="B375" s="2" t="s">
        <v>280</v>
      </c>
      <c r="C375" s="2" t="s">
        <v>54</v>
      </c>
      <c r="D375" s="2" t="s">
        <v>347</v>
      </c>
      <c r="E375" s="2" t="s">
        <v>35</v>
      </c>
      <c r="F375" s="2" t="s">
        <v>36</v>
      </c>
      <c r="G375" s="2" t="s">
        <v>16</v>
      </c>
      <c r="H375" s="2" t="s">
        <v>191</v>
      </c>
      <c r="I375" s="2" t="s">
        <v>16</v>
      </c>
      <c r="J375" s="2" t="s">
        <v>81</v>
      </c>
    </row>
    <row r="376" spans="1:10" x14ac:dyDescent="0.35">
      <c r="A376" s="2" t="s">
        <v>10</v>
      </c>
      <c r="B376" s="2" t="s">
        <v>280</v>
      </c>
      <c r="C376" s="2" t="s">
        <v>54</v>
      </c>
      <c r="D376" s="2" t="s">
        <v>347</v>
      </c>
      <c r="E376" s="2" t="s">
        <v>124</v>
      </c>
      <c r="F376" s="2" t="s">
        <v>125</v>
      </c>
      <c r="G376" s="2" t="s">
        <v>16</v>
      </c>
      <c r="H376" s="2" t="s">
        <v>191</v>
      </c>
      <c r="I376" s="2" t="s">
        <v>16</v>
      </c>
      <c r="J376" s="2" t="s">
        <v>81</v>
      </c>
    </row>
    <row r="377" spans="1:10" x14ac:dyDescent="0.35">
      <c r="A377" s="2" t="s">
        <v>10</v>
      </c>
      <c r="B377" s="2" t="s">
        <v>280</v>
      </c>
      <c r="C377" s="2" t="s">
        <v>54</v>
      </c>
      <c r="D377" s="2" t="s">
        <v>347</v>
      </c>
      <c r="E377" s="2" t="s">
        <v>126</v>
      </c>
      <c r="F377" s="2" t="s">
        <v>36</v>
      </c>
      <c r="G377" s="2" t="s">
        <v>16</v>
      </c>
      <c r="H377" s="2" t="s">
        <v>191</v>
      </c>
      <c r="I377" s="2" t="s">
        <v>16</v>
      </c>
      <c r="J377" s="2" t="s">
        <v>81</v>
      </c>
    </row>
    <row r="378" spans="1:10" x14ac:dyDescent="0.35">
      <c r="A378" s="2" t="s">
        <v>10</v>
      </c>
      <c r="B378" s="2" t="s">
        <v>280</v>
      </c>
      <c r="C378" s="2" t="s">
        <v>54</v>
      </c>
      <c r="D378" s="2" t="s">
        <v>347</v>
      </c>
      <c r="E378" s="2" t="s">
        <v>18</v>
      </c>
      <c r="F378" s="2" t="s">
        <v>19</v>
      </c>
      <c r="G378" s="2" t="s">
        <v>16</v>
      </c>
      <c r="H378" s="2" t="s">
        <v>191</v>
      </c>
      <c r="I378" s="2" t="s">
        <v>16</v>
      </c>
      <c r="J378" s="2" t="s">
        <v>95</v>
      </c>
    </row>
    <row r="379" spans="1:10" x14ac:dyDescent="0.35">
      <c r="A379" s="2" t="s">
        <v>10</v>
      </c>
      <c r="B379" s="2" t="s">
        <v>280</v>
      </c>
      <c r="C379" s="2" t="s">
        <v>54</v>
      </c>
      <c r="D379" s="2" t="s">
        <v>347</v>
      </c>
      <c r="E379" s="2" t="s">
        <v>188</v>
      </c>
      <c r="F379" s="2" t="s">
        <v>189</v>
      </c>
      <c r="G379" s="2" t="s">
        <v>16</v>
      </c>
      <c r="H379" s="2" t="s">
        <v>349</v>
      </c>
      <c r="I379" s="2" t="s">
        <v>16</v>
      </c>
      <c r="J379" s="2" t="s">
        <v>95</v>
      </c>
    </row>
    <row r="380" spans="1:10" s="21" customFormat="1" x14ac:dyDescent="0.35">
      <c r="A380" s="2" t="s">
        <v>10</v>
      </c>
      <c r="B380" s="2" t="s">
        <v>280</v>
      </c>
      <c r="C380" s="2" t="s">
        <v>62</v>
      </c>
      <c r="D380" s="2" t="s">
        <v>350</v>
      </c>
      <c r="E380" s="2" t="s">
        <v>106</v>
      </c>
      <c r="F380" s="2" t="s">
        <v>107</v>
      </c>
      <c r="G380" s="2"/>
      <c r="H380" s="2"/>
      <c r="I380" s="2"/>
      <c r="J380" s="2"/>
    </row>
    <row r="381" spans="1:10" x14ac:dyDescent="0.35">
      <c r="A381" s="2" t="s">
        <v>10</v>
      </c>
      <c r="B381" s="2" t="s">
        <v>280</v>
      </c>
      <c r="C381" s="2" t="s">
        <v>62</v>
      </c>
      <c r="D381" s="2" t="s">
        <v>351</v>
      </c>
      <c r="E381" s="2" t="s">
        <v>291</v>
      </c>
      <c r="F381" s="2" t="s">
        <v>139</v>
      </c>
      <c r="G381" s="2"/>
      <c r="H381" s="2"/>
      <c r="I381" s="2"/>
      <c r="J381" s="2"/>
    </row>
    <row r="382" spans="1:10" x14ac:dyDescent="0.35">
      <c r="A382" s="2" t="s">
        <v>10</v>
      </c>
      <c r="B382" s="2" t="s">
        <v>280</v>
      </c>
      <c r="C382" s="2" t="s">
        <v>62</v>
      </c>
      <c r="D382" s="2" t="s">
        <v>351</v>
      </c>
      <c r="E382" s="2" t="s">
        <v>352</v>
      </c>
      <c r="F382" s="2" t="s">
        <v>107</v>
      </c>
      <c r="G382" s="2"/>
      <c r="H382" s="2"/>
      <c r="I382" s="2"/>
      <c r="J382" s="2"/>
    </row>
    <row r="383" spans="1:10" x14ac:dyDescent="0.35">
      <c r="A383" s="2" t="s">
        <v>10</v>
      </c>
      <c r="B383" s="2" t="s">
        <v>280</v>
      </c>
      <c r="C383" s="2" t="s">
        <v>62</v>
      </c>
      <c r="D383" s="2" t="s">
        <v>353</v>
      </c>
      <c r="E383" s="2" t="s">
        <v>77</v>
      </c>
      <c r="F383" s="2" t="s">
        <v>78</v>
      </c>
      <c r="G383" s="2"/>
      <c r="H383" s="2"/>
      <c r="I383" s="2"/>
      <c r="J383" s="2"/>
    </row>
    <row r="384" spans="1:10" x14ac:dyDescent="0.35">
      <c r="A384" s="2" t="s">
        <v>10</v>
      </c>
      <c r="B384" s="2" t="s">
        <v>280</v>
      </c>
      <c r="C384" s="2" t="s">
        <v>62</v>
      </c>
      <c r="D384" s="2" t="s">
        <v>353</v>
      </c>
      <c r="E384" s="2" t="s">
        <v>354</v>
      </c>
      <c r="F384" s="2" t="s">
        <v>45</v>
      </c>
      <c r="G384" s="2" t="s">
        <v>46</v>
      </c>
      <c r="H384" s="2" t="s">
        <v>47</v>
      </c>
      <c r="I384" s="2"/>
      <c r="J384" s="2"/>
    </row>
    <row r="385" spans="1:10" s="21" customFormat="1" x14ac:dyDescent="0.35">
      <c r="A385" s="2" t="s">
        <v>10</v>
      </c>
      <c r="B385" s="2" t="s">
        <v>280</v>
      </c>
      <c r="C385" s="2" t="s">
        <v>62</v>
      </c>
      <c r="D385" s="2" t="s">
        <v>355</v>
      </c>
      <c r="E385" s="2" t="s">
        <v>106</v>
      </c>
      <c r="F385" s="2" t="s">
        <v>107</v>
      </c>
      <c r="G385" s="2"/>
      <c r="H385" s="2"/>
      <c r="I385" s="2"/>
      <c r="J385" s="2"/>
    </row>
    <row r="386" spans="1:10" s="21" customFormat="1" x14ac:dyDescent="0.35">
      <c r="A386" s="2" t="s">
        <v>10</v>
      </c>
      <c r="B386" s="2" t="s">
        <v>356</v>
      </c>
      <c r="C386" s="2" t="s">
        <v>62</v>
      </c>
      <c r="D386" s="2" t="s">
        <v>357</v>
      </c>
      <c r="E386" s="2" t="s">
        <v>106</v>
      </c>
      <c r="F386" s="2" t="s">
        <v>107</v>
      </c>
      <c r="G386" s="2"/>
      <c r="H386" s="2"/>
      <c r="I386" s="2"/>
      <c r="J386" s="2"/>
    </row>
    <row r="387" spans="1:10" s="21" customFormat="1" x14ac:dyDescent="0.35">
      <c r="A387" s="2" t="s">
        <v>10</v>
      </c>
      <c r="B387" s="2" t="s">
        <v>356</v>
      </c>
      <c r="C387" s="2" t="s">
        <v>12</v>
      </c>
      <c r="D387" s="2" t="s">
        <v>358</v>
      </c>
      <c r="E387" s="2" t="s">
        <v>172</v>
      </c>
      <c r="F387" s="2" t="s">
        <v>65</v>
      </c>
      <c r="G387" s="2"/>
      <c r="H387" s="2"/>
      <c r="I387" s="2" t="s">
        <v>16</v>
      </c>
      <c r="J387" s="2" t="s">
        <v>17</v>
      </c>
    </row>
    <row r="388" spans="1:10" s="21" customFormat="1" x14ac:dyDescent="0.35">
      <c r="A388" s="2" t="s">
        <v>10</v>
      </c>
      <c r="B388" s="2" t="s">
        <v>356</v>
      </c>
      <c r="C388" s="2" t="s">
        <v>12</v>
      </c>
      <c r="D388" s="2" t="s">
        <v>358</v>
      </c>
      <c r="E388" s="2" t="s">
        <v>18</v>
      </c>
      <c r="F388" s="2" t="s">
        <v>19</v>
      </c>
      <c r="G388" s="2" t="s">
        <v>20</v>
      </c>
      <c r="H388" s="2" t="s">
        <v>359</v>
      </c>
      <c r="I388" s="2" t="s">
        <v>16</v>
      </c>
      <c r="J388" s="2" t="s">
        <v>17</v>
      </c>
    </row>
    <row r="389" spans="1:10" s="21" customFormat="1" x14ac:dyDescent="0.35">
      <c r="A389" s="2" t="s">
        <v>10</v>
      </c>
      <c r="B389" s="2" t="s">
        <v>356</v>
      </c>
      <c r="C389" s="2" t="s">
        <v>12</v>
      </c>
      <c r="D389" s="2" t="s">
        <v>358</v>
      </c>
      <c r="E389" s="2" t="s">
        <v>149</v>
      </c>
      <c r="F389" s="2" t="s">
        <v>150</v>
      </c>
      <c r="G389" s="2" t="s">
        <v>20</v>
      </c>
      <c r="H389" s="2" t="s">
        <v>360</v>
      </c>
      <c r="I389" s="2" t="s">
        <v>16</v>
      </c>
      <c r="J389" s="2" t="s">
        <v>17</v>
      </c>
    </row>
    <row r="390" spans="1:10" x14ac:dyDescent="0.35">
      <c r="A390" s="2" t="s">
        <v>10</v>
      </c>
      <c r="B390" s="2" t="s">
        <v>356</v>
      </c>
      <c r="C390" s="2" t="s">
        <v>24</v>
      </c>
      <c r="D390" s="2" t="s">
        <v>361</v>
      </c>
      <c r="E390" s="2" t="s">
        <v>196</v>
      </c>
      <c r="F390" s="2" t="s">
        <v>197</v>
      </c>
      <c r="G390" s="2"/>
      <c r="H390" s="2"/>
      <c r="I390" s="2"/>
      <c r="J390" s="2"/>
    </row>
    <row r="391" spans="1:10" x14ac:dyDescent="0.35">
      <c r="A391" s="2" t="s">
        <v>10</v>
      </c>
      <c r="B391" s="2" t="s">
        <v>356</v>
      </c>
      <c r="C391" s="2" t="s">
        <v>24</v>
      </c>
      <c r="D391" s="2" t="s">
        <v>361</v>
      </c>
      <c r="E391" s="2" t="s">
        <v>14</v>
      </c>
      <c r="F391" s="2" t="s">
        <v>15</v>
      </c>
      <c r="G391" s="2"/>
      <c r="H391" s="2"/>
      <c r="I391" s="2" t="s">
        <v>16</v>
      </c>
      <c r="J391" s="2" t="s">
        <v>26</v>
      </c>
    </row>
    <row r="392" spans="1:10" x14ac:dyDescent="0.35">
      <c r="A392" s="2" t="s">
        <v>10</v>
      </c>
      <c r="B392" s="2" t="s">
        <v>356</v>
      </c>
      <c r="C392" s="2" t="s">
        <v>24</v>
      </c>
      <c r="D392" s="2" t="s">
        <v>361</v>
      </c>
      <c r="E392" s="2" t="s">
        <v>27</v>
      </c>
      <c r="F392" s="2" t="s">
        <v>28</v>
      </c>
      <c r="G392" s="2"/>
      <c r="H392" s="2"/>
      <c r="I392" s="2" t="s">
        <v>16</v>
      </c>
      <c r="J392" s="2" t="s">
        <v>26</v>
      </c>
    </row>
    <row r="393" spans="1:10" x14ac:dyDescent="0.35">
      <c r="A393" s="2" t="s">
        <v>10</v>
      </c>
      <c r="B393" s="2" t="s">
        <v>356</v>
      </c>
      <c r="C393" s="2" t="s">
        <v>24</v>
      </c>
      <c r="D393" s="2" t="s">
        <v>361</v>
      </c>
      <c r="E393" s="2" t="s">
        <v>31</v>
      </c>
      <c r="F393" s="2" t="s">
        <v>32</v>
      </c>
      <c r="G393" s="2"/>
      <c r="H393" s="2"/>
      <c r="I393" s="2" t="s">
        <v>16</v>
      </c>
      <c r="J393" s="2" t="s">
        <v>26</v>
      </c>
    </row>
    <row r="394" spans="1:10" x14ac:dyDescent="0.35">
      <c r="A394" s="2" t="s">
        <v>10</v>
      </c>
      <c r="B394" s="2" t="s">
        <v>356</v>
      </c>
      <c r="C394" s="2" t="s">
        <v>24</v>
      </c>
      <c r="D394" s="2" t="s">
        <v>361</v>
      </c>
      <c r="E394" s="2" t="s">
        <v>96</v>
      </c>
      <c r="F394" s="2" t="s">
        <v>83</v>
      </c>
      <c r="G394" s="2"/>
      <c r="H394" s="2"/>
      <c r="I394" s="2" t="s">
        <v>16</v>
      </c>
      <c r="J394" s="2" t="s">
        <v>26</v>
      </c>
    </row>
    <row r="395" spans="1:10" x14ac:dyDescent="0.35">
      <c r="A395" s="2" t="s">
        <v>10</v>
      </c>
      <c r="B395" s="2" t="s">
        <v>356</v>
      </c>
      <c r="C395" s="2" t="s">
        <v>24</v>
      </c>
      <c r="D395" s="2" t="s">
        <v>361</v>
      </c>
      <c r="E395" s="2" t="s">
        <v>121</v>
      </c>
      <c r="F395" s="2" t="s">
        <v>122</v>
      </c>
      <c r="G395" s="2"/>
      <c r="H395" s="2"/>
      <c r="I395" s="2" t="s">
        <v>16</v>
      </c>
      <c r="J395" s="2" t="s">
        <v>26</v>
      </c>
    </row>
    <row r="396" spans="1:10" x14ac:dyDescent="0.35">
      <c r="A396" s="2" t="s">
        <v>10</v>
      </c>
      <c r="B396" s="2" t="s">
        <v>356</v>
      </c>
      <c r="C396" s="2" t="s">
        <v>24</v>
      </c>
      <c r="D396" s="2" t="s">
        <v>361</v>
      </c>
      <c r="E396" s="2" t="s">
        <v>362</v>
      </c>
      <c r="F396" s="2" t="s">
        <v>363</v>
      </c>
      <c r="G396" s="2"/>
      <c r="H396" s="2"/>
      <c r="I396" s="2" t="s">
        <v>16</v>
      </c>
      <c r="J396" s="2" t="s">
        <v>26</v>
      </c>
    </row>
    <row r="397" spans="1:10" x14ac:dyDescent="0.35">
      <c r="A397" s="2" t="s">
        <v>10</v>
      </c>
      <c r="B397" s="2" t="s">
        <v>356</v>
      </c>
      <c r="C397" s="2" t="s">
        <v>24</v>
      </c>
      <c r="D397" s="2" t="s">
        <v>361</v>
      </c>
      <c r="E397" s="2" t="s">
        <v>77</v>
      </c>
      <c r="F397" s="2" t="s">
        <v>78</v>
      </c>
      <c r="G397" s="2"/>
      <c r="H397" s="2"/>
      <c r="I397" s="2" t="s">
        <v>16</v>
      </c>
      <c r="J397" s="2" t="s">
        <v>26</v>
      </c>
    </row>
    <row r="398" spans="1:10" x14ac:dyDescent="0.35">
      <c r="A398" s="2" t="s">
        <v>10</v>
      </c>
      <c r="B398" s="2" t="s">
        <v>356</v>
      </c>
      <c r="C398" s="2" t="s">
        <v>24</v>
      </c>
      <c r="D398" s="2" t="s">
        <v>361</v>
      </c>
      <c r="E398" s="2" t="s">
        <v>91</v>
      </c>
      <c r="F398" s="2" t="s">
        <v>19</v>
      </c>
      <c r="G398" s="2" t="s">
        <v>16</v>
      </c>
      <c r="H398" s="2" t="s">
        <v>364</v>
      </c>
      <c r="I398" s="2" t="s">
        <v>16</v>
      </c>
      <c r="J398" s="2" t="s">
        <v>26</v>
      </c>
    </row>
    <row r="399" spans="1:10" x14ac:dyDescent="0.35">
      <c r="A399" s="2" t="s">
        <v>10</v>
      </c>
      <c r="B399" s="2" t="s">
        <v>356</v>
      </c>
      <c r="C399" s="2" t="s">
        <v>24</v>
      </c>
      <c r="D399" s="2" t="s">
        <v>361</v>
      </c>
      <c r="E399" s="2" t="s">
        <v>87</v>
      </c>
      <c r="F399" s="2" t="s">
        <v>75</v>
      </c>
      <c r="G399" s="2" t="s">
        <v>16</v>
      </c>
      <c r="H399" s="2" t="s">
        <v>365</v>
      </c>
      <c r="I399" s="2" t="s">
        <v>16</v>
      </c>
      <c r="J399" s="2" t="s">
        <v>26</v>
      </c>
    </row>
    <row r="400" spans="1:10" x14ac:dyDescent="0.35">
      <c r="A400" s="2" t="s">
        <v>10</v>
      </c>
      <c r="B400" s="2" t="s">
        <v>356</v>
      </c>
      <c r="C400" s="2" t="s">
        <v>24</v>
      </c>
      <c r="D400" s="2" t="s">
        <v>361</v>
      </c>
      <c r="E400" s="2" t="s">
        <v>124</v>
      </c>
      <c r="F400" s="2" t="s">
        <v>125</v>
      </c>
      <c r="G400" s="2"/>
      <c r="H400" s="2"/>
      <c r="I400" s="2" t="s">
        <v>16</v>
      </c>
      <c r="J400" s="2" t="s">
        <v>26</v>
      </c>
    </row>
    <row r="401" spans="1:10" x14ac:dyDescent="0.35">
      <c r="A401" s="2" t="s">
        <v>10</v>
      </c>
      <c r="B401" s="2" t="s">
        <v>356</v>
      </c>
      <c r="C401" s="2" t="s">
        <v>24</v>
      </c>
      <c r="D401" s="2" t="s">
        <v>361</v>
      </c>
      <c r="E401" s="2" t="s">
        <v>61</v>
      </c>
      <c r="F401" s="2" t="s">
        <v>30</v>
      </c>
      <c r="G401" s="2"/>
      <c r="H401" s="2"/>
      <c r="I401" s="2" t="s">
        <v>16</v>
      </c>
      <c r="J401" s="2" t="s">
        <v>26</v>
      </c>
    </row>
    <row r="402" spans="1:10" x14ac:dyDescent="0.35">
      <c r="A402" s="2" t="s">
        <v>10</v>
      </c>
      <c r="B402" s="2" t="s">
        <v>356</v>
      </c>
      <c r="C402" s="2" t="s">
        <v>24</v>
      </c>
      <c r="D402" s="2" t="s">
        <v>361</v>
      </c>
      <c r="E402" s="2" t="s">
        <v>100</v>
      </c>
      <c r="F402" s="2" t="s">
        <v>101</v>
      </c>
      <c r="G402" s="2"/>
      <c r="H402" s="2"/>
      <c r="I402" s="2"/>
      <c r="J402" s="2"/>
    </row>
    <row r="403" spans="1:10" x14ac:dyDescent="0.35">
      <c r="A403" s="2" t="s">
        <v>10</v>
      </c>
      <c r="B403" s="2" t="s">
        <v>356</v>
      </c>
      <c r="C403" s="2" t="s">
        <v>24</v>
      </c>
      <c r="D403" s="2" t="s">
        <v>361</v>
      </c>
      <c r="E403" s="2" t="s">
        <v>366</v>
      </c>
      <c r="F403" s="2" t="s">
        <v>367</v>
      </c>
      <c r="G403" s="2" t="s">
        <v>46</v>
      </c>
      <c r="H403" s="2" t="s">
        <v>368</v>
      </c>
      <c r="I403" s="2" t="s">
        <v>16</v>
      </c>
      <c r="J403" s="2" t="s">
        <v>26</v>
      </c>
    </row>
    <row r="404" spans="1:10" x14ac:dyDescent="0.35">
      <c r="A404" s="2" t="s">
        <v>10</v>
      </c>
      <c r="B404" s="2" t="s">
        <v>356</v>
      </c>
      <c r="C404" s="2" t="s">
        <v>24</v>
      </c>
      <c r="D404" s="2" t="s">
        <v>361</v>
      </c>
      <c r="E404" s="2" t="s">
        <v>149</v>
      </c>
      <c r="F404" s="2" t="s">
        <v>150</v>
      </c>
      <c r="G404" s="2"/>
      <c r="H404" s="2"/>
      <c r="I404" s="2" t="s">
        <v>16</v>
      </c>
      <c r="J404" s="2" t="s">
        <v>26</v>
      </c>
    </row>
    <row r="405" spans="1:10" x14ac:dyDescent="0.35">
      <c r="A405" s="2" t="s">
        <v>10</v>
      </c>
      <c r="B405" s="2" t="s">
        <v>356</v>
      </c>
      <c r="C405" s="2" t="s">
        <v>62</v>
      </c>
      <c r="D405" s="2" t="s">
        <v>369</v>
      </c>
      <c r="E405" s="2" t="s">
        <v>18</v>
      </c>
      <c r="F405" s="2" t="s">
        <v>19</v>
      </c>
      <c r="G405" s="2" t="s">
        <v>16</v>
      </c>
      <c r="H405" s="2" t="s">
        <v>370</v>
      </c>
      <c r="I405" s="2" t="s">
        <v>16</v>
      </c>
      <c r="J405" s="2" t="s">
        <v>17</v>
      </c>
    </row>
    <row r="406" spans="1:10" x14ac:dyDescent="0.35">
      <c r="A406" s="2" t="s">
        <v>10</v>
      </c>
      <c r="B406" s="2" t="s">
        <v>356</v>
      </c>
      <c r="C406" s="2" t="s">
        <v>62</v>
      </c>
      <c r="D406" s="2" t="s">
        <v>369</v>
      </c>
      <c r="E406" s="2" t="s">
        <v>352</v>
      </c>
      <c r="F406" s="2" t="s">
        <v>107</v>
      </c>
      <c r="G406" s="2"/>
      <c r="H406" s="2"/>
      <c r="I406" s="2" t="s">
        <v>16</v>
      </c>
      <c r="J406" s="2" t="s">
        <v>17</v>
      </c>
    </row>
    <row r="407" spans="1:10" x14ac:dyDescent="0.35">
      <c r="A407" s="2" t="s">
        <v>10</v>
      </c>
      <c r="B407" s="2" t="s">
        <v>356</v>
      </c>
      <c r="C407" s="2" t="s">
        <v>62</v>
      </c>
      <c r="D407" s="2" t="s">
        <v>371</v>
      </c>
      <c r="E407" s="2" t="s">
        <v>18</v>
      </c>
      <c r="F407" s="2" t="s">
        <v>19</v>
      </c>
      <c r="G407" s="2" t="s">
        <v>16</v>
      </c>
      <c r="H407" s="2" t="s">
        <v>372</v>
      </c>
      <c r="I407" s="2" t="s">
        <v>16</v>
      </c>
      <c r="J407" s="2" t="s">
        <v>17</v>
      </c>
    </row>
    <row r="408" spans="1:10" x14ac:dyDescent="0.35">
      <c r="A408" s="2" t="s">
        <v>10</v>
      </c>
      <c r="B408" s="2" t="s">
        <v>356</v>
      </c>
      <c r="C408" s="2" t="s">
        <v>62</v>
      </c>
      <c r="D408" s="2" t="s">
        <v>371</v>
      </c>
      <c r="E408" s="2" t="s">
        <v>352</v>
      </c>
      <c r="F408" s="2" t="s">
        <v>107</v>
      </c>
      <c r="G408" s="2"/>
      <c r="H408" s="2"/>
      <c r="I408" s="2" t="s">
        <v>16</v>
      </c>
      <c r="J408" s="2" t="s">
        <v>17</v>
      </c>
    </row>
    <row r="409" spans="1:10" x14ac:dyDescent="0.35">
      <c r="A409" s="2" t="s">
        <v>10</v>
      </c>
      <c r="B409" s="2" t="s">
        <v>356</v>
      </c>
      <c r="C409" s="2" t="s">
        <v>62</v>
      </c>
      <c r="D409" s="2" t="s">
        <v>373</v>
      </c>
      <c r="E409" s="2" t="s">
        <v>91</v>
      </c>
      <c r="F409" s="2" t="s">
        <v>19</v>
      </c>
      <c r="G409" s="2" t="s">
        <v>16</v>
      </c>
      <c r="H409" s="2" t="s">
        <v>374</v>
      </c>
      <c r="I409" s="2" t="s">
        <v>16</v>
      </c>
      <c r="J409" s="2" t="s">
        <v>17</v>
      </c>
    </row>
    <row r="410" spans="1:10" x14ac:dyDescent="0.35">
      <c r="A410" s="2" t="s">
        <v>10</v>
      </c>
      <c r="B410" s="2" t="s">
        <v>356</v>
      </c>
      <c r="C410" s="2" t="s">
        <v>62</v>
      </c>
      <c r="D410" s="2" t="s">
        <v>373</v>
      </c>
      <c r="E410" s="2" t="s">
        <v>375</v>
      </c>
      <c r="F410" s="2" t="s">
        <v>107</v>
      </c>
      <c r="G410" s="2"/>
      <c r="H410" s="2"/>
      <c r="I410" s="2" t="s">
        <v>16</v>
      </c>
      <c r="J410" s="2" t="s">
        <v>17</v>
      </c>
    </row>
    <row r="411" spans="1:10" x14ac:dyDescent="0.35">
      <c r="A411" s="2" t="s">
        <v>10</v>
      </c>
      <c r="B411" s="2" t="s">
        <v>356</v>
      </c>
      <c r="C411" s="2" t="s">
        <v>62</v>
      </c>
      <c r="D411" s="2" t="s">
        <v>376</v>
      </c>
      <c r="E411" s="2" t="s">
        <v>377</v>
      </c>
      <c r="F411" s="2" t="s">
        <v>270</v>
      </c>
      <c r="G411" s="2"/>
      <c r="H411" s="2"/>
      <c r="I411" s="2"/>
      <c r="J411" s="2"/>
    </row>
    <row r="412" spans="1:10" x14ac:dyDescent="0.35">
      <c r="A412" s="2" t="s">
        <v>10</v>
      </c>
      <c r="B412" s="2" t="s">
        <v>356</v>
      </c>
      <c r="C412" s="2" t="s">
        <v>62</v>
      </c>
      <c r="D412" s="2" t="s">
        <v>376</v>
      </c>
      <c r="E412" s="2" t="s">
        <v>18</v>
      </c>
      <c r="F412" s="2" t="s">
        <v>19</v>
      </c>
      <c r="G412" s="2" t="s">
        <v>20</v>
      </c>
      <c r="H412" s="2" t="s">
        <v>378</v>
      </c>
      <c r="I412" s="2"/>
      <c r="J412" s="2"/>
    </row>
    <row r="413" spans="1:10" x14ac:dyDescent="0.35">
      <c r="A413" s="2" t="s">
        <v>10</v>
      </c>
      <c r="B413" s="2" t="s">
        <v>356</v>
      </c>
      <c r="C413" s="2" t="s">
        <v>62</v>
      </c>
      <c r="D413" s="2" t="s">
        <v>379</v>
      </c>
      <c r="E413" s="2" t="s">
        <v>352</v>
      </c>
      <c r="F413" s="2" t="s">
        <v>107</v>
      </c>
      <c r="G413" s="2"/>
      <c r="H413" s="2"/>
      <c r="I413" s="2" t="s">
        <v>16</v>
      </c>
      <c r="J413" s="2" t="s">
        <v>26</v>
      </c>
    </row>
    <row r="414" spans="1:10" s="21" customFormat="1" x14ac:dyDescent="0.35">
      <c r="A414" s="2" t="s">
        <v>10</v>
      </c>
      <c r="B414" s="2" t="s">
        <v>356</v>
      </c>
      <c r="C414" s="2" t="s">
        <v>57</v>
      </c>
      <c r="D414" s="2" t="s">
        <v>380</v>
      </c>
      <c r="E414" s="2" t="s">
        <v>27</v>
      </c>
      <c r="F414" s="2" t="s">
        <v>28</v>
      </c>
      <c r="G414" s="2" t="s">
        <v>20</v>
      </c>
      <c r="H414" s="2" t="s">
        <v>381</v>
      </c>
      <c r="I414" s="2" t="s">
        <v>16</v>
      </c>
      <c r="J414" s="2" t="s">
        <v>26</v>
      </c>
    </row>
    <row r="415" spans="1:10" x14ac:dyDescent="0.35">
      <c r="A415" s="2" t="s">
        <v>10</v>
      </c>
      <c r="B415" s="2" t="s">
        <v>356</v>
      </c>
      <c r="C415" s="2" t="s">
        <v>57</v>
      </c>
      <c r="D415" s="2" t="s">
        <v>380</v>
      </c>
      <c r="E415" s="2" t="s">
        <v>31</v>
      </c>
      <c r="F415" s="2" t="s">
        <v>32</v>
      </c>
      <c r="G415" s="2"/>
      <c r="H415" s="2"/>
      <c r="I415" s="2" t="s">
        <v>16</v>
      </c>
      <c r="J415" s="2" t="s">
        <v>26</v>
      </c>
    </row>
    <row r="416" spans="1:10" x14ac:dyDescent="0.35">
      <c r="A416" s="2" t="s">
        <v>10</v>
      </c>
      <c r="B416" s="2" t="s">
        <v>356</v>
      </c>
      <c r="C416" s="2" t="s">
        <v>57</v>
      </c>
      <c r="D416" s="2" t="s">
        <v>380</v>
      </c>
      <c r="E416" s="2" t="s">
        <v>200</v>
      </c>
      <c r="F416" s="2" t="s">
        <v>201</v>
      </c>
      <c r="G416" s="2" t="s">
        <v>16</v>
      </c>
      <c r="H416" s="2" t="s">
        <v>382</v>
      </c>
      <c r="I416" s="2" t="s">
        <v>16</v>
      </c>
      <c r="J416" s="2" t="s">
        <v>26</v>
      </c>
    </row>
    <row r="417" spans="1:10" x14ac:dyDescent="0.35">
      <c r="A417" s="2" t="s">
        <v>10</v>
      </c>
      <c r="B417" s="2" t="s">
        <v>356</v>
      </c>
      <c r="C417" s="2" t="s">
        <v>57</v>
      </c>
      <c r="D417" s="2" t="s">
        <v>380</v>
      </c>
      <c r="E417" s="2" t="s">
        <v>212</v>
      </c>
      <c r="F417" s="2" t="s">
        <v>78</v>
      </c>
      <c r="G417" s="2"/>
      <c r="H417" s="2"/>
      <c r="I417" s="2" t="s">
        <v>16</v>
      </c>
      <c r="J417" s="2" t="s">
        <v>26</v>
      </c>
    </row>
    <row r="418" spans="1:10" x14ac:dyDescent="0.35">
      <c r="A418" s="2" t="s">
        <v>10</v>
      </c>
      <c r="B418" s="2" t="s">
        <v>356</v>
      </c>
      <c r="C418" s="2" t="s">
        <v>57</v>
      </c>
      <c r="D418" s="2" t="s">
        <v>380</v>
      </c>
      <c r="E418" s="2" t="s">
        <v>121</v>
      </c>
      <c r="F418" s="2" t="s">
        <v>122</v>
      </c>
      <c r="G418" s="2"/>
      <c r="H418" s="2"/>
      <c r="I418" s="2" t="s">
        <v>16</v>
      </c>
      <c r="J418" s="2" t="s">
        <v>26</v>
      </c>
    </row>
    <row r="419" spans="1:10" x14ac:dyDescent="0.35">
      <c r="A419" s="2" t="s">
        <v>10</v>
      </c>
      <c r="B419" s="2" t="s">
        <v>356</v>
      </c>
      <c r="C419" s="2" t="s">
        <v>57</v>
      </c>
      <c r="D419" s="2" t="s">
        <v>380</v>
      </c>
      <c r="E419" s="2" t="s">
        <v>87</v>
      </c>
      <c r="F419" s="2" t="s">
        <v>75</v>
      </c>
      <c r="G419" s="2" t="s">
        <v>16</v>
      </c>
      <c r="H419" s="2" t="s">
        <v>383</v>
      </c>
      <c r="I419" s="2" t="s">
        <v>16</v>
      </c>
      <c r="J419" s="2" t="s">
        <v>26</v>
      </c>
    </row>
    <row r="420" spans="1:10" s="21" customFormat="1" x14ac:dyDescent="0.35">
      <c r="A420" s="2" t="s">
        <v>10</v>
      </c>
      <c r="B420" s="2" t="s">
        <v>356</v>
      </c>
      <c r="C420" s="2" t="s">
        <v>57</v>
      </c>
      <c r="D420" s="2" t="s">
        <v>380</v>
      </c>
      <c r="E420" s="2" t="s">
        <v>51</v>
      </c>
      <c r="F420" s="2" t="s">
        <v>52</v>
      </c>
      <c r="G420" s="2"/>
      <c r="H420" s="2"/>
      <c r="I420" s="2" t="s">
        <v>16</v>
      </c>
      <c r="J420" s="2" t="s">
        <v>26</v>
      </c>
    </row>
    <row r="421" spans="1:10" x14ac:dyDescent="0.35">
      <c r="A421" s="2" t="s">
        <v>10</v>
      </c>
      <c r="B421" s="2" t="s">
        <v>356</v>
      </c>
      <c r="C421" s="2" t="s">
        <v>57</v>
      </c>
      <c r="D421" s="2" t="s">
        <v>380</v>
      </c>
      <c r="E421" s="2" t="s">
        <v>149</v>
      </c>
      <c r="F421" s="2" t="s">
        <v>150</v>
      </c>
      <c r="G421" s="2" t="s">
        <v>16</v>
      </c>
      <c r="H421" s="2" t="s">
        <v>384</v>
      </c>
      <c r="I421" s="2" t="s">
        <v>16</v>
      </c>
      <c r="J421" s="2" t="s">
        <v>26</v>
      </c>
    </row>
    <row r="422" spans="1:10" x14ac:dyDescent="0.35">
      <c r="A422" s="2" t="s">
        <v>10</v>
      </c>
      <c r="B422" s="2" t="s">
        <v>356</v>
      </c>
      <c r="C422" s="2" t="s">
        <v>62</v>
      </c>
      <c r="D422" s="2" t="s">
        <v>385</v>
      </c>
      <c r="E422" s="2" t="s">
        <v>386</v>
      </c>
      <c r="F422" s="2" t="s">
        <v>28</v>
      </c>
      <c r="G422" s="2"/>
      <c r="H422" s="2"/>
      <c r="I422" s="2"/>
      <c r="J422" s="2"/>
    </row>
    <row r="423" spans="1:10" x14ac:dyDescent="0.35">
      <c r="A423" s="2" t="s">
        <v>10</v>
      </c>
      <c r="B423" s="2" t="s">
        <v>356</v>
      </c>
      <c r="C423" s="2" t="s">
        <v>62</v>
      </c>
      <c r="D423" s="2" t="s">
        <v>385</v>
      </c>
      <c r="E423" s="2" t="s">
        <v>387</v>
      </c>
      <c r="F423" s="2" t="s">
        <v>367</v>
      </c>
      <c r="G423" s="2"/>
      <c r="H423" s="2"/>
      <c r="I423" s="2"/>
      <c r="J423" s="2"/>
    </row>
    <row r="424" spans="1:10" x14ac:dyDescent="0.35">
      <c r="A424" s="2" t="s">
        <v>10</v>
      </c>
      <c r="B424" s="2" t="s">
        <v>356</v>
      </c>
      <c r="C424" s="2" t="s">
        <v>62</v>
      </c>
      <c r="D424" s="2" t="s">
        <v>385</v>
      </c>
      <c r="E424" s="2" t="s">
        <v>388</v>
      </c>
      <c r="F424" s="2" t="s">
        <v>28</v>
      </c>
      <c r="G424" s="2"/>
      <c r="H424" s="2"/>
      <c r="I424" s="2"/>
      <c r="J424" s="2"/>
    </row>
    <row r="425" spans="1:10" s="21" customFormat="1" x14ac:dyDescent="0.35">
      <c r="A425" s="2" t="s">
        <v>10</v>
      </c>
      <c r="B425" s="2" t="s">
        <v>356</v>
      </c>
      <c r="C425" s="2" t="s">
        <v>62</v>
      </c>
      <c r="D425" s="2" t="s">
        <v>389</v>
      </c>
      <c r="E425" s="2" t="s">
        <v>106</v>
      </c>
      <c r="F425" s="2" t="s">
        <v>107</v>
      </c>
      <c r="G425" s="2"/>
      <c r="H425" s="2"/>
      <c r="I425" s="2"/>
      <c r="J425" s="2"/>
    </row>
    <row r="426" spans="1:10" x14ac:dyDescent="0.35">
      <c r="A426" s="2" t="s">
        <v>10</v>
      </c>
      <c r="B426" s="2" t="s">
        <v>356</v>
      </c>
      <c r="C426" s="2" t="s">
        <v>62</v>
      </c>
      <c r="D426" s="2" t="s">
        <v>390</v>
      </c>
      <c r="E426" s="2" t="s">
        <v>391</v>
      </c>
      <c r="F426" s="2" t="s">
        <v>78</v>
      </c>
      <c r="G426" s="2"/>
      <c r="H426" s="2"/>
      <c r="I426" s="2"/>
      <c r="J426" s="2"/>
    </row>
    <row r="427" spans="1:10" x14ac:dyDescent="0.35">
      <c r="A427" s="2" t="s">
        <v>10</v>
      </c>
      <c r="B427" s="2" t="s">
        <v>356</v>
      </c>
      <c r="C427" s="2" t="s">
        <v>62</v>
      </c>
      <c r="D427" s="2" t="s">
        <v>390</v>
      </c>
      <c r="E427" s="2" t="s">
        <v>352</v>
      </c>
      <c r="F427" s="2" t="s">
        <v>107</v>
      </c>
      <c r="G427" s="2"/>
      <c r="H427" s="2"/>
      <c r="I427" s="2"/>
      <c r="J427" s="2"/>
    </row>
    <row r="428" spans="1:10" x14ac:dyDescent="0.35">
      <c r="A428" s="2" t="s">
        <v>10</v>
      </c>
      <c r="B428" s="2" t="s">
        <v>356</v>
      </c>
      <c r="C428" s="2" t="s">
        <v>54</v>
      </c>
      <c r="D428" s="2" t="s">
        <v>392</v>
      </c>
      <c r="E428" s="2" t="s">
        <v>393</v>
      </c>
      <c r="F428" s="2" t="s">
        <v>36</v>
      </c>
      <c r="G428" s="2" t="s">
        <v>16</v>
      </c>
      <c r="H428" s="2" t="s">
        <v>191</v>
      </c>
      <c r="I428" s="2" t="s">
        <v>16</v>
      </c>
      <c r="J428" s="2" t="s">
        <v>17</v>
      </c>
    </row>
    <row r="429" spans="1:10" x14ac:dyDescent="0.35">
      <c r="A429" s="2" t="s">
        <v>10</v>
      </c>
      <c r="B429" s="2" t="s">
        <v>356</v>
      </c>
      <c r="C429" s="2" t="s">
        <v>54</v>
      </c>
      <c r="D429" s="2" t="s">
        <v>392</v>
      </c>
      <c r="E429" s="2" t="s">
        <v>91</v>
      </c>
      <c r="F429" s="2" t="s">
        <v>19</v>
      </c>
      <c r="G429" s="2" t="s">
        <v>16</v>
      </c>
      <c r="H429" s="2" t="s">
        <v>191</v>
      </c>
      <c r="I429" s="2" t="s">
        <v>16</v>
      </c>
      <c r="J429" s="2" t="s">
        <v>17</v>
      </c>
    </row>
    <row r="430" spans="1:10" x14ac:dyDescent="0.35">
      <c r="A430" s="2" t="s">
        <v>10</v>
      </c>
      <c r="B430" s="2" t="s">
        <v>356</v>
      </c>
      <c r="C430" s="2" t="s">
        <v>54</v>
      </c>
      <c r="D430" s="2" t="s">
        <v>392</v>
      </c>
      <c r="E430" s="2" t="s">
        <v>89</v>
      </c>
      <c r="F430" s="2" t="s">
        <v>45</v>
      </c>
      <c r="G430" s="2" t="s">
        <v>16</v>
      </c>
      <c r="H430" s="2" t="s">
        <v>394</v>
      </c>
      <c r="I430" s="2" t="s">
        <v>16</v>
      </c>
      <c r="J430" s="2" t="s">
        <v>17</v>
      </c>
    </row>
    <row r="431" spans="1:10" x14ac:dyDescent="0.35">
      <c r="A431" s="2" t="s">
        <v>10</v>
      </c>
      <c r="B431" s="2" t="s">
        <v>356</v>
      </c>
      <c r="C431" s="2" t="s">
        <v>54</v>
      </c>
      <c r="D431" s="2" t="s">
        <v>392</v>
      </c>
      <c r="E431" s="2" t="s">
        <v>149</v>
      </c>
      <c r="F431" s="2" t="s">
        <v>150</v>
      </c>
      <c r="G431" s="2" t="s">
        <v>16</v>
      </c>
      <c r="H431" s="2" t="s">
        <v>191</v>
      </c>
      <c r="I431" s="2" t="s">
        <v>16</v>
      </c>
      <c r="J431" s="2" t="s">
        <v>17</v>
      </c>
    </row>
    <row r="432" spans="1:10" s="21" customFormat="1" x14ac:dyDescent="0.35">
      <c r="A432" s="2" t="s">
        <v>10</v>
      </c>
      <c r="B432" s="2" t="s">
        <v>356</v>
      </c>
      <c r="C432" s="2" t="s">
        <v>24</v>
      </c>
      <c r="D432" s="2" t="s">
        <v>395</v>
      </c>
      <c r="E432" s="2" t="s">
        <v>172</v>
      </c>
      <c r="F432" s="2" t="s">
        <v>65</v>
      </c>
      <c r="G432" s="2"/>
      <c r="H432" s="2"/>
      <c r="I432" s="2" t="s">
        <v>16</v>
      </c>
      <c r="J432" s="2" t="s">
        <v>17</v>
      </c>
    </row>
    <row r="433" spans="1:10" s="21" customFormat="1" x14ac:dyDescent="0.35">
      <c r="A433" s="2" t="s">
        <v>10</v>
      </c>
      <c r="B433" s="2" t="s">
        <v>356</v>
      </c>
      <c r="C433" s="2" t="s">
        <v>24</v>
      </c>
      <c r="D433" s="2" t="s">
        <v>395</v>
      </c>
      <c r="E433" s="2" t="s">
        <v>18</v>
      </c>
      <c r="F433" s="2" t="s">
        <v>19</v>
      </c>
      <c r="G433" s="2" t="s">
        <v>20</v>
      </c>
      <c r="H433" s="2" t="s">
        <v>396</v>
      </c>
      <c r="I433" s="2" t="s">
        <v>16</v>
      </c>
      <c r="J433" s="2" t="s">
        <v>17</v>
      </c>
    </row>
    <row r="434" spans="1:10" x14ac:dyDescent="0.35">
      <c r="A434" s="2" t="s">
        <v>10</v>
      </c>
      <c r="B434" s="2" t="s">
        <v>356</v>
      </c>
      <c r="C434" s="2" t="s">
        <v>12</v>
      </c>
      <c r="D434" s="2" t="s">
        <v>397</v>
      </c>
      <c r="E434" s="2" t="s">
        <v>14</v>
      </c>
      <c r="F434" s="2" t="s">
        <v>15</v>
      </c>
      <c r="G434" s="2"/>
      <c r="H434" s="2"/>
      <c r="I434" s="2" t="s">
        <v>16</v>
      </c>
      <c r="J434" s="2" t="s">
        <v>26</v>
      </c>
    </row>
    <row r="435" spans="1:10" x14ac:dyDescent="0.35">
      <c r="A435" s="2" t="s">
        <v>10</v>
      </c>
      <c r="B435" s="2" t="s">
        <v>356</v>
      </c>
      <c r="C435" s="2" t="s">
        <v>12</v>
      </c>
      <c r="D435" s="2" t="s">
        <v>397</v>
      </c>
      <c r="E435" s="2" t="s">
        <v>39</v>
      </c>
      <c r="F435" s="2" t="s">
        <v>40</v>
      </c>
      <c r="G435" s="2"/>
      <c r="H435" s="2"/>
      <c r="I435" s="2" t="s">
        <v>16</v>
      </c>
      <c r="J435" s="2" t="s">
        <v>26</v>
      </c>
    </row>
    <row r="436" spans="1:10" x14ac:dyDescent="0.35">
      <c r="A436" s="2" t="s">
        <v>10</v>
      </c>
      <c r="B436" s="2" t="s">
        <v>356</v>
      </c>
      <c r="C436" s="2" t="s">
        <v>12</v>
      </c>
      <c r="D436" s="2" t="s">
        <v>397</v>
      </c>
      <c r="E436" s="2" t="s">
        <v>18</v>
      </c>
      <c r="F436" s="2" t="s">
        <v>19</v>
      </c>
      <c r="G436" s="2" t="s">
        <v>16</v>
      </c>
      <c r="H436" s="2" t="s">
        <v>398</v>
      </c>
      <c r="I436" s="2" t="s">
        <v>16</v>
      </c>
      <c r="J436" s="2" t="s">
        <v>26</v>
      </c>
    </row>
    <row r="437" spans="1:10" s="21" customFormat="1" x14ac:dyDescent="0.35">
      <c r="A437" s="2" t="s">
        <v>10</v>
      </c>
      <c r="B437" s="2" t="s">
        <v>356</v>
      </c>
      <c r="C437" s="2" t="s">
        <v>12</v>
      </c>
      <c r="D437" s="2" t="s">
        <v>399</v>
      </c>
      <c r="E437" s="2" t="s">
        <v>51</v>
      </c>
      <c r="F437" s="2" t="s">
        <v>52</v>
      </c>
      <c r="G437" s="2"/>
      <c r="H437" s="2"/>
      <c r="I437" s="2" t="s">
        <v>16</v>
      </c>
      <c r="J437" s="2" t="s">
        <v>26</v>
      </c>
    </row>
    <row r="438" spans="1:10" s="21" customFormat="1" x14ac:dyDescent="0.35">
      <c r="A438" s="2" t="s">
        <v>10</v>
      </c>
      <c r="B438" s="2" t="s">
        <v>356</v>
      </c>
      <c r="C438" s="2" t="s">
        <v>12</v>
      </c>
      <c r="D438" s="2" t="s">
        <v>399</v>
      </c>
      <c r="E438" s="2" t="s">
        <v>18</v>
      </c>
      <c r="F438" s="2" t="s">
        <v>19</v>
      </c>
      <c r="G438" s="2" t="s">
        <v>20</v>
      </c>
      <c r="H438" s="2" t="s">
        <v>400</v>
      </c>
      <c r="I438" s="2" t="s">
        <v>16</v>
      </c>
      <c r="J438" s="2" t="s">
        <v>26</v>
      </c>
    </row>
    <row r="439" spans="1:10" x14ac:dyDescent="0.35">
      <c r="A439" s="2" t="s">
        <v>10</v>
      </c>
      <c r="B439" s="2" t="s">
        <v>356</v>
      </c>
      <c r="C439" s="2" t="s">
        <v>12</v>
      </c>
      <c r="D439" s="2" t="s">
        <v>401</v>
      </c>
      <c r="E439" s="2" t="s">
        <v>91</v>
      </c>
      <c r="F439" s="2" t="s">
        <v>19</v>
      </c>
      <c r="G439" s="2" t="s">
        <v>20</v>
      </c>
      <c r="H439" s="2" t="s">
        <v>402</v>
      </c>
      <c r="I439" s="2"/>
      <c r="J439" s="2"/>
    </row>
    <row r="440" spans="1:10" x14ac:dyDescent="0.35">
      <c r="A440" s="2" t="s">
        <v>10</v>
      </c>
      <c r="B440" s="2" t="s">
        <v>356</v>
      </c>
      <c r="C440" s="2" t="s">
        <v>12</v>
      </c>
      <c r="D440" s="2" t="s">
        <v>401</v>
      </c>
      <c r="E440" s="2" t="s">
        <v>64</v>
      </c>
      <c r="F440" s="2" t="s">
        <v>65</v>
      </c>
      <c r="G440" s="2"/>
      <c r="H440" s="2"/>
      <c r="I440" s="2"/>
      <c r="J440" s="2"/>
    </row>
    <row r="441" spans="1:10" x14ac:dyDescent="0.35">
      <c r="A441" s="2" t="s">
        <v>10</v>
      </c>
      <c r="B441" s="2" t="s">
        <v>356</v>
      </c>
      <c r="C441" s="2" t="s">
        <v>54</v>
      </c>
      <c r="D441" s="2" t="s">
        <v>403</v>
      </c>
      <c r="E441" s="2" t="s">
        <v>33</v>
      </c>
      <c r="F441" s="2" t="s">
        <v>34</v>
      </c>
      <c r="G441" s="2" t="s">
        <v>16</v>
      </c>
      <c r="H441" s="2" t="s">
        <v>191</v>
      </c>
      <c r="I441" s="2" t="s">
        <v>16</v>
      </c>
      <c r="J441" s="2" t="s">
        <v>404</v>
      </c>
    </row>
    <row r="442" spans="1:10" x14ac:dyDescent="0.35">
      <c r="A442" s="2" t="s">
        <v>10</v>
      </c>
      <c r="B442" s="2" t="s">
        <v>356</v>
      </c>
      <c r="C442" s="2" t="s">
        <v>54</v>
      </c>
      <c r="D442" s="2" t="s">
        <v>403</v>
      </c>
      <c r="E442" s="2" t="s">
        <v>35</v>
      </c>
      <c r="F442" s="2" t="s">
        <v>36</v>
      </c>
      <c r="G442" s="2" t="s">
        <v>16</v>
      </c>
      <c r="H442" s="2" t="s">
        <v>191</v>
      </c>
      <c r="I442" s="2" t="s">
        <v>16</v>
      </c>
      <c r="J442" s="2" t="s">
        <v>404</v>
      </c>
    </row>
    <row r="443" spans="1:10" x14ac:dyDescent="0.35">
      <c r="A443" s="2" t="s">
        <v>10</v>
      </c>
      <c r="B443" s="2" t="s">
        <v>356</v>
      </c>
      <c r="C443" s="2" t="s">
        <v>54</v>
      </c>
      <c r="D443" s="2" t="s">
        <v>403</v>
      </c>
      <c r="E443" s="2" t="s">
        <v>213</v>
      </c>
      <c r="F443" s="2" t="s">
        <v>45</v>
      </c>
      <c r="G443" s="2" t="s">
        <v>16</v>
      </c>
      <c r="H443" s="2" t="s">
        <v>191</v>
      </c>
      <c r="I443" s="2" t="s">
        <v>16</v>
      </c>
      <c r="J443" s="2" t="s">
        <v>404</v>
      </c>
    </row>
    <row r="444" spans="1:10" x14ac:dyDescent="0.35">
      <c r="A444" s="2" t="s">
        <v>10</v>
      </c>
      <c r="B444" s="2" t="s">
        <v>356</v>
      </c>
      <c r="C444" s="2" t="s">
        <v>54</v>
      </c>
      <c r="D444" s="2" t="s">
        <v>403</v>
      </c>
      <c r="E444" s="2" t="s">
        <v>61</v>
      </c>
      <c r="F444" s="2" t="s">
        <v>30</v>
      </c>
      <c r="G444" s="2" t="s">
        <v>16</v>
      </c>
      <c r="H444" s="2" t="s">
        <v>191</v>
      </c>
      <c r="I444" s="2" t="s">
        <v>16</v>
      </c>
      <c r="J444" s="2" t="s">
        <v>404</v>
      </c>
    </row>
    <row r="445" spans="1:10" x14ac:dyDescent="0.35">
      <c r="A445" s="2" t="s">
        <v>10</v>
      </c>
      <c r="B445" s="2" t="s">
        <v>356</v>
      </c>
      <c r="C445" s="2" t="s">
        <v>54</v>
      </c>
      <c r="D445" s="2" t="s">
        <v>403</v>
      </c>
      <c r="E445" s="2" t="s">
        <v>188</v>
      </c>
      <c r="F445" s="2" t="s">
        <v>189</v>
      </c>
      <c r="G445" s="2" t="s">
        <v>16</v>
      </c>
      <c r="H445" s="2" t="s">
        <v>405</v>
      </c>
      <c r="I445" s="2" t="s">
        <v>16</v>
      </c>
      <c r="J445" s="2" t="s">
        <v>404</v>
      </c>
    </row>
    <row r="446" spans="1:10" x14ac:dyDescent="0.35">
      <c r="A446" s="2" t="s">
        <v>10</v>
      </c>
      <c r="B446" s="2" t="s">
        <v>356</v>
      </c>
      <c r="C446" s="2" t="s">
        <v>54</v>
      </c>
      <c r="D446" s="2" t="s">
        <v>403</v>
      </c>
      <c r="E446" s="2" t="s">
        <v>193</v>
      </c>
      <c r="F446" s="2" t="s">
        <v>40</v>
      </c>
      <c r="G446" s="2" t="s">
        <v>16</v>
      </c>
      <c r="H446" s="2" t="s">
        <v>406</v>
      </c>
      <c r="I446" s="2" t="s">
        <v>16</v>
      </c>
      <c r="J446" s="2" t="s">
        <v>404</v>
      </c>
    </row>
    <row r="447" spans="1:10" x14ac:dyDescent="0.35">
      <c r="A447" s="2" t="s">
        <v>10</v>
      </c>
      <c r="B447" s="2" t="s">
        <v>356</v>
      </c>
      <c r="C447" s="2" t="s">
        <v>62</v>
      </c>
      <c r="D447" s="2" t="s">
        <v>407</v>
      </c>
      <c r="E447" s="2" t="s">
        <v>64</v>
      </c>
      <c r="F447" s="2" t="s">
        <v>65</v>
      </c>
      <c r="G447" s="2"/>
      <c r="H447" s="2"/>
      <c r="I447" s="2" t="s">
        <v>16</v>
      </c>
      <c r="J447" s="2" t="s">
        <v>26</v>
      </c>
    </row>
    <row r="448" spans="1:10" x14ac:dyDescent="0.35">
      <c r="A448" s="2" t="s">
        <v>10</v>
      </c>
      <c r="B448" s="2" t="s">
        <v>356</v>
      </c>
      <c r="C448" s="2" t="s">
        <v>62</v>
      </c>
      <c r="D448" s="2" t="s">
        <v>407</v>
      </c>
      <c r="E448" s="2" t="s">
        <v>18</v>
      </c>
      <c r="F448" s="2" t="s">
        <v>19</v>
      </c>
      <c r="G448" s="2" t="s">
        <v>16</v>
      </c>
      <c r="H448" s="2" t="s">
        <v>408</v>
      </c>
      <c r="I448" s="2" t="s">
        <v>16</v>
      </c>
      <c r="J448" s="2" t="s">
        <v>26</v>
      </c>
    </row>
    <row r="449" spans="1:10" x14ac:dyDescent="0.35">
      <c r="A449" s="2" t="s">
        <v>10</v>
      </c>
      <c r="B449" s="2" t="s">
        <v>356</v>
      </c>
      <c r="C449" s="2" t="s">
        <v>62</v>
      </c>
      <c r="D449" s="2" t="s">
        <v>407</v>
      </c>
      <c r="E449" s="2" t="s">
        <v>352</v>
      </c>
      <c r="F449" s="2" t="s">
        <v>107</v>
      </c>
      <c r="G449" s="2"/>
      <c r="H449" s="2"/>
      <c r="I449" s="2" t="s">
        <v>16</v>
      </c>
      <c r="J449" s="2" t="s">
        <v>26</v>
      </c>
    </row>
    <row r="450" spans="1:10" x14ac:dyDescent="0.35">
      <c r="A450" s="2" t="s">
        <v>10</v>
      </c>
      <c r="B450" s="2" t="s">
        <v>356</v>
      </c>
      <c r="C450" s="2" t="s">
        <v>62</v>
      </c>
      <c r="D450" s="2" t="s">
        <v>409</v>
      </c>
      <c r="E450" s="2" t="s">
        <v>352</v>
      </c>
      <c r="F450" s="2" t="s">
        <v>107</v>
      </c>
      <c r="G450" s="2"/>
      <c r="H450" s="2"/>
      <c r="I450" s="2" t="s">
        <v>16</v>
      </c>
      <c r="J450" s="2" t="s">
        <v>17</v>
      </c>
    </row>
    <row r="451" spans="1:10" s="21" customFormat="1" x14ac:dyDescent="0.35">
      <c r="A451" s="2" t="s">
        <v>10</v>
      </c>
      <c r="B451" s="2" t="s">
        <v>356</v>
      </c>
      <c r="C451" s="2" t="s">
        <v>12</v>
      </c>
      <c r="D451" s="2" t="s">
        <v>410</v>
      </c>
      <c r="E451" s="2" t="s">
        <v>144</v>
      </c>
      <c r="F451" s="2" t="s">
        <v>50</v>
      </c>
      <c r="G451" s="2"/>
      <c r="H451" s="2"/>
      <c r="I451" s="2" t="s">
        <v>16</v>
      </c>
      <c r="J451" s="2" t="s">
        <v>17</v>
      </c>
    </row>
    <row r="452" spans="1:10" s="21" customFormat="1" x14ac:dyDescent="0.35">
      <c r="A452" s="2" t="s">
        <v>10</v>
      </c>
      <c r="B452" s="2" t="s">
        <v>356</v>
      </c>
      <c r="C452" s="2" t="s">
        <v>12</v>
      </c>
      <c r="D452" s="2" t="s">
        <v>410</v>
      </c>
      <c r="E452" s="2" t="s">
        <v>172</v>
      </c>
      <c r="F452" s="2" t="s">
        <v>65</v>
      </c>
      <c r="G452" s="2" t="s">
        <v>20</v>
      </c>
      <c r="H452" s="2" t="s">
        <v>411</v>
      </c>
      <c r="I452" s="2" t="s">
        <v>16</v>
      </c>
      <c r="J452" s="2" t="s">
        <v>17</v>
      </c>
    </row>
    <row r="453" spans="1:10" s="21" customFormat="1" x14ac:dyDescent="0.35">
      <c r="A453" s="2" t="s">
        <v>10</v>
      </c>
      <c r="B453" s="2" t="s">
        <v>356</v>
      </c>
      <c r="C453" s="2" t="s">
        <v>12</v>
      </c>
      <c r="D453" s="2" t="s">
        <v>410</v>
      </c>
      <c r="E453" s="2" t="s">
        <v>18</v>
      </c>
      <c r="F453" s="2" t="s">
        <v>19</v>
      </c>
      <c r="G453" s="2" t="s">
        <v>20</v>
      </c>
      <c r="H453" s="2" t="s">
        <v>412</v>
      </c>
      <c r="I453" s="2" t="s">
        <v>16</v>
      </c>
      <c r="J453" s="2" t="s">
        <v>17</v>
      </c>
    </row>
    <row r="454" spans="1:10" s="21" customFormat="1" x14ac:dyDescent="0.35">
      <c r="A454" s="2" t="s">
        <v>10</v>
      </c>
      <c r="B454" s="2" t="s">
        <v>356</v>
      </c>
      <c r="C454" s="2" t="s">
        <v>12</v>
      </c>
      <c r="D454" s="2" t="s">
        <v>410</v>
      </c>
      <c r="E454" s="2" t="s">
        <v>149</v>
      </c>
      <c r="F454" s="2" t="s">
        <v>150</v>
      </c>
      <c r="G454" s="2" t="s">
        <v>20</v>
      </c>
      <c r="H454" s="2" t="s">
        <v>412</v>
      </c>
      <c r="I454" s="2" t="s">
        <v>16</v>
      </c>
      <c r="J454" s="2" t="s">
        <v>17</v>
      </c>
    </row>
    <row r="455" spans="1:10" x14ac:dyDescent="0.35">
      <c r="A455" s="2" t="s">
        <v>10</v>
      </c>
      <c r="B455" s="2" t="s">
        <v>356</v>
      </c>
      <c r="C455" s="2" t="s">
        <v>62</v>
      </c>
      <c r="D455" s="2" t="s">
        <v>413</v>
      </c>
      <c r="E455" s="2" t="s">
        <v>27</v>
      </c>
      <c r="F455" s="2" t="s">
        <v>28</v>
      </c>
      <c r="G455" s="2"/>
      <c r="H455" s="2"/>
      <c r="I455" s="2"/>
      <c r="J455" s="2"/>
    </row>
    <row r="456" spans="1:10" x14ac:dyDescent="0.35">
      <c r="A456" s="2" t="s">
        <v>10</v>
      </c>
      <c r="B456" s="2" t="s">
        <v>356</v>
      </c>
      <c r="C456" s="2" t="s">
        <v>62</v>
      </c>
      <c r="D456" s="2" t="s">
        <v>413</v>
      </c>
      <c r="E456" s="2" t="s">
        <v>106</v>
      </c>
      <c r="F456" s="2" t="s">
        <v>107</v>
      </c>
      <c r="G456" s="2"/>
      <c r="H456" s="2"/>
      <c r="I456" s="2"/>
      <c r="J456" s="2"/>
    </row>
    <row r="457" spans="1:10" x14ac:dyDescent="0.35">
      <c r="A457" s="2" t="s">
        <v>10</v>
      </c>
      <c r="B457" s="2" t="s">
        <v>414</v>
      </c>
      <c r="C457" s="2" t="s">
        <v>24</v>
      </c>
      <c r="D457" s="2" t="s">
        <v>415</v>
      </c>
      <c r="E457" s="2" t="s">
        <v>31</v>
      </c>
      <c r="F457" s="2" t="s">
        <v>32</v>
      </c>
      <c r="G457" s="2"/>
      <c r="H457" s="2"/>
      <c r="I457" s="2"/>
      <c r="J457" s="2"/>
    </row>
    <row r="458" spans="1:10" x14ac:dyDescent="0.35">
      <c r="A458" s="2" t="s">
        <v>10</v>
      </c>
      <c r="B458" s="2" t="s">
        <v>414</v>
      </c>
      <c r="C458" s="2" t="s">
        <v>24</v>
      </c>
      <c r="D458" s="2" t="s">
        <v>415</v>
      </c>
      <c r="E458" s="2" t="s">
        <v>416</v>
      </c>
      <c r="F458" s="2" t="s">
        <v>38</v>
      </c>
      <c r="G458" s="2"/>
      <c r="H458" s="2"/>
      <c r="I458" s="2"/>
      <c r="J458" s="2"/>
    </row>
    <row r="459" spans="1:10" x14ac:dyDescent="0.35">
      <c r="A459" s="2" t="s">
        <v>10</v>
      </c>
      <c r="B459" s="2" t="s">
        <v>414</v>
      </c>
      <c r="C459" s="2" t="s">
        <v>24</v>
      </c>
      <c r="D459" s="2" t="s">
        <v>415</v>
      </c>
      <c r="E459" s="2" t="s">
        <v>417</v>
      </c>
      <c r="F459" s="2" t="s">
        <v>40</v>
      </c>
      <c r="G459" s="2"/>
      <c r="H459" s="2"/>
      <c r="I459" s="2"/>
      <c r="J459" s="2"/>
    </row>
    <row r="460" spans="1:10" x14ac:dyDescent="0.35">
      <c r="A460" s="2" t="s">
        <v>10</v>
      </c>
      <c r="B460" s="2" t="s">
        <v>414</v>
      </c>
      <c r="C460" s="2" t="s">
        <v>24</v>
      </c>
      <c r="D460" s="2" t="s">
        <v>415</v>
      </c>
      <c r="E460" s="2" t="s">
        <v>18</v>
      </c>
      <c r="F460" s="2" t="s">
        <v>19</v>
      </c>
      <c r="G460" s="2" t="s">
        <v>16</v>
      </c>
      <c r="H460" s="2" t="s">
        <v>418</v>
      </c>
      <c r="I460" s="2"/>
      <c r="J460" s="2"/>
    </row>
    <row r="461" spans="1:10" x14ac:dyDescent="0.35">
      <c r="A461" s="2" t="s">
        <v>10</v>
      </c>
      <c r="B461" s="2" t="s">
        <v>414</v>
      </c>
      <c r="C461" s="2" t="s">
        <v>24</v>
      </c>
      <c r="D461" s="2" t="s">
        <v>415</v>
      </c>
      <c r="E461" s="2" t="s">
        <v>193</v>
      </c>
      <c r="F461" s="2" t="s">
        <v>40</v>
      </c>
      <c r="G461" s="2"/>
      <c r="H461" s="2"/>
      <c r="I461" s="2"/>
      <c r="J461" s="2"/>
    </row>
    <row r="462" spans="1:10" x14ac:dyDescent="0.35">
      <c r="A462" s="2" t="s">
        <v>10</v>
      </c>
      <c r="B462" s="2" t="s">
        <v>414</v>
      </c>
      <c r="C462" s="2" t="s">
        <v>24</v>
      </c>
      <c r="D462" s="2" t="s">
        <v>415</v>
      </c>
      <c r="E462" s="2" t="s">
        <v>302</v>
      </c>
      <c r="F462" s="2" t="s">
        <v>65</v>
      </c>
      <c r="G462" s="2"/>
      <c r="H462" s="2"/>
      <c r="I462" s="2"/>
      <c r="J462" s="2"/>
    </row>
    <row r="463" spans="1:10" x14ac:dyDescent="0.35">
      <c r="A463" s="2" t="s">
        <v>10</v>
      </c>
      <c r="B463" s="2" t="s">
        <v>414</v>
      </c>
      <c r="C463" s="2" t="s">
        <v>54</v>
      </c>
      <c r="D463" s="2" t="s">
        <v>419</v>
      </c>
      <c r="E463" s="2" t="s">
        <v>31</v>
      </c>
      <c r="F463" s="2" t="s">
        <v>32</v>
      </c>
      <c r="G463" s="2"/>
      <c r="H463" s="2"/>
      <c r="I463" s="2"/>
      <c r="J463" s="2"/>
    </row>
    <row r="464" spans="1:10" x14ac:dyDescent="0.35">
      <c r="A464" s="2" t="s">
        <v>10</v>
      </c>
      <c r="B464" s="2" t="s">
        <v>414</v>
      </c>
      <c r="C464" s="2" t="s">
        <v>54</v>
      </c>
      <c r="D464" s="2" t="s">
        <v>419</v>
      </c>
      <c r="E464" s="2" t="s">
        <v>38</v>
      </c>
      <c r="F464" s="2" t="s">
        <v>38</v>
      </c>
      <c r="G464" s="2"/>
      <c r="H464" s="2"/>
      <c r="I464" s="2"/>
      <c r="J464" s="2"/>
    </row>
    <row r="465" spans="1:10" x14ac:dyDescent="0.35">
      <c r="A465" s="2" t="s">
        <v>10</v>
      </c>
      <c r="B465" s="2" t="s">
        <v>414</v>
      </c>
      <c r="C465" s="2" t="s">
        <v>54</v>
      </c>
      <c r="D465" s="2" t="s">
        <v>419</v>
      </c>
      <c r="E465" s="2" t="s">
        <v>18</v>
      </c>
      <c r="F465" s="2" t="s">
        <v>19</v>
      </c>
      <c r="G465" s="2" t="s">
        <v>16</v>
      </c>
      <c r="H465" s="2" t="s">
        <v>420</v>
      </c>
      <c r="I465" s="2"/>
      <c r="J465" s="2"/>
    </row>
    <row r="466" spans="1:10" x14ac:dyDescent="0.35">
      <c r="A466" s="2" t="s">
        <v>10</v>
      </c>
      <c r="B466" s="2" t="s">
        <v>421</v>
      </c>
      <c r="C466" s="2" t="s">
        <v>62</v>
      </c>
      <c r="D466" s="2" t="s">
        <v>422</v>
      </c>
      <c r="E466" s="2" t="s">
        <v>77</v>
      </c>
      <c r="F466" s="2" t="s">
        <v>78</v>
      </c>
      <c r="G466" s="2"/>
      <c r="H466" s="2"/>
      <c r="I466" s="2" t="s">
        <v>16</v>
      </c>
      <c r="J466" s="2" t="s">
        <v>142</v>
      </c>
    </row>
    <row r="467" spans="1:10" x14ac:dyDescent="0.35">
      <c r="A467" s="2" t="s">
        <v>10</v>
      </c>
      <c r="B467" s="2" t="s">
        <v>421</v>
      </c>
      <c r="C467" s="2" t="s">
        <v>62</v>
      </c>
      <c r="D467" s="2" t="s">
        <v>422</v>
      </c>
      <c r="E467" s="2" t="s">
        <v>64</v>
      </c>
      <c r="F467" s="2" t="s">
        <v>65</v>
      </c>
      <c r="G467" s="2"/>
      <c r="H467" s="2"/>
      <c r="I467" s="2" t="s">
        <v>16</v>
      </c>
      <c r="J467" s="2" t="s">
        <v>142</v>
      </c>
    </row>
    <row r="468" spans="1:10" x14ac:dyDescent="0.35">
      <c r="A468" s="2" t="s">
        <v>10</v>
      </c>
      <c r="B468" s="2" t="s">
        <v>421</v>
      </c>
      <c r="C468" s="2" t="s">
        <v>62</v>
      </c>
      <c r="D468" s="2" t="s">
        <v>422</v>
      </c>
      <c r="E468" s="2" t="s">
        <v>61</v>
      </c>
      <c r="F468" s="2" t="s">
        <v>30</v>
      </c>
      <c r="G468" s="2"/>
      <c r="H468" s="2"/>
      <c r="I468" s="2" t="s">
        <v>16</v>
      </c>
      <c r="J468" s="2" t="s">
        <v>142</v>
      </c>
    </row>
    <row r="469" spans="1:10" x14ac:dyDescent="0.35">
      <c r="A469" s="2" t="s">
        <v>10</v>
      </c>
      <c r="B469" s="2" t="s">
        <v>421</v>
      </c>
      <c r="C469" s="2" t="s">
        <v>62</v>
      </c>
      <c r="D469" s="2" t="s">
        <v>422</v>
      </c>
      <c r="E469" s="2" t="s">
        <v>423</v>
      </c>
      <c r="F469" s="2" t="s">
        <v>424</v>
      </c>
      <c r="G469" s="2"/>
      <c r="H469" s="2"/>
      <c r="I469" s="2" t="s">
        <v>16</v>
      </c>
      <c r="J469" s="2" t="s">
        <v>142</v>
      </c>
    </row>
    <row r="470" spans="1:10" x14ac:dyDescent="0.35">
      <c r="A470" s="2" t="s">
        <v>10</v>
      </c>
      <c r="B470" s="2" t="s">
        <v>421</v>
      </c>
      <c r="C470" s="2" t="s">
        <v>57</v>
      </c>
      <c r="D470" s="2" t="s">
        <v>425</v>
      </c>
      <c r="E470" s="2" t="s">
        <v>130</v>
      </c>
      <c r="F470" s="2" t="s">
        <v>36</v>
      </c>
      <c r="G470" s="2"/>
      <c r="H470" s="2"/>
      <c r="I470" s="2" t="s">
        <v>16</v>
      </c>
      <c r="J470" s="2" t="s">
        <v>148</v>
      </c>
    </row>
    <row r="471" spans="1:10" x14ac:dyDescent="0.35">
      <c r="A471" s="2" t="s">
        <v>10</v>
      </c>
      <c r="B471" s="2" t="s">
        <v>421</v>
      </c>
      <c r="C471" s="2" t="s">
        <v>57</v>
      </c>
      <c r="D471" s="2" t="s">
        <v>425</v>
      </c>
      <c r="E471" s="2" t="s">
        <v>14</v>
      </c>
      <c r="F471" s="2" t="s">
        <v>15</v>
      </c>
      <c r="G471" s="2"/>
      <c r="H471" s="2"/>
      <c r="I471" s="2"/>
      <c r="J471" s="2"/>
    </row>
    <row r="472" spans="1:10" x14ac:dyDescent="0.35">
      <c r="A472" s="2" t="s">
        <v>10</v>
      </c>
      <c r="B472" s="2" t="s">
        <v>421</v>
      </c>
      <c r="C472" s="2" t="s">
        <v>57</v>
      </c>
      <c r="D472" s="2" t="s">
        <v>425</v>
      </c>
      <c r="E472" s="2" t="s">
        <v>74</v>
      </c>
      <c r="F472" s="2" t="s">
        <v>75</v>
      </c>
      <c r="G472" s="2" t="s">
        <v>16</v>
      </c>
      <c r="H472" s="2" t="s">
        <v>426</v>
      </c>
      <c r="I472" s="2" t="s">
        <v>16</v>
      </c>
      <c r="J472" s="2" t="s">
        <v>427</v>
      </c>
    </row>
    <row r="473" spans="1:10" x14ac:dyDescent="0.35">
      <c r="A473" s="2" t="s">
        <v>10</v>
      </c>
      <c r="B473" s="2" t="s">
        <v>421</v>
      </c>
      <c r="C473" s="2" t="s">
        <v>57</v>
      </c>
      <c r="D473" s="2" t="s">
        <v>425</v>
      </c>
      <c r="E473" s="2" t="s">
        <v>31</v>
      </c>
      <c r="F473" s="2" t="s">
        <v>32</v>
      </c>
      <c r="G473" s="2"/>
      <c r="H473" s="2"/>
      <c r="I473" s="2" t="s">
        <v>16</v>
      </c>
      <c r="J473" s="2" t="s">
        <v>427</v>
      </c>
    </row>
    <row r="474" spans="1:10" x14ac:dyDescent="0.35">
      <c r="A474" s="2" t="s">
        <v>10</v>
      </c>
      <c r="B474" s="2" t="s">
        <v>421</v>
      </c>
      <c r="C474" s="2" t="s">
        <v>57</v>
      </c>
      <c r="D474" s="2" t="s">
        <v>425</v>
      </c>
      <c r="E474" s="2" t="s">
        <v>112</v>
      </c>
      <c r="F474" s="2" t="s">
        <v>113</v>
      </c>
      <c r="G474" s="2" t="s">
        <v>16</v>
      </c>
      <c r="H474" s="2" t="s">
        <v>261</v>
      </c>
      <c r="I474" s="2" t="s">
        <v>16</v>
      </c>
      <c r="J474" s="2" t="s">
        <v>427</v>
      </c>
    </row>
    <row r="475" spans="1:10" s="21" customFormat="1" x14ac:dyDescent="0.35">
      <c r="A475" s="2" t="s">
        <v>10</v>
      </c>
      <c r="B475" s="2" t="s">
        <v>421</v>
      </c>
      <c r="C475" s="2" t="s">
        <v>62</v>
      </c>
      <c r="D475" s="2" t="s">
        <v>428</v>
      </c>
      <c r="E475" s="2" t="s">
        <v>106</v>
      </c>
      <c r="F475" s="2" t="s">
        <v>107</v>
      </c>
      <c r="G475" s="2"/>
      <c r="H475" s="2"/>
      <c r="I475" s="2"/>
      <c r="J475" s="2"/>
    </row>
    <row r="476" spans="1:10" s="21" customFormat="1" x14ac:dyDescent="0.35">
      <c r="A476" s="2" t="s">
        <v>10</v>
      </c>
      <c r="B476" s="2" t="s">
        <v>421</v>
      </c>
      <c r="C476" s="2" t="s">
        <v>24</v>
      </c>
      <c r="D476" s="2" t="s">
        <v>429</v>
      </c>
      <c r="E476" s="2" t="s">
        <v>74</v>
      </c>
      <c r="F476" s="2" t="s">
        <v>75</v>
      </c>
      <c r="G476" s="2"/>
      <c r="H476" s="2" t="s">
        <v>430</v>
      </c>
      <c r="I476" s="2" t="s">
        <v>16</v>
      </c>
      <c r="J476" s="2" t="s">
        <v>427</v>
      </c>
    </row>
    <row r="477" spans="1:10" x14ac:dyDescent="0.35">
      <c r="A477" s="2" t="s">
        <v>10</v>
      </c>
      <c r="B477" s="2" t="s">
        <v>421</v>
      </c>
      <c r="C477" s="2" t="s">
        <v>24</v>
      </c>
      <c r="D477" s="2" t="s">
        <v>431</v>
      </c>
      <c r="E477" s="2" t="s">
        <v>27</v>
      </c>
      <c r="F477" s="2" t="s">
        <v>28</v>
      </c>
      <c r="G477" s="2"/>
      <c r="H477" s="2"/>
      <c r="I477" s="2" t="s">
        <v>16</v>
      </c>
      <c r="J477" s="2" t="s">
        <v>427</v>
      </c>
    </row>
    <row r="478" spans="1:10" x14ac:dyDescent="0.35">
      <c r="A478" s="2" t="s">
        <v>10</v>
      </c>
      <c r="B478" s="2" t="s">
        <v>421</v>
      </c>
      <c r="C478" s="2" t="s">
        <v>24</v>
      </c>
      <c r="D478" s="2" t="s">
        <v>431</v>
      </c>
      <c r="E478" s="2" t="s">
        <v>31</v>
      </c>
      <c r="F478" s="2" t="s">
        <v>32</v>
      </c>
      <c r="G478" s="2"/>
      <c r="H478" s="2"/>
      <c r="I478" s="2" t="s">
        <v>16</v>
      </c>
      <c r="J478" s="2" t="s">
        <v>427</v>
      </c>
    </row>
    <row r="479" spans="1:10" x14ac:dyDescent="0.35">
      <c r="A479" s="2" t="s">
        <v>10</v>
      </c>
      <c r="B479" s="2" t="s">
        <v>421</v>
      </c>
      <c r="C479" s="2" t="s">
        <v>24</v>
      </c>
      <c r="D479" s="2" t="s">
        <v>431</v>
      </c>
      <c r="E479" s="2" t="s">
        <v>82</v>
      </c>
      <c r="F479" s="2" t="s">
        <v>83</v>
      </c>
      <c r="G479" s="2"/>
      <c r="H479" s="2"/>
      <c r="I479" s="2" t="s">
        <v>16</v>
      </c>
      <c r="J479" s="2" t="s">
        <v>427</v>
      </c>
    </row>
    <row r="480" spans="1:10" x14ac:dyDescent="0.35">
      <c r="A480" s="2" t="s">
        <v>10</v>
      </c>
      <c r="B480" s="2" t="s">
        <v>421</v>
      </c>
      <c r="C480" s="2" t="s">
        <v>24</v>
      </c>
      <c r="D480" s="2" t="s">
        <v>431</v>
      </c>
      <c r="E480" s="2" t="s">
        <v>416</v>
      </c>
      <c r="F480" s="2" t="s">
        <v>38</v>
      </c>
      <c r="G480" s="2"/>
      <c r="H480" s="2"/>
      <c r="I480" s="2" t="s">
        <v>16</v>
      </c>
      <c r="J480" s="2" t="s">
        <v>427</v>
      </c>
    </row>
    <row r="481" spans="1:10" x14ac:dyDescent="0.35">
      <c r="A481" s="2" t="s">
        <v>10</v>
      </c>
      <c r="B481" s="2" t="s">
        <v>421</v>
      </c>
      <c r="C481" s="2" t="s">
        <v>24</v>
      </c>
      <c r="D481" s="2" t="s">
        <v>431</v>
      </c>
      <c r="E481" s="2" t="s">
        <v>87</v>
      </c>
      <c r="F481" s="2" t="s">
        <v>75</v>
      </c>
      <c r="G481" s="2" t="s">
        <v>16</v>
      </c>
      <c r="H481" s="2" t="s">
        <v>432</v>
      </c>
      <c r="I481" s="2" t="s">
        <v>16</v>
      </c>
      <c r="J481" s="2" t="s">
        <v>427</v>
      </c>
    </row>
    <row r="482" spans="1:10" s="21" customFormat="1" x14ac:dyDescent="0.35">
      <c r="A482" s="2" t="s">
        <v>10</v>
      </c>
      <c r="B482" s="2" t="s">
        <v>421</v>
      </c>
      <c r="C482" s="2" t="s">
        <v>54</v>
      </c>
      <c r="D482" s="2" t="s">
        <v>433</v>
      </c>
      <c r="E482" s="2" t="s">
        <v>136</v>
      </c>
      <c r="F482" s="2" t="s">
        <v>107</v>
      </c>
      <c r="G482" s="2" t="s">
        <v>20</v>
      </c>
      <c r="H482" s="2" t="s">
        <v>434</v>
      </c>
      <c r="I482" s="2" t="s">
        <v>16</v>
      </c>
      <c r="J482" s="2" t="s">
        <v>427</v>
      </c>
    </row>
    <row r="483" spans="1:10" s="21" customFormat="1" x14ac:dyDescent="0.35">
      <c r="A483" s="2" t="s">
        <v>10</v>
      </c>
      <c r="B483" s="2" t="s">
        <v>421</v>
      </c>
      <c r="C483" s="2" t="s">
        <v>54</v>
      </c>
      <c r="D483" s="2" t="s">
        <v>433</v>
      </c>
      <c r="E483" s="2" t="s">
        <v>33</v>
      </c>
      <c r="F483" s="2" t="s">
        <v>34</v>
      </c>
      <c r="G483" s="2" t="s">
        <v>20</v>
      </c>
      <c r="H483" s="2" t="s">
        <v>434</v>
      </c>
      <c r="I483" s="2" t="s">
        <v>16</v>
      </c>
      <c r="J483" s="2" t="s">
        <v>427</v>
      </c>
    </row>
    <row r="484" spans="1:10" s="21" customFormat="1" x14ac:dyDescent="0.35">
      <c r="A484" s="2" t="s">
        <v>10</v>
      </c>
      <c r="B484" s="2" t="s">
        <v>421</v>
      </c>
      <c r="C484" s="2" t="s">
        <v>54</v>
      </c>
      <c r="D484" s="2" t="s">
        <v>433</v>
      </c>
      <c r="E484" s="2" t="s">
        <v>35</v>
      </c>
      <c r="F484" s="2" t="s">
        <v>36</v>
      </c>
      <c r="G484" s="2" t="s">
        <v>20</v>
      </c>
      <c r="H484" s="2" t="s">
        <v>434</v>
      </c>
      <c r="I484" s="2" t="s">
        <v>16</v>
      </c>
      <c r="J484" s="2" t="s">
        <v>427</v>
      </c>
    </row>
    <row r="485" spans="1:10" s="21" customFormat="1" x14ac:dyDescent="0.35">
      <c r="A485" s="2" t="s">
        <v>10</v>
      </c>
      <c r="B485" s="2" t="s">
        <v>421</v>
      </c>
      <c r="C485" s="2" t="s">
        <v>54</v>
      </c>
      <c r="D485" s="2" t="s">
        <v>433</v>
      </c>
      <c r="E485" s="2" t="s">
        <v>188</v>
      </c>
      <c r="F485" s="2" t="s">
        <v>189</v>
      </c>
      <c r="G485" s="2" t="s">
        <v>20</v>
      </c>
      <c r="H485" s="2" t="s">
        <v>434</v>
      </c>
      <c r="I485" s="2" t="s">
        <v>16</v>
      </c>
      <c r="J485" s="2" t="s">
        <v>427</v>
      </c>
    </row>
    <row r="486" spans="1:10" s="21" customFormat="1" x14ac:dyDescent="0.35">
      <c r="A486" s="2" t="s">
        <v>10</v>
      </c>
      <c r="B486" s="2" t="s">
        <v>421</v>
      </c>
      <c r="C486" s="2" t="s">
        <v>54</v>
      </c>
      <c r="D486" s="2" t="s">
        <v>433</v>
      </c>
      <c r="E486" s="2" t="s">
        <v>149</v>
      </c>
      <c r="F486" s="2" t="s">
        <v>150</v>
      </c>
      <c r="G486" s="2" t="s">
        <v>20</v>
      </c>
      <c r="H486" s="2" t="s">
        <v>434</v>
      </c>
      <c r="I486" s="2" t="s">
        <v>16</v>
      </c>
      <c r="J486" s="2" t="s">
        <v>427</v>
      </c>
    </row>
    <row r="487" spans="1:10" s="21" customFormat="1" x14ac:dyDescent="0.35">
      <c r="A487" s="2" t="s">
        <v>10</v>
      </c>
      <c r="B487" s="2" t="s">
        <v>435</v>
      </c>
      <c r="C487" s="2" t="s">
        <v>436</v>
      </c>
      <c r="D487" s="2" t="s">
        <v>437</v>
      </c>
      <c r="E487" s="2" t="s">
        <v>14</v>
      </c>
      <c r="F487" s="2" t="s">
        <v>15</v>
      </c>
      <c r="G487" s="2"/>
      <c r="H487" s="2"/>
      <c r="I487" s="2"/>
      <c r="J487" s="2"/>
    </row>
    <row r="488" spans="1:10" s="21" customFormat="1" x14ac:dyDescent="0.35">
      <c r="A488" s="2" t="s">
        <v>10</v>
      </c>
      <c r="B488" s="2" t="s">
        <v>435</v>
      </c>
      <c r="C488" s="2" t="s">
        <v>436</v>
      </c>
      <c r="D488" s="2" t="s">
        <v>437</v>
      </c>
      <c r="E488" s="2" t="s">
        <v>31</v>
      </c>
      <c r="F488" s="2" t="s">
        <v>32</v>
      </c>
      <c r="G488" s="2"/>
      <c r="H488" s="2"/>
      <c r="I488" s="2"/>
      <c r="J488" s="2"/>
    </row>
    <row r="489" spans="1:10" s="21" customFormat="1" x14ac:dyDescent="0.35">
      <c r="A489" s="2" t="s">
        <v>10</v>
      </c>
      <c r="B489" s="2" t="s">
        <v>435</v>
      </c>
      <c r="C489" s="2" t="s">
        <v>436</v>
      </c>
      <c r="D489" s="2" t="s">
        <v>437</v>
      </c>
      <c r="E489" s="2" t="s">
        <v>211</v>
      </c>
      <c r="F489" s="2" t="s">
        <v>203</v>
      </c>
      <c r="G489" s="2"/>
      <c r="H489" s="2"/>
      <c r="I489" s="2"/>
      <c r="J489" s="2"/>
    </row>
    <row r="490" spans="1:10" s="21" customFormat="1" x14ac:dyDescent="0.35">
      <c r="A490" s="2" t="s">
        <v>10</v>
      </c>
      <c r="B490" s="2" t="s">
        <v>435</v>
      </c>
      <c r="C490" s="2" t="s">
        <v>436</v>
      </c>
      <c r="D490" s="2" t="s">
        <v>437</v>
      </c>
      <c r="E490" s="2" t="s">
        <v>438</v>
      </c>
      <c r="F490" s="2" t="s">
        <v>19</v>
      </c>
      <c r="G490" s="2" t="s">
        <v>20</v>
      </c>
      <c r="H490" s="2" t="s">
        <v>439</v>
      </c>
      <c r="I490" s="2"/>
      <c r="J490" s="2"/>
    </row>
    <row r="491" spans="1:10" x14ac:dyDescent="0.35">
      <c r="A491" s="2" t="s">
        <v>10</v>
      </c>
      <c r="B491" s="2" t="s">
        <v>440</v>
      </c>
      <c r="C491" s="2" t="s">
        <v>24</v>
      </c>
      <c r="D491" s="2" t="s">
        <v>441</v>
      </c>
      <c r="E491" s="2" t="s">
        <v>196</v>
      </c>
      <c r="F491" s="2" t="s">
        <v>197</v>
      </c>
      <c r="G491" s="2"/>
      <c r="H491" s="2"/>
      <c r="I491" s="2"/>
      <c r="J491" s="2"/>
    </row>
    <row r="492" spans="1:10" x14ac:dyDescent="0.35">
      <c r="A492" s="2" t="s">
        <v>10</v>
      </c>
      <c r="B492" s="2" t="s">
        <v>440</v>
      </c>
      <c r="C492" s="2" t="s">
        <v>24</v>
      </c>
      <c r="D492" s="2" t="s">
        <v>441</v>
      </c>
      <c r="E492" s="2" t="s">
        <v>14</v>
      </c>
      <c r="F492" s="2" t="s">
        <v>15</v>
      </c>
      <c r="G492" s="2"/>
      <c r="H492" s="2"/>
      <c r="I492" s="2"/>
      <c r="J492" s="2"/>
    </row>
    <row r="493" spans="1:10" x14ac:dyDescent="0.35">
      <c r="A493" s="2" t="s">
        <v>10</v>
      </c>
      <c r="B493" s="2" t="s">
        <v>440</v>
      </c>
      <c r="C493" s="2" t="s">
        <v>24</v>
      </c>
      <c r="D493" s="2" t="s">
        <v>441</v>
      </c>
      <c r="E493" s="2" t="s">
        <v>74</v>
      </c>
      <c r="F493" s="2" t="s">
        <v>75</v>
      </c>
      <c r="G493" s="2" t="s">
        <v>16</v>
      </c>
      <c r="H493" s="2" t="s">
        <v>442</v>
      </c>
      <c r="I493" s="2"/>
      <c r="J493" s="2"/>
    </row>
    <row r="494" spans="1:10" x14ac:dyDescent="0.35">
      <c r="A494" s="2" t="s">
        <v>10</v>
      </c>
      <c r="B494" s="2" t="s">
        <v>440</v>
      </c>
      <c r="C494" s="2" t="s">
        <v>24</v>
      </c>
      <c r="D494" s="2" t="s">
        <v>441</v>
      </c>
      <c r="E494" s="2" t="s">
        <v>443</v>
      </c>
      <c r="F494" s="2" t="s">
        <v>189</v>
      </c>
      <c r="G494" s="2"/>
      <c r="H494" s="2"/>
      <c r="I494" s="2"/>
      <c r="J494" s="2"/>
    </row>
    <row r="495" spans="1:10" x14ac:dyDescent="0.35">
      <c r="A495" s="2" t="s">
        <v>10</v>
      </c>
      <c r="B495" s="2" t="s">
        <v>440</v>
      </c>
      <c r="C495" s="2" t="s">
        <v>24</v>
      </c>
      <c r="D495" s="2" t="s">
        <v>441</v>
      </c>
      <c r="E495" s="2" t="s">
        <v>31</v>
      </c>
      <c r="F495" s="2" t="s">
        <v>32</v>
      </c>
      <c r="G495" s="2"/>
      <c r="H495" s="2"/>
      <c r="I495" s="2"/>
      <c r="J495" s="2"/>
    </row>
    <row r="496" spans="1:10" x14ac:dyDescent="0.35">
      <c r="A496" s="2" t="s">
        <v>10</v>
      </c>
      <c r="B496" s="2" t="s">
        <v>440</v>
      </c>
      <c r="C496" s="2" t="s">
        <v>24</v>
      </c>
      <c r="D496" s="2" t="s">
        <v>441</v>
      </c>
      <c r="E496" s="2" t="s">
        <v>202</v>
      </c>
      <c r="F496" s="2" t="s">
        <v>203</v>
      </c>
      <c r="G496" s="2"/>
      <c r="H496" s="2"/>
      <c r="I496" s="2"/>
      <c r="J496" s="2"/>
    </row>
    <row r="497" spans="1:10" x14ac:dyDescent="0.35">
      <c r="A497" s="2" t="s">
        <v>10</v>
      </c>
      <c r="B497" s="2" t="s">
        <v>440</v>
      </c>
      <c r="C497" s="2" t="s">
        <v>24</v>
      </c>
      <c r="D497" s="2" t="s">
        <v>441</v>
      </c>
      <c r="E497" s="2" t="s">
        <v>416</v>
      </c>
      <c r="F497" s="2" t="s">
        <v>38</v>
      </c>
      <c r="G497" s="2"/>
      <c r="H497" s="2"/>
      <c r="I497" s="2"/>
      <c r="J497" s="2"/>
    </row>
    <row r="498" spans="1:10" x14ac:dyDescent="0.35">
      <c r="A498" s="2" t="s">
        <v>10</v>
      </c>
      <c r="B498" s="2" t="s">
        <v>440</v>
      </c>
      <c r="C498" s="2" t="s">
        <v>24</v>
      </c>
      <c r="D498" s="2" t="s">
        <v>441</v>
      </c>
      <c r="E498" s="2" t="s">
        <v>291</v>
      </c>
      <c r="F498" s="2" t="s">
        <v>139</v>
      </c>
      <c r="G498" s="2"/>
      <c r="H498" s="2"/>
      <c r="I498" s="2"/>
      <c r="J498" s="2"/>
    </row>
    <row r="499" spans="1:10" x14ac:dyDescent="0.35">
      <c r="A499" s="2" t="s">
        <v>10</v>
      </c>
      <c r="B499" s="2" t="s">
        <v>440</v>
      </c>
      <c r="C499" s="2" t="s">
        <v>24</v>
      </c>
      <c r="D499" s="2" t="s">
        <v>441</v>
      </c>
      <c r="E499" s="2" t="s">
        <v>100</v>
      </c>
      <c r="F499" s="2" t="s">
        <v>101</v>
      </c>
      <c r="G499" s="2"/>
      <c r="H499" s="2"/>
      <c r="I499" s="2"/>
      <c r="J499" s="2"/>
    </row>
    <row r="500" spans="1:10" x14ac:dyDescent="0.35">
      <c r="A500" s="2" t="s">
        <v>10</v>
      </c>
      <c r="B500" s="2" t="s">
        <v>440</v>
      </c>
      <c r="C500" s="2" t="s">
        <v>24</v>
      </c>
      <c r="D500" s="2" t="s">
        <v>441</v>
      </c>
      <c r="E500" s="2" t="s">
        <v>188</v>
      </c>
      <c r="F500" s="2" t="s">
        <v>189</v>
      </c>
      <c r="G500" s="2" t="s">
        <v>16</v>
      </c>
      <c r="H500" s="2" t="s">
        <v>444</v>
      </c>
      <c r="I500" s="2"/>
      <c r="J500" s="2"/>
    </row>
    <row r="501" spans="1:10" x14ac:dyDescent="0.35">
      <c r="A501" s="2" t="s">
        <v>10</v>
      </c>
      <c r="B501" s="2" t="s">
        <v>440</v>
      </c>
      <c r="C501" s="2" t="s">
        <v>24</v>
      </c>
      <c r="D501" s="2" t="s">
        <v>441</v>
      </c>
      <c r="E501" s="2" t="s">
        <v>42</v>
      </c>
      <c r="F501" s="2" t="s">
        <v>43</v>
      </c>
      <c r="G501" s="2"/>
      <c r="H501" s="2"/>
      <c r="I501" s="2"/>
      <c r="J501" s="2"/>
    </row>
    <row r="502" spans="1:10" x14ac:dyDescent="0.35">
      <c r="A502" s="2" t="s">
        <v>10</v>
      </c>
      <c r="B502" s="2" t="s">
        <v>440</v>
      </c>
      <c r="C502" s="2" t="s">
        <v>24</v>
      </c>
      <c r="D502" s="2" t="s">
        <v>441</v>
      </c>
      <c r="E502" s="2" t="s">
        <v>445</v>
      </c>
      <c r="F502" s="2" t="s">
        <v>38</v>
      </c>
      <c r="G502" s="2"/>
      <c r="H502" s="2"/>
      <c r="I502" s="2"/>
      <c r="J502" s="2"/>
    </row>
    <row r="503" spans="1:10" s="21" customFormat="1" x14ac:dyDescent="0.35">
      <c r="A503" s="2" t="s">
        <v>10</v>
      </c>
      <c r="B503" s="2" t="s">
        <v>440</v>
      </c>
      <c r="C503" s="2" t="s">
        <v>12</v>
      </c>
      <c r="D503" s="2" t="s">
        <v>446</v>
      </c>
      <c r="E503" s="2" t="s">
        <v>91</v>
      </c>
      <c r="F503" s="2" t="s">
        <v>19</v>
      </c>
      <c r="G503" s="2" t="s">
        <v>20</v>
      </c>
      <c r="H503" s="2" t="s">
        <v>179</v>
      </c>
      <c r="I503" s="2"/>
      <c r="J503" s="2"/>
    </row>
    <row r="504" spans="1:10" s="21" customFormat="1" x14ac:dyDescent="0.35">
      <c r="A504" s="2" t="s">
        <v>10</v>
      </c>
      <c r="B504" s="2" t="s">
        <v>447</v>
      </c>
      <c r="C504" s="2" t="s">
        <v>24</v>
      </c>
      <c r="D504" s="2" t="s">
        <v>448</v>
      </c>
      <c r="E504" s="2" t="s">
        <v>14</v>
      </c>
      <c r="F504" s="2" t="s">
        <v>15</v>
      </c>
      <c r="G504" s="2"/>
      <c r="H504" s="2"/>
      <c r="I504" s="2" t="s">
        <v>16</v>
      </c>
      <c r="J504" s="2" t="s">
        <v>449</v>
      </c>
    </row>
    <row r="505" spans="1:10" s="21" customFormat="1" x14ac:dyDescent="0.35">
      <c r="A505" s="2" t="s">
        <v>10</v>
      </c>
      <c r="B505" s="2" t="s">
        <v>447</v>
      </c>
      <c r="C505" s="2" t="s">
        <v>24</v>
      </c>
      <c r="D505" s="2" t="s">
        <v>448</v>
      </c>
      <c r="E505" s="2" t="s">
        <v>87</v>
      </c>
      <c r="F505" s="2" t="s">
        <v>75</v>
      </c>
      <c r="G505" s="2"/>
      <c r="H505" s="2"/>
      <c r="I505" s="2" t="s">
        <v>16</v>
      </c>
      <c r="J505" s="2" t="s">
        <v>449</v>
      </c>
    </row>
    <row r="506" spans="1:10" x14ac:dyDescent="0.35">
      <c r="A506" s="2" t="s">
        <v>10</v>
      </c>
      <c r="B506" s="2" t="s">
        <v>447</v>
      </c>
      <c r="C506" s="2" t="s">
        <v>24</v>
      </c>
      <c r="D506" s="2" t="s">
        <v>450</v>
      </c>
      <c r="E506" s="2" t="s">
        <v>130</v>
      </c>
      <c r="F506" s="2" t="s">
        <v>36</v>
      </c>
      <c r="G506" s="2" t="s">
        <v>46</v>
      </c>
      <c r="H506" s="2" t="s">
        <v>451</v>
      </c>
      <c r="I506" s="2"/>
      <c r="J506" s="2"/>
    </row>
    <row r="507" spans="1:10" x14ac:dyDescent="0.35">
      <c r="A507" s="2" t="s">
        <v>10</v>
      </c>
      <c r="B507" s="2" t="s">
        <v>447</v>
      </c>
      <c r="C507" s="2" t="s">
        <v>24</v>
      </c>
      <c r="D507" s="2" t="s">
        <v>450</v>
      </c>
      <c r="E507" s="2" t="s">
        <v>29</v>
      </c>
      <c r="F507" s="2" t="s">
        <v>30</v>
      </c>
      <c r="G507" s="2" t="s">
        <v>46</v>
      </c>
      <c r="H507" s="2" t="s">
        <v>451</v>
      </c>
      <c r="I507" s="2"/>
      <c r="J507" s="2"/>
    </row>
    <row r="508" spans="1:10" x14ac:dyDescent="0.35">
      <c r="A508" s="2" t="s">
        <v>10</v>
      </c>
      <c r="B508" s="2" t="s">
        <v>447</v>
      </c>
      <c r="C508" s="2" t="s">
        <v>24</v>
      </c>
      <c r="D508" s="2" t="s">
        <v>450</v>
      </c>
      <c r="E508" s="2" t="s">
        <v>452</v>
      </c>
      <c r="F508" s="2" t="s">
        <v>38</v>
      </c>
      <c r="G508" s="2" t="s">
        <v>46</v>
      </c>
      <c r="H508" s="2" t="s">
        <v>451</v>
      </c>
      <c r="I508" s="2"/>
      <c r="J508" s="2"/>
    </row>
    <row r="509" spans="1:10" x14ac:dyDescent="0.35">
      <c r="A509" s="2" t="s">
        <v>10</v>
      </c>
      <c r="B509" s="2" t="s">
        <v>447</v>
      </c>
      <c r="C509" s="2" t="s">
        <v>24</v>
      </c>
      <c r="D509" s="2" t="s">
        <v>450</v>
      </c>
      <c r="E509" s="2" t="s">
        <v>136</v>
      </c>
      <c r="F509" s="2" t="s">
        <v>107</v>
      </c>
      <c r="G509" s="2" t="s">
        <v>46</v>
      </c>
      <c r="H509" s="2" t="s">
        <v>451</v>
      </c>
      <c r="I509" s="2"/>
      <c r="J509" s="2"/>
    </row>
    <row r="510" spans="1:10" x14ac:dyDescent="0.35">
      <c r="A510" s="2" t="s">
        <v>10</v>
      </c>
      <c r="B510" s="2" t="s">
        <v>447</v>
      </c>
      <c r="C510" s="2" t="s">
        <v>24</v>
      </c>
      <c r="D510" s="2" t="s">
        <v>450</v>
      </c>
      <c r="E510" s="2" t="s">
        <v>38</v>
      </c>
      <c r="F510" s="2" t="s">
        <v>38</v>
      </c>
      <c r="G510" s="2" t="s">
        <v>46</v>
      </c>
      <c r="H510" s="2" t="s">
        <v>451</v>
      </c>
      <c r="I510" s="2"/>
      <c r="J510" s="2"/>
    </row>
    <row r="511" spans="1:10" x14ac:dyDescent="0.35">
      <c r="A511" s="2" t="s">
        <v>10</v>
      </c>
      <c r="B511" s="2" t="s">
        <v>447</v>
      </c>
      <c r="C511" s="2" t="s">
        <v>24</v>
      </c>
      <c r="D511" s="2" t="s">
        <v>450</v>
      </c>
      <c r="E511" s="2" t="s">
        <v>121</v>
      </c>
      <c r="F511" s="2" t="s">
        <v>122</v>
      </c>
      <c r="G511" s="2" t="s">
        <v>46</v>
      </c>
      <c r="H511" s="2" t="s">
        <v>451</v>
      </c>
      <c r="I511" s="2"/>
      <c r="J511" s="2"/>
    </row>
    <row r="512" spans="1:10" x14ac:dyDescent="0.35">
      <c r="A512" s="2" t="s">
        <v>10</v>
      </c>
      <c r="B512" s="2" t="s">
        <v>447</v>
      </c>
      <c r="C512" s="2" t="s">
        <v>24</v>
      </c>
      <c r="D512" s="2" t="s">
        <v>450</v>
      </c>
      <c r="E512" s="2" t="s">
        <v>18</v>
      </c>
      <c r="F512" s="2" t="s">
        <v>19</v>
      </c>
      <c r="G512" s="2" t="s">
        <v>46</v>
      </c>
      <c r="H512" s="2" t="s">
        <v>451</v>
      </c>
      <c r="I512" s="2"/>
      <c r="J512" s="2"/>
    </row>
    <row r="513" spans="1:10" x14ac:dyDescent="0.35">
      <c r="A513" s="2" t="s">
        <v>10</v>
      </c>
      <c r="B513" s="2" t="s">
        <v>447</v>
      </c>
      <c r="C513" s="2" t="s">
        <v>24</v>
      </c>
      <c r="D513" s="2" t="s">
        <v>450</v>
      </c>
      <c r="E513" s="2" t="s">
        <v>85</v>
      </c>
      <c r="F513" s="2" t="s">
        <v>85</v>
      </c>
      <c r="G513" s="2" t="s">
        <v>46</v>
      </c>
      <c r="H513" s="2" t="s">
        <v>451</v>
      </c>
      <c r="I513" s="2"/>
      <c r="J513" s="2"/>
    </row>
    <row r="514" spans="1:10" x14ac:dyDescent="0.35">
      <c r="A514" s="2" t="s">
        <v>10</v>
      </c>
      <c r="B514" s="2" t="s">
        <v>447</v>
      </c>
      <c r="C514" s="2" t="s">
        <v>24</v>
      </c>
      <c r="D514" s="2" t="s">
        <v>450</v>
      </c>
      <c r="E514" s="2" t="s">
        <v>188</v>
      </c>
      <c r="F514" s="2" t="s">
        <v>189</v>
      </c>
      <c r="G514" s="2" t="s">
        <v>46</v>
      </c>
      <c r="H514" s="2" t="s">
        <v>451</v>
      </c>
      <c r="I514" s="2"/>
      <c r="J514" s="2"/>
    </row>
    <row r="515" spans="1:10" x14ac:dyDescent="0.35">
      <c r="A515" s="2" t="s">
        <v>10</v>
      </c>
      <c r="B515" s="2" t="s">
        <v>447</v>
      </c>
      <c r="C515" s="2" t="s">
        <v>57</v>
      </c>
      <c r="D515" s="2" t="s">
        <v>453</v>
      </c>
      <c r="E515" s="2" t="s">
        <v>130</v>
      </c>
      <c r="F515" s="2" t="s">
        <v>36</v>
      </c>
      <c r="G515" s="2"/>
      <c r="H515" s="2"/>
      <c r="I515" s="2" t="s">
        <v>16</v>
      </c>
      <c r="J515" s="2" t="s">
        <v>454</v>
      </c>
    </row>
    <row r="516" spans="1:10" x14ac:dyDescent="0.35">
      <c r="A516" s="2" t="s">
        <v>10</v>
      </c>
      <c r="B516" s="2" t="s">
        <v>447</v>
      </c>
      <c r="C516" s="2" t="s">
        <v>57</v>
      </c>
      <c r="D516" s="2" t="s">
        <v>453</v>
      </c>
      <c r="E516" s="2" t="s">
        <v>144</v>
      </c>
      <c r="F516" s="2" t="s">
        <v>50</v>
      </c>
      <c r="G516" s="2" t="s">
        <v>46</v>
      </c>
      <c r="H516" s="2" t="s">
        <v>451</v>
      </c>
      <c r="I516" s="2" t="s">
        <v>16</v>
      </c>
      <c r="J516" s="2" t="s">
        <v>454</v>
      </c>
    </row>
    <row r="517" spans="1:10" x14ac:dyDescent="0.35">
      <c r="A517" s="2" t="s">
        <v>10</v>
      </c>
      <c r="B517" s="2" t="s">
        <v>447</v>
      </c>
      <c r="C517" s="2" t="s">
        <v>57</v>
      </c>
      <c r="D517" s="2" t="s">
        <v>453</v>
      </c>
      <c r="E517" s="2" t="s">
        <v>136</v>
      </c>
      <c r="F517" s="2" t="s">
        <v>107</v>
      </c>
      <c r="G517" s="2"/>
      <c r="H517" s="2"/>
      <c r="I517" s="2" t="s">
        <v>16</v>
      </c>
      <c r="J517" s="2" t="s">
        <v>454</v>
      </c>
    </row>
    <row r="518" spans="1:10" x14ac:dyDescent="0.35">
      <c r="A518" s="2" t="s">
        <v>10</v>
      </c>
      <c r="B518" s="2" t="s">
        <v>447</v>
      </c>
      <c r="C518" s="2" t="s">
        <v>57</v>
      </c>
      <c r="D518" s="2" t="s">
        <v>453</v>
      </c>
      <c r="E518" s="2" t="s">
        <v>59</v>
      </c>
      <c r="F518" s="2" t="s">
        <v>60</v>
      </c>
      <c r="G518" s="2"/>
      <c r="H518" s="2"/>
      <c r="I518" s="2" t="s">
        <v>16</v>
      </c>
      <c r="J518" s="2" t="s">
        <v>454</v>
      </c>
    </row>
    <row r="519" spans="1:10" x14ac:dyDescent="0.35">
      <c r="A519" s="2" t="s">
        <v>10</v>
      </c>
      <c r="B519" s="2" t="s">
        <v>447</v>
      </c>
      <c r="C519" s="2" t="s">
        <v>57</v>
      </c>
      <c r="D519" s="2" t="s">
        <v>453</v>
      </c>
      <c r="E519" s="2" t="s">
        <v>121</v>
      </c>
      <c r="F519" s="2" t="s">
        <v>122</v>
      </c>
      <c r="G519" s="2"/>
      <c r="H519" s="2"/>
      <c r="I519" s="2" t="s">
        <v>16</v>
      </c>
      <c r="J519" s="2" t="s">
        <v>454</v>
      </c>
    </row>
    <row r="520" spans="1:10" s="21" customFormat="1" x14ac:dyDescent="0.35">
      <c r="A520" s="2" t="s">
        <v>10</v>
      </c>
      <c r="B520" s="2" t="s">
        <v>447</v>
      </c>
      <c r="C520" s="2" t="s">
        <v>57</v>
      </c>
      <c r="D520" s="2" t="s">
        <v>453</v>
      </c>
      <c r="E520" s="2" t="s">
        <v>455</v>
      </c>
      <c r="F520" s="2" t="s">
        <v>52</v>
      </c>
      <c r="G520" s="2"/>
      <c r="H520" s="2"/>
      <c r="I520" s="2" t="s">
        <v>16</v>
      </c>
      <c r="J520" s="2" t="s">
        <v>454</v>
      </c>
    </row>
    <row r="521" spans="1:10" x14ac:dyDescent="0.35">
      <c r="A521" s="2" t="s">
        <v>10</v>
      </c>
      <c r="B521" s="2" t="s">
        <v>447</v>
      </c>
      <c r="C521" s="2" t="s">
        <v>57</v>
      </c>
      <c r="D521" s="2" t="s">
        <v>453</v>
      </c>
      <c r="E521" s="2" t="s">
        <v>204</v>
      </c>
      <c r="F521" s="2" t="s">
        <v>40</v>
      </c>
      <c r="G521" s="2" t="s">
        <v>16</v>
      </c>
      <c r="H521" s="2" t="s">
        <v>261</v>
      </c>
      <c r="I521" s="2" t="s">
        <v>16</v>
      </c>
      <c r="J521" s="2" t="s">
        <v>454</v>
      </c>
    </row>
    <row r="522" spans="1:10" x14ac:dyDescent="0.35">
      <c r="A522" s="2" t="s">
        <v>10</v>
      </c>
      <c r="B522" s="2" t="s">
        <v>447</v>
      </c>
      <c r="C522" s="2" t="s">
        <v>57</v>
      </c>
      <c r="D522" s="2" t="s">
        <v>453</v>
      </c>
      <c r="E522" s="2" t="s">
        <v>18</v>
      </c>
      <c r="F522" s="2" t="s">
        <v>19</v>
      </c>
      <c r="G522" s="2" t="s">
        <v>16</v>
      </c>
      <c r="H522" s="2" t="s">
        <v>456</v>
      </c>
      <c r="I522" s="2" t="s">
        <v>16</v>
      </c>
      <c r="J522" s="2" t="s">
        <v>454</v>
      </c>
    </row>
    <row r="523" spans="1:10" x14ac:dyDescent="0.35">
      <c r="A523" s="2" t="s">
        <v>10</v>
      </c>
      <c r="B523" s="2" t="s">
        <v>447</v>
      </c>
      <c r="C523" s="2" t="s">
        <v>57</v>
      </c>
      <c r="D523" s="2" t="s">
        <v>453</v>
      </c>
      <c r="E523" s="2" t="s">
        <v>188</v>
      </c>
      <c r="F523" s="2" t="s">
        <v>189</v>
      </c>
      <c r="G523" s="2" t="s">
        <v>16</v>
      </c>
      <c r="H523" s="2" t="s">
        <v>457</v>
      </c>
      <c r="I523" s="2" t="s">
        <v>16</v>
      </c>
      <c r="J523" s="2" t="s">
        <v>454</v>
      </c>
    </row>
    <row r="524" spans="1:10" x14ac:dyDescent="0.35">
      <c r="A524" s="2" t="s">
        <v>10</v>
      </c>
      <c r="B524" s="2" t="s">
        <v>458</v>
      </c>
      <c r="C524" s="2" t="s">
        <v>57</v>
      </c>
      <c r="D524" s="2" t="s">
        <v>459</v>
      </c>
      <c r="E524" s="2" t="s">
        <v>14</v>
      </c>
      <c r="F524" s="2" t="s">
        <v>15</v>
      </c>
      <c r="G524" s="2"/>
      <c r="H524" s="2"/>
      <c r="I524" s="2"/>
      <c r="J524" s="2"/>
    </row>
    <row r="525" spans="1:10" x14ac:dyDescent="0.35">
      <c r="A525" s="2" t="s">
        <v>10</v>
      </c>
      <c r="B525" s="2" t="s">
        <v>458</v>
      </c>
      <c r="C525" s="2" t="s">
        <v>57</v>
      </c>
      <c r="D525" s="2" t="s">
        <v>459</v>
      </c>
      <c r="E525" s="2" t="s">
        <v>144</v>
      </c>
      <c r="F525" s="2" t="s">
        <v>50</v>
      </c>
      <c r="G525" s="2" t="s">
        <v>46</v>
      </c>
      <c r="H525" s="2" t="s">
        <v>451</v>
      </c>
      <c r="I525" s="2"/>
      <c r="J525" s="2"/>
    </row>
    <row r="526" spans="1:10" x14ac:dyDescent="0.35">
      <c r="A526" s="2" t="s">
        <v>10</v>
      </c>
      <c r="B526" s="2" t="s">
        <v>458</v>
      </c>
      <c r="C526" s="2" t="s">
        <v>57</v>
      </c>
      <c r="D526" s="2" t="s">
        <v>459</v>
      </c>
      <c r="E526" s="2" t="s">
        <v>91</v>
      </c>
      <c r="F526" s="2" t="s">
        <v>19</v>
      </c>
      <c r="G526" s="2" t="s">
        <v>16</v>
      </c>
      <c r="H526" s="2" t="s">
        <v>460</v>
      </c>
      <c r="I526" s="2"/>
      <c r="J526" s="2"/>
    </row>
    <row r="527" spans="1:10" x14ac:dyDescent="0.35">
      <c r="A527" s="2" t="s">
        <v>10</v>
      </c>
      <c r="B527" s="2" t="s">
        <v>458</v>
      </c>
      <c r="C527" s="2" t="s">
        <v>24</v>
      </c>
      <c r="D527" s="2" t="s">
        <v>461</v>
      </c>
      <c r="E527" s="2" t="s">
        <v>130</v>
      </c>
      <c r="F527" s="2" t="s">
        <v>36</v>
      </c>
      <c r="G527" s="2"/>
      <c r="H527" s="2"/>
      <c r="I527" s="2"/>
      <c r="J527" s="2"/>
    </row>
    <row r="528" spans="1:10" x14ac:dyDescent="0.35">
      <c r="A528" s="2" t="s">
        <v>10</v>
      </c>
      <c r="B528" s="2" t="s">
        <v>458</v>
      </c>
      <c r="C528" s="2" t="s">
        <v>24</v>
      </c>
      <c r="D528" s="2" t="s">
        <v>461</v>
      </c>
      <c r="E528" s="2" t="s">
        <v>14</v>
      </c>
      <c r="F528" s="2" t="s">
        <v>15</v>
      </c>
      <c r="G528" s="2"/>
      <c r="H528" s="2"/>
      <c r="I528" s="2"/>
      <c r="J528" s="2"/>
    </row>
    <row r="529" spans="1:10" x14ac:dyDescent="0.35">
      <c r="A529" s="2" t="s">
        <v>10</v>
      </c>
      <c r="B529" s="2" t="s">
        <v>458</v>
      </c>
      <c r="C529" s="2" t="s">
        <v>24</v>
      </c>
      <c r="D529" s="2" t="s">
        <v>461</v>
      </c>
      <c r="E529" s="2" t="s">
        <v>82</v>
      </c>
      <c r="F529" s="2" t="s">
        <v>83</v>
      </c>
      <c r="G529" s="2"/>
      <c r="H529" s="2"/>
      <c r="I529" s="2"/>
      <c r="J529" s="2"/>
    </row>
    <row r="530" spans="1:10" x14ac:dyDescent="0.35">
      <c r="A530" s="2" t="s">
        <v>10</v>
      </c>
      <c r="B530" s="2" t="s">
        <v>458</v>
      </c>
      <c r="C530" s="2" t="s">
        <v>24</v>
      </c>
      <c r="D530" s="2" t="s">
        <v>461</v>
      </c>
      <c r="E530" s="2" t="s">
        <v>121</v>
      </c>
      <c r="F530" s="2" t="s">
        <v>122</v>
      </c>
      <c r="G530" s="2"/>
      <c r="H530" s="2"/>
      <c r="I530" s="2"/>
      <c r="J530" s="2"/>
    </row>
    <row r="531" spans="1:10" x14ac:dyDescent="0.35">
      <c r="A531" s="2" t="s">
        <v>10</v>
      </c>
      <c r="B531" s="2" t="s">
        <v>458</v>
      </c>
      <c r="C531" s="2" t="s">
        <v>24</v>
      </c>
      <c r="D531" s="2" t="s">
        <v>461</v>
      </c>
      <c r="E531" s="2" t="s">
        <v>91</v>
      </c>
      <c r="F531" s="2" t="s">
        <v>19</v>
      </c>
      <c r="G531" s="2"/>
      <c r="H531" s="2"/>
      <c r="I531" s="2"/>
      <c r="J531" s="2"/>
    </row>
    <row r="532" spans="1:10" x14ac:dyDescent="0.35">
      <c r="A532" s="2" t="s">
        <v>10</v>
      </c>
      <c r="B532" s="2" t="s">
        <v>458</v>
      </c>
      <c r="C532" s="2" t="s">
        <v>24</v>
      </c>
      <c r="D532" s="2" t="s">
        <v>461</v>
      </c>
      <c r="E532" s="2" t="s">
        <v>188</v>
      </c>
      <c r="F532" s="2" t="s">
        <v>189</v>
      </c>
      <c r="G532" s="2"/>
      <c r="H532" s="2"/>
      <c r="I532" s="2"/>
      <c r="J532" s="2"/>
    </row>
    <row r="533" spans="1:10" x14ac:dyDescent="0.35">
      <c r="A533" s="2" t="s">
        <v>10</v>
      </c>
      <c r="B533" s="2" t="s">
        <v>458</v>
      </c>
      <c r="C533" s="2" t="s">
        <v>24</v>
      </c>
      <c r="D533" s="2" t="s">
        <v>461</v>
      </c>
      <c r="E533" s="2" t="s">
        <v>127</v>
      </c>
      <c r="F533" s="2" t="s">
        <v>107</v>
      </c>
      <c r="G533" s="2"/>
      <c r="H533" s="2"/>
      <c r="I533" s="2"/>
      <c r="J533" s="2"/>
    </row>
    <row r="534" spans="1:10" x14ac:dyDescent="0.35">
      <c r="A534" s="2" t="s">
        <v>10</v>
      </c>
      <c r="B534" s="2" t="s">
        <v>462</v>
      </c>
      <c r="C534" s="2" t="s">
        <v>57</v>
      </c>
      <c r="D534" s="2" t="s">
        <v>463</v>
      </c>
      <c r="E534" s="2" t="s">
        <v>196</v>
      </c>
      <c r="F534" s="2" t="s">
        <v>197</v>
      </c>
      <c r="G534" s="2"/>
      <c r="H534" s="2"/>
      <c r="I534" s="2"/>
      <c r="J534" s="2"/>
    </row>
    <row r="535" spans="1:10" x14ac:dyDescent="0.35">
      <c r="A535" s="2" t="s">
        <v>10</v>
      </c>
      <c r="B535" s="2" t="s">
        <v>462</v>
      </c>
      <c r="C535" s="2" t="s">
        <v>57</v>
      </c>
      <c r="D535" s="2" t="s">
        <v>463</v>
      </c>
      <c r="E535" s="2" t="s">
        <v>14</v>
      </c>
      <c r="F535" s="2" t="s">
        <v>15</v>
      </c>
      <c r="G535" s="2"/>
      <c r="H535" s="2"/>
      <c r="I535" s="2"/>
      <c r="J535" s="2"/>
    </row>
    <row r="536" spans="1:10" x14ac:dyDescent="0.35">
      <c r="A536" s="2" t="s">
        <v>10</v>
      </c>
      <c r="B536" s="2" t="s">
        <v>462</v>
      </c>
      <c r="C536" s="2" t="s">
        <v>57</v>
      </c>
      <c r="D536" s="2" t="s">
        <v>463</v>
      </c>
      <c r="E536" s="2" t="s">
        <v>464</v>
      </c>
      <c r="F536" s="2" t="s">
        <v>38</v>
      </c>
      <c r="G536" s="2"/>
      <c r="H536" s="2"/>
      <c r="I536" s="2"/>
      <c r="J536" s="2"/>
    </row>
    <row r="537" spans="1:10" x14ac:dyDescent="0.35">
      <c r="A537" s="2" t="s">
        <v>10</v>
      </c>
      <c r="B537" s="2" t="s">
        <v>462</v>
      </c>
      <c r="C537" s="2" t="s">
        <v>57</v>
      </c>
      <c r="D537" s="2" t="s">
        <v>463</v>
      </c>
      <c r="E537" s="2" t="s">
        <v>31</v>
      </c>
      <c r="F537" s="2" t="s">
        <v>32</v>
      </c>
      <c r="G537" s="2"/>
      <c r="H537" s="2"/>
      <c r="I537" s="2"/>
      <c r="J537" s="2"/>
    </row>
    <row r="538" spans="1:10" x14ac:dyDescent="0.35">
      <c r="A538" s="2" t="s">
        <v>10</v>
      </c>
      <c r="B538" s="2" t="s">
        <v>462</v>
      </c>
      <c r="C538" s="2" t="s">
        <v>57</v>
      </c>
      <c r="D538" s="2" t="s">
        <v>463</v>
      </c>
      <c r="E538" s="2" t="s">
        <v>200</v>
      </c>
      <c r="F538" s="2" t="s">
        <v>201</v>
      </c>
      <c r="G538" s="2" t="s">
        <v>16</v>
      </c>
      <c r="H538" s="2" t="s">
        <v>465</v>
      </c>
      <c r="I538" s="2"/>
      <c r="J538" s="2"/>
    </row>
    <row r="539" spans="1:10" x14ac:dyDescent="0.35">
      <c r="A539" s="2" t="s">
        <v>10</v>
      </c>
      <c r="B539" s="2" t="s">
        <v>462</v>
      </c>
      <c r="C539" s="2" t="s">
        <v>57</v>
      </c>
      <c r="D539" s="2" t="s">
        <v>463</v>
      </c>
      <c r="E539" s="2" t="s">
        <v>466</v>
      </c>
      <c r="F539" s="2" t="s">
        <v>203</v>
      </c>
      <c r="G539" s="2"/>
      <c r="H539" s="2"/>
      <c r="I539" s="2"/>
      <c r="J539" s="2"/>
    </row>
    <row r="540" spans="1:10" x14ac:dyDescent="0.35">
      <c r="A540" s="2" t="s">
        <v>10</v>
      </c>
      <c r="B540" s="2" t="s">
        <v>462</v>
      </c>
      <c r="C540" s="2" t="s">
        <v>57</v>
      </c>
      <c r="D540" s="2" t="s">
        <v>463</v>
      </c>
      <c r="E540" s="2" t="s">
        <v>416</v>
      </c>
      <c r="F540" s="2" t="s">
        <v>38</v>
      </c>
      <c r="G540" s="2"/>
      <c r="H540" s="2"/>
      <c r="I540" s="2"/>
      <c r="J540" s="2"/>
    </row>
    <row r="541" spans="1:10" x14ac:dyDescent="0.35">
      <c r="A541" s="2" t="s">
        <v>10</v>
      </c>
      <c r="B541" s="2" t="s">
        <v>462</v>
      </c>
      <c r="C541" s="2" t="s">
        <v>57</v>
      </c>
      <c r="D541" s="2" t="s">
        <v>463</v>
      </c>
      <c r="E541" s="2" t="s">
        <v>121</v>
      </c>
      <c r="F541" s="2" t="s">
        <v>122</v>
      </c>
      <c r="G541" s="2"/>
      <c r="H541" s="2"/>
      <c r="I541" s="2"/>
      <c r="J541" s="2"/>
    </row>
    <row r="542" spans="1:10" x14ac:dyDescent="0.35">
      <c r="A542" s="2" t="s">
        <v>10</v>
      </c>
      <c r="B542" s="2" t="s">
        <v>462</v>
      </c>
      <c r="C542" s="2" t="s">
        <v>57</v>
      </c>
      <c r="D542" s="2" t="s">
        <v>463</v>
      </c>
      <c r="E542" s="2" t="s">
        <v>467</v>
      </c>
      <c r="F542" s="2" t="s">
        <v>45</v>
      </c>
      <c r="G542" s="2"/>
      <c r="H542" s="2"/>
      <c r="I542" s="2"/>
      <c r="J542" s="2"/>
    </row>
    <row r="543" spans="1:10" x14ac:dyDescent="0.35">
      <c r="A543" s="2" t="s">
        <v>10</v>
      </c>
      <c r="B543" s="2" t="s">
        <v>462</v>
      </c>
      <c r="C543" s="2" t="s">
        <v>57</v>
      </c>
      <c r="D543" s="2" t="s">
        <v>463</v>
      </c>
      <c r="E543" s="2" t="s">
        <v>168</v>
      </c>
      <c r="F543" s="2" t="s">
        <v>45</v>
      </c>
      <c r="G543" s="2"/>
      <c r="H543" s="2" t="s">
        <v>468</v>
      </c>
      <c r="I543" s="2"/>
      <c r="J543" s="2"/>
    </row>
    <row r="544" spans="1:10" x14ac:dyDescent="0.35">
      <c r="A544" s="2" t="s">
        <v>10</v>
      </c>
      <c r="B544" s="2" t="s">
        <v>462</v>
      </c>
      <c r="C544" s="2" t="s">
        <v>57</v>
      </c>
      <c r="D544" s="2" t="s">
        <v>463</v>
      </c>
      <c r="E544" s="2" t="s">
        <v>77</v>
      </c>
      <c r="F544" s="2" t="s">
        <v>78</v>
      </c>
      <c r="G544" s="2"/>
      <c r="H544" s="2"/>
      <c r="I544" s="2"/>
      <c r="J544" s="2"/>
    </row>
    <row r="545" spans="1:10" x14ac:dyDescent="0.35">
      <c r="A545" s="2" t="s">
        <v>10</v>
      </c>
      <c r="B545" s="2" t="s">
        <v>462</v>
      </c>
      <c r="C545" s="2" t="s">
        <v>57</v>
      </c>
      <c r="D545" s="2" t="s">
        <v>463</v>
      </c>
      <c r="E545" s="2" t="s">
        <v>469</v>
      </c>
      <c r="F545" s="2" t="s">
        <v>40</v>
      </c>
      <c r="G545" s="2"/>
      <c r="H545" s="2"/>
      <c r="I545" s="2"/>
      <c r="J545" s="2"/>
    </row>
    <row r="546" spans="1:10" x14ac:dyDescent="0.35">
      <c r="A546" s="2" t="s">
        <v>10</v>
      </c>
      <c r="B546" s="2" t="s">
        <v>462</v>
      </c>
      <c r="C546" s="2" t="s">
        <v>57</v>
      </c>
      <c r="D546" s="2" t="s">
        <v>463</v>
      </c>
      <c r="E546" s="2" t="s">
        <v>18</v>
      </c>
      <c r="F546" s="2" t="s">
        <v>19</v>
      </c>
      <c r="G546" s="2" t="s">
        <v>16</v>
      </c>
      <c r="H546" s="2" t="s">
        <v>470</v>
      </c>
      <c r="I546" s="2"/>
      <c r="J546" s="2"/>
    </row>
    <row r="547" spans="1:10" x14ac:dyDescent="0.35">
      <c r="A547" s="2" t="s">
        <v>10</v>
      </c>
      <c r="B547" s="2" t="s">
        <v>462</v>
      </c>
      <c r="C547" s="2" t="s">
        <v>57</v>
      </c>
      <c r="D547" s="2" t="s">
        <v>463</v>
      </c>
      <c r="E547" s="2" t="s">
        <v>471</v>
      </c>
      <c r="F547" s="2" t="s">
        <v>150</v>
      </c>
      <c r="G547" s="2"/>
      <c r="H547" s="2"/>
      <c r="I547" s="2"/>
      <c r="J547" s="2"/>
    </row>
    <row r="548" spans="1:10" x14ac:dyDescent="0.35">
      <c r="A548" s="2" t="s">
        <v>10</v>
      </c>
      <c r="B548" s="2" t="s">
        <v>462</v>
      </c>
      <c r="C548" s="2" t="s">
        <v>57</v>
      </c>
      <c r="D548" s="2" t="s">
        <v>463</v>
      </c>
      <c r="E548" s="2" t="s">
        <v>100</v>
      </c>
      <c r="F548" s="2" t="s">
        <v>101</v>
      </c>
      <c r="G548" s="2"/>
      <c r="H548" s="2"/>
      <c r="I548" s="2"/>
      <c r="J548" s="2"/>
    </row>
    <row r="549" spans="1:10" x14ac:dyDescent="0.35">
      <c r="A549" s="2" t="s">
        <v>10</v>
      </c>
      <c r="B549" s="2" t="s">
        <v>462</v>
      </c>
      <c r="C549" s="2" t="s">
        <v>57</v>
      </c>
      <c r="D549" s="2" t="s">
        <v>463</v>
      </c>
      <c r="E549" s="2" t="s">
        <v>188</v>
      </c>
      <c r="F549" s="2" t="s">
        <v>189</v>
      </c>
      <c r="G549" s="2"/>
      <c r="H549" s="2"/>
      <c r="I549" s="2"/>
      <c r="J549" s="2"/>
    </row>
    <row r="550" spans="1:10" x14ac:dyDescent="0.35">
      <c r="A550" s="2" t="s">
        <v>10</v>
      </c>
      <c r="B550" s="2" t="s">
        <v>462</v>
      </c>
      <c r="C550" s="2" t="s">
        <v>57</v>
      </c>
      <c r="D550" s="2" t="s">
        <v>463</v>
      </c>
      <c r="E550" s="2" t="s">
        <v>472</v>
      </c>
      <c r="F550" s="2" t="s">
        <v>473</v>
      </c>
      <c r="G550" s="2"/>
      <c r="H550" s="2"/>
      <c r="I550" s="2"/>
      <c r="J550" s="2"/>
    </row>
    <row r="551" spans="1:10" x14ac:dyDescent="0.35">
      <c r="A551" s="2" t="s">
        <v>10</v>
      </c>
      <c r="B551" s="2" t="s">
        <v>462</v>
      </c>
      <c r="C551" s="2" t="s">
        <v>57</v>
      </c>
      <c r="D551" s="2" t="s">
        <v>463</v>
      </c>
      <c r="E551" s="2" t="s">
        <v>149</v>
      </c>
      <c r="F551" s="2" t="s">
        <v>150</v>
      </c>
      <c r="G551" s="2" t="s">
        <v>16</v>
      </c>
      <c r="H551" s="2" t="s">
        <v>465</v>
      </c>
      <c r="I551" s="2"/>
      <c r="J551" s="2"/>
    </row>
    <row r="552" spans="1:10" x14ac:dyDescent="0.35">
      <c r="A552" s="2" t="s">
        <v>10</v>
      </c>
      <c r="B552" s="2" t="s">
        <v>462</v>
      </c>
      <c r="C552" s="2" t="s">
        <v>57</v>
      </c>
      <c r="D552" s="2" t="s">
        <v>463</v>
      </c>
      <c r="E552" s="2" t="s">
        <v>474</v>
      </c>
      <c r="F552" s="2" t="s">
        <v>125</v>
      </c>
      <c r="G552" s="2"/>
      <c r="H552" s="2"/>
      <c r="I552" s="2"/>
      <c r="J552" s="2"/>
    </row>
    <row r="553" spans="1:10" x14ac:dyDescent="0.35">
      <c r="A553" s="2" t="s">
        <v>10</v>
      </c>
      <c r="B553" s="2" t="s">
        <v>462</v>
      </c>
      <c r="C553" s="2" t="s">
        <v>54</v>
      </c>
      <c r="D553" s="2" t="s">
        <v>475</v>
      </c>
      <c r="E553" s="2" t="s">
        <v>476</v>
      </c>
      <c r="F553" s="2" t="s">
        <v>78</v>
      </c>
      <c r="G553" s="2"/>
      <c r="H553" s="2"/>
      <c r="I553" s="2"/>
      <c r="J553" s="2"/>
    </row>
    <row r="554" spans="1:10" s="21" customFormat="1" x14ac:dyDescent="0.35">
      <c r="A554" s="2" t="s">
        <v>10</v>
      </c>
      <c r="B554" s="2" t="s">
        <v>462</v>
      </c>
      <c r="C554" s="2" t="s">
        <v>24</v>
      </c>
      <c r="D554" s="2" t="s">
        <v>477</v>
      </c>
      <c r="E554" s="2" t="s">
        <v>120</v>
      </c>
      <c r="F554" s="2" t="s">
        <v>32</v>
      </c>
      <c r="G554" s="2"/>
      <c r="H554" s="2"/>
      <c r="I554" s="2"/>
      <c r="J554" s="2"/>
    </row>
    <row r="555" spans="1:10" x14ac:dyDescent="0.35">
      <c r="A555" s="2" t="s">
        <v>10</v>
      </c>
      <c r="B555" s="2" t="s">
        <v>462</v>
      </c>
      <c r="C555" s="2" t="s">
        <v>24</v>
      </c>
      <c r="D555" s="2" t="s">
        <v>477</v>
      </c>
      <c r="E555" s="2" t="s">
        <v>18</v>
      </c>
      <c r="F555" s="2" t="s">
        <v>19</v>
      </c>
      <c r="G555" s="2" t="s">
        <v>16</v>
      </c>
      <c r="H555" s="2" t="s">
        <v>478</v>
      </c>
      <c r="I555" s="2"/>
      <c r="J555" s="2"/>
    </row>
    <row r="556" spans="1:10" x14ac:dyDescent="0.35">
      <c r="A556" s="2" t="s">
        <v>10</v>
      </c>
      <c r="B556" s="2" t="s">
        <v>462</v>
      </c>
      <c r="C556" s="2" t="s">
        <v>54</v>
      </c>
      <c r="D556" s="2" t="s">
        <v>479</v>
      </c>
      <c r="E556" s="2" t="s">
        <v>31</v>
      </c>
      <c r="F556" s="2" t="s">
        <v>32</v>
      </c>
      <c r="G556" s="2"/>
      <c r="H556" s="2"/>
      <c r="I556" s="2"/>
      <c r="J556" s="2"/>
    </row>
    <row r="557" spans="1:10" x14ac:dyDescent="0.35">
      <c r="A557" s="2" t="s">
        <v>10</v>
      </c>
      <c r="B557" s="2" t="s">
        <v>462</v>
      </c>
      <c r="C557" s="2" t="s">
        <v>54</v>
      </c>
      <c r="D557" s="2" t="s">
        <v>479</v>
      </c>
      <c r="E557" s="2" t="s">
        <v>172</v>
      </c>
      <c r="F557" s="2" t="s">
        <v>65</v>
      </c>
      <c r="G557" s="2"/>
      <c r="H557" s="2"/>
      <c r="I557" s="2"/>
      <c r="J557" s="2"/>
    </row>
    <row r="558" spans="1:10" x14ac:dyDescent="0.35">
      <c r="A558" s="2" t="s">
        <v>10</v>
      </c>
      <c r="B558" s="2" t="s">
        <v>462</v>
      </c>
      <c r="C558" s="2" t="s">
        <v>54</v>
      </c>
      <c r="D558" s="2" t="s">
        <v>479</v>
      </c>
      <c r="E558" s="2" t="s">
        <v>121</v>
      </c>
      <c r="F558" s="2" t="s">
        <v>122</v>
      </c>
      <c r="G558" s="2"/>
      <c r="H558" s="2"/>
      <c r="I558" s="2"/>
      <c r="J558" s="2"/>
    </row>
    <row r="559" spans="1:10" x14ac:dyDescent="0.35">
      <c r="A559" s="2" t="s">
        <v>10</v>
      </c>
      <c r="B559" s="2" t="s">
        <v>462</v>
      </c>
      <c r="C559" s="2" t="s">
        <v>54</v>
      </c>
      <c r="D559" s="2" t="s">
        <v>479</v>
      </c>
      <c r="E559" s="2" t="s">
        <v>188</v>
      </c>
      <c r="F559" s="2" t="s">
        <v>189</v>
      </c>
      <c r="G559" s="2" t="s">
        <v>16</v>
      </c>
      <c r="H559" s="2" t="s">
        <v>480</v>
      </c>
      <c r="I559" s="2"/>
      <c r="J559" s="2"/>
    </row>
    <row r="560" spans="1:10" x14ac:dyDescent="0.35">
      <c r="A560" s="2" t="s">
        <v>10</v>
      </c>
      <c r="B560" s="2" t="s">
        <v>462</v>
      </c>
      <c r="C560" s="2" t="s">
        <v>54</v>
      </c>
      <c r="D560" s="2" t="s">
        <v>479</v>
      </c>
      <c r="E560" s="2" t="s">
        <v>127</v>
      </c>
      <c r="F560" s="2" t="s">
        <v>107</v>
      </c>
      <c r="G560" s="2"/>
      <c r="H560" s="2"/>
      <c r="I560" s="2"/>
      <c r="J560" s="2"/>
    </row>
    <row r="561" spans="1:10" s="21" customFormat="1" x14ac:dyDescent="0.35">
      <c r="A561" s="2" t="s">
        <v>10</v>
      </c>
      <c r="B561" s="2" t="s">
        <v>462</v>
      </c>
      <c r="C561" s="2" t="s">
        <v>62</v>
      </c>
      <c r="D561" s="2" t="s">
        <v>481</v>
      </c>
      <c r="E561" s="2" t="s">
        <v>106</v>
      </c>
      <c r="F561" s="2" t="s">
        <v>107</v>
      </c>
      <c r="G561" s="2"/>
      <c r="H561" s="2"/>
      <c r="I561" s="2"/>
      <c r="J561" s="2"/>
    </row>
    <row r="562" spans="1:10" x14ac:dyDescent="0.35">
      <c r="A562" s="2" t="s">
        <v>10</v>
      </c>
      <c r="B562" s="2" t="s">
        <v>462</v>
      </c>
      <c r="C562" s="2" t="s">
        <v>24</v>
      </c>
      <c r="D562" s="2" t="s">
        <v>482</v>
      </c>
      <c r="E562" s="2" t="s">
        <v>196</v>
      </c>
      <c r="F562" s="2" t="s">
        <v>197</v>
      </c>
      <c r="G562" s="2" t="s">
        <v>46</v>
      </c>
      <c r="H562" s="2" t="s">
        <v>483</v>
      </c>
      <c r="I562" s="2"/>
      <c r="J562" s="2"/>
    </row>
    <row r="563" spans="1:10" x14ac:dyDescent="0.35">
      <c r="A563" s="2" t="s">
        <v>10</v>
      </c>
      <c r="B563" s="2" t="s">
        <v>462</v>
      </c>
      <c r="C563" s="2" t="s">
        <v>24</v>
      </c>
      <c r="D563" s="2" t="s">
        <v>482</v>
      </c>
      <c r="E563" s="2" t="s">
        <v>14</v>
      </c>
      <c r="F563" s="2" t="s">
        <v>15</v>
      </c>
      <c r="G563" s="2" t="s">
        <v>46</v>
      </c>
      <c r="H563" s="2" t="s">
        <v>483</v>
      </c>
      <c r="I563" s="2"/>
      <c r="J563" s="2"/>
    </row>
    <row r="564" spans="1:10" x14ac:dyDescent="0.35">
      <c r="A564" s="2" t="s">
        <v>10</v>
      </c>
      <c r="B564" s="2" t="s">
        <v>462</v>
      </c>
      <c r="C564" s="2" t="s">
        <v>24</v>
      </c>
      <c r="D564" s="2" t="s">
        <v>482</v>
      </c>
      <c r="E564" s="2" t="s">
        <v>464</v>
      </c>
      <c r="F564" s="2" t="s">
        <v>38</v>
      </c>
      <c r="G564" s="2" t="s">
        <v>46</v>
      </c>
      <c r="H564" s="2" t="s">
        <v>483</v>
      </c>
      <c r="I564" s="2"/>
      <c r="J564" s="2"/>
    </row>
    <row r="565" spans="1:10" x14ac:dyDescent="0.35">
      <c r="A565" s="2" t="s">
        <v>10</v>
      </c>
      <c r="B565" s="2" t="s">
        <v>462</v>
      </c>
      <c r="C565" s="2" t="s">
        <v>24</v>
      </c>
      <c r="D565" s="2" t="s">
        <v>482</v>
      </c>
      <c r="E565" s="2" t="s">
        <v>31</v>
      </c>
      <c r="F565" s="2" t="s">
        <v>32</v>
      </c>
      <c r="G565" s="2" t="s">
        <v>46</v>
      </c>
      <c r="H565" s="2" t="s">
        <v>483</v>
      </c>
      <c r="I565" s="2"/>
      <c r="J565" s="2"/>
    </row>
    <row r="566" spans="1:10" x14ac:dyDescent="0.35">
      <c r="A566" s="2" t="s">
        <v>10</v>
      </c>
      <c r="B566" s="2" t="s">
        <v>462</v>
      </c>
      <c r="C566" s="2" t="s">
        <v>24</v>
      </c>
      <c r="D566" s="2" t="s">
        <v>482</v>
      </c>
      <c r="E566" s="2" t="s">
        <v>416</v>
      </c>
      <c r="F566" s="2" t="s">
        <v>38</v>
      </c>
      <c r="G566" s="2" t="s">
        <v>46</v>
      </c>
      <c r="H566" s="2" t="s">
        <v>483</v>
      </c>
      <c r="I566" s="2"/>
      <c r="J566" s="2"/>
    </row>
    <row r="567" spans="1:10" x14ac:dyDescent="0.35">
      <c r="A567" s="2" t="s">
        <v>10</v>
      </c>
      <c r="B567" s="2" t="s">
        <v>462</v>
      </c>
      <c r="C567" s="2" t="s">
        <v>24</v>
      </c>
      <c r="D567" s="2" t="s">
        <v>482</v>
      </c>
      <c r="E567" s="2" t="s">
        <v>467</v>
      </c>
      <c r="F567" s="2" t="s">
        <v>45</v>
      </c>
      <c r="G567" s="2" t="s">
        <v>46</v>
      </c>
      <c r="H567" s="2" t="s">
        <v>483</v>
      </c>
      <c r="I567" s="2"/>
      <c r="J567" s="2"/>
    </row>
    <row r="568" spans="1:10" x14ac:dyDescent="0.35">
      <c r="A568" s="2" t="s">
        <v>10</v>
      </c>
      <c r="B568" s="2" t="s">
        <v>462</v>
      </c>
      <c r="C568" s="2" t="s">
        <v>24</v>
      </c>
      <c r="D568" s="2" t="s">
        <v>482</v>
      </c>
      <c r="E568" s="2" t="s">
        <v>77</v>
      </c>
      <c r="F568" s="2" t="s">
        <v>78</v>
      </c>
      <c r="G568" s="2" t="s">
        <v>46</v>
      </c>
      <c r="H568" s="2" t="s">
        <v>483</v>
      </c>
      <c r="I568" s="2"/>
      <c r="J568" s="2"/>
    </row>
    <row r="569" spans="1:10" x14ac:dyDescent="0.35">
      <c r="A569" s="2" t="s">
        <v>10</v>
      </c>
      <c r="B569" s="2" t="s">
        <v>462</v>
      </c>
      <c r="C569" s="2" t="s">
        <v>24</v>
      </c>
      <c r="D569" s="2" t="s">
        <v>482</v>
      </c>
      <c r="E569" s="2" t="s">
        <v>471</v>
      </c>
      <c r="F569" s="2" t="s">
        <v>150</v>
      </c>
      <c r="G569" s="2" t="s">
        <v>46</v>
      </c>
      <c r="H569" s="2" t="s">
        <v>483</v>
      </c>
      <c r="I569" s="2"/>
      <c r="J569" s="2"/>
    </row>
    <row r="570" spans="1:10" x14ac:dyDescent="0.35">
      <c r="A570" s="2" t="s">
        <v>10</v>
      </c>
      <c r="B570" s="2" t="s">
        <v>462</v>
      </c>
      <c r="C570" s="2" t="s">
        <v>24</v>
      </c>
      <c r="D570" s="2" t="s">
        <v>482</v>
      </c>
      <c r="E570" s="2" t="s">
        <v>188</v>
      </c>
      <c r="F570" s="2" t="s">
        <v>189</v>
      </c>
      <c r="G570" s="2" t="s">
        <v>46</v>
      </c>
      <c r="H570" s="2" t="s">
        <v>483</v>
      </c>
      <c r="I570" s="2"/>
      <c r="J570" s="2"/>
    </row>
    <row r="571" spans="1:10" x14ac:dyDescent="0.35">
      <c r="A571" s="2" t="s">
        <v>10</v>
      </c>
      <c r="B571" s="2" t="s">
        <v>462</v>
      </c>
      <c r="C571" s="2" t="s">
        <v>24</v>
      </c>
      <c r="D571" s="2" t="s">
        <v>482</v>
      </c>
      <c r="E571" s="2" t="s">
        <v>472</v>
      </c>
      <c r="F571" s="2" t="s">
        <v>473</v>
      </c>
      <c r="G571" s="2" t="s">
        <v>46</v>
      </c>
      <c r="H571" s="2" t="s">
        <v>483</v>
      </c>
      <c r="I571" s="2"/>
      <c r="J571" s="2"/>
    </row>
    <row r="572" spans="1:10" x14ac:dyDescent="0.35">
      <c r="A572" s="2" t="s">
        <v>10</v>
      </c>
      <c r="B572" s="2" t="s">
        <v>462</v>
      </c>
      <c r="C572" s="2" t="s">
        <v>24</v>
      </c>
      <c r="D572" s="2" t="s">
        <v>482</v>
      </c>
      <c r="E572" s="2" t="s">
        <v>149</v>
      </c>
      <c r="F572" s="2" t="s">
        <v>150</v>
      </c>
      <c r="G572" s="2" t="s">
        <v>46</v>
      </c>
      <c r="H572" s="2" t="s">
        <v>483</v>
      </c>
      <c r="I572" s="2"/>
      <c r="J572" s="2"/>
    </row>
    <row r="573" spans="1:10" x14ac:dyDescent="0.35">
      <c r="A573" s="2" t="s">
        <v>10</v>
      </c>
      <c r="B573" s="2" t="s">
        <v>462</v>
      </c>
      <c r="C573" s="2" t="s">
        <v>24</v>
      </c>
      <c r="D573" s="2" t="s">
        <v>482</v>
      </c>
      <c r="E573" s="2" t="s">
        <v>474</v>
      </c>
      <c r="F573" s="2" t="s">
        <v>125</v>
      </c>
      <c r="G573" s="2" t="s">
        <v>46</v>
      </c>
      <c r="H573" s="2" t="s">
        <v>483</v>
      </c>
      <c r="I573" s="2"/>
      <c r="J573" s="2"/>
    </row>
    <row r="574" spans="1:10" x14ac:dyDescent="0.35">
      <c r="A574" s="2" t="s">
        <v>10</v>
      </c>
      <c r="B574" s="2" t="s">
        <v>462</v>
      </c>
      <c r="C574" s="2" t="s">
        <v>436</v>
      </c>
      <c r="D574" s="2" t="s">
        <v>484</v>
      </c>
      <c r="E574" s="2" t="s">
        <v>14</v>
      </c>
      <c r="F574" s="2" t="s">
        <v>15</v>
      </c>
      <c r="G574" s="2"/>
      <c r="H574" s="2"/>
      <c r="I574" s="2"/>
      <c r="J574" s="2"/>
    </row>
    <row r="575" spans="1:10" x14ac:dyDescent="0.35">
      <c r="A575" s="2" t="s">
        <v>10</v>
      </c>
      <c r="B575" s="2" t="s">
        <v>462</v>
      </c>
      <c r="C575" s="2" t="s">
        <v>436</v>
      </c>
      <c r="D575" s="2" t="s">
        <v>484</v>
      </c>
      <c r="E575" s="2" t="s">
        <v>485</v>
      </c>
      <c r="F575" s="2" t="s">
        <v>15</v>
      </c>
      <c r="G575" s="2"/>
      <c r="H575" s="2"/>
      <c r="I575" s="2"/>
      <c r="J575" s="2"/>
    </row>
    <row r="576" spans="1:10" x14ac:dyDescent="0.35">
      <c r="A576" s="2" t="s">
        <v>10</v>
      </c>
      <c r="B576" s="2" t="s">
        <v>462</v>
      </c>
      <c r="C576" s="2" t="s">
        <v>62</v>
      </c>
      <c r="D576" s="2" t="s">
        <v>486</v>
      </c>
      <c r="E576" s="2" t="s">
        <v>31</v>
      </c>
      <c r="F576" s="2" t="s">
        <v>32</v>
      </c>
      <c r="G576" s="2"/>
      <c r="H576" s="2"/>
      <c r="I576" s="2"/>
      <c r="J576" s="2"/>
    </row>
    <row r="577" spans="1:10" x14ac:dyDescent="0.35">
      <c r="A577" s="2" t="s">
        <v>10</v>
      </c>
      <c r="B577" s="2" t="s">
        <v>462</v>
      </c>
      <c r="C577" s="2" t="s">
        <v>62</v>
      </c>
      <c r="D577" s="2" t="s">
        <v>486</v>
      </c>
      <c r="E577" s="2" t="s">
        <v>96</v>
      </c>
      <c r="F577" s="2" t="s">
        <v>83</v>
      </c>
      <c r="G577" s="2"/>
      <c r="H577" s="2"/>
      <c r="I577" s="2"/>
      <c r="J577" s="2"/>
    </row>
    <row r="578" spans="1:10" x14ac:dyDescent="0.35">
      <c r="A578" s="2" t="s">
        <v>10</v>
      </c>
      <c r="B578" s="2" t="s">
        <v>462</v>
      </c>
      <c r="C578" s="2" t="s">
        <v>62</v>
      </c>
      <c r="D578" s="2" t="s">
        <v>486</v>
      </c>
      <c r="E578" s="2" t="s">
        <v>487</v>
      </c>
      <c r="F578" s="2" t="s">
        <v>75</v>
      </c>
      <c r="G578" s="2"/>
      <c r="H578" s="2"/>
      <c r="I578" s="2"/>
      <c r="J578" s="2"/>
    </row>
    <row r="579" spans="1:10" x14ac:dyDescent="0.35">
      <c r="A579" s="2" t="s">
        <v>10</v>
      </c>
      <c r="B579" s="2" t="s">
        <v>462</v>
      </c>
      <c r="C579" s="2" t="s">
        <v>62</v>
      </c>
      <c r="D579" s="2" t="s">
        <v>486</v>
      </c>
      <c r="E579" s="2" t="s">
        <v>18</v>
      </c>
      <c r="F579" s="2" t="s">
        <v>19</v>
      </c>
      <c r="G579" s="2" t="s">
        <v>16</v>
      </c>
      <c r="H579" s="2" t="s">
        <v>488</v>
      </c>
      <c r="I579" s="2"/>
      <c r="J579" s="2"/>
    </row>
    <row r="580" spans="1:10" x14ac:dyDescent="0.35">
      <c r="A580" s="2" t="s">
        <v>10</v>
      </c>
      <c r="B580" s="2" t="s">
        <v>462</v>
      </c>
      <c r="C580" s="2" t="s">
        <v>62</v>
      </c>
      <c r="D580" s="2" t="s">
        <v>486</v>
      </c>
      <c r="E580" s="2" t="s">
        <v>244</v>
      </c>
      <c r="F580" s="2" t="s">
        <v>65</v>
      </c>
      <c r="G580" s="2"/>
      <c r="H580" s="2"/>
      <c r="I580" s="2"/>
      <c r="J580" s="2"/>
    </row>
    <row r="581" spans="1:10" x14ac:dyDescent="0.35">
      <c r="A581" s="2" t="s">
        <v>10</v>
      </c>
      <c r="B581" s="2" t="s">
        <v>462</v>
      </c>
      <c r="C581" s="2" t="s">
        <v>62</v>
      </c>
      <c r="D581" s="2" t="s">
        <v>486</v>
      </c>
      <c r="E581" s="2" t="s">
        <v>489</v>
      </c>
      <c r="F581" s="2" t="s">
        <v>363</v>
      </c>
      <c r="G581" s="2"/>
      <c r="H581" s="2"/>
      <c r="I581" s="2"/>
      <c r="J581" s="2"/>
    </row>
    <row r="582" spans="1:10" x14ac:dyDescent="0.35">
      <c r="A582" s="2" t="s">
        <v>10</v>
      </c>
      <c r="B582" s="2" t="s">
        <v>462</v>
      </c>
      <c r="C582" s="2" t="s">
        <v>62</v>
      </c>
      <c r="D582" s="2" t="s">
        <v>490</v>
      </c>
      <c r="E582" s="2" t="s">
        <v>121</v>
      </c>
      <c r="F582" s="2" t="s">
        <v>122</v>
      </c>
      <c r="G582" s="2"/>
      <c r="H582" s="2"/>
      <c r="I582" s="2"/>
      <c r="J582" s="2"/>
    </row>
    <row r="583" spans="1:10" s="21" customFormat="1" x14ac:dyDescent="0.35">
      <c r="A583" s="2" t="s">
        <v>10</v>
      </c>
      <c r="B583" s="2" t="s">
        <v>462</v>
      </c>
      <c r="C583" s="2" t="s">
        <v>62</v>
      </c>
      <c r="D583" s="2" t="s">
        <v>491</v>
      </c>
      <c r="E583" s="2" t="s">
        <v>38</v>
      </c>
      <c r="F583" s="2" t="s">
        <v>38</v>
      </c>
      <c r="G583" s="2"/>
      <c r="H583" s="2"/>
      <c r="I583" s="2"/>
      <c r="J583" s="2"/>
    </row>
    <row r="584" spans="1:10" s="21" customFormat="1" x14ac:dyDescent="0.35">
      <c r="A584" s="2" t="s">
        <v>10</v>
      </c>
      <c r="B584" s="2" t="s">
        <v>462</v>
      </c>
      <c r="C584" s="2" t="s">
        <v>62</v>
      </c>
      <c r="D584" s="2" t="s">
        <v>491</v>
      </c>
      <c r="E584" s="2" t="s">
        <v>269</v>
      </c>
      <c r="F584" s="2" t="s">
        <v>270</v>
      </c>
      <c r="G584" s="2"/>
      <c r="H584" s="2"/>
      <c r="I584" s="2"/>
      <c r="J584" s="2"/>
    </row>
    <row r="585" spans="1:10" s="21" customFormat="1" x14ac:dyDescent="0.35">
      <c r="A585" s="2" t="s">
        <v>10</v>
      </c>
      <c r="B585" s="2" t="s">
        <v>462</v>
      </c>
      <c r="C585" s="2" t="s">
        <v>62</v>
      </c>
      <c r="D585" s="2" t="s">
        <v>491</v>
      </c>
      <c r="E585" s="2" t="s">
        <v>106</v>
      </c>
      <c r="F585" s="2" t="s">
        <v>107</v>
      </c>
      <c r="G585" s="2"/>
      <c r="H585" s="2"/>
      <c r="I585" s="2"/>
      <c r="J585" s="2"/>
    </row>
    <row r="586" spans="1:10" x14ac:dyDescent="0.35">
      <c r="A586" s="2" t="s">
        <v>10</v>
      </c>
      <c r="B586" s="2" t="s">
        <v>492</v>
      </c>
      <c r="C586" s="2" t="s">
        <v>54</v>
      </c>
      <c r="D586" s="2" t="s">
        <v>493</v>
      </c>
      <c r="E586" s="2" t="s">
        <v>120</v>
      </c>
      <c r="F586" s="2" t="s">
        <v>32</v>
      </c>
      <c r="G586" s="2"/>
      <c r="H586" s="2"/>
      <c r="I586" s="2"/>
      <c r="J586" s="2"/>
    </row>
    <row r="587" spans="1:10" x14ac:dyDescent="0.35">
      <c r="A587" s="2" t="s">
        <v>10</v>
      </c>
      <c r="B587" s="2" t="s">
        <v>492</v>
      </c>
      <c r="C587" s="2" t="s">
        <v>54</v>
      </c>
      <c r="D587" s="2" t="s">
        <v>493</v>
      </c>
      <c r="E587" s="2" t="s">
        <v>91</v>
      </c>
      <c r="F587" s="2" t="s">
        <v>19</v>
      </c>
      <c r="G587" s="2" t="s">
        <v>16</v>
      </c>
      <c r="H587" s="2" t="s">
        <v>494</v>
      </c>
      <c r="I587" s="2"/>
      <c r="J587" s="2"/>
    </row>
    <row r="588" spans="1:10" x14ac:dyDescent="0.35">
      <c r="A588" s="2" t="s">
        <v>10</v>
      </c>
      <c r="B588" s="2" t="s">
        <v>492</v>
      </c>
      <c r="C588" s="2" t="s">
        <v>54</v>
      </c>
      <c r="D588" s="2" t="s">
        <v>495</v>
      </c>
      <c r="E588" s="2" t="s">
        <v>120</v>
      </c>
      <c r="F588" s="2" t="s">
        <v>32</v>
      </c>
      <c r="G588" s="2" t="s">
        <v>16</v>
      </c>
      <c r="H588" s="2" t="s">
        <v>496</v>
      </c>
      <c r="I588" s="2"/>
      <c r="J588" s="2"/>
    </row>
    <row r="589" spans="1:10" x14ac:dyDescent="0.35">
      <c r="A589" s="2" t="s">
        <v>10</v>
      </c>
      <c r="B589" s="2" t="s">
        <v>492</v>
      </c>
      <c r="C589" s="2" t="s">
        <v>54</v>
      </c>
      <c r="D589" s="2" t="s">
        <v>495</v>
      </c>
      <c r="E589" s="2" t="s">
        <v>211</v>
      </c>
      <c r="F589" s="2" t="s">
        <v>203</v>
      </c>
      <c r="G589" s="2" t="s">
        <v>16</v>
      </c>
      <c r="H589" s="2" t="s">
        <v>496</v>
      </c>
      <c r="I589" s="2"/>
      <c r="J589" s="2"/>
    </row>
    <row r="590" spans="1:10" x14ac:dyDescent="0.35">
      <c r="A590" s="2" t="s">
        <v>10</v>
      </c>
      <c r="B590" s="2" t="s">
        <v>492</v>
      </c>
      <c r="C590" s="2" t="s">
        <v>24</v>
      </c>
      <c r="D590" s="2" t="s">
        <v>497</v>
      </c>
      <c r="E590" s="2" t="s">
        <v>31</v>
      </c>
      <c r="F590" s="2" t="s">
        <v>32</v>
      </c>
      <c r="G590" s="2" t="s">
        <v>46</v>
      </c>
      <c r="H590" s="2" t="s">
        <v>498</v>
      </c>
      <c r="I590" s="2"/>
      <c r="J590" s="2"/>
    </row>
    <row r="591" spans="1:10" x14ac:dyDescent="0.35">
      <c r="A591" s="2" t="s">
        <v>10</v>
      </c>
      <c r="B591" s="2" t="s">
        <v>492</v>
      </c>
      <c r="C591" s="2" t="s">
        <v>24</v>
      </c>
      <c r="D591" s="2" t="s">
        <v>497</v>
      </c>
      <c r="E591" s="2" t="s">
        <v>416</v>
      </c>
      <c r="F591" s="2" t="s">
        <v>38</v>
      </c>
      <c r="G591" s="2" t="s">
        <v>46</v>
      </c>
      <c r="H591" s="2" t="s">
        <v>498</v>
      </c>
      <c r="I591" s="2"/>
      <c r="J591" s="2"/>
    </row>
    <row r="592" spans="1:10" x14ac:dyDescent="0.35">
      <c r="A592" s="2" t="s">
        <v>10</v>
      </c>
      <c r="B592" s="2" t="s">
        <v>492</v>
      </c>
      <c r="C592" s="2" t="s">
        <v>24</v>
      </c>
      <c r="D592" s="2" t="s">
        <v>497</v>
      </c>
      <c r="E592" s="2" t="s">
        <v>42</v>
      </c>
      <c r="F592" s="2" t="s">
        <v>43</v>
      </c>
      <c r="G592" s="2" t="s">
        <v>46</v>
      </c>
      <c r="H592" s="2" t="s">
        <v>498</v>
      </c>
      <c r="I592" s="2"/>
      <c r="J592" s="2"/>
    </row>
    <row r="593" spans="1:10" x14ac:dyDescent="0.35">
      <c r="A593" s="2" t="s">
        <v>10</v>
      </c>
      <c r="B593" s="2" t="s">
        <v>492</v>
      </c>
      <c r="C593" s="2" t="s">
        <v>24</v>
      </c>
      <c r="D593" s="2" t="s">
        <v>499</v>
      </c>
      <c r="E593" s="2" t="s">
        <v>31</v>
      </c>
      <c r="F593" s="2" t="s">
        <v>32</v>
      </c>
      <c r="G593" s="2"/>
      <c r="H593" s="2"/>
      <c r="I593" s="2"/>
      <c r="J593" s="2"/>
    </row>
    <row r="594" spans="1:10" x14ac:dyDescent="0.35">
      <c r="A594" s="2" t="s">
        <v>10</v>
      </c>
      <c r="B594" s="2" t="s">
        <v>492</v>
      </c>
      <c r="C594" s="2" t="s">
        <v>24</v>
      </c>
      <c r="D594" s="2" t="s">
        <v>499</v>
      </c>
      <c r="E594" s="2" t="s">
        <v>416</v>
      </c>
      <c r="F594" s="2" t="s">
        <v>38</v>
      </c>
      <c r="G594" s="2"/>
      <c r="H594" s="2"/>
      <c r="I594" s="2"/>
      <c r="J594" s="2"/>
    </row>
    <row r="595" spans="1:10" x14ac:dyDescent="0.35">
      <c r="A595" s="2" t="s">
        <v>10</v>
      </c>
      <c r="B595" s="2" t="s">
        <v>492</v>
      </c>
      <c r="C595" s="2" t="s">
        <v>24</v>
      </c>
      <c r="D595" s="2" t="s">
        <v>499</v>
      </c>
      <c r="E595" s="2" t="s">
        <v>377</v>
      </c>
      <c r="F595" s="2" t="s">
        <v>270</v>
      </c>
      <c r="G595" s="2"/>
      <c r="H595" s="2"/>
      <c r="I595" s="2"/>
      <c r="J595" s="2"/>
    </row>
    <row r="596" spans="1:10" x14ac:dyDescent="0.35">
      <c r="A596" s="2" t="s">
        <v>10</v>
      </c>
      <c r="B596" s="2" t="s">
        <v>492</v>
      </c>
      <c r="C596" s="2" t="s">
        <v>24</v>
      </c>
      <c r="D596" s="2" t="s">
        <v>499</v>
      </c>
      <c r="E596" s="2" t="s">
        <v>77</v>
      </c>
      <c r="F596" s="2" t="s">
        <v>78</v>
      </c>
      <c r="G596" s="2"/>
      <c r="H596" s="2"/>
      <c r="I596" s="2"/>
      <c r="J596" s="2"/>
    </row>
    <row r="597" spans="1:10" x14ac:dyDescent="0.35">
      <c r="A597" s="2" t="s">
        <v>10</v>
      </c>
      <c r="B597" s="2" t="s">
        <v>492</v>
      </c>
      <c r="C597" s="2" t="s">
        <v>24</v>
      </c>
      <c r="D597" s="2" t="s">
        <v>499</v>
      </c>
      <c r="E597" s="2" t="s">
        <v>417</v>
      </c>
      <c r="F597" s="2" t="s">
        <v>40</v>
      </c>
      <c r="G597" s="2"/>
      <c r="H597" s="2"/>
      <c r="I597" s="2"/>
      <c r="J597" s="2"/>
    </row>
    <row r="598" spans="1:10" x14ac:dyDescent="0.35">
      <c r="A598" s="2" t="s">
        <v>10</v>
      </c>
      <c r="B598" s="2" t="s">
        <v>492</v>
      </c>
      <c r="C598" s="2" t="s">
        <v>24</v>
      </c>
      <c r="D598" s="2" t="s">
        <v>499</v>
      </c>
      <c r="E598" s="2" t="s">
        <v>18</v>
      </c>
      <c r="F598" s="2" t="s">
        <v>19</v>
      </c>
      <c r="G598" s="2"/>
      <c r="H598" s="2"/>
      <c r="I598" s="2"/>
      <c r="J598" s="2"/>
    </row>
    <row r="599" spans="1:10" x14ac:dyDescent="0.35">
      <c r="A599" s="2" t="s">
        <v>10</v>
      </c>
      <c r="B599" s="2" t="s">
        <v>492</v>
      </c>
      <c r="C599" s="2" t="s">
        <v>24</v>
      </c>
      <c r="D599" s="2" t="s">
        <v>499</v>
      </c>
      <c r="E599" s="2" t="s">
        <v>42</v>
      </c>
      <c r="F599" s="2" t="s">
        <v>43</v>
      </c>
      <c r="G599" s="2"/>
      <c r="H599" s="2"/>
      <c r="I599" s="2"/>
      <c r="J599" s="2"/>
    </row>
    <row r="600" spans="1:10" x14ac:dyDescent="0.35">
      <c r="A600" s="2" t="s">
        <v>10</v>
      </c>
      <c r="B600" s="2" t="s">
        <v>492</v>
      </c>
      <c r="C600" s="2" t="s">
        <v>24</v>
      </c>
      <c r="D600" s="2" t="s">
        <v>499</v>
      </c>
      <c r="E600" s="2" t="s">
        <v>302</v>
      </c>
      <c r="F600" s="2" t="s">
        <v>65</v>
      </c>
      <c r="G600" s="2"/>
      <c r="H600" s="2"/>
      <c r="I600" s="2"/>
      <c r="J600" s="2"/>
    </row>
    <row r="601" spans="1:10" x14ac:dyDescent="0.35">
      <c r="A601" s="2" t="s">
        <v>10</v>
      </c>
      <c r="B601" s="2" t="s">
        <v>492</v>
      </c>
      <c r="C601" s="2" t="s">
        <v>24</v>
      </c>
      <c r="D601" s="2" t="s">
        <v>500</v>
      </c>
      <c r="E601" s="2" t="s">
        <v>31</v>
      </c>
      <c r="F601" s="2" t="s">
        <v>32</v>
      </c>
      <c r="G601" s="2" t="s">
        <v>46</v>
      </c>
      <c r="H601" s="2" t="s">
        <v>498</v>
      </c>
      <c r="I601" s="2"/>
      <c r="J601" s="2"/>
    </row>
    <row r="602" spans="1:10" x14ac:dyDescent="0.35">
      <c r="A602" s="2" t="s">
        <v>10</v>
      </c>
      <c r="B602" s="2" t="s">
        <v>492</v>
      </c>
      <c r="C602" s="2" t="s">
        <v>24</v>
      </c>
      <c r="D602" s="2" t="s">
        <v>500</v>
      </c>
      <c r="E602" s="2" t="s">
        <v>416</v>
      </c>
      <c r="F602" s="2" t="s">
        <v>38</v>
      </c>
      <c r="G602" s="2" t="s">
        <v>46</v>
      </c>
      <c r="H602" s="2" t="s">
        <v>498</v>
      </c>
      <c r="I602" s="2"/>
      <c r="J602" s="2"/>
    </row>
    <row r="603" spans="1:10" x14ac:dyDescent="0.35">
      <c r="A603" s="2" t="s">
        <v>10</v>
      </c>
      <c r="B603" s="2" t="s">
        <v>492</v>
      </c>
      <c r="C603" s="2" t="s">
        <v>24</v>
      </c>
      <c r="D603" s="2" t="s">
        <v>500</v>
      </c>
      <c r="E603" s="2" t="s">
        <v>501</v>
      </c>
      <c r="F603" s="2" t="s">
        <v>270</v>
      </c>
      <c r="G603" s="2" t="s">
        <v>46</v>
      </c>
      <c r="H603" s="2" t="s">
        <v>498</v>
      </c>
      <c r="I603" s="2"/>
      <c r="J603" s="2"/>
    </row>
    <row r="604" spans="1:10" x14ac:dyDescent="0.35">
      <c r="A604" s="2" t="s">
        <v>10</v>
      </c>
      <c r="B604" s="2" t="s">
        <v>492</v>
      </c>
      <c r="C604" s="2" t="s">
        <v>24</v>
      </c>
      <c r="D604" s="2" t="s">
        <v>500</v>
      </c>
      <c r="E604" s="2" t="s">
        <v>502</v>
      </c>
      <c r="F604" s="2" t="s">
        <v>65</v>
      </c>
      <c r="G604" s="2" t="s">
        <v>46</v>
      </c>
      <c r="H604" s="2" t="s">
        <v>498</v>
      </c>
      <c r="I604" s="2"/>
      <c r="J604" s="2"/>
    </row>
    <row r="605" spans="1:10" x14ac:dyDescent="0.35">
      <c r="A605" s="2" t="s">
        <v>10</v>
      </c>
      <c r="B605" s="2" t="s">
        <v>492</v>
      </c>
      <c r="C605" s="2" t="s">
        <v>24</v>
      </c>
      <c r="D605" s="2" t="s">
        <v>500</v>
      </c>
      <c r="E605" s="2" t="s">
        <v>156</v>
      </c>
      <c r="F605" s="2" t="s">
        <v>45</v>
      </c>
      <c r="G605" s="2" t="s">
        <v>46</v>
      </c>
      <c r="H605" s="2" t="s">
        <v>498</v>
      </c>
      <c r="I605" s="2"/>
      <c r="J605" s="2"/>
    </row>
    <row r="606" spans="1:10" x14ac:dyDescent="0.35">
      <c r="A606" s="2" t="s">
        <v>10</v>
      </c>
      <c r="B606" s="2" t="s">
        <v>492</v>
      </c>
      <c r="C606" s="2" t="s">
        <v>24</v>
      </c>
      <c r="D606" s="2" t="s">
        <v>500</v>
      </c>
      <c r="E606" s="2" t="s">
        <v>77</v>
      </c>
      <c r="F606" s="2" t="s">
        <v>78</v>
      </c>
      <c r="G606" s="2" t="s">
        <v>46</v>
      </c>
      <c r="H606" s="2" t="s">
        <v>498</v>
      </c>
      <c r="I606" s="2"/>
      <c r="J606" s="2"/>
    </row>
    <row r="607" spans="1:10" x14ac:dyDescent="0.35">
      <c r="A607" s="2" t="s">
        <v>10</v>
      </c>
      <c r="B607" s="2" t="s">
        <v>492</v>
      </c>
      <c r="C607" s="2" t="s">
        <v>24</v>
      </c>
      <c r="D607" s="2" t="s">
        <v>500</v>
      </c>
      <c r="E607" s="2" t="s">
        <v>417</v>
      </c>
      <c r="F607" s="2" t="s">
        <v>40</v>
      </c>
      <c r="G607" s="2" t="s">
        <v>46</v>
      </c>
      <c r="H607" s="2" t="s">
        <v>498</v>
      </c>
      <c r="I607" s="2"/>
      <c r="J607" s="2"/>
    </row>
    <row r="608" spans="1:10" x14ac:dyDescent="0.35">
      <c r="A608" s="2" t="s">
        <v>10</v>
      </c>
      <c r="B608" s="2" t="s">
        <v>492</v>
      </c>
      <c r="C608" s="2" t="s">
        <v>24</v>
      </c>
      <c r="D608" s="2" t="s">
        <v>500</v>
      </c>
      <c r="E608" s="2" t="s">
        <v>503</v>
      </c>
      <c r="F608" s="2" t="s">
        <v>45</v>
      </c>
      <c r="G608" s="2" t="s">
        <v>46</v>
      </c>
      <c r="H608" s="2" t="s">
        <v>498</v>
      </c>
      <c r="I608" s="2"/>
      <c r="J608" s="2"/>
    </row>
    <row r="609" spans="1:10" x14ac:dyDescent="0.35">
      <c r="A609" s="2" t="s">
        <v>10</v>
      </c>
      <c r="B609" s="2" t="s">
        <v>492</v>
      </c>
      <c r="C609" s="2" t="s">
        <v>24</v>
      </c>
      <c r="D609" s="2" t="s">
        <v>500</v>
      </c>
      <c r="E609" s="2" t="s">
        <v>100</v>
      </c>
      <c r="F609" s="2" t="s">
        <v>101</v>
      </c>
      <c r="G609" s="2" t="s">
        <v>46</v>
      </c>
      <c r="H609" s="2" t="s">
        <v>498</v>
      </c>
      <c r="I609" s="2"/>
      <c r="J609" s="2"/>
    </row>
    <row r="610" spans="1:10" x14ac:dyDescent="0.35">
      <c r="A610" s="2" t="s">
        <v>10</v>
      </c>
      <c r="B610" s="2" t="s">
        <v>492</v>
      </c>
      <c r="C610" s="2" t="s">
        <v>24</v>
      </c>
      <c r="D610" s="2" t="s">
        <v>500</v>
      </c>
      <c r="E610" s="2" t="s">
        <v>504</v>
      </c>
      <c r="F610" s="2" t="s">
        <v>228</v>
      </c>
      <c r="G610" s="2" t="s">
        <v>46</v>
      </c>
      <c r="H610" s="2" t="s">
        <v>498</v>
      </c>
      <c r="I610" s="2"/>
      <c r="J610" s="2"/>
    </row>
    <row r="611" spans="1:10" x14ac:dyDescent="0.35">
      <c r="A611" s="2" t="s">
        <v>10</v>
      </c>
      <c r="B611" s="2" t="s">
        <v>492</v>
      </c>
      <c r="C611" s="2" t="s">
        <v>24</v>
      </c>
      <c r="D611" s="2" t="s">
        <v>500</v>
      </c>
      <c r="E611" s="2" t="s">
        <v>42</v>
      </c>
      <c r="F611" s="2" t="s">
        <v>43</v>
      </c>
      <c r="G611" s="2" t="s">
        <v>46</v>
      </c>
      <c r="H611" s="2" t="s">
        <v>498</v>
      </c>
      <c r="I611" s="2"/>
      <c r="J611" s="2"/>
    </row>
    <row r="612" spans="1:10" x14ac:dyDescent="0.35">
      <c r="A612" s="2" t="s">
        <v>10</v>
      </c>
      <c r="B612" s="2" t="s">
        <v>492</v>
      </c>
      <c r="C612" s="2" t="s">
        <v>24</v>
      </c>
      <c r="D612" s="2" t="s">
        <v>500</v>
      </c>
      <c r="E612" s="2" t="s">
        <v>505</v>
      </c>
      <c r="F612" s="2" t="s">
        <v>107</v>
      </c>
      <c r="G612" s="2" t="s">
        <v>46</v>
      </c>
      <c r="H612" s="2" t="s">
        <v>498</v>
      </c>
      <c r="I612" s="2"/>
      <c r="J612" s="2"/>
    </row>
    <row r="613" spans="1:10" x14ac:dyDescent="0.35">
      <c r="A613" s="2" t="s">
        <v>10</v>
      </c>
      <c r="B613" s="2" t="s">
        <v>492</v>
      </c>
      <c r="C613" s="2" t="s">
        <v>54</v>
      </c>
      <c r="D613" s="2" t="s">
        <v>506</v>
      </c>
      <c r="E613" s="2" t="s">
        <v>31</v>
      </c>
      <c r="F613" s="2" t="s">
        <v>32</v>
      </c>
      <c r="G613" s="2"/>
      <c r="H613" s="2"/>
      <c r="I613" s="2"/>
      <c r="J613" s="2"/>
    </row>
    <row r="614" spans="1:10" x14ac:dyDescent="0.35">
      <c r="A614" s="2" t="s">
        <v>10</v>
      </c>
      <c r="B614" s="2" t="s">
        <v>492</v>
      </c>
      <c r="C614" s="2" t="s">
        <v>54</v>
      </c>
      <c r="D614" s="2" t="s">
        <v>506</v>
      </c>
      <c r="E614" s="2" t="s">
        <v>87</v>
      </c>
      <c r="F614" s="2" t="s">
        <v>75</v>
      </c>
      <c r="G614" s="2"/>
      <c r="H614" s="2"/>
      <c r="I614" s="2"/>
      <c r="J614" s="2"/>
    </row>
    <row r="615" spans="1:10" x14ac:dyDescent="0.35">
      <c r="A615" s="2" t="s">
        <v>10</v>
      </c>
      <c r="B615" s="2" t="s">
        <v>492</v>
      </c>
      <c r="C615" s="2" t="s">
        <v>54</v>
      </c>
      <c r="D615" s="2" t="s">
        <v>507</v>
      </c>
      <c r="E615" s="2" t="s">
        <v>38</v>
      </c>
      <c r="F615" s="2" t="s">
        <v>38</v>
      </c>
      <c r="G615" s="2"/>
      <c r="H615" s="2"/>
      <c r="I615" s="2"/>
      <c r="J615" s="2"/>
    </row>
    <row r="616" spans="1:10" x14ac:dyDescent="0.35">
      <c r="A616" s="2" t="s">
        <v>10</v>
      </c>
      <c r="B616" s="2" t="s">
        <v>492</v>
      </c>
      <c r="C616" s="2" t="s">
        <v>54</v>
      </c>
      <c r="D616" s="2" t="s">
        <v>507</v>
      </c>
      <c r="E616" s="2" t="s">
        <v>508</v>
      </c>
      <c r="F616" s="2" t="s">
        <v>40</v>
      </c>
      <c r="G616" s="2"/>
      <c r="H616" s="2"/>
      <c r="I616" s="2"/>
      <c r="J616" s="2"/>
    </row>
    <row r="617" spans="1:10" x14ac:dyDescent="0.35">
      <c r="A617" s="2" t="s">
        <v>10</v>
      </c>
      <c r="B617" s="2" t="s">
        <v>492</v>
      </c>
      <c r="C617" s="2" t="s">
        <v>54</v>
      </c>
      <c r="D617" s="2" t="s">
        <v>509</v>
      </c>
      <c r="E617" s="2" t="s">
        <v>416</v>
      </c>
      <c r="F617" s="2" t="s">
        <v>38</v>
      </c>
      <c r="G617" s="2"/>
      <c r="H617" s="2"/>
      <c r="I617" s="2"/>
      <c r="J617" s="2"/>
    </row>
    <row r="618" spans="1:10" x14ac:dyDescent="0.35">
      <c r="A618" s="2" t="s">
        <v>10</v>
      </c>
      <c r="B618" s="2" t="s">
        <v>492</v>
      </c>
      <c r="C618" s="2" t="s">
        <v>54</v>
      </c>
      <c r="D618" s="2" t="s">
        <v>509</v>
      </c>
      <c r="E618" s="2" t="s">
        <v>18</v>
      </c>
      <c r="F618" s="2" t="s">
        <v>19</v>
      </c>
      <c r="G618" s="2" t="s">
        <v>16</v>
      </c>
      <c r="H618" s="2" t="s">
        <v>510</v>
      </c>
      <c r="I618" s="2"/>
      <c r="J618" s="2"/>
    </row>
    <row r="619" spans="1:10" x14ac:dyDescent="0.35">
      <c r="A619" s="2" t="s">
        <v>10</v>
      </c>
      <c r="B619" s="2" t="s">
        <v>492</v>
      </c>
      <c r="C619" s="2" t="s">
        <v>54</v>
      </c>
      <c r="D619" s="2" t="s">
        <v>509</v>
      </c>
      <c r="E619" s="2" t="s">
        <v>42</v>
      </c>
      <c r="F619" s="2" t="s">
        <v>43</v>
      </c>
      <c r="G619" s="2"/>
      <c r="H619" s="2"/>
      <c r="I619" s="2"/>
      <c r="J619" s="2"/>
    </row>
    <row r="620" spans="1:10" x14ac:dyDescent="0.35">
      <c r="A620" s="2" t="s">
        <v>10</v>
      </c>
      <c r="B620" s="2" t="s">
        <v>511</v>
      </c>
      <c r="C620" s="2" t="s">
        <v>12</v>
      </c>
      <c r="D620" s="2" t="s">
        <v>512</v>
      </c>
      <c r="E620" s="2" t="s">
        <v>513</v>
      </c>
      <c r="F620" s="2" t="s">
        <v>203</v>
      </c>
      <c r="G620" s="2"/>
      <c r="H620" s="2"/>
      <c r="I620" s="2" t="s">
        <v>20</v>
      </c>
      <c r="J620" s="2" t="s">
        <v>514</v>
      </c>
    </row>
    <row r="621" spans="1:10" s="21" customFormat="1" x14ac:dyDescent="0.35">
      <c r="A621" s="2" t="s">
        <v>10</v>
      </c>
      <c r="B621" s="2" t="s">
        <v>511</v>
      </c>
      <c r="C621" s="2" t="s">
        <v>12</v>
      </c>
      <c r="D621" s="2" t="s">
        <v>515</v>
      </c>
      <c r="E621" s="2" t="s">
        <v>27</v>
      </c>
      <c r="F621" s="2" t="s">
        <v>28</v>
      </c>
      <c r="G621" s="2"/>
      <c r="H621" s="2"/>
      <c r="I621" s="2" t="s">
        <v>20</v>
      </c>
      <c r="J621" s="2" t="s">
        <v>516</v>
      </c>
    </row>
    <row r="622" spans="1:10" s="21" customFormat="1" x14ac:dyDescent="0.35">
      <c r="A622" s="2" t="s">
        <v>10</v>
      </c>
      <c r="B622" s="2" t="s">
        <v>511</v>
      </c>
      <c r="C622" s="2" t="s">
        <v>12</v>
      </c>
      <c r="D622" s="2" t="s">
        <v>515</v>
      </c>
      <c r="E622" s="2" t="s">
        <v>121</v>
      </c>
      <c r="F622" s="2" t="s">
        <v>122</v>
      </c>
      <c r="G622" s="2"/>
      <c r="H622" s="2"/>
      <c r="I622" s="2" t="s">
        <v>20</v>
      </c>
      <c r="J622" s="2" t="s">
        <v>516</v>
      </c>
    </row>
    <row r="623" spans="1:10" s="21" customFormat="1" x14ac:dyDescent="0.35">
      <c r="A623" s="2" t="s">
        <v>10</v>
      </c>
      <c r="B623" s="2" t="s">
        <v>511</v>
      </c>
      <c r="C623" s="2" t="s">
        <v>12</v>
      </c>
      <c r="D623" s="2" t="s">
        <v>515</v>
      </c>
      <c r="E623" s="2" t="s">
        <v>77</v>
      </c>
      <c r="F623" s="2" t="s">
        <v>78</v>
      </c>
      <c r="G623" s="2" t="s">
        <v>20</v>
      </c>
      <c r="H623" s="2" t="s">
        <v>517</v>
      </c>
      <c r="I623" s="2" t="s">
        <v>20</v>
      </c>
      <c r="J623" s="2" t="s">
        <v>514</v>
      </c>
    </row>
    <row r="624" spans="1:10" s="21" customFormat="1" x14ac:dyDescent="0.35">
      <c r="A624" s="2" t="s">
        <v>10</v>
      </c>
      <c r="B624" s="2" t="s">
        <v>511</v>
      </c>
      <c r="C624" s="2" t="s">
        <v>12</v>
      </c>
      <c r="D624" s="2" t="s">
        <v>515</v>
      </c>
      <c r="E624" s="2" t="s">
        <v>64</v>
      </c>
      <c r="F624" s="2" t="s">
        <v>65</v>
      </c>
      <c r="G624" s="2"/>
      <c r="H624" s="2"/>
      <c r="I624" s="2" t="s">
        <v>20</v>
      </c>
      <c r="J624" s="2" t="s">
        <v>516</v>
      </c>
    </row>
    <row r="625" spans="1:10" s="21" customFormat="1" x14ac:dyDescent="0.35">
      <c r="A625" s="2" t="s">
        <v>10</v>
      </c>
      <c r="B625" s="2" t="s">
        <v>511</v>
      </c>
      <c r="C625" s="2" t="s">
        <v>12</v>
      </c>
      <c r="D625" s="2" t="s">
        <v>515</v>
      </c>
      <c r="E625" s="2" t="s">
        <v>18</v>
      </c>
      <c r="F625" s="2" t="s">
        <v>19</v>
      </c>
      <c r="G625" s="2" t="s">
        <v>20</v>
      </c>
      <c r="H625" s="2" t="s">
        <v>518</v>
      </c>
      <c r="I625" s="2" t="s">
        <v>20</v>
      </c>
      <c r="J625" s="2" t="s">
        <v>516</v>
      </c>
    </row>
    <row r="626" spans="1:10" s="21" customFormat="1" x14ac:dyDescent="0.35">
      <c r="A626" s="2" t="s">
        <v>10</v>
      </c>
      <c r="B626" s="2" t="s">
        <v>511</v>
      </c>
      <c r="C626" s="2" t="s">
        <v>12</v>
      </c>
      <c r="D626" s="2" t="s">
        <v>515</v>
      </c>
      <c r="E626" s="2" t="s">
        <v>149</v>
      </c>
      <c r="F626" s="2" t="s">
        <v>150</v>
      </c>
      <c r="G626" s="2" t="s">
        <v>20</v>
      </c>
      <c r="H626" s="2" t="s">
        <v>519</v>
      </c>
      <c r="I626" s="2" t="s">
        <v>20</v>
      </c>
      <c r="J626" s="2" t="s">
        <v>514</v>
      </c>
    </row>
    <row r="627" spans="1:10" x14ac:dyDescent="0.35">
      <c r="A627" s="2" t="s">
        <v>10</v>
      </c>
      <c r="B627" s="2" t="s">
        <v>511</v>
      </c>
      <c r="C627" s="2" t="s">
        <v>12</v>
      </c>
      <c r="D627" s="2" t="s">
        <v>520</v>
      </c>
      <c r="E627" s="2" t="s">
        <v>513</v>
      </c>
      <c r="F627" s="2" t="s">
        <v>203</v>
      </c>
      <c r="G627" s="2"/>
      <c r="H627" s="2"/>
      <c r="I627" s="2" t="s">
        <v>20</v>
      </c>
      <c r="J627" s="2" t="s">
        <v>514</v>
      </c>
    </row>
    <row r="628" spans="1:10" s="21" customFormat="1" x14ac:dyDescent="0.35">
      <c r="A628" s="2" t="s">
        <v>10</v>
      </c>
      <c r="B628" s="2" t="s">
        <v>511</v>
      </c>
      <c r="C628" s="2" t="s">
        <v>12</v>
      </c>
      <c r="D628" s="2" t="s">
        <v>521</v>
      </c>
      <c r="E628" s="2" t="s">
        <v>18</v>
      </c>
      <c r="F628" s="2" t="s">
        <v>19</v>
      </c>
      <c r="G628" s="2" t="s">
        <v>20</v>
      </c>
      <c r="H628" s="2" t="s">
        <v>522</v>
      </c>
      <c r="I628" s="2" t="s">
        <v>20</v>
      </c>
      <c r="J628" s="2" t="s">
        <v>514</v>
      </c>
    </row>
    <row r="629" spans="1:10" x14ac:dyDescent="0.35">
      <c r="A629" s="2" t="s">
        <v>10</v>
      </c>
      <c r="B629" s="2" t="s">
        <v>511</v>
      </c>
      <c r="C629" s="2" t="s">
        <v>24</v>
      </c>
      <c r="D629" s="2" t="s">
        <v>523</v>
      </c>
      <c r="E629" s="2" t="s">
        <v>14</v>
      </c>
      <c r="F629" s="2" t="s">
        <v>15</v>
      </c>
      <c r="G629" s="2"/>
      <c r="H629" s="2"/>
      <c r="I629" s="2" t="s">
        <v>16</v>
      </c>
      <c r="J629" s="2" t="s">
        <v>514</v>
      </c>
    </row>
    <row r="630" spans="1:10" x14ac:dyDescent="0.35">
      <c r="A630" s="2" t="s">
        <v>10</v>
      </c>
      <c r="B630" s="2" t="s">
        <v>511</v>
      </c>
      <c r="C630" s="2" t="s">
        <v>24</v>
      </c>
      <c r="D630" s="2" t="s">
        <v>523</v>
      </c>
      <c r="E630" s="2" t="s">
        <v>144</v>
      </c>
      <c r="F630" s="2" t="s">
        <v>50</v>
      </c>
      <c r="G630" s="2"/>
      <c r="H630" s="2"/>
      <c r="I630" s="2" t="s">
        <v>16</v>
      </c>
      <c r="J630" s="2" t="s">
        <v>514</v>
      </c>
    </row>
    <row r="631" spans="1:10" x14ac:dyDescent="0.35">
      <c r="A631" s="2" t="s">
        <v>10</v>
      </c>
      <c r="B631" s="2" t="s">
        <v>511</v>
      </c>
      <c r="C631" s="2" t="s">
        <v>24</v>
      </c>
      <c r="D631" s="2" t="s">
        <v>523</v>
      </c>
      <c r="E631" s="2" t="s">
        <v>120</v>
      </c>
      <c r="F631" s="2" t="s">
        <v>32</v>
      </c>
      <c r="G631" s="2" t="s">
        <v>16</v>
      </c>
      <c r="H631" s="2" t="s">
        <v>524</v>
      </c>
      <c r="I631" s="2" t="s">
        <v>16</v>
      </c>
      <c r="J631" s="2" t="s">
        <v>514</v>
      </c>
    </row>
    <row r="632" spans="1:10" x14ac:dyDescent="0.35">
      <c r="A632" s="2" t="s">
        <v>10</v>
      </c>
      <c r="B632" s="2" t="s">
        <v>511</v>
      </c>
      <c r="C632" s="2" t="s">
        <v>24</v>
      </c>
      <c r="D632" s="2" t="s">
        <v>523</v>
      </c>
      <c r="E632" s="2" t="s">
        <v>91</v>
      </c>
      <c r="F632" s="2" t="s">
        <v>19</v>
      </c>
      <c r="G632" s="2" t="s">
        <v>16</v>
      </c>
      <c r="H632" s="2" t="s">
        <v>524</v>
      </c>
      <c r="I632" s="2" t="s">
        <v>16</v>
      </c>
      <c r="J632" s="2" t="s">
        <v>514</v>
      </c>
    </row>
    <row r="633" spans="1:10" x14ac:dyDescent="0.35">
      <c r="A633" s="2" t="s">
        <v>10</v>
      </c>
      <c r="B633" s="2" t="s">
        <v>511</v>
      </c>
      <c r="C633" s="2" t="s">
        <v>24</v>
      </c>
      <c r="D633" s="2" t="s">
        <v>523</v>
      </c>
      <c r="E633" s="2" t="s">
        <v>423</v>
      </c>
      <c r="F633" s="2" t="s">
        <v>424</v>
      </c>
      <c r="G633" s="2" t="s">
        <v>16</v>
      </c>
      <c r="H633" s="2" t="s">
        <v>524</v>
      </c>
      <c r="I633" s="2" t="s">
        <v>16</v>
      </c>
      <c r="J633" s="2" t="s">
        <v>514</v>
      </c>
    </row>
    <row r="634" spans="1:10" x14ac:dyDescent="0.35">
      <c r="A634" s="2" t="s">
        <v>10</v>
      </c>
      <c r="B634" s="2" t="s">
        <v>511</v>
      </c>
      <c r="C634" s="2" t="s">
        <v>24</v>
      </c>
      <c r="D634" s="2" t="s">
        <v>523</v>
      </c>
      <c r="E634" s="2" t="s">
        <v>149</v>
      </c>
      <c r="F634" s="2" t="s">
        <v>150</v>
      </c>
      <c r="G634" s="2"/>
      <c r="H634" s="2"/>
      <c r="I634" s="2" t="s">
        <v>16</v>
      </c>
      <c r="J634" s="2" t="s">
        <v>514</v>
      </c>
    </row>
    <row r="635" spans="1:10" x14ac:dyDescent="0.35">
      <c r="A635" s="2" t="s">
        <v>10</v>
      </c>
      <c r="B635" s="2" t="s">
        <v>511</v>
      </c>
      <c r="C635" s="2" t="s">
        <v>57</v>
      </c>
      <c r="D635" s="2" t="s">
        <v>525</v>
      </c>
      <c r="E635" s="2" t="s">
        <v>14</v>
      </c>
      <c r="F635" s="2" t="s">
        <v>15</v>
      </c>
      <c r="G635" s="2"/>
      <c r="H635" s="2"/>
      <c r="I635" s="2" t="s">
        <v>16</v>
      </c>
      <c r="J635" s="2" t="s">
        <v>526</v>
      </c>
    </row>
    <row r="636" spans="1:10" x14ac:dyDescent="0.35">
      <c r="A636" s="2" t="s">
        <v>10</v>
      </c>
      <c r="B636" s="2" t="s">
        <v>511</v>
      </c>
      <c r="C636" s="2" t="s">
        <v>57</v>
      </c>
      <c r="D636" s="2" t="s">
        <v>525</v>
      </c>
      <c r="E636" s="2" t="s">
        <v>144</v>
      </c>
      <c r="F636" s="2" t="s">
        <v>50</v>
      </c>
      <c r="G636" s="2"/>
      <c r="H636" s="2"/>
      <c r="I636" s="2" t="s">
        <v>16</v>
      </c>
      <c r="J636" s="2" t="s">
        <v>526</v>
      </c>
    </row>
    <row r="637" spans="1:10" x14ac:dyDescent="0.35">
      <c r="A637" s="2" t="s">
        <v>10</v>
      </c>
      <c r="B637" s="2" t="s">
        <v>511</v>
      </c>
      <c r="C637" s="2" t="s">
        <v>57</v>
      </c>
      <c r="D637" s="2" t="s">
        <v>525</v>
      </c>
      <c r="E637" s="2" t="s">
        <v>27</v>
      </c>
      <c r="F637" s="2" t="s">
        <v>28</v>
      </c>
      <c r="G637" s="2"/>
      <c r="H637" s="2"/>
      <c r="I637" s="2" t="s">
        <v>16</v>
      </c>
      <c r="J637" s="2" t="s">
        <v>526</v>
      </c>
    </row>
    <row r="638" spans="1:10" x14ac:dyDescent="0.35">
      <c r="A638" s="2" t="s">
        <v>10</v>
      </c>
      <c r="B638" s="2" t="s">
        <v>511</v>
      </c>
      <c r="C638" s="2" t="s">
        <v>57</v>
      </c>
      <c r="D638" s="2" t="s">
        <v>525</v>
      </c>
      <c r="E638" s="2" t="s">
        <v>76</v>
      </c>
      <c r="F638" s="2" t="s">
        <v>75</v>
      </c>
      <c r="G638" s="2" t="s">
        <v>16</v>
      </c>
      <c r="H638" s="2" t="s">
        <v>527</v>
      </c>
      <c r="I638" s="2" t="s">
        <v>16</v>
      </c>
      <c r="J638" s="2" t="s">
        <v>526</v>
      </c>
    </row>
    <row r="639" spans="1:10" x14ac:dyDescent="0.35">
      <c r="A639" s="2" t="s">
        <v>10</v>
      </c>
      <c r="B639" s="2" t="s">
        <v>511</v>
      </c>
      <c r="C639" s="2" t="s">
        <v>57</v>
      </c>
      <c r="D639" s="2" t="s">
        <v>525</v>
      </c>
      <c r="E639" s="2" t="s">
        <v>31</v>
      </c>
      <c r="F639" s="2" t="s">
        <v>32</v>
      </c>
      <c r="G639" s="2"/>
      <c r="H639" s="2"/>
      <c r="I639" s="2" t="s">
        <v>16</v>
      </c>
      <c r="J639" s="2" t="s">
        <v>526</v>
      </c>
    </row>
    <row r="640" spans="1:10" x14ac:dyDescent="0.35">
      <c r="A640" s="2" t="s">
        <v>10</v>
      </c>
      <c r="B640" s="2" t="s">
        <v>511</v>
      </c>
      <c r="C640" s="2" t="s">
        <v>57</v>
      </c>
      <c r="D640" s="2" t="s">
        <v>525</v>
      </c>
      <c r="E640" s="2" t="s">
        <v>528</v>
      </c>
      <c r="F640" s="2" t="s">
        <v>203</v>
      </c>
      <c r="G640" s="2"/>
      <c r="H640" s="2"/>
      <c r="I640" s="2" t="s">
        <v>16</v>
      </c>
      <c r="J640" s="2" t="s">
        <v>526</v>
      </c>
    </row>
    <row r="641" spans="1:10" x14ac:dyDescent="0.35">
      <c r="A641" s="2" t="s">
        <v>10</v>
      </c>
      <c r="B641" s="2" t="s">
        <v>511</v>
      </c>
      <c r="C641" s="2" t="s">
        <v>57</v>
      </c>
      <c r="D641" s="2" t="s">
        <v>525</v>
      </c>
      <c r="E641" s="2" t="s">
        <v>59</v>
      </c>
      <c r="F641" s="2" t="s">
        <v>60</v>
      </c>
      <c r="G641" s="2"/>
      <c r="H641" s="2"/>
      <c r="I641" s="2" t="s">
        <v>16</v>
      </c>
      <c r="J641" s="2" t="s">
        <v>526</v>
      </c>
    </row>
    <row r="642" spans="1:10" x14ac:dyDescent="0.35">
      <c r="A642" s="2" t="s">
        <v>10</v>
      </c>
      <c r="B642" s="2" t="s">
        <v>511</v>
      </c>
      <c r="C642" s="2" t="s">
        <v>57</v>
      </c>
      <c r="D642" s="2" t="s">
        <v>525</v>
      </c>
      <c r="E642" s="2" t="s">
        <v>38</v>
      </c>
      <c r="F642" s="2" t="s">
        <v>38</v>
      </c>
      <c r="G642" s="2"/>
      <c r="H642" s="2"/>
      <c r="I642" s="2" t="s">
        <v>16</v>
      </c>
      <c r="J642" s="2" t="s">
        <v>526</v>
      </c>
    </row>
    <row r="643" spans="1:10" x14ac:dyDescent="0.35">
      <c r="A643" s="2" t="s">
        <v>10</v>
      </c>
      <c r="B643" s="2" t="s">
        <v>511</v>
      </c>
      <c r="C643" s="2" t="s">
        <v>57</v>
      </c>
      <c r="D643" s="2" t="s">
        <v>525</v>
      </c>
      <c r="E643" s="2" t="s">
        <v>77</v>
      </c>
      <c r="F643" s="2" t="s">
        <v>78</v>
      </c>
      <c r="G643" s="2"/>
      <c r="H643" s="2"/>
      <c r="I643" s="2" t="s">
        <v>16</v>
      </c>
      <c r="J643" s="2" t="s">
        <v>526</v>
      </c>
    </row>
    <row r="644" spans="1:10" x14ac:dyDescent="0.35">
      <c r="A644" s="2" t="s">
        <v>10</v>
      </c>
      <c r="B644" s="2" t="s">
        <v>511</v>
      </c>
      <c r="C644" s="2" t="s">
        <v>57</v>
      </c>
      <c r="D644" s="2" t="s">
        <v>525</v>
      </c>
      <c r="E644" s="2" t="s">
        <v>258</v>
      </c>
      <c r="F644" s="2" t="s">
        <v>259</v>
      </c>
      <c r="G644" s="2" t="s">
        <v>16</v>
      </c>
      <c r="H644" s="2" t="s">
        <v>465</v>
      </c>
      <c r="I644" s="2" t="s">
        <v>16</v>
      </c>
      <c r="J644" s="2" t="s">
        <v>526</v>
      </c>
    </row>
    <row r="645" spans="1:10" x14ac:dyDescent="0.35">
      <c r="A645" s="2" t="s">
        <v>10</v>
      </c>
      <c r="B645" s="2" t="s">
        <v>511</v>
      </c>
      <c r="C645" s="2" t="s">
        <v>57</v>
      </c>
      <c r="D645" s="2" t="s">
        <v>525</v>
      </c>
      <c r="E645" s="2" t="s">
        <v>124</v>
      </c>
      <c r="F645" s="2" t="s">
        <v>125</v>
      </c>
      <c r="G645" s="2" t="s">
        <v>16</v>
      </c>
      <c r="H645" s="2" t="s">
        <v>529</v>
      </c>
      <c r="I645" s="2" t="s">
        <v>16</v>
      </c>
      <c r="J645" s="2" t="s">
        <v>526</v>
      </c>
    </row>
    <row r="646" spans="1:10" x14ac:dyDescent="0.35">
      <c r="A646" s="2" t="s">
        <v>10</v>
      </c>
      <c r="B646" s="2" t="s">
        <v>511</v>
      </c>
      <c r="C646" s="2" t="s">
        <v>57</v>
      </c>
      <c r="D646" s="2" t="s">
        <v>525</v>
      </c>
      <c r="E646" s="2" t="s">
        <v>204</v>
      </c>
      <c r="F646" s="2" t="s">
        <v>40</v>
      </c>
      <c r="G646" s="2" t="s">
        <v>16</v>
      </c>
      <c r="H646" s="2" t="s">
        <v>465</v>
      </c>
      <c r="I646" s="2" t="s">
        <v>16</v>
      </c>
      <c r="J646" s="2" t="s">
        <v>526</v>
      </c>
    </row>
    <row r="647" spans="1:10" x14ac:dyDescent="0.35">
      <c r="A647" s="2" t="s">
        <v>10</v>
      </c>
      <c r="B647" s="2" t="s">
        <v>511</v>
      </c>
      <c r="C647" s="2" t="s">
        <v>57</v>
      </c>
      <c r="D647" s="2" t="s">
        <v>525</v>
      </c>
      <c r="E647" s="2" t="s">
        <v>61</v>
      </c>
      <c r="F647" s="2" t="s">
        <v>30</v>
      </c>
      <c r="G647" s="2"/>
      <c r="H647" s="2"/>
      <c r="I647" s="2" t="s">
        <v>16</v>
      </c>
      <c r="J647" s="2" t="s">
        <v>526</v>
      </c>
    </row>
    <row r="648" spans="1:10" x14ac:dyDescent="0.35">
      <c r="A648" s="2" t="s">
        <v>10</v>
      </c>
      <c r="B648" s="2" t="s">
        <v>511</v>
      </c>
      <c r="C648" s="2" t="s">
        <v>57</v>
      </c>
      <c r="D648" s="2" t="s">
        <v>525</v>
      </c>
      <c r="E648" s="2" t="s">
        <v>149</v>
      </c>
      <c r="F648" s="2" t="s">
        <v>150</v>
      </c>
      <c r="G648" s="2" t="s">
        <v>16</v>
      </c>
      <c r="H648" s="2" t="s">
        <v>465</v>
      </c>
      <c r="I648" s="2" t="s">
        <v>16</v>
      </c>
      <c r="J648" s="2" t="s">
        <v>526</v>
      </c>
    </row>
    <row r="649" spans="1:10" s="21" customFormat="1" x14ac:dyDescent="0.35">
      <c r="A649" s="2" t="s">
        <v>10</v>
      </c>
      <c r="B649" s="2" t="s">
        <v>511</v>
      </c>
      <c r="C649" s="2" t="s">
        <v>62</v>
      </c>
      <c r="D649" s="2" t="s">
        <v>530</v>
      </c>
      <c r="E649" s="2" t="s">
        <v>106</v>
      </c>
      <c r="F649" s="2" t="s">
        <v>107</v>
      </c>
      <c r="G649" s="2"/>
      <c r="H649" s="2"/>
      <c r="I649" s="2" t="s">
        <v>16</v>
      </c>
      <c r="J649" s="2" t="s">
        <v>526</v>
      </c>
    </row>
    <row r="650" spans="1:10" x14ac:dyDescent="0.35">
      <c r="A650" s="2" t="s">
        <v>10</v>
      </c>
      <c r="B650" s="2" t="s">
        <v>511</v>
      </c>
      <c r="C650" s="2" t="s">
        <v>62</v>
      </c>
      <c r="D650" s="2" t="s">
        <v>531</v>
      </c>
      <c r="E650" s="2" t="s">
        <v>532</v>
      </c>
      <c r="F650" s="2" t="s">
        <v>533</v>
      </c>
      <c r="G650" s="2"/>
      <c r="H650" s="2"/>
      <c r="I650" s="2" t="s">
        <v>16</v>
      </c>
      <c r="J650" s="2" t="s">
        <v>526</v>
      </c>
    </row>
    <row r="651" spans="1:10" x14ac:dyDescent="0.35">
      <c r="A651" s="2" t="s">
        <v>10</v>
      </c>
      <c r="B651" s="2" t="s">
        <v>511</v>
      </c>
      <c r="C651" s="2" t="s">
        <v>62</v>
      </c>
      <c r="D651" s="2" t="s">
        <v>531</v>
      </c>
      <c r="E651" s="2" t="s">
        <v>534</v>
      </c>
      <c r="F651" s="2" t="s">
        <v>38</v>
      </c>
      <c r="G651" s="2"/>
      <c r="H651" s="2"/>
      <c r="I651" s="2" t="s">
        <v>16</v>
      </c>
      <c r="J651" s="2" t="s">
        <v>526</v>
      </c>
    </row>
    <row r="652" spans="1:10" x14ac:dyDescent="0.35">
      <c r="A652" s="2" t="s">
        <v>10</v>
      </c>
      <c r="B652" s="2" t="s">
        <v>511</v>
      </c>
      <c r="C652" s="2" t="s">
        <v>62</v>
      </c>
      <c r="D652" s="2" t="s">
        <v>531</v>
      </c>
      <c r="E652" s="2" t="s">
        <v>87</v>
      </c>
      <c r="F652" s="2" t="s">
        <v>75</v>
      </c>
      <c r="G652" s="2" t="s">
        <v>16</v>
      </c>
      <c r="H652" s="2" t="s">
        <v>535</v>
      </c>
      <c r="I652" s="2" t="s">
        <v>16</v>
      </c>
      <c r="J652" s="2" t="s">
        <v>526</v>
      </c>
    </row>
    <row r="653" spans="1:10" x14ac:dyDescent="0.35">
      <c r="A653" s="2" t="s">
        <v>10</v>
      </c>
      <c r="B653" s="2" t="s">
        <v>511</v>
      </c>
      <c r="C653" s="2" t="s">
        <v>62</v>
      </c>
      <c r="D653" s="2" t="s">
        <v>531</v>
      </c>
      <c r="E653" s="2" t="s">
        <v>100</v>
      </c>
      <c r="F653" s="2" t="s">
        <v>101</v>
      </c>
      <c r="G653" s="2"/>
      <c r="H653" s="2"/>
      <c r="I653" s="2" t="s">
        <v>16</v>
      </c>
      <c r="J653" s="2" t="s">
        <v>526</v>
      </c>
    </row>
    <row r="654" spans="1:10" x14ac:dyDescent="0.35">
      <c r="A654" s="2" t="s">
        <v>10</v>
      </c>
      <c r="B654" s="2" t="s">
        <v>511</v>
      </c>
      <c r="C654" s="2" t="s">
        <v>62</v>
      </c>
      <c r="D654" s="2" t="s">
        <v>531</v>
      </c>
      <c r="E654" s="2" t="s">
        <v>536</v>
      </c>
      <c r="F654" s="2" t="s">
        <v>65</v>
      </c>
      <c r="G654" s="2"/>
      <c r="H654" s="2"/>
      <c r="I654" s="2" t="s">
        <v>16</v>
      </c>
      <c r="J654" s="2" t="s">
        <v>526</v>
      </c>
    </row>
    <row r="655" spans="1:10" x14ac:dyDescent="0.35">
      <c r="A655" s="2" t="s">
        <v>10</v>
      </c>
      <c r="B655" s="2" t="s">
        <v>511</v>
      </c>
      <c r="C655" s="2" t="s">
        <v>62</v>
      </c>
      <c r="D655" s="2" t="s">
        <v>531</v>
      </c>
      <c r="E655" s="2" t="s">
        <v>387</v>
      </c>
      <c r="F655" s="2" t="s">
        <v>367</v>
      </c>
      <c r="G655" s="2"/>
      <c r="H655" s="2"/>
      <c r="I655" s="2" t="s">
        <v>16</v>
      </c>
      <c r="J655" s="2" t="s">
        <v>526</v>
      </c>
    </row>
    <row r="656" spans="1:10" x14ac:dyDescent="0.35">
      <c r="A656" s="2" t="s">
        <v>10</v>
      </c>
      <c r="B656" s="2" t="s">
        <v>511</v>
      </c>
      <c r="C656" s="2" t="s">
        <v>24</v>
      </c>
      <c r="D656" s="2" t="s">
        <v>537</v>
      </c>
      <c r="E656" s="2" t="s">
        <v>14</v>
      </c>
      <c r="F656" s="2" t="s">
        <v>15</v>
      </c>
      <c r="G656" s="2"/>
      <c r="H656" s="2"/>
      <c r="I656" s="2" t="s">
        <v>16</v>
      </c>
      <c r="J656" s="2" t="s">
        <v>514</v>
      </c>
    </row>
    <row r="657" spans="1:10" x14ac:dyDescent="0.35">
      <c r="A657" s="2" t="s">
        <v>10</v>
      </c>
      <c r="B657" s="2" t="s">
        <v>511</v>
      </c>
      <c r="C657" s="2" t="s">
        <v>24</v>
      </c>
      <c r="D657" s="2" t="s">
        <v>537</v>
      </c>
      <c r="E657" s="2" t="s">
        <v>144</v>
      </c>
      <c r="F657" s="2" t="s">
        <v>50</v>
      </c>
      <c r="G657" s="2"/>
      <c r="H657" s="2"/>
      <c r="I657" s="2" t="s">
        <v>16</v>
      </c>
      <c r="J657" s="2" t="s">
        <v>514</v>
      </c>
    </row>
    <row r="658" spans="1:10" x14ac:dyDescent="0.35">
      <c r="A658" s="2" t="s">
        <v>10</v>
      </c>
      <c r="B658" s="2" t="s">
        <v>511</v>
      </c>
      <c r="C658" s="2" t="s">
        <v>24</v>
      </c>
      <c r="D658" s="2" t="s">
        <v>537</v>
      </c>
      <c r="E658" s="2" t="s">
        <v>27</v>
      </c>
      <c r="F658" s="2" t="s">
        <v>28</v>
      </c>
      <c r="G658" s="2"/>
      <c r="H658" s="2"/>
      <c r="I658" s="2" t="s">
        <v>16</v>
      </c>
      <c r="J658" s="2" t="s">
        <v>514</v>
      </c>
    </row>
    <row r="659" spans="1:10" x14ac:dyDescent="0.35">
      <c r="A659" s="2" t="s">
        <v>10</v>
      </c>
      <c r="B659" s="2" t="s">
        <v>511</v>
      </c>
      <c r="C659" s="2" t="s">
        <v>24</v>
      </c>
      <c r="D659" s="2" t="s">
        <v>537</v>
      </c>
      <c r="E659" s="2" t="s">
        <v>31</v>
      </c>
      <c r="F659" s="2" t="s">
        <v>32</v>
      </c>
      <c r="G659" s="2"/>
      <c r="H659" s="2"/>
      <c r="I659" s="2" t="s">
        <v>16</v>
      </c>
      <c r="J659" s="2" t="s">
        <v>514</v>
      </c>
    </row>
    <row r="660" spans="1:10" x14ac:dyDescent="0.35">
      <c r="A660" s="2" t="s">
        <v>10</v>
      </c>
      <c r="B660" s="2" t="s">
        <v>511</v>
      </c>
      <c r="C660" s="2" t="s">
        <v>24</v>
      </c>
      <c r="D660" s="2" t="s">
        <v>537</v>
      </c>
      <c r="E660" s="2" t="s">
        <v>121</v>
      </c>
      <c r="F660" s="2" t="s">
        <v>122</v>
      </c>
      <c r="G660" s="2"/>
      <c r="H660" s="2"/>
      <c r="I660" s="2" t="s">
        <v>16</v>
      </c>
      <c r="J660" s="2" t="s">
        <v>514</v>
      </c>
    </row>
    <row r="661" spans="1:10" x14ac:dyDescent="0.35">
      <c r="A661" s="2" t="s">
        <v>10</v>
      </c>
      <c r="B661" s="2" t="s">
        <v>511</v>
      </c>
      <c r="C661" s="2" t="s">
        <v>24</v>
      </c>
      <c r="D661" s="2" t="s">
        <v>537</v>
      </c>
      <c r="E661" s="2" t="s">
        <v>393</v>
      </c>
      <c r="F661" s="2" t="s">
        <v>36</v>
      </c>
      <c r="G661" s="2"/>
      <c r="H661" s="2"/>
      <c r="I661" s="2" t="s">
        <v>16</v>
      </c>
      <c r="J661" s="2" t="s">
        <v>514</v>
      </c>
    </row>
    <row r="662" spans="1:10" x14ac:dyDescent="0.35">
      <c r="A662" s="2" t="s">
        <v>10</v>
      </c>
      <c r="B662" s="2" t="s">
        <v>511</v>
      </c>
      <c r="C662" s="2" t="s">
        <v>24</v>
      </c>
      <c r="D662" s="2" t="s">
        <v>537</v>
      </c>
      <c r="E662" s="2" t="s">
        <v>91</v>
      </c>
      <c r="F662" s="2" t="s">
        <v>19</v>
      </c>
      <c r="G662" s="2" t="s">
        <v>20</v>
      </c>
      <c r="H662" s="2" t="s">
        <v>538</v>
      </c>
      <c r="I662" s="2" t="s">
        <v>16</v>
      </c>
      <c r="J662" s="2" t="s">
        <v>514</v>
      </c>
    </row>
    <row r="663" spans="1:10" x14ac:dyDescent="0.35">
      <c r="A663" s="2" t="s">
        <v>10</v>
      </c>
      <c r="B663" s="2" t="s">
        <v>511</v>
      </c>
      <c r="C663" s="2" t="s">
        <v>24</v>
      </c>
      <c r="D663" s="2" t="s">
        <v>537</v>
      </c>
      <c r="E663" s="2" t="s">
        <v>124</v>
      </c>
      <c r="F663" s="2" t="s">
        <v>125</v>
      </c>
      <c r="G663" s="2"/>
      <c r="H663" s="2"/>
      <c r="I663" s="2" t="s">
        <v>16</v>
      </c>
      <c r="J663" s="2" t="s">
        <v>514</v>
      </c>
    </row>
    <row r="664" spans="1:10" x14ac:dyDescent="0.35">
      <c r="A664" s="2" t="s">
        <v>10</v>
      </c>
      <c r="B664" s="2" t="s">
        <v>511</v>
      </c>
      <c r="C664" s="2" t="s">
        <v>24</v>
      </c>
      <c r="D664" s="2" t="s">
        <v>537</v>
      </c>
      <c r="E664" s="2" t="s">
        <v>149</v>
      </c>
      <c r="F664" s="2" t="s">
        <v>150</v>
      </c>
      <c r="G664" s="2"/>
      <c r="H664" s="2"/>
      <c r="I664" s="2" t="s">
        <v>16</v>
      </c>
      <c r="J664" s="2" t="s">
        <v>514</v>
      </c>
    </row>
    <row r="665" spans="1:10" x14ac:dyDescent="0.35">
      <c r="A665" s="2" t="s">
        <v>10</v>
      </c>
      <c r="B665" s="2" t="s">
        <v>511</v>
      </c>
      <c r="C665" s="2" t="s">
        <v>54</v>
      </c>
      <c r="D665" s="2" t="s">
        <v>539</v>
      </c>
      <c r="E665" s="2" t="s">
        <v>76</v>
      </c>
      <c r="F665" s="2" t="s">
        <v>75</v>
      </c>
      <c r="G665" s="2" t="s">
        <v>16</v>
      </c>
      <c r="H665" s="2" t="s">
        <v>540</v>
      </c>
      <c r="I665" s="2" t="s">
        <v>16</v>
      </c>
      <c r="J665" s="2" t="s">
        <v>526</v>
      </c>
    </row>
    <row r="666" spans="1:10" x14ac:dyDescent="0.35">
      <c r="A666" s="2" t="s">
        <v>10</v>
      </c>
      <c r="B666" s="2" t="s">
        <v>511</v>
      </c>
      <c r="C666" s="2" t="s">
        <v>54</v>
      </c>
      <c r="D666" s="2" t="s">
        <v>539</v>
      </c>
      <c r="E666" s="2" t="s">
        <v>31</v>
      </c>
      <c r="F666" s="2" t="s">
        <v>32</v>
      </c>
      <c r="G666" s="2"/>
      <c r="H666" s="2"/>
      <c r="I666" s="2" t="s">
        <v>16</v>
      </c>
      <c r="J666" s="2" t="s">
        <v>526</v>
      </c>
    </row>
    <row r="667" spans="1:10" x14ac:dyDescent="0.35">
      <c r="A667" s="2" t="s">
        <v>10</v>
      </c>
      <c r="B667" s="2" t="s">
        <v>511</v>
      </c>
      <c r="C667" s="2" t="s">
        <v>54</v>
      </c>
      <c r="D667" s="2" t="s">
        <v>539</v>
      </c>
      <c r="E667" s="2" t="s">
        <v>528</v>
      </c>
      <c r="F667" s="2" t="s">
        <v>203</v>
      </c>
      <c r="G667" s="2"/>
      <c r="H667" s="2"/>
      <c r="I667" s="2" t="s">
        <v>16</v>
      </c>
      <c r="J667" s="2" t="s">
        <v>526</v>
      </c>
    </row>
    <row r="668" spans="1:10" x14ac:dyDescent="0.35">
      <c r="A668" s="2" t="s">
        <v>10</v>
      </c>
      <c r="B668" s="2" t="s">
        <v>511</v>
      </c>
      <c r="C668" s="2" t="s">
        <v>54</v>
      </c>
      <c r="D668" s="2" t="s">
        <v>539</v>
      </c>
      <c r="E668" s="2" t="s">
        <v>136</v>
      </c>
      <c r="F668" s="2" t="s">
        <v>107</v>
      </c>
      <c r="G668" s="2"/>
      <c r="H668" s="2"/>
      <c r="I668" s="2" t="s">
        <v>16</v>
      </c>
      <c r="J668" s="2" t="s">
        <v>514</v>
      </c>
    </row>
    <row r="669" spans="1:10" x14ac:dyDescent="0.35">
      <c r="A669" s="2" t="s">
        <v>10</v>
      </c>
      <c r="B669" s="2" t="s">
        <v>511</v>
      </c>
      <c r="C669" s="2" t="s">
        <v>54</v>
      </c>
      <c r="D669" s="2" t="s">
        <v>539</v>
      </c>
      <c r="E669" s="2" t="s">
        <v>156</v>
      </c>
      <c r="F669" s="2" t="s">
        <v>45</v>
      </c>
      <c r="G669" s="2" t="s">
        <v>16</v>
      </c>
      <c r="H669" s="2" t="s">
        <v>541</v>
      </c>
      <c r="I669" s="2" t="s">
        <v>16</v>
      </c>
      <c r="J669" s="2" t="s">
        <v>526</v>
      </c>
    </row>
    <row r="670" spans="1:10" x14ac:dyDescent="0.35">
      <c r="A670" s="2" t="s">
        <v>10</v>
      </c>
      <c r="B670" s="2" t="s">
        <v>511</v>
      </c>
      <c r="C670" s="2" t="s">
        <v>54</v>
      </c>
      <c r="D670" s="2" t="s">
        <v>539</v>
      </c>
      <c r="E670" s="2" t="s">
        <v>18</v>
      </c>
      <c r="F670" s="2" t="s">
        <v>19</v>
      </c>
      <c r="G670" s="2" t="s">
        <v>16</v>
      </c>
      <c r="H670" s="2" t="s">
        <v>541</v>
      </c>
      <c r="I670" s="2" t="s">
        <v>16</v>
      </c>
      <c r="J670" s="2" t="s">
        <v>526</v>
      </c>
    </row>
    <row r="671" spans="1:10" x14ac:dyDescent="0.35">
      <c r="A671" s="2" t="s">
        <v>10</v>
      </c>
      <c r="B671" s="2" t="s">
        <v>511</v>
      </c>
      <c r="C671" s="2" t="s">
        <v>54</v>
      </c>
      <c r="D671" s="2" t="s">
        <v>539</v>
      </c>
      <c r="E671" s="2" t="s">
        <v>61</v>
      </c>
      <c r="F671" s="2" t="s">
        <v>30</v>
      </c>
      <c r="G671" s="2"/>
      <c r="H671" s="2"/>
      <c r="I671" s="2" t="s">
        <v>16</v>
      </c>
      <c r="J671" s="2" t="s">
        <v>514</v>
      </c>
    </row>
    <row r="672" spans="1:10" x14ac:dyDescent="0.35">
      <c r="A672" s="2" t="s">
        <v>10</v>
      </c>
      <c r="B672" s="2" t="s">
        <v>511</v>
      </c>
      <c r="C672" s="2" t="s">
        <v>54</v>
      </c>
      <c r="D672" s="2" t="s">
        <v>539</v>
      </c>
      <c r="E672" s="2" t="s">
        <v>188</v>
      </c>
      <c r="F672" s="2" t="s">
        <v>189</v>
      </c>
      <c r="G672" s="2"/>
      <c r="H672" s="2"/>
      <c r="I672" s="2" t="s">
        <v>16</v>
      </c>
      <c r="J672" s="2" t="s">
        <v>526</v>
      </c>
    </row>
    <row r="673" spans="1:10" x14ac:dyDescent="0.35">
      <c r="A673" s="2" t="s">
        <v>10</v>
      </c>
      <c r="B673" s="2" t="s">
        <v>511</v>
      </c>
      <c r="C673" s="2" t="s">
        <v>54</v>
      </c>
      <c r="D673" s="2" t="s">
        <v>539</v>
      </c>
      <c r="E673" s="2" t="s">
        <v>423</v>
      </c>
      <c r="F673" s="2" t="s">
        <v>424</v>
      </c>
      <c r="G673" s="2"/>
      <c r="H673" s="2"/>
      <c r="I673" s="2" t="s">
        <v>16</v>
      </c>
      <c r="J673" s="2" t="s">
        <v>514</v>
      </c>
    </row>
    <row r="674" spans="1:10" x14ac:dyDescent="0.35">
      <c r="A674" s="2" t="s">
        <v>10</v>
      </c>
      <c r="B674" s="2" t="s">
        <v>511</v>
      </c>
      <c r="C674" s="2" t="s">
        <v>54</v>
      </c>
      <c r="D674" s="2" t="s">
        <v>539</v>
      </c>
      <c r="E674" s="2" t="s">
        <v>352</v>
      </c>
      <c r="F674" s="2" t="s">
        <v>107</v>
      </c>
      <c r="G674" s="2"/>
      <c r="H674" s="2"/>
      <c r="I674" s="2" t="s">
        <v>16</v>
      </c>
      <c r="J674" s="2" t="s">
        <v>526</v>
      </c>
    </row>
    <row r="675" spans="1:10" x14ac:dyDescent="0.35">
      <c r="A675" s="2" t="s">
        <v>10</v>
      </c>
      <c r="B675" s="2" t="s">
        <v>511</v>
      </c>
      <c r="C675" s="2" t="s">
        <v>54</v>
      </c>
      <c r="D675" s="2" t="s">
        <v>539</v>
      </c>
      <c r="E675" s="2" t="s">
        <v>149</v>
      </c>
      <c r="F675" s="2" t="s">
        <v>150</v>
      </c>
      <c r="G675" s="2"/>
      <c r="H675" s="2"/>
      <c r="I675" s="2" t="s">
        <v>16</v>
      </c>
      <c r="J675" s="2" t="s">
        <v>526</v>
      </c>
    </row>
    <row r="676" spans="1:10" x14ac:dyDescent="0.35">
      <c r="A676" s="2" t="s">
        <v>10</v>
      </c>
      <c r="B676" s="2" t="s">
        <v>511</v>
      </c>
      <c r="C676" s="2" t="s">
        <v>54</v>
      </c>
      <c r="D676" s="2" t="s">
        <v>539</v>
      </c>
      <c r="E676" s="2" t="s">
        <v>542</v>
      </c>
      <c r="F676" s="2" t="s">
        <v>78</v>
      </c>
      <c r="G676" s="2"/>
      <c r="H676" s="2"/>
      <c r="I676" s="2"/>
      <c r="J676" s="2"/>
    </row>
    <row r="677" spans="1:10" s="21" customFormat="1" x14ac:dyDescent="0.35">
      <c r="A677" s="2" t="s">
        <v>10</v>
      </c>
      <c r="B677" s="2" t="s">
        <v>511</v>
      </c>
      <c r="C677" s="2" t="s">
        <v>62</v>
      </c>
      <c r="D677" s="2" t="s">
        <v>543</v>
      </c>
      <c r="E677" s="2" t="s">
        <v>106</v>
      </c>
      <c r="F677" s="2" t="s">
        <v>107</v>
      </c>
      <c r="G677" s="2"/>
      <c r="H677" s="2"/>
      <c r="I677" s="2" t="s">
        <v>20</v>
      </c>
      <c r="J677" s="2" t="s">
        <v>514</v>
      </c>
    </row>
    <row r="678" spans="1:10" x14ac:dyDescent="0.35">
      <c r="A678" s="2" t="s">
        <v>10</v>
      </c>
      <c r="B678" s="2" t="s">
        <v>511</v>
      </c>
      <c r="C678" s="2" t="s">
        <v>24</v>
      </c>
      <c r="D678" s="2" t="s">
        <v>544</v>
      </c>
      <c r="E678" s="2" t="s">
        <v>14</v>
      </c>
      <c r="F678" s="2" t="s">
        <v>15</v>
      </c>
      <c r="G678" s="2"/>
      <c r="H678" s="2"/>
      <c r="I678" s="2" t="s">
        <v>16</v>
      </c>
      <c r="J678" s="2" t="s">
        <v>514</v>
      </c>
    </row>
    <row r="679" spans="1:10" x14ac:dyDescent="0.35">
      <c r="A679" s="2" t="s">
        <v>10</v>
      </c>
      <c r="B679" s="2" t="s">
        <v>511</v>
      </c>
      <c r="C679" s="2" t="s">
        <v>24</v>
      </c>
      <c r="D679" s="2" t="s">
        <v>544</v>
      </c>
      <c r="E679" s="2" t="s">
        <v>136</v>
      </c>
      <c r="F679" s="2" t="s">
        <v>107</v>
      </c>
      <c r="G679" s="2" t="s">
        <v>16</v>
      </c>
      <c r="H679" s="2" t="s">
        <v>545</v>
      </c>
      <c r="I679" s="2" t="s">
        <v>16</v>
      </c>
      <c r="J679" s="2" t="s">
        <v>514</v>
      </c>
    </row>
    <row r="680" spans="1:10" x14ac:dyDescent="0.35">
      <c r="A680" s="2" t="s">
        <v>10</v>
      </c>
      <c r="B680" s="2" t="s">
        <v>511</v>
      </c>
      <c r="C680" s="2" t="s">
        <v>24</v>
      </c>
      <c r="D680" s="2" t="s">
        <v>544</v>
      </c>
      <c r="E680" s="2" t="s">
        <v>121</v>
      </c>
      <c r="F680" s="2" t="s">
        <v>122</v>
      </c>
      <c r="G680" s="2" t="s">
        <v>16</v>
      </c>
      <c r="H680" s="2" t="s">
        <v>545</v>
      </c>
      <c r="I680" s="2" t="s">
        <v>16</v>
      </c>
      <c r="J680" s="2" t="s">
        <v>514</v>
      </c>
    </row>
    <row r="681" spans="1:10" x14ac:dyDescent="0.35">
      <c r="A681" s="2" t="s">
        <v>10</v>
      </c>
      <c r="B681" s="2" t="s">
        <v>511</v>
      </c>
      <c r="C681" s="2" t="s">
        <v>24</v>
      </c>
      <c r="D681" s="2" t="s">
        <v>544</v>
      </c>
      <c r="E681" s="2" t="s">
        <v>91</v>
      </c>
      <c r="F681" s="2" t="s">
        <v>19</v>
      </c>
      <c r="G681" s="2" t="s">
        <v>16</v>
      </c>
      <c r="H681" s="2" t="s">
        <v>546</v>
      </c>
      <c r="I681" s="2" t="s">
        <v>16</v>
      </c>
      <c r="J681" s="2" t="s">
        <v>514</v>
      </c>
    </row>
    <row r="682" spans="1:10" x14ac:dyDescent="0.35">
      <c r="A682" s="2" t="s">
        <v>10</v>
      </c>
      <c r="B682" s="2" t="s">
        <v>511</v>
      </c>
      <c r="C682" s="2" t="s">
        <v>24</v>
      </c>
      <c r="D682" s="2" t="s">
        <v>544</v>
      </c>
      <c r="E682" s="2" t="s">
        <v>51</v>
      </c>
      <c r="F682" s="2" t="s">
        <v>52</v>
      </c>
      <c r="G682" s="2" t="s">
        <v>16</v>
      </c>
      <c r="H682" s="2" t="s">
        <v>545</v>
      </c>
      <c r="I682" s="2" t="s">
        <v>16</v>
      </c>
      <c r="J682" s="2" t="s">
        <v>514</v>
      </c>
    </row>
    <row r="683" spans="1:10" x14ac:dyDescent="0.35">
      <c r="A683" s="2" t="s">
        <v>10</v>
      </c>
      <c r="B683" s="2" t="s">
        <v>511</v>
      </c>
      <c r="C683" s="2" t="s">
        <v>24</v>
      </c>
      <c r="D683" s="2" t="s">
        <v>544</v>
      </c>
      <c r="E683" s="2" t="s">
        <v>124</v>
      </c>
      <c r="F683" s="2" t="s">
        <v>125</v>
      </c>
      <c r="G683" s="2" t="s">
        <v>16</v>
      </c>
      <c r="H683" s="2" t="s">
        <v>545</v>
      </c>
      <c r="I683" s="2" t="s">
        <v>16</v>
      </c>
      <c r="J683" s="2" t="s">
        <v>514</v>
      </c>
    </row>
    <row r="684" spans="1:10" x14ac:dyDescent="0.35">
      <c r="A684" s="2" t="s">
        <v>10</v>
      </c>
      <c r="B684" s="2" t="s">
        <v>511</v>
      </c>
      <c r="C684" s="2" t="s">
        <v>24</v>
      </c>
      <c r="D684" s="2" t="s">
        <v>544</v>
      </c>
      <c r="E684" s="2" t="s">
        <v>61</v>
      </c>
      <c r="F684" s="2" t="s">
        <v>30</v>
      </c>
      <c r="G684" s="2" t="s">
        <v>16</v>
      </c>
      <c r="H684" s="2" t="s">
        <v>547</v>
      </c>
      <c r="I684" s="2" t="s">
        <v>16</v>
      </c>
      <c r="J684" s="2" t="s">
        <v>514</v>
      </c>
    </row>
    <row r="685" spans="1:10" x14ac:dyDescent="0.35">
      <c r="A685" s="2" t="s">
        <v>10</v>
      </c>
      <c r="B685" s="2" t="s">
        <v>511</v>
      </c>
      <c r="C685" s="2" t="s">
        <v>24</v>
      </c>
      <c r="D685" s="2" t="s">
        <v>548</v>
      </c>
      <c r="E685" s="2" t="s">
        <v>27</v>
      </c>
      <c r="F685" s="2" t="s">
        <v>28</v>
      </c>
      <c r="G685" s="2"/>
      <c r="H685" s="2"/>
      <c r="I685" s="2" t="s">
        <v>16</v>
      </c>
      <c r="J685" s="2" t="s">
        <v>514</v>
      </c>
    </row>
    <row r="686" spans="1:10" x14ac:dyDescent="0.35">
      <c r="A686" s="2" t="s">
        <v>10</v>
      </c>
      <c r="B686" s="2" t="s">
        <v>511</v>
      </c>
      <c r="C686" s="2" t="s">
        <v>24</v>
      </c>
      <c r="D686" s="2" t="s">
        <v>548</v>
      </c>
      <c r="E686" s="2" t="s">
        <v>76</v>
      </c>
      <c r="F686" s="2" t="s">
        <v>75</v>
      </c>
      <c r="G686" s="2" t="s">
        <v>16</v>
      </c>
      <c r="H686" s="2" t="s">
        <v>549</v>
      </c>
      <c r="I686" s="2" t="s">
        <v>16</v>
      </c>
      <c r="J686" s="2" t="s">
        <v>514</v>
      </c>
    </row>
    <row r="687" spans="1:10" x14ac:dyDescent="0.35">
      <c r="A687" s="2" t="s">
        <v>10</v>
      </c>
      <c r="B687" s="2" t="s">
        <v>511</v>
      </c>
      <c r="C687" s="2" t="s">
        <v>24</v>
      </c>
      <c r="D687" s="2" t="s">
        <v>548</v>
      </c>
      <c r="E687" s="2" t="s">
        <v>31</v>
      </c>
      <c r="F687" s="2" t="s">
        <v>32</v>
      </c>
      <c r="G687" s="2"/>
      <c r="H687" s="2"/>
      <c r="I687" s="2" t="s">
        <v>16</v>
      </c>
      <c r="J687" s="2" t="s">
        <v>514</v>
      </c>
    </row>
    <row r="688" spans="1:10" x14ac:dyDescent="0.35">
      <c r="A688" s="2" t="s">
        <v>10</v>
      </c>
      <c r="B688" s="2" t="s">
        <v>511</v>
      </c>
      <c r="C688" s="2" t="s">
        <v>24</v>
      </c>
      <c r="D688" s="2" t="s">
        <v>548</v>
      </c>
      <c r="E688" s="2" t="s">
        <v>467</v>
      </c>
      <c r="F688" s="2" t="s">
        <v>45</v>
      </c>
      <c r="G688" s="2"/>
      <c r="H688" s="2"/>
      <c r="I688" s="2" t="s">
        <v>16</v>
      </c>
      <c r="J688" s="2" t="s">
        <v>514</v>
      </c>
    </row>
    <row r="689" spans="1:10" x14ac:dyDescent="0.35">
      <c r="A689" s="2" t="s">
        <v>10</v>
      </c>
      <c r="B689" s="2" t="s">
        <v>511</v>
      </c>
      <c r="C689" s="2" t="s">
        <v>24</v>
      </c>
      <c r="D689" s="2" t="s">
        <v>548</v>
      </c>
      <c r="E689" s="2" t="s">
        <v>61</v>
      </c>
      <c r="F689" s="2" t="s">
        <v>30</v>
      </c>
      <c r="G689" s="2"/>
      <c r="H689" s="2"/>
      <c r="I689" s="2" t="s">
        <v>16</v>
      </c>
      <c r="J689" s="2" t="s">
        <v>514</v>
      </c>
    </row>
    <row r="690" spans="1:10" x14ac:dyDescent="0.35">
      <c r="A690" s="2" t="s">
        <v>10</v>
      </c>
      <c r="B690" s="2" t="s">
        <v>511</v>
      </c>
      <c r="C690" s="2" t="s">
        <v>24</v>
      </c>
      <c r="D690" s="2" t="s">
        <v>550</v>
      </c>
      <c r="E690" s="2" t="s">
        <v>27</v>
      </c>
      <c r="F690" s="2" t="s">
        <v>28</v>
      </c>
      <c r="G690" s="2"/>
      <c r="H690" s="2"/>
      <c r="I690" s="2" t="s">
        <v>16</v>
      </c>
      <c r="J690" s="2" t="s">
        <v>514</v>
      </c>
    </row>
    <row r="691" spans="1:10" x14ac:dyDescent="0.35">
      <c r="A691" s="2" t="s">
        <v>10</v>
      </c>
      <c r="B691" s="2" t="s">
        <v>511</v>
      </c>
      <c r="C691" s="2" t="s">
        <v>24</v>
      </c>
      <c r="D691" s="2" t="s">
        <v>550</v>
      </c>
      <c r="E691" s="2" t="s">
        <v>551</v>
      </c>
      <c r="F691" s="2" t="s">
        <v>203</v>
      </c>
      <c r="G691" s="2"/>
      <c r="H691" s="2"/>
      <c r="I691" s="2" t="s">
        <v>16</v>
      </c>
      <c r="J691" s="2" t="s">
        <v>514</v>
      </c>
    </row>
    <row r="692" spans="1:10" x14ac:dyDescent="0.35">
      <c r="A692" s="2" t="s">
        <v>10</v>
      </c>
      <c r="B692" s="2" t="s">
        <v>511</v>
      </c>
      <c r="C692" s="2" t="s">
        <v>24</v>
      </c>
      <c r="D692" s="2" t="s">
        <v>550</v>
      </c>
      <c r="E692" s="2" t="s">
        <v>31</v>
      </c>
      <c r="F692" s="2" t="s">
        <v>32</v>
      </c>
      <c r="G692" s="2"/>
      <c r="H692" s="2"/>
      <c r="I692" s="2" t="s">
        <v>16</v>
      </c>
      <c r="J692" s="2" t="s">
        <v>514</v>
      </c>
    </row>
    <row r="693" spans="1:10" x14ac:dyDescent="0.35">
      <c r="A693" s="2" t="s">
        <v>10</v>
      </c>
      <c r="B693" s="2" t="s">
        <v>511</v>
      </c>
      <c r="C693" s="2" t="s">
        <v>54</v>
      </c>
      <c r="D693" s="2" t="s">
        <v>552</v>
      </c>
      <c r="E693" s="2" t="s">
        <v>27</v>
      </c>
      <c r="F693" s="2" t="s">
        <v>28</v>
      </c>
      <c r="G693" s="2" t="s">
        <v>16</v>
      </c>
      <c r="H693" s="2" t="s">
        <v>553</v>
      </c>
      <c r="I693" s="2" t="s">
        <v>16</v>
      </c>
      <c r="J693" s="2" t="s">
        <v>514</v>
      </c>
    </row>
    <row r="694" spans="1:10" x14ac:dyDescent="0.35">
      <c r="A694" s="2" t="s">
        <v>10</v>
      </c>
      <c r="B694" s="2" t="s">
        <v>511</v>
      </c>
      <c r="C694" s="2" t="s">
        <v>54</v>
      </c>
      <c r="D694" s="2" t="s">
        <v>552</v>
      </c>
      <c r="E694" s="2" t="s">
        <v>31</v>
      </c>
      <c r="F694" s="2" t="s">
        <v>32</v>
      </c>
      <c r="G694" s="2"/>
      <c r="H694" s="2"/>
      <c r="I694" s="2" t="s">
        <v>16</v>
      </c>
      <c r="J694" s="2" t="s">
        <v>514</v>
      </c>
    </row>
    <row r="695" spans="1:10" x14ac:dyDescent="0.35">
      <c r="A695" s="2" t="s">
        <v>10</v>
      </c>
      <c r="B695" s="2" t="s">
        <v>511</v>
      </c>
      <c r="C695" s="2" t="s">
        <v>54</v>
      </c>
      <c r="D695" s="2" t="s">
        <v>552</v>
      </c>
      <c r="E695" s="2" t="s">
        <v>172</v>
      </c>
      <c r="F695" s="2" t="s">
        <v>65</v>
      </c>
      <c r="G695" s="2" t="s">
        <v>16</v>
      </c>
      <c r="H695" s="2" t="s">
        <v>554</v>
      </c>
      <c r="I695" s="2" t="s">
        <v>16</v>
      </c>
      <c r="J695" s="2" t="s">
        <v>514</v>
      </c>
    </row>
    <row r="696" spans="1:10" x14ac:dyDescent="0.35">
      <c r="A696" s="2" t="s">
        <v>10</v>
      </c>
      <c r="B696" s="2" t="s">
        <v>511</v>
      </c>
      <c r="C696" s="2" t="s">
        <v>54</v>
      </c>
      <c r="D696" s="2" t="s">
        <v>552</v>
      </c>
      <c r="E696" s="2" t="s">
        <v>33</v>
      </c>
      <c r="F696" s="2" t="s">
        <v>34</v>
      </c>
      <c r="G696" s="2" t="s">
        <v>20</v>
      </c>
      <c r="H696" s="2" t="s">
        <v>554</v>
      </c>
      <c r="I696" s="2" t="s">
        <v>20</v>
      </c>
      <c r="J696" s="2" t="s">
        <v>514</v>
      </c>
    </row>
    <row r="697" spans="1:10" x14ac:dyDescent="0.35">
      <c r="A697" s="2" t="s">
        <v>10</v>
      </c>
      <c r="B697" s="2" t="s">
        <v>511</v>
      </c>
      <c r="C697" s="2" t="s">
        <v>54</v>
      </c>
      <c r="D697" s="2" t="s">
        <v>552</v>
      </c>
      <c r="E697" s="2" t="s">
        <v>168</v>
      </c>
      <c r="F697" s="2" t="s">
        <v>45</v>
      </c>
      <c r="G697" s="2" t="s">
        <v>16</v>
      </c>
      <c r="H697" s="2" t="s">
        <v>553</v>
      </c>
      <c r="I697" s="2" t="s">
        <v>16</v>
      </c>
      <c r="J697" s="2" t="s">
        <v>514</v>
      </c>
    </row>
    <row r="698" spans="1:10" x14ac:dyDescent="0.35">
      <c r="A698" s="2" t="s">
        <v>10</v>
      </c>
      <c r="B698" s="2" t="s">
        <v>511</v>
      </c>
      <c r="C698" s="2" t="s">
        <v>54</v>
      </c>
      <c r="D698" s="2" t="s">
        <v>552</v>
      </c>
      <c r="E698" s="2" t="s">
        <v>61</v>
      </c>
      <c r="F698" s="2" t="s">
        <v>30</v>
      </c>
      <c r="G698" s="2" t="s">
        <v>16</v>
      </c>
      <c r="H698" s="2" t="s">
        <v>554</v>
      </c>
      <c r="I698" s="2" t="s">
        <v>16</v>
      </c>
      <c r="J698" s="2" t="s">
        <v>514</v>
      </c>
    </row>
    <row r="699" spans="1:10" x14ac:dyDescent="0.35">
      <c r="A699" s="2" t="s">
        <v>10</v>
      </c>
      <c r="B699" s="2" t="s">
        <v>511</v>
      </c>
      <c r="C699" s="2" t="s">
        <v>54</v>
      </c>
      <c r="D699" s="2" t="s">
        <v>552</v>
      </c>
      <c r="E699" s="2" t="s">
        <v>112</v>
      </c>
      <c r="F699" s="2" t="s">
        <v>113</v>
      </c>
      <c r="G699" s="2" t="s">
        <v>16</v>
      </c>
      <c r="H699" s="2" t="s">
        <v>216</v>
      </c>
      <c r="I699" s="2" t="s">
        <v>16</v>
      </c>
      <c r="J699" s="2" t="s">
        <v>514</v>
      </c>
    </row>
    <row r="700" spans="1:10" s="21" customFormat="1" x14ac:dyDescent="0.35">
      <c r="A700" s="2" t="s">
        <v>10</v>
      </c>
      <c r="B700" s="2" t="s">
        <v>511</v>
      </c>
      <c r="C700" s="2" t="s">
        <v>62</v>
      </c>
      <c r="D700" s="2" t="s">
        <v>555</v>
      </c>
      <c r="E700" s="2" t="s">
        <v>106</v>
      </c>
      <c r="F700" s="2" t="s">
        <v>107</v>
      </c>
      <c r="G700" s="2"/>
      <c r="H700" s="2"/>
      <c r="I700" s="2"/>
      <c r="J700" s="2"/>
    </row>
    <row r="701" spans="1:10" s="21" customFormat="1" x14ac:dyDescent="0.35">
      <c r="A701" s="2" t="s">
        <v>10</v>
      </c>
      <c r="B701" s="2" t="s">
        <v>511</v>
      </c>
      <c r="C701" s="2" t="s">
        <v>24</v>
      </c>
      <c r="D701" s="2" t="s">
        <v>556</v>
      </c>
      <c r="E701" s="2" t="s">
        <v>14</v>
      </c>
      <c r="F701" s="2" t="s">
        <v>15</v>
      </c>
      <c r="G701" s="2"/>
      <c r="H701" s="2"/>
      <c r="I701" s="2" t="s">
        <v>16</v>
      </c>
      <c r="J701" s="2" t="s">
        <v>514</v>
      </c>
    </row>
    <row r="702" spans="1:10" s="21" customFormat="1" x14ac:dyDescent="0.35">
      <c r="A702" s="2" t="s">
        <v>10</v>
      </c>
      <c r="B702" s="2" t="s">
        <v>511</v>
      </c>
      <c r="C702" s="2" t="s">
        <v>24</v>
      </c>
      <c r="D702" s="2" t="s">
        <v>556</v>
      </c>
      <c r="E702" s="3" t="s">
        <v>77</v>
      </c>
      <c r="F702" s="2" t="s">
        <v>78</v>
      </c>
      <c r="G702" s="2"/>
      <c r="H702" s="2"/>
      <c r="I702" s="2" t="s">
        <v>16</v>
      </c>
      <c r="J702" s="2" t="s">
        <v>514</v>
      </c>
    </row>
    <row r="703" spans="1:10" s="21" customFormat="1" x14ac:dyDescent="0.35">
      <c r="A703" s="2" t="s">
        <v>10</v>
      </c>
      <c r="B703" s="2" t="s">
        <v>511</v>
      </c>
      <c r="C703" s="2" t="s">
        <v>24</v>
      </c>
      <c r="D703" s="2" t="s">
        <v>556</v>
      </c>
      <c r="E703" s="2" t="s">
        <v>18</v>
      </c>
      <c r="F703" s="2" t="s">
        <v>19</v>
      </c>
      <c r="G703" s="2" t="s">
        <v>20</v>
      </c>
      <c r="H703" s="2" t="s">
        <v>557</v>
      </c>
      <c r="I703" s="2" t="s">
        <v>16</v>
      </c>
      <c r="J703" s="2" t="s">
        <v>514</v>
      </c>
    </row>
    <row r="704" spans="1:10" s="21" customFormat="1" x14ac:dyDescent="0.35">
      <c r="A704" s="2" t="s">
        <v>10</v>
      </c>
      <c r="B704" s="2" t="s">
        <v>511</v>
      </c>
      <c r="C704" s="2" t="s">
        <v>24</v>
      </c>
      <c r="D704" s="2" t="s">
        <v>556</v>
      </c>
      <c r="E704" s="2" t="s">
        <v>89</v>
      </c>
      <c r="F704" s="2" t="s">
        <v>45</v>
      </c>
      <c r="G704" s="2"/>
      <c r="H704" s="2"/>
      <c r="I704" s="2" t="s">
        <v>16</v>
      </c>
      <c r="J704" s="2" t="s">
        <v>514</v>
      </c>
    </row>
    <row r="705" spans="1:10" s="21" customFormat="1" x14ac:dyDescent="0.35">
      <c r="A705" s="2" t="s">
        <v>10</v>
      </c>
      <c r="B705" s="2" t="s">
        <v>511</v>
      </c>
      <c r="C705" s="2" t="s">
        <v>24</v>
      </c>
      <c r="D705" s="2" t="s">
        <v>556</v>
      </c>
      <c r="E705" s="2" t="s">
        <v>112</v>
      </c>
      <c r="F705" s="2" t="s">
        <v>113</v>
      </c>
      <c r="G705" s="2" t="s">
        <v>20</v>
      </c>
      <c r="H705" s="2" t="s">
        <v>558</v>
      </c>
      <c r="I705" s="2" t="s">
        <v>16</v>
      </c>
      <c r="J705" s="2" t="s">
        <v>514</v>
      </c>
    </row>
    <row r="706" spans="1:10" s="21" customFormat="1" x14ac:dyDescent="0.35">
      <c r="A706" s="2" t="s">
        <v>10</v>
      </c>
      <c r="B706" s="2" t="s">
        <v>559</v>
      </c>
      <c r="C706" s="2" t="s">
        <v>12</v>
      </c>
      <c r="D706" s="2" t="s">
        <v>560</v>
      </c>
      <c r="E706" s="2" t="s">
        <v>91</v>
      </c>
      <c r="F706" s="2" t="s">
        <v>19</v>
      </c>
      <c r="G706" s="2" t="s">
        <v>20</v>
      </c>
      <c r="H706" s="2" t="s">
        <v>561</v>
      </c>
      <c r="I706" s="2"/>
      <c r="J706" s="2"/>
    </row>
    <row r="707" spans="1:10" x14ac:dyDescent="0.35">
      <c r="A707" s="2" t="s">
        <v>10</v>
      </c>
      <c r="B707" s="2" t="s">
        <v>559</v>
      </c>
      <c r="C707" s="2" t="s">
        <v>24</v>
      </c>
      <c r="D707" s="2" t="s">
        <v>562</v>
      </c>
      <c r="E707" s="2" t="s">
        <v>196</v>
      </c>
      <c r="F707" s="2" t="s">
        <v>197</v>
      </c>
      <c r="G707" s="2"/>
      <c r="H707" s="2"/>
      <c r="I707" s="2"/>
      <c r="J707" s="2"/>
    </row>
    <row r="708" spans="1:10" x14ac:dyDescent="0.35">
      <c r="A708" s="2" t="s">
        <v>10</v>
      </c>
      <c r="B708" s="2" t="s">
        <v>559</v>
      </c>
      <c r="C708" s="2" t="s">
        <v>24</v>
      </c>
      <c r="D708" s="2" t="s">
        <v>562</v>
      </c>
      <c r="E708" s="2" t="s">
        <v>563</v>
      </c>
      <c r="F708" s="2" t="s">
        <v>45</v>
      </c>
      <c r="G708" s="2"/>
      <c r="H708" s="2"/>
      <c r="I708" s="2"/>
      <c r="J708" s="2"/>
    </row>
    <row r="709" spans="1:10" x14ac:dyDescent="0.35">
      <c r="A709" s="2" t="s">
        <v>10</v>
      </c>
      <c r="B709" s="2" t="s">
        <v>559</v>
      </c>
      <c r="C709" s="2" t="s">
        <v>24</v>
      </c>
      <c r="D709" s="2" t="s">
        <v>562</v>
      </c>
      <c r="E709" s="2" t="s">
        <v>31</v>
      </c>
      <c r="F709" s="2" t="s">
        <v>32</v>
      </c>
      <c r="G709" s="2"/>
      <c r="H709" s="2"/>
      <c r="I709" s="2"/>
      <c r="J709" s="2"/>
    </row>
    <row r="710" spans="1:10" x14ac:dyDescent="0.35">
      <c r="A710" s="2" t="s">
        <v>10</v>
      </c>
      <c r="B710" s="2" t="s">
        <v>559</v>
      </c>
      <c r="C710" s="2" t="s">
        <v>24</v>
      </c>
      <c r="D710" s="2" t="s">
        <v>562</v>
      </c>
      <c r="E710" s="2" t="s">
        <v>452</v>
      </c>
      <c r="F710" s="2" t="s">
        <v>38</v>
      </c>
      <c r="G710" s="2"/>
      <c r="H710" s="2"/>
      <c r="I710" s="2"/>
      <c r="J710" s="2"/>
    </row>
    <row r="711" spans="1:10" x14ac:dyDescent="0.35">
      <c r="A711" s="2" t="s">
        <v>10</v>
      </c>
      <c r="B711" s="2" t="s">
        <v>559</v>
      </c>
      <c r="C711" s="2" t="s">
        <v>24</v>
      </c>
      <c r="D711" s="2" t="s">
        <v>562</v>
      </c>
      <c r="E711" s="2" t="s">
        <v>466</v>
      </c>
      <c r="F711" s="2" t="s">
        <v>203</v>
      </c>
      <c r="G711" s="2"/>
      <c r="H711" s="2"/>
      <c r="I711" s="2"/>
      <c r="J711" s="2"/>
    </row>
    <row r="712" spans="1:10" x14ac:dyDescent="0.35">
      <c r="A712" s="2" t="s">
        <v>10</v>
      </c>
      <c r="B712" s="2" t="s">
        <v>559</v>
      </c>
      <c r="C712" s="2" t="s">
        <v>24</v>
      </c>
      <c r="D712" s="2" t="s">
        <v>562</v>
      </c>
      <c r="E712" s="2" t="s">
        <v>416</v>
      </c>
      <c r="F712" s="2" t="s">
        <v>38</v>
      </c>
      <c r="G712" s="2"/>
      <c r="H712" s="2"/>
      <c r="I712" s="2"/>
      <c r="J712" s="2"/>
    </row>
    <row r="713" spans="1:10" x14ac:dyDescent="0.35">
      <c r="A713" s="2" t="s">
        <v>10</v>
      </c>
      <c r="B713" s="2" t="s">
        <v>559</v>
      </c>
      <c r="C713" s="2" t="s">
        <v>24</v>
      </c>
      <c r="D713" s="2" t="s">
        <v>562</v>
      </c>
      <c r="E713" s="2" t="s">
        <v>377</v>
      </c>
      <c r="F713" s="2" t="s">
        <v>270</v>
      </c>
      <c r="G713" s="2"/>
      <c r="H713" s="2"/>
      <c r="I713" s="2"/>
      <c r="J713" s="2"/>
    </row>
    <row r="714" spans="1:10" x14ac:dyDescent="0.35">
      <c r="A714" s="2" t="s">
        <v>10</v>
      </c>
      <c r="B714" s="2" t="s">
        <v>559</v>
      </c>
      <c r="C714" s="2" t="s">
        <v>24</v>
      </c>
      <c r="D714" s="2" t="s">
        <v>562</v>
      </c>
      <c r="E714" s="2" t="s">
        <v>417</v>
      </c>
      <c r="F714" s="2" t="s">
        <v>40</v>
      </c>
      <c r="G714" s="2"/>
      <c r="H714" s="2"/>
      <c r="I714" s="2"/>
      <c r="J714" s="2"/>
    </row>
    <row r="715" spans="1:10" x14ac:dyDescent="0.35">
      <c r="A715" s="2" t="s">
        <v>10</v>
      </c>
      <c r="B715" s="2" t="s">
        <v>559</v>
      </c>
      <c r="C715" s="2" t="s">
        <v>24</v>
      </c>
      <c r="D715" s="2" t="s">
        <v>562</v>
      </c>
      <c r="E715" s="2" t="s">
        <v>64</v>
      </c>
      <c r="F715" s="2" t="s">
        <v>65</v>
      </c>
      <c r="G715" s="2"/>
      <c r="H715" s="2"/>
      <c r="I715" s="2"/>
      <c r="J715" s="2"/>
    </row>
    <row r="716" spans="1:10" x14ac:dyDescent="0.35">
      <c r="A716" s="2" t="s">
        <v>10</v>
      </c>
      <c r="B716" s="2" t="s">
        <v>559</v>
      </c>
      <c r="C716" s="2" t="s">
        <v>24</v>
      </c>
      <c r="D716" s="2" t="s">
        <v>562</v>
      </c>
      <c r="E716" s="2" t="s">
        <v>187</v>
      </c>
      <c r="F716" s="2" t="s">
        <v>150</v>
      </c>
      <c r="G716" s="2" t="s">
        <v>16</v>
      </c>
      <c r="H716" s="2" t="s">
        <v>261</v>
      </c>
      <c r="I716" s="2"/>
      <c r="J716" s="2"/>
    </row>
    <row r="717" spans="1:10" x14ac:dyDescent="0.35">
      <c r="A717" s="2" t="s">
        <v>10</v>
      </c>
      <c r="B717" s="2" t="s">
        <v>559</v>
      </c>
      <c r="C717" s="2" t="s">
        <v>24</v>
      </c>
      <c r="D717" s="2" t="s">
        <v>562</v>
      </c>
      <c r="E717" s="2" t="s">
        <v>564</v>
      </c>
      <c r="F717" s="2" t="s">
        <v>78</v>
      </c>
      <c r="G717" s="2"/>
      <c r="H717" s="2"/>
      <c r="I717" s="2"/>
      <c r="J717" s="2"/>
    </row>
    <row r="718" spans="1:10" x14ac:dyDescent="0.35">
      <c r="A718" s="2" t="s">
        <v>10</v>
      </c>
      <c r="B718" s="2" t="s">
        <v>559</v>
      </c>
      <c r="C718" s="2" t="s">
        <v>24</v>
      </c>
      <c r="D718" s="2" t="s">
        <v>562</v>
      </c>
      <c r="E718" s="2" t="s">
        <v>100</v>
      </c>
      <c r="F718" s="2" t="s">
        <v>101</v>
      </c>
      <c r="G718" s="2"/>
      <c r="H718" s="2"/>
      <c r="I718" s="2"/>
      <c r="J718" s="2"/>
    </row>
    <row r="719" spans="1:10" x14ac:dyDescent="0.35">
      <c r="A719" s="2" t="s">
        <v>10</v>
      </c>
      <c r="B719" s="2" t="s">
        <v>559</v>
      </c>
      <c r="C719" s="2" t="s">
        <v>24</v>
      </c>
      <c r="D719" s="2" t="s">
        <v>562</v>
      </c>
      <c r="E719" s="2" t="s">
        <v>188</v>
      </c>
      <c r="F719" s="2" t="s">
        <v>189</v>
      </c>
      <c r="G719" s="2" t="s">
        <v>16</v>
      </c>
      <c r="H719" s="2" t="s">
        <v>565</v>
      </c>
      <c r="I719" s="2"/>
      <c r="J719" s="2"/>
    </row>
    <row r="720" spans="1:10" x14ac:dyDescent="0.35">
      <c r="A720" s="2" t="s">
        <v>10</v>
      </c>
      <c r="B720" s="2" t="s">
        <v>559</v>
      </c>
      <c r="C720" s="2" t="s">
        <v>24</v>
      </c>
      <c r="D720" s="2" t="s">
        <v>562</v>
      </c>
      <c r="E720" s="2" t="s">
        <v>149</v>
      </c>
      <c r="F720" s="2" t="s">
        <v>150</v>
      </c>
      <c r="G720" s="2"/>
      <c r="H720" s="2" t="s">
        <v>566</v>
      </c>
      <c r="I720" s="2"/>
      <c r="J720" s="2"/>
    </row>
    <row r="721" spans="1:10" s="21" customFormat="1" x14ac:dyDescent="0.35">
      <c r="A721" s="2" t="s">
        <v>10</v>
      </c>
      <c r="B721" s="2" t="s">
        <v>559</v>
      </c>
      <c r="C721" s="2" t="s">
        <v>12</v>
      </c>
      <c r="D721" s="2" t="s">
        <v>567</v>
      </c>
      <c r="E721" s="2" t="s">
        <v>91</v>
      </c>
      <c r="F721" s="2" t="s">
        <v>19</v>
      </c>
      <c r="G721" s="2" t="s">
        <v>20</v>
      </c>
      <c r="H721" s="2" t="s">
        <v>561</v>
      </c>
      <c r="I721" s="2"/>
      <c r="J721" s="2"/>
    </row>
    <row r="722" spans="1:10" x14ac:dyDescent="0.35">
      <c r="A722" s="2" t="s">
        <v>10</v>
      </c>
      <c r="B722" s="2" t="s">
        <v>568</v>
      </c>
      <c r="C722" s="2" t="s">
        <v>24</v>
      </c>
      <c r="D722" s="2" t="s">
        <v>569</v>
      </c>
      <c r="E722" s="2" t="s">
        <v>35</v>
      </c>
      <c r="F722" s="2" t="s">
        <v>36</v>
      </c>
      <c r="G722" s="2"/>
      <c r="H722" s="2"/>
      <c r="I722" s="2"/>
      <c r="J722" s="2"/>
    </row>
    <row r="723" spans="1:10" x14ac:dyDescent="0.35">
      <c r="A723" s="2" t="s">
        <v>10</v>
      </c>
      <c r="B723" s="2" t="s">
        <v>568</v>
      </c>
      <c r="C723" s="2" t="s">
        <v>24</v>
      </c>
      <c r="D723" s="2" t="s">
        <v>569</v>
      </c>
      <c r="E723" s="2" t="s">
        <v>91</v>
      </c>
      <c r="F723" s="2" t="s">
        <v>19</v>
      </c>
      <c r="G723" s="2"/>
      <c r="H723" s="2"/>
      <c r="I723" s="2"/>
      <c r="J723" s="2"/>
    </row>
    <row r="724" spans="1:10" x14ac:dyDescent="0.35">
      <c r="A724" s="2" t="s">
        <v>10</v>
      </c>
      <c r="B724" s="2" t="s">
        <v>568</v>
      </c>
      <c r="C724" s="2" t="s">
        <v>24</v>
      </c>
      <c r="D724" s="2" t="s">
        <v>569</v>
      </c>
      <c r="E724" s="2" t="s">
        <v>18</v>
      </c>
      <c r="F724" s="2" t="s">
        <v>19</v>
      </c>
      <c r="G724" s="2"/>
      <c r="H724" s="2"/>
      <c r="I724" s="2"/>
      <c r="J724" s="2"/>
    </row>
    <row r="725" spans="1:10" x14ac:dyDescent="0.35">
      <c r="A725" s="2" t="s">
        <v>10</v>
      </c>
      <c r="B725" s="2" t="s">
        <v>568</v>
      </c>
      <c r="C725" s="2" t="s">
        <v>24</v>
      </c>
      <c r="D725" s="2" t="s">
        <v>569</v>
      </c>
      <c r="E725" s="2" t="s">
        <v>61</v>
      </c>
      <c r="F725" s="2" t="s">
        <v>30</v>
      </c>
      <c r="G725" s="2"/>
      <c r="H725" s="2"/>
      <c r="I725" s="2"/>
      <c r="J725" s="2"/>
    </row>
    <row r="726" spans="1:10" x14ac:dyDescent="0.35">
      <c r="A726" s="2" t="s">
        <v>10</v>
      </c>
      <c r="B726" s="2" t="s">
        <v>570</v>
      </c>
      <c r="C726" s="2" t="s">
        <v>24</v>
      </c>
      <c r="D726" s="2" t="s">
        <v>571</v>
      </c>
      <c r="E726" s="2" t="s">
        <v>14</v>
      </c>
      <c r="F726" s="2" t="s">
        <v>15</v>
      </c>
      <c r="G726" s="2"/>
      <c r="H726" s="2"/>
      <c r="I726" s="2" t="s">
        <v>16</v>
      </c>
      <c r="J726" s="2" t="s">
        <v>26</v>
      </c>
    </row>
    <row r="727" spans="1:10" x14ac:dyDescent="0.35">
      <c r="A727" s="2" t="s">
        <v>10</v>
      </c>
      <c r="B727" s="2" t="s">
        <v>570</v>
      </c>
      <c r="C727" s="2" t="s">
        <v>24</v>
      </c>
      <c r="D727" s="2" t="s">
        <v>571</v>
      </c>
      <c r="E727" s="2" t="s">
        <v>76</v>
      </c>
      <c r="F727" s="2" t="s">
        <v>75</v>
      </c>
      <c r="G727" s="2" t="s">
        <v>16</v>
      </c>
      <c r="H727" s="2" t="s">
        <v>572</v>
      </c>
      <c r="I727" s="2" t="s">
        <v>16</v>
      </c>
      <c r="J727" s="2" t="s">
        <v>26</v>
      </c>
    </row>
    <row r="728" spans="1:10" x14ac:dyDescent="0.35">
      <c r="A728" s="2" t="s">
        <v>10</v>
      </c>
      <c r="B728" s="2" t="s">
        <v>570</v>
      </c>
      <c r="C728" s="2" t="s">
        <v>24</v>
      </c>
      <c r="D728" s="2" t="s">
        <v>571</v>
      </c>
      <c r="E728" s="2" t="s">
        <v>38</v>
      </c>
      <c r="F728" s="2" t="s">
        <v>38</v>
      </c>
      <c r="G728" s="2"/>
      <c r="H728" s="2"/>
      <c r="I728" s="2" t="s">
        <v>16</v>
      </c>
      <c r="J728" s="2" t="s">
        <v>17</v>
      </c>
    </row>
    <row r="729" spans="1:10" x14ac:dyDescent="0.35">
      <c r="A729" s="2" t="s">
        <v>10</v>
      </c>
      <c r="B729" s="2" t="s">
        <v>570</v>
      </c>
      <c r="C729" s="2" t="s">
        <v>24</v>
      </c>
      <c r="D729" s="2" t="s">
        <v>571</v>
      </c>
      <c r="E729" s="2" t="s">
        <v>35</v>
      </c>
      <c r="F729" s="2" t="s">
        <v>36</v>
      </c>
      <c r="G729" s="2"/>
      <c r="H729" s="2"/>
      <c r="I729" s="2" t="s">
        <v>16</v>
      </c>
      <c r="J729" s="2" t="s">
        <v>17</v>
      </c>
    </row>
    <row r="730" spans="1:10" x14ac:dyDescent="0.35">
      <c r="A730" s="2" t="s">
        <v>10</v>
      </c>
      <c r="B730" s="2" t="s">
        <v>570</v>
      </c>
      <c r="C730" s="2" t="s">
        <v>24</v>
      </c>
      <c r="D730" s="2" t="s">
        <v>571</v>
      </c>
      <c r="E730" s="2" t="s">
        <v>91</v>
      </c>
      <c r="F730" s="2" t="s">
        <v>19</v>
      </c>
      <c r="G730" s="2" t="s">
        <v>16</v>
      </c>
      <c r="H730" s="2" t="s">
        <v>572</v>
      </c>
      <c r="I730" s="2" t="s">
        <v>16</v>
      </c>
      <c r="J730" s="2" t="s">
        <v>26</v>
      </c>
    </row>
    <row r="731" spans="1:10" x14ac:dyDescent="0.35">
      <c r="A731" s="2" t="s">
        <v>10</v>
      </c>
      <c r="B731" s="2" t="s">
        <v>570</v>
      </c>
      <c r="C731" s="2" t="s">
        <v>24</v>
      </c>
      <c r="D731" s="2" t="s">
        <v>571</v>
      </c>
      <c r="E731" s="2" t="s">
        <v>87</v>
      </c>
      <c r="F731" s="2" t="s">
        <v>75</v>
      </c>
      <c r="G731" s="2" t="s">
        <v>16</v>
      </c>
      <c r="H731" s="2" t="s">
        <v>572</v>
      </c>
      <c r="I731" s="2" t="s">
        <v>16</v>
      </c>
      <c r="J731" s="2" t="s">
        <v>26</v>
      </c>
    </row>
    <row r="732" spans="1:10" x14ac:dyDescent="0.35">
      <c r="A732" s="2" t="s">
        <v>10</v>
      </c>
      <c r="B732" s="2" t="s">
        <v>570</v>
      </c>
      <c r="C732" s="2" t="s">
        <v>24</v>
      </c>
      <c r="D732" s="2" t="s">
        <v>571</v>
      </c>
      <c r="E732" s="2" t="s">
        <v>126</v>
      </c>
      <c r="F732" s="2" t="s">
        <v>36</v>
      </c>
      <c r="G732" s="2"/>
      <c r="H732" s="2"/>
      <c r="I732" s="2" t="s">
        <v>16</v>
      </c>
      <c r="J732" s="2" t="s">
        <v>17</v>
      </c>
    </row>
    <row r="733" spans="1:10" x14ac:dyDescent="0.35">
      <c r="A733" s="2" t="s">
        <v>10</v>
      </c>
      <c r="B733" s="2" t="s">
        <v>570</v>
      </c>
      <c r="C733" s="2" t="s">
        <v>24</v>
      </c>
      <c r="D733" s="2" t="s">
        <v>571</v>
      </c>
      <c r="E733" s="2" t="s">
        <v>149</v>
      </c>
      <c r="F733" s="2" t="s">
        <v>150</v>
      </c>
      <c r="G733" s="2" t="s">
        <v>16</v>
      </c>
      <c r="H733" s="2" t="s">
        <v>301</v>
      </c>
      <c r="I733" s="2" t="s">
        <v>16</v>
      </c>
      <c r="J733" s="2" t="s">
        <v>26</v>
      </c>
    </row>
    <row r="734" spans="1:10" x14ac:dyDescent="0.35">
      <c r="A734" s="3" t="s">
        <v>10</v>
      </c>
      <c r="B734" s="3" t="s">
        <v>573</v>
      </c>
      <c r="C734" s="3" t="s">
        <v>57</v>
      </c>
      <c r="D734" s="3" t="s">
        <v>574</v>
      </c>
      <c r="E734" s="3" t="s">
        <v>120</v>
      </c>
      <c r="F734" s="3" t="s">
        <v>32</v>
      </c>
      <c r="G734" s="3"/>
      <c r="H734" s="3"/>
      <c r="I734" s="3"/>
      <c r="J734" s="3"/>
    </row>
    <row r="735" spans="1:10" x14ac:dyDescent="0.35">
      <c r="A735" s="3" t="s">
        <v>10</v>
      </c>
      <c r="B735" s="3" t="s">
        <v>573</v>
      </c>
      <c r="C735" s="3" t="s">
        <v>57</v>
      </c>
      <c r="D735" s="3" t="s">
        <v>574</v>
      </c>
      <c r="E735" s="3" t="s">
        <v>121</v>
      </c>
      <c r="F735" s="3" t="s">
        <v>122</v>
      </c>
      <c r="G735" s="3"/>
      <c r="H735" s="3"/>
      <c r="I735" s="3"/>
      <c r="J735" s="3"/>
    </row>
    <row r="736" spans="1:10" x14ac:dyDescent="0.35">
      <c r="A736" s="3" t="s">
        <v>10</v>
      </c>
      <c r="B736" s="3" t="s">
        <v>573</v>
      </c>
      <c r="C736" s="3" t="s">
        <v>57</v>
      </c>
      <c r="D736" s="3" t="s">
        <v>574</v>
      </c>
      <c r="E736" s="3" t="s">
        <v>35</v>
      </c>
      <c r="F736" s="3" t="s">
        <v>36</v>
      </c>
      <c r="G736" s="3"/>
      <c r="H736" s="3"/>
      <c r="I736" s="3"/>
      <c r="J736" s="3"/>
    </row>
    <row r="737" spans="1:10" x14ac:dyDescent="0.35">
      <c r="A737" s="3" t="s">
        <v>10</v>
      </c>
      <c r="B737" s="3" t="s">
        <v>573</v>
      </c>
      <c r="C737" s="3" t="s">
        <v>57</v>
      </c>
      <c r="D737" s="3" t="s">
        <v>574</v>
      </c>
      <c r="E737" s="3" t="s">
        <v>39</v>
      </c>
      <c r="F737" s="3" t="s">
        <v>40</v>
      </c>
      <c r="G737" s="3"/>
      <c r="H737" s="3"/>
      <c r="I737" s="3"/>
      <c r="J737" s="3"/>
    </row>
    <row r="738" spans="1:10" x14ac:dyDescent="0.35">
      <c r="A738" s="3" t="s">
        <v>10</v>
      </c>
      <c r="B738" s="3" t="s">
        <v>573</v>
      </c>
      <c r="C738" s="3" t="s">
        <v>57</v>
      </c>
      <c r="D738" s="3" t="s">
        <v>574</v>
      </c>
      <c r="E738" s="3" t="s">
        <v>188</v>
      </c>
      <c r="F738" s="3" t="s">
        <v>189</v>
      </c>
      <c r="G738" s="3"/>
      <c r="H738" s="3"/>
      <c r="I738" s="3"/>
      <c r="J738" s="3"/>
    </row>
    <row r="739" spans="1:10" x14ac:dyDescent="0.35">
      <c r="A739" s="3" t="s">
        <v>10</v>
      </c>
      <c r="B739" s="3" t="s">
        <v>575</v>
      </c>
      <c r="C739" s="3" t="s">
        <v>54</v>
      </c>
      <c r="D739" s="3" t="s">
        <v>576</v>
      </c>
      <c r="E739" s="3" t="s">
        <v>27</v>
      </c>
      <c r="F739" s="3" t="s">
        <v>28</v>
      </c>
      <c r="G739" s="3" t="s">
        <v>20</v>
      </c>
      <c r="H739" s="3" t="s">
        <v>577</v>
      </c>
      <c r="I739" s="3" t="s">
        <v>16</v>
      </c>
      <c r="J739" s="3" t="s">
        <v>578</v>
      </c>
    </row>
    <row r="740" spans="1:10" x14ac:dyDescent="0.35">
      <c r="A740" s="2" t="s">
        <v>10</v>
      </c>
      <c r="B740" s="2" t="s">
        <v>575</v>
      </c>
      <c r="C740" s="2" t="s">
        <v>54</v>
      </c>
      <c r="D740" s="2" t="s">
        <v>576</v>
      </c>
      <c r="E740" s="3" t="s">
        <v>35</v>
      </c>
      <c r="F740" s="2" t="s">
        <v>36</v>
      </c>
      <c r="G740" s="2" t="s">
        <v>20</v>
      </c>
      <c r="H740" s="2" t="s">
        <v>577</v>
      </c>
      <c r="I740" s="2" t="s">
        <v>16</v>
      </c>
      <c r="J740" s="2" t="s">
        <v>578</v>
      </c>
    </row>
    <row r="741" spans="1:10" x14ac:dyDescent="0.35">
      <c r="A741" s="2" t="s">
        <v>10</v>
      </c>
      <c r="B741" s="2" t="s">
        <v>575</v>
      </c>
      <c r="C741" s="2" t="s">
        <v>54</v>
      </c>
      <c r="D741" s="2" t="s">
        <v>576</v>
      </c>
      <c r="E741" s="3" t="s">
        <v>77</v>
      </c>
      <c r="F741" s="2" t="s">
        <v>78</v>
      </c>
      <c r="G741" s="2" t="s">
        <v>20</v>
      </c>
      <c r="H741" s="2" t="s">
        <v>577</v>
      </c>
      <c r="I741" s="2" t="s">
        <v>16</v>
      </c>
      <c r="J741" s="2" t="s">
        <v>578</v>
      </c>
    </row>
    <row r="742" spans="1:10" x14ac:dyDescent="0.35">
      <c r="A742" s="2" t="s">
        <v>10</v>
      </c>
      <c r="B742" s="2" t="s">
        <v>575</v>
      </c>
      <c r="C742" s="2" t="s">
        <v>12</v>
      </c>
      <c r="D742" s="2" t="s">
        <v>579</v>
      </c>
      <c r="E742" s="2" t="s">
        <v>91</v>
      </c>
      <c r="F742" s="2" t="s">
        <v>19</v>
      </c>
      <c r="G742" s="2" t="s">
        <v>16</v>
      </c>
      <c r="H742" s="2" t="s">
        <v>580</v>
      </c>
      <c r="I742" s="2" t="s">
        <v>16</v>
      </c>
      <c r="J742" s="2" t="s">
        <v>95</v>
      </c>
    </row>
    <row r="743" spans="1:10" x14ac:dyDescent="0.35">
      <c r="A743" s="2" t="s">
        <v>10</v>
      </c>
      <c r="B743" s="2" t="s">
        <v>575</v>
      </c>
      <c r="C743" s="2" t="s">
        <v>12</v>
      </c>
      <c r="D743" s="2" t="s">
        <v>579</v>
      </c>
      <c r="E743" s="2" t="s">
        <v>77</v>
      </c>
      <c r="F743" s="2" t="s">
        <v>78</v>
      </c>
      <c r="G743" s="2"/>
      <c r="H743" s="2"/>
      <c r="I743" s="2"/>
      <c r="J743" s="2"/>
    </row>
    <row r="744" spans="1:10" x14ac:dyDescent="0.35">
      <c r="A744" s="2" t="s">
        <v>10</v>
      </c>
      <c r="B744" s="2" t="s">
        <v>575</v>
      </c>
      <c r="C744" s="2" t="s">
        <v>12</v>
      </c>
      <c r="D744" s="2" t="s">
        <v>581</v>
      </c>
      <c r="E744" s="2" t="s">
        <v>144</v>
      </c>
      <c r="F744" s="2" t="s">
        <v>50</v>
      </c>
      <c r="G744" s="2"/>
      <c r="H744" s="2"/>
      <c r="I744" s="2" t="s">
        <v>16</v>
      </c>
      <c r="J744" s="2" t="s">
        <v>81</v>
      </c>
    </row>
    <row r="745" spans="1:10" x14ac:dyDescent="0.35">
      <c r="A745" s="2" t="s">
        <v>10</v>
      </c>
      <c r="B745" s="2" t="s">
        <v>575</v>
      </c>
      <c r="C745" s="2" t="s">
        <v>12</v>
      </c>
      <c r="D745" s="2" t="s">
        <v>581</v>
      </c>
      <c r="E745" s="2" t="s">
        <v>18</v>
      </c>
      <c r="F745" s="2" t="s">
        <v>19</v>
      </c>
      <c r="G745" s="2"/>
      <c r="H745" s="2" t="s">
        <v>582</v>
      </c>
      <c r="I745" s="2" t="s">
        <v>16</v>
      </c>
      <c r="J745" s="2" t="s">
        <v>81</v>
      </c>
    </row>
    <row r="746" spans="1:10" x14ac:dyDescent="0.35">
      <c r="A746" s="2" t="s">
        <v>10</v>
      </c>
      <c r="B746" s="2" t="s">
        <v>575</v>
      </c>
      <c r="C746" s="2" t="s">
        <v>12</v>
      </c>
      <c r="D746" s="2" t="s">
        <v>583</v>
      </c>
      <c r="E746" s="2" t="s">
        <v>14</v>
      </c>
      <c r="F746" s="2" t="s">
        <v>15</v>
      </c>
      <c r="G746" s="2"/>
      <c r="H746" s="2"/>
      <c r="I746" s="2" t="s">
        <v>16</v>
      </c>
      <c r="J746" s="2" t="s">
        <v>95</v>
      </c>
    </row>
    <row r="747" spans="1:10" x14ac:dyDescent="0.35">
      <c r="A747" s="2" t="s">
        <v>10</v>
      </c>
      <c r="B747" s="2" t="s">
        <v>575</v>
      </c>
      <c r="C747" s="2" t="s">
        <v>12</v>
      </c>
      <c r="D747" s="2" t="s">
        <v>583</v>
      </c>
      <c r="E747" s="2" t="s">
        <v>121</v>
      </c>
      <c r="F747" s="2" t="s">
        <v>122</v>
      </c>
      <c r="G747" s="2" t="s">
        <v>16</v>
      </c>
      <c r="H747" s="2" t="s">
        <v>584</v>
      </c>
      <c r="I747" s="2" t="s">
        <v>16</v>
      </c>
      <c r="J747" s="2" t="s">
        <v>95</v>
      </c>
    </row>
    <row r="748" spans="1:10" x14ac:dyDescent="0.35">
      <c r="A748" s="2" t="s">
        <v>10</v>
      </c>
      <c r="B748" s="2" t="s">
        <v>575</v>
      </c>
      <c r="C748" s="2" t="s">
        <v>12</v>
      </c>
      <c r="D748" s="2" t="s">
        <v>583</v>
      </c>
      <c r="E748" s="2" t="s">
        <v>18</v>
      </c>
      <c r="F748" s="2" t="s">
        <v>19</v>
      </c>
      <c r="G748" s="2"/>
      <c r="H748" s="2"/>
      <c r="I748" s="2" t="s">
        <v>16</v>
      </c>
      <c r="J748" s="2" t="s">
        <v>95</v>
      </c>
    </row>
    <row r="749" spans="1:10" x14ac:dyDescent="0.35">
      <c r="A749" s="2" t="s">
        <v>10</v>
      </c>
      <c r="B749" s="2" t="s">
        <v>575</v>
      </c>
      <c r="C749" s="2" t="s">
        <v>12</v>
      </c>
      <c r="D749" s="2" t="s">
        <v>583</v>
      </c>
      <c r="E749" s="2" t="s">
        <v>89</v>
      </c>
      <c r="F749" s="2" t="s">
        <v>45</v>
      </c>
      <c r="G749" s="2"/>
      <c r="H749" s="2"/>
      <c r="I749" s="2" t="s">
        <v>16</v>
      </c>
      <c r="J749" s="2" t="s">
        <v>95</v>
      </c>
    </row>
    <row r="750" spans="1:10" x14ac:dyDescent="0.35">
      <c r="A750" s="2" t="s">
        <v>10</v>
      </c>
      <c r="B750" s="2" t="s">
        <v>575</v>
      </c>
      <c r="C750" s="2" t="s">
        <v>12</v>
      </c>
      <c r="D750" s="2" t="s">
        <v>583</v>
      </c>
      <c r="E750" s="2" t="s">
        <v>193</v>
      </c>
      <c r="F750" s="2" t="s">
        <v>40</v>
      </c>
      <c r="G750" s="2"/>
      <c r="H750" s="2"/>
      <c r="I750" s="2" t="s">
        <v>16</v>
      </c>
      <c r="J750" s="2" t="s">
        <v>95</v>
      </c>
    </row>
    <row r="751" spans="1:10" x14ac:dyDescent="0.35">
      <c r="A751" s="2" t="s">
        <v>10</v>
      </c>
      <c r="B751" s="2" t="s">
        <v>575</v>
      </c>
      <c r="C751" s="2" t="s">
        <v>24</v>
      </c>
      <c r="D751" s="2" t="s">
        <v>585</v>
      </c>
      <c r="E751" s="2" t="s">
        <v>27</v>
      </c>
      <c r="F751" s="2" t="s">
        <v>28</v>
      </c>
      <c r="G751" s="2"/>
      <c r="H751" s="2"/>
      <c r="I751" s="2" t="s">
        <v>16</v>
      </c>
      <c r="J751" s="2" t="s">
        <v>81</v>
      </c>
    </row>
    <row r="752" spans="1:10" x14ac:dyDescent="0.35">
      <c r="A752" s="2" t="s">
        <v>10</v>
      </c>
      <c r="B752" s="2" t="s">
        <v>575</v>
      </c>
      <c r="C752" s="2" t="s">
        <v>24</v>
      </c>
      <c r="D752" s="2" t="s">
        <v>585</v>
      </c>
      <c r="E752" s="2" t="s">
        <v>89</v>
      </c>
      <c r="F752" s="2" t="s">
        <v>45</v>
      </c>
      <c r="G752" s="2"/>
      <c r="H752" s="2"/>
      <c r="I752" s="2" t="s">
        <v>16</v>
      </c>
      <c r="J752" s="2" t="s">
        <v>81</v>
      </c>
    </row>
    <row r="753" spans="1:10" x14ac:dyDescent="0.35">
      <c r="A753" s="2" t="s">
        <v>10</v>
      </c>
      <c r="B753" s="2" t="s">
        <v>575</v>
      </c>
      <c r="C753" s="2" t="s">
        <v>57</v>
      </c>
      <c r="D753" s="2" t="s">
        <v>586</v>
      </c>
      <c r="E753" s="2" t="s">
        <v>14</v>
      </c>
      <c r="F753" s="2" t="s">
        <v>15</v>
      </c>
      <c r="G753" s="2"/>
      <c r="H753" s="2"/>
      <c r="I753" s="2" t="s">
        <v>16</v>
      </c>
      <c r="J753" s="2" t="s">
        <v>95</v>
      </c>
    </row>
    <row r="754" spans="1:10" x14ac:dyDescent="0.35">
      <c r="A754" s="2" t="s">
        <v>10</v>
      </c>
      <c r="B754" s="2" t="s">
        <v>575</v>
      </c>
      <c r="C754" s="2" t="s">
        <v>57</v>
      </c>
      <c r="D754" s="2" t="s">
        <v>586</v>
      </c>
      <c r="E754" s="2" t="s">
        <v>27</v>
      </c>
      <c r="F754" s="2" t="s">
        <v>28</v>
      </c>
      <c r="G754" s="2"/>
      <c r="H754" s="2"/>
      <c r="I754" s="2" t="s">
        <v>16</v>
      </c>
      <c r="J754" s="2" t="s">
        <v>95</v>
      </c>
    </row>
    <row r="755" spans="1:10" x14ac:dyDescent="0.35">
      <c r="A755" s="2" t="s">
        <v>10</v>
      </c>
      <c r="B755" s="2" t="s">
        <v>575</v>
      </c>
      <c r="C755" s="2" t="s">
        <v>57</v>
      </c>
      <c r="D755" s="2" t="s">
        <v>586</v>
      </c>
      <c r="E755" s="2" t="s">
        <v>59</v>
      </c>
      <c r="F755" s="2" t="s">
        <v>60</v>
      </c>
      <c r="G755" s="2"/>
      <c r="H755" s="2"/>
      <c r="I755" s="2" t="s">
        <v>16</v>
      </c>
      <c r="J755" s="2" t="s">
        <v>95</v>
      </c>
    </row>
    <row r="756" spans="1:10" x14ac:dyDescent="0.35">
      <c r="A756" s="2" t="s">
        <v>10</v>
      </c>
      <c r="B756" s="2" t="s">
        <v>575</v>
      </c>
      <c r="C756" s="2" t="s">
        <v>57</v>
      </c>
      <c r="D756" s="2" t="s">
        <v>586</v>
      </c>
      <c r="E756" s="2" t="s">
        <v>38</v>
      </c>
      <c r="F756" s="2" t="s">
        <v>38</v>
      </c>
      <c r="G756" s="2"/>
      <c r="H756" s="2"/>
      <c r="I756" s="2" t="s">
        <v>16</v>
      </c>
      <c r="J756" s="2" t="s">
        <v>95</v>
      </c>
    </row>
    <row r="757" spans="1:10" x14ac:dyDescent="0.35">
      <c r="A757" s="2" t="s">
        <v>10</v>
      </c>
      <c r="B757" s="2" t="s">
        <v>575</v>
      </c>
      <c r="C757" s="2" t="s">
        <v>57</v>
      </c>
      <c r="D757" s="2" t="s">
        <v>586</v>
      </c>
      <c r="E757" s="2" t="s">
        <v>35</v>
      </c>
      <c r="F757" s="2" t="s">
        <v>36</v>
      </c>
      <c r="G757" s="2"/>
      <c r="H757" s="2"/>
      <c r="I757" s="2" t="s">
        <v>16</v>
      </c>
      <c r="J757" s="2" t="s">
        <v>95</v>
      </c>
    </row>
    <row r="758" spans="1:10" x14ac:dyDescent="0.35">
      <c r="A758" s="2" t="s">
        <v>10</v>
      </c>
      <c r="B758" s="2" t="s">
        <v>575</v>
      </c>
      <c r="C758" s="2" t="s">
        <v>57</v>
      </c>
      <c r="D758" s="2" t="s">
        <v>586</v>
      </c>
      <c r="E758" s="2" t="s">
        <v>18</v>
      </c>
      <c r="F758" s="2" t="s">
        <v>19</v>
      </c>
      <c r="G758" s="2" t="s">
        <v>16</v>
      </c>
      <c r="H758" s="2" t="s">
        <v>587</v>
      </c>
      <c r="I758" s="2" t="s">
        <v>16</v>
      </c>
      <c r="J758" s="2" t="s">
        <v>95</v>
      </c>
    </row>
    <row r="759" spans="1:10" x14ac:dyDescent="0.35">
      <c r="A759" s="2" t="s">
        <v>10</v>
      </c>
      <c r="B759" s="2" t="s">
        <v>575</v>
      </c>
      <c r="C759" s="2" t="s">
        <v>57</v>
      </c>
      <c r="D759" s="2" t="s">
        <v>586</v>
      </c>
      <c r="E759" s="2" t="s">
        <v>61</v>
      </c>
      <c r="F759" s="2" t="s">
        <v>30</v>
      </c>
      <c r="G759" s="2"/>
      <c r="H759" s="2"/>
      <c r="I759" s="2" t="s">
        <v>16</v>
      </c>
      <c r="J759" s="2" t="s">
        <v>95</v>
      </c>
    </row>
    <row r="760" spans="1:10" x14ac:dyDescent="0.35">
      <c r="A760" s="2" t="s">
        <v>10</v>
      </c>
      <c r="B760" s="2" t="s">
        <v>575</v>
      </c>
      <c r="C760" s="2" t="s">
        <v>57</v>
      </c>
      <c r="D760" s="2" t="s">
        <v>586</v>
      </c>
      <c r="E760" s="2" t="s">
        <v>112</v>
      </c>
      <c r="F760" s="2" t="s">
        <v>113</v>
      </c>
      <c r="G760" s="2"/>
      <c r="H760" s="2"/>
      <c r="I760" s="2" t="s">
        <v>16</v>
      </c>
      <c r="J760" s="2" t="s">
        <v>95</v>
      </c>
    </row>
    <row r="761" spans="1:10" x14ac:dyDescent="0.35">
      <c r="A761" s="2" t="s">
        <v>10</v>
      </c>
      <c r="B761" s="2" t="s">
        <v>575</v>
      </c>
      <c r="C761" s="2" t="s">
        <v>24</v>
      </c>
      <c r="D761" s="2" t="s">
        <v>588</v>
      </c>
      <c r="E761" s="2" t="s">
        <v>14</v>
      </c>
      <c r="F761" s="2" t="s">
        <v>15</v>
      </c>
      <c r="G761" s="2"/>
      <c r="H761" s="2"/>
      <c r="I761" s="2" t="s">
        <v>16</v>
      </c>
      <c r="J761" s="2" t="s">
        <v>81</v>
      </c>
    </row>
    <row r="762" spans="1:10" x14ac:dyDescent="0.35">
      <c r="A762" s="2" t="s">
        <v>10</v>
      </c>
      <c r="B762" s="2" t="s">
        <v>575</v>
      </c>
      <c r="C762" s="2" t="s">
        <v>24</v>
      </c>
      <c r="D762" s="2" t="s">
        <v>588</v>
      </c>
      <c r="E762" s="2" t="s">
        <v>27</v>
      </c>
      <c r="F762" s="2" t="s">
        <v>28</v>
      </c>
      <c r="G762" s="2"/>
      <c r="H762" s="2"/>
      <c r="I762" s="2" t="s">
        <v>16</v>
      </c>
      <c r="J762" s="2" t="s">
        <v>81</v>
      </c>
    </row>
    <row r="763" spans="1:10" x14ac:dyDescent="0.35">
      <c r="A763" s="2" t="s">
        <v>10</v>
      </c>
      <c r="B763" s="2" t="s">
        <v>575</v>
      </c>
      <c r="C763" s="2" t="s">
        <v>24</v>
      </c>
      <c r="D763" s="2" t="s">
        <v>588</v>
      </c>
      <c r="E763" s="2" t="s">
        <v>38</v>
      </c>
      <c r="F763" s="2" t="s">
        <v>38</v>
      </c>
      <c r="G763" s="2"/>
      <c r="H763" s="2"/>
      <c r="I763" s="2" t="s">
        <v>16</v>
      </c>
      <c r="J763" s="2" t="s">
        <v>81</v>
      </c>
    </row>
    <row r="764" spans="1:10" x14ac:dyDescent="0.35">
      <c r="A764" s="2" t="s">
        <v>10</v>
      </c>
      <c r="B764" s="2" t="s">
        <v>575</v>
      </c>
      <c r="C764" s="2" t="s">
        <v>24</v>
      </c>
      <c r="D764" s="2" t="s">
        <v>588</v>
      </c>
      <c r="E764" s="2" t="s">
        <v>35</v>
      </c>
      <c r="F764" s="2" t="s">
        <v>36</v>
      </c>
      <c r="G764" s="2"/>
      <c r="H764" s="2"/>
      <c r="I764" s="2" t="s">
        <v>16</v>
      </c>
      <c r="J764" s="2" t="s">
        <v>81</v>
      </c>
    </row>
    <row r="765" spans="1:10" x14ac:dyDescent="0.35">
      <c r="A765" s="2" t="s">
        <v>10</v>
      </c>
      <c r="B765" s="2" t="s">
        <v>575</v>
      </c>
      <c r="C765" s="2" t="s">
        <v>24</v>
      </c>
      <c r="D765" s="2" t="s">
        <v>588</v>
      </c>
      <c r="E765" s="2" t="s">
        <v>61</v>
      </c>
      <c r="F765" s="2" t="s">
        <v>30</v>
      </c>
      <c r="G765" s="2"/>
      <c r="H765" s="2"/>
      <c r="I765" s="2" t="s">
        <v>16</v>
      </c>
      <c r="J765" s="2" t="s">
        <v>81</v>
      </c>
    </row>
    <row r="766" spans="1:10" x14ac:dyDescent="0.35">
      <c r="A766" s="2" t="s">
        <v>10</v>
      </c>
      <c r="B766" s="2" t="s">
        <v>575</v>
      </c>
      <c r="C766" s="2" t="s">
        <v>24</v>
      </c>
      <c r="D766" s="2" t="s">
        <v>588</v>
      </c>
      <c r="E766" s="2" t="s">
        <v>100</v>
      </c>
      <c r="F766" s="2" t="s">
        <v>101</v>
      </c>
      <c r="G766" s="2"/>
      <c r="H766" s="2"/>
      <c r="I766" s="2"/>
      <c r="J766" s="2"/>
    </row>
    <row r="767" spans="1:10" x14ac:dyDescent="0.35">
      <c r="A767" s="2" t="s">
        <v>10</v>
      </c>
      <c r="B767" s="2" t="s">
        <v>575</v>
      </c>
      <c r="C767" s="2" t="s">
        <v>24</v>
      </c>
      <c r="D767" s="2" t="s">
        <v>589</v>
      </c>
      <c r="E767" s="2" t="s">
        <v>14</v>
      </c>
      <c r="F767" s="2" t="s">
        <v>15</v>
      </c>
      <c r="G767" s="2"/>
      <c r="H767" s="2"/>
      <c r="I767" s="2" t="s">
        <v>16</v>
      </c>
      <c r="J767" s="2" t="s">
        <v>95</v>
      </c>
    </row>
    <row r="768" spans="1:10" x14ac:dyDescent="0.35">
      <c r="A768" s="2" t="s">
        <v>10</v>
      </c>
      <c r="B768" s="2" t="s">
        <v>575</v>
      </c>
      <c r="C768" s="2" t="s">
        <v>24</v>
      </c>
      <c r="D768" s="2" t="s">
        <v>589</v>
      </c>
      <c r="E768" s="2" t="s">
        <v>27</v>
      </c>
      <c r="F768" s="2" t="s">
        <v>28</v>
      </c>
      <c r="G768" s="2"/>
      <c r="H768" s="2"/>
      <c r="I768" s="2" t="s">
        <v>16</v>
      </c>
      <c r="J768" s="2" t="s">
        <v>95</v>
      </c>
    </row>
    <row r="769" spans="1:10" x14ac:dyDescent="0.35">
      <c r="A769" s="2" t="s">
        <v>10</v>
      </c>
      <c r="B769" s="2" t="s">
        <v>575</v>
      </c>
      <c r="C769" s="2" t="s">
        <v>24</v>
      </c>
      <c r="D769" s="2" t="s">
        <v>589</v>
      </c>
      <c r="E769" s="2" t="s">
        <v>76</v>
      </c>
      <c r="F769" s="2" t="s">
        <v>75</v>
      </c>
      <c r="G769" s="2" t="s">
        <v>16</v>
      </c>
      <c r="H769" s="2" t="s">
        <v>590</v>
      </c>
      <c r="I769" s="2" t="s">
        <v>16</v>
      </c>
      <c r="J769" s="2" t="s">
        <v>95</v>
      </c>
    </row>
    <row r="770" spans="1:10" x14ac:dyDescent="0.35">
      <c r="A770" s="2" t="s">
        <v>10</v>
      </c>
      <c r="B770" s="2" t="s">
        <v>575</v>
      </c>
      <c r="C770" s="2" t="s">
        <v>24</v>
      </c>
      <c r="D770" s="2" t="s">
        <v>589</v>
      </c>
      <c r="E770" s="2" t="s">
        <v>98</v>
      </c>
      <c r="F770" s="2" t="s">
        <v>98</v>
      </c>
      <c r="G770" s="2"/>
      <c r="H770" s="2"/>
      <c r="I770" s="2" t="s">
        <v>16</v>
      </c>
      <c r="J770" s="2" t="s">
        <v>95</v>
      </c>
    </row>
    <row r="771" spans="1:10" x14ac:dyDescent="0.35">
      <c r="A771" s="2" t="s">
        <v>10</v>
      </c>
      <c r="B771" s="2" t="s">
        <v>575</v>
      </c>
      <c r="C771" s="2" t="s">
        <v>24</v>
      </c>
      <c r="D771" s="2" t="s">
        <v>589</v>
      </c>
      <c r="E771" s="2" t="s">
        <v>35</v>
      </c>
      <c r="F771" s="2" t="s">
        <v>36</v>
      </c>
      <c r="G771" s="2"/>
      <c r="H771" s="2"/>
      <c r="I771" s="2" t="s">
        <v>16</v>
      </c>
      <c r="J771" s="2" t="s">
        <v>578</v>
      </c>
    </row>
    <row r="772" spans="1:10" x14ac:dyDescent="0.35">
      <c r="A772" s="2" t="s">
        <v>10</v>
      </c>
      <c r="B772" s="2" t="s">
        <v>575</v>
      </c>
      <c r="C772" s="2" t="s">
        <v>24</v>
      </c>
      <c r="D772" s="2" t="s">
        <v>589</v>
      </c>
      <c r="E772" s="2" t="s">
        <v>168</v>
      </c>
      <c r="F772" s="2" t="s">
        <v>45</v>
      </c>
      <c r="G772" s="2" t="s">
        <v>16</v>
      </c>
      <c r="H772" s="2" t="s">
        <v>591</v>
      </c>
      <c r="I772" s="2" t="s">
        <v>16</v>
      </c>
      <c r="J772" s="2" t="s">
        <v>95</v>
      </c>
    </row>
    <row r="773" spans="1:10" x14ac:dyDescent="0.35">
      <c r="A773" s="2" t="s">
        <v>10</v>
      </c>
      <c r="B773" s="2" t="s">
        <v>575</v>
      </c>
      <c r="C773" s="2" t="s">
        <v>24</v>
      </c>
      <c r="D773" s="2" t="s">
        <v>589</v>
      </c>
      <c r="E773" s="2" t="s">
        <v>77</v>
      </c>
      <c r="F773" s="2" t="s">
        <v>78</v>
      </c>
      <c r="G773" s="2"/>
      <c r="H773" s="2"/>
      <c r="I773" s="2" t="s">
        <v>16</v>
      </c>
      <c r="J773" s="2" t="s">
        <v>95</v>
      </c>
    </row>
    <row r="774" spans="1:10" x14ac:dyDescent="0.35">
      <c r="A774" s="2" t="s">
        <v>10</v>
      </c>
      <c r="B774" s="2" t="s">
        <v>575</v>
      </c>
      <c r="C774" s="2" t="s">
        <v>24</v>
      </c>
      <c r="D774" s="2" t="s">
        <v>589</v>
      </c>
      <c r="E774" s="2" t="s">
        <v>61</v>
      </c>
      <c r="F774" s="2" t="s">
        <v>30</v>
      </c>
      <c r="G774" s="2"/>
      <c r="H774" s="2"/>
      <c r="I774" s="2" t="s">
        <v>16</v>
      </c>
      <c r="J774" s="2" t="s">
        <v>95</v>
      </c>
    </row>
    <row r="775" spans="1:10" x14ac:dyDescent="0.35">
      <c r="A775" s="2" t="s">
        <v>10</v>
      </c>
      <c r="B775" s="2" t="s">
        <v>575</v>
      </c>
      <c r="C775" s="2" t="s">
        <v>24</v>
      </c>
      <c r="D775" s="2" t="s">
        <v>589</v>
      </c>
      <c r="E775" s="2" t="s">
        <v>100</v>
      </c>
      <c r="F775" s="2" t="s">
        <v>101</v>
      </c>
      <c r="G775" s="2"/>
      <c r="H775" s="2"/>
      <c r="I775" s="2" t="s">
        <v>16</v>
      </c>
      <c r="J775" s="2" t="s">
        <v>95</v>
      </c>
    </row>
    <row r="776" spans="1:10" x14ac:dyDescent="0.35">
      <c r="A776" s="2" t="s">
        <v>10</v>
      </c>
      <c r="B776" s="2" t="s">
        <v>575</v>
      </c>
      <c r="C776" s="2" t="s">
        <v>24</v>
      </c>
      <c r="D776" s="2" t="s">
        <v>589</v>
      </c>
      <c r="E776" s="2" t="s">
        <v>592</v>
      </c>
      <c r="F776" s="2" t="s">
        <v>189</v>
      </c>
      <c r="G776" s="2"/>
      <c r="H776" s="2"/>
      <c r="I776" s="2" t="s">
        <v>16</v>
      </c>
      <c r="J776" s="2" t="s">
        <v>95</v>
      </c>
    </row>
    <row r="777" spans="1:10" x14ac:dyDescent="0.35">
      <c r="A777" s="2" t="s">
        <v>10</v>
      </c>
      <c r="B777" s="2" t="s">
        <v>575</v>
      </c>
      <c r="C777" s="2" t="s">
        <v>24</v>
      </c>
      <c r="D777" s="2" t="s">
        <v>589</v>
      </c>
      <c r="E777" s="2" t="s">
        <v>44</v>
      </c>
      <c r="F777" s="2" t="s">
        <v>45</v>
      </c>
      <c r="G777" s="2" t="s">
        <v>46</v>
      </c>
      <c r="H777" s="2" t="s">
        <v>451</v>
      </c>
      <c r="I777" s="2" t="s">
        <v>16</v>
      </c>
      <c r="J777" s="2" t="s">
        <v>95</v>
      </c>
    </row>
    <row r="778" spans="1:10" x14ac:dyDescent="0.35">
      <c r="A778" s="2" t="s">
        <v>10</v>
      </c>
      <c r="B778" s="2" t="s">
        <v>575</v>
      </c>
      <c r="C778" s="2" t="s">
        <v>12</v>
      </c>
      <c r="D778" s="2" t="s">
        <v>593</v>
      </c>
      <c r="E778" s="2" t="s">
        <v>91</v>
      </c>
      <c r="F778" s="2" t="s">
        <v>19</v>
      </c>
      <c r="G778" s="2" t="s">
        <v>16</v>
      </c>
      <c r="H778" s="2" t="s">
        <v>594</v>
      </c>
      <c r="I778" s="2"/>
      <c r="J778" s="2"/>
    </row>
    <row r="779" spans="1:10" x14ac:dyDescent="0.35">
      <c r="A779" s="2" t="s">
        <v>10</v>
      </c>
      <c r="B779" s="2" t="s">
        <v>575</v>
      </c>
      <c r="C779" s="2" t="s">
        <v>62</v>
      </c>
      <c r="D779" s="2" t="s">
        <v>595</v>
      </c>
      <c r="E779" s="2" t="s">
        <v>18</v>
      </c>
      <c r="F779" s="2" t="s">
        <v>19</v>
      </c>
      <c r="G779" s="2" t="s">
        <v>16</v>
      </c>
      <c r="H779" s="2" t="s">
        <v>596</v>
      </c>
      <c r="I779" s="2"/>
      <c r="J779" s="2"/>
    </row>
    <row r="780" spans="1:10" x14ac:dyDescent="0.35">
      <c r="A780" s="2" t="s">
        <v>10</v>
      </c>
      <c r="B780" s="2" t="s">
        <v>575</v>
      </c>
      <c r="C780" s="2" t="s">
        <v>62</v>
      </c>
      <c r="D780" s="2" t="s">
        <v>595</v>
      </c>
      <c r="E780" s="2" t="s">
        <v>89</v>
      </c>
      <c r="F780" s="2" t="s">
        <v>45</v>
      </c>
      <c r="G780" s="2" t="s">
        <v>16</v>
      </c>
      <c r="H780" s="2" t="s">
        <v>597</v>
      </c>
      <c r="I780" s="2"/>
      <c r="J780" s="2"/>
    </row>
    <row r="781" spans="1:10" x14ac:dyDescent="0.35">
      <c r="A781" s="2" t="s">
        <v>10</v>
      </c>
      <c r="B781" s="2" t="s">
        <v>575</v>
      </c>
      <c r="C781" s="2" t="s">
        <v>54</v>
      </c>
      <c r="D781" s="2" t="s">
        <v>598</v>
      </c>
      <c r="E781" s="2" t="s">
        <v>393</v>
      </c>
      <c r="F781" s="2" t="s">
        <v>36</v>
      </c>
      <c r="G781" s="2" t="s">
        <v>20</v>
      </c>
      <c r="H781" s="2" t="s">
        <v>599</v>
      </c>
      <c r="I781" s="2" t="s">
        <v>16</v>
      </c>
      <c r="J781" s="2" t="s">
        <v>81</v>
      </c>
    </row>
    <row r="782" spans="1:10" x14ac:dyDescent="0.35">
      <c r="A782" s="2" t="s">
        <v>10</v>
      </c>
      <c r="B782" s="2" t="s">
        <v>575</v>
      </c>
      <c r="C782" s="2" t="s">
        <v>54</v>
      </c>
      <c r="D782" s="2" t="s">
        <v>598</v>
      </c>
      <c r="E782" s="2" t="s">
        <v>91</v>
      </c>
      <c r="F782" s="2" t="s">
        <v>19</v>
      </c>
      <c r="G782" s="2" t="s">
        <v>16</v>
      </c>
      <c r="H782" s="2" t="s">
        <v>600</v>
      </c>
      <c r="I782" s="2" t="s">
        <v>16</v>
      </c>
      <c r="J782" s="2" t="s">
        <v>81</v>
      </c>
    </row>
    <row r="783" spans="1:10" x14ac:dyDescent="0.35">
      <c r="A783" s="2" t="s">
        <v>10</v>
      </c>
      <c r="B783" s="2" t="s">
        <v>575</v>
      </c>
      <c r="C783" s="2" t="s">
        <v>54</v>
      </c>
      <c r="D783" s="2" t="s">
        <v>598</v>
      </c>
      <c r="E783" s="2" t="s">
        <v>89</v>
      </c>
      <c r="F783" s="2" t="s">
        <v>45</v>
      </c>
      <c r="G783" s="2" t="s">
        <v>16</v>
      </c>
      <c r="H783" s="2" t="s">
        <v>601</v>
      </c>
      <c r="I783" s="2" t="s">
        <v>16</v>
      </c>
      <c r="J783" s="2" t="s">
        <v>81</v>
      </c>
    </row>
    <row r="784" spans="1:10" x14ac:dyDescent="0.35">
      <c r="A784" s="2" t="s">
        <v>10</v>
      </c>
      <c r="B784" s="2" t="s">
        <v>575</v>
      </c>
      <c r="C784" s="2" t="s">
        <v>54</v>
      </c>
      <c r="D784" s="2" t="s">
        <v>598</v>
      </c>
      <c r="E784" s="2" t="s">
        <v>42</v>
      </c>
      <c r="F784" s="2" t="s">
        <v>43</v>
      </c>
      <c r="G784" s="2"/>
      <c r="H784" s="2"/>
      <c r="I784" s="2" t="s">
        <v>16</v>
      </c>
      <c r="J784" s="2" t="s">
        <v>81</v>
      </c>
    </row>
    <row r="785" spans="1:10" s="21" customFormat="1" x14ac:dyDescent="0.35">
      <c r="A785" s="2" t="s">
        <v>10</v>
      </c>
      <c r="B785" s="2" t="s">
        <v>602</v>
      </c>
      <c r="C785" s="2" t="s">
        <v>57</v>
      </c>
      <c r="D785" s="2" t="s">
        <v>603</v>
      </c>
      <c r="E785" s="2" t="s">
        <v>14</v>
      </c>
      <c r="F785" s="2" t="s">
        <v>15</v>
      </c>
      <c r="G785" s="2"/>
      <c r="H785" s="2"/>
      <c r="I785" s="2"/>
      <c r="J785" s="2"/>
    </row>
    <row r="786" spans="1:10" s="21" customFormat="1" x14ac:dyDescent="0.35">
      <c r="A786" s="2" t="s">
        <v>10</v>
      </c>
      <c r="B786" s="2" t="s">
        <v>602</v>
      </c>
      <c r="C786" s="2" t="s">
        <v>57</v>
      </c>
      <c r="D786" s="2" t="s">
        <v>603</v>
      </c>
      <c r="E786" s="2" t="s">
        <v>144</v>
      </c>
      <c r="F786" s="2" t="s">
        <v>50</v>
      </c>
      <c r="G786" s="2"/>
      <c r="H786" s="2"/>
      <c r="I786" s="2"/>
      <c r="J786" s="2"/>
    </row>
    <row r="787" spans="1:10" s="21" customFormat="1" x14ac:dyDescent="0.35">
      <c r="A787" s="2" t="s">
        <v>10</v>
      </c>
      <c r="B787" s="2" t="s">
        <v>602</v>
      </c>
      <c r="C787" s="2" t="s">
        <v>57</v>
      </c>
      <c r="D787" s="2" t="s">
        <v>603</v>
      </c>
      <c r="E787" s="2" t="s">
        <v>155</v>
      </c>
      <c r="F787" s="2" t="s">
        <v>32</v>
      </c>
      <c r="G787" s="2"/>
      <c r="H787" s="2"/>
      <c r="I787" s="2"/>
      <c r="J787" s="2"/>
    </row>
    <row r="788" spans="1:10" s="21" customFormat="1" x14ac:dyDescent="0.35">
      <c r="A788" s="2" t="s">
        <v>10</v>
      </c>
      <c r="B788" s="2" t="s">
        <v>602</v>
      </c>
      <c r="C788" s="2" t="s">
        <v>57</v>
      </c>
      <c r="D788" s="2" t="s">
        <v>603</v>
      </c>
      <c r="E788" s="2" t="s">
        <v>138</v>
      </c>
      <c r="F788" s="2" t="s">
        <v>139</v>
      </c>
      <c r="G788" s="2"/>
      <c r="H788" s="2"/>
      <c r="I788" s="2"/>
      <c r="J788" s="2"/>
    </row>
    <row r="789" spans="1:10" s="21" customFormat="1" x14ac:dyDescent="0.35">
      <c r="A789" s="2" t="s">
        <v>10</v>
      </c>
      <c r="B789" s="2" t="s">
        <v>602</v>
      </c>
      <c r="C789" s="2" t="s">
        <v>57</v>
      </c>
      <c r="D789" s="2" t="s">
        <v>603</v>
      </c>
      <c r="E789" s="2" t="s">
        <v>211</v>
      </c>
      <c r="F789" s="2" t="s">
        <v>203</v>
      </c>
      <c r="G789" s="2"/>
      <c r="H789" s="2"/>
      <c r="I789" s="2"/>
      <c r="J789" s="2"/>
    </row>
    <row r="790" spans="1:10" s="21" customFormat="1" x14ac:dyDescent="0.35">
      <c r="A790" s="2" t="s">
        <v>10</v>
      </c>
      <c r="B790" s="2" t="s">
        <v>602</v>
      </c>
      <c r="C790" s="2" t="s">
        <v>57</v>
      </c>
      <c r="D790" s="2" t="s">
        <v>603</v>
      </c>
      <c r="E790" s="2" t="s">
        <v>59</v>
      </c>
      <c r="F790" s="2" t="s">
        <v>60</v>
      </c>
      <c r="G790" s="2"/>
      <c r="H790" s="2"/>
      <c r="I790" s="2"/>
      <c r="J790" s="2"/>
    </row>
    <row r="791" spans="1:10" s="21" customFormat="1" x14ac:dyDescent="0.35">
      <c r="A791" s="2" t="s">
        <v>10</v>
      </c>
      <c r="B791" s="2" t="s">
        <v>602</v>
      </c>
      <c r="C791" s="2" t="s">
        <v>57</v>
      </c>
      <c r="D791" s="2" t="s">
        <v>603</v>
      </c>
      <c r="E791" s="2" t="s">
        <v>89</v>
      </c>
      <c r="F791" s="2" t="s">
        <v>45</v>
      </c>
      <c r="G791" s="2"/>
      <c r="H791" s="2"/>
      <c r="I791" s="2"/>
      <c r="J791" s="2"/>
    </row>
    <row r="792" spans="1:10" s="21" customFormat="1" x14ac:dyDescent="0.35">
      <c r="A792" s="2" t="s">
        <v>10</v>
      </c>
      <c r="B792" s="2" t="s">
        <v>602</v>
      </c>
      <c r="C792" s="2" t="s">
        <v>57</v>
      </c>
      <c r="D792" s="2" t="s">
        <v>603</v>
      </c>
      <c r="E792" s="2" t="s">
        <v>604</v>
      </c>
      <c r="F792" s="2" t="s">
        <v>78</v>
      </c>
      <c r="G792" s="2"/>
      <c r="H792" s="2"/>
      <c r="I792" s="2"/>
      <c r="J792" s="2"/>
    </row>
    <row r="793" spans="1:10" s="21" customFormat="1" x14ac:dyDescent="0.35">
      <c r="A793" s="2" t="s">
        <v>10</v>
      </c>
      <c r="B793" s="2" t="s">
        <v>602</v>
      </c>
      <c r="C793" s="2" t="s">
        <v>57</v>
      </c>
      <c r="D793" s="2" t="s">
        <v>603</v>
      </c>
      <c r="E793" s="2" t="s">
        <v>112</v>
      </c>
      <c r="F793" s="2" t="s">
        <v>113</v>
      </c>
      <c r="G793" s="2"/>
      <c r="H793" s="2"/>
      <c r="I793" s="2"/>
      <c r="J793" s="2"/>
    </row>
    <row r="794" spans="1:10" x14ac:dyDescent="0.35">
      <c r="A794" s="2" t="s">
        <v>10</v>
      </c>
      <c r="B794" s="2" t="s">
        <v>602</v>
      </c>
      <c r="C794" s="2" t="s">
        <v>24</v>
      </c>
      <c r="D794" s="2" t="s">
        <v>605</v>
      </c>
      <c r="E794" s="2" t="s">
        <v>14</v>
      </c>
      <c r="F794" s="2" t="s">
        <v>15</v>
      </c>
      <c r="G794" s="2"/>
      <c r="H794" s="2"/>
      <c r="I794" s="2"/>
      <c r="J794" s="2"/>
    </row>
    <row r="795" spans="1:10" x14ac:dyDescent="0.35">
      <c r="A795" s="2" t="s">
        <v>10</v>
      </c>
      <c r="B795" s="2" t="s">
        <v>602</v>
      </c>
      <c r="C795" s="2" t="s">
        <v>24</v>
      </c>
      <c r="D795" s="2" t="s">
        <v>605</v>
      </c>
      <c r="E795" s="2" t="s">
        <v>96</v>
      </c>
      <c r="F795" s="2" t="s">
        <v>83</v>
      </c>
      <c r="G795" s="2"/>
      <c r="H795" s="2"/>
      <c r="I795" s="2"/>
      <c r="J795" s="2"/>
    </row>
    <row r="796" spans="1:10" x14ac:dyDescent="0.35">
      <c r="A796" s="2" t="s">
        <v>10</v>
      </c>
      <c r="B796" s="2" t="s">
        <v>602</v>
      </c>
      <c r="C796" s="2" t="s">
        <v>24</v>
      </c>
      <c r="D796" s="2" t="s">
        <v>605</v>
      </c>
      <c r="E796" s="2" t="s">
        <v>87</v>
      </c>
      <c r="F796" s="2" t="s">
        <v>75</v>
      </c>
      <c r="G796" s="2" t="s">
        <v>16</v>
      </c>
      <c r="H796" s="2" t="s">
        <v>606</v>
      </c>
      <c r="I796" s="2"/>
      <c r="J796" s="2"/>
    </row>
    <row r="797" spans="1:10" x14ac:dyDescent="0.35">
      <c r="A797" s="2" t="s">
        <v>10</v>
      </c>
      <c r="B797" s="2" t="s">
        <v>602</v>
      </c>
      <c r="C797" s="2" t="s">
        <v>54</v>
      </c>
      <c r="D797" s="2" t="s">
        <v>607</v>
      </c>
      <c r="E797" s="2" t="s">
        <v>416</v>
      </c>
      <c r="F797" s="2" t="s">
        <v>38</v>
      </c>
      <c r="G797" s="2"/>
      <c r="H797" s="2"/>
      <c r="I797" s="2"/>
      <c r="J797" s="2"/>
    </row>
    <row r="798" spans="1:10" x14ac:dyDescent="0.35">
      <c r="A798" s="2" t="s">
        <v>10</v>
      </c>
      <c r="B798" s="2" t="s">
        <v>602</v>
      </c>
      <c r="C798" s="2" t="s">
        <v>54</v>
      </c>
      <c r="D798" s="2" t="s">
        <v>607</v>
      </c>
      <c r="E798" s="2" t="s">
        <v>121</v>
      </c>
      <c r="F798" s="2" t="s">
        <v>122</v>
      </c>
      <c r="G798" s="2"/>
      <c r="H798" s="2"/>
      <c r="I798" s="2"/>
      <c r="J798" s="2"/>
    </row>
    <row r="799" spans="1:10" x14ac:dyDescent="0.35">
      <c r="A799" s="2" t="s">
        <v>10</v>
      </c>
      <c r="B799" s="2" t="s">
        <v>602</v>
      </c>
      <c r="C799" s="2" t="s">
        <v>54</v>
      </c>
      <c r="D799" s="2" t="s">
        <v>607</v>
      </c>
      <c r="E799" s="2" t="s">
        <v>91</v>
      </c>
      <c r="F799" s="2" t="s">
        <v>19</v>
      </c>
      <c r="G799" s="2" t="s">
        <v>16</v>
      </c>
      <c r="H799" s="2" t="s">
        <v>608</v>
      </c>
      <c r="I799" s="2"/>
      <c r="J799" s="2"/>
    </row>
    <row r="800" spans="1:10" s="21" customFormat="1" x14ac:dyDescent="0.35">
      <c r="A800" s="2" t="s">
        <v>10</v>
      </c>
      <c r="B800" s="2" t="s">
        <v>602</v>
      </c>
      <c r="C800" s="2" t="s">
        <v>12</v>
      </c>
      <c r="D800" s="2" t="s">
        <v>609</v>
      </c>
      <c r="E800" s="2" t="s">
        <v>610</v>
      </c>
      <c r="F800" s="2" t="s">
        <v>19</v>
      </c>
      <c r="G800" s="2" t="s">
        <v>20</v>
      </c>
      <c r="H800" s="2" t="s">
        <v>611</v>
      </c>
      <c r="I800" s="2"/>
      <c r="J800" s="2"/>
    </row>
    <row r="801" spans="1:10" s="21" customFormat="1" x14ac:dyDescent="0.35">
      <c r="A801" s="2" t="s">
        <v>10</v>
      </c>
      <c r="B801" s="2" t="s">
        <v>602</v>
      </c>
      <c r="C801" s="2" t="s">
        <v>12</v>
      </c>
      <c r="D801" s="2" t="s">
        <v>609</v>
      </c>
      <c r="E801" s="2" t="s">
        <v>89</v>
      </c>
      <c r="F801" s="2" t="s">
        <v>45</v>
      </c>
      <c r="G801" s="2"/>
      <c r="H801" s="2"/>
      <c r="I801" s="2"/>
      <c r="J801" s="2"/>
    </row>
    <row r="802" spans="1:10" x14ac:dyDescent="0.35">
      <c r="A802" s="2" t="s">
        <v>10</v>
      </c>
      <c r="B802" s="2" t="s">
        <v>602</v>
      </c>
      <c r="C802" s="2" t="s">
        <v>24</v>
      </c>
      <c r="D802" s="2" t="s">
        <v>612</v>
      </c>
      <c r="E802" s="2" t="s">
        <v>27</v>
      </c>
      <c r="F802" s="2" t="s">
        <v>28</v>
      </c>
      <c r="G802" s="2"/>
      <c r="H802" s="2"/>
      <c r="I802" s="2"/>
      <c r="J802" s="2"/>
    </row>
    <row r="803" spans="1:10" x14ac:dyDescent="0.35">
      <c r="A803" s="2" t="s">
        <v>10</v>
      </c>
      <c r="B803" s="2" t="s">
        <v>602</v>
      </c>
      <c r="C803" s="2" t="s">
        <v>24</v>
      </c>
      <c r="D803" s="2" t="s">
        <v>612</v>
      </c>
      <c r="E803" s="2" t="s">
        <v>31</v>
      </c>
      <c r="F803" s="2" t="s">
        <v>32</v>
      </c>
      <c r="G803" s="2"/>
      <c r="H803" s="2"/>
      <c r="I803" s="2"/>
      <c r="J803" s="2"/>
    </row>
    <row r="804" spans="1:10" x14ac:dyDescent="0.35">
      <c r="A804" s="2" t="s">
        <v>10</v>
      </c>
      <c r="B804" s="2" t="s">
        <v>602</v>
      </c>
      <c r="C804" s="2" t="s">
        <v>24</v>
      </c>
      <c r="D804" s="2" t="s">
        <v>612</v>
      </c>
      <c r="E804" s="2" t="s">
        <v>613</v>
      </c>
      <c r="F804" s="2" t="s">
        <v>125</v>
      </c>
      <c r="G804" s="2"/>
      <c r="H804" s="2"/>
      <c r="I804" s="2"/>
      <c r="J804" s="2"/>
    </row>
    <row r="805" spans="1:10" x14ac:dyDescent="0.35">
      <c r="A805" s="2" t="s">
        <v>10</v>
      </c>
      <c r="B805" s="2" t="s">
        <v>602</v>
      </c>
      <c r="C805" s="2" t="s">
        <v>24</v>
      </c>
      <c r="D805" s="2" t="s">
        <v>612</v>
      </c>
      <c r="E805" s="2" t="s">
        <v>211</v>
      </c>
      <c r="F805" s="2" t="s">
        <v>203</v>
      </c>
      <c r="G805" s="2"/>
      <c r="H805" s="2"/>
      <c r="I805" s="2"/>
      <c r="J805" s="2"/>
    </row>
    <row r="806" spans="1:10" x14ac:dyDescent="0.35">
      <c r="A806" s="2" t="s">
        <v>10</v>
      </c>
      <c r="B806" s="2" t="s">
        <v>602</v>
      </c>
      <c r="C806" s="2" t="s">
        <v>24</v>
      </c>
      <c r="D806" s="2" t="s">
        <v>612</v>
      </c>
      <c r="E806" s="2" t="s">
        <v>416</v>
      </c>
      <c r="F806" s="2" t="s">
        <v>38</v>
      </c>
      <c r="G806" s="2"/>
      <c r="H806" s="2"/>
      <c r="I806" s="2"/>
      <c r="J806" s="2"/>
    </row>
    <row r="807" spans="1:10" x14ac:dyDescent="0.35">
      <c r="A807" s="2" t="s">
        <v>10</v>
      </c>
      <c r="B807" s="2" t="s">
        <v>602</v>
      </c>
      <c r="C807" s="2" t="s">
        <v>24</v>
      </c>
      <c r="D807" s="2" t="s">
        <v>612</v>
      </c>
      <c r="E807" s="2" t="s">
        <v>87</v>
      </c>
      <c r="F807" s="2" t="s">
        <v>75</v>
      </c>
      <c r="G807" s="2" t="s">
        <v>16</v>
      </c>
      <c r="H807" s="2" t="s">
        <v>614</v>
      </c>
      <c r="I807" s="2"/>
      <c r="J807" s="2"/>
    </row>
    <row r="808" spans="1:10" x14ac:dyDescent="0.35">
      <c r="A808" s="2" t="s">
        <v>10</v>
      </c>
      <c r="B808" s="2" t="s">
        <v>602</v>
      </c>
      <c r="C808" s="2" t="s">
        <v>24</v>
      </c>
      <c r="D808" s="2" t="s">
        <v>612</v>
      </c>
      <c r="E808" s="2" t="s">
        <v>615</v>
      </c>
      <c r="F808" s="2" t="s">
        <v>40</v>
      </c>
      <c r="G808" s="2"/>
      <c r="H808" s="2"/>
      <c r="I808" s="2"/>
      <c r="J808" s="2"/>
    </row>
    <row r="809" spans="1:10" x14ac:dyDescent="0.35">
      <c r="A809" s="2" t="s">
        <v>10</v>
      </c>
      <c r="B809" s="2" t="s">
        <v>602</v>
      </c>
      <c r="C809" s="2" t="s">
        <v>24</v>
      </c>
      <c r="D809" s="2" t="s">
        <v>616</v>
      </c>
      <c r="E809" s="2" t="s">
        <v>31</v>
      </c>
      <c r="F809" s="2" t="s">
        <v>32</v>
      </c>
      <c r="G809" s="2"/>
      <c r="H809" s="2"/>
      <c r="I809" s="2"/>
      <c r="J809" s="2"/>
    </row>
    <row r="810" spans="1:10" x14ac:dyDescent="0.35">
      <c r="A810" s="2" t="s">
        <v>10</v>
      </c>
      <c r="B810" s="2" t="s">
        <v>602</v>
      </c>
      <c r="C810" s="2" t="s">
        <v>24</v>
      </c>
      <c r="D810" s="2" t="s">
        <v>616</v>
      </c>
      <c r="E810" s="2" t="s">
        <v>18</v>
      </c>
      <c r="F810" s="2" t="s">
        <v>19</v>
      </c>
      <c r="G810" s="2" t="s">
        <v>16</v>
      </c>
      <c r="H810" s="2" t="s">
        <v>524</v>
      </c>
      <c r="I810" s="2"/>
      <c r="J810" s="2"/>
    </row>
    <row r="811" spans="1:10" x14ac:dyDescent="0.35">
      <c r="A811" s="2" t="s">
        <v>10</v>
      </c>
      <c r="B811" s="2" t="s">
        <v>602</v>
      </c>
      <c r="C811" s="2" t="s">
        <v>24</v>
      </c>
      <c r="D811" s="2" t="s">
        <v>617</v>
      </c>
      <c r="E811" s="2" t="s">
        <v>96</v>
      </c>
      <c r="F811" s="2" t="s">
        <v>83</v>
      </c>
      <c r="G811" s="2"/>
      <c r="H811" s="2"/>
      <c r="I811" s="2"/>
      <c r="J811" s="2"/>
    </row>
    <row r="812" spans="1:10" x14ac:dyDescent="0.35">
      <c r="A812" s="2" t="s">
        <v>10</v>
      </c>
      <c r="B812" s="2" t="s">
        <v>618</v>
      </c>
      <c r="C812" s="2" t="s">
        <v>12</v>
      </c>
      <c r="D812" s="2" t="s">
        <v>619</v>
      </c>
      <c r="E812" s="2" t="s">
        <v>14</v>
      </c>
      <c r="F812" s="2" t="s">
        <v>15</v>
      </c>
      <c r="G812" s="2"/>
      <c r="H812" s="2"/>
      <c r="I812" s="2" t="s">
        <v>16</v>
      </c>
      <c r="J812" s="2" t="s">
        <v>95</v>
      </c>
    </row>
    <row r="813" spans="1:10" x14ac:dyDescent="0.35">
      <c r="A813" s="2" t="s">
        <v>10</v>
      </c>
      <c r="B813" s="2" t="s">
        <v>618</v>
      </c>
      <c r="C813" s="2" t="s">
        <v>12</v>
      </c>
      <c r="D813" s="2" t="s">
        <v>619</v>
      </c>
      <c r="E813" s="2" t="s">
        <v>18</v>
      </c>
      <c r="F813" s="2" t="s">
        <v>19</v>
      </c>
      <c r="G813" s="2" t="s">
        <v>16</v>
      </c>
      <c r="H813" s="2" t="s">
        <v>620</v>
      </c>
      <c r="I813" s="2" t="s">
        <v>16</v>
      </c>
      <c r="J813" s="2" t="s">
        <v>95</v>
      </c>
    </row>
    <row r="814" spans="1:10" x14ac:dyDescent="0.35">
      <c r="A814" s="2" t="s">
        <v>10</v>
      </c>
      <c r="B814" s="2" t="s">
        <v>618</v>
      </c>
      <c r="C814" s="2" t="s">
        <v>12</v>
      </c>
      <c r="D814" s="2" t="s">
        <v>619</v>
      </c>
      <c r="E814" s="2" t="s">
        <v>89</v>
      </c>
      <c r="F814" s="2" t="s">
        <v>45</v>
      </c>
      <c r="G814" s="2" t="s">
        <v>16</v>
      </c>
      <c r="H814" s="2" t="s">
        <v>597</v>
      </c>
      <c r="I814" s="2" t="s">
        <v>16</v>
      </c>
      <c r="J814" s="2" t="s">
        <v>95</v>
      </c>
    </row>
    <row r="815" spans="1:10" x14ac:dyDescent="0.35">
      <c r="A815" s="2" t="s">
        <v>10</v>
      </c>
      <c r="B815" s="2" t="s">
        <v>618</v>
      </c>
      <c r="C815" s="2" t="s">
        <v>12</v>
      </c>
      <c r="D815" s="2" t="s">
        <v>621</v>
      </c>
      <c r="E815" s="2" t="s">
        <v>136</v>
      </c>
      <c r="F815" s="2" t="s">
        <v>107</v>
      </c>
      <c r="G815" s="2"/>
      <c r="H815" s="2"/>
      <c r="I815" s="2" t="s">
        <v>16</v>
      </c>
      <c r="J815" s="2" t="s">
        <v>81</v>
      </c>
    </row>
    <row r="816" spans="1:10" x14ac:dyDescent="0.35">
      <c r="A816" s="2" t="s">
        <v>10</v>
      </c>
      <c r="B816" s="2" t="s">
        <v>618</v>
      </c>
      <c r="C816" s="2" t="s">
        <v>12</v>
      </c>
      <c r="D816" s="2" t="s">
        <v>621</v>
      </c>
      <c r="E816" s="2" t="s">
        <v>124</v>
      </c>
      <c r="F816" s="2" t="s">
        <v>125</v>
      </c>
      <c r="G816" s="2"/>
      <c r="H816" s="2"/>
      <c r="I816" s="2" t="s">
        <v>16</v>
      </c>
      <c r="J816" s="2" t="s">
        <v>81</v>
      </c>
    </row>
    <row r="817" spans="1:10" x14ac:dyDescent="0.35">
      <c r="A817" s="2" t="s">
        <v>10</v>
      </c>
      <c r="B817" s="2" t="s">
        <v>618</v>
      </c>
      <c r="C817" s="2" t="s">
        <v>12</v>
      </c>
      <c r="D817" s="2" t="s">
        <v>621</v>
      </c>
      <c r="E817" s="2" t="s">
        <v>18</v>
      </c>
      <c r="F817" s="2" t="s">
        <v>19</v>
      </c>
      <c r="G817" s="2" t="s">
        <v>46</v>
      </c>
      <c r="H817" s="2" t="s">
        <v>451</v>
      </c>
      <c r="I817" s="2" t="s">
        <v>16</v>
      </c>
      <c r="J817" s="2" t="s">
        <v>81</v>
      </c>
    </row>
    <row r="818" spans="1:10" x14ac:dyDescent="0.35">
      <c r="A818" s="2" t="s">
        <v>10</v>
      </c>
      <c r="B818" s="2" t="s">
        <v>622</v>
      </c>
      <c r="C818" s="2" t="s">
        <v>57</v>
      </c>
      <c r="D818" s="2" t="s">
        <v>623</v>
      </c>
      <c r="E818" s="2" t="s">
        <v>14</v>
      </c>
      <c r="F818" s="2" t="s">
        <v>15</v>
      </c>
      <c r="G818" s="2"/>
      <c r="H818" s="2"/>
      <c r="I818" s="2" t="s">
        <v>16</v>
      </c>
      <c r="J818" s="2" t="s">
        <v>624</v>
      </c>
    </row>
    <row r="819" spans="1:10" x14ac:dyDescent="0.35">
      <c r="A819" s="2" t="s">
        <v>10</v>
      </c>
      <c r="B819" s="2" t="s">
        <v>622</v>
      </c>
      <c r="C819" s="2" t="s">
        <v>57</v>
      </c>
      <c r="D819" s="2" t="s">
        <v>623</v>
      </c>
      <c r="E819" s="2" t="s">
        <v>120</v>
      </c>
      <c r="F819" s="2" t="s">
        <v>32</v>
      </c>
      <c r="G819" s="2"/>
      <c r="H819" s="2"/>
      <c r="I819" s="2" t="s">
        <v>16</v>
      </c>
      <c r="J819" s="2" t="s">
        <v>624</v>
      </c>
    </row>
    <row r="820" spans="1:10" x14ac:dyDescent="0.35">
      <c r="A820" s="2" t="s">
        <v>10</v>
      </c>
      <c r="B820" s="2" t="s">
        <v>622</v>
      </c>
      <c r="C820" s="2" t="s">
        <v>57</v>
      </c>
      <c r="D820" s="2" t="s">
        <v>623</v>
      </c>
      <c r="E820" s="2" t="s">
        <v>625</v>
      </c>
      <c r="F820" s="2" t="s">
        <v>38</v>
      </c>
      <c r="G820" s="2"/>
      <c r="H820" s="2"/>
      <c r="I820" s="2" t="s">
        <v>16</v>
      </c>
      <c r="J820" s="2" t="s">
        <v>624</v>
      </c>
    </row>
    <row r="821" spans="1:10" x14ac:dyDescent="0.35">
      <c r="A821" s="2" t="s">
        <v>10</v>
      </c>
      <c r="B821" s="2" t="s">
        <v>622</v>
      </c>
      <c r="C821" s="2" t="s">
        <v>57</v>
      </c>
      <c r="D821" s="2" t="s">
        <v>623</v>
      </c>
      <c r="E821" s="2" t="s">
        <v>156</v>
      </c>
      <c r="F821" s="2" t="s">
        <v>45</v>
      </c>
      <c r="G821" s="2" t="s">
        <v>16</v>
      </c>
      <c r="H821" s="2" t="s">
        <v>626</v>
      </c>
      <c r="I821" s="2" t="s">
        <v>16</v>
      </c>
      <c r="J821" s="2" t="s">
        <v>624</v>
      </c>
    </row>
    <row r="822" spans="1:10" x14ac:dyDescent="0.35">
      <c r="A822" s="2" t="s">
        <v>10</v>
      </c>
      <c r="B822" s="2" t="s">
        <v>622</v>
      </c>
      <c r="C822" s="2" t="s">
        <v>57</v>
      </c>
      <c r="D822" s="2" t="s">
        <v>623</v>
      </c>
      <c r="E822" s="2" t="s">
        <v>77</v>
      </c>
      <c r="F822" s="2" t="s">
        <v>78</v>
      </c>
      <c r="G822" s="2"/>
      <c r="H822" s="2"/>
      <c r="I822" s="2" t="s">
        <v>16</v>
      </c>
      <c r="J822" s="2" t="s">
        <v>624</v>
      </c>
    </row>
    <row r="823" spans="1:10" x14ac:dyDescent="0.35">
      <c r="A823" s="2" t="s">
        <v>10</v>
      </c>
      <c r="B823" s="2" t="s">
        <v>622</v>
      </c>
      <c r="C823" s="2" t="s">
        <v>57</v>
      </c>
      <c r="D823" s="2" t="s">
        <v>623</v>
      </c>
      <c r="E823" s="2" t="s">
        <v>627</v>
      </c>
      <c r="F823" s="2" t="s">
        <v>259</v>
      </c>
      <c r="G823" s="2"/>
      <c r="H823" s="2"/>
      <c r="I823" s="2" t="s">
        <v>16</v>
      </c>
      <c r="J823" s="2" t="s">
        <v>624</v>
      </c>
    </row>
    <row r="824" spans="1:10" x14ac:dyDescent="0.35">
      <c r="A824" s="2" t="s">
        <v>10</v>
      </c>
      <c r="B824" s="2" t="s">
        <v>622</v>
      </c>
      <c r="C824" s="2" t="s">
        <v>57</v>
      </c>
      <c r="D824" s="2" t="s">
        <v>623</v>
      </c>
      <c r="E824" s="2" t="s">
        <v>628</v>
      </c>
      <c r="F824" s="2" t="s">
        <v>50</v>
      </c>
      <c r="G824" s="2" t="s">
        <v>46</v>
      </c>
      <c r="H824" s="2" t="s">
        <v>451</v>
      </c>
      <c r="I824" s="2" t="s">
        <v>16</v>
      </c>
      <c r="J824" s="2" t="s">
        <v>624</v>
      </c>
    </row>
    <row r="825" spans="1:10" x14ac:dyDescent="0.35">
      <c r="A825" s="2" t="s">
        <v>10</v>
      </c>
      <c r="B825" s="2" t="s">
        <v>622</v>
      </c>
      <c r="C825" s="2" t="s">
        <v>57</v>
      </c>
      <c r="D825" s="2" t="s">
        <v>623</v>
      </c>
      <c r="E825" s="2" t="s">
        <v>149</v>
      </c>
      <c r="F825" s="2" t="s">
        <v>150</v>
      </c>
      <c r="G825" s="2" t="s">
        <v>16</v>
      </c>
      <c r="H825" s="2" t="s">
        <v>465</v>
      </c>
      <c r="I825" s="2" t="s">
        <v>16</v>
      </c>
      <c r="J825" s="2" t="s">
        <v>624</v>
      </c>
    </row>
    <row r="826" spans="1:10" x14ac:dyDescent="0.35">
      <c r="A826" s="2" t="s">
        <v>10</v>
      </c>
      <c r="B826" s="2" t="s">
        <v>622</v>
      </c>
      <c r="C826" s="2" t="s">
        <v>57</v>
      </c>
      <c r="D826" s="2" t="s">
        <v>623</v>
      </c>
      <c r="E826" s="2" t="s">
        <v>112</v>
      </c>
      <c r="F826" s="2" t="s">
        <v>113</v>
      </c>
      <c r="G826" s="2" t="s">
        <v>16</v>
      </c>
      <c r="H826" s="2" t="s">
        <v>465</v>
      </c>
      <c r="I826" s="2" t="s">
        <v>16</v>
      </c>
      <c r="J826" s="2" t="s">
        <v>624</v>
      </c>
    </row>
    <row r="827" spans="1:10" x14ac:dyDescent="0.35">
      <c r="A827" s="2" t="s">
        <v>10</v>
      </c>
      <c r="B827" s="2" t="s">
        <v>622</v>
      </c>
      <c r="C827" s="2" t="s">
        <v>12</v>
      </c>
      <c r="D827" s="2" t="s">
        <v>629</v>
      </c>
      <c r="E827" s="2" t="s">
        <v>38</v>
      </c>
      <c r="F827" s="2" t="s">
        <v>38</v>
      </c>
      <c r="G827" s="2"/>
      <c r="H827" s="2"/>
      <c r="I827" s="2" t="s">
        <v>16</v>
      </c>
      <c r="J827" s="2" t="s">
        <v>630</v>
      </c>
    </row>
    <row r="828" spans="1:10" x14ac:dyDescent="0.35">
      <c r="A828" s="2" t="s">
        <v>10</v>
      </c>
      <c r="B828" s="2" t="s">
        <v>622</v>
      </c>
      <c r="C828" s="2" t="s">
        <v>12</v>
      </c>
      <c r="D828" s="2" t="s">
        <v>629</v>
      </c>
      <c r="E828" s="2" t="s">
        <v>18</v>
      </c>
      <c r="F828" s="2" t="s">
        <v>19</v>
      </c>
      <c r="G828" s="2" t="s">
        <v>16</v>
      </c>
      <c r="H828" s="2" t="s">
        <v>631</v>
      </c>
      <c r="I828" s="2" t="s">
        <v>16</v>
      </c>
      <c r="J828" s="2" t="s">
        <v>630</v>
      </c>
    </row>
    <row r="829" spans="1:10" x14ac:dyDescent="0.35">
      <c r="A829" s="2" t="s">
        <v>10</v>
      </c>
      <c r="B829" s="2" t="s">
        <v>622</v>
      </c>
      <c r="C829" s="2" t="s">
        <v>12</v>
      </c>
      <c r="D829" s="2" t="s">
        <v>629</v>
      </c>
      <c r="E829" s="2" t="s">
        <v>89</v>
      </c>
      <c r="F829" s="2" t="s">
        <v>45</v>
      </c>
      <c r="G829" s="2" t="s">
        <v>16</v>
      </c>
      <c r="H829" s="2" t="s">
        <v>632</v>
      </c>
      <c r="I829" s="2" t="s">
        <v>16</v>
      </c>
      <c r="J829" s="2" t="s">
        <v>630</v>
      </c>
    </row>
    <row r="830" spans="1:10" x14ac:dyDescent="0.35">
      <c r="A830" s="2" t="s">
        <v>10</v>
      </c>
      <c r="B830" s="2" t="s">
        <v>622</v>
      </c>
      <c r="C830" s="2" t="s">
        <v>12</v>
      </c>
      <c r="D830" s="2" t="s">
        <v>633</v>
      </c>
      <c r="E830" s="2" t="s">
        <v>64</v>
      </c>
      <c r="F830" s="2" t="s">
        <v>65</v>
      </c>
      <c r="G830" s="2"/>
      <c r="H830" s="2"/>
      <c r="I830" s="2" t="s">
        <v>16</v>
      </c>
      <c r="J830" s="2" t="s">
        <v>624</v>
      </c>
    </row>
    <row r="831" spans="1:10" x14ac:dyDescent="0.35">
      <c r="A831" s="2" t="s">
        <v>10</v>
      </c>
      <c r="B831" s="2" t="s">
        <v>622</v>
      </c>
      <c r="C831" s="2" t="s">
        <v>12</v>
      </c>
      <c r="D831" s="2" t="s">
        <v>633</v>
      </c>
      <c r="E831" s="2" t="s">
        <v>18</v>
      </c>
      <c r="F831" s="2" t="s">
        <v>19</v>
      </c>
      <c r="G831" s="2" t="s">
        <v>16</v>
      </c>
      <c r="H831" s="2" t="s">
        <v>634</v>
      </c>
      <c r="I831" s="2" t="s">
        <v>16</v>
      </c>
      <c r="J831" s="2" t="s">
        <v>624</v>
      </c>
    </row>
    <row r="832" spans="1:10" x14ac:dyDescent="0.35">
      <c r="A832" s="2" t="s">
        <v>10</v>
      </c>
      <c r="B832" s="2" t="s">
        <v>622</v>
      </c>
      <c r="C832" s="2" t="s">
        <v>24</v>
      </c>
      <c r="D832" s="2" t="s">
        <v>635</v>
      </c>
      <c r="E832" s="2" t="s">
        <v>14</v>
      </c>
      <c r="F832" s="2" t="s">
        <v>15</v>
      </c>
      <c r="G832" s="2" t="s">
        <v>16</v>
      </c>
      <c r="H832" s="2" t="s">
        <v>524</v>
      </c>
      <c r="I832" s="2" t="s">
        <v>16</v>
      </c>
      <c r="J832" s="2" t="s">
        <v>636</v>
      </c>
    </row>
    <row r="833" spans="1:10" x14ac:dyDescent="0.35">
      <c r="A833" s="2" t="s">
        <v>10</v>
      </c>
      <c r="B833" s="2" t="s">
        <v>622</v>
      </c>
      <c r="C833" s="2" t="s">
        <v>24</v>
      </c>
      <c r="D833" s="2" t="s">
        <v>635</v>
      </c>
      <c r="E833" s="2" t="s">
        <v>91</v>
      </c>
      <c r="F833" s="2" t="s">
        <v>19</v>
      </c>
      <c r="G833" s="2" t="s">
        <v>16</v>
      </c>
      <c r="H833" s="2" t="s">
        <v>524</v>
      </c>
      <c r="I833" s="2" t="s">
        <v>16</v>
      </c>
      <c r="J833" s="2" t="s">
        <v>636</v>
      </c>
    </row>
    <row r="834" spans="1:10" x14ac:dyDescent="0.35">
      <c r="A834" s="2" t="s">
        <v>10</v>
      </c>
      <c r="B834" s="2" t="s">
        <v>622</v>
      </c>
      <c r="C834" s="2" t="s">
        <v>24</v>
      </c>
      <c r="D834" s="2" t="s">
        <v>635</v>
      </c>
      <c r="E834" s="2" t="s">
        <v>51</v>
      </c>
      <c r="F834" s="2" t="s">
        <v>52</v>
      </c>
      <c r="G834" s="2" t="s">
        <v>16</v>
      </c>
      <c r="H834" s="2" t="s">
        <v>524</v>
      </c>
      <c r="I834" s="2" t="s">
        <v>16</v>
      </c>
      <c r="J834" s="2" t="s">
        <v>636</v>
      </c>
    </row>
    <row r="835" spans="1:10" x14ac:dyDescent="0.35">
      <c r="A835" s="2" t="s">
        <v>10</v>
      </c>
      <c r="B835" s="2" t="s">
        <v>622</v>
      </c>
      <c r="C835" s="2" t="s">
        <v>24</v>
      </c>
      <c r="D835" s="2" t="s">
        <v>635</v>
      </c>
      <c r="E835" s="2" t="s">
        <v>188</v>
      </c>
      <c r="F835" s="2" t="s">
        <v>189</v>
      </c>
      <c r="G835" s="2"/>
      <c r="H835" s="2"/>
      <c r="I835" s="2" t="s">
        <v>16</v>
      </c>
      <c r="J835" s="2" t="s">
        <v>636</v>
      </c>
    </row>
    <row r="836" spans="1:10" s="21" customFormat="1" x14ac:dyDescent="0.35">
      <c r="A836" s="2" t="s">
        <v>10</v>
      </c>
      <c r="B836" s="2" t="s">
        <v>622</v>
      </c>
      <c r="C836" s="2" t="s">
        <v>62</v>
      </c>
      <c r="D836" s="2" t="s">
        <v>637</v>
      </c>
      <c r="E836" s="2" t="s">
        <v>106</v>
      </c>
      <c r="F836" s="2" t="s">
        <v>107</v>
      </c>
      <c r="G836" s="2"/>
      <c r="H836" s="2"/>
      <c r="I836" s="2"/>
      <c r="J836" s="2"/>
    </row>
    <row r="837" spans="1:10" s="21" customFormat="1" x14ac:dyDescent="0.35">
      <c r="A837" s="2" t="s">
        <v>10</v>
      </c>
      <c r="B837" s="2" t="s">
        <v>622</v>
      </c>
      <c r="C837" s="2" t="s">
        <v>24</v>
      </c>
      <c r="D837" s="2" t="s">
        <v>638</v>
      </c>
      <c r="E837" s="2" t="s">
        <v>14</v>
      </c>
      <c r="F837" s="2" t="s">
        <v>15</v>
      </c>
      <c r="G837" s="2"/>
      <c r="H837" s="2"/>
      <c r="I837" s="2" t="s">
        <v>20</v>
      </c>
      <c r="J837" s="2" t="s">
        <v>624</v>
      </c>
    </row>
    <row r="838" spans="1:10" s="21" customFormat="1" x14ac:dyDescent="0.35">
      <c r="A838" s="2" t="s">
        <v>10</v>
      </c>
      <c r="B838" s="2" t="s">
        <v>622</v>
      </c>
      <c r="C838" s="2" t="s">
        <v>24</v>
      </c>
      <c r="D838" s="2" t="s">
        <v>638</v>
      </c>
      <c r="E838" s="2" t="s">
        <v>98</v>
      </c>
      <c r="F838" s="2" t="s">
        <v>98</v>
      </c>
      <c r="G838" s="2"/>
      <c r="H838" s="2"/>
      <c r="I838" s="2" t="s">
        <v>20</v>
      </c>
      <c r="J838" s="2" t="s">
        <v>636</v>
      </c>
    </row>
    <row r="839" spans="1:10" s="21" customFormat="1" x14ac:dyDescent="0.35">
      <c r="A839" s="2" t="s">
        <v>10</v>
      </c>
      <c r="B839" s="2" t="s">
        <v>622</v>
      </c>
      <c r="C839" s="2" t="s">
        <v>24</v>
      </c>
      <c r="D839" s="2" t="s">
        <v>638</v>
      </c>
      <c r="E839" s="2" t="s">
        <v>18</v>
      </c>
      <c r="F839" s="2" t="s">
        <v>19</v>
      </c>
      <c r="G839" s="2" t="s">
        <v>20</v>
      </c>
      <c r="H839" s="2" t="s">
        <v>639</v>
      </c>
      <c r="I839" s="2" t="s">
        <v>20</v>
      </c>
      <c r="J839" s="2" t="s">
        <v>636</v>
      </c>
    </row>
    <row r="840" spans="1:10" x14ac:dyDescent="0.35">
      <c r="A840" s="2" t="s">
        <v>10</v>
      </c>
      <c r="B840" s="2" t="s">
        <v>622</v>
      </c>
      <c r="C840" s="2" t="s">
        <v>62</v>
      </c>
      <c r="D840" s="2" t="s">
        <v>640</v>
      </c>
      <c r="E840" s="2" t="s">
        <v>74</v>
      </c>
      <c r="F840" s="2" t="s">
        <v>75</v>
      </c>
      <c r="G840" s="2" t="s">
        <v>16</v>
      </c>
      <c r="H840" s="2" t="s">
        <v>641</v>
      </c>
      <c r="I840" s="2"/>
      <c r="J840" s="2"/>
    </row>
    <row r="841" spans="1:10" x14ac:dyDescent="0.35">
      <c r="A841" s="2" t="s">
        <v>10</v>
      </c>
      <c r="B841" s="2" t="s">
        <v>622</v>
      </c>
      <c r="C841" s="2" t="s">
        <v>62</v>
      </c>
      <c r="D841" s="2" t="s">
        <v>640</v>
      </c>
      <c r="E841" s="2" t="s">
        <v>352</v>
      </c>
      <c r="F841" s="2" t="s">
        <v>107</v>
      </c>
      <c r="G841" s="2"/>
      <c r="H841" s="2"/>
      <c r="I841" s="2"/>
      <c r="J841" s="2"/>
    </row>
    <row r="842" spans="1:10" s="21" customFormat="1" x14ac:dyDescent="0.35">
      <c r="A842" s="2" t="s">
        <v>10</v>
      </c>
      <c r="B842" s="2" t="s">
        <v>622</v>
      </c>
      <c r="C842" s="2" t="s">
        <v>62</v>
      </c>
      <c r="D842" s="2" t="s">
        <v>642</v>
      </c>
      <c r="E842" s="2" t="s">
        <v>106</v>
      </c>
      <c r="F842" s="2" t="s">
        <v>107</v>
      </c>
      <c r="G842" s="2"/>
      <c r="H842" s="2"/>
      <c r="I842" s="2"/>
      <c r="J842" s="2"/>
    </row>
    <row r="843" spans="1:10" x14ac:dyDescent="0.35">
      <c r="A843" s="2" t="s">
        <v>10</v>
      </c>
      <c r="B843" s="2" t="s">
        <v>622</v>
      </c>
      <c r="C843" s="2" t="s">
        <v>54</v>
      </c>
      <c r="D843" s="2" t="s">
        <v>643</v>
      </c>
      <c r="E843" s="2" t="s">
        <v>168</v>
      </c>
      <c r="F843" s="2" t="s">
        <v>45</v>
      </c>
      <c r="G843" s="2" t="s">
        <v>20</v>
      </c>
      <c r="H843" s="2" t="s">
        <v>644</v>
      </c>
      <c r="I843" s="2" t="s">
        <v>20</v>
      </c>
      <c r="J843" s="2" t="s">
        <v>636</v>
      </c>
    </row>
    <row r="844" spans="1:10" x14ac:dyDescent="0.35">
      <c r="A844" s="2" t="s">
        <v>10</v>
      </c>
      <c r="B844" s="2" t="s">
        <v>622</v>
      </c>
      <c r="C844" s="2" t="s">
        <v>54</v>
      </c>
      <c r="D844" s="2" t="s">
        <v>643</v>
      </c>
      <c r="E844" s="2" t="s">
        <v>18</v>
      </c>
      <c r="F844" s="2" t="s">
        <v>19</v>
      </c>
      <c r="G844" s="2" t="s">
        <v>20</v>
      </c>
      <c r="H844" s="2" t="s">
        <v>645</v>
      </c>
      <c r="I844" s="2" t="s">
        <v>20</v>
      </c>
      <c r="J844" s="2" t="s">
        <v>636</v>
      </c>
    </row>
    <row r="845" spans="1:10" x14ac:dyDescent="0.35">
      <c r="A845" s="2" t="s">
        <v>10</v>
      </c>
      <c r="B845" s="2" t="s">
        <v>622</v>
      </c>
      <c r="C845" s="2" t="s">
        <v>24</v>
      </c>
      <c r="D845" s="2" t="s">
        <v>646</v>
      </c>
      <c r="E845" s="2" t="s">
        <v>14</v>
      </c>
      <c r="F845" s="2" t="s">
        <v>15</v>
      </c>
      <c r="G845" s="2"/>
      <c r="H845" s="2"/>
      <c r="I845" s="2" t="s">
        <v>16</v>
      </c>
      <c r="J845" s="2" t="s">
        <v>636</v>
      </c>
    </row>
    <row r="846" spans="1:10" x14ac:dyDescent="0.35">
      <c r="A846" s="2" t="s">
        <v>10</v>
      </c>
      <c r="B846" s="2" t="s">
        <v>622</v>
      </c>
      <c r="C846" s="2" t="s">
        <v>24</v>
      </c>
      <c r="D846" s="2" t="s">
        <v>646</v>
      </c>
      <c r="E846" s="2" t="s">
        <v>31</v>
      </c>
      <c r="F846" s="2" t="s">
        <v>32</v>
      </c>
      <c r="G846" s="2" t="s">
        <v>16</v>
      </c>
      <c r="H846" s="2" t="s">
        <v>524</v>
      </c>
      <c r="I846" s="2" t="s">
        <v>16</v>
      </c>
      <c r="J846" s="2" t="s">
        <v>636</v>
      </c>
    </row>
    <row r="847" spans="1:10" x14ac:dyDescent="0.35">
      <c r="A847" s="2" t="s">
        <v>10</v>
      </c>
      <c r="B847" s="2" t="s">
        <v>622</v>
      </c>
      <c r="C847" s="2" t="s">
        <v>24</v>
      </c>
      <c r="D847" s="2" t="s">
        <v>646</v>
      </c>
      <c r="E847" s="2" t="s">
        <v>136</v>
      </c>
      <c r="F847" s="2" t="s">
        <v>107</v>
      </c>
      <c r="G847" s="2" t="s">
        <v>16</v>
      </c>
      <c r="H847" s="2" t="s">
        <v>524</v>
      </c>
      <c r="I847" s="2" t="s">
        <v>16</v>
      </c>
      <c r="J847" s="2" t="s">
        <v>636</v>
      </c>
    </row>
    <row r="848" spans="1:10" x14ac:dyDescent="0.35">
      <c r="A848" s="2" t="s">
        <v>10</v>
      </c>
      <c r="B848" s="2" t="s">
        <v>622</v>
      </c>
      <c r="C848" s="2" t="s">
        <v>24</v>
      </c>
      <c r="D848" s="2" t="s">
        <v>646</v>
      </c>
      <c r="E848" s="2" t="s">
        <v>96</v>
      </c>
      <c r="F848" s="2" t="s">
        <v>83</v>
      </c>
      <c r="G848" s="2" t="s">
        <v>16</v>
      </c>
      <c r="H848" s="2" t="s">
        <v>524</v>
      </c>
      <c r="I848" s="2" t="s">
        <v>16</v>
      </c>
      <c r="J848" s="2" t="s">
        <v>636</v>
      </c>
    </row>
    <row r="849" spans="1:10" x14ac:dyDescent="0.35">
      <c r="A849" s="2" t="s">
        <v>10</v>
      </c>
      <c r="B849" s="2" t="s">
        <v>622</v>
      </c>
      <c r="C849" s="2" t="s">
        <v>24</v>
      </c>
      <c r="D849" s="2" t="s">
        <v>646</v>
      </c>
      <c r="E849" s="2" t="s">
        <v>91</v>
      </c>
      <c r="F849" s="2" t="s">
        <v>19</v>
      </c>
      <c r="G849" s="2" t="s">
        <v>16</v>
      </c>
      <c r="H849" s="2" t="s">
        <v>524</v>
      </c>
      <c r="I849" s="2" t="s">
        <v>16</v>
      </c>
      <c r="J849" s="2" t="s">
        <v>636</v>
      </c>
    </row>
    <row r="850" spans="1:10" x14ac:dyDescent="0.35">
      <c r="A850" s="2" t="s">
        <v>10</v>
      </c>
      <c r="B850" s="2" t="s">
        <v>622</v>
      </c>
      <c r="C850" s="2" t="s">
        <v>24</v>
      </c>
      <c r="D850" s="2" t="s">
        <v>647</v>
      </c>
      <c r="E850" s="2" t="s">
        <v>14</v>
      </c>
      <c r="F850" s="2" t="s">
        <v>15</v>
      </c>
      <c r="G850" s="2"/>
      <c r="H850" s="2"/>
      <c r="I850" s="2" t="s">
        <v>16</v>
      </c>
      <c r="J850" s="2" t="s">
        <v>624</v>
      </c>
    </row>
    <row r="851" spans="1:10" x14ac:dyDescent="0.35">
      <c r="A851" s="2" t="s">
        <v>10</v>
      </c>
      <c r="B851" s="2" t="s">
        <v>622</v>
      </c>
      <c r="C851" s="2" t="s">
        <v>24</v>
      </c>
      <c r="D851" s="2" t="s">
        <v>647</v>
      </c>
      <c r="E851" s="2" t="s">
        <v>31</v>
      </c>
      <c r="F851" s="2" t="s">
        <v>32</v>
      </c>
      <c r="G851" s="2"/>
      <c r="H851" s="2"/>
      <c r="I851" s="2" t="s">
        <v>16</v>
      </c>
      <c r="J851" s="2" t="s">
        <v>624</v>
      </c>
    </row>
    <row r="852" spans="1:10" x14ac:dyDescent="0.35">
      <c r="A852" s="2" t="s">
        <v>10</v>
      </c>
      <c r="B852" s="2" t="s">
        <v>622</v>
      </c>
      <c r="C852" s="2" t="s">
        <v>24</v>
      </c>
      <c r="D852" s="2" t="s">
        <v>647</v>
      </c>
      <c r="E852" s="2" t="s">
        <v>648</v>
      </c>
      <c r="F852" s="2" t="s">
        <v>125</v>
      </c>
      <c r="G852" s="2"/>
      <c r="H852" s="2"/>
      <c r="I852" s="2" t="s">
        <v>16</v>
      </c>
      <c r="J852" s="2" t="s">
        <v>624</v>
      </c>
    </row>
    <row r="853" spans="1:10" x14ac:dyDescent="0.35">
      <c r="A853" s="2" t="s">
        <v>10</v>
      </c>
      <c r="B853" s="2" t="s">
        <v>622</v>
      </c>
      <c r="C853" s="2" t="s">
        <v>24</v>
      </c>
      <c r="D853" s="2" t="s">
        <v>647</v>
      </c>
      <c r="E853" s="2" t="s">
        <v>649</v>
      </c>
      <c r="F853" s="2" t="s">
        <v>363</v>
      </c>
      <c r="G853" s="2"/>
      <c r="H853" s="2"/>
      <c r="I853" s="2" t="s">
        <v>16</v>
      </c>
      <c r="J853" s="2" t="s">
        <v>624</v>
      </c>
    </row>
    <row r="854" spans="1:10" x14ac:dyDescent="0.35">
      <c r="A854" s="2" t="s">
        <v>10</v>
      </c>
      <c r="B854" s="2" t="s">
        <v>622</v>
      </c>
      <c r="C854" s="2" t="s">
        <v>24</v>
      </c>
      <c r="D854" s="2" t="s">
        <v>647</v>
      </c>
      <c r="E854" s="2" t="s">
        <v>91</v>
      </c>
      <c r="F854" s="2" t="s">
        <v>19</v>
      </c>
      <c r="G854" s="2" t="s">
        <v>16</v>
      </c>
      <c r="H854" s="2" t="s">
        <v>650</v>
      </c>
      <c r="I854" s="2" t="s">
        <v>16</v>
      </c>
      <c r="J854" s="2" t="s">
        <v>624</v>
      </c>
    </row>
    <row r="855" spans="1:10" x14ac:dyDescent="0.35">
      <c r="A855" s="2" t="s">
        <v>10</v>
      </c>
      <c r="B855" s="2" t="s">
        <v>622</v>
      </c>
      <c r="C855" s="2" t="s">
        <v>24</v>
      </c>
      <c r="D855" s="2" t="s">
        <v>647</v>
      </c>
      <c r="E855" s="2" t="s">
        <v>651</v>
      </c>
      <c r="F855" s="2" t="s">
        <v>40</v>
      </c>
      <c r="G855" s="2" t="s">
        <v>46</v>
      </c>
      <c r="H855" s="2" t="s">
        <v>451</v>
      </c>
      <c r="I855" s="2" t="s">
        <v>16</v>
      </c>
      <c r="J855" s="2" t="s">
        <v>624</v>
      </c>
    </row>
    <row r="856" spans="1:10" x14ac:dyDescent="0.35">
      <c r="A856" s="2" t="s">
        <v>10</v>
      </c>
      <c r="B856" s="2" t="s">
        <v>622</v>
      </c>
      <c r="C856" s="2" t="s">
        <v>24</v>
      </c>
      <c r="D856" s="2" t="s">
        <v>647</v>
      </c>
      <c r="E856" s="2" t="s">
        <v>64</v>
      </c>
      <c r="F856" s="2" t="s">
        <v>65</v>
      </c>
      <c r="G856" s="2"/>
      <c r="H856" s="2"/>
      <c r="I856" s="2" t="s">
        <v>16</v>
      </c>
      <c r="J856" s="2" t="s">
        <v>624</v>
      </c>
    </row>
    <row r="857" spans="1:10" x14ac:dyDescent="0.35">
      <c r="A857" s="2" t="s">
        <v>10</v>
      </c>
      <c r="B857" s="2" t="s">
        <v>622</v>
      </c>
      <c r="C857" s="2" t="s">
        <v>24</v>
      </c>
      <c r="D857" s="2" t="s">
        <v>647</v>
      </c>
      <c r="E857" s="2" t="s">
        <v>89</v>
      </c>
      <c r="F857" s="2" t="s">
        <v>45</v>
      </c>
      <c r="G857" s="2" t="s">
        <v>16</v>
      </c>
      <c r="H857" s="2" t="s">
        <v>652</v>
      </c>
      <c r="I857" s="2" t="s">
        <v>16</v>
      </c>
      <c r="J857" s="2" t="s">
        <v>624</v>
      </c>
    </row>
    <row r="858" spans="1:10" x14ac:dyDescent="0.35">
      <c r="A858" s="2" t="s">
        <v>10</v>
      </c>
      <c r="B858" s="2" t="s">
        <v>622</v>
      </c>
      <c r="C858" s="2" t="s">
        <v>24</v>
      </c>
      <c r="D858" s="2" t="s">
        <v>647</v>
      </c>
      <c r="E858" s="2" t="s">
        <v>100</v>
      </c>
      <c r="F858" s="2" t="s">
        <v>101</v>
      </c>
      <c r="G858" s="2"/>
      <c r="H858" s="2"/>
      <c r="I858" s="2" t="s">
        <v>16</v>
      </c>
      <c r="J858" s="2" t="s">
        <v>624</v>
      </c>
    </row>
    <row r="859" spans="1:10" x14ac:dyDescent="0.35">
      <c r="A859" s="2" t="s">
        <v>10</v>
      </c>
      <c r="B859" s="2" t="s">
        <v>622</v>
      </c>
      <c r="C859" s="2" t="s">
        <v>24</v>
      </c>
      <c r="D859" s="2" t="s">
        <v>647</v>
      </c>
      <c r="E859" s="2" t="s">
        <v>149</v>
      </c>
      <c r="F859" s="2" t="s">
        <v>150</v>
      </c>
      <c r="G859" s="2" t="s">
        <v>16</v>
      </c>
      <c r="H859" s="2" t="s">
        <v>653</v>
      </c>
      <c r="I859" s="2" t="s">
        <v>16</v>
      </c>
      <c r="J859" s="2" t="s">
        <v>624</v>
      </c>
    </row>
    <row r="860" spans="1:10" x14ac:dyDescent="0.35">
      <c r="A860" s="2" t="s">
        <v>10</v>
      </c>
      <c r="B860" s="2" t="s">
        <v>622</v>
      </c>
      <c r="C860" s="2" t="s">
        <v>24</v>
      </c>
      <c r="D860" s="2" t="s">
        <v>647</v>
      </c>
      <c r="E860" s="2" t="s">
        <v>654</v>
      </c>
      <c r="F860" s="2" t="s">
        <v>45</v>
      </c>
      <c r="G860" s="2" t="s">
        <v>46</v>
      </c>
      <c r="H860" s="2" t="s">
        <v>451</v>
      </c>
      <c r="I860" s="2" t="s">
        <v>16</v>
      </c>
      <c r="J860" s="2" t="s">
        <v>624</v>
      </c>
    </row>
    <row r="861" spans="1:10" x14ac:dyDescent="0.35">
      <c r="A861" s="2" t="s">
        <v>10</v>
      </c>
      <c r="B861" s="2" t="s">
        <v>622</v>
      </c>
      <c r="C861" s="2" t="s">
        <v>436</v>
      </c>
      <c r="D861" s="2" t="s">
        <v>655</v>
      </c>
      <c r="E861" s="2" t="s">
        <v>14</v>
      </c>
      <c r="F861" s="2" t="s">
        <v>15</v>
      </c>
      <c r="G861" s="2"/>
      <c r="H861" s="2"/>
      <c r="I861" s="2" t="s">
        <v>16</v>
      </c>
      <c r="J861" s="2" t="s">
        <v>636</v>
      </c>
    </row>
    <row r="862" spans="1:10" x14ac:dyDescent="0.35">
      <c r="A862" s="2" t="s">
        <v>10</v>
      </c>
      <c r="B862" s="2" t="s">
        <v>622</v>
      </c>
      <c r="C862" s="2" t="s">
        <v>436</v>
      </c>
      <c r="D862" s="2" t="s">
        <v>655</v>
      </c>
      <c r="E862" s="2" t="s">
        <v>193</v>
      </c>
      <c r="F862" s="2" t="s">
        <v>40</v>
      </c>
      <c r="G862" s="2"/>
      <c r="H862" s="2"/>
      <c r="I862" s="2" t="s">
        <v>16</v>
      </c>
      <c r="J862" s="2" t="s">
        <v>636</v>
      </c>
    </row>
    <row r="863" spans="1:10" x14ac:dyDescent="0.35">
      <c r="A863" s="2" t="s">
        <v>10</v>
      </c>
      <c r="B863" s="2" t="s">
        <v>622</v>
      </c>
      <c r="C863" s="2" t="s">
        <v>62</v>
      </c>
      <c r="D863" s="2" t="s">
        <v>656</v>
      </c>
      <c r="E863" s="2" t="s">
        <v>116</v>
      </c>
      <c r="F863" s="2" t="s">
        <v>30</v>
      </c>
      <c r="G863" s="2"/>
      <c r="H863" s="2"/>
      <c r="I863" s="2"/>
      <c r="J863" s="2"/>
    </row>
    <row r="864" spans="1:10" s="21" customFormat="1" x14ac:dyDescent="0.35">
      <c r="A864" s="2" t="s">
        <v>10</v>
      </c>
      <c r="B864" s="2" t="s">
        <v>622</v>
      </c>
      <c r="C864" s="2" t="s">
        <v>62</v>
      </c>
      <c r="D864" s="2" t="s">
        <v>657</v>
      </c>
      <c r="E864" s="2" t="s">
        <v>106</v>
      </c>
      <c r="F864" s="2" t="s">
        <v>107</v>
      </c>
      <c r="G864" s="2"/>
      <c r="H864" s="2"/>
      <c r="I864" s="2"/>
      <c r="J864" s="2"/>
    </row>
    <row r="865" spans="1:10" x14ac:dyDescent="0.35">
      <c r="A865" s="2" t="s">
        <v>10</v>
      </c>
      <c r="B865" s="2" t="s">
        <v>658</v>
      </c>
      <c r="C865" s="2" t="s">
        <v>62</v>
      </c>
      <c r="D865" s="2" t="s">
        <v>659</v>
      </c>
      <c r="E865" s="2" t="s">
        <v>613</v>
      </c>
      <c r="F865" s="2" t="s">
        <v>125</v>
      </c>
      <c r="G865" s="2"/>
      <c r="H865" s="2"/>
      <c r="I865" s="2"/>
      <c r="J865" s="2"/>
    </row>
    <row r="866" spans="1:10" x14ac:dyDescent="0.35">
      <c r="A866" s="2" t="s">
        <v>10</v>
      </c>
      <c r="B866" s="2" t="s">
        <v>658</v>
      </c>
      <c r="C866" s="2" t="s">
        <v>62</v>
      </c>
      <c r="D866" s="2" t="s">
        <v>659</v>
      </c>
      <c r="E866" s="2" t="s">
        <v>660</v>
      </c>
      <c r="F866" s="2" t="s">
        <v>75</v>
      </c>
      <c r="G866" s="2" t="s">
        <v>16</v>
      </c>
      <c r="H866" s="2" t="s">
        <v>661</v>
      </c>
      <c r="I866" s="2"/>
      <c r="J866" s="2"/>
    </row>
    <row r="867" spans="1:10" x14ac:dyDescent="0.35">
      <c r="A867" s="2" t="s">
        <v>10</v>
      </c>
      <c r="B867" s="2" t="s">
        <v>658</v>
      </c>
      <c r="C867" s="2" t="s">
        <v>62</v>
      </c>
      <c r="D867" s="2" t="s">
        <v>659</v>
      </c>
      <c r="E867" s="2" t="s">
        <v>662</v>
      </c>
      <c r="F867" s="2" t="s">
        <v>663</v>
      </c>
      <c r="G867" s="2"/>
      <c r="H867" s="2"/>
      <c r="I867" s="2"/>
      <c r="J867" s="2"/>
    </row>
    <row r="868" spans="1:10" x14ac:dyDescent="0.35">
      <c r="A868" s="2" t="s">
        <v>10</v>
      </c>
      <c r="B868" s="2" t="s">
        <v>658</v>
      </c>
      <c r="C868" s="2" t="s">
        <v>62</v>
      </c>
      <c r="D868" s="2" t="s">
        <v>659</v>
      </c>
      <c r="E868" s="2" t="s">
        <v>106</v>
      </c>
      <c r="F868" s="2" t="s">
        <v>107</v>
      </c>
      <c r="G868" s="2"/>
      <c r="H868" s="2"/>
      <c r="I868" s="2"/>
      <c r="J868" s="2"/>
    </row>
    <row r="869" spans="1:10" x14ac:dyDescent="0.35">
      <c r="A869" s="2" t="s">
        <v>10</v>
      </c>
      <c r="B869" s="2" t="s">
        <v>658</v>
      </c>
      <c r="C869" s="2" t="s">
        <v>24</v>
      </c>
      <c r="D869" s="2" t="s">
        <v>664</v>
      </c>
      <c r="E869" s="2" t="s">
        <v>27</v>
      </c>
      <c r="F869" s="2" t="s">
        <v>28</v>
      </c>
      <c r="G869" s="2"/>
      <c r="H869" s="2"/>
      <c r="I869" s="2" t="s">
        <v>16</v>
      </c>
      <c r="J869" s="2" t="s">
        <v>665</v>
      </c>
    </row>
    <row r="870" spans="1:10" x14ac:dyDescent="0.35">
      <c r="A870" s="2" t="s">
        <v>10</v>
      </c>
      <c r="B870" s="2" t="s">
        <v>658</v>
      </c>
      <c r="C870" s="2" t="s">
        <v>24</v>
      </c>
      <c r="D870" s="2" t="s">
        <v>664</v>
      </c>
      <c r="E870" s="2" t="s">
        <v>155</v>
      </c>
      <c r="F870" s="2" t="s">
        <v>32</v>
      </c>
      <c r="G870" s="2"/>
      <c r="H870" s="2"/>
      <c r="I870" s="2" t="s">
        <v>16</v>
      </c>
      <c r="J870" s="2" t="s">
        <v>665</v>
      </c>
    </row>
    <row r="871" spans="1:10" x14ac:dyDescent="0.35">
      <c r="A871" s="2" t="s">
        <v>10</v>
      </c>
      <c r="B871" s="2" t="s">
        <v>658</v>
      </c>
      <c r="C871" s="2" t="s">
        <v>24</v>
      </c>
      <c r="D871" s="2" t="s">
        <v>664</v>
      </c>
      <c r="E871" s="2" t="s">
        <v>213</v>
      </c>
      <c r="F871" s="2" t="s">
        <v>45</v>
      </c>
      <c r="G871" s="2"/>
      <c r="H871" s="2"/>
      <c r="I871" s="2" t="s">
        <v>16</v>
      </c>
      <c r="J871" s="2" t="s">
        <v>665</v>
      </c>
    </row>
    <row r="872" spans="1:10" x14ac:dyDescent="0.35">
      <c r="A872" s="2" t="s">
        <v>10</v>
      </c>
      <c r="B872" s="2" t="s">
        <v>658</v>
      </c>
      <c r="C872" s="2" t="s">
        <v>24</v>
      </c>
      <c r="D872" s="2" t="s">
        <v>664</v>
      </c>
      <c r="E872" s="2" t="s">
        <v>89</v>
      </c>
      <c r="F872" s="2" t="s">
        <v>45</v>
      </c>
      <c r="G872" s="2" t="s">
        <v>16</v>
      </c>
      <c r="H872" s="2" t="s">
        <v>216</v>
      </c>
      <c r="I872" s="2" t="s">
        <v>16</v>
      </c>
      <c r="J872" s="2" t="s">
        <v>665</v>
      </c>
    </row>
    <row r="873" spans="1:10" x14ac:dyDescent="0.35">
      <c r="A873" s="2" t="s">
        <v>10</v>
      </c>
      <c r="B873" s="2" t="s">
        <v>658</v>
      </c>
      <c r="C873" s="2" t="s">
        <v>24</v>
      </c>
      <c r="D873" s="2" t="s">
        <v>664</v>
      </c>
      <c r="E873" s="2" t="s">
        <v>100</v>
      </c>
      <c r="F873" s="2" t="s">
        <v>101</v>
      </c>
      <c r="G873" s="2"/>
      <c r="H873" s="2"/>
      <c r="I873" s="2"/>
      <c r="J873" s="2"/>
    </row>
    <row r="874" spans="1:10" x14ac:dyDescent="0.35">
      <c r="A874" s="2" t="s">
        <v>10</v>
      </c>
      <c r="B874" s="2" t="s">
        <v>658</v>
      </c>
      <c r="C874" s="2" t="s">
        <v>54</v>
      </c>
      <c r="D874" s="2" t="s">
        <v>666</v>
      </c>
      <c r="E874" s="2" t="s">
        <v>61</v>
      </c>
      <c r="F874" s="2" t="s">
        <v>30</v>
      </c>
      <c r="G874" s="2"/>
      <c r="H874" s="2"/>
      <c r="I874" s="2"/>
      <c r="J874" s="2"/>
    </row>
    <row r="875" spans="1:10" x14ac:dyDescent="0.35">
      <c r="A875" s="2" t="s">
        <v>10</v>
      </c>
      <c r="B875" s="2" t="s">
        <v>658</v>
      </c>
      <c r="C875" s="2" t="s">
        <v>62</v>
      </c>
      <c r="D875" s="2" t="s">
        <v>667</v>
      </c>
      <c r="E875" s="2" t="s">
        <v>87</v>
      </c>
      <c r="F875" s="2" t="s">
        <v>75</v>
      </c>
      <c r="G875" s="2" t="s">
        <v>16</v>
      </c>
      <c r="H875" s="2" t="s">
        <v>668</v>
      </c>
      <c r="I875" s="2"/>
      <c r="J875" s="2"/>
    </row>
    <row r="876" spans="1:10" x14ac:dyDescent="0.35">
      <c r="A876" s="2" t="s">
        <v>10</v>
      </c>
      <c r="B876" s="2" t="s">
        <v>658</v>
      </c>
      <c r="C876" s="2" t="s">
        <v>62</v>
      </c>
      <c r="D876" s="2" t="s">
        <v>667</v>
      </c>
      <c r="E876" s="2" t="s">
        <v>352</v>
      </c>
      <c r="F876" s="2" t="s">
        <v>107</v>
      </c>
      <c r="G876" s="2"/>
      <c r="H876" s="2"/>
      <c r="I876" s="2"/>
      <c r="J876" s="2"/>
    </row>
    <row r="877" spans="1:10" x14ac:dyDescent="0.35">
      <c r="A877" s="2" t="s">
        <v>10</v>
      </c>
      <c r="B877" s="2" t="s">
        <v>658</v>
      </c>
      <c r="C877" s="2" t="s">
        <v>62</v>
      </c>
      <c r="D877" s="2" t="s">
        <v>669</v>
      </c>
      <c r="E877" s="2" t="s">
        <v>27</v>
      </c>
      <c r="F877" s="2" t="s">
        <v>28</v>
      </c>
      <c r="G877" s="2"/>
      <c r="H877" s="2"/>
      <c r="I877" s="2"/>
      <c r="J877" s="2"/>
    </row>
    <row r="878" spans="1:10" x14ac:dyDescent="0.35">
      <c r="A878" s="2" t="s">
        <v>10</v>
      </c>
      <c r="B878" s="2" t="s">
        <v>658</v>
      </c>
      <c r="C878" s="2" t="s">
        <v>62</v>
      </c>
      <c r="D878" s="2" t="s">
        <v>669</v>
      </c>
      <c r="E878" s="2" t="s">
        <v>31</v>
      </c>
      <c r="F878" s="2" t="s">
        <v>32</v>
      </c>
      <c r="G878" s="2"/>
      <c r="H878" s="2"/>
      <c r="I878" s="2"/>
      <c r="J878" s="2"/>
    </row>
    <row r="879" spans="1:10" s="21" customFormat="1" x14ac:dyDescent="0.35">
      <c r="A879" s="2" t="s">
        <v>10</v>
      </c>
      <c r="B879" s="2" t="s">
        <v>670</v>
      </c>
      <c r="C879" s="2" t="s">
        <v>62</v>
      </c>
      <c r="D879" s="2" t="s">
        <v>671</v>
      </c>
      <c r="E879" s="2" t="s">
        <v>14</v>
      </c>
      <c r="F879" s="2" t="s">
        <v>15</v>
      </c>
      <c r="G879" s="2"/>
      <c r="H879" s="2"/>
      <c r="I879" s="2" t="s">
        <v>20</v>
      </c>
      <c r="J879" s="2" t="s">
        <v>672</v>
      </c>
    </row>
    <row r="880" spans="1:10" s="21" customFormat="1" x14ac:dyDescent="0.35">
      <c r="A880" s="2" t="s">
        <v>10</v>
      </c>
      <c r="B880" s="2" t="s">
        <v>670</v>
      </c>
      <c r="C880" s="2" t="s">
        <v>62</v>
      </c>
      <c r="D880" s="2" t="s">
        <v>671</v>
      </c>
      <c r="E880" s="2" t="s">
        <v>91</v>
      </c>
      <c r="F880" s="2" t="s">
        <v>19</v>
      </c>
      <c r="G880" s="2" t="s">
        <v>20</v>
      </c>
      <c r="H880" s="2" t="s">
        <v>673</v>
      </c>
      <c r="I880" s="2" t="s">
        <v>20</v>
      </c>
      <c r="J880" s="2" t="s">
        <v>672</v>
      </c>
    </row>
    <row r="881" spans="1:10" s="21" customFormat="1" x14ac:dyDescent="0.35">
      <c r="A881" s="2" t="s">
        <v>10</v>
      </c>
      <c r="B881" s="2" t="s">
        <v>670</v>
      </c>
      <c r="C881" s="2" t="s">
        <v>62</v>
      </c>
      <c r="D881" s="2" t="s">
        <v>671</v>
      </c>
      <c r="E881" s="2" t="s">
        <v>61</v>
      </c>
      <c r="F881" s="2" t="s">
        <v>30</v>
      </c>
      <c r="G881" s="2"/>
      <c r="H881" s="2"/>
      <c r="I881" s="2" t="s">
        <v>20</v>
      </c>
      <c r="J881" s="2" t="s">
        <v>672</v>
      </c>
    </row>
    <row r="882" spans="1:10" x14ac:dyDescent="0.35">
      <c r="A882" s="2" t="s">
        <v>10</v>
      </c>
      <c r="B882" s="2" t="s">
        <v>670</v>
      </c>
      <c r="C882" s="2" t="s">
        <v>24</v>
      </c>
      <c r="D882" s="2" t="s">
        <v>674</v>
      </c>
      <c r="E882" s="2" t="s">
        <v>74</v>
      </c>
      <c r="F882" s="2" t="s">
        <v>75</v>
      </c>
      <c r="G882" s="2" t="s">
        <v>46</v>
      </c>
      <c r="H882" s="2" t="s">
        <v>675</v>
      </c>
      <c r="I882" s="2"/>
      <c r="J882" s="2"/>
    </row>
    <row r="883" spans="1:10" x14ac:dyDescent="0.35">
      <c r="A883" s="2" t="s">
        <v>10</v>
      </c>
      <c r="B883" s="2" t="s">
        <v>670</v>
      </c>
      <c r="C883" s="2" t="s">
        <v>24</v>
      </c>
      <c r="D883" s="2" t="s">
        <v>674</v>
      </c>
      <c r="E883" s="2" t="s">
        <v>96</v>
      </c>
      <c r="F883" s="2" t="s">
        <v>83</v>
      </c>
      <c r="G883" s="2" t="s">
        <v>46</v>
      </c>
      <c r="H883" s="2" t="s">
        <v>675</v>
      </c>
      <c r="I883" s="2"/>
      <c r="J883" s="2"/>
    </row>
    <row r="884" spans="1:10" x14ac:dyDescent="0.35">
      <c r="A884" s="2" t="s">
        <v>10</v>
      </c>
      <c r="B884" s="2" t="s">
        <v>670</v>
      </c>
      <c r="C884" s="2" t="s">
        <v>24</v>
      </c>
      <c r="D884" s="2" t="s">
        <v>674</v>
      </c>
      <c r="E884" s="2" t="s">
        <v>38</v>
      </c>
      <c r="F884" s="2" t="s">
        <v>38</v>
      </c>
      <c r="G884" s="2" t="s">
        <v>46</v>
      </c>
      <c r="H884" s="2" t="s">
        <v>675</v>
      </c>
      <c r="I884" s="2"/>
      <c r="J884" s="2"/>
    </row>
    <row r="885" spans="1:10" x14ac:dyDescent="0.35">
      <c r="A885" s="2" t="s">
        <v>10</v>
      </c>
      <c r="B885" s="2" t="s">
        <v>670</v>
      </c>
      <c r="C885" s="2" t="s">
        <v>54</v>
      </c>
      <c r="D885" s="2" t="s">
        <v>676</v>
      </c>
      <c r="E885" s="2" t="s">
        <v>14</v>
      </c>
      <c r="F885" s="2" t="s">
        <v>15</v>
      </c>
      <c r="G885" s="2"/>
      <c r="H885" s="2"/>
      <c r="I885" s="2" t="s">
        <v>16</v>
      </c>
      <c r="J885" s="2" t="s">
        <v>672</v>
      </c>
    </row>
    <row r="886" spans="1:10" x14ac:dyDescent="0.35">
      <c r="A886" s="2" t="s">
        <v>10</v>
      </c>
      <c r="B886" s="2" t="s">
        <v>670</v>
      </c>
      <c r="C886" s="2" t="s">
        <v>54</v>
      </c>
      <c r="D886" s="2" t="s">
        <v>676</v>
      </c>
      <c r="E886" s="2" t="s">
        <v>74</v>
      </c>
      <c r="F886" s="2" t="s">
        <v>75</v>
      </c>
      <c r="G886" s="2" t="s">
        <v>16</v>
      </c>
      <c r="H886" s="2" t="s">
        <v>677</v>
      </c>
      <c r="I886" s="2" t="s">
        <v>16</v>
      </c>
      <c r="J886" s="2" t="s">
        <v>672</v>
      </c>
    </row>
    <row r="887" spans="1:10" x14ac:dyDescent="0.35">
      <c r="A887" s="2" t="s">
        <v>10</v>
      </c>
      <c r="B887" s="2" t="s">
        <v>670</v>
      </c>
      <c r="C887" s="2" t="s">
        <v>54</v>
      </c>
      <c r="D887" s="2" t="s">
        <v>676</v>
      </c>
      <c r="E887" s="2" t="s">
        <v>393</v>
      </c>
      <c r="F887" s="2" t="s">
        <v>36</v>
      </c>
      <c r="G887" s="2" t="s">
        <v>16</v>
      </c>
      <c r="H887" s="2" t="s">
        <v>191</v>
      </c>
      <c r="I887" s="2" t="s">
        <v>16</v>
      </c>
      <c r="J887" s="2" t="s">
        <v>672</v>
      </c>
    </row>
    <row r="888" spans="1:10" x14ac:dyDescent="0.35">
      <c r="A888" s="2" t="s">
        <v>10</v>
      </c>
      <c r="B888" s="2" t="s">
        <v>670</v>
      </c>
      <c r="C888" s="2" t="s">
        <v>54</v>
      </c>
      <c r="D888" s="2" t="s">
        <v>676</v>
      </c>
      <c r="E888" s="2" t="s">
        <v>176</v>
      </c>
      <c r="F888" s="2" t="s">
        <v>40</v>
      </c>
      <c r="G888" s="2"/>
      <c r="H888" s="2"/>
      <c r="I888" s="2" t="s">
        <v>16</v>
      </c>
      <c r="J888" s="2" t="s">
        <v>672</v>
      </c>
    </row>
    <row r="889" spans="1:10" x14ac:dyDescent="0.35">
      <c r="A889" s="2" t="s">
        <v>10</v>
      </c>
      <c r="B889" s="2" t="s">
        <v>670</v>
      </c>
      <c r="C889" s="2" t="s">
        <v>54</v>
      </c>
      <c r="D889" s="2" t="s">
        <v>676</v>
      </c>
      <c r="E889" s="2" t="s">
        <v>33</v>
      </c>
      <c r="F889" s="2" t="s">
        <v>34</v>
      </c>
      <c r="G889" s="2" t="s">
        <v>16</v>
      </c>
      <c r="H889" s="2" t="s">
        <v>191</v>
      </c>
      <c r="I889" s="2" t="s">
        <v>16</v>
      </c>
      <c r="J889" s="2" t="s">
        <v>672</v>
      </c>
    </row>
    <row r="890" spans="1:10" x14ac:dyDescent="0.35">
      <c r="A890" s="2" t="s">
        <v>10</v>
      </c>
      <c r="B890" s="2" t="s">
        <v>670</v>
      </c>
      <c r="C890" s="2" t="s">
        <v>57</v>
      </c>
      <c r="D890" s="2" t="s">
        <v>678</v>
      </c>
      <c r="E890" s="2" t="s">
        <v>74</v>
      </c>
      <c r="F890" s="2" t="s">
        <v>75</v>
      </c>
      <c r="G890" s="2" t="s">
        <v>16</v>
      </c>
      <c r="H890" s="2" t="s">
        <v>679</v>
      </c>
      <c r="I890" s="2" t="s">
        <v>16</v>
      </c>
      <c r="J890" s="2" t="s">
        <v>672</v>
      </c>
    </row>
    <row r="891" spans="1:10" x14ac:dyDescent="0.35">
      <c r="A891" s="2" t="s">
        <v>10</v>
      </c>
      <c r="B891" s="2" t="s">
        <v>670</v>
      </c>
      <c r="C891" s="2" t="s">
        <v>57</v>
      </c>
      <c r="D891" s="2" t="s">
        <v>678</v>
      </c>
      <c r="E891" s="2" t="s">
        <v>59</v>
      </c>
      <c r="F891" s="2" t="s">
        <v>60</v>
      </c>
      <c r="G891" s="2"/>
      <c r="H891" s="2"/>
      <c r="I891" s="2" t="s">
        <v>16</v>
      </c>
      <c r="J891" s="2" t="s">
        <v>672</v>
      </c>
    </row>
    <row r="892" spans="1:10" x14ac:dyDescent="0.35">
      <c r="A892" s="2" t="s">
        <v>10</v>
      </c>
      <c r="B892" s="2" t="s">
        <v>670</v>
      </c>
      <c r="C892" s="2" t="s">
        <v>57</v>
      </c>
      <c r="D892" s="2" t="s">
        <v>678</v>
      </c>
      <c r="E892" s="2" t="s">
        <v>188</v>
      </c>
      <c r="F892" s="2" t="s">
        <v>189</v>
      </c>
      <c r="G892" s="2" t="s">
        <v>16</v>
      </c>
      <c r="H892" s="2" t="s">
        <v>680</v>
      </c>
      <c r="I892" s="2" t="s">
        <v>16</v>
      </c>
      <c r="J892" s="2" t="s">
        <v>672</v>
      </c>
    </row>
    <row r="893" spans="1:10" x14ac:dyDescent="0.35">
      <c r="A893" s="2" t="s">
        <v>10</v>
      </c>
      <c r="B893" s="2" t="s">
        <v>670</v>
      </c>
      <c r="C893" s="2" t="s">
        <v>57</v>
      </c>
      <c r="D893" s="2" t="s">
        <v>678</v>
      </c>
      <c r="E893" s="2" t="s">
        <v>112</v>
      </c>
      <c r="F893" s="2" t="s">
        <v>113</v>
      </c>
      <c r="G893" s="2" t="s">
        <v>16</v>
      </c>
      <c r="H893" s="2" t="s">
        <v>465</v>
      </c>
      <c r="I893" s="2" t="s">
        <v>16</v>
      </c>
      <c r="J893" s="2" t="s">
        <v>672</v>
      </c>
    </row>
    <row r="894" spans="1:10" x14ac:dyDescent="0.35">
      <c r="A894" s="2" t="s">
        <v>10</v>
      </c>
      <c r="B894" s="2" t="s">
        <v>670</v>
      </c>
      <c r="C894" s="2" t="s">
        <v>54</v>
      </c>
      <c r="D894" s="2" t="s">
        <v>681</v>
      </c>
      <c r="E894" s="2" t="s">
        <v>91</v>
      </c>
      <c r="F894" s="2" t="s">
        <v>19</v>
      </c>
      <c r="G894" s="2" t="s">
        <v>16</v>
      </c>
      <c r="H894" s="2" t="s">
        <v>524</v>
      </c>
      <c r="I894" s="2"/>
      <c r="J894" s="2"/>
    </row>
    <row r="895" spans="1:10" s="21" customFormat="1" x14ac:dyDescent="0.35">
      <c r="A895" s="2" t="s">
        <v>10</v>
      </c>
      <c r="B895" s="2" t="s">
        <v>670</v>
      </c>
      <c r="C895" s="2" t="s">
        <v>12</v>
      </c>
      <c r="D895" s="2" t="s">
        <v>682</v>
      </c>
      <c r="E895" s="2" t="s">
        <v>14</v>
      </c>
      <c r="F895" s="2" t="s">
        <v>15</v>
      </c>
      <c r="G895" s="2"/>
      <c r="H895" s="2"/>
      <c r="I895" s="2" t="s">
        <v>16</v>
      </c>
      <c r="J895" s="2" t="s">
        <v>672</v>
      </c>
    </row>
    <row r="896" spans="1:10" s="21" customFormat="1" x14ac:dyDescent="0.35">
      <c r="A896" s="2" t="s">
        <v>10</v>
      </c>
      <c r="B896" s="2" t="s">
        <v>670</v>
      </c>
      <c r="C896" s="2" t="s">
        <v>12</v>
      </c>
      <c r="D896" s="2" t="s">
        <v>682</v>
      </c>
      <c r="E896" s="2" t="s">
        <v>91</v>
      </c>
      <c r="F896" s="2" t="s">
        <v>19</v>
      </c>
      <c r="G896" s="2"/>
      <c r="H896" s="2"/>
      <c r="I896" s="2" t="s">
        <v>16</v>
      </c>
      <c r="J896" s="2" t="s">
        <v>672</v>
      </c>
    </row>
    <row r="897" spans="1:10" s="21" customFormat="1" x14ac:dyDescent="0.35">
      <c r="A897" s="2" t="s">
        <v>10</v>
      </c>
      <c r="B897" s="2" t="s">
        <v>670</v>
      </c>
      <c r="C897" s="2" t="s">
        <v>12</v>
      </c>
      <c r="D897" s="2" t="s">
        <v>682</v>
      </c>
      <c r="E897" s="2" t="s">
        <v>188</v>
      </c>
      <c r="F897" s="2" t="s">
        <v>189</v>
      </c>
      <c r="G897" s="2"/>
      <c r="H897" s="2"/>
      <c r="I897" s="2" t="s">
        <v>16</v>
      </c>
      <c r="J897" s="2" t="s">
        <v>672</v>
      </c>
    </row>
    <row r="898" spans="1:10" x14ac:dyDescent="0.35">
      <c r="A898" s="2" t="s">
        <v>10</v>
      </c>
      <c r="B898" s="2" t="s">
        <v>670</v>
      </c>
      <c r="C898" s="2" t="s">
        <v>24</v>
      </c>
      <c r="D898" s="2" t="s">
        <v>683</v>
      </c>
      <c r="E898" s="2" t="s">
        <v>31</v>
      </c>
      <c r="F898" s="2" t="s">
        <v>32</v>
      </c>
      <c r="G898" s="2"/>
      <c r="H898" s="2"/>
      <c r="I898" s="2" t="s">
        <v>16</v>
      </c>
      <c r="J898" s="2" t="s">
        <v>672</v>
      </c>
    </row>
    <row r="899" spans="1:10" x14ac:dyDescent="0.35">
      <c r="A899" s="2" t="s">
        <v>10</v>
      </c>
      <c r="B899" s="2" t="s">
        <v>670</v>
      </c>
      <c r="C899" s="2" t="s">
        <v>24</v>
      </c>
      <c r="D899" s="2" t="s">
        <v>683</v>
      </c>
      <c r="E899" s="2" t="s">
        <v>121</v>
      </c>
      <c r="F899" s="2" t="s">
        <v>122</v>
      </c>
      <c r="G899" s="2"/>
      <c r="H899" s="2"/>
      <c r="I899" s="2" t="s">
        <v>16</v>
      </c>
      <c r="J899" s="2" t="s">
        <v>672</v>
      </c>
    </row>
    <row r="900" spans="1:10" x14ac:dyDescent="0.35">
      <c r="A900" s="2" t="s">
        <v>10</v>
      </c>
      <c r="B900" s="2" t="s">
        <v>670</v>
      </c>
      <c r="C900" s="2" t="s">
        <v>24</v>
      </c>
      <c r="D900" s="2" t="s">
        <v>683</v>
      </c>
      <c r="E900" s="2" t="s">
        <v>91</v>
      </c>
      <c r="F900" s="2" t="s">
        <v>19</v>
      </c>
      <c r="G900" s="2" t="s">
        <v>16</v>
      </c>
      <c r="H900" s="2" t="s">
        <v>684</v>
      </c>
      <c r="I900" s="2" t="s">
        <v>16</v>
      </c>
      <c r="J900" s="2" t="s">
        <v>672</v>
      </c>
    </row>
    <row r="901" spans="1:10" x14ac:dyDescent="0.35">
      <c r="A901" s="2" t="s">
        <v>10</v>
      </c>
      <c r="B901" s="2" t="s">
        <v>670</v>
      </c>
      <c r="C901" s="2" t="s">
        <v>24</v>
      </c>
      <c r="D901" s="2" t="s">
        <v>683</v>
      </c>
      <c r="E901" s="2" t="s">
        <v>61</v>
      </c>
      <c r="F901" s="2" t="s">
        <v>30</v>
      </c>
      <c r="G901" s="2"/>
      <c r="H901" s="2"/>
      <c r="I901" s="2" t="s">
        <v>16</v>
      </c>
      <c r="J901" s="2" t="s">
        <v>672</v>
      </c>
    </row>
    <row r="902" spans="1:10" x14ac:dyDescent="0.35">
      <c r="A902" s="2" t="s">
        <v>10</v>
      </c>
      <c r="B902" s="2" t="s">
        <v>670</v>
      </c>
      <c r="C902" s="2" t="s">
        <v>24</v>
      </c>
      <c r="D902" s="2" t="s">
        <v>683</v>
      </c>
      <c r="E902" s="2" t="s">
        <v>188</v>
      </c>
      <c r="F902" s="2" t="s">
        <v>189</v>
      </c>
      <c r="G902" s="2" t="s">
        <v>16</v>
      </c>
      <c r="H902" s="2"/>
      <c r="I902" s="2" t="s">
        <v>16</v>
      </c>
      <c r="J902" s="2" t="s">
        <v>672</v>
      </c>
    </row>
    <row r="903" spans="1:10" x14ac:dyDescent="0.35">
      <c r="A903" s="2" t="s">
        <v>10</v>
      </c>
      <c r="B903" s="2" t="s">
        <v>670</v>
      </c>
      <c r="C903" s="2" t="s">
        <v>62</v>
      </c>
      <c r="D903" s="2" t="s">
        <v>685</v>
      </c>
      <c r="E903" s="2" t="s">
        <v>74</v>
      </c>
      <c r="F903" s="2" t="s">
        <v>75</v>
      </c>
      <c r="G903" s="2" t="s">
        <v>16</v>
      </c>
      <c r="H903" s="2" t="s">
        <v>686</v>
      </c>
      <c r="I903" s="2" t="s">
        <v>16</v>
      </c>
      <c r="J903" s="2" t="s">
        <v>672</v>
      </c>
    </row>
    <row r="904" spans="1:10" x14ac:dyDescent="0.35">
      <c r="A904" s="2" t="s">
        <v>10</v>
      </c>
      <c r="B904" s="2" t="s">
        <v>670</v>
      </c>
      <c r="C904" s="2" t="s">
        <v>62</v>
      </c>
      <c r="D904" s="2" t="s">
        <v>685</v>
      </c>
      <c r="E904" s="2" t="s">
        <v>18</v>
      </c>
      <c r="F904" s="2" t="s">
        <v>19</v>
      </c>
      <c r="G904" s="2" t="s">
        <v>16</v>
      </c>
      <c r="H904" s="2" t="s">
        <v>686</v>
      </c>
      <c r="I904" s="2" t="s">
        <v>16</v>
      </c>
      <c r="J904" s="2" t="s">
        <v>672</v>
      </c>
    </row>
    <row r="905" spans="1:10" x14ac:dyDescent="0.35">
      <c r="A905" s="2" t="s">
        <v>10</v>
      </c>
      <c r="B905" s="2" t="s">
        <v>670</v>
      </c>
      <c r="C905" s="2" t="s">
        <v>62</v>
      </c>
      <c r="D905" s="2" t="s">
        <v>685</v>
      </c>
      <c r="E905" s="2" t="s">
        <v>61</v>
      </c>
      <c r="F905" s="2" t="s">
        <v>30</v>
      </c>
      <c r="G905" s="2"/>
      <c r="H905" s="2"/>
      <c r="I905" s="2" t="s">
        <v>16</v>
      </c>
      <c r="J905" s="2" t="s">
        <v>672</v>
      </c>
    </row>
    <row r="906" spans="1:10" x14ac:dyDescent="0.35">
      <c r="A906" s="2" t="s">
        <v>10</v>
      </c>
      <c r="B906" s="2" t="s">
        <v>670</v>
      </c>
      <c r="C906" s="2" t="s">
        <v>62</v>
      </c>
      <c r="D906" s="2" t="s">
        <v>685</v>
      </c>
      <c r="E906" s="2" t="s">
        <v>423</v>
      </c>
      <c r="F906" s="2" t="s">
        <v>424</v>
      </c>
      <c r="G906" s="2"/>
      <c r="H906" s="2"/>
      <c r="I906" s="2" t="s">
        <v>16</v>
      </c>
      <c r="J906" s="2" t="s">
        <v>672</v>
      </c>
    </row>
    <row r="907" spans="1:10" x14ac:dyDescent="0.35">
      <c r="A907" s="2" t="s">
        <v>10</v>
      </c>
      <c r="B907" s="2" t="s">
        <v>670</v>
      </c>
      <c r="C907" s="2" t="s">
        <v>62</v>
      </c>
      <c r="D907" s="2" t="s">
        <v>685</v>
      </c>
      <c r="E907" s="2" t="s">
        <v>127</v>
      </c>
      <c r="F907" s="2" t="s">
        <v>107</v>
      </c>
      <c r="G907" s="2"/>
      <c r="H907" s="2"/>
      <c r="I907" s="2" t="s">
        <v>16</v>
      </c>
      <c r="J907" s="2" t="s">
        <v>672</v>
      </c>
    </row>
    <row r="908" spans="1:10" s="21" customFormat="1" x14ac:dyDescent="0.35">
      <c r="A908" s="2" t="s">
        <v>10</v>
      </c>
      <c r="B908" s="2" t="s">
        <v>670</v>
      </c>
      <c r="C908" s="2" t="s">
        <v>62</v>
      </c>
      <c r="D908" s="2" t="s">
        <v>687</v>
      </c>
      <c r="E908" s="2" t="s">
        <v>106</v>
      </c>
      <c r="F908" s="2" t="s">
        <v>107</v>
      </c>
      <c r="G908" s="2"/>
      <c r="H908" s="2"/>
      <c r="I908" s="2"/>
      <c r="J908" s="2"/>
    </row>
    <row r="909" spans="1:10" x14ac:dyDescent="0.35">
      <c r="A909" s="2" t="s">
        <v>10</v>
      </c>
      <c r="B909" s="2" t="s">
        <v>670</v>
      </c>
      <c r="C909" s="2" t="s">
        <v>62</v>
      </c>
      <c r="D909" s="2" t="s">
        <v>688</v>
      </c>
      <c r="E909" s="2" t="s">
        <v>18</v>
      </c>
      <c r="F909" s="2" t="s">
        <v>19</v>
      </c>
      <c r="G909" s="2" t="s">
        <v>16</v>
      </c>
      <c r="H909" s="2" t="s">
        <v>689</v>
      </c>
      <c r="I909" s="2" t="s">
        <v>16</v>
      </c>
      <c r="J909" s="2" t="s">
        <v>690</v>
      </c>
    </row>
    <row r="910" spans="1:10" x14ac:dyDescent="0.35">
      <c r="A910" s="2" t="s">
        <v>10</v>
      </c>
      <c r="B910" s="2" t="s">
        <v>670</v>
      </c>
      <c r="C910" s="2" t="s">
        <v>62</v>
      </c>
      <c r="D910" s="2" t="s">
        <v>688</v>
      </c>
      <c r="E910" s="2" t="s">
        <v>691</v>
      </c>
      <c r="F910" s="2" t="s">
        <v>45</v>
      </c>
      <c r="G910" s="2" t="s">
        <v>16</v>
      </c>
      <c r="H910" s="2" t="s">
        <v>692</v>
      </c>
      <c r="I910" s="2" t="s">
        <v>16</v>
      </c>
      <c r="J910" s="2" t="s">
        <v>672</v>
      </c>
    </row>
    <row r="911" spans="1:10" x14ac:dyDescent="0.35">
      <c r="A911" s="2" t="s">
        <v>10</v>
      </c>
      <c r="B911" s="2" t="s">
        <v>670</v>
      </c>
      <c r="C911" s="2" t="s">
        <v>62</v>
      </c>
      <c r="D911" s="2" t="s">
        <v>688</v>
      </c>
      <c r="E911" s="2" t="s">
        <v>61</v>
      </c>
      <c r="F911" s="2" t="s">
        <v>30</v>
      </c>
      <c r="G911" s="2"/>
      <c r="H911" s="2"/>
      <c r="I911" s="2" t="s">
        <v>16</v>
      </c>
      <c r="J911" s="2" t="s">
        <v>672</v>
      </c>
    </row>
    <row r="912" spans="1:10" x14ac:dyDescent="0.35">
      <c r="A912" s="2" t="s">
        <v>10</v>
      </c>
      <c r="B912" s="2" t="s">
        <v>670</v>
      </c>
      <c r="C912" s="2" t="s">
        <v>62</v>
      </c>
      <c r="D912" s="2" t="s">
        <v>688</v>
      </c>
      <c r="E912" s="2" t="s">
        <v>423</v>
      </c>
      <c r="F912" s="2" t="s">
        <v>424</v>
      </c>
      <c r="G912" s="2"/>
      <c r="H912" s="2"/>
      <c r="I912" s="2" t="s">
        <v>16</v>
      </c>
      <c r="J912" s="2" t="s">
        <v>690</v>
      </c>
    </row>
    <row r="913" spans="1:10" x14ac:dyDescent="0.35">
      <c r="A913" s="2" t="s">
        <v>10</v>
      </c>
      <c r="B913" s="2" t="s">
        <v>693</v>
      </c>
      <c r="C913" s="2" t="s">
        <v>54</v>
      </c>
      <c r="D913" s="2" t="s">
        <v>694</v>
      </c>
      <c r="E913" s="2" t="s">
        <v>27</v>
      </c>
      <c r="F913" s="2" t="s">
        <v>28</v>
      </c>
      <c r="G913" s="2"/>
      <c r="H913" s="2"/>
      <c r="I913" s="2" t="s">
        <v>16</v>
      </c>
      <c r="J913" s="2" t="s">
        <v>695</v>
      </c>
    </row>
    <row r="914" spans="1:10" x14ac:dyDescent="0.35">
      <c r="A914" s="2" t="s">
        <v>10</v>
      </c>
      <c r="B914" s="2" t="s">
        <v>693</v>
      </c>
      <c r="C914" s="2" t="s">
        <v>54</v>
      </c>
      <c r="D914" s="2" t="s">
        <v>694</v>
      </c>
      <c r="E914" s="2" t="s">
        <v>120</v>
      </c>
      <c r="F914" s="2" t="s">
        <v>32</v>
      </c>
      <c r="G914" s="2"/>
      <c r="H914" s="2"/>
      <c r="I914" s="2" t="s">
        <v>16</v>
      </c>
      <c r="J914" s="2" t="s">
        <v>695</v>
      </c>
    </row>
    <row r="915" spans="1:10" x14ac:dyDescent="0.35">
      <c r="A915" s="2" t="s">
        <v>10</v>
      </c>
      <c r="B915" s="2" t="s">
        <v>693</v>
      </c>
      <c r="C915" s="2" t="s">
        <v>54</v>
      </c>
      <c r="D915" s="2" t="s">
        <v>694</v>
      </c>
      <c r="E915" s="2" t="s">
        <v>393</v>
      </c>
      <c r="F915" s="2" t="s">
        <v>36</v>
      </c>
      <c r="G915" s="2"/>
      <c r="H915" s="2"/>
      <c r="I915" s="2" t="s">
        <v>16</v>
      </c>
      <c r="J915" s="2" t="s">
        <v>695</v>
      </c>
    </row>
    <row r="916" spans="1:10" x14ac:dyDescent="0.35">
      <c r="A916" s="2" t="s">
        <v>10</v>
      </c>
      <c r="B916" s="2" t="s">
        <v>693</v>
      </c>
      <c r="C916" s="2" t="s">
        <v>54</v>
      </c>
      <c r="D916" s="2" t="s">
        <v>694</v>
      </c>
      <c r="E916" s="2" t="s">
        <v>156</v>
      </c>
      <c r="F916" s="2" t="s">
        <v>45</v>
      </c>
      <c r="G916" s="2" t="s">
        <v>16</v>
      </c>
      <c r="H916" s="2" t="s">
        <v>696</v>
      </c>
      <c r="I916" s="2" t="s">
        <v>16</v>
      </c>
      <c r="J916" s="2" t="s">
        <v>695</v>
      </c>
    </row>
    <row r="917" spans="1:10" x14ac:dyDescent="0.35">
      <c r="A917" s="2" t="s">
        <v>10</v>
      </c>
      <c r="B917" s="2" t="s">
        <v>693</v>
      </c>
      <c r="C917" s="2" t="s">
        <v>57</v>
      </c>
      <c r="D917" s="2" t="s">
        <v>697</v>
      </c>
      <c r="E917" s="2" t="s">
        <v>27</v>
      </c>
      <c r="F917" s="2" t="s">
        <v>28</v>
      </c>
      <c r="G917" s="2"/>
      <c r="H917" s="2"/>
      <c r="I917" s="2" t="s">
        <v>16</v>
      </c>
      <c r="J917" s="2" t="s">
        <v>698</v>
      </c>
    </row>
    <row r="918" spans="1:10" x14ac:dyDescent="0.35">
      <c r="A918" s="2" t="s">
        <v>10</v>
      </c>
      <c r="B918" s="2" t="s">
        <v>693</v>
      </c>
      <c r="C918" s="2" t="s">
        <v>57</v>
      </c>
      <c r="D918" s="2" t="s">
        <v>697</v>
      </c>
      <c r="E918" s="2" t="s">
        <v>31</v>
      </c>
      <c r="F918" s="2" t="s">
        <v>32</v>
      </c>
      <c r="G918" s="2"/>
      <c r="H918" s="2"/>
      <c r="I918" s="2" t="s">
        <v>16</v>
      </c>
      <c r="J918" s="2" t="s">
        <v>698</v>
      </c>
    </row>
    <row r="919" spans="1:10" x14ac:dyDescent="0.35">
      <c r="A919" s="2" t="s">
        <v>10</v>
      </c>
      <c r="B919" s="2" t="s">
        <v>693</v>
      </c>
      <c r="C919" s="2" t="s">
        <v>57</v>
      </c>
      <c r="D919" s="2" t="s">
        <v>697</v>
      </c>
      <c r="E919" s="2" t="s">
        <v>211</v>
      </c>
      <c r="F919" s="2" t="s">
        <v>203</v>
      </c>
      <c r="G919" s="2"/>
      <c r="H919" s="2"/>
      <c r="I919" s="2" t="s">
        <v>16</v>
      </c>
      <c r="J919" s="2" t="s">
        <v>698</v>
      </c>
    </row>
    <row r="920" spans="1:10" x14ac:dyDescent="0.35">
      <c r="A920" s="2" t="s">
        <v>10</v>
      </c>
      <c r="B920" s="2" t="s">
        <v>693</v>
      </c>
      <c r="C920" s="2" t="s">
        <v>57</v>
      </c>
      <c r="D920" s="2" t="s">
        <v>697</v>
      </c>
      <c r="E920" s="2" t="s">
        <v>59</v>
      </c>
      <c r="F920" s="2" t="s">
        <v>60</v>
      </c>
      <c r="G920" s="2"/>
      <c r="H920" s="2"/>
      <c r="I920" s="2" t="s">
        <v>16</v>
      </c>
      <c r="J920" s="2" t="s">
        <v>698</v>
      </c>
    </row>
    <row r="921" spans="1:10" s="21" customFormat="1" x14ac:dyDescent="0.35">
      <c r="A921" s="2" t="s">
        <v>10</v>
      </c>
      <c r="B921" s="2" t="s">
        <v>693</v>
      </c>
      <c r="C921" s="2" t="s">
        <v>57</v>
      </c>
      <c r="D921" s="2" t="s">
        <v>697</v>
      </c>
      <c r="E921" s="2" t="s">
        <v>291</v>
      </c>
      <c r="F921" s="2" t="s">
        <v>139</v>
      </c>
      <c r="G921" s="2"/>
      <c r="H921" s="2"/>
      <c r="I921" s="2" t="s">
        <v>16</v>
      </c>
      <c r="J921" s="2" t="s">
        <v>698</v>
      </c>
    </row>
    <row r="922" spans="1:10" x14ac:dyDescent="0.35">
      <c r="A922" s="2" t="s">
        <v>10</v>
      </c>
      <c r="B922" s="2" t="s">
        <v>693</v>
      </c>
      <c r="C922" s="2" t="s">
        <v>57</v>
      </c>
      <c r="D922" s="2" t="s">
        <v>697</v>
      </c>
      <c r="E922" s="2" t="s">
        <v>699</v>
      </c>
      <c r="F922" s="2" t="s">
        <v>36</v>
      </c>
      <c r="G922" s="2"/>
      <c r="H922" s="2"/>
      <c r="I922" s="2" t="s">
        <v>16</v>
      </c>
      <c r="J922" s="2" t="s">
        <v>698</v>
      </c>
    </row>
    <row r="923" spans="1:10" x14ac:dyDescent="0.35">
      <c r="A923" s="2" t="s">
        <v>10</v>
      </c>
      <c r="B923" s="2" t="s">
        <v>693</v>
      </c>
      <c r="C923" s="2" t="s">
        <v>57</v>
      </c>
      <c r="D923" s="2" t="s">
        <v>697</v>
      </c>
      <c r="E923" s="2" t="s">
        <v>156</v>
      </c>
      <c r="F923" s="2" t="s">
        <v>45</v>
      </c>
      <c r="G923" s="2" t="s">
        <v>16</v>
      </c>
      <c r="H923" s="2" t="s">
        <v>700</v>
      </c>
      <c r="I923" s="2" t="s">
        <v>16</v>
      </c>
      <c r="J923" s="2" t="s">
        <v>698</v>
      </c>
    </row>
    <row r="924" spans="1:10" x14ac:dyDescent="0.35">
      <c r="A924" s="2" t="s">
        <v>10</v>
      </c>
      <c r="B924" s="2" t="s">
        <v>693</v>
      </c>
      <c r="C924" s="2" t="s">
        <v>57</v>
      </c>
      <c r="D924" s="2" t="s">
        <v>697</v>
      </c>
      <c r="E924" s="2" t="s">
        <v>188</v>
      </c>
      <c r="F924" s="2" t="s">
        <v>189</v>
      </c>
      <c r="G924" s="2" t="s">
        <v>16</v>
      </c>
      <c r="H924" s="2" t="s">
        <v>701</v>
      </c>
      <c r="I924" s="2" t="s">
        <v>16</v>
      </c>
      <c r="J924" s="2" t="s">
        <v>698</v>
      </c>
    </row>
    <row r="925" spans="1:10" x14ac:dyDescent="0.35">
      <c r="A925" s="2" t="s">
        <v>10</v>
      </c>
      <c r="B925" s="2" t="s">
        <v>693</v>
      </c>
      <c r="C925" s="2" t="s">
        <v>57</v>
      </c>
      <c r="D925" s="2" t="s">
        <v>697</v>
      </c>
      <c r="E925" s="2" t="s">
        <v>149</v>
      </c>
      <c r="F925" s="2" t="s">
        <v>150</v>
      </c>
      <c r="G925" s="2" t="s">
        <v>16</v>
      </c>
      <c r="H925" s="2" t="s">
        <v>702</v>
      </c>
      <c r="I925" s="2" t="s">
        <v>16</v>
      </c>
      <c r="J925" s="2" t="s">
        <v>698</v>
      </c>
    </row>
    <row r="926" spans="1:10" x14ac:dyDescent="0.35">
      <c r="A926" s="2" t="s">
        <v>10</v>
      </c>
      <c r="B926" s="2" t="s">
        <v>693</v>
      </c>
      <c r="C926" s="2" t="s">
        <v>62</v>
      </c>
      <c r="D926" s="2" t="s">
        <v>703</v>
      </c>
      <c r="E926" s="2" t="s">
        <v>352</v>
      </c>
      <c r="F926" s="2" t="s">
        <v>107</v>
      </c>
      <c r="G926" s="2"/>
      <c r="H926" s="2"/>
      <c r="I926" s="2"/>
      <c r="J926" s="2"/>
    </row>
    <row r="927" spans="1:10" x14ac:dyDescent="0.35">
      <c r="A927" s="2" t="s">
        <v>10</v>
      </c>
      <c r="B927" s="2" t="s">
        <v>693</v>
      </c>
      <c r="C927" s="2" t="s">
        <v>62</v>
      </c>
      <c r="D927" s="2" t="s">
        <v>704</v>
      </c>
      <c r="E927" s="2" t="s">
        <v>705</v>
      </c>
      <c r="F927" s="2" t="s">
        <v>75</v>
      </c>
      <c r="G927" s="2"/>
      <c r="H927" s="2"/>
      <c r="I927" s="2"/>
      <c r="J927" s="2"/>
    </row>
    <row r="928" spans="1:10" x14ac:dyDescent="0.35">
      <c r="A928" s="2" t="s">
        <v>10</v>
      </c>
      <c r="B928" s="2" t="s">
        <v>693</v>
      </c>
      <c r="C928" s="2" t="s">
        <v>62</v>
      </c>
      <c r="D928" s="2" t="s">
        <v>704</v>
      </c>
      <c r="E928" s="2" t="s">
        <v>87</v>
      </c>
      <c r="F928" s="2" t="s">
        <v>75</v>
      </c>
      <c r="G928" s="2" t="s">
        <v>16</v>
      </c>
      <c r="H928" s="2" t="s">
        <v>706</v>
      </c>
      <c r="I928" s="2"/>
      <c r="J928" s="2"/>
    </row>
    <row r="929" spans="1:10" x14ac:dyDescent="0.35">
      <c r="A929" s="2" t="s">
        <v>10</v>
      </c>
      <c r="B929" s="2" t="s">
        <v>693</v>
      </c>
      <c r="C929" s="2" t="s">
        <v>24</v>
      </c>
      <c r="D929" s="2" t="s">
        <v>707</v>
      </c>
      <c r="E929" s="2" t="s">
        <v>121</v>
      </c>
      <c r="F929" s="2" t="s">
        <v>122</v>
      </c>
      <c r="G929" s="2" t="s">
        <v>16</v>
      </c>
      <c r="H929" s="2" t="s">
        <v>524</v>
      </c>
      <c r="I929" s="2" t="s">
        <v>16</v>
      </c>
      <c r="J929" s="2" t="s">
        <v>695</v>
      </c>
    </row>
    <row r="930" spans="1:10" x14ac:dyDescent="0.35">
      <c r="A930" s="2" t="s">
        <v>10</v>
      </c>
      <c r="B930" s="2" t="s">
        <v>693</v>
      </c>
      <c r="C930" s="2" t="s">
        <v>24</v>
      </c>
      <c r="D930" s="2" t="s">
        <v>707</v>
      </c>
      <c r="E930" s="2" t="s">
        <v>708</v>
      </c>
      <c r="F930" s="2" t="s">
        <v>125</v>
      </c>
      <c r="G930" s="2" t="s">
        <v>16</v>
      </c>
      <c r="H930" s="2" t="s">
        <v>709</v>
      </c>
      <c r="I930" s="2" t="s">
        <v>16</v>
      </c>
      <c r="J930" s="2" t="s">
        <v>695</v>
      </c>
    </row>
    <row r="931" spans="1:10" x14ac:dyDescent="0.35">
      <c r="A931" s="2" t="s">
        <v>10</v>
      </c>
      <c r="B931" s="2" t="s">
        <v>693</v>
      </c>
      <c r="C931" s="2" t="s">
        <v>24</v>
      </c>
      <c r="D931" s="2" t="s">
        <v>707</v>
      </c>
      <c r="E931" s="2" t="s">
        <v>699</v>
      </c>
      <c r="F931" s="2" t="s">
        <v>36</v>
      </c>
      <c r="G931" s="2" t="s">
        <v>16</v>
      </c>
      <c r="H931" s="2" t="s">
        <v>524</v>
      </c>
      <c r="I931" s="2" t="s">
        <v>16</v>
      </c>
      <c r="J931" s="2" t="s">
        <v>695</v>
      </c>
    </row>
    <row r="932" spans="1:10" x14ac:dyDescent="0.35">
      <c r="A932" s="2" t="s">
        <v>10</v>
      </c>
      <c r="B932" s="2" t="s">
        <v>693</v>
      </c>
      <c r="C932" s="2" t="s">
        <v>24</v>
      </c>
      <c r="D932" s="2" t="s">
        <v>707</v>
      </c>
      <c r="E932" s="2" t="s">
        <v>18</v>
      </c>
      <c r="F932" s="2" t="s">
        <v>19</v>
      </c>
      <c r="G932" s="2" t="s">
        <v>16</v>
      </c>
      <c r="H932" s="2" t="s">
        <v>710</v>
      </c>
      <c r="I932" s="2" t="s">
        <v>16</v>
      </c>
      <c r="J932" s="2" t="s">
        <v>695</v>
      </c>
    </row>
    <row r="933" spans="1:10" x14ac:dyDescent="0.35">
      <c r="A933" s="2" t="s">
        <v>10</v>
      </c>
      <c r="B933" s="2" t="s">
        <v>693</v>
      </c>
      <c r="C933" s="2" t="s">
        <v>24</v>
      </c>
      <c r="D933" s="2" t="s">
        <v>711</v>
      </c>
      <c r="E933" s="2" t="s">
        <v>14</v>
      </c>
      <c r="F933" s="2" t="s">
        <v>15</v>
      </c>
      <c r="G933" s="2"/>
      <c r="H933" s="2"/>
      <c r="I933" s="2" t="s">
        <v>16</v>
      </c>
      <c r="J933" s="2" t="s">
        <v>698</v>
      </c>
    </row>
    <row r="934" spans="1:10" x14ac:dyDescent="0.35">
      <c r="A934" s="2" t="s">
        <v>10</v>
      </c>
      <c r="B934" s="2" t="s">
        <v>693</v>
      </c>
      <c r="C934" s="2" t="s">
        <v>24</v>
      </c>
      <c r="D934" s="2" t="s">
        <v>711</v>
      </c>
      <c r="E934" s="2" t="s">
        <v>27</v>
      </c>
      <c r="F934" s="2" t="s">
        <v>28</v>
      </c>
      <c r="G934" s="2"/>
      <c r="H934" s="2"/>
      <c r="I934" s="2" t="s">
        <v>16</v>
      </c>
      <c r="J934" s="2" t="s">
        <v>698</v>
      </c>
    </row>
    <row r="935" spans="1:10" x14ac:dyDescent="0.35">
      <c r="A935" s="2" t="s">
        <v>10</v>
      </c>
      <c r="B935" s="2" t="s">
        <v>693</v>
      </c>
      <c r="C935" s="2" t="s">
        <v>24</v>
      </c>
      <c r="D935" s="2" t="s">
        <v>711</v>
      </c>
      <c r="E935" s="2" t="s">
        <v>76</v>
      </c>
      <c r="F935" s="2" t="s">
        <v>75</v>
      </c>
      <c r="G935" s="2" t="s">
        <v>16</v>
      </c>
      <c r="H935" s="2" t="s">
        <v>712</v>
      </c>
      <c r="I935" s="2" t="s">
        <v>16</v>
      </c>
      <c r="J935" s="2" t="s">
        <v>698</v>
      </c>
    </row>
    <row r="936" spans="1:10" x14ac:dyDescent="0.35">
      <c r="A936" s="2" t="s">
        <v>10</v>
      </c>
      <c r="B936" s="2" t="s">
        <v>693</v>
      </c>
      <c r="C936" s="2" t="s">
        <v>24</v>
      </c>
      <c r="D936" s="2" t="s">
        <v>711</v>
      </c>
      <c r="E936" s="2" t="s">
        <v>31</v>
      </c>
      <c r="F936" s="2" t="s">
        <v>32</v>
      </c>
      <c r="G936" s="2"/>
      <c r="H936" s="2"/>
      <c r="I936" s="2" t="s">
        <v>16</v>
      </c>
      <c r="J936" s="2" t="s">
        <v>698</v>
      </c>
    </row>
    <row r="937" spans="1:10" x14ac:dyDescent="0.35">
      <c r="A937" s="2" t="s">
        <v>10</v>
      </c>
      <c r="B937" s="2" t="s">
        <v>693</v>
      </c>
      <c r="C937" s="2" t="s">
        <v>24</v>
      </c>
      <c r="D937" s="2" t="s">
        <v>711</v>
      </c>
      <c r="E937" s="2" t="s">
        <v>96</v>
      </c>
      <c r="F937" s="2" t="s">
        <v>83</v>
      </c>
      <c r="G937" s="2"/>
      <c r="H937" s="2"/>
      <c r="I937" s="2" t="s">
        <v>16</v>
      </c>
      <c r="J937" s="2" t="s">
        <v>695</v>
      </c>
    </row>
    <row r="938" spans="1:10" x14ac:dyDescent="0.35">
      <c r="A938" s="2" t="s">
        <v>10</v>
      </c>
      <c r="B938" s="2" t="s">
        <v>693</v>
      </c>
      <c r="C938" s="2" t="s">
        <v>24</v>
      </c>
      <c r="D938" s="2" t="s">
        <v>711</v>
      </c>
      <c r="E938" s="2" t="s">
        <v>52</v>
      </c>
      <c r="F938" s="2" t="s">
        <v>52</v>
      </c>
      <c r="G938" s="2"/>
      <c r="H938" s="2"/>
      <c r="I938" s="2" t="s">
        <v>16</v>
      </c>
      <c r="J938" s="2" t="s">
        <v>698</v>
      </c>
    </row>
    <row r="939" spans="1:10" x14ac:dyDescent="0.35">
      <c r="A939" s="2" t="s">
        <v>10</v>
      </c>
      <c r="B939" s="2" t="s">
        <v>693</v>
      </c>
      <c r="C939" s="2" t="s">
        <v>24</v>
      </c>
      <c r="D939" s="2" t="s">
        <v>711</v>
      </c>
      <c r="E939" s="2" t="s">
        <v>713</v>
      </c>
      <c r="F939" s="2" t="s">
        <v>424</v>
      </c>
      <c r="G939" s="2"/>
      <c r="H939" s="2"/>
      <c r="I939" s="2" t="s">
        <v>16</v>
      </c>
      <c r="J939" s="2" t="s">
        <v>698</v>
      </c>
    </row>
    <row r="940" spans="1:10" x14ac:dyDescent="0.35">
      <c r="A940" s="2" t="s">
        <v>10</v>
      </c>
      <c r="B940" s="2" t="s">
        <v>693</v>
      </c>
      <c r="C940" s="2" t="s">
        <v>24</v>
      </c>
      <c r="D940" s="2" t="s">
        <v>711</v>
      </c>
      <c r="E940" s="2" t="s">
        <v>85</v>
      </c>
      <c r="F940" s="2" t="s">
        <v>85</v>
      </c>
      <c r="G940" s="2"/>
      <c r="H940" s="2"/>
      <c r="I940" s="2" t="s">
        <v>16</v>
      </c>
      <c r="J940" s="2" t="s">
        <v>698</v>
      </c>
    </row>
    <row r="941" spans="1:10" x14ac:dyDescent="0.35">
      <c r="A941" s="2" t="s">
        <v>10</v>
      </c>
      <c r="B941" s="2" t="s">
        <v>693</v>
      </c>
      <c r="C941" s="2" t="s">
        <v>24</v>
      </c>
      <c r="D941" s="2" t="s">
        <v>711</v>
      </c>
      <c r="E941" s="2" t="s">
        <v>61</v>
      </c>
      <c r="F941" s="2" t="s">
        <v>30</v>
      </c>
      <c r="G941" s="2"/>
      <c r="H941" s="2"/>
      <c r="I941" s="2" t="s">
        <v>16</v>
      </c>
      <c r="J941" s="2" t="s">
        <v>698</v>
      </c>
    </row>
    <row r="942" spans="1:10" x14ac:dyDescent="0.35">
      <c r="A942" s="2" t="s">
        <v>10</v>
      </c>
      <c r="B942" s="2" t="s">
        <v>693</v>
      </c>
      <c r="C942" s="2" t="s">
        <v>24</v>
      </c>
      <c r="D942" s="2" t="s">
        <v>711</v>
      </c>
      <c r="E942" s="2" t="s">
        <v>714</v>
      </c>
      <c r="F942" s="2" t="s">
        <v>38</v>
      </c>
      <c r="G942" s="2"/>
      <c r="H942" s="2"/>
      <c r="I942" s="2" t="s">
        <v>16</v>
      </c>
      <c r="J942" s="2" t="s">
        <v>698</v>
      </c>
    </row>
    <row r="943" spans="1:10" x14ac:dyDescent="0.35">
      <c r="A943" s="2" t="s">
        <v>10</v>
      </c>
      <c r="B943" s="2" t="s">
        <v>693</v>
      </c>
      <c r="C943" s="2" t="s">
        <v>24</v>
      </c>
      <c r="D943" s="2" t="s">
        <v>711</v>
      </c>
      <c r="E943" s="2" t="s">
        <v>112</v>
      </c>
      <c r="F943" s="2" t="s">
        <v>113</v>
      </c>
      <c r="G943" s="2" t="s">
        <v>16</v>
      </c>
      <c r="H943" s="2" t="s">
        <v>715</v>
      </c>
      <c r="I943" s="2" t="s">
        <v>16</v>
      </c>
      <c r="J943" s="2" t="s">
        <v>698</v>
      </c>
    </row>
    <row r="944" spans="1:10" x14ac:dyDescent="0.35">
      <c r="A944" s="2" t="s">
        <v>10</v>
      </c>
      <c r="B944" s="2" t="s">
        <v>716</v>
      </c>
      <c r="C944" s="2" t="s">
        <v>24</v>
      </c>
      <c r="D944" s="2" t="s">
        <v>717</v>
      </c>
      <c r="E944" s="2" t="s">
        <v>18</v>
      </c>
      <c r="F944" s="2" t="s">
        <v>19</v>
      </c>
      <c r="G944" s="2" t="s">
        <v>20</v>
      </c>
      <c r="H944" s="2" t="s">
        <v>718</v>
      </c>
      <c r="I944" s="2" t="s">
        <v>16</v>
      </c>
      <c r="J944" s="2" t="s">
        <v>719</v>
      </c>
    </row>
    <row r="945" spans="1:10" x14ac:dyDescent="0.35">
      <c r="A945" s="2" t="s">
        <v>10</v>
      </c>
      <c r="B945" s="2" t="s">
        <v>716</v>
      </c>
      <c r="C945" s="2" t="s">
        <v>24</v>
      </c>
      <c r="D945" s="2" t="s">
        <v>717</v>
      </c>
      <c r="E945" s="2" t="s">
        <v>61</v>
      </c>
      <c r="F945" s="2" t="s">
        <v>30</v>
      </c>
      <c r="G945" s="2" t="s">
        <v>20</v>
      </c>
      <c r="H945" s="2" t="s">
        <v>718</v>
      </c>
      <c r="I945" s="2" t="s">
        <v>16</v>
      </c>
      <c r="J945" s="2" t="s">
        <v>719</v>
      </c>
    </row>
    <row r="946" spans="1:10" x14ac:dyDescent="0.35">
      <c r="A946" s="2" t="s">
        <v>10</v>
      </c>
      <c r="B946" s="2" t="s">
        <v>716</v>
      </c>
      <c r="C946" s="2" t="s">
        <v>24</v>
      </c>
      <c r="D946" s="2" t="s">
        <v>717</v>
      </c>
      <c r="E946" s="2" t="s">
        <v>127</v>
      </c>
      <c r="F946" s="2" t="s">
        <v>107</v>
      </c>
      <c r="G946" s="2" t="s">
        <v>20</v>
      </c>
      <c r="H946" s="2" t="s">
        <v>718</v>
      </c>
      <c r="I946" s="2" t="s">
        <v>16</v>
      </c>
      <c r="J946" s="2" t="s">
        <v>719</v>
      </c>
    </row>
    <row r="947" spans="1:10" x14ac:dyDescent="0.35">
      <c r="A947" s="2" t="s">
        <v>10</v>
      </c>
      <c r="B947" s="2" t="s">
        <v>720</v>
      </c>
      <c r="C947" s="2" t="s">
        <v>62</v>
      </c>
      <c r="D947" s="2" t="s">
        <v>721</v>
      </c>
      <c r="E947" s="2" t="s">
        <v>82</v>
      </c>
      <c r="F947" s="2" t="s">
        <v>83</v>
      </c>
      <c r="G947" s="2"/>
      <c r="H947" s="2"/>
      <c r="I947" s="2" t="s">
        <v>16</v>
      </c>
      <c r="J947" s="2" t="s">
        <v>722</v>
      </c>
    </row>
    <row r="948" spans="1:10" x14ac:dyDescent="0.35">
      <c r="A948" s="2" t="s">
        <v>10</v>
      </c>
      <c r="B948" s="2" t="s">
        <v>720</v>
      </c>
      <c r="C948" s="2" t="s">
        <v>62</v>
      </c>
      <c r="D948" s="2" t="s">
        <v>721</v>
      </c>
      <c r="E948" s="2" t="s">
        <v>91</v>
      </c>
      <c r="F948" s="2" t="s">
        <v>19</v>
      </c>
      <c r="G948" s="2" t="s">
        <v>16</v>
      </c>
      <c r="H948" s="2" t="s">
        <v>723</v>
      </c>
      <c r="I948" s="2" t="s">
        <v>16</v>
      </c>
      <c r="J948" s="2" t="s">
        <v>722</v>
      </c>
    </row>
    <row r="949" spans="1:10" x14ac:dyDescent="0.35">
      <c r="A949" s="2" t="s">
        <v>10</v>
      </c>
      <c r="B949" s="2" t="s">
        <v>720</v>
      </c>
      <c r="C949" s="2" t="s">
        <v>62</v>
      </c>
      <c r="D949" s="2" t="s">
        <v>721</v>
      </c>
      <c r="E949" s="2" t="s">
        <v>127</v>
      </c>
      <c r="F949" s="2" t="s">
        <v>107</v>
      </c>
      <c r="G949" s="2" t="s">
        <v>16</v>
      </c>
      <c r="H949" s="2" t="s">
        <v>724</v>
      </c>
      <c r="I949" s="2" t="s">
        <v>16</v>
      </c>
      <c r="J949" s="2" t="s">
        <v>722</v>
      </c>
    </row>
    <row r="950" spans="1:10" x14ac:dyDescent="0.35">
      <c r="A950" s="2" t="s">
        <v>10</v>
      </c>
      <c r="B950" s="2" t="s">
        <v>720</v>
      </c>
      <c r="C950" s="2" t="s">
        <v>57</v>
      </c>
      <c r="D950" s="2" t="s">
        <v>725</v>
      </c>
      <c r="E950" s="2" t="s">
        <v>14</v>
      </c>
      <c r="F950" s="2" t="s">
        <v>15</v>
      </c>
      <c r="G950" s="2"/>
      <c r="H950" s="2"/>
      <c r="I950" s="2"/>
      <c r="J950" s="2"/>
    </row>
    <row r="951" spans="1:10" x14ac:dyDescent="0.35">
      <c r="A951" s="2" t="s">
        <v>10</v>
      </c>
      <c r="B951" s="2" t="s">
        <v>720</v>
      </c>
      <c r="C951" s="2" t="s">
        <v>57</v>
      </c>
      <c r="D951" s="2" t="s">
        <v>725</v>
      </c>
      <c r="E951" s="2" t="s">
        <v>144</v>
      </c>
      <c r="F951" s="2" t="s">
        <v>50</v>
      </c>
      <c r="G951" s="2"/>
      <c r="H951" s="2"/>
      <c r="I951" s="2"/>
      <c r="J951" s="2"/>
    </row>
    <row r="952" spans="1:10" x14ac:dyDescent="0.35">
      <c r="A952" s="2" t="s">
        <v>10</v>
      </c>
      <c r="B952" s="2" t="s">
        <v>720</v>
      </c>
      <c r="C952" s="2" t="s">
        <v>57</v>
      </c>
      <c r="D952" s="2" t="s">
        <v>725</v>
      </c>
      <c r="E952" s="2" t="s">
        <v>59</v>
      </c>
      <c r="F952" s="2" t="s">
        <v>60</v>
      </c>
      <c r="G952" s="2"/>
      <c r="H952" s="2"/>
      <c r="I952" s="2"/>
      <c r="J952" s="2"/>
    </row>
    <row r="953" spans="1:10" x14ac:dyDescent="0.35">
      <c r="A953" s="2" t="s">
        <v>10</v>
      </c>
      <c r="B953" s="2" t="s">
        <v>720</v>
      </c>
      <c r="C953" s="2" t="s">
        <v>57</v>
      </c>
      <c r="D953" s="2" t="s">
        <v>725</v>
      </c>
      <c r="E953" s="2" t="s">
        <v>121</v>
      </c>
      <c r="F953" s="2" t="s">
        <v>122</v>
      </c>
      <c r="G953" s="2"/>
      <c r="H953" s="2"/>
      <c r="I953" s="2"/>
      <c r="J953" s="2"/>
    </row>
    <row r="954" spans="1:10" x14ac:dyDescent="0.35">
      <c r="A954" s="2" t="s">
        <v>10</v>
      </c>
      <c r="B954" s="2" t="s">
        <v>720</v>
      </c>
      <c r="C954" s="2" t="s">
        <v>57</v>
      </c>
      <c r="D954" s="2" t="s">
        <v>725</v>
      </c>
      <c r="E954" s="2" t="s">
        <v>156</v>
      </c>
      <c r="F954" s="2" t="s">
        <v>45</v>
      </c>
      <c r="G954" s="2" t="s">
        <v>16</v>
      </c>
      <c r="H954" s="2" t="s">
        <v>726</v>
      </c>
      <c r="I954" s="2"/>
      <c r="J954" s="2"/>
    </row>
    <row r="955" spans="1:10" x14ac:dyDescent="0.35">
      <c r="A955" s="2" t="s">
        <v>10</v>
      </c>
      <c r="B955" s="2" t="s">
        <v>720</v>
      </c>
      <c r="C955" s="2" t="s">
        <v>57</v>
      </c>
      <c r="D955" s="2" t="s">
        <v>725</v>
      </c>
      <c r="E955" s="2" t="s">
        <v>18</v>
      </c>
      <c r="F955" s="2" t="s">
        <v>19</v>
      </c>
      <c r="G955" s="2" t="s">
        <v>16</v>
      </c>
      <c r="H955" s="2" t="s">
        <v>727</v>
      </c>
      <c r="I955" s="2"/>
      <c r="J955" s="2"/>
    </row>
    <row r="956" spans="1:10" x14ac:dyDescent="0.35">
      <c r="A956" s="2" t="s">
        <v>10</v>
      </c>
      <c r="B956" s="2" t="s">
        <v>720</v>
      </c>
      <c r="C956" s="2" t="s">
        <v>57</v>
      </c>
      <c r="D956" s="2" t="s">
        <v>725</v>
      </c>
      <c r="E956" s="2" t="s">
        <v>61</v>
      </c>
      <c r="F956" s="2" t="s">
        <v>30</v>
      </c>
      <c r="G956" s="2"/>
      <c r="H956" s="2"/>
      <c r="I956" s="2" t="s">
        <v>16</v>
      </c>
      <c r="J956" s="2" t="s">
        <v>728</v>
      </c>
    </row>
    <row r="957" spans="1:10" x14ac:dyDescent="0.35">
      <c r="A957" s="2" t="s">
        <v>10</v>
      </c>
      <c r="B957" s="2" t="s">
        <v>720</v>
      </c>
      <c r="C957" s="2" t="s">
        <v>54</v>
      </c>
      <c r="D957" s="2" t="s">
        <v>729</v>
      </c>
      <c r="E957" s="2" t="s">
        <v>35</v>
      </c>
      <c r="F957" s="2" t="s">
        <v>36</v>
      </c>
      <c r="G957" s="2"/>
      <c r="H957" s="2"/>
      <c r="I957" s="2" t="s">
        <v>16</v>
      </c>
      <c r="J957" s="2" t="s">
        <v>722</v>
      </c>
    </row>
    <row r="958" spans="1:10" x14ac:dyDescent="0.35">
      <c r="A958" s="2" t="s">
        <v>10</v>
      </c>
      <c r="B958" s="2" t="s">
        <v>720</v>
      </c>
      <c r="C958" s="2" t="s">
        <v>54</v>
      </c>
      <c r="D958" s="2" t="s">
        <v>729</v>
      </c>
      <c r="E958" s="2" t="s">
        <v>156</v>
      </c>
      <c r="F958" s="2" t="s">
        <v>45</v>
      </c>
      <c r="G958" s="2" t="s">
        <v>16</v>
      </c>
      <c r="H958" s="2" t="s">
        <v>730</v>
      </c>
      <c r="I958" s="2" t="s">
        <v>16</v>
      </c>
      <c r="J958" s="2" t="s">
        <v>722</v>
      </c>
    </row>
    <row r="959" spans="1:10" x14ac:dyDescent="0.35">
      <c r="A959" s="2" t="s">
        <v>10</v>
      </c>
      <c r="B959" s="2" t="s">
        <v>720</v>
      </c>
      <c r="C959" s="2" t="s">
        <v>54</v>
      </c>
      <c r="D959" s="2" t="s">
        <v>729</v>
      </c>
      <c r="E959" s="2" t="s">
        <v>18</v>
      </c>
      <c r="F959" s="2" t="s">
        <v>19</v>
      </c>
      <c r="G959" s="2" t="s">
        <v>16</v>
      </c>
      <c r="H959" s="2" t="s">
        <v>731</v>
      </c>
      <c r="I959" s="2" t="s">
        <v>16</v>
      </c>
      <c r="J959" s="2" t="s">
        <v>722</v>
      </c>
    </row>
    <row r="960" spans="1:10" x14ac:dyDescent="0.35">
      <c r="A960" s="2" t="s">
        <v>10</v>
      </c>
      <c r="B960" s="2" t="s">
        <v>720</v>
      </c>
      <c r="C960" s="2" t="s">
        <v>54</v>
      </c>
      <c r="D960" s="2" t="s">
        <v>729</v>
      </c>
      <c r="E960" s="2" t="s">
        <v>149</v>
      </c>
      <c r="F960" s="2" t="s">
        <v>150</v>
      </c>
      <c r="G960" s="2" t="s">
        <v>46</v>
      </c>
      <c r="H960" s="2" t="s">
        <v>451</v>
      </c>
      <c r="I960" s="2" t="s">
        <v>16</v>
      </c>
      <c r="J960" s="2" t="s">
        <v>722</v>
      </c>
    </row>
    <row r="961" spans="1:10" x14ac:dyDescent="0.35">
      <c r="A961" s="2" t="s">
        <v>10</v>
      </c>
      <c r="B961" s="2" t="s">
        <v>720</v>
      </c>
      <c r="C961" s="2" t="s">
        <v>54</v>
      </c>
      <c r="D961" s="2" t="s">
        <v>732</v>
      </c>
      <c r="E961" s="2" t="s">
        <v>74</v>
      </c>
      <c r="F961" s="2" t="s">
        <v>75</v>
      </c>
      <c r="G961" s="2" t="s">
        <v>20</v>
      </c>
      <c r="H961" s="2" t="s">
        <v>733</v>
      </c>
      <c r="I961" s="2" t="s">
        <v>20</v>
      </c>
      <c r="J961" s="2" t="s">
        <v>722</v>
      </c>
    </row>
    <row r="962" spans="1:10" x14ac:dyDescent="0.35">
      <c r="A962" s="2" t="s">
        <v>10</v>
      </c>
      <c r="B962" s="2" t="s">
        <v>720</v>
      </c>
      <c r="C962" s="2" t="s">
        <v>54</v>
      </c>
      <c r="D962" s="2" t="s">
        <v>732</v>
      </c>
      <c r="E962" s="2" t="s">
        <v>213</v>
      </c>
      <c r="F962" s="2" t="s">
        <v>45</v>
      </c>
      <c r="G962" s="2" t="s">
        <v>20</v>
      </c>
      <c r="H962" s="2" t="s">
        <v>733</v>
      </c>
      <c r="I962" s="2" t="s">
        <v>20</v>
      </c>
      <c r="J962" s="2" t="s">
        <v>722</v>
      </c>
    </row>
    <row r="963" spans="1:10" x14ac:dyDescent="0.35">
      <c r="A963" s="2" t="s">
        <v>10</v>
      </c>
      <c r="B963" s="2" t="s">
        <v>720</v>
      </c>
      <c r="C963" s="2" t="s">
        <v>54</v>
      </c>
      <c r="D963" s="2" t="s">
        <v>732</v>
      </c>
      <c r="E963" s="2" t="s">
        <v>156</v>
      </c>
      <c r="F963" s="2" t="s">
        <v>45</v>
      </c>
      <c r="G963" s="2" t="s">
        <v>20</v>
      </c>
      <c r="H963" s="2" t="s">
        <v>733</v>
      </c>
      <c r="I963" s="2" t="s">
        <v>20</v>
      </c>
      <c r="J963" s="2" t="s">
        <v>722</v>
      </c>
    </row>
    <row r="964" spans="1:10" x14ac:dyDescent="0.35">
      <c r="A964" s="2" t="s">
        <v>10</v>
      </c>
      <c r="B964" s="2" t="s">
        <v>720</v>
      </c>
      <c r="C964" s="2" t="s">
        <v>54</v>
      </c>
      <c r="D964" s="2" t="s">
        <v>732</v>
      </c>
      <c r="E964" s="2" t="s">
        <v>124</v>
      </c>
      <c r="F964" s="2" t="s">
        <v>125</v>
      </c>
      <c r="G964" s="2" t="s">
        <v>20</v>
      </c>
      <c r="H964" s="2" t="s">
        <v>733</v>
      </c>
      <c r="I964" s="2" t="s">
        <v>20</v>
      </c>
      <c r="J964" s="2" t="s">
        <v>722</v>
      </c>
    </row>
    <row r="965" spans="1:10" x14ac:dyDescent="0.35">
      <c r="A965" s="2" t="s">
        <v>10</v>
      </c>
      <c r="B965" s="2" t="s">
        <v>720</v>
      </c>
      <c r="C965" s="2" t="s">
        <v>62</v>
      </c>
      <c r="D965" s="2" t="s">
        <v>734</v>
      </c>
      <c r="E965" s="2" t="s">
        <v>87</v>
      </c>
      <c r="F965" s="2" t="s">
        <v>75</v>
      </c>
      <c r="G965" s="2" t="s">
        <v>16</v>
      </c>
      <c r="H965" s="2" t="s">
        <v>733</v>
      </c>
      <c r="I965" s="2" t="s">
        <v>16</v>
      </c>
      <c r="J965" s="2" t="s">
        <v>722</v>
      </c>
    </row>
    <row r="966" spans="1:10" x14ac:dyDescent="0.35">
      <c r="A966" s="2" t="s">
        <v>10</v>
      </c>
      <c r="B966" s="2" t="s">
        <v>720</v>
      </c>
      <c r="C966" s="2" t="s">
        <v>62</v>
      </c>
      <c r="D966" s="2" t="s">
        <v>734</v>
      </c>
      <c r="E966" s="2" t="s">
        <v>352</v>
      </c>
      <c r="F966" s="2" t="s">
        <v>107</v>
      </c>
      <c r="G966" s="2"/>
      <c r="H966" s="2"/>
      <c r="I966" s="2" t="s">
        <v>16</v>
      </c>
      <c r="J966" s="2" t="s">
        <v>722</v>
      </c>
    </row>
    <row r="967" spans="1:10" x14ac:dyDescent="0.35">
      <c r="A967" s="2" t="s">
        <v>10</v>
      </c>
      <c r="B967" s="2" t="s">
        <v>720</v>
      </c>
      <c r="C967" s="2" t="s">
        <v>12</v>
      </c>
      <c r="D967" s="2" t="s">
        <v>735</v>
      </c>
      <c r="E967" s="2" t="s">
        <v>168</v>
      </c>
      <c r="F967" s="2" t="s">
        <v>45</v>
      </c>
      <c r="G967" s="2" t="s">
        <v>16</v>
      </c>
      <c r="H967" s="2" t="s">
        <v>736</v>
      </c>
      <c r="I967" s="2" t="s">
        <v>16</v>
      </c>
      <c r="J967" s="2" t="s">
        <v>722</v>
      </c>
    </row>
    <row r="968" spans="1:10" x14ac:dyDescent="0.35">
      <c r="A968" s="2" t="s">
        <v>10</v>
      </c>
      <c r="B968" s="2" t="s">
        <v>720</v>
      </c>
      <c r="C968" s="2" t="s">
        <v>12</v>
      </c>
      <c r="D968" s="2" t="s">
        <v>735</v>
      </c>
      <c r="E968" s="2" t="s">
        <v>91</v>
      </c>
      <c r="F968" s="2" t="s">
        <v>19</v>
      </c>
      <c r="G968" s="2" t="s">
        <v>16</v>
      </c>
      <c r="H968" s="2" t="s">
        <v>737</v>
      </c>
      <c r="I968" s="2" t="s">
        <v>16</v>
      </c>
      <c r="J968" s="2" t="s">
        <v>722</v>
      </c>
    </row>
    <row r="969" spans="1:10" x14ac:dyDescent="0.35">
      <c r="A969" s="2" t="s">
        <v>10</v>
      </c>
      <c r="B969" s="2" t="s">
        <v>720</v>
      </c>
      <c r="C969" s="2" t="s">
        <v>12</v>
      </c>
      <c r="D969" s="2" t="s">
        <v>735</v>
      </c>
      <c r="E969" s="2" t="s">
        <v>738</v>
      </c>
      <c r="F969" s="2" t="s">
        <v>122</v>
      </c>
      <c r="G969" s="2"/>
      <c r="H969" s="2"/>
      <c r="I969" s="2" t="s">
        <v>16</v>
      </c>
      <c r="J969" s="2" t="s">
        <v>722</v>
      </c>
    </row>
    <row r="970" spans="1:10" x14ac:dyDescent="0.35">
      <c r="A970" s="2" t="s">
        <v>10</v>
      </c>
      <c r="B970" s="2" t="s">
        <v>739</v>
      </c>
      <c r="C970" s="2" t="s">
        <v>57</v>
      </c>
      <c r="D970" s="2" t="s">
        <v>740</v>
      </c>
      <c r="E970" s="2" t="s">
        <v>130</v>
      </c>
      <c r="F970" s="2" t="s">
        <v>36</v>
      </c>
      <c r="G970" s="2"/>
      <c r="H970" s="2"/>
      <c r="I970" s="2" t="s">
        <v>16</v>
      </c>
      <c r="J970" s="2" t="s">
        <v>741</v>
      </c>
    </row>
    <row r="971" spans="1:10" x14ac:dyDescent="0.35">
      <c r="A971" s="2" t="s">
        <v>10</v>
      </c>
      <c r="B971" s="2" t="s">
        <v>739</v>
      </c>
      <c r="C971" s="2" t="s">
        <v>57</v>
      </c>
      <c r="D971" s="2" t="s">
        <v>740</v>
      </c>
      <c r="E971" s="2" t="s">
        <v>14</v>
      </c>
      <c r="F971" s="2" t="s">
        <v>15</v>
      </c>
      <c r="G971" s="2"/>
      <c r="H971" s="2"/>
      <c r="I971" s="2"/>
      <c r="J971" s="2"/>
    </row>
    <row r="972" spans="1:10" x14ac:dyDescent="0.35">
      <c r="A972" s="2" t="s">
        <v>10</v>
      </c>
      <c r="B972" s="2" t="s">
        <v>739</v>
      </c>
      <c r="C972" s="2" t="s">
        <v>57</v>
      </c>
      <c r="D972" s="2" t="s">
        <v>740</v>
      </c>
      <c r="E972" s="2" t="s">
        <v>82</v>
      </c>
      <c r="F972" s="2" t="s">
        <v>83</v>
      </c>
      <c r="G972" s="2"/>
      <c r="H972" s="2"/>
      <c r="I972" s="2" t="s">
        <v>16</v>
      </c>
      <c r="J972" s="2" t="s">
        <v>741</v>
      </c>
    </row>
    <row r="973" spans="1:10" x14ac:dyDescent="0.35">
      <c r="A973" s="2" t="s">
        <v>10</v>
      </c>
      <c r="B973" s="2" t="s">
        <v>739</v>
      </c>
      <c r="C973" s="2" t="s">
        <v>57</v>
      </c>
      <c r="D973" s="2" t="s">
        <v>740</v>
      </c>
      <c r="E973" s="2" t="s">
        <v>136</v>
      </c>
      <c r="F973" s="2" t="s">
        <v>107</v>
      </c>
      <c r="G973" s="2"/>
      <c r="H973" s="2"/>
      <c r="I973" s="2" t="s">
        <v>16</v>
      </c>
      <c r="J973" s="2" t="s">
        <v>741</v>
      </c>
    </row>
    <row r="974" spans="1:10" x14ac:dyDescent="0.35">
      <c r="A974" s="2" t="s">
        <v>10</v>
      </c>
      <c r="B974" s="2" t="s">
        <v>739</v>
      </c>
      <c r="C974" s="2" t="s">
        <v>57</v>
      </c>
      <c r="D974" s="2" t="s">
        <v>740</v>
      </c>
      <c r="E974" s="2" t="s">
        <v>59</v>
      </c>
      <c r="F974" s="2" t="s">
        <v>60</v>
      </c>
      <c r="G974" s="2"/>
      <c r="H974" s="2"/>
      <c r="I974" s="2"/>
      <c r="J974" s="2"/>
    </row>
    <row r="975" spans="1:10" x14ac:dyDescent="0.35">
      <c r="A975" s="2" t="s">
        <v>10</v>
      </c>
      <c r="B975" s="2" t="s">
        <v>739</v>
      </c>
      <c r="C975" s="2" t="s">
        <v>57</v>
      </c>
      <c r="D975" s="2" t="s">
        <v>740</v>
      </c>
      <c r="E975" s="2" t="s">
        <v>38</v>
      </c>
      <c r="F975" s="2" t="s">
        <v>38</v>
      </c>
      <c r="G975" s="2"/>
      <c r="H975" s="2"/>
      <c r="I975" s="2" t="s">
        <v>16</v>
      </c>
      <c r="J975" s="2" t="s">
        <v>741</v>
      </c>
    </row>
    <row r="976" spans="1:10" x14ac:dyDescent="0.35">
      <c r="A976" s="2" t="s">
        <v>10</v>
      </c>
      <c r="B976" s="2" t="s">
        <v>739</v>
      </c>
      <c r="C976" s="2" t="s">
        <v>57</v>
      </c>
      <c r="D976" s="2" t="s">
        <v>740</v>
      </c>
      <c r="E976" s="2" t="s">
        <v>291</v>
      </c>
      <c r="F976" s="2" t="s">
        <v>139</v>
      </c>
      <c r="G976" s="2"/>
      <c r="H976" s="2"/>
      <c r="I976" s="2" t="s">
        <v>16</v>
      </c>
      <c r="J976" s="2" t="s">
        <v>741</v>
      </c>
    </row>
    <row r="977" spans="1:10" x14ac:dyDescent="0.35">
      <c r="A977" s="2" t="s">
        <v>10</v>
      </c>
      <c r="B977" s="2" t="s">
        <v>739</v>
      </c>
      <c r="C977" s="2" t="s">
        <v>57</v>
      </c>
      <c r="D977" s="2" t="s">
        <v>740</v>
      </c>
      <c r="E977" s="2" t="s">
        <v>85</v>
      </c>
      <c r="F977" s="2" t="s">
        <v>85</v>
      </c>
      <c r="G977" s="2"/>
      <c r="H977" s="2"/>
      <c r="I977" s="2" t="s">
        <v>16</v>
      </c>
      <c r="J977" s="2" t="s">
        <v>741</v>
      </c>
    </row>
    <row r="978" spans="1:10" x14ac:dyDescent="0.35">
      <c r="A978" s="2" t="s">
        <v>10</v>
      </c>
      <c r="B978" s="2" t="s">
        <v>739</v>
      </c>
      <c r="C978" s="2" t="s">
        <v>57</v>
      </c>
      <c r="D978" s="2" t="s">
        <v>740</v>
      </c>
      <c r="E978" s="2" t="s">
        <v>61</v>
      </c>
      <c r="F978" s="2" t="s">
        <v>30</v>
      </c>
      <c r="G978" s="2"/>
      <c r="H978" s="2"/>
      <c r="I978" s="2" t="s">
        <v>16</v>
      </c>
      <c r="J978" s="2" t="s">
        <v>741</v>
      </c>
    </row>
    <row r="979" spans="1:10" x14ac:dyDescent="0.35">
      <c r="A979" s="2" t="s">
        <v>10</v>
      </c>
      <c r="B979" s="2" t="s">
        <v>739</v>
      </c>
      <c r="C979" s="2" t="s">
        <v>57</v>
      </c>
      <c r="D979" s="2" t="s">
        <v>740</v>
      </c>
      <c r="E979" s="2" t="s">
        <v>188</v>
      </c>
      <c r="F979" s="2" t="s">
        <v>189</v>
      </c>
      <c r="G979" s="2" t="s">
        <v>16</v>
      </c>
      <c r="H979" s="2" t="s">
        <v>742</v>
      </c>
      <c r="I979" s="2" t="s">
        <v>16</v>
      </c>
      <c r="J979" s="2" t="s">
        <v>741</v>
      </c>
    </row>
    <row r="980" spans="1:10" x14ac:dyDescent="0.35">
      <c r="A980" s="2" t="s">
        <v>10</v>
      </c>
      <c r="B980" s="2" t="s">
        <v>743</v>
      </c>
      <c r="C980" s="2" t="s">
        <v>57</v>
      </c>
      <c r="D980" s="2" t="s">
        <v>744</v>
      </c>
      <c r="E980" s="2" t="s">
        <v>14</v>
      </c>
      <c r="F980" s="2" t="s">
        <v>15</v>
      </c>
      <c r="G980" s="2"/>
      <c r="H980" s="2"/>
      <c r="I980" s="2"/>
      <c r="J980" s="2"/>
    </row>
    <row r="981" spans="1:10" x14ac:dyDescent="0.35">
      <c r="A981" s="2" t="s">
        <v>10</v>
      </c>
      <c r="B981" s="2" t="s">
        <v>743</v>
      </c>
      <c r="C981" s="2" t="s">
        <v>57</v>
      </c>
      <c r="D981" s="2" t="s">
        <v>744</v>
      </c>
      <c r="E981" s="2" t="s">
        <v>212</v>
      </c>
      <c r="F981" s="2" t="s">
        <v>78</v>
      </c>
      <c r="G981" s="2"/>
      <c r="H981" s="2"/>
      <c r="I981" s="2"/>
      <c r="J981" s="2"/>
    </row>
    <row r="982" spans="1:10" x14ac:dyDescent="0.35">
      <c r="A982" s="2" t="s">
        <v>10</v>
      </c>
      <c r="B982" s="2" t="s">
        <v>743</v>
      </c>
      <c r="C982" s="2" t="s">
        <v>57</v>
      </c>
      <c r="D982" s="2" t="s">
        <v>744</v>
      </c>
      <c r="E982" s="2" t="s">
        <v>393</v>
      </c>
      <c r="F982" s="2" t="s">
        <v>36</v>
      </c>
      <c r="G982" s="2" t="s">
        <v>16</v>
      </c>
      <c r="H982" s="2" t="s">
        <v>745</v>
      </c>
      <c r="I982" s="2"/>
      <c r="J982" s="2"/>
    </row>
    <row r="983" spans="1:10" x14ac:dyDescent="0.35">
      <c r="A983" s="2" t="s">
        <v>10</v>
      </c>
      <c r="B983" s="2" t="s">
        <v>743</v>
      </c>
      <c r="C983" s="2" t="s">
        <v>57</v>
      </c>
      <c r="D983" s="2" t="s">
        <v>744</v>
      </c>
      <c r="E983" s="2" t="s">
        <v>18</v>
      </c>
      <c r="F983" s="2" t="s">
        <v>19</v>
      </c>
      <c r="G983" s="2" t="s">
        <v>16</v>
      </c>
      <c r="H983" s="2" t="s">
        <v>746</v>
      </c>
      <c r="I983" s="2"/>
      <c r="J983" s="2"/>
    </row>
    <row r="984" spans="1:10" s="21" customFormat="1" x14ac:dyDescent="0.35">
      <c r="A984" s="2" t="s">
        <v>10</v>
      </c>
      <c r="B984" s="2" t="s">
        <v>747</v>
      </c>
      <c r="C984" s="2" t="s">
        <v>24</v>
      </c>
      <c r="D984" s="2" t="s">
        <v>748</v>
      </c>
      <c r="E984" s="2" t="s">
        <v>120</v>
      </c>
      <c r="F984" s="2" t="s">
        <v>32</v>
      </c>
      <c r="G984" s="2"/>
      <c r="H984" s="2"/>
      <c r="I984" s="2" t="s">
        <v>20</v>
      </c>
      <c r="J984" s="2" t="s">
        <v>749</v>
      </c>
    </row>
    <row r="985" spans="1:10" s="21" customFormat="1" x14ac:dyDescent="0.35">
      <c r="A985" s="2" t="s">
        <v>10</v>
      </c>
      <c r="B985" s="2" t="s">
        <v>747</v>
      </c>
      <c r="C985" s="2" t="s">
        <v>24</v>
      </c>
      <c r="D985" s="2" t="s">
        <v>748</v>
      </c>
      <c r="E985" s="2" t="s">
        <v>35</v>
      </c>
      <c r="F985" s="2" t="s">
        <v>36</v>
      </c>
      <c r="G985" s="2"/>
      <c r="H985" s="2"/>
      <c r="I985" s="2" t="s">
        <v>20</v>
      </c>
      <c r="J985" s="2" t="s">
        <v>749</v>
      </c>
    </row>
    <row r="986" spans="1:10" s="21" customFormat="1" x14ac:dyDescent="0.35">
      <c r="A986" s="2" t="s">
        <v>10</v>
      </c>
      <c r="B986" s="2" t="s">
        <v>747</v>
      </c>
      <c r="C986" s="2" t="s">
        <v>24</v>
      </c>
      <c r="D986" s="2" t="s">
        <v>748</v>
      </c>
      <c r="E986" s="2" t="s">
        <v>52</v>
      </c>
      <c r="F986" s="2" t="s">
        <v>52</v>
      </c>
      <c r="G986" s="2"/>
      <c r="H986" s="2"/>
      <c r="I986" s="2" t="s">
        <v>20</v>
      </c>
      <c r="J986" s="2" t="s">
        <v>749</v>
      </c>
    </row>
    <row r="987" spans="1:10" s="21" customFormat="1" x14ac:dyDescent="0.35">
      <c r="A987" s="2" t="s">
        <v>10</v>
      </c>
      <c r="B987" s="2" t="s">
        <v>747</v>
      </c>
      <c r="C987" s="2" t="s">
        <v>24</v>
      </c>
      <c r="D987" s="2" t="s">
        <v>748</v>
      </c>
      <c r="E987" s="2" t="s">
        <v>18</v>
      </c>
      <c r="F987" s="2" t="s">
        <v>19</v>
      </c>
      <c r="G987" s="2" t="s">
        <v>20</v>
      </c>
      <c r="H987" s="2" t="s">
        <v>750</v>
      </c>
      <c r="I987" s="2" t="s">
        <v>20</v>
      </c>
      <c r="J987" s="2" t="s">
        <v>749</v>
      </c>
    </row>
    <row r="988" spans="1:10" s="21" customFormat="1" x14ac:dyDescent="0.35">
      <c r="A988" s="2" t="s">
        <v>10</v>
      </c>
      <c r="B988" s="2" t="s">
        <v>747</v>
      </c>
      <c r="C988" s="2" t="s">
        <v>24</v>
      </c>
      <c r="D988" s="2" t="s">
        <v>748</v>
      </c>
      <c r="E988" s="2" t="s">
        <v>61</v>
      </c>
      <c r="F988" s="2" t="s">
        <v>30</v>
      </c>
      <c r="G988" s="2"/>
      <c r="H988" s="2"/>
      <c r="I988" s="2" t="s">
        <v>20</v>
      </c>
      <c r="J988" s="2" t="s">
        <v>749</v>
      </c>
    </row>
    <row r="989" spans="1:10" x14ac:dyDescent="0.35">
      <c r="A989" s="2" t="s">
        <v>10</v>
      </c>
      <c r="B989" s="2" t="s">
        <v>751</v>
      </c>
      <c r="C989" s="2" t="s">
        <v>57</v>
      </c>
      <c r="D989" s="2" t="s">
        <v>752</v>
      </c>
      <c r="E989" s="2" t="s">
        <v>27</v>
      </c>
      <c r="F989" s="2" t="s">
        <v>28</v>
      </c>
      <c r="G989" s="2"/>
      <c r="H989" s="2"/>
      <c r="I989" s="2" t="s">
        <v>16</v>
      </c>
      <c r="J989" s="2" t="s">
        <v>753</v>
      </c>
    </row>
    <row r="990" spans="1:10" x14ac:dyDescent="0.35">
      <c r="A990" s="2" t="s">
        <v>10</v>
      </c>
      <c r="B990" s="2" t="s">
        <v>751</v>
      </c>
      <c r="C990" s="2" t="s">
        <v>57</v>
      </c>
      <c r="D990" s="2" t="s">
        <v>752</v>
      </c>
      <c r="E990" s="2" t="s">
        <v>31</v>
      </c>
      <c r="F990" s="2" t="s">
        <v>32</v>
      </c>
      <c r="G990" s="2"/>
      <c r="H990" s="2"/>
      <c r="I990" s="2" t="s">
        <v>16</v>
      </c>
      <c r="J990" s="2" t="s">
        <v>753</v>
      </c>
    </row>
    <row r="991" spans="1:10" x14ac:dyDescent="0.35">
      <c r="A991" s="2" t="s">
        <v>10</v>
      </c>
      <c r="B991" s="2" t="s">
        <v>751</v>
      </c>
      <c r="C991" s="2" t="s">
        <v>57</v>
      </c>
      <c r="D991" s="2" t="s">
        <v>752</v>
      </c>
      <c r="E991" s="2" t="s">
        <v>59</v>
      </c>
      <c r="F991" s="2" t="s">
        <v>60</v>
      </c>
      <c r="G991" s="2"/>
      <c r="H991" s="2"/>
      <c r="I991" s="2" t="s">
        <v>16</v>
      </c>
      <c r="J991" s="2" t="s">
        <v>753</v>
      </c>
    </row>
    <row r="992" spans="1:10" x14ac:dyDescent="0.35">
      <c r="A992" s="2" t="s">
        <v>10</v>
      </c>
      <c r="B992" s="2" t="s">
        <v>751</v>
      </c>
      <c r="C992" s="2" t="s">
        <v>57</v>
      </c>
      <c r="D992" s="2" t="s">
        <v>752</v>
      </c>
      <c r="E992" s="2" t="s">
        <v>38</v>
      </c>
      <c r="F992" s="2" t="s">
        <v>38</v>
      </c>
      <c r="G992" s="2"/>
      <c r="H992" s="2"/>
      <c r="I992" s="2" t="s">
        <v>16</v>
      </c>
      <c r="J992" s="2" t="s">
        <v>753</v>
      </c>
    </row>
    <row r="993" spans="1:10" x14ac:dyDescent="0.35">
      <c r="A993" s="2" t="s">
        <v>10</v>
      </c>
      <c r="B993" s="2" t="s">
        <v>751</v>
      </c>
      <c r="C993" s="2" t="s">
        <v>57</v>
      </c>
      <c r="D993" s="2" t="s">
        <v>752</v>
      </c>
      <c r="E993" s="2" t="s">
        <v>18</v>
      </c>
      <c r="F993" s="2" t="s">
        <v>19</v>
      </c>
      <c r="G993" s="2" t="s">
        <v>16</v>
      </c>
      <c r="H993" s="2" t="s">
        <v>754</v>
      </c>
      <c r="I993" s="2" t="s">
        <v>16</v>
      </c>
      <c r="J993" s="2" t="s">
        <v>753</v>
      </c>
    </row>
    <row r="994" spans="1:10" x14ac:dyDescent="0.35">
      <c r="A994" s="2" t="s">
        <v>10</v>
      </c>
      <c r="B994" s="2" t="s">
        <v>751</v>
      </c>
      <c r="C994" s="2" t="s">
        <v>57</v>
      </c>
      <c r="D994" s="2" t="s">
        <v>752</v>
      </c>
      <c r="E994" s="2" t="s">
        <v>755</v>
      </c>
      <c r="F994" s="2" t="s">
        <v>189</v>
      </c>
      <c r="G994" s="2"/>
      <c r="H994" s="2"/>
      <c r="I994" s="2" t="s">
        <v>16</v>
      </c>
      <c r="J994" s="2" t="s">
        <v>753</v>
      </c>
    </row>
    <row r="995" spans="1:10" x14ac:dyDescent="0.35">
      <c r="A995" s="2" t="s">
        <v>10</v>
      </c>
      <c r="B995" s="2" t="s">
        <v>751</v>
      </c>
      <c r="C995" s="2" t="s">
        <v>57</v>
      </c>
      <c r="D995" s="2" t="s">
        <v>752</v>
      </c>
      <c r="E995" s="2" t="s">
        <v>149</v>
      </c>
      <c r="F995" s="2" t="s">
        <v>150</v>
      </c>
      <c r="G995" s="2" t="s">
        <v>16</v>
      </c>
      <c r="H995" s="2" t="s">
        <v>756</v>
      </c>
      <c r="I995" s="2" t="s">
        <v>16</v>
      </c>
      <c r="J995" s="2" t="s">
        <v>753</v>
      </c>
    </row>
    <row r="996" spans="1:10" x14ac:dyDescent="0.35">
      <c r="A996" s="2" t="s">
        <v>10</v>
      </c>
      <c r="B996" s="2" t="s">
        <v>751</v>
      </c>
      <c r="C996" s="2" t="s">
        <v>62</v>
      </c>
      <c r="D996" s="2" t="s">
        <v>757</v>
      </c>
      <c r="E996" s="2" t="s">
        <v>27</v>
      </c>
      <c r="F996" s="2" t="s">
        <v>28</v>
      </c>
      <c r="G996" s="2" t="s">
        <v>16</v>
      </c>
      <c r="H996" s="2" t="s">
        <v>758</v>
      </c>
      <c r="I996" s="2" t="s">
        <v>16</v>
      </c>
      <c r="J996" s="2" t="s">
        <v>759</v>
      </c>
    </row>
    <row r="997" spans="1:10" x14ac:dyDescent="0.35">
      <c r="A997" s="2" t="s">
        <v>10</v>
      </c>
      <c r="B997" s="2" t="s">
        <v>751</v>
      </c>
      <c r="C997" s="2" t="s">
        <v>62</v>
      </c>
      <c r="D997" s="2" t="s">
        <v>757</v>
      </c>
      <c r="E997" s="2" t="s">
        <v>156</v>
      </c>
      <c r="F997" s="2" t="s">
        <v>45</v>
      </c>
      <c r="G997" s="2" t="s">
        <v>46</v>
      </c>
      <c r="H997" s="2" t="s">
        <v>47</v>
      </c>
      <c r="I997" s="2" t="s">
        <v>16</v>
      </c>
      <c r="J997" s="2" t="s">
        <v>759</v>
      </c>
    </row>
    <row r="998" spans="1:10" x14ac:dyDescent="0.35">
      <c r="A998" s="2" t="s">
        <v>10</v>
      </c>
      <c r="B998" s="2" t="s">
        <v>751</v>
      </c>
      <c r="C998" s="2" t="s">
        <v>62</v>
      </c>
      <c r="D998" s="2" t="s">
        <v>757</v>
      </c>
      <c r="E998" s="2" t="s">
        <v>760</v>
      </c>
      <c r="F998" s="2" t="s">
        <v>30</v>
      </c>
      <c r="G998" s="2" t="s">
        <v>16</v>
      </c>
      <c r="H998" s="2" t="s">
        <v>761</v>
      </c>
      <c r="I998" s="2" t="s">
        <v>16</v>
      </c>
      <c r="J998" s="2" t="s">
        <v>759</v>
      </c>
    </row>
    <row r="999" spans="1:10" x14ac:dyDescent="0.35">
      <c r="A999" s="2" t="s">
        <v>10</v>
      </c>
      <c r="B999" s="2" t="s">
        <v>751</v>
      </c>
      <c r="C999" s="2" t="s">
        <v>24</v>
      </c>
      <c r="D999" s="2" t="s">
        <v>762</v>
      </c>
      <c r="E999" s="2" t="s">
        <v>763</v>
      </c>
      <c r="F999" s="2" t="s">
        <v>107</v>
      </c>
      <c r="G999" s="2"/>
      <c r="H999" s="2"/>
      <c r="I999" s="2" t="s">
        <v>16</v>
      </c>
      <c r="J999" s="2" t="s">
        <v>759</v>
      </c>
    </row>
    <row r="1000" spans="1:10" x14ac:dyDescent="0.35">
      <c r="A1000" s="2" t="s">
        <v>10</v>
      </c>
      <c r="B1000" s="2" t="s">
        <v>751</v>
      </c>
      <c r="C1000" s="2" t="s">
        <v>24</v>
      </c>
      <c r="D1000" s="2" t="s">
        <v>762</v>
      </c>
      <c r="E1000" s="2" t="s">
        <v>144</v>
      </c>
      <c r="F1000" s="2" t="s">
        <v>50</v>
      </c>
      <c r="G1000" s="2"/>
      <c r="H1000" s="2"/>
      <c r="I1000" s="2" t="s">
        <v>16</v>
      </c>
      <c r="J1000" s="2" t="s">
        <v>753</v>
      </c>
    </row>
    <row r="1001" spans="1:10" x14ac:dyDescent="0.35">
      <c r="A1001" s="2" t="s">
        <v>10</v>
      </c>
      <c r="B1001" s="2" t="s">
        <v>751</v>
      </c>
      <c r="C1001" s="2" t="s">
        <v>24</v>
      </c>
      <c r="D1001" s="2" t="s">
        <v>762</v>
      </c>
      <c r="E1001" s="2" t="s">
        <v>27</v>
      </c>
      <c r="F1001" s="2" t="s">
        <v>28</v>
      </c>
      <c r="G1001" s="2"/>
      <c r="H1001" s="2"/>
      <c r="I1001" s="2" t="s">
        <v>16</v>
      </c>
      <c r="J1001" s="2" t="s">
        <v>759</v>
      </c>
    </row>
    <row r="1002" spans="1:10" x14ac:dyDescent="0.35">
      <c r="A1002" s="2" t="s">
        <v>10</v>
      </c>
      <c r="B1002" s="2" t="s">
        <v>751</v>
      </c>
      <c r="C1002" s="2" t="s">
        <v>24</v>
      </c>
      <c r="D1002" s="2" t="s">
        <v>762</v>
      </c>
      <c r="E1002" s="2" t="s">
        <v>76</v>
      </c>
      <c r="F1002" s="2" t="s">
        <v>75</v>
      </c>
      <c r="G1002" s="2" t="s">
        <v>16</v>
      </c>
      <c r="H1002" s="2" t="s">
        <v>764</v>
      </c>
      <c r="I1002" s="2" t="s">
        <v>16</v>
      </c>
      <c r="J1002" s="2" t="s">
        <v>753</v>
      </c>
    </row>
    <row r="1003" spans="1:10" x14ac:dyDescent="0.35">
      <c r="A1003" s="2" t="s">
        <v>10</v>
      </c>
      <c r="B1003" s="2" t="s">
        <v>751</v>
      </c>
      <c r="C1003" s="2" t="s">
        <v>24</v>
      </c>
      <c r="D1003" s="2" t="s">
        <v>762</v>
      </c>
      <c r="E1003" s="2" t="s">
        <v>31</v>
      </c>
      <c r="F1003" s="2" t="s">
        <v>32</v>
      </c>
      <c r="G1003" s="2"/>
      <c r="H1003" s="2"/>
      <c r="I1003" s="2" t="s">
        <v>16</v>
      </c>
      <c r="J1003" s="2" t="s">
        <v>753</v>
      </c>
    </row>
    <row r="1004" spans="1:10" x14ac:dyDescent="0.35">
      <c r="A1004" s="2" t="s">
        <v>10</v>
      </c>
      <c r="B1004" s="2" t="s">
        <v>751</v>
      </c>
      <c r="C1004" s="2" t="s">
        <v>24</v>
      </c>
      <c r="D1004" s="2" t="s">
        <v>762</v>
      </c>
      <c r="E1004" s="2" t="s">
        <v>136</v>
      </c>
      <c r="F1004" s="2" t="s">
        <v>107</v>
      </c>
      <c r="G1004" s="2"/>
      <c r="H1004" s="2"/>
      <c r="I1004" s="2" t="s">
        <v>16</v>
      </c>
      <c r="J1004" s="2" t="s">
        <v>759</v>
      </c>
    </row>
    <row r="1005" spans="1:10" x14ac:dyDescent="0.35">
      <c r="A1005" s="2" t="s">
        <v>10</v>
      </c>
      <c r="B1005" s="2" t="s">
        <v>751</v>
      </c>
      <c r="C1005" s="2" t="s">
        <v>24</v>
      </c>
      <c r="D1005" s="2" t="s">
        <v>762</v>
      </c>
      <c r="E1005" s="2" t="s">
        <v>765</v>
      </c>
      <c r="F1005" s="2" t="s">
        <v>83</v>
      </c>
      <c r="G1005" s="2"/>
      <c r="H1005" s="2"/>
      <c r="I1005" s="2" t="s">
        <v>16</v>
      </c>
      <c r="J1005" s="2" t="s">
        <v>759</v>
      </c>
    </row>
    <row r="1006" spans="1:10" x14ac:dyDescent="0.35">
      <c r="A1006" s="2" t="s">
        <v>10</v>
      </c>
      <c r="B1006" s="2" t="s">
        <v>751</v>
      </c>
      <c r="C1006" s="2" t="s">
        <v>24</v>
      </c>
      <c r="D1006" s="2" t="s">
        <v>762</v>
      </c>
      <c r="E1006" s="2" t="s">
        <v>33</v>
      </c>
      <c r="F1006" s="2" t="s">
        <v>34</v>
      </c>
      <c r="G1006" s="2"/>
      <c r="H1006" s="2"/>
      <c r="I1006" s="2" t="s">
        <v>16</v>
      </c>
      <c r="J1006" s="2" t="s">
        <v>759</v>
      </c>
    </row>
    <row r="1007" spans="1:10" s="21" customFormat="1" x14ac:dyDescent="0.35">
      <c r="A1007" s="2" t="s">
        <v>10</v>
      </c>
      <c r="B1007" s="2" t="s">
        <v>751</v>
      </c>
      <c r="C1007" s="2" t="s">
        <v>24</v>
      </c>
      <c r="D1007" s="2" t="s">
        <v>762</v>
      </c>
      <c r="E1007" s="2" t="s">
        <v>534</v>
      </c>
      <c r="F1007" s="2" t="s">
        <v>38</v>
      </c>
      <c r="G1007" s="2" t="s">
        <v>20</v>
      </c>
      <c r="H1007" s="2" t="s">
        <v>766</v>
      </c>
      <c r="I1007" s="2" t="s">
        <v>16</v>
      </c>
      <c r="J1007" s="2" t="s">
        <v>759</v>
      </c>
    </row>
    <row r="1008" spans="1:10" x14ac:dyDescent="0.35">
      <c r="A1008" s="2" t="s">
        <v>10</v>
      </c>
      <c r="B1008" s="2" t="s">
        <v>751</v>
      </c>
      <c r="C1008" s="2" t="s">
        <v>24</v>
      </c>
      <c r="D1008" s="2" t="s">
        <v>762</v>
      </c>
      <c r="E1008" s="2" t="s">
        <v>767</v>
      </c>
      <c r="F1008" s="2" t="s">
        <v>36</v>
      </c>
      <c r="G1008" s="2"/>
      <c r="H1008" s="2"/>
      <c r="I1008" s="2" t="s">
        <v>16</v>
      </c>
      <c r="J1008" s="2" t="s">
        <v>759</v>
      </c>
    </row>
    <row r="1009" spans="1:10" x14ac:dyDescent="0.35">
      <c r="A1009" s="2" t="s">
        <v>10</v>
      </c>
      <c r="B1009" s="2" t="s">
        <v>751</v>
      </c>
      <c r="C1009" s="2" t="s">
        <v>24</v>
      </c>
      <c r="D1009" s="2" t="s">
        <v>762</v>
      </c>
      <c r="E1009" s="2" t="s">
        <v>503</v>
      </c>
      <c r="F1009" s="2" t="s">
        <v>45</v>
      </c>
      <c r="G1009" s="2" t="s">
        <v>46</v>
      </c>
      <c r="H1009" s="2" t="s">
        <v>451</v>
      </c>
      <c r="I1009" s="2" t="s">
        <v>16</v>
      </c>
      <c r="J1009" s="2" t="s">
        <v>753</v>
      </c>
    </row>
    <row r="1010" spans="1:10" x14ac:dyDescent="0.35">
      <c r="A1010" s="2" t="s">
        <v>10</v>
      </c>
      <c r="B1010" s="2" t="s">
        <v>751</v>
      </c>
      <c r="C1010" s="2" t="s">
        <v>24</v>
      </c>
      <c r="D1010" s="2" t="s">
        <v>762</v>
      </c>
      <c r="E1010" s="2" t="s">
        <v>100</v>
      </c>
      <c r="F1010" s="2" t="s">
        <v>101</v>
      </c>
      <c r="G1010" s="2"/>
      <c r="H1010" s="2"/>
      <c r="I1010" s="2"/>
      <c r="J1010" s="2"/>
    </row>
    <row r="1011" spans="1:10" x14ac:dyDescent="0.35">
      <c r="A1011" s="2" t="s">
        <v>10</v>
      </c>
      <c r="B1011" s="2" t="s">
        <v>751</v>
      </c>
      <c r="C1011" s="2" t="s">
        <v>24</v>
      </c>
      <c r="D1011" s="2" t="s">
        <v>762</v>
      </c>
      <c r="E1011" s="2" t="s">
        <v>423</v>
      </c>
      <c r="F1011" s="2" t="s">
        <v>424</v>
      </c>
      <c r="G1011" s="2"/>
      <c r="H1011" s="2"/>
      <c r="I1011" s="2" t="s">
        <v>16</v>
      </c>
      <c r="J1011" s="2" t="s">
        <v>759</v>
      </c>
    </row>
    <row r="1012" spans="1:10" x14ac:dyDescent="0.35">
      <c r="A1012" s="2" t="s">
        <v>10</v>
      </c>
      <c r="B1012" s="2" t="s">
        <v>751</v>
      </c>
      <c r="C1012" s="2" t="s">
        <v>24</v>
      </c>
      <c r="D1012" s="2" t="s">
        <v>762</v>
      </c>
      <c r="E1012" s="2" t="s">
        <v>112</v>
      </c>
      <c r="F1012" s="2" t="s">
        <v>113</v>
      </c>
      <c r="G1012" s="2" t="s">
        <v>16</v>
      </c>
      <c r="H1012" s="2" t="s">
        <v>236</v>
      </c>
      <c r="I1012" s="2" t="s">
        <v>16</v>
      </c>
      <c r="J1012" s="2" t="s">
        <v>753</v>
      </c>
    </row>
    <row r="1013" spans="1:10" x14ac:dyDescent="0.35">
      <c r="A1013" s="2" t="s">
        <v>10</v>
      </c>
      <c r="B1013" s="2" t="s">
        <v>751</v>
      </c>
      <c r="C1013" s="2" t="s">
        <v>24</v>
      </c>
      <c r="D1013" s="2" t="s">
        <v>768</v>
      </c>
      <c r="E1013" s="2" t="s">
        <v>136</v>
      </c>
      <c r="F1013" s="2" t="s">
        <v>107</v>
      </c>
      <c r="G1013" s="2"/>
      <c r="H1013" s="2"/>
      <c r="I1013" s="2" t="s">
        <v>16</v>
      </c>
      <c r="J1013" s="2" t="s">
        <v>759</v>
      </c>
    </row>
    <row r="1014" spans="1:10" x14ac:dyDescent="0.35">
      <c r="A1014" s="2" t="s">
        <v>10</v>
      </c>
      <c r="B1014" s="2" t="s">
        <v>751</v>
      </c>
      <c r="C1014" s="2" t="s">
        <v>24</v>
      </c>
      <c r="D1014" s="2" t="s">
        <v>768</v>
      </c>
      <c r="E1014" s="2" t="s">
        <v>33</v>
      </c>
      <c r="F1014" s="2" t="s">
        <v>34</v>
      </c>
      <c r="G1014" s="2"/>
      <c r="H1014" s="2"/>
      <c r="I1014" s="2" t="s">
        <v>16</v>
      </c>
      <c r="J1014" s="2" t="s">
        <v>759</v>
      </c>
    </row>
    <row r="1015" spans="1:10" x14ac:dyDescent="0.35">
      <c r="A1015" s="2" t="s">
        <v>10</v>
      </c>
      <c r="B1015" s="2" t="s">
        <v>751</v>
      </c>
      <c r="C1015" s="2" t="s">
        <v>24</v>
      </c>
      <c r="D1015" s="2" t="s">
        <v>768</v>
      </c>
      <c r="E1015" s="2" t="s">
        <v>38</v>
      </c>
      <c r="F1015" s="2" t="s">
        <v>38</v>
      </c>
      <c r="G1015" s="2"/>
      <c r="H1015" s="2"/>
      <c r="I1015" s="2" t="s">
        <v>16</v>
      </c>
      <c r="J1015" s="2" t="s">
        <v>759</v>
      </c>
    </row>
    <row r="1016" spans="1:10" x14ac:dyDescent="0.35">
      <c r="A1016" s="2" t="s">
        <v>10</v>
      </c>
      <c r="B1016" s="2" t="s">
        <v>751</v>
      </c>
      <c r="C1016" s="2" t="s">
        <v>24</v>
      </c>
      <c r="D1016" s="2" t="s">
        <v>768</v>
      </c>
      <c r="E1016" s="2" t="s">
        <v>35</v>
      </c>
      <c r="F1016" s="2" t="s">
        <v>36</v>
      </c>
      <c r="G1016" s="2"/>
      <c r="H1016" s="2"/>
      <c r="I1016" s="2" t="s">
        <v>16</v>
      </c>
      <c r="J1016" s="2" t="s">
        <v>759</v>
      </c>
    </row>
    <row r="1017" spans="1:10" x14ac:dyDescent="0.35">
      <c r="A1017" s="2" t="s">
        <v>10</v>
      </c>
      <c r="B1017" s="2" t="s">
        <v>751</v>
      </c>
      <c r="C1017" s="2" t="s">
        <v>24</v>
      </c>
      <c r="D1017" s="2" t="s">
        <v>768</v>
      </c>
      <c r="E1017" s="2" t="s">
        <v>769</v>
      </c>
      <c r="F1017" s="2" t="s">
        <v>40</v>
      </c>
      <c r="G1017" s="2"/>
      <c r="H1017" s="2"/>
      <c r="I1017" s="2" t="s">
        <v>16</v>
      </c>
      <c r="J1017" s="2" t="s">
        <v>759</v>
      </c>
    </row>
    <row r="1018" spans="1:10" x14ac:dyDescent="0.35">
      <c r="A1018" s="2" t="s">
        <v>10</v>
      </c>
      <c r="B1018" s="2" t="s">
        <v>751</v>
      </c>
      <c r="C1018" s="2" t="s">
        <v>24</v>
      </c>
      <c r="D1018" s="2" t="s">
        <v>768</v>
      </c>
      <c r="E1018" s="2" t="s">
        <v>188</v>
      </c>
      <c r="F1018" s="2" t="s">
        <v>189</v>
      </c>
      <c r="G1018" s="2" t="s">
        <v>16</v>
      </c>
      <c r="H1018" s="2" t="s">
        <v>770</v>
      </c>
      <c r="I1018" s="2" t="s">
        <v>16</v>
      </c>
      <c r="J1018" s="2" t="s">
        <v>759</v>
      </c>
    </row>
    <row r="1019" spans="1:10" x14ac:dyDescent="0.35">
      <c r="A1019" s="2" t="s">
        <v>10</v>
      </c>
      <c r="B1019" s="2" t="s">
        <v>751</v>
      </c>
      <c r="C1019" s="2" t="s">
        <v>24</v>
      </c>
      <c r="D1019" s="2" t="s">
        <v>768</v>
      </c>
      <c r="E1019" s="2" t="s">
        <v>423</v>
      </c>
      <c r="F1019" s="2" t="s">
        <v>424</v>
      </c>
      <c r="G1019" s="2"/>
      <c r="H1019" s="2"/>
      <c r="I1019" s="2" t="s">
        <v>16</v>
      </c>
      <c r="J1019" s="2" t="s">
        <v>759</v>
      </c>
    </row>
    <row r="1020" spans="1:10" s="21" customFormat="1" x14ac:dyDescent="0.35">
      <c r="A1020" s="2" t="s">
        <v>10</v>
      </c>
      <c r="B1020" s="2" t="s">
        <v>751</v>
      </c>
      <c r="C1020" s="2" t="s">
        <v>24</v>
      </c>
      <c r="D1020" s="2" t="s">
        <v>771</v>
      </c>
      <c r="E1020" s="2" t="s">
        <v>27</v>
      </c>
      <c r="F1020" s="2" t="s">
        <v>28</v>
      </c>
      <c r="G1020" s="2"/>
      <c r="H1020" s="2"/>
      <c r="I1020" s="2"/>
      <c r="J1020" s="2"/>
    </row>
    <row r="1021" spans="1:10" x14ac:dyDescent="0.35">
      <c r="A1021" s="2" t="s">
        <v>10</v>
      </c>
      <c r="B1021" s="2" t="s">
        <v>751</v>
      </c>
      <c r="C1021" s="2" t="s">
        <v>62</v>
      </c>
      <c r="D1021" s="2" t="s">
        <v>772</v>
      </c>
      <c r="E1021" s="2" t="s">
        <v>27</v>
      </c>
      <c r="F1021" s="2" t="s">
        <v>28</v>
      </c>
      <c r="G1021" s="2"/>
      <c r="H1021" s="2"/>
      <c r="I1021" s="2" t="s">
        <v>16</v>
      </c>
      <c r="J1021" s="2" t="s">
        <v>753</v>
      </c>
    </row>
    <row r="1022" spans="1:10" x14ac:dyDescent="0.35">
      <c r="A1022" s="2" t="s">
        <v>10</v>
      </c>
      <c r="B1022" s="2" t="s">
        <v>751</v>
      </c>
      <c r="C1022" s="2" t="s">
        <v>62</v>
      </c>
      <c r="D1022" s="2" t="s">
        <v>772</v>
      </c>
      <c r="E1022" s="2" t="s">
        <v>38</v>
      </c>
      <c r="F1022" s="2" t="s">
        <v>38</v>
      </c>
      <c r="G1022" s="2"/>
      <c r="H1022" s="2"/>
      <c r="I1022" s="2" t="s">
        <v>16</v>
      </c>
      <c r="J1022" s="2" t="s">
        <v>753</v>
      </c>
    </row>
    <row r="1023" spans="1:10" x14ac:dyDescent="0.35">
      <c r="A1023" s="2" t="s">
        <v>10</v>
      </c>
      <c r="B1023" s="2" t="s">
        <v>751</v>
      </c>
      <c r="C1023" s="2" t="s">
        <v>62</v>
      </c>
      <c r="D1023" s="2" t="s">
        <v>772</v>
      </c>
      <c r="E1023" s="2" t="s">
        <v>291</v>
      </c>
      <c r="F1023" s="2" t="s">
        <v>139</v>
      </c>
      <c r="G1023" s="2"/>
      <c r="H1023" s="2"/>
      <c r="I1023" s="2" t="s">
        <v>16</v>
      </c>
      <c r="J1023" s="2" t="s">
        <v>753</v>
      </c>
    </row>
    <row r="1024" spans="1:10" x14ac:dyDescent="0.35">
      <c r="A1024" s="2" t="s">
        <v>10</v>
      </c>
      <c r="B1024" s="2" t="s">
        <v>751</v>
      </c>
      <c r="C1024" s="2" t="s">
        <v>62</v>
      </c>
      <c r="D1024" s="2" t="s">
        <v>772</v>
      </c>
      <c r="E1024" s="2" t="s">
        <v>61</v>
      </c>
      <c r="F1024" s="2" t="s">
        <v>30</v>
      </c>
      <c r="G1024" s="2"/>
      <c r="H1024" s="2"/>
      <c r="I1024" s="2" t="s">
        <v>16</v>
      </c>
      <c r="J1024" s="2" t="s">
        <v>753</v>
      </c>
    </row>
    <row r="1025" spans="1:10" x14ac:dyDescent="0.35">
      <c r="A1025" s="2" t="s">
        <v>10</v>
      </c>
      <c r="B1025" s="2" t="s">
        <v>751</v>
      </c>
      <c r="C1025" s="2" t="s">
        <v>62</v>
      </c>
      <c r="D1025" s="2" t="s">
        <v>772</v>
      </c>
      <c r="E1025" s="2" t="s">
        <v>352</v>
      </c>
      <c r="F1025" s="2" t="s">
        <v>107</v>
      </c>
      <c r="G1025" s="2"/>
      <c r="H1025" s="2"/>
      <c r="I1025" s="2" t="s">
        <v>16</v>
      </c>
      <c r="J1025" s="2" t="s">
        <v>753</v>
      </c>
    </row>
    <row r="1026" spans="1:10" x14ac:dyDescent="0.35">
      <c r="A1026" s="2" t="s">
        <v>10</v>
      </c>
      <c r="B1026" s="2" t="s">
        <v>751</v>
      </c>
      <c r="C1026" s="2" t="s">
        <v>54</v>
      </c>
      <c r="D1026" s="2" t="s">
        <v>773</v>
      </c>
      <c r="E1026" s="2" t="s">
        <v>120</v>
      </c>
      <c r="F1026" s="2" t="s">
        <v>32</v>
      </c>
      <c r="G1026" s="2" t="s">
        <v>16</v>
      </c>
      <c r="H1026" s="2" t="s">
        <v>774</v>
      </c>
      <c r="I1026" s="2" t="s">
        <v>16</v>
      </c>
      <c r="J1026" s="2" t="s">
        <v>759</v>
      </c>
    </row>
    <row r="1027" spans="1:10" x14ac:dyDescent="0.35">
      <c r="A1027" s="2" t="s">
        <v>10</v>
      </c>
      <c r="B1027" s="2" t="s">
        <v>751</v>
      </c>
      <c r="C1027" s="2" t="s">
        <v>54</v>
      </c>
      <c r="D1027" s="2" t="s">
        <v>773</v>
      </c>
      <c r="E1027" s="2" t="s">
        <v>136</v>
      </c>
      <c r="F1027" s="2" t="s">
        <v>107</v>
      </c>
      <c r="G1027" s="2" t="s">
        <v>16</v>
      </c>
      <c r="H1027" s="2" t="s">
        <v>774</v>
      </c>
      <c r="I1027" s="2" t="s">
        <v>16</v>
      </c>
      <c r="J1027" s="2" t="s">
        <v>759</v>
      </c>
    </row>
    <row r="1028" spans="1:10" x14ac:dyDescent="0.35">
      <c r="A1028" s="2" t="s">
        <v>10</v>
      </c>
      <c r="B1028" s="2" t="s">
        <v>751</v>
      </c>
      <c r="C1028" s="2" t="s">
        <v>54</v>
      </c>
      <c r="D1028" s="2" t="s">
        <v>773</v>
      </c>
      <c r="E1028" s="2" t="s">
        <v>33</v>
      </c>
      <c r="F1028" s="2" t="s">
        <v>34</v>
      </c>
      <c r="G1028" s="2" t="s">
        <v>16</v>
      </c>
      <c r="H1028" s="2" t="s">
        <v>774</v>
      </c>
      <c r="I1028" s="2" t="s">
        <v>16</v>
      </c>
      <c r="J1028" s="2" t="s">
        <v>759</v>
      </c>
    </row>
    <row r="1029" spans="1:10" x14ac:dyDescent="0.35">
      <c r="A1029" s="2" t="s">
        <v>10</v>
      </c>
      <c r="B1029" s="2" t="s">
        <v>751</v>
      </c>
      <c r="C1029" s="2" t="s">
        <v>54</v>
      </c>
      <c r="D1029" s="2" t="s">
        <v>773</v>
      </c>
      <c r="E1029" s="2" t="s">
        <v>35</v>
      </c>
      <c r="F1029" s="2" t="s">
        <v>36</v>
      </c>
      <c r="G1029" s="2" t="s">
        <v>16</v>
      </c>
      <c r="H1029" s="2" t="s">
        <v>774</v>
      </c>
      <c r="I1029" s="2" t="s">
        <v>16</v>
      </c>
      <c r="J1029" s="2" t="s">
        <v>759</v>
      </c>
    </row>
    <row r="1030" spans="1:10" x14ac:dyDescent="0.35">
      <c r="A1030" s="2" t="s">
        <v>10</v>
      </c>
      <c r="B1030" s="2" t="s">
        <v>751</v>
      </c>
      <c r="C1030" s="2" t="s">
        <v>54</v>
      </c>
      <c r="D1030" s="2" t="s">
        <v>773</v>
      </c>
      <c r="E1030" s="2" t="s">
        <v>168</v>
      </c>
      <c r="F1030" s="2" t="s">
        <v>45</v>
      </c>
      <c r="G1030" s="2"/>
      <c r="H1030" s="2"/>
      <c r="I1030" s="2" t="s">
        <v>16</v>
      </c>
      <c r="J1030" s="2" t="s">
        <v>759</v>
      </c>
    </row>
    <row r="1031" spans="1:10" x14ac:dyDescent="0.35">
      <c r="A1031" s="2" t="s">
        <v>10</v>
      </c>
      <c r="B1031" s="2" t="s">
        <v>751</v>
      </c>
      <c r="C1031" s="2" t="s">
        <v>54</v>
      </c>
      <c r="D1031" s="2" t="s">
        <v>773</v>
      </c>
      <c r="E1031" s="2" t="s">
        <v>77</v>
      </c>
      <c r="F1031" s="2" t="s">
        <v>78</v>
      </c>
      <c r="G1031" s="2" t="s">
        <v>16</v>
      </c>
      <c r="H1031" s="2" t="s">
        <v>774</v>
      </c>
      <c r="I1031" s="2" t="s">
        <v>16</v>
      </c>
      <c r="J1031" s="2" t="s">
        <v>759</v>
      </c>
    </row>
    <row r="1032" spans="1:10" x14ac:dyDescent="0.35">
      <c r="A1032" s="2" t="s">
        <v>10</v>
      </c>
      <c r="B1032" s="2" t="s">
        <v>751</v>
      </c>
      <c r="C1032" s="2" t="s">
        <v>54</v>
      </c>
      <c r="D1032" s="2" t="s">
        <v>773</v>
      </c>
      <c r="E1032" s="2" t="s">
        <v>91</v>
      </c>
      <c r="F1032" s="2" t="s">
        <v>19</v>
      </c>
      <c r="G1032" s="2" t="s">
        <v>16</v>
      </c>
      <c r="H1032" s="2" t="s">
        <v>775</v>
      </c>
      <c r="I1032" s="2" t="s">
        <v>16</v>
      </c>
      <c r="J1032" s="2" t="s">
        <v>759</v>
      </c>
    </row>
    <row r="1033" spans="1:10" x14ac:dyDescent="0.35">
      <c r="A1033" s="2" t="s">
        <v>10</v>
      </c>
      <c r="B1033" s="2" t="s">
        <v>751</v>
      </c>
      <c r="C1033" s="2" t="s">
        <v>54</v>
      </c>
      <c r="D1033" s="2" t="s">
        <v>773</v>
      </c>
      <c r="E1033" s="2" t="s">
        <v>124</v>
      </c>
      <c r="F1033" s="2" t="s">
        <v>125</v>
      </c>
      <c r="G1033" s="2" t="s">
        <v>16</v>
      </c>
      <c r="H1033" s="2" t="s">
        <v>774</v>
      </c>
      <c r="I1033" s="2" t="s">
        <v>16</v>
      </c>
      <c r="J1033" s="2" t="s">
        <v>759</v>
      </c>
    </row>
    <row r="1034" spans="1:10" x14ac:dyDescent="0.35">
      <c r="A1034" s="2" t="s">
        <v>10</v>
      </c>
      <c r="B1034" s="2" t="s">
        <v>751</v>
      </c>
      <c r="C1034" s="2" t="s">
        <v>54</v>
      </c>
      <c r="D1034" s="2" t="s">
        <v>773</v>
      </c>
      <c r="E1034" s="2" t="s">
        <v>423</v>
      </c>
      <c r="F1034" s="2" t="s">
        <v>424</v>
      </c>
      <c r="G1034" s="2" t="s">
        <v>16</v>
      </c>
      <c r="H1034" s="2" t="s">
        <v>774</v>
      </c>
      <c r="I1034" s="2" t="s">
        <v>16</v>
      </c>
      <c r="J1034" s="2" t="s">
        <v>759</v>
      </c>
    </row>
    <row r="1035" spans="1:10" x14ac:dyDescent="0.35">
      <c r="A1035" s="2" t="s">
        <v>10</v>
      </c>
      <c r="B1035" s="2" t="s">
        <v>751</v>
      </c>
      <c r="C1035" s="2" t="s">
        <v>24</v>
      </c>
      <c r="D1035" s="2" t="s">
        <v>776</v>
      </c>
      <c r="E1035" s="2" t="s">
        <v>121</v>
      </c>
      <c r="F1035" s="2" t="s">
        <v>122</v>
      </c>
      <c r="G1035" s="2" t="s">
        <v>16</v>
      </c>
      <c r="H1035" s="2" t="s">
        <v>777</v>
      </c>
      <c r="I1035" s="2" t="s">
        <v>16</v>
      </c>
      <c r="J1035" s="2" t="s">
        <v>759</v>
      </c>
    </row>
    <row r="1036" spans="1:10" x14ac:dyDescent="0.35">
      <c r="A1036" s="2" t="s">
        <v>10</v>
      </c>
      <c r="B1036" s="2" t="s">
        <v>751</v>
      </c>
      <c r="C1036" s="2" t="s">
        <v>24</v>
      </c>
      <c r="D1036" s="2" t="s">
        <v>776</v>
      </c>
      <c r="E1036" s="2" t="s">
        <v>188</v>
      </c>
      <c r="F1036" s="2" t="s">
        <v>189</v>
      </c>
      <c r="G1036" s="2" t="s">
        <v>16</v>
      </c>
      <c r="H1036" s="2" t="s">
        <v>778</v>
      </c>
      <c r="I1036" s="2" t="s">
        <v>16</v>
      </c>
      <c r="J1036" s="2" t="s">
        <v>759</v>
      </c>
    </row>
    <row r="1037" spans="1:10" x14ac:dyDescent="0.35">
      <c r="A1037" s="2" t="s">
        <v>10</v>
      </c>
      <c r="B1037" s="2" t="s">
        <v>779</v>
      </c>
      <c r="C1037" s="2" t="s">
        <v>57</v>
      </c>
      <c r="D1037" s="2" t="s">
        <v>780</v>
      </c>
      <c r="E1037" s="2" t="s">
        <v>172</v>
      </c>
      <c r="F1037" s="2" t="s">
        <v>65</v>
      </c>
      <c r="G1037" s="2"/>
      <c r="H1037" s="2"/>
      <c r="I1037" s="2"/>
      <c r="J1037" s="2"/>
    </row>
    <row r="1038" spans="1:10" x14ac:dyDescent="0.35">
      <c r="A1038" s="2" t="s">
        <v>10</v>
      </c>
      <c r="B1038" s="2" t="s">
        <v>779</v>
      </c>
      <c r="C1038" s="2" t="s">
        <v>57</v>
      </c>
      <c r="D1038" s="2" t="s">
        <v>780</v>
      </c>
      <c r="E1038" s="2" t="s">
        <v>59</v>
      </c>
      <c r="F1038" s="2" t="s">
        <v>60</v>
      </c>
      <c r="G1038" s="2"/>
      <c r="H1038" s="2"/>
      <c r="I1038" s="2"/>
      <c r="J1038" s="2"/>
    </row>
    <row r="1039" spans="1:10" x14ac:dyDescent="0.35">
      <c r="A1039" s="2" t="s">
        <v>10</v>
      </c>
      <c r="B1039" s="2" t="s">
        <v>779</v>
      </c>
      <c r="C1039" s="2" t="s">
        <v>57</v>
      </c>
      <c r="D1039" s="2" t="s">
        <v>780</v>
      </c>
      <c r="E1039" s="2" t="s">
        <v>149</v>
      </c>
      <c r="F1039" s="2" t="s">
        <v>150</v>
      </c>
      <c r="G1039" s="2" t="s">
        <v>16</v>
      </c>
      <c r="H1039" s="2" t="s">
        <v>702</v>
      </c>
      <c r="I1039" s="2"/>
      <c r="J1039" s="2"/>
    </row>
    <row r="1040" spans="1:10" x14ac:dyDescent="0.35">
      <c r="A1040" s="2" t="s">
        <v>10</v>
      </c>
      <c r="B1040" s="2" t="s">
        <v>779</v>
      </c>
      <c r="C1040" s="2" t="s">
        <v>62</v>
      </c>
      <c r="D1040" s="2" t="s">
        <v>781</v>
      </c>
      <c r="E1040" s="2" t="s">
        <v>532</v>
      </c>
      <c r="F1040" s="2" t="s">
        <v>533</v>
      </c>
      <c r="G1040" s="2"/>
      <c r="H1040" s="2"/>
      <c r="I1040" s="2"/>
      <c r="J1040" s="2"/>
    </row>
    <row r="1041" spans="1:10" x14ac:dyDescent="0.35">
      <c r="A1041" s="2" t="s">
        <v>10</v>
      </c>
      <c r="B1041" s="2" t="s">
        <v>779</v>
      </c>
      <c r="C1041" s="2" t="s">
        <v>62</v>
      </c>
      <c r="D1041" s="2" t="s">
        <v>781</v>
      </c>
      <c r="E1041" s="2" t="s">
        <v>782</v>
      </c>
      <c r="F1041" s="2" t="s">
        <v>75</v>
      </c>
      <c r="G1041" s="2" t="s">
        <v>16</v>
      </c>
      <c r="H1041" s="2" t="s">
        <v>661</v>
      </c>
      <c r="I1041" s="2"/>
      <c r="J1041" s="2"/>
    </row>
    <row r="1042" spans="1:10" x14ac:dyDescent="0.35">
      <c r="A1042" s="2" t="s">
        <v>10</v>
      </c>
      <c r="B1042" s="2" t="s">
        <v>779</v>
      </c>
      <c r="C1042" s="2" t="s">
        <v>12</v>
      </c>
      <c r="D1042" s="2" t="s">
        <v>783</v>
      </c>
      <c r="E1042" s="2" t="s">
        <v>64</v>
      </c>
      <c r="F1042" s="2" t="s">
        <v>65</v>
      </c>
      <c r="G1042" s="2"/>
      <c r="H1042" s="2"/>
      <c r="I1042" s="2" t="s">
        <v>16</v>
      </c>
      <c r="J1042" s="2" t="s">
        <v>784</v>
      </c>
    </row>
    <row r="1043" spans="1:10" x14ac:dyDescent="0.35">
      <c r="A1043" s="2" t="s">
        <v>10</v>
      </c>
      <c r="B1043" s="2" t="s">
        <v>779</v>
      </c>
      <c r="C1043" s="2" t="s">
        <v>12</v>
      </c>
      <c r="D1043" s="2" t="s">
        <v>783</v>
      </c>
      <c r="E1043" s="2" t="s">
        <v>18</v>
      </c>
      <c r="F1043" s="2" t="s">
        <v>19</v>
      </c>
      <c r="G1043" s="2" t="s">
        <v>16</v>
      </c>
      <c r="H1043" s="2" t="s">
        <v>785</v>
      </c>
      <c r="I1043" s="2" t="s">
        <v>16</v>
      </c>
      <c r="J1043" s="2" t="s">
        <v>784</v>
      </c>
    </row>
    <row r="1044" spans="1:10" x14ac:dyDescent="0.35">
      <c r="A1044" s="2" t="s">
        <v>10</v>
      </c>
      <c r="B1044" s="2" t="s">
        <v>779</v>
      </c>
      <c r="C1044" s="2" t="s">
        <v>24</v>
      </c>
      <c r="D1044" s="2" t="s">
        <v>786</v>
      </c>
      <c r="E1044" s="2" t="s">
        <v>31</v>
      </c>
      <c r="F1044" s="2" t="s">
        <v>32</v>
      </c>
      <c r="G1044" s="2"/>
      <c r="H1044" s="2"/>
      <c r="I1044" s="2" t="s">
        <v>16</v>
      </c>
      <c r="J1044" s="2" t="s">
        <v>787</v>
      </c>
    </row>
    <row r="1045" spans="1:10" x14ac:dyDescent="0.35">
      <c r="A1045" s="2" t="s">
        <v>10</v>
      </c>
      <c r="B1045" s="2" t="s">
        <v>779</v>
      </c>
      <c r="C1045" s="2" t="s">
        <v>24</v>
      </c>
      <c r="D1045" s="2" t="s">
        <v>786</v>
      </c>
      <c r="E1045" s="2" t="s">
        <v>33</v>
      </c>
      <c r="F1045" s="2" t="s">
        <v>34</v>
      </c>
      <c r="G1045" s="2"/>
      <c r="H1045" s="2"/>
      <c r="I1045" s="2" t="s">
        <v>16</v>
      </c>
      <c r="J1045" s="2" t="s">
        <v>787</v>
      </c>
    </row>
    <row r="1046" spans="1:10" x14ac:dyDescent="0.35">
      <c r="A1046" s="2" t="s">
        <v>10</v>
      </c>
      <c r="B1046" s="2" t="s">
        <v>779</v>
      </c>
      <c r="C1046" s="2" t="s">
        <v>24</v>
      </c>
      <c r="D1046" s="2" t="s">
        <v>786</v>
      </c>
      <c r="E1046" s="2" t="s">
        <v>38</v>
      </c>
      <c r="F1046" s="2" t="s">
        <v>38</v>
      </c>
      <c r="G1046" s="2"/>
      <c r="H1046" s="2"/>
      <c r="I1046" s="2" t="s">
        <v>16</v>
      </c>
      <c r="J1046" s="2" t="s">
        <v>787</v>
      </c>
    </row>
    <row r="1047" spans="1:10" x14ac:dyDescent="0.35">
      <c r="A1047" s="2" t="s">
        <v>10</v>
      </c>
      <c r="B1047" s="2" t="s">
        <v>779</v>
      </c>
      <c r="C1047" s="2" t="s">
        <v>24</v>
      </c>
      <c r="D1047" s="2" t="s">
        <v>786</v>
      </c>
      <c r="E1047" s="2" t="s">
        <v>393</v>
      </c>
      <c r="F1047" s="2" t="s">
        <v>36</v>
      </c>
      <c r="G1047" s="2"/>
      <c r="H1047" s="2"/>
      <c r="I1047" s="2" t="s">
        <v>16</v>
      </c>
      <c r="J1047" s="2" t="s">
        <v>787</v>
      </c>
    </row>
    <row r="1048" spans="1:10" x14ac:dyDescent="0.35">
      <c r="A1048" s="2" t="s">
        <v>10</v>
      </c>
      <c r="B1048" s="2" t="s">
        <v>779</v>
      </c>
      <c r="C1048" s="2" t="s">
        <v>24</v>
      </c>
      <c r="D1048" s="2" t="s">
        <v>786</v>
      </c>
      <c r="E1048" s="2" t="s">
        <v>89</v>
      </c>
      <c r="F1048" s="2" t="s">
        <v>45</v>
      </c>
      <c r="G1048" s="2" t="s">
        <v>16</v>
      </c>
      <c r="H1048" s="2" t="s">
        <v>788</v>
      </c>
      <c r="I1048" s="2" t="s">
        <v>16</v>
      </c>
      <c r="J1048" s="2" t="s">
        <v>784</v>
      </c>
    </row>
    <row r="1049" spans="1:10" x14ac:dyDescent="0.35">
      <c r="A1049" s="2" t="s">
        <v>10</v>
      </c>
      <c r="B1049" s="2" t="s">
        <v>779</v>
      </c>
      <c r="C1049" s="2" t="s">
        <v>24</v>
      </c>
      <c r="D1049" s="2" t="s">
        <v>786</v>
      </c>
      <c r="E1049" s="2" t="s">
        <v>100</v>
      </c>
      <c r="F1049" s="2" t="s">
        <v>101</v>
      </c>
      <c r="G1049" s="2"/>
      <c r="H1049" s="2"/>
      <c r="I1049" s="2"/>
      <c r="J1049" s="2"/>
    </row>
    <row r="1050" spans="1:10" x14ac:dyDescent="0.35">
      <c r="A1050" s="2" t="s">
        <v>10</v>
      </c>
      <c r="B1050" s="2" t="s">
        <v>779</v>
      </c>
      <c r="C1050" s="2" t="s">
        <v>24</v>
      </c>
      <c r="D1050" s="2" t="s">
        <v>786</v>
      </c>
      <c r="E1050" s="2" t="s">
        <v>42</v>
      </c>
      <c r="F1050" s="2" t="s">
        <v>43</v>
      </c>
      <c r="G1050" s="2"/>
      <c r="H1050" s="2"/>
      <c r="I1050" s="2" t="s">
        <v>16</v>
      </c>
      <c r="J1050" s="2" t="s">
        <v>787</v>
      </c>
    </row>
    <row r="1051" spans="1:10" x14ac:dyDescent="0.35">
      <c r="A1051" s="2" t="s">
        <v>10</v>
      </c>
      <c r="B1051" s="2" t="s">
        <v>779</v>
      </c>
      <c r="C1051" s="2" t="s">
        <v>24</v>
      </c>
      <c r="D1051" s="2" t="s">
        <v>786</v>
      </c>
      <c r="E1051" s="2" t="s">
        <v>193</v>
      </c>
      <c r="F1051" s="2" t="s">
        <v>40</v>
      </c>
      <c r="G1051" s="2" t="s">
        <v>16</v>
      </c>
      <c r="H1051" s="2" t="s">
        <v>789</v>
      </c>
      <c r="I1051" s="2" t="s">
        <v>16</v>
      </c>
      <c r="J1051" s="2" t="s">
        <v>784</v>
      </c>
    </row>
    <row r="1052" spans="1:10" x14ac:dyDescent="0.35">
      <c r="A1052" s="2" t="s">
        <v>10</v>
      </c>
      <c r="B1052" s="2" t="s">
        <v>779</v>
      </c>
      <c r="C1052" s="2" t="s">
        <v>24</v>
      </c>
      <c r="D1052" s="2" t="s">
        <v>786</v>
      </c>
      <c r="E1052" s="2" t="s">
        <v>790</v>
      </c>
      <c r="F1052" s="2" t="s">
        <v>65</v>
      </c>
      <c r="G1052" s="2"/>
      <c r="H1052" s="2"/>
      <c r="I1052" s="2" t="s">
        <v>16</v>
      </c>
      <c r="J1052" s="2" t="s">
        <v>784</v>
      </c>
    </row>
    <row r="1053" spans="1:10" x14ac:dyDescent="0.35">
      <c r="A1053" s="2" t="s">
        <v>10</v>
      </c>
      <c r="B1053" s="2" t="s">
        <v>791</v>
      </c>
      <c r="C1053" s="2" t="s">
        <v>12</v>
      </c>
      <c r="D1053" s="2" t="s">
        <v>792</v>
      </c>
      <c r="E1053" s="2" t="s">
        <v>14</v>
      </c>
      <c r="F1053" s="2" t="s">
        <v>15</v>
      </c>
      <c r="G1053" s="2"/>
      <c r="H1053" s="2"/>
      <c r="I1053" s="2"/>
      <c r="J1053" s="2"/>
    </row>
    <row r="1054" spans="1:10" x14ac:dyDescent="0.35">
      <c r="A1054" s="2" t="s">
        <v>10</v>
      </c>
      <c r="B1054" s="2" t="s">
        <v>791</v>
      </c>
      <c r="C1054" s="2" t="s">
        <v>12</v>
      </c>
      <c r="D1054" s="2" t="s">
        <v>792</v>
      </c>
      <c r="E1054" s="2" t="s">
        <v>793</v>
      </c>
      <c r="F1054" s="2" t="s">
        <v>65</v>
      </c>
      <c r="G1054" s="2"/>
      <c r="H1054" s="2"/>
      <c r="I1054" s="2"/>
      <c r="J1054" s="2"/>
    </row>
    <row r="1055" spans="1:10" x14ac:dyDescent="0.35">
      <c r="A1055" s="2" t="s">
        <v>10</v>
      </c>
      <c r="B1055" s="2" t="s">
        <v>791</v>
      </c>
      <c r="C1055" s="2" t="s">
        <v>12</v>
      </c>
      <c r="D1055" s="2" t="s">
        <v>792</v>
      </c>
      <c r="E1055" s="2" t="s">
        <v>610</v>
      </c>
      <c r="F1055" s="2" t="s">
        <v>19</v>
      </c>
      <c r="G1055" s="2" t="s">
        <v>16</v>
      </c>
      <c r="H1055" s="2" t="s">
        <v>794</v>
      </c>
      <c r="I1055" s="2"/>
      <c r="J1055" s="2"/>
    </row>
    <row r="1056" spans="1:10" x14ac:dyDescent="0.35">
      <c r="A1056" s="2" t="s">
        <v>10</v>
      </c>
      <c r="B1056" s="2" t="s">
        <v>791</v>
      </c>
      <c r="C1056" s="2" t="s">
        <v>12</v>
      </c>
      <c r="D1056" s="2" t="s">
        <v>792</v>
      </c>
      <c r="E1056" s="2" t="s">
        <v>77</v>
      </c>
      <c r="F1056" s="2" t="s">
        <v>78</v>
      </c>
      <c r="G1056" s="2"/>
      <c r="H1056" s="2"/>
      <c r="I1056" s="2"/>
      <c r="J1056" s="2"/>
    </row>
    <row r="1057" spans="1:10" x14ac:dyDescent="0.35">
      <c r="A1057" s="2" t="s">
        <v>10</v>
      </c>
      <c r="B1057" s="2" t="s">
        <v>791</v>
      </c>
      <c r="C1057" s="2" t="s">
        <v>12</v>
      </c>
      <c r="D1057" s="2" t="s">
        <v>792</v>
      </c>
      <c r="E1057" s="2" t="s">
        <v>149</v>
      </c>
      <c r="F1057" s="2" t="s">
        <v>150</v>
      </c>
      <c r="G1057" s="2" t="s">
        <v>16</v>
      </c>
      <c r="H1057" s="2" t="s">
        <v>702</v>
      </c>
      <c r="I1057" s="2"/>
      <c r="J1057" s="2"/>
    </row>
    <row r="1058" spans="1:10" s="21" customFormat="1" x14ac:dyDescent="0.35">
      <c r="A1058" s="2" t="s">
        <v>10</v>
      </c>
      <c r="B1058" s="2" t="s">
        <v>791</v>
      </c>
      <c r="C1058" s="2" t="s">
        <v>12</v>
      </c>
      <c r="D1058" s="2" t="s">
        <v>795</v>
      </c>
      <c r="E1058" s="2" t="s">
        <v>64</v>
      </c>
      <c r="F1058" s="2" t="s">
        <v>65</v>
      </c>
      <c r="G1058" s="2" t="s">
        <v>20</v>
      </c>
      <c r="H1058" s="2" t="s">
        <v>796</v>
      </c>
      <c r="I1058" s="2" t="s">
        <v>20</v>
      </c>
      <c r="J1058" s="2" t="s">
        <v>797</v>
      </c>
    </row>
    <row r="1059" spans="1:10" s="21" customFormat="1" x14ac:dyDescent="0.35">
      <c r="A1059" s="2" t="s">
        <v>10</v>
      </c>
      <c r="B1059" s="2" t="s">
        <v>791</v>
      </c>
      <c r="C1059" s="2" t="s">
        <v>12</v>
      </c>
      <c r="D1059" s="2" t="s">
        <v>795</v>
      </c>
      <c r="E1059" s="2" t="s">
        <v>18</v>
      </c>
      <c r="F1059" s="2" t="s">
        <v>19</v>
      </c>
      <c r="G1059" s="2" t="s">
        <v>20</v>
      </c>
      <c r="H1059" s="2" t="s">
        <v>798</v>
      </c>
      <c r="I1059" s="2" t="s">
        <v>20</v>
      </c>
      <c r="J1059" s="2" t="s">
        <v>797</v>
      </c>
    </row>
    <row r="1060" spans="1:10" s="21" customFormat="1" x14ac:dyDescent="0.35">
      <c r="A1060" s="2" t="s">
        <v>10</v>
      </c>
      <c r="B1060" s="2" t="s">
        <v>791</v>
      </c>
      <c r="C1060" s="2" t="s">
        <v>12</v>
      </c>
      <c r="D1060" s="2" t="s">
        <v>795</v>
      </c>
      <c r="E1060" s="2" t="s">
        <v>89</v>
      </c>
      <c r="F1060" s="2" t="s">
        <v>45</v>
      </c>
      <c r="G1060" s="2" t="s">
        <v>20</v>
      </c>
      <c r="H1060" s="2" t="s">
        <v>799</v>
      </c>
      <c r="I1060" s="2" t="s">
        <v>20</v>
      </c>
      <c r="J1060" s="2" t="s">
        <v>797</v>
      </c>
    </row>
    <row r="1061" spans="1:10" s="21" customFormat="1" x14ac:dyDescent="0.35">
      <c r="A1061" s="2" t="s">
        <v>10</v>
      </c>
      <c r="B1061" s="2" t="s">
        <v>791</v>
      </c>
      <c r="C1061" s="2" t="s">
        <v>12</v>
      </c>
      <c r="D1061" s="2" t="s">
        <v>800</v>
      </c>
      <c r="E1061" s="2" t="s">
        <v>14</v>
      </c>
      <c r="F1061" s="2" t="s">
        <v>15</v>
      </c>
      <c r="G1061" s="2"/>
      <c r="H1061" s="2"/>
      <c r="I1061" s="2" t="s">
        <v>20</v>
      </c>
      <c r="J1061" s="2" t="s">
        <v>797</v>
      </c>
    </row>
    <row r="1062" spans="1:10" s="21" customFormat="1" x14ac:dyDescent="0.35">
      <c r="A1062" s="2" t="s">
        <v>10</v>
      </c>
      <c r="B1062" s="2" t="s">
        <v>791</v>
      </c>
      <c r="C1062" s="2" t="s">
        <v>12</v>
      </c>
      <c r="D1062" s="2" t="s">
        <v>800</v>
      </c>
      <c r="E1062" s="2" t="s">
        <v>64</v>
      </c>
      <c r="F1062" s="2" t="s">
        <v>65</v>
      </c>
      <c r="G1062" s="2"/>
      <c r="H1062" s="2"/>
      <c r="I1062" s="2" t="s">
        <v>20</v>
      </c>
      <c r="J1062" s="2" t="s">
        <v>797</v>
      </c>
    </row>
    <row r="1063" spans="1:10" x14ac:dyDescent="0.35">
      <c r="A1063" s="2" t="s">
        <v>10</v>
      </c>
      <c r="B1063" s="2" t="s">
        <v>791</v>
      </c>
      <c r="C1063" s="2" t="s">
        <v>801</v>
      </c>
      <c r="D1063" s="2" t="s">
        <v>802</v>
      </c>
      <c r="E1063" s="2" t="s">
        <v>42</v>
      </c>
      <c r="F1063" s="2" t="s">
        <v>43</v>
      </c>
      <c r="G1063" s="2"/>
      <c r="H1063" s="2"/>
      <c r="I1063" s="2"/>
      <c r="J1063" s="2"/>
    </row>
    <row r="1064" spans="1:10" x14ac:dyDescent="0.35">
      <c r="A1064" s="2" t="s">
        <v>10</v>
      </c>
      <c r="B1064" s="2" t="s">
        <v>791</v>
      </c>
      <c r="C1064" s="2" t="s">
        <v>54</v>
      </c>
      <c r="D1064" s="2" t="s">
        <v>803</v>
      </c>
      <c r="E1064" s="2" t="s">
        <v>31</v>
      </c>
      <c r="F1064" s="2" t="s">
        <v>32</v>
      </c>
      <c r="G1064" s="2" t="s">
        <v>16</v>
      </c>
      <c r="H1064" s="2" t="s">
        <v>702</v>
      </c>
      <c r="I1064" s="2"/>
      <c r="J1064" s="2"/>
    </row>
    <row r="1065" spans="1:10" x14ac:dyDescent="0.35">
      <c r="A1065" s="2" t="s">
        <v>10</v>
      </c>
      <c r="B1065" s="2" t="s">
        <v>791</v>
      </c>
      <c r="C1065" s="2" t="s">
        <v>54</v>
      </c>
      <c r="D1065" s="2" t="s">
        <v>803</v>
      </c>
      <c r="E1065" s="2" t="s">
        <v>193</v>
      </c>
      <c r="F1065" s="2" t="s">
        <v>40</v>
      </c>
      <c r="G1065" s="2" t="s">
        <v>16</v>
      </c>
      <c r="H1065" s="2" t="s">
        <v>702</v>
      </c>
      <c r="I1065" s="2"/>
      <c r="J1065" s="2"/>
    </row>
    <row r="1066" spans="1:10" s="21" customFormat="1" x14ac:dyDescent="0.35">
      <c r="A1066" s="2" t="s">
        <v>10</v>
      </c>
      <c r="B1066" s="2" t="s">
        <v>791</v>
      </c>
      <c r="C1066" s="2" t="s">
        <v>24</v>
      </c>
      <c r="D1066" s="2" t="s">
        <v>804</v>
      </c>
      <c r="E1066" s="2" t="s">
        <v>188</v>
      </c>
      <c r="F1066" s="2" t="s">
        <v>189</v>
      </c>
      <c r="G1066" s="2" t="s">
        <v>20</v>
      </c>
      <c r="H1066" s="2" t="s">
        <v>805</v>
      </c>
      <c r="I1066" s="2" t="s">
        <v>20</v>
      </c>
      <c r="J1066" s="2" t="s">
        <v>797</v>
      </c>
    </row>
    <row r="1067" spans="1:10" x14ac:dyDescent="0.35">
      <c r="A1067" s="2" t="s">
        <v>10</v>
      </c>
      <c r="B1067" s="2" t="s">
        <v>791</v>
      </c>
      <c r="C1067" s="2" t="s">
        <v>62</v>
      </c>
      <c r="D1067" s="2" t="s">
        <v>806</v>
      </c>
      <c r="E1067" s="2" t="s">
        <v>121</v>
      </c>
      <c r="F1067" s="2" t="s">
        <v>122</v>
      </c>
      <c r="G1067" s="2"/>
      <c r="H1067" s="2"/>
      <c r="I1067" s="2"/>
      <c r="J1067" s="2"/>
    </row>
    <row r="1068" spans="1:10" x14ac:dyDescent="0.35">
      <c r="A1068" s="2" t="s">
        <v>10</v>
      </c>
      <c r="B1068" s="2" t="s">
        <v>791</v>
      </c>
      <c r="C1068" s="2" t="s">
        <v>62</v>
      </c>
      <c r="D1068" s="2" t="s">
        <v>806</v>
      </c>
      <c r="E1068" s="2" t="s">
        <v>61</v>
      </c>
      <c r="F1068" s="2" t="s">
        <v>30</v>
      </c>
      <c r="G1068" s="2"/>
      <c r="H1068" s="2"/>
      <c r="I1068" s="2"/>
      <c r="J1068" s="2"/>
    </row>
    <row r="1069" spans="1:10" x14ac:dyDescent="0.35">
      <c r="A1069" s="2" t="s">
        <v>10</v>
      </c>
      <c r="B1069" s="2" t="s">
        <v>791</v>
      </c>
      <c r="C1069" s="2" t="s">
        <v>62</v>
      </c>
      <c r="D1069" s="2" t="s">
        <v>807</v>
      </c>
      <c r="E1069" s="2" t="s">
        <v>27</v>
      </c>
      <c r="F1069" s="2" t="s">
        <v>28</v>
      </c>
      <c r="G1069" s="2"/>
      <c r="H1069" s="2"/>
      <c r="I1069" s="2"/>
      <c r="J1069" s="2"/>
    </row>
    <row r="1070" spans="1:10" x14ac:dyDescent="0.35">
      <c r="A1070" s="2" t="s">
        <v>10</v>
      </c>
      <c r="B1070" s="2" t="s">
        <v>791</v>
      </c>
      <c r="C1070" s="2" t="s">
        <v>62</v>
      </c>
      <c r="D1070" s="2" t="s">
        <v>807</v>
      </c>
      <c r="E1070" s="2" t="s">
        <v>96</v>
      </c>
      <c r="F1070" s="2" t="s">
        <v>83</v>
      </c>
      <c r="G1070" s="2"/>
      <c r="H1070" s="2"/>
      <c r="I1070" s="2"/>
      <c r="J1070" s="2"/>
    </row>
    <row r="1071" spans="1:10" x14ac:dyDescent="0.35">
      <c r="A1071" s="2" t="s">
        <v>10</v>
      </c>
      <c r="B1071" s="2" t="s">
        <v>791</v>
      </c>
      <c r="C1071" s="2" t="s">
        <v>62</v>
      </c>
      <c r="D1071" s="2" t="s">
        <v>807</v>
      </c>
      <c r="E1071" s="2" t="s">
        <v>782</v>
      </c>
      <c r="F1071" s="2" t="s">
        <v>75</v>
      </c>
      <c r="G1071" s="2" t="s">
        <v>16</v>
      </c>
      <c r="H1071" s="2" t="s">
        <v>808</v>
      </c>
      <c r="I1071" s="2"/>
      <c r="J1071" s="2"/>
    </row>
    <row r="1072" spans="1:10" x14ac:dyDescent="0.35">
      <c r="A1072" s="2" t="s">
        <v>10</v>
      </c>
      <c r="B1072" s="2" t="s">
        <v>791</v>
      </c>
      <c r="C1072" s="2" t="s">
        <v>62</v>
      </c>
      <c r="D1072" s="2" t="s">
        <v>807</v>
      </c>
      <c r="E1072" s="2" t="s">
        <v>809</v>
      </c>
      <c r="F1072" s="2" t="s">
        <v>45</v>
      </c>
      <c r="G1072" s="2"/>
      <c r="H1072" s="2"/>
      <c r="I1072" s="2"/>
      <c r="J1072" s="2"/>
    </row>
    <row r="1073" spans="1:10" x14ac:dyDescent="0.35">
      <c r="A1073" s="2" t="s">
        <v>10</v>
      </c>
      <c r="B1073" s="2" t="s">
        <v>791</v>
      </c>
      <c r="C1073" s="2" t="s">
        <v>62</v>
      </c>
      <c r="D1073" s="2" t="s">
        <v>807</v>
      </c>
      <c r="E1073" s="2" t="s">
        <v>352</v>
      </c>
      <c r="F1073" s="2" t="s">
        <v>107</v>
      </c>
      <c r="G1073" s="2"/>
      <c r="H1073" s="2"/>
      <c r="I1073" s="2"/>
      <c r="J1073" s="2"/>
    </row>
    <row r="1074" spans="1:10" x14ac:dyDescent="0.35">
      <c r="A1074" s="2" t="s">
        <v>10</v>
      </c>
      <c r="B1074" s="2" t="s">
        <v>791</v>
      </c>
      <c r="C1074" s="2" t="s">
        <v>54</v>
      </c>
      <c r="D1074" s="2" t="s">
        <v>810</v>
      </c>
      <c r="E1074" s="2" t="s">
        <v>42</v>
      </c>
      <c r="F1074" s="2" t="s">
        <v>43</v>
      </c>
      <c r="G1074" s="2"/>
      <c r="H1074" s="2"/>
      <c r="I1074" s="2"/>
      <c r="J1074" s="2"/>
    </row>
    <row r="1075" spans="1:10" x14ac:dyDescent="0.35">
      <c r="A1075" s="2" t="s">
        <v>10</v>
      </c>
      <c r="B1075" s="2" t="s">
        <v>791</v>
      </c>
      <c r="C1075" s="2" t="s">
        <v>54</v>
      </c>
      <c r="D1075" s="2" t="s">
        <v>811</v>
      </c>
      <c r="E1075" s="2" t="s">
        <v>18</v>
      </c>
      <c r="F1075" s="2" t="s">
        <v>19</v>
      </c>
      <c r="G1075" s="2" t="s">
        <v>20</v>
      </c>
      <c r="H1075" s="2" t="s">
        <v>812</v>
      </c>
      <c r="I1075" s="2" t="s">
        <v>20</v>
      </c>
      <c r="J1075" s="2" t="s">
        <v>26</v>
      </c>
    </row>
    <row r="1076" spans="1:10" x14ac:dyDescent="0.35">
      <c r="A1076" s="2" t="s">
        <v>10</v>
      </c>
      <c r="B1076" s="2" t="s">
        <v>791</v>
      </c>
      <c r="C1076" s="2" t="s">
        <v>54</v>
      </c>
      <c r="D1076" s="2" t="s">
        <v>811</v>
      </c>
      <c r="E1076" s="2" t="s">
        <v>89</v>
      </c>
      <c r="F1076" s="2" t="s">
        <v>45</v>
      </c>
      <c r="G1076" s="2" t="s">
        <v>20</v>
      </c>
      <c r="H1076" s="2" t="s">
        <v>813</v>
      </c>
      <c r="I1076" s="2" t="s">
        <v>20</v>
      </c>
      <c r="J1076" s="2" t="s">
        <v>26</v>
      </c>
    </row>
    <row r="1077" spans="1:10" x14ac:dyDescent="0.35">
      <c r="A1077" s="2" t="s">
        <v>10</v>
      </c>
      <c r="B1077" s="2" t="s">
        <v>791</v>
      </c>
      <c r="C1077" s="2" t="s">
        <v>54</v>
      </c>
      <c r="D1077" s="2" t="s">
        <v>811</v>
      </c>
      <c r="E1077" s="2" t="s">
        <v>188</v>
      </c>
      <c r="F1077" s="2" t="s">
        <v>189</v>
      </c>
      <c r="G1077" s="2"/>
      <c r="H1077" s="2"/>
      <c r="I1077" s="2" t="s">
        <v>20</v>
      </c>
      <c r="J1077" s="2" t="s">
        <v>26</v>
      </c>
    </row>
    <row r="1078" spans="1:10" x14ac:dyDescent="0.35">
      <c r="A1078" s="2" t="s">
        <v>10</v>
      </c>
      <c r="B1078" s="2" t="s">
        <v>791</v>
      </c>
      <c r="C1078" s="2" t="s">
        <v>54</v>
      </c>
      <c r="D1078" s="2" t="s">
        <v>811</v>
      </c>
      <c r="E1078" s="2" t="s">
        <v>149</v>
      </c>
      <c r="F1078" s="2" t="s">
        <v>150</v>
      </c>
      <c r="G1078" s="2" t="s">
        <v>20</v>
      </c>
      <c r="H1078" s="2" t="s">
        <v>813</v>
      </c>
      <c r="I1078" s="2" t="s">
        <v>20</v>
      </c>
      <c r="J1078" s="2" t="s">
        <v>26</v>
      </c>
    </row>
    <row r="1079" spans="1:10" x14ac:dyDescent="0.35">
      <c r="A1079" s="2" t="s">
        <v>10</v>
      </c>
      <c r="B1079" s="2" t="s">
        <v>791</v>
      </c>
      <c r="C1079" s="2" t="s">
        <v>12</v>
      </c>
      <c r="D1079" s="2" t="s">
        <v>814</v>
      </c>
      <c r="E1079" s="2" t="s">
        <v>763</v>
      </c>
      <c r="F1079" s="2" t="s">
        <v>107</v>
      </c>
      <c r="G1079" s="2"/>
      <c r="H1079" s="2"/>
      <c r="I1079" s="2" t="s">
        <v>16</v>
      </c>
      <c r="J1079" s="2" t="s">
        <v>26</v>
      </c>
    </row>
    <row r="1080" spans="1:10" x14ac:dyDescent="0.35">
      <c r="A1080" s="2" t="s">
        <v>10</v>
      </c>
      <c r="B1080" s="2" t="s">
        <v>791</v>
      </c>
      <c r="C1080" s="2" t="s">
        <v>12</v>
      </c>
      <c r="D1080" s="2" t="s">
        <v>814</v>
      </c>
      <c r="E1080" s="2" t="s">
        <v>14</v>
      </c>
      <c r="F1080" s="2" t="s">
        <v>15</v>
      </c>
      <c r="G1080" s="2"/>
      <c r="H1080" s="2"/>
      <c r="I1080" s="2" t="s">
        <v>16</v>
      </c>
      <c r="J1080" s="2" t="s">
        <v>26</v>
      </c>
    </row>
    <row r="1081" spans="1:10" x14ac:dyDescent="0.35">
      <c r="A1081" s="2" t="s">
        <v>10</v>
      </c>
      <c r="B1081" s="2" t="s">
        <v>791</v>
      </c>
      <c r="C1081" s="2" t="s">
        <v>12</v>
      </c>
      <c r="D1081" s="2" t="s">
        <v>814</v>
      </c>
      <c r="E1081" s="2" t="s">
        <v>33</v>
      </c>
      <c r="F1081" s="2" t="s">
        <v>34</v>
      </c>
      <c r="G1081" s="2"/>
      <c r="H1081" s="2"/>
      <c r="I1081" s="2" t="s">
        <v>16</v>
      </c>
      <c r="J1081" s="2" t="s">
        <v>26</v>
      </c>
    </row>
    <row r="1082" spans="1:10" x14ac:dyDescent="0.35">
      <c r="A1082" s="2" t="s">
        <v>10</v>
      </c>
      <c r="B1082" s="2" t="s">
        <v>791</v>
      </c>
      <c r="C1082" s="2" t="s">
        <v>12</v>
      </c>
      <c r="D1082" s="2" t="s">
        <v>814</v>
      </c>
      <c r="E1082" s="2" t="s">
        <v>815</v>
      </c>
      <c r="F1082" s="2" t="s">
        <v>122</v>
      </c>
      <c r="G1082" s="2" t="s">
        <v>46</v>
      </c>
      <c r="H1082" s="2" t="s">
        <v>451</v>
      </c>
      <c r="I1082" s="2" t="s">
        <v>16</v>
      </c>
      <c r="J1082" s="2" t="s">
        <v>26</v>
      </c>
    </row>
    <row r="1083" spans="1:10" x14ac:dyDescent="0.35">
      <c r="A1083" s="2" t="s">
        <v>10</v>
      </c>
      <c r="B1083" s="2" t="s">
        <v>791</v>
      </c>
      <c r="C1083" s="2" t="s">
        <v>12</v>
      </c>
      <c r="D1083" s="2" t="s">
        <v>814</v>
      </c>
      <c r="E1083" s="2" t="s">
        <v>121</v>
      </c>
      <c r="F1083" s="2" t="s">
        <v>122</v>
      </c>
      <c r="G1083" s="2"/>
      <c r="H1083" s="2"/>
      <c r="I1083" s="2" t="s">
        <v>16</v>
      </c>
      <c r="J1083" s="2" t="s">
        <v>26</v>
      </c>
    </row>
    <row r="1084" spans="1:10" x14ac:dyDescent="0.35">
      <c r="A1084" s="2" t="s">
        <v>10</v>
      </c>
      <c r="B1084" s="2" t="s">
        <v>791</v>
      </c>
      <c r="C1084" s="2" t="s">
        <v>12</v>
      </c>
      <c r="D1084" s="2" t="s">
        <v>814</v>
      </c>
      <c r="E1084" s="2" t="s">
        <v>393</v>
      </c>
      <c r="F1084" s="2" t="s">
        <v>36</v>
      </c>
      <c r="G1084" s="2"/>
      <c r="H1084" s="2"/>
      <c r="I1084" s="2" t="s">
        <v>16</v>
      </c>
      <c r="J1084" s="2" t="s">
        <v>26</v>
      </c>
    </row>
    <row r="1085" spans="1:10" x14ac:dyDescent="0.35">
      <c r="A1085" s="2" t="s">
        <v>10</v>
      </c>
      <c r="B1085" s="2" t="s">
        <v>791</v>
      </c>
      <c r="C1085" s="2" t="s">
        <v>12</v>
      </c>
      <c r="D1085" s="2" t="s">
        <v>814</v>
      </c>
      <c r="E1085" s="2" t="s">
        <v>39</v>
      </c>
      <c r="F1085" s="2" t="s">
        <v>40</v>
      </c>
      <c r="G1085" s="2"/>
      <c r="H1085" s="2"/>
      <c r="I1085" s="2" t="s">
        <v>16</v>
      </c>
      <c r="J1085" s="2" t="s">
        <v>26</v>
      </c>
    </row>
    <row r="1086" spans="1:10" x14ac:dyDescent="0.35">
      <c r="A1086" s="2" t="s">
        <v>10</v>
      </c>
      <c r="B1086" s="2" t="s">
        <v>791</v>
      </c>
      <c r="C1086" s="2" t="s">
        <v>12</v>
      </c>
      <c r="D1086" s="2" t="s">
        <v>814</v>
      </c>
      <c r="E1086" s="2" t="s">
        <v>89</v>
      </c>
      <c r="F1086" s="2" t="s">
        <v>45</v>
      </c>
      <c r="G1086" s="2" t="s">
        <v>16</v>
      </c>
      <c r="H1086" s="2" t="s">
        <v>816</v>
      </c>
      <c r="I1086" s="2" t="s">
        <v>16</v>
      </c>
      <c r="J1086" s="2" t="s">
        <v>26</v>
      </c>
    </row>
    <row r="1087" spans="1:10" x14ac:dyDescent="0.35">
      <c r="A1087" s="2" t="s">
        <v>10</v>
      </c>
      <c r="B1087" s="2" t="s">
        <v>791</v>
      </c>
      <c r="C1087" s="2" t="s">
        <v>24</v>
      </c>
      <c r="D1087" s="2" t="s">
        <v>817</v>
      </c>
      <c r="E1087" s="2" t="s">
        <v>196</v>
      </c>
      <c r="F1087" s="2" t="s">
        <v>197</v>
      </c>
      <c r="G1087" s="2" t="s">
        <v>46</v>
      </c>
      <c r="H1087" s="2" t="s">
        <v>818</v>
      </c>
      <c r="I1087" s="2"/>
      <c r="J1087" s="2"/>
    </row>
    <row r="1088" spans="1:10" x14ac:dyDescent="0.35">
      <c r="A1088" s="2" t="s">
        <v>10</v>
      </c>
      <c r="B1088" s="2" t="s">
        <v>791</v>
      </c>
      <c r="C1088" s="2" t="s">
        <v>24</v>
      </c>
      <c r="D1088" s="2" t="s">
        <v>817</v>
      </c>
      <c r="E1088" s="2" t="s">
        <v>144</v>
      </c>
      <c r="F1088" s="2" t="s">
        <v>50</v>
      </c>
      <c r="G1088" s="2" t="s">
        <v>46</v>
      </c>
      <c r="H1088" s="2" t="s">
        <v>818</v>
      </c>
      <c r="I1088" s="2"/>
      <c r="J1088" s="2"/>
    </row>
    <row r="1089" spans="1:10" x14ac:dyDescent="0.35">
      <c r="A1089" s="2" t="s">
        <v>10</v>
      </c>
      <c r="B1089" s="2" t="s">
        <v>791</v>
      </c>
      <c r="C1089" s="2" t="s">
        <v>24</v>
      </c>
      <c r="D1089" s="2" t="s">
        <v>817</v>
      </c>
      <c r="E1089" s="2" t="s">
        <v>31</v>
      </c>
      <c r="F1089" s="2" t="s">
        <v>32</v>
      </c>
      <c r="G1089" s="2" t="s">
        <v>46</v>
      </c>
      <c r="H1089" s="2" t="s">
        <v>818</v>
      </c>
      <c r="I1089" s="2"/>
      <c r="J1089" s="2"/>
    </row>
    <row r="1090" spans="1:10" x14ac:dyDescent="0.35">
      <c r="A1090" s="2" t="s">
        <v>10</v>
      </c>
      <c r="B1090" s="2" t="s">
        <v>791</v>
      </c>
      <c r="C1090" s="2" t="s">
        <v>24</v>
      </c>
      <c r="D1090" s="2" t="s">
        <v>817</v>
      </c>
      <c r="E1090" s="2" t="s">
        <v>819</v>
      </c>
      <c r="F1090" s="2" t="s">
        <v>32</v>
      </c>
      <c r="G1090" s="2" t="s">
        <v>46</v>
      </c>
      <c r="H1090" s="2" t="s">
        <v>818</v>
      </c>
      <c r="I1090" s="2"/>
      <c r="J1090" s="2"/>
    </row>
    <row r="1091" spans="1:10" x14ac:dyDescent="0.35">
      <c r="A1091" s="2" t="s">
        <v>10</v>
      </c>
      <c r="B1091" s="2" t="s">
        <v>791</v>
      </c>
      <c r="C1091" s="2" t="s">
        <v>24</v>
      </c>
      <c r="D1091" s="2" t="s">
        <v>817</v>
      </c>
      <c r="E1091" s="2" t="s">
        <v>200</v>
      </c>
      <c r="F1091" s="2" t="s">
        <v>201</v>
      </c>
      <c r="G1091" s="2" t="s">
        <v>46</v>
      </c>
      <c r="H1091" s="2" t="s">
        <v>818</v>
      </c>
      <c r="I1091" s="2"/>
      <c r="J1091" s="2"/>
    </row>
    <row r="1092" spans="1:10" x14ac:dyDescent="0.35">
      <c r="A1092" s="2" t="s">
        <v>10</v>
      </c>
      <c r="B1092" s="2" t="s">
        <v>791</v>
      </c>
      <c r="C1092" s="2" t="s">
        <v>24</v>
      </c>
      <c r="D1092" s="2" t="s">
        <v>817</v>
      </c>
      <c r="E1092" s="2" t="s">
        <v>77</v>
      </c>
      <c r="F1092" s="2" t="s">
        <v>78</v>
      </c>
      <c r="G1092" s="2" t="s">
        <v>46</v>
      </c>
      <c r="H1092" s="2" t="s">
        <v>818</v>
      </c>
      <c r="I1092" s="2"/>
      <c r="J1092" s="2"/>
    </row>
    <row r="1093" spans="1:10" x14ac:dyDescent="0.35">
      <c r="A1093" s="2" t="s">
        <v>10</v>
      </c>
      <c r="B1093" s="2" t="s">
        <v>791</v>
      </c>
      <c r="C1093" s="2" t="s">
        <v>24</v>
      </c>
      <c r="D1093" s="2" t="s">
        <v>817</v>
      </c>
      <c r="E1093" s="2" t="s">
        <v>64</v>
      </c>
      <c r="F1093" s="2" t="s">
        <v>65</v>
      </c>
      <c r="G1093" s="2" t="s">
        <v>46</v>
      </c>
      <c r="H1093" s="2" t="s">
        <v>818</v>
      </c>
      <c r="I1093" s="2"/>
      <c r="J1093" s="2"/>
    </row>
    <row r="1094" spans="1:10" x14ac:dyDescent="0.35">
      <c r="A1094" s="2" t="s">
        <v>10</v>
      </c>
      <c r="B1094" s="2" t="s">
        <v>791</v>
      </c>
      <c r="C1094" s="2" t="s">
        <v>24</v>
      </c>
      <c r="D1094" s="2" t="s">
        <v>817</v>
      </c>
      <c r="E1094" s="2" t="s">
        <v>149</v>
      </c>
      <c r="F1094" s="2" t="s">
        <v>150</v>
      </c>
      <c r="G1094" s="2" t="s">
        <v>46</v>
      </c>
      <c r="H1094" s="2" t="s">
        <v>818</v>
      </c>
      <c r="I1094" s="2"/>
      <c r="J1094" s="2"/>
    </row>
    <row r="1095" spans="1:10" s="20" customFormat="1" x14ac:dyDescent="0.35">
      <c r="A1095" s="2" t="s">
        <v>10</v>
      </c>
      <c r="B1095" s="2" t="s">
        <v>791</v>
      </c>
      <c r="C1095" s="2" t="s">
        <v>12</v>
      </c>
      <c r="D1095" s="2" t="s">
        <v>820</v>
      </c>
      <c r="E1095" s="2" t="s">
        <v>610</v>
      </c>
      <c r="F1095" s="2" t="s">
        <v>19</v>
      </c>
      <c r="G1095" s="2" t="s">
        <v>20</v>
      </c>
      <c r="H1095" s="2" t="s">
        <v>821</v>
      </c>
      <c r="I1095" s="2"/>
      <c r="J1095" s="2"/>
    </row>
    <row r="1096" spans="1:10" s="20" customFormat="1" x14ac:dyDescent="0.35">
      <c r="A1096" s="2" t="s">
        <v>10</v>
      </c>
      <c r="B1096" s="2" t="s">
        <v>791</v>
      </c>
      <c r="C1096" s="2" t="s">
        <v>12</v>
      </c>
      <c r="D1096" s="2" t="s">
        <v>820</v>
      </c>
      <c r="E1096" s="2" t="s">
        <v>39</v>
      </c>
      <c r="F1096" s="2" t="s">
        <v>40</v>
      </c>
      <c r="G1096" s="2"/>
      <c r="H1096" s="2"/>
      <c r="I1096" s="2"/>
      <c r="J1096" s="2"/>
    </row>
    <row r="1097" spans="1:10" x14ac:dyDescent="0.35">
      <c r="A1097" s="2" t="s">
        <v>10</v>
      </c>
      <c r="B1097" s="2" t="s">
        <v>791</v>
      </c>
      <c r="C1097" s="2" t="s">
        <v>24</v>
      </c>
      <c r="D1097" s="2" t="s">
        <v>822</v>
      </c>
      <c r="E1097" s="2" t="s">
        <v>14</v>
      </c>
      <c r="F1097" s="2" t="s">
        <v>15</v>
      </c>
      <c r="G1097" s="2"/>
      <c r="H1097" s="2"/>
      <c r="I1097" s="2" t="s">
        <v>16</v>
      </c>
      <c r="J1097" s="2" t="s">
        <v>26</v>
      </c>
    </row>
    <row r="1098" spans="1:10" x14ac:dyDescent="0.35">
      <c r="A1098" s="2" t="s">
        <v>10</v>
      </c>
      <c r="B1098" s="2" t="s">
        <v>791</v>
      </c>
      <c r="C1098" s="2" t="s">
        <v>24</v>
      </c>
      <c r="D1098" s="2" t="s">
        <v>822</v>
      </c>
      <c r="E1098" s="2" t="s">
        <v>144</v>
      </c>
      <c r="F1098" s="2" t="s">
        <v>50</v>
      </c>
      <c r="G1098" s="2"/>
      <c r="H1098" s="2"/>
      <c r="I1098" s="2" t="s">
        <v>16</v>
      </c>
      <c r="J1098" s="2" t="s">
        <v>26</v>
      </c>
    </row>
    <row r="1099" spans="1:10" x14ac:dyDescent="0.35">
      <c r="A1099" s="2" t="s">
        <v>10</v>
      </c>
      <c r="B1099" s="2" t="s">
        <v>791</v>
      </c>
      <c r="C1099" s="2" t="s">
        <v>24</v>
      </c>
      <c r="D1099" s="2" t="s">
        <v>822</v>
      </c>
      <c r="E1099" s="2" t="s">
        <v>27</v>
      </c>
      <c r="F1099" s="2" t="s">
        <v>28</v>
      </c>
      <c r="G1099" s="2"/>
      <c r="H1099" s="2"/>
      <c r="I1099" s="2" t="s">
        <v>16</v>
      </c>
      <c r="J1099" s="2" t="s">
        <v>26</v>
      </c>
    </row>
    <row r="1100" spans="1:10" x14ac:dyDescent="0.35">
      <c r="A1100" s="2" t="s">
        <v>10</v>
      </c>
      <c r="B1100" s="2" t="s">
        <v>791</v>
      </c>
      <c r="C1100" s="2" t="s">
        <v>24</v>
      </c>
      <c r="D1100" s="2" t="s">
        <v>822</v>
      </c>
      <c r="E1100" s="2" t="s">
        <v>31</v>
      </c>
      <c r="F1100" s="2" t="s">
        <v>32</v>
      </c>
      <c r="G1100" s="2"/>
      <c r="H1100" s="2"/>
      <c r="I1100" s="2" t="s">
        <v>16</v>
      </c>
      <c r="J1100" s="2" t="s">
        <v>26</v>
      </c>
    </row>
    <row r="1101" spans="1:10" x14ac:dyDescent="0.35">
      <c r="A1101" s="2" t="s">
        <v>10</v>
      </c>
      <c r="B1101" s="2" t="s">
        <v>791</v>
      </c>
      <c r="C1101" s="2" t="s">
        <v>24</v>
      </c>
      <c r="D1101" s="2" t="s">
        <v>822</v>
      </c>
      <c r="E1101" s="2" t="s">
        <v>121</v>
      </c>
      <c r="F1101" s="2" t="s">
        <v>122</v>
      </c>
      <c r="G1101" s="2"/>
      <c r="H1101" s="2"/>
      <c r="I1101" s="2" t="s">
        <v>16</v>
      </c>
      <c r="J1101" s="2" t="s">
        <v>26</v>
      </c>
    </row>
    <row r="1102" spans="1:10" x14ac:dyDescent="0.35">
      <c r="A1102" s="2" t="s">
        <v>10</v>
      </c>
      <c r="B1102" s="2" t="s">
        <v>791</v>
      </c>
      <c r="C1102" s="2" t="s">
        <v>24</v>
      </c>
      <c r="D1102" s="2" t="s">
        <v>822</v>
      </c>
      <c r="E1102" s="2" t="s">
        <v>126</v>
      </c>
      <c r="F1102" s="2" t="s">
        <v>36</v>
      </c>
      <c r="G1102" s="2"/>
      <c r="H1102" s="2"/>
      <c r="I1102" s="2" t="s">
        <v>16</v>
      </c>
      <c r="J1102" s="2" t="s">
        <v>26</v>
      </c>
    </row>
    <row r="1103" spans="1:10" x14ac:dyDescent="0.35">
      <c r="A1103" s="2" t="s">
        <v>10</v>
      </c>
      <c r="B1103" s="2" t="s">
        <v>791</v>
      </c>
      <c r="C1103" s="2" t="s">
        <v>24</v>
      </c>
      <c r="D1103" s="2" t="s">
        <v>822</v>
      </c>
      <c r="E1103" s="2" t="s">
        <v>64</v>
      </c>
      <c r="F1103" s="2" t="s">
        <v>65</v>
      </c>
      <c r="G1103" s="2"/>
      <c r="H1103" s="2"/>
      <c r="I1103" s="2" t="s">
        <v>16</v>
      </c>
      <c r="J1103" s="2" t="s">
        <v>26</v>
      </c>
    </row>
    <row r="1104" spans="1:10" x14ac:dyDescent="0.35">
      <c r="A1104" s="2" t="s">
        <v>10</v>
      </c>
      <c r="B1104" s="2" t="s">
        <v>791</v>
      </c>
      <c r="C1104" s="2" t="s">
        <v>24</v>
      </c>
      <c r="D1104" s="2" t="s">
        <v>822</v>
      </c>
      <c r="E1104" s="2" t="s">
        <v>18</v>
      </c>
      <c r="F1104" s="2" t="s">
        <v>19</v>
      </c>
      <c r="G1104" s="2" t="s">
        <v>16</v>
      </c>
      <c r="H1104" s="2" t="s">
        <v>823</v>
      </c>
      <c r="I1104" s="2" t="s">
        <v>16</v>
      </c>
      <c r="J1104" s="2" t="s">
        <v>26</v>
      </c>
    </row>
    <row r="1105" spans="1:10" x14ac:dyDescent="0.35">
      <c r="A1105" s="2" t="s">
        <v>10</v>
      </c>
      <c r="B1105" s="2" t="s">
        <v>791</v>
      </c>
      <c r="C1105" s="2" t="s">
        <v>24</v>
      </c>
      <c r="D1105" s="2" t="s">
        <v>822</v>
      </c>
      <c r="E1105" s="2" t="s">
        <v>100</v>
      </c>
      <c r="F1105" s="2" t="s">
        <v>101</v>
      </c>
      <c r="G1105" s="2"/>
      <c r="H1105" s="2"/>
      <c r="I1105" s="2"/>
      <c r="J1105" s="2"/>
    </row>
    <row r="1106" spans="1:10" x14ac:dyDescent="0.35">
      <c r="A1106" s="2" t="s">
        <v>10</v>
      </c>
      <c r="B1106" s="2" t="s">
        <v>791</v>
      </c>
      <c r="C1106" s="2" t="s">
        <v>24</v>
      </c>
      <c r="D1106" s="2" t="s">
        <v>822</v>
      </c>
      <c r="E1106" s="2" t="s">
        <v>149</v>
      </c>
      <c r="F1106" s="2" t="s">
        <v>150</v>
      </c>
      <c r="G1106" s="2" t="s">
        <v>16</v>
      </c>
      <c r="H1106" s="2" t="s">
        <v>702</v>
      </c>
      <c r="I1106" s="2" t="s">
        <v>16</v>
      </c>
      <c r="J1106" s="2" t="s">
        <v>26</v>
      </c>
    </row>
    <row r="1107" spans="1:10" x14ac:dyDescent="0.35">
      <c r="A1107" s="2" t="s">
        <v>10</v>
      </c>
      <c r="B1107" s="2" t="s">
        <v>791</v>
      </c>
      <c r="C1107" s="2" t="s">
        <v>12</v>
      </c>
      <c r="D1107" s="2" t="s">
        <v>824</v>
      </c>
      <c r="E1107" s="2" t="s">
        <v>14</v>
      </c>
      <c r="F1107" s="2" t="s">
        <v>15</v>
      </c>
      <c r="G1107" s="2"/>
      <c r="H1107" s="2"/>
      <c r="I1107" s="2" t="s">
        <v>16</v>
      </c>
      <c r="J1107" s="2" t="s">
        <v>26</v>
      </c>
    </row>
    <row r="1108" spans="1:10" x14ac:dyDescent="0.35">
      <c r="A1108" s="2" t="s">
        <v>10</v>
      </c>
      <c r="B1108" s="2" t="s">
        <v>791</v>
      </c>
      <c r="C1108" s="2" t="s">
        <v>12</v>
      </c>
      <c r="D1108" s="2" t="s">
        <v>824</v>
      </c>
      <c r="E1108" s="2" t="s">
        <v>74</v>
      </c>
      <c r="F1108" s="2" t="s">
        <v>75</v>
      </c>
      <c r="G1108" s="2" t="s">
        <v>16</v>
      </c>
      <c r="H1108" s="2" t="s">
        <v>825</v>
      </c>
      <c r="I1108" s="2" t="s">
        <v>16</v>
      </c>
      <c r="J1108" s="2" t="s">
        <v>26</v>
      </c>
    </row>
    <row r="1109" spans="1:10" x14ac:dyDescent="0.35">
      <c r="A1109" s="2" t="s">
        <v>10</v>
      </c>
      <c r="B1109" s="2" t="s">
        <v>791</v>
      </c>
      <c r="C1109" s="2" t="s">
        <v>12</v>
      </c>
      <c r="D1109" s="2" t="s">
        <v>824</v>
      </c>
      <c r="E1109" s="2" t="s">
        <v>27</v>
      </c>
      <c r="F1109" s="2" t="s">
        <v>28</v>
      </c>
      <c r="G1109" s="2" t="s">
        <v>16</v>
      </c>
      <c r="H1109" s="2" t="s">
        <v>826</v>
      </c>
      <c r="I1109" s="2" t="s">
        <v>16</v>
      </c>
      <c r="J1109" s="2" t="s">
        <v>26</v>
      </c>
    </row>
    <row r="1110" spans="1:10" x14ac:dyDescent="0.35">
      <c r="A1110" s="2" t="s">
        <v>10</v>
      </c>
      <c r="B1110" s="2" t="s">
        <v>791</v>
      </c>
      <c r="C1110" s="2" t="s">
        <v>12</v>
      </c>
      <c r="D1110" s="2" t="s">
        <v>824</v>
      </c>
      <c r="E1110" s="2" t="s">
        <v>120</v>
      </c>
      <c r="F1110" s="2" t="s">
        <v>32</v>
      </c>
      <c r="G1110" s="2" t="s">
        <v>16</v>
      </c>
      <c r="H1110" s="2" t="s">
        <v>826</v>
      </c>
      <c r="I1110" s="2" t="s">
        <v>16</v>
      </c>
      <c r="J1110" s="2" t="s">
        <v>26</v>
      </c>
    </row>
    <row r="1111" spans="1:10" x14ac:dyDescent="0.35">
      <c r="A1111" s="2" t="s">
        <v>10</v>
      </c>
      <c r="B1111" s="2" t="s">
        <v>791</v>
      </c>
      <c r="C1111" s="2" t="s">
        <v>12</v>
      </c>
      <c r="D1111" s="2" t="s">
        <v>824</v>
      </c>
      <c r="E1111" s="2" t="s">
        <v>38</v>
      </c>
      <c r="F1111" s="2" t="s">
        <v>38</v>
      </c>
      <c r="G1111" s="2" t="s">
        <v>16</v>
      </c>
      <c r="H1111" s="2" t="s">
        <v>826</v>
      </c>
      <c r="I1111" s="2" t="s">
        <v>16</v>
      </c>
      <c r="J1111" s="2" t="s">
        <v>26</v>
      </c>
    </row>
    <row r="1112" spans="1:10" x14ac:dyDescent="0.35">
      <c r="A1112" s="2" t="s">
        <v>10</v>
      </c>
      <c r="B1112" s="2" t="s">
        <v>791</v>
      </c>
      <c r="C1112" s="2" t="s">
        <v>12</v>
      </c>
      <c r="D1112" s="2" t="s">
        <v>824</v>
      </c>
      <c r="E1112" s="2" t="s">
        <v>77</v>
      </c>
      <c r="F1112" s="2" t="s">
        <v>78</v>
      </c>
      <c r="G1112" s="2" t="s">
        <v>16</v>
      </c>
      <c r="H1112" s="2" t="s">
        <v>826</v>
      </c>
      <c r="I1112" s="2" t="s">
        <v>16</v>
      </c>
      <c r="J1112" s="2" t="s">
        <v>26</v>
      </c>
    </row>
    <row r="1113" spans="1:10" x14ac:dyDescent="0.35">
      <c r="A1113" s="2" t="s">
        <v>10</v>
      </c>
      <c r="B1113" s="2" t="s">
        <v>791</v>
      </c>
      <c r="C1113" s="2" t="s">
        <v>12</v>
      </c>
      <c r="D1113" s="2" t="s">
        <v>824</v>
      </c>
      <c r="E1113" s="2" t="s">
        <v>64</v>
      </c>
      <c r="F1113" s="2" t="s">
        <v>65</v>
      </c>
      <c r="G1113" s="2" t="s">
        <v>16</v>
      </c>
      <c r="H1113" s="2" t="s">
        <v>826</v>
      </c>
      <c r="I1113" s="2" t="s">
        <v>16</v>
      </c>
      <c r="J1113" s="2" t="s">
        <v>26</v>
      </c>
    </row>
    <row r="1114" spans="1:10" x14ac:dyDescent="0.35">
      <c r="A1114" s="2" t="s">
        <v>10</v>
      </c>
      <c r="B1114" s="2" t="s">
        <v>791</v>
      </c>
      <c r="C1114" s="2" t="s">
        <v>12</v>
      </c>
      <c r="D1114" s="2" t="s">
        <v>824</v>
      </c>
      <c r="E1114" s="2" t="s">
        <v>85</v>
      </c>
      <c r="F1114" s="2" t="s">
        <v>85</v>
      </c>
      <c r="G1114" s="2" t="s">
        <v>16</v>
      </c>
      <c r="H1114" s="2" t="s">
        <v>826</v>
      </c>
      <c r="I1114" s="2" t="s">
        <v>16</v>
      </c>
      <c r="J1114" s="2" t="s">
        <v>26</v>
      </c>
    </row>
    <row r="1115" spans="1:10" x14ac:dyDescent="0.35">
      <c r="A1115" s="2" t="s">
        <v>10</v>
      </c>
      <c r="B1115" s="2" t="s">
        <v>791</v>
      </c>
      <c r="C1115" s="2" t="s">
        <v>12</v>
      </c>
      <c r="D1115" s="2" t="s">
        <v>824</v>
      </c>
      <c r="E1115" s="2" t="s">
        <v>193</v>
      </c>
      <c r="F1115" s="2" t="s">
        <v>40</v>
      </c>
      <c r="G1115" s="2" t="s">
        <v>16</v>
      </c>
      <c r="H1115" s="2" t="s">
        <v>826</v>
      </c>
      <c r="I1115" s="2" t="s">
        <v>16</v>
      </c>
      <c r="J1115" s="2" t="s">
        <v>26</v>
      </c>
    </row>
    <row r="1116" spans="1:10" x14ac:dyDescent="0.35">
      <c r="A1116" s="2" t="s">
        <v>10</v>
      </c>
      <c r="B1116" s="2" t="s">
        <v>791</v>
      </c>
      <c r="C1116" s="2" t="s">
        <v>57</v>
      </c>
      <c r="D1116" s="2" t="s">
        <v>827</v>
      </c>
      <c r="E1116" s="2" t="s">
        <v>14</v>
      </c>
      <c r="F1116" s="2" t="s">
        <v>15</v>
      </c>
      <c r="G1116" s="2"/>
      <c r="H1116" s="2"/>
      <c r="I1116" s="2"/>
      <c r="J1116" s="2"/>
    </row>
    <row r="1117" spans="1:10" x14ac:dyDescent="0.35">
      <c r="A1117" s="2" t="s">
        <v>10</v>
      </c>
      <c r="B1117" s="2" t="s">
        <v>791</v>
      </c>
      <c r="C1117" s="2" t="s">
        <v>57</v>
      </c>
      <c r="D1117" s="2" t="s">
        <v>827</v>
      </c>
      <c r="E1117" s="2" t="s">
        <v>27</v>
      </c>
      <c r="F1117" s="2" t="s">
        <v>28</v>
      </c>
      <c r="G1117" s="2"/>
      <c r="H1117" s="2"/>
      <c r="I1117" s="2"/>
      <c r="J1117" s="2"/>
    </row>
    <row r="1118" spans="1:10" x14ac:dyDescent="0.35">
      <c r="A1118" s="2" t="s">
        <v>10</v>
      </c>
      <c r="B1118" s="2" t="s">
        <v>791</v>
      </c>
      <c r="C1118" s="2" t="s">
        <v>57</v>
      </c>
      <c r="D1118" s="2" t="s">
        <v>827</v>
      </c>
      <c r="E1118" s="2" t="s">
        <v>120</v>
      </c>
      <c r="F1118" s="2" t="s">
        <v>32</v>
      </c>
      <c r="G1118" s="2"/>
      <c r="H1118" s="2"/>
      <c r="I1118" s="2"/>
      <c r="J1118" s="2"/>
    </row>
    <row r="1119" spans="1:10" x14ac:dyDescent="0.35">
      <c r="A1119" s="2" t="s">
        <v>10</v>
      </c>
      <c r="B1119" s="2" t="s">
        <v>791</v>
      </c>
      <c r="C1119" s="2" t="s">
        <v>57</v>
      </c>
      <c r="D1119" s="2" t="s">
        <v>827</v>
      </c>
      <c r="E1119" s="2" t="s">
        <v>59</v>
      </c>
      <c r="F1119" s="2" t="s">
        <v>60</v>
      </c>
      <c r="G1119" s="2"/>
      <c r="H1119" s="2"/>
      <c r="I1119" s="2"/>
      <c r="J1119" s="2"/>
    </row>
    <row r="1120" spans="1:10" x14ac:dyDescent="0.35">
      <c r="A1120" s="2" t="s">
        <v>10</v>
      </c>
      <c r="B1120" s="2" t="s">
        <v>791</v>
      </c>
      <c r="C1120" s="2" t="s">
        <v>57</v>
      </c>
      <c r="D1120" s="2" t="s">
        <v>827</v>
      </c>
      <c r="E1120" s="2" t="s">
        <v>121</v>
      </c>
      <c r="F1120" s="2" t="s">
        <v>122</v>
      </c>
      <c r="G1120" s="2"/>
      <c r="H1120" s="2"/>
      <c r="I1120" s="2"/>
      <c r="J1120" s="2"/>
    </row>
    <row r="1121" spans="1:10" x14ac:dyDescent="0.35">
      <c r="A1121" s="2" t="s">
        <v>10</v>
      </c>
      <c r="B1121" s="2" t="s">
        <v>791</v>
      </c>
      <c r="C1121" s="2" t="s">
        <v>57</v>
      </c>
      <c r="D1121" s="2" t="s">
        <v>827</v>
      </c>
      <c r="E1121" s="2" t="s">
        <v>18</v>
      </c>
      <c r="F1121" s="2" t="s">
        <v>19</v>
      </c>
      <c r="G1121" s="2" t="s">
        <v>16</v>
      </c>
      <c r="H1121" s="2" t="s">
        <v>828</v>
      </c>
      <c r="I1121" s="2"/>
      <c r="J1121" s="2"/>
    </row>
    <row r="1122" spans="1:10" x14ac:dyDescent="0.35">
      <c r="A1122" s="2" t="s">
        <v>10</v>
      </c>
      <c r="B1122" s="2" t="s">
        <v>791</v>
      </c>
      <c r="C1122" s="2" t="s">
        <v>57</v>
      </c>
      <c r="D1122" s="2" t="s">
        <v>827</v>
      </c>
      <c r="E1122" s="2" t="s">
        <v>149</v>
      </c>
      <c r="F1122" s="2" t="s">
        <v>150</v>
      </c>
      <c r="G1122" s="2" t="s">
        <v>16</v>
      </c>
      <c r="H1122" s="2" t="s">
        <v>702</v>
      </c>
      <c r="I1122" s="2"/>
      <c r="J1122" s="2"/>
    </row>
    <row r="1123" spans="1:10" x14ac:dyDescent="0.35">
      <c r="A1123" s="2" t="s">
        <v>10</v>
      </c>
      <c r="B1123" s="2" t="s">
        <v>791</v>
      </c>
      <c r="C1123" s="2" t="s">
        <v>57</v>
      </c>
      <c r="D1123" s="2" t="s">
        <v>827</v>
      </c>
      <c r="E1123" s="2" t="s">
        <v>112</v>
      </c>
      <c r="F1123" s="2" t="s">
        <v>113</v>
      </c>
      <c r="G1123" s="2" t="s">
        <v>16</v>
      </c>
      <c r="H1123" s="2" t="s">
        <v>702</v>
      </c>
      <c r="I1123" s="2"/>
      <c r="J1123" s="2"/>
    </row>
    <row r="1124" spans="1:10" x14ac:dyDescent="0.35">
      <c r="A1124" s="2" t="s">
        <v>10</v>
      </c>
      <c r="B1124" s="2" t="s">
        <v>791</v>
      </c>
      <c r="C1124" s="2" t="s">
        <v>12</v>
      </c>
      <c r="D1124" s="2" t="s">
        <v>829</v>
      </c>
      <c r="E1124" s="2" t="s">
        <v>91</v>
      </c>
      <c r="F1124" s="2" t="s">
        <v>19</v>
      </c>
      <c r="G1124" s="2" t="s">
        <v>16</v>
      </c>
      <c r="H1124" s="2" t="s">
        <v>538</v>
      </c>
      <c r="I1124" s="2" t="s">
        <v>16</v>
      </c>
      <c r="J1124" s="2" t="s">
        <v>830</v>
      </c>
    </row>
    <row r="1125" spans="1:10" x14ac:dyDescent="0.35">
      <c r="A1125" s="2" t="s">
        <v>10</v>
      </c>
      <c r="B1125" s="2" t="s">
        <v>791</v>
      </c>
      <c r="C1125" s="2" t="s">
        <v>12</v>
      </c>
      <c r="D1125" s="2" t="s">
        <v>829</v>
      </c>
      <c r="E1125" s="2" t="s">
        <v>77</v>
      </c>
      <c r="F1125" s="2" t="s">
        <v>78</v>
      </c>
      <c r="G1125" s="2"/>
      <c r="H1125" s="2"/>
      <c r="I1125" s="2"/>
      <c r="J1125" s="2"/>
    </row>
    <row r="1126" spans="1:10" x14ac:dyDescent="0.35">
      <c r="A1126" s="2" t="s">
        <v>10</v>
      </c>
      <c r="B1126" s="2" t="s">
        <v>791</v>
      </c>
      <c r="C1126" s="2" t="s">
        <v>12</v>
      </c>
      <c r="D1126" s="2" t="s">
        <v>829</v>
      </c>
      <c r="E1126" s="2" t="s">
        <v>89</v>
      </c>
      <c r="F1126" s="2" t="s">
        <v>45</v>
      </c>
      <c r="G1126" s="2"/>
      <c r="H1126" s="2"/>
      <c r="I1126" s="2" t="s">
        <v>16</v>
      </c>
      <c r="J1126" s="2" t="s">
        <v>830</v>
      </c>
    </row>
    <row r="1127" spans="1:10" s="21" customFormat="1" x14ac:dyDescent="0.35">
      <c r="A1127" s="2" t="s">
        <v>10</v>
      </c>
      <c r="B1127" s="2" t="s">
        <v>791</v>
      </c>
      <c r="C1127" s="2" t="s">
        <v>12</v>
      </c>
      <c r="D1127" s="2" t="s">
        <v>831</v>
      </c>
      <c r="E1127" s="2" t="s">
        <v>18</v>
      </c>
      <c r="F1127" s="2" t="s">
        <v>19</v>
      </c>
      <c r="G1127" s="2" t="s">
        <v>20</v>
      </c>
      <c r="H1127" s="2" t="s">
        <v>832</v>
      </c>
      <c r="I1127" s="2"/>
      <c r="J1127" s="2"/>
    </row>
    <row r="1128" spans="1:10" s="21" customFormat="1" x14ac:dyDescent="0.35">
      <c r="A1128" s="2" t="s">
        <v>10</v>
      </c>
      <c r="B1128" s="2" t="s">
        <v>791</v>
      </c>
      <c r="C1128" s="2" t="s">
        <v>12</v>
      </c>
      <c r="D1128" s="2" t="s">
        <v>831</v>
      </c>
      <c r="E1128" s="2" t="s">
        <v>188</v>
      </c>
      <c r="F1128" s="2" t="s">
        <v>189</v>
      </c>
      <c r="G1128" s="2"/>
      <c r="H1128" s="2"/>
      <c r="I1128" s="2"/>
      <c r="J1128" s="2"/>
    </row>
    <row r="1129" spans="1:10" x14ac:dyDescent="0.35">
      <c r="A1129" s="2" t="s">
        <v>10</v>
      </c>
      <c r="B1129" s="2" t="s">
        <v>791</v>
      </c>
      <c r="C1129" s="2" t="s">
        <v>24</v>
      </c>
      <c r="D1129" s="2" t="s">
        <v>833</v>
      </c>
      <c r="E1129" s="2" t="s">
        <v>76</v>
      </c>
      <c r="F1129" s="2" t="s">
        <v>75</v>
      </c>
      <c r="G1129" s="2" t="s">
        <v>16</v>
      </c>
      <c r="H1129" s="2" t="s">
        <v>834</v>
      </c>
      <c r="I1129" s="2"/>
      <c r="J1129" s="2"/>
    </row>
    <row r="1130" spans="1:10" x14ac:dyDescent="0.35">
      <c r="A1130" s="2" t="s">
        <v>10</v>
      </c>
      <c r="B1130" s="2" t="s">
        <v>791</v>
      </c>
      <c r="C1130" s="2" t="s">
        <v>62</v>
      </c>
      <c r="D1130" s="2" t="s">
        <v>835</v>
      </c>
      <c r="E1130" s="2" t="s">
        <v>836</v>
      </c>
      <c r="F1130" s="2" t="s">
        <v>78</v>
      </c>
      <c r="G1130" s="2" t="s">
        <v>46</v>
      </c>
      <c r="H1130" s="2" t="s">
        <v>837</v>
      </c>
      <c r="I1130" s="2"/>
      <c r="J1130" s="2"/>
    </row>
    <row r="1131" spans="1:10" x14ac:dyDescent="0.35">
      <c r="A1131" s="2" t="s">
        <v>10</v>
      </c>
      <c r="B1131" s="2" t="s">
        <v>791</v>
      </c>
      <c r="C1131" s="2" t="s">
        <v>62</v>
      </c>
      <c r="D1131" s="2" t="s">
        <v>835</v>
      </c>
      <c r="E1131" s="2" t="s">
        <v>782</v>
      </c>
      <c r="F1131" s="2" t="s">
        <v>75</v>
      </c>
      <c r="G1131" s="2" t="s">
        <v>46</v>
      </c>
      <c r="H1131" s="2" t="s">
        <v>837</v>
      </c>
      <c r="I1131" s="2"/>
      <c r="J1131" s="2"/>
    </row>
    <row r="1132" spans="1:10" x14ac:dyDescent="0.35">
      <c r="A1132" s="2" t="s">
        <v>10</v>
      </c>
      <c r="B1132" s="2" t="s">
        <v>791</v>
      </c>
      <c r="C1132" s="2" t="s">
        <v>62</v>
      </c>
      <c r="D1132" s="2" t="s">
        <v>838</v>
      </c>
      <c r="E1132" s="2" t="s">
        <v>534</v>
      </c>
      <c r="F1132" s="2" t="s">
        <v>38</v>
      </c>
      <c r="G1132" s="2"/>
      <c r="H1132" s="2"/>
      <c r="I1132" s="2"/>
      <c r="J1132" s="2"/>
    </row>
    <row r="1133" spans="1:10" x14ac:dyDescent="0.35">
      <c r="A1133" s="2" t="s">
        <v>10</v>
      </c>
      <c r="B1133" s="2" t="s">
        <v>791</v>
      </c>
      <c r="C1133" s="2" t="s">
        <v>62</v>
      </c>
      <c r="D1133" s="2" t="s">
        <v>838</v>
      </c>
      <c r="E1133" s="2" t="s">
        <v>168</v>
      </c>
      <c r="F1133" s="2" t="s">
        <v>45</v>
      </c>
      <c r="G1133" s="2"/>
      <c r="H1133" s="2"/>
      <c r="I1133" s="2"/>
      <c r="J1133" s="2"/>
    </row>
    <row r="1134" spans="1:10" x14ac:dyDescent="0.35">
      <c r="A1134" s="2" t="s">
        <v>10</v>
      </c>
      <c r="B1134" s="2" t="s">
        <v>791</v>
      </c>
      <c r="C1134" s="2" t="s">
        <v>62</v>
      </c>
      <c r="D1134" s="2" t="s">
        <v>838</v>
      </c>
      <c r="E1134" s="2" t="s">
        <v>87</v>
      </c>
      <c r="F1134" s="2" t="s">
        <v>75</v>
      </c>
      <c r="G1134" s="2"/>
      <c r="H1134" s="2"/>
      <c r="I1134" s="2"/>
      <c r="J1134" s="2"/>
    </row>
    <row r="1135" spans="1:10" x14ac:dyDescent="0.35">
      <c r="A1135" s="2" t="s">
        <v>10</v>
      </c>
      <c r="B1135" s="2" t="s">
        <v>791</v>
      </c>
      <c r="C1135" s="2" t="s">
        <v>62</v>
      </c>
      <c r="D1135" s="2" t="s">
        <v>838</v>
      </c>
      <c r="E1135" s="2" t="s">
        <v>127</v>
      </c>
      <c r="F1135" s="2" t="s">
        <v>107</v>
      </c>
      <c r="G1135" s="2"/>
      <c r="H1135" s="2"/>
      <c r="I1135" s="2"/>
      <c r="J1135" s="2"/>
    </row>
    <row r="1136" spans="1:10" x14ac:dyDescent="0.35">
      <c r="A1136" s="2" t="s">
        <v>10</v>
      </c>
      <c r="B1136" s="2" t="s">
        <v>791</v>
      </c>
      <c r="C1136" s="2" t="s">
        <v>12</v>
      </c>
      <c r="D1136" s="2" t="s">
        <v>839</v>
      </c>
      <c r="E1136" s="2" t="s">
        <v>91</v>
      </c>
      <c r="F1136" s="2" t="s">
        <v>19</v>
      </c>
      <c r="G1136" s="2" t="s">
        <v>16</v>
      </c>
      <c r="H1136" s="2" t="s">
        <v>840</v>
      </c>
      <c r="I1136" s="2" t="s">
        <v>16</v>
      </c>
      <c r="J1136" s="2" t="s">
        <v>17</v>
      </c>
    </row>
    <row r="1137" spans="1:10" x14ac:dyDescent="0.35">
      <c r="A1137" s="2" t="s">
        <v>10</v>
      </c>
      <c r="B1137" s="2" t="s">
        <v>791</v>
      </c>
      <c r="C1137" s="2" t="s">
        <v>12</v>
      </c>
      <c r="D1137" s="2" t="s">
        <v>839</v>
      </c>
      <c r="E1137" s="2" t="s">
        <v>89</v>
      </c>
      <c r="F1137" s="2" t="s">
        <v>45</v>
      </c>
      <c r="G1137" s="2" t="s">
        <v>16</v>
      </c>
      <c r="H1137" s="2" t="s">
        <v>841</v>
      </c>
      <c r="I1137" s="2" t="s">
        <v>16</v>
      </c>
      <c r="J1137" s="2" t="s">
        <v>17</v>
      </c>
    </row>
    <row r="1138" spans="1:10" x14ac:dyDescent="0.35">
      <c r="A1138" s="2" t="s">
        <v>10</v>
      </c>
      <c r="B1138" s="2" t="s">
        <v>842</v>
      </c>
      <c r="C1138" s="2" t="s">
        <v>24</v>
      </c>
      <c r="D1138" s="2" t="s">
        <v>843</v>
      </c>
      <c r="E1138" s="2" t="s">
        <v>130</v>
      </c>
      <c r="F1138" s="2" t="s">
        <v>36</v>
      </c>
      <c r="G1138" s="2"/>
      <c r="H1138" s="2"/>
      <c r="I1138" s="2" t="s">
        <v>16</v>
      </c>
      <c r="J1138" s="2" t="s">
        <v>844</v>
      </c>
    </row>
    <row r="1139" spans="1:10" x14ac:dyDescent="0.35">
      <c r="A1139" s="2" t="s">
        <v>10</v>
      </c>
      <c r="B1139" s="2" t="s">
        <v>842</v>
      </c>
      <c r="C1139" s="2" t="s">
        <v>24</v>
      </c>
      <c r="D1139" s="2" t="s">
        <v>843</v>
      </c>
      <c r="E1139" s="2" t="s">
        <v>18</v>
      </c>
      <c r="F1139" s="2" t="s">
        <v>19</v>
      </c>
      <c r="G1139" s="2" t="s">
        <v>20</v>
      </c>
      <c r="H1139" s="2" t="s">
        <v>845</v>
      </c>
      <c r="I1139" s="2" t="s">
        <v>16</v>
      </c>
      <c r="J1139" s="2" t="s">
        <v>844</v>
      </c>
    </row>
    <row r="1140" spans="1:10" x14ac:dyDescent="0.35">
      <c r="A1140" s="2" t="s">
        <v>10</v>
      </c>
      <c r="B1140" s="2" t="s">
        <v>842</v>
      </c>
      <c r="C1140" s="2" t="s">
        <v>24</v>
      </c>
      <c r="D1140" s="2" t="s">
        <v>843</v>
      </c>
      <c r="E1140" s="2" t="s">
        <v>61</v>
      </c>
      <c r="F1140" s="2" t="s">
        <v>30</v>
      </c>
      <c r="G1140" s="2"/>
      <c r="H1140" s="2"/>
      <c r="I1140" s="2" t="s">
        <v>16</v>
      </c>
      <c r="J1140" s="2" t="s">
        <v>844</v>
      </c>
    </row>
    <row r="1141" spans="1:10" x14ac:dyDescent="0.35">
      <c r="A1141" s="2" t="s">
        <v>10</v>
      </c>
      <c r="B1141" s="2" t="s">
        <v>842</v>
      </c>
      <c r="C1141" s="2" t="s">
        <v>24</v>
      </c>
      <c r="D1141" s="2" t="s">
        <v>843</v>
      </c>
      <c r="E1141" s="2" t="s">
        <v>188</v>
      </c>
      <c r="F1141" s="2" t="s">
        <v>189</v>
      </c>
      <c r="G1141" s="2" t="s">
        <v>20</v>
      </c>
      <c r="H1141" s="2" t="s">
        <v>846</v>
      </c>
      <c r="I1141" s="2" t="s">
        <v>16</v>
      </c>
      <c r="J1141" s="2" t="s">
        <v>844</v>
      </c>
    </row>
    <row r="1142" spans="1:10" x14ac:dyDescent="0.35">
      <c r="A1142" s="2" t="s">
        <v>10</v>
      </c>
      <c r="B1142" s="2" t="s">
        <v>842</v>
      </c>
      <c r="C1142" s="2" t="s">
        <v>24</v>
      </c>
      <c r="D1142" s="2" t="s">
        <v>843</v>
      </c>
      <c r="E1142" s="2" t="s">
        <v>193</v>
      </c>
      <c r="F1142" s="2" t="s">
        <v>847</v>
      </c>
      <c r="G1142" s="2" t="s">
        <v>46</v>
      </c>
      <c r="H1142" s="2" t="s">
        <v>451</v>
      </c>
      <c r="I1142" s="2" t="s">
        <v>16</v>
      </c>
      <c r="J1142" s="2" t="s">
        <v>844</v>
      </c>
    </row>
    <row r="1143" spans="1:10" x14ac:dyDescent="0.35">
      <c r="A1143" s="2" t="s">
        <v>10</v>
      </c>
      <c r="B1143" s="2" t="s">
        <v>842</v>
      </c>
      <c r="C1143" s="2" t="s">
        <v>24</v>
      </c>
      <c r="D1143" s="2" t="s">
        <v>848</v>
      </c>
      <c r="E1143" s="2" t="s">
        <v>14</v>
      </c>
      <c r="F1143" s="2" t="s">
        <v>15</v>
      </c>
      <c r="G1143" s="2"/>
      <c r="H1143" s="2"/>
      <c r="I1143" s="2" t="s">
        <v>16</v>
      </c>
      <c r="J1143" s="2" t="s">
        <v>844</v>
      </c>
    </row>
    <row r="1144" spans="1:10" x14ac:dyDescent="0.35">
      <c r="A1144" s="2" t="s">
        <v>10</v>
      </c>
      <c r="B1144" s="2" t="s">
        <v>842</v>
      </c>
      <c r="C1144" s="2" t="s">
        <v>24</v>
      </c>
      <c r="D1144" s="2" t="s">
        <v>848</v>
      </c>
      <c r="E1144" s="2" t="s">
        <v>144</v>
      </c>
      <c r="F1144" s="2" t="s">
        <v>50</v>
      </c>
      <c r="G1144" s="2"/>
      <c r="H1144" s="2"/>
      <c r="I1144" s="2" t="s">
        <v>16</v>
      </c>
      <c r="J1144" s="2" t="s">
        <v>844</v>
      </c>
    </row>
    <row r="1145" spans="1:10" x14ac:dyDescent="0.35">
      <c r="A1145" s="2" t="s">
        <v>10</v>
      </c>
      <c r="B1145" s="2" t="s">
        <v>842</v>
      </c>
      <c r="C1145" s="2" t="s">
        <v>24</v>
      </c>
      <c r="D1145" s="2" t="s">
        <v>848</v>
      </c>
      <c r="E1145" s="2" t="s">
        <v>212</v>
      </c>
      <c r="F1145" s="2" t="s">
        <v>78</v>
      </c>
      <c r="G1145" s="2"/>
      <c r="H1145" s="2"/>
      <c r="I1145" s="2" t="s">
        <v>16</v>
      </c>
      <c r="J1145" s="2" t="s">
        <v>844</v>
      </c>
    </row>
    <row r="1146" spans="1:10" x14ac:dyDescent="0.35">
      <c r="A1146" s="2" t="s">
        <v>10</v>
      </c>
      <c r="B1146" s="2" t="s">
        <v>842</v>
      </c>
      <c r="C1146" s="2" t="s">
        <v>24</v>
      </c>
      <c r="D1146" s="2" t="s">
        <v>848</v>
      </c>
      <c r="E1146" s="2" t="s">
        <v>35</v>
      </c>
      <c r="F1146" s="2" t="s">
        <v>36</v>
      </c>
      <c r="G1146" s="2"/>
      <c r="H1146" s="2"/>
      <c r="I1146" s="2" t="s">
        <v>16</v>
      </c>
      <c r="J1146" s="2" t="s">
        <v>844</v>
      </c>
    </row>
    <row r="1147" spans="1:10" x14ac:dyDescent="0.35">
      <c r="A1147" s="2" t="s">
        <v>10</v>
      </c>
      <c r="B1147" s="2" t="s">
        <v>842</v>
      </c>
      <c r="C1147" s="2" t="s">
        <v>24</v>
      </c>
      <c r="D1147" s="2" t="s">
        <v>848</v>
      </c>
      <c r="E1147" s="2" t="s">
        <v>18</v>
      </c>
      <c r="F1147" s="2" t="s">
        <v>19</v>
      </c>
      <c r="G1147" s="2" t="s">
        <v>20</v>
      </c>
      <c r="H1147" s="2" t="s">
        <v>849</v>
      </c>
      <c r="I1147" s="2" t="s">
        <v>16</v>
      </c>
      <c r="J1147" s="2" t="s">
        <v>844</v>
      </c>
    </row>
    <row r="1148" spans="1:10" x14ac:dyDescent="0.35">
      <c r="A1148" s="2" t="s">
        <v>10</v>
      </c>
      <c r="B1148" s="2" t="s">
        <v>842</v>
      </c>
      <c r="C1148" s="2" t="s">
        <v>24</v>
      </c>
      <c r="D1148" s="2" t="s">
        <v>848</v>
      </c>
      <c r="E1148" s="2" t="s">
        <v>193</v>
      </c>
      <c r="F1148" s="2" t="s">
        <v>847</v>
      </c>
      <c r="G1148" s="2" t="s">
        <v>20</v>
      </c>
      <c r="H1148" s="2" t="s">
        <v>850</v>
      </c>
      <c r="I1148" s="2" t="s">
        <v>16</v>
      </c>
      <c r="J1148" s="2" t="s">
        <v>844</v>
      </c>
    </row>
    <row r="1149" spans="1:10" x14ac:dyDescent="0.35">
      <c r="A1149" s="2" t="s">
        <v>10</v>
      </c>
      <c r="B1149" s="2" t="s">
        <v>842</v>
      </c>
      <c r="C1149" s="2" t="s">
        <v>57</v>
      </c>
      <c r="D1149" s="2" t="s">
        <v>851</v>
      </c>
      <c r="E1149" s="2" t="s">
        <v>14</v>
      </c>
      <c r="F1149" s="2" t="s">
        <v>15</v>
      </c>
      <c r="G1149" s="2"/>
      <c r="H1149" s="2"/>
      <c r="I1149" s="2" t="s">
        <v>16</v>
      </c>
      <c r="J1149" s="2" t="s">
        <v>844</v>
      </c>
    </row>
    <row r="1150" spans="1:10" x14ac:dyDescent="0.35">
      <c r="A1150" s="2" t="s">
        <v>10</v>
      </c>
      <c r="B1150" s="2" t="s">
        <v>842</v>
      </c>
      <c r="C1150" s="2" t="s">
        <v>57</v>
      </c>
      <c r="D1150" s="2" t="s">
        <v>851</v>
      </c>
      <c r="E1150" s="2" t="s">
        <v>144</v>
      </c>
      <c r="F1150" s="2" t="s">
        <v>50</v>
      </c>
      <c r="G1150" s="2"/>
      <c r="H1150" s="2"/>
      <c r="I1150" s="2" t="s">
        <v>16</v>
      </c>
      <c r="J1150" s="2" t="s">
        <v>844</v>
      </c>
    </row>
    <row r="1151" spans="1:10" x14ac:dyDescent="0.35">
      <c r="A1151" s="2" t="s">
        <v>10</v>
      </c>
      <c r="B1151" s="2" t="s">
        <v>842</v>
      </c>
      <c r="C1151" s="2" t="s">
        <v>57</v>
      </c>
      <c r="D1151" s="2" t="s">
        <v>851</v>
      </c>
      <c r="E1151" s="2" t="s">
        <v>212</v>
      </c>
      <c r="F1151" s="2" t="s">
        <v>78</v>
      </c>
      <c r="G1151" s="2"/>
      <c r="H1151" s="2"/>
      <c r="I1151" s="2" t="s">
        <v>16</v>
      </c>
      <c r="J1151" s="2" t="s">
        <v>844</v>
      </c>
    </row>
    <row r="1152" spans="1:10" x14ac:dyDescent="0.35">
      <c r="A1152" s="2" t="s">
        <v>10</v>
      </c>
      <c r="B1152" s="2" t="s">
        <v>842</v>
      </c>
      <c r="C1152" s="2" t="s">
        <v>57</v>
      </c>
      <c r="D1152" s="2" t="s">
        <v>851</v>
      </c>
      <c r="E1152" s="2" t="s">
        <v>18</v>
      </c>
      <c r="F1152" s="2" t="s">
        <v>19</v>
      </c>
      <c r="G1152" s="2"/>
      <c r="H1152" s="2"/>
      <c r="I1152" s="2" t="s">
        <v>16</v>
      </c>
      <c r="J1152" s="2" t="s">
        <v>844</v>
      </c>
    </row>
    <row r="1153" spans="1:10" x14ac:dyDescent="0.35">
      <c r="A1153" s="2" t="s">
        <v>10</v>
      </c>
      <c r="B1153" s="2" t="s">
        <v>842</v>
      </c>
      <c r="C1153" s="2" t="s">
        <v>57</v>
      </c>
      <c r="D1153" s="2" t="s">
        <v>851</v>
      </c>
      <c r="E1153" s="2" t="s">
        <v>149</v>
      </c>
      <c r="F1153" s="2" t="s">
        <v>847</v>
      </c>
      <c r="G1153" s="2"/>
      <c r="H1153" s="2"/>
      <c r="I1153" s="2" t="s">
        <v>16</v>
      </c>
      <c r="J1153" s="2" t="s">
        <v>844</v>
      </c>
    </row>
    <row r="1154" spans="1:10" x14ac:dyDescent="0.35">
      <c r="A1154" s="2" t="s">
        <v>10</v>
      </c>
      <c r="B1154" s="2" t="s">
        <v>842</v>
      </c>
      <c r="C1154" s="2" t="s">
        <v>62</v>
      </c>
      <c r="D1154" s="2" t="s">
        <v>852</v>
      </c>
      <c r="E1154" s="2" t="s">
        <v>74</v>
      </c>
      <c r="F1154" s="2" t="s">
        <v>75</v>
      </c>
      <c r="G1154" s="2" t="s">
        <v>16</v>
      </c>
      <c r="H1154" s="2" t="s">
        <v>853</v>
      </c>
      <c r="I1154" s="2" t="s">
        <v>16</v>
      </c>
      <c r="J1154" s="2" t="s">
        <v>844</v>
      </c>
    </row>
    <row r="1155" spans="1:10" x14ac:dyDescent="0.35">
      <c r="A1155" s="2" t="s">
        <v>10</v>
      </c>
      <c r="B1155" s="2" t="s">
        <v>842</v>
      </c>
      <c r="C1155" s="2" t="s">
        <v>62</v>
      </c>
      <c r="D1155" s="2" t="s">
        <v>852</v>
      </c>
      <c r="E1155" s="2" t="s">
        <v>38</v>
      </c>
      <c r="F1155" s="2" t="s">
        <v>38</v>
      </c>
      <c r="G1155" s="2"/>
      <c r="H1155" s="2"/>
      <c r="I1155" s="2" t="s">
        <v>16</v>
      </c>
      <c r="J1155" s="2" t="s">
        <v>844</v>
      </c>
    </row>
    <row r="1156" spans="1:10" x14ac:dyDescent="0.35">
      <c r="A1156" s="2" t="s">
        <v>10</v>
      </c>
      <c r="B1156" s="2" t="s">
        <v>842</v>
      </c>
      <c r="C1156" s="2" t="s">
        <v>62</v>
      </c>
      <c r="D1156" s="2" t="s">
        <v>852</v>
      </c>
      <c r="E1156" s="2" t="s">
        <v>35</v>
      </c>
      <c r="F1156" s="2" t="s">
        <v>36</v>
      </c>
      <c r="G1156" s="2"/>
      <c r="H1156" s="2"/>
      <c r="I1156" s="2" t="s">
        <v>16</v>
      </c>
      <c r="J1156" s="2" t="s">
        <v>844</v>
      </c>
    </row>
    <row r="1157" spans="1:10" x14ac:dyDescent="0.35">
      <c r="A1157" s="2" t="s">
        <v>10</v>
      </c>
      <c r="B1157" s="2" t="s">
        <v>842</v>
      </c>
      <c r="C1157" s="2" t="s">
        <v>62</v>
      </c>
      <c r="D1157" s="2" t="s">
        <v>852</v>
      </c>
      <c r="E1157" s="2" t="s">
        <v>61</v>
      </c>
      <c r="F1157" s="2" t="s">
        <v>30</v>
      </c>
      <c r="G1157" s="2"/>
      <c r="H1157" s="2"/>
      <c r="I1157" s="2" t="s">
        <v>16</v>
      </c>
      <c r="J1157" s="2" t="s">
        <v>844</v>
      </c>
    </row>
    <row r="1158" spans="1:10" x14ac:dyDescent="0.35">
      <c r="A1158" s="2" t="s">
        <v>10</v>
      </c>
      <c r="B1158" s="2" t="s">
        <v>842</v>
      </c>
      <c r="C1158" s="2" t="s">
        <v>62</v>
      </c>
      <c r="D1158" s="2" t="s">
        <v>852</v>
      </c>
      <c r="E1158" s="2" t="s">
        <v>809</v>
      </c>
      <c r="F1158" s="2" t="s">
        <v>45</v>
      </c>
      <c r="G1158" s="2" t="s">
        <v>46</v>
      </c>
      <c r="H1158" s="2" t="s">
        <v>111</v>
      </c>
      <c r="I1158" s="2" t="s">
        <v>16</v>
      </c>
      <c r="J1158" s="2" t="s">
        <v>844</v>
      </c>
    </row>
    <row r="1159" spans="1:10" x14ac:dyDescent="0.35">
      <c r="A1159" s="2" t="s">
        <v>10</v>
      </c>
      <c r="B1159" s="2" t="s">
        <v>842</v>
      </c>
      <c r="C1159" s="2" t="s">
        <v>62</v>
      </c>
      <c r="D1159" s="2" t="s">
        <v>852</v>
      </c>
      <c r="E1159" s="2" t="s">
        <v>188</v>
      </c>
      <c r="F1159" s="2" t="s">
        <v>189</v>
      </c>
      <c r="G1159" s="2"/>
      <c r="H1159" s="2"/>
      <c r="I1159" s="2" t="s">
        <v>16</v>
      </c>
      <c r="J1159" s="2" t="s">
        <v>844</v>
      </c>
    </row>
    <row r="1160" spans="1:10" x14ac:dyDescent="0.35">
      <c r="A1160" s="2" t="s">
        <v>10</v>
      </c>
      <c r="B1160" s="2" t="s">
        <v>842</v>
      </c>
      <c r="C1160" s="2" t="s">
        <v>54</v>
      </c>
      <c r="D1160" s="2" t="s">
        <v>854</v>
      </c>
      <c r="E1160" s="2" t="s">
        <v>35</v>
      </c>
      <c r="F1160" s="2" t="s">
        <v>36</v>
      </c>
      <c r="G1160" s="2"/>
      <c r="H1160" s="2"/>
      <c r="I1160" s="2" t="s">
        <v>16</v>
      </c>
      <c r="J1160" s="2" t="s">
        <v>844</v>
      </c>
    </row>
    <row r="1161" spans="1:10" x14ac:dyDescent="0.35">
      <c r="A1161" s="2" t="s">
        <v>10</v>
      </c>
      <c r="B1161" s="2" t="s">
        <v>842</v>
      </c>
      <c r="C1161" s="2" t="s">
        <v>54</v>
      </c>
      <c r="D1161" s="2" t="s">
        <v>854</v>
      </c>
      <c r="E1161" s="2" t="s">
        <v>176</v>
      </c>
      <c r="F1161" s="2" t="s">
        <v>40</v>
      </c>
      <c r="G1161" s="2"/>
      <c r="H1161" s="2"/>
      <c r="I1161" s="2" t="s">
        <v>16</v>
      </c>
      <c r="J1161" s="2" t="s">
        <v>844</v>
      </c>
    </row>
    <row r="1162" spans="1:10" x14ac:dyDescent="0.35">
      <c r="A1162" s="2" t="s">
        <v>10</v>
      </c>
      <c r="B1162" s="2" t="s">
        <v>842</v>
      </c>
      <c r="C1162" s="2" t="s">
        <v>54</v>
      </c>
      <c r="D1162" s="2" t="s">
        <v>854</v>
      </c>
      <c r="E1162" s="2" t="s">
        <v>61</v>
      </c>
      <c r="F1162" s="2" t="s">
        <v>30</v>
      </c>
      <c r="G1162" s="2"/>
      <c r="H1162" s="2"/>
      <c r="I1162" s="2" t="s">
        <v>16</v>
      </c>
      <c r="J1162" s="2" t="s">
        <v>844</v>
      </c>
    </row>
    <row r="1163" spans="1:10" x14ac:dyDescent="0.35">
      <c r="A1163" s="2" t="s">
        <v>10</v>
      </c>
      <c r="B1163" s="2" t="s">
        <v>842</v>
      </c>
      <c r="C1163" s="2" t="s">
        <v>54</v>
      </c>
      <c r="D1163" s="2" t="s">
        <v>854</v>
      </c>
      <c r="E1163" s="2" t="s">
        <v>193</v>
      </c>
      <c r="F1163" s="2" t="s">
        <v>847</v>
      </c>
      <c r="G1163" s="2" t="s">
        <v>46</v>
      </c>
      <c r="H1163" s="2" t="s">
        <v>111</v>
      </c>
      <c r="I1163" s="2" t="s">
        <v>16</v>
      </c>
      <c r="J1163" s="2" t="s">
        <v>844</v>
      </c>
    </row>
    <row r="1164" spans="1:10" x14ac:dyDescent="0.35">
      <c r="A1164" s="2" t="s">
        <v>10</v>
      </c>
      <c r="B1164" s="2" t="s">
        <v>842</v>
      </c>
      <c r="C1164" s="2" t="s">
        <v>62</v>
      </c>
      <c r="D1164" s="2" t="s">
        <v>855</v>
      </c>
      <c r="E1164" s="2" t="s">
        <v>74</v>
      </c>
      <c r="F1164" s="2" t="s">
        <v>75</v>
      </c>
      <c r="G1164" s="2" t="s">
        <v>20</v>
      </c>
      <c r="H1164" s="2" t="s">
        <v>856</v>
      </c>
      <c r="I1164" s="2" t="s">
        <v>16</v>
      </c>
      <c r="J1164" s="2" t="s">
        <v>844</v>
      </c>
    </row>
    <row r="1165" spans="1:10" x14ac:dyDescent="0.35">
      <c r="A1165" s="2" t="s">
        <v>10</v>
      </c>
      <c r="B1165" s="2" t="s">
        <v>842</v>
      </c>
      <c r="C1165" s="2" t="s">
        <v>62</v>
      </c>
      <c r="D1165" s="2" t="s">
        <v>857</v>
      </c>
      <c r="E1165" s="2" t="s">
        <v>27</v>
      </c>
      <c r="F1165" s="2" t="s">
        <v>28</v>
      </c>
      <c r="G1165" s="2"/>
      <c r="H1165" s="2"/>
      <c r="I1165" s="2" t="s">
        <v>16</v>
      </c>
      <c r="J1165" s="2" t="s">
        <v>844</v>
      </c>
    </row>
    <row r="1166" spans="1:10" x14ac:dyDescent="0.35">
      <c r="A1166" s="2" t="s">
        <v>10</v>
      </c>
      <c r="B1166" s="2" t="s">
        <v>842</v>
      </c>
      <c r="C1166" s="2" t="s">
        <v>62</v>
      </c>
      <c r="D1166" s="2" t="s">
        <v>857</v>
      </c>
      <c r="E1166" s="2" t="s">
        <v>136</v>
      </c>
      <c r="F1166" s="2" t="s">
        <v>107</v>
      </c>
      <c r="G1166" s="2" t="s">
        <v>46</v>
      </c>
      <c r="H1166" s="2" t="s">
        <v>111</v>
      </c>
      <c r="I1166" s="2" t="s">
        <v>16</v>
      </c>
      <c r="J1166" s="2" t="s">
        <v>844</v>
      </c>
    </row>
    <row r="1167" spans="1:10" x14ac:dyDescent="0.35">
      <c r="A1167" s="2" t="s">
        <v>10</v>
      </c>
      <c r="B1167" s="2" t="s">
        <v>842</v>
      </c>
      <c r="C1167" s="2" t="s">
        <v>62</v>
      </c>
      <c r="D1167" s="2" t="s">
        <v>857</v>
      </c>
      <c r="E1167" s="2" t="s">
        <v>91</v>
      </c>
      <c r="F1167" s="2" t="s">
        <v>19</v>
      </c>
      <c r="G1167" s="2" t="s">
        <v>20</v>
      </c>
      <c r="H1167" s="2" t="s">
        <v>858</v>
      </c>
      <c r="I1167" s="2" t="s">
        <v>16</v>
      </c>
      <c r="J1167" s="2" t="s">
        <v>844</v>
      </c>
    </row>
    <row r="1168" spans="1:10" x14ac:dyDescent="0.35">
      <c r="A1168" s="2" t="s">
        <v>10</v>
      </c>
      <c r="B1168" s="2" t="s">
        <v>842</v>
      </c>
      <c r="C1168" s="2" t="s">
        <v>62</v>
      </c>
      <c r="D1168" s="2" t="s">
        <v>857</v>
      </c>
      <c r="E1168" s="2" t="s">
        <v>61</v>
      </c>
      <c r="F1168" s="2" t="s">
        <v>30</v>
      </c>
      <c r="G1168" s="2"/>
      <c r="H1168" s="2"/>
      <c r="I1168" s="2" t="s">
        <v>16</v>
      </c>
      <c r="J1168" s="2" t="s">
        <v>844</v>
      </c>
    </row>
    <row r="1169" spans="1:10" x14ac:dyDescent="0.35">
      <c r="A1169" s="2" t="s">
        <v>10</v>
      </c>
      <c r="B1169" s="2" t="s">
        <v>842</v>
      </c>
      <c r="C1169" s="2" t="s">
        <v>54</v>
      </c>
      <c r="D1169" s="2" t="s">
        <v>859</v>
      </c>
      <c r="E1169" s="2" t="s">
        <v>393</v>
      </c>
      <c r="F1169" s="2" t="s">
        <v>36</v>
      </c>
      <c r="G1169" s="2"/>
      <c r="H1169" s="2"/>
      <c r="I1169" s="2" t="s">
        <v>16</v>
      </c>
      <c r="J1169" s="2" t="s">
        <v>844</v>
      </c>
    </row>
    <row r="1170" spans="1:10" x14ac:dyDescent="0.35">
      <c r="A1170" s="2" t="s">
        <v>10</v>
      </c>
      <c r="B1170" s="2" t="s">
        <v>842</v>
      </c>
      <c r="C1170" s="2" t="s">
        <v>54</v>
      </c>
      <c r="D1170" s="2" t="s">
        <v>859</v>
      </c>
      <c r="E1170" s="2" t="s">
        <v>18</v>
      </c>
      <c r="F1170" s="2" t="s">
        <v>19</v>
      </c>
      <c r="G1170" s="2"/>
      <c r="H1170" s="2"/>
      <c r="I1170" s="2" t="s">
        <v>16</v>
      </c>
      <c r="J1170" s="2" t="s">
        <v>844</v>
      </c>
    </row>
    <row r="1171" spans="1:10" x14ac:dyDescent="0.35">
      <c r="A1171" s="2" t="s">
        <v>10</v>
      </c>
      <c r="B1171" s="2" t="s">
        <v>842</v>
      </c>
      <c r="C1171" s="2" t="s">
        <v>54</v>
      </c>
      <c r="D1171" s="2" t="s">
        <v>859</v>
      </c>
      <c r="E1171" s="2" t="s">
        <v>89</v>
      </c>
      <c r="F1171" s="2" t="s">
        <v>45</v>
      </c>
      <c r="G1171" s="2"/>
      <c r="H1171" s="2"/>
      <c r="I1171" s="2" t="s">
        <v>16</v>
      </c>
      <c r="J1171" s="2" t="s">
        <v>844</v>
      </c>
    </row>
    <row r="1172" spans="1:10" x14ac:dyDescent="0.35">
      <c r="A1172" s="2" t="s">
        <v>10</v>
      </c>
      <c r="B1172" s="2" t="s">
        <v>842</v>
      </c>
      <c r="C1172" s="2" t="s">
        <v>54</v>
      </c>
      <c r="D1172" s="2" t="s">
        <v>859</v>
      </c>
      <c r="E1172" s="2" t="s">
        <v>149</v>
      </c>
      <c r="F1172" s="2" t="s">
        <v>847</v>
      </c>
      <c r="G1172" s="2"/>
      <c r="H1172" s="2"/>
      <c r="I1172" s="2" t="s">
        <v>16</v>
      </c>
      <c r="J1172" s="2" t="s">
        <v>844</v>
      </c>
    </row>
    <row r="1173" spans="1:10" x14ac:dyDescent="0.35">
      <c r="A1173" s="2" t="s">
        <v>10</v>
      </c>
      <c r="B1173" s="2" t="s">
        <v>842</v>
      </c>
      <c r="C1173" s="2" t="s">
        <v>12</v>
      </c>
      <c r="D1173" s="2" t="s">
        <v>860</v>
      </c>
      <c r="E1173" s="2" t="s">
        <v>76</v>
      </c>
      <c r="F1173" s="2" t="s">
        <v>75</v>
      </c>
      <c r="G1173" s="2" t="s">
        <v>20</v>
      </c>
      <c r="H1173" s="2" t="s">
        <v>861</v>
      </c>
      <c r="I1173" s="2" t="s">
        <v>16</v>
      </c>
      <c r="J1173" s="2" t="s">
        <v>844</v>
      </c>
    </row>
    <row r="1174" spans="1:10" x14ac:dyDescent="0.35">
      <c r="A1174" s="2" t="s">
        <v>10</v>
      </c>
      <c r="B1174" s="2" t="s">
        <v>842</v>
      </c>
      <c r="C1174" s="2" t="s">
        <v>12</v>
      </c>
      <c r="D1174" s="2" t="s">
        <v>860</v>
      </c>
      <c r="E1174" s="2" t="s">
        <v>393</v>
      </c>
      <c r="F1174" s="2" t="s">
        <v>36</v>
      </c>
      <c r="G1174" s="2"/>
      <c r="H1174" s="2"/>
      <c r="I1174" s="2" t="s">
        <v>16</v>
      </c>
      <c r="J1174" s="2" t="s">
        <v>844</v>
      </c>
    </row>
    <row r="1175" spans="1:10" x14ac:dyDescent="0.35">
      <c r="A1175" s="2" t="s">
        <v>10</v>
      </c>
      <c r="B1175" s="2" t="s">
        <v>842</v>
      </c>
      <c r="C1175" s="2" t="s">
        <v>12</v>
      </c>
      <c r="D1175" s="2" t="s">
        <v>860</v>
      </c>
      <c r="E1175" s="2" t="s">
        <v>862</v>
      </c>
      <c r="F1175" s="2" t="s">
        <v>38</v>
      </c>
      <c r="G1175" s="2"/>
      <c r="H1175" s="2"/>
      <c r="I1175" s="2" t="s">
        <v>16</v>
      </c>
      <c r="J1175" s="2" t="s">
        <v>844</v>
      </c>
    </row>
    <row r="1176" spans="1:10" x14ac:dyDescent="0.35">
      <c r="A1176" s="2" t="s">
        <v>10</v>
      </c>
      <c r="B1176" s="2" t="s">
        <v>842</v>
      </c>
      <c r="C1176" s="2" t="s">
        <v>62</v>
      </c>
      <c r="D1176" s="2" t="s">
        <v>863</v>
      </c>
      <c r="E1176" s="2" t="s">
        <v>74</v>
      </c>
      <c r="F1176" s="2" t="s">
        <v>75</v>
      </c>
      <c r="G1176" s="2" t="s">
        <v>46</v>
      </c>
      <c r="H1176" s="2" t="s">
        <v>864</v>
      </c>
      <c r="I1176" s="2"/>
      <c r="J1176" s="2"/>
    </row>
    <row r="1177" spans="1:10" x14ac:dyDescent="0.35">
      <c r="A1177" s="2" t="s">
        <v>10</v>
      </c>
      <c r="B1177" s="2" t="s">
        <v>842</v>
      </c>
      <c r="C1177" s="2" t="s">
        <v>62</v>
      </c>
      <c r="D1177" s="2" t="s">
        <v>863</v>
      </c>
      <c r="E1177" s="2" t="s">
        <v>27</v>
      </c>
      <c r="F1177" s="2" t="s">
        <v>28</v>
      </c>
      <c r="G1177" s="2" t="s">
        <v>46</v>
      </c>
      <c r="H1177" s="2" t="s">
        <v>864</v>
      </c>
      <c r="I1177" s="2"/>
      <c r="J1177" s="2"/>
    </row>
    <row r="1178" spans="1:10" x14ac:dyDescent="0.35">
      <c r="A1178" s="2" t="s">
        <v>10</v>
      </c>
      <c r="B1178" s="2" t="s">
        <v>842</v>
      </c>
      <c r="C1178" s="2" t="s">
        <v>62</v>
      </c>
      <c r="D1178" s="2" t="s">
        <v>863</v>
      </c>
      <c r="E1178" s="2" t="s">
        <v>87</v>
      </c>
      <c r="F1178" s="2" t="s">
        <v>75</v>
      </c>
      <c r="G1178" s="2" t="s">
        <v>46</v>
      </c>
      <c r="H1178" s="2" t="s">
        <v>864</v>
      </c>
      <c r="I1178" s="2"/>
      <c r="J1178" s="2"/>
    </row>
    <row r="1179" spans="1:10" x14ac:dyDescent="0.35">
      <c r="A1179" s="2" t="s">
        <v>10</v>
      </c>
      <c r="B1179" s="2" t="s">
        <v>842</v>
      </c>
      <c r="C1179" s="2" t="s">
        <v>62</v>
      </c>
      <c r="D1179" s="2" t="s">
        <v>863</v>
      </c>
      <c r="E1179" s="2" t="s">
        <v>18</v>
      </c>
      <c r="F1179" s="2" t="s">
        <v>19</v>
      </c>
      <c r="G1179" s="2" t="s">
        <v>46</v>
      </c>
      <c r="H1179" s="2" t="s">
        <v>864</v>
      </c>
      <c r="I1179" s="2"/>
      <c r="J1179" s="2"/>
    </row>
    <row r="1180" spans="1:10" x14ac:dyDescent="0.35">
      <c r="A1180" s="2" t="s">
        <v>10</v>
      </c>
      <c r="B1180" s="2" t="s">
        <v>842</v>
      </c>
      <c r="C1180" s="2" t="s">
        <v>62</v>
      </c>
      <c r="D1180" s="2" t="s">
        <v>863</v>
      </c>
      <c r="E1180" s="2" t="s">
        <v>865</v>
      </c>
      <c r="F1180" s="2" t="s">
        <v>30</v>
      </c>
      <c r="G1180" s="2" t="s">
        <v>46</v>
      </c>
      <c r="H1180" s="2" t="s">
        <v>864</v>
      </c>
      <c r="I1180" s="2"/>
      <c r="J1180" s="2"/>
    </row>
    <row r="1181" spans="1:10" x14ac:dyDescent="0.35">
      <c r="A1181" s="2" t="s">
        <v>10</v>
      </c>
      <c r="B1181" s="2" t="s">
        <v>842</v>
      </c>
      <c r="C1181" s="2" t="s">
        <v>62</v>
      </c>
      <c r="D1181" s="2" t="s">
        <v>863</v>
      </c>
      <c r="E1181" s="2" t="s">
        <v>193</v>
      </c>
      <c r="F1181" s="2" t="s">
        <v>847</v>
      </c>
      <c r="G1181" s="2" t="s">
        <v>46</v>
      </c>
      <c r="H1181" s="2" t="s">
        <v>864</v>
      </c>
      <c r="I1181" s="2"/>
      <c r="J1181" s="2"/>
    </row>
    <row r="1182" spans="1:10" s="21" customFormat="1" x14ac:dyDescent="0.35">
      <c r="A1182" s="2" t="s">
        <v>10</v>
      </c>
      <c r="B1182" s="2" t="s">
        <v>842</v>
      </c>
      <c r="C1182" s="2" t="s">
        <v>12</v>
      </c>
      <c r="D1182" s="2" t="s">
        <v>866</v>
      </c>
      <c r="E1182" s="2" t="s">
        <v>27</v>
      </c>
      <c r="F1182" s="2" t="s">
        <v>28</v>
      </c>
      <c r="G1182" s="2"/>
      <c r="H1182" s="2"/>
      <c r="I1182" s="2"/>
      <c r="J1182" s="2"/>
    </row>
    <row r="1183" spans="1:10" s="21" customFormat="1" x14ac:dyDescent="0.35">
      <c r="A1183" s="2" t="s">
        <v>10</v>
      </c>
      <c r="B1183" s="2" t="s">
        <v>842</v>
      </c>
      <c r="C1183" s="2" t="s">
        <v>12</v>
      </c>
      <c r="D1183" s="2" t="s">
        <v>866</v>
      </c>
      <c r="E1183" s="2" t="s">
        <v>121</v>
      </c>
      <c r="F1183" s="2" t="s">
        <v>122</v>
      </c>
      <c r="G1183" s="2"/>
      <c r="H1183" s="2"/>
      <c r="I1183" s="2"/>
      <c r="J1183" s="2"/>
    </row>
    <row r="1184" spans="1:10" s="21" customFormat="1" x14ac:dyDescent="0.35">
      <c r="A1184" s="2" t="s">
        <v>10</v>
      </c>
      <c r="B1184" s="2" t="s">
        <v>842</v>
      </c>
      <c r="C1184" s="2" t="s">
        <v>12</v>
      </c>
      <c r="D1184" s="2" t="s">
        <v>866</v>
      </c>
      <c r="E1184" s="2" t="s">
        <v>35</v>
      </c>
      <c r="F1184" s="2" t="s">
        <v>36</v>
      </c>
      <c r="G1184" s="2"/>
      <c r="H1184" s="2"/>
      <c r="I1184" s="2"/>
      <c r="J1184" s="2"/>
    </row>
    <row r="1185" spans="1:10" s="21" customFormat="1" x14ac:dyDescent="0.35">
      <c r="A1185" s="2" t="s">
        <v>10</v>
      </c>
      <c r="B1185" s="2" t="s">
        <v>842</v>
      </c>
      <c r="C1185" s="2" t="s">
        <v>12</v>
      </c>
      <c r="D1185" s="2" t="s">
        <v>866</v>
      </c>
      <c r="E1185" s="2" t="s">
        <v>213</v>
      </c>
      <c r="F1185" s="2" t="s">
        <v>45</v>
      </c>
      <c r="G1185" s="2" t="s">
        <v>20</v>
      </c>
      <c r="H1185" s="2" t="s">
        <v>867</v>
      </c>
      <c r="I1185" s="2"/>
      <c r="J1185" s="2"/>
    </row>
    <row r="1186" spans="1:10" s="21" customFormat="1" x14ac:dyDescent="0.35">
      <c r="A1186" s="2" t="s">
        <v>10</v>
      </c>
      <c r="B1186" s="2" t="s">
        <v>842</v>
      </c>
      <c r="C1186" s="2" t="s">
        <v>12</v>
      </c>
      <c r="D1186" s="2" t="s">
        <v>866</v>
      </c>
      <c r="E1186" s="2" t="s">
        <v>18</v>
      </c>
      <c r="F1186" s="2" t="s">
        <v>19</v>
      </c>
      <c r="G1186" s="2" t="s">
        <v>20</v>
      </c>
      <c r="H1186" s="2" t="s">
        <v>868</v>
      </c>
      <c r="I1186" s="2"/>
      <c r="J1186" s="2"/>
    </row>
    <row r="1187" spans="1:10" s="21" customFormat="1" x14ac:dyDescent="0.35">
      <c r="A1187" s="2" t="s">
        <v>10</v>
      </c>
      <c r="B1187" s="2" t="s">
        <v>842</v>
      </c>
      <c r="C1187" s="2" t="s">
        <v>12</v>
      </c>
      <c r="D1187" s="2" t="s">
        <v>866</v>
      </c>
      <c r="E1187" s="2" t="s">
        <v>149</v>
      </c>
      <c r="F1187" s="2" t="s">
        <v>847</v>
      </c>
      <c r="G1187" s="2" t="s">
        <v>20</v>
      </c>
      <c r="H1187" s="2" t="s">
        <v>869</v>
      </c>
      <c r="I1187" s="2"/>
      <c r="J1187" s="2"/>
    </row>
    <row r="1188" spans="1:10" x14ac:dyDescent="0.35">
      <c r="A1188" s="2" t="s">
        <v>10</v>
      </c>
      <c r="B1188" s="2" t="s">
        <v>870</v>
      </c>
      <c r="C1188" s="2" t="s">
        <v>24</v>
      </c>
      <c r="D1188" s="2" t="s">
        <v>871</v>
      </c>
      <c r="E1188" s="2" t="s">
        <v>82</v>
      </c>
      <c r="F1188" s="2" t="s">
        <v>83</v>
      </c>
      <c r="G1188" s="2"/>
      <c r="H1188" s="2"/>
      <c r="I1188" s="2" t="s">
        <v>16</v>
      </c>
      <c r="J1188" s="2" t="s">
        <v>872</v>
      </c>
    </row>
    <row r="1189" spans="1:10" x14ac:dyDescent="0.35">
      <c r="A1189" s="2" t="s">
        <v>10</v>
      </c>
      <c r="B1189" s="2" t="s">
        <v>870</v>
      </c>
      <c r="C1189" s="2" t="s">
        <v>24</v>
      </c>
      <c r="D1189" s="2" t="s">
        <v>871</v>
      </c>
      <c r="E1189" s="2" t="s">
        <v>33</v>
      </c>
      <c r="F1189" s="2" t="s">
        <v>34</v>
      </c>
      <c r="G1189" s="2"/>
      <c r="H1189" s="2"/>
      <c r="I1189" s="2" t="s">
        <v>16</v>
      </c>
      <c r="J1189" s="2" t="s">
        <v>872</v>
      </c>
    </row>
    <row r="1190" spans="1:10" x14ac:dyDescent="0.35">
      <c r="A1190" s="2" t="s">
        <v>10</v>
      </c>
      <c r="B1190" s="2" t="s">
        <v>870</v>
      </c>
      <c r="C1190" s="2" t="s">
        <v>24</v>
      </c>
      <c r="D1190" s="2" t="s">
        <v>871</v>
      </c>
      <c r="E1190" s="2" t="s">
        <v>393</v>
      </c>
      <c r="F1190" s="2" t="s">
        <v>36</v>
      </c>
      <c r="G1190" s="2"/>
      <c r="H1190" s="2"/>
      <c r="I1190" s="2" t="s">
        <v>16</v>
      </c>
      <c r="J1190" s="2" t="s">
        <v>872</v>
      </c>
    </row>
    <row r="1191" spans="1:10" x14ac:dyDescent="0.35">
      <c r="A1191" s="2" t="s">
        <v>10</v>
      </c>
      <c r="B1191" s="2" t="s">
        <v>870</v>
      </c>
      <c r="C1191" s="2" t="s">
        <v>24</v>
      </c>
      <c r="D1191" s="2" t="s">
        <v>871</v>
      </c>
      <c r="E1191" s="2" t="s">
        <v>18</v>
      </c>
      <c r="F1191" s="2" t="s">
        <v>19</v>
      </c>
      <c r="G1191" s="2" t="s">
        <v>20</v>
      </c>
      <c r="H1191" s="2" t="s">
        <v>873</v>
      </c>
      <c r="I1191" s="2" t="s">
        <v>16</v>
      </c>
      <c r="J1191" s="2" t="s">
        <v>872</v>
      </c>
    </row>
    <row r="1192" spans="1:10" x14ac:dyDescent="0.35">
      <c r="A1192" s="2" t="s">
        <v>10</v>
      </c>
      <c r="B1192" s="2" t="s">
        <v>870</v>
      </c>
      <c r="C1192" s="2" t="s">
        <v>54</v>
      </c>
      <c r="D1192" s="2" t="s">
        <v>874</v>
      </c>
      <c r="E1192" s="2" t="s">
        <v>91</v>
      </c>
      <c r="F1192" s="2" t="s">
        <v>19</v>
      </c>
      <c r="G1192" s="2" t="s">
        <v>20</v>
      </c>
      <c r="H1192" s="2" t="s">
        <v>875</v>
      </c>
      <c r="I1192" s="2" t="s">
        <v>16</v>
      </c>
      <c r="J1192" s="2" t="s">
        <v>876</v>
      </c>
    </row>
    <row r="1193" spans="1:10" x14ac:dyDescent="0.35">
      <c r="A1193" s="2" t="s">
        <v>10</v>
      </c>
      <c r="B1193" s="2" t="s">
        <v>870</v>
      </c>
      <c r="C1193" s="2" t="s">
        <v>57</v>
      </c>
      <c r="D1193" s="2" t="s">
        <v>877</v>
      </c>
      <c r="E1193" s="2" t="s">
        <v>14</v>
      </c>
      <c r="F1193" s="2" t="s">
        <v>15</v>
      </c>
      <c r="G1193" s="2"/>
      <c r="H1193" s="2"/>
      <c r="I1193" s="2" t="s">
        <v>16</v>
      </c>
      <c r="J1193" s="2" t="s">
        <v>876</v>
      </c>
    </row>
    <row r="1194" spans="1:10" s="21" customFormat="1" x14ac:dyDescent="0.35">
      <c r="A1194" s="2" t="s">
        <v>10</v>
      </c>
      <c r="B1194" s="2" t="s">
        <v>870</v>
      </c>
      <c r="C1194" s="2" t="s">
        <v>57</v>
      </c>
      <c r="D1194" s="2" t="s">
        <v>877</v>
      </c>
      <c r="E1194" s="2" t="s">
        <v>98</v>
      </c>
      <c r="F1194" s="2" t="s">
        <v>98</v>
      </c>
      <c r="G1194" s="2"/>
      <c r="H1194" s="2"/>
      <c r="I1194" s="2" t="s">
        <v>16</v>
      </c>
      <c r="J1194" s="2" t="s">
        <v>876</v>
      </c>
    </row>
    <row r="1195" spans="1:10" x14ac:dyDescent="0.35">
      <c r="A1195" s="2" t="s">
        <v>10</v>
      </c>
      <c r="B1195" s="2" t="s">
        <v>870</v>
      </c>
      <c r="C1195" s="2" t="s">
        <v>57</v>
      </c>
      <c r="D1195" s="2" t="s">
        <v>877</v>
      </c>
      <c r="E1195" s="2" t="s">
        <v>59</v>
      </c>
      <c r="F1195" s="2" t="s">
        <v>60</v>
      </c>
      <c r="G1195" s="2"/>
      <c r="H1195" s="2"/>
      <c r="I1195" s="2" t="s">
        <v>16</v>
      </c>
      <c r="J1195" s="2" t="s">
        <v>876</v>
      </c>
    </row>
    <row r="1196" spans="1:10" s="21" customFormat="1" x14ac:dyDescent="0.35">
      <c r="A1196" s="2" t="s">
        <v>10</v>
      </c>
      <c r="B1196" s="2" t="s">
        <v>870</v>
      </c>
      <c r="C1196" s="2" t="s">
        <v>57</v>
      </c>
      <c r="D1196" s="2" t="s">
        <v>877</v>
      </c>
      <c r="E1196" s="2" t="s">
        <v>121</v>
      </c>
      <c r="F1196" s="2" t="s">
        <v>122</v>
      </c>
      <c r="G1196" s="2"/>
      <c r="H1196" s="2"/>
      <c r="I1196" s="2" t="s">
        <v>16</v>
      </c>
      <c r="J1196" s="2" t="s">
        <v>876</v>
      </c>
    </row>
    <row r="1197" spans="1:10" x14ac:dyDescent="0.35">
      <c r="A1197" s="2" t="s">
        <v>10</v>
      </c>
      <c r="B1197" s="2" t="s">
        <v>870</v>
      </c>
      <c r="C1197" s="2" t="s">
        <v>57</v>
      </c>
      <c r="D1197" s="2" t="s">
        <v>877</v>
      </c>
      <c r="E1197" s="2" t="s">
        <v>393</v>
      </c>
      <c r="F1197" s="2" t="s">
        <v>36</v>
      </c>
      <c r="G1197" s="2"/>
      <c r="H1197" s="2"/>
      <c r="I1197" s="2" t="s">
        <v>16</v>
      </c>
      <c r="J1197" s="2" t="s">
        <v>876</v>
      </c>
    </row>
    <row r="1198" spans="1:10" x14ac:dyDescent="0.35">
      <c r="A1198" s="2" t="s">
        <v>10</v>
      </c>
      <c r="B1198" s="2" t="s">
        <v>870</v>
      </c>
      <c r="C1198" s="2" t="s">
        <v>57</v>
      </c>
      <c r="D1198" s="2" t="s">
        <v>877</v>
      </c>
      <c r="E1198" s="2" t="s">
        <v>91</v>
      </c>
      <c r="F1198" s="2" t="s">
        <v>19</v>
      </c>
      <c r="G1198" s="2" t="s">
        <v>16</v>
      </c>
      <c r="H1198" s="2" t="s">
        <v>878</v>
      </c>
      <c r="I1198" s="2" t="s">
        <v>16</v>
      </c>
      <c r="J1198" s="2" t="s">
        <v>876</v>
      </c>
    </row>
    <row r="1199" spans="1:10" x14ac:dyDescent="0.35">
      <c r="A1199" s="2" t="s">
        <v>10</v>
      </c>
      <c r="B1199" s="2" t="s">
        <v>870</v>
      </c>
      <c r="C1199" s="2" t="s">
        <v>57</v>
      </c>
      <c r="D1199" s="2" t="s">
        <v>877</v>
      </c>
      <c r="E1199" s="2" t="s">
        <v>158</v>
      </c>
      <c r="F1199" s="2" t="s">
        <v>40</v>
      </c>
      <c r="G1199" s="2"/>
      <c r="H1199" s="2"/>
      <c r="I1199" s="2" t="s">
        <v>16</v>
      </c>
      <c r="J1199" s="2" t="s">
        <v>876</v>
      </c>
    </row>
    <row r="1200" spans="1:10" x14ac:dyDescent="0.35">
      <c r="A1200" s="2" t="s">
        <v>10</v>
      </c>
      <c r="B1200" s="2" t="s">
        <v>870</v>
      </c>
      <c r="C1200" s="2" t="s">
        <v>57</v>
      </c>
      <c r="D1200" s="2" t="s">
        <v>877</v>
      </c>
      <c r="E1200" s="2" t="s">
        <v>149</v>
      </c>
      <c r="F1200" s="2" t="s">
        <v>150</v>
      </c>
      <c r="G1200" s="2" t="s">
        <v>16</v>
      </c>
      <c r="H1200" s="2" t="s">
        <v>702</v>
      </c>
      <c r="I1200" s="2" t="s">
        <v>16</v>
      </c>
      <c r="J1200" s="2" t="s">
        <v>876</v>
      </c>
    </row>
    <row r="1201" spans="1:10" x14ac:dyDescent="0.35">
      <c r="A1201" s="2" t="s">
        <v>10</v>
      </c>
      <c r="B1201" s="2" t="s">
        <v>870</v>
      </c>
      <c r="C1201" s="2" t="s">
        <v>24</v>
      </c>
      <c r="D1201" s="2" t="s">
        <v>879</v>
      </c>
      <c r="E1201" s="2" t="s">
        <v>14</v>
      </c>
      <c r="F1201" s="2" t="s">
        <v>15</v>
      </c>
      <c r="G1201" s="2"/>
      <c r="H1201" s="2"/>
      <c r="I1201" s="2" t="s">
        <v>16</v>
      </c>
      <c r="J1201" s="2" t="s">
        <v>872</v>
      </c>
    </row>
    <row r="1202" spans="1:10" x14ac:dyDescent="0.35">
      <c r="A1202" s="2" t="s">
        <v>10</v>
      </c>
      <c r="B1202" s="2" t="s">
        <v>870</v>
      </c>
      <c r="C1202" s="2" t="s">
        <v>24</v>
      </c>
      <c r="D1202" s="2" t="s">
        <v>879</v>
      </c>
      <c r="E1202" s="2" t="s">
        <v>172</v>
      </c>
      <c r="F1202" s="2" t="s">
        <v>65</v>
      </c>
      <c r="G1202" s="2"/>
      <c r="H1202" s="2"/>
      <c r="I1202" s="2" t="s">
        <v>16</v>
      </c>
      <c r="J1202" s="2" t="s">
        <v>872</v>
      </c>
    </row>
    <row r="1203" spans="1:10" x14ac:dyDescent="0.35">
      <c r="A1203" s="2" t="s">
        <v>10</v>
      </c>
      <c r="B1203" s="2" t="s">
        <v>870</v>
      </c>
      <c r="C1203" s="2" t="s">
        <v>24</v>
      </c>
      <c r="D1203" s="2" t="s">
        <v>879</v>
      </c>
      <c r="E1203" s="2" t="s">
        <v>33</v>
      </c>
      <c r="F1203" s="2" t="s">
        <v>34</v>
      </c>
      <c r="G1203" s="2"/>
      <c r="H1203" s="2"/>
      <c r="I1203" s="2" t="s">
        <v>16</v>
      </c>
      <c r="J1203" s="2" t="s">
        <v>872</v>
      </c>
    </row>
    <row r="1204" spans="1:10" x14ac:dyDescent="0.35">
      <c r="A1204" s="2" t="s">
        <v>10</v>
      </c>
      <c r="B1204" s="2" t="s">
        <v>870</v>
      </c>
      <c r="C1204" s="2" t="s">
        <v>24</v>
      </c>
      <c r="D1204" s="2" t="s">
        <v>879</v>
      </c>
      <c r="E1204" s="2" t="s">
        <v>91</v>
      </c>
      <c r="F1204" s="2" t="s">
        <v>19</v>
      </c>
      <c r="G1204" s="2" t="s">
        <v>20</v>
      </c>
      <c r="H1204" s="2" t="s">
        <v>880</v>
      </c>
      <c r="I1204" s="2" t="s">
        <v>16</v>
      </c>
      <c r="J1204" s="2" t="s">
        <v>872</v>
      </c>
    </row>
    <row r="1205" spans="1:10" x14ac:dyDescent="0.35">
      <c r="A1205" s="2" t="s">
        <v>10</v>
      </c>
      <c r="B1205" s="2" t="s">
        <v>870</v>
      </c>
      <c r="C1205" s="2" t="s">
        <v>24</v>
      </c>
      <c r="D1205" s="2" t="s">
        <v>879</v>
      </c>
      <c r="E1205" s="2" t="s">
        <v>89</v>
      </c>
      <c r="F1205" s="2" t="s">
        <v>45</v>
      </c>
      <c r="G1205" s="2" t="s">
        <v>16</v>
      </c>
      <c r="H1205" s="2" t="s">
        <v>881</v>
      </c>
      <c r="I1205" s="2" t="s">
        <v>16</v>
      </c>
      <c r="J1205" s="2" t="s">
        <v>872</v>
      </c>
    </row>
    <row r="1206" spans="1:10" x14ac:dyDescent="0.35">
      <c r="A1206" s="2" t="s">
        <v>10</v>
      </c>
      <c r="B1206" s="2" t="s">
        <v>870</v>
      </c>
      <c r="C1206" s="2" t="s">
        <v>24</v>
      </c>
      <c r="D1206" s="2" t="s">
        <v>879</v>
      </c>
      <c r="E1206" s="2" t="s">
        <v>188</v>
      </c>
      <c r="F1206" s="2" t="s">
        <v>189</v>
      </c>
      <c r="G1206" s="2" t="s">
        <v>16</v>
      </c>
      <c r="H1206" s="2" t="s">
        <v>881</v>
      </c>
      <c r="I1206" s="2" t="s">
        <v>16</v>
      </c>
      <c r="J1206" s="2" t="s">
        <v>872</v>
      </c>
    </row>
    <row r="1207" spans="1:10" x14ac:dyDescent="0.35">
      <c r="A1207" s="2" t="s">
        <v>10</v>
      </c>
      <c r="B1207" s="2" t="s">
        <v>870</v>
      </c>
      <c r="C1207" s="2" t="s">
        <v>54</v>
      </c>
      <c r="D1207" s="2" t="s">
        <v>882</v>
      </c>
      <c r="E1207" s="2" t="s">
        <v>82</v>
      </c>
      <c r="F1207" s="2" t="s">
        <v>83</v>
      </c>
      <c r="G1207" s="2"/>
      <c r="H1207" s="2"/>
      <c r="I1207" s="2" t="s">
        <v>16</v>
      </c>
      <c r="J1207" s="2" t="s">
        <v>872</v>
      </c>
    </row>
    <row r="1208" spans="1:10" x14ac:dyDescent="0.35">
      <c r="A1208" s="2" t="s">
        <v>10</v>
      </c>
      <c r="B1208" s="2" t="s">
        <v>870</v>
      </c>
      <c r="C1208" s="2" t="s">
        <v>54</v>
      </c>
      <c r="D1208" s="2" t="s">
        <v>882</v>
      </c>
      <c r="E1208" s="2" t="s">
        <v>121</v>
      </c>
      <c r="F1208" s="2" t="s">
        <v>122</v>
      </c>
      <c r="G1208" s="2" t="s">
        <v>16</v>
      </c>
      <c r="H1208" s="2" t="s">
        <v>883</v>
      </c>
      <c r="I1208" s="2" t="s">
        <v>16</v>
      </c>
      <c r="J1208" s="2" t="s">
        <v>872</v>
      </c>
    </row>
    <row r="1209" spans="1:10" x14ac:dyDescent="0.35">
      <c r="A1209" s="2" t="s">
        <v>10</v>
      </c>
      <c r="B1209" s="2" t="s">
        <v>870</v>
      </c>
      <c r="C1209" s="2" t="s">
        <v>54</v>
      </c>
      <c r="D1209" s="2" t="s">
        <v>882</v>
      </c>
      <c r="E1209" s="2" t="s">
        <v>91</v>
      </c>
      <c r="F1209" s="2" t="s">
        <v>19</v>
      </c>
      <c r="G1209" s="2" t="s">
        <v>16</v>
      </c>
      <c r="H1209" s="2" t="s">
        <v>733</v>
      </c>
      <c r="I1209" s="2" t="s">
        <v>16</v>
      </c>
      <c r="J1209" s="2" t="s">
        <v>872</v>
      </c>
    </row>
    <row r="1210" spans="1:10" x14ac:dyDescent="0.35">
      <c r="A1210" s="2" t="s">
        <v>10</v>
      </c>
      <c r="B1210" s="2" t="s">
        <v>870</v>
      </c>
      <c r="C1210" s="2" t="s">
        <v>54</v>
      </c>
      <c r="D1210" s="2" t="s">
        <v>884</v>
      </c>
      <c r="E1210" s="2" t="s">
        <v>393</v>
      </c>
      <c r="F1210" s="2" t="s">
        <v>36</v>
      </c>
      <c r="G1210" s="2" t="s">
        <v>20</v>
      </c>
      <c r="H1210" s="2" t="s">
        <v>885</v>
      </c>
      <c r="I1210" s="2" t="s">
        <v>16</v>
      </c>
      <c r="J1210" s="2" t="s">
        <v>872</v>
      </c>
    </row>
    <row r="1211" spans="1:10" x14ac:dyDescent="0.35">
      <c r="A1211" s="2" t="s">
        <v>10</v>
      </c>
      <c r="B1211" s="2" t="s">
        <v>870</v>
      </c>
      <c r="C1211" s="2" t="s">
        <v>54</v>
      </c>
      <c r="D1211" s="2" t="s">
        <v>884</v>
      </c>
      <c r="E1211" s="2" t="s">
        <v>213</v>
      </c>
      <c r="F1211" s="2" t="s">
        <v>45</v>
      </c>
      <c r="G1211" s="2" t="s">
        <v>20</v>
      </c>
      <c r="H1211" s="2" t="s">
        <v>885</v>
      </c>
      <c r="I1211" s="2" t="s">
        <v>16</v>
      </c>
      <c r="J1211" s="2" t="s">
        <v>872</v>
      </c>
    </row>
    <row r="1212" spans="1:10" x14ac:dyDescent="0.35">
      <c r="A1212" s="2" t="s">
        <v>10</v>
      </c>
      <c r="B1212" s="2" t="s">
        <v>870</v>
      </c>
      <c r="C1212" s="2" t="s">
        <v>54</v>
      </c>
      <c r="D1212" s="2" t="s">
        <v>884</v>
      </c>
      <c r="E1212" s="2" t="s">
        <v>91</v>
      </c>
      <c r="F1212" s="2" t="s">
        <v>19</v>
      </c>
      <c r="G1212" s="2" t="s">
        <v>20</v>
      </c>
      <c r="H1212" s="2" t="s">
        <v>885</v>
      </c>
      <c r="I1212" s="2" t="s">
        <v>16</v>
      </c>
      <c r="J1212" s="2" t="s">
        <v>872</v>
      </c>
    </row>
    <row r="1213" spans="1:10" x14ac:dyDescent="0.35">
      <c r="A1213" s="2" t="s">
        <v>10</v>
      </c>
      <c r="B1213" s="2" t="s">
        <v>870</v>
      </c>
      <c r="C1213" s="2" t="s">
        <v>54</v>
      </c>
      <c r="D1213" s="2" t="s">
        <v>884</v>
      </c>
      <c r="E1213" s="2" t="s">
        <v>124</v>
      </c>
      <c r="F1213" s="2" t="s">
        <v>125</v>
      </c>
      <c r="G1213" s="2" t="s">
        <v>20</v>
      </c>
      <c r="H1213" s="2" t="s">
        <v>885</v>
      </c>
      <c r="I1213" s="2" t="s">
        <v>16</v>
      </c>
      <c r="J1213" s="2" t="s">
        <v>872</v>
      </c>
    </row>
    <row r="1214" spans="1:10" s="21" customFormat="1" x14ac:dyDescent="0.35">
      <c r="A1214" s="2" t="s">
        <v>10</v>
      </c>
      <c r="B1214" s="2" t="s">
        <v>886</v>
      </c>
      <c r="C1214" s="2" t="s">
        <v>62</v>
      </c>
      <c r="D1214" s="2" t="s">
        <v>887</v>
      </c>
      <c r="E1214" s="2" t="s">
        <v>660</v>
      </c>
      <c r="F1214" s="2" t="s">
        <v>75</v>
      </c>
      <c r="G1214" s="2"/>
      <c r="H1214" s="2" t="s">
        <v>888</v>
      </c>
      <c r="I1214" s="2"/>
      <c r="J1214" s="2"/>
    </row>
    <row r="1215" spans="1:10" s="21" customFormat="1" x14ac:dyDescent="0.35">
      <c r="A1215" s="2" t="s">
        <v>10</v>
      </c>
      <c r="B1215" s="2" t="s">
        <v>886</v>
      </c>
      <c r="C1215" s="2" t="s">
        <v>62</v>
      </c>
      <c r="D1215" s="2" t="s">
        <v>887</v>
      </c>
      <c r="E1215" s="2" t="s">
        <v>18</v>
      </c>
      <c r="F1215" s="2" t="s">
        <v>19</v>
      </c>
      <c r="G1215" s="2" t="s">
        <v>20</v>
      </c>
      <c r="H1215" s="2" t="s">
        <v>889</v>
      </c>
      <c r="I1215" s="2"/>
      <c r="J1215" s="2"/>
    </row>
    <row r="1216" spans="1:10" s="21" customFormat="1" x14ac:dyDescent="0.35">
      <c r="A1216" s="2" t="s">
        <v>10</v>
      </c>
      <c r="B1216" s="2" t="s">
        <v>886</v>
      </c>
      <c r="C1216" s="2" t="s">
        <v>62</v>
      </c>
      <c r="D1216" s="2" t="s">
        <v>890</v>
      </c>
      <c r="E1216" s="2" t="s">
        <v>106</v>
      </c>
      <c r="F1216" s="2" t="s">
        <v>107</v>
      </c>
      <c r="G1216" s="2"/>
      <c r="H1216" s="2"/>
      <c r="I1216" s="2"/>
      <c r="J1216" s="2"/>
    </row>
    <row r="1217" spans="1:10" x14ac:dyDescent="0.35">
      <c r="A1217" s="2" t="s">
        <v>10</v>
      </c>
      <c r="B1217" s="2" t="s">
        <v>886</v>
      </c>
      <c r="C1217" s="2" t="s">
        <v>12</v>
      </c>
      <c r="D1217" s="2" t="s">
        <v>891</v>
      </c>
      <c r="E1217" s="2" t="s">
        <v>198</v>
      </c>
      <c r="F1217" s="2" t="s">
        <v>65</v>
      </c>
      <c r="G1217" s="2"/>
      <c r="H1217" s="2"/>
      <c r="I1217" s="2"/>
      <c r="J1217" s="2"/>
    </row>
    <row r="1218" spans="1:10" x14ac:dyDescent="0.35">
      <c r="A1218" s="2" t="s">
        <v>10</v>
      </c>
      <c r="B1218" s="2" t="s">
        <v>886</v>
      </c>
      <c r="C1218" s="2" t="s">
        <v>12</v>
      </c>
      <c r="D1218" s="2" t="s">
        <v>891</v>
      </c>
      <c r="E1218" s="2" t="s">
        <v>172</v>
      </c>
      <c r="F1218" s="2" t="s">
        <v>65</v>
      </c>
      <c r="G1218" s="2"/>
      <c r="H1218" s="2"/>
      <c r="I1218" s="2"/>
      <c r="J1218" s="2"/>
    </row>
    <row r="1219" spans="1:10" x14ac:dyDescent="0.35">
      <c r="A1219" s="2" t="s">
        <v>10</v>
      </c>
      <c r="B1219" s="2" t="s">
        <v>886</v>
      </c>
      <c r="C1219" s="2" t="s">
        <v>12</v>
      </c>
      <c r="D1219" s="2" t="s">
        <v>891</v>
      </c>
      <c r="E1219" s="2" t="s">
        <v>377</v>
      </c>
      <c r="F1219" s="2" t="s">
        <v>270</v>
      </c>
      <c r="G1219" s="2"/>
      <c r="H1219" s="2"/>
      <c r="I1219" s="2"/>
      <c r="J1219" s="2"/>
    </row>
    <row r="1220" spans="1:10" x14ac:dyDescent="0.35">
      <c r="A1220" s="2" t="s">
        <v>10</v>
      </c>
      <c r="B1220" s="2" t="s">
        <v>886</v>
      </c>
      <c r="C1220" s="2" t="s">
        <v>12</v>
      </c>
      <c r="D1220" s="2" t="s">
        <v>891</v>
      </c>
      <c r="E1220" s="2" t="s">
        <v>204</v>
      </c>
      <c r="F1220" s="2" t="s">
        <v>40</v>
      </c>
      <c r="G1220" s="2" t="s">
        <v>16</v>
      </c>
      <c r="H1220" s="2" t="s">
        <v>892</v>
      </c>
      <c r="I1220" s="2"/>
      <c r="J1220" s="2"/>
    </row>
    <row r="1221" spans="1:10" x14ac:dyDescent="0.35">
      <c r="A1221" s="2" t="s">
        <v>10</v>
      </c>
      <c r="B1221" s="2" t="s">
        <v>886</v>
      </c>
      <c r="C1221" s="2" t="s">
        <v>12</v>
      </c>
      <c r="D1221" s="2" t="s">
        <v>891</v>
      </c>
      <c r="E1221" s="2" t="s">
        <v>18</v>
      </c>
      <c r="F1221" s="2" t="s">
        <v>19</v>
      </c>
      <c r="G1221" s="2" t="s">
        <v>16</v>
      </c>
      <c r="H1221" s="2" t="s">
        <v>893</v>
      </c>
      <c r="I1221" s="2"/>
      <c r="J1221" s="2"/>
    </row>
    <row r="1222" spans="1:10" x14ac:dyDescent="0.35">
      <c r="A1222" s="2" t="s">
        <v>10</v>
      </c>
      <c r="B1222" s="2" t="s">
        <v>886</v>
      </c>
      <c r="C1222" s="2" t="s">
        <v>12</v>
      </c>
      <c r="D1222" s="2" t="s">
        <v>894</v>
      </c>
      <c r="E1222" s="2" t="s">
        <v>895</v>
      </c>
      <c r="F1222" s="2" t="s">
        <v>40</v>
      </c>
      <c r="G1222" s="2"/>
      <c r="H1222" s="2"/>
      <c r="I1222" s="2"/>
      <c r="J1222" s="2"/>
    </row>
    <row r="1223" spans="1:10" x14ac:dyDescent="0.35">
      <c r="A1223" s="2" t="s">
        <v>10</v>
      </c>
      <c r="B1223" s="2" t="s">
        <v>886</v>
      </c>
      <c r="C1223" s="2" t="s">
        <v>12</v>
      </c>
      <c r="D1223" s="2" t="s">
        <v>894</v>
      </c>
      <c r="E1223" s="2" t="s">
        <v>38</v>
      </c>
      <c r="F1223" s="2" t="s">
        <v>38</v>
      </c>
      <c r="G1223" s="2"/>
      <c r="H1223" s="2"/>
      <c r="I1223" s="2"/>
      <c r="J1223" s="2"/>
    </row>
    <row r="1224" spans="1:10" x14ac:dyDescent="0.35">
      <c r="A1224" s="2" t="s">
        <v>10</v>
      </c>
      <c r="B1224" s="2" t="s">
        <v>886</v>
      </c>
      <c r="C1224" s="2" t="s">
        <v>12</v>
      </c>
      <c r="D1224" s="2" t="s">
        <v>894</v>
      </c>
      <c r="E1224" s="2" t="s">
        <v>91</v>
      </c>
      <c r="F1224" s="2" t="s">
        <v>19</v>
      </c>
      <c r="G1224" s="2" t="s">
        <v>16</v>
      </c>
      <c r="H1224" s="2" t="s">
        <v>896</v>
      </c>
      <c r="I1224" s="2"/>
      <c r="J1224" s="2"/>
    </row>
    <row r="1225" spans="1:10" x14ac:dyDescent="0.35">
      <c r="A1225" s="2" t="s">
        <v>10</v>
      </c>
      <c r="B1225" s="2" t="s">
        <v>886</v>
      </c>
      <c r="C1225" s="2" t="s">
        <v>12</v>
      </c>
      <c r="D1225" s="2" t="s">
        <v>894</v>
      </c>
      <c r="E1225" s="2" t="s">
        <v>188</v>
      </c>
      <c r="F1225" s="2" t="s">
        <v>189</v>
      </c>
      <c r="G1225" s="2" t="s">
        <v>16</v>
      </c>
      <c r="H1225" s="2" t="s">
        <v>897</v>
      </c>
      <c r="I1225" s="2"/>
      <c r="J1225" s="2"/>
    </row>
    <row r="1226" spans="1:10" x14ac:dyDescent="0.35">
      <c r="A1226" s="2" t="s">
        <v>10</v>
      </c>
      <c r="B1226" s="2" t="s">
        <v>886</v>
      </c>
      <c r="C1226" s="2" t="s">
        <v>12</v>
      </c>
      <c r="D1226" s="2" t="s">
        <v>894</v>
      </c>
      <c r="E1226" s="2" t="s">
        <v>149</v>
      </c>
      <c r="F1226" s="2" t="s">
        <v>150</v>
      </c>
      <c r="G1226" s="2" t="s">
        <v>16</v>
      </c>
      <c r="H1226" s="2" t="s">
        <v>898</v>
      </c>
      <c r="I1226" s="2"/>
      <c r="J1226" s="2"/>
    </row>
    <row r="1227" spans="1:10" x14ac:dyDescent="0.35">
      <c r="A1227" s="2" t="s">
        <v>10</v>
      </c>
      <c r="B1227" s="2" t="s">
        <v>886</v>
      </c>
      <c r="C1227" s="2" t="s">
        <v>57</v>
      </c>
      <c r="D1227" s="2" t="s">
        <v>899</v>
      </c>
      <c r="E1227" s="2" t="s">
        <v>196</v>
      </c>
      <c r="F1227" s="2" t="s">
        <v>197</v>
      </c>
      <c r="G1227" s="2"/>
      <c r="H1227" s="2"/>
      <c r="I1227" s="2"/>
      <c r="J1227" s="2"/>
    </row>
    <row r="1228" spans="1:10" x14ac:dyDescent="0.35">
      <c r="A1228" s="2" t="s">
        <v>10</v>
      </c>
      <c r="B1228" s="2" t="s">
        <v>886</v>
      </c>
      <c r="C1228" s="2" t="s">
        <v>57</v>
      </c>
      <c r="D1228" s="2" t="s">
        <v>899</v>
      </c>
      <c r="E1228" s="2" t="s">
        <v>14</v>
      </c>
      <c r="F1228" s="2" t="s">
        <v>15</v>
      </c>
      <c r="G1228" s="2"/>
      <c r="H1228" s="2"/>
      <c r="I1228" s="2"/>
      <c r="J1228" s="2"/>
    </row>
    <row r="1229" spans="1:10" x14ac:dyDescent="0.35">
      <c r="A1229" s="2" t="s">
        <v>10</v>
      </c>
      <c r="B1229" s="2" t="s">
        <v>886</v>
      </c>
      <c r="C1229" s="2" t="s">
        <v>57</v>
      </c>
      <c r="D1229" s="2" t="s">
        <v>899</v>
      </c>
      <c r="E1229" s="2" t="s">
        <v>29</v>
      </c>
      <c r="F1229" s="2" t="s">
        <v>30</v>
      </c>
      <c r="G1229" s="2"/>
      <c r="H1229" s="2"/>
      <c r="I1229" s="2"/>
      <c r="J1229" s="2"/>
    </row>
    <row r="1230" spans="1:10" x14ac:dyDescent="0.35">
      <c r="A1230" s="2" t="s">
        <v>10</v>
      </c>
      <c r="B1230" s="2" t="s">
        <v>886</v>
      </c>
      <c r="C1230" s="2" t="s">
        <v>57</v>
      </c>
      <c r="D1230" s="2" t="s">
        <v>899</v>
      </c>
      <c r="E1230" s="2" t="s">
        <v>31</v>
      </c>
      <c r="F1230" s="2" t="s">
        <v>32</v>
      </c>
      <c r="G1230" s="2"/>
      <c r="H1230" s="2"/>
      <c r="I1230" s="2"/>
      <c r="J1230" s="2"/>
    </row>
    <row r="1231" spans="1:10" x14ac:dyDescent="0.35">
      <c r="A1231" s="2" t="s">
        <v>10</v>
      </c>
      <c r="B1231" s="2" t="s">
        <v>886</v>
      </c>
      <c r="C1231" s="2" t="s">
        <v>57</v>
      </c>
      <c r="D1231" s="2" t="s">
        <v>899</v>
      </c>
      <c r="E1231" s="2" t="s">
        <v>200</v>
      </c>
      <c r="F1231" s="2" t="s">
        <v>201</v>
      </c>
      <c r="G1231" s="2"/>
      <c r="H1231" s="2"/>
      <c r="I1231" s="2"/>
      <c r="J1231" s="2"/>
    </row>
    <row r="1232" spans="1:10" x14ac:dyDescent="0.35">
      <c r="A1232" s="2" t="s">
        <v>10</v>
      </c>
      <c r="B1232" s="2" t="s">
        <v>886</v>
      </c>
      <c r="C1232" s="2" t="s">
        <v>57</v>
      </c>
      <c r="D1232" s="2" t="s">
        <v>899</v>
      </c>
      <c r="E1232" s="2" t="s">
        <v>211</v>
      </c>
      <c r="F1232" s="2" t="s">
        <v>203</v>
      </c>
      <c r="G1232" s="2"/>
      <c r="H1232" s="2"/>
      <c r="I1232" s="2"/>
      <c r="J1232" s="2"/>
    </row>
    <row r="1233" spans="1:10" x14ac:dyDescent="0.35">
      <c r="A1233" s="2" t="s">
        <v>10</v>
      </c>
      <c r="B1233" s="2" t="s">
        <v>886</v>
      </c>
      <c r="C1233" s="2" t="s">
        <v>57</v>
      </c>
      <c r="D1233" s="2" t="s">
        <v>899</v>
      </c>
      <c r="E1233" s="2" t="s">
        <v>59</v>
      </c>
      <c r="F1233" s="2" t="s">
        <v>60</v>
      </c>
      <c r="G1233" s="2"/>
      <c r="H1233" s="2"/>
      <c r="I1233" s="2"/>
      <c r="J1233" s="2"/>
    </row>
    <row r="1234" spans="1:10" x14ac:dyDescent="0.35">
      <c r="A1234" s="2" t="s">
        <v>10</v>
      </c>
      <c r="B1234" s="2" t="s">
        <v>886</v>
      </c>
      <c r="C1234" s="2" t="s">
        <v>57</v>
      </c>
      <c r="D1234" s="2" t="s">
        <v>899</v>
      </c>
      <c r="E1234" s="2" t="s">
        <v>213</v>
      </c>
      <c r="F1234" s="2" t="s">
        <v>45</v>
      </c>
      <c r="G1234" s="2"/>
      <c r="H1234" s="2"/>
      <c r="I1234" s="2"/>
      <c r="J1234" s="2"/>
    </row>
    <row r="1235" spans="1:10" x14ac:dyDescent="0.35">
      <c r="A1235" s="2" t="s">
        <v>10</v>
      </c>
      <c r="B1235" s="2" t="s">
        <v>886</v>
      </c>
      <c r="C1235" s="2" t="s">
        <v>57</v>
      </c>
      <c r="D1235" s="2" t="s">
        <v>899</v>
      </c>
      <c r="E1235" s="2" t="s">
        <v>91</v>
      </c>
      <c r="F1235" s="2" t="s">
        <v>19</v>
      </c>
      <c r="G1235" s="2" t="s">
        <v>16</v>
      </c>
      <c r="H1235" s="2" t="s">
        <v>900</v>
      </c>
      <c r="I1235" s="2"/>
      <c r="J1235" s="2"/>
    </row>
    <row r="1236" spans="1:10" s="21" customFormat="1" x14ac:dyDescent="0.35">
      <c r="A1236" s="2" t="s">
        <v>10</v>
      </c>
      <c r="B1236" s="2" t="s">
        <v>886</v>
      </c>
      <c r="C1236" s="2" t="s">
        <v>57</v>
      </c>
      <c r="D1236" s="2" t="s">
        <v>899</v>
      </c>
      <c r="E1236" s="2" t="s">
        <v>87</v>
      </c>
      <c r="F1236" s="2" t="s">
        <v>75</v>
      </c>
      <c r="G1236" s="2" t="s">
        <v>20</v>
      </c>
      <c r="H1236" s="2" t="s">
        <v>901</v>
      </c>
      <c r="I1236" s="2"/>
      <c r="J1236" s="2"/>
    </row>
    <row r="1237" spans="1:10" x14ac:dyDescent="0.35">
      <c r="A1237" s="2" t="s">
        <v>10</v>
      </c>
      <c r="B1237" s="2" t="s">
        <v>886</v>
      </c>
      <c r="C1237" s="2" t="s">
        <v>57</v>
      </c>
      <c r="D1237" s="2" t="s">
        <v>899</v>
      </c>
      <c r="E1237" s="2" t="s">
        <v>204</v>
      </c>
      <c r="F1237" s="2" t="s">
        <v>40</v>
      </c>
      <c r="G1237" s="2" t="s">
        <v>16</v>
      </c>
      <c r="H1237" s="2" t="s">
        <v>216</v>
      </c>
      <c r="I1237" s="2"/>
      <c r="J1237" s="2"/>
    </row>
    <row r="1238" spans="1:10" x14ac:dyDescent="0.35">
      <c r="A1238" s="2" t="s">
        <v>10</v>
      </c>
      <c r="B1238" s="2" t="s">
        <v>886</v>
      </c>
      <c r="C1238" s="2" t="s">
        <v>57</v>
      </c>
      <c r="D1238" s="2" t="s">
        <v>899</v>
      </c>
      <c r="E1238" s="2" t="s">
        <v>417</v>
      </c>
      <c r="F1238" s="2" t="s">
        <v>40</v>
      </c>
      <c r="G1238" s="2"/>
      <c r="H1238" s="2"/>
      <c r="I1238" s="2"/>
      <c r="J1238" s="2"/>
    </row>
    <row r="1239" spans="1:10" x14ac:dyDescent="0.35">
      <c r="A1239" s="2" t="s">
        <v>10</v>
      </c>
      <c r="B1239" s="2" t="s">
        <v>886</v>
      </c>
      <c r="C1239" s="2" t="s">
        <v>57</v>
      </c>
      <c r="D1239" s="2" t="s">
        <v>899</v>
      </c>
      <c r="E1239" s="2" t="s">
        <v>628</v>
      </c>
      <c r="F1239" s="2" t="s">
        <v>50</v>
      </c>
      <c r="G1239" s="2"/>
      <c r="H1239" s="2"/>
      <c r="I1239" s="2"/>
      <c r="J1239" s="2"/>
    </row>
    <row r="1240" spans="1:10" x14ac:dyDescent="0.35">
      <c r="A1240" s="2" t="s">
        <v>10</v>
      </c>
      <c r="B1240" s="2" t="s">
        <v>886</v>
      </c>
      <c r="C1240" s="2" t="s">
        <v>57</v>
      </c>
      <c r="D1240" s="2" t="s">
        <v>899</v>
      </c>
      <c r="E1240" s="2" t="s">
        <v>100</v>
      </c>
      <c r="F1240" s="2" t="s">
        <v>101</v>
      </c>
      <c r="G1240" s="2"/>
      <c r="H1240" s="2"/>
      <c r="I1240" s="2"/>
      <c r="J1240" s="2"/>
    </row>
    <row r="1241" spans="1:10" x14ac:dyDescent="0.35">
      <c r="A1241" s="2" t="s">
        <v>10</v>
      </c>
      <c r="B1241" s="2" t="s">
        <v>886</v>
      </c>
      <c r="C1241" s="2" t="s">
        <v>57</v>
      </c>
      <c r="D1241" s="2" t="s">
        <v>899</v>
      </c>
      <c r="E1241" s="2" t="s">
        <v>188</v>
      </c>
      <c r="F1241" s="2" t="s">
        <v>189</v>
      </c>
      <c r="G1241" s="2" t="s">
        <v>16</v>
      </c>
      <c r="H1241" s="2" t="s">
        <v>902</v>
      </c>
      <c r="I1241" s="2"/>
      <c r="J1241" s="2"/>
    </row>
    <row r="1242" spans="1:10" x14ac:dyDescent="0.35">
      <c r="A1242" s="2" t="s">
        <v>10</v>
      </c>
      <c r="B1242" s="2" t="s">
        <v>886</v>
      </c>
      <c r="C1242" s="2" t="s">
        <v>57</v>
      </c>
      <c r="D1242" s="2" t="s">
        <v>899</v>
      </c>
      <c r="E1242" s="2" t="s">
        <v>42</v>
      </c>
      <c r="F1242" s="2" t="s">
        <v>43</v>
      </c>
      <c r="G1242" s="2"/>
      <c r="H1242" s="2"/>
      <c r="I1242" s="2"/>
      <c r="J1242" s="2"/>
    </row>
    <row r="1243" spans="1:10" x14ac:dyDescent="0.35">
      <c r="A1243" s="2" t="s">
        <v>10</v>
      </c>
      <c r="B1243" s="2" t="s">
        <v>886</v>
      </c>
      <c r="C1243" s="2" t="s">
        <v>57</v>
      </c>
      <c r="D1243" s="2" t="s">
        <v>899</v>
      </c>
      <c r="E1243" s="2" t="s">
        <v>149</v>
      </c>
      <c r="F1243" s="2" t="s">
        <v>150</v>
      </c>
      <c r="G1243" s="2" t="s">
        <v>16</v>
      </c>
      <c r="H1243" s="2" t="s">
        <v>702</v>
      </c>
      <c r="I1243" s="2"/>
      <c r="J1243" s="2"/>
    </row>
    <row r="1244" spans="1:10" x14ac:dyDescent="0.35">
      <c r="A1244" s="2" t="s">
        <v>10</v>
      </c>
      <c r="B1244" s="2" t="s">
        <v>886</v>
      </c>
      <c r="C1244" s="2" t="s">
        <v>12</v>
      </c>
      <c r="D1244" s="2" t="s">
        <v>903</v>
      </c>
      <c r="E1244" s="2" t="s">
        <v>485</v>
      </c>
      <c r="F1244" s="2" t="s">
        <v>15</v>
      </c>
      <c r="G1244" s="2"/>
      <c r="H1244" s="2"/>
      <c r="I1244" s="2"/>
      <c r="J1244" s="2"/>
    </row>
    <row r="1245" spans="1:10" x14ac:dyDescent="0.35">
      <c r="A1245" s="2" t="s">
        <v>10</v>
      </c>
      <c r="B1245" s="2" t="s">
        <v>886</v>
      </c>
      <c r="C1245" s="2" t="s">
        <v>12</v>
      </c>
      <c r="D1245" s="2" t="s">
        <v>903</v>
      </c>
      <c r="E1245" s="2" t="s">
        <v>18</v>
      </c>
      <c r="F1245" s="2" t="s">
        <v>19</v>
      </c>
      <c r="G1245" s="2" t="s">
        <v>16</v>
      </c>
      <c r="H1245" s="2" t="s">
        <v>904</v>
      </c>
      <c r="I1245" s="2"/>
      <c r="J1245" s="2"/>
    </row>
    <row r="1246" spans="1:10" x14ac:dyDescent="0.35">
      <c r="A1246" s="2" t="s">
        <v>10</v>
      </c>
      <c r="B1246" s="2" t="s">
        <v>886</v>
      </c>
      <c r="C1246" s="2" t="s">
        <v>12</v>
      </c>
      <c r="D1246" s="2" t="s">
        <v>903</v>
      </c>
      <c r="E1246" s="2" t="s">
        <v>188</v>
      </c>
      <c r="F1246" s="2" t="s">
        <v>189</v>
      </c>
      <c r="G1246" s="2"/>
      <c r="H1246" s="2"/>
      <c r="I1246" s="2"/>
      <c r="J1246" s="2"/>
    </row>
    <row r="1247" spans="1:10" x14ac:dyDescent="0.35">
      <c r="A1247" s="2" t="s">
        <v>10</v>
      </c>
      <c r="B1247" s="2" t="s">
        <v>886</v>
      </c>
      <c r="C1247" s="2" t="s">
        <v>12</v>
      </c>
      <c r="D1247" s="2" t="s">
        <v>905</v>
      </c>
      <c r="E1247" s="2" t="s">
        <v>196</v>
      </c>
      <c r="F1247" s="2" t="s">
        <v>197</v>
      </c>
      <c r="G1247" s="2"/>
      <c r="H1247" s="2"/>
      <c r="I1247" s="2"/>
      <c r="J1247" s="2"/>
    </row>
    <row r="1248" spans="1:10" x14ac:dyDescent="0.35">
      <c r="A1248" s="2" t="s">
        <v>10</v>
      </c>
      <c r="B1248" s="2" t="s">
        <v>886</v>
      </c>
      <c r="C1248" s="2" t="s">
        <v>12</v>
      </c>
      <c r="D1248" s="2" t="s">
        <v>905</v>
      </c>
      <c r="E1248" s="2" t="s">
        <v>31</v>
      </c>
      <c r="F1248" s="2" t="s">
        <v>32</v>
      </c>
      <c r="G1248" s="2"/>
      <c r="H1248" s="2"/>
      <c r="I1248" s="2"/>
      <c r="J1248" s="2"/>
    </row>
    <row r="1249" spans="1:10" x14ac:dyDescent="0.35">
      <c r="A1249" s="2" t="s">
        <v>10</v>
      </c>
      <c r="B1249" s="2" t="s">
        <v>886</v>
      </c>
      <c r="C1249" s="2" t="s">
        <v>12</v>
      </c>
      <c r="D1249" s="2" t="s">
        <v>905</v>
      </c>
      <c r="E1249" s="2" t="s">
        <v>85</v>
      </c>
      <c r="F1249" s="2" t="s">
        <v>85</v>
      </c>
      <c r="G1249" s="2"/>
      <c r="H1249" s="2"/>
      <c r="I1249" s="2"/>
      <c r="J1249" s="2"/>
    </row>
    <row r="1250" spans="1:10" x14ac:dyDescent="0.35">
      <c r="A1250" s="2" t="s">
        <v>10</v>
      </c>
      <c r="B1250" s="2" t="s">
        <v>886</v>
      </c>
      <c r="C1250" s="2" t="s">
        <v>12</v>
      </c>
      <c r="D1250" s="2" t="s">
        <v>905</v>
      </c>
      <c r="E1250" s="2" t="s">
        <v>513</v>
      </c>
      <c r="F1250" s="2" t="s">
        <v>203</v>
      </c>
      <c r="G1250" s="2"/>
      <c r="H1250" s="2"/>
      <c r="I1250" s="2"/>
      <c r="J1250" s="2"/>
    </row>
    <row r="1251" spans="1:10" s="21" customFormat="1" x14ac:dyDescent="0.35">
      <c r="A1251" s="2" t="s">
        <v>10</v>
      </c>
      <c r="B1251" s="2" t="s">
        <v>886</v>
      </c>
      <c r="C1251" s="2" t="s">
        <v>62</v>
      </c>
      <c r="D1251" s="2" t="s">
        <v>906</v>
      </c>
      <c r="E1251" s="2" t="s">
        <v>106</v>
      </c>
      <c r="F1251" s="2" t="s">
        <v>107</v>
      </c>
      <c r="G1251" s="2"/>
      <c r="H1251" s="2"/>
      <c r="I1251" s="2"/>
      <c r="J1251" s="2"/>
    </row>
    <row r="1252" spans="1:10" s="21" customFormat="1" x14ac:dyDescent="0.35">
      <c r="A1252" s="2" t="s">
        <v>10</v>
      </c>
      <c r="B1252" s="2" t="s">
        <v>886</v>
      </c>
      <c r="C1252" s="2" t="s">
        <v>62</v>
      </c>
      <c r="D1252" s="2" t="s">
        <v>907</v>
      </c>
      <c r="E1252" s="2" t="s">
        <v>106</v>
      </c>
      <c r="F1252" s="2" t="s">
        <v>107</v>
      </c>
      <c r="G1252" s="2"/>
      <c r="H1252" s="2"/>
      <c r="I1252" s="2"/>
      <c r="J1252" s="2"/>
    </row>
    <row r="1253" spans="1:10" s="21" customFormat="1" x14ac:dyDescent="0.35">
      <c r="A1253" s="2" t="s">
        <v>10</v>
      </c>
      <c r="B1253" s="2" t="s">
        <v>886</v>
      </c>
      <c r="C1253" s="2" t="s">
        <v>62</v>
      </c>
      <c r="D1253" s="2" t="s">
        <v>908</v>
      </c>
      <c r="E1253" s="2" t="s">
        <v>106</v>
      </c>
      <c r="F1253" s="2" t="s">
        <v>107</v>
      </c>
      <c r="G1253" s="2"/>
      <c r="H1253" s="2"/>
      <c r="I1253" s="2"/>
      <c r="J1253" s="2"/>
    </row>
    <row r="1254" spans="1:10" x14ac:dyDescent="0.35">
      <c r="A1254" s="2" t="s">
        <v>10</v>
      </c>
      <c r="B1254" s="2" t="s">
        <v>886</v>
      </c>
      <c r="C1254" s="2" t="s">
        <v>12</v>
      </c>
      <c r="D1254" s="2" t="s">
        <v>909</v>
      </c>
      <c r="E1254" s="2" t="s">
        <v>172</v>
      </c>
      <c r="F1254" s="2" t="s">
        <v>65</v>
      </c>
      <c r="G1254" s="2" t="s">
        <v>46</v>
      </c>
      <c r="H1254" s="2" t="s">
        <v>910</v>
      </c>
      <c r="I1254" s="2"/>
      <c r="J1254" s="2"/>
    </row>
    <row r="1255" spans="1:10" x14ac:dyDescent="0.35">
      <c r="A1255" s="2" t="s">
        <v>10</v>
      </c>
      <c r="B1255" s="2" t="s">
        <v>886</v>
      </c>
      <c r="C1255" s="2" t="s">
        <v>12</v>
      </c>
      <c r="D1255" s="2" t="s">
        <v>909</v>
      </c>
      <c r="E1255" s="2" t="s">
        <v>91</v>
      </c>
      <c r="F1255" s="2" t="s">
        <v>19</v>
      </c>
      <c r="G1255" s="2" t="s">
        <v>46</v>
      </c>
      <c r="H1255" s="2" t="s">
        <v>910</v>
      </c>
      <c r="I1255" s="2"/>
      <c r="J1255" s="2"/>
    </row>
    <row r="1256" spans="1:10" x14ac:dyDescent="0.35">
      <c r="A1256" s="2" t="s">
        <v>10</v>
      </c>
      <c r="B1256" s="2" t="s">
        <v>886</v>
      </c>
      <c r="C1256" s="2" t="s">
        <v>12</v>
      </c>
      <c r="D1256" s="2" t="s">
        <v>909</v>
      </c>
      <c r="E1256" s="2" t="s">
        <v>911</v>
      </c>
      <c r="F1256" s="2" t="s">
        <v>40</v>
      </c>
      <c r="G1256" s="2" t="s">
        <v>46</v>
      </c>
      <c r="H1256" s="2" t="s">
        <v>910</v>
      </c>
      <c r="I1256" s="2"/>
      <c r="J1256" s="2"/>
    </row>
    <row r="1257" spans="1:10" x14ac:dyDescent="0.35">
      <c r="A1257" s="2" t="s">
        <v>10</v>
      </c>
      <c r="B1257" s="2" t="s">
        <v>886</v>
      </c>
      <c r="C1257" s="2" t="s">
        <v>12</v>
      </c>
      <c r="D1257" s="2" t="s">
        <v>912</v>
      </c>
      <c r="E1257" s="2" t="s">
        <v>18</v>
      </c>
      <c r="F1257" s="2" t="s">
        <v>19</v>
      </c>
      <c r="G1257" s="2" t="s">
        <v>16</v>
      </c>
      <c r="H1257" s="2" t="s">
        <v>913</v>
      </c>
      <c r="I1257" s="2"/>
      <c r="J1257" s="2"/>
    </row>
    <row r="1258" spans="1:10" s="21" customFormat="1" x14ac:dyDescent="0.35">
      <c r="A1258" s="2" t="s">
        <v>10</v>
      </c>
      <c r="B1258" s="2" t="s">
        <v>886</v>
      </c>
      <c r="C1258" s="2" t="s">
        <v>62</v>
      </c>
      <c r="D1258" s="2" t="s">
        <v>914</v>
      </c>
      <c r="E1258" s="2" t="s">
        <v>106</v>
      </c>
      <c r="F1258" s="2" t="s">
        <v>107</v>
      </c>
      <c r="G1258" s="2"/>
      <c r="H1258" s="2"/>
      <c r="I1258" s="2"/>
      <c r="J1258" s="2"/>
    </row>
    <row r="1259" spans="1:10" x14ac:dyDescent="0.35">
      <c r="A1259" s="2" t="s">
        <v>10</v>
      </c>
      <c r="B1259" s="2" t="s">
        <v>886</v>
      </c>
      <c r="C1259" s="2" t="s">
        <v>12</v>
      </c>
      <c r="D1259" s="2" t="s">
        <v>915</v>
      </c>
      <c r="E1259" s="2" t="s">
        <v>172</v>
      </c>
      <c r="F1259" s="2" t="s">
        <v>65</v>
      </c>
      <c r="G1259" s="2"/>
      <c r="H1259" s="2"/>
      <c r="I1259" s="2"/>
      <c r="J1259" s="2"/>
    </row>
    <row r="1260" spans="1:10" x14ac:dyDescent="0.35">
      <c r="A1260" s="2" t="s">
        <v>10</v>
      </c>
      <c r="B1260" s="2" t="s">
        <v>886</v>
      </c>
      <c r="C1260" s="2" t="s">
        <v>12</v>
      </c>
      <c r="D1260" s="2" t="s">
        <v>915</v>
      </c>
      <c r="E1260" s="2" t="s">
        <v>18</v>
      </c>
      <c r="F1260" s="2" t="s">
        <v>19</v>
      </c>
      <c r="G1260" s="2" t="s">
        <v>16</v>
      </c>
      <c r="H1260" s="2" t="s">
        <v>916</v>
      </c>
      <c r="I1260" s="2"/>
      <c r="J1260" s="2"/>
    </row>
    <row r="1261" spans="1:10" x14ac:dyDescent="0.35">
      <c r="A1261" s="2" t="s">
        <v>10</v>
      </c>
      <c r="B1261" s="2" t="s">
        <v>886</v>
      </c>
      <c r="C1261" s="2" t="s">
        <v>12</v>
      </c>
      <c r="D1261" s="2" t="s">
        <v>915</v>
      </c>
      <c r="E1261" s="2" t="s">
        <v>149</v>
      </c>
      <c r="F1261" s="2" t="s">
        <v>150</v>
      </c>
      <c r="G1261" s="2" t="s">
        <v>16</v>
      </c>
      <c r="H1261" s="2" t="s">
        <v>702</v>
      </c>
      <c r="I1261" s="2"/>
      <c r="J1261" s="2"/>
    </row>
    <row r="1262" spans="1:10" s="19" customFormat="1" x14ac:dyDescent="0.35">
      <c r="A1262" s="2" t="s">
        <v>10</v>
      </c>
      <c r="B1262" s="2" t="s">
        <v>886</v>
      </c>
      <c r="C1262" s="2" t="s">
        <v>62</v>
      </c>
      <c r="D1262" s="2" t="s">
        <v>917</v>
      </c>
      <c r="E1262" s="2" t="s">
        <v>121</v>
      </c>
      <c r="F1262" s="2" t="s">
        <v>122</v>
      </c>
      <c r="G1262" s="2"/>
      <c r="H1262" s="2"/>
      <c r="I1262" s="2"/>
      <c r="J1262" s="2"/>
    </row>
    <row r="1263" spans="1:10" s="19" customFormat="1" x14ac:dyDescent="0.35">
      <c r="A1263" s="2" t="s">
        <v>10</v>
      </c>
      <c r="B1263" s="2" t="s">
        <v>886</v>
      </c>
      <c r="C1263" s="2" t="s">
        <v>62</v>
      </c>
      <c r="D1263" s="2" t="s">
        <v>917</v>
      </c>
      <c r="E1263" s="2" t="s">
        <v>87</v>
      </c>
      <c r="F1263" s="2" t="s">
        <v>75</v>
      </c>
      <c r="G1263" s="2" t="s">
        <v>20</v>
      </c>
      <c r="H1263" s="2" t="s">
        <v>918</v>
      </c>
      <c r="I1263" s="2"/>
      <c r="J1263" s="2"/>
    </row>
    <row r="1264" spans="1:10" x14ac:dyDescent="0.35">
      <c r="A1264" s="2" t="s">
        <v>10</v>
      </c>
      <c r="B1264" s="2" t="s">
        <v>886</v>
      </c>
      <c r="C1264" s="2" t="s">
        <v>12</v>
      </c>
      <c r="D1264" s="2" t="s">
        <v>919</v>
      </c>
      <c r="E1264" s="2" t="s">
        <v>18</v>
      </c>
      <c r="F1264" s="2" t="s">
        <v>19</v>
      </c>
      <c r="G1264" s="2" t="s">
        <v>16</v>
      </c>
      <c r="H1264" s="2" t="s">
        <v>920</v>
      </c>
      <c r="I1264" s="2"/>
      <c r="J1264" s="2"/>
    </row>
    <row r="1265" spans="1:10" x14ac:dyDescent="0.35">
      <c r="A1265" s="2" t="s">
        <v>10</v>
      </c>
      <c r="B1265" s="2" t="s">
        <v>886</v>
      </c>
      <c r="C1265" s="2" t="s">
        <v>12</v>
      </c>
      <c r="D1265" s="2" t="s">
        <v>921</v>
      </c>
      <c r="E1265" s="2" t="s">
        <v>172</v>
      </c>
      <c r="F1265" s="2" t="s">
        <v>65</v>
      </c>
      <c r="G1265" s="2"/>
      <c r="H1265" s="2"/>
      <c r="I1265" s="2"/>
      <c r="J1265" s="2"/>
    </row>
    <row r="1266" spans="1:10" x14ac:dyDescent="0.35">
      <c r="A1266" s="2" t="s">
        <v>10</v>
      </c>
      <c r="B1266" s="2" t="s">
        <v>886</v>
      </c>
      <c r="C1266" s="2" t="s">
        <v>12</v>
      </c>
      <c r="D1266" s="2" t="s">
        <v>921</v>
      </c>
      <c r="E1266" s="2" t="s">
        <v>91</v>
      </c>
      <c r="F1266" s="2" t="s">
        <v>19</v>
      </c>
      <c r="G1266" s="2" t="s">
        <v>16</v>
      </c>
      <c r="H1266" s="2" t="s">
        <v>922</v>
      </c>
      <c r="I1266" s="2"/>
      <c r="J1266" s="2"/>
    </row>
    <row r="1267" spans="1:10" x14ac:dyDescent="0.35">
      <c r="A1267" s="2" t="s">
        <v>10</v>
      </c>
      <c r="B1267" s="2" t="s">
        <v>886</v>
      </c>
      <c r="C1267" s="2" t="s">
        <v>62</v>
      </c>
      <c r="D1267" s="2" t="s">
        <v>923</v>
      </c>
      <c r="E1267" s="2" t="s">
        <v>924</v>
      </c>
      <c r="F1267" s="2" t="s">
        <v>75</v>
      </c>
      <c r="G1267" s="2"/>
      <c r="H1267" s="2" t="s">
        <v>47</v>
      </c>
      <c r="I1267" s="2"/>
      <c r="J1267" s="2"/>
    </row>
    <row r="1268" spans="1:10" s="21" customFormat="1" x14ac:dyDescent="0.35">
      <c r="A1268" s="2" t="s">
        <v>10</v>
      </c>
      <c r="B1268" s="2" t="s">
        <v>886</v>
      </c>
      <c r="C1268" s="2" t="s">
        <v>62</v>
      </c>
      <c r="D1268" s="2" t="s">
        <v>925</v>
      </c>
      <c r="E1268" s="2" t="s">
        <v>317</v>
      </c>
      <c r="F1268" s="2" t="s">
        <v>318</v>
      </c>
      <c r="G1268" s="2"/>
      <c r="H1268" s="2"/>
      <c r="I1268" s="2"/>
      <c r="J1268" s="2"/>
    </row>
    <row r="1269" spans="1:10" x14ac:dyDescent="0.35">
      <c r="A1269" s="2" t="s">
        <v>10</v>
      </c>
      <c r="B1269" s="2" t="s">
        <v>886</v>
      </c>
      <c r="C1269" s="2" t="s">
        <v>62</v>
      </c>
      <c r="D1269" s="2" t="s">
        <v>925</v>
      </c>
      <c r="E1269" s="2" t="s">
        <v>38</v>
      </c>
      <c r="F1269" s="2" t="s">
        <v>38</v>
      </c>
      <c r="G1269" s="2"/>
      <c r="H1269" s="2"/>
      <c r="I1269" s="2"/>
      <c r="J1269" s="2"/>
    </row>
    <row r="1270" spans="1:10" x14ac:dyDescent="0.35">
      <c r="A1270" s="2" t="s">
        <v>10</v>
      </c>
      <c r="B1270" s="2" t="s">
        <v>886</v>
      </c>
      <c r="C1270" s="2" t="s">
        <v>62</v>
      </c>
      <c r="D1270" s="2" t="s">
        <v>925</v>
      </c>
      <c r="E1270" s="2" t="s">
        <v>87</v>
      </c>
      <c r="F1270" s="2" t="s">
        <v>75</v>
      </c>
      <c r="G1270" s="2" t="s">
        <v>16</v>
      </c>
      <c r="H1270" s="2" t="s">
        <v>926</v>
      </c>
      <c r="I1270" s="2"/>
      <c r="J1270" s="2"/>
    </row>
    <row r="1271" spans="1:10" x14ac:dyDescent="0.35">
      <c r="A1271" s="2" t="s">
        <v>10</v>
      </c>
      <c r="B1271" s="2" t="s">
        <v>886</v>
      </c>
      <c r="C1271" s="2" t="s">
        <v>62</v>
      </c>
      <c r="D1271" s="2" t="s">
        <v>925</v>
      </c>
      <c r="E1271" s="2" t="s">
        <v>127</v>
      </c>
      <c r="F1271" s="2" t="s">
        <v>107</v>
      </c>
      <c r="G1271" s="2"/>
      <c r="H1271" s="2"/>
      <c r="I1271" s="2"/>
      <c r="J1271" s="2"/>
    </row>
    <row r="1272" spans="1:10" x14ac:dyDescent="0.35">
      <c r="A1272" s="2" t="s">
        <v>10</v>
      </c>
      <c r="B1272" s="2" t="s">
        <v>886</v>
      </c>
      <c r="C1272" s="2" t="s">
        <v>54</v>
      </c>
      <c r="D1272" s="2" t="s">
        <v>927</v>
      </c>
      <c r="E1272" s="2" t="s">
        <v>14</v>
      </c>
      <c r="F1272" s="2" t="s">
        <v>15</v>
      </c>
      <c r="G1272" s="2"/>
      <c r="H1272" s="2"/>
      <c r="I1272" s="2"/>
      <c r="J1272" s="2"/>
    </row>
    <row r="1273" spans="1:10" x14ac:dyDescent="0.35">
      <c r="A1273" s="2" t="s">
        <v>10</v>
      </c>
      <c r="B1273" s="2" t="s">
        <v>886</v>
      </c>
      <c r="C1273" s="2" t="s">
        <v>54</v>
      </c>
      <c r="D1273" s="2" t="s">
        <v>927</v>
      </c>
      <c r="E1273" s="2" t="s">
        <v>31</v>
      </c>
      <c r="F1273" s="2" t="s">
        <v>32</v>
      </c>
      <c r="G1273" s="2" t="s">
        <v>16</v>
      </c>
      <c r="H1273" s="2" t="s">
        <v>524</v>
      </c>
      <c r="I1273" s="2"/>
      <c r="J1273" s="2"/>
    </row>
    <row r="1274" spans="1:10" x14ac:dyDescent="0.35">
      <c r="A1274" s="2" t="s">
        <v>10</v>
      </c>
      <c r="B1274" s="2" t="s">
        <v>886</v>
      </c>
      <c r="C1274" s="2" t="s">
        <v>54</v>
      </c>
      <c r="D1274" s="2" t="s">
        <v>927</v>
      </c>
      <c r="E1274" s="2" t="s">
        <v>38</v>
      </c>
      <c r="F1274" s="2" t="s">
        <v>38</v>
      </c>
      <c r="G1274" s="2" t="s">
        <v>16</v>
      </c>
      <c r="H1274" s="2" t="s">
        <v>524</v>
      </c>
      <c r="I1274" s="2"/>
      <c r="J1274" s="2"/>
    </row>
    <row r="1275" spans="1:10" x14ac:dyDescent="0.35">
      <c r="A1275" s="2" t="s">
        <v>10</v>
      </c>
      <c r="B1275" s="2" t="s">
        <v>886</v>
      </c>
      <c r="C1275" s="2" t="s">
        <v>54</v>
      </c>
      <c r="D1275" s="2" t="s">
        <v>927</v>
      </c>
      <c r="E1275" s="2" t="s">
        <v>928</v>
      </c>
      <c r="F1275" s="2" t="s">
        <v>75</v>
      </c>
      <c r="G1275" s="2" t="s">
        <v>16</v>
      </c>
      <c r="H1275" s="2" t="s">
        <v>929</v>
      </c>
      <c r="I1275" s="2"/>
      <c r="J1275" s="2"/>
    </row>
    <row r="1276" spans="1:10" x14ac:dyDescent="0.35">
      <c r="A1276" s="2" t="s">
        <v>10</v>
      </c>
      <c r="B1276" s="2" t="s">
        <v>886</v>
      </c>
      <c r="C1276" s="2" t="s">
        <v>54</v>
      </c>
      <c r="D1276" s="2" t="s">
        <v>927</v>
      </c>
      <c r="E1276" s="2" t="s">
        <v>930</v>
      </c>
      <c r="F1276" s="2" t="s">
        <v>15</v>
      </c>
      <c r="G1276" s="2"/>
      <c r="H1276" s="2"/>
      <c r="I1276" s="2"/>
      <c r="J1276" s="2"/>
    </row>
    <row r="1277" spans="1:10" x14ac:dyDescent="0.35">
      <c r="A1277" s="2" t="s">
        <v>10</v>
      </c>
      <c r="B1277" s="2" t="s">
        <v>886</v>
      </c>
      <c r="C1277" s="2" t="s">
        <v>54</v>
      </c>
      <c r="D1277" s="2" t="s">
        <v>927</v>
      </c>
      <c r="E1277" s="2" t="s">
        <v>89</v>
      </c>
      <c r="F1277" s="2" t="s">
        <v>45</v>
      </c>
      <c r="G1277" s="2" t="s">
        <v>16</v>
      </c>
      <c r="H1277" s="2" t="s">
        <v>524</v>
      </c>
      <c r="I1277" s="2"/>
      <c r="J1277" s="2"/>
    </row>
    <row r="1278" spans="1:10" x14ac:dyDescent="0.35">
      <c r="A1278" s="2" t="s">
        <v>10</v>
      </c>
      <c r="B1278" s="2" t="s">
        <v>886</v>
      </c>
      <c r="C1278" s="2" t="s">
        <v>54</v>
      </c>
      <c r="D1278" s="2" t="s">
        <v>927</v>
      </c>
      <c r="E1278" s="2" t="s">
        <v>100</v>
      </c>
      <c r="F1278" s="2" t="s">
        <v>101</v>
      </c>
      <c r="G1278" s="2"/>
      <c r="H1278" s="2"/>
      <c r="I1278" s="2"/>
      <c r="J1278" s="2"/>
    </row>
    <row r="1279" spans="1:10" x14ac:dyDescent="0.35">
      <c r="A1279" s="2" t="s">
        <v>10</v>
      </c>
      <c r="B1279" s="2" t="s">
        <v>886</v>
      </c>
      <c r="C1279" s="2" t="s">
        <v>54</v>
      </c>
      <c r="D1279" s="2" t="s">
        <v>927</v>
      </c>
      <c r="E1279" s="2" t="s">
        <v>188</v>
      </c>
      <c r="F1279" s="2" t="s">
        <v>189</v>
      </c>
      <c r="G1279" s="2" t="s">
        <v>16</v>
      </c>
      <c r="H1279" s="2" t="s">
        <v>524</v>
      </c>
      <c r="I1279" s="2"/>
      <c r="J1279" s="2"/>
    </row>
    <row r="1280" spans="1:10" x14ac:dyDescent="0.35">
      <c r="A1280" s="2" t="s">
        <v>10</v>
      </c>
      <c r="B1280" s="2" t="s">
        <v>886</v>
      </c>
      <c r="C1280" s="2" t="s">
        <v>54</v>
      </c>
      <c r="D1280" s="2" t="s">
        <v>927</v>
      </c>
      <c r="E1280" s="2" t="s">
        <v>149</v>
      </c>
      <c r="F1280" s="2" t="s">
        <v>150</v>
      </c>
      <c r="G1280" s="2" t="s">
        <v>16</v>
      </c>
      <c r="H1280" s="2" t="s">
        <v>524</v>
      </c>
      <c r="I1280" s="2"/>
      <c r="J1280" s="2"/>
    </row>
    <row r="1281" spans="1:10" x14ac:dyDescent="0.35">
      <c r="A1281" s="2" t="s">
        <v>10</v>
      </c>
      <c r="B1281" s="2" t="s">
        <v>886</v>
      </c>
      <c r="C1281" s="2" t="s">
        <v>54</v>
      </c>
      <c r="D1281" s="2" t="s">
        <v>927</v>
      </c>
      <c r="E1281" s="2" t="s">
        <v>193</v>
      </c>
      <c r="F1281" s="2" t="s">
        <v>40</v>
      </c>
      <c r="G1281" s="2" t="s">
        <v>16</v>
      </c>
      <c r="H1281" s="2" t="s">
        <v>524</v>
      </c>
      <c r="I1281" s="2"/>
      <c r="J1281" s="2"/>
    </row>
    <row r="1282" spans="1:10" x14ac:dyDescent="0.35">
      <c r="A1282" s="2" t="s">
        <v>10</v>
      </c>
      <c r="B1282" s="2" t="s">
        <v>886</v>
      </c>
      <c r="C1282" s="2" t="s">
        <v>54</v>
      </c>
      <c r="D1282" s="2" t="s">
        <v>927</v>
      </c>
      <c r="E1282" s="2" t="s">
        <v>302</v>
      </c>
      <c r="F1282" s="2" t="s">
        <v>65</v>
      </c>
      <c r="G1282" s="2" t="s">
        <v>16</v>
      </c>
      <c r="H1282" s="2" t="s">
        <v>524</v>
      </c>
      <c r="I1282" s="2"/>
      <c r="J1282" s="2"/>
    </row>
    <row r="1283" spans="1:10" x14ac:dyDescent="0.35">
      <c r="A1283" s="2" t="s">
        <v>10</v>
      </c>
      <c r="B1283" s="2" t="s">
        <v>886</v>
      </c>
      <c r="C1283" s="2" t="s">
        <v>54</v>
      </c>
      <c r="D1283" s="2" t="s">
        <v>927</v>
      </c>
      <c r="E1283" s="2" t="s">
        <v>112</v>
      </c>
      <c r="F1283" s="2" t="s">
        <v>113</v>
      </c>
      <c r="G1283" s="2" t="s">
        <v>16</v>
      </c>
      <c r="H1283" s="2" t="s">
        <v>524</v>
      </c>
      <c r="I1283" s="2"/>
      <c r="J1283" s="2"/>
    </row>
    <row r="1284" spans="1:10" x14ac:dyDescent="0.35">
      <c r="A1284" s="2" t="s">
        <v>10</v>
      </c>
      <c r="B1284" s="2" t="s">
        <v>886</v>
      </c>
      <c r="C1284" s="2" t="s">
        <v>24</v>
      </c>
      <c r="D1284" s="2" t="s">
        <v>931</v>
      </c>
      <c r="E1284" s="2" t="s">
        <v>196</v>
      </c>
      <c r="F1284" s="2" t="s">
        <v>197</v>
      </c>
      <c r="G1284" s="2"/>
      <c r="H1284" s="2"/>
      <c r="I1284" s="2"/>
      <c r="J1284" s="2"/>
    </row>
    <row r="1285" spans="1:10" x14ac:dyDescent="0.35">
      <c r="A1285" s="2" t="s">
        <v>10</v>
      </c>
      <c r="B1285" s="2" t="s">
        <v>886</v>
      </c>
      <c r="C1285" s="2" t="s">
        <v>24</v>
      </c>
      <c r="D1285" s="2" t="s">
        <v>931</v>
      </c>
      <c r="E1285" s="2" t="s">
        <v>31</v>
      </c>
      <c r="F1285" s="2" t="s">
        <v>32</v>
      </c>
      <c r="G1285" s="2" t="s">
        <v>46</v>
      </c>
      <c r="H1285" s="2" t="s">
        <v>932</v>
      </c>
      <c r="I1285" s="2"/>
      <c r="J1285" s="2"/>
    </row>
    <row r="1286" spans="1:10" x14ac:dyDescent="0.35">
      <c r="A1286" s="2" t="s">
        <v>10</v>
      </c>
      <c r="B1286" s="2" t="s">
        <v>886</v>
      </c>
      <c r="C1286" s="2" t="s">
        <v>24</v>
      </c>
      <c r="D1286" s="2" t="s">
        <v>931</v>
      </c>
      <c r="E1286" s="2" t="s">
        <v>416</v>
      </c>
      <c r="F1286" s="2" t="s">
        <v>38</v>
      </c>
      <c r="G1286" s="2" t="s">
        <v>46</v>
      </c>
      <c r="H1286" s="2" t="s">
        <v>932</v>
      </c>
      <c r="I1286" s="2"/>
      <c r="J1286" s="2"/>
    </row>
    <row r="1287" spans="1:10" x14ac:dyDescent="0.35">
      <c r="A1287" s="2" t="s">
        <v>10</v>
      </c>
      <c r="B1287" s="2" t="s">
        <v>886</v>
      </c>
      <c r="C1287" s="2" t="s">
        <v>24</v>
      </c>
      <c r="D1287" s="2" t="s">
        <v>931</v>
      </c>
      <c r="E1287" s="2" t="s">
        <v>933</v>
      </c>
      <c r="F1287" s="2" t="s">
        <v>189</v>
      </c>
      <c r="G1287" s="2" t="s">
        <v>46</v>
      </c>
      <c r="H1287" s="2" t="s">
        <v>932</v>
      </c>
      <c r="I1287" s="2"/>
      <c r="J1287" s="2"/>
    </row>
    <row r="1288" spans="1:10" x14ac:dyDescent="0.35">
      <c r="A1288" s="2" t="s">
        <v>10</v>
      </c>
      <c r="B1288" s="2" t="s">
        <v>886</v>
      </c>
      <c r="C1288" s="2" t="s">
        <v>24</v>
      </c>
      <c r="D1288" s="2" t="s">
        <v>931</v>
      </c>
      <c r="E1288" s="2" t="s">
        <v>928</v>
      </c>
      <c r="F1288" s="2" t="s">
        <v>75</v>
      </c>
      <c r="G1288" s="2" t="s">
        <v>46</v>
      </c>
      <c r="H1288" s="2" t="s">
        <v>932</v>
      </c>
      <c r="I1288" s="2"/>
      <c r="J1288" s="2"/>
    </row>
    <row r="1289" spans="1:10" x14ac:dyDescent="0.35">
      <c r="A1289" s="2" t="s">
        <v>10</v>
      </c>
      <c r="B1289" s="2" t="s">
        <v>886</v>
      </c>
      <c r="C1289" s="2" t="s">
        <v>24</v>
      </c>
      <c r="D1289" s="2" t="s">
        <v>931</v>
      </c>
      <c r="E1289" s="2" t="s">
        <v>100</v>
      </c>
      <c r="F1289" s="2" t="s">
        <v>101</v>
      </c>
      <c r="G1289" s="2" t="s">
        <v>46</v>
      </c>
      <c r="H1289" s="2" t="s">
        <v>932</v>
      </c>
      <c r="I1289" s="2"/>
      <c r="J1289" s="2"/>
    </row>
    <row r="1290" spans="1:10" x14ac:dyDescent="0.35">
      <c r="A1290" s="2" t="s">
        <v>10</v>
      </c>
      <c r="B1290" s="2" t="s">
        <v>886</v>
      </c>
      <c r="C1290" s="2" t="s">
        <v>24</v>
      </c>
      <c r="D1290" s="2" t="s">
        <v>931</v>
      </c>
      <c r="E1290" s="2" t="s">
        <v>513</v>
      </c>
      <c r="F1290" s="2" t="s">
        <v>203</v>
      </c>
      <c r="G1290" s="2" t="s">
        <v>46</v>
      </c>
      <c r="H1290" s="2" t="s">
        <v>932</v>
      </c>
      <c r="I1290" s="2"/>
      <c r="J1290" s="2"/>
    </row>
    <row r="1291" spans="1:10" x14ac:dyDescent="0.35">
      <c r="A1291" s="2" t="s">
        <v>10</v>
      </c>
      <c r="B1291" s="2" t="s">
        <v>886</v>
      </c>
      <c r="C1291" s="2" t="s">
        <v>24</v>
      </c>
      <c r="D1291" s="2" t="s">
        <v>931</v>
      </c>
      <c r="E1291" s="2" t="s">
        <v>149</v>
      </c>
      <c r="F1291" s="2" t="s">
        <v>150</v>
      </c>
      <c r="G1291" s="2" t="s">
        <v>46</v>
      </c>
      <c r="H1291" s="2" t="s">
        <v>932</v>
      </c>
      <c r="I1291" s="2"/>
      <c r="J1291" s="2"/>
    </row>
    <row r="1292" spans="1:10" x14ac:dyDescent="0.35">
      <c r="A1292" s="2" t="s">
        <v>10</v>
      </c>
      <c r="B1292" s="2" t="s">
        <v>886</v>
      </c>
      <c r="C1292" s="2" t="s">
        <v>24</v>
      </c>
      <c r="D1292" s="2" t="s">
        <v>931</v>
      </c>
      <c r="E1292" s="2" t="s">
        <v>193</v>
      </c>
      <c r="F1292" s="2" t="s">
        <v>40</v>
      </c>
      <c r="G1292" s="2" t="s">
        <v>46</v>
      </c>
      <c r="H1292" s="2" t="s">
        <v>932</v>
      </c>
      <c r="I1292" s="2"/>
      <c r="J1292" s="2"/>
    </row>
    <row r="1293" spans="1:10" x14ac:dyDescent="0.35">
      <c r="A1293" s="2" t="s">
        <v>10</v>
      </c>
      <c r="B1293" s="2" t="s">
        <v>886</v>
      </c>
      <c r="C1293" s="2" t="s">
        <v>12</v>
      </c>
      <c r="D1293" s="2" t="s">
        <v>934</v>
      </c>
      <c r="E1293" s="2" t="s">
        <v>246</v>
      </c>
      <c r="F1293" s="2" t="s">
        <v>107</v>
      </c>
      <c r="G1293" s="2" t="s">
        <v>46</v>
      </c>
      <c r="H1293" s="2" t="s">
        <v>910</v>
      </c>
      <c r="I1293" s="2"/>
      <c r="J1293" s="2"/>
    </row>
    <row r="1294" spans="1:10" x14ac:dyDescent="0.35">
      <c r="A1294" s="2" t="s">
        <v>10</v>
      </c>
      <c r="B1294" s="2" t="s">
        <v>886</v>
      </c>
      <c r="C1294" s="2" t="s">
        <v>12</v>
      </c>
      <c r="D1294" s="2" t="s">
        <v>934</v>
      </c>
      <c r="E1294" s="2" t="s">
        <v>485</v>
      </c>
      <c r="F1294" s="2" t="s">
        <v>15</v>
      </c>
      <c r="G1294" s="2" t="s">
        <v>46</v>
      </c>
      <c r="H1294" s="2" t="s">
        <v>910</v>
      </c>
      <c r="I1294" s="2"/>
      <c r="J1294" s="2"/>
    </row>
    <row r="1295" spans="1:10" x14ac:dyDescent="0.35">
      <c r="A1295" s="2" t="s">
        <v>10</v>
      </c>
      <c r="B1295" s="2" t="s">
        <v>886</v>
      </c>
      <c r="C1295" s="2" t="s">
        <v>12</v>
      </c>
      <c r="D1295" s="2" t="s">
        <v>934</v>
      </c>
      <c r="E1295" s="2" t="s">
        <v>27</v>
      </c>
      <c r="F1295" s="2" t="s">
        <v>28</v>
      </c>
      <c r="G1295" s="2" t="s">
        <v>46</v>
      </c>
      <c r="H1295" s="2" t="s">
        <v>910</v>
      </c>
      <c r="I1295" s="2"/>
      <c r="J1295" s="2"/>
    </row>
    <row r="1296" spans="1:10" x14ac:dyDescent="0.35">
      <c r="A1296" s="2" t="s">
        <v>10</v>
      </c>
      <c r="B1296" s="2" t="s">
        <v>886</v>
      </c>
      <c r="C1296" s="2" t="s">
        <v>12</v>
      </c>
      <c r="D1296" s="2" t="s">
        <v>934</v>
      </c>
      <c r="E1296" s="2" t="s">
        <v>38</v>
      </c>
      <c r="F1296" s="2" t="s">
        <v>38</v>
      </c>
      <c r="G1296" s="2" t="s">
        <v>46</v>
      </c>
      <c r="H1296" s="2" t="s">
        <v>910</v>
      </c>
      <c r="I1296" s="2"/>
      <c r="J1296" s="2"/>
    </row>
    <row r="1297" spans="1:10" x14ac:dyDescent="0.35">
      <c r="A1297" s="2" t="s">
        <v>10</v>
      </c>
      <c r="B1297" s="2" t="s">
        <v>886</v>
      </c>
      <c r="C1297" s="2" t="s">
        <v>12</v>
      </c>
      <c r="D1297" s="2" t="s">
        <v>934</v>
      </c>
      <c r="E1297" s="2" t="s">
        <v>77</v>
      </c>
      <c r="F1297" s="2" t="s">
        <v>78</v>
      </c>
      <c r="G1297" s="2" t="s">
        <v>46</v>
      </c>
      <c r="H1297" s="2" t="s">
        <v>910</v>
      </c>
      <c r="I1297" s="2"/>
      <c r="J1297" s="2"/>
    </row>
    <row r="1298" spans="1:10" x14ac:dyDescent="0.35">
      <c r="A1298" s="2" t="s">
        <v>10</v>
      </c>
      <c r="B1298" s="2" t="s">
        <v>886</v>
      </c>
      <c r="C1298" s="2" t="s">
        <v>12</v>
      </c>
      <c r="D1298" s="2" t="s">
        <v>934</v>
      </c>
      <c r="E1298" s="2" t="s">
        <v>911</v>
      </c>
      <c r="F1298" s="2" t="s">
        <v>40</v>
      </c>
      <c r="G1298" s="2" t="s">
        <v>46</v>
      </c>
      <c r="H1298" s="2" t="s">
        <v>910</v>
      </c>
      <c r="I1298" s="2"/>
      <c r="J1298" s="2"/>
    </row>
    <row r="1299" spans="1:10" x14ac:dyDescent="0.35">
      <c r="A1299" s="2" t="s">
        <v>10</v>
      </c>
      <c r="B1299" s="2" t="s">
        <v>886</v>
      </c>
      <c r="C1299" s="2" t="s">
        <v>12</v>
      </c>
      <c r="D1299" s="2" t="s">
        <v>934</v>
      </c>
      <c r="E1299" s="2" t="s">
        <v>244</v>
      </c>
      <c r="F1299" s="2" t="s">
        <v>65</v>
      </c>
      <c r="G1299" s="2" t="s">
        <v>46</v>
      </c>
      <c r="H1299" s="2" t="s">
        <v>910</v>
      </c>
      <c r="I1299" s="2"/>
      <c r="J1299" s="2"/>
    </row>
    <row r="1300" spans="1:10" x14ac:dyDescent="0.35">
      <c r="A1300" s="2" t="s">
        <v>10</v>
      </c>
      <c r="B1300" s="2" t="s">
        <v>886</v>
      </c>
      <c r="C1300" s="2" t="s">
        <v>12</v>
      </c>
      <c r="D1300" s="2" t="s">
        <v>934</v>
      </c>
      <c r="E1300" s="2" t="s">
        <v>149</v>
      </c>
      <c r="F1300" s="2" t="s">
        <v>150</v>
      </c>
      <c r="G1300" s="2" t="s">
        <v>46</v>
      </c>
      <c r="H1300" s="2" t="s">
        <v>910</v>
      </c>
      <c r="I1300" s="2"/>
      <c r="J1300" s="2"/>
    </row>
    <row r="1301" spans="1:10" s="21" customFormat="1" x14ac:dyDescent="0.35">
      <c r="A1301" s="2" t="s">
        <v>10</v>
      </c>
      <c r="B1301" s="2" t="s">
        <v>886</v>
      </c>
      <c r="C1301" s="2" t="s">
        <v>62</v>
      </c>
      <c r="D1301" s="2" t="s">
        <v>935</v>
      </c>
      <c r="E1301" s="2" t="s">
        <v>106</v>
      </c>
      <c r="F1301" s="2" t="s">
        <v>107</v>
      </c>
      <c r="G1301" s="2"/>
      <c r="H1301" s="2"/>
      <c r="I1301" s="2"/>
      <c r="J1301" s="2"/>
    </row>
    <row r="1302" spans="1:10" s="21" customFormat="1" x14ac:dyDescent="0.35">
      <c r="A1302" s="2" t="s">
        <v>10</v>
      </c>
      <c r="B1302" s="2" t="s">
        <v>886</v>
      </c>
      <c r="C1302" s="2" t="s">
        <v>62</v>
      </c>
      <c r="D1302" s="2" t="s">
        <v>936</v>
      </c>
      <c r="E1302" s="2" t="s">
        <v>106</v>
      </c>
      <c r="F1302" s="2" t="s">
        <v>107</v>
      </c>
      <c r="G1302" s="2"/>
      <c r="H1302" s="2"/>
      <c r="I1302" s="2"/>
      <c r="J1302" s="2"/>
    </row>
    <row r="1303" spans="1:10" s="21" customFormat="1" x14ac:dyDescent="0.35">
      <c r="A1303" s="2" t="s">
        <v>10</v>
      </c>
      <c r="B1303" s="2" t="s">
        <v>886</v>
      </c>
      <c r="C1303" s="2" t="s">
        <v>62</v>
      </c>
      <c r="D1303" s="2" t="s">
        <v>937</v>
      </c>
      <c r="E1303" s="2" t="s">
        <v>106</v>
      </c>
      <c r="F1303" s="2" t="s">
        <v>107</v>
      </c>
      <c r="G1303" s="2"/>
      <c r="H1303" s="2"/>
      <c r="I1303" s="2"/>
      <c r="J1303" s="2"/>
    </row>
    <row r="1304" spans="1:10" x14ac:dyDescent="0.35">
      <c r="A1304" s="2" t="s">
        <v>10</v>
      </c>
      <c r="B1304" s="2" t="s">
        <v>886</v>
      </c>
      <c r="C1304" s="2" t="s">
        <v>54</v>
      </c>
      <c r="D1304" s="2" t="s">
        <v>938</v>
      </c>
      <c r="E1304" s="2" t="s">
        <v>31</v>
      </c>
      <c r="F1304" s="2" t="s">
        <v>32</v>
      </c>
      <c r="G1304" s="2" t="s">
        <v>16</v>
      </c>
      <c r="H1304" s="2" t="s">
        <v>191</v>
      </c>
      <c r="I1304" s="2"/>
      <c r="J1304" s="2"/>
    </row>
    <row r="1305" spans="1:10" x14ac:dyDescent="0.35">
      <c r="A1305" s="2" t="s">
        <v>10</v>
      </c>
      <c r="B1305" s="2" t="s">
        <v>886</v>
      </c>
      <c r="C1305" s="2" t="s">
        <v>54</v>
      </c>
      <c r="D1305" s="2" t="s">
        <v>938</v>
      </c>
      <c r="E1305" s="2" t="s">
        <v>200</v>
      </c>
      <c r="F1305" s="2" t="s">
        <v>201</v>
      </c>
      <c r="G1305" s="2" t="s">
        <v>16</v>
      </c>
      <c r="H1305" s="2" t="s">
        <v>191</v>
      </c>
      <c r="I1305" s="2"/>
      <c r="J1305" s="2"/>
    </row>
    <row r="1306" spans="1:10" x14ac:dyDescent="0.35">
      <c r="A1306" s="2" t="s">
        <v>10</v>
      </c>
      <c r="B1306" s="2" t="s">
        <v>886</v>
      </c>
      <c r="C1306" s="2" t="s">
        <v>54</v>
      </c>
      <c r="D1306" s="2" t="s">
        <v>938</v>
      </c>
      <c r="E1306" s="2" t="s">
        <v>38</v>
      </c>
      <c r="F1306" s="2" t="s">
        <v>38</v>
      </c>
      <c r="G1306" s="2" t="s">
        <v>16</v>
      </c>
      <c r="H1306" s="2" t="s">
        <v>191</v>
      </c>
      <c r="I1306" s="2"/>
      <c r="J1306" s="2"/>
    </row>
    <row r="1307" spans="1:10" x14ac:dyDescent="0.35">
      <c r="A1307" s="2" t="s">
        <v>10</v>
      </c>
      <c r="B1307" s="2" t="s">
        <v>886</v>
      </c>
      <c r="C1307" s="2" t="s">
        <v>54</v>
      </c>
      <c r="D1307" s="2" t="s">
        <v>938</v>
      </c>
      <c r="E1307" s="2" t="s">
        <v>156</v>
      </c>
      <c r="F1307" s="2" t="s">
        <v>45</v>
      </c>
      <c r="G1307" s="2" t="s">
        <v>16</v>
      </c>
      <c r="H1307" s="2" t="s">
        <v>191</v>
      </c>
      <c r="I1307" s="2"/>
      <c r="J1307" s="2"/>
    </row>
    <row r="1308" spans="1:10" x14ac:dyDescent="0.35">
      <c r="A1308" s="2" t="s">
        <v>10</v>
      </c>
      <c r="B1308" s="2" t="s">
        <v>886</v>
      </c>
      <c r="C1308" s="2" t="s">
        <v>54</v>
      </c>
      <c r="D1308" s="2" t="s">
        <v>938</v>
      </c>
      <c r="E1308" s="2" t="s">
        <v>100</v>
      </c>
      <c r="F1308" s="2" t="s">
        <v>101</v>
      </c>
      <c r="G1308" s="2"/>
      <c r="H1308" s="2"/>
      <c r="I1308" s="2"/>
      <c r="J1308" s="2"/>
    </row>
    <row r="1309" spans="1:10" x14ac:dyDescent="0.35">
      <c r="A1309" s="2" t="s">
        <v>10</v>
      </c>
      <c r="B1309" s="2" t="s">
        <v>886</v>
      </c>
      <c r="C1309" s="2" t="s">
        <v>54</v>
      </c>
      <c r="D1309" s="2" t="s">
        <v>938</v>
      </c>
      <c r="E1309" s="2" t="s">
        <v>188</v>
      </c>
      <c r="F1309" s="2" t="s">
        <v>189</v>
      </c>
      <c r="G1309" s="2" t="s">
        <v>16</v>
      </c>
      <c r="H1309" s="2" t="s">
        <v>191</v>
      </c>
      <c r="I1309" s="2"/>
      <c r="J1309" s="2"/>
    </row>
    <row r="1310" spans="1:10" x14ac:dyDescent="0.35">
      <c r="A1310" s="2" t="s">
        <v>10</v>
      </c>
      <c r="B1310" s="2" t="s">
        <v>886</v>
      </c>
      <c r="C1310" s="2" t="s">
        <v>54</v>
      </c>
      <c r="D1310" s="2" t="s">
        <v>938</v>
      </c>
      <c r="E1310" s="2" t="s">
        <v>939</v>
      </c>
      <c r="F1310" s="2" t="s">
        <v>65</v>
      </c>
      <c r="G1310" s="2" t="s">
        <v>16</v>
      </c>
      <c r="H1310" s="2" t="s">
        <v>191</v>
      </c>
      <c r="I1310" s="2"/>
      <c r="J1310" s="2"/>
    </row>
    <row r="1311" spans="1:10" x14ac:dyDescent="0.35">
      <c r="A1311" s="2" t="s">
        <v>10</v>
      </c>
      <c r="B1311" s="2" t="s">
        <v>886</v>
      </c>
      <c r="C1311" s="2" t="s">
        <v>54</v>
      </c>
      <c r="D1311" s="2" t="s">
        <v>940</v>
      </c>
      <c r="E1311" s="2" t="s">
        <v>31</v>
      </c>
      <c r="F1311" s="2" t="s">
        <v>32</v>
      </c>
      <c r="G1311" s="2"/>
      <c r="H1311" s="2"/>
      <c r="I1311" s="2"/>
      <c r="J1311" s="2"/>
    </row>
    <row r="1312" spans="1:10" x14ac:dyDescent="0.35">
      <c r="A1312" s="2" t="s">
        <v>10</v>
      </c>
      <c r="B1312" s="2" t="s">
        <v>886</v>
      </c>
      <c r="C1312" s="2" t="s">
        <v>54</v>
      </c>
      <c r="D1312" s="2" t="s">
        <v>940</v>
      </c>
      <c r="E1312" s="2" t="s">
        <v>172</v>
      </c>
      <c r="F1312" s="2" t="s">
        <v>65</v>
      </c>
      <c r="G1312" s="2"/>
      <c r="H1312" s="2"/>
      <c r="I1312" s="2"/>
      <c r="J1312" s="2"/>
    </row>
    <row r="1313" spans="1:10" x14ac:dyDescent="0.35">
      <c r="A1313" s="2" t="s">
        <v>10</v>
      </c>
      <c r="B1313" s="2" t="s">
        <v>886</v>
      </c>
      <c r="C1313" s="2" t="s">
        <v>54</v>
      </c>
      <c r="D1313" s="2" t="s">
        <v>940</v>
      </c>
      <c r="E1313" s="2" t="s">
        <v>941</v>
      </c>
      <c r="F1313" s="2" t="s">
        <v>228</v>
      </c>
      <c r="G1313" s="2"/>
      <c r="H1313" s="2"/>
      <c r="I1313" s="2"/>
      <c r="J1313" s="2"/>
    </row>
    <row r="1314" spans="1:10" s="21" customFormat="1" x14ac:dyDescent="0.35">
      <c r="A1314" s="2" t="s">
        <v>10</v>
      </c>
      <c r="B1314" s="2" t="s">
        <v>886</v>
      </c>
      <c r="C1314" s="2" t="s">
        <v>62</v>
      </c>
      <c r="D1314" s="2" t="s">
        <v>942</v>
      </c>
      <c r="E1314" s="2" t="s">
        <v>106</v>
      </c>
      <c r="F1314" s="2" t="s">
        <v>107</v>
      </c>
      <c r="G1314" s="2"/>
      <c r="H1314" s="2"/>
      <c r="I1314" s="2"/>
      <c r="J1314" s="2"/>
    </row>
    <row r="1315" spans="1:10" x14ac:dyDescent="0.35">
      <c r="A1315" s="2" t="s">
        <v>10</v>
      </c>
      <c r="B1315" s="2" t="s">
        <v>886</v>
      </c>
      <c r="C1315" s="2" t="s">
        <v>62</v>
      </c>
      <c r="D1315" s="2" t="s">
        <v>943</v>
      </c>
      <c r="E1315" s="2" t="s">
        <v>532</v>
      </c>
      <c r="F1315" s="2" t="s">
        <v>533</v>
      </c>
      <c r="G1315" s="2" t="s">
        <v>46</v>
      </c>
      <c r="H1315" s="2" t="s">
        <v>675</v>
      </c>
      <c r="I1315" s="2"/>
      <c r="J1315" s="2"/>
    </row>
    <row r="1316" spans="1:10" x14ac:dyDescent="0.35">
      <c r="A1316" s="2" t="s">
        <v>10</v>
      </c>
      <c r="B1316" s="2" t="s">
        <v>886</v>
      </c>
      <c r="C1316" s="2" t="s">
        <v>62</v>
      </c>
      <c r="D1316" s="2" t="s">
        <v>943</v>
      </c>
      <c r="E1316" s="2" t="s">
        <v>387</v>
      </c>
      <c r="F1316" s="2" t="s">
        <v>367</v>
      </c>
      <c r="G1316" s="2" t="s">
        <v>46</v>
      </c>
      <c r="H1316" s="2" t="s">
        <v>675</v>
      </c>
      <c r="I1316" s="2"/>
      <c r="J1316" s="2"/>
    </row>
    <row r="1317" spans="1:10" s="21" customFormat="1" x14ac:dyDescent="0.35">
      <c r="A1317" s="2" t="s">
        <v>10</v>
      </c>
      <c r="B1317" s="2" t="s">
        <v>886</v>
      </c>
      <c r="C1317" s="2" t="s">
        <v>62</v>
      </c>
      <c r="D1317" s="2" t="s">
        <v>944</v>
      </c>
      <c r="E1317" s="2" t="s">
        <v>106</v>
      </c>
      <c r="F1317" s="2" t="s">
        <v>107</v>
      </c>
      <c r="G1317" s="2"/>
      <c r="H1317" s="2"/>
      <c r="I1317" s="2"/>
      <c r="J1317" s="2"/>
    </row>
    <row r="1318" spans="1:10" x14ac:dyDescent="0.35">
      <c r="A1318" s="2" t="s">
        <v>10</v>
      </c>
      <c r="B1318" s="2" t="s">
        <v>886</v>
      </c>
      <c r="C1318" s="2" t="s">
        <v>24</v>
      </c>
      <c r="D1318" s="2" t="s">
        <v>945</v>
      </c>
      <c r="E1318" s="2" t="s">
        <v>14</v>
      </c>
      <c r="F1318" s="2" t="s">
        <v>15</v>
      </c>
      <c r="G1318" s="2"/>
      <c r="H1318" s="2"/>
      <c r="I1318" s="2"/>
      <c r="J1318" s="2"/>
    </row>
    <row r="1319" spans="1:10" x14ac:dyDescent="0.35">
      <c r="A1319" s="2" t="s">
        <v>10</v>
      </c>
      <c r="B1319" s="2" t="s">
        <v>886</v>
      </c>
      <c r="C1319" s="2" t="s">
        <v>24</v>
      </c>
      <c r="D1319" s="2" t="s">
        <v>945</v>
      </c>
      <c r="E1319" s="2" t="s">
        <v>172</v>
      </c>
      <c r="F1319" s="2" t="s">
        <v>65</v>
      </c>
      <c r="G1319" s="2"/>
      <c r="H1319" s="2"/>
      <c r="I1319" s="2"/>
      <c r="J1319" s="2"/>
    </row>
    <row r="1320" spans="1:10" x14ac:dyDescent="0.35">
      <c r="A1320" s="2" t="s">
        <v>10</v>
      </c>
      <c r="B1320" s="2" t="s">
        <v>886</v>
      </c>
      <c r="C1320" s="2" t="s">
        <v>24</v>
      </c>
      <c r="D1320" s="2" t="s">
        <v>945</v>
      </c>
      <c r="E1320" s="2" t="s">
        <v>89</v>
      </c>
      <c r="F1320" s="2" t="s">
        <v>45</v>
      </c>
      <c r="G1320" s="2"/>
      <c r="H1320" s="2"/>
      <c r="I1320" s="2"/>
      <c r="J1320" s="2"/>
    </row>
    <row r="1321" spans="1:10" x14ac:dyDescent="0.35">
      <c r="A1321" s="2" t="s">
        <v>10</v>
      </c>
      <c r="B1321" s="2" t="s">
        <v>886</v>
      </c>
      <c r="C1321" s="2" t="s">
        <v>12</v>
      </c>
      <c r="D1321" s="2" t="s">
        <v>946</v>
      </c>
      <c r="E1321" s="2" t="s">
        <v>18</v>
      </c>
      <c r="F1321" s="2" t="s">
        <v>19</v>
      </c>
      <c r="G1321" s="2" t="s">
        <v>16</v>
      </c>
      <c r="H1321" s="2" t="s">
        <v>947</v>
      </c>
      <c r="I1321" s="2"/>
      <c r="J1321" s="2"/>
    </row>
    <row r="1322" spans="1:10" s="21" customFormat="1" x14ac:dyDescent="0.35">
      <c r="A1322" s="2" t="s">
        <v>10</v>
      </c>
      <c r="B1322" s="2" t="s">
        <v>886</v>
      </c>
      <c r="C1322" s="2" t="s">
        <v>12</v>
      </c>
      <c r="D1322" s="2" t="s">
        <v>946</v>
      </c>
      <c r="E1322" s="2" t="s">
        <v>89</v>
      </c>
      <c r="F1322" s="2" t="s">
        <v>45</v>
      </c>
      <c r="G1322" s="2"/>
      <c r="H1322" s="2"/>
      <c r="I1322" s="2"/>
      <c r="J1322" s="2"/>
    </row>
    <row r="1323" spans="1:10" x14ac:dyDescent="0.35">
      <c r="A1323" s="2" t="s">
        <v>10</v>
      </c>
      <c r="B1323" s="2" t="s">
        <v>886</v>
      </c>
      <c r="C1323" s="2" t="s">
        <v>24</v>
      </c>
      <c r="D1323" s="2" t="s">
        <v>948</v>
      </c>
      <c r="E1323" s="2" t="s">
        <v>196</v>
      </c>
      <c r="F1323" s="2" t="s">
        <v>197</v>
      </c>
      <c r="G1323" s="2"/>
      <c r="H1323" s="2"/>
      <c r="I1323" s="2"/>
      <c r="J1323" s="2"/>
    </row>
    <row r="1324" spans="1:10" x14ac:dyDescent="0.35">
      <c r="A1324" s="2" t="s">
        <v>10</v>
      </c>
      <c r="B1324" s="2" t="s">
        <v>886</v>
      </c>
      <c r="C1324" s="2" t="s">
        <v>24</v>
      </c>
      <c r="D1324" s="2" t="s">
        <v>948</v>
      </c>
      <c r="E1324" s="2" t="s">
        <v>14</v>
      </c>
      <c r="F1324" s="2" t="s">
        <v>15</v>
      </c>
      <c r="G1324" s="2"/>
      <c r="H1324" s="2"/>
      <c r="I1324" s="2"/>
      <c r="J1324" s="2"/>
    </row>
    <row r="1325" spans="1:10" x14ac:dyDescent="0.35">
      <c r="A1325" s="2" t="s">
        <v>10</v>
      </c>
      <c r="B1325" s="2" t="s">
        <v>886</v>
      </c>
      <c r="C1325" s="2" t="s">
        <v>24</v>
      </c>
      <c r="D1325" s="2" t="s">
        <v>948</v>
      </c>
      <c r="E1325" s="2" t="s">
        <v>949</v>
      </c>
      <c r="F1325" s="2" t="s">
        <v>189</v>
      </c>
      <c r="G1325" s="2"/>
      <c r="H1325" s="2"/>
      <c r="I1325" s="2"/>
      <c r="J1325" s="2"/>
    </row>
    <row r="1326" spans="1:10" x14ac:dyDescent="0.35">
      <c r="A1326" s="2" t="s">
        <v>10</v>
      </c>
      <c r="B1326" s="2" t="s">
        <v>886</v>
      </c>
      <c r="C1326" s="2" t="s">
        <v>24</v>
      </c>
      <c r="D1326" s="2" t="s">
        <v>948</v>
      </c>
      <c r="E1326" s="2" t="s">
        <v>563</v>
      </c>
      <c r="F1326" s="2" t="s">
        <v>45</v>
      </c>
      <c r="G1326" s="2"/>
      <c r="H1326" s="2"/>
      <c r="I1326" s="2"/>
      <c r="J1326" s="2"/>
    </row>
    <row r="1327" spans="1:10" x14ac:dyDescent="0.35">
      <c r="A1327" s="2" t="s">
        <v>10</v>
      </c>
      <c r="B1327" s="2" t="s">
        <v>886</v>
      </c>
      <c r="C1327" s="2" t="s">
        <v>24</v>
      </c>
      <c r="D1327" s="2" t="s">
        <v>948</v>
      </c>
      <c r="E1327" s="2" t="s">
        <v>253</v>
      </c>
      <c r="F1327" s="2" t="s">
        <v>32</v>
      </c>
      <c r="G1327" s="2"/>
      <c r="H1327" s="2"/>
      <c r="I1327" s="2"/>
      <c r="J1327" s="2"/>
    </row>
    <row r="1328" spans="1:10" x14ac:dyDescent="0.35">
      <c r="A1328" s="2" t="s">
        <v>10</v>
      </c>
      <c r="B1328" s="2" t="s">
        <v>886</v>
      </c>
      <c r="C1328" s="2" t="s">
        <v>24</v>
      </c>
      <c r="D1328" s="2" t="s">
        <v>948</v>
      </c>
      <c r="E1328" s="2" t="s">
        <v>31</v>
      </c>
      <c r="F1328" s="2" t="s">
        <v>32</v>
      </c>
      <c r="G1328" s="2"/>
      <c r="H1328" s="2"/>
      <c r="I1328" s="2"/>
      <c r="J1328" s="2"/>
    </row>
    <row r="1329" spans="1:10" x14ac:dyDescent="0.35">
      <c r="A1329" s="2" t="s">
        <v>10</v>
      </c>
      <c r="B1329" s="2" t="s">
        <v>886</v>
      </c>
      <c r="C1329" s="2" t="s">
        <v>24</v>
      </c>
      <c r="D1329" s="2" t="s">
        <v>948</v>
      </c>
      <c r="E1329" s="2" t="s">
        <v>452</v>
      </c>
      <c r="F1329" s="2" t="s">
        <v>38</v>
      </c>
      <c r="G1329" s="2"/>
      <c r="H1329" s="2"/>
      <c r="I1329" s="2"/>
      <c r="J1329" s="2"/>
    </row>
    <row r="1330" spans="1:10" x14ac:dyDescent="0.35">
      <c r="A1330" s="2" t="s">
        <v>10</v>
      </c>
      <c r="B1330" s="2" t="s">
        <v>886</v>
      </c>
      <c r="C1330" s="2" t="s">
        <v>24</v>
      </c>
      <c r="D1330" s="2" t="s">
        <v>948</v>
      </c>
      <c r="E1330" s="2" t="s">
        <v>950</v>
      </c>
      <c r="F1330" s="2" t="s">
        <v>38</v>
      </c>
      <c r="G1330" s="2"/>
      <c r="H1330" s="2"/>
      <c r="I1330" s="2"/>
      <c r="J1330" s="2"/>
    </row>
    <row r="1331" spans="1:10" x14ac:dyDescent="0.35">
      <c r="A1331" s="2" t="s">
        <v>10</v>
      </c>
      <c r="B1331" s="2" t="s">
        <v>886</v>
      </c>
      <c r="C1331" s="2" t="s">
        <v>24</v>
      </c>
      <c r="D1331" s="2" t="s">
        <v>948</v>
      </c>
      <c r="E1331" s="2" t="s">
        <v>951</v>
      </c>
      <c r="F1331" s="2" t="s">
        <v>83</v>
      </c>
      <c r="G1331" s="2"/>
      <c r="H1331" s="2"/>
      <c r="I1331" s="2"/>
      <c r="J1331" s="2"/>
    </row>
    <row r="1332" spans="1:10" x14ac:dyDescent="0.35">
      <c r="A1332" s="2" t="s">
        <v>10</v>
      </c>
      <c r="B1332" s="2" t="s">
        <v>886</v>
      </c>
      <c r="C1332" s="2" t="s">
        <v>24</v>
      </c>
      <c r="D1332" s="2" t="s">
        <v>948</v>
      </c>
      <c r="E1332" s="2" t="s">
        <v>200</v>
      </c>
      <c r="F1332" s="2" t="s">
        <v>201</v>
      </c>
      <c r="G1332" s="2"/>
      <c r="H1332" s="2"/>
      <c r="I1332" s="2"/>
      <c r="J1332" s="2"/>
    </row>
    <row r="1333" spans="1:10" x14ac:dyDescent="0.35">
      <c r="A1333" s="2" t="s">
        <v>10</v>
      </c>
      <c r="B1333" s="2" t="s">
        <v>886</v>
      </c>
      <c r="C1333" s="2" t="s">
        <v>24</v>
      </c>
      <c r="D1333" s="2" t="s">
        <v>948</v>
      </c>
      <c r="E1333" s="2" t="s">
        <v>96</v>
      </c>
      <c r="F1333" s="2" t="s">
        <v>83</v>
      </c>
      <c r="G1333" s="2"/>
      <c r="H1333" s="2"/>
      <c r="I1333" s="2"/>
      <c r="J1333" s="2"/>
    </row>
    <row r="1334" spans="1:10" x14ac:dyDescent="0.35">
      <c r="A1334" s="2" t="s">
        <v>10</v>
      </c>
      <c r="B1334" s="2" t="s">
        <v>886</v>
      </c>
      <c r="C1334" s="2" t="s">
        <v>24</v>
      </c>
      <c r="D1334" s="2" t="s">
        <v>948</v>
      </c>
      <c r="E1334" s="2" t="s">
        <v>211</v>
      </c>
      <c r="F1334" s="2" t="s">
        <v>203</v>
      </c>
      <c r="G1334" s="2"/>
      <c r="H1334" s="2"/>
      <c r="I1334" s="2"/>
      <c r="J1334" s="2"/>
    </row>
    <row r="1335" spans="1:10" x14ac:dyDescent="0.35">
      <c r="A1335" s="2" t="s">
        <v>10</v>
      </c>
      <c r="B1335" s="2" t="s">
        <v>886</v>
      </c>
      <c r="C1335" s="2" t="s">
        <v>24</v>
      </c>
      <c r="D1335" s="2" t="s">
        <v>948</v>
      </c>
      <c r="E1335" s="2" t="s">
        <v>952</v>
      </c>
      <c r="F1335" s="2" t="s">
        <v>38</v>
      </c>
      <c r="G1335" s="2"/>
      <c r="H1335" s="2"/>
      <c r="I1335" s="2"/>
      <c r="J1335" s="2"/>
    </row>
    <row r="1336" spans="1:10" x14ac:dyDescent="0.35">
      <c r="A1336" s="2" t="s">
        <v>10</v>
      </c>
      <c r="B1336" s="2" t="s">
        <v>886</v>
      </c>
      <c r="C1336" s="2" t="s">
        <v>24</v>
      </c>
      <c r="D1336" s="2" t="s">
        <v>948</v>
      </c>
      <c r="E1336" s="2" t="s">
        <v>953</v>
      </c>
      <c r="F1336" s="2" t="s">
        <v>125</v>
      </c>
      <c r="G1336" s="2"/>
      <c r="H1336" s="2"/>
      <c r="I1336" s="2"/>
      <c r="J1336" s="2"/>
    </row>
    <row r="1337" spans="1:10" x14ac:dyDescent="0.35">
      <c r="A1337" s="2" t="s">
        <v>10</v>
      </c>
      <c r="B1337" s="2" t="s">
        <v>886</v>
      </c>
      <c r="C1337" s="2" t="s">
        <v>24</v>
      </c>
      <c r="D1337" s="2" t="s">
        <v>948</v>
      </c>
      <c r="E1337" s="2" t="s">
        <v>954</v>
      </c>
      <c r="F1337" s="2" t="s">
        <v>955</v>
      </c>
      <c r="G1337" s="2"/>
      <c r="H1337" s="2"/>
      <c r="I1337" s="2"/>
      <c r="J1337" s="2"/>
    </row>
    <row r="1338" spans="1:10" x14ac:dyDescent="0.35">
      <c r="A1338" s="2" t="s">
        <v>10</v>
      </c>
      <c r="B1338" s="2" t="s">
        <v>886</v>
      </c>
      <c r="C1338" s="2" t="s">
        <v>24</v>
      </c>
      <c r="D1338" s="2" t="s">
        <v>948</v>
      </c>
      <c r="E1338" s="2" t="s">
        <v>416</v>
      </c>
      <c r="F1338" s="2" t="s">
        <v>38</v>
      </c>
      <c r="G1338" s="2"/>
      <c r="H1338" s="2"/>
      <c r="I1338" s="2"/>
      <c r="J1338" s="2"/>
    </row>
    <row r="1339" spans="1:10" x14ac:dyDescent="0.35">
      <c r="A1339" s="2" t="s">
        <v>10</v>
      </c>
      <c r="B1339" s="2" t="s">
        <v>886</v>
      </c>
      <c r="C1339" s="2" t="s">
        <v>24</v>
      </c>
      <c r="D1339" s="2" t="s">
        <v>948</v>
      </c>
      <c r="E1339" s="2" t="s">
        <v>956</v>
      </c>
      <c r="F1339" s="2" t="s">
        <v>40</v>
      </c>
      <c r="G1339" s="2"/>
      <c r="H1339" s="2"/>
      <c r="I1339" s="2"/>
      <c r="J1339" s="2"/>
    </row>
    <row r="1340" spans="1:10" x14ac:dyDescent="0.35">
      <c r="A1340" s="2" t="s">
        <v>10</v>
      </c>
      <c r="B1340" s="2" t="s">
        <v>886</v>
      </c>
      <c r="C1340" s="2" t="s">
        <v>24</v>
      </c>
      <c r="D1340" s="2" t="s">
        <v>948</v>
      </c>
      <c r="E1340" s="2" t="s">
        <v>957</v>
      </c>
      <c r="F1340" s="2" t="s">
        <v>958</v>
      </c>
      <c r="G1340" s="2"/>
      <c r="H1340" s="2"/>
      <c r="I1340" s="2"/>
      <c r="J1340" s="2"/>
    </row>
    <row r="1341" spans="1:10" x14ac:dyDescent="0.35">
      <c r="A1341" s="2" t="s">
        <v>10</v>
      </c>
      <c r="B1341" s="2" t="s">
        <v>886</v>
      </c>
      <c r="C1341" s="2" t="s">
        <v>24</v>
      </c>
      <c r="D1341" s="2" t="s">
        <v>948</v>
      </c>
      <c r="E1341" s="2" t="s">
        <v>959</v>
      </c>
      <c r="F1341" s="2" t="s">
        <v>78</v>
      </c>
      <c r="G1341" s="2"/>
      <c r="H1341" s="2"/>
      <c r="I1341" s="2"/>
      <c r="J1341" s="2"/>
    </row>
    <row r="1342" spans="1:10" x14ac:dyDescent="0.35">
      <c r="A1342" s="2" t="s">
        <v>10</v>
      </c>
      <c r="B1342" s="2" t="s">
        <v>886</v>
      </c>
      <c r="C1342" s="2" t="s">
        <v>24</v>
      </c>
      <c r="D1342" s="2" t="s">
        <v>948</v>
      </c>
      <c r="E1342" s="2" t="s">
        <v>156</v>
      </c>
      <c r="F1342" s="2" t="s">
        <v>45</v>
      </c>
      <c r="G1342" s="2"/>
      <c r="H1342" s="2"/>
      <c r="I1342" s="2"/>
      <c r="J1342" s="2"/>
    </row>
    <row r="1343" spans="1:10" x14ac:dyDescent="0.35">
      <c r="A1343" s="2" t="s">
        <v>10</v>
      </c>
      <c r="B1343" s="2" t="s">
        <v>886</v>
      </c>
      <c r="C1343" s="2" t="s">
        <v>24</v>
      </c>
      <c r="D1343" s="2" t="s">
        <v>948</v>
      </c>
      <c r="E1343" s="2" t="s">
        <v>77</v>
      </c>
      <c r="F1343" s="2" t="s">
        <v>78</v>
      </c>
      <c r="G1343" s="2"/>
      <c r="H1343" s="2"/>
      <c r="I1343" s="2"/>
      <c r="J1343" s="2"/>
    </row>
    <row r="1344" spans="1:10" x14ac:dyDescent="0.35">
      <c r="A1344" s="2" t="s">
        <v>10</v>
      </c>
      <c r="B1344" s="2" t="s">
        <v>886</v>
      </c>
      <c r="C1344" s="2" t="s">
        <v>24</v>
      </c>
      <c r="D1344" s="2" t="s">
        <v>948</v>
      </c>
      <c r="E1344" s="2" t="s">
        <v>258</v>
      </c>
      <c r="F1344" s="2" t="s">
        <v>259</v>
      </c>
      <c r="G1344" s="2"/>
      <c r="H1344" s="2"/>
      <c r="I1344" s="2"/>
      <c r="J1344" s="2"/>
    </row>
    <row r="1345" spans="1:10" x14ac:dyDescent="0.35">
      <c r="A1345" s="2" t="s">
        <v>10</v>
      </c>
      <c r="B1345" s="2" t="s">
        <v>886</v>
      </c>
      <c r="C1345" s="2" t="s">
        <v>24</v>
      </c>
      <c r="D1345" s="2" t="s">
        <v>948</v>
      </c>
      <c r="E1345" s="2" t="s">
        <v>960</v>
      </c>
      <c r="F1345" s="2" t="s">
        <v>40</v>
      </c>
      <c r="G1345" s="2"/>
      <c r="H1345" s="2"/>
      <c r="I1345" s="2"/>
      <c r="J1345" s="2"/>
    </row>
    <row r="1346" spans="1:10" x14ac:dyDescent="0.35">
      <c r="A1346" s="2" t="s">
        <v>10</v>
      </c>
      <c r="B1346" s="2" t="s">
        <v>886</v>
      </c>
      <c r="C1346" s="2" t="s">
        <v>24</v>
      </c>
      <c r="D1346" s="2" t="s">
        <v>948</v>
      </c>
      <c r="E1346" s="2" t="s">
        <v>417</v>
      </c>
      <c r="F1346" s="2" t="s">
        <v>40</v>
      </c>
      <c r="G1346" s="2"/>
      <c r="H1346" s="2"/>
      <c r="I1346" s="2"/>
      <c r="J1346" s="2"/>
    </row>
    <row r="1347" spans="1:10" x14ac:dyDescent="0.35">
      <c r="A1347" s="2" t="s">
        <v>10</v>
      </c>
      <c r="B1347" s="2" t="s">
        <v>886</v>
      </c>
      <c r="C1347" s="2" t="s">
        <v>24</v>
      </c>
      <c r="D1347" s="2" t="s">
        <v>948</v>
      </c>
      <c r="E1347" s="2" t="s">
        <v>18</v>
      </c>
      <c r="F1347" s="2" t="s">
        <v>19</v>
      </c>
      <c r="G1347" s="2"/>
      <c r="H1347" s="2"/>
      <c r="I1347" s="2"/>
      <c r="J1347" s="2"/>
    </row>
    <row r="1348" spans="1:10" x14ac:dyDescent="0.35">
      <c r="A1348" s="2" t="s">
        <v>10</v>
      </c>
      <c r="B1348" s="2" t="s">
        <v>886</v>
      </c>
      <c r="C1348" s="2" t="s">
        <v>24</v>
      </c>
      <c r="D1348" s="2" t="s">
        <v>948</v>
      </c>
      <c r="E1348" s="2" t="s">
        <v>100</v>
      </c>
      <c r="F1348" s="2" t="s">
        <v>101</v>
      </c>
      <c r="G1348" s="2"/>
      <c r="H1348" s="2"/>
      <c r="I1348" s="2"/>
      <c r="J1348" s="2"/>
    </row>
    <row r="1349" spans="1:10" s="21" customFormat="1" x14ac:dyDescent="0.35">
      <c r="A1349" s="2" t="s">
        <v>10</v>
      </c>
      <c r="B1349" s="2" t="s">
        <v>886</v>
      </c>
      <c r="C1349" s="2" t="s">
        <v>24</v>
      </c>
      <c r="D1349" s="2" t="s">
        <v>948</v>
      </c>
      <c r="E1349" s="2" t="s">
        <v>941</v>
      </c>
      <c r="F1349" s="2" t="s">
        <v>228</v>
      </c>
      <c r="G1349" s="2" t="s">
        <v>16</v>
      </c>
      <c r="H1349" s="2" t="s">
        <v>961</v>
      </c>
      <c r="I1349" s="2"/>
      <c r="J1349" s="2"/>
    </row>
    <row r="1350" spans="1:10" x14ac:dyDescent="0.35">
      <c r="A1350" s="2" t="s">
        <v>10</v>
      </c>
      <c r="B1350" s="2" t="s">
        <v>886</v>
      </c>
      <c r="C1350" s="2" t="s">
        <v>24</v>
      </c>
      <c r="D1350" s="2" t="s">
        <v>948</v>
      </c>
      <c r="E1350" s="2" t="s">
        <v>188</v>
      </c>
      <c r="F1350" s="2" t="s">
        <v>189</v>
      </c>
      <c r="G1350" s="2"/>
      <c r="H1350" s="2"/>
      <c r="I1350" s="2"/>
      <c r="J1350" s="2"/>
    </row>
    <row r="1351" spans="1:10" x14ac:dyDescent="0.35">
      <c r="A1351" s="2" t="s">
        <v>10</v>
      </c>
      <c r="B1351" s="2" t="s">
        <v>886</v>
      </c>
      <c r="C1351" s="2" t="s">
        <v>24</v>
      </c>
      <c r="D1351" s="2" t="s">
        <v>948</v>
      </c>
      <c r="E1351" s="2" t="s">
        <v>962</v>
      </c>
      <c r="F1351" s="2" t="s">
        <v>38</v>
      </c>
      <c r="G1351" s="2"/>
      <c r="H1351" s="2"/>
      <c r="I1351" s="2"/>
      <c r="J1351" s="2"/>
    </row>
    <row r="1352" spans="1:10" x14ac:dyDescent="0.35">
      <c r="A1352" s="2" t="s">
        <v>10</v>
      </c>
      <c r="B1352" s="2" t="s">
        <v>886</v>
      </c>
      <c r="C1352" s="2" t="s">
        <v>24</v>
      </c>
      <c r="D1352" s="2" t="s">
        <v>948</v>
      </c>
      <c r="E1352" s="2" t="s">
        <v>963</v>
      </c>
      <c r="F1352" s="2" t="s">
        <v>78</v>
      </c>
      <c r="G1352" s="2"/>
      <c r="H1352" s="2"/>
      <c r="I1352" s="2"/>
      <c r="J1352" s="2"/>
    </row>
    <row r="1353" spans="1:10" x14ac:dyDescent="0.35">
      <c r="A1353" s="2" t="s">
        <v>10</v>
      </c>
      <c r="B1353" s="2" t="s">
        <v>886</v>
      </c>
      <c r="C1353" s="2" t="s">
        <v>24</v>
      </c>
      <c r="D1353" s="2" t="s">
        <v>948</v>
      </c>
      <c r="E1353" s="2" t="s">
        <v>149</v>
      </c>
      <c r="F1353" s="2" t="s">
        <v>150</v>
      </c>
      <c r="G1353" s="2"/>
      <c r="H1353" s="2"/>
      <c r="I1353" s="2"/>
      <c r="J1353" s="2"/>
    </row>
    <row r="1354" spans="1:10" x14ac:dyDescent="0.35">
      <c r="A1354" s="2" t="s">
        <v>10</v>
      </c>
      <c r="B1354" s="2" t="s">
        <v>886</v>
      </c>
      <c r="C1354" s="2" t="s">
        <v>24</v>
      </c>
      <c r="D1354" s="2" t="s">
        <v>948</v>
      </c>
      <c r="E1354" s="2" t="s">
        <v>193</v>
      </c>
      <c r="F1354" s="2" t="s">
        <v>40</v>
      </c>
      <c r="G1354" s="2"/>
      <c r="H1354" s="2"/>
      <c r="I1354" s="2"/>
      <c r="J1354" s="2"/>
    </row>
    <row r="1355" spans="1:10" x14ac:dyDescent="0.35">
      <c r="A1355" s="2" t="s">
        <v>10</v>
      </c>
      <c r="B1355" s="2" t="s">
        <v>886</v>
      </c>
      <c r="C1355" s="2" t="s">
        <v>24</v>
      </c>
      <c r="D1355" s="2" t="s">
        <v>948</v>
      </c>
      <c r="E1355" s="2" t="s">
        <v>964</v>
      </c>
      <c r="F1355" s="2" t="s">
        <v>75</v>
      </c>
      <c r="G1355" s="2"/>
      <c r="H1355" s="2"/>
      <c r="I1355" s="2"/>
      <c r="J1355" s="2"/>
    </row>
    <row r="1356" spans="1:10" x14ac:dyDescent="0.35">
      <c r="A1356" s="2" t="s">
        <v>10</v>
      </c>
      <c r="B1356" s="2" t="s">
        <v>886</v>
      </c>
      <c r="C1356" s="2" t="s">
        <v>24</v>
      </c>
      <c r="D1356" s="2" t="s">
        <v>948</v>
      </c>
      <c r="E1356" s="2" t="s">
        <v>965</v>
      </c>
      <c r="F1356" s="2" t="s">
        <v>363</v>
      </c>
      <c r="G1356" s="2"/>
      <c r="H1356" s="2"/>
      <c r="I1356" s="2"/>
      <c r="J1356" s="2"/>
    </row>
    <row r="1357" spans="1:10" x14ac:dyDescent="0.35">
      <c r="A1357" s="2" t="s">
        <v>10</v>
      </c>
      <c r="B1357" s="2" t="s">
        <v>886</v>
      </c>
      <c r="C1357" s="2" t="s">
        <v>24</v>
      </c>
      <c r="D1357" s="2" t="s">
        <v>948</v>
      </c>
      <c r="E1357" s="2" t="s">
        <v>966</v>
      </c>
      <c r="F1357" s="2" t="s">
        <v>125</v>
      </c>
      <c r="G1357" s="2"/>
      <c r="H1357" s="2"/>
      <c r="I1357" s="2"/>
      <c r="J1357" s="2"/>
    </row>
    <row r="1358" spans="1:10" x14ac:dyDescent="0.35">
      <c r="A1358" s="2" t="s">
        <v>10</v>
      </c>
      <c r="B1358" s="2" t="s">
        <v>886</v>
      </c>
      <c r="C1358" s="2" t="s">
        <v>24</v>
      </c>
      <c r="D1358" s="2" t="s">
        <v>967</v>
      </c>
      <c r="E1358" s="2" t="s">
        <v>196</v>
      </c>
      <c r="F1358" s="2" t="s">
        <v>197</v>
      </c>
      <c r="G1358" s="2"/>
      <c r="H1358" s="2"/>
      <c r="I1358" s="2"/>
      <c r="J1358" s="2"/>
    </row>
    <row r="1359" spans="1:10" x14ac:dyDescent="0.35">
      <c r="A1359" s="2" t="s">
        <v>10</v>
      </c>
      <c r="B1359" s="2" t="s">
        <v>886</v>
      </c>
      <c r="C1359" s="2" t="s">
        <v>24</v>
      </c>
      <c r="D1359" s="2" t="s">
        <v>967</v>
      </c>
      <c r="E1359" s="2" t="s">
        <v>485</v>
      </c>
      <c r="F1359" s="2" t="s">
        <v>15</v>
      </c>
      <c r="G1359" s="2"/>
      <c r="H1359" s="2"/>
      <c r="I1359" s="2"/>
      <c r="J1359" s="2"/>
    </row>
    <row r="1360" spans="1:10" x14ac:dyDescent="0.35">
      <c r="A1360" s="2" t="s">
        <v>10</v>
      </c>
      <c r="B1360" s="2" t="s">
        <v>886</v>
      </c>
      <c r="C1360" s="2" t="s">
        <v>24</v>
      </c>
      <c r="D1360" s="2" t="s">
        <v>967</v>
      </c>
      <c r="E1360" s="2" t="s">
        <v>31</v>
      </c>
      <c r="F1360" s="2" t="s">
        <v>32</v>
      </c>
      <c r="G1360" s="2"/>
      <c r="H1360" s="2"/>
      <c r="I1360" s="2"/>
      <c r="J1360" s="2"/>
    </row>
    <row r="1361" spans="1:10" x14ac:dyDescent="0.35">
      <c r="A1361" s="2" t="s">
        <v>10</v>
      </c>
      <c r="B1361" s="2" t="s">
        <v>886</v>
      </c>
      <c r="C1361" s="2" t="s">
        <v>24</v>
      </c>
      <c r="D1361" s="2" t="s">
        <v>967</v>
      </c>
      <c r="E1361" s="2" t="s">
        <v>968</v>
      </c>
      <c r="F1361" s="2" t="s">
        <v>15</v>
      </c>
      <c r="G1361" s="2"/>
      <c r="H1361" s="2"/>
      <c r="I1361" s="2"/>
      <c r="J1361" s="2"/>
    </row>
    <row r="1362" spans="1:10" x14ac:dyDescent="0.35">
      <c r="A1362" s="2" t="s">
        <v>10</v>
      </c>
      <c r="B1362" s="2" t="s">
        <v>886</v>
      </c>
      <c r="C1362" s="2" t="s">
        <v>24</v>
      </c>
      <c r="D1362" s="2" t="s">
        <v>967</v>
      </c>
      <c r="E1362" s="2" t="s">
        <v>211</v>
      </c>
      <c r="F1362" s="2" t="s">
        <v>203</v>
      </c>
      <c r="G1362" s="2"/>
      <c r="H1362" s="2"/>
      <c r="I1362" s="2"/>
      <c r="J1362" s="2"/>
    </row>
    <row r="1363" spans="1:10" x14ac:dyDescent="0.35">
      <c r="A1363" s="2" t="s">
        <v>10</v>
      </c>
      <c r="B1363" s="2" t="s">
        <v>886</v>
      </c>
      <c r="C1363" s="2" t="s">
        <v>24</v>
      </c>
      <c r="D1363" s="2" t="s">
        <v>967</v>
      </c>
      <c r="E1363" s="2" t="s">
        <v>969</v>
      </c>
      <c r="F1363" s="2" t="s">
        <v>78</v>
      </c>
      <c r="G1363" s="2"/>
      <c r="H1363" s="2"/>
      <c r="I1363" s="2"/>
      <c r="J1363" s="2"/>
    </row>
    <row r="1364" spans="1:10" x14ac:dyDescent="0.35">
      <c r="A1364" s="2" t="s">
        <v>10</v>
      </c>
      <c r="B1364" s="2" t="s">
        <v>886</v>
      </c>
      <c r="C1364" s="2" t="s">
        <v>24</v>
      </c>
      <c r="D1364" s="2" t="s">
        <v>967</v>
      </c>
      <c r="E1364" s="2" t="s">
        <v>417</v>
      </c>
      <c r="F1364" s="2" t="s">
        <v>40</v>
      </c>
      <c r="G1364" s="2"/>
      <c r="H1364" s="2"/>
      <c r="I1364" s="2"/>
      <c r="J1364" s="2"/>
    </row>
    <row r="1365" spans="1:10" x14ac:dyDescent="0.35">
      <c r="A1365" s="2" t="s">
        <v>10</v>
      </c>
      <c r="B1365" s="2" t="s">
        <v>886</v>
      </c>
      <c r="C1365" s="2" t="s">
        <v>24</v>
      </c>
      <c r="D1365" s="2" t="s">
        <v>967</v>
      </c>
      <c r="E1365" s="2" t="s">
        <v>89</v>
      </c>
      <c r="F1365" s="2" t="s">
        <v>45</v>
      </c>
      <c r="G1365" s="2" t="s">
        <v>16</v>
      </c>
      <c r="H1365" s="2" t="s">
        <v>970</v>
      </c>
      <c r="I1365" s="2"/>
      <c r="J1365" s="2"/>
    </row>
    <row r="1366" spans="1:10" x14ac:dyDescent="0.35">
      <c r="A1366" s="2" t="s">
        <v>10</v>
      </c>
      <c r="B1366" s="2" t="s">
        <v>886</v>
      </c>
      <c r="C1366" s="2" t="s">
        <v>24</v>
      </c>
      <c r="D1366" s="2" t="s">
        <v>971</v>
      </c>
      <c r="E1366" s="2" t="s">
        <v>196</v>
      </c>
      <c r="F1366" s="2" t="s">
        <v>197</v>
      </c>
      <c r="G1366" s="2"/>
      <c r="H1366" s="2"/>
      <c r="I1366" s="2"/>
      <c r="J1366" s="2"/>
    </row>
    <row r="1367" spans="1:10" x14ac:dyDescent="0.35">
      <c r="A1367" s="2" t="s">
        <v>10</v>
      </c>
      <c r="B1367" s="2" t="s">
        <v>886</v>
      </c>
      <c r="C1367" s="2" t="s">
        <v>24</v>
      </c>
      <c r="D1367" s="2" t="s">
        <v>971</v>
      </c>
      <c r="E1367" s="2" t="s">
        <v>14</v>
      </c>
      <c r="F1367" s="2" t="s">
        <v>15</v>
      </c>
      <c r="G1367" s="2"/>
      <c r="H1367" s="2"/>
      <c r="I1367" s="2"/>
      <c r="J1367" s="2"/>
    </row>
    <row r="1368" spans="1:10" x14ac:dyDescent="0.35">
      <c r="A1368" s="2" t="s">
        <v>10</v>
      </c>
      <c r="B1368" s="2" t="s">
        <v>886</v>
      </c>
      <c r="C1368" s="2" t="s">
        <v>24</v>
      </c>
      <c r="D1368" s="2" t="s">
        <v>971</v>
      </c>
      <c r="E1368" s="2" t="s">
        <v>31</v>
      </c>
      <c r="F1368" s="2" t="s">
        <v>32</v>
      </c>
      <c r="G1368" s="2"/>
      <c r="H1368" s="2"/>
      <c r="I1368" s="2"/>
      <c r="J1368" s="2"/>
    </row>
    <row r="1369" spans="1:10" x14ac:dyDescent="0.35">
      <c r="A1369" s="2" t="s">
        <v>10</v>
      </c>
      <c r="B1369" s="2" t="s">
        <v>886</v>
      </c>
      <c r="C1369" s="2" t="s">
        <v>24</v>
      </c>
      <c r="D1369" s="2" t="s">
        <v>971</v>
      </c>
      <c r="E1369" s="2" t="s">
        <v>200</v>
      </c>
      <c r="F1369" s="2" t="s">
        <v>201</v>
      </c>
      <c r="G1369" s="2"/>
      <c r="H1369" s="2"/>
      <c r="I1369" s="2"/>
      <c r="J1369" s="2"/>
    </row>
    <row r="1370" spans="1:10" x14ac:dyDescent="0.35">
      <c r="A1370" s="2" t="s">
        <v>10</v>
      </c>
      <c r="B1370" s="2" t="s">
        <v>886</v>
      </c>
      <c r="C1370" s="2" t="s">
        <v>24</v>
      </c>
      <c r="D1370" s="2" t="s">
        <v>971</v>
      </c>
      <c r="E1370" s="2" t="s">
        <v>972</v>
      </c>
      <c r="F1370" s="2" t="s">
        <v>32</v>
      </c>
      <c r="G1370" s="2"/>
      <c r="H1370" s="2"/>
      <c r="I1370" s="2"/>
      <c r="J1370" s="2"/>
    </row>
    <row r="1371" spans="1:10" x14ac:dyDescent="0.35">
      <c r="A1371" s="2" t="s">
        <v>10</v>
      </c>
      <c r="B1371" s="2" t="s">
        <v>886</v>
      </c>
      <c r="C1371" s="2" t="s">
        <v>24</v>
      </c>
      <c r="D1371" s="2" t="s">
        <v>971</v>
      </c>
      <c r="E1371" s="2" t="s">
        <v>211</v>
      </c>
      <c r="F1371" s="2" t="s">
        <v>203</v>
      </c>
      <c r="G1371" s="2"/>
      <c r="H1371" s="2"/>
      <c r="I1371" s="2"/>
      <c r="J1371" s="2"/>
    </row>
    <row r="1372" spans="1:10" x14ac:dyDescent="0.35">
      <c r="A1372" s="2" t="s">
        <v>10</v>
      </c>
      <c r="B1372" s="2" t="s">
        <v>886</v>
      </c>
      <c r="C1372" s="2" t="s">
        <v>24</v>
      </c>
      <c r="D1372" s="2" t="s">
        <v>971</v>
      </c>
      <c r="E1372" s="2" t="s">
        <v>38</v>
      </c>
      <c r="F1372" s="2" t="s">
        <v>38</v>
      </c>
      <c r="G1372" s="2"/>
      <c r="H1372" s="2"/>
      <c r="I1372" s="2"/>
      <c r="J1372" s="2"/>
    </row>
    <row r="1373" spans="1:10" x14ac:dyDescent="0.35">
      <c r="A1373" s="2" t="s">
        <v>10</v>
      </c>
      <c r="B1373" s="2" t="s">
        <v>886</v>
      </c>
      <c r="C1373" s="2" t="s">
        <v>24</v>
      </c>
      <c r="D1373" s="2" t="s">
        <v>971</v>
      </c>
      <c r="E1373" s="2" t="s">
        <v>89</v>
      </c>
      <c r="F1373" s="2" t="s">
        <v>45</v>
      </c>
      <c r="G1373" s="2"/>
      <c r="H1373" s="2"/>
      <c r="I1373" s="2"/>
      <c r="J1373" s="2"/>
    </row>
    <row r="1374" spans="1:10" x14ac:dyDescent="0.35">
      <c r="A1374" s="2" t="s">
        <v>10</v>
      </c>
      <c r="B1374" s="2" t="s">
        <v>886</v>
      </c>
      <c r="C1374" s="2" t="s">
        <v>24</v>
      </c>
      <c r="D1374" s="2" t="s">
        <v>971</v>
      </c>
      <c r="E1374" s="2" t="s">
        <v>100</v>
      </c>
      <c r="F1374" s="2" t="s">
        <v>101</v>
      </c>
      <c r="G1374" s="2"/>
      <c r="H1374" s="2"/>
      <c r="I1374" s="2"/>
      <c r="J1374" s="2"/>
    </row>
    <row r="1375" spans="1:10" x14ac:dyDescent="0.35">
      <c r="A1375" s="2" t="s">
        <v>10</v>
      </c>
      <c r="B1375" s="2" t="s">
        <v>886</v>
      </c>
      <c r="C1375" s="2" t="s">
        <v>24</v>
      </c>
      <c r="D1375" s="2" t="s">
        <v>971</v>
      </c>
      <c r="E1375" s="2" t="s">
        <v>302</v>
      </c>
      <c r="F1375" s="2" t="s">
        <v>65</v>
      </c>
      <c r="G1375" s="2"/>
      <c r="H1375" s="2"/>
      <c r="I1375" s="2"/>
      <c r="J1375" s="2"/>
    </row>
    <row r="1376" spans="1:10" x14ac:dyDescent="0.35">
      <c r="A1376" s="2" t="s">
        <v>10</v>
      </c>
      <c r="B1376" s="2" t="s">
        <v>886</v>
      </c>
      <c r="C1376" s="2" t="s">
        <v>24</v>
      </c>
      <c r="D1376" s="2" t="s">
        <v>973</v>
      </c>
      <c r="E1376" s="2" t="s">
        <v>196</v>
      </c>
      <c r="F1376" s="2" t="s">
        <v>197</v>
      </c>
      <c r="G1376" s="2" t="s">
        <v>46</v>
      </c>
      <c r="H1376" s="2" t="s">
        <v>675</v>
      </c>
      <c r="I1376" s="2"/>
      <c r="J1376" s="2"/>
    </row>
    <row r="1377" spans="1:10" x14ac:dyDescent="0.35">
      <c r="A1377" s="2" t="s">
        <v>10</v>
      </c>
      <c r="B1377" s="2" t="s">
        <v>886</v>
      </c>
      <c r="C1377" s="2" t="s">
        <v>24</v>
      </c>
      <c r="D1377" s="2" t="s">
        <v>973</v>
      </c>
      <c r="E1377" s="2" t="s">
        <v>14</v>
      </c>
      <c r="F1377" s="2" t="s">
        <v>15</v>
      </c>
      <c r="G1377" s="2" t="s">
        <v>46</v>
      </c>
      <c r="H1377" s="2" t="s">
        <v>675</v>
      </c>
      <c r="I1377" s="2"/>
      <c r="J1377" s="2"/>
    </row>
    <row r="1378" spans="1:10" x14ac:dyDescent="0.35">
      <c r="A1378" s="2" t="s">
        <v>10</v>
      </c>
      <c r="B1378" s="2" t="s">
        <v>886</v>
      </c>
      <c r="C1378" s="2" t="s">
        <v>24</v>
      </c>
      <c r="D1378" s="2" t="s">
        <v>973</v>
      </c>
      <c r="E1378" s="2" t="s">
        <v>563</v>
      </c>
      <c r="F1378" s="2" t="s">
        <v>45</v>
      </c>
      <c r="G1378" s="2" t="s">
        <v>46</v>
      </c>
      <c r="H1378" s="2" t="s">
        <v>675</v>
      </c>
      <c r="I1378" s="2"/>
      <c r="J1378" s="2"/>
    </row>
    <row r="1379" spans="1:10" x14ac:dyDescent="0.35">
      <c r="A1379" s="2" t="s">
        <v>10</v>
      </c>
      <c r="B1379" s="2" t="s">
        <v>886</v>
      </c>
      <c r="C1379" s="2" t="s">
        <v>24</v>
      </c>
      <c r="D1379" s="2" t="s">
        <v>973</v>
      </c>
      <c r="E1379" s="2" t="s">
        <v>31</v>
      </c>
      <c r="F1379" s="2" t="s">
        <v>32</v>
      </c>
      <c r="G1379" s="2" t="s">
        <v>46</v>
      </c>
      <c r="H1379" s="2" t="s">
        <v>675</v>
      </c>
      <c r="I1379" s="2"/>
      <c r="J1379" s="2"/>
    </row>
    <row r="1380" spans="1:10" x14ac:dyDescent="0.35">
      <c r="A1380" s="2" t="s">
        <v>10</v>
      </c>
      <c r="B1380" s="2" t="s">
        <v>886</v>
      </c>
      <c r="C1380" s="2" t="s">
        <v>24</v>
      </c>
      <c r="D1380" s="2" t="s">
        <v>973</v>
      </c>
      <c r="E1380" s="2" t="s">
        <v>452</v>
      </c>
      <c r="F1380" s="2" t="s">
        <v>38</v>
      </c>
      <c r="G1380" s="2" t="s">
        <v>46</v>
      </c>
      <c r="H1380" s="2" t="s">
        <v>675</v>
      </c>
      <c r="I1380" s="2"/>
      <c r="J1380" s="2"/>
    </row>
    <row r="1381" spans="1:10" x14ac:dyDescent="0.35">
      <c r="A1381" s="2" t="s">
        <v>10</v>
      </c>
      <c r="B1381" s="2" t="s">
        <v>886</v>
      </c>
      <c r="C1381" s="2" t="s">
        <v>24</v>
      </c>
      <c r="D1381" s="2" t="s">
        <v>973</v>
      </c>
      <c r="E1381" s="2" t="s">
        <v>950</v>
      </c>
      <c r="F1381" s="2" t="s">
        <v>38</v>
      </c>
      <c r="G1381" s="2" t="s">
        <v>46</v>
      </c>
      <c r="H1381" s="2" t="s">
        <v>675</v>
      </c>
      <c r="I1381" s="2"/>
      <c r="J1381" s="2"/>
    </row>
    <row r="1382" spans="1:10" x14ac:dyDescent="0.35">
      <c r="A1382" s="2" t="s">
        <v>10</v>
      </c>
      <c r="B1382" s="2" t="s">
        <v>886</v>
      </c>
      <c r="C1382" s="2" t="s">
        <v>24</v>
      </c>
      <c r="D1382" s="2" t="s">
        <v>973</v>
      </c>
      <c r="E1382" s="2" t="s">
        <v>951</v>
      </c>
      <c r="F1382" s="2" t="s">
        <v>83</v>
      </c>
      <c r="G1382" s="2" t="s">
        <v>46</v>
      </c>
      <c r="H1382" s="2" t="s">
        <v>675</v>
      </c>
      <c r="I1382" s="2"/>
      <c r="J1382" s="2"/>
    </row>
    <row r="1383" spans="1:10" x14ac:dyDescent="0.35">
      <c r="A1383" s="2" t="s">
        <v>10</v>
      </c>
      <c r="B1383" s="2" t="s">
        <v>886</v>
      </c>
      <c r="C1383" s="2" t="s">
        <v>24</v>
      </c>
      <c r="D1383" s="2" t="s">
        <v>973</v>
      </c>
      <c r="E1383" s="2" t="s">
        <v>200</v>
      </c>
      <c r="F1383" s="2" t="s">
        <v>201</v>
      </c>
      <c r="G1383" s="2" t="s">
        <v>46</v>
      </c>
      <c r="H1383" s="2" t="s">
        <v>675</v>
      </c>
      <c r="I1383" s="2"/>
      <c r="J1383" s="2"/>
    </row>
    <row r="1384" spans="1:10" x14ac:dyDescent="0.35">
      <c r="A1384" s="2" t="s">
        <v>10</v>
      </c>
      <c r="B1384" s="2" t="s">
        <v>886</v>
      </c>
      <c r="C1384" s="2" t="s">
        <v>24</v>
      </c>
      <c r="D1384" s="2" t="s">
        <v>973</v>
      </c>
      <c r="E1384" s="2" t="s">
        <v>96</v>
      </c>
      <c r="F1384" s="2" t="s">
        <v>83</v>
      </c>
      <c r="G1384" s="2" t="s">
        <v>46</v>
      </c>
      <c r="H1384" s="2" t="s">
        <v>675</v>
      </c>
      <c r="I1384" s="2"/>
      <c r="J1384" s="2"/>
    </row>
    <row r="1385" spans="1:10" x14ac:dyDescent="0.35">
      <c r="A1385" s="2" t="s">
        <v>10</v>
      </c>
      <c r="B1385" s="2" t="s">
        <v>886</v>
      </c>
      <c r="C1385" s="2" t="s">
        <v>24</v>
      </c>
      <c r="D1385" s="2" t="s">
        <v>973</v>
      </c>
      <c r="E1385" s="2" t="s">
        <v>211</v>
      </c>
      <c r="F1385" s="2" t="s">
        <v>203</v>
      </c>
      <c r="G1385" s="2" t="s">
        <v>46</v>
      </c>
      <c r="H1385" s="2" t="s">
        <v>675</v>
      </c>
      <c r="I1385" s="2"/>
      <c r="J1385" s="2"/>
    </row>
    <row r="1386" spans="1:10" x14ac:dyDescent="0.35">
      <c r="A1386" s="2" t="s">
        <v>10</v>
      </c>
      <c r="B1386" s="2" t="s">
        <v>886</v>
      </c>
      <c r="C1386" s="2" t="s">
        <v>24</v>
      </c>
      <c r="D1386" s="2" t="s">
        <v>973</v>
      </c>
      <c r="E1386" s="2" t="s">
        <v>952</v>
      </c>
      <c r="F1386" s="2" t="s">
        <v>38</v>
      </c>
      <c r="G1386" s="2" t="s">
        <v>46</v>
      </c>
      <c r="H1386" s="2" t="s">
        <v>675</v>
      </c>
      <c r="I1386" s="2"/>
      <c r="J1386" s="2"/>
    </row>
    <row r="1387" spans="1:10" x14ac:dyDescent="0.35">
      <c r="A1387" s="2" t="s">
        <v>10</v>
      </c>
      <c r="B1387" s="2" t="s">
        <v>886</v>
      </c>
      <c r="C1387" s="2" t="s">
        <v>24</v>
      </c>
      <c r="D1387" s="2" t="s">
        <v>973</v>
      </c>
      <c r="E1387" s="2" t="s">
        <v>974</v>
      </c>
      <c r="F1387" s="2" t="s">
        <v>15</v>
      </c>
      <c r="G1387" s="2" t="s">
        <v>46</v>
      </c>
      <c r="H1387" s="2" t="s">
        <v>675</v>
      </c>
      <c r="I1387" s="2"/>
      <c r="J1387" s="2"/>
    </row>
    <row r="1388" spans="1:10" x14ac:dyDescent="0.35">
      <c r="A1388" s="2" t="s">
        <v>10</v>
      </c>
      <c r="B1388" s="2" t="s">
        <v>886</v>
      </c>
      <c r="C1388" s="2" t="s">
        <v>24</v>
      </c>
      <c r="D1388" s="2" t="s">
        <v>973</v>
      </c>
      <c r="E1388" s="2" t="s">
        <v>954</v>
      </c>
      <c r="F1388" s="2" t="s">
        <v>955</v>
      </c>
      <c r="G1388" s="2" t="s">
        <v>46</v>
      </c>
      <c r="H1388" s="2" t="s">
        <v>675</v>
      </c>
      <c r="I1388" s="2"/>
      <c r="J1388" s="2"/>
    </row>
    <row r="1389" spans="1:10" x14ac:dyDescent="0.35">
      <c r="A1389" s="2" t="s">
        <v>10</v>
      </c>
      <c r="B1389" s="2" t="s">
        <v>886</v>
      </c>
      <c r="C1389" s="2" t="s">
        <v>24</v>
      </c>
      <c r="D1389" s="2" t="s">
        <v>973</v>
      </c>
      <c r="E1389" s="2" t="s">
        <v>416</v>
      </c>
      <c r="F1389" s="2" t="s">
        <v>38</v>
      </c>
      <c r="G1389" s="2" t="s">
        <v>46</v>
      </c>
      <c r="H1389" s="2" t="s">
        <v>675</v>
      </c>
      <c r="I1389" s="2"/>
      <c r="J1389" s="2"/>
    </row>
    <row r="1390" spans="1:10" x14ac:dyDescent="0.35">
      <c r="A1390" s="2" t="s">
        <v>10</v>
      </c>
      <c r="B1390" s="2" t="s">
        <v>886</v>
      </c>
      <c r="C1390" s="2" t="s">
        <v>24</v>
      </c>
      <c r="D1390" s="2" t="s">
        <v>973</v>
      </c>
      <c r="E1390" s="2" t="s">
        <v>956</v>
      </c>
      <c r="F1390" s="2" t="s">
        <v>40</v>
      </c>
      <c r="G1390" s="2" t="s">
        <v>46</v>
      </c>
      <c r="H1390" s="2" t="s">
        <v>675</v>
      </c>
      <c r="I1390" s="2"/>
      <c r="J1390" s="2"/>
    </row>
    <row r="1391" spans="1:10" x14ac:dyDescent="0.35">
      <c r="A1391" s="2" t="s">
        <v>10</v>
      </c>
      <c r="B1391" s="2" t="s">
        <v>886</v>
      </c>
      <c r="C1391" s="2" t="s">
        <v>24</v>
      </c>
      <c r="D1391" s="2" t="s">
        <v>973</v>
      </c>
      <c r="E1391" s="2" t="s">
        <v>975</v>
      </c>
      <c r="F1391" s="2" t="s">
        <v>78</v>
      </c>
      <c r="G1391" s="2" t="s">
        <v>46</v>
      </c>
      <c r="H1391" s="2" t="s">
        <v>675</v>
      </c>
      <c r="I1391" s="2"/>
      <c r="J1391" s="2"/>
    </row>
    <row r="1392" spans="1:10" x14ac:dyDescent="0.35">
      <c r="A1392" s="2" t="s">
        <v>10</v>
      </c>
      <c r="B1392" s="2" t="s">
        <v>886</v>
      </c>
      <c r="C1392" s="2" t="s">
        <v>24</v>
      </c>
      <c r="D1392" s="2" t="s">
        <v>973</v>
      </c>
      <c r="E1392" s="2" t="s">
        <v>957</v>
      </c>
      <c r="F1392" s="2" t="s">
        <v>958</v>
      </c>
      <c r="G1392" s="2" t="s">
        <v>46</v>
      </c>
      <c r="H1392" s="2" t="s">
        <v>675</v>
      </c>
      <c r="I1392" s="2"/>
      <c r="J1392" s="2"/>
    </row>
    <row r="1393" spans="1:10" x14ac:dyDescent="0.35">
      <c r="A1393" s="2" t="s">
        <v>10</v>
      </c>
      <c r="B1393" s="2" t="s">
        <v>886</v>
      </c>
      <c r="C1393" s="2" t="s">
        <v>24</v>
      </c>
      <c r="D1393" s="2" t="s">
        <v>973</v>
      </c>
      <c r="E1393" s="2" t="s">
        <v>959</v>
      </c>
      <c r="F1393" s="2" t="s">
        <v>78</v>
      </c>
      <c r="G1393" s="2" t="s">
        <v>46</v>
      </c>
      <c r="H1393" s="2" t="s">
        <v>675</v>
      </c>
      <c r="I1393" s="2"/>
      <c r="J1393" s="2"/>
    </row>
    <row r="1394" spans="1:10" x14ac:dyDescent="0.35">
      <c r="A1394" s="2" t="s">
        <v>10</v>
      </c>
      <c r="B1394" s="2" t="s">
        <v>886</v>
      </c>
      <c r="C1394" s="2" t="s">
        <v>24</v>
      </c>
      <c r="D1394" s="2" t="s">
        <v>973</v>
      </c>
      <c r="E1394" s="2" t="s">
        <v>156</v>
      </c>
      <c r="F1394" s="2" t="s">
        <v>45</v>
      </c>
      <c r="G1394" s="2" t="s">
        <v>46</v>
      </c>
      <c r="H1394" s="2" t="s">
        <v>675</v>
      </c>
      <c r="I1394" s="2"/>
      <c r="J1394" s="2"/>
    </row>
    <row r="1395" spans="1:10" x14ac:dyDescent="0.35">
      <c r="A1395" s="2" t="s">
        <v>10</v>
      </c>
      <c r="B1395" s="2" t="s">
        <v>886</v>
      </c>
      <c r="C1395" s="2" t="s">
        <v>24</v>
      </c>
      <c r="D1395" s="2" t="s">
        <v>973</v>
      </c>
      <c r="E1395" s="2" t="s">
        <v>258</v>
      </c>
      <c r="F1395" s="2" t="s">
        <v>259</v>
      </c>
      <c r="G1395" s="2" t="s">
        <v>46</v>
      </c>
      <c r="H1395" s="2" t="s">
        <v>675</v>
      </c>
      <c r="I1395" s="2"/>
      <c r="J1395" s="2"/>
    </row>
    <row r="1396" spans="1:10" x14ac:dyDescent="0.35">
      <c r="A1396" s="2" t="s">
        <v>10</v>
      </c>
      <c r="B1396" s="2" t="s">
        <v>886</v>
      </c>
      <c r="C1396" s="2" t="s">
        <v>24</v>
      </c>
      <c r="D1396" s="2" t="s">
        <v>973</v>
      </c>
      <c r="E1396" s="2" t="s">
        <v>417</v>
      </c>
      <c r="F1396" s="2" t="s">
        <v>40</v>
      </c>
      <c r="G1396" s="2" t="s">
        <v>46</v>
      </c>
      <c r="H1396" s="2" t="s">
        <v>675</v>
      </c>
      <c r="I1396" s="2"/>
      <c r="J1396" s="2"/>
    </row>
    <row r="1397" spans="1:10" x14ac:dyDescent="0.35">
      <c r="A1397" s="2" t="s">
        <v>10</v>
      </c>
      <c r="B1397" s="2" t="s">
        <v>886</v>
      </c>
      <c r="C1397" s="2" t="s">
        <v>24</v>
      </c>
      <c r="D1397" s="2" t="s">
        <v>973</v>
      </c>
      <c r="E1397" s="2" t="s">
        <v>976</v>
      </c>
      <c r="F1397" s="2" t="s">
        <v>38</v>
      </c>
      <c r="G1397" s="2" t="s">
        <v>46</v>
      </c>
      <c r="H1397" s="2" t="s">
        <v>675</v>
      </c>
      <c r="I1397" s="2"/>
      <c r="J1397" s="2"/>
    </row>
    <row r="1398" spans="1:10" x14ac:dyDescent="0.35">
      <c r="A1398" s="2" t="s">
        <v>10</v>
      </c>
      <c r="B1398" s="2" t="s">
        <v>886</v>
      </c>
      <c r="C1398" s="2" t="s">
        <v>24</v>
      </c>
      <c r="D1398" s="2" t="s">
        <v>973</v>
      </c>
      <c r="E1398" s="2" t="s">
        <v>100</v>
      </c>
      <c r="F1398" s="2" t="s">
        <v>101</v>
      </c>
      <c r="G1398" s="2" t="s">
        <v>46</v>
      </c>
      <c r="H1398" s="2" t="s">
        <v>675</v>
      </c>
      <c r="I1398" s="2"/>
      <c r="J1398" s="2"/>
    </row>
    <row r="1399" spans="1:10" x14ac:dyDescent="0.35">
      <c r="A1399" s="2" t="s">
        <v>10</v>
      </c>
      <c r="B1399" s="2" t="s">
        <v>886</v>
      </c>
      <c r="C1399" s="2" t="s">
        <v>24</v>
      </c>
      <c r="D1399" s="2" t="s">
        <v>973</v>
      </c>
      <c r="E1399" s="2" t="s">
        <v>962</v>
      </c>
      <c r="F1399" s="2" t="s">
        <v>38</v>
      </c>
      <c r="G1399" s="2" t="s">
        <v>46</v>
      </c>
      <c r="H1399" s="2" t="s">
        <v>675</v>
      </c>
      <c r="I1399" s="2"/>
      <c r="J1399" s="2"/>
    </row>
    <row r="1400" spans="1:10" x14ac:dyDescent="0.35">
      <c r="A1400" s="2" t="s">
        <v>10</v>
      </c>
      <c r="B1400" s="2" t="s">
        <v>886</v>
      </c>
      <c r="C1400" s="2" t="s">
        <v>24</v>
      </c>
      <c r="D1400" s="2" t="s">
        <v>973</v>
      </c>
      <c r="E1400" s="2" t="s">
        <v>375</v>
      </c>
      <c r="F1400" s="2" t="s">
        <v>107</v>
      </c>
      <c r="G1400" s="2" t="s">
        <v>46</v>
      </c>
      <c r="H1400" s="2" t="s">
        <v>675</v>
      </c>
      <c r="I1400" s="2"/>
      <c r="J1400" s="2"/>
    </row>
    <row r="1401" spans="1:10" x14ac:dyDescent="0.35">
      <c r="A1401" s="2" t="s">
        <v>10</v>
      </c>
      <c r="B1401" s="2" t="s">
        <v>886</v>
      </c>
      <c r="C1401" s="2" t="s">
        <v>24</v>
      </c>
      <c r="D1401" s="2" t="s">
        <v>973</v>
      </c>
      <c r="E1401" s="2" t="s">
        <v>963</v>
      </c>
      <c r="F1401" s="2" t="s">
        <v>78</v>
      </c>
      <c r="G1401" s="2" t="s">
        <v>46</v>
      </c>
      <c r="H1401" s="2" t="s">
        <v>675</v>
      </c>
      <c r="I1401" s="2"/>
      <c r="J1401" s="2"/>
    </row>
    <row r="1402" spans="1:10" x14ac:dyDescent="0.35">
      <c r="A1402" s="2" t="s">
        <v>10</v>
      </c>
      <c r="B1402" s="2" t="s">
        <v>886</v>
      </c>
      <c r="C1402" s="2" t="s">
        <v>24</v>
      </c>
      <c r="D1402" s="2" t="s">
        <v>973</v>
      </c>
      <c r="E1402" s="2" t="s">
        <v>149</v>
      </c>
      <c r="F1402" s="2" t="s">
        <v>150</v>
      </c>
      <c r="G1402" s="2" t="s">
        <v>46</v>
      </c>
      <c r="H1402" s="2" t="s">
        <v>675</v>
      </c>
      <c r="I1402" s="2"/>
      <c r="J1402" s="2"/>
    </row>
    <row r="1403" spans="1:10" x14ac:dyDescent="0.35">
      <c r="A1403" s="2" t="s">
        <v>10</v>
      </c>
      <c r="B1403" s="2" t="s">
        <v>886</v>
      </c>
      <c r="C1403" s="2" t="s">
        <v>24</v>
      </c>
      <c r="D1403" s="2" t="s">
        <v>973</v>
      </c>
      <c r="E1403" s="2" t="s">
        <v>193</v>
      </c>
      <c r="F1403" s="2" t="s">
        <v>40</v>
      </c>
      <c r="G1403" s="2" t="s">
        <v>46</v>
      </c>
      <c r="H1403" s="2" t="s">
        <v>675</v>
      </c>
      <c r="I1403" s="2"/>
      <c r="J1403" s="2"/>
    </row>
    <row r="1404" spans="1:10" x14ac:dyDescent="0.35">
      <c r="A1404" s="2" t="s">
        <v>10</v>
      </c>
      <c r="B1404" s="2" t="s">
        <v>886</v>
      </c>
      <c r="C1404" s="2" t="s">
        <v>24</v>
      </c>
      <c r="D1404" s="2" t="s">
        <v>973</v>
      </c>
      <c r="E1404" s="2" t="s">
        <v>977</v>
      </c>
      <c r="F1404" s="2" t="s">
        <v>40</v>
      </c>
      <c r="G1404" s="2" t="s">
        <v>46</v>
      </c>
      <c r="H1404" s="2" t="s">
        <v>675</v>
      </c>
      <c r="I1404" s="2"/>
      <c r="J1404" s="2"/>
    </row>
    <row r="1405" spans="1:10" x14ac:dyDescent="0.35">
      <c r="A1405" s="2" t="s">
        <v>10</v>
      </c>
      <c r="B1405" s="2" t="s">
        <v>886</v>
      </c>
      <c r="C1405" s="2" t="s">
        <v>24</v>
      </c>
      <c r="D1405" s="2" t="s">
        <v>973</v>
      </c>
      <c r="E1405" s="2" t="s">
        <v>978</v>
      </c>
      <c r="F1405" s="2" t="s">
        <v>78</v>
      </c>
      <c r="G1405" s="2" t="s">
        <v>46</v>
      </c>
      <c r="H1405" s="2" t="s">
        <v>675</v>
      </c>
      <c r="I1405" s="2"/>
      <c r="J1405" s="2"/>
    </row>
    <row r="1406" spans="1:10" x14ac:dyDescent="0.35">
      <c r="A1406" s="2" t="s">
        <v>10</v>
      </c>
      <c r="B1406" s="2" t="s">
        <v>886</v>
      </c>
      <c r="C1406" s="2" t="s">
        <v>24</v>
      </c>
      <c r="D1406" s="2" t="s">
        <v>979</v>
      </c>
      <c r="E1406" s="2" t="s">
        <v>196</v>
      </c>
      <c r="F1406" s="2" t="s">
        <v>197</v>
      </c>
      <c r="G1406" s="2"/>
      <c r="H1406" s="2"/>
      <c r="I1406" s="2"/>
      <c r="J1406" s="2"/>
    </row>
    <row r="1407" spans="1:10" x14ac:dyDescent="0.35">
      <c r="A1407" s="2" t="s">
        <v>10</v>
      </c>
      <c r="B1407" s="2" t="s">
        <v>886</v>
      </c>
      <c r="C1407" s="2" t="s">
        <v>24</v>
      </c>
      <c r="D1407" s="2" t="s">
        <v>979</v>
      </c>
      <c r="E1407" s="2" t="s">
        <v>14</v>
      </c>
      <c r="F1407" s="2" t="s">
        <v>15</v>
      </c>
      <c r="G1407" s="2"/>
      <c r="H1407" s="2"/>
      <c r="I1407" s="2"/>
      <c r="J1407" s="2"/>
    </row>
    <row r="1408" spans="1:10" x14ac:dyDescent="0.35">
      <c r="A1408" s="2" t="s">
        <v>10</v>
      </c>
      <c r="B1408" s="2" t="s">
        <v>886</v>
      </c>
      <c r="C1408" s="2" t="s">
        <v>24</v>
      </c>
      <c r="D1408" s="2" t="s">
        <v>979</v>
      </c>
      <c r="E1408" s="2" t="s">
        <v>77</v>
      </c>
      <c r="F1408" s="2" t="s">
        <v>78</v>
      </c>
      <c r="G1408" s="2"/>
      <c r="H1408" s="2"/>
      <c r="I1408" s="2"/>
      <c r="J1408" s="2"/>
    </row>
    <row r="1409" spans="1:10" x14ac:dyDescent="0.35">
      <c r="A1409" s="2" t="s">
        <v>10</v>
      </c>
      <c r="B1409" s="2" t="s">
        <v>886</v>
      </c>
      <c r="C1409" s="2" t="s">
        <v>24</v>
      </c>
      <c r="D1409" s="2" t="s">
        <v>979</v>
      </c>
      <c r="E1409" s="2" t="s">
        <v>91</v>
      </c>
      <c r="F1409" s="2" t="s">
        <v>19</v>
      </c>
      <c r="G1409" s="2" t="s">
        <v>16</v>
      </c>
      <c r="H1409" s="2" t="s">
        <v>980</v>
      </c>
      <c r="I1409" s="2"/>
      <c r="J1409" s="2"/>
    </row>
    <row r="1410" spans="1:10" x14ac:dyDescent="0.35">
      <c r="A1410" s="2" t="s">
        <v>10</v>
      </c>
      <c r="B1410" s="2" t="s">
        <v>886</v>
      </c>
      <c r="C1410" s="2" t="s">
        <v>24</v>
      </c>
      <c r="D1410" s="2" t="s">
        <v>979</v>
      </c>
      <c r="E1410" s="2" t="s">
        <v>930</v>
      </c>
      <c r="F1410" s="2" t="s">
        <v>15</v>
      </c>
      <c r="G1410" s="2"/>
      <c r="H1410" s="2"/>
      <c r="I1410" s="2"/>
      <c r="J1410" s="2"/>
    </row>
    <row r="1411" spans="1:10" x14ac:dyDescent="0.35">
      <c r="A1411" s="2" t="s">
        <v>10</v>
      </c>
      <c r="B1411" s="2" t="s">
        <v>886</v>
      </c>
      <c r="C1411" s="2" t="s">
        <v>24</v>
      </c>
      <c r="D1411" s="2" t="s">
        <v>979</v>
      </c>
      <c r="E1411" s="2" t="s">
        <v>417</v>
      </c>
      <c r="F1411" s="2" t="s">
        <v>40</v>
      </c>
      <c r="G1411" s="2" t="s">
        <v>46</v>
      </c>
      <c r="H1411" s="2" t="s">
        <v>981</v>
      </c>
      <c r="I1411" s="2"/>
      <c r="J1411" s="2"/>
    </row>
    <row r="1412" spans="1:10" x14ac:dyDescent="0.35">
      <c r="A1412" s="2" t="s">
        <v>10</v>
      </c>
      <c r="B1412" s="2" t="s">
        <v>886</v>
      </c>
      <c r="C1412" s="2" t="s">
        <v>24</v>
      </c>
      <c r="D1412" s="2" t="s">
        <v>982</v>
      </c>
      <c r="E1412" s="2" t="s">
        <v>14</v>
      </c>
      <c r="F1412" s="2" t="s">
        <v>15</v>
      </c>
      <c r="G1412" s="2"/>
      <c r="H1412" s="2"/>
      <c r="I1412" s="2"/>
      <c r="J1412" s="2"/>
    </row>
    <row r="1413" spans="1:10" x14ac:dyDescent="0.35">
      <c r="A1413" s="2" t="s">
        <v>10</v>
      </c>
      <c r="B1413" s="2" t="s">
        <v>886</v>
      </c>
      <c r="C1413" s="2" t="s">
        <v>24</v>
      </c>
      <c r="D1413" s="2" t="s">
        <v>982</v>
      </c>
      <c r="E1413" s="2" t="s">
        <v>172</v>
      </c>
      <c r="F1413" s="2" t="s">
        <v>65</v>
      </c>
      <c r="G1413" s="2"/>
      <c r="H1413" s="2"/>
      <c r="I1413" s="2"/>
      <c r="J1413" s="2"/>
    </row>
    <row r="1414" spans="1:10" x14ac:dyDescent="0.35">
      <c r="A1414" s="2" t="s">
        <v>10</v>
      </c>
      <c r="B1414" s="2" t="s">
        <v>886</v>
      </c>
      <c r="C1414" s="2" t="s">
        <v>24</v>
      </c>
      <c r="D1414" s="2" t="s">
        <v>982</v>
      </c>
      <c r="E1414" s="2" t="s">
        <v>64</v>
      </c>
      <c r="F1414" s="2" t="s">
        <v>65</v>
      </c>
      <c r="G1414" s="2"/>
      <c r="H1414" s="2"/>
      <c r="I1414" s="2"/>
      <c r="J1414" s="2"/>
    </row>
    <row r="1415" spans="1:10" x14ac:dyDescent="0.35">
      <c r="A1415" s="2" t="s">
        <v>10</v>
      </c>
      <c r="B1415" s="2" t="s">
        <v>886</v>
      </c>
      <c r="C1415" s="2" t="s">
        <v>24</v>
      </c>
      <c r="D1415" s="2" t="s">
        <v>982</v>
      </c>
      <c r="E1415" s="2" t="s">
        <v>89</v>
      </c>
      <c r="F1415" s="2" t="s">
        <v>45</v>
      </c>
      <c r="G1415" s="2"/>
      <c r="H1415" s="2"/>
      <c r="I1415" s="2"/>
      <c r="J1415" s="2"/>
    </row>
    <row r="1416" spans="1:10" x14ac:dyDescent="0.35">
      <c r="A1416" s="2" t="s">
        <v>10</v>
      </c>
      <c r="B1416" s="2" t="s">
        <v>886</v>
      </c>
      <c r="C1416" s="2" t="s">
        <v>24</v>
      </c>
      <c r="D1416" s="2" t="s">
        <v>982</v>
      </c>
      <c r="E1416" s="2" t="s">
        <v>862</v>
      </c>
      <c r="F1416" s="2" t="s">
        <v>38</v>
      </c>
      <c r="G1416" s="2"/>
      <c r="H1416" s="2"/>
      <c r="I1416" s="2"/>
      <c r="J1416" s="2"/>
    </row>
    <row r="1417" spans="1:10" s="21" customFormat="1" x14ac:dyDescent="0.35">
      <c r="A1417" s="2" t="s">
        <v>10</v>
      </c>
      <c r="B1417" s="2" t="s">
        <v>886</v>
      </c>
      <c r="C1417" s="2" t="s">
        <v>62</v>
      </c>
      <c r="D1417" s="2" t="s">
        <v>983</v>
      </c>
      <c r="E1417" s="2" t="s">
        <v>106</v>
      </c>
      <c r="F1417" s="2" t="s">
        <v>107</v>
      </c>
      <c r="G1417" s="2"/>
      <c r="H1417" s="2"/>
      <c r="I1417" s="2"/>
      <c r="J1417" s="2"/>
    </row>
    <row r="1418" spans="1:10" s="21" customFormat="1" x14ac:dyDescent="0.35">
      <c r="A1418" s="2" t="s">
        <v>10</v>
      </c>
      <c r="B1418" s="2" t="s">
        <v>886</v>
      </c>
      <c r="C1418" s="2" t="s">
        <v>62</v>
      </c>
      <c r="D1418" s="2" t="s">
        <v>984</v>
      </c>
      <c r="E1418" s="2" t="s">
        <v>106</v>
      </c>
      <c r="F1418" s="2" t="s">
        <v>107</v>
      </c>
      <c r="G1418" s="2"/>
      <c r="H1418" s="2"/>
      <c r="I1418" s="2"/>
      <c r="J1418" s="2"/>
    </row>
    <row r="1419" spans="1:10" s="21" customFormat="1" x14ac:dyDescent="0.35">
      <c r="A1419" s="2" t="s">
        <v>10</v>
      </c>
      <c r="B1419" s="2" t="s">
        <v>886</v>
      </c>
      <c r="C1419" s="2" t="s">
        <v>62</v>
      </c>
      <c r="D1419" s="2" t="s">
        <v>985</v>
      </c>
      <c r="E1419" s="2" t="s">
        <v>106</v>
      </c>
      <c r="F1419" s="2" t="s">
        <v>107</v>
      </c>
      <c r="G1419" s="2"/>
      <c r="H1419" s="2"/>
      <c r="I1419" s="2"/>
      <c r="J1419" s="2"/>
    </row>
    <row r="1420" spans="1:10" x14ac:dyDescent="0.35">
      <c r="A1420" s="2" t="s">
        <v>10</v>
      </c>
      <c r="B1420" s="2" t="s">
        <v>886</v>
      </c>
      <c r="C1420" s="2" t="s">
        <v>54</v>
      </c>
      <c r="D1420" s="2" t="s">
        <v>986</v>
      </c>
      <c r="E1420" s="2" t="s">
        <v>155</v>
      </c>
      <c r="F1420" s="2" t="s">
        <v>32</v>
      </c>
      <c r="G1420" s="2" t="s">
        <v>16</v>
      </c>
      <c r="H1420" s="2" t="s">
        <v>987</v>
      </c>
      <c r="I1420" s="2"/>
      <c r="J1420" s="2"/>
    </row>
    <row r="1421" spans="1:10" x14ac:dyDescent="0.35">
      <c r="A1421" s="2" t="s">
        <v>10</v>
      </c>
      <c r="B1421" s="2" t="s">
        <v>886</v>
      </c>
      <c r="C1421" s="2" t="s">
        <v>54</v>
      </c>
      <c r="D1421" s="2" t="s">
        <v>986</v>
      </c>
      <c r="E1421" s="2" t="s">
        <v>38</v>
      </c>
      <c r="F1421" s="2" t="s">
        <v>38</v>
      </c>
      <c r="G1421" s="2" t="s">
        <v>16</v>
      </c>
      <c r="H1421" s="2" t="s">
        <v>988</v>
      </c>
      <c r="I1421" s="2"/>
      <c r="J1421" s="2"/>
    </row>
    <row r="1422" spans="1:10" x14ac:dyDescent="0.35">
      <c r="A1422" s="2" t="s">
        <v>10</v>
      </c>
      <c r="B1422" s="2" t="s">
        <v>886</v>
      </c>
      <c r="C1422" s="2" t="s">
        <v>54</v>
      </c>
      <c r="D1422" s="2" t="s">
        <v>986</v>
      </c>
      <c r="E1422" s="2" t="s">
        <v>393</v>
      </c>
      <c r="F1422" s="2" t="s">
        <v>36</v>
      </c>
      <c r="G1422" s="2" t="s">
        <v>16</v>
      </c>
      <c r="H1422" s="2" t="s">
        <v>987</v>
      </c>
      <c r="I1422" s="2"/>
      <c r="J1422" s="2"/>
    </row>
    <row r="1423" spans="1:10" x14ac:dyDescent="0.35">
      <c r="A1423" s="2" t="s">
        <v>10</v>
      </c>
      <c r="B1423" s="2" t="s">
        <v>886</v>
      </c>
      <c r="C1423" s="2" t="s">
        <v>54</v>
      </c>
      <c r="D1423" s="2" t="s">
        <v>986</v>
      </c>
      <c r="E1423" s="2" t="s">
        <v>77</v>
      </c>
      <c r="F1423" s="2" t="s">
        <v>78</v>
      </c>
      <c r="G1423" s="2" t="s">
        <v>16</v>
      </c>
      <c r="H1423" s="2" t="s">
        <v>989</v>
      </c>
      <c r="I1423" s="2"/>
      <c r="J1423" s="2"/>
    </row>
    <row r="1424" spans="1:10" x14ac:dyDescent="0.35">
      <c r="A1424" s="2" t="s">
        <v>10</v>
      </c>
      <c r="B1424" s="2" t="s">
        <v>886</v>
      </c>
      <c r="C1424" s="2" t="s">
        <v>54</v>
      </c>
      <c r="D1424" s="2" t="s">
        <v>986</v>
      </c>
      <c r="E1424" s="2" t="s">
        <v>100</v>
      </c>
      <c r="F1424" s="2" t="s">
        <v>101</v>
      </c>
      <c r="G1424" s="2"/>
      <c r="H1424" s="2"/>
      <c r="I1424" s="2"/>
      <c r="J1424" s="2"/>
    </row>
    <row r="1425" spans="1:10" x14ac:dyDescent="0.35">
      <c r="A1425" s="2" t="s">
        <v>10</v>
      </c>
      <c r="B1425" s="2" t="s">
        <v>886</v>
      </c>
      <c r="C1425" s="2" t="s">
        <v>54</v>
      </c>
      <c r="D1425" s="2" t="s">
        <v>986</v>
      </c>
      <c r="E1425" s="2" t="s">
        <v>302</v>
      </c>
      <c r="F1425" s="2" t="s">
        <v>65</v>
      </c>
      <c r="G1425" s="2" t="s">
        <v>16</v>
      </c>
      <c r="H1425" s="2" t="s">
        <v>987</v>
      </c>
      <c r="I1425" s="2"/>
      <c r="J1425" s="2"/>
    </row>
    <row r="1426" spans="1:10" x14ac:dyDescent="0.35">
      <c r="A1426" s="2" t="s">
        <v>10</v>
      </c>
      <c r="B1426" s="2" t="s">
        <v>886</v>
      </c>
      <c r="C1426" s="2" t="s">
        <v>54</v>
      </c>
      <c r="D1426" s="2" t="s">
        <v>990</v>
      </c>
      <c r="E1426" s="2" t="s">
        <v>196</v>
      </c>
      <c r="F1426" s="2" t="s">
        <v>197</v>
      </c>
      <c r="G1426" s="2"/>
      <c r="H1426" s="2"/>
      <c r="I1426" s="2"/>
      <c r="J1426" s="2"/>
    </row>
    <row r="1427" spans="1:10" x14ac:dyDescent="0.35">
      <c r="A1427" s="2" t="s">
        <v>10</v>
      </c>
      <c r="B1427" s="2" t="s">
        <v>886</v>
      </c>
      <c r="C1427" s="2" t="s">
        <v>54</v>
      </c>
      <c r="D1427" s="2" t="s">
        <v>990</v>
      </c>
      <c r="E1427" s="2" t="s">
        <v>253</v>
      </c>
      <c r="F1427" s="2" t="s">
        <v>32</v>
      </c>
      <c r="G1427" s="2" t="s">
        <v>16</v>
      </c>
      <c r="H1427" s="2" t="s">
        <v>991</v>
      </c>
      <c r="I1427" s="2"/>
      <c r="J1427" s="2"/>
    </row>
    <row r="1428" spans="1:10" x14ac:dyDescent="0.35">
      <c r="A1428" s="2" t="s">
        <v>10</v>
      </c>
      <c r="B1428" s="2" t="s">
        <v>886</v>
      </c>
      <c r="C1428" s="2" t="s">
        <v>54</v>
      </c>
      <c r="D1428" s="2" t="s">
        <v>990</v>
      </c>
      <c r="E1428" s="2" t="s">
        <v>31</v>
      </c>
      <c r="F1428" s="2" t="s">
        <v>32</v>
      </c>
      <c r="G1428" s="2" t="s">
        <v>16</v>
      </c>
      <c r="H1428" s="2" t="s">
        <v>991</v>
      </c>
      <c r="I1428" s="2"/>
      <c r="J1428" s="2"/>
    </row>
    <row r="1429" spans="1:10" x14ac:dyDescent="0.35">
      <c r="A1429" s="2" t="s">
        <v>10</v>
      </c>
      <c r="B1429" s="2" t="s">
        <v>886</v>
      </c>
      <c r="C1429" s="2" t="s">
        <v>54</v>
      </c>
      <c r="D1429" s="2" t="s">
        <v>990</v>
      </c>
      <c r="E1429" s="2" t="s">
        <v>992</v>
      </c>
      <c r="F1429" s="2" t="s">
        <v>201</v>
      </c>
      <c r="G1429" s="2" t="s">
        <v>16</v>
      </c>
      <c r="H1429" s="2" t="s">
        <v>991</v>
      </c>
      <c r="I1429" s="2"/>
      <c r="J1429" s="2"/>
    </row>
    <row r="1430" spans="1:10" x14ac:dyDescent="0.35">
      <c r="A1430" s="2" t="s">
        <v>10</v>
      </c>
      <c r="B1430" s="2" t="s">
        <v>886</v>
      </c>
      <c r="C1430" s="2" t="s">
        <v>54</v>
      </c>
      <c r="D1430" s="2" t="s">
        <v>990</v>
      </c>
      <c r="E1430" s="2" t="s">
        <v>33</v>
      </c>
      <c r="F1430" s="2" t="s">
        <v>34</v>
      </c>
      <c r="G1430" s="2" t="s">
        <v>16</v>
      </c>
      <c r="H1430" s="2" t="s">
        <v>991</v>
      </c>
      <c r="I1430" s="2"/>
      <c r="J1430" s="2"/>
    </row>
    <row r="1431" spans="1:10" s="21" customFormat="1" x14ac:dyDescent="0.35">
      <c r="A1431" s="2" t="s">
        <v>10</v>
      </c>
      <c r="B1431" s="2" t="s">
        <v>886</v>
      </c>
      <c r="C1431" s="2" t="s">
        <v>54</v>
      </c>
      <c r="D1431" s="2" t="s">
        <v>990</v>
      </c>
      <c r="E1431" s="2" t="s">
        <v>38</v>
      </c>
      <c r="F1431" s="2" t="s">
        <v>38</v>
      </c>
      <c r="G1431" s="2" t="s">
        <v>16</v>
      </c>
      <c r="H1431" s="2" t="s">
        <v>993</v>
      </c>
      <c r="I1431" s="2"/>
      <c r="J1431" s="2"/>
    </row>
    <row r="1432" spans="1:10" x14ac:dyDescent="0.35">
      <c r="A1432" s="2" t="s">
        <v>10</v>
      </c>
      <c r="B1432" s="2" t="s">
        <v>886</v>
      </c>
      <c r="C1432" s="2" t="s">
        <v>54</v>
      </c>
      <c r="D1432" s="2" t="s">
        <v>990</v>
      </c>
      <c r="E1432" s="2" t="s">
        <v>213</v>
      </c>
      <c r="F1432" s="2" t="s">
        <v>45</v>
      </c>
      <c r="G1432" s="2" t="s">
        <v>16</v>
      </c>
      <c r="H1432" s="2" t="s">
        <v>991</v>
      </c>
      <c r="I1432" s="2"/>
      <c r="J1432" s="2"/>
    </row>
    <row r="1433" spans="1:10" x14ac:dyDescent="0.35">
      <c r="A1433" s="2" t="s">
        <v>10</v>
      </c>
      <c r="B1433" s="2" t="s">
        <v>886</v>
      </c>
      <c r="C1433" s="2" t="s">
        <v>54</v>
      </c>
      <c r="D1433" s="2" t="s">
        <v>990</v>
      </c>
      <c r="E1433" s="2" t="s">
        <v>156</v>
      </c>
      <c r="F1433" s="2" t="s">
        <v>45</v>
      </c>
      <c r="G1433" s="2" t="s">
        <v>16</v>
      </c>
      <c r="H1433" s="2" t="s">
        <v>991</v>
      </c>
      <c r="I1433" s="2"/>
      <c r="J1433" s="2"/>
    </row>
    <row r="1434" spans="1:10" x14ac:dyDescent="0.35">
      <c r="A1434" s="2" t="s">
        <v>10</v>
      </c>
      <c r="B1434" s="2" t="s">
        <v>886</v>
      </c>
      <c r="C1434" s="2" t="s">
        <v>54</v>
      </c>
      <c r="D1434" s="2" t="s">
        <v>990</v>
      </c>
      <c r="E1434" s="2" t="s">
        <v>91</v>
      </c>
      <c r="F1434" s="2" t="s">
        <v>19</v>
      </c>
      <c r="G1434" s="2" t="s">
        <v>16</v>
      </c>
      <c r="H1434" s="2" t="s">
        <v>991</v>
      </c>
      <c r="I1434" s="2"/>
      <c r="J1434" s="2"/>
    </row>
    <row r="1435" spans="1:10" x14ac:dyDescent="0.35">
      <c r="A1435" s="2" t="s">
        <v>10</v>
      </c>
      <c r="B1435" s="2" t="s">
        <v>886</v>
      </c>
      <c r="C1435" s="2" t="s">
        <v>54</v>
      </c>
      <c r="D1435" s="2" t="s">
        <v>990</v>
      </c>
      <c r="E1435" s="2" t="s">
        <v>100</v>
      </c>
      <c r="F1435" s="2" t="s">
        <v>101</v>
      </c>
      <c r="G1435" s="2"/>
      <c r="H1435" s="2"/>
      <c r="I1435" s="2"/>
      <c r="J1435" s="2"/>
    </row>
    <row r="1436" spans="1:10" x14ac:dyDescent="0.35">
      <c r="A1436" s="2" t="s">
        <v>10</v>
      </c>
      <c r="B1436" s="2" t="s">
        <v>886</v>
      </c>
      <c r="C1436" s="2" t="s">
        <v>54</v>
      </c>
      <c r="D1436" s="2" t="s">
        <v>990</v>
      </c>
      <c r="E1436" s="2" t="s">
        <v>941</v>
      </c>
      <c r="F1436" s="2" t="s">
        <v>228</v>
      </c>
      <c r="G1436" s="2" t="s">
        <v>16</v>
      </c>
      <c r="H1436" s="2" t="s">
        <v>991</v>
      </c>
      <c r="I1436" s="2"/>
      <c r="J1436" s="2"/>
    </row>
    <row r="1437" spans="1:10" x14ac:dyDescent="0.35">
      <c r="A1437" s="2" t="s">
        <v>10</v>
      </c>
      <c r="B1437" s="2" t="s">
        <v>886</v>
      </c>
      <c r="C1437" s="2" t="s">
        <v>54</v>
      </c>
      <c r="D1437" s="2" t="s">
        <v>990</v>
      </c>
      <c r="E1437" s="2" t="s">
        <v>188</v>
      </c>
      <c r="F1437" s="2" t="s">
        <v>189</v>
      </c>
      <c r="G1437" s="2" t="s">
        <v>16</v>
      </c>
      <c r="H1437" s="2" t="s">
        <v>991</v>
      </c>
      <c r="I1437" s="2"/>
      <c r="J1437" s="2"/>
    </row>
    <row r="1438" spans="1:10" x14ac:dyDescent="0.35">
      <c r="A1438" s="2" t="s">
        <v>10</v>
      </c>
      <c r="B1438" s="2" t="s">
        <v>886</v>
      </c>
      <c r="C1438" s="2" t="s">
        <v>54</v>
      </c>
      <c r="D1438" s="2" t="s">
        <v>990</v>
      </c>
      <c r="E1438" s="2" t="s">
        <v>42</v>
      </c>
      <c r="F1438" s="2" t="s">
        <v>43</v>
      </c>
      <c r="G1438" s="2" t="s">
        <v>16</v>
      </c>
      <c r="H1438" s="2" t="s">
        <v>991</v>
      </c>
      <c r="I1438" s="2"/>
      <c r="J1438" s="2"/>
    </row>
    <row r="1439" spans="1:10" x14ac:dyDescent="0.35">
      <c r="A1439" s="2" t="s">
        <v>10</v>
      </c>
      <c r="B1439" s="2" t="s">
        <v>886</v>
      </c>
      <c r="C1439" s="2" t="s">
        <v>54</v>
      </c>
      <c r="D1439" s="2" t="s">
        <v>990</v>
      </c>
      <c r="E1439" s="2" t="s">
        <v>149</v>
      </c>
      <c r="F1439" s="2" t="s">
        <v>150</v>
      </c>
      <c r="G1439" s="2" t="s">
        <v>16</v>
      </c>
      <c r="H1439" s="2" t="s">
        <v>991</v>
      </c>
      <c r="I1439" s="2"/>
      <c r="J1439" s="2"/>
    </row>
    <row r="1440" spans="1:10" x14ac:dyDescent="0.35">
      <c r="A1440" s="2" t="s">
        <v>10</v>
      </c>
      <c r="B1440" s="2" t="s">
        <v>886</v>
      </c>
      <c r="C1440" s="2" t="s">
        <v>54</v>
      </c>
      <c r="D1440" s="2" t="s">
        <v>990</v>
      </c>
      <c r="E1440" s="2" t="s">
        <v>193</v>
      </c>
      <c r="F1440" s="2" t="s">
        <v>40</v>
      </c>
      <c r="G1440" s="2" t="s">
        <v>16</v>
      </c>
      <c r="H1440" s="2" t="s">
        <v>991</v>
      </c>
      <c r="I1440" s="2"/>
      <c r="J1440" s="2"/>
    </row>
    <row r="1441" spans="1:10" x14ac:dyDescent="0.35">
      <c r="A1441" s="2" t="s">
        <v>10</v>
      </c>
      <c r="B1441" s="2" t="s">
        <v>886</v>
      </c>
      <c r="C1441" s="2" t="s">
        <v>54</v>
      </c>
      <c r="D1441" s="2" t="s">
        <v>990</v>
      </c>
      <c r="E1441" s="2" t="s">
        <v>994</v>
      </c>
      <c r="F1441" s="2" t="s">
        <v>65</v>
      </c>
      <c r="G1441" s="2" t="s">
        <v>16</v>
      </c>
      <c r="H1441" s="2" t="s">
        <v>991</v>
      </c>
      <c r="I1441" s="2"/>
      <c r="J1441" s="2"/>
    </row>
    <row r="1442" spans="1:10" s="21" customFormat="1" x14ac:dyDescent="0.35">
      <c r="A1442" s="2" t="s">
        <v>10</v>
      </c>
      <c r="B1442" s="2" t="s">
        <v>886</v>
      </c>
      <c r="C1442" s="2" t="s">
        <v>62</v>
      </c>
      <c r="D1442" s="2" t="s">
        <v>995</v>
      </c>
      <c r="E1442" s="2" t="s">
        <v>106</v>
      </c>
      <c r="F1442" s="2" t="s">
        <v>107</v>
      </c>
      <c r="G1442" s="2"/>
      <c r="H1442" s="2"/>
      <c r="I1442" s="2"/>
      <c r="J1442" s="2"/>
    </row>
    <row r="1443" spans="1:10" s="21" customFormat="1" x14ac:dyDescent="0.35">
      <c r="A1443" s="2" t="s">
        <v>10</v>
      </c>
      <c r="B1443" s="2" t="s">
        <v>886</v>
      </c>
      <c r="C1443" s="2" t="s">
        <v>62</v>
      </c>
      <c r="D1443" s="2" t="s">
        <v>996</v>
      </c>
      <c r="E1443" s="2" t="s">
        <v>106</v>
      </c>
      <c r="F1443" s="2" t="s">
        <v>107</v>
      </c>
      <c r="G1443" s="2"/>
      <c r="H1443" s="2"/>
      <c r="I1443" s="2"/>
      <c r="J1443" s="2"/>
    </row>
    <row r="1444" spans="1:10" x14ac:dyDescent="0.35">
      <c r="A1444" s="2" t="s">
        <v>10</v>
      </c>
      <c r="B1444" s="2" t="s">
        <v>886</v>
      </c>
      <c r="C1444" s="2" t="s">
        <v>62</v>
      </c>
      <c r="D1444" s="2" t="s">
        <v>997</v>
      </c>
      <c r="E1444" s="2" t="s">
        <v>998</v>
      </c>
      <c r="F1444" s="2" t="s">
        <v>40</v>
      </c>
      <c r="G1444" s="2"/>
      <c r="H1444" s="2"/>
      <c r="I1444" s="2"/>
      <c r="J1444" s="2"/>
    </row>
    <row r="1445" spans="1:10" x14ac:dyDescent="0.35">
      <c r="A1445" s="2" t="s">
        <v>10</v>
      </c>
      <c r="B1445" s="2" t="s">
        <v>886</v>
      </c>
      <c r="C1445" s="2" t="s">
        <v>62</v>
      </c>
      <c r="D1445" s="2" t="s">
        <v>997</v>
      </c>
      <c r="E1445" s="2" t="s">
        <v>120</v>
      </c>
      <c r="F1445" s="2" t="s">
        <v>32</v>
      </c>
      <c r="G1445" s="2"/>
      <c r="H1445" s="2"/>
      <c r="I1445" s="2"/>
      <c r="J1445" s="2"/>
    </row>
    <row r="1446" spans="1:10" x14ac:dyDescent="0.35">
      <c r="A1446" s="2" t="s">
        <v>10</v>
      </c>
      <c r="B1446" s="2" t="s">
        <v>886</v>
      </c>
      <c r="C1446" s="2" t="s">
        <v>62</v>
      </c>
      <c r="D1446" s="2" t="s">
        <v>997</v>
      </c>
      <c r="E1446" s="2" t="s">
        <v>211</v>
      </c>
      <c r="F1446" s="2" t="s">
        <v>203</v>
      </c>
      <c r="G1446" s="2"/>
      <c r="H1446" s="2"/>
      <c r="I1446" s="2"/>
      <c r="J1446" s="2"/>
    </row>
    <row r="1447" spans="1:10" x14ac:dyDescent="0.35">
      <c r="A1447" s="2" t="s">
        <v>10</v>
      </c>
      <c r="B1447" s="2" t="s">
        <v>886</v>
      </c>
      <c r="C1447" s="2" t="s">
        <v>62</v>
      </c>
      <c r="D1447" s="2" t="s">
        <v>997</v>
      </c>
      <c r="E1447" s="2" t="s">
        <v>156</v>
      </c>
      <c r="F1447" s="2" t="s">
        <v>45</v>
      </c>
      <c r="G1447" s="2"/>
      <c r="H1447" s="2"/>
      <c r="I1447" s="2"/>
      <c r="J1447" s="2"/>
    </row>
    <row r="1448" spans="1:10" x14ac:dyDescent="0.35">
      <c r="A1448" s="2" t="s">
        <v>10</v>
      </c>
      <c r="B1448" s="2" t="s">
        <v>886</v>
      </c>
      <c r="C1448" s="2" t="s">
        <v>62</v>
      </c>
      <c r="D1448" s="2" t="s">
        <v>999</v>
      </c>
      <c r="E1448" s="2" t="s">
        <v>317</v>
      </c>
      <c r="F1448" s="2" t="s">
        <v>318</v>
      </c>
      <c r="G1448" s="2"/>
      <c r="H1448" s="2"/>
      <c r="I1448" s="2"/>
      <c r="J1448" s="2"/>
    </row>
    <row r="1449" spans="1:10" x14ac:dyDescent="0.35">
      <c r="A1449" s="2" t="s">
        <v>10</v>
      </c>
      <c r="B1449" s="2" t="s">
        <v>886</v>
      </c>
      <c r="C1449" s="2" t="s">
        <v>62</v>
      </c>
      <c r="D1449" s="2" t="s">
        <v>999</v>
      </c>
      <c r="E1449" s="2" t="s">
        <v>27</v>
      </c>
      <c r="F1449" s="2" t="s">
        <v>28</v>
      </c>
      <c r="G1449" s="2" t="s">
        <v>16</v>
      </c>
      <c r="H1449" s="2" t="s">
        <v>1000</v>
      </c>
      <c r="I1449" s="2"/>
      <c r="J1449" s="2"/>
    </row>
    <row r="1450" spans="1:10" x14ac:dyDescent="0.35">
      <c r="A1450" s="2" t="s">
        <v>10</v>
      </c>
      <c r="B1450" s="2" t="s">
        <v>886</v>
      </c>
      <c r="C1450" s="2" t="s">
        <v>62</v>
      </c>
      <c r="D1450" s="2" t="s">
        <v>999</v>
      </c>
      <c r="E1450" s="2" t="s">
        <v>319</v>
      </c>
      <c r="F1450" s="2" t="s">
        <v>320</v>
      </c>
      <c r="G1450" s="2"/>
      <c r="H1450" s="2"/>
      <c r="I1450" s="2"/>
      <c r="J1450" s="2"/>
    </row>
    <row r="1451" spans="1:10" x14ac:dyDescent="0.35">
      <c r="A1451" s="2" t="s">
        <v>10</v>
      </c>
      <c r="B1451" s="2" t="s">
        <v>886</v>
      </c>
      <c r="C1451" s="2" t="s">
        <v>62</v>
      </c>
      <c r="D1451" s="2" t="s">
        <v>999</v>
      </c>
      <c r="E1451" s="2" t="s">
        <v>156</v>
      </c>
      <c r="F1451" s="2" t="s">
        <v>45</v>
      </c>
      <c r="G1451" s="2" t="s">
        <v>46</v>
      </c>
      <c r="H1451" s="2" t="s">
        <v>451</v>
      </c>
      <c r="I1451" s="2"/>
      <c r="J1451" s="2"/>
    </row>
    <row r="1452" spans="1:10" x14ac:dyDescent="0.35">
      <c r="A1452" s="2" t="s">
        <v>10</v>
      </c>
      <c r="B1452" s="2" t="s">
        <v>886</v>
      </c>
      <c r="C1452" s="2" t="s">
        <v>62</v>
      </c>
      <c r="D1452" s="2" t="s">
        <v>999</v>
      </c>
      <c r="E1452" s="2" t="s">
        <v>1001</v>
      </c>
      <c r="F1452" s="2" t="s">
        <v>30</v>
      </c>
      <c r="G1452" s="2"/>
      <c r="H1452" s="2"/>
      <c r="I1452" s="2"/>
      <c r="J1452" s="2"/>
    </row>
    <row r="1453" spans="1:10" x14ac:dyDescent="0.35">
      <c r="A1453" s="2" t="s">
        <v>10</v>
      </c>
      <c r="B1453" s="2" t="s">
        <v>886</v>
      </c>
      <c r="C1453" s="2" t="s">
        <v>62</v>
      </c>
      <c r="D1453" s="2" t="s">
        <v>999</v>
      </c>
      <c r="E1453" s="2" t="s">
        <v>321</v>
      </c>
      <c r="F1453" s="2" t="s">
        <v>321</v>
      </c>
      <c r="G1453" s="2"/>
      <c r="H1453" s="2"/>
      <c r="I1453" s="2"/>
      <c r="J1453" s="2"/>
    </row>
    <row r="1454" spans="1:10" x14ac:dyDescent="0.35">
      <c r="A1454" s="2" t="s">
        <v>10</v>
      </c>
      <c r="B1454" s="2" t="s">
        <v>886</v>
      </c>
      <c r="C1454" s="2" t="s">
        <v>62</v>
      </c>
      <c r="D1454" s="2" t="s">
        <v>999</v>
      </c>
      <c r="E1454" s="2" t="s">
        <v>127</v>
      </c>
      <c r="F1454" s="2" t="s">
        <v>107</v>
      </c>
      <c r="G1454" s="2"/>
      <c r="H1454" s="2"/>
      <c r="I1454" s="2"/>
      <c r="J1454" s="2"/>
    </row>
    <row r="1455" spans="1:10" s="21" customFormat="1" x14ac:dyDescent="0.35">
      <c r="A1455" s="2" t="s">
        <v>10</v>
      </c>
      <c r="B1455" s="2" t="s">
        <v>886</v>
      </c>
      <c r="C1455" s="2" t="s">
        <v>62</v>
      </c>
      <c r="D1455" s="2" t="s">
        <v>999</v>
      </c>
      <c r="E1455" s="2" t="s">
        <v>322</v>
      </c>
      <c r="F1455" s="2" t="s">
        <v>246</v>
      </c>
      <c r="G1455" s="2"/>
      <c r="H1455" s="2"/>
      <c r="I1455" s="2"/>
      <c r="J1455" s="2"/>
    </row>
    <row r="1456" spans="1:10" s="21" customFormat="1" x14ac:dyDescent="0.35">
      <c r="A1456" s="2" t="s">
        <v>10</v>
      </c>
      <c r="B1456" s="2" t="s">
        <v>886</v>
      </c>
      <c r="C1456" s="2" t="s">
        <v>62</v>
      </c>
      <c r="D1456" s="2" t="s">
        <v>999</v>
      </c>
      <c r="E1456" s="2" t="s">
        <v>323</v>
      </c>
      <c r="F1456" s="2" t="s">
        <v>246</v>
      </c>
      <c r="G1456" s="2"/>
      <c r="H1456" s="2"/>
      <c r="I1456" s="2"/>
      <c r="J1456" s="2"/>
    </row>
    <row r="1457" spans="1:10" s="21" customFormat="1" x14ac:dyDescent="0.35">
      <c r="A1457" s="2" t="s">
        <v>10</v>
      </c>
      <c r="B1457" s="2" t="s">
        <v>886</v>
      </c>
      <c r="C1457" s="2" t="s">
        <v>62</v>
      </c>
      <c r="D1457" s="2" t="s">
        <v>999</v>
      </c>
      <c r="E1457" s="2" t="s">
        <v>324</v>
      </c>
      <c r="F1457" s="2" t="s">
        <v>246</v>
      </c>
      <c r="G1457" s="2"/>
      <c r="H1457" s="2"/>
      <c r="I1457" s="2"/>
      <c r="J1457" s="2"/>
    </row>
    <row r="1458" spans="1:10" s="21" customFormat="1" x14ac:dyDescent="0.35">
      <c r="A1458" s="2" t="s">
        <v>10</v>
      </c>
      <c r="B1458" s="2" t="s">
        <v>886</v>
      </c>
      <c r="C1458" s="2" t="s">
        <v>62</v>
      </c>
      <c r="D1458" s="2" t="s">
        <v>999</v>
      </c>
      <c r="E1458" s="2" t="s">
        <v>325</v>
      </c>
      <c r="F1458" s="2" t="s">
        <v>326</v>
      </c>
      <c r="G1458" s="2"/>
      <c r="H1458" s="2"/>
      <c r="I1458" s="2"/>
      <c r="J1458" s="2"/>
    </row>
    <row r="1459" spans="1:10" s="21" customFormat="1" x14ac:dyDescent="0.35">
      <c r="A1459" s="2" t="s">
        <v>10</v>
      </c>
      <c r="B1459" s="2" t="s">
        <v>886</v>
      </c>
      <c r="C1459" s="2" t="s">
        <v>62</v>
      </c>
      <c r="D1459" s="2" t="s">
        <v>999</v>
      </c>
      <c r="E1459" s="2" t="s">
        <v>327</v>
      </c>
      <c r="F1459" s="2" t="s">
        <v>328</v>
      </c>
      <c r="G1459" s="2"/>
      <c r="H1459" s="2"/>
      <c r="I1459" s="2"/>
      <c r="J1459" s="2"/>
    </row>
    <row r="1460" spans="1:10" s="21" customFormat="1" x14ac:dyDescent="0.35">
      <c r="A1460" s="2" t="s">
        <v>10</v>
      </c>
      <c r="B1460" s="2" t="s">
        <v>886</v>
      </c>
      <c r="C1460" s="2" t="s">
        <v>62</v>
      </c>
      <c r="D1460" s="2" t="s">
        <v>999</v>
      </c>
      <c r="E1460" s="2" t="s">
        <v>329</v>
      </c>
      <c r="F1460" s="2" t="s">
        <v>330</v>
      </c>
      <c r="G1460" s="2"/>
      <c r="H1460" s="2"/>
      <c r="I1460" s="2"/>
      <c r="J1460" s="2"/>
    </row>
    <row r="1461" spans="1:10" s="21" customFormat="1" x14ac:dyDescent="0.35">
      <c r="A1461" s="2" t="s">
        <v>10</v>
      </c>
      <c r="B1461" s="2" t="s">
        <v>886</v>
      </c>
      <c r="C1461" s="2" t="s">
        <v>62</v>
      </c>
      <c r="D1461" s="2" t="s">
        <v>999</v>
      </c>
      <c r="E1461" s="2" t="s">
        <v>331</v>
      </c>
      <c r="F1461" s="2" t="s">
        <v>332</v>
      </c>
      <c r="G1461" s="2"/>
      <c r="H1461" s="2"/>
      <c r="I1461" s="2"/>
      <c r="J1461" s="2"/>
    </row>
    <row r="1462" spans="1:10" s="21" customFormat="1" x14ac:dyDescent="0.35">
      <c r="A1462" s="2" t="s">
        <v>10</v>
      </c>
      <c r="B1462" s="2" t="s">
        <v>886</v>
      </c>
      <c r="C1462" s="2" t="s">
        <v>62</v>
      </c>
      <c r="D1462" s="2" t="s">
        <v>999</v>
      </c>
      <c r="E1462" s="2" t="s">
        <v>333</v>
      </c>
      <c r="F1462" s="2" t="s">
        <v>334</v>
      </c>
      <c r="G1462" s="2"/>
      <c r="H1462" s="2"/>
      <c r="I1462" s="2"/>
      <c r="J1462" s="2"/>
    </row>
    <row r="1463" spans="1:10" s="21" customFormat="1" x14ac:dyDescent="0.35">
      <c r="A1463" s="2" t="s">
        <v>10</v>
      </c>
      <c r="B1463" s="2" t="s">
        <v>886</v>
      </c>
      <c r="C1463" s="2" t="s">
        <v>62</v>
      </c>
      <c r="D1463" s="2" t="s">
        <v>999</v>
      </c>
      <c r="E1463" s="2" t="s">
        <v>335</v>
      </c>
      <c r="F1463" s="2" t="s">
        <v>336</v>
      </c>
      <c r="G1463" s="2"/>
      <c r="H1463" s="2"/>
      <c r="I1463" s="2"/>
      <c r="J1463" s="2"/>
    </row>
    <row r="1464" spans="1:10" s="21" customFormat="1" x14ac:dyDescent="0.35">
      <c r="A1464" s="2" t="s">
        <v>10</v>
      </c>
      <c r="B1464" s="2" t="s">
        <v>886</v>
      </c>
      <c r="C1464" s="2" t="s">
        <v>62</v>
      </c>
      <c r="D1464" s="2" t="s">
        <v>999</v>
      </c>
      <c r="E1464" s="2" t="s">
        <v>337</v>
      </c>
      <c r="F1464" s="2" t="s">
        <v>338</v>
      </c>
      <c r="G1464" s="2"/>
      <c r="H1464" s="2"/>
      <c r="I1464" s="2"/>
      <c r="J1464" s="2"/>
    </row>
    <row r="1465" spans="1:10" s="21" customFormat="1" x14ac:dyDescent="0.35">
      <c r="A1465" s="2" t="s">
        <v>10</v>
      </c>
      <c r="B1465" s="2" t="s">
        <v>886</v>
      </c>
      <c r="C1465" s="2" t="s">
        <v>62</v>
      </c>
      <c r="D1465" s="2" t="s">
        <v>999</v>
      </c>
      <c r="E1465" s="2" t="s">
        <v>339</v>
      </c>
      <c r="F1465" s="2" t="s">
        <v>340</v>
      </c>
      <c r="G1465" s="2"/>
      <c r="H1465" s="2"/>
      <c r="I1465" s="2"/>
      <c r="J1465" s="2"/>
    </row>
    <row r="1466" spans="1:10" s="21" customFormat="1" x14ac:dyDescent="0.35">
      <c r="A1466" s="2" t="s">
        <v>10</v>
      </c>
      <c r="B1466" s="2" t="s">
        <v>886</v>
      </c>
      <c r="C1466" s="2" t="s">
        <v>62</v>
      </c>
      <c r="D1466" s="2" t="s">
        <v>999</v>
      </c>
      <c r="E1466" s="2" t="s">
        <v>341</v>
      </c>
      <c r="F1466" s="2" t="s">
        <v>342</v>
      </c>
      <c r="G1466" s="2"/>
      <c r="H1466" s="2"/>
      <c r="I1466" s="2"/>
      <c r="J1466" s="2"/>
    </row>
    <row r="1467" spans="1:10" s="21" customFormat="1" x14ac:dyDescent="0.35">
      <c r="A1467" s="2" t="s">
        <v>10</v>
      </c>
      <c r="B1467" s="2" t="s">
        <v>886</v>
      </c>
      <c r="C1467" s="2" t="s">
        <v>62</v>
      </c>
      <c r="D1467" s="2" t="s">
        <v>999</v>
      </c>
      <c r="E1467" s="2" t="s">
        <v>343</v>
      </c>
      <c r="F1467" s="2" t="s">
        <v>344</v>
      </c>
      <c r="G1467" s="2"/>
      <c r="H1467" s="2"/>
      <c r="I1467" s="2"/>
      <c r="J1467" s="2"/>
    </row>
    <row r="1468" spans="1:10" s="21" customFormat="1" x14ac:dyDescent="0.35">
      <c r="A1468" s="2" t="s">
        <v>10</v>
      </c>
      <c r="B1468" s="2" t="s">
        <v>886</v>
      </c>
      <c r="C1468" s="2" t="s">
        <v>62</v>
      </c>
      <c r="D1468" s="2" t="s">
        <v>999</v>
      </c>
      <c r="E1468" s="2" t="s">
        <v>345</v>
      </c>
      <c r="F1468" s="2" t="s">
        <v>346</v>
      </c>
      <c r="G1468" s="2"/>
      <c r="H1468" s="2"/>
      <c r="I1468" s="2"/>
      <c r="J1468" s="2"/>
    </row>
    <row r="1469" spans="1:10" x14ac:dyDescent="0.35">
      <c r="A1469" s="2" t="s">
        <v>10</v>
      </c>
      <c r="B1469" s="2" t="s">
        <v>886</v>
      </c>
      <c r="C1469" s="2" t="s">
        <v>62</v>
      </c>
      <c r="D1469" s="2" t="s">
        <v>1002</v>
      </c>
      <c r="E1469" s="2" t="s">
        <v>38</v>
      </c>
      <c r="F1469" s="2" t="s">
        <v>38</v>
      </c>
      <c r="G1469" s="2"/>
      <c r="H1469" s="2"/>
      <c r="I1469" s="2"/>
      <c r="J1469" s="2"/>
    </row>
    <row r="1470" spans="1:10" x14ac:dyDescent="0.35">
      <c r="A1470" s="2" t="s">
        <v>10</v>
      </c>
      <c r="B1470" s="2" t="s">
        <v>886</v>
      </c>
      <c r="C1470" s="2" t="s">
        <v>62</v>
      </c>
      <c r="D1470" s="2" t="s">
        <v>1003</v>
      </c>
      <c r="E1470" s="2" t="s">
        <v>31</v>
      </c>
      <c r="F1470" s="2" t="s">
        <v>32</v>
      </c>
      <c r="G1470" s="2"/>
      <c r="H1470" s="2"/>
      <c r="I1470" s="2"/>
      <c r="J1470" s="2"/>
    </row>
    <row r="1471" spans="1:10" x14ac:dyDescent="0.35">
      <c r="A1471" s="2" t="s">
        <v>10</v>
      </c>
      <c r="B1471" s="2" t="s">
        <v>886</v>
      </c>
      <c r="C1471" s="2" t="s">
        <v>62</v>
      </c>
      <c r="D1471" s="2" t="s">
        <v>1003</v>
      </c>
      <c r="E1471" s="2" t="s">
        <v>202</v>
      </c>
      <c r="F1471" s="2" t="s">
        <v>203</v>
      </c>
      <c r="G1471" s="2"/>
      <c r="H1471" s="2"/>
      <c r="I1471" s="2"/>
      <c r="J1471" s="2"/>
    </row>
    <row r="1472" spans="1:10" x14ac:dyDescent="0.35">
      <c r="A1472" s="2" t="s">
        <v>10</v>
      </c>
      <c r="B1472" s="2" t="s">
        <v>886</v>
      </c>
      <c r="C1472" s="2" t="s">
        <v>62</v>
      </c>
      <c r="D1472" s="2" t="s">
        <v>1003</v>
      </c>
      <c r="E1472" s="2" t="s">
        <v>156</v>
      </c>
      <c r="F1472" s="2" t="s">
        <v>45</v>
      </c>
      <c r="G1472" s="2"/>
      <c r="H1472" s="2"/>
      <c r="I1472" s="2"/>
      <c r="J1472" s="2"/>
    </row>
    <row r="1473" spans="1:10" x14ac:dyDescent="0.35">
      <c r="A1473" s="2" t="s">
        <v>10</v>
      </c>
      <c r="B1473" s="2" t="s">
        <v>886</v>
      </c>
      <c r="C1473" s="2" t="s">
        <v>24</v>
      </c>
      <c r="D1473" s="2" t="s">
        <v>1004</v>
      </c>
      <c r="E1473" s="2" t="s">
        <v>196</v>
      </c>
      <c r="F1473" s="2" t="s">
        <v>197</v>
      </c>
      <c r="G1473" s="2" t="s">
        <v>46</v>
      </c>
      <c r="H1473" s="2" t="s">
        <v>1005</v>
      </c>
      <c r="I1473" s="2"/>
      <c r="J1473" s="2"/>
    </row>
    <row r="1474" spans="1:10" x14ac:dyDescent="0.35">
      <c r="A1474" s="2" t="s">
        <v>10</v>
      </c>
      <c r="B1474" s="2" t="s">
        <v>886</v>
      </c>
      <c r="C1474" s="2" t="s">
        <v>24</v>
      </c>
      <c r="D1474" s="2" t="s">
        <v>1004</v>
      </c>
      <c r="E1474" s="2" t="s">
        <v>253</v>
      </c>
      <c r="F1474" s="2" t="s">
        <v>32</v>
      </c>
      <c r="G1474" s="2" t="s">
        <v>46</v>
      </c>
      <c r="H1474" s="2" t="s">
        <v>1005</v>
      </c>
      <c r="I1474" s="2"/>
      <c r="J1474" s="2"/>
    </row>
    <row r="1475" spans="1:10" x14ac:dyDescent="0.35">
      <c r="A1475" s="2" t="s">
        <v>10</v>
      </c>
      <c r="B1475" s="2" t="s">
        <v>886</v>
      </c>
      <c r="C1475" s="2" t="s">
        <v>24</v>
      </c>
      <c r="D1475" s="2" t="s">
        <v>1004</v>
      </c>
      <c r="E1475" s="2" t="s">
        <v>1006</v>
      </c>
      <c r="F1475" s="2" t="s">
        <v>189</v>
      </c>
      <c r="G1475" s="2" t="s">
        <v>46</v>
      </c>
      <c r="H1475" s="2" t="s">
        <v>1005</v>
      </c>
      <c r="I1475" s="2"/>
      <c r="J1475" s="2"/>
    </row>
    <row r="1476" spans="1:10" x14ac:dyDescent="0.35">
      <c r="A1476" s="2" t="s">
        <v>10</v>
      </c>
      <c r="B1476" s="2" t="s">
        <v>886</v>
      </c>
      <c r="C1476" s="2" t="s">
        <v>24</v>
      </c>
      <c r="D1476" s="2" t="s">
        <v>1004</v>
      </c>
      <c r="E1476" s="2" t="s">
        <v>1007</v>
      </c>
      <c r="F1476" s="2" t="s">
        <v>189</v>
      </c>
      <c r="G1476" s="2" t="s">
        <v>46</v>
      </c>
      <c r="H1476" s="2" t="s">
        <v>1005</v>
      </c>
      <c r="I1476" s="2"/>
      <c r="J1476" s="2"/>
    </row>
    <row r="1477" spans="1:10" x14ac:dyDescent="0.35">
      <c r="A1477" s="2" t="s">
        <v>10</v>
      </c>
      <c r="B1477" s="2" t="s">
        <v>886</v>
      </c>
      <c r="C1477" s="2" t="s">
        <v>24</v>
      </c>
      <c r="D1477" s="2" t="s">
        <v>1004</v>
      </c>
      <c r="E1477" s="2" t="s">
        <v>100</v>
      </c>
      <c r="F1477" s="2" t="s">
        <v>101</v>
      </c>
      <c r="G1477" s="2" t="s">
        <v>46</v>
      </c>
      <c r="H1477" s="2" t="s">
        <v>1005</v>
      </c>
      <c r="I1477" s="2"/>
      <c r="J1477" s="2"/>
    </row>
    <row r="1478" spans="1:10" x14ac:dyDescent="0.35">
      <c r="A1478" s="2" t="s">
        <v>10</v>
      </c>
      <c r="B1478" s="2" t="s">
        <v>886</v>
      </c>
      <c r="C1478" s="2" t="s">
        <v>24</v>
      </c>
      <c r="D1478" s="2" t="s">
        <v>1004</v>
      </c>
      <c r="E1478" s="2" t="s">
        <v>149</v>
      </c>
      <c r="F1478" s="2" t="s">
        <v>150</v>
      </c>
      <c r="G1478" s="2" t="s">
        <v>46</v>
      </c>
      <c r="H1478" s="2" t="s">
        <v>1005</v>
      </c>
      <c r="I1478" s="2"/>
      <c r="J1478" s="2"/>
    </row>
    <row r="1479" spans="1:10" x14ac:dyDescent="0.35">
      <c r="A1479" s="2" t="s">
        <v>10</v>
      </c>
      <c r="B1479" s="2" t="s">
        <v>886</v>
      </c>
      <c r="C1479" s="2" t="s">
        <v>24</v>
      </c>
      <c r="D1479" s="2" t="s">
        <v>1004</v>
      </c>
      <c r="E1479" s="2" t="s">
        <v>302</v>
      </c>
      <c r="F1479" s="2" t="s">
        <v>65</v>
      </c>
      <c r="G1479" s="2" t="s">
        <v>46</v>
      </c>
      <c r="H1479" s="2" t="s">
        <v>1005</v>
      </c>
      <c r="I1479" s="2"/>
      <c r="J1479" s="2"/>
    </row>
    <row r="1480" spans="1:10" x14ac:dyDescent="0.35">
      <c r="A1480" s="2" t="s">
        <v>10</v>
      </c>
      <c r="B1480" s="2" t="s">
        <v>886</v>
      </c>
      <c r="C1480" s="2" t="s">
        <v>24</v>
      </c>
      <c r="D1480" s="2" t="s">
        <v>1008</v>
      </c>
      <c r="E1480" s="2" t="s">
        <v>196</v>
      </c>
      <c r="F1480" s="2" t="s">
        <v>197</v>
      </c>
      <c r="G1480" s="2"/>
      <c r="H1480" s="2"/>
      <c r="I1480" s="2"/>
      <c r="J1480" s="2"/>
    </row>
    <row r="1481" spans="1:10" x14ac:dyDescent="0.35">
      <c r="A1481" s="2" t="s">
        <v>10</v>
      </c>
      <c r="B1481" s="2" t="s">
        <v>886</v>
      </c>
      <c r="C1481" s="2" t="s">
        <v>24</v>
      </c>
      <c r="D1481" s="2" t="s">
        <v>1008</v>
      </c>
      <c r="E1481" s="2" t="s">
        <v>1009</v>
      </c>
      <c r="F1481" s="2" t="s">
        <v>189</v>
      </c>
      <c r="G1481" s="2" t="s">
        <v>16</v>
      </c>
      <c r="H1481" s="2" t="s">
        <v>991</v>
      </c>
      <c r="I1481" s="2"/>
      <c r="J1481" s="2"/>
    </row>
    <row r="1482" spans="1:10" x14ac:dyDescent="0.35">
      <c r="A1482" s="2" t="s">
        <v>10</v>
      </c>
      <c r="B1482" s="2" t="s">
        <v>886</v>
      </c>
      <c r="C1482" s="2" t="s">
        <v>24</v>
      </c>
      <c r="D1482" s="2" t="s">
        <v>1008</v>
      </c>
      <c r="E1482" s="2" t="s">
        <v>31</v>
      </c>
      <c r="F1482" s="2" t="s">
        <v>32</v>
      </c>
      <c r="G1482" s="2" t="s">
        <v>16</v>
      </c>
      <c r="H1482" s="2" t="s">
        <v>991</v>
      </c>
      <c r="I1482" s="2"/>
      <c r="J1482" s="2"/>
    </row>
    <row r="1483" spans="1:10" x14ac:dyDescent="0.35">
      <c r="A1483" s="2" t="s">
        <v>10</v>
      </c>
      <c r="B1483" s="2" t="s">
        <v>886</v>
      </c>
      <c r="C1483" s="2" t="s">
        <v>24</v>
      </c>
      <c r="D1483" s="2" t="s">
        <v>1008</v>
      </c>
      <c r="E1483" s="2" t="s">
        <v>82</v>
      </c>
      <c r="F1483" s="2" t="s">
        <v>83</v>
      </c>
      <c r="G1483" s="2" t="s">
        <v>16</v>
      </c>
      <c r="H1483" s="2" t="s">
        <v>991</v>
      </c>
      <c r="I1483" s="2"/>
      <c r="J1483" s="2"/>
    </row>
    <row r="1484" spans="1:10" x14ac:dyDescent="0.35">
      <c r="A1484" s="2" t="s">
        <v>10</v>
      </c>
      <c r="B1484" s="2" t="s">
        <v>886</v>
      </c>
      <c r="C1484" s="2" t="s">
        <v>24</v>
      </c>
      <c r="D1484" s="2" t="s">
        <v>1008</v>
      </c>
      <c r="E1484" s="2" t="s">
        <v>96</v>
      </c>
      <c r="F1484" s="2" t="s">
        <v>83</v>
      </c>
      <c r="G1484" s="2" t="s">
        <v>16</v>
      </c>
      <c r="H1484" s="2" t="s">
        <v>991</v>
      </c>
      <c r="I1484" s="2"/>
      <c r="J1484" s="2"/>
    </row>
    <row r="1485" spans="1:10" x14ac:dyDescent="0.35">
      <c r="A1485" s="2" t="s">
        <v>10</v>
      </c>
      <c r="B1485" s="2" t="s">
        <v>886</v>
      </c>
      <c r="C1485" s="2" t="s">
        <v>24</v>
      </c>
      <c r="D1485" s="2" t="s">
        <v>1008</v>
      </c>
      <c r="E1485" s="2" t="s">
        <v>38</v>
      </c>
      <c r="F1485" s="2" t="s">
        <v>38</v>
      </c>
      <c r="G1485" s="2" t="s">
        <v>16</v>
      </c>
      <c r="H1485" s="2" t="s">
        <v>991</v>
      </c>
      <c r="I1485" s="2"/>
      <c r="J1485" s="2"/>
    </row>
    <row r="1486" spans="1:10" x14ac:dyDescent="0.35">
      <c r="A1486" s="2" t="s">
        <v>10</v>
      </c>
      <c r="B1486" s="2" t="s">
        <v>886</v>
      </c>
      <c r="C1486" s="2" t="s">
        <v>24</v>
      </c>
      <c r="D1486" s="2" t="s">
        <v>1008</v>
      </c>
      <c r="E1486" s="2" t="s">
        <v>18</v>
      </c>
      <c r="F1486" s="2" t="s">
        <v>19</v>
      </c>
      <c r="G1486" s="2" t="s">
        <v>16</v>
      </c>
      <c r="H1486" s="2" t="s">
        <v>991</v>
      </c>
      <c r="I1486" s="2"/>
      <c r="J1486" s="2"/>
    </row>
    <row r="1487" spans="1:10" x14ac:dyDescent="0.35">
      <c r="A1487" s="2" t="s">
        <v>10</v>
      </c>
      <c r="B1487" s="2" t="s">
        <v>886</v>
      </c>
      <c r="C1487" s="2" t="s">
        <v>24</v>
      </c>
      <c r="D1487" s="2" t="s">
        <v>1008</v>
      </c>
      <c r="E1487" s="2" t="s">
        <v>100</v>
      </c>
      <c r="F1487" s="2" t="s">
        <v>101</v>
      </c>
      <c r="G1487" s="2"/>
      <c r="H1487" s="2"/>
      <c r="I1487" s="2"/>
      <c r="J1487" s="2"/>
    </row>
    <row r="1488" spans="1:10" s="21" customFormat="1" x14ac:dyDescent="0.35">
      <c r="A1488" s="2" t="s">
        <v>10</v>
      </c>
      <c r="B1488" s="2" t="s">
        <v>886</v>
      </c>
      <c r="C1488" s="2" t="s">
        <v>62</v>
      </c>
      <c r="D1488" s="2" t="s">
        <v>1010</v>
      </c>
      <c r="E1488" s="2" t="s">
        <v>106</v>
      </c>
      <c r="F1488" s="2" t="s">
        <v>107</v>
      </c>
      <c r="G1488" s="2"/>
      <c r="H1488" s="2"/>
      <c r="I1488" s="2"/>
      <c r="J1488" s="2"/>
    </row>
    <row r="1489" spans="1:10" x14ac:dyDescent="0.35">
      <c r="A1489" s="2" t="s">
        <v>10</v>
      </c>
      <c r="B1489" s="2" t="s">
        <v>886</v>
      </c>
      <c r="C1489" s="2" t="s">
        <v>181</v>
      </c>
      <c r="D1489" s="2" t="s">
        <v>1011</v>
      </c>
      <c r="E1489" s="2" t="s">
        <v>196</v>
      </c>
      <c r="F1489" s="2" t="s">
        <v>197</v>
      </c>
      <c r="G1489" s="2"/>
      <c r="H1489" s="2"/>
      <c r="I1489" s="2"/>
      <c r="J1489" s="2"/>
    </row>
    <row r="1490" spans="1:10" x14ac:dyDescent="0.35">
      <c r="A1490" s="2" t="s">
        <v>10</v>
      </c>
      <c r="B1490" s="2" t="s">
        <v>886</v>
      </c>
      <c r="C1490" s="2" t="s">
        <v>181</v>
      </c>
      <c r="D1490" s="2" t="s">
        <v>1011</v>
      </c>
      <c r="E1490" s="2" t="s">
        <v>18</v>
      </c>
      <c r="F1490" s="2" t="s">
        <v>19</v>
      </c>
      <c r="G1490" s="2" t="s">
        <v>16</v>
      </c>
      <c r="H1490" s="2" t="s">
        <v>1012</v>
      </c>
      <c r="I1490" s="2"/>
      <c r="J1490" s="2"/>
    </row>
    <row r="1491" spans="1:10" x14ac:dyDescent="0.35">
      <c r="A1491" s="2" t="s">
        <v>10</v>
      </c>
      <c r="B1491" s="2" t="s">
        <v>886</v>
      </c>
      <c r="C1491" s="2" t="s">
        <v>181</v>
      </c>
      <c r="D1491" s="2" t="s">
        <v>1011</v>
      </c>
      <c r="E1491" s="2" t="s">
        <v>89</v>
      </c>
      <c r="F1491" s="2" t="s">
        <v>45</v>
      </c>
      <c r="G1491" s="2" t="s">
        <v>16</v>
      </c>
      <c r="H1491" s="2" t="s">
        <v>1013</v>
      </c>
      <c r="I1491" s="2"/>
      <c r="J1491" s="2"/>
    </row>
    <row r="1492" spans="1:10" x14ac:dyDescent="0.35">
      <c r="A1492" s="2" t="s">
        <v>10</v>
      </c>
      <c r="B1492" s="2" t="s">
        <v>886</v>
      </c>
      <c r="C1492" s="2" t="s">
        <v>181</v>
      </c>
      <c r="D1492" s="2" t="s">
        <v>1011</v>
      </c>
      <c r="E1492" s="2" t="s">
        <v>299</v>
      </c>
      <c r="F1492" s="2" t="s">
        <v>78</v>
      </c>
      <c r="G1492" s="2"/>
      <c r="H1492" s="2"/>
      <c r="I1492" s="2"/>
      <c r="J1492" s="2"/>
    </row>
    <row r="1493" spans="1:10" x14ac:dyDescent="0.35">
      <c r="A1493" s="2" t="s">
        <v>10</v>
      </c>
      <c r="B1493" s="2" t="s">
        <v>886</v>
      </c>
      <c r="C1493" s="2" t="s">
        <v>181</v>
      </c>
      <c r="D1493" s="2" t="s">
        <v>1011</v>
      </c>
      <c r="E1493" s="2" t="s">
        <v>188</v>
      </c>
      <c r="F1493" s="2" t="s">
        <v>189</v>
      </c>
      <c r="G1493" s="2"/>
      <c r="H1493" s="2"/>
      <c r="I1493" s="2"/>
      <c r="J1493" s="2"/>
    </row>
    <row r="1494" spans="1:10" x14ac:dyDescent="0.35">
      <c r="A1494" s="2" t="s">
        <v>10</v>
      </c>
      <c r="B1494" s="2" t="s">
        <v>886</v>
      </c>
      <c r="C1494" s="2" t="s">
        <v>12</v>
      </c>
      <c r="D1494" s="2" t="s">
        <v>1014</v>
      </c>
      <c r="E1494" s="2" t="s">
        <v>38</v>
      </c>
      <c r="F1494" s="2" t="s">
        <v>38</v>
      </c>
      <c r="G1494" s="2"/>
      <c r="H1494" s="2"/>
      <c r="I1494" s="2"/>
      <c r="J1494" s="2"/>
    </row>
    <row r="1495" spans="1:10" x14ac:dyDescent="0.35">
      <c r="A1495" s="2" t="s">
        <v>10</v>
      </c>
      <c r="B1495" s="2" t="s">
        <v>886</v>
      </c>
      <c r="C1495" s="2" t="s">
        <v>12</v>
      </c>
      <c r="D1495" s="2" t="s">
        <v>1014</v>
      </c>
      <c r="E1495" s="2" t="s">
        <v>18</v>
      </c>
      <c r="F1495" s="2" t="s">
        <v>19</v>
      </c>
      <c r="G1495" s="2" t="s">
        <v>16</v>
      </c>
      <c r="H1495" s="2" t="s">
        <v>1015</v>
      </c>
      <c r="I1495" s="2"/>
      <c r="J1495" s="2"/>
    </row>
    <row r="1496" spans="1:10" x14ac:dyDescent="0.35">
      <c r="A1496" s="2" t="s">
        <v>10</v>
      </c>
      <c r="B1496" s="2" t="s">
        <v>886</v>
      </c>
      <c r="C1496" s="2" t="s">
        <v>24</v>
      </c>
      <c r="D1496" s="2" t="s">
        <v>1016</v>
      </c>
      <c r="E1496" s="2" t="s">
        <v>31</v>
      </c>
      <c r="F1496" s="2" t="s">
        <v>32</v>
      </c>
      <c r="G1496" s="2"/>
      <c r="H1496" s="2"/>
      <c r="I1496" s="2"/>
      <c r="J1496" s="2"/>
    </row>
    <row r="1497" spans="1:10" x14ac:dyDescent="0.35">
      <c r="A1497" s="2" t="s">
        <v>10</v>
      </c>
      <c r="B1497" s="2" t="s">
        <v>886</v>
      </c>
      <c r="C1497" s="2" t="s">
        <v>24</v>
      </c>
      <c r="D1497" s="2" t="s">
        <v>1016</v>
      </c>
      <c r="E1497" s="2" t="s">
        <v>38</v>
      </c>
      <c r="F1497" s="2" t="s">
        <v>38</v>
      </c>
      <c r="G1497" s="2"/>
      <c r="H1497" s="2"/>
      <c r="I1497" s="2"/>
      <c r="J1497" s="2"/>
    </row>
    <row r="1498" spans="1:10" s="21" customFormat="1" x14ac:dyDescent="0.35">
      <c r="A1498" s="2" t="s">
        <v>10</v>
      </c>
      <c r="B1498" s="2" t="s">
        <v>886</v>
      </c>
      <c r="C1498" s="2" t="s">
        <v>62</v>
      </c>
      <c r="D1498" s="2" t="s">
        <v>1017</v>
      </c>
      <c r="E1498" s="2" t="s">
        <v>106</v>
      </c>
      <c r="F1498" s="2" t="s">
        <v>107</v>
      </c>
      <c r="G1498" s="2"/>
      <c r="H1498" s="2"/>
      <c r="I1498" s="2"/>
      <c r="J1498" s="2"/>
    </row>
    <row r="1499" spans="1:10" x14ac:dyDescent="0.35">
      <c r="A1499" s="2" t="s">
        <v>10</v>
      </c>
      <c r="B1499" s="2" t="s">
        <v>886</v>
      </c>
      <c r="C1499" s="2" t="s">
        <v>62</v>
      </c>
      <c r="D1499" s="2" t="s">
        <v>1018</v>
      </c>
      <c r="E1499" s="2" t="s">
        <v>317</v>
      </c>
      <c r="F1499" s="2" t="s">
        <v>318</v>
      </c>
      <c r="G1499" s="2"/>
      <c r="H1499" s="2"/>
      <c r="I1499" s="2"/>
      <c r="J1499" s="2"/>
    </row>
    <row r="1500" spans="1:10" x14ac:dyDescent="0.35">
      <c r="A1500" s="2" t="s">
        <v>10</v>
      </c>
      <c r="B1500" s="2" t="s">
        <v>886</v>
      </c>
      <c r="C1500" s="2" t="s">
        <v>62</v>
      </c>
      <c r="D1500" s="2" t="s">
        <v>1018</v>
      </c>
      <c r="E1500" s="2" t="s">
        <v>319</v>
      </c>
      <c r="F1500" s="2" t="s">
        <v>320</v>
      </c>
      <c r="G1500" s="2"/>
      <c r="H1500" s="2"/>
      <c r="I1500" s="2"/>
      <c r="J1500" s="2"/>
    </row>
    <row r="1501" spans="1:10" x14ac:dyDescent="0.35">
      <c r="A1501" s="2" t="s">
        <v>10</v>
      </c>
      <c r="B1501" s="2" t="s">
        <v>886</v>
      </c>
      <c r="C1501" s="2" t="s">
        <v>62</v>
      </c>
      <c r="D1501" s="2" t="s">
        <v>1018</v>
      </c>
      <c r="E1501" s="2" t="s">
        <v>1001</v>
      </c>
      <c r="F1501" s="2" t="s">
        <v>30</v>
      </c>
      <c r="G1501" s="2"/>
      <c r="H1501" s="2"/>
      <c r="I1501" s="2"/>
      <c r="J1501" s="2"/>
    </row>
    <row r="1502" spans="1:10" x14ac:dyDescent="0.35">
      <c r="A1502" s="2" t="s">
        <v>10</v>
      </c>
      <c r="B1502" s="2" t="s">
        <v>886</v>
      </c>
      <c r="C1502" s="2" t="s">
        <v>62</v>
      </c>
      <c r="D1502" s="2" t="s">
        <v>1018</v>
      </c>
      <c r="E1502" s="2" t="s">
        <v>321</v>
      </c>
      <c r="F1502" s="2" t="s">
        <v>321</v>
      </c>
      <c r="G1502" s="2"/>
      <c r="H1502" s="2"/>
      <c r="I1502" s="2"/>
      <c r="J1502" s="2"/>
    </row>
    <row r="1503" spans="1:10" x14ac:dyDescent="0.35">
      <c r="A1503" s="2" t="s">
        <v>10</v>
      </c>
      <c r="B1503" s="2" t="s">
        <v>886</v>
      </c>
      <c r="C1503" s="2" t="s">
        <v>62</v>
      </c>
      <c r="D1503" s="2" t="s">
        <v>1018</v>
      </c>
      <c r="E1503" s="2" t="s">
        <v>106</v>
      </c>
      <c r="F1503" s="2" t="s">
        <v>107</v>
      </c>
      <c r="G1503" s="2"/>
      <c r="H1503" s="2"/>
      <c r="I1503" s="2"/>
      <c r="J1503" s="2"/>
    </row>
    <row r="1504" spans="1:10" x14ac:dyDescent="0.35">
      <c r="A1504" s="2" t="s">
        <v>10</v>
      </c>
      <c r="B1504" s="2" t="s">
        <v>886</v>
      </c>
      <c r="C1504" s="2" t="s">
        <v>62</v>
      </c>
      <c r="D1504" s="2" t="s">
        <v>1018</v>
      </c>
      <c r="E1504" s="2" t="s">
        <v>322</v>
      </c>
      <c r="F1504" s="2" t="s">
        <v>246</v>
      </c>
      <c r="G1504" s="2"/>
      <c r="H1504" s="2"/>
      <c r="I1504" s="2"/>
      <c r="J1504" s="2"/>
    </row>
    <row r="1505" spans="1:10" x14ac:dyDescent="0.35">
      <c r="A1505" s="2" t="s">
        <v>10</v>
      </c>
      <c r="B1505" s="2" t="s">
        <v>886</v>
      </c>
      <c r="C1505" s="2" t="s">
        <v>62</v>
      </c>
      <c r="D1505" s="2" t="s">
        <v>1018</v>
      </c>
      <c r="E1505" s="2" t="s">
        <v>323</v>
      </c>
      <c r="F1505" s="2" t="s">
        <v>246</v>
      </c>
      <c r="G1505" s="2"/>
      <c r="H1505" s="2"/>
      <c r="I1505" s="2"/>
      <c r="J1505" s="2"/>
    </row>
    <row r="1506" spans="1:10" x14ac:dyDescent="0.35">
      <c r="A1506" s="2" t="s">
        <v>10</v>
      </c>
      <c r="B1506" s="2" t="s">
        <v>886</v>
      </c>
      <c r="C1506" s="2" t="s">
        <v>62</v>
      </c>
      <c r="D1506" s="2" t="s">
        <v>1018</v>
      </c>
      <c r="E1506" s="2" t="s">
        <v>324</v>
      </c>
      <c r="F1506" s="2" t="s">
        <v>246</v>
      </c>
      <c r="G1506" s="2"/>
      <c r="H1506" s="2"/>
      <c r="I1506" s="2"/>
      <c r="J1506" s="2"/>
    </row>
    <row r="1507" spans="1:10" x14ac:dyDescent="0.35">
      <c r="A1507" s="2" t="s">
        <v>10</v>
      </c>
      <c r="B1507" s="2" t="s">
        <v>886</v>
      </c>
      <c r="C1507" s="2" t="s">
        <v>62</v>
      </c>
      <c r="D1507" s="2" t="s">
        <v>1018</v>
      </c>
      <c r="E1507" s="2" t="s">
        <v>325</v>
      </c>
      <c r="F1507" s="2" t="s">
        <v>326</v>
      </c>
      <c r="G1507" s="2"/>
      <c r="H1507" s="2"/>
      <c r="I1507" s="2"/>
      <c r="J1507" s="2"/>
    </row>
    <row r="1508" spans="1:10" x14ac:dyDescent="0.35">
      <c r="A1508" s="2" t="s">
        <v>10</v>
      </c>
      <c r="B1508" s="2" t="s">
        <v>886</v>
      </c>
      <c r="C1508" s="2" t="s">
        <v>62</v>
      </c>
      <c r="D1508" s="2" t="s">
        <v>1018</v>
      </c>
      <c r="E1508" s="2" t="s">
        <v>327</v>
      </c>
      <c r="F1508" s="2" t="s">
        <v>328</v>
      </c>
      <c r="G1508" s="2"/>
      <c r="H1508" s="2"/>
      <c r="I1508" s="2"/>
      <c r="J1508" s="2"/>
    </row>
    <row r="1509" spans="1:10" x14ac:dyDescent="0.35">
      <c r="A1509" s="2" t="s">
        <v>10</v>
      </c>
      <c r="B1509" s="2" t="s">
        <v>886</v>
      </c>
      <c r="C1509" s="2" t="s">
        <v>62</v>
      </c>
      <c r="D1509" s="2" t="s">
        <v>1018</v>
      </c>
      <c r="E1509" s="2" t="s">
        <v>329</v>
      </c>
      <c r="F1509" s="2" t="s">
        <v>330</v>
      </c>
      <c r="G1509" s="2"/>
      <c r="H1509" s="2"/>
      <c r="I1509" s="2"/>
      <c r="J1509" s="2"/>
    </row>
    <row r="1510" spans="1:10" x14ac:dyDescent="0.35">
      <c r="A1510" s="2" t="s">
        <v>10</v>
      </c>
      <c r="B1510" s="2" t="s">
        <v>886</v>
      </c>
      <c r="C1510" s="2" t="s">
        <v>62</v>
      </c>
      <c r="D1510" s="2" t="s">
        <v>1018</v>
      </c>
      <c r="E1510" s="2" t="s">
        <v>331</v>
      </c>
      <c r="F1510" s="2" t="s">
        <v>332</v>
      </c>
      <c r="G1510" s="2"/>
      <c r="H1510" s="2"/>
      <c r="I1510" s="2"/>
      <c r="J1510" s="2"/>
    </row>
    <row r="1511" spans="1:10" x14ac:dyDescent="0.35">
      <c r="A1511" s="2" t="s">
        <v>10</v>
      </c>
      <c r="B1511" s="2" t="s">
        <v>886</v>
      </c>
      <c r="C1511" s="2" t="s">
        <v>62</v>
      </c>
      <c r="D1511" s="2" t="s">
        <v>1018</v>
      </c>
      <c r="E1511" s="2" t="s">
        <v>333</v>
      </c>
      <c r="F1511" s="2" t="s">
        <v>334</v>
      </c>
      <c r="G1511" s="2"/>
      <c r="H1511" s="2"/>
      <c r="I1511" s="2"/>
      <c r="J1511" s="2"/>
    </row>
    <row r="1512" spans="1:10" x14ac:dyDescent="0.35">
      <c r="A1512" s="2" t="s">
        <v>10</v>
      </c>
      <c r="B1512" s="2" t="s">
        <v>886</v>
      </c>
      <c r="C1512" s="2" t="s">
        <v>62</v>
      </c>
      <c r="D1512" s="2" t="s">
        <v>1018</v>
      </c>
      <c r="E1512" s="2" t="s">
        <v>335</v>
      </c>
      <c r="F1512" s="2" t="s">
        <v>336</v>
      </c>
      <c r="G1512" s="2"/>
      <c r="H1512" s="2"/>
      <c r="I1512" s="2"/>
      <c r="J1512" s="2"/>
    </row>
    <row r="1513" spans="1:10" x14ac:dyDescent="0.35">
      <c r="A1513" s="2" t="s">
        <v>10</v>
      </c>
      <c r="B1513" s="2" t="s">
        <v>886</v>
      </c>
      <c r="C1513" s="2" t="s">
        <v>62</v>
      </c>
      <c r="D1513" s="2" t="s">
        <v>1018</v>
      </c>
      <c r="E1513" s="2" t="s">
        <v>337</v>
      </c>
      <c r="F1513" s="2" t="s">
        <v>338</v>
      </c>
      <c r="G1513" s="2"/>
      <c r="H1513" s="2"/>
      <c r="I1513" s="2"/>
      <c r="J1513" s="2"/>
    </row>
    <row r="1514" spans="1:10" x14ac:dyDescent="0.35">
      <c r="A1514" s="2" t="s">
        <v>10</v>
      </c>
      <c r="B1514" s="2" t="s">
        <v>886</v>
      </c>
      <c r="C1514" s="2" t="s">
        <v>62</v>
      </c>
      <c r="D1514" s="2" t="s">
        <v>1018</v>
      </c>
      <c r="E1514" s="2" t="s">
        <v>339</v>
      </c>
      <c r="F1514" s="2" t="s">
        <v>340</v>
      </c>
      <c r="G1514" s="2"/>
      <c r="H1514" s="2"/>
      <c r="I1514" s="2"/>
      <c r="J1514" s="2"/>
    </row>
    <row r="1515" spans="1:10" x14ac:dyDescent="0.35">
      <c r="A1515" s="2" t="s">
        <v>10</v>
      </c>
      <c r="B1515" s="2" t="s">
        <v>886</v>
      </c>
      <c r="C1515" s="2" t="s">
        <v>62</v>
      </c>
      <c r="D1515" s="2" t="s">
        <v>1018</v>
      </c>
      <c r="E1515" s="2" t="s">
        <v>341</v>
      </c>
      <c r="F1515" s="2" t="s">
        <v>342</v>
      </c>
      <c r="G1515" s="2"/>
      <c r="H1515" s="2"/>
      <c r="I1515" s="2"/>
      <c r="J1515" s="2"/>
    </row>
    <row r="1516" spans="1:10" x14ac:dyDescent="0.35">
      <c r="A1516" s="2" t="s">
        <v>10</v>
      </c>
      <c r="B1516" s="2" t="s">
        <v>886</v>
      </c>
      <c r="C1516" s="2" t="s">
        <v>62</v>
      </c>
      <c r="D1516" s="2" t="s">
        <v>1018</v>
      </c>
      <c r="E1516" s="2" t="s">
        <v>343</v>
      </c>
      <c r="F1516" s="2" t="s">
        <v>344</v>
      </c>
      <c r="G1516" s="2"/>
      <c r="H1516" s="2"/>
      <c r="I1516" s="2"/>
      <c r="J1516" s="2"/>
    </row>
    <row r="1517" spans="1:10" x14ac:dyDescent="0.35">
      <c r="A1517" s="2" t="s">
        <v>10</v>
      </c>
      <c r="B1517" s="2" t="s">
        <v>886</v>
      </c>
      <c r="C1517" s="2" t="s">
        <v>62</v>
      </c>
      <c r="D1517" s="2" t="s">
        <v>1018</v>
      </c>
      <c r="E1517" s="2" t="s">
        <v>345</v>
      </c>
      <c r="F1517" s="2" t="s">
        <v>346</v>
      </c>
      <c r="G1517" s="2"/>
      <c r="H1517" s="2"/>
      <c r="I1517" s="2"/>
      <c r="J1517" s="2"/>
    </row>
    <row r="1518" spans="1:10" s="21" customFormat="1" x14ac:dyDescent="0.35">
      <c r="A1518" s="2" t="s">
        <v>10</v>
      </c>
      <c r="B1518" s="2" t="s">
        <v>886</v>
      </c>
      <c r="C1518" s="2" t="s">
        <v>12</v>
      </c>
      <c r="D1518" s="2" t="s">
        <v>1019</v>
      </c>
      <c r="E1518" s="2" t="s">
        <v>14</v>
      </c>
      <c r="F1518" s="2" t="s">
        <v>15</v>
      </c>
      <c r="G1518" s="2"/>
      <c r="H1518" s="2"/>
      <c r="I1518" s="2"/>
      <c r="J1518" s="2"/>
    </row>
    <row r="1519" spans="1:10" x14ac:dyDescent="0.35">
      <c r="A1519" s="2" t="s">
        <v>10</v>
      </c>
      <c r="B1519" s="2" t="s">
        <v>886</v>
      </c>
      <c r="C1519" s="2" t="s">
        <v>12</v>
      </c>
      <c r="D1519" s="2" t="s">
        <v>1019</v>
      </c>
      <c r="E1519" s="2" t="s">
        <v>144</v>
      </c>
      <c r="F1519" s="2" t="s">
        <v>50</v>
      </c>
      <c r="G1519" s="2" t="s">
        <v>46</v>
      </c>
      <c r="H1519" s="2" t="s">
        <v>981</v>
      </c>
      <c r="I1519" s="2"/>
      <c r="J1519" s="2"/>
    </row>
    <row r="1520" spans="1:10" x14ac:dyDescent="0.35">
      <c r="A1520" s="2" t="s">
        <v>10</v>
      </c>
      <c r="B1520" s="2" t="s">
        <v>886</v>
      </c>
      <c r="C1520" s="2" t="s">
        <v>12</v>
      </c>
      <c r="D1520" s="2" t="s">
        <v>1019</v>
      </c>
      <c r="E1520" s="2" t="s">
        <v>91</v>
      </c>
      <c r="F1520" s="2" t="s">
        <v>19</v>
      </c>
      <c r="G1520" s="2"/>
      <c r="H1520" s="2"/>
      <c r="I1520" s="2"/>
      <c r="J1520" s="2"/>
    </row>
    <row r="1521" spans="1:10" x14ac:dyDescent="0.35">
      <c r="A1521" s="2" t="s">
        <v>10</v>
      </c>
      <c r="B1521" s="2" t="s">
        <v>886</v>
      </c>
      <c r="C1521" s="2" t="s">
        <v>12</v>
      </c>
      <c r="D1521" s="2" t="s">
        <v>1019</v>
      </c>
      <c r="E1521" s="2" t="s">
        <v>1020</v>
      </c>
      <c r="F1521" s="2" t="s">
        <v>40</v>
      </c>
      <c r="G1521" s="2" t="s">
        <v>46</v>
      </c>
      <c r="H1521" s="2" t="s">
        <v>981</v>
      </c>
      <c r="I1521" s="2"/>
      <c r="J1521" s="2"/>
    </row>
    <row r="1522" spans="1:10" x14ac:dyDescent="0.35">
      <c r="A1522" s="2" t="s">
        <v>10</v>
      </c>
      <c r="B1522" s="2" t="s">
        <v>886</v>
      </c>
      <c r="C1522" s="2" t="s">
        <v>12</v>
      </c>
      <c r="D1522" s="2" t="s">
        <v>1019</v>
      </c>
      <c r="E1522" s="2" t="s">
        <v>1021</v>
      </c>
      <c r="F1522" s="2" t="s">
        <v>122</v>
      </c>
      <c r="G1522" s="2"/>
      <c r="H1522" s="2"/>
      <c r="I1522" s="2"/>
      <c r="J1522" s="2"/>
    </row>
    <row r="1523" spans="1:10" x14ac:dyDescent="0.35">
      <c r="A1523" s="2" t="s">
        <v>10</v>
      </c>
      <c r="B1523" s="2" t="s">
        <v>886</v>
      </c>
      <c r="C1523" s="2" t="s">
        <v>62</v>
      </c>
      <c r="D1523" s="2" t="s">
        <v>1022</v>
      </c>
      <c r="E1523" s="2" t="s">
        <v>196</v>
      </c>
      <c r="F1523" s="2" t="s">
        <v>197</v>
      </c>
      <c r="G1523" s="2"/>
      <c r="H1523" s="2"/>
      <c r="I1523" s="2"/>
      <c r="J1523" s="2"/>
    </row>
    <row r="1524" spans="1:10" x14ac:dyDescent="0.35">
      <c r="A1524" s="2" t="s">
        <v>10</v>
      </c>
      <c r="B1524" s="2" t="s">
        <v>886</v>
      </c>
      <c r="C1524" s="2" t="s">
        <v>62</v>
      </c>
      <c r="D1524" s="2" t="s">
        <v>1022</v>
      </c>
      <c r="E1524" s="2" t="s">
        <v>14</v>
      </c>
      <c r="F1524" s="2" t="s">
        <v>15</v>
      </c>
      <c r="G1524" s="2"/>
      <c r="H1524" s="2"/>
      <c r="I1524" s="2"/>
      <c r="J1524" s="2"/>
    </row>
    <row r="1525" spans="1:10" x14ac:dyDescent="0.35">
      <c r="A1525" s="2" t="s">
        <v>10</v>
      </c>
      <c r="B1525" s="2" t="s">
        <v>886</v>
      </c>
      <c r="C1525" s="2" t="s">
        <v>62</v>
      </c>
      <c r="D1525" s="2" t="s">
        <v>1022</v>
      </c>
      <c r="E1525" s="2" t="s">
        <v>172</v>
      </c>
      <c r="F1525" s="2" t="s">
        <v>65</v>
      </c>
      <c r="G1525" s="2"/>
      <c r="H1525" s="2"/>
      <c r="I1525" s="2"/>
      <c r="J1525" s="2"/>
    </row>
    <row r="1526" spans="1:10" x14ac:dyDescent="0.35">
      <c r="A1526" s="2" t="s">
        <v>10</v>
      </c>
      <c r="B1526" s="2" t="s">
        <v>886</v>
      </c>
      <c r="C1526" s="2" t="s">
        <v>62</v>
      </c>
      <c r="D1526" s="2" t="s">
        <v>1022</v>
      </c>
      <c r="E1526" s="2" t="s">
        <v>1023</v>
      </c>
      <c r="F1526" s="2" t="s">
        <v>75</v>
      </c>
      <c r="G1526" s="2"/>
      <c r="H1526" s="2"/>
      <c r="I1526" s="2"/>
      <c r="J1526" s="2"/>
    </row>
    <row r="1527" spans="1:10" x14ac:dyDescent="0.35">
      <c r="A1527" s="2" t="s">
        <v>10</v>
      </c>
      <c r="B1527" s="2" t="s">
        <v>886</v>
      </c>
      <c r="C1527" s="2" t="s">
        <v>62</v>
      </c>
      <c r="D1527" s="2" t="s">
        <v>1022</v>
      </c>
      <c r="E1527" s="2" t="s">
        <v>1024</v>
      </c>
      <c r="F1527" s="2" t="s">
        <v>38</v>
      </c>
      <c r="G1527" s="2"/>
      <c r="H1527" s="2"/>
      <c r="I1527" s="2"/>
      <c r="J1527" s="2"/>
    </row>
    <row r="1528" spans="1:10" x14ac:dyDescent="0.35">
      <c r="A1528" s="2" t="s">
        <v>10</v>
      </c>
      <c r="B1528" s="2" t="s">
        <v>886</v>
      </c>
      <c r="C1528" s="2" t="s">
        <v>62</v>
      </c>
      <c r="D1528" s="2" t="s">
        <v>1022</v>
      </c>
      <c r="E1528" s="2" t="s">
        <v>1025</v>
      </c>
      <c r="F1528" s="2" t="s">
        <v>50</v>
      </c>
      <c r="G1528" s="2"/>
      <c r="H1528" s="2"/>
      <c r="I1528" s="2"/>
      <c r="J1528" s="2"/>
    </row>
    <row r="1529" spans="1:10" x14ac:dyDescent="0.35">
      <c r="A1529" s="2" t="s">
        <v>10</v>
      </c>
      <c r="B1529" s="2" t="s">
        <v>886</v>
      </c>
      <c r="C1529" s="2" t="s">
        <v>62</v>
      </c>
      <c r="D1529" s="2" t="s">
        <v>1022</v>
      </c>
      <c r="E1529" s="2" t="s">
        <v>100</v>
      </c>
      <c r="F1529" s="2" t="s">
        <v>101</v>
      </c>
      <c r="G1529" s="2"/>
      <c r="H1529" s="2"/>
      <c r="I1529" s="2"/>
      <c r="J1529" s="2"/>
    </row>
    <row r="1530" spans="1:10" x14ac:dyDescent="0.35">
      <c r="A1530" s="2" t="s">
        <v>10</v>
      </c>
      <c r="B1530" s="2" t="s">
        <v>886</v>
      </c>
      <c r="C1530" s="2" t="s">
        <v>62</v>
      </c>
      <c r="D1530" s="2" t="s">
        <v>1022</v>
      </c>
      <c r="E1530" s="2" t="s">
        <v>1026</v>
      </c>
      <c r="F1530" s="2" t="s">
        <v>38</v>
      </c>
      <c r="G1530" s="2"/>
      <c r="H1530" s="2"/>
      <c r="I1530" s="2"/>
      <c r="J1530" s="2"/>
    </row>
    <row r="1531" spans="1:10" x14ac:dyDescent="0.35">
      <c r="A1531" s="2" t="s">
        <v>10</v>
      </c>
      <c r="B1531" s="2" t="s">
        <v>886</v>
      </c>
      <c r="C1531" s="2" t="s">
        <v>62</v>
      </c>
      <c r="D1531" s="2" t="s">
        <v>1022</v>
      </c>
      <c r="E1531" s="2" t="s">
        <v>149</v>
      </c>
      <c r="F1531" s="2" t="s">
        <v>150</v>
      </c>
      <c r="G1531" s="2"/>
      <c r="H1531" s="2"/>
      <c r="I1531" s="2"/>
      <c r="J1531" s="2"/>
    </row>
    <row r="1532" spans="1:10" s="21" customFormat="1" x14ac:dyDescent="0.35">
      <c r="A1532" s="2" t="s">
        <v>10</v>
      </c>
      <c r="B1532" s="2" t="s">
        <v>886</v>
      </c>
      <c r="C1532" s="2" t="s">
        <v>62</v>
      </c>
      <c r="D1532" s="2" t="s">
        <v>1027</v>
      </c>
      <c r="E1532" s="2" t="s">
        <v>106</v>
      </c>
      <c r="F1532" s="2" t="s">
        <v>107</v>
      </c>
      <c r="G1532" s="2"/>
      <c r="H1532" s="2"/>
      <c r="I1532" s="2"/>
      <c r="J1532" s="2"/>
    </row>
    <row r="1533" spans="1:10" x14ac:dyDescent="0.35">
      <c r="A1533" s="2" t="s">
        <v>10</v>
      </c>
      <c r="B1533" s="2" t="s">
        <v>886</v>
      </c>
      <c r="C1533" s="2" t="s">
        <v>62</v>
      </c>
      <c r="D1533" s="2" t="s">
        <v>1028</v>
      </c>
      <c r="E1533" s="2" t="s">
        <v>196</v>
      </c>
      <c r="F1533" s="2" t="s">
        <v>197</v>
      </c>
      <c r="G1533" s="2"/>
      <c r="H1533" s="2"/>
      <c r="I1533" s="2"/>
      <c r="J1533" s="2"/>
    </row>
    <row r="1534" spans="1:10" x14ac:dyDescent="0.35">
      <c r="A1534" s="2" t="s">
        <v>10</v>
      </c>
      <c r="B1534" s="2" t="s">
        <v>886</v>
      </c>
      <c r="C1534" s="2" t="s">
        <v>62</v>
      </c>
      <c r="D1534" s="2" t="s">
        <v>1028</v>
      </c>
      <c r="E1534" s="2" t="s">
        <v>31</v>
      </c>
      <c r="F1534" s="2" t="s">
        <v>32</v>
      </c>
      <c r="G1534" s="2"/>
      <c r="H1534" s="2"/>
      <c r="I1534" s="2"/>
      <c r="J1534" s="2"/>
    </row>
    <row r="1535" spans="1:10" x14ac:dyDescent="0.35">
      <c r="A1535" s="2" t="s">
        <v>10</v>
      </c>
      <c r="B1535" s="2" t="s">
        <v>886</v>
      </c>
      <c r="C1535" s="2" t="s">
        <v>62</v>
      </c>
      <c r="D1535" s="2" t="s">
        <v>1028</v>
      </c>
      <c r="E1535" s="2" t="s">
        <v>1029</v>
      </c>
      <c r="F1535" s="2" t="s">
        <v>367</v>
      </c>
      <c r="G1535" s="2"/>
      <c r="H1535" s="2"/>
      <c r="I1535" s="2"/>
      <c r="J1535" s="2"/>
    </row>
    <row r="1536" spans="1:10" x14ac:dyDescent="0.35">
      <c r="A1536" s="2" t="s">
        <v>10</v>
      </c>
      <c r="B1536" s="2" t="s">
        <v>886</v>
      </c>
      <c r="C1536" s="2" t="s">
        <v>62</v>
      </c>
      <c r="D1536" s="2" t="s">
        <v>1028</v>
      </c>
      <c r="E1536" s="2" t="s">
        <v>1030</v>
      </c>
      <c r="F1536" s="2" t="s">
        <v>83</v>
      </c>
      <c r="G1536" s="2"/>
      <c r="H1536" s="2"/>
      <c r="I1536" s="2"/>
      <c r="J1536" s="2"/>
    </row>
    <row r="1537" spans="1:10" x14ac:dyDescent="0.35">
      <c r="A1537" s="2" t="s">
        <v>10</v>
      </c>
      <c r="B1537" s="2" t="s">
        <v>886</v>
      </c>
      <c r="C1537" s="2" t="s">
        <v>62</v>
      </c>
      <c r="D1537" s="2" t="s">
        <v>1028</v>
      </c>
      <c r="E1537" s="2" t="s">
        <v>87</v>
      </c>
      <c r="F1537" s="2" t="s">
        <v>75</v>
      </c>
      <c r="G1537" s="2" t="s">
        <v>16</v>
      </c>
      <c r="H1537" s="2" t="s">
        <v>1031</v>
      </c>
      <c r="I1537" s="2"/>
      <c r="J1537" s="2"/>
    </row>
    <row r="1538" spans="1:10" x14ac:dyDescent="0.35">
      <c r="A1538" s="2" t="s">
        <v>10</v>
      </c>
      <c r="B1538" s="2" t="s">
        <v>886</v>
      </c>
      <c r="C1538" s="2" t="s">
        <v>62</v>
      </c>
      <c r="D1538" s="2" t="s">
        <v>1028</v>
      </c>
      <c r="E1538" s="2" t="s">
        <v>1032</v>
      </c>
      <c r="F1538" s="2" t="s">
        <v>45</v>
      </c>
      <c r="G1538" s="2"/>
      <c r="H1538" s="2"/>
      <c r="I1538" s="2"/>
      <c r="J1538" s="2"/>
    </row>
    <row r="1539" spans="1:10" x14ac:dyDescent="0.35">
      <c r="A1539" s="2" t="s">
        <v>10</v>
      </c>
      <c r="B1539" s="2" t="s">
        <v>886</v>
      </c>
      <c r="C1539" s="2" t="s">
        <v>62</v>
      </c>
      <c r="D1539" s="2" t="s">
        <v>1033</v>
      </c>
      <c r="E1539" s="2" t="s">
        <v>196</v>
      </c>
      <c r="F1539" s="2" t="s">
        <v>197</v>
      </c>
      <c r="G1539" s="2"/>
      <c r="H1539" s="2"/>
      <c r="I1539" s="2"/>
      <c r="J1539" s="2"/>
    </row>
    <row r="1540" spans="1:10" s="21" customFormat="1" x14ac:dyDescent="0.35">
      <c r="A1540" s="2" t="s">
        <v>10</v>
      </c>
      <c r="B1540" s="2" t="s">
        <v>886</v>
      </c>
      <c r="C1540" s="2" t="s">
        <v>62</v>
      </c>
      <c r="D1540" s="2" t="s">
        <v>1033</v>
      </c>
      <c r="E1540" s="2" t="s">
        <v>246</v>
      </c>
      <c r="F1540" s="2" t="s">
        <v>107</v>
      </c>
      <c r="G1540" s="2"/>
      <c r="H1540" s="2"/>
      <c r="I1540" s="2"/>
      <c r="J1540" s="2"/>
    </row>
    <row r="1541" spans="1:10" x14ac:dyDescent="0.35">
      <c r="A1541" s="2" t="s">
        <v>10</v>
      </c>
      <c r="B1541" s="2" t="s">
        <v>886</v>
      </c>
      <c r="C1541" s="2" t="s">
        <v>62</v>
      </c>
      <c r="D1541" s="2" t="s">
        <v>1033</v>
      </c>
      <c r="E1541" s="2" t="s">
        <v>1034</v>
      </c>
      <c r="F1541" s="2" t="s">
        <v>78</v>
      </c>
      <c r="G1541" s="2"/>
      <c r="H1541" s="2"/>
      <c r="I1541" s="2"/>
      <c r="J1541" s="2"/>
    </row>
    <row r="1542" spans="1:10" s="21" customFormat="1" x14ac:dyDescent="0.35">
      <c r="A1542" s="2" t="s">
        <v>10</v>
      </c>
      <c r="B1542" s="2" t="s">
        <v>886</v>
      </c>
      <c r="C1542" s="2" t="s">
        <v>62</v>
      </c>
      <c r="D1542" s="2" t="s">
        <v>1033</v>
      </c>
      <c r="E1542" s="2" t="s">
        <v>120</v>
      </c>
      <c r="F1542" s="2" t="s">
        <v>32</v>
      </c>
      <c r="G1542" s="2"/>
      <c r="H1542" s="2"/>
      <c r="I1542" s="2"/>
      <c r="J1542" s="2"/>
    </row>
    <row r="1543" spans="1:10" s="21" customFormat="1" x14ac:dyDescent="0.35">
      <c r="A1543" s="2" t="s">
        <v>10</v>
      </c>
      <c r="B1543" s="2" t="s">
        <v>886</v>
      </c>
      <c r="C1543" s="2" t="s">
        <v>62</v>
      </c>
      <c r="D1543" s="2" t="s">
        <v>1033</v>
      </c>
      <c r="E1543" s="2" t="s">
        <v>61</v>
      </c>
      <c r="F1543" s="2" t="s">
        <v>30</v>
      </c>
      <c r="G1543" s="2"/>
      <c r="H1543" s="2"/>
      <c r="I1543" s="2"/>
      <c r="J1543" s="2"/>
    </row>
    <row r="1544" spans="1:10" x14ac:dyDescent="0.35">
      <c r="A1544" s="2" t="s">
        <v>10</v>
      </c>
      <c r="B1544" s="2" t="s">
        <v>886</v>
      </c>
      <c r="C1544" s="2" t="s">
        <v>62</v>
      </c>
      <c r="D1544" s="2" t="s">
        <v>1033</v>
      </c>
      <c r="E1544" s="2" t="s">
        <v>1035</v>
      </c>
      <c r="F1544" s="2" t="s">
        <v>125</v>
      </c>
      <c r="G1544" s="2"/>
      <c r="H1544" s="2"/>
      <c r="I1544" s="2"/>
      <c r="J1544" s="2"/>
    </row>
    <row r="1545" spans="1:10" x14ac:dyDescent="0.35">
      <c r="A1545" s="2" t="s">
        <v>10</v>
      </c>
      <c r="B1545" s="2" t="s">
        <v>886</v>
      </c>
      <c r="C1545" s="2" t="s">
        <v>62</v>
      </c>
      <c r="D1545" s="2" t="s">
        <v>1033</v>
      </c>
      <c r="E1545" s="2" t="s">
        <v>1036</v>
      </c>
      <c r="F1545" s="2" t="s">
        <v>75</v>
      </c>
      <c r="G1545" s="2"/>
      <c r="H1545" s="2"/>
      <c r="I1545" s="2"/>
      <c r="J1545" s="2"/>
    </row>
    <row r="1546" spans="1:10" s="21" customFormat="1" x14ac:dyDescent="0.35">
      <c r="A1546" s="2" t="s">
        <v>10</v>
      </c>
      <c r="B1546" s="2" t="s">
        <v>886</v>
      </c>
      <c r="C1546" s="2" t="s">
        <v>62</v>
      </c>
      <c r="D1546" s="2" t="s">
        <v>1037</v>
      </c>
      <c r="E1546" s="2" t="s">
        <v>106</v>
      </c>
      <c r="F1546" s="2" t="s">
        <v>107</v>
      </c>
      <c r="G1546" s="2"/>
      <c r="H1546" s="2"/>
      <c r="I1546" s="2"/>
      <c r="J1546" s="2"/>
    </row>
    <row r="1547" spans="1:10" s="21" customFormat="1" x14ac:dyDescent="0.35">
      <c r="A1547" s="2" t="s">
        <v>10</v>
      </c>
      <c r="B1547" s="2" t="s">
        <v>886</v>
      </c>
      <c r="C1547" s="2" t="s">
        <v>62</v>
      </c>
      <c r="D1547" s="2" t="s">
        <v>1038</v>
      </c>
      <c r="E1547" s="2" t="s">
        <v>106</v>
      </c>
      <c r="F1547" s="2" t="s">
        <v>107</v>
      </c>
      <c r="G1547" s="2"/>
      <c r="H1547" s="2"/>
      <c r="I1547" s="2"/>
      <c r="J1547" s="2"/>
    </row>
    <row r="1548" spans="1:10" s="21" customFormat="1" x14ac:dyDescent="0.35">
      <c r="A1548" s="2" t="s">
        <v>10</v>
      </c>
      <c r="B1548" s="2" t="s">
        <v>886</v>
      </c>
      <c r="C1548" s="2" t="s">
        <v>62</v>
      </c>
      <c r="D1548" s="2" t="s">
        <v>1039</v>
      </c>
      <c r="E1548" s="2" t="s">
        <v>106</v>
      </c>
      <c r="F1548" s="2" t="s">
        <v>107</v>
      </c>
      <c r="G1548" s="2"/>
      <c r="H1548" s="2"/>
      <c r="I1548" s="2"/>
      <c r="J1548" s="2"/>
    </row>
    <row r="1549" spans="1:10" x14ac:dyDescent="0.35">
      <c r="A1549" s="2" t="s">
        <v>10</v>
      </c>
      <c r="B1549" s="2" t="s">
        <v>886</v>
      </c>
      <c r="C1549" s="2" t="s">
        <v>54</v>
      </c>
      <c r="D1549" s="2" t="s">
        <v>1040</v>
      </c>
      <c r="E1549" s="2" t="s">
        <v>31</v>
      </c>
      <c r="F1549" s="2" t="s">
        <v>32</v>
      </c>
      <c r="G1549" s="2" t="s">
        <v>16</v>
      </c>
      <c r="H1549" s="2" t="s">
        <v>191</v>
      </c>
      <c r="I1549" s="2"/>
      <c r="J1549" s="2"/>
    </row>
    <row r="1550" spans="1:10" x14ac:dyDescent="0.35">
      <c r="A1550" s="2" t="s">
        <v>10</v>
      </c>
      <c r="B1550" s="2" t="s">
        <v>886</v>
      </c>
      <c r="C1550" s="2" t="s">
        <v>54</v>
      </c>
      <c r="D1550" s="2" t="s">
        <v>1040</v>
      </c>
      <c r="E1550" s="2" t="s">
        <v>38</v>
      </c>
      <c r="F1550" s="2" t="s">
        <v>38</v>
      </c>
      <c r="G1550" s="2" t="s">
        <v>16</v>
      </c>
      <c r="H1550" s="2" t="s">
        <v>191</v>
      </c>
      <c r="I1550" s="2"/>
      <c r="J1550" s="2"/>
    </row>
    <row r="1551" spans="1:10" x14ac:dyDescent="0.35">
      <c r="A1551" s="2" t="s">
        <v>10</v>
      </c>
      <c r="B1551" s="2" t="s">
        <v>886</v>
      </c>
      <c r="C1551" s="2" t="s">
        <v>54</v>
      </c>
      <c r="D1551" s="2" t="s">
        <v>1040</v>
      </c>
      <c r="E1551" s="2" t="s">
        <v>168</v>
      </c>
      <c r="F1551" s="2" t="s">
        <v>45</v>
      </c>
      <c r="G1551" s="2" t="s">
        <v>16</v>
      </c>
      <c r="H1551" s="2" t="s">
        <v>191</v>
      </c>
      <c r="I1551" s="2"/>
      <c r="J1551" s="2"/>
    </row>
    <row r="1552" spans="1:10" x14ac:dyDescent="0.35">
      <c r="A1552" s="2" t="s">
        <v>10</v>
      </c>
      <c r="B1552" s="2" t="s">
        <v>886</v>
      </c>
      <c r="C1552" s="2" t="s">
        <v>54</v>
      </c>
      <c r="D1552" s="2" t="s">
        <v>1040</v>
      </c>
      <c r="E1552" s="2" t="s">
        <v>77</v>
      </c>
      <c r="F1552" s="2" t="s">
        <v>78</v>
      </c>
      <c r="G1552" s="2" t="s">
        <v>16</v>
      </c>
      <c r="H1552" s="2" t="s">
        <v>191</v>
      </c>
      <c r="I1552" s="2"/>
      <c r="J1552" s="2"/>
    </row>
    <row r="1553" spans="1:10" x14ac:dyDescent="0.35">
      <c r="A1553" s="2" t="s">
        <v>10</v>
      </c>
      <c r="B1553" s="2" t="s">
        <v>886</v>
      </c>
      <c r="C1553" s="2" t="s">
        <v>54</v>
      </c>
      <c r="D1553" s="2" t="s">
        <v>1040</v>
      </c>
      <c r="E1553" s="2" t="s">
        <v>188</v>
      </c>
      <c r="F1553" s="2" t="s">
        <v>189</v>
      </c>
      <c r="G1553" s="2" t="s">
        <v>16</v>
      </c>
      <c r="H1553" s="2" t="s">
        <v>191</v>
      </c>
      <c r="I1553" s="2"/>
      <c r="J1553" s="2"/>
    </row>
    <row r="1554" spans="1:10" x14ac:dyDescent="0.35">
      <c r="A1554" s="2" t="s">
        <v>10</v>
      </c>
      <c r="B1554" s="2" t="s">
        <v>886</v>
      </c>
      <c r="C1554" s="2" t="s">
        <v>54</v>
      </c>
      <c r="D1554" s="2" t="s">
        <v>1040</v>
      </c>
      <c r="E1554" s="2" t="s">
        <v>1041</v>
      </c>
      <c r="F1554" s="2" t="s">
        <v>65</v>
      </c>
      <c r="G1554" s="2" t="s">
        <v>16</v>
      </c>
      <c r="H1554" s="2" t="s">
        <v>191</v>
      </c>
      <c r="I1554" s="2"/>
      <c r="J1554" s="2"/>
    </row>
    <row r="1555" spans="1:10" s="21" customFormat="1" x14ac:dyDescent="0.35">
      <c r="A1555" s="2" t="s">
        <v>10</v>
      </c>
      <c r="B1555" s="2" t="s">
        <v>886</v>
      </c>
      <c r="C1555" s="2" t="s">
        <v>62</v>
      </c>
      <c r="D1555" s="2" t="s">
        <v>1042</v>
      </c>
      <c r="E1555" s="2" t="s">
        <v>172</v>
      </c>
      <c r="F1555" s="2" t="s">
        <v>65</v>
      </c>
      <c r="G1555" s="2"/>
      <c r="H1555" s="2"/>
      <c r="I1555" s="2"/>
      <c r="J1555" s="2"/>
    </row>
    <row r="1556" spans="1:10" s="21" customFormat="1" x14ac:dyDescent="0.35">
      <c r="A1556" s="2" t="s">
        <v>10</v>
      </c>
      <c r="B1556" s="2" t="s">
        <v>886</v>
      </c>
      <c r="C1556" s="2" t="s">
        <v>62</v>
      </c>
      <c r="D1556" s="2" t="s">
        <v>1042</v>
      </c>
      <c r="E1556" s="2" t="s">
        <v>188</v>
      </c>
      <c r="F1556" s="2" t="s">
        <v>189</v>
      </c>
      <c r="G1556" s="2"/>
      <c r="H1556" s="2"/>
      <c r="I1556" s="2"/>
      <c r="J1556" s="2"/>
    </row>
    <row r="1557" spans="1:10" s="21" customFormat="1" x14ac:dyDescent="0.35">
      <c r="A1557" s="2" t="s">
        <v>10</v>
      </c>
      <c r="B1557" s="2" t="s">
        <v>886</v>
      </c>
      <c r="C1557" s="2" t="s">
        <v>62</v>
      </c>
      <c r="D1557" s="2" t="s">
        <v>1043</v>
      </c>
      <c r="E1557" s="2" t="s">
        <v>106</v>
      </c>
      <c r="F1557" s="2" t="s">
        <v>107</v>
      </c>
      <c r="G1557" s="2"/>
      <c r="H1557" s="2"/>
      <c r="I1557" s="2"/>
      <c r="J1557" s="2"/>
    </row>
    <row r="1558" spans="1:10" x14ac:dyDescent="0.35">
      <c r="A1558" s="2" t="s">
        <v>10</v>
      </c>
      <c r="B1558" s="2" t="s">
        <v>886</v>
      </c>
      <c r="C1558" s="2" t="s">
        <v>54</v>
      </c>
      <c r="D1558" s="2" t="s">
        <v>1044</v>
      </c>
      <c r="E1558" s="2" t="s">
        <v>14</v>
      </c>
      <c r="F1558" s="2" t="s">
        <v>15</v>
      </c>
      <c r="G1558" s="2"/>
      <c r="H1558" s="2"/>
      <c r="I1558" s="2"/>
      <c r="J1558" s="2"/>
    </row>
    <row r="1559" spans="1:10" x14ac:dyDescent="0.35">
      <c r="A1559" s="2" t="s">
        <v>10</v>
      </c>
      <c r="B1559" s="2" t="s">
        <v>886</v>
      </c>
      <c r="C1559" s="2" t="s">
        <v>54</v>
      </c>
      <c r="D1559" s="2" t="s">
        <v>1044</v>
      </c>
      <c r="E1559" s="2" t="s">
        <v>416</v>
      </c>
      <c r="F1559" s="2" t="s">
        <v>38</v>
      </c>
      <c r="G1559" s="2" t="s">
        <v>16</v>
      </c>
      <c r="H1559" s="2" t="s">
        <v>1045</v>
      </c>
      <c r="I1559" s="2"/>
      <c r="J1559" s="2"/>
    </row>
    <row r="1560" spans="1:10" s="21" customFormat="1" x14ac:dyDescent="0.35">
      <c r="A1560" s="2" t="s">
        <v>10</v>
      </c>
      <c r="B1560" s="2" t="s">
        <v>886</v>
      </c>
      <c r="C1560" s="2" t="s">
        <v>54</v>
      </c>
      <c r="D1560" s="2" t="s">
        <v>1044</v>
      </c>
      <c r="E1560" s="2" t="s">
        <v>91</v>
      </c>
      <c r="F1560" s="2" t="s">
        <v>19</v>
      </c>
      <c r="G1560" s="2" t="s">
        <v>20</v>
      </c>
      <c r="H1560" s="2" t="s">
        <v>1046</v>
      </c>
      <c r="I1560" s="2"/>
      <c r="J1560" s="2"/>
    </row>
    <row r="1561" spans="1:10" x14ac:dyDescent="0.35">
      <c r="A1561" s="2" t="s">
        <v>10</v>
      </c>
      <c r="B1561" s="2" t="s">
        <v>886</v>
      </c>
      <c r="C1561" s="2" t="s">
        <v>62</v>
      </c>
      <c r="D1561" s="2" t="s">
        <v>1047</v>
      </c>
      <c r="E1561" s="2" t="s">
        <v>31</v>
      </c>
      <c r="F1561" s="2" t="s">
        <v>32</v>
      </c>
      <c r="G1561" s="2"/>
      <c r="H1561" s="2"/>
      <c r="I1561" s="2"/>
      <c r="J1561" s="2"/>
    </row>
    <row r="1562" spans="1:10" x14ac:dyDescent="0.35">
      <c r="A1562" s="2" t="s">
        <v>10</v>
      </c>
      <c r="B1562" s="2" t="s">
        <v>886</v>
      </c>
      <c r="C1562" s="2" t="s">
        <v>62</v>
      </c>
      <c r="D1562" s="2" t="s">
        <v>1047</v>
      </c>
      <c r="E1562" s="2" t="s">
        <v>782</v>
      </c>
      <c r="F1562" s="2" t="s">
        <v>75</v>
      </c>
      <c r="G1562" s="2" t="s">
        <v>16</v>
      </c>
      <c r="H1562" s="2" t="s">
        <v>1048</v>
      </c>
      <c r="I1562" s="2"/>
      <c r="J1562" s="2"/>
    </row>
    <row r="1563" spans="1:10" x14ac:dyDescent="0.35">
      <c r="A1563" s="2" t="s">
        <v>10</v>
      </c>
      <c r="B1563" s="2" t="s">
        <v>886</v>
      </c>
      <c r="C1563" s="2" t="s">
        <v>62</v>
      </c>
      <c r="D1563" s="2" t="s">
        <v>1047</v>
      </c>
      <c r="E1563" s="2" t="s">
        <v>116</v>
      </c>
      <c r="F1563" s="2" t="s">
        <v>30</v>
      </c>
      <c r="G1563" s="2"/>
      <c r="H1563" s="2"/>
      <c r="I1563" s="2"/>
      <c r="J1563" s="2"/>
    </row>
    <row r="1564" spans="1:10" s="21" customFormat="1" x14ac:dyDescent="0.35">
      <c r="A1564" s="2" t="s">
        <v>10</v>
      </c>
      <c r="B1564" s="2" t="s">
        <v>886</v>
      </c>
      <c r="C1564" s="2" t="s">
        <v>62</v>
      </c>
      <c r="D1564" s="2" t="s">
        <v>1049</v>
      </c>
      <c r="E1564" s="2" t="s">
        <v>317</v>
      </c>
      <c r="F1564" s="2" t="s">
        <v>318</v>
      </c>
      <c r="G1564" s="2"/>
      <c r="H1564" s="2"/>
      <c r="I1564" s="2"/>
      <c r="J1564" s="2"/>
    </row>
    <row r="1565" spans="1:10" s="21" customFormat="1" x14ac:dyDescent="0.35">
      <c r="A1565" s="2" t="s">
        <v>10</v>
      </c>
      <c r="B1565" s="2" t="s">
        <v>886</v>
      </c>
      <c r="C1565" s="2" t="s">
        <v>62</v>
      </c>
      <c r="D1565" s="2" t="s">
        <v>1049</v>
      </c>
      <c r="E1565" s="2" t="s">
        <v>1050</v>
      </c>
      <c r="F1565" s="2" t="s">
        <v>75</v>
      </c>
      <c r="G1565" s="2"/>
      <c r="H1565" s="2"/>
      <c r="I1565" s="2"/>
      <c r="J1565" s="2"/>
    </row>
    <row r="1566" spans="1:10" s="21" customFormat="1" x14ac:dyDescent="0.35">
      <c r="A1566" s="2" t="s">
        <v>10</v>
      </c>
      <c r="B1566" s="2" t="s">
        <v>886</v>
      </c>
      <c r="C1566" s="2" t="s">
        <v>62</v>
      </c>
      <c r="D1566" s="2" t="s">
        <v>1049</v>
      </c>
      <c r="E1566" s="2" t="s">
        <v>1051</v>
      </c>
      <c r="F1566" s="2" t="s">
        <v>318</v>
      </c>
      <c r="G1566" s="2"/>
      <c r="H1566" s="2"/>
      <c r="I1566" s="2"/>
      <c r="J1566" s="2"/>
    </row>
    <row r="1567" spans="1:10" x14ac:dyDescent="0.35">
      <c r="A1567" s="2" t="s">
        <v>10</v>
      </c>
      <c r="B1567" s="2" t="s">
        <v>886</v>
      </c>
      <c r="C1567" s="2" t="s">
        <v>62</v>
      </c>
      <c r="D1567" s="2" t="s">
        <v>1052</v>
      </c>
      <c r="E1567" s="2" t="s">
        <v>1053</v>
      </c>
      <c r="F1567" s="2" t="s">
        <v>533</v>
      </c>
      <c r="G1567" s="2"/>
      <c r="H1567" s="2"/>
      <c r="I1567" s="2"/>
      <c r="J1567" s="2"/>
    </row>
    <row r="1568" spans="1:10" x14ac:dyDescent="0.35">
      <c r="A1568" s="2" t="s">
        <v>10</v>
      </c>
      <c r="B1568" s="2" t="s">
        <v>886</v>
      </c>
      <c r="C1568" s="2" t="s">
        <v>62</v>
      </c>
      <c r="D1568" s="2" t="s">
        <v>1052</v>
      </c>
      <c r="E1568" s="2" t="s">
        <v>87</v>
      </c>
      <c r="F1568" s="2" t="s">
        <v>75</v>
      </c>
      <c r="G1568" s="2" t="s">
        <v>16</v>
      </c>
      <c r="H1568" s="2" t="s">
        <v>1054</v>
      </c>
      <c r="I1568" s="2"/>
      <c r="J1568" s="2"/>
    </row>
    <row r="1569" spans="1:10" x14ac:dyDescent="0.35">
      <c r="A1569" s="2" t="s">
        <v>10</v>
      </c>
      <c r="B1569" s="2" t="s">
        <v>886</v>
      </c>
      <c r="C1569" s="2" t="s">
        <v>62</v>
      </c>
      <c r="D1569" s="2" t="s">
        <v>1052</v>
      </c>
      <c r="E1569" s="2" t="s">
        <v>387</v>
      </c>
      <c r="F1569" s="2" t="s">
        <v>367</v>
      </c>
      <c r="G1569" s="2"/>
      <c r="H1569" s="2"/>
      <c r="I1569" s="2"/>
      <c r="J1569" s="2"/>
    </row>
    <row r="1570" spans="1:10" x14ac:dyDescent="0.35">
      <c r="A1570" s="2" t="s">
        <v>10</v>
      </c>
      <c r="B1570" s="2" t="s">
        <v>886</v>
      </c>
      <c r="C1570" s="2" t="s">
        <v>54</v>
      </c>
      <c r="D1570" s="2" t="s">
        <v>1055</v>
      </c>
      <c r="E1570" s="2" t="s">
        <v>31</v>
      </c>
      <c r="F1570" s="2" t="s">
        <v>32</v>
      </c>
      <c r="G1570" s="2" t="s">
        <v>46</v>
      </c>
      <c r="H1570" s="2" t="s">
        <v>675</v>
      </c>
      <c r="I1570" s="2"/>
      <c r="J1570" s="2"/>
    </row>
    <row r="1571" spans="1:10" x14ac:dyDescent="0.35">
      <c r="A1571" s="2" t="s">
        <v>10</v>
      </c>
      <c r="B1571" s="2" t="s">
        <v>886</v>
      </c>
      <c r="C1571" s="2" t="s">
        <v>54</v>
      </c>
      <c r="D1571" s="2" t="s">
        <v>1055</v>
      </c>
      <c r="E1571" s="2" t="s">
        <v>1056</v>
      </c>
      <c r="F1571" s="2" t="s">
        <v>38</v>
      </c>
      <c r="G1571" s="2" t="s">
        <v>46</v>
      </c>
      <c r="H1571" s="2" t="s">
        <v>675</v>
      </c>
      <c r="I1571" s="2"/>
      <c r="J1571" s="2"/>
    </row>
    <row r="1572" spans="1:10" x14ac:dyDescent="0.35">
      <c r="A1572" s="2" t="s">
        <v>10</v>
      </c>
      <c r="B1572" s="2" t="s">
        <v>886</v>
      </c>
      <c r="C1572" s="2" t="s">
        <v>54</v>
      </c>
      <c r="D1572" s="2" t="s">
        <v>1055</v>
      </c>
      <c r="E1572" s="2" t="s">
        <v>168</v>
      </c>
      <c r="F1572" s="2" t="s">
        <v>45</v>
      </c>
      <c r="G1572" s="2" t="s">
        <v>46</v>
      </c>
      <c r="H1572" s="2" t="s">
        <v>675</v>
      </c>
      <c r="I1572" s="2"/>
      <c r="J1572" s="2"/>
    </row>
    <row r="1573" spans="1:10" x14ac:dyDescent="0.35">
      <c r="A1573" s="2" t="s">
        <v>10</v>
      </c>
      <c r="B1573" s="2" t="s">
        <v>886</v>
      </c>
      <c r="C1573" s="2" t="s">
        <v>54</v>
      </c>
      <c r="D1573" s="2" t="s">
        <v>1055</v>
      </c>
      <c r="E1573" s="2" t="s">
        <v>1057</v>
      </c>
      <c r="F1573" s="2" t="s">
        <v>203</v>
      </c>
      <c r="G1573" s="2" t="s">
        <v>46</v>
      </c>
      <c r="H1573" s="2" t="s">
        <v>675</v>
      </c>
      <c r="I1573" s="2"/>
      <c r="J1573" s="2"/>
    </row>
    <row r="1574" spans="1:10" x14ac:dyDescent="0.35">
      <c r="A1574" s="2" t="s">
        <v>10</v>
      </c>
      <c r="B1574" s="2" t="s">
        <v>886</v>
      </c>
      <c r="C1574" s="2" t="s">
        <v>54</v>
      </c>
      <c r="D1574" s="2" t="s">
        <v>1055</v>
      </c>
      <c r="E1574" s="2" t="s">
        <v>100</v>
      </c>
      <c r="F1574" s="2" t="s">
        <v>101</v>
      </c>
      <c r="G1574" s="2" t="s">
        <v>46</v>
      </c>
      <c r="H1574" s="2" t="s">
        <v>675</v>
      </c>
      <c r="I1574" s="2"/>
      <c r="J1574" s="2"/>
    </row>
    <row r="1575" spans="1:10" x14ac:dyDescent="0.35">
      <c r="A1575" s="2" t="s">
        <v>10</v>
      </c>
      <c r="B1575" s="2" t="s">
        <v>886</v>
      </c>
      <c r="C1575" s="2" t="s">
        <v>54</v>
      </c>
      <c r="D1575" s="2" t="s">
        <v>1055</v>
      </c>
      <c r="E1575" s="2" t="s">
        <v>188</v>
      </c>
      <c r="F1575" s="2" t="s">
        <v>189</v>
      </c>
      <c r="G1575" s="2" t="s">
        <v>46</v>
      </c>
      <c r="H1575" s="2" t="s">
        <v>675</v>
      </c>
      <c r="I1575" s="2"/>
      <c r="J1575" s="2"/>
    </row>
    <row r="1576" spans="1:10" x14ac:dyDescent="0.35">
      <c r="A1576" s="2" t="s">
        <v>10</v>
      </c>
      <c r="B1576" s="2" t="s">
        <v>886</v>
      </c>
      <c r="C1576" s="2" t="s">
        <v>24</v>
      </c>
      <c r="D1576" s="2" t="s">
        <v>1058</v>
      </c>
      <c r="E1576" s="2" t="s">
        <v>38</v>
      </c>
      <c r="F1576" s="2" t="s">
        <v>38</v>
      </c>
      <c r="G1576" s="2"/>
      <c r="H1576" s="2"/>
      <c r="I1576" s="2"/>
      <c r="J1576" s="2"/>
    </row>
    <row r="1577" spans="1:10" x14ac:dyDescent="0.35">
      <c r="A1577" s="2" t="s">
        <v>10</v>
      </c>
      <c r="B1577" s="2" t="s">
        <v>886</v>
      </c>
      <c r="C1577" s="2" t="s">
        <v>24</v>
      </c>
      <c r="D1577" s="2" t="s">
        <v>1058</v>
      </c>
      <c r="E1577" s="2" t="s">
        <v>188</v>
      </c>
      <c r="F1577" s="2" t="s">
        <v>189</v>
      </c>
      <c r="G1577" s="2"/>
      <c r="H1577" s="2"/>
      <c r="I1577" s="2"/>
      <c r="J1577" s="2"/>
    </row>
    <row r="1578" spans="1:10" x14ac:dyDescent="0.35">
      <c r="A1578" s="2" t="s">
        <v>10</v>
      </c>
      <c r="B1578" s="2" t="s">
        <v>886</v>
      </c>
      <c r="C1578" s="2" t="s">
        <v>24</v>
      </c>
      <c r="D1578" s="2" t="s">
        <v>1058</v>
      </c>
      <c r="E1578" s="2" t="s">
        <v>42</v>
      </c>
      <c r="F1578" s="2" t="s">
        <v>43</v>
      </c>
      <c r="G1578" s="2"/>
      <c r="H1578" s="2"/>
      <c r="I1578" s="2"/>
      <c r="J1578" s="2"/>
    </row>
    <row r="1579" spans="1:10" x14ac:dyDescent="0.35">
      <c r="A1579" s="2" t="s">
        <v>10</v>
      </c>
      <c r="B1579" s="2" t="s">
        <v>886</v>
      </c>
      <c r="C1579" s="2" t="s">
        <v>24</v>
      </c>
      <c r="D1579" s="2" t="s">
        <v>1059</v>
      </c>
      <c r="E1579" s="2" t="s">
        <v>14</v>
      </c>
      <c r="F1579" s="2" t="s">
        <v>15</v>
      </c>
      <c r="G1579" s="2"/>
      <c r="H1579" s="2"/>
      <c r="I1579" s="2"/>
      <c r="J1579" s="2"/>
    </row>
    <row r="1580" spans="1:10" x14ac:dyDescent="0.35">
      <c r="A1580" s="2" t="s">
        <v>10</v>
      </c>
      <c r="B1580" s="2" t="s">
        <v>886</v>
      </c>
      <c r="C1580" s="2" t="s">
        <v>24</v>
      </c>
      <c r="D1580" s="2" t="s">
        <v>1059</v>
      </c>
      <c r="E1580" s="2" t="s">
        <v>31</v>
      </c>
      <c r="F1580" s="2" t="s">
        <v>32</v>
      </c>
      <c r="G1580" s="2"/>
      <c r="H1580" s="2"/>
      <c r="I1580" s="2"/>
      <c r="J1580" s="2"/>
    </row>
    <row r="1581" spans="1:10" x14ac:dyDescent="0.35">
      <c r="A1581" s="2" t="s">
        <v>10</v>
      </c>
      <c r="B1581" s="2" t="s">
        <v>886</v>
      </c>
      <c r="C1581" s="2" t="s">
        <v>24</v>
      </c>
      <c r="D1581" s="2" t="s">
        <v>1059</v>
      </c>
      <c r="E1581" s="2" t="s">
        <v>38</v>
      </c>
      <c r="F1581" s="2" t="s">
        <v>38</v>
      </c>
      <c r="G1581" s="2"/>
      <c r="H1581" s="2"/>
      <c r="I1581" s="2"/>
      <c r="J1581" s="2"/>
    </row>
    <row r="1582" spans="1:10" x14ac:dyDescent="0.35">
      <c r="A1582" s="2" t="s">
        <v>10</v>
      </c>
      <c r="B1582" s="2" t="s">
        <v>886</v>
      </c>
      <c r="C1582" s="2" t="s">
        <v>24</v>
      </c>
      <c r="D1582" s="2" t="s">
        <v>1059</v>
      </c>
      <c r="E1582" s="2" t="s">
        <v>954</v>
      </c>
      <c r="F1582" s="2" t="s">
        <v>955</v>
      </c>
      <c r="G1582" s="2"/>
      <c r="H1582" s="2"/>
      <c r="I1582" s="2"/>
      <c r="J1582" s="2"/>
    </row>
    <row r="1583" spans="1:10" x14ac:dyDescent="0.35">
      <c r="A1583" s="2" t="s">
        <v>10</v>
      </c>
      <c r="B1583" s="2" t="s">
        <v>886</v>
      </c>
      <c r="C1583" s="2" t="s">
        <v>24</v>
      </c>
      <c r="D1583" s="2" t="s">
        <v>1059</v>
      </c>
      <c r="E1583" s="2" t="s">
        <v>957</v>
      </c>
      <c r="F1583" s="2" t="s">
        <v>1060</v>
      </c>
      <c r="G1583" s="2"/>
      <c r="H1583" s="2"/>
      <c r="I1583" s="2"/>
      <c r="J1583" s="2"/>
    </row>
    <row r="1584" spans="1:10" x14ac:dyDescent="0.35">
      <c r="A1584" s="2" t="s">
        <v>10</v>
      </c>
      <c r="B1584" s="2" t="s">
        <v>886</v>
      </c>
      <c r="C1584" s="2" t="s">
        <v>24</v>
      </c>
      <c r="D1584" s="2" t="s">
        <v>1059</v>
      </c>
      <c r="E1584" s="2" t="s">
        <v>91</v>
      </c>
      <c r="F1584" s="2" t="s">
        <v>19</v>
      </c>
      <c r="G1584" s="2" t="s">
        <v>16</v>
      </c>
      <c r="H1584" s="2" t="s">
        <v>1061</v>
      </c>
      <c r="I1584" s="2"/>
      <c r="J1584" s="2"/>
    </row>
    <row r="1585" spans="1:10" x14ac:dyDescent="0.35">
      <c r="A1585" s="2" t="s">
        <v>10</v>
      </c>
      <c r="B1585" s="2" t="s">
        <v>886</v>
      </c>
      <c r="C1585" s="2" t="s">
        <v>24</v>
      </c>
      <c r="D1585" s="2" t="s">
        <v>1059</v>
      </c>
      <c r="E1585" s="2" t="s">
        <v>930</v>
      </c>
      <c r="F1585" s="2" t="s">
        <v>15</v>
      </c>
      <c r="G1585" s="2"/>
      <c r="H1585" s="2"/>
      <c r="I1585" s="2"/>
      <c r="J1585" s="2"/>
    </row>
    <row r="1586" spans="1:10" x14ac:dyDescent="0.35">
      <c r="A1586" s="2" t="s">
        <v>10</v>
      </c>
      <c r="B1586" s="2" t="s">
        <v>886</v>
      </c>
      <c r="C1586" s="2" t="s">
        <v>24</v>
      </c>
      <c r="D1586" s="2" t="s">
        <v>1059</v>
      </c>
      <c r="E1586" s="2" t="s">
        <v>417</v>
      </c>
      <c r="F1586" s="2" t="s">
        <v>40</v>
      </c>
      <c r="G1586" s="2"/>
      <c r="H1586" s="2"/>
      <c r="I1586" s="2"/>
      <c r="J1586" s="2"/>
    </row>
    <row r="1587" spans="1:10" x14ac:dyDescent="0.35">
      <c r="A1587" s="2" t="s">
        <v>10</v>
      </c>
      <c r="B1587" s="2" t="s">
        <v>886</v>
      </c>
      <c r="C1587" s="2" t="s">
        <v>24</v>
      </c>
      <c r="D1587" s="2" t="s">
        <v>1059</v>
      </c>
      <c r="E1587" s="2" t="s">
        <v>89</v>
      </c>
      <c r="F1587" s="2" t="s">
        <v>45</v>
      </c>
      <c r="G1587" s="2"/>
      <c r="H1587" s="2"/>
      <c r="I1587" s="2"/>
      <c r="J1587" s="2"/>
    </row>
    <row r="1588" spans="1:10" x14ac:dyDescent="0.35">
      <c r="A1588" s="2" t="s">
        <v>10</v>
      </c>
      <c r="B1588" s="2" t="s">
        <v>886</v>
      </c>
      <c r="C1588" s="2" t="s">
        <v>24</v>
      </c>
      <c r="D1588" s="2" t="s">
        <v>1059</v>
      </c>
      <c r="E1588" s="2" t="s">
        <v>188</v>
      </c>
      <c r="F1588" s="2" t="s">
        <v>189</v>
      </c>
      <c r="G1588" s="2"/>
      <c r="H1588" s="2"/>
      <c r="I1588" s="2"/>
      <c r="J1588" s="2"/>
    </row>
    <row r="1589" spans="1:10" x14ac:dyDescent="0.35">
      <c r="A1589" s="2" t="s">
        <v>10</v>
      </c>
      <c r="B1589" s="2" t="s">
        <v>886</v>
      </c>
      <c r="C1589" s="2" t="s">
        <v>24</v>
      </c>
      <c r="D1589" s="2" t="s">
        <v>1059</v>
      </c>
      <c r="E1589" s="2" t="s">
        <v>149</v>
      </c>
      <c r="F1589" s="2" t="s">
        <v>150</v>
      </c>
      <c r="G1589" s="2"/>
      <c r="H1589" s="2"/>
      <c r="I1589" s="2"/>
      <c r="J1589" s="2"/>
    </row>
    <row r="1590" spans="1:10" x14ac:dyDescent="0.35">
      <c r="A1590" s="2" t="s">
        <v>10</v>
      </c>
      <c r="B1590" s="2" t="s">
        <v>886</v>
      </c>
      <c r="C1590" s="2" t="s">
        <v>12</v>
      </c>
      <c r="D1590" s="2" t="s">
        <v>1062</v>
      </c>
      <c r="E1590" s="2" t="s">
        <v>485</v>
      </c>
      <c r="F1590" s="2" t="s">
        <v>15</v>
      </c>
      <c r="G1590" s="2" t="s">
        <v>46</v>
      </c>
      <c r="H1590" s="2" t="s">
        <v>910</v>
      </c>
      <c r="I1590" s="2"/>
      <c r="J1590" s="2"/>
    </row>
    <row r="1591" spans="1:10" x14ac:dyDescent="0.35">
      <c r="A1591" s="2" t="s">
        <v>10</v>
      </c>
      <c r="B1591" s="2" t="s">
        <v>886</v>
      </c>
      <c r="C1591" s="2" t="s">
        <v>12</v>
      </c>
      <c r="D1591" s="2" t="s">
        <v>1062</v>
      </c>
      <c r="E1591" s="2" t="s">
        <v>998</v>
      </c>
      <c r="F1591" s="2" t="s">
        <v>40</v>
      </c>
      <c r="G1591" s="2" t="s">
        <v>46</v>
      </c>
      <c r="H1591" s="2" t="s">
        <v>910</v>
      </c>
      <c r="I1591" s="2"/>
      <c r="J1591" s="2"/>
    </row>
    <row r="1592" spans="1:10" x14ac:dyDescent="0.35">
      <c r="A1592" s="2" t="s">
        <v>10</v>
      </c>
      <c r="B1592" s="2" t="s">
        <v>886</v>
      </c>
      <c r="C1592" s="2" t="s">
        <v>12</v>
      </c>
      <c r="D1592" s="2" t="s">
        <v>1062</v>
      </c>
      <c r="E1592" s="2" t="s">
        <v>31</v>
      </c>
      <c r="F1592" s="2" t="s">
        <v>32</v>
      </c>
      <c r="G1592" s="2" t="s">
        <v>46</v>
      </c>
      <c r="H1592" s="2" t="s">
        <v>910</v>
      </c>
      <c r="I1592" s="2"/>
      <c r="J1592" s="2"/>
    </row>
    <row r="1593" spans="1:10" x14ac:dyDescent="0.35">
      <c r="A1593" s="2" t="s">
        <v>10</v>
      </c>
      <c r="B1593" s="2" t="s">
        <v>886</v>
      </c>
      <c r="C1593" s="2" t="s">
        <v>12</v>
      </c>
      <c r="D1593" s="2" t="s">
        <v>1062</v>
      </c>
      <c r="E1593" s="2" t="s">
        <v>172</v>
      </c>
      <c r="F1593" s="2" t="s">
        <v>65</v>
      </c>
      <c r="G1593" s="2" t="s">
        <v>46</v>
      </c>
      <c r="H1593" s="2" t="s">
        <v>910</v>
      </c>
      <c r="I1593" s="2"/>
      <c r="J1593" s="2"/>
    </row>
    <row r="1594" spans="1:10" x14ac:dyDescent="0.35">
      <c r="A1594" s="2" t="s">
        <v>10</v>
      </c>
      <c r="B1594" s="2" t="s">
        <v>886</v>
      </c>
      <c r="C1594" s="2" t="s">
        <v>12</v>
      </c>
      <c r="D1594" s="2" t="s">
        <v>1062</v>
      </c>
      <c r="E1594" s="2" t="s">
        <v>121</v>
      </c>
      <c r="F1594" s="2" t="s">
        <v>122</v>
      </c>
      <c r="G1594" s="2" t="s">
        <v>46</v>
      </c>
      <c r="H1594" s="2" t="s">
        <v>910</v>
      </c>
      <c r="I1594" s="2"/>
      <c r="J1594" s="2"/>
    </row>
    <row r="1595" spans="1:10" x14ac:dyDescent="0.35">
      <c r="A1595" s="2" t="s">
        <v>10</v>
      </c>
      <c r="B1595" s="2" t="s">
        <v>886</v>
      </c>
      <c r="C1595" s="2" t="s">
        <v>12</v>
      </c>
      <c r="D1595" s="2" t="s">
        <v>1062</v>
      </c>
      <c r="E1595" s="2" t="s">
        <v>188</v>
      </c>
      <c r="F1595" s="2" t="s">
        <v>189</v>
      </c>
      <c r="G1595" s="2" t="s">
        <v>46</v>
      </c>
      <c r="H1595" s="2" t="s">
        <v>910</v>
      </c>
      <c r="I1595" s="2"/>
      <c r="J1595" s="2"/>
    </row>
    <row r="1596" spans="1:10" s="21" customFormat="1" x14ac:dyDescent="0.35">
      <c r="A1596" s="2" t="s">
        <v>10</v>
      </c>
      <c r="B1596" s="2" t="s">
        <v>886</v>
      </c>
      <c r="C1596" s="2" t="s">
        <v>24</v>
      </c>
      <c r="D1596" s="2" t="s">
        <v>1063</v>
      </c>
      <c r="E1596" s="2" t="s">
        <v>77</v>
      </c>
      <c r="F1596" s="2" t="s">
        <v>78</v>
      </c>
      <c r="G1596" s="2"/>
      <c r="H1596" s="2"/>
      <c r="I1596" s="2"/>
      <c r="J1596" s="2"/>
    </row>
    <row r="1597" spans="1:10" s="21" customFormat="1" x14ac:dyDescent="0.35">
      <c r="A1597" s="2" t="s">
        <v>10</v>
      </c>
      <c r="B1597" s="2" t="s">
        <v>886</v>
      </c>
      <c r="C1597" s="2" t="s">
        <v>24</v>
      </c>
      <c r="D1597" s="2" t="s">
        <v>1063</v>
      </c>
      <c r="E1597" s="2" t="s">
        <v>18</v>
      </c>
      <c r="F1597" s="2" t="s">
        <v>19</v>
      </c>
      <c r="G1597" s="2" t="s">
        <v>20</v>
      </c>
      <c r="H1597" s="2" t="s">
        <v>1064</v>
      </c>
      <c r="I1597" s="2"/>
      <c r="J1597" s="2"/>
    </row>
    <row r="1598" spans="1:10" s="21" customFormat="1" x14ac:dyDescent="0.35">
      <c r="A1598" s="2" t="s">
        <v>10</v>
      </c>
      <c r="B1598" s="2" t="s">
        <v>886</v>
      </c>
      <c r="C1598" s="2" t="s">
        <v>24</v>
      </c>
      <c r="D1598" s="2" t="s">
        <v>1063</v>
      </c>
      <c r="E1598" s="2" t="s">
        <v>513</v>
      </c>
      <c r="F1598" s="2" t="s">
        <v>203</v>
      </c>
      <c r="G1598" s="2"/>
      <c r="H1598" s="2"/>
      <c r="I1598" s="2"/>
      <c r="J1598" s="2"/>
    </row>
    <row r="1599" spans="1:10" x14ac:dyDescent="0.35">
      <c r="A1599" s="2" t="s">
        <v>10</v>
      </c>
      <c r="B1599" s="2" t="s">
        <v>886</v>
      </c>
      <c r="C1599" s="2" t="s">
        <v>12</v>
      </c>
      <c r="D1599" s="2" t="s">
        <v>1065</v>
      </c>
      <c r="E1599" s="2" t="s">
        <v>172</v>
      </c>
      <c r="F1599" s="2" t="s">
        <v>65</v>
      </c>
      <c r="G1599" s="2"/>
      <c r="H1599" s="2"/>
      <c r="I1599" s="2"/>
      <c r="J1599" s="2"/>
    </row>
    <row r="1600" spans="1:10" x14ac:dyDescent="0.35">
      <c r="A1600" s="2" t="s">
        <v>10</v>
      </c>
      <c r="B1600" s="2" t="s">
        <v>886</v>
      </c>
      <c r="C1600" s="2" t="s">
        <v>12</v>
      </c>
      <c r="D1600" s="2" t="s">
        <v>1065</v>
      </c>
      <c r="E1600" s="2" t="s">
        <v>469</v>
      </c>
      <c r="F1600" s="2" t="s">
        <v>40</v>
      </c>
      <c r="G1600" s="2"/>
      <c r="H1600" s="2"/>
      <c r="I1600" s="2"/>
      <c r="J1600" s="2"/>
    </row>
    <row r="1601" spans="1:10" x14ac:dyDescent="0.35">
      <c r="A1601" s="2" t="s">
        <v>10</v>
      </c>
      <c r="B1601" s="2" t="s">
        <v>886</v>
      </c>
      <c r="C1601" s="2" t="s">
        <v>12</v>
      </c>
      <c r="D1601" s="2" t="s">
        <v>1065</v>
      </c>
      <c r="E1601" s="2" t="s">
        <v>18</v>
      </c>
      <c r="F1601" s="2" t="s">
        <v>19</v>
      </c>
      <c r="G1601" s="2" t="s">
        <v>16</v>
      </c>
      <c r="H1601" s="2" t="s">
        <v>1066</v>
      </c>
      <c r="I1601" s="2"/>
      <c r="J1601" s="2"/>
    </row>
    <row r="1602" spans="1:10" x14ac:dyDescent="0.35">
      <c r="A1602" s="2" t="s">
        <v>10</v>
      </c>
      <c r="B1602" s="2" t="s">
        <v>886</v>
      </c>
      <c r="C1602" s="2" t="s">
        <v>12</v>
      </c>
      <c r="D1602" s="2" t="s">
        <v>1067</v>
      </c>
      <c r="E1602" s="2" t="s">
        <v>172</v>
      </c>
      <c r="F1602" s="2" t="s">
        <v>65</v>
      </c>
      <c r="G1602" s="2"/>
      <c r="H1602" s="2"/>
      <c r="I1602" s="2"/>
      <c r="J1602" s="2"/>
    </row>
    <row r="1603" spans="1:10" x14ac:dyDescent="0.35">
      <c r="A1603" s="2" t="s">
        <v>10</v>
      </c>
      <c r="B1603" s="2" t="s">
        <v>886</v>
      </c>
      <c r="C1603" s="2" t="s">
        <v>12</v>
      </c>
      <c r="D1603" s="2" t="s">
        <v>1067</v>
      </c>
      <c r="E1603" s="2" t="s">
        <v>213</v>
      </c>
      <c r="F1603" s="2" t="s">
        <v>45</v>
      </c>
      <c r="G1603" s="2"/>
      <c r="H1603" s="2"/>
      <c r="I1603" s="2"/>
      <c r="J1603" s="2"/>
    </row>
    <row r="1604" spans="1:10" x14ac:dyDescent="0.35">
      <c r="A1604" s="2" t="s">
        <v>10</v>
      </c>
      <c r="B1604" s="2" t="s">
        <v>886</v>
      </c>
      <c r="C1604" s="2" t="s">
        <v>12</v>
      </c>
      <c r="D1604" s="2" t="s">
        <v>1067</v>
      </c>
      <c r="E1604" s="2" t="s">
        <v>258</v>
      </c>
      <c r="F1604" s="2" t="s">
        <v>259</v>
      </c>
      <c r="G1604" s="2"/>
      <c r="H1604" s="2"/>
      <c r="I1604" s="2"/>
      <c r="J1604" s="2"/>
    </row>
    <row r="1605" spans="1:10" x14ac:dyDescent="0.35">
      <c r="A1605" s="2" t="s">
        <v>10</v>
      </c>
      <c r="B1605" s="2" t="s">
        <v>886</v>
      </c>
      <c r="C1605" s="2" t="s">
        <v>12</v>
      </c>
      <c r="D1605" s="2" t="s">
        <v>1067</v>
      </c>
      <c r="E1605" s="2" t="s">
        <v>18</v>
      </c>
      <c r="F1605" s="2" t="s">
        <v>19</v>
      </c>
      <c r="G1605" s="2" t="s">
        <v>16</v>
      </c>
      <c r="H1605" s="2" t="s">
        <v>1068</v>
      </c>
      <c r="I1605" s="2"/>
      <c r="J1605" s="2"/>
    </row>
    <row r="1606" spans="1:10" x14ac:dyDescent="0.35">
      <c r="A1606" s="2" t="s">
        <v>10</v>
      </c>
      <c r="B1606" s="2" t="s">
        <v>886</v>
      </c>
      <c r="C1606" s="2" t="s">
        <v>24</v>
      </c>
      <c r="D1606" s="2" t="s">
        <v>1069</v>
      </c>
      <c r="E1606" s="2" t="s">
        <v>196</v>
      </c>
      <c r="F1606" s="2" t="s">
        <v>197</v>
      </c>
      <c r="G1606" s="2"/>
      <c r="H1606" s="2"/>
      <c r="I1606" s="2"/>
      <c r="J1606" s="2"/>
    </row>
    <row r="1607" spans="1:10" x14ac:dyDescent="0.35">
      <c r="A1607" s="2" t="s">
        <v>10</v>
      </c>
      <c r="B1607" s="2" t="s">
        <v>886</v>
      </c>
      <c r="C1607" s="2" t="s">
        <v>24</v>
      </c>
      <c r="D1607" s="2" t="s">
        <v>1069</v>
      </c>
      <c r="E1607" s="2" t="s">
        <v>14</v>
      </c>
      <c r="F1607" s="2" t="s">
        <v>15</v>
      </c>
      <c r="G1607" s="2"/>
      <c r="H1607" s="2"/>
      <c r="I1607" s="2"/>
      <c r="J1607" s="2"/>
    </row>
    <row r="1608" spans="1:10" x14ac:dyDescent="0.35">
      <c r="A1608" s="2" t="s">
        <v>10</v>
      </c>
      <c r="B1608" s="2" t="s">
        <v>886</v>
      </c>
      <c r="C1608" s="2" t="s">
        <v>24</v>
      </c>
      <c r="D1608" s="2" t="s">
        <v>1069</v>
      </c>
      <c r="E1608" s="2" t="s">
        <v>31</v>
      </c>
      <c r="F1608" s="2" t="s">
        <v>32</v>
      </c>
      <c r="G1608" s="2"/>
      <c r="H1608" s="2"/>
      <c r="I1608" s="2"/>
      <c r="J1608" s="2"/>
    </row>
    <row r="1609" spans="1:10" x14ac:dyDescent="0.35">
      <c r="A1609" s="2" t="s">
        <v>10</v>
      </c>
      <c r="B1609" s="2" t="s">
        <v>886</v>
      </c>
      <c r="C1609" s="2" t="s">
        <v>24</v>
      </c>
      <c r="D1609" s="2" t="s">
        <v>1069</v>
      </c>
      <c r="E1609" s="2" t="s">
        <v>200</v>
      </c>
      <c r="F1609" s="2" t="s">
        <v>201</v>
      </c>
      <c r="G1609" s="2"/>
      <c r="H1609" s="2"/>
      <c r="I1609" s="2"/>
      <c r="J1609" s="2"/>
    </row>
    <row r="1610" spans="1:10" x14ac:dyDescent="0.35">
      <c r="A1610" s="2" t="s">
        <v>10</v>
      </c>
      <c r="B1610" s="2" t="s">
        <v>886</v>
      </c>
      <c r="C1610" s="2" t="s">
        <v>24</v>
      </c>
      <c r="D1610" s="2" t="s">
        <v>1069</v>
      </c>
      <c r="E1610" s="2" t="s">
        <v>96</v>
      </c>
      <c r="F1610" s="2" t="s">
        <v>83</v>
      </c>
      <c r="G1610" s="2"/>
      <c r="H1610" s="2"/>
      <c r="I1610" s="2"/>
      <c r="J1610" s="2"/>
    </row>
    <row r="1611" spans="1:10" x14ac:dyDescent="0.35">
      <c r="A1611" s="2" t="s">
        <v>10</v>
      </c>
      <c r="B1611" s="2" t="s">
        <v>886</v>
      </c>
      <c r="C1611" s="2" t="s">
        <v>24</v>
      </c>
      <c r="D1611" s="2" t="s">
        <v>1069</v>
      </c>
      <c r="E1611" s="2" t="s">
        <v>957</v>
      </c>
      <c r="F1611" s="2" t="s">
        <v>1060</v>
      </c>
      <c r="G1611" s="2"/>
      <c r="H1611" s="2"/>
      <c r="I1611" s="2"/>
      <c r="J1611" s="2"/>
    </row>
    <row r="1612" spans="1:10" x14ac:dyDescent="0.35">
      <c r="A1612" s="2" t="s">
        <v>10</v>
      </c>
      <c r="B1612" s="2" t="s">
        <v>886</v>
      </c>
      <c r="C1612" s="2" t="s">
        <v>24</v>
      </c>
      <c r="D1612" s="2" t="s">
        <v>1069</v>
      </c>
      <c r="E1612" s="2" t="s">
        <v>213</v>
      </c>
      <c r="F1612" s="2" t="s">
        <v>45</v>
      </c>
      <c r="G1612" s="2"/>
      <c r="H1612" s="2"/>
      <c r="I1612" s="2"/>
      <c r="J1612" s="2"/>
    </row>
    <row r="1613" spans="1:10" x14ac:dyDescent="0.35">
      <c r="A1613" s="2" t="s">
        <v>10</v>
      </c>
      <c r="B1613" s="2" t="s">
        <v>886</v>
      </c>
      <c r="C1613" s="2" t="s">
        <v>24</v>
      </c>
      <c r="D1613" s="2" t="s">
        <v>1069</v>
      </c>
      <c r="E1613" s="2" t="s">
        <v>156</v>
      </c>
      <c r="F1613" s="2" t="s">
        <v>45</v>
      </c>
      <c r="G1613" s="2" t="s">
        <v>16</v>
      </c>
      <c r="H1613" s="2" t="s">
        <v>1070</v>
      </c>
      <c r="I1613" s="2"/>
      <c r="J1613" s="2"/>
    </row>
    <row r="1614" spans="1:10" x14ac:dyDescent="0.35">
      <c r="A1614" s="2" t="s">
        <v>10</v>
      </c>
      <c r="B1614" s="2" t="s">
        <v>886</v>
      </c>
      <c r="C1614" s="2" t="s">
        <v>24</v>
      </c>
      <c r="D1614" s="2" t="s">
        <v>1069</v>
      </c>
      <c r="E1614" s="2" t="s">
        <v>77</v>
      </c>
      <c r="F1614" s="2" t="s">
        <v>78</v>
      </c>
      <c r="G1614" s="2"/>
      <c r="H1614" s="2"/>
      <c r="I1614" s="2"/>
      <c r="J1614" s="2"/>
    </row>
    <row r="1615" spans="1:10" x14ac:dyDescent="0.35">
      <c r="A1615" s="2" t="s">
        <v>10</v>
      </c>
      <c r="B1615" s="2" t="s">
        <v>886</v>
      </c>
      <c r="C1615" s="2" t="s">
        <v>24</v>
      </c>
      <c r="D1615" s="2" t="s">
        <v>1069</v>
      </c>
      <c r="E1615" s="2" t="s">
        <v>417</v>
      </c>
      <c r="F1615" s="2" t="s">
        <v>40</v>
      </c>
      <c r="G1615" s="2"/>
      <c r="H1615" s="2"/>
      <c r="I1615" s="2"/>
      <c r="J1615" s="2"/>
    </row>
    <row r="1616" spans="1:10" x14ac:dyDescent="0.35">
      <c r="A1616" s="2" t="s">
        <v>10</v>
      </c>
      <c r="B1616" s="2" t="s">
        <v>886</v>
      </c>
      <c r="C1616" s="2" t="s">
        <v>24</v>
      </c>
      <c r="D1616" s="2" t="s">
        <v>1069</v>
      </c>
      <c r="E1616" s="2" t="s">
        <v>100</v>
      </c>
      <c r="F1616" s="2" t="s">
        <v>101</v>
      </c>
      <c r="G1616" s="2"/>
      <c r="H1616" s="2"/>
      <c r="I1616" s="2"/>
      <c r="J1616" s="2"/>
    </row>
    <row r="1617" spans="1:10" x14ac:dyDescent="0.35">
      <c r="A1617" s="2" t="s">
        <v>10</v>
      </c>
      <c r="B1617" s="2" t="s">
        <v>886</v>
      </c>
      <c r="C1617" s="2" t="s">
        <v>24</v>
      </c>
      <c r="D1617" s="2" t="s">
        <v>1069</v>
      </c>
      <c r="E1617" s="2" t="s">
        <v>188</v>
      </c>
      <c r="F1617" s="2" t="s">
        <v>189</v>
      </c>
      <c r="G1617" s="2"/>
      <c r="H1617" s="2"/>
      <c r="I1617" s="2"/>
      <c r="J1617" s="2"/>
    </row>
    <row r="1618" spans="1:10" x14ac:dyDescent="0.35">
      <c r="A1618" s="2" t="s">
        <v>10</v>
      </c>
      <c r="B1618" s="2" t="s">
        <v>886</v>
      </c>
      <c r="C1618" s="2" t="s">
        <v>24</v>
      </c>
      <c r="D1618" s="2" t="s">
        <v>1069</v>
      </c>
      <c r="E1618" s="2" t="s">
        <v>149</v>
      </c>
      <c r="F1618" s="2" t="s">
        <v>150</v>
      </c>
      <c r="G1618" s="2"/>
      <c r="H1618" s="2"/>
      <c r="I1618" s="2"/>
      <c r="J1618" s="2"/>
    </row>
    <row r="1619" spans="1:10" x14ac:dyDescent="0.35">
      <c r="A1619" s="2" t="s">
        <v>10</v>
      </c>
      <c r="B1619" s="2" t="s">
        <v>886</v>
      </c>
      <c r="C1619" s="2" t="s">
        <v>24</v>
      </c>
      <c r="D1619" s="2" t="s">
        <v>1069</v>
      </c>
      <c r="E1619" s="2" t="s">
        <v>193</v>
      </c>
      <c r="F1619" s="2" t="s">
        <v>40</v>
      </c>
      <c r="G1619" s="2"/>
      <c r="H1619" s="2"/>
      <c r="I1619" s="2"/>
      <c r="J1619" s="2"/>
    </row>
    <row r="1620" spans="1:10" x14ac:dyDescent="0.35">
      <c r="A1620" s="2" t="s">
        <v>10</v>
      </c>
      <c r="B1620" s="2" t="s">
        <v>886</v>
      </c>
      <c r="C1620" s="2" t="s">
        <v>24</v>
      </c>
      <c r="D1620" s="2" t="s">
        <v>1069</v>
      </c>
      <c r="E1620" s="2" t="s">
        <v>1071</v>
      </c>
      <c r="F1620" s="2" t="s">
        <v>40</v>
      </c>
      <c r="G1620" s="2"/>
      <c r="H1620" s="2"/>
      <c r="I1620" s="2"/>
      <c r="J1620" s="2"/>
    </row>
    <row r="1621" spans="1:10" x14ac:dyDescent="0.35">
      <c r="A1621" s="2" t="s">
        <v>10</v>
      </c>
      <c r="B1621" s="2" t="s">
        <v>886</v>
      </c>
      <c r="C1621" s="2" t="s">
        <v>24</v>
      </c>
      <c r="D1621" s="2" t="s">
        <v>1069</v>
      </c>
      <c r="E1621" s="2" t="s">
        <v>965</v>
      </c>
      <c r="F1621" s="2" t="s">
        <v>363</v>
      </c>
      <c r="G1621" s="2"/>
      <c r="H1621" s="2"/>
      <c r="I1621" s="2"/>
      <c r="J1621" s="2"/>
    </row>
    <row r="1622" spans="1:10" s="21" customFormat="1" x14ac:dyDescent="0.35">
      <c r="A1622" s="2" t="s">
        <v>10</v>
      </c>
      <c r="B1622" s="2" t="s">
        <v>886</v>
      </c>
      <c r="C1622" s="2" t="s">
        <v>62</v>
      </c>
      <c r="D1622" s="2" t="s">
        <v>1072</v>
      </c>
      <c r="E1622" s="2" t="s">
        <v>106</v>
      </c>
      <c r="F1622" s="2" t="s">
        <v>107</v>
      </c>
      <c r="G1622" s="2"/>
      <c r="H1622" s="2"/>
      <c r="I1622" s="2"/>
      <c r="J1622" s="2"/>
    </row>
    <row r="1623" spans="1:10" s="21" customFormat="1" x14ac:dyDescent="0.35">
      <c r="A1623" s="2" t="s">
        <v>10</v>
      </c>
      <c r="B1623" s="2" t="s">
        <v>886</v>
      </c>
      <c r="C1623" s="2" t="s">
        <v>62</v>
      </c>
      <c r="D1623" s="2" t="s">
        <v>1073</v>
      </c>
      <c r="E1623" s="2" t="s">
        <v>106</v>
      </c>
      <c r="F1623" s="2" t="s">
        <v>107</v>
      </c>
      <c r="G1623" s="2"/>
      <c r="H1623" s="2"/>
      <c r="I1623" s="2"/>
      <c r="J1623" s="2"/>
    </row>
    <row r="1624" spans="1:10" s="21" customFormat="1" x14ac:dyDescent="0.35">
      <c r="A1624" s="2" t="s">
        <v>10</v>
      </c>
      <c r="B1624" s="2" t="s">
        <v>886</v>
      </c>
      <c r="C1624" s="2" t="s">
        <v>62</v>
      </c>
      <c r="D1624" s="2" t="s">
        <v>1074</v>
      </c>
      <c r="E1624" s="2" t="s">
        <v>106</v>
      </c>
      <c r="F1624" s="2" t="s">
        <v>107</v>
      </c>
      <c r="G1624" s="2"/>
      <c r="H1624" s="2"/>
      <c r="I1624" s="2"/>
      <c r="J1624" s="2"/>
    </row>
    <row r="1625" spans="1:10" x14ac:dyDescent="0.35">
      <c r="A1625" s="2" t="s">
        <v>10</v>
      </c>
      <c r="B1625" s="2" t="s">
        <v>886</v>
      </c>
      <c r="C1625" s="2" t="s">
        <v>62</v>
      </c>
      <c r="D1625" s="2" t="s">
        <v>1075</v>
      </c>
      <c r="E1625" s="2" t="s">
        <v>782</v>
      </c>
      <c r="F1625" s="2" t="s">
        <v>75</v>
      </c>
      <c r="G1625" s="2" t="s">
        <v>46</v>
      </c>
      <c r="H1625" s="2" t="s">
        <v>675</v>
      </c>
      <c r="I1625" s="2"/>
      <c r="J1625" s="2"/>
    </row>
    <row r="1626" spans="1:10" x14ac:dyDescent="0.35">
      <c r="A1626" s="2" t="s">
        <v>10</v>
      </c>
      <c r="B1626" s="2" t="s">
        <v>886</v>
      </c>
      <c r="C1626" s="2" t="s">
        <v>62</v>
      </c>
      <c r="D1626" s="2" t="s">
        <v>1075</v>
      </c>
      <c r="E1626" s="2" t="s">
        <v>352</v>
      </c>
      <c r="F1626" s="2" t="s">
        <v>107</v>
      </c>
      <c r="G1626" s="2" t="s">
        <v>46</v>
      </c>
      <c r="H1626" s="2" t="s">
        <v>675</v>
      </c>
      <c r="I1626" s="2"/>
      <c r="J1626" s="2"/>
    </row>
    <row r="1627" spans="1:10" x14ac:dyDescent="0.35">
      <c r="A1627" s="2" t="s">
        <v>10</v>
      </c>
      <c r="B1627" s="2" t="s">
        <v>886</v>
      </c>
      <c r="C1627" s="2" t="s">
        <v>24</v>
      </c>
      <c r="D1627" s="2" t="s">
        <v>1076</v>
      </c>
      <c r="E1627" s="2" t="s">
        <v>196</v>
      </c>
      <c r="F1627" s="2" t="s">
        <v>197</v>
      </c>
      <c r="G1627" s="2"/>
      <c r="H1627" s="2"/>
      <c r="I1627" s="2"/>
      <c r="J1627" s="2"/>
    </row>
    <row r="1628" spans="1:10" x14ac:dyDescent="0.35">
      <c r="A1628" s="2" t="s">
        <v>10</v>
      </c>
      <c r="B1628" s="2" t="s">
        <v>886</v>
      </c>
      <c r="C1628" s="2" t="s">
        <v>24</v>
      </c>
      <c r="D1628" s="2" t="s">
        <v>1076</v>
      </c>
      <c r="E1628" s="2" t="s">
        <v>31</v>
      </c>
      <c r="F1628" s="2" t="s">
        <v>32</v>
      </c>
      <c r="G1628" s="2"/>
      <c r="H1628" s="2"/>
      <c r="I1628" s="2"/>
      <c r="J1628" s="2"/>
    </row>
    <row r="1629" spans="1:10" x14ac:dyDescent="0.35">
      <c r="A1629" s="2" t="s">
        <v>10</v>
      </c>
      <c r="B1629" s="2" t="s">
        <v>886</v>
      </c>
      <c r="C1629" s="2" t="s">
        <v>24</v>
      </c>
      <c r="D1629" s="2" t="s">
        <v>1076</v>
      </c>
      <c r="E1629" s="2" t="s">
        <v>172</v>
      </c>
      <c r="F1629" s="2" t="s">
        <v>65</v>
      </c>
      <c r="G1629" s="2"/>
      <c r="H1629" s="2"/>
      <c r="I1629" s="2"/>
      <c r="J1629" s="2"/>
    </row>
    <row r="1630" spans="1:10" x14ac:dyDescent="0.35">
      <c r="A1630" s="2" t="s">
        <v>10</v>
      </c>
      <c r="B1630" s="2" t="s">
        <v>886</v>
      </c>
      <c r="C1630" s="2" t="s">
        <v>24</v>
      </c>
      <c r="D1630" s="2" t="s">
        <v>1076</v>
      </c>
      <c r="E1630" s="2" t="s">
        <v>211</v>
      </c>
      <c r="F1630" s="2" t="s">
        <v>203</v>
      </c>
      <c r="G1630" s="2"/>
      <c r="H1630" s="2"/>
      <c r="I1630" s="2"/>
      <c r="J1630" s="2"/>
    </row>
    <row r="1631" spans="1:10" x14ac:dyDescent="0.35">
      <c r="A1631" s="2" t="s">
        <v>10</v>
      </c>
      <c r="B1631" s="2" t="s">
        <v>886</v>
      </c>
      <c r="C1631" s="2" t="s">
        <v>24</v>
      </c>
      <c r="D1631" s="2" t="s">
        <v>1076</v>
      </c>
      <c r="E1631" s="2" t="s">
        <v>38</v>
      </c>
      <c r="F1631" s="2" t="s">
        <v>38</v>
      </c>
      <c r="G1631" s="2"/>
      <c r="H1631" s="2"/>
      <c r="I1631" s="2"/>
      <c r="J1631" s="2"/>
    </row>
    <row r="1632" spans="1:10" x14ac:dyDescent="0.35">
      <c r="A1632" s="2" t="s">
        <v>10</v>
      </c>
      <c r="B1632" s="2" t="s">
        <v>886</v>
      </c>
      <c r="C1632" s="2" t="s">
        <v>24</v>
      </c>
      <c r="D1632" s="2" t="s">
        <v>1076</v>
      </c>
      <c r="E1632" s="2" t="s">
        <v>156</v>
      </c>
      <c r="F1632" s="2" t="s">
        <v>45</v>
      </c>
      <c r="G1632" s="2"/>
      <c r="H1632" s="2"/>
      <c r="I1632" s="2"/>
      <c r="J1632" s="2"/>
    </row>
    <row r="1633" spans="1:10" x14ac:dyDescent="0.35">
      <c r="A1633" s="2" t="s">
        <v>10</v>
      </c>
      <c r="B1633" s="2" t="s">
        <v>886</v>
      </c>
      <c r="C1633" s="2" t="s">
        <v>24</v>
      </c>
      <c r="D1633" s="2" t="s">
        <v>1076</v>
      </c>
      <c r="E1633" s="2" t="s">
        <v>77</v>
      </c>
      <c r="F1633" s="2" t="s">
        <v>78</v>
      </c>
      <c r="G1633" s="2"/>
      <c r="H1633" s="2"/>
      <c r="I1633" s="2"/>
      <c r="J1633" s="2"/>
    </row>
    <row r="1634" spans="1:10" s="21" customFormat="1" x14ac:dyDescent="0.35">
      <c r="A1634" s="2" t="s">
        <v>10</v>
      </c>
      <c r="B1634" s="2" t="s">
        <v>886</v>
      </c>
      <c r="C1634" s="2" t="s">
        <v>62</v>
      </c>
      <c r="D1634" s="2" t="s">
        <v>1077</v>
      </c>
      <c r="E1634" s="2" t="s">
        <v>106</v>
      </c>
      <c r="F1634" s="2" t="s">
        <v>107</v>
      </c>
      <c r="G1634" s="2"/>
      <c r="H1634" s="2"/>
      <c r="I1634" s="2"/>
      <c r="J1634" s="2"/>
    </row>
    <row r="1635" spans="1:10" x14ac:dyDescent="0.35">
      <c r="A1635" s="2" t="s">
        <v>10</v>
      </c>
      <c r="B1635" s="2" t="s">
        <v>886</v>
      </c>
      <c r="C1635" s="2" t="s">
        <v>24</v>
      </c>
      <c r="D1635" s="2" t="s">
        <v>1078</v>
      </c>
      <c r="E1635" s="2" t="s">
        <v>1079</v>
      </c>
      <c r="F1635" s="2" t="s">
        <v>38</v>
      </c>
      <c r="G1635" s="2" t="s">
        <v>16</v>
      </c>
      <c r="H1635" s="2" t="s">
        <v>1080</v>
      </c>
      <c r="I1635" s="2"/>
      <c r="J1635" s="2"/>
    </row>
    <row r="1636" spans="1:10" x14ac:dyDescent="0.35">
      <c r="A1636" s="2" t="s">
        <v>10</v>
      </c>
      <c r="B1636" s="2" t="s">
        <v>886</v>
      </c>
      <c r="C1636" s="2" t="s">
        <v>24</v>
      </c>
      <c r="D1636" s="2" t="s">
        <v>1078</v>
      </c>
      <c r="E1636" s="2" t="s">
        <v>31</v>
      </c>
      <c r="F1636" s="2" t="s">
        <v>32</v>
      </c>
      <c r="G1636" s="2" t="s">
        <v>16</v>
      </c>
      <c r="H1636" s="2" t="s">
        <v>1080</v>
      </c>
      <c r="I1636" s="2"/>
      <c r="J1636" s="2"/>
    </row>
    <row r="1637" spans="1:10" x14ac:dyDescent="0.35">
      <c r="A1637" s="2" t="s">
        <v>10</v>
      </c>
      <c r="B1637" s="2" t="s">
        <v>886</v>
      </c>
      <c r="C1637" s="2" t="s">
        <v>24</v>
      </c>
      <c r="D1637" s="2" t="s">
        <v>1078</v>
      </c>
      <c r="E1637" s="2" t="s">
        <v>156</v>
      </c>
      <c r="F1637" s="2" t="s">
        <v>45</v>
      </c>
      <c r="G1637" s="2" t="s">
        <v>16</v>
      </c>
      <c r="H1637" s="2" t="s">
        <v>1080</v>
      </c>
      <c r="I1637" s="2"/>
      <c r="J1637" s="2"/>
    </row>
    <row r="1638" spans="1:10" x14ac:dyDescent="0.35">
      <c r="A1638" s="2" t="s">
        <v>10</v>
      </c>
      <c r="B1638" s="2" t="s">
        <v>886</v>
      </c>
      <c r="C1638" s="2" t="s">
        <v>24</v>
      </c>
      <c r="D1638" s="2" t="s">
        <v>1078</v>
      </c>
      <c r="E1638" s="2" t="s">
        <v>18</v>
      </c>
      <c r="F1638" s="2" t="s">
        <v>19</v>
      </c>
      <c r="G1638" s="2" t="s">
        <v>16</v>
      </c>
      <c r="H1638" s="2" t="s">
        <v>1080</v>
      </c>
      <c r="I1638" s="2"/>
      <c r="J1638" s="2"/>
    </row>
    <row r="1639" spans="1:10" x14ac:dyDescent="0.35">
      <c r="A1639" s="2" t="s">
        <v>10</v>
      </c>
      <c r="B1639" s="2" t="s">
        <v>886</v>
      </c>
      <c r="C1639" s="2" t="s">
        <v>24</v>
      </c>
      <c r="D1639" s="2" t="s">
        <v>1078</v>
      </c>
      <c r="E1639" s="2" t="s">
        <v>302</v>
      </c>
      <c r="F1639" s="2" t="s">
        <v>65</v>
      </c>
      <c r="G1639" s="2" t="s">
        <v>16</v>
      </c>
      <c r="H1639" s="2" t="s">
        <v>1080</v>
      </c>
      <c r="I1639" s="2"/>
      <c r="J1639" s="2"/>
    </row>
    <row r="1640" spans="1:10" x14ac:dyDescent="0.35">
      <c r="A1640" s="2" t="s">
        <v>10</v>
      </c>
      <c r="B1640" s="2" t="s">
        <v>886</v>
      </c>
      <c r="C1640" s="2" t="s">
        <v>24</v>
      </c>
      <c r="D1640" s="2" t="s">
        <v>1081</v>
      </c>
      <c r="E1640" s="2" t="s">
        <v>196</v>
      </c>
      <c r="F1640" s="2" t="s">
        <v>197</v>
      </c>
      <c r="G1640" s="2"/>
      <c r="H1640" s="2"/>
      <c r="I1640" s="2"/>
      <c r="J1640" s="2"/>
    </row>
    <row r="1641" spans="1:10" x14ac:dyDescent="0.35">
      <c r="A1641" s="2" t="s">
        <v>10</v>
      </c>
      <c r="B1641" s="2" t="s">
        <v>886</v>
      </c>
      <c r="C1641" s="2" t="s">
        <v>24</v>
      </c>
      <c r="D1641" s="2" t="s">
        <v>1081</v>
      </c>
      <c r="E1641" s="2" t="s">
        <v>1082</v>
      </c>
      <c r="F1641" s="2" t="s">
        <v>40</v>
      </c>
      <c r="G1641" s="2"/>
      <c r="H1641" s="2"/>
      <c r="I1641" s="2"/>
      <c r="J1641" s="2"/>
    </row>
    <row r="1642" spans="1:10" x14ac:dyDescent="0.35">
      <c r="A1642" s="2" t="s">
        <v>10</v>
      </c>
      <c r="B1642" s="2" t="s">
        <v>886</v>
      </c>
      <c r="C1642" s="2" t="s">
        <v>24</v>
      </c>
      <c r="D1642" s="2" t="s">
        <v>1081</v>
      </c>
      <c r="E1642" s="2" t="s">
        <v>155</v>
      </c>
      <c r="F1642" s="2" t="s">
        <v>32</v>
      </c>
      <c r="G1642" s="2"/>
      <c r="H1642" s="2"/>
      <c r="I1642" s="2"/>
      <c r="J1642" s="2"/>
    </row>
    <row r="1643" spans="1:10" x14ac:dyDescent="0.35">
      <c r="A1643" s="2" t="s">
        <v>10</v>
      </c>
      <c r="B1643" s="2" t="s">
        <v>886</v>
      </c>
      <c r="C1643" s="2" t="s">
        <v>24</v>
      </c>
      <c r="D1643" s="2" t="s">
        <v>1081</v>
      </c>
      <c r="E1643" s="2" t="s">
        <v>528</v>
      </c>
      <c r="F1643" s="2" t="s">
        <v>203</v>
      </c>
      <c r="G1643" s="2"/>
      <c r="H1643" s="2"/>
      <c r="I1643" s="2"/>
      <c r="J1643" s="2"/>
    </row>
    <row r="1644" spans="1:10" x14ac:dyDescent="0.35">
      <c r="A1644" s="2" t="s">
        <v>10</v>
      </c>
      <c r="B1644" s="2" t="s">
        <v>886</v>
      </c>
      <c r="C1644" s="2" t="s">
        <v>24</v>
      </c>
      <c r="D1644" s="2" t="s">
        <v>1081</v>
      </c>
      <c r="E1644" s="2" t="s">
        <v>1083</v>
      </c>
      <c r="F1644" s="2" t="s">
        <v>15</v>
      </c>
      <c r="G1644" s="2"/>
      <c r="H1644" s="2"/>
      <c r="I1644" s="2"/>
      <c r="J1644" s="2"/>
    </row>
    <row r="1645" spans="1:10" x14ac:dyDescent="0.35">
      <c r="A1645" s="2" t="s">
        <v>10</v>
      </c>
      <c r="B1645" s="2" t="s">
        <v>886</v>
      </c>
      <c r="C1645" s="2" t="s">
        <v>24</v>
      </c>
      <c r="D1645" s="2" t="s">
        <v>1081</v>
      </c>
      <c r="E1645" s="2" t="s">
        <v>200</v>
      </c>
      <c r="F1645" s="2" t="s">
        <v>201</v>
      </c>
      <c r="G1645" s="2"/>
      <c r="H1645" s="2"/>
      <c r="I1645" s="2"/>
      <c r="J1645" s="2"/>
    </row>
    <row r="1646" spans="1:10" s="21" customFormat="1" x14ac:dyDescent="0.35">
      <c r="A1646" s="2" t="s">
        <v>10</v>
      </c>
      <c r="B1646" s="2" t="s">
        <v>886</v>
      </c>
      <c r="C1646" s="2" t="s">
        <v>24</v>
      </c>
      <c r="D1646" s="2" t="s">
        <v>1081</v>
      </c>
      <c r="E1646" s="2" t="s">
        <v>1084</v>
      </c>
      <c r="F1646" s="2" t="s">
        <v>125</v>
      </c>
      <c r="G1646" s="2"/>
      <c r="H1646" s="2"/>
      <c r="I1646" s="2"/>
      <c r="J1646" s="2"/>
    </row>
    <row r="1647" spans="1:10" x14ac:dyDescent="0.35">
      <c r="A1647" s="2" t="s">
        <v>10</v>
      </c>
      <c r="B1647" s="2" t="s">
        <v>886</v>
      </c>
      <c r="C1647" s="2" t="s">
        <v>24</v>
      </c>
      <c r="D1647" s="2" t="s">
        <v>1081</v>
      </c>
      <c r="E1647" s="2" t="s">
        <v>416</v>
      </c>
      <c r="F1647" s="2" t="s">
        <v>38</v>
      </c>
      <c r="G1647" s="2"/>
      <c r="H1647" s="2"/>
      <c r="I1647" s="2"/>
      <c r="J1647" s="2"/>
    </row>
    <row r="1648" spans="1:10" s="21" customFormat="1" x14ac:dyDescent="0.35">
      <c r="A1648" s="2" t="s">
        <v>10</v>
      </c>
      <c r="B1648" s="2" t="s">
        <v>886</v>
      </c>
      <c r="C1648" s="2" t="s">
        <v>24</v>
      </c>
      <c r="D1648" s="2" t="s">
        <v>1081</v>
      </c>
      <c r="E1648" s="2" t="s">
        <v>18</v>
      </c>
      <c r="F1648" s="2" t="s">
        <v>19</v>
      </c>
      <c r="G1648" s="2"/>
      <c r="H1648" s="2"/>
      <c r="I1648" s="2"/>
      <c r="J1648" s="2"/>
    </row>
    <row r="1649" spans="1:10" x14ac:dyDescent="0.35">
      <c r="A1649" s="2" t="s">
        <v>10</v>
      </c>
      <c r="B1649" s="2" t="s">
        <v>886</v>
      </c>
      <c r="C1649" s="2" t="s">
        <v>24</v>
      </c>
      <c r="D1649" s="2" t="s">
        <v>1081</v>
      </c>
      <c r="E1649" s="2" t="s">
        <v>100</v>
      </c>
      <c r="F1649" s="2" t="s">
        <v>101</v>
      </c>
      <c r="G1649" s="2"/>
      <c r="H1649" s="2"/>
      <c r="I1649" s="2"/>
      <c r="J1649" s="2"/>
    </row>
    <row r="1650" spans="1:10" x14ac:dyDescent="0.35">
      <c r="A1650" s="2" t="s">
        <v>10</v>
      </c>
      <c r="B1650" s="2" t="s">
        <v>886</v>
      </c>
      <c r="C1650" s="2" t="s">
        <v>24</v>
      </c>
      <c r="D1650" s="2" t="s">
        <v>1081</v>
      </c>
      <c r="E1650" s="2" t="s">
        <v>508</v>
      </c>
      <c r="F1650" s="2" t="s">
        <v>40</v>
      </c>
      <c r="G1650" s="2"/>
      <c r="H1650" s="2"/>
      <c r="I1650" s="2"/>
      <c r="J1650" s="2"/>
    </row>
    <row r="1651" spans="1:10" x14ac:dyDescent="0.35">
      <c r="A1651" s="2" t="s">
        <v>10</v>
      </c>
      <c r="B1651" s="2" t="s">
        <v>886</v>
      </c>
      <c r="C1651" s="2" t="s">
        <v>24</v>
      </c>
      <c r="D1651" s="2" t="s">
        <v>1081</v>
      </c>
      <c r="E1651" s="2" t="s">
        <v>188</v>
      </c>
      <c r="F1651" s="2" t="s">
        <v>189</v>
      </c>
      <c r="G1651" s="2"/>
      <c r="H1651" s="2"/>
      <c r="I1651" s="2"/>
      <c r="J1651" s="2"/>
    </row>
    <row r="1652" spans="1:10" x14ac:dyDescent="0.35">
      <c r="A1652" s="2" t="s">
        <v>10</v>
      </c>
      <c r="B1652" s="2" t="s">
        <v>886</v>
      </c>
      <c r="C1652" s="2" t="s">
        <v>24</v>
      </c>
      <c r="D1652" s="2" t="s">
        <v>1081</v>
      </c>
      <c r="E1652" s="2" t="s">
        <v>193</v>
      </c>
      <c r="F1652" s="2" t="s">
        <v>40</v>
      </c>
      <c r="G1652" s="2" t="s">
        <v>16</v>
      </c>
      <c r="H1652" s="2" t="s">
        <v>1085</v>
      </c>
      <c r="I1652" s="2"/>
      <c r="J1652" s="2"/>
    </row>
    <row r="1653" spans="1:10" x14ac:dyDescent="0.35">
      <c r="A1653" s="2" t="s">
        <v>10</v>
      </c>
      <c r="B1653" s="2" t="s">
        <v>886</v>
      </c>
      <c r="C1653" s="2" t="s">
        <v>24</v>
      </c>
      <c r="D1653" s="2" t="s">
        <v>1081</v>
      </c>
      <c r="E1653" s="2" t="s">
        <v>1086</v>
      </c>
      <c r="F1653" s="2" t="s">
        <v>40</v>
      </c>
      <c r="G1653" s="2"/>
      <c r="H1653" s="2"/>
      <c r="I1653" s="2"/>
      <c r="J1653" s="2"/>
    </row>
    <row r="1654" spans="1:10" x14ac:dyDescent="0.35">
      <c r="A1654" s="2" t="s">
        <v>10</v>
      </c>
      <c r="B1654" s="2" t="s">
        <v>886</v>
      </c>
      <c r="C1654" s="2" t="s">
        <v>24</v>
      </c>
      <c r="D1654" s="2" t="s">
        <v>1087</v>
      </c>
      <c r="E1654" s="2" t="s">
        <v>196</v>
      </c>
      <c r="F1654" s="2" t="s">
        <v>197</v>
      </c>
      <c r="G1654" s="2"/>
      <c r="H1654" s="2"/>
      <c r="I1654" s="2"/>
      <c r="J1654" s="2"/>
    </row>
    <row r="1655" spans="1:10" x14ac:dyDescent="0.35">
      <c r="A1655" s="2" t="s">
        <v>10</v>
      </c>
      <c r="B1655" s="2" t="s">
        <v>886</v>
      </c>
      <c r="C1655" s="2" t="s">
        <v>24</v>
      </c>
      <c r="D1655" s="2" t="s">
        <v>1087</v>
      </c>
      <c r="E1655" s="2" t="s">
        <v>31</v>
      </c>
      <c r="F1655" s="2" t="s">
        <v>32</v>
      </c>
      <c r="G1655" s="2"/>
      <c r="H1655" s="2"/>
      <c r="I1655" s="2"/>
      <c r="J1655" s="2"/>
    </row>
    <row r="1656" spans="1:10" x14ac:dyDescent="0.35">
      <c r="A1656" s="2" t="s">
        <v>10</v>
      </c>
      <c r="B1656" s="2" t="s">
        <v>886</v>
      </c>
      <c r="C1656" s="2" t="s">
        <v>24</v>
      </c>
      <c r="D1656" s="2" t="s">
        <v>1087</v>
      </c>
      <c r="E1656" s="2" t="s">
        <v>1088</v>
      </c>
      <c r="F1656" s="2" t="s">
        <v>40</v>
      </c>
      <c r="G1656" s="2"/>
      <c r="H1656" s="2"/>
      <c r="I1656" s="2"/>
      <c r="J1656" s="2"/>
    </row>
    <row r="1657" spans="1:10" x14ac:dyDescent="0.35">
      <c r="A1657" s="2" t="s">
        <v>10</v>
      </c>
      <c r="B1657" s="2" t="s">
        <v>886</v>
      </c>
      <c r="C1657" s="2" t="s">
        <v>24</v>
      </c>
      <c r="D1657" s="2" t="s">
        <v>1087</v>
      </c>
      <c r="E1657" s="2" t="s">
        <v>100</v>
      </c>
      <c r="F1657" s="2" t="s">
        <v>101</v>
      </c>
      <c r="G1657" s="2"/>
      <c r="H1657" s="2"/>
      <c r="I1657" s="2"/>
      <c r="J1657" s="2"/>
    </row>
    <row r="1658" spans="1:10" x14ac:dyDescent="0.35">
      <c r="A1658" s="2" t="s">
        <v>10</v>
      </c>
      <c r="B1658" s="2" t="s">
        <v>886</v>
      </c>
      <c r="C1658" s="2" t="s">
        <v>24</v>
      </c>
      <c r="D1658" s="2" t="s">
        <v>1087</v>
      </c>
      <c r="E1658" s="2" t="s">
        <v>244</v>
      </c>
      <c r="F1658" s="2" t="s">
        <v>65</v>
      </c>
      <c r="G1658" s="2"/>
      <c r="H1658" s="2"/>
      <c r="I1658" s="2"/>
      <c r="J1658" s="2"/>
    </row>
    <row r="1659" spans="1:10" x14ac:dyDescent="0.35">
      <c r="A1659" s="2" t="s">
        <v>10</v>
      </c>
      <c r="B1659" s="2" t="s">
        <v>886</v>
      </c>
      <c r="C1659" s="2" t="s">
        <v>24</v>
      </c>
      <c r="D1659" s="2" t="s">
        <v>1087</v>
      </c>
      <c r="E1659" s="2" t="s">
        <v>193</v>
      </c>
      <c r="F1659" s="2" t="s">
        <v>40</v>
      </c>
      <c r="G1659" s="2" t="s">
        <v>16</v>
      </c>
      <c r="H1659" s="2" t="s">
        <v>1089</v>
      </c>
      <c r="I1659" s="2"/>
      <c r="J1659" s="2"/>
    </row>
    <row r="1660" spans="1:10" x14ac:dyDescent="0.35">
      <c r="A1660" s="2" t="s">
        <v>10</v>
      </c>
      <c r="B1660" s="2" t="s">
        <v>886</v>
      </c>
      <c r="C1660" s="2" t="s">
        <v>12</v>
      </c>
      <c r="D1660" s="2" t="s">
        <v>1090</v>
      </c>
      <c r="E1660" s="2" t="s">
        <v>14</v>
      </c>
      <c r="F1660" s="2" t="s">
        <v>15</v>
      </c>
      <c r="G1660" s="2" t="s">
        <v>46</v>
      </c>
      <c r="H1660" s="2" t="s">
        <v>910</v>
      </c>
      <c r="I1660" s="2"/>
      <c r="J1660" s="2"/>
    </row>
    <row r="1661" spans="1:10" x14ac:dyDescent="0.35">
      <c r="A1661" s="2" t="s">
        <v>10</v>
      </c>
      <c r="B1661" s="2" t="s">
        <v>886</v>
      </c>
      <c r="C1661" s="2" t="s">
        <v>12</v>
      </c>
      <c r="D1661" s="2" t="s">
        <v>1090</v>
      </c>
      <c r="E1661" s="2" t="s">
        <v>172</v>
      </c>
      <c r="F1661" s="2" t="s">
        <v>65</v>
      </c>
      <c r="G1661" s="2" t="s">
        <v>46</v>
      </c>
      <c r="H1661" s="2" t="s">
        <v>910</v>
      </c>
      <c r="I1661" s="2"/>
      <c r="J1661" s="2"/>
    </row>
    <row r="1662" spans="1:10" x14ac:dyDescent="0.35">
      <c r="A1662" s="2" t="s">
        <v>10</v>
      </c>
      <c r="B1662" s="2" t="s">
        <v>886</v>
      </c>
      <c r="C1662" s="2" t="s">
        <v>12</v>
      </c>
      <c r="D1662" s="2" t="s">
        <v>1090</v>
      </c>
      <c r="E1662" s="2" t="s">
        <v>121</v>
      </c>
      <c r="F1662" s="2" t="s">
        <v>122</v>
      </c>
      <c r="G1662" s="2" t="s">
        <v>46</v>
      </c>
      <c r="H1662" s="2" t="s">
        <v>910</v>
      </c>
      <c r="I1662" s="2"/>
      <c r="J1662" s="2"/>
    </row>
    <row r="1663" spans="1:10" x14ac:dyDescent="0.35">
      <c r="A1663" s="2" t="s">
        <v>10</v>
      </c>
      <c r="B1663" s="2" t="s">
        <v>886</v>
      </c>
      <c r="C1663" s="2" t="s">
        <v>12</v>
      </c>
      <c r="D1663" s="2" t="s">
        <v>1090</v>
      </c>
      <c r="E1663" s="2" t="s">
        <v>188</v>
      </c>
      <c r="F1663" s="2" t="s">
        <v>189</v>
      </c>
      <c r="G1663" s="2" t="s">
        <v>46</v>
      </c>
      <c r="H1663" s="2" t="s">
        <v>910</v>
      </c>
      <c r="I1663" s="2"/>
      <c r="J1663" s="2"/>
    </row>
    <row r="1664" spans="1:10" s="21" customFormat="1" x14ac:dyDescent="0.35">
      <c r="A1664" s="2" t="s">
        <v>10</v>
      </c>
      <c r="B1664" s="2" t="s">
        <v>886</v>
      </c>
      <c r="C1664" s="2" t="s">
        <v>62</v>
      </c>
      <c r="D1664" s="2" t="s">
        <v>1091</v>
      </c>
      <c r="E1664" s="2" t="s">
        <v>106</v>
      </c>
      <c r="F1664" s="2" t="s">
        <v>107</v>
      </c>
      <c r="G1664" s="2"/>
      <c r="H1664" s="2"/>
      <c r="I1664" s="2"/>
      <c r="J1664" s="2"/>
    </row>
    <row r="1665" spans="1:10" s="21" customFormat="1" x14ac:dyDescent="0.35">
      <c r="A1665" s="2" t="s">
        <v>10</v>
      </c>
      <c r="B1665" s="2" t="s">
        <v>886</v>
      </c>
      <c r="C1665" s="2" t="s">
        <v>62</v>
      </c>
      <c r="D1665" s="2" t="s">
        <v>1092</v>
      </c>
      <c r="E1665" s="2" t="s">
        <v>106</v>
      </c>
      <c r="F1665" s="2" t="s">
        <v>107</v>
      </c>
      <c r="G1665" s="2"/>
      <c r="H1665" s="2"/>
      <c r="I1665" s="2"/>
      <c r="J1665" s="2"/>
    </row>
    <row r="1666" spans="1:10" s="21" customFormat="1" x14ac:dyDescent="0.35">
      <c r="A1666" s="2" t="s">
        <v>10</v>
      </c>
      <c r="B1666" s="2" t="s">
        <v>886</v>
      </c>
      <c r="C1666" s="2" t="s">
        <v>62</v>
      </c>
      <c r="D1666" s="2" t="s">
        <v>1093</v>
      </c>
      <c r="E1666" s="2" t="s">
        <v>106</v>
      </c>
      <c r="F1666" s="2" t="s">
        <v>107</v>
      </c>
      <c r="G1666" s="2"/>
      <c r="H1666" s="2"/>
      <c r="I1666" s="2"/>
      <c r="J1666" s="2"/>
    </row>
    <row r="1667" spans="1:10" s="21" customFormat="1" x14ac:dyDescent="0.35">
      <c r="A1667" s="2" t="s">
        <v>10</v>
      </c>
      <c r="B1667" s="2" t="s">
        <v>886</v>
      </c>
      <c r="C1667" s="2" t="s">
        <v>62</v>
      </c>
      <c r="D1667" s="2" t="s">
        <v>1094</v>
      </c>
      <c r="E1667" s="2" t="s">
        <v>106</v>
      </c>
      <c r="F1667" s="2" t="s">
        <v>107</v>
      </c>
      <c r="G1667" s="2"/>
      <c r="H1667" s="2"/>
      <c r="I1667" s="2"/>
      <c r="J1667" s="2"/>
    </row>
    <row r="1668" spans="1:10" s="21" customFormat="1" x14ac:dyDescent="0.35">
      <c r="A1668" s="2" t="s">
        <v>10</v>
      </c>
      <c r="B1668" s="2" t="s">
        <v>886</v>
      </c>
      <c r="C1668" s="2" t="s">
        <v>62</v>
      </c>
      <c r="D1668" s="2" t="s">
        <v>1095</v>
      </c>
      <c r="E1668" s="2" t="s">
        <v>106</v>
      </c>
      <c r="F1668" s="2" t="s">
        <v>107</v>
      </c>
      <c r="G1668" s="2"/>
      <c r="H1668" s="2"/>
      <c r="I1668" s="2"/>
      <c r="J1668" s="2"/>
    </row>
    <row r="1669" spans="1:10" s="21" customFormat="1" x14ac:dyDescent="0.35">
      <c r="A1669" s="2" t="s">
        <v>10</v>
      </c>
      <c r="B1669" s="2" t="s">
        <v>886</v>
      </c>
      <c r="C1669" s="2" t="s">
        <v>62</v>
      </c>
      <c r="D1669" s="2" t="s">
        <v>1096</v>
      </c>
      <c r="E1669" s="2" t="s">
        <v>106</v>
      </c>
      <c r="F1669" s="2" t="s">
        <v>107</v>
      </c>
      <c r="G1669" s="2"/>
      <c r="H1669" s="2"/>
      <c r="I1669" s="2"/>
      <c r="J1669" s="2"/>
    </row>
    <row r="1670" spans="1:10" s="21" customFormat="1" x14ac:dyDescent="0.35">
      <c r="A1670" s="2" t="s">
        <v>10</v>
      </c>
      <c r="B1670" s="2" t="s">
        <v>886</v>
      </c>
      <c r="C1670" s="2" t="s">
        <v>62</v>
      </c>
      <c r="D1670" s="2" t="s">
        <v>1097</v>
      </c>
      <c r="E1670" s="2" t="s">
        <v>106</v>
      </c>
      <c r="F1670" s="2" t="s">
        <v>107</v>
      </c>
      <c r="G1670" s="2"/>
      <c r="H1670" s="2"/>
      <c r="I1670" s="2"/>
      <c r="J1670" s="2"/>
    </row>
    <row r="1671" spans="1:10" x14ac:dyDescent="0.35">
      <c r="A1671" s="2" t="s">
        <v>10</v>
      </c>
      <c r="B1671" s="2" t="s">
        <v>886</v>
      </c>
      <c r="C1671" s="2" t="s">
        <v>62</v>
      </c>
      <c r="D1671" s="2" t="s">
        <v>1098</v>
      </c>
      <c r="E1671" s="2" t="s">
        <v>782</v>
      </c>
      <c r="F1671" s="2" t="s">
        <v>75</v>
      </c>
      <c r="G1671" s="2" t="s">
        <v>16</v>
      </c>
      <c r="H1671" s="2" t="s">
        <v>1099</v>
      </c>
      <c r="I1671" s="2"/>
      <c r="J1671" s="2"/>
    </row>
    <row r="1672" spans="1:10" x14ac:dyDescent="0.35">
      <c r="A1672" s="2" t="s">
        <v>10</v>
      </c>
      <c r="B1672" s="2" t="s">
        <v>886</v>
      </c>
      <c r="C1672" s="2" t="s">
        <v>12</v>
      </c>
      <c r="D1672" s="2" t="s">
        <v>1100</v>
      </c>
      <c r="E1672" s="2" t="s">
        <v>172</v>
      </c>
      <c r="F1672" s="2" t="s">
        <v>65</v>
      </c>
      <c r="G1672" s="2"/>
      <c r="H1672" s="2"/>
      <c r="I1672" s="2"/>
      <c r="J1672" s="2"/>
    </row>
    <row r="1673" spans="1:10" x14ac:dyDescent="0.35">
      <c r="A1673" s="2" t="s">
        <v>10</v>
      </c>
      <c r="B1673" s="2" t="s">
        <v>886</v>
      </c>
      <c r="C1673" s="2" t="s">
        <v>12</v>
      </c>
      <c r="D1673" s="2" t="s">
        <v>1100</v>
      </c>
      <c r="E1673" s="2" t="s">
        <v>18</v>
      </c>
      <c r="F1673" s="2" t="s">
        <v>19</v>
      </c>
      <c r="G1673" s="2" t="s">
        <v>16</v>
      </c>
      <c r="H1673" s="2" t="s">
        <v>1101</v>
      </c>
      <c r="I1673" s="2"/>
      <c r="J1673" s="2"/>
    </row>
    <row r="1674" spans="1:10" x14ac:dyDescent="0.35">
      <c r="A1674" s="2" t="s">
        <v>10</v>
      </c>
      <c r="B1674" s="2" t="s">
        <v>886</v>
      </c>
      <c r="C1674" s="2" t="s">
        <v>24</v>
      </c>
      <c r="D1674" s="2" t="s">
        <v>1102</v>
      </c>
      <c r="E1674" s="2" t="s">
        <v>18</v>
      </c>
      <c r="F1674" s="2" t="s">
        <v>19</v>
      </c>
      <c r="G1674" s="2" t="s">
        <v>16</v>
      </c>
      <c r="H1674" s="2" t="s">
        <v>733</v>
      </c>
      <c r="I1674" s="2"/>
      <c r="J1674" s="2"/>
    </row>
    <row r="1675" spans="1:10" x14ac:dyDescent="0.35">
      <c r="A1675" s="2" t="s">
        <v>10</v>
      </c>
      <c r="B1675" s="2" t="s">
        <v>886</v>
      </c>
      <c r="C1675" s="2" t="s">
        <v>436</v>
      </c>
      <c r="D1675" s="2" t="s">
        <v>1103</v>
      </c>
      <c r="E1675" s="2" t="s">
        <v>196</v>
      </c>
      <c r="F1675" s="2" t="s">
        <v>197</v>
      </c>
      <c r="G1675" s="2"/>
      <c r="H1675" s="2"/>
      <c r="I1675" s="2"/>
      <c r="J1675" s="2"/>
    </row>
    <row r="1676" spans="1:10" x14ac:dyDescent="0.35">
      <c r="A1676" s="2" t="s">
        <v>10</v>
      </c>
      <c r="B1676" s="2" t="s">
        <v>886</v>
      </c>
      <c r="C1676" s="2" t="s">
        <v>436</v>
      </c>
      <c r="D1676" s="2" t="s">
        <v>1103</v>
      </c>
      <c r="E1676" s="2" t="s">
        <v>82</v>
      </c>
      <c r="F1676" s="2" t="s">
        <v>83</v>
      </c>
      <c r="G1676" s="2" t="s">
        <v>16</v>
      </c>
      <c r="H1676" s="2" t="s">
        <v>1104</v>
      </c>
      <c r="I1676" s="2"/>
      <c r="J1676" s="2"/>
    </row>
    <row r="1677" spans="1:10" x14ac:dyDescent="0.35">
      <c r="A1677" s="2" t="s">
        <v>1105</v>
      </c>
      <c r="B1677" s="2" t="s">
        <v>1106</v>
      </c>
      <c r="C1677" s="2" t="s">
        <v>57</v>
      </c>
      <c r="D1677" s="2" t="s">
        <v>1107</v>
      </c>
      <c r="E1677" s="2" t="s">
        <v>196</v>
      </c>
      <c r="F1677" s="2" t="s">
        <v>197</v>
      </c>
      <c r="G1677" s="2"/>
      <c r="H1677" s="2"/>
      <c r="I1677" s="2"/>
      <c r="J1677" s="2"/>
    </row>
    <row r="1678" spans="1:10" x14ac:dyDescent="0.35">
      <c r="A1678" s="2" t="s">
        <v>1105</v>
      </c>
      <c r="B1678" s="2" t="s">
        <v>1106</v>
      </c>
      <c r="C1678" s="2" t="s">
        <v>57</v>
      </c>
      <c r="D1678" s="2" t="s">
        <v>1107</v>
      </c>
      <c r="E1678" s="2" t="s">
        <v>1108</v>
      </c>
      <c r="F1678" s="2" t="s">
        <v>45</v>
      </c>
      <c r="G1678" s="2" t="s">
        <v>20</v>
      </c>
      <c r="H1678" s="2" t="s">
        <v>1109</v>
      </c>
      <c r="I1678" s="2" t="s">
        <v>16</v>
      </c>
      <c r="J1678" s="2" t="s">
        <v>1110</v>
      </c>
    </row>
    <row r="1679" spans="1:10" x14ac:dyDescent="0.35">
      <c r="A1679" s="2" t="s">
        <v>1105</v>
      </c>
      <c r="B1679" s="2" t="s">
        <v>1106</v>
      </c>
      <c r="C1679" s="2" t="s">
        <v>57</v>
      </c>
      <c r="D1679" s="2" t="s">
        <v>1107</v>
      </c>
      <c r="E1679" s="2" t="s">
        <v>1111</v>
      </c>
      <c r="F1679" s="2" t="s">
        <v>28</v>
      </c>
      <c r="G1679" s="2"/>
      <c r="H1679" s="2"/>
      <c r="I1679" s="2"/>
      <c r="J1679" s="2"/>
    </row>
    <row r="1680" spans="1:10" x14ac:dyDescent="0.35">
      <c r="A1680" s="2" t="s">
        <v>1105</v>
      </c>
      <c r="B1680" s="2" t="s">
        <v>1106</v>
      </c>
      <c r="C1680" s="2" t="s">
        <v>57</v>
      </c>
      <c r="D1680" s="2" t="s">
        <v>1107</v>
      </c>
      <c r="E1680" s="2" t="s">
        <v>14</v>
      </c>
      <c r="F1680" s="2" t="s">
        <v>15</v>
      </c>
      <c r="G1680" s="2"/>
      <c r="H1680" s="2"/>
      <c r="I1680" s="2"/>
      <c r="J1680" s="2"/>
    </row>
    <row r="1681" spans="1:10" x14ac:dyDescent="0.35">
      <c r="A1681" s="2" t="s">
        <v>1105</v>
      </c>
      <c r="B1681" s="2" t="s">
        <v>1106</v>
      </c>
      <c r="C1681" s="2" t="s">
        <v>57</v>
      </c>
      <c r="D1681" s="2" t="s">
        <v>1107</v>
      </c>
      <c r="E1681" s="2" t="s">
        <v>31</v>
      </c>
      <c r="F1681" s="2" t="s">
        <v>32</v>
      </c>
      <c r="G1681" s="2"/>
      <c r="H1681" s="2"/>
      <c r="I1681" s="2"/>
      <c r="J1681" s="2"/>
    </row>
    <row r="1682" spans="1:10" x14ac:dyDescent="0.35">
      <c r="A1682" s="2" t="s">
        <v>1105</v>
      </c>
      <c r="B1682" s="2" t="s">
        <v>1106</v>
      </c>
      <c r="C1682" s="2" t="s">
        <v>57</v>
      </c>
      <c r="D1682" s="2" t="s">
        <v>1107</v>
      </c>
      <c r="E1682" s="2" t="s">
        <v>1112</v>
      </c>
      <c r="F1682" s="2" t="s">
        <v>32</v>
      </c>
      <c r="G1682" s="2"/>
      <c r="H1682" s="2"/>
      <c r="I1682" s="2"/>
      <c r="J1682" s="2"/>
    </row>
    <row r="1683" spans="1:10" x14ac:dyDescent="0.35">
      <c r="A1683" s="2" t="s">
        <v>1105</v>
      </c>
      <c r="B1683" s="2" t="s">
        <v>1106</v>
      </c>
      <c r="C1683" s="2" t="s">
        <v>57</v>
      </c>
      <c r="D1683" s="2" t="s">
        <v>1107</v>
      </c>
      <c r="E1683" s="2" t="s">
        <v>1113</v>
      </c>
      <c r="F1683" s="2" t="s">
        <v>32</v>
      </c>
      <c r="G1683" s="2"/>
      <c r="H1683" s="2"/>
      <c r="I1683" s="2"/>
      <c r="J1683" s="2"/>
    </row>
    <row r="1684" spans="1:10" x14ac:dyDescent="0.35">
      <c r="A1684" s="2" t="s">
        <v>1105</v>
      </c>
      <c r="B1684" s="2" t="s">
        <v>1106</v>
      </c>
      <c r="C1684" s="2" t="s">
        <v>57</v>
      </c>
      <c r="D1684" s="2" t="s">
        <v>1107</v>
      </c>
      <c r="E1684" s="2" t="s">
        <v>1114</v>
      </c>
      <c r="F1684" s="2" t="s">
        <v>203</v>
      </c>
      <c r="G1684" s="2"/>
      <c r="H1684" s="2"/>
      <c r="I1684" s="2"/>
      <c r="J1684" s="2"/>
    </row>
    <row r="1685" spans="1:10" x14ac:dyDescent="0.35">
      <c r="A1685" s="2" t="s">
        <v>1105</v>
      </c>
      <c r="B1685" s="2" t="s">
        <v>1106</v>
      </c>
      <c r="C1685" s="2" t="s">
        <v>57</v>
      </c>
      <c r="D1685" s="2" t="s">
        <v>1107</v>
      </c>
      <c r="E1685" s="2" t="s">
        <v>1115</v>
      </c>
      <c r="F1685" s="2" t="s">
        <v>78</v>
      </c>
      <c r="G1685" s="2"/>
      <c r="H1685" s="2"/>
      <c r="I1685" s="2"/>
      <c r="J1685" s="2"/>
    </row>
    <row r="1686" spans="1:10" x14ac:dyDescent="0.35">
      <c r="A1686" s="2" t="s">
        <v>1105</v>
      </c>
      <c r="B1686" s="2" t="s">
        <v>1106</v>
      </c>
      <c r="C1686" s="2" t="s">
        <v>57</v>
      </c>
      <c r="D1686" s="2" t="s">
        <v>1107</v>
      </c>
      <c r="E1686" s="2" t="s">
        <v>1116</v>
      </c>
      <c r="F1686" s="2" t="s">
        <v>367</v>
      </c>
      <c r="G1686" s="2"/>
      <c r="H1686" s="2"/>
      <c r="I1686" s="2"/>
      <c r="J1686" s="2"/>
    </row>
    <row r="1687" spans="1:10" x14ac:dyDescent="0.35">
      <c r="A1687" s="2" t="s">
        <v>1105</v>
      </c>
      <c r="B1687" s="2" t="s">
        <v>1106</v>
      </c>
      <c r="C1687" s="2" t="s">
        <v>57</v>
      </c>
      <c r="D1687" s="2" t="s">
        <v>1107</v>
      </c>
      <c r="E1687" s="2" t="s">
        <v>100</v>
      </c>
      <c r="F1687" s="2" t="s">
        <v>101</v>
      </c>
      <c r="G1687" s="2"/>
      <c r="H1687" s="2"/>
      <c r="I1687" s="2"/>
      <c r="J1687" s="2"/>
    </row>
    <row r="1688" spans="1:10" x14ac:dyDescent="0.35">
      <c r="A1688" s="2" t="s">
        <v>1105</v>
      </c>
      <c r="B1688" s="2" t="s">
        <v>1106</v>
      </c>
      <c r="C1688" s="2" t="s">
        <v>57</v>
      </c>
      <c r="D1688" s="2" t="s">
        <v>1107</v>
      </c>
      <c r="E1688" s="2" t="s">
        <v>149</v>
      </c>
      <c r="F1688" s="2" t="s">
        <v>150</v>
      </c>
      <c r="G1688" s="2"/>
      <c r="H1688" s="2"/>
      <c r="I1688" s="2" t="s">
        <v>16</v>
      </c>
      <c r="J1688" s="2" t="s">
        <v>1110</v>
      </c>
    </row>
    <row r="1689" spans="1:10" s="21" customFormat="1" x14ac:dyDescent="0.35">
      <c r="A1689" s="2" t="s">
        <v>1105</v>
      </c>
      <c r="B1689" s="2" t="s">
        <v>1117</v>
      </c>
      <c r="C1689" s="2" t="s">
        <v>24</v>
      </c>
      <c r="D1689" s="2" t="s">
        <v>1118</v>
      </c>
      <c r="E1689" s="2" t="s">
        <v>291</v>
      </c>
      <c r="F1689" s="2" t="s">
        <v>139</v>
      </c>
      <c r="G1689" s="2"/>
      <c r="H1689" s="2"/>
      <c r="I1689" s="2" t="s">
        <v>16</v>
      </c>
      <c r="J1689" s="2" t="s">
        <v>1119</v>
      </c>
    </row>
    <row r="1690" spans="1:10" s="21" customFormat="1" x14ac:dyDescent="0.35">
      <c r="A1690" s="2" t="s">
        <v>1105</v>
      </c>
      <c r="B1690" s="2" t="s">
        <v>1117</v>
      </c>
      <c r="C1690" s="2" t="s">
        <v>24</v>
      </c>
      <c r="D1690" s="2" t="s">
        <v>1118</v>
      </c>
      <c r="E1690" s="2" t="s">
        <v>35</v>
      </c>
      <c r="F1690" s="2" t="s">
        <v>36</v>
      </c>
      <c r="G1690" s="2"/>
      <c r="H1690" s="2"/>
      <c r="I1690" s="2" t="s">
        <v>16</v>
      </c>
      <c r="J1690" s="2" t="s">
        <v>1119</v>
      </c>
    </row>
    <row r="1691" spans="1:10" s="21" customFormat="1" x14ac:dyDescent="0.35">
      <c r="A1691" s="2" t="s">
        <v>1105</v>
      </c>
      <c r="B1691" s="2" t="s">
        <v>1120</v>
      </c>
      <c r="C1691" s="2" t="s">
        <v>24</v>
      </c>
      <c r="D1691" s="2" t="s">
        <v>1121</v>
      </c>
      <c r="E1691" s="2" t="s">
        <v>130</v>
      </c>
      <c r="F1691" s="2" t="s">
        <v>36</v>
      </c>
      <c r="G1691" s="2"/>
      <c r="H1691" s="2"/>
      <c r="I1691" s="2"/>
      <c r="J1691" s="2"/>
    </row>
    <row r="1692" spans="1:10" s="21" customFormat="1" x14ac:dyDescent="0.35">
      <c r="A1692" s="2" t="s">
        <v>1105</v>
      </c>
      <c r="B1692" s="2" t="s">
        <v>1120</v>
      </c>
      <c r="C1692" s="2" t="s">
        <v>24</v>
      </c>
      <c r="D1692" s="2" t="s">
        <v>1121</v>
      </c>
      <c r="E1692" s="2" t="s">
        <v>91</v>
      </c>
      <c r="F1692" s="2" t="s">
        <v>19</v>
      </c>
      <c r="G1692" s="2"/>
      <c r="H1692" s="2"/>
      <c r="I1692" s="2"/>
      <c r="J1692" s="2"/>
    </row>
    <row r="1693" spans="1:10" s="21" customFormat="1" x14ac:dyDescent="0.35">
      <c r="A1693" s="2" t="s">
        <v>1105</v>
      </c>
      <c r="B1693" s="2" t="s">
        <v>1120</v>
      </c>
      <c r="C1693" s="2" t="s">
        <v>24</v>
      </c>
      <c r="D1693" s="2" t="s">
        <v>1121</v>
      </c>
      <c r="E1693" s="2" t="s">
        <v>61</v>
      </c>
      <c r="F1693" s="2" t="s">
        <v>30</v>
      </c>
      <c r="G1693" s="2" t="s">
        <v>20</v>
      </c>
      <c r="H1693" s="2" t="s">
        <v>1122</v>
      </c>
      <c r="I1693" s="2"/>
      <c r="J1693" s="2"/>
    </row>
    <row r="1694" spans="1:10" x14ac:dyDescent="0.35">
      <c r="A1694" s="2" t="s">
        <v>1105</v>
      </c>
      <c r="B1694" s="2" t="s">
        <v>1123</v>
      </c>
      <c r="C1694" s="2" t="s">
        <v>57</v>
      </c>
      <c r="D1694" s="2" t="s">
        <v>1124</v>
      </c>
      <c r="E1694" s="2" t="s">
        <v>14</v>
      </c>
      <c r="F1694" s="2" t="s">
        <v>15</v>
      </c>
      <c r="G1694" s="2"/>
      <c r="H1694" s="2"/>
      <c r="I1694" s="2"/>
      <c r="J1694" s="2"/>
    </row>
    <row r="1695" spans="1:10" x14ac:dyDescent="0.35">
      <c r="A1695" s="2" t="s">
        <v>1105</v>
      </c>
      <c r="B1695" s="2" t="s">
        <v>1123</v>
      </c>
      <c r="C1695" s="2" t="s">
        <v>57</v>
      </c>
      <c r="D1695" s="2" t="s">
        <v>1124</v>
      </c>
      <c r="E1695" s="2" t="s">
        <v>27</v>
      </c>
      <c r="F1695" s="2" t="s">
        <v>28</v>
      </c>
      <c r="G1695" s="2"/>
      <c r="H1695" s="2"/>
      <c r="I1695" s="2"/>
      <c r="J1695" s="2"/>
    </row>
    <row r="1696" spans="1:10" x14ac:dyDescent="0.35">
      <c r="A1696" s="2" t="s">
        <v>1105</v>
      </c>
      <c r="B1696" s="2" t="s">
        <v>1123</v>
      </c>
      <c r="C1696" s="2" t="s">
        <v>57</v>
      </c>
      <c r="D1696" s="2" t="s">
        <v>1124</v>
      </c>
      <c r="E1696" s="2" t="s">
        <v>33</v>
      </c>
      <c r="F1696" s="2" t="s">
        <v>34</v>
      </c>
      <c r="G1696" s="2"/>
      <c r="H1696" s="2"/>
      <c r="I1696" s="2"/>
      <c r="J1696" s="2"/>
    </row>
    <row r="1697" spans="1:10" x14ac:dyDescent="0.35">
      <c r="A1697" s="2" t="s">
        <v>1105</v>
      </c>
      <c r="B1697" s="2" t="s">
        <v>1123</v>
      </c>
      <c r="C1697" s="2" t="s">
        <v>57</v>
      </c>
      <c r="D1697" s="2" t="s">
        <v>1124</v>
      </c>
      <c r="E1697" s="2" t="s">
        <v>213</v>
      </c>
      <c r="F1697" s="2" t="s">
        <v>45</v>
      </c>
      <c r="G1697" s="2"/>
      <c r="H1697" s="2"/>
      <c r="I1697" s="2"/>
      <c r="J1697" s="2"/>
    </row>
    <row r="1698" spans="1:10" x14ac:dyDescent="0.35">
      <c r="A1698" s="2" t="s">
        <v>1105</v>
      </c>
      <c r="B1698" s="2" t="s">
        <v>1123</v>
      </c>
      <c r="C1698" s="2" t="s">
        <v>57</v>
      </c>
      <c r="D1698" s="2" t="s">
        <v>1124</v>
      </c>
      <c r="E1698" s="2" t="s">
        <v>18</v>
      </c>
      <c r="F1698" s="2" t="s">
        <v>19</v>
      </c>
      <c r="G1698" s="2" t="s">
        <v>20</v>
      </c>
      <c r="H1698" s="2" t="s">
        <v>1125</v>
      </c>
      <c r="I1698" s="2"/>
      <c r="J1698" s="2"/>
    </row>
    <row r="1699" spans="1:10" x14ac:dyDescent="0.35">
      <c r="A1699" s="2" t="s">
        <v>1105</v>
      </c>
      <c r="B1699" s="2" t="s">
        <v>1123</v>
      </c>
      <c r="C1699" s="2" t="s">
        <v>57</v>
      </c>
      <c r="D1699" s="2" t="s">
        <v>1124</v>
      </c>
      <c r="E1699" s="2" t="s">
        <v>42</v>
      </c>
      <c r="F1699" s="2" t="s">
        <v>43</v>
      </c>
      <c r="G1699" s="2"/>
      <c r="H1699" s="2"/>
      <c r="I1699" s="2"/>
      <c r="J1699" s="2"/>
    </row>
    <row r="1700" spans="1:10" x14ac:dyDescent="0.35">
      <c r="A1700" s="2" t="s">
        <v>1105</v>
      </c>
      <c r="B1700" s="2" t="s">
        <v>1123</v>
      </c>
      <c r="C1700" s="2" t="s">
        <v>57</v>
      </c>
      <c r="D1700" s="2" t="s">
        <v>1124</v>
      </c>
      <c r="E1700" s="2" t="s">
        <v>149</v>
      </c>
      <c r="F1700" s="2" t="s">
        <v>150</v>
      </c>
      <c r="G1700" s="2" t="s">
        <v>20</v>
      </c>
      <c r="H1700" s="2" t="s">
        <v>1126</v>
      </c>
      <c r="I1700" s="2"/>
      <c r="J1700" s="2"/>
    </row>
    <row r="1701" spans="1:10" s="21" customFormat="1" x14ac:dyDescent="0.35">
      <c r="A1701" s="2" t="s">
        <v>1105</v>
      </c>
      <c r="B1701" s="2" t="s">
        <v>1123</v>
      </c>
      <c r="C1701" s="2" t="s">
        <v>24</v>
      </c>
      <c r="D1701" s="2" t="s">
        <v>1127</v>
      </c>
      <c r="E1701" s="2" t="s">
        <v>27</v>
      </c>
      <c r="F1701" s="2" t="s">
        <v>28</v>
      </c>
      <c r="G1701" s="2"/>
      <c r="H1701" s="2"/>
      <c r="I1701" s="2" t="s">
        <v>16</v>
      </c>
      <c r="J1701" s="2" t="s">
        <v>1128</v>
      </c>
    </row>
    <row r="1702" spans="1:10" s="21" customFormat="1" x14ac:dyDescent="0.35">
      <c r="A1702" s="2" t="s">
        <v>1105</v>
      </c>
      <c r="B1702" s="2" t="s">
        <v>1123</v>
      </c>
      <c r="C1702" s="2" t="s">
        <v>24</v>
      </c>
      <c r="D1702" s="2" t="s">
        <v>1127</v>
      </c>
      <c r="E1702" s="2" t="s">
        <v>82</v>
      </c>
      <c r="F1702" s="2" t="s">
        <v>83</v>
      </c>
      <c r="G1702" s="2"/>
      <c r="H1702" s="2"/>
      <c r="I1702" s="2" t="s">
        <v>16</v>
      </c>
      <c r="J1702" s="2" t="s">
        <v>1128</v>
      </c>
    </row>
    <row r="1703" spans="1:10" s="21" customFormat="1" x14ac:dyDescent="0.35">
      <c r="A1703" s="2" t="s">
        <v>1105</v>
      </c>
      <c r="B1703" s="2" t="s">
        <v>1123</v>
      </c>
      <c r="C1703" s="2" t="s">
        <v>24</v>
      </c>
      <c r="D1703" s="2" t="s">
        <v>1127</v>
      </c>
      <c r="E1703" s="2" t="s">
        <v>35</v>
      </c>
      <c r="F1703" s="2" t="s">
        <v>36</v>
      </c>
      <c r="G1703" s="2"/>
      <c r="H1703" s="2"/>
      <c r="I1703" s="2" t="s">
        <v>16</v>
      </c>
      <c r="J1703" s="2" t="s">
        <v>1128</v>
      </c>
    </row>
    <row r="1704" spans="1:10" s="21" customFormat="1" x14ac:dyDescent="0.35">
      <c r="A1704" s="2" t="s">
        <v>1105</v>
      </c>
      <c r="B1704" s="2" t="s">
        <v>1123</v>
      </c>
      <c r="C1704" s="2" t="s">
        <v>24</v>
      </c>
      <c r="D1704" s="2" t="s">
        <v>1127</v>
      </c>
      <c r="E1704" s="2" t="s">
        <v>64</v>
      </c>
      <c r="F1704" s="2" t="s">
        <v>65</v>
      </c>
      <c r="G1704" s="2"/>
      <c r="H1704" s="2"/>
      <c r="I1704" s="2" t="s">
        <v>16</v>
      </c>
      <c r="J1704" s="2" t="s">
        <v>1128</v>
      </c>
    </row>
    <row r="1705" spans="1:10" s="21" customFormat="1" x14ac:dyDescent="0.35">
      <c r="A1705" s="2" t="s">
        <v>1105</v>
      </c>
      <c r="B1705" s="2" t="s">
        <v>1123</v>
      </c>
      <c r="C1705" s="2" t="s">
        <v>24</v>
      </c>
      <c r="D1705" s="2" t="s">
        <v>1127</v>
      </c>
      <c r="E1705" s="2" t="s">
        <v>18</v>
      </c>
      <c r="F1705" s="2" t="s">
        <v>19</v>
      </c>
      <c r="G1705" s="2" t="s">
        <v>20</v>
      </c>
      <c r="H1705" s="2" t="s">
        <v>1129</v>
      </c>
      <c r="I1705" s="2" t="s">
        <v>16</v>
      </c>
      <c r="J1705" s="2" t="s">
        <v>1128</v>
      </c>
    </row>
    <row r="1706" spans="1:10" s="21" customFormat="1" x14ac:dyDescent="0.35">
      <c r="A1706" s="2" t="s">
        <v>1105</v>
      </c>
      <c r="B1706" s="2" t="s">
        <v>1123</v>
      </c>
      <c r="C1706" s="2" t="s">
        <v>24</v>
      </c>
      <c r="D1706" s="2" t="s">
        <v>1127</v>
      </c>
      <c r="E1706" s="2" t="s">
        <v>89</v>
      </c>
      <c r="F1706" s="2" t="s">
        <v>45</v>
      </c>
      <c r="G1706" s="2"/>
      <c r="H1706" s="2"/>
      <c r="I1706" s="2" t="s">
        <v>16</v>
      </c>
      <c r="J1706" s="2" t="s">
        <v>1128</v>
      </c>
    </row>
    <row r="1707" spans="1:10" s="21" customFormat="1" x14ac:dyDescent="0.35">
      <c r="A1707" s="2" t="s">
        <v>1105</v>
      </c>
      <c r="B1707" s="2" t="s">
        <v>1123</v>
      </c>
      <c r="C1707" s="2" t="s">
        <v>24</v>
      </c>
      <c r="D1707" s="2" t="s">
        <v>1127</v>
      </c>
      <c r="E1707" s="2" t="s">
        <v>61</v>
      </c>
      <c r="F1707" s="2" t="s">
        <v>30</v>
      </c>
      <c r="G1707" s="2"/>
      <c r="H1707" s="2"/>
      <c r="I1707" s="2" t="s">
        <v>16</v>
      </c>
      <c r="J1707" s="2" t="s">
        <v>1128</v>
      </c>
    </row>
    <row r="1708" spans="1:10" x14ac:dyDescent="0.35">
      <c r="A1708" s="2" t="s">
        <v>1105</v>
      </c>
      <c r="B1708" s="2" t="s">
        <v>1123</v>
      </c>
      <c r="C1708" s="2" t="s">
        <v>54</v>
      </c>
      <c r="D1708" s="2" t="s">
        <v>1130</v>
      </c>
      <c r="E1708" s="2" t="s">
        <v>14</v>
      </c>
      <c r="F1708" s="2" t="s">
        <v>15</v>
      </c>
      <c r="G1708" s="2"/>
      <c r="H1708" s="2"/>
      <c r="I1708" s="2" t="s">
        <v>16</v>
      </c>
      <c r="J1708" s="2" t="s">
        <v>1128</v>
      </c>
    </row>
    <row r="1709" spans="1:10" x14ac:dyDescent="0.35">
      <c r="A1709" s="2" t="s">
        <v>1105</v>
      </c>
      <c r="B1709" s="2" t="s">
        <v>1123</v>
      </c>
      <c r="C1709" s="2" t="s">
        <v>54</v>
      </c>
      <c r="D1709" s="2" t="s">
        <v>1130</v>
      </c>
      <c r="E1709" s="2" t="s">
        <v>96</v>
      </c>
      <c r="F1709" s="2" t="s">
        <v>83</v>
      </c>
      <c r="G1709" s="2"/>
      <c r="H1709" s="2"/>
      <c r="I1709" s="2" t="s">
        <v>16</v>
      </c>
      <c r="J1709" s="2" t="s">
        <v>1128</v>
      </c>
    </row>
    <row r="1710" spans="1:10" x14ac:dyDescent="0.35">
      <c r="A1710" s="2" t="s">
        <v>1105</v>
      </c>
      <c r="B1710" s="2" t="s">
        <v>1123</v>
      </c>
      <c r="C1710" s="2" t="s">
        <v>54</v>
      </c>
      <c r="D1710" s="2" t="s">
        <v>1130</v>
      </c>
      <c r="E1710" s="2" t="s">
        <v>393</v>
      </c>
      <c r="F1710" s="2" t="s">
        <v>36</v>
      </c>
      <c r="G1710" s="2"/>
      <c r="H1710" s="2"/>
      <c r="I1710" s="2" t="s">
        <v>16</v>
      </c>
      <c r="J1710" s="2" t="s">
        <v>1128</v>
      </c>
    </row>
    <row r="1711" spans="1:10" x14ac:dyDescent="0.35">
      <c r="A1711" s="2" t="s">
        <v>1105</v>
      </c>
      <c r="B1711" s="2" t="s">
        <v>1123</v>
      </c>
      <c r="C1711" s="2" t="s">
        <v>54</v>
      </c>
      <c r="D1711" s="2" t="s">
        <v>1130</v>
      </c>
      <c r="E1711" s="2" t="s">
        <v>91</v>
      </c>
      <c r="F1711" s="2" t="s">
        <v>19</v>
      </c>
      <c r="G1711" s="2"/>
      <c r="H1711" s="2"/>
      <c r="I1711" s="2" t="s">
        <v>16</v>
      </c>
      <c r="J1711" s="2" t="s">
        <v>1128</v>
      </c>
    </row>
    <row r="1712" spans="1:10" x14ac:dyDescent="0.35">
      <c r="A1712" s="2" t="s">
        <v>1105</v>
      </c>
      <c r="B1712" s="2" t="s">
        <v>1123</v>
      </c>
      <c r="C1712" s="2" t="s">
        <v>54</v>
      </c>
      <c r="D1712" s="2" t="s">
        <v>1130</v>
      </c>
      <c r="E1712" s="2" t="s">
        <v>89</v>
      </c>
      <c r="F1712" s="2" t="s">
        <v>45</v>
      </c>
      <c r="G1712" s="2"/>
      <c r="H1712" s="2"/>
      <c r="I1712" s="2" t="s">
        <v>16</v>
      </c>
      <c r="J1712" s="2" t="s">
        <v>1128</v>
      </c>
    </row>
    <row r="1713" spans="1:10" x14ac:dyDescent="0.35">
      <c r="A1713" s="2" t="s">
        <v>1105</v>
      </c>
      <c r="B1713" s="2" t="s">
        <v>1123</v>
      </c>
      <c r="C1713" s="2" t="s">
        <v>54</v>
      </c>
      <c r="D1713" s="2" t="s">
        <v>1131</v>
      </c>
      <c r="E1713" s="2" t="s">
        <v>14</v>
      </c>
      <c r="F1713" s="2" t="s">
        <v>15</v>
      </c>
      <c r="G1713" s="2"/>
      <c r="H1713" s="2"/>
      <c r="I1713" s="2" t="s">
        <v>16</v>
      </c>
      <c r="J1713" s="2" t="s">
        <v>1128</v>
      </c>
    </row>
    <row r="1714" spans="1:10" x14ac:dyDescent="0.35">
      <c r="A1714" s="2" t="s">
        <v>1105</v>
      </c>
      <c r="B1714" s="2" t="s">
        <v>1123</v>
      </c>
      <c r="C1714" s="2" t="s">
        <v>54</v>
      </c>
      <c r="D1714" s="2" t="s">
        <v>1131</v>
      </c>
      <c r="E1714" s="2" t="s">
        <v>33</v>
      </c>
      <c r="F1714" s="2" t="s">
        <v>34</v>
      </c>
      <c r="G1714" s="2"/>
      <c r="H1714" s="2"/>
      <c r="I1714" s="2" t="s">
        <v>16</v>
      </c>
      <c r="J1714" s="2" t="s">
        <v>1128</v>
      </c>
    </row>
    <row r="1715" spans="1:10" x14ac:dyDescent="0.35">
      <c r="A1715" s="2" t="s">
        <v>1105</v>
      </c>
      <c r="B1715" s="2" t="s">
        <v>1123</v>
      </c>
      <c r="C1715" s="2" t="s">
        <v>54</v>
      </c>
      <c r="D1715" s="2" t="s">
        <v>1131</v>
      </c>
      <c r="E1715" s="2" t="s">
        <v>648</v>
      </c>
      <c r="F1715" s="2" t="s">
        <v>125</v>
      </c>
      <c r="G1715" s="2"/>
      <c r="H1715" s="2"/>
      <c r="I1715" s="2" t="s">
        <v>16</v>
      </c>
      <c r="J1715" s="2" t="s">
        <v>1128</v>
      </c>
    </row>
    <row r="1716" spans="1:10" x14ac:dyDescent="0.35">
      <c r="A1716" s="2" t="s">
        <v>1105</v>
      </c>
      <c r="B1716" s="2" t="s">
        <v>1123</v>
      </c>
      <c r="C1716" s="2" t="s">
        <v>54</v>
      </c>
      <c r="D1716" s="2" t="s">
        <v>1131</v>
      </c>
      <c r="E1716" s="2" t="s">
        <v>393</v>
      </c>
      <c r="F1716" s="2" t="s">
        <v>36</v>
      </c>
      <c r="G1716" s="2"/>
      <c r="H1716" s="2"/>
      <c r="I1716" s="2" t="s">
        <v>16</v>
      </c>
      <c r="J1716" s="2" t="s">
        <v>1128</v>
      </c>
    </row>
    <row r="1717" spans="1:10" x14ac:dyDescent="0.35">
      <c r="A1717" s="2" t="s">
        <v>1105</v>
      </c>
      <c r="B1717" s="2" t="s">
        <v>1123</v>
      </c>
      <c r="C1717" s="2" t="s">
        <v>54</v>
      </c>
      <c r="D1717" s="2" t="s">
        <v>1131</v>
      </c>
      <c r="E1717" s="2" t="s">
        <v>18</v>
      </c>
      <c r="F1717" s="2" t="s">
        <v>19</v>
      </c>
      <c r="G1717" s="2"/>
      <c r="H1717" s="2"/>
      <c r="I1717" s="2" t="s">
        <v>16</v>
      </c>
      <c r="J1717" s="2" t="s">
        <v>1128</v>
      </c>
    </row>
    <row r="1718" spans="1:10" x14ac:dyDescent="0.35">
      <c r="A1718" s="2" t="s">
        <v>1105</v>
      </c>
      <c r="B1718" s="2" t="s">
        <v>1123</v>
      </c>
      <c r="C1718" s="2" t="s">
        <v>54</v>
      </c>
      <c r="D1718" s="2" t="s">
        <v>1131</v>
      </c>
      <c r="E1718" s="2" t="s">
        <v>188</v>
      </c>
      <c r="F1718" s="2" t="s">
        <v>189</v>
      </c>
      <c r="G1718" s="2"/>
      <c r="H1718" s="2"/>
      <c r="I1718" s="2" t="s">
        <v>16</v>
      </c>
      <c r="J1718" s="2" t="s">
        <v>1128</v>
      </c>
    </row>
    <row r="1719" spans="1:10" x14ac:dyDescent="0.35">
      <c r="A1719" s="2" t="s">
        <v>1105</v>
      </c>
      <c r="B1719" s="2" t="s">
        <v>1123</v>
      </c>
      <c r="C1719" s="2" t="s">
        <v>54</v>
      </c>
      <c r="D1719" s="2" t="s">
        <v>1131</v>
      </c>
      <c r="E1719" s="2" t="s">
        <v>149</v>
      </c>
      <c r="F1719" s="2" t="s">
        <v>150</v>
      </c>
      <c r="G1719" s="2"/>
      <c r="H1719" s="2"/>
      <c r="I1719" s="2" t="s">
        <v>16</v>
      </c>
      <c r="J1719" s="2" t="s">
        <v>1128</v>
      </c>
    </row>
    <row r="1720" spans="1:10" x14ac:dyDescent="0.35">
      <c r="A1720" s="2" t="s">
        <v>1105</v>
      </c>
      <c r="B1720" s="2" t="s">
        <v>1123</v>
      </c>
      <c r="C1720" s="2" t="s">
        <v>62</v>
      </c>
      <c r="D1720" s="2" t="s">
        <v>1132</v>
      </c>
      <c r="E1720" s="2" t="s">
        <v>485</v>
      </c>
      <c r="F1720" s="2" t="s">
        <v>15</v>
      </c>
      <c r="G1720" s="2"/>
      <c r="H1720" s="2"/>
      <c r="I1720" s="2"/>
      <c r="J1720" s="2"/>
    </row>
    <row r="1721" spans="1:10" x14ac:dyDescent="0.35">
      <c r="A1721" s="2" t="s">
        <v>1105</v>
      </c>
      <c r="B1721" s="2" t="s">
        <v>1123</v>
      </c>
      <c r="C1721" s="2" t="s">
        <v>62</v>
      </c>
      <c r="D1721" s="2" t="s">
        <v>1132</v>
      </c>
      <c r="E1721" s="2" t="s">
        <v>625</v>
      </c>
      <c r="F1721" s="2" t="s">
        <v>38</v>
      </c>
      <c r="G1721" s="2"/>
      <c r="H1721" s="2"/>
      <c r="I1721" s="2"/>
      <c r="J1721" s="2"/>
    </row>
    <row r="1722" spans="1:10" x14ac:dyDescent="0.35">
      <c r="A1722" s="2" t="s">
        <v>1105</v>
      </c>
      <c r="B1722" s="2" t="s">
        <v>1123</v>
      </c>
      <c r="C1722" s="2" t="s">
        <v>62</v>
      </c>
      <c r="D1722" s="2" t="s">
        <v>1132</v>
      </c>
      <c r="E1722" s="2" t="s">
        <v>106</v>
      </c>
      <c r="F1722" s="2" t="s">
        <v>107</v>
      </c>
      <c r="G1722" s="2"/>
      <c r="H1722" s="2"/>
      <c r="I1722" s="2" t="s">
        <v>16</v>
      </c>
      <c r="J1722" s="2" t="s">
        <v>1110</v>
      </c>
    </row>
    <row r="1723" spans="1:10" x14ac:dyDescent="0.35">
      <c r="A1723" s="2" t="s">
        <v>1105</v>
      </c>
      <c r="B1723" s="2" t="s">
        <v>1133</v>
      </c>
      <c r="C1723" s="2" t="s">
        <v>62</v>
      </c>
      <c r="D1723" s="2" t="s">
        <v>1134</v>
      </c>
      <c r="E1723" s="2" t="s">
        <v>27</v>
      </c>
      <c r="F1723" s="2" t="s">
        <v>28</v>
      </c>
      <c r="G1723" s="2"/>
      <c r="H1723" s="2"/>
      <c r="I1723" s="2" t="s">
        <v>16</v>
      </c>
      <c r="J1723" s="2" t="s">
        <v>1110</v>
      </c>
    </row>
    <row r="1724" spans="1:10" x14ac:dyDescent="0.35">
      <c r="A1724" s="2" t="s">
        <v>1105</v>
      </c>
      <c r="B1724" s="2" t="s">
        <v>1133</v>
      </c>
      <c r="C1724" s="2" t="s">
        <v>62</v>
      </c>
      <c r="D1724" s="2" t="s">
        <v>1134</v>
      </c>
      <c r="E1724" s="2" t="s">
        <v>91</v>
      </c>
      <c r="F1724" s="2" t="s">
        <v>19</v>
      </c>
      <c r="G1724" s="2" t="s">
        <v>20</v>
      </c>
      <c r="H1724" s="2" t="s">
        <v>1135</v>
      </c>
      <c r="I1724" s="2" t="s">
        <v>16</v>
      </c>
      <c r="J1724" s="2" t="s">
        <v>1110</v>
      </c>
    </row>
    <row r="1725" spans="1:10" x14ac:dyDescent="0.35">
      <c r="A1725" s="2" t="s">
        <v>1105</v>
      </c>
      <c r="B1725" s="2" t="s">
        <v>1133</v>
      </c>
      <c r="C1725" s="2" t="s">
        <v>62</v>
      </c>
      <c r="D1725" s="2" t="s">
        <v>1134</v>
      </c>
      <c r="E1725" s="2" t="s">
        <v>61</v>
      </c>
      <c r="F1725" s="2" t="s">
        <v>30</v>
      </c>
      <c r="G1725" s="2"/>
      <c r="H1725" s="2"/>
      <c r="I1725" s="2" t="s">
        <v>16</v>
      </c>
      <c r="J1725" s="2" t="s">
        <v>1110</v>
      </c>
    </row>
    <row r="1726" spans="1:10" x14ac:dyDescent="0.35">
      <c r="A1726" s="2" t="s">
        <v>1105</v>
      </c>
      <c r="B1726" s="2" t="s">
        <v>1133</v>
      </c>
      <c r="C1726" s="2" t="s">
        <v>57</v>
      </c>
      <c r="D1726" s="2" t="s">
        <v>1136</v>
      </c>
      <c r="E1726" s="2" t="s">
        <v>27</v>
      </c>
      <c r="F1726" s="2" t="s">
        <v>28</v>
      </c>
      <c r="G1726" s="2" t="s">
        <v>20</v>
      </c>
      <c r="H1726" s="2" t="s">
        <v>1137</v>
      </c>
      <c r="I1726" s="2" t="s">
        <v>16</v>
      </c>
      <c r="J1726" s="2" t="s">
        <v>1138</v>
      </c>
    </row>
    <row r="1727" spans="1:10" x14ac:dyDescent="0.35">
      <c r="A1727" s="2" t="s">
        <v>1105</v>
      </c>
      <c r="B1727" s="2" t="s">
        <v>1133</v>
      </c>
      <c r="C1727" s="2" t="s">
        <v>57</v>
      </c>
      <c r="D1727" s="2" t="s">
        <v>1136</v>
      </c>
      <c r="E1727" s="2" t="s">
        <v>1139</v>
      </c>
      <c r="F1727" s="2" t="s">
        <v>60</v>
      </c>
      <c r="G1727" s="2"/>
      <c r="H1727" s="2"/>
      <c r="I1727" s="2" t="s">
        <v>16</v>
      </c>
      <c r="J1727" s="2" t="s">
        <v>1138</v>
      </c>
    </row>
    <row r="1728" spans="1:10" x14ac:dyDescent="0.35">
      <c r="A1728" s="2" t="s">
        <v>1105</v>
      </c>
      <c r="B1728" s="2" t="s">
        <v>1133</v>
      </c>
      <c r="C1728" s="2" t="s">
        <v>57</v>
      </c>
      <c r="D1728" s="2" t="s">
        <v>1136</v>
      </c>
      <c r="E1728" s="2" t="s">
        <v>176</v>
      </c>
      <c r="F1728" s="2" t="s">
        <v>40</v>
      </c>
      <c r="G1728" s="2"/>
      <c r="H1728" s="2"/>
      <c r="I1728" s="2" t="s">
        <v>16</v>
      </c>
      <c r="J1728" s="2" t="s">
        <v>1138</v>
      </c>
    </row>
    <row r="1729" spans="1:10" x14ac:dyDescent="0.35">
      <c r="A1729" s="2" t="s">
        <v>1105</v>
      </c>
      <c r="B1729" s="2" t="s">
        <v>1133</v>
      </c>
      <c r="C1729" s="2" t="s">
        <v>57</v>
      </c>
      <c r="D1729" s="2" t="s">
        <v>1136</v>
      </c>
      <c r="E1729" s="2" t="s">
        <v>188</v>
      </c>
      <c r="F1729" s="2" t="s">
        <v>189</v>
      </c>
      <c r="G1729" s="2" t="s">
        <v>20</v>
      </c>
      <c r="H1729" s="2" t="s">
        <v>1140</v>
      </c>
      <c r="I1729" s="2" t="s">
        <v>16</v>
      </c>
      <c r="J1729" s="2" t="s">
        <v>1138</v>
      </c>
    </row>
    <row r="1730" spans="1:10" x14ac:dyDescent="0.35">
      <c r="A1730" s="2" t="s">
        <v>1105</v>
      </c>
      <c r="B1730" s="2" t="s">
        <v>1133</v>
      </c>
      <c r="C1730" s="2" t="s">
        <v>54</v>
      </c>
      <c r="D1730" s="2" t="s">
        <v>1141</v>
      </c>
      <c r="E1730" s="2" t="s">
        <v>14</v>
      </c>
      <c r="F1730" s="2" t="s">
        <v>15</v>
      </c>
      <c r="G1730" s="2"/>
      <c r="H1730" s="2"/>
      <c r="I1730" s="2" t="s">
        <v>16</v>
      </c>
      <c r="J1730" s="2" t="s">
        <v>1138</v>
      </c>
    </row>
    <row r="1731" spans="1:10" x14ac:dyDescent="0.35">
      <c r="A1731" s="2" t="s">
        <v>1105</v>
      </c>
      <c r="B1731" s="2" t="s">
        <v>1133</v>
      </c>
      <c r="C1731" s="2" t="s">
        <v>54</v>
      </c>
      <c r="D1731" s="2" t="s">
        <v>1141</v>
      </c>
      <c r="E1731" s="2" t="s">
        <v>27</v>
      </c>
      <c r="F1731" s="2" t="s">
        <v>28</v>
      </c>
      <c r="G1731" s="2"/>
      <c r="H1731" s="2"/>
      <c r="I1731" s="2" t="s">
        <v>16</v>
      </c>
      <c r="J1731" s="2" t="s">
        <v>1138</v>
      </c>
    </row>
    <row r="1732" spans="1:10" x14ac:dyDescent="0.35">
      <c r="A1732" s="2" t="s">
        <v>1105</v>
      </c>
      <c r="B1732" s="2" t="s">
        <v>1133</v>
      </c>
      <c r="C1732" s="2" t="s">
        <v>54</v>
      </c>
      <c r="D1732" s="2" t="s">
        <v>1141</v>
      </c>
      <c r="E1732" s="2" t="s">
        <v>393</v>
      </c>
      <c r="F1732" s="2" t="s">
        <v>36</v>
      </c>
      <c r="G1732" s="2"/>
      <c r="H1732" s="2"/>
      <c r="I1732" s="2" t="s">
        <v>16</v>
      </c>
      <c r="J1732" s="2" t="s">
        <v>1138</v>
      </c>
    </row>
    <row r="1733" spans="1:10" x14ac:dyDescent="0.35">
      <c r="A1733" s="2" t="s">
        <v>1105</v>
      </c>
      <c r="B1733" s="2" t="s">
        <v>1133</v>
      </c>
      <c r="C1733" s="2" t="s">
        <v>54</v>
      </c>
      <c r="D1733" s="2" t="s">
        <v>1141</v>
      </c>
      <c r="E1733" s="2" t="s">
        <v>18</v>
      </c>
      <c r="F1733" s="2" t="s">
        <v>19</v>
      </c>
      <c r="G1733" s="2" t="s">
        <v>20</v>
      </c>
      <c r="H1733" s="2" t="s">
        <v>1142</v>
      </c>
      <c r="I1733" s="2" t="s">
        <v>16</v>
      </c>
      <c r="J1733" s="2" t="s">
        <v>1138</v>
      </c>
    </row>
    <row r="1734" spans="1:10" x14ac:dyDescent="0.35">
      <c r="A1734" s="2" t="s">
        <v>1105</v>
      </c>
      <c r="B1734" s="2" t="s">
        <v>1143</v>
      </c>
      <c r="C1734" s="2" t="s">
        <v>57</v>
      </c>
      <c r="D1734" s="2" t="s">
        <v>1144</v>
      </c>
      <c r="E1734" s="2" t="s">
        <v>14</v>
      </c>
      <c r="F1734" s="2" t="s">
        <v>15</v>
      </c>
      <c r="G1734" s="2"/>
      <c r="H1734" s="2"/>
      <c r="I1734" s="2"/>
      <c r="J1734" s="2"/>
    </row>
    <row r="1735" spans="1:10" x14ac:dyDescent="0.35">
      <c r="A1735" s="2" t="s">
        <v>1105</v>
      </c>
      <c r="B1735" s="2" t="s">
        <v>1143</v>
      </c>
      <c r="C1735" s="2" t="s">
        <v>57</v>
      </c>
      <c r="D1735" s="2" t="s">
        <v>1144</v>
      </c>
      <c r="E1735" s="2" t="s">
        <v>1145</v>
      </c>
      <c r="F1735" s="2" t="s">
        <v>15</v>
      </c>
      <c r="G1735" s="2"/>
      <c r="H1735" s="2"/>
      <c r="I1735" s="2"/>
      <c r="J1735" s="2"/>
    </row>
    <row r="1736" spans="1:10" x14ac:dyDescent="0.35">
      <c r="A1736" s="2" t="s">
        <v>1105</v>
      </c>
      <c r="B1736" s="2" t="s">
        <v>1143</v>
      </c>
      <c r="C1736" s="2" t="s">
        <v>57</v>
      </c>
      <c r="D1736" s="2" t="s">
        <v>1144</v>
      </c>
      <c r="E1736" s="2" t="s">
        <v>18</v>
      </c>
      <c r="F1736" s="2" t="s">
        <v>19</v>
      </c>
      <c r="G1736" s="2" t="s">
        <v>20</v>
      </c>
      <c r="H1736" s="2" t="s">
        <v>1146</v>
      </c>
      <c r="I1736" s="2"/>
      <c r="J1736" s="2"/>
    </row>
    <row r="1737" spans="1:10" x14ac:dyDescent="0.35">
      <c r="A1737" s="2" t="s">
        <v>1105</v>
      </c>
      <c r="B1737" s="2" t="s">
        <v>1143</v>
      </c>
      <c r="C1737" s="2" t="s">
        <v>57</v>
      </c>
      <c r="D1737" s="2" t="s">
        <v>1144</v>
      </c>
      <c r="E1737" s="2" t="s">
        <v>149</v>
      </c>
      <c r="F1737" s="2" t="s">
        <v>150</v>
      </c>
      <c r="G1737" s="2"/>
      <c r="H1737" s="2"/>
      <c r="I1737" s="2"/>
      <c r="J1737" s="2"/>
    </row>
    <row r="1738" spans="1:10" x14ac:dyDescent="0.35">
      <c r="A1738" s="2" t="s">
        <v>1105</v>
      </c>
      <c r="B1738" s="2" t="s">
        <v>1147</v>
      </c>
      <c r="C1738" s="2" t="s">
        <v>24</v>
      </c>
      <c r="D1738" s="2" t="s">
        <v>1148</v>
      </c>
      <c r="E1738" s="2" t="s">
        <v>27</v>
      </c>
      <c r="F1738" s="2" t="s">
        <v>28</v>
      </c>
      <c r="G1738" s="2" t="s">
        <v>20</v>
      </c>
      <c r="H1738" s="2" t="s">
        <v>1149</v>
      </c>
      <c r="I1738" s="2" t="s">
        <v>16</v>
      </c>
      <c r="J1738" s="2" t="s">
        <v>1138</v>
      </c>
    </row>
    <row r="1739" spans="1:10" x14ac:dyDescent="0.35">
      <c r="A1739" s="2" t="s">
        <v>1105</v>
      </c>
      <c r="B1739" s="2" t="s">
        <v>1147</v>
      </c>
      <c r="C1739" s="2" t="s">
        <v>24</v>
      </c>
      <c r="D1739" s="2" t="s">
        <v>1148</v>
      </c>
      <c r="E1739" s="2" t="s">
        <v>1150</v>
      </c>
      <c r="F1739" s="2" t="s">
        <v>45</v>
      </c>
      <c r="G1739" s="2" t="s">
        <v>20</v>
      </c>
      <c r="H1739" s="2" t="s">
        <v>1151</v>
      </c>
      <c r="I1739" s="2" t="s">
        <v>16</v>
      </c>
      <c r="J1739" s="2" t="s">
        <v>1138</v>
      </c>
    </row>
    <row r="1740" spans="1:10" x14ac:dyDescent="0.35">
      <c r="A1740" s="2" t="s">
        <v>1105</v>
      </c>
      <c r="B1740" s="2" t="s">
        <v>1147</v>
      </c>
      <c r="C1740" s="2" t="s">
        <v>24</v>
      </c>
      <c r="D1740" s="2" t="s">
        <v>1152</v>
      </c>
      <c r="E1740" s="2" t="s">
        <v>74</v>
      </c>
      <c r="F1740" s="2" t="s">
        <v>75</v>
      </c>
      <c r="G1740" s="2" t="s">
        <v>20</v>
      </c>
      <c r="H1740" s="2" t="s">
        <v>1153</v>
      </c>
      <c r="I1740" s="2" t="s">
        <v>16</v>
      </c>
      <c r="J1740" s="2" t="s">
        <v>1138</v>
      </c>
    </row>
    <row r="1741" spans="1:10" x14ac:dyDescent="0.35">
      <c r="A1741" s="2" t="s">
        <v>1105</v>
      </c>
      <c r="B1741" s="2" t="s">
        <v>1147</v>
      </c>
      <c r="C1741" s="2" t="s">
        <v>24</v>
      </c>
      <c r="D1741" s="2" t="s">
        <v>1152</v>
      </c>
      <c r="E1741" s="2" t="s">
        <v>27</v>
      </c>
      <c r="F1741" s="2" t="s">
        <v>28</v>
      </c>
      <c r="G1741" s="2"/>
      <c r="H1741" s="2"/>
      <c r="I1741" s="2" t="s">
        <v>16</v>
      </c>
      <c r="J1741" s="2" t="s">
        <v>1138</v>
      </c>
    </row>
    <row r="1742" spans="1:10" x14ac:dyDescent="0.35">
      <c r="A1742" s="2" t="s">
        <v>1105</v>
      </c>
      <c r="B1742" s="2" t="s">
        <v>1147</v>
      </c>
      <c r="C1742" s="2" t="s">
        <v>24</v>
      </c>
      <c r="D1742" s="2" t="s">
        <v>1152</v>
      </c>
      <c r="E1742" s="2" t="s">
        <v>35</v>
      </c>
      <c r="F1742" s="2" t="s">
        <v>36</v>
      </c>
      <c r="G1742" s="2"/>
      <c r="H1742" s="2"/>
      <c r="I1742" s="2" t="s">
        <v>16</v>
      </c>
      <c r="J1742" s="2" t="s">
        <v>1138</v>
      </c>
    </row>
    <row r="1743" spans="1:10" x14ac:dyDescent="0.35">
      <c r="A1743" s="2" t="s">
        <v>1105</v>
      </c>
      <c r="B1743" s="2" t="s">
        <v>1147</v>
      </c>
      <c r="C1743" s="2" t="s">
        <v>62</v>
      </c>
      <c r="D1743" s="2" t="s">
        <v>1154</v>
      </c>
      <c r="E1743" s="2" t="s">
        <v>27</v>
      </c>
      <c r="F1743" s="2" t="s">
        <v>28</v>
      </c>
      <c r="G1743" s="2" t="s">
        <v>20</v>
      </c>
      <c r="H1743" s="2" t="s">
        <v>1155</v>
      </c>
      <c r="I1743" s="2" t="s">
        <v>16</v>
      </c>
      <c r="J1743" s="2" t="s">
        <v>1138</v>
      </c>
    </row>
    <row r="1744" spans="1:10" x14ac:dyDescent="0.35">
      <c r="A1744" s="2" t="s">
        <v>1105</v>
      </c>
      <c r="B1744" s="2" t="s">
        <v>1147</v>
      </c>
      <c r="C1744" s="2" t="s">
        <v>62</v>
      </c>
      <c r="D1744" s="2" t="s">
        <v>1154</v>
      </c>
      <c r="E1744" s="2" t="s">
        <v>35</v>
      </c>
      <c r="F1744" s="2" t="s">
        <v>36</v>
      </c>
      <c r="G1744" s="2"/>
      <c r="H1744" s="2"/>
      <c r="I1744" s="2" t="s">
        <v>16</v>
      </c>
      <c r="J1744" s="2" t="s">
        <v>1138</v>
      </c>
    </row>
    <row r="1745" spans="1:10" s="20" customFormat="1" x14ac:dyDescent="0.35">
      <c r="A1745" s="2" t="s">
        <v>1105</v>
      </c>
      <c r="B1745" s="2" t="s">
        <v>1147</v>
      </c>
      <c r="C1745" s="2" t="s">
        <v>24</v>
      </c>
      <c r="D1745" s="2" t="s">
        <v>1156</v>
      </c>
      <c r="E1745" s="2" t="s">
        <v>74</v>
      </c>
      <c r="F1745" s="2" t="s">
        <v>75</v>
      </c>
      <c r="G1745" s="2" t="s">
        <v>20</v>
      </c>
      <c r="H1745" s="2" t="s">
        <v>1157</v>
      </c>
      <c r="I1745" s="2"/>
      <c r="J1745" s="2"/>
    </row>
    <row r="1746" spans="1:10" s="20" customFormat="1" x14ac:dyDescent="0.35">
      <c r="A1746" s="2" t="s">
        <v>1105</v>
      </c>
      <c r="B1746" s="2" t="s">
        <v>1147</v>
      </c>
      <c r="C1746" s="2" t="s">
        <v>24</v>
      </c>
      <c r="D1746" s="2" t="s">
        <v>1156</v>
      </c>
      <c r="E1746" s="16" t="s">
        <v>14</v>
      </c>
      <c r="F1746" s="2" t="s">
        <v>15</v>
      </c>
      <c r="G1746" s="2"/>
      <c r="H1746" s="2"/>
      <c r="I1746" s="2" t="s">
        <v>20</v>
      </c>
      <c r="J1746" s="2" t="s">
        <v>1110</v>
      </c>
    </row>
    <row r="1747" spans="1:10" s="20" customFormat="1" x14ac:dyDescent="0.35">
      <c r="A1747" s="2" t="s">
        <v>1105</v>
      </c>
      <c r="B1747" s="2" t="s">
        <v>1147</v>
      </c>
      <c r="C1747" s="2" t="s">
        <v>24</v>
      </c>
      <c r="D1747" s="2" t="s">
        <v>1156</v>
      </c>
      <c r="E1747" s="16" t="s">
        <v>82</v>
      </c>
      <c r="F1747" s="2" t="s">
        <v>83</v>
      </c>
      <c r="G1747" s="2"/>
      <c r="H1747" s="2"/>
      <c r="I1747" s="2"/>
      <c r="J1747" s="2"/>
    </row>
    <row r="1748" spans="1:10" s="20" customFormat="1" x14ac:dyDescent="0.35">
      <c r="A1748" s="2" t="s">
        <v>1105</v>
      </c>
      <c r="B1748" s="2" t="s">
        <v>1147</v>
      </c>
      <c r="C1748" s="2" t="s">
        <v>24</v>
      </c>
      <c r="D1748" s="2" t="s">
        <v>1156</v>
      </c>
      <c r="E1748" s="16" t="s">
        <v>35</v>
      </c>
      <c r="F1748" s="2" t="s">
        <v>36</v>
      </c>
      <c r="G1748" s="2"/>
      <c r="H1748" s="2"/>
      <c r="I1748" s="2"/>
      <c r="J1748" s="2"/>
    </row>
    <row r="1749" spans="1:10" s="20" customFormat="1" x14ac:dyDescent="0.35">
      <c r="A1749" s="2" t="s">
        <v>1105</v>
      </c>
      <c r="B1749" s="2" t="s">
        <v>1147</v>
      </c>
      <c r="C1749" s="2" t="s">
        <v>24</v>
      </c>
      <c r="D1749" s="2" t="s">
        <v>1156</v>
      </c>
      <c r="E1749" s="16" t="s">
        <v>77</v>
      </c>
      <c r="F1749" s="2" t="s">
        <v>78</v>
      </c>
      <c r="G1749" s="2"/>
      <c r="H1749" s="2"/>
      <c r="I1749" s="2"/>
      <c r="J1749" s="2"/>
    </row>
    <row r="1750" spans="1:10" s="20" customFormat="1" x14ac:dyDescent="0.35">
      <c r="A1750" s="2" t="s">
        <v>1105</v>
      </c>
      <c r="B1750" s="2" t="s">
        <v>1147</v>
      </c>
      <c r="C1750" s="2" t="s">
        <v>24</v>
      </c>
      <c r="D1750" s="2" t="s">
        <v>1156</v>
      </c>
      <c r="E1750" s="16" t="s">
        <v>18</v>
      </c>
      <c r="F1750" s="2" t="s">
        <v>19</v>
      </c>
      <c r="G1750" s="2" t="s">
        <v>20</v>
      </c>
      <c r="H1750" s="2" t="s">
        <v>1129</v>
      </c>
      <c r="I1750" s="2" t="s">
        <v>20</v>
      </c>
      <c r="J1750" s="2" t="s">
        <v>1110</v>
      </c>
    </row>
    <row r="1751" spans="1:10" s="20" customFormat="1" x14ac:dyDescent="0.35">
      <c r="A1751" s="2" t="s">
        <v>1105</v>
      </c>
      <c r="B1751" s="2" t="s">
        <v>1147</v>
      </c>
      <c r="C1751" s="2" t="s">
        <v>24</v>
      </c>
      <c r="D1751" s="2" t="s">
        <v>1156</v>
      </c>
      <c r="E1751" s="16" t="s">
        <v>61</v>
      </c>
      <c r="F1751" s="2" t="s">
        <v>30</v>
      </c>
      <c r="G1751" s="2"/>
      <c r="H1751" s="2"/>
      <c r="I1751" s="2"/>
      <c r="J1751" s="2"/>
    </row>
    <row r="1752" spans="1:10" x14ac:dyDescent="0.35">
      <c r="A1752" s="2" t="s">
        <v>1105</v>
      </c>
      <c r="B1752" s="2" t="s">
        <v>1158</v>
      </c>
      <c r="C1752" s="2" t="s">
        <v>24</v>
      </c>
      <c r="D1752" s="2" t="s">
        <v>1159</v>
      </c>
      <c r="E1752" s="2" t="s">
        <v>14</v>
      </c>
      <c r="F1752" s="2" t="s">
        <v>15</v>
      </c>
      <c r="G1752" s="2"/>
      <c r="H1752" s="2"/>
      <c r="I1752" s="2" t="s">
        <v>16</v>
      </c>
      <c r="J1752" s="2" t="s">
        <v>1110</v>
      </c>
    </row>
    <row r="1753" spans="1:10" x14ac:dyDescent="0.35">
      <c r="A1753" s="2" t="s">
        <v>1105</v>
      </c>
      <c r="B1753" s="2" t="s">
        <v>1158</v>
      </c>
      <c r="C1753" s="2" t="s">
        <v>24</v>
      </c>
      <c r="D1753" s="2" t="s">
        <v>1159</v>
      </c>
      <c r="E1753" s="2" t="s">
        <v>27</v>
      </c>
      <c r="F1753" s="2" t="s">
        <v>28</v>
      </c>
      <c r="G1753" s="2" t="s">
        <v>20</v>
      </c>
      <c r="H1753" s="2" t="s">
        <v>1160</v>
      </c>
      <c r="I1753" s="2" t="s">
        <v>16</v>
      </c>
      <c r="J1753" s="2" t="s">
        <v>1110</v>
      </c>
    </row>
    <row r="1754" spans="1:10" x14ac:dyDescent="0.35">
      <c r="A1754" s="2" t="s">
        <v>1105</v>
      </c>
      <c r="B1754" s="2" t="s">
        <v>1158</v>
      </c>
      <c r="C1754" s="2" t="s">
        <v>24</v>
      </c>
      <c r="D1754" s="2" t="s">
        <v>1159</v>
      </c>
      <c r="E1754" s="2" t="s">
        <v>82</v>
      </c>
      <c r="F1754" s="2" t="s">
        <v>83</v>
      </c>
      <c r="G1754" s="2" t="s">
        <v>20</v>
      </c>
      <c r="H1754" s="2" t="s">
        <v>1161</v>
      </c>
      <c r="I1754" s="2" t="s">
        <v>16</v>
      </c>
      <c r="J1754" s="2" t="s">
        <v>1110</v>
      </c>
    </row>
    <row r="1755" spans="1:10" x14ac:dyDescent="0.35">
      <c r="A1755" s="2" t="s">
        <v>1105</v>
      </c>
      <c r="B1755" s="2" t="s">
        <v>1158</v>
      </c>
      <c r="C1755" s="2" t="s">
        <v>24</v>
      </c>
      <c r="D1755" s="2" t="s">
        <v>1159</v>
      </c>
      <c r="E1755" s="2" t="s">
        <v>49</v>
      </c>
      <c r="F1755" s="2" t="s">
        <v>50</v>
      </c>
      <c r="G1755" s="2"/>
      <c r="H1755" s="2"/>
      <c r="I1755" s="2" t="s">
        <v>16</v>
      </c>
      <c r="J1755" s="2" t="s">
        <v>1110</v>
      </c>
    </row>
    <row r="1756" spans="1:10" x14ac:dyDescent="0.35">
      <c r="A1756" s="2" t="s">
        <v>1105</v>
      </c>
      <c r="B1756" s="2" t="s">
        <v>1158</v>
      </c>
      <c r="C1756" s="2" t="s">
        <v>24</v>
      </c>
      <c r="D1756" s="2" t="s">
        <v>1159</v>
      </c>
      <c r="E1756" s="2" t="s">
        <v>89</v>
      </c>
      <c r="F1756" s="2" t="s">
        <v>45</v>
      </c>
      <c r="G1756" s="2"/>
      <c r="H1756" s="2"/>
      <c r="I1756" s="2" t="s">
        <v>16</v>
      </c>
      <c r="J1756" s="2" t="s">
        <v>1110</v>
      </c>
    </row>
    <row r="1757" spans="1:10" x14ac:dyDescent="0.35">
      <c r="A1757" s="2" t="s">
        <v>1105</v>
      </c>
      <c r="B1757" s="2" t="s">
        <v>1158</v>
      </c>
      <c r="C1757" s="2" t="s">
        <v>57</v>
      </c>
      <c r="D1757" s="2" t="s">
        <v>1162</v>
      </c>
      <c r="E1757" s="2" t="s">
        <v>14</v>
      </c>
      <c r="F1757" s="2" t="s">
        <v>15</v>
      </c>
      <c r="G1757" s="2"/>
      <c r="H1757" s="2"/>
      <c r="I1757" s="2"/>
      <c r="J1757" s="2"/>
    </row>
    <row r="1758" spans="1:10" x14ac:dyDescent="0.35">
      <c r="A1758" s="2" t="s">
        <v>1105</v>
      </c>
      <c r="B1758" s="2" t="s">
        <v>1158</v>
      </c>
      <c r="C1758" s="2" t="s">
        <v>57</v>
      </c>
      <c r="D1758" s="2" t="s">
        <v>1162</v>
      </c>
      <c r="E1758" s="2" t="s">
        <v>27</v>
      </c>
      <c r="F1758" s="2" t="s">
        <v>28</v>
      </c>
      <c r="G1758" s="2"/>
      <c r="H1758" s="2"/>
      <c r="I1758" s="2"/>
      <c r="J1758" s="2"/>
    </row>
    <row r="1759" spans="1:10" x14ac:dyDescent="0.35">
      <c r="A1759" s="2" t="s">
        <v>1105</v>
      </c>
      <c r="B1759" s="2" t="s">
        <v>1158</v>
      </c>
      <c r="C1759" s="2" t="s">
        <v>57</v>
      </c>
      <c r="D1759" s="2" t="s">
        <v>1162</v>
      </c>
      <c r="E1759" s="2" t="s">
        <v>1163</v>
      </c>
      <c r="F1759" s="2" t="s">
        <v>201</v>
      </c>
      <c r="G1759" s="2"/>
      <c r="H1759" s="2"/>
      <c r="I1759" s="2"/>
      <c r="J1759" s="2"/>
    </row>
    <row r="1760" spans="1:10" x14ac:dyDescent="0.35">
      <c r="A1760" s="2" t="s">
        <v>1105</v>
      </c>
      <c r="B1760" s="2" t="s">
        <v>1158</v>
      </c>
      <c r="C1760" s="2" t="s">
        <v>57</v>
      </c>
      <c r="D1760" s="2" t="s">
        <v>1162</v>
      </c>
      <c r="E1760" s="2" t="s">
        <v>91</v>
      </c>
      <c r="F1760" s="2" t="s">
        <v>19</v>
      </c>
      <c r="G1760" s="2"/>
      <c r="H1760" s="2"/>
      <c r="I1760" s="2"/>
      <c r="J1760" s="2"/>
    </row>
    <row r="1761" spans="1:10" x14ac:dyDescent="0.35">
      <c r="A1761" s="2" t="s">
        <v>1105</v>
      </c>
      <c r="B1761" s="2" t="s">
        <v>1158</v>
      </c>
      <c r="C1761" s="2" t="s">
        <v>57</v>
      </c>
      <c r="D1761" s="2" t="s">
        <v>1162</v>
      </c>
      <c r="E1761" s="2" t="s">
        <v>258</v>
      </c>
      <c r="F1761" s="2" t="s">
        <v>259</v>
      </c>
      <c r="G1761" s="2"/>
      <c r="H1761" s="2"/>
      <c r="I1761" s="2"/>
      <c r="J1761" s="2"/>
    </row>
    <row r="1762" spans="1:10" x14ac:dyDescent="0.35">
      <c r="A1762" s="2" t="s">
        <v>1105</v>
      </c>
      <c r="B1762" s="2" t="s">
        <v>1158</v>
      </c>
      <c r="C1762" s="2" t="s">
        <v>62</v>
      </c>
      <c r="D1762" s="2" t="s">
        <v>1164</v>
      </c>
      <c r="E1762" s="2" t="s">
        <v>82</v>
      </c>
      <c r="F1762" s="2" t="s">
        <v>83</v>
      </c>
      <c r="G1762" s="2"/>
      <c r="H1762" s="2"/>
      <c r="I1762" s="2"/>
      <c r="J1762" s="2"/>
    </row>
    <row r="1763" spans="1:10" x14ac:dyDescent="0.35">
      <c r="A1763" s="2" t="s">
        <v>1105</v>
      </c>
      <c r="B1763" s="2" t="s">
        <v>1165</v>
      </c>
      <c r="C1763" s="2" t="s">
        <v>57</v>
      </c>
      <c r="D1763" s="2" t="s">
        <v>1166</v>
      </c>
      <c r="E1763" s="2" t="s">
        <v>27</v>
      </c>
      <c r="F1763" s="2" t="s">
        <v>28</v>
      </c>
      <c r="G1763" s="2" t="s">
        <v>20</v>
      </c>
      <c r="H1763" s="2" t="s">
        <v>1167</v>
      </c>
      <c r="I1763" s="2"/>
      <c r="J1763" s="2"/>
    </row>
    <row r="1764" spans="1:10" x14ac:dyDescent="0.35">
      <c r="A1764" s="2" t="s">
        <v>1105</v>
      </c>
      <c r="B1764" s="2" t="s">
        <v>1165</v>
      </c>
      <c r="C1764" s="2" t="s">
        <v>57</v>
      </c>
      <c r="D1764" s="2" t="s">
        <v>1166</v>
      </c>
      <c r="E1764" s="2" t="s">
        <v>1139</v>
      </c>
      <c r="F1764" s="2" t="s">
        <v>60</v>
      </c>
      <c r="G1764" s="2"/>
      <c r="H1764" s="2"/>
      <c r="I1764" s="2"/>
      <c r="J1764" s="2"/>
    </row>
    <row r="1765" spans="1:10" x14ac:dyDescent="0.35">
      <c r="A1765" s="2" t="s">
        <v>1105</v>
      </c>
      <c r="B1765" s="2" t="s">
        <v>1165</v>
      </c>
      <c r="C1765" s="2" t="s">
        <v>57</v>
      </c>
      <c r="D1765" s="2" t="s">
        <v>1166</v>
      </c>
      <c r="E1765" s="2" t="s">
        <v>291</v>
      </c>
      <c r="F1765" s="2" t="s">
        <v>139</v>
      </c>
      <c r="G1765" s="2" t="s">
        <v>20</v>
      </c>
      <c r="H1765" s="2" t="s">
        <v>1168</v>
      </c>
      <c r="I1765" s="2"/>
      <c r="J1765" s="2"/>
    </row>
    <row r="1766" spans="1:10" x14ac:dyDescent="0.35">
      <c r="A1766" s="2" t="s">
        <v>1105</v>
      </c>
      <c r="B1766" s="2" t="s">
        <v>1165</v>
      </c>
      <c r="C1766" s="2" t="s">
        <v>62</v>
      </c>
      <c r="D1766" s="2" t="s">
        <v>1169</v>
      </c>
      <c r="E1766" s="2" t="s">
        <v>14</v>
      </c>
      <c r="F1766" s="2" t="s">
        <v>15</v>
      </c>
      <c r="G1766" s="2"/>
      <c r="H1766" s="2"/>
      <c r="I1766" s="2"/>
      <c r="J1766" s="2"/>
    </row>
    <row r="1767" spans="1:10" x14ac:dyDescent="0.35">
      <c r="A1767" s="2" t="s">
        <v>1105</v>
      </c>
      <c r="B1767" s="2" t="s">
        <v>1165</v>
      </c>
      <c r="C1767" s="2" t="s">
        <v>62</v>
      </c>
      <c r="D1767" s="2" t="s">
        <v>1169</v>
      </c>
      <c r="E1767" s="2" t="s">
        <v>291</v>
      </c>
      <c r="F1767" s="2" t="s">
        <v>139</v>
      </c>
      <c r="G1767" s="2"/>
      <c r="H1767" s="2"/>
      <c r="I1767" s="2"/>
      <c r="J1767" s="2"/>
    </row>
    <row r="1768" spans="1:10" x14ac:dyDescent="0.35">
      <c r="A1768" s="2" t="s">
        <v>1105</v>
      </c>
      <c r="B1768" s="2" t="s">
        <v>1165</v>
      </c>
      <c r="C1768" s="2" t="s">
        <v>62</v>
      </c>
      <c r="D1768" s="2" t="s">
        <v>1169</v>
      </c>
      <c r="E1768" s="2" t="s">
        <v>1170</v>
      </c>
      <c r="F1768" s="2" t="s">
        <v>19</v>
      </c>
      <c r="G1768" s="2"/>
      <c r="H1768" s="2"/>
      <c r="I1768" s="2"/>
      <c r="J1768" s="2"/>
    </row>
    <row r="1769" spans="1:10" x14ac:dyDescent="0.35">
      <c r="A1769" s="2" t="s">
        <v>1105</v>
      </c>
      <c r="B1769" s="2" t="s">
        <v>1165</v>
      </c>
      <c r="C1769" s="2" t="s">
        <v>62</v>
      </c>
      <c r="D1769" s="2" t="s">
        <v>1169</v>
      </c>
      <c r="E1769" s="2" t="s">
        <v>87</v>
      </c>
      <c r="F1769" s="2" t="s">
        <v>75</v>
      </c>
      <c r="G1769" s="2"/>
      <c r="H1769" s="2"/>
      <c r="I1769" s="2"/>
      <c r="J1769" s="2"/>
    </row>
    <row r="1770" spans="1:10" x14ac:dyDescent="0.35">
      <c r="A1770" s="2" t="s">
        <v>1105</v>
      </c>
      <c r="B1770" s="2" t="s">
        <v>1165</v>
      </c>
      <c r="C1770" s="2" t="s">
        <v>24</v>
      </c>
      <c r="D1770" s="2" t="s">
        <v>1171</v>
      </c>
      <c r="E1770" s="2" t="s">
        <v>1172</v>
      </c>
      <c r="F1770" s="2" t="s">
        <v>107</v>
      </c>
      <c r="G1770" s="2"/>
      <c r="H1770" s="2"/>
      <c r="I1770" s="2"/>
      <c r="J1770" s="2"/>
    </row>
    <row r="1771" spans="1:10" x14ac:dyDescent="0.35">
      <c r="A1771" s="2" t="s">
        <v>1105</v>
      </c>
      <c r="B1771" s="2" t="s">
        <v>1165</v>
      </c>
      <c r="C1771" s="2" t="s">
        <v>24</v>
      </c>
      <c r="D1771" s="2" t="s">
        <v>1171</v>
      </c>
      <c r="E1771" s="2" t="s">
        <v>31</v>
      </c>
      <c r="F1771" s="2" t="s">
        <v>32</v>
      </c>
      <c r="G1771" s="2"/>
      <c r="H1771" s="2"/>
      <c r="I1771" s="2"/>
      <c r="J1771" s="2"/>
    </row>
    <row r="1772" spans="1:10" x14ac:dyDescent="0.35">
      <c r="A1772" s="2" t="s">
        <v>1105</v>
      </c>
      <c r="B1772" s="2" t="s">
        <v>1165</v>
      </c>
      <c r="C1772" s="2" t="s">
        <v>24</v>
      </c>
      <c r="D1772" s="2" t="s">
        <v>1171</v>
      </c>
      <c r="E1772" s="2" t="s">
        <v>649</v>
      </c>
      <c r="F1772" s="2" t="s">
        <v>363</v>
      </c>
      <c r="G1772" s="2"/>
      <c r="H1772" s="2"/>
      <c r="I1772" s="2"/>
      <c r="J1772" s="2"/>
    </row>
    <row r="1773" spans="1:10" x14ac:dyDescent="0.35">
      <c r="A1773" s="2" t="s">
        <v>1105</v>
      </c>
      <c r="B1773" s="2" t="s">
        <v>1165</v>
      </c>
      <c r="C1773" s="2" t="s">
        <v>24</v>
      </c>
      <c r="D1773" s="2" t="s">
        <v>1171</v>
      </c>
      <c r="E1773" s="2" t="s">
        <v>87</v>
      </c>
      <c r="F1773" s="2" t="s">
        <v>75</v>
      </c>
      <c r="G1773" s="2" t="s">
        <v>46</v>
      </c>
      <c r="H1773" s="2" t="s">
        <v>451</v>
      </c>
      <c r="I1773" s="2"/>
      <c r="J1773" s="2"/>
    </row>
    <row r="1774" spans="1:10" x14ac:dyDescent="0.35">
      <c r="A1774" s="2" t="s">
        <v>1105</v>
      </c>
      <c r="B1774" s="2" t="s">
        <v>1165</v>
      </c>
      <c r="C1774" s="2" t="s">
        <v>24</v>
      </c>
      <c r="D1774" s="2" t="s">
        <v>1171</v>
      </c>
      <c r="E1774" s="2" t="s">
        <v>417</v>
      </c>
      <c r="F1774" s="2" t="s">
        <v>40</v>
      </c>
      <c r="G1774" s="2"/>
      <c r="H1774" s="2"/>
      <c r="I1774" s="2"/>
      <c r="J1774" s="2"/>
    </row>
    <row r="1775" spans="1:10" x14ac:dyDescent="0.35">
      <c r="A1775" s="2" t="s">
        <v>1105</v>
      </c>
      <c r="B1775" s="2" t="s">
        <v>1165</v>
      </c>
      <c r="C1775" s="2" t="s">
        <v>24</v>
      </c>
      <c r="D1775" s="2" t="s">
        <v>1171</v>
      </c>
      <c r="E1775" s="2" t="s">
        <v>366</v>
      </c>
      <c r="F1775" s="2" t="s">
        <v>367</v>
      </c>
      <c r="G1775" s="2"/>
      <c r="H1775" s="2"/>
      <c r="I1775" s="2"/>
      <c r="J1775" s="2"/>
    </row>
    <row r="1776" spans="1:10" x14ac:dyDescent="0.35">
      <c r="A1776" s="2" t="s">
        <v>1105</v>
      </c>
      <c r="B1776" s="2" t="s">
        <v>1165</v>
      </c>
      <c r="C1776" s="2" t="s">
        <v>24</v>
      </c>
      <c r="D1776" s="2" t="s">
        <v>1171</v>
      </c>
      <c r="E1776" s="2" t="s">
        <v>489</v>
      </c>
      <c r="F1776" s="2" t="s">
        <v>363</v>
      </c>
      <c r="G1776" s="2"/>
      <c r="H1776" s="2"/>
      <c r="I1776" s="2"/>
      <c r="J1776" s="2"/>
    </row>
    <row r="1777" spans="1:10" x14ac:dyDescent="0.35">
      <c r="A1777" s="2" t="s">
        <v>1105</v>
      </c>
      <c r="B1777" s="2" t="s">
        <v>1165</v>
      </c>
      <c r="C1777" s="2" t="s">
        <v>24</v>
      </c>
      <c r="D1777" s="2" t="s">
        <v>1173</v>
      </c>
      <c r="E1777" s="2" t="s">
        <v>1174</v>
      </c>
      <c r="F1777" s="2" t="s">
        <v>197</v>
      </c>
      <c r="G1777" s="2"/>
      <c r="H1777" s="2"/>
      <c r="I1777" s="2"/>
      <c r="J1777" s="2"/>
    </row>
    <row r="1778" spans="1:10" x14ac:dyDescent="0.35">
      <c r="A1778" s="2" t="s">
        <v>1105</v>
      </c>
      <c r="B1778" s="2" t="s">
        <v>1165</v>
      </c>
      <c r="C1778" s="2" t="s">
        <v>24</v>
      </c>
      <c r="D1778" s="2" t="s">
        <v>1173</v>
      </c>
      <c r="E1778" s="2" t="s">
        <v>1172</v>
      </c>
      <c r="F1778" s="2" t="s">
        <v>107</v>
      </c>
      <c r="G1778" s="2"/>
      <c r="H1778" s="2"/>
      <c r="I1778" s="2"/>
      <c r="J1778" s="2"/>
    </row>
    <row r="1779" spans="1:10" x14ac:dyDescent="0.35">
      <c r="A1779" s="2" t="s">
        <v>1105</v>
      </c>
      <c r="B1779" s="2" t="s">
        <v>1165</v>
      </c>
      <c r="C1779" s="2" t="s">
        <v>24</v>
      </c>
      <c r="D1779" s="2" t="s">
        <v>1173</v>
      </c>
      <c r="E1779" s="2" t="s">
        <v>1175</v>
      </c>
      <c r="F1779" s="2" t="s">
        <v>75</v>
      </c>
      <c r="G1779" s="2"/>
      <c r="H1779" s="2"/>
      <c r="I1779" s="2"/>
      <c r="J1779" s="2"/>
    </row>
    <row r="1780" spans="1:10" x14ac:dyDescent="0.35">
      <c r="A1780" s="2" t="s">
        <v>1105</v>
      </c>
      <c r="B1780" s="2" t="s">
        <v>1165</v>
      </c>
      <c r="C1780" s="2" t="s">
        <v>24</v>
      </c>
      <c r="D1780" s="2" t="s">
        <v>1173</v>
      </c>
      <c r="E1780" s="2" t="s">
        <v>31</v>
      </c>
      <c r="F1780" s="2" t="s">
        <v>32</v>
      </c>
      <c r="G1780" s="2"/>
      <c r="H1780" s="2"/>
      <c r="I1780" s="2"/>
      <c r="J1780" s="2"/>
    </row>
    <row r="1781" spans="1:10" x14ac:dyDescent="0.35">
      <c r="A1781" s="2" t="s">
        <v>1105</v>
      </c>
      <c r="B1781" s="2" t="s">
        <v>1165</v>
      </c>
      <c r="C1781" s="2" t="s">
        <v>24</v>
      </c>
      <c r="D1781" s="2" t="s">
        <v>1173</v>
      </c>
      <c r="E1781" s="2" t="s">
        <v>534</v>
      </c>
      <c r="F1781" s="2" t="s">
        <v>38</v>
      </c>
      <c r="G1781" s="2"/>
      <c r="H1781" s="2"/>
      <c r="I1781" s="2"/>
      <c r="J1781" s="2"/>
    </row>
    <row r="1782" spans="1:10" x14ac:dyDescent="0.35">
      <c r="A1782" s="2" t="s">
        <v>1105</v>
      </c>
      <c r="B1782" s="2" t="s">
        <v>1165</v>
      </c>
      <c r="C1782" s="2" t="s">
        <v>24</v>
      </c>
      <c r="D1782" s="2" t="s">
        <v>1173</v>
      </c>
      <c r="E1782" s="2" t="s">
        <v>438</v>
      </c>
      <c r="F1782" s="2" t="s">
        <v>19</v>
      </c>
      <c r="G1782" s="2"/>
      <c r="H1782" s="2"/>
      <c r="I1782" s="2"/>
      <c r="J1782" s="2"/>
    </row>
    <row r="1783" spans="1:10" x14ac:dyDescent="0.35">
      <c r="A1783" s="2" t="s">
        <v>1105</v>
      </c>
      <c r="B1783" s="2" t="s">
        <v>1165</v>
      </c>
      <c r="C1783" s="2" t="s">
        <v>24</v>
      </c>
      <c r="D1783" s="2" t="s">
        <v>1173</v>
      </c>
      <c r="E1783" s="2" t="s">
        <v>87</v>
      </c>
      <c r="F1783" s="2" t="s">
        <v>75</v>
      </c>
      <c r="G1783" s="2" t="s">
        <v>46</v>
      </c>
      <c r="H1783" s="2" t="s">
        <v>451</v>
      </c>
      <c r="I1783" s="2"/>
      <c r="J1783" s="2"/>
    </row>
    <row r="1784" spans="1:10" x14ac:dyDescent="0.35">
      <c r="A1784" s="2" t="s">
        <v>1105</v>
      </c>
      <c r="B1784" s="2" t="s">
        <v>1165</v>
      </c>
      <c r="C1784" s="2" t="s">
        <v>24</v>
      </c>
      <c r="D1784" s="2" t="s">
        <v>1173</v>
      </c>
      <c r="E1784" s="2" t="s">
        <v>417</v>
      </c>
      <c r="F1784" s="2" t="s">
        <v>40</v>
      </c>
      <c r="G1784" s="2"/>
      <c r="H1784" s="2"/>
      <c r="I1784" s="2"/>
      <c r="J1784" s="2"/>
    </row>
    <row r="1785" spans="1:10" x14ac:dyDescent="0.35">
      <c r="A1785" s="2" t="s">
        <v>1105</v>
      </c>
      <c r="B1785" s="2" t="s">
        <v>1165</v>
      </c>
      <c r="C1785" s="2" t="s">
        <v>24</v>
      </c>
      <c r="D1785" s="2" t="s">
        <v>1173</v>
      </c>
      <c r="E1785" s="2" t="s">
        <v>1176</v>
      </c>
      <c r="F1785" s="2" t="s">
        <v>38</v>
      </c>
      <c r="G1785" s="2"/>
      <c r="H1785" s="2"/>
      <c r="I1785" s="2"/>
      <c r="J1785" s="2"/>
    </row>
    <row r="1786" spans="1:10" x14ac:dyDescent="0.35">
      <c r="A1786" s="2" t="s">
        <v>1105</v>
      </c>
      <c r="B1786" s="2" t="s">
        <v>1165</v>
      </c>
      <c r="C1786" s="2" t="s">
        <v>24</v>
      </c>
      <c r="D1786" s="2" t="s">
        <v>1173</v>
      </c>
      <c r="E1786" s="2" t="s">
        <v>100</v>
      </c>
      <c r="F1786" s="2" t="s">
        <v>101</v>
      </c>
      <c r="G1786" s="2"/>
      <c r="H1786" s="2"/>
      <c r="I1786" s="2"/>
      <c r="J1786" s="2"/>
    </row>
    <row r="1787" spans="1:10" x14ac:dyDescent="0.35">
      <c r="A1787" s="2" t="s">
        <v>1105</v>
      </c>
      <c r="B1787" s="2" t="s">
        <v>1165</v>
      </c>
      <c r="C1787" s="2" t="s">
        <v>24</v>
      </c>
      <c r="D1787" s="2" t="s">
        <v>1173</v>
      </c>
      <c r="E1787" s="2" t="s">
        <v>366</v>
      </c>
      <c r="F1787" s="2" t="s">
        <v>367</v>
      </c>
      <c r="G1787" s="2"/>
      <c r="H1787" s="2"/>
      <c r="I1787" s="2"/>
      <c r="J1787" s="2"/>
    </row>
    <row r="1788" spans="1:10" s="21" customFormat="1" x14ac:dyDescent="0.35">
      <c r="A1788" s="2" t="s">
        <v>1105</v>
      </c>
      <c r="B1788" s="2" t="s">
        <v>1165</v>
      </c>
      <c r="C1788" s="2" t="s">
        <v>24</v>
      </c>
      <c r="D1788" s="2" t="s">
        <v>1177</v>
      </c>
      <c r="E1788" s="2" t="s">
        <v>18</v>
      </c>
      <c r="F1788" s="2" t="s">
        <v>19</v>
      </c>
      <c r="G1788" s="2" t="s">
        <v>20</v>
      </c>
      <c r="H1788" s="2" t="s">
        <v>1178</v>
      </c>
      <c r="I1788" s="2" t="s">
        <v>20</v>
      </c>
      <c r="J1788" s="2" t="s">
        <v>1110</v>
      </c>
    </row>
    <row r="1789" spans="1:10" s="21" customFormat="1" x14ac:dyDescent="0.35">
      <c r="A1789" s="2" t="s">
        <v>1105</v>
      </c>
      <c r="B1789" s="2" t="s">
        <v>1165</v>
      </c>
      <c r="C1789" s="2" t="s">
        <v>24</v>
      </c>
      <c r="D1789" s="2" t="s">
        <v>1177</v>
      </c>
      <c r="E1789" s="2" t="s">
        <v>89</v>
      </c>
      <c r="F1789" s="2" t="s">
        <v>45</v>
      </c>
      <c r="G1789" s="2" t="s">
        <v>20</v>
      </c>
      <c r="H1789" s="2" t="s">
        <v>1179</v>
      </c>
      <c r="I1789" s="2" t="s">
        <v>20</v>
      </c>
      <c r="J1789" s="2" t="s">
        <v>1119</v>
      </c>
    </row>
    <row r="1790" spans="1:10" x14ac:dyDescent="0.35">
      <c r="A1790" s="2" t="s">
        <v>1105</v>
      </c>
      <c r="B1790" s="2" t="s">
        <v>1165</v>
      </c>
      <c r="C1790" s="2" t="s">
        <v>24</v>
      </c>
      <c r="D1790" s="2" t="s">
        <v>1180</v>
      </c>
      <c r="E1790" s="2" t="s">
        <v>14</v>
      </c>
      <c r="F1790" s="2" t="s">
        <v>15</v>
      </c>
      <c r="G1790" s="2"/>
      <c r="H1790" s="2"/>
      <c r="I1790" s="2"/>
      <c r="J1790" s="2"/>
    </row>
    <row r="1791" spans="1:10" x14ac:dyDescent="0.35">
      <c r="A1791" s="2" t="s">
        <v>1105</v>
      </c>
      <c r="B1791" s="2" t="s">
        <v>1165</v>
      </c>
      <c r="C1791" s="2" t="s">
        <v>24</v>
      </c>
      <c r="D1791" s="2" t="s">
        <v>1180</v>
      </c>
      <c r="E1791" s="2" t="s">
        <v>1181</v>
      </c>
      <c r="F1791" s="2" t="s">
        <v>30</v>
      </c>
      <c r="G1791" s="2"/>
      <c r="H1791" s="2"/>
      <c r="I1791" s="2"/>
      <c r="J1791" s="2"/>
    </row>
    <row r="1792" spans="1:10" x14ac:dyDescent="0.35">
      <c r="A1792" s="2" t="s">
        <v>1105</v>
      </c>
      <c r="B1792" s="2" t="s">
        <v>1182</v>
      </c>
      <c r="C1792" s="2" t="s">
        <v>24</v>
      </c>
      <c r="D1792" s="2" t="s">
        <v>1183</v>
      </c>
      <c r="E1792" s="2" t="s">
        <v>74</v>
      </c>
      <c r="F1792" s="2" t="s">
        <v>75</v>
      </c>
      <c r="G1792" s="2" t="s">
        <v>20</v>
      </c>
      <c r="H1792" s="2" t="s">
        <v>1184</v>
      </c>
      <c r="I1792" s="2"/>
      <c r="J1792" s="2"/>
    </row>
    <row r="1793" spans="1:10" x14ac:dyDescent="0.35">
      <c r="A1793" s="2" t="s">
        <v>1105</v>
      </c>
      <c r="B1793" s="2" t="s">
        <v>1182</v>
      </c>
      <c r="C1793" s="2" t="s">
        <v>24</v>
      </c>
      <c r="D1793" s="2" t="s">
        <v>1183</v>
      </c>
      <c r="E1793" s="2" t="s">
        <v>14</v>
      </c>
      <c r="F1793" s="2" t="s">
        <v>15</v>
      </c>
      <c r="G1793" s="2"/>
      <c r="H1793" s="2"/>
      <c r="I1793" s="2"/>
      <c r="J1793" s="2"/>
    </row>
    <row r="1794" spans="1:10" x14ac:dyDescent="0.35">
      <c r="A1794" s="2" t="s">
        <v>1105</v>
      </c>
      <c r="B1794" s="2" t="s">
        <v>1182</v>
      </c>
      <c r="C1794" s="2" t="s">
        <v>24</v>
      </c>
      <c r="D1794" s="2" t="s">
        <v>1183</v>
      </c>
      <c r="E1794" s="2" t="s">
        <v>33</v>
      </c>
      <c r="F1794" s="2" t="s">
        <v>34</v>
      </c>
      <c r="G1794" s="2"/>
      <c r="H1794" s="2"/>
      <c r="I1794" s="2"/>
      <c r="J1794" s="2"/>
    </row>
    <row r="1795" spans="1:10" x14ac:dyDescent="0.35">
      <c r="A1795" s="2" t="s">
        <v>1105</v>
      </c>
      <c r="B1795" s="2" t="s">
        <v>1182</v>
      </c>
      <c r="C1795" s="2" t="s">
        <v>54</v>
      </c>
      <c r="D1795" s="2" t="s">
        <v>1185</v>
      </c>
      <c r="E1795" s="2" t="s">
        <v>91</v>
      </c>
      <c r="F1795" s="2" t="s">
        <v>19</v>
      </c>
      <c r="G1795" s="2" t="s">
        <v>16</v>
      </c>
      <c r="H1795" s="2" t="s">
        <v>1186</v>
      </c>
      <c r="I1795" s="2"/>
      <c r="J1795" s="2"/>
    </row>
    <row r="1796" spans="1:10" x14ac:dyDescent="0.35">
      <c r="A1796" s="2" t="s">
        <v>1105</v>
      </c>
      <c r="B1796" s="2" t="s">
        <v>1182</v>
      </c>
      <c r="C1796" s="2" t="s">
        <v>12</v>
      </c>
      <c r="D1796" s="2" t="s">
        <v>1187</v>
      </c>
      <c r="E1796" s="2" t="s">
        <v>91</v>
      </c>
      <c r="F1796" s="2" t="s">
        <v>19</v>
      </c>
      <c r="G1796" s="2" t="s">
        <v>16</v>
      </c>
      <c r="H1796" s="2" t="s">
        <v>1186</v>
      </c>
      <c r="I1796" s="2" t="s">
        <v>16</v>
      </c>
      <c r="J1796" s="2" t="s">
        <v>1110</v>
      </c>
    </row>
    <row r="1797" spans="1:10" x14ac:dyDescent="0.35">
      <c r="A1797" s="2" t="s">
        <v>1105</v>
      </c>
      <c r="B1797" s="2" t="s">
        <v>1182</v>
      </c>
      <c r="C1797" s="2" t="s">
        <v>24</v>
      </c>
      <c r="D1797" s="2" t="s">
        <v>1188</v>
      </c>
      <c r="E1797" s="2" t="s">
        <v>14</v>
      </c>
      <c r="F1797" s="2" t="s">
        <v>15</v>
      </c>
      <c r="G1797" s="2"/>
      <c r="H1797" s="2"/>
      <c r="I1797" s="2"/>
      <c r="J1797" s="2"/>
    </row>
    <row r="1798" spans="1:10" x14ac:dyDescent="0.35">
      <c r="A1798" s="2" t="s">
        <v>1105</v>
      </c>
      <c r="B1798" s="2" t="s">
        <v>1182</v>
      </c>
      <c r="C1798" s="2" t="s">
        <v>24</v>
      </c>
      <c r="D1798" s="2" t="s">
        <v>1188</v>
      </c>
      <c r="E1798" s="2" t="s">
        <v>27</v>
      </c>
      <c r="F1798" s="2" t="s">
        <v>28</v>
      </c>
      <c r="G1798" s="2"/>
      <c r="H1798" s="2"/>
      <c r="I1798" s="2"/>
      <c r="J1798" s="2"/>
    </row>
    <row r="1799" spans="1:10" x14ac:dyDescent="0.35">
      <c r="A1799" s="2" t="s">
        <v>1105</v>
      </c>
      <c r="B1799" s="2" t="s">
        <v>1182</v>
      </c>
      <c r="C1799" s="2" t="s">
        <v>24</v>
      </c>
      <c r="D1799" s="2" t="s">
        <v>1188</v>
      </c>
      <c r="E1799" s="2" t="s">
        <v>31</v>
      </c>
      <c r="F1799" s="2" t="s">
        <v>32</v>
      </c>
      <c r="G1799" s="2"/>
      <c r="H1799" s="2"/>
      <c r="I1799" s="2"/>
      <c r="J1799" s="2"/>
    </row>
    <row r="1800" spans="1:10" x14ac:dyDescent="0.35">
      <c r="A1800" s="2" t="s">
        <v>1105</v>
      </c>
      <c r="B1800" s="2" t="s">
        <v>1182</v>
      </c>
      <c r="C1800" s="2" t="s">
        <v>24</v>
      </c>
      <c r="D1800" s="2" t="s">
        <v>1188</v>
      </c>
      <c r="E1800" s="2" t="s">
        <v>1139</v>
      </c>
      <c r="F1800" s="2" t="s">
        <v>60</v>
      </c>
      <c r="G1800" s="2"/>
      <c r="H1800" s="2"/>
      <c r="I1800" s="2"/>
      <c r="J1800" s="2"/>
    </row>
    <row r="1801" spans="1:10" x14ac:dyDescent="0.35">
      <c r="A1801" s="2" t="s">
        <v>1105</v>
      </c>
      <c r="B1801" s="2" t="s">
        <v>1182</v>
      </c>
      <c r="C1801" s="2" t="s">
        <v>24</v>
      </c>
      <c r="D1801" s="2" t="s">
        <v>1188</v>
      </c>
      <c r="E1801" s="2" t="s">
        <v>1189</v>
      </c>
      <c r="F1801" s="2" t="s">
        <v>122</v>
      </c>
      <c r="G1801" s="2"/>
      <c r="H1801" s="2"/>
      <c r="I1801" s="2"/>
      <c r="J1801" s="2"/>
    </row>
    <row r="1802" spans="1:10" x14ac:dyDescent="0.35">
      <c r="A1802" s="2" t="s">
        <v>1105</v>
      </c>
      <c r="B1802" s="2" t="s">
        <v>1182</v>
      </c>
      <c r="C1802" s="2" t="s">
        <v>24</v>
      </c>
      <c r="D1802" s="2" t="s">
        <v>1188</v>
      </c>
      <c r="E1802" s="2" t="s">
        <v>35</v>
      </c>
      <c r="F1802" s="2" t="s">
        <v>36</v>
      </c>
      <c r="G1802" s="2"/>
      <c r="H1802" s="2"/>
      <c r="I1802" s="2"/>
      <c r="J1802" s="2"/>
    </row>
    <row r="1803" spans="1:10" x14ac:dyDescent="0.35">
      <c r="A1803" s="2" t="s">
        <v>1105</v>
      </c>
      <c r="B1803" s="2" t="s">
        <v>1182</v>
      </c>
      <c r="C1803" s="2" t="s">
        <v>24</v>
      </c>
      <c r="D1803" s="2" t="s">
        <v>1188</v>
      </c>
      <c r="E1803" s="2" t="s">
        <v>91</v>
      </c>
      <c r="F1803" s="2" t="s">
        <v>19</v>
      </c>
      <c r="G1803" s="2" t="s">
        <v>20</v>
      </c>
      <c r="H1803" s="2" t="s">
        <v>1190</v>
      </c>
      <c r="I1803" s="2"/>
      <c r="J1803" s="2"/>
    </row>
    <row r="1804" spans="1:10" x14ac:dyDescent="0.35">
      <c r="A1804" s="2" t="s">
        <v>1105</v>
      </c>
      <c r="B1804" s="2" t="s">
        <v>1182</v>
      </c>
      <c r="C1804" s="2" t="s">
        <v>24</v>
      </c>
      <c r="D1804" s="2" t="s">
        <v>1188</v>
      </c>
      <c r="E1804" s="2" t="s">
        <v>89</v>
      </c>
      <c r="F1804" s="2" t="s">
        <v>45</v>
      </c>
      <c r="G1804" s="2" t="s">
        <v>46</v>
      </c>
      <c r="H1804" s="2" t="s">
        <v>1191</v>
      </c>
      <c r="I1804" s="2"/>
      <c r="J1804" s="2"/>
    </row>
    <row r="1805" spans="1:10" x14ac:dyDescent="0.35">
      <c r="A1805" s="2" t="s">
        <v>1105</v>
      </c>
      <c r="B1805" s="2" t="s">
        <v>1182</v>
      </c>
      <c r="C1805" s="2" t="s">
        <v>24</v>
      </c>
      <c r="D1805" s="2" t="s">
        <v>1188</v>
      </c>
      <c r="E1805" s="2" t="s">
        <v>61</v>
      </c>
      <c r="F1805" s="2" t="s">
        <v>30</v>
      </c>
      <c r="G1805" s="2"/>
      <c r="H1805" s="2"/>
      <c r="I1805" s="2"/>
      <c r="J1805" s="2"/>
    </row>
    <row r="1806" spans="1:10" x14ac:dyDescent="0.35">
      <c r="A1806" s="2" t="s">
        <v>1105</v>
      </c>
      <c r="B1806" s="2" t="s">
        <v>1182</v>
      </c>
      <c r="C1806" s="2" t="s">
        <v>24</v>
      </c>
      <c r="D1806" s="2" t="s">
        <v>1188</v>
      </c>
      <c r="E1806" s="2" t="s">
        <v>188</v>
      </c>
      <c r="F1806" s="2" t="s">
        <v>189</v>
      </c>
      <c r="G1806" s="2" t="s">
        <v>20</v>
      </c>
      <c r="H1806" s="2" t="s">
        <v>1192</v>
      </c>
      <c r="I1806" s="2"/>
      <c r="J1806" s="2"/>
    </row>
    <row r="1807" spans="1:10" x14ac:dyDescent="0.35">
      <c r="A1807" s="2" t="s">
        <v>1105</v>
      </c>
      <c r="B1807" s="2" t="s">
        <v>1182</v>
      </c>
      <c r="C1807" s="2" t="s">
        <v>24</v>
      </c>
      <c r="D1807" s="2" t="s">
        <v>1188</v>
      </c>
      <c r="E1807" s="2" t="s">
        <v>149</v>
      </c>
      <c r="F1807" s="2" t="s">
        <v>150</v>
      </c>
      <c r="G1807" s="2" t="s">
        <v>20</v>
      </c>
      <c r="H1807" s="2" t="s">
        <v>1193</v>
      </c>
      <c r="I1807" s="2"/>
      <c r="J1807" s="2"/>
    </row>
    <row r="1808" spans="1:10" x14ac:dyDescent="0.35">
      <c r="A1808" s="2" t="s">
        <v>1105</v>
      </c>
      <c r="B1808" s="2" t="s">
        <v>1182</v>
      </c>
      <c r="C1808" s="2" t="s">
        <v>62</v>
      </c>
      <c r="D1808" s="2" t="s">
        <v>1194</v>
      </c>
      <c r="E1808" s="2" t="s">
        <v>14</v>
      </c>
      <c r="F1808" s="2" t="s">
        <v>15</v>
      </c>
      <c r="G1808" s="2"/>
      <c r="H1808" s="2"/>
      <c r="I1808" s="2"/>
      <c r="J1808" s="2"/>
    </row>
    <row r="1809" spans="1:10" x14ac:dyDescent="0.35">
      <c r="A1809" s="2" t="s">
        <v>1105</v>
      </c>
      <c r="B1809" s="2" t="s">
        <v>1182</v>
      </c>
      <c r="C1809" s="2" t="s">
        <v>12</v>
      </c>
      <c r="D1809" s="2" t="s">
        <v>1195</v>
      </c>
      <c r="E1809" s="2" t="s">
        <v>77</v>
      </c>
      <c r="F1809" s="2" t="s">
        <v>78</v>
      </c>
      <c r="G1809" s="2"/>
      <c r="H1809" s="2"/>
      <c r="I1809" s="2"/>
      <c r="J1809" s="2"/>
    </row>
    <row r="1810" spans="1:10" x14ac:dyDescent="0.35">
      <c r="A1810" s="2" t="s">
        <v>1105</v>
      </c>
      <c r="B1810" s="2" t="s">
        <v>1182</v>
      </c>
      <c r="C1810" s="2" t="s">
        <v>12</v>
      </c>
      <c r="D1810" s="2" t="s">
        <v>1195</v>
      </c>
      <c r="E1810" s="2" t="s">
        <v>91</v>
      </c>
      <c r="F1810" s="2" t="s">
        <v>19</v>
      </c>
      <c r="G1810" s="2"/>
      <c r="H1810" s="2"/>
      <c r="I1810" s="2"/>
      <c r="J1810" s="2"/>
    </row>
    <row r="1811" spans="1:10" s="21" customFormat="1" x14ac:dyDescent="0.35">
      <c r="A1811" s="2" t="s">
        <v>1105</v>
      </c>
      <c r="B1811" s="2" t="s">
        <v>1196</v>
      </c>
      <c r="C1811" s="2" t="s">
        <v>54</v>
      </c>
      <c r="D1811" s="2" t="s">
        <v>1197</v>
      </c>
      <c r="E1811" s="2" t="s">
        <v>27</v>
      </c>
      <c r="F1811" s="2" t="s">
        <v>28</v>
      </c>
      <c r="G1811" s="2" t="s">
        <v>20</v>
      </c>
      <c r="H1811" s="2" t="s">
        <v>1198</v>
      </c>
      <c r="I1811" s="2"/>
      <c r="J1811" s="2"/>
    </row>
    <row r="1812" spans="1:10" s="21" customFormat="1" x14ac:dyDescent="0.35">
      <c r="A1812" s="2" t="s">
        <v>1105</v>
      </c>
      <c r="B1812" s="2" t="s">
        <v>1196</v>
      </c>
      <c r="C1812" s="2" t="s">
        <v>54</v>
      </c>
      <c r="D1812" s="2" t="s">
        <v>1197</v>
      </c>
      <c r="E1812" s="2" t="s">
        <v>35</v>
      </c>
      <c r="F1812" s="2" t="s">
        <v>36</v>
      </c>
      <c r="G1812" s="2" t="s">
        <v>20</v>
      </c>
      <c r="H1812" s="2" t="s">
        <v>1199</v>
      </c>
      <c r="I1812" s="2"/>
      <c r="J1812" s="2"/>
    </row>
    <row r="1813" spans="1:10" s="21" customFormat="1" x14ac:dyDescent="0.35">
      <c r="A1813" s="2" t="s">
        <v>1105</v>
      </c>
      <c r="B1813" s="2" t="s">
        <v>1196</v>
      </c>
      <c r="C1813" s="2" t="s">
        <v>54</v>
      </c>
      <c r="D1813" s="2" t="s">
        <v>1197</v>
      </c>
      <c r="E1813" s="2" t="s">
        <v>89</v>
      </c>
      <c r="F1813" s="2" t="s">
        <v>45</v>
      </c>
      <c r="G1813" s="2" t="s">
        <v>20</v>
      </c>
      <c r="H1813" s="2" t="s">
        <v>1200</v>
      </c>
      <c r="I1813" s="2"/>
      <c r="J1813" s="2"/>
    </row>
    <row r="1814" spans="1:10" s="21" customFormat="1" x14ac:dyDescent="0.35">
      <c r="A1814" s="2" t="s">
        <v>1105</v>
      </c>
      <c r="B1814" s="2" t="s">
        <v>1196</v>
      </c>
      <c r="C1814" s="2" t="s">
        <v>54</v>
      </c>
      <c r="D1814" s="2" t="s">
        <v>1197</v>
      </c>
      <c r="E1814" s="2" t="s">
        <v>61</v>
      </c>
      <c r="F1814" s="2" t="s">
        <v>30</v>
      </c>
      <c r="G1814" s="2" t="s">
        <v>20</v>
      </c>
      <c r="H1814" s="2" t="s">
        <v>1201</v>
      </c>
      <c r="I1814" s="2"/>
      <c r="J1814" s="2"/>
    </row>
    <row r="1815" spans="1:10" x14ac:dyDescent="0.35">
      <c r="A1815" s="2" t="s">
        <v>1105</v>
      </c>
      <c r="B1815" s="2" t="s">
        <v>1196</v>
      </c>
      <c r="C1815" s="2" t="s">
        <v>24</v>
      </c>
      <c r="D1815" s="2" t="s">
        <v>1202</v>
      </c>
      <c r="E1815" s="2" t="s">
        <v>31</v>
      </c>
      <c r="F1815" s="2" t="s">
        <v>32</v>
      </c>
      <c r="G1815" s="2"/>
      <c r="H1815" s="2"/>
      <c r="I1815" s="2"/>
      <c r="J1815" s="2"/>
    </row>
    <row r="1816" spans="1:10" x14ac:dyDescent="0.35">
      <c r="A1816" s="2" t="s">
        <v>1105</v>
      </c>
      <c r="B1816" s="2" t="s">
        <v>1196</v>
      </c>
      <c r="C1816" s="2" t="s">
        <v>24</v>
      </c>
      <c r="D1816" s="2" t="s">
        <v>1202</v>
      </c>
      <c r="E1816" s="2" t="s">
        <v>417</v>
      </c>
      <c r="F1816" s="2" t="s">
        <v>40</v>
      </c>
      <c r="G1816" s="2"/>
      <c r="H1816" s="2"/>
      <c r="I1816" s="2"/>
      <c r="J1816" s="2"/>
    </row>
    <row r="1817" spans="1:10" x14ac:dyDescent="0.35">
      <c r="A1817" s="2" t="s">
        <v>1105</v>
      </c>
      <c r="B1817" s="2" t="s">
        <v>1196</v>
      </c>
      <c r="C1817" s="2" t="s">
        <v>24</v>
      </c>
      <c r="D1817" s="2" t="s">
        <v>1202</v>
      </c>
      <c r="E1817" s="2" t="s">
        <v>18</v>
      </c>
      <c r="F1817" s="2" t="s">
        <v>19</v>
      </c>
      <c r="G1817" s="2" t="s">
        <v>20</v>
      </c>
      <c r="H1817" s="2" t="s">
        <v>1203</v>
      </c>
      <c r="I1817" s="2"/>
      <c r="J1817" s="2"/>
    </row>
    <row r="1818" spans="1:10" x14ac:dyDescent="0.35">
      <c r="A1818" s="2" t="s">
        <v>1105</v>
      </c>
      <c r="B1818" s="2" t="s">
        <v>1196</v>
      </c>
      <c r="C1818" s="2" t="s">
        <v>24</v>
      </c>
      <c r="D1818" s="2" t="s">
        <v>1202</v>
      </c>
      <c r="E1818" s="2" t="s">
        <v>61</v>
      </c>
      <c r="F1818" s="2" t="s">
        <v>1204</v>
      </c>
      <c r="G1818" s="2"/>
      <c r="H1818" s="2"/>
      <c r="I1818" s="2"/>
      <c r="J1818" s="2"/>
    </row>
    <row r="1819" spans="1:10" x14ac:dyDescent="0.35">
      <c r="A1819" s="2" t="s">
        <v>1105</v>
      </c>
      <c r="B1819" s="2" t="s">
        <v>1196</v>
      </c>
      <c r="C1819" s="2" t="s">
        <v>24</v>
      </c>
      <c r="D1819" s="2" t="s">
        <v>1202</v>
      </c>
      <c r="E1819" s="2" t="s">
        <v>116</v>
      </c>
      <c r="F1819" s="2" t="s">
        <v>1204</v>
      </c>
      <c r="G1819" s="2"/>
      <c r="H1819" s="2"/>
      <c r="I1819" s="2"/>
      <c r="J1819" s="2"/>
    </row>
    <row r="1820" spans="1:10" x14ac:dyDescent="0.35">
      <c r="A1820" s="2" t="s">
        <v>1105</v>
      </c>
      <c r="B1820" s="2" t="s">
        <v>1196</v>
      </c>
      <c r="C1820" s="2" t="s">
        <v>62</v>
      </c>
      <c r="D1820" s="2" t="s">
        <v>1205</v>
      </c>
      <c r="E1820" s="2" t="s">
        <v>27</v>
      </c>
      <c r="F1820" s="2" t="s">
        <v>28</v>
      </c>
      <c r="G1820" s="2"/>
      <c r="H1820" s="2"/>
      <c r="I1820" s="2"/>
      <c r="J1820" s="2"/>
    </row>
    <row r="1821" spans="1:10" x14ac:dyDescent="0.35">
      <c r="A1821" s="2" t="s">
        <v>1105</v>
      </c>
      <c r="B1821" s="2" t="s">
        <v>1196</v>
      </c>
      <c r="C1821" s="2" t="s">
        <v>57</v>
      </c>
      <c r="D1821" s="2" t="s">
        <v>1206</v>
      </c>
      <c r="E1821" s="2" t="s">
        <v>1207</v>
      </c>
      <c r="F1821" s="2" t="s">
        <v>28</v>
      </c>
      <c r="G1821" s="2"/>
      <c r="H1821" s="2"/>
      <c r="I1821" s="2"/>
      <c r="J1821" s="2"/>
    </row>
    <row r="1822" spans="1:10" x14ac:dyDescent="0.35">
      <c r="A1822" s="2" t="s">
        <v>1105</v>
      </c>
      <c r="B1822" s="2" t="s">
        <v>1196</v>
      </c>
      <c r="C1822" s="2" t="s">
        <v>57</v>
      </c>
      <c r="D1822" s="2" t="s">
        <v>1206</v>
      </c>
      <c r="E1822" s="2" t="s">
        <v>14</v>
      </c>
      <c r="F1822" s="2" t="s">
        <v>15</v>
      </c>
      <c r="G1822" s="2"/>
      <c r="H1822" s="2"/>
      <c r="I1822" s="2"/>
      <c r="J1822" s="2"/>
    </row>
    <row r="1823" spans="1:10" x14ac:dyDescent="0.35">
      <c r="A1823" s="2" t="s">
        <v>1105</v>
      </c>
      <c r="B1823" s="2" t="s">
        <v>1196</v>
      </c>
      <c r="C1823" s="2" t="s">
        <v>57</v>
      </c>
      <c r="D1823" s="2" t="s">
        <v>1206</v>
      </c>
      <c r="E1823" s="2" t="s">
        <v>27</v>
      </c>
      <c r="F1823" s="2" t="s">
        <v>28</v>
      </c>
      <c r="G1823" s="2"/>
      <c r="H1823" s="2"/>
      <c r="I1823" s="2"/>
      <c r="J1823" s="2"/>
    </row>
    <row r="1824" spans="1:10" s="21" customFormat="1" x14ac:dyDescent="0.35">
      <c r="A1824" s="2" t="s">
        <v>1105</v>
      </c>
      <c r="B1824" s="2" t="s">
        <v>1196</v>
      </c>
      <c r="C1824" s="2" t="s">
        <v>57</v>
      </c>
      <c r="D1824" s="2" t="s">
        <v>1206</v>
      </c>
      <c r="E1824" s="2" t="s">
        <v>82</v>
      </c>
      <c r="F1824" s="2" t="s">
        <v>83</v>
      </c>
      <c r="G1824" s="2"/>
      <c r="H1824" s="2"/>
      <c r="I1824" s="2"/>
      <c r="J1824" s="2"/>
    </row>
    <row r="1825" spans="1:10" s="21" customFormat="1" x14ac:dyDescent="0.35">
      <c r="A1825" s="2" t="s">
        <v>1105</v>
      </c>
      <c r="B1825" s="2" t="s">
        <v>1196</v>
      </c>
      <c r="C1825" s="2" t="s">
        <v>57</v>
      </c>
      <c r="D1825" s="2" t="s">
        <v>1206</v>
      </c>
      <c r="E1825" s="2" t="s">
        <v>121</v>
      </c>
      <c r="F1825" s="2" t="s">
        <v>122</v>
      </c>
      <c r="G1825" s="2"/>
      <c r="H1825" s="2"/>
      <c r="I1825" s="2"/>
      <c r="J1825" s="2"/>
    </row>
    <row r="1826" spans="1:10" x14ac:dyDescent="0.35">
      <c r="A1826" s="2" t="s">
        <v>1105</v>
      </c>
      <c r="B1826" s="2" t="s">
        <v>1196</v>
      </c>
      <c r="C1826" s="2" t="s">
        <v>57</v>
      </c>
      <c r="D1826" s="2" t="s">
        <v>1206</v>
      </c>
      <c r="E1826" s="2" t="s">
        <v>1208</v>
      </c>
      <c r="F1826" s="2" t="s">
        <v>150</v>
      </c>
      <c r="G1826" s="2"/>
      <c r="H1826" s="2"/>
      <c r="I1826" s="2"/>
      <c r="J1826" s="2"/>
    </row>
    <row r="1827" spans="1:10" x14ac:dyDescent="0.35">
      <c r="A1827" s="2" t="s">
        <v>1105</v>
      </c>
      <c r="B1827" s="2" t="s">
        <v>1196</v>
      </c>
      <c r="C1827" s="2" t="s">
        <v>57</v>
      </c>
      <c r="D1827" s="2" t="s">
        <v>1206</v>
      </c>
      <c r="E1827" s="2" t="s">
        <v>188</v>
      </c>
      <c r="F1827" s="2" t="s">
        <v>189</v>
      </c>
      <c r="G1827" s="2"/>
      <c r="H1827" s="2"/>
      <c r="I1827" s="2"/>
      <c r="J1827" s="2"/>
    </row>
    <row r="1828" spans="1:10" s="21" customFormat="1" x14ac:dyDescent="0.35">
      <c r="A1828" s="2" t="s">
        <v>1105</v>
      </c>
      <c r="B1828" s="2" t="s">
        <v>1196</v>
      </c>
      <c r="C1828" s="2" t="s">
        <v>57</v>
      </c>
      <c r="D1828" s="2" t="s">
        <v>1206</v>
      </c>
      <c r="E1828" s="2" t="s">
        <v>61</v>
      </c>
      <c r="F1828" s="2" t="s">
        <v>1204</v>
      </c>
      <c r="G1828" s="2"/>
      <c r="H1828" s="2"/>
      <c r="I1828" s="2"/>
      <c r="J1828" s="2"/>
    </row>
    <row r="1829" spans="1:10" x14ac:dyDescent="0.35">
      <c r="A1829" s="2" t="s">
        <v>1105</v>
      </c>
      <c r="B1829" s="2" t="s">
        <v>1196</v>
      </c>
      <c r="C1829" s="2" t="s">
        <v>57</v>
      </c>
      <c r="D1829" s="2" t="s">
        <v>1206</v>
      </c>
      <c r="E1829" s="2" t="s">
        <v>149</v>
      </c>
      <c r="F1829" s="2" t="s">
        <v>150</v>
      </c>
      <c r="G1829" s="2" t="s">
        <v>20</v>
      </c>
      <c r="H1829" s="2" t="s">
        <v>1209</v>
      </c>
      <c r="I1829" s="2"/>
      <c r="J1829" s="2"/>
    </row>
    <row r="1830" spans="1:10" s="21" customFormat="1" x14ac:dyDescent="0.35">
      <c r="A1830" s="2" t="s">
        <v>1105</v>
      </c>
      <c r="B1830" s="2" t="s">
        <v>1196</v>
      </c>
      <c r="C1830" s="2" t="s">
        <v>62</v>
      </c>
      <c r="D1830" s="2" t="s">
        <v>1210</v>
      </c>
      <c r="E1830" s="2" t="s">
        <v>14</v>
      </c>
      <c r="F1830" s="2" t="s">
        <v>15</v>
      </c>
      <c r="G1830" s="2"/>
      <c r="H1830" s="2"/>
      <c r="I1830" s="2"/>
      <c r="J1830" s="2"/>
    </row>
    <row r="1831" spans="1:10" x14ac:dyDescent="0.35">
      <c r="A1831" s="2" t="s">
        <v>1105</v>
      </c>
      <c r="B1831" s="2" t="s">
        <v>1196</v>
      </c>
      <c r="C1831" s="2" t="s">
        <v>62</v>
      </c>
      <c r="D1831" s="2" t="s">
        <v>1210</v>
      </c>
      <c r="E1831" s="2" t="s">
        <v>49</v>
      </c>
      <c r="F1831" s="2" t="s">
        <v>50</v>
      </c>
      <c r="G1831" s="2" t="s">
        <v>46</v>
      </c>
      <c r="H1831" s="2" t="s">
        <v>137</v>
      </c>
      <c r="I1831" s="2"/>
      <c r="J1831" s="2"/>
    </row>
    <row r="1832" spans="1:10" s="21" customFormat="1" x14ac:dyDescent="0.35">
      <c r="A1832" s="2" t="s">
        <v>1105</v>
      </c>
      <c r="B1832" s="2" t="s">
        <v>1196</v>
      </c>
      <c r="C1832" s="2" t="s">
        <v>62</v>
      </c>
      <c r="D1832" s="2" t="s">
        <v>1210</v>
      </c>
      <c r="E1832" s="2" t="s">
        <v>18</v>
      </c>
      <c r="F1832" s="2" t="s">
        <v>19</v>
      </c>
      <c r="G1832" s="2"/>
      <c r="H1832" s="2"/>
      <c r="I1832" s="2"/>
      <c r="J1832" s="2"/>
    </row>
    <row r="1833" spans="1:10" s="21" customFormat="1" x14ac:dyDescent="0.35">
      <c r="A1833" s="2" t="s">
        <v>1105</v>
      </c>
      <c r="B1833" s="2" t="s">
        <v>1196</v>
      </c>
      <c r="C1833" s="2" t="s">
        <v>62</v>
      </c>
      <c r="D1833" s="2" t="s">
        <v>1210</v>
      </c>
      <c r="E1833" s="2" t="s">
        <v>127</v>
      </c>
      <c r="F1833" s="2" t="s">
        <v>107</v>
      </c>
      <c r="G1833" s="2"/>
      <c r="H1833" s="2"/>
      <c r="I1833" s="2"/>
      <c r="J1833" s="2"/>
    </row>
    <row r="1834" spans="1:10" x14ac:dyDescent="0.35">
      <c r="A1834" s="2" t="s">
        <v>1105</v>
      </c>
      <c r="B1834" s="2" t="s">
        <v>1196</v>
      </c>
      <c r="C1834" s="2" t="s">
        <v>24</v>
      </c>
      <c r="D1834" s="2" t="s">
        <v>1211</v>
      </c>
      <c r="E1834" s="2" t="s">
        <v>196</v>
      </c>
      <c r="F1834" s="2" t="s">
        <v>197</v>
      </c>
      <c r="G1834" s="2"/>
      <c r="H1834" s="2"/>
      <c r="I1834" s="2"/>
      <c r="J1834" s="2"/>
    </row>
    <row r="1835" spans="1:10" x14ac:dyDescent="0.35">
      <c r="A1835" s="2" t="s">
        <v>1105</v>
      </c>
      <c r="B1835" s="2" t="s">
        <v>1196</v>
      </c>
      <c r="C1835" s="2" t="s">
        <v>24</v>
      </c>
      <c r="D1835" s="2" t="s">
        <v>1211</v>
      </c>
      <c r="E1835" s="2" t="s">
        <v>1212</v>
      </c>
      <c r="F1835" s="2" t="s">
        <v>36</v>
      </c>
      <c r="G1835" s="2"/>
      <c r="H1835" s="2"/>
      <c r="I1835" s="2"/>
      <c r="J1835" s="2"/>
    </row>
    <row r="1836" spans="1:10" x14ac:dyDescent="0.35">
      <c r="A1836" s="2" t="s">
        <v>1105</v>
      </c>
      <c r="B1836" s="2" t="s">
        <v>1196</v>
      </c>
      <c r="C1836" s="2" t="s">
        <v>24</v>
      </c>
      <c r="D1836" s="2" t="s">
        <v>1211</v>
      </c>
      <c r="E1836" s="2" t="s">
        <v>563</v>
      </c>
      <c r="F1836" s="2" t="s">
        <v>45</v>
      </c>
      <c r="G1836" s="2"/>
      <c r="H1836" s="2"/>
      <c r="I1836" s="2"/>
      <c r="J1836" s="2"/>
    </row>
    <row r="1837" spans="1:10" x14ac:dyDescent="0.35">
      <c r="A1837" s="2" t="s">
        <v>1105</v>
      </c>
      <c r="B1837" s="2" t="s">
        <v>1196</v>
      </c>
      <c r="C1837" s="2" t="s">
        <v>24</v>
      </c>
      <c r="D1837" s="2" t="s">
        <v>1211</v>
      </c>
      <c r="E1837" s="2" t="s">
        <v>1213</v>
      </c>
      <c r="F1837" s="2" t="s">
        <v>125</v>
      </c>
      <c r="G1837" s="2"/>
      <c r="H1837" s="2"/>
      <c r="I1837" s="2"/>
      <c r="J1837" s="2"/>
    </row>
    <row r="1838" spans="1:10" x14ac:dyDescent="0.35">
      <c r="A1838" s="2" t="s">
        <v>1105</v>
      </c>
      <c r="B1838" s="2" t="s">
        <v>1196</v>
      </c>
      <c r="C1838" s="2" t="s">
        <v>24</v>
      </c>
      <c r="D1838" s="2" t="s">
        <v>1211</v>
      </c>
      <c r="E1838" s="2" t="s">
        <v>31</v>
      </c>
      <c r="F1838" s="2" t="s">
        <v>32</v>
      </c>
      <c r="G1838" s="2"/>
      <c r="H1838" s="2"/>
      <c r="I1838" s="2"/>
      <c r="J1838" s="2"/>
    </row>
    <row r="1839" spans="1:10" x14ac:dyDescent="0.35">
      <c r="A1839" s="2" t="s">
        <v>1105</v>
      </c>
      <c r="B1839" s="2" t="s">
        <v>1196</v>
      </c>
      <c r="C1839" s="2" t="s">
        <v>24</v>
      </c>
      <c r="D1839" s="2" t="s">
        <v>1211</v>
      </c>
      <c r="E1839" s="2" t="s">
        <v>1214</v>
      </c>
      <c r="F1839" s="2" t="s">
        <v>38</v>
      </c>
      <c r="G1839" s="2"/>
      <c r="H1839" s="2"/>
      <c r="I1839" s="2"/>
      <c r="J1839" s="2"/>
    </row>
    <row r="1840" spans="1:10" x14ac:dyDescent="0.35">
      <c r="A1840" s="2" t="s">
        <v>1105</v>
      </c>
      <c r="B1840" s="2" t="s">
        <v>1196</v>
      </c>
      <c r="C1840" s="2" t="s">
        <v>24</v>
      </c>
      <c r="D1840" s="2" t="s">
        <v>1211</v>
      </c>
      <c r="E1840" s="2" t="s">
        <v>82</v>
      </c>
      <c r="F1840" s="2" t="s">
        <v>83</v>
      </c>
      <c r="G1840" s="2"/>
      <c r="H1840" s="2"/>
      <c r="I1840" s="2"/>
      <c r="J1840" s="2"/>
    </row>
    <row r="1841" spans="1:10" x14ac:dyDescent="0.35">
      <c r="A1841" s="2" t="s">
        <v>1105</v>
      </c>
      <c r="B1841" s="2" t="s">
        <v>1196</v>
      </c>
      <c r="C1841" s="2" t="s">
        <v>24</v>
      </c>
      <c r="D1841" s="2" t="s">
        <v>1211</v>
      </c>
      <c r="E1841" s="2" t="s">
        <v>1215</v>
      </c>
      <c r="F1841" s="2" t="s">
        <v>1216</v>
      </c>
      <c r="G1841" s="2"/>
      <c r="H1841" s="2"/>
      <c r="I1841" s="2"/>
      <c r="J1841" s="2"/>
    </row>
    <row r="1842" spans="1:10" x14ac:dyDescent="0.35">
      <c r="A1842" s="2" t="s">
        <v>1105</v>
      </c>
      <c r="B1842" s="2" t="s">
        <v>1196</v>
      </c>
      <c r="C1842" s="2" t="s">
        <v>24</v>
      </c>
      <c r="D1842" s="2" t="s">
        <v>1211</v>
      </c>
      <c r="E1842" s="2" t="s">
        <v>1217</v>
      </c>
      <c r="F1842" s="2" t="s">
        <v>38</v>
      </c>
      <c r="G1842" s="2"/>
      <c r="H1842" s="2"/>
      <c r="I1842" s="2"/>
      <c r="J1842" s="2"/>
    </row>
    <row r="1843" spans="1:10" x14ac:dyDescent="0.35">
      <c r="A1843" s="2" t="s">
        <v>1105</v>
      </c>
      <c r="B1843" s="2" t="s">
        <v>1196</v>
      </c>
      <c r="C1843" s="2" t="s">
        <v>24</v>
      </c>
      <c r="D1843" s="2" t="s">
        <v>1211</v>
      </c>
      <c r="E1843" s="2" t="s">
        <v>1218</v>
      </c>
      <c r="F1843" s="2" t="s">
        <v>38</v>
      </c>
      <c r="G1843" s="2"/>
      <c r="H1843" s="2"/>
      <c r="I1843" s="2"/>
      <c r="J1843" s="2"/>
    </row>
    <row r="1844" spans="1:10" x14ac:dyDescent="0.35">
      <c r="A1844" s="2" t="s">
        <v>1105</v>
      </c>
      <c r="B1844" s="2" t="s">
        <v>1196</v>
      </c>
      <c r="C1844" s="2" t="s">
        <v>24</v>
      </c>
      <c r="D1844" s="2" t="s">
        <v>1211</v>
      </c>
      <c r="E1844" s="2" t="s">
        <v>87</v>
      </c>
      <c r="F1844" s="2" t="s">
        <v>75</v>
      </c>
      <c r="G1844" s="2"/>
      <c r="H1844" s="2"/>
      <c r="I1844" s="2"/>
      <c r="J1844" s="2"/>
    </row>
    <row r="1845" spans="1:10" x14ac:dyDescent="0.35">
      <c r="A1845" s="2" t="s">
        <v>1105</v>
      </c>
      <c r="B1845" s="2" t="s">
        <v>1196</v>
      </c>
      <c r="C1845" s="2" t="s">
        <v>24</v>
      </c>
      <c r="D1845" s="2" t="s">
        <v>1211</v>
      </c>
      <c r="E1845" s="2" t="s">
        <v>417</v>
      </c>
      <c r="F1845" s="2" t="s">
        <v>40</v>
      </c>
      <c r="G1845" s="2"/>
      <c r="H1845" s="2"/>
      <c r="I1845" s="2"/>
      <c r="J1845" s="2"/>
    </row>
    <row r="1846" spans="1:10" x14ac:dyDescent="0.35">
      <c r="A1846" s="2" t="s">
        <v>1105</v>
      </c>
      <c r="B1846" s="2" t="s">
        <v>1196</v>
      </c>
      <c r="C1846" s="2" t="s">
        <v>24</v>
      </c>
      <c r="D1846" s="2" t="s">
        <v>1211</v>
      </c>
      <c r="E1846" s="2" t="s">
        <v>1176</v>
      </c>
      <c r="F1846" s="2" t="s">
        <v>38</v>
      </c>
      <c r="G1846" s="2"/>
      <c r="H1846" s="2"/>
      <c r="I1846" s="2"/>
      <c r="J1846" s="2"/>
    </row>
    <row r="1847" spans="1:10" x14ac:dyDescent="0.35">
      <c r="A1847" s="2" t="s">
        <v>1105</v>
      </c>
      <c r="B1847" s="2" t="s">
        <v>1196</v>
      </c>
      <c r="C1847" s="2" t="s">
        <v>24</v>
      </c>
      <c r="D1847" s="2" t="s">
        <v>1211</v>
      </c>
      <c r="E1847" s="2" t="s">
        <v>100</v>
      </c>
      <c r="F1847" s="2" t="s">
        <v>101</v>
      </c>
      <c r="G1847" s="2"/>
      <c r="H1847" s="2"/>
      <c r="I1847" s="2"/>
      <c r="J1847" s="2"/>
    </row>
    <row r="1848" spans="1:10" x14ac:dyDescent="0.35">
      <c r="A1848" s="2" t="s">
        <v>1105</v>
      </c>
      <c r="B1848" s="2" t="s">
        <v>1196</v>
      </c>
      <c r="C1848" s="2" t="s">
        <v>24</v>
      </c>
      <c r="D1848" s="2" t="s">
        <v>1211</v>
      </c>
      <c r="E1848" s="2" t="s">
        <v>188</v>
      </c>
      <c r="F1848" s="2" t="s">
        <v>189</v>
      </c>
      <c r="G1848" s="2"/>
      <c r="H1848" s="2"/>
      <c r="I1848" s="2"/>
      <c r="J1848" s="2"/>
    </row>
    <row r="1849" spans="1:10" x14ac:dyDescent="0.35">
      <c r="A1849" s="2" t="s">
        <v>1105</v>
      </c>
      <c r="B1849" s="2" t="s">
        <v>1196</v>
      </c>
      <c r="C1849" s="2" t="s">
        <v>24</v>
      </c>
      <c r="D1849" s="2" t="s">
        <v>1211</v>
      </c>
      <c r="E1849" s="2" t="s">
        <v>366</v>
      </c>
      <c r="F1849" s="2" t="s">
        <v>367</v>
      </c>
      <c r="G1849" s="2"/>
      <c r="H1849" s="2"/>
      <c r="I1849" s="2"/>
      <c r="J1849" s="2"/>
    </row>
    <row r="1850" spans="1:10" x14ac:dyDescent="0.35">
      <c r="A1850" s="2" t="s">
        <v>1105</v>
      </c>
      <c r="B1850" s="2" t="s">
        <v>1196</v>
      </c>
      <c r="C1850" s="2" t="s">
        <v>24</v>
      </c>
      <c r="D1850" s="2" t="s">
        <v>1211</v>
      </c>
      <c r="E1850" s="2" t="s">
        <v>1219</v>
      </c>
      <c r="F1850" s="2" t="s">
        <v>107</v>
      </c>
      <c r="G1850" s="2"/>
      <c r="H1850" s="2"/>
      <c r="I1850" s="2"/>
      <c r="J1850" s="2"/>
    </row>
    <row r="1851" spans="1:10" x14ac:dyDescent="0.35">
      <c r="A1851" s="2" t="s">
        <v>1105</v>
      </c>
      <c r="B1851" s="2" t="s">
        <v>1196</v>
      </c>
      <c r="C1851" s="2" t="s">
        <v>24</v>
      </c>
      <c r="D1851" s="2" t="s">
        <v>1211</v>
      </c>
      <c r="E1851" s="2" t="s">
        <v>149</v>
      </c>
      <c r="F1851" s="2" t="s">
        <v>150</v>
      </c>
      <c r="G1851" s="2"/>
      <c r="H1851" s="2"/>
      <c r="I1851" s="2"/>
      <c r="J1851" s="2"/>
    </row>
    <row r="1852" spans="1:10" x14ac:dyDescent="0.35">
      <c r="A1852" s="2" t="s">
        <v>1105</v>
      </c>
      <c r="B1852" s="2" t="s">
        <v>1196</v>
      </c>
      <c r="C1852" s="2" t="s">
        <v>24</v>
      </c>
      <c r="D1852" s="2" t="s">
        <v>1211</v>
      </c>
      <c r="E1852" s="2" t="s">
        <v>1220</v>
      </c>
      <c r="F1852" s="2" t="s">
        <v>43</v>
      </c>
      <c r="G1852" s="2"/>
      <c r="H1852" s="2"/>
      <c r="I1852" s="2"/>
      <c r="J1852" s="2"/>
    </row>
    <row r="1853" spans="1:10" x14ac:dyDescent="0.35">
      <c r="A1853" s="2" t="s">
        <v>1105</v>
      </c>
      <c r="B1853" s="2" t="s">
        <v>1196</v>
      </c>
      <c r="C1853" s="2" t="s">
        <v>62</v>
      </c>
      <c r="D1853" s="2" t="s">
        <v>1221</v>
      </c>
      <c r="E1853" s="2" t="s">
        <v>532</v>
      </c>
      <c r="F1853" s="2" t="s">
        <v>533</v>
      </c>
      <c r="G1853" s="2"/>
      <c r="H1853" s="2"/>
      <c r="I1853" s="2"/>
      <c r="J1853" s="2"/>
    </row>
    <row r="1854" spans="1:10" x14ac:dyDescent="0.35">
      <c r="A1854" s="2" t="s">
        <v>1105</v>
      </c>
      <c r="B1854" s="2" t="s">
        <v>1196</v>
      </c>
      <c r="C1854" s="2" t="s">
        <v>62</v>
      </c>
      <c r="D1854" s="2" t="s">
        <v>1221</v>
      </c>
      <c r="E1854" s="2" t="s">
        <v>375</v>
      </c>
      <c r="F1854" s="2" t="s">
        <v>107</v>
      </c>
      <c r="G1854" s="2"/>
      <c r="H1854" s="2"/>
      <c r="I1854" s="2"/>
      <c r="J1854" s="2"/>
    </row>
    <row r="1855" spans="1:10" x14ac:dyDescent="0.35">
      <c r="A1855" s="2" t="s">
        <v>1105</v>
      </c>
      <c r="B1855" s="2" t="s">
        <v>1196</v>
      </c>
      <c r="C1855" s="2" t="s">
        <v>62</v>
      </c>
      <c r="D1855" s="2" t="s">
        <v>1222</v>
      </c>
      <c r="E1855" s="2" t="s">
        <v>31</v>
      </c>
      <c r="F1855" s="2" t="s">
        <v>32</v>
      </c>
      <c r="G1855" s="2"/>
      <c r="H1855" s="2"/>
      <c r="I1855" s="2"/>
      <c r="J1855" s="2"/>
    </row>
    <row r="1856" spans="1:10" x14ac:dyDescent="0.35">
      <c r="A1856" s="2" t="s">
        <v>1105</v>
      </c>
      <c r="B1856" s="2" t="s">
        <v>1196</v>
      </c>
      <c r="C1856" s="2" t="s">
        <v>62</v>
      </c>
      <c r="D1856" s="2" t="s">
        <v>1222</v>
      </c>
      <c r="E1856" s="2" t="s">
        <v>660</v>
      </c>
      <c r="F1856" s="2" t="s">
        <v>75</v>
      </c>
      <c r="G1856" s="2"/>
      <c r="H1856" s="2"/>
      <c r="I1856" s="2"/>
      <c r="J1856" s="2"/>
    </row>
    <row r="1857" spans="1:10" x14ac:dyDescent="0.35">
      <c r="A1857" s="2" t="s">
        <v>1105</v>
      </c>
      <c r="B1857" s="2" t="s">
        <v>1196</v>
      </c>
      <c r="C1857" s="2" t="s">
        <v>62</v>
      </c>
      <c r="D1857" s="2" t="s">
        <v>1222</v>
      </c>
      <c r="E1857" s="2" t="s">
        <v>965</v>
      </c>
      <c r="F1857" s="2" t="s">
        <v>363</v>
      </c>
      <c r="G1857" s="2" t="s">
        <v>46</v>
      </c>
      <c r="H1857" s="2" t="s">
        <v>111</v>
      </c>
      <c r="I1857" s="2"/>
      <c r="J1857" s="2"/>
    </row>
    <row r="1858" spans="1:10" x14ac:dyDescent="0.35">
      <c r="A1858" s="2" t="s">
        <v>1105</v>
      </c>
      <c r="B1858" s="2" t="s">
        <v>1196</v>
      </c>
      <c r="C1858" s="2" t="s">
        <v>24</v>
      </c>
      <c r="D1858" s="2" t="s">
        <v>1223</v>
      </c>
      <c r="E1858" s="2" t="s">
        <v>14</v>
      </c>
      <c r="F1858" s="2" t="s">
        <v>15</v>
      </c>
      <c r="G1858" s="2"/>
      <c r="H1858" s="2"/>
      <c r="I1858" s="2"/>
      <c r="J1858" s="2"/>
    </row>
    <row r="1859" spans="1:10" x14ac:dyDescent="0.35">
      <c r="A1859" s="2" t="s">
        <v>1105</v>
      </c>
      <c r="B1859" s="2" t="s">
        <v>1196</v>
      </c>
      <c r="C1859" s="2" t="s">
        <v>24</v>
      </c>
      <c r="D1859" s="2" t="s">
        <v>1223</v>
      </c>
      <c r="E1859" s="2" t="s">
        <v>27</v>
      </c>
      <c r="F1859" s="2" t="s">
        <v>28</v>
      </c>
      <c r="G1859" s="2"/>
      <c r="H1859" s="2" t="s">
        <v>1224</v>
      </c>
      <c r="I1859" s="2"/>
      <c r="J1859" s="2"/>
    </row>
    <row r="1860" spans="1:10" x14ac:dyDescent="0.35">
      <c r="A1860" s="2" t="s">
        <v>1105</v>
      </c>
      <c r="B1860" s="2" t="s">
        <v>1196</v>
      </c>
      <c r="C1860" s="2" t="s">
        <v>24</v>
      </c>
      <c r="D1860" s="2" t="s">
        <v>1223</v>
      </c>
      <c r="E1860" s="2" t="s">
        <v>82</v>
      </c>
      <c r="F1860" s="2" t="s">
        <v>83</v>
      </c>
      <c r="G1860" s="2"/>
      <c r="H1860" s="2" t="s">
        <v>1225</v>
      </c>
      <c r="I1860" s="2"/>
      <c r="J1860" s="2"/>
    </row>
    <row r="1861" spans="1:10" s="21" customFormat="1" x14ac:dyDescent="0.35">
      <c r="A1861" s="2" t="s">
        <v>1105</v>
      </c>
      <c r="B1861" s="2" t="s">
        <v>1196</v>
      </c>
      <c r="C1861" s="2" t="s">
        <v>24</v>
      </c>
      <c r="D1861" s="2" t="s">
        <v>1223</v>
      </c>
      <c r="E1861" s="2" t="s">
        <v>1226</v>
      </c>
      <c r="F1861" s="2" t="s">
        <v>107</v>
      </c>
      <c r="G1861" s="2"/>
      <c r="H1861" s="2"/>
      <c r="I1861" s="2"/>
      <c r="J1861" s="2"/>
    </row>
    <row r="1862" spans="1:10" s="21" customFormat="1" x14ac:dyDescent="0.35">
      <c r="A1862" s="2" t="s">
        <v>1105</v>
      </c>
      <c r="B1862" s="2" t="s">
        <v>1196</v>
      </c>
      <c r="C1862" s="2" t="s">
        <v>24</v>
      </c>
      <c r="D1862" s="2" t="s">
        <v>1223</v>
      </c>
      <c r="E1862" s="2" t="s">
        <v>121</v>
      </c>
      <c r="F1862" s="2" t="s">
        <v>122</v>
      </c>
      <c r="G1862" s="2"/>
      <c r="H1862" s="2"/>
      <c r="I1862" s="2"/>
      <c r="J1862" s="2"/>
    </row>
    <row r="1863" spans="1:10" x14ac:dyDescent="0.35">
      <c r="A1863" s="2" t="s">
        <v>1105</v>
      </c>
      <c r="B1863" s="2" t="s">
        <v>1196</v>
      </c>
      <c r="C1863" s="2" t="s">
        <v>24</v>
      </c>
      <c r="D1863" s="2" t="s">
        <v>1223</v>
      </c>
      <c r="E1863" s="2" t="s">
        <v>77</v>
      </c>
      <c r="F1863" s="2" t="s">
        <v>78</v>
      </c>
      <c r="G1863" s="2"/>
      <c r="H1863" s="2" t="s">
        <v>1224</v>
      </c>
      <c r="I1863" s="2"/>
      <c r="J1863" s="2"/>
    </row>
    <row r="1864" spans="1:10" x14ac:dyDescent="0.35">
      <c r="A1864" s="2" t="s">
        <v>1105</v>
      </c>
      <c r="B1864" s="2" t="s">
        <v>1196</v>
      </c>
      <c r="C1864" s="2" t="s">
        <v>24</v>
      </c>
      <c r="D1864" s="2" t="s">
        <v>1223</v>
      </c>
      <c r="E1864" s="2" t="s">
        <v>18</v>
      </c>
      <c r="F1864" s="2" t="s">
        <v>19</v>
      </c>
      <c r="G1864" s="2" t="s">
        <v>20</v>
      </c>
      <c r="H1864" s="2" t="s">
        <v>1227</v>
      </c>
      <c r="I1864" s="2"/>
      <c r="J1864" s="2"/>
    </row>
    <row r="1865" spans="1:10" s="21" customFormat="1" x14ac:dyDescent="0.35">
      <c r="A1865" s="2" t="s">
        <v>1105</v>
      </c>
      <c r="B1865" s="2" t="s">
        <v>1196</v>
      </c>
      <c r="C1865" s="2" t="s">
        <v>24</v>
      </c>
      <c r="D1865" s="2" t="s">
        <v>1223</v>
      </c>
      <c r="E1865" s="2" t="s">
        <v>1228</v>
      </c>
      <c r="F1865" s="2" t="s">
        <v>228</v>
      </c>
      <c r="G1865" s="2"/>
      <c r="H1865" s="2"/>
      <c r="I1865" s="2"/>
      <c r="J1865" s="2"/>
    </row>
    <row r="1866" spans="1:10" x14ac:dyDescent="0.35">
      <c r="A1866" s="2" t="s">
        <v>1105</v>
      </c>
      <c r="B1866" s="2" t="s">
        <v>1196</v>
      </c>
      <c r="C1866" s="2" t="s">
        <v>24</v>
      </c>
      <c r="D1866" s="2" t="s">
        <v>1229</v>
      </c>
      <c r="E1866" s="2" t="s">
        <v>27</v>
      </c>
      <c r="F1866" s="2" t="s">
        <v>28</v>
      </c>
      <c r="G1866" s="2"/>
      <c r="H1866" s="2"/>
      <c r="I1866" s="2" t="s">
        <v>16</v>
      </c>
      <c r="J1866" s="2" t="s">
        <v>1110</v>
      </c>
    </row>
    <row r="1867" spans="1:10" x14ac:dyDescent="0.35">
      <c r="A1867" s="2" t="s">
        <v>1105</v>
      </c>
      <c r="B1867" s="2" t="s">
        <v>1196</v>
      </c>
      <c r="C1867" s="2" t="s">
        <v>24</v>
      </c>
      <c r="D1867" s="2" t="s">
        <v>1229</v>
      </c>
      <c r="E1867" s="2" t="s">
        <v>291</v>
      </c>
      <c r="F1867" s="2" t="s">
        <v>139</v>
      </c>
      <c r="G1867" s="2"/>
      <c r="H1867" s="2"/>
      <c r="I1867" s="2" t="s">
        <v>16</v>
      </c>
      <c r="J1867" s="2" t="s">
        <v>1110</v>
      </c>
    </row>
    <row r="1868" spans="1:10" x14ac:dyDescent="0.35">
      <c r="A1868" s="2" t="s">
        <v>1105</v>
      </c>
      <c r="B1868" s="2" t="s">
        <v>1196</v>
      </c>
      <c r="C1868" s="2" t="s">
        <v>24</v>
      </c>
      <c r="D1868" s="2" t="s">
        <v>1229</v>
      </c>
      <c r="E1868" s="2" t="s">
        <v>91</v>
      </c>
      <c r="F1868" s="2" t="s">
        <v>19</v>
      </c>
      <c r="G1868" s="2" t="s">
        <v>20</v>
      </c>
      <c r="H1868" s="2" t="s">
        <v>1230</v>
      </c>
      <c r="I1868" s="2" t="s">
        <v>16</v>
      </c>
      <c r="J1868" s="2" t="s">
        <v>1110</v>
      </c>
    </row>
    <row r="1869" spans="1:10" x14ac:dyDescent="0.35">
      <c r="A1869" s="2" t="s">
        <v>1105</v>
      </c>
      <c r="B1869" s="2" t="s">
        <v>1196</v>
      </c>
      <c r="C1869" s="2" t="s">
        <v>24</v>
      </c>
      <c r="D1869" s="2" t="s">
        <v>1229</v>
      </c>
      <c r="E1869" s="2" t="s">
        <v>61</v>
      </c>
      <c r="F1869" s="2" t="s">
        <v>1204</v>
      </c>
      <c r="G1869" s="2"/>
      <c r="H1869" s="2"/>
      <c r="I1869" s="2" t="s">
        <v>16</v>
      </c>
      <c r="J1869" s="2" t="s">
        <v>1110</v>
      </c>
    </row>
    <row r="1870" spans="1:10" s="21" customFormat="1" x14ac:dyDescent="0.35">
      <c r="A1870" s="2" t="s">
        <v>1105</v>
      </c>
      <c r="B1870" s="2" t="s">
        <v>1196</v>
      </c>
      <c r="C1870" s="2" t="s">
        <v>54</v>
      </c>
      <c r="D1870" s="2" t="s">
        <v>1231</v>
      </c>
      <c r="E1870" s="2" t="s">
        <v>82</v>
      </c>
      <c r="F1870" s="2" t="s">
        <v>83</v>
      </c>
      <c r="G1870" s="2" t="s">
        <v>20</v>
      </c>
      <c r="H1870" s="2" t="s">
        <v>1232</v>
      </c>
      <c r="I1870" s="2"/>
      <c r="J1870" s="2"/>
    </row>
    <row r="1871" spans="1:10" s="21" customFormat="1" x14ac:dyDescent="0.35">
      <c r="A1871" s="2" t="s">
        <v>1105</v>
      </c>
      <c r="B1871" s="2" t="s">
        <v>1196</v>
      </c>
      <c r="C1871" s="2" t="s">
        <v>54</v>
      </c>
      <c r="D1871" s="2" t="s">
        <v>1231</v>
      </c>
      <c r="E1871" s="2" t="s">
        <v>35</v>
      </c>
      <c r="F1871" s="2" t="s">
        <v>36</v>
      </c>
      <c r="G1871" s="2" t="s">
        <v>20</v>
      </c>
      <c r="H1871" s="2" t="s">
        <v>1233</v>
      </c>
      <c r="I1871" s="2"/>
      <c r="J1871" s="2"/>
    </row>
    <row r="1872" spans="1:10" s="21" customFormat="1" x14ac:dyDescent="0.35">
      <c r="A1872" s="2" t="s">
        <v>1105</v>
      </c>
      <c r="B1872" s="2" t="s">
        <v>1196</v>
      </c>
      <c r="C1872" s="2" t="s">
        <v>54</v>
      </c>
      <c r="D1872" s="2" t="s">
        <v>1231</v>
      </c>
      <c r="E1872" s="2" t="s">
        <v>18</v>
      </c>
      <c r="F1872" s="2" t="s">
        <v>19</v>
      </c>
      <c r="G1872" s="2" t="s">
        <v>20</v>
      </c>
      <c r="H1872" s="2" t="s">
        <v>1234</v>
      </c>
      <c r="I1872" s="2"/>
      <c r="J1872" s="2"/>
    </row>
    <row r="1873" spans="1:10" s="21" customFormat="1" x14ac:dyDescent="0.35">
      <c r="A1873" s="2" t="s">
        <v>1105</v>
      </c>
      <c r="B1873" s="2" t="s">
        <v>1196</v>
      </c>
      <c r="C1873" s="2" t="s">
        <v>54</v>
      </c>
      <c r="D1873" s="2" t="s">
        <v>1231</v>
      </c>
      <c r="E1873" s="2" t="s">
        <v>423</v>
      </c>
      <c r="F1873" s="2" t="s">
        <v>424</v>
      </c>
      <c r="G1873" s="2" t="s">
        <v>20</v>
      </c>
      <c r="H1873" s="2" t="s">
        <v>1235</v>
      </c>
      <c r="I1873" s="2"/>
      <c r="J1873" s="2"/>
    </row>
    <row r="1874" spans="1:10" x14ac:dyDescent="0.35">
      <c r="A1874" s="2" t="s">
        <v>1105</v>
      </c>
      <c r="B1874" s="2" t="s">
        <v>1196</v>
      </c>
      <c r="C1874" s="2" t="s">
        <v>62</v>
      </c>
      <c r="D1874" s="2" t="s">
        <v>1236</v>
      </c>
      <c r="E1874" s="2" t="s">
        <v>27</v>
      </c>
      <c r="F1874" s="2" t="s">
        <v>28</v>
      </c>
      <c r="G1874" s="2"/>
      <c r="H1874" s="2"/>
      <c r="I1874" s="2"/>
      <c r="J1874" s="2"/>
    </row>
    <row r="1875" spans="1:10" x14ac:dyDescent="0.35">
      <c r="A1875" s="2" t="s">
        <v>1105</v>
      </c>
      <c r="B1875" s="2" t="s">
        <v>1196</v>
      </c>
      <c r="C1875" s="2" t="s">
        <v>62</v>
      </c>
      <c r="D1875" s="2" t="s">
        <v>1236</v>
      </c>
      <c r="E1875" s="2" t="s">
        <v>31</v>
      </c>
      <c r="F1875" s="2" t="s">
        <v>32</v>
      </c>
      <c r="G1875" s="2"/>
      <c r="H1875" s="2"/>
      <c r="I1875" s="2"/>
      <c r="J1875" s="2"/>
    </row>
    <row r="1876" spans="1:10" x14ac:dyDescent="0.35">
      <c r="A1876" s="2" t="s">
        <v>1105</v>
      </c>
      <c r="B1876" s="2" t="s">
        <v>1196</v>
      </c>
      <c r="C1876" s="2" t="s">
        <v>62</v>
      </c>
      <c r="D1876" s="2" t="s">
        <v>1236</v>
      </c>
      <c r="E1876" s="2" t="s">
        <v>87</v>
      </c>
      <c r="F1876" s="2" t="s">
        <v>75</v>
      </c>
      <c r="G1876" s="2"/>
      <c r="H1876" s="2"/>
      <c r="I1876" s="2"/>
      <c r="J1876" s="2"/>
    </row>
    <row r="1877" spans="1:10" x14ac:dyDescent="0.35">
      <c r="A1877" s="2" t="s">
        <v>1237</v>
      </c>
      <c r="B1877" s="2" t="s">
        <v>1238</v>
      </c>
      <c r="C1877" s="2" t="s">
        <v>54</v>
      </c>
      <c r="D1877" s="2" t="s">
        <v>1239</v>
      </c>
      <c r="E1877" s="2" t="s">
        <v>130</v>
      </c>
      <c r="F1877" s="2" t="s">
        <v>36</v>
      </c>
      <c r="G1877" s="2"/>
      <c r="H1877" s="2"/>
      <c r="I1877" s="2"/>
      <c r="J1877" s="2"/>
    </row>
    <row r="1878" spans="1:10" x14ac:dyDescent="0.35">
      <c r="A1878" s="2" t="s">
        <v>1237</v>
      </c>
      <c r="B1878" s="2" t="s">
        <v>1238</v>
      </c>
      <c r="C1878" s="2" t="s">
        <v>54</v>
      </c>
      <c r="D1878" s="2" t="s">
        <v>1239</v>
      </c>
      <c r="E1878" s="2" t="s">
        <v>246</v>
      </c>
      <c r="F1878" s="2" t="s">
        <v>107</v>
      </c>
      <c r="G1878" s="2"/>
      <c r="H1878" s="2"/>
      <c r="I1878" s="2"/>
      <c r="J1878" s="2"/>
    </row>
    <row r="1879" spans="1:10" s="21" customFormat="1" x14ac:dyDescent="0.35">
      <c r="A1879" s="2" t="s">
        <v>1237</v>
      </c>
      <c r="B1879" s="2" t="s">
        <v>1238</v>
      </c>
      <c r="C1879" s="2" t="s">
        <v>54</v>
      </c>
      <c r="D1879" s="2" t="s">
        <v>1239</v>
      </c>
      <c r="E1879" s="2" t="s">
        <v>144</v>
      </c>
      <c r="F1879" s="2" t="s">
        <v>50</v>
      </c>
      <c r="G1879" s="2"/>
      <c r="H1879" s="2"/>
      <c r="I1879" s="2"/>
      <c r="J1879" s="2"/>
    </row>
    <row r="1880" spans="1:10" x14ac:dyDescent="0.35">
      <c r="A1880" s="2" t="s">
        <v>1237</v>
      </c>
      <c r="B1880" s="2" t="s">
        <v>1238</v>
      </c>
      <c r="C1880" s="2" t="s">
        <v>54</v>
      </c>
      <c r="D1880" s="2" t="s">
        <v>1239</v>
      </c>
      <c r="E1880" s="2" t="s">
        <v>1240</v>
      </c>
      <c r="F1880" s="2" t="s">
        <v>45</v>
      </c>
      <c r="G1880" s="2"/>
      <c r="H1880" s="2"/>
      <c r="I1880" s="2"/>
      <c r="J1880" s="2"/>
    </row>
    <row r="1881" spans="1:10" x14ac:dyDescent="0.35">
      <c r="A1881" s="2" t="s">
        <v>1237</v>
      </c>
      <c r="B1881" s="2" t="s">
        <v>1238</v>
      </c>
      <c r="C1881" s="2" t="s">
        <v>54</v>
      </c>
      <c r="D1881" s="2" t="s">
        <v>1239</v>
      </c>
      <c r="E1881" s="2" t="s">
        <v>998</v>
      </c>
      <c r="F1881" s="2" t="s">
        <v>40</v>
      </c>
      <c r="G1881" s="2"/>
      <c r="H1881" s="2"/>
      <c r="I1881" s="2"/>
      <c r="J1881" s="2"/>
    </row>
    <row r="1882" spans="1:10" x14ac:dyDescent="0.35">
      <c r="A1882" s="2" t="s">
        <v>1237</v>
      </c>
      <c r="B1882" s="2" t="s">
        <v>1238</v>
      </c>
      <c r="C1882" s="2" t="s">
        <v>54</v>
      </c>
      <c r="D1882" s="2" t="s">
        <v>1239</v>
      </c>
      <c r="E1882" s="2" t="s">
        <v>120</v>
      </c>
      <c r="F1882" s="2" t="s">
        <v>32</v>
      </c>
      <c r="G1882" s="2"/>
      <c r="H1882" s="2"/>
      <c r="I1882" s="2"/>
      <c r="J1882" s="2"/>
    </row>
    <row r="1883" spans="1:10" x14ac:dyDescent="0.35">
      <c r="A1883" s="2" t="s">
        <v>1237</v>
      </c>
      <c r="B1883" s="2" t="s">
        <v>1238</v>
      </c>
      <c r="C1883" s="2" t="s">
        <v>54</v>
      </c>
      <c r="D1883" s="2" t="s">
        <v>1239</v>
      </c>
      <c r="E1883" s="2" t="s">
        <v>1241</v>
      </c>
      <c r="F1883" s="2" t="s">
        <v>38</v>
      </c>
      <c r="G1883" s="2"/>
      <c r="H1883" s="2"/>
      <c r="I1883" s="2"/>
      <c r="J1883" s="2"/>
    </row>
    <row r="1884" spans="1:10" x14ac:dyDescent="0.35">
      <c r="A1884" s="2" t="s">
        <v>1237</v>
      </c>
      <c r="B1884" s="2" t="s">
        <v>1238</v>
      </c>
      <c r="C1884" s="2" t="s">
        <v>54</v>
      </c>
      <c r="D1884" s="2" t="s">
        <v>1239</v>
      </c>
      <c r="E1884" s="2" t="s">
        <v>121</v>
      </c>
      <c r="F1884" s="2" t="s">
        <v>122</v>
      </c>
      <c r="G1884" s="2"/>
      <c r="H1884" s="2"/>
      <c r="I1884" s="2"/>
      <c r="J1884" s="2"/>
    </row>
    <row r="1885" spans="1:10" x14ac:dyDescent="0.35">
      <c r="A1885" s="2" t="s">
        <v>1237</v>
      </c>
      <c r="B1885" s="2" t="s">
        <v>1238</v>
      </c>
      <c r="C1885" s="2" t="s">
        <v>54</v>
      </c>
      <c r="D1885" s="2" t="s">
        <v>1239</v>
      </c>
      <c r="E1885" s="2" t="s">
        <v>91</v>
      </c>
      <c r="F1885" s="2" t="s">
        <v>19</v>
      </c>
      <c r="G1885" s="2" t="s">
        <v>20</v>
      </c>
      <c r="H1885" s="2" t="s">
        <v>1242</v>
      </c>
      <c r="I1885" s="2"/>
      <c r="J1885" s="2"/>
    </row>
    <row r="1886" spans="1:10" x14ac:dyDescent="0.35">
      <c r="A1886" s="2" t="s">
        <v>1237</v>
      </c>
      <c r="B1886" s="2" t="s">
        <v>1238</v>
      </c>
      <c r="C1886" s="2" t="s">
        <v>54</v>
      </c>
      <c r="D1886" s="2" t="s">
        <v>1239</v>
      </c>
      <c r="E1886" s="2" t="s">
        <v>87</v>
      </c>
      <c r="F1886" s="2" t="s">
        <v>75</v>
      </c>
      <c r="G1886" s="2" t="s">
        <v>20</v>
      </c>
      <c r="H1886" s="2" t="s">
        <v>1242</v>
      </c>
      <c r="I1886" s="2"/>
      <c r="J1886" s="2"/>
    </row>
    <row r="1887" spans="1:10" x14ac:dyDescent="0.35">
      <c r="A1887" s="2" t="s">
        <v>1237</v>
      </c>
      <c r="B1887" s="2" t="s">
        <v>1238</v>
      </c>
      <c r="C1887" s="2" t="s">
        <v>54</v>
      </c>
      <c r="D1887" s="2" t="s">
        <v>1239</v>
      </c>
      <c r="E1887" s="2" t="s">
        <v>1243</v>
      </c>
      <c r="F1887" s="2" t="s">
        <v>1244</v>
      </c>
      <c r="G1887" s="2"/>
      <c r="H1887" s="2"/>
      <c r="I1887" s="2"/>
      <c r="J1887" s="2"/>
    </row>
    <row r="1888" spans="1:10" x14ac:dyDescent="0.35">
      <c r="A1888" s="2" t="s">
        <v>1237</v>
      </c>
      <c r="B1888" s="2" t="s">
        <v>1238</v>
      </c>
      <c r="C1888" s="2" t="s">
        <v>54</v>
      </c>
      <c r="D1888" s="2" t="s">
        <v>1239</v>
      </c>
      <c r="E1888" s="2" t="s">
        <v>61</v>
      </c>
      <c r="F1888" s="2" t="s">
        <v>30</v>
      </c>
      <c r="G1888" s="2"/>
      <c r="H1888" s="2"/>
      <c r="I1888" s="2"/>
      <c r="J1888" s="2"/>
    </row>
    <row r="1889" spans="1:10" x14ac:dyDescent="0.35">
      <c r="A1889" s="2" t="s">
        <v>1237</v>
      </c>
      <c r="B1889" s="2" t="s">
        <v>1238</v>
      </c>
      <c r="C1889" s="2" t="s">
        <v>54</v>
      </c>
      <c r="D1889" s="2" t="s">
        <v>1239</v>
      </c>
      <c r="E1889" s="2" t="s">
        <v>127</v>
      </c>
      <c r="F1889" s="2" t="s">
        <v>107</v>
      </c>
      <c r="G1889" s="2"/>
      <c r="H1889" s="2"/>
      <c r="I1889" s="2"/>
      <c r="J1889" s="2"/>
    </row>
    <row r="1890" spans="1:10" x14ac:dyDescent="0.35">
      <c r="A1890" s="2" t="s">
        <v>1237</v>
      </c>
      <c r="B1890" s="2" t="s">
        <v>1238</v>
      </c>
      <c r="C1890" s="2" t="s">
        <v>54</v>
      </c>
      <c r="D1890" s="2" t="s">
        <v>1239</v>
      </c>
      <c r="E1890" s="2" t="s">
        <v>352</v>
      </c>
      <c r="F1890" s="2" t="s">
        <v>107</v>
      </c>
      <c r="G1890" s="2"/>
      <c r="H1890" s="2"/>
      <c r="I1890" s="2"/>
      <c r="J1890" s="2"/>
    </row>
    <row r="1891" spans="1:10" x14ac:dyDescent="0.35">
      <c r="A1891" s="2" t="s">
        <v>1237</v>
      </c>
      <c r="B1891" s="2" t="s">
        <v>1238</v>
      </c>
      <c r="C1891" s="2" t="s">
        <v>54</v>
      </c>
      <c r="D1891" s="2" t="s">
        <v>1239</v>
      </c>
      <c r="E1891" s="2" t="s">
        <v>42</v>
      </c>
      <c r="F1891" s="2" t="s">
        <v>1245</v>
      </c>
      <c r="G1891" s="2" t="s">
        <v>20</v>
      </c>
      <c r="H1891" s="2" t="s">
        <v>1246</v>
      </c>
      <c r="I1891" s="2"/>
      <c r="J1891" s="2"/>
    </row>
    <row r="1892" spans="1:10" x14ac:dyDescent="0.35">
      <c r="A1892" s="2" t="s">
        <v>1237</v>
      </c>
      <c r="B1892" s="2" t="s">
        <v>1238</v>
      </c>
      <c r="C1892" s="2" t="s">
        <v>54</v>
      </c>
      <c r="D1892" s="2" t="s">
        <v>1239</v>
      </c>
      <c r="E1892" s="2" t="s">
        <v>44</v>
      </c>
      <c r="F1892" s="2" t="s">
        <v>45</v>
      </c>
      <c r="G1892" s="2" t="s">
        <v>46</v>
      </c>
      <c r="H1892" s="2" t="s">
        <v>47</v>
      </c>
      <c r="I1892" s="2"/>
      <c r="J1892" s="2"/>
    </row>
    <row r="1893" spans="1:10" x14ac:dyDescent="0.35">
      <c r="A1893" s="2" t="s">
        <v>1237</v>
      </c>
      <c r="B1893" s="2" t="s">
        <v>1247</v>
      </c>
      <c r="C1893" s="2" t="s">
        <v>62</v>
      </c>
      <c r="D1893" s="2" t="s">
        <v>1248</v>
      </c>
      <c r="E1893" s="2" t="s">
        <v>87</v>
      </c>
      <c r="F1893" s="2" t="s">
        <v>75</v>
      </c>
      <c r="G1893" s="2"/>
      <c r="H1893" s="2"/>
      <c r="I1893" s="2"/>
      <c r="J1893" s="2"/>
    </row>
    <row r="1894" spans="1:10" x14ac:dyDescent="0.35">
      <c r="A1894" s="2" t="s">
        <v>1237</v>
      </c>
      <c r="B1894" s="2" t="s">
        <v>1247</v>
      </c>
      <c r="C1894" s="2" t="s">
        <v>62</v>
      </c>
      <c r="D1894" s="2" t="s">
        <v>1248</v>
      </c>
      <c r="E1894" s="2" t="s">
        <v>1249</v>
      </c>
      <c r="F1894" s="2" t="s">
        <v>75</v>
      </c>
      <c r="G1894" s="2"/>
      <c r="H1894" s="2"/>
      <c r="I1894" s="2"/>
      <c r="J1894" s="2"/>
    </row>
    <row r="1895" spans="1:10" x14ac:dyDescent="0.35">
      <c r="A1895" s="2" t="s">
        <v>1237</v>
      </c>
      <c r="B1895" s="2" t="s">
        <v>1247</v>
      </c>
      <c r="C1895" s="2" t="s">
        <v>24</v>
      </c>
      <c r="D1895" s="2" t="s">
        <v>1250</v>
      </c>
      <c r="E1895" s="2" t="s">
        <v>144</v>
      </c>
      <c r="F1895" s="2" t="s">
        <v>50</v>
      </c>
      <c r="G1895" s="2" t="s">
        <v>46</v>
      </c>
      <c r="H1895" s="2" t="s">
        <v>47</v>
      </c>
      <c r="I1895" s="2"/>
      <c r="J1895" s="2"/>
    </row>
    <row r="1896" spans="1:10" x14ac:dyDescent="0.35">
      <c r="A1896" s="2" t="s">
        <v>1237</v>
      </c>
      <c r="B1896" s="2" t="s">
        <v>1247</v>
      </c>
      <c r="C1896" s="2" t="s">
        <v>24</v>
      </c>
      <c r="D1896" s="2" t="s">
        <v>1250</v>
      </c>
      <c r="E1896" s="2" t="s">
        <v>91</v>
      </c>
      <c r="F1896" s="2" t="s">
        <v>19</v>
      </c>
      <c r="G1896" s="2"/>
      <c r="H1896" s="2"/>
      <c r="I1896" s="2"/>
      <c r="J1896" s="2"/>
    </row>
    <row r="1897" spans="1:10" x14ac:dyDescent="0.35">
      <c r="A1897" s="2" t="s">
        <v>1237</v>
      </c>
      <c r="B1897" s="2" t="s">
        <v>1247</v>
      </c>
      <c r="C1897" s="2" t="s">
        <v>24</v>
      </c>
      <c r="D1897" s="2" t="s">
        <v>1251</v>
      </c>
      <c r="E1897" s="2" t="s">
        <v>1252</v>
      </c>
      <c r="F1897" s="2" t="s">
        <v>1253</v>
      </c>
      <c r="G1897" s="2"/>
      <c r="H1897" s="2"/>
      <c r="I1897" s="2"/>
      <c r="J1897" s="2"/>
    </row>
    <row r="1898" spans="1:10" x14ac:dyDescent="0.35">
      <c r="A1898" s="2" t="s">
        <v>1237</v>
      </c>
      <c r="B1898" s="2" t="s">
        <v>1247</v>
      </c>
      <c r="C1898" s="2" t="s">
        <v>24</v>
      </c>
      <c r="D1898" s="2" t="s">
        <v>1251</v>
      </c>
      <c r="E1898" s="2" t="s">
        <v>1254</v>
      </c>
      <c r="F1898" s="2" t="s">
        <v>75</v>
      </c>
      <c r="G1898" s="2"/>
      <c r="H1898" s="2"/>
      <c r="I1898" s="2"/>
      <c r="J1898" s="2"/>
    </row>
    <row r="1899" spans="1:10" x14ac:dyDescent="0.35">
      <c r="A1899" s="2" t="s">
        <v>1237</v>
      </c>
      <c r="B1899" s="2" t="s">
        <v>1247</v>
      </c>
      <c r="C1899" s="2" t="s">
        <v>24</v>
      </c>
      <c r="D1899" s="2" t="s">
        <v>1251</v>
      </c>
      <c r="E1899" s="2" t="s">
        <v>1255</v>
      </c>
      <c r="F1899" s="2" t="s">
        <v>19</v>
      </c>
      <c r="G1899" s="2"/>
      <c r="H1899" s="2"/>
      <c r="I1899" s="2"/>
      <c r="J1899" s="2"/>
    </row>
    <row r="1900" spans="1:10" x14ac:dyDescent="0.35">
      <c r="A1900" s="2" t="s">
        <v>1237</v>
      </c>
      <c r="B1900" s="2" t="s">
        <v>1247</v>
      </c>
      <c r="C1900" s="2" t="s">
        <v>24</v>
      </c>
      <c r="D1900" s="2" t="s">
        <v>1251</v>
      </c>
      <c r="E1900" s="2" t="s">
        <v>1256</v>
      </c>
      <c r="F1900" s="2" t="s">
        <v>363</v>
      </c>
      <c r="G1900" s="2"/>
      <c r="H1900" s="2"/>
      <c r="I1900" s="2"/>
      <c r="J1900" s="2"/>
    </row>
    <row r="1901" spans="1:10" x14ac:dyDescent="0.35">
      <c r="A1901" s="2" t="s">
        <v>1237</v>
      </c>
      <c r="B1901" s="2" t="s">
        <v>1247</v>
      </c>
      <c r="C1901" s="2" t="s">
        <v>24</v>
      </c>
      <c r="D1901" s="2" t="s">
        <v>1251</v>
      </c>
      <c r="E1901" s="2" t="s">
        <v>1257</v>
      </c>
      <c r="F1901" s="2" t="s">
        <v>38</v>
      </c>
      <c r="G1901" s="2"/>
      <c r="H1901" s="2"/>
      <c r="I1901" s="2"/>
      <c r="J1901" s="2"/>
    </row>
    <row r="1902" spans="1:10" x14ac:dyDescent="0.35">
      <c r="A1902" s="2" t="s">
        <v>1237</v>
      </c>
      <c r="B1902" s="2" t="s">
        <v>1247</v>
      </c>
      <c r="C1902" s="2" t="s">
        <v>24</v>
      </c>
      <c r="D1902" s="2" t="s">
        <v>1251</v>
      </c>
      <c r="E1902" s="2" t="s">
        <v>1258</v>
      </c>
      <c r="F1902" s="2" t="s">
        <v>83</v>
      </c>
      <c r="G1902" s="2" t="s">
        <v>20</v>
      </c>
      <c r="H1902" s="2" t="s">
        <v>1259</v>
      </c>
      <c r="I1902" s="2"/>
      <c r="J1902" s="2"/>
    </row>
    <row r="1903" spans="1:10" x14ac:dyDescent="0.35">
      <c r="A1903" s="2" t="s">
        <v>1237</v>
      </c>
      <c r="B1903" s="2" t="s">
        <v>1247</v>
      </c>
      <c r="C1903" s="2" t="s">
        <v>24</v>
      </c>
      <c r="D1903" s="2" t="s">
        <v>1251</v>
      </c>
      <c r="E1903" s="2" t="s">
        <v>1260</v>
      </c>
      <c r="F1903" s="2" t="s">
        <v>363</v>
      </c>
      <c r="G1903" s="2"/>
      <c r="H1903" s="2"/>
      <c r="I1903" s="2"/>
      <c r="J1903" s="2"/>
    </row>
    <row r="1904" spans="1:10" x14ac:dyDescent="0.35">
      <c r="A1904" s="2" t="s">
        <v>1237</v>
      </c>
      <c r="B1904" s="2" t="s">
        <v>1247</v>
      </c>
      <c r="C1904" s="2" t="s">
        <v>24</v>
      </c>
      <c r="D1904" s="2" t="s">
        <v>1251</v>
      </c>
      <c r="E1904" s="2" t="s">
        <v>1226</v>
      </c>
      <c r="F1904" s="2" t="s">
        <v>107</v>
      </c>
      <c r="G1904" s="2"/>
      <c r="H1904" s="2"/>
      <c r="I1904" s="2"/>
      <c r="J1904" s="2"/>
    </row>
    <row r="1905" spans="1:10" x14ac:dyDescent="0.35">
      <c r="A1905" s="2" t="s">
        <v>1237</v>
      </c>
      <c r="B1905" s="2" t="s">
        <v>1247</v>
      </c>
      <c r="C1905" s="2" t="s">
        <v>24</v>
      </c>
      <c r="D1905" s="2" t="s">
        <v>1251</v>
      </c>
      <c r="E1905" s="2" t="s">
        <v>184</v>
      </c>
      <c r="F1905" s="2" t="s">
        <v>45</v>
      </c>
      <c r="G1905" s="2"/>
      <c r="H1905" s="2"/>
      <c r="I1905" s="2"/>
      <c r="J1905" s="2"/>
    </row>
    <row r="1906" spans="1:10" x14ac:dyDescent="0.35">
      <c r="A1906" s="2" t="s">
        <v>1237</v>
      </c>
      <c r="B1906" s="2" t="s">
        <v>1247</v>
      </c>
      <c r="C1906" s="2" t="s">
        <v>24</v>
      </c>
      <c r="D1906" s="2" t="s">
        <v>1251</v>
      </c>
      <c r="E1906" s="2" t="s">
        <v>91</v>
      </c>
      <c r="F1906" s="2" t="s">
        <v>19</v>
      </c>
      <c r="G1906" s="2"/>
      <c r="H1906" s="2"/>
      <c r="I1906" s="2"/>
      <c r="J1906" s="2"/>
    </row>
    <row r="1907" spans="1:10" x14ac:dyDescent="0.35">
      <c r="A1907" s="2" t="s">
        <v>1237</v>
      </c>
      <c r="B1907" s="2" t="s">
        <v>1247</v>
      </c>
      <c r="C1907" s="2" t="s">
        <v>24</v>
      </c>
      <c r="D1907" s="2" t="s">
        <v>1251</v>
      </c>
      <c r="E1907" s="2" t="s">
        <v>87</v>
      </c>
      <c r="F1907" s="2" t="s">
        <v>75</v>
      </c>
      <c r="G1907" s="2"/>
      <c r="H1907" s="2"/>
      <c r="I1907" s="2"/>
      <c r="J1907" s="2"/>
    </row>
    <row r="1908" spans="1:10" x14ac:dyDescent="0.35">
      <c r="A1908" s="2" t="s">
        <v>1237</v>
      </c>
      <c r="B1908" s="2" t="s">
        <v>1247</v>
      </c>
      <c r="C1908" s="2" t="s">
        <v>24</v>
      </c>
      <c r="D1908" s="2" t="s">
        <v>1251</v>
      </c>
      <c r="E1908" s="2" t="s">
        <v>18</v>
      </c>
      <c r="F1908" s="2" t="s">
        <v>19</v>
      </c>
      <c r="G1908" s="2"/>
      <c r="H1908" s="2"/>
      <c r="I1908" s="2"/>
      <c r="J1908" s="2"/>
    </row>
    <row r="1909" spans="1:10" x14ac:dyDescent="0.35">
      <c r="A1909" s="2" t="s">
        <v>1237</v>
      </c>
      <c r="B1909" s="2" t="s">
        <v>1247</v>
      </c>
      <c r="C1909" s="2" t="s">
        <v>24</v>
      </c>
      <c r="D1909" s="2" t="s">
        <v>1251</v>
      </c>
      <c r="E1909" s="2" t="s">
        <v>61</v>
      </c>
      <c r="F1909" s="2" t="s">
        <v>30</v>
      </c>
      <c r="G1909" s="2"/>
      <c r="H1909" s="2"/>
      <c r="I1909" s="2"/>
      <c r="J1909" s="2"/>
    </row>
    <row r="1910" spans="1:10" x14ac:dyDescent="0.35">
      <c r="A1910" s="2" t="s">
        <v>1237</v>
      </c>
      <c r="B1910" s="2" t="s">
        <v>1247</v>
      </c>
      <c r="C1910" s="2" t="s">
        <v>24</v>
      </c>
      <c r="D1910" s="2" t="s">
        <v>1251</v>
      </c>
      <c r="E1910" s="2" t="s">
        <v>1261</v>
      </c>
      <c r="F1910" s="2" t="s">
        <v>277</v>
      </c>
      <c r="G1910" s="2" t="s">
        <v>20</v>
      </c>
      <c r="H1910" s="2" t="s">
        <v>1262</v>
      </c>
      <c r="I1910" s="2"/>
      <c r="J1910" s="2"/>
    </row>
    <row r="1911" spans="1:10" x14ac:dyDescent="0.35">
      <c r="A1911" s="2" t="s">
        <v>1237</v>
      </c>
      <c r="B1911" s="2" t="s">
        <v>1247</v>
      </c>
      <c r="C1911" s="2" t="s">
        <v>24</v>
      </c>
      <c r="D1911" s="2" t="s">
        <v>1251</v>
      </c>
      <c r="E1911" s="2" t="s">
        <v>1263</v>
      </c>
      <c r="F1911" s="2" t="s">
        <v>36</v>
      </c>
      <c r="G1911" s="2"/>
      <c r="H1911" s="2"/>
      <c r="I1911" s="2"/>
      <c r="J1911" s="2"/>
    </row>
    <row r="1912" spans="1:10" x14ac:dyDescent="0.35">
      <c r="A1912" s="2" t="s">
        <v>1237</v>
      </c>
      <c r="B1912" s="2" t="s">
        <v>1247</v>
      </c>
      <c r="C1912" s="2" t="s">
        <v>62</v>
      </c>
      <c r="D1912" s="2" t="s">
        <v>1264</v>
      </c>
      <c r="E1912" s="2" t="s">
        <v>87</v>
      </c>
      <c r="F1912" s="2" t="s">
        <v>75</v>
      </c>
      <c r="G1912" s="2"/>
      <c r="H1912" s="2"/>
      <c r="I1912" s="2"/>
      <c r="J1912" s="2"/>
    </row>
    <row r="1913" spans="1:10" x14ac:dyDescent="0.35">
      <c r="A1913" s="2" t="s">
        <v>1237</v>
      </c>
      <c r="B1913" s="2" t="s">
        <v>1247</v>
      </c>
      <c r="C1913" s="2" t="s">
        <v>24</v>
      </c>
      <c r="D1913" s="2" t="s">
        <v>1265</v>
      </c>
      <c r="E1913" s="2" t="s">
        <v>1252</v>
      </c>
      <c r="F1913" s="2" t="s">
        <v>1253</v>
      </c>
      <c r="G1913" s="2"/>
      <c r="H1913" s="2"/>
      <c r="I1913" s="2"/>
      <c r="J1913" s="2"/>
    </row>
    <row r="1914" spans="1:10" x14ac:dyDescent="0.35">
      <c r="A1914" s="2" t="s">
        <v>1237</v>
      </c>
      <c r="B1914" s="2" t="s">
        <v>1247</v>
      </c>
      <c r="C1914" s="2" t="s">
        <v>24</v>
      </c>
      <c r="D1914" s="2" t="s">
        <v>1265</v>
      </c>
      <c r="E1914" s="2" t="s">
        <v>120</v>
      </c>
      <c r="F1914" s="2" t="s">
        <v>32</v>
      </c>
      <c r="G1914" s="2"/>
      <c r="H1914" s="2"/>
      <c r="I1914" s="2" t="s">
        <v>16</v>
      </c>
      <c r="J1914" s="2" t="s">
        <v>95</v>
      </c>
    </row>
    <row r="1915" spans="1:10" x14ac:dyDescent="0.35">
      <c r="A1915" s="2" t="s">
        <v>1237</v>
      </c>
      <c r="B1915" s="2" t="s">
        <v>1247</v>
      </c>
      <c r="C1915" s="2" t="s">
        <v>24</v>
      </c>
      <c r="D1915" s="2" t="s">
        <v>1265</v>
      </c>
      <c r="E1915" s="2" t="s">
        <v>1257</v>
      </c>
      <c r="F1915" s="2" t="s">
        <v>38</v>
      </c>
      <c r="G1915" s="2"/>
      <c r="H1915" s="2"/>
      <c r="I1915" s="2"/>
      <c r="J1915" s="2"/>
    </row>
    <row r="1916" spans="1:10" x14ac:dyDescent="0.35">
      <c r="A1916" s="2" t="s">
        <v>1237</v>
      </c>
      <c r="B1916" s="2" t="s">
        <v>1247</v>
      </c>
      <c r="C1916" s="2" t="s">
        <v>24</v>
      </c>
      <c r="D1916" s="2" t="s">
        <v>1265</v>
      </c>
      <c r="E1916" s="2" t="s">
        <v>1226</v>
      </c>
      <c r="F1916" s="2" t="s">
        <v>107</v>
      </c>
      <c r="G1916" s="2"/>
      <c r="H1916" s="2"/>
      <c r="I1916" s="2"/>
      <c r="J1916" s="2"/>
    </row>
    <row r="1917" spans="1:10" x14ac:dyDescent="0.35">
      <c r="A1917" s="2" t="s">
        <v>1237</v>
      </c>
      <c r="B1917" s="2" t="s">
        <v>1247</v>
      </c>
      <c r="C1917" s="2" t="s">
        <v>24</v>
      </c>
      <c r="D1917" s="2" t="s">
        <v>1265</v>
      </c>
      <c r="E1917" s="2" t="s">
        <v>121</v>
      </c>
      <c r="F1917" s="2" t="s">
        <v>122</v>
      </c>
      <c r="G1917" s="2"/>
      <c r="H1917" s="2"/>
      <c r="I1917" s="2" t="s">
        <v>16</v>
      </c>
      <c r="J1917" s="2" t="s">
        <v>95</v>
      </c>
    </row>
    <row r="1918" spans="1:10" x14ac:dyDescent="0.35">
      <c r="A1918" s="2" t="s">
        <v>1237</v>
      </c>
      <c r="B1918" s="2" t="s">
        <v>1247</v>
      </c>
      <c r="C1918" s="2" t="s">
        <v>24</v>
      </c>
      <c r="D1918" s="2" t="s">
        <v>1265</v>
      </c>
      <c r="E1918" s="2" t="s">
        <v>91</v>
      </c>
      <c r="F1918" s="2" t="s">
        <v>19</v>
      </c>
      <c r="G1918" s="2"/>
      <c r="H1918" s="2"/>
      <c r="I1918" s="2"/>
      <c r="J1918" s="2"/>
    </row>
    <row r="1919" spans="1:10" x14ac:dyDescent="0.35">
      <c r="A1919" s="2" t="s">
        <v>1237</v>
      </c>
      <c r="B1919" s="2" t="s">
        <v>1247</v>
      </c>
      <c r="C1919" s="2" t="s">
        <v>24</v>
      </c>
      <c r="D1919" s="2" t="s">
        <v>1265</v>
      </c>
      <c r="E1919" s="2" t="s">
        <v>18</v>
      </c>
      <c r="F1919" s="2" t="s">
        <v>19</v>
      </c>
      <c r="G1919" s="2"/>
      <c r="H1919" s="2"/>
      <c r="I1919" s="2"/>
      <c r="J1919" s="2"/>
    </row>
    <row r="1920" spans="1:10" x14ac:dyDescent="0.35">
      <c r="A1920" s="2" t="s">
        <v>1237</v>
      </c>
      <c r="B1920" s="2" t="s">
        <v>1247</v>
      </c>
      <c r="C1920" s="2" t="s">
        <v>24</v>
      </c>
      <c r="D1920" s="2" t="s">
        <v>1265</v>
      </c>
      <c r="E1920" s="2" t="s">
        <v>1261</v>
      </c>
      <c r="F1920" s="2" t="s">
        <v>277</v>
      </c>
      <c r="G1920" s="2"/>
      <c r="H1920" s="2"/>
      <c r="I1920" s="2" t="s">
        <v>16</v>
      </c>
      <c r="J1920" s="2" t="s">
        <v>95</v>
      </c>
    </row>
    <row r="1921" spans="1:10" x14ac:dyDescent="0.35">
      <c r="A1921" s="2" t="s">
        <v>1237</v>
      </c>
      <c r="B1921" s="2" t="s">
        <v>1247</v>
      </c>
      <c r="C1921" s="2" t="s">
        <v>57</v>
      </c>
      <c r="D1921" s="2" t="s">
        <v>1266</v>
      </c>
      <c r="E1921" s="2" t="s">
        <v>1267</v>
      </c>
      <c r="F1921" s="2" t="s">
        <v>32</v>
      </c>
      <c r="G1921" s="2"/>
      <c r="H1921" s="2"/>
      <c r="I1921" s="2"/>
      <c r="J1921" s="2"/>
    </row>
    <row r="1922" spans="1:10" x14ac:dyDescent="0.35">
      <c r="A1922" s="2" t="s">
        <v>1237</v>
      </c>
      <c r="B1922" s="2" t="s">
        <v>1247</v>
      </c>
      <c r="C1922" s="2" t="s">
        <v>57</v>
      </c>
      <c r="D1922" s="2" t="s">
        <v>1266</v>
      </c>
      <c r="E1922" s="2" t="s">
        <v>200</v>
      </c>
      <c r="F1922" s="2" t="s">
        <v>201</v>
      </c>
      <c r="G1922" s="2"/>
      <c r="H1922" s="2"/>
      <c r="I1922" s="2"/>
      <c r="J1922" s="2"/>
    </row>
    <row r="1923" spans="1:10" x14ac:dyDescent="0.35">
      <c r="A1923" s="2" t="s">
        <v>1237</v>
      </c>
      <c r="B1923" s="2" t="s">
        <v>1247</v>
      </c>
      <c r="C1923" s="2" t="s">
        <v>57</v>
      </c>
      <c r="D1923" s="2" t="s">
        <v>1266</v>
      </c>
      <c r="E1923" s="2" t="s">
        <v>1268</v>
      </c>
      <c r="F1923" s="2" t="s">
        <v>75</v>
      </c>
      <c r="G1923" s="2"/>
      <c r="H1923" s="2"/>
      <c r="I1923" s="2"/>
      <c r="J1923" s="2"/>
    </row>
    <row r="1924" spans="1:10" x14ac:dyDescent="0.35">
      <c r="A1924" s="2" t="s">
        <v>1237</v>
      </c>
      <c r="B1924" s="2" t="s">
        <v>1247</v>
      </c>
      <c r="C1924" s="2" t="s">
        <v>57</v>
      </c>
      <c r="D1924" s="2" t="s">
        <v>1266</v>
      </c>
      <c r="E1924" s="2" t="s">
        <v>691</v>
      </c>
      <c r="F1924" s="2" t="s">
        <v>45</v>
      </c>
      <c r="G1924" s="2"/>
      <c r="H1924" s="2"/>
      <c r="I1924" s="2"/>
      <c r="J1924" s="2"/>
    </row>
    <row r="1925" spans="1:10" x14ac:dyDescent="0.35">
      <c r="A1925" s="2" t="s">
        <v>1237</v>
      </c>
      <c r="B1925" s="2" t="s">
        <v>1247</v>
      </c>
      <c r="C1925" s="2" t="s">
        <v>57</v>
      </c>
      <c r="D1925" s="2" t="s">
        <v>1266</v>
      </c>
      <c r="E1925" s="2" t="s">
        <v>112</v>
      </c>
      <c r="F1925" s="2" t="s">
        <v>113</v>
      </c>
      <c r="G1925" s="2"/>
      <c r="H1925" s="2"/>
      <c r="I1925" s="2"/>
      <c r="J1925" s="2"/>
    </row>
    <row r="1926" spans="1:10" x14ac:dyDescent="0.35">
      <c r="A1926" s="2" t="s">
        <v>1237</v>
      </c>
      <c r="B1926" s="2" t="s">
        <v>1247</v>
      </c>
      <c r="C1926" s="2" t="s">
        <v>24</v>
      </c>
      <c r="D1926" s="2" t="s">
        <v>1269</v>
      </c>
      <c r="E1926" s="2" t="s">
        <v>144</v>
      </c>
      <c r="F1926" s="2" t="s">
        <v>50</v>
      </c>
      <c r="G1926" s="2"/>
      <c r="H1926" s="2"/>
      <c r="I1926" s="2"/>
      <c r="J1926" s="2"/>
    </row>
    <row r="1927" spans="1:10" x14ac:dyDescent="0.35">
      <c r="A1927" s="2" t="s">
        <v>1237</v>
      </c>
      <c r="B1927" s="2" t="s">
        <v>1247</v>
      </c>
      <c r="C1927" s="2" t="s">
        <v>24</v>
      </c>
      <c r="D1927" s="2" t="s">
        <v>1269</v>
      </c>
      <c r="E1927" s="2" t="s">
        <v>120</v>
      </c>
      <c r="F1927" s="2" t="s">
        <v>32</v>
      </c>
      <c r="G1927" s="2"/>
      <c r="H1927" s="2"/>
      <c r="I1927" s="2"/>
      <c r="J1927" s="2"/>
    </row>
    <row r="1928" spans="1:10" x14ac:dyDescent="0.35">
      <c r="A1928" s="2" t="s">
        <v>1237</v>
      </c>
      <c r="B1928" s="2" t="s">
        <v>1247</v>
      </c>
      <c r="C1928" s="2" t="s">
        <v>24</v>
      </c>
      <c r="D1928" s="2" t="s">
        <v>1269</v>
      </c>
      <c r="E1928" s="2" t="s">
        <v>121</v>
      </c>
      <c r="F1928" s="2" t="s">
        <v>122</v>
      </c>
      <c r="G1928" s="2"/>
      <c r="H1928" s="2"/>
      <c r="I1928" s="2"/>
      <c r="J1928" s="2"/>
    </row>
    <row r="1929" spans="1:10" x14ac:dyDescent="0.35">
      <c r="A1929" s="2" t="s">
        <v>1237</v>
      </c>
      <c r="B1929" s="2" t="s">
        <v>1247</v>
      </c>
      <c r="C1929" s="2" t="s">
        <v>24</v>
      </c>
      <c r="D1929" s="2" t="s">
        <v>1269</v>
      </c>
      <c r="E1929" s="2" t="s">
        <v>1270</v>
      </c>
      <c r="F1929" s="2" t="s">
        <v>75</v>
      </c>
      <c r="G1929" s="2"/>
      <c r="H1929" s="2"/>
      <c r="I1929" s="2"/>
      <c r="J1929" s="2"/>
    </row>
    <row r="1930" spans="1:10" x14ac:dyDescent="0.35">
      <c r="A1930" s="2" t="s">
        <v>1237</v>
      </c>
      <c r="B1930" s="2" t="s">
        <v>1247</v>
      </c>
      <c r="C1930" s="2" t="s">
        <v>24</v>
      </c>
      <c r="D1930" s="2" t="s">
        <v>1269</v>
      </c>
      <c r="E1930" s="2" t="s">
        <v>213</v>
      </c>
      <c r="F1930" s="2" t="s">
        <v>45</v>
      </c>
      <c r="G1930" s="2"/>
      <c r="H1930" s="2"/>
      <c r="I1930" s="2"/>
      <c r="J1930" s="2"/>
    </row>
    <row r="1931" spans="1:10" x14ac:dyDescent="0.35">
      <c r="A1931" s="2" t="s">
        <v>1237</v>
      </c>
      <c r="B1931" s="2" t="s">
        <v>1247</v>
      </c>
      <c r="C1931" s="2" t="s">
        <v>24</v>
      </c>
      <c r="D1931" s="2" t="s">
        <v>1269</v>
      </c>
      <c r="E1931" s="2" t="s">
        <v>91</v>
      </c>
      <c r="F1931" s="2" t="s">
        <v>19</v>
      </c>
      <c r="G1931" s="2"/>
      <c r="H1931" s="2"/>
      <c r="I1931" s="2"/>
      <c r="J1931" s="2"/>
    </row>
    <row r="1932" spans="1:10" x14ac:dyDescent="0.35">
      <c r="A1932" s="2" t="s">
        <v>1237</v>
      </c>
      <c r="B1932" s="2" t="s">
        <v>1247</v>
      </c>
      <c r="C1932" s="2" t="s">
        <v>24</v>
      </c>
      <c r="D1932" s="2" t="s">
        <v>1269</v>
      </c>
      <c r="E1932" s="2" t="s">
        <v>188</v>
      </c>
      <c r="F1932" s="2" t="s">
        <v>189</v>
      </c>
      <c r="G1932" s="2"/>
      <c r="H1932" s="2"/>
      <c r="I1932" s="2"/>
      <c r="J1932" s="2"/>
    </row>
    <row r="1933" spans="1:10" x14ac:dyDescent="0.35">
      <c r="A1933" s="2" t="s">
        <v>1237</v>
      </c>
      <c r="B1933" s="2" t="s">
        <v>1247</v>
      </c>
      <c r="C1933" s="2" t="s">
        <v>24</v>
      </c>
      <c r="D1933" s="2" t="s">
        <v>1271</v>
      </c>
      <c r="E1933" s="2" t="s">
        <v>1252</v>
      </c>
      <c r="F1933" s="2" t="s">
        <v>1253</v>
      </c>
      <c r="G1933" s="2"/>
      <c r="H1933" s="2"/>
      <c r="I1933" s="2"/>
      <c r="J1933" s="2"/>
    </row>
    <row r="1934" spans="1:10" x14ac:dyDescent="0.35">
      <c r="A1934" s="2" t="s">
        <v>1237</v>
      </c>
      <c r="B1934" s="2" t="s">
        <v>1247</v>
      </c>
      <c r="C1934" s="2" t="s">
        <v>24</v>
      </c>
      <c r="D1934" s="2" t="s">
        <v>1271</v>
      </c>
      <c r="E1934" s="2" t="s">
        <v>1257</v>
      </c>
      <c r="F1934" s="2" t="s">
        <v>38</v>
      </c>
      <c r="G1934" s="2"/>
      <c r="H1934" s="2"/>
      <c r="I1934" s="2"/>
      <c r="J1934" s="2"/>
    </row>
    <row r="1935" spans="1:10" x14ac:dyDescent="0.35">
      <c r="A1935" s="2" t="s">
        <v>1237</v>
      </c>
      <c r="B1935" s="2" t="s">
        <v>1247</v>
      </c>
      <c r="C1935" s="2" t="s">
        <v>24</v>
      </c>
      <c r="D1935" s="2" t="s">
        <v>1271</v>
      </c>
      <c r="E1935" s="2" t="s">
        <v>82</v>
      </c>
      <c r="F1935" s="2" t="s">
        <v>83</v>
      </c>
      <c r="G1935" s="2" t="s">
        <v>20</v>
      </c>
      <c r="H1935" s="2" t="s">
        <v>1272</v>
      </c>
      <c r="I1935" s="2"/>
      <c r="J1935" s="2"/>
    </row>
    <row r="1936" spans="1:10" x14ac:dyDescent="0.35">
      <c r="A1936" s="2" t="s">
        <v>1237</v>
      </c>
      <c r="B1936" s="2" t="s">
        <v>1247</v>
      </c>
      <c r="C1936" s="2" t="s">
        <v>24</v>
      </c>
      <c r="D1936" s="2" t="s">
        <v>1271</v>
      </c>
      <c r="E1936" s="2" t="s">
        <v>1260</v>
      </c>
      <c r="F1936" s="2" t="s">
        <v>363</v>
      </c>
      <c r="G1936" s="2"/>
      <c r="H1936" s="2"/>
      <c r="I1936" s="2"/>
      <c r="J1936" s="2"/>
    </row>
    <row r="1937" spans="1:10" x14ac:dyDescent="0.35">
      <c r="A1937" s="2" t="s">
        <v>1237</v>
      </c>
      <c r="B1937" s="2" t="s">
        <v>1247</v>
      </c>
      <c r="C1937" s="2" t="s">
        <v>24</v>
      </c>
      <c r="D1937" s="2" t="s">
        <v>1271</v>
      </c>
      <c r="E1937" s="2" t="s">
        <v>1226</v>
      </c>
      <c r="F1937" s="2" t="s">
        <v>107</v>
      </c>
      <c r="G1937" s="2"/>
      <c r="H1937" s="2"/>
      <c r="I1937" s="2"/>
      <c r="J1937" s="2"/>
    </row>
    <row r="1938" spans="1:10" x14ac:dyDescent="0.35">
      <c r="A1938" s="2" t="s">
        <v>1237</v>
      </c>
      <c r="B1938" s="2" t="s">
        <v>1247</v>
      </c>
      <c r="C1938" s="2" t="s">
        <v>24</v>
      </c>
      <c r="D1938" s="2" t="s">
        <v>1271</v>
      </c>
      <c r="E1938" s="2" t="s">
        <v>87</v>
      </c>
      <c r="F1938" s="2" t="s">
        <v>75</v>
      </c>
      <c r="G1938" s="2"/>
      <c r="H1938" s="2"/>
      <c r="I1938" s="2"/>
      <c r="J1938" s="2"/>
    </row>
    <row r="1939" spans="1:10" x14ac:dyDescent="0.35">
      <c r="A1939" s="2" t="s">
        <v>1237</v>
      </c>
      <c r="B1939" s="2" t="s">
        <v>1247</v>
      </c>
      <c r="C1939" s="2" t="s">
        <v>24</v>
      </c>
      <c r="D1939" s="2" t="s">
        <v>1271</v>
      </c>
      <c r="E1939" s="2" t="s">
        <v>18</v>
      </c>
      <c r="F1939" s="2" t="s">
        <v>19</v>
      </c>
      <c r="G1939" s="2"/>
      <c r="H1939" s="2"/>
      <c r="I1939" s="2"/>
      <c r="J1939" s="2"/>
    </row>
    <row r="1940" spans="1:10" x14ac:dyDescent="0.35">
      <c r="A1940" s="2" t="s">
        <v>1237</v>
      </c>
      <c r="B1940" s="2" t="s">
        <v>1247</v>
      </c>
      <c r="C1940" s="2" t="s">
        <v>24</v>
      </c>
      <c r="D1940" s="2" t="s">
        <v>1271</v>
      </c>
      <c r="E1940" s="2" t="s">
        <v>61</v>
      </c>
      <c r="F1940" s="2" t="s">
        <v>30</v>
      </c>
      <c r="G1940" s="2"/>
      <c r="H1940" s="2"/>
      <c r="I1940" s="2"/>
      <c r="J1940" s="2"/>
    </row>
    <row r="1941" spans="1:10" x14ac:dyDescent="0.35">
      <c r="A1941" s="2" t="s">
        <v>1237</v>
      </c>
      <c r="B1941" s="2" t="s">
        <v>1247</v>
      </c>
      <c r="C1941" s="2" t="s">
        <v>24</v>
      </c>
      <c r="D1941" s="2" t="s">
        <v>1271</v>
      </c>
      <c r="E1941" s="2" t="s">
        <v>1261</v>
      </c>
      <c r="F1941" s="2" t="s">
        <v>277</v>
      </c>
      <c r="G1941" s="2"/>
      <c r="H1941" s="2"/>
      <c r="I1941" s="2"/>
      <c r="J1941" s="2"/>
    </row>
    <row r="1942" spans="1:10" x14ac:dyDescent="0.35">
      <c r="A1942" s="2" t="s">
        <v>1237</v>
      </c>
      <c r="B1942" s="2" t="s">
        <v>1247</v>
      </c>
      <c r="C1942" s="2" t="s">
        <v>24</v>
      </c>
      <c r="D1942" s="2" t="s">
        <v>1271</v>
      </c>
      <c r="E1942" s="2" t="s">
        <v>1263</v>
      </c>
      <c r="F1942" s="2" t="s">
        <v>36</v>
      </c>
      <c r="G1942" s="2"/>
      <c r="H1942" s="2"/>
      <c r="I1942" s="2"/>
      <c r="J1942" s="2"/>
    </row>
    <row r="1943" spans="1:10" x14ac:dyDescent="0.35">
      <c r="A1943" s="2" t="s">
        <v>1237</v>
      </c>
      <c r="B1943" s="2" t="s">
        <v>1247</v>
      </c>
      <c r="C1943" s="2" t="s">
        <v>62</v>
      </c>
      <c r="D1943" s="2" t="s">
        <v>1273</v>
      </c>
      <c r="E1943" s="2" t="s">
        <v>91</v>
      </c>
      <c r="F1943" s="2" t="s">
        <v>19</v>
      </c>
      <c r="G1943" s="2" t="s">
        <v>46</v>
      </c>
      <c r="H1943" s="2" t="s">
        <v>1274</v>
      </c>
      <c r="I1943" s="2"/>
      <c r="J1943" s="2"/>
    </row>
    <row r="1944" spans="1:10" x14ac:dyDescent="0.35">
      <c r="A1944" s="2" t="s">
        <v>1237</v>
      </c>
      <c r="B1944" s="2" t="s">
        <v>1247</v>
      </c>
      <c r="C1944" s="2" t="s">
        <v>62</v>
      </c>
      <c r="D1944" s="2" t="s">
        <v>1273</v>
      </c>
      <c r="E1944" s="2" t="s">
        <v>1249</v>
      </c>
      <c r="F1944" s="2" t="s">
        <v>75</v>
      </c>
      <c r="G1944" s="2"/>
      <c r="H1944" s="2"/>
      <c r="I1944" s="2"/>
      <c r="J1944" s="2"/>
    </row>
    <row r="1945" spans="1:10" x14ac:dyDescent="0.35">
      <c r="A1945" s="2" t="s">
        <v>1237</v>
      </c>
      <c r="B1945" s="2" t="s">
        <v>1247</v>
      </c>
      <c r="C1945" s="2" t="s">
        <v>62</v>
      </c>
      <c r="D1945" s="2" t="s">
        <v>1275</v>
      </c>
      <c r="E1945" s="2" t="s">
        <v>91</v>
      </c>
      <c r="F1945" s="2" t="s">
        <v>19</v>
      </c>
      <c r="G1945" s="2"/>
      <c r="H1945" s="2"/>
      <c r="I1945" s="2"/>
      <c r="J1945" s="2"/>
    </row>
    <row r="1946" spans="1:10" x14ac:dyDescent="0.35">
      <c r="A1946" s="2" t="s">
        <v>1237</v>
      </c>
      <c r="B1946" s="2" t="s">
        <v>1247</v>
      </c>
      <c r="C1946" s="2" t="s">
        <v>62</v>
      </c>
      <c r="D1946" s="2" t="s">
        <v>1275</v>
      </c>
      <c r="E1946" s="2" t="s">
        <v>1249</v>
      </c>
      <c r="F1946" s="2" t="s">
        <v>75</v>
      </c>
      <c r="G1946" s="2"/>
      <c r="H1946" s="2"/>
      <c r="I1946" s="2"/>
      <c r="J1946" s="2"/>
    </row>
    <row r="1947" spans="1:10" x14ac:dyDescent="0.35">
      <c r="A1947" s="2" t="s">
        <v>1237</v>
      </c>
      <c r="B1947" s="2" t="s">
        <v>1247</v>
      </c>
      <c r="C1947" s="2" t="s">
        <v>24</v>
      </c>
      <c r="D1947" s="2" t="s">
        <v>1276</v>
      </c>
      <c r="E1947" s="2" t="s">
        <v>1277</v>
      </c>
      <c r="F1947" s="2" t="s">
        <v>36</v>
      </c>
      <c r="G1947" s="2"/>
      <c r="H1947" s="2"/>
      <c r="I1947" s="2"/>
      <c r="J1947" s="2"/>
    </row>
    <row r="1948" spans="1:10" x14ac:dyDescent="0.35">
      <c r="A1948" s="2" t="s">
        <v>1237</v>
      </c>
      <c r="B1948" s="2" t="s">
        <v>1247</v>
      </c>
      <c r="C1948" s="2" t="s">
        <v>24</v>
      </c>
      <c r="D1948" s="2" t="s">
        <v>1276</v>
      </c>
      <c r="E1948" s="2" t="s">
        <v>31</v>
      </c>
      <c r="F1948" s="2" t="s">
        <v>32</v>
      </c>
      <c r="G1948" s="2"/>
      <c r="H1948" s="2"/>
      <c r="I1948" s="2"/>
      <c r="J1948" s="2"/>
    </row>
    <row r="1949" spans="1:10" x14ac:dyDescent="0.35">
      <c r="A1949" s="2" t="s">
        <v>1237</v>
      </c>
      <c r="B1949" s="2" t="s">
        <v>1247</v>
      </c>
      <c r="C1949" s="2" t="s">
        <v>24</v>
      </c>
      <c r="D1949" s="2" t="s">
        <v>1276</v>
      </c>
      <c r="E1949" s="2" t="s">
        <v>1278</v>
      </c>
      <c r="F1949" s="2" t="s">
        <v>50</v>
      </c>
      <c r="G1949" s="2"/>
      <c r="H1949" s="2"/>
      <c r="I1949" s="2"/>
      <c r="J1949" s="2"/>
    </row>
    <row r="1950" spans="1:10" x14ac:dyDescent="0.35">
      <c r="A1950" s="2" t="s">
        <v>1237</v>
      </c>
      <c r="B1950" s="2" t="s">
        <v>1247</v>
      </c>
      <c r="C1950" s="2" t="s">
        <v>54</v>
      </c>
      <c r="D1950" s="2" t="s">
        <v>1279</v>
      </c>
      <c r="E1950" s="2" t="s">
        <v>87</v>
      </c>
      <c r="F1950" s="2" t="s">
        <v>75</v>
      </c>
      <c r="G1950" s="2" t="s">
        <v>20</v>
      </c>
      <c r="H1950" s="2" t="s">
        <v>1280</v>
      </c>
      <c r="I1950" s="2"/>
      <c r="J1950" s="2"/>
    </row>
    <row r="1951" spans="1:10" x14ac:dyDescent="0.35">
      <c r="A1951" s="2" t="s">
        <v>1237</v>
      </c>
      <c r="B1951" s="2" t="s">
        <v>1247</v>
      </c>
      <c r="C1951" s="2" t="s">
        <v>12</v>
      </c>
      <c r="D1951" s="2" t="s">
        <v>1281</v>
      </c>
      <c r="E1951" s="2" t="s">
        <v>213</v>
      </c>
      <c r="F1951" s="2" t="s">
        <v>45</v>
      </c>
      <c r="G1951" s="2" t="s">
        <v>46</v>
      </c>
      <c r="H1951" s="2" t="s">
        <v>47</v>
      </c>
      <c r="I1951" s="2"/>
      <c r="J1951" s="2"/>
    </row>
    <row r="1952" spans="1:10" x14ac:dyDescent="0.35">
      <c r="A1952" s="2" t="s">
        <v>1237</v>
      </c>
      <c r="B1952" s="2" t="s">
        <v>1247</v>
      </c>
      <c r="C1952" s="2" t="s">
        <v>12</v>
      </c>
      <c r="D1952" s="2" t="s">
        <v>1281</v>
      </c>
      <c r="E1952" s="2" t="s">
        <v>91</v>
      </c>
      <c r="F1952" s="2" t="s">
        <v>19</v>
      </c>
      <c r="G1952" s="2" t="s">
        <v>20</v>
      </c>
      <c r="H1952" s="2" t="s">
        <v>1282</v>
      </c>
      <c r="I1952" s="2"/>
      <c r="J1952" s="2"/>
    </row>
    <row r="1953" spans="1:10" x14ac:dyDescent="0.35">
      <c r="A1953" s="2" t="s">
        <v>1237</v>
      </c>
      <c r="B1953" s="2" t="s">
        <v>1247</v>
      </c>
      <c r="C1953" s="2" t="s">
        <v>12</v>
      </c>
      <c r="D1953" s="2" t="s">
        <v>1281</v>
      </c>
      <c r="E1953" s="2" t="s">
        <v>188</v>
      </c>
      <c r="F1953" s="2" t="s">
        <v>189</v>
      </c>
      <c r="G1953" s="2"/>
      <c r="H1953" s="2"/>
      <c r="I1953" s="2"/>
      <c r="J1953" s="2"/>
    </row>
    <row r="1954" spans="1:10" s="21" customFormat="1" x14ac:dyDescent="0.35">
      <c r="A1954" s="2" t="s">
        <v>1237</v>
      </c>
      <c r="B1954" s="2" t="s">
        <v>1247</v>
      </c>
      <c r="C1954" s="2" t="s">
        <v>12</v>
      </c>
      <c r="D1954" s="2" t="s">
        <v>1281</v>
      </c>
      <c r="E1954" s="2" t="s">
        <v>149</v>
      </c>
      <c r="F1954" s="2" t="s">
        <v>150</v>
      </c>
      <c r="G1954" s="2"/>
      <c r="H1954" s="2"/>
      <c r="I1954" s="2"/>
      <c r="J1954" s="2"/>
    </row>
    <row r="1955" spans="1:10" x14ac:dyDescent="0.35">
      <c r="A1955" s="2" t="s">
        <v>1237</v>
      </c>
      <c r="B1955" s="2" t="s">
        <v>1247</v>
      </c>
      <c r="C1955" s="2" t="s">
        <v>12</v>
      </c>
      <c r="D1955" s="2" t="s">
        <v>1281</v>
      </c>
      <c r="E1955" s="2" t="s">
        <v>1283</v>
      </c>
      <c r="F1955" s="2" t="s">
        <v>65</v>
      </c>
      <c r="G1955" s="2"/>
      <c r="H1955" s="2"/>
      <c r="I1955" s="2"/>
      <c r="J1955" s="2"/>
    </row>
    <row r="1956" spans="1:10" x14ac:dyDescent="0.35">
      <c r="A1956" s="2" t="s">
        <v>1237</v>
      </c>
      <c r="B1956" s="2" t="s">
        <v>1247</v>
      </c>
      <c r="C1956" s="2" t="s">
        <v>12</v>
      </c>
      <c r="D1956" s="2" t="s">
        <v>1284</v>
      </c>
      <c r="E1956" s="2" t="s">
        <v>213</v>
      </c>
      <c r="F1956" s="2" t="s">
        <v>45</v>
      </c>
      <c r="G1956" s="2"/>
      <c r="H1956" s="2"/>
      <c r="I1956" s="2"/>
      <c r="J1956" s="2"/>
    </row>
    <row r="1957" spans="1:10" x14ac:dyDescent="0.35">
      <c r="A1957" s="2" t="s">
        <v>1237</v>
      </c>
      <c r="B1957" s="2" t="s">
        <v>1247</v>
      </c>
      <c r="C1957" s="2" t="s">
        <v>12</v>
      </c>
      <c r="D1957" s="2" t="s">
        <v>1284</v>
      </c>
      <c r="E1957" s="2" t="s">
        <v>91</v>
      </c>
      <c r="F1957" s="2" t="s">
        <v>19</v>
      </c>
      <c r="G1957" s="2"/>
      <c r="H1957" s="2"/>
      <c r="I1957" s="2"/>
      <c r="J1957" s="2"/>
    </row>
    <row r="1958" spans="1:10" x14ac:dyDescent="0.35">
      <c r="A1958" s="2" t="s">
        <v>1237</v>
      </c>
      <c r="B1958" s="2" t="s">
        <v>1247</v>
      </c>
      <c r="C1958" s="2" t="s">
        <v>12</v>
      </c>
      <c r="D1958" s="2" t="s">
        <v>1284</v>
      </c>
      <c r="E1958" s="2" t="s">
        <v>204</v>
      </c>
      <c r="F1958" s="2" t="s">
        <v>40</v>
      </c>
      <c r="G1958" s="2"/>
      <c r="H1958" s="2"/>
      <c r="I1958" s="2"/>
      <c r="J1958" s="2"/>
    </row>
    <row r="1959" spans="1:10" x14ac:dyDescent="0.35">
      <c r="A1959" s="2" t="s">
        <v>1237</v>
      </c>
      <c r="B1959" s="2" t="s">
        <v>1247</v>
      </c>
      <c r="C1959" s="2" t="s">
        <v>12</v>
      </c>
      <c r="D1959" s="2" t="s">
        <v>1284</v>
      </c>
      <c r="E1959" s="2" t="s">
        <v>188</v>
      </c>
      <c r="F1959" s="2" t="s">
        <v>189</v>
      </c>
      <c r="G1959" s="2"/>
      <c r="H1959" s="2"/>
      <c r="I1959" s="2"/>
      <c r="J1959" s="2"/>
    </row>
    <row r="1960" spans="1:10" x14ac:dyDescent="0.35">
      <c r="A1960" s="2" t="s">
        <v>1237</v>
      </c>
      <c r="B1960" s="2" t="s">
        <v>1247</v>
      </c>
      <c r="C1960" s="2" t="s">
        <v>12</v>
      </c>
      <c r="D1960" s="2" t="s">
        <v>1284</v>
      </c>
      <c r="E1960" s="2" t="s">
        <v>149</v>
      </c>
      <c r="F1960" s="2" t="s">
        <v>150</v>
      </c>
      <c r="G1960" s="2"/>
      <c r="H1960" s="2"/>
      <c r="I1960" s="2"/>
      <c r="J1960" s="2"/>
    </row>
    <row r="1961" spans="1:10" x14ac:dyDescent="0.35">
      <c r="A1961" s="2" t="s">
        <v>1237</v>
      </c>
      <c r="B1961" s="2" t="s">
        <v>1247</v>
      </c>
      <c r="C1961" s="2" t="s">
        <v>12</v>
      </c>
      <c r="D1961" s="2" t="s">
        <v>1284</v>
      </c>
      <c r="E1961" s="2" t="s">
        <v>1285</v>
      </c>
      <c r="F1961" s="2" t="s">
        <v>65</v>
      </c>
      <c r="G1961" s="2"/>
      <c r="H1961" s="2"/>
      <c r="I1961" s="2"/>
      <c r="J1961" s="2"/>
    </row>
    <row r="1962" spans="1:10" x14ac:dyDescent="0.35">
      <c r="A1962" s="2" t="s">
        <v>1237</v>
      </c>
      <c r="B1962" s="2" t="s">
        <v>1247</v>
      </c>
      <c r="C1962" s="2" t="s">
        <v>62</v>
      </c>
      <c r="D1962" s="2" t="s">
        <v>1286</v>
      </c>
      <c r="E1962" s="2" t="s">
        <v>91</v>
      </c>
      <c r="F1962" s="2" t="s">
        <v>19</v>
      </c>
      <c r="G1962" s="2"/>
      <c r="H1962" s="2"/>
      <c r="I1962" s="2"/>
      <c r="J1962" s="2"/>
    </row>
    <row r="1963" spans="1:10" x14ac:dyDescent="0.35">
      <c r="A1963" s="2" t="s">
        <v>1237</v>
      </c>
      <c r="B1963" s="2" t="s">
        <v>1247</v>
      </c>
      <c r="C1963" s="2" t="s">
        <v>62</v>
      </c>
      <c r="D1963" s="2" t="s">
        <v>1286</v>
      </c>
      <c r="E1963" s="2" t="s">
        <v>1249</v>
      </c>
      <c r="F1963" s="2" t="s">
        <v>75</v>
      </c>
      <c r="G1963" s="2"/>
      <c r="H1963" s="2"/>
      <c r="I1963" s="2"/>
      <c r="J1963" s="2"/>
    </row>
    <row r="1964" spans="1:10" x14ac:dyDescent="0.35">
      <c r="A1964" s="2" t="s">
        <v>1237</v>
      </c>
      <c r="B1964" s="2" t="s">
        <v>1247</v>
      </c>
      <c r="C1964" s="2" t="s">
        <v>62</v>
      </c>
      <c r="D1964" s="2" t="s">
        <v>1287</v>
      </c>
      <c r="E1964" s="2" t="s">
        <v>87</v>
      </c>
      <c r="F1964" s="2" t="s">
        <v>75</v>
      </c>
      <c r="G1964" s="2"/>
      <c r="H1964" s="2"/>
      <c r="I1964" s="2"/>
      <c r="J1964" s="2"/>
    </row>
    <row r="1965" spans="1:10" x14ac:dyDescent="0.35">
      <c r="A1965" s="2" t="s">
        <v>1237</v>
      </c>
      <c r="B1965" s="2" t="s">
        <v>1247</v>
      </c>
      <c r="C1965" s="2" t="s">
        <v>12</v>
      </c>
      <c r="D1965" s="2" t="s">
        <v>1288</v>
      </c>
      <c r="E1965" s="2" t="s">
        <v>1283</v>
      </c>
      <c r="F1965" s="2" t="s">
        <v>65</v>
      </c>
      <c r="G1965" s="2"/>
      <c r="H1965" s="2"/>
      <c r="I1965" s="2"/>
      <c r="J1965" s="2"/>
    </row>
    <row r="1966" spans="1:10" x14ac:dyDescent="0.35">
      <c r="A1966" s="2" t="s">
        <v>1237</v>
      </c>
      <c r="B1966" s="2" t="s">
        <v>1247</v>
      </c>
      <c r="C1966" s="2" t="s">
        <v>24</v>
      </c>
      <c r="D1966" s="2" t="s">
        <v>1289</v>
      </c>
      <c r="E1966" s="2" t="s">
        <v>82</v>
      </c>
      <c r="F1966" s="2" t="s">
        <v>83</v>
      </c>
      <c r="G1966" s="2"/>
      <c r="H1966" s="2" t="s">
        <v>1290</v>
      </c>
      <c r="I1966" s="2"/>
      <c r="J1966" s="2"/>
    </row>
    <row r="1967" spans="1:10" x14ac:dyDescent="0.35">
      <c r="A1967" s="2" t="s">
        <v>1237</v>
      </c>
      <c r="B1967" s="2" t="s">
        <v>1247</v>
      </c>
      <c r="C1967" s="2" t="s">
        <v>24</v>
      </c>
      <c r="D1967" s="2" t="s">
        <v>1289</v>
      </c>
      <c r="E1967" s="2" t="s">
        <v>91</v>
      </c>
      <c r="F1967" s="2" t="s">
        <v>19</v>
      </c>
      <c r="G1967" s="2" t="s">
        <v>20</v>
      </c>
      <c r="H1967" s="2" t="s">
        <v>1291</v>
      </c>
      <c r="I1967" s="2"/>
      <c r="J1967" s="2"/>
    </row>
    <row r="1968" spans="1:10" x14ac:dyDescent="0.35">
      <c r="A1968" s="2" t="s">
        <v>1237</v>
      </c>
      <c r="B1968" s="2" t="s">
        <v>1247</v>
      </c>
      <c r="C1968" s="2" t="s">
        <v>24</v>
      </c>
      <c r="D1968" s="2" t="s">
        <v>1292</v>
      </c>
      <c r="E1968" s="2" t="s">
        <v>1252</v>
      </c>
      <c r="F1968" s="2" t="s">
        <v>1253</v>
      </c>
      <c r="G1968" s="2"/>
      <c r="H1968" s="2"/>
      <c r="I1968" s="2"/>
      <c r="J1968" s="2"/>
    </row>
    <row r="1969" spans="1:10" x14ac:dyDescent="0.35">
      <c r="A1969" s="2" t="s">
        <v>1237</v>
      </c>
      <c r="B1969" s="2" t="s">
        <v>1247</v>
      </c>
      <c r="C1969" s="2" t="s">
        <v>24</v>
      </c>
      <c r="D1969" s="2" t="s">
        <v>1292</v>
      </c>
      <c r="E1969" s="2" t="s">
        <v>1257</v>
      </c>
      <c r="F1969" s="2" t="s">
        <v>38</v>
      </c>
      <c r="G1969" s="2"/>
      <c r="H1969" s="2"/>
      <c r="I1969" s="2"/>
      <c r="J1969" s="2"/>
    </row>
    <row r="1970" spans="1:10" x14ac:dyDescent="0.35">
      <c r="A1970" s="2" t="s">
        <v>1237</v>
      </c>
      <c r="B1970" s="2" t="s">
        <v>1247</v>
      </c>
      <c r="C1970" s="2" t="s">
        <v>24</v>
      </c>
      <c r="D1970" s="2" t="s">
        <v>1292</v>
      </c>
      <c r="E1970" s="2" t="s">
        <v>1226</v>
      </c>
      <c r="F1970" s="2" t="s">
        <v>107</v>
      </c>
      <c r="G1970" s="2"/>
      <c r="H1970" s="2"/>
      <c r="I1970" s="2"/>
      <c r="J1970" s="2"/>
    </row>
    <row r="1971" spans="1:10" x14ac:dyDescent="0.35">
      <c r="A1971" s="2" t="s">
        <v>1237</v>
      </c>
      <c r="B1971" s="2" t="s">
        <v>1247</v>
      </c>
      <c r="C1971" s="2" t="s">
        <v>24</v>
      </c>
      <c r="D1971" s="2" t="s">
        <v>1292</v>
      </c>
      <c r="E1971" s="2" t="s">
        <v>87</v>
      </c>
      <c r="F1971" s="2" t="s">
        <v>75</v>
      </c>
      <c r="G1971" s="2"/>
      <c r="H1971" s="2"/>
      <c r="I1971" s="2"/>
      <c r="J1971" s="2"/>
    </row>
    <row r="1972" spans="1:10" x14ac:dyDescent="0.35">
      <c r="A1972" s="2" t="s">
        <v>1237</v>
      </c>
      <c r="B1972" s="2" t="s">
        <v>1247</v>
      </c>
      <c r="C1972" s="2" t="s">
        <v>24</v>
      </c>
      <c r="D1972" s="2" t="s">
        <v>1292</v>
      </c>
      <c r="E1972" s="2" t="s">
        <v>18</v>
      </c>
      <c r="F1972" s="2" t="s">
        <v>19</v>
      </c>
      <c r="G1972" s="2"/>
      <c r="H1972" s="2"/>
      <c r="I1972" s="2"/>
      <c r="J1972" s="2"/>
    </row>
    <row r="1973" spans="1:10" x14ac:dyDescent="0.35">
      <c r="A1973" s="2" t="s">
        <v>1237</v>
      </c>
      <c r="B1973" s="2" t="s">
        <v>1247</v>
      </c>
      <c r="C1973" s="2" t="s">
        <v>24</v>
      </c>
      <c r="D1973" s="2" t="s">
        <v>1292</v>
      </c>
      <c r="E1973" s="2" t="s">
        <v>1261</v>
      </c>
      <c r="F1973" s="2" t="s">
        <v>277</v>
      </c>
      <c r="G1973" s="2"/>
      <c r="H1973" s="2"/>
      <c r="I1973" s="2"/>
      <c r="J1973" s="2"/>
    </row>
    <row r="1974" spans="1:10" x14ac:dyDescent="0.35">
      <c r="A1974" s="2" t="s">
        <v>1237</v>
      </c>
      <c r="B1974" s="2" t="s">
        <v>1247</v>
      </c>
      <c r="C1974" s="2" t="s">
        <v>62</v>
      </c>
      <c r="D1974" s="2" t="s">
        <v>1293</v>
      </c>
      <c r="E1974" s="2" t="s">
        <v>1294</v>
      </c>
      <c r="F1974" s="2" t="s">
        <v>50</v>
      </c>
      <c r="G1974" s="2"/>
      <c r="H1974" s="2"/>
      <c r="I1974" s="2"/>
      <c r="J1974" s="2"/>
    </row>
    <row r="1975" spans="1:10" x14ac:dyDescent="0.35">
      <c r="A1975" s="2" t="s">
        <v>1237</v>
      </c>
      <c r="B1975" s="2" t="s">
        <v>1247</v>
      </c>
      <c r="C1975" s="2" t="s">
        <v>62</v>
      </c>
      <c r="D1975" s="2" t="s">
        <v>1293</v>
      </c>
      <c r="E1975" s="2" t="s">
        <v>1295</v>
      </c>
      <c r="F1975" s="2" t="s">
        <v>50</v>
      </c>
      <c r="G1975" s="2"/>
      <c r="H1975" s="2"/>
      <c r="I1975" s="2"/>
      <c r="J1975" s="2"/>
    </row>
    <row r="1976" spans="1:10" x14ac:dyDescent="0.35">
      <c r="A1976" s="2" t="s">
        <v>1237</v>
      </c>
      <c r="B1976" s="2" t="s">
        <v>1247</v>
      </c>
      <c r="C1976" s="2" t="s">
        <v>62</v>
      </c>
      <c r="D1976" s="2" t="s">
        <v>1293</v>
      </c>
      <c r="E1976" s="2" t="s">
        <v>1296</v>
      </c>
      <c r="F1976" s="2" t="s">
        <v>50</v>
      </c>
      <c r="G1976" s="2"/>
      <c r="H1976" s="2"/>
      <c r="I1976" s="2"/>
      <c r="J1976" s="2"/>
    </row>
    <row r="1977" spans="1:10" x14ac:dyDescent="0.35">
      <c r="A1977" s="2" t="s">
        <v>1237</v>
      </c>
      <c r="B1977" s="2" t="s">
        <v>1247</v>
      </c>
      <c r="C1977" s="2" t="s">
        <v>62</v>
      </c>
      <c r="D1977" s="2" t="s">
        <v>1293</v>
      </c>
      <c r="E1977" s="2" t="s">
        <v>87</v>
      </c>
      <c r="F1977" s="2" t="s">
        <v>75</v>
      </c>
      <c r="G1977" s="2"/>
      <c r="H1977" s="2"/>
      <c r="I1977" s="2"/>
      <c r="J1977" s="2"/>
    </row>
    <row r="1978" spans="1:10" x14ac:dyDescent="0.35">
      <c r="A1978" s="2" t="s">
        <v>1237</v>
      </c>
      <c r="B1978" s="2" t="s">
        <v>1247</v>
      </c>
      <c r="C1978" s="2" t="s">
        <v>62</v>
      </c>
      <c r="D1978" s="2" t="s">
        <v>1293</v>
      </c>
      <c r="E1978" s="2" t="s">
        <v>1249</v>
      </c>
      <c r="F1978" s="2" t="s">
        <v>75</v>
      </c>
      <c r="G1978" s="2"/>
      <c r="H1978" s="2"/>
      <c r="I1978" s="2"/>
      <c r="J1978" s="2"/>
    </row>
    <row r="1979" spans="1:10" x14ac:dyDescent="0.35">
      <c r="A1979" s="2" t="s">
        <v>1237</v>
      </c>
      <c r="B1979" s="2" t="s">
        <v>1247</v>
      </c>
      <c r="C1979" s="2" t="s">
        <v>62</v>
      </c>
      <c r="D1979" s="2" t="s">
        <v>1293</v>
      </c>
      <c r="E1979" s="2" t="s">
        <v>1297</v>
      </c>
      <c r="F1979" s="2" t="s">
        <v>533</v>
      </c>
      <c r="G1979" s="2"/>
      <c r="H1979" s="2"/>
      <c r="I1979" s="2"/>
      <c r="J1979" s="2"/>
    </row>
    <row r="1980" spans="1:10" x14ac:dyDescent="0.35">
      <c r="A1980" s="2" t="s">
        <v>1237</v>
      </c>
      <c r="B1980" s="2" t="s">
        <v>1247</v>
      </c>
      <c r="C1980" s="2" t="s">
        <v>24</v>
      </c>
      <c r="D1980" s="2" t="s">
        <v>1298</v>
      </c>
      <c r="E1980" s="2" t="s">
        <v>91</v>
      </c>
      <c r="F1980" s="2" t="s">
        <v>19</v>
      </c>
      <c r="G1980" s="2"/>
      <c r="H1980" s="2" t="s">
        <v>675</v>
      </c>
      <c r="I1980" s="2"/>
      <c r="J1980" s="2"/>
    </row>
    <row r="1981" spans="1:10" x14ac:dyDescent="0.35">
      <c r="A1981" s="2" t="s">
        <v>1237</v>
      </c>
      <c r="B1981" s="2" t="s">
        <v>1247</v>
      </c>
      <c r="C1981" s="2" t="s">
        <v>24</v>
      </c>
      <c r="D1981" s="2" t="s">
        <v>1299</v>
      </c>
      <c r="E1981" s="2" t="s">
        <v>91</v>
      </c>
      <c r="F1981" s="2" t="s">
        <v>19</v>
      </c>
      <c r="G1981" s="2"/>
      <c r="H1981" s="2"/>
      <c r="I1981" s="2"/>
      <c r="J1981" s="2"/>
    </row>
    <row r="1982" spans="1:10" s="21" customFormat="1" x14ac:dyDescent="0.35">
      <c r="A1982" s="2" t="s">
        <v>1237</v>
      </c>
      <c r="B1982" s="2" t="s">
        <v>1247</v>
      </c>
      <c r="C1982" s="2" t="s">
        <v>24</v>
      </c>
      <c r="D1982" s="2" t="s">
        <v>1300</v>
      </c>
      <c r="E1982" s="2" t="s">
        <v>33</v>
      </c>
      <c r="F1982" s="2" t="s">
        <v>34</v>
      </c>
      <c r="G1982" s="2"/>
      <c r="H1982" s="2"/>
      <c r="I1982" s="2"/>
      <c r="J1982" s="2"/>
    </row>
    <row r="1983" spans="1:10" s="21" customFormat="1" x14ac:dyDescent="0.35">
      <c r="A1983" s="2" t="s">
        <v>1237</v>
      </c>
      <c r="B1983" s="2" t="s">
        <v>1247</v>
      </c>
      <c r="C1983" s="2" t="s">
        <v>24</v>
      </c>
      <c r="D1983" s="2" t="s">
        <v>1300</v>
      </c>
      <c r="E1983" s="2" t="s">
        <v>91</v>
      </c>
      <c r="F1983" s="2" t="s">
        <v>19</v>
      </c>
      <c r="G1983" s="2"/>
      <c r="H1983" s="2"/>
      <c r="I1983" s="2"/>
      <c r="J1983" s="2"/>
    </row>
    <row r="1984" spans="1:10" s="21" customFormat="1" x14ac:dyDescent="0.35">
      <c r="A1984" s="2" t="s">
        <v>1237</v>
      </c>
      <c r="B1984" s="2" t="s">
        <v>1247</v>
      </c>
      <c r="C1984" s="2" t="s">
        <v>24</v>
      </c>
      <c r="D1984" s="2" t="s">
        <v>1300</v>
      </c>
      <c r="E1984" s="2" t="s">
        <v>227</v>
      </c>
      <c r="F1984" s="2" t="s">
        <v>228</v>
      </c>
      <c r="G1984" s="2"/>
      <c r="H1984" s="2"/>
      <c r="I1984" s="2"/>
      <c r="J1984" s="2"/>
    </row>
    <row r="1985" spans="1:10" s="21" customFormat="1" x14ac:dyDescent="0.35">
      <c r="A1985" s="2" t="s">
        <v>1237</v>
      </c>
      <c r="B1985" s="2" t="s">
        <v>1247</v>
      </c>
      <c r="C1985" s="2" t="s">
        <v>24</v>
      </c>
      <c r="D1985" s="2" t="s">
        <v>1300</v>
      </c>
      <c r="E1985" s="2" t="s">
        <v>89</v>
      </c>
      <c r="F1985" s="2" t="s">
        <v>45</v>
      </c>
      <c r="G1985" s="2"/>
      <c r="H1985" s="2"/>
      <c r="I1985" s="2"/>
      <c r="J1985" s="2"/>
    </row>
    <row r="1986" spans="1:10" x14ac:dyDescent="0.35">
      <c r="A1986" s="2" t="s">
        <v>1237</v>
      </c>
      <c r="B1986" s="2" t="s">
        <v>1247</v>
      </c>
      <c r="C1986" s="2" t="s">
        <v>54</v>
      </c>
      <c r="D1986" s="2" t="s">
        <v>1301</v>
      </c>
      <c r="E1986" s="2" t="s">
        <v>1302</v>
      </c>
      <c r="F1986" s="2" t="s">
        <v>107</v>
      </c>
      <c r="G1986" s="2" t="s">
        <v>20</v>
      </c>
      <c r="H1986" s="2" t="s">
        <v>524</v>
      </c>
      <c r="I1986" s="2"/>
      <c r="J1986" s="2"/>
    </row>
    <row r="1987" spans="1:10" x14ac:dyDescent="0.35">
      <c r="A1987" s="2" t="s">
        <v>1237</v>
      </c>
      <c r="B1987" s="2" t="s">
        <v>1247</v>
      </c>
      <c r="C1987" s="2" t="s">
        <v>54</v>
      </c>
      <c r="D1987" s="2" t="s">
        <v>1301</v>
      </c>
      <c r="E1987" s="2" t="s">
        <v>120</v>
      </c>
      <c r="F1987" s="2" t="s">
        <v>32</v>
      </c>
      <c r="G1987" s="2" t="s">
        <v>20</v>
      </c>
      <c r="H1987" s="2" t="s">
        <v>524</v>
      </c>
      <c r="I1987" s="2"/>
      <c r="J1987" s="2"/>
    </row>
    <row r="1988" spans="1:10" x14ac:dyDescent="0.35">
      <c r="A1988" s="2" t="s">
        <v>1237</v>
      </c>
      <c r="B1988" s="2" t="s">
        <v>1247</v>
      </c>
      <c r="C1988" s="2" t="s">
        <v>54</v>
      </c>
      <c r="D1988" s="2" t="s">
        <v>1301</v>
      </c>
      <c r="E1988" s="2" t="s">
        <v>33</v>
      </c>
      <c r="F1988" s="2" t="s">
        <v>34</v>
      </c>
      <c r="G1988" s="2" t="s">
        <v>20</v>
      </c>
      <c r="H1988" s="2" t="s">
        <v>524</v>
      </c>
      <c r="I1988" s="2"/>
      <c r="J1988" s="2"/>
    </row>
    <row r="1989" spans="1:10" x14ac:dyDescent="0.35">
      <c r="A1989" s="2" t="s">
        <v>1237</v>
      </c>
      <c r="B1989" s="2" t="s">
        <v>1247</v>
      </c>
      <c r="C1989" s="2" t="s">
        <v>54</v>
      </c>
      <c r="D1989" s="2" t="s">
        <v>1301</v>
      </c>
      <c r="E1989" s="2" t="s">
        <v>35</v>
      </c>
      <c r="F1989" s="2" t="s">
        <v>36</v>
      </c>
      <c r="G1989" s="2" t="s">
        <v>20</v>
      </c>
      <c r="H1989" s="2" t="s">
        <v>524</v>
      </c>
      <c r="I1989" s="2"/>
      <c r="J1989" s="2"/>
    </row>
    <row r="1990" spans="1:10" x14ac:dyDescent="0.35">
      <c r="A1990" s="2" t="s">
        <v>1237</v>
      </c>
      <c r="B1990" s="2" t="s">
        <v>1247</v>
      </c>
      <c r="C1990" s="2" t="s">
        <v>54</v>
      </c>
      <c r="D1990" s="2" t="s">
        <v>1301</v>
      </c>
      <c r="E1990" s="2" t="s">
        <v>1303</v>
      </c>
      <c r="F1990" s="2" t="s">
        <v>75</v>
      </c>
      <c r="G1990" s="2" t="s">
        <v>20</v>
      </c>
      <c r="H1990" s="2" t="s">
        <v>524</v>
      </c>
      <c r="I1990" s="2"/>
      <c r="J1990" s="2"/>
    </row>
    <row r="1991" spans="1:10" x14ac:dyDescent="0.35">
      <c r="A1991" s="2" t="s">
        <v>1237</v>
      </c>
      <c r="B1991" s="2" t="s">
        <v>1247</v>
      </c>
      <c r="C1991" s="2" t="s">
        <v>54</v>
      </c>
      <c r="D1991" s="2" t="s">
        <v>1301</v>
      </c>
      <c r="E1991" s="2" t="s">
        <v>91</v>
      </c>
      <c r="F1991" s="2" t="s">
        <v>19</v>
      </c>
      <c r="G1991" s="2" t="s">
        <v>20</v>
      </c>
      <c r="H1991" s="2" t="s">
        <v>524</v>
      </c>
      <c r="I1991" s="2"/>
      <c r="J1991" s="2"/>
    </row>
    <row r="1992" spans="1:10" x14ac:dyDescent="0.35">
      <c r="A1992" s="2" t="s">
        <v>1237</v>
      </c>
      <c r="B1992" s="2" t="s">
        <v>1247</v>
      </c>
      <c r="C1992" s="2" t="s">
        <v>54</v>
      </c>
      <c r="D1992" s="2" t="s">
        <v>1301</v>
      </c>
      <c r="E1992" s="2" t="s">
        <v>87</v>
      </c>
      <c r="F1992" s="2" t="s">
        <v>75</v>
      </c>
      <c r="G1992" s="2" t="s">
        <v>20</v>
      </c>
      <c r="H1992" s="2" t="s">
        <v>524</v>
      </c>
      <c r="I1992" s="2"/>
      <c r="J1992" s="2"/>
    </row>
    <row r="1993" spans="1:10" x14ac:dyDescent="0.35">
      <c r="A1993" s="2" t="s">
        <v>1237</v>
      </c>
      <c r="B1993" s="2" t="s">
        <v>1247</v>
      </c>
      <c r="C1993" s="2" t="s">
        <v>54</v>
      </c>
      <c r="D1993" s="2" t="s">
        <v>1301</v>
      </c>
      <c r="E1993" s="2" t="s">
        <v>227</v>
      </c>
      <c r="F1993" s="2" t="s">
        <v>228</v>
      </c>
      <c r="G1993" s="2" t="s">
        <v>20</v>
      </c>
      <c r="H1993" s="2" t="s">
        <v>524</v>
      </c>
      <c r="I1993" s="2"/>
      <c r="J1993" s="2"/>
    </row>
    <row r="1994" spans="1:10" x14ac:dyDescent="0.35">
      <c r="A1994" s="2" t="s">
        <v>1237</v>
      </c>
      <c r="B1994" s="2" t="s">
        <v>1247</v>
      </c>
      <c r="C1994" s="2" t="s">
        <v>24</v>
      </c>
      <c r="D1994" s="2" t="s">
        <v>1304</v>
      </c>
      <c r="E1994" s="2" t="s">
        <v>1305</v>
      </c>
      <c r="F1994" s="2" t="s">
        <v>38</v>
      </c>
      <c r="G1994" s="2"/>
      <c r="H1994" s="2"/>
      <c r="I1994" s="2"/>
      <c r="J1994" s="2"/>
    </row>
    <row r="1995" spans="1:10" x14ac:dyDescent="0.35">
      <c r="A1995" s="2" t="s">
        <v>1237</v>
      </c>
      <c r="B1995" s="2" t="s">
        <v>1247</v>
      </c>
      <c r="C1995" s="2" t="s">
        <v>24</v>
      </c>
      <c r="D1995" s="2" t="s">
        <v>1304</v>
      </c>
      <c r="E1995" s="2" t="s">
        <v>120</v>
      </c>
      <c r="F1995" s="2" t="s">
        <v>32</v>
      </c>
      <c r="G1995" s="2"/>
      <c r="H1995" s="2"/>
      <c r="I1995" s="2"/>
      <c r="J1995" s="2"/>
    </row>
    <row r="1996" spans="1:10" x14ac:dyDescent="0.35">
      <c r="A1996" s="2" t="s">
        <v>1237</v>
      </c>
      <c r="B1996" s="2" t="s">
        <v>1247</v>
      </c>
      <c r="C1996" s="2" t="s">
        <v>24</v>
      </c>
      <c r="D1996" s="2" t="s">
        <v>1304</v>
      </c>
      <c r="E1996" s="2" t="s">
        <v>416</v>
      </c>
      <c r="F1996" s="2" t="s">
        <v>38</v>
      </c>
      <c r="G1996" s="2" t="s">
        <v>20</v>
      </c>
      <c r="H1996" s="2" t="s">
        <v>1306</v>
      </c>
      <c r="I1996" s="2"/>
      <c r="J1996" s="2"/>
    </row>
    <row r="1997" spans="1:10" x14ac:dyDescent="0.35">
      <c r="A1997" s="2" t="s">
        <v>1237</v>
      </c>
      <c r="B1997" s="2" t="s">
        <v>1247</v>
      </c>
      <c r="C1997" s="2" t="s">
        <v>24</v>
      </c>
      <c r="D1997" s="2" t="s">
        <v>1304</v>
      </c>
      <c r="E1997" s="2" t="s">
        <v>1307</v>
      </c>
      <c r="F1997" s="2" t="s">
        <v>38</v>
      </c>
      <c r="G1997" s="2"/>
      <c r="H1997" s="2"/>
      <c r="I1997" s="2"/>
      <c r="J1997" s="2"/>
    </row>
    <row r="1998" spans="1:10" x14ac:dyDescent="0.35">
      <c r="A1998" s="2" t="s">
        <v>1237</v>
      </c>
      <c r="B1998" s="2" t="s">
        <v>1247</v>
      </c>
      <c r="C1998" s="2" t="s">
        <v>24</v>
      </c>
      <c r="D1998" s="2" t="s">
        <v>1304</v>
      </c>
      <c r="E1998" s="2" t="s">
        <v>87</v>
      </c>
      <c r="F1998" s="2" t="s">
        <v>75</v>
      </c>
      <c r="G1998" s="2" t="s">
        <v>20</v>
      </c>
      <c r="H1998" s="2" t="s">
        <v>524</v>
      </c>
      <c r="I1998" s="2"/>
      <c r="J1998" s="2"/>
    </row>
    <row r="1999" spans="1:10" x14ac:dyDescent="0.35">
      <c r="A1999" s="2" t="s">
        <v>1237</v>
      </c>
      <c r="B1999" s="2" t="s">
        <v>1247</v>
      </c>
      <c r="C1999" s="2" t="s">
        <v>24</v>
      </c>
      <c r="D1999" s="2" t="s">
        <v>1304</v>
      </c>
      <c r="E1999" s="2" t="s">
        <v>89</v>
      </c>
      <c r="F1999" s="2" t="s">
        <v>45</v>
      </c>
      <c r="G1999" s="2" t="s">
        <v>20</v>
      </c>
      <c r="H1999" s="2" t="s">
        <v>1308</v>
      </c>
      <c r="I1999" s="2"/>
      <c r="J1999" s="2"/>
    </row>
    <row r="2000" spans="1:10" x14ac:dyDescent="0.35">
      <c r="A2000" s="2" t="s">
        <v>1237</v>
      </c>
      <c r="B2000" s="2" t="s">
        <v>1247</v>
      </c>
      <c r="C2000" s="2" t="s">
        <v>24</v>
      </c>
      <c r="D2000" s="2" t="s">
        <v>1309</v>
      </c>
      <c r="E2000" s="2" t="s">
        <v>82</v>
      </c>
      <c r="F2000" s="2" t="s">
        <v>83</v>
      </c>
      <c r="G2000" s="2"/>
      <c r="H2000" s="2"/>
      <c r="I2000" s="2"/>
      <c r="J2000" s="2"/>
    </row>
    <row r="2001" spans="1:10" x14ac:dyDescent="0.35">
      <c r="A2001" s="2" t="s">
        <v>1237</v>
      </c>
      <c r="B2001" s="2" t="s">
        <v>1247</v>
      </c>
      <c r="C2001" s="2" t="s">
        <v>24</v>
      </c>
      <c r="D2001" s="2" t="s">
        <v>1309</v>
      </c>
      <c r="E2001" s="2" t="s">
        <v>38</v>
      </c>
      <c r="F2001" s="2" t="s">
        <v>38</v>
      </c>
      <c r="G2001" s="2"/>
      <c r="H2001" s="2"/>
      <c r="I2001" s="2"/>
      <c r="J2001" s="2"/>
    </row>
    <row r="2002" spans="1:10" x14ac:dyDescent="0.35">
      <c r="A2002" s="2" t="s">
        <v>1237</v>
      </c>
      <c r="B2002" s="2" t="s">
        <v>1247</v>
      </c>
      <c r="C2002" s="2" t="s">
        <v>24</v>
      </c>
      <c r="D2002" s="2" t="s">
        <v>1309</v>
      </c>
      <c r="E2002" s="2" t="s">
        <v>91</v>
      </c>
      <c r="F2002" s="2" t="s">
        <v>19</v>
      </c>
      <c r="G2002" s="2"/>
      <c r="H2002" s="2"/>
      <c r="I2002" s="2"/>
      <c r="J2002" s="2"/>
    </row>
    <row r="2003" spans="1:10" x14ac:dyDescent="0.35">
      <c r="A2003" s="2" t="s">
        <v>1237</v>
      </c>
      <c r="B2003" s="2" t="s">
        <v>1247</v>
      </c>
      <c r="C2003" s="2" t="s">
        <v>24</v>
      </c>
      <c r="D2003" s="2" t="s">
        <v>1310</v>
      </c>
      <c r="E2003" s="2" t="s">
        <v>74</v>
      </c>
      <c r="F2003" s="2" t="s">
        <v>75</v>
      </c>
      <c r="G2003" s="2"/>
      <c r="H2003" s="2"/>
      <c r="I2003" s="2"/>
      <c r="J2003" s="2"/>
    </row>
    <row r="2004" spans="1:10" x14ac:dyDescent="0.35">
      <c r="A2004" s="2" t="s">
        <v>1237</v>
      </c>
      <c r="B2004" s="2" t="s">
        <v>1247</v>
      </c>
      <c r="C2004" s="2" t="s">
        <v>24</v>
      </c>
      <c r="D2004" s="2" t="s">
        <v>1310</v>
      </c>
      <c r="E2004" s="2" t="s">
        <v>1311</v>
      </c>
      <c r="F2004" s="2" t="s">
        <v>45</v>
      </c>
      <c r="G2004" s="2"/>
      <c r="H2004" s="2"/>
      <c r="I2004" s="2"/>
      <c r="J2004" s="2"/>
    </row>
    <row r="2005" spans="1:10" x14ac:dyDescent="0.35">
      <c r="A2005" s="2" t="s">
        <v>1237</v>
      </c>
      <c r="B2005" s="2" t="s">
        <v>1247</v>
      </c>
      <c r="C2005" s="2" t="s">
        <v>24</v>
      </c>
      <c r="D2005" s="2" t="s">
        <v>1310</v>
      </c>
      <c r="E2005" s="2" t="s">
        <v>1312</v>
      </c>
      <c r="F2005" s="2" t="s">
        <v>50</v>
      </c>
      <c r="G2005" s="2"/>
      <c r="H2005" s="2"/>
      <c r="I2005" s="2"/>
      <c r="J2005" s="2"/>
    </row>
    <row r="2006" spans="1:10" x14ac:dyDescent="0.35">
      <c r="A2006" s="2" t="s">
        <v>1237</v>
      </c>
      <c r="B2006" s="2" t="s">
        <v>1247</v>
      </c>
      <c r="C2006" s="2" t="s">
        <v>24</v>
      </c>
      <c r="D2006" s="2" t="s">
        <v>1310</v>
      </c>
      <c r="E2006" s="2" t="s">
        <v>120</v>
      </c>
      <c r="F2006" s="2" t="s">
        <v>32</v>
      </c>
      <c r="G2006" s="2"/>
      <c r="H2006" s="2"/>
      <c r="I2006" s="2"/>
      <c r="J2006" s="2"/>
    </row>
    <row r="2007" spans="1:10" x14ac:dyDescent="0.35">
      <c r="A2007" s="2" t="s">
        <v>1237</v>
      </c>
      <c r="B2007" s="2" t="s">
        <v>1247</v>
      </c>
      <c r="C2007" s="2" t="s">
        <v>24</v>
      </c>
      <c r="D2007" s="2" t="s">
        <v>1310</v>
      </c>
      <c r="E2007" s="2" t="s">
        <v>416</v>
      </c>
      <c r="F2007" s="2" t="s">
        <v>38</v>
      </c>
      <c r="G2007" s="2"/>
      <c r="H2007" s="2"/>
      <c r="I2007" s="2"/>
      <c r="J2007" s="2"/>
    </row>
    <row r="2008" spans="1:10" x14ac:dyDescent="0.35">
      <c r="A2008" s="2" t="s">
        <v>1237</v>
      </c>
      <c r="B2008" s="2" t="s">
        <v>1247</v>
      </c>
      <c r="C2008" s="2" t="s">
        <v>24</v>
      </c>
      <c r="D2008" s="2" t="s">
        <v>1310</v>
      </c>
      <c r="E2008" s="2" t="s">
        <v>1243</v>
      </c>
      <c r="F2008" s="2" t="s">
        <v>40</v>
      </c>
      <c r="G2008" s="2"/>
      <c r="H2008" s="2"/>
      <c r="I2008" s="2"/>
      <c r="J2008" s="2"/>
    </row>
    <row r="2009" spans="1:10" x14ac:dyDescent="0.35">
      <c r="A2009" s="2" t="s">
        <v>1237</v>
      </c>
      <c r="B2009" s="2" t="s">
        <v>1247</v>
      </c>
      <c r="C2009" s="2" t="s">
        <v>24</v>
      </c>
      <c r="D2009" s="2" t="s">
        <v>1310</v>
      </c>
      <c r="E2009" s="2" t="s">
        <v>188</v>
      </c>
      <c r="F2009" s="2" t="s">
        <v>189</v>
      </c>
      <c r="G2009" s="2"/>
      <c r="H2009" s="2"/>
      <c r="I2009" s="2"/>
      <c r="J2009" s="2"/>
    </row>
    <row r="2010" spans="1:10" x14ac:dyDescent="0.35">
      <c r="A2010" s="2" t="s">
        <v>1237</v>
      </c>
      <c r="B2010" s="2" t="s">
        <v>1247</v>
      </c>
      <c r="C2010" s="2" t="s">
        <v>24</v>
      </c>
      <c r="D2010" s="2" t="s">
        <v>1310</v>
      </c>
      <c r="E2010" s="2" t="s">
        <v>393</v>
      </c>
      <c r="F2010" s="2" t="s">
        <v>36</v>
      </c>
      <c r="G2010" s="2"/>
      <c r="H2010" s="2"/>
      <c r="I2010" s="2"/>
      <c r="J2010" s="2"/>
    </row>
    <row r="2011" spans="1:10" x14ac:dyDescent="0.35">
      <c r="A2011" s="2" t="s">
        <v>1237</v>
      </c>
      <c r="B2011" s="2" t="s">
        <v>1247</v>
      </c>
      <c r="C2011" s="2" t="s">
        <v>24</v>
      </c>
      <c r="D2011" s="2" t="s">
        <v>1310</v>
      </c>
      <c r="E2011" s="2" t="s">
        <v>91</v>
      </c>
      <c r="F2011" s="2" t="s">
        <v>19</v>
      </c>
      <c r="G2011" s="2"/>
      <c r="H2011" s="2"/>
      <c r="I2011" s="2"/>
      <c r="J2011" s="2"/>
    </row>
    <row r="2012" spans="1:10" s="21" customFormat="1" x14ac:dyDescent="0.35">
      <c r="A2012" s="2" t="s">
        <v>1237</v>
      </c>
      <c r="B2012" s="2" t="s">
        <v>1247</v>
      </c>
      <c r="C2012" s="2" t="s">
        <v>24</v>
      </c>
      <c r="D2012" s="2" t="s">
        <v>1313</v>
      </c>
      <c r="E2012" s="2" t="s">
        <v>130</v>
      </c>
      <c r="F2012" s="2" t="s">
        <v>36</v>
      </c>
      <c r="G2012" s="2"/>
      <c r="H2012" s="2"/>
      <c r="I2012" s="2"/>
      <c r="J2012" s="2"/>
    </row>
    <row r="2013" spans="1:10" s="21" customFormat="1" x14ac:dyDescent="0.35">
      <c r="A2013" s="2" t="s">
        <v>1237</v>
      </c>
      <c r="B2013" s="2" t="s">
        <v>1247</v>
      </c>
      <c r="C2013" s="2" t="s">
        <v>24</v>
      </c>
      <c r="D2013" s="2" t="s">
        <v>1313</v>
      </c>
      <c r="E2013" s="2" t="s">
        <v>120</v>
      </c>
      <c r="F2013" s="2" t="s">
        <v>32</v>
      </c>
      <c r="G2013" s="2"/>
      <c r="H2013" s="2"/>
      <c r="I2013" s="2"/>
      <c r="J2013" s="2"/>
    </row>
    <row r="2014" spans="1:10" s="21" customFormat="1" x14ac:dyDescent="0.35">
      <c r="A2014" s="2" t="s">
        <v>1237</v>
      </c>
      <c r="B2014" s="2" t="s">
        <v>1247</v>
      </c>
      <c r="C2014" s="2" t="s">
        <v>24</v>
      </c>
      <c r="D2014" s="2" t="s">
        <v>1313</v>
      </c>
      <c r="E2014" s="2" t="s">
        <v>1226</v>
      </c>
      <c r="F2014" s="2" t="s">
        <v>107</v>
      </c>
      <c r="G2014" s="2"/>
      <c r="H2014" s="2"/>
      <c r="I2014" s="2"/>
      <c r="J2014" s="2"/>
    </row>
    <row r="2015" spans="1:10" s="21" customFormat="1" x14ac:dyDescent="0.35">
      <c r="A2015" s="2" t="s">
        <v>1237</v>
      </c>
      <c r="B2015" s="2" t="s">
        <v>1247</v>
      </c>
      <c r="C2015" s="2" t="s">
        <v>24</v>
      </c>
      <c r="D2015" s="2" t="s">
        <v>1313</v>
      </c>
      <c r="E2015" s="2" t="s">
        <v>91</v>
      </c>
      <c r="F2015" s="2" t="s">
        <v>19</v>
      </c>
      <c r="G2015" s="2" t="s">
        <v>20</v>
      </c>
      <c r="H2015" s="2" t="s">
        <v>1314</v>
      </c>
      <c r="I2015" s="2"/>
      <c r="J2015" s="2"/>
    </row>
    <row r="2016" spans="1:10" s="21" customFormat="1" x14ac:dyDescent="0.35">
      <c r="A2016" s="2" t="s">
        <v>1237</v>
      </c>
      <c r="B2016" s="2" t="s">
        <v>1247</v>
      </c>
      <c r="C2016" s="2" t="s">
        <v>24</v>
      </c>
      <c r="D2016" s="2" t="s">
        <v>1313</v>
      </c>
      <c r="E2016" s="2" t="s">
        <v>87</v>
      </c>
      <c r="F2016" s="2" t="s">
        <v>75</v>
      </c>
      <c r="G2016" s="2" t="s">
        <v>20</v>
      </c>
      <c r="H2016" s="2" t="s">
        <v>1315</v>
      </c>
      <c r="I2016" s="2"/>
      <c r="J2016" s="2"/>
    </row>
    <row r="2017" spans="1:10" s="21" customFormat="1" x14ac:dyDescent="0.35">
      <c r="A2017" s="2" t="s">
        <v>1237</v>
      </c>
      <c r="B2017" s="2" t="s">
        <v>1247</v>
      </c>
      <c r="C2017" s="2" t="s">
        <v>24</v>
      </c>
      <c r="D2017" s="2" t="s">
        <v>1313</v>
      </c>
      <c r="E2017" s="2" t="s">
        <v>1228</v>
      </c>
      <c r="F2017" s="2" t="s">
        <v>228</v>
      </c>
      <c r="G2017" s="2"/>
      <c r="H2017" s="2"/>
      <c r="I2017" s="2"/>
      <c r="J2017" s="2"/>
    </row>
    <row r="2018" spans="1:10" s="21" customFormat="1" x14ac:dyDescent="0.35">
      <c r="A2018" s="2" t="s">
        <v>1237</v>
      </c>
      <c r="B2018" s="2" t="s">
        <v>1247</v>
      </c>
      <c r="C2018" s="2" t="s">
        <v>24</v>
      </c>
      <c r="D2018" s="2" t="s">
        <v>1313</v>
      </c>
      <c r="E2018" s="2" t="s">
        <v>89</v>
      </c>
      <c r="F2018" s="2" t="s">
        <v>45</v>
      </c>
      <c r="G2018" s="2" t="s">
        <v>20</v>
      </c>
      <c r="H2018" s="2" t="s">
        <v>1316</v>
      </c>
      <c r="I2018" s="2"/>
      <c r="J2018" s="2"/>
    </row>
    <row r="2019" spans="1:10" x14ac:dyDescent="0.35">
      <c r="A2019" s="2" t="s">
        <v>1237</v>
      </c>
      <c r="B2019" s="2" t="s">
        <v>1247</v>
      </c>
      <c r="C2019" s="2" t="s">
        <v>24</v>
      </c>
      <c r="D2019" s="2" t="s">
        <v>1317</v>
      </c>
      <c r="E2019" s="2" t="s">
        <v>1305</v>
      </c>
      <c r="F2019" s="2" t="s">
        <v>38</v>
      </c>
      <c r="G2019" s="2" t="s">
        <v>20</v>
      </c>
      <c r="H2019" s="2" t="s">
        <v>1318</v>
      </c>
      <c r="I2019" s="2"/>
      <c r="J2019" s="2"/>
    </row>
    <row r="2020" spans="1:10" x14ac:dyDescent="0.35">
      <c r="A2020" s="2" t="s">
        <v>1237</v>
      </c>
      <c r="B2020" s="2" t="s">
        <v>1247</v>
      </c>
      <c r="C2020" s="2" t="s">
        <v>24</v>
      </c>
      <c r="D2020" s="2" t="s">
        <v>1317</v>
      </c>
      <c r="E2020" s="2" t="s">
        <v>121</v>
      </c>
      <c r="F2020" s="2" t="s">
        <v>122</v>
      </c>
      <c r="G2020" s="2"/>
      <c r="H2020" s="2"/>
      <c r="I2020" s="2"/>
      <c r="J2020" s="2"/>
    </row>
    <row r="2021" spans="1:10" x14ac:dyDescent="0.35">
      <c r="A2021" s="2" t="s">
        <v>1237</v>
      </c>
      <c r="B2021" s="2" t="s">
        <v>1247</v>
      </c>
      <c r="C2021" s="2" t="s">
        <v>24</v>
      </c>
      <c r="D2021" s="2" t="s">
        <v>1317</v>
      </c>
      <c r="E2021" s="2" t="s">
        <v>1319</v>
      </c>
      <c r="F2021" s="2" t="s">
        <v>363</v>
      </c>
      <c r="G2021" s="2"/>
      <c r="H2021" s="2"/>
      <c r="I2021" s="2"/>
      <c r="J2021" s="2"/>
    </row>
    <row r="2022" spans="1:10" x14ac:dyDescent="0.35">
      <c r="A2022" s="2" t="s">
        <v>1237</v>
      </c>
      <c r="B2022" s="2" t="s">
        <v>1247</v>
      </c>
      <c r="C2022" s="2" t="s">
        <v>24</v>
      </c>
      <c r="D2022" s="2" t="s">
        <v>1317</v>
      </c>
      <c r="E2022" s="2" t="s">
        <v>91</v>
      </c>
      <c r="F2022" s="2" t="s">
        <v>19</v>
      </c>
      <c r="G2022" s="2" t="s">
        <v>20</v>
      </c>
      <c r="H2022" s="2" t="s">
        <v>1318</v>
      </c>
      <c r="I2022" s="2"/>
      <c r="J2022" s="2"/>
    </row>
    <row r="2023" spans="1:10" x14ac:dyDescent="0.35">
      <c r="A2023" s="2" t="s">
        <v>1237</v>
      </c>
      <c r="B2023" s="2" t="s">
        <v>1247</v>
      </c>
      <c r="C2023" s="2" t="s">
        <v>24</v>
      </c>
      <c r="D2023" s="2" t="s">
        <v>1317</v>
      </c>
      <c r="E2023" s="2" t="s">
        <v>149</v>
      </c>
      <c r="F2023" s="2" t="s">
        <v>150</v>
      </c>
      <c r="G2023" s="2" t="s">
        <v>20</v>
      </c>
      <c r="H2023" s="2" t="s">
        <v>1318</v>
      </c>
      <c r="I2023" s="2"/>
      <c r="J2023" s="2"/>
    </row>
    <row r="2024" spans="1:10" x14ac:dyDescent="0.35">
      <c r="A2024" s="2" t="s">
        <v>1237</v>
      </c>
      <c r="B2024" s="2" t="s">
        <v>1247</v>
      </c>
      <c r="C2024" s="2" t="s">
        <v>54</v>
      </c>
      <c r="D2024" s="2" t="s">
        <v>1320</v>
      </c>
      <c r="E2024" s="2" t="s">
        <v>61</v>
      </c>
      <c r="F2024" s="2" t="s">
        <v>30</v>
      </c>
      <c r="G2024" s="2"/>
      <c r="H2024" s="2"/>
      <c r="I2024" s="2"/>
      <c r="J2024" s="2"/>
    </row>
    <row r="2025" spans="1:10" x14ac:dyDescent="0.35">
      <c r="A2025" s="2" t="s">
        <v>1237</v>
      </c>
      <c r="B2025" s="2" t="s">
        <v>1247</v>
      </c>
      <c r="C2025" s="2" t="s">
        <v>62</v>
      </c>
      <c r="D2025" s="2" t="s">
        <v>1321</v>
      </c>
      <c r="E2025" s="2" t="s">
        <v>87</v>
      </c>
      <c r="F2025" s="2" t="s">
        <v>75</v>
      </c>
      <c r="G2025" s="2"/>
      <c r="H2025" s="2"/>
      <c r="I2025" s="2"/>
      <c r="J2025" s="2"/>
    </row>
    <row r="2026" spans="1:10" x14ac:dyDescent="0.35">
      <c r="A2026" s="2" t="s">
        <v>1237</v>
      </c>
      <c r="B2026" s="2" t="s">
        <v>1247</v>
      </c>
      <c r="C2026" s="2" t="s">
        <v>62</v>
      </c>
      <c r="D2026" s="2" t="s">
        <v>1321</v>
      </c>
      <c r="E2026" s="2" t="s">
        <v>1297</v>
      </c>
      <c r="F2026" s="2" t="s">
        <v>533</v>
      </c>
      <c r="G2026" s="2"/>
      <c r="H2026" s="2"/>
      <c r="I2026" s="2"/>
      <c r="J2026" s="2"/>
    </row>
    <row r="2027" spans="1:10" x14ac:dyDescent="0.35">
      <c r="A2027" s="2" t="s">
        <v>1237</v>
      </c>
      <c r="B2027" s="2" t="s">
        <v>1247</v>
      </c>
      <c r="C2027" s="2" t="s">
        <v>62</v>
      </c>
      <c r="D2027" s="2" t="s">
        <v>1322</v>
      </c>
      <c r="E2027" s="2" t="s">
        <v>1323</v>
      </c>
      <c r="F2027" s="2" t="s">
        <v>75</v>
      </c>
      <c r="G2027" s="2"/>
      <c r="H2027" s="2"/>
      <c r="I2027" s="2"/>
      <c r="J2027" s="2"/>
    </row>
    <row r="2028" spans="1:10" s="21" customFormat="1" x14ac:dyDescent="0.35">
      <c r="A2028" s="2" t="s">
        <v>1237</v>
      </c>
      <c r="B2028" s="2" t="s">
        <v>1247</v>
      </c>
      <c r="C2028" s="2" t="s">
        <v>62</v>
      </c>
      <c r="D2028" s="2" t="s">
        <v>1322</v>
      </c>
      <c r="E2028" s="2" t="s">
        <v>317</v>
      </c>
      <c r="F2028" s="2" t="s">
        <v>318</v>
      </c>
      <c r="G2028" s="2"/>
      <c r="H2028" s="2"/>
      <c r="I2028" s="2"/>
      <c r="J2028" s="2"/>
    </row>
    <row r="2029" spans="1:10" x14ac:dyDescent="0.35">
      <c r="A2029" s="2" t="s">
        <v>1237</v>
      </c>
      <c r="B2029" s="2" t="s">
        <v>1247</v>
      </c>
      <c r="C2029" s="2" t="s">
        <v>62</v>
      </c>
      <c r="D2029" s="2" t="s">
        <v>1322</v>
      </c>
      <c r="E2029" s="2" t="s">
        <v>87</v>
      </c>
      <c r="F2029" s="2" t="s">
        <v>75</v>
      </c>
      <c r="G2029" s="2"/>
      <c r="H2029" s="2"/>
      <c r="I2029" s="2"/>
      <c r="J2029" s="2"/>
    </row>
    <row r="2030" spans="1:10" x14ac:dyDescent="0.35">
      <c r="A2030" s="2" t="s">
        <v>1237</v>
      </c>
      <c r="B2030" s="2" t="s">
        <v>1247</v>
      </c>
      <c r="C2030" s="2" t="s">
        <v>54</v>
      </c>
      <c r="D2030" s="2" t="s">
        <v>1324</v>
      </c>
      <c r="E2030" s="2" t="s">
        <v>1302</v>
      </c>
      <c r="F2030" s="2" t="s">
        <v>107</v>
      </c>
      <c r="G2030" s="2" t="s">
        <v>20</v>
      </c>
      <c r="H2030" s="2" t="s">
        <v>1325</v>
      </c>
      <c r="I2030" s="2"/>
      <c r="J2030" s="2"/>
    </row>
    <row r="2031" spans="1:10" x14ac:dyDescent="0.35">
      <c r="A2031" s="2" t="s">
        <v>1237</v>
      </c>
      <c r="B2031" s="2" t="s">
        <v>1247</v>
      </c>
      <c r="C2031" s="2" t="s">
        <v>54</v>
      </c>
      <c r="D2031" s="2" t="s">
        <v>1324</v>
      </c>
      <c r="E2031" s="2" t="s">
        <v>35</v>
      </c>
      <c r="F2031" s="2" t="s">
        <v>36</v>
      </c>
      <c r="G2031" s="2" t="s">
        <v>20</v>
      </c>
      <c r="H2031" s="2" t="s">
        <v>1325</v>
      </c>
      <c r="I2031" s="2"/>
      <c r="J2031" s="2"/>
    </row>
    <row r="2032" spans="1:10" x14ac:dyDescent="0.35">
      <c r="A2032" s="2" t="s">
        <v>1237</v>
      </c>
      <c r="B2032" s="2" t="s">
        <v>1247</v>
      </c>
      <c r="C2032" s="2" t="s">
        <v>54</v>
      </c>
      <c r="D2032" s="2" t="s">
        <v>1324</v>
      </c>
      <c r="E2032" s="2" t="s">
        <v>227</v>
      </c>
      <c r="F2032" s="2" t="s">
        <v>228</v>
      </c>
      <c r="G2032" s="2" t="s">
        <v>20</v>
      </c>
      <c r="H2032" s="2" t="s">
        <v>1325</v>
      </c>
      <c r="I2032" s="2"/>
      <c r="J2032" s="2"/>
    </row>
    <row r="2033" spans="1:10" x14ac:dyDescent="0.35">
      <c r="A2033" s="2" t="s">
        <v>1237</v>
      </c>
      <c r="B2033" s="2" t="s">
        <v>1247</v>
      </c>
      <c r="C2033" s="2" t="s">
        <v>62</v>
      </c>
      <c r="D2033" s="2" t="s">
        <v>1326</v>
      </c>
      <c r="E2033" s="2" t="s">
        <v>1249</v>
      </c>
      <c r="F2033" s="2" t="s">
        <v>75</v>
      </c>
      <c r="G2033" s="2"/>
      <c r="H2033" s="2"/>
      <c r="I2033" s="2"/>
      <c r="J2033" s="2"/>
    </row>
    <row r="2034" spans="1:10" x14ac:dyDescent="0.35">
      <c r="A2034" s="2" t="s">
        <v>1237</v>
      </c>
      <c r="B2034" s="2" t="s">
        <v>1247</v>
      </c>
      <c r="C2034" s="2" t="s">
        <v>24</v>
      </c>
      <c r="D2034" s="2" t="s">
        <v>1327</v>
      </c>
      <c r="E2034" s="2" t="s">
        <v>91</v>
      </c>
      <c r="F2034" s="2" t="s">
        <v>19</v>
      </c>
      <c r="G2034" s="2"/>
      <c r="H2034" s="2"/>
      <c r="I2034" s="2"/>
      <c r="J2034" s="2"/>
    </row>
    <row r="2035" spans="1:10" x14ac:dyDescent="0.35">
      <c r="A2035" s="2" t="s">
        <v>1237</v>
      </c>
      <c r="B2035" s="2" t="s">
        <v>1247</v>
      </c>
      <c r="C2035" s="2" t="s">
        <v>24</v>
      </c>
      <c r="D2035" s="2" t="s">
        <v>1328</v>
      </c>
      <c r="E2035" s="2" t="s">
        <v>246</v>
      </c>
      <c r="F2035" s="2" t="s">
        <v>107</v>
      </c>
      <c r="G2035" s="2"/>
      <c r="H2035" s="2"/>
      <c r="I2035" s="2"/>
      <c r="J2035" s="2"/>
    </row>
    <row r="2036" spans="1:10" x14ac:dyDescent="0.35">
      <c r="A2036" s="2" t="s">
        <v>1237</v>
      </c>
      <c r="B2036" s="2" t="s">
        <v>1247</v>
      </c>
      <c r="C2036" s="2" t="s">
        <v>24</v>
      </c>
      <c r="D2036" s="2" t="s">
        <v>1328</v>
      </c>
      <c r="E2036" s="2" t="s">
        <v>144</v>
      </c>
      <c r="F2036" s="2" t="s">
        <v>50</v>
      </c>
      <c r="G2036" s="2"/>
      <c r="H2036" s="2"/>
      <c r="I2036" s="2"/>
      <c r="J2036" s="2"/>
    </row>
    <row r="2037" spans="1:10" x14ac:dyDescent="0.35">
      <c r="A2037" s="2" t="s">
        <v>1237</v>
      </c>
      <c r="B2037" s="2" t="s">
        <v>1247</v>
      </c>
      <c r="C2037" s="2" t="s">
        <v>24</v>
      </c>
      <c r="D2037" s="2" t="s">
        <v>1328</v>
      </c>
      <c r="E2037" s="2" t="s">
        <v>120</v>
      </c>
      <c r="F2037" s="2" t="s">
        <v>32</v>
      </c>
      <c r="G2037" s="2"/>
      <c r="H2037" s="2"/>
      <c r="I2037" s="2"/>
      <c r="J2037" s="2"/>
    </row>
    <row r="2038" spans="1:10" x14ac:dyDescent="0.35">
      <c r="A2038" s="2" t="s">
        <v>1237</v>
      </c>
      <c r="B2038" s="2" t="s">
        <v>1247</v>
      </c>
      <c r="C2038" s="2" t="s">
        <v>12</v>
      </c>
      <c r="D2038" s="2" t="s">
        <v>1329</v>
      </c>
      <c r="E2038" s="2" t="s">
        <v>77</v>
      </c>
      <c r="F2038" s="2" t="s">
        <v>78</v>
      </c>
      <c r="G2038" s="2"/>
      <c r="H2038" s="2"/>
      <c r="I2038" s="2"/>
      <c r="J2038" s="2"/>
    </row>
    <row r="2039" spans="1:10" x14ac:dyDescent="0.35">
      <c r="A2039" s="2" t="s">
        <v>1237</v>
      </c>
      <c r="B2039" s="2" t="s">
        <v>1247</v>
      </c>
      <c r="C2039" s="2" t="s">
        <v>12</v>
      </c>
      <c r="D2039" s="2" t="s">
        <v>1329</v>
      </c>
      <c r="E2039" s="2" t="s">
        <v>91</v>
      </c>
      <c r="F2039" s="2" t="s">
        <v>19</v>
      </c>
      <c r="G2039" s="2"/>
      <c r="H2039" s="2"/>
      <c r="I2039" s="2"/>
      <c r="J2039" s="2"/>
    </row>
    <row r="2040" spans="1:10" x14ac:dyDescent="0.35">
      <c r="A2040" s="2" t="s">
        <v>1237</v>
      </c>
      <c r="B2040" s="2" t="s">
        <v>1247</v>
      </c>
      <c r="C2040" s="2" t="s">
        <v>12</v>
      </c>
      <c r="D2040" s="2" t="s">
        <v>1329</v>
      </c>
      <c r="E2040" s="2" t="s">
        <v>18</v>
      </c>
      <c r="F2040" s="2" t="s">
        <v>19</v>
      </c>
      <c r="G2040" s="2"/>
      <c r="H2040" s="2"/>
      <c r="I2040" s="2"/>
      <c r="J2040" s="2"/>
    </row>
    <row r="2041" spans="1:10" x14ac:dyDescent="0.35">
      <c r="A2041" s="2" t="s">
        <v>1237</v>
      </c>
      <c r="B2041" s="2" t="s">
        <v>1247</v>
      </c>
      <c r="C2041" s="2" t="s">
        <v>12</v>
      </c>
      <c r="D2041" s="2" t="s">
        <v>1330</v>
      </c>
      <c r="E2041" s="2" t="s">
        <v>198</v>
      </c>
      <c r="F2041" s="2" t="s">
        <v>65</v>
      </c>
      <c r="G2041" s="2"/>
      <c r="H2041" s="2"/>
      <c r="I2041" s="2"/>
      <c r="J2041" s="2"/>
    </row>
    <row r="2042" spans="1:10" x14ac:dyDescent="0.35">
      <c r="A2042" s="2" t="s">
        <v>1237</v>
      </c>
      <c r="B2042" s="2" t="s">
        <v>1247</v>
      </c>
      <c r="C2042" s="2" t="s">
        <v>12</v>
      </c>
      <c r="D2042" s="2" t="s">
        <v>1330</v>
      </c>
      <c r="E2042" s="2" t="s">
        <v>18</v>
      </c>
      <c r="F2042" s="2" t="s">
        <v>19</v>
      </c>
      <c r="G2042" s="2"/>
      <c r="H2042" s="2"/>
      <c r="I2042" s="2"/>
      <c r="J2042" s="2"/>
    </row>
    <row r="2043" spans="1:10" x14ac:dyDescent="0.35">
      <c r="A2043" s="2" t="s">
        <v>1237</v>
      </c>
      <c r="B2043" s="2" t="s">
        <v>1247</v>
      </c>
      <c r="C2043" s="2" t="s">
        <v>62</v>
      </c>
      <c r="D2043" s="2" t="s">
        <v>1331</v>
      </c>
      <c r="E2043" s="2" t="s">
        <v>1332</v>
      </c>
      <c r="F2043" s="2" t="s">
        <v>75</v>
      </c>
      <c r="G2043" s="2"/>
      <c r="H2043" s="2"/>
      <c r="I2043" s="2"/>
      <c r="J2043" s="2"/>
    </row>
    <row r="2044" spans="1:10" x14ac:dyDescent="0.35">
      <c r="A2044" s="2" t="s">
        <v>1237</v>
      </c>
      <c r="B2044" s="2" t="s">
        <v>1247</v>
      </c>
      <c r="C2044" s="2" t="s">
        <v>62</v>
      </c>
      <c r="D2044" s="2" t="s">
        <v>1331</v>
      </c>
      <c r="E2044" s="2" t="s">
        <v>1333</v>
      </c>
      <c r="F2044" s="2" t="s">
        <v>1334</v>
      </c>
      <c r="G2044" s="2"/>
      <c r="H2044" s="2"/>
      <c r="I2044" s="2"/>
      <c r="J2044" s="2"/>
    </row>
    <row r="2045" spans="1:10" x14ac:dyDescent="0.35">
      <c r="A2045" s="2" t="s">
        <v>1237</v>
      </c>
      <c r="B2045" s="2" t="s">
        <v>1247</v>
      </c>
      <c r="C2045" s="2" t="s">
        <v>62</v>
      </c>
      <c r="D2045" s="2" t="s">
        <v>1331</v>
      </c>
      <c r="E2045" s="2" t="s">
        <v>1335</v>
      </c>
      <c r="F2045" s="2" t="s">
        <v>75</v>
      </c>
      <c r="G2045" s="2"/>
      <c r="H2045" s="2"/>
      <c r="I2045" s="2"/>
      <c r="J2045" s="2"/>
    </row>
    <row r="2046" spans="1:10" x14ac:dyDescent="0.35">
      <c r="A2046" s="2" t="s">
        <v>1237</v>
      </c>
      <c r="B2046" s="2" t="s">
        <v>1247</v>
      </c>
      <c r="C2046" s="2" t="s">
        <v>62</v>
      </c>
      <c r="D2046" s="2" t="s">
        <v>1331</v>
      </c>
      <c r="E2046" s="2" t="s">
        <v>1336</v>
      </c>
      <c r="F2046" s="2" t="s">
        <v>75</v>
      </c>
      <c r="G2046" s="2"/>
      <c r="H2046" s="2"/>
      <c r="I2046" s="2"/>
      <c r="J2046" s="2"/>
    </row>
    <row r="2047" spans="1:10" x14ac:dyDescent="0.35">
      <c r="A2047" s="2" t="s">
        <v>1237</v>
      </c>
      <c r="B2047" s="2" t="s">
        <v>1247</v>
      </c>
      <c r="C2047" s="2" t="s">
        <v>62</v>
      </c>
      <c r="D2047" s="2" t="s">
        <v>1331</v>
      </c>
      <c r="E2047" s="2" t="s">
        <v>613</v>
      </c>
      <c r="F2047" s="2" t="s">
        <v>125</v>
      </c>
      <c r="G2047" s="2" t="s">
        <v>20</v>
      </c>
      <c r="H2047" s="2" t="s">
        <v>1337</v>
      </c>
      <c r="I2047" s="2"/>
      <c r="J2047" s="2"/>
    </row>
    <row r="2048" spans="1:10" x14ac:dyDescent="0.35">
      <c r="A2048" s="2" t="s">
        <v>1237</v>
      </c>
      <c r="B2048" s="2" t="s">
        <v>1247</v>
      </c>
      <c r="C2048" s="2" t="s">
        <v>62</v>
      </c>
      <c r="D2048" s="2" t="s">
        <v>1331</v>
      </c>
      <c r="E2048" s="2" t="s">
        <v>1338</v>
      </c>
      <c r="F2048" s="2" t="s">
        <v>75</v>
      </c>
      <c r="G2048" s="2"/>
      <c r="H2048" s="2"/>
      <c r="I2048" s="2"/>
      <c r="J2048" s="2"/>
    </row>
    <row r="2049" spans="1:10" x14ac:dyDescent="0.35">
      <c r="A2049" s="2" t="s">
        <v>1237</v>
      </c>
      <c r="B2049" s="2" t="s">
        <v>1247</v>
      </c>
      <c r="C2049" s="2" t="s">
        <v>62</v>
      </c>
      <c r="D2049" s="2" t="s">
        <v>1331</v>
      </c>
      <c r="E2049" s="2" t="s">
        <v>1339</v>
      </c>
      <c r="F2049" s="2" t="s">
        <v>75</v>
      </c>
      <c r="G2049" s="2"/>
      <c r="H2049" s="2"/>
      <c r="I2049" s="2"/>
      <c r="J2049" s="2"/>
    </row>
    <row r="2050" spans="1:10" x14ac:dyDescent="0.35">
      <c r="A2050" s="2" t="s">
        <v>1237</v>
      </c>
      <c r="B2050" s="2" t="s">
        <v>1247</v>
      </c>
      <c r="C2050" s="2" t="s">
        <v>62</v>
      </c>
      <c r="D2050" s="2" t="s">
        <v>1331</v>
      </c>
      <c r="E2050" s="2" t="s">
        <v>91</v>
      </c>
      <c r="F2050" s="2" t="s">
        <v>19</v>
      </c>
      <c r="G2050" s="2" t="s">
        <v>20</v>
      </c>
      <c r="H2050" s="2" t="s">
        <v>1340</v>
      </c>
      <c r="I2050" s="2"/>
      <c r="J2050" s="2"/>
    </row>
    <row r="2051" spans="1:10" x14ac:dyDescent="0.35">
      <c r="A2051" s="2" t="s">
        <v>1237</v>
      </c>
      <c r="B2051" s="2" t="s">
        <v>1247</v>
      </c>
      <c r="C2051" s="2" t="s">
        <v>62</v>
      </c>
      <c r="D2051" s="2" t="s">
        <v>1331</v>
      </c>
      <c r="E2051" s="2" t="s">
        <v>87</v>
      </c>
      <c r="F2051" s="2" t="s">
        <v>75</v>
      </c>
      <c r="G2051" s="2"/>
      <c r="H2051" s="2"/>
      <c r="I2051" s="2"/>
      <c r="J2051" s="2"/>
    </row>
    <row r="2052" spans="1:10" x14ac:dyDescent="0.35">
      <c r="A2052" s="2" t="s">
        <v>1237</v>
      </c>
      <c r="B2052" s="2" t="s">
        <v>1247</v>
      </c>
      <c r="C2052" s="2" t="s">
        <v>62</v>
      </c>
      <c r="D2052" s="2" t="s">
        <v>1331</v>
      </c>
      <c r="E2052" s="2" t="s">
        <v>1261</v>
      </c>
      <c r="F2052" s="2" t="s">
        <v>277</v>
      </c>
      <c r="G2052" s="2"/>
      <c r="H2052" s="2"/>
      <c r="I2052" s="2"/>
      <c r="J2052" s="2"/>
    </row>
    <row r="2053" spans="1:10" x14ac:dyDescent="0.35">
      <c r="A2053" s="2" t="s">
        <v>1237</v>
      </c>
      <c r="B2053" s="2" t="s">
        <v>1247</v>
      </c>
      <c r="C2053" s="2" t="s">
        <v>62</v>
      </c>
      <c r="D2053" s="2" t="s">
        <v>1331</v>
      </c>
      <c r="E2053" s="2" t="s">
        <v>149</v>
      </c>
      <c r="F2053" s="2" t="s">
        <v>150</v>
      </c>
      <c r="G2053" s="2"/>
      <c r="H2053" s="2"/>
      <c r="I2053" s="2"/>
      <c r="J2053" s="2"/>
    </row>
    <row r="2054" spans="1:10" x14ac:dyDescent="0.35">
      <c r="A2054" s="2" t="s">
        <v>1237</v>
      </c>
      <c r="B2054" s="2" t="s">
        <v>1247</v>
      </c>
      <c r="C2054" s="2" t="s">
        <v>62</v>
      </c>
      <c r="D2054" s="2" t="s">
        <v>1331</v>
      </c>
      <c r="E2054" s="2" t="s">
        <v>1341</v>
      </c>
      <c r="F2054" s="2" t="s">
        <v>65</v>
      </c>
      <c r="G2054" s="2"/>
      <c r="H2054" s="2"/>
      <c r="I2054" s="2"/>
      <c r="J2054" s="2"/>
    </row>
    <row r="2055" spans="1:10" x14ac:dyDescent="0.35">
      <c r="A2055" s="2" t="s">
        <v>1237</v>
      </c>
      <c r="B2055" s="2" t="s">
        <v>1247</v>
      </c>
      <c r="C2055" s="2" t="s">
        <v>62</v>
      </c>
      <c r="D2055" s="2" t="s">
        <v>1331</v>
      </c>
      <c r="E2055" s="2" t="s">
        <v>1342</v>
      </c>
      <c r="F2055" s="2" t="s">
        <v>1343</v>
      </c>
      <c r="G2055" s="2"/>
      <c r="H2055" s="2"/>
      <c r="I2055" s="2"/>
      <c r="J2055" s="2"/>
    </row>
    <row r="2056" spans="1:10" x14ac:dyDescent="0.35">
      <c r="A2056" s="2" t="s">
        <v>1237</v>
      </c>
      <c r="B2056" s="2" t="s">
        <v>1247</v>
      </c>
      <c r="C2056" s="2" t="s">
        <v>62</v>
      </c>
      <c r="D2056" s="2" t="s">
        <v>1344</v>
      </c>
      <c r="E2056" s="2" t="s">
        <v>1249</v>
      </c>
      <c r="F2056" s="2" t="s">
        <v>75</v>
      </c>
      <c r="G2056" s="2"/>
      <c r="H2056" s="2"/>
      <c r="I2056" s="2"/>
      <c r="J2056" s="2"/>
    </row>
    <row r="2057" spans="1:10" x14ac:dyDescent="0.35">
      <c r="A2057" s="2" t="s">
        <v>1237</v>
      </c>
      <c r="B2057" s="2" t="s">
        <v>1247</v>
      </c>
      <c r="C2057" s="2" t="s">
        <v>62</v>
      </c>
      <c r="D2057" s="2" t="s">
        <v>1345</v>
      </c>
      <c r="E2057" s="2" t="s">
        <v>1249</v>
      </c>
      <c r="F2057" s="2" t="s">
        <v>75</v>
      </c>
      <c r="G2057" s="2"/>
      <c r="H2057" s="2"/>
      <c r="I2057" s="2"/>
      <c r="J2057" s="2"/>
    </row>
    <row r="2058" spans="1:10" x14ac:dyDescent="0.35">
      <c r="A2058" s="2" t="s">
        <v>1237</v>
      </c>
      <c r="B2058" s="2" t="s">
        <v>1247</v>
      </c>
      <c r="C2058" s="2" t="s">
        <v>24</v>
      </c>
      <c r="D2058" s="2" t="s">
        <v>1346</v>
      </c>
      <c r="E2058" s="2" t="s">
        <v>1252</v>
      </c>
      <c r="F2058" s="2" t="s">
        <v>1253</v>
      </c>
      <c r="G2058" s="2"/>
      <c r="H2058" s="2"/>
      <c r="I2058" s="2"/>
      <c r="J2058" s="2"/>
    </row>
    <row r="2059" spans="1:10" x14ac:dyDescent="0.35">
      <c r="A2059" s="2" t="s">
        <v>1237</v>
      </c>
      <c r="B2059" s="2" t="s">
        <v>1247</v>
      </c>
      <c r="C2059" s="2" t="s">
        <v>24</v>
      </c>
      <c r="D2059" s="2" t="s">
        <v>1346</v>
      </c>
      <c r="E2059" s="2" t="s">
        <v>1256</v>
      </c>
      <c r="F2059" s="2" t="s">
        <v>363</v>
      </c>
      <c r="G2059" s="2"/>
      <c r="H2059" s="2"/>
      <c r="I2059" s="2"/>
      <c r="J2059" s="2"/>
    </row>
    <row r="2060" spans="1:10" x14ac:dyDescent="0.35">
      <c r="A2060" s="2" t="s">
        <v>1237</v>
      </c>
      <c r="B2060" s="2" t="s">
        <v>1247</v>
      </c>
      <c r="C2060" s="2" t="s">
        <v>24</v>
      </c>
      <c r="D2060" s="2" t="s">
        <v>1346</v>
      </c>
      <c r="E2060" s="2" t="s">
        <v>1257</v>
      </c>
      <c r="F2060" s="2" t="s">
        <v>38</v>
      </c>
      <c r="G2060" s="2"/>
      <c r="H2060" s="2"/>
      <c r="I2060" s="2"/>
      <c r="J2060" s="2"/>
    </row>
    <row r="2061" spans="1:10" x14ac:dyDescent="0.35">
      <c r="A2061" s="2" t="s">
        <v>1237</v>
      </c>
      <c r="B2061" s="2" t="s">
        <v>1247</v>
      </c>
      <c r="C2061" s="2" t="s">
        <v>24</v>
      </c>
      <c r="D2061" s="2" t="s">
        <v>1346</v>
      </c>
      <c r="E2061" s="2" t="s">
        <v>1226</v>
      </c>
      <c r="F2061" s="2" t="s">
        <v>107</v>
      </c>
      <c r="G2061" s="2"/>
      <c r="H2061" s="2"/>
      <c r="I2061" s="2"/>
      <c r="J2061" s="2"/>
    </row>
    <row r="2062" spans="1:10" x14ac:dyDescent="0.35">
      <c r="A2062" s="2" t="s">
        <v>1237</v>
      </c>
      <c r="B2062" s="2" t="s">
        <v>1247</v>
      </c>
      <c r="C2062" s="2" t="s">
        <v>24</v>
      </c>
      <c r="D2062" s="2" t="s">
        <v>1346</v>
      </c>
      <c r="E2062" s="2" t="s">
        <v>87</v>
      </c>
      <c r="F2062" s="2" t="s">
        <v>75</v>
      </c>
      <c r="G2062" s="2"/>
      <c r="H2062" s="2"/>
      <c r="I2062" s="2"/>
      <c r="J2062" s="2"/>
    </row>
    <row r="2063" spans="1:10" x14ac:dyDescent="0.35">
      <c r="A2063" s="2" t="s">
        <v>1237</v>
      </c>
      <c r="B2063" s="2" t="s">
        <v>1247</v>
      </c>
      <c r="C2063" s="2" t="s">
        <v>24</v>
      </c>
      <c r="D2063" s="2" t="s">
        <v>1346</v>
      </c>
      <c r="E2063" s="2" t="s">
        <v>124</v>
      </c>
      <c r="F2063" s="2" t="s">
        <v>125</v>
      </c>
      <c r="G2063" s="2" t="s">
        <v>20</v>
      </c>
      <c r="H2063" s="2" t="s">
        <v>1259</v>
      </c>
      <c r="I2063" s="2"/>
      <c r="J2063" s="2"/>
    </row>
    <row r="2064" spans="1:10" x14ac:dyDescent="0.35">
      <c r="A2064" s="2" t="s">
        <v>1237</v>
      </c>
      <c r="B2064" s="2" t="s">
        <v>1247</v>
      </c>
      <c r="C2064" s="2" t="s">
        <v>24</v>
      </c>
      <c r="D2064" s="2" t="s">
        <v>1346</v>
      </c>
      <c r="E2064" s="2" t="s">
        <v>18</v>
      </c>
      <c r="F2064" s="2" t="s">
        <v>19</v>
      </c>
      <c r="G2064" s="2"/>
      <c r="H2064" s="2"/>
      <c r="I2064" s="2"/>
      <c r="J2064" s="2"/>
    </row>
    <row r="2065" spans="1:10" x14ac:dyDescent="0.35">
      <c r="A2065" s="2" t="s">
        <v>1237</v>
      </c>
      <c r="B2065" s="2" t="s">
        <v>1247</v>
      </c>
      <c r="C2065" s="2" t="s">
        <v>24</v>
      </c>
      <c r="D2065" s="2" t="s">
        <v>1346</v>
      </c>
      <c r="E2065" s="2" t="s">
        <v>1261</v>
      </c>
      <c r="F2065" s="2" t="s">
        <v>277</v>
      </c>
      <c r="G2065" s="2"/>
      <c r="H2065" s="2"/>
      <c r="I2065" s="2"/>
      <c r="J2065" s="2"/>
    </row>
    <row r="2066" spans="1:10" x14ac:dyDescent="0.35">
      <c r="A2066" s="2" t="s">
        <v>1237</v>
      </c>
      <c r="B2066" s="2" t="s">
        <v>1247</v>
      </c>
      <c r="C2066" s="2" t="s">
        <v>54</v>
      </c>
      <c r="D2066" s="2" t="s">
        <v>1347</v>
      </c>
      <c r="E2066" s="2" t="s">
        <v>14</v>
      </c>
      <c r="F2066" s="2" t="s">
        <v>15</v>
      </c>
      <c r="G2066" s="2"/>
      <c r="H2066" s="2"/>
      <c r="I2066" s="2"/>
      <c r="J2066" s="2"/>
    </row>
    <row r="2067" spans="1:10" x14ac:dyDescent="0.35">
      <c r="A2067" s="2" t="s">
        <v>1237</v>
      </c>
      <c r="B2067" s="2" t="s">
        <v>1247</v>
      </c>
      <c r="C2067" s="2" t="s">
        <v>54</v>
      </c>
      <c r="D2067" s="2" t="s">
        <v>1347</v>
      </c>
      <c r="E2067" s="2" t="s">
        <v>89</v>
      </c>
      <c r="F2067" s="2" t="s">
        <v>45</v>
      </c>
      <c r="G2067" s="2" t="s">
        <v>20</v>
      </c>
      <c r="H2067" s="2" t="s">
        <v>1348</v>
      </c>
      <c r="I2067" s="2"/>
      <c r="J2067" s="2"/>
    </row>
    <row r="2068" spans="1:10" x14ac:dyDescent="0.35">
      <c r="A2068" s="2" t="s">
        <v>1237</v>
      </c>
      <c r="B2068" s="2" t="s">
        <v>1247</v>
      </c>
      <c r="C2068" s="2" t="s">
        <v>62</v>
      </c>
      <c r="D2068" s="2" t="s">
        <v>1349</v>
      </c>
      <c r="E2068" s="2" t="s">
        <v>27</v>
      </c>
      <c r="F2068" s="2" t="s">
        <v>28</v>
      </c>
      <c r="G2068" s="2"/>
      <c r="H2068" s="2"/>
      <c r="I2068" s="2"/>
      <c r="J2068" s="2"/>
    </row>
    <row r="2069" spans="1:10" x14ac:dyDescent="0.35">
      <c r="A2069" s="2" t="s">
        <v>1237</v>
      </c>
      <c r="B2069" s="2" t="s">
        <v>1247</v>
      </c>
      <c r="C2069" s="2" t="s">
        <v>62</v>
      </c>
      <c r="D2069" s="2" t="s">
        <v>1350</v>
      </c>
      <c r="E2069" s="2" t="s">
        <v>1333</v>
      </c>
      <c r="F2069" s="2" t="s">
        <v>1334</v>
      </c>
      <c r="G2069" s="2"/>
      <c r="H2069" s="2"/>
      <c r="I2069" s="2"/>
      <c r="J2069" s="2"/>
    </row>
    <row r="2070" spans="1:10" x14ac:dyDescent="0.35">
      <c r="A2070" s="2" t="s">
        <v>1237</v>
      </c>
      <c r="B2070" s="2" t="s">
        <v>1247</v>
      </c>
      <c r="C2070" s="2" t="s">
        <v>62</v>
      </c>
      <c r="D2070" s="2" t="s">
        <v>1350</v>
      </c>
      <c r="E2070" s="2" t="s">
        <v>144</v>
      </c>
      <c r="F2070" s="2" t="s">
        <v>50</v>
      </c>
      <c r="G2070" s="2"/>
      <c r="H2070" s="2"/>
      <c r="I2070" s="2"/>
      <c r="J2070" s="2"/>
    </row>
    <row r="2071" spans="1:10" x14ac:dyDescent="0.35">
      <c r="A2071" s="2" t="s">
        <v>1237</v>
      </c>
      <c r="B2071" s="2" t="s">
        <v>1247</v>
      </c>
      <c r="C2071" s="2" t="s">
        <v>62</v>
      </c>
      <c r="D2071" s="2" t="s">
        <v>1350</v>
      </c>
      <c r="E2071" s="2" t="s">
        <v>91</v>
      </c>
      <c r="F2071" s="2" t="s">
        <v>19</v>
      </c>
      <c r="G2071" s="2"/>
      <c r="H2071" s="2"/>
      <c r="I2071" s="2"/>
      <c r="J2071" s="2"/>
    </row>
    <row r="2072" spans="1:10" x14ac:dyDescent="0.35">
      <c r="A2072" s="2" t="s">
        <v>1237</v>
      </c>
      <c r="B2072" s="2" t="s">
        <v>1247</v>
      </c>
      <c r="C2072" s="2" t="s">
        <v>62</v>
      </c>
      <c r="D2072" s="2" t="s">
        <v>1350</v>
      </c>
      <c r="E2072" s="2" t="s">
        <v>87</v>
      </c>
      <c r="F2072" s="2" t="s">
        <v>75</v>
      </c>
      <c r="G2072" s="2"/>
      <c r="H2072" s="2"/>
      <c r="I2072" s="2"/>
      <c r="J2072" s="2"/>
    </row>
    <row r="2073" spans="1:10" x14ac:dyDescent="0.35">
      <c r="A2073" s="2" t="s">
        <v>1237</v>
      </c>
      <c r="B2073" s="2" t="s">
        <v>1247</v>
      </c>
      <c r="C2073" s="2" t="s">
        <v>62</v>
      </c>
      <c r="D2073" s="2" t="s">
        <v>1350</v>
      </c>
      <c r="E2073" s="2" t="s">
        <v>1351</v>
      </c>
      <c r="F2073" s="2" t="s">
        <v>367</v>
      </c>
      <c r="G2073" s="2"/>
      <c r="H2073" s="2"/>
      <c r="I2073" s="2"/>
      <c r="J2073" s="2"/>
    </row>
    <row r="2074" spans="1:10" x14ac:dyDescent="0.35">
      <c r="A2074" s="2" t="s">
        <v>1237</v>
      </c>
      <c r="B2074" s="2" t="s">
        <v>1247</v>
      </c>
      <c r="C2074" s="2" t="s">
        <v>62</v>
      </c>
      <c r="D2074" s="2" t="s">
        <v>1350</v>
      </c>
      <c r="E2074" s="2" t="s">
        <v>1261</v>
      </c>
      <c r="F2074" s="2" t="s">
        <v>277</v>
      </c>
      <c r="G2074" s="2"/>
      <c r="H2074" s="2"/>
      <c r="I2074" s="2"/>
      <c r="J2074" s="2"/>
    </row>
    <row r="2075" spans="1:10" x14ac:dyDescent="0.35">
      <c r="A2075" s="2" t="s">
        <v>1237</v>
      </c>
      <c r="B2075" s="2" t="s">
        <v>1247</v>
      </c>
      <c r="C2075" s="2" t="s">
        <v>62</v>
      </c>
      <c r="D2075" s="2" t="s">
        <v>1350</v>
      </c>
      <c r="E2075" s="2" t="s">
        <v>1352</v>
      </c>
      <c r="F2075" s="2" t="s">
        <v>228</v>
      </c>
      <c r="G2075" s="2"/>
      <c r="H2075" s="2"/>
      <c r="I2075" s="2"/>
      <c r="J2075" s="2"/>
    </row>
    <row r="2076" spans="1:10" x14ac:dyDescent="0.35">
      <c r="A2076" s="2" t="s">
        <v>1237</v>
      </c>
      <c r="B2076" s="2" t="s">
        <v>1247</v>
      </c>
      <c r="C2076" s="2" t="s">
        <v>62</v>
      </c>
      <c r="D2076" s="2" t="s">
        <v>1350</v>
      </c>
      <c r="E2076" s="2" t="s">
        <v>1341</v>
      </c>
      <c r="F2076" s="2" t="s">
        <v>65</v>
      </c>
      <c r="G2076" s="2"/>
      <c r="H2076" s="2"/>
      <c r="I2076" s="2"/>
      <c r="J2076" s="2"/>
    </row>
    <row r="2077" spans="1:10" x14ac:dyDescent="0.35">
      <c r="A2077" s="2" t="s">
        <v>1237</v>
      </c>
      <c r="B2077" s="2" t="s">
        <v>1247</v>
      </c>
      <c r="C2077" s="2" t="s">
        <v>62</v>
      </c>
      <c r="D2077" s="2" t="s">
        <v>1353</v>
      </c>
      <c r="E2077" s="2" t="s">
        <v>91</v>
      </c>
      <c r="F2077" s="2" t="s">
        <v>19</v>
      </c>
      <c r="G2077" s="2"/>
      <c r="H2077" s="2"/>
      <c r="I2077" s="2"/>
      <c r="J2077" s="2"/>
    </row>
    <row r="2078" spans="1:10" x14ac:dyDescent="0.35">
      <c r="A2078" s="2" t="s">
        <v>1237</v>
      </c>
      <c r="B2078" s="2" t="s">
        <v>1247</v>
      </c>
      <c r="C2078" s="2" t="s">
        <v>62</v>
      </c>
      <c r="D2078" s="2" t="s">
        <v>1353</v>
      </c>
      <c r="E2078" s="2" t="s">
        <v>87</v>
      </c>
      <c r="F2078" s="2" t="s">
        <v>75</v>
      </c>
      <c r="G2078" s="2"/>
      <c r="H2078" s="2"/>
      <c r="I2078" s="2"/>
      <c r="J2078" s="2"/>
    </row>
    <row r="2079" spans="1:10" x14ac:dyDescent="0.35">
      <c r="A2079" s="2" t="s">
        <v>1237</v>
      </c>
      <c r="B2079" s="2" t="s">
        <v>1247</v>
      </c>
      <c r="C2079" s="2" t="s">
        <v>62</v>
      </c>
      <c r="D2079" s="2" t="s">
        <v>1353</v>
      </c>
      <c r="E2079" s="2" t="s">
        <v>1249</v>
      </c>
      <c r="F2079" s="2" t="s">
        <v>75</v>
      </c>
      <c r="G2079" s="2"/>
      <c r="H2079" s="2"/>
      <c r="I2079" s="2"/>
      <c r="J2079" s="2"/>
    </row>
    <row r="2080" spans="1:10" x14ac:dyDescent="0.35">
      <c r="A2080" s="2" t="s">
        <v>1237</v>
      </c>
      <c r="B2080" s="2" t="s">
        <v>1247</v>
      </c>
      <c r="C2080" s="2" t="s">
        <v>24</v>
      </c>
      <c r="D2080" s="2" t="s">
        <v>1354</v>
      </c>
      <c r="E2080" s="2" t="s">
        <v>1252</v>
      </c>
      <c r="F2080" s="2" t="s">
        <v>1253</v>
      </c>
      <c r="G2080" s="2"/>
      <c r="H2080" s="2"/>
      <c r="I2080" s="2"/>
      <c r="J2080" s="2"/>
    </row>
    <row r="2081" spans="1:10" x14ac:dyDescent="0.35">
      <c r="A2081" s="2" t="s">
        <v>1237</v>
      </c>
      <c r="B2081" s="2" t="s">
        <v>1247</v>
      </c>
      <c r="C2081" s="2" t="s">
        <v>24</v>
      </c>
      <c r="D2081" s="2" t="s">
        <v>1354</v>
      </c>
      <c r="E2081" s="2" t="s">
        <v>1257</v>
      </c>
      <c r="F2081" s="2" t="s">
        <v>38</v>
      </c>
      <c r="G2081" s="2"/>
      <c r="H2081" s="2"/>
      <c r="I2081" s="2"/>
      <c r="J2081" s="2"/>
    </row>
    <row r="2082" spans="1:10" x14ac:dyDescent="0.35">
      <c r="A2082" s="2" t="s">
        <v>1237</v>
      </c>
      <c r="B2082" s="2" t="s">
        <v>1247</v>
      </c>
      <c r="C2082" s="2" t="s">
        <v>24</v>
      </c>
      <c r="D2082" s="2" t="s">
        <v>1354</v>
      </c>
      <c r="E2082" s="2" t="s">
        <v>82</v>
      </c>
      <c r="F2082" s="2" t="s">
        <v>83</v>
      </c>
      <c r="G2082" s="2"/>
      <c r="H2082" s="2"/>
      <c r="I2082" s="2"/>
      <c r="J2082" s="2"/>
    </row>
    <row r="2083" spans="1:10" x14ac:dyDescent="0.35">
      <c r="A2083" s="2" t="s">
        <v>1237</v>
      </c>
      <c r="B2083" s="2" t="s">
        <v>1247</v>
      </c>
      <c r="C2083" s="2" t="s">
        <v>24</v>
      </c>
      <c r="D2083" s="2" t="s">
        <v>1354</v>
      </c>
      <c r="E2083" s="2" t="s">
        <v>1226</v>
      </c>
      <c r="F2083" s="2" t="s">
        <v>107</v>
      </c>
      <c r="G2083" s="2"/>
      <c r="H2083" s="2"/>
      <c r="I2083" s="2"/>
      <c r="J2083" s="2"/>
    </row>
    <row r="2084" spans="1:10" x14ac:dyDescent="0.35">
      <c r="A2084" s="2" t="s">
        <v>1237</v>
      </c>
      <c r="B2084" s="2" t="s">
        <v>1247</v>
      </c>
      <c r="C2084" s="2" t="s">
        <v>24</v>
      </c>
      <c r="D2084" s="2" t="s">
        <v>1354</v>
      </c>
      <c r="E2084" s="2" t="s">
        <v>1355</v>
      </c>
      <c r="F2084" s="2" t="s">
        <v>277</v>
      </c>
      <c r="G2084" s="2"/>
      <c r="H2084" s="2"/>
      <c r="I2084" s="2"/>
      <c r="J2084" s="2"/>
    </row>
    <row r="2085" spans="1:10" x14ac:dyDescent="0.35">
      <c r="A2085" s="2" t="s">
        <v>1237</v>
      </c>
      <c r="B2085" s="2" t="s">
        <v>1247</v>
      </c>
      <c r="C2085" s="2" t="s">
        <v>24</v>
      </c>
      <c r="D2085" s="2" t="s">
        <v>1354</v>
      </c>
      <c r="E2085" s="2" t="s">
        <v>91</v>
      </c>
      <c r="F2085" s="2" t="s">
        <v>19</v>
      </c>
      <c r="G2085" s="2"/>
      <c r="H2085" s="2"/>
      <c r="I2085" s="2"/>
      <c r="J2085" s="2"/>
    </row>
    <row r="2086" spans="1:10" x14ac:dyDescent="0.35">
      <c r="A2086" s="2" t="s">
        <v>1237</v>
      </c>
      <c r="B2086" s="2" t="s">
        <v>1247</v>
      </c>
      <c r="C2086" s="2" t="s">
        <v>24</v>
      </c>
      <c r="D2086" s="2" t="s">
        <v>1354</v>
      </c>
      <c r="E2086" s="2" t="s">
        <v>87</v>
      </c>
      <c r="F2086" s="2" t="s">
        <v>75</v>
      </c>
      <c r="G2086" s="2"/>
      <c r="H2086" s="2"/>
      <c r="I2086" s="2"/>
      <c r="J2086" s="2"/>
    </row>
    <row r="2087" spans="1:10" x14ac:dyDescent="0.35">
      <c r="A2087" s="2" t="s">
        <v>1237</v>
      </c>
      <c r="B2087" s="2" t="s">
        <v>1247</v>
      </c>
      <c r="C2087" s="2" t="s">
        <v>24</v>
      </c>
      <c r="D2087" s="2" t="s">
        <v>1354</v>
      </c>
      <c r="E2087" s="2" t="s">
        <v>124</v>
      </c>
      <c r="F2087" s="2" t="s">
        <v>125</v>
      </c>
      <c r="G2087" s="2"/>
      <c r="H2087" s="2"/>
      <c r="I2087" s="2"/>
      <c r="J2087" s="2"/>
    </row>
    <row r="2088" spans="1:10" x14ac:dyDescent="0.35">
      <c r="A2088" s="2" t="s">
        <v>1237</v>
      </c>
      <c r="B2088" s="2" t="s">
        <v>1247</v>
      </c>
      <c r="C2088" s="2" t="s">
        <v>24</v>
      </c>
      <c r="D2088" s="2" t="s">
        <v>1354</v>
      </c>
      <c r="E2088" s="2" t="s">
        <v>18</v>
      </c>
      <c r="F2088" s="2" t="s">
        <v>19</v>
      </c>
      <c r="G2088" s="2"/>
      <c r="H2088" s="2"/>
      <c r="I2088" s="2"/>
      <c r="J2088" s="2"/>
    </row>
    <row r="2089" spans="1:10" x14ac:dyDescent="0.35">
      <c r="A2089" s="2" t="s">
        <v>1237</v>
      </c>
      <c r="B2089" s="2" t="s">
        <v>1247</v>
      </c>
      <c r="C2089" s="2" t="s">
        <v>24</v>
      </c>
      <c r="D2089" s="2" t="s">
        <v>1354</v>
      </c>
      <c r="E2089" s="2" t="s">
        <v>1261</v>
      </c>
      <c r="F2089" s="2" t="s">
        <v>277</v>
      </c>
      <c r="G2089" s="2"/>
      <c r="H2089" s="2"/>
      <c r="I2089" s="2"/>
      <c r="J2089" s="2"/>
    </row>
    <row r="2090" spans="1:10" x14ac:dyDescent="0.35">
      <c r="A2090" s="2" t="s">
        <v>1237</v>
      </c>
      <c r="B2090" s="2" t="s">
        <v>1247</v>
      </c>
      <c r="C2090" s="2" t="s">
        <v>24</v>
      </c>
      <c r="D2090" s="2" t="s">
        <v>1354</v>
      </c>
      <c r="E2090" s="2" t="s">
        <v>1263</v>
      </c>
      <c r="F2090" s="2" t="s">
        <v>36</v>
      </c>
      <c r="G2090" s="2"/>
      <c r="H2090" s="2"/>
      <c r="I2090" s="2"/>
      <c r="J2090" s="2"/>
    </row>
    <row r="2091" spans="1:10" x14ac:dyDescent="0.35">
      <c r="A2091" s="2" t="s">
        <v>1237</v>
      </c>
      <c r="B2091" s="2" t="s">
        <v>1247</v>
      </c>
      <c r="C2091" s="2" t="s">
        <v>24</v>
      </c>
      <c r="D2091" s="2" t="s">
        <v>1356</v>
      </c>
      <c r="E2091" s="2" t="s">
        <v>144</v>
      </c>
      <c r="F2091" s="2" t="s">
        <v>50</v>
      </c>
      <c r="G2091" s="2"/>
      <c r="H2091" s="2"/>
      <c r="I2091" s="2"/>
      <c r="J2091" s="2"/>
    </row>
    <row r="2092" spans="1:10" x14ac:dyDescent="0.35">
      <c r="A2092" s="2" t="s">
        <v>1237</v>
      </c>
      <c r="B2092" s="2" t="s">
        <v>1247</v>
      </c>
      <c r="C2092" s="2" t="s">
        <v>24</v>
      </c>
      <c r="D2092" s="2" t="s">
        <v>1356</v>
      </c>
      <c r="E2092" s="2" t="s">
        <v>138</v>
      </c>
      <c r="F2092" s="2" t="s">
        <v>139</v>
      </c>
      <c r="G2092" s="2"/>
      <c r="H2092" s="2"/>
      <c r="I2092" s="2"/>
      <c r="J2092" s="2"/>
    </row>
    <row r="2093" spans="1:10" x14ac:dyDescent="0.35">
      <c r="A2093" s="2" t="s">
        <v>1237</v>
      </c>
      <c r="B2093" s="2" t="s">
        <v>1247</v>
      </c>
      <c r="C2093" s="2" t="s">
        <v>24</v>
      </c>
      <c r="D2093" s="2" t="s">
        <v>1356</v>
      </c>
      <c r="E2093" s="2" t="s">
        <v>121</v>
      </c>
      <c r="F2093" s="2" t="s">
        <v>122</v>
      </c>
      <c r="G2093" s="2"/>
      <c r="H2093" s="2"/>
      <c r="I2093" s="2"/>
      <c r="J2093" s="2"/>
    </row>
    <row r="2094" spans="1:10" x14ac:dyDescent="0.35">
      <c r="A2094" s="2" t="s">
        <v>1237</v>
      </c>
      <c r="B2094" s="2" t="s">
        <v>1247</v>
      </c>
      <c r="C2094" s="2" t="s">
        <v>24</v>
      </c>
      <c r="D2094" s="2" t="s">
        <v>1357</v>
      </c>
      <c r="E2094" s="2" t="s">
        <v>1252</v>
      </c>
      <c r="F2094" s="2" t="s">
        <v>1253</v>
      </c>
      <c r="G2094" s="2"/>
      <c r="H2094" s="2"/>
      <c r="I2094" s="2"/>
      <c r="J2094" s="2"/>
    </row>
    <row r="2095" spans="1:10" x14ac:dyDescent="0.35">
      <c r="A2095" s="2" t="s">
        <v>1237</v>
      </c>
      <c r="B2095" s="2" t="s">
        <v>1247</v>
      </c>
      <c r="C2095" s="2" t="s">
        <v>24</v>
      </c>
      <c r="D2095" s="2" t="s">
        <v>1357</v>
      </c>
      <c r="E2095" s="2" t="s">
        <v>1256</v>
      </c>
      <c r="F2095" s="2" t="s">
        <v>363</v>
      </c>
      <c r="G2095" s="2"/>
      <c r="H2095" s="2"/>
      <c r="I2095" s="2"/>
      <c r="J2095" s="2"/>
    </row>
    <row r="2096" spans="1:10" x14ac:dyDescent="0.35">
      <c r="A2096" s="2" t="s">
        <v>1237</v>
      </c>
      <c r="B2096" s="2" t="s">
        <v>1247</v>
      </c>
      <c r="C2096" s="2" t="s">
        <v>24</v>
      </c>
      <c r="D2096" s="2" t="s">
        <v>1357</v>
      </c>
      <c r="E2096" s="2" t="s">
        <v>1358</v>
      </c>
      <c r="F2096" s="2" t="s">
        <v>83</v>
      </c>
      <c r="G2096" s="2"/>
      <c r="H2096" s="2"/>
      <c r="I2096" s="2"/>
      <c r="J2096" s="2"/>
    </row>
    <row r="2097" spans="1:10" x14ac:dyDescent="0.35">
      <c r="A2097" s="2" t="s">
        <v>1237</v>
      </c>
      <c r="B2097" s="2" t="s">
        <v>1247</v>
      </c>
      <c r="C2097" s="2" t="s">
        <v>24</v>
      </c>
      <c r="D2097" s="2" t="s">
        <v>1357</v>
      </c>
      <c r="E2097" s="2" t="s">
        <v>1257</v>
      </c>
      <c r="F2097" s="2" t="s">
        <v>38</v>
      </c>
      <c r="G2097" s="2"/>
      <c r="H2097" s="2"/>
      <c r="I2097" s="2"/>
      <c r="J2097" s="2"/>
    </row>
    <row r="2098" spans="1:10" x14ac:dyDescent="0.35">
      <c r="A2098" s="2" t="s">
        <v>1237</v>
      </c>
      <c r="B2098" s="2" t="s">
        <v>1247</v>
      </c>
      <c r="C2098" s="2" t="s">
        <v>24</v>
      </c>
      <c r="D2098" s="2" t="s">
        <v>1357</v>
      </c>
      <c r="E2098" s="2" t="s">
        <v>1359</v>
      </c>
      <c r="F2098" s="2" t="s">
        <v>363</v>
      </c>
      <c r="G2098" s="2"/>
      <c r="H2098" s="2"/>
      <c r="I2098" s="2"/>
      <c r="J2098" s="2"/>
    </row>
    <row r="2099" spans="1:10" x14ac:dyDescent="0.35">
      <c r="A2099" s="2" t="s">
        <v>1237</v>
      </c>
      <c r="B2099" s="2" t="s">
        <v>1247</v>
      </c>
      <c r="C2099" s="2" t="s">
        <v>24</v>
      </c>
      <c r="D2099" s="2" t="s">
        <v>1357</v>
      </c>
      <c r="E2099" s="2" t="s">
        <v>613</v>
      </c>
      <c r="F2099" s="2" t="s">
        <v>125</v>
      </c>
      <c r="G2099" s="2"/>
      <c r="H2099" s="2"/>
      <c r="I2099" s="2"/>
      <c r="J2099" s="2"/>
    </row>
    <row r="2100" spans="1:10" x14ac:dyDescent="0.35">
      <c r="A2100" s="2" t="s">
        <v>1237</v>
      </c>
      <c r="B2100" s="2" t="s">
        <v>1247</v>
      </c>
      <c r="C2100" s="2" t="s">
        <v>24</v>
      </c>
      <c r="D2100" s="2" t="s">
        <v>1357</v>
      </c>
      <c r="E2100" s="2" t="s">
        <v>1226</v>
      </c>
      <c r="F2100" s="2" t="s">
        <v>107</v>
      </c>
      <c r="G2100" s="2"/>
      <c r="H2100" s="2"/>
      <c r="I2100" s="2"/>
      <c r="J2100" s="2"/>
    </row>
    <row r="2101" spans="1:10" x14ac:dyDescent="0.35">
      <c r="A2101" s="2" t="s">
        <v>1237</v>
      </c>
      <c r="B2101" s="2" t="s">
        <v>1247</v>
      </c>
      <c r="C2101" s="2" t="s">
        <v>24</v>
      </c>
      <c r="D2101" s="2" t="s">
        <v>1357</v>
      </c>
      <c r="E2101" s="2" t="s">
        <v>438</v>
      </c>
      <c r="F2101" s="2" t="s">
        <v>19</v>
      </c>
      <c r="G2101" s="2"/>
      <c r="H2101" s="2"/>
      <c r="I2101" s="2"/>
      <c r="J2101" s="2"/>
    </row>
    <row r="2102" spans="1:10" x14ac:dyDescent="0.35">
      <c r="A2102" s="2" t="s">
        <v>1237</v>
      </c>
      <c r="B2102" s="2" t="s">
        <v>1247</v>
      </c>
      <c r="C2102" s="2" t="s">
        <v>24</v>
      </c>
      <c r="D2102" s="2" t="s">
        <v>1357</v>
      </c>
      <c r="E2102" s="2" t="s">
        <v>87</v>
      </c>
      <c r="F2102" s="2" t="s">
        <v>75</v>
      </c>
      <c r="G2102" s="2"/>
      <c r="H2102" s="2"/>
      <c r="I2102" s="2"/>
      <c r="J2102" s="2"/>
    </row>
    <row r="2103" spans="1:10" x14ac:dyDescent="0.35">
      <c r="A2103" s="2" t="s">
        <v>1237</v>
      </c>
      <c r="B2103" s="2" t="s">
        <v>1247</v>
      </c>
      <c r="C2103" s="2" t="s">
        <v>24</v>
      </c>
      <c r="D2103" s="2" t="s">
        <v>1357</v>
      </c>
      <c r="E2103" s="2" t="s">
        <v>1243</v>
      </c>
      <c r="F2103" s="2" t="s">
        <v>40</v>
      </c>
      <c r="G2103" s="2" t="s">
        <v>46</v>
      </c>
      <c r="H2103" s="2" t="s">
        <v>47</v>
      </c>
      <c r="I2103" s="2"/>
      <c r="J2103" s="2"/>
    </row>
    <row r="2104" spans="1:10" x14ac:dyDescent="0.35">
      <c r="A2104" s="2" t="s">
        <v>1237</v>
      </c>
      <c r="B2104" s="2" t="s">
        <v>1247</v>
      </c>
      <c r="C2104" s="2" t="s">
        <v>24</v>
      </c>
      <c r="D2104" s="2" t="s">
        <v>1357</v>
      </c>
      <c r="E2104" s="2" t="s">
        <v>18</v>
      </c>
      <c r="F2104" s="2" t="s">
        <v>19</v>
      </c>
      <c r="G2104" s="2"/>
      <c r="H2104" s="2"/>
      <c r="I2104" s="2"/>
      <c r="J2104" s="2"/>
    </row>
    <row r="2105" spans="1:10" x14ac:dyDescent="0.35">
      <c r="A2105" s="2" t="s">
        <v>1237</v>
      </c>
      <c r="B2105" s="2" t="s">
        <v>1247</v>
      </c>
      <c r="C2105" s="2" t="s">
        <v>24</v>
      </c>
      <c r="D2105" s="2" t="s">
        <v>1357</v>
      </c>
      <c r="E2105" s="2" t="s">
        <v>61</v>
      </c>
      <c r="F2105" s="2" t="s">
        <v>30</v>
      </c>
      <c r="G2105" s="2"/>
      <c r="H2105" s="2"/>
      <c r="I2105" s="2"/>
      <c r="J2105" s="2"/>
    </row>
    <row r="2106" spans="1:10" x14ac:dyDescent="0.35">
      <c r="A2106" s="2" t="s">
        <v>1237</v>
      </c>
      <c r="B2106" s="2" t="s">
        <v>1247</v>
      </c>
      <c r="C2106" s="2" t="s">
        <v>24</v>
      </c>
      <c r="D2106" s="2" t="s">
        <v>1357</v>
      </c>
      <c r="E2106" s="2" t="s">
        <v>1261</v>
      </c>
      <c r="F2106" s="2" t="s">
        <v>277</v>
      </c>
      <c r="G2106" s="2"/>
      <c r="H2106" s="2"/>
      <c r="I2106" s="2"/>
      <c r="J2106" s="2"/>
    </row>
    <row r="2107" spans="1:10" x14ac:dyDescent="0.35">
      <c r="A2107" s="2" t="s">
        <v>1237</v>
      </c>
      <c r="B2107" s="2" t="s">
        <v>1247</v>
      </c>
      <c r="C2107" s="2" t="s">
        <v>24</v>
      </c>
      <c r="D2107" s="2" t="s">
        <v>1357</v>
      </c>
      <c r="E2107" s="2" t="s">
        <v>127</v>
      </c>
      <c r="F2107" s="2" t="s">
        <v>107</v>
      </c>
      <c r="G2107" s="2"/>
      <c r="H2107" s="2"/>
      <c r="I2107" s="2"/>
      <c r="J2107" s="2"/>
    </row>
    <row r="2108" spans="1:10" x14ac:dyDescent="0.35">
      <c r="A2108" s="2" t="s">
        <v>1237</v>
      </c>
      <c r="B2108" s="2" t="s">
        <v>1247</v>
      </c>
      <c r="C2108" s="2" t="s">
        <v>24</v>
      </c>
      <c r="D2108" s="2" t="s">
        <v>1357</v>
      </c>
      <c r="E2108" s="2" t="s">
        <v>1263</v>
      </c>
      <c r="F2108" s="2" t="s">
        <v>36</v>
      </c>
      <c r="G2108" s="2"/>
      <c r="H2108" s="2"/>
      <c r="I2108" s="2"/>
      <c r="J2108" s="2"/>
    </row>
    <row r="2109" spans="1:10" x14ac:dyDescent="0.35">
      <c r="A2109" s="2" t="s">
        <v>1237</v>
      </c>
      <c r="B2109" s="2" t="s">
        <v>1247</v>
      </c>
      <c r="C2109" s="2" t="s">
        <v>24</v>
      </c>
      <c r="D2109" s="2" t="s">
        <v>1360</v>
      </c>
      <c r="E2109" s="2" t="s">
        <v>144</v>
      </c>
      <c r="F2109" s="2" t="s">
        <v>50</v>
      </c>
      <c r="G2109" s="2"/>
      <c r="H2109" s="2"/>
      <c r="I2109" s="2"/>
      <c r="J2109" s="2"/>
    </row>
    <row r="2110" spans="1:10" x14ac:dyDescent="0.35">
      <c r="A2110" s="2" t="s">
        <v>1237</v>
      </c>
      <c r="B2110" s="2" t="s">
        <v>1247</v>
      </c>
      <c r="C2110" s="2" t="s">
        <v>24</v>
      </c>
      <c r="D2110" s="2" t="s">
        <v>1360</v>
      </c>
      <c r="E2110" s="2" t="s">
        <v>91</v>
      </c>
      <c r="F2110" s="2" t="s">
        <v>19</v>
      </c>
      <c r="G2110" s="2" t="s">
        <v>20</v>
      </c>
      <c r="H2110" s="2" t="s">
        <v>1361</v>
      </c>
      <c r="I2110" s="2"/>
      <c r="J2110" s="2"/>
    </row>
    <row r="2111" spans="1:10" x14ac:dyDescent="0.35">
      <c r="A2111" s="2" t="s">
        <v>1237</v>
      </c>
      <c r="B2111" s="2" t="s">
        <v>1247</v>
      </c>
      <c r="C2111" s="2" t="s">
        <v>24</v>
      </c>
      <c r="D2111" s="2" t="s">
        <v>1362</v>
      </c>
      <c r="E2111" s="2" t="s">
        <v>120</v>
      </c>
      <c r="F2111" s="2" t="s">
        <v>32</v>
      </c>
      <c r="G2111" s="2"/>
      <c r="H2111" s="2"/>
      <c r="I2111" s="2"/>
      <c r="J2111" s="2"/>
    </row>
    <row r="2112" spans="1:10" x14ac:dyDescent="0.35">
      <c r="A2112" s="2" t="s">
        <v>1237</v>
      </c>
      <c r="B2112" s="2" t="s">
        <v>1247</v>
      </c>
      <c r="C2112" s="2" t="s">
        <v>24</v>
      </c>
      <c r="D2112" s="2" t="s">
        <v>1362</v>
      </c>
      <c r="E2112" s="2" t="s">
        <v>82</v>
      </c>
      <c r="F2112" s="2" t="s">
        <v>83</v>
      </c>
      <c r="G2112" s="2" t="s">
        <v>16</v>
      </c>
      <c r="H2112" s="2" t="s">
        <v>524</v>
      </c>
      <c r="I2112" s="2"/>
      <c r="J2112" s="2"/>
    </row>
    <row r="2113" spans="1:10" x14ac:dyDescent="0.35">
      <c r="A2113" s="2" t="s">
        <v>1237</v>
      </c>
      <c r="B2113" s="2" t="s">
        <v>1247</v>
      </c>
      <c r="C2113" s="2" t="s">
        <v>24</v>
      </c>
      <c r="D2113" s="2" t="s">
        <v>1362</v>
      </c>
      <c r="E2113" s="2" t="s">
        <v>121</v>
      </c>
      <c r="F2113" s="2" t="s">
        <v>122</v>
      </c>
      <c r="G2113" s="2" t="s">
        <v>20</v>
      </c>
      <c r="H2113" s="2" t="s">
        <v>524</v>
      </c>
      <c r="I2113" s="2"/>
      <c r="J2113" s="2"/>
    </row>
    <row r="2114" spans="1:10" x14ac:dyDescent="0.35">
      <c r="A2114" s="2" t="s">
        <v>1237</v>
      </c>
      <c r="B2114" s="2" t="s">
        <v>1247</v>
      </c>
      <c r="C2114" s="2" t="s">
        <v>24</v>
      </c>
      <c r="D2114" s="2" t="s">
        <v>1362</v>
      </c>
      <c r="E2114" s="2" t="s">
        <v>1363</v>
      </c>
      <c r="F2114" s="2" t="s">
        <v>189</v>
      </c>
      <c r="G2114" s="2" t="s">
        <v>20</v>
      </c>
      <c r="H2114" s="2" t="s">
        <v>1364</v>
      </c>
      <c r="I2114" s="2"/>
      <c r="J2114" s="2"/>
    </row>
    <row r="2115" spans="1:10" x14ac:dyDescent="0.35">
      <c r="A2115" s="2" t="s">
        <v>1237</v>
      </c>
      <c r="B2115" s="2" t="s">
        <v>1247</v>
      </c>
      <c r="C2115" s="2" t="s">
        <v>24</v>
      </c>
      <c r="D2115" s="2" t="s">
        <v>1362</v>
      </c>
      <c r="E2115" s="2" t="s">
        <v>149</v>
      </c>
      <c r="F2115" s="2" t="s">
        <v>150</v>
      </c>
      <c r="G2115" s="2" t="s">
        <v>20</v>
      </c>
      <c r="H2115" s="2" t="s">
        <v>524</v>
      </c>
      <c r="I2115" s="2"/>
      <c r="J2115" s="2"/>
    </row>
    <row r="2116" spans="1:10" x14ac:dyDescent="0.35">
      <c r="A2116" s="2" t="s">
        <v>1237</v>
      </c>
      <c r="B2116" s="2" t="s">
        <v>1247</v>
      </c>
      <c r="C2116" s="2" t="s">
        <v>24</v>
      </c>
      <c r="D2116" s="2" t="s">
        <v>1365</v>
      </c>
      <c r="E2116" s="2" t="s">
        <v>1366</v>
      </c>
      <c r="F2116" s="2" t="s">
        <v>122</v>
      </c>
      <c r="G2116" s="2"/>
      <c r="H2116" s="2"/>
      <c r="I2116" s="2"/>
      <c r="J2116" s="2"/>
    </row>
    <row r="2117" spans="1:10" x14ac:dyDescent="0.35">
      <c r="A2117" s="2" t="s">
        <v>1237</v>
      </c>
      <c r="B2117" s="2" t="s">
        <v>1247</v>
      </c>
      <c r="C2117" s="2" t="s">
        <v>24</v>
      </c>
      <c r="D2117" s="2" t="s">
        <v>1365</v>
      </c>
      <c r="E2117" s="2" t="s">
        <v>1367</v>
      </c>
      <c r="F2117" s="2" t="s">
        <v>32</v>
      </c>
      <c r="G2117" s="2"/>
      <c r="H2117" s="2"/>
      <c r="I2117" s="2"/>
      <c r="J2117" s="2"/>
    </row>
    <row r="2118" spans="1:10" x14ac:dyDescent="0.35">
      <c r="A2118" s="2" t="s">
        <v>1237</v>
      </c>
      <c r="B2118" s="2" t="s">
        <v>1247</v>
      </c>
      <c r="C2118" s="2" t="s">
        <v>24</v>
      </c>
      <c r="D2118" s="2" t="s">
        <v>1365</v>
      </c>
      <c r="E2118" s="2" t="s">
        <v>1368</v>
      </c>
      <c r="F2118" s="2" t="s">
        <v>122</v>
      </c>
      <c r="G2118" s="2"/>
      <c r="H2118" s="2"/>
      <c r="I2118" s="2"/>
      <c r="J2118" s="2"/>
    </row>
    <row r="2119" spans="1:10" x14ac:dyDescent="0.35">
      <c r="A2119" s="2" t="s">
        <v>1237</v>
      </c>
      <c r="B2119" s="2" t="s">
        <v>1247</v>
      </c>
      <c r="C2119" s="2" t="s">
        <v>24</v>
      </c>
      <c r="D2119" s="2" t="s">
        <v>1365</v>
      </c>
      <c r="E2119" s="2" t="s">
        <v>1369</v>
      </c>
      <c r="F2119" s="2" t="s">
        <v>122</v>
      </c>
      <c r="G2119" s="2"/>
      <c r="H2119" s="2"/>
      <c r="I2119" s="2"/>
      <c r="J2119" s="2"/>
    </row>
    <row r="2120" spans="1:10" x14ac:dyDescent="0.35">
      <c r="A2120" s="2" t="s">
        <v>1237</v>
      </c>
      <c r="B2120" s="2" t="s">
        <v>1247</v>
      </c>
      <c r="C2120" s="2" t="s">
        <v>24</v>
      </c>
      <c r="D2120" s="2" t="s">
        <v>1365</v>
      </c>
      <c r="E2120" s="2" t="s">
        <v>1270</v>
      </c>
      <c r="F2120" s="2" t="s">
        <v>75</v>
      </c>
      <c r="G2120" s="2"/>
      <c r="H2120" s="2"/>
      <c r="I2120" s="2"/>
      <c r="J2120" s="2"/>
    </row>
    <row r="2121" spans="1:10" x14ac:dyDescent="0.35">
      <c r="A2121" s="2" t="s">
        <v>1237</v>
      </c>
      <c r="B2121" s="2" t="s">
        <v>1247</v>
      </c>
      <c r="C2121" s="2" t="s">
        <v>24</v>
      </c>
      <c r="D2121" s="2" t="s">
        <v>1365</v>
      </c>
      <c r="E2121" s="2" t="s">
        <v>1370</v>
      </c>
      <c r="F2121" s="2" t="s">
        <v>43</v>
      </c>
      <c r="G2121" s="2" t="s">
        <v>46</v>
      </c>
      <c r="H2121" s="2" t="s">
        <v>1371</v>
      </c>
      <c r="I2121" s="2"/>
      <c r="J2121" s="2"/>
    </row>
    <row r="2122" spans="1:10" x14ac:dyDescent="0.35">
      <c r="A2122" s="2" t="s">
        <v>1237</v>
      </c>
      <c r="B2122" s="2" t="s">
        <v>1247</v>
      </c>
      <c r="C2122" s="2" t="s">
        <v>24</v>
      </c>
      <c r="D2122" s="2" t="s">
        <v>1365</v>
      </c>
      <c r="E2122" s="2" t="s">
        <v>87</v>
      </c>
      <c r="F2122" s="2" t="s">
        <v>75</v>
      </c>
      <c r="G2122" s="2"/>
      <c r="H2122" s="2"/>
      <c r="I2122" s="2"/>
      <c r="J2122" s="2"/>
    </row>
    <row r="2123" spans="1:10" x14ac:dyDescent="0.35">
      <c r="A2123" s="2" t="s">
        <v>1237</v>
      </c>
      <c r="B2123" s="2" t="s">
        <v>1247</v>
      </c>
      <c r="C2123" s="2" t="s">
        <v>24</v>
      </c>
      <c r="D2123" s="2" t="s">
        <v>1365</v>
      </c>
      <c r="E2123" s="2" t="s">
        <v>1372</v>
      </c>
      <c r="F2123" s="2" t="s">
        <v>122</v>
      </c>
      <c r="G2123" s="2"/>
      <c r="H2123" s="2"/>
      <c r="I2123" s="2"/>
      <c r="J2123" s="2"/>
    </row>
    <row r="2124" spans="1:10" x14ac:dyDescent="0.35">
      <c r="A2124" s="2" t="s">
        <v>1237</v>
      </c>
      <c r="B2124" s="2" t="s">
        <v>1247</v>
      </c>
      <c r="C2124" s="2" t="s">
        <v>24</v>
      </c>
      <c r="D2124" s="2" t="s">
        <v>1365</v>
      </c>
      <c r="E2124" s="2" t="s">
        <v>149</v>
      </c>
      <c r="F2124" s="2" t="s">
        <v>150</v>
      </c>
      <c r="G2124" s="2" t="s">
        <v>20</v>
      </c>
      <c r="H2124" s="2" t="s">
        <v>524</v>
      </c>
      <c r="I2124" s="2"/>
      <c r="J2124" s="2"/>
    </row>
    <row r="2125" spans="1:10" x14ac:dyDescent="0.35">
      <c r="A2125" s="2" t="s">
        <v>1237</v>
      </c>
      <c r="B2125" s="2" t="s">
        <v>1247</v>
      </c>
      <c r="C2125" s="2" t="s">
        <v>436</v>
      </c>
      <c r="D2125" s="2" t="s">
        <v>1373</v>
      </c>
      <c r="E2125" s="2" t="s">
        <v>120</v>
      </c>
      <c r="F2125" s="2" t="s">
        <v>32</v>
      </c>
      <c r="G2125" s="2"/>
      <c r="H2125" s="2"/>
      <c r="I2125" s="2"/>
      <c r="J2125" s="2"/>
    </row>
    <row r="2126" spans="1:10" x14ac:dyDescent="0.35">
      <c r="A2126" s="2" t="s">
        <v>1237</v>
      </c>
      <c r="B2126" s="2" t="s">
        <v>1247</v>
      </c>
      <c r="C2126" s="2" t="s">
        <v>436</v>
      </c>
      <c r="D2126" s="2" t="s">
        <v>1373</v>
      </c>
      <c r="E2126" s="2" t="s">
        <v>91</v>
      </c>
      <c r="F2126" s="2" t="s">
        <v>19</v>
      </c>
      <c r="G2126" s="2"/>
      <c r="H2126" s="2"/>
      <c r="I2126" s="2"/>
      <c r="J2126" s="2"/>
    </row>
    <row r="2127" spans="1:10" x14ac:dyDescent="0.35">
      <c r="A2127" s="2" t="s">
        <v>1237</v>
      </c>
      <c r="B2127" s="2" t="s">
        <v>1247</v>
      </c>
      <c r="C2127" s="2" t="s">
        <v>62</v>
      </c>
      <c r="D2127" s="2" t="s">
        <v>1374</v>
      </c>
      <c r="E2127" s="2" t="s">
        <v>1249</v>
      </c>
      <c r="F2127" s="2" t="s">
        <v>75</v>
      </c>
      <c r="G2127" s="2"/>
      <c r="H2127" s="2"/>
      <c r="I2127" s="2"/>
      <c r="J2127" s="2"/>
    </row>
    <row r="2128" spans="1:10" x14ac:dyDescent="0.35">
      <c r="A2128" s="2" t="s">
        <v>1237</v>
      </c>
      <c r="B2128" s="2" t="s">
        <v>1247</v>
      </c>
      <c r="C2128" s="2" t="s">
        <v>62</v>
      </c>
      <c r="D2128" s="2" t="s">
        <v>1374</v>
      </c>
      <c r="E2128" s="2" t="s">
        <v>18</v>
      </c>
      <c r="F2128" s="2" t="s">
        <v>19</v>
      </c>
      <c r="G2128" s="2"/>
      <c r="H2128" s="2"/>
      <c r="I2128" s="2"/>
      <c r="J2128" s="2"/>
    </row>
    <row r="2129" spans="1:10" x14ac:dyDescent="0.35">
      <c r="A2129" s="2" t="s">
        <v>1237</v>
      </c>
      <c r="B2129" s="2" t="s">
        <v>1247</v>
      </c>
      <c r="C2129" s="2" t="s">
        <v>24</v>
      </c>
      <c r="D2129" s="2" t="s">
        <v>1375</v>
      </c>
      <c r="E2129" s="2" t="s">
        <v>1252</v>
      </c>
      <c r="F2129" s="2" t="s">
        <v>1253</v>
      </c>
      <c r="G2129" s="2"/>
      <c r="H2129" s="2"/>
      <c r="I2129" s="2"/>
      <c r="J2129" s="2"/>
    </row>
    <row r="2130" spans="1:10" x14ac:dyDescent="0.35">
      <c r="A2130" s="2" t="s">
        <v>1237</v>
      </c>
      <c r="B2130" s="2" t="s">
        <v>1247</v>
      </c>
      <c r="C2130" s="2" t="s">
        <v>24</v>
      </c>
      <c r="D2130" s="2" t="s">
        <v>1375</v>
      </c>
      <c r="E2130" s="2" t="s">
        <v>1257</v>
      </c>
      <c r="F2130" s="2" t="s">
        <v>38</v>
      </c>
      <c r="G2130" s="2"/>
      <c r="H2130" s="2"/>
      <c r="I2130" s="2"/>
      <c r="J2130" s="2"/>
    </row>
    <row r="2131" spans="1:10" x14ac:dyDescent="0.35">
      <c r="A2131" s="2" t="s">
        <v>1237</v>
      </c>
      <c r="B2131" s="2" t="s">
        <v>1247</v>
      </c>
      <c r="C2131" s="2" t="s">
        <v>24</v>
      </c>
      <c r="D2131" s="2" t="s">
        <v>1375</v>
      </c>
      <c r="E2131" s="2" t="s">
        <v>82</v>
      </c>
      <c r="F2131" s="2" t="s">
        <v>83</v>
      </c>
      <c r="G2131" s="2"/>
      <c r="H2131" s="2"/>
      <c r="I2131" s="2"/>
      <c r="J2131" s="2"/>
    </row>
    <row r="2132" spans="1:10" x14ac:dyDescent="0.35">
      <c r="A2132" s="2" t="s">
        <v>1237</v>
      </c>
      <c r="B2132" s="2" t="s">
        <v>1247</v>
      </c>
      <c r="C2132" s="2" t="s">
        <v>24</v>
      </c>
      <c r="D2132" s="2" t="s">
        <v>1375</v>
      </c>
      <c r="E2132" s="2" t="s">
        <v>1260</v>
      </c>
      <c r="F2132" s="2" t="s">
        <v>363</v>
      </c>
      <c r="G2132" s="2"/>
      <c r="H2132" s="2"/>
      <c r="I2132" s="2"/>
      <c r="J2132" s="2"/>
    </row>
    <row r="2133" spans="1:10" x14ac:dyDescent="0.35">
      <c r="A2133" s="2" t="s">
        <v>1237</v>
      </c>
      <c r="B2133" s="2" t="s">
        <v>1247</v>
      </c>
      <c r="C2133" s="2" t="s">
        <v>24</v>
      </c>
      <c r="D2133" s="2" t="s">
        <v>1375</v>
      </c>
      <c r="E2133" s="2" t="s">
        <v>1226</v>
      </c>
      <c r="F2133" s="2" t="s">
        <v>107</v>
      </c>
      <c r="G2133" s="2"/>
      <c r="H2133" s="2"/>
      <c r="I2133" s="2"/>
      <c r="J2133" s="2"/>
    </row>
    <row r="2134" spans="1:10" x14ac:dyDescent="0.35">
      <c r="A2134" s="2" t="s">
        <v>1237</v>
      </c>
      <c r="B2134" s="2" t="s">
        <v>1247</v>
      </c>
      <c r="C2134" s="2" t="s">
        <v>24</v>
      </c>
      <c r="D2134" s="2" t="s">
        <v>1375</v>
      </c>
      <c r="E2134" s="2" t="s">
        <v>1376</v>
      </c>
      <c r="F2134" s="2" t="s">
        <v>1377</v>
      </c>
      <c r="G2134" s="2"/>
      <c r="H2134" s="2"/>
      <c r="I2134" s="2"/>
      <c r="J2134" s="2"/>
    </row>
    <row r="2135" spans="1:10" x14ac:dyDescent="0.35">
      <c r="A2135" s="2" t="s">
        <v>1237</v>
      </c>
      <c r="B2135" s="2" t="s">
        <v>1247</v>
      </c>
      <c r="C2135" s="2" t="s">
        <v>24</v>
      </c>
      <c r="D2135" s="2" t="s">
        <v>1375</v>
      </c>
      <c r="E2135" s="2" t="s">
        <v>91</v>
      </c>
      <c r="F2135" s="2" t="s">
        <v>19</v>
      </c>
      <c r="G2135" s="2" t="s">
        <v>20</v>
      </c>
      <c r="H2135" s="2" t="s">
        <v>1378</v>
      </c>
      <c r="I2135" s="2"/>
      <c r="J2135" s="2"/>
    </row>
    <row r="2136" spans="1:10" x14ac:dyDescent="0.35">
      <c r="A2136" s="2" t="s">
        <v>1237</v>
      </c>
      <c r="B2136" s="2" t="s">
        <v>1247</v>
      </c>
      <c r="C2136" s="2" t="s">
        <v>24</v>
      </c>
      <c r="D2136" s="2" t="s">
        <v>1375</v>
      </c>
      <c r="E2136" s="2" t="s">
        <v>87</v>
      </c>
      <c r="F2136" s="2" t="s">
        <v>75</v>
      </c>
      <c r="G2136" s="2"/>
      <c r="H2136" s="2"/>
      <c r="I2136" s="2"/>
      <c r="J2136" s="2"/>
    </row>
    <row r="2137" spans="1:10" x14ac:dyDescent="0.35">
      <c r="A2137" s="2" t="s">
        <v>1237</v>
      </c>
      <c r="B2137" s="2" t="s">
        <v>1247</v>
      </c>
      <c r="C2137" s="2" t="s">
        <v>24</v>
      </c>
      <c r="D2137" s="2" t="s">
        <v>1375</v>
      </c>
      <c r="E2137" s="2" t="s">
        <v>124</v>
      </c>
      <c r="F2137" s="2" t="s">
        <v>125</v>
      </c>
      <c r="G2137" s="2"/>
      <c r="H2137" s="2"/>
      <c r="I2137" s="2"/>
      <c r="J2137" s="2"/>
    </row>
    <row r="2138" spans="1:10" x14ac:dyDescent="0.35">
      <c r="A2138" s="2" t="s">
        <v>1237</v>
      </c>
      <c r="B2138" s="2" t="s">
        <v>1247</v>
      </c>
      <c r="C2138" s="2" t="s">
        <v>24</v>
      </c>
      <c r="D2138" s="2" t="s">
        <v>1375</v>
      </c>
      <c r="E2138" s="2" t="s">
        <v>1379</v>
      </c>
      <c r="F2138" s="2" t="s">
        <v>75</v>
      </c>
      <c r="G2138" s="2"/>
      <c r="H2138" s="2"/>
      <c r="I2138" s="2"/>
      <c r="J2138" s="2"/>
    </row>
    <row r="2139" spans="1:10" x14ac:dyDescent="0.35">
      <c r="A2139" s="2" t="s">
        <v>1237</v>
      </c>
      <c r="B2139" s="2" t="s">
        <v>1247</v>
      </c>
      <c r="C2139" s="2" t="s">
        <v>24</v>
      </c>
      <c r="D2139" s="2" t="s">
        <v>1375</v>
      </c>
      <c r="E2139" s="2" t="s">
        <v>18</v>
      </c>
      <c r="F2139" s="2" t="s">
        <v>19</v>
      </c>
      <c r="G2139" s="2"/>
      <c r="H2139" s="2"/>
      <c r="I2139" s="2"/>
      <c r="J2139" s="2"/>
    </row>
    <row r="2140" spans="1:10" x14ac:dyDescent="0.35">
      <c r="A2140" s="2" t="s">
        <v>1237</v>
      </c>
      <c r="B2140" s="2" t="s">
        <v>1247</v>
      </c>
      <c r="C2140" s="2" t="s">
        <v>24</v>
      </c>
      <c r="D2140" s="2" t="s">
        <v>1375</v>
      </c>
      <c r="E2140" s="2" t="s">
        <v>1261</v>
      </c>
      <c r="F2140" s="2" t="s">
        <v>277</v>
      </c>
      <c r="G2140" s="2"/>
      <c r="H2140" s="2"/>
      <c r="I2140" s="2"/>
      <c r="J2140" s="2"/>
    </row>
    <row r="2141" spans="1:10" x14ac:dyDescent="0.35">
      <c r="A2141" s="2" t="s">
        <v>1237</v>
      </c>
      <c r="B2141" s="2" t="s">
        <v>1247</v>
      </c>
      <c r="C2141" s="2" t="s">
        <v>24</v>
      </c>
      <c r="D2141" s="2" t="s">
        <v>1375</v>
      </c>
      <c r="E2141" s="2" t="s">
        <v>1380</v>
      </c>
      <c r="F2141" s="2" t="s">
        <v>83</v>
      </c>
      <c r="G2141" s="2"/>
      <c r="H2141" s="2"/>
      <c r="I2141" s="2"/>
      <c r="J2141" s="2"/>
    </row>
    <row r="2142" spans="1:10" x14ac:dyDescent="0.35">
      <c r="A2142" s="2" t="s">
        <v>1237</v>
      </c>
      <c r="B2142" s="2" t="s">
        <v>1247</v>
      </c>
      <c r="C2142" s="2" t="s">
        <v>801</v>
      </c>
      <c r="D2142" s="2" t="s">
        <v>1381</v>
      </c>
      <c r="E2142" s="2" t="s">
        <v>130</v>
      </c>
      <c r="F2142" s="2" t="s">
        <v>36</v>
      </c>
      <c r="G2142" s="2" t="s">
        <v>20</v>
      </c>
      <c r="H2142" s="2" t="s">
        <v>1382</v>
      </c>
      <c r="I2142" s="2"/>
      <c r="J2142" s="2"/>
    </row>
    <row r="2143" spans="1:10" x14ac:dyDescent="0.35">
      <c r="A2143" s="2" t="s">
        <v>1237</v>
      </c>
      <c r="B2143" s="2" t="s">
        <v>1247</v>
      </c>
      <c r="C2143" s="2" t="s">
        <v>24</v>
      </c>
      <c r="D2143" s="2" t="s">
        <v>1383</v>
      </c>
      <c r="E2143" s="2" t="s">
        <v>91</v>
      </c>
      <c r="F2143" s="2" t="s">
        <v>19</v>
      </c>
      <c r="G2143" s="2" t="s">
        <v>20</v>
      </c>
      <c r="H2143" s="2" t="s">
        <v>1384</v>
      </c>
      <c r="I2143" s="2"/>
      <c r="J2143" s="2"/>
    </row>
    <row r="2144" spans="1:10" x14ac:dyDescent="0.35">
      <c r="A2144" s="2" t="s">
        <v>1237</v>
      </c>
      <c r="B2144" s="2" t="s">
        <v>1247</v>
      </c>
      <c r="C2144" s="2" t="s">
        <v>62</v>
      </c>
      <c r="D2144" s="2" t="s">
        <v>1385</v>
      </c>
      <c r="E2144" s="2" t="s">
        <v>91</v>
      </c>
      <c r="F2144" s="2" t="s">
        <v>19</v>
      </c>
      <c r="G2144" s="2" t="s">
        <v>46</v>
      </c>
      <c r="H2144" s="2" t="s">
        <v>1386</v>
      </c>
      <c r="I2144" s="2"/>
      <c r="J2144" s="2"/>
    </row>
    <row r="2145" spans="1:10" x14ac:dyDescent="0.35">
      <c r="A2145" s="2" t="s">
        <v>1237</v>
      </c>
      <c r="B2145" s="2" t="s">
        <v>1247</v>
      </c>
      <c r="C2145" s="2" t="s">
        <v>62</v>
      </c>
      <c r="D2145" s="2" t="s">
        <v>1385</v>
      </c>
      <c r="E2145" s="2" t="s">
        <v>87</v>
      </c>
      <c r="F2145" s="2" t="s">
        <v>75</v>
      </c>
      <c r="G2145" s="2" t="s">
        <v>46</v>
      </c>
      <c r="H2145" s="2" t="s">
        <v>1386</v>
      </c>
      <c r="I2145" s="2"/>
      <c r="J2145" s="2"/>
    </row>
    <row r="2146" spans="1:10" x14ac:dyDescent="0.35">
      <c r="A2146" s="2" t="s">
        <v>1237</v>
      </c>
      <c r="B2146" s="2" t="s">
        <v>1247</v>
      </c>
      <c r="C2146" s="2" t="s">
        <v>62</v>
      </c>
      <c r="D2146" s="2" t="s">
        <v>1385</v>
      </c>
      <c r="E2146" s="2" t="s">
        <v>1387</v>
      </c>
      <c r="F2146" s="2" t="s">
        <v>75</v>
      </c>
      <c r="G2146" s="2" t="s">
        <v>46</v>
      </c>
      <c r="H2146" s="2" t="s">
        <v>1386</v>
      </c>
      <c r="I2146" s="2"/>
      <c r="J2146" s="2"/>
    </row>
    <row r="2147" spans="1:10" x14ac:dyDescent="0.35">
      <c r="A2147" s="2" t="s">
        <v>1237</v>
      </c>
      <c r="B2147" s="2" t="s">
        <v>1247</v>
      </c>
      <c r="C2147" s="2" t="s">
        <v>24</v>
      </c>
      <c r="D2147" s="2" t="s">
        <v>1388</v>
      </c>
      <c r="E2147" s="2" t="s">
        <v>1252</v>
      </c>
      <c r="F2147" s="2" t="s">
        <v>1253</v>
      </c>
      <c r="G2147" s="2"/>
      <c r="H2147" s="2"/>
      <c r="I2147" s="2"/>
      <c r="J2147" s="2"/>
    </row>
    <row r="2148" spans="1:10" x14ac:dyDescent="0.35">
      <c r="A2148" s="2" t="s">
        <v>1237</v>
      </c>
      <c r="B2148" s="2" t="s">
        <v>1247</v>
      </c>
      <c r="C2148" s="2" t="s">
        <v>24</v>
      </c>
      <c r="D2148" s="2" t="s">
        <v>1388</v>
      </c>
      <c r="E2148" s="2" t="s">
        <v>1257</v>
      </c>
      <c r="F2148" s="2" t="s">
        <v>38</v>
      </c>
      <c r="G2148" s="2"/>
      <c r="H2148" s="2"/>
      <c r="I2148" s="2"/>
      <c r="J2148" s="2"/>
    </row>
    <row r="2149" spans="1:10" x14ac:dyDescent="0.35">
      <c r="A2149" s="2" t="s">
        <v>1237</v>
      </c>
      <c r="B2149" s="2" t="s">
        <v>1247</v>
      </c>
      <c r="C2149" s="2" t="s">
        <v>24</v>
      </c>
      <c r="D2149" s="2" t="s">
        <v>1388</v>
      </c>
      <c r="E2149" s="2" t="s">
        <v>1389</v>
      </c>
      <c r="F2149" s="2" t="s">
        <v>277</v>
      </c>
      <c r="G2149" s="2"/>
      <c r="H2149" s="2"/>
      <c r="I2149" s="2"/>
      <c r="J2149" s="2"/>
    </row>
    <row r="2150" spans="1:10" x14ac:dyDescent="0.35">
      <c r="A2150" s="2" t="s">
        <v>1237</v>
      </c>
      <c r="B2150" s="2" t="s">
        <v>1247</v>
      </c>
      <c r="C2150" s="2" t="s">
        <v>24</v>
      </c>
      <c r="D2150" s="2" t="s">
        <v>1388</v>
      </c>
      <c r="E2150" s="2" t="s">
        <v>1226</v>
      </c>
      <c r="F2150" s="2" t="s">
        <v>107</v>
      </c>
      <c r="G2150" s="2"/>
      <c r="H2150" s="2"/>
      <c r="I2150" s="2"/>
      <c r="J2150" s="2"/>
    </row>
    <row r="2151" spans="1:10" x14ac:dyDescent="0.35">
      <c r="A2151" s="2" t="s">
        <v>1237</v>
      </c>
      <c r="B2151" s="2" t="s">
        <v>1247</v>
      </c>
      <c r="C2151" s="2" t="s">
        <v>24</v>
      </c>
      <c r="D2151" s="2" t="s">
        <v>1388</v>
      </c>
      <c r="E2151" s="2" t="s">
        <v>91</v>
      </c>
      <c r="F2151" s="2" t="s">
        <v>19</v>
      </c>
      <c r="G2151" s="2" t="s">
        <v>20</v>
      </c>
      <c r="H2151" s="2" t="s">
        <v>1259</v>
      </c>
      <c r="I2151" s="2"/>
      <c r="J2151" s="2"/>
    </row>
    <row r="2152" spans="1:10" x14ac:dyDescent="0.35">
      <c r="A2152" s="2" t="s">
        <v>1237</v>
      </c>
      <c r="B2152" s="2" t="s">
        <v>1247</v>
      </c>
      <c r="C2152" s="2" t="s">
        <v>24</v>
      </c>
      <c r="D2152" s="2" t="s">
        <v>1388</v>
      </c>
      <c r="E2152" s="2" t="s">
        <v>18</v>
      </c>
      <c r="F2152" s="2" t="s">
        <v>19</v>
      </c>
      <c r="G2152" s="2" t="s">
        <v>20</v>
      </c>
      <c r="H2152" s="2" t="s">
        <v>1259</v>
      </c>
      <c r="I2152" s="2"/>
      <c r="J2152" s="2"/>
    </row>
    <row r="2153" spans="1:10" x14ac:dyDescent="0.35">
      <c r="A2153" s="2" t="s">
        <v>1237</v>
      </c>
      <c r="B2153" s="2" t="s">
        <v>1247</v>
      </c>
      <c r="C2153" s="2" t="s">
        <v>24</v>
      </c>
      <c r="D2153" s="2" t="s">
        <v>1388</v>
      </c>
      <c r="E2153" s="2" t="s">
        <v>61</v>
      </c>
      <c r="F2153" s="2" t="s">
        <v>30</v>
      </c>
      <c r="G2153" s="2"/>
      <c r="H2153" s="2"/>
      <c r="I2153" s="2"/>
      <c r="J2153" s="2"/>
    </row>
    <row r="2154" spans="1:10" x14ac:dyDescent="0.35">
      <c r="A2154" s="2" t="s">
        <v>1237</v>
      </c>
      <c r="B2154" s="2" t="s">
        <v>1247</v>
      </c>
      <c r="C2154" s="2" t="s">
        <v>24</v>
      </c>
      <c r="D2154" s="2" t="s">
        <v>1388</v>
      </c>
      <c r="E2154" s="2" t="s">
        <v>1261</v>
      </c>
      <c r="F2154" s="2" t="s">
        <v>277</v>
      </c>
      <c r="G2154" s="2"/>
      <c r="H2154" s="2"/>
      <c r="I2154" s="2"/>
      <c r="J2154" s="2"/>
    </row>
    <row r="2155" spans="1:10" x14ac:dyDescent="0.35">
      <c r="A2155" s="2" t="s">
        <v>1237</v>
      </c>
      <c r="B2155" s="2" t="s">
        <v>1247</v>
      </c>
      <c r="C2155" s="2" t="s">
        <v>24</v>
      </c>
      <c r="D2155" s="2" t="s">
        <v>1388</v>
      </c>
      <c r="E2155" s="2" t="s">
        <v>1263</v>
      </c>
      <c r="F2155" s="2" t="s">
        <v>36</v>
      </c>
      <c r="G2155" s="2"/>
      <c r="H2155" s="2"/>
      <c r="I2155" s="2"/>
      <c r="J2155" s="2"/>
    </row>
    <row r="2156" spans="1:10" x14ac:dyDescent="0.35">
      <c r="A2156" s="2" t="s">
        <v>1237</v>
      </c>
      <c r="B2156" s="2" t="s">
        <v>1247</v>
      </c>
      <c r="C2156" s="2" t="s">
        <v>62</v>
      </c>
      <c r="D2156" s="2" t="s">
        <v>1390</v>
      </c>
      <c r="E2156" s="2" t="s">
        <v>91</v>
      </c>
      <c r="F2156" s="2" t="s">
        <v>19</v>
      </c>
      <c r="G2156" s="2"/>
      <c r="H2156" s="2"/>
      <c r="I2156" s="2"/>
      <c r="J2156" s="2"/>
    </row>
    <row r="2157" spans="1:10" x14ac:dyDescent="0.35">
      <c r="A2157" s="2" t="s">
        <v>1237</v>
      </c>
      <c r="B2157" s="2" t="s">
        <v>1247</v>
      </c>
      <c r="C2157" s="2" t="s">
        <v>62</v>
      </c>
      <c r="D2157" s="2" t="s">
        <v>1390</v>
      </c>
      <c r="E2157" s="2" t="s">
        <v>1249</v>
      </c>
      <c r="F2157" s="2" t="s">
        <v>75</v>
      </c>
      <c r="G2157" s="2"/>
      <c r="H2157" s="2"/>
      <c r="I2157" s="2"/>
      <c r="J2157" s="2"/>
    </row>
    <row r="2158" spans="1:10" x14ac:dyDescent="0.35">
      <c r="A2158" s="2" t="s">
        <v>1237</v>
      </c>
      <c r="B2158" s="2" t="s">
        <v>1247</v>
      </c>
      <c r="C2158" s="2" t="s">
        <v>24</v>
      </c>
      <c r="D2158" s="2" t="s">
        <v>1391</v>
      </c>
      <c r="E2158" s="2" t="s">
        <v>1252</v>
      </c>
      <c r="F2158" s="2" t="s">
        <v>1253</v>
      </c>
      <c r="G2158" s="2"/>
      <c r="H2158" s="2"/>
      <c r="I2158" s="2"/>
      <c r="J2158" s="2"/>
    </row>
    <row r="2159" spans="1:10" x14ac:dyDescent="0.35">
      <c r="A2159" s="2" t="s">
        <v>1237</v>
      </c>
      <c r="B2159" s="2" t="s">
        <v>1247</v>
      </c>
      <c r="C2159" s="2" t="s">
        <v>24</v>
      </c>
      <c r="D2159" s="2" t="s">
        <v>1391</v>
      </c>
      <c r="E2159" s="2" t="s">
        <v>1256</v>
      </c>
      <c r="F2159" s="2" t="s">
        <v>363</v>
      </c>
      <c r="G2159" s="2"/>
      <c r="H2159" s="2"/>
      <c r="I2159" s="2"/>
      <c r="J2159" s="2"/>
    </row>
    <row r="2160" spans="1:10" x14ac:dyDescent="0.35">
      <c r="A2160" s="2" t="s">
        <v>1237</v>
      </c>
      <c r="B2160" s="2" t="s">
        <v>1247</v>
      </c>
      <c r="C2160" s="2" t="s">
        <v>24</v>
      </c>
      <c r="D2160" s="2" t="s">
        <v>1391</v>
      </c>
      <c r="E2160" s="2" t="s">
        <v>1257</v>
      </c>
      <c r="F2160" s="2" t="s">
        <v>38</v>
      </c>
      <c r="G2160" s="2"/>
      <c r="H2160" s="2"/>
      <c r="I2160" s="2"/>
      <c r="J2160" s="2"/>
    </row>
    <row r="2161" spans="1:10" x14ac:dyDescent="0.35">
      <c r="A2161" s="2" t="s">
        <v>1237</v>
      </c>
      <c r="B2161" s="2" t="s">
        <v>1247</v>
      </c>
      <c r="C2161" s="2" t="s">
        <v>24</v>
      </c>
      <c r="D2161" s="2" t="s">
        <v>1391</v>
      </c>
      <c r="E2161" s="2" t="s">
        <v>1226</v>
      </c>
      <c r="F2161" s="2" t="s">
        <v>107</v>
      </c>
      <c r="G2161" s="2"/>
      <c r="H2161" s="2"/>
      <c r="I2161" s="2"/>
      <c r="J2161" s="2"/>
    </row>
    <row r="2162" spans="1:10" x14ac:dyDescent="0.35">
      <c r="A2162" s="2" t="s">
        <v>1237</v>
      </c>
      <c r="B2162" s="2" t="s">
        <v>1247</v>
      </c>
      <c r="C2162" s="2" t="s">
        <v>24</v>
      </c>
      <c r="D2162" s="2" t="s">
        <v>1391</v>
      </c>
      <c r="E2162" s="2" t="s">
        <v>87</v>
      </c>
      <c r="F2162" s="2" t="s">
        <v>75</v>
      </c>
      <c r="G2162" s="2"/>
      <c r="H2162" s="2"/>
      <c r="I2162" s="2"/>
      <c r="J2162" s="2"/>
    </row>
    <row r="2163" spans="1:10" x14ac:dyDescent="0.35">
      <c r="A2163" s="2" t="s">
        <v>1237</v>
      </c>
      <c r="B2163" s="2" t="s">
        <v>1247</v>
      </c>
      <c r="C2163" s="2" t="s">
        <v>24</v>
      </c>
      <c r="D2163" s="2" t="s">
        <v>1391</v>
      </c>
      <c r="E2163" s="2" t="s">
        <v>18</v>
      </c>
      <c r="F2163" s="2" t="s">
        <v>19</v>
      </c>
      <c r="G2163" s="2"/>
      <c r="H2163" s="2"/>
      <c r="I2163" s="2"/>
      <c r="J2163" s="2"/>
    </row>
    <row r="2164" spans="1:10" x14ac:dyDescent="0.35">
      <c r="A2164" s="2" t="s">
        <v>1237</v>
      </c>
      <c r="B2164" s="2" t="s">
        <v>1247</v>
      </c>
      <c r="C2164" s="2" t="s">
        <v>24</v>
      </c>
      <c r="D2164" s="2" t="s">
        <v>1391</v>
      </c>
      <c r="E2164" s="2" t="s">
        <v>1261</v>
      </c>
      <c r="F2164" s="2" t="s">
        <v>277</v>
      </c>
      <c r="G2164" s="2"/>
      <c r="H2164" s="2"/>
      <c r="I2164" s="2"/>
      <c r="J2164" s="2"/>
    </row>
    <row r="2165" spans="1:10" x14ac:dyDescent="0.35">
      <c r="A2165" s="2" t="s">
        <v>1237</v>
      </c>
      <c r="B2165" s="2" t="s">
        <v>1247</v>
      </c>
      <c r="C2165" s="2" t="s">
        <v>24</v>
      </c>
      <c r="D2165" s="2" t="s">
        <v>1391</v>
      </c>
      <c r="E2165" s="2" t="s">
        <v>1392</v>
      </c>
      <c r="F2165" s="2" t="s">
        <v>107</v>
      </c>
      <c r="G2165" s="2"/>
      <c r="H2165" s="2"/>
      <c r="I2165" s="2"/>
      <c r="J2165" s="2"/>
    </row>
    <row r="2166" spans="1:10" x14ac:dyDescent="0.35">
      <c r="A2166" s="2" t="s">
        <v>1237</v>
      </c>
      <c r="B2166" s="2" t="s">
        <v>1247</v>
      </c>
      <c r="C2166" s="2" t="s">
        <v>24</v>
      </c>
      <c r="D2166" s="2" t="s">
        <v>1393</v>
      </c>
      <c r="E2166" s="2" t="s">
        <v>1256</v>
      </c>
      <c r="F2166" s="2" t="s">
        <v>363</v>
      </c>
      <c r="G2166" s="2"/>
      <c r="H2166" s="2"/>
      <c r="I2166" s="2"/>
      <c r="J2166" s="2"/>
    </row>
    <row r="2167" spans="1:10" x14ac:dyDescent="0.35">
      <c r="A2167" s="2" t="s">
        <v>1237</v>
      </c>
      <c r="B2167" s="2" t="s">
        <v>1247</v>
      </c>
      <c r="C2167" s="2" t="s">
        <v>24</v>
      </c>
      <c r="D2167" s="2" t="s">
        <v>1393</v>
      </c>
      <c r="E2167" s="2" t="s">
        <v>1257</v>
      </c>
      <c r="F2167" s="2" t="s">
        <v>38</v>
      </c>
      <c r="G2167" s="2"/>
      <c r="H2167" s="2"/>
      <c r="I2167" s="2"/>
      <c r="J2167" s="2"/>
    </row>
    <row r="2168" spans="1:10" x14ac:dyDescent="0.35">
      <c r="A2168" s="2" t="s">
        <v>1237</v>
      </c>
      <c r="B2168" s="2" t="s">
        <v>1247</v>
      </c>
      <c r="C2168" s="2" t="s">
        <v>24</v>
      </c>
      <c r="D2168" s="2" t="s">
        <v>1393</v>
      </c>
      <c r="E2168" s="2" t="s">
        <v>82</v>
      </c>
      <c r="F2168" s="2" t="s">
        <v>83</v>
      </c>
      <c r="G2168" s="2"/>
      <c r="H2168" s="2"/>
      <c r="I2168" s="2"/>
      <c r="J2168" s="2"/>
    </row>
    <row r="2169" spans="1:10" x14ac:dyDescent="0.35">
      <c r="A2169" s="2" t="s">
        <v>1237</v>
      </c>
      <c r="B2169" s="2" t="s">
        <v>1247</v>
      </c>
      <c r="C2169" s="2" t="s">
        <v>24</v>
      </c>
      <c r="D2169" s="2" t="s">
        <v>1393</v>
      </c>
      <c r="E2169" s="2" t="s">
        <v>1226</v>
      </c>
      <c r="F2169" s="2" t="s">
        <v>107</v>
      </c>
      <c r="G2169" s="2"/>
      <c r="H2169" s="2"/>
      <c r="I2169" s="2"/>
      <c r="J2169" s="2"/>
    </row>
    <row r="2170" spans="1:10" x14ac:dyDescent="0.35">
      <c r="A2170" s="2" t="s">
        <v>1237</v>
      </c>
      <c r="B2170" s="2" t="s">
        <v>1247</v>
      </c>
      <c r="C2170" s="2" t="s">
        <v>24</v>
      </c>
      <c r="D2170" s="2" t="s">
        <v>1393</v>
      </c>
      <c r="E2170" s="2" t="s">
        <v>1394</v>
      </c>
      <c r="F2170" s="2" t="s">
        <v>107</v>
      </c>
      <c r="G2170" s="2"/>
      <c r="H2170" s="2"/>
      <c r="I2170" s="2"/>
      <c r="J2170" s="2"/>
    </row>
    <row r="2171" spans="1:10" x14ac:dyDescent="0.35">
      <c r="A2171" s="2" t="s">
        <v>1237</v>
      </c>
      <c r="B2171" s="2" t="s">
        <v>1247</v>
      </c>
      <c r="C2171" s="2" t="s">
        <v>24</v>
      </c>
      <c r="D2171" s="2" t="s">
        <v>1393</v>
      </c>
      <c r="E2171" s="2" t="s">
        <v>124</v>
      </c>
      <c r="F2171" s="2" t="s">
        <v>125</v>
      </c>
      <c r="G2171" s="2"/>
      <c r="H2171" s="2"/>
      <c r="I2171" s="2"/>
      <c r="J2171" s="2"/>
    </row>
    <row r="2172" spans="1:10" x14ac:dyDescent="0.35">
      <c r="A2172" s="2" t="s">
        <v>1237</v>
      </c>
      <c r="B2172" s="2" t="s">
        <v>1247</v>
      </c>
      <c r="C2172" s="2" t="s">
        <v>24</v>
      </c>
      <c r="D2172" s="2" t="s">
        <v>1393</v>
      </c>
      <c r="E2172" s="2" t="s">
        <v>18</v>
      </c>
      <c r="F2172" s="2" t="s">
        <v>19</v>
      </c>
      <c r="G2172" s="2"/>
      <c r="H2172" s="2"/>
      <c r="I2172" s="2"/>
      <c r="J2172" s="2"/>
    </row>
    <row r="2173" spans="1:10" x14ac:dyDescent="0.35">
      <c r="A2173" s="2" t="s">
        <v>1237</v>
      </c>
      <c r="B2173" s="2" t="s">
        <v>1247</v>
      </c>
      <c r="C2173" s="2" t="s">
        <v>24</v>
      </c>
      <c r="D2173" s="2" t="s">
        <v>1393</v>
      </c>
      <c r="E2173" s="2" t="s">
        <v>61</v>
      </c>
      <c r="F2173" s="2" t="s">
        <v>30</v>
      </c>
      <c r="G2173" s="2"/>
      <c r="H2173" s="2"/>
      <c r="I2173" s="2"/>
      <c r="J2173" s="2"/>
    </row>
    <row r="2174" spans="1:10" x14ac:dyDescent="0.35">
      <c r="A2174" s="2" t="s">
        <v>1237</v>
      </c>
      <c r="B2174" s="2" t="s">
        <v>1247</v>
      </c>
      <c r="C2174" s="2" t="s">
        <v>24</v>
      </c>
      <c r="D2174" s="2" t="s">
        <v>1393</v>
      </c>
      <c r="E2174" s="2" t="s">
        <v>1261</v>
      </c>
      <c r="F2174" s="2" t="s">
        <v>277</v>
      </c>
      <c r="G2174" s="2"/>
      <c r="H2174" s="2"/>
      <c r="I2174" s="2"/>
      <c r="J2174" s="2"/>
    </row>
    <row r="2175" spans="1:10" x14ac:dyDescent="0.35">
      <c r="A2175" s="2" t="s">
        <v>1237</v>
      </c>
      <c r="B2175" s="2" t="s">
        <v>1247</v>
      </c>
      <c r="C2175" s="2" t="s">
        <v>24</v>
      </c>
      <c r="D2175" s="2" t="s">
        <v>1393</v>
      </c>
      <c r="E2175" s="2" t="s">
        <v>1263</v>
      </c>
      <c r="F2175" s="2" t="s">
        <v>36</v>
      </c>
      <c r="G2175" s="2"/>
      <c r="H2175" s="2"/>
      <c r="I2175" s="2"/>
      <c r="J2175" s="2"/>
    </row>
    <row r="2176" spans="1:10" x14ac:dyDescent="0.35">
      <c r="A2176" s="2" t="s">
        <v>1237</v>
      </c>
      <c r="B2176" s="2" t="s">
        <v>1247</v>
      </c>
      <c r="C2176" s="2" t="s">
        <v>24</v>
      </c>
      <c r="D2176" s="2" t="s">
        <v>1395</v>
      </c>
      <c r="E2176" s="2" t="s">
        <v>1252</v>
      </c>
      <c r="F2176" s="2" t="s">
        <v>1253</v>
      </c>
      <c r="G2176" s="2"/>
      <c r="H2176" s="2"/>
      <c r="I2176" s="2"/>
      <c r="J2176" s="2"/>
    </row>
    <row r="2177" spans="1:10" x14ac:dyDescent="0.35">
      <c r="A2177" s="2" t="s">
        <v>1237</v>
      </c>
      <c r="B2177" s="2" t="s">
        <v>1247</v>
      </c>
      <c r="C2177" s="2" t="s">
        <v>24</v>
      </c>
      <c r="D2177" s="2" t="s">
        <v>1395</v>
      </c>
      <c r="E2177" s="2" t="s">
        <v>1256</v>
      </c>
      <c r="F2177" s="2" t="s">
        <v>363</v>
      </c>
      <c r="G2177" s="2"/>
      <c r="H2177" s="2"/>
      <c r="I2177" s="2"/>
      <c r="J2177" s="2"/>
    </row>
    <row r="2178" spans="1:10" x14ac:dyDescent="0.35">
      <c r="A2178" s="2" t="s">
        <v>1237</v>
      </c>
      <c r="B2178" s="2" t="s">
        <v>1247</v>
      </c>
      <c r="C2178" s="2" t="s">
        <v>24</v>
      </c>
      <c r="D2178" s="2" t="s">
        <v>1395</v>
      </c>
      <c r="E2178" s="2" t="s">
        <v>1257</v>
      </c>
      <c r="F2178" s="2" t="s">
        <v>38</v>
      </c>
      <c r="G2178" s="2"/>
      <c r="H2178" s="2"/>
      <c r="I2178" s="2"/>
      <c r="J2178" s="2"/>
    </row>
    <row r="2179" spans="1:10" x14ac:dyDescent="0.35">
      <c r="A2179" s="2" t="s">
        <v>1237</v>
      </c>
      <c r="B2179" s="2" t="s">
        <v>1247</v>
      </c>
      <c r="C2179" s="2" t="s">
        <v>24</v>
      </c>
      <c r="D2179" s="2" t="s">
        <v>1395</v>
      </c>
      <c r="E2179" s="2" t="s">
        <v>82</v>
      </c>
      <c r="F2179" s="2" t="s">
        <v>83</v>
      </c>
      <c r="G2179" s="2"/>
      <c r="H2179" s="2"/>
      <c r="I2179" s="2"/>
      <c r="J2179" s="2"/>
    </row>
    <row r="2180" spans="1:10" x14ac:dyDescent="0.35">
      <c r="A2180" s="2" t="s">
        <v>1237</v>
      </c>
      <c r="B2180" s="2" t="s">
        <v>1247</v>
      </c>
      <c r="C2180" s="2" t="s">
        <v>24</v>
      </c>
      <c r="D2180" s="2" t="s">
        <v>1395</v>
      </c>
      <c r="E2180" s="2" t="s">
        <v>1226</v>
      </c>
      <c r="F2180" s="2" t="s">
        <v>107</v>
      </c>
      <c r="G2180" s="2"/>
      <c r="H2180" s="2"/>
      <c r="I2180" s="2"/>
      <c r="J2180" s="2"/>
    </row>
    <row r="2181" spans="1:10" x14ac:dyDescent="0.35">
      <c r="A2181" s="2" t="s">
        <v>1237</v>
      </c>
      <c r="B2181" s="2" t="s">
        <v>1247</v>
      </c>
      <c r="C2181" s="2" t="s">
        <v>24</v>
      </c>
      <c r="D2181" s="2" t="s">
        <v>1395</v>
      </c>
      <c r="E2181" s="2" t="s">
        <v>91</v>
      </c>
      <c r="F2181" s="2" t="s">
        <v>19</v>
      </c>
      <c r="G2181" s="2"/>
      <c r="H2181" s="2"/>
      <c r="I2181" s="2"/>
      <c r="J2181" s="2"/>
    </row>
    <row r="2182" spans="1:10" x14ac:dyDescent="0.35">
      <c r="A2182" s="2" t="s">
        <v>1237</v>
      </c>
      <c r="B2182" s="2" t="s">
        <v>1247</v>
      </c>
      <c r="C2182" s="2" t="s">
        <v>24</v>
      </c>
      <c r="D2182" s="2" t="s">
        <v>1395</v>
      </c>
      <c r="E2182" s="2" t="s">
        <v>124</v>
      </c>
      <c r="F2182" s="2" t="s">
        <v>125</v>
      </c>
      <c r="G2182" s="2"/>
      <c r="H2182" s="2"/>
      <c r="I2182" s="2"/>
      <c r="J2182" s="2"/>
    </row>
    <row r="2183" spans="1:10" x14ac:dyDescent="0.35">
      <c r="A2183" s="2" t="s">
        <v>1237</v>
      </c>
      <c r="B2183" s="2" t="s">
        <v>1247</v>
      </c>
      <c r="C2183" s="2" t="s">
        <v>24</v>
      </c>
      <c r="D2183" s="2" t="s">
        <v>1395</v>
      </c>
      <c r="E2183" s="2" t="s">
        <v>18</v>
      </c>
      <c r="F2183" s="2" t="s">
        <v>19</v>
      </c>
      <c r="G2183" s="2"/>
      <c r="H2183" s="2"/>
      <c r="I2183" s="2"/>
      <c r="J2183" s="2"/>
    </row>
    <row r="2184" spans="1:10" x14ac:dyDescent="0.35">
      <c r="A2184" s="2" t="s">
        <v>1237</v>
      </c>
      <c r="B2184" s="2" t="s">
        <v>1247</v>
      </c>
      <c r="C2184" s="2" t="s">
        <v>24</v>
      </c>
      <c r="D2184" s="2" t="s">
        <v>1395</v>
      </c>
      <c r="E2184" s="2" t="s">
        <v>61</v>
      </c>
      <c r="F2184" s="2" t="s">
        <v>30</v>
      </c>
      <c r="G2184" s="2"/>
      <c r="H2184" s="2"/>
      <c r="I2184" s="2"/>
      <c r="J2184" s="2"/>
    </row>
    <row r="2185" spans="1:10" x14ac:dyDescent="0.35">
      <c r="A2185" s="2" t="s">
        <v>1237</v>
      </c>
      <c r="B2185" s="2" t="s">
        <v>1247</v>
      </c>
      <c r="C2185" s="2" t="s">
        <v>24</v>
      </c>
      <c r="D2185" s="2" t="s">
        <v>1395</v>
      </c>
      <c r="E2185" s="2" t="s">
        <v>1261</v>
      </c>
      <c r="F2185" s="2" t="s">
        <v>277</v>
      </c>
      <c r="G2185" s="2"/>
      <c r="H2185" s="2"/>
      <c r="I2185" s="2"/>
      <c r="J2185" s="2"/>
    </row>
    <row r="2186" spans="1:10" x14ac:dyDescent="0.35">
      <c r="A2186" s="2" t="s">
        <v>1237</v>
      </c>
      <c r="B2186" s="2" t="s">
        <v>1247</v>
      </c>
      <c r="C2186" s="2" t="s">
        <v>24</v>
      </c>
      <c r="D2186" s="2" t="s">
        <v>1395</v>
      </c>
      <c r="E2186" s="2" t="s">
        <v>1263</v>
      </c>
      <c r="F2186" s="2" t="s">
        <v>36</v>
      </c>
      <c r="G2186" s="2"/>
      <c r="H2186" s="2"/>
      <c r="I2186" s="2"/>
      <c r="J2186" s="2"/>
    </row>
    <row r="2187" spans="1:10" x14ac:dyDescent="0.35">
      <c r="A2187" s="2" t="s">
        <v>1237</v>
      </c>
      <c r="B2187" s="2" t="s">
        <v>1247</v>
      </c>
      <c r="C2187" s="2" t="s">
        <v>24</v>
      </c>
      <c r="D2187" s="2" t="s">
        <v>1396</v>
      </c>
      <c r="E2187" s="2" t="s">
        <v>1252</v>
      </c>
      <c r="F2187" s="2" t="s">
        <v>1253</v>
      </c>
      <c r="G2187" s="2"/>
      <c r="H2187" s="2"/>
      <c r="I2187" s="2"/>
      <c r="J2187" s="2"/>
    </row>
    <row r="2188" spans="1:10" x14ac:dyDescent="0.35">
      <c r="A2188" s="2" t="s">
        <v>1237</v>
      </c>
      <c r="B2188" s="2" t="s">
        <v>1247</v>
      </c>
      <c r="C2188" s="2" t="s">
        <v>24</v>
      </c>
      <c r="D2188" s="2" t="s">
        <v>1396</v>
      </c>
      <c r="E2188" s="2" t="s">
        <v>1257</v>
      </c>
      <c r="F2188" s="2" t="s">
        <v>38</v>
      </c>
      <c r="G2188" s="2"/>
      <c r="H2188" s="2"/>
      <c r="I2188" s="2"/>
      <c r="J2188" s="2"/>
    </row>
    <row r="2189" spans="1:10" x14ac:dyDescent="0.35">
      <c r="A2189" s="2" t="s">
        <v>1237</v>
      </c>
      <c r="B2189" s="2" t="s">
        <v>1247</v>
      </c>
      <c r="C2189" s="2" t="s">
        <v>24</v>
      </c>
      <c r="D2189" s="2" t="s">
        <v>1396</v>
      </c>
      <c r="E2189" s="2" t="s">
        <v>1226</v>
      </c>
      <c r="F2189" s="2" t="s">
        <v>107</v>
      </c>
      <c r="G2189" s="2"/>
      <c r="H2189" s="2"/>
      <c r="I2189" s="2"/>
      <c r="J2189" s="2"/>
    </row>
    <row r="2190" spans="1:10" x14ac:dyDescent="0.35">
      <c r="A2190" s="2" t="s">
        <v>1237</v>
      </c>
      <c r="B2190" s="2" t="s">
        <v>1247</v>
      </c>
      <c r="C2190" s="2" t="s">
        <v>24</v>
      </c>
      <c r="D2190" s="2" t="s">
        <v>1396</v>
      </c>
      <c r="E2190" s="2" t="s">
        <v>87</v>
      </c>
      <c r="F2190" s="2" t="s">
        <v>75</v>
      </c>
      <c r="G2190" s="2"/>
      <c r="H2190" s="2"/>
      <c r="I2190" s="2"/>
      <c r="J2190" s="2"/>
    </row>
    <row r="2191" spans="1:10" x14ac:dyDescent="0.35">
      <c r="A2191" s="2" t="s">
        <v>1237</v>
      </c>
      <c r="B2191" s="2" t="s">
        <v>1247</v>
      </c>
      <c r="C2191" s="2" t="s">
        <v>24</v>
      </c>
      <c r="D2191" s="2" t="s">
        <v>1396</v>
      </c>
      <c r="E2191" s="2" t="s">
        <v>18</v>
      </c>
      <c r="F2191" s="2" t="s">
        <v>19</v>
      </c>
      <c r="G2191" s="2"/>
      <c r="H2191" s="2"/>
      <c r="I2191" s="2"/>
      <c r="J2191" s="2"/>
    </row>
    <row r="2192" spans="1:10" x14ac:dyDescent="0.35">
      <c r="A2192" s="2" t="s">
        <v>1237</v>
      </c>
      <c r="B2192" s="2" t="s">
        <v>1247</v>
      </c>
      <c r="C2192" s="2" t="s">
        <v>24</v>
      </c>
      <c r="D2192" s="2" t="s">
        <v>1396</v>
      </c>
      <c r="E2192" s="2" t="s">
        <v>61</v>
      </c>
      <c r="F2192" s="2" t="s">
        <v>30</v>
      </c>
      <c r="G2192" s="2"/>
      <c r="H2192" s="2"/>
      <c r="I2192" s="2"/>
      <c r="J2192" s="2"/>
    </row>
    <row r="2193" spans="1:10" x14ac:dyDescent="0.35">
      <c r="A2193" s="2" t="s">
        <v>1237</v>
      </c>
      <c r="B2193" s="2" t="s">
        <v>1247</v>
      </c>
      <c r="C2193" s="2" t="s">
        <v>24</v>
      </c>
      <c r="D2193" s="2" t="s">
        <v>1396</v>
      </c>
      <c r="E2193" s="2" t="s">
        <v>1261</v>
      </c>
      <c r="F2193" s="2" t="s">
        <v>277</v>
      </c>
      <c r="G2193" s="2"/>
      <c r="H2193" s="2"/>
      <c r="I2193" s="2"/>
      <c r="J2193" s="2"/>
    </row>
    <row r="2194" spans="1:10" x14ac:dyDescent="0.35">
      <c r="A2194" s="2" t="s">
        <v>1237</v>
      </c>
      <c r="B2194" s="2" t="s">
        <v>1247</v>
      </c>
      <c r="C2194" s="2" t="s">
        <v>24</v>
      </c>
      <c r="D2194" s="2" t="s">
        <v>1396</v>
      </c>
      <c r="E2194" s="2" t="s">
        <v>1263</v>
      </c>
      <c r="F2194" s="2" t="s">
        <v>36</v>
      </c>
      <c r="G2194" s="2"/>
      <c r="H2194" s="2"/>
      <c r="I2194" s="2"/>
      <c r="J2194" s="2"/>
    </row>
    <row r="2195" spans="1:10" x14ac:dyDescent="0.35">
      <c r="A2195" s="2" t="s">
        <v>1237</v>
      </c>
      <c r="B2195" s="2" t="s">
        <v>1247</v>
      </c>
      <c r="C2195" s="2" t="s">
        <v>24</v>
      </c>
      <c r="D2195" s="2" t="s">
        <v>1397</v>
      </c>
      <c r="E2195" s="2" t="s">
        <v>1252</v>
      </c>
      <c r="F2195" s="2" t="s">
        <v>1253</v>
      </c>
      <c r="G2195" s="2"/>
      <c r="H2195" s="2"/>
      <c r="I2195" s="2"/>
      <c r="J2195" s="2"/>
    </row>
    <row r="2196" spans="1:10" x14ac:dyDescent="0.35">
      <c r="A2196" s="2" t="s">
        <v>1237</v>
      </c>
      <c r="B2196" s="2" t="s">
        <v>1247</v>
      </c>
      <c r="C2196" s="2" t="s">
        <v>24</v>
      </c>
      <c r="D2196" s="2" t="s">
        <v>1397</v>
      </c>
      <c r="E2196" s="2" t="s">
        <v>1256</v>
      </c>
      <c r="F2196" s="2" t="s">
        <v>363</v>
      </c>
      <c r="G2196" s="2"/>
      <c r="H2196" s="2"/>
      <c r="I2196" s="2"/>
      <c r="J2196" s="2"/>
    </row>
    <row r="2197" spans="1:10" x14ac:dyDescent="0.35">
      <c r="A2197" s="2" t="s">
        <v>1237</v>
      </c>
      <c r="B2197" s="2" t="s">
        <v>1247</v>
      </c>
      <c r="C2197" s="2" t="s">
        <v>24</v>
      </c>
      <c r="D2197" s="2" t="s">
        <v>1397</v>
      </c>
      <c r="E2197" s="2" t="s">
        <v>1257</v>
      </c>
      <c r="F2197" s="2" t="s">
        <v>38</v>
      </c>
      <c r="G2197" s="2"/>
      <c r="H2197" s="2"/>
      <c r="I2197" s="2"/>
      <c r="J2197" s="2"/>
    </row>
    <row r="2198" spans="1:10" x14ac:dyDescent="0.35">
      <c r="A2198" s="2" t="s">
        <v>1237</v>
      </c>
      <c r="B2198" s="2" t="s">
        <v>1247</v>
      </c>
      <c r="C2198" s="2" t="s">
        <v>24</v>
      </c>
      <c r="D2198" s="2" t="s">
        <v>1397</v>
      </c>
      <c r="E2198" s="2" t="s">
        <v>1226</v>
      </c>
      <c r="F2198" s="2" t="s">
        <v>107</v>
      </c>
      <c r="G2198" s="2"/>
      <c r="H2198" s="2"/>
      <c r="I2198" s="2"/>
      <c r="J2198" s="2"/>
    </row>
    <row r="2199" spans="1:10" x14ac:dyDescent="0.35">
      <c r="A2199" s="2" t="s">
        <v>1237</v>
      </c>
      <c r="B2199" s="2" t="s">
        <v>1247</v>
      </c>
      <c r="C2199" s="2" t="s">
        <v>24</v>
      </c>
      <c r="D2199" s="2" t="s">
        <v>1397</v>
      </c>
      <c r="E2199" s="2" t="s">
        <v>1394</v>
      </c>
      <c r="F2199" s="2" t="s">
        <v>107</v>
      </c>
      <c r="G2199" s="2"/>
      <c r="H2199" s="2"/>
      <c r="I2199" s="2"/>
      <c r="J2199" s="2"/>
    </row>
    <row r="2200" spans="1:10" x14ac:dyDescent="0.35">
      <c r="A2200" s="2" t="s">
        <v>1237</v>
      </c>
      <c r="B2200" s="2" t="s">
        <v>1247</v>
      </c>
      <c r="C2200" s="2" t="s">
        <v>24</v>
      </c>
      <c r="D2200" s="2" t="s">
        <v>1397</v>
      </c>
      <c r="E2200" s="2" t="s">
        <v>87</v>
      </c>
      <c r="F2200" s="2" t="s">
        <v>75</v>
      </c>
      <c r="G2200" s="2"/>
      <c r="H2200" s="2"/>
      <c r="I2200" s="2"/>
      <c r="J2200" s="2"/>
    </row>
    <row r="2201" spans="1:10" x14ac:dyDescent="0.35">
      <c r="A2201" s="2" t="s">
        <v>1237</v>
      </c>
      <c r="B2201" s="2" t="s">
        <v>1247</v>
      </c>
      <c r="C2201" s="2" t="s">
        <v>24</v>
      </c>
      <c r="D2201" s="2" t="s">
        <v>1397</v>
      </c>
      <c r="E2201" s="2" t="s">
        <v>124</v>
      </c>
      <c r="F2201" s="2" t="s">
        <v>125</v>
      </c>
      <c r="G2201" s="2"/>
      <c r="H2201" s="2"/>
      <c r="I2201" s="2"/>
      <c r="J2201" s="2"/>
    </row>
    <row r="2202" spans="1:10" x14ac:dyDescent="0.35">
      <c r="A2202" s="2" t="s">
        <v>1237</v>
      </c>
      <c r="B2202" s="2" t="s">
        <v>1247</v>
      </c>
      <c r="C2202" s="2" t="s">
        <v>24</v>
      </c>
      <c r="D2202" s="2" t="s">
        <v>1397</v>
      </c>
      <c r="E2202" s="2" t="s">
        <v>18</v>
      </c>
      <c r="F2202" s="2" t="s">
        <v>19</v>
      </c>
      <c r="G2202" s="2"/>
      <c r="H2202" s="2"/>
      <c r="I2202" s="2"/>
      <c r="J2202" s="2"/>
    </row>
    <row r="2203" spans="1:10" x14ac:dyDescent="0.35">
      <c r="A2203" s="2" t="s">
        <v>1237</v>
      </c>
      <c r="B2203" s="2" t="s">
        <v>1247</v>
      </c>
      <c r="C2203" s="2" t="s">
        <v>24</v>
      </c>
      <c r="D2203" s="2" t="s">
        <v>1397</v>
      </c>
      <c r="E2203" s="2" t="s">
        <v>61</v>
      </c>
      <c r="F2203" s="2" t="s">
        <v>30</v>
      </c>
      <c r="G2203" s="2"/>
      <c r="H2203" s="2"/>
      <c r="I2203" s="2"/>
      <c r="J2203" s="2"/>
    </row>
    <row r="2204" spans="1:10" x14ac:dyDescent="0.35">
      <c r="A2204" s="2" t="s">
        <v>1237</v>
      </c>
      <c r="B2204" s="2" t="s">
        <v>1247</v>
      </c>
      <c r="C2204" s="2" t="s">
        <v>24</v>
      </c>
      <c r="D2204" s="2" t="s">
        <v>1397</v>
      </c>
      <c r="E2204" s="2" t="s">
        <v>1261</v>
      </c>
      <c r="F2204" s="2" t="s">
        <v>277</v>
      </c>
      <c r="G2204" s="2"/>
      <c r="H2204" s="2"/>
      <c r="I2204" s="2"/>
      <c r="J2204" s="2"/>
    </row>
    <row r="2205" spans="1:10" x14ac:dyDescent="0.35">
      <c r="A2205" s="2" t="s">
        <v>1237</v>
      </c>
      <c r="B2205" s="2" t="s">
        <v>1247</v>
      </c>
      <c r="C2205" s="2" t="s">
        <v>24</v>
      </c>
      <c r="D2205" s="2" t="s">
        <v>1397</v>
      </c>
      <c r="E2205" s="2" t="s">
        <v>1263</v>
      </c>
      <c r="F2205" s="2" t="s">
        <v>36</v>
      </c>
      <c r="G2205" s="2"/>
      <c r="H2205" s="2"/>
      <c r="I2205" s="2"/>
      <c r="J2205" s="2"/>
    </row>
    <row r="2206" spans="1:10" x14ac:dyDescent="0.35">
      <c r="A2206" s="2" t="s">
        <v>1237</v>
      </c>
      <c r="B2206" s="2" t="s">
        <v>1247</v>
      </c>
      <c r="C2206" s="2" t="s">
        <v>62</v>
      </c>
      <c r="D2206" s="2" t="s">
        <v>1398</v>
      </c>
      <c r="E2206" s="2" t="s">
        <v>1297</v>
      </c>
      <c r="F2206" s="2" t="s">
        <v>533</v>
      </c>
      <c r="G2206" s="2" t="s">
        <v>20</v>
      </c>
      <c r="H2206" s="2" t="s">
        <v>1399</v>
      </c>
      <c r="I2206" s="2"/>
      <c r="J2206" s="2"/>
    </row>
    <row r="2207" spans="1:10" x14ac:dyDescent="0.35">
      <c r="A2207" s="2" t="s">
        <v>1237</v>
      </c>
      <c r="B2207" s="2" t="s">
        <v>1247</v>
      </c>
      <c r="C2207" s="2" t="s">
        <v>62</v>
      </c>
      <c r="D2207" s="2" t="s">
        <v>1400</v>
      </c>
      <c r="E2207" s="2" t="s">
        <v>87</v>
      </c>
      <c r="F2207" s="2" t="s">
        <v>75</v>
      </c>
      <c r="G2207" s="2"/>
      <c r="H2207" s="2"/>
      <c r="I2207" s="2"/>
      <c r="J2207" s="2"/>
    </row>
    <row r="2208" spans="1:10" x14ac:dyDescent="0.35">
      <c r="A2208" s="2" t="s">
        <v>1237</v>
      </c>
      <c r="B2208" s="2" t="s">
        <v>1247</v>
      </c>
      <c r="C2208" s="2" t="s">
        <v>62</v>
      </c>
      <c r="D2208" s="2" t="s">
        <v>1400</v>
      </c>
      <c r="E2208" s="2" t="s">
        <v>1249</v>
      </c>
      <c r="F2208" s="2" t="s">
        <v>75</v>
      </c>
      <c r="G2208" s="2"/>
      <c r="H2208" s="2"/>
      <c r="I2208" s="2"/>
      <c r="J2208" s="2"/>
    </row>
    <row r="2209" spans="1:10" x14ac:dyDescent="0.35">
      <c r="A2209" s="2" t="s">
        <v>1237</v>
      </c>
      <c r="B2209" s="2" t="s">
        <v>1247</v>
      </c>
      <c r="C2209" s="2" t="s">
        <v>62</v>
      </c>
      <c r="D2209" s="2" t="s">
        <v>1401</v>
      </c>
      <c r="E2209" s="2" t="s">
        <v>1402</v>
      </c>
      <c r="F2209" s="2" t="s">
        <v>75</v>
      </c>
      <c r="G2209" s="2"/>
      <c r="H2209" s="2"/>
      <c r="I2209" s="2"/>
      <c r="J2209" s="2"/>
    </row>
    <row r="2210" spans="1:10" x14ac:dyDescent="0.35">
      <c r="A2210" s="2" t="s">
        <v>1237</v>
      </c>
      <c r="B2210" s="2" t="s">
        <v>1247</v>
      </c>
      <c r="C2210" s="2" t="s">
        <v>62</v>
      </c>
      <c r="D2210" s="2" t="s">
        <v>1401</v>
      </c>
      <c r="E2210" s="2" t="s">
        <v>1249</v>
      </c>
      <c r="F2210" s="2" t="s">
        <v>75</v>
      </c>
      <c r="G2210" s="2"/>
      <c r="H2210" s="2"/>
      <c r="I2210" s="2"/>
      <c r="J2210" s="2"/>
    </row>
    <row r="2211" spans="1:10" x14ac:dyDescent="0.35">
      <c r="A2211" s="2" t="s">
        <v>1237</v>
      </c>
      <c r="B2211" s="2" t="s">
        <v>1247</v>
      </c>
      <c r="C2211" s="2" t="s">
        <v>62</v>
      </c>
      <c r="D2211" s="2" t="s">
        <v>1401</v>
      </c>
      <c r="E2211" s="2" t="s">
        <v>924</v>
      </c>
      <c r="F2211" s="2" t="s">
        <v>75</v>
      </c>
      <c r="G2211" s="2"/>
      <c r="H2211" s="2"/>
      <c r="I2211" s="2"/>
      <c r="J2211" s="2"/>
    </row>
    <row r="2212" spans="1:10" x14ac:dyDescent="0.35">
      <c r="A2212" s="2" t="s">
        <v>1237</v>
      </c>
      <c r="B2212" s="2" t="s">
        <v>1247</v>
      </c>
      <c r="C2212" s="2" t="s">
        <v>62</v>
      </c>
      <c r="D2212" s="2" t="s">
        <v>1403</v>
      </c>
      <c r="E2212" s="2" t="s">
        <v>1333</v>
      </c>
      <c r="F2212" s="2" t="s">
        <v>1334</v>
      </c>
      <c r="G2212" s="2"/>
      <c r="H2212" s="2"/>
      <c r="I2212" s="2"/>
      <c r="J2212" s="2"/>
    </row>
    <row r="2213" spans="1:10" x14ac:dyDescent="0.35">
      <c r="A2213" s="2" t="s">
        <v>1237</v>
      </c>
      <c r="B2213" s="2" t="s">
        <v>1247</v>
      </c>
      <c r="C2213" s="2" t="s">
        <v>62</v>
      </c>
      <c r="D2213" s="2" t="s">
        <v>1403</v>
      </c>
      <c r="E2213" s="2" t="s">
        <v>1323</v>
      </c>
      <c r="F2213" s="2" t="s">
        <v>75</v>
      </c>
      <c r="G2213" s="2"/>
      <c r="H2213" s="2"/>
      <c r="I2213" s="2"/>
      <c r="J2213" s="2"/>
    </row>
    <row r="2214" spans="1:10" x14ac:dyDescent="0.35">
      <c r="A2214" s="2" t="s">
        <v>1237</v>
      </c>
      <c r="B2214" s="2" t="s">
        <v>1247</v>
      </c>
      <c r="C2214" s="2" t="s">
        <v>62</v>
      </c>
      <c r="D2214" s="2" t="s">
        <v>1403</v>
      </c>
      <c r="E2214" s="2" t="s">
        <v>1404</v>
      </c>
      <c r="F2214" s="2" t="s">
        <v>75</v>
      </c>
      <c r="G2214" s="2"/>
      <c r="H2214" s="2"/>
      <c r="I2214" s="2"/>
      <c r="J2214" s="2"/>
    </row>
    <row r="2215" spans="1:10" x14ac:dyDescent="0.35">
      <c r="A2215" s="2" t="s">
        <v>1237</v>
      </c>
      <c r="B2215" s="2" t="s">
        <v>1247</v>
      </c>
      <c r="C2215" s="2" t="s">
        <v>62</v>
      </c>
      <c r="D2215" s="2" t="s">
        <v>1403</v>
      </c>
      <c r="E2215" s="2" t="s">
        <v>1405</v>
      </c>
      <c r="F2215" s="2" t="s">
        <v>75</v>
      </c>
      <c r="G2215" s="2"/>
      <c r="H2215" s="2"/>
      <c r="I2215" s="2"/>
      <c r="J2215" s="2"/>
    </row>
    <row r="2216" spans="1:10" x14ac:dyDescent="0.35">
      <c r="A2216" s="2" t="s">
        <v>1237</v>
      </c>
      <c r="B2216" s="2" t="s">
        <v>1247</v>
      </c>
      <c r="C2216" s="2" t="s">
        <v>62</v>
      </c>
      <c r="D2216" s="2" t="s">
        <v>1403</v>
      </c>
      <c r="E2216" s="2" t="s">
        <v>1261</v>
      </c>
      <c r="F2216" s="2" t="s">
        <v>277</v>
      </c>
      <c r="G2216" s="2"/>
      <c r="H2216" s="2"/>
      <c r="I2216" s="2"/>
      <c r="J2216" s="2"/>
    </row>
    <row r="2217" spans="1:10" x14ac:dyDescent="0.35">
      <c r="A2217" s="2" t="s">
        <v>1237</v>
      </c>
      <c r="B2217" s="2" t="s">
        <v>1247</v>
      </c>
      <c r="C2217" s="2" t="s">
        <v>62</v>
      </c>
      <c r="D2217" s="2" t="s">
        <v>1403</v>
      </c>
      <c r="E2217" s="2" t="s">
        <v>352</v>
      </c>
      <c r="F2217" s="2" t="s">
        <v>107</v>
      </c>
      <c r="G2217" s="2"/>
      <c r="H2217" s="2"/>
      <c r="I2217" s="2"/>
      <c r="J2217" s="2"/>
    </row>
    <row r="2218" spans="1:10" x14ac:dyDescent="0.35">
      <c r="A2218" s="2" t="s">
        <v>1237</v>
      </c>
      <c r="B2218" s="2" t="s">
        <v>1247</v>
      </c>
      <c r="C2218" s="2" t="s">
        <v>62</v>
      </c>
      <c r="D2218" s="2" t="s">
        <v>1406</v>
      </c>
      <c r="E2218" s="2" t="s">
        <v>1333</v>
      </c>
      <c r="F2218" s="2" t="s">
        <v>1334</v>
      </c>
      <c r="G2218" s="2"/>
      <c r="H2218" s="2"/>
      <c r="I2218" s="2"/>
      <c r="J2218" s="2"/>
    </row>
    <row r="2219" spans="1:10" x14ac:dyDescent="0.35">
      <c r="A2219" s="2" t="s">
        <v>1237</v>
      </c>
      <c r="B2219" s="2" t="s">
        <v>1247</v>
      </c>
      <c r="C2219" s="2" t="s">
        <v>62</v>
      </c>
      <c r="D2219" s="2" t="s">
        <v>1406</v>
      </c>
      <c r="E2219" s="2" t="s">
        <v>1405</v>
      </c>
      <c r="F2219" s="2" t="s">
        <v>75</v>
      </c>
      <c r="G2219" s="2"/>
      <c r="H2219" s="2"/>
      <c r="I2219" s="2"/>
      <c r="J2219" s="2"/>
    </row>
    <row r="2220" spans="1:10" x14ac:dyDescent="0.35">
      <c r="A2220" s="2" t="s">
        <v>1237</v>
      </c>
      <c r="B2220" s="2" t="s">
        <v>1247</v>
      </c>
      <c r="C2220" s="2" t="s">
        <v>62</v>
      </c>
      <c r="D2220" s="2" t="s">
        <v>1406</v>
      </c>
      <c r="E2220" s="2" t="s">
        <v>1249</v>
      </c>
      <c r="F2220" s="2" t="s">
        <v>75</v>
      </c>
      <c r="G2220" s="21"/>
      <c r="H2220" s="21"/>
      <c r="I2220" s="2"/>
      <c r="J2220" s="2"/>
    </row>
    <row r="2221" spans="1:10" x14ac:dyDescent="0.35">
      <c r="A2221" s="2" t="s">
        <v>1237</v>
      </c>
      <c r="B2221" s="2" t="s">
        <v>1247</v>
      </c>
      <c r="C2221" s="2" t="s">
        <v>62</v>
      </c>
      <c r="D2221" s="2" t="s">
        <v>1406</v>
      </c>
      <c r="E2221" s="2" t="s">
        <v>1261</v>
      </c>
      <c r="F2221" s="2" t="s">
        <v>277</v>
      </c>
      <c r="G2221" s="2"/>
      <c r="H2221" s="2"/>
      <c r="I2221" s="2"/>
      <c r="J2221" s="2"/>
    </row>
    <row r="2222" spans="1:10" x14ac:dyDescent="0.35">
      <c r="A2222" s="2" t="s">
        <v>1237</v>
      </c>
      <c r="B2222" s="2" t="s">
        <v>1247</v>
      </c>
      <c r="C2222" s="2" t="s">
        <v>62</v>
      </c>
      <c r="D2222" s="2" t="s">
        <v>1406</v>
      </c>
      <c r="E2222" s="2" t="s">
        <v>352</v>
      </c>
      <c r="F2222" s="2" t="s">
        <v>107</v>
      </c>
      <c r="G2222" s="2"/>
      <c r="H2222" s="2"/>
      <c r="I2222" s="2"/>
      <c r="J2222" s="2"/>
    </row>
    <row r="2223" spans="1:10" x14ac:dyDescent="0.35">
      <c r="A2223" s="2" t="s">
        <v>1237</v>
      </c>
      <c r="B2223" s="2" t="s">
        <v>1247</v>
      </c>
      <c r="C2223" s="2" t="s">
        <v>62</v>
      </c>
      <c r="D2223" s="2" t="s">
        <v>1406</v>
      </c>
      <c r="E2223" s="2" t="s">
        <v>1341</v>
      </c>
      <c r="F2223" s="2" t="s">
        <v>65</v>
      </c>
      <c r="G2223" s="2"/>
      <c r="H2223" s="2"/>
      <c r="I2223" s="2"/>
      <c r="J2223" s="2"/>
    </row>
    <row r="2224" spans="1:10" x14ac:dyDescent="0.35">
      <c r="A2224" s="2" t="s">
        <v>1237</v>
      </c>
      <c r="B2224" s="2" t="s">
        <v>1407</v>
      </c>
      <c r="C2224" s="2" t="s">
        <v>62</v>
      </c>
      <c r="D2224" s="2" t="s">
        <v>1408</v>
      </c>
      <c r="E2224" s="2" t="s">
        <v>317</v>
      </c>
      <c r="F2224" s="2" t="s">
        <v>318</v>
      </c>
      <c r="G2224" s="2"/>
      <c r="H2224" s="2"/>
      <c r="I2224" s="2"/>
      <c r="J2224" s="2"/>
    </row>
    <row r="2225" spans="1:10" x14ac:dyDescent="0.35">
      <c r="A2225" s="2" t="s">
        <v>1237</v>
      </c>
      <c r="B2225" s="2" t="s">
        <v>1407</v>
      </c>
      <c r="C2225" s="2" t="s">
        <v>62</v>
      </c>
      <c r="D2225" s="2" t="s">
        <v>1408</v>
      </c>
      <c r="E2225" s="2" t="s">
        <v>1051</v>
      </c>
      <c r="F2225" s="2" t="s">
        <v>318</v>
      </c>
      <c r="G2225" s="2"/>
      <c r="H2225" s="2"/>
      <c r="I2225" s="2"/>
      <c r="J2225" s="2"/>
    </row>
    <row r="2226" spans="1:10" s="21" customFormat="1" x14ac:dyDescent="0.35">
      <c r="A2226" s="2" t="s">
        <v>1237</v>
      </c>
      <c r="B2226" s="2" t="s">
        <v>1407</v>
      </c>
      <c r="C2226" s="2" t="s">
        <v>62</v>
      </c>
      <c r="D2226" s="2" t="s">
        <v>1408</v>
      </c>
      <c r="E2226" s="2" t="s">
        <v>333</v>
      </c>
      <c r="F2226" s="2" t="s">
        <v>334</v>
      </c>
      <c r="G2226" s="2"/>
      <c r="H2226" s="2"/>
      <c r="I2226" s="2"/>
      <c r="J2226" s="2"/>
    </row>
    <row r="2227" spans="1:10" x14ac:dyDescent="0.35">
      <c r="A2227" s="2" t="s">
        <v>1237</v>
      </c>
      <c r="B2227" s="2" t="s">
        <v>1407</v>
      </c>
      <c r="C2227" s="2" t="s">
        <v>12</v>
      </c>
      <c r="D2227" s="2" t="s">
        <v>1409</v>
      </c>
      <c r="E2227" s="2" t="s">
        <v>198</v>
      </c>
      <c r="F2227" s="2" t="s">
        <v>65</v>
      </c>
      <c r="G2227" s="2"/>
      <c r="H2227" s="2"/>
      <c r="I2227" s="2"/>
      <c r="J2227" s="2"/>
    </row>
    <row r="2228" spans="1:10" s="21" customFormat="1" x14ac:dyDescent="0.35">
      <c r="A2228" s="2" t="s">
        <v>1237</v>
      </c>
      <c r="B2228" s="2" t="s">
        <v>1407</v>
      </c>
      <c r="C2228" s="2" t="s">
        <v>12</v>
      </c>
      <c r="D2228" s="2" t="s">
        <v>1409</v>
      </c>
      <c r="E2228" s="2" t="s">
        <v>64</v>
      </c>
      <c r="F2228" s="2" t="s">
        <v>65</v>
      </c>
      <c r="G2228" s="2"/>
      <c r="H2228" s="2"/>
      <c r="I2228" s="2"/>
      <c r="J2228" s="2"/>
    </row>
    <row r="2229" spans="1:10" x14ac:dyDescent="0.35">
      <c r="A2229" s="2" t="s">
        <v>1237</v>
      </c>
      <c r="B2229" s="2" t="s">
        <v>1407</v>
      </c>
      <c r="C2229" s="2" t="s">
        <v>12</v>
      </c>
      <c r="D2229" s="2" t="s">
        <v>1409</v>
      </c>
      <c r="E2229" s="2" t="s">
        <v>230</v>
      </c>
      <c r="F2229" s="2" t="s">
        <v>189</v>
      </c>
      <c r="G2229" s="2" t="s">
        <v>46</v>
      </c>
      <c r="H2229" s="2" t="s">
        <v>1410</v>
      </c>
      <c r="I2229" s="2"/>
      <c r="J2229" s="2"/>
    </row>
    <row r="2230" spans="1:10" x14ac:dyDescent="0.35">
      <c r="A2230" s="2" t="s">
        <v>1237</v>
      </c>
      <c r="B2230" s="2" t="s">
        <v>1407</v>
      </c>
      <c r="C2230" s="2" t="s">
        <v>62</v>
      </c>
      <c r="D2230" s="2" t="s">
        <v>1411</v>
      </c>
      <c r="E2230" s="2" t="s">
        <v>196</v>
      </c>
      <c r="F2230" s="2" t="s">
        <v>197</v>
      </c>
      <c r="G2230" s="2" t="s">
        <v>46</v>
      </c>
      <c r="H2230" s="2" t="s">
        <v>1412</v>
      </c>
      <c r="I2230" s="2"/>
      <c r="J2230" s="2"/>
    </row>
    <row r="2231" spans="1:10" x14ac:dyDescent="0.35">
      <c r="A2231" s="2" t="s">
        <v>1237</v>
      </c>
      <c r="B2231" s="2" t="s">
        <v>1407</v>
      </c>
      <c r="C2231" s="2" t="s">
        <v>62</v>
      </c>
      <c r="D2231" s="2" t="s">
        <v>1411</v>
      </c>
      <c r="E2231" s="2" t="s">
        <v>319</v>
      </c>
      <c r="F2231" s="2" t="s">
        <v>320</v>
      </c>
      <c r="G2231" s="2" t="s">
        <v>46</v>
      </c>
      <c r="H2231" s="2" t="s">
        <v>1412</v>
      </c>
      <c r="I2231" s="2"/>
      <c r="J2231" s="2"/>
    </row>
    <row r="2232" spans="1:10" x14ac:dyDescent="0.35">
      <c r="A2232" s="2" t="s">
        <v>1237</v>
      </c>
      <c r="B2232" s="2" t="s">
        <v>1407</v>
      </c>
      <c r="C2232" s="2" t="s">
        <v>62</v>
      </c>
      <c r="D2232" s="2" t="s">
        <v>1411</v>
      </c>
      <c r="E2232" s="2" t="s">
        <v>322</v>
      </c>
      <c r="F2232" s="2" t="s">
        <v>246</v>
      </c>
      <c r="G2232" s="2" t="s">
        <v>46</v>
      </c>
      <c r="H2232" s="2" t="s">
        <v>1412</v>
      </c>
      <c r="I2232" s="2"/>
      <c r="J2232" s="2"/>
    </row>
    <row r="2233" spans="1:10" x14ac:dyDescent="0.35">
      <c r="A2233" s="2" t="s">
        <v>1237</v>
      </c>
      <c r="B2233" s="2" t="s">
        <v>1407</v>
      </c>
      <c r="C2233" s="2" t="s">
        <v>62</v>
      </c>
      <c r="D2233" s="2" t="s">
        <v>1411</v>
      </c>
      <c r="E2233" s="2" t="s">
        <v>323</v>
      </c>
      <c r="F2233" s="2" t="s">
        <v>246</v>
      </c>
      <c r="G2233" s="2" t="s">
        <v>46</v>
      </c>
      <c r="H2233" s="2" t="s">
        <v>1412</v>
      </c>
      <c r="I2233" s="2"/>
      <c r="J2233" s="2"/>
    </row>
    <row r="2234" spans="1:10" x14ac:dyDescent="0.35">
      <c r="A2234" s="2" t="s">
        <v>1237</v>
      </c>
      <c r="B2234" s="2" t="s">
        <v>1407</v>
      </c>
      <c r="C2234" s="2" t="s">
        <v>62</v>
      </c>
      <c r="D2234" s="2" t="s">
        <v>1411</v>
      </c>
      <c r="E2234" s="2" t="s">
        <v>324</v>
      </c>
      <c r="F2234" s="2" t="s">
        <v>246</v>
      </c>
      <c r="G2234" s="2" t="s">
        <v>46</v>
      </c>
      <c r="H2234" s="2" t="s">
        <v>1412</v>
      </c>
      <c r="I2234" s="2"/>
      <c r="J2234" s="2"/>
    </row>
    <row r="2235" spans="1:10" x14ac:dyDescent="0.35">
      <c r="A2235" s="2" t="s">
        <v>1237</v>
      </c>
      <c r="B2235" s="2" t="s">
        <v>1407</v>
      </c>
      <c r="C2235" s="2" t="s">
        <v>62</v>
      </c>
      <c r="D2235" s="2" t="s">
        <v>1411</v>
      </c>
      <c r="E2235" s="2" t="s">
        <v>325</v>
      </c>
      <c r="F2235" s="2" t="s">
        <v>1413</v>
      </c>
      <c r="G2235" s="2" t="s">
        <v>46</v>
      </c>
      <c r="H2235" s="2" t="s">
        <v>1412</v>
      </c>
      <c r="I2235" s="2"/>
      <c r="J2235" s="2"/>
    </row>
    <row r="2236" spans="1:10" x14ac:dyDescent="0.35">
      <c r="A2236" s="2" t="s">
        <v>1237</v>
      </c>
      <c r="B2236" s="2" t="s">
        <v>1407</v>
      </c>
      <c r="C2236" s="2" t="s">
        <v>62</v>
      </c>
      <c r="D2236" s="2" t="s">
        <v>1411</v>
      </c>
      <c r="E2236" s="2" t="s">
        <v>327</v>
      </c>
      <c r="F2236" s="2" t="s">
        <v>328</v>
      </c>
      <c r="G2236" s="2" t="s">
        <v>46</v>
      </c>
      <c r="H2236" s="2" t="s">
        <v>1412</v>
      </c>
      <c r="I2236" s="2"/>
      <c r="J2236" s="2"/>
    </row>
    <row r="2237" spans="1:10" x14ac:dyDescent="0.35">
      <c r="A2237" s="2" t="s">
        <v>1237</v>
      </c>
      <c r="B2237" s="2" t="s">
        <v>1407</v>
      </c>
      <c r="C2237" s="2" t="s">
        <v>62</v>
      </c>
      <c r="D2237" s="2" t="s">
        <v>1411</v>
      </c>
      <c r="E2237" s="2" t="s">
        <v>329</v>
      </c>
      <c r="F2237" s="2" t="s">
        <v>330</v>
      </c>
      <c r="G2237" s="2" t="s">
        <v>46</v>
      </c>
      <c r="H2237" s="2" t="s">
        <v>1412</v>
      </c>
      <c r="I2237" s="2"/>
      <c r="J2237" s="2"/>
    </row>
    <row r="2238" spans="1:10" x14ac:dyDescent="0.35">
      <c r="A2238" s="2" t="s">
        <v>1237</v>
      </c>
      <c r="B2238" s="2" t="s">
        <v>1407</v>
      </c>
      <c r="C2238" s="2" t="s">
        <v>62</v>
      </c>
      <c r="D2238" s="2" t="s">
        <v>1411</v>
      </c>
      <c r="E2238" s="2" t="s">
        <v>331</v>
      </c>
      <c r="F2238" s="2" t="s">
        <v>332</v>
      </c>
      <c r="G2238" s="2" t="s">
        <v>46</v>
      </c>
      <c r="H2238" s="2" t="s">
        <v>1412</v>
      </c>
      <c r="I2238" s="2"/>
      <c r="J2238" s="2"/>
    </row>
    <row r="2239" spans="1:10" x14ac:dyDescent="0.35">
      <c r="A2239" s="2" t="s">
        <v>1237</v>
      </c>
      <c r="B2239" s="2" t="s">
        <v>1407</v>
      </c>
      <c r="C2239" s="2" t="s">
        <v>62</v>
      </c>
      <c r="D2239" s="2" t="s">
        <v>1411</v>
      </c>
      <c r="E2239" s="2" t="s">
        <v>333</v>
      </c>
      <c r="F2239" s="2" t="s">
        <v>334</v>
      </c>
      <c r="G2239" s="2" t="s">
        <v>46</v>
      </c>
      <c r="H2239" s="2" t="s">
        <v>1412</v>
      </c>
      <c r="I2239" s="2"/>
      <c r="J2239" s="2"/>
    </row>
    <row r="2240" spans="1:10" x14ac:dyDescent="0.35">
      <c r="A2240" s="2" t="s">
        <v>1237</v>
      </c>
      <c r="B2240" s="2" t="s">
        <v>1407</v>
      </c>
      <c r="C2240" s="2" t="s">
        <v>62</v>
      </c>
      <c r="D2240" s="2" t="s">
        <v>1411</v>
      </c>
      <c r="E2240" s="2" t="s">
        <v>335</v>
      </c>
      <c r="F2240" s="2" t="s">
        <v>336</v>
      </c>
      <c r="G2240" s="2" t="s">
        <v>46</v>
      </c>
      <c r="H2240" s="2" t="s">
        <v>1412</v>
      </c>
      <c r="I2240" s="2"/>
      <c r="J2240" s="2"/>
    </row>
    <row r="2241" spans="1:10" x14ac:dyDescent="0.35">
      <c r="A2241" s="2" t="s">
        <v>1237</v>
      </c>
      <c r="B2241" s="2" t="s">
        <v>1407</v>
      </c>
      <c r="C2241" s="2" t="s">
        <v>62</v>
      </c>
      <c r="D2241" s="2" t="s">
        <v>1411</v>
      </c>
      <c r="E2241" s="2" t="s">
        <v>337</v>
      </c>
      <c r="F2241" s="2" t="s">
        <v>338</v>
      </c>
      <c r="G2241" s="2" t="s">
        <v>46</v>
      </c>
      <c r="H2241" s="2" t="s">
        <v>1412</v>
      </c>
      <c r="I2241" s="2"/>
      <c r="J2241" s="2"/>
    </row>
    <row r="2242" spans="1:10" x14ac:dyDescent="0.35">
      <c r="A2242" s="2" t="s">
        <v>1237</v>
      </c>
      <c r="B2242" s="2" t="s">
        <v>1407</v>
      </c>
      <c r="C2242" s="2" t="s">
        <v>62</v>
      </c>
      <c r="D2242" s="2" t="s">
        <v>1411</v>
      </c>
      <c r="E2242" s="2" t="s">
        <v>339</v>
      </c>
      <c r="F2242" s="2" t="s">
        <v>340</v>
      </c>
      <c r="G2242" s="2" t="s">
        <v>46</v>
      </c>
      <c r="H2242" s="2" t="s">
        <v>1412</v>
      </c>
      <c r="I2242" s="2"/>
      <c r="J2242" s="2"/>
    </row>
    <row r="2243" spans="1:10" x14ac:dyDescent="0.35">
      <c r="A2243" s="2" t="s">
        <v>1237</v>
      </c>
      <c r="B2243" s="2" t="s">
        <v>1407</v>
      </c>
      <c r="C2243" s="2" t="s">
        <v>62</v>
      </c>
      <c r="D2243" s="2" t="s">
        <v>1411</v>
      </c>
      <c r="E2243" s="2" t="s">
        <v>341</v>
      </c>
      <c r="F2243" s="2" t="s">
        <v>342</v>
      </c>
      <c r="G2243" s="2" t="s">
        <v>46</v>
      </c>
      <c r="H2243" s="2" t="s">
        <v>1412</v>
      </c>
      <c r="I2243" s="2"/>
      <c r="J2243" s="2"/>
    </row>
    <row r="2244" spans="1:10" x14ac:dyDescent="0.35">
      <c r="A2244" s="2" t="s">
        <v>1237</v>
      </c>
      <c r="B2244" s="2" t="s">
        <v>1407</v>
      </c>
      <c r="C2244" s="2" t="s">
        <v>62</v>
      </c>
      <c r="D2244" s="2" t="s">
        <v>1411</v>
      </c>
      <c r="E2244" s="2" t="s">
        <v>343</v>
      </c>
      <c r="F2244" s="2" t="s">
        <v>344</v>
      </c>
      <c r="G2244" s="2" t="s">
        <v>46</v>
      </c>
      <c r="H2244" s="2" t="s">
        <v>1412</v>
      </c>
      <c r="I2244" s="2"/>
      <c r="J2244" s="2"/>
    </row>
    <row r="2245" spans="1:10" x14ac:dyDescent="0.35">
      <c r="A2245" s="2" t="s">
        <v>1237</v>
      </c>
      <c r="B2245" s="2" t="s">
        <v>1407</v>
      </c>
      <c r="C2245" s="2" t="s">
        <v>62</v>
      </c>
      <c r="D2245" s="2" t="s">
        <v>1411</v>
      </c>
      <c r="E2245" s="2" t="s">
        <v>345</v>
      </c>
      <c r="F2245" s="2" t="s">
        <v>346</v>
      </c>
      <c r="G2245" s="2" t="s">
        <v>46</v>
      </c>
      <c r="H2245" s="2" t="s">
        <v>1412</v>
      </c>
      <c r="I2245" s="2"/>
      <c r="J2245" s="2"/>
    </row>
    <row r="2246" spans="1:10" x14ac:dyDescent="0.35">
      <c r="A2246" s="2" t="s">
        <v>1237</v>
      </c>
      <c r="B2246" s="2" t="s">
        <v>1407</v>
      </c>
      <c r="C2246" s="2" t="s">
        <v>24</v>
      </c>
      <c r="D2246" s="2" t="s">
        <v>1414</v>
      </c>
      <c r="E2246" s="2" t="s">
        <v>130</v>
      </c>
      <c r="F2246" s="2" t="s">
        <v>36</v>
      </c>
      <c r="G2246" s="2"/>
      <c r="H2246" s="2"/>
      <c r="I2246" s="2"/>
      <c r="J2246" s="2"/>
    </row>
    <row r="2247" spans="1:10" x14ac:dyDescent="0.35">
      <c r="A2247" s="2" t="s">
        <v>1237</v>
      </c>
      <c r="B2247" s="2" t="s">
        <v>1407</v>
      </c>
      <c r="C2247" s="2" t="s">
        <v>24</v>
      </c>
      <c r="D2247" s="2" t="s">
        <v>1414</v>
      </c>
      <c r="E2247" s="2" t="s">
        <v>1252</v>
      </c>
      <c r="F2247" s="2" t="s">
        <v>1253</v>
      </c>
      <c r="G2247" s="2"/>
      <c r="H2247" s="2"/>
      <c r="I2247" s="2"/>
      <c r="J2247" s="2"/>
    </row>
    <row r="2248" spans="1:10" x14ac:dyDescent="0.35">
      <c r="A2248" s="2" t="s">
        <v>1237</v>
      </c>
      <c r="B2248" s="2" t="s">
        <v>1407</v>
      </c>
      <c r="C2248" s="2" t="s">
        <v>24</v>
      </c>
      <c r="D2248" s="2" t="s">
        <v>1414</v>
      </c>
      <c r="E2248" s="2" t="s">
        <v>1415</v>
      </c>
      <c r="F2248" s="2" t="s">
        <v>1416</v>
      </c>
      <c r="G2248" s="2"/>
      <c r="H2248" s="2"/>
      <c r="I2248" s="2"/>
      <c r="J2248" s="2"/>
    </row>
    <row r="2249" spans="1:10" x14ac:dyDescent="0.35">
      <c r="A2249" s="2" t="s">
        <v>1237</v>
      </c>
      <c r="B2249" s="2" t="s">
        <v>1407</v>
      </c>
      <c r="C2249" s="2" t="s">
        <v>24</v>
      </c>
      <c r="D2249" s="2" t="s">
        <v>1414</v>
      </c>
      <c r="E2249" s="2" t="s">
        <v>1226</v>
      </c>
      <c r="F2249" s="2" t="s">
        <v>107</v>
      </c>
      <c r="G2249" s="2"/>
      <c r="H2249" s="2"/>
      <c r="I2249" s="2"/>
      <c r="J2249" s="2"/>
    </row>
    <row r="2250" spans="1:10" x14ac:dyDescent="0.35">
      <c r="A2250" s="2" t="s">
        <v>1237</v>
      </c>
      <c r="B2250" s="2" t="s">
        <v>1407</v>
      </c>
      <c r="C2250" s="2" t="s">
        <v>24</v>
      </c>
      <c r="D2250" s="2" t="s">
        <v>1414</v>
      </c>
      <c r="E2250" s="2" t="s">
        <v>1228</v>
      </c>
      <c r="F2250" s="2" t="s">
        <v>228</v>
      </c>
      <c r="G2250" s="2"/>
      <c r="H2250" s="2"/>
      <c r="I2250" s="2"/>
      <c r="J2250" s="2"/>
    </row>
    <row r="2251" spans="1:10" x14ac:dyDescent="0.35">
      <c r="A2251" s="2" t="s">
        <v>1237</v>
      </c>
      <c r="B2251" s="2" t="s">
        <v>1407</v>
      </c>
      <c r="C2251" s="2" t="s">
        <v>24</v>
      </c>
      <c r="D2251" s="2" t="s">
        <v>1414</v>
      </c>
      <c r="E2251" s="2" t="s">
        <v>42</v>
      </c>
      <c r="F2251" s="2" t="s">
        <v>43</v>
      </c>
      <c r="G2251" s="2"/>
      <c r="H2251" s="2"/>
      <c r="I2251" s="2"/>
      <c r="J2251" s="2"/>
    </row>
    <row r="2252" spans="1:10" x14ac:dyDescent="0.35">
      <c r="A2252" s="2" t="s">
        <v>1237</v>
      </c>
      <c r="B2252" s="2" t="s">
        <v>1407</v>
      </c>
      <c r="C2252" s="2" t="s">
        <v>24</v>
      </c>
      <c r="D2252" s="2" t="s">
        <v>1414</v>
      </c>
      <c r="E2252" s="2" t="s">
        <v>1342</v>
      </c>
      <c r="F2252" s="2" t="s">
        <v>1343</v>
      </c>
      <c r="G2252" s="2"/>
      <c r="H2252" s="2"/>
      <c r="I2252" s="2"/>
      <c r="J2252" s="2"/>
    </row>
    <row r="2253" spans="1:10" x14ac:dyDescent="0.35">
      <c r="A2253" s="2" t="s">
        <v>1237</v>
      </c>
      <c r="B2253" s="2" t="s">
        <v>1407</v>
      </c>
      <c r="C2253" s="2" t="s">
        <v>801</v>
      </c>
      <c r="D2253" s="2" t="s">
        <v>1417</v>
      </c>
      <c r="E2253" s="2" t="s">
        <v>130</v>
      </c>
      <c r="F2253" s="2" t="s">
        <v>36</v>
      </c>
      <c r="G2253" s="2"/>
      <c r="H2253" s="2"/>
      <c r="I2253" s="2"/>
      <c r="J2253" s="2"/>
    </row>
    <row r="2254" spans="1:10" x14ac:dyDescent="0.35">
      <c r="A2254" s="2" t="s">
        <v>1237</v>
      </c>
      <c r="B2254" s="2" t="s">
        <v>1407</v>
      </c>
      <c r="C2254" s="2" t="s">
        <v>12</v>
      </c>
      <c r="D2254" s="2" t="s">
        <v>1418</v>
      </c>
      <c r="E2254" s="2" t="s">
        <v>198</v>
      </c>
      <c r="F2254" s="2" t="s">
        <v>65</v>
      </c>
      <c r="G2254" s="2"/>
      <c r="H2254" s="2"/>
      <c r="I2254" s="2"/>
      <c r="J2254" s="2"/>
    </row>
    <row r="2255" spans="1:10" x14ac:dyDescent="0.35">
      <c r="A2255" s="2" t="s">
        <v>1237</v>
      </c>
      <c r="B2255" s="2" t="s">
        <v>1407</v>
      </c>
      <c r="C2255" s="2" t="s">
        <v>12</v>
      </c>
      <c r="D2255" s="2" t="s">
        <v>1418</v>
      </c>
      <c r="E2255" s="2" t="s">
        <v>1419</v>
      </c>
      <c r="F2255" s="2" t="s">
        <v>1419</v>
      </c>
      <c r="G2255" s="2"/>
      <c r="H2255" s="2"/>
      <c r="I2255" s="2"/>
      <c r="J2255" s="2"/>
    </row>
    <row r="2256" spans="1:10" x14ac:dyDescent="0.35">
      <c r="A2256" s="2" t="s">
        <v>1237</v>
      </c>
      <c r="B2256" s="2" t="s">
        <v>1407</v>
      </c>
      <c r="C2256" s="2" t="s">
        <v>12</v>
      </c>
      <c r="D2256" s="2" t="s">
        <v>1418</v>
      </c>
      <c r="E2256" s="2" t="s">
        <v>1420</v>
      </c>
      <c r="F2256" s="2" t="s">
        <v>189</v>
      </c>
      <c r="G2256" s="2"/>
      <c r="H2256" s="2"/>
      <c r="I2256" s="2"/>
      <c r="J2256" s="2"/>
    </row>
    <row r="2257" spans="1:10" s="21" customFormat="1" x14ac:dyDescent="0.35">
      <c r="A2257" s="2" t="s">
        <v>1237</v>
      </c>
      <c r="B2257" s="2" t="s">
        <v>1407</v>
      </c>
      <c r="C2257" s="2" t="s">
        <v>12</v>
      </c>
      <c r="D2257" s="2" t="s">
        <v>1421</v>
      </c>
      <c r="E2257" s="2" t="s">
        <v>198</v>
      </c>
      <c r="F2257" s="2" t="s">
        <v>65</v>
      </c>
      <c r="G2257" s="2"/>
      <c r="H2257" s="2"/>
      <c r="I2257" s="2"/>
      <c r="J2257" s="2"/>
    </row>
    <row r="2258" spans="1:10" s="21" customFormat="1" x14ac:dyDescent="0.35">
      <c r="A2258" s="2" t="s">
        <v>1237</v>
      </c>
      <c r="B2258" s="2" t="s">
        <v>1407</v>
      </c>
      <c r="C2258" s="2" t="s">
        <v>12</v>
      </c>
      <c r="D2258" s="2" t="s">
        <v>1421</v>
      </c>
      <c r="E2258" s="2" t="s">
        <v>18</v>
      </c>
      <c r="F2258" s="2" t="s">
        <v>19</v>
      </c>
      <c r="G2258" s="2" t="s">
        <v>20</v>
      </c>
      <c r="H2258" s="2" t="s">
        <v>1422</v>
      </c>
      <c r="I2258" s="2"/>
      <c r="J2258" s="2"/>
    </row>
    <row r="2259" spans="1:10" s="21" customFormat="1" x14ac:dyDescent="0.35">
      <c r="A2259" s="2" t="s">
        <v>1237</v>
      </c>
      <c r="B2259" s="2" t="s">
        <v>1407</v>
      </c>
      <c r="C2259" s="2" t="s">
        <v>12</v>
      </c>
      <c r="D2259" s="2" t="s">
        <v>1421</v>
      </c>
      <c r="E2259" s="2" t="s">
        <v>188</v>
      </c>
      <c r="F2259" s="2" t="s">
        <v>189</v>
      </c>
      <c r="G2259" s="2"/>
      <c r="H2259" s="2"/>
      <c r="I2259" s="2"/>
      <c r="J2259" s="2"/>
    </row>
    <row r="2260" spans="1:10" x14ac:dyDescent="0.35">
      <c r="A2260" s="2" t="s">
        <v>1237</v>
      </c>
      <c r="B2260" s="2" t="s">
        <v>1407</v>
      </c>
      <c r="C2260" s="2" t="s">
        <v>62</v>
      </c>
      <c r="D2260" s="2" t="s">
        <v>1423</v>
      </c>
      <c r="E2260" s="2" t="s">
        <v>317</v>
      </c>
      <c r="F2260" s="2" t="s">
        <v>318</v>
      </c>
      <c r="G2260" s="2"/>
      <c r="H2260" s="2"/>
      <c r="I2260" s="2"/>
      <c r="J2260" s="2"/>
    </row>
    <row r="2261" spans="1:10" x14ac:dyDescent="0.35">
      <c r="A2261" s="2" t="s">
        <v>1237</v>
      </c>
      <c r="B2261" s="2" t="s">
        <v>1407</v>
      </c>
      <c r="C2261" s="2" t="s">
        <v>62</v>
      </c>
      <c r="D2261" s="2" t="s">
        <v>1423</v>
      </c>
      <c r="E2261" s="2" t="s">
        <v>1051</v>
      </c>
      <c r="F2261" s="2" t="s">
        <v>318</v>
      </c>
      <c r="G2261" s="2"/>
      <c r="H2261" s="2"/>
      <c r="I2261" s="2"/>
      <c r="J2261" s="2"/>
    </row>
    <row r="2262" spans="1:10" s="21" customFormat="1" x14ac:dyDescent="0.35">
      <c r="A2262" s="2" t="s">
        <v>1237</v>
      </c>
      <c r="B2262" s="2" t="s">
        <v>1407</v>
      </c>
      <c r="C2262" s="2" t="s">
        <v>62</v>
      </c>
      <c r="D2262" s="2" t="s">
        <v>1423</v>
      </c>
      <c r="E2262" s="2" t="s">
        <v>333</v>
      </c>
      <c r="F2262" s="2" t="s">
        <v>334</v>
      </c>
      <c r="G2262" s="2"/>
      <c r="H2262" s="2"/>
      <c r="I2262" s="2"/>
      <c r="J2262" s="2"/>
    </row>
    <row r="2263" spans="1:10" x14ac:dyDescent="0.35">
      <c r="A2263" s="2" t="s">
        <v>1237</v>
      </c>
      <c r="B2263" s="2" t="s">
        <v>1407</v>
      </c>
      <c r="C2263" s="2" t="s">
        <v>62</v>
      </c>
      <c r="D2263" s="2" t="s">
        <v>1424</v>
      </c>
      <c r="E2263" s="2" t="s">
        <v>317</v>
      </c>
      <c r="F2263" s="2" t="s">
        <v>318</v>
      </c>
      <c r="G2263" s="2"/>
      <c r="H2263" s="2"/>
      <c r="I2263" s="2"/>
      <c r="J2263" s="2"/>
    </row>
    <row r="2264" spans="1:10" x14ac:dyDescent="0.35">
      <c r="A2264" s="2" t="s">
        <v>1237</v>
      </c>
      <c r="B2264" s="2" t="s">
        <v>1407</v>
      </c>
      <c r="C2264" s="2" t="s">
        <v>62</v>
      </c>
      <c r="D2264" s="2" t="s">
        <v>1424</v>
      </c>
      <c r="E2264" s="2" t="s">
        <v>87</v>
      </c>
      <c r="F2264" s="2" t="s">
        <v>75</v>
      </c>
      <c r="G2264" s="2"/>
      <c r="H2264" s="2"/>
      <c r="I2264" s="2"/>
      <c r="J2264" s="2"/>
    </row>
    <row r="2265" spans="1:10" x14ac:dyDescent="0.35">
      <c r="A2265" s="2" t="s">
        <v>1237</v>
      </c>
      <c r="B2265" s="2" t="s">
        <v>1407</v>
      </c>
      <c r="C2265" s="2" t="s">
        <v>62</v>
      </c>
      <c r="D2265" s="2" t="s">
        <v>1424</v>
      </c>
      <c r="E2265" s="2" t="s">
        <v>1051</v>
      </c>
      <c r="F2265" s="2" t="s">
        <v>318</v>
      </c>
      <c r="G2265" s="2"/>
      <c r="H2265" s="2"/>
      <c r="I2265" s="2"/>
      <c r="J2265" s="2"/>
    </row>
    <row r="2266" spans="1:10" s="21" customFormat="1" x14ac:dyDescent="0.35">
      <c r="A2266" s="2" t="s">
        <v>1237</v>
      </c>
      <c r="B2266" s="2" t="s">
        <v>1407</v>
      </c>
      <c r="C2266" s="2" t="s">
        <v>62</v>
      </c>
      <c r="D2266" s="2" t="s">
        <v>1424</v>
      </c>
      <c r="E2266" s="2" t="s">
        <v>333</v>
      </c>
      <c r="F2266" s="2" t="s">
        <v>334</v>
      </c>
      <c r="G2266" s="2"/>
      <c r="H2266" s="2"/>
      <c r="I2266" s="2"/>
      <c r="J2266" s="2"/>
    </row>
    <row r="2267" spans="1:10" x14ac:dyDescent="0.35">
      <c r="A2267" s="2" t="s">
        <v>1237</v>
      </c>
      <c r="B2267" s="2" t="s">
        <v>1407</v>
      </c>
      <c r="C2267" s="2" t="s">
        <v>62</v>
      </c>
      <c r="D2267" s="2" t="s">
        <v>1425</v>
      </c>
      <c r="E2267" s="2" t="s">
        <v>196</v>
      </c>
      <c r="F2267" s="2" t="s">
        <v>197</v>
      </c>
      <c r="G2267" s="2"/>
      <c r="H2267" s="2"/>
      <c r="I2267" s="2"/>
      <c r="J2267" s="2"/>
    </row>
    <row r="2268" spans="1:10" x14ac:dyDescent="0.35">
      <c r="A2268" s="2" t="s">
        <v>1237</v>
      </c>
      <c r="B2268" s="2" t="s">
        <v>1407</v>
      </c>
      <c r="C2268" s="2" t="s">
        <v>62</v>
      </c>
      <c r="D2268" s="2" t="s">
        <v>1425</v>
      </c>
      <c r="E2268" s="2" t="s">
        <v>317</v>
      </c>
      <c r="F2268" s="2" t="s">
        <v>318</v>
      </c>
      <c r="G2268" s="2"/>
      <c r="H2268" s="2"/>
      <c r="I2268" s="2"/>
      <c r="J2268" s="2"/>
    </row>
    <row r="2269" spans="1:10" x14ac:dyDescent="0.35">
      <c r="A2269" s="2" t="s">
        <v>1237</v>
      </c>
      <c r="B2269" s="2" t="s">
        <v>1407</v>
      </c>
      <c r="C2269" s="2" t="s">
        <v>62</v>
      </c>
      <c r="D2269" s="2" t="s">
        <v>1425</v>
      </c>
      <c r="E2269" s="2" t="s">
        <v>319</v>
      </c>
      <c r="F2269" s="2" t="s">
        <v>320</v>
      </c>
      <c r="G2269" s="2"/>
      <c r="H2269" s="2"/>
      <c r="I2269" s="2"/>
      <c r="J2269" s="2"/>
    </row>
    <row r="2270" spans="1:10" x14ac:dyDescent="0.35">
      <c r="A2270" s="2" t="s">
        <v>1237</v>
      </c>
      <c r="B2270" s="2" t="s">
        <v>1407</v>
      </c>
      <c r="C2270" s="2" t="s">
        <v>62</v>
      </c>
      <c r="D2270" s="2" t="s">
        <v>1425</v>
      </c>
      <c r="E2270" s="2" t="s">
        <v>1050</v>
      </c>
      <c r="F2270" s="2" t="s">
        <v>75</v>
      </c>
      <c r="G2270" s="2"/>
      <c r="H2270" s="2"/>
      <c r="I2270" s="2"/>
      <c r="J2270" s="2"/>
    </row>
    <row r="2271" spans="1:10" x14ac:dyDescent="0.35">
      <c r="A2271" s="2" t="s">
        <v>1237</v>
      </c>
      <c r="B2271" s="2" t="s">
        <v>1407</v>
      </c>
      <c r="C2271" s="2" t="s">
        <v>62</v>
      </c>
      <c r="D2271" s="2" t="s">
        <v>1425</v>
      </c>
      <c r="E2271" s="2" t="s">
        <v>321</v>
      </c>
      <c r="F2271" s="2" t="s">
        <v>321</v>
      </c>
      <c r="G2271" s="2"/>
      <c r="H2271" s="2"/>
      <c r="I2271" s="2"/>
      <c r="J2271" s="2"/>
    </row>
    <row r="2272" spans="1:10" x14ac:dyDescent="0.35">
      <c r="A2272" s="2" t="s">
        <v>1237</v>
      </c>
      <c r="B2272" s="2" t="s">
        <v>1407</v>
      </c>
      <c r="C2272" s="2" t="s">
        <v>62</v>
      </c>
      <c r="D2272" s="2" t="s">
        <v>1425</v>
      </c>
      <c r="E2272" s="2" t="s">
        <v>322</v>
      </c>
      <c r="F2272" s="2" t="s">
        <v>246</v>
      </c>
      <c r="G2272" s="2"/>
      <c r="H2272" s="2"/>
      <c r="I2272" s="2"/>
      <c r="J2272" s="2"/>
    </row>
    <row r="2273" spans="1:10" x14ac:dyDescent="0.35">
      <c r="A2273" s="2" t="s">
        <v>1237</v>
      </c>
      <c r="B2273" s="2" t="s">
        <v>1407</v>
      </c>
      <c r="C2273" s="2" t="s">
        <v>62</v>
      </c>
      <c r="D2273" s="2" t="s">
        <v>1425</v>
      </c>
      <c r="E2273" s="2" t="s">
        <v>323</v>
      </c>
      <c r="F2273" s="2" t="s">
        <v>246</v>
      </c>
      <c r="G2273" s="2"/>
      <c r="H2273" s="2"/>
      <c r="I2273" s="2"/>
      <c r="J2273" s="2"/>
    </row>
    <row r="2274" spans="1:10" x14ac:dyDescent="0.35">
      <c r="A2274" s="2" t="s">
        <v>1237</v>
      </c>
      <c r="B2274" s="2" t="s">
        <v>1407</v>
      </c>
      <c r="C2274" s="2" t="s">
        <v>62</v>
      </c>
      <c r="D2274" s="2" t="s">
        <v>1425</v>
      </c>
      <c r="E2274" s="2" t="s">
        <v>324</v>
      </c>
      <c r="F2274" s="2" t="s">
        <v>246</v>
      </c>
      <c r="G2274" s="2"/>
      <c r="H2274" s="2"/>
      <c r="I2274" s="2"/>
      <c r="J2274" s="2"/>
    </row>
    <row r="2275" spans="1:10" x14ac:dyDescent="0.35">
      <c r="A2275" s="2" t="s">
        <v>1237</v>
      </c>
      <c r="B2275" s="2" t="s">
        <v>1407</v>
      </c>
      <c r="C2275" s="2" t="s">
        <v>62</v>
      </c>
      <c r="D2275" s="2" t="s">
        <v>1425</v>
      </c>
      <c r="E2275" s="2" t="s">
        <v>325</v>
      </c>
      <c r="F2275" s="2" t="s">
        <v>326</v>
      </c>
      <c r="G2275" s="2"/>
      <c r="H2275" s="2"/>
      <c r="I2275" s="2"/>
      <c r="J2275" s="2"/>
    </row>
    <row r="2276" spans="1:10" x14ac:dyDescent="0.35">
      <c r="A2276" s="2" t="s">
        <v>1237</v>
      </c>
      <c r="B2276" s="2" t="s">
        <v>1407</v>
      </c>
      <c r="C2276" s="2" t="s">
        <v>62</v>
      </c>
      <c r="D2276" s="2" t="s">
        <v>1425</v>
      </c>
      <c r="E2276" s="2" t="s">
        <v>327</v>
      </c>
      <c r="F2276" s="2" t="s">
        <v>328</v>
      </c>
      <c r="G2276" s="2"/>
      <c r="H2276" s="2"/>
      <c r="I2276" s="2"/>
      <c r="J2276" s="2"/>
    </row>
    <row r="2277" spans="1:10" x14ac:dyDescent="0.35">
      <c r="A2277" s="2" t="s">
        <v>1237</v>
      </c>
      <c r="B2277" s="2" t="s">
        <v>1407</v>
      </c>
      <c r="C2277" s="2" t="s">
        <v>62</v>
      </c>
      <c r="D2277" s="2" t="s">
        <v>1425</v>
      </c>
      <c r="E2277" s="2" t="s">
        <v>329</v>
      </c>
      <c r="F2277" s="2" t="s">
        <v>330</v>
      </c>
      <c r="G2277" s="2"/>
      <c r="H2277" s="2"/>
      <c r="I2277" s="2"/>
      <c r="J2277" s="2"/>
    </row>
    <row r="2278" spans="1:10" x14ac:dyDescent="0.35">
      <c r="A2278" s="2" t="s">
        <v>1237</v>
      </c>
      <c r="B2278" s="2" t="s">
        <v>1407</v>
      </c>
      <c r="C2278" s="2" t="s">
        <v>62</v>
      </c>
      <c r="D2278" s="2" t="s">
        <v>1425</v>
      </c>
      <c r="E2278" s="2" t="s">
        <v>331</v>
      </c>
      <c r="F2278" s="2" t="s">
        <v>332</v>
      </c>
      <c r="G2278" s="2"/>
      <c r="H2278" s="2"/>
      <c r="I2278" s="2"/>
      <c r="J2278" s="2"/>
    </row>
    <row r="2279" spans="1:10" x14ac:dyDescent="0.35">
      <c r="A2279" s="2" t="s">
        <v>1237</v>
      </c>
      <c r="B2279" s="2" t="s">
        <v>1407</v>
      </c>
      <c r="C2279" s="2" t="s">
        <v>62</v>
      </c>
      <c r="D2279" s="2" t="s">
        <v>1425</v>
      </c>
      <c r="E2279" s="2" t="s">
        <v>333</v>
      </c>
      <c r="F2279" s="2" t="s">
        <v>334</v>
      </c>
      <c r="G2279" s="2"/>
      <c r="H2279" s="2"/>
      <c r="I2279" s="2"/>
      <c r="J2279" s="2"/>
    </row>
    <row r="2280" spans="1:10" x14ac:dyDescent="0.35">
      <c r="A2280" s="2" t="s">
        <v>1237</v>
      </c>
      <c r="B2280" s="2" t="s">
        <v>1407</v>
      </c>
      <c r="C2280" s="2" t="s">
        <v>62</v>
      </c>
      <c r="D2280" s="2" t="s">
        <v>1425</v>
      </c>
      <c r="E2280" s="2" t="s">
        <v>335</v>
      </c>
      <c r="F2280" s="2" t="s">
        <v>336</v>
      </c>
      <c r="G2280" s="2"/>
      <c r="H2280" s="2"/>
      <c r="I2280" s="2"/>
      <c r="J2280" s="2"/>
    </row>
    <row r="2281" spans="1:10" x14ac:dyDescent="0.35">
      <c r="A2281" s="2" t="s">
        <v>1237</v>
      </c>
      <c r="B2281" s="2" t="s">
        <v>1407</v>
      </c>
      <c r="C2281" s="2" t="s">
        <v>62</v>
      </c>
      <c r="D2281" s="2" t="s">
        <v>1425</v>
      </c>
      <c r="E2281" s="2" t="s">
        <v>337</v>
      </c>
      <c r="F2281" s="2" t="s">
        <v>338</v>
      </c>
      <c r="G2281" s="2"/>
      <c r="H2281" s="2"/>
      <c r="I2281" s="2"/>
      <c r="J2281" s="2"/>
    </row>
    <row r="2282" spans="1:10" x14ac:dyDescent="0.35">
      <c r="A2282" s="2" t="s">
        <v>1237</v>
      </c>
      <c r="B2282" s="2" t="s">
        <v>1407</v>
      </c>
      <c r="C2282" s="2" t="s">
        <v>62</v>
      </c>
      <c r="D2282" s="2" t="s">
        <v>1425</v>
      </c>
      <c r="E2282" s="2" t="s">
        <v>339</v>
      </c>
      <c r="F2282" s="2" t="s">
        <v>340</v>
      </c>
      <c r="G2282" s="2"/>
      <c r="H2282" s="2"/>
      <c r="I2282" s="2"/>
      <c r="J2282" s="2"/>
    </row>
    <row r="2283" spans="1:10" x14ac:dyDescent="0.35">
      <c r="A2283" s="2" t="s">
        <v>1237</v>
      </c>
      <c r="B2283" s="2" t="s">
        <v>1407</v>
      </c>
      <c r="C2283" s="2" t="s">
        <v>62</v>
      </c>
      <c r="D2283" s="2" t="s">
        <v>1425</v>
      </c>
      <c r="E2283" s="2" t="s">
        <v>341</v>
      </c>
      <c r="F2283" s="2" t="s">
        <v>342</v>
      </c>
      <c r="G2283" s="2"/>
      <c r="H2283" s="2"/>
      <c r="I2283" s="2"/>
      <c r="J2283" s="2"/>
    </row>
    <row r="2284" spans="1:10" x14ac:dyDescent="0.35">
      <c r="A2284" s="2" t="s">
        <v>1237</v>
      </c>
      <c r="B2284" s="2" t="s">
        <v>1407</v>
      </c>
      <c r="C2284" s="2" t="s">
        <v>62</v>
      </c>
      <c r="D2284" s="2" t="s">
        <v>1425</v>
      </c>
      <c r="E2284" s="2" t="s">
        <v>343</v>
      </c>
      <c r="F2284" s="2" t="s">
        <v>344</v>
      </c>
      <c r="G2284" s="2"/>
      <c r="H2284" s="2"/>
      <c r="I2284" s="2"/>
      <c r="J2284" s="2"/>
    </row>
    <row r="2285" spans="1:10" x14ac:dyDescent="0.35">
      <c r="A2285" s="2" t="s">
        <v>1237</v>
      </c>
      <c r="B2285" s="2" t="s">
        <v>1407</v>
      </c>
      <c r="C2285" s="2" t="s">
        <v>62</v>
      </c>
      <c r="D2285" s="2" t="s">
        <v>1425</v>
      </c>
      <c r="E2285" s="2" t="s">
        <v>345</v>
      </c>
      <c r="F2285" s="2" t="s">
        <v>346</v>
      </c>
      <c r="G2285" s="2"/>
      <c r="H2285" s="2"/>
      <c r="I2285" s="2"/>
      <c r="J2285" s="2"/>
    </row>
    <row r="2286" spans="1:10" x14ac:dyDescent="0.35">
      <c r="A2286" s="2" t="s">
        <v>1237</v>
      </c>
      <c r="B2286" s="2" t="s">
        <v>1407</v>
      </c>
      <c r="C2286" s="2" t="s">
        <v>62</v>
      </c>
      <c r="D2286" s="2" t="s">
        <v>1426</v>
      </c>
      <c r="E2286" s="2" t="s">
        <v>196</v>
      </c>
      <c r="F2286" s="2" t="s">
        <v>197</v>
      </c>
      <c r="G2286" s="2"/>
      <c r="H2286" s="2"/>
      <c r="I2286" s="2"/>
      <c r="J2286" s="2"/>
    </row>
    <row r="2287" spans="1:10" x14ac:dyDescent="0.35">
      <c r="A2287" s="2" t="s">
        <v>1237</v>
      </c>
      <c r="B2287" s="2" t="s">
        <v>1407</v>
      </c>
      <c r="C2287" s="2" t="s">
        <v>62</v>
      </c>
      <c r="D2287" s="2" t="s">
        <v>1426</v>
      </c>
      <c r="E2287" s="2" t="s">
        <v>198</v>
      </c>
      <c r="F2287" s="2" t="s">
        <v>65</v>
      </c>
      <c r="G2287" s="2"/>
      <c r="H2287" s="2"/>
      <c r="I2287" s="2"/>
      <c r="J2287" s="2"/>
    </row>
    <row r="2288" spans="1:10" x14ac:dyDescent="0.35">
      <c r="A2288" s="2" t="s">
        <v>1237</v>
      </c>
      <c r="B2288" s="2" t="s">
        <v>1407</v>
      </c>
      <c r="C2288" s="2" t="s">
        <v>62</v>
      </c>
      <c r="D2288" s="2" t="s">
        <v>1426</v>
      </c>
      <c r="E2288" s="2" t="s">
        <v>319</v>
      </c>
      <c r="F2288" s="2" t="s">
        <v>320</v>
      </c>
      <c r="G2288" s="2"/>
      <c r="H2288" s="2"/>
      <c r="I2288" s="2"/>
      <c r="J2288" s="2"/>
    </row>
    <row r="2289" spans="1:10" x14ac:dyDescent="0.35">
      <c r="A2289" s="2" t="s">
        <v>1237</v>
      </c>
      <c r="B2289" s="2" t="s">
        <v>1407</v>
      </c>
      <c r="C2289" s="2" t="s">
        <v>62</v>
      </c>
      <c r="D2289" s="2" t="s">
        <v>1426</v>
      </c>
      <c r="E2289" s="2" t="s">
        <v>321</v>
      </c>
      <c r="F2289" s="2" t="s">
        <v>321</v>
      </c>
      <c r="G2289" s="2"/>
      <c r="H2289" s="2"/>
      <c r="I2289" s="2"/>
      <c r="J2289" s="2"/>
    </row>
    <row r="2290" spans="1:10" x14ac:dyDescent="0.35">
      <c r="A2290" s="2" t="s">
        <v>1237</v>
      </c>
      <c r="B2290" s="2" t="s">
        <v>1407</v>
      </c>
      <c r="C2290" s="2" t="s">
        <v>62</v>
      </c>
      <c r="D2290" s="2" t="s">
        <v>1426</v>
      </c>
      <c r="E2290" s="2" t="s">
        <v>322</v>
      </c>
      <c r="F2290" s="2" t="s">
        <v>246</v>
      </c>
      <c r="G2290" s="2"/>
      <c r="H2290" s="2"/>
      <c r="I2290" s="2"/>
      <c r="J2290" s="2"/>
    </row>
    <row r="2291" spans="1:10" x14ac:dyDescent="0.35">
      <c r="A2291" s="2" t="s">
        <v>1237</v>
      </c>
      <c r="B2291" s="2" t="s">
        <v>1407</v>
      </c>
      <c r="C2291" s="2" t="s">
        <v>62</v>
      </c>
      <c r="D2291" s="2" t="s">
        <v>1426</v>
      </c>
      <c r="E2291" s="2" t="s">
        <v>323</v>
      </c>
      <c r="F2291" s="2" t="s">
        <v>246</v>
      </c>
      <c r="G2291" s="2"/>
      <c r="H2291" s="2"/>
      <c r="I2291" s="2"/>
      <c r="J2291" s="2"/>
    </row>
    <row r="2292" spans="1:10" x14ac:dyDescent="0.35">
      <c r="A2292" s="2" t="s">
        <v>1237</v>
      </c>
      <c r="B2292" s="2" t="s">
        <v>1407</v>
      </c>
      <c r="C2292" s="2" t="s">
        <v>62</v>
      </c>
      <c r="D2292" s="2" t="s">
        <v>1426</v>
      </c>
      <c r="E2292" s="2" t="s">
        <v>324</v>
      </c>
      <c r="F2292" s="2" t="s">
        <v>246</v>
      </c>
      <c r="G2292" s="2"/>
      <c r="H2292" s="2"/>
      <c r="I2292" s="2"/>
      <c r="J2292" s="2"/>
    </row>
    <row r="2293" spans="1:10" x14ac:dyDescent="0.35">
      <c r="A2293" s="2" t="s">
        <v>1237</v>
      </c>
      <c r="B2293" s="2" t="s">
        <v>1407</v>
      </c>
      <c r="C2293" s="2" t="s">
        <v>62</v>
      </c>
      <c r="D2293" s="2" t="s">
        <v>1426</v>
      </c>
      <c r="E2293" s="2" t="s">
        <v>325</v>
      </c>
      <c r="F2293" s="2" t="s">
        <v>326</v>
      </c>
      <c r="G2293" s="2"/>
      <c r="H2293" s="2"/>
      <c r="I2293" s="2"/>
      <c r="J2293" s="2"/>
    </row>
    <row r="2294" spans="1:10" x14ac:dyDescent="0.35">
      <c r="A2294" s="2" t="s">
        <v>1237</v>
      </c>
      <c r="B2294" s="2" t="s">
        <v>1407</v>
      </c>
      <c r="C2294" s="2" t="s">
        <v>62</v>
      </c>
      <c r="D2294" s="2" t="s">
        <v>1426</v>
      </c>
      <c r="E2294" s="2" t="s">
        <v>327</v>
      </c>
      <c r="F2294" s="2" t="s">
        <v>328</v>
      </c>
      <c r="G2294" s="2"/>
      <c r="H2294" s="2"/>
      <c r="I2294" s="2"/>
      <c r="J2294" s="2"/>
    </row>
    <row r="2295" spans="1:10" x14ac:dyDescent="0.35">
      <c r="A2295" s="2" t="s">
        <v>1237</v>
      </c>
      <c r="B2295" s="2" t="s">
        <v>1407</v>
      </c>
      <c r="C2295" s="2" t="s">
        <v>62</v>
      </c>
      <c r="D2295" s="2" t="s">
        <v>1426</v>
      </c>
      <c r="E2295" s="2" t="s">
        <v>329</v>
      </c>
      <c r="F2295" s="2" t="s">
        <v>330</v>
      </c>
      <c r="G2295" s="2"/>
      <c r="H2295" s="2"/>
      <c r="I2295" s="2"/>
      <c r="J2295" s="2"/>
    </row>
    <row r="2296" spans="1:10" x14ac:dyDescent="0.35">
      <c r="A2296" s="2" t="s">
        <v>1237</v>
      </c>
      <c r="B2296" s="2" t="s">
        <v>1407</v>
      </c>
      <c r="C2296" s="2" t="s">
        <v>62</v>
      </c>
      <c r="D2296" s="2" t="s">
        <v>1426</v>
      </c>
      <c r="E2296" s="2" t="s">
        <v>331</v>
      </c>
      <c r="F2296" s="2" t="s">
        <v>332</v>
      </c>
      <c r="G2296" s="2"/>
      <c r="H2296" s="2"/>
      <c r="I2296" s="2"/>
      <c r="J2296" s="2"/>
    </row>
    <row r="2297" spans="1:10" x14ac:dyDescent="0.35">
      <c r="A2297" s="2" t="s">
        <v>1237</v>
      </c>
      <c r="B2297" s="2" t="s">
        <v>1407</v>
      </c>
      <c r="C2297" s="2" t="s">
        <v>62</v>
      </c>
      <c r="D2297" s="2" t="s">
        <v>1426</v>
      </c>
      <c r="E2297" s="2" t="s">
        <v>333</v>
      </c>
      <c r="F2297" s="2" t="s">
        <v>334</v>
      </c>
      <c r="G2297" s="2"/>
      <c r="H2297" s="2"/>
      <c r="I2297" s="2"/>
      <c r="J2297" s="2"/>
    </row>
    <row r="2298" spans="1:10" x14ac:dyDescent="0.35">
      <c r="A2298" s="2" t="s">
        <v>1237</v>
      </c>
      <c r="B2298" s="2" t="s">
        <v>1407</v>
      </c>
      <c r="C2298" s="2" t="s">
        <v>62</v>
      </c>
      <c r="D2298" s="2" t="s">
        <v>1426</v>
      </c>
      <c r="E2298" s="2" t="s">
        <v>1297</v>
      </c>
      <c r="F2298" s="2" t="s">
        <v>533</v>
      </c>
      <c r="G2298" s="2"/>
      <c r="H2298" s="2"/>
      <c r="I2298" s="2"/>
      <c r="J2298" s="2"/>
    </row>
    <row r="2299" spans="1:10" x14ac:dyDescent="0.35">
      <c r="A2299" s="2" t="s">
        <v>1237</v>
      </c>
      <c r="B2299" s="2" t="s">
        <v>1407</v>
      </c>
      <c r="C2299" s="2" t="s">
        <v>62</v>
      </c>
      <c r="D2299" s="2" t="s">
        <v>1426</v>
      </c>
      <c r="E2299" s="2" t="s">
        <v>335</v>
      </c>
      <c r="F2299" s="2" t="s">
        <v>336</v>
      </c>
      <c r="G2299" s="2"/>
      <c r="H2299" s="2"/>
      <c r="I2299" s="2"/>
      <c r="J2299" s="2"/>
    </row>
    <row r="2300" spans="1:10" x14ac:dyDescent="0.35">
      <c r="A2300" s="2" t="s">
        <v>1237</v>
      </c>
      <c r="B2300" s="2" t="s">
        <v>1407</v>
      </c>
      <c r="C2300" s="2" t="s">
        <v>62</v>
      </c>
      <c r="D2300" s="2" t="s">
        <v>1426</v>
      </c>
      <c r="E2300" s="2" t="s">
        <v>337</v>
      </c>
      <c r="F2300" s="2" t="s">
        <v>338</v>
      </c>
      <c r="G2300" s="2"/>
      <c r="H2300" s="2"/>
      <c r="I2300" s="2"/>
      <c r="J2300" s="2"/>
    </row>
    <row r="2301" spans="1:10" x14ac:dyDescent="0.35">
      <c r="A2301" s="2" t="s">
        <v>1237</v>
      </c>
      <c r="B2301" s="2" t="s">
        <v>1407</v>
      </c>
      <c r="C2301" s="2" t="s">
        <v>62</v>
      </c>
      <c r="D2301" s="2" t="s">
        <v>1426</v>
      </c>
      <c r="E2301" s="2" t="s">
        <v>339</v>
      </c>
      <c r="F2301" s="2" t="s">
        <v>340</v>
      </c>
      <c r="G2301" s="2"/>
      <c r="H2301" s="2"/>
      <c r="I2301" s="2"/>
      <c r="J2301" s="2"/>
    </row>
    <row r="2302" spans="1:10" x14ac:dyDescent="0.35">
      <c r="A2302" s="2" t="s">
        <v>1237</v>
      </c>
      <c r="B2302" s="2" t="s">
        <v>1407</v>
      </c>
      <c r="C2302" s="2" t="s">
        <v>62</v>
      </c>
      <c r="D2302" s="2" t="s">
        <v>1426</v>
      </c>
      <c r="E2302" s="2" t="s">
        <v>341</v>
      </c>
      <c r="F2302" s="2" t="s">
        <v>342</v>
      </c>
      <c r="G2302" s="2"/>
      <c r="H2302" s="2"/>
      <c r="I2302" s="2"/>
      <c r="J2302" s="2"/>
    </row>
    <row r="2303" spans="1:10" x14ac:dyDescent="0.35">
      <c r="A2303" s="2" t="s">
        <v>1237</v>
      </c>
      <c r="B2303" s="2" t="s">
        <v>1407</v>
      </c>
      <c r="C2303" s="2" t="s">
        <v>62</v>
      </c>
      <c r="D2303" s="2" t="s">
        <v>1426</v>
      </c>
      <c r="E2303" s="2" t="s">
        <v>343</v>
      </c>
      <c r="F2303" s="2" t="s">
        <v>344</v>
      </c>
      <c r="G2303" s="2"/>
      <c r="H2303" s="2"/>
      <c r="I2303" s="2"/>
      <c r="J2303" s="2"/>
    </row>
    <row r="2304" spans="1:10" x14ac:dyDescent="0.35">
      <c r="A2304" s="2" t="s">
        <v>1237</v>
      </c>
      <c r="B2304" s="2" t="s">
        <v>1407</v>
      </c>
      <c r="C2304" s="2" t="s">
        <v>62</v>
      </c>
      <c r="D2304" s="2" t="s">
        <v>1426</v>
      </c>
      <c r="E2304" s="2" t="s">
        <v>345</v>
      </c>
      <c r="F2304" s="2" t="s">
        <v>346</v>
      </c>
      <c r="G2304" s="2"/>
      <c r="H2304" s="2"/>
      <c r="I2304" s="2"/>
      <c r="J2304" s="2"/>
    </row>
    <row r="2305" spans="1:10" x14ac:dyDescent="0.35">
      <c r="A2305" s="2" t="s">
        <v>1237</v>
      </c>
      <c r="B2305" s="2" t="s">
        <v>1407</v>
      </c>
      <c r="C2305" s="2" t="s">
        <v>62</v>
      </c>
      <c r="D2305" s="2" t="s">
        <v>1427</v>
      </c>
      <c r="E2305" s="2" t="s">
        <v>196</v>
      </c>
      <c r="F2305" s="2" t="s">
        <v>197</v>
      </c>
      <c r="G2305" s="2" t="s">
        <v>46</v>
      </c>
      <c r="H2305" s="2" t="s">
        <v>1428</v>
      </c>
      <c r="I2305" s="2"/>
      <c r="J2305" s="2"/>
    </row>
    <row r="2306" spans="1:10" x14ac:dyDescent="0.35">
      <c r="A2306" s="2" t="s">
        <v>1237</v>
      </c>
      <c r="B2306" s="2" t="s">
        <v>1407</v>
      </c>
      <c r="C2306" s="2" t="s">
        <v>62</v>
      </c>
      <c r="D2306" s="2" t="s">
        <v>1427</v>
      </c>
      <c r="E2306" s="2" t="s">
        <v>319</v>
      </c>
      <c r="F2306" s="2" t="s">
        <v>320</v>
      </c>
      <c r="G2306" s="2" t="s">
        <v>46</v>
      </c>
      <c r="H2306" s="2" t="s">
        <v>1428</v>
      </c>
      <c r="I2306" s="2"/>
      <c r="J2306" s="2"/>
    </row>
    <row r="2307" spans="1:10" x14ac:dyDescent="0.35">
      <c r="A2307" s="2" t="s">
        <v>1237</v>
      </c>
      <c r="B2307" s="2" t="s">
        <v>1407</v>
      </c>
      <c r="C2307" s="2" t="s">
        <v>62</v>
      </c>
      <c r="D2307" s="2" t="s">
        <v>1427</v>
      </c>
      <c r="E2307" s="2" t="s">
        <v>322</v>
      </c>
      <c r="F2307" s="2" t="s">
        <v>246</v>
      </c>
      <c r="G2307" s="2" t="s">
        <v>46</v>
      </c>
      <c r="H2307" s="2" t="s">
        <v>1428</v>
      </c>
      <c r="I2307" s="2"/>
      <c r="J2307" s="2"/>
    </row>
    <row r="2308" spans="1:10" x14ac:dyDescent="0.35">
      <c r="A2308" s="2" t="s">
        <v>1237</v>
      </c>
      <c r="B2308" s="2" t="s">
        <v>1407</v>
      </c>
      <c r="C2308" s="2" t="s">
        <v>62</v>
      </c>
      <c r="D2308" s="2" t="s">
        <v>1427</v>
      </c>
      <c r="E2308" s="2" t="s">
        <v>323</v>
      </c>
      <c r="F2308" s="2" t="s">
        <v>246</v>
      </c>
      <c r="G2308" s="2" t="s">
        <v>46</v>
      </c>
      <c r="H2308" s="2" t="s">
        <v>1428</v>
      </c>
      <c r="I2308" s="2"/>
      <c r="J2308" s="2"/>
    </row>
    <row r="2309" spans="1:10" x14ac:dyDescent="0.35">
      <c r="A2309" s="2" t="s">
        <v>1237</v>
      </c>
      <c r="B2309" s="2" t="s">
        <v>1407</v>
      </c>
      <c r="C2309" s="2" t="s">
        <v>62</v>
      </c>
      <c r="D2309" s="2" t="s">
        <v>1427</v>
      </c>
      <c r="E2309" s="2" t="s">
        <v>324</v>
      </c>
      <c r="F2309" s="2" t="s">
        <v>246</v>
      </c>
      <c r="G2309" s="2" t="s">
        <v>46</v>
      </c>
      <c r="H2309" s="2" t="s">
        <v>1428</v>
      </c>
      <c r="I2309" s="2"/>
      <c r="J2309" s="2"/>
    </row>
    <row r="2310" spans="1:10" x14ac:dyDescent="0.35">
      <c r="A2310" s="2" t="s">
        <v>1237</v>
      </c>
      <c r="B2310" s="2" t="s">
        <v>1407</v>
      </c>
      <c r="C2310" s="2" t="s">
        <v>62</v>
      </c>
      <c r="D2310" s="2" t="s">
        <v>1427</v>
      </c>
      <c r="E2310" s="2" t="s">
        <v>325</v>
      </c>
      <c r="F2310" s="2" t="s">
        <v>326</v>
      </c>
      <c r="G2310" s="2" t="s">
        <v>46</v>
      </c>
      <c r="H2310" s="2" t="s">
        <v>1428</v>
      </c>
      <c r="I2310" s="2"/>
      <c r="J2310" s="2"/>
    </row>
    <row r="2311" spans="1:10" x14ac:dyDescent="0.35">
      <c r="A2311" s="2" t="s">
        <v>1237</v>
      </c>
      <c r="B2311" s="2" t="s">
        <v>1407</v>
      </c>
      <c r="C2311" s="2" t="s">
        <v>62</v>
      </c>
      <c r="D2311" s="2" t="s">
        <v>1427</v>
      </c>
      <c r="E2311" s="2" t="s">
        <v>327</v>
      </c>
      <c r="F2311" s="2" t="s">
        <v>328</v>
      </c>
      <c r="G2311" s="2" t="s">
        <v>46</v>
      </c>
      <c r="H2311" s="2" t="s">
        <v>1428</v>
      </c>
      <c r="I2311" s="2"/>
      <c r="J2311" s="2"/>
    </row>
    <row r="2312" spans="1:10" x14ac:dyDescent="0.35">
      <c r="A2312" s="2" t="s">
        <v>1237</v>
      </c>
      <c r="B2312" s="2" t="s">
        <v>1407</v>
      </c>
      <c r="C2312" s="2" t="s">
        <v>62</v>
      </c>
      <c r="D2312" s="2" t="s">
        <v>1427</v>
      </c>
      <c r="E2312" s="2" t="s">
        <v>329</v>
      </c>
      <c r="F2312" s="2" t="s">
        <v>330</v>
      </c>
      <c r="G2312" s="2" t="s">
        <v>46</v>
      </c>
      <c r="H2312" s="2" t="s">
        <v>1428</v>
      </c>
      <c r="I2312" s="2"/>
      <c r="J2312" s="2"/>
    </row>
    <row r="2313" spans="1:10" x14ac:dyDescent="0.35">
      <c r="A2313" s="2" t="s">
        <v>1237</v>
      </c>
      <c r="B2313" s="2" t="s">
        <v>1407</v>
      </c>
      <c r="C2313" s="2" t="s">
        <v>62</v>
      </c>
      <c r="D2313" s="2" t="s">
        <v>1427</v>
      </c>
      <c r="E2313" s="2" t="s">
        <v>331</v>
      </c>
      <c r="F2313" s="2" t="s">
        <v>332</v>
      </c>
      <c r="G2313" s="2" t="s">
        <v>46</v>
      </c>
      <c r="H2313" s="2" t="s">
        <v>1428</v>
      </c>
      <c r="I2313" s="2"/>
      <c r="J2313" s="2"/>
    </row>
    <row r="2314" spans="1:10" x14ac:dyDescent="0.35">
      <c r="A2314" s="2" t="s">
        <v>1237</v>
      </c>
      <c r="B2314" s="2" t="s">
        <v>1407</v>
      </c>
      <c r="C2314" s="2" t="s">
        <v>62</v>
      </c>
      <c r="D2314" s="2" t="s">
        <v>1427</v>
      </c>
      <c r="E2314" s="2" t="s">
        <v>333</v>
      </c>
      <c r="F2314" s="2" t="s">
        <v>334</v>
      </c>
      <c r="G2314" s="2" t="s">
        <v>46</v>
      </c>
      <c r="H2314" s="2" t="s">
        <v>1428</v>
      </c>
      <c r="I2314" s="2"/>
      <c r="J2314" s="2"/>
    </row>
    <row r="2315" spans="1:10" x14ac:dyDescent="0.35">
      <c r="A2315" s="2" t="s">
        <v>1237</v>
      </c>
      <c r="B2315" s="2" t="s">
        <v>1407</v>
      </c>
      <c r="C2315" s="2" t="s">
        <v>62</v>
      </c>
      <c r="D2315" s="2" t="s">
        <v>1427</v>
      </c>
      <c r="E2315" s="2" t="s">
        <v>1297</v>
      </c>
      <c r="F2315" s="2" t="s">
        <v>533</v>
      </c>
      <c r="G2315" s="2" t="s">
        <v>46</v>
      </c>
      <c r="H2315" s="2" t="s">
        <v>1428</v>
      </c>
      <c r="I2315" s="2"/>
      <c r="J2315" s="2"/>
    </row>
    <row r="2316" spans="1:10" x14ac:dyDescent="0.35">
      <c r="A2316" s="2" t="s">
        <v>1237</v>
      </c>
      <c r="B2316" s="2" t="s">
        <v>1407</v>
      </c>
      <c r="C2316" s="2" t="s">
        <v>62</v>
      </c>
      <c r="D2316" s="2" t="s">
        <v>1427</v>
      </c>
      <c r="E2316" s="2" t="s">
        <v>335</v>
      </c>
      <c r="F2316" s="2" t="s">
        <v>336</v>
      </c>
      <c r="G2316" s="2" t="s">
        <v>46</v>
      </c>
      <c r="H2316" s="2" t="s">
        <v>1428</v>
      </c>
      <c r="I2316" s="2"/>
      <c r="J2316" s="2"/>
    </row>
    <row r="2317" spans="1:10" x14ac:dyDescent="0.35">
      <c r="A2317" s="2" t="s">
        <v>1237</v>
      </c>
      <c r="B2317" s="2" t="s">
        <v>1407</v>
      </c>
      <c r="C2317" s="2" t="s">
        <v>62</v>
      </c>
      <c r="D2317" s="2" t="s">
        <v>1427</v>
      </c>
      <c r="E2317" s="2" t="s">
        <v>337</v>
      </c>
      <c r="F2317" s="2" t="s">
        <v>338</v>
      </c>
      <c r="G2317" s="2" t="s">
        <v>46</v>
      </c>
      <c r="H2317" s="2" t="s">
        <v>1428</v>
      </c>
      <c r="I2317" s="2"/>
      <c r="J2317" s="2"/>
    </row>
    <row r="2318" spans="1:10" x14ac:dyDescent="0.35">
      <c r="A2318" s="2" t="s">
        <v>1237</v>
      </c>
      <c r="B2318" s="2" t="s">
        <v>1407</v>
      </c>
      <c r="C2318" s="2" t="s">
        <v>62</v>
      </c>
      <c r="D2318" s="2" t="s">
        <v>1427</v>
      </c>
      <c r="E2318" s="2" t="s">
        <v>339</v>
      </c>
      <c r="F2318" s="2" t="s">
        <v>340</v>
      </c>
      <c r="G2318" s="2" t="s">
        <v>46</v>
      </c>
      <c r="H2318" s="2" t="s">
        <v>1428</v>
      </c>
      <c r="I2318" s="2"/>
      <c r="J2318" s="2"/>
    </row>
    <row r="2319" spans="1:10" x14ac:dyDescent="0.35">
      <c r="A2319" s="2" t="s">
        <v>1237</v>
      </c>
      <c r="B2319" s="2" t="s">
        <v>1407</v>
      </c>
      <c r="C2319" s="2" t="s">
        <v>62</v>
      </c>
      <c r="D2319" s="2" t="s">
        <v>1427</v>
      </c>
      <c r="E2319" s="2" t="s">
        <v>341</v>
      </c>
      <c r="F2319" s="2" t="s">
        <v>342</v>
      </c>
      <c r="G2319" s="2" t="s">
        <v>46</v>
      </c>
      <c r="H2319" s="2" t="s">
        <v>1428</v>
      </c>
      <c r="I2319" s="2"/>
      <c r="J2319" s="2"/>
    </row>
    <row r="2320" spans="1:10" x14ac:dyDescent="0.35">
      <c r="A2320" s="2" t="s">
        <v>1237</v>
      </c>
      <c r="B2320" s="2" t="s">
        <v>1407</v>
      </c>
      <c r="C2320" s="2" t="s">
        <v>62</v>
      </c>
      <c r="D2320" s="2" t="s">
        <v>1427</v>
      </c>
      <c r="E2320" s="2" t="s">
        <v>343</v>
      </c>
      <c r="F2320" s="2" t="s">
        <v>344</v>
      </c>
      <c r="G2320" s="2" t="s">
        <v>46</v>
      </c>
      <c r="H2320" s="2" t="s">
        <v>1428</v>
      </c>
      <c r="I2320" s="2"/>
      <c r="J2320" s="2"/>
    </row>
    <row r="2321" spans="1:10" x14ac:dyDescent="0.35">
      <c r="A2321" s="2" t="s">
        <v>1237</v>
      </c>
      <c r="B2321" s="2" t="s">
        <v>1407</v>
      </c>
      <c r="C2321" s="2" t="s">
        <v>62</v>
      </c>
      <c r="D2321" s="2" t="s">
        <v>1427</v>
      </c>
      <c r="E2321" s="2" t="s">
        <v>345</v>
      </c>
      <c r="F2321" s="2" t="s">
        <v>346</v>
      </c>
      <c r="G2321" s="2" t="s">
        <v>46</v>
      </c>
      <c r="H2321" s="2" t="s">
        <v>1428</v>
      </c>
      <c r="I2321" s="2"/>
      <c r="J2321" s="2"/>
    </row>
    <row r="2322" spans="1:10" x14ac:dyDescent="0.35">
      <c r="A2322" s="2" t="s">
        <v>1237</v>
      </c>
      <c r="B2322" s="2" t="s">
        <v>1407</v>
      </c>
      <c r="C2322" s="2" t="s">
        <v>62</v>
      </c>
      <c r="D2322" s="2" t="s">
        <v>1429</v>
      </c>
      <c r="E2322" s="2" t="s">
        <v>319</v>
      </c>
      <c r="F2322" s="2" t="s">
        <v>320</v>
      </c>
      <c r="G2322" s="2"/>
      <c r="H2322" s="2"/>
      <c r="I2322" s="2"/>
      <c r="J2322" s="2"/>
    </row>
    <row r="2323" spans="1:10" x14ac:dyDescent="0.35">
      <c r="A2323" s="2" t="s">
        <v>1237</v>
      </c>
      <c r="B2323" s="2" t="s">
        <v>1407</v>
      </c>
      <c r="C2323" s="2" t="s">
        <v>62</v>
      </c>
      <c r="D2323" s="2" t="s">
        <v>1429</v>
      </c>
      <c r="E2323" s="2" t="s">
        <v>321</v>
      </c>
      <c r="F2323" s="2" t="s">
        <v>321</v>
      </c>
      <c r="G2323" s="2"/>
      <c r="H2323" s="2"/>
      <c r="I2323" s="2"/>
      <c r="J2323" s="2"/>
    </row>
    <row r="2324" spans="1:10" x14ac:dyDescent="0.35">
      <c r="A2324" s="2" t="s">
        <v>1237</v>
      </c>
      <c r="B2324" s="2" t="s">
        <v>1407</v>
      </c>
      <c r="C2324" s="2" t="s">
        <v>62</v>
      </c>
      <c r="D2324" s="2" t="s">
        <v>1429</v>
      </c>
      <c r="E2324" s="2" t="s">
        <v>322</v>
      </c>
      <c r="F2324" s="2" t="s">
        <v>246</v>
      </c>
      <c r="G2324" s="2"/>
      <c r="H2324" s="2"/>
      <c r="I2324" s="2"/>
      <c r="J2324" s="2"/>
    </row>
    <row r="2325" spans="1:10" x14ac:dyDescent="0.35">
      <c r="A2325" s="2" t="s">
        <v>1237</v>
      </c>
      <c r="B2325" s="2" t="s">
        <v>1407</v>
      </c>
      <c r="C2325" s="2" t="s">
        <v>62</v>
      </c>
      <c r="D2325" s="2" t="s">
        <v>1429</v>
      </c>
      <c r="E2325" s="2" t="s">
        <v>323</v>
      </c>
      <c r="F2325" s="2" t="s">
        <v>246</v>
      </c>
      <c r="G2325" s="2"/>
      <c r="H2325" s="2"/>
      <c r="I2325" s="2"/>
      <c r="J2325" s="2"/>
    </row>
    <row r="2326" spans="1:10" x14ac:dyDescent="0.35">
      <c r="A2326" s="2" t="s">
        <v>1237</v>
      </c>
      <c r="B2326" s="2" t="s">
        <v>1407</v>
      </c>
      <c r="C2326" s="2" t="s">
        <v>62</v>
      </c>
      <c r="D2326" s="2" t="s">
        <v>1429</v>
      </c>
      <c r="E2326" s="2" t="s">
        <v>324</v>
      </c>
      <c r="F2326" s="2" t="s">
        <v>246</v>
      </c>
      <c r="G2326" s="2"/>
      <c r="H2326" s="2"/>
      <c r="I2326" s="2"/>
      <c r="J2326" s="2"/>
    </row>
    <row r="2327" spans="1:10" x14ac:dyDescent="0.35">
      <c r="A2327" s="2" t="s">
        <v>1237</v>
      </c>
      <c r="B2327" s="2" t="s">
        <v>1407</v>
      </c>
      <c r="C2327" s="2" t="s">
        <v>62</v>
      </c>
      <c r="D2327" s="2" t="s">
        <v>1429</v>
      </c>
      <c r="E2327" s="2" t="s">
        <v>325</v>
      </c>
      <c r="F2327" s="2" t="s">
        <v>326</v>
      </c>
      <c r="G2327" s="2"/>
      <c r="H2327" s="2"/>
      <c r="I2327" s="2"/>
      <c r="J2327" s="2"/>
    </row>
    <row r="2328" spans="1:10" x14ac:dyDescent="0.35">
      <c r="A2328" s="2" t="s">
        <v>1237</v>
      </c>
      <c r="B2328" s="2" t="s">
        <v>1407</v>
      </c>
      <c r="C2328" s="2" t="s">
        <v>62</v>
      </c>
      <c r="D2328" s="2" t="s">
        <v>1429</v>
      </c>
      <c r="E2328" s="2" t="s">
        <v>327</v>
      </c>
      <c r="F2328" s="2" t="s">
        <v>328</v>
      </c>
      <c r="G2328" s="2"/>
      <c r="H2328" s="2"/>
      <c r="I2328" s="2"/>
      <c r="J2328" s="2"/>
    </row>
    <row r="2329" spans="1:10" x14ac:dyDescent="0.35">
      <c r="A2329" s="2" t="s">
        <v>1237</v>
      </c>
      <c r="B2329" s="2" t="s">
        <v>1407</v>
      </c>
      <c r="C2329" s="2" t="s">
        <v>62</v>
      </c>
      <c r="D2329" s="2" t="s">
        <v>1429</v>
      </c>
      <c r="E2329" s="2" t="s">
        <v>329</v>
      </c>
      <c r="F2329" s="2" t="s">
        <v>330</v>
      </c>
      <c r="G2329" s="2"/>
      <c r="H2329" s="2"/>
      <c r="I2329" s="2"/>
      <c r="J2329" s="2"/>
    </row>
    <row r="2330" spans="1:10" x14ac:dyDescent="0.35">
      <c r="A2330" s="2" t="s">
        <v>1237</v>
      </c>
      <c r="B2330" s="2" t="s">
        <v>1407</v>
      </c>
      <c r="C2330" s="2" t="s">
        <v>62</v>
      </c>
      <c r="D2330" s="2" t="s">
        <v>1429</v>
      </c>
      <c r="E2330" s="2" t="s">
        <v>331</v>
      </c>
      <c r="F2330" s="2" t="s">
        <v>332</v>
      </c>
      <c r="G2330" s="2"/>
      <c r="H2330" s="2"/>
      <c r="I2330" s="2"/>
      <c r="J2330" s="2"/>
    </row>
    <row r="2331" spans="1:10" x14ac:dyDescent="0.35">
      <c r="A2331" s="2" t="s">
        <v>1237</v>
      </c>
      <c r="B2331" s="2" t="s">
        <v>1407</v>
      </c>
      <c r="C2331" s="2" t="s">
        <v>62</v>
      </c>
      <c r="D2331" s="2" t="s">
        <v>1429</v>
      </c>
      <c r="E2331" s="2" t="s">
        <v>333</v>
      </c>
      <c r="F2331" s="2" t="s">
        <v>334</v>
      </c>
      <c r="G2331" s="2"/>
      <c r="H2331" s="2"/>
      <c r="I2331" s="2"/>
      <c r="J2331" s="2"/>
    </row>
    <row r="2332" spans="1:10" x14ac:dyDescent="0.35">
      <c r="A2332" s="2" t="s">
        <v>1237</v>
      </c>
      <c r="B2332" s="2" t="s">
        <v>1407</v>
      </c>
      <c r="C2332" s="2" t="s">
        <v>62</v>
      </c>
      <c r="D2332" s="2" t="s">
        <v>1429</v>
      </c>
      <c r="E2332" s="2" t="s">
        <v>335</v>
      </c>
      <c r="F2332" s="2" t="s">
        <v>336</v>
      </c>
      <c r="G2332" s="2"/>
      <c r="H2332" s="2"/>
      <c r="I2332" s="2"/>
      <c r="J2332" s="2"/>
    </row>
    <row r="2333" spans="1:10" x14ac:dyDescent="0.35">
      <c r="A2333" s="2" t="s">
        <v>1237</v>
      </c>
      <c r="B2333" s="2" t="s">
        <v>1407</v>
      </c>
      <c r="C2333" s="2" t="s">
        <v>62</v>
      </c>
      <c r="D2333" s="2" t="s">
        <v>1429</v>
      </c>
      <c r="E2333" s="2" t="s">
        <v>337</v>
      </c>
      <c r="F2333" s="2" t="s">
        <v>338</v>
      </c>
      <c r="G2333" s="2"/>
      <c r="H2333" s="2"/>
      <c r="I2333" s="2"/>
      <c r="J2333" s="2"/>
    </row>
    <row r="2334" spans="1:10" x14ac:dyDescent="0.35">
      <c r="A2334" s="2" t="s">
        <v>1237</v>
      </c>
      <c r="B2334" s="2" t="s">
        <v>1407</v>
      </c>
      <c r="C2334" s="2" t="s">
        <v>62</v>
      </c>
      <c r="D2334" s="2" t="s">
        <v>1429</v>
      </c>
      <c r="E2334" s="2" t="s">
        <v>339</v>
      </c>
      <c r="F2334" s="2" t="s">
        <v>340</v>
      </c>
      <c r="G2334" s="2"/>
      <c r="H2334" s="2"/>
      <c r="I2334" s="2"/>
      <c r="J2334" s="2"/>
    </row>
    <row r="2335" spans="1:10" x14ac:dyDescent="0.35">
      <c r="A2335" s="2" t="s">
        <v>1237</v>
      </c>
      <c r="B2335" s="2" t="s">
        <v>1407</v>
      </c>
      <c r="C2335" s="2" t="s">
        <v>62</v>
      </c>
      <c r="D2335" s="2" t="s">
        <v>1429</v>
      </c>
      <c r="E2335" s="2" t="s">
        <v>341</v>
      </c>
      <c r="F2335" s="2" t="s">
        <v>342</v>
      </c>
      <c r="G2335" s="2"/>
      <c r="H2335" s="2"/>
      <c r="I2335" s="2"/>
      <c r="J2335" s="2"/>
    </row>
    <row r="2336" spans="1:10" x14ac:dyDescent="0.35">
      <c r="A2336" s="2" t="s">
        <v>1237</v>
      </c>
      <c r="B2336" s="2" t="s">
        <v>1407</v>
      </c>
      <c r="C2336" s="2" t="s">
        <v>62</v>
      </c>
      <c r="D2336" s="2" t="s">
        <v>1429</v>
      </c>
      <c r="E2336" s="2" t="s">
        <v>343</v>
      </c>
      <c r="F2336" s="2" t="s">
        <v>344</v>
      </c>
      <c r="G2336" s="2"/>
      <c r="H2336" s="2"/>
      <c r="I2336" s="2"/>
      <c r="J2336" s="2"/>
    </row>
    <row r="2337" spans="1:10" x14ac:dyDescent="0.35">
      <c r="A2337" s="2" t="s">
        <v>1237</v>
      </c>
      <c r="B2337" s="2" t="s">
        <v>1407</v>
      </c>
      <c r="C2337" s="2" t="s">
        <v>62</v>
      </c>
      <c r="D2337" s="2" t="s">
        <v>1429</v>
      </c>
      <c r="E2337" s="2" t="s">
        <v>345</v>
      </c>
      <c r="F2337" s="2" t="s">
        <v>346</v>
      </c>
      <c r="G2337" s="2"/>
      <c r="H2337" s="2"/>
      <c r="I2337" s="2"/>
      <c r="J2337" s="2"/>
    </row>
    <row r="2338" spans="1:10" s="20" customFormat="1" x14ac:dyDescent="0.35">
      <c r="A2338" s="2" t="s">
        <v>1237</v>
      </c>
      <c r="B2338" s="2" t="s">
        <v>1407</v>
      </c>
      <c r="C2338" s="2" t="s">
        <v>12</v>
      </c>
      <c r="D2338" s="2" t="s">
        <v>1430</v>
      </c>
      <c r="E2338" s="2" t="s">
        <v>74</v>
      </c>
      <c r="F2338" s="2" t="s">
        <v>75</v>
      </c>
      <c r="G2338" s="2" t="s">
        <v>20</v>
      </c>
      <c r="H2338" s="2" t="s">
        <v>1431</v>
      </c>
      <c r="I2338" s="2"/>
      <c r="J2338" s="2"/>
    </row>
    <row r="2339" spans="1:10" s="20" customFormat="1" x14ac:dyDescent="0.35">
      <c r="A2339" s="2" t="s">
        <v>1237</v>
      </c>
      <c r="B2339" s="2" t="s">
        <v>1407</v>
      </c>
      <c r="C2339" s="2" t="s">
        <v>12</v>
      </c>
      <c r="D2339" s="2" t="s">
        <v>1430</v>
      </c>
      <c r="E2339" s="2" t="s">
        <v>98</v>
      </c>
      <c r="F2339" s="2" t="s">
        <v>98</v>
      </c>
      <c r="G2339" s="2"/>
      <c r="H2339" s="2"/>
      <c r="I2339" s="2"/>
      <c r="J2339" s="2"/>
    </row>
    <row r="2340" spans="1:10" x14ac:dyDescent="0.35">
      <c r="A2340" s="2" t="s">
        <v>1237</v>
      </c>
      <c r="B2340" s="2" t="s">
        <v>1407</v>
      </c>
      <c r="C2340" s="2" t="s">
        <v>62</v>
      </c>
      <c r="D2340" s="2" t="s">
        <v>1432</v>
      </c>
      <c r="E2340" s="2" t="s">
        <v>319</v>
      </c>
      <c r="F2340" s="2" t="s">
        <v>320</v>
      </c>
      <c r="G2340" s="2"/>
      <c r="H2340" s="2"/>
      <c r="I2340" s="2"/>
      <c r="J2340" s="2"/>
    </row>
    <row r="2341" spans="1:10" x14ac:dyDescent="0.35">
      <c r="A2341" s="2" t="s">
        <v>1237</v>
      </c>
      <c r="B2341" s="2" t="s">
        <v>1407</v>
      </c>
      <c r="C2341" s="2" t="s">
        <v>62</v>
      </c>
      <c r="D2341" s="2" t="s">
        <v>1432</v>
      </c>
      <c r="E2341" s="2" t="s">
        <v>321</v>
      </c>
      <c r="F2341" s="2" t="s">
        <v>321</v>
      </c>
      <c r="G2341" s="2"/>
      <c r="H2341" s="2"/>
      <c r="I2341" s="2"/>
      <c r="J2341" s="2"/>
    </row>
    <row r="2342" spans="1:10" x14ac:dyDescent="0.35">
      <c r="A2342" s="2" t="s">
        <v>1237</v>
      </c>
      <c r="B2342" s="2" t="s">
        <v>1407</v>
      </c>
      <c r="C2342" s="2" t="s">
        <v>62</v>
      </c>
      <c r="D2342" s="2" t="s">
        <v>1432</v>
      </c>
      <c r="E2342" s="2" t="s">
        <v>322</v>
      </c>
      <c r="F2342" s="2" t="s">
        <v>246</v>
      </c>
      <c r="G2342" s="2"/>
      <c r="H2342" s="2"/>
      <c r="I2342" s="2"/>
      <c r="J2342" s="2"/>
    </row>
    <row r="2343" spans="1:10" x14ac:dyDescent="0.35">
      <c r="A2343" s="2" t="s">
        <v>1237</v>
      </c>
      <c r="B2343" s="2" t="s">
        <v>1407</v>
      </c>
      <c r="C2343" s="2" t="s">
        <v>62</v>
      </c>
      <c r="D2343" s="2" t="s">
        <v>1432</v>
      </c>
      <c r="E2343" s="2" t="s">
        <v>323</v>
      </c>
      <c r="F2343" s="2" t="s">
        <v>246</v>
      </c>
      <c r="G2343" s="2"/>
      <c r="H2343" s="2"/>
      <c r="I2343" s="2"/>
      <c r="J2343" s="2"/>
    </row>
    <row r="2344" spans="1:10" x14ac:dyDescent="0.35">
      <c r="A2344" s="2" t="s">
        <v>1237</v>
      </c>
      <c r="B2344" s="2" t="s">
        <v>1407</v>
      </c>
      <c r="C2344" s="2" t="s">
        <v>62</v>
      </c>
      <c r="D2344" s="2" t="s">
        <v>1432</v>
      </c>
      <c r="E2344" s="2" t="s">
        <v>324</v>
      </c>
      <c r="F2344" s="2" t="s">
        <v>246</v>
      </c>
      <c r="G2344" s="2"/>
      <c r="H2344" s="2"/>
      <c r="I2344" s="2"/>
      <c r="J2344" s="2"/>
    </row>
    <row r="2345" spans="1:10" x14ac:dyDescent="0.35">
      <c r="A2345" s="2" t="s">
        <v>1237</v>
      </c>
      <c r="B2345" s="2" t="s">
        <v>1407</v>
      </c>
      <c r="C2345" s="2" t="s">
        <v>62</v>
      </c>
      <c r="D2345" s="2" t="s">
        <v>1432</v>
      </c>
      <c r="E2345" s="2" t="s">
        <v>325</v>
      </c>
      <c r="F2345" s="2" t="s">
        <v>326</v>
      </c>
      <c r="G2345" s="2"/>
      <c r="H2345" s="2"/>
      <c r="I2345" s="2"/>
      <c r="J2345" s="2"/>
    </row>
    <row r="2346" spans="1:10" x14ac:dyDescent="0.35">
      <c r="A2346" s="2" t="s">
        <v>1237</v>
      </c>
      <c r="B2346" s="2" t="s">
        <v>1407</v>
      </c>
      <c r="C2346" s="2" t="s">
        <v>62</v>
      </c>
      <c r="D2346" s="2" t="s">
        <v>1432</v>
      </c>
      <c r="E2346" s="2" t="s">
        <v>327</v>
      </c>
      <c r="F2346" s="2" t="s">
        <v>328</v>
      </c>
      <c r="G2346" s="2"/>
      <c r="H2346" s="2"/>
      <c r="I2346" s="2"/>
      <c r="J2346" s="2"/>
    </row>
    <row r="2347" spans="1:10" x14ac:dyDescent="0.35">
      <c r="A2347" s="2" t="s">
        <v>1237</v>
      </c>
      <c r="B2347" s="2" t="s">
        <v>1407</v>
      </c>
      <c r="C2347" s="2" t="s">
        <v>62</v>
      </c>
      <c r="D2347" s="2" t="s">
        <v>1432</v>
      </c>
      <c r="E2347" s="2" t="s">
        <v>329</v>
      </c>
      <c r="F2347" s="2" t="s">
        <v>330</v>
      </c>
      <c r="G2347" s="2"/>
      <c r="H2347" s="2"/>
      <c r="I2347" s="2"/>
      <c r="J2347" s="2"/>
    </row>
    <row r="2348" spans="1:10" x14ac:dyDescent="0.35">
      <c r="A2348" s="2" t="s">
        <v>1237</v>
      </c>
      <c r="B2348" s="2" t="s">
        <v>1407</v>
      </c>
      <c r="C2348" s="2" t="s">
        <v>62</v>
      </c>
      <c r="D2348" s="2" t="s">
        <v>1432</v>
      </c>
      <c r="E2348" s="2" t="s">
        <v>331</v>
      </c>
      <c r="F2348" s="2" t="s">
        <v>332</v>
      </c>
      <c r="G2348" s="2"/>
      <c r="H2348" s="2"/>
      <c r="I2348" s="2"/>
      <c r="J2348" s="2"/>
    </row>
    <row r="2349" spans="1:10" x14ac:dyDescent="0.35">
      <c r="A2349" s="2" t="s">
        <v>1237</v>
      </c>
      <c r="B2349" s="2" t="s">
        <v>1407</v>
      </c>
      <c r="C2349" s="2" t="s">
        <v>62</v>
      </c>
      <c r="D2349" s="2" t="s">
        <v>1432</v>
      </c>
      <c r="E2349" s="2" t="s">
        <v>333</v>
      </c>
      <c r="F2349" s="2" t="s">
        <v>334</v>
      </c>
      <c r="G2349" s="2"/>
      <c r="H2349" s="2"/>
      <c r="I2349" s="2"/>
      <c r="J2349" s="2"/>
    </row>
    <row r="2350" spans="1:10" x14ac:dyDescent="0.35">
      <c r="A2350" s="2" t="s">
        <v>1237</v>
      </c>
      <c r="B2350" s="2" t="s">
        <v>1407</v>
      </c>
      <c r="C2350" s="2" t="s">
        <v>62</v>
      </c>
      <c r="D2350" s="2" t="s">
        <v>1432</v>
      </c>
      <c r="E2350" s="2" t="s">
        <v>1297</v>
      </c>
      <c r="F2350" s="2" t="s">
        <v>533</v>
      </c>
      <c r="G2350" s="2"/>
      <c r="H2350" s="2"/>
      <c r="I2350" s="2"/>
      <c r="J2350" s="2"/>
    </row>
    <row r="2351" spans="1:10" x14ac:dyDescent="0.35">
      <c r="A2351" s="2" t="s">
        <v>1237</v>
      </c>
      <c r="B2351" s="2" t="s">
        <v>1407</v>
      </c>
      <c r="C2351" s="2" t="s">
        <v>62</v>
      </c>
      <c r="D2351" s="2" t="s">
        <v>1432</v>
      </c>
      <c r="E2351" s="2" t="s">
        <v>335</v>
      </c>
      <c r="F2351" s="2" t="s">
        <v>336</v>
      </c>
      <c r="G2351" s="2"/>
      <c r="H2351" s="2"/>
      <c r="I2351" s="2"/>
      <c r="J2351" s="2"/>
    </row>
    <row r="2352" spans="1:10" x14ac:dyDescent="0.35">
      <c r="A2352" s="2" t="s">
        <v>1237</v>
      </c>
      <c r="B2352" s="2" t="s">
        <v>1407</v>
      </c>
      <c r="C2352" s="2" t="s">
        <v>62</v>
      </c>
      <c r="D2352" s="2" t="s">
        <v>1432</v>
      </c>
      <c r="E2352" s="2" t="s">
        <v>337</v>
      </c>
      <c r="F2352" s="2" t="s">
        <v>338</v>
      </c>
      <c r="G2352" s="2"/>
      <c r="H2352" s="2"/>
      <c r="I2352" s="2"/>
      <c r="J2352" s="2"/>
    </row>
    <row r="2353" spans="1:10" x14ac:dyDescent="0.35">
      <c r="A2353" s="2" t="s">
        <v>1237</v>
      </c>
      <c r="B2353" s="2" t="s">
        <v>1407</v>
      </c>
      <c r="C2353" s="2" t="s">
        <v>62</v>
      </c>
      <c r="D2353" s="2" t="s">
        <v>1432</v>
      </c>
      <c r="E2353" s="2" t="s">
        <v>339</v>
      </c>
      <c r="F2353" s="2" t="s">
        <v>340</v>
      </c>
      <c r="G2353" s="2"/>
      <c r="H2353" s="2"/>
      <c r="I2353" s="2"/>
      <c r="J2353" s="2"/>
    </row>
    <row r="2354" spans="1:10" x14ac:dyDescent="0.35">
      <c r="A2354" s="2" t="s">
        <v>1237</v>
      </c>
      <c r="B2354" s="2" t="s">
        <v>1407</v>
      </c>
      <c r="C2354" s="2" t="s">
        <v>62</v>
      </c>
      <c r="D2354" s="2" t="s">
        <v>1432</v>
      </c>
      <c r="E2354" s="2" t="s">
        <v>341</v>
      </c>
      <c r="F2354" s="2" t="s">
        <v>342</v>
      </c>
      <c r="G2354" s="2"/>
      <c r="H2354" s="2"/>
      <c r="I2354" s="2"/>
      <c r="J2354" s="2"/>
    </row>
    <row r="2355" spans="1:10" x14ac:dyDescent="0.35">
      <c r="A2355" s="2" t="s">
        <v>1237</v>
      </c>
      <c r="B2355" s="2" t="s">
        <v>1407</v>
      </c>
      <c r="C2355" s="2" t="s">
        <v>62</v>
      </c>
      <c r="D2355" s="2" t="s">
        <v>1432</v>
      </c>
      <c r="E2355" s="2" t="s">
        <v>343</v>
      </c>
      <c r="F2355" s="2" t="s">
        <v>344</v>
      </c>
      <c r="G2355" s="2"/>
      <c r="H2355" s="2"/>
      <c r="I2355" s="2"/>
      <c r="J2355" s="2"/>
    </row>
    <row r="2356" spans="1:10" x14ac:dyDescent="0.35">
      <c r="A2356" s="2" t="s">
        <v>1237</v>
      </c>
      <c r="B2356" s="2" t="s">
        <v>1407</v>
      </c>
      <c r="C2356" s="2" t="s">
        <v>62</v>
      </c>
      <c r="D2356" s="2" t="s">
        <v>1432</v>
      </c>
      <c r="E2356" s="2" t="s">
        <v>345</v>
      </c>
      <c r="F2356" s="2" t="s">
        <v>346</v>
      </c>
      <c r="G2356" s="2"/>
      <c r="H2356" s="2"/>
      <c r="I2356" s="2"/>
      <c r="J2356" s="2"/>
    </row>
    <row r="2357" spans="1:10" x14ac:dyDescent="0.35">
      <c r="A2357" s="2" t="s">
        <v>1237</v>
      </c>
      <c r="B2357" s="2" t="s">
        <v>1407</v>
      </c>
      <c r="C2357" s="2" t="s">
        <v>62</v>
      </c>
      <c r="D2357" s="2" t="s">
        <v>1433</v>
      </c>
      <c r="E2357" s="2" t="s">
        <v>96</v>
      </c>
      <c r="F2357" s="2" t="s">
        <v>83</v>
      </c>
      <c r="G2357" s="2"/>
      <c r="H2357" s="2"/>
      <c r="I2357" s="2"/>
      <c r="J2357" s="2"/>
    </row>
    <row r="2358" spans="1:10" x14ac:dyDescent="0.35">
      <c r="A2358" s="2" t="s">
        <v>1237</v>
      </c>
      <c r="B2358" s="2" t="s">
        <v>1407</v>
      </c>
      <c r="C2358" s="2" t="s">
        <v>62</v>
      </c>
      <c r="D2358" s="2" t="s">
        <v>1433</v>
      </c>
      <c r="E2358" s="2" t="s">
        <v>319</v>
      </c>
      <c r="F2358" s="2" t="s">
        <v>320</v>
      </c>
      <c r="G2358" s="2"/>
      <c r="H2358" s="2"/>
      <c r="I2358" s="2"/>
      <c r="J2358" s="2"/>
    </row>
    <row r="2359" spans="1:10" x14ac:dyDescent="0.35">
      <c r="A2359" s="2" t="s">
        <v>1237</v>
      </c>
      <c r="B2359" s="2" t="s">
        <v>1407</v>
      </c>
      <c r="C2359" s="2" t="s">
        <v>62</v>
      </c>
      <c r="D2359" s="2" t="s">
        <v>1433</v>
      </c>
      <c r="E2359" s="2" t="s">
        <v>321</v>
      </c>
      <c r="F2359" s="2" t="s">
        <v>321</v>
      </c>
      <c r="G2359" s="2"/>
      <c r="H2359" s="2"/>
      <c r="I2359" s="2"/>
      <c r="J2359" s="2"/>
    </row>
    <row r="2360" spans="1:10" x14ac:dyDescent="0.35">
      <c r="A2360" s="2" t="s">
        <v>1237</v>
      </c>
      <c r="B2360" s="2" t="s">
        <v>1407</v>
      </c>
      <c r="C2360" s="2" t="s">
        <v>62</v>
      </c>
      <c r="D2360" s="2" t="s">
        <v>1433</v>
      </c>
      <c r="E2360" s="2" t="s">
        <v>322</v>
      </c>
      <c r="F2360" s="2" t="s">
        <v>246</v>
      </c>
      <c r="G2360" s="2"/>
      <c r="H2360" s="2"/>
      <c r="I2360" s="2"/>
      <c r="J2360" s="2"/>
    </row>
    <row r="2361" spans="1:10" x14ac:dyDescent="0.35">
      <c r="A2361" s="2" t="s">
        <v>1237</v>
      </c>
      <c r="B2361" s="2" t="s">
        <v>1407</v>
      </c>
      <c r="C2361" s="2" t="s">
        <v>62</v>
      </c>
      <c r="D2361" s="2" t="s">
        <v>1433</v>
      </c>
      <c r="E2361" s="2" t="s">
        <v>323</v>
      </c>
      <c r="F2361" s="2" t="s">
        <v>246</v>
      </c>
      <c r="G2361" s="2"/>
      <c r="H2361" s="2"/>
      <c r="I2361" s="2"/>
      <c r="J2361" s="2"/>
    </row>
    <row r="2362" spans="1:10" x14ac:dyDescent="0.35">
      <c r="A2362" s="2" t="s">
        <v>1237</v>
      </c>
      <c r="B2362" s="2" t="s">
        <v>1407</v>
      </c>
      <c r="C2362" s="2" t="s">
        <v>62</v>
      </c>
      <c r="D2362" s="2" t="s">
        <v>1433</v>
      </c>
      <c r="E2362" s="2" t="s">
        <v>324</v>
      </c>
      <c r="F2362" s="2" t="s">
        <v>246</v>
      </c>
      <c r="G2362" s="2"/>
      <c r="H2362" s="2"/>
      <c r="I2362" s="2"/>
      <c r="J2362" s="2"/>
    </row>
    <row r="2363" spans="1:10" x14ac:dyDescent="0.35">
      <c r="A2363" s="2" t="s">
        <v>1237</v>
      </c>
      <c r="B2363" s="2" t="s">
        <v>1407</v>
      </c>
      <c r="C2363" s="2" t="s">
        <v>62</v>
      </c>
      <c r="D2363" s="2" t="s">
        <v>1433</v>
      </c>
      <c r="E2363" s="2" t="s">
        <v>325</v>
      </c>
      <c r="F2363" s="2" t="s">
        <v>1413</v>
      </c>
      <c r="G2363" s="2"/>
      <c r="H2363" s="2"/>
      <c r="I2363" s="2"/>
      <c r="J2363" s="2"/>
    </row>
    <row r="2364" spans="1:10" x14ac:dyDescent="0.35">
      <c r="A2364" s="2" t="s">
        <v>1237</v>
      </c>
      <c r="B2364" s="2" t="s">
        <v>1407</v>
      </c>
      <c r="C2364" s="2" t="s">
        <v>62</v>
      </c>
      <c r="D2364" s="2" t="s">
        <v>1433</v>
      </c>
      <c r="E2364" s="2" t="s">
        <v>327</v>
      </c>
      <c r="F2364" s="2" t="s">
        <v>328</v>
      </c>
      <c r="G2364" s="2"/>
      <c r="H2364" s="2"/>
      <c r="I2364" s="2"/>
      <c r="J2364" s="2"/>
    </row>
    <row r="2365" spans="1:10" x14ac:dyDescent="0.35">
      <c r="A2365" s="2" t="s">
        <v>1237</v>
      </c>
      <c r="B2365" s="2" t="s">
        <v>1407</v>
      </c>
      <c r="C2365" s="2" t="s">
        <v>62</v>
      </c>
      <c r="D2365" s="2" t="s">
        <v>1433</v>
      </c>
      <c r="E2365" s="2" t="s">
        <v>329</v>
      </c>
      <c r="F2365" s="2" t="s">
        <v>330</v>
      </c>
      <c r="G2365" s="2"/>
      <c r="H2365" s="2"/>
      <c r="I2365" s="2"/>
      <c r="J2365" s="2"/>
    </row>
    <row r="2366" spans="1:10" x14ac:dyDescent="0.35">
      <c r="A2366" s="2" t="s">
        <v>1237</v>
      </c>
      <c r="B2366" s="2" t="s">
        <v>1407</v>
      </c>
      <c r="C2366" s="2" t="s">
        <v>62</v>
      </c>
      <c r="D2366" s="2" t="s">
        <v>1433</v>
      </c>
      <c r="E2366" s="2" t="s">
        <v>331</v>
      </c>
      <c r="F2366" s="2" t="s">
        <v>332</v>
      </c>
      <c r="G2366" s="2"/>
      <c r="H2366" s="2"/>
      <c r="I2366" s="2"/>
      <c r="J2366" s="2"/>
    </row>
    <row r="2367" spans="1:10" x14ac:dyDescent="0.35">
      <c r="A2367" s="2" t="s">
        <v>1237</v>
      </c>
      <c r="B2367" s="2" t="s">
        <v>1407</v>
      </c>
      <c r="C2367" s="2" t="s">
        <v>62</v>
      </c>
      <c r="D2367" s="2" t="s">
        <v>1433</v>
      </c>
      <c r="E2367" s="2" t="s">
        <v>333</v>
      </c>
      <c r="F2367" s="2" t="s">
        <v>334</v>
      </c>
      <c r="G2367" s="2"/>
      <c r="H2367" s="2"/>
      <c r="I2367" s="2"/>
      <c r="J2367" s="2"/>
    </row>
    <row r="2368" spans="1:10" x14ac:dyDescent="0.35">
      <c r="A2368" s="2" t="s">
        <v>1237</v>
      </c>
      <c r="B2368" s="2" t="s">
        <v>1407</v>
      </c>
      <c r="C2368" s="2" t="s">
        <v>62</v>
      </c>
      <c r="D2368" s="2" t="s">
        <v>1433</v>
      </c>
      <c r="E2368" s="2" t="s">
        <v>1297</v>
      </c>
      <c r="F2368" s="2" t="s">
        <v>533</v>
      </c>
      <c r="G2368" s="2"/>
      <c r="H2368" s="2"/>
      <c r="I2368" s="2"/>
      <c r="J2368" s="2"/>
    </row>
    <row r="2369" spans="1:10" x14ac:dyDescent="0.35">
      <c r="A2369" s="2" t="s">
        <v>1237</v>
      </c>
      <c r="B2369" s="2" t="s">
        <v>1407</v>
      </c>
      <c r="C2369" s="2" t="s">
        <v>62</v>
      </c>
      <c r="D2369" s="2" t="s">
        <v>1433</v>
      </c>
      <c r="E2369" s="2" t="s">
        <v>335</v>
      </c>
      <c r="F2369" s="2" t="s">
        <v>336</v>
      </c>
      <c r="G2369" s="2"/>
      <c r="H2369" s="2"/>
      <c r="I2369" s="2"/>
      <c r="J2369" s="2"/>
    </row>
    <row r="2370" spans="1:10" x14ac:dyDescent="0.35">
      <c r="A2370" s="2" t="s">
        <v>1237</v>
      </c>
      <c r="B2370" s="2" t="s">
        <v>1407</v>
      </c>
      <c r="C2370" s="2" t="s">
        <v>62</v>
      </c>
      <c r="D2370" s="2" t="s">
        <v>1433</v>
      </c>
      <c r="E2370" s="2" t="s">
        <v>337</v>
      </c>
      <c r="F2370" s="2" t="s">
        <v>338</v>
      </c>
      <c r="G2370" s="2"/>
      <c r="H2370" s="2"/>
      <c r="I2370" s="2"/>
      <c r="J2370" s="2"/>
    </row>
    <row r="2371" spans="1:10" x14ac:dyDescent="0.35">
      <c r="A2371" s="2" t="s">
        <v>1237</v>
      </c>
      <c r="B2371" s="2" t="s">
        <v>1407</v>
      </c>
      <c r="C2371" s="2" t="s">
        <v>62</v>
      </c>
      <c r="D2371" s="2" t="s">
        <v>1433</v>
      </c>
      <c r="E2371" s="2" t="s">
        <v>339</v>
      </c>
      <c r="F2371" s="2" t="s">
        <v>340</v>
      </c>
      <c r="G2371" s="2"/>
      <c r="H2371" s="2"/>
      <c r="I2371" s="2"/>
      <c r="J2371" s="2"/>
    </row>
    <row r="2372" spans="1:10" x14ac:dyDescent="0.35">
      <c r="A2372" s="2" t="s">
        <v>1237</v>
      </c>
      <c r="B2372" s="2" t="s">
        <v>1407</v>
      </c>
      <c r="C2372" s="2" t="s">
        <v>62</v>
      </c>
      <c r="D2372" s="2" t="s">
        <v>1433</v>
      </c>
      <c r="E2372" s="2" t="s">
        <v>341</v>
      </c>
      <c r="F2372" s="2" t="s">
        <v>342</v>
      </c>
      <c r="G2372" s="2"/>
      <c r="H2372" s="2"/>
      <c r="I2372" s="2"/>
      <c r="J2372" s="2"/>
    </row>
    <row r="2373" spans="1:10" x14ac:dyDescent="0.35">
      <c r="A2373" s="2" t="s">
        <v>1237</v>
      </c>
      <c r="B2373" s="2" t="s">
        <v>1407</v>
      </c>
      <c r="C2373" s="2" t="s">
        <v>62</v>
      </c>
      <c r="D2373" s="2" t="s">
        <v>1433</v>
      </c>
      <c r="E2373" s="2" t="s">
        <v>343</v>
      </c>
      <c r="F2373" s="2" t="s">
        <v>344</v>
      </c>
      <c r="G2373" s="2"/>
      <c r="H2373" s="2"/>
      <c r="I2373" s="2"/>
      <c r="J2373" s="2"/>
    </row>
    <row r="2374" spans="1:10" x14ac:dyDescent="0.35">
      <c r="A2374" s="2" t="s">
        <v>1237</v>
      </c>
      <c r="B2374" s="2" t="s">
        <v>1407</v>
      </c>
      <c r="C2374" s="2" t="s">
        <v>62</v>
      </c>
      <c r="D2374" s="2" t="s">
        <v>1433</v>
      </c>
      <c r="E2374" s="2" t="s">
        <v>345</v>
      </c>
      <c r="F2374" s="2" t="s">
        <v>346</v>
      </c>
      <c r="G2374" s="2"/>
      <c r="H2374" s="2"/>
      <c r="I2374" s="2"/>
      <c r="J2374" s="2"/>
    </row>
    <row r="2375" spans="1:10" x14ac:dyDescent="0.35">
      <c r="A2375" s="2" t="s">
        <v>1237</v>
      </c>
      <c r="B2375" s="2" t="s">
        <v>1407</v>
      </c>
      <c r="C2375" s="2" t="s">
        <v>62</v>
      </c>
      <c r="D2375" s="2" t="s">
        <v>1434</v>
      </c>
      <c r="E2375" s="2" t="s">
        <v>96</v>
      </c>
      <c r="F2375" s="2" t="s">
        <v>83</v>
      </c>
      <c r="G2375" s="2"/>
      <c r="H2375" s="2"/>
      <c r="I2375" s="2"/>
      <c r="J2375" s="2"/>
    </row>
    <row r="2376" spans="1:10" x14ac:dyDescent="0.35">
      <c r="A2376" s="2" t="s">
        <v>1237</v>
      </c>
      <c r="B2376" s="2" t="s">
        <v>1407</v>
      </c>
      <c r="C2376" s="2" t="s">
        <v>62</v>
      </c>
      <c r="D2376" s="2" t="s">
        <v>1434</v>
      </c>
      <c r="E2376" s="2" t="s">
        <v>319</v>
      </c>
      <c r="F2376" s="2" t="s">
        <v>320</v>
      </c>
      <c r="G2376" s="2"/>
      <c r="H2376" s="2"/>
      <c r="I2376" s="2"/>
      <c r="J2376" s="2"/>
    </row>
    <row r="2377" spans="1:10" x14ac:dyDescent="0.35">
      <c r="A2377" s="2" t="s">
        <v>1237</v>
      </c>
      <c r="B2377" s="2" t="s">
        <v>1407</v>
      </c>
      <c r="C2377" s="2" t="s">
        <v>62</v>
      </c>
      <c r="D2377" s="2" t="s">
        <v>1434</v>
      </c>
      <c r="E2377" s="2" t="s">
        <v>321</v>
      </c>
      <c r="F2377" s="2" t="s">
        <v>321</v>
      </c>
      <c r="G2377" s="2"/>
      <c r="H2377" s="2"/>
      <c r="I2377" s="2"/>
      <c r="J2377" s="2"/>
    </row>
    <row r="2378" spans="1:10" x14ac:dyDescent="0.35">
      <c r="A2378" s="2" t="s">
        <v>1237</v>
      </c>
      <c r="B2378" s="2" t="s">
        <v>1407</v>
      </c>
      <c r="C2378" s="2" t="s">
        <v>62</v>
      </c>
      <c r="D2378" s="2" t="s">
        <v>1434</v>
      </c>
      <c r="E2378" s="2" t="s">
        <v>322</v>
      </c>
      <c r="F2378" s="2" t="s">
        <v>246</v>
      </c>
      <c r="G2378" s="2"/>
      <c r="H2378" s="2"/>
      <c r="I2378" s="2"/>
      <c r="J2378" s="2"/>
    </row>
    <row r="2379" spans="1:10" x14ac:dyDescent="0.35">
      <c r="A2379" s="2" t="s">
        <v>1237</v>
      </c>
      <c r="B2379" s="2" t="s">
        <v>1407</v>
      </c>
      <c r="C2379" s="2" t="s">
        <v>62</v>
      </c>
      <c r="D2379" s="2" t="s">
        <v>1434</v>
      </c>
      <c r="E2379" s="2" t="s">
        <v>323</v>
      </c>
      <c r="F2379" s="2" t="s">
        <v>246</v>
      </c>
      <c r="G2379" s="2"/>
      <c r="H2379" s="2"/>
      <c r="I2379" s="2"/>
      <c r="J2379" s="2"/>
    </row>
    <row r="2380" spans="1:10" x14ac:dyDescent="0.35">
      <c r="A2380" s="2" t="s">
        <v>1237</v>
      </c>
      <c r="B2380" s="2" t="s">
        <v>1407</v>
      </c>
      <c r="C2380" s="2" t="s">
        <v>62</v>
      </c>
      <c r="D2380" s="2" t="s">
        <v>1434</v>
      </c>
      <c r="E2380" s="2" t="s">
        <v>324</v>
      </c>
      <c r="F2380" s="2" t="s">
        <v>246</v>
      </c>
      <c r="G2380" s="2"/>
      <c r="H2380" s="2"/>
      <c r="I2380" s="2"/>
      <c r="J2380" s="2"/>
    </row>
    <row r="2381" spans="1:10" x14ac:dyDescent="0.35">
      <c r="A2381" s="2" t="s">
        <v>1237</v>
      </c>
      <c r="B2381" s="2" t="s">
        <v>1407</v>
      </c>
      <c r="C2381" s="2" t="s">
        <v>62</v>
      </c>
      <c r="D2381" s="2" t="s">
        <v>1434</v>
      </c>
      <c r="E2381" s="2" t="s">
        <v>325</v>
      </c>
      <c r="F2381" s="2" t="s">
        <v>326</v>
      </c>
      <c r="G2381" s="2"/>
      <c r="H2381" s="2"/>
      <c r="I2381" s="2"/>
      <c r="J2381" s="2"/>
    </row>
    <row r="2382" spans="1:10" x14ac:dyDescent="0.35">
      <c r="A2382" s="2" t="s">
        <v>1237</v>
      </c>
      <c r="B2382" s="2" t="s">
        <v>1407</v>
      </c>
      <c r="C2382" s="2" t="s">
        <v>62</v>
      </c>
      <c r="D2382" s="2" t="s">
        <v>1434</v>
      </c>
      <c r="E2382" s="2" t="s">
        <v>327</v>
      </c>
      <c r="F2382" s="2" t="s">
        <v>328</v>
      </c>
      <c r="G2382" s="2"/>
      <c r="H2382" s="2"/>
      <c r="I2382" s="2"/>
      <c r="J2382" s="2"/>
    </row>
    <row r="2383" spans="1:10" x14ac:dyDescent="0.35">
      <c r="A2383" s="2" t="s">
        <v>1237</v>
      </c>
      <c r="B2383" s="2" t="s">
        <v>1407</v>
      </c>
      <c r="C2383" s="2" t="s">
        <v>62</v>
      </c>
      <c r="D2383" s="2" t="s">
        <v>1434</v>
      </c>
      <c r="E2383" s="2" t="s">
        <v>329</v>
      </c>
      <c r="F2383" s="2" t="s">
        <v>330</v>
      </c>
      <c r="G2383" s="2"/>
      <c r="H2383" s="2"/>
      <c r="I2383" s="2"/>
      <c r="J2383" s="2"/>
    </row>
    <row r="2384" spans="1:10" x14ac:dyDescent="0.35">
      <c r="A2384" s="2" t="s">
        <v>1237</v>
      </c>
      <c r="B2384" s="2" t="s">
        <v>1407</v>
      </c>
      <c r="C2384" s="2" t="s">
        <v>62</v>
      </c>
      <c r="D2384" s="2" t="s">
        <v>1434</v>
      </c>
      <c r="E2384" s="2" t="s">
        <v>331</v>
      </c>
      <c r="F2384" s="2" t="s">
        <v>332</v>
      </c>
      <c r="G2384" s="2"/>
      <c r="H2384" s="2"/>
      <c r="I2384" s="2"/>
      <c r="J2384" s="2"/>
    </row>
    <row r="2385" spans="1:10" x14ac:dyDescent="0.35">
      <c r="A2385" s="2" t="s">
        <v>1237</v>
      </c>
      <c r="B2385" s="2" t="s">
        <v>1407</v>
      </c>
      <c r="C2385" s="2" t="s">
        <v>62</v>
      </c>
      <c r="D2385" s="2" t="s">
        <v>1434</v>
      </c>
      <c r="E2385" s="2" t="s">
        <v>333</v>
      </c>
      <c r="F2385" s="2" t="s">
        <v>334</v>
      </c>
      <c r="G2385" s="2"/>
      <c r="H2385" s="2"/>
      <c r="I2385" s="2"/>
      <c r="J2385" s="2"/>
    </row>
    <row r="2386" spans="1:10" x14ac:dyDescent="0.35">
      <c r="A2386" s="2" t="s">
        <v>1237</v>
      </c>
      <c r="B2386" s="2" t="s">
        <v>1407</v>
      </c>
      <c r="C2386" s="2" t="s">
        <v>62</v>
      </c>
      <c r="D2386" s="2" t="s">
        <v>1434</v>
      </c>
      <c r="E2386" s="2" t="s">
        <v>1297</v>
      </c>
      <c r="F2386" s="2" t="s">
        <v>533</v>
      </c>
      <c r="G2386" s="2"/>
      <c r="H2386" s="2"/>
      <c r="I2386" s="2"/>
      <c r="J2386" s="2"/>
    </row>
    <row r="2387" spans="1:10" x14ac:dyDescent="0.35">
      <c r="A2387" s="2" t="s">
        <v>1237</v>
      </c>
      <c r="B2387" s="2" t="s">
        <v>1407</v>
      </c>
      <c r="C2387" s="2" t="s">
        <v>62</v>
      </c>
      <c r="D2387" s="2" t="s">
        <v>1434</v>
      </c>
      <c r="E2387" s="2" t="s">
        <v>335</v>
      </c>
      <c r="F2387" s="2" t="s">
        <v>336</v>
      </c>
      <c r="G2387" s="2"/>
      <c r="H2387" s="2"/>
      <c r="I2387" s="2"/>
      <c r="J2387" s="2"/>
    </row>
    <row r="2388" spans="1:10" x14ac:dyDescent="0.35">
      <c r="A2388" s="2" t="s">
        <v>1237</v>
      </c>
      <c r="B2388" s="2" t="s">
        <v>1407</v>
      </c>
      <c r="C2388" s="2" t="s">
        <v>62</v>
      </c>
      <c r="D2388" s="2" t="s">
        <v>1434</v>
      </c>
      <c r="E2388" s="2" t="s">
        <v>337</v>
      </c>
      <c r="F2388" s="2" t="s">
        <v>338</v>
      </c>
      <c r="G2388" s="2"/>
      <c r="H2388" s="2"/>
      <c r="I2388" s="2"/>
      <c r="J2388" s="2"/>
    </row>
    <row r="2389" spans="1:10" x14ac:dyDescent="0.35">
      <c r="A2389" s="2" t="s">
        <v>1237</v>
      </c>
      <c r="B2389" s="2" t="s">
        <v>1407</v>
      </c>
      <c r="C2389" s="2" t="s">
        <v>62</v>
      </c>
      <c r="D2389" s="2" t="s">
        <v>1434</v>
      </c>
      <c r="E2389" s="2" t="s">
        <v>339</v>
      </c>
      <c r="F2389" s="2" t="s">
        <v>340</v>
      </c>
      <c r="G2389" s="2"/>
      <c r="H2389" s="2"/>
      <c r="I2389" s="2"/>
      <c r="J2389" s="2"/>
    </row>
    <row r="2390" spans="1:10" x14ac:dyDescent="0.35">
      <c r="A2390" s="2" t="s">
        <v>1237</v>
      </c>
      <c r="B2390" s="2" t="s">
        <v>1407</v>
      </c>
      <c r="C2390" s="2" t="s">
        <v>62</v>
      </c>
      <c r="D2390" s="2" t="s">
        <v>1434</v>
      </c>
      <c r="E2390" s="2" t="s">
        <v>341</v>
      </c>
      <c r="F2390" s="2" t="s">
        <v>342</v>
      </c>
      <c r="G2390" s="2"/>
      <c r="H2390" s="2"/>
      <c r="I2390" s="2"/>
      <c r="J2390" s="2"/>
    </row>
    <row r="2391" spans="1:10" x14ac:dyDescent="0.35">
      <c r="A2391" s="2" t="s">
        <v>1237</v>
      </c>
      <c r="B2391" s="2" t="s">
        <v>1407</v>
      </c>
      <c r="C2391" s="2" t="s">
        <v>62</v>
      </c>
      <c r="D2391" s="2" t="s">
        <v>1434</v>
      </c>
      <c r="E2391" s="2" t="s">
        <v>343</v>
      </c>
      <c r="F2391" s="2" t="s">
        <v>344</v>
      </c>
      <c r="G2391" s="2"/>
      <c r="H2391" s="2"/>
      <c r="I2391" s="2"/>
      <c r="J2391" s="2"/>
    </row>
    <row r="2392" spans="1:10" x14ac:dyDescent="0.35">
      <c r="A2392" s="2" t="s">
        <v>1237</v>
      </c>
      <c r="B2392" s="2" t="s">
        <v>1407</v>
      </c>
      <c r="C2392" s="2" t="s">
        <v>62</v>
      </c>
      <c r="D2392" s="2" t="s">
        <v>1434</v>
      </c>
      <c r="E2392" s="2" t="s">
        <v>345</v>
      </c>
      <c r="F2392" s="2" t="s">
        <v>346</v>
      </c>
      <c r="G2392" s="2"/>
      <c r="H2392" s="2"/>
      <c r="I2392" s="2"/>
      <c r="J2392" s="2"/>
    </row>
    <row r="2393" spans="1:10" x14ac:dyDescent="0.35">
      <c r="A2393" s="2" t="s">
        <v>1237</v>
      </c>
      <c r="B2393" s="2" t="s">
        <v>1407</v>
      </c>
      <c r="C2393" s="2" t="s">
        <v>62</v>
      </c>
      <c r="D2393" s="2" t="s">
        <v>1435</v>
      </c>
      <c r="E2393" s="2" t="s">
        <v>319</v>
      </c>
      <c r="F2393" s="2" t="s">
        <v>320</v>
      </c>
      <c r="G2393" s="2"/>
      <c r="H2393" s="2"/>
      <c r="I2393" s="2"/>
      <c r="J2393" s="2"/>
    </row>
    <row r="2394" spans="1:10" x14ac:dyDescent="0.35">
      <c r="A2394" s="2" t="s">
        <v>1237</v>
      </c>
      <c r="B2394" s="2" t="s">
        <v>1407</v>
      </c>
      <c r="C2394" s="2" t="s">
        <v>62</v>
      </c>
      <c r="D2394" s="2" t="s">
        <v>1435</v>
      </c>
      <c r="E2394" s="2" t="s">
        <v>321</v>
      </c>
      <c r="F2394" s="2" t="s">
        <v>321</v>
      </c>
      <c r="G2394" s="2"/>
      <c r="H2394" s="2"/>
      <c r="I2394" s="2"/>
      <c r="J2394" s="2"/>
    </row>
    <row r="2395" spans="1:10" x14ac:dyDescent="0.35">
      <c r="A2395" s="2" t="s">
        <v>1237</v>
      </c>
      <c r="B2395" s="2" t="s">
        <v>1407</v>
      </c>
      <c r="C2395" s="2" t="s">
        <v>62</v>
      </c>
      <c r="D2395" s="2" t="s">
        <v>1435</v>
      </c>
      <c r="E2395" s="2" t="s">
        <v>322</v>
      </c>
      <c r="F2395" s="2" t="s">
        <v>246</v>
      </c>
      <c r="G2395" s="2"/>
      <c r="H2395" s="2"/>
      <c r="I2395" s="2"/>
      <c r="J2395" s="2"/>
    </row>
    <row r="2396" spans="1:10" x14ac:dyDescent="0.35">
      <c r="A2396" s="2" t="s">
        <v>1237</v>
      </c>
      <c r="B2396" s="2" t="s">
        <v>1407</v>
      </c>
      <c r="C2396" s="2" t="s">
        <v>62</v>
      </c>
      <c r="D2396" s="2" t="s">
        <v>1435</v>
      </c>
      <c r="E2396" s="2" t="s">
        <v>323</v>
      </c>
      <c r="F2396" s="2" t="s">
        <v>246</v>
      </c>
      <c r="G2396" s="2"/>
      <c r="H2396" s="2"/>
      <c r="I2396" s="2"/>
      <c r="J2396" s="2"/>
    </row>
    <row r="2397" spans="1:10" x14ac:dyDescent="0.35">
      <c r="A2397" s="2" t="s">
        <v>1237</v>
      </c>
      <c r="B2397" s="2" t="s">
        <v>1407</v>
      </c>
      <c r="C2397" s="2" t="s">
        <v>62</v>
      </c>
      <c r="D2397" s="2" t="s">
        <v>1435</v>
      </c>
      <c r="E2397" s="2" t="s">
        <v>324</v>
      </c>
      <c r="F2397" s="2" t="s">
        <v>246</v>
      </c>
      <c r="G2397" s="2"/>
      <c r="H2397" s="2"/>
      <c r="I2397" s="2"/>
      <c r="J2397" s="2"/>
    </row>
    <row r="2398" spans="1:10" x14ac:dyDescent="0.35">
      <c r="A2398" s="2" t="s">
        <v>1237</v>
      </c>
      <c r="B2398" s="2" t="s">
        <v>1407</v>
      </c>
      <c r="C2398" s="2" t="s">
        <v>62</v>
      </c>
      <c r="D2398" s="2" t="s">
        <v>1435</v>
      </c>
      <c r="E2398" s="2" t="s">
        <v>325</v>
      </c>
      <c r="F2398" s="2" t="s">
        <v>1413</v>
      </c>
      <c r="G2398" s="2"/>
      <c r="H2398" s="2"/>
      <c r="I2398" s="2"/>
      <c r="J2398" s="2"/>
    </row>
    <row r="2399" spans="1:10" x14ac:dyDescent="0.35">
      <c r="A2399" s="2" t="s">
        <v>1237</v>
      </c>
      <c r="B2399" s="2" t="s">
        <v>1407</v>
      </c>
      <c r="C2399" s="2" t="s">
        <v>62</v>
      </c>
      <c r="D2399" s="2" t="s">
        <v>1435</v>
      </c>
      <c r="E2399" s="2" t="s">
        <v>327</v>
      </c>
      <c r="F2399" s="2" t="s">
        <v>328</v>
      </c>
      <c r="G2399" s="2"/>
      <c r="H2399" s="2"/>
      <c r="I2399" s="2"/>
      <c r="J2399" s="2"/>
    </row>
    <row r="2400" spans="1:10" x14ac:dyDescent="0.35">
      <c r="A2400" s="2" t="s">
        <v>1237</v>
      </c>
      <c r="B2400" s="2" t="s">
        <v>1407</v>
      </c>
      <c r="C2400" s="2" t="s">
        <v>62</v>
      </c>
      <c r="D2400" s="2" t="s">
        <v>1435</v>
      </c>
      <c r="E2400" s="2" t="s">
        <v>329</v>
      </c>
      <c r="F2400" s="2" t="s">
        <v>330</v>
      </c>
      <c r="G2400" s="2"/>
      <c r="H2400" s="2"/>
      <c r="I2400" s="2"/>
      <c r="J2400" s="2"/>
    </row>
    <row r="2401" spans="1:10" x14ac:dyDescent="0.35">
      <c r="A2401" s="2" t="s">
        <v>1237</v>
      </c>
      <c r="B2401" s="2" t="s">
        <v>1407</v>
      </c>
      <c r="C2401" s="2" t="s">
        <v>62</v>
      </c>
      <c r="D2401" s="2" t="s">
        <v>1435</v>
      </c>
      <c r="E2401" s="2" t="s">
        <v>331</v>
      </c>
      <c r="F2401" s="2" t="s">
        <v>332</v>
      </c>
      <c r="G2401" s="2"/>
      <c r="H2401" s="2"/>
      <c r="I2401" s="2"/>
      <c r="J2401" s="2"/>
    </row>
    <row r="2402" spans="1:10" x14ac:dyDescent="0.35">
      <c r="A2402" s="2" t="s">
        <v>1237</v>
      </c>
      <c r="B2402" s="2" t="s">
        <v>1407</v>
      </c>
      <c r="C2402" s="2" t="s">
        <v>62</v>
      </c>
      <c r="D2402" s="2" t="s">
        <v>1435</v>
      </c>
      <c r="E2402" s="2" t="s">
        <v>333</v>
      </c>
      <c r="F2402" s="2" t="s">
        <v>334</v>
      </c>
      <c r="G2402" s="2"/>
      <c r="H2402" s="2"/>
      <c r="I2402" s="2"/>
      <c r="J2402" s="2"/>
    </row>
    <row r="2403" spans="1:10" x14ac:dyDescent="0.35">
      <c r="A2403" s="2" t="s">
        <v>1237</v>
      </c>
      <c r="B2403" s="2" t="s">
        <v>1407</v>
      </c>
      <c r="C2403" s="2" t="s">
        <v>62</v>
      </c>
      <c r="D2403" s="2" t="s">
        <v>1435</v>
      </c>
      <c r="E2403" s="2" t="s">
        <v>1297</v>
      </c>
      <c r="F2403" s="2" t="s">
        <v>533</v>
      </c>
      <c r="G2403" s="2"/>
      <c r="H2403" s="2"/>
      <c r="I2403" s="2"/>
      <c r="J2403" s="2"/>
    </row>
    <row r="2404" spans="1:10" x14ac:dyDescent="0.35">
      <c r="A2404" s="2" t="s">
        <v>1237</v>
      </c>
      <c r="B2404" s="2" t="s">
        <v>1407</v>
      </c>
      <c r="C2404" s="2" t="s">
        <v>62</v>
      </c>
      <c r="D2404" s="2" t="s">
        <v>1435</v>
      </c>
      <c r="E2404" s="2" t="s">
        <v>335</v>
      </c>
      <c r="F2404" s="2" t="s">
        <v>336</v>
      </c>
      <c r="G2404" s="2"/>
      <c r="H2404" s="2"/>
      <c r="I2404" s="2"/>
      <c r="J2404" s="2"/>
    </row>
    <row r="2405" spans="1:10" x14ac:dyDescent="0.35">
      <c r="A2405" s="2" t="s">
        <v>1237</v>
      </c>
      <c r="B2405" s="2" t="s">
        <v>1407</v>
      </c>
      <c r="C2405" s="2" t="s">
        <v>62</v>
      </c>
      <c r="D2405" s="2" t="s">
        <v>1435</v>
      </c>
      <c r="E2405" s="2" t="s">
        <v>337</v>
      </c>
      <c r="F2405" s="2" t="s">
        <v>338</v>
      </c>
      <c r="G2405" s="2"/>
      <c r="H2405" s="2"/>
      <c r="I2405" s="2"/>
      <c r="J2405" s="2"/>
    </row>
    <row r="2406" spans="1:10" x14ac:dyDescent="0.35">
      <c r="A2406" s="2" t="s">
        <v>1237</v>
      </c>
      <c r="B2406" s="2" t="s">
        <v>1407</v>
      </c>
      <c r="C2406" s="2" t="s">
        <v>62</v>
      </c>
      <c r="D2406" s="2" t="s">
        <v>1435</v>
      </c>
      <c r="E2406" s="2" t="s">
        <v>339</v>
      </c>
      <c r="F2406" s="2" t="s">
        <v>340</v>
      </c>
      <c r="G2406" s="2"/>
      <c r="H2406" s="2"/>
      <c r="I2406" s="2"/>
      <c r="J2406" s="2"/>
    </row>
    <row r="2407" spans="1:10" x14ac:dyDescent="0.35">
      <c r="A2407" s="2" t="s">
        <v>1237</v>
      </c>
      <c r="B2407" s="2" t="s">
        <v>1407</v>
      </c>
      <c r="C2407" s="2" t="s">
        <v>62</v>
      </c>
      <c r="D2407" s="2" t="s">
        <v>1435</v>
      </c>
      <c r="E2407" s="2" t="s">
        <v>341</v>
      </c>
      <c r="F2407" s="2" t="s">
        <v>342</v>
      </c>
      <c r="G2407" s="2"/>
      <c r="H2407" s="2"/>
      <c r="I2407" s="2"/>
      <c r="J2407" s="2"/>
    </row>
    <row r="2408" spans="1:10" x14ac:dyDescent="0.35">
      <c r="A2408" s="2" t="s">
        <v>1237</v>
      </c>
      <c r="B2408" s="2" t="s">
        <v>1407</v>
      </c>
      <c r="C2408" s="2" t="s">
        <v>62</v>
      </c>
      <c r="D2408" s="2" t="s">
        <v>1435</v>
      </c>
      <c r="E2408" s="2" t="s">
        <v>343</v>
      </c>
      <c r="F2408" s="2" t="s">
        <v>344</v>
      </c>
      <c r="G2408" s="2"/>
      <c r="H2408" s="2"/>
      <c r="I2408" s="2"/>
      <c r="J2408" s="2"/>
    </row>
    <row r="2409" spans="1:10" x14ac:dyDescent="0.35">
      <c r="A2409" s="2" t="s">
        <v>1237</v>
      </c>
      <c r="B2409" s="2" t="s">
        <v>1407</v>
      </c>
      <c r="C2409" s="2" t="s">
        <v>62</v>
      </c>
      <c r="D2409" s="2" t="s">
        <v>1435</v>
      </c>
      <c r="E2409" s="2" t="s">
        <v>345</v>
      </c>
      <c r="F2409" s="2" t="s">
        <v>346</v>
      </c>
      <c r="G2409" s="2"/>
      <c r="H2409" s="2"/>
      <c r="I2409" s="2"/>
      <c r="J2409" s="2"/>
    </row>
    <row r="2410" spans="1:10" x14ac:dyDescent="0.35">
      <c r="A2410" s="2" t="s">
        <v>1237</v>
      </c>
      <c r="B2410" s="2" t="s">
        <v>1407</v>
      </c>
      <c r="C2410" s="2" t="s">
        <v>62</v>
      </c>
      <c r="D2410" s="2" t="s">
        <v>1436</v>
      </c>
      <c r="E2410" s="2" t="s">
        <v>319</v>
      </c>
      <c r="F2410" s="2" t="s">
        <v>320</v>
      </c>
      <c r="G2410" s="2"/>
      <c r="H2410" s="2"/>
      <c r="I2410" s="2"/>
      <c r="J2410" s="2"/>
    </row>
    <row r="2411" spans="1:10" x14ac:dyDescent="0.35">
      <c r="A2411" s="2" t="s">
        <v>1237</v>
      </c>
      <c r="B2411" s="2" t="s">
        <v>1407</v>
      </c>
      <c r="C2411" s="2" t="s">
        <v>62</v>
      </c>
      <c r="D2411" s="2" t="s">
        <v>1436</v>
      </c>
      <c r="E2411" s="2" t="s">
        <v>321</v>
      </c>
      <c r="F2411" s="2" t="s">
        <v>321</v>
      </c>
      <c r="G2411" s="2"/>
      <c r="H2411" s="2"/>
      <c r="I2411" s="2"/>
      <c r="J2411" s="2"/>
    </row>
    <row r="2412" spans="1:10" x14ac:dyDescent="0.35">
      <c r="A2412" s="2" t="s">
        <v>1237</v>
      </c>
      <c r="B2412" s="2" t="s">
        <v>1407</v>
      </c>
      <c r="C2412" s="2" t="s">
        <v>62</v>
      </c>
      <c r="D2412" s="2" t="s">
        <v>1436</v>
      </c>
      <c r="E2412" s="2" t="s">
        <v>322</v>
      </c>
      <c r="F2412" s="2" t="s">
        <v>246</v>
      </c>
      <c r="G2412" s="2"/>
      <c r="H2412" s="2"/>
      <c r="I2412" s="2"/>
      <c r="J2412" s="2"/>
    </row>
    <row r="2413" spans="1:10" x14ac:dyDescent="0.35">
      <c r="A2413" s="2" t="s">
        <v>1237</v>
      </c>
      <c r="B2413" s="2" t="s">
        <v>1407</v>
      </c>
      <c r="C2413" s="2" t="s">
        <v>62</v>
      </c>
      <c r="D2413" s="2" t="s">
        <v>1436</v>
      </c>
      <c r="E2413" s="2" t="s">
        <v>323</v>
      </c>
      <c r="F2413" s="2" t="s">
        <v>246</v>
      </c>
      <c r="G2413" s="2"/>
      <c r="H2413" s="2"/>
      <c r="I2413" s="2"/>
      <c r="J2413" s="2"/>
    </row>
    <row r="2414" spans="1:10" x14ac:dyDescent="0.35">
      <c r="A2414" s="2" t="s">
        <v>1237</v>
      </c>
      <c r="B2414" s="2" t="s">
        <v>1407</v>
      </c>
      <c r="C2414" s="2" t="s">
        <v>62</v>
      </c>
      <c r="D2414" s="2" t="s">
        <v>1436</v>
      </c>
      <c r="E2414" s="2" t="s">
        <v>324</v>
      </c>
      <c r="F2414" s="2" t="s">
        <v>246</v>
      </c>
      <c r="G2414" s="2"/>
      <c r="H2414" s="2"/>
      <c r="I2414" s="2"/>
      <c r="J2414" s="2"/>
    </row>
    <row r="2415" spans="1:10" x14ac:dyDescent="0.35">
      <c r="A2415" s="2" t="s">
        <v>1237</v>
      </c>
      <c r="B2415" s="2" t="s">
        <v>1407</v>
      </c>
      <c r="C2415" s="2" t="s">
        <v>62</v>
      </c>
      <c r="D2415" s="2" t="s">
        <v>1436</v>
      </c>
      <c r="E2415" s="2" t="s">
        <v>325</v>
      </c>
      <c r="F2415" s="2" t="s">
        <v>1413</v>
      </c>
      <c r="G2415" s="2"/>
      <c r="H2415" s="2"/>
      <c r="I2415" s="2"/>
      <c r="J2415" s="2"/>
    </row>
    <row r="2416" spans="1:10" x14ac:dyDescent="0.35">
      <c r="A2416" s="2" t="s">
        <v>1237</v>
      </c>
      <c r="B2416" s="2" t="s">
        <v>1407</v>
      </c>
      <c r="C2416" s="2" t="s">
        <v>62</v>
      </c>
      <c r="D2416" s="2" t="s">
        <v>1436</v>
      </c>
      <c r="E2416" s="2" t="s">
        <v>327</v>
      </c>
      <c r="F2416" s="2" t="s">
        <v>328</v>
      </c>
      <c r="G2416" s="2"/>
      <c r="H2416" s="2"/>
      <c r="I2416" s="2"/>
      <c r="J2416" s="2"/>
    </row>
    <row r="2417" spans="1:10" x14ac:dyDescent="0.35">
      <c r="A2417" s="2" t="s">
        <v>1237</v>
      </c>
      <c r="B2417" s="2" t="s">
        <v>1407</v>
      </c>
      <c r="C2417" s="2" t="s">
        <v>62</v>
      </c>
      <c r="D2417" s="2" t="s">
        <v>1436</v>
      </c>
      <c r="E2417" s="2" t="s">
        <v>329</v>
      </c>
      <c r="F2417" s="2" t="s">
        <v>330</v>
      </c>
      <c r="G2417" s="2"/>
      <c r="H2417" s="2"/>
      <c r="I2417" s="2"/>
      <c r="J2417" s="2"/>
    </row>
    <row r="2418" spans="1:10" x14ac:dyDescent="0.35">
      <c r="A2418" s="2" t="s">
        <v>1237</v>
      </c>
      <c r="B2418" s="2" t="s">
        <v>1407</v>
      </c>
      <c r="C2418" s="2" t="s">
        <v>62</v>
      </c>
      <c r="D2418" s="2" t="s">
        <v>1436</v>
      </c>
      <c r="E2418" s="2" t="s">
        <v>331</v>
      </c>
      <c r="F2418" s="2" t="s">
        <v>332</v>
      </c>
      <c r="G2418" s="2"/>
      <c r="H2418" s="2"/>
      <c r="I2418" s="2"/>
      <c r="J2418" s="2"/>
    </row>
    <row r="2419" spans="1:10" x14ac:dyDescent="0.35">
      <c r="A2419" s="2" t="s">
        <v>1237</v>
      </c>
      <c r="B2419" s="2" t="s">
        <v>1407</v>
      </c>
      <c r="C2419" s="2" t="s">
        <v>62</v>
      </c>
      <c r="D2419" s="2" t="s">
        <v>1436</v>
      </c>
      <c r="E2419" s="2" t="s">
        <v>333</v>
      </c>
      <c r="F2419" s="2" t="s">
        <v>334</v>
      </c>
      <c r="G2419" s="2"/>
      <c r="H2419" s="2"/>
      <c r="I2419" s="2"/>
      <c r="J2419" s="2"/>
    </row>
    <row r="2420" spans="1:10" x14ac:dyDescent="0.35">
      <c r="A2420" s="2" t="s">
        <v>1237</v>
      </c>
      <c r="B2420" s="2" t="s">
        <v>1407</v>
      </c>
      <c r="C2420" s="2" t="s">
        <v>62</v>
      </c>
      <c r="D2420" s="2" t="s">
        <v>1436</v>
      </c>
      <c r="E2420" s="2" t="s">
        <v>1297</v>
      </c>
      <c r="F2420" s="2" t="s">
        <v>533</v>
      </c>
      <c r="G2420" s="2"/>
      <c r="H2420" s="2"/>
      <c r="I2420" s="2"/>
      <c r="J2420" s="2"/>
    </row>
    <row r="2421" spans="1:10" x14ac:dyDescent="0.35">
      <c r="A2421" s="2" t="s">
        <v>1237</v>
      </c>
      <c r="B2421" s="2" t="s">
        <v>1407</v>
      </c>
      <c r="C2421" s="2" t="s">
        <v>62</v>
      </c>
      <c r="D2421" s="2" t="s">
        <v>1436</v>
      </c>
      <c r="E2421" s="2" t="s">
        <v>335</v>
      </c>
      <c r="F2421" s="2" t="s">
        <v>336</v>
      </c>
      <c r="G2421" s="2"/>
      <c r="H2421" s="2"/>
      <c r="I2421" s="2"/>
      <c r="J2421" s="2"/>
    </row>
    <row r="2422" spans="1:10" x14ac:dyDescent="0.35">
      <c r="A2422" s="2" t="s">
        <v>1237</v>
      </c>
      <c r="B2422" s="2" t="s">
        <v>1407</v>
      </c>
      <c r="C2422" s="2" t="s">
        <v>62</v>
      </c>
      <c r="D2422" s="2" t="s">
        <v>1436</v>
      </c>
      <c r="E2422" s="2" t="s">
        <v>337</v>
      </c>
      <c r="F2422" s="2" t="s">
        <v>338</v>
      </c>
      <c r="G2422" s="2"/>
      <c r="H2422" s="2"/>
      <c r="I2422" s="2"/>
      <c r="J2422" s="2"/>
    </row>
    <row r="2423" spans="1:10" x14ac:dyDescent="0.35">
      <c r="A2423" s="2" t="s">
        <v>1237</v>
      </c>
      <c r="B2423" s="2" t="s">
        <v>1407</v>
      </c>
      <c r="C2423" s="2" t="s">
        <v>62</v>
      </c>
      <c r="D2423" s="2" t="s">
        <v>1436</v>
      </c>
      <c r="E2423" s="2" t="s">
        <v>339</v>
      </c>
      <c r="F2423" s="2" t="s">
        <v>340</v>
      </c>
      <c r="G2423" s="2"/>
      <c r="H2423" s="2"/>
      <c r="I2423" s="2"/>
      <c r="J2423" s="2"/>
    </row>
    <row r="2424" spans="1:10" x14ac:dyDescent="0.35">
      <c r="A2424" s="2" t="s">
        <v>1237</v>
      </c>
      <c r="B2424" s="2" t="s">
        <v>1407</v>
      </c>
      <c r="C2424" s="2" t="s">
        <v>62</v>
      </c>
      <c r="D2424" s="2" t="s">
        <v>1436</v>
      </c>
      <c r="E2424" s="2" t="s">
        <v>341</v>
      </c>
      <c r="F2424" s="2" t="s">
        <v>342</v>
      </c>
      <c r="G2424" s="2"/>
      <c r="H2424" s="2"/>
      <c r="I2424" s="2"/>
      <c r="J2424" s="2"/>
    </row>
    <row r="2425" spans="1:10" x14ac:dyDescent="0.35">
      <c r="A2425" s="2" t="s">
        <v>1237</v>
      </c>
      <c r="B2425" s="2" t="s">
        <v>1407</v>
      </c>
      <c r="C2425" s="2" t="s">
        <v>62</v>
      </c>
      <c r="D2425" s="2" t="s">
        <v>1436</v>
      </c>
      <c r="E2425" s="2" t="s">
        <v>343</v>
      </c>
      <c r="F2425" s="2" t="s">
        <v>344</v>
      </c>
      <c r="G2425" s="2"/>
      <c r="H2425" s="2"/>
      <c r="I2425" s="2"/>
      <c r="J2425" s="2"/>
    </row>
    <row r="2426" spans="1:10" x14ac:dyDescent="0.35">
      <c r="A2426" s="2" t="s">
        <v>1237</v>
      </c>
      <c r="B2426" s="2" t="s">
        <v>1407</v>
      </c>
      <c r="C2426" s="2" t="s">
        <v>62</v>
      </c>
      <c r="D2426" s="2" t="s">
        <v>1436</v>
      </c>
      <c r="E2426" s="2" t="s">
        <v>345</v>
      </c>
      <c r="F2426" s="2" t="s">
        <v>346</v>
      </c>
      <c r="G2426" s="2"/>
      <c r="H2426" s="2"/>
      <c r="I2426" s="2"/>
      <c r="J2426" s="2"/>
    </row>
    <row r="2427" spans="1:10" x14ac:dyDescent="0.35">
      <c r="A2427" s="2" t="s">
        <v>1237</v>
      </c>
      <c r="B2427" s="2" t="s">
        <v>1407</v>
      </c>
      <c r="C2427" s="2" t="s">
        <v>62</v>
      </c>
      <c r="D2427" s="2" t="s">
        <v>1437</v>
      </c>
      <c r="E2427" s="2" t="s">
        <v>317</v>
      </c>
      <c r="F2427" s="2" t="s">
        <v>318</v>
      </c>
      <c r="G2427" s="2"/>
      <c r="H2427" s="2"/>
      <c r="I2427" s="2"/>
      <c r="J2427" s="2"/>
    </row>
    <row r="2428" spans="1:10" x14ac:dyDescent="0.35">
      <c r="A2428" s="2" t="s">
        <v>1237</v>
      </c>
      <c r="B2428" s="2" t="s">
        <v>1407</v>
      </c>
      <c r="C2428" s="2" t="s">
        <v>62</v>
      </c>
      <c r="D2428" s="2" t="s">
        <v>1437</v>
      </c>
      <c r="E2428" s="2" t="s">
        <v>319</v>
      </c>
      <c r="F2428" s="2" t="s">
        <v>320</v>
      </c>
      <c r="G2428" s="2"/>
      <c r="H2428" s="2"/>
      <c r="I2428" s="2"/>
      <c r="J2428" s="2"/>
    </row>
    <row r="2429" spans="1:10" x14ac:dyDescent="0.35">
      <c r="A2429" s="2" t="s">
        <v>1237</v>
      </c>
      <c r="B2429" s="2" t="s">
        <v>1407</v>
      </c>
      <c r="C2429" s="2" t="s">
        <v>62</v>
      </c>
      <c r="D2429" s="2" t="s">
        <v>1437</v>
      </c>
      <c r="E2429" s="2" t="s">
        <v>321</v>
      </c>
      <c r="F2429" s="2" t="s">
        <v>321</v>
      </c>
      <c r="G2429" s="2"/>
      <c r="H2429" s="2"/>
      <c r="I2429" s="2"/>
      <c r="J2429" s="2"/>
    </row>
    <row r="2430" spans="1:10" x14ac:dyDescent="0.35">
      <c r="A2430" s="2" t="s">
        <v>1237</v>
      </c>
      <c r="B2430" s="2" t="s">
        <v>1407</v>
      </c>
      <c r="C2430" s="2" t="s">
        <v>62</v>
      </c>
      <c r="D2430" s="2" t="s">
        <v>1437</v>
      </c>
      <c r="E2430" s="2" t="s">
        <v>322</v>
      </c>
      <c r="F2430" s="2" t="s">
        <v>246</v>
      </c>
      <c r="G2430" s="2"/>
      <c r="H2430" s="2"/>
      <c r="I2430" s="2"/>
      <c r="J2430" s="2"/>
    </row>
    <row r="2431" spans="1:10" x14ac:dyDescent="0.35">
      <c r="A2431" s="2" t="s">
        <v>1237</v>
      </c>
      <c r="B2431" s="2" t="s">
        <v>1407</v>
      </c>
      <c r="C2431" s="2" t="s">
        <v>62</v>
      </c>
      <c r="D2431" s="2" t="s">
        <v>1437</v>
      </c>
      <c r="E2431" s="2" t="s">
        <v>323</v>
      </c>
      <c r="F2431" s="2" t="s">
        <v>246</v>
      </c>
      <c r="G2431" s="2"/>
      <c r="H2431" s="2"/>
      <c r="I2431" s="2"/>
      <c r="J2431" s="2"/>
    </row>
    <row r="2432" spans="1:10" x14ac:dyDescent="0.35">
      <c r="A2432" s="2" t="s">
        <v>1237</v>
      </c>
      <c r="B2432" s="2" t="s">
        <v>1407</v>
      </c>
      <c r="C2432" s="2" t="s">
        <v>62</v>
      </c>
      <c r="D2432" s="2" t="s">
        <v>1437</v>
      </c>
      <c r="E2432" s="2" t="s">
        <v>324</v>
      </c>
      <c r="F2432" s="2" t="s">
        <v>246</v>
      </c>
      <c r="G2432" s="2"/>
      <c r="H2432" s="2"/>
      <c r="I2432" s="2"/>
      <c r="J2432" s="2"/>
    </row>
    <row r="2433" spans="1:10" x14ac:dyDescent="0.35">
      <c r="A2433" s="2" t="s">
        <v>1237</v>
      </c>
      <c r="B2433" s="2" t="s">
        <v>1407</v>
      </c>
      <c r="C2433" s="2" t="s">
        <v>62</v>
      </c>
      <c r="D2433" s="2" t="s">
        <v>1437</v>
      </c>
      <c r="E2433" s="2" t="s">
        <v>325</v>
      </c>
      <c r="F2433" s="2" t="s">
        <v>326</v>
      </c>
      <c r="G2433" s="2"/>
      <c r="H2433" s="2"/>
      <c r="I2433" s="2"/>
      <c r="J2433" s="2"/>
    </row>
    <row r="2434" spans="1:10" x14ac:dyDescent="0.35">
      <c r="A2434" s="2" t="s">
        <v>1237</v>
      </c>
      <c r="B2434" s="2" t="s">
        <v>1407</v>
      </c>
      <c r="C2434" s="2" t="s">
        <v>62</v>
      </c>
      <c r="D2434" s="2" t="s">
        <v>1437</v>
      </c>
      <c r="E2434" s="2" t="s">
        <v>327</v>
      </c>
      <c r="F2434" s="2" t="s">
        <v>328</v>
      </c>
      <c r="G2434" s="2"/>
      <c r="H2434" s="2"/>
      <c r="I2434" s="2"/>
      <c r="J2434" s="2"/>
    </row>
    <row r="2435" spans="1:10" x14ac:dyDescent="0.35">
      <c r="A2435" s="2" t="s">
        <v>1237</v>
      </c>
      <c r="B2435" s="2" t="s">
        <v>1407</v>
      </c>
      <c r="C2435" s="2" t="s">
        <v>62</v>
      </c>
      <c r="D2435" s="2" t="s">
        <v>1437</v>
      </c>
      <c r="E2435" s="2" t="s">
        <v>329</v>
      </c>
      <c r="F2435" s="2" t="s">
        <v>330</v>
      </c>
      <c r="G2435" s="2"/>
      <c r="H2435" s="2"/>
      <c r="I2435" s="2"/>
      <c r="J2435" s="2"/>
    </row>
    <row r="2436" spans="1:10" x14ac:dyDescent="0.35">
      <c r="A2436" s="2" t="s">
        <v>1237</v>
      </c>
      <c r="B2436" s="2" t="s">
        <v>1407</v>
      </c>
      <c r="C2436" s="2" t="s">
        <v>62</v>
      </c>
      <c r="D2436" s="2" t="s">
        <v>1437</v>
      </c>
      <c r="E2436" s="2" t="s">
        <v>331</v>
      </c>
      <c r="F2436" s="2" t="s">
        <v>332</v>
      </c>
      <c r="G2436" s="2"/>
      <c r="H2436" s="2"/>
      <c r="I2436" s="2"/>
      <c r="J2436" s="2"/>
    </row>
    <row r="2437" spans="1:10" x14ac:dyDescent="0.35">
      <c r="A2437" s="2" t="s">
        <v>1237</v>
      </c>
      <c r="B2437" s="2" t="s">
        <v>1407</v>
      </c>
      <c r="C2437" s="2" t="s">
        <v>62</v>
      </c>
      <c r="D2437" s="2" t="s">
        <v>1437</v>
      </c>
      <c r="E2437" s="2" t="s">
        <v>333</v>
      </c>
      <c r="F2437" s="2" t="s">
        <v>334</v>
      </c>
      <c r="G2437" s="2"/>
      <c r="H2437" s="2"/>
      <c r="I2437" s="2"/>
      <c r="J2437" s="2"/>
    </row>
    <row r="2438" spans="1:10" x14ac:dyDescent="0.35">
      <c r="A2438" s="2" t="s">
        <v>1237</v>
      </c>
      <c r="B2438" s="2" t="s">
        <v>1407</v>
      </c>
      <c r="C2438" s="2" t="s">
        <v>62</v>
      </c>
      <c r="D2438" s="2" t="s">
        <v>1437</v>
      </c>
      <c r="E2438" s="2" t="s">
        <v>1297</v>
      </c>
      <c r="F2438" s="2" t="s">
        <v>533</v>
      </c>
      <c r="G2438" s="2"/>
      <c r="H2438" s="2"/>
      <c r="I2438" s="2"/>
      <c r="J2438" s="2"/>
    </row>
    <row r="2439" spans="1:10" x14ac:dyDescent="0.35">
      <c r="A2439" s="2" t="s">
        <v>1237</v>
      </c>
      <c r="B2439" s="2" t="s">
        <v>1407</v>
      </c>
      <c r="C2439" s="2" t="s">
        <v>62</v>
      </c>
      <c r="D2439" s="2" t="s">
        <v>1437</v>
      </c>
      <c r="E2439" s="2" t="s">
        <v>335</v>
      </c>
      <c r="F2439" s="2" t="s">
        <v>336</v>
      </c>
      <c r="G2439" s="2"/>
      <c r="H2439" s="2"/>
      <c r="I2439" s="2"/>
      <c r="J2439" s="2"/>
    </row>
    <row r="2440" spans="1:10" x14ac:dyDescent="0.35">
      <c r="A2440" s="2" t="s">
        <v>1237</v>
      </c>
      <c r="B2440" s="2" t="s">
        <v>1407</v>
      </c>
      <c r="C2440" s="2" t="s">
        <v>62</v>
      </c>
      <c r="D2440" s="2" t="s">
        <v>1437</v>
      </c>
      <c r="E2440" s="2" t="s">
        <v>337</v>
      </c>
      <c r="F2440" s="2" t="s">
        <v>338</v>
      </c>
      <c r="G2440" s="2"/>
      <c r="H2440" s="2"/>
      <c r="I2440" s="2"/>
      <c r="J2440" s="2"/>
    </row>
    <row r="2441" spans="1:10" x14ac:dyDescent="0.35">
      <c r="A2441" s="2" t="s">
        <v>1237</v>
      </c>
      <c r="B2441" s="2" t="s">
        <v>1407</v>
      </c>
      <c r="C2441" s="2" t="s">
        <v>62</v>
      </c>
      <c r="D2441" s="2" t="s">
        <v>1437</v>
      </c>
      <c r="E2441" s="2" t="s">
        <v>339</v>
      </c>
      <c r="F2441" s="2" t="s">
        <v>340</v>
      </c>
      <c r="G2441" s="2"/>
      <c r="H2441" s="2"/>
      <c r="I2441" s="2"/>
      <c r="J2441" s="2"/>
    </row>
    <row r="2442" spans="1:10" x14ac:dyDescent="0.35">
      <c r="A2442" s="2" t="s">
        <v>1237</v>
      </c>
      <c r="B2442" s="2" t="s">
        <v>1407</v>
      </c>
      <c r="C2442" s="2" t="s">
        <v>62</v>
      </c>
      <c r="D2442" s="2" t="s">
        <v>1437</v>
      </c>
      <c r="E2442" s="2" t="s">
        <v>341</v>
      </c>
      <c r="F2442" s="2" t="s">
        <v>342</v>
      </c>
      <c r="G2442" s="2"/>
      <c r="H2442" s="2"/>
      <c r="I2442" s="2"/>
      <c r="J2442" s="2"/>
    </row>
    <row r="2443" spans="1:10" x14ac:dyDescent="0.35">
      <c r="A2443" s="2" t="s">
        <v>1237</v>
      </c>
      <c r="B2443" s="2" t="s">
        <v>1407</v>
      </c>
      <c r="C2443" s="2" t="s">
        <v>62</v>
      </c>
      <c r="D2443" s="2" t="s">
        <v>1437</v>
      </c>
      <c r="E2443" s="2" t="s">
        <v>343</v>
      </c>
      <c r="F2443" s="2" t="s">
        <v>344</v>
      </c>
      <c r="G2443" s="2"/>
      <c r="H2443" s="2"/>
      <c r="I2443" s="2"/>
      <c r="J2443" s="2"/>
    </row>
    <row r="2444" spans="1:10" x14ac:dyDescent="0.35">
      <c r="A2444" s="2" t="s">
        <v>1237</v>
      </c>
      <c r="B2444" s="2" t="s">
        <v>1407</v>
      </c>
      <c r="C2444" s="2" t="s">
        <v>62</v>
      </c>
      <c r="D2444" s="2" t="s">
        <v>1437</v>
      </c>
      <c r="E2444" s="2" t="s">
        <v>345</v>
      </c>
      <c r="F2444" s="2" t="s">
        <v>346</v>
      </c>
      <c r="G2444" s="2"/>
      <c r="H2444" s="2"/>
      <c r="I2444" s="2"/>
      <c r="J2444" s="2"/>
    </row>
    <row r="2445" spans="1:10" x14ac:dyDescent="0.35">
      <c r="A2445" s="2" t="s">
        <v>1237</v>
      </c>
      <c r="B2445" s="2" t="s">
        <v>1407</v>
      </c>
      <c r="C2445" s="2" t="s">
        <v>62</v>
      </c>
      <c r="D2445" s="2" t="s">
        <v>1438</v>
      </c>
      <c r="E2445" s="2" t="s">
        <v>196</v>
      </c>
      <c r="F2445" s="2" t="s">
        <v>197</v>
      </c>
      <c r="G2445" s="2"/>
      <c r="H2445" s="2"/>
      <c r="I2445" s="2"/>
      <c r="J2445" s="2"/>
    </row>
    <row r="2446" spans="1:10" x14ac:dyDescent="0.35">
      <c r="A2446" s="2" t="s">
        <v>1237</v>
      </c>
      <c r="B2446" s="2" t="s">
        <v>1407</v>
      </c>
      <c r="C2446" s="2" t="s">
        <v>62</v>
      </c>
      <c r="D2446" s="2" t="s">
        <v>1438</v>
      </c>
      <c r="E2446" s="2" t="s">
        <v>319</v>
      </c>
      <c r="F2446" s="2" t="s">
        <v>320</v>
      </c>
      <c r="G2446" s="2"/>
      <c r="H2446" s="2"/>
      <c r="I2446" s="2"/>
      <c r="J2446" s="2"/>
    </row>
    <row r="2447" spans="1:10" x14ac:dyDescent="0.35">
      <c r="A2447" s="2" t="s">
        <v>1237</v>
      </c>
      <c r="B2447" s="2" t="s">
        <v>1407</v>
      </c>
      <c r="C2447" s="2" t="s">
        <v>62</v>
      </c>
      <c r="D2447" s="2" t="s">
        <v>1438</v>
      </c>
      <c r="E2447" s="2" t="s">
        <v>18</v>
      </c>
      <c r="F2447" s="2" t="s">
        <v>19</v>
      </c>
      <c r="G2447" s="2" t="s">
        <v>20</v>
      </c>
      <c r="H2447" s="2" t="s">
        <v>1439</v>
      </c>
      <c r="I2447" s="2"/>
      <c r="J2447" s="2"/>
    </row>
    <row r="2448" spans="1:10" x14ac:dyDescent="0.35">
      <c r="A2448" s="2" t="s">
        <v>1237</v>
      </c>
      <c r="B2448" s="2" t="s">
        <v>1407</v>
      </c>
      <c r="C2448" s="2" t="s">
        <v>62</v>
      </c>
      <c r="D2448" s="2" t="s">
        <v>1438</v>
      </c>
      <c r="E2448" s="2" t="s">
        <v>321</v>
      </c>
      <c r="F2448" s="2" t="s">
        <v>321</v>
      </c>
      <c r="G2448" s="2"/>
      <c r="H2448" s="2"/>
      <c r="I2448" s="2"/>
      <c r="J2448" s="2"/>
    </row>
    <row r="2449" spans="1:10" x14ac:dyDescent="0.35">
      <c r="A2449" s="2" t="s">
        <v>1237</v>
      </c>
      <c r="B2449" s="2" t="s">
        <v>1407</v>
      </c>
      <c r="C2449" s="2" t="s">
        <v>62</v>
      </c>
      <c r="D2449" s="2" t="s">
        <v>1438</v>
      </c>
      <c r="E2449" s="2" t="s">
        <v>322</v>
      </c>
      <c r="F2449" s="2" t="s">
        <v>246</v>
      </c>
      <c r="G2449" s="2"/>
      <c r="H2449" s="2"/>
      <c r="I2449" s="2"/>
      <c r="J2449" s="2"/>
    </row>
    <row r="2450" spans="1:10" x14ac:dyDescent="0.35">
      <c r="A2450" s="2" t="s">
        <v>1237</v>
      </c>
      <c r="B2450" s="2" t="s">
        <v>1407</v>
      </c>
      <c r="C2450" s="2" t="s">
        <v>62</v>
      </c>
      <c r="D2450" s="2" t="s">
        <v>1438</v>
      </c>
      <c r="E2450" s="2" t="s">
        <v>323</v>
      </c>
      <c r="F2450" s="2" t="s">
        <v>246</v>
      </c>
      <c r="G2450" s="2"/>
      <c r="H2450" s="2"/>
      <c r="I2450" s="2"/>
      <c r="J2450" s="2"/>
    </row>
    <row r="2451" spans="1:10" x14ac:dyDescent="0.35">
      <c r="A2451" s="2" t="s">
        <v>1237</v>
      </c>
      <c r="B2451" s="2" t="s">
        <v>1407</v>
      </c>
      <c r="C2451" s="2" t="s">
        <v>62</v>
      </c>
      <c r="D2451" s="2" t="s">
        <v>1438</v>
      </c>
      <c r="E2451" s="2" t="s">
        <v>324</v>
      </c>
      <c r="F2451" s="2" t="s">
        <v>246</v>
      </c>
      <c r="G2451" s="2"/>
      <c r="H2451" s="2"/>
      <c r="I2451" s="2"/>
      <c r="J2451" s="2"/>
    </row>
    <row r="2452" spans="1:10" x14ac:dyDescent="0.35">
      <c r="A2452" s="2" t="s">
        <v>1237</v>
      </c>
      <c r="B2452" s="2" t="s">
        <v>1407</v>
      </c>
      <c r="C2452" s="2" t="s">
        <v>62</v>
      </c>
      <c r="D2452" s="2" t="s">
        <v>1438</v>
      </c>
      <c r="E2452" s="2" t="s">
        <v>325</v>
      </c>
      <c r="F2452" s="2" t="s">
        <v>326</v>
      </c>
      <c r="G2452" s="2"/>
      <c r="H2452" s="2"/>
      <c r="I2452" s="2"/>
      <c r="J2452" s="2"/>
    </row>
    <row r="2453" spans="1:10" x14ac:dyDescent="0.35">
      <c r="A2453" s="2" t="s">
        <v>1237</v>
      </c>
      <c r="B2453" s="2" t="s">
        <v>1407</v>
      </c>
      <c r="C2453" s="2" t="s">
        <v>62</v>
      </c>
      <c r="D2453" s="2" t="s">
        <v>1438</v>
      </c>
      <c r="E2453" s="2" t="s">
        <v>327</v>
      </c>
      <c r="F2453" s="2" t="s">
        <v>328</v>
      </c>
      <c r="G2453" s="2"/>
      <c r="H2453" s="2"/>
      <c r="I2453" s="2"/>
      <c r="J2453" s="2"/>
    </row>
    <row r="2454" spans="1:10" x14ac:dyDescent="0.35">
      <c r="A2454" s="2" t="s">
        <v>1237</v>
      </c>
      <c r="B2454" s="2" t="s">
        <v>1407</v>
      </c>
      <c r="C2454" s="2" t="s">
        <v>62</v>
      </c>
      <c r="D2454" s="2" t="s">
        <v>1438</v>
      </c>
      <c r="E2454" s="2" t="s">
        <v>329</v>
      </c>
      <c r="F2454" s="2" t="s">
        <v>330</v>
      </c>
      <c r="G2454" s="2"/>
      <c r="H2454" s="2"/>
      <c r="I2454" s="2"/>
      <c r="J2454" s="2"/>
    </row>
    <row r="2455" spans="1:10" x14ac:dyDescent="0.35">
      <c r="A2455" s="2" t="s">
        <v>1237</v>
      </c>
      <c r="B2455" s="2" t="s">
        <v>1407</v>
      </c>
      <c r="C2455" s="2" t="s">
        <v>62</v>
      </c>
      <c r="D2455" s="2" t="s">
        <v>1438</v>
      </c>
      <c r="E2455" s="2" t="s">
        <v>331</v>
      </c>
      <c r="F2455" s="2" t="s">
        <v>332</v>
      </c>
      <c r="G2455" s="2"/>
      <c r="H2455" s="2"/>
      <c r="I2455" s="2"/>
      <c r="J2455" s="2"/>
    </row>
    <row r="2456" spans="1:10" x14ac:dyDescent="0.35">
      <c r="A2456" s="2" t="s">
        <v>1237</v>
      </c>
      <c r="B2456" s="2" t="s">
        <v>1407</v>
      </c>
      <c r="C2456" s="2" t="s">
        <v>62</v>
      </c>
      <c r="D2456" s="2" t="s">
        <v>1438</v>
      </c>
      <c r="E2456" s="2" t="s">
        <v>333</v>
      </c>
      <c r="F2456" s="2" t="s">
        <v>334</v>
      </c>
      <c r="G2456" s="2"/>
      <c r="H2456" s="2"/>
      <c r="I2456" s="2"/>
      <c r="J2456" s="2"/>
    </row>
    <row r="2457" spans="1:10" x14ac:dyDescent="0.35">
      <c r="A2457" s="2" t="s">
        <v>1237</v>
      </c>
      <c r="B2457" s="2" t="s">
        <v>1407</v>
      </c>
      <c r="C2457" s="2" t="s">
        <v>62</v>
      </c>
      <c r="D2457" s="2" t="s">
        <v>1438</v>
      </c>
      <c r="E2457" s="2" t="s">
        <v>1297</v>
      </c>
      <c r="F2457" s="2" t="s">
        <v>533</v>
      </c>
      <c r="G2457" s="2" t="s">
        <v>20</v>
      </c>
      <c r="H2457" s="2" t="s">
        <v>1440</v>
      </c>
      <c r="I2457" s="2"/>
      <c r="J2457" s="2"/>
    </row>
    <row r="2458" spans="1:10" x14ac:dyDescent="0.35">
      <c r="A2458" s="2" t="s">
        <v>1237</v>
      </c>
      <c r="B2458" s="2" t="s">
        <v>1407</v>
      </c>
      <c r="C2458" s="2" t="s">
        <v>62</v>
      </c>
      <c r="D2458" s="2" t="s">
        <v>1438</v>
      </c>
      <c r="E2458" s="2" t="s">
        <v>335</v>
      </c>
      <c r="F2458" s="2" t="s">
        <v>336</v>
      </c>
      <c r="G2458" s="2"/>
      <c r="H2458" s="2"/>
      <c r="I2458" s="2"/>
      <c r="J2458" s="2"/>
    </row>
    <row r="2459" spans="1:10" x14ac:dyDescent="0.35">
      <c r="A2459" s="2" t="s">
        <v>1237</v>
      </c>
      <c r="B2459" s="2" t="s">
        <v>1407</v>
      </c>
      <c r="C2459" s="2" t="s">
        <v>62</v>
      </c>
      <c r="D2459" s="2" t="s">
        <v>1438</v>
      </c>
      <c r="E2459" s="2" t="s">
        <v>337</v>
      </c>
      <c r="F2459" s="2" t="s">
        <v>338</v>
      </c>
      <c r="G2459" s="2"/>
      <c r="H2459" s="2"/>
      <c r="I2459" s="2"/>
      <c r="J2459" s="2"/>
    </row>
    <row r="2460" spans="1:10" x14ac:dyDescent="0.35">
      <c r="A2460" s="2" t="s">
        <v>1237</v>
      </c>
      <c r="B2460" s="2" t="s">
        <v>1407</v>
      </c>
      <c r="C2460" s="2" t="s">
        <v>62</v>
      </c>
      <c r="D2460" s="2" t="s">
        <v>1438</v>
      </c>
      <c r="E2460" s="2" t="s">
        <v>339</v>
      </c>
      <c r="F2460" s="2" t="s">
        <v>340</v>
      </c>
      <c r="G2460" s="2"/>
      <c r="H2460" s="2"/>
      <c r="I2460" s="2"/>
      <c r="J2460" s="2"/>
    </row>
    <row r="2461" spans="1:10" x14ac:dyDescent="0.35">
      <c r="A2461" s="2" t="s">
        <v>1237</v>
      </c>
      <c r="B2461" s="2" t="s">
        <v>1407</v>
      </c>
      <c r="C2461" s="2" t="s">
        <v>62</v>
      </c>
      <c r="D2461" s="2" t="s">
        <v>1438</v>
      </c>
      <c r="E2461" s="2" t="s">
        <v>341</v>
      </c>
      <c r="F2461" s="2" t="s">
        <v>342</v>
      </c>
      <c r="G2461" s="2"/>
      <c r="H2461" s="2"/>
      <c r="I2461" s="2"/>
      <c r="J2461" s="2"/>
    </row>
    <row r="2462" spans="1:10" x14ac:dyDescent="0.35">
      <c r="A2462" s="2" t="s">
        <v>1237</v>
      </c>
      <c r="B2462" s="2" t="s">
        <v>1407</v>
      </c>
      <c r="C2462" s="2" t="s">
        <v>62</v>
      </c>
      <c r="D2462" s="2" t="s">
        <v>1438</v>
      </c>
      <c r="E2462" s="2" t="s">
        <v>343</v>
      </c>
      <c r="F2462" s="2" t="s">
        <v>344</v>
      </c>
      <c r="G2462" s="2"/>
      <c r="H2462" s="2"/>
      <c r="I2462" s="2"/>
      <c r="J2462" s="2"/>
    </row>
    <row r="2463" spans="1:10" x14ac:dyDescent="0.35">
      <c r="A2463" s="2" t="s">
        <v>1237</v>
      </c>
      <c r="B2463" s="2" t="s">
        <v>1407</v>
      </c>
      <c r="C2463" s="2" t="s">
        <v>62</v>
      </c>
      <c r="D2463" s="2" t="s">
        <v>1438</v>
      </c>
      <c r="E2463" s="2" t="s">
        <v>345</v>
      </c>
      <c r="F2463" s="2" t="s">
        <v>346</v>
      </c>
      <c r="G2463" s="2"/>
      <c r="H2463" s="2"/>
      <c r="I2463" s="2"/>
      <c r="J2463" s="2"/>
    </row>
    <row r="2464" spans="1:10" x14ac:dyDescent="0.35">
      <c r="A2464" s="2" t="s">
        <v>1237</v>
      </c>
      <c r="B2464" s="2" t="s">
        <v>1407</v>
      </c>
      <c r="C2464" s="2" t="s">
        <v>62</v>
      </c>
      <c r="D2464" s="2" t="s">
        <v>1441</v>
      </c>
      <c r="E2464" s="2" t="s">
        <v>317</v>
      </c>
      <c r="F2464" s="2" t="s">
        <v>318</v>
      </c>
      <c r="G2464" s="2"/>
      <c r="H2464" s="2"/>
      <c r="I2464" s="2"/>
      <c r="J2464" s="2"/>
    </row>
    <row r="2465" spans="1:10" x14ac:dyDescent="0.35">
      <c r="A2465" s="2" t="s">
        <v>1237</v>
      </c>
      <c r="B2465" s="2" t="s">
        <v>1407</v>
      </c>
      <c r="C2465" s="2" t="s">
        <v>62</v>
      </c>
      <c r="D2465" s="2" t="s">
        <v>1441</v>
      </c>
      <c r="E2465" s="2" t="s">
        <v>87</v>
      </c>
      <c r="F2465" s="2" t="s">
        <v>75</v>
      </c>
      <c r="G2465" s="2"/>
      <c r="H2465" s="2"/>
      <c r="I2465" s="2"/>
      <c r="J2465" s="2"/>
    </row>
    <row r="2466" spans="1:10" x14ac:dyDescent="0.35">
      <c r="A2466" s="2" t="s">
        <v>1237</v>
      </c>
      <c r="B2466" s="2" t="s">
        <v>1407</v>
      </c>
      <c r="C2466" s="2" t="s">
        <v>62</v>
      </c>
      <c r="D2466" s="2" t="s">
        <v>1441</v>
      </c>
      <c r="E2466" s="2" t="s">
        <v>1051</v>
      </c>
      <c r="F2466" s="2" t="s">
        <v>318</v>
      </c>
      <c r="G2466" s="2"/>
      <c r="H2466" s="2"/>
      <c r="I2466" s="2"/>
      <c r="J2466" s="2"/>
    </row>
    <row r="2467" spans="1:10" s="21" customFormat="1" x14ac:dyDescent="0.35">
      <c r="A2467" s="2" t="s">
        <v>1237</v>
      </c>
      <c r="B2467" s="2" t="s">
        <v>1407</v>
      </c>
      <c r="C2467" s="2" t="s">
        <v>62</v>
      </c>
      <c r="D2467" s="2" t="s">
        <v>1441</v>
      </c>
      <c r="E2467" s="2" t="s">
        <v>333</v>
      </c>
      <c r="F2467" s="2" t="s">
        <v>334</v>
      </c>
      <c r="G2467" s="2"/>
      <c r="H2467" s="2"/>
      <c r="I2467" s="2"/>
      <c r="J2467" s="2"/>
    </row>
    <row r="2468" spans="1:10" x14ac:dyDescent="0.35">
      <c r="A2468" s="2" t="s">
        <v>1237</v>
      </c>
      <c r="B2468" s="2" t="s">
        <v>1407</v>
      </c>
      <c r="C2468" s="2" t="s">
        <v>62</v>
      </c>
      <c r="D2468" s="2" t="s">
        <v>1442</v>
      </c>
      <c r="E2468" s="2" t="s">
        <v>196</v>
      </c>
      <c r="F2468" s="2" t="s">
        <v>197</v>
      </c>
      <c r="G2468" s="2"/>
      <c r="H2468" s="2"/>
      <c r="I2468" s="2"/>
      <c r="J2468" s="2"/>
    </row>
    <row r="2469" spans="1:10" x14ac:dyDescent="0.35">
      <c r="A2469" s="2" t="s">
        <v>1237</v>
      </c>
      <c r="B2469" s="2" t="s">
        <v>1407</v>
      </c>
      <c r="C2469" s="2" t="s">
        <v>62</v>
      </c>
      <c r="D2469" s="2" t="s">
        <v>1442</v>
      </c>
      <c r="E2469" s="2" t="s">
        <v>1443</v>
      </c>
      <c r="F2469" s="2" t="s">
        <v>75</v>
      </c>
      <c r="G2469" s="2"/>
      <c r="H2469" s="2"/>
      <c r="I2469" s="2"/>
      <c r="J2469" s="2"/>
    </row>
    <row r="2470" spans="1:10" x14ac:dyDescent="0.35">
      <c r="A2470" s="2" t="s">
        <v>1237</v>
      </c>
      <c r="B2470" s="2" t="s">
        <v>1407</v>
      </c>
      <c r="C2470" s="2" t="s">
        <v>62</v>
      </c>
      <c r="D2470" s="2" t="s">
        <v>1442</v>
      </c>
      <c r="E2470" s="2" t="s">
        <v>317</v>
      </c>
      <c r="F2470" s="2" t="s">
        <v>318</v>
      </c>
      <c r="G2470" s="2"/>
      <c r="H2470" s="2"/>
      <c r="I2470" s="2"/>
      <c r="J2470" s="2"/>
    </row>
    <row r="2471" spans="1:10" x14ac:dyDescent="0.35">
      <c r="A2471" s="2" t="s">
        <v>1237</v>
      </c>
      <c r="B2471" s="2" t="s">
        <v>1407</v>
      </c>
      <c r="C2471" s="2" t="s">
        <v>62</v>
      </c>
      <c r="D2471" s="2" t="s">
        <v>1442</v>
      </c>
      <c r="E2471" s="2" t="s">
        <v>1444</v>
      </c>
      <c r="F2471" s="2" t="s">
        <v>83</v>
      </c>
      <c r="G2471" s="2"/>
      <c r="H2471" s="2"/>
      <c r="I2471" s="2"/>
      <c r="J2471" s="2"/>
    </row>
    <row r="2472" spans="1:10" x14ac:dyDescent="0.35">
      <c r="A2472" s="2" t="s">
        <v>1237</v>
      </c>
      <c r="B2472" s="2" t="s">
        <v>1407</v>
      </c>
      <c r="C2472" s="2" t="s">
        <v>62</v>
      </c>
      <c r="D2472" s="2" t="s">
        <v>1442</v>
      </c>
      <c r="E2472" s="2" t="s">
        <v>319</v>
      </c>
      <c r="F2472" s="2" t="s">
        <v>320</v>
      </c>
      <c r="G2472" s="2"/>
      <c r="H2472" s="2"/>
      <c r="I2472" s="2"/>
      <c r="J2472" s="2"/>
    </row>
    <row r="2473" spans="1:10" x14ac:dyDescent="0.35">
      <c r="A2473" s="2" t="s">
        <v>1237</v>
      </c>
      <c r="B2473" s="2" t="s">
        <v>1407</v>
      </c>
      <c r="C2473" s="2" t="s">
        <v>62</v>
      </c>
      <c r="D2473" s="2" t="s">
        <v>1442</v>
      </c>
      <c r="E2473" s="2" t="s">
        <v>1050</v>
      </c>
      <c r="F2473" s="2" t="s">
        <v>75</v>
      </c>
      <c r="G2473" s="2"/>
      <c r="H2473" s="2"/>
      <c r="I2473" s="2"/>
      <c r="J2473" s="2"/>
    </row>
    <row r="2474" spans="1:10" x14ac:dyDescent="0.35">
      <c r="A2474" s="2" t="s">
        <v>1237</v>
      </c>
      <c r="B2474" s="2" t="s">
        <v>1407</v>
      </c>
      <c r="C2474" s="2" t="s">
        <v>62</v>
      </c>
      <c r="D2474" s="2" t="s">
        <v>1442</v>
      </c>
      <c r="E2474" s="2" t="s">
        <v>321</v>
      </c>
      <c r="F2474" s="2" t="s">
        <v>321</v>
      </c>
      <c r="G2474" s="2"/>
      <c r="H2474" s="2"/>
      <c r="I2474" s="2"/>
      <c r="J2474" s="2"/>
    </row>
    <row r="2475" spans="1:10" x14ac:dyDescent="0.35">
      <c r="A2475" s="2" t="s">
        <v>1237</v>
      </c>
      <c r="B2475" s="2" t="s">
        <v>1407</v>
      </c>
      <c r="C2475" s="2" t="s">
        <v>62</v>
      </c>
      <c r="D2475" s="2" t="s">
        <v>1442</v>
      </c>
      <c r="E2475" s="2" t="s">
        <v>323</v>
      </c>
      <c r="F2475" s="2" t="s">
        <v>246</v>
      </c>
      <c r="G2475" s="2"/>
      <c r="H2475" s="2"/>
      <c r="I2475" s="2"/>
      <c r="J2475" s="2"/>
    </row>
    <row r="2476" spans="1:10" x14ac:dyDescent="0.35">
      <c r="A2476" s="2" t="s">
        <v>1237</v>
      </c>
      <c r="B2476" s="2" t="s">
        <v>1407</v>
      </c>
      <c r="C2476" s="2" t="s">
        <v>62</v>
      </c>
      <c r="D2476" s="2" t="s">
        <v>1442</v>
      </c>
      <c r="E2476" s="2" t="s">
        <v>324</v>
      </c>
      <c r="F2476" s="2" t="s">
        <v>246</v>
      </c>
      <c r="G2476" s="2"/>
      <c r="H2476" s="2"/>
      <c r="I2476" s="2"/>
      <c r="J2476" s="2"/>
    </row>
    <row r="2477" spans="1:10" x14ac:dyDescent="0.35">
      <c r="A2477" s="2" t="s">
        <v>1237</v>
      </c>
      <c r="B2477" s="2" t="s">
        <v>1407</v>
      </c>
      <c r="C2477" s="2" t="s">
        <v>62</v>
      </c>
      <c r="D2477" s="2" t="s">
        <v>1442</v>
      </c>
      <c r="E2477" s="2" t="s">
        <v>325</v>
      </c>
      <c r="F2477" s="2" t="s">
        <v>326</v>
      </c>
      <c r="G2477" s="2"/>
      <c r="H2477" s="2"/>
      <c r="I2477" s="2"/>
      <c r="J2477" s="2"/>
    </row>
    <row r="2478" spans="1:10" x14ac:dyDescent="0.35">
      <c r="A2478" s="2" t="s">
        <v>1237</v>
      </c>
      <c r="B2478" s="2" t="s">
        <v>1407</v>
      </c>
      <c r="C2478" s="2" t="s">
        <v>62</v>
      </c>
      <c r="D2478" s="2" t="s">
        <v>1442</v>
      </c>
      <c r="E2478" s="2" t="s">
        <v>327</v>
      </c>
      <c r="F2478" s="2" t="s">
        <v>328</v>
      </c>
      <c r="G2478" s="2"/>
      <c r="H2478" s="2"/>
      <c r="I2478" s="2"/>
      <c r="J2478" s="2"/>
    </row>
    <row r="2479" spans="1:10" x14ac:dyDescent="0.35">
      <c r="A2479" s="2" t="s">
        <v>1237</v>
      </c>
      <c r="B2479" s="2" t="s">
        <v>1407</v>
      </c>
      <c r="C2479" s="2" t="s">
        <v>62</v>
      </c>
      <c r="D2479" s="2" t="s">
        <v>1442</v>
      </c>
      <c r="E2479" s="2" t="s">
        <v>329</v>
      </c>
      <c r="F2479" s="2" t="s">
        <v>330</v>
      </c>
      <c r="G2479" s="2"/>
      <c r="H2479" s="2"/>
      <c r="I2479" s="2"/>
      <c r="J2479" s="2"/>
    </row>
    <row r="2480" spans="1:10" x14ac:dyDescent="0.35">
      <c r="A2480" s="2" t="s">
        <v>1237</v>
      </c>
      <c r="B2480" s="2" t="s">
        <v>1407</v>
      </c>
      <c r="C2480" s="2" t="s">
        <v>62</v>
      </c>
      <c r="D2480" s="2" t="s">
        <v>1442</v>
      </c>
      <c r="E2480" s="2" t="s">
        <v>331</v>
      </c>
      <c r="F2480" s="2" t="s">
        <v>332</v>
      </c>
      <c r="G2480" s="2"/>
      <c r="H2480" s="2"/>
      <c r="I2480" s="2"/>
      <c r="J2480" s="2"/>
    </row>
    <row r="2481" spans="1:10" x14ac:dyDescent="0.35">
      <c r="A2481" s="2" t="s">
        <v>1237</v>
      </c>
      <c r="B2481" s="2" t="s">
        <v>1407</v>
      </c>
      <c r="C2481" s="2" t="s">
        <v>62</v>
      </c>
      <c r="D2481" s="2" t="s">
        <v>1442</v>
      </c>
      <c r="E2481" s="2" t="s">
        <v>333</v>
      </c>
      <c r="F2481" s="2" t="s">
        <v>334</v>
      </c>
      <c r="G2481" s="2"/>
      <c r="H2481" s="2"/>
      <c r="I2481" s="2"/>
      <c r="J2481" s="2"/>
    </row>
    <row r="2482" spans="1:10" x14ac:dyDescent="0.35">
      <c r="A2482" s="2" t="s">
        <v>1237</v>
      </c>
      <c r="B2482" s="2" t="s">
        <v>1407</v>
      </c>
      <c r="C2482" s="2" t="s">
        <v>62</v>
      </c>
      <c r="D2482" s="2" t="s">
        <v>1442</v>
      </c>
      <c r="E2482" s="2" t="s">
        <v>1297</v>
      </c>
      <c r="F2482" s="2" t="s">
        <v>533</v>
      </c>
      <c r="G2482" s="2"/>
      <c r="H2482" s="2"/>
      <c r="I2482" s="2"/>
      <c r="J2482" s="2"/>
    </row>
    <row r="2483" spans="1:10" x14ac:dyDescent="0.35">
      <c r="A2483" s="2" t="s">
        <v>1237</v>
      </c>
      <c r="B2483" s="2" t="s">
        <v>1407</v>
      </c>
      <c r="C2483" s="2" t="s">
        <v>62</v>
      </c>
      <c r="D2483" s="2" t="s">
        <v>1442</v>
      </c>
      <c r="E2483" s="2" t="s">
        <v>335</v>
      </c>
      <c r="F2483" s="2" t="s">
        <v>336</v>
      </c>
      <c r="G2483" s="2"/>
      <c r="H2483" s="2"/>
      <c r="I2483" s="2"/>
      <c r="J2483" s="2"/>
    </row>
    <row r="2484" spans="1:10" x14ac:dyDescent="0.35">
      <c r="A2484" s="2" t="s">
        <v>1237</v>
      </c>
      <c r="B2484" s="2" t="s">
        <v>1407</v>
      </c>
      <c r="C2484" s="2" t="s">
        <v>62</v>
      </c>
      <c r="D2484" s="2" t="s">
        <v>1442</v>
      </c>
      <c r="E2484" s="2" t="s">
        <v>337</v>
      </c>
      <c r="F2484" s="2" t="s">
        <v>338</v>
      </c>
      <c r="G2484" s="2"/>
      <c r="H2484" s="2"/>
      <c r="I2484" s="2"/>
      <c r="J2484" s="2"/>
    </row>
    <row r="2485" spans="1:10" x14ac:dyDescent="0.35">
      <c r="A2485" s="2" t="s">
        <v>1237</v>
      </c>
      <c r="B2485" s="2" t="s">
        <v>1407</v>
      </c>
      <c r="C2485" s="2" t="s">
        <v>62</v>
      </c>
      <c r="D2485" s="2" t="s">
        <v>1442</v>
      </c>
      <c r="E2485" s="2" t="s">
        <v>339</v>
      </c>
      <c r="F2485" s="2" t="s">
        <v>340</v>
      </c>
      <c r="G2485" s="2"/>
      <c r="H2485" s="2"/>
      <c r="I2485" s="2"/>
      <c r="J2485" s="2"/>
    </row>
    <row r="2486" spans="1:10" x14ac:dyDescent="0.35">
      <c r="A2486" s="2" t="s">
        <v>1237</v>
      </c>
      <c r="B2486" s="2" t="s">
        <v>1407</v>
      </c>
      <c r="C2486" s="2" t="s">
        <v>62</v>
      </c>
      <c r="D2486" s="2" t="s">
        <v>1442</v>
      </c>
      <c r="E2486" s="2" t="s">
        <v>341</v>
      </c>
      <c r="F2486" s="2" t="s">
        <v>342</v>
      </c>
      <c r="G2486" s="2"/>
      <c r="H2486" s="2"/>
      <c r="I2486" s="2"/>
      <c r="J2486" s="2"/>
    </row>
    <row r="2487" spans="1:10" x14ac:dyDescent="0.35">
      <c r="A2487" s="2" t="s">
        <v>1237</v>
      </c>
      <c r="B2487" s="2" t="s">
        <v>1407</v>
      </c>
      <c r="C2487" s="2" t="s">
        <v>62</v>
      </c>
      <c r="D2487" s="2" t="s">
        <v>1442</v>
      </c>
      <c r="E2487" s="2" t="s">
        <v>343</v>
      </c>
      <c r="F2487" s="2" t="s">
        <v>344</v>
      </c>
      <c r="G2487" s="2"/>
      <c r="H2487" s="2"/>
      <c r="I2487" s="2"/>
      <c r="J2487" s="2"/>
    </row>
    <row r="2488" spans="1:10" x14ac:dyDescent="0.35">
      <c r="A2488" s="2" t="s">
        <v>1237</v>
      </c>
      <c r="B2488" s="2" t="s">
        <v>1407</v>
      </c>
      <c r="C2488" s="2" t="s">
        <v>62</v>
      </c>
      <c r="D2488" s="2" t="s">
        <v>1442</v>
      </c>
      <c r="E2488" s="2" t="s">
        <v>345</v>
      </c>
      <c r="F2488" s="2" t="s">
        <v>346</v>
      </c>
      <c r="G2488" s="2"/>
      <c r="H2488" s="2"/>
      <c r="I2488" s="2"/>
      <c r="J2488" s="2"/>
    </row>
    <row r="2489" spans="1:10" x14ac:dyDescent="0.35">
      <c r="A2489" s="2" t="s">
        <v>1237</v>
      </c>
      <c r="B2489" s="2" t="s">
        <v>1407</v>
      </c>
      <c r="C2489" s="2" t="s">
        <v>62</v>
      </c>
      <c r="D2489" s="2" t="s">
        <v>1445</v>
      </c>
      <c r="E2489" s="2" t="s">
        <v>317</v>
      </c>
      <c r="F2489" s="2" t="s">
        <v>318</v>
      </c>
      <c r="G2489" s="2"/>
      <c r="H2489" s="2"/>
      <c r="I2489" s="2"/>
      <c r="J2489" s="2"/>
    </row>
    <row r="2490" spans="1:10" x14ac:dyDescent="0.35">
      <c r="A2490" s="2" t="s">
        <v>1237</v>
      </c>
      <c r="B2490" s="2" t="s">
        <v>1407</v>
      </c>
      <c r="C2490" s="2" t="s">
        <v>62</v>
      </c>
      <c r="D2490" s="2" t="s">
        <v>1445</v>
      </c>
      <c r="E2490" s="2" t="s">
        <v>1051</v>
      </c>
      <c r="F2490" s="2" t="s">
        <v>318</v>
      </c>
      <c r="G2490" s="2"/>
      <c r="H2490" s="2"/>
      <c r="I2490" s="2"/>
      <c r="J2490" s="2"/>
    </row>
    <row r="2491" spans="1:10" s="21" customFormat="1" x14ac:dyDescent="0.35">
      <c r="A2491" s="2" t="s">
        <v>1237</v>
      </c>
      <c r="B2491" s="2" t="s">
        <v>1407</v>
      </c>
      <c r="C2491" s="2" t="s">
        <v>62</v>
      </c>
      <c r="D2491" s="2" t="s">
        <v>1445</v>
      </c>
      <c r="E2491" s="2" t="s">
        <v>333</v>
      </c>
      <c r="F2491" s="2" t="s">
        <v>334</v>
      </c>
      <c r="G2491" s="2"/>
      <c r="H2491" s="2"/>
      <c r="I2491" s="2"/>
      <c r="J2491" s="2"/>
    </row>
    <row r="2492" spans="1:10" x14ac:dyDescent="0.35">
      <c r="A2492" s="2" t="s">
        <v>1237</v>
      </c>
      <c r="B2492" s="2" t="s">
        <v>1407</v>
      </c>
      <c r="C2492" s="2" t="s">
        <v>62</v>
      </c>
      <c r="D2492" s="2" t="s">
        <v>1446</v>
      </c>
      <c r="E2492" s="2" t="s">
        <v>317</v>
      </c>
      <c r="F2492" s="2" t="s">
        <v>318</v>
      </c>
      <c r="G2492" s="2"/>
      <c r="H2492" s="2"/>
      <c r="I2492" s="2"/>
      <c r="J2492" s="2"/>
    </row>
    <row r="2493" spans="1:10" x14ac:dyDescent="0.35">
      <c r="A2493" s="2" t="s">
        <v>1237</v>
      </c>
      <c r="B2493" s="2" t="s">
        <v>1407</v>
      </c>
      <c r="C2493" s="2" t="s">
        <v>62</v>
      </c>
      <c r="D2493" s="2" t="s">
        <v>1446</v>
      </c>
      <c r="E2493" s="2" t="s">
        <v>1050</v>
      </c>
      <c r="F2493" s="2" t="s">
        <v>75</v>
      </c>
      <c r="G2493" s="2"/>
      <c r="H2493" s="2"/>
      <c r="I2493" s="2"/>
      <c r="J2493" s="2"/>
    </row>
    <row r="2494" spans="1:10" s="21" customFormat="1" x14ac:dyDescent="0.35">
      <c r="A2494" s="2" t="s">
        <v>1237</v>
      </c>
      <c r="B2494" s="2" t="s">
        <v>1407</v>
      </c>
      <c r="C2494" s="2" t="s">
        <v>62</v>
      </c>
      <c r="D2494" s="2" t="s">
        <v>1446</v>
      </c>
      <c r="E2494" s="2" t="s">
        <v>333</v>
      </c>
      <c r="F2494" s="2" t="s">
        <v>334</v>
      </c>
      <c r="G2494" s="2"/>
      <c r="H2494" s="2"/>
      <c r="I2494" s="2"/>
      <c r="J2494" s="2"/>
    </row>
    <row r="2495" spans="1:10" x14ac:dyDescent="0.35">
      <c r="A2495" s="2" t="s">
        <v>1237</v>
      </c>
      <c r="B2495" s="2" t="s">
        <v>1407</v>
      </c>
      <c r="C2495" s="2" t="s">
        <v>24</v>
      </c>
      <c r="D2495" s="2" t="s">
        <v>1447</v>
      </c>
      <c r="E2495" s="2" t="s">
        <v>1226</v>
      </c>
      <c r="F2495" s="2" t="s">
        <v>107</v>
      </c>
      <c r="G2495" s="2"/>
      <c r="H2495" s="2"/>
      <c r="I2495" s="2"/>
      <c r="J2495" s="2"/>
    </row>
    <row r="2496" spans="1:10" x14ac:dyDescent="0.35">
      <c r="A2496" s="2" t="s">
        <v>1237</v>
      </c>
      <c r="B2496" s="2" t="s">
        <v>1407</v>
      </c>
      <c r="C2496" s="2" t="s">
        <v>24</v>
      </c>
      <c r="D2496" s="2" t="s">
        <v>1447</v>
      </c>
      <c r="E2496" s="2" t="s">
        <v>1228</v>
      </c>
      <c r="F2496" s="2" t="s">
        <v>228</v>
      </c>
      <c r="G2496" s="2"/>
      <c r="H2496" s="2"/>
      <c r="I2496" s="2"/>
      <c r="J2496" s="2"/>
    </row>
    <row r="2497" spans="1:10" x14ac:dyDescent="0.35">
      <c r="A2497" s="2" t="s">
        <v>1237</v>
      </c>
      <c r="B2497" s="2" t="s">
        <v>1407</v>
      </c>
      <c r="C2497" s="2" t="s">
        <v>24</v>
      </c>
      <c r="D2497" s="2" t="s">
        <v>1447</v>
      </c>
      <c r="E2497" s="2" t="s">
        <v>1261</v>
      </c>
      <c r="F2497" s="2" t="s">
        <v>277</v>
      </c>
      <c r="G2497" s="2"/>
      <c r="H2497" s="2"/>
      <c r="I2497" s="2"/>
      <c r="J2497" s="2"/>
    </row>
    <row r="2498" spans="1:10" x14ac:dyDescent="0.35">
      <c r="A2498" s="2" t="s">
        <v>1237</v>
      </c>
      <c r="B2498" s="2" t="s">
        <v>1407</v>
      </c>
      <c r="C2498" s="2" t="s">
        <v>24</v>
      </c>
      <c r="D2498" s="2" t="s">
        <v>1448</v>
      </c>
      <c r="E2498" s="2" t="s">
        <v>130</v>
      </c>
      <c r="F2498" s="2" t="s">
        <v>36</v>
      </c>
      <c r="G2498" s="2"/>
      <c r="H2498" s="2"/>
      <c r="I2498" s="2"/>
      <c r="J2498" s="2"/>
    </row>
    <row r="2499" spans="1:10" x14ac:dyDescent="0.35">
      <c r="A2499" s="2" t="s">
        <v>1237</v>
      </c>
      <c r="B2499" s="2" t="s">
        <v>1407</v>
      </c>
      <c r="C2499" s="2" t="s">
        <v>24</v>
      </c>
      <c r="D2499" s="2" t="s">
        <v>1448</v>
      </c>
      <c r="E2499" s="2" t="s">
        <v>1415</v>
      </c>
      <c r="F2499" s="2" t="s">
        <v>1416</v>
      </c>
      <c r="G2499" s="2"/>
      <c r="H2499" s="2"/>
      <c r="I2499" s="2"/>
      <c r="J2499" s="2"/>
    </row>
    <row r="2500" spans="1:10" x14ac:dyDescent="0.35">
      <c r="A2500" s="2" t="s">
        <v>1237</v>
      </c>
      <c r="B2500" s="2" t="s">
        <v>1407</v>
      </c>
      <c r="C2500" s="2" t="s">
        <v>24</v>
      </c>
      <c r="D2500" s="2" t="s">
        <v>1448</v>
      </c>
      <c r="E2500" s="2" t="s">
        <v>1226</v>
      </c>
      <c r="F2500" s="2" t="s">
        <v>107</v>
      </c>
      <c r="G2500" s="2"/>
      <c r="H2500" s="2"/>
      <c r="I2500" s="2"/>
      <c r="J2500" s="2"/>
    </row>
    <row r="2501" spans="1:10" x14ac:dyDescent="0.35">
      <c r="A2501" s="2" t="s">
        <v>1237</v>
      </c>
      <c r="B2501" s="2" t="s">
        <v>1407</v>
      </c>
      <c r="C2501" s="2" t="s">
        <v>24</v>
      </c>
      <c r="D2501" s="2" t="s">
        <v>1448</v>
      </c>
      <c r="E2501" s="2" t="s">
        <v>1228</v>
      </c>
      <c r="F2501" s="2" t="s">
        <v>228</v>
      </c>
      <c r="G2501" s="2"/>
      <c r="H2501" s="2"/>
      <c r="I2501" s="2"/>
      <c r="J2501" s="2"/>
    </row>
    <row r="2502" spans="1:10" x14ac:dyDescent="0.35">
      <c r="A2502" s="2" t="s">
        <v>1237</v>
      </c>
      <c r="B2502" s="2" t="s">
        <v>1407</v>
      </c>
      <c r="C2502" s="2" t="s">
        <v>24</v>
      </c>
      <c r="D2502" s="2" t="s">
        <v>1448</v>
      </c>
      <c r="E2502" s="2" t="s">
        <v>1342</v>
      </c>
      <c r="F2502" s="2" t="s">
        <v>1343</v>
      </c>
      <c r="G2502" s="2"/>
      <c r="H2502" s="2"/>
      <c r="I2502" s="2"/>
      <c r="J2502" s="2"/>
    </row>
    <row r="2503" spans="1:10" x14ac:dyDescent="0.35">
      <c r="A2503" s="2" t="s">
        <v>1237</v>
      </c>
      <c r="B2503" s="2" t="s">
        <v>1407</v>
      </c>
      <c r="C2503" s="2" t="s">
        <v>801</v>
      </c>
      <c r="D2503" s="2" t="s">
        <v>1449</v>
      </c>
      <c r="E2503" s="2" t="s">
        <v>130</v>
      </c>
      <c r="F2503" s="2" t="s">
        <v>36</v>
      </c>
      <c r="G2503" s="2"/>
      <c r="H2503" s="2"/>
      <c r="I2503" s="2"/>
      <c r="J2503" s="2"/>
    </row>
    <row r="2504" spans="1:10" x14ac:dyDescent="0.35">
      <c r="A2504" s="2" t="s">
        <v>1237</v>
      </c>
      <c r="B2504" s="2" t="s">
        <v>1407</v>
      </c>
      <c r="C2504" s="2" t="s">
        <v>62</v>
      </c>
      <c r="D2504" s="2" t="s">
        <v>1450</v>
      </c>
      <c r="E2504" s="2" t="s">
        <v>196</v>
      </c>
      <c r="F2504" s="2" t="s">
        <v>197</v>
      </c>
      <c r="G2504" s="2"/>
      <c r="H2504" s="2"/>
      <c r="I2504" s="2"/>
      <c r="J2504" s="2"/>
    </row>
    <row r="2505" spans="1:10" x14ac:dyDescent="0.35">
      <c r="A2505" s="2" t="s">
        <v>1237</v>
      </c>
      <c r="B2505" s="2" t="s">
        <v>1407</v>
      </c>
      <c r="C2505" s="2" t="s">
        <v>62</v>
      </c>
      <c r="D2505" s="2" t="s">
        <v>1450</v>
      </c>
      <c r="E2505" s="2" t="s">
        <v>317</v>
      </c>
      <c r="F2505" s="2" t="s">
        <v>318</v>
      </c>
      <c r="G2505" s="2"/>
      <c r="H2505" s="2"/>
      <c r="I2505" s="2"/>
      <c r="J2505" s="2"/>
    </row>
    <row r="2506" spans="1:10" x14ac:dyDescent="0.35">
      <c r="A2506" s="2" t="s">
        <v>1237</v>
      </c>
      <c r="B2506" s="2" t="s">
        <v>1407</v>
      </c>
      <c r="C2506" s="2" t="s">
        <v>62</v>
      </c>
      <c r="D2506" s="2" t="s">
        <v>1450</v>
      </c>
      <c r="E2506" s="2" t="s">
        <v>319</v>
      </c>
      <c r="F2506" s="2" t="s">
        <v>320</v>
      </c>
      <c r="G2506" s="2"/>
      <c r="H2506" s="2"/>
      <c r="I2506" s="2"/>
      <c r="J2506" s="2"/>
    </row>
    <row r="2507" spans="1:10" x14ac:dyDescent="0.35">
      <c r="A2507" s="2" t="s">
        <v>1237</v>
      </c>
      <c r="B2507" s="2" t="s">
        <v>1407</v>
      </c>
      <c r="C2507" s="2" t="s">
        <v>62</v>
      </c>
      <c r="D2507" s="2" t="s">
        <v>1450</v>
      </c>
      <c r="E2507" s="2" t="s">
        <v>1050</v>
      </c>
      <c r="F2507" s="2" t="s">
        <v>75</v>
      </c>
      <c r="G2507" s="2"/>
      <c r="H2507" s="2"/>
      <c r="I2507" s="2"/>
      <c r="J2507" s="2"/>
    </row>
    <row r="2508" spans="1:10" x14ac:dyDescent="0.35">
      <c r="A2508" s="2" t="s">
        <v>1237</v>
      </c>
      <c r="B2508" s="2" t="s">
        <v>1407</v>
      </c>
      <c r="C2508" s="2" t="s">
        <v>62</v>
      </c>
      <c r="D2508" s="2" t="s">
        <v>1450</v>
      </c>
      <c r="E2508" s="2" t="s">
        <v>321</v>
      </c>
      <c r="F2508" s="2" t="s">
        <v>321</v>
      </c>
      <c r="G2508" s="2"/>
      <c r="H2508" s="2"/>
      <c r="I2508" s="2"/>
      <c r="J2508" s="2"/>
    </row>
    <row r="2509" spans="1:10" x14ac:dyDescent="0.35">
      <c r="A2509" s="2" t="s">
        <v>1237</v>
      </c>
      <c r="B2509" s="2" t="s">
        <v>1407</v>
      </c>
      <c r="C2509" s="2" t="s">
        <v>62</v>
      </c>
      <c r="D2509" s="2" t="s">
        <v>1450</v>
      </c>
      <c r="E2509" s="2" t="s">
        <v>322</v>
      </c>
      <c r="F2509" s="2" t="s">
        <v>246</v>
      </c>
      <c r="G2509" s="2"/>
      <c r="H2509" s="2"/>
      <c r="I2509" s="2"/>
      <c r="J2509" s="2"/>
    </row>
    <row r="2510" spans="1:10" x14ac:dyDescent="0.35">
      <c r="A2510" s="2" t="s">
        <v>1237</v>
      </c>
      <c r="B2510" s="2" t="s">
        <v>1407</v>
      </c>
      <c r="C2510" s="2" t="s">
        <v>62</v>
      </c>
      <c r="D2510" s="2" t="s">
        <v>1450</v>
      </c>
      <c r="E2510" s="2" t="s">
        <v>323</v>
      </c>
      <c r="F2510" s="2" t="s">
        <v>246</v>
      </c>
      <c r="G2510" s="2"/>
      <c r="H2510" s="2"/>
      <c r="I2510" s="2"/>
      <c r="J2510" s="2"/>
    </row>
    <row r="2511" spans="1:10" x14ac:dyDescent="0.35">
      <c r="A2511" s="2" t="s">
        <v>1237</v>
      </c>
      <c r="B2511" s="2" t="s">
        <v>1407</v>
      </c>
      <c r="C2511" s="2" t="s">
        <v>62</v>
      </c>
      <c r="D2511" s="2" t="s">
        <v>1450</v>
      </c>
      <c r="E2511" s="2" t="s">
        <v>324</v>
      </c>
      <c r="F2511" s="2" t="s">
        <v>246</v>
      </c>
      <c r="G2511" s="2"/>
      <c r="H2511" s="2"/>
      <c r="I2511" s="2"/>
      <c r="J2511" s="2"/>
    </row>
    <row r="2512" spans="1:10" x14ac:dyDescent="0.35">
      <c r="A2512" s="2" t="s">
        <v>1237</v>
      </c>
      <c r="B2512" s="2" t="s">
        <v>1407</v>
      </c>
      <c r="C2512" s="2" t="s">
        <v>62</v>
      </c>
      <c r="D2512" s="2" t="s">
        <v>1450</v>
      </c>
      <c r="E2512" s="2" t="s">
        <v>325</v>
      </c>
      <c r="F2512" s="2" t="s">
        <v>326</v>
      </c>
      <c r="G2512" s="2"/>
      <c r="H2512" s="2"/>
      <c r="I2512" s="2"/>
      <c r="J2512" s="2"/>
    </row>
    <row r="2513" spans="1:10" x14ac:dyDescent="0.35">
      <c r="A2513" s="2" t="s">
        <v>1237</v>
      </c>
      <c r="B2513" s="2" t="s">
        <v>1407</v>
      </c>
      <c r="C2513" s="2" t="s">
        <v>62</v>
      </c>
      <c r="D2513" s="2" t="s">
        <v>1450</v>
      </c>
      <c r="E2513" s="2" t="s">
        <v>327</v>
      </c>
      <c r="F2513" s="2" t="s">
        <v>328</v>
      </c>
      <c r="G2513" s="2"/>
      <c r="H2513" s="2"/>
      <c r="I2513" s="2"/>
      <c r="J2513" s="2"/>
    </row>
    <row r="2514" spans="1:10" x14ac:dyDescent="0.35">
      <c r="A2514" s="2" t="s">
        <v>1237</v>
      </c>
      <c r="B2514" s="2" t="s">
        <v>1407</v>
      </c>
      <c r="C2514" s="2" t="s">
        <v>62</v>
      </c>
      <c r="D2514" s="2" t="s">
        <v>1450</v>
      </c>
      <c r="E2514" s="2" t="s">
        <v>329</v>
      </c>
      <c r="F2514" s="2" t="s">
        <v>330</v>
      </c>
      <c r="G2514" s="2"/>
      <c r="H2514" s="2"/>
      <c r="I2514" s="2"/>
      <c r="J2514" s="2"/>
    </row>
    <row r="2515" spans="1:10" x14ac:dyDescent="0.35">
      <c r="A2515" s="2" t="s">
        <v>1237</v>
      </c>
      <c r="B2515" s="2" t="s">
        <v>1407</v>
      </c>
      <c r="C2515" s="2" t="s">
        <v>62</v>
      </c>
      <c r="D2515" s="2" t="s">
        <v>1450</v>
      </c>
      <c r="E2515" s="2" t="s">
        <v>331</v>
      </c>
      <c r="F2515" s="2" t="s">
        <v>332</v>
      </c>
      <c r="G2515" s="2"/>
      <c r="H2515" s="2"/>
      <c r="I2515" s="2"/>
      <c r="J2515" s="2"/>
    </row>
    <row r="2516" spans="1:10" x14ac:dyDescent="0.35">
      <c r="A2516" s="2" t="s">
        <v>1237</v>
      </c>
      <c r="B2516" s="2" t="s">
        <v>1407</v>
      </c>
      <c r="C2516" s="2" t="s">
        <v>62</v>
      </c>
      <c r="D2516" s="2" t="s">
        <v>1450</v>
      </c>
      <c r="E2516" s="2" t="s">
        <v>333</v>
      </c>
      <c r="F2516" s="2" t="s">
        <v>334</v>
      </c>
      <c r="G2516" s="2"/>
      <c r="H2516" s="2"/>
      <c r="I2516" s="2"/>
      <c r="J2516" s="2"/>
    </row>
    <row r="2517" spans="1:10" x14ac:dyDescent="0.35">
      <c r="A2517" s="2" t="s">
        <v>1237</v>
      </c>
      <c r="B2517" s="2" t="s">
        <v>1407</v>
      </c>
      <c r="C2517" s="2" t="s">
        <v>62</v>
      </c>
      <c r="D2517" s="2" t="s">
        <v>1450</v>
      </c>
      <c r="E2517" s="2" t="s">
        <v>1297</v>
      </c>
      <c r="F2517" s="2" t="s">
        <v>533</v>
      </c>
      <c r="G2517" s="2"/>
      <c r="H2517" s="2"/>
      <c r="I2517" s="2"/>
      <c r="J2517" s="2"/>
    </row>
    <row r="2518" spans="1:10" x14ac:dyDescent="0.35">
      <c r="A2518" s="2" t="s">
        <v>1237</v>
      </c>
      <c r="B2518" s="2" t="s">
        <v>1407</v>
      </c>
      <c r="C2518" s="2" t="s">
        <v>62</v>
      </c>
      <c r="D2518" s="2" t="s">
        <v>1450</v>
      </c>
      <c r="E2518" s="2" t="s">
        <v>335</v>
      </c>
      <c r="F2518" s="2" t="s">
        <v>336</v>
      </c>
      <c r="G2518" s="2"/>
      <c r="H2518" s="2"/>
      <c r="I2518" s="2"/>
      <c r="J2518" s="2"/>
    </row>
    <row r="2519" spans="1:10" x14ac:dyDescent="0.35">
      <c r="A2519" s="2" t="s">
        <v>1237</v>
      </c>
      <c r="B2519" s="2" t="s">
        <v>1407</v>
      </c>
      <c r="C2519" s="2" t="s">
        <v>62</v>
      </c>
      <c r="D2519" s="2" t="s">
        <v>1450</v>
      </c>
      <c r="E2519" s="2" t="s">
        <v>337</v>
      </c>
      <c r="F2519" s="2" t="s">
        <v>338</v>
      </c>
      <c r="G2519" s="2"/>
      <c r="H2519" s="2"/>
      <c r="I2519" s="2"/>
      <c r="J2519" s="2"/>
    </row>
    <row r="2520" spans="1:10" x14ac:dyDescent="0.35">
      <c r="A2520" s="2" t="s">
        <v>1237</v>
      </c>
      <c r="B2520" s="2" t="s">
        <v>1407</v>
      </c>
      <c r="C2520" s="2" t="s">
        <v>62</v>
      </c>
      <c r="D2520" s="2" t="s">
        <v>1450</v>
      </c>
      <c r="E2520" s="2" t="s">
        <v>339</v>
      </c>
      <c r="F2520" s="2" t="s">
        <v>340</v>
      </c>
      <c r="G2520" s="2"/>
      <c r="H2520" s="2"/>
      <c r="I2520" s="2"/>
      <c r="J2520" s="2"/>
    </row>
    <row r="2521" spans="1:10" x14ac:dyDescent="0.35">
      <c r="A2521" s="2" t="s">
        <v>1237</v>
      </c>
      <c r="B2521" s="2" t="s">
        <v>1407</v>
      </c>
      <c r="C2521" s="2" t="s">
        <v>62</v>
      </c>
      <c r="D2521" s="2" t="s">
        <v>1450</v>
      </c>
      <c r="E2521" s="2" t="s">
        <v>341</v>
      </c>
      <c r="F2521" s="2" t="s">
        <v>342</v>
      </c>
      <c r="G2521" s="2"/>
      <c r="H2521" s="2"/>
      <c r="I2521" s="2"/>
      <c r="J2521" s="2"/>
    </row>
    <row r="2522" spans="1:10" x14ac:dyDescent="0.35">
      <c r="A2522" s="2" t="s">
        <v>1237</v>
      </c>
      <c r="B2522" s="2" t="s">
        <v>1407</v>
      </c>
      <c r="C2522" s="2" t="s">
        <v>62</v>
      </c>
      <c r="D2522" s="2" t="s">
        <v>1450</v>
      </c>
      <c r="E2522" s="2" t="s">
        <v>343</v>
      </c>
      <c r="F2522" s="2" t="s">
        <v>344</v>
      </c>
      <c r="G2522" s="2"/>
      <c r="H2522" s="2"/>
      <c r="I2522" s="2"/>
      <c r="J2522" s="2"/>
    </row>
    <row r="2523" spans="1:10" x14ac:dyDescent="0.35">
      <c r="A2523" s="2" t="s">
        <v>1237</v>
      </c>
      <c r="B2523" s="2" t="s">
        <v>1407</v>
      </c>
      <c r="C2523" s="2" t="s">
        <v>62</v>
      </c>
      <c r="D2523" s="2" t="s">
        <v>1450</v>
      </c>
      <c r="E2523" s="2" t="s">
        <v>345</v>
      </c>
      <c r="F2523" s="2" t="s">
        <v>346</v>
      </c>
      <c r="G2523" s="2"/>
      <c r="H2523" s="2"/>
      <c r="I2523" s="2"/>
      <c r="J2523" s="2"/>
    </row>
    <row r="2524" spans="1:10" x14ac:dyDescent="0.35">
      <c r="A2524" s="2" t="s">
        <v>1237</v>
      </c>
      <c r="B2524" s="2" t="s">
        <v>1407</v>
      </c>
      <c r="C2524" s="2" t="s">
        <v>24</v>
      </c>
      <c r="D2524" s="2" t="s">
        <v>1451</v>
      </c>
      <c r="E2524" s="2" t="s">
        <v>196</v>
      </c>
      <c r="F2524" s="2" t="s">
        <v>197</v>
      </c>
      <c r="G2524" s="2"/>
      <c r="H2524" s="2"/>
      <c r="I2524" s="2"/>
      <c r="J2524" s="2"/>
    </row>
    <row r="2525" spans="1:10" x14ac:dyDescent="0.35">
      <c r="A2525" s="2" t="s">
        <v>1237</v>
      </c>
      <c r="B2525" s="2" t="s">
        <v>1407</v>
      </c>
      <c r="C2525" s="2" t="s">
        <v>24</v>
      </c>
      <c r="D2525" s="2" t="s">
        <v>1451</v>
      </c>
      <c r="E2525" s="2" t="s">
        <v>1452</v>
      </c>
      <c r="F2525" s="2" t="s">
        <v>83</v>
      </c>
      <c r="G2525" s="2"/>
      <c r="H2525" s="2"/>
      <c r="I2525" s="2"/>
      <c r="J2525" s="2"/>
    </row>
    <row r="2526" spans="1:10" x14ac:dyDescent="0.35">
      <c r="A2526" s="2" t="s">
        <v>1237</v>
      </c>
      <c r="B2526" s="2" t="s">
        <v>1407</v>
      </c>
      <c r="C2526" s="2" t="s">
        <v>24</v>
      </c>
      <c r="D2526" s="2" t="s">
        <v>1451</v>
      </c>
      <c r="E2526" s="2" t="s">
        <v>1305</v>
      </c>
      <c r="F2526" s="2" t="s">
        <v>38</v>
      </c>
      <c r="G2526" s="2"/>
      <c r="H2526" s="2"/>
      <c r="I2526" s="2"/>
      <c r="J2526" s="2"/>
    </row>
    <row r="2527" spans="1:10" x14ac:dyDescent="0.35">
      <c r="A2527" s="2" t="s">
        <v>1237</v>
      </c>
      <c r="B2527" s="2" t="s">
        <v>1407</v>
      </c>
      <c r="C2527" s="2" t="s">
        <v>24</v>
      </c>
      <c r="D2527" s="2" t="s">
        <v>1451</v>
      </c>
      <c r="E2527" s="2" t="s">
        <v>74</v>
      </c>
      <c r="F2527" s="2" t="s">
        <v>75</v>
      </c>
      <c r="G2527" s="2"/>
      <c r="H2527" s="2"/>
      <c r="I2527" s="2"/>
      <c r="J2527" s="2"/>
    </row>
    <row r="2528" spans="1:10" x14ac:dyDescent="0.35">
      <c r="A2528" s="2" t="s">
        <v>1237</v>
      </c>
      <c r="B2528" s="2" t="s">
        <v>1407</v>
      </c>
      <c r="C2528" s="2" t="s">
        <v>24</v>
      </c>
      <c r="D2528" s="2" t="s">
        <v>1451</v>
      </c>
      <c r="E2528" s="2" t="s">
        <v>648</v>
      </c>
      <c r="F2528" s="2" t="s">
        <v>125</v>
      </c>
      <c r="G2528" s="2"/>
      <c r="H2528" s="2"/>
      <c r="I2528" s="2"/>
      <c r="J2528" s="2"/>
    </row>
    <row r="2529" spans="1:10" x14ac:dyDescent="0.35">
      <c r="A2529" s="2" t="s">
        <v>1237</v>
      </c>
      <c r="B2529" s="2" t="s">
        <v>1407</v>
      </c>
      <c r="C2529" s="2" t="s">
        <v>24</v>
      </c>
      <c r="D2529" s="2" t="s">
        <v>1451</v>
      </c>
      <c r="E2529" s="2" t="s">
        <v>1453</v>
      </c>
      <c r="F2529" s="2" t="s">
        <v>363</v>
      </c>
      <c r="G2529" s="2"/>
      <c r="H2529" s="2"/>
      <c r="I2529" s="2"/>
      <c r="J2529" s="2"/>
    </row>
    <row r="2530" spans="1:10" x14ac:dyDescent="0.35">
      <c r="A2530" s="2" t="s">
        <v>1237</v>
      </c>
      <c r="B2530" s="2" t="s">
        <v>1407</v>
      </c>
      <c r="C2530" s="2" t="s">
        <v>24</v>
      </c>
      <c r="D2530" s="2" t="s">
        <v>1451</v>
      </c>
      <c r="E2530" s="2" t="s">
        <v>1226</v>
      </c>
      <c r="F2530" s="2" t="s">
        <v>107</v>
      </c>
      <c r="G2530" s="2"/>
      <c r="H2530" s="2"/>
      <c r="I2530" s="2"/>
      <c r="J2530" s="2"/>
    </row>
    <row r="2531" spans="1:10" x14ac:dyDescent="0.35">
      <c r="A2531" s="2" t="s">
        <v>1237</v>
      </c>
      <c r="B2531" s="2" t="s">
        <v>1407</v>
      </c>
      <c r="C2531" s="2" t="s">
        <v>24</v>
      </c>
      <c r="D2531" s="2" t="s">
        <v>1451</v>
      </c>
      <c r="E2531" s="2" t="s">
        <v>1454</v>
      </c>
      <c r="F2531" s="2" t="s">
        <v>277</v>
      </c>
      <c r="G2531" s="2"/>
      <c r="H2531" s="2"/>
      <c r="I2531" s="2"/>
      <c r="J2531" s="2"/>
    </row>
    <row r="2532" spans="1:10" x14ac:dyDescent="0.35">
      <c r="A2532" s="2" t="s">
        <v>1237</v>
      </c>
      <c r="B2532" s="2" t="s">
        <v>1407</v>
      </c>
      <c r="C2532" s="2" t="s">
        <v>24</v>
      </c>
      <c r="D2532" s="2" t="s">
        <v>1451</v>
      </c>
      <c r="E2532" s="2" t="s">
        <v>1455</v>
      </c>
      <c r="F2532" s="2" t="s">
        <v>65</v>
      </c>
      <c r="G2532" s="2"/>
      <c r="H2532" s="2"/>
      <c r="I2532" s="2"/>
      <c r="J2532" s="2"/>
    </row>
    <row r="2533" spans="1:10" x14ac:dyDescent="0.35">
      <c r="A2533" s="2" t="s">
        <v>1237</v>
      </c>
      <c r="B2533" s="2" t="s">
        <v>1407</v>
      </c>
      <c r="C2533" s="2" t="s">
        <v>24</v>
      </c>
      <c r="D2533" s="2" t="s">
        <v>1451</v>
      </c>
      <c r="E2533" s="2" t="s">
        <v>1456</v>
      </c>
      <c r="F2533" s="2" t="s">
        <v>363</v>
      </c>
      <c r="G2533" s="2"/>
      <c r="H2533" s="2"/>
      <c r="I2533" s="2"/>
      <c r="J2533" s="2"/>
    </row>
    <row r="2534" spans="1:10" x14ac:dyDescent="0.35">
      <c r="A2534" s="2" t="s">
        <v>1237</v>
      </c>
      <c r="B2534" s="2" t="s">
        <v>1407</v>
      </c>
      <c r="C2534" s="2" t="s">
        <v>24</v>
      </c>
      <c r="D2534" s="2" t="s">
        <v>1451</v>
      </c>
      <c r="E2534" s="2" t="s">
        <v>1457</v>
      </c>
      <c r="F2534" s="2" t="s">
        <v>1458</v>
      </c>
      <c r="G2534" s="2"/>
      <c r="H2534" s="2"/>
      <c r="I2534" s="2"/>
      <c r="J2534" s="2"/>
    </row>
    <row r="2535" spans="1:10" x14ac:dyDescent="0.35">
      <c r="A2535" s="2" t="s">
        <v>1237</v>
      </c>
      <c r="B2535" s="2" t="s">
        <v>1407</v>
      </c>
      <c r="C2535" s="2" t="s">
        <v>24</v>
      </c>
      <c r="D2535" s="2" t="s">
        <v>1451</v>
      </c>
      <c r="E2535" s="2" t="s">
        <v>1459</v>
      </c>
      <c r="F2535" s="2" t="s">
        <v>363</v>
      </c>
      <c r="G2535" s="2"/>
      <c r="H2535" s="2"/>
      <c r="I2535" s="2"/>
      <c r="J2535" s="2"/>
    </row>
    <row r="2536" spans="1:10" x14ac:dyDescent="0.35">
      <c r="A2536" s="2" t="s">
        <v>1237</v>
      </c>
      <c r="B2536" s="2" t="s">
        <v>1407</v>
      </c>
      <c r="C2536" s="2" t="s">
        <v>24</v>
      </c>
      <c r="D2536" s="2" t="s">
        <v>1451</v>
      </c>
      <c r="E2536" s="2" t="s">
        <v>87</v>
      </c>
      <c r="F2536" s="2" t="s">
        <v>75</v>
      </c>
      <c r="G2536" s="2" t="s">
        <v>20</v>
      </c>
      <c r="H2536" s="2" t="s">
        <v>1460</v>
      </c>
      <c r="I2536" s="2"/>
      <c r="J2536" s="2"/>
    </row>
    <row r="2537" spans="1:10" x14ac:dyDescent="0.35">
      <c r="A2537" s="2" t="s">
        <v>1237</v>
      </c>
      <c r="B2537" s="2" t="s">
        <v>1407</v>
      </c>
      <c r="C2537" s="2" t="s">
        <v>24</v>
      </c>
      <c r="D2537" s="2" t="s">
        <v>1451</v>
      </c>
      <c r="E2537" s="2" t="s">
        <v>51</v>
      </c>
      <c r="F2537" s="2" t="s">
        <v>52</v>
      </c>
      <c r="G2537" s="2"/>
      <c r="H2537" s="2"/>
      <c r="I2537" s="2"/>
      <c r="J2537" s="2"/>
    </row>
    <row r="2538" spans="1:10" x14ac:dyDescent="0.35">
      <c r="A2538" s="2" t="s">
        <v>1237</v>
      </c>
      <c r="B2538" s="2" t="s">
        <v>1407</v>
      </c>
      <c r="C2538" s="2" t="s">
        <v>24</v>
      </c>
      <c r="D2538" s="2" t="s">
        <v>1451</v>
      </c>
      <c r="E2538" s="2" t="s">
        <v>124</v>
      </c>
      <c r="F2538" s="2" t="s">
        <v>125</v>
      </c>
      <c r="G2538" s="2"/>
      <c r="H2538" s="2"/>
      <c r="I2538" s="2"/>
      <c r="J2538" s="2"/>
    </row>
    <row r="2539" spans="1:10" x14ac:dyDescent="0.35">
      <c r="A2539" s="2" t="s">
        <v>1237</v>
      </c>
      <c r="B2539" s="2" t="s">
        <v>1407</v>
      </c>
      <c r="C2539" s="2" t="s">
        <v>24</v>
      </c>
      <c r="D2539" s="2" t="s">
        <v>1451</v>
      </c>
      <c r="E2539" s="2" t="s">
        <v>1461</v>
      </c>
      <c r="F2539" s="2" t="s">
        <v>38</v>
      </c>
      <c r="G2539" s="2"/>
      <c r="H2539" s="2"/>
      <c r="I2539" s="2"/>
      <c r="J2539" s="2"/>
    </row>
    <row r="2540" spans="1:10" x14ac:dyDescent="0.35">
      <c r="A2540" s="2" t="s">
        <v>1237</v>
      </c>
      <c r="B2540" s="2" t="s">
        <v>1407</v>
      </c>
      <c r="C2540" s="2" t="s">
        <v>24</v>
      </c>
      <c r="D2540" s="2" t="s">
        <v>1451</v>
      </c>
      <c r="E2540" s="2" t="s">
        <v>18</v>
      </c>
      <c r="F2540" s="2" t="s">
        <v>19</v>
      </c>
      <c r="G2540" s="2" t="s">
        <v>20</v>
      </c>
      <c r="H2540" s="2" t="s">
        <v>1378</v>
      </c>
      <c r="I2540" s="2"/>
      <c r="J2540" s="2"/>
    </row>
    <row r="2541" spans="1:10" x14ac:dyDescent="0.35">
      <c r="A2541" s="2" t="s">
        <v>1237</v>
      </c>
      <c r="B2541" s="2" t="s">
        <v>1407</v>
      </c>
      <c r="C2541" s="2" t="s">
        <v>24</v>
      </c>
      <c r="D2541" s="2" t="s">
        <v>1451</v>
      </c>
      <c r="E2541" s="2" t="s">
        <v>1462</v>
      </c>
      <c r="F2541" s="2" t="s">
        <v>277</v>
      </c>
      <c r="G2541" s="2"/>
      <c r="H2541" s="2"/>
      <c r="I2541" s="2"/>
      <c r="J2541" s="2"/>
    </row>
    <row r="2542" spans="1:10" x14ac:dyDescent="0.35">
      <c r="A2542" s="2" t="s">
        <v>1237</v>
      </c>
      <c r="B2542" s="2" t="s">
        <v>1407</v>
      </c>
      <c r="C2542" s="2" t="s">
        <v>24</v>
      </c>
      <c r="D2542" s="2" t="s">
        <v>1451</v>
      </c>
      <c r="E2542" s="2" t="s">
        <v>1228</v>
      </c>
      <c r="F2542" s="2" t="s">
        <v>228</v>
      </c>
      <c r="G2542" s="2"/>
      <c r="H2542" s="2"/>
      <c r="I2542" s="2"/>
      <c r="J2542" s="2"/>
    </row>
    <row r="2543" spans="1:10" x14ac:dyDescent="0.35">
      <c r="A2543" s="2" t="s">
        <v>1237</v>
      </c>
      <c r="B2543" s="2" t="s">
        <v>1407</v>
      </c>
      <c r="C2543" s="2" t="s">
        <v>24</v>
      </c>
      <c r="D2543" s="2" t="s">
        <v>1451</v>
      </c>
      <c r="E2543" s="2" t="s">
        <v>1463</v>
      </c>
      <c r="F2543" s="2" t="s">
        <v>75</v>
      </c>
      <c r="G2543" s="2"/>
      <c r="H2543" s="2"/>
      <c r="I2543" s="2"/>
      <c r="J2543" s="2"/>
    </row>
    <row r="2544" spans="1:10" x14ac:dyDescent="0.35">
      <c r="A2544" s="2" t="s">
        <v>1237</v>
      </c>
      <c r="B2544" s="2" t="s">
        <v>1407</v>
      </c>
      <c r="C2544" s="2" t="s">
        <v>24</v>
      </c>
      <c r="D2544" s="2" t="s">
        <v>1451</v>
      </c>
      <c r="E2544" s="2" t="s">
        <v>1342</v>
      </c>
      <c r="F2544" s="2" t="s">
        <v>1343</v>
      </c>
      <c r="G2544" s="2"/>
      <c r="H2544" s="2"/>
      <c r="I2544" s="2"/>
      <c r="J2544" s="2"/>
    </row>
    <row r="2545" spans="1:10" x14ac:dyDescent="0.35">
      <c r="A2545" s="2" t="s">
        <v>1237</v>
      </c>
      <c r="B2545" s="2" t="s">
        <v>1407</v>
      </c>
      <c r="C2545" s="2" t="s">
        <v>24</v>
      </c>
      <c r="D2545" s="2" t="s">
        <v>1464</v>
      </c>
      <c r="E2545" s="2" t="s">
        <v>196</v>
      </c>
      <c r="F2545" s="2" t="s">
        <v>197</v>
      </c>
      <c r="G2545" s="2"/>
      <c r="H2545" s="2"/>
      <c r="I2545" s="2"/>
      <c r="J2545" s="2"/>
    </row>
    <row r="2546" spans="1:10" x14ac:dyDescent="0.35">
      <c r="A2546" s="2" t="s">
        <v>1237</v>
      </c>
      <c r="B2546" s="2" t="s">
        <v>1407</v>
      </c>
      <c r="C2546" s="2" t="s">
        <v>24</v>
      </c>
      <c r="D2546" s="2" t="s">
        <v>1464</v>
      </c>
      <c r="E2546" s="2" t="s">
        <v>1465</v>
      </c>
      <c r="F2546" s="2" t="s">
        <v>40</v>
      </c>
      <c r="G2546" s="2"/>
      <c r="H2546" s="2"/>
      <c r="I2546" s="2"/>
      <c r="J2546" s="2"/>
    </row>
    <row r="2547" spans="1:10" x14ac:dyDescent="0.35">
      <c r="A2547" s="2" t="s">
        <v>1237</v>
      </c>
      <c r="B2547" s="2" t="s">
        <v>1407</v>
      </c>
      <c r="C2547" s="2" t="s">
        <v>24</v>
      </c>
      <c r="D2547" s="2" t="s">
        <v>1464</v>
      </c>
      <c r="E2547" s="2" t="s">
        <v>1226</v>
      </c>
      <c r="F2547" s="2" t="s">
        <v>107</v>
      </c>
      <c r="G2547" s="2"/>
      <c r="H2547" s="2"/>
      <c r="I2547" s="2"/>
      <c r="J2547" s="2"/>
    </row>
    <row r="2548" spans="1:10" x14ac:dyDescent="0.35">
      <c r="A2548" s="2" t="s">
        <v>1237</v>
      </c>
      <c r="B2548" s="2" t="s">
        <v>1407</v>
      </c>
      <c r="C2548" s="2" t="s">
        <v>24</v>
      </c>
      <c r="D2548" s="2" t="s">
        <v>1464</v>
      </c>
      <c r="E2548" s="2" t="s">
        <v>38</v>
      </c>
      <c r="F2548" s="2" t="s">
        <v>38</v>
      </c>
      <c r="G2548" s="2"/>
      <c r="H2548" s="2"/>
      <c r="I2548" s="2"/>
      <c r="J2548" s="2"/>
    </row>
    <row r="2549" spans="1:10" x14ac:dyDescent="0.35">
      <c r="A2549" s="2" t="s">
        <v>1237</v>
      </c>
      <c r="B2549" s="2" t="s">
        <v>1407</v>
      </c>
      <c r="C2549" s="2" t="s">
        <v>24</v>
      </c>
      <c r="D2549" s="2" t="s">
        <v>1464</v>
      </c>
      <c r="E2549" s="2" t="s">
        <v>534</v>
      </c>
      <c r="F2549" s="2" t="s">
        <v>38</v>
      </c>
      <c r="G2549" s="2"/>
      <c r="H2549" s="2"/>
      <c r="I2549" s="2"/>
      <c r="J2549" s="2"/>
    </row>
    <row r="2550" spans="1:10" x14ac:dyDescent="0.35">
      <c r="A2550" s="2" t="s">
        <v>1237</v>
      </c>
      <c r="B2550" s="2" t="s">
        <v>1407</v>
      </c>
      <c r="C2550" s="2" t="s">
        <v>24</v>
      </c>
      <c r="D2550" s="2" t="s">
        <v>1464</v>
      </c>
      <c r="E2550" s="2" t="s">
        <v>1454</v>
      </c>
      <c r="F2550" s="2" t="s">
        <v>277</v>
      </c>
      <c r="G2550" s="2"/>
      <c r="H2550" s="2"/>
      <c r="I2550" s="2"/>
      <c r="J2550" s="2"/>
    </row>
    <row r="2551" spans="1:10" x14ac:dyDescent="0.35">
      <c r="A2551" s="2" t="s">
        <v>1237</v>
      </c>
      <c r="B2551" s="2" t="s">
        <v>1407</v>
      </c>
      <c r="C2551" s="2" t="s">
        <v>24</v>
      </c>
      <c r="D2551" s="2" t="s">
        <v>1464</v>
      </c>
      <c r="E2551" s="2" t="s">
        <v>1457</v>
      </c>
      <c r="F2551" s="2" t="s">
        <v>1458</v>
      </c>
      <c r="G2551" s="2"/>
      <c r="H2551" s="2"/>
      <c r="I2551" s="2"/>
      <c r="J2551" s="2"/>
    </row>
    <row r="2552" spans="1:10" x14ac:dyDescent="0.35">
      <c r="A2552" s="2" t="s">
        <v>1237</v>
      </c>
      <c r="B2552" s="2" t="s">
        <v>1407</v>
      </c>
      <c r="C2552" s="2" t="s">
        <v>24</v>
      </c>
      <c r="D2552" s="2" t="s">
        <v>1464</v>
      </c>
      <c r="E2552" s="2" t="s">
        <v>87</v>
      </c>
      <c r="F2552" s="2" t="s">
        <v>75</v>
      </c>
      <c r="G2552" s="2"/>
      <c r="H2552" s="2"/>
      <c r="I2552" s="2"/>
      <c r="J2552" s="2"/>
    </row>
    <row r="2553" spans="1:10" x14ac:dyDescent="0.35">
      <c r="A2553" s="2" t="s">
        <v>1237</v>
      </c>
      <c r="B2553" s="2" t="s">
        <v>1407</v>
      </c>
      <c r="C2553" s="2" t="s">
        <v>24</v>
      </c>
      <c r="D2553" s="2" t="s">
        <v>1464</v>
      </c>
      <c r="E2553" s="2" t="s">
        <v>18</v>
      </c>
      <c r="F2553" s="2" t="s">
        <v>19</v>
      </c>
      <c r="G2553" s="2" t="s">
        <v>20</v>
      </c>
      <c r="H2553" s="2" t="s">
        <v>1466</v>
      </c>
      <c r="I2553" s="2"/>
      <c r="J2553" s="2"/>
    </row>
    <row r="2554" spans="1:10" x14ac:dyDescent="0.35">
      <c r="A2554" s="2" t="s">
        <v>1237</v>
      </c>
      <c r="B2554" s="2" t="s">
        <v>1407</v>
      </c>
      <c r="C2554" s="2" t="s">
        <v>24</v>
      </c>
      <c r="D2554" s="2" t="s">
        <v>1464</v>
      </c>
      <c r="E2554" s="2" t="s">
        <v>1462</v>
      </c>
      <c r="F2554" s="2" t="s">
        <v>277</v>
      </c>
      <c r="G2554" s="2"/>
      <c r="H2554" s="2"/>
      <c r="I2554" s="2"/>
      <c r="J2554" s="2"/>
    </row>
    <row r="2555" spans="1:10" x14ac:dyDescent="0.35">
      <c r="A2555" s="2" t="s">
        <v>1237</v>
      </c>
      <c r="B2555" s="2" t="s">
        <v>1407</v>
      </c>
      <c r="C2555" s="2" t="s">
        <v>24</v>
      </c>
      <c r="D2555" s="2" t="s">
        <v>1464</v>
      </c>
      <c r="E2555" s="2" t="s">
        <v>1467</v>
      </c>
      <c r="F2555" s="2" t="s">
        <v>40</v>
      </c>
      <c r="G2555" s="2"/>
      <c r="H2555" s="2"/>
      <c r="I2555" s="2"/>
      <c r="J2555" s="2"/>
    </row>
    <row r="2556" spans="1:10" x14ac:dyDescent="0.35">
      <c r="A2556" s="2" t="s">
        <v>1237</v>
      </c>
      <c r="B2556" s="2" t="s">
        <v>1407</v>
      </c>
      <c r="C2556" s="2" t="s">
        <v>24</v>
      </c>
      <c r="D2556" s="2" t="s">
        <v>1464</v>
      </c>
      <c r="E2556" s="2" t="s">
        <v>1228</v>
      </c>
      <c r="F2556" s="2" t="s">
        <v>228</v>
      </c>
      <c r="G2556" s="2"/>
      <c r="H2556" s="2"/>
      <c r="I2556" s="2"/>
      <c r="J2556" s="2"/>
    </row>
    <row r="2557" spans="1:10" x14ac:dyDescent="0.35">
      <c r="A2557" s="2" t="s">
        <v>1237</v>
      </c>
      <c r="B2557" s="2" t="s">
        <v>1407</v>
      </c>
      <c r="C2557" s="2" t="s">
        <v>24</v>
      </c>
      <c r="D2557" s="2" t="s">
        <v>1464</v>
      </c>
      <c r="E2557" s="2" t="s">
        <v>188</v>
      </c>
      <c r="F2557" s="2" t="s">
        <v>189</v>
      </c>
      <c r="G2557" s="2"/>
      <c r="H2557" s="2"/>
      <c r="I2557" s="2"/>
      <c r="J2557" s="2"/>
    </row>
    <row r="2558" spans="1:10" x14ac:dyDescent="0.35">
      <c r="A2558" s="2" t="s">
        <v>1237</v>
      </c>
      <c r="B2558" s="2" t="s">
        <v>1407</v>
      </c>
      <c r="C2558" s="2" t="s">
        <v>24</v>
      </c>
      <c r="D2558" s="2" t="s">
        <v>1464</v>
      </c>
      <c r="E2558" s="2" t="s">
        <v>149</v>
      </c>
      <c r="F2558" s="2" t="s">
        <v>150</v>
      </c>
      <c r="G2558" s="2" t="s">
        <v>20</v>
      </c>
      <c r="H2558" s="2" t="s">
        <v>1468</v>
      </c>
      <c r="I2558" s="2"/>
      <c r="J2558" s="2"/>
    </row>
    <row r="2559" spans="1:10" x14ac:dyDescent="0.35">
      <c r="A2559" s="2" t="s">
        <v>1237</v>
      </c>
      <c r="B2559" s="2" t="s">
        <v>1407</v>
      </c>
      <c r="C2559" s="2" t="s">
        <v>62</v>
      </c>
      <c r="D2559" s="2" t="s">
        <v>1469</v>
      </c>
      <c r="E2559" s="2" t="s">
        <v>317</v>
      </c>
      <c r="F2559" s="2" t="s">
        <v>318</v>
      </c>
      <c r="G2559" s="2"/>
      <c r="H2559" s="2"/>
      <c r="I2559" s="2"/>
      <c r="J2559" s="2"/>
    </row>
    <row r="2560" spans="1:10" x14ac:dyDescent="0.35">
      <c r="A2560" s="2" t="s">
        <v>1237</v>
      </c>
      <c r="B2560" s="2" t="s">
        <v>1407</v>
      </c>
      <c r="C2560" s="2" t="s">
        <v>62</v>
      </c>
      <c r="D2560" s="2" t="s">
        <v>1469</v>
      </c>
      <c r="E2560" s="2" t="s">
        <v>87</v>
      </c>
      <c r="F2560" s="2" t="s">
        <v>75</v>
      </c>
      <c r="G2560" s="2"/>
      <c r="H2560" s="2"/>
      <c r="I2560" s="2"/>
      <c r="J2560" s="2"/>
    </row>
    <row r="2561" spans="1:10" x14ac:dyDescent="0.35">
      <c r="A2561" s="2" t="s">
        <v>1237</v>
      </c>
      <c r="B2561" s="2" t="s">
        <v>1407</v>
      </c>
      <c r="C2561" s="2" t="s">
        <v>62</v>
      </c>
      <c r="D2561" s="2" t="s">
        <v>1469</v>
      </c>
      <c r="E2561" s="2" t="s">
        <v>1051</v>
      </c>
      <c r="F2561" s="2" t="s">
        <v>318</v>
      </c>
      <c r="G2561" s="2"/>
      <c r="H2561" s="2"/>
      <c r="I2561" s="2"/>
      <c r="J2561" s="2"/>
    </row>
    <row r="2562" spans="1:10" s="21" customFormat="1" x14ac:dyDescent="0.35">
      <c r="A2562" s="2" t="s">
        <v>1237</v>
      </c>
      <c r="B2562" s="2" t="s">
        <v>1407</v>
      </c>
      <c r="C2562" s="2" t="s">
        <v>62</v>
      </c>
      <c r="D2562" s="2" t="s">
        <v>1469</v>
      </c>
      <c r="E2562" s="2" t="s">
        <v>333</v>
      </c>
      <c r="F2562" s="2" t="s">
        <v>334</v>
      </c>
      <c r="G2562" s="2"/>
      <c r="H2562" s="2"/>
      <c r="I2562" s="2"/>
      <c r="J2562" s="2"/>
    </row>
    <row r="2563" spans="1:10" x14ac:dyDescent="0.35">
      <c r="A2563" s="2" t="s">
        <v>1237</v>
      </c>
      <c r="B2563" s="2" t="s">
        <v>1407</v>
      </c>
      <c r="C2563" s="2" t="s">
        <v>24</v>
      </c>
      <c r="D2563" s="2" t="s">
        <v>1470</v>
      </c>
      <c r="E2563" s="2" t="s">
        <v>1226</v>
      </c>
      <c r="F2563" s="2" t="s">
        <v>107</v>
      </c>
      <c r="G2563" s="2"/>
      <c r="H2563" s="2"/>
      <c r="I2563" s="2"/>
      <c r="J2563" s="2"/>
    </row>
    <row r="2564" spans="1:10" x14ac:dyDescent="0.35">
      <c r="A2564" s="2" t="s">
        <v>1237</v>
      </c>
      <c r="B2564" s="2" t="s">
        <v>1407</v>
      </c>
      <c r="C2564" s="2" t="s">
        <v>24</v>
      </c>
      <c r="D2564" s="2" t="s">
        <v>1470</v>
      </c>
      <c r="E2564" s="2" t="s">
        <v>1228</v>
      </c>
      <c r="F2564" s="2" t="s">
        <v>228</v>
      </c>
      <c r="G2564" s="2"/>
      <c r="H2564" s="2"/>
      <c r="I2564" s="2"/>
      <c r="J2564" s="2"/>
    </row>
    <row r="2565" spans="1:10" x14ac:dyDescent="0.35">
      <c r="A2565" s="2" t="s">
        <v>1237</v>
      </c>
      <c r="B2565" s="2" t="s">
        <v>1407</v>
      </c>
      <c r="C2565" s="2" t="s">
        <v>24</v>
      </c>
      <c r="D2565" s="2" t="s">
        <v>1471</v>
      </c>
      <c r="E2565" s="2" t="s">
        <v>130</v>
      </c>
      <c r="F2565" s="2" t="s">
        <v>36</v>
      </c>
      <c r="G2565" s="2"/>
      <c r="H2565" s="2"/>
      <c r="I2565" s="2"/>
      <c r="J2565" s="2"/>
    </row>
    <row r="2566" spans="1:10" x14ac:dyDescent="0.35">
      <c r="A2566" s="2" t="s">
        <v>1237</v>
      </c>
      <c r="B2566" s="2" t="s">
        <v>1407</v>
      </c>
      <c r="C2566" s="2" t="s">
        <v>24</v>
      </c>
      <c r="D2566" s="2" t="s">
        <v>1471</v>
      </c>
      <c r="E2566" s="2" t="s">
        <v>1415</v>
      </c>
      <c r="F2566" s="2" t="s">
        <v>1416</v>
      </c>
      <c r="G2566" s="2"/>
      <c r="H2566" s="2"/>
      <c r="I2566" s="2"/>
      <c r="J2566" s="2"/>
    </row>
    <row r="2567" spans="1:10" x14ac:dyDescent="0.35">
      <c r="A2567" s="2" t="s">
        <v>1237</v>
      </c>
      <c r="B2567" s="2" t="s">
        <v>1407</v>
      </c>
      <c r="C2567" s="2" t="s">
        <v>24</v>
      </c>
      <c r="D2567" s="2" t="s">
        <v>1471</v>
      </c>
      <c r="E2567" s="2" t="s">
        <v>98</v>
      </c>
      <c r="F2567" s="2" t="s">
        <v>98</v>
      </c>
      <c r="G2567" s="2"/>
      <c r="H2567" s="2"/>
      <c r="I2567" s="2"/>
      <c r="J2567" s="2"/>
    </row>
    <row r="2568" spans="1:10" x14ac:dyDescent="0.35">
      <c r="A2568" s="2" t="s">
        <v>1237</v>
      </c>
      <c r="B2568" s="2" t="s">
        <v>1407</v>
      </c>
      <c r="C2568" s="2" t="s">
        <v>24</v>
      </c>
      <c r="D2568" s="2" t="s">
        <v>1471</v>
      </c>
      <c r="E2568" s="2" t="s">
        <v>1226</v>
      </c>
      <c r="F2568" s="2" t="s">
        <v>107</v>
      </c>
      <c r="G2568" s="2"/>
      <c r="H2568" s="2"/>
      <c r="I2568" s="2"/>
      <c r="J2568" s="2"/>
    </row>
    <row r="2569" spans="1:10" x14ac:dyDescent="0.35">
      <c r="A2569" s="2" t="s">
        <v>1237</v>
      </c>
      <c r="B2569" s="2" t="s">
        <v>1407</v>
      </c>
      <c r="C2569" s="2" t="s">
        <v>24</v>
      </c>
      <c r="D2569" s="2" t="s">
        <v>1471</v>
      </c>
      <c r="E2569" s="2" t="s">
        <v>38</v>
      </c>
      <c r="F2569" s="2" t="s">
        <v>38</v>
      </c>
      <c r="G2569" s="2" t="s">
        <v>20</v>
      </c>
      <c r="H2569" s="2" t="s">
        <v>1472</v>
      </c>
      <c r="I2569" s="2"/>
      <c r="J2569" s="2"/>
    </row>
    <row r="2570" spans="1:10" x14ac:dyDescent="0.35">
      <c r="A2570" s="2" t="s">
        <v>1237</v>
      </c>
      <c r="B2570" s="2" t="s">
        <v>1407</v>
      </c>
      <c r="C2570" s="2" t="s">
        <v>24</v>
      </c>
      <c r="D2570" s="2" t="s">
        <v>1471</v>
      </c>
      <c r="E2570" s="2" t="s">
        <v>213</v>
      </c>
      <c r="F2570" s="2" t="s">
        <v>45</v>
      </c>
      <c r="G2570" s="2"/>
      <c r="H2570" s="2"/>
      <c r="I2570" s="2"/>
      <c r="J2570" s="2"/>
    </row>
    <row r="2571" spans="1:10" x14ac:dyDescent="0.35">
      <c r="A2571" s="2" t="s">
        <v>1237</v>
      </c>
      <c r="B2571" s="2" t="s">
        <v>1407</v>
      </c>
      <c r="C2571" s="2" t="s">
        <v>24</v>
      </c>
      <c r="D2571" s="2" t="s">
        <v>1471</v>
      </c>
      <c r="E2571" s="2" t="s">
        <v>18</v>
      </c>
      <c r="F2571" s="2" t="s">
        <v>19</v>
      </c>
      <c r="G2571" s="2" t="s">
        <v>20</v>
      </c>
      <c r="H2571" s="2" t="s">
        <v>1473</v>
      </c>
      <c r="I2571" s="2"/>
      <c r="J2571" s="2"/>
    </row>
    <row r="2572" spans="1:10" x14ac:dyDescent="0.35">
      <c r="A2572" s="2" t="s">
        <v>1237</v>
      </c>
      <c r="B2572" s="2" t="s">
        <v>1407</v>
      </c>
      <c r="C2572" s="2" t="s">
        <v>24</v>
      </c>
      <c r="D2572" s="2" t="s">
        <v>1471</v>
      </c>
      <c r="E2572" s="2" t="s">
        <v>1228</v>
      </c>
      <c r="F2572" s="2" t="s">
        <v>228</v>
      </c>
      <c r="G2572" s="2"/>
      <c r="H2572" s="2"/>
      <c r="I2572" s="2"/>
      <c r="J2572" s="2"/>
    </row>
    <row r="2573" spans="1:10" x14ac:dyDescent="0.35">
      <c r="A2573" s="2" t="s">
        <v>1237</v>
      </c>
      <c r="B2573" s="2" t="s">
        <v>1407</v>
      </c>
      <c r="C2573" s="2" t="s">
        <v>54</v>
      </c>
      <c r="D2573" s="2" t="s">
        <v>1474</v>
      </c>
      <c r="E2573" s="2" t="s">
        <v>1150</v>
      </c>
      <c r="F2573" s="2" t="s">
        <v>45</v>
      </c>
      <c r="G2573" s="2"/>
      <c r="H2573" s="2"/>
      <c r="I2573" s="2"/>
      <c r="J2573" s="2"/>
    </row>
    <row r="2574" spans="1:10" x14ac:dyDescent="0.35">
      <c r="A2574" s="2" t="s">
        <v>1237</v>
      </c>
      <c r="B2574" s="2" t="s">
        <v>1407</v>
      </c>
      <c r="C2574" s="2" t="s">
        <v>54</v>
      </c>
      <c r="D2574" s="2" t="s">
        <v>1474</v>
      </c>
      <c r="E2574" s="2" t="s">
        <v>91</v>
      </c>
      <c r="F2574" s="2" t="s">
        <v>19</v>
      </c>
      <c r="G2574" s="2" t="s">
        <v>20</v>
      </c>
      <c r="H2574" s="2" t="s">
        <v>1475</v>
      </c>
      <c r="I2574" s="2"/>
      <c r="J2574" s="2"/>
    </row>
    <row r="2575" spans="1:10" x14ac:dyDescent="0.35">
      <c r="A2575" s="2" t="s">
        <v>1237</v>
      </c>
      <c r="B2575" s="2" t="s">
        <v>1407</v>
      </c>
      <c r="C2575" s="2" t="s">
        <v>54</v>
      </c>
      <c r="D2575" s="2" t="s">
        <v>1476</v>
      </c>
      <c r="E2575" s="2" t="s">
        <v>1226</v>
      </c>
      <c r="F2575" s="2" t="s">
        <v>107</v>
      </c>
      <c r="G2575" s="2" t="s">
        <v>20</v>
      </c>
      <c r="H2575" s="2" t="s">
        <v>1477</v>
      </c>
      <c r="I2575" s="2"/>
      <c r="J2575" s="2"/>
    </row>
    <row r="2576" spans="1:10" x14ac:dyDescent="0.35">
      <c r="A2576" s="2" t="s">
        <v>1237</v>
      </c>
      <c r="B2576" s="2" t="s">
        <v>1407</v>
      </c>
      <c r="C2576" s="2" t="s">
        <v>54</v>
      </c>
      <c r="D2576" s="2" t="s">
        <v>1476</v>
      </c>
      <c r="E2576" s="2" t="s">
        <v>91</v>
      </c>
      <c r="F2576" s="2" t="s">
        <v>19</v>
      </c>
      <c r="G2576" s="2" t="s">
        <v>20</v>
      </c>
      <c r="H2576" s="2" t="s">
        <v>1477</v>
      </c>
      <c r="I2576" s="2"/>
      <c r="J2576" s="2"/>
    </row>
    <row r="2577" spans="1:10" x14ac:dyDescent="0.35">
      <c r="A2577" s="2" t="s">
        <v>1237</v>
      </c>
      <c r="B2577" s="2" t="s">
        <v>1407</v>
      </c>
      <c r="C2577" s="2" t="s">
        <v>54</v>
      </c>
      <c r="D2577" s="2" t="s">
        <v>1476</v>
      </c>
      <c r="E2577" s="2" t="s">
        <v>87</v>
      </c>
      <c r="F2577" s="2" t="s">
        <v>75</v>
      </c>
      <c r="G2577" s="2" t="s">
        <v>20</v>
      </c>
      <c r="H2577" s="2" t="s">
        <v>1477</v>
      </c>
      <c r="I2577" s="2"/>
      <c r="J2577" s="2"/>
    </row>
    <row r="2578" spans="1:10" x14ac:dyDescent="0.35">
      <c r="A2578" s="2" t="s">
        <v>1237</v>
      </c>
      <c r="B2578" s="2" t="s">
        <v>1407</v>
      </c>
      <c r="C2578" s="2" t="s">
        <v>54</v>
      </c>
      <c r="D2578" s="2" t="s">
        <v>1476</v>
      </c>
      <c r="E2578" s="2" t="s">
        <v>1228</v>
      </c>
      <c r="F2578" s="2" t="s">
        <v>228</v>
      </c>
      <c r="G2578" s="2" t="s">
        <v>20</v>
      </c>
      <c r="H2578" s="2" t="s">
        <v>1477</v>
      </c>
      <c r="I2578" s="2"/>
      <c r="J2578" s="2"/>
    </row>
    <row r="2579" spans="1:10" x14ac:dyDescent="0.35">
      <c r="A2579" s="2" t="s">
        <v>1237</v>
      </c>
      <c r="B2579" s="2" t="s">
        <v>1407</v>
      </c>
      <c r="C2579" s="2" t="s">
        <v>54</v>
      </c>
      <c r="D2579" s="2" t="s">
        <v>1476</v>
      </c>
      <c r="E2579" s="2" t="s">
        <v>1261</v>
      </c>
      <c r="F2579" s="2" t="s">
        <v>277</v>
      </c>
      <c r="G2579" s="2" t="s">
        <v>20</v>
      </c>
      <c r="H2579" s="2" t="s">
        <v>1477</v>
      </c>
      <c r="I2579" s="2"/>
      <c r="J2579" s="2"/>
    </row>
    <row r="2580" spans="1:10" x14ac:dyDescent="0.35">
      <c r="A2580" s="2" t="s">
        <v>1237</v>
      </c>
      <c r="B2580" s="2" t="s">
        <v>1407</v>
      </c>
      <c r="C2580" s="2" t="s">
        <v>54</v>
      </c>
      <c r="D2580" s="2" t="s">
        <v>1478</v>
      </c>
      <c r="E2580" s="2" t="s">
        <v>196</v>
      </c>
      <c r="F2580" s="2" t="s">
        <v>197</v>
      </c>
      <c r="G2580" s="2"/>
      <c r="H2580" s="2"/>
      <c r="I2580" s="2"/>
      <c r="J2580" s="2"/>
    </row>
    <row r="2581" spans="1:10" x14ac:dyDescent="0.35">
      <c r="A2581" s="2" t="s">
        <v>1237</v>
      </c>
      <c r="B2581" s="2" t="s">
        <v>1407</v>
      </c>
      <c r="C2581" s="2" t="s">
        <v>54</v>
      </c>
      <c r="D2581" s="2" t="s">
        <v>1478</v>
      </c>
      <c r="E2581" s="2" t="s">
        <v>1226</v>
      </c>
      <c r="F2581" s="2" t="s">
        <v>107</v>
      </c>
      <c r="G2581" s="2" t="s">
        <v>20</v>
      </c>
      <c r="H2581" s="2" t="s">
        <v>1479</v>
      </c>
      <c r="I2581" s="2"/>
      <c r="J2581" s="2"/>
    </row>
    <row r="2582" spans="1:10" s="21" customFormat="1" x14ac:dyDescent="0.35">
      <c r="A2582" s="2" t="s">
        <v>1237</v>
      </c>
      <c r="B2582" s="2" t="s">
        <v>1407</v>
      </c>
      <c r="C2582" s="2" t="s">
        <v>54</v>
      </c>
      <c r="D2582" s="2" t="s">
        <v>1478</v>
      </c>
      <c r="E2582" s="2" t="s">
        <v>815</v>
      </c>
      <c r="F2582" s="2" t="s">
        <v>122</v>
      </c>
      <c r="G2582" s="2" t="s">
        <v>20</v>
      </c>
      <c r="H2582" s="2" t="s">
        <v>1480</v>
      </c>
      <c r="J2582" s="2"/>
    </row>
    <row r="2583" spans="1:10" x14ac:dyDescent="0.35">
      <c r="A2583" s="2" t="s">
        <v>1237</v>
      </c>
      <c r="B2583" s="2" t="s">
        <v>1407</v>
      </c>
      <c r="C2583" s="2" t="s">
        <v>54</v>
      </c>
      <c r="D2583" s="2" t="s">
        <v>1478</v>
      </c>
      <c r="E2583" s="2" t="s">
        <v>1454</v>
      </c>
      <c r="F2583" s="2" t="s">
        <v>277</v>
      </c>
      <c r="G2583" s="2" t="s">
        <v>20</v>
      </c>
      <c r="H2583" s="2" t="s">
        <v>1481</v>
      </c>
      <c r="I2583" s="21"/>
      <c r="J2583" s="2"/>
    </row>
    <row r="2584" spans="1:10" s="21" customFormat="1" x14ac:dyDescent="0.35">
      <c r="A2584" s="2" t="s">
        <v>1237</v>
      </c>
      <c r="B2584" s="2" t="s">
        <v>1407</v>
      </c>
      <c r="C2584" s="2" t="s">
        <v>54</v>
      </c>
      <c r="D2584" s="2" t="s">
        <v>1478</v>
      </c>
      <c r="E2584" s="2" t="s">
        <v>291</v>
      </c>
      <c r="F2584" s="2" t="s">
        <v>139</v>
      </c>
      <c r="G2584" s="2" t="s">
        <v>20</v>
      </c>
      <c r="H2584" s="2" t="s">
        <v>1482</v>
      </c>
      <c r="I2584" s="2"/>
      <c r="J2584" s="2"/>
    </row>
    <row r="2585" spans="1:10" x14ac:dyDescent="0.35">
      <c r="A2585" s="2" t="s">
        <v>1237</v>
      </c>
      <c r="B2585" s="2" t="s">
        <v>1407</v>
      </c>
      <c r="C2585" s="2" t="s">
        <v>54</v>
      </c>
      <c r="D2585" s="2" t="s">
        <v>1478</v>
      </c>
      <c r="E2585" s="2" t="s">
        <v>1457</v>
      </c>
      <c r="F2585" s="2" t="s">
        <v>1458</v>
      </c>
      <c r="G2585" s="2" t="s">
        <v>20</v>
      </c>
      <c r="H2585" s="2" t="s">
        <v>1479</v>
      </c>
      <c r="I2585" s="2"/>
      <c r="J2585" s="2"/>
    </row>
    <row r="2586" spans="1:10" x14ac:dyDescent="0.35">
      <c r="A2586" s="2" t="s">
        <v>1237</v>
      </c>
      <c r="B2586" s="2" t="s">
        <v>1407</v>
      </c>
      <c r="C2586" s="2" t="s">
        <v>54</v>
      </c>
      <c r="D2586" s="2" t="s">
        <v>1478</v>
      </c>
      <c r="E2586" s="2" t="s">
        <v>18</v>
      </c>
      <c r="F2586" s="2" t="s">
        <v>19</v>
      </c>
      <c r="G2586" s="2" t="s">
        <v>20</v>
      </c>
      <c r="H2586" s="2" t="s">
        <v>1483</v>
      </c>
      <c r="I2586" s="2"/>
      <c r="J2586" s="2"/>
    </row>
    <row r="2587" spans="1:10" x14ac:dyDescent="0.35">
      <c r="A2587" s="2" t="s">
        <v>1237</v>
      </c>
      <c r="B2587" s="2" t="s">
        <v>1407</v>
      </c>
      <c r="C2587" s="2" t="s">
        <v>54</v>
      </c>
      <c r="D2587" s="2" t="s">
        <v>1478</v>
      </c>
      <c r="E2587" s="2" t="s">
        <v>1462</v>
      </c>
      <c r="F2587" s="2" t="s">
        <v>277</v>
      </c>
      <c r="G2587" s="2" t="s">
        <v>20</v>
      </c>
      <c r="H2587" s="2" t="s">
        <v>1481</v>
      </c>
      <c r="I2587" s="2"/>
      <c r="J2587" s="2"/>
    </row>
    <row r="2588" spans="1:10" x14ac:dyDescent="0.35">
      <c r="A2588" s="2" t="s">
        <v>1237</v>
      </c>
      <c r="B2588" s="2" t="s">
        <v>1407</v>
      </c>
      <c r="C2588" s="2" t="s">
        <v>54</v>
      </c>
      <c r="D2588" s="2" t="s">
        <v>1478</v>
      </c>
      <c r="E2588" s="2" t="s">
        <v>1228</v>
      </c>
      <c r="F2588" s="2" t="s">
        <v>228</v>
      </c>
      <c r="G2588" s="2" t="s">
        <v>20</v>
      </c>
      <c r="H2588" s="2" t="s">
        <v>1479</v>
      </c>
      <c r="I2588" s="2"/>
      <c r="J2588" s="2"/>
    </row>
    <row r="2589" spans="1:10" x14ac:dyDescent="0.35">
      <c r="A2589" s="2" t="s">
        <v>1237</v>
      </c>
      <c r="B2589" s="2" t="s">
        <v>1407</v>
      </c>
      <c r="C2589" s="2" t="s">
        <v>54</v>
      </c>
      <c r="D2589" s="2" t="s">
        <v>1478</v>
      </c>
      <c r="E2589" s="2" t="s">
        <v>149</v>
      </c>
      <c r="F2589" s="2" t="s">
        <v>150</v>
      </c>
      <c r="G2589" s="2" t="s">
        <v>20</v>
      </c>
      <c r="H2589" s="2" t="s">
        <v>1483</v>
      </c>
      <c r="I2589" s="2"/>
      <c r="J2589" s="2"/>
    </row>
    <row r="2590" spans="1:10" x14ac:dyDescent="0.35">
      <c r="A2590" s="2" t="s">
        <v>1237</v>
      </c>
      <c r="B2590" s="2" t="s">
        <v>1407</v>
      </c>
      <c r="C2590" s="2" t="s">
        <v>62</v>
      </c>
      <c r="D2590" s="2" t="s">
        <v>1484</v>
      </c>
      <c r="E2590" s="2" t="s">
        <v>196</v>
      </c>
      <c r="F2590" s="2" t="s">
        <v>197</v>
      </c>
      <c r="G2590" s="2"/>
      <c r="H2590" s="2"/>
      <c r="I2590" s="2"/>
      <c r="J2590" s="2"/>
    </row>
    <row r="2591" spans="1:10" x14ac:dyDescent="0.35">
      <c r="A2591" s="2" t="s">
        <v>1237</v>
      </c>
      <c r="B2591" s="2" t="s">
        <v>1407</v>
      </c>
      <c r="C2591" s="2" t="s">
        <v>62</v>
      </c>
      <c r="D2591" s="2" t="s">
        <v>1484</v>
      </c>
      <c r="E2591" s="2" t="s">
        <v>1485</v>
      </c>
      <c r="F2591" s="2" t="s">
        <v>1486</v>
      </c>
      <c r="G2591" s="2"/>
      <c r="H2591" s="2"/>
      <c r="I2591" s="2"/>
      <c r="J2591" s="2"/>
    </row>
    <row r="2592" spans="1:10" x14ac:dyDescent="0.35">
      <c r="A2592" s="2" t="s">
        <v>1237</v>
      </c>
      <c r="B2592" s="2" t="s">
        <v>1407</v>
      </c>
      <c r="C2592" s="2" t="s">
        <v>62</v>
      </c>
      <c r="D2592" s="2" t="s">
        <v>1484</v>
      </c>
      <c r="E2592" s="2" t="s">
        <v>319</v>
      </c>
      <c r="F2592" s="2" t="s">
        <v>320</v>
      </c>
      <c r="G2592" s="2"/>
      <c r="H2592" s="2"/>
      <c r="I2592" s="2"/>
      <c r="J2592" s="2"/>
    </row>
    <row r="2593" spans="1:10" x14ac:dyDescent="0.35">
      <c r="A2593" s="2" t="s">
        <v>1237</v>
      </c>
      <c r="B2593" s="2" t="s">
        <v>1407</v>
      </c>
      <c r="C2593" s="2" t="s">
        <v>62</v>
      </c>
      <c r="D2593" s="2" t="s">
        <v>1484</v>
      </c>
      <c r="E2593" s="2" t="s">
        <v>91</v>
      </c>
      <c r="F2593" s="2" t="s">
        <v>19</v>
      </c>
      <c r="G2593" s="2" t="s">
        <v>20</v>
      </c>
      <c r="H2593" s="2" t="s">
        <v>1487</v>
      </c>
      <c r="I2593" s="2"/>
      <c r="J2593" s="2"/>
    </row>
    <row r="2594" spans="1:10" x14ac:dyDescent="0.35">
      <c r="A2594" s="2" t="s">
        <v>1237</v>
      </c>
      <c r="B2594" s="2" t="s">
        <v>1407</v>
      </c>
      <c r="C2594" s="2" t="s">
        <v>62</v>
      </c>
      <c r="D2594" s="2" t="s">
        <v>1484</v>
      </c>
      <c r="E2594" s="2" t="s">
        <v>87</v>
      </c>
      <c r="F2594" s="2" t="s">
        <v>75</v>
      </c>
      <c r="G2594" s="2"/>
      <c r="H2594" s="2"/>
      <c r="I2594" s="2"/>
      <c r="J2594" s="2"/>
    </row>
    <row r="2595" spans="1:10" x14ac:dyDescent="0.35">
      <c r="A2595" s="2" t="s">
        <v>1237</v>
      </c>
      <c r="B2595" s="2" t="s">
        <v>1407</v>
      </c>
      <c r="C2595" s="2" t="s">
        <v>62</v>
      </c>
      <c r="D2595" s="2" t="s">
        <v>1484</v>
      </c>
      <c r="E2595" s="2" t="s">
        <v>1243</v>
      </c>
      <c r="F2595" s="2" t="s">
        <v>40</v>
      </c>
      <c r="G2595" s="2"/>
      <c r="H2595" s="2"/>
      <c r="I2595" s="2"/>
      <c r="J2595" s="2"/>
    </row>
    <row r="2596" spans="1:10" x14ac:dyDescent="0.35">
      <c r="A2596" s="2" t="s">
        <v>1237</v>
      </c>
      <c r="B2596" s="2" t="s">
        <v>1407</v>
      </c>
      <c r="C2596" s="2" t="s">
        <v>62</v>
      </c>
      <c r="D2596" s="2" t="s">
        <v>1484</v>
      </c>
      <c r="E2596" s="2" t="s">
        <v>321</v>
      </c>
      <c r="F2596" s="2" t="s">
        <v>321</v>
      </c>
      <c r="G2596" s="2"/>
      <c r="H2596" s="2"/>
      <c r="I2596" s="2"/>
      <c r="J2596" s="2"/>
    </row>
    <row r="2597" spans="1:10" x14ac:dyDescent="0.35">
      <c r="A2597" s="2" t="s">
        <v>1237</v>
      </c>
      <c r="B2597" s="2" t="s">
        <v>1407</v>
      </c>
      <c r="C2597" s="2" t="s">
        <v>62</v>
      </c>
      <c r="D2597" s="2" t="s">
        <v>1484</v>
      </c>
      <c r="E2597" s="2" t="s">
        <v>127</v>
      </c>
      <c r="F2597" s="2" t="s">
        <v>107</v>
      </c>
      <c r="G2597" s="2"/>
      <c r="H2597" s="2"/>
      <c r="I2597" s="2"/>
      <c r="J2597" s="2"/>
    </row>
    <row r="2598" spans="1:10" x14ac:dyDescent="0.35">
      <c r="A2598" s="2" t="s">
        <v>1237</v>
      </c>
      <c r="B2598" s="2" t="s">
        <v>1407</v>
      </c>
      <c r="C2598" s="2" t="s">
        <v>62</v>
      </c>
      <c r="D2598" s="2" t="s">
        <v>1484</v>
      </c>
      <c r="E2598" s="2" t="s">
        <v>322</v>
      </c>
      <c r="F2598" s="2" t="s">
        <v>246</v>
      </c>
      <c r="G2598" s="2"/>
      <c r="H2598" s="2"/>
      <c r="I2598" s="2"/>
      <c r="J2598" s="2"/>
    </row>
    <row r="2599" spans="1:10" x14ac:dyDescent="0.35">
      <c r="A2599" s="2" t="s">
        <v>1237</v>
      </c>
      <c r="B2599" s="2" t="s">
        <v>1407</v>
      </c>
      <c r="C2599" s="2" t="s">
        <v>62</v>
      </c>
      <c r="D2599" s="2" t="s">
        <v>1484</v>
      </c>
      <c r="E2599" s="2" t="s">
        <v>323</v>
      </c>
      <c r="F2599" s="2" t="s">
        <v>246</v>
      </c>
      <c r="G2599" s="2"/>
      <c r="H2599" s="2"/>
      <c r="I2599" s="2"/>
      <c r="J2599" s="2"/>
    </row>
    <row r="2600" spans="1:10" x14ac:dyDescent="0.35">
      <c r="A2600" s="2" t="s">
        <v>1237</v>
      </c>
      <c r="B2600" s="2" t="s">
        <v>1407</v>
      </c>
      <c r="C2600" s="2" t="s">
        <v>62</v>
      </c>
      <c r="D2600" s="2" t="s">
        <v>1484</v>
      </c>
      <c r="E2600" s="2" t="s">
        <v>324</v>
      </c>
      <c r="F2600" s="2" t="s">
        <v>246</v>
      </c>
      <c r="G2600" s="2"/>
      <c r="H2600" s="2"/>
      <c r="I2600" s="2"/>
      <c r="J2600" s="2"/>
    </row>
    <row r="2601" spans="1:10" x14ac:dyDescent="0.35">
      <c r="A2601" s="2" t="s">
        <v>1237</v>
      </c>
      <c r="B2601" s="2" t="s">
        <v>1407</v>
      </c>
      <c r="C2601" s="2" t="s">
        <v>62</v>
      </c>
      <c r="D2601" s="2" t="s">
        <v>1484</v>
      </c>
      <c r="E2601" s="2" t="s">
        <v>325</v>
      </c>
      <c r="F2601" s="2" t="s">
        <v>326</v>
      </c>
      <c r="G2601" s="2"/>
      <c r="H2601" s="2"/>
      <c r="I2601" s="2"/>
      <c r="J2601" s="2"/>
    </row>
    <row r="2602" spans="1:10" x14ac:dyDescent="0.35">
      <c r="A2602" s="2" t="s">
        <v>1237</v>
      </c>
      <c r="B2602" s="2" t="s">
        <v>1407</v>
      </c>
      <c r="C2602" s="2" t="s">
        <v>62</v>
      </c>
      <c r="D2602" s="2" t="s">
        <v>1484</v>
      </c>
      <c r="E2602" s="2" t="s">
        <v>327</v>
      </c>
      <c r="F2602" s="2" t="s">
        <v>328</v>
      </c>
      <c r="G2602" s="2"/>
      <c r="H2602" s="2"/>
      <c r="I2602" s="2"/>
      <c r="J2602" s="2"/>
    </row>
    <row r="2603" spans="1:10" x14ac:dyDescent="0.35">
      <c r="A2603" s="2" t="s">
        <v>1237</v>
      </c>
      <c r="B2603" s="2" t="s">
        <v>1407</v>
      </c>
      <c r="C2603" s="2" t="s">
        <v>62</v>
      </c>
      <c r="D2603" s="2" t="s">
        <v>1484</v>
      </c>
      <c r="E2603" s="2" t="s">
        <v>329</v>
      </c>
      <c r="F2603" s="2" t="s">
        <v>330</v>
      </c>
      <c r="G2603" s="2"/>
      <c r="H2603" s="2"/>
      <c r="I2603" s="2"/>
      <c r="J2603" s="2"/>
    </row>
    <row r="2604" spans="1:10" x14ac:dyDescent="0.35">
      <c r="A2604" s="2" t="s">
        <v>1237</v>
      </c>
      <c r="B2604" s="2" t="s">
        <v>1407</v>
      </c>
      <c r="C2604" s="2" t="s">
        <v>62</v>
      </c>
      <c r="D2604" s="2" t="s">
        <v>1484</v>
      </c>
      <c r="E2604" s="2" t="s">
        <v>331</v>
      </c>
      <c r="F2604" s="2" t="s">
        <v>332</v>
      </c>
      <c r="G2604" s="2"/>
      <c r="H2604" s="2"/>
      <c r="I2604" s="2"/>
      <c r="J2604" s="2"/>
    </row>
    <row r="2605" spans="1:10" x14ac:dyDescent="0.35">
      <c r="A2605" s="2" t="s">
        <v>1237</v>
      </c>
      <c r="B2605" s="2" t="s">
        <v>1407</v>
      </c>
      <c r="C2605" s="2" t="s">
        <v>62</v>
      </c>
      <c r="D2605" s="2" t="s">
        <v>1484</v>
      </c>
      <c r="E2605" s="2" t="s">
        <v>333</v>
      </c>
      <c r="F2605" s="2" t="s">
        <v>334</v>
      </c>
      <c r="G2605" s="2"/>
      <c r="H2605" s="2"/>
      <c r="I2605" s="2"/>
      <c r="J2605" s="2"/>
    </row>
    <row r="2606" spans="1:10" x14ac:dyDescent="0.35">
      <c r="A2606" s="2" t="s">
        <v>1237</v>
      </c>
      <c r="B2606" s="2" t="s">
        <v>1407</v>
      </c>
      <c r="C2606" s="2" t="s">
        <v>62</v>
      </c>
      <c r="D2606" s="2" t="s">
        <v>1484</v>
      </c>
      <c r="E2606" s="2" t="s">
        <v>1297</v>
      </c>
      <c r="F2606" s="2" t="s">
        <v>533</v>
      </c>
      <c r="G2606" s="2"/>
      <c r="H2606" s="2"/>
      <c r="I2606" s="2"/>
      <c r="J2606" s="2"/>
    </row>
    <row r="2607" spans="1:10" x14ac:dyDescent="0.35">
      <c r="A2607" s="2" t="s">
        <v>1237</v>
      </c>
      <c r="B2607" s="2" t="s">
        <v>1407</v>
      </c>
      <c r="C2607" s="2" t="s">
        <v>62</v>
      </c>
      <c r="D2607" s="2" t="s">
        <v>1484</v>
      </c>
      <c r="E2607" s="2" t="s">
        <v>335</v>
      </c>
      <c r="F2607" s="2" t="s">
        <v>336</v>
      </c>
      <c r="G2607" s="2"/>
      <c r="H2607" s="2"/>
      <c r="I2607" s="2"/>
      <c r="J2607" s="2"/>
    </row>
    <row r="2608" spans="1:10" x14ac:dyDescent="0.35">
      <c r="A2608" s="2" t="s">
        <v>1237</v>
      </c>
      <c r="B2608" s="2" t="s">
        <v>1407</v>
      </c>
      <c r="C2608" s="2" t="s">
        <v>62</v>
      </c>
      <c r="D2608" s="2" t="s">
        <v>1484</v>
      </c>
      <c r="E2608" s="2" t="s">
        <v>337</v>
      </c>
      <c r="F2608" s="2" t="s">
        <v>338</v>
      </c>
      <c r="G2608" s="2"/>
      <c r="H2608" s="2"/>
      <c r="I2608" s="2"/>
      <c r="J2608" s="2"/>
    </row>
    <row r="2609" spans="1:10" x14ac:dyDescent="0.35">
      <c r="A2609" s="2" t="s">
        <v>1237</v>
      </c>
      <c r="B2609" s="2" t="s">
        <v>1407</v>
      </c>
      <c r="C2609" s="2" t="s">
        <v>62</v>
      </c>
      <c r="D2609" s="2" t="s">
        <v>1484</v>
      </c>
      <c r="E2609" s="2" t="s">
        <v>339</v>
      </c>
      <c r="F2609" s="2" t="s">
        <v>340</v>
      </c>
      <c r="G2609" s="2"/>
      <c r="H2609" s="2"/>
      <c r="I2609" s="2"/>
      <c r="J2609" s="2"/>
    </row>
    <row r="2610" spans="1:10" x14ac:dyDescent="0.35">
      <c r="A2610" s="2" t="s">
        <v>1237</v>
      </c>
      <c r="B2610" s="2" t="s">
        <v>1407</v>
      </c>
      <c r="C2610" s="2" t="s">
        <v>62</v>
      </c>
      <c r="D2610" s="2" t="s">
        <v>1484</v>
      </c>
      <c r="E2610" s="2" t="s">
        <v>341</v>
      </c>
      <c r="F2610" s="2" t="s">
        <v>342</v>
      </c>
      <c r="G2610" s="2"/>
      <c r="H2610" s="2"/>
      <c r="I2610" s="2"/>
      <c r="J2610" s="2"/>
    </row>
    <row r="2611" spans="1:10" x14ac:dyDescent="0.35">
      <c r="A2611" s="2" t="s">
        <v>1237</v>
      </c>
      <c r="B2611" s="2" t="s">
        <v>1407</v>
      </c>
      <c r="C2611" s="2" t="s">
        <v>62</v>
      </c>
      <c r="D2611" s="2" t="s">
        <v>1484</v>
      </c>
      <c r="E2611" s="2" t="s">
        <v>343</v>
      </c>
      <c r="F2611" s="2" t="s">
        <v>344</v>
      </c>
      <c r="G2611" s="2"/>
      <c r="H2611" s="2"/>
      <c r="I2611" s="2"/>
      <c r="J2611" s="2"/>
    </row>
    <row r="2612" spans="1:10" x14ac:dyDescent="0.35">
      <c r="A2612" s="2" t="s">
        <v>1237</v>
      </c>
      <c r="B2612" s="2" t="s">
        <v>1407</v>
      </c>
      <c r="C2612" s="2" t="s">
        <v>62</v>
      </c>
      <c r="D2612" s="2" t="s">
        <v>1484</v>
      </c>
      <c r="E2612" s="2" t="s">
        <v>345</v>
      </c>
      <c r="F2612" s="2" t="s">
        <v>346</v>
      </c>
      <c r="G2612" s="2"/>
      <c r="H2612" s="2"/>
      <c r="I2612" s="2"/>
      <c r="J2612" s="2"/>
    </row>
    <row r="2613" spans="1:10" x14ac:dyDescent="0.35">
      <c r="A2613" s="2" t="s">
        <v>1237</v>
      </c>
      <c r="B2613" s="2" t="s">
        <v>1407</v>
      </c>
      <c r="C2613" s="2" t="s">
        <v>62</v>
      </c>
      <c r="D2613" s="2" t="s">
        <v>1488</v>
      </c>
      <c r="E2613" s="2" t="s">
        <v>91</v>
      </c>
      <c r="F2613" s="2" t="s">
        <v>19</v>
      </c>
      <c r="G2613" s="2" t="s">
        <v>20</v>
      </c>
      <c r="H2613" s="2" t="s">
        <v>1487</v>
      </c>
      <c r="I2613" s="2"/>
      <c r="J2613" s="2"/>
    </row>
    <row r="2614" spans="1:10" x14ac:dyDescent="0.35">
      <c r="A2614" s="2" t="s">
        <v>1237</v>
      </c>
      <c r="B2614" s="2" t="s">
        <v>1407</v>
      </c>
      <c r="C2614" s="2" t="s">
        <v>62</v>
      </c>
      <c r="D2614" s="2" t="s">
        <v>1488</v>
      </c>
      <c r="E2614" s="2" t="s">
        <v>87</v>
      </c>
      <c r="F2614" s="2" t="s">
        <v>75</v>
      </c>
      <c r="G2614" s="2"/>
      <c r="H2614" s="2"/>
      <c r="I2614" s="2"/>
      <c r="J2614" s="2"/>
    </row>
    <row r="2615" spans="1:10" x14ac:dyDescent="0.35">
      <c r="A2615" s="2" t="s">
        <v>1237</v>
      </c>
      <c r="B2615" s="2" t="s">
        <v>1407</v>
      </c>
      <c r="C2615" s="2" t="s">
        <v>62</v>
      </c>
      <c r="D2615" s="2" t="s">
        <v>1488</v>
      </c>
      <c r="E2615" s="2" t="s">
        <v>1243</v>
      </c>
      <c r="F2615" s="2" t="s">
        <v>40</v>
      </c>
      <c r="G2615" s="2"/>
      <c r="H2615" s="2"/>
      <c r="I2615" s="2"/>
      <c r="J2615" s="2"/>
    </row>
    <row r="2616" spans="1:10" x14ac:dyDescent="0.35">
      <c r="A2616" s="2" t="s">
        <v>1237</v>
      </c>
      <c r="B2616" s="2" t="s">
        <v>1407</v>
      </c>
      <c r="C2616" s="2" t="s">
        <v>62</v>
      </c>
      <c r="D2616" s="2" t="s">
        <v>1488</v>
      </c>
      <c r="E2616" s="2" t="s">
        <v>127</v>
      </c>
      <c r="F2616" s="2" t="s">
        <v>107</v>
      </c>
      <c r="G2616" s="2"/>
      <c r="H2616" s="2"/>
      <c r="I2616" s="2"/>
      <c r="J2616" s="2"/>
    </row>
    <row r="2617" spans="1:10" x14ac:dyDescent="0.35">
      <c r="A2617" s="2" t="s">
        <v>1237</v>
      </c>
      <c r="B2617" s="2" t="s">
        <v>1407</v>
      </c>
      <c r="C2617" s="2" t="s">
        <v>62</v>
      </c>
      <c r="D2617" s="2" t="s">
        <v>1489</v>
      </c>
      <c r="E2617" s="2" t="s">
        <v>106</v>
      </c>
      <c r="F2617" s="2" t="s">
        <v>107</v>
      </c>
      <c r="G2617" s="2"/>
      <c r="H2617" s="2"/>
      <c r="I2617" s="2"/>
      <c r="J2617" s="2"/>
    </row>
    <row r="2618" spans="1:10" s="21" customFormat="1" x14ac:dyDescent="0.35">
      <c r="A2618" s="2" t="s">
        <v>1237</v>
      </c>
      <c r="B2618" s="2" t="s">
        <v>1407</v>
      </c>
      <c r="C2618" s="2" t="s">
        <v>62</v>
      </c>
      <c r="D2618" s="2" t="s">
        <v>1490</v>
      </c>
      <c r="E2618" s="2" t="s">
        <v>317</v>
      </c>
      <c r="F2618" s="2" t="s">
        <v>318</v>
      </c>
      <c r="G2618" s="2" t="s">
        <v>46</v>
      </c>
      <c r="H2618" s="2" t="s">
        <v>675</v>
      </c>
      <c r="I2618" s="2"/>
      <c r="J2618" s="2"/>
    </row>
    <row r="2619" spans="1:10" x14ac:dyDescent="0.35">
      <c r="A2619" s="2" t="s">
        <v>1237</v>
      </c>
      <c r="B2619" s="2" t="s">
        <v>1407</v>
      </c>
      <c r="C2619" s="2" t="s">
        <v>62</v>
      </c>
      <c r="D2619" s="2" t="s">
        <v>1490</v>
      </c>
      <c r="E2619" s="2" t="s">
        <v>91</v>
      </c>
      <c r="F2619" s="2" t="s">
        <v>19</v>
      </c>
      <c r="G2619" s="2" t="s">
        <v>46</v>
      </c>
      <c r="H2619" s="2" t="s">
        <v>675</v>
      </c>
      <c r="I2619" s="2"/>
      <c r="J2619" s="2"/>
    </row>
    <row r="2620" spans="1:10" x14ac:dyDescent="0.35">
      <c r="A2620" s="2" t="s">
        <v>1237</v>
      </c>
      <c r="B2620" s="2" t="s">
        <v>1407</v>
      </c>
      <c r="C2620" s="2" t="s">
        <v>62</v>
      </c>
      <c r="D2620" s="2" t="s">
        <v>1490</v>
      </c>
      <c r="E2620" s="2" t="s">
        <v>1297</v>
      </c>
      <c r="F2620" s="2" t="s">
        <v>533</v>
      </c>
      <c r="G2620" s="2" t="s">
        <v>46</v>
      </c>
      <c r="H2620" s="2" t="s">
        <v>675</v>
      </c>
      <c r="I2620" s="2"/>
      <c r="J2620" s="2"/>
    </row>
    <row r="2621" spans="1:10" x14ac:dyDescent="0.35">
      <c r="A2621" s="2" t="s">
        <v>1237</v>
      </c>
      <c r="B2621" s="2" t="s">
        <v>1407</v>
      </c>
      <c r="C2621" s="2" t="s">
        <v>62</v>
      </c>
      <c r="D2621" s="2" t="s">
        <v>1491</v>
      </c>
      <c r="E2621" s="2" t="s">
        <v>317</v>
      </c>
      <c r="F2621" s="2" t="s">
        <v>318</v>
      </c>
      <c r="G2621" s="2" t="s">
        <v>46</v>
      </c>
      <c r="H2621" s="2" t="s">
        <v>675</v>
      </c>
      <c r="I2621" s="2"/>
      <c r="J2621" s="2"/>
    </row>
    <row r="2622" spans="1:10" s="21" customFormat="1" x14ac:dyDescent="0.35">
      <c r="A2622" s="2" t="s">
        <v>1237</v>
      </c>
      <c r="B2622" s="2" t="s">
        <v>1407</v>
      </c>
      <c r="C2622" s="2" t="s">
        <v>62</v>
      </c>
      <c r="D2622" s="2" t="s">
        <v>1491</v>
      </c>
      <c r="E2622" s="2" t="s">
        <v>333</v>
      </c>
      <c r="F2622" s="2" t="s">
        <v>334</v>
      </c>
      <c r="G2622" s="2" t="s">
        <v>46</v>
      </c>
      <c r="H2622" s="2" t="s">
        <v>675</v>
      </c>
      <c r="I2622" s="2"/>
      <c r="J2622" s="2"/>
    </row>
    <row r="2623" spans="1:10" x14ac:dyDescent="0.35">
      <c r="A2623" s="2" t="s">
        <v>1237</v>
      </c>
      <c r="B2623" s="2" t="s">
        <v>1407</v>
      </c>
      <c r="C2623" s="2" t="s">
        <v>62</v>
      </c>
      <c r="D2623" s="2" t="s">
        <v>1491</v>
      </c>
      <c r="E2623" s="2" t="s">
        <v>1297</v>
      </c>
      <c r="F2623" s="2" t="s">
        <v>533</v>
      </c>
      <c r="G2623" s="2" t="s">
        <v>46</v>
      </c>
      <c r="H2623" s="2" t="s">
        <v>675</v>
      </c>
      <c r="I2623" s="2"/>
      <c r="J2623" s="2"/>
    </row>
    <row r="2624" spans="1:10" s="21" customFormat="1" x14ac:dyDescent="0.35">
      <c r="A2624" s="2" t="s">
        <v>1237</v>
      </c>
      <c r="B2624" s="2" t="s">
        <v>1407</v>
      </c>
      <c r="C2624" s="2" t="s">
        <v>62</v>
      </c>
      <c r="D2624" s="2" t="s">
        <v>1492</v>
      </c>
      <c r="E2624" s="2" t="s">
        <v>317</v>
      </c>
      <c r="F2624" s="2" t="s">
        <v>318</v>
      </c>
      <c r="G2624" s="2"/>
      <c r="H2624" s="2"/>
      <c r="I2624" s="2"/>
      <c r="J2624" s="2"/>
    </row>
    <row r="2625" spans="1:10" s="21" customFormat="1" x14ac:dyDescent="0.35">
      <c r="A2625" s="2" t="s">
        <v>1237</v>
      </c>
      <c r="B2625" s="2" t="s">
        <v>1407</v>
      </c>
      <c r="C2625" s="2" t="s">
        <v>62</v>
      </c>
      <c r="D2625" s="2" t="s">
        <v>1492</v>
      </c>
      <c r="E2625" s="2" t="s">
        <v>106</v>
      </c>
      <c r="F2625" s="2" t="s">
        <v>107</v>
      </c>
      <c r="G2625" s="2"/>
      <c r="H2625" s="2"/>
      <c r="I2625" s="2"/>
      <c r="J2625" s="2"/>
    </row>
    <row r="2626" spans="1:10" s="21" customFormat="1" x14ac:dyDescent="0.35">
      <c r="A2626" s="2" t="s">
        <v>1237</v>
      </c>
      <c r="B2626" s="2" t="s">
        <v>1407</v>
      </c>
      <c r="C2626" s="2" t="s">
        <v>62</v>
      </c>
      <c r="D2626" s="2" t="s">
        <v>1492</v>
      </c>
      <c r="E2626" s="2" t="s">
        <v>1297</v>
      </c>
      <c r="F2626" s="2" t="s">
        <v>533</v>
      </c>
      <c r="G2626" s="2" t="s">
        <v>20</v>
      </c>
      <c r="H2626" s="2" t="s">
        <v>1493</v>
      </c>
      <c r="I2626" s="2"/>
      <c r="J2626" s="2"/>
    </row>
    <row r="2627" spans="1:10" x14ac:dyDescent="0.35">
      <c r="A2627" s="2" t="s">
        <v>1237</v>
      </c>
      <c r="B2627" s="2" t="s">
        <v>1407</v>
      </c>
      <c r="C2627" s="2" t="s">
        <v>24</v>
      </c>
      <c r="D2627" s="2" t="s">
        <v>1494</v>
      </c>
      <c r="E2627" s="2" t="s">
        <v>196</v>
      </c>
      <c r="F2627" s="2" t="s">
        <v>197</v>
      </c>
      <c r="G2627" s="2"/>
      <c r="H2627" s="2"/>
      <c r="I2627" s="2"/>
      <c r="J2627" s="2"/>
    </row>
    <row r="2628" spans="1:10" x14ac:dyDescent="0.35">
      <c r="A2628" s="2" t="s">
        <v>1237</v>
      </c>
      <c r="B2628" s="2" t="s">
        <v>1407</v>
      </c>
      <c r="C2628" s="2" t="s">
        <v>24</v>
      </c>
      <c r="D2628" s="2" t="s">
        <v>1494</v>
      </c>
      <c r="E2628" s="2" t="s">
        <v>319</v>
      </c>
      <c r="F2628" s="2" t="s">
        <v>320</v>
      </c>
      <c r="G2628" s="2"/>
      <c r="H2628" s="2"/>
      <c r="I2628" s="2"/>
      <c r="J2628" s="2"/>
    </row>
    <row r="2629" spans="1:10" x14ac:dyDescent="0.35">
      <c r="A2629" s="2" t="s">
        <v>1237</v>
      </c>
      <c r="B2629" s="2" t="s">
        <v>1407</v>
      </c>
      <c r="C2629" s="2" t="s">
        <v>24</v>
      </c>
      <c r="D2629" s="2" t="s">
        <v>1494</v>
      </c>
      <c r="E2629" s="2" t="s">
        <v>1226</v>
      </c>
      <c r="F2629" s="2" t="s">
        <v>107</v>
      </c>
      <c r="G2629" s="2"/>
      <c r="H2629" s="2"/>
      <c r="I2629" s="2"/>
      <c r="J2629" s="2"/>
    </row>
    <row r="2630" spans="1:10" x14ac:dyDescent="0.35">
      <c r="A2630" s="2" t="s">
        <v>1237</v>
      </c>
      <c r="B2630" s="2" t="s">
        <v>1407</v>
      </c>
      <c r="C2630" s="2" t="s">
        <v>24</v>
      </c>
      <c r="D2630" s="2" t="s">
        <v>1494</v>
      </c>
      <c r="E2630" s="2" t="s">
        <v>1495</v>
      </c>
      <c r="F2630" s="2" t="s">
        <v>45</v>
      </c>
      <c r="G2630" s="2" t="s">
        <v>20</v>
      </c>
      <c r="H2630" s="2"/>
      <c r="I2630" s="2"/>
      <c r="J2630" s="2"/>
    </row>
    <row r="2631" spans="1:10" x14ac:dyDescent="0.35">
      <c r="A2631" s="2" t="s">
        <v>1237</v>
      </c>
      <c r="B2631" s="2" t="s">
        <v>1407</v>
      </c>
      <c r="C2631" s="2" t="s">
        <v>24</v>
      </c>
      <c r="D2631" s="2" t="s">
        <v>1494</v>
      </c>
      <c r="E2631" s="2" t="s">
        <v>1454</v>
      </c>
      <c r="F2631" s="2" t="s">
        <v>277</v>
      </c>
      <c r="G2631" s="2"/>
      <c r="H2631" s="2"/>
      <c r="I2631" s="2"/>
      <c r="J2631" s="2"/>
    </row>
    <row r="2632" spans="1:10" x14ac:dyDescent="0.35">
      <c r="A2632" s="2" t="s">
        <v>1237</v>
      </c>
      <c r="B2632" s="2" t="s">
        <v>1407</v>
      </c>
      <c r="C2632" s="2" t="s">
        <v>24</v>
      </c>
      <c r="D2632" s="2" t="s">
        <v>1494</v>
      </c>
      <c r="E2632" s="2" t="s">
        <v>1457</v>
      </c>
      <c r="F2632" s="2" t="s">
        <v>1458</v>
      </c>
      <c r="G2632" s="2"/>
      <c r="H2632" s="2"/>
      <c r="I2632" s="2"/>
      <c r="J2632" s="2"/>
    </row>
    <row r="2633" spans="1:10" x14ac:dyDescent="0.35">
      <c r="A2633" s="2" t="s">
        <v>1237</v>
      </c>
      <c r="B2633" s="2" t="s">
        <v>1407</v>
      </c>
      <c r="C2633" s="2" t="s">
        <v>24</v>
      </c>
      <c r="D2633" s="2" t="s">
        <v>1494</v>
      </c>
      <c r="E2633" s="2" t="s">
        <v>87</v>
      </c>
      <c r="F2633" s="2" t="s">
        <v>75</v>
      </c>
      <c r="G2633" s="2"/>
      <c r="H2633" s="2"/>
      <c r="I2633" s="2"/>
      <c r="J2633" s="2"/>
    </row>
    <row r="2634" spans="1:10" x14ac:dyDescent="0.35">
      <c r="A2634" s="2" t="s">
        <v>1237</v>
      </c>
      <c r="B2634" s="2" t="s">
        <v>1407</v>
      </c>
      <c r="C2634" s="2" t="s">
        <v>24</v>
      </c>
      <c r="D2634" s="2" t="s">
        <v>1494</v>
      </c>
      <c r="E2634" s="2" t="s">
        <v>18</v>
      </c>
      <c r="F2634" s="2" t="s">
        <v>19</v>
      </c>
      <c r="G2634" s="2" t="s">
        <v>20</v>
      </c>
      <c r="H2634" s="2" t="s">
        <v>1496</v>
      </c>
      <c r="I2634" s="2"/>
      <c r="J2634" s="2"/>
    </row>
    <row r="2635" spans="1:10" x14ac:dyDescent="0.35">
      <c r="A2635" s="2" t="s">
        <v>1237</v>
      </c>
      <c r="B2635" s="2" t="s">
        <v>1407</v>
      </c>
      <c r="C2635" s="2" t="s">
        <v>24</v>
      </c>
      <c r="D2635" s="2" t="s">
        <v>1494</v>
      </c>
      <c r="E2635" s="2" t="s">
        <v>1462</v>
      </c>
      <c r="F2635" s="2" t="s">
        <v>277</v>
      </c>
      <c r="G2635" s="2"/>
      <c r="H2635" s="2"/>
      <c r="I2635" s="2"/>
      <c r="J2635" s="2"/>
    </row>
    <row r="2636" spans="1:10" x14ac:dyDescent="0.35">
      <c r="A2636" s="2" t="s">
        <v>1237</v>
      </c>
      <c r="B2636" s="2" t="s">
        <v>1407</v>
      </c>
      <c r="C2636" s="2" t="s">
        <v>24</v>
      </c>
      <c r="D2636" s="2" t="s">
        <v>1494</v>
      </c>
      <c r="E2636" s="2" t="s">
        <v>1228</v>
      </c>
      <c r="F2636" s="2" t="s">
        <v>228</v>
      </c>
      <c r="G2636" s="2"/>
      <c r="H2636" s="2"/>
      <c r="I2636" s="2"/>
      <c r="J2636" s="2"/>
    </row>
    <row r="2637" spans="1:10" x14ac:dyDescent="0.35">
      <c r="A2637" s="2" t="s">
        <v>1237</v>
      </c>
      <c r="B2637" s="2" t="s">
        <v>1407</v>
      </c>
      <c r="C2637" s="2" t="s">
        <v>24</v>
      </c>
      <c r="D2637" s="2" t="s">
        <v>1494</v>
      </c>
      <c r="E2637" s="2" t="s">
        <v>149</v>
      </c>
      <c r="F2637" s="2" t="s">
        <v>150</v>
      </c>
      <c r="G2637" s="2" t="s">
        <v>20</v>
      </c>
      <c r="H2637" s="2" t="s">
        <v>1483</v>
      </c>
      <c r="I2637" s="2"/>
      <c r="J2637" s="2"/>
    </row>
    <row r="2638" spans="1:10" x14ac:dyDescent="0.35">
      <c r="A2638" s="2" t="s">
        <v>1237</v>
      </c>
      <c r="B2638" s="2" t="s">
        <v>1407</v>
      </c>
      <c r="C2638" s="2" t="s">
        <v>24</v>
      </c>
      <c r="D2638" s="2" t="s">
        <v>1497</v>
      </c>
      <c r="E2638" s="2" t="s">
        <v>319</v>
      </c>
      <c r="F2638" s="2" t="s">
        <v>320</v>
      </c>
      <c r="G2638" s="2"/>
      <c r="H2638" s="2"/>
      <c r="I2638" s="2"/>
      <c r="J2638" s="2"/>
    </row>
    <row r="2639" spans="1:10" x14ac:dyDescent="0.35">
      <c r="A2639" s="2" t="s">
        <v>1237</v>
      </c>
      <c r="B2639" s="2" t="s">
        <v>1407</v>
      </c>
      <c r="C2639" s="2" t="s">
        <v>24</v>
      </c>
      <c r="D2639" s="2" t="s">
        <v>1497</v>
      </c>
      <c r="E2639" s="2" t="s">
        <v>1226</v>
      </c>
      <c r="F2639" s="2" t="s">
        <v>107</v>
      </c>
      <c r="G2639" s="2"/>
      <c r="H2639" s="2"/>
      <c r="I2639" s="2"/>
      <c r="J2639" s="2"/>
    </row>
    <row r="2640" spans="1:10" x14ac:dyDescent="0.35">
      <c r="A2640" s="2" t="s">
        <v>1237</v>
      </c>
      <c r="B2640" s="2" t="s">
        <v>1407</v>
      </c>
      <c r="C2640" s="2" t="s">
        <v>24</v>
      </c>
      <c r="D2640" s="2" t="s">
        <v>1497</v>
      </c>
      <c r="E2640" s="2" t="s">
        <v>91</v>
      </c>
      <c r="F2640" s="2" t="s">
        <v>19</v>
      </c>
      <c r="G2640" s="2" t="s">
        <v>20</v>
      </c>
      <c r="H2640" s="2" t="s">
        <v>1498</v>
      </c>
      <c r="I2640" s="2"/>
      <c r="J2640" s="2"/>
    </row>
    <row r="2641" spans="1:10" x14ac:dyDescent="0.35">
      <c r="A2641" s="2" t="s">
        <v>1237</v>
      </c>
      <c r="B2641" s="2" t="s">
        <v>1407</v>
      </c>
      <c r="C2641" s="2" t="s">
        <v>24</v>
      </c>
      <c r="D2641" s="2" t="s">
        <v>1497</v>
      </c>
      <c r="E2641" s="2" t="s">
        <v>1499</v>
      </c>
      <c r="F2641" s="2" t="s">
        <v>277</v>
      </c>
      <c r="G2641" s="2"/>
      <c r="H2641" s="2"/>
      <c r="I2641" s="2"/>
      <c r="J2641" s="2"/>
    </row>
    <row r="2642" spans="1:10" x14ac:dyDescent="0.35">
      <c r="A2642" s="2" t="s">
        <v>1237</v>
      </c>
      <c r="B2642" s="2" t="s">
        <v>1407</v>
      </c>
      <c r="C2642" s="2" t="s">
        <v>24</v>
      </c>
      <c r="D2642" s="2" t="s">
        <v>1497</v>
      </c>
      <c r="E2642" s="2" t="s">
        <v>124</v>
      </c>
      <c r="F2642" s="2" t="s">
        <v>125</v>
      </c>
      <c r="G2642" s="2"/>
      <c r="H2642" s="2"/>
      <c r="I2642" s="2"/>
      <c r="J2642" s="2"/>
    </row>
    <row r="2643" spans="1:10" x14ac:dyDescent="0.35">
      <c r="A2643" s="2" t="s">
        <v>1237</v>
      </c>
      <c r="B2643" s="2" t="s">
        <v>1407</v>
      </c>
      <c r="C2643" s="2" t="s">
        <v>24</v>
      </c>
      <c r="D2643" s="2" t="s">
        <v>1497</v>
      </c>
      <c r="E2643" s="2" t="s">
        <v>417</v>
      </c>
      <c r="F2643" s="2" t="s">
        <v>40</v>
      </c>
      <c r="G2643" s="2"/>
      <c r="H2643" s="2"/>
      <c r="I2643" s="2"/>
      <c r="J2643" s="2"/>
    </row>
    <row r="2644" spans="1:10" x14ac:dyDescent="0.35">
      <c r="A2644" s="2" t="s">
        <v>1237</v>
      </c>
      <c r="B2644" s="2" t="s">
        <v>1407</v>
      </c>
      <c r="C2644" s="2" t="s">
        <v>24</v>
      </c>
      <c r="D2644" s="2" t="s">
        <v>1497</v>
      </c>
      <c r="E2644" s="2" t="s">
        <v>1228</v>
      </c>
      <c r="F2644" s="2" t="s">
        <v>228</v>
      </c>
      <c r="G2644" s="2"/>
      <c r="H2644" s="2"/>
      <c r="I2644" s="2"/>
      <c r="J2644" s="2"/>
    </row>
    <row r="2645" spans="1:10" x14ac:dyDescent="0.35">
      <c r="A2645" s="2" t="s">
        <v>1237</v>
      </c>
      <c r="B2645" s="2" t="s">
        <v>1407</v>
      </c>
      <c r="C2645" s="2" t="s">
        <v>24</v>
      </c>
      <c r="D2645" s="2" t="s">
        <v>1497</v>
      </c>
      <c r="E2645" s="2" t="s">
        <v>188</v>
      </c>
      <c r="F2645" s="2" t="s">
        <v>189</v>
      </c>
      <c r="G2645" s="2"/>
      <c r="H2645" s="2"/>
      <c r="I2645" s="2"/>
      <c r="J2645" s="2"/>
    </row>
    <row r="2646" spans="1:10" x14ac:dyDescent="0.35">
      <c r="A2646" s="2" t="s">
        <v>1237</v>
      </c>
      <c r="B2646" s="2" t="s">
        <v>1407</v>
      </c>
      <c r="C2646" s="2" t="s">
        <v>24</v>
      </c>
      <c r="D2646" s="2" t="s">
        <v>1497</v>
      </c>
      <c r="E2646" s="2" t="s">
        <v>1342</v>
      </c>
      <c r="F2646" s="2" t="s">
        <v>1343</v>
      </c>
      <c r="G2646" s="2"/>
      <c r="H2646" s="2"/>
      <c r="I2646" s="2"/>
      <c r="J2646" s="2"/>
    </row>
    <row r="2647" spans="1:10" x14ac:dyDescent="0.35">
      <c r="A2647" s="2" t="s">
        <v>1237</v>
      </c>
      <c r="B2647" s="2" t="s">
        <v>1407</v>
      </c>
      <c r="C2647" s="2" t="s">
        <v>24</v>
      </c>
      <c r="D2647" s="2" t="s">
        <v>1500</v>
      </c>
      <c r="E2647" s="2" t="s">
        <v>196</v>
      </c>
      <c r="F2647" s="2" t="s">
        <v>197</v>
      </c>
      <c r="G2647" s="2"/>
      <c r="H2647" s="2"/>
      <c r="I2647" s="2"/>
      <c r="J2647" s="2"/>
    </row>
    <row r="2648" spans="1:10" x14ac:dyDescent="0.35">
      <c r="A2648" s="2" t="s">
        <v>1237</v>
      </c>
      <c r="B2648" s="2" t="s">
        <v>1407</v>
      </c>
      <c r="C2648" s="2" t="s">
        <v>24</v>
      </c>
      <c r="D2648" s="2" t="s">
        <v>1500</v>
      </c>
      <c r="E2648" s="2" t="s">
        <v>1226</v>
      </c>
      <c r="F2648" s="2" t="s">
        <v>107</v>
      </c>
      <c r="G2648" s="2"/>
      <c r="H2648" s="2"/>
      <c r="I2648" s="2"/>
      <c r="J2648" s="2"/>
    </row>
    <row r="2649" spans="1:10" x14ac:dyDescent="0.35">
      <c r="A2649" s="2" t="s">
        <v>1237</v>
      </c>
      <c r="B2649" s="2" t="s">
        <v>1407</v>
      </c>
      <c r="C2649" s="2" t="s">
        <v>24</v>
      </c>
      <c r="D2649" s="2" t="s">
        <v>1500</v>
      </c>
      <c r="E2649" s="2" t="s">
        <v>91</v>
      </c>
      <c r="F2649" s="2" t="s">
        <v>19</v>
      </c>
      <c r="G2649" s="2"/>
      <c r="H2649" s="2"/>
      <c r="I2649" s="2"/>
      <c r="J2649" s="2"/>
    </row>
    <row r="2650" spans="1:10" x14ac:dyDescent="0.35">
      <c r="A2650" s="2" t="s">
        <v>1237</v>
      </c>
      <c r="B2650" s="2" t="s">
        <v>1407</v>
      </c>
      <c r="C2650" s="2" t="s">
        <v>24</v>
      </c>
      <c r="D2650" s="2" t="s">
        <v>1500</v>
      </c>
      <c r="E2650" s="2" t="s">
        <v>87</v>
      </c>
      <c r="F2650" s="2" t="s">
        <v>75</v>
      </c>
      <c r="G2650" s="2"/>
      <c r="H2650" s="2"/>
      <c r="I2650" s="2"/>
      <c r="J2650" s="2"/>
    </row>
    <row r="2651" spans="1:10" x14ac:dyDescent="0.35">
      <c r="A2651" s="2" t="s">
        <v>1237</v>
      </c>
      <c r="B2651" s="2" t="s">
        <v>1407</v>
      </c>
      <c r="C2651" s="2" t="s">
        <v>24</v>
      </c>
      <c r="D2651" s="2" t="s">
        <v>1500</v>
      </c>
      <c r="E2651" s="2" t="s">
        <v>1261</v>
      </c>
      <c r="F2651" s="2" t="s">
        <v>277</v>
      </c>
      <c r="G2651" s="2"/>
      <c r="H2651" s="2"/>
      <c r="I2651" s="2"/>
      <c r="J2651" s="2"/>
    </row>
    <row r="2652" spans="1:10" x14ac:dyDescent="0.35">
      <c r="A2652" s="2" t="s">
        <v>1237</v>
      </c>
      <c r="B2652" s="2" t="s">
        <v>1407</v>
      </c>
      <c r="C2652" s="2" t="s">
        <v>24</v>
      </c>
      <c r="D2652" s="2" t="s">
        <v>1500</v>
      </c>
      <c r="E2652" s="2" t="s">
        <v>1228</v>
      </c>
      <c r="F2652" s="2" t="s">
        <v>228</v>
      </c>
      <c r="G2652" s="2"/>
      <c r="H2652" s="2"/>
      <c r="I2652" s="2"/>
      <c r="J2652" s="2"/>
    </row>
    <row r="2653" spans="1:10" x14ac:dyDescent="0.35">
      <c r="A2653" s="2" t="s">
        <v>1237</v>
      </c>
      <c r="B2653" s="2" t="s">
        <v>1407</v>
      </c>
      <c r="C2653" s="2" t="s">
        <v>24</v>
      </c>
      <c r="D2653" s="2" t="s">
        <v>1501</v>
      </c>
      <c r="E2653" s="2" t="s">
        <v>1502</v>
      </c>
      <c r="F2653" s="2" t="s">
        <v>38</v>
      </c>
      <c r="G2653" s="2"/>
      <c r="H2653" s="2"/>
      <c r="I2653" s="2"/>
      <c r="J2653" s="2"/>
    </row>
    <row r="2654" spans="1:10" x14ac:dyDescent="0.35">
      <c r="A2654" s="2" t="s">
        <v>1237</v>
      </c>
      <c r="B2654" s="2" t="s">
        <v>1407</v>
      </c>
      <c r="C2654" s="2" t="s">
        <v>24</v>
      </c>
      <c r="D2654" s="2" t="s">
        <v>1501</v>
      </c>
      <c r="E2654" s="2" t="s">
        <v>1226</v>
      </c>
      <c r="F2654" s="2" t="s">
        <v>107</v>
      </c>
      <c r="G2654" s="2"/>
      <c r="H2654" s="2"/>
      <c r="I2654" s="2"/>
      <c r="J2654" s="2"/>
    </row>
    <row r="2655" spans="1:10" x14ac:dyDescent="0.35">
      <c r="A2655" s="2" t="s">
        <v>1237</v>
      </c>
      <c r="B2655" s="2" t="s">
        <v>1407</v>
      </c>
      <c r="C2655" s="2" t="s">
        <v>24</v>
      </c>
      <c r="D2655" s="2" t="s">
        <v>1501</v>
      </c>
      <c r="E2655" s="2" t="s">
        <v>649</v>
      </c>
      <c r="F2655" s="2" t="s">
        <v>363</v>
      </c>
      <c r="G2655" s="2"/>
      <c r="H2655" s="2"/>
      <c r="I2655" s="2"/>
      <c r="J2655" s="2"/>
    </row>
    <row r="2656" spans="1:10" x14ac:dyDescent="0.35">
      <c r="A2656" s="2" t="s">
        <v>1237</v>
      </c>
      <c r="B2656" s="2" t="s">
        <v>1407</v>
      </c>
      <c r="C2656" s="2" t="s">
        <v>24</v>
      </c>
      <c r="D2656" s="2" t="s">
        <v>1501</v>
      </c>
      <c r="E2656" s="2" t="s">
        <v>87</v>
      </c>
      <c r="F2656" s="2" t="s">
        <v>75</v>
      </c>
      <c r="G2656" s="2"/>
      <c r="H2656" s="2"/>
      <c r="I2656" s="2"/>
      <c r="J2656" s="2"/>
    </row>
    <row r="2657" spans="1:10" x14ac:dyDescent="0.35">
      <c r="A2657" s="2" t="s">
        <v>1237</v>
      </c>
      <c r="B2657" s="2" t="s">
        <v>1407</v>
      </c>
      <c r="C2657" s="2" t="s">
        <v>24</v>
      </c>
      <c r="D2657" s="2" t="s">
        <v>1501</v>
      </c>
      <c r="E2657" s="2" t="s">
        <v>124</v>
      </c>
      <c r="F2657" s="2" t="s">
        <v>125</v>
      </c>
      <c r="G2657" s="2"/>
      <c r="H2657" s="2"/>
      <c r="I2657" s="2"/>
      <c r="J2657" s="2"/>
    </row>
    <row r="2658" spans="1:10" x14ac:dyDescent="0.35">
      <c r="A2658" s="2" t="s">
        <v>1237</v>
      </c>
      <c r="B2658" s="2" t="s">
        <v>1407</v>
      </c>
      <c r="C2658" s="2" t="s">
        <v>24</v>
      </c>
      <c r="D2658" s="2" t="s">
        <v>1501</v>
      </c>
      <c r="E2658" s="2" t="s">
        <v>1228</v>
      </c>
      <c r="F2658" s="2" t="s">
        <v>228</v>
      </c>
      <c r="G2658" s="2"/>
      <c r="H2658" s="2"/>
      <c r="I2658" s="2"/>
      <c r="J2658" s="2"/>
    </row>
    <row r="2659" spans="1:10" x14ac:dyDescent="0.35">
      <c r="A2659" s="2" t="s">
        <v>1237</v>
      </c>
      <c r="B2659" s="2" t="s">
        <v>1407</v>
      </c>
      <c r="C2659" s="2" t="s">
        <v>57</v>
      </c>
      <c r="D2659" s="2" t="s">
        <v>1503</v>
      </c>
      <c r="E2659" s="2" t="s">
        <v>196</v>
      </c>
      <c r="F2659" s="2" t="s">
        <v>197</v>
      </c>
      <c r="G2659" s="2"/>
      <c r="H2659" s="2"/>
      <c r="I2659" s="2"/>
      <c r="J2659" s="2"/>
    </row>
    <row r="2660" spans="1:10" x14ac:dyDescent="0.35">
      <c r="A2660" s="2" t="s">
        <v>1237</v>
      </c>
      <c r="B2660" s="2" t="s">
        <v>1407</v>
      </c>
      <c r="C2660" s="2" t="s">
        <v>57</v>
      </c>
      <c r="D2660" s="2" t="s">
        <v>1503</v>
      </c>
      <c r="E2660" s="2" t="s">
        <v>27</v>
      </c>
      <c r="F2660" s="2" t="s">
        <v>28</v>
      </c>
      <c r="G2660" s="2"/>
      <c r="H2660" s="2"/>
      <c r="I2660" s="2"/>
      <c r="J2660" s="2"/>
    </row>
    <row r="2661" spans="1:10" x14ac:dyDescent="0.35">
      <c r="A2661" s="2" t="s">
        <v>1237</v>
      </c>
      <c r="B2661" s="2" t="s">
        <v>1407</v>
      </c>
      <c r="C2661" s="2" t="s">
        <v>57</v>
      </c>
      <c r="D2661" s="2" t="s">
        <v>1503</v>
      </c>
      <c r="E2661" s="2" t="s">
        <v>1504</v>
      </c>
      <c r="F2661" s="2" t="s">
        <v>40</v>
      </c>
      <c r="G2661" s="2"/>
      <c r="H2661" s="2"/>
      <c r="I2661" s="2"/>
      <c r="J2661" s="2"/>
    </row>
    <row r="2662" spans="1:10" x14ac:dyDescent="0.35">
      <c r="A2662" s="2" t="s">
        <v>1237</v>
      </c>
      <c r="B2662" s="2" t="s">
        <v>1407</v>
      </c>
      <c r="C2662" s="2" t="s">
        <v>57</v>
      </c>
      <c r="D2662" s="2" t="s">
        <v>1503</v>
      </c>
      <c r="E2662" s="2" t="s">
        <v>98</v>
      </c>
      <c r="F2662" s="2" t="s">
        <v>98</v>
      </c>
      <c r="G2662" s="2"/>
      <c r="H2662" s="2"/>
      <c r="I2662" s="2"/>
      <c r="J2662" s="2"/>
    </row>
    <row r="2663" spans="1:10" x14ac:dyDescent="0.35">
      <c r="A2663" s="2" t="s">
        <v>1237</v>
      </c>
      <c r="B2663" s="2" t="s">
        <v>1407</v>
      </c>
      <c r="C2663" s="2" t="s">
        <v>57</v>
      </c>
      <c r="D2663" s="2" t="s">
        <v>1503</v>
      </c>
      <c r="E2663" s="2" t="s">
        <v>319</v>
      </c>
      <c r="F2663" s="2" t="s">
        <v>320</v>
      </c>
      <c r="G2663" s="2"/>
      <c r="H2663" s="2"/>
      <c r="I2663" s="2"/>
      <c r="J2663" s="2"/>
    </row>
    <row r="2664" spans="1:10" x14ac:dyDescent="0.35">
      <c r="A2664" s="2" t="s">
        <v>1237</v>
      </c>
      <c r="B2664" s="2" t="s">
        <v>1407</v>
      </c>
      <c r="C2664" s="2" t="s">
        <v>57</v>
      </c>
      <c r="D2664" s="2" t="s">
        <v>1503</v>
      </c>
      <c r="E2664" s="2" t="s">
        <v>1226</v>
      </c>
      <c r="F2664" s="2" t="s">
        <v>107</v>
      </c>
      <c r="G2664" s="2"/>
      <c r="H2664" s="2"/>
      <c r="I2664" s="2"/>
      <c r="J2664" s="2"/>
    </row>
    <row r="2665" spans="1:10" s="21" customFormat="1" x14ac:dyDescent="0.35">
      <c r="A2665" s="2" t="s">
        <v>1237</v>
      </c>
      <c r="B2665" s="2" t="s">
        <v>1407</v>
      </c>
      <c r="C2665" s="2" t="s">
        <v>57</v>
      </c>
      <c r="D2665" s="2" t="s">
        <v>1503</v>
      </c>
      <c r="E2665" s="2" t="s">
        <v>815</v>
      </c>
      <c r="F2665" s="2" t="s">
        <v>122</v>
      </c>
      <c r="G2665" s="2" t="s">
        <v>20</v>
      </c>
      <c r="H2665" s="2" t="s">
        <v>1505</v>
      </c>
      <c r="I2665" s="2"/>
      <c r="J2665" s="2"/>
    </row>
    <row r="2666" spans="1:10" x14ac:dyDescent="0.35">
      <c r="A2666" s="2" t="s">
        <v>1237</v>
      </c>
      <c r="B2666" s="2" t="s">
        <v>1407</v>
      </c>
      <c r="C2666" s="2" t="s">
        <v>57</v>
      </c>
      <c r="D2666" s="2" t="s">
        <v>1503</v>
      </c>
      <c r="E2666" s="2" t="s">
        <v>1454</v>
      </c>
      <c r="F2666" s="2" t="s">
        <v>277</v>
      </c>
      <c r="G2666" s="2"/>
      <c r="H2666" s="2"/>
      <c r="I2666" s="2"/>
      <c r="J2666" s="2"/>
    </row>
    <row r="2667" spans="1:10" x14ac:dyDescent="0.35">
      <c r="A2667" s="2" t="s">
        <v>1237</v>
      </c>
      <c r="B2667" s="2" t="s">
        <v>1407</v>
      </c>
      <c r="C2667" s="2" t="s">
        <v>57</v>
      </c>
      <c r="D2667" s="2" t="s">
        <v>1503</v>
      </c>
      <c r="E2667" s="2" t="s">
        <v>1457</v>
      </c>
      <c r="F2667" s="2" t="s">
        <v>1458</v>
      </c>
      <c r="G2667" s="2"/>
      <c r="H2667" s="2"/>
      <c r="I2667" s="2"/>
      <c r="J2667" s="2"/>
    </row>
    <row r="2668" spans="1:10" s="21" customFormat="1" x14ac:dyDescent="0.35">
      <c r="A2668" s="2" t="s">
        <v>1237</v>
      </c>
      <c r="B2668" s="2" t="s">
        <v>1407</v>
      </c>
      <c r="C2668" s="2" t="s">
        <v>57</v>
      </c>
      <c r="D2668" s="2" t="s">
        <v>1503</v>
      </c>
      <c r="E2668" s="2" t="s">
        <v>291</v>
      </c>
      <c r="F2668" s="2" t="s">
        <v>139</v>
      </c>
      <c r="G2668" s="2" t="s">
        <v>20</v>
      </c>
      <c r="H2668" s="2" t="s">
        <v>1506</v>
      </c>
      <c r="I2668" s="2"/>
      <c r="J2668" s="2"/>
    </row>
    <row r="2669" spans="1:10" x14ac:dyDescent="0.35">
      <c r="A2669" s="2" t="s">
        <v>1237</v>
      </c>
      <c r="B2669" s="2" t="s">
        <v>1407</v>
      </c>
      <c r="C2669" s="2" t="s">
        <v>57</v>
      </c>
      <c r="D2669" s="2" t="s">
        <v>1503</v>
      </c>
      <c r="E2669" s="2" t="s">
        <v>1507</v>
      </c>
      <c r="F2669" s="2" t="s">
        <v>363</v>
      </c>
      <c r="G2669" s="2"/>
      <c r="H2669" s="2"/>
      <c r="I2669" s="2"/>
      <c r="J2669" s="2"/>
    </row>
    <row r="2670" spans="1:10" x14ac:dyDescent="0.35">
      <c r="A2670" s="2" t="s">
        <v>1237</v>
      </c>
      <c r="B2670" s="2" t="s">
        <v>1407</v>
      </c>
      <c r="C2670" s="2" t="s">
        <v>57</v>
      </c>
      <c r="D2670" s="2" t="s">
        <v>1503</v>
      </c>
      <c r="E2670" s="2" t="s">
        <v>269</v>
      </c>
      <c r="F2670" s="2" t="s">
        <v>270</v>
      </c>
      <c r="G2670" s="2"/>
      <c r="H2670" s="2"/>
      <c r="I2670" s="2"/>
      <c r="J2670" s="2"/>
    </row>
    <row r="2671" spans="1:10" x14ac:dyDescent="0.35">
      <c r="A2671" s="2" t="s">
        <v>1237</v>
      </c>
      <c r="B2671" s="2" t="s">
        <v>1407</v>
      </c>
      <c r="C2671" s="2" t="s">
        <v>57</v>
      </c>
      <c r="D2671" s="2" t="s">
        <v>1503</v>
      </c>
      <c r="E2671" s="2" t="s">
        <v>417</v>
      </c>
      <c r="F2671" s="2" t="s">
        <v>40</v>
      </c>
      <c r="G2671" s="2"/>
      <c r="H2671" s="2"/>
      <c r="I2671" s="2"/>
      <c r="J2671" s="2"/>
    </row>
    <row r="2672" spans="1:10" x14ac:dyDescent="0.35">
      <c r="A2672" s="2" t="s">
        <v>1237</v>
      </c>
      <c r="B2672" s="2" t="s">
        <v>1407</v>
      </c>
      <c r="C2672" s="2" t="s">
        <v>57</v>
      </c>
      <c r="D2672" s="2" t="s">
        <v>1503</v>
      </c>
      <c r="E2672" s="2" t="s">
        <v>18</v>
      </c>
      <c r="F2672" s="2" t="s">
        <v>19</v>
      </c>
      <c r="G2672" s="2" t="s">
        <v>20</v>
      </c>
      <c r="H2672" s="2" t="s">
        <v>1508</v>
      </c>
      <c r="I2672" s="2"/>
      <c r="J2672" s="2"/>
    </row>
    <row r="2673" spans="1:10" x14ac:dyDescent="0.35">
      <c r="A2673" s="2" t="s">
        <v>1237</v>
      </c>
      <c r="B2673" s="2" t="s">
        <v>1407</v>
      </c>
      <c r="C2673" s="2" t="s">
        <v>57</v>
      </c>
      <c r="D2673" s="2" t="s">
        <v>1503</v>
      </c>
      <c r="E2673" s="2" t="s">
        <v>1462</v>
      </c>
      <c r="F2673" s="2" t="s">
        <v>277</v>
      </c>
      <c r="G2673" s="2"/>
      <c r="H2673" s="2"/>
      <c r="I2673" s="2"/>
      <c r="J2673" s="2"/>
    </row>
    <row r="2674" spans="1:10" x14ac:dyDescent="0.35">
      <c r="A2674" s="2" t="s">
        <v>1237</v>
      </c>
      <c r="B2674" s="2" t="s">
        <v>1407</v>
      </c>
      <c r="C2674" s="2" t="s">
        <v>57</v>
      </c>
      <c r="D2674" s="2" t="s">
        <v>1503</v>
      </c>
      <c r="E2674" s="2" t="s">
        <v>1228</v>
      </c>
      <c r="F2674" s="2" t="s">
        <v>228</v>
      </c>
      <c r="G2674" s="2"/>
      <c r="H2674" s="2"/>
      <c r="I2674" s="2"/>
      <c r="J2674" s="2"/>
    </row>
    <row r="2675" spans="1:10" x14ac:dyDescent="0.35">
      <c r="A2675" s="2" t="s">
        <v>1237</v>
      </c>
      <c r="B2675" s="2" t="s">
        <v>1407</v>
      </c>
      <c r="C2675" s="2" t="s">
        <v>57</v>
      </c>
      <c r="D2675" s="2" t="s">
        <v>1503</v>
      </c>
      <c r="E2675" s="2" t="s">
        <v>1261</v>
      </c>
      <c r="F2675" s="2" t="s">
        <v>277</v>
      </c>
      <c r="G2675" s="2"/>
      <c r="H2675" s="2"/>
      <c r="I2675" s="2"/>
      <c r="J2675" s="2"/>
    </row>
    <row r="2676" spans="1:10" x14ac:dyDescent="0.35">
      <c r="A2676" s="2" t="s">
        <v>1237</v>
      </c>
      <c r="B2676" s="2" t="s">
        <v>1407</v>
      </c>
      <c r="C2676" s="2" t="s">
        <v>57</v>
      </c>
      <c r="D2676" s="2" t="s">
        <v>1503</v>
      </c>
      <c r="E2676" s="2" t="s">
        <v>149</v>
      </c>
      <c r="F2676" s="2" t="s">
        <v>150</v>
      </c>
      <c r="G2676" s="2" t="s">
        <v>20</v>
      </c>
      <c r="H2676" s="2" t="s">
        <v>1509</v>
      </c>
      <c r="I2676" s="2"/>
      <c r="J2676" s="2"/>
    </row>
    <row r="2677" spans="1:10" x14ac:dyDescent="0.35">
      <c r="A2677" s="2" t="s">
        <v>1237</v>
      </c>
      <c r="B2677" s="2" t="s">
        <v>1407</v>
      </c>
      <c r="C2677" s="2" t="s">
        <v>57</v>
      </c>
      <c r="D2677" s="2" t="s">
        <v>1503</v>
      </c>
      <c r="E2677" s="2" t="s">
        <v>1510</v>
      </c>
      <c r="F2677" s="2" t="s">
        <v>40</v>
      </c>
      <c r="G2677" s="2"/>
      <c r="H2677" s="2"/>
      <c r="I2677" s="2"/>
      <c r="J2677" s="2"/>
    </row>
    <row r="2678" spans="1:10" x14ac:dyDescent="0.35">
      <c r="A2678" s="2" t="s">
        <v>1237</v>
      </c>
      <c r="B2678" s="2" t="s">
        <v>1407</v>
      </c>
      <c r="C2678" s="2" t="s">
        <v>57</v>
      </c>
      <c r="D2678" s="2" t="s">
        <v>1503</v>
      </c>
      <c r="E2678" s="2" t="s">
        <v>1511</v>
      </c>
      <c r="F2678" s="2" t="s">
        <v>189</v>
      </c>
      <c r="G2678" s="2"/>
      <c r="H2678" s="2"/>
      <c r="I2678" s="2"/>
      <c r="J2678" s="2"/>
    </row>
    <row r="2679" spans="1:10" x14ac:dyDescent="0.35">
      <c r="A2679" s="2" t="s">
        <v>1237</v>
      </c>
      <c r="B2679" s="2" t="s">
        <v>1407</v>
      </c>
      <c r="C2679" s="2" t="s">
        <v>57</v>
      </c>
      <c r="D2679" s="2" t="s">
        <v>1512</v>
      </c>
      <c r="E2679" s="2" t="s">
        <v>18</v>
      </c>
      <c r="F2679" s="2" t="s">
        <v>19</v>
      </c>
      <c r="G2679" s="2" t="s">
        <v>20</v>
      </c>
      <c r="H2679" s="2" t="s">
        <v>1509</v>
      </c>
      <c r="I2679" s="2"/>
      <c r="J2679" s="2"/>
    </row>
    <row r="2680" spans="1:10" x14ac:dyDescent="0.35">
      <c r="A2680" s="2" t="s">
        <v>1237</v>
      </c>
      <c r="B2680" s="2" t="s">
        <v>1407</v>
      </c>
      <c r="C2680" s="2" t="s">
        <v>57</v>
      </c>
      <c r="D2680" s="2" t="s">
        <v>1512</v>
      </c>
      <c r="E2680" s="2" t="s">
        <v>149</v>
      </c>
      <c r="F2680" s="2" t="s">
        <v>150</v>
      </c>
      <c r="G2680" s="2" t="s">
        <v>20</v>
      </c>
      <c r="H2680" s="2" t="s">
        <v>1509</v>
      </c>
      <c r="I2680" s="2"/>
      <c r="J2680" s="2"/>
    </row>
    <row r="2681" spans="1:10" x14ac:dyDescent="0.35">
      <c r="A2681" s="2" t="s">
        <v>1237</v>
      </c>
      <c r="B2681" s="2" t="s">
        <v>1407</v>
      </c>
      <c r="C2681" s="2" t="s">
        <v>57</v>
      </c>
      <c r="D2681" s="2" t="s">
        <v>1513</v>
      </c>
      <c r="E2681" s="2" t="s">
        <v>18</v>
      </c>
      <c r="F2681" s="2" t="s">
        <v>19</v>
      </c>
      <c r="G2681" s="2" t="s">
        <v>20</v>
      </c>
      <c r="H2681" s="2" t="s">
        <v>1509</v>
      </c>
      <c r="I2681" s="2"/>
      <c r="J2681" s="2"/>
    </row>
    <row r="2682" spans="1:10" x14ac:dyDescent="0.35">
      <c r="A2682" s="2" t="s">
        <v>1237</v>
      </c>
      <c r="B2682" s="2" t="s">
        <v>1407</v>
      </c>
      <c r="C2682" s="2" t="s">
        <v>57</v>
      </c>
      <c r="D2682" s="2" t="s">
        <v>1513</v>
      </c>
      <c r="E2682" s="2" t="s">
        <v>149</v>
      </c>
      <c r="F2682" s="2" t="s">
        <v>150</v>
      </c>
      <c r="G2682" s="2" t="s">
        <v>20</v>
      </c>
      <c r="H2682" s="2" t="s">
        <v>1509</v>
      </c>
      <c r="I2682" s="2"/>
      <c r="J2682" s="2"/>
    </row>
    <row r="2683" spans="1:10" x14ac:dyDescent="0.35">
      <c r="A2683" s="2" t="s">
        <v>1237</v>
      </c>
      <c r="B2683" s="2" t="s">
        <v>1407</v>
      </c>
      <c r="C2683" s="2" t="s">
        <v>57</v>
      </c>
      <c r="D2683" s="2" t="s">
        <v>1514</v>
      </c>
      <c r="E2683" s="2" t="s">
        <v>18</v>
      </c>
      <c r="F2683" s="2" t="s">
        <v>19</v>
      </c>
      <c r="G2683" s="2" t="s">
        <v>20</v>
      </c>
      <c r="H2683" s="2" t="s">
        <v>1509</v>
      </c>
      <c r="I2683" s="2"/>
      <c r="J2683" s="2"/>
    </row>
    <row r="2684" spans="1:10" x14ac:dyDescent="0.35">
      <c r="A2684" s="2" t="s">
        <v>1237</v>
      </c>
      <c r="B2684" s="2" t="s">
        <v>1407</v>
      </c>
      <c r="C2684" s="2" t="s">
        <v>57</v>
      </c>
      <c r="D2684" s="2" t="s">
        <v>1514</v>
      </c>
      <c r="E2684" s="2" t="s">
        <v>149</v>
      </c>
      <c r="F2684" s="2" t="s">
        <v>150</v>
      </c>
      <c r="G2684" s="2" t="s">
        <v>20</v>
      </c>
      <c r="H2684" s="2" t="s">
        <v>1509</v>
      </c>
      <c r="I2684" s="2"/>
      <c r="J2684" s="2"/>
    </row>
    <row r="2685" spans="1:10" x14ac:dyDescent="0.35">
      <c r="A2685" s="2" t="s">
        <v>1237</v>
      </c>
      <c r="B2685" s="2" t="s">
        <v>1407</v>
      </c>
      <c r="C2685" s="2" t="s">
        <v>57</v>
      </c>
      <c r="D2685" s="2" t="s">
        <v>1515</v>
      </c>
      <c r="E2685" s="2" t="s">
        <v>18</v>
      </c>
      <c r="F2685" s="2" t="s">
        <v>19</v>
      </c>
      <c r="G2685" s="2" t="s">
        <v>20</v>
      </c>
      <c r="H2685" s="2" t="s">
        <v>1509</v>
      </c>
      <c r="I2685" s="2"/>
      <c r="J2685" s="2"/>
    </row>
    <row r="2686" spans="1:10" x14ac:dyDescent="0.35">
      <c r="A2686" s="2" t="s">
        <v>1237</v>
      </c>
      <c r="B2686" s="2" t="s">
        <v>1407</v>
      </c>
      <c r="C2686" s="2" t="s">
        <v>57</v>
      </c>
      <c r="D2686" s="2" t="s">
        <v>1515</v>
      </c>
      <c r="E2686" s="2" t="s">
        <v>149</v>
      </c>
      <c r="F2686" s="2" t="s">
        <v>150</v>
      </c>
      <c r="G2686" s="2" t="s">
        <v>20</v>
      </c>
      <c r="H2686" s="2" t="s">
        <v>1509</v>
      </c>
      <c r="I2686" s="2"/>
      <c r="J2686" s="2"/>
    </row>
    <row r="2687" spans="1:10" x14ac:dyDescent="0.35">
      <c r="A2687" s="2" t="s">
        <v>1237</v>
      </c>
      <c r="B2687" s="2" t="s">
        <v>1407</v>
      </c>
      <c r="C2687" s="2" t="s">
        <v>57</v>
      </c>
      <c r="D2687" s="2" t="s">
        <v>1516</v>
      </c>
      <c r="E2687" s="2" t="s">
        <v>18</v>
      </c>
      <c r="F2687" s="2" t="s">
        <v>19</v>
      </c>
      <c r="G2687" s="2" t="s">
        <v>20</v>
      </c>
      <c r="H2687" s="2" t="s">
        <v>1509</v>
      </c>
      <c r="I2687" s="2"/>
      <c r="J2687" s="2"/>
    </row>
    <row r="2688" spans="1:10" x14ac:dyDescent="0.35">
      <c r="A2688" s="2" t="s">
        <v>1237</v>
      </c>
      <c r="B2688" s="2" t="s">
        <v>1407</v>
      </c>
      <c r="C2688" s="2" t="s">
        <v>57</v>
      </c>
      <c r="D2688" s="2" t="s">
        <v>1516</v>
      </c>
      <c r="E2688" s="2" t="s">
        <v>149</v>
      </c>
      <c r="F2688" s="2" t="s">
        <v>150</v>
      </c>
      <c r="G2688" s="2" t="s">
        <v>20</v>
      </c>
      <c r="H2688" s="2" t="s">
        <v>1509</v>
      </c>
      <c r="I2688" s="2"/>
      <c r="J2688" s="2"/>
    </row>
    <row r="2689" spans="1:10" x14ac:dyDescent="0.35">
      <c r="A2689" s="2" t="s">
        <v>1237</v>
      </c>
      <c r="B2689" s="2" t="s">
        <v>1407</v>
      </c>
      <c r="C2689" s="2" t="s">
        <v>57</v>
      </c>
      <c r="D2689" s="2" t="s">
        <v>1517</v>
      </c>
      <c r="E2689" s="2" t="s">
        <v>18</v>
      </c>
      <c r="F2689" s="2" t="s">
        <v>19</v>
      </c>
      <c r="G2689" s="2" t="s">
        <v>20</v>
      </c>
      <c r="H2689" s="2" t="s">
        <v>1509</v>
      </c>
      <c r="I2689" s="2"/>
      <c r="J2689" s="2"/>
    </row>
    <row r="2690" spans="1:10" x14ac:dyDescent="0.35">
      <c r="A2690" s="2" t="s">
        <v>1237</v>
      </c>
      <c r="B2690" s="2" t="s">
        <v>1407</v>
      </c>
      <c r="C2690" s="2" t="s">
        <v>57</v>
      </c>
      <c r="D2690" s="2" t="s">
        <v>1517</v>
      </c>
      <c r="E2690" s="2" t="s">
        <v>149</v>
      </c>
      <c r="F2690" s="2" t="s">
        <v>150</v>
      </c>
      <c r="G2690" s="2" t="s">
        <v>20</v>
      </c>
      <c r="H2690" s="2" t="s">
        <v>1509</v>
      </c>
      <c r="I2690" s="2"/>
      <c r="J2690" s="2"/>
    </row>
    <row r="2691" spans="1:10" x14ac:dyDescent="0.35">
      <c r="A2691" s="2" t="s">
        <v>1237</v>
      </c>
      <c r="B2691" s="2" t="s">
        <v>1407</v>
      </c>
      <c r="C2691" s="2" t="s">
        <v>57</v>
      </c>
      <c r="D2691" s="2" t="s">
        <v>1518</v>
      </c>
      <c r="E2691" s="2" t="s">
        <v>18</v>
      </c>
      <c r="F2691" s="2" t="s">
        <v>19</v>
      </c>
      <c r="G2691" s="2" t="s">
        <v>20</v>
      </c>
      <c r="H2691" s="2" t="s">
        <v>1509</v>
      </c>
      <c r="I2691" s="2"/>
      <c r="J2691" s="2"/>
    </row>
    <row r="2692" spans="1:10" x14ac:dyDescent="0.35">
      <c r="A2692" s="2" t="s">
        <v>1237</v>
      </c>
      <c r="B2692" s="2" t="s">
        <v>1407</v>
      </c>
      <c r="C2692" s="2" t="s">
        <v>57</v>
      </c>
      <c r="D2692" s="2" t="s">
        <v>1518</v>
      </c>
      <c r="E2692" s="2" t="s">
        <v>149</v>
      </c>
      <c r="F2692" s="2" t="s">
        <v>150</v>
      </c>
      <c r="G2692" s="2" t="s">
        <v>20</v>
      </c>
      <c r="H2692" s="2" t="s">
        <v>1509</v>
      </c>
      <c r="I2692" s="2"/>
      <c r="J2692" s="2"/>
    </row>
    <row r="2693" spans="1:10" x14ac:dyDescent="0.35">
      <c r="A2693" s="2" t="s">
        <v>1237</v>
      </c>
      <c r="B2693" s="2" t="s">
        <v>1407</v>
      </c>
      <c r="C2693" s="2" t="s">
        <v>57</v>
      </c>
      <c r="D2693" s="2" t="s">
        <v>1519</v>
      </c>
      <c r="E2693" s="2" t="s">
        <v>38</v>
      </c>
      <c r="F2693" s="2" t="s">
        <v>38</v>
      </c>
      <c r="G2693" s="2" t="s">
        <v>20</v>
      </c>
      <c r="H2693" s="2" t="s">
        <v>1520</v>
      </c>
      <c r="I2693" s="2"/>
      <c r="J2693" s="2"/>
    </row>
    <row r="2694" spans="1:10" x14ac:dyDescent="0.35">
      <c r="A2694" s="2" t="s">
        <v>1237</v>
      </c>
      <c r="B2694" s="2" t="s">
        <v>1407</v>
      </c>
      <c r="C2694" s="2" t="s">
        <v>57</v>
      </c>
      <c r="D2694" s="2" t="s">
        <v>1519</v>
      </c>
      <c r="E2694" s="2" t="s">
        <v>417</v>
      </c>
      <c r="F2694" s="2" t="s">
        <v>40</v>
      </c>
      <c r="G2694" s="2"/>
      <c r="H2694" s="2"/>
      <c r="I2694" s="2"/>
      <c r="J2694" s="2"/>
    </row>
    <row r="2695" spans="1:10" x14ac:dyDescent="0.35">
      <c r="A2695" s="2" t="s">
        <v>1237</v>
      </c>
      <c r="B2695" s="2" t="s">
        <v>1407</v>
      </c>
      <c r="C2695" s="2" t="s">
        <v>57</v>
      </c>
      <c r="D2695" s="2" t="s">
        <v>1519</v>
      </c>
      <c r="E2695" s="2" t="s">
        <v>18</v>
      </c>
      <c r="F2695" s="2" t="s">
        <v>19</v>
      </c>
      <c r="G2695" s="2" t="s">
        <v>20</v>
      </c>
      <c r="H2695" s="2" t="s">
        <v>1509</v>
      </c>
      <c r="I2695" s="2"/>
      <c r="J2695" s="2"/>
    </row>
    <row r="2696" spans="1:10" x14ac:dyDescent="0.35">
      <c r="A2696" s="2" t="s">
        <v>1237</v>
      </c>
      <c r="B2696" s="2" t="s">
        <v>1407</v>
      </c>
      <c r="C2696" s="2" t="s">
        <v>57</v>
      </c>
      <c r="D2696" s="2" t="s">
        <v>1519</v>
      </c>
      <c r="E2696" s="2" t="s">
        <v>149</v>
      </c>
      <c r="F2696" s="2" t="s">
        <v>150</v>
      </c>
      <c r="G2696" s="2" t="s">
        <v>20</v>
      </c>
      <c r="H2696" s="2" t="s">
        <v>1509</v>
      </c>
      <c r="I2696" s="2"/>
      <c r="J2696" s="2"/>
    </row>
    <row r="2697" spans="1:10" x14ac:dyDescent="0.35">
      <c r="A2697" s="2" t="s">
        <v>1237</v>
      </c>
      <c r="B2697" s="2" t="s">
        <v>1407</v>
      </c>
      <c r="C2697" s="2" t="s">
        <v>57</v>
      </c>
      <c r="D2697" s="2" t="s">
        <v>1521</v>
      </c>
      <c r="E2697" s="2" t="s">
        <v>1522</v>
      </c>
      <c r="F2697" s="2" t="s">
        <v>28</v>
      </c>
      <c r="G2697" s="2" t="s">
        <v>20</v>
      </c>
      <c r="H2697" s="2" t="s">
        <v>1509</v>
      </c>
      <c r="I2697" s="2"/>
      <c r="J2697" s="2"/>
    </row>
    <row r="2698" spans="1:10" x14ac:dyDescent="0.35">
      <c r="A2698" s="2" t="s">
        <v>1237</v>
      </c>
      <c r="B2698" s="2" t="s">
        <v>1407</v>
      </c>
      <c r="C2698" s="2" t="s">
        <v>57</v>
      </c>
      <c r="D2698" s="2" t="s">
        <v>1521</v>
      </c>
      <c r="E2698" s="2" t="s">
        <v>18</v>
      </c>
      <c r="F2698" s="2" t="s">
        <v>19</v>
      </c>
      <c r="G2698" s="2" t="s">
        <v>20</v>
      </c>
      <c r="H2698" s="2" t="s">
        <v>1509</v>
      </c>
      <c r="I2698" s="2"/>
      <c r="J2698" s="2"/>
    </row>
    <row r="2699" spans="1:10" x14ac:dyDescent="0.35">
      <c r="A2699" s="2" t="s">
        <v>1237</v>
      </c>
      <c r="B2699" s="2" t="s">
        <v>1407</v>
      </c>
      <c r="C2699" s="2" t="s">
        <v>57</v>
      </c>
      <c r="D2699" s="2" t="s">
        <v>1521</v>
      </c>
      <c r="E2699" s="2" t="s">
        <v>149</v>
      </c>
      <c r="F2699" s="2" t="s">
        <v>150</v>
      </c>
      <c r="G2699" s="2" t="s">
        <v>20</v>
      </c>
      <c r="H2699" s="2" t="s">
        <v>1509</v>
      </c>
      <c r="I2699" s="2"/>
      <c r="J2699" s="2"/>
    </row>
    <row r="2700" spans="1:10" x14ac:dyDescent="0.35">
      <c r="A2700" s="2" t="s">
        <v>1237</v>
      </c>
      <c r="B2700" s="2" t="s">
        <v>1407</v>
      </c>
      <c r="C2700" s="2" t="s">
        <v>57</v>
      </c>
      <c r="D2700" s="2" t="s">
        <v>1523</v>
      </c>
      <c r="E2700" s="2" t="s">
        <v>18</v>
      </c>
      <c r="F2700" s="2" t="s">
        <v>19</v>
      </c>
      <c r="G2700" s="2" t="s">
        <v>20</v>
      </c>
      <c r="H2700" s="2" t="s">
        <v>1509</v>
      </c>
      <c r="I2700" s="2"/>
      <c r="J2700" s="2"/>
    </row>
    <row r="2701" spans="1:10" x14ac:dyDescent="0.35">
      <c r="A2701" s="2" t="s">
        <v>1237</v>
      </c>
      <c r="B2701" s="2" t="s">
        <v>1407</v>
      </c>
      <c r="C2701" s="2" t="s">
        <v>57</v>
      </c>
      <c r="D2701" s="2" t="s">
        <v>1523</v>
      </c>
      <c r="E2701" s="2" t="s">
        <v>149</v>
      </c>
      <c r="F2701" s="2" t="s">
        <v>150</v>
      </c>
      <c r="G2701" s="2" t="s">
        <v>20</v>
      </c>
      <c r="H2701" s="2" t="s">
        <v>1509</v>
      </c>
      <c r="I2701" s="2"/>
      <c r="J2701" s="2"/>
    </row>
    <row r="2702" spans="1:10" x14ac:dyDescent="0.35">
      <c r="A2702" s="2" t="s">
        <v>1237</v>
      </c>
      <c r="B2702" s="2" t="s">
        <v>1407</v>
      </c>
      <c r="C2702" s="2" t="s">
        <v>57</v>
      </c>
      <c r="D2702" s="2" t="s">
        <v>1524</v>
      </c>
      <c r="E2702" s="2" t="s">
        <v>18</v>
      </c>
      <c r="F2702" s="2" t="s">
        <v>19</v>
      </c>
      <c r="G2702" s="2" t="s">
        <v>20</v>
      </c>
      <c r="H2702" s="2" t="s">
        <v>1509</v>
      </c>
      <c r="I2702" s="2"/>
      <c r="J2702" s="2"/>
    </row>
    <row r="2703" spans="1:10" x14ac:dyDescent="0.35">
      <c r="A2703" s="2" t="s">
        <v>1237</v>
      </c>
      <c r="B2703" s="2" t="s">
        <v>1407</v>
      </c>
      <c r="C2703" s="2" t="s">
        <v>57</v>
      </c>
      <c r="D2703" s="2" t="s">
        <v>1524</v>
      </c>
      <c r="E2703" s="2" t="s">
        <v>149</v>
      </c>
      <c r="F2703" s="2" t="s">
        <v>150</v>
      </c>
      <c r="G2703" s="2" t="s">
        <v>20</v>
      </c>
      <c r="H2703" s="2" t="s">
        <v>1509</v>
      </c>
      <c r="I2703" s="2"/>
      <c r="J2703" s="2"/>
    </row>
    <row r="2704" spans="1:10" x14ac:dyDescent="0.35">
      <c r="A2704" s="2" t="s">
        <v>1237</v>
      </c>
      <c r="B2704" s="2" t="s">
        <v>1407</v>
      </c>
      <c r="C2704" s="2" t="s">
        <v>57</v>
      </c>
      <c r="D2704" s="2" t="s">
        <v>1525</v>
      </c>
      <c r="E2704" s="2" t="s">
        <v>18</v>
      </c>
      <c r="F2704" s="2" t="s">
        <v>19</v>
      </c>
      <c r="G2704" s="2" t="s">
        <v>20</v>
      </c>
      <c r="H2704" s="2" t="s">
        <v>1509</v>
      </c>
      <c r="I2704" s="2"/>
      <c r="J2704" s="2"/>
    </row>
    <row r="2705" spans="1:10" x14ac:dyDescent="0.35">
      <c r="A2705" s="2" t="s">
        <v>1237</v>
      </c>
      <c r="B2705" s="2" t="s">
        <v>1407</v>
      </c>
      <c r="C2705" s="2" t="s">
        <v>57</v>
      </c>
      <c r="D2705" s="2" t="s">
        <v>1525</v>
      </c>
      <c r="E2705" s="2" t="s">
        <v>149</v>
      </c>
      <c r="F2705" s="2" t="s">
        <v>150</v>
      </c>
      <c r="G2705" s="2" t="s">
        <v>20</v>
      </c>
      <c r="H2705" s="2" t="s">
        <v>1509</v>
      </c>
      <c r="I2705" s="2"/>
      <c r="J2705" s="2"/>
    </row>
    <row r="2706" spans="1:10" x14ac:dyDescent="0.35">
      <c r="A2706" s="2" t="s">
        <v>1237</v>
      </c>
      <c r="B2706" s="2" t="s">
        <v>1407</v>
      </c>
      <c r="C2706" s="2" t="s">
        <v>24</v>
      </c>
      <c r="D2706" s="2" t="s">
        <v>1526</v>
      </c>
      <c r="E2706" s="2" t="s">
        <v>196</v>
      </c>
      <c r="F2706" s="2" t="s">
        <v>197</v>
      </c>
      <c r="G2706" s="2"/>
      <c r="H2706" s="2"/>
      <c r="I2706" s="2"/>
      <c r="J2706" s="2"/>
    </row>
    <row r="2707" spans="1:10" x14ac:dyDescent="0.35">
      <c r="A2707" s="2" t="s">
        <v>1237</v>
      </c>
      <c r="B2707" s="2" t="s">
        <v>1407</v>
      </c>
      <c r="C2707" s="2" t="s">
        <v>24</v>
      </c>
      <c r="D2707" s="2" t="s">
        <v>1526</v>
      </c>
      <c r="E2707" s="2" t="s">
        <v>1226</v>
      </c>
      <c r="F2707" s="2" t="s">
        <v>107</v>
      </c>
      <c r="G2707" s="2" t="s">
        <v>20</v>
      </c>
      <c r="H2707" s="2" t="s">
        <v>1527</v>
      </c>
      <c r="I2707" s="2"/>
      <c r="J2707" s="2"/>
    </row>
    <row r="2708" spans="1:10" x14ac:dyDescent="0.35">
      <c r="A2708" s="2" t="s">
        <v>1237</v>
      </c>
      <c r="B2708" s="2" t="s">
        <v>1407</v>
      </c>
      <c r="C2708" s="2" t="s">
        <v>24</v>
      </c>
      <c r="D2708" s="2" t="s">
        <v>1526</v>
      </c>
      <c r="E2708" s="2" t="s">
        <v>1454</v>
      </c>
      <c r="F2708" s="2" t="s">
        <v>277</v>
      </c>
      <c r="G2708" s="2"/>
      <c r="H2708" s="2"/>
      <c r="I2708" s="2"/>
      <c r="J2708" s="2"/>
    </row>
    <row r="2709" spans="1:10" x14ac:dyDescent="0.35">
      <c r="A2709" s="2" t="s">
        <v>1237</v>
      </c>
      <c r="B2709" s="2" t="s">
        <v>1407</v>
      </c>
      <c r="C2709" s="2" t="s">
        <v>24</v>
      </c>
      <c r="D2709" s="2" t="s">
        <v>1526</v>
      </c>
      <c r="E2709" s="2" t="s">
        <v>91</v>
      </c>
      <c r="F2709" s="2" t="s">
        <v>19</v>
      </c>
      <c r="G2709" s="2" t="s">
        <v>20</v>
      </c>
      <c r="H2709" s="2" t="s">
        <v>1528</v>
      </c>
      <c r="I2709" s="2"/>
      <c r="J2709" s="2"/>
    </row>
    <row r="2710" spans="1:10" x14ac:dyDescent="0.35">
      <c r="A2710" s="2" t="s">
        <v>1237</v>
      </c>
      <c r="B2710" s="2" t="s">
        <v>1407</v>
      </c>
      <c r="C2710" s="2" t="s">
        <v>24</v>
      </c>
      <c r="D2710" s="2" t="s">
        <v>1526</v>
      </c>
      <c r="E2710" s="2" t="s">
        <v>1462</v>
      </c>
      <c r="F2710" s="2" t="s">
        <v>277</v>
      </c>
      <c r="G2710" s="2"/>
      <c r="H2710" s="2"/>
      <c r="I2710" s="2"/>
      <c r="J2710" s="2"/>
    </row>
    <row r="2711" spans="1:10" x14ac:dyDescent="0.35">
      <c r="A2711" s="2" t="s">
        <v>1237</v>
      </c>
      <c r="B2711" s="2" t="s">
        <v>1407</v>
      </c>
      <c r="C2711" s="2" t="s">
        <v>24</v>
      </c>
      <c r="D2711" s="2" t="s">
        <v>1526</v>
      </c>
      <c r="E2711" s="2" t="s">
        <v>1228</v>
      </c>
      <c r="F2711" s="2" t="s">
        <v>228</v>
      </c>
      <c r="G2711" s="2" t="s">
        <v>20</v>
      </c>
      <c r="H2711" s="2" t="s">
        <v>1527</v>
      </c>
      <c r="I2711" s="2"/>
      <c r="J2711" s="2"/>
    </row>
    <row r="2712" spans="1:10" x14ac:dyDescent="0.35">
      <c r="A2712" s="2" t="s">
        <v>1237</v>
      </c>
      <c r="B2712" s="2" t="s">
        <v>1407</v>
      </c>
      <c r="C2712" s="2" t="s">
        <v>24</v>
      </c>
      <c r="D2712" s="2" t="s">
        <v>1526</v>
      </c>
      <c r="E2712" s="2" t="s">
        <v>188</v>
      </c>
      <c r="F2712" s="2" t="s">
        <v>189</v>
      </c>
      <c r="G2712" s="2" t="s">
        <v>20</v>
      </c>
      <c r="H2712" s="2" t="s">
        <v>1528</v>
      </c>
      <c r="I2712" s="2"/>
      <c r="J2712" s="2"/>
    </row>
    <row r="2713" spans="1:10" x14ac:dyDescent="0.35">
      <c r="A2713" s="2" t="s">
        <v>1237</v>
      </c>
      <c r="B2713" s="2" t="s">
        <v>1407</v>
      </c>
      <c r="C2713" s="2" t="s">
        <v>24</v>
      </c>
      <c r="D2713" s="2" t="s">
        <v>1529</v>
      </c>
      <c r="E2713" s="2" t="s">
        <v>196</v>
      </c>
      <c r="F2713" s="2" t="s">
        <v>197</v>
      </c>
      <c r="G2713" s="2"/>
      <c r="H2713" s="2"/>
      <c r="I2713" s="2"/>
      <c r="J2713" s="2"/>
    </row>
    <row r="2714" spans="1:10" x14ac:dyDescent="0.35">
      <c r="A2714" s="2" t="s">
        <v>1237</v>
      </c>
      <c r="B2714" s="2" t="s">
        <v>1407</v>
      </c>
      <c r="C2714" s="2" t="s">
        <v>24</v>
      </c>
      <c r="D2714" s="2" t="s">
        <v>1529</v>
      </c>
      <c r="E2714" s="2" t="s">
        <v>1305</v>
      </c>
      <c r="F2714" s="2" t="s">
        <v>38</v>
      </c>
      <c r="G2714" s="2"/>
      <c r="H2714" s="2"/>
      <c r="I2714" s="2"/>
      <c r="J2714" s="4"/>
    </row>
    <row r="2715" spans="1:10" x14ac:dyDescent="0.35">
      <c r="A2715" s="2" t="s">
        <v>1237</v>
      </c>
      <c r="B2715" s="2" t="s">
        <v>1407</v>
      </c>
      <c r="C2715" s="2" t="s">
        <v>24</v>
      </c>
      <c r="D2715" s="2" t="s">
        <v>1529</v>
      </c>
      <c r="E2715" s="2" t="s">
        <v>625</v>
      </c>
      <c r="F2715" s="2" t="s">
        <v>38</v>
      </c>
      <c r="G2715" s="2"/>
      <c r="H2715" s="2"/>
      <c r="I2715" s="2"/>
      <c r="J2715" s="4"/>
    </row>
    <row r="2716" spans="1:10" x14ac:dyDescent="0.35">
      <c r="A2716" s="2" t="s">
        <v>1237</v>
      </c>
      <c r="B2716" s="2" t="s">
        <v>1407</v>
      </c>
      <c r="C2716" s="2" t="s">
        <v>24</v>
      </c>
      <c r="D2716" s="2" t="s">
        <v>1529</v>
      </c>
      <c r="E2716" s="2" t="s">
        <v>1226</v>
      </c>
      <c r="F2716" s="2" t="s">
        <v>107</v>
      </c>
      <c r="G2716" s="2"/>
      <c r="H2716" s="2"/>
      <c r="I2716" s="2"/>
      <c r="J2716" s="2"/>
    </row>
    <row r="2717" spans="1:10" x14ac:dyDescent="0.35">
      <c r="A2717" s="2" t="s">
        <v>1237</v>
      </c>
      <c r="B2717" s="2" t="s">
        <v>1407</v>
      </c>
      <c r="C2717" s="2" t="s">
        <v>24</v>
      </c>
      <c r="D2717" s="2" t="s">
        <v>1529</v>
      </c>
      <c r="E2717" s="2" t="s">
        <v>38</v>
      </c>
      <c r="F2717" s="2" t="s">
        <v>38</v>
      </c>
      <c r="G2717" s="2"/>
      <c r="H2717" s="2"/>
      <c r="I2717" s="2"/>
      <c r="J2717" s="2"/>
    </row>
    <row r="2718" spans="1:10" x14ac:dyDescent="0.35">
      <c r="A2718" s="2" t="s">
        <v>1237</v>
      </c>
      <c r="B2718" s="2" t="s">
        <v>1407</v>
      </c>
      <c r="C2718" s="2" t="s">
        <v>24</v>
      </c>
      <c r="D2718" s="2" t="s">
        <v>1529</v>
      </c>
      <c r="E2718" s="2" t="s">
        <v>91</v>
      </c>
      <c r="F2718" s="2" t="s">
        <v>19</v>
      </c>
      <c r="G2718" s="2"/>
      <c r="H2718" s="2"/>
      <c r="I2718" s="2"/>
      <c r="J2718" s="2"/>
    </row>
    <row r="2719" spans="1:10" x14ac:dyDescent="0.35">
      <c r="A2719" s="2" t="s">
        <v>1237</v>
      </c>
      <c r="B2719" s="2" t="s">
        <v>1407</v>
      </c>
      <c r="C2719" s="2" t="s">
        <v>24</v>
      </c>
      <c r="D2719" s="2" t="s">
        <v>1529</v>
      </c>
      <c r="E2719" s="2" t="s">
        <v>87</v>
      </c>
      <c r="F2719" s="2" t="s">
        <v>75</v>
      </c>
      <c r="G2719" s="2"/>
      <c r="H2719" s="2"/>
      <c r="I2719" s="2"/>
      <c r="J2719" s="2"/>
    </row>
    <row r="2720" spans="1:10" x14ac:dyDescent="0.35">
      <c r="A2720" s="2" t="s">
        <v>1237</v>
      </c>
      <c r="B2720" s="2" t="s">
        <v>1407</v>
      </c>
      <c r="C2720" s="2" t="s">
        <v>24</v>
      </c>
      <c r="D2720" s="2" t="s">
        <v>1529</v>
      </c>
      <c r="E2720" s="2" t="s">
        <v>1228</v>
      </c>
      <c r="F2720" s="2" t="s">
        <v>228</v>
      </c>
      <c r="G2720" s="2"/>
      <c r="H2720" s="2"/>
      <c r="I2720" s="2"/>
      <c r="J2720" s="2"/>
    </row>
    <row r="2721" spans="1:10" x14ac:dyDescent="0.35">
      <c r="A2721" s="2" t="s">
        <v>1237</v>
      </c>
      <c r="B2721" s="2" t="s">
        <v>1407</v>
      </c>
      <c r="C2721" s="2" t="s">
        <v>24</v>
      </c>
      <c r="D2721" s="2" t="s">
        <v>1529</v>
      </c>
      <c r="E2721" s="2" t="s">
        <v>1342</v>
      </c>
      <c r="F2721" s="2" t="s">
        <v>1343</v>
      </c>
      <c r="G2721" s="2"/>
      <c r="H2721" s="2"/>
      <c r="I2721" s="2"/>
      <c r="J2721" s="2"/>
    </row>
    <row r="2722" spans="1:10" x14ac:dyDescent="0.35">
      <c r="A2722" s="2" t="s">
        <v>1237</v>
      </c>
      <c r="B2722" s="2" t="s">
        <v>1407</v>
      </c>
      <c r="C2722" s="2" t="s">
        <v>62</v>
      </c>
      <c r="D2722" s="2" t="s">
        <v>1530</v>
      </c>
      <c r="E2722" s="2" t="s">
        <v>196</v>
      </c>
      <c r="F2722" s="2" t="s">
        <v>197</v>
      </c>
      <c r="G2722" s="2"/>
      <c r="H2722" s="2"/>
      <c r="I2722" s="2"/>
      <c r="J2722" s="2"/>
    </row>
    <row r="2723" spans="1:10" x14ac:dyDescent="0.35">
      <c r="A2723" s="2" t="s">
        <v>1237</v>
      </c>
      <c r="B2723" s="2" t="s">
        <v>1407</v>
      </c>
      <c r="C2723" s="2" t="s">
        <v>62</v>
      </c>
      <c r="D2723" s="2" t="s">
        <v>1530</v>
      </c>
      <c r="E2723" s="2" t="s">
        <v>319</v>
      </c>
      <c r="F2723" s="2" t="s">
        <v>320</v>
      </c>
      <c r="G2723" s="2"/>
      <c r="H2723" s="2"/>
      <c r="I2723" s="2"/>
      <c r="J2723" s="2"/>
    </row>
    <row r="2724" spans="1:10" s="21" customFormat="1" x14ac:dyDescent="0.35">
      <c r="A2724" s="2" t="s">
        <v>1237</v>
      </c>
      <c r="B2724" s="2" t="s">
        <v>1407</v>
      </c>
      <c r="C2724" s="2" t="s">
        <v>62</v>
      </c>
      <c r="D2724" s="2" t="s">
        <v>1530</v>
      </c>
      <c r="E2724" s="2" t="s">
        <v>98</v>
      </c>
      <c r="F2724" s="2" t="s">
        <v>98</v>
      </c>
      <c r="G2724" s="2" t="s">
        <v>20</v>
      </c>
      <c r="H2724" s="2" t="s">
        <v>1531</v>
      </c>
      <c r="I2724" s="2"/>
      <c r="J2724" s="2"/>
    </row>
    <row r="2725" spans="1:10" x14ac:dyDescent="0.35">
      <c r="A2725" s="2" t="s">
        <v>1237</v>
      </c>
      <c r="B2725" s="2" t="s">
        <v>1407</v>
      </c>
      <c r="C2725" s="2" t="s">
        <v>62</v>
      </c>
      <c r="D2725" s="2" t="s">
        <v>1530</v>
      </c>
      <c r="E2725" s="2" t="s">
        <v>38</v>
      </c>
      <c r="F2725" s="2" t="s">
        <v>38</v>
      </c>
      <c r="G2725" s="2"/>
      <c r="H2725" s="2"/>
      <c r="I2725" s="2"/>
      <c r="J2725" s="2"/>
    </row>
    <row r="2726" spans="1:10" x14ac:dyDescent="0.35">
      <c r="A2726" s="2" t="s">
        <v>1237</v>
      </c>
      <c r="B2726" s="2" t="s">
        <v>1407</v>
      </c>
      <c r="C2726" s="2" t="s">
        <v>62</v>
      </c>
      <c r="D2726" s="2" t="s">
        <v>1530</v>
      </c>
      <c r="E2726" s="2" t="s">
        <v>1532</v>
      </c>
      <c r="F2726" s="2" t="s">
        <v>75</v>
      </c>
      <c r="G2726" s="2"/>
      <c r="H2726" s="2"/>
      <c r="I2726" s="2"/>
      <c r="J2726" s="2"/>
    </row>
    <row r="2727" spans="1:10" x14ac:dyDescent="0.35">
      <c r="A2727" s="2" t="s">
        <v>1237</v>
      </c>
      <c r="B2727" s="2" t="s">
        <v>1407</v>
      </c>
      <c r="C2727" s="2" t="s">
        <v>62</v>
      </c>
      <c r="D2727" s="2" t="s">
        <v>1530</v>
      </c>
      <c r="E2727" s="2" t="s">
        <v>438</v>
      </c>
      <c r="F2727" s="2" t="s">
        <v>19</v>
      </c>
      <c r="G2727" s="2" t="s">
        <v>46</v>
      </c>
      <c r="H2727" s="2" t="s">
        <v>1533</v>
      </c>
      <c r="I2727" s="2"/>
      <c r="J2727" s="2"/>
    </row>
    <row r="2728" spans="1:10" x14ac:dyDescent="0.35">
      <c r="A2728" s="2" t="s">
        <v>1237</v>
      </c>
      <c r="B2728" s="2" t="s">
        <v>1407</v>
      </c>
      <c r="C2728" s="2" t="s">
        <v>62</v>
      </c>
      <c r="D2728" s="2" t="s">
        <v>1530</v>
      </c>
      <c r="E2728" s="2" t="s">
        <v>18</v>
      </c>
      <c r="F2728" s="2" t="s">
        <v>19</v>
      </c>
      <c r="G2728" s="2" t="s">
        <v>20</v>
      </c>
      <c r="H2728" s="2" t="s">
        <v>1378</v>
      </c>
      <c r="I2728" s="2"/>
      <c r="J2728" s="2"/>
    </row>
    <row r="2729" spans="1:10" x14ac:dyDescent="0.35">
      <c r="A2729" s="2" t="s">
        <v>1237</v>
      </c>
      <c r="B2729" s="2" t="s">
        <v>1407</v>
      </c>
      <c r="C2729" s="2" t="s">
        <v>62</v>
      </c>
      <c r="D2729" s="2" t="s">
        <v>1530</v>
      </c>
      <c r="E2729" s="2" t="s">
        <v>321</v>
      </c>
      <c r="F2729" s="2" t="s">
        <v>321</v>
      </c>
      <c r="G2729" s="2"/>
      <c r="H2729" s="2"/>
      <c r="I2729" s="2"/>
      <c r="J2729" s="2"/>
    </row>
    <row r="2730" spans="1:10" x14ac:dyDescent="0.35">
      <c r="A2730" s="2" t="s">
        <v>1237</v>
      </c>
      <c r="B2730" s="2" t="s">
        <v>1407</v>
      </c>
      <c r="C2730" s="2" t="s">
        <v>62</v>
      </c>
      <c r="D2730" s="2" t="s">
        <v>1530</v>
      </c>
      <c r="E2730" s="2" t="s">
        <v>188</v>
      </c>
      <c r="F2730" s="2" t="s">
        <v>189</v>
      </c>
      <c r="G2730" s="2"/>
      <c r="H2730" s="2"/>
      <c r="I2730" s="2"/>
      <c r="J2730" s="2"/>
    </row>
    <row r="2731" spans="1:10" x14ac:dyDescent="0.35">
      <c r="A2731" s="2" t="s">
        <v>1237</v>
      </c>
      <c r="B2731" s="2" t="s">
        <v>1407</v>
      </c>
      <c r="C2731" s="2" t="s">
        <v>62</v>
      </c>
      <c r="D2731" s="2" t="s">
        <v>1530</v>
      </c>
      <c r="E2731" s="2" t="s">
        <v>322</v>
      </c>
      <c r="F2731" s="2" t="s">
        <v>246</v>
      </c>
      <c r="G2731" s="2"/>
      <c r="H2731" s="2"/>
      <c r="I2731" s="2"/>
      <c r="J2731" s="2"/>
    </row>
    <row r="2732" spans="1:10" x14ac:dyDescent="0.35">
      <c r="A2732" s="2" t="s">
        <v>1237</v>
      </c>
      <c r="B2732" s="2" t="s">
        <v>1407</v>
      </c>
      <c r="C2732" s="2" t="s">
        <v>62</v>
      </c>
      <c r="D2732" s="2" t="s">
        <v>1530</v>
      </c>
      <c r="E2732" s="2" t="s">
        <v>323</v>
      </c>
      <c r="F2732" s="2" t="s">
        <v>246</v>
      </c>
      <c r="G2732" s="2"/>
      <c r="H2732" s="2"/>
      <c r="I2732" s="2"/>
      <c r="J2732" s="2"/>
    </row>
    <row r="2733" spans="1:10" x14ac:dyDescent="0.35">
      <c r="A2733" s="2" t="s">
        <v>1237</v>
      </c>
      <c r="B2733" s="2" t="s">
        <v>1407</v>
      </c>
      <c r="C2733" s="2" t="s">
        <v>62</v>
      </c>
      <c r="D2733" s="2" t="s">
        <v>1530</v>
      </c>
      <c r="E2733" s="2" t="s">
        <v>324</v>
      </c>
      <c r="F2733" s="2" t="s">
        <v>246</v>
      </c>
      <c r="G2733" s="2"/>
      <c r="H2733" s="2"/>
      <c r="I2733" s="2"/>
      <c r="J2733" s="2"/>
    </row>
    <row r="2734" spans="1:10" x14ac:dyDescent="0.35">
      <c r="A2734" s="2" t="s">
        <v>1237</v>
      </c>
      <c r="B2734" s="2" t="s">
        <v>1407</v>
      </c>
      <c r="C2734" s="2" t="s">
        <v>62</v>
      </c>
      <c r="D2734" s="2" t="s">
        <v>1530</v>
      </c>
      <c r="E2734" s="2" t="s">
        <v>325</v>
      </c>
      <c r="F2734" s="2" t="s">
        <v>1413</v>
      </c>
      <c r="G2734" s="2"/>
      <c r="H2734" s="2"/>
      <c r="I2734" s="2"/>
      <c r="J2734" s="2"/>
    </row>
    <row r="2735" spans="1:10" x14ac:dyDescent="0.35">
      <c r="A2735" s="2" t="s">
        <v>1237</v>
      </c>
      <c r="B2735" s="2" t="s">
        <v>1407</v>
      </c>
      <c r="C2735" s="2" t="s">
        <v>62</v>
      </c>
      <c r="D2735" s="2" t="s">
        <v>1530</v>
      </c>
      <c r="E2735" s="2" t="s">
        <v>327</v>
      </c>
      <c r="F2735" s="2" t="s">
        <v>328</v>
      </c>
      <c r="G2735" s="2"/>
      <c r="H2735" s="2"/>
      <c r="I2735" s="2"/>
      <c r="J2735" s="2"/>
    </row>
    <row r="2736" spans="1:10" x14ac:dyDescent="0.35">
      <c r="A2736" s="2" t="s">
        <v>1237</v>
      </c>
      <c r="B2736" s="2" t="s">
        <v>1407</v>
      </c>
      <c r="C2736" s="2" t="s">
        <v>62</v>
      </c>
      <c r="D2736" s="2" t="s">
        <v>1530</v>
      </c>
      <c r="E2736" s="2" t="s">
        <v>329</v>
      </c>
      <c r="F2736" s="2" t="s">
        <v>330</v>
      </c>
      <c r="G2736" s="2"/>
      <c r="H2736" s="2"/>
      <c r="I2736" s="2"/>
      <c r="J2736" s="2"/>
    </row>
    <row r="2737" spans="1:10" x14ac:dyDescent="0.35">
      <c r="A2737" s="2" t="s">
        <v>1237</v>
      </c>
      <c r="B2737" s="2" t="s">
        <v>1407</v>
      </c>
      <c r="C2737" s="2" t="s">
        <v>62</v>
      </c>
      <c r="D2737" s="2" t="s">
        <v>1530</v>
      </c>
      <c r="E2737" s="2" t="s">
        <v>331</v>
      </c>
      <c r="F2737" s="2" t="s">
        <v>332</v>
      </c>
      <c r="G2737" s="2"/>
      <c r="H2737" s="2"/>
      <c r="I2737" s="2"/>
      <c r="J2737" s="2"/>
    </row>
    <row r="2738" spans="1:10" x14ac:dyDescent="0.35">
      <c r="A2738" s="2" t="s">
        <v>1237</v>
      </c>
      <c r="B2738" s="2" t="s">
        <v>1407</v>
      </c>
      <c r="C2738" s="2" t="s">
        <v>62</v>
      </c>
      <c r="D2738" s="2" t="s">
        <v>1530</v>
      </c>
      <c r="E2738" s="2" t="s">
        <v>333</v>
      </c>
      <c r="F2738" s="2" t="s">
        <v>334</v>
      </c>
      <c r="G2738" s="2"/>
      <c r="H2738" s="2"/>
      <c r="I2738" s="2"/>
      <c r="J2738" s="2"/>
    </row>
    <row r="2739" spans="1:10" x14ac:dyDescent="0.35">
      <c r="A2739" s="2" t="s">
        <v>1237</v>
      </c>
      <c r="B2739" s="2" t="s">
        <v>1407</v>
      </c>
      <c r="C2739" s="2" t="s">
        <v>62</v>
      </c>
      <c r="D2739" s="2" t="s">
        <v>1530</v>
      </c>
      <c r="E2739" s="2" t="s">
        <v>1297</v>
      </c>
      <c r="F2739" s="2" t="s">
        <v>533</v>
      </c>
      <c r="G2739" s="2"/>
      <c r="H2739" s="2"/>
      <c r="I2739" s="2"/>
      <c r="J2739" s="2"/>
    </row>
    <row r="2740" spans="1:10" x14ac:dyDescent="0.35">
      <c r="A2740" s="2" t="s">
        <v>1237</v>
      </c>
      <c r="B2740" s="2" t="s">
        <v>1407</v>
      </c>
      <c r="C2740" s="2" t="s">
        <v>62</v>
      </c>
      <c r="D2740" s="2" t="s">
        <v>1530</v>
      </c>
      <c r="E2740" s="2" t="s">
        <v>335</v>
      </c>
      <c r="F2740" s="2" t="s">
        <v>336</v>
      </c>
      <c r="G2740" s="2"/>
      <c r="H2740" s="2"/>
      <c r="I2740" s="2"/>
      <c r="J2740" s="2"/>
    </row>
    <row r="2741" spans="1:10" x14ac:dyDescent="0.35">
      <c r="A2741" s="2" t="s">
        <v>1237</v>
      </c>
      <c r="B2741" s="2" t="s">
        <v>1407</v>
      </c>
      <c r="C2741" s="2" t="s">
        <v>62</v>
      </c>
      <c r="D2741" s="2" t="s">
        <v>1530</v>
      </c>
      <c r="E2741" s="2" t="s">
        <v>337</v>
      </c>
      <c r="F2741" s="2" t="s">
        <v>338</v>
      </c>
      <c r="G2741" s="2"/>
      <c r="H2741" s="2"/>
      <c r="I2741" s="2"/>
      <c r="J2741" s="2"/>
    </row>
    <row r="2742" spans="1:10" x14ac:dyDescent="0.35">
      <c r="A2742" s="2" t="s">
        <v>1237</v>
      </c>
      <c r="B2742" s="2" t="s">
        <v>1407</v>
      </c>
      <c r="C2742" s="2" t="s">
        <v>62</v>
      </c>
      <c r="D2742" s="2" t="s">
        <v>1530</v>
      </c>
      <c r="E2742" s="2" t="s">
        <v>339</v>
      </c>
      <c r="F2742" s="2" t="s">
        <v>340</v>
      </c>
      <c r="G2742" s="2"/>
      <c r="H2742" s="2"/>
      <c r="I2742" s="2"/>
      <c r="J2742" s="2"/>
    </row>
    <row r="2743" spans="1:10" x14ac:dyDescent="0.35">
      <c r="A2743" s="2" t="s">
        <v>1237</v>
      </c>
      <c r="B2743" s="2" t="s">
        <v>1407</v>
      </c>
      <c r="C2743" s="2" t="s">
        <v>62</v>
      </c>
      <c r="D2743" s="2" t="s">
        <v>1530</v>
      </c>
      <c r="E2743" s="2" t="s">
        <v>341</v>
      </c>
      <c r="F2743" s="2" t="s">
        <v>342</v>
      </c>
      <c r="G2743" s="2"/>
      <c r="H2743" s="2"/>
      <c r="I2743" s="2"/>
      <c r="J2743" s="2"/>
    </row>
    <row r="2744" spans="1:10" x14ac:dyDescent="0.35">
      <c r="A2744" s="2" t="s">
        <v>1237</v>
      </c>
      <c r="B2744" s="2" t="s">
        <v>1407</v>
      </c>
      <c r="C2744" s="2" t="s">
        <v>62</v>
      </c>
      <c r="D2744" s="2" t="s">
        <v>1530</v>
      </c>
      <c r="E2744" s="2" t="s">
        <v>343</v>
      </c>
      <c r="F2744" s="2" t="s">
        <v>344</v>
      </c>
      <c r="G2744" s="2"/>
      <c r="H2744" s="2"/>
      <c r="I2744" s="2"/>
      <c r="J2744" s="2"/>
    </row>
    <row r="2745" spans="1:10" x14ac:dyDescent="0.35">
      <c r="A2745" s="2" t="s">
        <v>1237</v>
      </c>
      <c r="B2745" s="2" t="s">
        <v>1407</v>
      </c>
      <c r="C2745" s="2" t="s">
        <v>62</v>
      </c>
      <c r="D2745" s="2" t="s">
        <v>1530</v>
      </c>
      <c r="E2745" s="2" t="s">
        <v>345</v>
      </c>
      <c r="F2745" s="2" t="s">
        <v>346</v>
      </c>
      <c r="G2745" s="2"/>
      <c r="H2745" s="2"/>
      <c r="I2745" s="2"/>
      <c r="J2745" s="2"/>
    </row>
    <row r="2746" spans="1:10" x14ac:dyDescent="0.35">
      <c r="A2746" s="2" t="s">
        <v>1237</v>
      </c>
      <c r="B2746" s="2" t="s">
        <v>1407</v>
      </c>
      <c r="C2746" s="2" t="s">
        <v>62</v>
      </c>
      <c r="D2746" s="2" t="s">
        <v>1534</v>
      </c>
      <c r="E2746" s="2" t="s">
        <v>196</v>
      </c>
      <c r="F2746" s="2" t="s">
        <v>197</v>
      </c>
      <c r="G2746" s="2"/>
      <c r="H2746" s="2"/>
      <c r="I2746" s="2"/>
      <c r="J2746" s="2"/>
    </row>
    <row r="2747" spans="1:10" x14ac:dyDescent="0.35">
      <c r="A2747" s="2" t="s">
        <v>1237</v>
      </c>
      <c r="B2747" s="2" t="s">
        <v>1407</v>
      </c>
      <c r="C2747" s="2" t="s">
        <v>62</v>
      </c>
      <c r="D2747" s="2" t="s">
        <v>1534</v>
      </c>
      <c r="E2747" s="2" t="s">
        <v>1485</v>
      </c>
      <c r="F2747" s="2" t="s">
        <v>1486</v>
      </c>
      <c r="G2747" s="2"/>
      <c r="H2747" s="2"/>
      <c r="I2747" s="2"/>
      <c r="J2747" s="2"/>
    </row>
    <row r="2748" spans="1:10" x14ac:dyDescent="0.35">
      <c r="A2748" s="2" t="s">
        <v>1237</v>
      </c>
      <c r="B2748" s="2" t="s">
        <v>1407</v>
      </c>
      <c r="C2748" s="2" t="s">
        <v>62</v>
      </c>
      <c r="D2748" s="2" t="s">
        <v>1534</v>
      </c>
      <c r="E2748" s="2" t="s">
        <v>319</v>
      </c>
      <c r="F2748" s="2" t="s">
        <v>320</v>
      </c>
      <c r="G2748" s="2"/>
      <c r="H2748" s="2"/>
      <c r="I2748" s="2"/>
      <c r="J2748" s="2"/>
    </row>
    <row r="2749" spans="1:10" x14ac:dyDescent="0.35">
      <c r="A2749" s="2" t="s">
        <v>1237</v>
      </c>
      <c r="B2749" s="2" t="s">
        <v>1407</v>
      </c>
      <c r="C2749" s="2" t="s">
        <v>62</v>
      </c>
      <c r="D2749" s="2" t="s">
        <v>1534</v>
      </c>
      <c r="E2749" s="2" t="s">
        <v>91</v>
      </c>
      <c r="F2749" s="2" t="s">
        <v>19</v>
      </c>
      <c r="G2749" s="2"/>
      <c r="H2749" s="2"/>
      <c r="I2749" s="2"/>
      <c r="J2749" s="2"/>
    </row>
    <row r="2750" spans="1:10" x14ac:dyDescent="0.35">
      <c r="A2750" s="2" t="s">
        <v>1237</v>
      </c>
      <c r="B2750" s="2" t="s">
        <v>1407</v>
      </c>
      <c r="C2750" s="2" t="s">
        <v>62</v>
      </c>
      <c r="D2750" s="2" t="s">
        <v>1534</v>
      </c>
      <c r="E2750" s="2" t="s">
        <v>87</v>
      </c>
      <c r="F2750" s="2" t="s">
        <v>75</v>
      </c>
      <c r="G2750" s="2"/>
      <c r="H2750" s="2"/>
      <c r="I2750" s="2"/>
      <c r="J2750" s="2"/>
    </row>
    <row r="2751" spans="1:10" x14ac:dyDescent="0.35">
      <c r="A2751" s="2" t="s">
        <v>1237</v>
      </c>
      <c r="B2751" s="2" t="s">
        <v>1407</v>
      </c>
      <c r="C2751" s="2" t="s">
        <v>62</v>
      </c>
      <c r="D2751" s="2" t="s">
        <v>1534</v>
      </c>
      <c r="E2751" s="2" t="s">
        <v>1243</v>
      </c>
      <c r="F2751" s="2" t="s">
        <v>40</v>
      </c>
      <c r="G2751" s="2"/>
      <c r="H2751" s="2"/>
      <c r="I2751" s="2"/>
      <c r="J2751" s="2"/>
    </row>
    <row r="2752" spans="1:10" x14ac:dyDescent="0.35">
      <c r="A2752" s="2" t="s">
        <v>1237</v>
      </c>
      <c r="B2752" s="2" t="s">
        <v>1407</v>
      </c>
      <c r="C2752" s="2" t="s">
        <v>62</v>
      </c>
      <c r="D2752" s="2" t="s">
        <v>1534</v>
      </c>
      <c r="E2752" s="2" t="s">
        <v>321</v>
      </c>
      <c r="F2752" s="2" t="s">
        <v>321</v>
      </c>
      <c r="G2752" s="2"/>
      <c r="H2752" s="2"/>
      <c r="I2752" s="2"/>
      <c r="J2752" s="2"/>
    </row>
    <row r="2753" spans="1:10" x14ac:dyDescent="0.35">
      <c r="A2753" s="2" t="s">
        <v>1237</v>
      </c>
      <c r="B2753" s="2" t="s">
        <v>1407</v>
      </c>
      <c r="C2753" s="2" t="s">
        <v>62</v>
      </c>
      <c r="D2753" s="2" t="s">
        <v>1534</v>
      </c>
      <c r="E2753" s="2" t="s">
        <v>127</v>
      </c>
      <c r="F2753" s="2" t="s">
        <v>107</v>
      </c>
      <c r="G2753" s="2"/>
      <c r="H2753" s="2"/>
      <c r="I2753" s="2"/>
      <c r="J2753" s="2"/>
    </row>
    <row r="2754" spans="1:10" x14ac:dyDescent="0.35">
      <c r="A2754" s="2" t="s">
        <v>1237</v>
      </c>
      <c r="B2754" s="2" t="s">
        <v>1407</v>
      </c>
      <c r="C2754" s="2" t="s">
        <v>62</v>
      </c>
      <c r="D2754" s="2" t="s">
        <v>1534</v>
      </c>
      <c r="E2754" s="2" t="s">
        <v>322</v>
      </c>
      <c r="F2754" s="2" t="s">
        <v>246</v>
      </c>
      <c r="G2754" s="2"/>
      <c r="H2754" s="2"/>
      <c r="I2754" s="2"/>
      <c r="J2754" s="2"/>
    </row>
    <row r="2755" spans="1:10" x14ac:dyDescent="0.35">
      <c r="A2755" s="2" t="s">
        <v>1237</v>
      </c>
      <c r="B2755" s="2" t="s">
        <v>1407</v>
      </c>
      <c r="C2755" s="2" t="s">
        <v>62</v>
      </c>
      <c r="D2755" s="2" t="s">
        <v>1534</v>
      </c>
      <c r="E2755" s="2" t="s">
        <v>323</v>
      </c>
      <c r="F2755" s="2" t="s">
        <v>246</v>
      </c>
      <c r="G2755" s="2"/>
      <c r="H2755" s="2"/>
      <c r="I2755" s="2"/>
      <c r="J2755" s="2"/>
    </row>
    <row r="2756" spans="1:10" x14ac:dyDescent="0.35">
      <c r="A2756" s="2" t="s">
        <v>1237</v>
      </c>
      <c r="B2756" s="2" t="s">
        <v>1407</v>
      </c>
      <c r="C2756" s="2" t="s">
        <v>62</v>
      </c>
      <c r="D2756" s="2" t="s">
        <v>1534</v>
      </c>
      <c r="E2756" s="2" t="s">
        <v>324</v>
      </c>
      <c r="F2756" s="2" t="s">
        <v>246</v>
      </c>
      <c r="G2756" s="2"/>
      <c r="H2756" s="2"/>
      <c r="I2756" s="2"/>
      <c r="J2756" s="2"/>
    </row>
    <row r="2757" spans="1:10" x14ac:dyDescent="0.35">
      <c r="A2757" s="2" t="s">
        <v>1237</v>
      </c>
      <c r="B2757" s="2" t="s">
        <v>1407</v>
      </c>
      <c r="C2757" s="2" t="s">
        <v>62</v>
      </c>
      <c r="D2757" s="2" t="s">
        <v>1534</v>
      </c>
      <c r="E2757" s="2" t="s">
        <v>325</v>
      </c>
      <c r="F2757" s="2" t="s">
        <v>1413</v>
      </c>
      <c r="G2757" s="2"/>
      <c r="H2757" s="2"/>
      <c r="I2757" s="2"/>
      <c r="J2757" s="2"/>
    </row>
    <row r="2758" spans="1:10" x14ac:dyDescent="0.35">
      <c r="A2758" s="2" t="s">
        <v>1237</v>
      </c>
      <c r="B2758" s="2" t="s">
        <v>1407</v>
      </c>
      <c r="C2758" s="2" t="s">
        <v>62</v>
      </c>
      <c r="D2758" s="2" t="s">
        <v>1534</v>
      </c>
      <c r="E2758" s="2" t="s">
        <v>327</v>
      </c>
      <c r="F2758" s="2" t="s">
        <v>328</v>
      </c>
      <c r="G2758" s="2"/>
      <c r="H2758" s="2"/>
      <c r="I2758" s="2"/>
      <c r="J2758" s="2"/>
    </row>
    <row r="2759" spans="1:10" x14ac:dyDescent="0.35">
      <c r="A2759" s="2" t="s">
        <v>1237</v>
      </c>
      <c r="B2759" s="2" t="s">
        <v>1407</v>
      </c>
      <c r="C2759" s="2" t="s">
        <v>62</v>
      </c>
      <c r="D2759" s="2" t="s">
        <v>1534</v>
      </c>
      <c r="E2759" s="2" t="s">
        <v>329</v>
      </c>
      <c r="F2759" s="2" t="s">
        <v>330</v>
      </c>
      <c r="G2759" s="2"/>
      <c r="H2759" s="2"/>
      <c r="I2759" s="2"/>
      <c r="J2759" s="2"/>
    </row>
    <row r="2760" spans="1:10" x14ac:dyDescent="0.35">
      <c r="A2760" s="2" t="s">
        <v>1237</v>
      </c>
      <c r="B2760" s="2" t="s">
        <v>1407</v>
      </c>
      <c r="C2760" s="2" t="s">
        <v>62</v>
      </c>
      <c r="D2760" s="2" t="s">
        <v>1534</v>
      </c>
      <c r="E2760" s="2" t="s">
        <v>331</v>
      </c>
      <c r="F2760" s="2" t="s">
        <v>332</v>
      </c>
      <c r="G2760" s="2"/>
      <c r="H2760" s="2"/>
      <c r="I2760" s="2"/>
      <c r="J2760" s="2"/>
    </row>
    <row r="2761" spans="1:10" x14ac:dyDescent="0.35">
      <c r="A2761" s="2" t="s">
        <v>1237</v>
      </c>
      <c r="B2761" s="2" t="s">
        <v>1407</v>
      </c>
      <c r="C2761" s="2" t="s">
        <v>62</v>
      </c>
      <c r="D2761" s="2" t="s">
        <v>1534</v>
      </c>
      <c r="E2761" s="2" t="s">
        <v>333</v>
      </c>
      <c r="F2761" s="2" t="s">
        <v>334</v>
      </c>
      <c r="G2761" s="2"/>
      <c r="H2761" s="2"/>
      <c r="I2761" s="2"/>
      <c r="J2761" s="2"/>
    </row>
    <row r="2762" spans="1:10" x14ac:dyDescent="0.35">
      <c r="A2762" s="2" t="s">
        <v>1237</v>
      </c>
      <c r="B2762" s="2" t="s">
        <v>1407</v>
      </c>
      <c r="C2762" s="2" t="s">
        <v>62</v>
      </c>
      <c r="D2762" s="2" t="s">
        <v>1534</v>
      </c>
      <c r="E2762" s="2" t="s">
        <v>1297</v>
      </c>
      <c r="F2762" s="2" t="s">
        <v>533</v>
      </c>
      <c r="G2762" s="2"/>
      <c r="H2762" s="2"/>
      <c r="I2762" s="2"/>
      <c r="J2762" s="2"/>
    </row>
    <row r="2763" spans="1:10" x14ac:dyDescent="0.35">
      <c r="A2763" s="2" t="s">
        <v>1237</v>
      </c>
      <c r="B2763" s="2" t="s">
        <v>1407</v>
      </c>
      <c r="C2763" s="2" t="s">
        <v>62</v>
      </c>
      <c r="D2763" s="2" t="s">
        <v>1534</v>
      </c>
      <c r="E2763" s="2" t="s">
        <v>335</v>
      </c>
      <c r="F2763" s="2" t="s">
        <v>336</v>
      </c>
      <c r="G2763" s="2"/>
      <c r="H2763" s="2"/>
      <c r="I2763" s="2"/>
      <c r="J2763" s="2"/>
    </row>
    <row r="2764" spans="1:10" x14ac:dyDescent="0.35">
      <c r="A2764" s="2" t="s">
        <v>1237</v>
      </c>
      <c r="B2764" s="2" t="s">
        <v>1407</v>
      </c>
      <c r="C2764" s="2" t="s">
        <v>62</v>
      </c>
      <c r="D2764" s="2" t="s">
        <v>1534</v>
      </c>
      <c r="E2764" s="2" t="s">
        <v>337</v>
      </c>
      <c r="F2764" s="2" t="s">
        <v>338</v>
      </c>
      <c r="G2764" s="2"/>
      <c r="H2764" s="2"/>
      <c r="I2764" s="2"/>
      <c r="J2764" s="2"/>
    </row>
    <row r="2765" spans="1:10" x14ac:dyDescent="0.35">
      <c r="A2765" s="2" t="s">
        <v>1237</v>
      </c>
      <c r="B2765" s="2" t="s">
        <v>1407</v>
      </c>
      <c r="C2765" s="2" t="s">
        <v>62</v>
      </c>
      <c r="D2765" s="2" t="s">
        <v>1534</v>
      </c>
      <c r="E2765" s="2" t="s">
        <v>339</v>
      </c>
      <c r="F2765" s="2" t="s">
        <v>340</v>
      </c>
      <c r="G2765" s="2"/>
      <c r="H2765" s="2"/>
      <c r="I2765" s="2"/>
      <c r="J2765" s="2"/>
    </row>
    <row r="2766" spans="1:10" x14ac:dyDescent="0.35">
      <c r="A2766" s="2" t="s">
        <v>1237</v>
      </c>
      <c r="B2766" s="2" t="s">
        <v>1407</v>
      </c>
      <c r="C2766" s="2" t="s">
        <v>62</v>
      </c>
      <c r="D2766" s="2" t="s">
        <v>1534</v>
      </c>
      <c r="E2766" s="2" t="s">
        <v>341</v>
      </c>
      <c r="F2766" s="2" t="s">
        <v>342</v>
      </c>
      <c r="G2766" s="2"/>
      <c r="H2766" s="2"/>
      <c r="I2766" s="2"/>
      <c r="J2766" s="2"/>
    </row>
    <row r="2767" spans="1:10" x14ac:dyDescent="0.35">
      <c r="A2767" s="2" t="s">
        <v>1237</v>
      </c>
      <c r="B2767" s="2" t="s">
        <v>1407</v>
      </c>
      <c r="C2767" s="2" t="s">
        <v>62</v>
      </c>
      <c r="D2767" s="2" t="s">
        <v>1534</v>
      </c>
      <c r="E2767" s="2" t="s">
        <v>343</v>
      </c>
      <c r="F2767" s="2" t="s">
        <v>344</v>
      </c>
      <c r="G2767" s="2"/>
      <c r="H2767" s="2"/>
      <c r="I2767" s="2"/>
      <c r="J2767" s="2"/>
    </row>
    <row r="2768" spans="1:10" x14ac:dyDescent="0.35">
      <c r="A2768" s="2" t="s">
        <v>1237</v>
      </c>
      <c r="B2768" s="2" t="s">
        <v>1407</v>
      </c>
      <c r="C2768" s="2" t="s">
        <v>62</v>
      </c>
      <c r="D2768" s="2" t="s">
        <v>1534</v>
      </c>
      <c r="E2768" s="2" t="s">
        <v>345</v>
      </c>
      <c r="F2768" s="2" t="s">
        <v>346</v>
      </c>
      <c r="G2768" s="2"/>
      <c r="H2768" s="2"/>
      <c r="I2768" s="2"/>
      <c r="J2768" s="2"/>
    </row>
    <row r="2769" spans="1:10" x14ac:dyDescent="0.35">
      <c r="A2769" s="2" t="s">
        <v>1237</v>
      </c>
      <c r="B2769" s="2" t="s">
        <v>1407</v>
      </c>
      <c r="C2769" s="2" t="s">
        <v>801</v>
      </c>
      <c r="D2769" s="2" t="s">
        <v>1535</v>
      </c>
      <c r="E2769" s="2" t="s">
        <v>130</v>
      </c>
      <c r="F2769" s="2" t="s">
        <v>36</v>
      </c>
      <c r="G2769" s="2"/>
      <c r="H2769" s="2"/>
      <c r="I2769" s="2"/>
      <c r="J2769" s="2"/>
    </row>
    <row r="2770" spans="1:10" x14ac:dyDescent="0.35">
      <c r="A2770" s="2" t="s">
        <v>1237</v>
      </c>
      <c r="B2770" s="2" t="s">
        <v>1407</v>
      </c>
      <c r="C2770" s="2" t="s">
        <v>24</v>
      </c>
      <c r="D2770" s="2" t="s">
        <v>1536</v>
      </c>
      <c r="E2770" s="2" t="s">
        <v>130</v>
      </c>
      <c r="F2770" s="2" t="s">
        <v>36</v>
      </c>
      <c r="G2770" s="2"/>
      <c r="H2770" s="2"/>
      <c r="I2770" s="2"/>
      <c r="J2770" s="2"/>
    </row>
    <row r="2771" spans="1:10" x14ac:dyDescent="0.35">
      <c r="A2771" s="2" t="s">
        <v>1237</v>
      </c>
      <c r="B2771" s="2" t="s">
        <v>1407</v>
      </c>
      <c r="C2771" s="2" t="s">
        <v>24</v>
      </c>
      <c r="D2771" s="2" t="s">
        <v>1536</v>
      </c>
      <c r="E2771" s="2" t="s">
        <v>1415</v>
      </c>
      <c r="F2771" s="2" t="s">
        <v>1416</v>
      </c>
      <c r="G2771" s="2"/>
      <c r="H2771" s="2"/>
      <c r="I2771" s="2"/>
      <c r="J2771" s="2"/>
    </row>
    <row r="2772" spans="1:10" x14ac:dyDescent="0.35">
      <c r="A2772" s="2" t="s">
        <v>1237</v>
      </c>
      <c r="B2772" s="2" t="s">
        <v>1407</v>
      </c>
      <c r="C2772" s="2" t="s">
        <v>24</v>
      </c>
      <c r="D2772" s="2" t="s">
        <v>1536</v>
      </c>
      <c r="E2772" s="2" t="s">
        <v>1226</v>
      </c>
      <c r="F2772" s="2" t="s">
        <v>107</v>
      </c>
      <c r="G2772" s="2"/>
      <c r="H2772" s="2"/>
      <c r="I2772" s="2"/>
      <c r="J2772" s="2"/>
    </row>
    <row r="2773" spans="1:10" x14ac:dyDescent="0.35">
      <c r="A2773" s="2" t="s">
        <v>1237</v>
      </c>
      <c r="B2773" s="2" t="s">
        <v>1407</v>
      </c>
      <c r="C2773" s="2" t="s">
        <v>24</v>
      </c>
      <c r="D2773" s="2" t="s">
        <v>1536</v>
      </c>
      <c r="E2773" s="2" t="s">
        <v>1228</v>
      </c>
      <c r="F2773" s="2" t="s">
        <v>228</v>
      </c>
      <c r="G2773" s="2"/>
      <c r="H2773" s="2"/>
      <c r="I2773" s="2"/>
      <c r="J2773" s="2"/>
    </row>
    <row r="2774" spans="1:10" x14ac:dyDescent="0.35">
      <c r="A2774" s="2" t="s">
        <v>1237</v>
      </c>
      <c r="B2774" s="2" t="s">
        <v>1407</v>
      </c>
      <c r="C2774" s="2" t="s">
        <v>24</v>
      </c>
      <c r="D2774" s="2" t="s">
        <v>1536</v>
      </c>
      <c r="E2774" s="2" t="s">
        <v>1342</v>
      </c>
      <c r="F2774" s="2" t="s">
        <v>1343</v>
      </c>
      <c r="G2774" s="2"/>
      <c r="H2774" s="2"/>
      <c r="I2774" s="2"/>
      <c r="J2774" s="2"/>
    </row>
    <row r="2775" spans="1:10" x14ac:dyDescent="0.35">
      <c r="A2775" s="2" t="s">
        <v>1237</v>
      </c>
      <c r="B2775" s="2" t="s">
        <v>1407</v>
      </c>
      <c r="C2775" s="2" t="s">
        <v>62</v>
      </c>
      <c r="D2775" s="2" t="s">
        <v>1537</v>
      </c>
      <c r="E2775" s="2" t="s">
        <v>317</v>
      </c>
      <c r="F2775" s="2" t="s">
        <v>318</v>
      </c>
      <c r="G2775" s="2"/>
      <c r="H2775" s="2"/>
      <c r="I2775" s="2"/>
      <c r="J2775" s="2"/>
    </row>
    <row r="2776" spans="1:10" x14ac:dyDescent="0.35">
      <c r="A2776" s="2" t="s">
        <v>1237</v>
      </c>
      <c r="B2776" s="2" t="s">
        <v>1407</v>
      </c>
      <c r="C2776" s="2" t="s">
        <v>62</v>
      </c>
      <c r="D2776" s="2" t="s">
        <v>1537</v>
      </c>
      <c r="E2776" s="2" t="s">
        <v>106</v>
      </c>
      <c r="F2776" s="2" t="s">
        <v>107</v>
      </c>
      <c r="G2776" s="2"/>
      <c r="H2776" s="2"/>
      <c r="I2776" s="2"/>
      <c r="J2776" s="2"/>
    </row>
    <row r="2777" spans="1:10" s="21" customFormat="1" x14ac:dyDescent="0.35">
      <c r="A2777" s="2" t="s">
        <v>1237</v>
      </c>
      <c r="B2777" s="2" t="s">
        <v>1407</v>
      </c>
      <c r="C2777" s="2" t="s">
        <v>62</v>
      </c>
      <c r="D2777" s="2" t="s">
        <v>1537</v>
      </c>
      <c r="E2777" s="2" t="s">
        <v>333</v>
      </c>
      <c r="F2777" s="2" t="s">
        <v>334</v>
      </c>
      <c r="G2777" s="2"/>
      <c r="H2777" s="2"/>
      <c r="I2777" s="2"/>
      <c r="J2777" s="2"/>
    </row>
    <row r="2778" spans="1:10" x14ac:dyDescent="0.35">
      <c r="A2778" s="2" t="s">
        <v>1237</v>
      </c>
      <c r="B2778" s="2" t="s">
        <v>1407</v>
      </c>
      <c r="C2778" s="2" t="s">
        <v>62</v>
      </c>
      <c r="D2778" s="2" t="s">
        <v>1538</v>
      </c>
      <c r="E2778" s="2" t="s">
        <v>317</v>
      </c>
      <c r="F2778" s="2" t="s">
        <v>318</v>
      </c>
      <c r="G2778" s="2"/>
      <c r="H2778" s="2"/>
      <c r="I2778" s="2"/>
      <c r="J2778" s="2"/>
    </row>
    <row r="2779" spans="1:10" x14ac:dyDescent="0.35">
      <c r="A2779" s="2" t="s">
        <v>1237</v>
      </c>
      <c r="B2779" s="2" t="s">
        <v>1407</v>
      </c>
      <c r="C2779" s="2" t="s">
        <v>62</v>
      </c>
      <c r="D2779" s="2" t="s">
        <v>1538</v>
      </c>
      <c r="E2779" s="2" t="s">
        <v>87</v>
      </c>
      <c r="F2779" s="2" t="s">
        <v>75</v>
      </c>
      <c r="G2779" s="2"/>
      <c r="H2779" s="2"/>
      <c r="I2779" s="2"/>
      <c r="J2779" s="2"/>
    </row>
    <row r="2780" spans="1:10" x14ac:dyDescent="0.35">
      <c r="A2780" s="2" t="s">
        <v>1237</v>
      </c>
      <c r="B2780" s="2" t="s">
        <v>1407</v>
      </c>
      <c r="C2780" s="2" t="s">
        <v>62</v>
      </c>
      <c r="D2780" s="2" t="s">
        <v>1538</v>
      </c>
      <c r="E2780" s="2" t="s">
        <v>1051</v>
      </c>
      <c r="F2780" s="2" t="s">
        <v>318</v>
      </c>
      <c r="G2780" s="2"/>
      <c r="H2780" s="2"/>
      <c r="I2780" s="2"/>
      <c r="J2780" s="2"/>
    </row>
    <row r="2781" spans="1:10" s="21" customFormat="1" x14ac:dyDescent="0.35">
      <c r="A2781" s="2" t="s">
        <v>1237</v>
      </c>
      <c r="B2781" s="2" t="s">
        <v>1407</v>
      </c>
      <c r="C2781" s="2" t="s">
        <v>62</v>
      </c>
      <c r="D2781" s="2" t="s">
        <v>1538</v>
      </c>
      <c r="E2781" s="2" t="s">
        <v>333</v>
      </c>
      <c r="F2781" s="2" t="s">
        <v>334</v>
      </c>
      <c r="G2781" s="2"/>
      <c r="H2781" s="2"/>
      <c r="I2781" s="2"/>
      <c r="J2781" s="2"/>
    </row>
    <row r="2782" spans="1:10" x14ac:dyDescent="0.35">
      <c r="A2782" s="2" t="s">
        <v>1237</v>
      </c>
      <c r="B2782" s="2" t="s">
        <v>1407</v>
      </c>
      <c r="C2782" s="2" t="s">
        <v>62</v>
      </c>
      <c r="D2782" s="2" t="s">
        <v>1539</v>
      </c>
      <c r="E2782" s="2" t="s">
        <v>317</v>
      </c>
      <c r="F2782" s="2" t="s">
        <v>318</v>
      </c>
      <c r="G2782" s="2"/>
      <c r="H2782" s="2"/>
      <c r="I2782" s="2"/>
      <c r="J2782" s="2"/>
    </row>
    <row r="2783" spans="1:10" s="21" customFormat="1" x14ac:dyDescent="0.35">
      <c r="A2783" s="2" t="s">
        <v>1237</v>
      </c>
      <c r="B2783" s="2" t="s">
        <v>1407</v>
      </c>
      <c r="C2783" s="2" t="s">
        <v>62</v>
      </c>
      <c r="D2783" s="2" t="s">
        <v>1539</v>
      </c>
      <c r="E2783" s="2" t="s">
        <v>333</v>
      </c>
      <c r="F2783" s="2" t="s">
        <v>334</v>
      </c>
      <c r="G2783" s="2"/>
      <c r="H2783" s="2"/>
      <c r="I2783" s="2"/>
      <c r="J2783" s="2"/>
    </row>
    <row r="2784" spans="1:10" x14ac:dyDescent="0.35">
      <c r="A2784" s="2" t="s">
        <v>1237</v>
      </c>
      <c r="B2784" s="2" t="s">
        <v>1407</v>
      </c>
      <c r="C2784" s="2" t="s">
        <v>62</v>
      </c>
      <c r="D2784" s="2" t="s">
        <v>1540</v>
      </c>
      <c r="E2784" s="2" t="s">
        <v>1226</v>
      </c>
      <c r="F2784" s="2" t="s">
        <v>107</v>
      </c>
      <c r="G2784" s="2" t="s">
        <v>20</v>
      </c>
      <c r="H2784" s="2" t="s">
        <v>1541</v>
      </c>
      <c r="I2784" s="2"/>
      <c r="J2784" s="2"/>
    </row>
    <row r="2785" spans="1:10" x14ac:dyDescent="0.35">
      <c r="A2785" s="2" t="s">
        <v>1237</v>
      </c>
      <c r="B2785" s="2" t="s">
        <v>1407</v>
      </c>
      <c r="C2785" s="2" t="s">
        <v>62</v>
      </c>
      <c r="D2785" s="2" t="s">
        <v>1540</v>
      </c>
      <c r="E2785" s="2" t="s">
        <v>1228</v>
      </c>
      <c r="F2785" s="2" t="s">
        <v>228</v>
      </c>
      <c r="G2785" s="2" t="s">
        <v>20</v>
      </c>
      <c r="H2785" s="2" t="s">
        <v>1541</v>
      </c>
      <c r="I2785" s="2"/>
      <c r="J2785" s="2"/>
    </row>
    <row r="2786" spans="1:10" x14ac:dyDescent="0.35">
      <c r="A2786" s="2" t="s">
        <v>1237</v>
      </c>
      <c r="B2786" s="2" t="s">
        <v>1407</v>
      </c>
      <c r="C2786" s="2" t="s">
        <v>62</v>
      </c>
      <c r="D2786" s="2" t="s">
        <v>1542</v>
      </c>
      <c r="E2786" s="2" t="s">
        <v>317</v>
      </c>
      <c r="F2786" s="2" t="s">
        <v>318</v>
      </c>
      <c r="G2786" s="2"/>
      <c r="H2786" s="2"/>
      <c r="I2786" s="2"/>
      <c r="J2786" s="2"/>
    </row>
    <row r="2787" spans="1:10" x14ac:dyDescent="0.35">
      <c r="A2787" s="2" t="s">
        <v>1237</v>
      </c>
      <c r="B2787" s="2" t="s">
        <v>1407</v>
      </c>
      <c r="C2787" s="2" t="s">
        <v>62</v>
      </c>
      <c r="D2787" s="2" t="s">
        <v>1542</v>
      </c>
      <c r="E2787" s="2" t="s">
        <v>87</v>
      </c>
      <c r="F2787" s="2" t="s">
        <v>75</v>
      </c>
      <c r="G2787" s="2"/>
      <c r="H2787" s="2"/>
      <c r="I2787" s="2"/>
      <c r="J2787" s="2"/>
    </row>
    <row r="2788" spans="1:10" x14ac:dyDescent="0.35">
      <c r="A2788" s="2" t="s">
        <v>1237</v>
      </c>
      <c r="B2788" s="2" t="s">
        <v>1407</v>
      </c>
      <c r="C2788" s="2" t="s">
        <v>62</v>
      </c>
      <c r="D2788" s="2" t="s">
        <v>1542</v>
      </c>
      <c r="E2788" s="2" t="s">
        <v>1051</v>
      </c>
      <c r="F2788" s="2" t="s">
        <v>318</v>
      </c>
      <c r="G2788" s="2"/>
      <c r="H2788" s="2"/>
      <c r="I2788" s="2"/>
      <c r="J2788" s="2"/>
    </row>
    <row r="2789" spans="1:10" s="21" customFormat="1" x14ac:dyDescent="0.35">
      <c r="A2789" s="2" t="s">
        <v>1237</v>
      </c>
      <c r="B2789" s="2" t="s">
        <v>1407</v>
      </c>
      <c r="C2789" s="2" t="s">
        <v>62</v>
      </c>
      <c r="D2789" s="2" t="s">
        <v>1542</v>
      </c>
      <c r="E2789" s="2" t="s">
        <v>333</v>
      </c>
      <c r="F2789" s="2" t="s">
        <v>334</v>
      </c>
      <c r="G2789" s="2"/>
      <c r="H2789" s="2"/>
      <c r="I2789" s="2"/>
      <c r="J2789" s="2"/>
    </row>
    <row r="2790" spans="1:10" x14ac:dyDescent="0.35">
      <c r="A2790" s="2" t="s">
        <v>1237</v>
      </c>
      <c r="B2790" s="2" t="s">
        <v>1407</v>
      </c>
      <c r="C2790" s="2" t="s">
        <v>62</v>
      </c>
      <c r="D2790" s="2" t="s">
        <v>1543</v>
      </c>
      <c r="E2790" s="2" t="s">
        <v>317</v>
      </c>
      <c r="F2790" s="2" t="s">
        <v>318</v>
      </c>
      <c r="G2790" s="2"/>
      <c r="H2790" s="2"/>
      <c r="I2790" s="2"/>
      <c r="J2790" s="2"/>
    </row>
    <row r="2791" spans="1:10" x14ac:dyDescent="0.35">
      <c r="A2791" s="2" t="s">
        <v>1237</v>
      </c>
      <c r="B2791" s="2" t="s">
        <v>1407</v>
      </c>
      <c r="C2791" s="2" t="s">
        <v>62</v>
      </c>
      <c r="D2791" s="2" t="s">
        <v>1543</v>
      </c>
      <c r="E2791" s="2" t="s">
        <v>27</v>
      </c>
      <c r="F2791" s="2" t="s">
        <v>28</v>
      </c>
      <c r="G2791" s="2"/>
      <c r="H2791" s="2"/>
      <c r="I2791" s="2"/>
      <c r="J2791" s="2"/>
    </row>
    <row r="2792" spans="1:10" x14ac:dyDescent="0.35">
      <c r="A2792" s="2" t="s">
        <v>1237</v>
      </c>
      <c r="B2792" s="2" t="s">
        <v>1407</v>
      </c>
      <c r="C2792" s="2" t="s">
        <v>62</v>
      </c>
      <c r="D2792" s="2" t="s">
        <v>1543</v>
      </c>
      <c r="E2792" s="2" t="s">
        <v>319</v>
      </c>
      <c r="F2792" s="2" t="s">
        <v>320</v>
      </c>
      <c r="G2792" s="2"/>
      <c r="H2792" s="2"/>
      <c r="I2792" s="2"/>
      <c r="J2792" s="2"/>
    </row>
    <row r="2793" spans="1:10" x14ac:dyDescent="0.35">
      <c r="A2793" s="2" t="s">
        <v>1237</v>
      </c>
      <c r="B2793" s="2" t="s">
        <v>1407</v>
      </c>
      <c r="C2793" s="2" t="s">
        <v>62</v>
      </c>
      <c r="D2793" s="2" t="s">
        <v>1543</v>
      </c>
      <c r="E2793" s="2" t="s">
        <v>321</v>
      </c>
      <c r="F2793" s="2" t="s">
        <v>321</v>
      </c>
      <c r="G2793" s="2"/>
      <c r="H2793" s="2"/>
      <c r="I2793" s="2"/>
      <c r="J2793" s="2"/>
    </row>
    <row r="2794" spans="1:10" x14ac:dyDescent="0.35">
      <c r="A2794" s="2" t="s">
        <v>1237</v>
      </c>
      <c r="B2794" s="2" t="s">
        <v>1407</v>
      </c>
      <c r="C2794" s="2" t="s">
        <v>62</v>
      </c>
      <c r="D2794" s="2" t="s">
        <v>1543</v>
      </c>
      <c r="E2794" s="2" t="s">
        <v>322</v>
      </c>
      <c r="F2794" s="2" t="s">
        <v>246</v>
      </c>
      <c r="G2794" s="2"/>
      <c r="H2794" s="2"/>
      <c r="I2794" s="2"/>
      <c r="J2794" s="2"/>
    </row>
    <row r="2795" spans="1:10" x14ac:dyDescent="0.35">
      <c r="A2795" s="2" t="s">
        <v>1237</v>
      </c>
      <c r="B2795" s="2" t="s">
        <v>1407</v>
      </c>
      <c r="C2795" s="2" t="s">
        <v>62</v>
      </c>
      <c r="D2795" s="2" t="s">
        <v>1543</v>
      </c>
      <c r="E2795" s="2" t="s">
        <v>323</v>
      </c>
      <c r="F2795" s="2" t="s">
        <v>246</v>
      </c>
      <c r="G2795" s="2"/>
      <c r="H2795" s="2"/>
      <c r="I2795" s="2"/>
      <c r="J2795" s="2"/>
    </row>
    <row r="2796" spans="1:10" x14ac:dyDescent="0.35">
      <c r="A2796" s="2" t="s">
        <v>1237</v>
      </c>
      <c r="B2796" s="2" t="s">
        <v>1407</v>
      </c>
      <c r="C2796" s="2" t="s">
        <v>62</v>
      </c>
      <c r="D2796" s="2" t="s">
        <v>1543</v>
      </c>
      <c r="E2796" s="2" t="s">
        <v>324</v>
      </c>
      <c r="F2796" s="2" t="s">
        <v>246</v>
      </c>
      <c r="G2796" s="2"/>
      <c r="H2796" s="2"/>
      <c r="I2796" s="2"/>
      <c r="J2796" s="2"/>
    </row>
    <row r="2797" spans="1:10" x14ac:dyDescent="0.35">
      <c r="A2797" s="2" t="s">
        <v>1237</v>
      </c>
      <c r="B2797" s="2" t="s">
        <v>1407</v>
      </c>
      <c r="C2797" s="2" t="s">
        <v>62</v>
      </c>
      <c r="D2797" s="2" t="s">
        <v>1543</v>
      </c>
      <c r="E2797" s="2" t="s">
        <v>325</v>
      </c>
      <c r="F2797" s="2" t="s">
        <v>1413</v>
      </c>
      <c r="G2797" s="2"/>
      <c r="H2797" s="2"/>
      <c r="I2797" s="2"/>
      <c r="J2797" s="2"/>
    </row>
    <row r="2798" spans="1:10" x14ac:dyDescent="0.35">
      <c r="A2798" s="2" t="s">
        <v>1237</v>
      </c>
      <c r="B2798" s="2" t="s">
        <v>1407</v>
      </c>
      <c r="C2798" s="2" t="s">
        <v>62</v>
      </c>
      <c r="D2798" s="2" t="s">
        <v>1543</v>
      </c>
      <c r="E2798" s="2" t="s">
        <v>327</v>
      </c>
      <c r="F2798" s="2" t="s">
        <v>1544</v>
      </c>
      <c r="G2798" s="2"/>
      <c r="H2798" s="2"/>
      <c r="I2798" s="2"/>
      <c r="J2798" s="2"/>
    </row>
    <row r="2799" spans="1:10" x14ac:dyDescent="0.35">
      <c r="A2799" s="2" t="s">
        <v>1237</v>
      </c>
      <c r="B2799" s="2" t="s">
        <v>1407</v>
      </c>
      <c r="C2799" s="2" t="s">
        <v>62</v>
      </c>
      <c r="D2799" s="2" t="s">
        <v>1543</v>
      </c>
      <c r="E2799" s="2" t="s">
        <v>329</v>
      </c>
      <c r="F2799" s="2" t="s">
        <v>330</v>
      </c>
      <c r="G2799" s="2"/>
      <c r="H2799" s="2"/>
      <c r="I2799" s="2"/>
      <c r="J2799" s="2"/>
    </row>
    <row r="2800" spans="1:10" x14ac:dyDescent="0.35">
      <c r="A2800" s="2" t="s">
        <v>1237</v>
      </c>
      <c r="B2800" s="2" t="s">
        <v>1407</v>
      </c>
      <c r="C2800" s="2" t="s">
        <v>62</v>
      </c>
      <c r="D2800" s="2" t="s">
        <v>1543</v>
      </c>
      <c r="E2800" s="2" t="s">
        <v>331</v>
      </c>
      <c r="F2800" s="2" t="s">
        <v>332</v>
      </c>
      <c r="G2800" s="2"/>
      <c r="H2800" s="2"/>
      <c r="I2800" s="2"/>
      <c r="J2800" s="2"/>
    </row>
    <row r="2801" spans="1:10" x14ac:dyDescent="0.35">
      <c r="A2801" s="2" t="s">
        <v>1237</v>
      </c>
      <c r="B2801" s="2" t="s">
        <v>1407</v>
      </c>
      <c r="C2801" s="2" t="s">
        <v>62</v>
      </c>
      <c r="D2801" s="2" t="s">
        <v>1543</v>
      </c>
      <c r="E2801" s="2" t="s">
        <v>333</v>
      </c>
      <c r="F2801" s="2" t="s">
        <v>334</v>
      </c>
      <c r="G2801" s="2"/>
      <c r="H2801" s="2"/>
      <c r="I2801" s="2"/>
      <c r="J2801" s="2"/>
    </row>
    <row r="2802" spans="1:10" x14ac:dyDescent="0.35">
      <c r="A2802" s="2" t="s">
        <v>1237</v>
      </c>
      <c r="B2802" s="2" t="s">
        <v>1407</v>
      </c>
      <c r="C2802" s="2" t="s">
        <v>62</v>
      </c>
      <c r="D2802" s="2" t="s">
        <v>1543</v>
      </c>
      <c r="E2802" s="2" t="s">
        <v>335</v>
      </c>
      <c r="F2802" s="2" t="s">
        <v>336</v>
      </c>
      <c r="G2802" s="2"/>
      <c r="H2802" s="2"/>
      <c r="I2802" s="2"/>
      <c r="J2802" s="2"/>
    </row>
    <row r="2803" spans="1:10" x14ac:dyDescent="0.35">
      <c r="A2803" s="2" t="s">
        <v>1237</v>
      </c>
      <c r="B2803" s="2" t="s">
        <v>1407</v>
      </c>
      <c r="C2803" s="2" t="s">
        <v>62</v>
      </c>
      <c r="D2803" s="2" t="s">
        <v>1543</v>
      </c>
      <c r="E2803" s="2" t="s">
        <v>337</v>
      </c>
      <c r="F2803" s="2" t="s">
        <v>338</v>
      </c>
      <c r="G2803" s="2"/>
      <c r="H2803" s="2"/>
      <c r="I2803" s="2"/>
      <c r="J2803" s="2"/>
    </row>
    <row r="2804" spans="1:10" x14ac:dyDescent="0.35">
      <c r="A2804" s="2" t="s">
        <v>1237</v>
      </c>
      <c r="B2804" s="2" t="s">
        <v>1407</v>
      </c>
      <c r="C2804" s="2" t="s">
        <v>62</v>
      </c>
      <c r="D2804" s="2" t="s">
        <v>1543</v>
      </c>
      <c r="E2804" s="2" t="s">
        <v>339</v>
      </c>
      <c r="F2804" s="2" t="s">
        <v>340</v>
      </c>
      <c r="G2804" s="2"/>
      <c r="H2804" s="2"/>
      <c r="I2804" s="2"/>
      <c r="J2804" s="2"/>
    </row>
    <row r="2805" spans="1:10" x14ac:dyDescent="0.35">
      <c r="A2805" s="2" t="s">
        <v>1237</v>
      </c>
      <c r="B2805" s="2" t="s">
        <v>1407</v>
      </c>
      <c r="C2805" s="2" t="s">
        <v>62</v>
      </c>
      <c r="D2805" s="2" t="s">
        <v>1543</v>
      </c>
      <c r="E2805" s="2" t="s">
        <v>341</v>
      </c>
      <c r="F2805" s="2" t="s">
        <v>342</v>
      </c>
      <c r="G2805" s="2"/>
      <c r="H2805" s="2"/>
      <c r="I2805" s="2"/>
      <c r="J2805" s="2"/>
    </row>
    <row r="2806" spans="1:10" x14ac:dyDescent="0.35">
      <c r="A2806" s="2" t="s">
        <v>1237</v>
      </c>
      <c r="B2806" s="2" t="s">
        <v>1407</v>
      </c>
      <c r="C2806" s="2" t="s">
        <v>62</v>
      </c>
      <c r="D2806" s="2" t="s">
        <v>1543</v>
      </c>
      <c r="E2806" s="2" t="s">
        <v>343</v>
      </c>
      <c r="F2806" s="2" t="s">
        <v>344</v>
      </c>
      <c r="G2806" s="2"/>
      <c r="H2806" s="2"/>
      <c r="I2806" s="2"/>
      <c r="J2806" s="2"/>
    </row>
    <row r="2807" spans="1:10" x14ac:dyDescent="0.35">
      <c r="A2807" s="2" t="s">
        <v>1237</v>
      </c>
      <c r="B2807" s="2" t="s">
        <v>1407</v>
      </c>
      <c r="C2807" s="2" t="s">
        <v>62</v>
      </c>
      <c r="D2807" s="2" t="s">
        <v>1543</v>
      </c>
      <c r="E2807" s="2" t="s">
        <v>345</v>
      </c>
      <c r="F2807" s="2" t="s">
        <v>346</v>
      </c>
      <c r="G2807" s="2"/>
      <c r="H2807" s="2"/>
      <c r="I2807" s="2"/>
      <c r="J2807" s="2"/>
    </row>
    <row r="2808" spans="1:10" x14ac:dyDescent="0.35">
      <c r="A2808" s="2" t="s">
        <v>1237</v>
      </c>
      <c r="B2808" s="2" t="s">
        <v>1407</v>
      </c>
      <c r="C2808" s="2" t="s">
        <v>62</v>
      </c>
      <c r="D2808" s="2" t="s">
        <v>1545</v>
      </c>
      <c r="E2808" s="2" t="s">
        <v>317</v>
      </c>
      <c r="F2808" s="2" t="s">
        <v>318</v>
      </c>
      <c r="G2808" s="2"/>
      <c r="H2808" s="2"/>
      <c r="I2808" s="2"/>
      <c r="J2808" s="2"/>
    </row>
    <row r="2809" spans="1:10" s="21" customFormat="1" x14ac:dyDescent="0.35">
      <c r="A2809" s="2" t="s">
        <v>1237</v>
      </c>
      <c r="B2809" s="2" t="s">
        <v>1407</v>
      </c>
      <c r="C2809" s="2" t="s">
        <v>62</v>
      </c>
      <c r="D2809" s="2" t="s">
        <v>1545</v>
      </c>
      <c r="E2809" s="2" t="s">
        <v>87</v>
      </c>
      <c r="F2809" s="2" t="s">
        <v>75</v>
      </c>
      <c r="G2809" s="2"/>
      <c r="H2809" s="2"/>
      <c r="I2809" s="2"/>
      <c r="J2809" s="2"/>
    </row>
    <row r="2810" spans="1:10" x14ac:dyDescent="0.35">
      <c r="A2810" s="2" t="s">
        <v>1237</v>
      </c>
      <c r="B2810" s="2" t="s">
        <v>1407</v>
      </c>
      <c r="C2810" s="2" t="s">
        <v>62</v>
      </c>
      <c r="D2810" s="2" t="s">
        <v>1545</v>
      </c>
      <c r="E2810" s="2" t="s">
        <v>1051</v>
      </c>
      <c r="F2810" s="2" t="s">
        <v>318</v>
      </c>
      <c r="G2810" s="2"/>
      <c r="H2810" s="2"/>
      <c r="I2810" s="2"/>
      <c r="J2810" s="2"/>
    </row>
    <row r="2811" spans="1:10" s="21" customFormat="1" x14ac:dyDescent="0.35">
      <c r="A2811" s="2" t="s">
        <v>1237</v>
      </c>
      <c r="B2811" s="2" t="s">
        <v>1407</v>
      </c>
      <c r="C2811" s="2" t="s">
        <v>62</v>
      </c>
      <c r="D2811" s="2" t="s">
        <v>1545</v>
      </c>
      <c r="E2811" s="2" t="s">
        <v>333</v>
      </c>
      <c r="F2811" s="2" t="s">
        <v>334</v>
      </c>
      <c r="G2811" s="2"/>
      <c r="H2811" s="2"/>
      <c r="I2811" s="2"/>
      <c r="J2811" s="2"/>
    </row>
    <row r="2812" spans="1:10" x14ac:dyDescent="0.35">
      <c r="A2812" s="2" t="s">
        <v>1237</v>
      </c>
      <c r="B2812" s="2" t="s">
        <v>1407</v>
      </c>
      <c r="C2812" s="2" t="s">
        <v>62</v>
      </c>
      <c r="D2812" s="2" t="s">
        <v>1546</v>
      </c>
      <c r="E2812" s="2" t="s">
        <v>1443</v>
      </c>
      <c r="F2812" s="2" t="s">
        <v>75</v>
      </c>
      <c r="G2812" s="2"/>
      <c r="H2812" s="2"/>
      <c r="I2812" s="2"/>
      <c r="J2812" s="2"/>
    </row>
    <row r="2813" spans="1:10" x14ac:dyDescent="0.35">
      <c r="A2813" s="2" t="s">
        <v>1237</v>
      </c>
      <c r="B2813" s="2" t="s">
        <v>1407</v>
      </c>
      <c r="C2813" s="2" t="s">
        <v>62</v>
      </c>
      <c r="D2813" s="2" t="s">
        <v>1547</v>
      </c>
      <c r="E2813" s="2" t="s">
        <v>317</v>
      </c>
      <c r="F2813" s="2" t="s">
        <v>318</v>
      </c>
      <c r="G2813" s="2"/>
      <c r="H2813" s="2"/>
      <c r="I2813" s="2"/>
      <c r="J2813" s="2"/>
    </row>
    <row r="2814" spans="1:10" x14ac:dyDescent="0.35">
      <c r="A2814" s="2" t="s">
        <v>1237</v>
      </c>
      <c r="B2814" s="2" t="s">
        <v>1407</v>
      </c>
      <c r="C2814" s="2" t="s">
        <v>62</v>
      </c>
      <c r="D2814" s="2" t="s">
        <v>1547</v>
      </c>
      <c r="E2814" s="2" t="s">
        <v>87</v>
      </c>
      <c r="F2814" s="2" t="s">
        <v>75</v>
      </c>
      <c r="G2814" s="2"/>
      <c r="H2814" s="2"/>
      <c r="I2814" s="2"/>
      <c r="J2814" s="2"/>
    </row>
    <row r="2815" spans="1:10" x14ac:dyDescent="0.35">
      <c r="A2815" s="2" t="s">
        <v>1237</v>
      </c>
      <c r="B2815" s="2" t="s">
        <v>1407</v>
      </c>
      <c r="C2815" s="2" t="s">
        <v>62</v>
      </c>
      <c r="D2815" s="2" t="s">
        <v>1547</v>
      </c>
      <c r="E2815" s="2" t="s">
        <v>1051</v>
      </c>
      <c r="F2815" s="2" t="s">
        <v>318</v>
      </c>
      <c r="G2815" s="2"/>
      <c r="H2815" s="2"/>
      <c r="I2815" s="2"/>
      <c r="J2815" s="2"/>
    </row>
    <row r="2816" spans="1:10" s="21" customFormat="1" x14ac:dyDescent="0.35">
      <c r="A2816" s="2" t="s">
        <v>1237</v>
      </c>
      <c r="B2816" s="2" t="s">
        <v>1407</v>
      </c>
      <c r="C2816" s="2" t="s">
        <v>62</v>
      </c>
      <c r="D2816" s="2" t="s">
        <v>1547</v>
      </c>
      <c r="E2816" s="2" t="s">
        <v>333</v>
      </c>
      <c r="F2816" s="2" t="s">
        <v>334</v>
      </c>
      <c r="G2816" s="2"/>
      <c r="H2816" s="2"/>
      <c r="I2816" s="2"/>
      <c r="J2816" s="2"/>
    </row>
    <row r="2817" spans="1:10" x14ac:dyDescent="0.35">
      <c r="A2817" s="2" t="s">
        <v>1237</v>
      </c>
      <c r="B2817" s="2" t="s">
        <v>1407</v>
      </c>
      <c r="C2817" s="2" t="s">
        <v>62</v>
      </c>
      <c r="D2817" s="2" t="s">
        <v>1548</v>
      </c>
      <c r="E2817" s="2" t="s">
        <v>196</v>
      </c>
      <c r="F2817" s="2" t="s">
        <v>197</v>
      </c>
      <c r="G2817" s="2"/>
      <c r="H2817" s="2"/>
      <c r="I2817" s="2"/>
      <c r="J2817" s="2"/>
    </row>
    <row r="2818" spans="1:10" x14ac:dyDescent="0.35">
      <c r="A2818" s="2" t="s">
        <v>1237</v>
      </c>
      <c r="B2818" s="2" t="s">
        <v>1407</v>
      </c>
      <c r="C2818" s="2" t="s">
        <v>62</v>
      </c>
      <c r="D2818" s="2" t="s">
        <v>1548</v>
      </c>
      <c r="E2818" s="2" t="s">
        <v>317</v>
      </c>
      <c r="F2818" s="2" t="s">
        <v>318</v>
      </c>
      <c r="G2818" s="2"/>
      <c r="H2818" s="2"/>
      <c r="I2818" s="2"/>
      <c r="J2818" s="2"/>
    </row>
    <row r="2819" spans="1:10" x14ac:dyDescent="0.35">
      <c r="A2819" s="2" t="s">
        <v>1237</v>
      </c>
      <c r="B2819" s="2" t="s">
        <v>1407</v>
      </c>
      <c r="C2819" s="2" t="s">
        <v>62</v>
      </c>
      <c r="D2819" s="2" t="s">
        <v>1548</v>
      </c>
      <c r="E2819" s="2" t="s">
        <v>327</v>
      </c>
      <c r="F2819" s="2" t="s">
        <v>328</v>
      </c>
      <c r="G2819" s="2"/>
      <c r="H2819" s="2"/>
      <c r="I2819" s="2"/>
      <c r="J2819" s="2"/>
    </row>
    <row r="2820" spans="1:10" s="21" customFormat="1" x14ac:dyDescent="0.35">
      <c r="A2820" s="2" t="s">
        <v>1237</v>
      </c>
      <c r="B2820" s="2" t="s">
        <v>1407</v>
      </c>
      <c r="C2820" s="2" t="s">
        <v>62</v>
      </c>
      <c r="D2820" s="2" t="s">
        <v>1548</v>
      </c>
      <c r="E2820" s="2" t="s">
        <v>333</v>
      </c>
      <c r="F2820" s="2" t="s">
        <v>334</v>
      </c>
      <c r="G2820" s="2"/>
      <c r="H2820" s="2"/>
      <c r="I2820" s="2"/>
      <c r="J2820" s="2"/>
    </row>
    <row r="2821" spans="1:10" x14ac:dyDescent="0.35">
      <c r="A2821" s="2" t="s">
        <v>1237</v>
      </c>
      <c r="B2821" s="2" t="s">
        <v>1407</v>
      </c>
      <c r="C2821" s="2" t="s">
        <v>62</v>
      </c>
      <c r="D2821" s="2" t="s">
        <v>1548</v>
      </c>
      <c r="E2821" s="2" t="s">
        <v>1297</v>
      </c>
      <c r="F2821" s="2" t="s">
        <v>533</v>
      </c>
      <c r="G2821" s="2"/>
      <c r="H2821" s="2"/>
      <c r="I2821" s="2"/>
      <c r="J2821" s="2"/>
    </row>
    <row r="2822" spans="1:10" s="21" customFormat="1" x14ac:dyDescent="0.35">
      <c r="A2822" s="2" t="s">
        <v>1237</v>
      </c>
      <c r="B2822" s="2" t="s">
        <v>1407</v>
      </c>
      <c r="C2822" s="2" t="s">
        <v>24</v>
      </c>
      <c r="D2822" s="2" t="s">
        <v>1549</v>
      </c>
      <c r="E2822" s="2" t="s">
        <v>98</v>
      </c>
      <c r="F2822" s="2" t="s">
        <v>98</v>
      </c>
      <c r="G2822" s="2" t="s">
        <v>20</v>
      </c>
      <c r="H2822" s="2" t="s">
        <v>1550</v>
      </c>
      <c r="I2822" s="2"/>
      <c r="J2822" s="2"/>
    </row>
    <row r="2823" spans="1:10" s="21" customFormat="1" x14ac:dyDescent="0.35">
      <c r="A2823" s="2" t="s">
        <v>1237</v>
      </c>
      <c r="B2823" s="2" t="s">
        <v>1407</v>
      </c>
      <c r="C2823" s="2" t="s">
        <v>24</v>
      </c>
      <c r="D2823" s="2" t="s">
        <v>1549</v>
      </c>
      <c r="E2823" s="2" t="s">
        <v>1456</v>
      </c>
      <c r="F2823" s="2" t="s">
        <v>363</v>
      </c>
      <c r="I2823" s="2"/>
      <c r="J2823" s="2"/>
    </row>
    <row r="2824" spans="1:10" x14ac:dyDescent="0.35">
      <c r="A2824" s="2" t="s">
        <v>1237</v>
      </c>
      <c r="B2824" s="2" t="s">
        <v>1407</v>
      </c>
      <c r="C2824" s="2" t="s">
        <v>54</v>
      </c>
      <c r="D2824" s="2" t="s">
        <v>1551</v>
      </c>
      <c r="E2824" s="2" t="s">
        <v>196</v>
      </c>
      <c r="F2824" s="2" t="s">
        <v>197</v>
      </c>
      <c r="G2824" s="2"/>
      <c r="H2824" s="2"/>
      <c r="I2824" s="2"/>
      <c r="J2824" s="2"/>
    </row>
    <row r="2825" spans="1:10" x14ac:dyDescent="0.35">
      <c r="A2825" s="2" t="s">
        <v>1237</v>
      </c>
      <c r="B2825" s="2" t="s">
        <v>1407</v>
      </c>
      <c r="C2825" s="2" t="s">
        <v>54</v>
      </c>
      <c r="D2825" s="2" t="s">
        <v>1551</v>
      </c>
      <c r="E2825" s="2" t="s">
        <v>74</v>
      </c>
      <c r="F2825" s="2" t="s">
        <v>75</v>
      </c>
      <c r="G2825" s="2"/>
      <c r="H2825" s="2"/>
      <c r="I2825" s="2"/>
      <c r="J2825" s="2"/>
    </row>
    <row r="2826" spans="1:10" x14ac:dyDescent="0.35">
      <c r="A2826" s="2" t="s">
        <v>1237</v>
      </c>
      <c r="B2826" s="2" t="s">
        <v>1407</v>
      </c>
      <c r="C2826" s="2" t="s">
        <v>54</v>
      </c>
      <c r="D2826" s="2" t="s">
        <v>1551</v>
      </c>
      <c r="E2826" s="2" t="s">
        <v>144</v>
      </c>
      <c r="F2826" s="2" t="s">
        <v>50</v>
      </c>
      <c r="G2826" s="2"/>
      <c r="H2826" s="2"/>
      <c r="I2826" s="2"/>
      <c r="J2826" s="2"/>
    </row>
    <row r="2827" spans="1:10" x14ac:dyDescent="0.35">
      <c r="A2827" s="2" t="s">
        <v>1237</v>
      </c>
      <c r="B2827" s="2" t="s">
        <v>1407</v>
      </c>
      <c r="C2827" s="2" t="s">
        <v>54</v>
      </c>
      <c r="D2827" s="2" t="s">
        <v>1551</v>
      </c>
      <c r="E2827" s="2" t="s">
        <v>1226</v>
      </c>
      <c r="F2827" s="2" t="s">
        <v>107</v>
      </c>
      <c r="G2827" s="2"/>
      <c r="H2827" s="2"/>
      <c r="I2827" s="2"/>
      <c r="J2827" s="2"/>
    </row>
    <row r="2828" spans="1:10" x14ac:dyDescent="0.35">
      <c r="A2828" s="2" t="s">
        <v>1237</v>
      </c>
      <c r="B2828" s="2" t="s">
        <v>1407</v>
      </c>
      <c r="C2828" s="2" t="s">
        <v>54</v>
      </c>
      <c r="D2828" s="2" t="s">
        <v>1551</v>
      </c>
      <c r="E2828" s="2" t="s">
        <v>1552</v>
      </c>
      <c r="F2828" s="2" t="s">
        <v>122</v>
      </c>
      <c r="G2828" s="2"/>
      <c r="H2828" s="2"/>
      <c r="I2828" s="2"/>
      <c r="J2828" s="2"/>
    </row>
    <row r="2829" spans="1:10" x14ac:dyDescent="0.35">
      <c r="A2829" s="2" t="s">
        <v>1237</v>
      </c>
      <c r="B2829" s="2" t="s">
        <v>1407</v>
      </c>
      <c r="C2829" s="2" t="s">
        <v>54</v>
      </c>
      <c r="D2829" s="2" t="s">
        <v>1551</v>
      </c>
      <c r="E2829" s="2" t="s">
        <v>38</v>
      </c>
      <c r="F2829" s="2" t="s">
        <v>38</v>
      </c>
      <c r="G2829" s="2"/>
      <c r="H2829" s="2"/>
      <c r="I2829" s="2"/>
      <c r="J2829" s="2"/>
    </row>
    <row r="2830" spans="1:10" x14ac:dyDescent="0.35">
      <c r="A2830" s="2" t="s">
        <v>1237</v>
      </c>
      <c r="B2830" s="2" t="s">
        <v>1407</v>
      </c>
      <c r="C2830" s="2" t="s">
        <v>54</v>
      </c>
      <c r="D2830" s="2" t="s">
        <v>1551</v>
      </c>
      <c r="E2830" s="2" t="s">
        <v>91</v>
      </c>
      <c r="F2830" s="2" t="s">
        <v>19</v>
      </c>
      <c r="G2830" s="2" t="s">
        <v>20</v>
      </c>
      <c r="H2830" s="2" t="s">
        <v>1553</v>
      </c>
      <c r="I2830" s="2"/>
      <c r="J2830" s="2"/>
    </row>
    <row r="2831" spans="1:10" x14ac:dyDescent="0.35">
      <c r="A2831" s="2" t="s">
        <v>1237</v>
      </c>
      <c r="B2831" s="2" t="s">
        <v>1407</v>
      </c>
      <c r="C2831" s="2" t="s">
        <v>54</v>
      </c>
      <c r="D2831" s="2" t="s">
        <v>1551</v>
      </c>
      <c r="E2831" s="2" t="s">
        <v>87</v>
      </c>
      <c r="F2831" s="2" t="s">
        <v>75</v>
      </c>
      <c r="G2831" s="2" t="s">
        <v>20</v>
      </c>
      <c r="H2831" s="2" t="s">
        <v>1553</v>
      </c>
      <c r="I2831" s="2"/>
      <c r="J2831" s="2"/>
    </row>
    <row r="2832" spans="1:10" x14ac:dyDescent="0.35">
      <c r="A2832" s="2" t="s">
        <v>1237</v>
      </c>
      <c r="B2832" s="2" t="s">
        <v>1407</v>
      </c>
      <c r="C2832" s="2" t="s">
        <v>54</v>
      </c>
      <c r="D2832" s="2" t="s">
        <v>1551</v>
      </c>
      <c r="E2832" s="2" t="s">
        <v>1228</v>
      </c>
      <c r="F2832" s="2" t="s">
        <v>228</v>
      </c>
      <c r="G2832" s="2"/>
      <c r="H2832" s="2"/>
      <c r="I2832" s="2"/>
      <c r="J2832" s="2"/>
    </row>
    <row r="2833" spans="1:10" x14ac:dyDescent="0.35">
      <c r="A2833" s="2" t="s">
        <v>1237</v>
      </c>
      <c r="B2833" s="2" t="s">
        <v>1407</v>
      </c>
      <c r="C2833" s="2" t="s">
        <v>54</v>
      </c>
      <c r="D2833" s="2" t="s">
        <v>1551</v>
      </c>
      <c r="E2833" s="2" t="s">
        <v>100</v>
      </c>
      <c r="F2833" s="2" t="s">
        <v>101</v>
      </c>
      <c r="G2833" s="2"/>
      <c r="H2833" s="2"/>
      <c r="I2833" s="2"/>
      <c r="J2833" s="2"/>
    </row>
    <row r="2834" spans="1:10" s="21" customFormat="1" x14ac:dyDescent="0.35">
      <c r="A2834" s="2" t="s">
        <v>1237</v>
      </c>
      <c r="B2834" s="2" t="s">
        <v>1407</v>
      </c>
      <c r="C2834" s="2" t="s">
        <v>12</v>
      </c>
      <c r="D2834" s="2" t="s">
        <v>1554</v>
      </c>
      <c r="E2834" s="2" t="s">
        <v>14</v>
      </c>
      <c r="F2834" s="2" t="s">
        <v>15</v>
      </c>
      <c r="G2834" s="2"/>
      <c r="H2834" s="2"/>
      <c r="I2834" s="2"/>
      <c r="J2834" s="2"/>
    </row>
    <row r="2835" spans="1:10" s="21" customFormat="1" x14ac:dyDescent="0.35">
      <c r="A2835" s="2" t="s">
        <v>1237</v>
      </c>
      <c r="B2835" s="2" t="s">
        <v>1407</v>
      </c>
      <c r="C2835" s="2" t="s">
        <v>12</v>
      </c>
      <c r="D2835" s="2" t="s">
        <v>1554</v>
      </c>
      <c r="E2835" s="2" t="s">
        <v>198</v>
      </c>
      <c r="F2835" s="2" t="s">
        <v>65</v>
      </c>
      <c r="G2835" s="2"/>
      <c r="H2835" s="2"/>
      <c r="I2835" s="2"/>
      <c r="J2835" s="2"/>
    </row>
    <row r="2836" spans="1:10" s="21" customFormat="1" x14ac:dyDescent="0.35">
      <c r="A2836" s="2" t="s">
        <v>1237</v>
      </c>
      <c r="B2836" s="2" t="s">
        <v>1407</v>
      </c>
      <c r="C2836" s="2" t="s">
        <v>12</v>
      </c>
      <c r="D2836" s="2" t="s">
        <v>1554</v>
      </c>
      <c r="E2836" s="2" t="s">
        <v>91</v>
      </c>
      <c r="F2836" s="2" t="s">
        <v>19</v>
      </c>
      <c r="G2836" s="2" t="s">
        <v>20</v>
      </c>
      <c r="H2836" s="2" t="s">
        <v>1555</v>
      </c>
      <c r="I2836" s="2"/>
      <c r="J2836" s="2"/>
    </row>
    <row r="2837" spans="1:10" x14ac:dyDescent="0.35">
      <c r="A2837" s="2" t="s">
        <v>1237</v>
      </c>
      <c r="B2837" s="2" t="s">
        <v>1407</v>
      </c>
      <c r="C2837" s="2" t="s">
        <v>62</v>
      </c>
      <c r="D2837" s="2" t="s">
        <v>1556</v>
      </c>
      <c r="E2837" s="2" t="s">
        <v>319</v>
      </c>
      <c r="F2837" s="2" t="s">
        <v>320</v>
      </c>
      <c r="G2837" s="2"/>
      <c r="H2837" s="2"/>
      <c r="I2837" s="2"/>
      <c r="J2837" s="2"/>
    </row>
    <row r="2838" spans="1:10" x14ac:dyDescent="0.35">
      <c r="A2838" s="2" t="s">
        <v>1237</v>
      </c>
      <c r="B2838" s="2" t="s">
        <v>1407</v>
      </c>
      <c r="C2838" s="2" t="s">
        <v>62</v>
      </c>
      <c r="D2838" s="2" t="s">
        <v>1556</v>
      </c>
      <c r="E2838" s="2" t="s">
        <v>321</v>
      </c>
      <c r="F2838" s="2" t="s">
        <v>321</v>
      </c>
      <c r="G2838" s="2"/>
      <c r="H2838" s="2"/>
      <c r="I2838" s="2"/>
      <c r="J2838" s="2"/>
    </row>
    <row r="2839" spans="1:10" x14ac:dyDescent="0.35">
      <c r="A2839" s="2" t="s">
        <v>1237</v>
      </c>
      <c r="B2839" s="2" t="s">
        <v>1407</v>
      </c>
      <c r="C2839" s="2" t="s">
        <v>62</v>
      </c>
      <c r="D2839" s="2" t="s">
        <v>1556</v>
      </c>
      <c r="E2839" s="2" t="s">
        <v>322</v>
      </c>
      <c r="F2839" s="2" t="s">
        <v>246</v>
      </c>
      <c r="G2839" s="2"/>
      <c r="H2839" s="2"/>
      <c r="I2839" s="2"/>
      <c r="J2839" s="2"/>
    </row>
    <row r="2840" spans="1:10" x14ac:dyDescent="0.35">
      <c r="A2840" s="2" t="s">
        <v>1237</v>
      </c>
      <c r="B2840" s="2" t="s">
        <v>1407</v>
      </c>
      <c r="C2840" s="2" t="s">
        <v>62</v>
      </c>
      <c r="D2840" s="2" t="s">
        <v>1556</v>
      </c>
      <c r="E2840" s="2" t="s">
        <v>323</v>
      </c>
      <c r="F2840" s="2" t="s">
        <v>246</v>
      </c>
      <c r="G2840" s="2"/>
      <c r="H2840" s="2"/>
      <c r="I2840" s="2"/>
      <c r="J2840" s="2"/>
    </row>
    <row r="2841" spans="1:10" x14ac:dyDescent="0.35">
      <c r="A2841" s="2" t="s">
        <v>1237</v>
      </c>
      <c r="B2841" s="2" t="s">
        <v>1407</v>
      </c>
      <c r="C2841" s="2" t="s">
        <v>62</v>
      </c>
      <c r="D2841" s="2" t="s">
        <v>1556</v>
      </c>
      <c r="E2841" s="2" t="s">
        <v>324</v>
      </c>
      <c r="F2841" s="2" t="s">
        <v>246</v>
      </c>
      <c r="G2841" s="2"/>
      <c r="H2841" s="2"/>
      <c r="I2841" s="2"/>
      <c r="J2841" s="2"/>
    </row>
    <row r="2842" spans="1:10" x14ac:dyDescent="0.35">
      <c r="A2842" s="2" t="s">
        <v>1237</v>
      </c>
      <c r="B2842" s="2" t="s">
        <v>1407</v>
      </c>
      <c r="C2842" s="2" t="s">
        <v>62</v>
      </c>
      <c r="D2842" s="2" t="s">
        <v>1556</v>
      </c>
      <c r="E2842" s="2" t="s">
        <v>325</v>
      </c>
      <c r="F2842" s="2" t="s">
        <v>1413</v>
      </c>
      <c r="G2842" s="2"/>
      <c r="H2842" s="2"/>
      <c r="I2842" s="2"/>
      <c r="J2842" s="2"/>
    </row>
    <row r="2843" spans="1:10" x14ac:dyDescent="0.35">
      <c r="A2843" s="2" t="s">
        <v>1237</v>
      </c>
      <c r="B2843" s="2" t="s">
        <v>1407</v>
      </c>
      <c r="C2843" s="2" t="s">
        <v>62</v>
      </c>
      <c r="D2843" s="2" t="s">
        <v>1556</v>
      </c>
      <c r="E2843" s="2" t="s">
        <v>327</v>
      </c>
      <c r="F2843" s="2" t="s">
        <v>328</v>
      </c>
      <c r="G2843" s="2"/>
      <c r="H2843" s="2"/>
      <c r="I2843" s="2"/>
      <c r="J2843" s="2"/>
    </row>
    <row r="2844" spans="1:10" x14ac:dyDescent="0.35">
      <c r="A2844" s="2" t="s">
        <v>1237</v>
      </c>
      <c r="B2844" s="2" t="s">
        <v>1407</v>
      </c>
      <c r="C2844" s="2" t="s">
        <v>62</v>
      </c>
      <c r="D2844" s="2" t="s">
        <v>1556</v>
      </c>
      <c r="E2844" s="2" t="s">
        <v>329</v>
      </c>
      <c r="F2844" s="2" t="s">
        <v>330</v>
      </c>
      <c r="G2844" s="2"/>
      <c r="H2844" s="2"/>
      <c r="I2844" s="2"/>
      <c r="J2844" s="2"/>
    </row>
    <row r="2845" spans="1:10" x14ac:dyDescent="0.35">
      <c r="A2845" s="2" t="s">
        <v>1237</v>
      </c>
      <c r="B2845" s="2" t="s">
        <v>1407</v>
      </c>
      <c r="C2845" s="2" t="s">
        <v>62</v>
      </c>
      <c r="D2845" s="2" t="s">
        <v>1556</v>
      </c>
      <c r="E2845" s="2" t="s">
        <v>331</v>
      </c>
      <c r="F2845" s="2" t="s">
        <v>332</v>
      </c>
      <c r="G2845" s="2"/>
      <c r="H2845" s="2"/>
      <c r="I2845" s="2"/>
      <c r="J2845" s="2"/>
    </row>
    <row r="2846" spans="1:10" x14ac:dyDescent="0.35">
      <c r="A2846" s="2" t="s">
        <v>1237</v>
      </c>
      <c r="B2846" s="2" t="s">
        <v>1407</v>
      </c>
      <c r="C2846" s="2" t="s">
        <v>62</v>
      </c>
      <c r="D2846" s="2" t="s">
        <v>1556</v>
      </c>
      <c r="E2846" s="2" t="s">
        <v>333</v>
      </c>
      <c r="F2846" s="2" t="s">
        <v>334</v>
      </c>
      <c r="G2846" s="2"/>
      <c r="H2846" s="2"/>
      <c r="I2846" s="2"/>
      <c r="J2846" s="2"/>
    </row>
    <row r="2847" spans="1:10" x14ac:dyDescent="0.35">
      <c r="A2847" s="2" t="s">
        <v>1237</v>
      </c>
      <c r="B2847" s="2" t="s">
        <v>1407</v>
      </c>
      <c r="C2847" s="2" t="s">
        <v>62</v>
      </c>
      <c r="D2847" s="2" t="s">
        <v>1556</v>
      </c>
      <c r="E2847" s="2" t="s">
        <v>1297</v>
      </c>
      <c r="F2847" s="2" t="s">
        <v>533</v>
      </c>
      <c r="G2847" s="2"/>
      <c r="H2847" s="2"/>
      <c r="I2847" s="2"/>
      <c r="J2847" s="2"/>
    </row>
    <row r="2848" spans="1:10" x14ac:dyDescent="0.35">
      <c r="A2848" s="2" t="s">
        <v>1237</v>
      </c>
      <c r="B2848" s="2" t="s">
        <v>1407</v>
      </c>
      <c r="C2848" s="2" t="s">
        <v>62</v>
      </c>
      <c r="D2848" s="2" t="s">
        <v>1556</v>
      </c>
      <c r="E2848" s="2" t="s">
        <v>335</v>
      </c>
      <c r="F2848" s="2" t="s">
        <v>336</v>
      </c>
      <c r="G2848" s="2"/>
      <c r="H2848" s="2"/>
      <c r="I2848" s="2"/>
      <c r="J2848" s="2"/>
    </row>
    <row r="2849" spans="1:10" x14ac:dyDescent="0.35">
      <c r="A2849" s="2" t="s">
        <v>1237</v>
      </c>
      <c r="B2849" s="2" t="s">
        <v>1407</v>
      </c>
      <c r="C2849" s="2" t="s">
        <v>62</v>
      </c>
      <c r="D2849" s="2" t="s">
        <v>1556</v>
      </c>
      <c r="E2849" s="2" t="s">
        <v>337</v>
      </c>
      <c r="F2849" s="2" t="s">
        <v>338</v>
      </c>
      <c r="G2849" s="2"/>
      <c r="H2849" s="2"/>
      <c r="I2849" s="2"/>
      <c r="J2849" s="2"/>
    </row>
    <row r="2850" spans="1:10" x14ac:dyDescent="0.35">
      <c r="A2850" s="2" t="s">
        <v>1237</v>
      </c>
      <c r="B2850" s="2" t="s">
        <v>1407</v>
      </c>
      <c r="C2850" s="2" t="s">
        <v>62</v>
      </c>
      <c r="D2850" s="2" t="s">
        <v>1556</v>
      </c>
      <c r="E2850" s="2" t="s">
        <v>339</v>
      </c>
      <c r="F2850" s="2" t="s">
        <v>340</v>
      </c>
      <c r="G2850" s="2"/>
      <c r="H2850" s="2"/>
      <c r="I2850" s="2"/>
      <c r="J2850" s="2"/>
    </row>
    <row r="2851" spans="1:10" x14ac:dyDescent="0.35">
      <c r="A2851" s="2" t="s">
        <v>1237</v>
      </c>
      <c r="B2851" s="2" t="s">
        <v>1407</v>
      </c>
      <c r="C2851" s="2" t="s">
        <v>62</v>
      </c>
      <c r="D2851" s="2" t="s">
        <v>1556</v>
      </c>
      <c r="E2851" s="2" t="s">
        <v>341</v>
      </c>
      <c r="F2851" s="2" t="s">
        <v>342</v>
      </c>
      <c r="G2851" s="2"/>
      <c r="H2851" s="2"/>
      <c r="I2851" s="2"/>
      <c r="J2851" s="2"/>
    </row>
    <row r="2852" spans="1:10" x14ac:dyDescent="0.35">
      <c r="A2852" s="2" t="s">
        <v>1237</v>
      </c>
      <c r="B2852" s="2" t="s">
        <v>1407</v>
      </c>
      <c r="C2852" s="2" t="s">
        <v>62</v>
      </c>
      <c r="D2852" s="2" t="s">
        <v>1556</v>
      </c>
      <c r="E2852" s="2" t="s">
        <v>343</v>
      </c>
      <c r="F2852" s="2" t="s">
        <v>344</v>
      </c>
      <c r="G2852" s="2"/>
      <c r="H2852" s="2"/>
      <c r="I2852" s="2"/>
      <c r="J2852" s="2"/>
    </row>
    <row r="2853" spans="1:10" x14ac:dyDescent="0.35">
      <c r="A2853" s="2" t="s">
        <v>1237</v>
      </c>
      <c r="B2853" s="2" t="s">
        <v>1407</v>
      </c>
      <c r="C2853" s="2" t="s">
        <v>62</v>
      </c>
      <c r="D2853" s="2" t="s">
        <v>1556</v>
      </c>
      <c r="E2853" s="2" t="s">
        <v>345</v>
      </c>
      <c r="F2853" s="2" t="s">
        <v>346</v>
      </c>
      <c r="G2853" s="2"/>
      <c r="H2853" s="2"/>
      <c r="I2853" s="2"/>
      <c r="J2853" s="2"/>
    </row>
    <row r="2854" spans="1:10" s="21" customFormat="1" x14ac:dyDescent="0.35">
      <c r="A2854" s="2" t="s">
        <v>1237</v>
      </c>
      <c r="B2854" s="2" t="s">
        <v>1407</v>
      </c>
      <c r="C2854" s="2" t="s">
        <v>12</v>
      </c>
      <c r="D2854" s="2" t="s">
        <v>1557</v>
      </c>
      <c r="E2854" s="2" t="s">
        <v>14</v>
      </c>
      <c r="F2854" s="2" t="s">
        <v>15</v>
      </c>
      <c r="G2854" s="2"/>
      <c r="H2854" s="2"/>
      <c r="I2854" s="2"/>
      <c r="J2854" s="2"/>
    </row>
    <row r="2855" spans="1:10" s="21" customFormat="1" x14ac:dyDescent="0.35">
      <c r="A2855" s="2" t="s">
        <v>1237</v>
      </c>
      <c r="B2855" s="2" t="s">
        <v>1407</v>
      </c>
      <c r="C2855" s="2" t="s">
        <v>12</v>
      </c>
      <c r="D2855" s="2" t="s">
        <v>1557</v>
      </c>
      <c r="E2855" s="2" t="s">
        <v>198</v>
      </c>
      <c r="F2855" s="2" t="s">
        <v>65</v>
      </c>
      <c r="G2855" s="2"/>
      <c r="H2855" s="2"/>
      <c r="I2855" s="2"/>
      <c r="J2855" s="2"/>
    </row>
    <row r="2856" spans="1:10" s="21" customFormat="1" x14ac:dyDescent="0.35">
      <c r="A2856" s="2" t="s">
        <v>1237</v>
      </c>
      <c r="B2856" s="2" t="s">
        <v>1407</v>
      </c>
      <c r="C2856" s="2" t="s">
        <v>12</v>
      </c>
      <c r="D2856" s="2" t="s">
        <v>1557</v>
      </c>
      <c r="E2856" s="2" t="s">
        <v>98</v>
      </c>
      <c r="F2856" s="2" t="s">
        <v>98</v>
      </c>
      <c r="G2856" s="2"/>
      <c r="H2856" s="2"/>
      <c r="I2856" s="2"/>
      <c r="J2856" s="2"/>
    </row>
    <row r="2857" spans="1:10" s="21" customFormat="1" x14ac:dyDescent="0.35">
      <c r="A2857" s="2" t="s">
        <v>1237</v>
      </c>
      <c r="B2857" s="2" t="s">
        <v>1407</v>
      </c>
      <c r="C2857" s="2" t="s">
        <v>12</v>
      </c>
      <c r="D2857" s="2" t="s">
        <v>1557</v>
      </c>
      <c r="E2857" s="2" t="s">
        <v>91</v>
      </c>
      <c r="F2857" s="2" t="s">
        <v>19</v>
      </c>
      <c r="G2857" s="2" t="s">
        <v>20</v>
      </c>
      <c r="H2857" s="2" t="s">
        <v>1558</v>
      </c>
      <c r="I2857" s="2"/>
      <c r="J2857" s="2"/>
    </row>
    <row r="2858" spans="1:10" s="21" customFormat="1" x14ac:dyDescent="0.35">
      <c r="A2858" s="2" t="s">
        <v>1237</v>
      </c>
      <c r="B2858" s="2" t="s">
        <v>1407</v>
      </c>
      <c r="C2858" s="2" t="s">
        <v>12</v>
      </c>
      <c r="D2858" s="2" t="s">
        <v>1557</v>
      </c>
      <c r="E2858" s="2" t="s">
        <v>51</v>
      </c>
      <c r="F2858" s="2" t="s">
        <v>52</v>
      </c>
      <c r="G2858" s="2"/>
      <c r="H2858" s="2"/>
      <c r="I2858" s="2"/>
      <c r="J2858" s="2"/>
    </row>
    <row r="2859" spans="1:10" s="21" customFormat="1" x14ac:dyDescent="0.35">
      <c r="A2859" s="2" t="s">
        <v>1237</v>
      </c>
      <c r="B2859" s="2" t="s">
        <v>1407</v>
      </c>
      <c r="C2859" s="2" t="s">
        <v>12</v>
      </c>
      <c r="D2859" s="2" t="s">
        <v>1557</v>
      </c>
      <c r="E2859" s="2" t="s">
        <v>149</v>
      </c>
      <c r="F2859" s="2" t="s">
        <v>150</v>
      </c>
      <c r="G2859" s="2"/>
      <c r="H2859" s="2"/>
      <c r="I2859" s="2"/>
      <c r="J2859" s="2"/>
    </row>
    <row r="2860" spans="1:10" s="21" customFormat="1" x14ac:dyDescent="0.35">
      <c r="A2860" s="2" t="s">
        <v>1237</v>
      </c>
      <c r="B2860" s="2" t="s">
        <v>1407</v>
      </c>
      <c r="C2860" s="2" t="s">
        <v>12</v>
      </c>
      <c r="D2860" s="2" t="s">
        <v>1557</v>
      </c>
      <c r="E2860" s="2" t="s">
        <v>1420</v>
      </c>
      <c r="F2860" s="2" t="s">
        <v>189</v>
      </c>
      <c r="G2860" s="2"/>
      <c r="H2860" s="2"/>
      <c r="I2860" s="2"/>
      <c r="J2860" s="2"/>
    </row>
    <row r="2861" spans="1:10" s="21" customFormat="1" x14ac:dyDescent="0.35">
      <c r="A2861" s="2" t="s">
        <v>1237</v>
      </c>
      <c r="B2861" s="2" t="s">
        <v>1407</v>
      </c>
      <c r="C2861" s="2" t="s">
        <v>12</v>
      </c>
      <c r="D2861" s="2" t="s">
        <v>1559</v>
      </c>
      <c r="E2861" s="2" t="s">
        <v>1560</v>
      </c>
      <c r="F2861" s="2" t="s">
        <v>50</v>
      </c>
      <c r="G2861" s="2"/>
      <c r="H2861" s="2"/>
      <c r="I2861" s="2"/>
      <c r="J2861" s="2"/>
    </row>
    <row r="2862" spans="1:10" x14ac:dyDescent="0.35">
      <c r="A2862" s="2" t="s">
        <v>1237</v>
      </c>
      <c r="B2862" s="2" t="s">
        <v>1407</v>
      </c>
      <c r="C2862" s="2" t="s">
        <v>62</v>
      </c>
      <c r="D2862" s="2" t="s">
        <v>1561</v>
      </c>
      <c r="E2862" s="2" t="s">
        <v>196</v>
      </c>
      <c r="F2862" s="2" t="s">
        <v>197</v>
      </c>
      <c r="G2862" s="2"/>
      <c r="H2862" s="2"/>
      <c r="I2862" s="2"/>
      <c r="J2862" s="2"/>
    </row>
    <row r="2863" spans="1:10" x14ac:dyDescent="0.35">
      <c r="A2863" s="2" t="s">
        <v>1237</v>
      </c>
      <c r="B2863" s="2" t="s">
        <v>1407</v>
      </c>
      <c r="C2863" s="2" t="s">
        <v>62</v>
      </c>
      <c r="D2863" s="2" t="s">
        <v>1561</v>
      </c>
      <c r="E2863" s="2" t="s">
        <v>317</v>
      </c>
      <c r="F2863" s="2" t="s">
        <v>318</v>
      </c>
      <c r="G2863" s="2"/>
      <c r="H2863" s="2"/>
      <c r="I2863" s="2"/>
      <c r="J2863" s="2"/>
    </row>
    <row r="2864" spans="1:10" x14ac:dyDescent="0.35">
      <c r="A2864" s="2" t="s">
        <v>1237</v>
      </c>
      <c r="B2864" s="2" t="s">
        <v>1407</v>
      </c>
      <c r="C2864" s="2" t="s">
        <v>62</v>
      </c>
      <c r="D2864" s="2" t="s">
        <v>1561</v>
      </c>
      <c r="E2864" s="2" t="s">
        <v>1050</v>
      </c>
      <c r="F2864" s="2" t="s">
        <v>75</v>
      </c>
      <c r="G2864" s="2"/>
      <c r="H2864" s="2"/>
      <c r="I2864" s="2"/>
      <c r="J2864" s="2"/>
    </row>
    <row r="2865" spans="1:10" x14ac:dyDescent="0.35">
      <c r="A2865" s="2" t="s">
        <v>1237</v>
      </c>
      <c r="B2865" s="2" t="s">
        <v>1407</v>
      </c>
      <c r="C2865" s="2" t="s">
        <v>62</v>
      </c>
      <c r="D2865" s="2" t="s">
        <v>1561</v>
      </c>
      <c r="E2865" s="2" t="s">
        <v>327</v>
      </c>
      <c r="F2865" s="2" t="s">
        <v>328</v>
      </c>
      <c r="G2865" s="2"/>
      <c r="H2865" s="2"/>
      <c r="I2865" s="2"/>
      <c r="J2865" s="2"/>
    </row>
    <row r="2866" spans="1:10" x14ac:dyDescent="0.35">
      <c r="A2866" s="2" t="s">
        <v>1237</v>
      </c>
      <c r="B2866" s="2" t="s">
        <v>1407</v>
      </c>
      <c r="C2866" s="2" t="s">
        <v>62</v>
      </c>
      <c r="D2866" s="2" t="s">
        <v>1561</v>
      </c>
      <c r="E2866" s="2" t="s">
        <v>333</v>
      </c>
      <c r="F2866" s="2" t="s">
        <v>334</v>
      </c>
      <c r="G2866" s="2"/>
      <c r="H2866" s="2"/>
      <c r="I2866" s="2"/>
      <c r="J2866" s="2"/>
    </row>
    <row r="2867" spans="1:10" x14ac:dyDescent="0.35">
      <c r="A2867" s="2" t="s">
        <v>1237</v>
      </c>
      <c r="B2867" s="2" t="s">
        <v>1407</v>
      </c>
      <c r="C2867" s="2" t="s">
        <v>62</v>
      </c>
      <c r="D2867" s="2" t="s">
        <v>1561</v>
      </c>
      <c r="E2867" s="2" t="s">
        <v>345</v>
      </c>
      <c r="F2867" s="2" t="s">
        <v>346</v>
      </c>
      <c r="G2867" s="2"/>
      <c r="H2867" s="2"/>
      <c r="I2867" s="2"/>
      <c r="J2867" s="2"/>
    </row>
    <row r="2868" spans="1:10" x14ac:dyDescent="0.35">
      <c r="A2868" s="2" t="s">
        <v>1237</v>
      </c>
      <c r="B2868" s="2" t="s">
        <v>1407</v>
      </c>
      <c r="C2868" s="2" t="s">
        <v>62</v>
      </c>
      <c r="D2868" s="2" t="s">
        <v>1562</v>
      </c>
      <c r="E2868" s="2" t="s">
        <v>317</v>
      </c>
      <c r="F2868" s="2" t="s">
        <v>318</v>
      </c>
      <c r="G2868" s="2"/>
      <c r="H2868" s="2"/>
      <c r="I2868" s="2"/>
      <c r="J2868" s="2"/>
    </row>
    <row r="2869" spans="1:10" x14ac:dyDescent="0.35">
      <c r="A2869" s="2" t="s">
        <v>1237</v>
      </c>
      <c r="B2869" s="2" t="s">
        <v>1407</v>
      </c>
      <c r="C2869" s="2" t="s">
        <v>62</v>
      </c>
      <c r="D2869" s="2" t="s">
        <v>1562</v>
      </c>
      <c r="E2869" s="2" t="s">
        <v>87</v>
      </c>
      <c r="F2869" s="2" t="s">
        <v>75</v>
      </c>
      <c r="G2869" s="2"/>
      <c r="H2869" s="2"/>
      <c r="I2869" s="2"/>
      <c r="J2869" s="2"/>
    </row>
    <row r="2870" spans="1:10" x14ac:dyDescent="0.35">
      <c r="A2870" s="2" t="s">
        <v>1237</v>
      </c>
      <c r="B2870" s="2" t="s">
        <v>1407</v>
      </c>
      <c r="C2870" s="2" t="s">
        <v>62</v>
      </c>
      <c r="D2870" s="2" t="s">
        <v>1562</v>
      </c>
      <c r="E2870" s="2" t="s">
        <v>1051</v>
      </c>
      <c r="F2870" s="2" t="s">
        <v>318</v>
      </c>
      <c r="G2870" s="2"/>
      <c r="H2870" s="2"/>
      <c r="I2870" s="2"/>
      <c r="J2870" s="2"/>
    </row>
    <row r="2871" spans="1:10" s="21" customFormat="1" x14ac:dyDescent="0.35">
      <c r="A2871" s="2" t="s">
        <v>1237</v>
      </c>
      <c r="B2871" s="2" t="s">
        <v>1407</v>
      </c>
      <c r="C2871" s="2" t="s">
        <v>62</v>
      </c>
      <c r="D2871" s="2" t="s">
        <v>1562</v>
      </c>
      <c r="E2871" s="2" t="s">
        <v>333</v>
      </c>
      <c r="F2871" s="2" t="s">
        <v>334</v>
      </c>
      <c r="G2871" s="2"/>
      <c r="H2871" s="2"/>
      <c r="I2871" s="2"/>
      <c r="J2871" s="2"/>
    </row>
    <row r="2872" spans="1:10" s="19" customFormat="1" x14ac:dyDescent="0.35">
      <c r="A2872" s="2" t="s">
        <v>1237</v>
      </c>
      <c r="B2872" s="2" t="s">
        <v>1407</v>
      </c>
      <c r="C2872" s="2" t="s">
        <v>62</v>
      </c>
      <c r="D2872" s="2" t="s">
        <v>1563</v>
      </c>
      <c r="E2872" s="2" t="s">
        <v>91</v>
      </c>
      <c r="F2872" s="2" t="s">
        <v>19</v>
      </c>
      <c r="G2872" s="2" t="s">
        <v>20</v>
      </c>
      <c r="H2872" s="2" t="s">
        <v>1564</v>
      </c>
      <c r="I2872" s="2"/>
      <c r="J2872" s="2"/>
    </row>
    <row r="2873" spans="1:10" s="21" customFormat="1" x14ac:dyDescent="0.35">
      <c r="A2873" s="2" t="s">
        <v>1237</v>
      </c>
      <c r="B2873" s="2" t="s">
        <v>1407</v>
      </c>
      <c r="C2873" s="2" t="s">
        <v>62</v>
      </c>
      <c r="D2873" s="2" t="s">
        <v>1565</v>
      </c>
      <c r="E2873" s="2" t="s">
        <v>319</v>
      </c>
      <c r="F2873" s="2" t="s">
        <v>320</v>
      </c>
      <c r="G2873" s="2"/>
      <c r="H2873" s="2"/>
      <c r="I2873" s="2"/>
      <c r="J2873" s="2"/>
    </row>
    <row r="2874" spans="1:10" s="21" customFormat="1" x14ac:dyDescent="0.35">
      <c r="A2874" s="2" t="s">
        <v>1237</v>
      </c>
      <c r="B2874" s="2" t="s">
        <v>1407</v>
      </c>
      <c r="C2874" s="2" t="s">
        <v>62</v>
      </c>
      <c r="D2874" s="2" t="s">
        <v>1565</v>
      </c>
      <c r="E2874" s="2" t="s">
        <v>321</v>
      </c>
      <c r="F2874" s="2" t="s">
        <v>321</v>
      </c>
      <c r="G2874" s="2"/>
      <c r="H2874" s="2"/>
      <c r="I2874" s="2"/>
      <c r="J2874" s="2"/>
    </row>
    <row r="2875" spans="1:10" s="21" customFormat="1" x14ac:dyDescent="0.35">
      <c r="A2875" s="2" t="s">
        <v>1237</v>
      </c>
      <c r="B2875" s="2" t="s">
        <v>1407</v>
      </c>
      <c r="C2875" s="2" t="s">
        <v>62</v>
      </c>
      <c r="D2875" s="2" t="s">
        <v>1565</v>
      </c>
      <c r="E2875" s="2" t="s">
        <v>322</v>
      </c>
      <c r="F2875" s="2" t="s">
        <v>246</v>
      </c>
      <c r="G2875" s="2"/>
      <c r="H2875" s="2"/>
      <c r="I2875" s="2"/>
      <c r="J2875" s="2"/>
    </row>
    <row r="2876" spans="1:10" s="21" customFormat="1" x14ac:dyDescent="0.35">
      <c r="A2876" s="2" t="s">
        <v>1237</v>
      </c>
      <c r="B2876" s="2" t="s">
        <v>1407</v>
      </c>
      <c r="C2876" s="2" t="s">
        <v>62</v>
      </c>
      <c r="D2876" s="2" t="s">
        <v>1565</v>
      </c>
      <c r="E2876" s="2" t="s">
        <v>323</v>
      </c>
      <c r="F2876" s="2" t="s">
        <v>246</v>
      </c>
      <c r="G2876" s="2"/>
      <c r="H2876" s="2"/>
      <c r="I2876" s="2"/>
      <c r="J2876" s="2"/>
    </row>
    <row r="2877" spans="1:10" s="21" customFormat="1" x14ac:dyDescent="0.35">
      <c r="A2877" s="2" t="s">
        <v>1237</v>
      </c>
      <c r="B2877" s="2" t="s">
        <v>1407</v>
      </c>
      <c r="C2877" s="2" t="s">
        <v>62</v>
      </c>
      <c r="D2877" s="2" t="s">
        <v>1565</v>
      </c>
      <c r="E2877" s="2" t="s">
        <v>324</v>
      </c>
      <c r="F2877" s="2" t="s">
        <v>246</v>
      </c>
      <c r="G2877" s="2"/>
      <c r="H2877" s="2"/>
      <c r="I2877" s="2"/>
      <c r="J2877" s="2"/>
    </row>
    <row r="2878" spans="1:10" s="21" customFormat="1" x14ac:dyDescent="0.35">
      <c r="A2878" s="2" t="s">
        <v>1237</v>
      </c>
      <c r="B2878" s="2" t="s">
        <v>1407</v>
      </c>
      <c r="C2878" s="2" t="s">
        <v>62</v>
      </c>
      <c r="D2878" s="2" t="s">
        <v>1565</v>
      </c>
      <c r="E2878" s="2" t="s">
        <v>325</v>
      </c>
      <c r="F2878" s="2" t="s">
        <v>1413</v>
      </c>
      <c r="G2878" s="2"/>
      <c r="H2878" s="2"/>
      <c r="I2878" s="2"/>
      <c r="J2878" s="2"/>
    </row>
    <row r="2879" spans="1:10" s="21" customFormat="1" x14ac:dyDescent="0.35">
      <c r="A2879" s="2" t="s">
        <v>1237</v>
      </c>
      <c r="B2879" s="2" t="s">
        <v>1407</v>
      </c>
      <c r="C2879" s="2" t="s">
        <v>62</v>
      </c>
      <c r="D2879" s="2" t="s">
        <v>1565</v>
      </c>
      <c r="E2879" s="2" t="s">
        <v>327</v>
      </c>
      <c r="F2879" s="2" t="s">
        <v>328</v>
      </c>
      <c r="G2879" s="2"/>
      <c r="H2879" s="2"/>
      <c r="I2879" s="2"/>
      <c r="J2879" s="2"/>
    </row>
    <row r="2880" spans="1:10" s="21" customFormat="1" x14ac:dyDescent="0.35">
      <c r="A2880" s="2" t="s">
        <v>1237</v>
      </c>
      <c r="B2880" s="2" t="s">
        <v>1407</v>
      </c>
      <c r="C2880" s="2" t="s">
        <v>62</v>
      </c>
      <c r="D2880" s="2" t="s">
        <v>1565</v>
      </c>
      <c r="E2880" s="2" t="s">
        <v>329</v>
      </c>
      <c r="F2880" s="2" t="s">
        <v>330</v>
      </c>
      <c r="G2880" s="2"/>
      <c r="H2880" s="2"/>
      <c r="I2880" s="2"/>
      <c r="J2880" s="2"/>
    </row>
    <row r="2881" spans="1:10" s="21" customFormat="1" x14ac:dyDescent="0.35">
      <c r="A2881" s="2" t="s">
        <v>1237</v>
      </c>
      <c r="B2881" s="2" t="s">
        <v>1407</v>
      </c>
      <c r="C2881" s="2" t="s">
        <v>62</v>
      </c>
      <c r="D2881" s="2" t="s">
        <v>1565</v>
      </c>
      <c r="E2881" s="2" t="s">
        <v>331</v>
      </c>
      <c r="F2881" s="2" t="s">
        <v>332</v>
      </c>
      <c r="G2881" s="2"/>
      <c r="H2881" s="2"/>
      <c r="I2881" s="2"/>
      <c r="J2881" s="2"/>
    </row>
    <row r="2882" spans="1:10" s="21" customFormat="1" x14ac:dyDescent="0.35">
      <c r="A2882" s="2" t="s">
        <v>1237</v>
      </c>
      <c r="B2882" s="2" t="s">
        <v>1407</v>
      </c>
      <c r="C2882" s="2" t="s">
        <v>62</v>
      </c>
      <c r="D2882" s="2" t="s">
        <v>1565</v>
      </c>
      <c r="E2882" s="2" t="s">
        <v>333</v>
      </c>
      <c r="F2882" s="2" t="s">
        <v>334</v>
      </c>
      <c r="G2882" s="2"/>
      <c r="H2882" s="2"/>
      <c r="I2882" s="2"/>
      <c r="J2882" s="2"/>
    </row>
    <row r="2883" spans="1:10" s="21" customFormat="1" x14ac:dyDescent="0.35">
      <c r="A2883" s="2" t="s">
        <v>1237</v>
      </c>
      <c r="B2883" s="2" t="s">
        <v>1407</v>
      </c>
      <c r="C2883" s="2" t="s">
        <v>62</v>
      </c>
      <c r="D2883" s="2" t="s">
        <v>1565</v>
      </c>
      <c r="E2883" s="2" t="s">
        <v>1297</v>
      </c>
      <c r="F2883" s="2" t="s">
        <v>533</v>
      </c>
      <c r="G2883" s="2"/>
      <c r="H2883" s="2"/>
      <c r="I2883" s="2"/>
      <c r="J2883" s="2"/>
    </row>
    <row r="2884" spans="1:10" s="21" customFormat="1" x14ac:dyDescent="0.35">
      <c r="A2884" s="2" t="s">
        <v>1237</v>
      </c>
      <c r="B2884" s="2" t="s">
        <v>1407</v>
      </c>
      <c r="C2884" s="2" t="s">
        <v>62</v>
      </c>
      <c r="D2884" s="2" t="s">
        <v>1565</v>
      </c>
      <c r="E2884" s="2" t="s">
        <v>335</v>
      </c>
      <c r="F2884" s="2" t="s">
        <v>336</v>
      </c>
      <c r="G2884" s="2"/>
      <c r="H2884" s="2"/>
      <c r="I2884" s="2"/>
      <c r="J2884" s="2"/>
    </row>
    <row r="2885" spans="1:10" s="21" customFormat="1" x14ac:dyDescent="0.35">
      <c r="A2885" s="2" t="s">
        <v>1237</v>
      </c>
      <c r="B2885" s="2" t="s">
        <v>1407</v>
      </c>
      <c r="C2885" s="2" t="s">
        <v>62</v>
      </c>
      <c r="D2885" s="2" t="s">
        <v>1565</v>
      </c>
      <c r="E2885" s="2" t="s">
        <v>337</v>
      </c>
      <c r="F2885" s="2" t="s">
        <v>338</v>
      </c>
      <c r="G2885" s="2"/>
      <c r="H2885" s="2"/>
      <c r="I2885" s="2"/>
      <c r="J2885" s="2"/>
    </row>
    <row r="2886" spans="1:10" s="21" customFormat="1" x14ac:dyDescent="0.35">
      <c r="A2886" s="2" t="s">
        <v>1237</v>
      </c>
      <c r="B2886" s="2" t="s">
        <v>1407</v>
      </c>
      <c r="C2886" s="2" t="s">
        <v>62</v>
      </c>
      <c r="D2886" s="2" t="s">
        <v>1565</v>
      </c>
      <c r="E2886" s="2" t="s">
        <v>339</v>
      </c>
      <c r="F2886" s="2" t="s">
        <v>340</v>
      </c>
      <c r="G2886" s="2"/>
      <c r="H2886" s="2"/>
      <c r="I2886" s="2"/>
      <c r="J2886" s="2"/>
    </row>
    <row r="2887" spans="1:10" s="21" customFormat="1" x14ac:dyDescent="0.35">
      <c r="A2887" s="2" t="s">
        <v>1237</v>
      </c>
      <c r="B2887" s="2" t="s">
        <v>1407</v>
      </c>
      <c r="C2887" s="2" t="s">
        <v>62</v>
      </c>
      <c r="D2887" s="2" t="s">
        <v>1565</v>
      </c>
      <c r="E2887" s="2" t="s">
        <v>341</v>
      </c>
      <c r="F2887" s="2" t="s">
        <v>342</v>
      </c>
      <c r="G2887" s="2"/>
      <c r="H2887" s="2"/>
      <c r="I2887" s="2"/>
      <c r="J2887" s="2"/>
    </row>
    <row r="2888" spans="1:10" s="21" customFormat="1" x14ac:dyDescent="0.35">
      <c r="A2888" s="2" t="s">
        <v>1237</v>
      </c>
      <c r="B2888" s="2" t="s">
        <v>1407</v>
      </c>
      <c r="C2888" s="2" t="s">
        <v>62</v>
      </c>
      <c r="D2888" s="2" t="s">
        <v>1565</v>
      </c>
      <c r="E2888" s="2" t="s">
        <v>343</v>
      </c>
      <c r="F2888" s="2" t="s">
        <v>344</v>
      </c>
      <c r="G2888" s="2"/>
      <c r="H2888" s="2"/>
      <c r="I2888" s="2"/>
      <c r="J2888" s="2"/>
    </row>
    <row r="2889" spans="1:10" s="21" customFormat="1" x14ac:dyDescent="0.35">
      <c r="A2889" s="2" t="s">
        <v>1237</v>
      </c>
      <c r="B2889" s="2" t="s">
        <v>1407</v>
      </c>
      <c r="C2889" s="2" t="s">
        <v>62</v>
      </c>
      <c r="D2889" s="2" t="s">
        <v>1565</v>
      </c>
      <c r="E2889" s="2" t="s">
        <v>345</v>
      </c>
      <c r="F2889" s="2" t="s">
        <v>346</v>
      </c>
      <c r="G2889" s="2"/>
      <c r="H2889" s="2"/>
      <c r="I2889" s="2"/>
      <c r="J2889" s="2"/>
    </row>
    <row r="2890" spans="1:10" s="21" customFormat="1" x14ac:dyDescent="0.35">
      <c r="A2890" s="2" t="s">
        <v>1237</v>
      </c>
      <c r="B2890" s="2" t="s">
        <v>1407</v>
      </c>
      <c r="C2890" s="2" t="s">
        <v>62</v>
      </c>
      <c r="D2890" s="2" t="s">
        <v>1566</v>
      </c>
      <c r="E2890" s="2" t="s">
        <v>319</v>
      </c>
      <c r="F2890" s="2" t="s">
        <v>320</v>
      </c>
      <c r="G2890" s="2"/>
      <c r="H2890" s="2"/>
      <c r="I2890" s="2"/>
      <c r="J2890" s="2"/>
    </row>
    <row r="2891" spans="1:10" s="21" customFormat="1" x14ac:dyDescent="0.35">
      <c r="A2891" s="2" t="s">
        <v>1237</v>
      </c>
      <c r="B2891" s="2" t="s">
        <v>1407</v>
      </c>
      <c r="C2891" s="2" t="s">
        <v>62</v>
      </c>
      <c r="D2891" s="2" t="s">
        <v>1566</v>
      </c>
      <c r="E2891" s="2" t="s">
        <v>321</v>
      </c>
      <c r="F2891" s="2" t="s">
        <v>321</v>
      </c>
      <c r="G2891" s="2"/>
      <c r="H2891" s="2"/>
      <c r="I2891" s="2"/>
      <c r="J2891" s="2"/>
    </row>
    <row r="2892" spans="1:10" s="21" customFormat="1" x14ac:dyDescent="0.35">
      <c r="A2892" s="2" t="s">
        <v>1237</v>
      </c>
      <c r="B2892" s="2" t="s">
        <v>1407</v>
      </c>
      <c r="C2892" s="2" t="s">
        <v>62</v>
      </c>
      <c r="D2892" s="2" t="s">
        <v>1566</v>
      </c>
      <c r="E2892" s="2" t="s">
        <v>322</v>
      </c>
      <c r="F2892" s="2" t="s">
        <v>246</v>
      </c>
      <c r="G2892" s="2"/>
      <c r="H2892" s="2"/>
      <c r="I2892" s="2"/>
      <c r="J2892" s="2"/>
    </row>
    <row r="2893" spans="1:10" s="21" customFormat="1" x14ac:dyDescent="0.35">
      <c r="A2893" s="2" t="s">
        <v>1237</v>
      </c>
      <c r="B2893" s="2" t="s">
        <v>1407</v>
      </c>
      <c r="C2893" s="2" t="s">
        <v>62</v>
      </c>
      <c r="D2893" s="2" t="s">
        <v>1566</v>
      </c>
      <c r="E2893" s="2" t="s">
        <v>323</v>
      </c>
      <c r="F2893" s="2" t="s">
        <v>246</v>
      </c>
      <c r="G2893" s="2"/>
      <c r="H2893" s="2"/>
      <c r="I2893" s="2"/>
      <c r="J2893" s="2"/>
    </row>
    <row r="2894" spans="1:10" s="21" customFormat="1" x14ac:dyDescent="0.35">
      <c r="A2894" s="2" t="s">
        <v>1237</v>
      </c>
      <c r="B2894" s="2" t="s">
        <v>1407</v>
      </c>
      <c r="C2894" s="2" t="s">
        <v>62</v>
      </c>
      <c r="D2894" s="2" t="s">
        <v>1566</v>
      </c>
      <c r="E2894" s="2" t="s">
        <v>324</v>
      </c>
      <c r="F2894" s="2" t="s">
        <v>246</v>
      </c>
      <c r="G2894" s="2"/>
      <c r="H2894" s="2"/>
      <c r="I2894" s="2"/>
      <c r="J2894" s="2"/>
    </row>
    <row r="2895" spans="1:10" s="21" customFormat="1" x14ac:dyDescent="0.35">
      <c r="A2895" s="2" t="s">
        <v>1237</v>
      </c>
      <c r="B2895" s="2" t="s">
        <v>1407</v>
      </c>
      <c r="C2895" s="2" t="s">
        <v>62</v>
      </c>
      <c r="D2895" s="2" t="s">
        <v>1566</v>
      </c>
      <c r="E2895" s="2" t="s">
        <v>325</v>
      </c>
      <c r="F2895" s="2" t="s">
        <v>1413</v>
      </c>
      <c r="G2895" s="2"/>
      <c r="H2895" s="2"/>
      <c r="I2895" s="2"/>
      <c r="J2895" s="2"/>
    </row>
    <row r="2896" spans="1:10" s="21" customFormat="1" x14ac:dyDescent="0.35">
      <c r="A2896" s="2" t="s">
        <v>1237</v>
      </c>
      <c r="B2896" s="2" t="s">
        <v>1407</v>
      </c>
      <c r="C2896" s="2" t="s">
        <v>62</v>
      </c>
      <c r="D2896" s="2" t="s">
        <v>1566</v>
      </c>
      <c r="E2896" s="2" t="s">
        <v>327</v>
      </c>
      <c r="F2896" s="2" t="s">
        <v>328</v>
      </c>
      <c r="G2896" s="2"/>
      <c r="H2896" s="2"/>
      <c r="I2896" s="2"/>
      <c r="J2896" s="2"/>
    </row>
    <row r="2897" spans="1:10" s="21" customFormat="1" x14ac:dyDescent="0.35">
      <c r="A2897" s="2" t="s">
        <v>1237</v>
      </c>
      <c r="B2897" s="2" t="s">
        <v>1407</v>
      </c>
      <c r="C2897" s="2" t="s">
        <v>62</v>
      </c>
      <c r="D2897" s="2" t="s">
        <v>1566</v>
      </c>
      <c r="E2897" s="2" t="s">
        <v>329</v>
      </c>
      <c r="F2897" s="2" t="s">
        <v>330</v>
      </c>
      <c r="G2897" s="2"/>
      <c r="H2897" s="2"/>
      <c r="I2897" s="2"/>
      <c r="J2897" s="2"/>
    </row>
    <row r="2898" spans="1:10" s="21" customFormat="1" x14ac:dyDescent="0.35">
      <c r="A2898" s="2" t="s">
        <v>1237</v>
      </c>
      <c r="B2898" s="2" t="s">
        <v>1407</v>
      </c>
      <c r="C2898" s="2" t="s">
        <v>62</v>
      </c>
      <c r="D2898" s="2" t="s">
        <v>1566</v>
      </c>
      <c r="E2898" s="2" t="s">
        <v>331</v>
      </c>
      <c r="F2898" s="2" t="s">
        <v>332</v>
      </c>
      <c r="G2898" s="2"/>
      <c r="H2898" s="2"/>
      <c r="I2898" s="2"/>
      <c r="J2898" s="2"/>
    </row>
    <row r="2899" spans="1:10" s="21" customFormat="1" x14ac:dyDescent="0.35">
      <c r="A2899" s="2" t="s">
        <v>1237</v>
      </c>
      <c r="B2899" s="2" t="s">
        <v>1407</v>
      </c>
      <c r="C2899" s="2" t="s">
        <v>62</v>
      </c>
      <c r="D2899" s="2" t="s">
        <v>1566</v>
      </c>
      <c r="E2899" s="2" t="s">
        <v>333</v>
      </c>
      <c r="F2899" s="2" t="s">
        <v>334</v>
      </c>
      <c r="G2899" s="2"/>
      <c r="H2899" s="2"/>
      <c r="I2899" s="2"/>
      <c r="J2899" s="2"/>
    </row>
    <row r="2900" spans="1:10" s="21" customFormat="1" x14ac:dyDescent="0.35">
      <c r="A2900" s="2" t="s">
        <v>1237</v>
      </c>
      <c r="B2900" s="2" t="s">
        <v>1407</v>
      </c>
      <c r="C2900" s="2" t="s">
        <v>62</v>
      </c>
      <c r="D2900" s="2" t="s">
        <v>1566</v>
      </c>
      <c r="E2900" s="2" t="s">
        <v>1297</v>
      </c>
      <c r="F2900" s="2" t="s">
        <v>533</v>
      </c>
      <c r="G2900" s="2"/>
      <c r="H2900" s="2"/>
      <c r="I2900" s="2"/>
      <c r="J2900" s="2"/>
    </row>
    <row r="2901" spans="1:10" s="21" customFormat="1" x14ac:dyDescent="0.35">
      <c r="A2901" s="2" t="s">
        <v>1237</v>
      </c>
      <c r="B2901" s="2" t="s">
        <v>1407</v>
      </c>
      <c r="C2901" s="2" t="s">
        <v>62</v>
      </c>
      <c r="D2901" s="2" t="s">
        <v>1566</v>
      </c>
      <c r="E2901" s="2" t="s">
        <v>335</v>
      </c>
      <c r="F2901" s="2" t="s">
        <v>336</v>
      </c>
      <c r="G2901" s="2"/>
      <c r="H2901" s="2"/>
      <c r="I2901" s="2"/>
      <c r="J2901" s="2"/>
    </row>
    <row r="2902" spans="1:10" s="21" customFormat="1" x14ac:dyDescent="0.35">
      <c r="A2902" s="2" t="s">
        <v>1237</v>
      </c>
      <c r="B2902" s="2" t="s">
        <v>1407</v>
      </c>
      <c r="C2902" s="2" t="s">
        <v>62</v>
      </c>
      <c r="D2902" s="2" t="s">
        <v>1566</v>
      </c>
      <c r="E2902" s="2" t="s">
        <v>337</v>
      </c>
      <c r="F2902" s="2" t="s">
        <v>338</v>
      </c>
      <c r="G2902" s="2"/>
      <c r="H2902" s="2"/>
      <c r="I2902" s="2"/>
      <c r="J2902" s="2"/>
    </row>
    <row r="2903" spans="1:10" s="21" customFormat="1" x14ac:dyDescent="0.35">
      <c r="A2903" s="2" t="s">
        <v>1237</v>
      </c>
      <c r="B2903" s="2" t="s">
        <v>1407</v>
      </c>
      <c r="C2903" s="2" t="s">
        <v>62</v>
      </c>
      <c r="D2903" s="2" t="s">
        <v>1566</v>
      </c>
      <c r="E2903" s="2" t="s">
        <v>339</v>
      </c>
      <c r="F2903" s="2" t="s">
        <v>340</v>
      </c>
      <c r="G2903" s="2"/>
      <c r="H2903" s="2"/>
      <c r="I2903" s="2"/>
      <c r="J2903" s="2"/>
    </row>
    <row r="2904" spans="1:10" s="21" customFormat="1" x14ac:dyDescent="0.35">
      <c r="A2904" s="2" t="s">
        <v>1237</v>
      </c>
      <c r="B2904" s="2" t="s">
        <v>1407</v>
      </c>
      <c r="C2904" s="2" t="s">
        <v>62</v>
      </c>
      <c r="D2904" s="2" t="s">
        <v>1566</v>
      </c>
      <c r="E2904" s="2" t="s">
        <v>341</v>
      </c>
      <c r="F2904" s="2" t="s">
        <v>342</v>
      </c>
      <c r="G2904" s="2"/>
      <c r="H2904" s="2"/>
      <c r="I2904" s="2"/>
      <c r="J2904" s="2"/>
    </row>
    <row r="2905" spans="1:10" s="21" customFormat="1" x14ac:dyDescent="0.35">
      <c r="A2905" s="2" t="s">
        <v>1237</v>
      </c>
      <c r="B2905" s="2" t="s">
        <v>1407</v>
      </c>
      <c r="C2905" s="2" t="s">
        <v>62</v>
      </c>
      <c r="D2905" s="2" t="s">
        <v>1566</v>
      </c>
      <c r="E2905" s="2" t="s">
        <v>343</v>
      </c>
      <c r="F2905" s="2" t="s">
        <v>344</v>
      </c>
      <c r="G2905" s="2"/>
      <c r="H2905" s="2"/>
      <c r="I2905" s="2"/>
      <c r="J2905" s="2"/>
    </row>
    <row r="2906" spans="1:10" s="21" customFormat="1" x14ac:dyDescent="0.35">
      <c r="A2906" s="2" t="s">
        <v>1237</v>
      </c>
      <c r="B2906" s="2" t="s">
        <v>1407</v>
      </c>
      <c r="C2906" s="2" t="s">
        <v>62</v>
      </c>
      <c r="D2906" s="2" t="s">
        <v>1566</v>
      </c>
      <c r="E2906" s="2" t="s">
        <v>345</v>
      </c>
      <c r="F2906" s="2" t="s">
        <v>346</v>
      </c>
      <c r="G2906" s="2"/>
      <c r="H2906" s="2"/>
      <c r="I2906" s="2"/>
      <c r="J2906" s="2"/>
    </row>
    <row r="2907" spans="1:10" x14ac:dyDescent="0.35">
      <c r="A2907" s="2" t="s">
        <v>1237</v>
      </c>
      <c r="B2907" s="2" t="s">
        <v>1407</v>
      </c>
      <c r="C2907" s="2" t="s">
        <v>62</v>
      </c>
      <c r="D2907" s="2" t="s">
        <v>1567</v>
      </c>
      <c r="E2907" s="2" t="s">
        <v>319</v>
      </c>
      <c r="F2907" s="2" t="s">
        <v>320</v>
      </c>
      <c r="G2907" s="2"/>
      <c r="H2907" s="2"/>
      <c r="I2907" s="2"/>
      <c r="J2907" s="2"/>
    </row>
    <row r="2908" spans="1:10" x14ac:dyDescent="0.35">
      <c r="A2908" s="2" t="s">
        <v>1237</v>
      </c>
      <c r="B2908" s="2" t="s">
        <v>1407</v>
      </c>
      <c r="C2908" s="2" t="s">
        <v>62</v>
      </c>
      <c r="D2908" s="2" t="s">
        <v>1567</v>
      </c>
      <c r="E2908" s="2" t="s">
        <v>321</v>
      </c>
      <c r="F2908" s="2" t="s">
        <v>321</v>
      </c>
      <c r="G2908" s="2"/>
      <c r="H2908" s="2"/>
      <c r="I2908" s="2"/>
      <c r="J2908" s="2"/>
    </row>
    <row r="2909" spans="1:10" x14ac:dyDescent="0.35">
      <c r="A2909" s="2" t="s">
        <v>1237</v>
      </c>
      <c r="B2909" s="2" t="s">
        <v>1407</v>
      </c>
      <c r="C2909" s="2" t="s">
        <v>62</v>
      </c>
      <c r="D2909" s="2" t="s">
        <v>1567</v>
      </c>
      <c r="E2909" s="2" t="s">
        <v>322</v>
      </c>
      <c r="F2909" s="2" t="s">
        <v>246</v>
      </c>
      <c r="G2909" s="2"/>
      <c r="H2909" s="2"/>
      <c r="I2909" s="2"/>
      <c r="J2909" s="2"/>
    </row>
    <row r="2910" spans="1:10" x14ac:dyDescent="0.35">
      <c r="A2910" s="2" t="s">
        <v>1237</v>
      </c>
      <c r="B2910" s="2" t="s">
        <v>1407</v>
      </c>
      <c r="C2910" s="2" t="s">
        <v>62</v>
      </c>
      <c r="D2910" s="2" t="s">
        <v>1567</v>
      </c>
      <c r="E2910" s="2" t="s">
        <v>323</v>
      </c>
      <c r="F2910" s="2" t="s">
        <v>246</v>
      </c>
      <c r="G2910" s="2"/>
      <c r="H2910" s="2"/>
      <c r="I2910" s="2"/>
      <c r="J2910" s="2"/>
    </row>
    <row r="2911" spans="1:10" x14ac:dyDescent="0.35">
      <c r="A2911" s="2" t="s">
        <v>1237</v>
      </c>
      <c r="B2911" s="2" t="s">
        <v>1407</v>
      </c>
      <c r="C2911" s="2" t="s">
        <v>62</v>
      </c>
      <c r="D2911" s="2" t="s">
        <v>1567</v>
      </c>
      <c r="E2911" s="2" t="s">
        <v>324</v>
      </c>
      <c r="F2911" s="2" t="s">
        <v>246</v>
      </c>
      <c r="G2911" s="2"/>
      <c r="H2911" s="2"/>
      <c r="I2911" s="2"/>
      <c r="J2911" s="2"/>
    </row>
    <row r="2912" spans="1:10" x14ac:dyDescent="0.35">
      <c r="A2912" s="2" t="s">
        <v>1237</v>
      </c>
      <c r="B2912" s="2" t="s">
        <v>1407</v>
      </c>
      <c r="C2912" s="2" t="s">
        <v>62</v>
      </c>
      <c r="D2912" s="2" t="s">
        <v>1567</v>
      </c>
      <c r="E2912" s="2" t="s">
        <v>325</v>
      </c>
      <c r="F2912" s="2" t="s">
        <v>1413</v>
      </c>
      <c r="G2912" s="2"/>
      <c r="H2912" s="2"/>
      <c r="I2912" s="2"/>
      <c r="J2912" s="2"/>
    </row>
    <row r="2913" spans="1:10" x14ac:dyDescent="0.35">
      <c r="A2913" s="2" t="s">
        <v>1237</v>
      </c>
      <c r="B2913" s="2" t="s">
        <v>1407</v>
      </c>
      <c r="C2913" s="2" t="s">
        <v>62</v>
      </c>
      <c r="D2913" s="2" t="s">
        <v>1567</v>
      </c>
      <c r="E2913" s="2" t="s">
        <v>327</v>
      </c>
      <c r="F2913" s="2" t="s">
        <v>328</v>
      </c>
      <c r="G2913" s="2"/>
      <c r="H2913" s="2"/>
      <c r="I2913" s="2"/>
      <c r="J2913" s="2"/>
    </row>
    <row r="2914" spans="1:10" x14ac:dyDescent="0.35">
      <c r="A2914" s="2" t="s">
        <v>1237</v>
      </c>
      <c r="B2914" s="2" t="s">
        <v>1407</v>
      </c>
      <c r="C2914" s="2" t="s">
        <v>62</v>
      </c>
      <c r="D2914" s="2" t="s">
        <v>1567</v>
      </c>
      <c r="E2914" s="2" t="s">
        <v>329</v>
      </c>
      <c r="F2914" s="2" t="s">
        <v>330</v>
      </c>
      <c r="G2914" s="2"/>
      <c r="H2914" s="2"/>
      <c r="I2914" s="2"/>
      <c r="J2914" s="2"/>
    </row>
    <row r="2915" spans="1:10" x14ac:dyDescent="0.35">
      <c r="A2915" s="2" t="s">
        <v>1237</v>
      </c>
      <c r="B2915" s="2" t="s">
        <v>1407</v>
      </c>
      <c r="C2915" s="2" t="s">
        <v>62</v>
      </c>
      <c r="D2915" s="2" t="s">
        <v>1567</v>
      </c>
      <c r="E2915" s="2" t="s">
        <v>331</v>
      </c>
      <c r="F2915" s="2" t="s">
        <v>332</v>
      </c>
      <c r="G2915" s="2"/>
      <c r="H2915" s="2"/>
      <c r="I2915" s="2"/>
      <c r="J2915" s="2"/>
    </row>
    <row r="2916" spans="1:10" x14ac:dyDescent="0.35">
      <c r="A2916" s="2" t="s">
        <v>1237</v>
      </c>
      <c r="B2916" s="2" t="s">
        <v>1407</v>
      </c>
      <c r="C2916" s="2" t="s">
        <v>62</v>
      </c>
      <c r="D2916" s="2" t="s">
        <v>1567</v>
      </c>
      <c r="E2916" s="2" t="s">
        <v>333</v>
      </c>
      <c r="F2916" s="2" t="s">
        <v>334</v>
      </c>
      <c r="G2916" s="2"/>
      <c r="H2916" s="2"/>
      <c r="I2916" s="2"/>
      <c r="J2916" s="2"/>
    </row>
    <row r="2917" spans="1:10" x14ac:dyDescent="0.35">
      <c r="A2917" s="2" t="s">
        <v>1237</v>
      </c>
      <c r="B2917" s="2" t="s">
        <v>1407</v>
      </c>
      <c r="C2917" s="2" t="s">
        <v>62</v>
      </c>
      <c r="D2917" s="2" t="s">
        <v>1567</v>
      </c>
      <c r="E2917" s="2" t="s">
        <v>1297</v>
      </c>
      <c r="F2917" s="2" t="s">
        <v>533</v>
      </c>
      <c r="G2917" s="2"/>
      <c r="H2917" s="2"/>
      <c r="I2917" s="2"/>
      <c r="J2917" s="2"/>
    </row>
    <row r="2918" spans="1:10" x14ac:dyDescent="0.35">
      <c r="A2918" s="2" t="s">
        <v>1237</v>
      </c>
      <c r="B2918" s="2" t="s">
        <v>1407</v>
      </c>
      <c r="C2918" s="2" t="s">
        <v>62</v>
      </c>
      <c r="D2918" s="2" t="s">
        <v>1567</v>
      </c>
      <c r="E2918" s="2" t="s">
        <v>335</v>
      </c>
      <c r="F2918" s="2" t="s">
        <v>336</v>
      </c>
      <c r="G2918" s="2"/>
      <c r="H2918" s="2"/>
      <c r="I2918" s="2"/>
      <c r="J2918" s="2"/>
    </row>
    <row r="2919" spans="1:10" x14ac:dyDescent="0.35">
      <c r="A2919" s="2" t="s">
        <v>1237</v>
      </c>
      <c r="B2919" s="2" t="s">
        <v>1407</v>
      </c>
      <c r="C2919" s="2" t="s">
        <v>62</v>
      </c>
      <c r="D2919" s="2" t="s">
        <v>1567</v>
      </c>
      <c r="E2919" s="2" t="s">
        <v>337</v>
      </c>
      <c r="F2919" s="2" t="s">
        <v>338</v>
      </c>
      <c r="G2919" s="2"/>
      <c r="H2919" s="2"/>
      <c r="I2919" s="2"/>
      <c r="J2919" s="2"/>
    </row>
    <row r="2920" spans="1:10" x14ac:dyDescent="0.35">
      <c r="A2920" s="2" t="s">
        <v>1237</v>
      </c>
      <c r="B2920" s="2" t="s">
        <v>1407</v>
      </c>
      <c r="C2920" s="2" t="s">
        <v>62</v>
      </c>
      <c r="D2920" s="2" t="s">
        <v>1567</v>
      </c>
      <c r="E2920" s="2" t="s">
        <v>339</v>
      </c>
      <c r="F2920" s="2" t="s">
        <v>340</v>
      </c>
      <c r="G2920" s="2"/>
      <c r="H2920" s="2"/>
      <c r="I2920" s="2"/>
      <c r="J2920" s="2"/>
    </row>
    <row r="2921" spans="1:10" x14ac:dyDescent="0.35">
      <c r="A2921" s="2" t="s">
        <v>1237</v>
      </c>
      <c r="B2921" s="2" t="s">
        <v>1407</v>
      </c>
      <c r="C2921" s="2" t="s">
        <v>62</v>
      </c>
      <c r="D2921" s="2" t="s">
        <v>1567</v>
      </c>
      <c r="E2921" s="2" t="s">
        <v>341</v>
      </c>
      <c r="F2921" s="2" t="s">
        <v>342</v>
      </c>
      <c r="G2921" s="2"/>
      <c r="H2921" s="2"/>
      <c r="I2921" s="2"/>
      <c r="J2921" s="2"/>
    </row>
    <row r="2922" spans="1:10" x14ac:dyDescent="0.35">
      <c r="A2922" s="2" t="s">
        <v>1237</v>
      </c>
      <c r="B2922" s="2" t="s">
        <v>1407</v>
      </c>
      <c r="C2922" s="2" t="s">
        <v>62</v>
      </c>
      <c r="D2922" s="2" t="s">
        <v>1567</v>
      </c>
      <c r="E2922" s="2" t="s">
        <v>343</v>
      </c>
      <c r="F2922" s="2" t="s">
        <v>344</v>
      </c>
      <c r="G2922" s="2"/>
      <c r="H2922" s="2"/>
      <c r="I2922" s="2"/>
      <c r="J2922" s="2"/>
    </row>
    <row r="2923" spans="1:10" x14ac:dyDescent="0.35">
      <c r="A2923" s="2" t="s">
        <v>1237</v>
      </c>
      <c r="B2923" s="2" t="s">
        <v>1407</v>
      </c>
      <c r="C2923" s="2" t="s">
        <v>62</v>
      </c>
      <c r="D2923" s="2" t="s">
        <v>1567</v>
      </c>
      <c r="E2923" s="2" t="s">
        <v>345</v>
      </c>
      <c r="F2923" s="2" t="s">
        <v>346</v>
      </c>
      <c r="G2923" s="2"/>
      <c r="H2923" s="2"/>
      <c r="I2923" s="2"/>
      <c r="J2923" s="2"/>
    </row>
    <row r="2924" spans="1:10" x14ac:dyDescent="0.35">
      <c r="A2924" s="2" t="s">
        <v>1237</v>
      </c>
      <c r="B2924" s="2" t="s">
        <v>1407</v>
      </c>
      <c r="C2924" s="2" t="s">
        <v>62</v>
      </c>
      <c r="D2924" s="2" t="s">
        <v>1568</v>
      </c>
      <c r="E2924" s="2" t="s">
        <v>319</v>
      </c>
      <c r="F2924" s="2" t="s">
        <v>320</v>
      </c>
      <c r="G2924" s="2"/>
      <c r="H2924" s="2"/>
      <c r="I2924" s="2"/>
      <c r="J2924" s="2"/>
    </row>
    <row r="2925" spans="1:10" x14ac:dyDescent="0.35">
      <c r="A2925" s="2" t="s">
        <v>1237</v>
      </c>
      <c r="B2925" s="2" t="s">
        <v>1407</v>
      </c>
      <c r="C2925" s="2" t="s">
        <v>62</v>
      </c>
      <c r="D2925" s="2" t="s">
        <v>1568</v>
      </c>
      <c r="E2925" s="2" t="s">
        <v>321</v>
      </c>
      <c r="F2925" s="2" t="s">
        <v>321</v>
      </c>
      <c r="G2925" s="2"/>
      <c r="H2925" s="2"/>
      <c r="I2925" s="2"/>
      <c r="J2925" s="2"/>
    </row>
    <row r="2926" spans="1:10" x14ac:dyDescent="0.35">
      <c r="A2926" s="2" t="s">
        <v>1237</v>
      </c>
      <c r="B2926" s="2" t="s">
        <v>1407</v>
      </c>
      <c r="C2926" s="2" t="s">
        <v>62</v>
      </c>
      <c r="D2926" s="2" t="s">
        <v>1568</v>
      </c>
      <c r="E2926" s="2" t="s">
        <v>322</v>
      </c>
      <c r="F2926" s="2" t="s">
        <v>246</v>
      </c>
      <c r="G2926" s="2"/>
      <c r="H2926" s="2"/>
      <c r="I2926" s="2"/>
      <c r="J2926" s="2"/>
    </row>
    <row r="2927" spans="1:10" x14ac:dyDescent="0.35">
      <c r="A2927" s="2" t="s">
        <v>1237</v>
      </c>
      <c r="B2927" s="2" t="s">
        <v>1407</v>
      </c>
      <c r="C2927" s="2" t="s">
        <v>62</v>
      </c>
      <c r="D2927" s="2" t="s">
        <v>1568</v>
      </c>
      <c r="E2927" s="2" t="s">
        <v>323</v>
      </c>
      <c r="F2927" s="2" t="s">
        <v>246</v>
      </c>
      <c r="G2927" s="2"/>
      <c r="H2927" s="2"/>
      <c r="I2927" s="2"/>
      <c r="J2927" s="2"/>
    </row>
    <row r="2928" spans="1:10" x14ac:dyDescent="0.35">
      <c r="A2928" s="2" t="s">
        <v>1237</v>
      </c>
      <c r="B2928" s="2" t="s">
        <v>1407</v>
      </c>
      <c r="C2928" s="2" t="s">
        <v>62</v>
      </c>
      <c r="D2928" s="2" t="s">
        <v>1568</v>
      </c>
      <c r="E2928" s="2" t="s">
        <v>324</v>
      </c>
      <c r="F2928" s="2" t="s">
        <v>246</v>
      </c>
      <c r="G2928" s="2"/>
      <c r="H2928" s="2"/>
      <c r="I2928" s="2"/>
      <c r="J2928" s="2"/>
    </row>
    <row r="2929" spans="1:10" x14ac:dyDescent="0.35">
      <c r="A2929" s="2" t="s">
        <v>1237</v>
      </c>
      <c r="B2929" s="2" t="s">
        <v>1407</v>
      </c>
      <c r="C2929" s="2" t="s">
        <v>62</v>
      </c>
      <c r="D2929" s="2" t="s">
        <v>1568</v>
      </c>
      <c r="E2929" s="2" t="s">
        <v>325</v>
      </c>
      <c r="F2929" s="2" t="s">
        <v>1413</v>
      </c>
      <c r="G2929" s="2"/>
      <c r="H2929" s="2"/>
      <c r="I2929" s="2"/>
      <c r="J2929" s="2"/>
    </row>
    <row r="2930" spans="1:10" x14ac:dyDescent="0.35">
      <c r="A2930" s="2" t="s">
        <v>1237</v>
      </c>
      <c r="B2930" s="2" t="s">
        <v>1407</v>
      </c>
      <c r="C2930" s="2" t="s">
        <v>62</v>
      </c>
      <c r="D2930" s="2" t="s">
        <v>1568</v>
      </c>
      <c r="E2930" s="2" t="s">
        <v>327</v>
      </c>
      <c r="F2930" s="2" t="s">
        <v>328</v>
      </c>
      <c r="G2930" s="2"/>
      <c r="H2930" s="2"/>
      <c r="I2930" s="2"/>
      <c r="J2930" s="2"/>
    </row>
    <row r="2931" spans="1:10" x14ac:dyDescent="0.35">
      <c r="A2931" s="2" t="s">
        <v>1237</v>
      </c>
      <c r="B2931" s="2" t="s">
        <v>1407</v>
      </c>
      <c r="C2931" s="2" t="s">
        <v>62</v>
      </c>
      <c r="D2931" s="2" t="s">
        <v>1568</v>
      </c>
      <c r="E2931" s="2" t="s">
        <v>329</v>
      </c>
      <c r="F2931" s="2" t="s">
        <v>330</v>
      </c>
      <c r="G2931" s="2"/>
      <c r="H2931" s="2"/>
      <c r="I2931" s="2"/>
      <c r="J2931" s="2"/>
    </row>
    <row r="2932" spans="1:10" x14ac:dyDescent="0.35">
      <c r="A2932" s="2" t="s">
        <v>1237</v>
      </c>
      <c r="B2932" s="2" t="s">
        <v>1407</v>
      </c>
      <c r="C2932" s="2" t="s">
        <v>62</v>
      </c>
      <c r="D2932" s="2" t="s">
        <v>1568</v>
      </c>
      <c r="E2932" s="2" t="s">
        <v>331</v>
      </c>
      <c r="F2932" s="2" t="s">
        <v>332</v>
      </c>
      <c r="G2932" s="2"/>
      <c r="H2932" s="2"/>
      <c r="I2932" s="2"/>
      <c r="J2932" s="2"/>
    </row>
    <row r="2933" spans="1:10" x14ac:dyDescent="0.35">
      <c r="A2933" s="2" t="s">
        <v>1237</v>
      </c>
      <c r="B2933" s="2" t="s">
        <v>1407</v>
      </c>
      <c r="C2933" s="2" t="s">
        <v>62</v>
      </c>
      <c r="D2933" s="2" t="s">
        <v>1568</v>
      </c>
      <c r="E2933" s="2" t="s">
        <v>333</v>
      </c>
      <c r="F2933" s="2" t="s">
        <v>334</v>
      </c>
      <c r="G2933" s="2"/>
      <c r="H2933" s="2"/>
      <c r="I2933" s="2"/>
      <c r="J2933" s="2"/>
    </row>
    <row r="2934" spans="1:10" x14ac:dyDescent="0.35">
      <c r="A2934" s="2" t="s">
        <v>1237</v>
      </c>
      <c r="B2934" s="2" t="s">
        <v>1407</v>
      </c>
      <c r="C2934" s="2" t="s">
        <v>62</v>
      </c>
      <c r="D2934" s="2" t="s">
        <v>1568</v>
      </c>
      <c r="E2934" s="2" t="s">
        <v>1297</v>
      </c>
      <c r="F2934" s="2" t="s">
        <v>533</v>
      </c>
      <c r="G2934" s="2"/>
      <c r="H2934" s="2"/>
      <c r="I2934" s="2"/>
      <c r="J2934" s="2"/>
    </row>
    <row r="2935" spans="1:10" x14ac:dyDescent="0.35">
      <c r="A2935" s="2" t="s">
        <v>1237</v>
      </c>
      <c r="B2935" s="2" t="s">
        <v>1407</v>
      </c>
      <c r="C2935" s="2" t="s">
        <v>62</v>
      </c>
      <c r="D2935" s="2" t="s">
        <v>1568</v>
      </c>
      <c r="E2935" s="2" t="s">
        <v>335</v>
      </c>
      <c r="F2935" s="2" t="s">
        <v>336</v>
      </c>
      <c r="G2935" s="2"/>
      <c r="H2935" s="2"/>
      <c r="I2935" s="2"/>
      <c r="J2935" s="2"/>
    </row>
    <row r="2936" spans="1:10" x14ac:dyDescent="0.35">
      <c r="A2936" s="2" t="s">
        <v>1237</v>
      </c>
      <c r="B2936" s="2" t="s">
        <v>1407</v>
      </c>
      <c r="C2936" s="2" t="s">
        <v>62</v>
      </c>
      <c r="D2936" s="2" t="s">
        <v>1568</v>
      </c>
      <c r="E2936" s="2" t="s">
        <v>337</v>
      </c>
      <c r="F2936" s="2" t="s">
        <v>338</v>
      </c>
      <c r="G2936" s="2"/>
      <c r="H2936" s="2"/>
      <c r="I2936" s="2"/>
      <c r="J2936" s="2"/>
    </row>
    <row r="2937" spans="1:10" x14ac:dyDescent="0.35">
      <c r="A2937" s="2" t="s">
        <v>1237</v>
      </c>
      <c r="B2937" s="2" t="s">
        <v>1407</v>
      </c>
      <c r="C2937" s="2" t="s">
        <v>62</v>
      </c>
      <c r="D2937" s="2" t="s">
        <v>1568</v>
      </c>
      <c r="E2937" s="2" t="s">
        <v>339</v>
      </c>
      <c r="F2937" s="2" t="s">
        <v>340</v>
      </c>
      <c r="G2937" s="2"/>
      <c r="H2937" s="2"/>
      <c r="I2937" s="2"/>
      <c r="J2937" s="2"/>
    </row>
    <row r="2938" spans="1:10" x14ac:dyDescent="0.35">
      <c r="A2938" s="2" t="s">
        <v>1237</v>
      </c>
      <c r="B2938" s="2" t="s">
        <v>1407</v>
      </c>
      <c r="C2938" s="2" t="s">
        <v>62</v>
      </c>
      <c r="D2938" s="2" t="s">
        <v>1568</v>
      </c>
      <c r="E2938" s="2" t="s">
        <v>341</v>
      </c>
      <c r="F2938" s="2" t="s">
        <v>342</v>
      </c>
      <c r="G2938" s="2"/>
      <c r="H2938" s="2"/>
      <c r="I2938" s="2"/>
      <c r="J2938" s="2"/>
    </row>
    <row r="2939" spans="1:10" x14ac:dyDescent="0.35">
      <c r="A2939" s="2" t="s">
        <v>1237</v>
      </c>
      <c r="B2939" s="2" t="s">
        <v>1407</v>
      </c>
      <c r="C2939" s="2" t="s">
        <v>62</v>
      </c>
      <c r="D2939" s="2" t="s">
        <v>1568</v>
      </c>
      <c r="E2939" s="2" t="s">
        <v>343</v>
      </c>
      <c r="F2939" s="2" t="s">
        <v>344</v>
      </c>
      <c r="G2939" s="2"/>
      <c r="H2939" s="2"/>
      <c r="I2939" s="2"/>
      <c r="J2939" s="2"/>
    </row>
    <row r="2940" spans="1:10" x14ac:dyDescent="0.35">
      <c r="A2940" s="2" t="s">
        <v>1237</v>
      </c>
      <c r="B2940" s="2" t="s">
        <v>1407</v>
      </c>
      <c r="C2940" s="2" t="s">
        <v>62</v>
      </c>
      <c r="D2940" s="2" t="s">
        <v>1568</v>
      </c>
      <c r="E2940" s="2" t="s">
        <v>345</v>
      </c>
      <c r="F2940" s="2" t="s">
        <v>346</v>
      </c>
      <c r="G2940" s="2"/>
      <c r="H2940" s="2"/>
      <c r="I2940" s="2"/>
      <c r="J2940" s="2"/>
    </row>
    <row r="2941" spans="1:10" x14ac:dyDescent="0.35">
      <c r="A2941" s="2" t="s">
        <v>1237</v>
      </c>
      <c r="B2941" s="2" t="s">
        <v>1407</v>
      </c>
      <c r="C2941" s="2" t="s">
        <v>62</v>
      </c>
      <c r="D2941" s="2" t="s">
        <v>1569</v>
      </c>
      <c r="E2941" s="2" t="s">
        <v>1249</v>
      </c>
      <c r="F2941" s="2" t="s">
        <v>75</v>
      </c>
      <c r="G2941" s="2"/>
      <c r="H2941" s="2"/>
      <c r="I2941" s="2"/>
      <c r="J2941" s="2"/>
    </row>
    <row r="2942" spans="1:10" x14ac:dyDescent="0.35">
      <c r="A2942" s="2" t="s">
        <v>1237</v>
      </c>
      <c r="B2942" s="2" t="s">
        <v>1407</v>
      </c>
      <c r="C2942" s="2" t="s">
        <v>62</v>
      </c>
      <c r="D2942" s="2" t="s">
        <v>1569</v>
      </c>
      <c r="E2942" s="2" t="s">
        <v>18</v>
      </c>
      <c r="F2942" s="2" t="s">
        <v>19</v>
      </c>
      <c r="G2942" s="2" t="s">
        <v>20</v>
      </c>
      <c r="H2942" s="2" t="s">
        <v>1570</v>
      </c>
      <c r="I2942" s="2"/>
      <c r="J2942" s="2"/>
    </row>
    <row r="2943" spans="1:10" x14ac:dyDescent="0.35">
      <c r="A2943" s="2" t="s">
        <v>1237</v>
      </c>
      <c r="B2943" s="2" t="s">
        <v>1407</v>
      </c>
      <c r="C2943" s="2" t="s">
        <v>62</v>
      </c>
      <c r="D2943" s="2" t="s">
        <v>1571</v>
      </c>
      <c r="E2943" s="2" t="s">
        <v>317</v>
      </c>
      <c r="F2943" s="2" t="s">
        <v>318</v>
      </c>
      <c r="G2943" s="2"/>
      <c r="H2943" s="2"/>
      <c r="I2943" s="2"/>
      <c r="J2943" s="2"/>
    </row>
    <row r="2944" spans="1:10" x14ac:dyDescent="0.35">
      <c r="A2944" s="2" t="s">
        <v>1237</v>
      </c>
      <c r="B2944" s="2" t="s">
        <v>1407</v>
      </c>
      <c r="C2944" s="2" t="s">
        <v>62</v>
      </c>
      <c r="D2944" s="2" t="s">
        <v>1571</v>
      </c>
      <c r="E2944" s="2" t="s">
        <v>87</v>
      </c>
      <c r="F2944" s="2" t="s">
        <v>75</v>
      </c>
      <c r="G2944" s="2"/>
      <c r="H2944" s="2"/>
      <c r="I2944" s="2"/>
      <c r="J2944" s="2"/>
    </row>
    <row r="2945" spans="1:10" x14ac:dyDescent="0.35">
      <c r="A2945" s="2" t="s">
        <v>1237</v>
      </c>
      <c r="B2945" s="2" t="s">
        <v>1407</v>
      </c>
      <c r="C2945" s="2" t="s">
        <v>62</v>
      </c>
      <c r="D2945" s="2" t="s">
        <v>1571</v>
      </c>
      <c r="E2945" s="2" t="s">
        <v>1051</v>
      </c>
      <c r="F2945" s="2" t="s">
        <v>318</v>
      </c>
      <c r="G2945" s="2"/>
      <c r="H2945" s="2"/>
      <c r="I2945" s="2"/>
      <c r="J2945" s="2"/>
    </row>
    <row r="2946" spans="1:10" s="21" customFormat="1" x14ac:dyDescent="0.35">
      <c r="A2946" s="2" t="s">
        <v>1237</v>
      </c>
      <c r="B2946" s="2" t="s">
        <v>1407</v>
      </c>
      <c r="C2946" s="2" t="s">
        <v>62</v>
      </c>
      <c r="D2946" s="2" t="s">
        <v>1571</v>
      </c>
      <c r="E2946" s="2" t="s">
        <v>333</v>
      </c>
      <c r="F2946" s="2" t="s">
        <v>334</v>
      </c>
      <c r="G2946" s="2"/>
      <c r="H2946" s="2"/>
      <c r="I2946" s="2"/>
      <c r="J2946" s="2"/>
    </row>
    <row r="2947" spans="1:10" x14ac:dyDescent="0.35">
      <c r="A2947" s="2" t="s">
        <v>1237</v>
      </c>
      <c r="B2947" s="2" t="s">
        <v>1407</v>
      </c>
      <c r="C2947" s="2" t="s">
        <v>24</v>
      </c>
      <c r="D2947" s="2" t="s">
        <v>1572</v>
      </c>
      <c r="E2947" s="2" t="s">
        <v>130</v>
      </c>
      <c r="F2947" s="2" t="s">
        <v>36</v>
      </c>
      <c r="G2947" s="2"/>
      <c r="H2947" s="2"/>
      <c r="I2947" s="2"/>
      <c r="J2947" s="2"/>
    </row>
    <row r="2948" spans="1:10" x14ac:dyDescent="0.35">
      <c r="A2948" s="2" t="s">
        <v>1237</v>
      </c>
      <c r="B2948" s="2" t="s">
        <v>1407</v>
      </c>
      <c r="C2948" s="2" t="s">
        <v>24</v>
      </c>
      <c r="D2948" s="2" t="s">
        <v>1572</v>
      </c>
      <c r="E2948" s="2" t="s">
        <v>1415</v>
      </c>
      <c r="F2948" s="2" t="s">
        <v>1416</v>
      </c>
      <c r="G2948" s="2"/>
      <c r="H2948" s="2"/>
      <c r="I2948" s="2"/>
      <c r="J2948" s="2"/>
    </row>
    <row r="2949" spans="1:10" x14ac:dyDescent="0.35">
      <c r="A2949" s="2" t="s">
        <v>1237</v>
      </c>
      <c r="B2949" s="2" t="s">
        <v>1407</v>
      </c>
      <c r="C2949" s="2" t="s">
        <v>24</v>
      </c>
      <c r="D2949" s="2" t="s">
        <v>1572</v>
      </c>
      <c r="E2949" s="2" t="s">
        <v>1226</v>
      </c>
      <c r="F2949" s="2" t="s">
        <v>107</v>
      </c>
      <c r="G2949" s="2"/>
      <c r="H2949" s="2"/>
      <c r="I2949" s="2"/>
      <c r="J2949" s="2"/>
    </row>
    <row r="2950" spans="1:10" x14ac:dyDescent="0.35">
      <c r="A2950" s="2" t="s">
        <v>1237</v>
      </c>
      <c r="B2950" s="2" t="s">
        <v>1407</v>
      </c>
      <c r="C2950" s="2" t="s">
        <v>24</v>
      </c>
      <c r="D2950" s="2" t="s">
        <v>1572</v>
      </c>
      <c r="E2950" s="2" t="s">
        <v>1228</v>
      </c>
      <c r="F2950" s="2" t="s">
        <v>228</v>
      </c>
      <c r="G2950" s="2"/>
      <c r="H2950" s="2"/>
      <c r="I2950" s="2"/>
      <c r="J2950" s="2"/>
    </row>
    <row r="2951" spans="1:10" x14ac:dyDescent="0.35">
      <c r="A2951" s="2" t="s">
        <v>1237</v>
      </c>
      <c r="B2951" s="2" t="s">
        <v>1407</v>
      </c>
      <c r="C2951" s="2" t="s">
        <v>24</v>
      </c>
      <c r="D2951" s="2" t="s">
        <v>1572</v>
      </c>
      <c r="E2951" s="2" t="s">
        <v>1342</v>
      </c>
      <c r="F2951" s="2" t="s">
        <v>1343</v>
      </c>
      <c r="G2951" s="2"/>
      <c r="H2951" s="2"/>
      <c r="I2951" s="2"/>
      <c r="J2951" s="2"/>
    </row>
    <row r="2952" spans="1:10" x14ac:dyDescent="0.35">
      <c r="A2952" s="2" t="s">
        <v>1237</v>
      </c>
      <c r="B2952" s="2" t="s">
        <v>1407</v>
      </c>
      <c r="C2952" s="2" t="s">
        <v>62</v>
      </c>
      <c r="D2952" s="2" t="s">
        <v>1573</v>
      </c>
      <c r="E2952" s="2" t="s">
        <v>196</v>
      </c>
      <c r="F2952" s="2" t="s">
        <v>197</v>
      </c>
      <c r="G2952" s="2"/>
      <c r="H2952" s="2"/>
      <c r="I2952" s="2"/>
      <c r="J2952" s="2"/>
    </row>
    <row r="2953" spans="1:10" x14ac:dyDescent="0.35">
      <c r="A2953" s="2" t="s">
        <v>1237</v>
      </c>
      <c r="B2953" s="2" t="s">
        <v>1407</v>
      </c>
      <c r="C2953" s="2" t="s">
        <v>62</v>
      </c>
      <c r="D2953" s="2" t="s">
        <v>1573</v>
      </c>
      <c r="E2953" s="2" t="s">
        <v>317</v>
      </c>
      <c r="F2953" s="2" t="s">
        <v>318</v>
      </c>
      <c r="G2953" s="2"/>
      <c r="H2953" s="2"/>
      <c r="I2953" s="2"/>
      <c r="J2953" s="2"/>
    </row>
    <row r="2954" spans="1:10" s="21" customFormat="1" x14ac:dyDescent="0.35">
      <c r="A2954" s="2" t="s">
        <v>1237</v>
      </c>
      <c r="B2954" s="2" t="s">
        <v>1407</v>
      </c>
      <c r="C2954" s="2" t="s">
        <v>62</v>
      </c>
      <c r="D2954" s="2" t="s">
        <v>1573</v>
      </c>
      <c r="E2954" s="2" t="s">
        <v>98</v>
      </c>
      <c r="F2954" s="2" t="s">
        <v>98</v>
      </c>
      <c r="G2954" s="2"/>
      <c r="H2954" s="2"/>
      <c r="I2954" s="2"/>
      <c r="J2954" s="2"/>
    </row>
    <row r="2955" spans="1:10" s="21" customFormat="1" x14ac:dyDescent="0.35">
      <c r="A2955" s="2" t="s">
        <v>1237</v>
      </c>
      <c r="B2955" s="2" t="s">
        <v>1407</v>
      </c>
      <c r="C2955" s="2" t="s">
        <v>62</v>
      </c>
      <c r="D2955" s="2" t="s">
        <v>1573</v>
      </c>
      <c r="E2955" s="2" t="s">
        <v>387</v>
      </c>
      <c r="F2955" s="2" t="s">
        <v>1574</v>
      </c>
      <c r="G2955" s="2"/>
      <c r="H2955" s="2"/>
      <c r="I2955" s="2"/>
      <c r="J2955" s="2"/>
    </row>
    <row r="2956" spans="1:10" x14ac:dyDescent="0.35">
      <c r="A2956" s="2" t="s">
        <v>1237</v>
      </c>
      <c r="B2956" s="2" t="s">
        <v>1407</v>
      </c>
      <c r="C2956" s="2" t="s">
        <v>62</v>
      </c>
      <c r="D2956" s="2" t="s">
        <v>1573</v>
      </c>
      <c r="E2956" s="2" t="s">
        <v>327</v>
      </c>
      <c r="F2956" s="2" t="s">
        <v>328</v>
      </c>
      <c r="G2956" s="2"/>
      <c r="H2956" s="2"/>
      <c r="I2956" s="2"/>
      <c r="J2956" s="2"/>
    </row>
    <row r="2957" spans="1:10" s="21" customFormat="1" x14ac:dyDescent="0.35">
      <c r="A2957" s="2" t="s">
        <v>1237</v>
      </c>
      <c r="B2957" s="2" t="s">
        <v>1407</v>
      </c>
      <c r="C2957" s="2" t="s">
        <v>62</v>
      </c>
      <c r="D2957" s="2" t="s">
        <v>1573</v>
      </c>
      <c r="E2957" s="2" t="s">
        <v>333</v>
      </c>
      <c r="F2957" s="2" t="s">
        <v>334</v>
      </c>
      <c r="G2957" s="2"/>
      <c r="H2957" s="2"/>
      <c r="I2957" s="2"/>
      <c r="J2957" s="2"/>
    </row>
    <row r="2958" spans="1:10" x14ac:dyDescent="0.35">
      <c r="A2958" s="2" t="s">
        <v>1237</v>
      </c>
      <c r="B2958" s="2" t="s">
        <v>1407</v>
      </c>
      <c r="C2958" s="2" t="s">
        <v>62</v>
      </c>
      <c r="D2958" s="2" t="s">
        <v>1573</v>
      </c>
      <c r="E2958" s="2" t="s">
        <v>345</v>
      </c>
      <c r="F2958" s="2" t="s">
        <v>346</v>
      </c>
      <c r="G2958" s="2"/>
      <c r="H2958" s="2"/>
      <c r="I2958" s="2"/>
      <c r="J2958" s="2"/>
    </row>
    <row r="2959" spans="1:10" s="21" customFormat="1" x14ac:dyDescent="0.35">
      <c r="A2959" s="2" t="s">
        <v>1237</v>
      </c>
      <c r="B2959" s="2" t="s">
        <v>1407</v>
      </c>
      <c r="C2959" s="2" t="s">
        <v>62</v>
      </c>
      <c r="D2959" s="2" t="s">
        <v>1575</v>
      </c>
      <c r="E2959" s="2" t="s">
        <v>106</v>
      </c>
      <c r="F2959" s="2" t="s">
        <v>107</v>
      </c>
      <c r="G2959" s="2"/>
      <c r="H2959" s="2"/>
      <c r="I2959" s="2"/>
      <c r="J2959" s="2"/>
    </row>
    <row r="2960" spans="1:10" x14ac:dyDescent="0.35">
      <c r="A2960" s="2" t="s">
        <v>1237</v>
      </c>
      <c r="B2960" s="2" t="s">
        <v>1407</v>
      </c>
      <c r="C2960" s="2" t="s">
        <v>62</v>
      </c>
      <c r="D2960" s="2" t="s">
        <v>1576</v>
      </c>
      <c r="E2960" s="2" t="s">
        <v>196</v>
      </c>
      <c r="F2960" s="2" t="s">
        <v>197</v>
      </c>
      <c r="G2960" s="2"/>
      <c r="H2960" s="2"/>
      <c r="I2960" s="2"/>
      <c r="J2960" s="2"/>
    </row>
    <row r="2961" spans="1:10" x14ac:dyDescent="0.35">
      <c r="A2961" s="2" t="s">
        <v>1237</v>
      </c>
      <c r="B2961" s="2" t="s">
        <v>1407</v>
      </c>
      <c r="C2961" s="2" t="s">
        <v>62</v>
      </c>
      <c r="D2961" s="2" t="s">
        <v>1576</v>
      </c>
      <c r="E2961" s="2" t="s">
        <v>319</v>
      </c>
      <c r="F2961" s="2" t="s">
        <v>320</v>
      </c>
      <c r="G2961" s="2"/>
      <c r="H2961" s="2"/>
      <c r="I2961" s="2"/>
      <c r="J2961" s="2"/>
    </row>
    <row r="2962" spans="1:10" x14ac:dyDescent="0.35">
      <c r="A2962" s="2" t="s">
        <v>1237</v>
      </c>
      <c r="B2962" s="2" t="s">
        <v>1407</v>
      </c>
      <c r="C2962" s="2" t="s">
        <v>62</v>
      </c>
      <c r="D2962" s="2" t="s">
        <v>1576</v>
      </c>
      <c r="E2962" s="2" t="s">
        <v>649</v>
      </c>
      <c r="F2962" s="2" t="s">
        <v>363</v>
      </c>
      <c r="G2962" s="2"/>
      <c r="H2962" s="2"/>
      <c r="I2962" s="2"/>
      <c r="J2962" s="2"/>
    </row>
    <row r="2963" spans="1:10" x14ac:dyDescent="0.35">
      <c r="A2963" s="2" t="s">
        <v>1237</v>
      </c>
      <c r="B2963" s="2" t="s">
        <v>1407</v>
      </c>
      <c r="C2963" s="2" t="s">
        <v>62</v>
      </c>
      <c r="D2963" s="2" t="s">
        <v>1576</v>
      </c>
      <c r="E2963" s="2" t="s">
        <v>77</v>
      </c>
      <c r="F2963" s="2" t="s">
        <v>78</v>
      </c>
      <c r="G2963" s="2"/>
      <c r="H2963" s="2"/>
      <c r="I2963" s="2"/>
      <c r="J2963" s="2"/>
    </row>
    <row r="2964" spans="1:10" x14ac:dyDescent="0.35">
      <c r="A2964" s="2" t="s">
        <v>1237</v>
      </c>
      <c r="B2964" s="2" t="s">
        <v>1407</v>
      </c>
      <c r="C2964" s="2" t="s">
        <v>62</v>
      </c>
      <c r="D2964" s="2" t="s">
        <v>1576</v>
      </c>
      <c r="E2964" s="2" t="s">
        <v>18</v>
      </c>
      <c r="F2964" s="2" t="s">
        <v>19</v>
      </c>
      <c r="G2964" s="2" t="s">
        <v>20</v>
      </c>
      <c r="H2964" s="2" t="s">
        <v>1378</v>
      </c>
      <c r="I2964" s="2"/>
      <c r="J2964" s="2"/>
    </row>
    <row r="2965" spans="1:10" x14ac:dyDescent="0.35">
      <c r="A2965" s="2" t="s">
        <v>1237</v>
      </c>
      <c r="B2965" s="2" t="s">
        <v>1407</v>
      </c>
      <c r="C2965" s="2" t="s">
        <v>62</v>
      </c>
      <c r="D2965" s="2" t="s">
        <v>1576</v>
      </c>
      <c r="E2965" s="2" t="s">
        <v>321</v>
      </c>
      <c r="F2965" s="2" t="s">
        <v>321</v>
      </c>
      <c r="G2965" s="2"/>
      <c r="H2965" s="2"/>
      <c r="I2965" s="2"/>
      <c r="J2965" s="2"/>
    </row>
    <row r="2966" spans="1:10" x14ac:dyDescent="0.35">
      <c r="A2966" s="2" t="s">
        <v>1237</v>
      </c>
      <c r="B2966" s="2" t="s">
        <v>1407</v>
      </c>
      <c r="C2966" s="2" t="s">
        <v>62</v>
      </c>
      <c r="D2966" s="2" t="s">
        <v>1576</v>
      </c>
      <c r="E2966" s="2" t="s">
        <v>322</v>
      </c>
      <c r="F2966" s="2" t="s">
        <v>246</v>
      </c>
      <c r="G2966" s="2"/>
      <c r="H2966" s="2"/>
      <c r="I2966" s="2"/>
      <c r="J2966" s="2"/>
    </row>
    <row r="2967" spans="1:10" x14ac:dyDescent="0.35">
      <c r="A2967" s="2" t="s">
        <v>1237</v>
      </c>
      <c r="B2967" s="2" t="s">
        <v>1407</v>
      </c>
      <c r="C2967" s="2" t="s">
        <v>62</v>
      </c>
      <c r="D2967" s="2" t="s">
        <v>1576</v>
      </c>
      <c r="E2967" s="2" t="s">
        <v>323</v>
      </c>
      <c r="F2967" s="2" t="s">
        <v>246</v>
      </c>
      <c r="G2967" s="2"/>
      <c r="H2967" s="2"/>
      <c r="I2967" s="2"/>
      <c r="J2967" s="2"/>
    </row>
    <row r="2968" spans="1:10" x14ac:dyDescent="0.35">
      <c r="A2968" s="2" t="s">
        <v>1237</v>
      </c>
      <c r="B2968" s="2" t="s">
        <v>1407</v>
      </c>
      <c r="C2968" s="2" t="s">
        <v>62</v>
      </c>
      <c r="D2968" s="2" t="s">
        <v>1576</v>
      </c>
      <c r="E2968" s="2" t="s">
        <v>324</v>
      </c>
      <c r="F2968" s="2" t="s">
        <v>246</v>
      </c>
      <c r="G2968" s="2"/>
      <c r="H2968" s="2"/>
      <c r="I2968" s="2"/>
      <c r="J2968" s="2"/>
    </row>
    <row r="2969" spans="1:10" x14ac:dyDescent="0.35">
      <c r="A2969" s="2" t="s">
        <v>1237</v>
      </c>
      <c r="B2969" s="2" t="s">
        <v>1407</v>
      </c>
      <c r="C2969" s="2" t="s">
        <v>62</v>
      </c>
      <c r="D2969" s="2" t="s">
        <v>1576</v>
      </c>
      <c r="E2969" s="2" t="s">
        <v>325</v>
      </c>
      <c r="F2969" s="2" t="s">
        <v>1413</v>
      </c>
      <c r="G2969" s="2"/>
      <c r="H2969" s="2"/>
      <c r="I2969" s="2"/>
      <c r="J2969" s="2"/>
    </row>
    <row r="2970" spans="1:10" x14ac:dyDescent="0.35">
      <c r="A2970" s="2" t="s">
        <v>1237</v>
      </c>
      <c r="B2970" s="2" t="s">
        <v>1407</v>
      </c>
      <c r="C2970" s="2" t="s">
        <v>62</v>
      </c>
      <c r="D2970" s="2" t="s">
        <v>1576</v>
      </c>
      <c r="E2970" s="2" t="s">
        <v>327</v>
      </c>
      <c r="F2970" s="2" t="s">
        <v>328</v>
      </c>
      <c r="G2970" s="2"/>
      <c r="H2970" s="2"/>
      <c r="I2970" s="2"/>
      <c r="J2970" s="2"/>
    </row>
    <row r="2971" spans="1:10" x14ac:dyDescent="0.35">
      <c r="A2971" s="2" t="s">
        <v>1237</v>
      </c>
      <c r="B2971" s="2" t="s">
        <v>1407</v>
      </c>
      <c r="C2971" s="2" t="s">
        <v>62</v>
      </c>
      <c r="D2971" s="2" t="s">
        <v>1576</v>
      </c>
      <c r="E2971" s="2" t="s">
        <v>329</v>
      </c>
      <c r="F2971" s="2" t="s">
        <v>330</v>
      </c>
      <c r="G2971" s="2"/>
      <c r="H2971" s="2"/>
      <c r="I2971" s="2"/>
      <c r="J2971" s="2"/>
    </row>
    <row r="2972" spans="1:10" x14ac:dyDescent="0.35">
      <c r="A2972" s="2" t="s">
        <v>1237</v>
      </c>
      <c r="B2972" s="2" t="s">
        <v>1407</v>
      </c>
      <c r="C2972" s="2" t="s">
        <v>62</v>
      </c>
      <c r="D2972" s="2" t="s">
        <v>1576</v>
      </c>
      <c r="E2972" s="2" t="s">
        <v>331</v>
      </c>
      <c r="F2972" s="2" t="s">
        <v>332</v>
      </c>
      <c r="G2972" s="2"/>
      <c r="H2972" s="2"/>
      <c r="I2972" s="2"/>
      <c r="J2972" s="2"/>
    </row>
    <row r="2973" spans="1:10" x14ac:dyDescent="0.35">
      <c r="A2973" s="2" t="s">
        <v>1237</v>
      </c>
      <c r="B2973" s="2" t="s">
        <v>1407</v>
      </c>
      <c r="C2973" s="2" t="s">
        <v>62</v>
      </c>
      <c r="D2973" s="2" t="s">
        <v>1576</v>
      </c>
      <c r="E2973" s="2" t="s">
        <v>333</v>
      </c>
      <c r="F2973" s="2" t="s">
        <v>334</v>
      </c>
      <c r="G2973" s="2"/>
      <c r="H2973" s="2"/>
      <c r="I2973" s="2"/>
      <c r="J2973" s="2"/>
    </row>
    <row r="2974" spans="1:10" x14ac:dyDescent="0.35">
      <c r="A2974" s="2" t="s">
        <v>1237</v>
      </c>
      <c r="B2974" s="2" t="s">
        <v>1407</v>
      </c>
      <c r="C2974" s="2" t="s">
        <v>62</v>
      </c>
      <c r="D2974" s="2" t="s">
        <v>1576</v>
      </c>
      <c r="E2974" s="2" t="s">
        <v>149</v>
      </c>
      <c r="F2974" s="2" t="s">
        <v>150</v>
      </c>
      <c r="G2974" s="2"/>
      <c r="H2974" s="2"/>
      <c r="I2974" s="2"/>
      <c r="J2974" s="2"/>
    </row>
    <row r="2975" spans="1:10" x14ac:dyDescent="0.35">
      <c r="A2975" s="2" t="s">
        <v>1237</v>
      </c>
      <c r="B2975" s="2" t="s">
        <v>1407</v>
      </c>
      <c r="C2975" s="2" t="s">
        <v>62</v>
      </c>
      <c r="D2975" s="2" t="s">
        <v>1576</v>
      </c>
      <c r="E2975" s="2" t="s">
        <v>1297</v>
      </c>
      <c r="F2975" s="2" t="s">
        <v>533</v>
      </c>
      <c r="G2975" s="2"/>
      <c r="H2975" s="2"/>
      <c r="I2975" s="2"/>
      <c r="J2975" s="2"/>
    </row>
    <row r="2976" spans="1:10" x14ac:dyDescent="0.35">
      <c r="A2976" s="2" t="s">
        <v>1237</v>
      </c>
      <c r="B2976" s="2" t="s">
        <v>1407</v>
      </c>
      <c r="C2976" s="2" t="s">
        <v>62</v>
      </c>
      <c r="D2976" s="2" t="s">
        <v>1576</v>
      </c>
      <c r="E2976" s="2" t="s">
        <v>335</v>
      </c>
      <c r="F2976" s="2" t="s">
        <v>336</v>
      </c>
      <c r="G2976" s="2"/>
      <c r="H2976" s="2"/>
      <c r="I2976" s="2"/>
      <c r="J2976" s="2"/>
    </row>
    <row r="2977" spans="1:10" x14ac:dyDescent="0.35">
      <c r="A2977" s="2" t="s">
        <v>1237</v>
      </c>
      <c r="B2977" s="2" t="s">
        <v>1407</v>
      </c>
      <c r="C2977" s="2" t="s">
        <v>62</v>
      </c>
      <c r="D2977" s="2" t="s">
        <v>1576</v>
      </c>
      <c r="E2977" s="2" t="s">
        <v>337</v>
      </c>
      <c r="F2977" s="2" t="s">
        <v>338</v>
      </c>
      <c r="G2977" s="2"/>
      <c r="H2977" s="2"/>
      <c r="I2977" s="2"/>
      <c r="J2977" s="2"/>
    </row>
    <row r="2978" spans="1:10" x14ac:dyDescent="0.35">
      <c r="A2978" s="2" t="s">
        <v>1237</v>
      </c>
      <c r="B2978" s="2" t="s">
        <v>1407</v>
      </c>
      <c r="C2978" s="2" t="s">
        <v>62</v>
      </c>
      <c r="D2978" s="2" t="s">
        <v>1576</v>
      </c>
      <c r="E2978" s="2" t="s">
        <v>339</v>
      </c>
      <c r="F2978" s="2" t="s">
        <v>340</v>
      </c>
      <c r="G2978" s="2"/>
      <c r="H2978" s="2"/>
      <c r="I2978" s="2"/>
      <c r="J2978" s="2"/>
    </row>
    <row r="2979" spans="1:10" x14ac:dyDescent="0.35">
      <c r="A2979" s="2" t="s">
        <v>1237</v>
      </c>
      <c r="B2979" s="2" t="s">
        <v>1407</v>
      </c>
      <c r="C2979" s="2" t="s">
        <v>62</v>
      </c>
      <c r="D2979" s="2" t="s">
        <v>1576</v>
      </c>
      <c r="E2979" s="2" t="s">
        <v>341</v>
      </c>
      <c r="F2979" s="2" t="s">
        <v>342</v>
      </c>
      <c r="G2979" s="2"/>
      <c r="H2979" s="2"/>
      <c r="I2979" s="2"/>
      <c r="J2979" s="2"/>
    </row>
    <row r="2980" spans="1:10" x14ac:dyDescent="0.35">
      <c r="A2980" s="2" t="s">
        <v>1237</v>
      </c>
      <c r="B2980" s="2" t="s">
        <v>1407</v>
      </c>
      <c r="C2980" s="2" t="s">
        <v>62</v>
      </c>
      <c r="D2980" s="2" t="s">
        <v>1576</v>
      </c>
      <c r="E2980" s="2" t="s">
        <v>343</v>
      </c>
      <c r="F2980" s="2" t="s">
        <v>344</v>
      </c>
      <c r="G2980" s="2"/>
      <c r="H2980" s="2"/>
      <c r="I2980" s="2"/>
      <c r="J2980" s="2"/>
    </row>
    <row r="2981" spans="1:10" x14ac:dyDescent="0.35">
      <c r="A2981" s="2" t="s">
        <v>1237</v>
      </c>
      <c r="B2981" s="2" t="s">
        <v>1407</v>
      </c>
      <c r="C2981" s="2" t="s">
        <v>62</v>
      </c>
      <c r="D2981" s="2" t="s">
        <v>1576</v>
      </c>
      <c r="E2981" s="2" t="s">
        <v>345</v>
      </c>
      <c r="F2981" s="2" t="s">
        <v>346</v>
      </c>
      <c r="G2981" s="2"/>
      <c r="H2981" s="2"/>
      <c r="I2981" s="2"/>
      <c r="J2981" s="2"/>
    </row>
    <row r="2982" spans="1:10" x14ac:dyDescent="0.35">
      <c r="A2982" s="2" t="s">
        <v>1237</v>
      </c>
      <c r="B2982" s="2" t="s">
        <v>1407</v>
      </c>
      <c r="C2982" s="2" t="s">
        <v>62</v>
      </c>
      <c r="D2982" s="2" t="s">
        <v>1577</v>
      </c>
      <c r="E2982" s="2" t="s">
        <v>196</v>
      </c>
      <c r="F2982" s="2" t="s">
        <v>197</v>
      </c>
      <c r="G2982" s="2" t="s">
        <v>46</v>
      </c>
      <c r="H2982" s="2" t="s">
        <v>1412</v>
      </c>
      <c r="I2982" s="2"/>
      <c r="J2982" s="2"/>
    </row>
    <row r="2983" spans="1:10" x14ac:dyDescent="0.35">
      <c r="A2983" s="2" t="s">
        <v>1237</v>
      </c>
      <c r="B2983" s="2" t="s">
        <v>1407</v>
      </c>
      <c r="C2983" s="2" t="s">
        <v>62</v>
      </c>
      <c r="D2983" s="2" t="s">
        <v>1577</v>
      </c>
      <c r="E2983" s="2" t="s">
        <v>319</v>
      </c>
      <c r="F2983" s="2" t="s">
        <v>320</v>
      </c>
      <c r="G2983" s="2" t="s">
        <v>46</v>
      </c>
      <c r="H2983" s="2" t="s">
        <v>1412</v>
      </c>
      <c r="I2983" s="2"/>
      <c r="J2983" s="2"/>
    </row>
    <row r="2984" spans="1:10" x14ac:dyDescent="0.35">
      <c r="A2984" s="2" t="s">
        <v>1237</v>
      </c>
      <c r="B2984" s="2" t="s">
        <v>1407</v>
      </c>
      <c r="C2984" s="2" t="s">
        <v>62</v>
      </c>
      <c r="D2984" s="2" t="s">
        <v>1577</v>
      </c>
      <c r="E2984" s="2" t="s">
        <v>322</v>
      </c>
      <c r="F2984" s="2" t="s">
        <v>246</v>
      </c>
      <c r="G2984" s="2" t="s">
        <v>46</v>
      </c>
      <c r="H2984" s="2" t="s">
        <v>1412</v>
      </c>
      <c r="I2984" s="2"/>
      <c r="J2984" s="2"/>
    </row>
    <row r="2985" spans="1:10" x14ac:dyDescent="0.35">
      <c r="A2985" s="2" t="s">
        <v>1237</v>
      </c>
      <c r="B2985" s="2" t="s">
        <v>1407</v>
      </c>
      <c r="C2985" s="2" t="s">
        <v>62</v>
      </c>
      <c r="D2985" s="2" t="s">
        <v>1577</v>
      </c>
      <c r="E2985" s="2" t="s">
        <v>323</v>
      </c>
      <c r="F2985" s="2" t="s">
        <v>246</v>
      </c>
      <c r="G2985" s="2" t="s">
        <v>46</v>
      </c>
      <c r="H2985" s="2" t="s">
        <v>1412</v>
      </c>
      <c r="I2985" s="2"/>
      <c r="J2985" s="2"/>
    </row>
    <row r="2986" spans="1:10" x14ac:dyDescent="0.35">
      <c r="A2986" s="2" t="s">
        <v>1237</v>
      </c>
      <c r="B2986" s="2" t="s">
        <v>1407</v>
      </c>
      <c r="C2986" s="2" t="s">
        <v>62</v>
      </c>
      <c r="D2986" s="2" t="s">
        <v>1577</v>
      </c>
      <c r="E2986" s="2" t="s">
        <v>324</v>
      </c>
      <c r="F2986" s="2" t="s">
        <v>246</v>
      </c>
      <c r="G2986" s="2" t="s">
        <v>46</v>
      </c>
      <c r="H2986" s="2" t="s">
        <v>1412</v>
      </c>
      <c r="I2986" s="2"/>
      <c r="J2986" s="2"/>
    </row>
    <row r="2987" spans="1:10" x14ac:dyDescent="0.35">
      <c r="A2987" s="2" t="s">
        <v>1237</v>
      </c>
      <c r="B2987" s="2" t="s">
        <v>1407</v>
      </c>
      <c r="C2987" s="2" t="s">
        <v>62</v>
      </c>
      <c r="D2987" s="2" t="s">
        <v>1577</v>
      </c>
      <c r="E2987" s="2" t="s">
        <v>325</v>
      </c>
      <c r="F2987" s="2" t="s">
        <v>1413</v>
      </c>
      <c r="G2987" s="2" t="s">
        <v>46</v>
      </c>
      <c r="H2987" s="2" t="s">
        <v>1412</v>
      </c>
      <c r="I2987" s="2"/>
      <c r="J2987" s="2"/>
    </row>
    <row r="2988" spans="1:10" x14ac:dyDescent="0.35">
      <c r="A2988" s="2" t="s">
        <v>1237</v>
      </c>
      <c r="B2988" s="2" t="s">
        <v>1407</v>
      </c>
      <c r="C2988" s="2" t="s">
        <v>62</v>
      </c>
      <c r="D2988" s="2" t="s">
        <v>1577</v>
      </c>
      <c r="E2988" s="2" t="s">
        <v>327</v>
      </c>
      <c r="F2988" s="2" t="s">
        <v>328</v>
      </c>
      <c r="G2988" s="2" t="s">
        <v>46</v>
      </c>
      <c r="H2988" s="2" t="s">
        <v>1412</v>
      </c>
      <c r="I2988" s="2"/>
      <c r="J2988" s="2"/>
    </row>
    <row r="2989" spans="1:10" x14ac:dyDescent="0.35">
      <c r="A2989" s="2" t="s">
        <v>1237</v>
      </c>
      <c r="B2989" s="2" t="s">
        <v>1407</v>
      </c>
      <c r="C2989" s="2" t="s">
        <v>62</v>
      </c>
      <c r="D2989" s="2" t="s">
        <v>1577</v>
      </c>
      <c r="E2989" s="2" t="s">
        <v>329</v>
      </c>
      <c r="F2989" s="2" t="s">
        <v>330</v>
      </c>
      <c r="G2989" s="2" t="s">
        <v>46</v>
      </c>
      <c r="H2989" s="2" t="s">
        <v>1412</v>
      </c>
      <c r="I2989" s="2"/>
      <c r="J2989" s="2"/>
    </row>
    <row r="2990" spans="1:10" x14ac:dyDescent="0.35">
      <c r="A2990" s="2" t="s">
        <v>1237</v>
      </c>
      <c r="B2990" s="2" t="s">
        <v>1407</v>
      </c>
      <c r="C2990" s="2" t="s">
        <v>62</v>
      </c>
      <c r="D2990" s="2" t="s">
        <v>1577</v>
      </c>
      <c r="E2990" s="2" t="s">
        <v>331</v>
      </c>
      <c r="F2990" s="2" t="s">
        <v>332</v>
      </c>
      <c r="G2990" s="2" t="s">
        <v>46</v>
      </c>
      <c r="H2990" s="2" t="s">
        <v>1412</v>
      </c>
      <c r="I2990" s="2"/>
      <c r="J2990" s="2"/>
    </row>
    <row r="2991" spans="1:10" x14ac:dyDescent="0.35">
      <c r="A2991" s="2" t="s">
        <v>1237</v>
      </c>
      <c r="B2991" s="2" t="s">
        <v>1407</v>
      </c>
      <c r="C2991" s="2" t="s">
        <v>62</v>
      </c>
      <c r="D2991" s="2" t="s">
        <v>1577</v>
      </c>
      <c r="E2991" s="2" t="s">
        <v>333</v>
      </c>
      <c r="F2991" s="2" t="s">
        <v>334</v>
      </c>
      <c r="G2991" s="2" t="s">
        <v>46</v>
      </c>
      <c r="H2991" s="2" t="s">
        <v>1412</v>
      </c>
      <c r="I2991" s="2"/>
      <c r="J2991" s="2"/>
    </row>
    <row r="2992" spans="1:10" x14ac:dyDescent="0.35">
      <c r="A2992" s="2" t="s">
        <v>1237</v>
      </c>
      <c r="B2992" s="2" t="s">
        <v>1407</v>
      </c>
      <c r="C2992" s="2" t="s">
        <v>62</v>
      </c>
      <c r="D2992" s="2" t="s">
        <v>1577</v>
      </c>
      <c r="E2992" s="2" t="s">
        <v>1297</v>
      </c>
      <c r="F2992" s="2" t="s">
        <v>533</v>
      </c>
      <c r="G2992" s="2" t="s">
        <v>46</v>
      </c>
      <c r="H2992" s="2" t="s">
        <v>1412</v>
      </c>
      <c r="I2992" s="2"/>
      <c r="J2992" s="2"/>
    </row>
    <row r="2993" spans="1:10" x14ac:dyDescent="0.35">
      <c r="A2993" s="2" t="s">
        <v>1237</v>
      </c>
      <c r="B2993" s="2" t="s">
        <v>1407</v>
      </c>
      <c r="C2993" s="2" t="s">
        <v>62</v>
      </c>
      <c r="D2993" s="2" t="s">
        <v>1577</v>
      </c>
      <c r="E2993" s="2" t="s">
        <v>335</v>
      </c>
      <c r="F2993" s="2" t="s">
        <v>336</v>
      </c>
      <c r="G2993" s="2" t="s">
        <v>46</v>
      </c>
      <c r="H2993" s="2" t="s">
        <v>1412</v>
      </c>
      <c r="I2993" s="2"/>
      <c r="J2993" s="2"/>
    </row>
    <row r="2994" spans="1:10" x14ac:dyDescent="0.35">
      <c r="A2994" s="2" t="s">
        <v>1237</v>
      </c>
      <c r="B2994" s="2" t="s">
        <v>1407</v>
      </c>
      <c r="C2994" s="2" t="s">
        <v>62</v>
      </c>
      <c r="D2994" s="2" t="s">
        <v>1577</v>
      </c>
      <c r="E2994" s="2" t="s">
        <v>337</v>
      </c>
      <c r="F2994" s="2" t="s">
        <v>338</v>
      </c>
      <c r="G2994" s="2" t="s">
        <v>46</v>
      </c>
      <c r="H2994" s="2" t="s">
        <v>1412</v>
      </c>
      <c r="I2994" s="2"/>
      <c r="J2994" s="2"/>
    </row>
    <row r="2995" spans="1:10" x14ac:dyDescent="0.35">
      <c r="A2995" s="2" t="s">
        <v>1237</v>
      </c>
      <c r="B2995" s="2" t="s">
        <v>1407</v>
      </c>
      <c r="C2995" s="2" t="s">
        <v>62</v>
      </c>
      <c r="D2995" s="2" t="s">
        <v>1577</v>
      </c>
      <c r="E2995" s="2" t="s">
        <v>339</v>
      </c>
      <c r="F2995" s="2" t="s">
        <v>340</v>
      </c>
      <c r="G2995" s="2" t="s">
        <v>46</v>
      </c>
      <c r="H2995" s="2" t="s">
        <v>1412</v>
      </c>
      <c r="I2995" s="2"/>
      <c r="J2995" s="2"/>
    </row>
    <row r="2996" spans="1:10" x14ac:dyDescent="0.35">
      <c r="A2996" s="2" t="s">
        <v>1237</v>
      </c>
      <c r="B2996" s="2" t="s">
        <v>1407</v>
      </c>
      <c r="C2996" s="2" t="s">
        <v>62</v>
      </c>
      <c r="D2996" s="2" t="s">
        <v>1577</v>
      </c>
      <c r="E2996" s="2" t="s">
        <v>341</v>
      </c>
      <c r="F2996" s="2" t="s">
        <v>342</v>
      </c>
      <c r="G2996" s="2" t="s">
        <v>46</v>
      </c>
      <c r="H2996" s="2" t="s">
        <v>1412</v>
      </c>
      <c r="I2996" s="2"/>
      <c r="J2996" s="2"/>
    </row>
    <row r="2997" spans="1:10" x14ac:dyDescent="0.35">
      <c r="A2997" s="2" t="s">
        <v>1237</v>
      </c>
      <c r="B2997" s="2" t="s">
        <v>1407</v>
      </c>
      <c r="C2997" s="2" t="s">
        <v>62</v>
      </c>
      <c r="D2997" s="2" t="s">
        <v>1577</v>
      </c>
      <c r="E2997" s="2" t="s">
        <v>343</v>
      </c>
      <c r="F2997" s="2" t="s">
        <v>344</v>
      </c>
      <c r="G2997" s="2" t="s">
        <v>46</v>
      </c>
      <c r="H2997" s="2" t="s">
        <v>1412</v>
      </c>
      <c r="I2997" s="2"/>
      <c r="J2997" s="2"/>
    </row>
    <row r="2998" spans="1:10" x14ac:dyDescent="0.35">
      <c r="A2998" s="2" t="s">
        <v>1237</v>
      </c>
      <c r="B2998" s="2" t="s">
        <v>1407</v>
      </c>
      <c r="C2998" s="2" t="s">
        <v>62</v>
      </c>
      <c r="D2998" s="2" t="s">
        <v>1577</v>
      </c>
      <c r="E2998" s="2" t="s">
        <v>345</v>
      </c>
      <c r="F2998" s="2" t="s">
        <v>346</v>
      </c>
      <c r="G2998" s="2" t="s">
        <v>46</v>
      </c>
      <c r="H2998" s="2" t="s">
        <v>1412</v>
      </c>
      <c r="I2998" s="2"/>
      <c r="J2998" s="2"/>
    </row>
    <row r="2999" spans="1:10" x14ac:dyDescent="0.35">
      <c r="A2999" s="2" t="s">
        <v>1237</v>
      </c>
      <c r="B2999" s="2" t="s">
        <v>1407</v>
      </c>
      <c r="C2999" s="2" t="s">
        <v>62</v>
      </c>
      <c r="D2999" s="2" t="s">
        <v>1578</v>
      </c>
      <c r="E2999" s="2" t="s">
        <v>319</v>
      </c>
      <c r="F2999" s="2" t="s">
        <v>320</v>
      </c>
      <c r="G2999" s="2"/>
      <c r="H2999" s="2"/>
      <c r="I2999" s="2"/>
      <c r="J2999" s="2"/>
    </row>
    <row r="3000" spans="1:10" x14ac:dyDescent="0.35">
      <c r="A3000" s="2" t="s">
        <v>1237</v>
      </c>
      <c r="B3000" s="2" t="s">
        <v>1407</v>
      </c>
      <c r="C3000" s="2" t="s">
        <v>62</v>
      </c>
      <c r="D3000" s="2" t="s">
        <v>1578</v>
      </c>
      <c r="E3000" s="2" t="s">
        <v>321</v>
      </c>
      <c r="F3000" s="2" t="s">
        <v>321</v>
      </c>
      <c r="G3000" s="2"/>
      <c r="H3000" s="2"/>
      <c r="I3000" s="2"/>
      <c r="J3000" s="2"/>
    </row>
    <row r="3001" spans="1:10" x14ac:dyDescent="0.35">
      <c r="A3001" s="2" t="s">
        <v>1237</v>
      </c>
      <c r="B3001" s="2" t="s">
        <v>1407</v>
      </c>
      <c r="C3001" s="2" t="s">
        <v>62</v>
      </c>
      <c r="D3001" s="2" t="s">
        <v>1578</v>
      </c>
      <c r="E3001" s="2" t="s">
        <v>322</v>
      </c>
      <c r="F3001" s="2" t="s">
        <v>246</v>
      </c>
      <c r="G3001" s="2"/>
      <c r="H3001" s="2"/>
      <c r="I3001" s="2"/>
      <c r="J3001" s="2"/>
    </row>
    <row r="3002" spans="1:10" x14ac:dyDescent="0.35">
      <c r="A3002" s="2" t="s">
        <v>1237</v>
      </c>
      <c r="B3002" s="2" t="s">
        <v>1407</v>
      </c>
      <c r="C3002" s="2" t="s">
        <v>62</v>
      </c>
      <c r="D3002" s="2" t="s">
        <v>1578</v>
      </c>
      <c r="E3002" s="2" t="s">
        <v>323</v>
      </c>
      <c r="F3002" s="2" t="s">
        <v>246</v>
      </c>
      <c r="G3002" s="2"/>
      <c r="H3002" s="2"/>
      <c r="I3002" s="2"/>
      <c r="J3002" s="2"/>
    </row>
    <row r="3003" spans="1:10" x14ac:dyDescent="0.35">
      <c r="A3003" s="2" t="s">
        <v>1237</v>
      </c>
      <c r="B3003" s="2" t="s">
        <v>1407</v>
      </c>
      <c r="C3003" s="2" t="s">
        <v>62</v>
      </c>
      <c r="D3003" s="2" t="s">
        <v>1578</v>
      </c>
      <c r="E3003" s="2" t="s">
        <v>324</v>
      </c>
      <c r="F3003" s="2" t="s">
        <v>246</v>
      </c>
      <c r="G3003" s="2"/>
      <c r="H3003" s="2"/>
      <c r="I3003" s="2"/>
      <c r="J3003" s="2"/>
    </row>
    <row r="3004" spans="1:10" x14ac:dyDescent="0.35">
      <c r="A3004" s="2" t="s">
        <v>1237</v>
      </c>
      <c r="B3004" s="2" t="s">
        <v>1407</v>
      </c>
      <c r="C3004" s="2" t="s">
        <v>62</v>
      </c>
      <c r="D3004" s="2" t="s">
        <v>1578</v>
      </c>
      <c r="E3004" s="2" t="s">
        <v>325</v>
      </c>
      <c r="F3004" s="2" t="s">
        <v>1413</v>
      </c>
      <c r="G3004" s="2"/>
      <c r="H3004" s="2"/>
      <c r="I3004" s="2"/>
      <c r="J3004" s="2"/>
    </row>
    <row r="3005" spans="1:10" x14ac:dyDescent="0.35">
      <c r="A3005" s="2" t="s">
        <v>1237</v>
      </c>
      <c r="B3005" s="2" t="s">
        <v>1407</v>
      </c>
      <c r="C3005" s="2" t="s">
        <v>62</v>
      </c>
      <c r="D3005" s="2" t="s">
        <v>1578</v>
      </c>
      <c r="E3005" s="2" t="s">
        <v>327</v>
      </c>
      <c r="F3005" s="2" t="s">
        <v>328</v>
      </c>
      <c r="G3005" s="2"/>
      <c r="H3005" s="2"/>
      <c r="I3005" s="2"/>
      <c r="J3005" s="2"/>
    </row>
    <row r="3006" spans="1:10" x14ac:dyDescent="0.35">
      <c r="A3006" s="2" t="s">
        <v>1237</v>
      </c>
      <c r="B3006" s="2" t="s">
        <v>1407</v>
      </c>
      <c r="C3006" s="2" t="s">
        <v>62</v>
      </c>
      <c r="D3006" s="2" t="s">
        <v>1578</v>
      </c>
      <c r="E3006" s="2" t="s">
        <v>329</v>
      </c>
      <c r="F3006" s="2" t="s">
        <v>330</v>
      </c>
      <c r="G3006" s="2"/>
      <c r="H3006" s="2"/>
      <c r="I3006" s="2"/>
      <c r="J3006" s="2"/>
    </row>
    <row r="3007" spans="1:10" x14ac:dyDescent="0.35">
      <c r="A3007" s="2" t="s">
        <v>1237</v>
      </c>
      <c r="B3007" s="2" t="s">
        <v>1407</v>
      </c>
      <c r="C3007" s="2" t="s">
        <v>62</v>
      </c>
      <c r="D3007" s="2" t="s">
        <v>1578</v>
      </c>
      <c r="E3007" s="2" t="s">
        <v>331</v>
      </c>
      <c r="F3007" s="2" t="s">
        <v>332</v>
      </c>
      <c r="G3007" s="2"/>
      <c r="H3007" s="2"/>
      <c r="I3007" s="2"/>
      <c r="J3007" s="2"/>
    </row>
    <row r="3008" spans="1:10" x14ac:dyDescent="0.35">
      <c r="A3008" s="2" t="s">
        <v>1237</v>
      </c>
      <c r="B3008" s="2" t="s">
        <v>1407</v>
      </c>
      <c r="C3008" s="2" t="s">
        <v>62</v>
      </c>
      <c r="D3008" s="2" t="s">
        <v>1578</v>
      </c>
      <c r="E3008" s="2" t="s">
        <v>333</v>
      </c>
      <c r="F3008" s="2" t="s">
        <v>334</v>
      </c>
      <c r="G3008" s="2"/>
      <c r="H3008" s="2"/>
      <c r="I3008" s="2"/>
      <c r="J3008" s="2"/>
    </row>
    <row r="3009" spans="1:10" x14ac:dyDescent="0.35">
      <c r="A3009" s="2" t="s">
        <v>1237</v>
      </c>
      <c r="B3009" s="2" t="s">
        <v>1407</v>
      </c>
      <c r="C3009" s="2" t="s">
        <v>62</v>
      </c>
      <c r="D3009" s="2" t="s">
        <v>1578</v>
      </c>
      <c r="E3009" s="2" t="s">
        <v>1297</v>
      </c>
      <c r="F3009" s="2" t="s">
        <v>533</v>
      </c>
      <c r="G3009" s="2"/>
      <c r="H3009" s="2"/>
      <c r="I3009" s="2"/>
      <c r="J3009" s="2"/>
    </row>
    <row r="3010" spans="1:10" x14ac:dyDescent="0.35">
      <c r="A3010" s="2" t="s">
        <v>1237</v>
      </c>
      <c r="B3010" s="2" t="s">
        <v>1407</v>
      </c>
      <c r="C3010" s="2" t="s">
        <v>62</v>
      </c>
      <c r="D3010" s="2" t="s">
        <v>1578</v>
      </c>
      <c r="E3010" s="2" t="s">
        <v>335</v>
      </c>
      <c r="F3010" s="2" t="s">
        <v>336</v>
      </c>
      <c r="G3010" s="2"/>
      <c r="H3010" s="2"/>
      <c r="I3010" s="2"/>
      <c r="J3010" s="2"/>
    </row>
    <row r="3011" spans="1:10" x14ac:dyDescent="0.35">
      <c r="A3011" s="2" t="s">
        <v>1237</v>
      </c>
      <c r="B3011" s="2" t="s">
        <v>1407</v>
      </c>
      <c r="C3011" s="2" t="s">
        <v>62</v>
      </c>
      <c r="D3011" s="2" t="s">
        <v>1578</v>
      </c>
      <c r="E3011" s="2" t="s">
        <v>337</v>
      </c>
      <c r="F3011" s="2" t="s">
        <v>338</v>
      </c>
      <c r="G3011" s="2"/>
      <c r="H3011" s="2"/>
      <c r="I3011" s="2"/>
      <c r="J3011" s="2"/>
    </row>
    <row r="3012" spans="1:10" x14ac:dyDescent="0.35">
      <c r="A3012" s="2" t="s">
        <v>1237</v>
      </c>
      <c r="B3012" s="2" t="s">
        <v>1407</v>
      </c>
      <c r="C3012" s="2" t="s">
        <v>62</v>
      </c>
      <c r="D3012" s="2" t="s">
        <v>1578</v>
      </c>
      <c r="E3012" s="2" t="s">
        <v>339</v>
      </c>
      <c r="F3012" s="2" t="s">
        <v>340</v>
      </c>
      <c r="G3012" s="2"/>
      <c r="H3012" s="2"/>
      <c r="I3012" s="2"/>
      <c r="J3012" s="2"/>
    </row>
    <row r="3013" spans="1:10" x14ac:dyDescent="0.35">
      <c r="A3013" s="2" t="s">
        <v>1237</v>
      </c>
      <c r="B3013" s="2" t="s">
        <v>1407</v>
      </c>
      <c r="C3013" s="2" t="s">
        <v>62</v>
      </c>
      <c r="D3013" s="2" t="s">
        <v>1578</v>
      </c>
      <c r="E3013" s="2" t="s">
        <v>341</v>
      </c>
      <c r="F3013" s="2" t="s">
        <v>342</v>
      </c>
      <c r="G3013" s="2"/>
      <c r="H3013" s="2"/>
      <c r="I3013" s="2"/>
      <c r="J3013" s="2"/>
    </row>
    <row r="3014" spans="1:10" x14ac:dyDescent="0.35">
      <c r="A3014" s="2" t="s">
        <v>1237</v>
      </c>
      <c r="B3014" s="2" t="s">
        <v>1407</v>
      </c>
      <c r="C3014" s="2" t="s">
        <v>62</v>
      </c>
      <c r="D3014" s="2" t="s">
        <v>1578</v>
      </c>
      <c r="E3014" s="2" t="s">
        <v>343</v>
      </c>
      <c r="F3014" s="2" t="s">
        <v>344</v>
      </c>
      <c r="G3014" s="2"/>
      <c r="H3014" s="2"/>
      <c r="I3014" s="2"/>
      <c r="J3014" s="2"/>
    </row>
    <row r="3015" spans="1:10" x14ac:dyDescent="0.35">
      <c r="A3015" s="2" t="s">
        <v>1237</v>
      </c>
      <c r="B3015" s="2" t="s">
        <v>1407</v>
      </c>
      <c r="C3015" s="2" t="s">
        <v>62</v>
      </c>
      <c r="D3015" s="2" t="s">
        <v>1578</v>
      </c>
      <c r="E3015" s="2" t="s">
        <v>345</v>
      </c>
      <c r="F3015" s="2" t="s">
        <v>346</v>
      </c>
      <c r="G3015" s="2"/>
      <c r="H3015" s="2"/>
      <c r="I3015" s="2"/>
      <c r="J3015" s="2"/>
    </row>
    <row r="3016" spans="1:10" x14ac:dyDescent="0.35">
      <c r="A3016" s="2" t="s">
        <v>1237</v>
      </c>
      <c r="B3016" s="2" t="s">
        <v>1407</v>
      </c>
      <c r="C3016" s="2" t="s">
        <v>62</v>
      </c>
      <c r="D3016" s="2" t="s">
        <v>1579</v>
      </c>
      <c r="E3016" s="2" t="s">
        <v>317</v>
      </c>
      <c r="F3016" s="2" t="s">
        <v>318</v>
      </c>
      <c r="G3016" s="2"/>
      <c r="H3016" s="2"/>
      <c r="I3016" s="2"/>
      <c r="J3016" s="2"/>
    </row>
    <row r="3017" spans="1:10" s="21" customFormat="1" x14ac:dyDescent="0.35">
      <c r="A3017" s="2" t="s">
        <v>1237</v>
      </c>
      <c r="B3017" s="2" t="s">
        <v>1407</v>
      </c>
      <c r="C3017" s="2" t="s">
        <v>62</v>
      </c>
      <c r="D3017" s="2" t="s">
        <v>1579</v>
      </c>
      <c r="E3017" s="2" t="s">
        <v>333</v>
      </c>
      <c r="F3017" s="2" t="s">
        <v>334</v>
      </c>
      <c r="G3017" s="2"/>
      <c r="H3017" s="2"/>
      <c r="I3017" s="2"/>
      <c r="J3017" s="2"/>
    </row>
    <row r="3018" spans="1:10" x14ac:dyDescent="0.35">
      <c r="A3018" s="2" t="s">
        <v>1237</v>
      </c>
      <c r="B3018" s="2" t="s">
        <v>1407</v>
      </c>
      <c r="C3018" s="2" t="s">
        <v>62</v>
      </c>
      <c r="D3018" s="2" t="s">
        <v>1579</v>
      </c>
      <c r="E3018" s="2" t="s">
        <v>1297</v>
      </c>
      <c r="F3018" s="2" t="s">
        <v>533</v>
      </c>
      <c r="G3018" s="2"/>
      <c r="H3018" s="2"/>
      <c r="I3018" s="2"/>
      <c r="J3018" s="2"/>
    </row>
    <row r="3019" spans="1:10" x14ac:dyDescent="0.35">
      <c r="A3019" s="2" t="s">
        <v>1237</v>
      </c>
      <c r="B3019" s="2" t="s">
        <v>1407</v>
      </c>
      <c r="C3019" s="2" t="s">
        <v>62</v>
      </c>
      <c r="D3019" s="2" t="s">
        <v>1580</v>
      </c>
      <c r="E3019" s="2" t="s">
        <v>319</v>
      </c>
      <c r="F3019" s="2" t="s">
        <v>320</v>
      </c>
      <c r="G3019" s="2"/>
      <c r="H3019" s="2"/>
      <c r="I3019" s="2"/>
      <c r="J3019" s="2"/>
    </row>
    <row r="3020" spans="1:10" x14ac:dyDescent="0.35">
      <c r="A3020" s="2" t="s">
        <v>1237</v>
      </c>
      <c r="B3020" s="2" t="s">
        <v>1407</v>
      </c>
      <c r="C3020" s="2" t="s">
        <v>62</v>
      </c>
      <c r="D3020" s="2" t="s">
        <v>1580</v>
      </c>
      <c r="E3020" s="2" t="s">
        <v>321</v>
      </c>
      <c r="F3020" s="2" t="s">
        <v>321</v>
      </c>
      <c r="G3020" s="2"/>
      <c r="H3020" s="2"/>
      <c r="I3020" s="2"/>
      <c r="J3020" s="2"/>
    </row>
    <row r="3021" spans="1:10" x14ac:dyDescent="0.35">
      <c r="A3021" s="2" t="s">
        <v>1237</v>
      </c>
      <c r="B3021" s="2" t="s">
        <v>1407</v>
      </c>
      <c r="C3021" s="2" t="s">
        <v>62</v>
      </c>
      <c r="D3021" s="2" t="s">
        <v>1580</v>
      </c>
      <c r="E3021" s="2" t="s">
        <v>322</v>
      </c>
      <c r="F3021" s="2" t="s">
        <v>246</v>
      </c>
      <c r="G3021" s="2"/>
      <c r="H3021" s="2"/>
      <c r="I3021" s="2"/>
      <c r="J3021" s="2"/>
    </row>
    <row r="3022" spans="1:10" x14ac:dyDescent="0.35">
      <c r="A3022" s="2" t="s">
        <v>1237</v>
      </c>
      <c r="B3022" s="2" t="s">
        <v>1407</v>
      </c>
      <c r="C3022" s="2" t="s">
        <v>62</v>
      </c>
      <c r="D3022" s="2" t="s">
        <v>1580</v>
      </c>
      <c r="E3022" s="2" t="s">
        <v>323</v>
      </c>
      <c r="F3022" s="2" t="s">
        <v>246</v>
      </c>
      <c r="G3022" s="2"/>
      <c r="H3022" s="2"/>
      <c r="I3022" s="2"/>
      <c r="J3022" s="2"/>
    </row>
    <row r="3023" spans="1:10" x14ac:dyDescent="0.35">
      <c r="A3023" s="2" t="s">
        <v>1237</v>
      </c>
      <c r="B3023" s="2" t="s">
        <v>1407</v>
      </c>
      <c r="C3023" s="2" t="s">
        <v>62</v>
      </c>
      <c r="D3023" s="2" t="s">
        <v>1580</v>
      </c>
      <c r="E3023" s="2" t="s">
        <v>324</v>
      </c>
      <c r="F3023" s="2" t="s">
        <v>246</v>
      </c>
      <c r="G3023" s="2"/>
      <c r="H3023" s="2"/>
      <c r="I3023" s="2"/>
      <c r="J3023" s="2"/>
    </row>
    <row r="3024" spans="1:10" x14ac:dyDescent="0.35">
      <c r="A3024" s="2" t="s">
        <v>1237</v>
      </c>
      <c r="B3024" s="2" t="s">
        <v>1407</v>
      </c>
      <c r="C3024" s="2" t="s">
        <v>62</v>
      </c>
      <c r="D3024" s="2" t="s">
        <v>1580</v>
      </c>
      <c r="E3024" s="2" t="s">
        <v>325</v>
      </c>
      <c r="F3024" s="2" t="s">
        <v>1413</v>
      </c>
      <c r="G3024" s="2"/>
      <c r="H3024" s="2"/>
      <c r="I3024" s="2"/>
      <c r="J3024" s="2"/>
    </row>
    <row r="3025" spans="1:10" x14ac:dyDescent="0.35">
      <c r="A3025" s="2" t="s">
        <v>1237</v>
      </c>
      <c r="B3025" s="2" t="s">
        <v>1407</v>
      </c>
      <c r="C3025" s="2" t="s">
        <v>62</v>
      </c>
      <c r="D3025" s="2" t="s">
        <v>1580</v>
      </c>
      <c r="E3025" s="2" t="s">
        <v>327</v>
      </c>
      <c r="F3025" s="2" t="s">
        <v>328</v>
      </c>
      <c r="G3025" s="2"/>
      <c r="H3025" s="2"/>
      <c r="I3025" s="2"/>
      <c r="J3025" s="2"/>
    </row>
    <row r="3026" spans="1:10" x14ac:dyDescent="0.35">
      <c r="A3026" s="2" t="s">
        <v>1237</v>
      </c>
      <c r="B3026" s="2" t="s">
        <v>1407</v>
      </c>
      <c r="C3026" s="2" t="s">
        <v>62</v>
      </c>
      <c r="D3026" s="2" t="s">
        <v>1580</v>
      </c>
      <c r="E3026" s="2" t="s">
        <v>329</v>
      </c>
      <c r="F3026" s="2" t="s">
        <v>330</v>
      </c>
      <c r="G3026" s="2"/>
      <c r="H3026" s="2"/>
      <c r="I3026" s="2"/>
      <c r="J3026" s="2"/>
    </row>
    <row r="3027" spans="1:10" x14ac:dyDescent="0.35">
      <c r="A3027" s="2" t="s">
        <v>1237</v>
      </c>
      <c r="B3027" s="2" t="s">
        <v>1407</v>
      </c>
      <c r="C3027" s="2" t="s">
        <v>62</v>
      </c>
      <c r="D3027" s="2" t="s">
        <v>1580</v>
      </c>
      <c r="E3027" s="2" t="s">
        <v>331</v>
      </c>
      <c r="F3027" s="2" t="s">
        <v>332</v>
      </c>
      <c r="G3027" s="2"/>
      <c r="H3027" s="2"/>
      <c r="I3027" s="2"/>
      <c r="J3027" s="2"/>
    </row>
    <row r="3028" spans="1:10" x14ac:dyDescent="0.35">
      <c r="A3028" s="2" t="s">
        <v>1237</v>
      </c>
      <c r="B3028" s="2" t="s">
        <v>1407</v>
      </c>
      <c r="C3028" s="2" t="s">
        <v>62</v>
      </c>
      <c r="D3028" s="2" t="s">
        <v>1580</v>
      </c>
      <c r="E3028" s="2" t="s">
        <v>333</v>
      </c>
      <c r="F3028" s="2" t="s">
        <v>334</v>
      </c>
      <c r="G3028" s="2"/>
      <c r="H3028" s="2"/>
      <c r="I3028" s="2"/>
      <c r="J3028" s="2"/>
    </row>
    <row r="3029" spans="1:10" x14ac:dyDescent="0.35">
      <c r="A3029" s="2" t="s">
        <v>1237</v>
      </c>
      <c r="B3029" s="2" t="s">
        <v>1407</v>
      </c>
      <c r="C3029" s="2" t="s">
        <v>62</v>
      </c>
      <c r="D3029" s="2" t="s">
        <v>1580</v>
      </c>
      <c r="E3029" s="2" t="s">
        <v>1297</v>
      </c>
      <c r="F3029" s="2" t="s">
        <v>533</v>
      </c>
      <c r="G3029" s="2"/>
      <c r="H3029" s="2"/>
      <c r="I3029" s="2"/>
      <c r="J3029" s="2"/>
    </row>
    <row r="3030" spans="1:10" x14ac:dyDescent="0.35">
      <c r="A3030" s="2" t="s">
        <v>1237</v>
      </c>
      <c r="B3030" s="2" t="s">
        <v>1407</v>
      </c>
      <c r="C3030" s="2" t="s">
        <v>62</v>
      </c>
      <c r="D3030" s="2" t="s">
        <v>1580</v>
      </c>
      <c r="E3030" s="2" t="s">
        <v>335</v>
      </c>
      <c r="F3030" s="2" t="s">
        <v>336</v>
      </c>
      <c r="G3030" s="2"/>
      <c r="H3030" s="2"/>
      <c r="I3030" s="2"/>
      <c r="J3030" s="2"/>
    </row>
    <row r="3031" spans="1:10" x14ac:dyDescent="0.35">
      <c r="A3031" s="2" t="s">
        <v>1237</v>
      </c>
      <c r="B3031" s="2" t="s">
        <v>1407</v>
      </c>
      <c r="C3031" s="2" t="s">
        <v>62</v>
      </c>
      <c r="D3031" s="2" t="s">
        <v>1580</v>
      </c>
      <c r="E3031" s="2" t="s">
        <v>337</v>
      </c>
      <c r="F3031" s="2" t="s">
        <v>338</v>
      </c>
      <c r="G3031" s="2"/>
      <c r="H3031" s="2"/>
      <c r="I3031" s="2"/>
      <c r="J3031" s="2"/>
    </row>
    <row r="3032" spans="1:10" x14ac:dyDescent="0.35">
      <c r="A3032" s="2" t="s">
        <v>1237</v>
      </c>
      <c r="B3032" s="2" t="s">
        <v>1407</v>
      </c>
      <c r="C3032" s="2" t="s">
        <v>62</v>
      </c>
      <c r="D3032" s="2" t="s">
        <v>1580</v>
      </c>
      <c r="E3032" s="2" t="s">
        <v>339</v>
      </c>
      <c r="F3032" s="2" t="s">
        <v>340</v>
      </c>
      <c r="G3032" s="2"/>
      <c r="H3032" s="2"/>
      <c r="I3032" s="2"/>
      <c r="J3032" s="2"/>
    </row>
    <row r="3033" spans="1:10" x14ac:dyDescent="0.35">
      <c r="A3033" s="2" t="s">
        <v>1237</v>
      </c>
      <c r="B3033" s="2" t="s">
        <v>1407</v>
      </c>
      <c r="C3033" s="2" t="s">
        <v>62</v>
      </c>
      <c r="D3033" s="2" t="s">
        <v>1580</v>
      </c>
      <c r="E3033" s="2" t="s">
        <v>341</v>
      </c>
      <c r="F3033" s="2" t="s">
        <v>342</v>
      </c>
      <c r="G3033" s="2"/>
      <c r="H3033" s="2"/>
      <c r="I3033" s="2"/>
      <c r="J3033" s="2"/>
    </row>
    <row r="3034" spans="1:10" x14ac:dyDescent="0.35">
      <c r="A3034" s="2" t="s">
        <v>1237</v>
      </c>
      <c r="B3034" s="2" t="s">
        <v>1407</v>
      </c>
      <c r="C3034" s="2" t="s">
        <v>62</v>
      </c>
      <c r="D3034" s="2" t="s">
        <v>1580</v>
      </c>
      <c r="E3034" s="2" t="s">
        <v>343</v>
      </c>
      <c r="F3034" s="2" t="s">
        <v>344</v>
      </c>
      <c r="G3034" s="2"/>
      <c r="H3034" s="2"/>
      <c r="I3034" s="2"/>
      <c r="J3034" s="2"/>
    </row>
    <row r="3035" spans="1:10" x14ac:dyDescent="0.35">
      <c r="A3035" s="2" t="s">
        <v>1237</v>
      </c>
      <c r="B3035" s="2" t="s">
        <v>1407</v>
      </c>
      <c r="C3035" s="2" t="s">
        <v>62</v>
      </c>
      <c r="D3035" s="2" t="s">
        <v>1580</v>
      </c>
      <c r="E3035" s="2" t="s">
        <v>345</v>
      </c>
      <c r="F3035" s="2" t="s">
        <v>346</v>
      </c>
      <c r="G3035" s="2"/>
      <c r="H3035" s="2"/>
      <c r="I3035" s="2"/>
      <c r="J3035" s="2"/>
    </row>
    <row r="3036" spans="1:10" x14ac:dyDescent="0.35">
      <c r="A3036" s="2" t="s">
        <v>1237</v>
      </c>
      <c r="B3036" s="2" t="s">
        <v>1407</v>
      </c>
      <c r="C3036" s="2" t="s">
        <v>62</v>
      </c>
      <c r="D3036" s="2" t="s">
        <v>1581</v>
      </c>
      <c r="E3036" s="2" t="s">
        <v>196</v>
      </c>
      <c r="F3036" s="2" t="s">
        <v>197</v>
      </c>
      <c r="G3036" s="2"/>
      <c r="H3036" s="2"/>
      <c r="I3036" s="2"/>
      <c r="J3036" s="2"/>
    </row>
    <row r="3037" spans="1:10" x14ac:dyDescent="0.35">
      <c r="A3037" s="2" t="s">
        <v>1237</v>
      </c>
      <c r="B3037" s="2" t="s">
        <v>1407</v>
      </c>
      <c r="C3037" s="2" t="s">
        <v>62</v>
      </c>
      <c r="D3037" s="2" t="s">
        <v>1581</v>
      </c>
      <c r="E3037" s="2" t="s">
        <v>319</v>
      </c>
      <c r="F3037" s="2" t="s">
        <v>320</v>
      </c>
      <c r="G3037" s="2"/>
      <c r="H3037" s="2"/>
      <c r="I3037" s="2"/>
      <c r="J3037" s="2"/>
    </row>
    <row r="3038" spans="1:10" x14ac:dyDescent="0.35">
      <c r="A3038" s="2" t="s">
        <v>1237</v>
      </c>
      <c r="B3038" s="2" t="s">
        <v>1407</v>
      </c>
      <c r="C3038" s="2" t="s">
        <v>62</v>
      </c>
      <c r="D3038" s="2" t="s">
        <v>1581</v>
      </c>
      <c r="E3038" s="2" t="s">
        <v>321</v>
      </c>
      <c r="F3038" s="2" t="s">
        <v>321</v>
      </c>
      <c r="G3038" s="2"/>
      <c r="H3038" s="2"/>
      <c r="I3038" s="2"/>
      <c r="J3038" s="2"/>
    </row>
    <row r="3039" spans="1:10" x14ac:dyDescent="0.35">
      <c r="A3039" s="2" t="s">
        <v>1237</v>
      </c>
      <c r="B3039" s="2" t="s">
        <v>1407</v>
      </c>
      <c r="C3039" s="2" t="s">
        <v>62</v>
      </c>
      <c r="D3039" s="2" t="s">
        <v>1581</v>
      </c>
      <c r="E3039" s="2" t="s">
        <v>322</v>
      </c>
      <c r="F3039" s="2" t="s">
        <v>246</v>
      </c>
      <c r="G3039" s="2"/>
      <c r="H3039" s="2"/>
      <c r="I3039" s="2"/>
      <c r="J3039" s="2"/>
    </row>
    <row r="3040" spans="1:10" x14ac:dyDescent="0.35">
      <c r="A3040" s="2" t="s">
        <v>1237</v>
      </c>
      <c r="B3040" s="2" t="s">
        <v>1407</v>
      </c>
      <c r="C3040" s="2" t="s">
        <v>62</v>
      </c>
      <c r="D3040" s="2" t="s">
        <v>1581</v>
      </c>
      <c r="E3040" s="2" t="s">
        <v>323</v>
      </c>
      <c r="F3040" s="2" t="s">
        <v>246</v>
      </c>
      <c r="G3040" s="2"/>
      <c r="H3040" s="2"/>
      <c r="I3040" s="2"/>
      <c r="J3040" s="2"/>
    </row>
    <row r="3041" spans="1:10" x14ac:dyDescent="0.35">
      <c r="A3041" s="2" t="s">
        <v>1237</v>
      </c>
      <c r="B3041" s="2" t="s">
        <v>1407</v>
      </c>
      <c r="C3041" s="2" t="s">
        <v>62</v>
      </c>
      <c r="D3041" s="2" t="s">
        <v>1581</v>
      </c>
      <c r="E3041" s="2" t="s">
        <v>324</v>
      </c>
      <c r="F3041" s="2" t="s">
        <v>246</v>
      </c>
      <c r="G3041" s="2"/>
      <c r="H3041" s="2"/>
      <c r="I3041" s="2"/>
      <c r="J3041" s="2"/>
    </row>
    <row r="3042" spans="1:10" x14ac:dyDescent="0.35">
      <c r="A3042" s="2" t="s">
        <v>1237</v>
      </c>
      <c r="B3042" s="2" t="s">
        <v>1407</v>
      </c>
      <c r="C3042" s="2" t="s">
        <v>62</v>
      </c>
      <c r="D3042" s="2" t="s">
        <v>1581</v>
      </c>
      <c r="E3042" s="2" t="s">
        <v>325</v>
      </c>
      <c r="F3042" s="2" t="s">
        <v>1413</v>
      </c>
      <c r="G3042" s="2"/>
      <c r="H3042" s="2"/>
      <c r="I3042" s="2"/>
      <c r="J3042" s="2"/>
    </row>
    <row r="3043" spans="1:10" x14ac:dyDescent="0.35">
      <c r="A3043" s="2" t="s">
        <v>1237</v>
      </c>
      <c r="B3043" s="2" t="s">
        <v>1407</v>
      </c>
      <c r="C3043" s="2" t="s">
        <v>62</v>
      </c>
      <c r="D3043" s="2" t="s">
        <v>1581</v>
      </c>
      <c r="E3043" s="2" t="s">
        <v>327</v>
      </c>
      <c r="F3043" s="2" t="s">
        <v>328</v>
      </c>
      <c r="G3043" s="2"/>
      <c r="H3043" s="2"/>
      <c r="I3043" s="2"/>
      <c r="J3043" s="2"/>
    </row>
    <row r="3044" spans="1:10" x14ac:dyDescent="0.35">
      <c r="A3044" s="2" t="s">
        <v>1237</v>
      </c>
      <c r="B3044" s="2" t="s">
        <v>1407</v>
      </c>
      <c r="C3044" s="2" t="s">
        <v>62</v>
      </c>
      <c r="D3044" s="2" t="s">
        <v>1581</v>
      </c>
      <c r="E3044" s="2" t="s">
        <v>329</v>
      </c>
      <c r="F3044" s="2" t="s">
        <v>330</v>
      </c>
      <c r="G3044" s="2"/>
      <c r="H3044" s="2"/>
      <c r="I3044" s="2"/>
      <c r="J3044" s="2"/>
    </row>
    <row r="3045" spans="1:10" x14ac:dyDescent="0.35">
      <c r="A3045" s="2" t="s">
        <v>1237</v>
      </c>
      <c r="B3045" s="2" t="s">
        <v>1407</v>
      </c>
      <c r="C3045" s="2" t="s">
        <v>62</v>
      </c>
      <c r="D3045" s="2" t="s">
        <v>1581</v>
      </c>
      <c r="E3045" s="2" t="s">
        <v>331</v>
      </c>
      <c r="F3045" s="2" t="s">
        <v>332</v>
      </c>
      <c r="G3045" s="2"/>
      <c r="H3045" s="2"/>
      <c r="I3045" s="2"/>
      <c r="J3045" s="2"/>
    </row>
    <row r="3046" spans="1:10" x14ac:dyDescent="0.35">
      <c r="A3046" s="2" t="s">
        <v>1237</v>
      </c>
      <c r="B3046" s="2" t="s">
        <v>1407</v>
      </c>
      <c r="C3046" s="2" t="s">
        <v>62</v>
      </c>
      <c r="D3046" s="2" t="s">
        <v>1581</v>
      </c>
      <c r="E3046" s="2" t="s">
        <v>333</v>
      </c>
      <c r="F3046" s="2" t="s">
        <v>334</v>
      </c>
      <c r="G3046" s="2"/>
      <c r="H3046" s="2"/>
      <c r="I3046" s="2"/>
      <c r="J3046" s="2"/>
    </row>
    <row r="3047" spans="1:10" x14ac:dyDescent="0.35">
      <c r="A3047" s="2" t="s">
        <v>1237</v>
      </c>
      <c r="B3047" s="2" t="s">
        <v>1407</v>
      </c>
      <c r="C3047" s="2" t="s">
        <v>62</v>
      </c>
      <c r="D3047" s="2" t="s">
        <v>1581</v>
      </c>
      <c r="E3047" s="2" t="s">
        <v>1297</v>
      </c>
      <c r="F3047" s="2" t="s">
        <v>533</v>
      </c>
      <c r="G3047" s="2"/>
      <c r="H3047" s="2"/>
      <c r="I3047" s="2"/>
      <c r="J3047" s="2"/>
    </row>
    <row r="3048" spans="1:10" x14ac:dyDescent="0.35">
      <c r="A3048" s="2" t="s">
        <v>1237</v>
      </c>
      <c r="B3048" s="2" t="s">
        <v>1407</v>
      </c>
      <c r="C3048" s="2" t="s">
        <v>62</v>
      </c>
      <c r="D3048" s="2" t="s">
        <v>1581</v>
      </c>
      <c r="E3048" s="2" t="s">
        <v>335</v>
      </c>
      <c r="F3048" s="2" t="s">
        <v>336</v>
      </c>
      <c r="G3048" s="2"/>
      <c r="H3048" s="2"/>
      <c r="I3048" s="2"/>
      <c r="J3048" s="2"/>
    </row>
    <row r="3049" spans="1:10" x14ac:dyDescent="0.35">
      <c r="A3049" s="2" t="s">
        <v>1237</v>
      </c>
      <c r="B3049" s="2" t="s">
        <v>1407</v>
      </c>
      <c r="C3049" s="2" t="s">
        <v>62</v>
      </c>
      <c r="D3049" s="2" t="s">
        <v>1581</v>
      </c>
      <c r="E3049" s="2" t="s">
        <v>337</v>
      </c>
      <c r="F3049" s="2" t="s">
        <v>338</v>
      </c>
      <c r="G3049" s="2"/>
      <c r="H3049" s="2"/>
      <c r="I3049" s="2"/>
      <c r="J3049" s="2"/>
    </row>
    <row r="3050" spans="1:10" x14ac:dyDescent="0.35">
      <c r="A3050" s="2" t="s">
        <v>1237</v>
      </c>
      <c r="B3050" s="2" t="s">
        <v>1407</v>
      </c>
      <c r="C3050" s="2" t="s">
        <v>62</v>
      </c>
      <c r="D3050" s="2" t="s">
        <v>1581</v>
      </c>
      <c r="E3050" s="2" t="s">
        <v>339</v>
      </c>
      <c r="F3050" s="2" t="s">
        <v>340</v>
      </c>
      <c r="G3050" s="2"/>
      <c r="H3050" s="2"/>
      <c r="I3050" s="2"/>
      <c r="J3050" s="2"/>
    </row>
    <row r="3051" spans="1:10" x14ac:dyDescent="0.35">
      <c r="A3051" s="2" t="s">
        <v>1237</v>
      </c>
      <c r="B3051" s="2" t="s">
        <v>1407</v>
      </c>
      <c r="C3051" s="2" t="s">
        <v>62</v>
      </c>
      <c r="D3051" s="2" t="s">
        <v>1581</v>
      </c>
      <c r="E3051" s="2" t="s">
        <v>341</v>
      </c>
      <c r="F3051" s="2" t="s">
        <v>342</v>
      </c>
      <c r="G3051" s="2"/>
      <c r="H3051" s="2"/>
      <c r="I3051" s="2"/>
      <c r="J3051" s="2"/>
    </row>
    <row r="3052" spans="1:10" x14ac:dyDescent="0.35">
      <c r="A3052" s="2" t="s">
        <v>1237</v>
      </c>
      <c r="B3052" s="2" t="s">
        <v>1407</v>
      </c>
      <c r="C3052" s="2" t="s">
        <v>62</v>
      </c>
      <c r="D3052" s="2" t="s">
        <v>1581</v>
      </c>
      <c r="E3052" s="2" t="s">
        <v>343</v>
      </c>
      <c r="F3052" s="2" t="s">
        <v>344</v>
      </c>
      <c r="G3052" s="2"/>
      <c r="H3052" s="2"/>
      <c r="I3052" s="2"/>
      <c r="J3052" s="2"/>
    </row>
    <row r="3053" spans="1:10" x14ac:dyDescent="0.35">
      <c r="A3053" s="2" t="s">
        <v>1237</v>
      </c>
      <c r="B3053" s="2" t="s">
        <v>1407</v>
      </c>
      <c r="C3053" s="2" t="s">
        <v>62</v>
      </c>
      <c r="D3053" s="2" t="s">
        <v>1581</v>
      </c>
      <c r="E3053" s="2" t="s">
        <v>345</v>
      </c>
      <c r="F3053" s="2" t="s">
        <v>346</v>
      </c>
      <c r="G3053" s="2"/>
      <c r="H3053" s="2"/>
      <c r="I3053" s="2"/>
      <c r="J3053" s="2"/>
    </row>
    <row r="3054" spans="1:10" x14ac:dyDescent="0.35">
      <c r="A3054" s="2" t="s">
        <v>1237</v>
      </c>
      <c r="B3054" s="2" t="s">
        <v>1407</v>
      </c>
      <c r="C3054" s="2" t="s">
        <v>62</v>
      </c>
      <c r="D3054" s="2" t="s">
        <v>1582</v>
      </c>
      <c r="E3054" s="2" t="s">
        <v>319</v>
      </c>
      <c r="F3054" s="2" t="s">
        <v>320</v>
      </c>
      <c r="G3054" s="2"/>
      <c r="H3054" s="2"/>
      <c r="I3054" s="2"/>
      <c r="J3054" s="2"/>
    </row>
    <row r="3055" spans="1:10" x14ac:dyDescent="0.35">
      <c r="A3055" s="2" t="s">
        <v>1237</v>
      </c>
      <c r="B3055" s="2" t="s">
        <v>1407</v>
      </c>
      <c r="C3055" s="2" t="s">
        <v>62</v>
      </c>
      <c r="D3055" s="2" t="s">
        <v>1582</v>
      </c>
      <c r="E3055" s="2" t="s">
        <v>321</v>
      </c>
      <c r="F3055" s="2" t="s">
        <v>321</v>
      </c>
      <c r="G3055" s="2"/>
      <c r="H3055" s="2"/>
      <c r="I3055" s="2"/>
      <c r="J3055" s="2"/>
    </row>
    <row r="3056" spans="1:10" x14ac:dyDescent="0.35">
      <c r="A3056" s="2" t="s">
        <v>1237</v>
      </c>
      <c r="B3056" s="2" t="s">
        <v>1407</v>
      </c>
      <c r="C3056" s="2" t="s">
        <v>62</v>
      </c>
      <c r="D3056" s="2" t="s">
        <v>1582</v>
      </c>
      <c r="E3056" s="2" t="s">
        <v>322</v>
      </c>
      <c r="F3056" s="2" t="s">
        <v>246</v>
      </c>
      <c r="G3056" s="2"/>
      <c r="H3056" s="2"/>
      <c r="I3056" s="2"/>
      <c r="J3056" s="2"/>
    </row>
    <row r="3057" spans="1:10" x14ac:dyDescent="0.35">
      <c r="A3057" s="2" t="s">
        <v>1237</v>
      </c>
      <c r="B3057" s="2" t="s">
        <v>1407</v>
      </c>
      <c r="C3057" s="2" t="s">
        <v>62</v>
      </c>
      <c r="D3057" s="2" t="s">
        <v>1582</v>
      </c>
      <c r="E3057" s="2" t="s">
        <v>323</v>
      </c>
      <c r="F3057" s="2" t="s">
        <v>246</v>
      </c>
      <c r="G3057" s="2"/>
      <c r="H3057" s="2"/>
      <c r="I3057" s="2"/>
      <c r="J3057" s="2"/>
    </row>
    <row r="3058" spans="1:10" x14ac:dyDescent="0.35">
      <c r="A3058" s="2" t="s">
        <v>1237</v>
      </c>
      <c r="B3058" s="2" t="s">
        <v>1407</v>
      </c>
      <c r="C3058" s="2" t="s">
        <v>62</v>
      </c>
      <c r="D3058" s="2" t="s">
        <v>1582</v>
      </c>
      <c r="E3058" s="2" t="s">
        <v>324</v>
      </c>
      <c r="F3058" s="2" t="s">
        <v>246</v>
      </c>
      <c r="G3058" s="2"/>
      <c r="H3058" s="2"/>
      <c r="I3058" s="2"/>
      <c r="J3058" s="2"/>
    </row>
    <row r="3059" spans="1:10" x14ac:dyDescent="0.35">
      <c r="A3059" s="2" t="s">
        <v>1237</v>
      </c>
      <c r="B3059" s="2" t="s">
        <v>1407</v>
      </c>
      <c r="C3059" s="2" t="s">
        <v>62</v>
      </c>
      <c r="D3059" s="2" t="s">
        <v>1582</v>
      </c>
      <c r="E3059" s="2" t="s">
        <v>325</v>
      </c>
      <c r="F3059" s="2" t="s">
        <v>1413</v>
      </c>
      <c r="G3059" s="2"/>
      <c r="H3059" s="2"/>
      <c r="I3059" s="2"/>
      <c r="J3059" s="2"/>
    </row>
    <row r="3060" spans="1:10" x14ac:dyDescent="0.35">
      <c r="A3060" s="2" t="s">
        <v>1237</v>
      </c>
      <c r="B3060" s="2" t="s">
        <v>1407</v>
      </c>
      <c r="C3060" s="2" t="s">
        <v>62</v>
      </c>
      <c r="D3060" s="2" t="s">
        <v>1582</v>
      </c>
      <c r="E3060" s="2" t="s">
        <v>327</v>
      </c>
      <c r="F3060" s="2" t="s">
        <v>328</v>
      </c>
      <c r="G3060" s="2"/>
      <c r="H3060" s="2"/>
      <c r="I3060" s="2"/>
      <c r="J3060" s="2"/>
    </row>
    <row r="3061" spans="1:10" x14ac:dyDescent="0.35">
      <c r="A3061" s="2" t="s">
        <v>1237</v>
      </c>
      <c r="B3061" s="2" t="s">
        <v>1407</v>
      </c>
      <c r="C3061" s="2" t="s">
        <v>62</v>
      </c>
      <c r="D3061" s="2" t="s">
        <v>1582</v>
      </c>
      <c r="E3061" s="2" t="s">
        <v>329</v>
      </c>
      <c r="F3061" s="2" t="s">
        <v>330</v>
      </c>
      <c r="G3061" s="2"/>
      <c r="H3061" s="2"/>
      <c r="I3061" s="2"/>
      <c r="J3061" s="2"/>
    </row>
    <row r="3062" spans="1:10" x14ac:dyDescent="0.35">
      <c r="A3062" s="2" t="s">
        <v>1237</v>
      </c>
      <c r="B3062" s="2" t="s">
        <v>1407</v>
      </c>
      <c r="C3062" s="2" t="s">
        <v>62</v>
      </c>
      <c r="D3062" s="2" t="s">
        <v>1582</v>
      </c>
      <c r="E3062" s="2" t="s">
        <v>331</v>
      </c>
      <c r="F3062" s="2" t="s">
        <v>332</v>
      </c>
      <c r="G3062" s="2"/>
      <c r="H3062" s="2"/>
      <c r="I3062" s="2"/>
      <c r="J3062" s="2"/>
    </row>
    <row r="3063" spans="1:10" x14ac:dyDescent="0.35">
      <c r="A3063" s="2" t="s">
        <v>1237</v>
      </c>
      <c r="B3063" s="2" t="s">
        <v>1407</v>
      </c>
      <c r="C3063" s="2" t="s">
        <v>62</v>
      </c>
      <c r="D3063" s="2" t="s">
        <v>1582</v>
      </c>
      <c r="E3063" s="2" t="s">
        <v>333</v>
      </c>
      <c r="F3063" s="2" t="s">
        <v>334</v>
      </c>
      <c r="G3063" s="2"/>
      <c r="H3063" s="2"/>
      <c r="I3063" s="2"/>
      <c r="J3063" s="2"/>
    </row>
    <row r="3064" spans="1:10" x14ac:dyDescent="0.35">
      <c r="A3064" s="2" t="s">
        <v>1237</v>
      </c>
      <c r="B3064" s="2" t="s">
        <v>1407</v>
      </c>
      <c r="C3064" s="2" t="s">
        <v>62</v>
      </c>
      <c r="D3064" s="2" t="s">
        <v>1582</v>
      </c>
      <c r="E3064" s="2" t="s">
        <v>1297</v>
      </c>
      <c r="F3064" s="2" t="s">
        <v>533</v>
      </c>
      <c r="G3064" s="2"/>
      <c r="H3064" s="2"/>
      <c r="I3064" s="2"/>
      <c r="J3064" s="2"/>
    </row>
    <row r="3065" spans="1:10" x14ac:dyDescent="0.35">
      <c r="A3065" s="2" t="s">
        <v>1237</v>
      </c>
      <c r="B3065" s="2" t="s">
        <v>1407</v>
      </c>
      <c r="C3065" s="2" t="s">
        <v>62</v>
      </c>
      <c r="D3065" s="2" t="s">
        <v>1582</v>
      </c>
      <c r="E3065" s="2" t="s">
        <v>335</v>
      </c>
      <c r="F3065" s="2" t="s">
        <v>336</v>
      </c>
      <c r="G3065" s="2"/>
      <c r="H3065" s="2"/>
      <c r="I3065" s="2"/>
      <c r="J3065" s="2"/>
    </row>
    <row r="3066" spans="1:10" x14ac:dyDescent="0.35">
      <c r="A3066" s="2" t="s">
        <v>1237</v>
      </c>
      <c r="B3066" s="2" t="s">
        <v>1407</v>
      </c>
      <c r="C3066" s="2" t="s">
        <v>62</v>
      </c>
      <c r="D3066" s="2" t="s">
        <v>1582</v>
      </c>
      <c r="E3066" s="2" t="s">
        <v>337</v>
      </c>
      <c r="F3066" s="2" t="s">
        <v>338</v>
      </c>
      <c r="G3066" s="2"/>
      <c r="H3066" s="2"/>
      <c r="I3066" s="2"/>
      <c r="J3066" s="2"/>
    </row>
    <row r="3067" spans="1:10" x14ac:dyDescent="0.35">
      <c r="A3067" s="2" t="s">
        <v>1237</v>
      </c>
      <c r="B3067" s="2" t="s">
        <v>1407</v>
      </c>
      <c r="C3067" s="2" t="s">
        <v>62</v>
      </c>
      <c r="D3067" s="2" t="s">
        <v>1582</v>
      </c>
      <c r="E3067" s="2" t="s">
        <v>339</v>
      </c>
      <c r="F3067" s="2" t="s">
        <v>340</v>
      </c>
      <c r="G3067" s="2"/>
      <c r="H3067" s="2"/>
      <c r="I3067" s="2"/>
      <c r="J3067" s="2"/>
    </row>
    <row r="3068" spans="1:10" x14ac:dyDescent="0.35">
      <c r="A3068" s="2" t="s">
        <v>1237</v>
      </c>
      <c r="B3068" s="2" t="s">
        <v>1407</v>
      </c>
      <c r="C3068" s="2" t="s">
        <v>62</v>
      </c>
      <c r="D3068" s="2" t="s">
        <v>1582</v>
      </c>
      <c r="E3068" s="2" t="s">
        <v>341</v>
      </c>
      <c r="F3068" s="2" t="s">
        <v>342</v>
      </c>
      <c r="G3068" s="2"/>
      <c r="H3068" s="2"/>
      <c r="I3068" s="2"/>
      <c r="J3068" s="2"/>
    </row>
    <row r="3069" spans="1:10" x14ac:dyDescent="0.35">
      <c r="A3069" s="2" t="s">
        <v>1237</v>
      </c>
      <c r="B3069" s="2" t="s">
        <v>1407</v>
      </c>
      <c r="C3069" s="2" t="s">
        <v>62</v>
      </c>
      <c r="D3069" s="2" t="s">
        <v>1582</v>
      </c>
      <c r="E3069" s="2" t="s">
        <v>343</v>
      </c>
      <c r="F3069" s="2" t="s">
        <v>344</v>
      </c>
      <c r="G3069" s="2"/>
      <c r="H3069" s="2"/>
      <c r="I3069" s="2"/>
      <c r="J3069" s="2"/>
    </row>
    <row r="3070" spans="1:10" x14ac:dyDescent="0.35">
      <c r="A3070" s="2" t="s">
        <v>1237</v>
      </c>
      <c r="B3070" s="2" t="s">
        <v>1407</v>
      </c>
      <c r="C3070" s="2" t="s">
        <v>62</v>
      </c>
      <c r="D3070" s="2" t="s">
        <v>1582</v>
      </c>
      <c r="E3070" s="2" t="s">
        <v>345</v>
      </c>
      <c r="F3070" s="2" t="s">
        <v>346</v>
      </c>
      <c r="G3070" s="2"/>
      <c r="H3070" s="2"/>
      <c r="I3070" s="2"/>
      <c r="J3070" s="2"/>
    </row>
    <row r="3071" spans="1:10" x14ac:dyDescent="0.35">
      <c r="A3071" s="2" t="s">
        <v>1237</v>
      </c>
      <c r="B3071" s="2" t="s">
        <v>1407</v>
      </c>
      <c r="C3071" s="2" t="s">
        <v>62</v>
      </c>
      <c r="D3071" s="2" t="s">
        <v>1583</v>
      </c>
      <c r="E3071" s="2" t="s">
        <v>196</v>
      </c>
      <c r="F3071" s="2" t="s">
        <v>197</v>
      </c>
      <c r="G3071" s="2"/>
      <c r="H3071" s="2"/>
      <c r="I3071" s="2"/>
      <c r="J3071" s="2"/>
    </row>
    <row r="3072" spans="1:10" x14ac:dyDescent="0.35">
      <c r="A3072" s="2" t="s">
        <v>1237</v>
      </c>
      <c r="B3072" s="2" t="s">
        <v>1407</v>
      </c>
      <c r="C3072" s="2" t="s">
        <v>62</v>
      </c>
      <c r="D3072" s="2" t="s">
        <v>1583</v>
      </c>
      <c r="E3072" s="2" t="s">
        <v>319</v>
      </c>
      <c r="F3072" s="2" t="s">
        <v>320</v>
      </c>
      <c r="G3072" s="2"/>
      <c r="H3072" s="2"/>
      <c r="I3072" s="2"/>
      <c r="J3072" s="2"/>
    </row>
    <row r="3073" spans="1:10" x14ac:dyDescent="0.35">
      <c r="A3073" s="2" t="s">
        <v>1237</v>
      </c>
      <c r="B3073" s="2" t="s">
        <v>1407</v>
      </c>
      <c r="C3073" s="2" t="s">
        <v>62</v>
      </c>
      <c r="D3073" s="2" t="s">
        <v>1583</v>
      </c>
      <c r="E3073" s="2" t="s">
        <v>321</v>
      </c>
      <c r="F3073" s="2" t="s">
        <v>321</v>
      </c>
      <c r="G3073" s="2"/>
      <c r="H3073" s="2"/>
      <c r="I3073" s="2"/>
      <c r="J3073" s="2"/>
    </row>
    <row r="3074" spans="1:10" x14ac:dyDescent="0.35">
      <c r="A3074" s="2" t="s">
        <v>1237</v>
      </c>
      <c r="B3074" s="2" t="s">
        <v>1407</v>
      </c>
      <c r="C3074" s="2" t="s">
        <v>62</v>
      </c>
      <c r="D3074" s="2" t="s">
        <v>1583</v>
      </c>
      <c r="E3074" s="2" t="s">
        <v>322</v>
      </c>
      <c r="F3074" s="2" t="s">
        <v>246</v>
      </c>
      <c r="G3074" s="2"/>
      <c r="H3074" s="2"/>
      <c r="I3074" s="2"/>
      <c r="J3074" s="2"/>
    </row>
    <row r="3075" spans="1:10" x14ac:dyDescent="0.35">
      <c r="A3075" s="2" t="s">
        <v>1237</v>
      </c>
      <c r="B3075" s="2" t="s">
        <v>1407</v>
      </c>
      <c r="C3075" s="2" t="s">
        <v>62</v>
      </c>
      <c r="D3075" s="2" t="s">
        <v>1583</v>
      </c>
      <c r="E3075" s="2" t="s">
        <v>323</v>
      </c>
      <c r="F3075" s="2" t="s">
        <v>246</v>
      </c>
      <c r="G3075" s="2"/>
      <c r="H3075" s="2"/>
      <c r="I3075" s="2"/>
      <c r="J3075" s="2"/>
    </row>
    <row r="3076" spans="1:10" x14ac:dyDescent="0.35">
      <c r="A3076" s="2" t="s">
        <v>1237</v>
      </c>
      <c r="B3076" s="2" t="s">
        <v>1407</v>
      </c>
      <c r="C3076" s="2" t="s">
        <v>62</v>
      </c>
      <c r="D3076" s="2" t="s">
        <v>1583</v>
      </c>
      <c r="E3076" s="2" t="s">
        <v>324</v>
      </c>
      <c r="F3076" s="2" t="s">
        <v>246</v>
      </c>
      <c r="G3076" s="2"/>
      <c r="H3076" s="2"/>
      <c r="I3076" s="2"/>
      <c r="J3076" s="2"/>
    </row>
    <row r="3077" spans="1:10" x14ac:dyDescent="0.35">
      <c r="A3077" s="2" t="s">
        <v>1237</v>
      </c>
      <c r="B3077" s="2" t="s">
        <v>1407</v>
      </c>
      <c r="C3077" s="2" t="s">
        <v>62</v>
      </c>
      <c r="D3077" s="2" t="s">
        <v>1583</v>
      </c>
      <c r="E3077" s="2" t="s">
        <v>325</v>
      </c>
      <c r="F3077" s="2" t="s">
        <v>1413</v>
      </c>
      <c r="G3077" s="2"/>
      <c r="H3077" s="2"/>
      <c r="I3077" s="2"/>
      <c r="J3077" s="2"/>
    </row>
    <row r="3078" spans="1:10" x14ac:dyDescent="0.35">
      <c r="A3078" s="2" t="s">
        <v>1237</v>
      </c>
      <c r="B3078" s="2" t="s">
        <v>1407</v>
      </c>
      <c r="C3078" s="2" t="s">
        <v>62</v>
      </c>
      <c r="D3078" s="2" t="s">
        <v>1583</v>
      </c>
      <c r="E3078" s="2" t="s">
        <v>327</v>
      </c>
      <c r="F3078" s="2" t="s">
        <v>328</v>
      </c>
      <c r="G3078" s="2"/>
      <c r="H3078" s="2"/>
      <c r="I3078" s="2"/>
      <c r="J3078" s="2"/>
    </row>
    <row r="3079" spans="1:10" x14ac:dyDescent="0.35">
      <c r="A3079" s="2" t="s">
        <v>1237</v>
      </c>
      <c r="B3079" s="2" t="s">
        <v>1407</v>
      </c>
      <c r="C3079" s="2" t="s">
        <v>62</v>
      </c>
      <c r="D3079" s="2" t="s">
        <v>1583</v>
      </c>
      <c r="E3079" s="2" t="s">
        <v>329</v>
      </c>
      <c r="F3079" s="2" t="s">
        <v>330</v>
      </c>
      <c r="G3079" s="2"/>
      <c r="H3079" s="2"/>
      <c r="I3079" s="2"/>
      <c r="J3079" s="2"/>
    </row>
    <row r="3080" spans="1:10" x14ac:dyDescent="0.35">
      <c r="A3080" s="2" t="s">
        <v>1237</v>
      </c>
      <c r="B3080" s="2" t="s">
        <v>1407</v>
      </c>
      <c r="C3080" s="2" t="s">
        <v>62</v>
      </c>
      <c r="D3080" s="2" t="s">
        <v>1583</v>
      </c>
      <c r="E3080" s="2" t="s">
        <v>331</v>
      </c>
      <c r="F3080" s="2" t="s">
        <v>332</v>
      </c>
      <c r="G3080" s="2"/>
      <c r="H3080" s="2"/>
      <c r="I3080" s="2"/>
      <c r="J3080" s="2"/>
    </row>
    <row r="3081" spans="1:10" x14ac:dyDescent="0.35">
      <c r="A3081" s="2" t="s">
        <v>1237</v>
      </c>
      <c r="B3081" s="2" t="s">
        <v>1407</v>
      </c>
      <c r="C3081" s="2" t="s">
        <v>62</v>
      </c>
      <c r="D3081" s="2" t="s">
        <v>1583</v>
      </c>
      <c r="E3081" s="2" t="s">
        <v>333</v>
      </c>
      <c r="F3081" s="2" t="s">
        <v>334</v>
      </c>
      <c r="G3081" s="2"/>
      <c r="H3081" s="2"/>
      <c r="I3081" s="2"/>
      <c r="J3081" s="2"/>
    </row>
    <row r="3082" spans="1:10" x14ac:dyDescent="0.35">
      <c r="A3082" s="2" t="s">
        <v>1237</v>
      </c>
      <c r="B3082" s="2" t="s">
        <v>1407</v>
      </c>
      <c r="C3082" s="2" t="s">
        <v>62</v>
      </c>
      <c r="D3082" s="2" t="s">
        <v>1583</v>
      </c>
      <c r="E3082" s="2" t="s">
        <v>1297</v>
      </c>
      <c r="F3082" s="2" t="s">
        <v>533</v>
      </c>
      <c r="G3082" s="2"/>
      <c r="H3082" s="2"/>
      <c r="I3082" s="2"/>
      <c r="J3082" s="2"/>
    </row>
    <row r="3083" spans="1:10" x14ac:dyDescent="0.35">
      <c r="A3083" s="2" t="s">
        <v>1237</v>
      </c>
      <c r="B3083" s="2" t="s">
        <v>1407</v>
      </c>
      <c r="C3083" s="2" t="s">
        <v>62</v>
      </c>
      <c r="D3083" s="2" t="s">
        <v>1583</v>
      </c>
      <c r="E3083" s="2" t="s">
        <v>335</v>
      </c>
      <c r="F3083" s="2" t="s">
        <v>336</v>
      </c>
      <c r="G3083" s="2"/>
      <c r="H3083" s="2"/>
      <c r="I3083" s="2"/>
      <c r="J3083" s="2"/>
    </row>
    <row r="3084" spans="1:10" x14ac:dyDescent="0.35">
      <c r="A3084" s="2" t="s">
        <v>1237</v>
      </c>
      <c r="B3084" s="2" t="s">
        <v>1407</v>
      </c>
      <c r="C3084" s="2" t="s">
        <v>62</v>
      </c>
      <c r="D3084" s="2" t="s">
        <v>1583</v>
      </c>
      <c r="E3084" s="2" t="s">
        <v>337</v>
      </c>
      <c r="F3084" s="2" t="s">
        <v>338</v>
      </c>
      <c r="G3084" s="2"/>
      <c r="H3084" s="2"/>
      <c r="I3084" s="2"/>
      <c r="J3084" s="2"/>
    </row>
    <row r="3085" spans="1:10" x14ac:dyDescent="0.35">
      <c r="A3085" s="2" t="s">
        <v>1237</v>
      </c>
      <c r="B3085" s="2" t="s">
        <v>1407</v>
      </c>
      <c r="C3085" s="2" t="s">
        <v>62</v>
      </c>
      <c r="D3085" s="2" t="s">
        <v>1583</v>
      </c>
      <c r="E3085" s="2" t="s">
        <v>339</v>
      </c>
      <c r="F3085" s="2" t="s">
        <v>340</v>
      </c>
      <c r="G3085" s="2"/>
      <c r="H3085" s="2"/>
      <c r="I3085" s="2"/>
      <c r="J3085" s="2"/>
    </row>
    <row r="3086" spans="1:10" x14ac:dyDescent="0.35">
      <c r="A3086" s="2" t="s">
        <v>1237</v>
      </c>
      <c r="B3086" s="2" t="s">
        <v>1407</v>
      </c>
      <c r="C3086" s="2" t="s">
        <v>62</v>
      </c>
      <c r="D3086" s="2" t="s">
        <v>1583</v>
      </c>
      <c r="E3086" s="2" t="s">
        <v>341</v>
      </c>
      <c r="F3086" s="2" t="s">
        <v>342</v>
      </c>
      <c r="G3086" s="2"/>
      <c r="H3086" s="2"/>
      <c r="I3086" s="2"/>
      <c r="J3086" s="2"/>
    </row>
    <row r="3087" spans="1:10" x14ac:dyDescent="0.35">
      <c r="A3087" s="2" t="s">
        <v>1237</v>
      </c>
      <c r="B3087" s="2" t="s">
        <v>1407</v>
      </c>
      <c r="C3087" s="2" t="s">
        <v>62</v>
      </c>
      <c r="D3087" s="2" t="s">
        <v>1583</v>
      </c>
      <c r="E3087" s="2" t="s">
        <v>343</v>
      </c>
      <c r="F3087" s="2" t="s">
        <v>344</v>
      </c>
      <c r="G3087" s="2"/>
      <c r="H3087" s="2"/>
      <c r="I3087" s="2"/>
      <c r="J3087" s="2"/>
    </row>
    <row r="3088" spans="1:10" x14ac:dyDescent="0.35">
      <c r="A3088" s="2" t="s">
        <v>1237</v>
      </c>
      <c r="B3088" s="2" t="s">
        <v>1407</v>
      </c>
      <c r="C3088" s="2" t="s">
        <v>62</v>
      </c>
      <c r="D3088" s="2" t="s">
        <v>1583</v>
      </c>
      <c r="E3088" s="2" t="s">
        <v>345</v>
      </c>
      <c r="F3088" s="2" t="s">
        <v>346</v>
      </c>
      <c r="G3088" s="2"/>
      <c r="H3088" s="2"/>
      <c r="I3088" s="2"/>
      <c r="J3088" s="2"/>
    </row>
    <row r="3089" spans="1:10" x14ac:dyDescent="0.35">
      <c r="A3089" s="2" t="s">
        <v>1237</v>
      </c>
      <c r="B3089" s="2" t="s">
        <v>1407</v>
      </c>
      <c r="C3089" s="2" t="s">
        <v>62</v>
      </c>
      <c r="D3089" s="2" t="s">
        <v>1584</v>
      </c>
      <c r="E3089" s="2" t="s">
        <v>196</v>
      </c>
      <c r="F3089" s="2" t="s">
        <v>197</v>
      </c>
      <c r="G3089" s="2"/>
      <c r="H3089" s="2"/>
      <c r="I3089" s="2"/>
      <c r="J3089" s="2"/>
    </row>
    <row r="3090" spans="1:10" x14ac:dyDescent="0.35">
      <c r="A3090" s="2" t="s">
        <v>1237</v>
      </c>
      <c r="B3090" s="2" t="s">
        <v>1407</v>
      </c>
      <c r="C3090" s="2" t="s">
        <v>62</v>
      </c>
      <c r="D3090" s="2" t="s">
        <v>1584</v>
      </c>
      <c r="E3090" s="2" t="s">
        <v>319</v>
      </c>
      <c r="F3090" s="2" t="s">
        <v>320</v>
      </c>
      <c r="G3090" s="2"/>
      <c r="H3090" s="2"/>
      <c r="I3090" s="2"/>
      <c r="J3090" s="2"/>
    </row>
    <row r="3091" spans="1:10" x14ac:dyDescent="0.35">
      <c r="A3091" s="2" t="s">
        <v>1237</v>
      </c>
      <c r="B3091" s="2" t="s">
        <v>1407</v>
      </c>
      <c r="C3091" s="2" t="s">
        <v>62</v>
      </c>
      <c r="D3091" s="2" t="s">
        <v>1584</v>
      </c>
      <c r="E3091" s="2" t="s">
        <v>321</v>
      </c>
      <c r="F3091" s="2" t="s">
        <v>321</v>
      </c>
      <c r="G3091" s="2"/>
      <c r="H3091" s="2"/>
      <c r="I3091" s="2"/>
      <c r="J3091" s="2"/>
    </row>
    <row r="3092" spans="1:10" x14ac:dyDescent="0.35">
      <c r="A3092" s="2" t="s">
        <v>1237</v>
      </c>
      <c r="B3092" s="2" t="s">
        <v>1407</v>
      </c>
      <c r="C3092" s="2" t="s">
        <v>62</v>
      </c>
      <c r="D3092" s="2" t="s">
        <v>1584</v>
      </c>
      <c r="E3092" s="2" t="s">
        <v>322</v>
      </c>
      <c r="F3092" s="2" t="s">
        <v>246</v>
      </c>
      <c r="G3092" s="2"/>
      <c r="H3092" s="2"/>
      <c r="I3092" s="2"/>
      <c r="J3092" s="2"/>
    </row>
    <row r="3093" spans="1:10" x14ac:dyDescent="0.35">
      <c r="A3093" s="2" t="s">
        <v>1237</v>
      </c>
      <c r="B3093" s="2" t="s">
        <v>1407</v>
      </c>
      <c r="C3093" s="2" t="s">
        <v>62</v>
      </c>
      <c r="D3093" s="2" t="s">
        <v>1584</v>
      </c>
      <c r="E3093" s="2" t="s">
        <v>323</v>
      </c>
      <c r="F3093" s="2" t="s">
        <v>246</v>
      </c>
      <c r="G3093" s="2"/>
      <c r="H3093" s="2"/>
      <c r="I3093" s="2"/>
      <c r="J3093" s="2"/>
    </row>
    <row r="3094" spans="1:10" x14ac:dyDescent="0.35">
      <c r="A3094" s="2" t="s">
        <v>1237</v>
      </c>
      <c r="B3094" s="2" t="s">
        <v>1407</v>
      </c>
      <c r="C3094" s="2" t="s">
        <v>62</v>
      </c>
      <c r="D3094" s="2" t="s">
        <v>1584</v>
      </c>
      <c r="E3094" s="2" t="s">
        <v>324</v>
      </c>
      <c r="F3094" s="2" t="s">
        <v>246</v>
      </c>
      <c r="G3094" s="2"/>
      <c r="H3094" s="2"/>
      <c r="I3094" s="2"/>
      <c r="J3094" s="2"/>
    </row>
    <row r="3095" spans="1:10" x14ac:dyDescent="0.35">
      <c r="A3095" s="2" t="s">
        <v>1237</v>
      </c>
      <c r="B3095" s="2" t="s">
        <v>1407</v>
      </c>
      <c r="C3095" s="2" t="s">
        <v>62</v>
      </c>
      <c r="D3095" s="2" t="s">
        <v>1584</v>
      </c>
      <c r="E3095" s="2" t="s">
        <v>325</v>
      </c>
      <c r="F3095" s="2" t="s">
        <v>1413</v>
      </c>
      <c r="G3095" s="2"/>
      <c r="H3095" s="2"/>
      <c r="I3095" s="2"/>
      <c r="J3095" s="2"/>
    </row>
    <row r="3096" spans="1:10" x14ac:dyDescent="0.35">
      <c r="A3096" s="2" t="s">
        <v>1237</v>
      </c>
      <c r="B3096" s="2" t="s">
        <v>1407</v>
      </c>
      <c r="C3096" s="2" t="s">
        <v>62</v>
      </c>
      <c r="D3096" s="2" t="s">
        <v>1584</v>
      </c>
      <c r="E3096" s="2" t="s">
        <v>327</v>
      </c>
      <c r="F3096" s="2" t="s">
        <v>328</v>
      </c>
      <c r="G3096" s="2"/>
      <c r="H3096" s="2"/>
      <c r="I3096" s="2"/>
      <c r="J3096" s="2"/>
    </row>
    <row r="3097" spans="1:10" x14ac:dyDescent="0.35">
      <c r="A3097" s="2" t="s">
        <v>1237</v>
      </c>
      <c r="B3097" s="2" t="s">
        <v>1407</v>
      </c>
      <c r="C3097" s="2" t="s">
        <v>62</v>
      </c>
      <c r="D3097" s="2" t="s">
        <v>1584</v>
      </c>
      <c r="E3097" s="2" t="s">
        <v>329</v>
      </c>
      <c r="F3097" s="2" t="s">
        <v>330</v>
      </c>
      <c r="G3097" s="2"/>
      <c r="H3097" s="2"/>
      <c r="I3097" s="2"/>
      <c r="J3097" s="2"/>
    </row>
    <row r="3098" spans="1:10" x14ac:dyDescent="0.35">
      <c r="A3098" s="2" t="s">
        <v>1237</v>
      </c>
      <c r="B3098" s="2" t="s">
        <v>1407</v>
      </c>
      <c r="C3098" s="2" t="s">
        <v>62</v>
      </c>
      <c r="D3098" s="2" t="s">
        <v>1584</v>
      </c>
      <c r="E3098" s="2" t="s">
        <v>331</v>
      </c>
      <c r="F3098" s="2" t="s">
        <v>332</v>
      </c>
      <c r="G3098" s="2"/>
      <c r="H3098" s="2"/>
      <c r="I3098" s="2"/>
      <c r="J3098" s="2"/>
    </row>
    <row r="3099" spans="1:10" x14ac:dyDescent="0.35">
      <c r="A3099" s="2" t="s">
        <v>1237</v>
      </c>
      <c r="B3099" s="2" t="s">
        <v>1407</v>
      </c>
      <c r="C3099" s="2" t="s">
        <v>62</v>
      </c>
      <c r="D3099" s="2" t="s">
        <v>1584</v>
      </c>
      <c r="E3099" s="2" t="s">
        <v>333</v>
      </c>
      <c r="F3099" s="2" t="s">
        <v>334</v>
      </c>
      <c r="G3099" s="2"/>
      <c r="H3099" s="2"/>
      <c r="I3099" s="2"/>
      <c r="J3099" s="2"/>
    </row>
    <row r="3100" spans="1:10" x14ac:dyDescent="0.35">
      <c r="A3100" s="2" t="s">
        <v>1237</v>
      </c>
      <c r="B3100" s="2" t="s">
        <v>1407</v>
      </c>
      <c r="C3100" s="2" t="s">
        <v>62</v>
      </c>
      <c r="D3100" s="2" t="s">
        <v>1584</v>
      </c>
      <c r="E3100" s="2" t="s">
        <v>1297</v>
      </c>
      <c r="F3100" s="2" t="s">
        <v>533</v>
      </c>
      <c r="G3100" s="2"/>
      <c r="H3100" s="2"/>
      <c r="I3100" s="2"/>
      <c r="J3100" s="2"/>
    </row>
    <row r="3101" spans="1:10" x14ac:dyDescent="0.35">
      <c r="A3101" s="2" t="s">
        <v>1237</v>
      </c>
      <c r="B3101" s="2" t="s">
        <v>1407</v>
      </c>
      <c r="C3101" s="2" t="s">
        <v>62</v>
      </c>
      <c r="D3101" s="2" t="s">
        <v>1584</v>
      </c>
      <c r="E3101" s="2" t="s">
        <v>335</v>
      </c>
      <c r="F3101" s="2" t="s">
        <v>336</v>
      </c>
      <c r="G3101" s="2"/>
      <c r="H3101" s="2"/>
      <c r="I3101" s="2"/>
      <c r="J3101" s="2"/>
    </row>
    <row r="3102" spans="1:10" x14ac:dyDescent="0.35">
      <c r="A3102" s="2" t="s">
        <v>1237</v>
      </c>
      <c r="B3102" s="2" t="s">
        <v>1407</v>
      </c>
      <c r="C3102" s="2" t="s">
        <v>62</v>
      </c>
      <c r="D3102" s="2" t="s">
        <v>1584</v>
      </c>
      <c r="E3102" s="2" t="s">
        <v>337</v>
      </c>
      <c r="F3102" s="2" t="s">
        <v>338</v>
      </c>
      <c r="G3102" s="2"/>
      <c r="H3102" s="2"/>
      <c r="I3102" s="2"/>
      <c r="J3102" s="2"/>
    </row>
    <row r="3103" spans="1:10" x14ac:dyDescent="0.35">
      <c r="A3103" s="2" t="s">
        <v>1237</v>
      </c>
      <c r="B3103" s="2" t="s">
        <v>1407</v>
      </c>
      <c r="C3103" s="2" t="s">
        <v>62</v>
      </c>
      <c r="D3103" s="2" t="s">
        <v>1584</v>
      </c>
      <c r="E3103" s="2" t="s">
        <v>339</v>
      </c>
      <c r="F3103" s="2" t="s">
        <v>340</v>
      </c>
      <c r="G3103" s="2"/>
      <c r="H3103" s="2"/>
      <c r="I3103" s="2"/>
      <c r="J3103" s="2"/>
    </row>
    <row r="3104" spans="1:10" x14ac:dyDescent="0.35">
      <c r="A3104" s="2" t="s">
        <v>1237</v>
      </c>
      <c r="B3104" s="2" t="s">
        <v>1407</v>
      </c>
      <c r="C3104" s="2" t="s">
        <v>62</v>
      </c>
      <c r="D3104" s="2" t="s">
        <v>1584</v>
      </c>
      <c r="E3104" s="2" t="s">
        <v>341</v>
      </c>
      <c r="F3104" s="2" t="s">
        <v>342</v>
      </c>
      <c r="G3104" s="2"/>
      <c r="H3104" s="2"/>
      <c r="I3104" s="2"/>
      <c r="J3104" s="2"/>
    </row>
    <row r="3105" spans="1:10" x14ac:dyDescent="0.35">
      <c r="A3105" s="2" t="s">
        <v>1237</v>
      </c>
      <c r="B3105" s="2" t="s">
        <v>1407</v>
      </c>
      <c r="C3105" s="2" t="s">
        <v>62</v>
      </c>
      <c r="D3105" s="2" t="s">
        <v>1584</v>
      </c>
      <c r="E3105" s="2" t="s">
        <v>343</v>
      </c>
      <c r="F3105" s="2" t="s">
        <v>344</v>
      </c>
      <c r="G3105" s="2"/>
      <c r="H3105" s="2"/>
      <c r="I3105" s="2"/>
      <c r="J3105" s="2"/>
    </row>
    <row r="3106" spans="1:10" x14ac:dyDescent="0.35">
      <c r="A3106" s="2" t="s">
        <v>1237</v>
      </c>
      <c r="B3106" s="2" t="s">
        <v>1407</v>
      </c>
      <c r="C3106" s="2" t="s">
        <v>62</v>
      </c>
      <c r="D3106" s="2" t="s">
        <v>1584</v>
      </c>
      <c r="E3106" s="2" t="s">
        <v>345</v>
      </c>
      <c r="F3106" s="2" t="s">
        <v>346</v>
      </c>
      <c r="G3106" s="2"/>
      <c r="H3106" s="2"/>
      <c r="I3106" s="2"/>
      <c r="J3106" s="2"/>
    </row>
    <row r="3107" spans="1:10" x14ac:dyDescent="0.35">
      <c r="A3107" s="2" t="s">
        <v>1237</v>
      </c>
      <c r="B3107" s="2" t="s">
        <v>1407</v>
      </c>
      <c r="C3107" s="2" t="s">
        <v>62</v>
      </c>
      <c r="D3107" s="2" t="s">
        <v>1585</v>
      </c>
      <c r="E3107" s="2" t="s">
        <v>319</v>
      </c>
      <c r="F3107" s="2" t="s">
        <v>320</v>
      </c>
      <c r="G3107" s="2"/>
      <c r="H3107" s="2"/>
      <c r="I3107" s="2"/>
      <c r="J3107" s="2"/>
    </row>
    <row r="3108" spans="1:10" x14ac:dyDescent="0.35">
      <c r="A3108" s="2" t="s">
        <v>1237</v>
      </c>
      <c r="B3108" s="2" t="s">
        <v>1407</v>
      </c>
      <c r="C3108" s="2" t="s">
        <v>62</v>
      </c>
      <c r="D3108" s="2" t="s">
        <v>1585</v>
      </c>
      <c r="E3108" s="2" t="s">
        <v>321</v>
      </c>
      <c r="F3108" s="2" t="s">
        <v>321</v>
      </c>
      <c r="G3108" s="2"/>
      <c r="H3108" s="2"/>
      <c r="I3108" s="2"/>
      <c r="J3108" s="2"/>
    </row>
    <row r="3109" spans="1:10" x14ac:dyDescent="0.35">
      <c r="A3109" s="2" t="s">
        <v>1237</v>
      </c>
      <c r="B3109" s="2" t="s">
        <v>1407</v>
      </c>
      <c r="C3109" s="2" t="s">
        <v>62</v>
      </c>
      <c r="D3109" s="2" t="s">
        <v>1585</v>
      </c>
      <c r="E3109" s="2" t="s">
        <v>1586</v>
      </c>
      <c r="F3109" s="2" t="s">
        <v>1413</v>
      </c>
      <c r="G3109" s="2"/>
      <c r="H3109" s="2"/>
      <c r="I3109" s="2"/>
      <c r="J3109" s="2"/>
    </row>
    <row r="3110" spans="1:10" x14ac:dyDescent="0.35">
      <c r="A3110" s="2" t="s">
        <v>1237</v>
      </c>
      <c r="B3110" s="2" t="s">
        <v>1407</v>
      </c>
      <c r="C3110" s="2" t="s">
        <v>62</v>
      </c>
      <c r="D3110" s="2" t="s">
        <v>1585</v>
      </c>
      <c r="E3110" s="2" t="s">
        <v>322</v>
      </c>
      <c r="F3110" s="2" t="s">
        <v>246</v>
      </c>
      <c r="G3110" s="2"/>
      <c r="H3110" s="2"/>
      <c r="I3110" s="2"/>
      <c r="J3110" s="2"/>
    </row>
    <row r="3111" spans="1:10" x14ac:dyDescent="0.35">
      <c r="A3111" s="2" t="s">
        <v>1237</v>
      </c>
      <c r="B3111" s="2" t="s">
        <v>1407</v>
      </c>
      <c r="C3111" s="2" t="s">
        <v>62</v>
      </c>
      <c r="D3111" s="2" t="s">
        <v>1585</v>
      </c>
      <c r="E3111" s="2" t="s">
        <v>323</v>
      </c>
      <c r="F3111" s="2" t="s">
        <v>246</v>
      </c>
      <c r="G3111" s="2"/>
      <c r="H3111" s="2"/>
      <c r="I3111" s="2"/>
      <c r="J3111" s="2"/>
    </row>
    <row r="3112" spans="1:10" x14ac:dyDescent="0.35">
      <c r="A3112" s="2" t="s">
        <v>1237</v>
      </c>
      <c r="B3112" s="2" t="s">
        <v>1407</v>
      </c>
      <c r="C3112" s="2" t="s">
        <v>62</v>
      </c>
      <c r="D3112" s="2" t="s">
        <v>1585</v>
      </c>
      <c r="E3112" s="2" t="s">
        <v>324</v>
      </c>
      <c r="F3112" s="2" t="s">
        <v>246</v>
      </c>
      <c r="G3112" s="2"/>
      <c r="H3112" s="2"/>
      <c r="I3112" s="2"/>
      <c r="J3112" s="2"/>
    </row>
    <row r="3113" spans="1:10" x14ac:dyDescent="0.35">
      <c r="A3113" s="2" t="s">
        <v>1237</v>
      </c>
      <c r="B3113" s="2" t="s">
        <v>1407</v>
      </c>
      <c r="C3113" s="2" t="s">
        <v>62</v>
      </c>
      <c r="D3113" s="2" t="s">
        <v>1585</v>
      </c>
      <c r="E3113" s="2" t="s">
        <v>325</v>
      </c>
      <c r="F3113" s="2" t="s">
        <v>1413</v>
      </c>
      <c r="G3113" s="2"/>
      <c r="H3113" s="2"/>
      <c r="I3113" s="2"/>
      <c r="J3113" s="2"/>
    </row>
    <row r="3114" spans="1:10" x14ac:dyDescent="0.35">
      <c r="A3114" s="2" t="s">
        <v>1237</v>
      </c>
      <c r="B3114" s="2" t="s">
        <v>1407</v>
      </c>
      <c r="C3114" s="2" t="s">
        <v>62</v>
      </c>
      <c r="D3114" s="2" t="s">
        <v>1585</v>
      </c>
      <c r="E3114" s="2" t="s">
        <v>327</v>
      </c>
      <c r="F3114" s="2" t="s">
        <v>328</v>
      </c>
      <c r="G3114" s="2"/>
      <c r="H3114" s="2"/>
      <c r="I3114" s="2"/>
      <c r="J3114" s="2"/>
    </row>
    <row r="3115" spans="1:10" x14ac:dyDescent="0.35">
      <c r="A3115" s="2" t="s">
        <v>1237</v>
      </c>
      <c r="B3115" s="2" t="s">
        <v>1407</v>
      </c>
      <c r="C3115" s="2" t="s">
        <v>62</v>
      </c>
      <c r="D3115" s="2" t="s">
        <v>1585</v>
      </c>
      <c r="E3115" s="2" t="s">
        <v>329</v>
      </c>
      <c r="F3115" s="2" t="s">
        <v>330</v>
      </c>
      <c r="G3115" s="2"/>
      <c r="H3115" s="2"/>
      <c r="I3115" s="2"/>
      <c r="J3115" s="2"/>
    </row>
    <row r="3116" spans="1:10" x14ac:dyDescent="0.35">
      <c r="A3116" s="2" t="s">
        <v>1237</v>
      </c>
      <c r="B3116" s="2" t="s">
        <v>1407</v>
      </c>
      <c r="C3116" s="2" t="s">
        <v>62</v>
      </c>
      <c r="D3116" s="2" t="s">
        <v>1585</v>
      </c>
      <c r="E3116" s="2" t="s">
        <v>331</v>
      </c>
      <c r="F3116" s="2" t="s">
        <v>332</v>
      </c>
      <c r="G3116" s="2"/>
      <c r="H3116" s="2"/>
      <c r="I3116" s="2"/>
      <c r="J3116" s="2"/>
    </row>
    <row r="3117" spans="1:10" x14ac:dyDescent="0.35">
      <c r="A3117" s="2" t="s">
        <v>1237</v>
      </c>
      <c r="B3117" s="2" t="s">
        <v>1407</v>
      </c>
      <c r="C3117" s="2" t="s">
        <v>62</v>
      </c>
      <c r="D3117" s="2" t="s">
        <v>1585</v>
      </c>
      <c r="E3117" s="2" t="s">
        <v>333</v>
      </c>
      <c r="F3117" s="2" t="s">
        <v>334</v>
      </c>
      <c r="G3117" s="2"/>
      <c r="H3117" s="2"/>
      <c r="I3117" s="2"/>
      <c r="J3117" s="2"/>
    </row>
    <row r="3118" spans="1:10" x14ac:dyDescent="0.35">
      <c r="A3118" s="2" t="s">
        <v>1237</v>
      </c>
      <c r="B3118" s="2" t="s">
        <v>1407</v>
      </c>
      <c r="C3118" s="2" t="s">
        <v>62</v>
      </c>
      <c r="D3118" s="2" t="s">
        <v>1585</v>
      </c>
      <c r="E3118" s="2" t="s">
        <v>1297</v>
      </c>
      <c r="F3118" s="2" t="s">
        <v>533</v>
      </c>
      <c r="G3118" s="2"/>
      <c r="H3118" s="2"/>
      <c r="I3118" s="2"/>
      <c r="J3118" s="2"/>
    </row>
    <row r="3119" spans="1:10" x14ac:dyDescent="0.35">
      <c r="A3119" s="2" t="s">
        <v>1237</v>
      </c>
      <c r="B3119" s="2" t="s">
        <v>1407</v>
      </c>
      <c r="C3119" s="2" t="s">
        <v>62</v>
      </c>
      <c r="D3119" s="2" t="s">
        <v>1585</v>
      </c>
      <c r="E3119" s="2" t="s">
        <v>335</v>
      </c>
      <c r="F3119" s="2" t="s">
        <v>336</v>
      </c>
      <c r="G3119" s="2"/>
      <c r="H3119" s="2"/>
      <c r="I3119" s="2"/>
      <c r="J3119" s="2"/>
    </row>
    <row r="3120" spans="1:10" x14ac:dyDescent="0.35">
      <c r="A3120" s="2" t="s">
        <v>1237</v>
      </c>
      <c r="B3120" s="2" t="s">
        <v>1407</v>
      </c>
      <c r="C3120" s="2" t="s">
        <v>62</v>
      </c>
      <c r="D3120" s="2" t="s">
        <v>1585</v>
      </c>
      <c r="E3120" s="2" t="s">
        <v>337</v>
      </c>
      <c r="F3120" s="2" t="s">
        <v>338</v>
      </c>
      <c r="G3120" s="2"/>
      <c r="H3120" s="2"/>
      <c r="I3120" s="2"/>
      <c r="J3120" s="2"/>
    </row>
    <row r="3121" spans="1:10" x14ac:dyDescent="0.35">
      <c r="A3121" s="2" t="s">
        <v>1237</v>
      </c>
      <c r="B3121" s="2" t="s">
        <v>1407</v>
      </c>
      <c r="C3121" s="2" t="s">
        <v>62</v>
      </c>
      <c r="D3121" s="2" t="s">
        <v>1585</v>
      </c>
      <c r="E3121" s="2" t="s">
        <v>339</v>
      </c>
      <c r="F3121" s="2" t="s">
        <v>340</v>
      </c>
      <c r="G3121" s="2"/>
      <c r="H3121" s="2"/>
      <c r="I3121" s="2"/>
      <c r="J3121" s="2"/>
    </row>
    <row r="3122" spans="1:10" x14ac:dyDescent="0.35">
      <c r="A3122" s="2" t="s">
        <v>1237</v>
      </c>
      <c r="B3122" s="2" t="s">
        <v>1407</v>
      </c>
      <c r="C3122" s="2" t="s">
        <v>62</v>
      </c>
      <c r="D3122" s="2" t="s">
        <v>1585</v>
      </c>
      <c r="E3122" s="2" t="s">
        <v>341</v>
      </c>
      <c r="F3122" s="2" t="s">
        <v>342</v>
      </c>
      <c r="G3122" s="2"/>
      <c r="H3122" s="2"/>
      <c r="I3122" s="2"/>
      <c r="J3122" s="2"/>
    </row>
    <row r="3123" spans="1:10" x14ac:dyDescent="0.35">
      <c r="A3123" s="2" t="s">
        <v>1237</v>
      </c>
      <c r="B3123" s="2" t="s">
        <v>1407</v>
      </c>
      <c r="C3123" s="2" t="s">
        <v>62</v>
      </c>
      <c r="D3123" s="2" t="s">
        <v>1585</v>
      </c>
      <c r="E3123" s="2" t="s">
        <v>343</v>
      </c>
      <c r="F3123" s="2" t="s">
        <v>344</v>
      </c>
      <c r="G3123" s="2"/>
      <c r="H3123" s="2"/>
      <c r="I3123" s="2"/>
      <c r="J3123" s="2"/>
    </row>
    <row r="3124" spans="1:10" x14ac:dyDescent="0.35">
      <c r="A3124" s="2" t="s">
        <v>1237</v>
      </c>
      <c r="B3124" s="2" t="s">
        <v>1407</v>
      </c>
      <c r="C3124" s="2" t="s">
        <v>62</v>
      </c>
      <c r="D3124" s="2" t="s">
        <v>1585</v>
      </c>
      <c r="E3124" s="2" t="s">
        <v>345</v>
      </c>
      <c r="F3124" s="2" t="s">
        <v>346</v>
      </c>
      <c r="G3124" s="2"/>
      <c r="H3124" s="2"/>
      <c r="I3124" s="2"/>
      <c r="J3124" s="2"/>
    </row>
    <row r="3125" spans="1:10" x14ac:dyDescent="0.35">
      <c r="A3125" s="2" t="s">
        <v>1237</v>
      </c>
      <c r="B3125" s="2" t="s">
        <v>1407</v>
      </c>
      <c r="C3125" s="2" t="s">
        <v>62</v>
      </c>
      <c r="D3125" s="2" t="s">
        <v>1587</v>
      </c>
      <c r="E3125" s="2" t="s">
        <v>196</v>
      </c>
      <c r="F3125" s="2" t="s">
        <v>197</v>
      </c>
      <c r="G3125" s="2"/>
      <c r="H3125" s="2"/>
      <c r="I3125" s="2"/>
      <c r="J3125" s="2"/>
    </row>
    <row r="3126" spans="1:10" x14ac:dyDescent="0.35">
      <c r="A3126" s="2" t="s">
        <v>1237</v>
      </c>
      <c r="B3126" s="2" t="s">
        <v>1407</v>
      </c>
      <c r="C3126" s="2" t="s">
        <v>62</v>
      </c>
      <c r="D3126" s="2" t="s">
        <v>1587</v>
      </c>
      <c r="E3126" s="2" t="s">
        <v>319</v>
      </c>
      <c r="F3126" s="2" t="s">
        <v>320</v>
      </c>
      <c r="G3126" s="2"/>
      <c r="H3126" s="2"/>
      <c r="I3126" s="2"/>
      <c r="J3126" s="2"/>
    </row>
    <row r="3127" spans="1:10" x14ac:dyDescent="0.35">
      <c r="A3127" s="2" t="s">
        <v>1237</v>
      </c>
      <c r="B3127" s="2" t="s">
        <v>1407</v>
      </c>
      <c r="C3127" s="2" t="s">
        <v>62</v>
      </c>
      <c r="D3127" s="2" t="s">
        <v>1587</v>
      </c>
      <c r="E3127" s="2" t="s">
        <v>321</v>
      </c>
      <c r="F3127" s="2" t="s">
        <v>321</v>
      </c>
      <c r="G3127" s="2"/>
      <c r="H3127" s="2"/>
      <c r="I3127" s="2"/>
      <c r="J3127" s="2"/>
    </row>
    <row r="3128" spans="1:10" x14ac:dyDescent="0.35">
      <c r="A3128" s="2" t="s">
        <v>1237</v>
      </c>
      <c r="B3128" s="2" t="s">
        <v>1407</v>
      </c>
      <c r="C3128" s="2" t="s">
        <v>62</v>
      </c>
      <c r="D3128" s="2" t="s">
        <v>1587</v>
      </c>
      <c r="E3128" s="2" t="s">
        <v>322</v>
      </c>
      <c r="F3128" s="2" t="s">
        <v>246</v>
      </c>
      <c r="G3128" s="2"/>
      <c r="H3128" s="2"/>
      <c r="I3128" s="2"/>
      <c r="J3128" s="2"/>
    </row>
    <row r="3129" spans="1:10" x14ac:dyDescent="0.35">
      <c r="A3129" s="2" t="s">
        <v>1237</v>
      </c>
      <c r="B3129" s="2" t="s">
        <v>1407</v>
      </c>
      <c r="C3129" s="2" t="s">
        <v>62</v>
      </c>
      <c r="D3129" s="2" t="s">
        <v>1587</v>
      </c>
      <c r="E3129" s="2" t="s">
        <v>323</v>
      </c>
      <c r="F3129" s="2" t="s">
        <v>246</v>
      </c>
      <c r="G3129" s="2"/>
      <c r="H3129" s="2"/>
      <c r="I3129" s="2"/>
      <c r="J3129" s="2"/>
    </row>
    <row r="3130" spans="1:10" x14ac:dyDescent="0.35">
      <c r="A3130" s="2" t="s">
        <v>1237</v>
      </c>
      <c r="B3130" s="2" t="s">
        <v>1407</v>
      </c>
      <c r="C3130" s="2" t="s">
        <v>62</v>
      </c>
      <c r="D3130" s="2" t="s">
        <v>1587</v>
      </c>
      <c r="E3130" s="2" t="s">
        <v>324</v>
      </c>
      <c r="F3130" s="2" t="s">
        <v>246</v>
      </c>
      <c r="G3130" s="2"/>
      <c r="H3130" s="2"/>
      <c r="I3130" s="2"/>
      <c r="J3130" s="2"/>
    </row>
    <row r="3131" spans="1:10" x14ac:dyDescent="0.35">
      <c r="A3131" s="2" t="s">
        <v>1237</v>
      </c>
      <c r="B3131" s="2" t="s">
        <v>1407</v>
      </c>
      <c r="C3131" s="2" t="s">
        <v>62</v>
      </c>
      <c r="D3131" s="2" t="s">
        <v>1587</v>
      </c>
      <c r="E3131" s="2" t="s">
        <v>325</v>
      </c>
      <c r="F3131" s="2" t="s">
        <v>1413</v>
      </c>
      <c r="G3131" s="2"/>
      <c r="H3131" s="2"/>
      <c r="I3131" s="2"/>
      <c r="J3131" s="2"/>
    </row>
    <row r="3132" spans="1:10" x14ac:dyDescent="0.35">
      <c r="A3132" s="2" t="s">
        <v>1237</v>
      </c>
      <c r="B3132" s="2" t="s">
        <v>1407</v>
      </c>
      <c r="C3132" s="2" t="s">
        <v>62</v>
      </c>
      <c r="D3132" s="2" t="s">
        <v>1587</v>
      </c>
      <c r="E3132" s="2" t="s">
        <v>327</v>
      </c>
      <c r="F3132" s="2" t="s">
        <v>328</v>
      </c>
      <c r="G3132" s="2"/>
      <c r="H3132" s="2"/>
      <c r="I3132" s="2"/>
      <c r="J3132" s="2"/>
    </row>
    <row r="3133" spans="1:10" x14ac:dyDescent="0.35">
      <c r="A3133" s="2" t="s">
        <v>1237</v>
      </c>
      <c r="B3133" s="2" t="s">
        <v>1407</v>
      </c>
      <c r="C3133" s="2" t="s">
        <v>62</v>
      </c>
      <c r="D3133" s="2" t="s">
        <v>1587</v>
      </c>
      <c r="E3133" s="2" t="s">
        <v>329</v>
      </c>
      <c r="F3133" s="2" t="s">
        <v>330</v>
      </c>
      <c r="G3133" s="2"/>
      <c r="H3133" s="2"/>
      <c r="I3133" s="2"/>
      <c r="J3133" s="2"/>
    </row>
    <row r="3134" spans="1:10" x14ac:dyDescent="0.35">
      <c r="A3134" s="2" t="s">
        <v>1237</v>
      </c>
      <c r="B3134" s="2" t="s">
        <v>1407</v>
      </c>
      <c r="C3134" s="2" t="s">
        <v>62</v>
      </c>
      <c r="D3134" s="2" t="s">
        <v>1587</v>
      </c>
      <c r="E3134" s="2" t="s">
        <v>331</v>
      </c>
      <c r="F3134" s="2" t="s">
        <v>332</v>
      </c>
      <c r="G3134" s="2"/>
      <c r="H3134" s="2"/>
      <c r="I3134" s="2"/>
      <c r="J3134" s="2"/>
    </row>
    <row r="3135" spans="1:10" x14ac:dyDescent="0.35">
      <c r="A3135" s="2" t="s">
        <v>1237</v>
      </c>
      <c r="B3135" s="2" t="s">
        <v>1407</v>
      </c>
      <c r="C3135" s="2" t="s">
        <v>62</v>
      </c>
      <c r="D3135" s="2" t="s">
        <v>1587</v>
      </c>
      <c r="E3135" s="2" t="s">
        <v>333</v>
      </c>
      <c r="F3135" s="2" t="s">
        <v>334</v>
      </c>
      <c r="G3135" s="2"/>
      <c r="H3135" s="2"/>
      <c r="I3135" s="2"/>
      <c r="J3135" s="2"/>
    </row>
    <row r="3136" spans="1:10" x14ac:dyDescent="0.35">
      <c r="A3136" s="2" t="s">
        <v>1237</v>
      </c>
      <c r="B3136" s="2" t="s">
        <v>1407</v>
      </c>
      <c r="C3136" s="2" t="s">
        <v>62</v>
      </c>
      <c r="D3136" s="2" t="s">
        <v>1587</v>
      </c>
      <c r="E3136" s="2" t="s">
        <v>1297</v>
      </c>
      <c r="F3136" s="2" t="s">
        <v>533</v>
      </c>
      <c r="G3136" s="2"/>
      <c r="H3136" s="2"/>
      <c r="I3136" s="2"/>
      <c r="J3136" s="2"/>
    </row>
    <row r="3137" spans="1:10" x14ac:dyDescent="0.35">
      <c r="A3137" s="2" t="s">
        <v>1237</v>
      </c>
      <c r="B3137" s="2" t="s">
        <v>1407</v>
      </c>
      <c r="C3137" s="2" t="s">
        <v>62</v>
      </c>
      <c r="D3137" s="2" t="s">
        <v>1587</v>
      </c>
      <c r="E3137" s="2" t="s">
        <v>335</v>
      </c>
      <c r="F3137" s="2" t="s">
        <v>336</v>
      </c>
      <c r="G3137" s="2"/>
      <c r="H3137" s="2"/>
      <c r="I3137" s="2"/>
      <c r="J3137" s="2"/>
    </row>
    <row r="3138" spans="1:10" x14ac:dyDescent="0.35">
      <c r="A3138" s="2" t="s">
        <v>1237</v>
      </c>
      <c r="B3138" s="2" t="s">
        <v>1407</v>
      </c>
      <c r="C3138" s="2" t="s">
        <v>62</v>
      </c>
      <c r="D3138" s="2" t="s">
        <v>1587</v>
      </c>
      <c r="E3138" s="2" t="s">
        <v>337</v>
      </c>
      <c r="F3138" s="2" t="s">
        <v>338</v>
      </c>
      <c r="G3138" s="2"/>
      <c r="H3138" s="2"/>
      <c r="I3138" s="2"/>
      <c r="J3138" s="2"/>
    </row>
    <row r="3139" spans="1:10" x14ac:dyDescent="0.35">
      <c r="A3139" s="2" t="s">
        <v>1237</v>
      </c>
      <c r="B3139" s="2" t="s">
        <v>1407</v>
      </c>
      <c r="C3139" s="2" t="s">
        <v>62</v>
      </c>
      <c r="D3139" s="2" t="s">
        <v>1587</v>
      </c>
      <c r="E3139" s="2" t="s">
        <v>339</v>
      </c>
      <c r="F3139" s="2" t="s">
        <v>340</v>
      </c>
      <c r="G3139" s="2"/>
      <c r="H3139" s="2"/>
      <c r="I3139" s="2"/>
      <c r="J3139" s="2"/>
    </row>
    <row r="3140" spans="1:10" x14ac:dyDescent="0.35">
      <c r="A3140" s="2" t="s">
        <v>1237</v>
      </c>
      <c r="B3140" s="2" t="s">
        <v>1407</v>
      </c>
      <c r="C3140" s="2" t="s">
        <v>62</v>
      </c>
      <c r="D3140" s="2" t="s">
        <v>1587</v>
      </c>
      <c r="E3140" s="2" t="s">
        <v>341</v>
      </c>
      <c r="F3140" s="2" t="s">
        <v>342</v>
      </c>
      <c r="G3140" s="2"/>
      <c r="H3140" s="2"/>
      <c r="I3140" s="2"/>
      <c r="J3140" s="2"/>
    </row>
    <row r="3141" spans="1:10" x14ac:dyDescent="0.35">
      <c r="A3141" s="2" t="s">
        <v>1237</v>
      </c>
      <c r="B3141" s="2" t="s">
        <v>1407</v>
      </c>
      <c r="C3141" s="2" t="s">
        <v>62</v>
      </c>
      <c r="D3141" s="2" t="s">
        <v>1587</v>
      </c>
      <c r="E3141" s="2" t="s">
        <v>343</v>
      </c>
      <c r="F3141" s="2" t="s">
        <v>344</v>
      </c>
      <c r="G3141" s="2"/>
      <c r="H3141" s="2"/>
      <c r="I3141" s="2"/>
      <c r="J3141" s="2"/>
    </row>
    <row r="3142" spans="1:10" x14ac:dyDescent="0.35">
      <c r="A3142" s="2" t="s">
        <v>1237</v>
      </c>
      <c r="B3142" s="2" t="s">
        <v>1407</v>
      </c>
      <c r="C3142" s="2" t="s">
        <v>62</v>
      </c>
      <c r="D3142" s="2" t="s">
        <v>1587</v>
      </c>
      <c r="E3142" s="2" t="s">
        <v>345</v>
      </c>
      <c r="F3142" s="2" t="s">
        <v>346</v>
      </c>
      <c r="G3142" s="2"/>
      <c r="H3142" s="2"/>
      <c r="I3142" s="2"/>
      <c r="J3142" s="2"/>
    </row>
    <row r="3143" spans="1:10" x14ac:dyDescent="0.35">
      <c r="A3143" s="2" t="s">
        <v>1237</v>
      </c>
      <c r="B3143" s="2" t="s">
        <v>1407</v>
      </c>
      <c r="C3143" s="2" t="s">
        <v>62</v>
      </c>
      <c r="D3143" s="2" t="s">
        <v>1588</v>
      </c>
      <c r="E3143" s="2" t="s">
        <v>196</v>
      </c>
      <c r="F3143" s="2" t="s">
        <v>197</v>
      </c>
      <c r="G3143" s="2"/>
      <c r="H3143" s="2"/>
      <c r="I3143" s="2"/>
      <c r="J3143" s="2"/>
    </row>
    <row r="3144" spans="1:10" x14ac:dyDescent="0.35">
      <c r="A3144" s="2" t="s">
        <v>1237</v>
      </c>
      <c r="B3144" s="2" t="s">
        <v>1407</v>
      </c>
      <c r="C3144" s="2" t="s">
        <v>62</v>
      </c>
      <c r="D3144" s="2" t="s">
        <v>1588</v>
      </c>
      <c r="E3144" s="2" t="s">
        <v>319</v>
      </c>
      <c r="F3144" s="2" t="s">
        <v>320</v>
      </c>
      <c r="G3144" s="2"/>
      <c r="H3144" s="2"/>
      <c r="I3144" s="2"/>
      <c r="J3144" s="2"/>
    </row>
    <row r="3145" spans="1:10" x14ac:dyDescent="0.35">
      <c r="A3145" s="2" t="s">
        <v>1237</v>
      </c>
      <c r="B3145" s="2" t="s">
        <v>1407</v>
      </c>
      <c r="C3145" s="2" t="s">
        <v>62</v>
      </c>
      <c r="D3145" s="2" t="s">
        <v>1588</v>
      </c>
      <c r="E3145" s="2" t="s">
        <v>1589</v>
      </c>
      <c r="F3145" s="2" t="s">
        <v>28</v>
      </c>
      <c r="G3145" s="2"/>
      <c r="H3145" s="2"/>
      <c r="I3145" s="2"/>
      <c r="J3145" s="2"/>
    </row>
    <row r="3146" spans="1:10" x14ac:dyDescent="0.35">
      <c r="A3146" s="2" t="s">
        <v>1237</v>
      </c>
      <c r="B3146" s="2" t="s">
        <v>1407</v>
      </c>
      <c r="C3146" s="2" t="s">
        <v>62</v>
      </c>
      <c r="D3146" s="2" t="s">
        <v>1588</v>
      </c>
      <c r="E3146" s="2" t="s">
        <v>87</v>
      </c>
      <c r="F3146" s="2" t="s">
        <v>75</v>
      </c>
      <c r="G3146" s="2"/>
      <c r="H3146" s="2"/>
      <c r="I3146" s="2"/>
      <c r="J3146" s="2"/>
    </row>
    <row r="3147" spans="1:10" x14ac:dyDescent="0.35">
      <c r="A3147" s="2" t="s">
        <v>1237</v>
      </c>
      <c r="B3147" s="2" t="s">
        <v>1407</v>
      </c>
      <c r="C3147" s="2" t="s">
        <v>62</v>
      </c>
      <c r="D3147" s="2" t="s">
        <v>1588</v>
      </c>
      <c r="E3147" s="2" t="s">
        <v>321</v>
      </c>
      <c r="F3147" s="2" t="s">
        <v>321</v>
      </c>
      <c r="G3147" s="2"/>
      <c r="H3147" s="2"/>
      <c r="I3147" s="2"/>
      <c r="J3147" s="2"/>
    </row>
    <row r="3148" spans="1:10" x14ac:dyDescent="0.35">
      <c r="A3148" s="2" t="s">
        <v>1237</v>
      </c>
      <c r="B3148" s="2" t="s">
        <v>1407</v>
      </c>
      <c r="C3148" s="2" t="s">
        <v>62</v>
      </c>
      <c r="D3148" s="2" t="s">
        <v>1588</v>
      </c>
      <c r="E3148" s="2" t="s">
        <v>322</v>
      </c>
      <c r="F3148" s="2" t="s">
        <v>246</v>
      </c>
      <c r="G3148" s="2"/>
      <c r="H3148" s="2"/>
      <c r="I3148" s="2"/>
      <c r="J3148" s="2"/>
    </row>
    <row r="3149" spans="1:10" x14ac:dyDescent="0.35">
      <c r="A3149" s="2" t="s">
        <v>1237</v>
      </c>
      <c r="B3149" s="2" t="s">
        <v>1407</v>
      </c>
      <c r="C3149" s="2" t="s">
        <v>62</v>
      </c>
      <c r="D3149" s="2" t="s">
        <v>1588</v>
      </c>
      <c r="E3149" s="2" t="s">
        <v>323</v>
      </c>
      <c r="F3149" s="2" t="s">
        <v>246</v>
      </c>
      <c r="G3149" s="2"/>
      <c r="H3149" s="2"/>
      <c r="I3149" s="2"/>
      <c r="J3149" s="2"/>
    </row>
    <row r="3150" spans="1:10" x14ac:dyDescent="0.35">
      <c r="A3150" s="2" t="s">
        <v>1237</v>
      </c>
      <c r="B3150" s="2" t="s">
        <v>1407</v>
      </c>
      <c r="C3150" s="2" t="s">
        <v>62</v>
      </c>
      <c r="D3150" s="2" t="s">
        <v>1588</v>
      </c>
      <c r="E3150" s="2" t="s">
        <v>324</v>
      </c>
      <c r="F3150" s="2" t="s">
        <v>246</v>
      </c>
      <c r="G3150" s="2"/>
      <c r="H3150" s="2"/>
      <c r="I3150" s="2"/>
      <c r="J3150" s="2"/>
    </row>
    <row r="3151" spans="1:10" x14ac:dyDescent="0.35">
      <c r="A3151" s="2" t="s">
        <v>1237</v>
      </c>
      <c r="B3151" s="2" t="s">
        <v>1407</v>
      </c>
      <c r="C3151" s="2" t="s">
        <v>62</v>
      </c>
      <c r="D3151" s="2" t="s">
        <v>1588</v>
      </c>
      <c r="E3151" s="2" t="s">
        <v>325</v>
      </c>
      <c r="F3151" s="2" t="s">
        <v>326</v>
      </c>
      <c r="G3151" s="2"/>
      <c r="H3151" s="2"/>
      <c r="I3151" s="2"/>
      <c r="J3151" s="2"/>
    </row>
    <row r="3152" spans="1:10" x14ac:dyDescent="0.35">
      <c r="A3152" s="2" t="s">
        <v>1237</v>
      </c>
      <c r="B3152" s="2" t="s">
        <v>1407</v>
      </c>
      <c r="C3152" s="2" t="s">
        <v>62</v>
      </c>
      <c r="D3152" s="2" t="s">
        <v>1588</v>
      </c>
      <c r="E3152" s="2" t="s">
        <v>327</v>
      </c>
      <c r="F3152" s="2" t="s">
        <v>328</v>
      </c>
      <c r="G3152" s="2"/>
      <c r="H3152" s="2"/>
      <c r="I3152" s="2"/>
      <c r="J3152" s="2"/>
    </row>
    <row r="3153" spans="1:10" x14ac:dyDescent="0.35">
      <c r="A3153" s="2" t="s">
        <v>1237</v>
      </c>
      <c r="B3153" s="2" t="s">
        <v>1407</v>
      </c>
      <c r="C3153" s="2" t="s">
        <v>62</v>
      </c>
      <c r="D3153" s="2" t="s">
        <v>1588</v>
      </c>
      <c r="E3153" s="2" t="s">
        <v>329</v>
      </c>
      <c r="F3153" s="2" t="s">
        <v>330</v>
      </c>
      <c r="G3153" s="2"/>
      <c r="H3153" s="2"/>
      <c r="I3153" s="2"/>
      <c r="J3153" s="2"/>
    </row>
    <row r="3154" spans="1:10" x14ac:dyDescent="0.35">
      <c r="A3154" s="2" t="s">
        <v>1237</v>
      </c>
      <c r="B3154" s="2" t="s">
        <v>1407</v>
      </c>
      <c r="C3154" s="2" t="s">
        <v>62</v>
      </c>
      <c r="D3154" s="2" t="s">
        <v>1588</v>
      </c>
      <c r="E3154" s="2" t="s">
        <v>331</v>
      </c>
      <c r="F3154" s="2" t="s">
        <v>332</v>
      </c>
      <c r="G3154" s="2"/>
      <c r="H3154" s="2"/>
      <c r="I3154" s="2"/>
      <c r="J3154" s="2"/>
    </row>
    <row r="3155" spans="1:10" x14ac:dyDescent="0.35">
      <c r="A3155" s="2" t="s">
        <v>1237</v>
      </c>
      <c r="B3155" s="2" t="s">
        <v>1407</v>
      </c>
      <c r="C3155" s="2" t="s">
        <v>62</v>
      </c>
      <c r="D3155" s="2" t="s">
        <v>1588</v>
      </c>
      <c r="E3155" s="2" t="s">
        <v>333</v>
      </c>
      <c r="F3155" s="2" t="s">
        <v>334</v>
      </c>
      <c r="G3155" s="2"/>
      <c r="H3155" s="2"/>
      <c r="I3155" s="2"/>
      <c r="J3155" s="2"/>
    </row>
    <row r="3156" spans="1:10" x14ac:dyDescent="0.35">
      <c r="A3156" s="2" t="s">
        <v>1237</v>
      </c>
      <c r="B3156" s="2" t="s">
        <v>1407</v>
      </c>
      <c r="C3156" s="2" t="s">
        <v>62</v>
      </c>
      <c r="D3156" s="2" t="s">
        <v>1588</v>
      </c>
      <c r="E3156" s="2" t="s">
        <v>1297</v>
      </c>
      <c r="F3156" s="2" t="s">
        <v>533</v>
      </c>
      <c r="G3156" s="2"/>
      <c r="H3156" s="2"/>
      <c r="I3156" s="2"/>
      <c r="J3156" s="2"/>
    </row>
    <row r="3157" spans="1:10" x14ac:dyDescent="0.35">
      <c r="A3157" s="2" t="s">
        <v>1237</v>
      </c>
      <c r="B3157" s="2" t="s">
        <v>1407</v>
      </c>
      <c r="C3157" s="2" t="s">
        <v>62</v>
      </c>
      <c r="D3157" s="2" t="s">
        <v>1588</v>
      </c>
      <c r="E3157" s="2" t="s">
        <v>335</v>
      </c>
      <c r="F3157" s="2" t="s">
        <v>336</v>
      </c>
      <c r="G3157" s="2"/>
      <c r="H3157" s="2"/>
      <c r="I3157" s="2"/>
      <c r="J3157" s="2"/>
    </row>
    <row r="3158" spans="1:10" x14ac:dyDescent="0.35">
      <c r="A3158" s="2" t="s">
        <v>1237</v>
      </c>
      <c r="B3158" s="2" t="s">
        <v>1407</v>
      </c>
      <c r="C3158" s="2" t="s">
        <v>62</v>
      </c>
      <c r="D3158" s="2" t="s">
        <v>1588</v>
      </c>
      <c r="E3158" s="2" t="s">
        <v>337</v>
      </c>
      <c r="F3158" s="2" t="s">
        <v>338</v>
      </c>
      <c r="G3158" s="2"/>
      <c r="H3158" s="2"/>
      <c r="I3158" s="2"/>
      <c r="J3158" s="2"/>
    </row>
    <row r="3159" spans="1:10" x14ac:dyDescent="0.35">
      <c r="A3159" s="2" t="s">
        <v>1237</v>
      </c>
      <c r="B3159" s="2" t="s">
        <v>1407</v>
      </c>
      <c r="C3159" s="2" t="s">
        <v>62</v>
      </c>
      <c r="D3159" s="2" t="s">
        <v>1588</v>
      </c>
      <c r="E3159" s="2" t="s">
        <v>339</v>
      </c>
      <c r="F3159" s="2" t="s">
        <v>340</v>
      </c>
      <c r="G3159" s="2"/>
      <c r="H3159" s="2"/>
      <c r="I3159" s="2"/>
      <c r="J3159" s="2"/>
    </row>
    <row r="3160" spans="1:10" x14ac:dyDescent="0.35">
      <c r="A3160" s="2" t="s">
        <v>1237</v>
      </c>
      <c r="B3160" s="2" t="s">
        <v>1407</v>
      </c>
      <c r="C3160" s="2" t="s">
        <v>62</v>
      </c>
      <c r="D3160" s="2" t="s">
        <v>1588</v>
      </c>
      <c r="E3160" s="2" t="s">
        <v>341</v>
      </c>
      <c r="F3160" s="2" t="s">
        <v>342</v>
      </c>
      <c r="G3160" s="2"/>
      <c r="H3160" s="2"/>
      <c r="I3160" s="2"/>
      <c r="J3160" s="2"/>
    </row>
    <row r="3161" spans="1:10" x14ac:dyDescent="0.35">
      <c r="A3161" s="2" t="s">
        <v>1237</v>
      </c>
      <c r="B3161" s="2" t="s">
        <v>1407</v>
      </c>
      <c r="C3161" s="2" t="s">
        <v>62</v>
      </c>
      <c r="D3161" s="2" t="s">
        <v>1588</v>
      </c>
      <c r="E3161" s="2" t="s">
        <v>343</v>
      </c>
      <c r="F3161" s="2" t="s">
        <v>344</v>
      </c>
      <c r="G3161" s="2"/>
      <c r="H3161" s="2"/>
      <c r="I3161" s="2"/>
      <c r="J3161" s="2"/>
    </row>
    <row r="3162" spans="1:10" x14ac:dyDescent="0.35">
      <c r="A3162" s="2" t="s">
        <v>1237</v>
      </c>
      <c r="B3162" s="2" t="s">
        <v>1407</v>
      </c>
      <c r="C3162" s="2" t="s">
        <v>62</v>
      </c>
      <c r="D3162" s="2" t="s">
        <v>1588</v>
      </c>
      <c r="E3162" s="2" t="s">
        <v>345</v>
      </c>
      <c r="F3162" s="2" t="s">
        <v>346</v>
      </c>
      <c r="G3162" s="2"/>
      <c r="H3162" s="2"/>
      <c r="I3162" s="2"/>
      <c r="J3162" s="2"/>
    </row>
    <row r="3163" spans="1:10" x14ac:dyDescent="0.35">
      <c r="A3163" s="2" t="s">
        <v>1237</v>
      </c>
      <c r="B3163" s="2" t="s">
        <v>1407</v>
      </c>
      <c r="C3163" s="2" t="s">
        <v>62</v>
      </c>
      <c r="D3163" s="2" t="s">
        <v>1590</v>
      </c>
      <c r="E3163" s="2" t="s">
        <v>196</v>
      </c>
      <c r="F3163" s="2" t="s">
        <v>197</v>
      </c>
      <c r="G3163" s="2"/>
      <c r="H3163" s="2"/>
      <c r="I3163" s="2"/>
      <c r="J3163" s="2"/>
    </row>
    <row r="3164" spans="1:10" x14ac:dyDescent="0.35">
      <c r="A3164" s="2" t="s">
        <v>1237</v>
      </c>
      <c r="B3164" s="2" t="s">
        <v>1407</v>
      </c>
      <c r="C3164" s="2" t="s">
        <v>62</v>
      </c>
      <c r="D3164" s="2" t="s">
        <v>1590</v>
      </c>
      <c r="E3164" s="2" t="s">
        <v>319</v>
      </c>
      <c r="F3164" s="2" t="s">
        <v>320</v>
      </c>
      <c r="G3164" s="2"/>
      <c r="H3164" s="2"/>
      <c r="I3164" s="2"/>
      <c r="J3164" s="2"/>
    </row>
    <row r="3165" spans="1:10" x14ac:dyDescent="0.35">
      <c r="A3165" s="2" t="s">
        <v>1237</v>
      </c>
      <c r="B3165" s="2" t="s">
        <v>1407</v>
      </c>
      <c r="C3165" s="2" t="s">
        <v>62</v>
      </c>
      <c r="D3165" s="2" t="s">
        <v>1590</v>
      </c>
      <c r="E3165" s="2" t="s">
        <v>321</v>
      </c>
      <c r="F3165" s="2" t="s">
        <v>321</v>
      </c>
      <c r="G3165" s="2"/>
      <c r="H3165" s="2"/>
      <c r="I3165" s="2"/>
      <c r="J3165" s="2"/>
    </row>
    <row r="3166" spans="1:10" x14ac:dyDescent="0.35">
      <c r="A3166" s="2" t="s">
        <v>1237</v>
      </c>
      <c r="B3166" s="2" t="s">
        <v>1407</v>
      </c>
      <c r="C3166" s="2" t="s">
        <v>62</v>
      </c>
      <c r="D3166" s="2" t="s">
        <v>1590</v>
      </c>
      <c r="E3166" s="2" t="s">
        <v>322</v>
      </c>
      <c r="F3166" s="2" t="s">
        <v>246</v>
      </c>
      <c r="G3166" s="2"/>
      <c r="H3166" s="2"/>
      <c r="I3166" s="2"/>
      <c r="J3166" s="2"/>
    </row>
    <row r="3167" spans="1:10" x14ac:dyDescent="0.35">
      <c r="A3167" s="2" t="s">
        <v>1237</v>
      </c>
      <c r="B3167" s="2" t="s">
        <v>1407</v>
      </c>
      <c r="C3167" s="2" t="s">
        <v>62</v>
      </c>
      <c r="D3167" s="2" t="s">
        <v>1590</v>
      </c>
      <c r="E3167" s="2" t="s">
        <v>323</v>
      </c>
      <c r="F3167" s="2" t="s">
        <v>246</v>
      </c>
      <c r="G3167" s="2"/>
      <c r="H3167" s="2"/>
      <c r="I3167" s="2"/>
      <c r="J3167" s="2"/>
    </row>
    <row r="3168" spans="1:10" x14ac:dyDescent="0.35">
      <c r="A3168" s="2" t="s">
        <v>1237</v>
      </c>
      <c r="B3168" s="2" t="s">
        <v>1407</v>
      </c>
      <c r="C3168" s="2" t="s">
        <v>62</v>
      </c>
      <c r="D3168" s="2" t="s">
        <v>1590</v>
      </c>
      <c r="E3168" s="2" t="s">
        <v>324</v>
      </c>
      <c r="F3168" s="2" t="s">
        <v>246</v>
      </c>
      <c r="G3168" s="2"/>
      <c r="H3168" s="2"/>
      <c r="I3168" s="2"/>
      <c r="J3168" s="2"/>
    </row>
    <row r="3169" spans="1:10" x14ac:dyDescent="0.35">
      <c r="A3169" s="2" t="s">
        <v>1237</v>
      </c>
      <c r="B3169" s="2" t="s">
        <v>1407</v>
      </c>
      <c r="C3169" s="2" t="s">
        <v>62</v>
      </c>
      <c r="D3169" s="2" t="s">
        <v>1590</v>
      </c>
      <c r="E3169" s="2" t="s">
        <v>325</v>
      </c>
      <c r="F3169" s="2" t="s">
        <v>1413</v>
      </c>
      <c r="G3169" s="2"/>
      <c r="H3169" s="2"/>
      <c r="I3169" s="2"/>
      <c r="J3169" s="2"/>
    </row>
    <row r="3170" spans="1:10" x14ac:dyDescent="0.35">
      <c r="A3170" s="2" t="s">
        <v>1237</v>
      </c>
      <c r="B3170" s="2" t="s">
        <v>1407</v>
      </c>
      <c r="C3170" s="2" t="s">
        <v>62</v>
      </c>
      <c r="D3170" s="2" t="s">
        <v>1590</v>
      </c>
      <c r="E3170" s="2" t="s">
        <v>327</v>
      </c>
      <c r="F3170" s="2" t="s">
        <v>328</v>
      </c>
      <c r="G3170" s="2"/>
      <c r="H3170" s="2"/>
      <c r="I3170" s="2"/>
      <c r="J3170" s="2"/>
    </row>
    <row r="3171" spans="1:10" x14ac:dyDescent="0.35">
      <c r="A3171" s="2" t="s">
        <v>1237</v>
      </c>
      <c r="B3171" s="2" t="s">
        <v>1407</v>
      </c>
      <c r="C3171" s="2" t="s">
        <v>62</v>
      </c>
      <c r="D3171" s="2" t="s">
        <v>1590</v>
      </c>
      <c r="E3171" s="2" t="s">
        <v>329</v>
      </c>
      <c r="F3171" s="2" t="s">
        <v>330</v>
      </c>
      <c r="G3171" s="2"/>
      <c r="H3171" s="2"/>
      <c r="I3171" s="2"/>
      <c r="J3171" s="2"/>
    </row>
    <row r="3172" spans="1:10" x14ac:dyDescent="0.35">
      <c r="A3172" s="2" t="s">
        <v>1237</v>
      </c>
      <c r="B3172" s="2" t="s">
        <v>1407</v>
      </c>
      <c r="C3172" s="2" t="s">
        <v>62</v>
      </c>
      <c r="D3172" s="2" t="s">
        <v>1590</v>
      </c>
      <c r="E3172" s="2" t="s">
        <v>331</v>
      </c>
      <c r="F3172" s="2" t="s">
        <v>332</v>
      </c>
      <c r="G3172" s="2"/>
      <c r="H3172" s="2"/>
      <c r="I3172" s="2"/>
      <c r="J3172" s="2"/>
    </row>
    <row r="3173" spans="1:10" x14ac:dyDescent="0.35">
      <c r="A3173" s="2" t="s">
        <v>1237</v>
      </c>
      <c r="B3173" s="2" t="s">
        <v>1407</v>
      </c>
      <c r="C3173" s="2" t="s">
        <v>62</v>
      </c>
      <c r="D3173" s="2" t="s">
        <v>1590</v>
      </c>
      <c r="E3173" s="2" t="s">
        <v>333</v>
      </c>
      <c r="F3173" s="2" t="s">
        <v>334</v>
      </c>
      <c r="G3173" s="2"/>
      <c r="H3173" s="2"/>
      <c r="I3173" s="2"/>
      <c r="J3173" s="2"/>
    </row>
    <row r="3174" spans="1:10" s="21" customFormat="1" x14ac:dyDescent="0.35">
      <c r="A3174" s="2" t="s">
        <v>1237</v>
      </c>
      <c r="B3174" s="2" t="s">
        <v>1407</v>
      </c>
      <c r="C3174" s="2" t="s">
        <v>62</v>
      </c>
      <c r="D3174" s="2" t="s">
        <v>1590</v>
      </c>
      <c r="E3174" s="2" t="s">
        <v>1297</v>
      </c>
      <c r="F3174" s="2" t="s">
        <v>533</v>
      </c>
      <c r="G3174" s="2"/>
      <c r="H3174" s="2"/>
      <c r="I3174" s="2"/>
      <c r="J3174" s="2"/>
    </row>
    <row r="3175" spans="1:10" x14ac:dyDescent="0.35">
      <c r="A3175" s="2" t="s">
        <v>1237</v>
      </c>
      <c r="B3175" s="2" t="s">
        <v>1407</v>
      </c>
      <c r="C3175" s="2" t="s">
        <v>62</v>
      </c>
      <c r="D3175" s="2" t="s">
        <v>1590</v>
      </c>
      <c r="E3175" s="2" t="s">
        <v>335</v>
      </c>
      <c r="F3175" s="2" t="s">
        <v>336</v>
      </c>
      <c r="G3175" s="2"/>
      <c r="H3175" s="2"/>
      <c r="I3175" s="2"/>
      <c r="J3175" s="2"/>
    </row>
    <row r="3176" spans="1:10" x14ac:dyDescent="0.35">
      <c r="A3176" s="2" t="s">
        <v>1237</v>
      </c>
      <c r="B3176" s="2" t="s">
        <v>1407</v>
      </c>
      <c r="C3176" s="2" t="s">
        <v>62</v>
      </c>
      <c r="D3176" s="2" t="s">
        <v>1590</v>
      </c>
      <c r="E3176" s="2" t="s">
        <v>337</v>
      </c>
      <c r="F3176" s="2" t="s">
        <v>338</v>
      </c>
      <c r="G3176" s="2"/>
      <c r="H3176" s="2"/>
      <c r="I3176" s="2"/>
      <c r="J3176" s="2"/>
    </row>
    <row r="3177" spans="1:10" x14ac:dyDescent="0.35">
      <c r="A3177" s="2" t="s">
        <v>1237</v>
      </c>
      <c r="B3177" s="2" t="s">
        <v>1407</v>
      </c>
      <c r="C3177" s="2" t="s">
        <v>62</v>
      </c>
      <c r="D3177" s="2" t="s">
        <v>1590</v>
      </c>
      <c r="E3177" s="2" t="s">
        <v>339</v>
      </c>
      <c r="F3177" s="2" t="s">
        <v>340</v>
      </c>
      <c r="G3177" s="2"/>
      <c r="H3177" s="2"/>
      <c r="I3177" s="2"/>
      <c r="J3177" s="2"/>
    </row>
    <row r="3178" spans="1:10" x14ac:dyDescent="0.35">
      <c r="A3178" s="2" t="s">
        <v>1237</v>
      </c>
      <c r="B3178" s="2" t="s">
        <v>1407</v>
      </c>
      <c r="C3178" s="2" t="s">
        <v>62</v>
      </c>
      <c r="D3178" s="2" t="s">
        <v>1590</v>
      </c>
      <c r="E3178" s="2" t="s">
        <v>341</v>
      </c>
      <c r="F3178" s="2" t="s">
        <v>342</v>
      </c>
      <c r="G3178" s="2"/>
      <c r="H3178" s="2"/>
      <c r="I3178" s="2"/>
      <c r="J3178" s="2"/>
    </row>
    <row r="3179" spans="1:10" x14ac:dyDescent="0.35">
      <c r="A3179" s="2" t="s">
        <v>1237</v>
      </c>
      <c r="B3179" s="2" t="s">
        <v>1407</v>
      </c>
      <c r="C3179" s="2" t="s">
        <v>62</v>
      </c>
      <c r="D3179" s="2" t="s">
        <v>1590</v>
      </c>
      <c r="E3179" s="2" t="s">
        <v>343</v>
      </c>
      <c r="F3179" s="2" t="s">
        <v>344</v>
      </c>
      <c r="G3179" s="2"/>
      <c r="H3179" s="2"/>
      <c r="I3179" s="2"/>
      <c r="J3179" s="2"/>
    </row>
    <row r="3180" spans="1:10" x14ac:dyDescent="0.35">
      <c r="A3180" s="2" t="s">
        <v>1237</v>
      </c>
      <c r="B3180" s="2" t="s">
        <v>1407</v>
      </c>
      <c r="C3180" s="2" t="s">
        <v>62</v>
      </c>
      <c r="D3180" s="2" t="s">
        <v>1590</v>
      </c>
      <c r="E3180" s="2" t="s">
        <v>345</v>
      </c>
      <c r="F3180" s="2" t="s">
        <v>346</v>
      </c>
      <c r="G3180" s="2"/>
      <c r="H3180" s="2"/>
      <c r="I3180" s="2"/>
      <c r="J3180" s="2"/>
    </row>
    <row r="3181" spans="1:10" x14ac:dyDescent="0.35">
      <c r="A3181" s="2" t="s">
        <v>1237</v>
      </c>
      <c r="B3181" s="2" t="s">
        <v>1407</v>
      </c>
      <c r="C3181" s="2" t="s">
        <v>62</v>
      </c>
      <c r="D3181" s="2" t="s">
        <v>1591</v>
      </c>
      <c r="E3181" s="2" t="s">
        <v>144</v>
      </c>
      <c r="F3181" s="2" t="s">
        <v>50</v>
      </c>
      <c r="G3181" s="2"/>
      <c r="H3181" s="2"/>
      <c r="I3181" s="2"/>
      <c r="J3181" s="2"/>
    </row>
    <row r="3182" spans="1:10" x14ac:dyDescent="0.35">
      <c r="A3182" s="2" t="s">
        <v>1237</v>
      </c>
      <c r="B3182" s="2" t="s">
        <v>1407</v>
      </c>
      <c r="C3182" s="2" t="s">
        <v>62</v>
      </c>
      <c r="D3182" s="2" t="s">
        <v>1591</v>
      </c>
      <c r="E3182" s="2" t="s">
        <v>91</v>
      </c>
      <c r="F3182" s="2" t="s">
        <v>19</v>
      </c>
      <c r="G3182" s="2" t="s">
        <v>20</v>
      </c>
      <c r="H3182" s="2" t="s">
        <v>1378</v>
      </c>
      <c r="I3182" s="2"/>
      <c r="J3182" s="2"/>
    </row>
    <row r="3183" spans="1:10" x14ac:dyDescent="0.35">
      <c r="A3183" s="2" t="s">
        <v>1237</v>
      </c>
      <c r="B3183" s="2" t="s">
        <v>1407</v>
      </c>
      <c r="C3183" s="2" t="s">
        <v>62</v>
      </c>
      <c r="D3183" s="2" t="s">
        <v>1591</v>
      </c>
      <c r="E3183" s="2" t="s">
        <v>127</v>
      </c>
      <c r="F3183" s="2" t="s">
        <v>107</v>
      </c>
      <c r="G3183" s="2"/>
      <c r="H3183" s="2"/>
      <c r="I3183" s="2"/>
      <c r="J3183" s="2"/>
    </row>
    <row r="3184" spans="1:10" x14ac:dyDescent="0.35">
      <c r="A3184" s="2" t="s">
        <v>1237</v>
      </c>
      <c r="B3184" s="2" t="s">
        <v>1407</v>
      </c>
      <c r="C3184" s="2" t="s">
        <v>24</v>
      </c>
      <c r="D3184" s="2" t="s">
        <v>1592</v>
      </c>
      <c r="E3184" s="2" t="s">
        <v>144</v>
      </c>
      <c r="F3184" s="2" t="s">
        <v>50</v>
      </c>
      <c r="G3184" s="2"/>
      <c r="H3184" s="2"/>
      <c r="I3184" s="2"/>
      <c r="J3184" s="2"/>
    </row>
    <row r="3185" spans="1:10" x14ac:dyDescent="0.35">
      <c r="A3185" s="2" t="s">
        <v>1237</v>
      </c>
      <c r="B3185" s="2" t="s">
        <v>1407</v>
      </c>
      <c r="C3185" s="2" t="s">
        <v>24</v>
      </c>
      <c r="D3185" s="2" t="s">
        <v>1592</v>
      </c>
      <c r="E3185" s="2" t="s">
        <v>1226</v>
      </c>
      <c r="F3185" s="2" t="s">
        <v>107</v>
      </c>
      <c r="G3185" s="2"/>
      <c r="H3185" s="2"/>
      <c r="I3185" s="2"/>
      <c r="J3185" s="2"/>
    </row>
    <row r="3186" spans="1:10" x14ac:dyDescent="0.35">
      <c r="A3186" s="2" t="s">
        <v>1237</v>
      </c>
      <c r="B3186" s="2" t="s">
        <v>1407</v>
      </c>
      <c r="C3186" s="2" t="s">
        <v>24</v>
      </c>
      <c r="D3186" s="2" t="s">
        <v>1592</v>
      </c>
      <c r="E3186" s="2" t="s">
        <v>455</v>
      </c>
      <c r="F3186" s="2" t="s">
        <v>52</v>
      </c>
      <c r="G3186" s="2"/>
      <c r="H3186" s="2"/>
      <c r="I3186" s="2"/>
      <c r="J3186" s="2"/>
    </row>
    <row r="3187" spans="1:10" x14ac:dyDescent="0.35">
      <c r="A3187" s="2" t="s">
        <v>1237</v>
      </c>
      <c r="B3187" s="2" t="s">
        <v>1407</v>
      </c>
      <c r="C3187" s="2" t="s">
        <v>24</v>
      </c>
      <c r="D3187" s="2" t="s">
        <v>1592</v>
      </c>
      <c r="E3187" s="2" t="s">
        <v>213</v>
      </c>
      <c r="F3187" s="2" t="s">
        <v>45</v>
      </c>
      <c r="G3187" s="2"/>
      <c r="H3187" s="2"/>
      <c r="I3187" s="2"/>
      <c r="J3187" s="2"/>
    </row>
    <row r="3188" spans="1:10" x14ac:dyDescent="0.35">
      <c r="A3188" s="2" t="s">
        <v>1237</v>
      </c>
      <c r="B3188" s="2" t="s">
        <v>1407</v>
      </c>
      <c r="C3188" s="2" t="s">
        <v>24</v>
      </c>
      <c r="D3188" s="2" t="s">
        <v>1592</v>
      </c>
      <c r="E3188" s="2" t="s">
        <v>87</v>
      </c>
      <c r="F3188" s="2" t="s">
        <v>75</v>
      </c>
      <c r="G3188" s="2"/>
      <c r="H3188" s="2"/>
      <c r="I3188" s="2"/>
      <c r="J3188" s="2"/>
    </row>
    <row r="3189" spans="1:10" x14ac:dyDescent="0.35">
      <c r="A3189" s="2" t="s">
        <v>1237</v>
      </c>
      <c r="B3189" s="2" t="s">
        <v>1407</v>
      </c>
      <c r="C3189" s="2" t="s">
        <v>24</v>
      </c>
      <c r="D3189" s="2" t="s">
        <v>1592</v>
      </c>
      <c r="E3189" s="2" t="s">
        <v>417</v>
      </c>
      <c r="F3189" s="2" t="s">
        <v>40</v>
      </c>
      <c r="G3189" s="2"/>
      <c r="H3189" s="2"/>
      <c r="I3189" s="2"/>
      <c r="J3189" s="2"/>
    </row>
    <row r="3190" spans="1:10" x14ac:dyDescent="0.35">
      <c r="A3190" s="2" t="s">
        <v>1237</v>
      </c>
      <c r="B3190" s="2" t="s">
        <v>1407</v>
      </c>
      <c r="C3190" s="2" t="s">
        <v>24</v>
      </c>
      <c r="D3190" s="2" t="s">
        <v>1592</v>
      </c>
      <c r="E3190" s="2" t="s">
        <v>1228</v>
      </c>
      <c r="F3190" s="2" t="s">
        <v>228</v>
      </c>
      <c r="G3190" s="2"/>
      <c r="H3190" s="2"/>
      <c r="I3190" s="2"/>
      <c r="J3190" s="2"/>
    </row>
    <row r="3191" spans="1:10" x14ac:dyDescent="0.35">
      <c r="A3191" s="2" t="s">
        <v>1237</v>
      </c>
      <c r="B3191" s="2" t="s">
        <v>1407</v>
      </c>
      <c r="C3191" s="2" t="s">
        <v>24</v>
      </c>
      <c r="D3191" s="2" t="s">
        <v>1592</v>
      </c>
      <c r="E3191" s="2" t="s">
        <v>1593</v>
      </c>
      <c r="F3191" s="2" t="s">
        <v>38</v>
      </c>
      <c r="G3191" s="2"/>
      <c r="H3191" s="2"/>
      <c r="I3191" s="2"/>
      <c r="J3191" s="2"/>
    </row>
    <row r="3192" spans="1:10" x14ac:dyDescent="0.35">
      <c r="A3192" s="2" t="s">
        <v>1237</v>
      </c>
      <c r="B3192" s="2" t="s">
        <v>1407</v>
      </c>
      <c r="C3192" s="2" t="s">
        <v>24</v>
      </c>
      <c r="D3192" s="2" t="s">
        <v>1592</v>
      </c>
      <c r="E3192" s="2" t="s">
        <v>964</v>
      </c>
      <c r="F3192" s="2" t="s">
        <v>75</v>
      </c>
      <c r="G3192" s="2"/>
      <c r="H3192" s="2"/>
      <c r="I3192" s="2"/>
      <c r="J3192" s="2"/>
    </row>
    <row r="3193" spans="1:10" x14ac:dyDescent="0.35">
      <c r="A3193" s="2" t="s">
        <v>1237</v>
      </c>
      <c r="B3193" s="2" t="s">
        <v>1407</v>
      </c>
      <c r="C3193" s="2" t="s">
        <v>62</v>
      </c>
      <c r="D3193" s="2" t="s">
        <v>1594</v>
      </c>
      <c r="E3193" s="2" t="s">
        <v>196</v>
      </c>
      <c r="F3193" s="2" t="s">
        <v>197</v>
      </c>
      <c r="G3193" s="2"/>
      <c r="H3193" s="2"/>
      <c r="I3193" s="2"/>
      <c r="J3193" s="2"/>
    </row>
    <row r="3194" spans="1:10" x14ac:dyDescent="0.35">
      <c r="A3194" s="2" t="s">
        <v>1237</v>
      </c>
      <c r="B3194" s="2" t="s">
        <v>1407</v>
      </c>
      <c r="C3194" s="2" t="s">
        <v>62</v>
      </c>
      <c r="D3194" s="2" t="s">
        <v>1594</v>
      </c>
      <c r="E3194" s="2" t="s">
        <v>317</v>
      </c>
      <c r="F3194" s="2" t="s">
        <v>318</v>
      </c>
      <c r="G3194" s="2"/>
      <c r="H3194" s="2"/>
      <c r="I3194" s="2"/>
      <c r="J3194" s="2"/>
    </row>
    <row r="3195" spans="1:10" x14ac:dyDescent="0.35">
      <c r="A3195" s="2" t="s">
        <v>1237</v>
      </c>
      <c r="B3195" s="2" t="s">
        <v>1407</v>
      </c>
      <c r="C3195" s="2" t="s">
        <v>62</v>
      </c>
      <c r="D3195" s="2" t="s">
        <v>1594</v>
      </c>
      <c r="E3195" s="2" t="s">
        <v>198</v>
      </c>
      <c r="F3195" s="2" t="s">
        <v>65</v>
      </c>
      <c r="G3195" s="2"/>
      <c r="H3195" s="2"/>
      <c r="I3195" s="2"/>
      <c r="J3195" s="2"/>
    </row>
    <row r="3196" spans="1:10" x14ac:dyDescent="0.35">
      <c r="A3196" s="2" t="s">
        <v>1237</v>
      </c>
      <c r="B3196" s="2" t="s">
        <v>1407</v>
      </c>
      <c r="C3196" s="2" t="s">
        <v>62</v>
      </c>
      <c r="D3196" s="2" t="s">
        <v>1594</v>
      </c>
      <c r="E3196" s="2" t="s">
        <v>96</v>
      </c>
      <c r="F3196" s="2" t="s">
        <v>83</v>
      </c>
      <c r="G3196" s="2"/>
      <c r="H3196" s="2"/>
      <c r="I3196" s="2"/>
      <c r="J3196" s="2"/>
    </row>
    <row r="3197" spans="1:10" x14ac:dyDescent="0.35">
      <c r="A3197" s="2" t="s">
        <v>1237</v>
      </c>
      <c r="B3197" s="2" t="s">
        <v>1407</v>
      </c>
      <c r="C3197" s="2" t="s">
        <v>62</v>
      </c>
      <c r="D3197" s="2" t="s">
        <v>1594</v>
      </c>
      <c r="E3197" s="2" t="s">
        <v>319</v>
      </c>
      <c r="F3197" s="2" t="s">
        <v>320</v>
      </c>
      <c r="G3197" s="2"/>
      <c r="H3197" s="2"/>
      <c r="I3197" s="2"/>
      <c r="J3197" s="2"/>
    </row>
    <row r="3198" spans="1:10" x14ac:dyDescent="0.35">
      <c r="A3198" s="2" t="s">
        <v>1237</v>
      </c>
      <c r="B3198" s="2" t="s">
        <v>1407</v>
      </c>
      <c r="C3198" s="2" t="s">
        <v>62</v>
      </c>
      <c r="D3198" s="2" t="s">
        <v>1594</v>
      </c>
      <c r="E3198" s="2" t="s">
        <v>1226</v>
      </c>
      <c r="F3198" s="2" t="s">
        <v>107</v>
      </c>
      <c r="G3198" s="2"/>
      <c r="H3198" s="2"/>
      <c r="I3198" s="2"/>
      <c r="J3198" s="2"/>
    </row>
    <row r="3199" spans="1:10" x14ac:dyDescent="0.35">
      <c r="A3199" s="2" t="s">
        <v>1237</v>
      </c>
      <c r="B3199" s="2" t="s">
        <v>1407</v>
      </c>
      <c r="C3199" s="2" t="s">
        <v>62</v>
      </c>
      <c r="D3199" s="2" t="s">
        <v>1594</v>
      </c>
      <c r="E3199" s="2" t="s">
        <v>649</v>
      </c>
      <c r="F3199" s="2" t="s">
        <v>363</v>
      </c>
      <c r="G3199" s="2"/>
      <c r="H3199" s="2"/>
      <c r="I3199" s="2"/>
      <c r="J3199" s="2"/>
    </row>
    <row r="3200" spans="1:10" x14ac:dyDescent="0.35">
      <c r="A3200" s="2" t="s">
        <v>1237</v>
      </c>
      <c r="B3200" s="2" t="s">
        <v>1407</v>
      </c>
      <c r="C3200" s="2" t="s">
        <v>62</v>
      </c>
      <c r="D3200" s="2" t="s">
        <v>1594</v>
      </c>
      <c r="E3200" s="2" t="s">
        <v>91</v>
      </c>
      <c r="F3200" s="2" t="s">
        <v>19</v>
      </c>
      <c r="G3200" s="2" t="s">
        <v>20</v>
      </c>
      <c r="H3200" s="2" t="s">
        <v>1378</v>
      </c>
      <c r="I3200" s="2"/>
      <c r="J3200" s="2"/>
    </row>
    <row r="3201" spans="1:10" x14ac:dyDescent="0.35">
      <c r="A3201" s="2" t="s">
        <v>1237</v>
      </c>
      <c r="B3201" s="2" t="s">
        <v>1407</v>
      </c>
      <c r="C3201" s="2" t="s">
        <v>62</v>
      </c>
      <c r="D3201" s="2" t="s">
        <v>1594</v>
      </c>
      <c r="E3201" s="2" t="s">
        <v>89</v>
      </c>
      <c r="F3201" s="2" t="s">
        <v>45</v>
      </c>
      <c r="G3201" s="2"/>
      <c r="H3201" s="2"/>
      <c r="I3201" s="2"/>
      <c r="J3201" s="2"/>
    </row>
    <row r="3202" spans="1:10" x14ac:dyDescent="0.35">
      <c r="A3202" s="2" t="s">
        <v>1237</v>
      </c>
      <c r="B3202" s="2" t="s">
        <v>1407</v>
      </c>
      <c r="C3202" s="2" t="s">
        <v>62</v>
      </c>
      <c r="D3202" s="2" t="s">
        <v>1594</v>
      </c>
      <c r="E3202" s="2" t="s">
        <v>321</v>
      </c>
      <c r="F3202" s="2" t="s">
        <v>321</v>
      </c>
      <c r="G3202" s="2"/>
      <c r="H3202" s="2"/>
      <c r="I3202" s="2"/>
      <c r="J3202" s="2"/>
    </row>
    <row r="3203" spans="1:10" x14ac:dyDescent="0.35">
      <c r="A3203" s="2" t="s">
        <v>1237</v>
      </c>
      <c r="B3203" s="2" t="s">
        <v>1407</v>
      </c>
      <c r="C3203" s="2" t="s">
        <v>62</v>
      </c>
      <c r="D3203" s="2" t="s">
        <v>1594</v>
      </c>
      <c r="E3203" s="2" t="s">
        <v>322</v>
      </c>
      <c r="F3203" s="2" t="s">
        <v>246</v>
      </c>
      <c r="G3203" s="2"/>
      <c r="H3203" s="2"/>
      <c r="I3203" s="2"/>
      <c r="J3203" s="2"/>
    </row>
    <row r="3204" spans="1:10" x14ac:dyDescent="0.35">
      <c r="A3204" s="2" t="s">
        <v>1237</v>
      </c>
      <c r="B3204" s="2" t="s">
        <v>1407</v>
      </c>
      <c r="C3204" s="2" t="s">
        <v>62</v>
      </c>
      <c r="D3204" s="2" t="s">
        <v>1594</v>
      </c>
      <c r="E3204" s="2" t="s">
        <v>323</v>
      </c>
      <c r="F3204" s="2" t="s">
        <v>246</v>
      </c>
      <c r="G3204" s="2"/>
      <c r="H3204" s="2"/>
      <c r="I3204" s="2"/>
      <c r="J3204" s="2"/>
    </row>
    <row r="3205" spans="1:10" x14ac:dyDescent="0.35">
      <c r="A3205" s="2" t="s">
        <v>1237</v>
      </c>
      <c r="B3205" s="2" t="s">
        <v>1407</v>
      </c>
      <c r="C3205" s="2" t="s">
        <v>62</v>
      </c>
      <c r="D3205" s="2" t="s">
        <v>1594</v>
      </c>
      <c r="E3205" s="2" t="s">
        <v>324</v>
      </c>
      <c r="F3205" s="2" t="s">
        <v>246</v>
      </c>
      <c r="G3205" s="2"/>
      <c r="H3205" s="2"/>
      <c r="I3205" s="2"/>
      <c r="J3205" s="2"/>
    </row>
    <row r="3206" spans="1:10" x14ac:dyDescent="0.35">
      <c r="A3206" s="2" t="s">
        <v>1237</v>
      </c>
      <c r="B3206" s="2" t="s">
        <v>1407</v>
      </c>
      <c r="C3206" s="2" t="s">
        <v>62</v>
      </c>
      <c r="D3206" s="2" t="s">
        <v>1594</v>
      </c>
      <c r="E3206" s="2" t="s">
        <v>325</v>
      </c>
      <c r="F3206" s="2" t="s">
        <v>1413</v>
      </c>
      <c r="G3206" s="2"/>
      <c r="H3206" s="2"/>
      <c r="I3206" s="2"/>
      <c r="J3206" s="2"/>
    </row>
    <row r="3207" spans="1:10" x14ac:dyDescent="0.35">
      <c r="A3207" s="2" t="s">
        <v>1237</v>
      </c>
      <c r="B3207" s="2" t="s">
        <v>1407</v>
      </c>
      <c r="C3207" s="2" t="s">
        <v>62</v>
      </c>
      <c r="D3207" s="2" t="s">
        <v>1594</v>
      </c>
      <c r="E3207" s="2" t="s">
        <v>327</v>
      </c>
      <c r="F3207" s="2" t="s">
        <v>328</v>
      </c>
      <c r="G3207" s="2"/>
      <c r="H3207" s="2"/>
      <c r="I3207" s="2"/>
      <c r="J3207" s="2"/>
    </row>
    <row r="3208" spans="1:10" x14ac:dyDescent="0.35">
      <c r="A3208" s="2" t="s">
        <v>1237</v>
      </c>
      <c r="B3208" s="2" t="s">
        <v>1407</v>
      </c>
      <c r="C3208" s="2" t="s">
        <v>62</v>
      </c>
      <c r="D3208" s="2" t="s">
        <v>1594</v>
      </c>
      <c r="E3208" s="2" t="s">
        <v>329</v>
      </c>
      <c r="F3208" s="2" t="s">
        <v>330</v>
      </c>
      <c r="G3208" s="2"/>
      <c r="H3208" s="2"/>
      <c r="I3208" s="2"/>
      <c r="J3208" s="2"/>
    </row>
    <row r="3209" spans="1:10" x14ac:dyDescent="0.35">
      <c r="A3209" s="2" t="s">
        <v>1237</v>
      </c>
      <c r="B3209" s="2" t="s">
        <v>1407</v>
      </c>
      <c r="C3209" s="2" t="s">
        <v>62</v>
      </c>
      <c r="D3209" s="2" t="s">
        <v>1594</v>
      </c>
      <c r="E3209" s="2" t="s">
        <v>331</v>
      </c>
      <c r="F3209" s="2" t="s">
        <v>332</v>
      </c>
      <c r="G3209" s="2"/>
      <c r="H3209" s="2"/>
      <c r="I3209" s="2"/>
      <c r="J3209" s="2"/>
    </row>
    <row r="3210" spans="1:10" x14ac:dyDescent="0.35">
      <c r="A3210" s="2" t="s">
        <v>1237</v>
      </c>
      <c r="B3210" s="2" t="s">
        <v>1407</v>
      </c>
      <c r="C3210" s="2" t="s">
        <v>62</v>
      </c>
      <c r="D3210" s="2" t="s">
        <v>1594</v>
      </c>
      <c r="E3210" s="2" t="s">
        <v>333</v>
      </c>
      <c r="F3210" s="2" t="s">
        <v>334</v>
      </c>
      <c r="G3210" s="2"/>
      <c r="H3210" s="2"/>
      <c r="I3210" s="2"/>
      <c r="J3210" s="2"/>
    </row>
    <row r="3211" spans="1:10" x14ac:dyDescent="0.35">
      <c r="A3211" s="2" t="s">
        <v>1237</v>
      </c>
      <c r="B3211" s="2" t="s">
        <v>1407</v>
      </c>
      <c r="C3211" s="2" t="s">
        <v>62</v>
      </c>
      <c r="D3211" s="2" t="s">
        <v>1594</v>
      </c>
      <c r="E3211" s="2" t="s">
        <v>1595</v>
      </c>
      <c r="F3211" s="2" t="s">
        <v>228</v>
      </c>
      <c r="G3211" s="2"/>
      <c r="H3211" s="2"/>
      <c r="I3211" s="2"/>
      <c r="J3211" s="2"/>
    </row>
    <row r="3212" spans="1:10" x14ac:dyDescent="0.35">
      <c r="A3212" s="2" t="s">
        <v>1237</v>
      </c>
      <c r="B3212" s="2" t="s">
        <v>1407</v>
      </c>
      <c r="C3212" s="2" t="s">
        <v>62</v>
      </c>
      <c r="D3212" s="2" t="s">
        <v>1594</v>
      </c>
      <c r="E3212" s="2" t="s">
        <v>149</v>
      </c>
      <c r="F3212" s="2" t="s">
        <v>150</v>
      </c>
      <c r="G3212" s="2"/>
      <c r="H3212" s="2"/>
      <c r="I3212" s="2"/>
      <c r="J3212" s="2"/>
    </row>
    <row r="3213" spans="1:10" x14ac:dyDescent="0.35">
      <c r="A3213" s="2" t="s">
        <v>1237</v>
      </c>
      <c r="B3213" s="2" t="s">
        <v>1407</v>
      </c>
      <c r="C3213" s="2" t="s">
        <v>62</v>
      </c>
      <c r="D3213" s="2" t="s">
        <v>1594</v>
      </c>
      <c r="E3213" s="2" t="s">
        <v>1297</v>
      </c>
      <c r="F3213" s="2" t="s">
        <v>533</v>
      </c>
      <c r="G3213" s="2"/>
      <c r="H3213" s="2"/>
      <c r="I3213" s="2"/>
      <c r="J3213" s="2"/>
    </row>
    <row r="3214" spans="1:10" x14ac:dyDescent="0.35">
      <c r="A3214" s="2" t="s">
        <v>1237</v>
      </c>
      <c r="B3214" s="2" t="s">
        <v>1407</v>
      </c>
      <c r="C3214" s="2" t="s">
        <v>62</v>
      </c>
      <c r="D3214" s="2" t="s">
        <v>1594</v>
      </c>
      <c r="E3214" s="2" t="s">
        <v>335</v>
      </c>
      <c r="F3214" s="2" t="s">
        <v>336</v>
      </c>
      <c r="G3214" s="2"/>
      <c r="H3214" s="2"/>
      <c r="I3214" s="2"/>
      <c r="J3214" s="2"/>
    </row>
    <row r="3215" spans="1:10" x14ac:dyDescent="0.35">
      <c r="A3215" s="2" t="s">
        <v>1237</v>
      </c>
      <c r="B3215" s="2" t="s">
        <v>1407</v>
      </c>
      <c r="C3215" s="2" t="s">
        <v>62</v>
      </c>
      <c r="D3215" s="2" t="s">
        <v>1594</v>
      </c>
      <c r="E3215" s="2" t="s">
        <v>337</v>
      </c>
      <c r="F3215" s="2" t="s">
        <v>338</v>
      </c>
      <c r="G3215" s="2"/>
      <c r="H3215" s="2"/>
      <c r="I3215" s="2"/>
      <c r="J3215" s="2"/>
    </row>
    <row r="3216" spans="1:10" x14ac:dyDescent="0.35">
      <c r="A3216" s="2" t="s">
        <v>1237</v>
      </c>
      <c r="B3216" s="2" t="s">
        <v>1407</v>
      </c>
      <c r="C3216" s="2" t="s">
        <v>62</v>
      </c>
      <c r="D3216" s="2" t="s">
        <v>1594</v>
      </c>
      <c r="E3216" s="2" t="s">
        <v>339</v>
      </c>
      <c r="F3216" s="2" t="s">
        <v>340</v>
      </c>
      <c r="G3216" s="2"/>
      <c r="H3216" s="2"/>
      <c r="I3216" s="2"/>
      <c r="J3216" s="2"/>
    </row>
    <row r="3217" spans="1:10" x14ac:dyDescent="0.35">
      <c r="A3217" s="2" t="s">
        <v>1237</v>
      </c>
      <c r="B3217" s="2" t="s">
        <v>1407</v>
      </c>
      <c r="C3217" s="2" t="s">
        <v>62</v>
      </c>
      <c r="D3217" s="2" t="s">
        <v>1594</v>
      </c>
      <c r="E3217" s="2" t="s">
        <v>341</v>
      </c>
      <c r="F3217" s="2" t="s">
        <v>342</v>
      </c>
      <c r="G3217" s="2"/>
      <c r="H3217" s="2"/>
      <c r="I3217" s="2"/>
      <c r="J3217" s="2"/>
    </row>
    <row r="3218" spans="1:10" x14ac:dyDescent="0.35">
      <c r="A3218" s="2" t="s">
        <v>1237</v>
      </c>
      <c r="B3218" s="2" t="s">
        <v>1407</v>
      </c>
      <c r="C3218" s="2" t="s">
        <v>62</v>
      </c>
      <c r="D3218" s="2" t="s">
        <v>1594</v>
      </c>
      <c r="E3218" s="2" t="s">
        <v>343</v>
      </c>
      <c r="F3218" s="2" t="s">
        <v>344</v>
      </c>
      <c r="G3218" s="2"/>
      <c r="H3218" s="2"/>
      <c r="I3218" s="2"/>
      <c r="J3218" s="2"/>
    </row>
    <row r="3219" spans="1:10" x14ac:dyDescent="0.35">
      <c r="A3219" s="2" t="s">
        <v>1237</v>
      </c>
      <c r="B3219" s="2" t="s">
        <v>1407</v>
      </c>
      <c r="C3219" s="2" t="s">
        <v>62</v>
      </c>
      <c r="D3219" s="2" t="s">
        <v>1594</v>
      </c>
      <c r="E3219" s="2" t="s">
        <v>345</v>
      </c>
      <c r="F3219" s="2" t="s">
        <v>346</v>
      </c>
      <c r="G3219" s="2"/>
      <c r="H3219" s="2"/>
      <c r="I3219" s="2"/>
      <c r="J3219" s="2"/>
    </row>
    <row r="3220" spans="1:10" x14ac:dyDescent="0.35">
      <c r="A3220" s="2" t="s">
        <v>1237</v>
      </c>
      <c r="B3220" s="2" t="s">
        <v>1407</v>
      </c>
      <c r="C3220" s="2" t="s">
        <v>62</v>
      </c>
      <c r="D3220" s="2" t="s">
        <v>1596</v>
      </c>
      <c r="E3220" s="2" t="s">
        <v>196</v>
      </c>
      <c r="F3220" s="2" t="s">
        <v>197</v>
      </c>
      <c r="G3220" s="2"/>
      <c r="H3220" s="2"/>
      <c r="I3220" s="2"/>
      <c r="J3220" s="2"/>
    </row>
    <row r="3221" spans="1:10" x14ac:dyDescent="0.35">
      <c r="A3221" s="2" t="s">
        <v>1237</v>
      </c>
      <c r="B3221" s="2" t="s">
        <v>1407</v>
      </c>
      <c r="C3221" s="2" t="s">
        <v>62</v>
      </c>
      <c r="D3221" s="2" t="s">
        <v>1596</v>
      </c>
      <c r="E3221" s="2" t="s">
        <v>1485</v>
      </c>
      <c r="F3221" s="2" t="s">
        <v>1486</v>
      </c>
      <c r="G3221" s="2"/>
      <c r="H3221" s="2"/>
      <c r="I3221" s="2"/>
      <c r="J3221" s="2"/>
    </row>
    <row r="3222" spans="1:10" x14ac:dyDescent="0.35">
      <c r="A3222" s="2" t="s">
        <v>1237</v>
      </c>
      <c r="B3222" s="2" t="s">
        <v>1407</v>
      </c>
      <c r="C3222" s="2" t="s">
        <v>62</v>
      </c>
      <c r="D3222" s="2" t="s">
        <v>1596</v>
      </c>
      <c r="E3222" s="2" t="s">
        <v>319</v>
      </c>
      <c r="F3222" s="2" t="s">
        <v>320</v>
      </c>
      <c r="G3222" s="2"/>
      <c r="H3222" s="2"/>
      <c r="I3222" s="2"/>
      <c r="J3222" s="2"/>
    </row>
    <row r="3223" spans="1:10" x14ac:dyDescent="0.35">
      <c r="A3223" s="2" t="s">
        <v>1237</v>
      </c>
      <c r="B3223" s="2" t="s">
        <v>1407</v>
      </c>
      <c r="C3223" s="2" t="s">
        <v>62</v>
      </c>
      <c r="D3223" s="2" t="s">
        <v>1596</v>
      </c>
      <c r="E3223" s="2" t="s">
        <v>91</v>
      </c>
      <c r="F3223" s="2" t="s">
        <v>19</v>
      </c>
      <c r="G3223" s="2"/>
      <c r="H3223" s="2"/>
      <c r="I3223" s="2"/>
      <c r="J3223" s="2"/>
    </row>
    <row r="3224" spans="1:10" x14ac:dyDescent="0.35">
      <c r="A3224" s="2" t="s">
        <v>1237</v>
      </c>
      <c r="B3224" s="2" t="s">
        <v>1407</v>
      </c>
      <c r="C3224" s="2" t="s">
        <v>62</v>
      </c>
      <c r="D3224" s="2" t="s">
        <v>1596</v>
      </c>
      <c r="E3224" s="2" t="s">
        <v>87</v>
      </c>
      <c r="F3224" s="2" t="s">
        <v>75</v>
      </c>
      <c r="G3224" s="2"/>
      <c r="H3224" s="2"/>
      <c r="I3224" s="2"/>
      <c r="J3224" s="2"/>
    </row>
    <row r="3225" spans="1:10" x14ac:dyDescent="0.35">
      <c r="A3225" s="2" t="s">
        <v>1237</v>
      </c>
      <c r="B3225" s="2" t="s">
        <v>1407</v>
      </c>
      <c r="C3225" s="2" t="s">
        <v>62</v>
      </c>
      <c r="D3225" s="2" t="s">
        <v>1596</v>
      </c>
      <c r="E3225" s="2" t="s">
        <v>1243</v>
      </c>
      <c r="F3225" s="2" t="s">
        <v>40</v>
      </c>
      <c r="G3225" s="2"/>
      <c r="H3225" s="2"/>
      <c r="I3225" s="2"/>
      <c r="J3225" s="2"/>
    </row>
    <row r="3226" spans="1:10" x14ac:dyDescent="0.35">
      <c r="A3226" s="2" t="s">
        <v>1237</v>
      </c>
      <c r="B3226" s="2" t="s">
        <v>1407</v>
      </c>
      <c r="C3226" s="2" t="s">
        <v>62</v>
      </c>
      <c r="D3226" s="2" t="s">
        <v>1596</v>
      </c>
      <c r="E3226" s="2" t="s">
        <v>321</v>
      </c>
      <c r="F3226" s="2" t="s">
        <v>321</v>
      </c>
      <c r="G3226" s="2"/>
      <c r="H3226" s="2"/>
      <c r="I3226" s="2"/>
      <c r="J3226" s="2"/>
    </row>
    <row r="3227" spans="1:10" x14ac:dyDescent="0.35">
      <c r="A3227" s="2" t="s">
        <v>1237</v>
      </c>
      <c r="B3227" s="2" t="s">
        <v>1407</v>
      </c>
      <c r="C3227" s="2" t="s">
        <v>62</v>
      </c>
      <c r="D3227" s="2" t="s">
        <v>1596</v>
      </c>
      <c r="E3227" s="2" t="s">
        <v>127</v>
      </c>
      <c r="F3227" s="2" t="s">
        <v>107</v>
      </c>
      <c r="G3227" s="2"/>
      <c r="H3227" s="2"/>
      <c r="I3227" s="2"/>
      <c r="J3227" s="2"/>
    </row>
    <row r="3228" spans="1:10" x14ac:dyDescent="0.35">
      <c r="A3228" s="2" t="s">
        <v>1237</v>
      </c>
      <c r="B3228" s="2" t="s">
        <v>1407</v>
      </c>
      <c r="C3228" s="2" t="s">
        <v>62</v>
      </c>
      <c r="D3228" s="2" t="s">
        <v>1596</v>
      </c>
      <c r="E3228" s="2" t="s">
        <v>322</v>
      </c>
      <c r="F3228" s="2" t="s">
        <v>246</v>
      </c>
      <c r="G3228" s="2"/>
      <c r="H3228" s="2"/>
      <c r="I3228" s="2"/>
      <c r="J3228" s="2"/>
    </row>
    <row r="3229" spans="1:10" x14ac:dyDescent="0.35">
      <c r="A3229" s="2" t="s">
        <v>1237</v>
      </c>
      <c r="B3229" s="2" t="s">
        <v>1407</v>
      </c>
      <c r="C3229" s="2" t="s">
        <v>62</v>
      </c>
      <c r="D3229" s="2" t="s">
        <v>1596</v>
      </c>
      <c r="E3229" s="2" t="s">
        <v>323</v>
      </c>
      <c r="F3229" s="2" t="s">
        <v>246</v>
      </c>
      <c r="G3229" s="2"/>
      <c r="H3229" s="2"/>
      <c r="I3229" s="2"/>
      <c r="J3229" s="2"/>
    </row>
    <row r="3230" spans="1:10" x14ac:dyDescent="0.35">
      <c r="A3230" s="2" t="s">
        <v>1237</v>
      </c>
      <c r="B3230" s="2" t="s">
        <v>1407</v>
      </c>
      <c r="C3230" s="2" t="s">
        <v>62</v>
      </c>
      <c r="D3230" s="2" t="s">
        <v>1596</v>
      </c>
      <c r="E3230" s="2" t="s">
        <v>324</v>
      </c>
      <c r="F3230" s="2" t="s">
        <v>246</v>
      </c>
      <c r="G3230" s="2"/>
      <c r="H3230" s="2"/>
      <c r="I3230" s="2"/>
      <c r="J3230" s="2"/>
    </row>
    <row r="3231" spans="1:10" x14ac:dyDescent="0.35">
      <c r="A3231" s="2" t="s">
        <v>1237</v>
      </c>
      <c r="B3231" s="2" t="s">
        <v>1407</v>
      </c>
      <c r="C3231" s="2" t="s">
        <v>62</v>
      </c>
      <c r="D3231" s="2" t="s">
        <v>1596</v>
      </c>
      <c r="E3231" s="2" t="s">
        <v>325</v>
      </c>
      <c r="F3231" s="2" t="s">
        <v>1413</v>
      </c>
      <c r="G3231" s="2"/>
      <c r="H3231" s="2"/>
      <c r="I3231" s="2"/>
      <c r="J3231" s="2"/>
    </row>
    <row r="3232" spans="1:10" x14ac:dyDescent="0.35">
      <c r="A3232" s="2" t="s">
        <v>1237</v>
      </c>
      <c r="B3232" s="2" t="s">
        <v>1407</v>
      </c>
      <c r="C3232" s="2" t="s">
        <v>62</v>
      </c>
      <c r="D3232" s="2" t="s">
        <v>1596</v>
      </c>
      <c r="E3232" s="2" t="s">
        <v>327</v>
      </c>
      <c r="F3232" s="2" t="s">
        <v>328</v>
      </c>
      <c r="G3232" s="2"/>
      <c r="H3232" s="2"/>
      <c r="I3232" s="2"/>
      <c r="J3232" s="2"/>
    </row>
    <row r="3233" spans="1:10" x14ac:dyDescent="0.35">
      <c r="A3233" s="2" t="s">
        <v>1237</v>
      </c>
      <c r="B3233" s="2" t="s">
        <v>1407</v>
      </c>
      <c r="C3233" s="2" t="s">
        <v>62</v>
      </c>
      <c r="D3233" s="2" t="s">
        <v>1596</v>
      </c>
      <c r="E3233" s="2" t="s">
        <v>329</v>
      </c>
      <c r="F3233" s="2" t="s">
        <v>330</v>
      </c>
      <c r="G3233" s="2"/>
      <c r="H3233" s="2"/>
      <c r="I3233" s="2"/>
      <c r="J3233" s="2"/>
    </row>
    <row r="3234" spans="1:10" x14ac:dyDescent="0.35">
      <c r="A3234" s="2" t="s">
        <v>1237</v>
      </c>
      <c r="B3234" s="2" t="s">
        <v>1407</v>
      </c>
      <c r="C3234" s="2" t="s">
        <v>62</v>
      </c>
      <c r="D3234" s="2" t="s">
        <v>1596</v>
      </c>
      <c r="E3234" s="2" t="s">
        <v>331</v>
      </c>
      <c r="F3234" s="2" t="s">
        <v>332</v>
      </c>
      <c r="G3234" s="2"/>
      <c r="H3234" s="2"/>
      <c r="I3234" s="2"/>
      <c r="J3234" s="2"/>
    </row>
    <row r="3235" spans="1:10" x14ac:dyDescent="0.35">
      <c r="A3235" s="2" t="s">
        <v>1237</v>
      </c>
      <c r="B3235" s="2" t="s">
        <v>1407</v>
      </c>
      <c r="C3235" s="2" t="s">
        <v>62</v>
      </c>
      <c r="D3235" s="2" t="s">
        <v>1596</v>
      </c>
      <c r="E3235" s="2" t="s">
        <v>333</v>
      </c>
      <c r="F3235" s="2" t="s">
        <v>334</v>
      </c>
      <c r="G3235" s="2"/>
      <c r="H3235" s="2"/>
      <c r="I3235" s="2"/>
      <c r="J3235" s="2"/>
    </row>
    <row r="3236" spans="1:10" x14ac:dyDescent="0.35">
      <c r="A3236" s="2" t="s">
        <v>1237</v>
      </c>
      <c r="B3236" s="2" t="s">
        <v>1407</v>
      </c>
      <c r="C3236" s="2" t="s">
        <v>62</v>
      </c>
      <c r="D3236" s="2" t="s">
        <v>1596</v>
      </c>
      <c r="E3236" s="2" t="s">
        <v>335</v>
      </c>
      <c r="F3236" s="2" t="s">
        <v>336</v>
      </c>
      <c r="G3236" s="2"/>
      <c r="H3236" s="2"/>
      <c r="I3236" s="2"/>
      <c r="J3236" s="2"/>
    </row>
    <row r="3237" spans="1:10" x14ac:dyDescent="0.35">
      <c r="A3237" s="2" t="s">
        <v>1237</v>
      </c>
      <c r="B3237" s="2" t="s">
        <v>1407</v>
      </c>
      <c r="C3237" s="2" t="s">
        <v>62</v>
      </c>
      <c r="D3237" s="2" t="s">
        <v>1596</v>
      </c>
      <c r="E3237" s="2" t="s">
        <v>337</v>
      </c>
      <c r="F3237" s="2" t="s">
        <v>338</v>
      </c>
      <c r="G3237" s="2"/>
      <c r="H3237" s="2"/>
      <c r="I3237" s="2"/>
      <c r="J3237" s="2"/>
    </row>
    <row r="3238" spans="1:10" x14ac:dyDescent="0.35">
      <c r="A3238" s="2" t="s">
        <v>1237</v>
      </c>
      <c r="B3238" s="2" t="s">
        <v>1407</v>
      </c>
      <c r="C3238" s="2" t="s">
        <v>62</v>
      </c>
      <c r="D3238" s="2" t="s">
        <v>1596</v>
      </c>
      <c r="E3238" s="2" t="s">
        <v>339</v>
      </c>
      <c r="F3238" s="2" t="s">
        <v>340</v>
      </c>
      <c r="G3238" s="2"/>
      <c r="H3238" s="2"/>
      <c r="I3238" s="2"/>
      <c r="J3238" s="2"/>
    </row>
    <row r="3239" spans="1:10" x14ac:dyDescent="0.35">
      <c r="A3239" s="2" t="s">
        <v>1237</v>
      </c>
      <c r="B3239" s="2" t="s">
        <v>1407</v>
      </c>
      <c r="C3239" s="2" t="s">
        <v>62</v>
      </c>
      <c r="D3239" s="2" t="s">
        <v>1596</v>
      </c>
      <c r="E3239" s="2" t="s">
        <v>341</v>
      </c>
      <c r="F3239" s="2" t="s">
        <v>342</v>
      </c>
      <c r="G3239" s="2"/>
      <c r="H3239" s="2"/>
      <c r="I3239" s="2"/>
      <c r="J3239" s="2"/>
    </row>
    <row r="3240" spans="1:10" x14ac:dyDescent="0.35">
      <c r="A3240" s="2" t="s">
        <v>1237</v>
      </c>
      <c r="B3240" s="2" t="s">
        <v>1407</v>
      </c>
      <c r="C3240" s="2" t="s">
        <v>62</v>
      </c>
      <c r="D3240" s="2" t="s">
        <v>1596</v>
      </c>
      <c r="E3240" s="2" t="s">
        <v>343</v>
      </c>
      <c r="F3240" s="2" t="s">
        <v>344</v>
      </c>
      <c r="G3240" s="2"/>
      <c r="H3240" s="2"/>
      <c r="I3240" s="2"/>
      <c r="J3240" s="2"/>
    </row>
    <row r="3241" spans="1:10" x14ac:dyDescent="0.35">
      <c r="A3241" s="2" t="s">
        <v>1237</v>
      </c>
      <c r="B3241" s="2" t="s">
        <v>1407</v>
      </c>
      <c r="C3241" s="2" t="s">
        <v>62</v>
      </c>
      <c r="D3241" s="2" t="s">
        <v>1596</v>
      </c>
      <c r="E3241" s="2" t="s">
        <v>345</v>
      </c>
      <c r="F3241" s="2" t="s">
        <v>346</v>
      </c>
      <c r="G3241" s="2"/>
      <c r="H3241" s="2"/>
      <c r="I3241" s="2"/>
      <c r="J3241" s="2"/>
    </row>
    <row r="3242" spans="1:10" x14ac:dyDescent="0.35">
      <c r="A3242" s="2" t="s">
        <v>1237</v>
      </c>
      <c r="B3242" s="2" t="s">
        <v>1407</v>
      </c>
      <c r="C3242" s="2" t="s">
        <v>62</v>
      </c>
      <c r="D3242" s="2" t="s">
        <v>1597</v>
      </c>
      <c r="E3242" s="2" t="s">
        <v>196</v>
      </c>
      <c r="F3242" s="2" t="s">
        <v>197</v>
      </c>
      <c r="G3242" s="2"/>
      <c r="H3242" s="2"/>
      <c r="I3242" s="2"/>
      <c r="J3242" s="2"/>
    </row>
    <row r="3243" spans="1:10" x14ac:dyDescent="0.35">
      <c r="A3243" s="2" t="s">
        <v>1237</v>
      </c>
      <c r="B3243" s="2" t="s">
        <v>1407</v>
      </c>
      <c r="C3243" s="2" t="s">
        <v>62</v>
      </c>
      <c r="D3243" s="2" t="s">
        <v>1597</v>
      </c>
      <c r="E3243" s="2" t="s">
        <v>317</v>
      </c>
      <c r="F3243" s="2" t="s">
        <v>318</v>
      </c>
      <c r="G3243" s="2"/>
      <c r="H3243" s="2"/>
      <c r="I3243" s="2"/>
      <c r="J3243" s="2"/>
    </row>
    <row r="3244" spans="1:10" x14ac:dyDescent="0.35">
      <c r="A3244" s="2" t="s">
        <v>1237</v>
      </c>
      <c r="B3244" s="2" t="s">
        <v>1407</v>
      </c>
      <c r="C3244" s="2" t="s">
        <v>62</v>
      </c>
      <c r="D3244" s="2" t="s">
        <v>1597</v>
      </c>
      <c r="E3244" s="2" t="s">
        <v>1050</v>
      </c>
      <c r="F3244" s="2" t="s">
        <v>75</v>
      </c>
      <c r="G3244" s="2"/>
      <c r="H3244" s="2"/>
      <c r="I3244" s="2"/>
      <c r="J3244" s="2"/>
    </row>
    <row r="3245" spans="1:10" x14ac:dyDescent="0.35">
      <c r="A3245" s="2" t="s">
        <v>1237</v>
      </c>
      <c r="B3245" s="2" t="s">
        <v>1407</v>
      </c>
      <c r="C3245" s="2" t="s">
        <v>62</v>
      </c>
      <c r="D3245" s="2" t="s">
        <v>1597</v>
      </c>
      <c r="E3245" s="2" t="s">
        <v>327</v>
      </c>
      <c r="F3245" s="2" t="s">
        <v>328</v>
      </c>
      <c r="G3245" s="2"/>
      <c r="H3245" s="2"/>
      <c r="I3245" s="2"/>
      <c r="J3245" s="2"/>
    </row>
    <row r="3246" spans="1:10" s="21" customFormat="1" x14ac:dyDescent="0.35">
      <c r="A3246" s="2" t="s">
        <v>1237</v>
      </c>
      <c r="B3246" s="2" t="s">
        <v>1407</v>
      </c>
      <c r="C3246" s="2" t="s">
        <v>62</v>
      </c>
      <c r="D3246" s="2" t="s">
        <v>1597</v>
      </c>
      <c r="E3246" s="2" t="s">
        <v>333</v>
      </c>
      <c r="F3246" s="2" t="s">
        <v>334</v>
      </c>
      <c r="G3246" s="2"/>
      <c r="H3246" s="2"/>
      <c r="I3246" s="2"/>
      <c r="J3246" s="2"/>
    </row>
    <row r="3247" spans="1:10" x14ac:dyDescent="0.35">
      <c r="A3247" s="2" t="s">
        <v>1237</v>
      </c>
      <c r="B3247" s="2" t="s">
        <v>1407</v>
      </c>
      <c r="C3247" s="2" t="s">
        <v>62</v>
      </c>
      <c r="D3247" s="2" t="s">
        <v>1597</v>
      </c>
      <c r="E3247" s="2" t="s">
        <v>1297</v>
      </c>
      <c r="F3247" s="2" t="s">
        <v>533</v>
      </c>
      <c r="G3247" s="2"/>
      <c r="H3247" s="2"/>
      <c r="I3247" s="2"/>
      <c r="J3247" s="2"/>
    </row>
    <row r="3248" spans="1:10" x14ac:dyDescent="0.35">
      <c r="A3248" s="2" t="s">
        <v>1237</v>
      </c>
      <c r="B3248" s="2" t="s">
        <v>1407</v>
      </c>
      <c r="C3248" s="2" t="s">
        <v>62</v>
      </c>
      <c r="D3248" s="2" t="s">
        <v>1597</v>
      </c>
      <c r="E3248" s="2" t="s">
        <v>345</v>
      </c>
      <c r="F3248" s="2" t="s">
        <v>346</v>
      </c>
      <c r="G3248" s="2"/>
      <c r="H3248" s="2"/>
      <c r="I3248" s="2"/>
      <c r="J3248" s="2"/>
    </row>
    <row r="3249" spans="1:10" s="21" customFormat="1" x14ac:dyDescent="0.35">
      <c r="A3249" s="2" t="s">
        <v>1237</v>
      </c>
      <c r="B3249" s="2" t="s">
        <v>1407</v>
      </c>
      <c r="C3249" s="2" t="s">
        <v>24</v>
      </c>
      <c r="D3249" s="2" t="s">
        <v>1598</v>
      </c>
      <c r="E3249" s="2" t="s">
        <v>18</v>
      </c>
      <c r="F3249" s="2" t="s">
        <v>19</v>
      </c>
      <c r="G3249" s="2" t="s">
        <v>20</v>
      </c>
      <c r="H3249" s="2" t="s">
        <v>1599</v>
      </c>
      <c r="I3249" s="2"/>
      <c r="J3249" s="2"/>
    </row>
    <row r="3250" spans="1:10" x14ac:dyDescent="0.35">
      <c r="A3250" s="2" t="s">
        <v>1237</v>
      </c>
      <c r="B3250" s="2" t="s">
        <v>1407</v>
      </c>
      <c r="C3250" s="2" t="s">
        <v>62</v>
      </c>
      <c r="D3250" s="2" t="s">
        <v>1600</v>
      </c>
      <c r="E3250" s="2" t="s">
        <v>196</v>
      </c>
      <c r="F3250" s="2" t="s">
        <v>197</v>
      </c>
      <c r="G3250" s="2"/>
      <c r="H3250" s="2"/>
      <c r="I3250" s="2"/>
      <c r="J3250" s="2"/>
    </row>
    <row r="3251" spans="1:10" x14ac:dyDescent="0.35">
      <c r="A3251" s="2" t="s">
        <v>1237</v>
      </c>
      <c r="B3251" s="2" t="s">
        <v>1407</v>
      </c>
      <c r="C3251" s="2" t="s">
        <v>62</v>
      </c>
      <c r="D3251" s="2" t="s">
        <v>1600</v>
      </c>
      <c r="E3251" s="2" t="s">
        <v>96</v>
      </c>
      <c r="F3251" s="2" t="s">
        <v>83</v>
      </c>
      <c r="G3251" s="2"/>
      <c r="H3251" s="2"/>
      <c r="I3251" s="2"/>
      <c r="J3251" s="2"/>
    </row>
    <row r="3252" spans="1:10" x14ac:dyDescent="0.35">
      <c r="A3252" s="2" t="s">
        <v>1237</v>
      </c>
      <c r="B3252" s="2" t="s">
        <v>1407</v>
      </c>
      <c r="C3252" s="2" t="s">
        <v>62</v>
      </c>
      <c r="D3252" s="2" t="s">
        <v>1600</v>
      </c>
      <c r="E3252" s="2" t="s">
        <v>319</v>
      </c>
      <c r="F3252" s="2" t="s">
        <v>320</v>
      </c>
      <c r="G3252" s="2"/>
      <c r="H3252" s="2"/>
      <c r="I3252" s="2"/>
      <c r="J3252" s="2"/>
    </row>
    <row r="3253" spans="1:10" x14ac:dyDescent="0.35">
      <c r="A3253" s="2" t="s">
        <v>1237</v>
      </c>
      <c r="B3253" s="2" t="s">
        <v>1407</v>
      </c>
      <c r="C3253" s="2" t="s">
        <v>62</v>
      </c>
      <c r="D3253" s="2" t="s">
        <v>1600</v>
      </c>
      <c r="E3253" s="2" t="s">
        <v>321</v>
      </c>
      <c r="F3253" s="2" t="s">
        <v>321</v>
      </c>
      <c r="G3253" s="2"/>
      <c r="H3253" s="2"/>
      <c r="I3253" s="2"/>
      <c r="J3253" s="2"/>
    </row>
    <row r="3254" spans="1:10" x14ac:dyDescent="0.35">
      <c r="A3254" s="2" t="s">
        <v>1237</v>
      </c>
      <c r="B3254" s="2" t="s">
        <v>1407</v>
      </c>
      <c r="C3254" s="2" t="s">
        <v>62</v>
      </c>
      <c r="D3254" s="2" t="s">
        <v>1600</v>
      </c>
      <c r="E3254" s="2" t="s">
        <v>1586</v>
      </c>
      <c r="F3254" s="2" t="s">
        <v>1413</v>
      </c>
      <c r="G3254" s="2"/>
      <c r="H3254" s="2"/>
      <c r="I3254" s="2"/>
      <c r="J3254" s="2"/>
    </row>
    <row r="3255" spans="1:10" x14ac:dyDescent="0.35">
      <c r="A3255" s="2" t="s">
        <v>1237</v>
      </c>
      <c r="B3255" s="2" t="s">
        <v>1407</v>
      </c>
      <c r="C3255" s="2" t="s">
        <v>62</v>
      </c>
      <c r="D3255" s="2" t="s">
        <v>1600</v>
      </c>
      <c r="E3255" s="2" t="s">
        <v>322</v>
      </c>
      <c r="F3255" s="2" t="s">
        <v>246</v>
      </c>
      <c r="G3255" s="2"/>
      <c r="H3255" s="2"/>
      <c r="I3255" s="2"/>
      <c r="J3255" s="2"/>
    </row>
    <row r="3256" spans="1:10" x14ac:dyDescent="0.35">
      <c r="A3256" s="2" t="s">
        <v>1237</v>
      </c>
      <c r="B3256" s="2" t="s">
        <v>1407</v>
      </c>
      <c r="C3256" s="2" t="s">
        <v>62</v>
      </c>
      <c r="D3256" s="2" t="s">
        <v>1600</v>
      </c>
      <c r="E3256" s="2" t="s">
        <v>323</v>
      </c>
      <c r="F3256" s="2" t="s">
        <v>246</v>
      </c>
      <c r="G3256" s="2"/>
      <c r="H3256" s="2"/>
      <c r="I3256" s="2"/>
      <c r="J3256" s="2"/>
    </row>
    <row r="3257" spans="1:10" x14ac:dyDescent="0.35">
      <c r="A3257" s="2" t="s">
        <v>1237</v>
      </c>
      <c r="B3257" s="2" t="s">
        <v>1407</v>
      </c>
      <c r="C3257" s="2" t="s">
        <v>62</v>
      </c>
      <c r="D3257" s="2" t="s">
        <v>1600</v>
      </c>
      <c r="E3257" s="2" t="s">
        <v>324</v>
      </c>
      <c r="F3257" s="2" t="s">
        <v>246</v>
      </c>
      <c r="G3257" s="2"/>
      <c r="H3257" s="2"/>
      <c r="I3257" s="2"/>
      <c r="J3257" s="2"/>
    </row>
    <row r="3258" spans="1:10" x14ac:dyDescent="0.35">
      <c r="A3258" s="2" t="s">
        <v>1237</v>
      </c>
      <c r="B3258" s="2" t="s">
        <v>1407</v>
      </c>
      <c r="C3258" s="2" t="s">
        <v>62</v>
      </c>
      <c r="D3258" s="2" t="s">
        <v>1600</v>
      </c>
      <c r="E3258" s="2" t="s">
        <v>325</v>
      </c>
      <c r="F3258" s="2" t="s">
        <v>1413</v>
      </c>
      <c r="G3258" s="2"/>
      <c r="H3258" s="2"/>
      <c r="I3258" s="2"/>
      <c r="J3258" s="2"/>
    </row>
    <row r="3259" spans="1:10" x14ac:dyDescent="0.35">
      <c r="A3259" s="2" t="s">
        <v>1237</v>
      </c>
      <c r="B3259" s="2" t="s">
        <v>1407</v>
      </c>
      <c r="C3259" s="2" t="s">
        <v>62</v>
      </c>
      <c r="D3259" s="2" t="s">
        <v>1600</v>
      </c>
      <c r="E3259" s="2" t="s">
        <v>327</v>
      </c>
      <c r="F3259" s="2" t="s">
        <v>328</v>
      </c>
      <c r="G3259" s="2"/>
      <c r="H3259" s="2"/>
      <c r="I3259" s="2"/>
      <c r="J3259" s="2"/>
    </row>
    <row r="3260" spans="1:10" x14ac:dyDescent="0.35">
      <c r="A3260" s="2" t="s">
        <v>1237</v>
      </c>
      <c r="B3260" s="2" t="s">
        <v>1407</v>
      </c>
      <c r="C3260" s="2" t="s">
        <v>62</v>
      </c>
      <c r="D3260" s="2" t="s">
        <v>1600</v>
      </c>
      <c r="E3260" s="2" t="s">
        <v>329</v>
      </c>
      <c r="F3260" s="2" t="s">
        <v>330</v>
      </c>
      <c r="G3260" s="2"/>
      <c r="H3260" s="2"/>
      <c r="I3260" s="2"/>
      <c r="J3260" s="2"/>
    </row>
    <row r="3261" spans="1:10" x14ac:dyDescent="0.35">
      <c r="A3261" s="2" t="s">
        <v>1237</v>
      </c>
      <c r="B3261" s="2" t="s">
        <v>1407</v>
      </c>
      <c r="C3261" s="2" t="s">
        <v>62</v>
      </c>
      <c r="D3261" s="2" t="s">
        <v>1600</v>
      </c>
      <c r="E3261" s="2" t="s">
        <v>331</v>
      </c>
      <c r="F3261" s="2" t="s">
        <v>332</v>
      </c>
      <c r="G3261" s="2"/>
      <c r="H3261" s="2"/>
      <c r="I3261" s="2"/>
      <c r="J3261" s="2"/>
    </row>
    <row r="3262" spans="1:10" x14ac:dyDescent="0.35">
      <c r="A3262" s="2" t="s">
        <v>1237</v>
      </c>
      <c r="B3262" s="2" t="s">
        <v>1407</v>
      </c>
      <c r="C3262" s="2" t="s">
        <v>62</v>
      </c>
      <c r="D3262" s="2" t="s">
        <v>1600</v>
      </c>
      <c r="E3262" s="2" t="s">
        <v>333</v>
      </c>
      <c r="F3262" s="2" t="s">
        <v>334</v>
      </c>
      <c r="G3262" s="2"/>
      <c r="H3262" s="2"/>
      <c r="I3262" s="2"/>
      <c r="J3262" s="2"/>
    </row>
    <row r="3263" spans="1:10" x14ac:dyDescent="0.35">
      <c r="A3263" s="2" t="s">
        <v>1237</v>
      </c>
      <c r="B3263" s="2" t="s">
        <v>1407</v>
      </c>
      <c r="C3263" s="2" t="s">
        <v>62</v>
      </c>
      <c r="D3263" s="2" t="s">
        <v>1600</v>
      </c>
      <c r="E3263" s="2" t="s">
        <v>1297</v>
      </c>
      <c r="F3263" s="2" t="s">
        <v>533</v>
      </c>
      <c r="G3263" s="2"/>
      <c r="H3263" s="2"/>
      <c r="I3263" s="2"/>
      <c r="J3263" s="2"/>
    </row>
    <row r="3264" spans="1:10" x14ac:dyDescent="0.35">
      <c r="A3264" s="2" t="s">
        <v>1237</v>
      </c>
      <c r="B3264" s="2" t="s">
        <v>1407</v>
      </c>
      <c r="C3264" s="2" t="s">
        <v>62</v>
      </c>
      <c r="D3264" s="2" t="s">
        <v>1600</v>
      </c>
      <c r="E3264" s="2" t="s">
        <v>335</v>
      </c>
      <c r="F3264" s="2" t="s">
        <v>336</v>
      </c>
      <c r="G3264" s="2"/>
      <c r="H3264" s="2"/>
      <c r="I3264" s="2"/>
      <c r="J3264" s="2"/>
    </row>
    <row r="3265" spans="1:10" x14ac:dyDescent="0.35">
      <c r="A3265" s="2" t="s">
        <v>1237</v>
      </c>
      <c r="B3265" s="2" t="s">
        <v>1407</v>
      </c>
      <c r="C3265" s="2" t="s">
        <v>62</v>
      </c>
      <c r="D3265" s="2" t="s">
        <v>1600</v>
      </c>
      <c r="E3265" s="2" t="s">
        <v>337</v>
      </c>
      <c r="F3265" s="2" t="s">
        <v>338</v>
      </c>
      <c r="G3265" s="2"/>
      <c r="H3265" s="2"/>
      <c r="I3265" s="2"/>
      <c r="J3265" s="2"/>
    </row>
    <row r="3266" spans="1:10" x14ac:dyDescent="0.35">
      <c r="A3266" s="2" t="s">
        <v>1237</v>
      </c>
      <c r="B3266" s="2" t="s">
        <v>1407</v>
      </c>
      <c r="C3266" s="2" t="s">
        <v>62</v>
      </c>
      <c r="D3266" s="2" t="s">
        <v>1600</v>
      </c>
      <c r="E3266" s="2" t="s">
        <v>339</v>
      </c>
      <c r="F3266" s="2" t="s">
        <v>340</v>
      </c>
      <c r="G3266" s="2"/>
      <c r="H3266" s="2"/>
      <c r="I3266" s="2"/>
      <c r="J3266" s="2"/>
    </row>
    <row r="3267" spans="1:10" x14ac:dyDescent="0.35">
      <c r="A3267" s="2" t="s">
        <v>1237</v>
      </c>
      <c r="B3267" s="2" t="s">
        <v>1407</v>
      </c>
      <c r="C3267" s="2" t="s">
        <v>62</v>
      </c>
      <c r="D3267" s="2" t="s">
        <v>1600</v>
      </c>
      <c r="E3267" s="2" t="s">
        <v>341</v>
      </c>
      <c r="F3267" s="2" t="s">
        <v>342</v>
      </c>
      <c r="G3267" s="2"/>
      <c r="H3267" s="2"/>
      <c r="I3267" s="2"/>
      <c r="J3267" s="2"/>
    </row>
    <row r="3268" spans="1:10" x14ac:dyDescent="0.35">
      <c r="A3268" s="2" t="s">
        <v>1237</v>
      </c>
      <c r="B3268" s="2" t="s">
        <v>1407</v>
      </c>
      <c r="C3268" s="2" t="s">
        <v>62</v>
      </c>
      <c r="D3268" s="2" t="s">
        <v>1600</v>
      </c>
      <c r="E3268" s="2" t="s">
        <v>343</v>
      </c>
      <c r="F3268" s="2" t="s">
        <v>344</v>
      </c>
      <c r="G3268" s="2"/>
      <c r="H3268" s="2"/>
      <c r="I3268" s="2"/>
      <c r="J3268" s="2"/>
    </row>
    <row r="3269" spans="1:10" x14ac:dyDescent="0.35">
      <c r="A3269" s="2" t="s">
        <v>1237</v>
      </c>
      <c r="B3269" s="2" t="s">
        <v>1407</v>
      </c>
      <c r="C3269" s="2" t="s">
        <v>62</v>
      </c>
      <c r="D3269" s="2" t="s">
        <v>1600</v>
      </c>
      <c r="E3269" s="2" t="s">
        <v>345</v>
      </c>
      <c r="F3269" s="2" t="s">
        <v>346</v>
      </c>
      <c r="G3269" s="2"/>
      <c r="H3269" s="2"/>
      <c r="I3269" s="2"/>
      <c r="J3269" s="2"/>
    </row>
    <row r="3270" spans="1:10" x14ac:dyDescent="0.35">
      <c r="A3270" s="2" t="s">
        <v>1237</v>
      </c>
      <c r="B3270" s="2" t="s">
        <v>1407</v>
      </c>
      <c r="C3270" s="2" t="s">
        <v>62</v>
      </c>
      <c r="D3270" s="2" t="s">
        <v>1601</v>
      </c>
      <c r="E3270" s="2" t="s">
        <v>317</v>
      </c>
      <c r="F3270" s="2" t="s">
        <v>318</v>
      </c>
      <c r="G3270" s="2"/>
      <c r="H3270" s="2"/>
      <c r="I3270" s="2"/>
      <c r="J3270" s="2"/>
    </row>
    <row r="3271" spans="1:10" x14ac:dyDescent="0.35">
      <c r="A3271" s="2" t="s">
        <v>1237</v>
      </c>
      <c r="B3271" s="2" t="s">
        <v>1407</v>
      </c>
      <c r="C3271" s="2" t="s">
        <v>62</v>
      </c>
      <c r="D3271" s="2" t="s">
        <v>1601</v>
      </c>
      <c r="E3271" s="2" t="s">
        <v>87</v>
      </c>
      <c r="F3271" s="2" t="s">
        <v>75</v>
      </c>
      <c r="G3271" s="2"/>
      <c r="H3271" s="2"/>
      <c r="I3271" s="2"/>
      <c r="J3271" s="2"/>
    </row>
    <row r="3272" spans="1:10" s="21" customFormat="1" x14ac:dyDescent="0.35">
      <c r="A3272" s="2" t="s">
        <v>1237</v>
      </c>
      <c r="B3272" s="2" t="s">
        <v>1407</v>
      </c>
      <c r="C3272" s="2" t="s">
        <v>62</v>
      </c>
      <c r="D3272" s="2" t="s">
        <v>1601</v>
      </c>
      <c r="E3272" s="2" t="s">
        <v>333</v>
      </c>
      <c r="F3272" s="2" t="s">
        <v>334</v>
      </c>
      <c r="G3272" s="2"/>
      <c r="H3272" s="2"/>
      <c r="I3272" s="2"/>
      <c r="J3272" s="2"/>
    </row>
    <row r="3273" spans="1:10" x14ac:dyDescent="0.35">
      <c r="A3273" s="2" t="s">
        <v>1237</v>
      </c>
      <c r="B3273" s="2" t="s">
        <v>1407</v>
      </c>
      <c r="C3273" s="2" t="s">
        <v>12</v>
      </c>
      <c r="D3273" s="2" t="s">
        <v>1602</v>
      </c>
      <c r="E3273" s="2" t="s">
        <v>1603</v>
      </c>
      <c r="F3273" s="2" t="s">
        <v>38</v>
      </c>
      <c r="G3273" s="2"/>
      <c r="H3273" s="2"/>
      <c r="I3273" s="2"/>
      <c r="J3273" s="2"/>
    </row>
    <row r="3274" spans="1:10" x14ac:dyDescent="0.35">
      <c r="A3274" s="2" t="s">
        <v>1237</v>
      </c>
      <c r="B3274" s="2" t="s">
        <v>1407</v>
      </c>
      <c r="C3274" s="2" t="s">
        <v>12</v>
      </c>
      <c r="D3274" s="2" t="s">
        <v>1602</v>
      </c>
      <c r="E3274" s="2" t="s">
        <v>91</v>
      </c>
      <c r="F3274" s="2" t="s">
        <v>19</v>
      </c>
      <c r="G3274" s="2" t="s">
        <v>20</v>
      </c>
      <c r="H3274" s="2" t="s">
        <v>1378</v>
      </c>
      <c r="I3274" s="2"/>
      <c r="J3274" s="2"/>
    </row>
    <row r="3275" spans="1:10" x14ac:dyDescent="0.35">
      <c r="A3275" s="2" t="s">
        <v>1237</v>
      </c>
      <c r="B3275" s="2" t="s">
        <v>1407</v>
      </c>
      <c r="C3275" s="2" t="s">
        <v>12</v>
      </c>
      <c r="D3275" s="2" t="s">
        <v>1602</v>
      </c>
      <c r="E3275" s="2" t="s">
        <v>1228</v>
      </c>
      <c r="F3275" s="2" t="s">
        <v>228</v>
      </c>
      <c r="G3275" s="2"/>
      <c r="H3275" s="2"/>
      <c r="I3275" s="2"/>
      <c r="J3275" s="2"/>
    </row>
    <row r="3276" spans="1:10" x14ac:dyDescent="0.35">
      <c r="A3276" s="2" t="s">
        <v>1237</v>
      </c>
      <c r="B3276" s="2" t="s">
        <v>1407</v>
      </c>
      <c r="C3276" s="2" t="s">
        <v>24</v>
      </c>
      <c r="D3276" s="2" t="s">
        <v>1604</v>
      </c>
      <c r="E3276" s="2" t="s">
        <v>196</v>
      </c>
      <c r="F3276" s="2" t="s">
        <v>197</v>
      </c>
      <c r="G3276" s="2"/>
      <c r="H3276" s="2"/>
      <c r="I3276" s="2"/>
      <c r="J3276" s="2"/>
    </row>
    <row r="3277" spans="1:10" s="21" customFormat="1" x14ac:dyDescent="0.35">
      <c r="A3277" s="2" t="s">
        <v>1237</v>
      </c>
      <c r="B3277" s="2" t="s">
        <v>1407</v>
      </c>
      <c r="C3277" s="2" t="s">
        <v>24</v>
      </c>
      <c r="D3277" s="2" t="s">
        <v>1604</v>
      </c>
      <c r="E3277" s="2" t="s">
        <v>98</v>
      </c>
      <c r="F3277" s="2" t="s">
        <v>98</v>
      </c>
      <c r="G3277" s="2"/>
      <c r="H3277" s="2"/>
      <c r="I3277" s="2"/>
      <c r="J3277" s="2"/>
    </row>
    <row r="3278" spans="1:10" x14ac:dyDescent="0.35">
      <c r="A3278" s="2" t="s">
        <v>1237</v>
      </c>
      <c r="B3278" s="2" t="s">
        <v>1407</v>
      </c>
      <c r="C3278" s="2" t="s">
        <v>24</v>
      </c>
      <c r="D3278" s="2" t="s">
        <v>1604</v>
      </c>
      <c r="E3278" s="2" t="s">
        <v>87</v>
      </c>
      <c r="F3278" s="2" t="s">
        <v>75</v>
      </c>
      <c r="G3278" s="2"/>
      <c r="H3278" s="2"/>
      <c r="I3278" s="2"/>
      <c r="J3278" s="2"/>
    </row>
    <row r="3279" spans="1:10" s="21" customFormat="1" x14ac:dyDescent="0.35">
      <c r="A3279" s="2" t="s">
        <v>1237</v>
      </c>
      <c r="B3279" s="2" t="s">
        <v>1407</v>
      </c>
      <c r="C3279" s="2" t="s">
        <v>24</v>
      </c>
      <c r="D3279" s="2" t="s">
        <v>1604</v>
      </c>
      <c r="E3279" s="2" t="s">
        <v>472</v>
      </c>
      <c r="F3279" s="2" t="s">
        <v>473</v>
      </c>
      <c r="G3279" s="2"/>
      <c r="H3279" s="2"/>
      <c r="I3279" s="2"/>
      <c r="J3279" s="2"/>
    </row>
    <row r="3280" spans="1:10" x14ac:dyDescent="0.35">
      <c r="A3280" s="2" t="s">
        <v>1237</v>
      </c>
      <c r="B3280" s="2" t="s">
        <v>1407</v>
      </c>
      <c r="C3280" s="2" t="s">
        <v>24</v>
      </c>
      <c r="D3280" s="2" t="s">
        <v>1605</v>
      </c>
      <c r="E3280" s="2" t="s">
        <v>1606</v>
      </c>
      <c r="F3280" s="2" t="s">
        <v>38</v>
      </c>
      <c r="G3280" s="2"/>
      <c r="H3280" s="2"/>
      <c r="I3280" s="2"/>
      <c r="J3280" s="2"/>
    </row>
    <row r="3281" spans="1:10" x14ac:dyDescent="0.35">
      <c r="A3281" s="2" t="s">
        <v>1237</v>
      </c>
      <c r="B3281" s="2" t="s">
        <v>1407</v>
      </c>
      <c r="C3281" s="2" t="s">
        <v>24</v>
      </c>
      <c r="D3281" s="2" t="s">
        <v>1605</v>
      </c>
      <c r="E3281" s="2" t="s">
        <v>1359</v>
      </c>
      <c r="F3281" s="2" t="s">
        <v>363</v>
      </c>
      <c r="G3281" s="2"/>
      <c r="H3281" s="2"/>
      <c r="I3281" s="2"/>
      <c r="J3281" s="2"/>
    </row>
    <row r="3282" spans="1:10" x14ac:dyDescent="0.35">
      <c r="A3282" s="2" t="s">
        <v>1237</v>
      </c>
      <c r="B3282" s="2" t="s">
        <v>1407</v>
      </c>
      <c r="C3282" s="2" t="s">
        <v>24</v>
      </c>
      <c r="D3282" s="2" t="s">
        <v>1605</v>
      </c>
      <c r="E3282" s="2" t="s">
        <v>1226</v>
      </c>
      <c r="F3282" s="2" t="s">
        <v>107</v>
      </c>
      <c r="G3282" s="2"/>
      <c r="H3282" s="2"/>
      <c r="I3282" s="2"/>
      <c r="J3282" s="2"/>
    </row>
    <row r="3283" spans="1:10" x14ac:dyDescent="0.35">
      <c r="A3283" s="2" t="s">
        <v>1237</v>
      </c>
      <c r="B3283" s="2" t="s">
        <v>1407</v>
      </c>
      <c r="C3283" s="2" t="s">
        <v>24</v>
      </c>
      <c r="D3283" s="2" t="s">
        <v>1605</v>
      </c>
      <c r="E3283" s="2" t="s">
        <v>1457</v>
      </c>
      <c r="F3283" s="2" t="s">
        <v>1458</v>
      </c>
      <c r="G3283" s="2"/>
      <c r="H3283" s="2"/>
      <c r="I3283" s="2"/>
      <c r="J3283" s="2"/>
    </row>
    <row r="3284" spans="1:10" x14ac:dyDescent="0.35">
      <c r="A3284" s="2" t="s">
        <v>1237</v>
      </c>
      <c r="B3284" s="2" t="s">
        <v>1407</v>
      </c>
      <c r="C3284" s="2" t="s">
        <v>24</v>
      </c>
      <c r="D3284" s="2" t="s">
        <v>1605</v>
      </c>
      <c r="E3284" s="2" t="s">
        <v>455</v>
      </c>
      <c r="F3284" s="2" t="s">
        <v>52</v>
      </c>
      <c r="G3284" s="2"/>
      <c r="H3284" s="2"/>
      <c r="I3284" s="2"/>
      <c r="J3284" s="2"/>
    </row>
    <row r="3285" spans="1:10" x14ac:dyDescent="0.35">
      <c r="A3285" s="2" t="s">
        <v>1237</v>
      </c>
      <c r="B3285" s="2" t="s">
        <v>1407</v>
      </c>
      <c r="C3285" s="2" t="s">
        <v>24</v>
      </c>
      <c r="D3285" s="2" t="s">
        <v>1605</v>
      </c>
      <c r="E3285" s="2" t="s">
        <v>18</v>
      </c>
      <c r="F3285" s="2" t="s">
        <v>19</v>
      </c>
      <c r="G3285" s="2"/>
      <c r="H3285" s="2"/>
      <c r="I3285" s="2"/>
      <c r="J3285" s="2"/>
    </row>
    <row r="3286" spans="1:10" x14ac:dyDescent="0.35">
      <c r="A3286" s="2" t="s">
        <v>1237</v>
      </c>
      <c r="B3286" s="2" t="s">
        <v>1407</v>
      </c>
      <c r="C3286" s="2" t="s">
        <v>24</v>
      </c>
      <c r="D3286" s="2" t="s">
        <v>1605</v>
      </c>
      <c r="E3286" s="2" t="s">
        <v>1228</v>
      </c>
      <c r="F3286" s="2" t="s">
        <v>228</v>
      </c>
      <c r="G3286" s="2"/>
      <c r="H3286" s="2"/>
      <c r="I3286" s="2"/>
      <c r="J3286" s="2"/>
    </row>
    <row r="3287" spans="1:10" x14ac:dyDescent="0.35">
      <c r="A3287" s="2" t="s">
        <v>1237</v>
      </c>
      <c r="B3287" s="2" t="s">
        <v>1407</v>
      </c>
      <c r="C3287" s="2" t="s">
        <v>24</v>
      </c>
      <c r="D3287" s="2" t="s">
        <v>1605</v>
      </c>
      <c r="E3287" s="2" t="s">
        <v>1560</v>
      </c>
      <c r="F3287" s="2" t="s">
        <v>50</v>
      </c>
      <c r="G3287" s="2"/>
      <c r="H3287" s="2"/>
      <c r="I3287" s="2"/>
      <c r="J3287" s="2"/>
    </row>
    <row r="3288" spans="1:10" x14ac:dyDescent="0.35">
      <c r="A3288" s="2" t="s">
        <v>1237</v>
      </c>
      <c r="B3288" s="2" t="s">
        <v>1407</v>
      </c>
      <c r="C3288" s="2" t="s">
        <v>24</v>
      </c>
      <c r="D3288" s="2" t="s">
        <v>1605</v>
      </c>
      <c r="E3288" s="2" t="s">
        <v>1607</v>
      </c>
      <c r="F3288" s="2" t="s">
        <v>50</v>
      </c>
      <c r="G3288" s="2"/>
      <c r="H3288" s="2"/>
      <c r="I3288" s="2"/>
      <c r="J3288" s="2"/>
    </row>
    <row r="3289" spans="1:10" x14ac:dyDescent="0.35">
      <c r="A3289" s="2" t="s">
        <v>1237</v>
      </c>
      <c r="B3289" s="2" t="s">
        <v>1407</v>
      </c>
      <c r="C3289" s="2" t="s">
        <v>24</v>
      </c>
      <c r="D3289" s="2" t="s">
        <v>1608</v>
      </c>
      <c r="E3289" s="2" t="s">
        <v>196</v>
      </c>
      <c r="F3289" s="2" t="s">
        <v>197</v>
      </c>
      <c r="G3289" s="2"/>
      <c r="H3289" s="2"/>
      <c r="I3289" s="2"/>
      <c r="J3289" s="2"/>
    </row>
    <row r="3290" spans="1:10" x14ac:dyDescent="0.35">
      <c r="A3290" s="2" t="s">
        <v>1237</v>
      </c>
      <c r="B3290" s="2" t="s">
        <v>1407</v>
      </c>
      <c r="C3290" s="2" t="s">
        <v>24</v>
      </c>
      <c r="D3290" s="2" t="s">
        <v>1608</v>
      </c>
      <c r="E3290" s="2" t="s">
        <v>1609</v>
      </c>
      <c r="F3290" s="2" t="s">
        <v>38</v>
      </c>
      <c r="G3290" s="2"/>
      <c r="H3290" s="2"/>
      <c r="I3290" s="2"/>
      <c r="J3290" s="2"/>
    </row>
    <row r="3291" spans="1:10" x14ac:dyDescent="0.35">
      <c r="A3291" s="2" t="s">
        <v>1237</v>
      </c>
      <c r="B3291" s="2" t="s">
        <v>1407</v>
      </c>
      <c r="C3291" s="2" t="s">
        <v>24</v>
      </c>
      <c r="D3291" s="2" t="s">
        <v>1608</v>
      </c>
      <c r="E3291" s="2" t="s">
        <v>1610</v>
      </c>
      <c r="F3291" s="2" t="s">
        <v>83</v>
      </c>
      <c r="G3291" s="2"/>
      <c r="H3291" s="2"/>
      <c r="I3291" s="2"/>
      <c r="J3291" s="2"/>
    </row>
    <row r="3292" spans="1:10" x14ac:dyDescent="0.35">
      <c r="A3292" s="2" t="s">
        <v>1237</v>
      </c>
      <c r="B3292" s="2" t="s">
        <v>1407</v>
      </c>
      <c r="C3292" s="2" t="s">
        <v>24</v>
      </c>
      <c r="D3292" s="2" t="s">
        <v>1608</v>
      </c>
      <c r="E3292" s="2" t="s">
        <v>144</v>
      </c>
      <c r="F3292" s="2" t="s">
        <v>50</v>
      </c>
      <c r="G3292" s="2"/>
      <c r="H3292" s="2"/>
      <c r="I3292" s="2"/>
      <c r="J3292" s="2"/>
    </row>
    <row r="3293" spans="1:10" x14ac:dyDescent="0.35">
      <c r="A3293" s="2" t="s">
        <v>1237</v>
      </c>
      <c r="B3293" s="2" t="s">
        <v>1407</v>
      </c>
      <c r="C3293" s="2" t="s">
        <v>24</v>
      </c>
      <c r="D3293" s="2" t="s">
        <v>1608</v>
      </c>
      <c r="E3293" s="2" t="s">
        <v>1226</v>
      </c>
      <c r="F3293" s="2" t="s">
        <v>107</v>
      </c>
      <c r="G3293" s="2"/>
      <c r="H3293" s="2"/>
      <c r="I3293" s="2"/>
      <c r="J3293" s="2"/>
    </row>
    <row r="3294" spans="1:10" x14ac:dyDescent="0.35">
      <c r="A3294" s="2" t="s">
        <v>1237</v>
      </c>
      <c r="B3294" s="2" t="s">
        <v>1407</v>
      </c>
      <c r="C3294" s="2" t="s">
        <v>24</v>
      </c>
      <c r="D3294" s="2" t="s">
        <v>1608</v>
      </c>
      <c r="E3294" s="2" t="s">
        <v>1454</v>
      </c>
      <c r="F3294" s="2" t="s">
        <v>277</v>
      </c>
      <c r="G3294" s="2"/>
      <c r="H3294" s="2"/>
      <c r="I3294" s="2"/>
      <c r="J3294" s="2"/>
    </row>
    <row r="3295" spans="1:10" x14ac:dyDescent="0.35">
      <c r="A3295" s="2" t="s">
        <v>1237</v>
      </c>
      <c r="B3295" s="2" t="s">
        <v>1407</v>
      </c>
      <c r="C3295" s="2" t="s">
        <v>24</v>
      </c>
      <c r="D3295" s="2" t="s">
        <v>1608</v>
      </c>
      <c r="E3295" s="2" t="s">
        <v>1457</v>
      </c>
      <c r="F3295" s="2" t="s">
        <v>1458</v>
      </c>
      <c r="G3295" s="2"/>
      <c r="H3295" s="2"/>
      <c r="I3295" s="2"/>
      <c r="J3295" s="2"/>
    </row>
    <row r="3296" spans="1:10" s="21" customFormat="1" x14ac:dyDescent="0.35">
      <c r="A3296" s="2" t="s">
        <v>1237</v>
      </c>
      <c r="B3296" s="2" t="s">
        <v>1407</v>
      </c>
      <c r="C3296" s="2" t="s">
        <v>24</v>
      </c>
      <c r="D3296" s="2" t="s">
        <v>1608</v>
      </c>
      <c r="E3296" s="2" t="s">
        <v>1456</v>
      </c>
      <c r="F3296" s="2" t="s">
        <v>363</v>
      </c>
      <c r="G3296" s="2"/>
      <c r="H3296" s="2"/>
      <c r="I3296" s="2"/>
      <c r="J3296" s="2"/>
    </row>
    <row r="3297" spans="1:10" x14ac:dyDescent="0.35">
      <c r="A3297" s="2" t="s">
        <v>1237</v>
      </c>
      <c r="B3297" s="2" t="s">
        <v>1407</v>
      </c>
      <c r="C3297" s="2" t="s">
        <v>24</v>
      </c>
      <c r="D3297" s="2" t="s">
        <v>1608</v>
      </c>
      <c r="E3297" s="2" t="s">
        <v>18</v>
      </c>
      <c r="F3297" s="2" t="s">
        <v>19</v>
      </c>
      <c r="G3297" s="2" t="s">
        <v>20</v>
      </c>
      <c r="H3297" s="2" t="s">
        <v>1611</v>
      </c>
      <c r="I3297" s="2"/>
      <c r="J3297" s="2"/>
    </row>
    <row r="3298" spans="1:10" x14ac:dyDescent="0.35">
      <c r="A3298" s="2" t="s">
        <v>1237</v>
      </c>
      <c r="B3298" s="2" t="s">
        <v>1407</v>
      </c>
      <c r="C3298" s="2" t="s">
        <v>24</v>
      </c>
      <c r="D3298" s="2" t="s">
        <v>1608</v>
      </c>
      <c r="E3298" s="2" t="s">
        <v>1462</v>
      </c>
      <c r="F3298" s="2" t="s">
        <v>277</v>
      </c>
      <c r="G3298" s="2"/>
      <c r="H3298" s="2"/>
      <c r="I3298" s="2"/>
      <c r="J3298" s="2"/>
    </row>
    <row r="3299" spans="1:10" x14ac:dyDescent="0.35">
      <c r="A3299" s="2" t="s">
        <v>1237</v>
      </c>
      <c r="B3299" s="2" t="s">
        <v>1407</v>
      </c>
      <c r="C3299" s="2" t="s">
        <v>24</v>
      </c>
      <c r="D3299" s="2" t="s">
        <v>1608</v>
      </c>
      <c r="E3299" s="2" t="s">
        <v>1228</v>
      </c>
      <c r="F3299" s="2" t="s">
        <v>228</v>
      </c>
      <c r="G3299" s="2"/>
      <c r="H3299" s="2"/>
      <c r="I3299" s="2"/>
      <c r="J3299" s="2"/>
    </row>
    <row r="3300" spans="1:10" x14ac:dyDescent="0.35">
      <c r="A3300" s="2" t="s">
        <v>1237</v>
      </c>
      <c r="B3300" s="2" t="s">
        <v>1407</v>
      </c>
      <c r="C3300" s="2" t="s">
        <v>62</v>
      </c>
      <c r="D3300" s="2" t="s">
        <v>1612</v>
      </c>
      <c r="E3300" s="2" t="s">
        <v>196</v>
      </c>
      <c r="F3300" s="2" t="s">
        <v>197</v>
      </c>
      <c r="G3300" s="2"/>
      <c r="H3300" s="2"/>
      <c r="I3300" s="2"/>
      <c r="J3300" s="2"/>
    </row>
    <row r="3301" spans="1:10" x14ac:dyDescent="0.35">
      <c r="A3301" s="2" t="s">
        <v>1237</v>
      </c>
      <c r="B3301" s="2" t="s">
        <v>1407</v>
      </c>
      <c r="C3301" s="2" t="s">
        <v>62</v>
      </c>
      <c r="D3301" s="2" t="s">
        <v>1612</v>
      </c>
      <c r="E3301" s="2" t="s">
        <v>317</v>
      </c>
      <c r="F3301" s="2" t="s">
        <v>318</v>
      </c>
      <c r="G3301" s="2"/>
      <c r="H3301" s="2"/>
      <c r="I3301" s="2"/>
      <c r="J3301" s="2"/>
    </row>
    <row r="3302" spans="1:10" x14ac:dyDescent="0.35">
      <c r="A3302" s="2" t="s">
        <v>1237</v>
      </c>
      <c r="B3302" s="2" t="s">
        <v>1407</v>
      </c>
      <c r="C3302" s="2" t="s">
        <v>62</v>
      </c>
      <c r="D3302" s="2" t="s">
        <v>1612</v>
      </c>
      <c r="E3302" s="2" t="s">
        <v>319</v>
      </c>
      <c r="F3302" s="2" t="s">
        <v>320</v>
      </c>
      <c r="G3302" s="2"/>
      <c r="H3302" s="2"/>
      <c r="I3302" s="2"/>
      <c r="J3302" s="2"/>
    </row>
    <row r="3303" spans="1:10" x14ac:dyDescent="0.35">
      <c r="A3303" s="2" t="s">
        <v>1237</v>
      </c>
      <c r="B3303" s="2" t="s">
        <v>1407</v>
      </c>
      <c r="C3303" s="2" t="s">
        <v>62</v>
      </c>
      <c r="D3303" s="2" t="s">
        <v>1612</v>
      </c>
      <c r="E3303" s="2" t="s">
        <v>321</v>
      </c>
      <c r="F3303" s="2" t="s">
        <v>321</v>
      </c>
      <c r="G3303" s="2"/>
      <c r="H3303" s="2"/>
      <c r="I3303" s="2"/>
      <c r="J3303" s="2"/>
    </row>
    <row r="3304" spans="1:10" x14ac:dyDescent="0.35">
      <c r="A3304" s="2" t="s">
        <v>1237</v>
      </c>
      <c r="B3304" s="2" t="s">
        <v>1407</v>
      </c>
      <c r="C3304" s="2" t="s">
        <v>62</v>
      </c>
      <c r="D3304" s="2" t="s">
        <v>1612</v>
      </c>
      <c r="E3304" s="2" t="s">
        <v>322</v>
      </c>
      <c r="F3304" s="2" t="s">
        <v>246</v>
      </c>
      <c r="G3304" s="2"/>
      <c r="H3304" s="2"/>
      <c r="I3304" s="2"/>
      <c r="J3304" s="2"/>
    </row>
    <row r="3305" spans="1:10" x14ac:dyDescent="0.35">
      <c r="A3305" s="2" t="s">
        <v>1237</v>
      </c>
      <c r="B3305" s="2" t="s">
        <v>1407</v>
      </c>
      <c r="C3305" s="2" t="s">
        <v>62</v>
      </c>
      <c r="D3305" s="2" t="s">
        <v>1612</v>
      </c>
      <c r="E3305" s="2" t="s">
        <v>323</v>
      </c>
      <c r="F3305" s="2" t="s">
        <v>246</v>
      </c>
      <c r="G3305" s="2"/>
      <c r="H3305" s="2"/>
      <c r="I3305" s="2"/>
      <c r="J3305" s="2"/>
    </row>
    <row r="3306" spans="1:10" x14ac:dyDescent="0.35">
      <c r="A3306" s="2" t="s">
        <v>1237</v>
      </c>
      <c r="B3306" s="2" t="s">
        <v>1407</v>
      </c>
      <c r="C3306" s="2" t="s">
        <v>62</v>
      </c>
      <c r="D3306" s="2" t="s">
        <v>1612</v>
      </c>
      <c r="E3306" s="2" t="s">
        <v>324</v>
      </c>
      <c r="F3306" s="2" t="s">
        <v>246</v>
      </c>
      <c r="G3306" s="2"/>
      <c r="H3306" s="2"/>
      <c r="I3306" s="2"/>
      <c r="J3306" s="2"/>
    </row>
    <row r="3307" spans="1:10" x14ac:dyDescent="0.35">
      <c r="A3307" s="2" t="s">
        <v>1237</v>
      </c>
      <c r="B3307" s="2" t="s">
        <v>1407</v>
      </c>
      <c r="C3307" s="2" t="s">
        <v>62</v>
      </c>
      <c r="D3307" s="2" t="s">
        <v>1612</v>
      </c>
      <c r="E3307" s="2" t="s">
        <v>325</v>
      </c>
      <c r="F3307" s="2" t="s">
        <v>1413</v>
      </c>
      <c r="G3307" s="2"/>
      <c r="H3307" s="2"/>
      <c r="I3307" s="2"/>
      <c r="J3307" s="2"/>
    </row>
    <row r="3308" spans="1:10" x14ac:dyDescent="0.35">
      <c r="A3308" s="2" t="s">
        <v>1237</v>
      </c>
      <c r="B3308" s="2" t="s">
        <v>1407</v>
      </c>
      <c r="C3308" s="2" t="s">
        <v>62</v>
      </c>
      <c r="D3308" s="2" t="s">
        <v>1612</v>
      </c>
      <c r="E3308" s="2" t="s">
        <v>327</v>
      </c>
      <c r="F3308" s="2" t="s">
        <v>328</v>
      </c>
      <c r="G3308" s="2"/>
      <c r="H3308" s="2"/>
      <c r="I3308" s="2"/>
      <c r="J3308" s="2"/>
    </row>
    <row r="3309" spans="1:10" x14ac:dyDescent="0.35">
      <c r="A3309" s="2" t="s">
        <v>1237</v>
      </c>
      <c r="B3309" s="2" t="s">
        <v>1407</v>
      </c>
      <c r="C3309" s="2" t="s">
        <v>62</v>
      </c>
      <c r="D3309" s="2" t="s">
        <v>1612</v>
      </c>
      <c r="E3309" s="2" t="s">
        <v>329</v>
      </c>
      <c r="F3309" s="2" t="s">
        <v>330</v>
      </c>
      <c r="G3309" s="2"/>
      <c r="H3309" s="2"/>
      <c r="I3309" s="2"/>
      <c r="J3309" s="2"/>
    </row>
    <row r="3310" spans="1:10" x14ac:dyDescent="0.35">
      <c r="A3310" s="2" t="s">
        <v>1237</v>
      </c>
      <c r="B3310" s="2" t="s">
        <v>1407</v>
      </c>
      <c r="C3310" s="2" t="s">
        <v>62</v>
      </c>
      <c r="D3310" s="2" t="s">
        <v>1612</v>
      </c>
      <c r="E3310" s="2" t="s">
        <v>331</v>
      </c>
      <c r="F3310" s="2" t="s">
        <v>332</v>
      </c>
      <c r="G3310" s="2"/>
      <c r="H3310" s="2"/>
      <c r="I3310" s="2"/>
      <c r="J3310" s="2"/>
    </row>
    <row r="3311" spans="1:10" x14ac:dyDescent="0.35">
      <c r="A3311" s="2" t="s">
        <v>1237</v>
      </c>
      <c r="B3311" s="2" t="s">
        <v>1407</v>
      </c>
      <c r="C3311" s="2" t="s">
        <v>62</v>
      </c>
      <c r="D3311" s="2" t="s">
        <v>1612</v>
      </c>
      <c r="E3311" s="2" t="s">
        <v>333</v>
      </c>
      <c r="F3311" s="2" t="s">
        <v>334</v>
      </c>
      <c r="G3311" s="2"/>
      <c r="H3311" s="2"/>
      <c r="I3311" s="2"/>
      <c r="J3311" s="2"/>
    </row>
    <row r="3312" spans="1:10" x14ac:dyDescent="0.35">
      <c r="A3312" s="2" t="s">
        <v>1237</v>
      </c>
      <c r="B3312" s="2" t="s">
        <v>1407</v>
      </c>
      <c r="C3312" s="2" t="s">
        <v>62</v>
      </c>
      <c r="D3312" s="2" t="s">
        <v>1612</v>
      </c>
      <c r="E3312" s="2" t="s">
        <v>1297</v>
      </c>
      <c r="F3312" s="2" t="s">
        <v>533</v>
      </c>
      <c r="G3312" s="2"/>
      <c r="H3312" s="2"/>
      <c r="I3312" s="2"/>
      <c r="J3312" s="2"/>
    </row>
    <row r="3313" spans="1:10" x14ac:dyDescent="0.35">
      <c r="A3313" s="2" t="s">
        <v>1237</v>
      </c>
      <c r="B3313" s="2" t="s">
        <v>1407</v>
      </c>
      <c r="C3313" s="2" t="s">
        <v>62</v>
      </c>
      <c r="D3313" s="2" t="s">
        <v>1612</v>
      </c>
      <c r="E3313" s="2" t="s">
        <v>335</v>
      </c>
      <c r="F3313" s="2" t="s">
        <v>336</v>
      </c>
      <c r="G3313" s="2"/>
      <c r="H3313" s="2"/>
      <c r="I3313" s="2"/>
      <c r="J3313" s="2"/>
    </row>
    <row r="3314" spans="1:10" x14ac:dyDescent="0.35">
      <c r="A3314" s="2" t="s">
        <v>1237</v>
      </c>
      <c r="B3314" s="2" t="s">
        <v>1407</v>
      </c>
      <c r="C3314" s="2" t="s">
        <v>62</v>
      </c>
      <c r="D3314" s="2" t="s">
        <v>1612</v>
      </c>
      <c r="E3314" s="2" t="s">
        <v>337</v>
      </c>
      <c r="F3314" s="2" t="s">
        <v>338</v>
      </c>
      <c r="G3314" s="2"/>
      <c r="H3314" s="2"/>
      <c r="I3314" s="2"/>
      <c r="J3314" s="2"/>
    </row>
    <row r="3315" spans="1:10" x14ac:dyDescent="0.35">
      <c r="A3315" s="2" t="s">
        <v>1237</v>
      </c>
      <c r="B3315" s="2" t="s">
        <v>1407</v>
      </c>
      <c r="C3315" s="2" t="s">
        <v>62</v>
      </c>
      <c r="D3315" s="2" t="s">
        <v>1612</v>
      </c>
      <c r="E3315" s="2" t="s">
        <v>339</v>
      </c>
      <c r="F3315" s="2" t="s">
        <v>340</v>
      </c>
      <c r="G3315" s="2"/>
      <c r="H3315" s="2"/>
      <c r="I3315" s="2"/>
      <c r="J3315" s="2"/>
    </row>
    <row r="3316" spans="1:10" x14ac:dyDescent="0.35">
      <c r="A3316" s="2" t="s">
        <v>1237</v>
      </c>
      <c r="B3316" s="2" t="s">
        <v>1407</v>
      </c>
      <c r="C3316" s="2" t="s">
        <v>62</v>
      </c>
      <c r="D3316" s="2" t="s">
        <v>1612</v>
      </c>
      <c r="E3316" s="2" t="s">
        <v>341</v>
      </c>
      <c r="F3316" s="2" t="s">
        <v>342</v>
      </c>
      <c r="G3316" s="2"/>
      <c r="H3316" s="2"/>
      <c r="I3316" s="2"/>
      <c r="J3316" s="2"/>
    </row>
    <row r="3317" spans="1:10" x14ac:dyDescent="0.35">
      <c r="A3317" s="2" t="s">
        <v>1237</v>
      </c>
      <c r="B3317" s="2" t="s">
        <v>1407</v>
      </c>
      <c r="C3317" s="2" t="s">
        <v>62</v>
      </c>
      <c r="D3317" s="2" t="s">
        <v>1612</v>
      </c>
      <c r="E3317" s="2" t="s">
        <v>343</v>
      </c>
      <c r="F3317" s="2" t="s">
        <v>344</v>
      </c>
      <c r="G3317" s="2"/>
      <c r="H3317" s="2"/>
      <c r="I3317" s="2"/>
      <c r="J3317" s="2"/>
    </row>
    <row r="3318" spans="1:10" x14ac:dyDescent="0.35">
      <c r="A3318" s="2" t="s">
        <v>1237</v>
      </c>
      <c r="B3318" s="2" t="s">
        <v>1407</v>
      </c>
      <c r="C3318" s="2" t="s">
        <v>62</v>
      </c>
      <c r="D3318" s="2" t="s">
        <v>1612</v>
      </c>
      <c r="E3318" s="2" t="s">
        <v>345</v>
      </c>
      <c r="F3318" s="2" t="s">
        <v>346</v>
      </c>
      <c r="G3318" s="2"/>
      <c r="H3318" s="2"/>
      <c r="I3318" s="2"/>
      <c r="J3318" s="2"/>
    </row>
    <row r="3319" spans="1:10" x14ac:dyDescent="0.35">
      <c r="A3319" s="2" t="s">
        <v>1237</v>
      </c>
      <c r="B3319" s="2" t="s">
        <v>1407</v>
      </c>
      <c r="C3319" s="2" t="s">
        <v>62</v>
      </c>
      <c r="D3319" s="2" t="s">
        <v>1613</v>
      </c>
      <c r="E3319" s="2" t="s">
        <v>196</v>
      </c>
      <c r="F3319" s="2" t="s">
        <v>197</v>
      </c>
      <c r="G3319" s="2"/>
      <c r="H3319" s="2"/>
      <c r="I3319" s="2"/>
      <c r="J3319" s="2"/>
    </row>
    <row r="3320" spans="1:10" x14ac:dyDescent="0.35">
      <c r="A3320" s="2" t="s">
        <v>1237</v>
      </c>
      <c r="B3320" s="2" t="s">
        <v>1407</v>
      </c>
      <c r="C3320" s="2" t="s">
        <v>62</v>
      </c>
      <c r="D3320" s="2" t="s">
        <v>1613</v>
      </c>
      <c r="E3320" s="2" t="s">
        <v>1485</v>
      </c>
      <c r="F3320" s="2" t="s">
        <v>1486</v>
      </c>
      <c r="G3320" s="2"/>
      <c r="H3320" s="2"/>
      <c r="I3320" s="2"/>
      <c r="J3320" s="2"/>
    </row>
    <row r="3321" spans="1:10" x14ac:dyDescent="0.35">
      <c r="A3321" s="2" t="s">
        <v>1237</v>
      </c>
      <c r="B3321" s="2" t="s">
        <v>1407</v>
      </c>
      <c r="C3321" s="2" t="s">
        <v>62</v>
      </c>
      <c r="D3321" s="2" t="s">
        <v>1613</v>
      </c>
      <c r="E3321" s="2" t="s">
        <v>317</v>
      </c>
      <c r="F3321" s="2" t="s">
        <v>318</v>
      </c>
      <c r="G3321" s="2"/>
      <c r="H3321" s="2"/>
      <c r="I3321" s="2"/>
      <c r="J3321" s="2"/>
    </row>
    <row r="3322" spans="1:10" x14ac:dyDescent="0.35">
      <c r="A3322" s="2" t="s">
        <v>1237</v>
      </c>
      <c r="B3322" s="2" t="s">
        <v>1407</v>
      </c>
      <c r="C3322" s="2" t="s">
        <v>62</v>
      </c>
      <c r="D3322" s="2" t="s">
        <v>1613</v>
      </c>
      <c r="E3322" s="2" t="s">
        <v>98</v>
      </c>
      <c r="F3322" s="2" t="s">
        <v>98</v>
      </c>
      <c r="G3322" s="2"/>
      <c r="H3322" s="2"/>
      <c r="I3322" s="2"/>
      <c r="J3322" s="2"/>
    </row>
    <row r="3323" spans="1:10" x14ac:dyDescent="0.35">
      <c r="A3323" s="2" t="s">
        <v>1237</v>
      </c>
      <c r="B3323" s="2" t="s">
        <v>1407</v>
      </c>
      <c r="C3323" s="2" t="s">
        <v>62</v>
      </c>
      <c r="D3323" s="2" t="s">
        <v>1613</v>
      </c>
      <c r="E3323" s="2" t="s">
        <v>319</v>
      </c>
      <c r="F3323" s="2" t="s">
        <v>320</v>
      </c>
      <c r="G3323" s="2"/>
      <c r="H3323" s="2"/>
      <c r="I3323" s="2"/>
      <c r="J3323" s="2"/>
    </row>
    <row r="3324" spans="1:10" x14ac:dyDescent="0.35">
      <c r="A3324" s="2" t="s">
        <v>1237</v>
      </c>
      <c r="B3324" s="2" t="s">
        <v>1407</v>
      </c>
      <c r="C3324" s="2" t="s">
        <v>62</v>
      </c>
      <c r="D3324" s="2" t="s">
        <v>1613</v>
      </c>
      <c r="E3324" s="2" t="s">
        <v>18</v>
      </c>
      <c r="F3324" s="2" t="s">
        <v>19</v>
      </c>
      <c r="G3324" s="2"/>
      <c r="H3324" s="2"/>
      <c r="I3324" s="2"/>
      <c r="J3324" s="2"/>
    </row>
    <row r="3325" spans="1:10" x14ac:dyDescent="0.35">
      <c r="A3325" s="2" t="s">
        <v>1237</v>
      </c>
      <c r="B3325" s="2" t="s">
        <v>1407</v>
      </c>
      <c r="C3325" s="2" t="s">
        <v>62</v>
      </c>
      <c r="D3325" s="2" t="s">
        <v>1613</v>
      </c>
      <c r="E3325" s="2" t="s">
        <v>321</v>
      </c>
      <c r="F3325" s="2" t="s">
        <v>321</v>
      </c>
      <c r="G3325" s="2"/>
      <c r="H3325" s="2"/>
      <c r="I3325" s="2"/>
      <c r="J3325" s="2"/>
    </row>
    <row r="3326" spans="1:10" x14ac:dyDescent="0.35">
      <c r="A3326" s="2" t="s">
        <v>1237</v>
      </c>
      <c r="B3326" s="2" t="s">
        <v>1407</v>
      </c>
      <c r="C3326" s="2" t="s">
        <v>62</v>
      </c>
      <c r="D3326" s="2" t="s">
        <v>1613</v>
      </c>
      <c r="E3326" s="2" t="s">
        <v>322</v>
      </c>
      <c r="F3326" s="2" t="s">
        <v>246</v>
      </c>
      <c r="G3326" s="2"/>
      <c r="H3326" s="2"/>
      <c r="I3326" s="2"/>
      <c r="J3326" s="2"/>
    </row>
    <row r="3327" spans="1:10" x14ac:dyDescent="0.35">
      <c r="A3327" s="2" t="s">
        <v>1237</v>
      </c>
      <c r="B3327" s="2" t="s">
        <v>1407</v>
      </c>
      <c r="C3327" s="2" t="s">
        <v>62</v>
      </c>
      <c r="D3327" s="2" t="s">
        <v>1613</v>
      </c>
      <c r="E3327" s="2" t="s">
        <v>323</v>
      </c>
      <c r="F3327" s="2" t="s">
        <v>246</v>
      </c>
      <c r="G3327" s="2"/>
      <c r="H3327" s="2"/>
      <c r="I3327" s="2"/>
      <c r="J3327" s="2"/>
    </row>
    <row r="3328" spans="1:10" x14ac:dyDescent="0.35">
      <c r="A3328" s="2" t="s">
        <v>1237</v>
      </c>
      <c r="B3328" s="2" t="s">
        <v>1407</v>
      </c>
      <c r="C3328" s="2" t="s">
        <v>62</v>
      </c>
      <c r="D3328" s="2" t="s">
        <v>1613</v>
      </c>
      <c r="E3328" s="2" t="s">
        <v>324</v>
      </c>
      <c r="F3328" s="2" t="s">
        <v>246</v>
      </c>
      <c r="G3328" s="2"/>
      <c r="H3328" s="2"/>
      <c r="I3328" s="2"/>
      <c r="J3328" s="2"/>
    </row>
    <row r="3329" spans="1:10" x14ac:dyDescent="0.35">
      <c r="A3329" s="2" t="s">
        <v>1237</v>
      </c>
      <c r="B3329" s="2" t="s">
        <v>1407</v>
      </c>
      <c r="C3329" s="2" t="s">
        <v>62</v>
      </c>
      <c r="D3329" s="2" t="s">
        <v>1613</v>
      </c>
      <c r="E3329" s="2" t="s">
        <v>325</v>
      </c>
      <c r="F3329" s="2" t="s">
        <v>1413</v>
      </c>
      <c r="G3329" s="2"/>
      <c r="H3329" s="2"/>
      <c r="I3329" s="2"/>
      <c r="J3329" s="2"/>
    </row>
    <row r="3330" spans="1:10" x14ac:dyDescent="0.35">
      <c r="A3330" s="2" t="s">
        <v>1237</v>
      </c>
      <c r="B3330" s="2" t="s">
        <v>1407</v>
      </c>
      <c r="C3330" s="2" t="s">
        <v>62</v>
      </c>
      <c r="D3330" s="2" t="s">
        <v>1613</v>
      </c>
      <c r="E3330" s="2" t="s">
        <v>327</v>
      </c>
      <c r="F3330" s="2" t="s">
        <v>328</v>
      </c>
      <c r="G3330" s="2"/>
      <c r="H3330" s="2"/>
      <c r="I3330" s="2"/>
      <c r="J3330" s="2"/>
    </row>
    <row r="3331" spans="1:10" x14ac:dyDescent="0.35">
      <c r="A3331" s="2" t="s">
        <v>1237</v>
      </c>
      <c r="B3331" s="2" t="s">
        <v>1407</v>
      </c>
      <c r="C3331" s="2" t="s">
        <v>62</v>
      </c>
      <c r="D3331" s="2" t="s">
        <v>1613</v>
      </c>
      <c r="E3331" s="2" t="s">
        <v>329</v>
      </c>
      <c r="F3331" s="2" t="s">
        <v>330</v>
      </c>
      <c r="G3331" s="2"/>
      <c r="H3331" s="2"/>
      <c r="I3331" s="2"/>
      <c r="J3331" s="2"/>
    </row>
    <row r="3332" spans="1:10" x14ac:dyDescent="0.35">
      <c r="A3332" s="2" t="s">
        <v>1237</v>
      </c>
      <c r="B3332" s="2" t="s">
        <v>1407</v>
      </c>
      <c r="C3332" s="2" t="s">
        <v>62</v>
      </c>
      <c r="D3332" s="2" t="s">
        <v>1613</v>
      </c>
      <c r="E3332" s="2" t="s">
        <v>331</v>
      </c>
      <c r="F3332" s="2" t="s">
        <v>332</v>
      </c>
      <c r="G3332" s="2"/>
      <c r="H3332" s="2"/>
      <c r="I3332" s="2"/>
      <c r="J3332" s="2"/>
    </row>
    <row r="3333" spans="1:10" x14ac:dyDescent="0.35">
      <c r="A3333" s="2" t="s">
        <v>1237</v>
      </c>
      <c r="B3333" s="2" t="s">
        <v>1407</v>
      </c>
      <c r="C3333" s="2" t="s">
        <v>62</v>
      </c>
      <c r="D3333" s="2" t="s">
        <v>1613</v>
      </c>
      <c r="E3333" s="2" t="s">
        <v>333</v>
      </c>
      <c r="F3333" s="2" t="s">
        <v>334</v>
      </c>
      <c r="G3333" s="2"/>
      <c r="H3333" s="2"/>
      <c r="I3333" s="2"/>
      <c r="J3333" s="2"/>
    </row>
    <row r="3334" spans="1:10" x14ac:dyDescent="0.35">
      <c r="A3334" s="2" t="s">
        <v>1237</v>
      </c>
      <c r="B3334" s="2" t="s">
        <v>1407</v>
      </c>
      <c r="C3334" s="2" t="s">
        <v>62</v>
      </c>
      <c r="D3334" s="2" t="s">
        <v>1613</v>
      </c>
      <c r="E3334" s="2" t="s">
        <v>335</v>
      </c>
      <c r="F3334" s="2" t="s">
        <v>336</v>
      </c>
      <c r="G3334" s="2"/>
      <c r="H3334" s="2"/>
      <c r="I3334" s="2"/>
      <c r="J3334" s="2"/>
    </row>
    <row r="3335" spans="1:10" x14ac:dyDescent="0.35">
      <c r="A3335" s="2" t="s">
        <v>1237</v>
      </c>
      <c r="B3335" s="2" t="s">
        <v>1407</v>
      </c>
      <c r="C3335" s="2" t="s">
        <v>62</v>
      </c>
      <c r="D3335" s="2" t="s">
        <v>1613</v>
      </c>
      <c r="E3335" s="2" t="s">
        <v>337</v>
      </c>
      <c r="F3335" s="2" t="s">
        <v>338</v>
      </c>
      <c r="G3335" s="2"/>
      <c r="H3335" s="2"/>
      <c r="I3335" s="2"/>
      <c r="J3335" s="2"/>
    </row>
    <row r="3336" spans="1:10" x14ac:dyDescent="0.35">
      <c r="A3336" s="2" t="s">
        <v>1237</v>
      </c>
      <c r="B3336" s="2" t="s">
        <v>1407</v>
      </c>
      <c r="C3336" s="2" t="s">
        <v>62</v>
      </c>
      <c r="D3336" s="2" t="s">
        <v>1613</v>
      </c>
      <c r="E3336" s="2" t="s">
        <v>339</v>
      </c>
      <c r="F3336" s="2" t="s">
        <v>340</v>
      </c>
      <c r="G3336" s="2"/>
      <c r="H3336" s="2"/>
      <c r="I3336" s="2"/>
      <c r="J3336" s="2"/>
    </row>
    <row r="3337" spans="1:10" x14ac:dyDescent="0.35">
      <c r="A3337" s="2" t="s">
        <v>1237</v>
      </c>
      <c r="B3337" s="2" t="s">
        <v>1407</v>
      </c>
      <c r="C3337" s="2" t="s">
        <v>62</v>
      </c>
      <c r="D3337" s="2" t="s">
        <v>1613</v>
      </c>
      <c r="E3337" s="2" t="s">
        <v>341</v>
      </c>
      <c r="F3337" s="2" t="s">
        <v>342</v>
      </c>
      <c r="G3337" s="2"/>
      <c r="H3337" s="2"/>
      <c r="I3337" s="2"/>
      <c r="J3337" s="2"/>
    </row>
    <row r="3338" spans="1:10" x14ac:dyDescent="0.35">
      <c r="A3338" s="2" t="s">
        <v>1237</v>
      </c>
      <c r="B3338" s="2" t="s">
        <v>1407</v>
      </c>
      <c r="C3338" s="2" t="s">
        <v>62</v>
      </c>
      <c r="D3338" s="2" t="s">
        <v>1613</v>
      </c>
      <c r="E3338" s="2" t="s">
        <v>343</v>
      </c>
      <c r="F3338" s="2" t="s">
        <v>344</v>
      </c>
      <c r="G3338" s="2"/>
      <c r="H3338" s="2"/>
      <c r="I3338" s="2"/>
      <c r="J3338" s="2"/>
    </row>
    <row r="3339" spans="1:10" x14ac:dyDescent="0.35">
      <c r="A3339" s="2" t="s">
        <v>1237</v>
      </c>
      <c r="B3339" s="2" t="s">
        <v>1407</v>
      </c>
      <c r="C3339" s="2" t="s">
        <v>62</v>
      </c>
      <c r="D3339" s="2" t="s">
        <v>1613</v>
      </c>
      <c r="E3339" s="2" t="s">
        <v>345</v>
      </c>
      <c r="F3339" s="2" t="s">
        <v>346</v>
      </c>
      <c r="G3339" s="2"/>
      <c r="H3339" s="2"/>
      <c r="I3339" s="2"/>
      <c r="J3339" s="2"/>
    </row>
    <row r="3340" spans="1:10" x14ac:dyDescent="0.35">
      <c r="A3340" s="2" t="s">
        <v>1237</v>
      </c>
      <c r="B3340" s="2" t="s">
        <v>1407</v>
      </c>
      <c r="C3340" s="2" t="s">
        <v>62</v>
      </c>
      <c r="D3340" s="2" t="s">
        <v>1614</v>
      </c>
      <c r="E3340" s="2" t="s">
        <v>317</v>
      </c>
      <c r="F3340" s="2" t="s">
        <v>318</v>
      </c>
      <c r="G3340" s="2"/>
      <c r="H3340" s="2"/>
      <c r="I3340" s="2"/>
      <c r="J3340" s="2"/>
    </row>
    <row r="3341" spans="1:10" x14ac:dyDescent="0.35">
      <c r="A3341" s="2" t="s">
        <v>1237</v>
      </c>
      <c r="B3341" s="2" t="s">
        <v>1407</v>
      </c>
      <c r="C3341" s="2" t="s">
        <v>62</v>
      </c>
      <c r="D3341" s="2" t="s">
        <v>1614</v>
      </c>
      <c r="E3341" s="2" t="s">
        <v>1051</v>
      </c>
      <c r="F3341" s="2" t="s">
        <v>318</v>
      </c>
      <c r="G3341" s="2"/>
      <c r="H3341" s="2"/>
      <c r="I3341" s="2"/>
      <c r="J3341" s="2"/>
    </row>
    <row r="3342" spans="1:10" s="21" customFormat="1" x14ac:dyDescent="0.35">
      <c r="A3342" s="2" t="s">
        <v>1237</v>
      </c>
      <c r="B3342" s="2" t="s">
        <v>1407</v>
      </c>
      <c r="C3342" s="2" t="s">
        <v>62</v>
      </c>
      <c r="D3342" s="2" t="s">
        <v>1614</v>
      </c>
      <c r="E3342" s="2" t="s">
        <v>333</v>
      </c>
      <c r="F3342" s="2" t="s">
        <v>334</v>
      </c>
      <c r="G3342" s="2"/>
      <c r="H3342" s="2"/>
      <c r="I3342" s="2"/>
      <c r="J3342" s="2"/>
    </row>
    <row r="3343" spans="1:10" s="21" customFormat="1" x14ac:dyDescent="0.35">
      <c r="A3343" s="2" t="s">
        <v>1237</v>
      </c>
      <c r="B3343" s="2" t="s">
        <v>1407</v>
      </c>
      <c r="C3343" s="2" t="s">
        <v>12</v>
      </c>
      <c r="D3343" s="2" t="s">
        <v>1615</v>
      </c>
      <c r="E3343" s="2" t="s">
        <v>198</v>
      </c>
      <c r="F3343" s="2" t="s">
        <v>65</v>
      </c>
      <c r="G3343" s="2"/>
      <c r="H3343" s="2"/>
      <c r="I3343" s="2"/>
      <c r="J3343" s="2"/>
    </row>
    <row r="3344" spans="1:10" s="21" customFormat="1" x14ac:dyDescent="0.35">
      <c r="A3344" s="2" t="s">
        <v>1237</v>
      </c>
      <c r="B3344" s="2" t="s">
        <v>1407</v>
      </c>
      <c r="C3344" s="2" t="s">
        <v>12</v>
      </c>
      <c r="D3344" s="2" t="s">
        <v>1615</v>
      </c>
      <c r="E3344" s="2" t="s">
        <v>91</v>
      </c>
      <c r="F3344" s="2" t="s">
        <v>19</v>
      </c>
      <c r="G3344" s="2" t="s">
        <v>20</v>
      </c>
      <c r="H3344" s="2" t="s">
        <v>1616</v>
      </c>
      <c r="I3344" s="2"/>
      <c r="J3344" s="2"/>
    </row>
    <row r="3345" spans="1:10" s="21" customFormat="1" x14ac:dyDescent="0.35">
      <c r="A3345" s="2" t="s">
        <v>1237</v>
      </c>
      <c r="B3345" s="2" t="s">
        <v>1407</v>
      </c>
      <c r="C3345" s="2" t="s">
        <v>12</v>
      </c>
      <c r="D3345" s="2" t="s">
        <v>1615</v>
      </c>
      <c r="E3345" s="2" t="s">
        <v>188</v>
      </c>
      <c r="F3345" s="2" t="s">
        <v>189</v>
      </c>
      <c r="G3345" s="2" t="s">
        <v>20</v>
      </c>
      <c r="H3345" s="2" t="s">
        <v>1617</v>
      </c>
      <c r="I3345" s="2"/>
      <c r="J3345" s="2"/>
    </row>
    <row r="3346" spans="1:10" x14ac:dyDescent="0.35">
      <c r="A3346" s="2" t="s">
        <v>1237</v>
      </c>
      <c r="B3346" s="2" t="s">
        <v>1407</v>
      </c>
      <c r="C3346" s="2" t="s">
        <v>24</v>
      </c>
      <c r="D3346" s="2" t="s">
        <v>1618</v>
      </c>
      <c r="E3346" s="2" t="s">
        <v>196</v>
      </c>
      <c r="F3346" s="2" t="s">
        <v>197</v>
      </c>
      <c r="G3346" s="2"/>
      <c r="H3346" s="2"/>
      <c r="I3346" s="2"/>
      <c r="J3346" s="2"/>
    </row>
    <row r="3347" spans="1:10" x14ac:dyDescent="0.35">
      <c r="A3347" s="2" t="s">
        <v>1237</v>
      </c>
      <c r="B3347" s="2" t="s">
        <v>1407</v>
      </c>
      <c r="C3347" s="2" t="s">
        <v>24</v>
      </c>
      <c r="D3347" s="2" t="s">
        <v>1618</v>
      </c>
      <c r="E3347" s="2" t="s">
        <v>1619</v>
      </c>
      <c r="F3347" s="2" t="s">
        <v>125</v>
      </c>
      <c r="G3347" s="2"/>
      <c r="H3347" s="2"/>
      <c r="I3347" s="2"/>
      <c r="J3347" s="2"/>
    </row>
    <row r="3348" spans="1:10" x14ac:dyDescent="0.35">
      <c r="A3348" s="2" t="s">
        <v>1237</v>
      </c>
      <c r="B3348" s="2" t="s">
        <v>1407</v>
      </c>
      <c r="C3348" s="2" t="s">
        <v>24</v>
      </c>
      <c r="D3348" s="2" t="s">
        <v>1618</v>
      </c>
      <c r="E3348" s="2" t="s">
        <v>74</v>
      </c>
      <c r="F3348" s="2" t="s">
        <v>75</v>
      </c>
      <c r="G3348" s="2"/>
      <c r="H3348" s="2"/>
      <c r="I3348" s="2"/>
      <c r="J3348" s="2"/>
    </row>
    <row r="3349" spans="1:10" x14ac:dyDescent="0.35">
      <c r="A3349" s="2" t="s">
        <v>1237</v>
      </c>
      <c r="B3349" s="2" t="s">
        <v>1407</v>
      </c>
      <c r="C3349" s="2" t="s">
        <v>24</v>
      </c>
      <c r="D3349" s="2" t="s">
        <v>1618</v>
      </c>
      <c r="E3349" s="2" t="s">
        <v>14</v>
      </c>
      <c r="F3349" s="2" t="s">
        <v>15</v>
      </c>
      <c r="G3349" s="2"/>
      <c r="H3349" s="2"/>
      <c r="I3349" s="2"/>
      <c r="J3349" s="2"/>
    </row>
    <row r="3350" spans="1:10" x14ac:dyDescent="0.35">
      <c r="A3350" s="2" t="s">
        <v>1237</v>
      </c>
      <c r="B3350" s="2" t="s">
        <v>1407</v>
      </c>
      <c r="C3350" s="2" t="s">
        <v>24</v>
      </c>
      <c r="D3350" s="2" t="s">
        <v>1618</v>
      </c>
      <c r="E3350" s="2" t="s">
        <v>1620</v>
      </c>
      <c r="F3350" s="2" t="s">
        <v>277</v>
      </c>
      <c r="G3350" s="2"/>
      <c r="H3350" s="2"/>
      <c r="I3350" s="2"/>
      <c r="J3350" s="2"/>
    </row>
    <row r="3351" spans="1:10" x14ac:dyDescent="0.35">
      <c r="A3351" s="2" t="s">
        <v>1237</v>
      </c>
      <c r="B3351" s="2" t="s">
        <v>1407</v>
      </c>
      <c r="C3351" s="2" t="s">
        <v>24</v>
      </c>
      <c r="D3351" s="2" t="s">
        <v>1618</v>
      </c>
      <c r="E3351" s="2" t="s">
        <v>1621</v>
      </c>
      <c r="F3351" s="2" t="s">
        <v>363</v>
      </c>
      <c r="G3351" s="2"/>
      <c r="H3351" s="2"/>
      <c r="I3351" s="2"/>
      <c r="J3351" s="2"/>
    </row>
    <row r="3352" spans="1:10" x14ac:dyDescent="0.35">
      <c r="A3352" s="2" t="s">
        <v>1237</v>
      </c>
      <c r="B3352" s="2" t="s">
        <v>1407</v>
      </c>
      <c r="C3352" s="2" t="s">
        <v>24</v>
      </c>
      <c r="D3352" s="2" t="s">
        <v>1618</v>
      </c>
      <c r="E3352" s="2" t="s">
        <v>98</v>
      </c>
      <c r="F3352" s="2" t="s">
        <v>98</v>
      </c>
      <c r="G3352" s="2"/>
      <c r="H3352" s="2"/>
      <c r="I3352" s="2"/>
      <c r="J3352" s="2"/>
    </row>
    <row r="3353" spans="1:10" x14ac:dyDescent="0.35">
      <c r="A3353" s="2" t="s">
        <v>1237</v>
      </c>
      <c r="B3353" s="2" t="s">
        <v>1407</v>
      </c>
      <c r="C3353" s="2" t="s">
        <v>24</v>
      </c>
      <c r="D3353" s="2" t="s">
        <v>1618</v>
      </c>
      <c r="E3353" s="2" t="s">
        <v>319</v>
      </c>
      <c r="F3353" s="2" t="s">
        <v>320</v>
      </c>
      <c r="G3353" s="2"/>
      <c r="H3353" s="2"/>
      <c r="I3353" s="2"/>
      <c r="J3353" s="2"/>
    </row>
    <row r="3354" spans="1:10" x14ac:dyDescent="0.35">
      <c r="A3354" s="2" t="s">
        <v>1237</v>
      </c>
      <c r="B3354" s="2" t="s">
        <v>1407</v>
      </c>
      <c r="C3354" s="2" t="s">
        <v>24</v>
      </c>
      <c r="D3354" s="2" t="s">
        <v>1618</v>
      </c>
      <c r="E3354" s="2" t="s">
        <v>1226</v>
      </c>
      <c r="F3354" s="2" t="s">
        <v>107</v>
      </c>
      <c r="G3354" s="2"/>
      <c r="H3354" s="2"/>
      <c r="I3354" s="2"/>
      <c r="J3354" s="2"/>
    </row>
    <row r="3355" spans="1:10" x14ac:dyDescent="0.35">
      <c r="A3355" s="2" t="s">
        <v>1237</v>
      </c>
      <c r="B3355" s="2" t="s">
        <v>1407</v>
      </c>
      <c r="C3355" s="2" t="s">
        <v>24</v>
      </c>
      <c r="D3355" s="2" t="s">
        <v>1618</v>
      </c>
      <c r="E3355" s="2" t="s">
        <v>534</v>
      </c>
      <c r="F3355" s="2" t="s">
        <v>38</v>
      </c>
      <c r="G3355" s="2"/>
      <c r="H3355" s="2"/>
      <c r="I3355" s="2"/>
      <c r="J3355" s="2"/>
    </row>
    <row r="3356" spans="1:10" x14ac:dyDescent="0.35">
      <c r="A3356" s="2" t="s">
        <v>1237</v>
      </c>
      <c r="B3356" s="2" t="s">
        <v>1407</v>
      </c>
      <c r="C3356" s="2" t="s">
        <v>24</v>
      </c>
      <c r="D3356" s="2" t="s">
        <v>1618</v>
      </c>
      <c r="E3356" s="2" t="s">
        <v>1454</v>
      </c>
      <c r="F3356" s="2" t="s">
        <v>277</v>
      </c>
      <c r="G3356" s="2"/>
      <c r="H3356" s="2"/>
      <c r="I3356" s="2"/>
      <c r="J3356" s="2"/>
    </row>
    <row r="3357" spans="1:10" x14ac:dyDescent="0.35">
      <c r="A3357" s="2" t="s">
        <v>1237</v>
      </c>
      <c r="B3357" s="2" t="s">
        <v>1407</v>
      </c>
      <c r="C3357" s="2" t="s">
        <v>24</v>
      </c>
      <c r="D3357" s="2" t="s">
        <v>1618</v>
      </c>
      <c r="E3357" s="2" t="s">
        <v>1307</v>
      </c>
      <c r="F3357" s="2" t="s">
        <v>38</v>
      </c>
      <c r="G3357" s="2"/>
      <c r="H3357" s="2"/>
      <c r="I3357" s="2"/>
      <c r="J3357" s="2"/>
    </row>
    <row r="3358" spans="1:10" x14ac:dyDescent="0.35">
      <c r="A3358" s="2" t="s">
        <v>1237</v>
      </c>
      <c r="B3358" s="2" t="s">
        <v>1407</v>
      </c>
      <c r="C3358" s="2" t="s">
        <v>24</v>
      </c>
      <c r="D3358" s="2" t="s">
        <v>1618</v>
      </c>
      <c r="E3358" s="2" t="s">
        <v>649</v>
      </c>
      <c r="F3358" s="2" t="s">
        <v>363</v>
      </c>
      <c r="G3358" s="2"/>
      <c r="H3358" s="2"/>
      <c r="I3358" s="2"/>
      <c r="J3358" s="2"/>
    </row>
    <row r="3359" spans="1:10" x14ac:dyDescent="0.35">
      <c r="A3359" s="2" t="s">
        <v>1237</v>
      </c>
      <c r="B3359" s="2" t="s">
        <v>1407</v>
      </c>
      <c r="C3359" s="2" t="s">
        <v>24</v>
      </c>
      <c r="D3359" s="2" t="s">
        <v>1618</v>
      </c>
      <c r="E3359" s="2" t="s">
        <v>1457</v>
      </c>
      <c r="F3359" s="2" t="s">
        <v>1458</v>
      </c>
      <c r="G3359" s="2"/>
      <c r="H3359" s="2"/>
      <c r="I3359" s="2"/>
      <c r="J3359" s="2"/>
    </row>
    <row r="3360" spans="1:10" s="21" customFormat="1" x14ac:dyDescent="0.35">
      <c r="A3360" s="2" t="s">
        <v>1237</v>
      </c>
      <c r="B3360" s="2" t="s">
        <v>1407</v>
      </c>
      <c r="C3360" s="2" t="s">
        <v>24</v>
      </c>
      <c r="D3360" s="2" t="s">
        <v>1618</v>
      </c>
      <c r="E3360" s="2" t="s">
        <v>1532</v>
      </c>
      <c r="F3360" s="2" t="s">
        <v>75</v>
      </c>
      <c r="G3360" s="2"/>
      <c r="H3360" s="2"/>
      <c r="I3360" s="2"/>
      <c r="J3360" s="2"/>
    </row>
    <row r="3361" spans="1:10" x14ac:dyDescent="0.35">
      <c r="A3361" s="2" t="s">
        <v>1237</v>
      </c>
      <c r="B3361" s="2" t="s">
        <v>1407</v>
      </c>
      <c r="C3361" s="2" t="s">
        <v>24</v>
      </c>
      <c r="D3361" s="2" t="s">
        <v>1618</v>
      </c>
      <c r="E3361" s="2" t="s">
        <v>708</v>
      </c>
      <c r="F3361" s="2" t="s">
        <v>125</v>
      </c>
      <c r="G3361" s="2"/>
      <c r="H3361" s="2"/>
      <c r="I3361" s="2"/>
      <c r="J3361" s="2"/>
    </row>
    <row r="3362" spans="1:10" x14ac:dyDescent="0.35">
      <c r="A3362" s="2" t="s">
        <v>1237</v>
      </c>
      <c r="B3362" s="2" t="s">
        <v>1407</v>
      </c>
      <c r="C3362" s="2" t="s">
        <v>24</v>
      </c>
      <c r="D3362" s="2" t="s">
        <v>1618</v>
      </c>
      <c r="E3362" s="2" t="s">
        <v>91</v>
      </c>
      <c r="F3362" s="2" t="s">
        <v>19</v>
      </c>
      <c r="G3362" s="2" t="s">
        <v>20</v>
      </c>
      <c r="H3362" s="2" t="s">
        <v>1622</v>
      </c>
      <c r="I3362" s="2"/>
      <c r="J3362" s="2"/>
    </row>
    <row r="3363" spans="1:10" x14ac:dyDescent="0.35">
      <c r="A3363" s="2" t="s">
        <v>1237</v>
      </c>
      <c r="B3363" s="2" t="s">
        <v>1407</v>
      </c>
      <c r="C3363" s="2" t="s">
        <v>24</v>
      </c>
      <c r="D3363" s="2" t="s">
        <v>1618</v>
      </c>
      <c r="E3363" s="2" t="s">
        <v>1623</v>
      </c>
      <c r="F3363" s="2" t="s">
        <v>533</v>
      </c>
      <c r="G3363" s="2"/>
      <c r="H3363" s="2"/>
      <c r="I3363" s="2"/>
      <c r="J3363" s="2"/>
    </row>
    <row r="3364" spans="1:10" x14ac:dyDescent="0.35">
      <c r="A3364" s="2" t="s">
        <v>1237</v>
      </c>
      <c r="B3364" s="2" t="s">
        <v>1407</v>
      </c>
      <c r="C3364" s="2" t="s">
        <v>24</v>
      </c>
      <c r="D3364" s="2" t="s">
        <v>1618</v>
      </c>
      <c r="E3364" s="2" t="s">
        <v>1459</v>
      </c>
      <c r="F3364" s="2" t="s">
        <v>363</v>
      </c>
      <c r="G3364" s="2"/>
      <c r="H3364" s="2"/>
      <c r="I3364" s="2"/>
      <c r="J3364" s="2"/>
    </row>
    <row r="3365" spans="1:10" x14ac:dyDescent="0.35">
      <c r="A3365" s="2" t="s">
        <v>1237</v>
      </c>
      <c r="B3365" s="2" t="s">
        <v>1407</v>
      </c>
      <c r="C3365" s="2" t="s">
        <v>24</v>
      </c>
      <c r="D3365" s="2" t="s">
        <v>1618</v>
      </c>
      <c r="E3365" s="2" t="s">
        <v>87</v>
      </c>
      <c r="F3365" s="2" t="s">
        <v>75</v>
      </c>
      <c r="G3365" s="2"/>
      <c r="H3365" s="2"/>
      <c r="I3365" s="2"/>
      <c r="J3365" s="2"/>
    </row>
    <row r="3366" spans="1:10" x14ac:dyDescent="0.35">
      <c r="A3366" s="2" t="s">
        <v>1237</v>
      </c>
      <c r="B3366" s="2" t="s">
        <v>1407</v>
      </c>
      <c r="C3366" s="2" t="s">
        <v>24</v>
      </c>
      <c r="D3366" s="2" t="s">
        <v>1618</v>
      </c>
      <c r="E3366" s="2" t="s">
        <v>1624</v>
      </c>
      <c r="F3366" s="2" t="s">
        <v>45</v>
      </c>
      <c r="G3366" s="2"/>
      <c r="H3366" s="2"/>
      <c r="I3366" s="2"/>
      <c r="J3366" s="2"/>
    </row>
    <row r="3367" spans="1:10" x14ac:dyDescent="0.35">
      <c r="A3367" s="2" t="s">
        <v>1237</v>
      </c>
      <c r="B3367" s="2" t="s">
        <v>1407</v>
      </c>
      <c r="C3367" s="2" t="s">
        <v>24</v>
      </c>
      <c r="D3367" s="2" t="s">
        <v>1618</v>
      </c>
      <c r="E3367" s="2" t="s">
        <v>124</v>
      </c>
      <c r="F3367" s="2" t="s">
        <v>125</v>
      </c>
      <c r="G3367" s="2"/>
      <c r="H3367" s="2"/>
      <c r="I3367" s="2"/>
      <c r="J3367" s="2"/>
    </row>
    <row r="3368" spans="1:10" x14ac:dyDescent="0.35">
      <c r="A3368" s="2" t="s">
        <v>1237</v>
      </c>
      <c r="B3368" s="2" t="s">
        <v>1407</v>
      </c>
      <c r="C3368" s="2" t="s">
        <v>24</v>
      </c>
      <c r="D3368" s="2" t="s">
        <v>1618</v>
      </c>
      <c r="E3368" s="2" t="s">
        <v>417</v>
      </c>
      <c r="F3368" s="2" t="s">
        <v>40</v>
      </c>
      <c r="G3368" s="2"/>
      <c r="H3368" s="2"/>
      <c r="I3368" s="2"/>
      <c r="J3368" s="2"/>
    </row>
    <row r="3369" spans="1:10" x14ac:dyDescent="0.35">
      <c r="A3369" s="2" t="s">
        <v>1237</v>
      </c>
      <c r="B3369" s="2" t="s">
        <v>1407</v>
      </c>
      <c r="C3369" s="2" t="s">
        <v>24</v>
      </c>
      <c r="D3369" s="2" t="s">
        <v>1618</v>
      </c>
      <c r="E3369" s="2" t="s">
        <v>18</v>
      </c>
      <c r="F3369" s="2" t="s">
        <v>19</v>
      </c>
      <c r="G3369" s="2" t="s">
        <v>20</v>
      </c>
      <c r="H3369" s="2" t="s">
        <v>1622</v>
      </c>
      <c r="I3369" s="2"/>
      <c r="J3369" s="2"/>
    </row>
    <row r="3370" spans="1:10" x14ac:dyDescent="0.35">
      <c r="A3370" s="2" t="s">
        <v>1237</v>
      </c>
      <c r="B3370" s="2" t="s">
        <v>1407</v>
      </c>
      <c r="C3370" s="2" t="s">
        <v>24</v>
      </c>
      <c r="D3370" s="2" t="s">
        <v>1618</v>
      </c>
      <c r="E3370" s="2" t="s">
        <v>1462</v>
      </c>
      <c r="F3370" s="2" t="s">
        <v>277</v>
      </c>
      <c r="G3370" s="2"/>
      <c r="H3370" s="2"/>
      <c r="I3370" s="2"/>
      <c r="J3370" s="2"/>
    </row>
    <row r="3371" spans="1:10" x14ac:dyDescent="0.35">
      <c r="A3371" s="2" t="s">
        <v>1237</v>
      </c>
      <c r="B3371" s="2" t="s">
        <v>1407</v>
      </c>
      <c r="C3371" s="2" t="s">
        <v>24</v>
      </c>
      <c r="D3371" s="2" t="s">
        <v>1618</v>
      </c>
      <c r="E3371" s="2" t="s">
        <v>1228</v>
      </c>
      <c r="F3371" s="2" t="s">
        <v>228</v>
      </c>
      <c r="G3371" s="2"/>
      <c r="H3371" s="2"/>
      <c r="I3371" s="2"/>
      <c r="J3371" s="2"/>
    </row>
    <row r="3372" spans="1:10" x14ac:dyDescent="0.35">
      <c r="A3372" s="2" t="s">
        <v>1237</v>
      </c>
      <c r="B3372" s="2" t="s">
        <v>1407</v>
      </c>
      <c r="C3372" s="2" t="s">
        <v>24</v>
      </c>
      <c r="D3372" s="2" t="s">
        <v>1618</v>
      </c>
      <c r="E3372" s="2" t="s">
        <v>187</v>
      </c>
      <c r="F3372" s="2" t="s">
        <v>150</v>
      </c>
      <c r="G3372" s="2"/>
      <c r="H3372" s="2"/>
      <c r="I3372" s="2"/>
      <c r="J3372" s="2"/>
    </row>
    <row r="3373" spans="1:10" x14ac:dyDescent="0.35">
      <c r="A3373" s="2" t="s">
        <v>1237</v>
      </c>
      <c r="B3373" s="2" t="s">
        <v>1407</v>
      </c>
      <c r="C3373" s="2" t="s">
        <v>24</v>
      </c>
      <c r="D3373" s="2" t="s">
        <v>1618</v>
      </c>
      <c r="E3373" s="2" t="s">
        <v>85</v>
      </c>
      <c r="F3373" s="2" t="s">
        <v>85</v>
      </c>
      <c r="G3373" s="2"/>
      <c r="H3373" s="2"/>
      <c r="I3373" s="2"/>
      <c r="J3373" s="2"/>
    </row>
    <row r="3374" spans="1:10" x14ac:dyDescent="0.35">
      <c r="A3374" s="2" t="s">
        <v>1237</v>
      </c>
      <c r="B3374" s="2" t="s">
        <v>1407</v>
      </c>
      <c r="C3374" s="2" t="s">
        <v>24</v>
      </c>
      <c r="D3374" s="2" t="s">
        <v>1618</v>
      </c>
      <c r="E3374" s="2" t="s">
        <v>188</v>
      </c>
      <c r="F3374" s="2" t="s">
        <v>189</v>
      </c>
      <c r="G3374" s="2"/>
      <c r="H3374" s="2"/>
      <c r="I3374" s="2"/>
      <c r="J3374" s="2"/>
    </row>
    <row r="3375" spans="1:10" x14ac:dyDescent="0.35">
      <c r="A3375" s="2" t="s">
        <v>1237</v>
      </c>
      <c r="B3375" s="2" t="s">
        <v>1407</v>
      </c>
      <c r="C3375" s="2" t="s">
        <v>24</v>
      </c>
      <c r="D3375" s="2" t="s">
        <v>1618</v>
      </c>
      <c r="E3375" s="2" t="s">
        <v>149</v>
      </c>
      <c r="F3375" s="2" t="s">
        <v>150</v>
      </c>
      <c r="G3375" s="2"/>
      <c r="H3375" s="2"/>
      <c r="I3375" s="2"/>
      <c r="J3375" s="2"/>
    </row>
    <row r="3376" spans="1:10" x14ac:dyDescent="0.35">
      <c r="A3376" s="2" t="s">
        <v>1237</v>
      </c>
      <c r="B3376" s="2" t="s">
        <v>1407</v>
      </c>
      <c r="C3376" s="2" t="s">
        <v>24</v>
      </c>
      <c r="D3376" s="2" t="s">
        <v>1618</v>
      </c>
      <c r="E3376" s="2" t="s">
        <v>1625</v>
      </c>
      <c r="F3376" s="2" t="s">
        <v>50</v>
      </c>
      <c r="G3376" s="2"/>
      <c r="H3376" s="2"/>
      <c r="I3376" s="2"/>
      <c r="J3376" s="2"/>
    </row>
    <row r="3377" spans="1:10" x14ac:dyDescent="0.35">
      <c r="A3377" s="2" t="s">
        <v>1237</v>
      </c>
      <c r="B3377" s="2" t="s">
        <v>1407</v>
      </c>
      <c r="C3377" s="2" t="s">
        <v>12</v>
      </c>
      <c r="D3377" s="2" t="s">
        <v>1626</v>
      </c>
      <c r="E3377" s="2" t="s">
        <v>198</v>
      </c>
      <c r="F3377" s="2" t="s">
        <v>65</v>
      </c>
      <c r="G3377" s="2"/>
      <c r="H3377" s="2"/>
      <c r="I3377" s="2"/>
      <c r="J3377" s="2"/>
    </row>
    <row r="3378" spans="1:10" x14ac:dyDescent="0.35">
      <c r="A3378" s="2" t="s">
        <v>1237</v>
      </c>
      <c r="B3378" s="2" t="s">
        <v>1407</v>
      </c>
      <c r="C3378" s="2" t="s">
        <v>12</v>
      </c>
      <c r="D3378" s="2" t="s">
        <v>1626</v>
      </c>
      <c r="E3378" s="2" t="s">
        <v>625</v>
      </c>
      <c r="F3378" s="2" t="s">
        <v>38</v>
      </c>
      <c r="G3378" s="2"/>
      <c r="H3378" s="2"/>
      <c r="I3378" s="2"/>
      <c r="J3378" s="2"/>
    </row>
    <row r="3379" spans="1:10" x14ac:dyDescent="0.35">
      <c r="A3379" s="2" t="s">
        <v>1237</v>
      </c>
      <c r="B3379" s="2" t="s">
        <v>1407</v>
      </c>
      <c r="C3379" s="2" t="s">
        <v>12</v>
      </c>
      <c r="D3379" s="2" t="s">
        <v>1626</v>
      </c>
      <c r="E3379" s="2" t="s">
        <v>1420</v>
      </c>
      <c r="F3379" s="2" t="s">
        <v>189</v>
      </c>
      <c r="G3379" s="2"/>
      <c r="H3379" s="2"/>
      <c r="I3379" s="2"/>
      <c r="J3379" s="2"/>
    </row>
    <row r="3380" spans="1:10" s="21" customFormat="1" x14ac:dyDescent="0.35">
      <c r="A3380" s="2" t="s">
        <v>1237</v>
      </c>
      <c r="B3380" s="2" t="s">
        <v>1407</v>
      </c>
      <c r="C3380" s="2" t="s">
        <v>12</v>
      </c>
      <c r="D3380" s="2" t="s">
        <v>1627</v>
      </c>
      <c r="E3380" s="2" t="s">
        <v>14</v>
      </c>
      <c r="F3380" s="2" t="s">
        <v>15</v>
      </c>
      <c r="G3380" s="2"/>
      <c r="H3380" s="2"/>
      <c r="I3380" s="2"/>
      <c r="J3380" s="2"/>
    </row>
    <row r="3381" spans="1:10" s="21" customFormat="1" x14ac:dyDescent="0.35">
      <c r="A3381" s="2" t="s">
        <v>1237</v>
      </c>
      <c r="B3381" s="2" t="s">
        <v>1407</v>
      </c>
      <c r="C3381" s="2" t="s">
        <v>12</v>
      </c>
      <c r="D3381" s="2" t="s">
        <v>1627</v>
      </c>
      <c r="E3381" s="2" t="s">
        <v>319</v>
      </c>
      <c r="F3381" s="2" t="s">
        <v>320</v>
      </c>
      <c r="G3381" s="2"/>
      <c r="H3381" s="2"/>
      <c r="I3381" s="2"/>
      <c r="J3381" s="2"/>
    </row>
    <row r="3382" spans="1:10" s="21" customFormat="1" x14ac:dyDescent="0.35">
      <c r="A3382" s="2" t="s">
        <v>1237</v>
      </c>
      <c r="B3382" s="2" t="s">
        <v>1407</v>
      </c>
      <c r="C3382" s="2" t="s">
        <v>12</v>
      </c>
      <c r="D3382" s="2" t="s">
        <v>1627</v>
      </c>
      <c r="E3382" s="2" t="s">
        <v>1226</v>
      </c>
      <c r="F3382" s="2" t="s">
        <v>107</v>
      </c>
      <c r="G3382" s="2"/>
      <c r="H3382" s="2"/>
      <c r="I3382" s="2"/>
      <c r="J3382" s="2"/>
    </row>
    <row r="3383" spans="1:10" s="21" customFormat="1" x14ac:dyDescent="0.35">
      <c r="A3383" s="2" t="s">
        <v>1237</v>
      </c>
      <c r="B3383" s="2" t="s">
        <v>1407</v>
      </c>
      <c r="C3383" s="2" t="s">
        <v>12</v>
      </c>
      <c r="D3383" s="2" t="s">
        <v>1627</v>
      </c>
      <c r="E3383" s="2" t="s">
        <v>91</v>
      </c>
      <c r="F3383" s="2" t="s">
        <v>19</v>
      </c>
      <c r="G3383" s="2"/>
      <c r="H3383" s="2"/>
      <c r="I3383" s="2"/>
      <c r="J3383" s="2"/>
    </row>
    <row r="3384" spans="1:10" s="21" customFormat="1" x14ac:dyDescent="0.35">
      <c r="A3384" s="2" t="s">
        <v>1237</v>
      </c>
      <c r="B3384" s="2" t="s">
        <v>1407</v>
      </c>
      <c r="C3384" s="2" t="s">
        <v>12</v>
      </c>
      <c r="D3384" s="2" t="s">
        <v>1627</v>
      </c>
      <c r="E3384" s="2" t="s">
        <v>1228</v>
      </c>
      <c r="F3384" s="2" t="s">
        <v>228</v>
      </c>
      <c r="G3384" s="2"/>
      <c r="H3384" s="2"/>
      <c r="I3384" s="2"/>
      <c r="J3384" s="2"/>
    </row>
    <row r="3385" spans="1:10" x14ac:dyDescent="0.35">
      <c r="A3385" s="2" t="s">
        <v>1237</v>
      </c>
      <c r="B3385" s="2" t="s">
        <v>1407</v>
      </c>
      <c r="C3385" s="2" t="s">
        <v>62</v>
      </c>
      <c r="D3385" s="2" t="s">
        <v>1628</v>
      </c>
      <c r="E3385" s="2" t="s">
        <v>319</v>
      </c>
      <c r="F3385" s="2" t="s">
        <v>320</v>
      </c>
      <c r="G3385" s="2"/>
      <c r="H3385" s="2"/>
      <c r="I3385" s="2"/>
      <c r="J3385" s="2"/>
    </row>
    <row r="3386" spans="1:10" x14ac:dyDescent="0.35">
      <c r="A3386" s="2" t="s">
        <v>1237</v>
      </c>
      <c r="B3386" s="2" t="s">
        <v>1407</v>
      </c>
      <c r="C3386" s="2" t="s">
        <v>62</v>
      </c>
      <c r="D3386" s="2" t="s">
        <v>1628</v>
      </c>
      <c r="E3386" s="2" t="s">
        <v>321</v>
      </c>
      <c r="F3386" s="2" t="s">
        <v>321</v>
      </c>
      <c r="G3386" s="2"/>
      <c r="H3386" s="2"/>
      <c r="I3386" s="2"/>
      <c r="J3386" s="2"/>
    </row>
    <row r="3387" spans="1:10" x14ac:dyDescent="0.35">
      <c r="A3387" s="2" t="s">
        <v>1237</v>
      </c>
      <c r="B3387" s="2" t="s">
        <v>1407</v>
      </c>
      <c r="C3387" s="2" t="s">
        <v>62</v>
      </c>
      <c r="D3387" s="2" t="s">
        <v>1628</v>
      </c>
      <c r="E3387" s="2" t="s">
        <v>322</v>
      </c>
      <c r="F3387" s="2" t="s">
        <v>246</v>
      </c>
      <c r="G3387" s="2"/>
      <c r="H3387" s="2"/>
      <c r="I3387" s="2"/>
      <c r="J3387" s="2"/>
    </row>
    <row r="3388" spans="1:10" x14ac:dyDescent="0.35">
      <c r="A3388" s="2" t="s">
        <v>1237</v>
      </c>
      <c r="B3388" s="2" t="s">
        <v>1407</v>
      </c>
      <c r="C3388" s="2" t="s">
        <v>62</v>
      </c>
      <c r="D3388" s="2" t="s">
        <v>1628</v>
      </c>
      <c r="E3388" s="2" t="s">
        <v>323</v>
      </c>
      <c r="F3388" s="2" t="s">
        <v>246</v>
      </c>
      <c r="G3388" s="2"/>
      <c r="H3388" s="2"/>
      <c r="I3388" s="2"/>
      <c r="J3388" s="2"/>
    </row>
    <row r="3389" spans="1:10" x14ac:dyDescent="0.35">
      <c r="A3389" s="2" t="s">
        <v>1237</v>
      </c>
      <c r="B3389" s="2" t="s">
        <v>1407</v>
      </c>
      <c r="C3389" s="2" t="s">
        <v>62</v>
      </c>
      <c r="D3389" s="2" t="s">
        <v>1628</v>
      </c>
      <c r="E3389" s="2" t="s">
        <v>324</v>
      </c>
      <c r="F3389" s="2" t="s">
        <v>246</v>
      </c>
      <c r="G3389" s="2"/>
      <c r="H3389" s="2"/>
      <c r="I3389" s="2"/>
      <c r="J3389" s="2"/>
    </row>
    <row r="3390" spans="1:10" x14ac:dyDescent="0.35">
      <c r="A3390" s="2" t="s">
        <v>1237</v>
      </c>
      <c r="B3390" s="2" t="s">
        <v>1407</v>
      </c>
      <c r="C3390" s="2" t="s">
        <v>62</v>
      </c>
      <c r="D3390" s="2" t="s">
        <v>1628</v>
      </c>
      <c r="E3390" s="2" t="s">
        <v>325</v>
      </c>
      <c r="F3390" s="2" t="s">
        <v>1413</v>
      </c>
      <c r="G3390" s="2"/>
      <c r="H3390" s="2"/>
      <c r="I3390" s="2"/>
      <c r="J3390" s="2"/>
    </row>
    <row r="3391" spans="1:10" x14ac:dyDescent="0.35">
      <c r="A3391" s="2" t="s">
        <v>1237</v>
      </c>
      <c r="B3391" s="2" t="s">
        <v>1407</v>
      </c>
      <c r="C3391" s="2" t="s">
        <v>62</v>
      </c>
      <c r="D3391" s="2" t="s">
        <v>1628</v>
      </c>
      <c r="E3391" s="2" t="s">
        <v>327</v>
      </c>
      <c r="F3391" s="2" t="s">
        <v>328</v>
      </c>
      <c r="G3391" s="2"/>
      <c r="H3391" s="2"/>
      <c r="I3391" s="2"/>
      <c r="J3391" s="2"/>
    </row>
    <row r="3392" spans="1:10" x14ac:dyDescent="0.35">
      <c r="A3392" s="2" t="s">
        <v>1237</v>
      </c>
      <c r="B3392" s="2" t="s">
        <v>1407</v>
      </c>
      <c r="C3392" s="2" t="s">
        <v>62</v>
      </c>
      <c r="D3392" s="2" t="s">
        <v>1628</v>
      </c>
      <c r="E3392" s="2" t="s">
        <v>329</v>
      </c>
      <c r="F3392" s="2" t="s">
        <v>330</v>
      </c>
      <c r="G3392" s="2"/>
      <c r="H3392" s="2"/>
      <c r="I3392" s="2"/>
      <c r="J3392" s="2"/>
    </row>
    <row r="3393" spans="1:10" x14ac:dyDescent="0.35">
      <c r="A3393" s="2" t="s">
        <v>1237</v>
      </c>
      <c r="B3393" s="2" t="s">
        <v>1407</v>
      </c>
      <c r="C3393" s="2" t="s">
        <v>62</v>
      </c>
      <c r="D3393" s="2" t="s">
        <v>1628</v>
      </c>
      <c r="E3393" s="2" t="s">
        <v>331</v>
      </c>
      <c r="F3393" s="2" t="s">
        <v>332</v>
      </c>
      <c r="G3393" s="2"/>
      <c r="H3393" s="2"/>
      <c r="I3393" s="2"/>
      <c r="J3393" s="2"/>
    </row>
    <row r="3394" spans="1:10" x14ac:dyDescent="0.35">
      <c r="A3394" s="2" t="s">
        <v>1237</v>
      </c>
      <c r="B3394" s="2" t="s">
        <v>1407</v>
      </c>
      <c r="C3394" s="2" t="s">
        <v>62</v>
      </c>
      <c r="D3394" s="2" t="s">
        <v>1628</v>
      </c>
      <c r="E3394" s="2" t="s">
        <v>333</v>
      </c>
      <c r="F3394" s="2" t="s">
        <v>334</v>
      </c>
      <c r="G3394" s="2"/>
      <c r="H3394" s="2"/>
      <c r="I3394" s="2"/>
      <c r="J3394" s="2"/>
    </row>
    <row r="3395" spans="1:10" x14ac:dyDescent="0.35">
      <c r="A3395" s="2" t="s">
        <v>1237</v>
      </c>
      <c r="B3395" s="2" t="s">
        <v>1407</v>
      </c>
      <c r="C3395" s="2" t="s">
        <v>62</v>
      </c>
      <c r="D3395" s="2" t="s">
        <v>1628</v>
      </c>
      <c r="E3395" s="2" t="s">
        <v>1629</v>
      </c>
      <c r="F3395" s="2" t="s">
        <v>318</v>
      </c>
      <c r="G3395" s="2"/>
      <c r="H3395" s="2"/>
      <c r="I3395" s="2"/>
      <c r="J3395" s="2"/>
    </row>
    <row r="3396" spans="1:10" x14ac:dyDescent="0.35">
      <c r="A3396" s="2" t="s">
        <v>1237</v>
      </c>
      <c r="B3396" s="2" t="s">
        <v>1407</v>
      </c>
      <c r="C3396" s="2" t="s">
        <v>62</v>
      </c>
      <c r="D3396" s="2" t="s">
        <v>1628</v>
      </c>
      <c r="E3396" s="2" t="s">
        <v>335</v>
      </c>
      <c r="F3396" s="2" t="s">
        <v>336</v>
      </c>
      <c r="G3396" s="2"/>
      <c r="H3396" s="2"/>
      <c r="I3396" s="2"/>
      <c r="J3396" s="2"/>
    </row>
    <row r="3397" spans="1:10" x14ac:dyDescent="0.35">
      <c r="A3397" s="2" t="s">
        <v>1237</v>
      </c>
      <c r="B3397" s="2" t="s">
        <v>1407</v>
      </c>
      <c r="C3397" s="2" t="s">
        <v>62</v>
      </c>
      <c r="D3397" s="2" t="s">
        <v>1628</v>
      </c>
      <c r="E3397" s="2" t="s">
        <v>337</v>
      </c>
      <c r="F3397" s="2" t="s">
        <v>338</v>
      </c>
      <c r="G3397" s="2"/>
      <c r="H3397" s="2"/>
      <c r="I3397" s="2"/>
      <c r="J3397" s="2"/>
    </row>
    <row r="3398" spans="1:10" x14ac:dyDescent="0.35">
      <c r="A3398" s="2" t="s">
        <v>1237</v>
      </c>
      <c r="B3398" s="2" t="s">
        <v>1407</v>
      </c>
      <c r="C3398" s="2" t="s">
        <v>62</v>
      </c>
      <c r="D3398" s="2" t="s">
        <v>1628</v>
      </c>
      <c r="E3398" s="2" t="s">
        <v>339</v>
      </c>
      <c r="F3398" s="2" t="s">
        <v>340</v>
      </c>
      <c r="G3398" s="2"/>
      <c r="H3398" s="2"/>
      <c r="I3398" s="2"/>
      <c r="J3398" s="2"/>
    </row>
    <row r="3399" spans="1:10" x14ac:dyDescent="0.35">
      <c r="A3399" s="2" t="s">
        <v>1237</v>
      </c>
      <c r="B3399" s="2" t="s">
        <v>1407</v>
      </c>
      <c r="C3399" s="2" t="s">
        <v>62</v>
      </c>
      <c r="D3399" s="2" t="s">
        <v>1628</v>
      </c>
      <c r="E3399" s="2" t="s">
        <v>341</v>
      </c>
      <c r="F3399" s="2" t="s">
        <v>342</v>
      </c>
      <c r="G3399" s="2"/>
      <c r="H3399" s="2"/>
      <c r="I3399" s="2"/>
      <c r="J3399" s="2"/>
    </row>
    <row r="3400" spans="1:10" x14ac:dyDescent="0.35">
      <c r="A3400" s="2" t="s">
        <v>1237</v>
      </c>
      <c r="B3400" s="2" t="s">
        <v>1407</v>
      </c>
      <c r="C3400" s="2" t="s">
        <v>62</v>
      </c>
      <c r="D3400" s="2" t="s">
        <v>1628</v>
      </c>
      <c r="E3400" s="2" t="s">
        <v>343</v>
      </c>
      <c r="F3400" s="2" t="s">
        <v>344</v>
      </c>
      <c r="G3400" s="2"/>
      <c r="H3400" s="2"/>
      <c r="I3400" s="2"/>
      <c r="J3400" s="2"/>
    </row>
    <row r="3401" spans="1:10" x14ac:dyDescent="0.35">
      <c r="A3401" s="2" t="s">
        <v>1237</v>
      </c>
      <c r="B3401" s="2" t="s">
        <v>1407</v>
      </c>
      <c r="C3401" s="2" t="s">
        <v>62</v>
      </c>
      <c r="D3401" s="2" t="s">
        <v>1628</v>
      </c>
      <c r="E3401" s="2" t="s">
        <v>345</v>
      </c>
      <c r="F3401" s="2" t="s">
        <v>346</v>
      </c>
      <c r="G3401" s="2"/>
      <c r="H3401" s="2"/>
      <c r="I3401" s="2"/>
      <c r="J3401" s="2"/>
    </row>
    <row r="3402" spans="1:10" x14ac:dyDescent="0.35">
      <c r="A3402" s="2" t="s">
        <v>1237</v>
      </c>
      <c r="B3402" s="2" t="s">
        <v>1407</v>
      </c>
      <c r="C3402" s="2" t="s">
        <v>62</v>
      </c>
      <c r="D3402" s="2" t="s">
        <v>1630</v>
      </c>
      <c r="E3402" s="2" t="s">
        <v>317</v>
      </c>
      <c r="F3402" s="2" t="s">
        <v>318</v>
      </c>
      <c r="G3402" s="2"/>
      <c r="H3402" s="2"/>
      <c r="I3402" s="2"/>
      <c r="J3402" s="2"/>
    </row>
    <row r="3403" spans="1:10" x14ac:dyDescent="0.35">
      <c r="A3403" s="2" t="s">
        <v>1237</v>
      </c>
      <c r="B3403" s="2" t="s">
        <v>1407</v>
      </c>
      <c r="C3403" s="2" t="s">
        <v>62</v>
      </c>
      <c r="D3403" s="2" t="s">
        <v>1630</v>
      </c>
      <c r="E3403" s="2" t="s">
        <v>87</v>
      </c>
      <c r="F3403" s="2" t="s">
        <v>75</v>
      </c>
      <c r="G3403" s="2"/>
      <c r="H3403" s="2"/>
      <c r="I3403" s="2"/>
      <c r="J3403" s="2"/>
    </row>
    <row r="3404" spans="1:10" x14ac:dyDescent="0.35">
      <c r="A3404" s="2" t="s">
        <v>1237</v>
      </c>
      <c r="B3404" s="2" t="s">
        <v>1407</v>
      </c>
      <c r="C3404" s="2" t="s">
        <v>62</v>
      </c>
      <c r="D3404" s="2" t="s">
        <v>1630</v>
      </c>
      <c r="E3404" s="2" t="s">
        <v>1051</v>
      </c>
      <c r="F3404" s="2" t="s">
        <v>318</v>
      </c>
      <c r="G3404" s="2"/>
      <c r="H3404" s="2"/>
      <c r="I3404" s="2"/>
      <c r="J3404" s="2"/>
    </row>
    <row r="3405" spans="1:10" s="21" customFormat="1" x14ac:dyDescent="0.35">
      <c r="A3405" s="2" t="s">
        <v>1237</v>
      </c>
      <c r="B3405" s="2" t="s">
        <v>1407</v>
      </c>
      <c r="C3405" s="2" t="s">
        <v>62</v>
      </c>
      <c r="D3405" s="2" t="s">
        <v>1630</v>
      </c>
      <c r="E3405" s="2" t="s">
        <v>333</v>
      </c>
      <c r="F3405" s="2" t="s">
        <v>334</v>
      </c>
      <c r="G3405" s="2"/>
      <c r="H3405" s="2"/>
      <c r="I3405" s="2"/>
      <c r="J3405" s="2"/>
    </row>
    <row r="3406" spans="1:10" x14ac:dyDescent="0.35">
      <c r="A3406" s="2" t="s">
        <v>1237</v>
      </c>
      <c r="B3406" s="2" t="s">
        <v>1407</v>
      </c>
      <c r="C3406" s="2" t="s">
        <v>62</v>
      </c>
      <c r="D3406" s="2" t="s">
        <v>1631</v>
      </c>
      <c r="E3406" s="2" t="s">
        <v>317</v>
      </c>
      <c r="F3406" s="2" t="s">
        <v>318</v>
      </c>
      <c r="G3406" s="2"/>
      <c r="H3406" s="2"/>
      <c r="I3406" s="2"/>
      <c r="J3406" s="2"/>
    </row>
    <row r="3407" spans="1:10" x14ac:dyDescent="0.35">
      <c r="A3407" s="2" t="s">
        <v>1237</v>
      </c>
      <c r="B3407" s="2" t="s">
        <v>1407</v>
      </c>
      <c r="C3407" s="2" t="s">
        <v>62</v>
      </c>
      <c r="D3407" s="2" t="s">
        <v>1631</v>
      </c>
      <c r="E3407" s="2" t="s">
        <v>87</v>
      </c>
      <c r="F3407" s="2" t="s">
        <v>75</v>
      </c>
      <c r="G3407" s="2"/>
      <c r="H3407" s="2"/>
      <c r="I3407" s="2"/>
      <c r="J3407" s="2"/>
    </row>
    <row r="3408" spans="1:10" x14ac:dyDescent="0.35">
      <c r="A3408" s="2" t="s">
        <v>1237</v>
      </c>
      <c r="B3408" s="2" t="s">
        <v>1407</v>
      </c>
      <c r="C3408" s="2" t="s">
        <v>62</v>
      </c>
      <c r="D3408" s="2" t="s">
        <v>1631</v>
      </c>
      <c r="E3408" s="2" t="s">
        <v>1051</v>
      </c>
      <c r="F3408" s="2" t="s">
        <v>318</v>
      </c>
      <c r="G3408" s="2"/>
      <c r="H3408" s="2"/>
      <c r="I3408" s="2"/>
      <c r="J3408" s="2"/>
    </row>
    <row r="3409" spans="1:10" s="21" customFormat="1" x14ac:dyDescent="0.35">
      <c r="A3409" s="2" t="s">
        <v>1237</v>
      </c>
      <c r="B3409" s="2" t="s">
        <v>1407</v>
      </c>
      <c r="C3409" s="2" t="s">
        <v>62</v>
      </c>
      <c r="D3409" s="2" t="s">
        <v>1631</v>
      </c>
      <c r="E3409" s="2" t="s">
        <v>333</v>
      </c>
      <c r="F3409" s="2" t="s">
        <v>334</v>
      </c>
      <c r="G3409" s="2"/>
      <c r="H3409" s="2"/>
      <c r="I3409" s="2"/>
      <c r="J3409" s="2"/>
    </row>
    <row r="3410" spans="1:10" x14ac:dyDescent="0.35">
      <c r="A3410" s="2" t="s">
        <v>1237</v>
      </c>
      <c r="B3410" s="2" t="s">
        <v>1407</v>
      </c>
      <c r="C3410" s="2" t="s">
        <v>801</v>
      </c>
      <c r="D3410" s="2" t="s">
        <v>1632</v>
      </c>
      <c r="E3410" s="2" t="s">
        <v>130</v>
      </c>
      <c r="F3410" s="2" t="s">
        <v>36</v>
      </c>
      <c r="G3410" s="2"/>
      <c r="H3410" s="2"/>
      <c r="I3410" s="2"/>
      <c r="J3410" s="2"/>
    </row>
    <row r="3411" spans="1:10" x14ac:dyDescent="0.35">
      <c r="A3411" s="2" t="s">
        <v>1237</v>
      </c>
      <c r="B3411" s="2" t="s">
        <v>1407</v>
      </c>
      <c r="C3411" s="2" t="s">
        <v>24</v>
      </c>
      <c r="D3411" s="2" t="s">
        <v>1633</v>
      </c>
      <c r="E3411" s="2" t="s">
        <v>130</v>
      </c>
      <c r="F3411" s="2" t="s">
        <v>36</v>
      </c>
      <c r="G3411" s="2"/>
      <c r="H3411" s="2"/>
      <c r="I3411" s="2"/>
      <c r="J3411" s="2"/>
    </row>
    <row r="3412" spans="1:10" x14ac:dyDescent="0.35">
      <c r="A3412" s="2" t="s">
        <v>1237</v>
      </c>
      <c r="B3412" s="2" t="s">
        <v>1407</v>
      </c>
      <c r="C3412" s="2" t="s">
        <v>24</v>
      </c>
      <c r="D3412" s="2" t="s">
        <v>1633</v>
      </c>
      <c r="E3412" s="2" t="s">
        <v>1415</v>
      </c>
      <c r="F3412" s="2" t="s">
        <v>1416</v>
      </c>
      <c r="G3412" s="2"/>
      <c r="H3412" s="2"/>
      <c r="I3412" s="2"/>
      <c r="J3412" s="2"/>
    </row>
    <row r="3413" spans="1:10" x14ac:dyDescent="0.35">
      <c r="A3413" s="2" t="s">
        <v>1237</v>
      </c>
      <c r="B3413" s="2" t="s">
        <v>1407</v>
      </c>
      <c r="C3413" s="2" t="s">
        <v>24</v>
      </c>
      <c r="D3413" s="2" t="s">
        <v>1633</v>
      </c>
      <c r="E3413" s="2" t="s">
        <v>1226</v>
      </c>
      <c r="F3413" s="2" t="s">
        <v>107</v>
      </c>
      <c r="G3413" s="2"/>
      <c r="H3413" s="2"/>
      <c r="I3413" s="2"/>
      <c r="J3413" s="2"/>
    </row>
    <row r="3414" spans="1:10" x14ac:dyDescent="0.35">
      <c r="A3414" s="2" t="s">
        <v>1237</v>
      </c>
      <c r="B3414" s="2" t="s">
        <v>1407</v>
      </c>
      <c r="C3414" s="2" t="s">
        <v>24</v>
      </c>
      <c r="D3414" s="2" t="s">
        <v>1633</v>
      </c>
      <c r="E3414" s="2" t="s">
        <v>1228</v>
      </c>
      <c r="F3414" s="2" t="s">
        <v>228</v>
      </c>
      <c r="G3414" s="2"/>
      <c r="H3414" s="2"/>
      <c r="I3414" s="2"/>
      <c r="J3414" s="2"/>
    </row>
    <row r="3415" spans="1:10" x14ac:dyDescent="0.35">
      <c r="A3415" s="2" t="s">
        <v>1237</v>
      </c>
      <c r="B3415" s="2" t="s">
        <v>1407</v>
      </c>
      <c r="C3415" s="2" t="s">
        <v>24</v>
      </c>
      <c r="D3415" s="2" t="s">
        <v>1633</v>
      </c>
      <c r="E3415" s="2" t="s">
        <v>1342</v>
      </c>
      <c r="F3415" s="2" t="s">
        <v>1343</v>
      </c>
      <c r="G3415" s="2"/>
      <c r="H3415" s="2"/>
      <c r="I3415" s="2"/>
      <c r="J3415" s="2"/>
    </row>
    <row r="3416" spans="1:10" x14ac:dyDescent="0.35">
      <c r="A3416" s="2" t="s">
        <v>1237</v>
      </c>
      <c r="B3416" s="2" t="s">
        <v>1407</v>
      </c>
      <c r="C3416" s="2" t="s">
        <v>62</v>
      </c>
      <c r="D3416" s="2" t="s">
        <v>1634</v>
      </c>
      <c r="E3416" s="2" t="s">
        <v>198</v>
      </c>
      <c r="F3416" s="2" t="s">
        <v>65</v>
      </c>
      <c r="G3416" s="2"/>
      <c r="H3416" s="2"/>
      <c r="I3416" s="2"/>
      <c r="J3416" s="2"/>
    </row>
    <row r="3417" spans="1:10" x14ac:dyDescent="0.35">
      <c r="A3417" s="2" t="s">
        <v>1237</v>
      </c>
      <c r="B3417" s="2" t="s">
        <v>1407</v>
      </c>
      <c r="C3417" s="2" t="s">
        <v>62</v>
      </c>
      <c r="D3417" s="2" t="s">
        <v>1634</v>
      </c>
      <c r="E3417" s="2" t="s">
        <v>1635</v>
      </c>
      <c r="F3417" s="2" t="s">
        <v>1636</v>
      </c>
      <c r="G3417" s="2"/>
      <c r="H3417" s="2"/>
      <c r="I3417" s="2"/>
      <c r="J3417" s="2"/>
    </row>
    <row r="3418" spans="1:10" x14ac:dyDescent="0.35">
      <c r="A3418" s="2" t="s">
        <v>1237</v>
      </c>
      <c r="B3418" s="2" t="s">
        <v>1407</v>
      </c>
      <c r="C3418" s="2" t="s">
        <v>62</v>
      </c>
      <c r="D3418" s="2" t="s">
        <v>1637</v>
      </c>
      <c r="E3418" s="2" t="s">
        <v>317</v>
      </c>
      <c r="F3418" s="2" t="s">
        <v>318</v>
      </c>
      <c r="G3418" s="2"/>
      <c r="H3418" s="2"/>
      <c r="I3418" s="2"/>
      <c r="J3418" s="2"/>
    </row>
    <row r="3419" spans="1:10" x14ac:dyDescent="0.35">
      <c r="A3419" s="2" t="s">
        <v>1237</v>
      </c>
      <c r="B3419" s="2" t="s">
        <v>1407</v>
      </c>
      <c r="C3419" s="2" t="s">
        <v>62</v>
      </c>
      <c r="D3419" s="2" t="s">
        <v>1637</v>
      </c>
      <c r="E3419" s="2" t="s">
        <v>87</v>
      </c>
      <c r="F3419" s="2" t="s">
        <v>75</v>
      </c>
      <c r="G3419" s="2"/>
      <c r="H3419" s="2"/>
      <c r="I3419" s="2"/>
      <c r="J3419" s="2"/>
    </row>
    <row r="3420" spans="1:10" x14ac:dyDescent="0.35">
      <c r="A3420" s="2" t="s">
        <v>1237</v>
      </c>
      <c r="B3420" s="2" t="s">
        <v>1407</v>
      </c>
      <c r="C3420" s="2" t="s">
        <v>62</v>
      </c>
      <c r="D3420" s="2" t="s">
        <v>1637</v>
      </c>
      <c r="E3420" s="2" t="s">
        <v>1051</v>
      </c>
      <c r="F3420" s="2" t="s">
        <v>318</v>
      </c>
      <c r="G3420" s="2"/>
      <c r="H3420" s="2"/>
      <c r="I3420" s="2"/>
      <c r="J3420" s="2"/>
    </row>
    <row r="3421" spans="1:10" s="21" customFormat="1" x14ac:dyDescent="0.35">
      <c r="A3421" s="2" t="s">
        <v>1237</v>
      </c>
      <c r="B3421" s="2" t="s">
        <v>1407</v>
      </c>
      <c r="C3421" s="2" t="s">
        <v>62</v>
      </c>
      <c r="D3421" s="2" t="s">
        <v>1637</v>
      </c>
      <c r="E3421" s="2" t="s">
        <v>333</v>
      </c>
      <c r="F3421" s="2" t="s">
        <v>334</v>
      </c>
      <c r="G3421" s="2"/>
      <c r="H3421" s="2"/>
      <c r="I3421" s="2"/>
      <c r="J3421" s="2"/>
    </row>
    <row r="3422" spans="1:10" x14ac:dyDescent="0.35">
      <c r="A3422" s="2" t="s">
        <v>1237</v>
      </c>
      <c r="B3422" s="2" t="s">
        <v>1407</v>
      </c>
      <c r="C3422" s="2" t="s">
        <v>62</v>
      </c>
      <c r="D3422" s="2" t="s">
        <v>1638</v>
      </c>
      <c r="E3422" s="2" t="s">
        <v>317</v>
      </c>
      <c r="F3422" s="2" t="s">
        <v>318</v>
      </c>
      <c r="G3422" s="2"/>
      <c r="H3422" s="2"/>
      <c r="I3422" s="2"/>
      <c r="J3422" s="2"/>
    </row>
    <row r="3423" spans="1:10" x14ac:dyDescent="0.35">
      <c r="A3423" s="2" t="s">
        <v>1237</v>
      </c>
      <c r="B3423" s="2" t="s">
        <v>1407</v>
      </c>
      <c r="C3423" s="2" t="s">
        <v>62</v>
      </c>
      <c r="D3423" s="2" t="s">
        <v>1638</v>
      </c>
      <c r="E3423" s="2" t="s">
        <v>87</v>
      </c>
      <c r="F3423" s="2" t="s">
        <v>75</v>
      </c>
      <c r="G3423" s="2"/>
      <c r="H3423" s="2"/>
      <c r="I3423" s="2"/>
      <c r="J3423" s="2"/>
    </row>
    <row r="3424" spans="1:10" x14ac:dyDescent="0.35">
      <c r="A3424" s="2" t="s">
        <v>1237</v>
      </c>
      <c r="B3424" s="2" t="s">
        <v>1407</v>
      </c>
      <c r="C3424" s="2" t="s">
        <v>62</v>
      </c>
      <c r="D3424" s="2" t="s">
        <v>1638</v>
      </c>
      <c r="E3424" s="2" t="s">
        <v>1051</v>
      </c>
      <c r="F3424" s="2" t="s">
        <v>318</v>
      </c>
      <c r="G3424" s="2"/>
      <c r="H3424" s="2"/>
      <c r="I3424" s="2"/>
      <c r="J3424" s="2"/>
    </row>
    <row r="3425" spans="1:10" s="21" customFormat="1" x14ac:dyDescent="0.35">
      <c r="A3425" s="2" t="s">
        <v>1237</v>
      </c>
      <c r="B3425" s="2" t="s">
        <v>1407</v>
      </c>
      <c r="C3425" s="2" t="s">
        <v>62</v>
      </c>
      <c r="D3425" s="2" t="s">
        <v>1638</v>
      </c>
      <c r="E3425" s="2" t="s">
        <v>333</v>
      </c>
      <c r="F3425" s="2" t="s">
        <v>334</v>
      </c>
      <c r="G3425" s="2"/>
      <c r="H3425" s="2"/>
      <c r="I3425" s="2"/>
      <c r="J3425" s="2"/>
    </row>
    <row r="3426" spans="1:10" x14ac:dyDescent="0.35">
      <c r="A3426" s="2" t="s">
        <v>1237</v>
      </c>
      <c r="B3426" s="2" t="s">
        <v>1407</v>
      </c>
      <c r="C3426" s="2" t="s">
        <v>62</v>
      </c>
      <c r="D3426" s="2" t="s">
        <v>1639</v>
      </c>
      <c r="E3426" s="2" t="s">
        <v>317</v>
      </c>
      <c r="F3426" s="2" t="s">
        <v>318</v>
      </c>
      <c r="G3426" s="2"/>
      <c r="H3426" s="2"/>
      <c r="I3426" s="2"/>
      <c r="J3426" s="2"/>
    </row>
    <row r="3427" spans="1:10" x14ac:dyDescent="0.35">
      <c r="A3427" s="2" t="s">
        <v>1237</v>
      </c>
      <c r="B3427" s="2" t="s">
        <v>1407</v>
      </c>
      <c r="C3427" s="2" t="s">
        <v>62</v>
      </c>
      <c r="D3427" s="2" t="s">
        <v>1639</v>
      </c>
      <c r="E3427" s="2" t="s">
        <v>87</v>
      </c>
      <c r="F3427" s="2" t="s">
        <v>75</v>
      </c>
      <c r="G3427" s="2"/>
      <c r="H3427" s="2"/>
      <c r="I3427" s="2"/>
      <c r="J3427" s="2"/>
    </row>
    <row r="3428" spans="1:10" x14ac:dyDescent="0.35">
      <c r="A3428" s="2" t="s">
        <v>1237</v>
      </c>
      <c r="B3428" s="2" t="s">
        <v>1407</v>
      </c>
      <c r="C3428" s="2" t="s">
        <v>62</v>
      </c>
      <c r="D3428" s="2" t="s">
        <v>1639</v>
      </c>
      <c r="E3428" s="2" t="s">
        <v>1051</v>
      </c>
      <c r="F3428" s="2" t="s">
        <v>318</v>
      </c>
      <c r="G3428" s="2"/>
      <c r="H3428" s="2"/>
      <c r="I3428" s="2"/>
      <c r="J3428" s="2"/>
    </row>
    <row r="3429" spans="1:10" s="21" customFormat="1" x14ac:dyDescent="0.35">
      <c r="A3429" s="2" t="s">
        <v>1237</v>
      </c>
      <c r="B3429" s="2" t="s">
        <v>1407</v>
      </c>
      <c r="C3429" s="2" t="s">
        <v>62</v>
      </c>
      <c r="D3429" s="2" t="s">
        <v>1639</v>
      </c>
      <c r="E3429" s="2" t="s">
        <v>333</v>
      </c>
      <c r="F3429" s="2" t="s">
        <v>334</v>
      </c>
      <c r="G3429" s="2"/>
      <c r="H3429" s="2"/>
      <c r="I3429" s="2"/>
      <c r="J3429" s="2"/>
    </row>
    <row r="3430" spans="1:10" s="21" customFormat="1" x14ac:dyDescent="0.35">
      <c r="A3430" s="2" t="s">
        <v>1237</v>
      </c>
      <c r="B3430" s="2" t="s">
        <v>1407</v>
      </c>
      <c r="C3430" s="2" t="s">
        <v>12</v>
      </c>
      <c r="D3430" s="2" t="s">
        <v>1640</v>
      </c>
      <c r="E3430" s="2" t="s">
        <v>74</v>
      </c>
      <c r="F3430" s="2" t="s">
        <v>75</v>
      </c>
      <c r="G3430" s="2"/>
      <c r="H3430" s="2"/>
      <c r="I3430" s="2"/>
      <c r="J3430" s="2"/>
    </row>
    <row r="3431" spans="1:10" s="21" customFormat="1" x14ac:dyDescent="0.35">
      <c r="A3431" s="2" t="s">
        <v>1237</v>
      </c>
      <c r="B3431" s="2" t="s">
        <v>1407</v>
      </c>
      <c r="C3431" s="2" t="s">
        <v>12</v>
      </c>
      <c r="D3431" s="2" t="s">
        <v>1640</v>
      </c>
      <c r="E3431" s="2" t="s">
        <v>230</v>
      </c>
      <c r="F3431" s="2" t="s">
        <v>189</v>
      </c>
      <c r="G3431" s="2"/>
      <c r="H3431" s="2"/>
      <c r="I3431" s="2"/>
      <c r="J3431" s="2"/>
    </row>
    <row r="3432" spans="1:10" x14ac:dyDescent="0.35">
      <c r="A3432" s="2" t="s">
        <v>1237</v>
      </c>
      <c r="B3432" s="2" t="s">
        <v>1407</v>
      </c>
      <c r="C3432" s="2" t="s">
        <v>62</v>
      </c>
      <c r="D3432" s="2" t="s">
        <v>1641</v>
      </c>
      <c r="E3432" s="2" t="s">
        <v>1305</v>
      </c>
      <c r="F3432" s="2" t="s">
        <v>38</v>
      </c>
      <c r="G3432" s="2"/>
      <c r="H3432" s="2"/>
      <c r="I3432" s="2"/>
      <c r="J3432" s="2"/>
    </row>
    <row r="3433" spans="1:10" x14ac:dyDescent="0.35">
      <c r="A3433" s="2" t="s">
        <v>1237</v>
      </c>
      <c r="B3433" s="2" t="s">
        <v>1407</v>
      </c>
      <c r="C3433" s="2" t="s">
        <v>62</v>
      </c>
      <c r="D3433" s="2" t="s">
        <v>1641</v>
      </c>
      <c r="E3433" s="2" t="s">
        <v>317</v>
      </c>
      <c r="F3433" s="2" t="s">
        <v>318</v>
      </c>
      <c r="G3433" s="2"/>
      <c r="H3433" s="2"/>
      <c r="I3433" s="2"/>
      <c r="J3433" s="2"/>
    </row>
    <row r="3434" spans="1:10" x14ac:dyDescent="0.35">
      <c r="A3434" s="2" t="s">
        <v>1237</v>
      </c>
      <c r="B3434" s="2" t="s">
        <v>1407</v>
      </c>
      <c r="C3434" s="2" t="s">
        <v>62</v>
      </c>
      <c r="D3434" s="2" t="s">
        <v>1641</v>
      </c>
      <c r="E3434" s="2" t="s">
        <v>87</v>
      </c>
      <c r="F3434" s="2" t="s">
        <v>75</v>
      </c>
      <c r="G3434" s="2"/>
      <c r="H3434" s="2"/>
      <c r="I3434" s="2"/>
      <c r="J3434" s="2"/>
    </row>
    <row r="3435" spans="1:10" x14ac:dyDescent="0.35">
      <c r="A3435" s="2" t="s">
        <v>1237</v>
      </c>
      <c r="B3435" s="2" t="s">
        <v>1407</v>
      </c>
      <c r="C3435" s="2" t="s">
        <v>62</v>
      </c>
      <c r="D3435" s="2" t="s">
        <v>1641</v>
      </c>
      <c r="E3435" s="2" t="s">
        <v>1051</v>
      </c>
      <c r="F3435" s="2" t="s">
        <v>318</v>
      </c>
      <c r="G3435" s="2"/>
      <c r="H3435" s="2"/>
      <c r="I3435" s="2"/>
      <c r="J3435" s="2"/>
    </row>
    <row r="3436" spans="1:10" s="21" customFormat="1" x14ac:dyDescent="0.35">
      <c r="A3436" s="2" t="s">
        <v>1237</v>
      </c>
      <c r="B3436" s="2" t="s">
        <v>1407</v>
      </c>
      <c r="C3436" s="2" t="s">
        <v>62</v>
      </c>
      <c r="D3436" s="2" t="s">
        <v>1641</v>
      </c>
      <c r="E3436" s="2" t="s">
        <v>333</v>
      </c>
      <c r="F3436" s="2" t="s">
        <v>334</v>
      </c>
      <c r="G3436" s="2"/>
      <c r="H3436" s="2"/>
      <c r="I3436" s="2"/>
      <c r="J3436" s="2"/>
    </row>
    <row r="3437" spans="1:10" x14ac:dyDescent="0.35">
      <c r="A3437" s="2" t="s">
        <v>1642</v>
      </c>
      <c r="B3437" s="2" t="s">
        <v>1643</v>
      </c>
      <c r="C3437" s="2" t="s">
        <v>57</v>
      </c>
      <c r="D3437" s="2" t="s">
        <v>1644</v>
      </c>
      <c r="E3437" s="16" t="s">
        <v>130</v>
      </c>
      <c r="F3437" s="2" t="s">
        <v>36</v>
      </c>
      <c r="G3437" s="2"/>
      <c r="H3437" s="2"/>
      <c r="I3437" s="2"/>
      <c r="J3437" s="2"/>
    </row>
    <row r="3438" spans="1:10" x14ac:dyDescent="0.35">
      <c r="A3438" s="2" t="s">
        <v>1642</v>
      </c>
      <c r="B3438" s="2" t="s">
        <v>1643</v>
      </c>
      <c r="C3438" s="2" t="s">
        <v>57</v>
      </c>
      <c r="D3438" s="2" t="s">
        <v>1644</v>
      </c>
      <c r="E3438" s="16" t="s">
        <v>27</v>
      </c>
      <c r="F3438" s="2" t="s">
        <v>28</v>
      </c>
      <c r="G3438" s="2" t="s">
        <v>20</v>
      </c>
      <c r="H3438" s="2" t="s">
        <v>1645</v>
      </c>
      <c r="I3438" s="2"/>
      <c r="J3438" s="2"/>
    </row>
    <row r="3439" spans="1:10" x14ac:dyDescent="0.35">
      <c r="A3439" s="2" t="s">
        <v>1642</v>
      </c>
      <c r="B3439" s="2" t="s">
        <v>1643</v>
      </c>
      <c r="C3439" s="2" t="s">
        <v>57</v>
      </c>
      <c r="D3439" s="2" t="s">
        <v>1644</v>
      </c>
      <c r="E3439" s="16" t="s">
        <v>121</v>
      </c>
      <c r="F3439" s="2" t="s">
        <v>122</v>
      </c>
      <c r="G3439" s="2"/>
      <c r="H3439" s="2"/>
      <c r="I3439" s="2"/>
      <c r="J3439" s="2"/>
    </row>
    <row r="3440" spans="1:10" x14ac:dyDescent="0.35">
      <c r="A3440" s="2" t="s">
        <v>1642</v>
      </c>
      <c r="B3440" s="2" t="s">
        <v>1643</v>
      </c>
      <c r="C3440" s="2" t="s">
        <v>57</v>
      </c>
      <c r="D3440" s="2" t="s">
        <v>1644</v>
      </c>
      <c r="E3440" s="16" t="s">
        <v>91</v>
      </c>
      <c r="F3440" s="2" t="s">
        <v>19</v>
      </c>
      <c r="G3440" s="2" t="s">
        <v>20</v>
      </c>
      <c r="H3440" s="2" t="s">
        <v>1646</v>
      </c>
      <c r="I3440" s="2"/>
      <c r="J3440" s="2"/>
    </row>
    <row r="3441" spans="1:10" x14ac:dyDescent="0.35">
      <c r="A3441" s="2" t="s">
        <v>1642</v>
      </c>
      <c r="B3441" s="2" t="s">
        <v>1643</v>
      </c>
      <c r="C3441" s="2" t="s">
        <v>57</v>
      </c>
      <c r="D3441" s="2" t="s">
        <v>1644</v>
      </c>
      <c r="E3441" s="16" t="s">
        <v>87</v>
      </c>
      <c r="F3441" s="2" t="s">
        <v>75</v>
      </c>
      <c r="G3441" s="2"/>
      <c r="H3441" s="2"/>
      <c r="I3441" s="2"/>
      <c r="J3441" s="2"/>
    </row>
    <row r="3442" spans="1:10" x14ac:dyDescent="0.35">
      <c r="A3442" s="2" t="s">
        <v>1642</v>
      </c>
      <c r="B3442" s="2" t="s">
        <v>1643</v>
      </c>
      <c r="C3442" s="2" t="s">
        <v>57</v>
      </c>
      <c r="D3442" s="2" t="s">
        <v>1644</v>
      </c>
      <c r="E3442" s="16" t="s">
        <v>89</v>
      </c>
      <c r="F3442" s="2" t="s">
        <v>1647</v>
      </c>
      <c r="G3442" s="2"/>
      <c r="H3442" s="2"/>
      <c r="I3442" s="2"/>
      <c r="J3442" s="2"/>
    </row>
    <row r="3443" spans="1:10" x14ac:dyDescent="0.35">
      <c r="A3443" s="2" t="s">
        <v>1642</v>
      </c>
      <c r="B3443" s="2" t="s">
        <v>1643</v>
      </c>
      <c r="C3443" s="2" t="s">
        <v>57</v>
      </c>
      <c r="D3443" s="2" t="s">
        <v>1644</v>
      </c>
      <c r="E3443" s="16" t="s">
        <v>61</v>
      </c>
      <c r="F3443" s="2" t="s">
        <v>30</v>
      </c>
      <c r="G3443" s="2"/>
      <c r="H3443" s="2"/>
      <c r="I3443" s="2"/>
      <c r="J3443" s="2"/>
    </row>
    <row r="3444" spans="1:10" x14ac:dyDescent="0.35">
      <c r="A3444" s="2" t="s">
        <v>1642</v>
      </c>
      <c r="B3444" s="2" t="s">
        <v>1643</v>
      </c>
      <c r="C3444" s="2" t="s">
        <v>57</v>
      </c>
      <c r="D3444" s="2" t="s">
        <v>1644</v>
      </c>
      <c r="E3444" s="16" t="s">
        <v>149</v>
      </c>
      <c r="F3444" s="2" t="s">
        <v>847</v>
      </c>
      <c r="G3444" s="2" t="s">
        <v>20</v>
      </c>
      <c r="H3444" s="2" t="s">
        <v>1648</v>
      </c>
      <c r="I3444" s="2"/>
      <c r="J3444" s="2"/>
    </row>
    <row r="3445" spans="1:10" s="15" customFormat="1" x14ac:dyDescent="0.35">
      <c r="A3445" s="2" t="s">
        <v>1642</v>
      </c>
      <c r="B3445" s="2" t="s">
        <v>1643</v>
      </c>
      <c r="C3445" s="2" t="s">
        <v>24</v>
      </c>
      <c r="D3445" s="2" t="s">
        <v>1649</v>
      </c>
      <c r="E3445" s="16" t="s">
        <v>130</v>
      </c>
      <c r="F3445" s="2" t="s">
        <v>36</v>
      </c>
      <c r="G3445" s="2"/>
      <c r="H3445" s="2"/>
      <c r="I3445" s="2"/>
      <c r="J3445" s="2"/>
    </row>
    <row r="3446" spans="1:10" s="15" customFormat="1" x14ac:dyDescent="0.35">
      <c r="A3446" s="2" t="s">
        <v>1642</v>
      </c>
      <c r="B3446" s="2" t="s">
        <v>1643</v>
      </c>
      <c r="C3446" s="2" t="s">
        <v>24</v>
      </c>
      <c r="D3446" s="2" t="s">
        <v>1649</v>
      </c>
      <c r="E3446" s="16" t="s">
        <v>27</v>
      </c>
      <c r="F3446" s="2" t="s">
        <v>28</v>
      </c>
      <c r="G3446" s="2" t="s">
        <v>20</v>
      </c>
      <c r="H3446" s="2" t="s">
        <v>1645</v>
      </c>
      <c r="I3446" s="2"/>
      <c r="J3446" s="2"/>
    </row>
    <row r="3447" spans="1:10" s="15" customFormat="1" x14ac:dyDescent="0.35">
      <c r="A3447" s="2" t="s">
        <v>1642</v>
      </c>
      <c r="B3447" s="2" t="s">
        <v>1643</v>
      </c>
      <c r="C3447" s="2" t="s">
        <v>24</v>
      </c>
      <c r="D3447" s="2" t="s">
        <v>1649</v>
      </c>
      <c r="E3447" s="16" t="s">
        <v>121</v>
      </c>
      <c r="F3447" s="2" t="s">
        <v>122</v>
      </c>
      <c r="G3447" s="2"/>
      <c r="H3447" s="2"/>
      <c r="I3447" s="2"/>
      <c r="J3447" s="2"/>
    </row>
    <row r="3448" spans="1:10" s="15" customFormat="1" x14ac:dyDescent="0.35">
      <c r="A3448" s="2" t="s">
        <v>1642</v>
      </c>
      <c r="B3448" s="2" t="s">
        <v>1643</v>
      </c>
      <c r="C3448" s="2" t="s">
        <v>24</v>
      </c>
      <c r="D3448" s="2" t="s">
        <v>1649</v>
      </c>
      <c r="E3448" s="16" t="s">
        <v>89</v>
      </c>
      <c r="F3448" s="2" t="s">
        <v>1647</v>
      </c>
      <c r="G3448" s="2"/>
      <c r="H3448" s="2"/>
      <c r="I3448" s="2"/>
      <c r="J3448" s="2"/>
    </row>
    <row r="3449" spans="1:10" s="15" customFormat="1" x14ac:dyDescent="0.35">
      <c r="A3449" s="2" t="s">
        <v>1642</v>
      </c>
      <c r="B3449" s="2" t="s">
        <v>1643</v>
      </c>
      <c r="C3449" s="2" t="s">
        <v>24</v>
      </c>
      <c r="D3449" s="2" t="s">
        <v>1649</v>
      </c>
      <c r="E3449" s="16" t="s">
        <v>188</v>
      </c>
      <c r="F3449" s="2" t="s">
        <v>189</v>
      </c>
      <c r="G3449" s="2"/>
      <c r="H3449" s="2"/>
      <c r="I3449" s="2"/>
      <c r="J3449" s="2"/>
    </row>
    <row r="3450" spans="1:10" s="15" customFormat="1" x14ac:dyDescent="0.35">
      <c r="A3450" s="2" t="s">
        <v>1642</v>
      </c>
      <c r="B3450" s="2" t="s">
        <v>1643</v>
      </c>
      <c r="C3450" s="2" t="s">
        <v>24</v>
      </c>
      <c r="D3450" s="2" t="s">
        <v>1649</v>
      </c>
      <c r="E3450" s="16" t="s">
        <v>127</v>
      </c>
      <c r="F3450" s="2" t="s">
        <v>1650</v>
      </c>
      <c r="G3450" s="2"/>
      <c r="H3450" s="2"/>
      <c r="I3450" s="2"/>
      <c r="J3450" s="2"/>
    </row>
    <row r="3451" spans="1:10" s="15" customFormat="1" x14ac:dyDescent="0.35">
      <c r="A3451" s="2" t="s">
        <v>1642</v>
      </c>
      <c r="B3451" s="2" t="s">
        <v>1643</v>
      </c>
      <c r="C3451" s="2" t="s">
        <v>24</v>
      </c>
      <c r="D3451" s="2" t="s">
        <v>1649</v>
      </c>
      <c r="E3451" s="16" t="s">
        <v>42</v>
      </c>
      <c r="F3451" s="2" t="s">
        <v>43</v>
      </c>
      <c r="G3451" s="2"/>
      <c r="H3451" s="2"/>
      <c r="I3451" s="2"/>
      <c r="J3451" s="2"/>
    </row>
    <row r="3452" spans="1:10" s="17" customFormat="1" x14ac:dyDescent="0.35">
      <c r="A3452" s="2" t="s">
        <v>1642</v>
      </c>
      <c r="B3452" s="2" t="s">
        <v>1643</v>
      </c>
      <c r="C3452" s="2" t="s">
        <v>24</v>
      </c>
      <c r="D3452" s="2" t="s">
        <v>1651</v>
      </c>
      <c r="E3452" s="16" t="s">
        <v>14</v>
      </c>
      <c r="F3452" s="2" t="s">
        <v>15</v>
      </c>
      <c r="G3452" s="2"/>
      <c r="H3452" s="2"/>
      <c r="I3452" s="2"/>
      <c r="J3452" s="2"/>
    </row>
    <row r="3453" spans="1:10" s="17" customFormat="1" x14ac:dyDescent="0.35">
      <c r="A3453" s="2" t="s">
        <v>1642</v>
      </c>
      <c r="B3453" s="2" t="s">
        <v>1643</v>
      </c>
      <c r="C3453" s="2" t="s">
        <v>24</v>
      </c>
      <c r="D3453" s="2" t="s">
        <v>1651</v>
      </c>
      <c r="E3453" s="16" t="s">
        <v>27</v>
      </c>
      <c r="F3453" s="2" t="s">
        <v>28</v>
      </c>
      <c r="G3453" s="2"/>
      <c r="H3453" s="2"/>
      <c r="I3453" s="2" t="s">
        <v>20</v>
      </c>
      <c r="J3453" s="2" t="s">
        <v>1652</v>
      </c>
    </row>
    <row r="3454" spans="1:10" s="17" customFormat="1" x14ac:dyDescent="0.35">
      <c r="A3454" s="2" t="s">
        <v>1642</v>
      </c>
      <c r="B3454" s="2" t="s">
        <v>1643</v>
      </c>
      <c r="C3454" s="2" t="s">
        <v>24</v>
      </c>
      <c r="D3454" s="2" t="s">
        <v>1651</v>
      </c>
      <c r="E3454" s="16" t="s">
        <v>31</v>
      </c>
      <c r="F3454" s="2" t="s">
        <v>32</v>
      </c>
      <c r="G3454" s="2"/>
      <c r="H3454" s="2"/>
      <c r="I3454" s="2"/>
      <c r="J3454" s="2"/>
    </row>
    <row r="3455" spans="1:10" s="17" customFormat="1" x14ac:dyDescent="0.35">
      <c r="A3455" s="2" t="s">
        <v>1642</v>
      </c>
      <c r="B3455" s="2" t="s">
        <v>1643</v>
      </c>
      <c r="C3455" s="2" t="s">
        <v>24</v>
      </c>
      <c r="D3455" s="2" t="s">
        <v>1651</v>
      </c>
      <c r="E3455" s="16" t="s">
        <v>96</v>
      </c>
      <c r="F3455" s="2" t="s">
        <v>83</v>
      </c>
      <c r="G3455" s="2"/>
      <c r="H3455" s="2"/>
      <c r="I3455" s="2"/>
      <c r="J3455" s="2"/>
    </row>
    <row r="3456" spans="1:10" s="17" customFormat="1" x14ac:dyDescent="0.35">
      <c r="A3456" s="2" t="s">
        <v>1642</v>
      </c>
      <c r="B3456" s="2" t="s">
        <v>1643</v>
      </c>
      <c r="C3456" s="2" t="s">
        <v>24</v>
      </c>
      <c r="D3456" s="2" t="s">
        <v>1651</v>
      </c>
      <c r="E3456" s="16" t="s">
        <v>393</v>
      </c>
      <c r="F3456" s="2" t="s">
        <v>1653</v>
      </c>
      <c r="G3456" s="2"/>
      <c r="H3456" s="2"/>
      <c r="I3456" s="2"/>
      <c r="J3456" s="2"/>
    </row>
    <row r="3457" spans="1:10" s="17" customFormat="1" x14ac:dyDescent="0.35">
      <c r="A3457" s="2" t="s">
        <v>1642</v>
      </c>
      <c r="B3457" s="2" t="s">
        <v>1643</v>
      </c>
      <c r="C3457" s="2" t="s">
        <v>24</v>
      </c>
      <c r="D3457" s="2" t="s">
        <v>1651</v>
      </c>
      <c r="E3457" s="16" t="s">
        <v>87</v>
      </c>
      <c r="F3457" s="2" t="s">
        <v>75</v>
      </c>
      <c r="G3457" s="2"/>
      <c r="H3457" s="2"/>
      <c r="I3457" s="2" t="s">
        <v>20</v>
      </c>
      <c r="J3457" s="2" t="s">
        <v>1652</v>
      </c>
    </row>
    <row r="3458" spans="1:10" s="17" customFormat="1" x14ac:dyDescent="0.35">
      <c r="A3458" s="2" t="s">
        <v>1642</v>
      </c>
      <c r="B3458" s="2" t="s">
        <v>1643</v>
      </c>
      <c r="C3458" s="2" t="s">
        <v>24</v>
      </c>
      <c r="D3458" s="2" t="s">
        <v>1651</v>
      </c>
      <c r="E3458" s="16" t="s">
        <v>124</v>
      </c>
      <c r="F3458" s="2" t="s">
        <v>1654</v>
      </c>
      <c r="G3458" s="2"/>
      <c r="H3458" s="2"/>
      <c r="I3458" s="2" t="s">
        <v>20</v>
      </c>
      <c r="J3458" s="2" t="s">
        <v>1652</v>
      </c>
    </row>
    <row r="3459" spans="1:10" s="17" customFormat="1" x14ac:dyDescent="0.35">
      <c r="A3459" s="2" t="s">
        <v>1642</v>
      </c>
      <c r="B3459" s="2" t="s">
        <v>1643</v>
      </c>
      <c r="C3459" s="2" t="s">
        <v>24</v>
      </c>
      <c r="D3459" s="2" t="s">
        <v>1651</v>
      </c>
      <c r="E3459" s="16" t="s">
        <v>18</v>
      </c>
      <c r="F3459" s="2" t="s">
        <v>19</v>
      </c>
      <c r="G3459" s="2"/>
      <c r="H3459" s="2"/>
      <c r="I3459" s="2"/>
      <c r="J3459" s="2"/>
    </row>
    <row r="3460" spans="1:10" s="17" customFormat="1" x14ac:dyDescent="0.35">
      <c r="A3460" s="2" t="s">
        <v>1642</v>
      </c>
      <c r="B3460" s="2" t="s">
        <v>1643</v>
      </c>
      <c r="C3460" s="2" t="s">
        <v>24</v>
      </c>
      <c r="D3460" s="2" t="s">
        <v>1651</v>
      </c>
      <c r="E3460" s="16" t="s">
        <v>1261</v>
      </c>
      <c r="F3460" s="2" t="s">
        <v>277</v>
      </c>
      <c r="G3460" s="2"/>
      <c r="H3460" s="2"/>
      <c r="I3460" s="2" t="s">
        <v>20</v>
      </c>
      <c r="J3460" s="2" t="s">
        <v>1655</v>
      </c>
    </row>
    <row r="3461" spans="1:10" s="17" customFormat="1" x14ac:dyDescent="0.35">
      <c r="A3461" s="2" t="s">
        <v>1642</v>
      </c>
      <c r="B3461" s="2" t="s">
        <v>1643</v>
      </c>
      <c r="C3461" s="2" t="s">
        <v>24</v>
      </c>
      <c r="D3461" s="2" t="s">
        <v>1651</v>
      </c>
      <c r="E3461" s="16" t="s">
        <v>188</v>
      </c>
      <c r="F3461" s="2" t="s">
        <v>189</v>
      </c>
      <c r="G3461" s="2"/>
      <c r="H3461" s="2"/>
      <c r="I3461" s="2"/>
      <c r="J3461" s="2"/>
    </row>
    <row r="3462" spans="1:10" x14ac:dyDescent="0.35">
      <c r="A3462" s="2" t="s">
        <v>1642</v>
      </c>
      <c r="B3462" s="2" t="s">
        <v>1656</v>
      </c>
      <c r="C3462" s="2" t="s">
        <v>24</v>
      </c>
      <c r="D3462" s="2" t="s">
        <v>1657</v>
      </c>
      <c r="E3462" s="2" t="s">
        <v>74</v>
      </c>
      <c r="F3462" s="2" t="s">
        <v>75</v>
      </c>
      <c r="G3462" s="2" t="s">
        <v>20</v>
      </c>
      <c r="H3462" s="2" t="s">
        <v>1658</v>
      </c>
      <c r="I3462" s="2"/>
      <c r="J3462" s="2"/>
    </row>
    <row r="3463" spans="1:10" x14ac:dyDescent="0.35">
      <c r="A3463" s="2" t="s">
        <v>1642</v>
      </c>
      <c r="B3463" s="2" t="s">
        <v>1656</v>
      </c>
      <c r="C3463" s="2" t="s">
        <v>24</v>
      </c>
      <c r="D3463" s="2" t="s">
        <v>1657</v>
      </c>
      <c r="E3463" s="2" t="s">
        <v>1659</v>
      </c>
      <c r="F3463" s="2" t="s">
        <v>122</v>
      </c>
      <c r="G3463" s="2"/>
      <c r="H3463" s="2"/>
      <c r="I3463" s="2"/>
      <c r="J3463" s="2"/>
    </row>
    <row r="3464" spans="1:10" x14ac:dyDescent="0.35">
      <c r="A3464" s="2" t="s">
        <v>1642</v>
      </c>
      <c r="B3464" s="2" t="s">
        <v>1656</v>
      </c>
      <c r="C3464" s="2" t="s">
        <v>24</v>
      </c>
      <c r="D3464" s="2" t="s">
        <v>1657</v>
      </c>
      <c r="E3464" s="2" t="s">
        <v>393</v>
      </c>
      <c r="F3464" s="2" t="s">
        <v>1653</v>
      </c>
      <c r="G3464" s="2"/>
      <c r="H3464" s="2"/>
      <c r="I3464" s="2"/>
      <c r="J3464" s="2"/>
    </row>
    <row r="3465" spans="1:10" x14ac:dyDescent="0.35">
      <c r="A3465" s="2" t="s">
        <v>1642</v>
      </c>
      <c r="B3465" s="2" t="s">
        <v>1656</v>
      </c>
      <c r="C3465" s="2" t="s">
        <v>24</v>
      </c>
      <c r="D3465" s="2" t="s">
        <v>1657</v>
      </c>
      <c r="E3465" s="2" t="s">
        <v>87</v>
      </c>
      <c r="F3465" s="2" t="s">
        <v>75</v>
      </c>
      <c r="G3465" s="2" t="s">
        <v>20</v>
      </c>
      <c r="H3465" s="2" t="s">
        <v>1660</v>
      </c>
      <c r="I3465" s="2"/>
      <c r="J3465" s="2"/>
    </row>
    <row r="3466" spans="1:10" x14ac:dyDescent="0.35">
      <c r="A3466" s="2" t="s">
        <v>1642</v>
      </c>
      <c r="B3466" s="2" t="s">
        <v>1656</v>
      </c>
      <c r="C3466" s="2" t="s">
        <v>24</v>
      </c>
      <c r="D3466" s="2" t="s">
        <v>1657</v>
      </c>
      <c r="E3466" s="2" t="s">
        <v>18</v>
      </c>
      <c r="F3466" s="2" t="s">
        <v>19</v>
      </c>
      <c r="G3466" s="2" t="s">
        <v>20</v>
      </c>
      <c r="H3466" s="2" t="s">
        <v>1661</v>
      </c>
      <c r="I3466" s="2"/>
      <c r="J3466" s="2"/>
    </row>
    <row r="3467" spans="1:10" x14ac:dyDescent="0.35">
      <c r="A3467" s="2" t="s">
        <v>1642</v>
      </c>
      <c r="B3467" s="2" t="s">
        <v>1656</v>
      </c>
      <c r="C3467" s="2" t="s">
        <v>24</v>
      </c>
      <c r="D3467" s="2" t="s">
        <v>1657</v>
      </c>
      <c r="E3467" s="2" t="s">
        <v>89</v>
      </c>
      <c r="F3467" s="2" t="s">
        <v>1647</v>
      </c>
      <c r="G3467" s="2" t="s">
        <v>20</v>
      </c>
      <c r="H3467" s="2" t="s">
        <v>1662</v>
      </c>
      <c r="I3467" s="2"/>
      <c r="J3467" s="2"/>
    </row>
    <row r="3468" spans="1:10" s="21" customFormat="1" x14ac:dyDescent="0.35">
      <c r="A3468" s="2" t="s">
        <v>1642</v>
      </c>
      <c r="B3468" s="2" t="s">
        <v>1663</v>
      </c>
      <c r="C3468" s="2" t="s">
        <v>24</v>
      </c>
      <c r="D3468" s="2" t="s">
        <v>1664</v>
      </c>
      <c r="E3468" s="2" t="s">
        <v>96</v>
      </c>
      <c r="F3468" s="2" t="s">
        <v>83</v>
      </c>
      <c r="G3468" s="2"/>
      <c r="H3468" s="2"/>
      <c r="I3468" s="2" t="s">
        <v>16</v>
      </c>
      <c r="J3468" s="2" t="s">
        <v>1665</v>
      </c>
    </row>
    <row r="3469" spans="1:10" s="21" customFormat="1" x14ac:dyDescent="0.35">
      <c r="A3469" s="2" t="s">
        <v>1642</v>
      </c>
      <c r="B3469" s="2" t="s">
        <v>1663</v>
      </c>
      <c r="C3469" s="2" t="s">
        <v>24</v>
      </c>
      <c r="D3469" s="2" t="s">
        <v>1664</v>
      </c>
      <c r="E3469" s="2" t="s">
        <v>1659</v>
      </c>
      <c r="F3469" s="2" t="s">
        <v>122</v>
      </c>
      <c r="G3469" s="2"/>
      <c r="H3469" s="2"/>
      <c r="I3469" s="2" t="s">
        <v>16</v>
      </c>
      <c r="J3469" s="2" t="s">
        <v>1665</v>
      </c>
    </row>
    <row r="3470" spans="1:10" s="21" customFormat="1" x14ac:dyDescent="0.35">
      <c r="A3470" s="2" t="s">
        <v>1642</v>
      </c>
      <c r="B3470" s="2" t="s">
        <v>1663</v>
      </c>
      <c r="C3470" s="2" t="s">
        <v>24</v>
      </c>
      <c r="D3470" s="2" t="s">
        <v>1664</v>
      </c>
      <c r="E3470" s="2" t="s">
        <v>393</v>
      </c>
      <c r="F3470" s="2" t="s">
        <v>1653</v>
      </c>
      <c r="G3470" s="2"/>
      <c r="H3470" s="2"/>
      <c r="I3470" s="2" t="s">
        <v>16</v>
      </c>
      <c r="J3470" s="2" t="s">
        <v>1665</v>
      </c>
    </row>
    <row r="3471" spans="1:10" x14ac:dyDescent="0.35">
      <c r="A3471" s="2" t="s">
        <v>1642</v>
      </c>
      <c r="B3471" s="2" t="s">
        <v>1663</v>
      </c>
      <c r="C3471" s="2" t="s">
        <v>57</v>
      </c>
      <c r="D3471" s="2" t="s">
        <v>1666</v>
      </c>
      <c r="E3471" s="2" t="s">
        <v>74</v>
      </c>
      <c r="F3471" s="2" t="s">
        <v>75</v>
      </c>
      <c r="G3471" s="2" t="s">
        <v>20</v>
      </c>
      <c r="H3471" s="2" t="s">
        <v>1667</v>
      </c>
      <c r="I3471" s="2"/>
      <c r="J3471" s="2"/>
    </row>
    <row r="3472" spans="1:10" x14ac:dyDescent="0.35">
      <c r="A3472" s="2" t="s">
        <v>1642</v>
      </c>
      <c r="B3472" s="2" t="s">
        <v>1663</v>
      </c>
      <c r="C3472" s="2" t="s">
        <v>57</v>
      </c>
      <c r="D3472" s="2" t="s">
        <v>1666</v>
      </c>
      <c r="E3472" s="2" t="s">
        <v>1668</v>
      </c>
      <c r="F3472" s="2" t="s">
        <v>15</v>
      </c>
      <c r="G3472" s="2"/>
      <c r="H3472" s="2"/>
      <c r="I3472" s="2"/>
      <c r="J3472" s="2"/>
    </row>
    <row r="3473" spans="1:10" x14ac:dyDescent="0.35">
      <c r="A3473" s="2" t="s">
        <v>1642</v>
      </c>
      <c r="B3473" s="2" t="s">
        <v>1663</v>
      </c>
      <c r="C3473" s="2" t="s">
        <v>57</v>
      </c>
      <c r="D3473" s="2" t="s">
        <v>1666</v>
      </c>
      <c r="E3473" s="2" t="s">
        <v>1669</v>
      </c>
      <c r="F3473" s="2" t="s">
        <v>28</v>
      </c>
      <c r="G3473" s="2" t="s">
        <v>20</v>
      </c>
      <c r="H3473" s="2" t="s">
        <v>1670</v>
      </c>
      <c r="I3473" s="2"/>
      <c r="J3473" s="2"/>
    </row>
    <row r="3474" spans="1:10" x14ac:dyDescent="0.35">
      <c r="A3474" s="2" t="s">
        <v>1642</v>
      </c>
      <c r="B3474" s="2" t="s">
        <v>1663</v>
      </c>
      <c r="C3474" s="2" t="s">
        <v>57</v>
      </c>
      <c r="D3474" s="2" t="s">
        <v>1666</v>
      </c>
      <c r="E3474" s="2" t="s">
        <v>35</v>
      </c>
      <c r="F3474" s="2" t="s">
        <v>36</v>
      </c>
      <c r="G3474" s="2"/>
      <c r="H3474" s="2"/>
      <c r="I3474" s="2"/>
      <c r="J3474" s="2"/>
    </row>
    <row r="3475" spans="1:10" x14ac:dyDescent="0.35">
      <c r="A3475" s="2" t="s">
        <v>1642</v>
      </c>
      <c r="B3475" s="2" t="s">
        <v>1663</v>
      </c>
      <c r="C3475" s="2" t="s">
        <v>57</v>
      </c>
      <c r="D3475" s="2" t="s">
        <v>1666</v>
      </c>
      <c r="E3475" s="2" t="s">
        <v>18</v>
      </c>
      <c r="F3475" s="2" t="s">
        <v>19</v>
      </c>
      <c r="G3475" s="2" t="s">
        <v>20</v>
      </c>
      <c r="H3475" s="2" t="s">
        <v>1671</v>
      </c>
      <c r="I3475" s="2"/>
      <c r="J3475" s="2"/>
    </row>
    <row r="3476" spans="1:10" x14ac:dyDescent="0.35">
      <c r="A3476" s="2" t="s">
        <v>1642</v>
      </c>
      <c r="B3476" s="2" t="s">
        <v>1663</v>
      </c>
      <c r="C3476" s="2" t="s">
        <v>57</v>
      </c>
      <c r="D3476" s="2" t="s">
        <v>1666</v>
      </c>
      <c r="E3476" s="2" t="s">
        <v>61</v>
      </c>
      <c r="F3476" s="2" t="s">
        <v>30</v>
      </c>
      <c r="G3476" s="2"/>
      <c r="H3476" s="2"/>
      <c r="I3476" s="2"/>
      <c r="J3476" s="2"/>
    </row>
    <row r="3477" spans="1:10" x14ac:dyDescent="0.35">
      <c r="A3477" s="2" t="s">
        <v>1642</v>
      </c>
      <c r="B3477" s="2" t="s">
        <v>1663</v>
      </c>
      <c r="C3477" s="2" t="s">
        <v>57</v>
      </c>
      <c r="D3477" s="2" t="s">
        <v>1666</v>
      </c>
      <c r="E3477" s="2" t="s">
        <v>862</v>
      </c>
      <c r="F3477" s="2" t="s">
        <v>38</v>
      </c>
      <c r="G3477" s="2"/>
      <c r="H3477" s="2"/>
      <c r="I3477" s="2"/>
      <c r="J3477" s="2"/>
    </row>
    <row r="3478" spans="1:10" x14ac:dyDescent="0.35">
      <c r="A3478" s="2" t="s">
        <v>1642</v>
      </c>
      <c r="B3478" s="2" t="s">
        <v>1663</v>
      </c>
      <c r="C3478" s="2" t="s">
        <v>57</v>
      </c>
      <c r="D3478" s="2" t="s">
        <v>1666</v>
      </c>
      <c r="E3478" s="2" t="s">
        <v>149</v>
      </c>
      <c r="F3478" s="2" t="s">
        <v>847</v>
      </c>
      <c r="G3478" s="2"/>
      <c r="H3478" s="2"/>
      <c r="I3478" s="2"/>
      <c r="J3478" s="2"/>
    </row>
    <row r="3479" spans="1:10" x14ac:dyDescent="0.35">
      <c r="A3479" s="2" t="s">
        <v>1642</v>
      </c>
      <c r="B3479" s="2" t="s">
        <v>1663</v>
      </c>
      <c r="C3479" s="2" t="s">
        <v>24</v>
      </c>
      <c r="D3479" s="2" t="s">
        <v>1672</v>
      </c>
      <c r="E3479" s="2" t="s">
        <v>120</v>
      </c>
      <c r="F3479" s="2" t="s">
        <v>1673</v>
      </c>
      <c r="G3479" s="2"/>
      <c r="H3479" s="2"/>
      <c r="I3479" s="2"/>
      <c r="J3479" s="2"/>
    </row>
    <row r="3480" spans="1:10" x14ac:dyDescent="0.35">
      <c r="A3480" s="2" t="s">
        <v>1642</v>
      </c>
      <c r="B3480" s="2" t="s">
        <v>1663</v>
      </c>
      <c r="C3480" s="2" t="s">
        <v>24</v>
      </c>
      <c r="D3480" s="2" t="s">
        <v>1672</v>
      </c>
      <c r="E3480" s="2" t="s">
        <v>136</v>
      </c>
      <c r="F3480" s="2" t="s">
        <v>107</v>
      </c>
      <c r="G3480" s="2"/>
      <c r="H3480" s="2"/>
      <c r="I3480" s="2"/>
      <c r="J3480" s="2"/>
    </row>
    <row r="3481" spans="1:10" x14ac:dyDescent="0.35">
      <c r="A3481" s="2" t="s">
        <v>1642</v>
      </c>
      <c r="B3481" s="2" t="s">
        <v>1663</v>
      </c>
      <c r="C3481" s="2" t="s">
        <v>24</v>
      </c>
      <c r="D3481" s="2" t="s">
        <v>1672</v>
      </c>
      <c r="E3481" s="2" t="s">
        <v>121</v>
      </c>
      <c r="F3481" s="2" t="s">
        <v>122</v>
      </c>
      <c r="G3481" s="2" t="s">
        <v>20</v>
      </c>
      <c r="H3481" s="2" t="s">
        <v>1674</v>
      </c>
      <c r="I3481" s="2"/>
      <c r="J3481" s="2"/>
    </row>
    <row r="3482" spans="1:10" x14ac:dyDescent="0.35">
      <c r="A3482" s="2" t="s">
        <v>1642</v>
      </c>
      <c r="B3482" s="2" t="s">
        <v>1663</v>
      </c>
      <c r="C3482" s="2" t="s">
        <v>24</v>
      </c>
      <c r="D3482" s="2" t="s">
        <v>1672</v>
      </c>
      <c r="E3482" s="2" t="s">
        <v>35</v>
      </c>
      <c r="F3482" s="2" t="s">
        <v>36</v>
      </c>
      <c r="G3482" s="2"/>
      <c r="H3482" s="2"/>
      <c r="I3482" s="2"/>
      <c r="J3482" s="2"/>
    </row>
    <row r="3483" spans="1:10" x14ac:dyDescent="0.35">
      <c r="A3483" s="2" t="s">
        <v>1642</v>
      </c>
      <c r="B3483" s="2" t="s">
        <v>1663</v>
      </c>
      <c r="C3483" s="2" t="s">
        <v>24</v>
      </c>
      <c r="D3483" s="2" t="s">
        <v>1672</v>
      </c>
      <c r="E3483" s="2" t="s">
        <v>61</v>
      </c>
      <c r="F3483" s="2" t="s">
        <v>30</v>
      </c>
      <c r="G3483" s="2"/>
      <c r="H3483" s="2"/>
      <c r="I3483" s="2"/>
      <c r="J3483" s="2"/>
    </row>
    <row r="3484" spans="1:10" x14ac:dyDescent="0.35">
      <c r="A3484" s="2" t="s">
        <v>1642</v>
      </c>
      <c r="B3484" s="2" t="s">
        <v>1675</v>
      </c>
      <c r="C3484" s="2" t="s">
        <v>12</v>
      </c>
      <c r="D3484" s="2" t="s">
        <v>1676</v>
      </c>
      <c r="E3484" s="2" t="s">
        <v>14</v>
      </c>
      <c r="F3484" s="2" t="s">
        <v>15</v>
      </c>
      <c r="G3484" s="2"/>
      <c r="H3484" s="2"/>
      <c r="I3484" s="2" t="s">
        <v>20</v>
      </c>
      <c r="J3484" s="2" t="s">
        <v>1677</v>
      </c>
    </row>
    <row r="3485" spans="1:10" x14ac:dyDescent="0.35">
      <c r="A3485" s="2" t="s">
        <v>1642</v>
      </c>
      <c r="B3485" s="2" t="s">
        <v>1675</v>
      </c>
      <c r="C3485" s="2" t="s">
        <v>12</v>
      </c>
      <c r="D3485" s="2" t="s">
        <v>1676</v>
      </c>
      <c r="E3485" s="2" t="s">
        <v>767</v>
      </c>
      <c r="F3485" s="2" t="s">
        <v>36</v>
      </c>
      <c r="G3485" s="2"/>
      <c r="H3485" s="2"/>
      <c r="I3485" s="2" t="s">
        <v>20</v>
      </c>
      <c r="J3485" s="2" t="s">
        <v>1677</v>
      </c>
    </row>
    <row r="3486" spans="1:10" x14ac:dyDescent="0.35">
      <c r="A3486" s="2" t="s">
        <v>1642</v>
      </c>
      <c r="B3486" s="2" t="s">
        <v>1675</v>
      </c>
      <c r="C3486" s="2" t="s">
        <v>12</v>
      </c>
      <c r="D3486" s="2" t="s">
        <v>1676</v>
      </c>
      <c r="E3486" s="2" t="s">
        <v>87</v>
      </c>
      <c r="F3486" s="2" t="s">
        <v>75</v>
      </c>
      <c r="G3486" s="2" t="s">
        <v>20</v>
      </c>
      <c r="H3486" s="2" t="s">
        <v>1678</v>
      </c>
      <c r="I3486" s="2" t="s">
        <v>20</v>
      </c>
      <c r="J3486" s="2" t="s">
        <v>1677</v>
      </c>
    </row>
    <row r="3487" spans="1:10" x14ac:dyDescent="0.35">
      <c r="A3487" s="2" t="s">
        <v>1642</v>
      </c>
      <c r="B3487" s="2" t="s">
        <v>1675</v>
      </c>
      <c r="C3487" s="2" t="s">
        <v>12</v>
      </c>
      <c r="D3487" s="2" t="s">
        <v>1676</v>
      </c>
      <c r="E3487" s="2" t="s">
        <v>18</v>
      </c>
      <c r="F3487" s="2" t="s">
        <v>1679</v>
      </c>
      <c r="G3487" s="2" t="s">
        <v>20</v>
      </c>
      <c r="H3487" s="2" t="s">
        <v>1680</v>
      </c>
      <c r="I3487" s="2" t="s">
        <v>20</v>
      </c>
      <c r="J3487" s="2" t="s">
        <v>1677</v>
      </c>
    </row>
    <row r="3488" spans="1:10" x14ac:dyDescent="0.35">
      <c r="A3488" s="2" t="s">
        <v>1642</v>
      </c>
      <c r="B3488" s="2" t="s">
        <v>1675</v>
      </c>
      <c r="C3488" s="2" t="s">
        <v>12</v>
      </c>
      <c r="D3488" s="2" t="s">
        <v>1676</v>
      </c>
      <c r="E3488" s="2" t="s">
        <v>1681</v>
      </c>
      <c r="F3488" s="2" t="s">
        <v>1650</v>
      </c>
      <c r="G3488" s="2"/>
      <c r="H3488" s="2"/>
      <c r="I3488" s="2" t="s">
        <v>20</v>
      </c>
      <c r="J3488" s="2" t="s">
        <v>1677</v>
      </c>
    </row>
    <row r="3489" spans="1:10" s="21" customFormat="1" x14ac:dyDescent="0.35">
      <c r="A3489" s="2" t="s">
        <v>1642</v>
      </c>
      <c r="B3489" s="2" t="s">
        <v>1675</v>
      </c>
      <c r="C3489" s="2" t="s">
        <v>24</v>
      </c>
      <c r="D3489" s="2" t="s">
        <v>1682</v>
      </c>
      <c r="E3489" s="2" t="s">
        <v>35</v>
      </c>
      <c r="F3489" s="2" t="s">
        <v>36</v>
      </c>
      <c r="G3489" s="2"/>
      <c r="H3489" s="2"/>
      <c r="I3489" s="2" t="s">
        <v>20</v>
      </c>
      <c r="J3489" s="2" t="s">
        <v>1677</v>
      </c>
    </row>
    <row r="3490" spans="1:10" s="21" customFormat="1" x14ac:dyDescent="0.35">
      <c r="A3490" s="2" t="s">
        <v>1642</v>
      </c>
      <c r="B3490" s="2" t="s">
        <v>1675</v>
      </c>
      <c r="C3490" s="2" t="s">
        <v>24</v>
      </c>
      <c r="D3490" s="2" t="s">
        <v>1682</v>
      </c>
      <c r="E3490" s="2" t="s">
        <v>176</v>
      </c>
      <c r="F3490" s="2" t="s">
        <v>40</v>
      </c>
      <c r="G3490" s="2"/>
      <c r="H3490" s="2"/>
      <c r="I3490" s="2" t="s">
        <v>20</v>
      </c>
      <c r="J3490" s="2" t="s">
        <v>1677</v>
      </c>
    </row>
    <row r="3491" spans="1:10" s="21" customFormat="1" x14ac:dyDescent="0.35">
      <c r="A3491" s="2" t="s">
        <v>1642</v>
      </c>
      <c r="B3491" s="2" t="s">
        <v>1675</v>
      </c>
      <c r="C3491" s="2" t="s">
        <v>24</v>
      </c>
      <c r="D3491" s="2" t="s">
        <v>1683</v>
      </c>
      <c r="E3491" s="2" t="s">
        <v>31</v>
      </c>
      <c r="F3491" s="2" t="s">
        <v>32</v>
      </c>
      <c r="G3491" s="2"/>
      <c r="H3491" s="2"/>
      <c r="I3491" s="2" t="s">
        <v>20</v>
      </c>
      <c r="J3491" s="2" t="s">
        <v>1677</v>
      </c>
    </row>
    <row r="3492" spans="1:10" s="21" customFormat="1" x14ac:dyDescent="0.35">
      <c r="A3492" s="2" t="s">
        <v>1642</v>
      </c>
      <c r="B3492" s="2" t="s">
        <v>1675</v>
      </c>
      <c r="C3492" s="2" t="s">
        <v>24</v>
      </c>
      <c r="D3492" s="2" t="s">
        <v>1683</v>
      </c>
      <c r="E3492" s="2" t="s">
        <v>35</v>
      </c>
      <c r="F3492" s="2" t="s">
        <v>36</v>
      </c>
      <c r="G3492" s="2"/>
      <c r="H3492" s="2"/>
      <c r="I3492" s="2" t="s">
        <v>20</v>
      </c>
      <c r="J3492" s="2" t="s">
        <v>1677</v>
      </c>
    </row>
    <row r="3493" spans="1:10" s="21" customFormat="1" x14ac:dyDescent="0.35">
      <c r="A3493" s="2" t="s">
        <v>1642</v>
      </c>
      <c r="B3493" s="2" t="s">
        <v>1675</v>
      </c>
      <c r="C3493" s="2" t="s">
        <v>24</v>
      </c>
      <c r="D3493" s="2" t="s">
        <v>1683</v>
      </c>
      <c r="E3493" s="2" t="s">
        <v>87</v>
      </c>
      <c r="F3493" s="2" t="s">
        <v>75</v>
      </c>
      <c r="G3493" s="2"/>
      <c r="H3493" s="2"/>
      <c r="I3493" s="2" t="s">
        <v>20</v>
      </c>
      <c r="J3493" s="2" t="s">
        <v>1677</v>
      </c>
    </row>
    <row r="3494" spans="1:10" s="21" customFormat="1" x14ac:dyDescent="0.35">
      <c r="A3494" s="2" t="s">
        <v>1642</v>
      </c>
      <c r="B3494" s="2" t="s">
        <v>1675</v>
      </c>
      <c r="C3494" s="2" t="s">
        <v>24</v>
      </c>
      <c r="D3494" s="2" t="s">
        <v>1683</v>
      </c>
      <c r="E3494" s="2" t="s">
        <v>18</v>
      </c>
      <c r="F3494" s="2" t="s">
        <v>1679</v>
      </c>
      <c r="G3494" s="2" t="s">
        <v>20</v>
      </c>
      <c r="H3494" s="2" t="s">
        <v>1684</v>
      </c>
      <c r="I3494" s="2" t="s">
        <v>20</v>
      </c>
      <c r="J3494" s="2" t="s">
        <v>1677</v>
      </c>
    </row>
    <row r="3495" spans="1:10" s="21" customFormat="1" x14ac:dyDescent="0.35">
      <c r="A3495" s="2" t="s">
        <v>1642</v>
      </c>
      <c r="B3495" s="2" t="s">
        <v>1675</v>
      </c>
      <c r="C3495" s="2" t="s">
        <v>24</v>
      </c>
      <c r="D3495" s="2" t="s">
        <v>1683</v>
      </c>
      <c r="E3495" s="2" t="s">
        <v>61</v>
      </c>
      <c r="F3495" s="2" t="s">
        <v>30</v>
      </c>
      <c r="G3495" s="2"/>
      <c r="H3495" s="2"/>
      <c r="I3495" s="2" t="s">
        <v>20</v>
      </c>
      <c r="J3495" s="2" t="s">
        <v>1677</v>
      </c>
    </row>
    <row r="3496" spans="1:10" x14ac:dyDescent="0.35">
      <c r="A3496" s="2" t="s">
        <v>1642</v>
      </c>
      <c r="B3496" s="2" t="s">
        <v>1675</v>
      </c>
      <c r="C3496" s="2" t="s">
        <v>12</v>
      </c>
      <c r="D3496" s="2" t="s">
        <v>1685</v>
      </c>
      <c r="E3496" s="2" t="s">
        <v>121</v>
      </c>
      <c r="F3496" s="2" t="s">
        <v>122</v>
      </c>
      <c r="G3496" s="2"/>
      <c r="H3496" s="2"/>
      <c r="I3496" s="2" t="s">
        <v>20</v>
      </c>
      <c r="J3496" s="2" t="s">
        <v>1677</v>
      </c>
    </row>
    <row r="3497" spans="1:10" x14ac:dyDescent="0.35">
      <c r="A3497" s="2" t="s">
        <v>1642</v>
      </c>
      <c r="B3497" s="2" t="s">
        <v>1675</v>
      </c>
      <c r="C3497" s="2" t="s">
        <v>12</v>
      </c>
      <c r="D3497" s="2" t="s">
        <v>1685</v>
      </c>
      <c r="E3497" s="2" t="s">
        <v>393</v>
      </c>
      <c r="F3497" s="2" t="s">
        <v>36</v>
      </c>
      <c r="G3497" s="2"/>
      <c r="H3497" s="2"/>
      <c r="I3497" s="2" t="s">
        <v>20</v>
      </c>
      <c r="J3497" s="2" t="s">
        <v>1677</v>
      </c>
    </row>
    <row r="3498" spans="1:10" x14ac:dyDescent="0.35">
      <c r="A3498" s="2" t="s">
        <v>1642</v>
      </c>
      <c r="B3498" s="2" t="s">
        <v>1675</v>
      </c>
      <c r="C3498" s="2" t="s">
        <v>12</v>
      </c>
      <c r="D3498" s="2" t="s">
        <v>1685</v>
      </c>
      <c r="E3498" s="2" t="s">
        <v>87</v>
      </c>
      <c r="F3498" s="2" t="s">
        <v>75</v>
      </c>
      <c r="G3498" s="2" t="s">
        <v>20</v>
      </c>
      <c r="H3498" s="2" t="s">
        <v>1686</v>
      </c>
      <c r="I3498" s="2" t="s">
        <v>20</v>
      </c>
      <c r="J3498" s="2" t="s">
        <v>1677</v>
      </c>
    </row>
    <row r="3499" spans="1:10" x14ac:dyDescent="0.35">
      <c r="A3499" s="2" t="s">
        <v>1642</v>
      </c>
      <c r="B3499" s="2" t="s">
        <v>1675</v>
      </c>
      <c r="C3499" s="2" t="s">
        <v>12</v>
      </c>
      <c r="D3499" s="2" t="s">
        <v>1685</v>
      </c>
      <c r="E3499" s="2" t="s">
        <v>18</v>
      </c>
      <c r="F3499" s="2" t="s">
        <v>1679</v>
      </c>
      <c r="G3499" s="2" t="s">
        <v>20</v>
      </c>
      <c r="H3499" s="2" t="s">
        <v>236</v>
      </c>
      <c r="I3499" s="2" t="s">
        <v>20</v>
      </c>
      <c r="J3499" s="2" t="s">
        <v>1677</v>
      </c>
    </row>
    <row r="3500" spans="1:10" x14ac:dyDescent="0.35">
      <c r="A3500" s="2" t="s">
        <v>1642</v>
      </c>
      <c r="B3500" s="2" t="s">
        <v>1675</v>
      </c>
      <c r="C3500" s="2" t="s">
        <v>12</v>
      </c>
      <c r="D3500" s="2" t="s">
        <v>1685</v>
      </c>
      <c r="E3500" s="2" t="s">
        <v>149</v>
      </c>
      <c r="F3500" s="2" t="s">
        <v>847</v>
      </c>
      <c r="G3500" s="2" t="s">
        <v>20</v>
      </c>
      <c r="H3500" s="2" t="s">
        <v>1687</v>
      </c>
      <c r="I3500" s="2" t="s">
        <v>20</v>
      </c>
      <c r="J3500" s="2" t="s">
        <v>1677</v>
      </c>
    </row>
    <row r="3501" spans="1:10" x14ac:dyDescent="0.35">
      <c r="A3501" s="2" t="s">
        <v>1642</v>
      </c>
      <c r="B3501" s="2" t="s">
        <v>1675</v>
      </c>
      <c r="C3501" s="2" t="s">
        <v>24</v>
      </c>
      <c r="D3501" s="2" t="s">
        <v>1688</v>
      </c>
      <c r="E3501" s="2" t="s">
        <v>1172</v>
      </c>
      <c r="F3501" s="2" t="s">
        <v>1650</v>
      </c>
      <c r="G3501" s="2" t="s">
        <v>46</v>
      </c>
      <c r="H3501" s="2" t="s">
        <v>1689</v>
      </c>
      <c r="I3501" s="2" t="s">
        <v>20</v>
      </c>
      <c r="J3501" s="2" t="s">
        <v>1677</v>
      </c>
    </row>
    <row r="3502" spans="1:10" x14ac:dyDescent="0.35">
      <c r="A3502" s="2" t="s">
        <v>1642</v>
      </c>
      <c r="B3502" s="2" t="s">
        <v>1675</v>
      </c>
      <c r="C3502" s="2" t="s">
        <v>24</v>
      </c>
      <c r="D3502" s="2" t="s">
        <v>1688</v>
      </c>
      <c r="E3502" s="2" t="s">
        <v>31</v>
      </c>
      <c r="F3502" s="2" t="s">
        <v>32</v>
      </c>
      <c r="G3502" s="2" t="s">
        <v>46</v>
      </c>
      <c r="H3502" s="2" t="s">
        <v>1689</v>
      </c>
      <c r="I3502" s="2" t="s">
        <v>20</v>
      </c>
      <c r="J3502" s="2" t="s">
        <v>1677</v>
      </c>
    </row>
    <row r="3503" spans="1:10" x14ac:dyDescent="0.35">
      <c r="A3503" s="2" t="s">
        <v>1642</v>
      </c>
      <c r="B3503" s="2" t="s">
        <v>1675</v>
      </c>
      <c r="C3503" s="2" t="s">
        <v>24</v>
      </c>
      <c r="D3503" s="2" t="s">
        <v>1688</v>
      </c>
      <c r="E3503" s="2" t="s">
        <v>121</v>
      </c>
      <c r="F3503" s="2" t="s">
        <v>122</v>
      </c>
      <c r="G3503" s="2" t="s">
        <v>46</v>
      </c>
      <c r="H3503" s="2" t="s">
        <v>1689</v>
      </c>
      <c r="I3503" s="2" t="s">
        <v>20</v>
      </c>
      <c r="J3503" s="2" t="s">
        <v>1677</v>
      </c>
    </row>
    <row r="3504" spans="1:10" x14ac:dyDescent="0.35">
      <c r="A3504" s="2" t="s">
        <v>1642</v>
      </c>
      <c r="B3504" s="2" t="s">
        <v>1675</v>
      </c>
      <c r="C3504" s="2" t="s">
        <v>24</v>
      </c>
      <c r="D3504" s="2" t="s">
        <v>1688</v>
      </c>
      <c r="E3504" s="2" t="s">
        <v>87</v>
      </c>
      <c r="F3504" s="2" t="s">
        <v>75</v>
      </c>
      <c r="G3504" s="2" t="s">
        <v>46</v>
      </c>
      <c r="H3504" s="2" t="s">
        <v>1689</v>
      </c>
      <c r="I3504" s="2" t="s">
        <v>20</v>
      </c>
      <c r="J3504" s="2" t="s">
        <v>1677</v>
      </c>
    </row>
    <row r="3505" spans="1:10" x14ac:dyDescent="0.35">
      <c r="A3505" s="2" t="s">
        <v>1642</v>
      </c>
      <c r="B3505" s="2" t="s">
        <v>1675</v>
      </c>
      <c r="C3505" s="2" t="s">
        <v>24</v>
      </c>
      <c r="D3505" s="2" t="s">
        <v>1688</v>
      </c>
      <c r="E3505" s="2" t="s">
        <v>61</v>
      </c>
      <c r="F3505" s="2" t="s">
        <v>30</v>
      </c>
      <c r="G3505" s="2" t="s">
        <v>46</v>
      </c>
      <c r="H3505" s="2" t="s">
        <v>1689</v>
      </c>
      <c r="I3505" s="2" t="s">
        <v>20</v>
      </c>
      <c r="J3505" s="2" t="s">
        <v>1677</v>
      </c>
    </row>
    <row r="3506" spans="1:10" x14ac:dyDescent="0.35">
      <c r="A3506" s="2" t="s">
        <v>1642</v>
      </c>
      <c r="B3506" s="2" t="s">
        <v>1675</v>
      </c>
      <c r="C3506" s="2" t="s">
        <v>24</v>
      </c>
      <c r="D3506" s="2" t="s">
        <v>1688</v>
      </c>
      <c r="E3506" s="2" t="s">
        <v>149</v>
      </c>
      <c r="F3506" s="2" t="s">
        <v>847</v>
      </c>
      <c r="G3506" s="2" t="s">
        <v>46</v>
      </c>
      <c r="H3506" s="2" t="s">
        <v>1689</v>
      </c>
      <c r="I3506" s="2" t="s">
        <v>20</v>
      </c>
      <c r="J3506" s="2" t="s">
        <v>1677</v>
      </c>
    </row>
    <row r="3507" spans="1:10" x14ac:dyDescent="0.35">
      <c r="A3507" s="2" t="s">
        <v>1642</v>
      </c>
      <c r="B3507" s="2" t="s">
        <v>1675</v>
      </c>
      <c r="C3507" s="2" t="s">
        <v>62</v>
      </c>
      <c r="D3507" s="2" t="s">
        <v>1690</v>
      </c>
      <c r="E3507" s="2" t="s">
        <v>170</v>
      </c>
      <c r="F3507" s="2" t="s">
        <v>30</v>
      </c>
      <c r="G3507" s="2"/>
      <c r="H3507" s="2"/>
      <c r="I3507" s="2" t="s">
        <v>20</v>
      </c>
      <c r="J3507" s="2" t="s">
        <v>1677</v>
      </c>
    </row>
    <row r="3508" spans="1:10" x14ac:dyDescent="0.35">
      <c r="A3508" s="2" t="s">
        <v>1642</v>
      </c>
      <c r="B3508" s="2" t="s">
        <v>1675</v>
      </c>
      <c r="C3508" s="2" t="s">
        <v>62</v>
      </c>
      <c r="D3508" s="2" t="s">
        <v>1690</v>
      </c>
      <c r="E3508" s="2" t="s">
        <v>91</v>
      </c>
      <c r="F3508" s="2" t="s">
        <v>1679</v>
      </c>
      <c r="G3508" s="2" t="s">
        <v>20</v>
      </c>
      <c r="H3508" s="2" t="s">
        <v>1691</v>
      </c>
      <c r="I3508" s="2" t="s">
        <v>20</v>
      </c>
      <c r="J3508" s="2" t="s">
        <v>1677</v>
      </c>
    </row>
    <row r="3509" spans="1:10" x14ac:dyDescent="0.35">
      <c r="A3509" s="2" t="s">
        <v>1642</v>
      </c>
      <c r="B3509" s="2" t="s">
        <v>1675</v>
      </c>
      <c r="C3509" s="2" t="s">
        <v>62</v>
      </c>
      <c r="D3509" s="2" t="s">
        <v>1690</v>
      </c>
      <c r="E3509" s="2" t="s">
        <v>149</v>
      </c>
      <c r="F3509" s="2" t="s">
        <v>847</v>
      </c>
      <c r="G3509" s="2" t="s">
        <v>20</v>
      </c>
      <c r="H3509" s="2" t="s">
        <v>1692</v>
      </c>
      <c r="I3509" s="2" t="s">
        <v>20</v>
      </c>
      <c r="J3509" s="2" t="s">
        <v>1677</v>
      </c>
    </row>
    <row r="3510" spans="1:10" s="21" customFormat="1" x14ac:dyDescent="0.35">
      <c r="A3510" s="2" t="s">
        <v>1642</v>
      </c>
      <c r="B3510" s="2" t="s">
        <v>1675</v>
      </c>
      <c r="C3510" s="2" t="s">
        <v>62</v>
      </c>
      <c r="D3510" s="2" t="s">
        <v>1693</v>
      </c>
      <c r="E3510" s="2" t="s">
        <v>1368</v>
      </c>
      <c r="F3510" s="2" t="s">
        <v>122</v>
      </c>
      <c r="G3510" s="2"/>
      <c r="H3510" s="2"/>
      <c r="I3510" s="2" t="s">
        <v>20</v>
      </c>
      <c r="J3510" s="2" t="s">
        <v>1677</v>
      </c>
    </row>
    <row r="3511" spans="1:10" s="21" customFormat="1" x14ac:dyDescent="0.35">
      <c r="A3511" s="2" t="s">
        <v>1642</v>
      </c>
      <c r="B3511" s="2" t="s">
        <v>1675</v>
      </c>
      <c r="C3511" s="2" t="s">
        <v>62</v>
      </c>
      <c r="D3511" s="2" t="s">
        <v>1693</v>
      </c>
      <c r="E3511" s="2" t="s">
        <v>393</v>
      </c>
      <c r="F3511" s="2" t="s">
        <v>36</v>
      </c>
      <c r="G3511" s="2"/>
      <c r="H3511" s="2"/>
      <c r="I3511" s="2" t="s">
        <v>20</v>
      </c>
      <c r="J3511" s="2" t="s">
        <v>1677</v>
      </c>
    </row>
    <row r="3512" spans="1:10" s="21" customFormat="1" x14ac:dyDescent="0.35">
      <c r="A3512" s="2" t="s">
        <v>1642</v>
      </c>
      <c r="B3512" s="2" t="s">
        <v>1675</v>
      </c>
      <c r="C3512" s="2" t="s">
        <v>62</v>
      </c>
      <c r="D3512" s="2" t="s">
        <v>1693</v>
      </c>
      <c r="E3512" s="2" t="s">
        <v>87</v>
      </c>
      <c r="F3512" s="2" t="s">
        <v>75</v>
      </c>
      <c r="G3512" s="2" t="s">
        <v>20</v>
      </c>
      <c r="H3512" s="2" t="s">
        <v>1694</v>
      </c>
      <c r="I3512" s="2" t="s">
        <v>20</v>
      </c>
      <c r="J3512" s="2" t="s">
        <v>1677</v>
      </c>
    </row>
    <row r="3513" spans="1:10" x14ac:dyDescent="0.35">
      <c r="A3513" s="2" t="s">
        <v>1642</v>
      </c>
      <c r="B3513" s="2" t="s">
        <v>1675</v>
      </c>
      <c r="C3513" s="2" t="s">
        <v>62</v>
      </c>
      <c r="D3513" s="2" t="s">
        <v>1695</v>
      </c>
      <c r="E3513" s="2" t="s">
        <v>38</v>
      </c>
      <c r="F3513" s="2" t="s">
        <v>38</v>
      </c>
      <c r="G3513" s="2"/>
      <c r="H3513" s="2"/>
      <c r="I3513" s="2" t="s">
        <v>20</v>
      </c>
      <c r="J3513" s="2" t="s">
        <v>1677</v>
      </c>
    </row>
    <row r="3514" spans="1:10" x14ac:dyDescent="0.35">
      <c r="A3514" s="2" t="s">
        <v>1642</v>
      </c>
      <c r="B3514" s="2" t="s">
        <v>1675</v>
      </c>
      <c r="C3514" s="2" t="s">
        <v>62</v>
      </c>
      <c r="D3514" s="2" t="s">
        <v>1695</v>
      </c>
      <c r="E3514" s="2" t="s">
        <v>393</v>
      </c>
      <c r="F3514" s="2" t="s">
        <v>36</v>
      </c>
      <c r="G3514" s="2"/>
      <c r="H3514" s="2"/>
      <c r="I3514" s="2" t="s">
        <v>20</v>
      </c>
      <c r="J3514" s="2" t="s">
        <v>1677</v>
      </c>
    </row>
    <row r="3515" spans="1:10" x14ac:dyDescent="0.35">
      <c r="A3515" s="2" t="s">
        <v>1642</v>
      </c>
      <c r="B3515" s="2" t="s">
        <v>1675</v>
      </c>
      <c r="C3515" s="2" t="s">
        <v>62</v>
      </c>
      <c r="D3515" s="2" t="s">
        <v>1695</v>
      </c>
      <c r="E3515" s="2" t="s">
        <v>1696</v>
      </c>
      <c r="F3515" s="2" t="s">
        <v>75</v>
      </c>
      <c r="G3515" s="2" t="s">
        <v>20</v>
      </c>
      <c r="H3515" s="2" t="s">
        <v>1697</v>
      </c>
      <c r="I3515" s="2" t="s">
        <v>20</v>
      </c>
      <c r="J3515" s="2" t="s">
        <v>1677</v>
      </c>
    </row>
    <row r="3516" spans="1:10" x14ac:dyDescent="0.35">
      <c r="A3516" s="2" t="s">
        <v>1642</v>
      </c>
      <c r="B3516" s="2" t="s">
        <v>1675</v>
      </c>
      <c r="C3516" s="2" t="s">
        <v>62</v>
      </c>
      <c r="D3516" s="2" t="s">
        <v>1695</v>
      </c>
      <c r="E3516" s="2" t="s">
        <v>1681</v>
      </c>
      <c r="F3516" s="2" t="s">
        <v>1650</v>
      </c>
      <c r="G3516" s="2"/>
      <c r="H3516" s="2"/>
      <c r="I3516" s="2" t="s">
        <v>20</v>
      </c>
      <c r="J3516" s="2" t="s">
        <v>1677</v>
      </c>
    </row>
    <row r="3517" spans="1:10" x14ac:dyDescent="0.35">
      <c r="A3517" s="2" t="s">
        <v>1642</v>
      </c>
      <c r="B3517" s="2" t="s">
        <v>1675</v>
      </c>
      <c r="C3517" s="2" t="s">
        <v>62</v>
      </c>
      <c r="D3517" s="2" t="s">
        <v>1698</v>
      </c>
      <c r="E3517" s="2" t="s">
        <v>121</v>
      </c>
      <c r="F3517" s="2" t="s">
        <v>122</v>
      </c>
      <c r="G3517" s="2"/>
      <c r="H3517" s="2"/>
      <c r="I3517" s="2" t="s">
        <v>20</v>
      </c>
      <c r="J3517" s="2" t="s">
        <v>1677</v>
      </c>
    </row>
    <row r="3518" spans="1:10" x14ac:dyDescent="0.35">
      <c r="A3518" s="2" t="s">
        <v>1642</v>
      </c>
      <c r="B3518" s="2" t="s">
        <v>1675</v>
      </c>
      <c r="C3518" s="2" t="s">
        <v>62</v>
      </c>
      <c r="D3518" s="2" t="s">
        <v>1698</v>
      </c>
      <c r="E3518" s="2" t="s">
        <v>87</v>
      </c>
      <c r="F3518" s="2" t="s">
        <v>75</v>
      </c>
      <c r="G3518" s="2" t="s">
        <v>20</v>
      </c>
      <c r="H3518" s="2" t="s">
        <v>1699</v>
      </c>
      <c r="I3518" s="2" t="s">
        <v>20</v>
      </c>
      <c r="J3518" s="2" t="s">
        <v>1677</v>
      </c>
    </row>
    <row r="3519" spans="1:10" x14ac:dyDescent="0.35">
      <c r="A3519" s="2" t="s">
        <v>1642</v>
      </c>
      <c r="B3519" s="2" t="s">
        <v>1675</v>
      </c>
      <c r="C3519" s="2" t="s">
        <v>62</v>
      </c>
      <c r="D3519" s="2" t="s">
        <v>1698</v>
      </c>
      <c r="E3519" s="2" t="s">
        <v>18</v>
      </c>
      <c r="F3519" s="2" t="s">
        <v>1679</v>
      </c>
      <c r="G3519" s="2" t="s">
        <v>20</v>
      </c>
      <c r="H3519" s="2" t="s">
        <v>1700</v>
      </c>
      <c r="I3519" s="2" t="s">
        <v>20</v>
      </c>
      <c r="J3519" s="2" t="s">
        <v>1677</v>
      </c>
    </row>
    <row r="3520" spans="1:10" x14ac:dyDescent="0.35">
      <c r="A3520" s="2" t="s">
        <v>1642</v>
      </c>
      <c r="B3520" s="2" t="s">
        <v>1675</v>
      </c>
      <c r="C3520" s="2" t="s">
        <v>62</v>
      </c>
      <c r="D3520" s="2" t="s">
        <v>1698</v>
      </c>
      <c r="E3520" s="2" t="s">
        <v>1701</v>
      </c>
      <c r="F3520" s="2" t="s">
        <v>30</v>
      </c>
      <c r="G3520" s="2"/>
      <c r="H3520" s="2"/>
      <c r="I3520" s="2" t="s">
        <v>20</v>
      </c>
      <c r="J3520" s="2" t="s">
        <v>1677</v>
      </c>
    </row>
    <row r="3521" spans="1:10" x14ac:dyDescent="0.35">
      <c r="A3521" s="2" t="s">
        <v>1642</v>
      </c>
      <c r="B3521" s="2" t="s">
        <v>1675</v>
      </c>
      <c r="C3521" s="2" t="s">
        <v>12</v>
      </c>
      <c r="D3521" s="2" t="s">
        <v>1702</v>
      </c>
      <c r="E3521" s="2" t="s">
        <v>1172</v>
      </c>
      <c r="F3521" s="2" t="s">
        <v>1650</v>
      </c>
      <c r="G3521" s="2"/>
      <c r="H3521" s="2"/>
      <c r="I3521" s="2" t="s">
        <v>20</v>
      </c>
      <c r="J3521" s="2" t="s">
        <v>1677</v>
      </c>
    </row>
    <row r="3522" spans="1:10" x14ac:dyDescent="0.35">
      <c r="A3522" s="2" t="s">
        <v>1642</v>
      </c>
      <c r="B3522" s="2" t="s">
        <v>1675</v>
      </c>
      <c r="C3522" s="2" t="s">
        <v>12</v>
      </c>
      <c r="D3522" s="2" t="s">
        <v>1702</v>
      </c>
      <c r="E3522" s="2" t="s">
        <v>393</v>
      </c>
      <c r="F3522" s="2" t="s">
        <v>36</v>
      </c>
      <c r="G3522" s="2"/>
      <c r="H3522" s="2"/>
      <c r="I3522" s="2" t="s">
        <v>20</v>
      </c>
      <c r="J3522" s="2" t="s">
        <v>1677</v>
      </c>
    </row>
    <row r="3523" spans="1:10" x14ac:dyDescent="0.35">
      <c r="A3523" s="2" t="s">
        <v>1642</v>
      </c>
      <c r="B3523" s="2" t="s">
        <v>1675</v>
      </c>
      <c r="C3523" s="2" t="s">
        <v>12</v>
      </c>
      <c r="D3523" s="2" t="s">
        <v>1702</v>
      </c>
      <c r="E3523" s="2" t="s">
        <v>87</v>
      </c>
      <c r="F3523" s="2" t="s">
        <v>75</v>
      </c>
      <c r="G3523" s="2" t="s">
        <v>20</v>
      </c>
      <c r="H3523" s="2" t="s">
        <v>1703</v>
      </c>
      <c r="I3523" s="2" t="s">
        <v>20</v>
      </c>
      <c r="J3523" s="2" t="s">
        <v>1677</v>
      </c>
    </row>
    <row r="3524" spans="1:10" x14ac:dyDescent="0.35">
      <c r="A3524" s="2" t="s">
        <v>1642</v>
      </c>
      <c r="B3524" s="2" t="s">
        <v>1675</v>
      </c>
      <c r="C3524" s="2" t="s">
        <v>12</v>
      </c>
      <c r="D3524" s="2" t="s">
        <v>1702</v>
      </c>
      <c r="E3524" s="2" t="s">
        <v>61</v>
      </c>
      <c r="F3524" s="2" t="s">
        <v>30</v>
      </c>
      <c r="G3524" s="2"/>
      <c r="H3524" s="2"/>
      <c r="I3524" s="2" t="s">
        <v>20</v>
      </c>
      <c r="J3524" s="2" t="s">
        <v>1677</v>
      </c>
    </row>
    <row r="3525" spans="1:10" x14ac:dyDescent="0.35">
      <c r="A3525" s="2" t="s">
        <v>1642</v>
      </c>
      <c r="B3525" s="2" t="s">
        <v>1675</v>
      </c>
      <c r="C3525" s="2" t="s">
        <v>12</v>
      </c>
      <c r="D3525" s="2" t="s">
        <v>1702</v>
      </c>
      <c r="E3525" s="2" t="s">
        <v>1704</v>
      </c>
      <c r="F3525" s="2" t="s">
        <v>1650</v>
      </c>
      <c r="G3525" s="2"/>
      <c r="H3525" s="2"/>
      <c r="I3525" s="2" t="s">
        <v>20</v>
      </c>
      <c r="J3525" s="2" t="s">
        <v>1677</v>
      </c>
    </row>
    <row r="3526" spans="1:10" x14ac:dyDescent="0.35">
      <c r="A3526" s="2" t="s">
        <v>1642</v>
      </c>
      <c r="B3526" s="2" t="s">
        <v>1675</v>
      </c>
      <c r="C3526" s="2" t="s">
        <v>24</v>
      </c>
      <c r="D3526" s="2" t="s">
        <v>1705</v>
      </c>
      <c r="E3526" s="2" t="s">
        <v>74</v>
      </c>
      <c r="F3526" s="2" t="s">
        <v>75</v>
      </c>
      <c r="G3526" s="2" t="s">
        <v>20</v>
      </c>
      <c r="H3526" s="2" t="s">
        <v>1706</v>
      </c>
      <c r="I3526" s="2" t="s">
        <v>20</v>
      </c>
      <c r="J3526" s="2" t="s">
        <v>1677</v>
      </c>
    </row>
    <row r="3527" spans="1:10" x14ac:dyDescent="0.35">
      <c r="A3527" s="2" t="s">
        <v>1642</v>
      </c>
      <c r="B3527" s="2" t="s">
        <v>1675</v>
      </c>
      <c r="C3527" s="2" t="s">
        <v>24</v>
      </c>
      <c r="D3527" s="2" t="s">
        <v>1705</v>
      </c>
      <c r="E3527" s="2" t="s">
        <v>91</v>
      </c>
      <c r="F3527" s="2" t="s">
        <v>1679</v>
      </c>
      <c r="G3527" s="2" t="s">
        <v>20</v>
      </c>
      <c r="H3527" s="2" t="s">
        <v>1706</v>
      </c>
      <c r="I3527" s="2" t="s">
        <v>20</v>
      </c>
      <c r="J3527" s="2" t="s">
        <v>1677</v>
      </c>
    </row>
    <row r="3528" spans="1:10" x14ac:dyDescent="0.35">
      <c r="A3528" s="2" t="s">
        <v>1642</v>
      </c>
      <c r="B3528" s="2" t="s">
        <v>1675</v>
      </c>
      <c r="C3528" s="2" t="s">
        <v>24</v>
      </c>
      <c r="D3528" s="2" t="s">
        <v>1707</v>
      </c>
      <c r="E3528" s="2" t="s">
        <v>31</v>
      </c>
      <c r="F3528" s="2" t="s">
        <v>32</v>
      </c>
      <c r="G3528" s="2" t="s">
        <v>46</v>
      </c>
      <c r="H3528" s="2" t="s">
        <v>1689</v>
      </c>
      <c r="I3528" s="2" t="s">
        <v>20</v>
      </c>
      <c r="J3528" s="2" t="s">
        <v>1677</v>
      </c>
    </row>
    <row r="3529" spans="1:10" x14ac:dyDescent="0.35">
      <c r="A3529" s="2" t="s">
        <v>1642</v>
      </c>
      <c r="B3529" s="2" t="s">
        <v>1675</v>
      </c>
      <c r="C3529" s="2" t="s">
        <v>24</v>
      </c>
      <c r="D3529" s="2" t="s">
        <v>1707</v>
      </c>
      <c r="E3529" s="2" t="s">
        <v>82</v>
      </c>
      <c r="F3529" s="2" t="s">
        <v>83</v>
      </c>
      <c r="G3529" s="2" t="s">
        <v>46</v>
      </c>
      <c r="H3529" s="2" t="s">
        <v>1689</v>
      </c>
      <c r="I3529" s="2" t="s">
        <v>20</v>
      </c>
      <c r="J3529" s="2" t="s">
        <v>1677</v>
      </c>
    </row>
    <row r="3530" spans="1:10" x14ac:dyDescent="0.35">
      <c r="A3530" s="2" t="s">
        <v>1642</v>
      </c>
      <c r="B3530" s="2" t="s">
        <v>1675</v>
      </c>
      <c r="C3530" s="2" t="s">
        <v>24</v>
      </c>
      <c r="D3530" s="2" t="s">
        <v>1707</v>
      </c>
      <c r="E3530" s="2" t="s">
        <v>38</v>
      </c>
      <c r="F3530" s="2" t="s">
        <v>38</v>
      </c>
      <c r="G3530" s="2" t="s">
        <v>46</v>
      </c>
      <c r="H3530" s="2" t="s">
        <v>1689</v>
      </c>
      <c r="I3530" s="2" t="s">
        <v>20</v>
      </c>
      <c r="J3530" s="2" t="s">
        <v>1677</v>
      </c>
    </row>
    <row r="3531" spans="1:10" x14ac:dyDescent="0.35">
      <c r="A3531" s="2" t="s">
        <v>1642</v>
      </c>
      <c r="B3531" s="2" t="s">
        <v>1675</v>
      </c>
      <c r="C3531" s="2" t="s">
        <v>24</v>
      </c>
      <c r="D3531" s="2" t="s">
        <v>1707</v>
      </c>
      <c r="E3531" s="2" t="s">
        <v>87</v>
      </c>
      <c r="F3531" s="2" t="s">
        <v>75</v>
      </c>
      <c r="G3531" s="2" t="s">
        <v>46</v>
      </c>
      <c r="H3531" s="2" t="s">
        <v>1689</v>
      </c>
      <c r="I3531" s="2" t="s">
        <v>20</v>
      </c>
      <c r="J3531" s="2" t="s">
        <v>1677</v>
      </c>
    </row>
    <row r="3532" spans="1:10" x14ac:dyDescent="0.35">
      <c r="A3532" s="2" t="s">
        <v>1642</v>
      </c>
      <c r="B3532" s="2" t="s">
        <v>1675</v>
      </c>
      <c r="C3532" s="2" t="s">
        <v>24</v>
      </c>
      <c r="D3532" s="2" t="s">
        <v>1707</v>
      </c>
      <c r="E3532" s="2" t="s">
        <v>18</v>
      </c>
      <c r="F3532" s="2" t="s">
        <v>1679</v>
      </c>
      <c r="G3532" s="2" t="s">
        <v>46</v>
      </c>
      <c r="H3532" s="2" t="s">
        <v>1689</v>
      </c>
      <c r="I3532" s="2" t="s">
        <v>20</v>
      </c>
      <c r="J3532" s="2" t="s">
        <v>1677</v>
      </c>
    </row>
    <row r="3533" spans="1:10" x14ac:dyDescent="0.35">
      <c r="A3533" s="2" t="s">
        <v>1642</v>
      </c>
      <c r="B3533" s="2" t="s">
        <v>1675</v>
      </c>
      <c r="C3533" s="2" t="s">
        <v>24</v>
      </c>
      <c r="D3533" s="2" t="s">
        <v>1707</v>
      </c>
      <c r="E3533" s="2" t="s">
        <v>1681</v>
      </c>
      <c r="F3533" s="2" t="s">
        <v>1650</v>
      </c>
      <c r="G3533" s="2" t="s">
        <v>46</v>
      </c>
      <c r="H3533" s="2" t="s">
        <v>1689</v>
      </c>
      <c r="I3533" s="2" t="s">
        <v>20</v>
      </c>
      <c r="J3533" s="2" t="s">
        <v>1677</v>
      </c>
    </row>
    <row r="3534" spans="1:10" x14ac:dyDescent="0.35">
      <c r="A3534" s="2" t="s">
        <v>1642</v>
      </c>
      <c r="B3534" s="2" t="s">
        <v>1675</v>
      </c>
      <c r="C3534" s="2" t="s">
        <v>24</v>
      </c>
      <c r="D3534" s="2" t="s">
        <v>1707</v>
      </c>
      <c r="E3534" s="2" t="s">
        <v>61</v>
      </c>
      <c r="F3534" s="2" t="s">
        <v>30</v>
      </c>
      <c r="G3534" s="2" t="s">
        <v>46</v>
      </c>
      <c r="H3534" s="2" t="s">
        <v>1689</v>
      </c>
      <c r="I3534" s="2" t="s">
        <v>20</v>
      </c>
      <c r="J3534" s="2" t="s">
        <v>1677</v>
      </c>
    </row>
    <row r="3535" spans="1:10" x14ac:dyDescent="0.35">
      <c r="A3535" s="2" t="s">
        <v>1642</v>
      </c>
      <c r="B3535" s="2" t="s">
        <v>1675</v>
      </c>
      <c r="C3535" s="2" t="s">
        <v>62</v>
      </c>
      <c r="D3535" s="2" t="s">
        <v>1708</v>
      </c>
      <c r="E3535" s="2" t="s">
        <v>74</v>
      </c>
      <c r="F3535" s="2" t="s">
        <v>75</v>
      </c>
      <c r="G3535" s="2" t="s">
        <v>20</v>
      </c>
      <c r="H3535" s="2" t="s">
        <v>1709</v>
      </c>
      <c r="I3535" s="2" t="s">
        <v>20</v>
      </c>
      <c r="J3535" s="2" t="s">
        <v>1677</v>
      </c>
    </row>
    <row r="3536" spans="1:10" x14ac:dyDescent="0.35">
      <c r="A3536" s="2" t="s">
        <v>1642</v>
      </c>
      <c r="B3536" s="2" t="s">
        <v>1675</v>
      </c>
      <c r="C3536" s="2" t="s">
        <v>62</v>
      </c>
      <c r="D3536" s="2" t="s">
        <v>1708</v>
      </c>
      <c r="E3536" s="2" t="s">
        <v>14</v>
      </c>
      <c r="F3536" s="2" t="s">
        <v>15</v>
      </c>
      <c r="G3536" s="2"/>
      <c r="H3536" s="2"/>
      <c r="I3536" s="2" t="s">
        <v>20</v>
      </c>
      <c r="J3536" s="2" t="s">
        <v>1677</v>
      </c>
    </row>
    <row r="3537" spans="1:10" x14ac:dyDescent="0.35">
      <c r="A3537" s="2" t="s">
        <v>1642</v>
      </c>
      <c r="B3537" s="2" t="s">
        <v>1675</v>
      </c>
      <c r="C3537" s="2" t="s">
        <v>62</v>
      </c>
      <c r="D3537" s="2" t="s">
        <v>1708</v>
      </c>
      <c r="E3537" s="2" t="s">
        <v>136</v>
      </c>
      <c r="F3537" s="2" t="s">
        <v>1650</v>
      </c>
      <c r="G3537" s="2"/>
      <c r="H3537" s="2"/>
      <c r="I3537" s="2" t="s">
        <v>20</v>
      </c>
      <c r="J3537" s="2" t="s">
        <v>1677</v>
      </c>
    </row>
    <row r="3538" spans="1:10" x14ac:dyDescent="0.35">
      <c r="A3538" s="2" t="s">
        <v>1642</v>
      </c>
      <c r="B3538" s="2" t="s">
        <v>1675</v>
      </c>
      <c r="C3538" s="2" t="s">
        <v>62</v>
      </c>
      <c r="D3538" s="2" t="s">
        <v>1708</v>
      </c>
      <c r="E3538" s="2" t="s">
        <v>35</v>
      </c>
      <c r="F3538" s="2" t="s">
        <v>36</v>
      </c>
      <c r="G3538" s="2"/>
      <c r="H3538" s="2"/>
      <c r="I3538" s="2" t="s">
        <v>20</v>
      </c>
      <c r="J3538" s="2" t="s">
        <v>1677</v>
      </c>
    </row>
    <row r="3539" spans="1:10" x14ac:dyDescent="0.35">
      <c r="A3539" s="2" t="s">
        <v>1642</v>
      </c>
      <c r="B3539" s="2" t="s">
        <v>1675</v>
      </c>
      <c r="C3539" s="2" t="s">
        <v>62</v>
      </c>
      <c r="D3539" s="2" t="s">
        <v>1708</v>
      </c>
      <c r="E3539" s="2" t="s">
        <v>1710</v>
      </c>
      <c r="F3539" s="2" t="s">
        <v>1679</v>
      </c>
      <c r="G3539" s="2" t="s">
        <v>20</v>
      </c>
      <c r="H3539" s="2" t="s">
        <v>1709</v>
      </c>
      <c r="I3539" s="2" t="s">
        <v>20</v>
      </c>
      <c r="J3539" s="2" t="s">
        <v>1677</v>
      </c>
    </row>
    <row r="3540" spans="1:10" x14ac:dyDescent="0.35">
      <c r="A3540" s="2" t="s">
        <v>1642</v>
      </c>
      <c r="B3540" s="2" t="s">
        <v>1675</v>
      </c>
      <c r="C3540" s="2" t="s">
        <v>62</v>
      </c>
      <c r="D3540" s="2" t="s">
        <v>1708</v>
      </c>
      <c r="E3540" s="2" t="s">
        <v>18</v>
      </c>
      <c r="F3540" s="2" t="s">
        <v>1679</v>
      </c>
      <c r="G3540" s="2" t="s">
        <v>20</v>
      </c>
      <c r="H3540" s="2" t="s">
        <v>1709</v>
      </c>
      <c r="I3540" s="2" t="s">
        <v>20</v>
      </c>
      <c r="J3540" s="2" t="s">
        <v>1677</v>
      </c>
    </row>
    <row r="3541" spans="1:10" x14ac:dyDescent="0.35">
      <c r="A3541" s="2" t="s">
        <v>1642</v>
      </c>
      <c r="B3541" s="2" t="s">
        <v>1675</v>
      </c>
      <c r="C3541" s="2" t="s">
        <v>62</v>
      </c>
      <c r="D3541" s="2" t="s">
        <v>1708</v>
      </c>
      <c r="E3541" s="2" t="s">
        <v>127</v>
      </c>
      <c r="F3541" s="2" t="s">
        <v>1650</v>
      </c>
      <c r="G3541" s="2"/>
      <c r="H3541" s="2"/>
      <c r="I3541" s="2" t="s">
        <v>20</v>
      </c>
      <c r="J3541" s="2" t="s">
        <v>1677</v>
      </c>
    </row>
    <row r="3542" spans="1:10" x14ac:dyDescent="0.35">
      <c r="A3542" s="2" t="s">
        <v>1642</v>
      </c>
      <c r="B3542" s="2" t="s">
        <v>1675</v>
      </c>
      <c r="C3542" s="2" t="s">
        <v>12</v>
      </c>
      <c r="D3542" s="2" t="s">
        <v>1711</v>
      </c>
      <c r="E3542" s="2" t="s">
        <v>393</v>
      </c>
      <c r="F3542" s="2" t="s">
        <v>36</v>
      </c>
      <c r="G3542" s="2"/>
      <c r="H3542" s="2"/>
      <c r="I3542" s="2" t="s">
        <v>20</v>
      </c>
      <c r="J3542" s="2" t="s">
        <v>1677</v>
      </c>
    </row>
    <row r="3543" spans="1:10" x14ac:dyDescent="0.35">
      <c r="A3543" s="2" t="s">
        <v>1642</v>
      </c>
      <c r="B3543" s="2" t="s">
        <v>1675</v>
      </c>
      <c r="C3543" s="2" t="s">
        <v>12</v>
      </c>
      <c r="D3543" s="2" t="s">
        <v>1711</v>
      </c>
      <c r="E3543" s="2" t="s">
        <v>91</v>
      </c>
      <c r="F3543" s="2" t="s">
        <v>1679</v>
      </c>
      <c r="G3543" s="2"/>
      <c r="H3543" s="2"/>
      <c r="I3543" s="2" t="s">
        <v>20</v>
      </c>
      <c r="J3543" s="2" t="s">
        <v>1677</v>
      </c>
    </row>
    <row r="3544" spans="1:10" x14ac:dyDescent="0.35">
      <c r="A3544" s="2" t="s">
        <v>1642</v>
      </c>
      <c r="B3544" s="2" t="s">
        <v>1675</v>
      </c>
      <c r="C3544" s="2" t="s">
        <v>12</v>
      </c>
      <c r="D3544" s="2" t="s">
        <v>1711</v>
      </c>
      <c r="E3544" s="2" t="s">
        <v>61</v>
      </c>
      <c r="F3544" s="2" t="s">
        <v>30</v>
      </c>
      <c r="G3544" s="2"/>
      <c r="H3544" s="2"/>
      <c r="I3544" s="2" t="s">
        <v>20</v>
      </c>
      <c r="J3544" s="2" t="s">
        <v>1677</v>
      </c>
    </row>
    <row r="3545" spans="1:10" x14ac:dyDescent="0.35">
      <c r="A3545" s="2" t="s">
        <v>1642</v>
      </c>
      <c r="B3545" s="2" t="s">
        <v>1675</v>
      </c>
      <c r="C3545" s="2" t="s">
        <v>24</v>
      </c>
      <c r="D3545" s="2" t="s">
        <v>1712</v>
      </c>
      <c r="E3545" s="2" t="s">
        <v>1172</v>
      </c>
      <c r="F3545" s="2" t="s">
        <v>1650</v>
      </c>
      <c r="G3545" s="2"/>
      <c r="H3545" s="2"/>
      <c r="I3545" s="2" t="s">
        <v>20</v>
      </c>
      <c r="J3545" s="2" t="s">
        <v>1677</v>
      </c>
    </row>
    <row r="3546" spans="1:10" x14ac:dyDescent="0.35">
      <c r="A3546" s="2" t="s">
        <v>1642</v>
      </c>
      <c r="B3546" s="2" t="s">
        <v>1675</v>
      </c>
      <c r="C3546" s="2" t="s">
        <v>24</v>
      </c>
      <c r="D3546" s="2" t="s">
        <v>1712</v>
      </c>
      <c r="E3546" s="2" t="s">
        <v>27</v>
      </c>
      <c r="F3546" s="2" t="s">
        <v>28</v>
      </c>
      <c r="G3546" s="2"/>
      <c r="H3546" s="2"/>
      <c r="I3546" s="2" t="s">
        <v>20</v>
      </c>
      <c r="J3546" s="2" t="s">
        <v>1677</v>
      </c>
    </row>
    <row r="3547" spans="1:10" x14ac:dyDescent="0.35">
      <c r="A3547" s="2" t="s">
        <v>1642</v>
      </c>
      <c r="B3547" s="2" t="s">
        <v>1675</v>
      </c>
      <c r="C3547" s="2" t="s">
        <v>24</v>
      </c>
      <c r="D3547" s="2" t="s">
        <v>1712</v>
      </c>
      <c r="E3547" s="2" t="s">
        <v>31</v>
      </c>
      <c r="F3547" s="2" t="s">
        <v>32</v>
      </c>
      <c r="G3547" s="2"/>
      <c r="H3547" s="2"/>
      <c r="I3547" s="2" t="s">
        <v>20</v>
      </c>
      <c r="J3547" s="2" t="s">
        <v>1677</v>
      </c>
    </row>
    <row r="3548" spans="1:10" x14ac:dyDescent="0.35">
      <c r="A3548" s="2" t="s">
        <v>1642</v>
      </c>
      <c r="B3548" s="2" t="s">
        <v>1675</v>
      </c>
      <c r="C3548" s="2" t="s">
        <v>24</v>
      </c>
      <c r="D3548" s="2" t="s">
        <v>1712</v>
      </c>
      <c r="E3548" s="2" t="s">
        <v>416</v>
      </c>
      <c r="F3548" s="2" t="s">
        <v>38</v>
      </c>
      <c r="G3548" s="2"/>
      <c r="H3548" s="2"/>
      <c r="I3548" s="2" t="s">
        <v>20</v>
      </c>
      <c r="J3548" s="2" t="s">
        <v>1677</v>
      </c>
    </row>
    <row r="3549" spans="1:10" x14ac:dyDescent="0.35">
      <c r="A3549" s="2" t="s">
        <v>1642</v>
      </c>
      <c r="B3549" s="2" t="s">
        <v>1675</v>
      </c>
      <c r="C3549" s="2" t="s">
        <v>24</v>
      </c>
      <c r="D3549" s="2" t="s">
        <v>1712</v>
      </c>
      <c r="E3549" s="2" t="s">
        <v>1713</v>
      </c>
      <c r="F3549" s="2" t="s">
        <v>122</v>
      </c>
      <c r="G3549" s="2"/>
      <c r="H3549" s="2"/>
      <c r="I3549" s="2" t="s">
        <v>20</v>
      </c>
      <c r="J3549" s="2" t="s">
        <v>1677</v>
      </c>
    </row>
    <row r="3550" spans="1:10" s="21" customFormat="1" x14ac:dyDescent="0.35">
      <c r="A3550" s="2" t="s">
        <v>1642</v>
      </c>
      <c r="B3550" s="2" t="s">
        <v>1675</v>
      </c>
      <c r="C3550" s="2" t="s">
        <v>24</v>
      </c>
      <c r="D3550" s="2" t="s">
        <v>1712</v>
      </c>
      <c r="E3550" s="2" t="s">
        <v>87</v>
      </c>
      <c r="F3550" s="2" t="s">
        <v>75</v>
      </c>
      <c r="G3550" s="2"/>
      <c r="H3550" s="2"/>
      <c r="I3550" s="2" t="s">
        <v>20</v>
      </c>
      <c r="J3550" s="2" t="s">
        <v>1677</v>
      </c>
    </row>
    <row r="3551" spans="1:10" x14ac:dyDescent="0.35">
      <c r="A3551" s="2" t="s">
        <v>1642</v>
      </c>
      <c r="B3551" s="2" t="s">
        <v>1675</v>
      </c>
      <c r="C3551" s="2" t="s">
        <v>24</v>
      </c>
      <c r="D3551" s="2" t="s">
        <v>1712</v>
      </c>
      <c r="E3551" s="2" t="s">
        <v>1228</v>
      </c>
      <c r="F3551" s="2" t="s">
        <v>228</v>
      </c>
      <c r="G3551" s="2"/>
      <c r="H3551" s="2"/>
      <c r="I3551" s="2" t="s">
        <v>20</v>
      </c>
      <c r="J3551" s="2" t="s">
        <v>1677</v>
      </c>
    </row>
    <row r="3552" spans="1:10" x14ac:dyDescent="0.35">
      <c r="A3552" s="2" t="s">
        <v>1642</v>
      </c>
      <c r="B3552" s="2" t="s">
        <v>1675</v>
      </c>
      <c r="C3552" s="2" t="s">
        <v>62</v>
      </c>
      <c r="D3552" s="2" t="s">
        <v>1714</v>
      </c>
      <c r="E3552" s="2" t="s">
        <v>532</v>
      </c>
      <c r="F3552" s="2" t="s">
        <v>533</v>
      </c>
      <c r="G3552" s="2" t="s">
        <v>20</v>
      </c>
      <c r="H3552" s="2" t="s">
        <v>1715</v>
      </c>
      <c r="I3552" s="2" t="s">
        <v>20</v>
      </c>
      <c r="J3552" s="2" t="s">
        <v>1677</v>
      </c>
    </row>
    <row r="3553" spans="1:10" x14ac:dyDescent="0.35">
      <c r="A3553" s="2" t="s">
        <v>1642</v>
      </c>
      <c r="B3553" s="2" t="s">
        <v>1675</v>
      </c>
      <c r="C3553" s="2" t="s">
        <v>62</v>
      </c>
      <c r="D3553" s="2" t="s">
        <v>1714</v>
      </c>
      <c r="E3553" s="2" t="s">
        <v>121</v>
      </c>
      <c r="F3553" s="2" t="s">
        <v>122</v>
      </c>
      <c r="G3553" s="2"/>
      <c r="H3553" s="2"/>
      <c r="I3553" s="2" t="s">
        <v>20</v>
      </c>
      <c r="J3553" s="2" t="s">
        <v>1677</v>
      </c>
    </row>
    <row r="3554" spans="1:10" x14ac:dyDescent="0.35">
      <c r="A3554" s="2" t="s">
        <v>1642</v>
      </c>
      <c r="B3554" s="2" t="s">
        <v>1675</v>
      </c>
      <c r="C3554" s="2" t="s">
        <v>62</v>
      </c>
      <c r="D3554" s="2" t="s">
        <v>1714</v>
      </c>
      <c r="E3554" s="2" t="s">
        <v>393</v>
      </c>
      <c r="F3554" s="2" t="s">
        <v>36</v>
      </c>
      <c r="G3554" s="2"/>
      <c r="H3554" s="2"/>
      <c r="I3554" s="2" t="s">
        <v>20</v>
      </c>
      <c r="J3554" s="2" t="s">
        <v>1677</v>
      </c>
    </row>
    <row r="3555" spans="1:10" x14ac:dyDescent="0.35">
      <c r="A3555" s="2" t="s">
        <v>1642</v>
      </c>
      <c r="B3555" s="2" t="s">
        <v>1675</v>
      </c>
      <c r="C3555" s="2" t="s">
        <v>62</v>
      </c>
      <c r="D3555" s="2" t="s">
        <v>1714</v>
      </c>
      <c r="E3555" s="2" t="s">
        <v>767</v>
      </c>
      <c r="F3555" s="2" t="s">
        <v>36</v>
      </c>
      <c r="G3555" s="2"/>
      <c r="H3555" s="2"/>
      <c r="I3555" s="2" t="s">
        <v>20</v>
      </c>
      <c r="J3555" s="2" t="s">
        <v>1677</v>
      </c>
    </row>
    <row r="3556" spans="1:10" x14ac:dyDescent="0.35">
      <c r="A3556" s="2" t="s">
        <v>1642</v>
      </c>
      <c r="B3556" s="2" t="s">
        <v>1675</v>
      </c>
      <c r="C3556" s="2" t="s">
        <v>62</v>
      </c>
      <c r="D3556" s="2" t="s">
        <v>1714</v>
      </c>
      <c r="E3556" s="2" t="s">
        <v>91</v>
      </c>
      <c r="F3556" s="2" t="s">
        <v>1679</v>
      </c>
      <c r="G3556" s="2" t="s">
        <v>20</v>
      </c>
      <c r="H3556" s="2" t="s">
        <v>1716</v>
      </c>
      <c r="I3556" s="2" t="s">
        <v>20</v>
      </c>
      <c r="J3556" s="2" t="s">
        <v>1677</v>
      </c>
    </row>
    <row r="3557" spans="1:10" x14ac:dyDescent="0.35">
      <c r="A3557" s="2" t="s">
        <v>1642</v>
      </c>
      <c r="B3557" s="2" t="s">
        <v>1675</v>
      </c>
      <c r="C3557" s="2" t="s">
        <v>62</v>
      </c>
      <c r="D3557" s="2" t="s">
        <v>1714</v>
      </c>
      <c r="E3557" s="2" t="s">
        <v>1681</v>
      </c>
      <c r="F3557" s="2" t="s">
        <v>1650</v>
      </c>
      <c r="G3557" s="2"/>
      <c r="H3557" s="2"/>
      <c r="I3557" s="2" t="s">
        <v>20</v>
      </c>
      <c r="J3557" s="2" t="s">
        <v>1677</v>
      </c>
    </row>
    <row r="3558" spans="1:10" x14ac:dyDescent="0.35">
      <c r="A3558" s="2" t="s">
        <v>1642</v>
      </c>
      <c r="B3558" s="2" t="s">
        <v>1675</v>
      </c>
      <c r="C3558" s="2" t="s">
        <v>54</v>
      </c>
      <c r="D3558" s="2" t="s">
        <v>1717</v>
      </c>
      <c r="E3558" s="2" t="s">
        <v>76</v>
      </c>
      <c r="F3558" s="2" t="s">
        <v>75</v>
      </c>
      <c r="G3558" s="2" t="s">
        <v>20</v>
      </c>
      <c r="H3558" s="2" t="s">
        <v>1718</v>
      </c>
      <c r="I3558" s="2" t="s">
        <v>20</v>
      </c>
      <c r="J3558" s="2" t="s">
        <v>1677</v>
      </c>
    </row>
    <row r="3559" spans="1:10" x14ac:dyDescent="0.35">
      <c r="A3559" s="2" t="s">
        <v>1642</v>
      </c>
      <c r="B3559" s="2" t="s">
        <v>1675</v>
      </c>
      <c r="C3559" s="2" t="s">
        <v>54</v>
      </c>
      <c r="D3559" s="2" t="s">
        <v>1717</v>
      </c>
      <c r="E3559" s="2" t="s">
        <v>1713</v>
      </c>
      <c r="F3559" s="2" t="s">
        <v>122</v>
      </c>
      <c r="G3559" s="2" t="s">
        <v>20</v>
      </c>
      <c r="H3559" s="2" t="s">
        <v>1718</v>
      </c>
      <c r="I3559" s="2" t="s">
        <v>20</v>
      </c>
      <c r="J3559" s="2" t="s">
        <v>1677</v>
      </c>
    </row>
    <row r="3560" spans="1:10" x14ac:dyDescent="0.35">
      <c r="A3560" s="2" t="s">
        <v>1642</v>
      </c>
      <c r="B3560" s="2" t="s">
        <v>1675</v>
      </c>
      <c r="C3560" s="2" t="s">
        <v>54</v>
      </c>
      <c r="D3560" s="2" t="s">
        <v>1717</v>
      </c>
      <c r="E3560" s="2" t="s">
        <v>417</v>
      </c>
      <c r="F3560" s="2" t="s">
        <v>40</v>
      </c>
      <c r="G3560" s="2" t="s">
        <v>20</v>
      </c>
      <c r="H3560" s="2" t="s">
        <v>1718</v>
      </c>
      <c r="I3560" s="2" t="s">
        <v>20</v>
      </c>
      <c r="J3560" s="2" t="s">
        <v>1677</v>
      </c>
    </row>
    <row r="3561" spans="1:10" x14ac:dyDescent="0.35">
      <c r="A3561" s="2" t="s">
        <v>1642</v>
      </c>
      <c r="B3561" s="2" t="s">
        <v>1675</v>
      </c>
      <c r="C3561" s="2" t="s">
        <v>54</v>
      </c>
      <c r="D3561" s="2" t="s">
        <v>1717</v>
      </c>
      <c r="E3561" s="2" t="s">
        <v>1681</v>
      </c>
      <c r="F3561" s="2" t="s">
        <v>1650</v>
      </c>
      <c r="G3561" s="2" t="s">
        <v>20</v>
      </c>
      <c r="H3561" s="2" t="s">
        <v>1718</v>
      </c>
      <c r="I3561" s="2" t="s">
        <v>20</v>
      </c>
      <c r="J3561" s="2" t="s">
        <v>1677</v>
      </c>
    </row>
    <row r="3562" spans="1:10" x14ac:dyDescent="0.35">
      <c r="A3562" s="2" t="s">
        <v>1642</v>
      </c>
      <c r="B3562" s="2" t="s">
        <v>1675</v>
      </c>
      <c r="C3562" s="2" t="s">
        <v>54</v>
      </c>
      <c r="D3562" s="2" t="s">
        <v>1719</v>
      </c>
      <c r="E3562" s="2" t="s">
        <v>74</v>
      </c>
      <c r="F3562" s="2" t="s">
        <v>75</v>
      </c>
      <c r="G3562" s="2" t="s">
        <v>20</v>
      </c>
      <c r="H3562" s="2" t="s">
        <v>1720</v>
      </c>
      <c r="I3562" s="2" t="s">
        <v>20</v>
      </c>
      <c r="J3562" s="2" t="s">
        <v>1677</v>
      </c>
    </row>
    <row r="3563" spans="1:10" x14ac:dyDescent="0.35">
      <c r="A3563" s="2" t="s">
        <v>1642</v>
      </c>
      <c r="B3563" s="2" t="s">
        <v>1675</v>
      </c>
      <c r="C3563" s="2" t="s">
        <v>54</v>
      </c>
      <c r="D3563" s="2" t="s">
        <v>1719</v>
      </c>
      <c r="E3563" s="2" t="s">
        <v>42</v>
      </c>
      <c r="F3563" s="2" t="s">
        <v>43</v>
      </c>
      <c r="G3563" s="2" t="s">
        <v>20</v>
      </c>
      <c r="H3563" s="2" t="s">
        <v>1720</v>
      </c>
      <c r="I3563" s="2" t="s">
        <v>20</v>
      </c>
      <c r="J3563" s="2" t="s">
        <v>1677</v>
      </c>
    </row>
    <row r="3564" spans="1:10" x14ac:dyDescent="0.35">
      <c r="A3564" s="2" t="s">
        <v>1642</v>
      </c>
      <c r="B3564" s="2" t="s">
        <v>1675</v>
      </c>
      <c r="C3564" s="2" t="s">
        <v>12</v>
      </c>
      <c r="D3564" s="2" t="s">
        <v>1721</v>
      </c>
      <c r="E3564" s="2" t="s">
        <v>74</v>
      </c>
      <c r="F3564" s="2" t="s">
        <v>75</v>
      </c>
      <c r="G3564" s="2" t="s">
        <v>20</v>
      </c>
      <c r="H3564" s="2" t="s">
        <v>1722</v>
      </c>
      <c r="I3564" s="2" t="s">
        <v>20</v>
      </c>
      <c r="J3564" s="2" t="s">
        <v>1677</v>
      </c>
    </row>
    <row r="3565" spans="1:10" x14ac:dyDescent="0.35">
      <c r="A3565" s="2" t="s">
        <v>1642</v>
      </c>
      <c r="B3565" s="2" t="s">
        <v>1675</v>
      </c>
      <c r="C3565" s="2" t="s">
        <v>12</v>
      </c>
      <c r="D3565" s="2" t="s">
        <v>1721</v>
      </c>
      <c r="E3565" s="2" t="s">
        <v>87</v>
      </c>
      <c r="F3565" s="2" t="s">
        <v>75</v>
      </c>
      <c r="G3565" s="2" t="s">
        <v>20</v>
      </c>
      <c r="H3565" s="2" t="s">
        <v>1722</v>
      </c>
      <c r="I3565" s="2" t="s">
        <v>20</v>
      </c>
      <c r="J3565" s="2" t="s">
        <v>1677</v>
      </c>
    </row>
    <row r="3566" spans="1:10" x14ac:dyDescent="0.35">
      <c r="A3566" s="2" t="s">
        <v>1642</v>
      </c>
      <c r="B3566" s="2" t="s">
        <v>1675</v>
      </c>
      <c r="C3566" s="2" t="s">
        <v>24</v>
      </c>
      <c r="D3566" s="2" t="s">
        <v>1723</v>
      </c>
      <c r="E3566" s="2" t="s">
        <v>76</v>
      </c>
      <c r="F3566" s="2" t="s">
        <v>75</v>
      </c>
      <c r="G3566" s="2" t="s">
        <v>20</v>
      </c>
      <c r="H3566" s="2" t="s">
        <v>1724</v>
      </c>
      <c r="I3566" s="2" t="s">
        <v>20</v>
      </c>
      <c r="J3566" s="2" t="s">
        <v>1677</v>
      </c>
    </row>
    <row r="3567" spans="1:10" x14ac:dyDescent="0.35">
      <c r="A3567" s="2" t="s">
        <v>1642</v>
      </c>
      <c r="B3567" s="2" t="s">
        <v>1675</v>
      </c>
      <c r="C3567" s="2" t="s">
        <v>24</v>
      </c>
      <c r="D3567" s="2" t="s">
        <v>1723</v>
      </c>
      <c r="E3567" s="2" t="s">
        <v>1725</v>
      </c>
      <c r="F3567" s="2" t="s">
        <v>32</v>
      </c>
      <c r="G3567" s="2" t="s">
        <v>20</v>
      </c>
      <c r="H3567" s="2" t="s">
        <v>1724</v>
      </c>
      <c r="I3567" s="2" t="s">
        <v>20</v>
      </c>
      <c r="J3567" s="2" t="s">
        <v>1677</v>
      </c>
    </row>
    <row r="3568" spans="1:10" x14ac:dyDescent="0.35">
      <c r="A3568" s="2" t="s">
        <v>1642</v>
      </c>
      <c r="B3568" s="2" t="s">
        <v>1675</v>
      </c>
      <c r="C3568" s="2" t="s">
        <v>24</v>
      </c>
      <c r="D3568" s="2" t="s">
        <v>1723</v>
      </c>
      <c r="E3568" s="2" t="s">
        <v>91</v>
      </c>
      <c r="F3568" s="2" t="s">
        <v>1679</v>
      </c>
      <c r="G3568" s="2" t="s">
        <v>20</v>
      </c>
      <c r="H3568" s="2" t="s">
        <v>1724</v>
      </c>
      <c r="I3568" s="2" t="s">
        <v>20</v>
      </c>
      <c r="J3568" s="2" t="s">
        <v>1677</v>
      </c>
    </row>
    <row r="3569" spans="1:10" x14ac:dyDescent="0.35">
      <c r="A3569" s="2" t="s">
        <v>1642</v>
      </c>
      <c r="B3569" s="2" t="s">
        <v>1675</v>
      </c>
      <c r="C3569" s="2" t="s">
        <v>24</v>
      </c>
      <c r="D3569" s="2" t="s">
        <v>1723</v>
      </c>
      <c r="E3569" s="2" t="s">
        <v>87</v>
      </c>
      <c r="F3569" s="2" t="s">
        <v>75</v>
      </c>
      <c r="G3569" s="2" t="s">
        <v>20</v>
      </c>
      <c r="H3569" s="2" t="s">
        <v>1724</v>
      </c>
      <c r="I3569" s="2" t="s">
        <v>20</v>
      </c>
      <c r="J3569" s="2" t="s">
        <v>1677</v>
      </c>
    </row>
    <row r="3570" spans="1:10" x14ac:dyDescent="0.35">
      <c r="A3570" s="2" t="s">
        <v>1642</v>
      </c>
      <c r="B3570" s="2" t="s">
        <v>1675</v>
      </c>
      <c r="C3570" s="2" t="s">
        <v>24</v>
      </c>
      <c r="D3570" s="2" t="s">
        <v>1723</v>
      </c>
      <c r="E3570" s="2" t="s">
        <v>417</v>
      </c>
      <c r="F3570" s="2" t="s">
        <v>40</v>
      </c>
      <c r="G3570" s="2" t="s">
        <v>20</v>
      </c>
      <c r="H3570" s="2" t="s">
        <v>1724</v>
      </c>
      <c r="I3570" s="2" t="s">
        <v>20</v>
      </c>
      <c r="J3570" s="2" t="s">
        <v>1677</v>
      </c>
    </row>
    <row r="3571" spans="1:10" s="21" customFormat="1" x14ac:dyDescent="0.35">
      <c r="A3571" s="2" t="s">
        <v>1642</v>
      </c>
      <c r="B3571" s="2" t="s">
        <v>1675</v>
      </c>
      <c r="C3571" s="2" t="s">
        <v>62</v>
      </c>
      <c r="D3571" s="2" t="s">
        <v>1726</v>
      </c>
      <c r="E3571" s="2" t="s">
        <v>31</v>
      </c>
      <c r="F3571" s="2" t="s">
        <v>32</v>
      </c>
      <c r="G3571" s="2"/>
      <c r="H3571" s="2"/>
      <c r="I3571" s="2" t="s">
        <v>20</v>
      </c>
      <c r="J3571" s="2" t="s">
        <v>1677</v>
      </c>
    </row>
    <row r="3572" spans="1:10" s="21" customFormat="1" x14ac:dyDescent="0.35">
      <c r="A3572" s="2" t="s">
        <v>1642</v>
      </c>
      <c r="B3572" s="2" t="s">
        <v>1675</v>
      </c>
      <c r="C3572" s="2" t="s">
        <v>62</v>
      </c>
      <c r="D3572" s="2" t="s">
        <v>1726</v>
      </c>
      <c r="E3572" s="2" t="s">
        <v>1727</v>
      </c>
      <c r="F3572" s="2" t="s">
        <v>38</v>
      </c>
      <c r="G3572" s="2"/>
      <c r="H3572" s="2"/>
      <c r="I3572" s="2" t="s">
        <v>20</v>
      </c>
      <c r="J3572" s="2" t="s">
        <v>1677</v>
      </c>
    </row>
    <row r="3573" spans="1:10" s="21" customFormat="1" x14ac:dyDescent="0.35">
      <c r="A3573" s="2" t="s">
        <v>1642</v>
      </c>
      <c r="B3573" s="2" t="s">
        <v>1675</v>
      </c>
      <c r="C3573" s="2" t="s">
        <v>62</v>
      </c>
      <c r="D3573" s="2" t="s">
        <v>1726</v>
      </c>
      <c r="E3573" s="2" t="s">
        <v>35</v>
      </c>
      <c r="F3573" s="2" t="s">
        <v>36</v>
      </c>
      <c r="G3573" s="2"/>
      <c r="H3573" s="2"/>
      <c r="I3573" s="2" t="s">
        <v>20</v>
      </c>
      <c r="J3573" s="2" t="s">
        <v>1677</v>
      </c>
    </row>
    <row r="3574" spans="1:10" s="21" customFormat="1" x14ac:dyDescent="0.35">
      <c r="A3574" s="2" t="s">
        <v>1642</v>
      </c>
      <c r="B3574" s="2" t="s">
        <v>1675</v>
      </c>
      <c r="C3574" s="2" t="s">
        <v>62</v>
      </c>
      <c r="D3574" s="2" t="s">
        <v>1726</v>
      </c>
      <c r="E3574" s="2" t="s">
        <v>91</v>
      </c>
      <c r="F3574" s="2" t="s">
        <v>1679</v>
      </c>
      <c r="G3574" s="2" t="s">
        <v>20</v>
      </c>
      <c r="H3574" s="2" t="s">
        <v>1728</v>
      </c>
      <c r="I3574" s="2" t="s">
        <v>20</v>
      </c>
      <c r="J3574" s="2" t="s">
        <v>1677</v>
      </c>
    </row>
    <row r="3575" spans="1:10" s="21" customFormat="1" x14ac:dyDescent="0.35">
      <c r="A3575" s="2" t="s">
        <v>1642</v>
      </c>
      <c r="B3575" s="2" t="s">
        <v>1675</v>
      </c>
      <c r="C3575" s="2" t="s">
        <v>62</v>
      </c>
      <c r="D3575" s="2" t="s">
        <v>1726</v>
      </c>
      <c r="E3575" s="2" t="s">
        <v>87</v>
      </c>
      <c r="F3575" s="2" t="s">
        <v>75</v>
      </c>
      <c r="G3575" s="2"/>
      <c r="H3575" s="2"/>
      <c r="I3575" s="2" t="s">
        <v>20</v>
      </c>
      <c r="J3575" s="2" t="s">
        <v>1677</v>
      </c>
    </row>
    <row r="3576" spans="1:10" s="21" customFormat="1" x14ac:dyDescent="0.35">
      <c r="A3576" s="2" t="s">
        <v>1642</v>
      </c>
      <c r="B3576" s="2" t="s">
        <v>1675</v>
      </c>
      <c r="C3576" s="2" t="s">
        <v>62</v>
      </c>
      <c r="D3576" s="2" t="s">
        <v>1726</v>
      </c>
      <c r="E3576" s="2" t="s">
        <v>1228</v>
      </c>
      <c r="F3576" s="2" t="s">
        <v>228</v>
      </c>
      <c r="G3576" s="2"/>
      <c r="H3576" s="2"/>
      <c r="I3576" s="2" t="s">
        <v>20</v>
      </c>
      <c r="J3576" s="2" t="s">
        <v>1677</v>
      </c>
    </row>
    <row r="3577" spans="1:10" s="21" customFormat="1" x14ac:dyDescent="0.35">
      <c r="A3577" s="2" t="s">
        <v>1642</v>
      </c>
      <c r="B3577" s="2" t="s">
        <v>1675</v>
      </c>
      <c r="C3577" s="2" t="s">
        <v>62</v>
      </c>
      <c r="D3577" s="2" t="s">
        <v>1726</v>
      </c>
      <c r="E3577" s="2" t="s">
        <v>61</v>
      </c>
      <c r="F3577" s="2" t="s">
        <v>30</v>
      </c>
      <c r="G3577" s="2"/>
      <c r="H3577" s="2"/>
      <c r="I3577" s="2" t="s">
        <v>20</v>
      </c>
      <c r="J3577" s="2" t="s">
        <v>1677</v>
      </c>
    </row>
    <row r="3578" spans="1:10" s="21" customFormat="1" x14ac:dyDescent="0.35">
      <c r="A3578" s="2" t="s">
        <v>1642</v>
      </c>
      <c r="B3578" s="2" t="s">
        <v>1675</v>
      </c>
      <c r="C3578" s="2" t="s">
        <v>62</v>
      </c>
      <c r="D3578" s="2" t="s">
        <v>1726</v>
      </c>
      <c r="E3578" s="2" t="s">
        <v>1681</v>
      </c>
      <c r="F3578" s="2" t="s">
        <v>1650</v>
      </c>
      <c r="G3578" s="2"/>
      <c r="H3578" s="2"/>
      <c r="I3578" s="2" t="s">
        <v>20</v>
      </c>
      <c r="J3578" s="2" t="s">
        <v>1677</v>
      </c>
    </row>
    <row r="3579" spans="1:10" x14ac:dyDescent="0.35">
      <c r="A3579" s="2" t="s">
        <v>1642</v>
      </c>
      <c r="B3579" s="2" t="s">
        <v>1675</v>
      </c>
      <c r="C3579" s="2" t="s">
        <v>57</v>
      </c>
      <c r="D3579" s="2" t="s">
        <v>1729</v>
      </c>
      <c r="E3579" s="2" t="s">
        <v>1172</v>
      </c>
      <c r="F3579" s="2" t="s">
        <v>1650</v>
      </c>
      <c r="G3579" s="2"/>
      <c r="H3579" s="2"/>
      <c r="I3579" s="2" t="s">
        <v>20</v>
      </c>
      <c r="J3579" s="2" t="s">
        <v>1677</v>
      </c>
    </row>
    <row r="3580" spans="1:10" x14ac:dyDescent="0.35">
      <c r="A3580" s="2" t="s">
        <v>1642</v>
      </c>
      <c r="B3580" s="2" t="s">
        <v>1675</v>
      </c>
      <c r="C3580" s="2" t="s">
        <v>57</v>
      </c>
      <c r="D3580" s="2" t="s">
        <v>1729</v>
      </c>
      <c r="E3580" s="2" t="s">
        <v>74</v>
      </c>
      <c r="F3580" s="2" t="s">
        <v>75</v>
      </c>
      <c r="G3580" s="2" t="s">
        <v>20</v>
      </c>
      <c r="H3580" s="2" t="s">
        <v>1730</v>
      </c>
      <c r="I3580" s="2" t="s">
        <v>20</v>
      </c>
      <c r="J3580" s="2" t="s">
        <v>1677</v>
      </c>
    </row>
    <row r="3581" spans="1:10" x14ac:dyDescent="0.35">
      <c r="A3581" s="2" t="s">
        <v>1642</v>
      </c>
      <c r="B3581" s="2" t="s">
        <v>1675</v>
      </c>
      <c r="C3581" s="2" t="s">
        <v>57</v>
      </c>
      <c r="D3581" s="2" t="s">
        <v>1729</v>
      </c>
      <c r="E3581" s="2" t="s">
        <v>121</v>
      </c>
      <c r="F3581" s="2" t="s">
        <v>122</v>
      </c>
      <c r="G3581" s="2"/>
      <c r="H3581" s="2"/>
      <c r="I3581" s="2" t="s">
        <v>20</v>
      </c>
      <c r="J3581" s="2" t="s">
        <v>1677</v>
      </c>
    </row>
    <row r="3582" spans="1:10" x14ac:dyDescent="0.35">
      <c r="A3582" s="2" t="s">
        <v>1642</v>
      </c>
      <c r="B3582" s="2" t="s">
        <v>1675</v>
      </c>
      <c r="C3582" s="2" t="s">
        <v>57</v>
      </c>
      <c r="D3582" s="2" t="s">
        <v>1729</v>
      </c>
      <c r="E3582" s="2" t="s">
        <v>87</v>
      </c>
      <c r="F3582" s="2" t="s">
        <v>75</v>
      </c>
      <c r="G3582" s="2" t="s">
        <v>20</v>
      </c>
      <c r="H3582" s="2" t="s">
        <v>1731</v>
      </c>
      <c r="I3582" s="2" t="s">
        <v>20</v>
      </c>
      <c r="J3582" s="2" t="s">
        <v>1677</v>
      </c>
    </row>
    <row r="3583" spans="1:10" x14ac:dyDescent="0.35">
      <c r="A3583" s="2" t="s">
        <v>1642</v>
      </c>
      <c r="B3583" s="2" t="s">
        <v>1675</v>
      </c>
      <c r="C3583" s="2" t="s">
        <v>57</v>
      </c>
      <c r="D3583" s="2" t="s">
        <v>1729</v>
      </c>
      <c r="E3583" s="2" t="s">
        <v>42</v>
      </c>
      <c r="F3583" s="2" t="s">
        <v>43</v>
      </c>
      <c r="G3583" s="2"/>
      <c r="H3583" s="2"/>
      <c r="I3583" s="2" t="s">
        <v>20</v>
      </c>
      <c r="J3583" s="2" t="s">
        <v>1677</v>
      </c>
    </row>
    <row r="3584" spans="1:10" x14ac:dyDescent="0.35">
      <c r="A3584" s="2" t="s">
        <v>1642</v>
      </c>
      <c r="B3584" s="2" t="s">
        <v>1675</v>
      </c>
      <c r="C3584" s="2" t="s">
        <v>24</v>
      </c>
      <c r="D3584" s="2" t="s">
        <v>1732</v>
      </c>
      <c r="E3584" s="2" t="s">
        <v>393</v>
      </c>
      <c r="F3584" s="2" t="s">
        <v>36</v>
      </c>
      <c r="G3584" s="2"/>
      <c r="H3584" s="2"/>
      <c r="I3584" s="2" t="s">
        <v>20</v>
      </c>
      <c r="J3584" s="2" t="s">
        <v>1677</v>
      </c>
    </row>
    <row r="3585" spans="1:10" x14ac:dyDescent="0.35">
      <c r="A3585" s="2" t="s">
        <v>1642</v>
      </c>
      <c r="B3585" s="2" t="s">
        <v>1675</v>
      </c>
      <c r="C3585" s="2" t="s">
        <v>24</v>
      </c>
      <c r="D3585" s="2" t="s">
        <v>1732</v>
      </c>
      <c r="E3585" s="2" t="s">
        <v>87</v>
      </c>
      <c r="F3585" s="2" t="s">
        <v>75</v>
      </c>
      <c r="G3585" s="2" t="s">
        <v>20</v>
      </c>
      <c r="H3585" s="2" t="s">
        <v>1733</v>
      </c>
      <c r="I3585" s="2" t="s">
        <v>20</v>
      </c>
      <c r="J3585" s="2" t="s">
        <v>1677</v>
      </c>
    </row>
    <row r="3586" spans="1:10" x14ac:dyDescent="0.35">
      <c r="A3586" s="2" t="s">
        <v>1642</v>
      </c>
      <c r="B3586" s="2" t="s">
        <v>1675</v>
      </c>
      <c r="C3586" s="2" t="s">
        <v>24</v>
      </c>
      <c r="D3586" s="2" t="s">
        <v>1732</v>
      </c>
      <c r="E3586" s="2" t="s">
        <v>18</v>
      </c>
      <c r="F3586" s="2" t="s">
        <v>1679</v>
      </c>
      <c r="G3586" s="2" t="s">
        <v>20</v>
      </c>
      <c r="H3586" s="2" t="s">
        <v>1734</v>
      </c>
      <c r="I3586" s="2" t="s">
        <v>20</v>
      </c>
      <c r="J3586" s="2" t="s">
        <v>1677</v>
      </c>
    </row>
    <row r="3587" spans="1:10" x14ac:dyDescent="0.35">
      <c r="A3587" s="2" t="s">
        <v>1642</v>
      </c>
      <c r="B3587" s="2" t="s">
        <v>1675</v>
      </c>
      <c r="C3587" s="2" t="s">
        <v>12</v>
      </c>
      <c r="D3587" s="2" t="s">
        <v>1735</v>
      </c>
      <c r="E3587" s="2" t="s">
        <v>74</v>
      </c>
      <c r="F3587" s="2" t="s">
        <v>75</v>
      </c>
      <c r="G3587" s="2" t="s">
        <v>20</v>
      </c>
      <c r="H3587" s="2" t="s">
        <v>1736</v>
      </c>
      <c r="I3587" s="2" t="s">
        <v>20</v>
      </c>
      <c r="J3587" s="2" t="s">
        <v>1677</v>
      </c>
    </row>
    <row r="3588" spans="1:10" x14ac:dyDescent="0.35">
      <c r="A3588" s="2" t="s">
        <v>1642</v>
      </c>
      <c r="B3588" s="2" t="s">
        <v>1675</v>
      </c>
      <c r="C3588" s="2" t="s">
        <v>12</v>
      </c>
      <c r="D3588" s="2" t="s">
        <v>1735</v>
      </c>
      <c r="E3588" s="2" t="s">
        <v>87</v>
      </c>
      <c r="F3588" s="2" t="s">
        <v>75</v>
      </c>
      <c r="G3588" s="2" t="s">
        <v>20</v>
      </c>
      <c r="H3588" s="2" t="s">
        <v>1736</v>
      </c>
      <c r="I3588" s="2" t="s">
        <v>20</v>
      </c>
      <c r="J3588" s="2" t="s">
        <v>1677</v>
      </c>
    </row>
    <row r="3589" spans="1:10" x14ac:dyDescent="0.35">
      <c r="A3589" s="2" t="s">
        <v>1642</v>
      </c>
      <c r="B3589" s="2" t="s">
        <v>1675</v>
      </c>
      <c r="C3589" s="2" t="s">
        <v>12</v>
      </c>
      <c r="D3589" s="2" t="s">
        <v>1735</v>
      </c>
      <c r="E3589" s="2" t="s">
        <v>1635</v>
      </c>
      <c r="F3589" s="2" t="s">
        <v>189</v>
      </c>
      <c r="G3589" s="2"/>
      <c r="H3589" s="2"/>
      <c r="I3589" s="2" t="s">
        <v>20</v>
      </c>
      <c r="J3589" s="2" t="s">
        <v>1677</v>
      </c>
    </row>
    <row r="3590" spans="1:10" x14ac:dyDescent="0.35">
      <c r="A3590" s="2" t="s">
        <v>1642</v>
      </c>
      <c r="B3590" s="2" t="s">
        <v>1675</v>
      </c>
      <c r="C3590" s="2" t="s">
        <v>12</v>
      </c>
      <c r="D3590" s="2" t="s">
        <v>1735</v>
      </c>
      <c r="E3590" s="2" t="s">
        <v>18</v>
      </c>
      <c r="F3590" s="2" t="s">
        <v>1679</v>
      </c>
      <c r="G3590" s="2" t="s">
        <v>20</v>
      </c>
      <c r="H3590" s="2" t="s">
        <v>1737</v>
      </c>
      <c r="I3590" s="2" t="s">
        <v>20</v>
      </c>
      <c r="J3590" s="2" t="s">
        <v>1677</v>
      </c>
    </row>
    <row r="3591" spans="1:10" x14ac:dyDescent="0.35">
      <c r="A3591" s="2" t="s">
        <v>1642</v>
      </c>
      <c r="B3591" s="2" t="s">
        <v>1675</v>
      </c>
      <c r="C3591" s="2" t="s">
        <v>62</v>
      </c>
      <c r="D3591" s="2" t="s">
        <v>1738</v>
      </c>
      <c r="E3591" s="2" t="s">
        <v>38</v>
      </c>
      <c r="F3591" s="2" t="s">
        <v>38</v>
      </c>
      <c r="G3591" s="2"/>
      <c r="H3591" s="2"/>
      <c r="I3591" s="2" t="s">
        <v>20</v>
      </c>
      <c r="J3591" s="2" t="s">
        <v>1677</v>
      </c>
    </row>
    <row r="3592" spans="1:10" x14ac:dyDescent="0.35">
      <c r="A3592" s="2" t="s">
        <v>1642</v>
      </c>
      <c r="B3592" s="2" t="s">
        <v>1675</v>
      </c>
      <c r="C3592" s="2" t="s">
        <v>62</v>
      </c>
      <c r="D3592" s="2" t="s">
        <v>1738</v>
      </c>
      <c r="E3592" s="2" t="s">
        <v>35</v>
      </c>
      <c r="F3592" s="2" t="s">
        <v>36</v>
      </c>
      <c r="G3592" s="2"/>
      <c r="H3592" s="2"/>
      <c r="I3592" s="2" t="s">
        <v>20</v>
      </c>
      <c r="J3592" s="2" t="s">
        <v>1677</v>
      </c>
    </row>
    <row r="3593" spans="1:10" x14ac:dyDescent="0.35">
      <c r="A3593" s="2" t="s">
        <v>1642</v>
      </c>
      <c r="B3593" s="2" t="s">
        <v>1675</v>
      </c>
      <c r="C3593" s="2" t="s">
        <v>62</v>
      </c>
      <c r="D3593" s="2" t="s">
        <v>1738</v>
      </c>
      <c r="E3593" s="2" t="s">
        <v>77</v>
      </c>
      <c r="F3593" s="2" t="s">
        <v>78</v>
      </c>
      <c r="G3593" s="2" t="s">
        <v>20</v>
      </c>
      <c r="H3593" s="2" t="s">
        <v>1739</v>
      </c>
      <c r="I3593" s="2" t="s">
        <v>20</v>
      </c>
      <c r="J3593" s="2" t="s">
        <v>1677</v>
      </c>
    </row>
    <row r="3594" spans="1:10" x14ac:dyDescent="0.35">
      <c r="A3594" s="2" t="s">
        <v>1642</v>
      </c>
      <c r="B3594" s="2" t="s">
        <v>1675</v>
      </c>
      <c r="C3594" s="2" t="s">
        <v>62</v>
      </c>
      <c r="D3594" s="2" t="s">
        <v>1738</v>
      </c>
      <c r="E3594" s="2" t="s">
        <v>1740</v>
      </c>
      <c r="F3594" s="2" t="s">
        <v>40</v>
      </c>
      <c r="G3594" s="2"/>
      <c r="H3594" s="2"/>
      <c r="I3594" s="2" t="s">
        <v>20</v>
      </c>
      <c r="J3594" s="2" t="s">
        <v>1677</v>
      </c>
    </row>
    <row r="3595" spans="1:10" x14ac:dyDescent="0.35">
      <c r="A3595" s="2" t="s">
        <v>1642</v>
      </c>
      <c r="B3595" s="2" t="s">
        <v>1675</v>
      </c>
      <c r="C3595" s="2" t="s">
        <v>62</v>
      </c>
      <c r="D3595" s="2" t="s">
        <v>1738</v>
      </c>
      <c r="E3595" s="2" t="s">
        <v>61</v>
      </c>
      <c r="F3595" s="2" t="s">
        <v>30</v>
      </c>
      <c r="G3595" s="2"/>
      <c r="H3595" s="2"/>
      <c r="I3595" s="2" t="s">
        <v>20</v>
      </c>
      <c r="J3595" s="2" t="s">
        <v>1677</v>
      </c>
    </row>
    <row r="3596" spans="1:10" x14ac:dyDescent="0.35">
      <c r="A3596" s="2" t="s">
        <v>1642</v>
      </c>
      <c r="B3596" s="2" t="s">
        <v>1675</v>
      </c>
      <c r="C3596" s="2" t="s">
        <v>62</v>
      </c>
      <c r="D3596" s="2" t="s">
        <v>1738</v>
      </c>
      <c r="E3596" s="2" t="s">
        <v>127</v>
      </c>
      <c r="F3596" s="2" t="s">
        <v>1650</v>
      </c>
      <c r="G3596" s="2"/>
      <c r="H3596" s="2"/>
      <c r="I3596" s="2" t="s">
        <v>20</v>
      </c>
      <c r="J3596" s="2" t="s">
        <v>1677</v>
      </c>
    </row>
    <row r="3597" spans="1:10" x14ac:dyDescent="0.35">
      <c r="A3597" s="2" t="s">
        <v>1642</v>
      </c>
      <c r="B3597" s="2" t="s">
        <v>1675</v>
      </c>
      <c r="C3597" s="2" t="s">
        <v>62</v>
      </c>
      <c r="D3597" s="2" t="s">
        <v>1741</v>
      </c>
      <c r="E3597" s="2" t="s">
        <v>121</v>
      </c>
      <c r="F3597" s="2" t="s">
        <v>122</v>
      </c>
      <c r="G3597" s="2"/>
      <c r="H3597" s="2"/>
      <c r="I3597" s="2" t="s">
        <v>20</v>
      </c>
      <c r="J3597" s="2" t="s">
        <v>1677</v>
      </c>
    </row>
    <row r="3598" spans="1:10" x14ac:dyDescent="0.35">
      <c r="A3598" s="2" t="s">
        <v>1642</v>
      </c>
      <c r="B3598" s="2" t="s">
        <v>1675</v>
      </c>
      <c r="C3598" s="2" t="s">
        <v>62</v>
      </c>
      <c r="D3598" s="2" t="s">
        <v>1741</v>
      </c>
      <c r="E3598" s="2" t="s">
        <v>87</v>
      </c>
      <c r="F3598" s="2" t="s">
        <v>75</v>
      </c>
      <c r="G3598" s="2" t="s">
        <v>20</v>
      </c>
      <c r="H3598" s="2" t="s">
        <v>1742</v>
      </c>
      <c r="I3598" s="2" t="s">
        <v>20</v>
      </c>
      <c r="J3598" s="2" t="s">
        <v>1677</v>
      </c>
    </row>
    <row r="3599" spans="1:10" x14ac:dyDescent="0.35">
      <c r="A3599" s="2" t="s">
        <v>1642</v>
      </c>
      <c r="B3599" s="2" t="s">
        <v>1675</v>
      </c>
      <c r="C3599" s="2" t="s">
        <v>62</v>
      </c>
      <c r="D3599" s="2" t="s">
        <v>1741</v>
      </c>
      <c r="E3599" s="2" t="s">
        <v>1701</v>
      </c>
      <c r="F3599" s="2" t="s">
        <v>30</v>
      </c>
      <c r="G3599" s="2"/>
      <c r="H3599" s="2"/>
      <c r="I3599" s="2" t="s">
        <v>20</v>
      </c>
      <c r="J3599" s="2" t="s">
        <v>1677</v>
      </c>
    </row>
    <row r="3600" spans="1:10" x14ac:dyDescent="0.35">
      <c r="A3600" s="2" t="s">
        <v>1642</v>
      </c>
      <c r="B3600" s="2" t="s">
        <v>1675</v>
      </c>
      <c r="C3600" s="2" t="s">
        <v>62</v>
      </c>
      <c r="D3600" s="2" t="s">
        <v>1743</v>
      </c>
      <c r="E3600" s="2" t="s">
        <v>74</v>
      </c>
      <c r="F3600" s="2" t="s">
        <v>75</v>
      </c>
      <c r="G3600" s="2" t="s">
        <v>20</v>
      </c>
      <c r="H3600" s="2" t="s">
        <v>1730</v>
      </c>
      <c r="I3600" s="2" t="s">
        <v>20</v>
      </c>
      <c r="J3600" s="2" t="s">
        <v>1677</v>
      </c>
    </row>
    <row r="3601" spans="1:10" x14ac:dyDescent="0.35">
      <c r="A3601" s="2" t="s">
        <v>1642</v>
      </c>
      <c r="B3601" s="2" t="s">
        <v>1675</v>
      </c>
      <c r="C3601" s="2" t="s">
        <v>62</v>
      </c>
      <c r="D3601" s="2" t="s">
        <v>1743</v>
      </c>
      <c r="E3601" s="2" t="s">
        <v>121</v>
      </c>
      <c r="F3601" s="2" t="s">
        <v>122</v>
      </c>
      <c r="G3601" s="2"/>
      <c r="H3601" s="2"/>
      <c r="I3601" s="2" t="s">
        <v>20</v>
      </c>
      <c r="J3601" s="2" t="s">
        <v>1677</v>
      </c>
    </row>
    <row r="3602" spans="1:10" x14ac:dyDescent="0.35">
      <c r="A3602" s="2" t="s">
        <v>1642</v>
      </c>
      <c r="B3602" s="2" t="s">
        <v>1675</v>
      </c>
      <c r="C3602" s="2" t="s">
        <v>62</v>
      </c>
      <c r="D3602" s="2" t="s">
        <v>1743</v>
      </c>
      <c r="E3602" s="2" t="s">
        <v>87</v>
      </c>
      <c r="F3602" s="2" t="s">
        <v>75</v>
      </c>
      <c r="G3602" s="2" t="s">
        <v>20</v>
      </c>
      <c r="H3602" s="2" t="s">
        <v>1744</v>
      </c>
      <c r="I3602" s="2" t="s">
        <v>20</v>
      </c>
      <c r="J3602" s="2" t="s">
        <v>1677</v>
      </c>
    </row>
    <row r="3603" spans="1:10" x14ac:dyDescent="0.35">
      <c r="A3603" s="2" t="s">
        <v>1642</v>
      </c>
      <c r="B3603" s="2" t="s">
        <v>1675</v>
      </c>
      <c r="C3603" s="2" t="s">
        <v>62</v>
      </c>
      <c r="D3603" s="2" t="s">
        <v>1743</v>
      </c>
      <c r="E3603" s="2" t="s">
        <v>1681</v>
      </c>
      <c r="F3603" s="2" t="s">
        <v>1650</v>
      </c>
      <c r="G3603" s="2"/>
      <c r="H3603" s="2"/>
      <c r="I3603" s="2" t="s">
        <v>20</v>
      </c>
      <c r="J3603" s="2" t="s">
        <v>1677</v>
      </c>
    </row>
    <row r="3604" spans="1:10" x14ac:dyDescent="0.35">
      <c r="A3604" s="2" t="s">
        <v>1642</v>
      </c>
      <c r="B3604" s="2" t="s">
        <v>1675</v>
      </c>
      <c r="C3604" s="2" t="s">
        <v>12</v>
      </c>
      <c r="D3604" s="2" t="s">
        <v>1745</v>
      </c>
      <c r="E3604" s="2" t="s">
        <v>74</v>
      </c>
      <c r="F3604" s="2" t="s">
        <v>75</v>
      </c>
      <c r="G3604" s="2" t="s">
        <v>16</v>
      </c>
      <c r="H3604" s="2" t="s">
        <v>1746</v>
      </c>
      <c r="I3604" s="2" t="s">
        <v>20</v>
      </c>
      <c r="J3604" s="2" t="s">
        <v>1677</v>
      </c>
    </row>
    <row r="3605" spans="1:10" x14ac:dyDescent="0.35">
      <c r="A3605" s="2" t="s">
        <v>1642</v>
      </c>
      <c r="B3605" s="2" t="s">
        <v>1675</v>
      </c>
      <c r="C3605" s="2" t="s">
        <v>12</v>
      </c>
      <c r="D3605" s="2" t="s">
        <v>1745</v>
      </c>
      <c r="E3605" s="2" t="s">
        <v>91</v>
      </c>
      <c r="F3605" s="2" t="s">
        <v>1679</v>
      </c>
      <c r="G3605" s="2" t="s">
        <v>16</v>
      </c>
      <c r="H3605" s="2" t="s">
        <v>1747</v>
      </c>
      <c r="I3605" s="2" t="s">
        <v>20</v>
      </c>
      <c r="J3605" s="2" t="s">
        <v>1677</v>
      </c>
    </row>
    <row r="3606" spans="1:10" x14ac:dyDescent="0.35">
      <c r="A3606" s="2" t="s">
        <v>1642</v>
      </c>
      <c r="B3606" s="2" t="s">
        <v>1675</v>
      </c>
      <c r="C3606" s="2" t="s">
        <v>12</v>
      </c>
      <c r="D3606" s="2" t="s">
        <v>1745</v>
      </c>
      <c r="E3606" s="2" t="s">
        <v>87</v>
      </c>
      <c r="F3606" s="2" t="s">
        <v>75</v>
      </c>
      <c r="G3606" s="2" t="s">
        <v>16</v>
      </c>
      <c r="H3606" s="2" t="s">
        <v>1746</v>
      </c>
      <c r="I3606" s="2" t="s">
        <v>20</v>
      </c>
      <c r="J3606" s="2" t="s">
        <v>1677</v>
      </c>
    </row>
    <row r="3607" spans="1:10" x14ac:dyDescent="0.35">
      <c r="A3607" s="2" t="s">
        <v>1642</v>
      </c>
      <c r="B3607" s="2" t="s">
        <v>1675</v>
      </c>
      <c r="C3607" s="2" t="s">
        <v>12</v>
      </c>
      <c r="D3607" s="2" t="s">
        <v>1745</v>
      </c>
      <c r="E3607" s="2" t="s">
        <v>61</v>
      </c>
      <c r="F3607" s="2" t="s">
        <v>30</v>
      </c>
      <c r="G3607" s="2" t="s">
        <v>16</v>
      </c>
      <c r="H3607" s="2" t="s">
        <v>1748</v>
      </c>
      <c r="I3607" s="2" t="s">
        <v>20</v>
      </c>
      <c r="J3607" s="2" t="s">
        <v>1677</v>
      </c>
    </row>
    <row r="3608" spans="1:10" x14ac:dyDescent="0.35">
      <c r="A3608" s="2" t="s">
        <v>1642</v>
      </c>
      <c r="B3608" s="2" t="s">
        <v>1675</v>
      </c>
      <c r="C3608" s="2" t="s">
        <v>62</v>
      </c>
      <c r="D3608" s="2" t="s">
        <v>1749</v>
      </c>
      <c r="E3608" s="2" t="s">
        <v>74</v>
      </c>
      <c r="F3608" s="2" t="s">
        <v>75</v>
      </c>
      <c r="G3608" s="2" t="s">
        <v>20</v>
      </c>
      <c r="H3608" s="2" t="s">
        <v>1730</v>
      </c>
      <c r="I3608" s="2" t="s">
        <v>20</v>
      </c>
      <c r="J3608" s="2" t="s">
        <v>1677</v>
      </c>
    </row>
    <row r="3609" spans="1:10" x14ac:dyDescent="0.35">
      <c r="A3609" s="2" t="s">
        <v>1642</v>
      </c>
      <c r="B3609" s="2" t="s">
        <v>1675</v>
      </c>
      <c r="C3609" s="2" t="s">
        <v>62</v>
      </c>
      <c r="D3609" s="2" t="s">
        <v>1749</v>
      </c>
      <c r="E3609" s="2" t="s">
        <v>1713</v>
      </c>
      <c r="F3609" s="2" t="s">
        <v>122</v>
      </c>
      <c r="G3609" s="2"/>
      <c r="H3609" s="2"/>
      <c r="I3609" s="2" t="s">
        <v>20</v>
      </c>
      <c r="J3609" s="2" t="s">
        <v>1677</v>
      </c>
    </row>
    <row r="3610" spans="1:10" x14ac:dyDescent="0.35">
      <c r="A3610" s="2" t="s">
        <v>1642</v>
      </c>
      <c r="B3610" s="2" t="s">
        <v>1675</v>
      </c>
      <c r="C3610" s="2" t="s">
        <v>62</v>
      </c>
      <c r="D3610" s="2" t="s">
        <v>1749</v>
      </c>
      <c r="E3610" s="2" t="s">
        <v>87</v>
      </c>
      <c r="F3610" s="2" t="s">
        <v>75</v>
      </c>
      <c r="G3610" s="2" t="s">
        <v>20</v>
      </c>
      <c r="H3610" s="2" t="s">
        <v>1744</v>
      </c>
      <c r="I3610" s="2" t="s">
        <v>20</v>
      </c>
      <c r="J3610" s="2" t="s">
        <v>1677</v>
      </c>
    </row>
    <row r="3611" spans="1:10" x14ac:dyDescent="0.35">
      <c r="A3611" s="2" t="s">
        <v>1642</v>
      </c>
      <c r="B3611" s="2" t="s">
        <v>1675</v>
      </c>
      <c r="C3611" s="2" t="s">
        <v>62</v>
      </c>
      <c r="D3611" s="2" t="s">
        <v>1749</v>
      </c>
      <c r="E3611" s="2" t="s">
        <v>1681</v>
      </c>
      <c r="F3611" s="2" t="s">
        <v>1650</v>
      </c>
      <c r="G3611" s="2"/>
      <c r="H3611" s="2"/>
      <c r="I3611" s="2" t="s">
        <v>20</v>
      </c>
      <c r="J3611" s="2" t="s">
        <v>1677</v>
      </c>
    </row>
    <row r="3612" spans="1:10" x14ac:dyDescent="0.35">
      <c r="A3612" s="2" t="s">
        <v>1642</v>
      </c>
      <c r="B3612" s="2" t="s">
        <v>1675</v>
      </c>
      <c r="C3612" s="2" t="s">
        <v>62</v>
      </c>
      <c r="D3612" s="2" t="s">
        <v>1750</v>
      </c>
      <c r="E3612" s="2" t="s">
        <v>121</v>
      </c>
      <c r="F3612" s="2" t="s">
        <v>122</v>
      </c>
      <c r="G3612" s="2"/>
      <c r="H3612" s="2"/>
      <c r="I3612" s="2" t="s">
        <v>20</v>
      </c>
      <c r="J3612" s="2" t="s">
        <v>1677</v>
      </c>
    </row>
    <row r="3613" spans="1:10" x14ac:dyDescent="0.35">
      <c r="A3613" s="2" t="s">
        <v>1642</v>
      </c>
      <c r="B3613" s="2" t="s">
        <v>1675</v>
      </c>
      <c r="C3613" s="2" t="s">
        <v>62</v>
      </c>
      <c r="D3613" s="2" t="s">
        <v>1750</v>
      </c>
      <c r="E3613" s="2" t="s">
        <v>87</v>
      </c>
      <c r="F3613" s="2" t="s">
        <v>75</v>
      </c>
      <c r="G3613" s="2" t="s">
        <v>20</v>
      </c>
      <c r="H3613" s="2" t="s">
        <v>1751</v>
      </c>
      <c r="I3613" s="2" t="s">
        <v>20</v>
      </c>
      <c r="J3613" s="2" t="s">
        <v>1677</v>
      </c>
    </row>
    <row r="3614" spans="1:10" x14ac:dyDescent="0.35">
      <c r="A3614" s="2" t="s">
        <v>1642</v>
      </c>
      <c r="B3614" s="2" t="s">
        <v>1675</v>
      </c>
      <c r="C3614" s="2" t="s">
        <v>62</v>
      </c>
      <c r="D3614" s="2" t="s">
        <v>1750</v>
      </c>
      <c r="E3614" s="2" t="s">
        <v>1681</v>
      </c>
      <c r="F3614" s="2" t="s">
        <v>1650</v>
      </c>
      <c r="G3614" s="2"/>
      <c r="H3614" s="2"/>
      <c r="I3614" s="2" t="s">
        <v>20</v>
      </c>
      <c r="J3614" s="2" t="s">
        <v>1677</v>
      </c>
    </row>
    <row r="3615" spans="1:10" x14ac:dyDescent="0.35">
      <c r="A3615" s="2" t="s">
        <v>1642</v>
      </c>
      <c r="B3615" s="2" t="s">
        <v>1675</v>
      </c>
      <c r="C3615" s="2" t="s">
        <v>54</v>
      </c>
      <c r="D3615" s="2" t="s">
        <v>1752</v>
      </c>
      <c r="E3615" s="2" t="s">
        <v>393</v>
      </c>
      <c r="F3615" s="2" t="s">
        <v>36</v>
      </c>
      <c r="G3615" s="2" t="s">
        <v>20</v>
      </c>
      <c r="H3615" s="2" t="s">
        <v>1753</v>
      </c>
      <c r="I3615" s="2" t="s">
        <v>20</v>
      </c>
      <c r="J3615" s="2" t="s">
        <v>1677</v>
      </c>
    </row>
    <row r="3616" spans="1:10" x14ac:dyDescent="0.35">
      <c r="A3616" s="2" t="s">
        <v>1642</v>
      </c>
      <c r="B3616" s="2" t="s">
        <v>1675</v>
      </c>
      <c r="C3616" s="2" t="s">
        <v>54</v>
      </c>
      <c r="D3616" s="2" t="s">
        <v>1752</v>
      </c>
      <c r="E3616" s="2" t="s">
        <v>91</v>
      </c>
      <c r="F3616" s="2" t="s">
        <v>1679</v>
      </c>
      <c r="G3616" s="2" t="s">
        <v>20</v>
      </c>
      <c r="H3616" s="2" t="s">
        <v>1753</v>
      </c>
      <c r="I3616" s="2" t="s">
        <v>20</v>
      </c>
      <c r="J3616" s="2" t="s">
        <v>1677</v>
      </c>
    </row>
    <row r="3617" spans="1:10" x14ac:dyDescent="0.35">
      <c r="A3617" s="2" t="s">
        <v>1642</v>
      </c>
      <c r="B3617" s="2" t="s">
        <v>1675</v>
      </c>
      <c r="C3617" s="2" t="s">
        <v>54</v>
      </c>
      <c r="D3617" s="2" t="s">
        <v>1752</v>
      </c>
      <c r="E3617" s="2" t="s">
        <v>278</v>
      </c>
      <c r="F3617" s="2" t="s">
        <v>45</v>
      </c>
      <c r="G3617" s="2" t="s">
        <v>20</v>
      </c>
      <c r="H3617" s="2" t="s">
        <v>1753</v>
      </c>
      <c r="I3617" s="2" t="s">
        <v>20</v>
      </c>
      <c r="J3617" s="2" t="s">
        <v>1677</v>
      </c>
    </row>
    <row r="3618" spans="1:10" x14ac:dyDescent="0.35">
      <c r="A3618" s="2" t="s">
        <v>1642</v>
      </c>
      <c r="B3618" s="2" t="s">
        <v>1675</v>
      </c>
      <c r="C3618" s="2" t="s">
        <v>54</v>
      </c>
      <c r="D3618" s="2" t="s">
        <v>1754</v>
      </c>
      <c r="E3618" s="2" t="s">
        <v>1713</v>
      </c>
      <c r="F3618" s="2" t="s">
        <v>122</v>
      </c>
      <c r="G3618" s="2"/>
      <c r="H3618" s="2"/>
      <c r="I3618" s="2" t="s">
        <v>20</v>
      </c>
      <c r="J3618" s="2" t="s">
        <v>1677</v>
      </c>
    </row>
    <row r="3619" spans="1:10" x14ac:dyDescent="0.35">
      <c r="A3619" s="2" t="s">
        <v>1642</v>
      </c>
      <c r="B3619" s="2" t="s">
        <v>1675</v>
      </c>
      <c r="C3619" s="2" t="s">
        <v>54</v>
      </c>
      <c r="D3619" s="2" t="s">
        <v>1754</v>
      </c>
      <c r="E3619" s="2" t="s">
        <v>156</v>
      </c>
      <c r="F3619" s="2" t="s">
        <v>45</v>
      </c>
      <c r="G3619" s="2" t="s">
        <v>20</v>
      </c>
      <c r="H3619" s="2" t="s">
        <v>1755</v>
      </c>
      <c r="I3619" s="2" t="s">
        <v>20</v>
      </c>
      <c r="J3619" s="2" t="s">
        <v>1677</v>
      </c>
    </row>
    <row r="3620" spans="1:10" x14ac:dyDescent="0.35">
      <c r="A3620" s="2" t="s">
        <v>1642</v>
      </c>
      <c r="B3620" s="2" t="s">
        <v>1675</v>
      </c>
      <c r="C3620" s="2" t="s">
        <v>54</v>
      </c>
      <c r="D3620" s="2" t="s">
        <v>1754</v>
      </c>
      <c r="E3620" s="2" t="s">
        <v>87</v>
      </c>
      <c r="F3620" s="2" t="s">
        <v>75</v>
      </c>
      <c r="G3620" s="2"/>
      <c r="H3620" s="2"/>
      <c r="I3620" s="2" t="s">
        <v>20</v>
      </c>
      <c r="J3620" s="2" t="s">
        <v>1677</v>
      </c>
    </row>
    <row r="3621" spans="1:10" x14ac:dyDescent="0.35">
      <c r="A3621" s="2" t="s">
        <v>1642</v>
      </c>
      <c r="B3621" s="2" t="s">
        <v>1675</v>
      </c>
      <c r="C3621" s="2" t="s">
        <v>54</v>
      </c>
      <c r="D3621" s="2" t="s">
        <v>1754</v>
      </c>
      <c r="E3621" s="2" t="s">
        <v>18</v>
      </c>
      <c r="F3621" s="2" t="s">
        <v>1679</v>
      </c>
      <c r="G3621" s="2" t="s">
        <v>20</v>
      </c>
      <c r="H3621" s="2" t="s">
        <v>1756</v>
      </c>
      <c r="I3621" s="2" t="s">
        <v>20</v>
      </c>
      <c r="J3621" s="2" t="s">
        <v>1677</v>
      </c>
    </row>
    <row r="3622" spans="1:10" x14ac:dyDescent="0.35">
      <c r="A3622" s="2" t="s">
        <v>1642</v>
      </c>
      <c r="B3622" s="2" t="s">
        <v>1675</v>
      </c>
      <c r="C3622" s="2" t="s">
        <v>54</v>
      </c>
      <c r="D3622" s="2" t="s">
        <v>1757</v>
      </c>
      <c r="E3622" s="2" t="s">
        <v>91</v>
      </c>
      <c r="F3622" s="2" t="s">
        <v>1679</v>
      </c>
      <c r="G3622" s="2" t="s">
        <v>20</v>
      </c>
      <c r="H3622" s="2" t="s">
        <v>1718</v>
      </c>
      <c r="I3622" s="2" t="s">
        <v>20</v>
      </c>
      <c r="J3622" s="2" t="s">
        <v>1677</v>
      </c>
    </row>
    <row r="3623" spans="1:10" x14ac:dyDescent="0.35">
      <c r="A3623" s="2" t="s">
        <v>1642</v>
      </c>
      <c r="B3623" s="2" t="s">
        <v>1675</v>
      </c>
      <c r="C3623" s="2" t="s">
        <v>54</v>
      </c>
      <c r="D3623" s="2" t="s">
        <v>1757</v>
      </c>
      <c r="E3623" s="2" t="s">
        <v>87</v>
      </c>
      <c r="F3623" s="2" t="s">
        <v>75</v>
      </c>
      <c r="G3623" s="2" t="s">
        <v>20</v>
      </c>
      <c r="H3623" s="2" t="s">
        <v>1718</v>
      </c>
      <c r="I3623" s="2" t="s">
        <v>20</v>
      </c>
      <c r="J3623" s="2" t="s">
        <v>1677</v>
      </c>
    </row>
    <row r="3624" spans="1:10" x14ac:dyDescent="0.35">
      <c r="A3624" s="2" t="s">
        <v>1642</v>
      </c>
      <c r="B3624" s="2" t="s">
        <v>1675</v>
      </c>
      <c r="C3624" s="2" t="s">
        <v>54</v>
      </c>
      <c r="D3624" s="2" t="s">
        <v>1757</v>
      </c>
      <c r="E3624" s="2" t="s">
        <v>1758</v>
      </c>
      <c r="F3624" s="2" t="s">
        <v>40</v>
      </c>
      <c r="G3624" s="2" t="s">
        <v>20</v>
      </c>
      <c r="H3624" s="2" t="s">
        <v>1718</v>
      </c>
      <c r="I3624" s="2" t="s">
        <v>20</v>
      </c>
      <c r="J3624" s="2" t="s">
        <v>1677</v>
      </c>
    </row>
    <row r="3625" spans="1:10" x14ac:dyDescent="0.35">
      <c r="A3625" s="2" t="s">
        <v>1642</v>
      </c>
      <c r="B3625" s="2" t="s">
        <v>1675</v>
      </c>
      <c r="C3625" s="2" t="s">
        <v>54</v>
      </c>
      <c r="D3625" s="2" t="s">
        <v>1759</v>
      </c>
      <c r="E3625" s="2" t="s">
        <v>121</v>
      </c>
      <c r="F3625" s="2" t="s">
        <v>122</v>
      </c>
      <c r="G3625" s="2" t="s">
        <v>16</v>
      </c>
      <c r="H3625" s="2" t="s">
        <v>1760</v>
      </c>
      <c r="I3625" s="2" t="s">
        <v>20</v>
      </c>
      <c r="J3625" s="2" t="s">
        <v>1677</v>
      </c>
    </row>
    <row r="3626" spans="1:10" x14ac:dyDescent="0.35">
      <c r="A3626" s="2" t="s">
        <v>1642</v>
      </c>
      <c r="B3626" s="2" t="s">
        <v>1675</v>
      </c>
      <c r="C3626" s="2" t="s">
        <v>54</v>
      </c>
      <c r="D3626" s="2" t="s">
        <v>1759</v>
      </c>
      <c r="E3626" s="2" t="s">
        <v>91</v>
      </c>
      <c r="F3626" s="2" t="s">
        <v>19</v>
      </c>
      <c r="G3626" s="2" t="s">
        <v>16</v>
      </c>
      <c r="H3626" s="2" t="s">
        <v>1747</v>
      </c>
      <c r="I3626" s="2" t="s">
        <v>20</v>
      </c>
      <c r="J3626" s="2" t="s">
        <v>1677</v>
      </c>
    </row>
    <row r="3627" spans="1:10" x14ac:dyDescent="0.35">
      <c r="A3627" s="2" t="s">
        <v>1642</v>
      </c>
      <c r="B3627" s="2" t="s">
        <v>1675</v>
      </c>
      <c r="C3627" s="2" t="s">
        <v>54</v>
      </c>
      <c r="D3627" s="2" t="s">
        <v>1759</v>
      </c>
      <c r="E3627" s="2" t="s">
        <v>87</v>
      </c>
      <c r="F3627" s="2" t="s">
        <v>75</v>
      </c>
      <c r="G3627" s="2" t="s">
        <v>16</v>
      </c>
      <c r="H3627" s="2" t="s">
        <v>1761</v>
      </c>
      <c r="I3627" s="2" t="s">
        <v>20</v>
      </c>
      <c r="J3627" s="2" t="s">
        <v>1677</v>
      </c>
    </row>
    <row r="3628" spans="1:10" x14ac:dyDescent="0.35">
      <c r="A3628" s="2" t="s">
        <v>1642</v>
      </c>
      <c r="B3628" s="2" t="s">
        <v>1675</v>
      </c>
      <c r="C3628" s="2" t="s">
        <v>54</v>
      </c>
      <c r="D3628" s="2" t="s">
        <v>1759</v>
      </c>
      <c r="E3628" s="2" t="s">
        <v>1181</v>
      </c>
      <c r="F3628" s="2" t="s">
        <v>30</v>
      </c>
      <c r="G3628" s="2" t="s">
        <v>16</v>
      </c>
      <c r="H3628" s="2" t="s">
        <v>1760</v>
      </c>
      <c r="I3628" s="2" t="s">
        <v>20</v>
      </c>
      <c r="J3628" s="2" t="s">
        <v>1677</v>
      </c>
    </row>
    <row r="3629" spans="1:10" x14ac:dyDescent="0.35">
      <c r="A3629" s="2" t="s">
        <v>1642</v>
      </c>
      <c r="B3629" s="2" t="s">
        <v>1675</v>
      </c>
      <c r="C3629" s="2" t="s">
        <v>62</v>
      </c>
      <c r="D3629" s="2" t="s">
        <v>1762</v>
      </c>
      <c r="E3629" s="2" t="s">
        <v>121</v>
      </c>
      <c r="F3629" s="2" t="s">
        <v>122</v>
      </c>
      <c r="G3629" s="2"/>
      <c r="H3629" s="2"/>
      <c r="I3629" s="2" t="s">
        <v>20</v>
      </c>
      <c r="J3629" s="2" t="s">
        <v>1677</v>
      </c>
    </row>
    <row r="3630" spans="1:10" x14ac:dyDescent="0.35">
      <c r="A3630" s="2" t="s">
        <v>1642</v>
      </c>
      <c r="B3630" s="2" t="s">
        <v>1675</v>
      </c>
      <c r="C3630" s="2" t="s">
        <v>62</v>
      </c>
      <c r="D3630" s="2" t="s">
        <v>1762</v>
      </c>
      <c r="E3630" s="2" t="s">
        <v>87</v>
      </c>
      <c r="F3630" s="2" t="s">
        <v>75</v>
      </c>
      <c r="G3630" s="2" t="s">
        <v>20</v>
      </c>
      <c r="H3630" s="2" t="s">
        <v>1763</v>
      </c>
      <c r="I3630" s="2" t="s">
        <v>20</v>
      </c>
      <c r="J3630" s="2" t="s">
        <v>1677</v>
      </c>
    </row>
    <row r="3631" spans="1:10" x14ac:dyDescent="0.35">
      <c r="A3631" s="2" t="s">
        <v>1642</v>
      </c>
      <c r="B3631" s="2" t="s">
        <v>1675</v>
      </c>
      <c r="C3631" s="2" t="s">
        <v>62</v>
      </c>
      <c r="D3631" s="2" t="s">
        <v>1762</v>
      </c>
      <c r="E3631" s="2" t="s">
        <v>127</v>
      </c>
      <c r="F3631" s="2" t="s">
        <v>1650</v>
      </c>
      <c r="G3631" s="2"/>
      <c r="H3631" s="2"/>
      <c r="I3631" s="2" t="s">
        <v>20</v>
      </c>
      <c r="J3631" s="2" t="s">
        <v>1677</v>
      </c>
    </row>
    <row r="3632" spans="1:10" x14ac:dyDescent="0.35">
      <c r="A3632" s="2" t="s">
        <v>1642</v>
      </c>
      <c r="B3632" s="2" t="s">
        <v>1764</v>
      </c>
      <c r="C3632" s="2" t="s">
        <v>57</v>
      </c>
      <c r="D3632" s="2" t="s">
        <v>1765</v>
      </c>
      <c r="E3632" s="2" t="s">
        <v>14</v>
      </c>
      <c r="F3632" s="2" t="s">
        <v>15</v>
      </c>
      <c r="G3632" s="2"/>
      <c r="H3632" s="2"/>
      <c r="I3632" s="2" t="s">
        <v>16</v>
      </c>
      <c r="J3632" s="2" t="s">
        <v>1766</v>
      </c>
    </row>
    <row r="3633" spans="1:10" x14ac:dyDescent="0.35">
      <c r="A3633" s="2" t="s">
        <v>1642</v>
      </c>
      <c r="B3633" s="2" t="s">
        <v>1764</v>
      </c>
      <c r="C3633" s="2" t="s">
        <v>57</v>
      </c>
      <c r="D3633" s="2" t="s">
        <v>1765</v>
      </c>
      <c r="E3633" s="2" t="s">
        <v>200</v>
      </c>
      <c r="F3633" s="2" t="s">
        <v>201</v>
      </c>
      <c r="G3633" s="2" t="s">
        <v>16</v>
      </c>
      <c r="H3633" s="2" t="s">
        <v>206</v>
      </c>
      <c r="I3633" s="2" t="s">
        <v>16</v>
      </c>
      <c r="J3633" s="2" t="s">
        <v>1766</v>
      </c>
    </row>
    <row r="3634" spans="1:10" x14ac:dyDescent="0.35">
      <c r="A3634" s="2" t="s">
        <v>1642</v>
      </c>
      <c r="B3634" s="2" t="s">
        <v>1764</v>
      </c>
      <c r="C3634" s="2" t="s">
        <v>57</v>
      </c>
      <c r="D3634" s="2" t="s">
        <v>1765</v>
      </c>
      <c r="E3634" s="2" t="s">
        <v>59</v>
      </c>
      <c r="F3634" s="2" t="s">
        <v>60</v>
      </c>
      <c r="G3634" s="2"/>
      <c r="H3634" s="2"/>
      <c r="I3634" s="2" t="s">
        <v>16</v>
      </c>
      <c r="J3634" s="2" t="s">
        <v>1766</v>
      </c>
    </row>
    <row r="3635" spans="1:10" x14ac:dyDescent="0.35">
      <c r="A3635" s="2" t="s">
        <v>1642</v>
      </c>
      <c r="B3635" s="2" t="s">
        <v>1764</v>
      </c>
      <c r="C3635" s="2" t="s">
        <v>57</v>
      </c>
      <c r="D3635" s="2" t="s">
        <v>1765</v>
      </c>
      <c r="E3635" s="2" t="s">
        <v>49</v>
      </c>
      <c r="F3635" s="2" t="s">
        <v>50</v>
      </c>
      <c r="G3635" s="2" t="s">
        <v>46</v>
      </c>
      <c r="H3635" s="2" t="s">
        <v>451</v>
      </c>
      <c r="I3635" s="2" t="s">
        <v>16</v>
      </c>
      <c r="J3635" s="2" t="s">
        <v>1766</v>
      </c>
    </row>
    <row r="3636" spans="1:10" x14ac:dyDescent="0.35">
      <c r="A3636" s="2" t="s">
        <v>1642</v>
      </c>
      <c r="B3636" s="2" t="s">
        <v>1764</v>
      </c>
      <c r="C3636" s="2" t="s">
        <v>57</v>
      </c>
      <c r="D3636" s="2" t="s">
        <v>1765</v>
      </c>
      <c r="E3636" s="2" t="s">
        <v>18</v>
      </c>
      <c r="F3636" s="2" t="s">
        <v>19</v>
      </c>
      <c r="G3636" s="2" t="s">
        <v>16</v>
      </c>
      <c r="H3636" s="2" t="s">
        <v>1767</v>
      </c>
      <c r="I3636" s="2" t="s">
        <v>16</v>
      </c>
      <c r="J3636" s="2" t="s">
        <v>1766</v>
      </c>
    </row>
    <row r="3637" spans="1:10" x14ac:dyDescent="0.35">
      <c r="A3637" s="2" t="s">
        <v>1642</v>
      </c>
      <c r="B3637" s="2" t="s">
        <v>1764</v>
      </c>
      <c r="C3637" s="2" t="s">
        <v>57</v>
      </c>
      <c r="D3637" s="2" t="s">
        <v>1765</v>
      </c>
      <c r="E3637" s="2" t="s">
        <v>112</v>
      </c>
      <c r="F3637" s="2" t="s">
        <v>113</v>
      </c>
      <c r="G3637" s="2" t="s">
        <v>16</v>
      </c>
      <c r="H3637" s="2" t="s">
        <v>206</v>
      </c>
      <c r="I3637" s="2" t="s">
        <v>16</v>
      </c>
      <c r="J3637" s="2" t="s">
        <v>1766</v>
      </c>
    </row>
    <row r="3638" spans="1:10" x14ac:dyDescent="0.35">
      <c r="A3638" s="2" t="s">
        <v>1642</v>
      </c>
      <c r="B3638" s="2" t="s">
        <v>1768</v>
      </c>
      <c r="C3638" s="2" t="s">
        <v>12</v>
      </c>
      <c r="D3638" s="2" t="s">
        <v>1769</v>
      </c>
      <c r="E3638" s="2" t="s">
        <v>18</v>
      </c>
      <c r="F3638" s="2" t="s">
        <v>19</v>
      </c>
      <c r="G3638" s="2" t="s">
        <v>20</v>
      </c>
      <c r="H3638" s="2" t="s">
        <v>1770</v>
      </c>
      <c r="I3638" s="2"/>
      <c r="J3638" s="2"/>
    </row>
    <row r="3639" spans="1:10" x14ac:dyDescent="0.35">
      <c r="A3639" s="2" t="s">
        <v>1642</v>
      </c>
      <c r="B3639" s="2" t="s">
        <v>1768</v>
      </c>
      <c r="C3639" s="2" t="s">
        <v>12</v>
      </c>
      <c r="D3639" s="2" t="s">
        <v>1769</v>
      </c>
      <c r="E3639" s="2" t="s">
        <v>542</v>
      </c>
      <c r="F3639" s="2" t="s">
        <v>78</v>
      </c>
      <c r="G3639" s="2"/>
      <c r="H3639" s="2"/>
      <c r="I3639" s="2"/>
      <c r="J3639" s="2"/>
    </row>
    <row r="3640" spans="1:10" s="21" customFormat="1" x14ac:dyDescent="0.35">
      <c r="A3640" s="2" t="s">
        <v>1642</v>
      </c>
      <c r="B3640" s="2" t="s">
        <v>1768</v>
      </c>
      <c r="C3640" s="2" t="s">
        <v>24</v>
      </c>
      <c r="D3640" s="2" t="s">
        <v>1771</v>
      </c>
      <c r="E3640" s="2" t="s">
        <v>121</v>
      </c>
      <c r="F3640" s="2" t="s">
        <v>122</v>
      </c>
      <c r="G3640" s="2"/>
      <c r="H3640" s="2"/>
      <c r="I3640" s="2"/>
      <c r="J3640" s="2"/>
    </row>
    <row r="3641" spans="1:10" s="21" customFormat="1" x14ac:dyDescent="0.35">
      <c r="A3641" s="2" t="s">
        <v>1642</v>
      </c>
      <c r="B3641" s="2" t="s">
        <v>1768</v>
      </c>
      <c r="C3641" s="2" t="s">
        <v>24</v>
      </c>
      <c r="D3641" s="2" t="s">
        <v>1771</v>
      </c>
      <c r="E3641" s="2" t="s">
        <v>18</v>
      </c>
      <c r="F3641" s="2" t="s">
        <v>19</v>
      </c>
      <c r="G3641" s="2" t="s">
        <v>20</v>
      </c>
      <c r="H3641" s="2" t="s">
        <v>1772</v>
      </c>
      <c r="I3641" s="2"/>
      <c r="J3641" s="2"/>
    </row>
    <row r="3642" spans="1:10" s="21" customFormat="1" x14ac:dyDescent="0.35">
      <c r="A3642" s="2" t="s">
        <v>1642</v>
      </c>
      <c r="B3642" s="2" t="s">
        <v>1768</v>
      </c>
      <c r="C3642" s="2" t="s">
        <v>24</v>
      </c>
      <c r="D3642" s="2" t="s">
        <v>1771</v>
      </c>
      <c r="E3642" s="2" t="s">
        <v>1773</v>
      </c>
      <c r="F3642" s="2" t="s">
        <v>43</v>
      </c>
      <c r="G3642" s="2"/>
      <c r="H3642" s="2"/>
      <c r="I3642" s="2"/>
      <c r="J3642" s="2"/>
    </row>
    <row r="3643" spans="1:10" x14ac:dyDescent="0.35">
      <c r="A3643" s="2" t="s">
        <v>1642</v>
      </c>
      <c r="B3643" s="2" t="s">
        <v>1768</v>
      </c>
      <c r="C3643" s="2" t="s">
        <v>54</v>
      </c>
      <c r="D3643" s="2" t="s">
        <v>1774</v>
      </c>
      <c r="E3643" s="2" t="s">
        <v>1775</v>
      </c>
      <c r="F3643" s="2" t="s">
        <v>203</v>
      </c>
      <c r="G3643" s="2"/>
      <c r="H3643" s="2"/>
      <c r="I3643" s="2"/>
      <c r="J3643" s="2"/>
    </row>
    <row r="3644" spans="1:10" x14ac:dyDescent="0.35">
      <c r="A3644" s="2" t="s">
        <v>1642</v>
      </c>
      <c r="B3644" s="2" t="s">
        <v>1768</v>
      </c>
      <c r="C3644" s="2" t="s">
        <v>54</v>
      </c>
      <c r="D3644" s="2" t="s">
        <v>1774</v>
      </c>
      <c r="E3644" s="2" t="s">
        <v>31</v>
      </c>
      <c r="F3644" s="2" t="s">
        <v>32</v>
      </c>
      <c r="G3644" s="2"/>
      <c r="H3644" s="2"/>
      <c r="I3644" s="2"/>
      <c r="J3644" s="2"/>
    </row>
    <row r="3645" spans="1:10" x14ac:dyDescent="0.35">
      <c r="A3645" s="2" t="s">
        <v>1642</v>
      </c>
      <c r="B3645" s="2" t="s">
        <v>1768</v>
      </c>
      <c r="C3645" s="2" t="s">
        <v>54</v>
      </c>
      <c r="D3645" s="2" t="s">
        <v>1774</v>
      </c>
      <c r="E3645" s="2" t="s">
        <v>18</v>
      </c>
      <c r="F3645" s="2" t="s">
        <v>19</v>
      </c>
      <c r="G3645" s="2" t="s">
        <v>20</v>
      </c>
      <c r="H3645" s="2" t="s">
        <v>1776</v>
      </c>
      <c r="I3645" s="2"/>
      <c r="J3645" s="2"/>
    </row>
    <row r="3646" spans="1:10" x14ac:dyDescent="0.35">
      <c r="A3646" s="2" t="s">
        <v>1642</v>
      </c>
      <c r="B3646" s="2" t="s">
        <v>1768</v>
      </c>
      <c r="C3646" s="2" t="s">
        <v>54</v>
      </c>
      <c r="D3646" s="2" t="s">
        <v>1774</v>
      </c>
      <c r="E3646" s="2" t="s">
        <v>149</v>
      </c>
      <c r="F3646" s="2" t="s">
        <v>150</v>
      </c>
      <c r="G3646" s="2" t="s">
        <v>20</v>
      </c>
      <c r="H3646" s="2" t="s">
        <v>1777</v>
      </c>
      <c r="I3646" s="2"/>
      <c r="J3646" s="2"/>
    </row>
    <row r="3647" spans="1:10" x14ac:dyDescent="0.35">
      <c r="A3647" s="2" t="s">
        <v>1642</v>
      </c>
      <c r="B3647" s="2" t="s">
        <v>1768</v>
      </c>
      <c r="C3647" s="2" t="s">
        <v>12</v>
      </c>
      <c r="D3647" s="2" t="s">
        <v>1778</v>
      </c>
      <c r="E3647" s="2" t="s">
        <v>1779</v>
      </c>
      <c r="F3647" s="2" t="s">
        <v>40</v>
      </c>
      <c r="G3647" s="2"/>
      <c r="H3647" s="2"/>
      <c r="I3647" s="2"/>
      <c r="J3647" s="2"/>
    </row>
    <row r="3648" spans="1:10" x14ac:dyDescent="0.35">
      <c r="A3648" s="2" t="s">
        <v>1642</v>
      </c>
      <c r="B3648" s="2" t="s">
        <v>1768</v>
      </c>
      <c r="C3648" s="2" t="s">
        <v>12</v>
      </c>
      <c r="D3648" s="2" t="s">
        <v>1778</v>
      </c>
      <c r="E3648" s="2" t="s">
        <v>1218</v>
      </c>
      <c r="F3648" s="2" t="s">
        <v>38</v>
      </c>
      <c r="G3648" s="2"/>
      <c r="H3648" s="2"/>
      <c r="I3648" s="2"/>
      <c r="J3648" s="2"/>
    </row>
    <row r="3649" spans="1:10" x14ac:dyDescent="0.35">
      <c r="A3649" s="2" t="s">
        <v>1642</v>
      </c>
      <c r="B3649" s="2" t="s">
        <v>1768</v>
      </c>
      <c r="C3649" s="2" t="s">
        <v>12</v>
      </c>
      <c r="D3649" s="2" t="s">
        <v>1778</v>
      </c>
      <c r="E3649" s="2" t="s">
        <v>438</v>
      </c>
      <c r="F3649" s="2" t="s">
        <v>19</v>
      </c>
      <c r="G3649" s="2" t="s">
        <v>20</v>
      </c>
      <c r="H3649" s="2" t="s">
        <v>1780</v>
      </c>
      <c r="I3649" s="2"/>
      <c r="J3649" s="2"/>
    </row>
    <row r="3650" spans="1:10" x14ac:dyDescent="0.35">
      <c r="A3650" s="2" t="s">
        <v>1642</v>
      </c>
      <c r="B3650" s="2" t="s">
        <v>1768</v>
      </c>
      <c r="C3650" s="2" t="s">
        <v>12</v>
      </c>
      <c r="D3650" s="2" t="s">
        <v>1781</v>
      </c>
      <c r="E3650" s="2" t="s">
        <v>1782</v>
      </c>
      <c r="F3650" s="2" t="s">
        <v>38</v>
      </c>
      <c r="G3650" s="2"/>
      <c r="H3650" s="2"/>
      <c r="I3650" s="2"/>
      <c r="J3650" s="2"/>
    </row>
    <row r="3651" spans="1:10" x14ac:dyDescent="0.35">
      <c r="A3651" s="2" t="s">
        <v>1642</v>
      </c>
      <c r="B3651" s="2" t="s">
        <v>1768</v>
      </c>
      <c r="C3651" s="2" t="s">
        <v>54</v>
      </c>
      <c r="D3651" s="2" t="s">
        <v>1783</v>
      </c>
      <c r="E3651" s="2" t="s">
        <v>27</v>
      </c>
      <c r="F3651" s="2" t="s">
        <v>28</v>
      </c>
      <c r="G3651" s="2"/>
      <c r="H3651" s="2"/>
      <c r="I3651" s="2"/>
      <c r="J3651" s="2"/>
    </row>
    <row r="3652" spans="1:10" x14ac:dyDescent="0.35">
      <c r="A3652" s="2" t="s">
        <v>1642</v>
      </c>
      <c r="B3652" s="2" t="s">
        <v>1768</v>
      </c>
      <c r="C3652" s="2" t="s">
        <v>54</v>
      </c>
      <c r="D3652" s="2" t="s">
        <v>1783</v>
      </c>
      <c r="E3652" s="2" t="s">
        <v>121</v>
      </c>
      <c r="F3652" s="2" t="s">
        <v>122</v>
      </c>
      <c r="G3652" s="2"/>
      <c r="H3652" s="2"/>
      <c r="I3652" s="2"/>
      <c r="J3652" s="2"/>
    </row>
    <row r="3653" spans="1:10" x14ac:dyDescent="0.35">
      <c r="A3653" s="2" t="s">
        <v>1642</v>
      </c>
      <c r="B3653" s="2" t="s">
        <v>1768</v>
      </c>
      <c r="C3653" s="2" t="s">
        <v>54</v>
      </c>
      <c r="D3653" s="2" t="s">
        <v>1783</v>
      </c>
      <c r="E3653" s="2" t="s">
        <v>126</v>
      </c>
      <c r="F3653" s="2" t="s">
        <v>36</v>
      </c>
      <c r="G3653" s="2"/>
      <c r="H3653" s="2"/>
      <c r="I3653" s="2"/>
      <c r="J3653" s="2"/>
    </row>
    <row r="3654" spans="1:10" x14ac:dyDescent="0.35">
      <c r="A3654" s="2" t="s">
        <v>1642</v>
      </c>
      <c r="B3654" s="2" t="s">
        <v>1768</v>
      </c>
      <c r="C3654" s="2" t="s">
        <v>24</v>
      </c>
      <c r="D3654" s="2" t="s">
        <v>1784</v>
      </c>
      <c r="E3654" s="2" t="s">
        <v>27</v>
      </c>
      <c r="F3654" s="2" t="s">
        <v>28</v>
      </c>
      <c r="G3654" s="2"/>
      <c r="H3654" s="2"/>
      <c r="I3654" s="2"/>
      <c r="J3654" s="2"/>
    </row>
    <row r="3655" spans="1:10" x14ac:dyDescent="0.35">
      <c r="A3655" s="2" t="s">
        <v>1642</v>
      </c>
      <c r="B3655" s="2" t="s">
        <v>1768</v>
      </c>
      <c r="C3655" s="2" t="s">
        <v>24</v>
      </c>
      <c r="D3655" s="2" t="s">
        <v>1784</v>
      </c>
      <c r="E3655" s="2" t="s">
        <v>31</v>
      </c>
      <c r="F3655" s="2" t="s">
        <v>32</v>
      </c>
      <c r="G3655" s="2"/>
      <c r="H3655" s="2"/>
      <c r="I3655" s="2"/>
      <c r="J3655" s="2"/>
    </row>
    <row r="3656" spans="1:10" x14ac:dyDescent="0.35">
      <c r="A3656" s="2" t="s">
        <v>1642</v>
      </c>
      <c r="B3656" s="2" t="s">
        <v>1768</v>
      </c>
      <c r="C3656" s="2" t="s">
        <v>24</v>
      </c>
      <c r="D3656" s="2" t="s">
        <v>1784</v>
      </c>
      <c r="E3656" s="2" t="s">
        <v>1659</v>
      </c>
      <c r="F3656" s="2" t="s">
        <v>122</v>
      </c>
      <c r="G3656" s="2"/>
      <c r="H3656" s="2"/>
      <c r="I3656" s="2"/>
      <c r="J3656" s="2"/>
    </row>
    <row r="3657" spans="1:10" x14ac:dyDescent="0.35">
      <c r="A3657" s="2" t="s">
        <v>1642</v>
      </c>
      <c r="B3657" s="2" t="s">
        <v>1768</v>
      </c>
      <c r="C3657" s="2" t="s">
        <v>24</v>
      </c>
      <c r="D3657" s="2" t="s">
        <v>1784</v>
      </c>
      <c r="E3657" s="2" t="s">
        <v>18</v>
      </c>
      <c r="F3657" s="2" t="s">
        <v>19</v>
      </c>
      <c r="G3657" s="2" t="s">
        <v>20</v>
      </c>
      <c r="H3657" s="2" t="s">
        <v>1785</v>
      </c>
      <c r="I3657" s="2"/>
      <c r="J3657" s="2"/>
    </row>
    <row r="3658" spans="1:10" x14ac:dyDescent="0.35">
      <c r="A3658" s="2" t="s">
        <v>1642</v>
      </c>
      <c r="B3658" s="2" t="s">
        <v>1768</v>
      </c>
      <c r="C3658" s="2" t="s">
        <v>24</v>
      </c>
      <c r="D3658" s="2" t="s">
        <v>1784</v>
      </c>
      <c r="E3658" s="2" t="s">
        <v>127</v>
      </c>
      <c r="F3658" s="2" t="s">
        <v>107</v>
      </c>
      <c r="G3658" s="2"/>
      <c r="H3658" s="2"/>
      <c r="I3658" s="2"/>
      <c r="J3658" s="2"/>
    </row>
    <row r="3659" spans="1:10" x14ac:dyDescent="0.35">
      <c r="A3659" s="2" t="s">
        <v>1642</v>
      </c>
      <c r="B3659" s="2" t="s">
        <v>1768</v>
      </c>
      <c r="C3659" s="2" t="s">
        <v>62</v>
      </c>
      <c r="D3659" s="2" t="s">
        <v>1786</v>
      </c>
      <c r="E3659" s="2" t="s">
        <v>27</v>
      </c>
      <c r="F3659" s="2" t="s">
        <v>28</v>
      </c>
      <c r="G3659" s="2" t="s">
        <v>20</v>
      </c>
      <c r="H3659" s="2" t="s">
        <v>1787</v>
      </c>
      <c r="I3659" s="2"/>
      <c r="J3659" s="2"/>
    </row>
    <row r="3660" spans="1:10" x14ac:dyDescent="0.35">
      <c r="A3660" s="2" t="s">
        <v>1642</v>
      </c>
      <c r="B3660" s="2" t="s">
        <v>1768</v>
      </c>
      <c r="C3660" s="2" t="s">
        <v>62</v>
      </c>
      <c r="D3660" s="2" t="s">
        <v>1786</v>
      </c>
      <c r="E3660" s="2" t="s">
        <v>1775</v>
      </c>
      <c r="F3660" s="2" t="s">
        <v>203</v>
      </c>
      <c r="G3660" s="2"/>
      <c r="H3660" s="2"/>
      <c r="I3660" s="2"/>
      <c r="J3660" s="2"/>
    </row>
    <row r="3661" spans="1:10" x14ac:dyDescent="0.35">
      <c r="A3661" s="2" t="s">
        <v>1642</v>
      </c>
      <c r="B3661" s="2" t="s">
        <v>1768</v>
      </c>
      <c r="C3661" s="2" t="s">
        <v>62</v>
      </c>
      <c r="D3661" s="2" t="s">
        <v>1786</v>
      </c>
      <c r="E3661" s="2" t="s">
        <v>1788</v>
      </c>
      <c r="F3661" s="2" t="s">
        <v>38</v>
      </c>
      <c r="G3661" s="2"/>
      <c r="H3661" s="2"/>
      <c r="I3661" s="2"/>
      <c r="J3661" s="2"/>
    </row>
    <row r="3662" spans="1:10" x14ac:dyDescent="0.35">
      <c r="A3662" s="2" t="s">
        <v>1642</v>
      </c>
      <c r="B3662" s="2" t="s">
        <v>1768</v>
      </c>
      <c r="C3662" s="2" t="s">
        <v>62</v>
      </c>
      <c r="D3662" s="2" t="s">
        <v>1786</v>
      </c>
      <c r="E3662" s="2" t="s">
        <v>1789</v>
      </c>
      <c r="F3662" s="2" t="s">
        <v>32</v>
      </c>
      <c r="G3662" s="2"/>
      <c r="H3662" s="2"/>
      <c r="I3662" s="2"/>
      <c r="J3662" s="2"/>
    </row>
    <row r="3663" spans="1:10" x14ac:dyDescent="0.35">
      <c r="A3663" s="2" t="s">
        <v>1642</v>
      </c>
      <c r="B3663" s="2" t="s">
        <v>1768</v>
      </c>
      <c r="C3663" s="2" t="s">
        <v>62</v>
      </c>
      <c r="D3663" s="2" t="s">
        <v>1786</v>
      </c>
      <c r="E3663" s="2" t="s">
        <v>91</v>
      </c>
      <c r="F3663" s="2" t="s">
        <v>19</v>
      </c>
      <c r="G3663" s="2" t="s">
        <v>20</v>
      </c>
      <c r="H3663" s="2" t="s">
        <v>1790</v>
      </c>
      <c r="I3663" s="2"/>
      <c r="J3663" s="2"/>
    </row>
    <row r="3664" spans="1:10" x14ac:dyDescent="0.35">
      <c r="A3664" s="2" t="s">
        <v>1642</v>
      </c>
      <c r="B3664" s="2" t="s">
        <v>1768</v>
      </c>
      <c r="C3664" s="2" t="s">
        <v>62</v>
      </c>
      <c r="D3664" s="2" t="s">
        <v>1786</v>
      </c>
      <c r="E3664" s="2" t="s">
        <v>1791</v>
      </c>
      <c r="F3664" s="2" t="s">
        <v>533</v>
      </c>
      <c r="G3664" s="2"/>
      <c r="H3664" s="2"/>
      <c r="I3664" s="2"/>
      <c r="J3664" s="2"/>
    </row>
    <row r="3665" spans="1:10" x14ac:dyDescent="0.35">
      <c r="A3665" s="2" t="s">
        <v>1642</v>
      </c>
      <c r="B3665" s="2" t="s">
        <v>1768</v>
      </c>
      <c r="C3665" s="2" t="s">
        <v>62</v>
      </c>
      <c r="D3665" s="2" t="s">
        <v>1786</v>
      </c>
      <c r="E3665" s="2" t="s">
        <v>352</v>
      </c>
      <c r="F3665" s="2" t="s">
        <v>107</v>
      </c>
      <c r="G3665" s="2"/>
      <c r="H3665" s="2"/>
      <c r="I3665" s="2"/>
      <c r="J3665" s="2"/>
    </row>
    <row r="3666" spans="1:10" x14ac:dyDescent="0.35">
      <c r="A3666" s="2" t="s">
        <v>1642</v>
      </c>
      <c r="B3666" s="2" t="s">
        <v>1768</v>
      </c>
      <c r="C3666" s="2" t="s">
        <v>62</v>
      </c>
      <c r="D3666" s="2" t="s">
        <v>1786</v>
      </c>
      <c r="E3666" s="2" t="s">
        <v>1773</v>
      </c>
      <c r="F3666" s="2" t="s">
        <v>43</v>
      </c>
      <c r="G3666" s="2"/>
      <c r="H3666" s="2"/>
      <c r="I3666" s="2"/>
      <c r="J3666" s="2"/>
    </row>
    <row r="3667" spans="1:10" x14ac:dyDescent="0.35">
      <c r="A3667" s="2" t="s">
        <v>1642</v>
      </c>
      <c r="B3667" s="2" t="s">
        <v>1768</v>
      </c>
      <c r="C3667" s="2" t="s">
        <v>62</v>
      </c>
      <c r="D3667" s="2" t="s">
        <v>1786</v>
      </c>
      <c r="E3667" s="2" t="s">
        <v>149</v>
      </c>
      <c r="F3667" s="2" t="s">
        <v>150</v>
      </c>
      <c r="G3667" s="2" t="s">
        <v>20</v>
      </c>
      <c r="H3667" s="2" t="s">
        <v>1792</v>
      </c>
      <c r="I3667" s="2"/>
      <c r="J3667" s="2"/>
    </row>
    <row r="3668" spans="1:10" x14ac:dyDescent="0.35">
      <c r="A3668" s="2" t="s">
        <v>1642</v>
      </c>
      <c r="B3668" s="2" t="s">
        <v>1768</v>
      </c>
      <c r="C3668" s="2" t="s">
        <v>12</v>
      </c>
      <c r="D3668" s="2" t="s">
        <v>1793</v>
      </c>
      <c r="E3668" s="2" t="s">
        <v>1779</v>
      </c>
      <c r="F3668" s="2" t="s">
        <v>40</v>
      </c>
      <c r="G3668" s="2"/>
      <c r="H3668" s="2"/>
      <c r="I3668" s="2"/>
      <c r="J3668" s="2"/>
    </row>
    <row r="3669" spans="1:10" x14ac:dyDescent="0.35">
      <c r="A3669" s="2" t="s">
        <v>1642</v>
      </c>
      <c r="B3669" s="2" t="s">
        <v>1768</v>
      </c>
      <c r="C3669" s="2" t="s">
        <v>12</v>
      </c>
      <c r="D3669" s="2" t="s">
        <v>1793</v>
      </c>
      <c r="E3669" s="2" t="s">
        <v>1782</v>
      </c>
      <c r="F3669" s="2" t="s">
        <v>38</v>
      </c>
      <c r="G3669" s="2"/>
      <c r="H3669" s="2"/>
      <c r="I3669" s="2"/>
      <c r="J3669" s="2"/>
    </row>
    <row r="3670" spans="1:10" x14ac:dyDescent="0.35">
      <c r="A3670" s="2" t="s">
        <v>1642</v>
      </c>
      <c r="B3670" s="2" t="s">
        <v>1768</v>
      </c>
      <c r="C3670" s="2" t="s">
        <v>12</v>
      </c>
      <c r="D3670" s="2" t="s">
        <v>1793</v>
      </c>
      <c r="E3670" s="2" t="s">
        <v>87</v>
      </c>
      <c r="F3670" s="2" t="s">
        <v>75</v>
      </c>
      <c r="G3670" s="2"/>
      <c r="H3670" s="2"/>
      <c r="I3670" s="2"/>
      <c r="J3670" s="2"/>
    </row>
    <row r="3671" spans="1:10" x14ac:dyDescent="0.35">
      <c r="A3671" s="2" t="s">
        <v>1642</v>
      </c>
      <c r="B3671" s="2" t="s">
        <v>1768</v>
      </c>
      <c r="C3671" s="2" t="s">
        <v>12</v>
      </c>
      <c r="D3671" s="2" t="s">
        <v>1794</v>
      </c>
      <c r="E3671" s="2" t="s">
        <v>14</v>
      </c>
      <c r="F3671" s="2" t="s">
        <v>15</v>
      </c>
      <c r="G3671" s="2"/>
      <c r="H3671" s="2"/>
      <c r="I3671" s="2"/>
      <c r="J3671" s="2"/>
    </row>
    <row r="3672" spans="1:10" x14ac:dyDescent="0.35">
      <c r="A3672" s="2" t="s">
        <v>1642</v>
      </c>
      <c r="B3672" s="2" t="s">
        <v>1768</v>
      </c>
      <c r="C3672" s="2" t="s">
        <v>12</v>
      </c>
      <c r="D3672" s="2" t="s">
        <v>1794</v>
      </c>
      <c r="E3672" s="2" t="s">
        <v>120</v>
      </c>
      <c r="F3672" s="2" t="s">
        <v>32</v>
      </c>
      <c r="G3672" s="2"/>
      <c r="H3672" s="2"/>
      <c r="I3672" s="2"/>
      <c r="J3672" s="2"/>
    </row>
    <row r="3673" spans="1:10" x14ac:dyDescent="0.35">
      <c r="A3673" s="2" t="s">
        <v>1642</v>
      </c>
      <c r="B3673" s="2" t="s">
        <v>1768</v>
      </c>
      <c r="C3673" s="2" t="s">
        <v>12</v>
      </c>
      <c r="D3673" s="2" t="s">
        <v>1794</v>
      </c>
      <c r="E3673" s="2" t="s">
        <v>393</v>
      </c>
      <c r="F3673" s="2" t="s">
        <v>36</v>
      </c>
      <c r="G3673" s="2"/>
      <c r="H3673" s="2"/>
      <c r="I3673" s="2"/>
      <c r="J3673" s="2"/>
    </row>
    <row r="3674" spans="1:10" x14ac:dyDescent="0.35">
      <c r="A3674" s="2" t="s">
        <v>1642</v>
      </c>
      <c r="B3674" s="2" t="s">
        <v>1768</v>
      </c>
      <c r="C3674" s="2" t="s">
        <v>12</v>
      </c>
      <c r="D3674" s="2" t="s">
        <v>1794</v>
      </c>
      <c r="E3674" s="2" t="s">
        <v>91</v>
      </c>
      <c r="F3674" s="2" t="s">
        <v>19</v>
      </c>
      <c r="G3674" s="2" t="s">
        <v>20</v>
      </c>
      <c r="H3674" s="2" t="s">
        <v>1795</v>
      </c>
      <c r="I3674" s="2"/>
      <c r="J3674" s="2"/>
    </row>
    <row r="3675" spans="1:10" x14ac:dyDescent="0.35">
      <c r="A3675" s="2" t="s">
        <v>1642</v>
      </c>
      <c r="B3675" s="2" t="s">
        <v>1768</v>
      </c>
      <c r="C3675" s="2" t="s">
        <v>12</v>
      </c>
      <c r="D3675" s="2" t="s">
        <v>1794</v>
      </c>
      <c r="E3675" s="2" t="s">
        <v>176</v>
      </c>
      <c r="F3675" s="2" t="s">
        <v>40</v>
      </c>
      <c r="G3675" s="2"/>
      <c r="H3675" s="2"/>
      <c r="I3675" s="2"/>
      <c r="J3675" s="2"/>
    </row>
    <row r="3676" spans="1:10" x14ac:dyDescent="0.35">
      <c r="A3676" s="2" t="s">
        <v>1642</v>
      </c>
      <c r="B3676" s="2" t="s">
        <v>1768</v>
      </c>
      <c r="C3676" s="2" t="s">
        <v>12</v>
      </c>
      <c r="D3676" s="2" t="s">
        <v>1796</v>
      </c>
      <c r="E3676" s="2" t="s">
        <v>91</v>
      </c>
      <c r="F3676" s="2" t="s">
        <v>19</v>
      </c>
      <c r="G3676" s="2" t="s">
        <v>20</v>
      </c>
      <c r="H3676" s="2" t="s">
        <v>1797</v>
      </c>
      <c r="I3676" s="2"/>
      <c r="J3676" s="2"/>
    </row>
    <row r="3677" spans="1:10" x14ac:dyDescent="0.35">
      <c r="A3677" s="2" t="s">
        <v>1642</v>
      </c>
      <c r="B3677" s="2" t="s">
        <v>1768</v>
      </c>
      <c r="C3677" s="2" t="s">
        <v>12</v>
      </c>
      <c r="D3677" s="2" t="s">
        <v>1796</v>
      </c>
      <c r="E3677" s="2" t="s">
        <v>188</v>
      </c>
      <c r="F3677" s="2" t="s">
        <v>189</v>
      </c>
      <c r="G3677" s="2" t="s">
        <v>20</v>
      </c>
      <c r="H3677" s="2" t="s">
        <v>1798</v>
      </c>
      <c r="I3677" s="2"/>
      <c r="J3677" s="2"/>
    </row>
    <row r="3678" spans="1:10" x14ac:dyDescent="0.35">
      <c r="A3678" s="2" t="s">
        <v>1642</v>
      </c>
      <c r="B3678" s="2" t="s">
        <v>1768</v>
      </c>
      <c r="C3678" s="2" t="s">
        <v>24</v>
      </c>
      <c r="D3678" s="2" t="s">
        <v>1799</v>
      </c>
      <c r="E3678" s="2" t="s">
        <v>196</v>
      </c>
      <c r="F3678" s="2" t="s">
        <v>197</v>
      </c>
      <c r="G3678" s="2"/>
      <c r="H3678" s="2"/>
      <c r="I3678" s="2"/>
      <c r="J3678" s="2"/>
    </row>
    <row r="3679" spans="1:10" x14ac:dyDescent="0.35">
      <c r="A3679" s="2" t="s">
        <v>1642</v>
      </c>
      <c r="B3679" s="2" t="s">
        <v>1768</v>
      </c>
      <c r="C3679" s="2" t="s">
        <v>24</v>
      </c>
      <c r="D3679" s="2" t="s">
        <v>1799</v>
      </c>
      <c r="E3679" s="2" t="s">
        <v>14</v>
      </c>
      <c r="F3679" s="2" t="s">
        <v>15</v>
      </c>
      <c r="G3679" s="2"/>
      <c r="H3679" s="2"/>
      <c r="I3679" s="2"/>
      <c r="J3679" s="2"/>
    </row>
    <row r="3680" spans="1:10" x14ac:dyDescent="0.35">
      <c r="A3680" s="2" t="s">
        <v>1642</v>
      </c>
      <c r="B3680" s="2" t="s">
        <v>1768</v>
      </c>
      <c r="C3680" s="2" t="s">
        <v>24</v>
      </c>
      <c r="D3680" s="2" t="s">
        <v>1799</v>
      </c>
      <c r="E3680" s="2" t="s">
        <v>1800</v>
      </c>
      <c r="F3680" s="2" t="s">
        <v>45</v>
      </c>
      <c r="G3680" s="2"/>
      <c r="H3680" s="2"/>
      <c r="I3680" s="2"/>
      <c r="J3680" s="2"/>
    </row>
    <row r="3681" spans="1:10" x14ac:dyDescent="0.35">
      <c r="A3681" s="2" t="s">
        <v>1642</v>
      </c>
      <c r="B3681" s="2" t="s">
        <v>1768</v>
      </c>
      <c r="C3681" s="2" t="s">
        <v>24</v>
      </c>
      <c r="D3681" s="2" t="s">
        <v>1799</v>
      </c>
      <c r="E3681" s="2" t="s">
        <v>144</v>
      </c>
      <c r="F3681" s="2" t="s">
        <v>50</v>
      </c>
      <c r="G3681" s="2" t="s">
        <v>20</v>
      </c>
      <c r="H3681" s="2" t="s">
        <v>236</v>
      </c>
      <c r="I3681" s="2"/>
      <c r="J3681" s="2"/>
    </row>
    <row r="3682" spans="1:10" x14ac:dyDescent="0.35">
      <c r="A3682" s="2" t="s">
        <v>1642</v>
      </c>
      <c r="B3682" s="2" t="s">
        <v>1768</v>
      </c>
      <c r="C3682" s="2" t="s">
        <v>24</v>
      </c>
      <c r="D3682" s="2" t="s">
        <v>1799</v>
      </c>
      <c r="E3682" s="2" t="s">
        <v>27</v>
      </c>
      <c r="F3682" s="2" t="s">
        <v>28</v>
      </c>
      <c r="G3682" s="2"/>
      <c r="H3682" s="2"/>
      <c r="I3682" s="2"/>
      <c r="J3682" s="2"/>
    </row>
    <row r="3683" spans="1:10" x14ac:dyDescent="0.35">
      <c r="A3683" s="2" t="s">
        <v>1642</v>
      </c>
      <c r="B3683" s="2" t="s">
        <v>1768</v>
      </c>
      <c r="C3683" s="2" t="s">
        <v>24</v>
      </c>
      <c r="D3683" s="2" t="s">
        <v>1799</v>
      </c>
      <c r="E3683" s="2" t="s">
        <v>1139</v>
      </c>
      <c r="F3683" s="2" t="s">
        <v>60</v>
      </c>
      <c r="G3683" s="2" t="s">
        <v>20</v>
      </c>
      <c r="H3683" s="2" t="s">
        <v>1801</v>
      </c>
      <c r="I3683" s="2"/>
      <c r="J3683" s="2"/>
    </row>
    <row r="3684" spans="1:10" x14ac:dyDescent="0.35">
      <c r="A3684" s="2" t="s">
        <v>1642</v>
      </c>
      <c r="B3684" s="2" t="s">
        <v>1768</v>
      </c>
      <c r="C3684" s="2" t="s">
        <v>24</v>
      </c>
      <c r="D3684" s="2" t="s">
        <v>1799</v>
      </c>
      <c r="E3684" s="2" t="s">
        <v>121</v>
      </c>
      <c r="F3684" s="2" t="s">
        <v>122</v>
      </c>
      <c r="G3684" s="2"/>
      <c r="H3684" s="2"/>
      <c r="I3684" s="2"/>
      <c r="J3684" s="2"/>
    </row>
    <row r="3685" spans="1:10" x14ac:dyDescent="0.35">
      <c r="A3685" s="2" t="s">
        <v>1642</v>
      </c>
      <c r="B3685" s="2" t="s">
        <v>1768</v>
      </c>
      <c r="C3685" s="2" t="s">
        <v>24</v>
      </c>
      <c r="D3685" s="2" t="s">
        <v>1799</v>
      </c>
      <c r="E3685" s="2" t="s">
        <v>1789</v>
      </c>
      <c r="F3685" s="2" t="s">
        <v>32</v>
      </c>
      <c r="G3685" s="2"/>
      <c r="H3685" s="2"/>
      <c r="I3685" s="2"/>
      <c r="J3685" s="2"/>
    </row>
    <row r="3686" spans="1:10" x14ac:dyDescent="0.35">
      <c r="A3686" s="2" t="s">
        <v>1642</v>
      </c>
      <c r="B3686" s="2" t="s">
        <v>1768</v>
      </c>
      <c r="C3686" s="2" t="s">
        <v>24</v>
      </c>
      <c r="D3686" s="2" t="s">
        <v>1799</v>
      </c>
      <c r="E3686" s="2" t="s">
        <v>156</v>
      </c>
      <c r="F3686" s="2" t="s">
        <v>45</v>
      </c>
      <c r="G3686" s="2" t="s">
        <v>20</v>
      </c>
      <c r="H3686" s="2" t="s">
        <v>1709</v>
      </c>
      <c r="I3686" s="2"/>
      <c r="J3686" s="2"/>
    </row>
    <row r="3687" spans="1:10" x14ac:dyDescent="0.35">
      <c r="A3687" s="2" t="s">
        <v>1642</v>
      </c>
      <c r="B3687" s="2" t="s">
        <v>1768</v>
      </c>
      <c r="C3687" s="2" t="s">
        <v>24</v>
      </c>
      <c r="D3687" s="2" t="s">
        <v>1799</v>
      </c>
      <c r="E3687" s="2" t="s">
        <v>77</v>
      </c>
      <c r="F3687" s="2" t="s">
        <v>78</v>
      </c>
      <c r="G3687" s="2" t="s">
        <v>46</v>
      </c>
      <c r="H3687" s="2" t="s">
        <v>47</v>
      </c>
      <c r="I3687" s="2"/>
      <c r="J3687" s="2"/>
    </row>
    <row r="3688" spans="1:10" x14ac:dyDescent="0.35">
      <c r="A3688" s="2" t="s">
        <v>1642</v>
      </c>
      <c r="B3688" s="2" t="s">
        <v>1768</v>
      </c>
      <c r="C3688" s="2" t="s">
        <v>24</v>
      </c>
      <c r="D3688" s="2" t="s">
        <v>1799</v>
      </c>
      <c r="E3688" s="2" t="s">
        <v>18</v>
      </c>
      <c r="F3688" s="2" t="s">
        <v>19</v>
      </c>
      <c r="G3688" s="2" t="s">
        <v>20</v>
      </c>
      <c r="H3688" s="2" t="s">
        <v>1802</v>
      </c>
      <c r="I3688" s="2"/>
      <c r="J3688" s="2"/>
    </row>
    <row r="3689" spans="1:10" x14ac:dyDescent="0.35">
      <c r="A3689" s="2" t="s">
        <v>1642</v>
      </c>
      <c r="B3689" s="2" t="s">
        <v>1768</v>
      </c>
      <c r="C3689" s="2" t="s">
        <v>24</v>
      </c>
      <c r="D3689" s="2" t="s">
        <v>1799</v>
      </c>
      <c r="E3689" s="2" t="s">
        <v>628</v>
      </c>
      <c r="F3689" s="2" t="s">
        <v>50</v>
      </c>
      <c r="G3689" s="2"/>
      <c r="H3689" s="2"/>
      <c r="I3689" s="2"/>
      <c r="J3689" s="2"/>
    </row>
    <row r="3690" spans="1:10" x14ac:dyDescent="0.35">
      <c r="A3690" s="2" t="s">
        <v>1642</v>
      </c>
      <c r="B3690" s="2" t="s">
        <v>1768</v>
      </c>
      <c r="C3690" s="2" t="s">
        <v>24</v>
      </c>
      <c r="D3690" s="2" t="s">
        <v>1799</v>
      </c>
      <c r="E3690" s="2" t="s">
        <v>1803</v>
      </c>
      <c r="F3690" s="2" t="s">
        <v>101</v>
      </c>
      <c r="G3690" s="2"/>
      <c r="H3690" s="2"/>
      <c r="I3690" s="2"/>
      <c r="J3690" s="2"/>
    </row>
    <row r="3691" spans="1:10" x14ac:dyDescent="0.35">
      <c r="A3691" s="2" t="s">
        <v>1642</v>
      </c>
      <c r="B3691" s="2" t="s">
        <v>1768</v>
      </c>
      <c r="C3691" s="2" t="s">
        <v>24</v>
      </c>
      <c r="D3691" s="2" t="s">
        <v>1799</v>
      </c>
      <c r="E3691" s="2" t="s">
        <v>149</v>
      </c>
      <c r="F3691" s="2" t="s">
        <v>150</v>
      </c>
      <c r="G3691" s="2" t="s">
        <v>20</v>
      </c>
      <c r="H3691" s="2" t="s">
        <v>1804</v>
      </c>
      <c r="I3691" s="2"/>
      <c r="J3691" s="2"/>
    </row>
    <row r="3692" spans="1:10" x14ac:dyDescent="0.35">
      <c r="A3692" s="2" t="s">
        <v>1642</v>
      </c>
      <c r="B3692" s="2" t="s">
        <v>1768</v>
      </c>
      <c r="C3692" s="2" t="s">
        <v>12</v>
      </c>
      <c r="D3692" s="2" t="s">
        <v>1805</v>
      </c>
      <c r="E3692" s="2" t="s">
        <v>18</v>
      </c>
      <c r="F3692" s="2" t="s">
        <v>19</v>
      </c>
      <c r="G3692" s="2" t="s">
        <v>20</v>
      </c>
      <c r="H3692" s="2" t="s">
        <v>1709</v>
      </c>
      <c r="I3692" s="2"/>
      <c r="J3692" s="2"/>
    </row>
    <row r="3693" spans="1:10" x14ac:dyDescent="0.35">
      <c r="A3693" s="2" t="s">
        <v>1642</v>
      </c>
      <c r="B3693" s="2" t="s">
        <v>1768</v>
      </c>
      <c r="C3693" s="2" t="s">
        <v>24</v>
      </c>
      <c r="D3693" s="2" t="s">
        <v>1806</v>
      </c>
      <c r="E3693" s="2" t="s">
        <v>168</v>
      </c>
      <c r="F3693" s="2" t="s">
        <v>45</v>
      </c>
      <c r="G3693" s="2"/>
      <c r="H3693" s="2"/>
      <c r="I3693" s="2"/>
      <c r="J3693" s="2"/>
    </row>
    <row r="3694" spans="1:10" x14ac:dyDescent="0.35">
      <c r="A3694" s="2" t="s">
        <v>1642</v>
      </c>
      <c r="B3694" s="2" t="s">
        <v>1768</v>
      </c>
      <c r="C3694" s="2" t="s">
        <v>24</v>
      </c>
      <c r="D3694" s="2" t="s">
        <v>1806</v>
      </c>
      <c r="E3694" s="2" t="s">
        <v>77</v>
      </c>
      <c r="F3694" s="2" t="s">
        <v>78</v>
      </c>
      <c r="G3694" s="2"/>
      <c r="H3694" s="2"/>
      <c r="I3694" s="2"/>
      <c r="J3694" s="2"/>
    </row>
    <row r="3695" spans="1:10" x14ac:dyDescent="0.35">
      <c r="A3695" s="2" t="s">
        <v>1642</v>
      </c>
      <c r="B3695" s="2" t="s">
        <v>1768</v>
      </c>
      <c r="C3695" s="2" t="s">
        <v>24</v>
      </c>
      <c r="D3695" s="2" t="s">
        <v>1806</v>
      </c>
      <c r="E3695" s="2" t="s">
        <v>18</v>
      </c>
      <c r="F3695" s="2" t="s">
        <v>19</v>
      </c>
      <c r="G3695" s="2" t="s">
        <v>20</v>
      </c>
      <c r="H3695" s="2" t="s">
        <v>1807</v>
      </c>
      <c r="I3695" s="2"/>
      <c r="J3695" s="2"/>
    </row>
    <row r="3696" spans="1:10" x14ac:dyDescent="0.35">
      <c r="A3696" s="2" t="s">
        <v>1642</v>
      </c>
      <c r="B3696" s="2" t="s">
        <v>1768</v>
      </c>
      <c r="C3696" s="2" t="s">
        <v>24</v>
      </c>
      <c r="D3696" s="2" t="s">
        <v>1808</v>
      </c>
      <c r="E3696" s="2" t="s">
        <v>14</v>
      </c>
      <c r="F3696" s="2" t="s">
        <v>15</v>
      </c>
      <c r="G3696" s="2"/>
      <c r="H3696" s="2"/>
      <c r="I3696" s="2"/>
      <c r="J3696" s="2"/>
    </row>
    <row r="3697" spans="1:10" x14ac:dyDescent="0.35">
      <c r="A3697" s="2" t="s">
        <v>1642</v>
      </c>
      <c r="B3697" s="2" t="s">
        <v>1768</v>
      </c>
      <c r="C3697" s="2" t="s">
        <v>24</v>
      </c>
      <c r="D3697" s="2" t="s">
        <v>1808</v>
      </c>
      <c r="E3697" s="2" t="s">
        <v>27</v>
      </c>
      <c r="F3697" s="2" t="s">
        <v>28</v>
      </c>
      <c r="G3697" s="2"/>
      <c r="H3697" s="2"/>
      <c r="I3697" s="2"/>
      <c r="J3697" s="2"/>
    </row>
    <row r="3698" spans="1:10" s="21" customFormat="1" x14ac:dyDescent="0.35">
      <c r="A3698" s="2" t="s">
        <v>1642</v>
      </c>
      <c r="B3698" s="2" t="s">
        <v>1768</v>
      </c>
      <c r="C3698" s="2" t="s">
        <v>24</v>
      </c>
      <c r="D3698" s="2" t="s">
        <v>1808</v>
      </c>
      <c r="E3698" s="2" t="s">
        <v>121</v>
      </c>
      <c r="F3698" s="2" t="s">
        <v>122</v>
      </c>
      <c r="G3698" s="2"/>
      <c r="H3698" s="2"/>
      <c r="I3698" s="2"/>
      <c r="J3698" s="2"/>
    </row>
    <row r="3699" spans="1:10" x14ac:dyDescent="0.35">
      <c r="A3699" s="2" t="s">
        <v>1642</v>
      </c>
      <c r="B3699" s="2" t="s">
        <v>1768</v>
      </c>
      <c r="C3699" s="2" t="s">
        <v>24</v>
      </c>
      <c r="D3699" s="2" t="s">
        <v>1808</v>
      </c>
      <c r="E3699" s="2" t="s">
        <v>18</v>
      </c>
      <c r="F3699" s="2" t="s">
        <v>19</v>
      </c>
      <c r="G3699" s="2" t="s">
        <v>20</v>
      </c>
      <c r="H3699" s="2" t="s">
        <v>1378</v>
      </c>
      <c r="I3699" s="2"/>
      <c r="J3699" s="2"/>
    </row>
    <row r="3700" spans="1:10" x14ac:dyDescent="0.35">
      <c r="A3700" s="2" t="s">
        <v>1642</v>
      </c>
      <c r="B3700" s="2" t="s">
        <v>1768</v>
      </c>
      <c r="C3700" s="2" t="s">
        <v>24</v>
      </c>
      <c r="D3700" s="2" t="s">
        <v>1808</v>
      </c>
      <c r="E3700" s="2" t="s">
        <v>149</v>
      </c>
      <c r="F3700" s="2" t="s">
        <v>150</v>
      </c>
      <c r="G3700" s="2" t="s">
        <v>20</v>
      </c>
      <c r="H3700" s="2" t="s">
        <v>1809</v>
      </c>
      <c r="I3700" s="2"/>
      <c r="J3700" s="2"/>
    </row>
    <row r="3701" spans="1:10" x14ac:dyDescent="0.35">
      <c r="A3701" s="2" t="s">
        <v>1642</v>
      </c>
      <c r="B3701" s="2" t="s">
        <v>1768</v>
      </c>
      <c r="C3701" s="2" t="s">
        <v>24</v>
      </c>
      <c r="D3701" s="2" t="s">
        <v>1810</v>
      </c>
      <c r="E3701" s="2" t="s">
        <v>476</v>
      </c>
      <c r="F3701" s="2" t="s">
        <v>78</v>
      </c>
      <c r="G3701" s="2"/>
      <c r="H3701" s="2"/>
      <c r="I3701" s="2"/>
      <c r="J3701" s="2"/>
    </row>
    <row r="3702" spans="1:10" x14ac:dyDescent="0.35">
      <c r="A3702" s="2" t="s">
        <v>1642</v>
      </c>
      <c r="B3702" s="2" t="s">
        <v>1768</v>
      </c>
      <c r="C3702" s="2" t="s">
        <v>24</v>
      </c>
      <c r="D3702" s="2" t="s">
        <v>1810</v>
      </c>
      <c r="E3702" s="2" t="s">
        <v>1782</v>
      </c>
      <c r="F3702" s="2" t="s">
        <v>38</v>
      </c>
      <c r="G3702" s="2"/>
      <c r="H3702" s="2"/>
      <c r="I3702" s="2"/>
      <c r="J3702" s="2"/>
    </row>
    <row r="3703" spans="1:10" x14ac:dyDescent="0.35">
      <c r="A3703" s="2" t="s">
        <v>1642</v>
      </c>
      <c r="B3703" s="2" t="s">
        <v>1768</v>
      </c>
      <c r="C3703" s="2" t="s">
        <v>24</v>
      </c>
      <c r="D3703" s="2" t="s">
        <v>1810</v>
      </c>
      <c r="E3703" s="2" t="s">
        <v>121</v>
      </c>
      <c r="F3703" s="2" t="s">
        <v>122</v>
      </c>
      <c r="G3703" s="2"/>
      <c r="H3703" s="2"/>
      <c r="I3703" s="2"/>
      <c r="J3703" s="2"/>
    </row>
    <row r="3704" spans="1:10" x14ac:dyDescent="0.35">
      <c r="A3704" s="2" t="s">
        <v>1642</v>
      </c>
      <c r="B3704" s="2" t="s">
        <v>1768</v>
      </c>
      <c r="C3704" s="2" t="s">
        <v>24</v>
      </c>
      <c r="D3704" s="2" t="s">
        <v>1810</v>
      </c>
      <c r="E3704" s="2" t="s">
        <v>393</v>
      </c>
      <c r="F3704" s="2" t="s">
        <v>36</v>
      </c>
      <c r="G3704" s="2"/>
      <c r="H3704" s="2"/>
      <c r="I3704" s="2"/>
      <c r="J3704" s="2"/>
    </row>
    <row r="3705" spans="1:10" x14ac:dyDescent="0.35">
      <c r="A3705" s="2" t="s">
        <v>1642</v>
      </c>
      <c r="B3705" s="2" t="s">
        <v>1768</v>
      </c>
      <c r="C3705" s="2" t="s">
        <v>24</v>
      </c>
      <c r="D3705" s="2" t="s">
        <v>1810</v>
      </c>
      <c r="E3705" s="2" t="s">
        <v>91</v>
      </c>
      <c r="F3705" s="2" t="s">
        <v>19</v>
      </c>
      <c r="G3705" s="2" t="s">
        <v>20</v>
      </c>
      <c r="H3705" s="2" t="s">
        <v>1811</v>
      </c>
      <c r="I3705" s="2"/>
      <c r="J3705" s="2"/>
    </row>
    <row r="3706" spans="1:10" x14ac:dyDescent="0.35">
      <c r="A3706" s="2" t="s">
        <v>1642</v>
      </c>
      <c r="B3706" s="2" t="s">
        <v>1768</v>
      </c>
      <c r="C3706" s="2" t="s">
        <v>24</v>
      </c>
      <c r="D3706" s="2" t="s">
        <v>1810</v>
      </c>
      <c r="E3706" s="2" t="s">
        <v>89</v>
      </c>
      <c r="F3706" s="2" t="s">
        <v>45</v>
      </c>
      <c r="G3706" s="2"/>
      <c r="H3706" s="2"/>
      <c r="I3706" s="2"/>
      <c r="J3706" s="2"/>
    </row>
    <row r="3707" spans="1:10" x14ac:dyDescent="0.35">
      <c r="A3707" s="2" t="s">
        <v>1642</v>
      </c>
      <c r="B3707" s="2" t="s">
        <v>1768</v>
      </c>
      <c r="C3707" s="2" t="s">
        <v>24</v>
      </c>
      <c r="D3707" s="2" t="s">
        <v>1810</v>
      </c>
      <c r="E3707" s="2" t="s">
        <v>1773</v>
      </c>
      <c r="F3707" s="2" t="s">
        <v>43</v>
      </c>
      <c r="G3707" s="2"/>
      <c r="H3707" s="2"/>
      <c r="I3707" s="2"/>
      <c r="J3707" s="2"/>
    </row>
    <row r="3708" spans="1:10" x14ac:dyDescent="0.35">
      <c r="A3708" s="2" t="s">
        <v>1642</v>
      </c>
      <c r="B3708" s="2" t="s">
        <v>1768</v>
      </c>
      <c r="C3708" s="2" t="s">
        <v>24</v>
      </c>
      <c r="D3708" s="2" t="s">
        <v>1810</v>
      </c>
      <c r="E3708" s="2" t="s">
        <v>193</v>
      </c>
      <c r="F3708" s="2" t="s">
        <v>150</v>
      </c>
      <c r="G3708" s="2"/>
      <c r="H3708" s="2"/>
      <c r="I3708" s="2"/>
      <c r="J3708" s="2"/>
    </row>
    <row r="3709" spans="1:10" x14ac:dyDescent="0.35">
      <c r="A3709" s="2" t="s">
        <v>1642</v>
      </c>
      <c r="B3709" s="2" t="s">
        <v>1768</v>
      </c>
      <c r="C3709" s="2" t="s">
        <v>24</v>
      </c>
      <c r="D3709" s="2" t="s">
        <v>1812</v>
      </c>
      <c r="E3709" s="2" t="s">
        <v>14</v>
      </c>
      <c r="F3709" s="2" t="s">
        <v>15</v>
      </c>
      <c r="G3709" s="2"/>
      <c r="H3709" s="2"/>
      <c r="I3709" s="2"/>
      <c r="J3709" s="2"/>
    </row>
    <row r="3710" spans="1:10" x14ac:dyDescent="0.35">
      <c r="A3710" s="2" t="s">
        <v>1642</v>
      </c>
      <c r="B3710" s="2" t="s">
        <v>1768</v>
      </c>
      <c r="C3710" s="2" t="s">
        <v>24</v>
      </c>
      <c r="D3710" s="2" t="s">
        <v>1812</v>
      </c>
      <c r="E3710" s="2" t="s">
        <v>27</v>
      </c>
      <c r="F3710" s="2" t="s">
        <v>28</v>
      </c>
      <c r="G3710" s="2"/>
      <c r="H3710" s="2"/>
      <c r="I3710" s="2"/>
      <c r="J3710" s="2"/>
    </row>
    <row r="3711" spans="1:10" x14ac:dyDescent="0.35">
      <c r="A3711" s="2" t="s">
        <v>1642</v>
      </c>
      <c r="B3711" s="2" t="s">
        <v>1768</v>
      </c>
      <c r="C3711" s="2" t="s">
        <v>24</v>
      </c>
      <c r="D3711" s="2" t="s">
        <v>1812</v>
      </c>
      <c r="E3711" s="2" t="s">
        <v>1775</v>
      </c>
      <c r="F3711" s="2" t="s">
        <v>203</v>
      </c>
      <c r="G3711" s="2"/>
      <c r="H3711" s="2"/>
      <c r="I3711" s="2"/>
      <c r="J3711" s="2"/>
    </row>
    <row r="3712" spans="1:10" x14ac:dyDescent="0.35">
      <c r="A3712" s="2" t="s">
        <v>1642</v>
      </c>
      <c r="B3712" s="2" t="s">
        <v>1768</v>
      </c>
      <c r="C3712" s="2" t="s">
        <v>24</v>
      </c>
      <c r="D3712" s="2" t="s">
        <v>1812</v>
      </c>
      <c r="E3712" s="2" t="s">
        <v>613</v>
      </c>
      <c r="F3712" s="2" t="s">
        <v>125</v>
      </c>
      <c r="G3712" s="2"/>
      <c r="H3712" s="2"/>
      <c r="I3712" s="2"/>
      <c r="J3712" s="2"/>
    </row>
    <row r="3713" spans="1:10" x14ac:dyDescent="0.35">
      <c r="A3713" s="2" t="s">
        <v>1642</v>
      </c>
      <c r="B3713" s="2" t="s">
        <v>1768</v>
      </c>
      <c r="C3713" s="2" t="s">
        <v>24</v>
      </c>
      <c r="D3713" s="2" t="s">
        <v>1812</v>
      </c>
      <c r="E3713" s="2" t="s">
        <v>98</v>
      </c>
      <c r="F3713" s="2" t="s">
        <v>98</v>
      </c>
      <c r="G3713" s="2"/>
      <c r="H3713" s="2"/>
      <c r="I3713" s="2"/>
      <c r="J3713" s="2"/>
    </row>
    <row r="3714" spans="1:10" x14ac:dyDescent="0.35">
      <c r="A3714" s="2" t="s">
        <v>1642</v>
      </c>
      <c r="B3714" s="2" t="s">
        <v>1768</v>
      </c>
      <c r="C3714" s="2" t="s">
        <v>24</v>
      </c>
      <c r="D3714" s="2" t="s">
        <v>1812</v>
      </c>
      <c r="E3714" s="2" t="s">
        <v>121</v>
      </c>
      <c r="F3714" s="2" t="s">
        <v>122</v>
      </c>
      <c r="G3714" s="2"/>
      <c r="H3714" s="2"/>
      <c r="I3714" s="2"/>
      <c r="J3714" s="2"/>
    </row>
    <row r="3715" spans="1:10" x14ac:dyDescent="0.35">
      <c r="A3715" s="2" t="s">
        <v>1642</v>
      </c>
      <c r="B3715" s="2" t="s">
        <v>1768</v>
      </c>
      <c r="C3715" s="2" t="s">
        <v>24</v>
      </c>
      <c r="D3715" s="2" t="s">
        <v>1812</v>
      </c>
      <c r="E3715" s="2" t="s">
        <v>18</v>
      </c>
      <c r="F3715" s="2" t="s">
        <v>19</v>
      </c>
      <c r="G3715" s="2" t="s">
        <v>20</v>
      </c>
      <c r="H3715" s="2" t="s">
        <v>1813</v>
      </c>
      <c r="I3715" s="2"/>
      <c r="J3715" s="2"/>
    </row>
    <row r="3716" spans="1:10" x14ac:dyDescent="0.35">
      <c r="A3716" s="2" t="s">
        <v>1642</v>
      </c>
      <c r="B3716" s="2" t="s">
        <v>1768</v>
      </c>
      <c r="C3716" s="2" t="s">
        <v>24</v>
      </c>
      <c r="D3716" s="2" t="s">
        <v>1814</v>
      </c>
      <c r="E3716" s="2" t="s">
        <v>27</v>
      </c>
      <c r="F3716" s="2" t="s">
        <v>28</v>
      </c>
      <c r="G3716" s="2" t="s">
        <v>46</v>
      </c>
      <c r="H3716" s="2" t="s">
        <v>1815</v>
      </c>
      <c r="I3716" s="2"/>
      <c r="J3716" s="2"/>
    </row>
    <row r="3717" spans="1:10" x14ac:dyDescent="0.35">
      <c r="A3717" s="2" t="s">
        <v>1642</v>
      </c>
      <c r="B3717" s="2" t="s">
        <v>1768</v>
      </c>
      <c r="C3717" s="2" t="s">
        <v>24</v>
      </c>
      <c r="D3717" s="2" t="s">
        <v>1814</v>
      </c>
      <c r="E3717" s="2" t="s">
        <v>31</v>
      </c>
      <c r="F3717" s="2" t="s">
        <v>32</v>
      </c>
      <c r="G3717" s="2" t="s">
        <v>46</v>
      </c>
      <c r="H3717" s="2" t="s">
        <v>1815</v>
      </c>
      <c r="I3717" s="2"/>
      <c r="J3717" s="2"/>
    </row>
    <row r="3718" spans="1:10" x14ac:dyDescent="0.35">
      <c r="A3718" s="2" t="s">
        <v>1642</v>
      </c>
      <c r="B3718" s="2" t="s">
        <v>1768</v>
      </c>
      <c r="C3718" s="2" t="s">
        <v>24</v>
      </c>
      <c r="D3718" s="2" t="s">
        <v>1814</v>
      </c>
      <c r="E3718" s="2" t="s">
        <v>1782</v>
      </c>
      <c r="F3718" s="2" t="s">
        <v>38</v>
      </c>
      <c r="G3718" s="2" t="s">
        <v>46</v>
      </c>
      <c r="H3718" s="2" t="s">
        <v>1815</v>
      </c>
      <c r="I3718" s="2"/>
      <c r="J3718" s="2"/>
    </row>
    <row r="3719" spans="1:10" x14ac:dyDescent="0.35">
      <c r="A3719" s="2" t="s">
        <v>1642</v>
      </c>
      <c r="B3719" s="2" t="s">
        <v>1768</v>
      </c>
      <c r="C3719" s="2" t="s">
        <v>24</v>
      </c>
      <c r="D3719" s="2" t="s">
        <v>1814</v>
      </c>
      <c r="E3719" s="2" t="s">
        <v>121</v>
      </c>
      <c r="F3719" s="2" t="s">
        <v>122</v>
      </c>
      <c r="G3719" s="2" t="s">
        <v>46</v>
      </c>
      <c r="H3719" s="2" t="s">
        <v>1815</v>
      </c>
      <c r="I3719" s="2"/>
      <c r="J3719" s="2"/>
    </row>
    <row r="3720" spans="1:10" x14ac:dyDescent="0.35">
      <c r="A3720" s="2" t="s">
        <v>1642</v>
      </c>
      <c r="B3720" s="2" t="s">
        <v>1768</v>
      </c>
      <c r="C3720" s="2" t="s">
        <v>24</v>
      </c>
      <c r="D3720" s="2" t="s">
        <v>1816</v>
      </c>
      <c r="E3720" s="2" t="s">
        <v>1817</v>
      </c>
      <c r="F3720" s="2" t="s">
        <v>40</v>
      </c>
      <c r="G3720" s="2"/>
      <c r="H3720" s="2"/>
      <c r="I3720" s="2"/>
      <c r="J3720" s="2"/>
    </row>
    <row r="3721" spans="1:10" x14ac:dyDescent="0.35">
      <c r="A3721" s="2" t="s">
        <v>1642</v>
      </c>
      <c r="B3721" s="2" t="s">
        <v>1768</v>
      </c>
      <c r="C3721" s="2" t="s">
        <v>24</v>
      </c>
      <c r="D3721" s="2" t="s">
        <v>1816</v>
      </c>
      <c r="E3721" s="2" t="s">
        <v>155</v>
      </c>
      <c r="F3721" s="2" t="s">
        <v>32</v>
      </c>
      <c r="G3721" s="2"/>
      <c r="H3721" s="2"/>
      <c r="I3721" s="2"/>
      <c r="J3721" s="2"/>
    </row>
    <row r="3722" spans="1:10" x14ac:dyDescent="0.35">
      <c r="A3722" s="2" t="s">
        <v>1642</v>
      </c>
      <c r="B3722" s="2" t="s">
        <v>1768</v>
      </c>
      <c r="C3722" s="2" t="s">
        <v>24</v>
      </c>
      <c r="D3722" s="2" t="s">
        <v>1816</v>
      </c>
      <c r="E3722" s="2" t="s">
        <v>172</v>
      </c>
      <c r="F3722" s="2" t="s">
        <v>65</v>
      </c>
      <c r="G3722" s="2"/>
      <c r="H3722" s="2"/>
      <c r="I3722" s="2"/>
      <c r="J3722" s="2"/>
    </row>
    <row r="3723" spans="1:10" x14ac:dyDescent="0.35">
      <c r="A3723" s="2" t="s">
        <v>1642</v>
      </c>
      <c r="B3723" s="2" t="s">
        <v>1768</v>
      </c>
      <c r="C3723" s="2" t="s">
        <v>24</v>
      </c>
      <c r="D3723" s="2" t="s">
        <v>1816</v>
      </c>
      <c r="E3723" s="2" t="s">
        <v>1782</v>
      </c>
      <c r="F3723" s="2" t="s">
        <v>38</v>
      </c>
      <c r="G3723" s="2" t="s">
        <v>20</v>
      </c>
      <c r="H3723" s="2" t="s">
        <v>1818</v>
      </c>
      <c r="I3723" s="2"/>
      <c r="J3723" s="2"/>
    </row>
    <row r="3724" spans="1:10" x14ac:dyDescent="0.35">
      <c r="A3724" s="2" t="s">
        <v>1642</v>
      </c>
      <c r="B3724" s="2" t="s">
        <v>1768</v>
      </c>
      <c r="C3724" s="2" t="s">
        <v>24</v>
      </c>
      <c r="D3724" s="2" t="s">
        <v>1816</v>
      </c>
      <c r="E3724" s="2" t="s">
        <v>438</v>
      </c>
      <c r="F3724" s="2" t="s">
        <v>19</v>
      </c>
      <c r="G3724" s="2" t="s">
        <v>20</v>
      </c>
      <c r="H3724" s="2" t="s">
        <v>1818</v>
      </c>
      <c r="I3724" s="2"/>
      <c r="J3724" s="2"/>
    </row>
    <row r="3725" spans="1:10" x14ac:dyDescent="0.35">
      <c r="A3725" s="2" t="s">
        <v>1642</v>
      </c>
      <c r="B3725" s="2" t="s">
        <v>1768</v>
      </c>
      <c r="C3725" s="2" t="s">
        <v>24</v>
      </c>
      <c r="D3725" s="2" t="s">
        <v>1816</v>
      </c>
      <c r="E3725" s="2" t="s">
        <v>1363</v>
      </c>
      <c r="F3725" s="2" t="s">
        <v>189</v>
      </c>
      <c r="G3725" s="2"/>
      <c r="H3725" s="2"/>
      <c r="I3725" s="2"/>
      <c r="J3725" s="2"/>
    </row>
    <row r="3726" spans="1:10" x14ac:dyDescent="0.35">
      <c r="A3726" s="2" t="s">
        <v>1642</v>
      </c>
      <c r="B3726" s="2" t="s">
        <v>1768</v>
      </c>
      <c r="C3726" s="2" t="s">
        <v>24</v>
      </c>
      <c r="D3726" s="2" t="s">
        <v>1816</v>
      </c>
      <c r="E3726" s="2" t="s">
        <v>149</v>
      </c>
      <c r="F3726" s="2" t="s">
        <v>150</v>
      </c>
      <c r="G3726" s="2" t="s">
        <v>20</v>
      </c>
      <c r="H3726" s="2" t="s">
        <v>1818</v>
      </c>
      <c r="I3726" s="2"/>
      <c r="J3726" s="2"/>
    </row>
    <row r="3727" spans="1:10" x14ac:dyDescent="0.35">
      <c r="A3727" s="2" t="s">
        <v>1642</v>
      </c>
      <c r="B3727" s="2" t="s">
        <v>1768</v>
      </c>
      <c r="C3727" s="2" t="s">
        <v>12</v>
      </c>
      <c r="D3727" s="2" t="s">
        <v>1819</v>
      </c>
      <c r="E3727" s="2" t="s">
        <v>121</v>
      </c>
      <c r="F3727" s="2" t="s">
        <v>122</v>
      </c>
      <c r="G3727" s="2" t="s">
        <v>20</v>
      </c>
      <c r="H3727" s="2" t="s">
        <v>1820</v>
      </c>
      <c r="I3727" s="2"/>
      <c r="J3727" s="2"/>
    </row>
    <row r="3728" spans="1:10" x14ac:dyDescent="0.35">
      <c r="A3728" s="2" t="s">
        <v>1642</v>
      </c>
      <c r="B3728" s="2" t="s">
        <v>1768</v>
      </c>
      <c r="C3728" s="2" t="s">
        <v>12</v>
      </c>
      <c r="D3728" s="2" t="s">
        <v>1819</v>
      </c>
      <c r="E3728" s="2" t="s">
        <v>18</v>
      </c>
      <c r="F3728" s="2" t="s">
        <v>19</v>
      </c>
      <c r="G3728" s="2" t="s">
        <v>20</v>
      </c>
      <c r="H3728" s="2" t="s">
        <v>1813</v>
      </c>
      <c r="I3728" s="2"/>
      <c r="J3728" s="2"/>
    </row>
    <row r="3729" spans="1:10" x14ac:dyDescent="0.35">
      <c r="A3729" s="2" t="s">
        <v>1642</v>
      </c>
      <c r="B3729" s="2" t="s">
        <v>1768</v>
      </c>
      <c r="C3729" s="2" t="s">
        <v>12</v>
      </c>
      <c r="D3729" s="2" t="s">
        <v>1821</v>
      </c>
      <c r="E3729" s="2" t="s">
        <v>27</v>
      </c>
      <c r="F3729" s="2" t="s">
        <v>28</v>
      </c>
      <c r="G3729" s="2"/>
      <c r="H3729" s="2"/>
      <c r="I3729" s="2"/>
      <c r="J3729" s="2"/>
    </row>
    <row r="3730" spans="1:10" x14ac:dyDescent="0.35">
      <c r="A3730" s="2" t="s">
        <v>1642</v>
      </c>
      <c r="B3730" s="2" t="s">
        <v>1768</v>
      </c>
      <c r="C3730" s="2" t="s">
        <v>12</v>
      </c>
      <c r="D3730" s="2" t="s">
        <v>1821</v>
      </c>
      <c r="E3730" s="2" t="s">
        <v>998</v>
      </c>
      <c r="F3730" s="2" t="s">
        <v>40</v>
      </c>
      <c r="G3730" s="2"/>
      <c r="H3730" s="2"/>
      <c r="I3730" s="2"/>
      <c r="J3730" s="2"/>
    </row>
    <row r="3731" spans="1:10" x14ac:dyDescent="0.35">
      <c r="A3731" s="2" t="s">
        <v>1642</v>
      </c>
      <c r="B3731" s="2" t="s">
        <v>1768</v>
      </c>
      <c r="C3731" s="2" t="s">
        <v>12</v>
      </c>
      <c r="D3731" s="2" t="s">
        <v>1821</v>
      </c>
      <c r="E3731" s="2" t="s">
        <v>121</v>
      </c>
      <c r="F3731" s="2" t="s">
        <v>122</v>
      </c>
      <c r="G3731" s="2"/>
      <c r="H3731" s="2"/>
      <c r="I3731" s="2"/>
      <c r="J3731" s="2"/>
    </row>
    <row r="3732" spans="1:10" x14ac:dyDescent="0.35">
      <c r="A3732" s="2" t="s">
        <v>1642</v>
      </c>
      <c r="B3732" s="2" t="s">
        <v>1768</v>
      </c>
      <c r="C3732" s="2" t="s">
        <v>12</v>
      </c>
      <c r="D3732" s="2" t="s">
        <v>1821</v>
      </c>
      <c r="E3732" s="2" t="s">
        <v>1283</v>
      </c>
      <c r="F3732" s="2" t="s">
        <v>65</v>
      </c>
      <c r="G3732" s="2"/>
      <c r="H3732" s="2"/>
      <c r="I3732" s="2"/>
      <c r="J3732" s="2"/>
    </row>
    <row r="3733" spans="1:10" x14ac:dyDescent="0.35">
      <c r="A3733" s="2" t="s">
        <v>1642</v>
      </c>
      <c r="B3733" s="2" t="s">
        <v>1768</v>
      </c>
      <c r="C3733" s="2" t="s">
        <v>24</v>
      </c>
      <c r="D3733" s="2" t="s">
        <v>1822</v>
      </c>
      <c r="E3733" s="2" t="s">
        <v>196</v>
      </c>
      <c r="F3733" s="2" t="s">
        <v>197</v>
      </c>
      <c r="G3733" s="2"/>
      <c r="H3733" s="2"/>
      <c r="I3733" s="2"/>
      <c r="J3733" s="2"/>
    </row>
    <row r="3734" spans="1:10" x14ac:dyDescent="0.35">
      <c r="A3734" s="2" t="s">
        <v>1642</v>
      </c>
      <c r="B3734" s="2" t="s">
        <v>1768</v>
      </c>
      <c r="C3734" s="2" t="s">
        <v>24</v>
      </c>
      <c r="D3734" s="2" t="s">
        <v>1822</v>
      </c>
      <c r="E3734" s="2" t="s">
        <v>14</v>
      </c>
      <c r="F3734" s="2" t="s">
        <v>15</v>
      </c>
      <c r="G3734" s="2"/>
      <c r="H3734" s="2"/>
      <c r="I3734" s="2"/>
      <c r="J3734" s="2"/>
    </row>
    <row r="3735" spans="1:10" x14ac:dyDescent="0.35">
      <c r="A3735" s="2" t="s">
        <v>1642</v>
      </c>
      <c r="B3735" s="2" t="s">
        <v>1768</v>
      </c>
      <c r="C3735" s="2" t="s">
        <v>24</v>
      </c>
      <c r="D3735" s="2" t="s">
        <v>1822</v>
      </c>
      <c r="E3735" s="2" t="s">
        <v>74</v>
      </c>
      <c r="F3735" s="2" t="s">
        <v>75</v>
      </c>
      <c r="G3735" s="2" t="s">
        <v>20</v>
      </c>
      <c r="H3735" s="2" t="s">
        <v>1823</v>
      </c>
      <c r="I3735" s="2"/>
      <c r="J3735" s="2"/>
    </row>
    <row r="3736" spans="1:10" x14ac:dyDescent="0.35">
      <c r="A3736" s="2" t="s">
        <v>1642</v>
      </c>
      <c r="B3736" s="2" t="s">
        <v>1768</v>
      </c>
      <c r="C3736" s="2" t="s">
        <v>24</v>
      </c>
      <c r="D3736" s="2" t="s">
        <v>1822</v>
      </c>
      <c r="E3736" s="2" t="s">
        <v>27</v>
      </c>
      <c r="F3736" s="2" t="s">
        <v>28</v>
      </c>
      <c r="G3736" s="2"/>
      <c r="H3736" s="2"/>
      <c r="I3736" s="2"/>
      <c r="J3736" s="2"/>
    </row>
    <row r="3737" spans="1:10" x14ac:dyDescent="0.35">
      <c r="A3737" s="2" t="s">
        <v>1642</v>
      </c>
      <c r="B3737" s="2" t="s">
        <v>1768</v>
      </c>
      <c r="C3737" s="2" t="s">
        <v>24</v>
      </c>
      <c r="D3737" s="2" t="s">
        <v>1822</v>
      </c>
      <c r="E3737" s="2" t="s">
        <v>29</v>
      </c>
      <c r="F3737" s="2" t="s">
        <v>30</v>
      </c>
      <c r="G3737" s="2"/>
      <c r="H3737" s="2"/>
      <c r="I3737" s="2"/>
      <c r="J3737" s="2"/>
    </row>
    <row r="3738" spans="1:10" x14ac:dyDescent="0.35">
      <c r="A3738" s="2" t="s">
        <v>1642</v>
      </c>
      <c r="B3738" s="2" t="s">
        <v>1768</v>
      </c>
      <c r="C3738" s="2" t="s">
        <v>24</v>
      </c>
      <c r="D3738" s="2" t="s">
        <v>1822</v>
      </c>
      <c r="E3738" s="2" t="s">
        <v>1775</v>
      </c>
      <c r="F3738" s="2" t="s">
        <v>203</v>
      </c>
      <c r="G3738" s="2"/>
      <c r="H3738" s="2"/>
      <c r="I3738" s="2"/>
      <c r="J3738" s="2"/>
    </row>
    <row r="3739" spans="1:10" x14ac:dyDescent="0.35">
      <c r="A3739" s="2" t="s">
        <v>1642</v>
      </c>
      <c r="B3739" s="2" t="s">
        <v>1768</v>
      </c>
      <c r="C3739" s="2" t="s">
        <v>24</v>
      </c>
      <c r="D3739" s="2" t="s">
        <v>1822</v>
      </c>
      <c r="E3739" s="2" t="s">
        <v>31</v>
      </c>
      <c r="F3739" s="2" t="s">
        <v>32</v>
      </c>
      <c r="G3739" s="2"/>
      <c r="H3739" s="2"/>
      <c r="I3739" s="2"/>
      <c r="J3739" s="2"/>
    </row>
    <row r="3740" spans="1:10" x14ac:dyDescent="0.35">
      <c r="A3740" s="2" t="s">
        <v>1642</v>
      </c>
      <c r="B3740" s="2" t="s">
        <v>1768</v>
      </c>
      <c r="C3740" s="2" t="s">
        <v>24</v>
      </c>
      <c r="D3740" s="2" t="s">
        <v>1822</v>
      </c>
      <c r="E3740" s="2" t="s">
        <v>82</v>
      </c>
      <c r="F3740" s="2" t="s">
        <v>83</v>
      </c>
      <c r="G3740" s="2"/>
      <c r="H3740" s="2"/>
      <c r="I3740" s="2"/>
      <c r="J3740" s="2"/>
    </row>
    <row r="3741" spans="1:10" x14ac:dyDescent="0.35">
      <c r="A3741" s="2" t="s">
        <v>1642</v>
      </c>
      <c r="B3741" s="2" t="s">
        <v>1768</v>
      </c>
      <c r="C3741" s="2" t="s">
        <v>24</v>
      </c>
      <c r="D3741" s="2" t="s">
        <v>1822</v>
      </c>
      <c r="E3741" s="2" t="s">
        <v>96</v>
      </c>
      <c r="F3741" s="2" t="s">
        <v>83</v>
      </c>
      <c r="G3741" s="2"/>
      <c r="H3741" s="2"/>
      <c r="I3741" s="2"/>
      <c r="J3741" s="2"/>
    </row>
    <row r="3742" spans="1:10" x14ac:dyDescent="0.35">
      <c r="A3742" s="2" t="s">
        <v>1642</v>
      </c>
      <c r="B3742" s="2" t="s">
        <v>1768</v>
      </c>
      <c r="C3742" s="2" t="s">
        <v>24</v>
      </c>
      <c r="D3742" s="2" t="s">
        <v>1822</v>
      </c>
      <c r="E3742" s="2" t="s">
        <v>1084</v>
      </c>
      <c r="F3742" s="2" t="s">
        <v>125</v>
      </c>
      <c r="G3742" s="2"/>
      <c r="H3742" s="2"/>
      <c r="I3742" s="2"/>
      <c r="J3742" s="2"/>
    </row>
    <row r="3743" spans="1:10" x14ac:dyDescent="0.35">
      <c r="A3743" s="2" t="s">
        <v>1642</v>
      </c>
      <c r="B3743" s="2" t="s">
        <v>1768</v>
      </c>
      <c r="C3743" s="2" t="s">
        <v>24</v>
      </c>
      <c r="D3743" s="2" t="s">
        <v>1822</v>
      </c>
      <c r="E3743" s="2" t="s">
        <v>98</v>
      </c>
      <c r="F3743" s="2" t="s">
        <v>98</v>
      </c>
      <c r="G3743" s="2"/>
      <c r="H3743" s="2"/>
      <c r="I3743" s="2"/>
      <c r="J3743" s="2"/>
    </row>
    <row r="3744" spans="1:10" x14ac:dyDescent="0.35">
      <c r="A3744" s="2" t="s">
        <v>1642</v>
      </c>
      <c r="B3744" s="2" t="s">
        <v>1768</v>
      </c>
      <c r="C3744" s="2" t="s">
        <v>24</v>
      </c>
      <c r="D3744" s="2" t="s">
        <v>1822</v>
      </c>
      <c r="E3744" s="2" t="s">
        <v>121</v>
      </c>
      <c r="F3744" s="2" t="s">
        <v>122</v>
      </c>
      <c r="G3744" s="2"/>
      <c r="H3744" s="2"/>
      <c r="I3744" s="2"/>
      <c r="J3744" s="2"/>
    </row>
    <row r="3745" spans="1:10" x14ac:dyDescent="0.35">
      <c r="A3745" s="2" t="s">
        <v>1642</v>
      </c>
      <c r="B3745" s="2" t="s">
        <v>1768</v>
      </c>
      <c r="C3745" s="2" t="s">
        <v>24</v>
      </c>
      <c r="D3745" s="2" t="s">
        <v>1822</v>
      </c>
      <c r="E3745" s="2" t="s">
        <v>168</v>
      </c>
      <c r="F3745" s="2" t="s">
        <v>45</v>
      </c>
      <c r="G3745" s="2"/>
      <c r="H3745" s="2"/>
      <c r="I3745" s="2"/>
      <c r="J3745" s="2"/>
    </row>
    <row r="3746" spans="1:10" x14ac:dyDescent="0.35">
      <c r="A3746" s="2" t="s">
        <v>1642</v>
      </c>
      <c r="B3746" s="2" t="s">
        <v>1768</v>
      </c>
      <c r="C3746" s="2" t="s">
        <v>24</v>
      </c>
      <c r="D3746" s="2" t="s">
        <v>1822</v>
      </c>
      <c r="E3746" s="2" t="s">
        <v>91</v>
      </c>
      <c r="F3746" s="2" t="s">
        <v>19</v>
      </c>
      <c r="G3746" s="2" t="s">
        <v>20</v>
      </c>
      <c r="H3746" s="2" t="s">
        <v>1823</v>
      </c>
      <c r="I3746" s="2"/>
      <c r="J3746" s="2"/>
    </row>
    <row r="3747" spans="1:10" x14ac:dyDescent="0.35">
      <c r="A3747" s="2" t="s">
        <v>1642</v>
      </c>
      <c r="B3747" s="2" t="s">
        <v>1768</v>
      </c>
      <c r="C3747" s="2" t="s">
        <v>24</v>
      </c>
      <c r="D3747" s="2" t="s">
        <v>1822</v>
      </c>
      <c r="E3747" s="2" t="s">
        <v>1116</v>
      </c>
      <c r="F3747" s="2" t="s">
        <v>367</v>
      </c>
      <c r="G3747" s="2"/>
      <c r="H3747" s="2"/>
      <c r="I3747" s="2"/>
      <c r="J3747" s="2"/>
    </row>
    <row r="3748" spans="1:10" x14ac:dyDescent="0.35">
      <c r="A3748" s="2" t="s">
        <v>1642</v>
      </c>
      <c r="B3748" s="2" t="s">
        <v>1768</v>
      </c>
      <c r="C3748" s="2" t="s">
        <v>24</v>
      </c>
      <c r="D3748" s="2" t="s">
        <v>1822</v>
      </c>
      <c r="E3748" s="2" t="s">
        <v>1803</v>
      </c>
      <c r="F3748" s="2" t="s">
        <v>101</v>
      </c>
      <c r="G3748" s="2"/>
      <c r="H3748" s="2"/>
      <c r="I3748" s="2"/>
      <c r="J3748" s="2"/>
    </row>
    <row r="3749" spans="1:10" x14ac:dyDescent="0.35">
      <c r="A3749" s="2" t="s">
        <v>1642</v>
      </c>
      <c r="B3749" s="2" t="s">
        <v>1768</v>
      </c>
      <c r="C3749" s="2" t="s">
        <v>24</v>
      </c>
      <c r="D3749" s="2" t="s">
        <v>1822</v>
      </c>
      <c r="E3749" s="2" t="s">
        <v>1824</v>
      </c>
      <c r="F3749" s="2" t="s">
        <v>189</v>
      </c>
      <c r="G3749" s="2"/>
      <c r="H3749" s="2"/>
      <c r="I3749" s="2"/>
      <c r="J3749" s="2"/>
    </row>
    <row r="3750" spans="1:10" x14ac:dyDescent="0.35">
      <c r="A3750" s="2" t="s">
        <v>1642</v>
      </c>
      <c r="B3750" s="2" t="s">
        <v>1768</v>
      </c>
      <c r="C3750" s="2" t="s">
        <v>24</v>
      </c>
      <c r="D3750" s="2" t="s">
        <v>1822</v>
      </c>
      <c r="E3750" s="2" t="s">
        <v>862</v>
      </c>
      <c r="F3750" s="2" t="s">
        <v>38</v>
      </c>
      <c r="G3750" s="2"/>
      <c r="H3750" s="2"/>
      <c r="I3750" s="2"/>
      <c r="J3750" s="2"/>
    </row>
    <row r="3751" spans="1:10" x14ac:dyDescent="0.35">
      <c r="A3751" s="2" t="s">
        <v>1642</v>
      </c>
      <c r="B3751" s="2" t="s">
        <v>1768</v>
      </c>
      <c r="C3751" s="2" t="s">
        <v>24</v>
      </c>
      <c r="D3751" s="2" t="s">
        <v>1822</v>
      </c>
      <c r="E3751" s="2" t="s">
        <v>1825</v>
      </c>
      <c r="F3751" s="2" t="s">
        <v>40</v>
      </c>
      <c r="G3751" s="2"/>
      <c r="H3751" s="2"/>
      <c r="I3751" s="2"/>
      <c r="J3751" s="2"/>
    </row>
    <row r="3752" spans="1:10" x14ac:dyDescent="0.35">
      <c r="A3752" s="2" t="s">
        <v>1642</v>
      </c>
      <c r="B3752" s="2" t="s">
        <v>1768</v>
      </c>
      <c r="C3752" s="2" t="s">
        <v>24</v>
      </c>
      <c r="D3752" s="2" t="s">
        <v>1822</v>
      </c>
      <c r="E3752" s="2" t="s">
        <v>1826</v>
      </c>
      <c r="F3752" s="2" t="s">
        <v>50</v>
      </c>
      <c r="G3752" s="2"/>
      <c r="H3752" s="2"/>
      <c r="I3752" s="2"/>
      <c r="J3752" s="2"/>
    </row>
    <row r="3753" spans="1:10" x14ac:dyDescent="0.35">
      <c r="A3753" s="2" t="s">
        <v>1642</v>
      </c>
      <c r="B3753" s="2" t="s">
        <v>1768</v>
      </c>
      <c r="C3753" s="2" t="s">
        <v>24</v>
      </c>
      <c r="D3753" s="2" t="s">
        <v>1822</v>
      </c>
      <c r="E3753" s="2" t="s">
        <v>149</v>
      </c>
      <c r="F3753" s="2" t="s">
        <v>150</v>
      </c>
      <c r="G3753" s="2" t="s">
        <v>20</v>
      </c>
      <c r="H3753" s="2" t="s">
        <v>1827</v>
      </c>
      <c r="I3753" s="2"/>
      <c r="J3753" s="2"/>
    </row>
    <row r="3754" spans="1:10" x14ac:dyDescent="0.35">
      <c r="A3754" s="2" t="s">
        <v>1642</v>
      </c>
      <c r="B3754" s="2" t="s">
        <v>1768</v>
      </c>
      <c r="C3754" s="2" t="s">
        <v>24</v>
      </c>
      <c r="D3754" s="2" t="s">
        <v>1822</v>
      </c>
      <c r="E3754" s="2" t="s">
        <v>193</v>
      </c>
      <c r="F3754" s="2" t="s">
        <v>150</v>
      </c>
      <c r="G3754" s="2"/>
      <c r="H3754" s="2"/>
      <c r="I3754" s="2"/>
      <c r="J3754" s="2"/>
    </row>
    <row r="3755" spans="1:10" s="21" customFormat="1" x14ac:dyDescent="0.35">
      <c r="A3755" s="2" t="s">
        <v>1642</v>
      </c>
      <c r="B3755" s="2" t="s">
        <v>1768</v>
      </c>
      <c r="C3755" s="2" t="s">
        <v>12</v>
      </c>
      <c r="D3755" s="2" t="s">
        <v>1828</v>
      </c>
      <c r="E3755" s="2" t="s">
        <v>91</v>
      </c>
      <c r="F3755" s="2" t="s">
        <v>19</v>
      </c>
      <c r="G3755" s="2" t="s">
        <v>20</v>
      </c>
      <c r="H3755" s="2" t="s">
        <v>1829</v>
      </c>
      <c r="I3755" s="2"/>
      <c r="J3755" s="2"/>
    </row>
    <row r="3756" spans="1:10" s="21" customFormat="1" x14ac:dyDescent="0.35">
      <c r="A3756" s="2" t="s">
        <v>1642</v>
      </c>
      <c r="B3756" s="2" t="s">
        <v>1768</v>
      </c>
      <c r="C3756" s="2" t="s">
        <v>12</v>
      </c>
      <c r="D3756" s="2" t="s">
        <v>1828</v>
      </c>
      <c r="E3756" s="16" t="s">
        <v>89</v>
      </c>
      <c r="F3756" s="2" t="s">
        <v>1647</v>
      </c>
      <c r="G3756" s="2"/>
      <c r="H3756" s="2"/>
      <c r="I3756" s="2"/>
      <c r="J3756" s="2"/>
    </row>
    <row r="3757" spans="1:10" x14ac:dyDescent="0.35">
      <c r="A3757" s="2" t="s">
        <v>1642</v>
      </c>
      <c r="B3757" s="2" t="s">
        <v>1830</v>
      </c>
      <c r="C3757" s="2" t="s">
        <v>12</v>
      </c>
      <c r="D3757" s="2" t="s">
        <v>1831</v>
      </c>
      <c r="E3757" s="2" t="s">
        <v>27</v>
      </c>
      <c r="F3757" s="2" t="s">
        <v>28</v>
      </c>
      <c r="G3757" s="2" t="s">
        <v>20</v>
      </c>
      <c r="H3757" s="2" t="s">
        <v>1823</v>
      </c>
      <c r="I3757" s="2"/>
      <c r="J3757" s="2"/>
    </row>
    <row r="3758" spans="1:10" x14ac:dyDescent="0.35">
      <c r="A3758" s="2" t="s">
        <v>1642</v>
      </c>
      <c r="B3758" s="2" t="s">
        <v>1830</v>
      </c>
      <c r="C3758" s="2" t="s">
        <v>12</v>
      </c>
      <c r="D3758" s="2" t="s">
        <v>1832</v>
      </c>
      <c r="E3758" s="2" t="s">
        <v>29</v>
      </c>
      <c r="F3758" s="2" t="s">
        <v>30</v>
      </c>
      <c r="G3758" s="2"/>
      <c r="H3758" s="2"/>
      <c r="I3758" s="2"/>
      <c r="J3758" s="2"/>
    </row>
    <row r="3759" spans="1:10" x14ac:dyDescent="0.35">
      <c r="A3759" s="2" t="s">
        <v>1642</v>
      </c>
      <c r="B3759" s="2" t="s">
        <v>1830</v>
      </c>
      <c r="C3759" s="2" t="s">
        <v>12</v>
      </c>
      <c r="D3759" s="2" t="s">
        <v>1832</v>
      </c>
      <c r="E3759" s="2" t="s">
        <v>1307</v>
      </c>
      <c r="F3759" s="2" t="s">
        <v>38</v>
      </c>
      <c r="G3759" s="2" t="s">
        <v>20</v>
      </c>
      <c r="H3759" s="2" t="s">
        <v>1813</v>
      </c>
      <c r="I3759" s="2"/>
      <c r="J3759" s="2"/>
    </row>
    <row r="3760" spans="1:10" x14ac:dyDescent="0.35">
      <c r="A3760" s="2" t="s">
        <v>1642</v>
      </c>
      <c r="B3760" s="2" t="s">
        <v>1830</v>
      </c>
      <c r="C3760" s="2" t="s">
        <v>62</v>
      </c>
      <c r="D3760" s="2" t="s">
        <v>1833</v>
      </c>
      <c r="E3760" s="2" t="s">
        <v>27</v>
      </c>
      <c r="F3760" s="2" t="s">
        <v>28</v>
      </c>
      <c r="G3760" s="2" t="s">
        <v>20</v>
      </c>
      <c r="H3760" s="2" t="s">
        <v>1823</v>
      </c>
      <c r="I3760" s="2"/>
      <c r="J3760" s="2"/>
    </row>
    <row r="3761" spans="1:10" x14ac:dyDescent="0.35">
      <c r="A3761" s="2" t="s">
        <v>1642</v>
      </c>
      <c r="B3761" s="2" t="s">
        <v>1830</v>
      </c>
      <c r="C3761" s="2" t="s">
        <v>62</v>
      </c>
      <c r="D3761" s="2" t="s">
        <v>1833</v>
      </c>
      <c r="E3761" s="2" t="s">
        <v>87</v>
      </c>
      <c r="F3761" s="2" t="s">
        <v>75</v>
      </c>
      <c r="G3761" s="2"/>
      <c r="H3761" s="2"/>
      <c r="I3761" s="2"/>
      <c r="J3761" s="2"/>
    </row>
    <row r="3762" spans="1:10" x14ac:dyDescent="0.35">
      <c r="A3762" s="2" t="s">
        <v>1642</v>
      </c>
      <c r="B3762" s="2" t="s">
        <v>1830</v>
      </c>
      <c r="C3762" s="2" t="s">
        <v>62</v>
      </c>
      <c r="D3762" s="2" t="s">
        <v>1834</v>
      </c>
      <c r="E3762" s="2" t="s">
        <v>14</v>
      </c>
      <c r="F3762" s="2" t="s">
        <v>15</v>
      </c>
      <c r="G3762" s="2"/>
      <c r="H3762" s="2"/>
      <c r="I3762" s="2"/>
      <c r="J3762" s="2"/>
    </row>
    <row r="3763" spans="1:10" x14ac:dyDescent="0.35">
      <c r="A3763" s="2" t="s">
        <v>1642</v>
      </c>
      <c r="B3763" s="2" t="s">
        <v>1830</v>
      </c>
      <c r="C3763" s="2" t="s">
        <v>62</v>
      </c>
      <c r="D3763" s="2" t="s">
        <v>1834</v>
      </c>
      <c r="E3763" s="2" t="s">
        <v>1277</v>
      </c>
      <c r="F3763" s="2" t="s">
        <v>36</v>
      </c>
      <c r="G3763" s="2"/>
      <c r="H3763" s="2"/>
      <c r="I3763" s="2"/>
      <c r="J3763" s="2"/>
    </row>
    <row r="3764" spans="1:10" x14ac:dyDescent="0.35">
      <c r="A3764" s="2" t="s">
        <v>1642</v>
      </c>
      <c r="B3764" s="2" t="s">
        <v>1830</v>
      </c>
      <c r="C3764" s="2" t="s">
        <v>62</v>
      </c>
      <c r="D3764" s="2" t="s">
        <v>1834</v>
      </c>
      <c r="E3764" s="2" t="s">
        <v>124</v>
      </c>
      <c r="F3764" s="2" t="s">
        <v>1654</v>
      </c>
      <c r="G3764" s="2"/>
      <c r="H3764" s="2"/>
      <c r="I3764" s="2"/>
      <c r="J3764" s="2"/>
    </row>
    <row r="3765" spans="1:10" x14ac:dyDescent="0.35">
      <c r="A3765" s="2" t="s">
        <v>1642</v>
      </c>
      <c r="B3765" s="2" t="s">
        <v>1830</v>
      </c>
      <c r="C3765" s="2" t="s">
        <v>62</v>
      </c>
      <c r="D3765" s="2" t="s">
        <v>1835</v>
      </c>
      <c r="E3765" s="2" t="s">
        <v>1277</v>
      </c>
      <c r="F3765" s="2" t="s">
        <v>36</v>
      </c>
      <c r="G3765" s="2"/>
      <c r="H3765" s="2"/>
      <c r="I3765" s="2"/>
      <c r="J3765" s="2"/>
    </row>
    <row r="3766" spans="1:10" x14ac:dyDescent="0.35">
      <c r="A3766" s="2" t="s">
        <v>1642</v>
      </c>
      <c r="B3766" s="2" t="s">
        <v>1830</v>
      </c>
      <c r="C3766" s="2" t="s">
        <v>62</v>
      </c>
      <c r="D3766" s="2" t="s">
        <v>1835</v>
      </c>
      <c r="E3766" s="2" t="s">
        <v>27</v>
      </c>
      <c r="F3766" s="2" t="s">
        <v>28</v>
      </c>
      <c r="G3766" s="2"/>
      <c r="H3766" s="2"/>
      <c r="I3766" s="2"/>
      <c r="J3766" s="2"/>
    </row>
    <row r="3767" spans="1:10" x14ac:dyDescent="0.35">
      <c r="A3767" s="2" t="s">
        <v>1642</v>
      </c>
      <c r="B3767" s="2" t="s">
        <v>1830</v>
      </c>
      <c r="C3767" s="2" t="s">
        <v>62</v>
      </c>
      <c r="D3767" s="2" t="s">
        <v>1835</v>
      </c>
      <c r="E3767" s="2" t="s">
        <v>200</v>
      </c>
      <c r="F3767" s="2" t="s">
        <v>201</v>
      </c>
      <c r="G3767" s="2"/>
      <c r="H3767" s="2"/>
      <c r="I3767" s="2"/>
      <c r="J3767" s="2"/>
    </row>
    <row r="3768" spans="1:10" x14ac:dyDescent="0.35">
      <c r="A3768" s="2" t="s">
        <v>1642</v>
      </c>
      <c r="B3768" s="2" t="s">
        <v>1830</v>
      </c>
      <c r="C3768" s="2" t="s">
        <v>62</v>
      </c>
      <c r="D3768" s="2" t="s">
        <v>1835</v>
      </c>
      <c r="E3768" s="2" t="s">
        <v>257</v>
      </c>
      <c r="F3768" s="2" t="s">
        <v>45</v>
      </c>
      <c r="G3768" s="2" t="s">
        <v>20</v>
      </c>
      <c r="H3768" s="2" t="s">
        <v>1823</v>
      </c>
      <c r="I3768" s="2"/>
      <c r="J3768" s="2"/>
    </row>
    <row r="3769" spans="1:10" x14ac:dyDescent="0.35">
      <c r="A3769" s="2" t="s">
        <v>1642</v>
      </c>
      <c r="B3769" s="2" t="s">
        <v>1830</v>
      </c>
      <c r="C3769" s="2" t="s">
        <v>62</v>
      </c>
      <c r="D3769" s="2" t="s">
        <v>1835</v>
      </c>
      <c r="E3769" s="2" t="s">
        <v>1181</v>
      </c>
      <c r="F3769" s="2" t="s">
        <v>30</v>
      </c>
      <c r="G3769" s="2"/>
      <c r="H3769" s="2"/>
      <c r="I3769" s="2"/>
      <c r="J3769" s="2"/>
    </row>
    <row r="3770" spans="1:10" x14ac:dyDescent="0.35">
      <c r="A3770" s="2" t="s">
        <v>1642</v>
      </c>
      <c r="B3770" s="2" t="s">
        <v>1830</v>
      </c>
      <c r="C3770" s="2" t="s">
        <v>24</v>
      </c>
      <c r="D3770" s="2" t="s">
        <v>1836</v>
      </c>
      <c r="E3770" s="2" t="s">
        <v>14</v>
      </c>
      <c r="F3770" s="2" t="s">
        <v>15</v>
      </c>
      <c r="G3770" s="2"/>
      <c r="H3770" s="2"/>
      <c r="I3770" s="2"/>
      <c r="J3770" s="2"/>
    </row>
    <row r="3771" spans="1:10" x14ac:dyDescent="0.35">
      <c r="A3771" s="2" t="s">
        <v>1642</v>
      </c>
      <c r="B3771" s="2" t="s">
        <v>1830</v>
      </c>
      <c r="C3771" s="2" t="s">
        <v>24</v>
      </c>
      <c r="D3771" s="2" t="s">
        <v>1836</v>
      </c>
      <c r="E3771" s="2" t="s">
        <v>27</v>
      </c>
      <c r="F3771" s="2" t="s">
        <v>28</v>
      </c>
      <c r="G3771" s="2"/>
      <c r="H3771" s="2"/>
      <c r="I3771" s="2"/>
      <c r="J3771" s="2"/>
    </row>
    <row r="3772" spans="1:10" x14ac:dyDescent="0.35">
      <c r="A3772" s="2" t="s">
        <v>1642</v>
      </c>
      <c r="B3772" s="2" t="s">
        <v>1830</v>
      </c>
      <c r="C3772" s="2" t="s">
        <v>12</v>
      </c>
      <c r="D3772" s="2" t="s">
        <v>1837</v>
      </c>
      <c r="E3772" s="2" t="s">
        <v>1243</v>
      </c>
      <c r="F3772" s="2" t="s">
        <v>40</v>
      </c>
      <c r="G3772" s="2"/>
      <c r="H3772" s="2"/>
      <c r="I3772" s="2"/>
      <c r="J3772" s="2"/>
    </row>
    <row r="3773" spans="1:10" x14ac:dyDescent="0.35">
      <c r="A3773" s="2" t="s">
        <v>1642</v>
      </c>
      <c r="B3773" s="2" t="s">
        <v>1830</v>
      </c>
      <c r="C3773" s="2" t="s">
        <v>24</v>
      </c>
      <c r="D3773" s="2" t="s">
        <v>1838</v>
      </c>
      <c r="E3773" s="2" t="s">
        <v>14</v>
      </c>
      <c r="F3773" s="2" t="s">
        <v>15</v>
      </c>
      <c r="G3773" s="2"/>
      <c r="H3773" s="2"/>
      <c r="I3773" s="2"/>
      <c r="J3773" s="2"/>
    </row>
    <row r="3774" spans="1:10" x14ac:dyDescent="0.35">
      <c r="A3774" s="2" t="s">
        <v>1642</v>
      </c>
      <c r="B3774" s="2" t="s">
        <v>1830</v>
      </c>
      <c r="C3774" s="2" t="s">
        <v>24</v>
      </c>
      <c r="D3774" s="2" t="s">
        <v>1838</v>
      </c>
      <c r="E3774" s="2" t="s">
        <v>1839</v>
      </c>
      <c r="F3774" s="2" t="s">
        <v>30</v>
      </c>
      <c r="G3774" s="2"/>
      <c r="H3774" s="2"/>
      <c r="I3774" s="2"/>
      <c r="J3774" s="2"/>
    </row>
    <row r="3775" spans="1:10" x14ac:dyDescent="0.35">
      <c r="A3775" s="2" t="s">
        <v>1642</v>
      </c>
      <c r="B3775" s="2" t="s">
        <v>1830</v>
      </c>
      <c r="C3775" s="2" t="s">
        <v>12</v>
      </c>
      <c r="D3775" s="2" t="s">
        <v>1840</v>
      </c>
      <c r="E3775" s="2" t="s">
        <v>27</v>
      </c>
      <c r="F3775" s="2" t="s">
        <v>28</v>
      </c>
      <c r="G3775" s="2" t="s">
        <v>20</v>
      </c>
      <c r="H3775" s="2" t="s">
        <v>1823</v>
      </c>
      <c r="I3775" s="2"/>
      <c r="J3775" s="2"/>
    </row>
    <row r="3776" spans="1:10" x14ac:dyDescent="0.35">
      <c r="A3776" s="2" t="s">
        <v>1642</v>
      </c>
      <c r="B3776" s="2" t="s">
        <v>1830</v>
      </c>
      <c r="C3776" s="2" t="s">
        <v>12</v>
      </c>
      <c r="D3776" s="2" t="s">
        <v>1840</v>
      </c>
      <c r="E3776" s="2" t="s">
        <v>998</v>
      </c>
      <c r="F3776" s="2" t="s">
        <v>40</v>
      </c>
      <c r="G3776" s="2"/>
      <c r="H3776" s="2"/>
      <c r="I3776" s="2"/>
      <c r="J3776" s="2"/>
    </row>
    <row r="3777" spans="1:10" x14ac:dyDescent="0.35">
      <c r="A3777" s="2" t="s">
        <v>1642</v>
      </c>
      <c r="B3777" s="2" t="s">
        <v>1830</v>
      </c>
      <c r="C3777" s="2" t="s">
        <v>12</v>
      </c>
      <c r="D3777" s="2" t="s">
        <v>1840</v>
      </c>
      <c r="E3777" s="2" t="s">
        <v>188</v>
      </c>
      <c r="F3777" s="2" t="s">
        <v>189</v>
      </c>
      <c r="G3777" s="2"/>
      <c r="H3777" s="2"/>
      <c r="I3777" s="2"/>
      <c r="J3777" s="2"/>
    </row>
    <row r="3778" spans="1:10" x14ac:dyDescent="0.35">
      <c r="A3778" s="2" t="s">
        <v>1642</v>
      </c>
      <c r="B3778" s="2" t="s">
        <v>1830</v>
      </c>
      <c r="C3778" s="2" t="s">
        <v>12</v>
      </c>
      <c r="D3778" s="2" t="s">
        <v>1840</v>
      </c>
      <c r="E3778" s="2" t="s">
        <v>149</v>
      </c>
      <c r="F3778" s="2" t="s">
        <v>150</v>
      </c>
      <c r="G3778" s="2" t="s">
        <v>20</v>
      </c>
      <c r="H3778" s="2" t="s">
        <v>1813</v>
      </c>
      <c r="I3778" s="2"/>
      <c r="J3778" s="2"/>
    </row>
    <row r="3779" spans="1:10" x14ac:dyDescent="0.35">
      <c r="A3779" s="2" t="s">
        <v>1642</v>
      </c>
      <c r="B3779" s="2" t="s">
        <v>1830</v>
      </c>
      <c r="C3779" s="2" t="s">
        <v>12</v>
      </c>
      <c r="D3779" s="2" t="s">
        <v>1841</v>
      </c>
      <c r="E3779" s="2" t="s">
        <v>14</v>
      </c>
      <c r="F3779" s="2" t="s">
        <v>15</v>
      </c>
      <c r="G3779" s="2"/>
      <c r="H3779" s="2"/>
      <c r="I3779" s="2"/>
      <c r="J3779" s="2"/>
    </row>
    <row r="3780" spans="1:10" s="21" customFormat="1" x14ac:dyDescent="0.35">
      <c r="A3780" s="2" t="s">
        <v>1642</v>
      </c>
      <c r="B3780" s="2" t="s">
        <v>1830</v>
      </c>
      <c r="C3780" s="2" t="s">
        <v>12</v>
      </c>
      <c r="D3780" s="2" t="s">
        <v>1841</v>
      </c>
      <c r="E3780" s="2" t="s">
        <v>27</v>
      </c>
      <c r="F3780" s="2" t="s">
        <v>28</v>
      </c>
      <c r="G3780" s="2"/>
      <c r="H3780" s="2"/>
      <c r="I3780" s="2"/>
      <c r="J3780" s="2"/>
    </row>
    <row r="3781" spans="1:10" s="21" customFormat="1" x14ac:dyDescent="0.35">
      <c r="A3781" s="2" t="s">
        <v>1642</v>
      </c>
      <c r="B3781" s="2" t="s">
        <v>1830</v>
      </c>
      <c r="C3781" s="2" t="s">
        <v>12</v>
      </c>
      <c r="D3781" s="2" t="s">
        <v>1841</v>
      </c>
      <c r="E3781" s="2" t="s">
        <v>77</v>
      </c>
      <c r="F3781" s="2" t="s">
        <v>78</v>
      </c>
      <c r="G3781" s="2"/>
      <c r="H3781" s="2"/>
      <c r="I3781" s="2"/>
      <c r="J3781" s="2"/>
    </row>
    <row r="3782" spans="1:10" x14ac:dyDescent="0.35">
      <c r="A3782" s="2" t="s">
        <v>1642</v>
      </c>
      <c r="B3782" s="2" t="s">
        <v>1830</v>
      </c>
      <c r="C3782" s="2" t="s">
        <v>12</v>
      </c>
      <c r="D3782" s="2" t="s">
        <v>1842</v>
      </c>
      <c r="E3782" s="2" t="s">
        <v>27</v>
      </c>
      <c r="F3782" s="2" t="s">
        <v>28</v>
      </c>
      <c r="G3782" s="2" t="s">
        <v>20</v>
      </c>
      <c r="H3782" s="2" t="s">
        <v>1813</v>
      </c>
      <c r="I3782" s="2"/>
      <c r="J3782" s="2"/>
    </row>
    <row r="3783" spans="1:10" x14ac:dyDescent="0.35">
      <c r="A3783" s="2" t="s">
        <v>1642</v>
      </c>
      <c r="B3783" s="2" t="s">
        <v>1830</v>
      </c>
      <c r="C3783" s="2" t="s">
        <v>24</v>
      </c>
      <c r="D3783" s="2" t="s">
        <v>1843</v>
      </c>
      <c r="E3783" s="2" t="s">
        <v>130</v>
      </c>
      <c r="F3783" s="2" t="s">
        <v>36</v>
      </c>
      <c r="G3783" s="2"/>
      <c r="H3783" s="2"/>
      <c r="I3783" s="2"/>
      <c r="J3783" s="2"/>
    </row>
    <row r="3784" spans="1:10" x14ac:dyDescent="0.35">
      <c r="A3784" s="2" t="s">
        <v>1642</v>
      </c>
      <c r="B3784" s="2" t="s">
        <v>1830</v>
      </c>
      <c r="C3784" s="2" t="s">
        <v>24</v>
      </c>
      <c r="D3784" s="2" t="s">
        <v>1843</v>
      </c>
      <c r="E3784" s="2" t="s">
        <v>27</v>
      </c>
      <c r="F3784" s="2" t="s">
        <v>28</v>
      </c>
      <c r="G3784" s="2" t="s">
        <v>20</v>
      </c>
      <c r="H3784" s="2" t="s">
        <v>1844</v>
      </c>
      <c r="I3784" s="2"/>
      <c r="J3784" s="2"/>
    </row>
    <row r="3785" spans="1:10" x14ac:dyDescent="0.35">
      <c r="A3785" s="2" t="s">
        <v>1642</v>
      </c>
      <c r="B3785" s="2" t="s">
        <v>1830</v>
      </c>
      <c r="C3785" s="2" t="s">
        <v>24</v>
      </c>
      <c r="D3785" s="2" t="s">
        <v>1843</v>
      </c>
      <c r="E3785" s="2" t="s">
        <v>87</v>
      </c>
      <c r="F3785" s="2" t="s">
        <v>75</v>
      </c>
      <c r="G3785" s="2" t="s">
        <v>20</v>
      </c>
      <c r="H3785" s="2" t="s">
        <v>1845</v>
      </c>
      <c r="I3785" s="2"/>
      <c r="J3785" s="2"/>
    </row>
    <row r="3786" spans="1:10" x14ac:dyDescent="0.35">
      <c r="A3786" s="2" t="s">
        <v>1642</v>
      </c>
      <c r="B3786" s="2" t="s">
        <v>1830</v>
      </c>
      <c r="C3786" s="2" t="s">
        <v>24</v>
      </c>
      <c r="D3786" s="2" t="s">
        <v>1843</v>
      </c>
      <c r="E3786" s="2" t="s">
        <v>124</v>
      </c>
      <c r="F3786" s="2" t="s">
        <v>1654</v>
      </c>
      <c r="G3786" s="2"/>
      <c r="H3786" s="2"/>
      <c r="I3786" s="2"/>
      <c r="J3786" s="2"/>
    </row>
    <row r="3787" spans="1:10" x14ac:dyDescent="0.35">
      <c r="A3787" s="2" t="s">
        <v>1642</v>
      </c>
      <c r="B3787" s="2" t="s">
        <v>1830</v>
      </c>
      <c r="C3787" s="2" t="s">
        <v>24</v>
      </c>
      <c r="D3787" s="2" t="s">
        <v>1843</v>
      </c>
      <c r="E3787" s="2" t="s">
        <v>18</v>
      </c>
      <c r="F3787" s="2" t="s">
        <v>19</v>
      </c>
      <c r="G3787" s="2" t="s">
        <v>20</v>
      </c>
      <c r="H3787" s="2" t="s">
        <v>1846</v>
      </c>
      <c r="I3787" s="2"/>
      <c r="J3787" s="2"/>
    </row>
    <row r="3788" spans="1:10" x14ac:dyDescent="0.35">
      <c r="A3788" s="2" t="s">
        <v>1642</v>
      </c>
      <c r="B3788" s="2" t="s">
        <v>1830</v>
      </c>
      <c r="C3788" s="2" t="s">
        <v>24</v>
      </c>
      <c r="D3788" s="2" t="s">
        <v>1843</v>
      </c>
      <c r="E3788" s="2" t="s">
        <v>188</v>
      </c>
      <c r="F3788" s="2" t="s">
        <v>189</v>
      </c>
      <c r="G3788" s="2" t="s">
        <v>20</v>
      </c>
      <c r="H3788" s="2" t="s">
        <v>1847</v>
      </c>
      <c r="I3788" s="2"/>
      <c r="J3788" s="2"/>
    </row>
    <row r="3789" spans="1:10" x14ac:dyDescent="0.35">
      <c r="A3789" s="2" t="s">
        <v>1642</v>
      </c>
      <c r="B3789" s="2" t="s">
        <v>1830</v>
      </c>
      <c r="C3789" s="2" t="s">
        <v>24</v>
      </c>
      <c r="D3789" s="2" t="s">
        <v>1843</v>
      </c>
      <c r="E3789" s="2" t="s">
        <v>61</v>
      </c>
      <c r="F3789" s="2" t="s">
        <v>30</v>
      </c>
      <c r="G3789" s="2"/>
      <c r="H3789" s="2"/>
      <c r="I3789" s="2"/>
      <c r="J3789" s="2"/>
    </row>
    <row r="3790" spans="1:10" x14ac:dyDescent="0.35">
      <c r="A3790" s="2" t="s">
        <v>1642</v>
      </c>
      <c r="B3790" s="2" t="s">
        <v>1830</v>
      </c>
      <c r="C3790" s="2" t="s">
        <v>24</v>
      </c>
      <c r="D3790" s="2" t="s">
        <v>1843</v>
      </c>
      <c r="E3790" s="2" t="s">
        <v>127</v>
      </c>
      <c r="F3790" s="2" t="s">
        <v>107</v>
      </c>
      <c r="G3790" s="2"/>
      <c r="H3790" s="2"/>
      <c r="I3790" s="2"/>
      <c r="J3790" s="2"/>
    </row>
    <row r="3791" spans="1:10" s="18" customFormat="1" x14ac:dyDescent="0.35">
      <c r="A3791" s="2" t="s">
        <v>1642</v>
      </c>
      <c r="B3791" s="2" t="s">
        <v>1830</v>
      </c>
      <c r="C3791" s="2" t="s">
        <v>62</v>
      </c>
      <c r="D3791" s="2" t="s">
        <v>1848</v>
      </c>
      <c r="E3791" s="2" t="s">
        <v>27</v>
      </c>
      <c r="F3791" s="2" t="s">
        <v>28</v>
      </c>
      <c r="G3791" s="2" t="s">
        <v>20</v>
      </c>
      <c r="H3791" s="2" t="s">
        <v>1849</v>
      </c>
      <c r="I3791" s="2"/>
      <c r="J3791" s="2"/>
    </row>
    <row r="3792" spans="1:10" s="18" customFormat="1" x14ac:dyDescent="0.35">
      <c r="A3792" s="2" t="s">
        <v>1642</v>
      </c>
      <c r="B3792" s="2" t="s">
        <v>1830</v>
      </c>
      <c r="C3792" s="2" t="s">
        <v>62</v>
      </c>
      <c r="D3792" s="2" t="s">
        <v>1848</v>
      </c>
      <c r="E3792" s="2" t="s">
        <v>98</v>
      </c>
      <c r="F3792" s="2" t="s">
        <v>98</v>
      </c>
      <c r="G3792" s="2"/>
      <c r="H3792" s="2"/>
      <c r="I3792" s="2"/>
      <c r="J3792" s="2"/>
    </row>
    <row r="3793" spans="1:10" s="18" customFormat="1" x14ac:dyDescent="0.35">
      <c r="A3793" s="2" t="s">
        <v>1642</v>
      </c>
      <c r="B3793" s="2" t="s">
        <v>1830</v>
      </c>
      <c r="C3793" s="2" t="s">
        <v>62</v>
      </c>
      <c r="D3793" s="2" t="s">
        <v>1848</v>
      </c>
      <c r="E3793" s="2" t="s">
        <v>18</v>
      </c>
      <c r="F3793" s="2" t="s">
        <v>19</v>
      </c>
      <c r="G3793" s="2" t="s">
        <v>20</v>
      </c>
      <c r="H3793" s="2" t="s">
        <v>1849</v>
      </c>
      <c r="I3793" s="2"/>
      <c r="J3793" s="2"/>
    </row>
    <row r="3794" spans="1:10" s="18" customFormat="1" x14ac:dyDescent="0.35">
      <c r="A3794" s="2" t="s">
        <v>1642</v>
      </c>
      <c r="B3794" s="2" t="s">
        <v>1830</v>
      </c>
      <c r="C3794" s="2" t="s">
        <v>62</v>
      </c>
      <c r="D3794" s="2" t="s">
        <v>1848</v>
      </c>
      <c r="E3794" s="2" t="s">
        <v>61</v>
      </c>
      <c r="F3794" s="2" t="s">
        <v>30</v>
      </c>
      <c r="G3794" s="2"/>
      <c r="H3794" s="2"/>
      <c r="I3794" s="2"/>
      <c r="J3794" s="2"/>
    </row>
    <row r="3795" spans="1:10" x14ac:dyDescent="0.35">
      <c r="A3795" s="2" t="s">
        <v>1642</v>
      </c>
      <c r="B3795" s="2" t="s">
        <v>1830</v>
      </c>
      <c r="C3795" s="2" t="s">
        <v>54</v>
      </c>
      <c r="D3795" s="2" t="s">
        <v>1850</v>
      </c>
      <c r="E3795" s="2" t="s">
        <v>393</v>
      </c>
      <c r="F3795" s="2" t="s">
        <v>36</v>
      </c>
      <c r="G3795" s="2"/>
      <c r="H3795" s="2"/>
      <c r="I3795" s="2"/>
      <c r="J3795" s="2"/>
    </row>
    <row r="3796" spans="1:10" x14ac:dyDescent="0.35">
      <c r="A3796" s="2" t="s">
        <v>1642</v>
      </c>
      <c r="B3796" s="2" t="s">
        <v>1830</v>
      </c>
      <c r="C3796" s="2" t="s">
        <v>54</v>
      </c>
      <c r="D3796" s="2" t="s">
        <v>1851</v>
      </c>
      <c r="E3796" s="2" t="s">
        <v>18</v>
      </c>
      <c r="F3796" s="2" t="s">
        <v>19</v>
      </c>
      <c r="G3796" s="2" t="s">
        <v>20</v>
      </c>
      <c r="H3796" s="2" t="s">
        <v>1852</v>
      </c>
      <c r="I3796" s="2"/>
      <c r="J3796" s="2"/>
    </row>
    <row r="3797" spans="1:10" x14ac:dyDescent="0.35">
      <c r="A3797" s="2" t="s">
        <v>1642</v>
      </c>
      <c r="B3797" s="2" t="s">
        <v>1830</v>
      </c>
      <c r="C3797" s="2" t="s">
        <v>54</v>
      </c>
      <c r="D3797" s="2" t="s">
        <v>1851</v>
      </c>
      <c r="E3797" s="2" t="s">
        <v>89</v>
      </c>
      <c r="F3797" s="2" t="s">
        <v>45</v>
      </c>
      <c r="G3797" s="2" t="s">
        <v>20</v>
      </c>
      <c r="H3797" s="2" t="s">
        <v>1852</v>
      </c>
      <c r="I3797" s="2"/>
      <c r="J3797" s="2"/>
    </row>
    <row r="3798" spans="1:10" s="21" customFormat="1" x14ac:dyDescent="0.35">
      <c r="A3798" s="2" t="s">
        <v>1642</v>
      </c>
      <c r="B3798" s="2" t="s">
        <v>1830</v>
      </c>
      <c r="C3798" s="2" t="s">
        <v>62</v>
      </c>
      <c r="D3798" s="2" t="s">
        <v>1853</v>
      </c>
      <c r="E3798" s="2" t="s">
        <v>27</v>
      </c>
      <c r="F3798" s="2" t="s">
        <v>28</v>
      </c>
      <c r="G3798" s="2" t="s">
        <v>20</v>
      </c>
      <c r="H3798" s="2" t="s">
        <v>1823</v>
      </c>
      <c r="I3798" s="2"/>
      <c r="J3798" s="2"/>
    </row>
    <row r="3799" spans="1:10" s="21" customFormat="1" x14ac:dyDescent="0.35">
      <c r="A3799" s="2" t="s">
        <v>1642</v>
      </c>
      <c r="B3799" s="2" t="s">
        <v>1830</v>
      </c>
      <c r="C3799" s="2" t="s">
        <v>62</v>
      </c>
      <c r="D3799" s="2" t="s">
        <v>1853</v>
      </c>
      <c r="E3799" s="2" t="s">
        <v>18</v>
      </c>
      <c r="F3799" s="2" t="s">
        <v>19</v>
      </c>
      <c r="G3799" s="2" t="s">
        <v>20</v>
      </c>
      <c r="H3799" s="2" t="s">
        <v>1823</v>
      </c>
      <c r="I3799" s="2"/>
      <c r="J3799" s="2"/>
    </row>
    <row r="3800" spans="1:10" x14ac:dyDescent="0.35">
      <c r="A3800" s="2" t="s">
        <v>1642</v>
      </c>
      <c r="B3800" s="2" t="s">
        <v>1830</v>
      </c>
      <c r="C3800" s="2" t="s">
        <v>12</v>
      </c>
      <c r="D3800" s="2" t="s">
        <v>1854</v>
      </c>
      <c r="E3800" s="2" t="s">
        <v>27</v>
      </c>
      <c r="F3800" s="2" t="s">
        <v>28</v>
      </c>
      <c r="G3800" s="2" t="s">
        <v>20</v>
      </c>
      <c r="H3800" s="2" t="s">
        <v>1855</v>
      </c>
      <c r="I3800" s="2"/>
      <c r="J3800" s="2"/>
    </row>
    <row r="3801" spans="1:10" x14ac:dyDescent="0.35">
      <c r="A3801" s="2" t="s">
        <v>1642</v>
      </c>
      <c r="B3801" s="2" t="s">
        <v>1830</v>
      </c>
      <c r="C3801" s="2" t="s">
        <v>12</v>
      </c>
      <c r="D3801" s="2" t="s">
        <v>1854</v>
      </c>
      <c r="E3801" s="2" t="s">
        <v>18</v>
      </c>
      <c r="F3801" s="2" t="s">
        <v>19</v>
      </c>
      <c r="G3801" s="2" t="s">
        <v>20</v>
      </c>
      <c r="H3801" s="2" t="s">
        <v>1856</v>
      </c>
      <c r="I3801" s="2"/>
      <c r="J3801" s="2"/>
    </row>
    <row r="3802" spans="1:10" x14ac:dyDescent="0.35">
      <c r="A3802" s="2" t="s">
        <v>1642</v>
      </c>
      <c r="B3802" s="2" t="s">
        <v>1830</v>
      </c>
      <c r="C3802" s="2" t="s">
        <v>62</v>
      </c>
      <c r="D3802" s="2" t="s">
        <v>1857</v>
      </c>
      <c r="E3802" s="2" t="s">
        <v>27</v>
      </c>
      <c r="F3802" s="2" t="s">
        <v>28</v>
      </c>
      <c r="G3802" s="2" t="s">
        <v>20</v>
      </c>
      <c r="H3802" s="2" t="s">
        <v>1858</v>
      </c>
      <c r="I3802" s="2"/>
      <c r="J3802" s="2"/>
    </row>
    <row r="3803" spans="1:10" x14ac:dyDescent="0.35">
      <c r="A3803" s="2" t="s">
        <v>1642</v>
      </c>
      <c r="B3803" s="2" t="s">
        <v>1830</v>
      </c>
      <c r="C3803" s="2" t="s">
        <v>62</v>
      </c>
      <c r="D3803" s="2" t="s">
        <v>1857</v>
      </c>
      <c r="E3803" s="2" t="s">
        <v>121</v>
      </c>
      <c r="F3803" s="2" t="s">
        <v>122</v>
      </c>
      <c r="G3803" s="2" t="s">
        <v>20</v>
      </c>
      <c r="H3803" s="2" t="s">
        <v>1858</v>
      </c>
      <c r="I3803" s="2"/>
      <c r="J3803" s="2"/>
    </row>
    <row r="3804" spans="1:10" x14ac:dyDescent="0.35">
      <c r="A3804" s="2" t="s">
        <v>1642</v>
      </c>
      <c r="B3804" s="2" t="s">
        <v>1830</v>
      </c>
      <c r="C3804" s="2" t="s">
        <v>62</v>
      </c>
      <c r="D3804" s="2" t="s">
        <v>1859</v>
      </c>
      <c r="E3804" s="2" t="s">
        <v>27</v>
      </c>
      <c r="F3804" s="2" t="s">
        <v>28</v>
      </c>
      <c r="G3804" s="2" t="s">
        <v>20</v>
      </c>
      <c r="H3804" s="2" t="s">
        <v>1823</v>
      </c>
      <c r="I3804" s="2"/>
      <c r="J3804" s="2"/>
    </row>
    <row r="3805" spans="1:10" x14ac:dyDescent="0.35">
      <c r="A3805" s="2" t="s">
        <v>1642</v>
      </c>
      <c r="B3805" s="2" t="s">
        <v>1830</v>
      </c>
      <c r="C3805" s="2" t="s">
        <v>62</v>
      </c>
      <c r="D3805" s="2" t="s">
        <v>1859</v>
      </c>
      <c r="E3805" s="2" t="s">
        <v>87</v>
      </c>
      <c r="F3805" s="2" t="s">
        <v>75</v>
      </c>
      <c r="G3805" s="2"/>
      <c r="H3805" s="2"/>
      <c r="I3805" s="2"/>
      <c r="J3805" s="2"/>
    </row>
    <row r="3806" spans="1:10" x14ac:dyDescent="0.35">
      <c r="A3806" s="2" t="s">
        <v>1642</v>
      </c>
      <c r="B3806" s="2" t="s">
        <v>1830</v>
      </c>
      <c r="C3806" s="2" t="s">
        <v>62</v>
      </c>
      <c r="D3806" s="2" t="s">
        <v>1859</v>
      </c>
      <c r="E3806" s="2" t="s">
        <v>18</v>
      </c>
      <c r="F3806" s="2" t="s">
        <v>19</v>
      </c>
      <c r="G3806" s="2"/>
      <c r="H3806" s="2"/>
      <c r="I3806" s="2"/>
      <c r="J3806" s="2"/>
    </row>
    <row r="3807" spans="1:10" x14ac:dyDescent="0.35">
      <c r="A3807" s="2" t="s">
        <v>1642</v>
      </c>
      <c r="B3807" s="2" t="s">
        <v>1830</v>
      </c>
      <c r="C3807" s="2" t="s">
        <v>62</v>
      </c>
      <c r="D3807" s="2" t="s">
        <v>1859</v>
      </c>
      <c r="E3807" s="2" t="s">
        <v>375</v>
      </c>
      <c r="F3807" s="2" t="s">
        <v>107</v>
      </c>
      <c r="G3807" s="2"/>
      <c r="H3807" s="2"/>
      <c r="I3807" s="2"/>
      <c r="J3807" s="2"/>
    </row>
    <row r="3808" spans="1:10" s="21" customFormat="1" x14ac:dyDescent="0.35">
      <c r="A3808" s="2" t="s">
        <v>1642</v>
      </c>
      <c r="B3808" s="2" t="s">
        <v>1830</v>
      </c>
      <c r="C3808" s="2" t="s">
        <v>62</v>
      </c>
      <c r="D3808" s="2" t="s">
        <v>1860</v>
      </c>
      <c r="E3808" s="2" t="s">
        <v>27</v>
      </c>
      <c r="F3808" s="2" t="s">
        <v>28</v>
      </c>
      <c r="G3808" s="2"/>
      <c r="H3808" s="2"/>
      <c r="I3808" s="2"/>
      <c r="J3808" s="2"/>
    </row>
    <row r="3809" spans="1:10" s="21" customFormat="1" x14ac:dyDescent="0.35">
      <c r="A3809" s="2" t="s">
        <v>1642</v>
      </c>
      <c r="B3809" s="2" t="s">
        <v>1830</v>
      </c>
      <c r="C3809" s="2" t="s">
        <v>62</v>
      </c>
      <c r="D3809" s="2" t="s">
        <v>1860</v>
      </c>
      <c r="E3809" s="2" t="s">
        <v>18</v>
      </c>
      <c r="F3809" s="2" t="s">
        <v>19</v>
      </c>
      <c r="G3809" s="2" t="s">
        <v>20</v>
      </c>
      <c r="H3809" s="2" t="s">
        <v>1861</v>
      </c>
      <c r="I3809" s="2"/>
      <c r="J3809" s="2"/>
    </row>
    <row r="3810" spans="1:10" x14ac:dyDescent="0.35">
      <c r="A3810" s="2" t="s">
        <v>1642</v>
      </c>
      <c r="B3810" s="2" t="s">
        <v>1830</v>
      </c>
      <c r="C3810" s="2" t="s">
        <v>62</v>
      </c>
      <c r="D3810" s="2" t="s">
        <v>1862</v>
      </c>
      <c r="E3810" s="2" t="s">
        <v>27</v>
      </c>
      <c r="F3810" s="2" t="s">
        <v>28</v>
      </c>
      <c r="G3810" s="2"/>
      <c r="H3810" s="2"/>
      <c r="I3810" s="2"/>
      <c r="J3810" s="2"/>
    </row>
    <row r="3811" spans="1:10" x14ac:dyDescent="0.35">
      <c r="A3811" s="2" t="s">
        <v>1642</v>
      </c>
      <c r="B3811" s="2" t="s">
        <v>1830</v>
      </c>
      <c r="C3811" s="2" t="s">
        <v>57</v>
      </c>
      <c r="D3811" s="2" t="s">
        <v>1863</v>
      </c>
      <c r="E3811" s="2" t="s">
        <v>27</v>
      </c>
      <c r="F3811" s="2" t="s">
        <v>28</v>
      </c>
      <c r="G3811" s="2"/>
      <c r="H3811" s="2"/>
      <c r="I3811" s="2"/>
      <c r="J3811" s="2"/>
    </row>
    <row r="3812" spans="1:10" x14ac:dyDescent="0.35">
      <c r="A3812" s="2" t="s">
        <v>1642</v>
      </c>
      <c r="B3812" s="2" t="s">
        <v>1830</v>
      </c>
      <c r="C3812" s="2" t="s">
        <v>57</v>
      </c>
      <c r="D3812" s="2" t="s">
        <v>1863</v>
      </c>
      <c r="E3812" s="2" t="s">
        <v>121</v>
      </c>
      <c r="F3812" s="2" t="s">
        <v>122</v>
      </c>
      <c r="G3812" s="2"/>
      <c r="H3812" s="2"/>
      <c r="I3812" s="2"/>
      <c r="J3812" s="2"/>
    </row>
    <row r="3813" spans="1:10" x14ac:dyDescent="0.35">
      <c r="A3813" s="2" t="s">
        <v>1642</v>
      </c>
      <c r="B3813" s="2" t="s">
        <v>1830</v>
      </c>
      <c r="C3813" s="2" t="s">
        <v>57</v>
      </c>
      <c r="D3813" s="2" t="s">
        <v>1863</v>
      </c>
      <c r="E3813" s="2" t="s">
        <v>87</v>
      </c>
      <c r="F3813" s="2" t="s">
        <v>75</v>
      </c>
      <c r="G3813" s="2"/>
      <c r="H3813" s="2"/>
      <c r="I3813" s="2"/>
      <c r="J3813" s="2"/>
    </row>
    <row r="3814" spans="1:10" x14ac:dyDescent="0.35">
      <c r="A3814" s="2" t="s">
        <v>1642</v>
      </c>
      <c r="B3814" s="2" t="s">
        <v>1830</v>
      </c>
      <c r="C3814" s="2" t="s">
        <v>57</v>
      </c>
      <c r="D3814" s="2" t="s">
        <v>1863</v>
      </c>
      <c r="E3814" s="2" t="s">
        <v>257</v>
      </c>
      <c r="F3814" s="2" t="s">
        <v>45</v>
      </c>
      <c r="G3814" s="2" t="s">
        <v>20</v>
      </c>
      <c r="H3814" s="2" t="s">
        <v>1864</v>
      </c>
      <c r="I3814" s="2"/>
      <c r="J3814" s="2"/>
    </row>
    <row r="3815" spans="1:10" x14ac:dyDescent="0.35">
      <c r="A3815" s="2" t="s">
        <v>1642</v>
      </c>
      <c r="B3815" s="2" t="s">
        <v>1830</v>
      </c>
      <c r="C3815" s="2" t="s">
        <v>57</v>
      </c>
      <c r="D3815" s="2" t="s">
        <v>1863</v>
      </c>
      <c r="E3815" s="2" t="s">
        <v>18</v>
      </c>
      <c r="F3815" s="2" t="s">
        <v>19</v>
      </c>
      <c r="G3815" s="2" t="s">
        <v>20</v>
      </c>
      <c r="H3815" s="2" t="s">
        <v>1865</v>
      </c>
      <c r="I3815" s="2"/>
      <c r="J3815" s="2"/>
    </row>
    <row r="3816" spans="1:10" x14ac:dyDescent="0.35">
      <c r="A3816" s="2" t="s">
        <v>1642</v>
      </c>
      <c r="B3816" s="2" t="s">
        <v>1830</v>
      </c>
      <c r="C3816" s="2" t="s">
        <v>57</v>
      </c>
      <c r="D3816" s="2" t="s">
        <v>1863</v>
      </c>
      <c r="E3816" s="2" t="s">
        <v>61</v>
      </c>
      <c r="F3816" s="2" t="s">
        <v>30</v>
      </c>
      <c r="G3816" s="2"/>
      <c r="H3816" s="2"/>
      <c r="I3816" s="2"/>
      <c r="J3816" s="2"/>
    </row>
    <row r="3817" spans="1:10" x14ac:dyDescent="0.35">
      <c r="A3817" s="2" t="s">
        <v>1642</v>
      </c>
      <c r="B3817" s="2" t="s">
        <v>1830</v>
      </c>
      <c r="C3817" s="2" t="s">
        <v>57</v>
      </c>
      <c r="D3817" s="2" t="s">
        <v>1863</v>
      </c>
      <c r="E3817" s="2" t="s">
        <v>149</v>
      </c>
      <c r="F3817" s="2" t="s">
        <v>150</v>
      </c>
      <c r="G3817" s="2" t="s">
        <v>20</v>
      </c>
      <c r="H3817" s="2" t="s">
        <v>1866</v>
      </c>
      <c r="I3817" s="2"/>
      <c r="J3817" s="2"/>
    </row>
    <row r="3818" spans="1:10" x14ac:dyDescent="0.35">
      <c r="A3818" s="2" t="s">
        <v>1642</v>
      </c>
      <c r="B3818" s="2" t="s">
        <v>1830</v>
      </c>
      <c r="C3818" s="2" t="s">
        <v>24</v>
      </c>
      <c r="D3818" s="2" t="s">
        <v>1867</v>
      </c>
      <c r="E3818" s="2" t="s">
        <v>1172</v>
      </c>
      <c r="F3818" s="2" t="s">
        <v>107</v>
      </c>
      <c r="G3818" s="2"/>
      <c r="H3818" s="2"/>
      <c r="I3818" s="2"/>
      <c r="J3818" s="2"/>
    </row>
    <row r="3819" spans="1:10" x14ac:dyDescent="0.35">
      <c r="A3819" s="2" t="s">
        <v>1642</v>
      </c>
      <c r="B3819" s="2" t="s">
        <v>1830</v>
      </c>
      <c r="C3819" s="2" t="s">
        <v>24</v>
      </c>
      <c r="D3819" s="2" t="s">
        <v>1867</v>
      </c>
      <c r="E3819" s="2" t="s">
        <v>144</v>
      </c>
      <c r="F3819" s="2" t="s">
        <v>50</v>
      </c>
      <c r="G3819" s="2" t="s">
        <v>20</v>
      </c>
      <c r="H3819" s="2" t="s">
        <v>1868</v>
      </c>
      <c r="I3819" s="2"/>
      <c r="J3819" s="2"/>
    </row>
    <row r="3820" spans="1:10" x14ac:dyDescent="0.35">
      <c r="A3820" s="2" t="s">
        <v>1642</v>
      </c>
      <c r="B3820" s="2" t="s">
        <v>1830</v>
      </c>
      <c r="C3820" s="2" t="s">
        <v>24</v>
      </c>
      <c r="D3820" s="2" t="s">
        <v>1867</v>
      </c>
      <c r="E3820" s="2" t="s">
        <v>27</v>
      </c>
      <c r="F3820" s="2" t="s">
        <v>28</v>
      </c>
      <c r="G3820" s="2"/>
      <c r="H3820" s="2"/>
      <c r="I3820" s="2"/>
      <c r="J3820" s="2"/>
    </row>
    <row r="3821" spans="1:10" x14ac:dyDescent="0.35">
      <c r="A3821" s="2" t="s">
        <v>1642</v>
      </c>
      <c r="B3821" s="2" t="s">
        <v>1830</v>
      </c>
      <c r="C3821" s="2" t="s">
        <v>24</v>
      </c>
      <c r="D3821" s="2" t="s">
        <v>1867</v>
      </c>
      <c r="E3821" s="2" t="s">
        <v>31</v>
      </c>
      <c r="F3821" s="2" t="s">
        <v>32</v>
      </c>
      <c r="G3821" s="2"/>
      <c r="H3821" s="2"/>
      <c r="I3821" s="2"/>
      <c r="J3821" s="2"/>
    </row>
    <row r="3822" spans="1:10" x14ac:dyDescent="0.35">
      <c r="A3822" s="2" t="s">
        <v>1642</v>
      </c>
      <c r="B3822" s="2" t="s">
        <v>1830</v>
      </c>
      <c r="C3822" s="2" t="s">
        <v>24</v>
      </c>
      <c r="D3822" s="2" t="s">
        <v>1867</v>
      </c>
      <c r="E3822" s="2" t="s">
        <v>200</v>
      </c>
      <c r="F3822" s="2" t="s">
        <v>201</v>
      </c>
      <c r="G3822" s="2"/>
      <c r="H3822" s="2"/>
      <c r="I3822" s="2"/>
      <c r="J3822" s="2"/>
    </row>
    <row r="3823" spans="1:10" x14ac:dyDescent="0.35">
      <c r="A3823" s="2" t="s">
        <v>1642</v>
      </c>
      <c r="B3823" s="2" t="s">
        <v>1830</v>
      </c>
      <c r="C3823" s="2" t="s">
        <v>24</v>
      </c>
      <c r="D3823" s="2" t="s">
        <v>1867</v>
      </c>
      <c r="E3823" s="2" t="s">
        <v>96</v>
      </c>
      <c r="F3823" s="2" t="s">
        <v>83</v>
      </c>
      <c r="G3823" s="2" t="s">
        <v>20</v>
      </c>
      <c r="H3823" s="2" t="s">
        <v>1869</v>
      </c>
      <c r="I3823" s="2"/>
      <c r="J3823" s="2"/>
    </row>
    <row r="3824" spans="1:10" x14ac:dyDescent="0.35">
      <c r="A3824" s="2" t="s">
        <v>1642</v>
      </c>
      <c r="B3824" s="2" t="s">
        <v>1830</v>
      </c>
      <c r="C3824" s="2" t="s">
        <v>24</v>
      </c>
      <c r="D3824" s="2" t="s">
        <v>1867</v>
      </c>
      <c r="E3824" s="2" t="s">
        <v>121</v>
      </c>
      <c r="F3824" s="2" t="s">
        <v>122</v>
      </c>
      <c r="G3824" s="2"/>
      <c r="H3824" s="2"/>
      <c r="I3824" s="2"/>
      <c r="J3824" s="2"/>
    </row>
    <row r="3825" spans="1:10" x14ac:dyDescent="0.35">
      <c r="A3825" s="2" t="s">
        <v>1642</v>
      </c>
      <c r="B3825" s="2" t="s">
        <v>1830</v>
      </c>
      <c r="C3825" s="2" t="s">
        <v>24</v>
      </c>
      <c r="D3825" s="2" t="s">
        <v>1867</v>
      </c>
      <c r="E3825" s="2" t="s">
        <v>156</v>
      </c>
      <c r="F3825" s="2" t="s">
        <v>45</v>
      </c>
      <c r="G3825" s="2"/>
      <c r="H3825" s="2"/>
      <c r="I3825" s="2"/>
      <c r="J3825" s="2"/>
    </row>
    <row r="3826" spans="1:10" x14ac:dyDescent="0.35">
      <c r="A3826" s="2" t="s">
        <v>1642</v>
      </c>
      <c r="B3826" s="2" t="s">
        <v>1830</v>
      </c>
      <c r="C3826" s="2" t="s">
        <v>24</v>
      </c>
      <c r="D3826" s="2" t="s">
        <v>1867</v>
      </c>
      <c r="E3826" s="2" t="s">
        <v>87</v>
      </c>
      <c r="F3826" s="2" t="s">
        <v>75</v>
      </c>
      <c r="G3826" s="2"/>
      <c r="H3826" s="2"/>
      <c r="I3826" s="2"/>
      <c r="J3826" s="2"/>
    </row>
    <row r="3827" spans="1:10" x14ac:dyDescent="0.35">
      <c r="A3827" s="2" t="s">
        <v>1642</v>
      </c>
      <c r="B3827" s="2" t="s">
        <v>1830</v>
      </c>
      <c r="C3827" s="2" t="s">
        <v>24</v>
      </c>
      <c r="D3827" s="2" t="s">
        <v>1867</v>
      </c>
      <c r="E3827" s="2" t="s">
        <v>487</v>
      </c>
      <c r="F3827" s="2" t="s">
        <v>75</v>
      </c>
      <c r="G3827" s="2"/>
      <c r="H3827" s="2"/>
      <c r="I3827" s="2"/>
      <c r="J3827" s="2"/>
    </row>
    <row r="3828" spans="1:10" x14ac:dyDescent="0.35">
      <c r="A3828" s="2" t="s">
        <v>1642</v>
      </c>
      <c r="B3828" s="2" t="s">
        <v>1830</v>
      </c>
      <c r="C3828" s="2" t="s">
        <v>24</v>
      </c>
      <c r="D3828" s="2" t="s">
        <v>1867</v>
      </c>
      <c r="E3828" s="2" t="s">
        <v>18</v>
      </c>
      <c r="F3828" s="2" t="s">
        <v>19</v>
      </c>
      <c r="G3828" s="2" t="s">
        <v>20</v>
      </c>
      <c r="H3828" s="2" t="s">
        <v>1870</v>
      </c>
      <c r="I3828" s="2"/>
      <c r="J3828" s="2"/>
    </row>
    <row r="3829" spans="1:10" x14ac:dyDescent="0.35">
      <c r="A3829" s="2" t="s">
        <v>1642</v>
      </c>
      <c r="B3829" s="2" t="s">
        <v>1830</v>
      </c>
      <c r="C3829" s="2" t="s">
        <v>24</v>
      </c>
      <c r="D3829" s="2" t="s">
        <v>1867</v>
      </c>
      <c r="E3829" s="2" t="s">
        <v>106</v>
      </c>
      <c r="F3829" s="2" t="s">
        <v>107</v>
      </c>
      <c r="G3829" s="2"/>
      <c r="H3829" s="2"/>
      <c r="I3829" s="2"/>
      <c r="J3829" s="2"/>
    </row>
    <row r="3830" spans="1:10" s="21" customFormat="1" x14ac:dyDescent="0.35">
      <c r="A3830" s="2" t="s">
        <v>1642</v>
      </c>
      <c r="B3830" s="2" t="s">
        <v>1871</v>
      </c>
      <c r="C3830" s="2" t="s">
        <v>12</v>
      </c>
      <c r="D3830" s="2" t="s">
        <v>1872</v>
      </c>
      <c r="E3830" s="2" t="s">
        <v>91</v>
      </c>
      <c r="F3830" s="2" t="s">
        <v>19</v>
      </c>
      <c r="G3830" s="2" t="s">
        <v>20</v>
      </c>
      <c r="H3830" s="2" t="s">
        <v>1873</v>
      </c>
      <c r="I3830" s="2"/>
      <c r="J3830" s="2"/>
    </row>
    <row r="3831" spans="1:10" x14ac:dyDescent="0.35">
      <c r="A3831" s="2" t="s">
        <v>1642</v>
      </c>
      <c r="B3831" s="2" t="s">
        <v>1871</v>
      </c>
      <c r="C3831" s="2" t="s">
        <v>24</v>
      </c>
      <c r="D3831" s="2" t="s">
        <v>1874</v>
      </c>
      <c r="E3831" s="2" t="s">
        <v>74</v>
      </c>
      <c r="F3831" s="2" t="s">
        <v>75</v>
      </c>
      <c r="G3831" s="2" t="s">
        <v>20</v>
      </c>
      <c r="H3831" s="2" t="s">
        <v>1875</v>
      </c>
      <c r="I3831" s="2" t="s">
        <v>20</v>
      </c>
      <c r="J3831" s="2" t="s">
        <v>1876</v>
      </c>
    </row>
    <row r="3832" spans="1:10" x14ac:dyDescent="0.35">
      <c r="A3832" s="2" t="s">
        <v>1642</v>
      </c>
      <c r="B3832" s="2" t="s">
        <v>1871</v>
      </c>
      <c r="C3832" s="2" t="s">
        <v>24</v>
      </c>
      <c r="D3832" s="2" t="s">
        <v>1874</v>
      </c>
      <c r="E3832" s="2" t="s">
        <v>14</v>
      </c>
      <c r="F3832" s="2" t="s">
        <v>15</v>
      </c>
      <c r="G3832" s="2"/>
      <c r="H3832" s="2"/>
      <c r="I3832" s="2" t="s">
        <v>20</v>
      </c>
      <c r="J3832" s="2" t="s">
        <v>1876</v>
      </c>
    </row>
    <row r="3833" spans="1:10" x14ac:dyDescent="0.35">
      <c r="A3833" s="2" t="s">
        <v>1642</v>
      </c>
      <c r="B3833" s="2" t="s">
        <v>1871</v>
      </c>
      <c r="C3833" s="2" t="s">
        <v>24</v>
      </c>
      <c r="D3833" s="2" t="s">
        <v>1874</v>
      </c>
      <c r="E3833" s="2" t="s">
        <v>18</v>
      </c>
      <c r="F3833" s="2" t="s">
        <v>19</v>
      </c>
      <c r="G3833" s="2" t="s">
        <v>20</v>
      </c>
      <c r="H3833" s="2" t="s">
        <v>1877</v>
      </c>
      <c r="I3833" s="2" t="s">
        <v>20</v>
      </c>
      <c r="J3833" s="2" t="s">
        <v>1876</v>
      </c>
    </row>
    <row r="3834" spans="1:10" x14ac:dyDescent="0.35">
      <c r="A3834" s="2" t="s">
        <v>1642</v>
      </c>
      <c r="B3834" s="2" t="s">
        <v>1871</v>
      </c>
      <c r="C3834" s="2" t="s">
        <v>24</v>
      </c>
      <c r="D3834" s="2" t="s">
        <v>1874</v>
      </c>
      <c r="E3834" s="2" t="s">
        <v>188</v>
      </c>
      <c r="F3834" s="2" t="s">
        <v>189</v>
      </c>
      <c r="G3834" s="2"/>
      <c r="H3834" s="2"/>
      <c r="I3834" s="2" t="s">
        <v>20</v>
      </c>
      <c r="J3834" s="2" t="s">
        <v>1876</v>
      </c>
    </row>
    <row r="3835" spans="1:10" x14ac:dyDescent="0.35">
      <c r="A3835" s="2" t="s">
        <v>1642</v>
      </c>
      <c r="B3835" s="2" t="s">
        <v>1871</v>
      </c>
      <c r="C3835" s="2" t="s">
        <v>57</v>
      </c>
      <c r="D3835" s="2" t="s">
        <v>1878</v>
      </c>
      <c r="E3835" s="2" t="s">
        <v>91</v>
      </c>
      <c r="F3835" s="2" t="s">
        <v>19</v>
      </c>
      <c r="G3835" s="2" t="s">
        <v>20</v>
      </c>
      <c r="H3835" s="2" t="s">
        <v>1879</v>
      </c>
      <c r="I3835" s="2" t="s">
        <v>20</v>
      </c>
      <c r="J3835" s="2" t="s">
        <v>1876</v>
      </c>
    </row>
    <row r="3836" spans="1:10" x14ac:dyDescent="0.35">
      <c r="A3836" s="2" t="s">
        <v>1642</v>
      </c>
      <c r="B3836" s="2" t="s">
        <v>1871</v>
      </c>
      <c r="C3836" s="2" t="s">
        <v>57</v>
      </c>
      <c r="D3836" s="2" t="s">
        <v>1878</v>
      </c>
      <c r="E3836" s="2" t="s">
        <v>188</v>
      </c>
      <c r="F3836" s="2" t="s">
        <v>189</v>
      </c>
      <c r="G3836" s="2"/>
      <c r="H3836" s="2"/>
      <c r="I3836" s="2" t="s">
        <v>20</v>
      </c>
      <c r="J3836" s="2" t="s">
        <v>1876</v>
      </c>
    </row>
    <row r="3837" spans="1:10" x14ac:dyDescent="0.35">
      <c r="A3837" s="2" t="s">
        <v>1642</v>
      </c>
      <c r="B3837" s="2" t="s">
        <v>1871</v>
      </c>
      <c r="C3837" s="2" t="s">
        <v>57</v>
      </c>
      <c r="D3837" s="2" t="s">
        <v>1878</v>
      </c>
      <c r="E3837" s="2" t="s">
        <v>61</v>
      </c>
      <c r="F3837" s="2" t="s">
        <v>30</v>
      </c>
      <c r="G3837" s="2"/>
      <c r="H3837" s="2"/>
      <c r="I3837" s="2" t="s">
        <v>20</v>
      </c>
      <c r="J3837" s="2" t="s">
        <v>1876</v>
      </c>
    </row>
    <row r="3838" spans="1:10" x14ac:dyDescent="0.35">
      <c r="A3838" s="2" t="s">
        <v>1642</v>
      </c>
      <c r="B3838" s="2" t="s">
        <v>1871</v>
      </c>
      <c r="C3838" s="2" t="s">
        <v>24</v>
      </c>
      <c r="D3838" s="2" t="s">
        <v>1880</v>
      </c>
      <c r="E3838" s="2" t="s">
        <v>27</v>
      </c>
      <c r="F3838" s="2" t="s">
        <v>28</v>
      </c>
      <c r="G3838" s="2" t="s">
        <v>46</v>
      </c>
      <c r="H3838" s="2" t="s">
        <v>1881</v>
      </c>
      <c r="I3838" s="2" t="s">
        <v>20</v>
      </c>
      <c r="J3838" s="2" t="s">
        <v>1876</v>
      </c>
    </row>
    <row r="3839" spans="1:10" x14ac:dyDescent="0.35">
      <c r="A3839" s="2" t="s">
        <v>1642</v>
      </c>
      <c r="B3839" s="2" t="s">
        <v>1871</v>
      </c>
      <c r="C3839" s="2" t="s">
        <v>24</v>
      </c>
      <c r="D3839" s="2" t="s">
        <v>1880</v>
      </c>
      <c r="E3839" s="2" t="s">
        <v>18</v>
      </c>
      <c r="F3839" s="2" t="s">
        <v>19</v>
      </c>
      <c r="G3839" s="2" t="s">
        <v>46</v>
      </c>
      <c r="H3839" s="2" t="s">
        <v>1881</v>
      </c>
      <c r="I3839" s="2" t="s">
        <v>20</v>
      </c>
      <c r="J3839" s="2" t="s">
        <v>1876</v>
      </c>
    </row>
    <row r="3840" spans="1:10" x14ac:dyDescent="0.35">
      <c r="A3840" s="2" t="s">
        <v>1642</v>
      </c>
      <c r="B3840" s="2" t="s">
        <v>1871</v>
      </c>
      <c r="C3840" s="2" t="s">
        <v>24</v>
      </c>
      <c r="D3840" s="2" t="s">
        <v>1880</v>
      </c>
      <c r="E3840" s="2" t="s">
        <v>61</v>
      </c>
      <c r="F3840" s="2" t="s">
        <v>30</v>
      </c>
      <c r="G3840" s="2" t="s">
        <v>46</v>
      </c>
      <c r="H3840" s="2" t="s">
        <v>1881</v>
      </c>
      <c r="I3840" s="2" t="s">
        <v>20</v>
      </c>
      <c r="J3840" s="2" t="s">
        <v>1876</v>
      </c>
    </row>
    <row r="3841" spans="1:10" x14ac:dyDescent="0.35">
      <c r="A3841" s="2" t="s">
        <v>1642</v>
      </c>
      <c r="B3841" s="2" t="s">
        <v>1871</v>
      </c>
      <c r="C3841" s="2" t="s">
        <v>54</v>
      </c>
      <c r="D3841" s="2" t="s">
        <v>1882</v>
      </c>
      <c r="E3841" s="2" t="s">
        <v>18</v>
      </c>
      <c r="F3841" s="2" t="s">
        <v>19</v>
      </c>
      <c r="G3841" s="2" t="s">
        <v>20</v>
      </c>
      <c r="H3841" s="2" t="s">
        <v>1883</v>
      </c>
      <c r="I3841" s="2" t="s">
        <v>20</v>
      </c>
      <c r="J3841" s="2" t="s">
        <v>1876</v>
      </c>
    </row>
    <row r="3842" spans="1:10" x14ac:dyDescent="0.35">
      <c r="A3842" s="2" t="s">
        <v>1642</v>
      </c>
      <c r="B3842" s="2" t="s">
        <v>1871</v>
      </c>
      <c r="C3842" s="2" t="s">
        <v>54</v>
      </c>
      <c r="D3842" s="2" t="s">
        <v>1882</v>
      </c>
      <c r="E3842" s="2" t="s">
        <v>188</v>
      </c>
      <c r="F3842" s="2" t="s">
        <v>189</v>
      </c>
      <c r="G3842" s="2" t="s">
        <v>20</v>
      </c>
      <c r="H3842" s="2" t="s">
        <v>1883</v>
      </c>
      <c r="I3842" s="2" t="s">
        <v>20</v>
      </c>
      <c r="J3842" s="2" t="s">
        <v>1876</v>
      </c>
    </row>
    <row r="3843" spans="1:10" x14ac:dyDescent="0.35">
      <c r="A3843" s="2" t="s">
        <v>1642</v>
      </c>
      <c r="B3843" s="2" t="s">
        <v>1871</v>
      </c>
      <c r="C3843" s="2" t="s">
        <v>62</v>
      </c>
      <c r="D3843" s="2" t="s">
        <v>1884</v>
      </c>
      <c r="E3843" s="2" t="s">
        <v>74</v>
      </c>
      <c r="F3843" s="2" t="s">
        <v>75</v>
      </c>
      <c r="G3843" s="2" t="s">
        <v>20</v>
      </c>
      <c r="H3843" s="2" t="s">
        <v>1823</v>
      </c>
      <c r="I3843" s="2" t="s">
        <v>20</v>
      </c>
      <c r="J3843" s="2" t="s">
        <v>1876</v>
      </c>
    </row>
    <row r="3844" spans="1:10" x14ac:dyDescent="0.35">
      <c r="A3844" s="2" t="s">
        <v>1642</v>
      </c>
      <c r="B3844" s="2" t="s">
        <v>1871</v>
      </c>
      <c r="C3844" s="2" t="s">
        <v>62</v>
      </c>
      <c r="D3844" s="2" t="s">
        <v>1884</v>
      </c>
      <c r="E3844" s="2" t="s">
        <v>144</v>
      </c>
      <c r="F3844" s="2" t="s">
        <v>50</v>
      </c>
      <c r="G3844" s="2"/>
      <c r="H3844" s="2"/>
      <c r="I3844" s="2" t="s">
        <v>20</v>
      </c>
      <c r="J3844" s="2" t="s">
        <v>1876</v>
      </c>
    </row>
    <row r="3845" spans="1:10" x14ac:dyDescent="0.35">
      <c r="A3845" s="2" t="s">
        <v>1642</v>
      </c>
      <c r="B3845" s="2" t="s">
        <v>1871</v>
      </c>
      <c r="C3845" s="2" t="s">
        <v>62</v>
      </c>
      <c r="D3845" s="2" t="s">
        <v>1884</v>
      </c>
      <c r="E3845" s="2" t="s">
        <v>27</v>
      </c>
      <c r="F3845" s="2" t="s">
        <v>28</v>
      </c>
      <c r="G3845" s="2"/>
      <c r="H3845" s="2"/>
      <c r="I3845" s="2" t="s">
        <v>20</v>
      </c>
      <c r="J3845" s="2" t="s">
        <v>1876</v>
      </c>
    </row>
    <row r="3846" spans="1:10" x14ac:dyDescent="0.35">
      <c r="A3846" s="2" t="s">
        <v>1642</v>
      </c>
      <c r="B3846" s="2" t="s">
        <v>1871</v>
      </c>
      <c r="C3846" s="2" t="s">
        <v>62</v>
      </c>
      <c r="D3846" s="2" t="s">
        <v>1884</v>
      </c>
      <c r="E3846" s="2" t="s">
        <v>18</v>
      </c>
      <c r="F3846" s="2" t="s">
        <v>19</v>
      </c>
      <c r="G3846" s="2" t="s">
        <v>20</v>
      </c>
      <c r="H3846" s="2" t="s">
        <v>1823</v>
      </c>
      <c r="I3846" s="2" t="s">
        <v>20</v>
      </c>
      <c r="J3846" s="2" t="s">
        <v>1876</v>
      </c>
    </row>
    <row r="3847" spans="1:10" x14ac:dyDescent="0.35">
      <c r="A3847" s="2" t="s">
        <v>1642</v>
      </c>
      <c r="B3847" s="2" t="s">
        <v>1871</v>
      </c>
      <c r="C3847" s="2" t="s">
        <v>62</v>
      </c>
      <c r="D3847" s="2" t="s">
        <v>1884</v>
      </c>
      <c r="E3847" s="2" t="s">
        <v>61</v>
      </c>
      <c r="F3847" s="2" t="s">
        <v>30</v>
      </c>
      <c r="G3847" s="2"/>
      <c r="H3847" s="2"/>
      <c r="I3847" s="2" t="s">
        <v>20</v>
      </c>
      <c r="J3847" s="2" t="s">
        <v>1876</v>
      </c>
    </row>
    <row r="3848" spans="1:10" x14ac:dyDescent="0.35">
      <c r="A3848" s="2" t="s">
        <v>1642</v>
      </c>
      <c r="B3848" s="2" t="s">
        <v>1871</v>
      </c>
      <c r="C3848" s="2" t="s">
        <v>62</v>
      </c>
      <c r="D3848" s="2" t="s">
        <v>1885</v>
      </c>
      <c r="E3848" s="2" t="s">
        <v>14</v>
      </c>
      <c r="F3848" s="2" t="s">
        <v>15</v>
      </c>
      <c r="G3848" s="2"/>
      <c r="H3848" s="2"/>
      <c r="I3848" s="2" t="s">
        <v>20</v>
      </c>
      <c r="J3848" s="2" t="s">
        <v>1876</v>
      </c>
    </row>
    <row r="3849" spans="1:10" x14ac:dyDescent="0.35">
      <c r="A3849" s="2" t="s">
        <v>1642</v>
      </c>
      <c r="B3849" s="2" t="s">
        <v>1871</v>
      </c>
      <c r="C3849" s="2" t="s">
        <v>62</v>
      </c>
      <c r="D3849" s="2" t="s">
        <v>1885</v>
      </c>
      <c r="E3849" s="2" t="s">
        <v>27</v>
      </c>
      <c r="F3849" s="2" t="s">
        <v>28</v>
      </c>
      <c r="G3849" s="2" t="s">
        <v>20</v>
      </c>
      <c r="H3849" s="2" t="s">
        <v>1886</v>
      </c>
      <c r="I3849" s="2" t="s">
        <v>20</v>
      </c>
      <c r="J3849" s="2" t="s">
        <v>1876</v>
      </c>
    </row>
    <row r="3850" spans="1:10" x14ac:dyDescent="0.35">
      <c r="A3850" s="2" t="s">
        <v>1642</v>
      </c>
      <c r="B3850" s="2" t="s">
        <v>1871</v>
      </c>
      <c r="C3850" s="2" t="s">
        <v>62</v>
      </c>
      <c r="D3850" s="2" t="s">
        <v>1885</v>
      </c>
      <c r="E3850" s="2" t="s">
        <v>393</v>
      </c>
      <c r="F3850" s="2" t="s">
        <v>36</v>
      </c>
      <c r="G3850" s="2"/>
      <c r="H3850" s="2"/>
      <c r="I3850" s="2" t="s">
        <v>20</v>
      </c>
      <c r="J3850" s="2" t="s">
        <v>1876</v>
      </c>
    </row>
    <row r="3851" spans="1:10" x14ac:dyDescent="0.35">
      <c r="A3851" s="2" t="s">
        <v>1642</v>
      </c>
      <c r="B3851" s="2" t="s">
        <v>1871</v>
      </c>
      <c r="C3851" s="2" t="s">
        <v>62</v>
      </c>
      <c r="D3851" s="2" t="s">
        <v>1885</v>
      </c>
      <c r="E3851" s="2" t="s">
        <v>77</v>
      </c>
      <c r="F3851" s="2" t="s">
        <v>78</v>
      </c>
      <c r="G3851" s="2"/>
      <c r="H3851" s="2"/>
      <c r="I3851" s="2" t="s">
        <v>20</v>
      </c>
      <c r="J3851" s="2" t="s">
        <v>1876</v>
      </c>
    </row>
    <row r="3852" spans="1:10" x14ac:dyDescent="0.35">
      <c r="A3852" s="2" t="s">
        <v>1642</v>
      </c>
      <c r="B3852" s="2" t="s">
        <v>1871</v>
      </c>
      <c r="C3852" s="2" t="s">
        <v>62</v>
      </c>
      <c r="D3852" s="2" t="s">
        <v>1885</v>
      </c>
      <c r="E3852" s="2" t="s">
        <v>18</v>
      </c>
      <c r="F3852" s="2" t="s">
        <v>19</v>
      </c>
      <c r="G3852" s="2" t="s">
        <v>20</v>
      </c>
      <c r="H3852" s="2" t="s">
        <v>1887</v>
      </c>
      <c r="I3852" s="2" t="s">
        <v>20</v>
      </c>
      <c r="J3852" s="2" t="s">
        <v>1876</v>
      </c>
    </row>
    <row r="3853" spans="1:10" x14ac:dyDescent="0.35">
      <c r="A3853" s="2" t="s">
        <v>1642</v>
      </c>
      <c r="B3853" s="2" t="s">
        <v>1871</v>
      </c>
      <c r="C3853" s="2" t="s">
        <v>24</v>
      </c>
      <c r="D3853" s="2" t="s">
        <v>1888</v>
      </c>
      <c r="E3853" s="2" t="s">
        <v>74</v>
      </c>
      <c r="F3853" s="2" t="s">
        <v>75</v>
      </c>
      <c r="G3853" s="2" t="s">
        <v>20</v>
      </c>
      <c r="H3853" s="2" t="s">
        <v>1889</v>
      </c>
      <c r="I3853" s="2" t="s">
        <v>20</v>
      </c>
      <c r="J3853" s="2" t="s">
        <v>1876</v>
      </c>
    </row>
    <row r="3854" spans="1:10" x14ac:dyDescent="0.35">
      <c r="A3854" s="2" t="s">
        <v>1642</v>
      </c>
      <c r="B3854" s="2" t="s">
        <v>1871</v>
      </c>
      <c r="C3854" s="2" t="s">
        <v>24</v>
      </c>
      <c r="D3854" s="2" t="s">
        <v>1888</v>
      </c>
      <c r="E3854" s="2" t="s">
        <v>14</v>
      </c>
      <c r="F3854" s="2" t="s">
        <v>15</v>
      </c>
      <c r="G3854" s="2"/>
      <c r="H3854" s="2"/>
      <c r="I3854" s="2" t="s">
        <v>20</v>
      </c>
      <c r="J3854" s="2" t="s">
        <v>1876</v>
      </c>
    </row>
    <row r="3855" spans="1:10" x14ac:dyDescent="0.35">
      <c r="A3855" s="2" t="s">
        <v>1642</v>
      </c>
      <c r="B3855" s="2" t="s">
        <v>1871</v>
      </c>
      <c r="C3855" s="2" t="s">
        <v>24</v>
      </c>
      <c r="D3855" s="2" t="s">
        <v>1888</v>
      </c>
      <c r="E3855" s="2" t="s">
        <v>27</v>
      </c>
      <c r="F3855" s="2" t="s">
        <v>28</v>
      </c>
      <c r="G3855" s="2"/>
      <c r="H3855" s="2"/>
      <c r="I3855" s="2" t="s">
        <v>20</v>
      </c>
      <c r="J3855" s="2" t="s">
        <v>1876</v>
      </c>
    </row>
    <row r="3856" spans="1:10" x14ac:dyDescent="0.35">
      <c r="A3856" s="2" t="s">
        <v>1642</v>
      </c>
      <c r="B3856" s="2" t="s">
        <v>1871</v>
      </c>
      <c r="C3856" s="2" t="s">
        <v>24</v>
      </c>
      <c r="D3856" s="2" t="s">
        <v>1888</v>
      </c>
      <c r="E3856" s="2" t="s">
        <v>1145</v>
      </c>
      <c r="F3856" s="2" t="s">
        <v>15</v>
      </c>
      <c r="G3856" s="2"/>
      <c r="H3856" s="2"/>
      <c r="I3856" s="2" t="s">
        <v>20</v>
      </c>
      <c r="J3856" s="2" t="s">
        <v>1876</v>
      </c>
    </row>
    <row r="3857" spans="1:10" x14ac:dyDescent="0.35">
      <c r="A3857" s="2" t="s">
        <v>1642</v>
      </c>
      <c r="B3857" s="2" t="s">
        <v>1871</v>
      </c>
      <c r="C3857" s="2" t="s">
        <v>24</v>
      </c>
      <c r="D3857" s="2" t="s">
        <v>1888</v>
      </c>
      <c r="E3857" s="2" t="s">
        <v>35</v>
      </c>
      <c r="F3857" s="2" t="s">
        <v>36</v>
      </c>
      <c r="G3857" s="2"/>
      <c r="H3857" s="2"/>
      <c r="I3857" s="2" t="s">
        <v>20</v>
      </c>
      <c r="J3857" s="2" t="s">
        <v>1876</v>
      </c>
    </row>
    <row r="3858" spans="1:10" x14ac:dyDescent="0.35">
      <c r="A3858" s="2" t="s">
        <v>1642</v>
      </c>
      <c r="B3858" s="2" t="s">
        <v>1871</v>
      </c>
      <c r="C3858" s="2" t="s">
        <v>24</v>
      </c>
      <c r="D3858" s="2" t="s">
        <v>1888</v>
      </c>
      <c r="E3858" s="2" t="s">
        <v>168</v>
      </c>
      <c r="F3858" s="2" t="s">
        <v>45</v>
      </c>
      <c r="G3858" s="2"/>
      <c r="H3858" s="2"/>
      <c r="I3858" s="2" t="s">
        <v>20</v>
      </c>
      <c r="J3858" s="2" t="s">
        <v>1876</v>
      </c>
    </row>
    <row r="3859" spans="1:10" x14ac:dyDescent="0.35">
      <c r="A3859" s="2" t="s">
        <v>1642</v>
      </c>
      <c r="B3859" s="2" t="s">
        <v>1871</v>
      </c>
      <c r="C3859" s="2" t="s">
        <v>24</v>
      </c>
      <c r="D3859" s="2" t="s">
        <v>1888</v>
      </c>
      <c r="E3859" s="2" t="s">
        <v>18</v>
      </c>
      <c r="F3859" s="2" t="s">
        <v>19</v>
      </c>
      <c r="G3859" s="2" t="s">
        <v>20</v>
      </c>
      <c r="H3859" s="2" t="s">
        <v>1890</v>
      </c>
      <c r="I3859" s="2" t="s">
        <v>20</v>
      </c>
      <c r="J3859" s="2" t="s">
        <v>1876</v>
      </c>
    </row>
    <row r="3860" spans="1:10" x14ac:dyDescent="0.35">
      <c r="A3860" s="2" t="s">
        <v>1642</v>
      </c>
      <c r="B3860" s="2" t="s">
        <v>1871</v>
      </c>
      <c r="C3860" s="2" t="s">
        <v>24</v>
      </c>
      <c r="D3860" s="2" t="s">
        <v>1888</v>
      </c>
      <c r="E3860" s="2" t="s">
        <v>61</v>
      </c>
      <c r="F3860" s="2" t="s">
        <v>30</v>
      </c>
      <c r="G3860" s="2"/>
      <c r="H3860" s="2"/>
      <c r="I3860" s="2" t="s">
        <v>20</v>
      </c>
      <c r="J3860" s="2" t="s">
        <v>1876</v>
      </c>
    </row>
    <row r="3861" spans="1:10" x14ac:dyDescent="0.35">
      <c r="A3861" s="2" t="s">
        <v>1642</v>
      </c>
      <c r="B3861" s="2" t="s">
        <v>1871</v>
      </c>
      <c r="C3861" s="2" t="s">
        <v>24</v>
      </c>
      <c r="D3861" s="2" t="s">
        <v>1891</v>
      </c>
      <c r="E3861" s="2" t="s">
        <v>91</v>
      </c>
      <c r="F3861" s="2" t="s">
        <v>19</v>
      </c>
      <c r="G3861" s="2" t="s">
        <v>20</v>
      </c>
      <c r="H3861" s="2" t="s">
        <v>1823</v>
      </c>
      <c r="I3861" s="2" t="s">
        <v>20</v>
      </c>
      <c r="J3861" s="2" t="s">
        <v>1876</v>
      </c>
    </row>
    <row r="3862" spans="1:10" x14ac:dyDescent="0.35">
      <c r="A3862" s="2" t="s">
        <v>1642</v>
      </c>
      <c r="B3862" s="2" t="s">
        <v>1871</v>
      </c>
      <c r="C3862" s="2" t="s">
        <v>24</v>
      </c>
      <c r="D3862" s="2" t="s">
        <v>1891</v>
      </c>
      <c r="E3862" s="2" t="s">
        <v>61</v>
      </c>
      <c r="F3862" s="2" t="s">
        <v>30</v>
      </c>
      <c r="G3862" s="2"/>
      <c r="H3862" s="2"/>
      <c r="I3862" s="2" t="s">
        <v>20</v>
      </c>
      <c r="J3862" s="2" t="s">
        <v>1876</v>
      </c>
    </row>
    <row r="3863" spans="1:10" x14ac:dyDescent="0.35">
      <c r="A3863" s="2" t="s">
        <v>1642</v>
      </c>
      <c r="B3863" s="2" t="s">
        <v>1871</v>
      </c>
      <c r="C3863" s="2" t="s">
        <v>24</v>
      </c>
      <c r="D3863" s="2" t="s">
        <v>1892</v>
      </c>
      <c r="E3863" s="2" t="s">
        <v>82</v>
      </c>
      <c r="F3863" s="2" t="s">
        <v>83</v>
      </c>
      <c r="G3863" s="2"/>
      <c r="H3863" s="2"/>
      <c r="I3863" s="2" t="s">
        <v>20</v>
      </c>
      <c r="J3863" s="2" t="s">
        <v>1876</v>
      </c>
    </row>
    <row r="3864" spans="1:10" x14ac:dyDescent="0.35">
      <c r="A3864" s="2" t="s">
        <v>1642</v>
      </c>
      <c r="B3864" s="2" t="s">
        <v>1871</v>
      </c>
      <c r="C3864" s="2" t="s">
        <v>24</v>
      </c>
      <c r="D3864" s="2" t="s">
        <v>1892</v>
      </c>
      <c r="E3864" s="2" t="s">
        <v>121</v>
      </c>
      <c r="F3864" s="2" t="s">
        <v>122</v>
      </c>
      <c r="G3864" s="2"/>
      <c r="H3864" s="2"/>
      <c r="I3864" s="2" t="s">
        <v>20</v>
      </c>
      <c r="J3864" s="2" t="s">
        <v>1876</v>
      </c>
    </row>
    <row r="3865" spans="1:10" x14ac:dyDescent="0.35">
      <c r="A3865" s="2" t="s">
        <v>1642</v>
      </c>
      <c r="B3865" s="2" t="s">
        <v>1871</v>
      </c>
      <c r="C3865" s="2" t="s">
        <v>24</v>
      </c>
      <c r="D3865" s="2" t="s">
        <v>1892</v>
      </c>
      <c r="E3865" s="2" t="s">
        <v>18</v>
      </c>
      <c r="F3865" s="2" t="s">
        <v>19</v>
      </c>
      <c r="G3865" s="2" t="s">
        <v>20</v>
      </c>
      <c r="H3865" s="2" t="s">
        <v>1893</v>
      </c>
      <c r="I3865" s="2" t="s">
        <v>20</v>
      </c>
      <c r="J3865" s="2" t="s">
        <v>1876</v>
      </c>
    </row>
    <row r="3866" spans="1:10" x14ac:dyDescent="0.35">
      <c r="A3866" s="2" t="s">
        <v>1642</v>
      </c>
      <c r="B3866" s="2" t="s">
        <v>1871</v>
      </c>
      <c r="C3866" s="2" t="s">
        <v>24</v>
      </c>
      <c r="D3866" s="2" t="s">
        <v>1892</v>
      </c>
      <c r="E3866" s="2" t="s">
        <v>61</v>
      </c>
      <c r="F3866" s="2" t="s">
        <v>30</v>
      </c>
      <c r="G3866" s="2"/>
      <c r="H3866" s="2"/>
      <c r="I3866" s="2" t="s">
        <v>20</v>
      </c>
      <c r="J3866" s="2" t="s">
        <v>1876</v>
      </c>
    </row>
    <row r="3867" spans="1:10" x14ac:dyDescent="0.35">
      <c r="A3867" s="2" t="s">
        <v>1642</v>
      </c>
      <c r="B3867" s="2" t="s">
        <v>1871</v>
      </c>
      <c r="C3867" s="2" t="s">
        <v>24</v>
      </c>
      <c r="D3867" s="2" t="s">
        <v>1892</v>
      </c>
      <c r="E3867" s="2" t="s">
        <v>188</v>
      </c>
      <c r="F3867" s="2" t="s">
        <v>189</v>
      </c>
      <c r="G3867" s="2" t="s">
        <v>20</v>
      </c>
      <c r="H3867" s="2" t="s">
        <v>1894</v>
      </c>
      <c r="I3867" s="2" t="s">
        <v>20</v>
      </c>
      <c r="J3867" s="2" t="s">
        <v>1876</v>
      </c>
    </row>
    <row r="3868" spans="1:10" x14ac:dyDescent="0.35">
      <c r="A3868" s="2" t="s">
        <v>1642</v>
      </c>
      <c r="B3868" s="2" t="s">
        <v>1871</v>
      </c>
      <c r="C3868" s="2" t="s">
        <v>62</v>
      </c>
      <c r="D3868" s="2" t="s">
        <v>1895</v>
      </c>
      <c r="E3868" s="2" t="s">
        <v>27</v>
      </c>
      <c r="F3868" s="2" t="s">
        <v>28</v>
      </c>
      <c r="G3868" s="2"/>
      <c r="H3868" s="2"/>
      <c r="I3868" s="2" t="s">
        <v>20</v>
      </c>
      <c r="J3868" s="2" t="s">
        <v>1876</v>
      </c>
    </row>
    <row r="3869" spans="1:10" x14ac:dyDescent="0.35">
      <c r="A3869" s="2" t="s">
        <v>1642</v>
      </c>
      <c r="B3869" s="2" t="s">
        <v>1871</v>
      </c>
      <c r="C3869" s="2" t="s">
        <v>62</v>
      </c>
      <c r="D3869" s="2" t="s">
        <v>1895</v>
      </c>
      <c r="E3869" s="2" t="s">
        <v>82</v>
      </c>
      <c r="F3869" s="2" t="s">
        <v>83</v>
      </c>
      <c r="G3869" s="2"/>
      <c r="H3869" s="2"/>
      <c r="I3869" s="2" t="s">
        <v>20</v>
      </c>
      <c r="J3869" s="2" t="s">
        <v>1876</v>
      </c>
    </row>
    <row r="3870" spans="1:10" x14ac:dyDescent="0.35">
      <c r="A3870" s="2" t="s">
        <v>1642</v>
      </c>
      <c r="B3870" s="2" t="s">
        <v>1871</v>
      </c>
      <c r="C3870" s="2" t="s">
        <v>62</v>
      </c>
      <c r="D3870" s="2" t="s">
        <v>1895</v>
      </c>
      <c r="E3870" s="2" t="s">
        <v>765</v>
      </c>
      <c r="F3870" s="2" t="s">
        <v>83</v>
      </c>
      <c r="G3870" s="2"/>
      <c r="H3870" s="2"/>
      <c r="I3870" s="2" t="s">
        <v>20</v>
      </c>
      <c r="J3870" s="2" t="s">
        <v>1876</v>
      </c>
    </row>
    <row r="3871" spans="1:10" x14ac:dyDescent="0.35">
      <c r="A3871" s="2" t="s">
        <v>1642</v>
      </c>
      <c r="B3871" s="2" t="s">
        <v>1871</v>
      </c>
      <c r="C3871" s="2" t="s">
        <v>62</v>
      </c>
      <c r="D3871" s="2" t="s">
        <v>1895</v>
      </c>
      <c r="E3871" s="2" t="s">
        <v>1896</v>
      </c>
      <c r="F3871" s="2" t="s">
        <v>34</v>
      </c>
      <c r="G3871" s="2"/>
      <c r="H3871" s="2"/>
      <c r="I3871" s="2" t="s">
        <v>20</v>
      </c>
      <c r="J3871" s="2" t="s">
        <v>1876</v>
      </c>
    </row>
    <row r="3872" spans="1:10" x14ac:dyDescent="0.35">
      <c r="A3872" s="2" t="s">
        <v>1642</v>
      </c>
      <c r="B3872" s="2" t="s">
        <v>1871</v>
      </c>
      <c r="C3872" s="2" t="s">
        <v>62</v>
      </c>
      <c r="D3872" s="2" t="s">
        <v>1895</v>
      </c>
      <c r="E3872" s="2" t="s">
        <v>91</v>
      </c>
      <c r="F3872" s="2" t="s">
        <v>19</v>
      </c>
      <c r="G3872" s="2" t="s">
        <v>20</v>
      </c>
      <c r="H3872" s="2" t="s">
        <v>1823</v>
      </c>
      <c r="I3872" s="2" t="s">
        <v>20</v>
      </c>
      <c r="J3872" s="2" t="s">
        <v>1876</v>
      </c>
    </row>
    <row r="3873" spans="1:10" x14ac:dyDescent="0.35">
      <c r="A3873" s="2" t="s">
        <v>1642</v>
      </c>
      <c r="B3873" s="2" t="s">
        <v>1871</v>
      </c>
      <c r="C3873" s="2" t="s">
        <v>62</v>
      </c>
      <c r="D3873" s="2" t="s">
        <v>1895</v>
      </c>
      <c r="E3873" s="2" t="s">
        <v>127</v>
      </c>
      <c r="F3873" s="2" t="s">
        <v>107</v>
      </c>
      <c r="G3873" s="2"/>
      <c r="H3873" s="2"/>
      <c r="I3873" s="2" t="s">
        <v>20</v>
      </c>
      <c r="J3873" s="2" t="s">
        <v>1876</v>
      </c>
    </row>
    <row r="3874" spans="1:10" x14ac:dyDescent="0.35">
      <c r="A3874" s="2" t="s">
        <v>1642</v>
      </c>
      <c r="B3874" s="2" t="s">
        <v>1871</v>
      </c>
      <c r="C3874" s="2" t="s">
        <v>62</v>
      </c>
      <c r="D3874" s="2" t="s">
        <v>1895</v>
      </c>
      <c r="E3874" s="2" t="s">
        <v>352</v>
      </c>
      <c r="F3874" s="2" t="s">
        <v>107</v>
      </c>
      <c r="G3874" s="2"/>
      <c r="H3874" s="2"/>
      <c r="I3874" s="2" t="s">
        <v>20</v>
      </c>
      <c r="J3874" s="2" t="s">
        <v>1876</v>
      </c>
    </row>
    <row r="3875" spans="1:10" x14ac:dyDescent="0.35">
      <c r="A3875" s="2" t="s">
        <v>1642</v>
      </c>
      <c r="B3875" s="2" t="s">
        <v>1871</v>
      </c>
      <c r="C3875" s="2" t="s">
        <v>62</v>
      </c>
      <c r="D3875" s="2" t="s">
        <v>1897</v>
      </c>
      <c r="E3875" s="2" t="s">
        <v>1170</v>
      </c>
      <c r="F3875" s="2" t="s">
        <v>19</v>
      </c>
      <c r="G3875" s="2" t="s">
        <v>20</v>
      </c>
      <c r="H3875" s="2" t="s">
        <v>1823</v>
      </c>
      <c r="I3875" s="2" t="s">
        <v>20</v>
      </c>
      <c r="J3875" s="2" t="s">
        <v>1876</v>
      </c>
    </row>
    <row r="3876" spans="1:10" x14ac:dyDescent="0.35">
      <c r="A3876" s="2" t="s">
        <v>1642</v>
      </c>
      <c r="B3876" s="2" t="s">
        <v>1871</v>
      </c>
      <c r="C3876" s="2" t="s">
        <v>62</v>
      </c>
      <c r="D3876" s="2" t="s">
        <v>1897</v>
      </c>
      <c r="E3876" s="2" t="s">
        <v>18</v>
      </c>
      <c r="F3876" s="2" t="s">
        <v>19</v>
      </c>
      <c r="G3876" s="2" t="s">
        <v>20</v>
      </c>
      <c r="H3876" s="2" t="s">
        <v>1823</v>
      </c>
      <c r="I3876" s="2" t="s">
        <v>20</v>
      </c>
      <c r="J3876" s="2" t="s">
        <v>1876</v>
      </c>
    </row>
    <row r="3877" spans="1:10" x14ac:dyDescent="0.35">
      <c r="A3877" s="2" t="s">
        <v>1642</v>
      </c>
      <c r="B3877" s="2" t="s">
        <v>1871</v>
      </c>
      <c r="C3877" s="2" t="s">
        <v>54</v>
      </c>
      <c r="D3877" s="2" t="s">
        <v>1898</v>
      </c>
      <c r="E3877" s="2" t="s">
        <v>74</v>
      </c>
      <c r="F3877" s="2" t="s">
        <v>75</v>
      </c>
      <c r="G3877" s="2" t="s">
        <v>20</v>
      </c>
      <c r="H3877" s="2" t="s">
        <v>1899</v>
      </c>
      <c r="I3877" s="2" t="s">
        <v>20</v>
      </c>
      <c r="J3877" s="2" t="s">
        <v>1876</v>
      </c>
    </row>
    <row r="3878" spans="1:10" x14ac:dyDescent="0.35">
      <c r="A3878" s="2" t="s">
        <v>1642</v>
      </c>
      <c r="B3878" s="2" t="s">
        <v>1871</v>
      </c>
      <c r="C3878" s="2" t="s">
        <v>54</v>
      </c>
      <c r="D3878" s="2" t="s">
        <v>1898</v>
      </c>
      <c r="E3878" s="2" t="s">
        <v>91</v>
      </c>
      <c r="F3878" s="2" t="s">
        <v>19</v>
      </c>
      <c r="G3878" s="2" t="s">
        <v>20</v>
      </c>
      <c r="H3878" s="2" t="s">
        <v>1900</v>
      </c>
      <c r="I3878" s="2" t="s">
        <v>20</v>
      </c>
      <c r="J3878" s="2" t="s">
        <v>1876</v>
      </c>
    </row>
    <row r="3879" spans="1:10" x14ac:dyDescent="0.35">
      <c r="A3879" s="2" t="s">
        <v>1642</v>
      </c>
      <c r="B3879" s="2" t="s">
        <v>1871</v>
      </c>
      <c r="C3879" s="2" t="s">
        <v>54</v>
      </c>
      <c r="D3879" s="2" t="s">
        <v>1898</v>
      </c>
      <c r="E3879" s="2" t="s">
        <v>18</v>
      </c>
      <c r="F3879" s="2" t="s">
        <v>19</v>
      </c>
      <c r="G3879" s="2" t="s">
        <v>20</v>
      </c>
      <c r="H3879" s="2" t="s">
        <v>1901</v>
      </c>
      <c r="I3879" s="2" t="s">
        <v>20</v>
      </c>
      <c r="J3879" s="2" t="s">
        <v>1876</v>
      </c>
    </row>
    <row r="3880" spans="1:10" x14ac:dyDescent="0.35">
      <c r="A3880" s="2" t="s">
        <v>1642</v>
      </c>
      <c r="B3880" s="2" t="s">
        <v>1871</v>
      </c>
      <c r="C3880" s="2" t="s">
        <v>54</v>
      </c>
      <c r="D3880" s="2" t="s">
        <v>1898</v>
      </c>
      <c r="E3880" s="2" t="s">
        <v>61</v>
      </c>
      <c r="F3880" s="2" t="s">
        <v>30</v>
      </c>
      <c r="G3880" s="2"/>
      <c r="H3880" s="2"/>
      <c r="I3880" s="2" t="s">
        <v>20</v>
      </c>
      <c r="J3880" s="2" t="s">
        <v>1876</v>
      </c>
    </row>
    <row r="3881" spans="1:10" x14ac:dyDescent="0.35">
      <c r="A3881" s="2" t="s">
        <v>1642</v>
      </c>
      <c r="B3881" s="2" t="s">
        <v>1871</v>
      </c>
      <c r="C3881" s="2" t="s">
        <v>54</v>
      </c>
      <c r="D3881" s="2" t="s">
        <v>1902</v>
      </c>
      <c r="E3881" s="2" t="s">
        <v>14</v>
      </c>
      <c r="F3881" s="2" t="s">
        <v>15</v>
      </c>
      <c r="G3881" s="2"/>
      <c r="H3881" s="2"/>
      <c r="I3881" s="2" t="s">
        <v>20</v>
      </c>
      <c r="J3881" s="2" t="s">
        <v>1876</v>
      </c>
    </row>
    <row r="3882" spans="1:10" x14ac:dyDescent="0.35">
      <c r="A3882" s="2" t="s">
        <v>1642</v>
      </c>
      <c r="B3882" s="2" t="s">
        <v>1871</v>
      </c>
      <c r="C3882" s="2" t="s">
        <v>54</v>
      </c>
      <c r="D3882" s="2" t="s">
        <v>1902</v>
      </c>
      <c r="E3882" s="2" t="s">
        <v>18</v>
      </c>
      <c r="F3882" s="2" t="s">
        <v>19</v>
      </c>
      <c r="G3882" s="2" t="s">
        <v>20</v>
      </c>
      <c r="H3882" s="2" t="s">
        <v>1903</v>
      </c>
      <c r="I3882" s="2" t="s">
        <v>20</v>
      </c>
      <c r="J3882" s="2" t="s">
        <v>1876</v>
      </c>
    </row>
    <row r="3883" spans="1:10" x14ac:dyDescent="0.35">
      <c r="A3883" s="2" t="s">
        <v>1642</v>
      </c>
      <c r="B3883" s="2" t="s">
        <v>1871</v>
      </c>
      <c r="C3883" s="2" t="s">
        <v>54</v>
      </c>
      <c r="D3883" s="2" t="s">
        <v>1902</v>
      </c>
      <c r="E3883" s="2" t="s">
        <v>61</v>
      </c>
      <c r="F3883" s="2" t="s">
        <v>30</v>
      </c>
      <c r="G3883" s="2" t="s">
        <v>20</v>
      </c>
      <c r="H3883" s="2" t="s">
        <v>1903</v>
      </c>
      <c r="I3883" s="2" t="s">
        <v>20</v>
      </c>
      <c r="J3883" s="2" t="s">
        <v>1876</v>
      </c>
    </row>
    <row r="3884" spans="1:10" x14ac:dyDescent="0.35">
      <c r="A3884" s="2" t="s">
        <v>1642</v>
      </c>
      <c r="B3884" s="2" t="s">
        <v>1871</v>
      </c>
      <c r="C3884" s="2" t="s">
        <v>54</v>
      </c>
      <c r="D3884" s="2" t="s">
        <v>1902</v>
      </c>
      <c r="E3884" s="2" t="s">
        <v>149</v>
      </c>
      <c r="F3884" s="2" t="s">
        <v>150</v>
      </c>
      <c r="G3884" s="2" t="s">
        <v>20</v>
      </c>
      <c r="H3884" s="2" t="s">
        <v>1903</v>
      </c>
      <c r="I3884" s="2" t="s">
        <v>20</v>
      </c>
      <c r="J3884" s="2" t="s">
        <v>1876</v>
      </c>
    </row>
    <row r="3885" spans="1:10" x14ac:dyDescent="0.35">
      <c r="A3885" s="2" t="s">
        <v>1642</v>
      </c>
      <c r="B3885" s="2" t="s">
        <v>1904</v>
      </c>
      <c r="C3885" s="2" t="s">
        <v>57</v>
      </c>
      <c r="D3885" s="2" t="s">
        <v>1905</v>
      </c>
      <c r="E3885" s="2" t="s">
        <v>156</v>
      </c>
      <c r="F3885" s="2" t="s">
        <v>45</v>
      </c>
      <c r="G3885" s="2" t="s">
        <v>20</v>
      </c>
      <c r="H3885" s="2" t="s">
        <v>1667</v>
      </c>
      <c r="I3885" s="2" t="s">
        <v>20</v>
      </c>
      <c r="J3885" s="2" t="s">
        <v>1906</v>
      </c>
    </row>
    <row r="3886" spans="1:10" x14ac:dyDescent="0.35">
      <c r="A3886" s="2" t="s">
        <v>1642</v>
      </c>
      <c r="B3886" s="2" t="s">
        <v>1904</v>
      </c>
      <c r="C3886" s="2" t="s">
        <v>57</v>
      </c>
      <c r="D3886" s="2" t="s">
        <v>1905</v>
      </c>
      <c r="E3886" s="2" t="s">
        <v>149</v>
      </c>
      <c r="F3886" s="2" t="s">
        <v>150</v>
      </c>
      <c r="G3886" s="2"/>
      <c r="H3886" s="2"/>
      <c r="I3886" s="2" t="s">
        <v>20</v>
      </c>
      <c r="J3886" s="2" t="s">
        <v>1906</v>
      </c>
    </row>
    <row r="3887" spans="1:10" x14ac:dyDescent="0.35">
      <c r="A3887" s="2" t="s">
        <v>1642</v>
      </c>
      <c r="B3887" s="2" t="s">
        <v>1904</v>
      </c>
      <c r="C3887" s="2" t="s">
        <v>12</v>
      </c>
      <c r="D3887" s="2" t="s">
        <v>1907</v>
      </c>
      <c r="E3887" s="2" t="s">
        <v>61</v>
      </c>
      <c r="F3887" s="2" t="s">
        <v>30</v>
      </c>
      <c r="G3887" s="2"/>
      <c r="H3887" s="2"/>
      <c r="I3887" s="2" t="s">
        <v>20</v>
      </c>
      <c r="J3887" s="2" t="s">
        <v>1906</v>
      </c>
    </row>
    <row r="3888" spans="1:10" x14ac:dyDescent="0.35">
      <c r="A3888" s="2" t="s">
        <v>1642</v>
      </c>
      <c r="B3888" s="2" t="s">
        <v>1904</v>
      </c>
      <c r="C3888" s="2" t="s">
        <v>24</v>
      </c>
      <c r="D3888" s="2" t="s">
        <v>1908</v>
      </c>
      <c r="E3888" s="2" t="s">
        <v>14</v>
      </c>
      <c r="F3888" s="2" t="s">
        <v>15</v>
      </c>
      <c r="G3888" s="2" t="s">
        <v>20</v>
      </c>
      <c r="H3888" s="2" t="s">
        <v>1909</v>
      </c>
      <c r="I3888" s="2"/>
      <c r="J3888" s="2"/>
    </row>
    <row r="3889" spans="1:10" x14ac:dyDescent="0.35">
      <c r="A3889" s="2" t="s">
        <v>1642</v>
      </c>
      <c r="B3889" s="2" t="s">
        <v>1904</v>
      </c>
      <c r="C3889" s="2" t="s">
        <v>24</v>
      </c>
      <c r="D3889" s="2" t="s">
        <v>1908</v>
      </c>
      <c r="E3889" s="2" t="s">
        <v>18</v>
      </c>
      <c r="F3889" s="2" t="s">
        <v>19</v>
      </c>
      <c r="G3889" s="2" t="s">
        <v>20</v>
      </c>
      <c r="H3889" s="2" t="s">
        <v>1910</v>
      </c>
      <c r="I3889" s="2"/>
      <c r="J3889" s="2"/>
    </row>
    <row r="3890" spans="1:10" x14ac:dyDescent="0.35">
      <c r="A3890" s="2" t="s">
        <v>1642</v>
      </c>
      <c r="B3890" s="2" t="s">
        <v>1904</v>
      </c>
      <c r="C3890" s="2" t="s">
        <v>12</v>
      </c>
      <c r="D3890" s="2" t="s">
        <v>1911</v>
      </c>
      <c r="E3890" s="2" t="s">
        <v>14</v>
      </c>
      <c r="F3890" s="2" t="s">
        <v>15</v>
      </c>
      <c r="G3890" s="2"/>
      <c r="H3890" s="2"/>
      <c r="I3890" s="2" t="s">
        <v>20</v>
      </c>
      <c r="J3890" s="2" t="s">
        <v>1906</v>
      </c>
    </row>
    <row r="3891" spans="1:10" x14ac:dyDescent="0.35">
      <c r="A3891" s="2" t="s">
        <v>1642</v>
      </c>
      <c r="B3891" s="2" t="s">
        <v>1904</v>
      </c>
      <c r="C3891" s="2" t="s">
        <v>12</v>
      </c>
      <c r="D3891" s="2" t="s">
        <v>1911</v>
      </c>
      <c r="E3891" s="2" t="s">
        <v>77</v>
      </c>
      <c r="F3891" s="2" t="s">
        <v>78</v>
      </c>
      <c r="G3891" s="2"/>
      <c r="H3891" s="2"/>
      <c r="I3891" s="2" t="s">
        <v>20</v>
      </c>
      <c r="J3891" s="2" t="s">
        <v>1906</v>
      </c>
    </row>
    <row r="3892" spans="1:10" x14ac:dyDescent="0.35">
      <c r="A3892" s="2" t="s">
        <v>1642</v>
      </c>
      <c r="B3892" s="2" t="s">
        <v>1904</v>
      </c>
      <c r="C3892" s="2" t="s">
        <v>12</v>
      </c>
      <c r="D3892" s="2" t="s">
        <v>1911</v>
      </c>
      <c r="E3892" s="2" t="s">
        <v>387</v>
      </c>
      <c r="F3892" s="2" t="s">
        <v>1574</v>
      </c>
      <c r="G3892" s="2"/>
      <c r="H3892" s="2"/>
      <c r="I3892" s="2" t="s">
        <v>20</v>
      </c>
      <c r="J3892" s="2" t="s">
        <v>1906</v>
      </c>
    </row>
    <row r="3893" spans="1:10" x14ac:dyDescent="0.35">
      <c r="A3893" s="2" t="s">
        <v>1642</v>
      </c>
      <c r="B3893" s="2" t="s">
        <v>1904</v>
      </c>
      <c r="C3893" s="2" t="s">
        <v>12</v>
      </c>
      <c r="D3893" s="2" t="s">
        <v>1911</v>
      </c>
      <c r="E3893" s="2" t="s">
        <v>924</v>
      </c>
      <c r="F3893" s="2" t="s">
        <v>75</v>
      </c>
      <c r="G3893" s="2" t="s">
        <v>20</v>
      </c>
      <c r="H3893" s="2" t="s">
        <v>1912</v>
      </c>
      <c r="I3893" s="2" t="s">
        <v>20</v>
      </c>
      <c r="J3893" s="2" t="s">
        <v>1906</v>
      </c>
    </row>
    <row r="3894" spans="1:10" x14ac:dyDescent="0.35">
      <c r="A3894" s="2" t="s">
        <v>1642</v>
      </c>
      <c r="B3894" s="2" t="s">
        <v>1904</v>
      </c>
      <c r="C3894" s="2" t="s">
        <v>12</v>
      </c>
      <c r="D3894" s="2" t="s">
        <v>1913</v>
      </c>
      <c r="E3894" s="2" t="s">
        <v>120</v>
      </c>
      <c r="F3894" s="2" t="s">
        <v>32</v>
      </c>
      <c r="G3894" s="2"/>
      <c r="H3894" s="2"/>
      <c r="I3894" s="2" t="s">
        <v>20</v>
      </c>
      <c r="J3894" s="2" t="s">
        <v>1906</v>
      </c>
    </row>
    <row r="3895" spans="1:10" x14ac:dyDescent="0.35">
      <c r="A3895" s="2" t="s">
        <v>1642</v>
      </c>
      <c r="B3895" s="2" t="s">
        <v>1904</v>
      </c>
      <c r="C3895" s="2" t="s">
        <v>12</v>
      </c>
      <c r="D3895" s="2" t="s">
        <v>1913</v>
      </c>
      <c r="E3895" s="2" t="s">
        <v>91</v>
      </c>
      <c r="F3895" s="2" t="s">
        <v>19</v>
      </c>
      <c r="G3895" s="2" t="s">
        <v>20</v>
      </c>
      <c r="H3895" s="2" t="s">
        <v>1914</v>
      </c>
      <c r="I3895" s="2" t="s">
        <v>20</v>
      </c>
      <c r="J3895" s="2" t="s">
        <v>1906</v>
      </c>
    </row>
    <row r="3896" spans="1:10" x14ac:dyDescent="0.35">
      <c r="A3896" s="2" t="s">
        <v>1642</v>
      </c>
      <c r="B3896" s="2" t="s">
        <v>1904</v>
      </c>
      <c r="C3896" s="2" t="s">
        <v>12</v>
      </c>
      <c r="D3896" s="2" t="s">
        <v>1913</v>
      </c>
      <c r="E3896" s="2" t="s">
        <v>87</v>
      </c>
      <c r="F3896" s="2" t="s">
        <v>75</v>
      </c>
      <c r="G3896" s="2" t="s">
        <v>20</v>
      </c>
      <c r="H3896" s="2" t="s">
        <v>1914</v>
      </c>
      <c r="I3896" s="2" t="s">
        <v>20</v>
      </c>
      <c r="J3896" s="2" t="s">
        <v>1906</v>
      </c>
    </row>
    <row r="3897" spans="1:10" x14ac:dyDescent="0.35">
      <c r="A3897" s="2" t="s">
        <v>1642</v>
      </c>
      <c r="B3897" s="2" t="s">
        <v>1904</v>
      </c>
      <c r="C3897" s="2" t="s">
        <v>12</v>
      </c>
      <c r="D3897" s="2" t="s">
        <v>1913</v>
      </c>
      <c r="E3897" s="2" t="s">
        <v>61</v>
      </c>
      <c r="F3897" s="2" t="s">
        <v>30</v>
      </c>
      <c r="G3897" s="2"/>
      <c r="H3897" s="2"/>
      <c r="I3897" s="2" t="s">
        <v>20</v>
      </c>
      <c r="J3897" s="2" t="s">
        <v>1906</v>
      </c>
    </row>
    <row r="3898" spans="1:10" x14ac:dyDescent="0.35">
      <c r="A3898" s="2" t="s">
        <v>1642</v>
      </c>
      <c r="B3898" s="2" t="s">
        <v>1904</v>
      </c>
      <c r="C3898" s="2" t="s">
        <v>12</v>
      </c>
      <c r="D3898" s="2" t="s">
        <v>1915</v>
      </c>
      <c r="E3898" s="2" t="s">
        <v>14</v>
      </c>
      <c r="F3898" s="2" t="s">
        <v>15</v>
      </c>
      <c r="G3898" s="2"/>
      <c r="H3898" s="2"/>
      <c r="I3898" s="2" t="s">
        <v>20</v>
      </c>
      <c r="J3898" s="2" t="s">
        <v>1906</v>
      </c>
    </row>
    <row r="3899" spans="1:10" x14ac:dyDescent="0.35">
      <c r="A3899" s="2" t="s">
        <v>1642</v>
      </c>
      <c r="B3899" s="2" t="s">
        <v>1904</v>
      </c>
      <c r="C3899" s="2" t="s">
        <v>12</v>
      </c>
      <c r="D3899" s="2" t="s">
        <v>1915</v>
      </c>
      <c r="E3899" s="2" t="s">
        <v>91</v>
      </c>
      <c r="F3899" s="2" t="s">
        <v>19</v>
      </c>
      <c r="G3899" s="2" t="s">
        <v>20</v>
      </c>
      <c r="H3899" s="2" t="s">
        <v>1916</v>
      </c>
      <c r="I3899" s="2" t="s">
        <v>20</v>
      </c>
      <c r="J3899" s="2" t="s">
        <v>1906</v>
      </c>
    </row>
    <row r="3900" spans="1:10" x14ac:dyDescent="0.35">
      <c r="A3900" s="2" t="s">
        <v>1642</v>
      </c>
      <c r="B3900" s="2" t="s">
        <v>1904</v>
      </c>
      <c r="C3900" s="2" t="s">
        <v>12</v>
      </c>
      <c r="D3900" s="2" t="s">
        <v>1917</v>
      </c>
      <c r="E3900" s="2" t="s">
        <v>91</v>
      </c>
      <c r="F3900" s="2" t="s">
        <v>19</v>
      </c>
      <c r="G3900" s="2" t="s">
        <v>20</v>
      </c>
      <c r="H3900" s="2" t="s">
        <v>1918</v>
      </c>
      <c r="I3900" s="2"/>
      <c r="J3900" s="2"/>
    </row>
    <row r="3901" spans="1:10" x14ac:dyDescent="0.35">
      <c r="A3901" s="2" t="s">
        <v>1642</v>
      </c>
      <c r="B3901" s="2" t="s">
        <v>1904</v>
      </c>
      <c r="C3901" s="2" t="s">
        <v>12</v>
      </c>
      <c r="D3901" s="2" t="s">
        <v>1917</v>
      </c>
      <c r="E3901" s="2" t="s">
        <v>18</v>
      </c>
      <c r="F3901" s="2" t="s">
        <v>19</v>
      </c>
      <c r="G3901" s="2" t="s">
        <v>20</v>
      </c>
      <c r="H3901" s="2" t="s">
        <v>1919</v>
      </c>
      <c r="I3901" s="2"/>
      <c r="J3901" s="2"/>
    </row>
    <row r="3902" spans="1:10" x14ac:dyDescent="0.35">
      <c r="A3902" s="2" t="s">
        <v>1642</v>
      </c>
      <c r="B3902" s="2" t="s">
        <v>1904</v>
      </c>
      <c r="C3902" s="2" t="s">
        <v>12</v>
      </c>
      <c r="D3902" s="2" t="s">
        <v>1917</v>
      </c>
      <c r="E3902" s="2" t="s">
        <v>939</v>
      </c>
      <c r="F3902" s="2" t="s">
        <v>65</v>
      </c>
      <c r="G3902" s="2"/>
      <c r="H3902" s="2"/>
      <c r="I3902" s="2"/>
      <c r="J3902" s="2"/>
    </row>
    <row r="3903" spans="1:10" x14ac:dyDescent="0.35">
      <c r="A3903" s="2" t="s">
        <v>1642</v>
      </c>
      <c r="B3903" s="2" t="s">
        <v>1904</v>
      </c>
      <c r="C3903" s="2" t="s">
        <v>62</v>
      </c>
      <c r="D3903" s="2" t="s">
        <v>1920</v>
      </c>
      <c r="E3903" s="2" t="s">
        <v>91</v>
      </c>
      <c r="F3903" s="2" t="s">
        <v>19</v>
      </c>
      <c r="G3903" s="2" t="s">
        <v>20</v>
      </c>
      <c r="H3903" s="2" t="s">
        <v>1914</v>
      </c>
      <c r="I3903" s="2" t="s">
        <v>20</v>
      </c>
      <c r="J3903" s="2" t="s">
        <v>1906</v>
      </c>
    </row>
    <row r="3904" spans="1:10" x14ac:dyDescent="0.35">
      <c r="A3904" s="2" t="s">
        <v>1642</v>
      </c>
      <c r="B3904" s="2" t="s">
        <v>1904</v>
      </c>
      <c r="C3904" s="2" t="s">
        <v>62</v>
      </c>
      <c r="D3904" s="2" t="s">
        <v>1920</v>
      </c>
      <c r="E3904" s="2" t="s">
        <v>127</v>
      </c>
      <c r="F3904" s="2" t="s">
        <v>107</v>
      </c>
      <c r="G3904" s="2"/>
      <c r="H3904" s="2"/>
      <c r="I3904" s="2" t="s">
        <v>20</v>
      </c>
      <c r="J3904" s="2" t="s">
        <v>1906</v>
      </c>
    </row>
    <row r="3905" spans="1:10" x14ac:dyDescent="0.35">
      <c r="A3905" s="2" t="s">
        <v>1642</v>
      </c>
      <c r="B3905" s="2" t="s">
        <v>1904</v>
      </c>
      <c r="C3905" s="2" t="s">
        <v>24</v>
      </c>
      <c r="D3905" s="2" t="s">
        <v>1921</v>
      </c>
      <c r="E3905" s="2" t="s">
        <v>387</v>
      </c>
      <c r="F3905" s="2" t="s">
        <v>1574</v>
      </c>
      <c r="G3905" s="2"/>
      <c r="H3905" s="2"/>
      <c r="I3905" s="2" t="s">
        <v>20</v>
      </c>
      <c r="J3905" s="2" t="s">
        <v>1906</v>
      </c>
    </row>
    <row r="3906" spans="1:10" x14ac:dyDescent="0.35">
      <c r="A3906" s="2" t="s">
        <v>1642</v>
      </c>
      <c r="B3906" s="2" t="s">
        <v>1904</v>
      </c>
      <c r="C3906" s="2" t="s">
        <v>62</v>
      </c>
      <c r="D3906" s="2" t="s">
        <v>1922</v>
      </c>
      <c r="E3906" s="2" t="s">
        <v>61</v>
      </c>
      <c r="F3906" s="2" t="s">
        <v>30</v>
      </c>
      <c r="G3906" s="2"/>
      <c r="H3906" s="2"/>
      <c r="I3906" s="2"/>
      <c r="J3906" s="2"/>
    </row>
    <row r="3907" spans="1:10" x14ac:dyDescent="0.35">
      <c r="A3907" s="2" t="s">
        <v>1642</v>
      </c>
      <c r="B3907" s="2" t="s">
        <v>1904</v>
      </c>
      <c r="C3907" s="2" t="s">
        <v>54</v>
      </c>
      <c r="D3907" s="2" t="s">
        <v>1923</v>
      </c>
      <c r="E3907" s="2" t="s">
        <v>14</v>
      </c>
      <c r="F3907" s="2" t="s">
        <v>15</v>
      </c>
      <c r="G3907" s="2"/>
      <c r="H3907" s="2"/>
      <c r="I3907" s="2"/>
      <c r="J3907" s="2"/>
    </row>
    <row r="3908" spans="1:10" x14ac:dyDescent="0.35">
      <c r="A3908" s="2" t="s">
        <v>1642</v>
      </c>
      <c r="B3908" s="2" t="s">
        <v>1904</v>
      </c>
      <c r="C3908" s="2" t="s">
        <v>54</v>
      </c>
      <c r="D3908" s="2" t="s">
        <v>1923</v>
      </c>
      <c r="E3908" s="2" t="s">
        <v>121</v>
      </c>
      <c r="F3908" s="2" t="s">
        <v>122</v>
      </c>
      <c r="G3908" s="2"/>
      <c r="H3908" s="2"/>
      <c r="I3908" s="2"/>
      <c r="J3908" s="2"/>
    </row>
    <row r="3909" spans="1:10" x14ac:dyDescent="0.35">
      <c r="A3909" s="2" t="s">
        <v>1642</v>
      </c>
      <c r="B3909" s="2" t="s">
        <v>1904</v>
      </c>
      <c r="C3909" s="2" t="s">
        <v>54</v>
      </c>
      <c r="D3909" s="2" t="s">
        <v>1923</v>
      </c>
      <c r="E3909" s="2" t="s">
        <v>18</v>
      </c>
      <c r="F3909" s="2" t="s">
        <v>19</v>
      </c>
      <c r="G3909" s="2" t="s">
        <v>20</v>
      </c>
      <c r="H3909" s="2" t="s">
        <v>1924</v>
      </c>
      <c r="I3909" s="2"/>
      <c r="J3909" s="2"/>
    </row>
    <row r="3910" spans="1:10" x14ac:dyDescent="0.35">
      <c r="A3910" s="2" t="s">
        <v>1642</v>
      </c>
      <c r="B3910" s="2" t="s">
        <v>1904</v>
      </c>
      <c r="C3910" s="2" t="s">
        <v>54</v>
      </c>
      <c r="D3910" s="2" t="s">
        <v>1923</v>
      </c>
      <c r="E3910" s="2" t="s">
        <v>188</v>
      </c>
      <c r="F3910" s="2" t="s">
        <v>189</v>
      </c>
      <c r="G3910" s="2"/>
      <c r="H3910" s="2"/>
      <c r="I3910" s="2"/>
      <c r="J3910" s="2"/>
    </row>
    <row r="3911" spans="1:10" x14ac:dyDescent="0.35">
      <c r="A3911" s="2" t="s">
        <v>1642</v>
      </c>
      <c r="B3911" s="2" t="s">
        <v>1904</v>
      </c>
      <c r="C3911" s="2" t="s">
        <v>54</v>
      </c>
      <c r="D3911" s="2" t="s">
        <v>1925</v>
      </c>
      <c r="E3911" s="2" t="s">
        <v>393</v>
      </c>
      <c r="F3911" s="2" t="s">
        <v>36</v>
      </c>
      <c r="G3911" s="2"/>
      <c r="H3911" s="2"/>
      <c r="I3911" s="2"/>
      <c r="J3911" s="2"/>
    </row>
    <row r="3912" spans="1:10" x14ac:dyDescent="0.35">
      <c r="A3912" s="2" t="s">
        <v>1642</v>
      </c>
      <c r="B3912" s="2" t="s">
        <v>1904</v>
      </c>
      <c r="C3912" s="2" t="s">
        <v>54</v>
      </c>
      <c r="D3912" s="2" t="s">
        <v>1925</v>
      </c>
      <c r="E3912" s="2" t="s">
        <v>91</v>
      </c>
      <c r="F3912" s="2" t="s">
        <v>19</v>
      </c>
      <c r="G3912" s="2" t="s">
        <v>20</v>
      </c>
      <c r="H3912" s="2" t="s">
        <v>1914</v>
      </c>
      <c r="I3912" s="2"/>
      <c r="J3912" s="2"/>
    </row>
    <row r="3913" spans="1:10" x14ac:dyDescent="0.35">
      <c r="A3913" s="2" t="s">
        <v>1642</v>
      </c>
      <c r="B3913" s="2" t="s">
        <v>1904</v>
      </c>
      <c r="C3913" s="2" t="s">
        <v>54</v>
      </c>
      <c r="D3913" s="2" t="s">
        <v>1925</v>
      </c>
      <c r="E3913" s="2" t="s">
        <v>188</v>
      </c>
      <c r="F3913" s="2" t="s">
        <v>189</v>
      </c>
      <c r="G3913" s="2" t="s">
        <v>20</v>
      </c>
      <c r="H3913" s="2" t="s">
        <v>1926</v>
      </c>
      <c r="I3913" s="2"/>
      <c r="J3913" s="2"/>
    </row>
    <row r="3914" spans="1:10" x14ac:dyDescent="0.35">
      <c r="A3914" s="2" t="s">
        <v>1642</v>
      </c>
      <c r="B3914" s="2" t="s">
        <v>1904</v>
      </c>
      <c r="C3914" s="2" t="s">
        <v>24</v>
      </c>
      <c r="D3914" s="2" t="s">
        <v>1927</v>
      </c>
      <c r="E3914" s="2" t="s">
        <v>246</v>
      </c>
      <c r="F3914" s="2" t="s">
        <v>107</v>
      </c>
      <c r="G3914" s="2"/>
      <c r="H3914" s="2"/>
      <c r="I3914" s="2" t="s">
        <v>20</v>
      </c>
      <c r="J3914" s="2" t="s">
        <v>1906</v>
      </c>
    </row>
    <row r="3915" spans="1:10" x14ac:dyDescent="0.35">
      <c r="A3915" s="2" t="s">
        <v>1642</v>
      </c>
      <c r="B3915" s="2" t="s">
        <v>1904</v>
      </c>
      <c r="C3915" s="2" t="s">
        <v>24</v>
      </c>
      <c r="D3915" s="2" t="s">
        <v>1927</v>
      </c>
      <c r="E3915" s="2" t="s">
        <v>76</v>
      </c>
      <c r="F3915" s="2" t="s">
        <v>75</v>
      </c>
      <c r="G3915" s="2" t="s">
        <v>20</v>
      </c>
      <c r="H3915" s="2" t="s">
        <v>1667</v>
      </c>
      <c r="I3915" s="2" t="s">
        <v>20</v>
      </c>
      <c r="J3915" s="2" t="s">
        <v>1906</v>
      </c>
    </row>
    <row r="3916" spans="1:10" x14ac:dyDescent="0.35">
      <c r="A3916" s="2" t="s">
        <v>1642</v>
      </c>
      <c r="B3916" s="2" t="s">
        <v>1904</v>
      </c>
      <c r="C3916" s="2" t="s">
        <v>24</v>
      </c>
      <c r="D3916" s="2" t="s">
        <v>1927</v>
      </c>
      <c r="E3916" s="2" t="s">
        <v>121</v>
      </c>
      <c r="F3916" s="2" t="s">
        <v>122</v>
      </c>
      <c r="G3916" s="2" t="s">
        <v>20</v>
      </c>
      <c r="H3916" s="2" t="s">
        <v>1674</v>
      </c>
      <c r="I3916" s="2" t="s">
        <v>20</v>
      </c>
      <c r="J3916" s="2" t="s">
        <v>1906</v>
      </c>
    </row>
    <row r="3917" spans="1:10" x14ac:dyDescent="0.35">
      <c r="A3917" s="2" t="s">
        <v>1642</v>
      </c>
      <c r="B3917" s="2" t="s">
        <v>1904</v>
      </c>
      <c r="C3917" s="2" t="s">
        <v>24</v>
      </c>
      <c r="D3917" s="2" t="s">
        <v>1927</v>
      </c>
      <c r="E3917" s="2" t="s">
        <v>156</v>
      </c>
      <c r="F3917" s="2" t="s">
        <v>45</v>
      </c>
      <c r="G3917" s="2" t="s">
        <v>20</v>
      </c>
      <c r="H3917" s="2" t="s">
        <v>1667</v>
      </c>
      <c r="I3917" s="2" t="s">
        <v>20</v>
      </c>
      <c r="J3917" s="2" t="s">
        <v>1906</v>
      </c>
    </row>
    <row r="3918" spans="1:10" x14ac:dyDescent="0.35">
      <c r="A3918" s="2" t="s">
        <v>1642</v>
      </c>
      <c r="B3918" s="2" t="s">
        <v>1904</v>
      </c>
      <c r="C3918" s="2" t="s">
        <v>24</v>
      </c>
      <c r="D3918" s="2" t="s">
        <v>1927</v>
      </c>
      <c r="E3918" s="2" t="s">
        <v>77</v>
      </c>
      <c r="F3918" s="2" t="s">
        <v>78</v>
      </c>
      <c r="G3918" s="2"/>
      <c r="H3918" s="2"/>
      <c r="I3918" s="2" t="s">
        <v>20</v>
      </c>
      <c r="J3918" s="2" t="s">
        <v>1906</v>
      </c>
    </row>
    <row r="3919" spans="1:10" x14ac:dyDescent="0.35">
      <c r="A3919" s="2" t="s">
        <v>1642</v>
      </c>
      <c r="B3919" s="2" t="s">
        <v>1904</v>
      </c>
      <c r="C3919" s="2" t="s">
        <v>24</v>
      </c>
      <c r="D3919" s="2" t="s">
        <v>1927</v>
      </c>
      <c r="E3919" s="2" t="s">
        <v>87</v>
      </c>
      <c r="F3919" s="2" t="s">
        <v>75</v>
      </c>
      <c r="G3919" s="2" t="s">
        <v>20</v>
      </c>
      <c r="H3919" s="2" t="s">
        <v>1667</v>
      </c>
      <c r="I3919" s="2" t="s">
        <v>20</v>
      </c>
      <c r="J3919" s="2" t="s">
        <v>1906</v>
      </c>
    </row>
    <row r="3920" spans="1:10" x14ac:dyDescent="0.35">
      <c r="A3920" s="2" t="s">
        <v>1642</v>
      </c>
      <c r="B3920" s="2" t="s">
        <v>1904</v>
      </c>
      <c r="C3920" s="2" t="s">
        <v>24</v>
      </c>
      <c r="D3920" s="2" t="s">
        <v>1927</v>
      </c>
      <c r="E3920" s="2" t="s">
        <v>18</v>
      </c>
      <c r="F3920" s="2" t="s">
        <v>19</v>
      </c>
      <c r="G3920" s="2" t="s">
        <v>20</v>
      </c>
      <c r="H3920" s="2" t="s">
        <v>1916</v>
      </c>
      <c r="I3920" s="2" t="s">
        <v>20</v>
      </c>
      <c r="J3920" s="2" t="s">
        <v>1906</v>
      </c>
    </row>
    <row r="3921" spans="1:10" x14ac:dyDescent="0.35">
      <c r="A3921" s="2" t="s">
        <v>1642</v>
      </c>
      <c r="B3921" s="2" t="s">
        <v>1904</v>
      </c>
      <c r="C3921" s="2" t="s">
        <v>24</v>
      </c>
      <c r="D3921" s="2" t="s">
        <v>1927</v>
      </c>
      <c r="E3921" s="2" t="s">
        <v>149</v>
      </c>
      <c r="F3921" s="2" t="s">
        <v>150</v>
      </c>
      <c r="G3921" s="2"/>
      <c r="H3921" s="2"/>
      <c r="I3921" s="2" t="s">
        <v>20</v>
      </c>
      <c r="J3921" s="2" t="s">
        <v>1906</v>
      </c>
    </row>
    <row r="3922" spans="1:10" x14ac:dyDescent="0.35">
      <c r="A3922" s="2" t="s">
        <v>1642</v>
      </c>
      <c r="B3922" s="2" t="s">
        <v>1904</v>
      </c>
      <c r="C3922" s="2" t="s">
        <v>12</v>
      </c>
      <c r="D3922" s="2" t="s">
        <v>1928</v>
      </c>
      <c r="E3922" s="2" t="s">
        <v>87</v>
      </c>
      <c r="F3922" s="2" t="s">
        <v>75</v>
      </c>
      <c r="G3922" s="2" t="s">
        <v>20</v>
      </c>
      <c r="H3922" s="2" t="s">
        <v>1667</v>
      </c>
      <c r="I3922" s="2" t="s">
        <v>20</v>
      </c>
      <c r="J3922" s="2" t="s">
        <v>1906</v>
      </c>
    </row>
    <row r="3923" spans="1:10" x14ac:dyDescent="0.35">
      <c r="A3923" s="2" t="s">
        <v>1642</v>
      </c>
      <c r="B3923" s="2" t="s">
        <v>1904</v>
      </c>
      <c r="C3923" s="2" t="s">
        <v>12</v>
      </c>
      <c r="D3923" s="2" t="s">
        <v>1929</v>
      </c>
      <c r="E3923" s="2" t="s">
        <v>74</v>
      </c>
      <c r="F3923" s="2" t="s">
        <v>75</v>
      </c>
      <c r="G3923" s="2" t="s">
        <v>20</v>
      </c>
      <c r="H3923" s="2" t="s">
        <v>1930</v>
      </c>
      <c r="I3923" s="2" t="s">
        <v>20</v>
      </c>
      <c r="J3923" s="2" t="s">
        <v>1906</v>
      </c>
    </row>
    <row r="3924" spans="1:10" x14ac:dyDescent="0.35">
      <c r="A3924" s="2" t="s">
        <v>1642</v>
      </c>
      <c r="B3924" s="2" t="s">
        <v>1904</v>
      </c>
      <c r="C3924" s="2" t="s">
        <v>12</v>
      </c>
      <c r="D3924" s="2" t="s">
        <v>1931</v>
      </c>
      <c r="E3924" s="2" t="s">
        <v>91</v>
      </c>
      <c r="F3924" s="2" t="s">
        <v>19</v>
      </c>
      <c r="G3924" s="2" t="s">
        <v>20</v>
      </c>
      <c r="H3924" s="2" t="s">
        <v>1916</v>
      </c>
      <c r="I3924" s="2" t="s">
        <v>20</v>
      </c>
      <c r="J3924" s="2" t="s">
        <v>1906</v>
      </c>
    </row>
    <row r="3925" spans="1:10" x14ac:dyDescent="0.35">
      <c r="A3925" s="2" t="s">
        <v>1642</v>
      </c>
      <c r="B3925" s="2" t="s">
        <v>1904</v>
      </c>
      <c r="C3925" s="2" t="s">
        <v>12</v>
      </c>
      <c r="D3925" s="2" t="s">
        <v>1931</v>
      </c>
      <c r="E3925" s="2" t="s">
        <v>87</v>
      </c>
      <c r="F3925" s="2" t="s">
        <v>75</v>
      </c>
      <c r="G3925" s="2" t="s">
        <v>20</v>
      </c>
      <c r="H3925" s="2" t="s">
        <v>1667</v>
      </c>
      <c r="I3925" s="2" t="s">
        <v>20</v>
      </c>
      <c r="J3925" s="2" t="s">
        <v>1906</v>
      </c>
    </row>
    <row r="3926" spans="1:10" x14ac:dyDescent="0.35">
      <c r="A3926" s="2" t="s">
        <v>1642</v>
      </c>
      <c r="B3926" s="2" t="s">
        <v>1904</v>
      </c>
      <c r="C3926" s="2" t="s">
        <v>12</v>
      </c>
      <c r="D3926" s="2" t="s">
        <v>1931</v>
      </c>
      <c r="E3926" s="2" t="s">
        <v>127</v>
      </c>
      <c r="F3926" s="2" t="s">
        <v>107</v>
      </c>
      <c r="G3926" s="2"/>
      <c r="H3926" s="2"/>
      <c r="I3926" s="2" t="s">
        <v>20</v>
      </c>
      <c r="J3926" s="2" t="s">
        <v>1906</v>
      </c>
    </row>
    <row r="3927" spans="1:10" x14ac:dyDescent="0.35">
      <c r="A3927" s="2" t="s">
        <v>1642</v>
      </c>
      <c r="B3927" s="2" t="s">
        <v>1904</v>
      </c>
      <c r="C3927" s="2" t="s">
        <v>12</v>
      </c>
      <c r="D3927" s="2" t="s">
        <v>1931</v>
      </c>
      <c r="E3927" s="2" t="s">
        <v>193</v>
      </c>
      <c r="F3927" s="2" t="s">
        <v>150</v>
      </c>
      <c r="G3927" s="2"/>
      <c r="H3927" s="2"/>
      <c r="I3927" s="2" t="s">
        <v>20</v>
      </c>
      <c r="J3927" s="2" t="s">
        <v>1906</v>
      </c>
    </row>
    <row r="3928" spans="1:10" x14ac:dyDescent="0.35">
      <c r="A3928" s="2" t="s">
        <v>1642</v>
      </c>
      <c r="B3928" s="2" t="s">
        <v>1904</v>
      </c>
      <c r="C3928" s="2" t="s">
        <v>62</v>
      </c>
      <c r="D3928" s="2" t="s">
        <v>1932</v>
      </c>
      <c r="E3928" s="2" t="s">
        <v>61</v>
      </c>
      <c r="F3928" s="2" t="s">
        <v>30</v>
      </c>
      <c r="G3928" s="2"/>
      <c r="H3928" s="2"/>
      <c r="I3928" s="2" t="s">
        <v>20</v>
      </c>
      <c r="J3928" s="2" t="s">
        <v>1906</v>
      </c>
    </row>
    <row r="3929" spans="1:10" x14ac:dyDescent="0.35">
      <c r="A3929" s="2" t="s">
        <v>1642</v>
      </c>
      <c r="B3929" s="2" t="s">
        <v>1904</v>
      </c>
      <c r="C3929" s="2" t="s">
        <v>62</v>
      </c>
      <c r="D3929" s="2" t="s">
        <v>1932</v>
      </c>
      <c r="E3929" s="2" t="s">
        <v>1681</v>
      </c>
      <c r="F3929" s="2" t="s">
        <v>107</v>
      </c>
      <c r="G3929" s="2"/>
      <c r="H3929" s="2"/>
      <c r="I3929" s="2" t="s">
        <v>20</v>
      </c>
      <c r="J3929" s="2" t="s">
        <v>1906</v>
      </c>
    </row>
    <row r="3930" spans="1:10" x14ac:dyDescent="0.35">
      <c r="A3930" s="2" t="s">
        <v>1642</v>
      </c>
      <c r="B3930" s="2" t="s">
        <v>1904</v>
      </c>
      <c r="C3930" s="2" t="s">
        <v>62</v>
      </c>
      <c r="D3930" s="2" t="s">
        <v>1933</v>
      </c>
      <c r="E3930" s="2" t="s">
        <v>14</v>
      </c>
      <c r="F3930" s="2" t="s">
        <v>15</v>
      </c>
      <c r="G3930" s="2"/>
      <c r="H3930" s="2"/>
      <c r="I3930" s="2" t="s">
        <v>20</v>
      </c>
      <c r="J3930" s="2" t="s">
        <v>1906</v>
      </c>
    </row>
    <row r="3931" spans="1:10" x14ac:dyDescent="0.35">
      <c r="A3931" s="2" t="s">
        <v>1642</v>
      </c>
      <c r="B3931" s="2" t="s">
        <v>1904</v>
      </c>
      <c r="C3931" s="2" t="s">
        <v>62</v>
      </c>
      <c r="D3931" s="2" t="s">
        <v>1933</v>
      </c>
      <c r="E3931" s="2" t="s">
        <v>76</v>
      </c>
      <c r="F3931" s="2" t="s">
        <v>75</v>
      </c>
      <c r="G3931" s="2" t="s">
        <v>20</v>
      </c>
      <c r="H3931" s="2" t="s">
        <v>1667</v>
      </c>
      <c r="I3931" s="2" t="s">
        <v>20</v>
      </c>
      <c r="J3931" s="2" t="s">
        <v>1906</v>
      </c>
    </row>
    <row r="3932" spans="1:10" x14ac:dyDescent="0.35">
      <c r="A3932" s="2" t="s">
        <v>1642</v>
      </c>
      <c r="B3932" s="2" t="s">
        <v>1904</v>
      </c>
      <c r="C3932" s="2" t="s">
        <v>62</v>
      </c>
      <c r="D3932" s="2" t="s">
        <v>1933</v>
      </c>
      <c r="E3932" s="2" t="s">
        <v>387</v>
      </c>
      <c r="F3932" s="2" t="s">
        <v>1574</v>
      </c>
      <c r="G3932" s="2"/>
      <c r="H3932" s="2"/>
      <c r="I3932" s="2" t="s">
        <v>20</v>
      </c>
      <c r="J3932" s="2" t="s">
        <v>1906</v>
      </c>
    </row>
    <row r="3933" spans="1:10" x14ac:dyDescent="0.35">
      <c r="A3933" s="2" t="s">
        <v>1642</v>
      </c>
      <c r="B3933" s="2" t="s">
        <v>1904</v>
      </c>
      <c r="C3933" s="2" t="s">
        <v>62</v>
      </c>
      <c r="D3933" s="2" t="s">
        <v>1934</v>
      </c>
      <c r="E3933" s="2" t="s">
        <v>61</v>
      </c>
      <c r="F3933" s="2" t="s">
        <v>30</v>
      </c>
      <c r="G3933" s="2"/>
      <c r="H3933" s="2"/>
      <c r="I3933" s="2" t="s">
        <v>20</v>
      </c>
      <c r="J3933" s="2" t="s">
        <v>1906</v>
      </c>
    </row>
    <row r="3934" spans="1:10" x14ac:dyDescent="0.35">
      <c r="A3934" s="2" t="s">
        <v>1642</v>
      </c>
      <c r="B3934" s="2" t="s">
        <v>1904</v>
      </c>
      <c r="C3934" s="2" t="s">
        <v>62</v>
      </c>
      <c r="D3934" s="2" t="s">
        <v>1934</v>
      </c>
      <c r="E3934" s="2" t="s">
        <v>1681</v>
      </c>
      <c r="F3934" s="2" t="s">
        <v>107</v>
      </c>
      <c r="G3934" s="2"/>
      <c r="H3934" s="2"/>
      <c r="I3934" s="2" t="s">
        <v>20</v>
      </c>
      <c r="J3934" s="2" t="s">
        <v>1906</v>
      </c>
    </row>
    <row r="3935" spans="1:10" x14ac:dyDescent="0.35">
      <c r="A3935" s="2" t="s">
        <v>1642</v>
      </c>
      <c r="B3935" s="2" t="s">
        <v>1904</v>
      </c>
      <c r="C3935" s="2" t="s">
        <v>24</v>
      </c>
      <c r="D3935" s="2" t="s">
        <v>1935</v>
      </c>
      <c r="E3935" s="2" t="s">
        <v>96</v>
      </c>
      <c r="F3935" s="2" t="s">
        <v>83</v>
      </c>
      <c r="G3935" s="2"/>
      <c r="H3935" s="2"/>
      <c r="I3935" s="2" t="s">
        <v>20</v>
      </c>
      <c r="J3935" s="2" t="s">
        <v>1906</v>
      </c>
    </row>
    <row r="3936" spans="1:10" x14ac:dyDescent="0.35">
      <c r="A3936" s="2" t="s">
        <v>1642</v>
      </c>
      <c r="B3936" s="2" t="s">
        <v>1904</v>
      </c>
      <c r="C3936" s="2" t="s">
        <v>24</v>
      </c>
      <c r="D3936" s="2" t="s">
        <v>1935</v>
      </c>
      <c r="E3936" s="2" t="s">
        <v>1696</v>
      </c>
      <c r="F3936" s="2" t="s">
        <v>75</v>
      </c>
      <c r="G3936" s="2" t="s">
        <v>20</v>
      </c>
      <c r="H3936" s="2" t="s">
        <v>1936</v>
      </c>
      <c r="I3936" s="2" t="s">
        <v>20</v>
      </c>
      <c r="J3936" s="2" t="s">
        <v>1906</v>
      </c>
    </row>
    <row r="3937" spans="1:10" x14ac:dyDescent="0.35">
      <c r="A3937" s="2" t="s">
        <v>1642</v>
      </c>
      <c r="B3937" s="2" t="s">
        <v>1904</v>
      </c>
      <c r="C3937" s="2" t="s">
        <v>12</v>
      </c>
      <c r="D3937" s="2" t="s">
        <v>1937</v>
      </c>
      <c r="E3937" s="2" t="s">
        <v>91</v>
      </c>
      <c r="F3937" s="2" t="s">
        <v>19</v>
      </c>
      <c r="G3937" s="2" t="s">
        <v>20</v>
      </c>
      <c r="H3937" s="2" t="s">
        <v>1938</v>
      </c>
      <c r="I3937" s="2" t="s">
        <v>20</v>
      </c>
      <c r="J3937" s="2" t="s">
        <v>1906</v>
      </c>
    </row>
    <row r="3938" spans="1:10" x14ac:dyDescent="0.35">
      <c r="A3938" s="2" t="s">
        <v>1642</v>
      </c>
      <c r="B3938" s="2" t="s">
        <v>1904</v>
      </c>
      <c r="C3938" s="2" t="s">
        <v>12</v>
      </c>
      <c r="D3938" s="2" t="s">
        <v>1937</v>
      </c>
      <c r="E3938" s="2" t="s">
        <v>51</v>
      </c>
      <c r="F3938" s="2" t="s">
        <v>52</v>
      </c>
      <c r="G3938" s="2"/>
      <c r="H3938" s="2"/>
      <c r="I3938" s="2" t="s">
        <v>20</v>
      </c>
      <c r="J3938" s="2" t="s">
        <v>1906</v>
      </c>
    </row>
    <row r="3939" spans="1:10" x14ac:dyDescent="0.35">
      <c r="A3939" s="2" t="s">
        <v>1642</v>
      </c>
      <c r="B3939" s="2" t="s">
        <v>1904</v>
      </c>
      <c r="C3939" s="2" t="s">
        <v>12</v>
      </c>
      <c r="D3939" s="2" t="s">
        <v>1937</v>
      </c>
      <c r="E3939" s="2" t="s">
        <v>149</v>
      </c>
      <c r="F3939" s="2" t="s">
        <v>150</v>
      </c>
      <c r="G3939" s="2" t="s">
        <v>20</v>
      </c>
      <c r="H3939" s="2" t="s">
        <v>1939</v>
      </c>
      <c r="I3939" s="2" t="s">
        <v>20</v>
      </c>
      <c r="J3939" s="2" t="s">
        <v>1906</v>
      </c>
    </row>
    <row r="3940" spans="1:10" x14ac:dyDescent="0.35">
      <c r="A3940" s="2" t="s">
        <v>1642</v>
      </c>
      <c r="B3940" s="2" t="s">
        <v>1904</v>
      </c>
      <c r="C3940" s="2" t="s">
        <v>54</v>
      </c>
      <c r="D3940" s="2" t="s">
        <v>1940</v>
      </c>
      <c r="E3940" s="2" t="s">
        <v>74</v>
      </c>
      <c r="F3940" s="2" t="s">
        <v>75</v>
      </c>
      <c r="G3940" s="2" t="s">
        <v>20</v>
      </c>
      <c r="H3940" s="2" t="s">
        <v>1667</v>
      </c>
      <c r="I3940" s="2" t="s">
        <v>20</v>
      </c>
      <c r="J3940" s="2" t="s">
        <v>1906</v>
      </c>
    </row>
    <row r="3941" spans="1:10" x14ac:dyDescent="0.35">
      <c r="A3941" s="2" t="s">
        <v>1642</v>
      </c>
      <c r="B3941" s="2" t="s">
        <v>1904</v>
      </c>
      <c r="C3941" s="2" t="s">
        <v>54</v>
      </c>
      <c r="D3941" s="2" t="s">
        <v>1940</v>
      </c>
      <c r="E3941" s="2" t="s">
        <v>120</v>
      </c>
      <c r="F3941" s="2" t="s">
        <v>32</v>
      </c>
      <c r="G3941" s="2"/>
      <c r="H3941" s="2"/>
      <c r="I3941" s="2" t="s">
        <v>20</v>
      </c>
      <c r="J3941" s="2" t="s">
        <v>1906</v>
      </c>
    </row>
    <row r="3942" spans="1:10" x14ac:dyDescent="0.35">
      <c r="A3942" s="2" t="s">
        <v>1642</v>
      </c>
      <c r="B3942" s="2" t="s">
        <v>1904</v>
      </c>
      <c r="C3942" s="2" t="s">
        <v>54</v>
      </c>
      <c r="D3942" s="2" t="s">
        <v>1940</v>
      </c>
      <c r="E3942" s="2" t="s">
        <v>91</v>
      </c>
      <c r="F3942" s="2" t="s">
        <v>19</v>
      </c>
      <c r="G3942" s="2" t="s">
        <v>20</v>
      </c>
      <c r="H3942" s="2" t="s">
        <v>1671</v>
      </c>
      <c r="I3942" s="2" t="s">
        <v>20</v>
      </c>
      <c r="J3942" s="2" t="s">
        <v>1906</v>
      </c>
    </row>
    <row r="3943" spans="1:10" x14ac:dyDescent="0.35">
      <c r="A3943" s="2" t="s">
        <v>1642</v>
      </c>
      <c r="B3943" s="2" t="s">
        <v>1904</v>
      </c>
      <c r="C3943" s="2" t="s">
        <v>54</v>
      </c>
      <c r="D3943" s="2" t="s">
        <v>1941</v>
      </c>
      <c r="E3943" s="2" t="s">
        <v>18</v>
      </c>
      <c r="F3943" s="2" t="s">
        <v>19</v>
      </c>
      <c r="G3943" s="2" t="s">
        <v>20</v>
      </c>
      <c r="H3943" s="2" t="s">
        <v>1942</v>
      </c>
      <c r="I3943" s="2"/>
      <c r="J3943" s="2"/>
    </row>
    <row r="3944" spans="1:10" x14ac:dyDescent="0.35">
      <c r="A3944" s="2" t="s">
        <v>1642</v>
      </c>
      <c r="B3944" s="2" t="s">
        <v>1904</v>
      </c>
      <c r="C3944" s="2" t="s">
        <v>62</v>
      </c>
      <c r="D3944" s="2" t="s">
        <v>1943</v>
      </c>
      <c r="E3944" s="2" t="s">
        <v>1944</v>
      </c>
      <c r="F3944" s="2" t="s">
        <v>36</v>
      </c>
      <c r="G3944" s="2"/>
      <c r="H3944" s="2"/>
      <c r="I3944" s="2" t="s">
        <v>20</v>
      </c>
      <c r="J3944" s="2" t="s">
        <v>1906</v>
      </c>
    </row>
    <row r="3945" spans="1:10" x14ac:dyDescent="0.35">
      <c r="A3945" s="2" t="s">
        <v>1642</v>
      </c>
      <c r="B3945" s="2" t="s">
        <v>1904</v>
      </c>
      <c r="C3945" s="2" t="s">
        <v>62</v>
      </c>
      <c r="D3945" s="2" t="s">
        <v>1943</v>
      </c>
      <c r="E3945" s="2" t="s">
        <v>291</v>
      </c>
      <c r="F3945" s="2" t="s">
        <v>139</v>
      </c>
      <c r="G3945" s="2"/>
      <c r="H3945" s="2"/>
      <c r="I3945" s="2" t="s">
        <v>20</v>
      </c>
      <c r="J3945" s="2" t="s">
        <v>1906</v>
      </c>
    </row>
    <row r="3946" spans="1:10" x14ac:dyDescent="0.35">
      <c r="A3946" s="2" t="s">
        <v>1642</v>
      </c>
      <c r="B3946" s="2" t="s">
        <v>1904</v>
      </c>
      <c r="C3946" s="2" t="s">
        <v>62</v>
      </c>
      <c r="D3946" s="2" t="s">
        <v>1943</v>
      </c>
      <c r="E3946" s="2" t="s">
        <v>61</v>
      </c>
      <c r="F3946" s="2" t="s">
        <v>30</v>
      </c>
      <c r="G3946" s="2"/>
      <c r="H3946" s="2"/>
      <c r="I3946" s="2" t="s">
        <v>20</v>
      </c>
      <c r="J3946" s="2" t="s">
        <v>1906</v>
      </c>
    </row>
    <row r="3947" spans="1:10" x14ac:dyDescent="0.35">
      <c r="A3947" s="2" t="s">
        <v>1642</v>
      </c>
      <c r="B3947" s="2" t="s">
        <v>1904</v>
      </c>
      <c r="C3947" s="2" t="s">
        <v>62</v>
      </c>
      <c r="D3947" s="2" t="s">
        <v>1943</v>
      </c>
      <c r="E3947" s="2" t="s">
        <v>1945</v>
      </c>
      <c r="F3947" s="2" t="s">
        <v>277</v>
      </c>
      <c r="G3947" s="2"/>
      <c r="H3947" s="2"/>
      <c r="I3947" s="2" t="s">
        <v>20</v>
      </c>
      <c r="J3947" s="2" t="s">
        <v>1906</v>
      </c>
    </row>
    <row r="3948" spans="1:10" x14ac:dyDescent="0.35">
      <c r="A3948" s="2" t="s">
        <v>1642</v>
      </c>
      <c r="B3948" s="2" t="s">
        <v>1904</v>
      </c>
      <c r="C3948" s="2" t="s">
        <v>62</v>
      </c>
      <c r="D3948" s="2" t="s">
        <v>1943</v>
      </c>
      <c r="E3948" s="2" t="s">
        <v>1681</v>
      </c>
      <c r="F3948" s="2" t="s">
        <v>107</v>
      </c>
      <c r="G3948" s="2"/>
      <c r="H3948" s="2"/>
      <c r="I3948" s="2" t="s">
        <v>20</v>
      </c>
      <c r="J3948" s="2" t="s">
        <v>1906</v>
      </c>
    </row>
    <row r="3949" spans="1:10" x14ac:dyDescent="0.35">
      <c r="A3949" s="2" t="s">
        <v>1642</v>
      </c>
      <c r="B3949" s="2" t="s">
        <v>1904</v>
      </c>
      <c r="C3949" s="2" t="s">
        <v>62</v>
      </c>
      <c r="D3949" s="2" t="s">
        <v>1946</v>
      </c>
      <c r="E3949" s="2" t="s">
        <v>1947</v>
      </c>
      <c r="F3949" s="2" t="s">
        <v>75</v>
      </c>
      <c r="G3949" s="2" t="s">
        <v>20</v>
      </c>
      <c r="H3949" s="2" t="s">
        <v>1667</v>
      </c>
      <c r="I3949" s="2" t="s">
        <v>20</v>
      </c>
      <c r="J3949" s="2" t="s">
        <v>1906</v>
      </c>
    </row>
    <row r="3950" spans="1:10" x14ac:dyDescent="0.35">
      <c r="A3950" s="2" t="s">
        <v>1642</v>
      </c>
      <c r="B3950" s="2" t="s">
        <v>1904</v>
      </c>
      <c r="C3950" s="2" t="s">
        <v>62</v>
      </c>
      <c r="D3950" s="2" t="s">
        <v>1946</v>
      </c>
      <c r="E3950" s="2" t="s">
        <v>49</v>
      </c>
      <c r="F3950" s="2" t="s">
        <v>50</v>
      </c>
      <c r="G3950" s="2"/>
      <c r="H3950" s="2"/>
      <c r="I3950" s="2" t="s">
        <v>20</v>
      </c>
      <c r="J3950" s="2" t="s">
        <v>1906</v>
      </c>
    </row>
    <row r="3951" spans="1:10" x14ac:dyDescent="0.35">
      <c r="A3951" s="2" t="s">
        <v>1642</v>
      </c>
      <c r="B3951" s="2" t="s">
        <v>1904</v>
      </c>
      <c r="C3951" s="2" t="s">
        <v>62</v>
      </c>
      <c r="D3951" s="2" t="s">
        <v>1946</v>
      </c>
      <c r="E3951" s="2" t="s">
        <v>87</v>
      </c>
      <c r="F3951" s="2" t="s">
        <v>75</v>
      </c>
      <c r="G3951" s="2" t="s">
        <v>20</v>
      </c>
      <c r="H3951" s="2" t="s">
        <v>1667</v>
      </c>
      <c r="I3951" s="2" t="s">
        <v>20</v>
      </c>
      <c r="J3951" s="2" t="s">
        <v>1906</v>
      </c>
    </row>
    <row r="3952" spans="1:10" x14ac:dyDescent="0.35">
      <c r="A3952" s="2" t="s">
        <v>1642</v>
      </c>
      <c r="B3952" s="2" t="s">
        <v>1904</v>
      </c>
      <c r="C3952" s="2" t="s">
        <v>62</v>
      </c>
      <c r="D3952" s="2" t="s">
        <v>1946</v>
      </c>
      <c r="E3952" s="2" t="s">
        <v>18</v>
      </c>
      <c r="F3952" s="2" t="s">
        <v>19</v>
      </c>
      <c r="G3952" s="2" t="s">
        <v>20</v>
      </c>
      <c r="H3952" s="2" t="s">
        <v>1671</v>
      </c>
      <c r="I3952" s="2" t="s">
        <v>20</v>
      </c>
      <c r="J3952" s="2" t="s">
        <v>1906</v>
      </c>
    </row>
    <row r="3953" spans="1:10" x14ac:dyDescent="0.35">
      <c r="A3953" s="2" t="s">
        <v>1642</v>
      </c>
      <c r="B3953" s="2" t="s">
        <v>1904</v>
      </c>
      <c r="C3953" s="2" t="s">
        <v>62</v>
      </c>
      <c r="D3953" s="2" t="s">
        <v>1946</v>
      </c>
      <c r="E3953" s="2" t="s">
        <v>61</v>
      </c>
      <c r="F3953" s="2" t="s">
        <v>30</v>
      </c>
      <c r="G3953" s="2"/>
      <c r="H3953" s="2"/>
      <c r="I3953" s="2" t="s">
        <v>20</v>
      </c>
      <c r="J3953" s="2" t="s">
        <v>1906</v>
      </c>
    </row>
    <row r="3954" spans="1:10" x14ac:dyDescent="0.35">
      <c r="A3954" s="2" t="s">
        <v>1642</v>
      </c>
      <c r="B3954" s="2" t="s">
        <v>1904</v>
      </c>
      <c r="C3954" s="2" t="s">
        <v>62</v>
      </c>
      <c r="D3954" s="2" t="s">
        <v>1948</v>
      </c>
      <c r="E3954" s="2" t="s">
        <v>782</v>
      </c>
      <c r="F3954" s="2" t="s">
        <v>75</v>
      </c>
      <c r="G3954" s="2" t="s">
        <v>20</v>
      </c>
      <c r="H3954" s="2" t="s">
        <v>1949</v>
      </c>
      <c r="I3954" s="2" t="s">
        <v>20</v>
      </c>
      <c r="J3954" s="2" t="s">
        <v>1906</v>
      </c>
    </row>
    <row r="3955" spans="1:10" x14ac:dyDescent="0.35">
      <c r="A3955" s="2" t="s">
        <v>1642</v>
      </c>
      <c r="B3955" s="2" t="s">
        <v>1904</v>
      </c>
      <c r="C3955" s="2" t="s">
        <v>62</v>
      </c>
      <c r="D3955" s="2" t="s">
        <v>1948</v>
      </c>
      <c r="E3955" s="2" t="s">
        <v>1945</v>
      </c>
      <c r="F3955" s="2" t="s">
        <v>277</v>
      </c>
      <c r="G3955" s="2"/>
      <c r="H3955" s="2"/>
      <c r="I3955" s="2" t="s">
        <v>20</v>
      </c>
      <c r="J3955" s="2" t="s">
        <v>1906</v>
      </c>
    </row>
    <row r="3956" spans="1:10" x14ac:dyDescent="0.35">
      <c r="A3956" s="2" t="s">
        <v>1642</v>
      </c>
      <c r="B3956" s="2" t="s">
        <v>1904</v>
      </c>
      <c r="C3956" s="2" t="s">
        <v>62</v>
      </c>
      <c r="D3956" s="2" t="s">
        <v>1948</v>
      </c>
      <c r="E3956" s="2" t="s">
        <v>1681</v>
      </c>
      <c r="F3956" s="2" t="s">
        <v>107</v>
      </c>
      <c r="G3956" s="2"/>
      <c r="H3956" s="2"/>
      <c r="I3956" s="2" t="s">
        <v>20</v>
      </c>
      <c r="J3956" s="2" t="s">
        <v>1906</v>
      </c>
    </row>
    <row r="3957" spans="1:10" x14ac:dyDescent="0.35">
      <c r="A3957" s="2" t="s">
        <v>1642</v>
      </c>
      <c r="B3957" s="2" t="s">
        <v>1904</v>
      </c>
      <c r="C3957" s="2" t="s">
        <v>57</v>
      </c>
      <c r="D3957" s="2" t="s">
        <v>1950</v>
      </c>
      <c r="E3957" s="2" t="s">
        <v>74</v>
      </c>
      <c r="F3957" s="2" t="s">
        <v>75</v>
      </c>
      <c r="G3957" s="2" t="s">
        <v>20</v>
      </c>
      <c r="H3957" s="2" t="s">
        <v>1951</v>
      </c>
      <c r="I3957" s="2" t="s">
        <v>20</v>
      </c>
      <c r="J3957" s="2" t="s">
        <v>1906</v>
      </c>
    </row>
    <row r="3958" spans="1:10" x14ac:dyDescent="0.35">
      <c r="A3958" s="2" t="s">
        <v>1642</v>
      </c>
      <c r="B3958" s="2" t="s">
        <v>1904</v>
      </c>
      <c r="C3958" s="2" t="s">
        <v>57</v>
      </c>
      <c r="D3958" s="2" t="s">
        <v>1950</v>
      </c>
      <c r="E3958" s="2" t="s">
        <v>121</v>
      </c>
      <c r="F3958" s="2" t="s">
        <v>122</v>
      </c>
      <c r="G3958" s="2"/>
      <c r="H3958" s="2"/>
      <c r="I3958" s="2" t="s">
        <v>20</v>
      </c>
      <c r="J3958" s="2" t="s">
        <v>1906</v>
      </c>
    </row>
    <row r="3959" spans="1:10" x14ac:dyDescent="0.35">
      <c r="A3959" s="2" t="s">
        <v>1642</v>
      </c>
      <c r="B3959" s="2" t="s">
        <v>1904</v>
      </c>
      <c r="C3959" s="2" t="s">
        <v>62</v>
      </c>
      <c r="D3959" s="2" t="s">
        <v>1952</v>
      </c>
      <c r="E3959" s="2" t="s">
        <v>1170</v>
      </c>
      <c r="F3959" s="2" t="s">
        <v>19</v>
      </c>
      <c r="G3959" s="2" t="s">
        <v>20</v>
      </c>
      <c r="H3959" s="2" t="s">
        <v>1938</v>
      </c>
      <c r="I3959" s="2"/>
      <c r="J3959" s="2"/>
    </row>
    <row r="3960" spans="1:10" x14ac:dyDescent="0.35">
      <c r="A3960" s="2" t="s">
        <v>1642</v>
      </c>
      <c r="B3960" s="2" t="s">
        <v>1904</v>
      </c>
      <c r="C3960" s="2" t="s">
        <v>62</v>
      </c>
      <c r="D3960" s="2" t="s">
        <v>1953</v>
      </c>
      <c r="E3960" s="2" t="s">
        <v>1172</v>
      </c>
      <c r="F3960" s="2" t="s">
        <v>107</v>
      </c>
      <c r="G3960" s="2"/>
      <c r="H3960" s="2"/>
      <c r="I3960" s="2" t="s">
        <v>20</v>
      </c>
      <c r="J3960" s="2"/>
    </row>
    <row r="3961" spans="1:10" x14ac:dyDescent="0.35">
      <c r="A3961" s="2" t="s">
        <v>1642</v>
      </c>
      <c r="B3961" s="2" t="s">
        <v>1904</v>
      </c>
      <c r="C3961" s="2" t="s">
        <v>62</v>
      </c>
      <c r="D3961" s="2" t="s">
        <v>1953</v>
      </c>
      <c r="E3961" s="2" t="s">
        <v>387</v>
      </c>
      <c r="F3961" s="2" t="s">
        <v>1574</v>
      </c>
      <c r="G3961" s="2"/>
      <c r="H3961" s="2"/>
      <c r="I3961" s="2" t="s">
        <v>20</v>
      </c>
      <c r="J3961" s="2"/>
    </row>
    <row r="3962" spans="1:10" x14ac:dyDescent="0.35">
      <c r="A3962" s="2" t="s">
        <v>1642</v>
      </c>
      <c r="B3962" s="2" t="s">
        <v>1904</v>
      </c>
      <c r="C3962" s="2" t="s">
        <v>62</v>
      </c>
      <c r="D3962" s="2" t="s">
        <v>1953</v>
      </c>
      <c r="E3962" s="2" t="s">
        <v>1036</v>
      </c>
      <c r="F3962" s="2" t="s">
        <v>75</v>
      </c>
      <c r="G3962" s="2" t="s">
        <v>20</v>
      </c>
      <c r="H3962" s="2" t="s">
        <v>1954</v>
      </c>
      <c r="I3962" s="2" t="s">
        <v>20</v>
      </c>
      <c r="J3962" s="2"/>
    </row>
    <row r="3963" spans="1:10" x14ac:dyDescent="0.35">
      <c r="A3963" s="2" t="s">
        <v>1642</v>
      </c>
      <c r="B3963" s="2" t="s">
        <v>1904</v>
      </c>
      <c r="C3963" s="2" t="s">
        <v>62</v>
      </c>
      <c r="D3963" s="2" t="s">
        <v>1955</v>
      </c>
      <c r="E3963" s="2" t="s">
        <v>1172</v>
      </c>
      <c r="F3963" s="2" t="s">
        <v>107</v>
      </c>
      <c r="G3963" s="2"/>
      <c r="H3963" s="2"/>
      <c r="I3963" s="2"/>
      <c r="J3963" s="2"/>
    </row>
    <row r="3964" spans="1:10" x14ac:dyDescent="0.35">
      <c r="A3964" s="2" t="s">
        <v>1642</v>
      </c>
      <c r="B3964" s="2" t="s">
        <v>1904</v>
      </c>
      <c r="C3964" s="2" t="s">
        <v>62</v>
      </c>
      <c r="D3964" s="2" t="s">
        <v>1955</v>
      </c>
      <c r="E3964" s="2" t="s">
        <v>1956</v>
      </c>
      <c r="F3964" s="2" t="s">
        <v>40</v>
      </c>
      <c r="G3964" s="2"/>
      <c r="H3964" s="2"/>
      <c r="I3964" s="2"/>
      <c r="J3964" s="2"/>
    </row>
    <row r="3965" spans="1:10" x14ac:dyDescent="0.35">
      <c r="A3965" s="2" t="s">
        <v>1642</v>
      </c>
      <c r="B3965" s="2" t="s">
        <v>1904</v>
      </c>
      <c r="C3965" s="2" t="s">
        <v>62</v>
      </c>
      <c r="D3965" s="2" t="s">
        <v>1955</v>
      </c>
      <c r="E3965" s="2" t="s">
        <v>387</v>
      </c>
      <c r="F3965" s="2" t="s">
        <v>1574</v>
      </c>
      <c r="G3965" s="2"/>
      <c r="H3965" s="2"/>
      <c r="I3965" s="2"/>
      <c r="J3965" s="2"/>
    </row>
    <row r="3966" spans="1:10" x14ac:dyDescent="0.35">
      <c r="A3966" s="2" t="s">
        <v>1642</v>
      </c>
      <c r="B3966" s="2" t="s">
        <v>1904</v>
      </c>
      <c r="C3966" s="2" t="s">
        <v>62</v>
      </c>
      <c r="D3966" s="2" t="s">
        <v>1955</v>
      </c>
      <c r="E3966" s="2" t="s">
        <v>1036</v>
      </c>
      <c r="F3966" s="2" t="s">
        <v>75</v>
      </c>
      <c r="G3966" s="2" t="s">
        <v>20</v>
      </c>
      <c r="H3966" s="2" t="s">
        <v>1957</v>
      </c>
      <c r="I3966" s="2"/>
      <c r="J3966" s="2"/>
    </row>
    <row r="3967" spans="1:10" x14ac:dyDescent="0.35">
      <c r="A3967" s="2" t="s">
        <v>1642</v>
      </c>
      <c r="B3967" s="2" t="s">
        <v>1904</v>
      </c>
      <c r="C3967" s="2" t="s">
        <v>12</v>
      </c>
      <c r="D3967" s="2" t="s">
        <v>1958</v>
      </c>
      <c r="E3967" s="2" t="s">
        <v>91</v>
      </c>
      <c r="F3967" s="2" t="s">
        <v>19</v>
      </c>
      <c r="G3967" s="2"/>
      <c r="H3967" s="2"/>
      <c r="I3967" s="2" t="s">
        <v>20</v>
      </c>
      <c r="J3967" s="2" t="s">
        <v>1906</v>
      </c>
    </row>
    <row r="3968" spans="1:10" x14ac:dyDescent="0.35">
      <c r="A3968" s="2" t="s">
        <v>1642</v>
      </c>
      <c r="B3968" s="2" t="s">
        <v>1904</v>
      </c>
      <c r="C3968" s="2" t="s">
        <v>12</v>
      </c>
      <c r="D3968" s="2" t="s">
        <v>1958</v>
      </c>
      <c r="E3968" s="2" t="s">
        <v>87</v>
      </c>
      <c r="F3968" s="2" t="s">
        <v>75</v>
      </c>
      <c r="G3968" s="2"/>
      <c r="H3968" s="2"/>
      <c r="I3968" s="2" t="s">
        <v>20</v>
      </c>
      <c r="J3968" s="2" t="s">
        <v>1906</v>
      </c>
    </row>
    <row r="3969" spans="1:10" s="21" customFormat="1" x14ac:dyDescent="0.35">
      <c r="A3969" s="2" t="s">
        <v>1642</v>
      </c>
      <c r="B3969" s="2" t="s">
        <v>1904</v>
      </c>
      <c r="C3969" s="2" t="s">
        <v>12</v>
      </c>
      <c r="D3969" s="2" t="s">
        <v>1958</v>
      </c>
      <c r="E3969" s="2" t="s">
        <v>51</v>
      </c>
      <c r="F3969" s="2" t="s">
        <v>52</v>
      </c>
      <c r="G3969" s="2"/>
      <c r="H3969" s="2"/>
      <c r="I3969" s="2" t="s">
        <v>20</v>
      </c>
      <c r="J3969" s="2" t="s">
        <v>1906</v>
      </c>
    </row>
    <row r="3970" spans="1:10" x14ac:dyDescent="0.35">
      <c r="A3970" s="2" t="s">
        <v>1642</v>
      </c>
      <c r="B3970" s="2" t="s">
        <v>1904</v>
      </c>
      <c r="C3970" s="2" t="s">
        <v>12</v>
      </c>
      <c r="D3970" s="2" t="s">
        <v>1958</v>
      </c>
      <c r="E3970" s="2" t="s">
        <v>18</v>
      </c>
      <c r="F3970" s="2" t="s">
        <v>19</v>
      </c>
      <c r="G3970" s="2"/>
      <c r="H3970" s="2"/>
      <c r="I3970" s="2" t="s">
        <v>20</v>
      </c>
      <c r="J3970" s="2" t="s">
        <v>1906</v>
      </c>
    </row>
    <row r="3971" spans="1:10" x14ac:dyDescent="0.35">
      <c r="A3971" s="2" t="s">
        <v>1642</v>
      </c>
      <c r="B3971" s="2" t="s">
        <v>1904</v>
      </c>
      <c r="C3971" s="2" t="s">
        <v>12</v>
      </c>
      <c r="D3971" s="2" t="s">
        <v>1959</v>
      </c>
      <c r="E3971" s="2" t="s">
        <v>74</v>
      </c>
      <c r="F3971" s="2" t="s">
        <v>75</v>
      </c>
      <c r="G3971" s="2" t="s">
        <v>20</v>
      </c>
      <c r="H3971" s="2" t="s">
        <v>1667</v>
      </c>
      <c r="I3971" s="2" t="s">
        <v>20</v>
      </c>
      <c r="J3971" s="2" t="s">
        <v>1906</v>
      </c>
    </row>
    <row r="3972" spans="1:10" x14ac:dyDescent="0.35">
      <c r="A3972" s="2" t="s">
        <v>1642</v>
      </c>
      <c r="B3972" s="2" t="s">
        <v>1904</v>
      </c>
      <c r="C3972" s="2" t="s">
        <v>12</v>
      </c>
      <c r="D3972" s="2" t="s">
        <v>1959</v>
      </c>
      <c r="E3972" s="2" t="s">
        <v>188</v>
      </c>
      <c r="F3972" s="2" t="s">
        <v>189</v>
      </c>
      <c r="G3972" s="2"/>
      <c r="H3972" s="2"/>
      <c r="I3972" s="2" t="s">
        <v>20</v>
      </c>
      <c r="J3972" s="2" t="s">
        <v>1906</v>
      </c>
    </row>
    <row r="3973" spans="1:10" x14ac:dyDescent="0.35">
      <c r="A3973" s="2" t="s">
        <v>1642</v>
      </c>
      <c r="B3973" s="2" t="s">
        <v>1904</v>
      </c>
      <c r="C3973" s="2" t="s">
        <v>12</v>
      </c>
      <c r="D3973" s="2" t="s">
        <v>1959</v>
      </c>
      <c r="E3973" s="2" t="s">
        <v>1181</v>
      </c>
      <c r="F3973" s="2" t="s">
        <v>30</v>
      </c>
      <c r="G3973" s="2"/>
      <c r="H3973" s="2"/>
      <c r="I3973" s="2" t="s">
        <v>20</v>
      </c>
      <c r="J3973" s="2" t="s">
        <v>1906</v>
      </c>
    </row>
    <row r="3974" spans="1:10" s="21" customFormat="1" x14ac:dyDescent="0.35">
      <c r="A3974" s="2" t="s">
        <v>1642</v>
      </c>
      <c r="B3974" s="2" t="s">
        <v>1960</v>
      </c>
      <c r="C3974" s="2" t="s">
        <v>24</v>
      </c>
      <c r="D3974" s="2" t="s">
        <v>1961</v>
      </c>
      <c r="E3974" s="2" t="s">
        <v>14</v>
      </c>
      <c r="F3974" s="2" t="s">
        <v>15</v>
      </c>
      <c r="G3974" s="2"/>
      <c r="H3974" s="2"/>
      <c r="I3974" s="2" t="s">
        <v>20</v>
      </c>
      <c r="J3974" s="2" t="s">
        <v>1962</v>
      </c>
    </row>
    <row r="3975" spans="1:10" s="21" customFormat="1" x14ac:dyDescent="0.35">
      <c r="A3975" s="2" t="s">
        <v>1642</v>
      </c>
      <c r="B3975" s="2" t="s">
        <v>1960</v>
      </c>
      <c r="C3975" s="2" t="s">
        <v>24</v>
      </c>
      <c r="D3975" s="2" t="s">
        <v>1961</v>
      </c>
      <c r="E3975" s="2" t="s">
        <v>120</v>
      </c>
      <c r="F3975" s="2" t="s">
        <v>32</v>
      </c>
      <c r="G3975" s="2"/>
      <c r="H3975" s="2"/>
      <c r="I3975" s="2" t="s">
        <v>20</v>
      </c>
      <c r="J3975" s="2" t="s">
        <v>1962</v>
      </c>
    </row>
    <row r="3976" spans="1:10" s="21" customFormat="1" x14ac:dyDescent="0.35">
      <c r="A3976" s="2" t="s">
        <v>1642</v>
      </c>
      <c r="B3976" s="2" t="s">
        <v>1960</v>
      </c>
      <c r="C3976" s="2" t="s">
        <v>24</v>
      </c>
      <c r="D3976" s="2" t="s">
        <v>1961</v>
      </c>
      <c r="E3976" s="2" t="s">
        <v>121</v>
      </c>
      <c r="F3976" s="2" t="s">
        <v>122</v>
      </c>
      <c r="G3976" s="2"/>
      <c r="H3976" s="2"/>
      <c r="I3976" s="2" t="s">
        <v>20</v>
      </c>
      <c r="J3976" s="2" t="s">
        <v>1962</v>
      </c>
    </row>
    <row r="3977" spans="1:10" s="21" customFormat="1" x14ac:dyDescent="0.35">
      <c r="A3977" s="2" t="s">
        <v>1642</v>
      </c>
      <c r="B3977" s="2" t="s">
        <v>1960</v>
      </c>
      <c r="C3977" s="2" t="s">
        <v>24</v>
      </c>
      <c r="D3977" s="2" t="s">
        <v>1961</v>
      </c>
      <c r="E3977" s="2" t="s">
        <v>87</v>
      </c>
      <c r="F3977" s="2" t="s">
        <v>75</v>
      </c>
      <c r="G3977" s="2"/>
      <c r="H3977" s="2"/>
      <c r="I3977" s="2" t="s">
        <v>20</v>
      </c>
      <c r="J3977" s="2" t="s">
        <v>1962</v>
      </c>
    </row>
    <row r="3978" spans="1:10" s="21" customFormat="1" x14ac:dyDescent="0.35">
      <c r="A3978" s="2" t="s">
        <v>1642</v>
      </c>
      <c r="B3978" s="2" t="s">
        <v>1960</v>
      </c>
      <c r="C3978" s="2" t="s">
        <v>24</v>
      </c>
      <c r="D3978" s="2" t="s">
        <v>1961</v>
      </c>
      <c r="E3978" s="2" t="s">
        <v>18</v>
      </c>
      <c r="F3978" s="2" t="s">
        <v>19</v>
      </c>
      <c r="G3978" s="2" t="s">
        <v>20</v>
      </c>
      <c r="H3978" s="2" t="s">
        <v>1963</v>
      </c>
      <c r="I3978" s="2" t="s">
        <v>20</v>
      </c>
      <c r="J3978" s="2" t="s">
        <v>1962</v>
      </c>
    </row>
    <row r="3979" spans="1:10" s="21" customFormat="1" x14ac:dyDescent="0.35">
      <c r="A3979" s="2" t="s">
        <v>1642</v>
      </c>
      <c r="B3979" s="2" t="s">
        <v>1960</v>
      </c>
      <c r="C3979" s="2" t="s">
        <v>24</v>
      </c>
      <c r="D3979" s="2" t="s">
        <v>1961</v>
      </c>
      <c r="E3979" s="2" t="s">
        <v>865</v>
      </c>
      <c r="F3979" s="2" t="s">
        <v>30</v>
      </c>
      <c r="G3979" s="2"/>
      <c r="H3979" s="2"/>
      <c r="I3979" s="2" t="s">
        <v>20</v>
      </c>
      <c r="J3979" s="2" t="s">
        <v>1962</v>
      </c>
    </row>
    <row r="3980" spans="1:10" s="21" customFormat="1" x14ac:dyDescent="0.35">
      <c r="A3980" s="2" t="s">
        <v>1642</v>
      </c>
      <c r="B3980" s="2" t="s">
        <v>1960</v>
      </c>
      <c r="C3980" s="2" t="s">
        <v>24</v>
      </c>
      <c r="D3980" s="2" t="s">
        <v>1961</v>
      </c>
      <c r="E3980" s="2" t="s">
        <v>352</v>
      </c>
      <c r="F3980" s="2" t="s">
        <v>107</v>
      </c>
      <c r="G3980" s="2"/>
      <c r="H3980" s="2"/>
      <c r="I3980" s="2" t="s">
        <v>20</v>
      </c>
      <c r="J3980" s="2" t="s">
        <v>1962</v>
      </c>
    </row>
    <row r="3981" spans="1:10" s="21" customFormat="1" x14ac:dyDescent="0.35">
      <c r="A3981" s="2" t="s">
        <v>1642</v>
      </c>
      <c r="B3981" s="2" t="s">
        <v>1964</v>
      </c>
      <c r="C3981" s="2" t="s">
        <v>24</v>
      </c>
      <c r="D3981" s="2" t="s">
        <v>1965</v>
      </c>
      <c r="E3981" s="2" t="s">
        <v>82</v>
      </c>
      <c r="F3981" s="2" t="s">
        <v>83</v>
      </c>
      <c r="G3981" s="2"/>
      <c r="H3981" s="2"/>
      <c r="I3981" s="2" t="s">
        <v>20</v>
      </c>
      <c r="J3981" s="2" t="s">
        <v>1966</v>
      </c>
    </row>
    <row r="3982" spans="1:10" s="21" customFormat="1" x14ac:dyDescent="0.35">
      <c r="A3982" s="2" t="s">
        <v>1642</v>
      </c>
      <c r="B3982" s="2" t="s">
        <v>1964</v>
      </c>
      <c r="C3982" s="2" t="s">
        <v>24</v>
      </c>
      <c r="D3982" s="2" t="s">
        <v>1965</v>
      </c>
      <c r="E3982" s="2" t="s">
        <v>136</v>
      </c>
      <c r="F3982" s="2" t="s">
        <v>1650</v>
      </c>
      <c r="G3982" s="2"/>
      <c r="H3982" s="2"/>
      <c r="I3982" s="2" t="s">
        <v>20</v>
      </c>
      <c r="J3982" s="2" t="s">
        <v>1966</v>
      </c>
    </row>
    <row r="3983" spans="1:10" s="21" customFormat="1" x14ac:dyDescent="0.35">
      <c r="A3983" s="2" t="s">
        <v>1642</v>
      </c>
      <c r="B3983" s="2" t="s">
        <v>1964</v>
      </c>
      <c r="C3983" s="2" t="s">
        <v>24</v>
      </c>
      <c r="D3983" s="2" t="s">
        <v>1965</v>
      </c>
      <c r="E3983" s="2" t="s">
        <v>291</v>
      </c>
      <c r="F3983" s="2" t="s">
        <v>139</v>
      </c>
      <c r="G3983" s="2"/>
      <c r="H3983" s="2"/>
      <c r="I3983" s="2" t="s">
        <v>20</v>
      </c>
      <c r="J3983" s="2" t="s">
        <v>1966</v>
      </c>
    </row>
    <row r="3984" spans="1:10" s="21" customFormat="1" x14ac:dyDescent="0.35">
      <c r="A3984" s="2" t="s">
        <v>1642</v>
      </c>
      <c r="B3984" s="2" t="s">
        <v>1964</v>
      </c>
      <c r="C3984" s="2" t="s">
        <v>24</v>
      </c>
      <c r="D3984" s="2" t="s">
        <v>1965</v>
      </c>
      <c r="E3984" s="2" t="s">
        <v>35</v>
      </c>
      <c r="F3984" s="2" t="s">
        <v>36</v>
      </c>
      <c r="G3984" s="2"/>
      <c r="H3984" s="2"/>
      <c r="I3984" s="2" t="s">
        <v>20</v>
      </c>
      <c r="J3984" s="2" t="s">
        <v>1966</v>
      </c>
    </row>
    <row r="3985" spans="1:10" s="21" customFormat="1" x14ac:dyDescent="0.35">
      <c r="A3985" s="2" t="s">
        <v>1642</v>
      </c>
      <c r="B3985" s="2" t="s">
        <v>1964</v>
      </c>
      <c r="C3985" s="2" t="s">
        <v>24</v>
      </c>
      <c r="D3985" s="2" t="s">
        <v>1965</v>
      </c>
      <c r="E3985" s="2" t="s">
        <v>124</v>
      </c>
      <c r="F3985" s="2" t="s">
        <v>1654</v>
      </c>
      <c r="G3985" s="2"/>
      <c r="H3985" s="2"/>
      <c r="I3985" s="2" t="s">
        <v>20</v>
      </c>
      <c r="J3985" s="2" t="s">
        <v>1966</v>
      </c>
    </row>
    <row r="3986" spans="1:10" s="21" customFormat="1" x14ac:dyDescent="0.35">
      <c r="A3986" s="2" t="s">
        <v>1642</v>
      </c>
      <c r="B3986" s="2" t="s">
        <v>1964</v>
      </c>
      <c r="C3986" s="2" t="s">
        <v>24</v>
      </c>
      <c r="D3986" s="2" t="s">
        <v>1965</v>
      </c>
      <c r="E3986" s="2" t="s">
        <v>61</v>
      </c>
      <c r="F3986" s="2" t="s">
        <v>30</v>
      </c>
      <c r="G3986" s="2"/>
      <c r="H3986" s="2"/>
      <c r="I3986" s="2" t="s">
        <v>20</v>
      </c>
      <c r="J3986" s="2" t="s">
        <v>1966</v>
      </c>
    </row>
    <row r="3987" spans="1:10" x14ac:dyDescent="0.35">
      <c r="A3987" s="2" t="s">
        <v>1642</v>
      </c>
      <c r="B3987" s="2" t="s">
        <v>1964</v>
      </c>
      <c r="C3987" s="2" t="s">
        <v>57</v>
      </c>
      <c r="D3987" s="2" t="s">
        <v>1967</v>
      </c>
      <c r="E3987" s="2" t="s">
        <v>14</v>
      </c>
      <c r="F3987" s="2" t="s">
        <v>15</v>
      </c>
      <c r="G3987" s="2"/>
      <c r="H3987" s="2"/>
      <c r="I3987" s="2"/>
      <c r="J3987" s="2"/>
    </row>
    <row r="3988" spans="1:10" x14ac:dyDescent="0.35">
      <c r="A3988" s="2" t="s">
        <v>1642</v>
      </c>
      <c r="B3988" s="2" t="s">
        <v>1964</v>
      </c>
      <c r="C3988" s="2" t="s">
        <v>57</v>
      </c>
      <c r="D3988" s="2" t="s">
        <v>1967</v>
      </c>
      <c r="E3988" s="2" t="s">
        <v>18</v>
      </c>
      <c r="F3988" s="2" t="s">
        <v>19</v>
      </c>
      <c r="G3988" s="2" t="s">
        <v>20</v>
      </c>
      <c r="H3988" s="2" t="s">
        <v>1968</v>
      </c>
      <c r="I3988" s="2" t="s">
        <v>20</v>
      </c>
      <c r="J3988" s="2" t="s">
        <v>1969</v>
      </c>
    </row>
    <row r="3989" spans="1:10" x14ac:dyDescent="0.35">
      <c r="A3989" s="2" t="s">
        <v>1642</v>
      </c>
      <c r="B3989" s="2" t="s">
        <v>1964</v>
      </c>
      <c r="C3989" s="2" t="s">
        <v>62</v>
      </c>
      <c r="D3989" s="2" t="s">
        <v>1970</v>
      </c>
      <c r="E3989" s="2" t="s">
        <v>91</v>
      </c>
      <c r="F3989" s="2" t="s">
        <v>19</v>
      </c>
      <c r="G3989" s="2" t="s">
        <v>20</v>
      </c>
      <c r="H3989" s="2" t="s">
        <v>1971</v>
      </c>
      <c r="I3989" s="2"/>
      <c r="J3989" s="2"/>
    </row>
    <row r="3990" spans="1:10" x14ac:dyDescent="0.35">
      <c r="A3990" s="2" t="s">
        <v>1642</v>
      </c>
      <c r="B3990" s="2" t="s">
        <v>1964</v>
      </c>
      <c r="C3990" s="2" t="s">
        <v>62</v>
      </c>
      <c r="D3990" s="2" t="s">
        <v>1970</v>
      </c>
      <c r="E3990" s="2" t="s">
        <v>87</v>
      </c>
      <c r="F3990" s="2" t="s">
        <v>75</v>
      </c>
      <c r="G3990" s="2"/>
      <c r="H3990" s="2"/>
      <c r="I3990" s="2"/>
      <c r="J3990" s="2"/>
    </row>
    <row r="3991" spans="1:10" x14ac:dyDescent="0.35">
      <c r="A3991" s="2" t="s">
        <v>1642</v>
      </c>
      <c r="B3991" s="2" t="s">
        <v>1964</v>
      </c>
      <c r="C3991" s="2" t="s">
        <v>62</v>
      </c>
      <c r="D3991" s="2" t="s">
        <v>1970</v>
      </c>
      <c r="E3991" s="2" t="s">
        <v>35</v>
      </c>
      <c r="F3991" s="2" t="s">
        <v>36</v>
      </c>
      <c r="G3991" s="2"/>
      <c r="H3991" s="2"/>
      <c r="I3991" s="2"/>
      <c r="J3991" s="2"/>
    </row>
    <row r="3992" spans="1:10" x14ac:dyDescent="0.35">
      <c r="A3992" s="2" t="s">
        <v>1642</v>
      </c>
      <c r="B3992" s="2" t="s">
        <v>1964</v>
      </c>
      <c r="C3992" s="2" t="s">
        <v>62</v>
      </c>
      <c r="D3992" s="2" t="s">
        <v>1970</v>
      </c>
      <c r="E3992" s="2" t="s">
        <v>61</v>
      </c>
      <c r="F3992" s="2" t="s">
        <v>30</v>
      </c>
      <c r="G3992" s="2"/>
      <c r="H3992" s="2"/>
      <c r="I3992" s="2"/>
      <c r="J3992" s="2"/>
    </row>
    <row r="3993" spans="1:10" x14ac:dyDescent="0.35">
      <c r="A3993" s="2" t="s">
        <v>1642</v>
      </c>
      <c r="B3993" s="2" t="s">
        <v>1972</v>
      </c>
      <c r="C3993" s="2" t="s">
        <v>54</v>
      </c>
      <c r="D3993" s="2" t="s">
        <v>1973</v>
      </c>
      <c r="E3993" s="2" t="s">
        <v>14</v>
      </c>
      <c r="F3993" s="2" t="s">
        <v>15</v>
      </c>
      <c r="G3993" s="2"/>
      <c r="H3993" s="2"/>
      <c r="I3993" s="2"/>
      <c r="J3993" s="2"/>
    </row>
    <row r="3994" spans="1:10" x14ac:dyDescent="0.35">
      <c r="A3994" s="2" t="s">
        <v>1642</v>
      </c>
      <c r="B3994" s="2" t="s">
        <v>1972</v>
      </c>
      <c r="C3994" s="2" t="s">
        <v>54</v>
      </c>
      <c r="D3994" s="2" t="s">
        <v>1973</v>
      </c>
      <c r="E3994" s="2" t="s">
        <v>77</v>
      </c>
      <c r="F3994" s="2" t="s">
        <v>78</v>
      </c>
      <c r="G3994" s="2" t="s">
        <v>20</v>
      </c>
      <c r="H3994" s="2" t="s">
        <v>236</v>
      </c>
      <c r="I3994" s="2"/>
      <c r="J3994" s="2"/>
    </row>
    <row r="3995" spans="1:10" x14ac:dyDescent="0.35">
      <c r="A3995" s="2" t="s">
        <v>1642</v>
      </c>
      <c r="B3995" s="2" t="s">
        <v>1972</v>
      </c>
      <c r="C3995" s="2" t="s">
        <v>54</v>
      </c>
      <c r="D3995" s="2" t="s">
        <v>1973</v>
      </c>
      <c r="E3995" s="2" t="s">
        <v>18</v>
      </c>
      <c r="F3995" s="2" t="s">
        <v>19</v>
      </c>
      <c r="G3995" s="2" t="s">
        <v>20</v>
      </c>
      <c r="H3995" s="2" t="s">
        <v>1974</v>
      </c>
      <c r="I3995" s="2"/>
      <c r="J3995" s="2"/>
    </row>
    <row r="3996" spans="1:10" x14ac:dyDescent="0.35">
      <c r="A3996" s="2" t="s">
        <v>1642</v>
      </c>
      <c r="B3996" s="2" t="s">
        <v>1972</v>
      </c>
      <c r="C3996" s="2" t="s">
        <v>54</v>
      </c>
      <c r="D3996" s="2" t="s">
        <v>1973</v>
      </c>
      <c r="E3996" s="2" t="s">
        <v>1181</v>
      </c>
      <c r="F3996" s="2" t="s">
        <v>30</v>
      </c>
      <c r="G3996" s="2"/>
      <c r="H3996" s="2"/>
      <c r="I3996" s="2"/>
      <c r="J3996" s="2"/>
    </row>
    <row r="3997" spans="1:10" x14ac:dyDescent="0.35">
      <c r="A3997" s="2" t="s">
        <v>1642</v>
      </c>
      <c r="B3997" s="2" t="s">
        <v>1975</v>
      </c>
      <c r="C3997" s="2" t="s">
        <v>12</v>
      </c>
      <c r="D3997" s="2" t="s">
        <v>1976</v>
      </c>
      <c r="E3997" s="2" t="s">
        <v>91</v>
      </c>
      <c r="F3997" s="2" t="s">
        <v>19</v>
      </c>
      <c r="G3997" s="2" t="s">
        <v>20</v>
      </c>
      <c r="H3997" s="2" t="s">
        <v>1977</v>
      </c>
      <c r="I3997" s="2"/>
      <c r="J3997" s="2"/>
    </row>
    <row r="3998" spans="1:10" x14ac:dyDescent="0.35">
      <c r="A3998" s="2" t="s">
        <v>1642</v>
      </c>
      <c r="B3998" s="2" t="s">
        <v>1975</v>
      </c>
      <c r="C3998" s="2" t="s">
        <v>57</v>
      </c>
      <c r="D3998" s="2" t="s">
        <v>1978</v>
      </c>
      <c r="E3998" s="2" t="s">
        <v>74</v>
      </c>
      <c r="F3998" s="2" t="s">
        <v>75</v>
      </c>
      <c r="G3998" s="2" t="s">
        <v>20</v>
      </c>
      <c r="H3998" s="2" t="s">
        <v>1979</v>
      </c>
      <c r="I3998" s="2"/>
      <c r="J3998" s="2"/>
    </row>
    <row r="3999" spans="1:10" x14ac:dyDescent="0.35">
      <c r="A3999" s="2" t="s">
        <v>1642</v>
      </c>
      <c r="B3999" s="2" t="s">
        <v>1975</v>
      </c>
      <c r="C3999" s="2" t="s">
        <v>57</v>
      </c>
      <c r="D3999" s="2" t="s">
        <v>1978</v>
      </c>
      <c r="E3999" s="2" t="s">
        <v>1163</v>
      </c>
      <c r="F3999" s="2" t="s">
        <v>201</v>
      </c>
      <c r="G3999" s="2"/>
      <c r="H3999" s="2"/>
      <c r="I3999" s="2"/>
      <c r="J3999" s="2"/>
    </row>
    <row r="4000" spans="1:10" x14ac:dyDescent="0.35">
      <c r="A4000" s="2" t="s">
        <v>1642</v>
      </c>
      <c r="B4000" s="2" t="s">
        <v>1975</v>
      </c>
      <c r="C4000" s="2" t="s">
        <v>57</v>
      </c>
      <c r="D4000" s="2" t="s">
        <v>1978</v>
      </c>
      <c r="E4000" s="2" t="s">
        <v>1659</v>
      </c>
      <c r="F4000" s="2" t="s">
        <v>122</v>
      </c>
      <c r="G4000" s="2"/>
      <c r="H4000" s="2"/>
      <c r="I4000" s="2"/>
      <c r="J4000" s="2"/>
    </row>
    <row r="4001" spans="1:10" x14ac:dyDescent="0.35">
      <c r="A4001" s="2" t="s">
        <v>1642</v>
      </c>
      <c r="B4001" s="2" t="s">
        <v>1975</v>
      </c>
      <c r="C4001" s="2" t="s">
        <v>57</v>
      </c>
      <c r="D4001" s="2" t="s">
        <v>1978</v>
      </c>
      <c r="E4001" s="2" t="s">
        <v>393</v>
      </c>
      <c r="F4001" s="2" t="s">
        <v>36</v>
      </c>
      <c r="G4001" s="2"/>
      <c r="H4001" s="2"/>
      <c r="I4001" s="2"/>
      <c r="J4001" s="2"/>
    </row>
    <row r="4002" spans="1:10" x14ac:dyDescent="0.35">
      <c r="A4002" s="2" t="s">
        <v>1642</v>
      </c>
      <c r="B4002" s="2" t="s">
        <v>1975</v>
      </c>
      <c r="C4002" s="2" t="s">
        <v>57</v>
      </c>
      <c r="D4002" s="2" t="s">
        <v>1978</v>
      </c>
      <c r="E4002" s="2" t="s">
        <v>156</v>
      </c>
      <c r="F4002" s="2" t="s">
        <v>45</v>
      </c>
      <c r="G4002" s="2"/>
      <c r="H4002" s="2"/>
      <c r="I4002" s="2"/>
      <c r="J4002" s="2"/>
    </row>
    <row r="4003" spans="1:10" x14ac:dyDescent="0.35">
      <c r="A4003" s="2" t="s">
        <v>1642</v>
      </c>
      <c r="B4003" s="2" t="s">
        <v>1975</v>
      </c>
      <c r="C4003" s="2" t="s">
        <v>57</v>
      </c>
      <c r="D4003" s="2" t="s">
        <v>1978</v>
      </c>
      <c r="E4003" s="2" t="s">
        <v>1696</v>
      </c>
      <c r="F4003" s="2" t="s">
        <v>75</v>
      </c>
      <c r="G4003" s="2" t="s">
        <v>20</v>
      </c>
      <c r="H4003" s="2" t="s">
        <v>1980</v>
      </c>
      <c r="I4003" s="2"/>
      <c r="J4003" s="2"/>
    </row>
    <row r="4004" spans="1:10" x14ac:dyDescent="0.35">
      <c r="A4004" s="2" t="s">
        <v>1642</v>
      </c>
      <c r="B4004" s="2" t="s">
        <v>1975</v>
      </c>
      <c r="C4004" s="2" t="s">
        <v>57</v>
      </c>
      <c r="D4004" s="2" t="s">
        <v>1978</v>
      </c>
      <c r="E4004" s="2" t="s">
        <v>18</v>
      </c>
      <c r="F4004" s="2" t="s">
        <v>19</v>
      </c>
      <c r="G4004" s="2" t="s">
        <v>20</v>
      </c>
      <c r="H4004" s="2" t="s">
        <v>1981</v>
      </c>
      <c r="I4004" s="2"/>
      <c r="J4004" s="2"/>
    </row>
    <row r="4005" spans="1:10" x14ac:dyDescent="0.35">
      <c r="A4005" s="2" t="s">
        <v>1642</v>
      </c>
      <c r="B4005" s="2" t="s">
        <v>1975</v>
      </c>
      <c r="C4005" s="2" t="s">
        <v>57</v>
      </c>
      <c r="D4005" s="2" t="s">
        <v>1978</v>
      </c>
      <c r="E4005" s="2" t="s">
        <v>423</v>
      </c>
      <c r="F4005" s="2" t="s">
        <v>424</v>
      </c>
      <c r="G4005" s="2"/>
      <c r="H4005" s="2"/>
      <c r="I4005" s="2"/>
      <c r="J4005" s="2"/>
    </row>
    <row r="4006" spans="1:10" x14ac:dyDescent="0.35">
      <c r="A4006" s="2" t="s">
        <v>1642</v>
      </c>
      <c r="B4006" s="2" t="s">
        <v>1975</v>
      </c>
      <c r="C4006" s="2" t="s">
        <v>57</v>
      </c>
      <c r="D4006" s="2" t="s">
        <v>1978</v>
      </c>
      <c r="E4006" s="2" t="s">
        <v>939</v>
      </c>
      <c r="F4006" s="2" t="s">
        <v>65</v>
      </c>
      <c r="G4006" s="2"/>
      <c r="H4006" s="2"/>
      <c r="I4006" s="2"/>
      <c r="J4006" s="2"/>
    </row>
    <row r="4007" spans="1:10" x14ac:dyDescent="0.35">
      <c r="A4007" s="2" t="s">
        <v>1642</v>
      </c>
      <c r="B4007" s="2" t="s">
        <v>1975</v>
      </c>
      <c r="C4007" s="2" t="s">
        <v>57</v>
      </c>
      <c r="D4007" s="2" t="s">
        <v>1978</v>
      </c>
      <c r="E4007" s="2" t="s">
        <v>1982</v>
      </c>
      <c r="F4007" s="2" t="s">
        <v>847</v>
      </c>
      <c r="G4007" s="2" t="s">
        <v>20</v>
      </c>
      <c r="H4007" s="2" t="s">
        <v>1983</v>
      </c>
      <c r="I4007" s="2"/>
      <c r="J4007" s="2"/>
    </row>
    <row r="4008" spans="1:10" x14ac:dyDescent="0.35">
      <c r="A4008" s="2" t="s">
        <v>1642</v>
      </c>
      <c r="B4008" s="2" t="s">
        <v>1975</v>
      </c>
      <c r="C4008" s="2" t="s">
        <v>62</v>
      </c>
      <c r="D4008" s="2" t="s">
        <v>1984</v>
      </c>
      <c r="E4008" s="2" t="s">
        <v>27</v>
      </c>
      <c r="F4008" s="2" t="s">
        <v>28</v>
      </c>
      <c r="G4008" s="2"/>
      <c r="H4008" s="2"/>
      <c r="I4008" s="2"/>
      <c r="J4008" s="2"/>
    </row>
    <row r="4009" spans="1:10" x14ac:dyDescent="0.35">
      <c r="A4009" s="2" t="s">
        <v>1642</v>
      </c>
      <c r="B4009" s="2" t="s">
        <v>1975</v>
      </c>
      <c r="C4009" s="2" t="s">
        <v>62</v>
      </c>
      <c r="D4009" s="2" t="s">
        <v>1984</v>
      </c>
      <c r="E4009" s="2" t="s">
        <v>155</v>
      </c>
      <c r="F4009" s="2" t="s">
        <v>1985</v>
      </c>
      <c r="G4009" s="2"/>
      <c r="H4009" s="2"/>
      <c r="I4009" s="2"/>
      <c r="J4009" s="2"/>
    </row>
    <row r="4010" spans="1:10" x14ac:dyDescent="0.35">
      <c r="A4010" s="2" t="s">
        <v>1642</v>
      </c>
      <c r="B4010" s="2" t="s">
        <v>1975</v>
      </c>
      <c r="C4010" s="2" t="s">
        <v>62</v>
      </c>
      <c r="D4010" s="2" t="s">
        <v>1984</v>
      </c>
      <c r="E4010" s="2" t="s">
        <v>1986</v>
      </c>
      <c r="F4010" s="2" t="s">
        <v>38</v>
      </c>
      <c r="G4010" s="2"/>
      <c r="H4010" s="2"/>
      <c r="I4010" s="2"/>
      <c r="J4010" s="2"/>
    </row>
    <row r="4011" spans="1:10" x14ac:dyDescent="0.35">
      <c r="A4011" s="2" t="s">
        <v>1642</v>
      </c>
      <c r="B4011" s="2" t="s">
        <v>1975</v>
      </c>
      <c r="C4011" s="2" t="s">
        <v>62</v>
      </c>
      <c r="D4011" s="2" t="s">
        <v>1984</v>
      </c>
      <c r="E4011" s="2" t="s">
        <v>1782</v>
      </c>
      <c r="F4011" s="2" t="s">
        <v>38</v>
      </c>
      <c r="G4011" s="2"/>
      <c r="H4011" s="2"/>
      <c r="I4011" s="2"/>
      <c r="J4011" s="2"/>
    </row>
    <row r="4012" spans="1:10" x14ac:dyDescent="0.35">
      <c r="A4012" s="2" t="s">
        <v>1642</v>
      </c>
      <c r="B4012" s="2" t="s">
        <v>1975</v>
      </c>
      <c r="C4012" s="2" t="s">
        <v>62</v>
      </c>
      <c r="D4012" s="2" t="s">
        <v>1984</v>
      </c>
      <c r="E4012" s="2" t="s">
        <v>1176</v>
      </c>
      <c r="F4012" s="2" t="s">
        <v>38</v>
      </c>
      <c r="G4012" s="2"/>
      <c r="H4012" s="2"/>
      <c r="I4012" s="2"/>
      <c r="J4012" s="2"/>
    </row>
    <row r="4013" spans="1:10" x14ac:dyDescent="0.35">
      <c r="A4013" s="2" t="s">
        <v>1642</v>
      </c>
      <c r="B4013" s="2" t="s">
        <v>1975</v>
      </c>
      <c r="C4013" s="2" t="s">
        <v>62</v>
      </c>
      <c r="D4013" s="2" t="s">
        <v>1984</v>
      </c>
      <c r="E4013" s="2" t="s">
        <v>1987</v>
      </c>
      <c r="F4013" s="2" t="s">
        <v>1574</v>
      </c>
      <c r="G4013" s="2"/>
      <c r="H4013" s="2"/>
      <c r="I4013" s="2"/>
      <c r="J4013" s="2"/>
    </row>
    <row r="4014" spans="1:10" x14ac:dyDescent="0.35">
      <c r="A4014" s="2" t="s">
        <v>1642</v>
      </c>
      <c r="B4014" s="2" t="s">
        <v>1975</v>
      </c>
      <c r="C4014" s="2" t="s">
        <v>54</v>
      </c>
      <c r="D4014" s="2" t="s">
        <v>1988</v>
      </c>
      <c r="E4014" s="2" t="s">
        <v>27</v>
      </c>
      <c r="F4014" s="2" t="s">
        <v>28</v>
      </c>
      <c r="G4014" s="2"/>
      <c r="H4014" s="2"/>
      <c r="I4014" s="2"/>
      <c r="J4014" s="2"/>
    </row>
    <row r="4015" spans="1:10" x14ac:dyDescent="0.35">
      <c r="A4015" s="2" t="s">
        <v>1642</v>
      </c>
      <c r="B4015" s="2" t="s">
        <v>1975</v>
      </c>
      <c r="C4015" s="2" t="s">
        <v>54</v>
      </c>
      <c r="D4015" s="2" t="s">
        <v>1988</v>
      </c>
      <c r="E4015" s="2" t="s">
        <v>1659</v>
      </c>
      <c r="F4015" s="2" t="s">
        <v>122</v>
      </c>
      <c r="G4015" s="2"/>
      <c r="H4015" s="2"/>
      <c r="I4015" s="2"/>
      <c r="J4015" s="2"/>
    </row>
    <row r="4016" spans="1:10" x14ac:dyDescent="0.35">
      <c r="A4016" s="2" t="s">
        <v>1642</v>
      </c>
      <c r="B4016" s="2" t="s">
        <v>1975</v>
      </c>
      <c r="C4016" s="2" t="s">
        <v>54</v>
      </c>
      <c r="D4016" s="2" t="s">
        <v>1988</v>
      </c>
      <c r="E4016" s="2" t="s">
        <v>1176</v>
      </c>
      <c r="F4016" s="2" t="s">
        <v>38</v>
      </c>
      <c r="G4016" s="2"/>
      <c r="H4016" s="2"/>
      <c r="I4016" s="2"/>
      <c r="J4016" s="2"/>
    </row>
    <row r="4017" spans="1:10" x14ac:dyDescent="0.35">
      <c r="A4017" s="2" t="s">
        <v>1642</v>
      </c>
      <c r="B4017" s="2" t="s">
        <v>1975</v>
      </c>
      <c r="C4017" s="2" t="s">
        <v>54</v>
      </c>
      <c r="D4017" s="2" t="s">
        <v>1988</v>
      </c>
      <c r="E4017" s="2" t="s">
        <v>18</v>
      </c>
      <c r="F4017" s="2" t="s">
        <v>19</v>
      </c>
      <c r="G4017" s="2" t="s">
        <v>20</v>
      </c>
      <c r="H4017" s="2" t="s">
        <v>1977</v>
      </c>
      <c r="I4017" s="2" t="s">
        <v>20</v>
      </c>
      <c r="J4017" s="2" t="s">
        <v>1989</v>
      </c>
    </row>
    <row r="4018" spans="1:10" x14ac:dyDescent="0.35">
      <c r="A4018" s="2" t="s">
        <v>1642</v>
      </c>
      <c r="B4018" s="2" t="s">
        <v>1975</v>
      </c>
      <c r="C4018" s="2" t="s">
        <v>54</v>
      </c>
      <c r="D4018" s="2" t="s">
        <v>1988</v>
      </c>
      <c r="E4018" s="2" t="s">
        <v>865</v>
      </c>
      <c r="F4018" s="2" t="s">
        <v>30</v>
      </c>
      <c r="G4018" s="2"/>
      <c r="H4018" s="2"/>
      <c r="I4018" s="2"/>
      <c r="J4018" s="2"/>
    </row>
    <row r="4019" spans="1:10" x14ac:dyDescent="0.35">
      <c r="A4019" s="2" t="s">
        <v>1642</v>
      </c>
      <c r="B4019" s="2" t="s">
        <v>1975</v>
      </c>
      <c r="C4019" s="2" t="s">
        <v>12</v>
      </c>
      <c r="D4019" s="2" t="s">
        <v>1990</v>
      </c>
      <c r="E4019" s="2" t="s">
        <v>1991</v>
      </c>
      <c r="F4019" s="2" t="s">
        <v>1985</v>
      </c>
      <c r="G4019" s="2"/>
      <c r="H4019" s="2"/>
      <c r="I4019" s="2"/>
      <c r="J4019" s="2"/>
    </row>
    <row r="4020" spans="1:10" x14ac:dyDescent="0.35">
      <c r="A4020" s="2" t="s">
        <v>1642</v>
      </c>
      <c r="B4020" s="2" t="s">
        <v>1975</v>
      </c>
      <c r="C4020" s="2" t="s">
        <v>12</v>
      </c>
      <c r="D4020" s="2" t="s">
        <v>1990</v>
      </c>
      <c r="E4020" s="2" t="s">
        <v>1782</v>
      </c>
      <c r="F4020" s="2" t="s">
        <v>38</v>
      </c>
      <c r="G4020" s="2"/>
      <c r="H4020" s="2"/>
      <c r="I4020" s="2"/>
      <c r="J4020" s="2"/>
    </row>
    <row r="4021" spans="1:10" x14ac:dyDescent="0.35">
      <c r="A4021" s="2" t="s">
        <v>1642</v>
      </c>
      <c r="B4021" s="2" t="s">
        <v>1975</v>
      </c>
      <c r="C4021" s="2" t="s">
        <v>12</v>
      </c>
      <c r="D4021" s="2" t="s">
        <v>1990</v>
      </c>
      <c r="E4021" s="2" t="s">
        <v>18</v>
      </c>
      <c r="F4021" s="2" t="s">
        <v>19</v>
      </c>
      <c r="G4021" s="2" t="s">
        <v>20</v>
      </c>
      <c r="H4021" s="2" t="s">
        <v>1992</v>
      </c>
      <c r="I4021" s="2"/>
      <c r="J4021" s="2"/>
    </row>
    <row r="4022" spans="1:10" x14ac:dyDescent="0.35">
      <c r="A4022" s="2" t="s">
        <v>1642</v>
      </c>
      <c r="B4022" s="2" t="s">
        <v>1975</v>
      </c>
      <c r="C4022" s="2" t="s">
        <v>12</v>
      </c>
      <c r="D4022" s="2" t="s">
        <v>1990</v>
      </c>
      <c r="E4022" s="2" t="s">
        <v>89</v>
      </c>
      <c r="F4022" s="2" t="s">
        <v>45</v>
      </c>
      <c r="G4022" s="2"/>
      <c r="H4022" s="2"/>
      <c r="I4022" s="2"/>
      <c r="J4022" s="2"/>
    </row>
    <row r="4023" spans="1:10" s="21" customFormat="1" x14ac:dyDescent="0.35">
      <c r="A4023" s="2" t="s">
        <v>1642</v>
      </c>
      <c r="B4023" s="2" t="s">
        <v>1975</v>
      </c>
      <c r="C4023" s="2" t="s">
        <v>12</v>
      </c>
      <c r="D4023" s="2" t="s">
        <v>1990</v>
      </c>
      <c r="E4023" s="2" t="s">
        <v>1021</v>
      </c>
      <c r="F4023" s="2" t="s">
        <v>122</v>
      </c>
      <c r="G4023" s="2"/>
      <c r="H4023" s="2"/>
      <c r="I4023" s="2"/>
      <c r="J4023" s="2"/>
    </row>
    <row r="4024" spans="1:10" x14ac:dyDescent="0.35">
      <c r="A4024" s="2" t="s">
        <v>1642</v>
      </c>
      <c r="B4024" s="2" t="s">
        <v>1975</v>
      </c>
      <c r="C4024" s="2" t="s">
        <v>24</v>
      </c>
      <c r="D4024" s="2" t="s">
        <v>1993</v>
      </c>
      <c r="E4024" s="2" t="s">
        <v>74</v>
      </c>
      <c r="F4024" s="2" t="s">
        <v>75</v>
      </c>
      <c r="G4024" s="2"/>
      <c r="H4024" s="2"/>
      <c r="I4024" s="2"/>
      <c r="J4024" s="2"/>
    </row>
    <row r="4025" spans="1:10" x14ac:dyDescent="0.35">
      <c r="A4025" s="2" t="s">
        <v>1642</v>
      </c>
      <c r="B4025" s="2" t="s">
        <v>1975</v>
      </c>
      <c r="C4025" s="2" t="s">
        <v>24</v>
      </c>
      <c r="D4025" s="2" t="s">
        <v>1993</v>
      </c>
      <c r="E4025" s="2" t="s">
        <v>31</v>
      </c>
      <c r="F4025" s="2" t="s">
        <v>32</v>
      </c>
      <c r="G4025" s="2"/>
      <c r="H4025" s="2"/>
      <c r="I4025" s="2"/>
      <c r="J4025" s="2"/>
    </row>
    <row r="4026" spans="1:10" x14ac:dyDescent="0.35">
      <c r="A4026" s="2" t="s">
        <v>1642</v>
      </c>
      <c r="B4026" s="2" t="s">
        <v>1975</v>
      </c>
      <c r="C4026" s="2" t="s">
        <v>24</v>
      </c>
      <c r="D4026" s="2" t="s">
        <v>1993</v>
      </c>
      <c r="E4026" s="2" t="s">
        <v>121</v>
      </c>
      <c r="F4026" s="2" t="s">
        <v>122</v>
      </c>
      <c r="G4026" s="2"/>
      <c r="H4026" s="2"/>
      <c r="I4026" s="2"/>
      <c r="J4026" s="2"/>
    </row>
    <row r="4027" spans="1:10" x14ac:dyDescent="0.35">
      <c r="A4027" s="2" t="s">
        <v>1642</v>
      </c>
      <c r="B4027" s="2" t="s">
        <v>1975</v>
      </c>
      <c r="C4027" s="2" t="s">
        <v>24</v>
      </c>
      <c r="D4027" s="2" t="s">
        <v>1993</v>
      </c>
      <c r="E4027" s="2" t="s">
        <v>170</v>
      </c>
      <c r="F4027" s="2" t="s">
        <v>30</v>
      </c>
      <c r="G4027" s="2"/>
      <c r="H4027" s="2"/>
      <c r="I4027" s="2"/>
      <c r="J4027" s="2"/>
    </row>
    <row r="4028" spans="1:10" x14ac:dyDescent="0.35">
      <c r="A4028" s="2" t="s">
        <v>1642</v>
      </c>
      <c r="B4028" s="2" t="s">
        <v>1975</v>
      </c>
      <c r="C4028" s="2" t="s">
        <v>24</v>
      </c>
      <c r="D4028" s="2" t="s">
        <v>1993</v>
      </c>
      <c r="E4028" s="2" t="s">
        <v>77</v>
      </c>
      <c r="F4028" s="2" t="s">
        <v>78</v>
      </c>
      <c r="G4028" s="2"/>
      <c r="H4028" s="2"/>
      <c r="I4028" s="2"/>
      <c r="J4028" s="2"/>
    </row>
    <row r="4029" spans="1:10" x14ac:dyDescent="0.35">
      <c r="A4029" s="2" t="s">
        <v>1642</v>
      </c>
      <c r="B4029" s="2" t="s">
        <v>1975</v>
      </c>
      <c r="C4029" s="2" t="s">
        <v>24</v>
      </c>
      <c r="D4029" s="2" t="s">
        <v>1993</v>
      </c>
      <c r="E4029" s="2" t="s">
        <v>91</v>
      </c>
      <c r="F4029" s="2" t="s">
        <v>19</v>
      </c>
      <c r="G4029" s="2" t="s">
        <v>20</v>
      </c>
      <c r="H4029" s="2" t="s">
        <v>1977</v>
      </c>
      <c r="I4029" s="2"/>
      <c r="J4029" s="2"/>
    </row>
    <row r="4030" spans="1:10" x14ac:dyDescent="0.35">
      <c r="A4030" s="2" t="s">
        <v>1642</v>
      </c>
      <c r="B4030" s="2" t="s">
        <v>1975</v>
      </c>
      <c r="C4030" s="2" t="s">
        <v>24</v>
      </c>
      <c r="D4030" s="2" t="s">
        <v>1993</v>
      </c>
      <c r="E4030" s="2" t="s">
        <v>1994</v>
      </c>
      <c r="F4030" s="2" t="s">
        <v>45</v>
      </c>
      <c r="G4030" s="2" t="s">
        <v>20</v>
      </c>
      <c r="H4030" s="2" t="s">
        <v>1977</v>
      </c>
      <c r="I4030" s="2"/>
      <c r="J4030" s="2"/>
    </row>
    <row r="4031" spans="1:10" x14ac:dyDescent="0.35">
      <c r="A4031" s="2" t="s">
        <v>1642</v>
      </c>
      <c r="B4031" s="2" t="s">
        <v>1975</v>
      </c>
      <c r="C4031" s="2" t="s">
        <v>24</v>
      </c>
      <c r="D4031" s="2" t="s">
        <v>1993</v>
      </c>
      <c r="E4031" s="2" t="s">
        <v>18</v>
      </c>
      <c r="F4031" s="2" t="s">
        <v>19</v>
      </c>
      <c r="G4031" s="2" t="s">
        <v>20</v>
      </c>
      <c r="H4031" s="2" t="s">
        <v>1977</v>
      </c>
      <c r="I4031" s="2"/>
      <c r="J4031" s="2"/>
    </row>
    <row r="4032" spans="1:10" x14ac:dyDescent="0.35">
      <c r="A4032" s="2" t="s">
        <v>1642</v>
      </c>
      <c r="B4032" s="2" t="s">
        <v>1975</v>
      </c>
      <c r="C4032" s="2" t="s">
        <v>24</v>
      </c>
      <c r="D4032" s="2" t="s">
        <v>1993</v>
      </c>
      <c r="E4032" s="2" t="s">
        <v>508</v>
      </c>
      <c r="F4032" s="2" t="s">
        <v>40</v>
      </c>
      <c r="G4032" s="2"/>
      <c r="H4032" s="2"/>
      <c r="I4032" s="2"/>
      <c r="J4032" s="2"/>
    </row>
    <row r="4033" spans="1:10" x14ac:dyDescent="0.35">
      <c r="A4033" s="2" t="s">
        <v>1642</v>
      </c>
      <c r="B4033" s="2" t="s">
        <v>1975</v>
      </c>
      <c r="C4033" s="2" t="s">
        <v>24</v>
      </c>
      <c r="D4033" s="2" t="s">
        <v>1993</v>
      </c>
      <c r="E4033" s="2" t="s">
        <v>1681</v>
      </c>
      <c r="F4033" s="2" t="s">
        <v>107</v>
      </c>
      <c r="G4033" s="2"/>
      <c r="H4033" s="2"/>
      <c r="I4033" s="2"/>
      <c r="J4033" s="2"/>
    </row>
    <row r="4034" spans="1:10" x14ac:dyDescent="0.35">
      <c r="A4034" s="2" t="s">
        <v>1642</v>
      </c>
      <c r="B4034" s="2" t="s">
        <v>1975</v>
      </c>
      <c r="C4034" s="2" t="s">
        <v>24</v>
      </c>
      <c r="D4034" s="2" t="s">
        <v>1993</v>
      </c>
      <c r="E4034" s="2" t="s">
        <v>149</v>
      </c>
      <c r="F4034" s="2" t="s">
        <v>150</v>
      </c>
      <c r="G4034" s="2" t="s">
        <v>20</v>
      </c>
      <c r="H4034" s="2" t="s">
        <v>1977</v>
      </c>
      <c r="I4034" s="2"/>
      <c r="J4034" s="2"/>
    </row>
    <row r="4035" spans="1:10" x14ac:dyDescent="0.35">
      <c r="A4035" s="2" t="s">
        <v>1642</v>
      </c>
      <c r="B4035" s="2" t="s">
        <v>1975</v>
      </c>
      <c r="C4035" s="2" t="s">
        <v>24</v>
      </c>
      <c r="D4035" s="2" t="s">
        <v>1995</v>
      </c>
      <c r="E4035" s="2" t="s">
        <v>31</v>
      </c>
      <c r="F4035" s="2" t="s">
        <v>1996</v>
      </c>
      <c r="G4035" s="2"/>
      <c r="H4035" s="2"/>
      <c r="I4035" s="2"/>
      <c r="J4035" s="2"/>
    </row>
    <row r="4036" spans="1:10" x14ac:dyDescent="0.35">
      <c r="A4036" s="2" t="s">
        <v>1642</v>
      </c>
      <c r="B4036" s="2" t="s">
        <v>1975</v>
      </c>
      <c r="C4036" s="2" t="s">
        <v>24</v>
      </c>
      <c r="D4036" s="2" t="s">
        <v>1995</v>
      </c>
      <c r="E4036" s="2" t="s">
        <v>1215</v>
      </c>
      <c r="F4036" s="2" t="s">
        <v>1216</v>
      </c>
      <c r="G4036" s="2"/>
      <c r="H4036" s="2"/>
      <c r="I4036" s="2"/>
      <c r="J4036" s="2"/>
    </row>
    <row r="4037" spans="1:10" x14ac:dyDescent="0.35">
      <c r="A4037" s="2" t="s">
        <v>1642</v>
      </c>
      <c r="B4037" s="2" t="s">
        <v>1975</v>
      </c>
      <c r="C4037" s="2" t="s">
        <v>24</v>
      </c>
      <c r="D4037" s="2" t="s">
        <v>1995</v>
      </c>
      <c r="E4037" s="2" t="s">
        <v>1659</v>
      </c>
      <c r="F4037" s="2" t="s">
        <v>122</v>
      </c>
      <c r="G4037" s="2"/>
      <c r="H4037" s="2"/>
      <c r="I4037" s="2"/>
      <c r="J4037" s="2"/>
    </row>
    <row r="4038" spans="1:10" x14ac:dyDescent="0.35">
      <c r="A4038" s="2" t="s">
        <v>1642</v>
      </c>
      <c r="B4038" s="2" t="s">
        <v>1975</v>
      </c>
      <c r="C4038" s="2" t="s">
        <v>24</v>
      </c>
      <c r="D4038" s="2" t="s">
        <v>1995</v>
      </c>
      <c r="E4038" s="2" t="s">
        <v>377</v>
      </c>
      <c r="F4038" s="2" t="s">
        <v>270</v>
      </c>
      <c r="G4038" s="2"/>
      <c r="H4038" s="2"/>
      <c r="I4038" s="2"/>
      <c r="J4038" s="2"/>
    </row>
    <row r="4039" spans="1:10" x14ac:dyDescent="0.35">
      <c r="A4039" s="2" t="s">
        <v>1642</v>
      </c>
      <c r="B4039" s="2" t="s">
        <v>1975</v>
      </c>
      <c r="C4039" s="2" t="s">
        <v>24</v>
      </c>
      <c r="D4039" s="2" t="s">
        <v>1995</v>
      </c>
      <c r="E4039" s="2" t="s">
        <v>1997</v>
      </c>
      <c r="F4039" s="2" t="s">
        <v>125</v>
      </c>
      <c r="G4039" s="2"/>
      <c r="H4039" s="2"/>
      <c r="I4039" s="2"/>
      <c r="J4039" s="2"/>
    </row>
    <row r="4040" spans="1:10" x14ac:dyDescent="0.35">
      <c r="A4040" s="2" t="s">
        <v>1642</v>
      </c>
      <c r="B4040" s="2" t="s">
        <v>1975</v>
      </c>
      <c r="C4040" s="2" t="s">
        <v>24</v>
      </c>
      <c r="D4040" s="2" t="s">
        <v>1995</v>
      </c>
      <c r="E4040" s="2" t="s">
        <v>393</v>
      </c>
      <c r="F4040" s="2" t="s">
        <v>36</v>
      </c>
      <c r="G4040" s="2"/>
      <c r="H4040" s="2"/>
      <c r="I4040" s="2"/>
      <c r="J4040" s="2"/>
    </row>
    <row r="4041" spans="1:10" x14ac:dyDescent="0.35">
      <c r="A4041" s="2" t="s">
        <v>1642</v>
      </c>
      <c r="B4041" s="2" t="s">
        <v>1975</v>
      </c>
      <c r="C4041" s="2" t="s">
        <v>24</v>
      </c>
      <c r="D4041" s="2" t="s">
        <v>1995</v>
      </c>
      <c r="E4041" s="2" t="s">
        <v>438</v>
      </c>
      <c r="F4041" s="2" t="s">
        <v>19</v>
      </c>
      <c r="G4041" s="2" t="s">
        <v>20</v>
      </c>
      <c r="H4041" s="2" t="s">
        <v>1998</v>
      </c>
      <c r="I4041" s="2"/>
      <c r="J4041" s="2"/>
    </row>
    <row r="4042" spans="1:10" x14ac:dyDescent="0.35">
      <c r="A4042" s="2" t="s">
        <v>1642</v>
      </c>
      <c r="B4042" s="2" t="s">
        <v>1975</v>
      </c>
      <c r="C4042" s="2" t="s">
        <v>54</v>
      </c>
      <c r="D4042" s="2" t="s">
        <v>1999</v>
      </c>
      <c r="E4042" s="2" t="s">
        <v>1307</v>
      </c>
      <c r="F4042" s="2" t="s">
        <v>38</v>
      </c>
      <c r="G4042" s="2"/>
      <c r="H4042" s="2"/>
      <c r="I4042" s="2"/>
      <c r="J4042" s="2"/>
    </row>
    <row r="4043" spans="1:10" x14ac:dyDescent="0.35">
      <c r="A4043" s="2" t="s">
        <v>1642</v>
      </c>
      <c r="B4043" s="2" t="s">
        <v>1975</v>
      </c>
      <c r="C4043" s="2" t="s">
        <v>54</v>
      </c>
      <c r="D4043" s="2" t="s">
        <v>1999</v>
      </c>
      <c r="E4043" s="2" t="s">
        <v>1303</v>
      </c>
      <c r="F4043" s="2" t="s">
        <v>75</v>
      </c>
      <c r="G4043" s="2"/>
      <c r="H4043" s="2"/>
      <c r="I4043" s="2"/>
      <c r="J4043" s="2"/>
    </row>
    <row r="4044" spans="1:10" x14ac:dyDescent="0.35">
      <c r="A4044" s="2" t="s">
        <v>1642</v>
      </c>
      <c r="B4044" s="2" t="s">
        <v>1975</v>
      </c>
      <c r="C4044" s="2" t="s">
        <v>54</v>
      </c>
      <c r="D4044" s="2" t="s">
        <v>1999</v>
      </c>
      <c r="E4044" s="2" t="s">
        <v>91</v>
      </c>
      <c r="F4044" s="2" t="s">
        <v>19</v>
      </c>
      <c r="G4044" s="2" t="s">
        <v>20</v>
      </c>
      <c r="H4044" s="2" t="s">
        <v>2000</v>
      </c>
      <c r="I4044" s="2"/>
      <c r="J4044" s="2"/>
    </row>
    <row r="4045" spans="1:10" x14ac:dyDescent="0.35">
      <c r="A4045" s="2" t="s">
        <v>1642</v>
      </c>
      <c r="B4045" s="2" t="s">
        <v>1975</v>
      </c>
      <c r="C4045" s="2" t="s">
        <v>54</v>
      </c>
      <c r="D4045" s="2" t="s">
        <v>1999</v>
      </c>
      <c r="E4045" s="2" t="s">
        <v>1696</v>
      </c>
      <c r="F4045" s="2" t="s">
        <v>75</v>
      </c>
      <c r="G4045" s="2" t="s">
        <v>20</v>
      </c>
      <c r="H4045" s="2" t="s">
        <v>1977</v>
      </c>
      <c r="I4045" s="2"/>
      <c r="J4045" s="2"/>
    </row>
    <row r="4046" spans="1:10" x14ac:dyDescent="0.35">
      <c r="A4046" s="2" t="s">
        <v>1642</v>
      </c>
      <c r="B4046" s="2" t="s">
        <v>1975</v>
      </c>
      <c r="C4046" s="2" t="s">
        <v>54</v>
      </c>
      <c r="D4046" s="2" t="s">
        <v>1999</v>
      </c>
      <c r="E4046" s="2" t="s">
        <v>89</v>
      </c>
      <c r="F4046" s="2" t="s">
        <v>45</v>
      </c>
      <c r="G4046" s="2" t="s">
        <v>20</v>
      </c>
      <c r="H4046" s="2" t="s">
        <v>1926</v>
      </c>
      <c r="I4046" s="2"/>
      <c r="J4046" s="2"/>
    </row>
    <row r="4047" spans="1:10" x14ac:dyDescent="0.35">
      <c r="A4047" s="2" t="s">
        <v>1642</v>
      </c>
      <c r="B4047" s="2" t="s">
        <v>1975</v>
      </c>
      <c r="C4047" s="2" t="s">
        <v>54</v>
      </c>
      <c r="D4047" s="2" t="s">
        <v>1999</v>
      </c>
      <c r="E4047" s="2" t="s">
        <v>1982</v>
      </c>
      <c r="F4047" s="2" t="s">
        <v>847</v>
      </c>
      <c r="G4047" s="2" t="s">
        <v>20</v>
      </c>
      <c r="H4047" s="2" t="s">
        <v>2001</v>
      </c>
      <c r="I4047" s="2"/>
      <c r="J4047" s="2"/>
    </row>
    <row r="4048" spans="1:10" s="21" customFormat="1" x14ac:dyDescent="0.35">
      <c r="A4048" s="2" t="s">
        <v>1642</v>
      </c>
      <c r="B4048" s="2" t="s">
        <v>1975</v>
      </c>
      <c r="C4048" s="2" t="s">
        <v>62</v>
      </c>
      <c r="D4048" s="2" t="s">
        <v>2002</v>
      </c>
      <c r="E4048" s="2" t="s">
        <v>1181</v>
      </c>
      <c r="F4048" s="2" t="s">
        <v>30</v>
      </c>
      <c r="G4048" s="2"/>
      <c r="H4048" s="2"/>
      <c r="I4048" s="2"/>
      <c r="J4048" s="2"/>
    </row>
    <row r="4049" spans="1:10" x14ac:dyDescent="0.35">
      <c r="A4049" s="2" t="s">
        <v>1642</v>
      </c>
      <c r="B4049" s="2" t="s">
        <v>1975</v>
      </c>
      <c r="C4049" s="2" t="s">
        <v>24</v>
      </c>
      <c r="D4049" s="2" t="s">
        <v>2003</v>
      </c>
      <c r="E4049" s="2" t="s">
        <v>31</v>
      </c>
      <c r="F4049" s="2" t="s">
        <v>1996</v>
      </c>
      <c r="G4049" s="2"/>
      <c r="H4049" s="2"/>
      <c r="I4049" s="2"/>
      <c r="J4049" s="2"/>
    </row>
    <row r="4050" spans="1:10" x14ac:dyDescent="0.35">
      <c r="A4050" s="2" t="s">
        <v>1642</v>
      </c>
      <c r="B4050" s="2" t="s">
        <v>1975</v>
      </c>
      <c r="C4050" s="2" t="s">
        <v>24</v>
      </c>
      <c r="D4050" s="2" t="s">
        <v>2003</v>
      </c>
      <c r="E4050" s="2" t="s">
        <v>1659</v>
      </c>
      <c r="F4050" s="2" t="s">
        <v>122</v>
      </c>
      <c r="G4050" s="2"/>
      <c r="H4050" s="2"/>
      <c r="I4050" s="2"/>
      <c r="J4050" s="2"/>
    </row>
    <row r="4051" spans="1:10" x14ac:dyDescent="0.35">
      <c r="A4051" s="2" t="s">
        <v>1642</v>
      </c>
      <c r="B4051" s="2" t="s">
        <v>1975</v>
      </c>
      <c r="C4051" s="2" t="s">
        <v>24</v>
      </c>
      <c r="D4051" s="2" t="s">
        <v>2003</v>
      </c>
      <c r="E4051" s="2" t="s">
        <v>91</v>
      </c>
      <c r="F4051" s="2" t="s">
        <v>19</v>
      </c>
      <c r="G4051" s="2" t="s">
        <v>20</v>
      </c>
      <c r="H4051" s="2" t="s">
        <v>1977</v>
      </c>
      <c r="I4051" s="2"/>
      <c r="J4051" s="2"/>
    </row>
    <row r="4052" spans="1:10" x14ac:dyDescent="0.35">
      <c r="A4052" s="2" t="s">
        <v>1642</v>
      </c>
      <c r="B4052" s="2" t="s">
        <v>1975</v>
      </c>
      <c r="C4052" s="2" t="s">
        <v>24</v>
      </c>
      <c r="D4052" s="2" t="s">
        <v>2003</v>
      </c>
      <c r="E4052" s="2" t="s">
        <v>865</v>
      </c>
      <c r="F4052" s="2" t="s">
        <v>30</v>
      </c>
      <c r="G4052" s="2"/>
      <c r="H4052" s="2"/>
      <c r="I4052" s="2"/>
      <c r="J4052" s="2"/>
    </row>
    <row r="4053" spans="1:10" x14ac:dyDescent="0.35">
      <c r="A4053" s="2" t="s">
        <v>1642</v>
      </c>
      <c r="B4053" s="2" t="s">
        <v>1975</v>
      </c>
      <c r="C4053" s="2" t="s">
        <v>24</v>
      </c>
      <c r="D4053" s="2" t="s">
        <v>2003</v>
      </c>
      <c r="E4053" s="2" t="s">
        <v>2004</v>
      </c>
      <c r="F4053" s="2" t="s">
        <v>1650</v>
      </c>
      <c r="G4053" s="2"/>
      <c r="H4053" s="2"/>
      <c r="I4053" s="2"/>
      <c r="J4053" s="2"/>
    </row>
    <row r="4054" spans="1:10" x14ac:dyDescent="0.35">
      <c r="A4054" s="2" t="s">
        <v>1642</v>
      </c>
      <c r="B4054" s="2" t="s">
        <v>1975</v>
      </c>
      <c r="C4054" s="2" t="s">
        <v>54</v>
      </c>
      <c r="D4054" s="2" t="s">
        <v>2005</v>
      </c>
      <c r="E4054" s="2" t="s">
        <v>74</v>
      </c>
      <c r="F4054" s="2" t="s">
        <v>75</v>
      </c>
      <c r="G4054" s="2" t="s">
        <v>20</v>
      </c>
      <c r="H4054" s="2" t="s">
        <v>1998</v>
      </c>
      <c r="I4054" s="2"/>
      <c r="J4054" s="2"/>
    </row>
    <row r="4055" spans="1:10" x14ac:dyDescent="0.35">
      <c r="A4055" s="2" t="s">
        <v>1642</v>
      </c>
      <c r="B4055" s="2" t="s">
        <v>1975</v>
      </c>
      <c r="C4055" s="2" t="s">
        <v>54</v>
      </c>
      <c r="D4055" s="2" t="s">
        <v>2005</v>
      </c>
      <c r="E4055" s="2" t="s">
        <v>14</v>
      </c>
      <c r="F4055" s="2" t="s">
        <v>15</v>
      </c>
      <c r="G4055" s="2"/>
      <c r="H4055" s="2"/>
      <c r="I4055" s="2"/>
      <c r="J4055" s="2"/>
    </row>
    <row r="4056" spans="1:10" x14ac:dyDescent="0.35">
      <c r="A4056" s="2" t="s">
        <v>1642</v>
      </c>
      <c r="B4056" s="2" t="s">
        <v>1975</v>
      </c>
      <c r="C4056" s="2" t="s">
        <v>54</v>
      </c>
      <c r="D4056" s="2" t="s">
        <v>2005</v>
      </c>
      <c r="E4056" s="2" t="s">
        <v>377</v>
      </c>
      <c r="F4056" s="2" t="s">
        <v>270</v>
      </c>
      <c r="G4056" s="2"/>
      <c r="H4056" s="2"/>
      <c r="I4056" s="2"/>
      <c r="J4056" s="2"/>
    </row>
    <row r="4057" spans="1:10" x14ac:dyDescent="0.35">
      <c r="A4057" s="2" t="s">
        <v>1642</v>
      </c>
      <c r="B4057" s="2" t="s">
        <v>1975</v>
      </c>
      <c r="C4057" s="2" t="s">
        <v>54</v>
      </c>
      <c r="D4057" s="2" t="s">
        <v>2005</v>
      </c>
      <c r="E4057" s="2" t="s">
        <v>61</v>
      </c>
      <c r="F4057" s="2" t="s">
        <v>30</v>
      </c>
      <c r="G4057" s="2" t="s">
        <v>20</v>
      </c>
      <c r="H4057" s="2" t="s">
        <v>1998</v>
      </c>
      <c r="I4057" s="2"/>
      <c r="J4057" s="2"/>
    </row>
    <row r="4058" spans="1:10" x14ac:dyDescent="0.35">
      <c r="A4058" s="2" t="s">
        <v>1642</v>
      </c>
      <c r="B4058" s="2" t="s">
        <v>1975</v>
      </c>
      <c r="C4058" s="2" t="s">
        <v>24</v>
      </c>
      <c r="D4058" s="2" t="s">
        <v>2006</v>
      </c>
      <c r="E4058" s="2" t="s">
        <v>196</v>
      </c>
      <c r="F4058" s="2" t="s">
        <v>197</v>
      </c>
      <c r="G4058" s="2"/>
      <c r="H4058" s="2"/>
      <c r="I4058" s="2"/>
      <c r="J4058" s="2"/>
    </row>
    <row r="4059" spans="1:10" x14ac:dyDescent="0.35">
      <c r="A4059" s="2" t="s">
        <v>1642</v>
      </c>
      <c r="B4059" s="2" t="s">
        <v>1975</v>
      </c>
      <c r="C4059" s="2" t="s">
        <v>24</v>
      </c>
      <c r="D4059" s="2" t="s">
        <v>2006</v>
      </c>
      <c r="E4059" s="2" t="s">
        <v>31</v>
      </c>
      <c r="F4059" s="2" t="s">
        <v>1996</v>
      </c>
      <c r="G4059" s="2"/>
      <c r="H4059" s="2"/>
      <c r="I4059" s="2"/>
      <c r="J4059" s="2"/>
    </row>
    <row r="4060" spans="1:10" x14ac:dyDescent="0.35">
      <c r="A4060" s="2" t="s">
        <v>1642</v>
      </c>
      <c r="B4060" s="2" t="s">
        <v>1975</v>
      </c>
      <c r="C4060" s="2" t="s">
        <v>24</v>
      </c>
      <c r="D4060" s="2" t="s">
        <v>2006</v>
      </c>
      <c r="E4060" s="2" t="s">
        <v>96</v>
      </c>
      <c r="F4060" s="2" t="s">
        <v>83</v>
      </c>
      <c r="G4060" s="2"/>
      <c r="H4060" s="2"/>
      <c r="I4060" s="2"/>
      <c r="J4060" s="2"/>
    </row>
    <row r="4061" spans="1:10" s="21" customFormat="1" x14ac:dyDescent="0.35">
      <c r="A4061" s="2" t="s">
        <v>1642</v>
      </c>
      <c r="B4061" s="2" t="s">
        <v>1975</v>
      </c>
      <c r="C4061" s="2" t="s">
        <v>24</v>
      </c>
      <c r="D4061" s="2" t="s">
        <v>2006</v>
      </c>
      <c r="E4061" s="2" t="s">
        <v>98</v>
      </c>
      <c r="F4061" s="2" t="s">
        <v>98</v>
      </c>
      <c r="G4061" s="2"/>
      <c r="H4061" s="2"/>
      <c r="I4061" s="2"/>
      <c r="J4061" s="2"/>
    </row>
    <row r="4062" spans="1:10" x14ac:dyDescent="0.35">
      <c r="A4062" s="2" t="s">
        <v>1642</v>
      </c>
      <c r="B4062" s="2" t="s">
        <v>1975</v>
      </c>
      <c r="C4062" s="2" t="s">
        <v>24</v>
      </c>
      <c r="D4062" s="2" t="s">
        <v>2006</v>
      </c>
      <c r="E4062" s="2" t="s">
        <v>211</v>
      </c>
      <c r="F4062" s="2" t="s">
        <v>203</v>
      </c>
      <c r="G4062" s="2"/>
      <c r="H4062" s="2"/>
      <c r="I4062" s="2"/>
      <c r="J4062" s="2"/>
    </row>
    <row r="4063" spans="1:10" x14ac:dyDescent="0.35">
      <c r="A4063" s="2" t="s">
        <v>1642</v>
      </c>
      <c r="B4063" s="2" t="s">
        <v>1975</v>
      </c>
      <c r="C4063" s="2" t="s">
        <v>24</v>
      </c>
      <c r="D4063" s="2" t="s">
        <v>2006</v>
      </c>
      <c r="E4063" s="2" t="s">
        <v>1782</v>
      </c>
      <c r="F4063" s="2" t="s">
        <v>38</v>
      </c>
      <c r="G4063" s="2"/>
      <c r="H4063" s="2"/>
      <c r="I4063" s="2"/>
      <c r="J4063" s="2"/>
    </row>
    <row r="4064" spans="1:10" x14ac:dyDescent="0.35">
      <c r="A4064" s="2" t="s">
        <v>1642</v>
      </c>
      <c r="B4064" s="2" t="s">
        <v>1975</v>
      </c>
      <c r="C4064" s="2" t="s">
        <v>24</v>
      </c>
      <c r="D4064" s="2" t="s">
        <v>2006</v>
      </c>
      <c r="E4064" s="2" t="s">
        <v>1659</v>
      </c>
      <c r="F4064" s="2" t="s">
        <v>122</v>
      </c>
      <c r="G4064" s="2"/>
      <c r="H4064" s="2"/>
      <c r="I4064" s="2"/>
      <c r="J4064" s="2"/>
    </row>
    <row r="4065" spans="1:10" x14ac:dyDescent="0.35">
      <c r="A4065" s="2" t="s">
        <v>1642</v>
      </c>
      <c r="B4065" s="2" t="s">
        <v>1975</v>
      </c>
      <c r="C4065" s="2" t="s">
        <v>24</v>
      </c>
      <c r="D4065" s="2" t="s">
        <v>2006</v>
      </c>
      <c r="E4065" s="2" t="s">
        <v>1176</v>
      </c>
      <c r="F4065" s="2" t="s">
        <v>38</v>
      </c>
      <c r="G4065" s="2" t="s">
        <v>46</v>
      </c>
      <c r="H4065" s="2" t="s">
        <v>981</v>
      </c>
      <c r="I4065" s="2"/>
      <c r="J4065" s="2"/>
    </row>
    <row r="4066" spans="1:10" x14ac:dyDescent="0.35">
      <c r="A4066" s="2" t="s">
        <v>1642</v>
      </c>
      <c r="B4066" s="2" t="s">
        <v>1975</v>
      </c>
      <c r="C4066" s="2" t="s">
        <v>24</v>
      </c>
      <c r="D4066" s="2" t="s">
        <v>2006</v>
      </c>
      <c r="E4066" s="2" t="s">
        <v>18</v>
      </c>
      <c r="F4066" s="2" t="s">
        <v>19</v>
      </c>
      <c r="G4066" s="2" t="s">
        <v>20</v>
      </c>
      <c r="H4066" s="2" t="s">
        <v>1977</v>
      </c>
      <c r="I4066" s="2"/>
      <c r="J4066" s="2"/>
    </row>
    <row r="4067" spans="1:10" x14ac:dyDescent="0.35">
      <c r="A4067" s="2" t="s">
        <v>1642</v>
      </c>
      <c r="B4067" s="2" t="s">
        <v>1975</v>
      </c>
      <c r="C4067" s="2" t="s">
        <v>24</v>
      </c>
      <c r="D4067" s="2" t="s">
        <v>2006</v>
      </c>
      <c r="E4067" s="2" t="s">
        <v>628</v>
      </c>
      <c r="F4067" s="2" t="s">
        <v>50</v>
      </c>
      <c r="G4067" s="2" t="s">
        <v>46</v>
      </c>
      <c r="H4067" s="2" t="s">
        <v>981</v>
      </c>
      <c r="I4067" s="2"/>
      <c r="J4067" s="2"/>
    </row>
    <row r="4068" spans="1:10" x14ac:dyDescent="0.35">
      <c r="A4068" s="2" t="s">
        <v>1642</v>
      </c>
      <c r="B4068" s="2" t="s">
        <v>1975</v>
      </c>
      <c r="C4068" s="2" t="s">
        <v>24</v>
      </c>
      <c r="D4068" s="2" t="s">
        <v>2006</v>
      </c>
      <c r="E4068" s="2" t="s">
        <v>100</v>
      </c>
      <c r="F4068" s="2" t="s">
        <v>101</v>
      </c>
      <c r="G4068" s="2"/>
      <c r="H4068" s="2"/>
      <c r="I4068" s="2"/>
      <c r="J4068" s="2"/>
    </row>
    <row r="4069" spans="1:10" x14ac:dyDescent="0.35">
      <c r="A4069" s="2" t="s">
        <v>1642</v>
      </c>
      <c r="B4069" s="2" t="s">
        <v>1975</v>
      </c>
      <c r="C4069" s="2" t="s">
        <v>24</v>
      </c>
      <c r="D4069" s="2" t="s">
        <v>2006</v>
      </c>
      <c r="E4069" s="2" t="s">
        <v>1982</v>
      </c>
      <c r="F4069" s="2" t="s">
        <v>847</v>
      </c>
      <c r="G4069" s="2" t="s">
        <v>20</v>
      </c>
      <c r="H4069" s="2" t="s">
        <v>1983</v>
      </c>
      <c r="I4069" s="2"/>
      <c r="J4069" s="2"/>
    </row>
    <row r="4070" spans="1:10" x14ac:dyDescent="0.35">
      <c r="A4070" s="2" t="s">
        <v>1642</v>
      </c>
      <c r="B4070" s="2" t="s">
        <v>2007</v>
      </c>
      <c r="C4070" s="2" t="s">
        <v>57</v>
      </c>
      <c r="D4070" s="2" t="s">
        <v>2008</v>
      </c>
      <c r="E4070" s="2" t="s">
        <v>121</v>
      </c>
      <c r="F4070" s="2" t="s">
        <v>122</v>
      </c>
      <c r="G4070" s="2"/>
      <c r="H4070" s="2"/>
      <c r="I4070" s="2"/>
      <c r="J4070" s="2"/>
    </row>
    <row r="4071" spans="1:10" x14ac:dyDescent="0.35">
      <c r="A4071" s="2" t="s">
        <v>1642</v>
      </c>
      <c r="B4071" s="2" t="s">
        <v>2007</v>
      </c>
      <c r="C4071" s="2" t="s">
        <v>57</v>
      </c>
      <c r="D4071" s="2" t="s">
        <v>2008</v>
      </c>
      <c r="E4071" s="2" t="s">
        <v>91</v>
      </c>
      <c r="F4071" s="2" t="s">
        <v>19</v>
      </c>
      <c r="G4071" s="2" t="s">
        <v>20</v>
      </c>
      <c r="H4071" s="2" t="s">
        <v>2009</v>
      </c>
      <c r="I4071" s="2"/>
      <c r="J4071" s="2"/>
    </row>
    <row r="4072" spans="1:10" x14ac:dyDescent="0.35">
      <c r="A4072" s="2" t="s">
        <v>1642</v>
      </c>
      <c r="B4072" s="2" t="s">
        <v>2007</v>
      </c>
      <c r="C4072" s="2" t="s">
        <v>57</v>
      </c>
      <c r="D4072" s="2" t="s">
        <v>2008</v>
      </c>
      <c r="E4072" s="2" t="s">
        <v>61</v>
      </c>
      <c r="F4072" s="2" t="s">
        <v>30</v>
      </c>
      <c r="G4072" s="2"/>
      <c r="H4072" s="2"/>
      <c r="I4072" s="2"/>
      <c r="J4072" s="2"/>
    </row>
    <row r="4073" spans="1:10" x14ac:dyDescent="0.35">
      <c r="A4073" s="2" t="s">
        <v>1642</v>
      </c>
      <c r="B4073" s="2" t="s">
        <v>2007</v>
      </c>
      <c r="C4073" s="2" t="s">
        <v>24</v>
      </c>
      <c r="D4073" s="2" t="s">
        <v>2010</v>
      </c>
      <c r="E4073" s="2" t="s">
        <v>74</v>
      </c>
      <c r="F4073" s="2" t="s">
        <v>75</v>
      </c>
      <c r="G4073" s="2" t="s">
        <v>20</v>
      </c>
      <c r="H4073" s="2" t="s">
        <v>2011</v>
      </c>
      <c r="I4073" s="2"/>
      <c r="J4073" s="2"/>
    </row>
    <row r="4074" spans="1:10" x14ac:dyDescent="0.35">
      <c r="A4074" s="2" t="s">
        <v>1642</v>
      </c>
      <c r="B4074" s="2" t="s">
        <v>2007</v>
      </c>
      <c r="C4074" s="2" t="s">
        <v>24</v>
      </c>
      <c r="D4074" s="2" t="s">
        <v>2010</v>
      </c>
      <c r="E4074" s="2" t="s">
        <v>2012</v>
      </c>
      <c r="F4074" s="2" t="s">
        <v>36</v>
      </c>
      <c r="G4074" s="2"/>
      <c r="H4074" s="2"/>
      <c r="I4074" s="2"/>
      <c r="J4074" s="2"/>
    </row>
    <row r="4075" spans="1:10" x14ac:dyDescent="0.35">
      <c r="A4075" s="2" t="s">
        <v>1642</v>
      </c>
      <c r="B4075" s="2" t="s">
        <v>2007</v>
      </c>
      <c r="C4075" s="2" t="s">
        <v>24</v>
      </c>
      <c r="D4075" s="2" t="s">
        <v>2010</v>
      </c>
      <c r="E4075" s="2" t="s">
        <v>257</v>
      </c>
      <c r="F4075" s="2" t="s">
        <v>45</v>
      </c>
      <c r="G4075" s="2" t="s">
        <v>20</v>
      </c>
      <c r="H4075" s="2" t="s">
        <v>2013</v>
      </c>
      <c r="I4075" s="2"/>
      <c r="J4075" s="2"/>
    </row>
    <row r="4076" spans="1:10" x14ac:dyDescent="0.35">
      <c r="A4076" s="2" t="s">
        <v>1642</v>
      </c>
      <c r="B4076" s="2" t="s">
        <v>2007</v>
      </c>
      <c r="C4076" s="2" t="s">
        <v>24</v>
      </c>
      <c r="D4076" s="2" t="s">
        <v>2010</v>
      </c>
      <c r="E4076" s="2" t="s">
        <v>127</v>
      </c>
      <c r="F4076" s="2" t="s">
        <v>1650</v>
      </c>
      <c r="G4076" s="2"/>
      <c r="H4076" s="2"/>
      <c r="I4076" s="2"/>
      <c r="J4076" s="2"/>
    </row>
    <row r="4077" spans="1:10" x14ac:dyDescent="0.35">
      <c r="A4077" s="2" t="s">
        <v>1642</v>
      </c>
      <c r="B4077" s="2" t="s">
        <v>2007</v>
      </c>
      <c r="C4077" s="2" t="s">
        <v>54</v>
      </c>
      <c r="D4077" s="2" t="s">
        <v>2014</v>
      </c>
      <c r="E4077" s="2" t="s">
        <v>393</v>
      </c>
      <c r="F4077" s="2" t="s">
        <v>36</v>
      </c>
      <c r="G4077" s="2"/>
      <c r="H4077" s="2"/>
      <c r="I4077" s="2"/>
      <c r="J4077" s="2"/>
    </row>
    <row r="4078" spans="1:10" s="21" customFormat="1" x14ac:dyDescent="0.35">
      <c r="A4078" s="2" t="s">
        <v>1642</v>
      </c>
      <c r="B4078" s="2" t="s">
        <v>2015</v>
      </c>
      <c r="C4078" s="2" t="s">
        <v>24</v>
      </c>
      <c r="D4078" s="2" t="s">
        <v>2016</v>
      </c>
      <c r="E4078" s="2" t="s">
        <v>27</v>
      </c>
      <c r="F4078" s="2" t="s">
        <v>28</v>
      </c>
      <c r="G4078" s="2"/>
      <c r="H4078" s="2"/>
      <c r="I4078" s="2" t="s">
        <v>20</v>
      </c>
      <c r="J4078" s="2" t="s">
        <v>2017</v>
      </c>
    </row>
    <row r="4079" spans="1:10" s="21" customFormat="1" x14ac:dyDescent="0.35">
      <c r="A4079" s="2" t="s">
        <v>1642</v>
      </c>
      <c r="B4079" s="2" t="s">
        <v>2015</v>
      </c>
      <c r="C4079" s="2" t="s">
        <v>24</v>
      </c>
      <c r="D4079" s="2" t="s">
        <v>2016</v>
      </c>
      <c r="E4079" s="2" t="s">
        <v>138</v>
      </c>
      <c r="F4079" s="2" t="s">
        <v>139</v>
      </c>
      <c r="G4079" s="2" t="s">
        <v>20</v>
      </c>
      <c r="H4079" s="2" t="s">
        <v>2018</v>
      </c>
      <c r="I4079" s="2" t="s">
        <v>20</v>
      </c>
      <c r="J4079" s="2" t="s">
        <v>2017</v>
      </c>
    </row>
    <row r="4080" spans="1:10" s="21" customFormat="1" x14ac:dyDescent="0.35">
      <c r="A4080" s="2" t="s">
        <v>1642</v>
      </c>
      <c r="B4080" s="2" t="s">
        <v>2015</v>
      </c>
      <c r="C4080" s="2" t="s">
        <v>54</v>
      </c>
      <c r="D4080" s="2" t="s">
        <v>2019</v>
      </c>
      <c r="E4080" s="2" t="s">
        <v>2012</v>
      </c>
      <c r="F4080" s="2" t="s">
        <v>36</v>
      </c>
      <c r="G4080" s="2"/>
      <c r="H4080" s="2"/>
      <c r="I4080" s="2" t="s">
        <v>20</v>
      </c>
      <c r="J4080" s="2" t="s">
        <v>2017</v>
      </c>
    </row>
    <row r="4081" spans="1:10" s="21" customFormat="1" x14ac:dyDescent="0.35">
      <c r="A4081" s="2" t="s">
        <v>1642</v>
      </c>
      <c r="B4081" s="2" t="s">
        <v>2015</v>
      </c>
      <c r="C4081" s="2" t="s">
        <v>54</v>
      </c>
      <c r="D4081" s="2" t="s">
        <v>2019</v>
      </c>
      <c r="E4081" s="2" t="s">
        <v>18</v>
      </c>
      <c r="F4081" s="2" t="s">
        <v>19</v>
      </c>
      <c r="G4081" s="2" t="s">
        <v>20</v>
      </c>
      <c r="H4081" s="2" t="s">
        <v>2020</v>
      </c>
      <c r="I4081" s="2" t="s">
        <v>20</v>
      </c>
      <c r="J4081" s="2" t="s">
        <v>2017</v>
      </c>
    </row>
    <row r="4082" spans="1:10" s="22" customFormat="1" x14ac:dyDescent="0.35">
      <c r="A4082" s="3" t="s">
        <v>1642</v>
      </c>
      <c r="B4082" s="3" t="s">
        <v>2015</v>
      </c>
      <c r="C4082" s="3" t="s">
        <v>62</v>
      </c>
      <c r="D4082" s="3" t="s">
        <v>2021</v>
      </c>
      <c r="E4082" s="3" t="s">
        <v>91</v>
      </c>
      <c r="F4082" s="3" t="s">
        <v>19</v>
      </c>
      <c r="G4082" s="3" t="s">
        <v>20</v>
      </c>
      <c r="H4082" s="3" t="s">
        <v>2018</v>
      </c>
      <c r="I4082" s="3" t="s">
        <v>20</v>
      </c>
      <c r="J4082" s="3" t="s">
        <v>2017</v>
      </c>
    </row>
    <row r="4083" spans="1:10" s="22" customFormat="1" x14ac:dyDescent="0.35">
      <c r="A4083" s="3" t="s">
        <v>1642</v>
      </c>
      <c r="B4083" s="3" t="s">
        <v>2015</v>
      </c>
      <c r="C4083" s="3" t="s">
        <v>62</v>
      </c>
      <c r="D4083" s="3" t="s">
        <v>2021</v>
      </c>
      <c r="E4083" s="3" t="s">
        <v>127</v>
      </c>
      <c r="F4083" s="3" t="s">
        <v>1650</v>
      </c>
      <c r="G4083" s="3"/>
      <c r="H4083" s="3"/>
      <c r="I4083" s="3"/>
      <c r="J4083" s="3"/>
    </row>
    <row r="4084" spans="1:10" s="21" customFormat="1" x14ac:dyDescent="0.35">
      <c r="A4084" s="2" t="s">
        <v>1642</v>
      </c>
      <c r="B4084" s="2" t="s">
        <v>2015</v>
      </c>
      <c r="C4084" s="2" t="s">
        <v>57</v>
      </c>
      <c r="D4084" s="2" t="s">
        <v>2022</v>
      </c>
      <c r="E4084" s="2" t="s">
        <v>130</v>
      </c>
      <c r="F4084" s="2" t="s">
        <v>36</v>
      </c>
      <c r="G4084" s="2"/>
      <c r="H4084" s="2"/>
      <c r="I4084" s="2"/>
      <c r="J4084" s="2"/>
    </row>
    <row r="4085" spans="1:10" s="21" customFormat="1" x14ac:dyDescent="0.35">
      <c r="A4085" s="2" t="s">
        <v>1642</v>
      </c>
      <c r="B4085" s="2" t="s">
        <v>2015</v>
      </c>
      <c r="C4085" s="2" t="s">
        <v>57</v>
      </c>
      <c r="D4085" s="2" t="s">
        <v>2022</v>
      </c>
      <c r="E4085" s="2" t="s">
        <v>14</v>
      </c>
      <c r="F4085" s="2" t="s">
        <v>15</v>
      </c>
      <c r="G4085" s="2"/>
      <c r="H4085" s="2"/>
      <c r="I4085" s="2"/>
      <c r="J4085" s="2"/>
    </row>
    <row r="4086" spans="1:10" s="21" customFormat="1" x14ac:dyDescent="0.35">
      <c r="A4086" s="2" t="s">
        <v>1642</v>
      </c>
      <c r="B4086" s="2" t="s">
        <v>2015</v>
      </c>
      <c r="C4086" s="2" t="s">
        <v>57</v>
      </c>
      <c r="D4086" s="2" t="s">
        <v>2022</v>
      </c>
      <c r="E4086" s="2" t="s">
        <v>59</v>
      </c>
      <c r="F4086" s="2" t="s">
        <v>60</v>
      </c>
      <c r="G4086" s="2"/>
      <c r="H4086" s="2"/>
      <c r="I4086" s="2"/>
      <c r="J4086" s="2"/>
    </row>
    <row r="4087" spans="1:10" s="21" customFormat="1" x14ac:dyDescent="0.35">
      <c r="A4087" s="2" t="s">
        <v>1642</v>
      </c>
      <c r="B4087" s="2" t="s">
        <v>2015</v>
      </c>
      <c r="C4087" s="2" t="s">
        <v>57</v>
      </c>
      <c r="D4087" s="2" t="s">
        <v>2022</v>
      </c>
      <c r="E4087" s="2" t="s">
        <v>121</v>
      </c>
      <c r="F4087" s="2" t="s">
        <v>122</v>
      </c>
      <c r="G4087" s="2" t="s">
        <v>20</v>
      </c>
      <c r="H4087" s="2" t="s">
        <v>2023</v>
      </c>
      <c r="I4087" s="2"/>
      <c r="J4087" s="2"/>
    </row>
    <row r="4088" spans="1:10" s="21" customFormat="1" x14ac:dyDescent="0.35">
      <c r="A4088" s="2" t="s">
        <v>1642</v>
      </c>
      <c r="B4088" s="2" t="s">
        <v>2015</v>
      </c>
      <c r="C4088" s="2" t="s">
        <v>57</v>
      </c>
      <c r="D4088" s="2" t="s">
        <v>2022</v>
      </c>
      <c r="E4088" s="2" t="s">
        <v>1696</v>
      </c>
      <c r="F4088" s="2" t="s">
        <v>75</v>
      </c>
      <c r="G4088" s="2" t="s">
        <v>20</v>
      </c>
      <c r="H4088" s="2" t="s">
        <v>2018</v>
      </c>
      <c r="I4088" s="2" t="s">
        <v>20</v>
      </c>
      <c r="J4088" s="2" t="s">
        <v>2017</v>
      </c>
    </row>
    <row r="4089" spans="1:10" s="21" customFormat="1" x14ac:dyDescent="0.35">
      <c r="A4089" s="2" t="s">
        <v>1642</v>
      </c>
      <c r="B4089" s="2" t="s">
        <v>2015</v>
      </c>
      <c r="C4089" s="2" t="s">
        <v>57</v>
      </c>
      <c r="D4089" s="2" t="s">
        <v>2022</v>
      </c>
      <c r="E4089" s="2" t="s">
        <v>628</v>
      </c>
      <c r="F4089" s="2" t="s">
        <v>50</v>
      </c>
      <c r="G4089" s="2" t="s">
        <v>20</v>
      </c>
      <c r="H4089" s="2" t="s">
        <v>2024</v>
      </c>
      <c r="I4089" s="2"/>
      <c r="J4089" s="2"/>
    </row>
    <row r="4090" spans="1:10" s="21" customFormat="1" x14ac:dyDescent="0.35">
      <c r="A4090" s="2" t="s">
        <v>1642</v>
      </c>
      <c r="B4090" s="2" t="s">
        <v>2015</v>
      </c>
      <c r="C4090" s="2" t="s">
        <v>57</v>
      </c>
      <c r="D4090" s="2" t="s">
        <v>2022</v>
      </c>
      <c r="E4090" s="2" t="s">
        <v>127</v>
      </c>
      <c r="F4090" s="2" t="s">
        <v>1650</v>
      </c>
      <c r="G4090" s="2"/>
      <c r="H4090" s="2"/>
      <c r="I4090" s="2" t="s">
        <v>20</v>
      </c>
      <c r="J4090" s="2" t="s">
        <v>2017</v>
      </c>
    </row>
    <row r="4091" spans="1:10" s="21" customFormat="1" x14ac:dyDescent="0.35">
      <c r="A4091" s="2" t="s">
        <v>1642</v>
      </c>
      <c r="B4091" s="2" t="s">
        <v>2015</v>
      </c>
      <c r="C4091" s="2" t="s">
        <v>57</v>
      </c>
      <c r="D4091" s="2" t="s">
        <v>2022</v>
      </c>
      <c r="E4091" s="2" t="s">
        <v>112</v>
      </c>
      <c r="F4091" s="2" t="s">
        <v>2025</v>
      </c>
      <c r="G4091" s="2"/>
      <c r="H4091" s="2"/>
      <c r="I4091" s="2"/>
      <c r="J4091" s="2"/>
    </row>
    <row r="4092" spans="1:10" s="21" customFormat="1" x14ac:dyDescent="0.35">
      <c r="A4092" s="2" t="s">
        <v>1642</v>
      </c>
      <c r="B4092" s="2" t="s">
        <v>2026</v>
      </c>
      <c r="C4092" s="2" t="s">
        <v>54</v>
      </c>
      <c r="D4092" s="2" t="s">
        <v>2027</v>
      </c>
      <c r="E4092" s="2" t="s">
        <v>27</v>
      </c>
      <c r="F4092" s="2" t="s">
        <v>28</v>
      </c>
      <c r="G4092" s="2"/>
      <c r="H4092" s="2"/>
      <c r="I4092" s="2"/>
      <c r="J4092" s="2"/>
    </row>
    <row r="4093" spans="1:10" s="21" customFormat="1" x14ac:dyDescent="0.35">
      <c r="A4093" s="2" t="s">
        <v>1642</v>
      </c>
      <c r="B4093" s="2" t="s">
        <v>2026</v>
      </c>
      <c r="C4093" s="2" t="s">
        <v>54</v>
      </c>
      <c r="D4093" s="2" t="s">
        <v>2027</v>
      </c>
      <c r="E4093" s="2" t="s">
        <v>815</v>
      </c>
      <c r="F4093" s="2" t="s">
        <v>122</v>
      </c>
      <c r="G4093" s="2"/>
      <c r="H4093" s="2"/>
      <c r="I4093" s="2"/>
      <c r="J4093" s="2"/>
    </row>
    <row r="4094" spans="1:10" s="21" customFormat="1" x14ac:dyDescent="0.35">
      <c r="A4094" s="2" t="s">
        <v>1642</v>
      </c>
      <c r="B4094" s="2" t="s">
        <v>2026</v>
      </c>
      <c r="C4094" s="2" t="s">
        <v>54</v>
      </c>
      <c r="D4094" s="2" t="s">
        <v>2027</v>
      </c>
      <c r="E4094" s="2" t="s">
        <v>61</v>
      </c>
      <c r="F4094" s="2" t="s">
        <v>30</v>
      </c>
      <c r="G4094" s="2"/>
      <c r="H4094" s="2"/>
      <c r="I4094" s="2"/>
      <c r="J4094" s="2"/>
    </row>
    <row r="4095" spans="1:10" x14ac:dyDescent="0.35">
      <c r="A4095" s="2" t="s">
        <v>1642</v>
      </c>
      <c r="B4095" s="2" t="s">
        <v>2026</v>
      </c>
      <c r="C4095" s="2" t="s">
        <v>24</v>
      </c>
      <c r="D4095" s="2" t="s">
        <v>2028</v>
      </c>
      <c r="E4095" s="2" t="s">
        <v>14</v>
      </c>
      <c r="F4095" s="2" t="s">
        <v>15</v>
      </c>
      <c r="G4095" s="2"/>
      <c r="H4095" s="2"/>
      <c r="I4095" s="2"/>
      <c r="J4095" s="2"/>
    </row>
    <row r="4096" spans="1:10" x14ac:dyDescent="0.35">
      <c r="A4096" s="2" t="s">
        <v>1642</v>
      </c>
      <c r="B4096" s="2" t="s">
        <v>2026</v>
      </c>
      <c r="C4096" s="2" t="s">
        <v>24</v>
      </c>
      <c r="D4096" s="2" t="s">
        <v>2028</v>
      </c>
      <c r="E4096" s="2" t="s">
        <v>27</v>
      </c>
      <c r="F4096" s="2" t="s">
        <v>28</v>
      </c>
      <c r="G4096" s="2"/>
      <c r="H4096" s="2"/>
      <c r="I4096" s="2"/>
      <c r="J4096" s="2"/>
    </row>
    <row r="4097" spans="1:10" x14ac:dyDescent="0.35">
      <c r="A4097" s="2" t="s">
        <v>1642</v>
      </c>
      <c r="B4097" s="2" t="s">
        <v>2026</v>
      </c>
      <c r="C4097" s="2" t="s">
        <v>24</v>
      </c>
      <c r="D4097" s="2" t="s">
        <v>2028</v>
      </c>
      <c r="E4097" s="2" t="s">
        <v>121</v>
      </c>
      <c r="F4097" s="2" t="s">
        <v>122</v>
      </c>
      <c r="G4097" s="2"/>
      <c r="H4097" s="2"/>
      <c r="I4097" s="2"/>
      <c r="J4097" s="2"/>
    </row>
    <row r="4098" spans="1:10" x14ac:dyDescent="0.35">
      <c r="A4098" s="2" t="s">
        <v>1642</v>
      </c>
      <c r="B4098" s="2" t="s">
        <v>2026</v>
      </c>
      <c r="C4098" s="2" t="s">
        <v>24</v>
      </c>
      <c r="D4098" s="2" t="s">
        <v>2028</v>
      </c>
      <c r="E4098" s="2" t="s">
        <v>61</v>
      </c>
      <c r="F4098" s="2" t="s">
        <v>30</v>
      </c>
      <c r="G4098" s="2"/>
      <c r="H4098" s="2"/>
      <c r="I4098" s="2"/>
      <c r="J4098" s="2"/>
    </row>
    <row r="4099" spans="1:10" x14ac:dyDescent="0.35">
      <c r="A4099" s="2" t="s">
        <v>1642</v>
      </c>
      <c r="B4099" s="2" t="s">
        <v>2026</v>
      </c>
      <c r="C4099" s="2" t="s">
        <v>24</v>
      </c>
      <c r="D4099" s="2" t="s">
        <v>2028</v>
      </c>
      <c r="E4099" s="2" t="s">
        <v>127</v>
      </c>
      <c r="F4099" s="2" t="s">
        <v>1650</v>
      </c>
      <c r="G4099" s="2"/>
      <c r="H4099" s="2"/>
      <c r="I4099" s="2"/>
      <c r="J4099" s="2"/>
    </row>
    <row r="4100" spans="1:10" x14ac:dyDescent="0.35">
      <c r="A4100" s="2" t="s">
        <v>1642</v>
      </c>
      <c r="B4100" s="2" t="s">
        <v>2026</v>
      </c>
      <c r="C4100" s="2" t="s">
        <v>57</v>
      </c>
      <c r="D4100" s="2" t="s">
        <v>2029</v>
      </c>
      <c r="E4100" s="2" t="s">
        <v>14</v>
      </c>
      <c r="F4100" s="2" t="s">
        <v>15</v>
      </c>
      <c r="G4100" s="2"/>
      <c r="H4100" s="2"/>
      <c r="I4100" s="2"/>
      <c r="J4100" s="2"/>
    </row>
    <row r="4101" spans="1:10" x14ac:dyDescent="0.35">
      <c r="A4101" s="2" t="s">
        <v>1642</v>
      </c>
      <c r="B4101" s="2" t="s">
        <v>2026</v>
      </c>
      <c r="C4101" s="2" t="s">
        <v>57</v>
      </c>
      <c r="D4101" s="2" t="s">
        <v>2029</v>
      </c>
      <c r="E4101" s="2" t="s">
        <v>27</v>
      </c>
      <c r="F4101" s="2" t="s">
        <v>28</v>
      </c>
      <c r="G4101" s="2" t="s">
        <v>20</v>
      </c>
      <c r="H4101" s="2" t="s">
        <v>2030</v>
      </c>
      <c r="I4101" s="2"/>
      <c r="J4101" s="2"/>
    </row>
    <row r="4102" spans="1:10" x14ac:dyDescent="0.35">
      <c r="A4102" s="2" t="s">
        <v>1642</v>
      </c>
      <c r="B4102" s="2" t="s">
        <v>2026</v>
      </c>
      <c r="C4102" s="2" t="s">
        <v>57</v>
      </c>
      <c r="D4102" s="2" t="s">
        <v>2029</v>
      </c>
      <c r="E4102" s="2" t="s">
        <v>121</v>
      </c>
      <c r="F4102" s="2" t="s">
        <v>122</v>
      </c>
      <c r="G4102" s="2" t="s">
        <v>20</v>
      </c>
      <c r="H4102" s="2" t="s">
        <v>2031</v>
      </c>
      <c r="I4102" s="2"/>
      <c r="J4102" s="2"/>
    </row>
    <row r="4103" spans="1:10" x14ac:dyDescent="0.35">
      <c r="A4103" s="2" t="s">
        <v>1642</v>
      </c>
      <c r="B4103" s="2" t="s">
        <v>2026</v>
      </c>
      <c r="C4103" s="2" t="s">
        <v>57</v>
      </c>
      <c r="D4103" s="2" t="s">
        <v>2029</v>
      </c>
      <c r="E4103" s="2" t="s">
        <v>393</v>
      </c>
      <c r="F4103" s="2" t="s">
        <v>36</v>
      </c>
      <c r="G4103" s="2" t="s">
        <v>20</v>
      </c>
      <c r="H4103" s="2" t="s">
        <v>2032</v>
      </c>
      <c r="I4103" s="2"/>
      <c r="J4103" s="2"/>
    </row>
    <row r="4104" spans="1:10" x14ac:dyDescent="0.35">
      <c r="A4104" s="2" t="s">
        <v>1642</v>
      </c>
      <c r="B4104" s="2" t="s">
        <v>2026</v>
      </c>
      <c r="C4104" s="2" t="s">
        <v>57</v>
      </c>
      <c r="D4104" s="2" t="s">
        <v>2029</v>
      </c>
      <c r="E4104" s="2" t="s">
        <v>18</v>
      </c>
      <c r="F4104" s="2" t="s">
        <v>1679</v>
      </c>
      <c r="G4104" s="2" t="s">
        <v>20</v>
      </c>
      <c r="H4104" s="2" t="s">
        <v>2033</v>
      </c>
      <c r="I4104" s="2"/>
      <c r="J4104" s="2"/>
    </row>
    <row r="4105" spans="1:10" x14ac:dyDescent="0.35">
      <c r="A4105" s="2" t="s">
        <v>1642</v>
      </c>
      <c r="B4105" s="2" t="s">
        <v>2026</v>
      </c>
      <c r="C4105" s="2" t="s">
        <v>57</v>
      </c>
      <c r="D4105" s="2" t="s">
        <v>2029</v>
      </c>
      <c r="E4105" s="2" t="s">
        <v>89</v>
      </c>
      <c r="F4105" s="2" t="s">
        <v>45</v>
      </c>
      <c r="G4105" s="2" t="s">
        <v>20</v>
      </c>
      <c r="H4105" s="2" t="s">
        <v>2034</v>
      </c>
      <c r="I4105" s="2"/>
      <c r="J4105" s="2"/>
    </row>
    <row r="4106" spans="1:10" x14ac:dyDescent="0.35">
      <c r="A4106" s="2" t="s">
        <v>1642</v>
      </c>
      <c r="B4106" s="2" t="s">
        <v>2026</v>
      </c>
      <c r="C4106" s="2" t="s">
        <v>57</v>
      </c>
      <c r="D4106" s="2" t="s">
        <v>2029</v>
      </c>
      <c r="E4106" s="2" t="s">
        <v>149</v>
      </c>
      <c r="F4106" s="2" t="s">
        <v>150</v>
      </c>
      <c r="G4106" s="2" t="s">
        <v>20</v>
      </c>
      <c r="H4106" s="2" t="s">
        <v>2035</v>
      </c>
      <c r="I4106" s="2"/>
      <c r="J4106" s="2"/>
    </row>
    <row r="4107" spans="1:10" x14ac:dyDescent="0.35">
      <c r="A4107" s="2" t="s">
        <v>1642</v>
      </c>
      <c r="B4107" s="2" t="s">
        <v>2026</v>
      </c>
      <c r="C4107" s="2" t="s">
        <v>57</v>
      </c>
      <c r="D4107" s="2" t="s">
        <v>2029</v>
      </c>
      <c r="E4107" s="2" t="s">
        <v>44</v>
      </c>
      <c r="F4107" s="2" t="s">
        <v>45</v>
      </c>
      <c r="G4107" s="2" t="s">
        <v>46</v>
      </c>
      <c r="H4107" s="2" t="s">
        <v>2036</v>
      </c>
      <c r="I4107" s="2"/>
      <c r="J4107" s="2"/>
    </row>
    <row r="4108" spans="1:10" x14ac:dyDescent="0.35">
      <c r="A4108" s="2" t="s">
        <v>1642</v>
      </c>
      <c r="B4108" s="2" t="s">
        <v>2037</v>
      </c>
      <c r="C4108" s="2" t="s">
        <v>24</v>
      </c>
      <c r="D4108" s="2" t="s">
        <v>2038</v>
      </c>
      <c r="E4108" s="2" t="s">
        <v>74</v>
      </c>
      <c r="F4108" s="2" t="s">
        <v>75</v>
      </c>
      <c r="G4108" s="2" t="s">
        <v>20</v>
      </c>
      <c r="H4108" s="2" t="s">
        <v>1977</v>
      </c>
      <c r="I4108" s="2"/>
      <c r="J4108" s="2"/>
    </row>
    <row r="4109" spans="1:10" x14ac:dyDescent="0.35">
      <c r="A4109" s="2" t="s">
        <v>1642</v>
      </c>
      <c r="B4109" s="2" t="s">
        <v>2037</v>
      </c>
      <c r="C4109" s="2" t="s">
        <v>24</v>
      </c>
      <c r="D4109" s="2" t="s">
        <v>2038</v>
      </c>
      <c r="E4109" s="2" t="s">
        <v>91</v>
      </c>
      <c r="F4109" s="2" t="s">
        <v>19</v>
      </c>
      <c r="G4109" s="2" t="s">
        <v>20</v>
      </c>
      <c r="H4109" s="2" t="s">
        <v>1977</v>
      </c>
      <c r="I4109" s="2"/>
      <c r="J4109" s="2"/>
    </row>
    <row r="4110" spans="1:10" x14ac:dyDescent="0.35">
      <c r="A4110" s="2" t="s">
        <v>1642</v>
      </c>
      <c r="B4110" s="2" t="s">
        <v>2037</v>
      </c>
      <c r="C4110" s="2" t="s">
        <v>12</v>
      </c>
      <c r="D4110" s="2" t="s">
        <v>2039</v>
      </c>
      <c r="E4110" s="2" t="s">
        <v>74</v>
      </c>
      <c r="F4110" s="2" t="s">
        <v>75</v>
      </c>
      <c r="G4110" s="2" t="s">
        <v>20</v>
      </c>
      <c r="H4110" s="2" t="s">
        <v>1977</v>
      </c>
      <c r="I4110" s="2"/>
      <c r="J4110" s="2"/>
    </row>
    <row r="4111" spans="1:10" x14ac:dyDescent="0.35">
      <c r="A4111" s="2" t="s">
        <v>1642</v>
      </c>
      <c r="B4111" s="2" t="s">
        <v>2037</v>
      </c>
      <c r="C4111" s="2" t="s">
        <v>12</v>
      </c>
      <c r="D4111" s="2" t="s">
        <v>2039</v>
      </c>
      <c r="E4111" s="2" t="s">
        <v>972</v>
      </c>
      <c r="F4111" s="2" t="s">
        <v>32</v>
      </c>
      <c r="G4111" s="2"/>
      <c r="H4111" s="2"/>
      <c r="I4111" s="2"/>
      <c r="J4111" s="2"/>
    </row>
    <row r="4112" spans="1:10" x14ac:dyDescent="0.35">
      <c r="A4112" s="2" t="s">
        <v>1642</v>
      </c>
      <c r="B4112" s="2" t="s">
        <v>2037</v>
      </c>
      <c r="C4112" s="2" t="s">
        <v>12</v>
      </c>
      <c r="D4112" s="2" t="s">
        <v>2039</v>
      </c>
      <c r="E4112" s="2" t="s">
        <v>393</v>
      </c>
      <c r="F4112" s="2" t="s">
        <v>36</v>
      </c>
      <c r="G4112" s="2"/>
      <c r="H4112" s="2"/>
      <c r="I4112" s="2"/>
      <c r="J4112" s="2"/>
    </row>
    <row r="4113" spans="1:10" x14ac:dyDescent="0.35">
      <c r="A4113" s="2" t="s">
        <v>1642</v>
      </c>
      <c r="B4113" s="2" t="s">
        <v>2037</v>
      </c>
      <c r="C4113" s="2" t="s">
        <v>12</v>
      </c>
      <c r="D4113" s="2" t="s">
        <v>2039</v>
      </c>
      <c r="E4113" s="2" t="s">
        <v>91</v>
      </c>
      <c r="F4113" s="2" t="s">
        <v>19</v>
      </c>
      <c r="G4113" s="2" t="s">
        <v>20</v>
      </c>
      <c r="H4113" s="2" t="s">
        <v>1977</v>
      </c>
      <c r="I4113" s="2"/>
      <c r="J4113" s="2"/>
    </row>
    <row r="4114" spans="1:10" x14ac:dyDescent="0.35">
      <c r="A4114" s="2" t="s">
        <v>1642</v>
      </c>
      <c r="B4114" s="2" t="s">
        <v>2037</v>
      </c>
      <c r="C4114" s="2" t="s">
        <v>54</v>
      </c>
      <c r="D4114" s="2" t="s">
        <v>2040</v>
      </c>
      <c r="E4114" s="2" t="s">
        <v>27</v>
      </c>
      <c r="F4114" s="2" t="s">
        <v>28</v>
      </c>
      <c r="G4114" s="2" t="s">
        <v>20</v>
      </c>
      <c r="H4114" s="2" t="s">
        <v>2041</v>
      </c>
      <c r="I4114" s="2"/>
      <c r="J4114" s="2"/>
    </row>
    <row r="4115" spans="1:10" x14ac:dyDescent="0.35">
      <c r="A4115" s="2" t="s">
        <v>1642</v>
      </c>
      <c r="B4115" s="2" t="s">
        <v>2037</v>
      </c>
      <c r="C4115" s="2" t="s">
        <v>54</v>
      </c>
      <c r="D4115" s="2" t="s">
        <v>2040</v>
      </c>
      <c r="E4115" s="2" t="s">
        <v>61</v>
      </c>
      <c r="F4115" s="2" t="s">
        <v>30</v>
      </c>
      <c r="G4115" s="2"/>
      <c r="H4115" s="2"/>
      <c r="I4115" s="2"/>
      <c r="J4115" s="2"/>
    </row>
    <row r="4116" spans="1:10" x14ac:dyDescent="0.35">
      <c r="A4116" s="2" t="s">
        <v>1642</v>
      </c>
      <c r="B4116" s="2" t="s">
        <v>2037</v>
      </c>
      <c r="C4116" s="2" t="s">
        <v>54</v>
      </c>
      <c r="D4116" s="2" t="s">
        <v>2040</v>
      </c>
      <c r="E4116" s="2" t="s">
        <v>1380</v>
      </c>
      <c r="F4116" s="2" t="s">
        <v>83</v>
      </c>
      <c r="G4116" s="2"/>
      <c r="H4116" s="2"/>
      <c r="I4116" s="2"/>
      <c r="J4116" s="2"/>
    </row>
    <row r="4117" spans="1:10" x14ac:dyDescent="0.35">
      <c r="A4117" s="2" t="s">
        <v>1642</v>
      </c>
      <c r="B4117" s="2" t="s">
        <v>2037</v>
      </c>
      <c r="C4117" s="2" t="s">
        <v>54</v>
      </c>
      <c r="D4117" s="2" t="s">
        <v>2042</v>
      </c>
      <c r="E4117" s="2" t="s">
        <v>74</v>
      </c>
      <c r="F4117" s="2" t="s">
        <v>75</v>
      </c>
      <c r="G4117" s="2" t="s">
        <v>20</v>
      </c>
      <c r="H4117" s="2" t="s">
        <v>1903</v>
      </c>
      <c r="I4117" s="2"/>
      <c r="J4117" s="2"/>
    </row>
    <row r="4118" spans="1:10" x14ac:dyDescent="0.35">
      <c r="A4118" s="2" t="s">
        <v>1642</v>
      </c>
      <c r="B4118" s="2" t="s">
        <v>2037</v>
      </c>
      <c r="C4118" s="2" t="s">
        <v>54</v>
      </c>
      <c r="D4118" s="2" t="s">
        <v>2042</v>
      </c>
      <c r="E4118" s="2" t="s">
        <v>14</v>
      </c>
      <c r="F4118" s="2" t="s">
        <v>15</v>
      </c>
      <c r="G4118" s="2" t="s">
        <v>20</v>
      </c>
      <c r="H4118" s="2" t="s">
        <v>1903</v>
      </c>
      <c r="I4118" s="2"/>
      <c r="J4118" s="2"/>
    </row>
    <row r="4119" spans="1:10" x14ac:dyDescent="0.35">
      <c r="A4119" s="2" t="s">
        <v>1642</v>
      </c>
      <c r="B4119" s="2" t="s">
        <v>2037</v>
      </c>
      <c r="C4119" s="2" t="s">
        <v>54</v>
      </c>
      <c r="D4119" s="2" t="s">
        <v>2042</v>
      </c>
      <c r="E4119" s="2" t="s">
        <v>91</v>
      </c>
      <c r="F4119" s="2" t="s">
        <v>19</v>
      </c>
      <c r="G4119" s="2" t="s">
        <v>20</v>
      </c>
      <c r="H4119" s="2" t="s">
        <v>1903</v>
      </c>
      <c r="I4119" s="2"/>
      <c r="J4119" s="2"/>
    </row>
    <row r="4120" spans="1:10" x14ac:dyDescent="0.35">
      <c r="A4120" s="2" t="s">
        <v>1642</v>
      </c>
      <c r="B4120" s="2" t="s">
        <v>2037</v>
      </c>
      <c r="C4120" s="2" t="s">
        <v>24</v>
      </c>
      <c r="D4120" s="2" t="s">
        <v>2043</v>
      </c>
      <c r="E4120" s="2" t="s">
        <v>74</v>
      </c>
      <c r="F4120" s="2" t="s">
        <v>75</v>
      </c>
      <c r="G4120" s="2"/>
      <c r="H4120" s="2"/>
      <c r="I4120" s="2"/>
      <c r="J4120" s="2"/>
    </row>
    <row r="4121" spans="1:10" x14ac:dyDescent="0.35">
      <c r="A4121" s="2" t="s">
        <v>1642</v>
      </c>
      <c r="B4121" s="2" t="s">
        <v>2037</v>
      </c>
      <c r="C4121" s="2" t="s">
        <v>57</v>
      </c>
      <c r="D4121" s="2" t="s">
        <v>2044</v>
      </c>
      <c r="E4121" s="2" t="s">
        <v>27</v>
      </c>
      <c r="F4121" s="2" t="s">
        <v>28</v>
      </c>
      <c r="G4121" s="2" t="s">
        <v>20</v>
      </c>
      <c r="H4121" s="2" t="s">
        <v>2045</v>
      </c>
      <c r="I4121" s="2"/>
      <c r="J4121" s="2"/>
    </row>
    <row r="4122" spans="1:10" x14ac:dyDescent="0.35">
      <c r="A4122" s="2" t="s">
        <v>1642</v>
      </c>
      <c r="B4122" s="2" t="s">
        <v>2037</v>
      </c>
      <c r="C4122" s="2" t="s">
        <v>57</v>
      </c>
      <c r="D4122" s="2" t="s">
        <v>2044</v>
      </c>
      <c r="E4122" s="2" t="s">
        <v>393</v>
      </c>
      <c r="F4122" s="2" t="s">
        <v>1653</v>
      </c>
      <c r="G4122" s="2"/>
      <c r="H4122" s="2"/>
      <c r="I4122" s="2"/>
      <c r="J4122" s="2"/>
    </row>
    <row r="4123" spans="1:10" x14ac:dyDescent="0.35">
      <c r="A4123" s="2" t="s">
        <v>1642</v>
      </c>
      <c r="B4123" s="2" t="s">
        <v>2037</v>
      </c>
      <c r="C4123" s="2" t="s">
        <v>57</v>
      </c>
      <c r="D4123" s="2" t="s">
        <v>2044</v>
      </c>
      <c r="E4123" s="2" t="s">
        <v>2046</v>
      </c>
      <c r="F4123" s="2" t="s">
        <v>45</v>
      </c>
      <c r="G4123" s="2"/>
      <c r="H4123" s="2"/>
      <c r="I4123" s="2"/>
      <c r="J4123" s="2"/>
    </row>
    <row r="4124" spans="1:10" x14ac:dyDescent="0.35">
      <c r="A4124" s="2" t="s">
        <v>1642</v>
      </c>
      <c r="B4124" s="2" t="s">
        <v>2037</v>
      </c>
      <c r="C4124" s="2" t="s">
        <v>57</v>
      </c>
      <c r="D4124" s="2" t="s">
        <v>2044</v>
      </c>
      <c r="E4124" s="2" t="s">
        <v>18</v>
      </c>
      <c r="F4124" s="2" t="s">
        <v>19</v>
      </c>
      <c r="G4124" s="2" t="s">
        <v>20</v>
      </c>
      <c r="H4124" s="2" t="s">
        <v>1977</v>
      </c>
      <c r="I4124" s="2"/>
      <c r="J4124" s="2"/>
    </row>
    <row r="4125" spans="1:10" x14ac:dyDescent="0.35">
      <c r="A4125" s="2" t="s">
        <v>1642</v>
      </c>
      <c r="B4125" s="2" t="s">
        <v>2037</v>
      </c>
      <c r="C4125" s="2" t="s">
        <v>54</v>
      </c>
      <c r="D4125" s="2" t="s">
        <v>2047</v>
      </c>
      <c r="E4125" s="2" t="s">
        <v>27</v>
      </c>
      <c r="F4125" s="2" t="s">
        <v>28</v>
      </c>
      <c r="G4125" s="2"/>
      <c r="H4125" s="2"/>
      <c r="I4125" s="2"/>
      <c r="J4125" s="2"/>
    </row>
    <row r="4126" spans="1:10" x14ac:dyDescent="0.35">
      <c r="A4126" s="2" t="s">
        <v>1642</v>
      </c>
      <c r="B4126" s="2" t="s">
        <v>2037</v>
      </c>
      <c r="C4126" s="2" t="s">
        <v>54</v>
      </c>
      <c r="D4126" s="2" t="s">
        <v>2047</v>
      </c>
      <c r="E4126" s="2" t="s">
        <v>1522</v>
      </c>
      <c r="F4126" s="2" t="s">
        <v>28</v>
      </c>
      <c r="G4126" s="2"/>
      <c r="H4126" s="2"/>
      <c r="I4126" s="2"/>
      <c r="J4126" s="2"/>
    </row>
    <row r="4127" spans="1:10" s="21" customFormat="1" x14ac:dyDescent="0.35">
      <c r="A4127" s="2" t="s">
        <v>1642</v>
      </c>
      <c r="B4127" s="2" t="s">
        <v>2037</v>
      </c>
      <c r="C4127" s="2" t="s">
        <v>54</v>
      </c>
      <c r="D4127" s="2" t="s">
        <v>2047</v>
      </c>
      <c r="E4127" s="2" t="s">
        <v>98</v>
      </c>
      <c r="F4127" s="2" t="s">
        <v>98</v>
      </c>
      <c r="G4127" s="2"/>
      <c r="H4127" s="2"/>
      <c r="I4127" s="2"/>
      <c r="J4127" s="2"/>
    </row>
    <row r="4128" spans="1:10" x14ac:dyDescent="0.35">
      <c r="A4128" s="2" t="s">
        <v>1642</v>
      </c>
      <c r="B4128" s="2" t="s">
        <v>2037</v>
      </c>
      <c r="C4128" s="2" t="s">
        <v>54</v>
      </c>
      <c r="D4128" s="2" t="s">
        <v>2047</v>
      </c>
      <c r="E4128" s="2" t="s">
        <v>957</v>
      </c>
      <c r="F4128" s="2" t="s">
        <v>958</v>
      </c>
      <c r="G4128" s="2"/>
      <c r="H4128" s="2"/>
      <c r="I4128" s="2"/>
      <c r="J4128" s="2"/>
    </row>
    <row r="4129" spans="1:10" x14ac:dyDescent="0.35">
      <c r="A4129" s="2" t="s">
        <v>1642</v>
      </c>
      <c r="B4129" s="2" t="s">
        <v>2037</v>
      </c>
      <c r="C4129" s="2" t="s">
        <v>54</v>
      </c>
      <c r="D4129" s="2" t="s">
        <v>2047</v>
      </c>
      <c r="E4129" s="2" t="s">
        <v>91</v>
      </c>
      <c r="F4129" s="2" t="s">
        <v>19</v>
      </c>
      <c r="G4129" s="2" t="s">
        <v>20</v>
      </c>
      <c r="H4129" s="2" t="s">
        <v>2048</v>
      </c>
      <c r="I4129" s="2"/>
      <c r="J4129" s="2"/>
    </row>
    <row r="4130" spans="1:10" x14ac:dyDescent="0.35">
      <c r="A4130" s="2" t="s">
        <v>1642</v>
      </c>
      <c r="B4130" s="2" t="s">
        <v>2037</v>
      </c>
      <c r="C4130" s="2" t="s">
        <v>54</v>
      </c>
      <c r="D4130" s="2" t="s">
        <v>2047</v>
      </c>
      <c r="E4130" s="2" t="s">
        <v>61</v>
      </c>
      <c r="F4130" s="2" t="s">
        <v>30</v>
      </c>
      <c r="G4130" s="2"/>
      <c r="H4130" s="2"/>
      <c r="I4130" s="2"/>
      <c r="J4130" s="2"/>
    </row>
    <row r="4131" spans="1:10" x14ac:dyDescent="0.35">
      <c r="A4131" s="2" t="s">
        <v>1642</v>
      </c>
      <c r="B4131" s="2" t="s">
        <v>2037</v>
      </c>
      <c r="C4131" s="2" t="s">
        <v>24</v>
      </c>
      <c r="D4131" s="2" t="s">
        <v>2049</v>
      </c>
      <c r="E4131" s="2" t="s">
        <v>1305</v>
      </c>
      <c r="F4131" s="2" t="s">
        <v>38</v>
      </c>
      <c r="G4131" s="2"/>
      <c r="H4131" s="2"/>
      <c r="I4131" s="2"/>
      <c r="J4131" s="2"/>
    </row>
    <row r="4132" spans="1:10" x14ac:dyDescent="0.35">
      <c r="A4132" s="2" t="s">
        <v>1642</v>
      </c>
      <c r="B4132" s="2" t="s">
        <v>2037</v>
      </c>
      <c r="C4132" s="2" t="s">
        <v>24</v>
      </c>
      <c r="D4132" s="2" t="s">
        <v>2049</v>
      </c>
      <c r="E4132" s="2" t="s">
        <v>14</v>
      </c>
      <c r="F4132" s="2" t="s">
        <v>15</v>
      </c>
      <c r="G4132" s="2"/>
      <c r="H4132" s="2"/>
      <c r="I4132" s="2"/>
      <c r="J4132" s="2"/>
    </row>
    <row r="4133" spans="1:10" x14ac:dyDescent="0.35">
      <c r="A4133" s="2" t="s">
        <v>1642</v>
      </c>
      <c r="B4133" s="2" t="s">
        <v>2037</v>
      </c>
      <c r="C4133" s="2" t="s">
        <v>24</v>
      </c>
      <c r="D4133" s="2" t="s">
        <v>2049</v>
      </c>
      <c r="E4133" s="2" t="s">
        <v>27</v>
      </c>
      <c r="F4133" s="2" t="s">
        <v>28</v>
      </c>
      <c r="G4133" s="2"/>
      <c r="H4133" s="2"/>
      <c r="I4133" s="2"/>
      <c r="J4133" s="2"/>
    </row>
    <row r="4134" spans="1:10" x14ac:dyDescent="0.35">
      <c r="A4134" s="2" t="s">
        <v>1642</v>
      </c>
      <c r="B4134" s="2" t="s">
        <v>2037</v>
      </c>
      <c r="C4134" s="2" t="s">
        <v>24</v>
      </c>
      <c r="D4134" s="2" t="s">
        <v>2049</v>
      </c>
      <c r="E4134" s="2" t="s">
        <v>124</v>
      </c>
      <c r="F4134" s="2" t="s">
        <v>1654</v>
      </c>
      <c r="G4134" s="2"/>
      <c r="H4134" s="2"/>
      <c r="I4134" s="2"/>
      <c r="J4134" s="2"/>
    </row>
    <row r="4135" spans="1:10" x14ac:dyDescent="0.35">
      <c r="A4135" s="2" t="s">
        <v>1642</v>
      </c>
      <c r="B4135" s="2" t="s">
        <v>2037</v>
      </c>
      <c r="C4135" s="2" t="s">
        <v>24</v>
      </c>
      <c r="D4135" s="2" t="s">
        <v>2049</v>
      </c>
      <c r="E4135" s="2" t="s">
        <v>18</v>
      </c>
      <c r="F4135" s="2" t="s">
        <v>19</v>
      </c>
      <c r="G4135" s="2" t="s">
        <v>20</v>
      </c>
      <c r="H4135" s="2" t="s">
        <v>1977</v>
      </c>
      <c r="I4135" s="2"/>
      <c r="J4135" s="2"/>
    </row>
    <row r="4136" spans="1:10" x14ac:dyDescent="0.35">
      <c r="A4136" s="2" t="s">
        <v>1642</v>
      </c>
      <c r="B4136" s="2" t="s">
        <v>2037</v>
      </c>
      <c r="C4136" s="2" t="s">
        <v>54</v>
      </c>
      <c r="D4136" s="2" t="s">
        <v>2050</v>
      </c>
      <c r="E4136" s="2" t="s">
        <v>1305</v>
      </c>
      <c r="F4136" s="2" t="s">
        <v>38</v>
      </c>
      <c r="G4136" s="2" t="s">
        <v>20</v>
      </c>
      <c r="H4136" s="2" t="s">
        <v>2051</v>
      </c>
      <c r="I4136" s="2"/>
      <c r="J4136" s="2"/>
    </row>
    <row r="4137" spans="1:10" x14ac:dyDescent="0.35">
      <c r="A4137" s="2" t="s">
        <v>1642</v>
      </c>
      <c r="B4137" s="2" t="s">
        <v>2037</v>
      </c>
      <c r="C4137" s="2" t="s">
        <v>54</v>
      </c>
      <c r="D4137" s="2" t="s">
        <v>2050</v>
      </c>
      <c r="E4137" s="2" t="s">
        <v>27</v>
      </c>
      <c r="F4137" s="2" t="s">
        <v>28</v>
      </c>
      <c r="G4137" s="2"/>
      <c r="H4137" s="2"/>
      <c r="I4137" s="2"/>
      <c r="J4137" s="2"/>
    </row>
    <row r="4138" spans="1:10" x14ac:dyDescent="0.35">
      <c r="A4138" s="2" t="s">
        <v>1642</v>
      </c>
      <c r="B4138" s="2" t="s">
        <v>2037</v>
      </c>
      <c r="C4138" s="2" t="s">
        <v>54</v>
      </c>
      <c r="D4138" s="2" t="s">
        <v>2050</v>
      </c>
      <c r="E4138" s="2" t="s">
        <v>91</v>
      </c>
      <c r="F4138" s="2" t="s">
        <v>19</v>
      </c>
      <c r="G4138" s="2" t="s">
        <v>20</v>
      </c>
      <c r="H4138" s="2" t="s">
        <v>2048</v>
      </c>
      <c r="I4138" s="2"/>
      <c r="J4138" s="2"/>
    </row>
    <row r="4139" spans="1:10" x14ac:dyDescent="0.35">
      <c r="A4139" s="2" t="s">
        <v>1642</v>
      </c>
      <c r="B4139" s="2" t="s">
        <v>2037</v>
      </c>
      <c r="C4139" s="2" t="s">
        <v>54</v>
      </c>
      <c r="D4139" s="2" t="s">
        <v>2050</v>
      </c>
      <c r="E4139" s="2" t="s">
        <v>168</v>
      </c>
      <c r="F4139" s="2" t="s">
        <v>45</v>
      </c>
      <c r="G4139" s="2" t="s">
        <v>20</v>
      </c>
      <c r="H4139" s="2" t="s">
        <v>2052</v>
      </c>
      <c r="I4139" s="2"/>
      <c r="J4139" s="2"/>
    </row>
    <row r="4140" spans="1:10" x14ac:dyDescent="0.35">
      <c r="A4140" s="2" t="s">
        <v>1642</v>
      </c>
      <c r="B4140" s="2" t="s">
        <v>2037</v>
      </c>
      <c r="C4140" s="2" t="s">
        <v>62</v>
      </c>
      <c r="D4140" s="2" t="s">
        <v>2053</v>
      </c>
      <c r="E4140" s="2" t="s">
        <v>763</v>
      </c>
      <c r="F4140" s="2" t="s">
        <v>107</v>
      </c>
      <c r="G4140" s="2"/>
      <c r="H4140" s="2"/>
      <c r="I4140" s="2"/>
      <c r="J4140" s="2"/>
    </row>
    <row r="4141" spans="1:10" x14ac:dyDescent="0.35">
      <c r="A4141" s="2" t="s">
        <v>1642</v>
      </c>
      <c r="B4141" s="2" t="s">
        <v>2037</v>
      </c>
      <c r="C4141" s="2" t="s">
        <v>62</v>
      </c>
      <c r="D4141" s="2" t="s">
        <v>2053</v>
      </c>
      <c r="E4141" s="2" t="s">
        <v>74</v>
      </c>
      <c r="F4141" s="2" t="s">
        <v>75</v>
      </c>
      <c r="G4141" s="2" t="s">
        <v>20</v>
      </c>
      <c r="H4141" s="2" t="s">
        <v>2054</v>
      </c>
      <c r="I4141" s="2"/>
      <c r="J4141" s="2"/>
    </row>
    <row r="4142" spans="1:10" x14ac:dyDescent="0.35">
      <c r="A4142" s="2" t="s">
        <v>1642</v>
      </c>
      <c r="B4142" s="2" t="s">
        <v>2037</v>
      </c>
      <c r="C4142" s="2" t="s">
        <v>62</v>
      </c>
      <c r="D4142" s="2" t="s">
        <v>2053</v>
      </c>
      <c r="E4142" s="2" t="s">
        <v>14</v>
      </c>
      <c r="F4142" s="2" t="s">
        <v>15</v>
      </c>
      <c r="G4142" s="2"/>
      <c r="H4142" s="2"/>
      <c r="I4142" s="2"/>
      <c r="J4142" s="2"/>
    </row>
    <row r="4143" spans="1:10" x14ac:dyDescent="0.35">
      <c r="A4143" s="2" t="s">
        <v>1642</v>
      </c>
      <c r="B4143" s="2" t="s">
        <v>2037</v>
      </c>
      <c r="C4143" s="2" t="s">
        <v>62</v>
      </c>
      <c r="D4143" s="2" t="s">
        <v>2053</v>
      </c>
      <c r="E4143" s="2" t="s">
        <v>121</v>
      </c>
      <c r="F4143" s="2" t="s">
        <v>122</v>
      </c>
      <c r="G4143" s="2"/>
      <c r="H4143" s="2"/>
      <c r="I4143" s="2"/>
      <c r="J4143" s="2"/>
    </row>
    <row r="4144" spans="1:10" x14ac:dyDescent="0.35">
      <c r="A4144" s="2" t="s">
        <v>1642</v>
      </c>
      <c r="B4144" s="2" t="s">
        <v>2037</v>
      </c>
      <c r="C4144" s="2" t="s">
        <v>62</v>
      </c>
      <c r="D4144" s="2" t="s">
        <v>2053</v>
      </c>
      <c r="E4144" s="2" t="s">
        <v>2055</v>
      </c>
      <c r="F4144" s="2" t="s">
        <v>19</v>
      </c>
      <c r="G4144" s="2" t="s">
        <v>20</v>
      </c>
      <c r="H4144" s="2" t="s">
        <v>2056</v>
      </c>
      <c r="I4144" s="2"/>
      <c r="J4144" s="2"/>
    </row>
    <row r="4145" spans="1:10" x14ac:dyDescent="0.35">
      <c r="A4145" s="2" t="s">
        <v>1642</v>
      </c>
      <c r="B4145" s="2" t="s">
        <v>2037</v>
      </c>
      <c r="C4145" s="2" t="s">
        <v>62</v>
      </c>
      <c r="D4145" s="2" t="s">
        <v>2053</v>
      </c>
      <c r="E4145" s="2" t="s">
        <v>1243</v>
      </c>
      <c r="F4145" s="2" t="s">
        <v>40</v>
      </c>
      <c r="G4145" s="2"/>
      <c r="H4145" s="2"/>
      <c r="I4145" s="2"/>
      <c r="J4145" s="2"/>
    </row>
    <row r="4146" spans="1:10" x14ac:dyDescent="0.35">
      <c r="A4146" s="2" t="s">
        <v>1642</v>
      </c>
      <c r="B4146" s="2" t="s">
        <v>2037</v>
      </c>
      <c r="C4146" s="2" t="s">
        <v>62</v>
      </c>
      <c r="D4146" s="2" t="s">
        <v>2053</v>
      </c>
      <c r="E4146" s="2" t="s">
        <v>127</v>
      </c>
      <c r="F4146" s="2" t="s">
        <v>1650</v>
      </c>
      <c r="G4146" s="2"/>
      <c r="H4146" s="2"/>
      <c r="I4146" s="2"/>
      <c r="J4146" s="2"/>
    </row>
    <row r="4147" spans="1:10" x14ac:dyDescent="0.35">
      <c r="A4147" s="2" t="s">
        <v>1642</v>
      </c>
      <c r="B4147" s="2" t="s">
        <v>2037</v>
      </c>
      <c r="C4147" s="2" t="s">
        <v>24</v>
      </c>
      <c r="D4147" s="2" t="s">
        <v>2057</v>
      </c>
      <c r="E4147" s="2" t="s">
        <v>144</v>
      </c>
      <c r="F4147" s="2" t="s">
        <v>50</v>
      </c>
      <c r="G4147" s="2"/>
      <c r="H4147" s="2"/>
      <c r="I4147" s="2"/>
      <c r="J4147" s="2"/>
    </row>
    <row r="4148" spans="1:10" x14ac:dyDescent="0.35">
      <c r="A4148" s="2" t="s">
        <v>1642</v>
      </c>
      <c r="B4148" s="2" t="s">
        <v>2037</v>
      </c>
      <c r="C4148" s="2" t="s">
        <v>24</v>
      </c>
      <c r="D4148" s="2" t="s">
        <v>2057</v>
      </c>
      <c r="E4148" s="2" t="s">
        <v>87</v>
      </c>
      <c r="F4148" s="2" t="s">
        <v>75</v>
      </c>
      <c r="G4148" s="2" t="s">
        <v>20</v>
      </c>
      <c r="H4148" s="2" t="s">
        <v>2058</v>
      </c>
      <c r="I4148" s="2"/>
      <c r="J4148" s="2"/>
    </row>
    <row r="4149" spans="1:10" x14ac:dyDescent="0.35">
      <c r="A4149" s="2" t="s">
        <v>1642</v>
      </c>
      <c r="B4149" s="2" t="s">
        <v>2037</v>
      </c>
      <c r="C4149" s="2" t="s">
        <v>24</v>
      </c>
      <c r="D4149" s="2" t="s">
        <v>2057</v>
      </c>
      <c r="E4149" s="2" t="s">
        <v>18</v>
      </c>
      <c r="F4149" s="2" t="s">
        <v>19</v>
      </c>
      <c r="G4149" s="2" t="s">
        <v>20</v>
      </c>
      <c r="H4149" s="2" t="s">
        <v>2059</v>
      </c>
      <c r="I4149" s="2"/>
      <c r="J4149" s="2"/>
    </row>
    <row r="4150" spans="1:10" x14ac:dyDescent="0.35">
      <c r="A4150" s="2" t="s">
        <v>1642</v>
      </c>
      <c r="B4150" s="2" t="s">
        <v>2037</v>
      </c>
      <c r="C4150" s="2" t="s">
        <v>24</v>
      </c>
      <c r="D4150" s="2" t="s">
        <v>2057</v>
      </c>
      <c r="E4150" s="2" t="s">
        <v>508</v>
      </c>
      <c r="F4150" s="2" t="s">
        <v>40</v>
      </c>
      <c r="G4150" s="2"/>
      <c r="H4150" s="2"/>
      <c r="I4150" s="2"/>
      <c r="J4150" s="2"/>
    </row>
    <row r="4151" spans="1:10" x14ac:dyDescent="0.35">
      <c r="A4151" s="2" t="s">
        <v>1642</v>
      </c>
      <c r="B4151" s="2" t="s">
        <v>2037</v>
      </c>
      <c r="C4151" s="2" t="s">
        <v>24</v>
      </c>
      <c r="D4151" s="2" t="s">
        <v>2060</v>
      </c>
      <c r="E4151" s="2" t="s">
        <v>27</v>
      </c>
      <c r="F4151" s="2" t="s">
        <v>28</v>
      </c>
      <c r="G4151" s="2"/>
      <c r="H4151" s="2"/>
      <c r="I4151" s="2"/>
      <c r="J4151" s="2"/>
    </row>
    <row r="4152" spans="1:10" x14ac:dyDescent="0.35">
      <c r="A4152" s="2" t="s">
        <v>1642</v>
      </c>
      <c r="B4152" s="2" t="s">
        <v>2037</v>
      </c>
      <c r="C4152" s="2" t="s">
        <v>24</v>
      </c>
      <c r="D4152" s="2" t="s">
        <v>2060</v>
      </c>
      <c r="E4152" s="2" t="s">
        <v>96</v>
      </c>
      <c r="F4152" s="2" t="s">
        <v>83</v>
      </c>
      <c r="G4152" s="2"/>
      <c r="H4152" s="2"/>
      <c r="I4152" s="2"/>
      <c r="J4152" s="2"/>
    </row>
    <row r="4153" spans="1:10" x14ac:dyDescent="0.35">
      <c r="A4153" s="2" t="s">
        <v>1642</v>
      </c>
      <c r="B4153" s="2" t="s">
        <v>2037</v>
      </c>
      <c r="C4153" s="2" t="s">
        <v>24</v>
      </c>
      <c r="D4153" s="2" t="s">
        <v>2060</v>
      </c>
      <c r="E4153" s="2" t="s">
        <v>1226</v>
      </c>
      <c r="F4153" s="2" t="s">
        <v>107</v>
      </c>
      <c r="G4153" s="2"/>
      <c r="H4153" s="2"/>
      <c r="I4153" s="2"/>
      <c r="J4153" s="2"/>
    </row>
    <row r="4154" spans="1:10" x14ac:dyDescent="0.35">
      <c r="A4154" s="2" t="s">
        <v>1642</v>
      </c>
      <c r="B4154" s="2" t="s">
        <v>2037</v>
      </c>
      <c r="C4154" s="2" t="s">
        <v>24</v>
      </c>
      <c r="D4154" s="2" t="s">
        <v>2060</v>
      </c>
      <c r="E4154" s="2" t="s">
        <v>393</v>
      </c>
      <c r="F4154" s="2" t="s">
        <v>1653</v>
      </c>
      <c r="G4154" s="2"/>
      <c r="H4154" s="2"/>
      <c r="I4154" s="2"/>
      <c r="J4154" s="2"/>
    </row>
    <row r="4155" spans="1:10" x14ac:dyDescent="0.35">
      <c r="A4155" s="2" t="s">
        <v>1642</v>
      </c>
      <c r="B4155" s="2" t="s">
        <v>2037</v>
      </c>
      <c r="C4155" s="2" t="s">
        <v>24</v>
      </c>
      <c r="D4155" s="2" t="s">
        <v>2060</v>
      </c>
      <c r="E4155" s="2" t="s">
        <v>213</v>
      </c>
      <c r="F4155" s="2" t="s">
        <v>45</v>
      </c>
      <c r="G4155" s="2"/>
      <c r="H4155" s="2"/>
      <c r="I4155" s="2"/>
      <c r="J4155" s="2"/>
    </row>
    <row r="4156" spans="1:10" x14ac:dyDescent="0.35">
      <c r="A4156" s="2" t="s">
        <v>1642</v>
      </c>
      <c r="B4156" s="2" t="s">
        <v>2037</v>
      </c>
      <c r="C4156" s="2" t="s">
        <v>24</v>
      </c>
      <c r="D4156" s="2" t="s">
        <v>2060</v>
      </c>
      <c r="E4156" s="2" t="s">
        <v>387</v>
      </c>
      <c r="F4156" s="2" t="s">
        <v>367</v>
      </c>
      <c r="G4156" s="2"/>
      <c r="H4156" s="2"/>
      <c r="I4156" s="2"/>
      <c r="J4156" s="2"/>
    </row>
    <row r="4157" spans="1:10" x14ac:dyDescent="0.35">
      <c r="A4157" s="2" t="s">
        <v>1642</v>
      </c>
      <c r="B4157" s="2" t="s">
        <v>2037</v>
      </c>
      <c r="C4157" s="2" t="s">
        <v>24</v>
      </c>
      <c r="D4157" s="2" t="s">
        <v>2060</v>
      </c>
      <c r="E4157" s="2" t="s">
        <v>2061</v>
      </c>
      <c r="F4157" s="2" t="s">
        <v>75</v>
      </c>
      <c r="G4157" s="2"/>
      <c r="H4157" s="2"/>
      <c r="I4157" s="2"/>
      <c r="J4157" s="2"/>
    </row>
    <row r="4158" spans="1:10" x14ac:dyDescent="0.35">
      <c r="A4158" s="2" t="s">
        <v>1642</v>
      </c>
      <c r="B4158" s="2" t="s">
        <v>2037</v>
      </c>
      <c r="C4158" s="2" t="s">
        <v>62</v>
      </c>
      <c r="D4158" s="2" t="s">
        <v>2062</v>
      </c>
      <c r="E4158" s="2" t="s">
        <v>74</v>
      </c>
      <c r="F4158" s="2" t="s">
        <v>75</v>
      </c>
      <c r="G4158" s="2" t="s">
        <v>20</v>
      </c>
      <c r="H4158" s="2" t="s">
        <v>2063</v>
      </c>
      <c r="I4158" s="2"/>
      <c r="J4158" s="2"/>
    </row>
    <row r="4159" spans="1:10" x14ac:dyDescent="0.35">
      <c r="A4159" s="2" t="s">
        <v>1642</v>
      </c>
      <c r="B4159" s="2" t="s">
        <v>2037</v>
      </c>
      <c r="C4159" s="2" t="s">
        <v>62</v>
      </c>
      <c r="D4159" s="2" t="s">
        <v>2062</v>
      </c>
      <c r="E4159" s="2" t="s">
        <v>27</v>
      </c>
      <c r="F4159" s="2" t="s">
        <v>28</v>
      </c>
      <c r="G4159" s="2" t="s">
        <v>20</v>
      </c>
      <c r="H4159" s="2" t="s">
        <v>2064</v>
      </c>
      <c r="I4159" s="2"/>
      <c r="J4159" s="2"/>
    </row>
    <row r="4160" spans="1:10" x14ac:dyDescent="0.35">
      <c r="A4160" s="2" t="s">
        <v>1642</v>
      </c>
      <c r="B4160" s="2" t="s">
        <v>2037</v>
      </c>
      <c r="C4160" s="2" t="s">
        <v>62</v>
      </c>
      <c r="D4160" s="2" t="s">
        <v>2062</v>
      </c>
      <c r="E4160" s="2" t="s">
        <v>121</v>
      </c>
      <c r="F4160" s="2" t="s">
        <v>122</v>
      </c>
      <c r="G4160" s="2"/>
      <c r="H4160" s="2"/>
      <c r="I4160" s="2"/>
      <c r="J4160" s="2"/>
    </row>
    <row r="4161" spans="1:10" x14ac:dyDescent="0.35">
      <c r="A4161" s="2" t="s">
        <v>1642</v>
      </c>
      <c r="B4161" s="2" t="s">
        <v>2037</v>
      </c>
      <c r="C4161" s="2" t="s">
        <v>62</v>
      </c>
      <c r="D4161" s="2" t="s">
        <v>2062</v>
      </c>
      <c r="E4161" s="2" t="s">
        <v>127</v>
      </c>
      <c r="F4161" s="2" t="s">
        <v>107</v>
      </c>
      <c r="G4161" s="2"/>
      <c r="H4161" s="2"/>
      <c r="I4161" s="2"/>
      <c r="J4161" s="2"/>
    </row>
    <row r="4162" spans="1:10" x14ac:dyDescent="0.35">
      <c r="A4162" s="2" t="s">
        <v>1642</v>
      </c>
      <c r="B4162" s="2" t="s">
        <v>2037</v>
      </c>
      <c r="C4162" s="2" t="s">
        <v>62</v>
      </c>
      <c r="D4162" s="2" t="s">
        <v>2065</v>
      </c>
      <c r="E4162" s="2" t="s">
        <v>660</v>
      </c>
      <c r="F4162" s="2" t="s">
        <v>75</v>
      </c>
      <c r="G4162" s="2"/>
      <c r="H4162" s="2"/>
      <c r="I4162" s="2"/>
      <c r="J4162" s="2"/>
    </row>
    <row r="4163" spans="1:10" x14ac:dyDescent="0.35">
      <c r="A4163" s="2" t="s">
        <v>1642</v>
      </c>
      <c r="B4163" s="2" t="s">
        <v>2066</v>
      </c>
      <c r="C4163" s="2" t="s">
        <v>24</v>
      </c>
      <c r="D4163" s="2" t="s">
        <v>2067</v>
      </c>
      <c r="E4163" s="2" t="s">
        <v>14</v>
      </c>
      <c r="F4163" s="2" t="s">
        <v>15</v>
      </c>
      <c r="G4163" s="2"/>
      <c r="H4163" s="2"/>
      <c r="I4163" s="2"/>
      <c r="J4163" s="2"/>
    </row>
    <row r="4164" spans="1:10" x14ac:dyDescent="0.35">
      <c r="A4164" s="2" t="s">
        <v>1642</v>
      </c>
      <c r="B4164" s="2" t="s">
        <v>2066</v>
      </c>
      <c r="C4164" s="2" t="s">
        <v>24</v>
      </c>
      <c r="D4164" s="2" t="s">
        <v>2067</v>
      </c>
      <c r="E4164" s="2" t="s">
        <v>120</v>
      </c>
      <c r="F4164" s="2" t="s">
        <v>32</v>
      </c>
      <c r="G4164" s="2"/>
      <c r="H4164" s="2"/>
      <c r="I4164" s="2"/>
      <c r="J4164" s="2"/>
    </row>
    <row r="4165" spans="1:10" x14ac:dyDescent="0.35">
      <c r="A4165" s="2" t="s">
        <v>1642</v>
      </c>
      <c r="B4165" s="2" t="s">
        <v>2066</v>
      </c>
      <c r="C4165" s="2" t="s">
        <v>24</v>
      </c>
      <c r="D4165" s="2" t="s">
        <v>2067</v>
      </c>
      <c r="E4165" s="2" t="s">
        <v>38</v>
      </c>
      <c r="F4165" s="2" t="s">
        <v>1419</v>
      </c>
      <c r="G4165" s="2" t="s">
        <v>20</v>
      </c>
      <c r="H4165" s="2" t="s">
        <v>2068</v>
      </c>
      <c r="I4165" s="2"/>
      <c r="J4165" s="2"/>
    </row>
    <row r="4166" spans="1:10" x14ac:dyDescent="0.35">
      <c r="A4166" s="2" t="s">
        <v>1642</v>
      </c>
      <c r="B4166" s="2" t="s">
        <v>2066</v>
      </c>
      <c r="C4166" s="2" t="s">
        <v>24</v>
      </c>
      <c r="D4166" s="2" t="s">
        <v>2067</v>
      </c>
      <c r="E4166" s="2" t="s">
        <v>1278</v>
      </c>
      <c r="F4166" s="2" t="s">
        <v>50</v>
      </c>
      <c r="G4166" s="2" t="s">
        <v>20</v>
      </c>
      <c r="H4166" s="2" t="s">
        <v>2068</v>
      </c>
      <c r="I4166" s="2"/>
      <c r="J4166" s="2"/>
    </row>
    <row r="4167" spans="1:10" x14ac:dyDescent="0.35">
      <c r="A4167" s="2" t="s">
        <v>1642</v>
      </c>
      <c r="B4167" s="2" t="s">
        <v>2066</v>
      </c>
      <c r="C4167" s="2" t="s">
        <v>24</v>
      </c>
      <c r="D4167" s="2" t="s">
        <v>2067</v>
      </c>
      <c r="E4167" s="2" t="s">
        <v>393</v>
      </c>
      <c r="F4167" s="2" t="s">
        <v>1653</v>
      </c>
      <c r="G4167" s="2" t="s">
        <v>20</v>
      </c>
      <c r="H4167" s="2" t="s">
        <v>2068</v>
      </c>
      <c r="I4167" s="2"/>
      <c r="J4167" s="2"/>
    </row>
    <row r="4168" spans="1:10" x14ac:dyDescent="0.35">
      <c r="A4168" s="2" t="s">
        <v>1642</v>
      </c>
      <c r="B4168" s="2" t="s">
        <v>2066</v>
      </c>
      <c r="C4168" s="2" t="s">
        <v>24</v>
      </c>
      <c r="D4168" s="2" t="s">
        <v>2067</v>
      </c>
      <c r="E4168" s="2" t="s">
        <v>91</v>
      </c>
      <c r="F4168" s="2" t="s">
        <v>19</v>
      </c>
      <c r="G4168" s="2" t="s">
        <v>20</v>
      </c>
      <c r="H4168" s="2" t="s">
        <v>2068</v>
      </c>
      <c r="I4168" s="2"/>
      <c r="J4168" s="2"/>
    </row>
    <row r="4169" spans="1:10" x14ac:dyDescent="0.35">
      <c r="A4169" s="2" t="s">
        <v>1642</v>
      </c>
      <c r="B4169" s="2" t="s">
        <v>2066</v>
      </c>
      <c r="C4169" s="2" t="s">
        <v>24</v>
      </c>
      <c r="D4169" s="2" t="s">
        <v>2067</v>
      </c>
      <c r="E4169" s="2" t="s">
        <v>87</v>
      </c>
      <c r="F4169" s="2" t="s">
        <v>75</v>
      </c>
      <c r="G4169" s="2"/>
      <c r="H4169" s="2"/>
      <c r="I4169" s="2"/>
      <c r="J4169" s="2"/>
    </row>
    <row r="4170" spans="1:10" x14ac:dyDescent="0.35">
      <c r="A4170" s="2" t="s">
        <v>1642</v>
      </c>
      <c r="B4170" s="2" t="s">
        <v>2066</v>
      </c>
      <c r="C4170" s="2" t="s">
        <v>24</v>
      </c>
      <c r="D4170" s="2" t="s">
        <v>2067</v>
      </c>
      <c r="E4170" s="2" t="s">
        <v>124</v>
      </c>
      <c r="F4170" s="2" t="s">
        <v>125</v>
      </c>
      <c r="G4170" s="2"/>
      <c r="H4170" s="2"/>
      <c r="I4170" s="2"/>
      <c r="J4170" s="2"/>
    </row>
    <row r="4171" spans="1:10" x14ac:dyDescent="0.35">
      <c r="A4171" s="2" t="s">
        <v>1642</v>
      </c>
      <c r="B4171" s="2" t="s">
        <v>2066</v>
      </c>
      <c r="C4171" s="2" t="s">
        <v>24</v>
      </c>
      <c r="D4171" s="2" t="s">
        <v>2067</v>
      </c>
      <c r="E4171" s="2" t="s">
        <v>2069</v>
      </c>
      <c r="F4171" s="2" t="s">
        <v>40</v>
      </c>
      <c r="G4171" s="2"/>
      <c r="H4171" s="2"/>
      <c r="I4171" s="2"/>
      <c r="J4171" s="2"/>
    </row>
    <row r="4172" spans="1:10" x14ac:dyDescent="0.35">
      <c r="A4172" s="2" t="s">
        <v>1642</v>
      </c>
      <c r="B4172" s="2" t="s">
        <v>2066</v>
      </c>
      <c r="C4172" s="2" t="s">
        <v>24</v>
      </c>
      <c r="D4172" s="2" t="s">
        <v>2067</v>
      </c>
      <c r="E4172" s="2" t="s">
        <v>188</v>
      </c>
      <c r="F4172" s="2" t="s">
        <v>189</v>
      </c>
      <c r="G4172" s="2"/>
      <c r="H4172" s="2"/>
      <c r="I4172" s="2"/>
      <c r="J4172" s="2"/>
    </row>
    <row r="4173" spans="1:10" x14ac:dyDescent="0.35">
      <c r="A4173" s="2" t="s">
        <v>1642</v>
      </c>
      <c r="B4173" s="2" t="s">
        <v>2066</v>
      </c>
      <c r="C4173" s="2" t="s">
        <v>24</v>
      </c>
      <c r="D4173" s="2" t="s">
        <v>2067</v>
      </c>
      <c r="E4173" s="2" t="s">
        <v>2070</v>
      </c>
      <c r="F4173" s="2" t="s">
        <v>65</v>
      </c>
      <c r="G4173" s="2"/>
      <c r="H4173" s="2"/>
      <c r="I4173" s="2"/>
      <c r="J4173" s="2"/>
    </row>
    <row r="4174" spans="1:10" x14ac:dyDescent="0.35">
      <c r="A4174" s="2" t="s">
        <v>1642</v>
      </c>
      <c r="B4174" s="2" t="s">
        <v>2066</v>
      </c>
      <c r="C4174" s="2" t="s">
        <v>12</v>
      </c>
      <c r="D4174" s="2" t="s">
        <v>2071</v>
      </c>
      <c r="E4174" s="2" t="s">
        <v>74</v>
      </c>
      <c r="F4174" s="2" t="s">
        <v>75</v>
      </c>
      <c r="G4174" s="2"/>
      <c r="H4174" s="2"/>
      <c r="I4174" s="2"/>
      <c r="J4174" s="2"/>
    </row>
    <row r="4175" spans="1:10" x14ac:dyDescent="0.35">
      <c r="A4175" s="2" t="s">
        <v>1642</v>
      </c>
      <c r="B4175" s="2" t="s">
        <v>2066</v>
      </c>
      <c r="C4175" s="2" t="s">
        <v>12</v>
      </c>
      <c r="D4175" s="2" t="s">
        <v>2071</v>
      </c>
      <c r="E4175" s="2" t="s">
        <v>121</v>
      </c>
      <c r="F4175" s="2" t="s">
        <v>122</v>
      </c>
      <c r="G4175" s="2"/>
      <c r="H4175" s="2"/>
      <c r="I4175" s="2"/>
      <c r="J4175" s="2"/>
    </row>
    <row r="4176" spans="1:10" x14ac:dyDescent="0.35">
      <c r="A4176" s="2" t="s">
        <v>1642</v>
      </c>
      <c r="B4176" s="2" t="s">
        <v>2066</v>
      </c>
      <c r="C4176" s="2" t="s">
        <v>12</v>
      </c>
      <c r="D4176" s="2" t="s">
        <v>2071</v>
      </c>
      <c r="E4176" s="2" t="s">
        <v>213</v>
      </c>
      <c r="F4176" s="2" t="s">
        <v>45</v>
      </c>
      <c r="G4176" s="2"/>
      <c r="H4176" s="2"/>
      <c r="I4176" s="2"/>
      <c r="J4176" s="2"/>
    </row>
    <row r="4177" spans="1:10" x14ac:dyDescent="0.35">
      <c r="A4177" s="2" t="s">
        <v>1642</v>
      </c>
      <c r="B4177" s="2" t="s">
        <v>2066</v>
      </c>
      <c r="C4177" s="2" t="s">
        <v>12</v>
      </c>
      <c r="D4177" s="2" t="s">
        <v>2071</v>
      </c>
      <c r="E4177" s="2" t="s">
        <v>18</v>
      </c>
      <c r="F4177" s="2" t="s">
        <v>19</v>
      </c>
      <c r="G4177" s="2" t="s">
        <v>20</v>
      </c>
      <c r="H4177" s="2" t="s">
        <v>2072</v>
      </c>
      <c r="I4177" s="2"/>
      <c r="J4177" s="2"/>
    </row>
    <row r="4178" spans="1:10" x14ac:dyDescent="0.35">
      <c r="A4178" s="2" t="s">
        <v>1642</v>
      </c>
      <c r="B4178" s="2" t="s">
        <v>2066</v>
      </c>
      <c r="C4178" s="2" t="s">
        <v>12</v>
      </c>
      <c r="D4178" s="2" t="s">
        <v>2071</v>
      </c>
      <c r="E4178" s="2" t="s">
        <v>1982</v>
      </c>
      <c r="F4178" s="2" t="s">
        <v>150</v>
      </c>
      <c r="G4178" s="2" t="s">
        <v>20</v>
      </c>
      <c r="H4178" s="2" t="s">
        <v>1983</v>
      </c>
      <c r="I4178" s="2"/>
      <c r="J4178" s="2"/>
    </row>
    <row r="4179" spans="1:10" s="21" customFormat="1" x14ac:dyDescent="0.35">
      <c r="A4179" s="2" t="s">
        <v>1642</v>
      </c>
      <c r="B4179" s="2" t="s">
        <v>2066</v>
      </c>
      <c r="C4179" s="2" t="s">
        <v>54</v>
      </c>
      <c r="D4179" s="2" t="s">
        <v>2073</v>
      </c>
      <c r="E4179" s="2" t="s">
        <v>91</v>
      </c>
      <c r="F4179" s="2" t="s">
        <v>19</v>
      </c>
      <c r="G4179" s="2" t="s">
        <v>20</v>
      </c>
      <c r="H4179" s="2" t="s">
        <v>2074</v>
      </c>
      <c r="I4179" s="2"/>
      <c r="J4179" s="2"/>
    </row>
    <row r="4180" spans="1:10" x14ac:dyDescent="0.35">
      <c r="A4180" s="2" t="s">
        <v>1642</v>
      </c>
      <c r="B4180" s="2" t="s">
        <v>2066</v>
      </c>
      <c r="C4180" s="2" t="s">
        <v>62</v>
      </c>
      <c r="D4180" s="2" t="s">
        <v>2075</v>
      </c>
      <c r="E4180" s="2" t="s">
        <v>27</v>
      </c>
      <c r="F4180" s="2" t="s">
        <v>28</v>
      </c>
      <c r="G4180" s="2" t="s">
        <v>20</v>
      </c>
      <c r="H4180" s="2" t="s">
        <v>1823</v>
      </c>
      <c r="I4180" s="2"/>
      <c r="J4180" s="2"/>
    </row>
    <row r="4181" spans="1:10" x14ac:dyDescent="0.35">
      <c r="A4181" s="2" t="s">
        <v>1642</v>
      </c>
      <c r="B4181" s="2" t="s">
        <v>2066</v>
      </c>
      <c r="C4181" s="2" t="s">
        <v>24</v>
      </c>
      <c r="D4181" s="2" t="s">
        <v>2076</v>
      </c>
      <c r="E4181" s="2" t="s">
        <v>1212</v>
      </c>
      <c r="F4181" s="2" t="s">
        <v>36</v>
      </c>
      <c r="G4181" s="2"/>
      <c r="H4181" s="2"/>
      <c r="I4181" s="2"/>
      <c r="J4181" s="2"/>
    </row>
    <row r="4182" spans="1:10" x14ac:dyDescent="0.35">
      <c r="A4182" s="2" t="s">
        <v>1642</v>
      </c>
      <c r="B4182" s="2" t="s">
        <v>2066</v>
      </c>
      <c r="C4182" s="2" t="s">
        <v>24</v>
      </c>
      <c r="D4182" s="2" t="s">
        <v>2076</v>
      </c>
      <c r="E4182" s="2" t="s">
        <v>91</v>
      </c>
      <c r="F4182" s="2" t="s">
        <v>19</v>
      </c>
      <c r="G4182" s="2" t="s">
        <v>20</v>
      </c>
      <c r="H4182" s="2" t="s">
        <v>2077</v>
      </c>
      <c r="I4182" s="2"/>
      <c r="J4182" s="2"/>
    </row>
    <row r="4183" spans="1:10" x14ac:dyDescent="0.35">
      <c r="A4183" s="2" t="s">
        <v>1642</v>
      </c>
      <c r="B4183" s="2" t="s">
        <v>2066</v>
      </c>
      <c r="C4183" s="2" t="s">
        <v>24</v>
      </c>
      <c r="D4183" s="2" t="s">
        <v>2076</v>
      </c>
      <c r="E4183" s="2" t="s">
        <v>87</v>
      </c>
      <c r="F4183" s="2" t="s">
        <v>75</v>
      </c>
      <c r="G4183" s="2" t="s">
        <v>20</v>
      </c>
      <c r="H4183" s="2" t="s">
        <v>2078</v>
      </c>
      <c r="I4183" s="2"/>
      <c r="J4183" s="2"/>
    </row>
    <row r="4184" spans="1:10" x14ac:dyDescent="0.35">
      <c r="A4184" s="2" t="s">
        <v>1642</v>
      </c>
      <c r="B4184" s="2" t="s">
        <v>2066</v>
      </c>
      <c r="C4184" s="2" t="s">
        <v>12</v>
      </c>
      <c r="D4184" s="2" t="s">
        <v>2079</v>
      </c>
      <c r="E4184" s="2" t="s">
        <v>74</v>
      </c>
      <c r="F4184" s="2" t="s">
        <v>75</v>
      </c>
      <c r="G4184" s="2" t="s">
        <v>20</v>
      </c>
      <c r="H4184" s="2" t="s">
        <v>2080</v>
      </c>
      <c r="I4184" s="2"/>
      <c r="J4184" s="2"/>
    </row>
    <row r="4185" spans="1:10" x14ac:dyDescent="0.35">
      <c r="A4185" s="2" t="s">
        <v>1642</v>
      </c>
      <c r="B4185" s="2" t="s">
        <v>2066</v>
      </c>
      <c r="C4185" s="2" t="s">
        <v>12</v>
      </c>
      <c r="D4185" s="2" t="s">
        <v>2079</v>
      </c>
      <c r="E4185" s="2" t="s">
        <v>14</v>
      </c>
      <c r="F4185" s="2" t="s">
        <v>15</v>
      </c>
      <c r="G4185" s="2"/>
      <c r="H4185" s="2"/>
      <c r="I4185" s="2"/>
      <c r="J4185" s="2"/>
    </row>
    <row r="4186" spans="1:10" x14ac:dyDescent="0.35">
      <c r="A4186" s="2" t="s">
        <v>1642</v>
      </c>
      <c r="B4186" s="2" t="s">
        <v>2066</v>
      </c>
      <c r="C4186" s="2" t="s">
        <v>12</v>
      </c>
      <c r="D4186" s="2" t="s">
        <v>2079</v>
      </c>
      <c r="E4186" s="2" t="s">
        <v>89</v>
      </c>
      <c r="F4186" s="2" t="s">
        <v>45</v>
      </c>
      <c r="G4186" s="2" t="s">
        <v>20</v>
      </c>
      <c r="H4186" s="2" t="s">
        <v>2081</v>
      </c>
      <c r="I4186" s="2"/>
      <c r="J4186" s="2"/>
    </row>
    <row r="4187" spans="1:10" x14ac:dyDescent="0.35">
      <c r="A4187" s="2" t="s">
        <v>1642</v>
      </c>
      <c r="B4187" s="2" t="s">
        <v>2066</v>
      </c>
      <c r="C4187" s="2" t="s">
        <v>12</v>
      </c>
      <c r="D4187" s="2" t="s">
        <v>2079</v>
      </c>
      <c r="E4187" s="2" t="s">
        <v>18</v>
      </c>
      <c r="F4187" s="2" t="s">
        <v>19</v>
      </c>
      <c r="G4187" s="2" t="s">
        <v>20</v>
      </c>
      <c r="H4187" s="2" t="s">
        <v>2082</v>
      </c>
      <c r="I4187" s="2"/>
      <c r="J4187" s="2"/>
    </row>
    <row r="4188" spans="1:10" x14ac:dyDescent="0.35">
      <c r="A4188" s="2" t="s">
        <v>1642</v>
      </c>
      <c r="B4188" s="2" t="s">
        <v>2066</v>
      </c>
      <c r="C4188" s="2" t="s">
        <v>12</v>
      </c>
      <c r="D4188" s="2" t="s">
        <v>2079</v>
      </c>
      <c r="E4188" s="2" t="s">
        <v>149</v>
      </c>
      <c r="F4188" s="2" t="s">
        <v>150</v>
      </c>
      <c r="G4188" s="2" t="s">
        <v>20</v>
      </c>
      <c r="H4188" s="2" t="s">
        <v>1809</v>
      </c>
      <c r="I4188" s="2"/>
      <c r="J4188" s="2"/>
    </row>
    <row r="4189" spans="1:10" x14ac:dyDescent="0.35">
      <c r="A4189" s="2" t="s">
        <v>1642</v>
      </c>
      <c r="B4189" s="2" t="s">
        <v>2066</v>
      </c>
      <c r="C4189" s="2" t="s">
        <v>12</v>
      </c>
      <c r="D4189" s="2" t="s">
        <v>2083</v>
      </c>
      <c r="E4189" s="2" t="s">
        <v>14</v>
      </c>
      <c r="F4189" s="2" t="s">
        <v>15</v>
      </c>
      <c r="G4189" s="2"/>
      <c r="H4189" s="2"/>
      <c r="I4189" s="2"/>
      <c r="J4189" s="2"/>
    </row>
    <row r="4190" spans="1:10" x14ac:dyDescent="0.35">
      <c r="A4190" s="2" t="s">
        <v>1642</v>
      </c>
      <c r="B4190" s="2" t="s">
        <v>2066</v>
      </c>
      <c r="C4190" s="2" t="s">
        <v>12</v>
      </c>
      <c r="D4190" s="2" t="s">
        <v>2083</v>
      </c>
      <c r="E4190" s="2" t="s">
        <v>998</v>
      </c>
      <c r="F4190" s="2" t="s">
        <v>40</v>
      </c>
      <c r="G4190" s="2"/>
      <c r="H4190" s="2"/>
      <c r="I4190" s="2"/>
      <c r="J4190" s="2"/>
    </row>
    <row r="4191" spans="1:10" x14ac:dyDescent="0.35">
      <c r="A4191" s="2" t="s">
        <v>1642</v>
      </c>
      <c r="B4191" s="2" t="s">
        <v>2066</v>
      </c>
      <c r="C4191" s="2" t="s">
        <v>12</v>
      </c>
      <c r="D4191" s="2" t="s">
        <v>2083</v>
      </c>
      <c r="E4191" s="2" t="s">
        <v>18</v>
      </c>
      <c r="F4191" s="2" t="s">
        <v>19</v>
      </c>
      <c r="G4191" s="2" t="s">
        <v>20</v>
      </c>
      <c r="H4191" s="2" t="s">
        <v>2084</v>
      </c>
      <c r="I4191" s="2"/>
      <c r="J4191" s="2"/>
    </row>
    <row r="4192" spans="1:10" x14ac:dyDescent="0.35">
      <c r="A4192" s="2" t="s">
        <v>1642</v>
      </c>
      <c r="B4192" s="2" t="s">
        <v>2066</v>
      </c>
      <c r="C4192" s="2" t="s">
        <v>12</v>
      </c>
      <c r="D4192" s="2" t="s">
        <v>2085</v>
      </c>
      <c r="E4192" s="2" t="s">
        <v>121</v>
      </c>
      <c r="F4192" s="2" t="s">
        <v>122</v>
      </c>
      <c r="G4192" s="2"/>
      <c r="H4192" s="2"/>
      <c r="I4192" s="2"/>
      <c r="J4192" s="2"/>
    </row>
    <row r="4193" spans="1:10" x14ac:dyDescent="0.35">
      <c r="A4193" s="2" t="s">
        <v>1642</v>
      </c>
      <c r="B4193" s="2" t="s">
        <v>2066</v>
      </c>
      <c r="C4193" s="2" t="s">
        <v>12</v>
      </c>
      <c r="D4193" s="2" t="s">
        <v>2085</v>
      </c>
      <c r="E4193" s="2" t="s">
        <v>156</v>
      </c>
      <c r="F4193" s="2" t="s">
        <v>45</v>
      </c>
      <c r="G4193" s="2"/>
      <c r="H4193" s="2"/>
      <c r="I4193" s="2"/>
      <c r="J4193" s="2"/>
    </row>
    <row r="4194" spans="1:10" x14ac:dyDescent="0.35">
      <c r="A4194" s="2" t="s">
        <v>1642</v>
      </c>
      <c r="B4194" s="2" t="s">
        <v>2066</v>
      </c>
      <c r="C4194" s="2" t="s">
        <v>12</v>
      </c>
      <c r="D4194" s="2" t="s">
        <v>2085</v>
      </c>
      <c r="E4194" s="2" t="s">
        <v>91</v>
      </c>
      <c r="F4194" s="2" t="s">
        <v>19</v>
      </c>
      <c r="G4194" s="2"/>
      <c r="H4194" s="2"/>
      <c r="I4194" s="2"/>
      <c r="J4194" s="2"/>
    </row>
    <row r="4195" spans="1:10" x14ac:dyDescent="0.35">
      <c r="A4195" s="2" t="s">
        <v>1642</v>
      </c>
      <c r="B4195" s="2" t="s">
        <v>2066</v>
      </c>
      <c r="C4195" s="2" t="s">
        <v>54</v>
      </c>
      <c r="D4195" s="2" t="s">
        <v>2086</v>
      </c>
      <c r="E4195" s="2" t="s">
        <v>155</v>
      </c>
      <c r="F4195" s="2" t="s">
        <v>32</v>
      </c>
      <c r="G4195" s="2"/>
      <c r="H4195" s="2"/>
      <c r="I4195" s="2"/>
      <c r="J4195" s="2"/>
    </row>
    <row r="4196" spans="1:10" x14ac:dyDescent="0.35">
      <c r="A4196" s="2" t="s">
        <v>1642</v>
      </c>
      <c r="B4196" s="2" t="s">
        <v>2066</v>
      </c>
      <c r="C4196" s="2" t="s">
        <v>54</v>
      </c>
      <c r="D4196" s="2" t="s">
        <v>2086</v>
      </c>
      <c r="E4196" s="2" t="s">
        <v>172</v>
      </c>
      <c r="F4196" s="2" t="s">
        <v>65</v>
      </c>
      <c r="G4196" s="2"/>
      <c r="H4196" s="2"/>
      <c r="I4196" s="2"/>
      <c r="J4196" s="2"/>
    </row>
    <row r="4197" spans="1:10" x14ac:dyDescent="0.35">
      <c r="A4197" s="2" t="s">
        <v>1642</v>
      </c>
      <c r="B4197" s="2" t="s">
        <v>2066</v>
      </c>
      <c r="C4197" s="2" t="s">
        <v>54</v>
      </c>
      <c r="D4197" s="2" t="s">
        <v>2086</v>
      </c>
      <c r="E4197" s="2" t="s">
        <v>168</v>
      </c>
      <c r="F4197" s="2" t="s">
        <v>45</v>
      </c>
      <c r="G4197" s="2" t="s">
        <v>20</v>
      </c>
      <c r="H4197" s="2" t="s">
        <v>2087</v>
      </c>
      <c r="I4197" s="2"/>
      <c r="J4197" s="2"/>
    </row>
    <row r="4198" spans="1:10" x14ac:dyDescent="0.35">
      <c r="A4198" s="2" t="s">
        <v>1642</v>
      </c>
      <c r="B4198" s="2" t="s">
        <v>2066</v>
      </c>
      <c r="C4198" s="2" t="s">
        <v>54</v>
      </c>
      <c r="D4198" s="2" t="s">
        <v>2086</v>
      </c>
      <c r="E4198" s="2" t="s">
        <v>18</v>
      </c>
      <c r="F4198" s="2" t="s">
        <v>19</v>
      </c>
      <c r="G4198" s="2" t="s">
        <v>20</v>
      </c>
      <c r="H4198" s="2" t="s">
        <v>2088</v>
      </c>
      <c r="I4198" s="2"/>
      <c r="J4198" s="2"/>
    </row>
    <row r="4199" spans="1:10" x14ac:dyDescent="0.35">
      <c r="A4199" s="2" t="s">
        <v>1642</v>
      </c>
      <c r="B4199" s="2" t="s">
        <v>2066</v>
      </c>
      <c r="C4199" s="2" t="s">
        <v>54</v>
      </c>
      <c r="D4199" s="2" t="s">
        <v>2086</v>
      </c>
      <c r="E4199" s="2" t="s">
        <v>1982</v>
      </c>
      <c r="F4199" s="2" t="s">
        <v>150</v>
      </c>
      <c r="G4199" s="2" t="s">
        <v>20</v>
      </c>
      <c r="H4199" s="2" t="s">
        <v>2089</v>
      </c>
      <c r="I4199" s="2"/>
      <c r="J4199" s="2"/>
    </row>
    <row r="4200" spans="1:10" x14ac:dyDescent="0.35">
      <c r="A4200" s="2" t="s">
        <v>1642</v>
      </c>
      <c r="B4200" s="2" t="s">
        <v>2066</v>
      </c>
      <c r="C4200" s="2" t="s">
        <v>24</v>
      </c>
      <c r="D4200" s="2" t="s">
        <v>2090</v>
      </c>
      <c r="E4200" s="2" t="s">
        <v>196</v>
      </c>
      <c r="F4200" s="2" t="s">
        <v>197</v>
      </c>
      <c r="G4200" s="2"/>
      <c r="H4200" s="2"/>
      <c r="I4200" s="2"/>
      <c r="J4200" s="2"/>
    </row>
    <row r="4201" spans="1:10" x14ac:dyDescent="0.35">
      <c r="A4201" s="2" t="s">
        <v>1642</v>
      </c>
      <c r="B4201" s="2" t="s">
        <v>2066</v>
      </c>
      <c r="C4201" s="2" t="s">
        <v>24</v>
      </c>
      <c r="D4201" s="2" t="s">
        <v>2090</v>
      </c>
      <c r="E4201" s="2" t="s">
        <v>14</v>
      </c>
      <c r="F4201" s="2" t="s">
        <v>15</v>
      </c>
      <c r="G4201" s="2"/>
      <c r="H4201" s="2"/>
      <c r="I4201" s="2"/>
      <c r="J4201" s="2"/>
    </row>
    <row r="4202" spans="1:10" x14ac:dyDescent="0.35">
      <c r="A4202" s="2" t="s">
        <v>1642</v>
      </c>
      <c r="B4202" s="2" t="s">
        <v>2066</v>
      </c>
      <c r="C4202" s="2" t="s">
        <v>24</v>
      </c>
      <c r="D4202" s="2" t="s">
        <v>2090</v>
      </c>
      <c r="E4202" s="2" t="s">
        <v>27</v>
      </c>
      <c r="F4202" s="2" t="s">
        <v>28</v>
      </c>
      <c r="G4202" s="2"/>
      <c r="H4202" s="2"/>
      <c r="I4202" s="2"/>
      <c r="J4202" s="2"/>
    </row>
    <row r="4203" spans="1:10" x14ac:dyDescent="0.35">
      <c r="A4203" s="2" t="s">
        <v>1642</v>
      </c>
      <c r="B4203" s="2" t="s">
        <v>2066</v>
      </c>
      <c r="C4203" s="2" t="s">
        <v>24</v>
      </c>
      <c r="D4203" s="2" t="s">
        <v>2090</v>
      </c>
      <c r="E4203" s="2" t="s">
        <v>198</v>
      </c>
      <c r="F4203" s="2" t="s">
        <v>65</v>
      </c>
      <c r="G4203" s="2"/>
      <c r="H4203" s="2"/>
      <c r="I4203" s="2"/>
      <c r="J4203" s="2"/>
    </row>
    <row r="4204" spans="1:10" x14ac:dyDescent="0.35">
      <c r="A4204" s="2" t="s">
        <v>1642</v>
      </c>
      <c r="B4204" s="2" t="s">
        <v>2066</v>
      </c>
      <c r="C4204" s="2" t="s">
        <v>24</v>
      </c>
      <c r="D4204" s="2" t="s">
        <v>2090</v>
      </c>
      <c r="E4204" s="2" t="s">
        <v>31</v>
      </c>
      <c r="F4204" s="2" t="s">
        <v>32</v>
      </c>
      <c r="G4204" s="2"/>
      <c r="H4204" s="2"/>
      <c r="I4204" s="2"/>
      <c r="J4204" s="2"/>
    </row>
    <row r="4205" spans="1:10" x14ac:dyDescent="0.35">
      <c r="A4205" s="2" t="s">
        <v>1642</v>
      </c>
      <c r="B4205" s="2" t="s">
        <v>2066</v>
      </c>
      <c r="C4205" s="2" t="s">
        <v>24</v>
      </c>
      <c r="D4205" s="2" t="s">
        <v>2090</v>
      </c>
      <c r="E4205" s="2" t="s">
        <v>96</v>
      </c>
      <c r="F4205" s="2" t="s">
        <v>83</v>
      </c>
      <c r="G4205" s="2"/>
      <c r="H4205" s="2"/>
      <c r="I4205" s="2"/>
      <c r="J4205" s="2"/>
    </row>
    <row r="4206" spans="1:10" x14ac:dyDescent="0.35">
      <c r="A4206" s="2" t="s">
        <v>1642</v>
      </c>
      <c r="B4206" s="2" t="s">
        <v>2066</v>
      </c>
      <c r="C4206" s="2" t="s">
        <v>24</v>
      </c>
      <c r="D4206" s="2" t="s">
        <v>2090</v>
      </c>
      <c r="E4206" s="2" t="s">
        <v>1260</v>
      </c>
      <c r="F4206" s="2" t="s">
        <v>363</v>
      </c>
      <c r="G4206" s="2"/>
      <c r="H4206" s="2"/>
      <c r="I4206" s="2"/>
      <c r="J4206" s="2"/>
    </row>
    <row r="4207" spans="1:10" x14ac:dyDescent="0.35">
      <c r="A4207" s="2" t="s">
        <v>1642</v>
      </c>
      <c r="B4207" s="2" t="s">
        <v>2066</v>
      </c>
      <c r="C4207" s="2" t="s">
        <v>24</v>
      </c>
      <c r="D4207" s="2" t="s">
        <v>2090</v>
      </c>
      <c r="E4207" s="2" t="s">
        <v>211</v>
      </c>
      <c r="F4207" s="2" t="s">
        <v>203</v>
      </c>
      <c r="G4207" s="2"/>
      <c r="H4207" s="2"/>
      <c r="I4207" s="2"/>
      <c r="J4207" s="2"/>
    </row>
    <row r="4208" spans="1:10" x14ac:dyDescent="0.35">
      <c r="A4208" s="2" t="s">
        <v>1642</v>
      </c>
      <c r="B4208" s="2" t="s">
        <v>2066</v>
      </c>
      <c r="C4208" s="2" t="s">
        <v>24</v>
      </c>
      <c r="D4208" s="2" t="s">
        <v>2090</v>
      </c>
      <c r="E4208" s="2" t="s">
        <v>212</v>
      </c>
      <c r="F4208" s="2" t="s">
        <v>78</v>
      </c>
      <c r="G4208" s="2"/>
      <c r="H4208" s="2"/>
      <c r="I4208" s="2"/>
      <c r="J4208" s="2"/>
    </row>
    <row r="4209" spans="1:10" s="21" customFormat="1" x14ac:dyDescent="0.35">
      <c r="A4209" s="2" t="s">
        <v>1642</v>
      </c>
      <c r="B4209" s="2" t="s">
        <v>2066</v>
      </c>
      <c r="C4209" s="2" t="s">
        <v>24</v>
      </c>
      <c r="D4209" s="2" t="s">
        <v>2090</v>
      </c>
      <c r="E4209" s="2" t="s">
        <v>815</v>
      </c>
      <c r="F4209" s="2" t="s">
        <v>122</v>
      </c>
      <c r="G4209" s="2"/>
      <c r="H4209" s="2"/>
      <c r="I4209" s="2"/>
      <c r="J4209" s="2"/>
    </row>
    <row r="4210" spans="1:10" x14ac:dyDescent="0.35">
      <c r="A4210" s="2" t="s">
        <v>1642</v>
      </c>
      <c r="B4210" s="2" t="s">
        <v>2066</v>
      </c>
      <c r="C4210" s="2" t="s">
        <v>24</v>
      </c>
      <c r="D4210" s="2" t="s">
        <v>2090</v>
      </c>
      <c r="E4210" s="2" t="s">
        <v>121</v>
      </c>
      <c r="F4210" s="2" t="s">
        <v>122</v>
      </c>
      <c r="G4210" s="2"/>
      <c r="H4210" s="2"/>
      <c r="I4210" s="2"/>
      <c r="J4210" s="2"/>
    </row>
    <row r="4211" spans="1:10" x14ac:dyDescent="0.35">
      <c r="A4211" s="2" t="s">
        <v>1642</v>
      </c>
      <c r="B4211" s="2" t="s">
        <v>2066</v>
      </c>
      <c r="C4211" s="2" t="s">
        <v>24</v>
      </c>
      <c r="D4211" s="2" t="s">
        <v>2090</v>
      </c>
      <c r="E4211" s="2" t="s">
        <v>2091</v>
      </c>
      <c r="F4211" s="2" t="s">
        <v>1419</v>
      </c>
      <c r="G4211" s="2"/>
      <c r="H4211" s="2"/>
      <c r="I4211" s="2"/>
      <c r="J4211" s="2"/>
    </row>
    <row r="4212" spans="1:10" x14ac:dyDescent="0.35">
      <c r="A4212" s="2" t="s">
        <v>1642</v>
      </c>
      <c r="B4212" s="2" t="s">
        <v>2066</v>
      </c>
      <c r="C4212" s="2" t="s">
        <v>24</v>
      </c>
      <c r="D4212" s="2" t="s">
        <v>2090</v>
      </c>
      <c r="E4212" s="2" t="s">
        <v>156</v>
      </c>
      <c r="F4212" s="2" t="s">
        <v>45</v>
      </c>
      <c r="G4212" s="2"/>
      <c r="H4212" s="2"/>
      <c r="I4212" s="2"/>
      <c r="J4212" s="2"/>
    </row>
    <row r="4213" spans="1:10" x14ac:dyDescent="0.35">
      <c r="A4213" s="2" t="s">
        <v>1642</v>
      </c>
      <c r="B4213" s="2" t="s">
        <v>2066</v>
      </c>
      <c r="C4213" s="2" t="s">
        <v>24</v>
      </c>
      <c r="D4213" s="2" t="s">
        <v>2090</v>
      </c>
      <c r="E4213" s="2" t="s">
        <v>168</v>
      </c>
      <c r="F4213" s="2" t="s">
        <v>45</v>
      </c>
      <c r="G4213" s="2"/>
      <c r="H4213" s="2"/>
      <c r="I4213" s="2"/>
      <c r="J4213" s="2"/>
    </row>
    <row r="4214" spans="1:10" x14ac:dyDescent="0.35">
      <c r="A4214" s="2" t="s">
        <v>1642</v>
      </c>
      <c r="B4214" s="2" t="s">
        <v>2066</v>
      </c>
      <c r="C4214" s="2" t="s">
        <v>24</v>
      </c>
      <c r="D4214" s="2" t="s">
        <v>2090</v>
      </c>
      <c r="E4214" s="2" t="s">
        <v>2092</v>
      </c>
      <c r="F4214" s="2" t="s">
        <v>40</v>
      </c>
      <c r="G4214" s="2"/>
      <c r="H4214" s="2"/>
      <c r="I4214" s="2"/>
      <c r="J4214" s="2"/>
    </row>
    <row r="4215" spans="1:10" x14ac:dyDescent="0.35">
      <c r="A4215" s="2" t="s">
        <v>1642</v>
      </c>
      <c r="B4215" s="2" t="s">
        <v>2066</v>
      </c>
      <c r="C4215" s="2" t="s">
        <v>24</v>
      </c>
      <c r="D4215" s="2" t="s">
        <v>2090</v>
      </c>
      <c r="E4215" s="2" t="s">
        <v>87</v>
      </c>
      <c r="F4215" s="2" t="s">
        <v>75</v>
      </c>
      <c r="G4215" s="2"/>
      <c r="H4215" s="2"/>
      <c r="I4215" s="2"/>
      <c r="J4215" s="2"/>
    </row>
    <row r="4216" spans="1:10" x14ac:dyDescent="0.35">
      <c r="A4216" s="2" t="s">
        <v>1642</v>
      </c>
      <c r="B4216" s="2" t="s">
        <v>2066</v>
      </c>
      <c r="C4216" s="2" t="s">
        <v>24</v>
      </c>
      <c r="D4216" s="2" t="s">
        <v>2090</v>
      </c>
      <c r="E4216" s="2" t="s">
        <v>417</v>
      </c>
      <c r="F4216" s="2" t="s">
        <v>40</v>
      </c>
      <c r="G4216" s="2"/>
      <c r="H4216" s="2"/>
      <c r="I4216" s="2"/>
      <c r="J4216" s="2"/>
    </row>
    <row r="4217" spans="1:10" s="19" customFormat="1" x14ac:dyDescent="0.35">
      <c r="A4217" s="2" t="s">
        <v>1642</v>
      </c>
      <c r="B4217" s="2" t="s">
        <v>2066</v>
      </c>
      <c r="C4217" s="2" t="s">
        <v>24</v>
      </c>
      <c r="D4217" s="2" t="s">
        <v>2090</v>
      </c>
      <c r="E4217" s="2" t="s">
        <v>1088</v>
      </c>
      <c r="F4217" s="2" t="s">
        <v>40</v>
      </c>
      <c r="G4217" s="2" t="s">
        <v>20</v>
      </c>
      <c r="H4217" s="2" t="s">
        <v>2093</v>
      </c>
      <c r="I4217" s="2"/>
      <c r="J4217" s="2"/>
    </row>
    <row r="4218" spans="1:10" x14ac:dyDescent="0.35">
      <c r="A4218" s="2" t="s">
        <v>1642</v>
      </c>
      <c r="B4218" s="2" t="s">
        <v>2066</v>
      </c>
      <c r="C4218" s="2" t="s">
        <v>24</v>
      </c>
      <c r="D4218" s="2" t="s">
        <v>2090</v>
      </c>
      <c r="E4218" s="2" t="s">
        <v>18</v>
      </c>
      <c r="F4218" s="2" t="s">
        <v>19</v>
      </c>
      <c r="G4218" s="2" t="s">
        <v>20</v>
      </c>
      <c r="H4218" s="2" t="s">
        <v>2094</v>
      </c>
      <c r="I4218" s="2"/>
      <c r="J4218" s="2"/>
    </row>
    <row r="4219" spans="1:10" x14ac:dyDescent="0.35">
      <c r="A4219" s="2" t="s">
        <v>1642</v>
      </c>
      <c r="B4219" s="2" t="s">
        <v>2066</v>
      </c>
      <c r="C4219" s="2" t="s">
        <v>24</v>
      </c>
      <c r="D4219" s="2" t="s">
        <v>2090</v>
      </c>
      <c r="E4219" s="2" t="s">
        <v>61</v>
      </c>
      <c r="F4219" s="2" t="s">
        <v>30</v>
      </c>
      <c r="G4219" s="2"/>
      <c r="H4219" s="2"/>
      <c r="I4219" s="2"/>
      <c r="J4219" s="2"/>
    </row>
    <row r="4220" spans="1:10" x14ac:dyDescent="0.35">
      <c r="A4220" s="2" t="s">
        <v>1642</v>
      </c>
      <c r="B4220" s="2" t="s">
        <v>2066</v>
      </c>
      <c r="C4220" s="2" t="s">
        <v>24</v>
      </c>
      <c r="D4220" s="2" t="s">
        <v>2090</v>
      </c>
      <c r="E4220" s="2" t="s">
        <v>1803</v>
      </c>
      <c r="F4220" s="2" t="s">
        <v>2095</v>
      </c>
      <c r="G4220" s="2"/>
      <c r="H4220" s="2"/>
      <c r="I4220" s="2"/>
      <c r="J4220" s="2"/>
    </row>
    <row r="4221" spans="1:10" x14ac:dyDescent="0.35">
      <c r="A4221" s="2" t="s">
        <v>1642</v>
      </c>
      <c r="B4221" s="2" t="s">
        <v>2066</v>
      </c>
      <c r="C4221" s="2" t="s">
        <v>24</v>
      </c>
      <c r="D4221" s="2" t="s">
        <v>2090</v>
      </c>
      <c r="E4221" s="2" t="s">
        <v>939</v>
      </c>
      <c r="F4221" s="2" t="s">
        <v>65</v>
      </c>
      <c r="G4221" s="2"/>
      <c r="H4221" s="2"/>
      <c r="I4221" s="2"/>
      <c r="J4221" s="2"/>
    </row>
    <row r="4222" spans="1:10" x14ac:dyDescent="0.35">
      <c r="A4222" s="2" t="s">
        <v>1642</v>
      </c>
      <c r="B4222" s="2" t="s">
        <v>2066</v>
      </c>
      <c r="C4222" s="2" t="s">
        <v>24</v>
      </c>
      <c r="D4222" s="2" t="s">
        <v>2090</v>
      </c>
      <c r="E4222" s="2" t="s">
        <v>1982</v>
      </c>
      <c r="F4222" s="2" t="s">
        <v>150</v>
      </c>
      <c r="G4222" s="2"/>
      <c r="H4222" s="2"/>
      <c r="I4222" s="2"/>
      <c r="J4222" s="2"/>
    </row>
    <row r="4223" spans="1:10" x14ac:dyDescent="0.35">
      <c r="A4223" s="2" t="s">
        <v>1642</v>
      </c>
      <c r="B4223" s="2" t="s">
        <v>2066</v>
      </c>
      <c r="C4223" s="2" t="s">
        <v>24</v>
      </c>
      <c r="D4223" s="2" t="s">
        <v>2096</v>
      </c>
      <c r="E4223" s="2" t="s">
        <v>1163</v>
      </c>
      <c r="F4223" s="2" t="s">
        <v>201</v>
      </c>
      <c r="G4223" s="2"/>
      <c r="H4223" s="2"/>
      <c r="I4223" s="2"/>
      <c r="J4223" s="2"/>
    </row>
    <row r="4224" spans="1:10" x14ac:dyDescent="0.35">
      <c r="A4224" s="2" t="s">
        <v>1642</v>
      </c>
      <c r="B4224" s="2" t="s">
        <v>2066</v>
      </c>
      <c r="C4224" s="2" t="s">
        <v>24</v>
      </c>
      <c r="D4224" s="2" t="s">
        <v>2096</v>
      </c>
      <c r="E4224" s="2" t="s">
        <v>96</v>
      </c>
      <c r="F4224" s="2" t="s">
        <v>83</v>
      </c>
      <c r="G4224" s="2"/>
      <c r="H4224" s="2"/>
      <c r="I4224" s="2"/>
      <c r="J4224" s="2"/>
    </row>
    <row r="4225" spans="1:10" x14ac:dyDescent="0.35">
      <c r="A4225" s="2" t="s">
        <v>1642</v>
      </c>
      <c r="B4225" s="2" t="s">
        <v>2066</v>
      </c>
      <c r="C4225" s="2" t="s">
        <v>24</v>
      </c>
      <c r="D4225" s="2" t="s">
        <v>2096</v>
      </c>
      <c r="E4225" s="2" t="s">
        <v>121</v>
      </c>
      <c r="F4225" s="2" t="s">
        <v>122</v>
      </c>
      <c r="G4225" s="2"/>
      <c r="H4225" s="2"/>
      <c r="I4225" s="2"/>
      <c r="J4225" s="2"/>
    </row>
    <row r="4226" spans="1:10" x14ac:dyDescent="0.35">
      <c r="A4226" s="2" t="s">
        <v>1642</v>
      </c>
      <c r="B4226" s="2" t="s">
        <v>2066</v>
      </c>
      <c r="C4226" s="2" t="s">
        <v>24</v>
      </c>
      <c r="D4226" s="2" t="s">
        <v>2096</v>
      </c>
      <c r="E4226" s="2" t="s">
        <v>393</v>
      </c>
      <c r="F4226" s="2" t="s">
        <v>36</v>
      </c>
      <c r="G4226" s="2"/>
      <c r="H4226" s="2"/>
      <c r="I4226" s="2"/>
      <c r="J4226" s="2"/>
    </row>
    <row r="4227" spans="1:10" x14ac:dyDescent="0.35">
      <c r="A4227" s="2" t="s">
        <v>1642</v>
      </c>
      <c r="B4227" s="2" t="s">
        <v>2066</v>
      </c>
      <c r="C4227" s="2" t="s">
        <v>24</v>
      </c>
      <c r="D4227" s="2" t="s">
        <v>2096</v>
      </c>
      <c r="E4227" s="2" t="s">
        <v>18</v>
      </c>
      <c r="F4227" s="2" t="s">
        <v>19</v>
      </c>
      <c r="G4227" s="2" t="s">
        <v>20</v>
      </c>
      <c r="H4227" s="2" t="s">
        <v>2097</v>
      </c>
      <c r="I4227" s="2"/>
      <c r="J4227" s="2"/>
    </row>
    <row r="4228" spans="1:10" x14ac:dyDescent="0.35">
      <c r="A4228" s="2" t="s">
        <v>1642</v>
      </c>
      <c r="B4228" s="2" t="s">
        <v>2066</v>
      </c>
      <c r="C4228" s="2" t="s">
        <v>24</v>
      </c>
      <c r="D4228" s="2" t="s">
        <v>2098</v>
      </c>
      <c r="E4228" s="2" t="s">
        <v>14</v>
      </c>
      <c r="F4228" s="2" t="s">
        <v>15</v>
      </c>
      <c r="G4228" s="2"/>
      <c r="H4228" s="2"/>
      <c r="I4228" s="2"/>
      <c r="J4228" s="2"/>
    </row>
    <row r="4229" spans="1:10" x14ac:dyDescent="0.35">
      <c r="A4229" s="2" t="s">
        <v>1642</v>
      </c>
      <c r="B4229" s="2" t="s">
        <v>2066</v>
      </c>
      <c r="C4229" s="2" t="s">
        <v>24</v>
      </c>
      <c r="D4229" s="2" t="s">
        <v>2098</v>
      </c>
      <c r="E4229" s="2" t="s">
        <v>98</v>
      </c>
      <c r="F4229" s="2" t="s">
        <v>98</v>
      </c>
      <c r="G4229" s="2"/>
      <c r="H4229" s="2"/>
      <c r="I4229" s="2"/>
      <c r="J4229" s="2"/>
    </row>
    <row r="4230" spans="1:10" x14ac:dyDescent="0.35">
      <c r="A4230" s="2" t="s">
        <v>1642</v>
      </c>
      <c r="B4230" s="2" t="s">
        <v>2066</v>
      </c>
      <c r="C4230" s="2" t="s">
        <v>24</v>
      </c>
      <c r="D4230" s="2" t="s">
        <v>2098</v>
      </c>
      <c r="E4230" s="2" t="s">
        <v>438</v>
      </c>
      <c r="F4230" s="2" t="s">
        <v>19</v>
      </c>
      <c r="G4230" s="2" t="s">
        <v>20</v>
      </c>
      <c r="H4230" s="2" t="s">
        <v>1977</v>
      </c>
      <c r="I4230" s="2"/>
      <c r="J4230" s="2"/>
    </row>
    <row r="4231" spans="1:10" x14ac:dyDescent="0.35">
      <c r="A4231" s="2" t="s">
        <v>1642</v>
      </c>
      <c r="B4231" s="2" t="s">
        <v>2066</v>
      </c>
      <c r="C4231" s="2" t="s">
        <v>24</v>
      </c>
      <c r="D4231" s="2" t="s">
        <v>2098</v>
      </c>
      <c r="E4231" s="2" t="s">
        <v>89</v>
      </c>
      <c r="F4231" s="2" t="s">
        <v>45</v>
      </c>
      <c r="G4231" s="2" t="s">
        <v>20</v>
      </c>
      <c r="H4231" s="2" t="s">
        <v>1977</v>
      </c>
      <c r="I4231" s="2"/>
      <c r="J4231" s="2"/>
    </row>
    <row r="4232" spans="1:10" x14ac:dyDescent="0.35">
      <c r="A4232" s="2" t="s">
        <v>1642</v>
      </c>
      <c r="B4232" s="2" t="s">
        <v>2066</v>
      </c>
      <c r="C4232" s="2" t="s">
        <v>24</v>
      </c>
      <c r="D4232" s="2" t="s">
        <v>2098</v>
      </c>
      <c r="E4232" s="2" t="s">
        <v>61</v>
      </c>
      <c r="F4232" s="2" t="s">
        <v>30</v>
      </c>
      <c r="G4232" s="2"/>
      <c r="H4232" s="2"/>
      <c r="I4232" s="2"/>
      <c r="J4232" s="2"/>
    </row>
    <row r="4233" spans="1:10" x14ac:dyDescent="0.35">
      <c r="A4233" s="2" t="s">
        <v>1642</v>
      </c>
      <c r="B4233" s="2" t="s">
        <v>2066</v>
      </c>
      <c r="C4233" s="2" t="s">
        <v>62</v>
      </c>
      <c r="D4233" s="2" t="s">
        <v>2099</v>
      </c>
      <c r="E4233" s="2" t="s">
        <v>74</v>
      </c>
      <c r="F4233" s="2" t="s">
        <v>75</v>
      </c>
      <c r="G4233" s="2"/>
      <c r="H4233" s="2"/>
      <c r="I4233" s="2"/>
      <c r="J4233" s="2"/>
    </row>
    <row r="4234" spans="1:10" x14ac:dyDescent="0.35">
      <c r="A4234" s="2" t="s">
        <v>1642</v>
      </c>
      <c r="B4234" s="2" t="s">
        <v>2066</v>
      </c>
      <c r="C4234" s="2" t="s">
        <v>62</v>
      </c>
      <c r="D4234" s="2" t="s">
        <v>2099</v>
      </c>
      <c r="E4234" s="2" t="s">
        <v>31</v>
      </c>
      <c r="F4234" s="2" t="s">
        <v>32</v>
      </c>
      <c r="G4234" s="2"/>
      <c r="H4234" s="2"/>
      <c r="I4234" s="2"/>
      <c r="J4234" s="2"/>
    </row>
    <row r="4235" spans="1:10" x14ac:dyDescent="0.35">
      <c r="A4235" s="2" t="s">
        <v>1642</v>
      </c>
      <c r="B4235" s="2" t="s">
        <v>2066</v>
      </c>
      <c r="C4235" s="2" t="s">
        <v>62</v>
      </c>
      <c r="D4235" s="2" t="s">
        <v>2099</v>
      </c>
      <c r="E4235" s="2" t="s">
        <v>172</v>
      </c>
      <c r="F4235" s="2" t="s">
        <v>65</v>
      </c>
      <c r="G4235" s="2"/>
      <c r="H4235" s="2"/>
      <c r="I4235" s="2"/>
      <c r="J4235" s="2"/>
    </row>
    <row r="4236" spans="1:10" x14ac:dyDescent="0.35">
      <c r="A4236" s="2" t="s">
        <v>1642</v>
      </c>
      <c r="B4236" s="2" t="s">
        <v>2066</v>
      </c>
      <c r="C4236" s="2" t="s">
        <v>62</v>
      </c>
      <c r="D4236" s="2" t="s">
        <v>2099</v>
      </c>
      <c r="E4236" s="2" t="s">
        <v>1444</v>
      </c>
      <c r="F4236" s="2" t="s">
        <v>83</v>
      </c>
      <c r="G4236" s="2"/>
      <c r="H4236" s="2"/>
      <c r="I4236" s="2"/>
      <c r="J4236" s="2"/>
    </row>
    <row r="4237" spans="1:10" x14ac:dyDescent="0.35">
      <c r="A4237" s="2" t="s">
        <v>1642</v>
      </c>
      <c r="B4237" s="2" t="s">
        <v>2066</v>
      </c>
      <c r="C4237" s="2" t="s">
        <v>62</v>
      </c>
      <c r="D4237" s="2" t="s">
        <v>2099</v>
      </c>
      <c r="E4237" s="2" t="s">
        <v>18</v>
      </c>
      <c r="F4237" s="2" t="s">
        <v>19</v>
      </c>
      <c r="G4237" s="2"/>
      <c r="H4237" s="2"/>
      <c r="I4237" s="2"/>
      <c r="J4237" s="2"/>
    </row>
    <row r="4238" spans="1:10" x14ac:dyDescent="0.35">
      <c r="A4238" s="2" t="s">
        <v>1642</v>
      </c>
      <c r="B4238" s="2" t="s">
        <v>2066</v>
      </c>
      <c r="C4238" s="2" t="s">
        <v>62</v>
      </c>
      <c r="D4238" s="2" t="s">
        <v>2099</v>
      </c>
      <c r="E4238" s="2" t="s">
        <v>2100</v>
      </c>
      <c r="F4238" s="2" t="s">
        <v>75</v>
      </c>
      <c r="G4238" s="2"/>
      <c r="H4238" s="2"/>
      <c r="I4238" s="2"/>
      <c r="J4238" s="2"/>
    </row>
    <row r="4239" spans="1:10" x14ac:dyDescent="0.35">
      <c r="A4239" s="2" t="s">
        <v>1642</v>
      </c>
      <c r="B4239" s="2" t="s">
        <v>2066</v>
      </c>
      <c r="C4239" s="2" t="s">
        <v>62</v>
      </c>
      <c r="D4239" s="2" t="s">
        <v>2099</v>
      </c>
      <c r="E4239" s="2" t="s">
        <v>352</v>
      </c>
      <c r="F4239" s="2" t="s">
        <v>107</v>
      </c>
      <c r="G4239" s="2"/>
      <c r="H4239" s="2"/>
      <c r="I4239" s="2"/>
      <c r="J4239" s="2"/>
    </row>
    <row r="4240" spans="1:10" x14ac:dyDescent="0.35">
      <c r="A4240" s="2" t="s">
        <v>1642</v>
      </c>
      <c r="B4240" s="2" t="s">
        <v>2066</v>
      </c>
      <c r="C4240" s="2" t="s">
        <v>62</v>
      </c>
      <c r="D4240" s="2" t="s">
        <v>2099</v>
      </c>
      <c r="E4240" s="2" t="s">
        <v>1982</v>
      </c>
      <c r="F4240" s="2" t="s">
        <v>150</v>
      </c>
      <c r="G4240" s="2"/>
      <c r="H4240" s="2"/>
      <c r="I4240" s="2"/>
      <c r="J4240" s="2"/>
    </row>
    <row r="4241" spans="1:10" x14ac:dyDescent="0.35">
      <c r="A4241" s="2" t="s">
        <v>1642</v>
      </c>
      <c r="B4241" s="2" t="s">
        <v>2066</v>
      </c>
      <c r="C4241" s="2" t="s">
        <v>62</v>
      </c>
      <c r="D4241" s="2" t="s">
        <v>2099</v>
      </c>
      <c r="E4241" s="2" t="s">
        <v>1283</v>
      </c>
      <c r="F4241" s="2" t="s">
        <v>65</v>
      </c>
      <c r="G4241" s="2"/>
      <c r="H4241" s="2"/>
      <c r="I4241" s="2"/>
      <c r="J4241" s="2"/>
    </row>
    <row r="4242" spans="1:10" x14ac:dyDescent="0.35">
      <c r="A4242" s="2" t="s">
        <v>1642</v>
      </c>
      <c r="B4242" s="2" t="s">
        <v>2066</v>
      </c>
      <c r="C4242" s="2" t="s">
        <v>12</v>
      </c>
      <c r="D4242" s="2" t="s">
        <v>2101</v>
      </c>
      <c r="E4242" s="2" t="s">
        <v>74</v>
      </c>
      <c r="F4242" s="2" t="s">
        <v>75</v>
      </c>
      <c r="G4242" s="2"/>
      <c r="H4242" s="2"/>
      <c r="I4242" s="2"/>
      <c r="J4242" s="2"/>
    </row>
    <row r="4243" spans="1:10" s="21" customFormat="1" x14ac:dyDescent="0.35">
      <c r="A4243" s="2" t="s">
        <v>1642</v>
      </c>
      <c r="B4243" s="2" t="s">
        <v>2102</v>
      </c>
      <c r="C4243" s="2" t="s">
        <v>54</v>
      </c>
      <c r="D4243" s="2" t="s">
        <v>2103</v>
      </c>
      <c r="E4243" s="2" t="s">
        <v>130</v>
      </c>
      <c r="F4243" s="2" t="s">
        <v>36</v>
      </c>
      <c r="G4243" s="2"/>
      <c r="H4243" s="2"/>
      <c r="I4243" s="2"/>
      <c r="J4243" s="2"/>
    </row>
    <row r="4244" spans="1:10" s="21" customFormat="1" x14ac:dyDescent="0.35">
      <c r="A4244" s="2" t="s">
        <v>1642</v>
      </c>
      <c r="B4244" s="2" t="s">
        <v>2102</v>
      </c>
      <c r="C4244" s="2" t="s">
        <v>54</v>
      </c>
      <c r="D4244" s="2" t="s">
        <v>2103</v>
      </c>
      <c r="E4244" s="2" t="s">
        <v>91</v>
      </c>
      <c r="F4244" s="2" t="s">
        <v>19</v>
      </c>
      <c r="G4244" s="2"/>
      <c r="H4244" s="2"/>
      <c r="I4244" s="2"/>
      <c r="J4244" s="2"/>
    </row>
    <row r="4245" spans="1:10" s="21" customFormat="1" x14ac:dyDescent="0.35">
      <c r="A4245" s="2" t="s">
        <v>1642</v>
      </c>
      <c r="B4245" s="2" t="s">
        <v>2102</v>
      </c>
      <c r="C4245" s="2" t="s">
        <v>54</v>
      </c>
      <c r="D4245" s="2" t="s">
        <v>2103</v>
      </c>
      <c r="E4245" s="2" t="s">
        <v>89</v>
      </c>
      <c r="F4245" s="2" t="s">
        <v>45</v>
      </c>
      <c r="G4245" s="2"/>
      <c r="H4245" s="2"/>
      <c r="I4245" s="2"/>
      <c r="J4245" s="2"/>
    </row>
    <row r="4246" spans="1:10" x14ac:dyDescent="0.35">
      <c r="A4246" s="2" t="s">
        <v>1642</v>
      </c>
      <c r="B4246" s="2" t="s">
        <v>2102</v>
      </c>
      <c r="C4246" s="2" t="s">
        <v>57</v>
      </c>
      <c r="D4246" s="2" t="s">
        <v>2104</v>
      </c>
      <c r="E4246" s="2" t="s">
        <v>417</v>
      </c>
      <c r="F4246" s="2" t="s">
        <v>40</v>
      </c>
      <c r="G4246" s="2"/>
      <c r="H4246" s="2"/>
      <c r="I4246" s="2" t="s">
        <v>20</v>
      </c>
      <c r="J4246" s="2" t="s">
        <v>2105</v>
      </c>
    </row>
    <row r="4247" spans="1:10" x14ac:dyDescent="0.35">
      <c r="A4247" s="2" t="s">
        <v>1642</v>
      </c>
      <c r="B4247" s="2" t="s">
        <v>2102</v>
      </c>
      <c r="C4247" s="2" t="s">
        <v>57</v>
      </c>
      <c r="D4247" s="2" t="s">
        <v>2104</v>
      </c>
      <c r="E4247" s="2" t="s">
        <v>18</v>
      </c>
      <c r="F4247" s="2" t="s">
        <v>19</v>
      </c>
      <c r="G4247" s="2" t="s">
        <v>20</v>
      </c>
      <c r="H4247" s="2" t="s">
        <v>2009</v>
      </c>
      <c r="I4247" s="2" t="s">
        <v>20</v>
      </c>
      <c r="J4247" s="2" t="s">
        <v>2105</v>
      </c>
    </row>
    <row r="4248" spans="1:10" x14ac:dyDescent="0.35">
      <c r="A4248" s="2" t="s">
        <v>1642</v>
      </c>
      <c r="B4248" s="2" t="s">
        <v>2102</v>
      </c>
      <c r="C4248" s="2" t="s">
        <v>57</v>
      </c>
      <c r="D4248" s="2" t="s">
        <v>2104</v>
      </c>
      <c r="E4248" s="2" t="s">
        <v>1681</v>
      </c>
      <c r="F4248" s="2" t="s">
        <v>1650</v>
      </c>
      <c r="G4248" s="2"/>
      <c r="H4248" s="2"/>
      <c r="I4248" s="2" t="s">
        <v>20</v>
      </c>
      <c r="J4248" s="2" t="s">
        <v>2105</v>
      </c>
    </row>
    <row r="4249" spans="1:10" x14ac:dyDescent="0.35">
      <c r="A4249" s="2" t="s">
        <v>1642</v>
      </c>
      <c r="B4249" s="2" t="s">
        <v>2102</v>
      </c>
      <c r="C4249" s="2" t="s">
        <v>24</v>
      </c>
      <c r="D4249" s="2" t="s">
        <v>2106</v>
      </c>
      <c r="E4249" s="2" t="s">
        <v>136</v>
      </c>
      <c r="F4249" s="2" t="s">
        <v>1650</v>
      </c>
      <c r="G4249" s="2"/>
      <c r="H4249" s="2"/>
      <c r="I4249" s="2" t="s">
        <v>20</v>
      </c>
      <c r="J4249" s="2" t="s">
        <v>2105</v>
      </c>
    </row>
    <row r="4250" spans="1:10" x14ac:dyDescent="0.35">
      <c r="A4250" s="2" t="s">
        <v>1642</v>
      </c>
      <c r="B4250" s="2" t="s">
        <v>2102</v>
      </c>
      <c r="C4250" s="2" t="s">
        <v>24</v>
      </c>
      <c r="D4250" s="2" t="s">
        <v>2106</v>
      </c>
      <c r="E4250" s="2" t="s">
        <v>35</v>
      </c>
      <c r="F4250" s="2" t="s">
        <v>36</v>
      </c>
      <c r="G4250" s="2"/>
      <c r="H4250" s="2"/>
      <c r="I4250" s="2" t="s">
        <v>20</v>
      </c>
      <c r="J4250" s="2" t="s">
        <v>2105</v>
      </c>
    </row>
    <row r="4251" spans="1:10" x14ac:dyDescent="0.35">
      <c r="A4251" s="2" t="s">
        <v>1642</v>
      </c>
      <c r="B4251" s="2" t="s">
        <v>2102</v>
      </c>
      <c r="C4251" s="2" t="s">
        <v>24</v>
      </c>
      <c r="D4251" s="2" t="s">
        <v>2106</v>
      </c>
      <c r="E4251" s="2" t="s">
        <v>91</v>
      </c>
      <c r="F4251" s="2" t="s">
        <v>19</v>
      </c>
      <c r="G4251" s="2" t="s">
        <v>20</v>
      </c>
      <c r="H4251" s="2" t="s">
        <v>2107</v>
      </c>
      <c r="I4251" s="2" t="s">
        <v>20</v>
      </c>
      <c r="J4251" s="2" t="s">
        <v>2105</v>
      </c>
    </row>
    <row r="4252" spans="1:10" x14ac:dyDescent="0.35">
      <c r="A4252" s="2" t="s">
        <v>1642</v>
      </c>
      <c r="B4252" s="2" t="s">
        <v>2102</v>
      </c>
      <c r="C4252" s="2" t="s">
        <v>54</v>
      </c>
      <c r="D4252" s="2" t="s">
        <v>2108</v>
      </c>
      <c r="E4252" s="2" t="s">
        <v>2109</v>
      </c>
      <c r="F4252" s="2" t="s">
        <v>15</v>
      </c>
      <c r="G4252" s="2"/>
      <c r="H4252" s="2"/>
      <c r="I4252" s="2"/>
      <c r="J4252" s="2"/>
    </row>
    <row r="4253" spans="1:10" x14ac:dyDescent="0.35">
      <c r="A4253" s="2" t="s">
        <v>1642</v>
      </c>
      <c r="B4253" s="2" t="s">
        <v>2102</v>
      </c>
      <c r="C4253" s="2" t="s">
        <v>54</v>
      </c>
      <c r="D4253" s="2" t="s">
        <v>2108</v>
      </c>
      <c r="E4253" s="2" t="s">
        <v>18</v>
      </c>
      <c r="F4253" s="2" t="s">
        <v>19</v>
      </c>
      <c r="G4253" s="2"/>
      <c r="H4253" s="2"/>
      <c r="I4253" s="2"/>
      <c r="J4253" s="2"/>
    </row>
    <row r="4254" spans="1:10" x14ac:dyDescent="0.35">
      <c r="A4254" s="2" t="s">
        <v>1642</v>
      </c>
      <c r="B4254" s="2" t="s">
        <v>2102</v>
      </c>
      <c r="C4254" s="2" t="s">
        <v>54</v>
      </c>
      <c r="D4254" s="2" t="s">
        <v>2108</v>
      </c>
      <c r="E4254" s="2" t="s">
        <v>121</v>
      </c>
      <c r="F4254" s="2" t="s">
        <v>122</v>
      </c>
      <c r="G4254" s="2"/>
      <c r="H4254" s="2"/>
      <c r="I4254" s="2"/>
      <c r="J4254" s="2"/>
    </row>
    <row r="4255" spans="1:10" x14ac:dyDescent="0.35">
      <c r="A4255" s="2" t="s">
        <v>1642</v>
      </c>
      <c r="B4255" s="2" t="s">
        <v>2102</v>
      </c>
      <c r="C4255" s="2" t="s">
        <v>12</v>
      </c>
      <c r="D4255" s="2" t="s">
        <v>2110</v>
      </c>
      <c r="E4255" s="2" t="s">
        <v>130</v>
      </c>
      <c r="F4255" s="2" t="s">
        <v>36</v>
      </c>
      <c r="G4255" s="2"/>
      <c r="H4255" s="2"/>
      <c r="I4255" s="2" t="s">
        <v>20</v>
      </c>
      <c r="J4255" s="2" t="s">
        <v>2105</v>
      </c>
    </row>
    <row r="4256" spans="1:10" x14ac:dyDescent="0.35">
      <c r="A4256" s="2" t="s">
        <v>1642</v>
      </c>
      <c r="B4256" s="2" t="s">
        <v>2102</v>
      </c>
      <c r="C4256" s="2" t="s">
        <v>12</v>
      </c>
      <c r="D4256" s="2" t="s">
        <v>2110</v>
      </c>
      <c r="E4256" s="2" t="s">
        <v>91</v>
      </c>
      <c r="F4256" s="2" t="s">
        <v>19</v>
      </c>
      <c r="G4256" s="2" t="s">
        <v>20</v>
      </c>
      <c r="H4256" s="2" t="s">
        <v>2111</v>
      </c>
      <c r="I4256" s="2" t="s">
        <v>20</v>
      </c>
      <c r="J4256" s="2" t="s">
        <v>2105</v>
      </c>
    </row>
    <row r="4257" spans="1:10" x14ac:dyDescent="0.35">
      <c r="A4257" s="2" t="s">
        <v>1642</v>
      </c>
      <c r="B4257" s="2" t="s">
        <v>2102</v>
      </c>
      <c r="C4257" s="2" t="s">
        <v>12</v>
      </c>
      <c r="D4257" s="2" t="s">
        <v>2110</v>
      </c>
      <c r="E4257" s="2" t="s">
        <v>87</v>
      </c>
      <c r="F4257" s="2" t="s">
        <v>75</v>
      </c>
      <c r="G4257" s="2" t="s">
        <v>20</v>
      </c>
      <c r="H4257" s="2" t="s">
        <v>2112</v>
      </c>
      <c r="I4257" s="2" t="s">
        <v>20</v>
      </c>
      <c r="J4257" s="2" t="s">
        <v>2105</v>
      </c>
    </row>
    <row r="4258" spans="1:10" x14ac:dyDescent="0.35">
      <c r="A4258" s="2" t="s">
        <v>1642</v>
      </c>
      <c r="B4258" s="2" t="s">
        <v>2102</v>
      </c>
      <c r="C4258" s="2" t="s">
        <v>12</v>
      </c>
      <c r="D4258" s="2" t="s">
        <v>2110</v>
      </c>
      <c r="E4258" s="2" t="s">
        <v>61</v>
      </c>
      <c r="F4258" s="2" t="s">
        <v>30</v>
      </c>
      <c r="G4258" s="2"/>
      <c r="H4258" s="2"/>
      <c r="I4258" s="2" t="s">
        <v>20</v>
      </c>
      <c r="J4258" s="2" t="s">
        <v>2105</v>
      </c>
    </row>
    <row r="4259" spans="1:10" x14ac:dyDescent="0.35">
      <c r="A4259" s="2" t="s">
        <v>1642</v>
      </c>
      <c r="B4259" s="2" t="s">
        <v>2102</v>
      </c>
      <c r="C4259" s="2" t="s">
        <v>54</v>
      </c>
      <c r="D4259" s="2" t="s">
        <v>2113</v>
      </c>
      <c r="E4259" s="2" t="s">
        <v>91</v>
      </c>
      <c r="F4259" s="2" t="s">
        <v>19</v>
      </c>
      <c r="G4259" s="2"/>
      <c r="H4259" s="2"/>
      <c r="I4259" s="2" t="s">
        <v>20</v>
      </c>
      <c r="J4259" s="2" t="s">
        <v>2105</v>
      </c>
    </row>
    <row r="4260" spans="1:10" x14ac:dyDescent="0.35">
      <c r="A4260" s="2" t="s">
        <v>1642</v>
      </c>
      <c r="B4260" s="2" t="s">
        <v>2102</v>
      </c>
      <c r="C4260" s="2" t="s">
        <v>54</v>
      </c>
      <c r="D4260" s="2" t="s">
        <v>2114</v>
      </c>
      <c r="E4260" s="2" t="s">
        <v>155</v>
      </c>
      <c r="F4260" s="2" t="s">
        <v>32</v>
      </c>
      <c r="G4260" s="2"/>
      <c r="H4260" s="2"/>
      <c r="I4260" s="2" t="s">
        <v>20</v>
      </c>
      <c r="J4260" s="2" t="s">
        <v>2105</v>
      </c>
    </row>
    <row r="4261" spans="1:10" x14ac:dyDescent="0.35">
      <c r="A4261" s="2" t="s">
        <v>1642</v>
      </c>
      <c r="B4261" s="2" t="s">
        <v>2102</v>
      </c>
      <c r="C4261" s="2" t="s">
        <v>54</v>
      </c>
      <c r="D4261" s="2" t="s">
        <v>2114</v>
      </c>
      <c r="E4261" s="2" t="s">
        <v>91</v>
      </c>
      <c r="F4261" s="2" t="s">
        <v>19</v>
      </c>
      <c r="G4261" s="2" t="s">
        <v>20</v>
      </c>
      <c r="H4261" s="2" t="s">
        <v>1823</v>
      </c>
      <c r="I4261" s="2" t="s">
        <v>20</v>
      </c>
      <c r="J4261" s="2" t="s">
        <v>2105</v>
      </c>
    </row>
    <row r="4262" spans="1:10" x14ac:dyDescent="0.35">
      <c r="A4262" s="2" t="s">
        <v>1642</v>
      </c>
      <c r="B4262" s="2" t="s">
        <v>2102</v>
      </c>
      <c r="C4262" s="2" t="s">
        <v>54</v>
      </c>
      <c r="D4262" s="2" t="s">
        <v>2114</v>
      </c>
      <c r="E4262" s="2" t="s">
        <v>1681</v>
      </c>
      <c r="F4262" s="2" t="s">
        <v>1650</v>
      </c>
      <c r="G4262" s="2"/>
      <c r="H4262" s="2"/>
      <c r="I4262" s="2" t="s">
        <v>20</v>
      </c>
      <c r="J4262" s="2" t="s">
        <v>2105</v>
      </c>
    </row>
    <row r="4263" spans="1:10" x14ac:dyDescent="0.35">
      <c r="A4263" s="2" t="s">
        <v>1642</v>
      </c>
      <c r="B4263" s="2" t="s">
        <v>2102</v>
      </c>
      <c r="C4263" s="2" t="s">
        <v>24</v>
      </c>
      <c r="D4263" s="2" t="s">
        <v>2115</v>
      </c>
      <c r="E4263" s="2" t="s">
        <v>155</v>
      </c>
      <c r="F4263" s="2" t="s">
        <v>32</v>
      </c>
      <c r="G4263" s="2"/>
      <c r="H4263" s="2"/>
      <c r="I4263" s="2" t="s">
        <v>20</v>
      </c>
      <c r="J4263" s="2" t="s">
        <v>2105</v>
      </c>
    </row>
    <row r="4264" spans="1:10" x14ac:dyDescent="0.35">
      <c r="A4264" s="2" t="s">
        <v>1642</v>
      </c>
      <c r="B4264" s="2" t="s">
        <v>2102</v>
      </c>
      <c r="C4264" s="2" t="s">
        <v>24</v>
      </c>
      <c r="D4264" s="2" t="s">
        <v>2115</v>
      </c>
      <c r="E4264" s="2" t="s">
        <v>487</v>
      </c>
      <c r="F4264" s="2" t="s">
        <v>75</v>
      </c>
      <c r="G4264" s="2"/>
      <c r="H4264" s="2"/>
      <c r="I4264" s="2" t="s">
        <v>20</v>
      </c>
      <c r="J4264" s="2" t="s">
        <v>2105</v>
      </c>
    </row>
    <row r="4265" spans="1:10" x14ac:dyDescent="0.35">
      <c r="A4265" s="2" t="s">
        <v>1642</v>
      </c>
      <c r="B4265" s="2" t="s">
        <v>2102</v>
      </c>
      <c r="C4265" s="2" t="s">
        <v>24</v>
      </c>
      <c r="D4265" s="2" t="s">
        <v>2115</v>
      </c>
      <c r="E4265" s="2" t="s">
        <v>18</v>
      </c>
      <c r="F4265" s="2" t="s">
        <v>19</v>
      </c>
      <c r="G4265" s="2" t="s">
        <v>20</v>
      </c>
      <c r="H4265" s="2" t="s">
        <v>1914</v>
      </c>
      <c r="I4265" s="2" t="s">
        <v>20</v>
      </c>
      <c r="J4265" s="2" t="s">
        <v>2105</v>
      </c>
    </row>
    <row r="4266" spans="1:10" x14ac:dyDescent="0.35">
      <c r="A4266" s="2" t="s">
        <v>1642</v>
      </c>
      <c r="B4266" s="2" t="s">
        <v>2102</v>
      </c>
      <c r="C4266" s="2" t="s">
        <v>24</v>
      </c>
      <c r="D4266" s="2" t="s">
        <v>2116</v>
      </c>
      <c r="E4266" s="2" t="s">
        <v>2117</v>
      </c>
      <c r="F4266" s="2" t="s">
        <v>32</v>
      </c>
      <c r="G4266" s="2"/>
      <c r="H4266" s="2"/>
      <c r="I4266" s="2" t="s">
        <v>20</v>
      </c>
      <c r="J4266" s="2" t="s">
        <v>2105</v>
      </c>
    </row>
    <row r="4267" spans="1:10" x14ac:dyDescent="0.35">
      <c r="A4267" s="2" t="s">
        <v>1642</v>
      </c>
      <c r="B4267" s="2" t="s">
        <v>2102</v>
      </c>
      <c r="C4267" s="2" t="s">
        <v>24</v>
      </c>
      <c r="D4267" s="2" t="s">
        <v>2116</v>
      </c>
      <c r="E4267" s="2" t="s">
        <v>121</v>
      </c>
      <c r="F4267" s="2" t="s">
        <v>122</v>
      </c>
      <c r="G4267" s="2"/>
      <c r="H4267" s="2"/>
      <c r="I4267" s="2" t="s">
        <v>20</v>
      </c>
      <c r="J4267" s="2" t="s">
        <v>2105</v>
      </c>
    </row>
    <row r="4268" spans="1:10" x14ac:dyDescent="0.35">
      <c r="A4268" s="2" t="s">
        <v>1642</v>
      </c>
      <c r="B4268" s="2" t="s">
        <v>2102</v>
      </c>
      <c r="C4268" s="2" t="s">
        <v>24</v>
      </c>
      <c r="D4268" s="2" t="s">
        <v>2116</v>
      </c>
      <c r="E4268" s="2" t="s">
        <v>18</v>
      </c>
      <c r="F4268" s="2" t="s">
        <v>19</v>
      </c>
      <c r="G4268" s="2" t="s">
        <v>20</v>
      </c>
      <c r="H4268" s="2" t="s">
        <v>1914</v>
      </c>
      <c r="I4268" s="2" t="s">
        <v>20</v>
      </c>
      <c r="J4268" s="2" t="s">
        <v>2105</v>
      </c>
    </row>
    <row r="4269" spans="1:10" x14ac:dyDescent="0.35">
      <c r="A4269" s="2" t="s">
        <v>1642</v>
      </c>
      <c r="B4269" s="2" t="s">
        <v>2102</v>
      </c>
      <c r="C4269" s="2" t="s">
        <v>24</v>
      </c>
      <c r="D4269" s="2" t="s">
        <v>2116</v>
      </c>
      <c r="E4269" s="2" t="s">
        <v>61</v>
      </c>
      <c r="F4269" s="2" t="s">
        <v>30</v>
      </c>
      <c r="G4269" s="2"/>
      <c r="H4269" s="2"/>
      <c r="I4269" s="2" t="s">
        <v>20</v>
      </c>
      <c r="J4269" s="2" t="s">
        <v>2105</v>
      </c>
    </row>
    <row r="4270" spans="1:10" x14ac:dyDescent="0.35">
      <c r="A4270" s="2" t="s">
        <v>1642</v>
      </c>
      <c r="B4270" s="2" t="s">
        <v>2102</v>
      </c>
      <c r="C4270" s="2" t="s">
        <v>24</v>
      </c>
      <c r="D4270" s="2" t="s">
        <v>2116</v>
      </c>
      <c r="E4270" s="2" t="s">
        <v>1681</v>
      </c>
      <c r="F4270" s="2" t="s">
        <v>1650</v>
      </c>
      <c r="G4270" s="2"/>
      <c r="H4270" s="2"/>
      <c r="I4270" s="2" t="s">
        <v>20</v>
      </c>
      <c r="J4270" s="2" t="s">
        <v>2105</v>
      </c>
    </row>
    <row r="4271" spans="1:10" x14ac:dyDescent="0.35">
      <c r="A4271" s="2" t="s">
        <v>1642</v>
      </c>
      <c r="B4271" s="2" t="s">
        <v>2102</v>
      </c>
      <c r="C4271" s="2" t="s">
        <v>12</v>
      </c>
      <c r="D4271" s="2" t="s">
        <v>2118</v>
      </c>
      <c r="E4271" s="2" t="s">
        <v>1172</v>
      </c>
      <c r="F4271" s="2" t="s">
        <v>1650</v>
      </c>
      <c r="G4271" s="2"/>
      <c r="H4271" s="2"/>
      <c r="I4271" s="2" t="s">
        <v>20</v>
      </c>
      <c r="J4271" s="2" t="s">
        <v>2105</v>
      </c>
    </row>
    <row r="4272" spans="1:10" x14ac:dyDescent="0.35">
      <c r="A4272" s="2" t="s">
        <v>1642</v>
      </c>
      <c r="B4272" s="2" t="s">
        <v>2102</v>
      </c>
      <c r="C4272" s="2" t="s">
        <v>62</v>
      </c>
      <c r="D4272" s="2" t="s">
        <v>2119</v>
      </c>
      <c r="E4272" s="2" t="s">
        <v>2109</v>
      </c>
      <c r="F4272" s="2" t="s">
        <v>15</v>
      </c>
      <c r="G4272" s="2"/>
      <c r="H4272" s="2"/>
      <c r="I4272" s="2" t="s">
        <v>20</v>
      </c>
      <c r="J4272" s="2" t="s">
        <v>2105</v>
      </c>
    </row>
    <row r="4273" spans="1:10" x14ac:dyDescent="0.35">
      <c r="A4273" s="2" t="s">
        <v>1642</v>
      </c>
      <c r="B4273" s="2" t="s">
        <v>2102</v>
      </c>
      <c r="C4273" s="2" t="s">
        <v>62</v>
      </c>
      <c r="D4273" s="2" t="s">
        <v>2119</v>
      </c>
      <c r="E4273" s="2" t="s">
        <v>87</v>
      </c>
      <c r="F4273" s="2" t="s">
        <v>75</v>
      </c>
      <c r="G4273" s="2" t="s">
        <v>20</v>
      </c>
      <c r="H4273" s="2" t="s">
        <v>2120</v>
      </c>
      <c r="I4273" s="2" t="s">
        <v>20</v>
      </c>
      <c r="J4273" s="2" t="s">
        <v>2105</v>
      </c>
    </row>
    <row r="4274" spans="1:10" x14ac:dyDescent="0.35">
      <c r="A4274" s="2" t="s">
        <v>1642</v>
      </c>
      <c r="B4274" s="2" t="s">
        <v>2102</v>
      </c>
      <c r="C4274" s="2" t="s">
        <v>62</v>
      </c>
      <c r="D4274" s="2" t="s">
        <v>2119</v>
      </c>
      <c r="E4274" s="2" t="s">
        <v>564</v>
      </c>
      <c r="F4274" s="2" t="s">
        <v>78</v>
      </c>
      <c r="G4274" s="2"/>
      <c r="H4274" s="2"/>
      <c r="I4274" s="2" t="s">
        <v>20</v>
      </c>
      <c r="J4274" s="2" t="s">
        <v>2105</v>
      </c>
    </row>
    <row r="4275" spans="1:10" x14ac:dyDescent="0.35">
      <c r="A4275" s="2" t="s">
        <v>1642</v>
      </c>
      <c r="B4275" s="2" t="s">
        <v>2102</v>
      </c>
      <c r="C4275" s="2" t="s">
        <v>62</v>
      </c>
      <c r="D4275" s="2" t="s">
        <v>2119</v>
      </c>
      <c r="E4275" s="2" t="s">
        <v>61</v>
      </c>
      <c r="F4275" s="2" t="s">
        <v>30</v>
      </c>
      <c r="G4275" s="2"/>
      <c r="H4275" s="2"/>
      <c r="I4275" s="2" t="s">
        <v>20</v>
      </c>
      <c r="J4275" s="2" t="s">
        <v>2105</v>
      </c>
    </row>
    <row r="4276" spans="1:10" x14ac:dyDescent="0.35">
      <c r="A4276" s="2" t="s">
        <v>1642</v>
      </c>
      <c r="B4276" s="2" t="s">
        <v>2102</v>
      </c>
      <c r="C4276" s="2" t="s">
        <v>54</v>
      </c>
      <c r="D4276" s="2" t="s">
        <v>2121</v>
      </c>
      <c r="E4276" s="2" t="s">
        <v>14</v>
      </c>
      <c r="F4276" s="2" t="s">
        <v>15</v>
      </c>
      <c r="G4276" s="2"/>
      <c r="H4276" s="2"/>
      <c r="I4276" s="2" t="s">
        <v>20</v>
      </c>
      <c r="J4276" s="2" t="s">
        <v>2105</v>
      </c>
    </row>
    <row r="4277" spans="1:10" x14ac:dyDescent="0.35">
      <c r="A4277" s="2" t="s">
        <v>1642</v>
      </c>
      <c r="B4277" s="2" t="s">
        <v>2102</v>
      </c>
      <c r="C4277" s="2" t="s">
        <v>54</v>
      </c>
      <c r="D4277" s="2" t="s">
        <v>2121</v>
      </c>
      <c r="E4277" s="2" t="s">
        <v>393</v>
      </c>
      <c r="F4277" s="2" t="s">
        <v>36</v>
      </c>
      <c r="G4277" s="2"/>
      <c r="H4277" s="2"/>
      <c r="I4277" s="2" t="s">
        <v>20</v>
      </c>
      <c r="J4277" s="2" t="s">
        <v>2105</v>
      </c>
    </row>
    <row r="4278" spans="1:10" x14ac:dyDescent="0.35">
      <c r="A4278" s="2" t="s">
        <v>1642</v>
      </c>
      <c r="B4278" s="2" t="s">
        <v>2102</v>
      </c>
      <c r="C4278" s="2" t="s">
        <v>54</v>
      </c>
      <c r="D4278" s="2" t="s">
        <v>2121</v>
      </c>
      <c r="E4278" s="2" t="s">
        <v>77</v>
      </c>
      <c r="F4278" s="2" t="s">
        <v>78</v>
      </c>
      <c r="G4278" s="2"/>
      <c r="H4278" s="2"/>
      <c r="I4278" s="2" t="s">
        <v>20</v>
      </c>
      <c r="J4278" s="2" t="s">
        <v>2105</v>
      </c>
    </row>
    <row r="4279" spans="1:10" x14ac:dyDescent="0.35">
      <c r="A4279" s="2" t="s">
        <v>1642</v>
      </c>
      <c r="B4279" s="2" t="s">
        <v>2102</v>
      </c>
      <c r="C4279" s="2" t="s">
        <v>62</v>
      </c>
      <c r="D4279" s="2" t="s">
        <v>2122</v>
      </c>
      <c r="E4279" s="2" t="s">
        <v>74</v>
      </c>
      <c r="F4279" s="2" t="s">
        <v>75</v>
      </c>
      <c r="G4279" s="2" t="s">
        <v>20</v>
      </c>
      <c r="H4279" s="2" t="s">
        <v>2123</v>
      </c>
      <c r="I4279" s="2" t="s">
        <v>20</v>
      </c>
      <c r="J4279" s="2" t="s">
        <v>2105</v>
      </c>
    </row>
    <row r="4280" spans="1:10" x14ac:dyDescent="0.35">
      <c r="A4280" s="2" t="s">
        <v>1642</v>
      </c>
      <c r="B4280" s="2" t="s">
        <v>2102</v>
      </c>
      <c r="C4280" s="2" t="s">
        <v>62</v>
      </c>
      <c r="D4280" s="2" t="s">
        <v>2122</v>
      </c>
      <c r="E4280" s="2" t="s">
        <v>18</v>
      </c>
      <c r="F4280" s="2" t="s">
        <v>19</v>
      </c>
      <c r="G4280" s="2" t="s">
        <v>20</v>
      </c>
      <c r="H4280" s="2" t="s">
        <v>2123</v>
      </c>
      <c r="I4280" s="2" t="s">
        <v>20</v>
      </c>
      <c r="J4280" s="2" t="s">
        <v>2105</v>
      </c>
    </row>
    <row r="4281" spans="1:10" x14ac:dyDescent="0.35">
      <c r="A4281" s="2" t="s">
        <v>1642</v>
      </c>
      <c r="B4281" s="2" t="s">
        <v>2102</v>
      </c>
      <c r="C4281" s="2" t="s">
        <v>62</v>
      </c>
      <c r="D4281" s="2" t="s">
        <v>2122</v>
      </c>
      <c r="E4281" s="2" t="s">
        <v>1681</v>
      </c>
      <c r="F4281" s="2" t="s">
        <v>1650</v>
      </c>
      <c r="G4281" s="2"/>
      <c r="H4281" s="2"/>
      <c r="I4281" s="2" t="s">
        <v>20</v>
      </c>
      <c r="J4281" s="2" t="s">
        <v>2105</v>
      </c>
    </row>
    <row r="4282" spans="1:10" x14ac:dyDescent="0.35">
      <c r="A4282" s="2" t="s">
        <v>1642</v>
      </c>
      <c r="B4282" s="2" t="s">
        <v>2102</v>
      </c>
      <c r="C4282" s="2" t="s">
        <v>54</v>
      </c>
      <c r="D4282" s="2" t="s">
        <v>2124</v>
      </c>
      <c r="E4282" s="2" t="s">
        <v>487</v>
      </c>
      <c r="F4282" s="2" t="s">
        <v>75</v>
      </c>
      <c r="G4282" s="2" t="s">
        <v>20</v>
      </c>
      <c r="H4282" s="2" t="s">
        <v>2125</v>
      </c>
      <c r="I4282" s="2" t="s">
        <v>20</v>
      </c>
      <c r="J4282" s="2" t="s">
        <v>2105</v>
      </c>
    </row>
    <row r="4283" spans="1:10" x14ac:dyDescent="0.35">
      <c r="A4283" s="2" t="s">
        <v>1642</v>
      </c>
      <c r="B4283" s="2" t="s">
        <v>2102</v>
      </c>
      <c r="C4283" s="2" t="s">
        <v>54</v>
      </c>
      <c r="D4283" s="2" t="s">
        <v>2124</v>
      </c>
      <c r="E4283" s="2" t="s">
        <v>87</v>
      </c>
      <c r="F4283" s="2" t="s">
        <v>75</v>
      </c>
      <c r="G4283" s="2" t="s">
        <v>20</v>
      </c>
      <c r="H4283" s="2" t="s">
        <v>1914</v>
      </c>
      <c r="I4283" s="2" t="s">
        <v>20</v>
      </c>
      <c r="J4283" s="2" t="s">
        <v>2105</v>
      </c>
    </row>
    <row r="4284" spans="1:10" x14ac:dyDescent="0.35">
      <c r="A4284" s="2" t="s">
        <v>1642</v>
      </c>
      <c r="B4284" s="2" t="s">
        <v>2126</v>
      </c>
      <c r="C4284" s="2" t="s">
        <v>57</v>
      </c>
      <c r="D4284" s="2" t="s">
        <v>2127</v>
      </c>
      <c r="E4284" s="2" t="s">
        <v>121</v>
      </c>
      <c r="F4284" s="2" t="s">
        <v>122</v>
      </c>
      <c r="G4284" s="2"/>
      <c r="H4284" s="2"/>
      <c r="I4284" s="2"/>
      <c r="J4284" s="2"/>
    </row>
    <row r="4285" spans="1:10" x14ac:dyDescent="0.35">
      <c r="A4285" s="2" t="s">
        <v>1642</v>
      </c>
      <c r="B4285" s="2" t="s">
        <v>2126</v>
      </c>
      <c r="C4285" s="2" t="s">
        <v>57</v>
      </c>
      <c r="D4285" s="2" t="s">
        <v>2127</v>
      </c>
      <c r="E4285" s="2" t="s">
        <v>87</v>
      </c>
      <c r="F4285" s="2" t="s">
        <v>75</v>
      </c>
      <c r="G4285" s="2" t="s">
        <v>20</v>
      </c>
      <c r="H4285" s="2" t="s">
        <v>2128</v>
      </c>
      <c r="I4285" s="2"/>
      <c r="J4285" s="2"/>
    </row>
    <row r="4286" spans="1:10" x14ac:dyDescent="0.35">
      <c r="A4286" s="2" t="s">
        <v>1642</v>
      </c>
      <c r="B4286" s="2" t="s">
        <v>2126</v>
      </c>
      <c r="C4286" s="2" t="s">
        <v>57</v>
      </c>
      <c r="D4286" s="2" t="s">
        <v>2127</v>
      </c>
      <c r="E4286" s="2" t="s">
        <v>18</v>
      </c>
      <c r="F4286" s="2" t="s">
        <v>19</v>
      </c>
      <c r="G4286" s="2" t="s">
        <v>20</v>
      </c>
      <c r="H4286" s="2" t="s">
        <v>2128</v>
      </c>
      <c r="I4286" s="2"/>
      <c r="J4286" s="2"/>
    </row>
    <row r="4287" spans="1:10" x14ac:dyDescent="0.35">
      <c r="A4287" s="2" t="s">
        <v>1642</v>
      </c>
      <c r="B4287" s="2" t="s">
        <v>2126</v>
      </c>
      <c r="C4287" s="2" t="s">
        <v>57</v>
      </c>
      <c r="D4287" s="2" t="s">
        <v>2127</v>
      </c>
      <c r="E4287" s="2" t="s">
        <v>61</v>
      </c>
      <c r="F4287" s="2" t="s">
        <v>30</v>
      </c>
      <c r="G4287" s="2"/>
      <c r="H4287" s="2"/>
      <c r="I4287" s="2"/>
      <c r="J4287" s="2"/>
    </row>
    <row r="4288" spans="1:10" x14ac:dyDescent="0.35">
      <c r="A4288" s="2" t="s">
        <v>1642</v>
      </c>
      <c r="B4288" s="2" t="s">
        <v>2126</v>
      </c>
      <c r="C4288" s="2" t="s">
        <v>62</v>
      </c>
      <c r="D4288" s="2" t="s">
        <v>2129</v>
      </c>
      <c r="E4288" s="2" t="s">
        <v>74</v>
      </c>
      <c r="F4288" s="2" t="s">
        <v>75</v>
      </c>
      <c r="G4288" s="2" t="s">
        <v>20</v>
      </c>
      <c r="H4288" s="2" t="s">
        <v>2130</v>
      </c>
      <c r="I4288" s="2"/>
      <c r="J4288" s="2"/>
    </row>
    <row r="4289" spans="1:10" x14ac:dyDescent="0.35">
      <c r="A4289" s="2" t="s">
        <v>1642</v>
      </c>
      <c r="B4289" s="2" t="s">
        <v>2126</v>
      </c>
      <c r="C4289" s="2" t="s">
        <v>62</v>
      </c>
      <c r="D4289" s="2" t="s">
        <v>2129</v>
      </c>
      <c r="E4289" s="2" t="s">
        <v>14</v>
      </c>
      <c r="F4289" s="2" t="s">
        <v>15</v>
      </c>
      <c r="G4289" s="2"/>
      <c r="H4289" s="2"/>
      <c r="I4289" s="2"/>
      <c r="J4289" s="2"/>
    </row>
    <row r="4290" spans="1:10" x14ac:dyDescent="0.35">
      <c r="A4290" s="2" t="s">
        <v>1642</v>
      </c>
      <c r="B4290" s="2" t="s">
        <v>2126</v>
      </c>
      <c r="C4290" s="2" t="s">
        <v>62</v>
      </c>
      <c r="D4290" s="2" t="s">
        <v>2129</v>
      </c>
      <c r="E4290" s="2" t="s">
        <v>27</v>
      </c>
      <c r="F4290" s="2" t="s">
        <v>28</v>
      </c>
      <c r="G4290" s="2" t="s">
        <v>20</v>
      </c>
      <c r="H4290" s="2" t="s">
        <v>1849</v>
      </c>
      <c r="I4290" s="2"/>
      <c r="J4290" s="2"/>
    </row>
    <row r="4291" spans="1:10" x14ac:dyDescent="0.35">
      <c r="A4291" s="2" t="s">
        <v>1642</v>
      </c>
      <c r="B4291" s="2" t="s">
        <v>2126</v>
      </c>
      <c r="C4291" s="2" t="s">
        <v>62</v>
      </c>
      <c r="D4291" s="2" t="s">
        <v>2129</v>
      </c>
      <c r="E4291" s="2" t="s">
        <v>138</v>
      </c>
      <c r="F4291" s="2" t="s">
        <v>139</v>
      </c>
      <c r="G4291" s="2"/>
      <c r="H4291" s="2"/>
      <c r="I4291" s="2"/>
      <c r="J4291" s="2"/>
    </row>
    <row r="4292" spans="1:10" x14ac:dyDescent="0.35">
      <c r="A4292" s="2" t="s">
        <v>1642</v>
      </c>
      <c r="B4292" s="2" t="s">
        <v>2126</v>
      </c>
      <c r="C4292" s="2" t="s">
        <v>62</v>
      </c>
      <c r="D4292" s="2" t="s">
        <v>2129</v>
      </c>
      <c r="E4292" s="2" t="s">
        <v>18</v>
      </c>
      <c r="F4292" s="2" t="s">
        <v>19</v>
      </c>
      <c r="G4292" s="2" t="s">
        <v>20</v>
      </c>
      <c r="H4292" s="2" t="s">
        <v>2082</v>
      </c>
      <c r="I4292" s="2"/>
      <c r="J4292" s="2"/>
    </row>
    <row r="4293" spans="1:10" x14ac:dyDescent="0.35">
      <c r="A4293" s="2" t="s">
        <v>1642</v>
      </c>
      <c r="B4293" s="2" t="s">
        <v>2126</v>
      </c>
      <c r="C4293" s="2" t="s">
        <v>62</v>
      </c>
      <c r="D4293" s="2" t="s">
        <v>2129</v>
      </c>
      <c r="E4293" s="2" t="s">
        <v>127</v>
      </c>
      <c r="F4293" s="2" t="s">
        <v>107</v>
      </c>
      <c r="G4293" s="2"/>
      <c r="H4293" s="2"/>
      <c r="I4293" s="2"/>
      <c r="J4293" s="2"/>
    </row>
    <row r="4294" spans="1:10" x14ac:dyDescent="0.35">
      <c r="A4294" s="2" t="s">
        <v>1642</v>
      </c>
      <c r="B4294" s="2" t="s">
        <v>2126</v>
      </c>
      <c r="C4294" s="2" t="s">
        <v>54</v>
      </c>
      <c r="D4294" s="2" t="s">
        <v>2131</v>
      </c>
      <c r="E4294" s="2" t="s">
        <v>130</v>
      </c>
      <c r="F4294" s="2" t="s">
        <v>36</v>
      </c>
      <c r="G4294" s="2" t="s">
        <v>20</v>
      </c>
      <c r="H4294" s="2" t="s">
        <v>2132</v>
      </c>
      <c r="I4294" s="2"/>
      <c r="J4294" s="2"/>
    </row>
    <row r="4295" spans="1:10" x14ac:dyDescent="0.35">
      <c r="A4295" s="2" t="s">
        <v>1642</v>
      </c>
      <c r="B4295" s="2" t="s">
        <v>2126</v>
      </c>
      <c r="C4295" s="2" t="s">
        <v>54</v>
      </c>
      <c r="D4295" s="2" t="s">
        <v>2131</v>
      </c>
      <c r="E4295" s="2" t="s">
        <v>476</v>
      </c>
      <c r="F4295" s="2" t="s">
        <v>78</v>
      </c>
      <c r="G4295" s="2" t="s">
        <v>20</v>
      </c>
      <c r="H4295" s="2" t="s">
        <v>2132</v>
      </c>
      <c r="I4295" s="2"/>
      <c r="J4295" s="2"/>
    </row>
    <row r="4296" spans="1:10" x14ac:dyDescent="0.35">
      <c r="A4296" s="2" t="s">
        <v>1642</v>
      </c>
      <c r="B4296" s="2" t="s">
        <v>2126</v>
      </c>
      <c r="C4296" s="2" t="s">
        <v>54</v>
      </c>
      <c r="D4296" s="2" t="s">
        <v>2131</v>
      </c>
      <c r="E4296" s="2" t="s">
        <v>1243</v>
      </c>
      <c r="F4296" s="2" t="s">
        <v>40</v>
      </c>
      <c r="G4296" s="2" t="s">
        <v>20</v>
      </c>
      <c r="H4296" s="2" t="s">
        <v>2132</v>
      </c>
      <c r="I4296" s="2"/>
      <c r="J4296" s="2"/>
    </row>
    <row r="4297" spans="1:10" x14ac:dyDescent="0.35">
      <c r="A4297" s="2" t="s">
        <v>1642</v>
      </c>
      <c r="B4297" s="2" t="s">
        <v>2126</v>
      </c>
      <c r="C4297" s="2" t="s">
        <v>54</v>
      </c>
      <c r="D4297" s="2" t="s">
        <v>2131</v>
      </c>
      <c r="E4297" s="2" t="s">
        <v>18</v>
      </c>
      <c r="F4297" s="2" t="s">
        <v>1679</v>
      </c>
      <c r="G4297" s="2" t="s">
        <v>20</v>
      </c>
      <c r="H4297" s="2" t="s">
        <v>2132</v>
      </c>
      <c r="I4297" s="2"/>
      <c r="J4297" s="2"/>
    </row>
    <row r="4298" spans="1:10" x14ac:dyDescent="0.35">
      <c r="A4298" s="2" t="s">
        <v>1642</v>
      </c>
      <c r="B4298" s="2" t="s">
        <v>2126</v>
      </c>
      <c r="C4298" s="2" t="s">
        <v>54</v>
      </c>
      <c r="D4298" s="2" t="s">
        <v>2133</v>
      </c>
      <c r="E4298" s="2" t="s">
        <v>27</v>
      </c>
      <c r="F4298" s="2" t="s">
        <v>28</v>
      </c>
      <c r="G4298" s="2"/>
      <c r="H4298" s="2"/>
      <c r="I4298" s="2"/>
      <c r="J4298" s="2"/>
    </row>
    <row r="4299" spans="1:10" x14ac:dyDescent="0.35">
      <c r="A4299" s="2" t="s">
        <v>1642</v>
      </c>
      <c r="B4299" s="2" t="s">
        <v>2126</v>
      </c>
      <c r="C4299" s="2" t="s">
        <v>54</v>
      </c>
      <c r="D4299" s="2" t="s">
        <v>2133</v>
      </c>
      <c r="E4299" s="2" t="s">
        <v>31</v>
      </c>
      <c r="F4299" s="2" t="s">
        <v>32</v>
      </c>
      <c r="G4299" s="2"/>
      <c r="H4299" s="2"/>
      <c r="I4299" s="2"/>
      <c r="J4299" s="2"/>
    </row>
    <row r="4300" spans="1:10" x14ac:dyDescent="0.35">
      <c r="A4300" s="2" t="s">
        <v>1642</v>
      </c>
      <c r="B4300" s="2" t="s">
        <v>2126</v>
      </c>
      <c r="C4300" s="2" t="s">
        <v>54</v>
      </c>
      <c r="D4300" s="2" t="s">
        <v>2133</v>
      </c>
      <c r="E4300" s="2" t="s">
        <v>96</v>
      </c>
      <c r="F4300" s="2" t="s">
        <v>83</v>
      </c>
      <c r="G4300" s="2"/>
      <c r="H4300" s="2"/>
      <c r="I4300" s="2"/>
      <c r="J4300" s="2"/>
    </row>
    <row r="4301" spans="1:10" x14ac:dyDescent="0.35">
      <c r="A4301" s="2" t="s">
        <v>1642</v>
      </c>
      <c r="B4301" s="2" t="s">
        <v>2126</v>
      </c>
      <c r="C4301" s="2" t="s">
        <v>54</v>
      </c>
      <c r="D4301" s="2" t="s">
        <v>2133</v>
      </c>
      <c r="E4301" s="2" t="s">
        <v>393</v>
      </c>
      <c r="F4301" s="2" t="s">
        <v>36</v>
      </c>
      <c r="G4301" s="2"/>
      <c r="H4301" s="2"/>
      <c r="I4301" s="2"/>
      <c r="J4301" s="2"/>
    </row>
    <row r="4302" spans="1:10" x14ac:dyDescent="0.35">
      <c r="A4302" s="2" t="s">
        <v>1642</v>
      </c>
      <c r="B4302" s="2" t="s">
        <v>2126</v>
      </c>
      <c r="C4302" s="2" t="s">
        <v>54</v>
      </c>
      <c r="D4302" s="2" t="s">
        <v>2133</v>
      </c>
      <c r="E4302" s="2" t="s">
        <v>438</v>
      </c>
      <c r="F4302" s="2" t="s">
        <v>19</v>
      </c>
      <c r="G4302" s="2" t="s">
        <v>20</v>
      </c>
      <c r="H4302" s="2" t="s">
        <v>1977</v>
      </c>
      <c r="I4302" s="2"/>
      <c r="J4302" s="2"/>
    </row>
    <row r="4303" spans="1:10" x14ac:dyDescent="0.35">
      <c r="A4303" s="2" t="s">
        <v>1642</v>
      </c>
      <c r="B4303" s="2" t="s">
        <v>2134</v>
      </c>
      <c r="C4303" s="2" t="s">
        <v>12</v>
      </c>
      <c r="D4303" s="2" t="s">
        <v>2135</v>
      </c>
      <c r="E4303" s="2" t="s">
        <v>121</v>
      </c>
      <c r="F4303" s="2" t="s">
        <v>122</v>
      </c>
      <c r="G4303" s="2"/>
      <c r="H4303" s="2"/>
      <c r="I4303" s="2" t="s">
        <v>20</v>
      </c>
      <c r="J4303" s="2" t="s">
        <v>1677</v>
      </c>
    </row>
    <row r="4304" spans="1:10" x14ac:dyDescent="0.35">
      <c r="A4304" s="2" t="s">
        <v>1642</v>
      </c>
      <c r="B4304" s="2" t="s">
        <v>2134</v>
      </c>
      <c r="C4304" s="2" t="s">
        <v>12</v>
      </c>
      <c r="D4304" s="2" t="s">
        <v>2135</v>
      </c>
      <c r="E4304" s="2" t="s">
        <v>393</v>
      </c>
      <c r="F4304" s="2" t="s">
        <v>36</v>
      </c>
      <c r="G4304" s="2"/>
      <c r="H4304" s="2"/>
      <c r="I4304" s="2" t="s">
        <v>20</v>
      </c>
      <c r="J4304" s="2" t="s">
        <v>1677</v>
      </c>
    </row>
    <row r="4305" spans="1:10" x14ac:dyDescent="0.35">
      <c r="A4305" s="2" t="s">
        <v>1642</v>
      </c>
      <c r="B4305" s="2" t="s">
        <v>2134</v>
      </c>
      <c r="C4305" s="2" t="s">
        <v>12</v>
      </c>
      <c r="D4305" s="2" t="s">
        <v>2135</v>
      </c>
      <c r="E4305" s="2" t="s">
        <v>87</v>
      </c>
      <c r="F4305" s="2" t="s">
        <v>75</v>
      </c>
      <c r="G4305" s="2" t="s">
        <v>20</v>
      </c>
      <c r="H4305" s="2" t="s">
        <v>2136</v>
      </c>
      <c r="I4305" s="2" t="s">
        <v>20</v>
      </c>
      <c r="J4305" s="2" t="s">
        <v>1677</v>
      </c>
    </row>
    <row r="4306" spans="1:10" x14ac:dyDescent="0.35">
      <c r="A4306" s="2" t="s">
        <v>1642</v>
      </c>
      <c r="B4306" s="2" t="s">
        <v>2134</v>
      </c>
      <c r="C4306" s="2" t="s">
        <v>12</v>
      </c>
      <c r="D4306" s="2" t="s">
        <v>2135</v>
      </c>
      <c r="E4306" s="2" t="s">
        <v>417</v>
      </c>
      <c r="F4306" s="2" t="s">
        <v>40</v>
      </c>
      <c r="G4306" s="2"/>
      <c r="H4306" s="2"/>
      <c r="I4306" s="2" t="s">
        <v>20</v>
      </c>
      <c r="J4306" s="2" t="s">
        <v>1677</v>
      </c>
    </row>
    <row r="4307" spans="1:10" x14ac:dyDescent="0.35">
      <c r="A4307" s="2" t="s">
        <v>1642</v>
      </c>
      <c r="B4307" s="2" t="s">
        <v>2134</v>
      </c>
      <c r="C4307" s="2" t="s">
        <v>12</v>
      </c>
      <c r="D4307" s="2" t="s">
        <v>2135</v>
      </c>
      <c r="E4307" s="2" t="s">
        <v>18</v>
      </c>
      <c r="F4307" s="2" t="s">
        <v>1679</v>
      </c>
      <c r="G4307" s="2" t="s">
        <v>20</v>
      </c>
      <c r="H4307" s="2" t="s">
        <v>2137</v>
      </c>
      <c r="I4307" s="2" t="s">
        <v>20</v>
      </c>
      <c r="J4307" s="2" t="s">
        <v>1677</v>
      </c>
    </row>
    <row r="4308" spans="1:10" x14ac:dyDescent="0.35">
      <c r="A4308" s="2" t="s">
        <v>1642</v>
      </c>
      <c r="B4308" s="2" t="s">
        <v>2134</v>
      </c>
      <c r="C4308" s="2" t="s">
        <v>12</v>
      </c>
      <c r="D4308" s="2" t="s">
        <v>2135</v>
      </c>
      <c r="E4308" s="2" t="s">
        <v>188</v>
      </c>
      <c r="F4308" s="2" t="s">
        <v>189</v>
      </c>
      <c r="G4308" s="2"/>
      <c r="H4308" s="2"/>
      <c r="I4308" s="2" t="s">
        <v>20</v>
      </c>
      <c r="J4308" s="2" t="s">
        <v>1677</v>
      </c>
    </row>
    <row r="4309" spans="1:10" x14ac:dyDescent="0.35">
      <c r="A4309" s="2" t="s">
        <v>1642</v>
      </c>
      <c r="B4309" s="2" t="s">
        <v>2134</v>
      </c>
      <c r="C4309" s="2" t="s">
        <v>12</v>
      </c>
      <c r="D4309" s="2" t="s">
        <v>2135</v>
      </c>
      <c r="E4309" s="2" t="s">
        <v>1681</v>
      </c>
      <c r="F4309" s="2" t="s">
        <v>1650</v>
      </c>
      <c r="G4309" s="2"/>
      <c r="H4309" s="2"/>
      <c r="I4309" s="2" t="s">
        <v>20</v>
      </c>
      <c r="J4309" s="2" t="s">
        <v>1677</v>
      </c>
    </row>
    <row r="4310" spans="1:10" x14ac:dyDescent="0.35">
      <c r="A4310" s="2" t="s">
        <v>1642</v>
      </c>
      <c r="B4310" s="2" t="s">
        <v>2134</v>
      </c>
      <c r="C4310" s="2" t="s">
        <v>12</v>
      </c>
      <c r="D4310" s="2" t="s">
        <v>2135</v>
      </c>
      <c r="E4310" s="2" t="s">
        <v>149</v>
      </c>
      <c r="F4310" s="2" t="s">
        <v>847</v>
      </c>
      <c r="G4310" s="2" t="s">
        <v>20</v>
      </c>
      <c r="H4310" s="2" t="s">
        <v>2138</v>
      </c>
      <c r="I4310" s="2" t="s">
        <v>20</v>
      </c>
      <c r="J4310" s="2" t="s">
        <v>1677</v>
      </c>
    </row>
    <row r="4311" spans="1:10" x14ac:dyDescent="0.35">
      <c r="A4311" s="2" t="s">
        <v>1642</v>
      </c>
      <c r="B4311" s="2" t="s">
        <v>2134</v>
      </c>
      <c r="C4311" s="2" t="s">
        <v>57</v>
      </c>
      <c r="D4311" s="2" t="s">
        <v>2139</v>
      </c>
      <c r="E4311" s="2" t="s">
        <v>1139</v>
      </c>
      <c r="F4311" s="2" t="s">
        <v>60</v>
      </c>
      <c r="G4311" s="2"/>
      <c r="H4311" s="2"/>
      <c r="I4311" s="2" t="s">
        <v>20</v>
      </c>
      <c r="J4311" s="2" t="s">
        <v>1677</v>
      </c>
    </row>
    <row r="4312" spans="1:10" x14ac:dyDescent="0.35">
      <c r="A4312" s="2" t="s">
        <v>1642</v>
      </c>
      <c r="B4312" s="2" t="s">
        <v>2134</v>
      </c>
      <c r="C4312" s="2" t="s">
        <v>57</v>
      </c>
      <c r="D4312" s="2" t="s">
        <v>2139</v>
      </c>
      <c r="E4312" s="2" t="s">
        <v>121</v>
      </c>
      <c r="F4312" s="2" t="s">
        <v>122</v>
      </c>
      <c r="G4312" s="2"/>
      <c r="H4312" s="2"/>
      <c r="I4312" s="2" t="s">
        <v>20</v>
      </c>
      <c r="J4312" s="2" t="s">
        <v>1677</v>
      </c>
    </row>
    <row r="4313" spans="1:10" x14ac:dyDescent="0.35">
      <c r="A4313" s="2" t="s">
        <v>1642</v>
      </c>
      <c r="B4313" s="2" t="s">
        <v>2134</v>
      </c>
      <c r="C4313" s="2" t="s">
        <v>57</v>
      </c>
      <c r="D4313" s="2" t="s">
        <v>2139</v>
      </c>
      <c r="E4313" s="2" t="s">
        <v>87</v>
      </c>
      <c r="F4313" s="2" t="s">
        <v>75</v>
      </c>
      <c r="G4313" s="2" t="s">
        <v>20</v>
      </c>
      <c r="H4313" s="2" t="s">
        <v>2140</v>
      </c>
      <c r="I4313" s="2" t="s">
        <v>20</v>
      </c>
      <c r="J4313" s="2" t="s">
        <v>1677</v>
      </c>
    </row>
    <row r="4314" spans="1:10" x14ac:dyDescent="0.35">
      <c r="A4314" s="2" t="s">
        <v>1642</v>
      </c>
      <c r="B4314" s="2" t="s">
        <v>2134</v>
      </c>
      <c r="C4314" s="2" t="s">
        <v>57</v>
      </c>
      <c r="D4314" s="2" t="s">
        <v>2139</v>
      </c>
      <c r="E4314" s="2" t="s">
        <v>393</v>
      </c>
      <c r="F4314" s="2" t="s">
        <v>36</v>
      </c>
      <c r="G4314" s="2"/>
      <c r="H4314" s="2"/>
      <c r="I4314" s="2" t="s">
        <v>20</v>
      </c>
      <c r="J4314" s="2" t="s">
        <v>1677</v>
      </c>
    </row>
    <row r="4315" spans="1:10" x14ac:dyDescent="0.35">
      <c r="A4315" s="2" t="s">
        <v>1642</v>
      </c>
      <c r="B4315" s="2" t="s">
        <v>2134</v>
      </c>
      <c r="C4315" s="2" t="s">
        <v>57</v>
      </c>
      <c r="D4315" s="2" t="s">
        <v>2139</v>
      </c>
      <c r="E4315" s="2" t="s">
        <v>417</v>
      </c>
      <c r="F4315" s="2" t="s">
        <v>40</v>
      </c>
      <c r="G4315" s="2"/>
      <c r="H4315" s="2"/>
      <c r="I4315" s="2" t="s">
        <v>20</v>
      </c>
      <c r="J4315" s="2" t="s">
        <v>1677</v>
      </c>
    </row>
    <row r="4316" spans="1:10" x14ac:dyDescent="0.35">
      <c r="A4316" s="2" t="s">
        <v>1642</v>
      </c>
      <c r="B4316" s="2" t="s">
        <v>2134</v>
      </c>
      <c r="C4316" s="2" t="s">
        <v>57</v>
      </c>
      <c r="D4316" s="2" t="s">
        <v>2139</v>
      </c>
      <c r="E4316" s="2" t="s">
        <v>18</v>
      </c>
      <c r="F4316" s="2" t="s">
        <v>1679</v>
      </c>
      <c r="G4316" s="2" t="s">
        <v>20</v>
      </c>
      <c r="H4316" s="2" t="s">
        <v>2141</v>
      </c>
      <c r="I4316" s="2" t="s">
        <v>20</v>
      </c>
      <c r="J4316" s="2" t="s">
        <v>1677</v>
      </c>
    </row>
    <row r="4317" spans="1:10" x14ac:dyDescent="0.35">
      <c r="A4317" s="2" t="s">
        <v>1642</v>
      </c>
      <c r="B4317" s="2" t="s">
        <v>2134</v>
      </c>
      <c r="C4317" s="2" t="s">
        <v>57</v>
      </c>
      <c r="D4317" s="2" t="s">
        <v>2139</v>
      </c>
      <c r="E4317" s="2" t="s">
        <v>149</v>
      </c>
      <c r="F4317" s="2" t="s">
        <v>847</v>
      </c>
      <c r="G4317" s="2" t="s">
        <v>20</v>
      </c>
      <c r="H4317" s="2" t="s">
        <v>1692</v>
      </c>
      <c r="I4317" s="2" t="s">
        <v>20</v>
      </c>
      <c r="J4317" s="2" t="s">
        <v>1677</v>
      </c>
    </row>
    <row r="4318" spans="1:10" x14ac:dyDescent="0.35">
      <c r="A4318" s="2" t="s">
        <v>1642</v>
      </c>
      <c r="B4318" s="2" t="s">
        <v>2134</v>
      </c>
      <c r="C4318" s="2" t="s">
        <v>24</v>
      </c>
      <c r="D4318" s="2" t="s">
        <v>2142</v>
      </c>
      <c r="E4318" s="2" t="s">
        <v>14</v>
      </c>
      <c r="F4318" s="2" t="s">
        <v>15</v>
      </c>
      <c r="G4318" s="2"/>
      <c r="H4318" s="2"/>
      <c r="I4318" s="2" t="s">
        <v>20</v>
      </c>
      <c r="J4318" s="2" t="s">
        <v>1677</v>
      </c>
    </row>
    <row r="4319" spans="1:10" x14ac:dyDescent="0.35">
      <c r="A4319" s="2" t="s">
        <v>1642</v>
      </c>
      <c r="B4319" s="2" t="s">
        <v>2134</v>
      </c>
      <c r="C4319" s="2" t="s">
        <v>24</v>
      </c>
      <c r="D4319" s="2" t="s">
        <v>2142</v>
      </c>
      <c r="E4319" s="2" t="s">
        <v>74</v>
      </c>
      <c r="F4319" s="2" t="s">
        <v>75</v>
      </c>
      <c r="G4319" s="2" t="s">
        <v>20</v>
      </c>
      <c r="H4319" s="2" t="s">
        <v>2143</v>
      </c>
      <c r="I4319" s="2" t="s">
        <v>20</v>
      </c>
      <c r="J4319" s="2" t="s">
        <v>1677</v>
      </c>
    </row>
    <row r="4320" spans="1:10" x14ac:dyDescent="0.35">
      <c r="A4320" s="2" t="s">
        <v>1642</v>
      </c>
      <c r="B4320" s="2" t="s">
        <v>2134</v>
      </c>
      <c r="C4320" s="2" t="s">
        <v>24</v>
      </c>
      <c r="D4320" s="2" t="s">
        <v>2142</v>
      </c>
      <c r="E4320" s="2" t="s">
        <v>91</v>
      </c>
      <c r="F4320" s="2" t="s">
        <v>1679</v>
      </c>
      <c r="G4320" s="2" t="s">
        <v>20</v>
      </c>
      <c r="H4320" s="2" t="s">
        <v>2144</v>
      </c>
      <c r="I4320" s="2" t="s">
        <v>20</v>
      </c>
      <c r="J4320" s="2" t="s">
        <v>1677</v>
      </c>
    </row>
    <row r="4321" spans="1:10" x14ac:dyDescent="0.35">
      <c r="A4321" s="2" t="s">
        <v>1642</v>
      </c>
      <c r="B4321" s="2" t="s">
        <v>2134</v>
      </c>
      <c r="C4321" s="2" t="s">
        <v>24</v>
      </c>
      <c r="D4321" s="2" t="s">
        <v>2142</v>
      </c>
      <c r="E4321" s="2" t="s">
        <v>1243</v>
      </c>
      <c r="F4321" s="2" t="s">
        <v>40</v>
      </c>
      <c r="G4321" s="2"/>
      <c r="H4321" s="2"/>
      <c r="I4321" s="2" t="s">
        <v>20</v>
      </c>
      <c r="J4321" s="2" t="s">
        <v>1677</v>
      </c>
    </row>
    <row r="4322" spans="1:10" x14ac:dyDescent="0.35">
      <c r="A4322" s="2" t="s">
        <v>1642</v>
      </c>
      <c r="B4322" s="2" t="s">
        <v>2134</v>
      </c>
      <c r="C4322" s="2" t="s">
        <v>24</v>
      </c>
      <c r="D4322" s="2" t="s">
        <v>2142</v>
      </c>
      <c r="E4322" s="2" t="s">
        <v>61</v>
      </c>
      <c r="F4322" s="2" t="s">
        <v>30</v>
      </c>
      <c r="G4322" s="2"/>
      <c r="H4322" s="2"/>
      <c r="I4322" s="2" t="s">
        <v>20</v>
      </c>
      <c r="J4322" s="2" t="s">
        <v>1677</v>
      </c>
    </row>
    <row r="4323" spans="1:10" x14ac:dyDescent="0.35">
      <c r="A4323" s="2" t="s">
        <v>1642</v>
      </c>
      <c r="B4323" s="2" t="s">
        <v>2134</v>
      </c>
      <c r="C4323" s="2" t="s">
        <v>12</v>
      </c>
      <c r="D4323" s="2" t="s">
        <v>2145</v>
      </c>
      <c r="E4323" s="2" t="s">
        <v>121</v>
      </c>
      <c r="F4323" s="2" t="s">
        <v>122</v>
      </c>
      <c r="G4323" s="2"/>
      <c r="H4323" s="2"/>
      <c r="I4323" s="2" t="s">
        <v>20</v>
      </c>
      <c r="J4323" s="2" t="s">
        <v>1677</v>
      </c>
    </row>
    <row r="4324" spans="1:10" x14ac:dyDescent="0.35">
      <c r="A4324" s="2" t="s">
        <v>1642</v>
      </c>
      <c r="B4324" s="2" t="s">
        <v>2134</v>
      </c>
      <c r="C4324" s="2" t="s">
        <v>12</v>
      </c>
      <c r="D4324" s="2" t="s">
        <v>2145</v>
      </c>
      <c r="E4324" s="2" t="s">
        <v>393</v>
      </c>
      <c r="F4324" s="2" t="s">
        <v>36</v>
      </c>
      <c r="G4324" s="2"/>
      <c r="H4324" s="2"/>
      <c r="I4324" s="2" t="s">
        <v>20</v>
      </c>
      <c r="J4324" s="2" t="s">
        <v>1677</v>
      </c>
    </row>
    <row r="4325" spans="1:10" x14ac:dyDescent="0.35">
      <c r="A4325" s="2" t="s">
        <v>1642</v>
      </c>
      <c r="B4325" s="2" t="s">
        <v>2134</v>
      </c>
      <c r="C4325" s="2" t="s">
        <v>12</v>
      </c>
      <c r="D4325" s="2" t="s">
        <v>2145</v>
      </c>
      <c r="E4325" s="2" t="s">
        <v>87</v>
      </c>
      <c r="F4325" s="2" t="s">
        <v>75</v>
      </c>
      <c r="G4325" s="2" t="s">
        <v>20</v>
      </c>
      <c r="H4325" s="2" t="s">
        <v>1977</v>
      </c>
      <c r="I4325" s="2" t="s">
        <v>20</v>
      </c>
      <c r="J4325" s="2" t="s">
        <v>1677</v>
      </c>
    </row>
    <row r="4326" spans="1:10" x14ac:dyDescent="0.35">
      <c r="A4326" s="2" t="s">
        <v>1642</v>
      </c>
      <c r="B4326" s="2" t="s">
        <v>2134</v>
      </c>
      <c r="C4326" s="2" t="s">
        <v>12</v>
      </c>
      <c r="D4326" s="2" t="s">
        <v>2145</v>
      </c>
      <c r="E4326" s="2" t="s">
        <v>417</v>
      </c>
      <c r="F4326" s="2" t="s">
        <v>40</v>
      </c>
      <c r="G4326" s="2"/>
      <c r="H4326" s="2"/>
      <c r="I4326" s="2" t="s">
        <v>20</v>
      </c>
      <c r="J4326" s="2" t="s">
        <v>1677</v>
      </c>
    </row>
    <row r="4327" spans="1:10" x14ac:dyDescent="0.35">
      <c r="A4327" s="2" t="s">
        <v>1642</v>
      </c>
      <c r="B4327" s="2" t="s">
        <v>2134</v>
      </c>
      <c r="C4327" s="2" t="s">
        <v>12</v>
      </c>
      <c r="D4327" s="2" t="s">
        <v>2145</v>
      </c>
      <c r="E4327" s="2" t="s">
        <v>18</v>
      </c>
      <c r="F4327" s="2" t="s">
        <v>1679</v>
      </c>
      <c r="G4327" s="2" t="s">
        <v>20</v>
      </c>
      <c r="H4327" s="2" t="s">
        <v>1977</v>
      </c>
      <c r="I4327" s="2" t="s">
        <v>20</v>
      </c>
      <c r="J4327" s="2" t="s">
        <v>1677</v>
      </c>
    </row>
    <row r="4328" spans="1:10" x14ac:dyDescent="0.35">
      <c r="A4328" s="2" t="s">
        <v>1642</v>
      </c>
      <c r="B4328" s="2" t="s">
        <v>2134</v>
      </c>
      <c r="C4328" s="2" t="s">
        <v>12</v>
      </c>
      <c r="D4328" s="2" t="s">
        <v>2145</v>
      </c>
      <c r="E4328" s="2" t="s">
        <v>1681</v>
      </c>
      <c r="F4328" s="2" t="s">
        <v>1650</v>
      </c>
      <c r="G4328" s="2"/>
      <c r="H4328" s="2"/>
      <c r="I4328" s="2" t="s">
        <v>20</v>
      </c>
      <c r="J4328" s="2" t="s">
        <v>1677</v>
      </c>
    </row>
    <row r="4329" spans="1:10" x14ac:dyDescent="0.35">
      <c r="A4329" s="2" t="s">
        <v>1642</v>
      </c>
      <c r="B4329" s="2" t="s">
        <v>2134</v>
      </c>
      <c r="C4329" s="2" t="s">
        <v>12</v>
      </c>
      <c r="D4329" s="2" t="s">
        <v>2145</v>
      </c>
      <c r="E4329" s="2" t="s">
        <v>149</v>
      </c>
      <c r="F4329" s="2" t="s">
        <v>847</v>
      </c>
      <c r="G4329" s="2" t="s">
        <v>20</v>
      </c>
      <c r="H4329" s="2" t="s">
        <v>1977</v>
      </c>
      <c r="I4329" s="2" t="s">
        <v>20</v>
      </c>
      <c r="J4329" s="2" t="s">
        <v>1677</v>
      </c>
    </row>
    <row r="4330" spans="1:10" x14ac:dyDescent="0.35">
      <c r="A4330" s="2" t="s">
        <v>1642</v>
      </c>
      <c r="B4330" s="2" t="s">
        <v>2134</v>
      </c>
      <c r="C4330" s="2" t="s">
        <v>24</v>
      </c>
      <c r="D4330" s="2" t="s">
        <v>2146</v>
      </c>
      <c r="E4330" s="2" t="s">
        <v>74</v>
      </c>
      <c r="F4330" s="2" t="s">
        <v>75</v>
      </c>
      <c r="G4330" s="2" t="s">
        <v>20</v>
      </c>
      <c r="H4330" s="2" t="s">
        <v>2147</v>
      </c>
      <c r="I4330" s="2" t="s">
        <v>20</v>
      </c>
      <c r="J4330" s="2" t="s">
        <v>1677</v>
      </c>
    </row>
    <row r="4331" spans="1:10" x14ac:dyDescent="0.35">
      <c r="A4331" s="2" t="s">
        <v>1642</v>
      </c>
      <c r="B4331" s="2" t="s">
        <v>2134</v>
      </c>
      <c r="C4331" s="2" t="s">
        <v>24</v>
      </c>
      <c r="D4331" s="2" t="s">
        <v>2146</v>
      </c>
      <c r="E4331" s="2" t="s">
        <v>120</v>
      </c>
      <c r="F4331" s="2" t="s">
        <v>32</v>
      </c>
      <c r="G4331" s="2" t="s">
        <v>20</v>
      </c>
      <c r="H4331" s="2" t="s">
        <v>2147</v>
      </c>
      <c r="I4331" s="2" t="s">
        <v>20</v>
      </c>
      <c r="J4331" s="2" t="s">
        <v>1677</v>
      </c>
    </row>
    <row r="4332" spans="1:10" x14ac:dyDescent="0.35">
      <c r="A4332" s="2" t="s">
        <v>1642</v>
      </c>
      <c r="B4332" s="2" t="s">
        <v>2134</v>
      </c>
      <c r="C4332" s="2" t="s">
        <v>24</v>
      </c>
      <c r="D4332" s="2" t="s">
        <v>2146</v>
      </c>
      <c r="E4332" s="2" t="s">
        <v>98</v>
      </c>
      <c r="F4332" s="2" t="s">
        <v>98</v>
      </c>
      <c r="G4332" s="2"/>
      <c r="H4332" s="2"/>
      <c r="I4332" s="2" t="s">
        <v>20</v>
      </c>
      <c r="J4332" s="2" t="s">
        <v>1677</v>
      </c>
    </row>
    <row r="4333" spans="1:10" x14ac:dyDescent="0.35">
      <c r="A4333" s="2" t="s">
        <v>1642</v>
      </c>
      <c r="B4333" s="2" t="s">
        <v>2134</v>
      </c>
      <c r="C4333" s="2" t="s">
        <v>24</v>
      </c>
      <c r="D4333" s="2" t="s">
        <v>2146</v>
      </c>
      <c r="E4333" s="2" t="s">
        <v>1319</v>
      </c>
      <c r="F4333" s="2" t="s">
        <v>363</v>
      </c>
      <c r="G4333" s="2" t="s">
        <v>20</v>
      </c>
      <c r="H4333" s="2" t="s">
        <v>2147</v>
      </c>
      <c r="I4333" s="2" t="s">
        <v>20</v>
      </c>
      <c r="J4333" s="2" t="s">
        <v>1677</v>
      </c>
    </row>
    <row r="4334" spans="1:10" x14ac:dyDescent="0.35">
      <c r="A4334" s="2" t="s">
        <v>1642</v>
      </c>
      <c r="B4334" s="2" t="s">
        <v>2134</v>
      </c>
      <c r="C4334" s="2" t="s">
        <v>24</v>
      </c>
      <c r="D4334" s="2" t="s">
        <v>2146</v>
      </c>
      <c r="E4334" s="2" t="s">
        <v>91</v>
      </c>
      <c r="F4334" s="2" t="s">
        <v>1679</v>
      </c>
      <c r="G4334" s="2" t="s">
        <v>20</v>
      </c>
      <c r="H4334" s="2" t="s">
        <v>2147</v>
      </c>
      <c r="I4334" s="2" t="s">
        <v>20</v>
      </c>
      <c r="J4334" s="2" t="s">
        <v>1677</v>
      </c>
    </row>
    <row r="4335" spans="1:10" x14ac:dyDescent="0.35">
      <c r="A4335" s="2" t="s">
        <v>1642</v>
      </c>
      <c r="B4335" s="2" t="s">
        <v>2134</v>
      </c>
      <c r="C4335" s="2" t="s">
        <v>24</v>
      </c>
      <c r="D4335" s="2" t="s">
        <v>2146</v>
      </c>
      <c r="E4335" s="2" t="s">
        <v>1243</v>
      </c>
      <c r="F4335" s="2" t="s">
        <v>40</v>
      </c>
      <c r="G4335" s="2"/>
      <c r="H4335" s="2"/>
      <c r="I4335" s="2" t="s">
        <v>20</v>
      </c>
      <c r="J4335" s="2" t="s">
        <v>1677</v>
      </c>
    </row>
    <row r="4336" spans="1:10" x14ac:dyDescent="0.35">
      <c r="A4336" s="2" t="s">
        <v>1642</v>
      </c>
      <c r="B4336" s="2" t="s">
        <v>2134</v>
      </c>
      <c r="C4336" s="2" t="s">
        <v>24</v>
      </c>
      <c r="D4336" s="2" t="s">
        <v>2146</v>
      </c>
      <c r="E4336" s="2" t="s">
        <v>61</v>
      </c>
      <c r="F4336" s="2" t="s">
        <v>30</v>
      </c>
      <c r="G4336" s="2" t="s">
        <v>20</v>
      </c>
      <c r="H4336" s="2" t="s">
        <v>2147</v>
      </c>
      <c r="I4336" s="2" t="s">
        <v>20</v>
      </c>
      <c r="J4336" s="2" t="s">
        <v>1677</v>
      </c>
    </row>
    <row r="4337" spans="1:10" s="21" customFormat="1" x14ac:dyDescent="0.35">
      <c r="A4337" s="2" t="s">
        <v>1642</v>
      </c>
      <c r="B4337" s="2" t="s">
        <v>2134</v>
      </c>
      <c r="C4337" s="2" t="s">
        <v>54</v>
      </c>
      <c r="D4337" s="2" t="s">
        <v>2148</v>
      </c>
      <c r="E4337" s="2" t="s">
        <v>74</v>
      </c>
      <c r="F4337" s="2" t="s">
        <v>75</v>
      </c>
      <c r="G4337" s="2" t="s">
        <v>20</v>
      </c>
      <c r="H4337" s="2" t="s">
        <v>2149</v>
      </c>
      <c r="I4337" s="2" t="s">
        <v>20</v>
      </c>
      <c r="J4337" s="2" t="s">
        <v>1677</v>
      </c>
    </row>
    <row r="4338" spans="1:10" s="21" customFormat="1" x14ac:dyDescent="0.35">
      <c r="A4338" s="2" t="s">
        <v>1642</v>
      </c>
      <c r="B4338" s="2" t="s">
        <v>2134</v>
      </c>
      <c r="C4338" s="2" t="s">
        <v>54</v>
      </c>
      <c r="D4338" s="2" t="s">
        <v>2148</v>
      </c>
      <c r="E4338" s="2" t="s">
        <v>362</v>
      </c>
      <c r="F4338" s="2" t="s">
        <v>363</v>
      </c>
      <c r="G4338" s="2" t="s">
        <v>20</v>
      </c>
      <c r="H4338" s="2" t="s">
        <v>2149</v>
      </c>
      <c r="I4338" s="2" t="s">
        <v>20</v>
      </c>
      <c r="J4338" s="2" t="s">
        <v>1677</v>
      </c>
    </row>
    <row r="4339" spans="1:10" s="21" customFormat="1" x14ac:dyDescent="0.35">
      <c r="A4339" s="2" t="s">
        <v>1642</v>
      </c>
      <c r="B4339" s="2" t="s">
        <v>2134</v>
      </c>
      <c r="C4339" s="2" t="s">
        <v>54</v>
      </c>
      <c r="D4339" s="2" t="s">
        <v>2148</v>
      </c>
      <c r="E4339" s="2" t="s">
        <v>18</v>
      </c>
      <c r="F4339" s="2" t="s">
        <v>19</v>
      </c>
      <c r="G4339" s="2" t="s">
        <v>20</v>
      </c>
      <c r="H4339" s="2" t="s">
        <v>2149</v>
      </c>
      <c r="I4339" s="2" t="s">
        <v>20</v>
      </c>
      <c r="J4339" s="2" t="s">
        <v>1677</v>
      </c>
    </row>
    <row r="4340" spans="1:10" s="21" customFormat="1" x14ac:dyDescent="0.35">
      <c r="A4340" s="2" t="s">
        <v>1642</v>
      </c>
      <c r="B4340" s="2" t="s">
        <v>2134</v>
      </c>
      <c r="C4340" s="2" t="s">
        <v>54</v>
      </c>
      <c r="D4340" s="2" t="s">
        <v>2148</v>
      </c>
      <c r="E4340" s="2" t="s">
        <v>61</v>
      </c>
      <c r="F4340" s="2" t="s">
        <v>30</v>
      </c>
      <c r="G4340" s="2" t="s">
        <v>20</v>
      </c>
      <c r="H4340" s="2" t="s">
        <v>2149</v>
      </c>
      <c r="I4340" s="2" t="s">
        <v>20</v>
      </c>
      <c r="J4340" s="2" t="s">
        <v>1677</v>
      </c>
    </row>
    <row r="4341" spans="1:10" x14ac:dyDescent="0.35">
      <c r="A4341" s="2" t="s">
        <v>1642</v>
      </c>
      <c r="B4341" s="2" t="s">
        <v>2134</v>
      </c>
      <c r="C4341" s="2" t="s">
        <v>62</v>
      </c>
      <c r="D4341" s="2" t="s">
        <v>2150</v>
      </c>
      <c r="E4341" s="2" t="s">
        <v>89</v>
      </c>
      <c r="F4341" s="2" t="s">
        <v>45</v>
      </c>
      <c r="G4341" s="2" t="s">
        <v>20</v>
      </c>
      <c r="H4341" s="2" t="s">
        <v>2151</v>
      </c>
      <c r="I4341" s="2" t="s">
        <v>20</v>
      </c>
      <c r="J4341" s="2" t="s">
        <v>1677</v>
      </c>
    </row>
    <row r="4342" spans="1:10" x14ac:dyDescent="0.35">
      <c r="A4342" s="2" t="s">
        <v>1642</v>
      </c>
      <c r="B4342" s="2" t="s">
        <v>2134</v>
      </c>
      <c r="C4342" s="2" t="s">
        <v>12</v>
      </c>
      <c r="D4342" s="2" t="s">
        <v>2152</v>
      </c>
      <c r="E4342" s="2" t="s">
        <v>87</v>
      </c>
      <c r="F4342" s="2" t="s">
        <v>75</v>
      </c>
      <c r="G4342" s="2" t="s">
        <v>20</v>
      </c>
      <c r="H4342" s="2" t="s">
        <v>2153</v>
      </c>
      <c r="I4342" s="2" t="s">
        <v>20</v>
      </c>
      <c r="J4342" s="2" t="s">
        <v>1677</v>
      </c>
    </row>
    <row r="4343" spans="1:10" x14ac:dyDescent="0.35">
      <c r="A4343" s="2" t="s">
        <v>1642</v>
      </c>
      <c r="B4343" s="2" t="s">
        <v>2134</v>
      </c>
      <c r="C4343" s="2" t="s">
        <v>62</v>
      </c>
      <c r="D4343" s="2" t="s">
        <v>2154</v>
      </c>
      <c r="E4343" s="2" t="s">
        <v>14</v>
      </c>
      <c r="F4343" s="2" t="s">
        <v>15</v>
      </c>
      <c r="G4343" s="2"/>
      <c r="H4343" s="2"/>
      <c r="I4343" s="2" t="s">
        <v>20</v>
      </c>
      <c r="J4343" s="2" t="s">
        <v>1677</v>
      </c>
    </row>
    <row r="4344" spans="1:10" x14ac:dyDescent="0.35">
      <c r="A4344" s="2" t="s">
        <v>1642</v>
      </c>
      <c r="B4344" s="2" t="s">
        <v>2134</v>
      </c>
      <c r="C4344" s="2" t="s">
        <v>62</v>
      </c>
      <c r="D4344" s="2" t="s">
        <v>2154</v>
      </c>
      <c r="E4344" s="2" t="s">
        <v>121</v>
      </c>
      <c r="F4344" s="2" t="s">
        <v>122</v>
      </c>
      <c r="G4344" s="2"/>
      <c r="H4344" s="2"/>
      <c r="I4344" s="2" t="s">
        <v>20</v>
      </c>
      <c r="J4344" s="2" t="s">
        <v>1677</v>
      </c>
    </row>
    <row r="4345" spans="1:10" x14ac:dyDescent="0.35">
      <c r="A4345" s="2" t="s">
        <v>1642</v>
      </c>
      <c r="B4345" s="2" t="s">
        <v>2134</v>
      </c>
      <c r="C4345" s="2" t="s">
        <v>62</v>
      </c>
      <c r="D4345" s="2" t="s">
        <v>2154</v>
      </c>
      <c r="E4345" s="2" t="s">
        <v>393</v>
      </c>
      <c r="F4345" s="2" t="s">
        <v>36</v>
      </c>
      <c r="G4345" s="2"/>
      <c r="H4345" s="2"/>
      <c r="I4345" s="2" t="s">
        <v>20</v>
      </c>
      <c r="J4345" s="2" t="s">
        <v>1677</v>
      </c>
    </row>
    <row r="4346" spans="1:10" x14ac:dyDescent="0.35">
      <c r="A4346" s="2" t="s">
        <v>1642</v>
      </c>
      <c r="B4346" s="2" t="s">
        <v>2134</v>
      </c>
      <c r="C4346" s="2" t="s">
        <v>801</v>
      </c>
      <c r="D4346" s="2" t="s">
        <v>2155</v>
      </c>
      <c r="E4346" s="2" t="s">
        <v>130</v>
      </c>
      <c r="F4346" s="2" t="s">
        <v>36</v>
      </c>
      <c r="G4346" s="2"/>
      <c r="H4346" s="2"/>
      <c r="I4346" s="2" t="s">
        <v>20</v>
      </c>
      <c r="J4346" s="2" t="s">
        <v>1677</v>
      </c>
    </row>
    <row r="4347" spans="1:10" s="21" customFormat="1" x14ac:dyDescent="0.35">
      <c r="A4347" s="2" t="s">
        <v>1642</v>
      </c>
      <c r="B4347" s="2" t="s">
        <v>2134</v>
      </c>
      <c r="C4347" s="2" t="s">
        <v>54</v>
      </c>
      <c r="D4347" s="2" t="s">
        <v>2156</v>
      </c>
      <c r="E4347" s="2" t="s">
        <v>98</v>
      </c>
      <c r="F4347" s="2" t="s">
        <v>98</v>
      </c>
      <c r="G4347" s="2" t="s">
        <v>20</v>
      </c>
      <c r="H4347" s="2" t="s">
        <v>1718</v>
      </c>
      <c r="I4347" s="2" t="s">
        <v>20</v>
      </c>
      <c r="J4347" s="2" t="s">
        <v>1677</v>
      </c>
    </row>
    <row r="4348" spans="1:10" s="21" customFormat="1" x14ac:dyDescent="0.35">
      <c r="A4348" s="2" t="s">
        <v>1642</v>
      </c>
      <c r="B4348" s="2" t="s">
        <v>2134</v>
      </c>
      <c r="C4348" s="2" t="s">
        <v>54</v>
      </c>
      <c r="D4348" s="2" t="s">
        <v>2156</v>
      </c>
      <c r="E4348" s="2" t="s">
        <v>1307</v>
      </c>
      <c r="F4348" s="2" t="s">
        <v>38</v>
      </c>
      <c r="G4348" s="2" t="s">
        <v>20</v>
      </c>
      <c r="H4348" s="2" t="s">
        <v>1718</v>
      </c>
      <c r="I4348" s="2" t="s">
        <v>20</v>
      </c>
      <c r="J4348" s="2" t="s">
        <v>1677</v>
      </c>
    </row>
    <row r="4349" spans="1:10" s="21" customFormat="1" x14ac:dyDescent="0.35">
      <c r="A4349" s="2" t="s">
        <v>1642</v>
      </c>
      <c r="B4349" s="2" t="s">
        <v>2134</v>
      </c>
      <c r="C4349" s="2" t="s">
        <v>54</v>
      </c>
      <c r="D4349" s="2" t="s">
        <v>2156</v>
      </c>
      <c r="E4349" s="2" t="s">
        <v>393</v>
      </c>
      <c r="F4349" s="2" t="s">
        <v>36</v>
      </c>
      <c r="G4349" s="2" t="s">
        <v>20</v>
      </c>
      <c r="H4349" s="2" t="s">
        <v>1718</v>
      </c>
      <c r="I4349" s="2" t="s">
        <v>20</v>
      </c>
      <c r="J4349" s="2" t="s">
        <v>1677</v>
      </c>
    </row>
    <row r="4350" spans="1:10" s="21" customFormat="1" x14ac:dyDescent="0.35">
      <c r="A4350" s="2" t="s">
        <v>1642</v>
      </c>
      <c r="B4350" s="2" t="s">
        <v>2134</v>
      </c>
      <c r="C4350" s="2" t="s">
        <v>54</v>
      </c>
      <c r="D4350" s="2" t="s">
        <v>2156</v>
      </c>
      <c r="E4350" s="2" t="s">
        <v>1243</v>
      </c>
      <c r="F4350" s="2" t="s">
        <v>40</v>
      </c>
      <c r="G4350" s="2" t="s">
        <v>20</v>
      </c>
      <c r="H4350" s="2" t="s">
        <v>1718</v>
      </c>
      <c r="I4350" s="2" t="s">
        <v>20</v>
      </c>
      <c r="J4350" s="2" t="s">
        <v>1677</v>
      </c>
    </row>
    <row r="4351" spans="1:10" s="21" customFormat="1" x14ac:dyDescent="0.35">
      <c r="A4351" s="2" t="s">
        <v>1642</v>
      </c>
      <c r="B4351" s="2" t="s">
        <v>2134</v>
      </c>
      <c r="C4351" s="2" t="s">
        <v>54</v>
      </c>
      <c r="D4351" s="2" t="s">
        <v>2156</v>
      </c>
      <c r="E4351" s="2" t="s">
        <v>18</v>
      </c>
      <c r="F4351" s="2" t="s">
        <v>19</v>
      </c>
      <c r="G4351" s="2" t="s">
        <v>20</v>
      </c>
      <c r="H4351" s="2" t="s">
        <v>1718</v>
      </c>
      <c r="I4351" s="2" t="s">
        <v>20</v>
      </c>
      <c r="J4351" s="2" t="s">
        <v>1677</v>
      </c>
    </row>
    <row r="4352" spans="1:10" s="21" customFormat="1" x14ac:dyDescent="0.35">
      <c r="A4352" s="2" t="s">
        <v>1642</v>
      </c>
      <c r="B4352" s="2" t="s">
        <v>2134</v>
      </c>
      <c r="C4352" s="2" t="s">
        <v>54</v>
      </c>
      <c r="D4352" s="2" t="s">
        <v>2156</v>
      </c>
      <c r="E4352" s="2" t="s">
        <v>89</v>
      </c>
      <c r="F4352" s="2" t="s">
        <v>45</v>
      </c>
      <c r="G4352" s="2" t="s">
        <v>20</v>
      </c>
      <c r="H4352" s="2" t="s">
        <v>1718</v>
      </c>
      <c r="I4352" s="2" t="s">
        <v>20</v>
      </c>
      <c r="J4352" s="2" t="s">
        <v>1677</v>
      </c>
    </row>
    <row r="4353" spans="1:10" s="21" customFormat="1" x14ac:dyDescent="0.35">
      <c r="A4353" s="2" t="s">
        <v>1642</v>
      </c>
      <c r="B4353" s="2" t="s">
        <v>2134</v>
      </c>
      <c r="C4353" s="2" t="s">
        <v>54</v>
      </c>
      <c r="D4353" s="2" t="s">
        <v>2156</v>
      </c>
      <c r="E4353" s="2" t="s">
        <v>387</v>
      </c>
      <c r="F4353" s="2" t="s">
        <v>367</v>
      </c>
      <c r="G4353" s="2" t="s">
        <v>20</v>
      </c>
      <c r="H4353" s="2" t="s">
        <v>1718</v>
      </c>
      <c r="I4353" s="2" t="s">
        <v>20</v>
      </c>
      <c r="J4353" s="2" t="s">
        <v>1677</v>
      </c>
    </row>
    <row r="4354" spans="1:10" s="21" customFormat="1" x14ac:dyDescent="0.35">
      <c r="A4354" s="2" t="s">
        <v>1642</v>
      </c>
      <c r="B4354" s="2" t="s">
        <v>2134</v>
      </c>
      <c r="C4354" s="2" t="s">
        <v>54</v>
      </c>
      <c r="D4354" s="2" t="s">
        <v>2157</v>
      </c>
      <c r="E4354" s="2" t="s">
        <v>393</v>
      </c>
      <c r="F4354" s="2" t="s">
        <v>36</v>
      </c>
      <c r="G4354" s="2" t="s">
        <v>20</v>
      </c>
      <c r="H4354" s="2" t="s">
        <v>2158</v>
      </c>
      <c r="I4354" s="2" t="s">
        <v>20</v>
      </c>
      <c r="J4354" s="2" t="s">
        <v>1677</v>
      </c>
    </row>
    <row r="4355" spans="1:10" s="21" customFormat="1" x14ac:dyDescent="0.35">
      <c r="A4355" s="2" t="s">
        <v>1642</v>
      </c>
      <c r="B4355" s="2" t="s">
        <v>2134</v>
      </c>
      <c r="C4355" s="2" t="s">
        <v>54</v>
      </c>
      <c r="D4355" s="2" t="s">
        <v>2157</v>
      </c>
      <c r="E4355" s="2" t="s">
        <v>91</v>
      </c>
      <c r="F4355" s="2" t="s">
        <v>19</v>
      </c>
      <c r="G4355" s="2" t="s">
        <v>20</v>
      </c>
      <c r="H4355" s="2" t="s">
        <v>2158</v>
      </c>
      <c r="I4355" s="2" t="s">
        <v>20</v>
      </c>
      <c r="J4355" s="2" t="s">
        <v>1677</v>
      </c>
    </row>
    <row r="4356" spans="1:10" s="21" customFormat="1" x14ac:dyDescent="0.35">
      <c r="A4356" s="2" t="s">
        <v>1642</v>
      </c>
      <c r="B4356" s="2" t="s">
        <v>2134</v>
      </c>
      <c r="C4356" s="2" t="s">
        <v>54</v>
      </c>
      <c r="D4356" s="2" t="s">
        <v>2157</v>
      </c>
      <c r="E4356" s="2" t="s">
        <v>42</v>
      </c>
      <c r="F4356" s="2" t="s">
        <v>43</v>
      </c>
      <c r="G4356" s="2" t="s">
        <v>20</v>
      </c>
      <c r="H4356" s="2" t="s">
        <v>2158</v>
      </c>
      <c r="I4356" s="2" t="s">
        <v>20</v>
      </c>
      <c r="J4356" s="2" t="s">
        <v>1677</v>
      </c>
    </row>
    <row r="4357" spans="1:10" x14ac:dyDescent="0.35">
      <c r="A4357" s="2" t="s">
        <v>1642</v>
      </c>
      <c r="B4357" s="2" t="s">
        <v>2134</v>
      </c>
      <c r="C4357" s="2" t="s">
        <v>12</v>
      </c>
      <c r="D4357" s="2" t="s">
        <v>2159</v>
      </c>
      <c r="E4357" s="2" t="s">
        <v>91</v>
      </c>
      <c r="F4357" s="2" t="s">
        <v>19</v>
      </c>
      <c r="G4357" s="2"/>
      <c r="H4357" s="2"/>
      <c r="I4357" s="2" t="s">
        <v>20</v>
      </c>
      <c r="J4357" s="2" t="s">
        <v>1677</v>
      </c>
    </row>
    <row r="4358" spans="1:10" x14ac:dyDescent="0.35">
      <c r="A4358" s="2" t="s">
        <v>1642</v>
      </c>
      <c r="B4358" s="2" t="s">
        <v>2134</v>
      </c>
      <c r="C4358" s="2" t="s">
        <v>12</v>
      </c>
      <c r="D4358" s="2" t="s">
        <v>2159</v>
      </c>
      <c r="E4358" s="2" t="s">
        <v>35</v>
      </c>
      <c r="F4358" s="2" t="s">
        <v>36</v>
      </c>
      <c r="G4358" s="2"/>
      <c r="H4358" s="2"/>
      <c r="I4358" s="2" t="s">
        <v>20</v>
      </c>
      <c r="J4358" s="2" t="s">
        <v>1677</v>
      </c>
    </row>
    <row r="4359" spans="1:10" x14ac:dyDescent="0.35">
      <c r="A4359" s="2" t="s">
        <v>1642</v>
      </c>
      <c r="B4359" s="2" t="s">
        <v>2134</v>
      </c>
      <c r="C4359" s="2" t="s">
        <v>12</v>
      </c>
      <c r="D4359" s="2" t="s">
        <v>2159</v>
      </c>
      <c r="E4359" s="2" t="s">
        <v>188</v>
      </c>
      <c r="F4359" s="2" t="s">
        <v>189</v>
      </c>
      <c r="G4359" s="2"/>
      <c r="H4359" s="2"/>
      <c r="I4359" s="2" t="s">
        <v>20</v>
      </c>
      <c r="J4359" s="2" t="s">
        <v>1677</v>
      </c>
    </row>
    <row r="4360" spans="1:10" x14ac:dyDescent="0.35">
      <c r="A4360" s="2" t="s">
        <v>1642</v>
      </c>
      <c r="B4360" s="2" t="s">
        <v>2134</v>
      </c>
      <c r="C4360" s="2" t="s">
        <v>12</v>
      </c>
      <c r="D4360" s="2" t="s">
        <v>2160</v>
      </c>
      <c r="E4360" s="2" t="s">
        <v>74</v>
      </c>
      <c r="F4360" s="2" t="s">
        <v>75</v>
      </c>
      <c r="G4360" s="2"/>
      <c r="H4360" s="2"/>
      <c r="I4360" s="2" t="s">
        <v>20</v>
      </c>
      <c r="J4360" s="2" t="s">
        <v>1677</v>
      </c>
    </row>
    <row r="4361" spans="1:10" x14ac:dyDescent="0.35">
      <c r="A4361" s="2" t="s">
        <v>1642</v>
      </c>
      <c r="B4361" s="2" t="s">
        <v>2134</v>
      </c>
      <c r="C4361" s="2" t="s">
        <v>12</v>
      </c>
      <c r="D4361" s="2" t="s">
        <v>2160</v>
      </c>
      <c r="E4361" s="2" t="s">
        <v>14</v>
      </c>
      <c r="F4361" s="2" t="s">
        <v>15</v>
      </c>
      <c r="G4361" s="2"/>
      <c r="H4361" s="2"/>
      <c r="I4361" s="2" t="s">
        <v>20</v>
      </c>
      <c r="J4361" s="2" t="s">
        <v>1677</v>
      </c>
    </row>
    <row r="4362" spans="1:10" x14ac:dyDescent="0.35">
      <c r="A4362" s="2" t="s">
        <v>1642</v>
      </c>
      <c r="B4362" s="2" t="s">
        <v>2134</v>
      </c>
      <c r="C4362" s="2" t="s">
        <v>12</v>
      </c>
      <c r="D4362" s="2" t="s">
        <v>2160</v>
      </c>
      <c r="E4362" s="2" t="s">
        <v>136</v>
      </c>
      <c r="F4362" s="2" t="s">
        <v>107</v>
      </c>
      <c r="G4362" s="2" t="s">
        <v>20</v>
      </c>
      <c r="H4362" s="2" t="s">
        <v>2161</v>
      </c>
      <c r="I4362" s="2" t="s">
        <v>20</v>
      </c>
      <c r="J4362" s="2" t="s">
        <v>1677</v>
      </c>
    </row>
    <row r="4363" spans="1:10" x14ac:dyDescent="0.35">
      <c r="A4363" s="2" t="s">
        <v>1642</v>
      </c>
      <c r="B4363" s="2" t="s">
        <v>2134</v>
      </c>
      <c r="C4363" s="2" t="s">
        <v>12</v>
      </c>
      <c r="D4363" s="2" t="s">
        <v>2160</v>
      </c>
      <c r="E4363" s="2" t="s">
        <v>77</v>
      </c>
      <c r="F4363" s="2" t="s">
        <v>78</v>
      </c>
      <c r="G4363" s="2"/>
      <c r="H4363" s="2"/>
      <c r="I4363" s="2" t="s">
        <v>20</v>
      </c>
      <c r="J4363" s="2" t="s">
        <v>1677</v>
      </c>
    </row>
    <row r="4364" spans="1:10" x14ac:dyDescent="0.35">
      <c r="A4364" s="2" t="s">
        <v>1642</v>
      </c>
      <c r="B4364" s="2" t="s">
        <v>2134</v>
      </c>
      <c r="C4364" s="2" t="s">
        <v>12</v>
      </c>
      <c r="D4364" s="2" t="s">
        <v>2160</v>
      </c>
      <c r="E4364" s="2" t="s">
        <v>18</v>
      </c>
      <c r="F4364" s="2" t="s">
        <v>19</v>
      </c>
      <c r="G4364" s="2" t="s">
        <v>20</v>
      </c>
      <c r="H4364" s="2" t="s">
        <v>1700</v>
      </c>
      <c r="I4364" s="2" t="s">
        <v>20</v>
      </c>
      <c r="J4364" s="2" t="s">
        <v>1677</v>
      </c>
    </row>
    <row r="4365" spans="1:10" x14ac:dyDescent="0.35">
      <c r="A4365" s="2" t="s">
        <v>1642</v>
      </c>
      <c r="B4365" s="2" t="s">
        <v>2134</v>
      </c>
      <c r="C4365" s="2" t="s">
        <v>12</v>
      </c>
      <c r="D4365" s="2" t="s">
        <v>2160</v>
      </c>
      <c r="E4365" s="2" t="s">
        <v>61</v>
      </c>
      <c r="F4365" s="2" t="s">
        <v>30</v>
      </c>
      <c r="G4365" s="2"/>
      <c r="H4365" s="2"/>
      <c r="I4365" s="2" t="s">
        <v>20</v>
      </c>
      <c r="J4365" s="2" t="s">
        <v>1677</v>
      </c>
    </row>
    <row r="4366" spans="1:10" x14ac:dyDescent="0.35">
      <c r="A4366" s="2" t="s">
        <v>1642</v>
      </c>
      <c r="B4366" s="2" t="s">
        <v>2134</v>
      </c>
      <c r="C4366" s="2" t="s">
        <v>12</v>
      </c>
      <c r="D4366" s="2" t="s">
        <v>2160</v>
      </c>
      <c r="E4366" s="2" t="s">
        <v>188</v>
      </c>
      <c r="F4366" s="2" t="s">
        <v>189</v>
      </c>
      <c r="G4366" s="2"/>
      <c r="H4366" s="2"/>
      <c r="I4366" s="2" t="s">
        <v>20</v>
      </c>
      <c r="J4366" s="2" t="s">
        <v>1677</v>
      </c>
    </row>
    <row r="4367" spans="1:10" x14ac:dyDescent="0.35">
      <c r="A4367" s="2" t="s">
        <v>1642</v>
      </c>
      <c r="B4367" s="2" t="s">
        <v>2134</v>
      </c>
      <c r="C4367" s="2" t="s">
        <v>62</v>
      </c>
      <c r="D4367" s="2" t="s">
        <v>2162</v>
      </c>
      <c r="E4367" s="2" t="s">
        <v>74</v>
      </c>
      <c r="F4367" s="2" t="s">
        <v>75</v>
      </c>
      <c r="G4367" s="2" t="s">
        <v>20</v>
      </c>
      <c r="H4367" s="2" t="s">
        <v>2163</v>
      </c>
      <c r="I4367" s="2" t="s">
        <v>20</v>
      </c>
      <c r="J4367" s="2" t="s">
        <v>1677</v>
      </c>
    </row>
    <row r="4368" spans="1:10" x14ac:dyDescent="0.35">
      <c r="A4368" s="2" t="s">
        <v>1642</v>
      </c>
      <c r="B4368" s="2" t="s">
        <v>2134</v>
      </c>
      <c r="C4368" s="2" t="s">
        <v>62</v>
      </c>
      <c r="D4368" s="2" t="s">
        <v>2162</v>
      </c>
      <c r="E4368" s="2" t="s">
        <v>121</v>
      </c>
      <c r="F4368" s="2" t="s">
        <v>122</v>
      </c>
      <c r="G4368" s="2"/>
      <c r="H4368" s="2"/>
      <c r="I4368" s="2" t="s">
        <v>20</v>
      </c>
      <c r="J4368" s="2" t="s">
        <v>1677</v>
      </c>
    </row>
    <row r="4369" spans="1:10" x14ac:dyDescent="0.35">
      <c r="A4369" s="2" t="s">
        <v>1642</v>
      </c>
      <c r="B4369" s="2" t="s">
        <v>2134</v>
      </c>
      <c r="C4369" s="2" t="s">
        <v>62</v>
      </c>
      <c r="D4369" s="2" t="s">
        <v>2162</v>
      </c>
      <c r="E4369" s="2" t="s">
        <v>35</v>
      </c>
      <c r="F4369" s="2" t="s">
        <v>36</v>
      </c>
      <c r="G4369" s="2"/>
      <c r="H4369" s="2"/>
      <c r="I4369" s="2" t="s">
        <v>20</v>
      </c>
      <c r="J4369" s="2" t="s">
        <v>1677</v>
      </c>
    </row>
    <row r="4370" spans="1:10" x14ac:dyDescent="0.35">
      <c r="A4370" s="2" t="s">
        <v>1642</v>
      </c>
      <c r="B4370" s="2" t="s">
        <v>2134</v>
      </c>
      <c r="C4370" s="2" t="s">
        <v>62</v>
      </c>
      <c r="D4370" s="2" t="s">
        <v>2162</v>
      </c>
      <c r="E4370" s="2" t="s">
        <v>393</v>
      </c>
      <c r="F4370" s="2" t="s">
        <v>36</v>
      </c>
      <c r="G4370" s="2"/>
      <c r="H4370" s="2"/>
      <c r="I4370" s="2" t="s">
        <v>20</v>
      </c>
      <c r="J4370" s="2" t="s">
        <v>1677</v>
      </c>
    </row>
    <row r="4371" spans="1:10" x14ac:dyDescent="0.35">
      <c r="A4371" s="2" t="s">
        <v>1642</v>
      </c>
      <c r="B4371" s="2" t="s">
        <v>2134</v>
      </c>
      <c r="C4371" s="2" t="s">
        <v>62</v>
      </c>
      <c r="D4371" s="2" t="s">
        <v>2162</v>
      </c>
      <c r="E4371" s="2" t="s">
        <v>87</v>
      </c>
      <c r="F4371" s="2" t="s">
        <v>75</v>
      </c>
      <c r="G4371" s="2"/>
      <c r="H4371" s="2"/>
      <c r="I4371" s="2" t="s">
        <v>20</v>
      </c>
      <c r="J4371" s="2" t="s">
        <v>1677</v>
      </c>
    </row>
    <row r="4372" spans="1:10" x14ac:dyDescent="0.35">
      <c r="A4372" s="2" t="s">
        <v>1642</v>
      </c>
      <c r="B4372" s="2" t="s">
        <v>2134</v>
      </c>
      <c r="C4372" s="2" t="s">
        <v>62</v>
      </c>
      <c r="D4372" s="2" t="s">
        <v>2162</v>
      </c>
      <c r="E4372" s="2" t="s">
        <v>2164</v>
      </c>
      <c r="F4372" s="2" t="s">
        <v>40</v>
      </c>
      <c r="G4372" s="2"/>
      <c r="H4372" s="2"/>
      <c r="I4372" s="2" t="s">
        <v>20</v>
      </c>
      <c r="J4372" s="2" t="s">
        <v>1677</v>
      </c>
    </row>
    <row r="4373" spans="1:10" x14ac:dyDescent="0.35">
      <c r="A4373" s="2" t="s">
        <v>1642</v>
      </c>
      <c r="B4373" s="2" t="s">
        <v>2134</v>
      </c>
      <c r="C4373" s="2" t="s">
        <v>62</v>
      </c>
      <c r="D4373" s="2" t="s">
        <v>2162</v>
      </c>
      <c r="E4373" s="2" t="s">
        <v>18</v>
      </c>
      <c r="F4373" s="2" t="s">
        <v>19</v>
      </c>
      <c r="G4373" s="2" t="s">
        <v>20</v>
      </c>
      <c r="H4373" s="2" t="s">
        <v>2163</v>
      </c>
      <c r="I4373" s="2" t="s">
        <v>20</v>
      </c>
      <c r="J4373" s="2" t="s">
        <v>1677</v>
      </c>
    </row>
    <row r="4374" spans="1:10" x14ac:dyDescent="0.35">
      <c r="A4374" s="2" t="s">
        <v>1642</v>
      </c>
      <c r="B4374" s="2" t="s">
        <v>2134</v>
      </c>
      <c r="C4374" s="2" t="s">
        <v>62</v>
      </c>
      <c r="D4374" s="2" t="s">
        <v>2162</v>
      </c>
      <c r="E4374" s="2" t="s">
        <v>61</v>
      </c>
      <c r="F4374" s="2" t="s">
        <v>30</v>
      </c>
      <c r="G4374" s="2"/>
      <c r="H4374" s="2"/>
      <c r="I4374" s="2" t="s">
        <v>20</v>
      </c>
      <c r="J4374" s="2" t="s">
        <v>1677</v>
      </c>
    </row>
    <row r="4375" spans="1:10" x14ac:dyDescent="0.35">
      <c r="A4375" s="2" t="s">
        <v>1642</v>
      </c>
      <c r="B4375" s="2" t="s">
        <v>2134</v>
      </c>
      <c r="C4375" s="2" t="s">
        <v>62</v>
      </c>
      <c r="D4375" s="2" t="s">
        <v>2165</v>
      </c>
      <c r="E4375" s="2" t="s">
        <v>18</v>
      </c>
      <c r="F4375" s="2" t="s">
        <v>19</v>
      </c>
      <c r="G4375" s="2" t="s">
        <v>20</v>
      </c>
      <c r="H4375" s="2" t="s">
        <v>2166</v>
      </c>
      <c r="I4375" s="2" t="s">
        <v>20</v>
      </c>
      <c r="J4375" s="2" t="s">
        <v>1677</v>
      </c>
    </row>
    <row r="4376" spans="1:10" x14ac:dyDescent="0.35">
      <c r="A4376" s="2" t="s">
        <v>1642</v>
      </c>
      <c r="B4376" s="2" t="s">
        <v>2134</v>
      </c>
      <c r="C4376" s="2" t="s">
        <v>62</v>
      </c>
      <c r="D4376" s="2" t="s">
        <v>2165</v>
      </c>
      <c r="E4376" s="2" t="s">
        <v>61</v>
      </c>
      <c r="F4376" s="2" t="s">
        <v>30</v>
      </c>
      <c r="G4376" s="2"/>
      <c r="H4376" s="2"/>
      <c r="I4376" s="2" t="s">
        <v>20</v>
      </c>
      <c r="J4376" s="2" t="s">
        <v>1677</v>
      </c>
    </row>
    <row r="4377" spans="1:10" x14ac:dyDescent="0.35">
      <c r="A4377" s="2" t="s">
        <v>1642</v>
      </c>
      <c r="B4377" s="2" t="s">
        <v>2134</v>
      </c>
      <c r="C4377" s="2" t="s">
        <v>62</v>
      </c>
      <c r="D4377" s="2" t="s">
        <v>2165</v>
      </c>
      <c r="E4377" s="2" t="s">
        <v>352</v>
      </c>
      <c r="F4377" s="2" t="s">
        <v>107</v>
      </c>
      <c r="G4377" s="2"/>
      <c r="H4377" s="2"/>
      <c r="I4377" s="2" t="s">
        <v>20</v>
      </c>
      <c r="J4377" s="2" t="s">
        <v>1677</v>
      </c>
    </row>
    <row r="4378" spans="1:10" x14ac:dyDescent="0.35">
      <c r="A4378" s="2" t="s">
        <v>1642</v>
      </c>
      <c r="B4378" s="2" t="s">
        <v>2134</v>
      </c>
      <c r="C4378" s="2" t="s">
        <v>62</v>
      </c>
      <c r="D4378" s="2" t="s">
        <v>2167</v>
      </c>
      <c r="E4378" s="2" t="s">
        <v>76</v>
      </c>
      <c r="F4378" s="2" t="s">
        <v>75</v>
      </c>
      <c r="G4378" s="2"/>
      <c r="H4378" s="2"/>
      <c r="I4378" s="2" t="s">
        <v>20</v>
      </c>
      <c r="J4378" s="2" t="s">
        <v>1677</v>
      </c>
    </row>
    <row r="4379" spans="1:10" x14ac:dyDescent="0.35">
      <c r="A4379" s="2" t="s">
        <v>1642</v>
      </c>
      <c r="B4379" s="2" t="s">
        <v>2134</v>
      </c>
      <c r="C4379" s="2" t="s">
        <v>62</v>
      </c>
      <c r="D4379" s="2" t="s">
        <v>2167</v>
      </c>
      <c r="E4379" s="2" t="s">
        <v>393</v>
      </c>
      <c r="F4379" s="2" t="s">
        <v>36</v>
      </c>
      <c r="G4379" s="2"/>
      <c r="H4379" s="2"/>
      <c r="I4379" s="2" t="s">
        <v>20</v>
      </c>
      <c r="J4379" s="2" t="s">
        <v>1677</v>
      </c>
    </row>
    <row r="4380" spans="1:10" x14ac:dyDescent="0.35">
      <c r="A4380" s="2" t="s">
        <v>1642</v>
      </c>
      <c r="B4380" s="2" t="s">
        <v>2134</v>
      </c>
      <c r="C4380" s="2" t="s">
        <v>62</v>
      </c>
      <c r="D4380" s="2" t="s">
        <v>2167</v>
      </c>
      <c r="E4380" s="2" t="s">
        <v>61</v>
      </c>
      <c r="F4380" s="2" t="s">
        <v>30</v>
      </c>
      <c r="G4380" s="2"/>
      <c r="H4380" s="2"/>
      <c r="I4380" s="2" t="s">
        <v>20</v>
      </c>
      <c r="J4380" s="2" t="s">
        <v>1677</v>
      </c>
    </row>
    <row r="4381" spans="1:10" x14ac:dyDescent="0.35">
      <c r="A4381" s="2" t="s">
        <v>1642</v>
      </c>
      <c r="B4381" s="2" t="s">
        <v>2134</v>
      </c>
      <c r="C4381" s="2" t="s">
        <v>62</v>
      </c>
      <c r="D4381" s="2" t="s">
        <v>2167</v>
      </c>
      <c r="E4381" s="2" t="s">
        <v>352</v>
      </c>
      <c r="F4381" s="2" t="s">
        <v>107</v>
      </c>
      <c r="G4381" s="2"/>
      <c r="H4381" s="2"/>
      <c r="I4381" s="2" t="s">
        <v>20</v>
      </c>
      <c r="J4381" s="2" t="s">
        <v>1677</v>
      </c>
    </row>
    <row r="4382" spans="1:10" x14ac:dyDescent="0.35">
      <c r="A4382" s="2" t="s">
        <v>1642</v>
      </c>
      <c r="B4382" s="2" t="s">
        <v>2134</v>
      </c>
      <c r="C4382" s="2" t="s">
        <v>24</v>
      </c>
      <c r="D4382" s="2" t="s">
        <v>2168</v>
      </c>
      <c r="E4382" s="2" t="s">
        <v>1172</v>
      </c>
      <c r="F4382" s="2" t="s">
        <v>107</v>
      </c>
      <c r="G4382" s="2"/>
      <c r="H4382" s="2"/>
      <c r="I4382" s="2" t="s">
        <v>20</v>
      </c>
      <c r="J4382" s="2" t="s">
        <v>1677</v>
      </c>
    </row>
    <row r="4383" spans="1:10" x14ac:dyDescent="0.35">
      <c r="A4383" s="2" t="s">
        <v>1642</v>
      </c>
      <c r="B4383" s="2" t="s">
        <v>2134</v>
      </c>
      <c r="C4383" s="2" t="s">
        <v>24</v>
      </c>
      <c r="D4383" s="2" t="s">
        <v>2168</v>
      </c>
      <c r="E4383" s="2" t="s">
        <v>96</v>
      </c>
      <c r="F4383" s="2" t="s">
        <v>83</v>
      </c>
      <c r="G4383" s="2"/>
      <c r="H4383" s="2"/>
      <c r="I4383" s="2" t="s">
        <v>20</v>
      </c>
      <c r="J4383" s="2" t="s">
        <v>1677</v>
      </c>
    </row>
    <row r="4384" spans="1:10" x14ac:dyDescent="0.35">
      <c r="A4384" s="2" t="s">
        <v>1642</v>
      </c>
      <c r="B4384" s="2" t="s">
        <v>2134</v>
      </c>
      <c r="C4384" s="2" t="s">
        <v>24</v>
      </c>
      <c r="D4384" s="2" t="s">
        <v>2168</v>
      </c>
      <c r="E4384" s="2" t="s">
        <v>121</v>
      </c>
      <c r="F4384" s="2" t="s">
        <v>122</v>
      </c>
      <c r="G4384" s="2"/>
      <c r="H4384" s="2"/>
      <c r="I4384" s="2" t="s">
        <v>20</v>
      </c>
      <c r="J4384" s="2" t="s">
        <v>1677</v>
      </c>
    </row>
    <row r="4385" spans="1:10" x14ac:dyDescent="0.35">
      <c r="A4385" s="2" t="s">
        <v>1642</v>
      </c>
      <c r="B4385" s="2" t="s">
        <v>2134</v>
      </c>
      <c r="C4385" s="2" t="s">
        <v>24</v>
      </c>
      <c r="D4385" s="2" t="s">
        <v>2168</v>
      </c>
      <c r="E4385" s="2" t="s">
        <v>393</v>
      </c>
      <c r="F4385" s="2" t="s">
        <v>36</v>
      </c>
      <c r="G4385" s="2"/>
      <c r="H4385" s="2"/>
      <c r="I4385" s="2" t="s">
        <v>20</v>
      </c>
      <c r="J4385" s="2" t="s">
        <v>1677</v>
      </c>
    </row>
    <row r="4386" spans="1:10" s="21" customFormat="1" x14ac:dyDescent="0.35">
      <c r="A4386" s="2" t="s">
        <v>1642</v>
      </c>
      <c r="B4386" s="2" t="s">
        <v>2134</v>
      </c>
      <c r="C4386" s="2" t="s">
        <v>24</v>
      </c>
      <c r="D4386" s="2" t="s">
        <v>2168</v>
      </c>
      <c r="E4386" s="2" t="s">
        <v>49</v>
      </c>
      <c r="F4386" s="2" t="s">
        <v>50</v>
      </c>
      <c r="G4386" s="2" t="s">
        <v>20</v>
      </c>
      <c r="H4386" s="2" t="s">
        <v>2169</v>
      </c>
      <c r="I4386" s="2" t="s">
        <v>20</v>
      </c>
      <c r="J4386" s="2" t="s">
        <v>1677</v>
      </c>
    </row>
    <row r="4387" spans="1:10" x14ac:dyDescent="0.35">
      <c r="A4387" s="2" t="s">
        <v>1642</v>
      </c>
      <c r="B4387" s="2" t="s">
        <v>2134</v>
      </c>
      <c r="C4387" s="2" t="s">
        <v>24</v>
      </c>
      <c r="D4387" s="2" t="s">
        <v>2168</v>
      </c>
      <c r="E4387" s="2" t="s">
        <v>87</v>
      </c>
      <c r="F4387" s="2" t="s">
        <v>75</v>
      </c>
      <c r="G4387" s="2" t="s">
        <v>20</v>
      </c>
      <c r="H4387" s="2" t="s">
        <v>2170</v>
      </c>
      <c r="I4387" s="2" t="s">
        <v>20</v>
      </c>
      <c r="J4387" s="2" t="s">
        <v>1677</v>
      </c>
    </row>
    <row r="4388" spans="1:10" x14ac:dyDescent="0.35">
      <c r="A4388" s="2" t="s">
        <v>1642</v>
      </c>
      <c r="B4388" s="2" t="s">
        <v>2134</v>
      </c>
      <c r="C4388" s="2" t="s">
        <v>24</v>
      </c>
      <c r="D4388" s="2" t="s">
        <v>2168</v>
      </c>
      <c r="E4388" s="2" t="s">
        <v>417</v>
      </c>
      <c r="F4388" s="2" t="s">
        <v>40</v>
      </c>
      <c r="G4388" s="2"/>
      <c r="H4388" s="2"/>
      <c r="I4388" s="2" t="s">
        <v>20</v>
      </c>
      <c r="J4388" s="2" t="s">
        <v>1677</v>
      </c>
    </row>
    <row r="4389" spans="1:10" x14ac:dyDescent="0.35">
      <c r="A4389" s="2" t="s">
        <v>1642</v>
      </c>
      <c r="B4389" s="2" t="s">
        <v>2134</v>
      </c>
      <c r="C4389" s="2" t="s">
        <v>24</v>
      </c>
      <c r="D4389" s="2" t="s">
        <v>2168</v>
      </c>
      <c r="E4389" s="2" t="s">
        <v>18</v>
      </c>
      <c r="F4389" s="2" t="s">
        <v>19</v>
      </c>
      <c r="G4389" s="2" t="s">
        <v>20</v>
      </c>
      <c r="H4389" s="2" t="s">
        <v>2171</v>
      </c>
      <c r="I4389" s="2" t="s">
        <v>20</v>
      </c>
      <c r="J4389" s="2" t="s">
        <v>1677</v>
      </c>
    </row>
    <row r="4390" spans="1:10" x14ac:dyDescent="0.35">
      <c r="A4390" s="2" t="s">
        <v>1642</v>
      </c>
      <c r="B4390" s="2" t="s">
        <v>2134</v>
      </c>
      <c r="C4390" s="2" t="s">
        <v>24</v>
      </c>
      <c r="D4390" s="2" t="s">
        <v>2168</v>
      </c>
      <c r="E4390" s="2" t="s">
        <v>61</v>
      </c>
      <c r="F4390" s="2" t="s">
        <v>30</v>
      </c>
      <c r="G4390" s="2"/>
      <c r="H4390" s="2"/>
      <c r="I4390" s="2" t="s">
        <v>20</v>
      </c>
      <c r="J4390" s="2" t="s">
        <v>1677</v>
      </c>
    </row>
    <row r="4391" spans="1:10" x14ac:dyDescent="0.35">
      <c r="A4391" s="2" t="s">
        <v>1642</v>
      </c>
      <c r="B4391" s="2" t="s">
        <v>2134</v>
      </c>
      <c r="C4391" s="2" t="s">
        <v>24</v>
      </c>
      <c r="D4391" s="2" t="s">
        <v>2168</v>
      </c>
      <c r="E4391" s="2" t="s">
        <v>149</v>
      </c>
      <c r="F4391" s="2" t="s">
        <v>150</v>
      </c>
      <c r="G4391" s="2"/>
      <c r="H4391" s="2"/>
      <c r="I4391" s="2" t="s">
        <v>20</v>
      </c>
      <c r="J4391" s="2" t="s">
        <v>1677</v>
      </c>
    </row>
    <row r="4392" spans="1:10" x14ac:dyDescent="0.35">
      <c r="A4392" s="2" t="s">
        <v>1642</v>
      </c>
      <c r="B4392" s="2" t="s">
        <v>2134</v>
      </c>
      <c r="C4392" s="2" t="s">
        <v>62</v>
      </c>
      <c r="D4392" s="2" t="s">
        <v>2172</v>
      </c>
      <c r="E4392" s="2" t="s">
        <v>121</v>
      </c>
      <c r="F4392" s="2" t="s">
        <v>122</v>
      </c>
      <c r="G4392" s="2"/>
      <c r="H4392" s="2"/>
      <c r="I4392" s="2" t="s">
        <v>20</v>
      </c>
      <c r="J4392" s="2" t="s">
        <v>1677</v>
      </c>
    </row>
    <row r="4393" spans="1:10" x14ac:dyDescent="0.35">
      <c r="A4393" s="2" t="s">
        <v>1642</v>
      </c>
      <c r="B4393" s="2" t="s">
        <v>2134</v>
      </c>
      <c r="C4393" s="2" t="s">
        <v>62</v>
      </c>
      <c r="D4393" s="2" t="s">
        <v>2172</v>
      </c>
      <c r="E4393" s="2" t="s">
        <v>393</v>
      </c>
      <c r="F4393" s="2" t="s">
        <v>36</v>
      </c>
      <c r="G4393" s="2"/>
      <c r="H4393" s="2"/>
      <c r="I4393" s="2" t="s">
        <v>20</v>
      </c>
      <c r="J4393" s="2" t="s">
        <v>1677</v>
      </c>
    </row>
    <row r="4394" spans="1:10" x14ac:dyDescent="0.35">
      <c r="A4394" s="2" t="s">
        <v>1642</v>
      </c>
      <c r="B4394" s="2" t="s">
        <v>2134</v>
      </c>
      <c r="C4394" s="2" t="s">
        <v>62</v>
      </c>
      <c r="D4394" s="2" t="s">
        <v>2172</v>
      </c>
      <c r="E4394" s="2" t="s">
        <v>87</v>
      </c>
      <c r="F4394" s="2" t="s">
        <v>75</v>
      </c>
      <c r="G4394" s="2" t="s">
        <v>20</v>
      </c>
      <c r="H4394" s="2" t="s">
        <v>2173</v>
      </c>
      <c r="I4394" s="2" t="s">
        <v>20</v>
      </c>
      <c r="J4394" s="2" t="s">
        <v>1677</v>
      </c>
    </row>
    <row r="4395" spans="1:10" x14ac:dyDescent="0.35">
      <c r="A4395" s="2" t="s">
        <v>1642</v>
      </c>
      <c r="B4395" s="2" t="s">
        <v>2134</v>
      </c>
      <c r="C4395" s="2" t="s">
        <v>62</v>
      </c>
      <c r="D4395" s="2" t="s">
        <v>2172</v>
      </c>
      <c r="E4395" s="2" t="s">
        <v>417</v>
      </c>
      <c r="F4395" s="2" t="s">
        <v>40</v>
      </c>
      <c r="G4395" s="2"/>
      <c r="H4395" s="2"/>
      <c r="I4395" s="2" t="s">
        <v>20</v>
      </c>
      <c r="J4395" s="2" t="s">
        <v>1677</v>
      </c>
    </row>
    <row r="4396" spans="1:10" x14ac:dyDescent="0.35">
      <c r="A4396" s="2" t="s">
        <v>1642</v>
      </c>
      <c r="B4396" s="2" t="s">
        <v>2134</v>
      </c>
      <c r="C4396" s="2" t="s">
        <v>62</v>
      </c>
      <c r="D4396" s="2" t="s">
        <v>2172</v>
      </c>
      <c r="E4396" s="2" t="s">
        <v>18</v>
      </c>
      <c r="F4396" s="2" t="s">
        <v>19</v>
      </c>
      <c r="G4396" s="2" t="s">
        <v>20</v>
      </c>
      <c r="H4396" s="2" t="s">
        <v>2174</v>
      </c>
      <c r="I4396" s="2" t="s">
        <v>20</v>
      </c>
      <c r="J4396" s="2" t="s">
        <v>1677</v>
      </c>
    </row>
    <row r="4397" spans="1:10" x14ac:dyDescent="0.35">
      <c r="A4397" s="2" t="s">
        <v>1642</v>
      </c>
      <c r="B4397" s="2" t="s">
        <v>2134</v>
      </c>
      <c r="C4397" s="2" t="s">
        <v>62</v>
      </c>
      <c r="D4397" s="2" t="s">
        <v>2172</v>
      </c>
      <c r="E4397" s="2" t="s">
        <v>352</v>
      </c>
      <c r="F4397" s="2" t="s">
        <v>107</v>
      </c>
      <c r="G4397" s="2"/>
      <c r="H4397" s="2"/>
      <c r="I4397" s="2" t="s">
        <v>20</v>
      </c>
      <c r="J4397" s="2" t="s">
        <v>1677</v>
      </c>
    </row>
    <row r="4398" spans="1:10" x14ac:dyDescent="0.35">
      <c r="A4398" s="2" t="s">
        <v>1642</v>
      </c>
      <c r="B4398" s="2" t="s">
        <v>2134</v>
      </c>
      <c r="C4398" s="2" t="s">
        <v>62</v>
      </c>
      <c r="D4398" s="2" t="s">
        <v>2172</v>
      </c>
      <c r="E4398" s="2" t="s">
        <v>149</v>
      </c>
      <c r="F4398" s="2" t="s">
        <v>150</v>
      </c>
      <c r="G4398" s="2" t="s">
        <v>20</v>
      </c>
      <c r="H4398" s="2" t="s">
        <v>2175</v>
      </c>
      <c r="I4398" s="2" t="s">
        <v>20</v>
      </c>
      <c r="J4398" s="2" t="s">
        <v>1677</v>
      </c>
    </row>
    <row r="4399" spans="1:10" x14ac:dyDescent="0.35">
      <c r="A4399" s="2" t="s">
        <v>1642</v>
      </c>
      <c r="B4399" s="2" t="s">
        <v>2134</v>
      </c>
      <c r="C4399" s="2" t="s">
        <v>12</v>
      </c>
      <c r="D4399" s="2" t="s">
        <v>2176</v>
      </c>
      <c r="E4399" s="2" t="s">
        <v>121</v>
      </c>
      <c r="F4399" s="2" t="s">
        <v>122</v>
      </c>
      <c r="G4399" s="2"/>
      <c r="H4399" s="2"/>
      <c r="I4399" s="2" t="s">
        <v>20</v>
      </c>
      <c r="J4399" s="2" t="s">
        <v>1677</v>
      </c>
    </row>
    <row r="4400" spans="1:10" x14ac:dyDescent="0.35">
      <c r="A4400" s="2" t="s">
        <v>1642</v>
      </c>
      <c r="B4400" s="2" t="s">
        <v>2134</v>
      </c>
      <c r="C4400" s="2" t="s">
        <v>12</v>
      </c>
      <c r="D4400" s="2" t="s">
        <v>2176</v>
      </c>
      <c r="E4400" s="2" t="s">
        <v>393</v>
      </c>
      <c r="F4400" s="2" t="s">
        <v>36</v>
      </c>
      <c r="G4400" s="2"/>
      <c r="H4400" s="2"/>
      <c r="I4400" s="2" t="s">
        <v>20</v>
      </c>
      <c r="J4400" s="2" t="s">
        <v>1677</v>
      </c>
    </row>
    <row r="4401" spans="1:10" x14ac:dyDescent="0.35">
      <c r="A4401" s="2" t="s">
        <v>1642</v>
      </c>
      <c r="B4401" s="2" t="s">
        <v>2134</v>
      </c>
      <c r="C4401" s="2" t="s">
        <v>12</v>
      </c>
      <c r="D4401" s="2" t="s">
        <v>2176</v>
      </c>
      <c r="E4401" s="2" t="s">
        <v>87</v>
      </c>
      <c r="F4401" s="2" t="s">
        <v>75</v>
      </c>
      <c r="G4401" s="2" t="s">
        <v>20</v>
      </c>
      <c r="H4401" s="2" t="s">
        <v>2177</v>
      </c>
      <c r="I4401" s="2" t="s">
        <v>20</v>
      </c>
      <c r="J4401" s="2" t="s">
        <v>1677</v>
      </c>
    </row>
    <row r="4402" spans="1:10" x14ac:dyDescent="0.35">
      <c r="A4402" s="2" t="s">
        <v>1642</v>
      </c>
      <c r="B4402" s="2" t="s">
        <v>2134</v>
      </c>
      <c r="C4402" s="2" t="s">
        <v>12</v>
      </c>
      <c r="D4402" s="2" t="s">
        <v>2176</v>
      </c>
      <c r="E4402" s="2" t="s">
        <v>417</v>
      </c>
      <c r="F4402" s="2" t="s">
        <v>40</v>
      </c>
      <c r="G4402" s="2"/>
      <c r="H4402" s="2"/>
      <c r="I4402" s="2" t="s">
        <v>20</v>
      </c>
      <c r="J4402" s="2" t="s">
        <v>1677</v>
      </c>
    </row>
    <row r="4403" spans="1:10" x14ac:dyDescent="0.35">
      <c r="A4403" s="2" t="s">
        <v>1642</v>
      </c>
      <c r="B4403" s="2" t="s">
        <v>2134</v>
      </c>
      <c r="C4403" s="2" t="s">
        <v>12</v>
      </c>
      <c r="D4403" s="2" t="s">
        <v>2176</v>
      </c>
      <c r="E4403" s="2" t="s">
        <v>18</v>
      </c>
      <c r="F4403" s="2" t="s">
        <v>19</v>
      </c>
      <c r="G4403" s="2" t="s">
        <v>20</v>
      </c>
      <c r="H4403" s="2" t="s">
        <v>2177</v>
      </c>
      <c r="I4403" s="2" t="s">
        <v>20</v>
      </c>
      <c r="J4403" s="2" t="s">
        <v>1677</v>
      </c>
    </row>
    <row r="4404" spans="1:10" x14ac:dyDescent="0.35">
      <c r="A4404" s="2" t="s">
        <v>1642</v>
      </c>
      <c r="B4404" s="2" t="s">
        <v>2134</v>
      </c>
      <c r="C4404" s="2" t="s">
        <v>12</v>
      </c>
      <c r="D4404" s="2" t="s">
        <v>2176</v>
      </c>
      <c r="E4404" s="2" t="s">
        <v>352</v>
      </c>
      <c r="F4404" s="2" t="s">
        <v>107</v>
      </c>
      <c r="G4404" s="2"/>
      <c r="H4404" s="2"/>
      <c r="I4404" s="2" t="s">
        <v>20</v>
      </c>
      <c r="J4404" s="2" t="s">
        <v>1677</v>
      </c>
    </row>
    <row r="4405" spans="1:10" x14ac:dyDescent="0.35">
      <c r="A4405" s="2" t="s">
        <v>1642</v>
      </c>
      <c r="B4405" s="2" t="s">
        <v>2134</v>
      </c>
      <c r="C4405" s="2" t="s">
        <v>62</v>
      </c>
      <c r="D4405" s="2" t="s">
        <v>2178</v>
      </c>
      <c r="E4405" s="2" t="s">
        <v>121</v>
      </c>
      <c r="F4405" s="2" t="s">
        <v>122</v>
      </c>
      <c r="G4405" s="2"/>
      <c r="H4405" s="2"/>
      <c r="I4405" s="2" t="s">
        <v>20</v>
      </c>
      <c r="J4405" s="2" t="s">
        <v>1677</v>
      </c>
    </row>
    <row r="4406" spans="1:10" x14ac:dyDescent="0.35">
      <c r="A4406" s="2" t="s">
        <v>1642</v>
      </c>
      <c r="B4406" s="2" t="s">
        <v>2134</v>
      </c>
      <c r="C4406" s="2" t="s">
        <v>62</v>
      </c>
      <c r="D4406" s="2" t="s">
        <v>2178</v>
      </c>
      <c r="E4406" s="2" t="s">
        <v>393</v>
      </c>
      <c r="F4406" s="2" t="s">
        <v>36</v>
      </c>
      <c r="G4406" s="2"/>
      <c r="H4406" s="2"/>
      <c r="I4406" s="2" t="s">
        <v>20</v>
      </c>
      <c r="J4406" s="2" t="s">
        <v>1677</v>
      </c>
    </row>
    <row r="4407" spans="1:10" x14ac:dyDescent="0.35">
      <c r="A4407" s="2" t="s">
        <v>1642</v>
      </c>
      <c r="B4407" s="2" t="s">
        <v>2134</v>
      </c>
      <c r="C4407" s="2" t="s">
        <v>62</v>
      </c>
      <c r="D4407" s="2" t="s">
        <v>2178</v>
      </c>
      <c r="E4407" s="2" t="s">
        <v>87</v>
      </c>
      <c r="F4407" s="2" t="s">
        <v>75</v>
      </c>
      <c r="G4407" s="2" t="s">
        <v>20</v>
      </c>
      <c r="H4407" s="2" t="s">
        <v>2177</v>
      </c>
      <c r="I4407" s="2" t="s">
        <v>20</v>
      </c>
      <c r="J4407" s="2" t="s">
        <v>1677</v>
      </c>
    </row>
    <row r="4408" spans="1:10" x14ac:dyDescent="0.35">
      <c r="A4408" s="2" t="s">
        <v>1642</v>
      </c>
      <c r="B4408" s="2" t="s">
        <v>2134</v>
      </c>
      <c r="C4408" s="2" t="s">
        <v>62</v>
      </c>
      <c r="D4408" s="2" t="s">
        <v>2178</v>
      </c>
      <c r="E4408" s="2" t="s">
        <v>417</v>
      </c>
      <c r="F4408" s="2" t="s">
        <v>40</v>
      </c>
      <c r="G4408" s="2"/>
      <c r="H4408" s="2"/>
      <c r="I4408" s="2" t="s">
        <v>20</v>
      </c>
      <c r="J4408" s="2" t="s">
        <v>1677</v>
      </c>
    </row>
    <row r="4409" spans="1:10" x14ac:dyDescent="0.35">
      <c r="A4409" s="2" t="s">
        <v>1642</v>
      </c>
      <c r="B4409" s="2" t="s">
        <v>2134</v>
      </c>
      <c r="C4409" s="2" t="s">
        <v>62</v>
      </c>
      <c r="D4409" s="2" t="s">
        <v>2178</v>
      </c>
      <c r="E4409" s="2" t="s">
        <v>18</v>
      </c>
      <c r="F4409" s="2" t="s">
        <v>19</v>
      </c>
      <c r="G4409" s="2" t="s">
        <v>20</v>
      </c>
      <c r="H4409" s="2" t="s">
        <v>2177</v>
      </c>
      <c r="I4409" s="2" t="s">
        <v>20</v>
      </c>
      <c r="J4409" s="2" t="s">
        <v>1677</v>
      </c>
    </row>
    <row r="4410" spans="1:10" x14ac:dyDescent="0.35">
      <c r="A4410" s="2" t="s">
        <v>1642</v>
      </c>
      <c r="B4410" s="2" t="s">
        <v>2134</v>
      </c>
      <c r="C4410" s="2" t="s">
        <v>62</v>
      </c>
      <c r="D4410" s="2" t="s">
        <v>2178</v>
      </c>
      <c r="E4410" s="2" t="s">
        <v>352</v>
      </c>
      <c r="F4410" s="2" t="s">
        <v>107</v>
      </c>
      <c r="G4410" s="2"/>
      <c r="H4410" s="2"/>
      <c r="I4410" s="2" t="s">
        <v>20</v>
      </c>
      <c r="J4410" s="2" t="s">
        <v>1677</v>
      </c>
    </row>
    <row r="4411" spans="1:10" x14ac:dyDescent="0.35">
      <c r="A4411" s="2" t="s">
        <v>1642</v>
      </c>
      <c r="B4411" s="2" t="s">
        <v>2134</v>
      </c>
      <c r="C4411" s="2" t="s">
        <v>12</v>
      </c>
      <c r="D4411" s="2" t="s">
        <v>2179</v>
      </c>
      <c r="E4411" s="2" t="s">
        <v>14</v>
      </c>
      <c r="F4411" s="2" t="s">
        <v>15</v>
      </c>
      <c r="G4411" s="2"/>
      <c r="H4411" s="2"/>
      <c r="I4411" s="2" t="s">
        <v>20</v>
      </c>
      <c r="J4411" s="2" t="s">
        <v>1677</v>
      </c>
    </row>
    <row r="4412" spans="1:10" x14ac:dyDescent="0.35">
      <c r="A4412" s="2" t="s">
        <v>1642</v>
      </c>
      <c r="B4412" s="2" t="s">
        <v>2134</v>
      </c>
      <c r="C4412" s="2" t="s">
        <v>12</v>
      </c>
      <c r="D4412" s="2" t="s">
        <v>2179</v>
      </c>
      <c r="E4412" s="2" t="s">
        <v>91</v>
      </c>
      <c r="F4412" s="2" t="s">
        <v>19</v>
      </c>
      <c r="G4412" s="2" t="s">
        <v>20</v>
      </c>
      <c r="H4412" s="2" t="s">
        <v>2180</v>
      </c>
      <c r="I4412" s="2" t="s">
        <v>20</v>
      </c>
      <c r="J4412" s="2" t="s">
        <v>1677</v>
      </c>
    </row>
    <row r="4413" spans="1:10" x14ac:dyDescent="0.35">
      <c r="A4413" s="2" t="s">
        <v>1642</v>
      </c>
      <c r="B4413" s="2" t="s">
        <v>2134</v>
      </c>
      <c r="C4413" s="2" t="s">
        <v>12</v>
      </c>
      <c r="D4413" s="2" t="s">
        <v>2179</v>
      </c>
      <c r="E4413" s="2" t="s">
        <v>508</v>
      </c>
      <c r="F4413" s="2" t="s">
        <v>40</v>
      </c>
      <c r="G4413" s="2" t="s">
        <v>20</v>
      </c>
      <c r="H4413" s="2" t="s">
        <v>2181</v>
      </c>
      <c r="I4413" s="2" t="s">
        <v>20</v>
      </c>
      <c r="J4413" s="2" t="s">
        <v>1677</v>
      </c>
    </row>
    <row r="4414" spans="1:10" x14ac:dyDescent="0.35">
      <c r="A4414" s="2" t="s">
        <v>1642</v>
      </c>
      <c r="B4414" s="2" t="s">
        <v>2134</v>
      </c>
      <c r="C4414" s="2" t="s">
        <v>12</v>
      </c>
      <c r="D4414" s="2" t="s">
        <v>2179</v>
      </c>
      <c r="E4414" s="2" t="s">
        <v>61</v>
      </c>
      <c r="F4414" s="2" t="s">
        <v>30</v>
      </c>
      <c r="G4414" s="2" t="s">
        <v>20</v>
      </c>
      <c r="H4414" s="2" t="s">
        <v>2181</v>
      </c>
      <c r="I4414" s="2" t="s">
        <v>20</v>
      </c>
      <c r="J4414" s="2" t="s">
        <v>1677</v>
      </c>
    </row>
    <row r="4415" spans="1:10" x14ac:dyDescent="0.35">
      <c r="A4415" s="2" t="s">
        <v>1642</v>
      </c>
      <c r="B4415" s="2" t="s">
        <v>2182</v>
      </c>
      <c r="C4415" s="2" t="s">
        <v>54</v>
      </c>
      <c r="D4415" s="2" t="s">
        <v>2183</v>
      </c>
      <c r="E4415" s="2" t="s">
        <v>130</v>
      </c>
      <c r="F4415" s="2" t="s">
        <v>1653</v>
      </c>
      <c r="G4415" s="2"/>
      <c r="H4415" s="2"/>
      <c r="I4415" s="2"/>
      <c r="J4415" s="2"/>
    </row>
    <row r="4416" spans="1:10" x14ac:dyDescent="0.35">
      <c r="A4416" s="2" t="s">
        <v>1642</v>
      </c>
      <c r="B4416" s="2" t="s">
        <v>2182</v>
      </c>
      <c r="C4416" s="2" t="s">
        <v>54</v>
      </c>
      <c r="D4416" s="2" t="s">
        <v>2183</v>
      </c>
      <c r="E4416" s="2" t="s">
        <v>769</v>
      </c>
      <c r="F4416" s="2" t="s">
        <v>40</v>
      </c>
      <c r="G4416" s="2"/>
      <c r="H4416" s="2"/>
      <c r="I4416" s="2"/>
      <c r="J4416" s="2"/>
    </row>
    <row r="4417" spans="1:10" x14ac:dyDescent="0.35">
      <c r="A4417" s="2" t="s">
        <v>1642</v>
      </c>
      <c r="B4417" s="2" t="s">
        <v>2182</v>
      </c>
      <c r="C4417" s="2" t="s">
        <v>54</v>
      </c>
      <c r="D4417" s="2" t="s">
        <v>2183</v>
      </c>
      <c r="E4417" s="2" t="s">
        <v>91</v>
      </c>
      <c r="F4417" s="2" t="s">
        <v>19</v>
      </c>
      <c r="G4417" s="2" t="s">
        <v>20</v>
      </c>
      <c r="H4417" s="2" t="s">
        <v>1977</v>
      </c>
      <c r="I4417" s="2"/>
      <c r="J4417" s="2"/>
    </row>
    <row r="4418" spans="1:10" x14ac:dyDescent="0.35">
      <c r="A4418" s="2" t="s">
        <v>1642</v>
      </c>
      <c r="B4418" s="2" t="s">
        <v>2182</v>
      </c>
      <c r="C4418" s="2" t="s">
        <v>54</v>
      </c>
      <c r="D4418" s="2" t="s">
        <v>2183</v>
      </c>
      <c r="E4418" s="2" t="s">
        <v>2184</v>
      </c>
      <c r="F4418" s="2" t="s">
        <v>1653</v>
      </c>
      <c r="G4418" s="2"/>
      <c r="H4418" s="2"/>
      <c r="I4418" s="2"/>
      <c r="J4418" s="2"/>
    </row>
    <row r="4419" spans="1:10" x14ac:dyDescent="0.35">
      <c r="A4419" s="2" t="s">
        <v>1642</v>
      </c>
      <c r="B4419" s="2" t="s">
        <v>2182</v>
      </c>
      <c r="C4419" s="2" t="s">
        <v>54</v>
      </c>
      <c r="D4419" s="2" t="s">
        <v>2183</v>
      </c>
      <c r="E4419" s="2" t="s">
        <v>61</v>
      </c>
      <c r="F4419" s="2" t="s">
        <v>30</v>
      </c>
      <c r="G4419" s="2"/>
      <c r="H4419" s="2"/>
      <c r="I4419" s="2"/>
      <c r="J4419" s="2"/>
    </row>
    <row r="4420" spans="1:10" s="21" customFormat="1" x14ac:dyDescent="0.35">
      <c r="A4420" s="2" t="s">
        <v>1642</v>
      </c>
      <c r="B4420" s="2" t="s">
        <v>2182</v>
      </c>
      <c r="C4420" s="2" t="s">
        <v>12</v>
      </c>
      <c r="D4420" s="2" t="s">
        <v>2185</v>
      </c>
      <c r="E4420" s="2" t="s">
        <v>14</v>
      </c>
      <c r="F4420" s="2" t="s">
        <v>15</v>
      </c>
      <c r="G4420" s="2"/>
      <c r="H4420" s="2"/>
      <c r="I4420" s="2" t="s">
        <v>20</v>
      </c>
      <c r="J4420" s="2" t="s">
        <v>1969</v>
      </c>
    </row>
    <row r="4421" spans="1:10" s="21" customFormat="1" x14ac:dyDescent="0.35">
      <c r="A4421" s="2" t="s">
        <v>1642</v>
      </c>
      <c r="B4421" s="2" t="s">
        <v>2182</v>
      </c>
      <c r="C4421" s="2" t="s">
        <v>12</v>
      </c>
      <c r="D4421" s="2" t="s">
        <v>2185</v>
      </c>
      <c r="E4421" s="2" t="s">
        <v>2004</v>
      </c>
      <c r="F4421" s="2" t="s">
        <v>107</v>
      </c>
      <c r="G4421" s="2"/>
      <c r="H4421" s="2"/>
      <c r="I4421" s="2" t="s">
        <v>20</v>
      </c>
      <c r="J4421" s="2" t="s">
        <v>1969</v>
      </c>
    </row>
    <row r="4422" spans="1:10" s="21" customFormat="1" x14ac:dyDescent="0.35">
      <c r="A4422" s="2" t="s">
        <v>1642</v>
      </c>
      <c r="B4422" s="2" t="s">
        <v>2182</v>
      </c>
      <c r="C4422" s="2" t="s">
        <v>57</v>
      </c>
      <c r="D4422" s="2" t="s">
        <v>2186</v>
      </c>
      <c r="E4422" s="2" t="s">
        <v>74</v>
      </c>
      <c r="F4422" s="2" t="s">
        <v>75</v>
      </c>
      <c r="G4422" s="2" t="s">
        <v>20</v>
      </c>
      <c r="H4422" s="2" t="s">
        <v>2187</v>
      </c>
      <c r="I4422" s="2" t="s">
        <v>20</v>
      </c>
      <c r="J4422" s="2" t="s">
        <v>1969</v>
      </c>
    </row>
    <row r="4423" spans="1:10" x14ac:dyDescent="0.35">
      <c r="A4423" s="2" t="s">
        <v>1642</v>
      </c>
      <c r="B4423" s="2" t="s">
        <v>2182</v>
      </c>
      <c r="C4423" s="2" t="s">
        <v>57</v>
      </c>
      <c r="D4423" s="2" t="s">
        <v>2186</v>
      </c>
      <c r="E4423" s="2" t="s">
        <v>27</v>
      </c>
      <c r="F4423" s="2" t="s">
        <v>28</v>
      </c>
      <c r="G4423" s="2" t="s">
        <v>20</v>
      </c>
      <c r="H4423" s="2" t="s">
        <v>2188</v>
      </c>
      <c r="I4423" s="2" t="s">
        <v>20</v>
      </c>
      <c r="J4423" s="2" t="s">
        <v>1969</v>
      </c>
    </row>
    <row r="4424" spans="1:10" x14ac:dyDescent="0.35">
      <c r="A4424" s="2" t="s">
        <v>1642</v>
      </c>
      <c r="B4424" s="2" t="s">
        <v>2182</v>
      </c>
      <c r="C4424" s="2" t="s">
        <v>57</v>
      </c>
      <c r="D4424" s="2" t="s">
        <v>2186</v>
      </c>
      <c r="E4424" s="2" t="s">
        <v>18</v>
      </c>
      <c r="F4424" s="2" t="s">
        <v>19</v>
      </c>
      <c r="G4424" s="2" t="s">
        <v>20</v>
      </c>
      <c r="H4424" s="2" t="s">
        <v>2189</v>
      </c>
      <c r="I4424" s="2" t="s">
        <v>20</v>
      </c>
      <c r="J4424" s="2" t="s">
        <v>1969</v>
      </c>
    </row>
    <row r="4425" spans="1:10" x14ac:dyDescent="0.35">
      <c r="A4425" s="2" t="s">
        <v>1642</v>
      </c>
      <c r="B4425" s="2" t="s">
        <v>2182</v>
      </c>
      <c r="C4425" s="2" t="s">
        <v>54</v>
      </c>
      <c r="D4425" s="2" t="s">
        <v>2190</v>
      </c>
      <c r="E4425" s="2" t="s">
        <v>91</v>
      </c>
      <c r="F4425" s="2" t="s">
        <v>19</v>
      </c>
      <c r="G4425" s="2" t="s">
        <v>20</v>
      </c>
      <c r="H4425" s="2" t="s">
        <v>2191</v>
      </c>
      <c r="I4425" s="2" t="s">
        <v>20</v>
      </c>
      <c r="J4425" s="2" t="s">
        <v>1969</v>
      </c>
    </row>
    <row r="4426" spans="1:10" s="21" customFormat="1" x14ac:dyDescent="0.35">
      <c r="A4426" s="2" t="s">
        <v>1642</v>
      </c>
      <c r="B4426" s="2" t="s">
        <v>2182</v>
      </c>
      <c r="C4426" s="2" t="s">
        <v>54</v>
      </c>
      <c r="D4426" s="2" t="s">
        <v>2192</v>
      </c>
      <c r="E4426" s="2" t="s">
        <v>14</v>
      </c>
      <c r="F4426" s="2" t="s">
        <v>15</v>
      </c>
      <c r="G4426" s="2"/>
      <c r="H4426" s="2"/>
      <c r="I4426" s="2" t="s">
        <v>20</v>
      </c>
      <c r="J4426" s="2" t="s">
        <v>1969</v>
      </c>
    </row>
    <row r="4427" spans="1:10" s="21" customFormat="1" x14ac:dyDescent="0.35">
      <c r="A4427" s="2" t="s">
        <v>1642</v>
      </c>
      <c r="B4427" s="2" t="s">
        <v>2182</v>
      </c>
      <c r="C4427" s="2" t="s">
        <v>54</v>
      </c>
      <c r="D4427" s="2" t="s">
        <v>2192</v>
      </c>
      <c r="E4427" s="2" t="s">
        <v>91</v>
      </c>
      <c r="F4427" s="2" t="s">
        <v>19</v>
      </c>
      <c r="G4427" s="2" t="s">
        <v>20</v>
      </c>
      <c r="H4427" s="2" t="s">
        <v>2193</v>
      </c>
      <c r="I4427" s="2" t="s">
        <v>20</v>
      </c>
      <c r="J4427" s="2" t="s">
        <v>1969</v>
      </c>
    </row>
    <row r="4428" spans="1:10" x14ac:dyDescent="0.35">
      <c r="A4428" s="2" t="s">
        <v>1642</v>
      </c>
      <c r="B4428" s="2" t="s">
        <v>2182</v>
      </c>
      <c r="C4428" s="2" t="s">
        <v>24</v>
      </c>
      <c r="D4428" s="2" t="s">
        <v>2194</v>
      </c>
      <c r="E4428" s="2" t="s">
        <v>130</v>
      </c>
      <c r="F4428" s="2" t="s">
        <v>1653</v>
      </c>
      <c r="G4428" s="2"/>
      <c r="H4428" s="2"/>
      <c r="I4428" s="2" t="s">
        <v>20</v>
      </c>
      <c r="J4428" s="2" t="s">
        <v>1969</v>
      </c>
    </row>
    <row r="4429" spans="1:10" x14ac:dyDescent="0.35">
      <c r="A4429" s="2" t="s">
        <v>1642</v>
      </c>
      <c r="B4429" s="2" t="s">
        <v>2182</v>
      </c>
      <c r="C4429" s="2" t="s">
        <v>24</v>
      </c>
      <c r="D4429" s="2" t="s">
        <v>2194</v>
      </c>
      <c r="E4429" s="2" t="s">
        <v>27</v>
      </c>
      <c r="F4429" s="2" t="s">
        <v>28</v>
      </c>
      <c r="G4429" s="2" t="s">
        <v>20</v>
      </c>
      <c r="H4429" s="2" t="s">
        <v>2195</v>
      </c>
      <c r="I4429" s="2" t="s">
        <v>20</v>
      </c>
      <c r="J4429" s="2" t="s">
        <v>1969</v>
      </c>
    </row>
    <row r="4430" spans="1:10" x14ac:dyDescent="0.35">
      <c r="A4430" s="2" t="s">
        <v>1642</v>
      </c>
      <c r="B4430" s="2" t="s">
        <v>2182</v>
      </c>
      <c r="C4430" s="2" t="s">
        <v>24</v>
      </c>
      <c r="D4430" s="2" t="s">
        <v>2194</v>
      </c>
      <c r="E4430" s="2" t="s">
        <v>2196</v>
      </c>
      <c r="F4430" s="2" t="s">
        <v>98</v>
      </c>
      <c r="G4430" s="2"/>
      <c r="H4430" s="2"/>
      <c r="I4430" s="2" t="s">
        <v>20</v>
      </c>
      <c r="J4430" s="2" t="s">
        <v>1969</v>
      </c>
    </row>
    <row r="4431" spans="1:10" x14ac:dyDescent="0.35">
      <c r="A4431" s="2" t="s">
        <v>1642</v>
      </c>
      <c r="B4431" s="2" t="s">
        <v>2182</v>
      </c>
      <c r="C4431" s="2" t="s">
        <v>24</v>
      </c>
      <c r="D4431" s="2" t="s">
        <v>2194</v>
      </c>
      <c r="E4431" s="2" t="s">
        <v>121</v>
      </c>
      <c r="F4431" s="2" t="s">
        <v>122</v>
      </c>
      <c r="G4431" s="2" t="s">
        <v>20</v>
      </c>
      <c r="H4431" s="2" t="s">
        <v>1674</v>
      </c>
      <c r="I4431" s="2" t="s">
        <v>20</v>
      </c>
      <c r="J4431" s="2" t="s">
        <v>1969</v>
      </c>
    </row>
    <row r="4432" spans="1:10" x14ac:dyDescent="0.35">
      <c r="A4432" s="2" t="s">
        <v>1642</v>
      </c>
      <c r="B4432" s="2" t="s">
        <v>2182</v>
      </c>
      <c r="C4432" s="2" t="s">
        <v>24</v>
      </c>
      <c r="D4432" s="2" t="s">
        <v>2194</v>
      </c>
      <c r="E4432" s="2" t="s">
        <v>438</v>
      </c>
      <c r="F4432" s="2" t="s">
        <v>19</v>
      </c>
      <c r="G4432" s="2" t="s">
        <v>20</v>
      </c>
      <c r="H4432" s="2" t="s">
        <v>1671</v>
      </c>
      <c r="I4432" s="2" t="s">
        <v>20</v>
      </c>
      <c r="J4432" s="2" t="s">
        <v>1969</v>
      </c>
    </row>
    <row r="4433" spans="1:10" x14ac:dyDescent="0.35">
      <c r="A4433" s="2" t="s">
        <v>1642</v>
      </c>
      <c r="B4433" s="2" t="s">
        <v>2182</v>
      </c>
      <c r="C4433" s="2" t="s">
        <v>24</v>
      </c>
      <c r="D4433" s="2" t="s">
        <v>2194</v>
      </c>
      <c r="E4433" s="2" t="s">
        <v>91</v>
      </c>
      <c r="F4433" s="2" t="s">
        <v>19</v>
      </c>
      <c r="G4433" s="2" t="s">
        <v>20</v>
      </c>
      <c r="H4433" s="2" t="s">
        <v>1671</v>
      </c>
      <c r="I4433" s="2" t="s">
        <v>20</v>
      </c>
      <c r="J4433" s="2" t="s">
        <v>1969</v>
      </c>
    </row>
    <row r="4434" spans="1:10" x14ac:dyDescent="0.35">
      <c r="A4434" s="2" t="s">
        <v>1642</v>
      </c>
      <c r="B4434" s="2" t="s">
        <v>2182</v>
      </c>
      <c r="C4434" s="2" t="s">
        <v>24</v>
      </c>
      <c r="D4434" s="2" t="s">
        <v>2194</v>
      </c>
      <c r="E4434" s="2" t="s">
        <v>87</v>
      </c>
      <c r="F4434" s="2" t="s">
        <v>75</v>
      </c>
      <c r="G4434" s="2" t="s">
        <v>20</v>
      </c>
      <c r="H4434" s="2" t="s">
        <v>1667</v>
      </c>
      <c r="I4434" s="2" t="s">
        <v>20</v>
      </c>
      <c r="J4434" s="2" t="s">
        <v>1969</v>
      </c>
    </row>
    <row r="4435" spans="1:10" x14ac:dyDescent="0.35">
      <c r="A4435" s="2" t="s">
        <v>1642</v>
      </c>
      <c r="B4435" s="2" t="s">
        <v>2182</v>
      </c>
      <c r="C4435" s="2" t="s">
        <v>24</v>
      </c>
      <c r="D4435" s="2" t="s">
        <v>2194</v>
      </c>
      <c r="E4435" s="2" t="s">
        <v>61</v>
      </c>
      <c r="F4435" s="2" t="s">
        <v>30</v>
      </c>
      <c r="G4435" s="2"/>
      <c r="H4435" s="2"/>
      <c r="I4435" s="2" t="s">
        <v>20</v>
      </c>
      <c r="J4435" s="2" t="s">
        <v>1969</v>
      </c>
    </row>
    <row r="4436" spans="1:10" x14ac:dyDescent="0.35">
      <c r="A4436" s="2" t="s">
        <v>1642</v>
      </c>
      <c r="B4436" s="2" t="s">
        <v>2182</v>
      </c>
      <c r="C4436" s="2" t="s">
        <v>24</v>
      </c>
      <c r="D4436" s="2" t="s">
        <v>2194</v>
      </c>
      <c r="E4436" s="2" t="s">
        <v>1681</v>
      </c>
      <c r="F4436" s="2" t="s">
        <v>107</v>
      </c>
      <c r="G4436" s="2"/>
      <c r="H4436" s="2"/>
      <c r="I4436" s="2" t="s">
        <v>20</v>
      </c>
      <c r="J4436" s="2" t="s">
        <v>1969</v>
      </c>
    </row>
    <row r="4437" spans="1:10" x14ac:dyDescent="0.35">
      <c r="A4437" s="2" t="s">
        <v>1642</v>
      </c>
      <c r="B4437" s="2" t="s">
        <v>2182</v>
      </c>
      <c r="C4437" s="2" t="s">
        <v>24</v>
      </c>
      <c r="D4437" s="2" t="s">
        <v>2197</v>
      </c>
      <c r="E4437" s="2" t="s">
        <v>27</v>
      </c>
      <c r="F4437" s="2" t="s">
        <v>28</v>
      </c>
      <c r="G4437" s="2" t="s">
        <v>20</v>
      </c>
      <c r="H4437" s="2" t="s">
        <v>2198</v>
      </c>
      <c r="I4437" s="2" t="s">
        <v>20</v>
      </c>
      <c r="J4437" s="2" t="s">
        <v>1969</v>
      </c>
    </row>
    <row r="4438" spans="1:10" x14ac:dyDescent="0.35">
      <c r="A4438" s="2" t="s">
        <v>1642</v>
      </c>
      <c r="B4438" s="2" t="s">
        <v>2182</v>
      </c>
      <c r="C4438" s="2" t="s">
        <v>24</v>
      </c>
      <c r="D4438" s="2" t="s">
        <v>2197</v>
      </c>
      <c r="E4438" s="2" t="s">
        <v>487</v>
      </c>
      <c r="F4438" s="2" t="s">
        <v>75</v>
      </c>
      <c r="G4438" s="2"/>
      <c r="H4438" s="2"/>
      <c r="I4438" s="2" t="s">
        <v>20</v>
      </c>
      <c r="J4438" s="2" t="s">
        <v>1969</v>
      </c>
    </row>
    <row r="4439" spans="1:10" x14ac:dyDescent="0.35">
      <c r="A4439" s="2" t="s">
        <v>1642</v>
      </c>
      <c r="B4439" s="2" t="s">
        <v>2182</v>
      </c>
      <c r="C4439" s="2" t="s">
        <v>62</v>
      </c>
      <c r="D4439" s="2" t="s">
        <v>2199</v>
      </c>
      <c r="E4439" s="2" t="s">
        <v>27</v>
      </c>
      <c r="F4439" s="2" t="s">
        <v>28</v>
      </c>
      <c r="G4439" s="2"/>
      <c r="H4439" s="2"/>
      <c r="I4439" s="2"/>
      <c r="J4439" s="2"/>
    </row>
    <row r="4440" spans="1:10" x14ac:dyDescent="0.35">
      <c r="A4440" s="2" t="s">
        <v>1642</v>
      </c>
      <c r="B4440" s="2" t="s">
        <v>2182</v>
      </c>
      <c r="C4440" s="2" t="s">
        <v>62</v>
      </c>
      <c r="D4440" s="2" t="s">
        <v>2199</v>
      </c>
      <c r="E4440" s="2" t="s">
        <v>121</v>
      </c>
      <c r="F4440" s="2" t="s">
        <v>122</v>
      </c>
      <c r="G4440" s="2"/>
      <c r="H4440" s="2"/>
      <c r="I4440" s="2"/>
      <c r="J4440" s="2"/>
    </row>
    <row r="4441" spans="1:10" x14ac:dyDescent="0.35">
      <c r="A4441" s="2" t="s">
        <v>1642</v>
      </c>
      <c r="B4441" s="2" t="s">
        <v>2182</v>
      </c>
      <c r="C4441" s="2" t="s">
        <v>62</v>
      </c>
      <c r="D4441" s="2" t="s">
        <v>2199</v>
      </c>
      <c r="E4441" s="2" t="s">
        <v>91</v>
      </c>
      <c r="F4441" s="2" t="s">
        <v>19</v>
      </c>
      <c r="G4441" s="2" t="s">
        <v>20</v>
      </c>
      <c r="H4441" s="2" t="s">
        <v>2200</v>
      </c>
      <c r="I4441" s="2"/>
      <c r="J4441" s="2"/>
    </row>
    <row r="4442" spans="1:10" x14ac:dyDescent="0.35">
      <c r="A4442" s="2" t="s">
        <v>1642</v>
      </c>
      <c r="B4442" s="2" t="s">
        <v>2182</v>
      </c>
      <c r="C4442" s="2" t="s">
        <v>62</v>
      </c>
      <c r="D4442" s="2" t="s">
        <v>2199</v>
      </c>
      <c r="E4442" s="2" t="s">
        <v>61</v>
      </c>
      <c r="F4442" s="2" t="s">
        <v>30</v>
      </c>
      <c r="G4442" s="2"/>
      <c r="H4442" s="2"/>
      <c r="I4442" s="2"/>
      <c r="J4442" s="2"/>
    </row>
    <row r="4443" spans="1:10" x14ac:dyDescent="0.35">
      <c r="A4443" s="2" t="s">
        <v>1642</v>
      </c>
      <c r="B4443" s="2" t="s">
        <v>2182</v>
      </c>
      <c r="C4443" s="2" t="s">
        <v>62</v>
      </c>
      <c r="D4443" s="2" t="s">
        <v>2199</v>
      </c>
      <c r="E4443" s="2" t="s">
        <v>1681</v>
      </c>
      <c r="F4443" s="2" t="s">
        <v>107</v>
      </c>
      <c r="G4443" s="2"/>
      <c r="H4443" s="2"/>
      <c r="I4443" s="2"/>
      <c r="J4443" s="2"/>
    </row>
    <row r="4444" spans="1:10" x14ac:dyDescent="0.35">
      <c r="A4444" s="2" t="s">
        <v>1642</v>
      </c>
      <c r="B4444" s="2" t="s">
        <v>2182</v>
      </c>
      <c r="C4444" s="2" t="s">
        <v>12</v>
      </c>
      <c r="D4444" s="2" t="s">
        <v>2201</v>
      </c>
      <c r="E4444" s="2" t="s">
        <v>18</v>
      </c>
      <c r="F4444" s="2" t="s">
        <v>19</v>
      </c>
      <c r="G4444" s="2" t="s">
        <v>20</v>
      </c>
      <c r="H4444" s="2" t="s">
        <v>2202</v>
      </c>
      <c r="I4444" s="2" t="s">
        <v>20</v>
      </c>
      <c r="J4444" s="2" t="s">
        <v>1969</v>
      </c>
    </row>
    <row r="4445" spans="1:10" x14ac:dyDescent="0.35">
      <c r="A4445" s="2" t="s">
        <v>1642</v>
      </c>
      <c r="B4445" s="2" t="s">
        <v>2182</v>
      </c>
      <c r="C4445" s="2" t="s">
        <v>12</v>
      </c>
      <c r="D4445" s="2" t="s">
        <v>2201</v>
      </c>
      <c r="E4445" s="2" t="s">
        <v>2004</v>
      </c>
      <c r="F4445" s="2" t="s">
        <v>107</v>
      </c>
      <c r="G4445" s="2"/>
      <c r="H4445" s="2"/>
      <c r="I4445" s="2" t="s">
        <v>20</v>
      </c>
      <c r="J4445" s="2" t="s">
        <v>1969</v>
      </c>
    </row>
    <row r="4446" spans="1:10" x14ac:dyDescent="0.35">
      <c r="A4446" s="2" t="s">
        <v>1642</v>
      </c>
      <c r="B4446" s="2" t="s">
        <v>2182</v>
      </c>
      <c r="C4446" s="2" t="s">
        <v>62</v>
      </c>
      <c r="D4446" s="2" t="s">
        <v>2203</v>
      </c>
      <c r="E4446" s="2" t="s">
        <v>121</v>
      </c>
      <c r="F4446" s="2" t="s">
        <v>122</v>
      </c>
      <c r="G4446" s="2"/>
      <c r="H4446" s="2"/>
      <c r="I4446" s="2"/>
      <c r="J4446" s="2"/>
    </row>
    <row r="4447" spans="1:10" x14ac:dyDescent="0.35">
      <c r="A4447" s="2" t="s">
        <v>1642</v>
      </c>
      <c r="B4447" s="2" t="s">
        <v>2182</v>
      </c>
      <c r="C4447" s="2" t="s">
        <v>62</v>
      </c>
      <c r="D4447" s="2" t="s">
        <v>2203</v>
      </c>
      <c r="E4447" s="2" t="s">
        <v>1681</v>
      </c>
      <c r="F4447" s="2" t="s">
        <v>107</v>
      </c>
      <c r="G4447" s="2"/>
      <c r="H4447" s="2"/>
      <c r="I4447" s="2"/>
      <c r="J4447" s="2"/>
    </row>
    <row r="4448" spans="1:10" s="21" customFormat="1" x14ac:dyDescent="0.35">
      <c r="A4448" s="2" t="s">
        <v>1642</v>
      </c>
      <c r="B4448" s="2" t="s">
        <v>2204</v>
      </c>
      <c r="C4448" s="2" t="s">
        <v>24</v>
      </c>
      <c r="D4448" s="2" t="s">
        <v>2205</v>
      </c>
      <c r="E4448" s="2" t="s">
        <v>91</v>
      </c>
      <c r="F4448" s="2" t="s">
        <v>19</v>
      </c>
      <c r="G4448" s="2" t="s">
        <v>20</v>
      </c>
      <c r="H4448" s="2" t="s">
        <v>2018</v>
      </c>
      <c r="I4448" s="2"/>
      <c r="J4448" s="2"/>
    </row>
    <row r="4449" spans="1:10" x14ac:dyDescent="0.35">
      <c r="A4449" s="2" t="s">
        <v>1642</v>
      </c>
      <c r="B4449" s="2" t="s">
        <v>2204</v>
      </c>
      <c r="C4449" s="2" t="s">
        <v>62</v>
      </c>
      <c r="D4449" s="2" t="s">
        <v>2206</v>
      </c>
      <c r="E4449" s="2" t="s">
        <v>38</v>
      </c>
      <c r="F4449" s="2" t="s">
        <v>38</v>
      </c>
      <c r="G4449" s="2"/>
      <c r="H4449" s="2"/>
      <c r="I4449" s="2" t="s">
        <v>20</v>
      </c>
      <c r="J4449" s="2" t="s">
        <v>2207</v>
      </c>
    </row>
    <row r="4450" spans="1:10" x14ac:dyDescent="0.35">
      <c r="A4450" s="2" t="s">
        <v>1642</v>
      </c>
      <c r="B4450" s="2" t="s">
        <v>2204</v>
      </c>
      <c r="C4450" s="2" t="s">
        <v>62</v>
      </c>
      <c r="D4450" s="2" t="s">
        <v>2206</v>
      </c>
      <c r="E4450" s="2" t="s">
        <v>61</v>
      </c>
      <c r="F4450" s="2" t="s">
        <v>30</v>
      </c>
      <c r="G4450" s="2"/>
      <c r="H4450" s="2"/>
      <c r="I4450" s="2" t="s">
        <v>20</v>
      </c>
      <c r="J4450" s="2" t="s">
        <v>2207</v>
      </c>
    </row>
    <row r="4451" spans="1:10" x14ac:dyDescent="0.35">
      <c r="A4451" s="2" t="s">
        <v>1642</v>
      </c>
      <c r="B4451" s="2" t="s">
        <v>2204</v>
      </c>
      <c r="C4451" s="2" t="s">
        <v>62</v>
      </c>
      <c r="D4451" s="2" t="s">
        <v>2208</v>
      </c>
      <c r="E4451" s="2" t="s">
        <v>27</v>
      </c>
      <c r="F4451" s="2" t="s">
        <v>28</v>
      </c>
      <c r="G4451" s="2" t="s">
        <v>20</v>
      </c>
      <c r="H4451" s="2" t="s">
        <v>2209</v>
      </c>
      <c r="I4451" s="2"/>
      <c r="J4451" s="2"/>
    </row>
    <row r="4452" spans="1:10" x14ac:dyDescent="0.35">
      <c r="A4452" s="2" t="s">
        <v>1642</v>
      </c>
      <c r="B4452" s="2" t="s">
        <v>2204</v>
      </c>
      <c r="C4452" s="2" t="s">
        <v>62</v>
      </c>
      <c r="D4452" s="2" t="s">
        <v>2208</v>
      </c>
      <c r="E4452" s="2" t="s">
        <v>91</v>
      </c>
      <c r="F4452" s="2" t="s">
        <v>19</v>
      </c>
      <c r="G4452" s="2" t="s">
        <v>20</v>
      </c>
      <c r="H4452" s="2" t="s">
        <v>2210</v>
      </c>
      <c r="I4452" s="2"/>
      <c r="J4452" s="2"/>
    </row>
    <row r="4453" spans="1:10" x14ac:dyDescent="0.35">
      <c r="A4453" s="2" t="s">
        <v>1642</v>
      </c>
      <c r="B4453" s="2" t="s">
        <v>2204</v>
      </c>
      <c r="C4453" s="2" t="s">
        <v>54</v>
      </c>
      <c r="D4453" s="2" t="s">
        <v>2211</v>
      </c>
      <c r="E4453" s="2" t="s">
        <v>393</v>
      </c>
      <c r="F4453" s="2" t="s">
        <v>36</v>
      </c>
      <c r="G4453" s="2"/>
      <c r="H4453" s="2"/>
      <c r="I4453" s="2"/>
      <c r="J4453" s="2"/>
    </row>
    <row r="4454" spans="1:10" x14ac:dyDescent="0.35">
      <c r="A4454" s="2" t="s">
        <v>1642</v>
      </c>
      <c r="B4454" s="2" t="s">
        <v>2204</v>
      </c>
      <c r="C4454" s="2" t="s">
        <v>54</v>
      </c>
      <c r="D4454" s="2" t="s">
        <v>2211</v>
      </c>
      <c r="E4454" s="2" t="s">
        <v>87</v>
      </c>
      <c r="F4454" s="2" t="s">
        <v>75</v>
      </c>
      <c r="G4454" s="2" t="s">
        <v>20</v>
      </c>
      <c r="H4454" s="2" t="s">
        <v>1977</v>
      </c>
      <c r="I4454" s="2"/>
      <c r="J4454" s="2"/>
    </row>
    <row r="4455" spans="1:10" x14ac:dyDescent="0.35">
      <c r="A4455" s="2" t="s">
        <v>1642</v>
      </c>
      <c r="B4455" s="2" t="s">
        <v>2204</v>
      </c>
      <c r="C4455" s="2" t="s">
        <v>54</v>
      </c>
      <c r="D4455" s="2" t="s">
        <v>2211</v>
      </c>
      <c r="E4455" s="2" t="s">
        <v>18</v>
      </c>
      <c r="F4455" s="2" t="s">
        <v>19</v>
      </c>
      <c r="G4455" s="2" t="s">
        <v>20</v>
      </c>
      <c r="H4455" s="2" t="s">
        <v>2212</v>
      </c>
      <c r="I4455" s="2"/>
      <c r="J4455" s="2"/>
    </row>
    <row r="4456" spans="1:10" x14ac:dyDescent="0.35">
      <c r="A4456" s="2" t="s">
        <v>1642</v>
      </c>
      <c r="B4456" s="2" t="s">
        <v>2204</v>
      </c>
      <c r="C4456" s="2" t="s">
        <v>57</v>
      </c>
      <c r="D4456" s="2" t="s">
        <v>2213</v>
      </c>
      <c r="E4456" s="2" t="s">
        <v>27</v>
      </c>
      <c r="F4456" s="2" t="s">
        <v>28</v>
      </c>
      <c r="G4456" s="2"/>
      <c r="H4456" s="2"/>
      <c r="I4456" s="2"/>
      <c r="J4456" s="2"/>
    </row>
    <row r="4457" spans="1:10" x14ac:dyDescent="0.35">
      <c r="A4457" s="2" t="s">
        <v>1642</v>
      </c>
      <c r="B4457" s="2" t="s">
        <v>2204</v>
      </c>
      <c r="C4457" s="2" t="s">
        <v>57</v>
      </c>
      <c r="D4457" s="2" t="s">
        <v>2213</v>
      </c>
      <c r="E4457" s="2" t="s">
        <v>136</v>
      </c>
      <c r="F4457" s="2" t="s">
        <v>107</v>
      </c>
      <c r="G4457" s="2"/>
      <c r="H4457" s="2"/>
      <c r="I4457" s="2"/>
      <c r="J4457" s="2"/>
    </row>
    <row r="4458" spans="1:10" x14ac:dyDescent="0.35">
      <c r="A4458" s="2" t="s">
        <v>1642</v>
      </c>
      <c r="B4458" s="2" t="s">
        <v>2204</v>
      </c>
      <c r="C4458" s="2" t="s">
        <v>57</v>
      </c>
      <c r="D4458" s="2" t="s">
        <v>2213</v>
      </c>
      <c r="E4458" s="2" t="s">
        <v>393</v>
      </c>
      <c r="F4458" s="2" t="s">
        <v>36</v>
      </c>
      <c r="G4458" s="2"/>
      <c r="H4458" s="2"/>
      <c r="I4458" s="2"/>
      <c r="J4458" s="2"/>
    </row>
    <row r="4459" spans="1:10" x14ac:dyDescent="0.35">
      <c r="A4459" s="2" t="s">
        <v>1642</v>
      </c>
      <c r="B4459" s="2" t="s">
        <v>2204</v>
      </c>
      <c r="C4459" s="2" t="s">
        <v>57</v>
      </c>
      <c r="D4459" s="2" t="s">
        <v>2213</v>
      </c>
      <c r="E4459" s="2" t="s">
        <v>91</v>
      </c>
      <c r="F4459" s="2" t="s">
        <v>19</v>
      </c>
      <c r="G4459" s="2" t="s">
        <v>20</v>
      </c>
      <c r="H4459" s="2" t="s">
        <v>2214</v>
      </c>
      <c r="I4459" s="2"/>
      <c r="J4459" s="2"/>
    </row>
    <row r="4460" spans="1:10" x14ac:dyDescent="0.35">
      <c r="A4460" s="2" t="s">
        <v>1642</v>
      </c>
      <c r="B4460" s="2" t="s">
        <v>2204</v>
      </c>
      <c r="C4460" s="2" t="s">
        <v>57</v>
      </c>
      <c r="D4460" s="2" t="s">
        <v>2213</v>
      </c>
      <c r="E4460" s="2" t="s">
        <v>158</v>
      </c>
      <c r="F4460" s="2" t="s">
        <v>40</v>
      </c>
      <c r="G4460" s="2"/>
      <c r="H4460" s="2"/>
      <c r="I4460" s="2"/>
      <c r="J4460" s="2"/>
    </row>
    <row r="4461" spans="1:10" x14ac:dyDescent="0.35">
      <c r="A4461" s="2" t="s">
        <v>1642</v>
      </c>
      <c r="B4461" s="2" t="s">
        <v>2204</v>
      </c>
      <c r="C4461" s="2" t="s">
        <v>24</v>
      </c>
      <c r="D4461" s="2" t="s">
        <v>2215</v>
      </c>
      <c r="E4461" s="2" t="s">
        <v>951</v>
      </c>
      <c r="F4461" s="2" t="s">
        <v>83</v>
      </c>
      <c r="G4461" s="2"/>
      <c r="H4461" s="2"/>
      <c r="I4461" s="2"/>
      <c r="J4461" s="2"/>
    </row>
    <row r="4462" spans="1:10" x14ac:dyDescent="0.35">
      <c r="A4462" s="2" t="s">
        <v>1642</v>
      </c>
      <c r="B4462" s="2" t="s">
        <v>2204</v>
      </c>
      <c r="C4462" s="2" t="s">
        <v>24</v>
      </c>
      <c r="D4462" s="2" t="s">
        <v>2215</v>
      </c>
      <c r="E4462" s="2" t="s">
        <v>35</v>
      </c>
      <c r="F4462" s="2" t="s">
        <v>36</v>
      </c>
      <c r="G4462" s="2"/>
      <c r="H4462" s="2"/>
      <c r="I4462" s="2"/>
      <c r="J4462" s="2"/>
    </row>
    <row r="4463" spans="1:10" x14ac:dyDescent="0.35">
      <c r="A4463" s="2" t="s">
        <v>1642</v>
      </c>
      <c r="B4463" s="2" t="s">
        <v>2204</v>
      </c>
      <c r="C4463" s="2" t="s">
        <v>24</v>
      </c>
      <c r="D4463" s="2" t="s">
        <v>2215</v>
      </c>
      <c r="E4463" s="2" t="s">
        <v>91</v>
      </c>
      <c r="F4463" s="2" t="s">
        <v>19</v>
      </c>
      <c r="G4463" s="2" t="s">
        <v>20</v>
      </c>
      <c r="H4463" s="2" t="s">
        <v>2216</v>
      </c>
      <c r="I4463" s="2"/>
      <c r="J4463" s="2"/>
    </row>
    <row r="4464" spans="1:10" x14ac:dyDescent="0.35">
      <c r="A4464" s="2" t="s">
        <v>1642</v>
      </c>
      <c r="B4464" s="2" t="s">
        <v>2204</v>
      </c>
      <c r="C4464" s="2" t="s">
        <v>24</v>
      </c>
      <c r="D4464" s="2" t="s">
        <v>2215</v>
      </c>
      <c r="E4464" s="2" t="s">
        <v>278</v>
      </c>
      <c r="F4464" s="2" t="s">
        <v>45</v>
      </c>
      <c r="G4464" s="2"/>
      <c r="H4464" s="2"/>
      <c r="I4464" s="2"/>
      <c r="J4464" s="2"/>
    </row>
    <row r="4465" spans="1:10" x14ac:dyDescent="0.35">
      <c r="A4465" s="2" t="s">
        <v>1642</v>
      </c>
      <c r="B4465" s="2" t="s">
        <v>2204</v>
      </c>
      <c r="C4465" s="2" t="s">
        <v>62</v>
      </c>
      <c r="D4465" s="2" t="s">
        <v>2217</v>
      </c>
      <c r="E4465" s="2" t="s">
        <v>27</v>
      </c>
      <c r="F4465" s="2" t="s">
        <v>28</v>
      </c>
      <c r="G4465" s="2" t="s">
        <v>20</v>
      </c>
      <c r="H4465" s="2" t="s">
        <v>2218</v>
      </c>
      <c r="I4465" s="2"/>
      <c r="J4465" s="2"/>
    </row>
    <row r="4466" spans="1:10" x14ac:dyDescent="0.35">
      <c r="A4466" s="2" t="s">
        <v>1642</v>
      </c>
      <c r="B4466" s="2" t="s">
        <v>2204</v>
      </c>
      <c r="C4466" s="2" t="s">
        <v>62</v>
      </c>
      <c r="D4466" s="2" t="s">
        <v>2217</v>
      </c>
      <c r="E4466" s="2" t="s">
        <v>82</v>
      </c>
      <c r="F4466" s="2" t="s">
        <v>83</v>
      </c>
      <c r="G4466" s="2" t="s">
        <v>20</v>
      </c>
      <c r="H4466" s="2" t="s">
        <v>1378</v>
      </c>
      <c r="I4466" s="2"/>
      <c r="J4466" s="2"/>
    </row>
    <row r="4467" spans="1:10" x14ac:dyDescent="0.35">
      <c r="A4467" s="2" t="s">
        <v>1642</v>
      </c>
      <c r="B4467" s="2" t="s">
        <v>2204</v>
      </c>
      <c r="C4467" s="2" t="s">
        <v>62</v>
      </c>
      <c r="D4467" s="2" t="s">
        <v>2217</v>
      </c>
      <c r="E4467" s="2" t="s">
        <v>136</v>
      </c>
      <c r="F4467" s="2" t="s">
        <v>107</v>
      </c>
      <c r="G4467" s="2"/>
      <c r="H4467" s="2"/>
      <c r="I4467" s="2"/>
      <c r="J4467" s="2"/>
    </row>
    <row r="4468" spans="1:10" x14ac:dyDescent="0.35">
      <c r="A4468" s="2" t="s">
        <v>1642</v>
      </c>
      <c r="B4468" s="2" t="s">
        <v>2204</v>
      </c>
      <c r="C4468" s="2" t="s">
        <v>62</v>
      </c>
      <c r="D4468" s="2" t="s">
        <v>2217</v>
      </c>
      <c r="E4468" s="2" t="s">
        <v>35</v>
      </c>
      <c r="F4468" s="2" t="s">
        <v>36</v>
      </c>
      <c r="G4468" s="2"/>
      <c r="H4468" s="2"/>
      <c r="I4468" s="2"/>
      <c r="J4468" s="2"/>
    </row>
    <row r="4469" spans="1:10" x14ac:dyDescent="0.35">
      <c r="A4469" s="2" t="s">
        <v>1642</v>
      </c>
      <c r="B4469" s="2" t="s">
        <v>2204</v>
      </c>
      <c r="C4469" s="2" t="s">
        <v>62</v>
      </c>
      <c r="D4469" s="2" t="s">
        <v>2217</v>
      </c>
      <c r="E4469" s="2" t="s">
        <v>91</v>
      </c>
      <c r="F4469" s="2" t="s">
        <v>19</v>
      </c>
      <c r="G4469" s="2" t="s">
        <v>20</v>
      </c>
      <c r="H4469" s="2" t="s">
        <v>2219</v>
      </c>
      <c r="I4469" s="2"/>
      <c r="J4469" s="2"/>
    </row>
    <row r="4470" spans="1:10" x14ac:dyDescent="0.35">
      <c r="A4470" s="2" t="s">
        <v>1642</v>
      </c>
      <c r="B4470" s="2" t="s">
        <v>2204</v>
      </c>
      <c r="C4470" s="2" t="s">
        <v>62</v>
      </c>
      <c r="D4470" s="2" t="s">
        <v>2217</v>
      </c>
      <c r="E4470" s="2" t="s">
        <v>61</v>
      </c>
      <c r="F4470" s="2" t="s">
        <v>30</v>
      </c>
      <c r="G4470" s="2"/>
      <c r="H4470" s="2"/>
      <c r="I4470" s="2"/>
      <c r="J4470" s="2"/>
    </row>
    <row r="4471" spans="1:10" x14ac:dyDescent="0.35">
      <c r="A4471" s="2" t="s">
        <v>2220</v>
      </c>
      <c r="B4471" s="2" t="s">
        <v>2221</v>
      </c>
      <c r="C4471" s="2" t="s">
        <v>24</v>
      </c>
      <c r="D4471" s="2" t="s">
        <v>2222</v>
      </c>
      <c r="E4471" s="2" t="s">
        <v>121</v>
      </c>
      <c r="F4471" s="2" t="s">
        <v>122</v>
      </c>
      <c r="G4471" s="2" t="s">
        <v>20</v>
      </c>
      <c r="H4471" s="2" t="s">
        <v>2223</v>
      </c>
      <c r="I4471" s="2"/>
      <c r="J4471" s="2"/>
    </row>
    <row r="4472" spans="1:10" x14ac:dyDescent="0.35">
      <c r="A4472" s="2" t="s">
        <v>2220</v>
      </c>
      <c r="B4472" s="2" t="s">
        <v>2221</v>
      </c>
      <c r="C4472" s="2" t="s">
        <v>24</v>
      </c>
      <c r="D4472" s="2" t="s">
        <v>2222</v>
      </c>
      <c r="E4472" s="2" t="s">
        <v>2224</v>
      </c>
      <c r="F4472" s="2" t="s">
        <v>19</v>
      </c>
      <c r="G4472" s="2" t="s">
        <v>20</v>
      </c>
      <c r="H4472" s="2" t="s">
        <v>1378</v>
      </c>
      <c r="I4472" s="2"/>
      <c r="J4472" s="2"/>
    </row>
    <row r="4473" spans="1:10" x14ac:dyDescent="0.35">
      <c r="A4473" s="2" t="s">
        <v>2220</v>
      </c>
      <c r="B4473" s="2" t="s">
        <v>2225</v>
      </c>
      <c r="C4473" s="2" t="s">
        <v>62</v>
      </c>
      <c r="D4473" s="2" t="s">
        <v>2226</v>
      </c>
      <c r="E4473" s="2" t="s">
        <v>27</v>
      </c>
      <c r="F4473" s="2" t="s">
        <v>28</v>
      </c>
      <c r="G4473" s="2"/>
      <c r="H4473" s="2"/>
      <c r="I4473" s="2" t="s">
        <v>20</v>
      </c>
      <c r="J4473" s="2" t="s">
        <v>759</v>
      </c>
    </row>
    <row r="4474" spans="1:10" x14ac:dyDescent="0.35">
      <c r="A4474" s="2" t="s">
        <v>2220</v>
      </c>
      <c r="B4474" s="2" t="s">
        <v>2225</v>
      </c>
      <c r="C4474" s="2" t="s">
        <v>62</v>
      </c>
      <c r="D4474" s="2" t="s">
        <v>2226</v>
      </c>
      <c r="E4474" s="2" t="s">
        <v>35</v>
      </c>
      <c r="F4474" s="2" t="s">
        <v>36</v>
      </c>
      <c r="G4474" s="2" t="s">
        <v>20</v>
      </c>
      <c r="H4474" s="2" t="s">
        <v>2227</v>
      </c>
      <c r="I4474" s="2" t="s">
        <v>20</v>
      </c>
      <c r="J4474" s="2" t="s">
        <v>759</v>
      </c>
    </row>
    <row r="4475" spans="1:10" x14ac:dyDescent="0.35">
      <c r="A4475" s="2" t="s">
        <v>2220</v>
      </c>
      <c r="B4475" s="2" t="s">
        <v>2225</v>
      </c>
      <c r="C4475" s="2" t="s">
        <v>62</v>
      </c>
      <c r="D4475" s="2" t="s">
        <v>2226</v>
      </c>
      <c r="E4475" s="2" t="s">
        <v>61</v>
      </c>
      <c r="F4475" s="2" t="s">
        <v>30</v>
      </c>
      <c r="G4475" s="2"/>
      <c r="H4475" s="2"/>
      <c r="I4475" s="2" t="s">
        <v>20</v>
      </c>
      <c r="J4475" s="2" t="s">
        <v>759</v>
      </c>
    </row>
    <row r="4476" spans="1:10" x14ac:dyDescent="0.35">
      <c r="A4476" s="2" t="s">
        <v>2220</v>
      </c>
      <c r="B4476" s="2" t="s">
        <v>2225</v>
      </c>
      <c r="C4476" s="2" t="s">
        <v>57</v>
      </c>
      <c r="D4476" s="2" t="s">
        <v>2228</v>
      </c>
      <c r="E4476" s="2" t="s">
        <v>76</v>
      </c>
      <c r="F4476" s="2" t="s">
        <v>75</v>
      </c>
      <c r="G4476" s="2" t="s">
        <v>20</v>
      </c>
      <c r="H4476" s="2" t="s">
        <v>2229</v>
      </c>
      <c r="I4476" s="2" t="s">
        <v>20</v>
      </c>
      <c r="J4476" s="2" t="s">
        <v>759</v>
      </c>
    </row>
    <row r="4477" spans="1:10" x14ac:dyDescent="0.35">
      <c r="A4477" s="2" t="s">
        <v>2220</v>
      </c>
      <c r="B4477" s="2" t="s">
        <v>2225</v>
      </c>
      <c r="C4477" s="2" t="s">
        <v>57</v>
      </c>
      <c r="D4477" s="2" t="s">
        <v>2228</v>
      </c>
      <c r="E4477" s="2" t="s">
        <v>2012</v>
      </c>
      <c r="F4477" s="2" t="s">
        <v>36</v>
      </c>
      <c r="G4477" s="2"/>
      <c r="H4477" s="4"/>
      <c r="I4477" s="2" t="s">
        <v>20</v>
      </c>
      <c r="J4477" s="2" t="s">
        <v>759</v>
      </c>
    </row>
    <row r="4478" spans="1:10" x14ac:dyDescent="0.35">
      <c r="A4478" s="2" t="s">
        <v>2220</v>
      </c>
      <c r="B4478" s="2" t="s">
        <v>2225</v>
      </c>
      <c r="C4478" s="2" t="s">
        <v>57</v>
      </c>
      <c r="D4478" s="2" t="s">
        <v>2228</v>
      </c>
      <c r="E4478" s="2" t="s">
        <v>2055</v>
      </c>
      <c r="F4478" s="2" t="s">
        <v>19</v>
      </c>
      <c r="G4478" s="2" t="s">
        <v>20</v>
      </c>
      <c r="H4478" s="2" t="s">
        <v>2230</v>
      </c>
      <c r="I4478" s="2" t="s">
        <v>20</v>
      </c>
      <c r="J4478" s="2" t="s">
        <v>759</v>
      </c>
    </row>
    <row r="4479" spans="1:10" x14ac:dyDescent="0.35">
      <c r="A4479" s="2" t="s">
        <v>2220</v>
      </c>
      <c r="B4479" s="2" t="s">
        <v>2225</v>
      </c>
      <c r="C4479" s="2" t="s">
        <v>24</v>
      </c>
      <c r="D4479" s="2" t="s">
        <v>2231</v>
      </c>
      <c r="E4479" s="2" t="s">
        <v>136</v>
      </c>
      <c r="F4479" s="2" t="s">
        <v>107</v>
      </c>
      <c r="G4479" s="2"/>
      <c r="H4479" s="2"/>
      <c r="I4479" s="2" t="s">
        <v>20</v>
      </c>
      <c r="J4479" s="2" t="s">
        <v>759</v>
      </c>
    </row>
    <row r="4480" spans="1:10" x14ac:dyDescent="0.35">
      <c r="A4480" s="2" t="s">
        <v>2220</v>
      </c>
      <c r="B4480" s="2" t="s">
        <v>2225</v>
      </c>
      <c r="C4480" s="2" t="s">
        <v>24</v>
      </c>
      <c r="D4480" s="2" t="s">
        <v>2231</v>
      </c>
      <c r="E4480" s="2" t="s">
        <v>2232</v>
      </c>
      <c r="F4480" s="2" t="s">
        <v>40</v>
      </c>
      <c r="G4480" s="2"/>
      <c r="H4480" s="2"/>
      <c r="I4480" s="2" t="s">
        <v>20</v>
      </c>
      <c r="J4480" s="2" t="s">
        <v>759</v>
      </c>
    </row>
    <row r="4481" spans="1:10" x14ac:dyDescent="0.35">
      <c r="A4481" s="2" t="s">
        <v>2220</v>
      </c>
      <c r="B4481" s="2" t="s">
        <v>2225</v>
      </c>
      <c r="C4481" s="2" t="s">
        <v>24</v>
      </c>
      <c r="D4481" s="2" t="s">
        <v>2231</v>
      </c>
      <c r="E4481" s="2" t="s">
        <v>2233</v>
      </c>
      <c r="F4481" s="2" t="s">
        <v>363</v>
      </c>
      <c r="G4481" s="2"/>
      <c r="H4481" s="2"/>
      <c r="I4481" s="2" t="s">
        <v>20</v>
      </c>
      <c r="J4481" s="2" t="s">
        <v>759</v>
      </c>
    </row>
    <row r="4482" spans="1:10" x14ac:dyDescent="0.35">
      <c r="A4482" s="2" t="s">
        <v>2220</v>
      </c>
      <c r="B4482" s="2" t="s">
        <v>2225</v>
      </c>
      <c r="C4482" s="2" t="s">
        <v>24</v>
      </c>
      <c r="D4482" s="2" t="s">
        <v>2231</v>
      </c>
      <c r="E4482" s="2" t="s">
        <v>35</v>
      </c>
      <c r="F4482" s="2" t="s">
        <v>36</v>
      </c>
      <c r="G4482" s="2"/>
      <c r="H4482" s="2"/>
      <c r="I4482" s="2" t="s">
        <v>20</v>
      </c>
      <c r="J4482" s="2" t="s">
        <v>759</v>
      </c>
    </row>
    <row r="4483" spans="1:10" x14ac:dyDescent="0.35">
      <c r="A4483" s="2" t="s">
        <v>2220</v>
      </c>
      <c r="B4483" s="2" t="s">
        <v>2225</v>
      </c>
      <c r="C4483" s="2" t="s">
        <v>24</v>
      </c>
      <c r="D4483" s="2" t="s">
        <v>2231</v>
      </c>
      <c r="E4483" s="2" t="s">
        <v>176</v>
      </c>
      <c r="F4483" s="2" t="s">
        <v>40</v>
      </c>
      <c r="G4483" s="2"/>
      <c r="H4483" s="2"/>
      <c r="I4483" s="2" t="s">
        <v>20</v>
      </c>
      <c r="J4483" s="2" t="s">
        <v>759</v>
      </c>
    </row>
    <row r="4484" spans="1:10" x14ac:dyDescent="0.35">
      <c r="A4484" s="2" t="s">
        <v>2220</v>
      </c>
      <c r="B4484" s="2" t="s">
        <v>2225</v>
      </c>
      <c r="C4484" s="2" t="s">
        <v>24</v>
      </c>
      <c r="D4484" s="2" t="s">
        <v>2231</v>
      </c>
      <c r="E4484" s="2" t="s">
        <v>2234</v>
      </c>
      <c r="F4484" s="2" t="s">
        <v>19</v>
      </c>
      <c r="G4484" s="2" t="s">
        <v>20</v>
      </c>
      <c r="H4484" s="2" t="s">
        <v>2235</v>
      </c>
      <c r="I4484" s="2" t="s">
        <v>20</v>
      </c>
      <c r="J4484" s="2" t="s">
        <v>759</v>
      </c>
    </row>
    <row r="4485" spans="1:10" x14ac:dyDescent="0.35">
      <c r="A4485" s="2" t="s">
        <v>2220</v>
      </c>
      <c r="B4485" s="2" t="s">
        <v>2225</v>
      </c>
      <c r="C4485" s="2" t="s">
        <v>62</v>
      </c>
      <c r="D4485" s="2" t="s">
        <v>2236</v>
      </c>
      <c r="E4485" s="2" t="s">
        <v>27</v>
      </c>
      <c r="F4485" s="2" t="s">
        <v>28</v>
      </c>
      <c r="G4485" s="2"/>
      <c r="H4485" s="2"/>
      <c r="I4485" s="2" t="s">
        <v>20</v>
      </c>
      <c r="J4485" s="2" t="s">
        <v>759</v>
      </c>
    </row>
    <row r="4486" spans="1:10" x14ac:dyDescent="0.35">
      <c r="A4486" s="2" t="s">
        <v>2220</v>
      </c>
      <c r="B4486" s="2" t="s">
        <v>2225</v>
      </c>
      <c r="C4486" s="2" t="s">
        <v>62</v>
      </c>
      <c r="D4486" s="2" t="s">
        <v>2236</v>
      </c>
      <c r="E4486" s="2" t="s">
        <v>423</v>
      </c>
      <c r="F4486" s="2" t="s">
        <v>424</v>
      </c>
      <c r="G4486" s="2" t="s">
        <v>20</v>
      </c>
      <c r="H4486" s="2" t="s">
        <v>2237</v>
      </c>
      <c r="I4486" s="2" t="s">
        <v>20</v>
      </c>
      <c r="J4486" s="2" t="s">
        <v>759</v>
      </c>
    </row>
    <row r="4487" spans="1:10" x14ac:dyDescent="0.35">
      <c r="A4487" s="2" t="s">
        <v>2220</v>
      </c>
      <c r="B4487" s="2" t="s">
        <v>2225</v>
      </c>
      <c r="C4487" s="2" t="s">
        <v>62</v>
      </c>
      <c r="D4487" s="2" t="s">
        <v>2236</v>
      </c>
      <c r="E4487" s="2" t="s">
        <v>127</v>
      </c>
      <c r="F4487" s="2" t="s">
        <v>107</v>
      </c>
      <c r="G4487" s="2"/>
      <c r="H4487" s="2"/>
      <c r="I4487" s="2" t="s">
        <v>20</v>
      </c>
      <c r="J4487" s="2" t="s">
        <v>759</v>
      </c>
    </row>
    <row r="4488" spans="1:10" x14ac:dyDescent="0.35">
      <c r="A4488" s="2" t="s">
        <v>2220</v>
      </c>
      <c r="B4488" s="2" t="s">
        <v>2225</v>
      </c>
      <c r="C4488" s="2" t="s">
        <v>62</v>
      </c>
      <c r="D4488" s="2" t="s">
        <v>2238</v>
      </c>
      <c r="E4488" s="2" t="s">
        <v>76</v>
      </c>
      <c r="F4488" s="2" t="s">
        <v>75</v>
      </c>
      <c r="G4488" s="2" t="s">
        <v>20</v>
      </c>
      <c r="H4488" s="2" t="s">
        <v>2239</v>
      </c>
      <c r="I4488" s="2" t="s">
        <v>20</v>
      </c>
      <c r="J4488" s="2" t="s">
        <v>759</v>
      </c>
    </row>
    <row r="4489" spans="1:10" x14ac:dyDescent="0.35">
      <c r="A4489" s="2" t="s">
        <v>2220</v>
      </c>
      <c r="B4489" s="2" t="s">
        <v>2225</v>
      </c>
      <c r="C4489" s="2" t="s">
        <v>62</v>
      </c>
      <c r="D4489" s="2" t="s">
        <v>2238</v>
      </c>
      <c r="E4489" s="2" t="s">
        <v>87</v>
      </c>
      <c r="F4489" s="2" t="s">
        <v>75</v>
      </c>
      <c r="G4489" s="2" t="s">
        <v>20</v>
      </c>
      <c r="H4489" s="2" t="s">
        <v>2239</v>
      </c>
      <c r="I4489" s="2" t="s">
        <v>20</v>
      </c>
      <c r="J4489" s="2" t="s">
        <v>759</v>
      </c>
    </row>
    <row r="4490" spans="1:10" x14ac:dyDescent="0.35">
      <c r="A4490" s="2" t="s">
        <v>2220</v>
      </c>
      <c r="B4490" s="2" t="s">
        <v>2225</v>
      </c>
      <c r="C4490" s="2" t="s">
        <v>62</v>
      </c>
      <c r="D4490" s="2" t="s">
        <v>2238</v>
      </c>
      <c r="E4490" s="2" t="s">
        <v>61</v>
      </c>
      <c r="F4490" s="2" t="s">
        <v>30</v>
      </c>
      <c r="G4490" s="2"/>
      <c r="H4490" s="2"/>
      <c r="I4490" s="2" t="s">
        <v>20</v>
      </c>
      <c r="J4490" s="2" t="s">
        <v>759</v>
      </c>
    </row>
    <row r="4491" spans="1:10" x14ac:dyDescent="0.35">
      <c r="A4491" s="2" t="s">
        <v>2220</v>
      </c>
      <c r="B4491" s="2" t="s">
        <v>2225</v>
      </c>
      <c r="C4491" s="2" t="s">
        <v>24</v>
      </c>
      <c r="D4491" s="2" t="s">
        <v>2240</v>
      </c>
      <c r="E4491" s="2" t="s">
        <v>136</v>
      </c>
      <c r="F4491" s="2" t="s">
        <v>107</v>
      </c>
      <c r="G4491" s="2" t="s">
        <v>20</v>
      </c>
      <c r="H4491" s="2" t="s">
        <v>1378</v>
      </c>
      <c r="I4491" s="2" t="s">
        <v>20</v>
      </c>
      <c r="J4491" s="2" t="s">
        <v>759</v>
      </c>
    </row>
    <row r="4492" spans="1:10" x14ac:dyDescent="0.35">
      <c r="A4492" s="2" t="s">
        <v>2220</v>
      </c>
      <c r="B4492" s="2" t="s">
        <v>2225</v>
      </c>
      <c r="C4492" s="2" t="s">
        <v>24</v>
      </c>
      <c r="D4492" s="2" t="s">
        <v>2240</v>
      </c>
      <c r="E4492" s="2" t="s">
        <v>423</v>
      </c>
      <c r="F4492" s="2" t="s">
        <v>424</v>
      </c>
      <c r="G4492" s="2"/>
      <c r="H4492" s="2"/>
      <c r="I4492" s="2" t="s">
        <v>20</v>
      </c>
      <c r="J4492" s="2" t="s">
        <v>759</v>
      </c>
    </row>
    <row r="4493" spans="1:10" x14ac:dyDescent="0.35">
      <c r="A4493" s="2" t="s">
        <v>2220</v>
      </c>
      <c r="B4493" s="2" t="s">
        <v>2241</v>
      </c>
      <c r="C4493" s="2" t="s">
        <v>57</v>
      </c>
      <c r="D4493" s="2" t="s">
        <v>2242</v>
      </c>
      <c r="E4493" s="2" t="s">
        <v>82</v>
      </c>
      <c r="F4493" s="2" t="s">
        <v>83</v>
      </c>
      <c r="G4493" s="2" t="s">
        <v>20</v>
      </c>
      <c r="H4493" s="2" t="s">
        <v>2243</v>
      </c>
      <c r="I4493" s="2" t="s">
        <v>20</v>
      </c>
      <c r="J4493" s="2" t="s">
        <v>2244</v>
      </c>
    </row>
    <row r="4494" spans="1:10" x14ac:dyDescent="0.35">
      <c r="A4494" s="2" t="s">
        <v>2220</v>
      </c>
      <c r="B4494" s="2" t="s">
        <v>2241</v>
      </c>
      <c r="C4494" s="2" t="s">
        <v>57</v>
      </c>
      <c r="D4494" s="2" t="s">
        <v>2242</v>
      </c>
      <c r="E4494" s="2" t="s">
        <v>815</v>
      </c>
      <c r="F4494" s="2" t="s">
        <v>122</v>
      </c>
      <c r="G4494" s="2" t="s">
        <v>20</v>
      </c>
      <c r="H4494" s="2" t="s">
        <v>2245</v>
      </c>
      <c r="I4494" s="2" t="s">
        <v>20</v>
      </c>
      <c r="J4494" s="2" t="s">
        <v>2244</v>
      </c>
    </row>
    <row r="4495" spans="1:10" x14ac:dyDescent="0.35">
      <c r="A4495" s="2" t="s">
        <v>2220</v>
      </c>
      <c r="B4495" s="2" t="s">
        <v>2241</v>
      </c>
      <c r="C4495" s="2" t="s">
        <v>57</v>
      </c>
      <c r="D4495" s="2" t="s">
        <v>2242</v>
      </c>
      <c r="E4495" s="2" t="s">
        <v>121</v>
      </c>
      <c r="F4495" s="2" t="s">
        <v>122</v>
      </c>
      <c r="G4495" s="2" t="s">
        <v>20</v>
      </c>
      <c r="H4495" s="2" t="s">
        <v>2246</v>
      </c>
      <c r="I4495" s="2" t="s">
        <v>20</v>
      </c>
      <c r="J4495" s="2" t="s">
        <v>2244</v>
      </c>
    </row>
    <row r="4496" spans="1:10" x14ac:dyDescent="0.35">
      <c r="A4496" s="2" t="s">
        <v>2220</v>
      </c>
      <c r="B4496" s="2" t="s">
        <v>2241</v>
      </c>
      <c r="C4496" s="2" t="s">
        <v>57</v>
      </c>
      <c r="D4496" s="2" t="s">
        <v>2242</v>
      </c>
      <c r="E4496" s="2" t="s">
        <v>213</v>
      </c>
      <c r="F4496" s="2" t="s">
        <v>45</v>
      </c>
      <c r="G4496" s="2" t="s">
        <v>20</v>
      </c>
      <c r="H4496" s="2" t="s">
        <v>2247</v>
      </c>
      <c r="I4496" s="2" t="s">
        <v>20</v>
      </c>
      <c r="J4496" s="2" t="s">
        <v>2244</v>
      </c>
    </row>
    <row r="4497" spans="1:10" s="21" customFormat="1" x14ac:dyDescent="0.35">
      <c r="A4497" s="2" t="s">
        <v>2220</v>
      </c>
      <c r="B4497" s="2" t="s">
        <v>2248</v>
      </c>
      <c r="C4497" s="2" t="s">
        <v>12</v>
      </c>
      <c r="D4497" s="2" t="s">
        <v>2249</v>
      </c>
      <c r="E4497" s="2" t="s">
        <v>130</v>
      </c>
      <c r="F4497" s="2" t="s">
        <v>36</v>
      </c>
      <c r="G4497" s="2"/>
      <c r="H4497" s="2"/>
      <c r="I4497" s="2"/>
      <c r="J4497" s="2"/>
    </row>
    <row r="4498" spans="1:10" x14ac:dyDescent="0.35">
      <c r="A4498" s="2" t="s">
        <v>2220</v>
      </c>
      <c r="B4498" s="2" t="s">
        <v>2248</v>
      </c>
      <c r="C4498" s="2" t="s">
        <v>12</v>
      </c>
      <c r="D4498" s="2" t="s">
        <v>2249</v>
      </c>
      <c r="E4498" s="2" t="s">
        <v>2224</v>
      </c>
      <c r="F4498" s="2" t="s">
        <v>19</v>
      </c>
      <c r="G4498" s="2" t="s">
        <v>20</v>
      </c>
      <c r="H4498" s="2" t="s">
        <v>2250</v>
      </c>
      <c r="I4498" s="2"/>
      <c r="J4498" s="2"/>
    </row>
    <row r="4499" spans="1:10" x14ac:dyDescent="0.35">
      <c r="A4499" s="2" t="s">
        <v>2220</v>
      </c>
      <c r="B4499" s="2" t="s">
        <v>2248</v>
      </c>
      <c r="C4499" s="2" t="s">
        <v>12</v>
      </c>
      <c r="D4499" s="2" t="s">
        <v>2249</v>
      </c>
      <c r="E4499" s="2" t="s">
        <v>61</v>
      </c>
      <c r="F4499" s="2" t="s">
        <v>30</v>
      </c>
      <c r="G4499" s="2"/>
      <c r="H4499" s="2"/>
      <c r="I4499" s="2"/>
      <c r="J4499" s="2"/>
    </row>
    <row r="4500" spans="1:10" x14ac:dyDescent="0.35">
      <c r="A4500" s="2" t="s">
        <v>2220</v>
      </c>
      <c r="B4500" s="2" t="s">
        <v>2248</v>
      </c>
      <c r="C4500" s="2" t="s">
        <v>57</v>
      </c>
      <c r="D4500" s="2" t="s">
        <v>2251</v>
      </c>
      <c r="E4500" s="2" t="s">
        <v>130</v>
      </c>
      <c r="F4500" s="2" t="s">
        <v>36</v>
      </c>
      <c r="G4500" s="2"/>
      <c r="H4500" s="2"/>
      <c r="I4500" s="2"/>
      <c r="J4500" s="2"/>
    </row>
    <row r="4501" spans="1:10" x14ac:dyDescent="0.35">
      <c r="A4501" s="2" t="s">
        <v>2220</v>
      </c>
      <c r="B4501" s="2" t="s">
        <v>2248</v>
      </c>
      <c r="C4501" s="2" t="s">
        <v>57</v>
      </c>
      <c r="D4501" s="2" t="s">
        <v>2251</v>
      </c>
      <c r="E4501" s="2" t="s">
        <v>155</v>
      </c>
      <c r="F4501" s="2" t="s">
        <v>32</v>
      </c>
      <c r="G4501" s="2"/>
      <c r="H4501" s="2"/>
      <c r="I4501" s="2"/>
      <c r="J4501" s="2"/>
    </row>
    <row r="4502" spans="1:10" x14ac:dyDescent="0.35">
      <c r="A4502" s="2" t="s">
        <v>2220</v>
      </c>
      <c r="B4502" s="2" t="s">
        <v>2248</v>
      </c>
      <c r="C4502" s="2" t="s">
        <v>57</v>
      </c>
      <c r="D4502" s="2" t="s">
        <v>2251</v>
      </c>
      <c r="E4502" s="2" t="s">
        <v>121</v>
      </c>
      <c r="F4502" s="2" t="s">
        <v>122</v>
      </c>
      <c r="G4502" s="2"/>
      <c r="H4502" s="2"/>
      <c r="I4502" s="2"/>
      <c r="J4502" s="2"/>
    </row>
    <row r="4503" spans="1:10" x14ac:dyDescent="0.35">
      <c r="A4503" s="2" t="s">
        <v>2220</v>
      </c>
      <c r="B4503" s="2" t="s">
        <v>2248</v>
      </c>
      <c r="C4503" s="2" t="s">
        <v>57</v>
      </c>
      <c r="D4503" s="2" t="s">
        <v>2251</v>
      </c>
      <c r="E4503" s="2" t="s">
        <v>213</v>
      </c>
      <c r="F4503" s="2" t="s">
        <v>45</v>
      </c>
      <c r="G4503" s="2" t="s">
        <v>20</v>
      </c>
      <c r="H4503" s="2" t="s">
        <v>2252</v>
      </c>
      <c r="I4503" s="2"/>
      <c r="J4503" s="2"/>
    </row>
    <row r="4504" spans="1:10" s="21" customFormat="1" x14ac:dyDescent="0.35">
      <c r="A4504" s="2" t="s">
        <v>2220</v>
      </c>
      <c r="B4504" s="2" t="s">
        <v>2248</v>
      </c>
      <c r="C4504" s="2" t="s">
        <v>57</v>
      </c>
      <c r="D4504" s="2" t="s">
        <v>2251</v>
      </c>
      <c r="E4504" s="2" t="s">
        <v>1982</v>
      </c>
      <c r="F4504" s="2" t="s">
        <v>847</v>
      </c>
      <c r="G4504" s="2"/>
      <c r="H4504" s="2"/>
      <c r="I4504" s="2"/>
      <c r="J4504" s="2"/>
    </row>
    <row r="4505" spans="1:10" s="21" customFormat="1" x14ac:dyDescent="0.35">
      <c r="A4505" s="2" t="s">
        <v>2220</v>
      </c>
      <c r="B4505" s="2" t="s">
        <v>2248</v>
      </c>
      <c r="C4505" s="2" t="s">
        <v>24</v>
      </c>
      <c r="D4505" s="2" t="s">
        <v>2253</v>
      </c>
      <c r="E4505" s="2" t="s">
        <v>130</v>
      </c>
      <c r="F4505" s="2" t="s">
        <v>36</v>
      </c>
      <c r="G4505" s="2"/>
      <c r="H4505" s="2"/>
      <c r="I4505" s="2"/>
      <c r="J4505" s="2"/>
    </row>
    <row r="4506" spans="1:10" s="21" customFormat="1" x14ac:dyDescent="0.35">
      <c r="A4506" s="2" t="s">
        <v>2220</v>
      </c>
      <c r="B4506" s="2" t="s">
        <v>2248</v>
      </c>
      <c r="C4506" s="2" t="s">
        <v>24</v>
      </c>
      <c r="D4506" s="2" t="s">
        <v>2253</v>
      </c>
      <c r="E4506" s="2" t="s">
        <v>121</v>
      </c>
      <c r="F4506" s="2" t="s">
        <v>122</v>
      </c>
      <c r="G4506" s="2"/>
      <c r="H4506" s="2"/>
      <c r="I4506" s="2"/>
      <c r="J4506" s="2"/>
    </row>
    <row r="4507" spans="1:10" s="21" customFormat="1" x14ac:dyDescent="0.35">
      <c r="A4507" s="2" t="s">
        <v>2220</v>
      </c>
      <c r="B4507" s="2" t="s">
        <v>2248</v>
      </c>
      <c r="C4507" s="2" t="s">
        <v>24</v>
      </c>
      <c r="D4507" s="2" t="s">
        <v>2253</v>
      </c>
      <c r="E4507" s="2" t="s">
        <v>87</v>
      </c>
      <c r="F4507" s="2" t="s">
        <v>75</v>
      </c>
      <c r="G4507" s="2"/>
      <c r="H4507" s="2"/>
      <c r="I4507" s="2"/>
      <c r="J4507" s="2"/>
    </row>
    <row r="4508" spans="1:10" x14ac:dyDescent="0.35">
      <c r="A4508" s="2" t="s">
        <v>2220</v>
      </c>
      <c r="B4508" s="2" t="s">
        <v>2248</v>
      </c>
      <c r="C4508" s="2" t="s">
        <v>24</v>
      </c>
      <c r="D4508" s="2" t="s">
        <v>2254</v>
      </c>
      <c r="E4508" s="2" t="s">
        <v>815</v>
      </c>
      <c r="F4508" s="2" t="s">
        <v>122</v>
      </c>
      <c r="G4508" s="2" t="s">
        <v>46</v>
      </c>
      <c r="H4508" s="2" t="s">
        <v>47</v>
      </c>
      <c r="I4508" s="2"/>
      <c r="J4508" s="2"/>
    </row>
    <row r="4509" spans="1:10" x14ac:dyDescent="0.35">
      <c r="A4509" s="2" t="s">
        <v>2220</v>
      </c>
      <c r="B4509" s="2" t="s">
        <v>2248</v>
      </c>
      <c r="C4509" s="2" t="s">
        <v>24</v>
      </c>
      <c r="D4509" s="2" t="s">
        <v>2254</v>
      </c>
      <c r="E4509" s="2" t="s">
        <v>87</v>
      </c>
      <c r="F4509" s="2" t="s">
        <v>75</v>
      </c>
      <c r="G4509" s="2" t="s">
        <v>20</v>
      </c>
      <c r="H4509" s="2" t="s">
        <v>2252</v>
      </c>
      <c r="I4509" s="2"/>
      <c r="J4509" s="2"/>
    </row>
    <row r="4510" spans="1:10" x14ac:dyDescent="0.35">
      <c r="A4510" s="2" t="s">
        <v>2220</v>
      </c>
      <c r="B4510" s="2" t="s">
        <v>2248</v>
      </c>
      <c r="C4510" s="2" t="s">
        <v>24</v>
      </c>
      <c r="D4510" s="2" t="s">
        <v>2254</v>
      </c>
      <c r="E4510" s="2" t="s">
        <v>61</v>
      </c>
      <c r="F4510" s="2" t="s">
        <v>30</v>
      </c>
      <c r="G4510" s="2" t="s">
        <v>46</v>
      </c>
      <c r="H4510" s="2" t="s">
        <v>47</v>
      </c>
      <c r="I4510" s="2"/>
      <c r="J4510" s="2"/>
    </row>
    <row r="4511" spans="1:10" x14ac:dyDescent="0.35">
      <c r="A4511" s="2" t="s">
        <v>2220</v>
      </c>
      <c r="B4511" s="2" t="s">
        <v>2248</v>
      </c>
      <c r="C4511" s="2" t="s">
        <v>24</v>
      </c>
      <c r="D4511" s="2" t="s">
        <v>2255</v>
      </c>
      <c r="E4511" s="2" t="s">
        <v>2256</v>
      </c>
      <c r="F4511" s="2" t="s">
        <v>30</v>
      </c>
      <c r="G4511" s="2"/>
      <c r="H4511" s="2"/>
      <c r="I4511" s="2"/>
      <c r="J4511" s="2"/>
    </row>
    <row r="4512" spans="1:10" s="21" customFormat="1" x14ac:dyDescent="0.35">
      <c r="A4512" s="2" t="s">
        <v>2220</v>
      </c>
      <c r="B4512" s="2" t="s">
        <v>2248</v>
      </c>
      <c r="C4512" s="2" t="s">
        <v>24</v>
      </c>
      <c r="D4512" s="2" t="s">
        <v>2255</v>
      </c>
      <c r="E4512" s="2" t="s">
        <v>120</v>
      </c>
      <c r="F4512" s="2" t="s">
        <v>32</v>
      </c>
      <c r="G4512" s="2"/>
      <c r="H4512" s="2"/>
      <c r="I4512" s="2"/>
      <c r="J4512" s="2"/>
    </row>
    <row r="4513" spans="1:10" x14ac:dyDescent="0.35">
      <c r="A4513" s="2" t="s">
        <v>2220</v>
      </c>
      <c r="B4513" s="2" t="s">
        <v>2248</v>
      </c>
      <c r="C4513" s="2" t="s">
        <v>24</v>
      </c>
      <c r="D4513" s="2" t="s">
        <v>2255</v>
      </c>
      <c r="E4513" s="2" t="s">
        <v>121</v>
      </c>
      <c r="F4513" s="2" t="s">
        <v>122</v>
      </c>
      <c r="G4513" s="2"/>
      <c r="H4513" s="2"/>
      <c r="I4513" s="2"/>
      <c r="J4513" s="2"/>
    </row>
    <row r="4514" spans="1:10" x14ac:dyDescent="0.35">
      <c r="A4514" s="2" t="s">
        <v>2220</v>
      </c>
      <c r="B4514" s="2" t="s">
        <v>2248</v>
      </c>
      <c r="C4514" s="2" t="s">
        <v>24</v>
      </c>
      <c r="D4514" s="2" t="s">
        <v>2255</v>
      </c>
      <c r="E4514" s="2" t="s">
        <v>87</v>
      </c>
      <c r="F4514" s="2" t="s">
        <v>75</v>
      </c>
      <c r="G4514" s="2" t="s">
        <v>20</v>
      </c>
      <c r="H4514" s="2" t="s">
        <v>2257</v>
      </c>
      <c r="I4514" s="2"/>
      <c r="J4514" s="2"/>
    </row>
    <row r="4515" spans="1:10" s="21" customFormat="1" x14ac:dyDescent="0.35">
      <c r="A4515" s="2" t="s">
        <v>2220</v>
      </c>
      <c r="B4515" s="2" t="s">
        <v>2248</v>
      </c>
      <c r="C4515" s="2" t="s">
        <v>24</v>
      </c>
      <c r="D4515" s="2" t="s">
        <v>2255</v>
      </c>
      <c r="E4515" s="2" t="s">
        <v>18</v>
      </c>
      <c r="F4515" s="2" t="s">
        <v>1679</v>
      </c>
      <c r="G4515" s="2"/>
      <c r="H4515" s="2"/>
      <c r="I4515" s="2"/>
      <c r="J4515" s="2"/>
    </row>
    <row r="4516" spans="1:10" x14ac:dyDescent="0.35">
      <c r="A4516" s="2" t="s">
        <v>2220</v>
      </c>
      <c r="B4516" s="2" t="s">
        <v>2248</v>
      </c>
      <c r="C4516" s="2" t="s">
        <v>24</v>
      </c>
      <c r="D4516" s="2" t="s">
        <v>2255</v>
      </c>
      <c r="E4516" s="2" t="s">
        <v>127</v>
      </c>
      <c r="F4516" s="2" t="s">
        <v>107</v>
      </c>
      <c r="G4516" s="2"/>
      <c r="H4516" s="2"/>
      <c r="I4516" s="2"/>
      <c r="J4516" s="2"/>
    </row>
    <row r="4517" spans="1:10" x14ac:dyDescent="0.35">
      <c r="A4517" s="2" t="s">
        <v>2220</v>
      </c>
      <c r="B4517" s="2" t="s">
        <v>2258</v>
      </c>
      <c r="C4517" s="2" t="s">
        <v>24</v>
      </c>
      <c r="D4517" s="2" t="s">
        <v>2259</v>
      </c>
      <c r="E4517" s="2" t="s">
        <v>130</v>
      </c>
      <c r="F4517" s="2" t="s">
        <v>36</v>
      </c>
      <c r="G4517" s="2" t="s">
        <v>20</v>
      </c>
      <c r="H4517" s="2" t="s">
        <v>2260</v>
      </c>
      <c r="I4517" s="2"/>
      <c r="J4517" s="2"/>
    </row>
    <row r="4518" spans="1:10" x14ac:dyDescent="0.35">
      <c r="A4518" s="2" t="s">
        <v>2220</v>
      </c>
      <c r="B4518" s="2" t="s">
        <v>2258</v>
      </c>
      <c r="C4518" s="2" t="s">
        <v>24</v>
      </c>
      <c r="D4518" s="2" t="s">
        <v>2259</v>
      </c>
      <c r="E4518" s="2" t="s">
        <v>121</v>
      </c>
      <c r="F4518" s="2" t="s">
        <v>122</v>
      </c>
      <c r="G4518" s="2" t="s">
        <v>20</v>
      </c>
      <c r="H4518" s="2" t="s">
        <v>2260</v>
      </c>
      <c r="I4518" s="2"/>
      <c r="J4518" s="2"/>
    </row>
    <row r="4519" spans="1:10" x14ac:dyDescent="0.35">
      <c r="A4519" s="2" t="s">
        <v>2220</v>
      </c>
      <c r="B4519" s="2" t="s">
        <v>2258</v>
      </c>
      <c r="C4519" s="2" t="s">
        <v>24</v>
      </c>
      <c r="D4519" s="2" t="s">
        <v>2259</v>
      </c>
      <c r="E4519" s="2" t="s">
        <v>87</v>
      </c>
      <c r="F4519" s="2" t="s">
        <v>75</v>
      </c>
      <c r="G4519" s="2" t="s">
        <v>20</v>
      </c>
      <c r="H4519" s="2" t="s">
        <v>2260</v>
      </c>
      <c r="I4519" s="2"/>
      <c r="J4519" s="2"/>
    </row>
    <row r="4520" spans="1:10" x14ac:dyDescent="0.35">
      <c r="A4520" s="2" t="s">
        <v>2220</v>
      </c>
      <c r="B4520" s="2" t="s">
        <v>2258</v>
      </c>
      <c r="C4520" s="2" t="s">
        <v>62</v>
      </c>
      <c r="D4520" s="2" t="s">
        <v>2261</v>
      </c>
      <c r="E4520" s="2" t="s">
        <v>106</v>
      </c>
      <c r="F4520" s="2" t="s">
        <v>107</v>
      </c>
      <c r="G4520" s="2"/>
      <c r="H4520" s="2"/>
      <c r="I4520" s="2"/>
      <c r="J4520" s="2"/>
    </row>
    <row r="4521" spans="1:10" s="21" customFormat="1" x14ac:dyDescent="0.35">
      <c r="A4521" s="2" t="s">
        <v>2220</v>
      </c>
      <c r="B4521" s="2" t="s">
        <v>2258</v>
      </c>
      <c r="C4521" s="2" t="s">
        <v>57</v>
      </c>
      <c r="D4521" s="2" t="s">
        <v>2262</v>
      </c>
      <c r="E4521" s="2" t="s">
        <v>130</v>
      </c>
      <c r="F4521" s="2" t="s">
        <v>36</v>
      </c>
      <c r="G4521" s="2"/>
      <c r="H4521" s="2"/>
      <c r="I4521" s="2"/>
      <c r="J4521" s="2"/>
    </row>
    <row r="4522" spans="1:10" x14ac:dyDescent="0.35">
      <c r="A4522" s="2" t="s">
        <v>2220</v>
      </c>
      <c r="B4522" s="2" t="s">
        <v>2258</v>
      </c>
      <c r="C4522" s="2" t="s">
        <v>57</v>
      </c>
      <c r="D4522" s="2" t="s">
        <v>2262</v>
      </c>
      <c r="E4522" s="2" t="s">
        <v>121</v>
      </c>
      <c r="F4522" s="2" t="s">
        <v>122</v>
      </c>
      <c r="G4522" s="2"/>
      <c r="H4522" s="2"/>
      <c r="I4522" s="2"/>
      <c r="J4522" s="2"/>
    </row>
    <row r="4523" spans="1:10" s="21" customFormat="1" x14ac:dyDescent="0.35">
      <c r="A4523" s="2" t="s">
        <v>2220</v>
      </c>
      <c r="B4523" s="2" t="s">
        <v>2258</v>
      </c>
      <c r="C4523" s="2" t="s">
        <v>57</v>
      </c>
      <c r="D4523" s="2" t="s">
        <v>2262</v>
      </c>
      <c r="E4523" s="2" t="s">
        <v>91</v>
      </c>
      <c r="F4523" s="2" t="s">
        <v>19</v>
      </c>
      <c r="G4523" s="2" t="s">
        <v>20</v>
      </c>
      <c r="H4523" s="2" t="s">
        <v>2263</v>
      </c>
      <c r="I4523" s="2"/>
      <c r="J4523" s="2"/>
    </row>
    <row r="4524" spans="1:10" s="21" customFormat="1" x14ac:dyDescent="0.35">
      <c r="A4524" s="2" t="s">
        <v>2220</v>
      </c>
      <c r="B4524" s="2" t="s">
        <v>2258</v>
      </c>
      <c r="C4524" s="2" t="s">
        <v>24</v>
      </c>
      <c r="D4524" s="2" t="s">
        <v>2264</v>
      </c>
      <c r="E4524" s="2" t="s">
        <v>27</v>
      </c>
      <c r="F4524" s="2" t="s">
        <v>28</v>
      </c>
      <c r="G4524" s="2"/>
      <c r="H4524" s="2"/>
      <c r="I4524" s="2"/>
      <c r="J4524" s="2"/>
    </row>
    <row r="4525" spans="1:10" s="21" customFormat="1" x14ac:dyDescent="0.35">
      <c r="A4525" s="2" t="s">
        <v>2220</v>
      </c>
      <c r="B4525" s="2" t="s">
        <v>2258</v>
      </c>
      <c r="C4525" s="2" t="s">
        <v>24</v>
      </c>
      <c r="D4525" s="2" t="s">
        <v>2264</v>
      </c>
      <c r="E4525" s="2" t="s">
        <v>38</v>
      </c>
      <c r="F4525" s="2" t="s">
        <v>38</v>
      </c>
      <c r="G4525" s="2"/>
      <c r="H4525" s="2"/>
      <c r="I4525" s="2"/>
      <c r="J4525" s="2"/>
    </row>
    <row r="4526" spans="1:10" s="21" customFormat="1" x14ac:dyDescent="0.35">
      <c r="A4526" s="2" t="s">
        <v>2220</v>
      </c>
      <c r="B4526" s="2" t="s">
        <v>2258</v>
      </c>
      <c r="C4526" s="2" t="s">
        <v>24</v>
      </c>
      <c r="D4526" s="2" t="s">
        <v>2264</v>
      </c>
      <c r="E4526" s="2" t="s">
        <v>35</v>
      </c>
      <c r="F4526" s="2" t="s">
        <v>36</v>
      </c>
      <c r="G4526" s="2" t="s">
        <v>20</v>
      </c>
      <c r="H4526" s="2" t="s">
        <v>2265</v>
      </c>
      <c r="I4526" s="2"/>
      <c r="J4526" s="2"/>
    </row>
    <row r="4527" spans="1:10" s="21" customFormat="1" x14ac:dyDescent="0.35">
      <c r="A4527" s="2" t="s">
        <v>2220</v>
      </c>
      <c r="B4527" s="2" t="s">
        <v>2258</v>
      </c>
      <c r="C4527" s="2" t="s">
        <v>24</v>
      </c>
      <c r="D4527" s="2" t="s">
        <v>2264</v>
      </c>
      <c r="E4527" s="2" t="s">
        <v>87</v>
      </c>
      <c r="F4527" s="2" t="s">
        <v>75</v>
      </c>
      <c r="G4527" s="2"/>
      <c r="H4527" s="2"/>
      <c r="I4527" s="2"/>
      <c r="J4527" s="2"/>
    </row>
    <row r="4528" spans="1:10" s="21" customFormat="1" x14ac:dyDescent="0.35">
      <c r="A4528" s="2" t="s">
        <v>2220</v>
      </c>
      <c r="B4528" s="2" t="s">
        <v>2258</v>
      </c>
      <c r="C4528" s="2" t="s">
        <v>24</v>
      </c>
      <c r="D4528" s="2" t="s">
        <v>2264</v>
      </c>
      <c r="E4528" s="2" t="s">
        <v>188</v>
      </c>
      <c r="F4528" s="2" t="s">
        <v>189</v>
      </c>
      <c r="G4528" s="2"/>
      <c r="H4528" s="2"/>
      <c r="I4528" s="2"/>
      <c r="J4528" s="2"/>
    </row>
    <row r="4529" spans="1:10" s="21" customFormat="1" x14ac:dyDescent="0.35">
      <c r="A4529" s="2" t="s">
        <v>2220</v>
      </c>
      <c r="B4529" s="2" t="s">
        <v>2258</v>
      </c>
      <c r="C4529" s="2" t="s">
        <v>24</v>
      </c>
      <c r="D4529" s="2" t="s">
        <v>2264</v>
      </c>
      <c r="E4529" s="2" t="s">
        <v>112</v>
      </c>
      <c r="F4529" s="2" t="s">
        <v>2025</v>
      </c>
      <c r="G4529" s="2"/>
      <c r="H4529" s="2"/>
      <c r="I4529" s="2"/>
      <c r="J4529" s="2"/>
    </row>
    <row r="4530" spans="1:10" x14ac:dyDescent="0.35">
      <c r="A4530" s="2" t="s">
        <v>2220</v>
      </c>
      <c r="B4530" s="2" t="s">
        <v>2266</v>
      </c>
      <c r="C4530" s="2" t="s">
        <v>57</v>
      </c>
      <c r="D4530" s="2" t="s">
        <v>2267</v>
      </c>
      <c r="E4530" s="2" t="s">
        <v>130</v>
      </c>
      <c r="F4530" s="2" t="s">
        <v>36</v>
      </c>
      <c r="G4530" s="2" t="s">
        <v>20</v>
      </c>
      <c r="H4530" s="2" t="s">
        <v>2268</v>
      </c>
      <c r="I4530" s="2"/>
      <c r="J4530" s="2"/>
    </row>
    <row r="4531" spans="1:10" x14ac:dyDescent="0.35">
      <c r="A4531" s="2" t="s">
        <v>2220</v>
      </c>
      <c r="B4531" s="2" t="s">
        <v>2266</v>
      </c>
      <c r="C4531" s="2" t="s">
        <v>57</v>
      </c>
      <c r="D4531" s="2" t="s">
        <v>2267</v>
      </c>
      <c r="E4531" s="2" t="s">
        <v>120</v>
      </c>
      <c r="F4531" s="2" t="s">
        <v>32</v>
      </c>
      <c r="G4531" s="2"/>
      <c r="H4531" s="2"/>
      <c r="I4531" s="2"/>
      <c r="J4531" s="2"/>
    </row>
    <row r="4532" spans="1:10" x14ac:dyDescent="0.35">
      <c r="A4532" s="2" t="s">
        <v>2220</v>
      </c>
      <c r="B4532" s="2" t="s">
        <v>2266</v>
      </c>
      <c r="C4532" s="2" t="s">
        <v>24</v>
      </c>
      <c r="D4532" s="2" t="s">
        <v>2269</v>
      </c>
      <c r="E4532" s="2" t="s">
        <v>130</v>
      </c>
      <c r="F4532" s="2" t="s">
        <v>36</v>
      </c>
      <c r="G4532" s="2" t="s">
        <v>20</v>
      </c>
      <c r="H4532" s="2" t="s">
        <v>2270</v>
      </c>
      <c r="I4532" s="2"/>
      <c r="J4532" s="2"/>
    </row>
    <row r="4533" spans="1:10" x14ac:dyDescent="0.35">
      <c r="A4533" s="2" t="s">
        <v>2220</v>
      </c>
      <c r="B4533" s="2" t="s">
        <v>2266</v>
      </c>
      <c r="C4533" s="2" t="s">
        <v>24</v>
      </c>
      <c r="D4533" s="2" t="s">
        <v>2269</v>
      </c>
      <c r="E4533" s="2" t="s">
        <v>998</v>
      </c>
      <c r="F4533" s="2" t="s">
        <v>40</v>
      </c>
      <c r="G4533" s="2" t="s">
        <v>20</v>
      </c>
      <c r="H4533" s="2" t="s">
        <v>2270</v>
      </c>
      <c r="I4533" s="2"/>
      <c r="J4533" s="2"/>
    </row>
    <row r="4534" spans="1:10" x14ac:dyDescent="0.35">
      <c r="A4534" s="2" t="s">
        <v>2220</v>
      </c>
      <c r="B4534" s="2" t="s">
        <v>2266</v>
      </c>
      <c r="C4534" s="2" t="s">
        <v>24</v>
      </c>
      <c r="D4534" s="2" t="s">
        <v>2269</v>
      </c>
      <c r="E4534" s="2" t="s">
        <v>87</v>
      </c>
      <c r="F4534" s="2" t="s">
        <v>75</v>
      </c>
      <c r="G4534" s="2" t="s">
        <v>20</v>
      </c>
      <c r="H4534" s="2" t="s">
        <v>2270</v>
      </c>
      <c r="I4534" s="2"/>
      <c r="J4534" s="2"/>
    </row>
    <row r="4535" spans="1:10" x14ac:dyDescent="0.35">
      <c r="A4535" s="2" t="s">
        <v>2220</v>
      </c>
      <c r="B4535" s="2" t="s">
        <v>2266</v>
      </c>
      <c r="C4535" s="2" t="s">
        <v>24</v>
      </c>
      <c r="D4535" s="2" t="s">
        <v>2269</v>
      </c>
      <c r="E4535" s="2" t="s">
        <v>61</v>
      </c>
      <c r="F4535" s="2" t="s">
        <v>1204</v>
      </c>
      <c r="G4535" s="2" t="s">
        <v>20</v>
      </c>
      <c r="H4535" s="2" t="s">
        <v>2270</v>
      </c>
      <c r="I4535" s="2"/>
      <c r="J4535" s="2"/>
    </row>
    <row r="4536" spans="1:10" x14ac:dyDescent="0.35">
      <c r="A4536" s="2" t="s">
        <v>2220</v>
      </c>
      <c r="B4536" s="2" t="s">
        <v>2266</v>
      </c>
      <c r="C4536" s="2" t="s">
        <v>24</v>
      </c>
      <c r="D4536" s="2" t="s">
        <v>2269</v>
      </c>
      <c r="E4536" s="2" t="s">
        <v>207</v>
      </c>
      <c r="F4536" s="2" t="s">
        <v>122</v>
      </c>
      <c r="G4536" s="2" t="s">
        <v>20</v>
      </c>
      <c r="H4536" s="2" t="s">
        <v>2270</v>
      </c>
      <c r="I4536" s="2"/>
      <c r="J4536" s="2"/>
    </row>
    <row r="4537" spans="1:10" s="21" customFormat="1" x14ac:dyDescent="0.35">
      <c r="A4537" s="2" t="s">
        <v>2220</v>
      </c>
      <c r="B4537" s="2" t="s">
        <v>2266</v>
      </c>
      <c r="C4537" s="2" t="s">
        <v>54</v>
      </c>
      <c r="D4537" s="2" t="s">
        <v>2271</v>
      </c>
      <c r="E4537" s="2" t="s">
        <v>130</v>
      </c>
      <c r="F4537" s="2" t="s">
        <v>36</v>
      </c>
      <c r="G4537" s="2"/>
      <c r="H4537" s="2"/>
      <c r="I4537" s="2"/>
      <c r="J4537" s="2"/>
    </row>
    <row r="4538" spans="1:10" s="21" customFormat="1" x14ac:dyDescent="0.35">
      <c r="A4538" s="2" t="s">
        <v>2220</v>
      </c>
      <c r="B4538" s="2" t="s">
        <v>2266</v>
      </c>
      <c r="C4538" s="2" t="s">
        <v>54</v>
      </c>
      <c r="D4538" s="2" t="s">
        <v>2271</v>
      </c>
      <c r="E4538" s="2" t="s">
        <v>121</v>
      </c>
      <c r="F4538" s="2" t="s">
        <v>122</v>
      </c>
      <c r="G4538" s="2"/>
      <c r="H4538" s="2"/>
      <c r="I4538" s="2"/>
      <c r="J4538" s="2"/>
    </row>
    <row r="4539" spans="1:10" s="21" customFormat="1" x14ac:dyDescent="0.35">
      <c r="A4539" s="2" t="s">
        <v>2220</v>
      </c>
      <c r="B4539" s="2" t="s">
        <v>2266</v>
      </c>
      <c r="C4539" s="2" t="s">
        <v>54</v>
      </c>
      <c r="D4539" s="2" t="s">
        <v>2271</v>
      </c>
      <c r="E4539" s="2" t="s">
        <v>87</v>
      </c>
      <c r="F4539" s="2" t="s">
        <v>75</v>
      </c>
      <c r="G4539" s="2"/>
      <c r="H4539" s="2"/>
      <c r="I4539" s="2"/>
      <c r="J4539" s="2"/>
    </row>
    <row r="4540" spans="1:10" s="21" customFormat="1" x14ac:dyDescent="0.35">
      <c r="A4540" s="2" t="s">
        <v>2220</v>
      </c>
      <c r="B4540" s="2" t="s">
        <v>2266</v>
      </c>
      <c r="C4540" s="2" t="s">
        <v>54</v>
      </c>
      <c r="D4540" s="2" t="s">
        <v>2271</v>
      </c>
      <c r="E4540" s="2" t="s">
        <v>18</v>
      </c>
      <c r="F4540" s="2" t="s">
        <v>1679</v>
      </c>
      <c r="G4540" s="2" t="s">
        <v>20</v>
      </c>
      <c r="H4540" s="2" t="s">
        <v>2272</v>
      </c>
      <c r="I4540" s="2"/>
      <c r="J4540" s="2"/>
    </row>
    <row r="4541" spans="1:10" s="21" customFormat="1" x14ac:dyDescent="0.35">
      <c r="A4541" s="2" t="s">
        <v>2220</v>
      </c>
      <c r="B4541" s="2" t="s">
        <v>2266</v>
      </c>
      <c r="C4541" s="2" t="s">
        <v>54</v>
      </c>
      <c r="D4541" s="2" t="s">
        <v>2271</v>
      </c>
      <c r="E4541" s="2" t="s">
        <v>61</v>
      </c>
      <c r="F4541" s="2" t="s">
        <v>1204</v>
      </c>
      <c r="G4541" s="2"/>
      <c r="H4541" s="2"/>
      <c r="I4541" s="2"/>
      <c r="J4541" s="2"/>
    </row>
    <row r="4542" spans="1:10" x14ac:dyDescent="0.35">
      <c r="A4542" s="2" t="s">
        <v>2220</v>
      </c>
      <c r="B4542" s="2" t="s">
        <v>2273</v>
      </c>
      <c r="C4542" s="2" t="s">
        <v>62</v>
      </c>
      <c r="D4542" s="2" t="s">
        <v>2274</v>
      </c>
      <c r="E4542" s="2" t="s">
        <v>27</v>
      </c>
      <c r="F4542" s="2" t="s">
        <v>28</v>
      </c>
      <c r="G4542" s="2" t="s">
        <v>20</v>
      </c>
      <c r="H4542" s="2" t="s">
        <v>2275</v>
      </c>
      <c r="I4542" s="2" t="s">
        <v>20</v>
      </c>
      <c r="J4542" s="2" t="s">
        <v>759</v>
      </c>
    </row>
    <row r="4543" spans="1:10" x14ac:dyDescent="0.35">
      <c r="A4543" s="2" t="s">
        <v>2220</v>
      </c>
      <c r="B4543" s="2" t="s">
        <v>2273</v>
      </c>
      <c r="C4543" s="2" t="s">
        <v>62</v>
      </c>
      <c r="D4543" s="2" t="s">
        <v>2274</v>
      </c>
      <c r="E4543" s="2" t="s">
        <v>423</v>
      </c>
      <c r="F4543" s="2" t="s">
        <v>424</v>
      </c>
      <c r="G4543" s="2"/>
      <c r="H4543" s="2"/>
      <c r="I4543" s="2" t="s">
        <v>20</v>
      </c>
      <c r="J4543" s="2" t="s">
        <v>759</v>
      </c>
    </row>
    <row r="4544" spans="1:10" s="19" customFormat="1" x14ac:dyDescent="0.35">
      <c r="A4544" s="2" t="s">
        <v>2220</v>
      </c>
      <c r="B4544" s="2" t="s">
        <v>2276</v>
      </c>
      <c r="C4544" s="2" t="s">
        <v>12</v>
      </c>
      <c r="D4544" s="2" t="s">
        <v>2277</v>
      </c>
      <c r="E4544" s="2" t="s">
        <v>14</v>
      </c>
      <c r="F4544" s="2" t="s">
        <v>15</v>
      </c>
      <c r="G4544" s="2"/>
      <c r="H4544" s="2"/>
      <c r="I4544" s="2" t="s">
        <v>20</v>
      </c>
      <c r="J4544" s="2" t="s">
        <v>2278</v>
      </c>
    </row>
    <row r="4545" spans="1:10" x14ac:dyDescent="0.35">
      <c r="A4545" s="2" t="s">
        <v>2220</v>
      </c>
      <c r="B4545" s="2" t="s">
        <v>2276</v>
      </c>
      <c r="C4545" s="2" t="s">
        <v>12</v>
      </c>
      <c r="D4545" s="2" t="s">
        <v>2277</v>
      </c>
      <c r="E4545" s="2" t="s">
        <v>29</v>
      </c>
      <c r="F4545" s="2" t="s">
        <v>30</v>
      </c>
      <c r="G4545" s="2"/>
      <c r="H4545" s="2"/>
      <c r="I4545" s="2" t="s">
        <v>20</v>
      </c>
      <c r="J4545" s="2" t="s">
        <v>2278</v>
      </c>
    </row>
    <row r="4546" spans="1:10" x14ac:dyDescent="0.35">
      <c r="A4546" s="2" t="s">
        <v>2220</v>
      </c>
      <c r="B4546" s="2" t="s">
        <v>2276</v>
      </c>
      <c r="C4546" s="2" t="s">
        <v>12</v>
      </c>
      <c r="D4546" s="2" t="s">
        <v>2277</v>
      </c>
      <c r="E4546" s="2" t="s">
        <v>120</v>
      </c>
      <c r="F4546" s="2" t="s">
        <v>32</v>
      </c>
      <c r="G4546" s="2"/>
      <c r="H4546" s="2"/>
      <c r="I4546" s="2" t="s">
        <v>20</v>
      </c>
      <c r="J4546" s="2" t="s">
        <v>2278</v>
      </c>
    </row>
    <row r="4547" spans="1:10" s="19" customFormat="1" x14ac:dyDescent="0.35">
      <c r="A4547" s="2" t="s">
        <v>2220</v>
      </c>
      <c r="B4547" s="2" t="s">
        <v>2276</v>
      </c>
      <c r="C4547" s="2" t="s">
        <v>12</v>
      </c>
      <c r="D4547" s="2" t="s">
        <v>2277</v>
      </c>
      <c r="E4547" s="2" t="s">
        <v>172</v>
      </c>
      <c r="F4547" s="2" t="s">
        <v>65</v>
      </c>
      <c r="G4547" s="2"/>
      <c r="H4547" s="2"/>
      <c r="I4547" s="2" t="s">
        <v>20</v>
      </c>
      <c r="J4547" s="2" t="s">
        <v>2278</v>
      </c>
    </row>
    <row r="4548" spans="1:10" x14ac:dyDescent="0.35">
      <c r="A4548" s="2" t="s">
        <v>2220</v>
      </c>
      <c r="B4548" s="2" t="s">
        <v>2276</v>
      </c>
      <c r="C4548" s="2" t="s">
        <v>12</v>
      </c>
      <c r="D4548" s="2" t="s">
        <v>2277</v>
      </c>
      <c r="E4548" s="2" t="s">
        <v>82</v>
      </c>
      <c r="F4548" s="2" t="s">
        <v>83</v>
      </c>
      <c r="G4548" s="2"/>
      <c r="H4548" s="2"/>
      <c r="I4548" s="2" t="s">
        <v>20</v>
      </c>
      <c r="J4548" s="2" t="s">
        <v>2278</v>
      </c>
    </row>
    <row r="4549" spans="1:10" x14ac:dyDescent="0.35">
      <c r="A4549" s="2" t="s">
        <v>2220</v>
      </c>
      <c r="B4549" s="2" t="s">
        <v>2276</v>
      </c>
      <c r="C4549" s="2" t="s">
        <v>12</v>
      </c>
      <c r="D4549" s="2" t="s">
        <v>2277</v>
      </c>
      <c r="E4549" s="2" t="s">
        <v>77</v>
      </c>
      <c r="F4549" s="2" t="s">
        <v>78</v>
      </c>
      <c r="G4549" s="2"/>
      <c r="H4549" s="2"/>
      <c r="I4549" s="2" t="s">
        <v>20</v>
      </c>
      <c r="J4549" s="2" t="s">
        <v>2278</v>
      </c>
    </row>
    <row r="4550" spans="1:10" x14ac:dyDescent="0.35">
      <c r="A4550" s="2" t="s">
        <v>2220</v>
      </c>
      <c r="B4550" s="2" t="s">
        <v>2276</v>
      </c>
      <c r="C4550" s="2" t="s">
        <v>12</v>
      </c>
      <c r="D4550" s="2" t="s">
        <v>2277</v>
      </c>
      <c r="E4550" s="2" t="s">
        <v>91</v>
      </c>
      <c r="F4550" s="2" t="s">
        <v>19</v>
      </c>
      <c r="G4550" s="2" t="s">
        <v>2279</v>
      </c>
      <c r="H4550" s="2" t="s">
        <v>2280</v>
      </c>
      <c r="I4550" s="2" t="s">
        <v>20</v>
      </c>
      <c r="J4550" s="2" t="s">
        <v>2278</v>
      </c>
    </row>
    <row r="4551" spans="1:10" s="19" customFormat="1" x14ac:dyDescent="0.35">
      <c r="A4551" s="2" t="s">
        <v>2220</v>
      </c>
      <c r="B4551" s="2" t="s">
        <v>2276</v>
      </c>
      <c r="C4551" s="2" t="s">
        <v>12</v>
      </c>
      <c r="D4551" s="2" t="s">
        <v>2277</v>
      </c>
      <c r="E4551" s="2" t="s">
        <v>87</v>
      </c>
      <c r="F4551" s="2" t="s">
        <v>75</v>
      </c>
      <c r="G4551" s="2" t="s">
        <v>20</v>
      </c>
      <c r="H4551" s="2" t="s">
        <v>2281</v>
      </c>
      <c r="I4551" s="2" t="s">
        <v>20</v>
      </c>
      <c r="J4551" s="2" t="s">
        <v>2278</v>
      </c>
    </row>
    <row r="4552" spans="1:10" s="19" customFormat="1" x14ac:dyDescent="0.35">
      <c r="A4552" s="2" t="s">
        <v>2220</v>
      </c>
      <c r="B4552" s="2" t="s">
        <v>2276</v>
      </c>
      <c r="C4552" s="2" t="s">
        <v>12</v>
      </c>
      <c r="D4552" s="2" t="s">
        <v>2277</v>
      </c>
      <c r="E4552" s="2" t="s">
        <v>188</v>
      </c>
      <c r="F4552" s="2" t="s">
        <v>189</v>
      </c>
      <c r="G4552" s="2"/>
      <c r="H4552" s="2"/>
      <c r="I4552" s="2" t="s">
        <v>20</v>
      </c>
      <c r="J4552" s="2" t="s">
        <v>2278</v>
      </c>
    </row>
    <row r="4553" spans="1:10" x14ac:dyDescent="0.35">
      <c r="A4553" s="2" t="s">
        <v>2220</v>
      </c>
      <c r="B4553" s="2" t="s">
        <v>2276</v>
      </c>
      <c r="C4553" s="2" t="s">
        <v>12</v>
      </c>
      <c r="D4553" s="2" t="s">
        <v>2277</v>
      </c>
      <c r="E4553" s="2" t="s">
        <v>2282</v>
      </c>
      <c r="F4553" s="2" t="s">
        <v>28</v>
      </c>
      <c r="G4553" s="2" t="s">
        <v>2279</v>
      </c>
      <c r="H4553" s="2" t="s">
        <v>2283</v>
      </c>
      <c r="I4553" s="2" t="s">
        <v>20</v>
      </c>
      <c r="J4553" s="2" t="s">
        <v>2278</v>
      </c>
    </row>
    <row r="4554" spans="1:10" x14ac:dyDescent="0.35">
      <c r="A4554" s="2" t="s">
        <v>2220</v>
      </c>
      <c r="B4554" s="2" t="s">
        <v>2276</v>
      </c>
      <c r="C4554" s="2" t="s">
        <v>12</v>
      </c>
      <c r="D4554" s="2" t="s">
        <v>2277</v>
      </c>
      <c r="E4554" s="2" t="s">
        <v>2284</v>
      </c>
      <c r="F4554" s="2" t="s">
        <v>45</v>
      </c>
      <c r="G4554" s="2" t="s">
        <v>2279</v>
      </c>
      <c r="H4554" s="2" t="s">
        <v>2285</v>
      </c>
      <c r="I4554" s="2" t="s">
        <v>20</v>
      </c>
      <c r="J4554" s="2" t="s">
        <v>2278</v>
      </c>
    </row>
    <row r="4555" spans="1:10" x14ac:dyDescent="0.35">
      <c r="A4555" s="2" t="s">
        <v>2220</v>
      </c>
      <c r="B4555" s="2" t="s">
        <v>2276</v>
      </c>
      <c r="C4555" s="2" t="s">
        <v>12</v>
      </c>
      <c r="D4555" s="2" t="s">
        <v>2286</v>
      </c>
      <c r="E4555" s="2" t="s">
        <v>74</v>
      </c>
      <c r="F4555" s="2" t="s">
        <v>75</v>
      </c>
      <c r="G4555" s="2" t="s">
        <v>2279</v>
      </c>
      <c r="H4555" s="2" t="s">
        <v>2287</v>
      </c>
      <c r="I4555" s="2" t="s">
        <v>20</v>
      </c>
      <c r="J4555" s="2" t="s">
        <v>2278</v>
      </c>
    </row>
    <row r="4556" spans="1:10" x14ac:dyDescent="0.35">
      <c r="A4556" s="2" t="s">
        <v>2220</v>
      </c>
      <c r="B4556" s="2" t="s">
        <v>2276</v>
      </c>
      <c r="C4556" s="2" t="s">
        <v>12</v>
      </c>
      <c r="D4556" s="2" t="s">
        <v>2286</v>
      </c>
      <c r="E4556" s="2" t="s">
        <v>649</v>
      </c>
      <c r="F4556" s="2" t="s">
        <v>363</v>
      </c>
      <c r="G4556" s="2" t="s">
        <v>2279</v>
      </c>
      <c r="H4556" s="2" t="s">
        <v>2235</v>
      </c>
      <c r="I4556" s="2" t="s">
        <v>20</v>
      </c>
      <c r="J4556" s="2" t="s">
        <v>2278</v>
      </c>
    </row>
    <row r="4557" spans="1:10" x14ac:dyDescent="0.35">
      <c r="A4557" s="2" t="s">
        <v>2220</v>
      </c>
      <c r="B4557" s="2" t="s">
        <v>2276</v>
      </c>
      <c r="C4557" s="2" t="s">
        <v>12</v>
      </c>
      <c r="D4557" s="2" t="s">
        <v>2286</v>
      </c>
      <c r="E4557" s="2" t="s">
        <v>188</v>
      </c>
      <c r="F4557" s="2" t="s">
        <v>189</v>
      </c>
      <c r="G4557" s="2"/>
      <c r="H4557" s="2"/>
      <c r="I4557" s="2" t="s">
        <v>20</v>
      </c>
      <c r="J4557" s="2" t="s">
        <v>2278</v>
      </c>
    </row>
    <row r="4558" spans="1:10" x14ac:dyDescent="0.35">
      <c r="A4558" s="2" t="s">
        <v>2220</v>
      </c>
      <c r="B4558" s="2" t="s">
        <v>2276</v>
      </c>
      <c r="C4558" s="2" t="s">
        <v>12</v>
      </c>
      <c r="D4558" s="2" t="s">
        <v>2286</v>
      </c>
      <c r="E4558" s="2" t="s">
        <v>127</v>
      </c>
      <c r="F4558" s="2" t="s">
        <v>107</v>
      </c>
      <c r="G4558" s="2"/>
      <c r="H4558" s="2"/>
      <c r="I4558" s="2" t="s">
        <v>20</v>
      </c>
      <c r="J4558" s="2" t="s">
        <v>2278</v>
      </c>
    </row>
    <row r="4559" spans="1:10" s="21" customFormat="1" x14ac:dyDescent="0.35">
      <c r="A4559" s="2" t="s">
        <v>2220</v>
      </c>
      <c r="B4559" s="2" t="s">
        <v>2276</v>
      </c>
      <c r="C4559" s="2" t="s">
        <v>62</v>
      </c>
      <c r="D4559" s="2" t="s">
        <v>2288</v>
      </c>
      <c r="E4559" s="2" t="s">
        <v>144</v>
      </c>
      <c r="F4559" s="2" t="s">
        <v>50</v>
      </c>
      <c r="G4559" s="2"/>
      <c r="H4559" s="2"/>
      <c r="I4559" s="2" t="s">
        <v>20</v>
      </c>
      <c r="J4559" s="2" t="s">
        <v>2289</v>
      </c>
    </row>
    <row r="4560" spans="1:10" s="21" customFormat="1" x14ac:dyDescent="0.35">
      <c r="A4560" s="2" t="s">
        <v>2220</v>
      </c>
      <c r="B4560" s="2" t="s">
        <v>2276</v>
      </c>
      <c r="C4560" s="2" t="s">
        <v>62</v>
      </c>
      <c r="D4560" s="2" t="s">
        <v>2288</v>
      </c>
      <c r="E4560" s="2" t="s">
        <v>27</v>
      </c>
      <c r="F4560" s="2" t="s">
        <v>28</v>
      </c>
      <c r="G4560" s="2"/>
      <c r="H4560" s="2"/>
      <c r="I4560" s="2" t="s">
        <v>20</v>
      </c>
      <c r="J4560" s="2" t="s">
        <v>2289</v>
      </c>
    </row>
    <row r="4561" spans="1:10" s="21" customFormat="1" x14ac:dyDescent="0.35">
      <c r="A4561" s="2" t="s">
        <v>2220</v>
      </c>
      <c r="B4561" s="2" t="s">
        <v>2276</v>
      </c>
      <c r="C4561" s="2" t="s">
        <v>62</v>
      </c>
      <c r="D4561" s="2" t="s">
        <v>2288</v>
      </c>
      <c r="E4561" s="2" t="s">
        <v>76</v>
      </c>
      <c r="F4561" s="2" t="s">
        <v>75</v>
      </c>
      <c r="G4561" s="2"/>
      <c r="H4561" s="2"/>
      <c r="I4561" s="2" t="s">
        <v>20</v>
      </c>
      <c r="J4561" s="2" t="s">
        <v>2289</v>
      </c>
    </row>
    <row r="4562" spans="1:10" s="21" customFormat="1" x14ac:dyDescent="0.35">
      <c r="A4562" s="2" t="s">
        <v>2220</v>
      </c>
      <c r="B4562" s="2" t="s">
        <v>2276</v>
      </c>
      <c r="C4562" s="2" t="s">
        <v>62</v>
      </c>
      <c r="D4562" s="2" t="s">
        <v>2288</v>
      </c>
      <c r="E4562" s="2" t="s">
        <v>269</v>
      </c>
      <c r="F4562" s="2" t="s">
        <v>270</v>
      </c>
      <c r="G4562" s="2"/>
      <c r="H4562" s="2"/>
      <c r="I4562" s="2" t="s">
        <v>20</v>
      </c>
      <c r="J4562" s="2" t="s">
        <v>2289</v>
      </c>
    </row>
    <row r="4563" spans="1:10" s="21" customFormat="1" x14ac:dyDescent="0.35">
      <c r="A4563" s="2" t="s">
        <v>2220</v>
      </c>
      <c r="B4563" s="2" t="s">
        <v>2276</v>
      </c>
      <c r="C4563" s="2" t="s">
        <v>62</v>
      </c>
      <c r="D4563" s="2" t="s">
        <v>2288</v>
      </c>
      <c r="E4563" s="2" t="s">
        <v>91</v>
      </c>
      <c r="F4563" s="2" t="s">
        <v>19</v>
      </c>
      <c r="G4563" s="2"/>
      <c r="H4563" s="2"/>
      <c r="I4563" s="2" t="s">
        <v>20</v>
      </c>
      <c r="J4563" s="2" t="s">
        <v>2289</v>
      </c>
    </row>
    <row r="4564" spans="1:10" s="21" customFormat="1" x14ac:dyDescent="0.35">
      <c r="A4564" s="2" t="s">
        <v>2220</v>
      </c>
      <c r="B4564" s="2" t="s">
        <v>2276</v>
      </c>
      <c r="C4564" s="2" t="s">
        <v>62</v>
      </c>
      <c r="D4564" s="2" t="s">
        <v>2288</v>
      </c>
      <c r="E4564" s="2" t="s">
        <v>35</v>
      </c>
      <c r="F4564" s="2" t="s">
        <v>36</v>
      </c>
      <c r="G4564" s="2" t="s">
        <v>20</v>
      </c>
      <c r="H4564" s="2" t="s">
        <v>2290</v>
      </c>
      <c r="I4564" s="2" t="s">
        <v>20</v>
      </c>
      <c r="J4564" s="2" t="s">
        <v>2289</v>
      </c>
    </row>
    <row r="4565" spans="1:10" s="21" customFormat="1" x14ac:dyDescent="0.35">
      <c r="A4565" s="2" t="s">
        <v>2220</v>
      </c>
      <c r="B4565" s="2" t="s">
        <v>2276</v>
      </c>
      <c r="C4565" s="2" t="s">
        <v>62</v>
      </c>
      <c r="D4565" s="2" t="s">
        <v>2288</v>
      </c>
      <c r="E4565" s="2" t="s">
        <v>61</v>
      </c>
      <c r="F4565" s="2" t="s">
        <v>30</v>
      </c>
      <c r="G4565" s="2" t="s">
        <v>20</v>
      </c>
      <c r="H4565" s="2" t="s">
        <v>2235</v>
      </c>
      <c r="I4565" s="2" t="s">
        <v>20</v>
      </c>
      <c r="J4565" s="2" t="s">
        <v>2289</v>
      </c>
    </row>
    <row r="4566" spans="1:10" s="21" customFormat="1" x14ac:dyDescent="0.35">
      <c r="A4566" s="2" t="s">
        <v>2220</v>
      </c>
      <c r="B4566" s="2" t="s">
        <v>2276</v>
      </c>
      <c r="C4566" s="2" t="s">
        <v>62</v>
      </c>
      <c r="D4566" s="2" t="s">
        <v>2288</v>
      </c>
      <c r="E4566" s="2" t="s">
        <v>188</v>
      </c>
      <c r="F4566" s="2" t="s">
        <v>189</v>
      </c>
      <c r="G4566" s="2"/>
      <c r="H4566" s="2"/>
      <c r="I4566" s="2" t="s">
        <v>20</v>
      </c>
      <c r="J4566" s="2" t="s">
        <v>2289</v>
      </c>
    </row>
    <row r="4567" spans="1:10" s="19" customFormat="1" x14ac:dyDescent="0.35">
      <c r="A4567" s="2" t="s">
        <v>2220</v>
      </c>
      <c r="B4567" s="2" t="s">
        <v>2276</v>
      </c>
      <c r="C4567" s="2" t="s">
        <v>62</v>
      </c>
      <c r="D4567" s="2" t="s">
        <v>2291</v>
      </c>
      <c r="E4567" s="2" t="s">
        <v>144</v>
      </c>
      <c r="F4567" s="2" t="s">
        <v>50</v>
      </c>
      <c r="G4567" s="2" t="s">
        <v>46</v>
      </c>
      <c r="H4567" s="2" t="s">
        <v>2292</v>
      </c>
      <c r="I4567" s="2" t="s">
        <v>20</v>
      </c>
      <c r="J4567" s="2" t="s">
        <v>2289</v>
      </c>
    </row>
    <row r="4568" spans="1:10" x14ac:dyDescent="0.35">
      <c r="A4568" s="2" t="s">
        <v>2220</v>
      </c>
      <c r="B4568" s="2" t="s">
        <v>2276</v>
      </c>
      <c r="C4568" s="2" t="s">
        <v>62</v>
      </c>
      <c r="D4568" s="2" t="s">
        <v>2291</v>
      </c>
      <c r="E4568" s="2" t="s">
        <v>27</v>
      </c>
      <c r="F4568" s="2" t="s">
        <v>28</v>
      </c>
      <c r="G4568" s="2" t="s">
        <v>46</v>
      </c>
      <c r="H4568" s="2" t="s">
        <v>2292</v>
      </c>
      <c r="I4568" s="2" t="s">
        <v>20</v>
      </c>
      <c r="J4568" s="2" t="s">
        <v>2289</v>
      </c>
    </row>
    <row r="4569" spans="1:10" x14ac:dyDescent="0.35">
      <c r="A4569" s="2" t="s">
        <v>2220</v>
      </c>
      <c r="B4569" s="2" t="s">
        <v>2276</v>
      </c>
      <c r="C4569" s="2" t="s">
        <v>62</v>
      </c>
      <c r="D4569" s="2" t="s">
        <v>2291</v>
      </c>
      <c r="E4569" s="2" t="s">
        <v>76</v>
      </c>
      <c r="F4569" s="2" t="s">
        <v>75</v>
      </c>
      <c r="G4569" s="2" t="s">
        <v>46</v>
      </c>
      <c r="H4569" s="2" t="s">
        <v>2292</v>
      </c>
      <c r="I4569" s="2" t="s">
        <v>20</v>
      </c>
      <c r="J4569" s="2" t="s">
        <v>2289</v>
      </c>
    </row>
    <row r="4570" spans="1:10" s="19" customFormat="1" x14ac:dyDescent="0.35">
      <c r="A4570" s="2" t="s">
        <v>2220</v>
      </c>
      <c r="B4570" s="2" t="s">
        <v>2276</v>
      </c>
      <c r="C4570" s="2" t="s">
        <v>62</v>
      </c>
      <c r="D4570" s="2" t="s">
        <v>2291</v>
      </c>
      <c r="E4570" s="2" t="s">
        <v>35</v>
      </c>
      <c r="F4570" s="2" t="s">
        <v>36</v>
      </c>
      <c r="G4570" s="2" t="s">
        <v>46</v>
      </c>
      <c r="H4570" s="2" t="s">
        <v>2292</v>
      </c>
      <c r="I4570" s="2" t="s">
        <v>20</v>
      </c>
      <c r="J4570" s="2" t="s">
        <v>2289</v>
      </c>
    </row>
    <row r="4571" spans="1:10" x14ac:dyDescent="0.35">
      <c r="A4571" s="2" t="s">
        <v>2220</v>
      </c>
      <c r="B4571" s="2" t="s">
        <v>2276</v>
      </c>
      <c r="C4571" s="2" t="s">
        <v>62</v>
      </c>
      <c r="D4571" s="2" t="s">
        <v>2291</v>
      </c>
      <c r="E4571" s="2" t="s">
        <v>91</v>
      </c>
      <c r="F4571" s="2" t="s">
        <v>19</v>
      </c>
      <c r="G4571" s="2" t="s">
        <v>46</v>
      </c>
      <c r="H4571" s="2" t="s">
        <v>2292</v>
      </c>
      <c r="I4571" s="2" t="s">
        <v>20</v>
      </c>
      <c r="J4571" s="2" t="s">
        <v>2289</v>
      </c>
    </row>
    <row r="4572" spans="1:10" x14ac:dyDescent="0.35">
      <c r="A4572" s="2" t="s">
        <v>2220</v>
      </c>
      <c r="B4572" s="2" t="s">
        <v>2276</v>
      </c>
      <c r="C4572" s="2" t="s">
        <v>62</v>
      </c>
      <c r="D4572" s="2" t="s">
        <v>2291</v>
      </c>
      <c r="E4572" s="2" t="s">
        <v>2293</v>
      </c>
      <c r="F4572" s="2" t="s">
        <v>270</v>
      </c>
      <c r="G4572" s="2" t="s">
        <v>46</v>
      </c>
      <c r="H4572" s="2" t="s">
        <v>2292</v>
      </c>
      <c r="I4572" s="2" t="s">
        <v>20</v>
      </c>
      <c r="J4572" s="2" t="s">
        <v>2289</v>
      </c>
    </row>
    <row r="4573" spans="1:10" x14ac:dyDescent="0.35">
      <c r="A4573" s="2" t="s">
        <v>2220</v>
      </c>
      <c r="B4573" s="2" t="s">
        <v>2276</v>
      </c>
      <c r="C4573" s="2" t="s">
        <v>62</v>
      </c>
      <c r="D4573" s="2" t="s">
        <v>2291</v>
      </c>
      <c r="E4573" s="2" t="s">
        <v>61</v>
      </c>
      <c r="F4573" s="2" t="s">
        <v>30</v>
      </c>
      <c r="G4573" s="2" t="s">
        <v>46</v>
      </c>
      <c r="H4573" s="2" t="s">
        <v>2292</v>
      </c>
      <c r="I4573" s="2" t="s">
        <v>20</v>
      </c>
      <c r="J4573" s="2" t="s">
        <v>2289</v>
      </c>
    </row>
    <row r="4574" spans="1:10" s="19" customFormat="1" x14ac:dyDescent="0.35">
      <c r="A4574" s="2" t="s">
        <v>2220</v>
      </c>
      <c r="B4574" s="2" t="s">
        <v>2276</v>
      </c>
      <c r="C4574" s="2" t="s">
        <v>62</v>
      </c>
      <c r="D4574" s="2" t="s">
        <v>2291</v>
      </c>
      <c r="E4574" s="2" t="s">
        <v>188</v>
      </c>
      <c r="F4574" s="2" t="s">
        <v>189</v>
      </c>
      <c r="G4574" s="2" t="s">
        <v>46</v>
      </c>
      <c r="H4574" s="2" t="s">
        <v>2292</v>
      </c>
      <c r="I4574" s="2" t="s">
        <v>20</v>
      </c>
      <c r="J4574" s="2" t="s">
        <v>2289</v>
      </c>
    </row>
    <row r="4575" spans="1:10" x14ac:dyDescent="0.35">
      <c r="A4575" s="2" t="s">
        <v>2220</v>
      </c>
      <c r="B4575" s="2" t="s">
        <v>2276</v>
      </c>
      <c r="C4575" s="2" t="s">
        <v>57</v>
      </c>
      <c r="D4575" s="2" t="s">
        <v>2294</v>
      </c>
      <c r="E4575" s="2" t="s">
        <v>27</v>
      </c>
      <c r="F4575" s="2" t="s">
        <v>28</v>
      </c>
      <c r="G4575" s="2" t="s">
        <v>2279</v>
      </c>
      <c r="H4575" s="2" t="s">
        <v>2295</v>
      </c>
      <c r="I4575" s="2" t="s">
        <v>20</v>
      </c>
      <c r="J4575" s="2" t="s">
        <v>2278</v>
      </c>
    </row>
    <row r="4576" spans="1:10" x14ac:dyDescent="0.35">
      <c r="A4576" s="2" t="s">
        <v>2220</v>
      </c>
      <c r="B4576" s="2" t="s">
        <v>2276</v>
      </c>
      <c r="C4576" s="2" t="s">
        <v>57</v>
      </c>
      <c r="D4576" s="2" t="s">
        <v>2294</v>
      </c>
      <c r="E4576" s="2" t="s">
        <v>1522</v>
      </c>
      <c r="F4576" s="2" t="s">
        <v>28</v>
      </c>
      <c r="G4576" s="2" t="s">
        <v>2279</v>
      </c>
      <c r="H4576" s="2" t="s">
        <v>2295</v>
      </c>
      <c r="I4576" s="2" t="s">
        <v>20</v>
      </c>
      <c r="J4576" s="2" t="s">
        <v>2278</v>
      </c>
    </row>
    <row r="4577" spans="1:10" x14ac:dyDescent="0.35">
      <c r="A4577" s="2" t="s">
        <v>2220</v>
      </c>
      <c r="B4577" s="2" t="s">
        <v>2276</v>
      </c>
      <c r="C4577" s="2" t="s">
        <v>57</v>
      </c>
      <c r="D4577" s="2" t="s">
        <v>2294</v>
      </c>
      <c r="E4577" s="2" t="s">
        <v>76</v>
      </c>
      <c r="F4577" s="2" t="s">
        <v>75</v>
      </c>
      <c r="G4577" s="2" t="s">
        <v>2279</v>
      </c>
      <c r="H4577" s="2" t="s">
        <v>2296</v>
      </c>
      <c r="I4577" s="2" t="s">
        <v>20</v>
      </c>
      <c r="J4577" s="2" t="s">
        <v>2278</v>
      </c>
    </row>
    <row r="4578" spans="1:10" x14ac:dyDescent="0.35">
      <c r="A4578" s="2" t="s">
        <v>2220</v>
      </c>
      <c r="B4578" s="2" t="s">
        <v>2276</v>
      </c>
      <c r="C4578" s="2" t="s">
        <v>57</v>
      </c>
      <c r="D4578" s="2" t="s">
        <v>2294</v>
      </c>
      <c r="E4578" s="2" t="s">
        <v>120</v>
      </c>
      <c r="F4578" s="2" t="s">
        <v>32</v>
      </c>
      <c r="G4578" s="2"/>
      <c r="H4578" s="2"/>
      <c r="I4578" s="2" t="s">
        <v>20</v>
      </c>
      <c r="J4578" s="2" t="s">
        <v>2278</v>
      </c>
    </row>
    <row r="4579" spans="1:10" s="19" customFormat="1" x14ac:dyDescent="0.35">
      <c r="A4579" s="2" t="s">
        <v>2220</v>
      </c>
      <c r="B4579" s="2" t="s">
        <v>2276</v>
      </c>
      <c r="C4579" s="2" t="s">
        <v>57</v>
      </c>
      <c r="D4579" s="2" t="s">
        <v>2294</v>
      </c>
      <c r="E4579" s="2" t="s">
        <v>82</v>
      </c>
      <c r="F4579" s="2" t="s">
        <v>83</v>
      </c>
      <c r="G4579" s="2"/>
      <c r="H4579" s="2"/>
      <c r="I4579" s="2" t="s">
        <v>20</v>
      </c>
      <c r="J4579" s="2" t="s">
        <v>2278</v>
      </c>
    </row>
    <row r="4580" spans="1:10" x14ac:dyDescent="0.35">
      <c r="A4580" s="2" t="s">
        <v>2220</v>
      </c>
      <c r="B4580" s="2" t="s">
        <v>2276</v>
      </c>
      <c r="C4580" s="2" t="s">
        <v>57</v>
      </c>
      <c r="D4580" s="2" t="s">
        <v>2294</v>
      </c>
      <c r="E4580" s="2" t="s">
        <v>35</v>
      </c>
      <c r="F4580" s="2" t="s">
        <v>36</v>
      </c>
      <c r="G4580" s="2"/>
      <c r="H4580" s="2"/>
      <c r="I4580" s="2" t="s">
        <v>20</v>
      </c>
      <c r="J4580" s="2" t="s">
        <v>2278</v>
      </c>
    </row>
    <row r="4581" spans="1:10" x14ac:dyDescent="0.35">
      <c r="A4581" s="2" t="s">
        <v>2220</v>
      </c>
      <c r="B4581" s="2" t="s">
        <v>2276</v>
      </c>
      <c r="C4581" s="2" t="s">
        <v>57</v>
      </c>
      <c r="D4581" s="2" t="s">
        <v>2294</v>
      </c>
      <c r="E4581" s="2" t="s">
        <v>269</v>
      </c>
      <c r="F4581" s="2" t="s">
        <v>270</v>
      </c>
      <c r="G4581" s="2"/>
      <c r="H4581" s="2"/>
      <c r="I4581" s="2" t="s">
        <v>20</v>
      </c>
      <c r="J4581" s="2" t="s">
        <v>2289</v>
      </c>
    </row>
    <row r="4582" spans="1:10" x14ac:dyDescent="0.35">
      <c r="A4582" s="2" t="s">
        <v>2220</v>
      </c>
      <c r="B4582" s="2" t="s">
        <v>2276</v>
      </c>
      <c r="C4582" s="2" t="s">
        <v>57</v>
      </c>
      <c r="D4582" s="2" t="s">
        <v>2294</v>
      </c>
      <c r="E4582" s="2" t="s">
        <v>61</v>
      </c>
      <c r="F4582" s="2" t="s">
        <v>30</v>
      </c>
      <c r="G4582" s="2"/>
      <c r="H4582" s="2"/>
      <c r="I4582" s="2" t="s">
        <v>20</v>
      </c>
      <c r="J4582" s="2" t="s">
        <v>2278</v>
      </c>
    </row>
    <row r="4583" spans="1:10" x14ac:dyDescent="0.35">
      <c r="A4583" s="2" t="s">
        <v>2220</v>
      </c>
      <c r="B4583" s="2" t="s">
        <v>2276</v>
      </c>
      <c r="C4583" s="2" t="s">
        <v>57</v>
      </c>
      <c r="D4583" s="2" t="s">
        <v>2294</v>
      </c>
      <c r="E4583" s="2" t="s">
        <v>423</v>
      </c>
      <c r="F4583" s="2" t="s">
        <v>424</v>
      </c>
      <c r="G4583" s="2"/>
      <c r="H4583" s="2"/>
      <c r="I4583" s="2" t="s">
        <v>20</v>
      </c>
      <c r="J4583" s="2" t="s">
        <v>2278</v>
      </c>
    </row>
    <row r="4584" spans="1:10" x14ac:dyDescent="0.35">
      <c r="A4584" s="2" t="s">
        <v>2220</v>
      </c>
      <c r="B4584" s="2" t="s">
        <v>2276</v>
      </c>
      <c r="C4584" s="2" t="s">
        <v>62</v>
      </c>
      <c r="D4584" s="2" t="s">
        <v>2297</v>
      </c>
      <c r="E4584" s="2" t="s">
        <v>74</v>
      </c>
      <c r="F4584" s="2" t="s">
        <v>75</v>
      </c>
      <c r="G4584" s="2"/>
      <c r="H4584" s="2"/>
      <c r="I4584" s="2" t="s">
        <v>20</v>
      </c>
      <c r="J4584" s="2" t="s">
        <v>2278</v>
      </c>
    </row>
    <row r="4585" spans="1:10" s="19" customFormat="1" x14ac:dyDescent="0.35">
      <c r="A4585" s="2" t="s">
        <v>2220</v>
      </c>
      <c r="B4585" s="2" t="s">
        <v>2276</v>
      </c>
      <c r="C4585" s="2" t="s">
        <v>62</v>
      </c>
      <c r="D4585" s="2" t="s">
        <v>2297</v>
      </c>
      <c r="E4585" s="2" t="s">
        <v>144</v>
      </c>
      <c r="F4585" s="2" t="s">
        <v>50</v>
      </c>
      <c r="G4585" s="2"/>
      <c r="H4585" s="2"/>
      <c r="I4585" s="2" t="s">
        <v>20</v>
      </c>
      <c r="J4585" s="2" t="s">
        <v>2278</v>
      </c>
    </row>
    <row r="4586" spans="1:10" x14ac:dyDescent="0.35">
      <c r="A4586" s="2" t="s">
        <v>2220</v>
      </c>
      <c r="B4586" s="2" t="s">
        <v>2276</v>
      </c>
      <c r="C4586" s="2" t="s">
        <v>62</v>
      </c>
      <c r="D4586" s="2" t="s">
        <v>2297</v>
      </c>
      <c r="E4586" s="2" t="s">
        <v>269</v>
      </c>
      <c r="F4586" s="2" t="s">
        <v>270</v>
      </c>
      <c r="G4586" s="2"/>
      <c r="H4586" s="2"/>
      <c r="I4586" s="2" t="s">
        <v>20</v>
      </c>
      <c r="J4586" s="2" t="s">
        <v>2278</v>
      </c>
    </row>
    <row r="4587" spans="1:10" x14ac:dyDescent="0.35">
      <c r="A4587" s="2" t="s">
        <v>2220</v>
      </c>
      <c r="B4587" s="2" t="s">
        <v>2276</v>
      </c>
      <c r="C4587" s="2" t="s">
        <v>62</v>
      </c>
      <c r="D4587" s="2" t="s">
        <v>2297</v>
      </c>
      <c r="E4587" s="2" t="s">
        <v>91</v>
      </c>
      <c r="F4587" s="2" t="s">
        <v>19</v>
      </c>
      <c r="G4587" s="2"/>
      <c r="H4587" s="2"/>
      <c r="I4587" s="2" t="s">
        <v>20</v>
      </c>
      <c r="J4587" s="2" t="s">
        <v>2278</v>
      </c>
    </row>
    <row r="4588" spans="1:10" x14ac:dyDescent="0.35">
      <c r="A4588" s="2" t="s">
        <v>2220</v>
      </c>
      <c r="B4588" s="2" t="s">
        <v>2276</v>
      </c>
      <c r="C4588" s="2" t="s">
        <v>62</v>
      </c>
      <c r="D4588" s="2" t="s">
        <v>2297</v>
      </c>
      <c r="E4588" s="2" t="s">
        <v>61</v>
      </c>
      <c r="F4588" s="2" t="s">
        <v>30</v>
      </c>
      <c r="G4588" s="2"/>
      <c r="H4588" s="2"/>
      <c r="I4588" s="2" t="s">
        <v>20</v>
      </c>
      <c r="J4588" s="2" t="s">
        <v>2278</v>
      </c>
    </row>
    <row r="4589" spans="1:10" s="19" customFormat="1" x14ac:dyDescent="0.35">
      <c r="A4589" s="2" t="s">
        <v>2220</v>
      </c>
      <c r="B4589" s="2" t="s">
        <v>2276</v>
      </c>
      <c r="C4589" s="2" t="s">
        <v>24</v>
      </c>
      <c r="D4589" s="2" t="s">
        <v>2298</v>
      </c>
      <c r="E4589" s="2" t="s">
        <v>485</v>
      </c>
      <c r="F4589" s="2" t="s">
        <v>15</v>
      </c>
      <c r="G4589" s="2"/>
      <c r="H4589" s="2"/>
      <c r="I4589" s="2" t="s">
        <v>20</v>
      </c>
      <c r="J4589" s="2" t="s">
        <v>2278</v>
      </c>
    </row>
    <row r="4590" spans="1:10" s="19" customFormat="1" x14ac:dyDescent="0.35">
      <c r="A4590" s="2" t="s">
        <v>2220</v>
      </c>
      <c r="B4590" s="2" t="s">
        <v>2276</v>
      </c>
      <c r="C4590" s="2" t="s">
        <v>24</v>
      </c>
      <c r="D4590" s="2" t="s">
        <v>2298</v>
      </c>
      <c r="E4590" s="2" t="s">
        <v>144</v>
      </c>
      <c r="F4590" s="2" t="s">
        <v>50</v>
      </c>
      <c r="G4590" s="2"/>
      <c r="H4590" s="2"/>
      <c r="I4590" s="2" t="s">
        <v>20</v>
      </c>
      <c r="J4590" s="2" t="s">
        <v>2278</v>
      </c>
    </row>
    <row r="4591" spans="1:10" x14ac:dyDescent="0.35">
      <c r="A4591" s="2" t="s">
        <v>2220</v>
      </c>
      <c r="B4591" s="2" t="s">
        <v>2276</v>
      </c>
      <c r="C4591" s="2" t="s">
        <v>24</v>
      </c>
      <c r="D4591" s="2" t="s">
        <v>2298</v>
      </c>
      <c r="E4591" s="2" t="s">
        <v>1522</v>
      </c>
      <c r="F4591" s="2" t="s">
        <v>28</v>
      </c>
      <c r="G4591" s="2"/>
      <c r="H4591" s="2"/>
      <c r="I4591" s="2" t="s">
        <v>20</v>
      </c>
      <c r="J4591" s="2" t="s">
        <v>2278</v>
      </c>
    </row>
    <row r="4592" spans="1:10" x14ac:dyDescent="0.35">
      <c r="A4592" s="2" t="s">
        <v>2220</v>
      </c>
      <c r="B4592" s="2" t="s">
        <v>2276</v>
      </c>
      <c r="C4592" s="2" t="s">
        <v>24</v>
      </c>
      <c r="D4592" s="2" t="s">
        <v>2298</v>
      </c>
      <c r="E4592" s="2" t="s">
        <v>76</v>
      </c>
      <c r="F4592" s="2" t="s">
        <v>75</v>
      </c>
      <c r="G4592" s="2" t="s">
        <v>2279</v>
      </c>
      <c r="H4592" s="2" t="s">
        <v>2299</v>
      </c>
      <c r="I4592" s="2" t="s">
        <v>20</v>
      </c>
      <c r="J4592" s="2" t="s">
        <v>2278</v>
      </c>
    </row>
    <row r="4593" spans="1:10" x14ac:dyDescent="0.35">
      <c r="A4593" s="2" t="s">
        <v>2220</v>
      </c>
      <c r="B4593" s="2" t="s">
        <v>2276</v>
      </c>
      <c r="C4593" s="2" t="s">
        <v>24</v>
      </c>
      <c r="D4593" s="2" t="s">
        <v>2298</v>
      </c>
      <c r="E4593" s="2" t="s">
        <v>120</v>
      </c>
      <c r="F4593" s="2" t="s">
        <v>32</v>
      </c>
      <c r="G4593" s="2"/>
      <c r="H4593" s="2"/>
      <c r="I4593" s="2" t="s">
        <v>20</v>
      </c>
      <c r="J4593" s="2" t="s">
        <v>2278</v>
      </c>
    </row>
    <row r="4594" spans="1:10" x14ac:dyDescent="0.35">
      <c r="A4594" s="2" t="s">
        <v>2220</v>
      </c>
      <c r="B4594" s="2" t="s">
        <v>2276</v>
      </c>
      <c r="C4594" s="2" t="s">
        <v>24</v>
      </c>
      <c r="D4594" s="2" t="s">
        <v>2298</v>
      </c>
      <c r="E4594" s="2" t="s">
        <v>82</v>
      </c>
      <c r="F4594" s="2" t="s">
        <v>83</v>
      </c>
      <c r="G4594" s="2"/>
      <c r="H4594" s="2"/>
      <c r="I4594" s="2" t="s">
        <v>20</v>
      </c>
      <c r="J4594" s="2" t="s">
        <v>2278</v>
      </c>
    </row>
    <row r="4595" spans="1:10" x14ac:dyDescent="0.35">
      <c r="A4595" s="2" t="s">
        <v>2220</v>
      </c>
      <c r="B4595" s="2" t="s">
        <v>2276</v>
      </c>
      <c r="C4595" s="2" t="s">
        <v>24</v>
      </c>
      <c r="D4595" s="2" t="s">
        <v>2298</v>
      </c>
      <c r="E4595" s="2" t="s">
        <v>2300</v>
      </c>
      <c r="F4595" s="2" t="s">
        <v>38</v>
      </c>
      <c r="G4595" s="2"/>
      <c r="H4595" s="2"/>
      <c r="I4595" s="2" t="s">
        <v>20</v>
      </c>
      <c r="J4595" s="2" t="s">
        <v>2278</v>
      </c>
    </row>
    <row r="4596" spans="1:10" x14ac:dyDescent="0.35">
      <c r="A4596" s="2" t="s">
        <v>2220</v>
      </c>
      <c r="B4596" s="2" t="s">
        <v>2276</v>
      </c>
      <c r="C4596" s="2" t="s">
        <v>24</v>
      </c>
      <c r="D4596" s="2" t="s">
        <v>2298</v>
      </c>
      <c r="E4596" s="2" t="s">
        <v>38</v>
      </c>
      <c r="F4596" s="2" t="s">
        <v>38</v>
      </c>
      <c r="G4596" s="2"/>
      <c r="H4596" s="2"/>
      <c r="I4596" s="2" t="s">
        <v>20</v>
      </c>
      <c r="J4596" s="2" t="s">
        <v>2278</v>
      </c>
    </row>
    <row r="4597" spans="1:10" x14ac:dyDescent="0.35">
      <c r="A4597" s="2" t="s">
        <v>2220</v>
      </c>
      <c r="B4597" s="2" t="s">
        <v>2276</v>
      </c>
      <c r="C4597" s="2" t="s">
        <v>24</v>
      </c>
      <c r="D4597" s="2" t="s">
        <v>2298</v>
      </c>
      <c r="E4597" s="2" t="s">
        <v>291</v>
      </c>
      <c r="F4597" s="2" t="s">
        <v>139</v>
      </c>
      <c r="G4597" s="2"/>
      <c r="H4597" s="2"/>
      <c r="I4597" s="2" t="s">
        <v>20</v>
      </c>
      <c r="J4597" s="2" t="s">
        <v>2278</v>
      </c>
    </row>
    <row r="4598" spans="1:10" x14ac:dyDescent="0.35">
      <c r="A4598" s="2" t="s">
        <v>2220</v>
      </c>
      <c r="B4598" s="2" t="s">
        <v>2276</v>
      </c>
      <c r="C4598" s="2" t="s">
        <v>24</v>
      </c>
      <c r="D4598" s="2" t="s">
        <v>2298</v>
      </c>
      <c r="E4598" s="2" t="s">
        <v>87</v>
      </c>
      <c r="F4598" s="2" t="s">
        <v>75</v>
      </c>
      <c r="G4598" s="2" t="s">
        <v>2279</v>
      </c>
      <c r="H4598" s="2" t="s">
        <v>2301</v>
      </c>
      <c r="I4598" s="2" t="s">
        <v>20</v>
      </c>
      <c r="J4598" s="2" t="s">
        <v>2278</v>
      </c>
    </row>
    <row r="4599" spans="1:10" x14ac:dyDescent="0.35">
      <c r="A4599" s="2" t="s">
        <v>2220</v>
      </c>
      <c r="B4599" s="2" t="s">
        <v>2276</v>
      </c>
      <c r="C4599" s="2" t="s">
        <v>24</v>
      </c>
      <c r="D4599" s="2" t="s">
        <v>2298</v>
      </c>
      <c r="E4599" s="2" t="s">
        <v>423</v>
      </c>
      <c r="F4599" s="2" t="s">
        <v>424</v>
      </c>
      <c r="G4599" s="2"/>
      <c r="H4599" s="2"/>
      <c r="I4599" s="2" t="s">
        <v>20</v>
      </c>
      <c r="J4599" s="2" t="s">
        <v>2278</v>
      </c>
    </row>
    <row r="4600" spans="1:10" x14ac:dyDescent="0.35">
      <c r="A4600" s="2" t="s">
        <v>2220</v>
      </c>
      <c r="B4600" s="2" t="s">
        <v>2276</v>
      </c>
      <c r="C4600" s="2" t="s">
        <v>24</v>
      </c>
      <c r="D4600" s="2" t="s">
        <v>2298</v>
      </c>
      <c r="E4600" s="2" t="s">
        <v>61</v>
      </c>
      <c r="F4600" s="2" t="s">
        <v>30</v>
      </c>
      <c r="G4600" s="2"/>
      <c r="H4600" s="2"/>
      <c r="I4600" s="2" t="s">
        <v>20</v>
      </c>
      <c r="J4600" s="2" t="s">
        <v>2278</v>
      </c>
    </row>
    <row r="4601" spans="1:10" x14ac:dyDescent="0.35">
      <c r="A4601" s="2" t="s">
        <v>2220</v>
      </c>
      <c r="B4601" s="2" t="s">
        <v>2276</v>
      </c>
      <c r="C4601" s="2" t="s">
        <v>54</v>
      </c>
      <c r="D4601" s="2" t="s">
        <v>2302</v>
      </c>
      <c r="E4601" s="2" t="s">
        <v>35</v>
      </c>
      <c r="F4601" s="2" t="s">
        <v>36</v>
      </c>
      <c r="G4601" s="2" t="s">
        <v>2279</v>
      </c>
      <c r="H4601" s="2" t="s">
        <v>2303</v>
      </c>
      <c r="I4601" s="2" t="s">
        <v>20</v>
      </c>
      <c r="J4601" s="2" t="s">
        <v>2278</v>
      </c>
    </row>
    <row r="4602" spans="1:10" x14ac:dyDescent="0.35">
      <c r="A4602" s="2" t="s">
        <v>2220</v>
      </c>
      <c r="B4602" s="2" t="s">
        <v>2276</v>
      </c>
      <c r="C4602" s="2" t="s">
        <v>54</v>
      </c>
      <c r="D4602" s="2" t="s">
        <v>2302</v>
      </c>
      <c r="E4602" s="2" t="s">
        <v>91</v>
      </c>
      <c r="F4602" s="2" t="s">
        <v>19</v>
      </c>
      <c r="G4602" s="2" t="s">
        <v>2279</v>
      </c>
      <c r="H4602" s="2" t="s">
        <v>2303</v>
      </c>
      <c r="I4602" s="2" t="s">
        <v>20</v>
      </c>
      <c r="J4602" s="2" t="s">
        <v>2278</v>
      </c>
    </row>
    <row r="4603" spans="1:10" x14ac:dyDescent="0.35">
      <c r="A4603" s="2" t="s">
        <v>2220</v>
      </c>
      <c r="B4603" s="2" t="s">
        <v>2276</v>
      </c>
      <c r="C4603" s="2" t="s">
        <v>54</v>
      </c>
      <c r="D4603" s="2" t="s">
        <v>2302</v>
      </c>
      <c r="E4603" s="2" t="s">
        <v>87</v>
      </c>
      <c r="F4603" s="2" t="s">
        <v>75</v>
      </c>
      <c r="G4603" s="2" t="s">
        <v>2279</v>
      </c>
      <c r="H4603" s="2" t="s">
        <v>2303</v>
      </c>
      <c r="I4603" s="2" t="s">
        <v>20</v>
      </c>
      <c r="J4603" s="2" t="s">
        <v>2278</v>
      </c>
    </row>
    <row r="4604" spans="1:10" x14ac:dyDescent="0.35">
      <c r="A4604" s="2" t="s">
        <v>2220</v>
      </c>
      <c r="B4604" s="2" t="s">
        <v>2276</v>
      </c>
      <c r="C4604" s="2" t="s">
        <v>54</v>
      </c>
      <c r="D4604" s="2" t="s">
        <v>2302</v>
      </c>
      <c r="E4604" s="2" t="s">
        <v>423</v>
      </c>
      <c r="F4604" s="2" t="s">
        <v>424</v>
      </c>
      <c r="G4604" s="2" t="s">
        <v>2279</v>
      </c>
      <c r="H4604" s="2" t="s">
        <v>2303</v>
      </c>
      <c r="I4604" s="2" t="s">
        <v>20</v>
      </c>
      <c r="J4604" s="2" t="s">
        <v>2278</v>
      </c>
    </row>
    <row r="4605" spans="1:10" x14ac:dyDescent="0.35">
      <c r="A4605" s="2" t="s">
        <v>2220</v>
      </c>
      <c r="B4605" s="2" t="s">
        <v>2276</v>
      </c>
      <c r="C4605" s="2" t="s">
        <v>12</v>
      </c>
      <c r="D4605" s="2" t="s">
        <v>2304</v>
      </c>
      <c r="E4605" s="2" t="s">
        <v>144</v>
      </c>
      <c r="F4605" s="2" t="s">
        <v>50</v>
      </c>
      <c r="G4605" s="2"/>
      <c r="H4605" s="2"/>
      <c r="I4605" s="2" t="s">
        <v>20</v>
      </c>
      <c r="J4605" s="2" t="s">
        <v>2278</v>
      </c>
    </row>
    <row r="4606" spans="1:10" x14ac:dyDescent="0.35">
      <c r="A4606" s="2" t="s">
        <v>2220</v>
      </c>
      <c r="B4606" s="2" t="s">
        <v>2276</v>
      </c>
      <c r="C4606" s="2" t="s">
        <v>12</v>
      </c>
      <c r="D4606" s="2" t="s">
        <v>2304</v>
      </c>
      <c r="E4606" s="2" t="s">
        <v>168</v>
      </c>
      <c r="F4606" s="2" t="s">
        <v>45</v>
      </c>
      <c r="G4606" s="2" t="s">
        <v>20</v>
      </c>
      <c r="H4606" s="2" t="s">
        <v>2305</v>
      </c>
      <c r="I4606" s="2" t="s">
        <v>20</v>
      </c>
      <c r="J4606" s="2" t="s">
        <v>2278</v>
      </c>
    </row>
    <row r="4607" spans="1:10" s="19" customFormat="1" x14ac:dyDescent="0.35">
      <c r="A4607" s="2" t="s">
        <v>2220</v>
      </c>
      <c r="B4607" s="2" t="s">
        <v>2276</v>
      </c>
      <c r="C4607" s="2" t="s">
        <v>54</v>
      </c>
      <c r="D4607" s="2" t="s">
        <v>2306</v>
      </c>
      <c r="E4607" s="2" t="s">
        <v>136</v>
      </c>
      <c r="F4607" s="2" t="s">
        <v>107</v>
      </c>
      <c r="G4607" s="2" t="s">
        <v>20</v>
      </c>
      <c r="H4607" s="2" t="s">
        <v>2307</v>
      </c>
      <c r="I4607" s="2" t="s">
        <v>20</v>
      </c>
      <c r="J4607" s="2" t="s">
        <v>2278</v>
      </c>
    </row>
    <row r="4608" spans="1:10" s="19" customFormat="1" x14ac:dyDescent="0.35">
      <c r="A4608" s="2" t="s">
        <v>2220</v>
      </c>
      <c r="B4608" s="2" t="s">
        <v>2276</v>
      </c>
      <c r="C4608" s="2" t="s">
        <v>54</v>
      </c>
      <c r="D4608" s="2" t="s">
        <v>2306</v>
      </c>
      <c r="E4608" s="2" t="s">
        <v>167</v>
      </c>
      <c r="F4608" s="2" t="s">
        <v>40</v>
      </c>
      <c r="G4608" s="2" t="s">
        <v>20</v>
      </c>
      <c r="H4608" s="2" t="s">
        <v>2307</v>
      </c>
      <c r="I4608" s="2" t="s">
        <v>20</v>
      </c>
      <c r="J4608" s="2" t="s">
        <v>2278</v>
      </c>
    </row>
    <row r="4609" spans="1:10" s="19" customFormat="1" x14ac:dyDescent="0.35">
      <c r="A4609" s="2" t="s">
        <v>2220</v>
      </c>
      <c r="B4609" s="2" t="s">
        <v>2276</v>
      </c>
      <c r="C4609" s="2" t="s">
        <v>54</v>
      </c>
      <c r="D4609" s="2" t="s">
        <v>2306</v>
      </c>
      <c r="E4609" s="2" t="s">
        <v>35</v>
      </c>
      <c r="F4609" s="2" t="s">
        <v>36</v>
      </c>
      <c r="G4609" s="2" t="s">
        <v>20</v>
      </c>
      <c r="H4609" s="2" t="s">
        <v>2307</v>
      </c>
      <c r="I4609" s="2" t="s">
        <v>20</v>
      </c>
      <c r="J4609" s="2" t="s">
        <v>2278</v>
      </c>
    </row>
    <row r="4610" spans="1:10" x14ac:dyDescent="0.35">
      <c r="A4610" s="2" t="s">
        <v>2220</v>
      </c>
      <c r="B4610" s="2" t="s">
        <v>2276</v>
      </c>
      <c r="C4610" s="2" t="s">
        <v>24</v>
      </c>
      <c r="D4610" s="2" t="s">
        <v>2308</v>
      </c>
      <c r="E4610" s="2" t="s">
        <v>27</v>
      </c>
      <c r="F4610" s="2" t="s">
        <v>28</v>
      </c>
      <c r="G4610" s="2"/>
      <c r="H4610" s="2"/>
      <c r="I4610" s="2" t="s">
        <v>20</v>
      </c>
      <c r="J4610" s="2" t="s">
        <v>2278</v>
      </c>
    </row>
    <row r="4611" spans="1:10" x14ac:dyDescent="0.35">
      <c r="A4611" s="2" t="s">
        <v>2220</v>
      </c>
      <c r="B4611" s="2" t="s">
        <v>2276</v>
      </c>
      <c r="C4611" s="2" t="s">
        <v>24</v>
      </c>
      <c r="D4611" s="2" t="s">
        <v>2308</v>
      </c>
      <c r="E4611" s="2" t="s">
        <v>120</v>
      </c>
      <c r="F4611" s="2" t="s">
        <v>32</v>
      </c>
      <c r="G4611" s="2"/>
      <c r="H4611" s="2"/>
      <c r="I4611" s="2" t="s">
        <v>20</v>
      </c>
      <c r="J4611" s="2" t="s">
        <v>2278</v>
      </c>
    </row>
    <row r="4612" spans="1:10" s="19" customFormat="1" x14ac:dyDescent="0.35">
      <c r="A4612" s="2" t="s">
        <v>2220</v>
      </c>
      <c r="B4612" s="2" t="s">
        <v>2276</v>
      </c>
      <c r="C4612" s="2" t="s">
        <v>24</v>
      </c>
      <c r="D4612" s="2" t="s">
        <v>2308</v>
      </c>
      <c r="E4612" s="2" t="s">
        <v>82</v>
      </c>
      <c r="F4612" s="2" t="s">
        <v>83</v>
      </c>
      <c r="G4612" s="2"/>
      <c r="H4612" s="2"/>
      <c r="I4612" s="2" t="s">
        <v>20</v>
      </c>
      <c r="J4612" s="2" t="s">
        <v>2278</v>
      </c>
    </row>
    <row r="4613" spans="1:10" x14ac:dyDescent="0.35">
      <c r="A4613" s="2" t="s">
        <v>2220</v>
      </c>
      <c r="B4613" s="2" t="s">
        <v>2276</v>
      </c>
      <c r="C4613" s="2" t="s">
        <v>24</v>
      </c>
      <c r="D4613" s="2" t="s">
        <v>2308</v>
      </c>
      <c r="E4613" s="2" t="s">
        <v>291</v>
      </c>
      <c r="F4613" s="2" t="s">
        <v>139</v>
      </c>
      <c r="G4613" s="2"/>
      <c r="H4613" s="2"/>
      <c r="I4613" s="2" t="s">
        <v>20</v>
      </c>
      <c r="J4613" s="2" t="s">
        <v>2278</v>
      </c>
    </row>
    <row r="4614" spans="1:10" x14ac:dyDescent="0.35">
      <c r="A4614" s="2" t="s">
        <v>2220</v>
      </c>
      <c r="B4614" s="2" t="s">
        <v>2276</v>
      </c>
      <c r="C4614" s="2" t="s">
        <v>24</v>
      </c>
      <c r="D4614" s="2" t="s">
        <v>2308</v>
      </c>
      <c r="E4614" s="2" t="s">
        <v>126</v>
      </c>
      <c r="F4614" s="2" t="s">
        <v>36</v>
      </c>
      <c r="G4614" s="2"/>
      <c r="H4614" s="2"/>
      <c r="I4614" s="2" t="s">
        <v>20</v>
      </c>
      <c r="J4614" s="2" t="s">
        <v>2278</v>
      </c>
    </row>
    <row r="4615" spans="1:10" x14ac:dyDescent="0.35">
      <c r="A4615" s="2" t="s">
        <v>2220</v>
      </c>
      <c r="B4615" s="2" t="s">
        <v>2276</v>
      </c>
      <c r="C4615" s="2" t="s">
        <v>24</v>
      </c>
      <c r="D4615" s="2" t="s">
        <v>2308</v>
      </c>
      <c r="E4615" s="2" t="s">
        <v>423</v>
      </c>
      <c r="F4615" s="2" t="s">
        <v>424</v>
      </c>
      <c r="G4615" s="2"/>
      <c r="H4615" s="2"/>
      <c r="I4615" s="2" t="s">
        <v>20</v>
      </c>
      <c r="J4615" s="2" t="s">
        <v>2278</v>
      </c>
    </row>
    <row r="4616" spans="1:10" x14ac:dyDescent="0.35">
      <c r="A4616" s="2" t="s">
        <v>2220</v>
      </c>
      <c r="B4616" s="2" t="s">
        <v>2276</v>
      </c>
      <c r="C4616" s="2" t="s">
        <v>24</v>
      </c>
      <c r="D4616" s="2" t="s">
        <v>2309</v>
      </c>
      <c r="E4616" s="2" t="s">
        <v>27</v>
      </c>
      <c r="F4616" s="2" t="s">
        <v>28</v>
      </c>
      <c r="G4616" s="2"/>
      <c r="H4616" s="2"/>
      <c r="I4616" s="2" t="s">
        <v>20</v>
      </c>
      <c r="J4616" s="2" t="s">
        <v>2278</v>
      </c>
    </row>
    <row r="4617" spans="1:10" s="21" customFormat="1" x14ac:dyDescent="0.35">
      <c r="A4617" s="2" t="s">
        <v>2220</v>
      </c>
      <c r="B4617" s="2" t="s">
        <v>2276</v>
      </c>
      <c r="C4617" s="2" t="s">
        <v>24</v>
      </c>
      <c r="D4617" s="2" t="s">
        <v>2309</v>
      </c>
      <c r="E4617" s="2" t="s">
        <v>120</v>
      </c>
      <c r="F4617" s="2" t="s">
        <v>32</v>
      </c>
      <c r="G4617" s="2"/>
      <c r="H4617" s="2"/>
      <c r="I4617" s="2" t="s">
        <v>20</v>
      </c>
      <c r="J4617" s="2" t="s">
        <v>2278</v>
      </c>
    </row>
    <row r="4618" spans="1:10" x14ac:dyDescent="0.35">
      <c r="A4618" s="2" t="s">
        <v>2220</v>
      </c>
      <c r="B4618" s="2" t="s">
        <v>2276</v>
      </c>
      <c r="C4618" s="2" t="s">
        <v>24</v>
      </c>
      <c r="D4618" s="2" t="s">
        <v>2309</v>
      </c>
      <c r="E4618" s="2" t="s">
        <v>291</v>
      </c>
      <c r="F4618" s="2" t="s">
        <v>139</v>
      </c>
      <c r="G4618" s="2"/>
      <c r="H4618" s="2"/>
      <c r="I4618" s="2" t="s">
        <v>20</v>
      </c>
      <c r="J4618" s="2" t="s">
        <v>2278</v>
      </c>
    </row>
    <row r="4619" spans="1:10" s="21" customFormat="1" x14ac:dyDescent="0.35">
      <c r="A4619" s="2" t="s">
        <v>2220</v>
      </c>
      <c r="B4619" s="2" t="s">
        <v>2276</v>
      </c>
      <c r="C4619" s="2" t="s">
        <v>24</v>
      </c>
      <c r="D4619" s="2" t="s">
        <v>2309</v>
      </c>
      <c r="E4619" s="2" t="s">
        <v>91</v>
      </c>
      <c r="F4619" s="2" t="s">
        <v>1679</v>
      </c>
      <c r="G4619" s="2"/>
      <c r="H4619" s="2"/>
      <c r="I4619" s="2" t="s">
        <v>20</v>
      </c>
      <c r="J4619" s="2" t="s">
        <v>2278</v>
      </c>
    </row>
    <row r="4620" spans="1:10" x14ac:dyDescent="0.35">
      <c r="A4620" s="2" t="s">
        <v>2220</v>
      </c>
      <c r="B4620" s="2" t="s">
        <v>2276</v>
      </c>
      <c r="C4620" s="2" t="s">
        <v>24</v>
      </c>
      <c r="D4620" s="2" t="s">
        <v>2309</v>
      </c>
      <c r="E4620" s="2" t="s">
        <v>87</v>
      </c>
      <c r="F4620" s="2" t="s">
        <v>75</v>
      </c>
      <c r="G4620" s="2" t="s">
        <v>2279</v>
      </c>
      <c r="H4620" s="2" t="s">
        <v>2310</v>
      </c>
      <c r="I4620" s="2" t="s">
        <v>20</v>
      </c>
      <c r="J4620" s="2" t="s">
        <v>2278</v>
      </c>
    </row>
    <row r="4621" spans="1:10" x14ac:dyDescent="0.35">
      <c r="A4621" s="2" t="s">
        <v>2220</v>
      </c>
      <c r="B4621" s="2" t="s">
        <v>2276</v>
      </c>
      <c r="C4621" s="2" t="s">
        <v>24</v>
      </c>
      <c r="D4621" s="2" t="s">
        <v>2309</v>
      </c>
      <c r="E4621" s="2" t="s">
        <v>126</v>
      </c>
      <c r="F4621" s="2" t="s">
        <v>36</v>
      </c>
      <c r="G4621" s="2" t="s">
        <v>2279</v>
      </c>
      <c r="H4621" s="2" t="s">
        <v>2311</v>
      </c>
      <c r="I4621" s="2" t="s">
        <v>20</v>
      </c>
      <c r="J4621" s="2" t="s">
        <v>2278</v>
      </c>
    </row>
    <row r="4622" spans="1:10" s="21" customFormat="1" x14ac:dyDescent="0.35">
      <c r="A4622" s="2" t="s">
        <v>2220</v>
      </c>
      <c r="B4622" s="2" t="s">
        <v>2312</v>
      </c>
      <c r="C4622" s="2" t="s">
        <v>24</v>
      </c>
      <c r="D4622" s="2" t="s">
        <v>2313</v>
      </c>
      <c r="E4622" s="2" t="s">
        <v>130</v>
      </c>
      <c r="F4622" s="2" t="s">
        <v>36</v>
      </c>
      <c r="G4622" s="2"/>
      <c r="H4622" s="2"/>
      <c r="I4622" s="2"/>
      <c r="J4622" s="2"/>
    </row>
    <row r="4623" spans="1:10" s="21" customFormat="1" x14ac:dyDescent="0.35">
      <c r="A4623" s="2" t="s">
        <v>2220</v>
      </c>
      <c r="B4623" s="2" t="s">
        <v>2312</v>
      </c>
      <c r="C4623" s="2" t="s">
        <v>24</v>
      </c>
      <c r="D4623" s="2" t="s">
        <v>2313</v>
      </c>
      <c r="E4623" s="2" t="s">
        <v>14</v>
      </c>
      <c r="F4623" s="2" t="s">
        <v>15</v>
      </c>
      <c r="G4623" s="2"/>
      <c r="H4623" s="2"/>
      <c r="I4623" s="2"/>
      <c r="J4623" s="2"/>
    </row>
    <row r="4624" spans="1:10" s="21" customFormat="1" x14ac:dyDescent="0.35">
      <c r="A4624" s="2" t="s">
        <v>2220</v>
      </c>
      <c r="B4624" s="2" t="s">
        <v>2312</v>
      </c>
      <c r="C4624" s="2" t="s">
        <v>24</v>
      </c>
      <c r="D4624" s="2" t="s">
        <v>2313</v>
      </c>
      <c r="E4624" s="2" t="s">
        <v>38</v>
      </c>
      <c r="F4624" s="2" t="s">
        <v>38</v>
      </c>
      <c r="G4624" s="2"/>
      <c r="H4624" s="2"/>
      <c r="I4624" s="2"/>
      <c r="J4624" s="2"/>
    </row>
    <row r="4625" spans="1:10" s="21" customFormat="1" x14ac:dyDescent="0.35">
      <c r="A4625" s="2" t="s">
        <v>2220</v>
      </c>
      <c r="B4625" s="2" t="s">
        <v>2312</v>
      </c>
      <c r="C4625" s="2" t="s">
        <v>24</v>
      </c>
      <c r="D4625" s="2" t="s">
        <v>2313</v>
      </c>
      <c r="E4625" s="2" t="s">
        <v>87</v>
      </c>
      <c r="F4625" s="2" t="s">
        <v>75</v>
      </c>
      <c r="G4625" s="2"/>
      <c r="H4625" s="2"/>
      <c r="I4625" s="2"/>
      <c r="J4625" s="2"/>
    </row>
    <row r="4626" spans="1:10" s="21" customFormat="1" x14ac:dyDescent="0.35">
      <c r="A4626" s="2" t="s">
        <v>2220</v>
      </c>
      <c r="B4626" s="2" t="s">
        <v>2312</v>
      </c>
      <c r="C4626" s="2" t="s">
        <v>24</v>
      </c>
      <c r="D4626" s="2" t="s">
        <v>2313</v>
      </c>
      <c r="E4626" s="2" t="s">
        <v>61</v>
      </c>
      <c r="F4626" s="2" t="s">
        <v>30</v>
      </c>
      <c r="G4626" s="2"/>
      <c r="H4626" s="2"/>
      <c r="I4626" s="2"/>
      <c r="J4626" s="2"/>
    </row>
    <row r="4627" spans="1:10" s="21" customFormat="1" x14ac:dyDescent="0.35">
      <c r="A4627" s="2" t="s">
        <v>2220</v>
      </c>
      <c r="B4627" s="2" t="s">
        <v>2312</v>
      </c>
      <c r="C4627" s="2" t="s">
        <v>24</v>
      </c>
      <c r="D4627" s="2" t="s">
        <v>2313</v>
      </c>
      <c r="E4627" s="2" t="s">
        <v>42</v>
      </c>
      <c r="F4627" s="2" t="s">
        <v>43</v>
      </c>
      <c r="G4627" s="2"/>
      <c r="H4627" s="2"/>
      <c r="I4627" s="2"/>
      <c r="J4627" s="2"/>
    </row>
    <row r="4628" spans="1:10" s="21" customFormat="1" x14ac:dyDescent="0.35">
      <c r="A4628" s="2" t="s">
        <v>2220</v>
      </c>
      <c r="B4628" s="2" t="s">
        <v>2314</v>
      </c>
      <c r="C4628" s="2" t="s">
        <v>24</v>
      </c>
      <c r="D4628" s="2" t="s">
        <v>2315</v>
      </c>
      <c r="E4628" s="2" t="s">
        <v>27</v>
      </c>
      <c r="F4628" s="2" t="s">
        <v>28</v>
      </c>
      <c r="G4628" s="2"/>
      <c r="H4628" s="2"/>
      <c r="I4628" s="2"/>
      <c r="J4628" s="2"/>
    </row>
    <row r="4629" spans="1:10" x14ac:dyDescent="0.35">
      <c r="A4629" s="2" t="s">
        <v>2220</v>
      </c>
      <c r="B4629" s="2" t="s">
        <v>2314</v>
      </c>
      <c r="C4629" s="2" t="s">
        <v>24</v>
      </c>
      <c r="D4629" s="2" t="s">
        <v>2315</v>
      </c>
      <c r="E4629" s="2" t="s">
        <v>120</v>
      </c>
      <c r="F4629" s="2" t="s">
        <v>32</v>
      </c>
      <c r="G4629" s="2"/>
      <c r="H4629" s="2"/>
      <c r="I4629" s="2"/>
      <c r="J4629" s="2"/>
    </row>
    <row r="4630" spans="1:10" x14ac:dyDescent="0.35">
      <c r="A4630" s="2" t="s">
        <v>2220</v>
      </c>
      <c r="B4630" s="2" t="s">
        <v>2314</v>
      </c>
      <c r="C4630" s="2" t="s">
        <v>24</v>
      </c>
      <c r="D4630" s="2" t="s">
        <v>2315</v>
      </c>
      <c r="E4630" s="2" t="s">
        <v>1552</v>
      </c>
      <c r="F4630" s="2" t="s">
        <v>122</v>
      </c>
      <c r="G4630" s="2" t="s">
        <v>46</v>
      </c>
      <c r="H4630" s="2" t="s">
        <v>47</v>
      </c>
      <c r="I4630" s="2"/>
      <c r="J4630" s="2"/>
    </row>
    <row r="4631" spans="1:10" x14ac:dyDescent="0.35">
      <c r="A4631" s="2" t="s">
        <v>2220</v>
      </c>
      <c r="B4631" s="2" t="s">
        <v>2314</v>
      </c>
      <c r="C4631" s="2" t="s">
        <v>24</v>
      </c>
      <c r="D4631" s="2" t="s">
        <v>2315</v>
      </c>
      <c r="E4631" s="2" t="s">
        <v>38</v>
      </c>
      <c r="F4631" s="2" t="s">
        <v>38</v>
      </c>
      <c r="G4631" s="2" t="s">
        <v>20</v>
      </c>
      <c r="H4631" s="2" t="s">
        <v>2316</v>
      </c>
      <c r="I4631" s="2"/>
      <c r="J4631" s="2"/>
    </row>
    <row r="4632" spans="1:10" x14ac:dyDescent="0.35">
      <c r="A4632" s="2" t="s">
        <v>2220</v>
      </c>
      <c r="B4632" s="2" t="s">
        <v>2314</v>
      </c>
      <c r="C4632" s="2" t="s">
        <v>24</v>
      </c>
      <c r="D4632" s="2" t="s">
        <v>2315</v>
      </c>
      <c r="E4632" s="2" t="s">
        <v>35</v>
      </c>
      <c r="F4632" s="2" t="s">
        <v>36</v>
      </c>
      <c r="G4632" s="2"/>
      <c r="H4632" s="2"/>
      <c r="I4632" s="2"/>
      <c r="J4632" s="2"/>
    </row>
    <row r="4633" spans="1:10" x14ac:dyDescent="0.35">
      <c r="A4633" s="2" t="s">
        <v>2220</v>
      </c>
      <c r="B4633" s="2" t="s">
        <v>2314</v>
      </c>
      <c r="C4633" s="2" t="s">
        <v>24</v>
      </c>
      <c r="D4633" s="2" t="s">
        <v>2315</v>
      </c>
      <c r="E4633" s="2" t="s">
        <v>87</v>
      </c>
      <c r="F4633" s="2" t="s">
        <v>75</v>
      </c>
      <c r="G4633" s="2" t="s">
        <v>20</v>
      </c>
      <c r="H4633" s="2" t="s">
        <v>2316</v>
      </c>
      <c r="I4633" s="2"/>
      <c r="J4633" s="2"/>
    </row>
    <row r="4634" spans="1:10" s="21" customFormat="1" x14ac:dyDescent="0.35">
      <c r="A4634" s="2" t="s">
        <v>2220</v>
      </c>
      <c r="B4634" s="2" t="s">
        <v>2314</v>
      </c>
      <c r="C4634" s="2" t="s">
        <v>24</v>
      </c>
      <c r="D4634" s="2" t="s">
        <v>2315</v>
      </c>
      <c r="E4634" s="2" t="s">
        <v>61</v>
      </c>
      <c r="F4634" s="2" t="s">
        <v>30</v>
      </c>
      <c r="G4634" s="2"/>
      <c r="H4634" s="2"/>
      <c r="I4634" s="2"/>
      <c r="J4634" s="2"/>
    </row>
    <row r="4635" spans="1:10" x14ac:dyDescent="0.35">
      <c r="A4635" s="2" t="s">
        <v>2220</v>
      </c>
      <c r="B4635" s="2" t="s">
        <v>2314</v>
      </c>
      <c r="C4635" s="2" t="s">
        <v>54</v>
      </c>
      <c r="D4635" s="2" t="s">
        <v>2317</v>
      </c>
      <c r="E4635" s="2" t="s">
        <v>393</v>
      </c>
      <c r="F4635" s="2" t="s">
        <v>36</v>
      </c>
      <c r="G4635" s="2" t="s">
        <v>2279</v>
      </c>
      <c r="H4635" s="2" t="s">
        <v>2318</v>
      </c>
      <c r="I4635" s="2"/>
      <c r="J4635" s="2"/>
    </row>
    <row r="4636" spans="1:10" x14ac:dyDescent="0.35">
      <c r="A4636" s="2" t="s">
        <v>2220</v>
      </c>
      <c r="B4636" s="2" t="s">
        <v>2314</v>
      </c>
      <c r="C4636" s="2" t="s">
        <v>54</v>
      </c>
      <c r="D4636" s="2" t="s">
        <v>2317</v>
      </c>
      <c r="E4636" s="2" t="s">
        <v>91</v>
      </c>
      <c r="F4636" s="2" t="s">
        <v>1679</v>
      </c>
      <c r="G4636" s="2"/>
      <c r="H4636" s="2"/>
      <c r="I4636" s="2"/>
      <c r="J4636" s="2"/>
    </row>
    <row r="4637" spans="1:10" s="21" customFormat="1" x14ac:dyDescent="0.35">
      <c r="A4637" s="2" t="s">
        <v>2220</v>
      </c>
      <c r="B4637" s="2" t="s">
        <v>2314</v>
      </c>
      <c r="C4637" s="2" t="s">
        <v>24</v>
      </c>
      <c r="D4637" s="2" t="s">
        <v>2319</v>
      </c>
      <c r="E4637" s="2" t="s">
        <v>14</v>
      </c>
      <c r="F4637" s="2" t="s">
        <v>15</v>
      </c>
      <c r="G4637" s="2"/>
      <c r="H4637" s="2"/>
      <c r="I4637" s="2"/>
      <c r="J4637" s="2"/>
    </row>
    <row r="4638" spans="1:10" s="21" customFormat="1" x14ac:dyDescent="0.35">
      <c r="A4638" s="2" t="s">
        <v>2220</v>
      </c>
      <c r="B4638" s="2" t="s">
        <v>2314</v>
      </c>
      <c r="C4638" s="2" t="s">
        <v>24</v>
      </c>
      <c r="D4638" s="2" t="s">
        <v>2319</v>
      </c>
      <c r="E4638" s="2" t="s">
        <v>42</v>
      </c>
      <c r="F4638" s="2" t="s">
        <v>43</v>
      </c>
      <c r="G4638" s="2"/>
      <c r="H4638" s="2"/>
      <c r="I4638" s="2"/>
      <c r="J4638" s="2"/>
    </row>
    <row r="4639" spans="1:10" x14ac:dyDescent="0.35">
      <c r="A4639" s="2" t="s">
        <v>2220</v>
      </c>
      <c r="B4639" s="2" t="s">
        <v>2320</v>
      </c>
      <c r="C4639" s="2" t="s">
        <v>62</v>
      </c>
      <c r="D4639" s="2" t="s">
        <v>2321</v>
      </c>
      <c r="E4639" s="2" t="s">
        <v>27</v>
      </c>
      <c r="F4639" s="2" t="s">
        <v>28</v>
      </c>
      <c r="G4639" s="2"/>
      <c r="H4639" s="2"/>
      <c r="I4639" s="2" t="s">
        <v>20</v>
      </c>
      <c r="J4639" s="2" t="s">
        <v>759</v>
      </c>
    </row>
    <row r="4640" spans="1:10" s="21" customFormat="1" x14ac:dyDescent="0.35">
      <c r="A4640" s="2" t="s">
        <v>2220</v>
      </c>
      <c r="B4640" s="2" t="s">
        <v>2320</v>
      </c>
      <c r="C4640" s="2" t="s">
        <v>62</v>
      </c>
      <c r="D4640" s="2" t="s">
        <v>2321</v>
      </c>
      <c r="E4640" s="2" t="s">
        <v>76</v>
      </c>
      <c r="F4640" s="2" t="s">
        <v>75</v>
      </c>
      <c r="G4640" s="2"/>
      <c r="H4640" s="2"/>
      <c r="I4640" s="2" t="s">
        <v>20</v>
      </c>
      <c r="J4640" s="2" t="s">
        <v>759</v>
      </c>
    </row>
    <row r="4641" spans="1:10" s="21" customFormat="1" x14ac:dyDescent="0.35">
      <c r="A4641" s="2" t="s">
        <v>2220</v>
      </c>
      <c r="B4641" s="2" t="s">
        <v>2320</v>
      </c>
      <c r="C4641" s="2" t="s">
        <v>62</v>
      </c>
      <c r="D4641" s="2" t="s">
        <v>2321</v>
      </c>
      <c r="E4641" s="2" t="s">
        <v>291</v>
      </c>
      <c r="F4641" s="2" t="s">
        <v>139</v>
      </c>
      <c r="G4641" s="2"/>
      <c r="H4641" s="2"/>
      <c r="I4641" s="2" t="s">
        <v>20</v>
      </c>
      <c r="J4641" s="2" t="s">
        <v>759</v>
      </c>
    </row>
    <row r="4642" spans="1:10" x14ac:dyDescent="0.35">
      <c r="A4642" s="2" t="s">
        <v>2220</v>
      </c>
      <c r="B4642" s="2" t="s">
        <v>2320</v>
      </c>
      <c r="C4642" s="2" t="s">
        <v>62</v>
      </c>
      <c r="D4642" s="2" t="s">
        <v>2321</v>
      </c>
      <c r="E4642" s="2" t="s">
        <v>269</v>
      </c>
      <c r="F4642" s="2" t="s">
        <v>270</v>
      </c>
      <c r="G4642" s="2"/>
      <c r="H4642" s="2"/>
      <c r="I4642" s="2" t="s">
        <v>20</v>
      </c>
      <c r="J4642" s="2" t="s">
        <v>759</v>
      </c>
    </row>
    <row r="4643" spans="1:10" s="21" customFormat="1" x14ac:dyDescent="0.35">
      <c r="A4643" s="2" t="s">
        <v>2220</v>
      </c>
      <c r="B4643" s="2" t="s">
        <v>2320</v>
      </c>
      <c r="C4643" s="2" t="s">
        <v>62</v>
      </c>
      <c r="D4643" s="2" t="s">
        <v>2321</v>
      </c>
      <c r="E4643" s="2" t="s">
        <v>87</v>
      </c>
      <c r="F4643" s="2" t="s">
        <v>75</v>
      </c>
      <c r="G4643" s="2"/>
      <c r="H4643" s="2"/>
      <c r="I4643" s="2" t="s">
        <v>20</v>
      </c>
      <c r="J4643" s="2" t="s">
        <v>759</v>
      </c>
    </row>
    <row r="4644" spans="1:10" x14ac:dyDescent="0.35">
      <c r="A4644" s="2" t="s">
        <v>2220</v>
      </c>
      <c r="B4644" s="2" t="s">
        <v>2320</v>
      </c>
      <c r="C4644" s="2" t="s">
        <v>62</v>
      </c>
      <c r="D4644" s="2" t="s">
        <v>2321</v>
      </c>
      <c r="E4644" s="2" t="s">
        <v>61</v>
      </c>
      <c r="F4644" s="2" t="s">
        <v>30</v>
      </c>
      <c r="G4644" s="2" t="s">
        <v>2279</v>
      </c>
      <c r="H4644" s="2" t="s">
        <v>2322</v>
      </c>
      <c r="I4644" s="2" t="s">
        <v>20</v>
      </c>
      <c r="J4644" s="2" t="s">
        <v>759</v>
      </c>
    </row>
    <row r="4645" spans="1:10" x14ac:dyDescent="0.35">
      <c r="A4645" s="2" t="s">
        <v>2220</v>
      </c>
      <c r="B4645" s="2" t="s">
        <v>2320</v>
      </c>
      <c r="C4645" s="2" t="s">
        <v>62</v>
      </c>
      <c r="D4645" s="2" t="s">
        <v>2321</v>
      </c>
      <c r="E4645" s="2" t="s">
        <v>423</v>
      </c>
      <c r="F4645" s="2" t="s">
        <v>424</v>
      </c>
      <c r="G4645" s="2"/>
      <c r="H4645" s="2"/>
      <c r="I4645" s="2" t="s">
        <v>20</v>
      </c>
      <c r="J4645" s="2" t="s">
        <v>759</v>
      </c>
    </row>
    <row r="4646" spans="1:10" s="21" customFormat="1" x14ac:dyDescent="0.35">
      <c r="A4646" s="2" t="s">
        <v>2220</v>
      </c>
      <c r="B4646" s="2" t="s">
        <v>2320</v>
      </c>
      <c r="C4646" s="2" t="s">
        <v>62</v>
      </c>
      <c r="D4646" s="2" t="s">
        <v>2323</v>
      </c>
      <c r="E4646" s="2" t="s">
        <v>27</v>
      </c>
      <c r="F4646" s="2" t="s">
        <v>28</v>
      </c>
      <c r="G4646" s="2"/>
      <c r="H4646" s="2"/>
      <c r="I4646" s="2" t="s">
        <v>20</v>
      </c>
      <c r="J4646" s="2" t="s">
        <v>759</v>
      </c>
    </row>
    <row r="4647" spans="1:10" x14ac:dyDescent="0.35">
      <c r="A4647" s="2" t="s">
        <v>2220</v>
      </c>
      <c r="B4647" s="2" t="s">
        <v>2320</v>
      </c>
      <c r="C4647" s="2" t="s">
        <v>62</v>
      </c>
      <c r="D4647" s="2" t="s">
        <v>2323</v>
      </c>
      <c r="E4647" s="2" t="s">
        <v>76</v>
      </c>
      <c r="F4647" s="2" t="s">
        <v>75</v>
      </c>
      <c r="G4647" s="2" t="s">
        <v>20</v>
      </c>
      <c r="H4647" s="2" t="s">
        <v>2324</v>
      </c>
      <c r="I4647" s="2" t="s">
        <v>20</v>
      </c>
      <c r="J4647" s="2" t="s">
        <v>759</v>
      </c>
    </row>
    <row r="4648" spans="1:10" s="21" customFormat="1" x14ac:dyDescent="0.35">
      <c r="A4648" s="2" t="s">
        <v>2220</v>
      </c>
      <c r="B4648" s="2" t="s">
        <v>2320</v>
      </c>
      <c r="C4648" s="2" t="s">
        <v>62</v>
      </c>
      <c r="D4648" s="2" t="s">
        <v>2323</v>
      </c>
      <c r="E4648" s="2" t="s">
        <v>91</v>
      </c>
      <c r="F4648" s="2" t="s">
        <v>1679</v>
      </c>
      <c r="G4648" s="2"/>
      <c r="H4648" s="2"/>
      <c r="I4648" s="2" t="s">
        <v>20</v>
      </c>
      <c r="J4648" s="2" t="s">
        <v>759</v>
      </c>
    </row>
    <row r="4649" spans="1:10" x14ac:dyDescent="0.35">
      <c r="A4649" s="2" t="s">
        <v>2220</v>
      </c>
      <c r="B4649" s="2" t="s">
        <v>2320</v>
      </c>
      <c r="C4649" s="2" t="s">
        <v>62</v>
      </c>
      <c r="D4649" s="2" t="s">
        <v>2323</v>
      </c>
      <c r="E4649" s="2" t="s">
        <v>1243</v>
      </c>
      <c r="F4649" s="2" t="s">
        <v>1244</v>
      </c>
      <c r="G4649" s="2" t="s">
        <v>20</v>
      </c>
      <c r="H4649" s="2" t="s">
        <v>2325</v>
      </c>
      <c r="I4649" s="2" t="s">
        <v>20</v>
      </c>
      <c r="J4649" s="2" t="s">
        <v>759</v>
      </c>
    </row>
    <row r="4650" spans="1:10" s="21" customFormat="1" x14ac:dyDescent="0.35">
      <c r="A4650" s="2" t="s">
        <v>2220</v>
      </c>
      <c r="B4650" s="2" t="s">
        <v>2320</v>
      </c>
      <c r="C4650" s="2" t="s">
        <v>62</v>
      </c>
      <c r="D4650" s="2" t="s">
        <v>2323</v>
      </c>
      <c r="E4650" s="2" t="s">
        <v>61</v>
      </c>
      <c r="F4650" s="2" t="s">
        <v>30</v>
      </c>
      <c r="G4650" s="2"/>
      <c r="H4650" s="2"/>
      <c r="I4650" s="2" t="s">
        <v>20</v>
      </c>
      <c r="J4650" s="2" t="s">
        <v>759</v>
      </c>
    </row>
    <row r="4651" spans="1:10" x14ac:dyDescent="0.35">
      <c r="A4651" s="2" t="s">
        <v>2220</v>
      </c>
      <c r="B4651" s="2" t="s">
        <v>2320</v>
      </c>
      <c r="C4651" s="2" t="s">
        <v>57</v>
      </c>
      <c r="D4651" s="2" t="s">
        <v>2326</v>
      </c>
      <c r="E4651" s="2" t="s">
        <v>763</v>
      </c>
      <c r="F4651" s="2" t="s">
        <v>107</v>
      </c>
      <c r="G4651" s="2"/>
      <c r="H4651" s="2"/>
      <c r="I4651" s="2" t="s">
        <v>20</v>
      </c>
      <c r="J4651" s="2" t="s">
        <v>759</v>
      </c>
    </row>
    <row r="4652" spans="1:10" x14ac:dyDescent="0.35">
      <c r="A4652" s="2" t="s">
        <v>2220</v>
      </c>
      <c r="B4652" s="2" t="s">
        <v>2320</v>
      </c>
      <c r="C4652" s="2" t="s">
        <v>57</v>
      </c>
      <c r="D4652" s="2" t="s">
        <v>2326</v>
      </c>
      <c r="E4652" s="2" t="s">
        <v>27</v>
      </c>
      <c r="F4652" s="2" t="s">
        <v>28</v>
      </c>
      <c r="G4652" s="2"/>
      <c r="H4652" s="2"/>
      <c r="I4652" s="2" t="s">
        <v>20</v>
      </c>
      <c r="J4652" s="2" t="s">
        <v>759</v>
      </c>
    </row>
    <row r="4653" spans="1:10" x14ac:dyDescent="0.35">
      <c r="A4653" s="2" t="s">
        <v>2220</v>
      </c>
      <c r="B4653" s="2" t="s">
        <v>2320</v>
      </c>
      <c r="C4653" s="2" t="s">
        <v>57</v>
      </c>
      <c r="D4653" s="2" t="s">
        <v>2326</v>
      </c>
      <c r="E4653" s="2" t="s">
        <v>35</v>
      </c>
      <c r="F4653" s="2" t="s">
        <v>36</v>
      </c>
      <c r="G4653" s="2"/>
      <c r="H4653" s="2"/>
      <c r="I4653" s="2" t="s">
        <v>20</v>
      </c>
      <c r="J4653" s="2" t="s">
        <v>759</v>
      </c>
    </row>
    <row r="4654" spans="1:10" x14ac:dyDescent="0.35">
      <c r="A4654" s="2" t="s">
        <v>2220</v>
      </c>
      <c r="B4654" s="2" t="s">
        <v>2320</v>
      </c>
      <c r="C4654" s="2" t="s">
        <v>62</v>
      </c>
      <c r="D4654" s="2" t="s">
        <v>2327</v>
      </c>
      <c r="E4654" s="2" t="s">
        <v>61</v>
      </c>
      <c r="F4654" s="2" t="s">
        <v>30</v>
      </c>
      <c r="G4654" s="2" t="s">
        <v>2279</v>
      </c>
      <c r="H4654" s="2" t="s">
        <v>2328</v>
      </c>
      <c r="I4654" s="2" t="s">
        <v>20</v>
      </c>
      <c r="J4654" s="2" t="s">
        <v>759</v>
      </c>
    </row>
    <row r="4655" spans="1:10" x14ac:dyDescent="0.35">
      <c r="A4655" s="2" t="s">
        <v>2220</v>
      </c>
      <c r="B4655" s="2" t="s">
        <v>2320</v>
      </c>
      <c r="C4655" s="2" t="s">
        <v>24</v>
      </c>
      <c r="D4655" s="2" t="s">
        <v>2329</v>
      </c>
      <c r="E4655" s="2" t="s">
        <v>27</v>
      </c>
      <c r="F4655" s="2" t="s">
        <v>28</v>
      </c>
      <c r="G4655" s="2" t="s">
        <v>20</v>
      </c>
      <c r="H4655" s="2" t="s">
        <v>2330</v>
      </c>
      <c r="I4655" s="2" t="s">
        <v>20</v>
      </c>
      <c r="J4655" s="2" t="s">
        <v>759</v>
      </c>
    </row>
    <row r="4656" spans="1:10" s="21" customFormat="1" x14ac:dyDescent="0.35">
      <c r="A4656" s="2" t="s">
        <v>2220</v>
      </c>
      <c r="B4656" s="2" t="s">
        <v>2320</v>
      </c>
      <c r="C4656" s="2" t="s">
        <v>24</v>
      </c>
      <c r="D4656" s="2" t="s">
        <v>2329</v>
      </c>
      <c r="E4656" s="2" t="s">
        <v>120</v>
      </c>
      <c r="F4656" s="2" t="s">
        <v>32</v>
      </c>
      <c r="G4656" s="2"/>
      <c r="H4656" s="2"/>
      <c r="I4656" s="2" t="s">
        <v>20</v>
      </c>
      <c r="J4656" s="2" t="s">
        <v>759</v>
      </c>
    </row>
    <row r="4657" spans="1:10" x14ac:dyDescent="0.35">
      <c r="A4657" s="2" t="s">
        <v>2220</v>
      </c>
      <c r="B4657" s="2" t="s">
        <v>2320</v>
      </c>
      <c r="C4657" s="2" t="s">
        <v>24</v>
      </c>
      <c r="D4657" s="2" t="s">
        <v>2329</v>
      </c>
      <c r="E4657" s="2" t="s">
        <v>2331</v>
      </c>
      <c r="F4657" s="2" t="s">
        <v>30</v>
      </c>
      <c r="G4657" s="2"/>
      <c r="H4657" s="2"/>
      <c r="I4657" s="2" t="s">
        <v>20</v>
      </c>
      <c r="J4657" s="2" t="s">
        <v>759</v>
      </c>
    </row>
    <row r="4658" spans="1:10" x14ac:dyDescent="0.35">
      <c r="A4658" s="2" t="s">
        <v>2220</v>
      </c>
      <c r="B4658" s="2" t="s">
        <v>2320</v>
      </c>
      <c r="C4658" s="2" t="s">
        <v>24</v>
      </c>
      <c r="D4658" s="2" t="s">
        <v>2329</v>
      </c>
      <c r="E4658" s="2" t="s">
        <v>35</v>
      </c>
      <c r="F4658" s="2" t="s">
        <v>36</v>
      </c>
      <c r="G4658" s="2"/>
      <c r="H4658" s="2"/>
      <c r="I4658" s="2" t="s">
        <v>20</v>
      </c>
      <c r="J4658" s="2" t="s">
        <v>759</v>
      </c>
    </row>
    <row r="4659" spans="1:10" x14ac:dyDescent="0.35">
      <c r="A4659" s="2" t="s">
        <v>2220</v>
      </c>
      <c r="B4659" s="2" t="s">
        <v>2320</v>
      </c>
      <c r="C4659" s="2" t="s">
        <v>24</v>
      </c>
      <c r="D4659" s="2" t="s">
        <v>2329</v>
      </c>
      <c r="E4659" s="2" t="s">
        <v>18</v>
      </c>
      <c r="F4659" s="2" t="s">
        <v>1679</v>
      </c>
      <c r="G4659" s="2" t="s">
        <v>20</v>
      </c>
      <c r="H4659" s="2" t="s">
        <v>2332</v>
      </c>
      <c r="I4659" s="2" t="s">
        <v>20</v>
      </c>
      <c r="J4659" s="2" t="s">
        <v>759</v>
      </c>
    </row>
    <row r="4660" spans="1:10" x14ac:dyDescent="0.35">
      <c r="A4660" s="2" t="s">
        <v>2220</v>
      </c>
      <c r="B4660" s="2" t="s">
        <v>2320</v>
      </c>
      <c r="C4660" s="2" t="s">
        <v>24</v>
      </c>
      <c r="D4660" s="2" t="s">
        <v>2329</v>
      </c>
      <c r="E4660" s="2" t="s">
        <v>61</v>
      </c>
      <c r="F4660" s="2" t="s">
        <v>30</v>
      </c>
      <c r="G4660" s="2"/>
      <c r="H4660" s="2"/>
      <c r="I4660" s="2" t="s">
        <v>20</v>
      </c>
      <c r="J4660" s="2" t="s">
        <v>759</v>
      </c>
    </row>
    <row r="4661" spans="1:10" s="21" customFormat="1" x14ac:dyDescent="0.35">
      <c r="A4661" s="2" t="s">
        <v>2220</v>
      </c>
      <c r="B4661" s="2" t="s">
        <v>2320</v>
      </c>
      <c r="C4661" s="2" t="s">
        <v>24</v>
      </c>
      <c r="D4661" s="2" t="s">
        <v>2329</v>
      </c>
      <c r="E4661" s="2" t="s">
        <v>423</v>
      </c>
      <c r="F4661" s="2" t="s">
        <v>424</v>
      </c>
      <c r="G4661" s="2"/>
      <c r="H4661" s="2"/>
      <c r="I4661" s="2" t="s">
        <v>20</v>
      </c>
      <c r="J4661" s="2" t="s">
        <v>759</v>
      </c>
    </row>
    <row r="4662" spans="1:10" s="21" customFormat="1" x14ac:dyDescent="0.35">
      <c r="A4662" s="2" t="s">
        <v>2220</v>
      </c>
      <c r="B4662" s="2" t="s">
        <v>2320</v>
      </c>
      <c r="C4662" s="2" t="s">
        <v>62</v>
      </c>
      <c r="D4662" s="2" t="s">
        <v>2333</v>
      </c>
      <c r="E4662" s="2" t="s">
        <v>144</v>
      </c>
      <c r="F4662" s="2" t="s">
        <v>50</v>
      </c>
      <c r="G4662" s="2" t="s">
        <v>20</v>
      </c>
      <c r="H4662" s="2" t="s">
        <v>2334</v>
      </c>
      <c r="I4662" s="2"/>
      <c r="J4662" s="2"/>
    </row>
    <row r="4663" spans="1:10" s="21" customFormat="1" x14ac:dyDescent="0.35">
      <c r="A4663" s="2" t="s">
        <v>2220</v>
      </c>
      <c r="B4663" s="2" t="s">
        <v>2320</v>
      </c>
      <c r="C4663" s="2" t="s">
        <v>62</v>
      </c>
      <c r="D4663" s="2" t="s">
        <v>2333</v>
      </c>
      <c r="E4663" s="2" t="s">
        <v>27</v>
      </c>
      <c r="F4663" s="2" t="s">
        <v>28</v>
      </c>
      <c r="G4663" s="2"/>
      <c r="H4663" s="2"/>
      <c r="I4663" s="2"/>
      <c r="J4663" s="2"/>
    </row>
    <row r="4664" spans="1:10" s="21" customFormat="1" x14ac:dyDescent="0.35">
      <c r="A4664" s="2" t="s">
        <v>2220</v>
      </c>
      <c r="B4664" s="2" t="s">
        <v>2320</v>
      </c>
      <c r="C4664" s="2" t="s">
        <v>62</v>
      </c>
      <c r="D4664" s="2" t="s">
        <v>2333</v>
      </c>
      <c r="E4664" s="2" t="s">
        <v>38</v>
      </c>
      <c r="F4664" s="2" t="s">
        <v>38</v>
      </c>
      <c r="G4664" s="2"/>
      <c r="H4664" s="2"/>
      <c r="I4664" s="2" t="s">
        <v>20</v>
      </c>
      <c r="J4664" s="2" t="s">
        <v>759</v>
      </c>
    </row>
    <row r="4665" spans="1:10" s="21" customFormat="1" x14ac:dyDescent="0.35">
      <c r="A4665" s="2" t="s">
        <v>2220</v>
      </c>
      <c r="B4665" s="2" t="s">
        <v>2320</v>
      </c>
      <c r="C4665" s="2" t="s">
        <v>62</v>
      </c>
      <c r="D4665" s="2" t="s">
        <v>2333</v>
      </c>
      <c r="E4665" s="2" t="s">
        <v>61</v>
      </c>
      <c r="F4665" s="2" t="s">
        <v>30</v>
      </c>
      <c r="G4665" s="2"/>
      <c r="H4665" s="2"/>
      <c r="I4665" s="2"/>
      <c r="J4665" s="2"/>
    </row>
    <row r="4666" spans="1:10" s="21" customFormat="1" x14ac:dyDescent="0.35">
      <c r="A4666" s="2" t="s">
        <v>2220</v>
      </c>
      <c r="B4666" s="2" t="s">
        <v>2320</v>
      </c>
      <c r="C4666" s="2" t="s">
        <v>54</v>
      </c>
      <c r="D4666" s="2" t="s">
        <v>2335</v>
      </c>
      <c r="E4666" s="2" t="s">
        <v>120</v>
      </c>
      <c r="F4666" s="2" t="s">
        <v>32</v>
      </c>
      <c r="G4666" s="2"/>
      <c r="H4666" s="2"/>
      <c r="I4666" s="2" t="s">
        <v>20</v>
      </c>
      <c r="J4666" s="2" t="s">
        <v>759</v>
      </c>
    </row>
    <row r="4667" spans="1:10" s="21" customFormat="1" x14ac:dyDescent="0.35">
      <c r="A4667" s="2" t="s">
        <v>2220</v>
      </c>
      <c r="B4667" s="2" t="s">
        <v>2320</v>
      </c>
      <c r="C4667" s="2" t="s">
        <v>54</v>
      </c>
      <c r="D4667" s="2" t="s">
        <v>2335</v>
      </c>
      <c r="E4667" s="2" t="s">
        <v>1226</v>
      </c>
      <c r="F4667" s="2" t="s">
        <v>107</v>
      </c>
      <c r="G4667" s="2"/>
      <c r="H4667" s="2"/>
      <c r="I4667" s="2" t="s">
        <v>20</v>
      </c>
      <c r="J4667" s="2" t="s">
        <v>759</v>
      </c>
    </row>
    <row r="4668" spans="1:10" s="21" customFormat="1" x14ac:dyDescent="0.35">
      <c r="A4668" s="2" t="s">
        <v>2220</v>
      </c>
      <c r="B4668" s="2" t="s">
        <v>2320</v>
      </c>
      <c r="C4668" s="2" t="s">
        <v>54</v>
      </c>
      <c r="D4668" s="2" t="s">
        <v>2335</v>
      </c>
      <c r="E4668" s="2" t="s">
        <v>35</v>
      </c>
      <c r="F4668" s="2" t="s">
        <v>36</v>
      </c>
      <c r="G4668" s="2"/>
      <c r="H4668" s="2"/>
      <c r="I4668" s="2" t="s">
        <v>20</v>
      </c>
      <c r="J4668" s="2" t="s">
        <v>759</v>
      </c>
    </row>
    <row r="4669" spans="1:10" s="21" customFormat="1" x14ac:dyDescent="0.35">
      <c r="A4669" s="2" t="s">
        <v>2220</v>
      </c>
      <c r="B4669" s="2" t="s">
        <v>2320</v>
      </c>
      <c r="C4669" s="2" t="s">
        <v>54</v>
      </c>
      <c r="D4669" s="2" t="s">
        <v>2335</v>
      </c>
      <c r="E4669" s="2" t="s">
        <v>269</v>
      </c>
      <c r="F4669" s="2" t="s">
        <v>270</v>
      </c>
      <c r="G4669" s="2"/>
      <c r="H4669" s="2"/>
      <c r="I4669" s="2" t="s">
        <v>20</v>
      </c>
      <c r="J4669" s="2" t="s">
        <v>759</v>
      </c>
    </row>
    <row r="4670" spans="1:10" s="21" customFormat="1" x14ac:dyDescent="0.35">
      <c r="A4670" s="2" t="s">
        <v>2220</v>
      </c>
      <c r="B4670" s="2" t="s">
        <v>2320</v>
      </c>
      <c r="C4670" s="2" t="s">
        <v>54</v>
      </c>
      <c r="D4670" s="2" t="s">
        <v>2335</v>
      </c>
      <c r="E4670" s="2" t="s">
        <v>87</v>
      </c>
      <c r="F4670" s="2" t="s">
        <v>75</v>
      </c>
      <c r="G4670" s="2"/>
      <c r="H4670" s="2"/>
      <c r="I4670" s="2" t="s">
        <v>20</v>
      </c>
      <c r="J4670" s="2" t="s">
        <v>759</v>
      </c>
    </row>
    <row r="4671" spans="1:10" s="21" customFormat="1" x14ac:dyDescent="0.35">
      <c r="A4671" s="2" t="s">
        <v>2220</v>
      </c>
      <c r="B4671" s="2" t="s">
        <v>2320</v>
      </c>
      <c r="C4671" s="2" t="s">
        <v>54</v>
      </c>
      <c r="D4671" s="2" t="s">
        <v>2335</v>
      </c>
      <c r="E4671" s="2" t="s">
        <v>423</v>
      </c>
      <c r="F4671" s="2" t="s">
        <v>424</v>
      </c>
      <c r="G4671" s="2"/>
      <c r="H4671" s="2"/>
      <c r="I4671" s="2" t="s">
        <v>20</v>
      </c>
      <c r="J4671" s="2" t="s">
        <v>759</v>
      </c>
    </row>
    <row r="4672" spans="1:10" x14ac:dyDescent="0.35">
      <c r="A4672" s="2" t="s">
        <v>2220</v>
      </c>
      <c r="B4672" s="2" t="s">
        <v>2320</v>
      </c>
      <c r="C4672" s="2" t="s">
        <v>24</v>
      </c>
      <c r="D4672" s="2" t="s">
        <v>2336</v>
      </c>
      <c r="E4672" s="2" t="s">
        <v>27</v>
      </c>
      <c r="F4672" s="2" t="s">
        <v>28</v>
      </c>
      <c r="G4672" s="2"/>
      <c r="H4672" s="2"/>
      <c r="I4672" s="2" t="s">
        <v>20</v>
      </c>
      <c r="J4672" s="2" t="s">
        <v>759</v>
      </c>
    </row>
    <row r="4673" spans="1:10" x14ac:dyDescent="0.35">
      <c r="A4673" s="2" t="s">
        <v>2220</v>
      </c>
      <c r="B4673" s="2" t="s">
        <v>2320</v>
      </c>
      <c r="C4673" s="2" t="s">
        <v>24</v>
      </c>
      <c r="D4673" s="2" t="s">
        <v>2336</v>
      </c>
      <c r="E4673" s="2" t="s">
        <v>35</v>
      </c>
      <c r="F4673" s="2" t="s">
        <v>36</v>
      </c>
      <c r="G4673" s="2"/>
      <c r="H4673" s="2"/>
      <c r="I4673" s="2" t="s">
        <v>20</v>
      </c>
      <c r="J4673" s="2" t="s">
        <v>759</v>
      </c>
    </row>
    <row r="4674" spans="1:10" x14ac:dyDescent="0.35">
      <c r="A4674" s="2" t="s">
        <v>2220</v>
      </c>
      <c r="B4674" s="2" t="s">
        <v>2320</v>
      </c>
      <c r="C4674" s="2" t="s">
        <v>24</v>
      </c>
      <c r="D4674" s="2" t="s">
        <v>2336</v>
      </c>
      <c r="E4674" s="2" t="s">
        <v>91</v>
      </c>
      <c r="F4674" s="2" t="s">
        <v>1679</v>
      </c>
      <c r="G4674" s="2" t="s">
        <v>20</v>
      </c>
      <c r="H4674" s="2" t="s">
        <v>2337</v>
      </c>
      <c r="I4674" s="2" t="s">
        <v>20</v>
      </c>
      <c r="J4674" s="2" t="s">
        <v>759</v>
      </c>
    </row>
    <row r="4675" spans="1:10" x14ac:dyDescent="0.35">
      <c r="A4675" s="2" t="s">
        <v>2220</v>
      </c>
      <c r="B4675" s="2" t="s">
        <v>2320</v>
      </c>
      <c r="C4675" s="2" t="s">
        <v>24</v>
      </c>
      <c r="D4675" s="2" t="s">
        <v>2338</v>
      </c>
      <c r="E4675" s="2" t="s">
        <v>27</v>
      </c>
      <c r="F4675" s="2" t="s">
        <v>28</v>
      </c>
      <c r="G4675" s="2" t="s">
        <v>20</v>
      </c>
      <c r="H4675" s="2" t="s">
        <v>2339</v>
      </c>
      <c r="I4675" s="2" t="s">
        <v>20</v>
      </c>
      <c r="J4675" s="2" t="s">
        <v>759</v>
      </c>
    </row>
    <row r="4676" spans="1:10" s="21" customFormat="1" x14ac:dyDescent="0.35">
      <c r="A4676" s="2" t="s">
        <v>2220</v>
      </c>
      <c r="B4676" s="2" t="s">
        <v>2320</v>
      </c>
      <c r="C4676" s="2" t="s">
        <v>24</v>
      </c>
      <c r="D4676" s="2" t="s">
        <v>2338</v>
      </c>
      <c r="E4676" s="2" t="s">
        <v>35</v>
      </c>
      <c r="F4676" s="2" t="s">
        <v>36</v>
      </c>
      <c r="G4676" s="2"/>
      <c r="H4676" s="2"/>
      <c r="I4676" s="2"/>
      <c r="J4676" s="2"/>
    </row>
    <row r="4677" spans="1:10" x14ac:dyDescent="0.35">
      <c r="A4677" s="2" t="s">
        <v>2220</v>
      </c>
      <c r="B4677" s="2" t="s">
        <v>2340</v>
      </c>
      <c r="C4677" s="2" t="s">
        <v>12</v>
      </c>
      <c r="D4677" s="2" t="s">
        <v>2341</v>
      </c>
      <c r="E4677" s="2" t="s">
        <v>61</v>
      </c>
      <c r="F4677" s="2" t="s">
        <v>30</v>
      </c>
      <c r="G4677" s="2"/>
      <c r="H4677" s="2"/>
      <c r="I4677" s="2" t="s">
        <v>20</v>
      </c>
      <c r="J4677" s="2" t="s">
        <v>759</v>
      </c>
    </row>
    <row r="4678" spans="1:10" x14ac:dyDescent="0.35">
      <c r="A4678" s="2" t="s">
        <v>2220</v>
      </c>
      <c r="B4678" s="2" t="s">
        <v>2340</v>
      </c>
      <c r="C4678" s="2" t="s">
        <v>24</v>
      </c>
      <c r="D4678" s="2" t="s">
        <v>2342</v>
      </c>
      <c r="E4678" s="2" t="s">
        <v>27</v>
      </c>
      <c r="F4678" s="2" t="s">
        <v>28</v>
      </c>
      <c r="G4678" s="2"/>
      <c r="H4678" s="2"/>
      <c r="I4678" s="2" t="s">
        <v>20</v>
      </c>
      <c r="J4678" s="2" t="s">
        <v>759</v>
      </c>
    </row>
    <row r="4679" spans="1:10" x14ac:dyDescent="0.35">
      <c r="A4679" s="2" t="s">
        <v>2220</v>
      </c>
      <c r="B4679" s="2" t="s">
        <v>2340</v>
      </c>
      <c r="C4679" s="2" t="s">
        <v>24</v>
      </c>
      <c r="D4679" s="2" t="s">
        <v>2342</v>
      </c>
      <c r="E4679" s="2" t="s">
        <v>136</v>
      </c>
      <c r="F4679" s="2" t="s">
        <v>107</v>
      </c>
      <c r="G4679" s="2"/>
      <c r="H4679" s="2"/>
      <c r="I4679" s="2" t="s">
        <v>20</v>
      </c>
      <c r="J4679" s="2" t="s">
        <v>759</v>
      </c>
    </row>
    <row r="4680" spans="1:10" x14ac:dyDescent="0.35">
      <c r="A4680" s="2" t="s">
        <v>2220</v>
      </c>
      <c r="B4680" s="2" t="s">
        <v>2340</v>
      </c>
      <c r="C4680" s="2" t="s">
        <v>24</v>
      </c>
      <c r="D4680" s="2" t="s">
        <v>2342</v>
      </c>
      <c r="E4680" s="2" t="s">
        <v>269</v>
      </c>
      <c r="F4680" s="2" t="s">
        <v>270</v>
      </c>
      <c r="G4680" s="2"/>
      <c r="H4680" s="2"/>
      <c r="I4680" s="2" t="s">
        <v>20</v>
      </c>
      <c r="J4680" s="2" t="s">
        <v>759</v>
      </c>
    </row>
    <row r="4681" spans="1:10" x14ac:dyDescent="0.35">
      <c r="A4681" s="2" t="s">
        <v>2220</v>
      </c>
      <c r="B4681" s="2" t="s">
        <v>2340</v>
      </c>
      <c r="C4681" s="2" t="s">
        <v>24</v>
      </c>
      <c r="D4681" s="2" t="s">
        <v>2342</v>
      </c>
      <c r="E4681" s="2" t="s">
        <v>61</v>
      </c>
      <c r="F4681" s="2" t="s">
        <v>30</v>
      </c>
      <c r="G4681" s="2"/>
      <c r="H4681" s="2"/>
      <c r="I4681" s="2" t="s">
        <v>20</v>
      </c>
      <c r="J4681" s="2" t="s">
        <v>759</v>
      </c>
    </row>
    <row r="4682" spans="1:10" x14ac:dyDescent="0.35">
      <c r="A4682" s="2" t="s">
        <v>2220</v>
      </c>
      <c r="B4682" s="2" t="s">
        <v>2340</v>
      </c>
      <c r="C4682" s="2" t="s">
        <v>24</v>
      </c>
      <c r="D4682" s="2" t="s">
        <v>2342</v>
      </c>
      <c r="E4682" s="2" t="s">
        <v>1560</v>
      </c>
      <c r="F4682" s="2" t="s">
        <v>50</v>
      </c>
      <c r="G4682" s="2"/>
      <c r="H4682" s="2"/>
      <c r="I4682" s="2" t="s">
        <v>20</v>
      </c>
      <c r="J4682" s="2" t="s">
        <v>759</v>
      </c>
    </row>
    <row r="4683" spans="1:10" x14ac:dyDescent="0.35">
      <c r="A4683" s="2" t="s">
        <v>2220</v>
      </c>
      <c r="B4683" s="2" t="s">
        <v>2340</v>
      </c>
      <c r="C4683" s="2" t="s">
        <v>24</v>
      </c>
      <c r="D4683" s="2" t="s">
        <v>2342</v>
      </c>
      <c r="E4683" s="2" t="s">
        <v>276</v>
      </c>
      <c r="F4683" s="2" t="s">
        <v>277</v>
      </c>
      <c r="G4683" s="2"/>
      <c r="H4683" s="2"/>
      <c r="I4683" s="2" t="s">
        <v>20</v>
      </c>
      <c r="J4683" s="2" t="s">
        <v>759</v>
      </c>
    </row>
    <row r="4684" spans="1:10" x14ac:dyDescent="0.35">
      <c r="A4684" s="2" t="s">
        <v>2220</v>
      </c>
      <c r="B4684" s="2" t="s">
        <v>2340</v>
      </c>
      <c r="C4684" s="2" t="s">
        <v>62</v>
      </c>
      <c r="D4684" s="2" t="s">
        <v>2343</v>
      </c>
      <c r="E4684" s="2" t="s">
        <v>144</v>
      </c>
      <c r="F4684" s="2" t="s">
        <v>50</v>
      </c>
      <c r="G4684" s="2" t="s">
        <v>20</v>
      </c>
      <c r="H4684" s="2" t="s">
        <v>2344</v>
      </c>
      <c r="I4684" s="2" t="s">
        <v>20</v>
      </c>
      <c r="J4684" s="2" t="s">
        <v>759</v>
      </c>
    </row>
    <row r="4685" spans="1:10" x14ac:dyDescent="0.35">
      <c r="A4685" s="2" t="s">
        <v>2220</v>
      </c>
      <c r="B4685" s="2" t="s">
        <v>2340</v>
      </c>
      <c r="C4685" s="2" t="s">
        <v>62</v>
      </c>
      <c r="D4685" s="2" t="s">
        <v>2343</v>
      </c>
      <c r="E4685" s="2" t="s">
        <v>136</v>
      </c>
      <c r="F4685" s="2" t="s">
        <v>107</v>
      </c>
      <c r="G4685" s="2"/>
      <c r="H4685" s="2"/>
      <c r="I4685" s="2" t="s">
        <v>20</v>
      </c>
      <c r="J4685" s="2" t="s">
        <v>759</v>
      </c>
    </row>
    <row r="4686" spans="1:10" x14ac:dyDescent="0.35">
      <c r="A4686" s="2" t="s">
        <v>2220</v>
      </c>
      <c r="B4686" s="2" t="s">
        <v>2340</v>
      </c>
      <c r="C4686" s="2" t="s">
        <v>62</v>
      </c>
      <c r="D4686" s="2" t="s">
        <v>2343</v>
      </c>
      <c r="E4686" s="2" t="s">
        <v>35</v>
      </c>
      <c r="F4686" s="2" t="s">
        <v>30</v>
      </c>
      <c r="G4686" s="2"/>
      <c r="H4686" s="2"/>
      <c r="I4686" s="2" t="s">
        <v>20</v>
      </c>
      <c r="J4686" s="2" t="s">
        <v>759</v>
      </c>
    </row>
    <row r="4687" spans="1:10" x14ac:dyDescent="0.35">
      <c r="A4687" s="2" t="s">
        <v>2220</v>
      </c>
      <c r="B4687" s="2" t="s">
        <v>2340</v>
      </c>
      <c r="C4687" s="2" t="s">
        <v>62</v>
      </c>
      <c r="D4687" s="2" t="s">
        <v>2343</v>
      </c>
      <c r="E4687" s="2" t="s">
        <v>61</v>
      </c>
      <c r="F4687" s="2" t="s">
        <v>30</v>
      </c>
      <c r="G4687" s="2"/>
      <c r="H4687" s="2"/>
      <c r="I4687" s="2" t="s">
        <v>20</v>
      </c>
      <c r="J4687" s="2" t="s">
        <v>759</v>
      </c>
    </row>
    <row r="4688" spans="1:10" x14ac:dyDescent="0.35">
      <c r="A4688" s="2" t="s">
        <v>2220</v>
      </c>
      <c r="B4688" s="2" t="s">
        <v>2340</v>
      </c>
      <c r="C4688" s="2" t="s">
        <v>57</v>
      </c>
      <c r="D4688" s="2" t="s">
        <v>2345</v>
      </c>
      <c r="E4688" s="2" t="s">
        <v>144</v>
      </c>
      <c r="F4688" s="2" t="s">
        <v>50</v>
      </c>
      <c r="G4688" s="2"/>
      <c r="H4688" s="2"/>
      <c r="I4688" s="2" t="s">
        <v>20</v>
      </c>
      <c r="J4688" s="2" t="s">
        <v>759</v>
      </c>
    </row>
    <row r="4689" spans="1:10" x14ac:dyDescent="0.35">
      <c r="A4689" s="2" t="s">
        <v>2220</v>
      </c>
      <c r="B4689" s="2" t="s">
        <v>2340</v>
      </c>
      <c r="C4689" s="2" t="s">
        <v>57</v>
      </c>
      <c r="D4689" s="2" t="s">
        <v>2345</v>
      </c>
      <c r="E4689" s="2" t="s">
        <v>1522</v>
      </c>
      <c r="F4689" s="2" t="s">
        <v>28</v>
      </c>
      <c r="G4689" s="2"/>
      <c r="H4689" s="2"/>
      <c r="I4689" s="2" t="s">
        <v>20</v>
      </c>
      <c r="J4689" s="2" t="s">
        <v>759</v>
      </c>
    </row>
    <row r="4690" spans="1:10" x14ac:dyDescent="0.35">
      <c r="A4690" s="2" t="s">
        <v>2220</v>
      </c>
      <c r="B4690" s="2" t="s">
        <v>2340</v>
      </c>
      <c r="C4690" s="2" t="s">
        <v>57</v>
      </c>
      <c r="D4690" s="2" t="s">
        <v>2345</v>
      </c>
      <c r="E4690" s="2" t="s">
        <v>423</v>
      </c>
      <c r="F4690" s="2" t="s">
        <v>424</v>
      </c>
      <c r="G4690" s="2"/>
      <c r="H4690" s="2"/>
      <c r="I4690" s="2" t="s">
        <v>20</v>
      </c>
      <c r="J4690" s="2" t="s">
        <v>759</v>
      </c>
    </row>
    <row r="4691" spans="1:10" x14ac:dyDescent="0.35">
      <c r="A4691" s="2" t="s">
        <v>2220</v>
      </c>
      <c r="B4691" s="2" t="s">
        <v>2340</v>
      </c>
      <c r="C4691" s="2" t="s">
        <v>54</v>
      </c>
      <c r="D4691" s="2" t="s">
        <v>2346</v>
      </c>
      <c r="E4691" s="2" t="s">
        <v>27</v>
      </c>
      <c r="F4691" s="2" t="s">
        <v>28</v>
      </c>
      <c r="G4691" s="2" t="s">
        <v>2347</v>
      </c>
      <c r="H4691" s="2" t="s">
        <v>47</v>
      </c>
      <c r="I4691" s="2" t="s">
        <v>20</v>
      </c>
      <c r="J4691" s="2" t="s">
        <v>759</v>
      </c>
    </row>
    <row r="4692" spans="1:10" x14ac:dyDescent="0.35">
      <c r="A4692" s="2" t="s">
        <v>2220</v>
      </c>
      <c r="B4692" s="2" t="s">
        <v>2340</v>
      </c>
      <c r="C4692" s="2" t="s">
        <v>54</v>
      </c>
      <c r="D4692" s="2" t="s">
        <v>2346</v>
      </c>
      <c r="E4692" s="2" t="s">
        <v>136</v>
      </c>
      <c r="F4692" s="2" t="s">
        <v>107</v>
      </c>
      <c r="G4692" s="2" t="s">
        <v>2347</v>
      </c>
      <c r="H4692" s="2" t="s">
        <v>47</v>
      </c>
      <c r="I4692" s="2" t="s">
        <v>20</v>
      </c>
      <c r="J4692" s="2" t="s">
        <v>759</v>
      </c>
    </row>
    <row r="4693" spans="1:10" x14ac:dyDescent="0.35">
      <c r="A4693" s="2" t="s">
        <v>2220</v>
      </c>
      <c r="B4693" s="2" t="s">
        <v>2340</v>
      </c>
      <c r="C4693" s="2" t="s">
        <v>54</v>
      </c>
      <c r="D4693" s="2" t="s">
        <v>2346</v>
      </c>
      <c r="E4693" s="2" t="s">
        <v>33</v>
      </c>
      <c r="F4693" s="2" t="s">
        <v>34</v>
      </c>
      <c r="G4693" s="2" t="s">
        <v>2347</v>
      </c>
      <c r="H4693" s="2" t="s">
        <v>47</v>
      </c>
      <c r="I4693" s="2" t="s">
        <v>20</v>
      </c>
      <c r="J4693" s="2" t="s">
        <v>759</v>
      </c>
    </row>
    <row r="4694" spans="1:10" x14ac:dyDescent="0.35">
      <c r="A4694" s="2" t="s">
        <v>2220</v>
      </c>
      <c r="B4694" s="2" t="s">
        <v>2340</v>
      </c>
      <c r="C4694" s="2" t="s">
        <v>54</v>
      </c>
      <c r="D4694" s="2" t="s">
        <v>2346</v>
      </c>
      <c r="E4694" s="2" t="s">
        <v>35</v>
      </c>
      <c r="F4694" s="2" t="s">
        <v>36</v>
      </c>
      <c r="G4694" s="2" t="s">
        <v>2347</v>
      </c>
      <c r="H4694" s="2" t="s">
        <v>47</v>
      </c>
      <c r="I4694" s="2" t="s">
        <v>20</v>
      </c>
      <c r="J4694" s="2" t="s">
        <v>759</v>
      </c>
    </row>
    <row r="4695" spans="1:10" x14ac:dyDescent="0.35">
      <c r="A4695" s="2" t="s">
        <v>2220</v>
      </c>
      <c r="B4695" s="2" t="s">
        <v>2340</v>
      </c>
      <c r="C4695" s="2" t="s">
        <v>54</v>
      </c>
      <c r="D4695" s="2" t="s">
        <v>2346</v>
      </c>
      <c r="E4695" s="2" t="s">
        <v>423</v>
      </c>
      <c r="F4695" s="2" t="s">
        <v>424</v>
      </c>
      <c r="G4695" s="2" t="s">
        <v>2347</v>
      </c>
      <c r="H4695" s="2" t="s">
        <v>47</v>
      </c>
      <c r="I4695" s="2" t="s">
        <v>20</v>
      </c>
      <c r="J4695" s="2" t="s">
        <v>759</v>
      </c>
    </row>
    <row r="4696" spans="1:10" x14ac:dyDescent="0.35">
      <c r="A4696" s="2" t="s">
        <v>2220</v>
      </c>
      <c r="B4696" s="2" t="s">
        <v>2340</v>
      </c>
      <c r="C4696" s="2" t="s">
        <v>54</v>
      </c>
      <c r="D4696" s="2" t="s">
        <v>2348</v>
      </c>
      <c r="E4696" s="2" t="s">
        <v>136</v>
      </c>
      <c r="F4696" s="2" t="s">
        <v>107</v>
      </c>
      <c r="G4696" s="2"/>
      <c r="H4696" s="2"/>
      <c r="I4696" s="2" t="s">
        <v>20</v>
      </c>
      <c r="J4696" s="2" t="s">
        <v>759</v>
      </c>
    </row>
    <row r="4697" spans="1:10" x14ac:dyDescent="0.35">
      <c r="A4697" s="2" t="s">
        <v>2220</v>
      </c>
      <c r="B4697" s="2" t="s">
        <v>2340</v>
      </c>
      <c r="C4697" s="2" t="s">
        <v>54</v>
      </c>
      <c r="D4697" s="2" t="s">
        <v>2348</v>
      </c>
      <c r="E4697" s="2" t="s">
        <v>227</v>
      </c>
      <c r="F4697" s="2" t="s">
        <v>228</v>
      </c>
      <c r="G4697" s="2"/>
      <c r="H4697" s="2"/>
      <c r="I4697" s="2" t="s">
        <v>20</v>
      </c>
      <c r="J4697" s="2" t="s">
        <v>759</v>
      </c>
    </row>
    <row r="4698" spans="1:10" x14ac:dyDescent="0.35">
      <c r="A4698" s="2" t="s">
        <v>2220</v>
      </c>
      <c r="B4698" s="2" t="s">
        <v>2340</v>
      </c>
      <c r="C4698" s="2" t="s">
        <v>54</v>
      </c>
      <c r="D4698" s="2" t="s">
        <v>2348</v>
      </c>
      <c r="E4698" s="2" t="s">
        <v>423</v>
      </c>
      <c r="F4698" s="2" t="s">
        <v>424</v>
      </c>
      <c r="G4698" s="2"/>
      <c r="H4698" s="2"/>
      <c r="I4698" s="2" t="s">
        <v>20</v>
      </c>
      <c r="J4698" s="2" t="s">
        <v>759</v>
      </c>
    </row>
    <row r="4699" spans="1:10" x14ac:dyDescent="0.35">
      <c r="A4699" s="2" t="s">
        <v>2220</v>
      </c>
      <c r="B4699" s="2" t="s">
        <v>2340</v>
      </c>
      <c r="C4699" s="2" t="s">
        <v>54</v>
      </c>
      <c r="D4699" s="2" t="s">
        <v>2349</v>
      </c>
      <c r="E4699" s="2" t="s">
        <v>2350</v>
      </c>
      <c r="F4699" s="2" t="s">
        <v>28</v>
      </c>
      <c r="G4699" s="2" t="s">
        <v>20</v>
      </c>
      <c r="H4699" s="2" t="s">
        <v>2351</v>
      </c>
      <c r="I4699" s="2" t="s">
        <v>20</v>
      </c>
      <c r="J4699" s="2" t="s">
        <v>759</v>
      </c>
    </row>
    <row r="4700" spans="1:10" x14ac:dyDescent="0.35">
      <c r="A4700" s="2" t="s">
        <v>2220</v>
      </c>
      <c r="B4700" s="2" t="s">
        <v>2340</v>
      </c>
      <c r="C4700" s="2" t="s">
        <v>54</v>
      </c>
      <c r="D4700" s="2" t="s">
        <v>2349</v>
      </c>
      <c r="E4700" s="2" t="s">
        <v>136</v>
      </c>
      <c r="F4700" s="2" t="s">
        <v>107</v>
      </c>
      <c r="G4700" s="2" t="s">
        <v>20</v>
      </c>
      <c r="H4700" s="2" t="s">
        <v>2351</v>
      </c>
      <c r="I4700" s="2" t="s">
        <v>20</v>
      </c>
      <c r="J4700" s="2" t="s">
        <v>759</v>
      </c>
    </row>
    <row r="4701" spans="1:10" x14ac:dyDescent="0.35">
      <c r="A4701" s="2" t="s">
        <v>2220</v>
      </c>
      <c r="B4701" s="2" t="s">
        <v>2340</v>
      </c>
      <c r="C4701" s="2" t="s">
        <v>54</v>
      </c>
      <c r="D4701" s="2" t="s">
        <v>2349</v>
      </c>
      <c r="E4701" s="2" t="s">
        <v>423</v>
      </c>
      <c r="F4701" s="2" t="s">
        <v>424</v>
      </c>
      <c r="G4701" s="2" t="s">
        <v>20</v>
      </c>
      <c r="H4701" s="2" t="s">
        <v>2351</v>
      </c>
      <c r="I4701" s="2" t="s">
        <v>20</v>
      </c>
      <c r="J4701" s="2" t="s">
        <v>759</v>
      </c>
    </row>
    <row r="4702" spans="1:10" x14ac:dyDescent="0.35">
      <c r="A4702" s="2" t="s">
        <v>2220</v>
      </c>
      <c r="B4702" s="2" t="s">
        <v>2340</v>
      </c>
      <c r="C4702" s="2" t="s">
        <v>24</v>
      </c>
      <c r="D4702" s="2" t="s">
        <v>2352</v>
      </c>
      <c r="E4702" s="2" t="s">
        <v>27</v>
      </c>
      <c r="F4702" s="2" t="s">
        <v>28</v>
      </c>
      <c r="G4702" s="2" t="s">
        <v>20</v>
      </c>
      <c r="H4702" s="2" t="s">
        <v>2353</v>
      </c>
      <c r="I4702" s="2" t="s">
        <v>20</v>
      </c>
      <c r="J4702" s="2" t="s">
        <v>759</v>
      </c>
    </row>
    <row r="4703" spans="1:10" x14ac:dyDescent="0.35">
      <c r="A4703" s="2" t="s">
        <v>2220</v>
      </c>
      <c r="B4703" s="2" t="s">
        <v>2340</v>
      </c>
      <c r="C4703" s="2" t="s">
        <v>24</v>
      </c>
      <c r="D4703" s="2" t="s">
        <v>2352</v>
      </c>
      <c r="E4703" s="2" t="s">
        <v>2354</v>
      </c>
      <c r="F4703" s="2" t="s">
        <v>28</v>
      </c>
      <c r="G4703" s="2"/>
      <c r="H4703" s="2"/>
      <c r="I4703" s="2" t="s">
        <v>20</v>
      </c>
      <c r="J4703" s="2" t="s">
        <v>759</v>
      </c>
    </row>
    <row r="4704" spans="1:10" x14ac:dyDescent="0.35">
      <c r="A4704" s="2" t="s">
        <v>2220</v>
      </c>
      <c r="B4704" s="2" t="s">
        <v>2340</v>
      </c>
      <c r="C4704" s="2" t="s">
        <v>24</v>
      </c>
      <c r="D4704" s="2" t="s">
        <v>2352</v>
      </c>
      <c r="E4704" s="2" t="s">
        <v>35</v>
      </c>
      <c r="F4704" s="2" t="s">
        <v>36</v>
      </c>
      <c r="G4704" s="2"/>
      <c r="H4704" s="2"/>
      <c r="I4704" s="2" t="s">
        <v>20</v>
      </c>
      <c r="J4704" s="2" t="s">
        <v>759</v>
      </c>
    </row>
    <row r="4705" spans="1:10" x14ac:dyDescent="0.35">
      <c r="A4705" s="2" t="s">
        <v>2220</v>
      </c>
      <c r="B4705" s="2" t="s">
        <v>2355</v>
      </c>
      <c r="C4705" s="2" t="s">
        <v>62</v>
      </c>
      <c r="D4705" s="2" t="s">
        <v>2356</v>
      </c>
      <c r="E4705" s="2" t="s">
        <v>120</v>
      </c>
      <c r="F4705" s="2" t="s">
        <v>32</v>
      </c>
      <c r="G4705" s="2"/>
      <c r="H4705" s="2"/>
      <c r="I4705" s="2" t="s">
        <v>20</v>
      </c>
      <c r="J4705" s="2" t="s">
        <v>759</v>
      </c>
    </row>
    <row r="4706" spans="1:10" x14ac:dyDescent="0.35">
      <c r="A4706" s="2" t="s">
        <v>2220</v>
      </c>
      <c r="B4706" s="2" t="s">
        <v>2355</v>
      </c>
      <c r="C4706" s="2" t="s">
        <v>62</v>
      </c>
      <c r="D4706" s="2" t="s">
        <v>2356</v>
      </c>
      <c r="E4706" s="2" t="s">
        <v>52</v>
      </c>
      <c r="F4706" s="2" t="s">
        <v>52</v>
      </c>
      <c r="G4706" s="2"/>
      <c r="H4706" s="2"/>
      <c r="I4706" s="2" t="s">
        <v>20</v>
      </c>
      <c r="J4706" s="2" t="s">
        <v>759</v>
      </c>
    </row>
    <row r="4707" spans="1:10" x14ac:dyDescent="0.35">
      <c r="A4707" s="2" t="s">
        <v>2220</v>
      </c>
      <c r="B4707" s="2" t="s">
        <v>2355</v>
      </c>
      <c r="C4707" s="2" t="s">
        <v>62</v>
      </c>
      <c r="D4707" s="2" t="s">
        <v>2356</v>
      </c>
      <c r="E4707" s="2" t="s">
        <v>61</v>
      </c>
      <c r="F4707" s="2" t="s">
        <v>30</v>
      </c>
      <c r="G4707" s="2"/>
      <c r="H4707" s="2"/>
      <c r="I4707" s="2" t="s">
        <v>20</v>
      </c>
      <c r="J4707" s="2" t="s">
        <v>759</v>
      </c>
    </row>
    <row r="4708" spans="1:10" x14ac:dyDescent="0.35">
      <c r="A4708" s="2" t="s">
        <v>2220</v>
      </c>
      <c r="B4708" s="2" t="s">
        <v>2355</v>
      </c>
      <c r="C4708" s="2" t="s">
        <v>57</v>
      </c>
      <c r="D4708" s="2" t="s">
        <v>2357</v>
      </c>
      <c r="E4708" s="2" t="s">
        <v>2358</v>
      </c>
      <c r="F4708" s="2" t="s">
        <v>107</v>
      </c>
      <c r="G4708" s="2" t="s">
        <v>20</v>
      </c>
      <c r="H4708" s="2" t="s">
        <v>2359</v>
      </c>
      <c r="I4708" s="2" t="s">
        <v>20</v>
      </c>
      <c r="J4708" s="2" t="s">
        <v>759</v>
      </c>
    </row>
    <row r="4709" spans="1:10" x14ac:dyDescent="0.35">
      <c r="A4709" s="2" t="s">
        <v>2220</v>
      </c>
      <c r="B4709" s="2" t="s">
        <v>2355</v>
      </c>
      <c r="C4709" s="2" t="s">
        <v>57</v>
      </c>
      <c r="D4709" s="2" t="s">
        <v>2357</v>
      </c>
      <c r="E4709" s="2" t="s">
        <v>1727</v>
      </c>
      <c r="F4709" s="2" t="s">
        <v>38</v>
      </c>
      <c r="G4709" s="2"/>
      <c r="H4709" s="2"/>
      <c r="I4709" s="2" t="s">
        <v>20</v>
      </c>
      <c r="J4709" s="2" t="s">
        <v>759</v>
      </c>
    </row>
    <row r="4710" spans="1:10" x14ac:dyDescent="0.35">
      <c r="A4710" s="2" t="s">
        <v>2220</v>
      </c>
      <c r="B4710" s="2" t="s">
        <v>2355</v>
      </c>
      <c r="C4710" s="2" t="s">
        <v>57</v>
      </c>
      <c r="D4710" s="2" t="s">
        <v>2357</v>
      </c>
      <c r="E4710" s="2" t="s">
        <v>35</v>
      </c>
      <c r="F4710" s="2" t="s">
        <v>36</v>
      </c>
      <c r="G4710" s="2"/>
      <c r="H4710" s="2"/>
      <c r="I4710" s="2" t="s">
        <v>20</v>
      </c>
      <c r="J4710" s="2" t="s">
        <v>759</v>
      </c>
    </row>
    <row r="4711" spans="1:10" x14ac:dyDescent="0.35">
      <c r="A4711" s="2" t="s">
        <v>2220</v>
      </c>
      <c r="B4711" s="2" t="s">
        <v>2355</v>
      </c>
      <c r="C4711" s="2" t="s">
        <v>57</v>
      </c>
      <c r="D4711" s="2" t="s">
        <v>2357</v>
      </c>
      <c r="E4711" s="2" t="s">
        <v>61</v>
      </c>
      <c r="F4711" s="2" t="s">
        <v>30</v>
      </c>
      <c r="G4711" s="2"/>
      <c r="H4711" s="2"/>
      <c r="I4711" s="2" t="s">
        <v>20</v>
      </c>
      <c r="J4711" s="2" t="s">
        <v>759</v>
      </c>
    </row>
    <row r="4712" spans="1:10" s="21" customFormat="1" x14ac:dyDescent="0.35">
      <c r="A4712" s="2" t="s">
        <v>2220</v>
      </c>
      <c r="B4712" s="2" t="s">
        <v>2355</v>
      </c>
      <c r="C4712" s="2" t="s">
        <v>24</v>
      </c>
      <c r="D4712" s="2" t="s">
        <v>2360</v>
      </c>
      <c r="E4712" s="2" t="s">
        <v>763</v>
      </c>
      <c r="F4712" s="2" t="s">
        <v>107</v>
      </c>
      <c r="G4712" s="2"/>
      <c r="H4712" s="2"/>
      <c r="I4712" s="2" t="s">
        <v>20</v>
      </c>
      <c r="J4712" s="2" t="s">
        <v>759</v>
      </c>
    </row>
    <row r="4713" spans="1:10" s="21" customFormat="1" x14ac:dyDescent="0.35">
      <c r="A4713" s="2" t="s">
        <v>2220</v>
      </c>
      <c r="B4713" s="2" t="s">
        <v>2355</v>
      </c>
      <c r="C4713" s="2" t="s">
        <v>24</v>
      </c>
      <c r="D4713" s="2" t="s">
        <v>2360</v>
      </c>
      <c r="E4713" s="2" t="s">
        <v>35</v>
      </c>
      <c r="F4713" s="2" t="s">
        <v>36</v>
      </c>
      <c r="G4713" s="2"/>
      <c r="H4713" s="2"/>
      <c r="I4713" s="2" t="s">
        <v>20</v>
      </c>
      <c r="J4713" s="2" t="s">
        <v>759</v>
      </c>
    </row>
    <row r="4714" spans="1:10" s="21" customFormat="1" x14ac:dyDescent="0.35">
      <c r="A4714" s="2" t="s">
        <v>2220</v>
      </c>
      <c r="B4714" s="2" t="s">
        <v>2355</v>
      </c>
      <c r="C4714" s="2" t="s">
        <v>24</v>
      </c>
      <c r="D4714" s="2" t="s">
        <v>2360</v>
      </c>
      <c r="E4714" s="2" t="s">
        <v>227</v>
      </c>
      <c r="F4714" s="2" t="s">
        <v>228</v>
      </c>
      <c r="G4714" s="2"/>
      <c r="H4714" s="2"/>
      <c r="I4714" s="2" t="s">
        <v>20</v>
      </c>
      <c r="J4714" s="2" t="s">
        <v>759</v>
      </c>
    </row>
    <row r="4715" spans="1:10" s="21" customFormat="1" x14ac:dyDescent="0.35">
      <c r="A4715" s="2" t="s">
        <v>2220</v>
      </c>
      <c r="B4715" s="2" t="s">
        <v>2355</v>
      </c>
      <c r="C4715" s="2" t="s">
        <v>24</v>
      </c>
      <c r="D4715" s="2" t="s">
        <v>2360</v>
      </c>
      <c r="E4715" s="2" t="s">
        <v>61</v>
      </c>
      <c r="F4715" s="2" t="s">
        <v>30</v>
      </c>
      <c r="G4715" s="2"/>
      <c r="H4715" s="2"/>
      <c r="I4715" s="2" t="s">
        <v>20</v>
      </c>
      <c r="J4715" s="2" t="s">
        <v>759</v>
      </c>
    </row>
    <row r="4716" spans="1:10" x14ac:dyDescent="0.35">
      <c r="A4716" s="2" t="s">
        <v>2220</v>
      </c>
      <c r="B4716" s="2" t="s">
        <v>2355</v>
      </c>
      <c r="C4716" s="2" t="s">
        <v>24</v>
      </c>
      <c r="D4716" s="2" t="s">
        <v>2361</v>
      </c>
      <c r="E4716" s="2" t="s">
        <v>763</v>
      </c>
      <c r="F4716" s="2" t="s">
        <v>107</v>
      </c>
      <c r="G4716" s="2"/>
      <c r="H4716" s="2"/>
      <c r="I4716" s="2" t="s">
        <v>20</v>
      </c>
      <c r="J4716" s="2" t="s">
        <v>759</v>
      </c>
    </row>
    <row r="4717" spans="1:10" x14ac:dyDescent="0.35">
      <c r="A4717" s="2" t="s">
        <v>2220</v>
      </c>
      <c r="B4717" s="2" t="s">
        <v>2355</v>
      </c>
      <c r="C4717" s="2" t="s">
        <v>24</v>
      </c>
      <c r="D4717" s="2" t="s">
        <v>2361</v>
      </c>
      <c r="E4717" s="2" t="s">
        <v>27</v>
      </c>
      <c r="F4717" s="2" t="s">
        <v>28</v>
      </c>
      <c r="G4717" s="2" t="s">
        <v>20</v>
      </c>
      <c r="H4717" s="2" t="s">
        <v>2362</v>
      </c>
      <c r="I4717" s="2" t="s">
        <v>20</v>
      </c>
      <c r="J4717" s="2" t="s">
        <v>759</v>
      </c>
    </row>
    <row r="4718" spans="1:10" x14ac:dyDescent="0.35">
      <c r="A4718" s="2" t="s">
        <v>2220</v>
      </c>
      <c r="B4718" s="2" t="s">
        <v>2355</v>
      </c>
      <c r="C4718" s="2" t="s">
        <v>24</v>
      </c>
      <c r="D4718" s="2" t="s">
        <v>2361</v>
      </c>
      <c r="E4718" s="2" t="s">
        <v>2363</v>
      </c>
      <c r="F4718" s="2" t="s">
        <v>228</v>
      </c>
      <c r="G4718" s="2"/>
      <c r="H4718" s="2"/>
      <c r="I4718" s="2" t="s">
        <v>20</v>
      </c>
      <c r="J4718" s="2" t="s">
        <v>759</v>
      </c>
    </row>
    <row r="4719" spans="1:10" x14ac:dyDescent="0.35">
      <c r="A4719" s="2" t="s">
        <v>2220</v>
      </c>
      <c r="B4719" s="2" t="s">
        <v>2355</v>
      </c>
      <c r="C4719" s="2" t="s">
        <v>24</v>
      </c>
      <c r="D4719" s="2" t="s">
        <v>2361</v>
      </c>
      <c r="E4719" s="2" t="s">
        <v>61</v>
      </c>
      <c r="F4719" s="2" t="s">
        <v>30</v>
      </c>
      <c r="G4719" s="2"/>
      <c r="H4719" s="2"/>
      <c r="I4719" s="2" t="s">
        <v>20</v>
      </c>
      <c r="J4719" s="2" t="s">
        <v>759</v>
      </c>
    </row>
    <row r="4720" spans="1:10" x14ac:dyDescent="0.35">
      <c r="A4720" s="2" t="s">
        <v>2220</v>
      </c>
      <c r="B4720" s="2" t="s">
        <v>2355</v>
      </c>
      <c r="C4720" s="2" t="s">
        <v>24</v>
      </c>
      <c r="D4720" s="2" t="s">
        <v>2361</v>
      </c>
      <c r="E4720" s="2" t="s">
        <v>423</v>
      </c>
      <c r="F4720" s="2" t="s">
        <v>424</v>
      </c>
      <c r="G4720" s="2"/>
      <c r="H4720" s="2"/>
      <c r="I4720" s="2" t="s">
        <v>20</v>
      </c>
      <c r="J4720" s="2" t="s">
        <v>759</v>
      </c>
    </row>
    <row r="4721" spans="1:10" s="21" customFormat="1" x14ac:dyDescent="0.35">
      <c r="A4721" s="2" t="s">
        <v>2220</v>
      </c>
      <c r="B4721" s="2" t="s">
        <v>2355</v>
      </c>
      <c r="C4721" s="2" t="s">
        <v>24</v>
      </c>
      <c r="D4721" s="2" t="s">
        <v>2364</v>
      </c>
      <c r="E4721" s="2" t="s">
        <v>14</v>
      </c>
      <c r="F4721" s="2" t="s">
        <v>15</v>
      </c>
      <c r="G4721" s="2"/>
      <c r="H4721" s="2"/>
      <c r="I4721" s="2" t="s">
        <v>20</v>
      </c>
      <c r="J4721" s="2" t="s">
        <v>759</v>
      </c>
    </row>
    <row r="4722" spans="1:10" s="21" customFormat="1" x14ac:dyDescent="0.35">
      <c r="A4722" s="2" t="s">
        <v>2220</v>
      </c>
      <c r="B4722" s="2" t="s">
        <v>2355</v>
      </c>
      <c r="C4722" s="2" t="s">
        <v>24</v>
      </c>
      <c r="D4722" s="2" t="s">
        <v>2364</v>
      </c>
      <c r="E4722" s="2" t="s">
        <v>763</v>
      </c>
      <c r="F4722" s="2" t="s">
        <v>107</v>
      </c>
      <c r="G4722" s="2"/>
      <c r="H4722" s="2"/>
      <c r="I4722" s="2" t="s">
        <v>20</v>
      </c>
      <c r="J4722" s="2" t="s">
        <v>759</v>
      </c>
    </row>
    <row r="4723" spans="1:10" s="21" customFormat="1" x14ac:dyDescent="0.35">
      <c r="A4723" s="2" t="s">
        <v>2220</v>
      </c>
      <c r="B4723" s="2" t="s">
        <v>2355</v>
      </c>
      <c r="C4723" s="2" t="s">
        <v>24</v>
      </c>
      <c r="D4723" s="2" t="s">
        <v>2364</v>
      </c>
      <c r="E4723" s="2" t="s">
        <v>27</v>
      </c>
      <c r="F4723" s="2" t="s">
        <v>28</v>
      </c>
      <c r="G4723" s="2"/>
      <c r="H4723" s="2"/>
      <c r="I4723" s="2" t="s">
        <v>20</v>
      </c>
      <c r="J4723" s="2" t="s">
        <v>759</v>
      </c>
    </row>
    <row r="4724" spans="1:10" s="21" customFormat="1" x14ac:dyDescent="0.35">
      <c r="A4724" s="2" t="s">
        <v>2220</v>
      </c>
      <c r="B4724" s="2" t="s">
        <v>2355</v>
      </c>
      <c r="C4724" s="2" t="s">
        <v>24</v>
      </c>
      <c r="D4724" s="2" t="s">
        <v>2364</v>
      </c>
      <c r="E4724" s="2" t="s">
        <v>2365</v>
      </c>
      <c r="F4724" s="2" t="s">
        <v>228</v>
      </c>
      <c r="G4724" s="2"/>
      <c r="H4724" s="2"/>
      <c r="I4724" s="2" t="s">
        <v>20</v>
      </c>
      <c r="J4724" s="2" t="s">
        <v>759</v>
      </c>
    </row>
    <row r="4725" spans="1:10" s="21" customFormat="1" x14ac:dyDescent="0.35">
      <c r="A4725" s="2" t="s">
        <v>2220</v>
      </c>
      <c r="B4725" s="2" t="s">
        <v>2355</v>
      </c>
      <c r="C4725" s="2" t="s">
        <v>24</v>
      </c>
      <c r="D4725" s="2" t="s">
        <v>2364</v>
      </c>
      <c r="E4725" s="2" t="s">
        <v>35</v>
      </c>
      <c r="F4725" s="2" t="s">
        <v>36</v>
      </c>
      <c r="G4725" s="2"/>
      <c r="H4725" s="2"/>
      <c r="I4725" s="2" t="s">
        <v>20</v>
      </c>
      <c r="J4725" s="2" t="s">
        <v>759</v>
      </c>
    </row>
    <row r="4726" spans="1:10" s="21" customFormat="1" x14ac:dyDescent="0.35">
      <c r="A4726" s="2" t="s">
        <v>2220</v>
      </c>
      <c r="B4726" s="2" t="s">
        <v>2355</v>
      </c>
      <c r="C4726" s="2" t="s">
        <v>24</v>
      </c>
      <c r="D4726" s="2" t="s">
        <v>2364</v>
      </c>
      <c r="E4726" s="2" t="s">
        <v>61</v>
      </c>
      <c r="F4726" s="2" t="s">
        <v>30</v>
      </c>
      <c r="G4726" s="2"/>
      <c r="H4726" s="2"/>
      <c r="I4726" s="2" t="s">
        <v>20</v>
      </c>
      <c r="J4726" s="2" t="s">
        <v>759</v>
      </c>
    </row>
    <row r="4727" spans="1:10" s="21" customFormat="1" x14ac:dyDescent="0.35">
      <c r="A4727" s="2" t="s">
        <v>2220</v>
      </c>
      <c r="B4727" s="2" t="s">
        <v>2355</v>
      </c>
      <c r="C4727" s="2" t="s">
        <v>24</v>
      </c>
      <c r="D4727" s="2" t="s">
        <v>2364</v>
      </c>
      <c r="E4727" s="2" t="s">
        <v>423</v>
      </c>
      <c r="F4727" s="2" t="s">
        <v>424</v>
      </c>
      <c r="G4727" s="2"/>
      <c r="H4727" s="2"/>
      <c r="I4727" s="2" t="s">
        <v>20</v>
      </c>
      <c r="J4727" s="2" t="s">
        <v>759</v>
      </c>
    </row>
    <row r="4728" spans="1:10" s="21" customFormat="1" x14ac:dyDescent="0.35">
      <c r="A4728" s="2" t="s">
        <v>2220</v>
      </c>
      <c r="B4728" s="2" t="s">
        <v>2355</v>
      </c>
      <c r="C4728" s="2" t="s">
        <v>24</v>
      </c>
      <c r="D4728" s="2" t="s">
        <v>2366</v>
      </c>
      <c r="E4728" s="2" t="s">
        <v>763</v>
      </c>
      <c r="F4728" s="2" t="s">
        <v>107</v>
      </c>
      <c r="G4728" s="2"/>
      <c r="H4728" s="2"/>
      <c r="I4728" s="2" t="s">
        <v>20</v>
      </c>
      <c r="J4728" s="2" t="s">
        <v>759</v>
      </c>
    </row>
    <row r="4729" spans="1:10" s="21" customFormat="1" x14ac:dyDescent="0.35">
      <c r="A4729" s="2" t="s">
        <v>2220</v>
      </c>
      <c r="B4729" s="2" t="s">
        <v>2355</v>
      </c>
      <c r="C4729" s="2" t="s">
        <v>24</v>
      </c>
      <c r="D4729" s="2" t="s">
        <v>2366</v>
      </c>
      <c r="E4729" s="2" t="s">
        <v>27</v>
      </c>
      <c r="F4729" s="2" t="s">
        <v>28</v>
      </c>
      <c r="G4729" s="2"/>
      <c r="H4729" s="2"/>
      <c r="I4729" s="2" t="s">
        <v>20</v>
      </c>
      <c r="J4729" s="2" t="s">
        <v>759</v>
      </c>
    </row>
    <row r="4730" spans="1:10" s="21" customFormat="1" x14ac:dyDescent="0.35">
      <c r="A4730" s="2" t="s">
        <v>2220</v>
      </c>
      <c r="B4730" s="2" t="s">
        <v>2355</v>
      </c>
      <c r="C4730" s="2" t="s">
        <v>24</v>
      </c>
      <c r="D4730" s="2" t="s">
        <v>2366</v>
      </c>
      <c r="E4730" s="2" t="s">
        <v>35</v>
      </c>
      <c r="F4730" s="2" t="s">
        <v>36</v>
      </c>
      <c r="G4730" s="2"/>
      <c r="H4730" s="2"/>
      <c r="I4730" s="2" t="s">
        <v>20</v>
      </c>
      <c r="J4730" s="2" t="s">
        <v>759</v>
      </c>
    </row>
    <row r="4731" spans="1:10" s="21" customFormat="1" x14ac:dyDescent="0.35">
      <c r="A4731" s="2" t="s">
        <v>2220</v>
      </c>
      <c r="B4731" s="2" t="s">
        <v>2355</v>
      </c>
      <c r="C4731" s="2" t="s">
        <v>24</v>
      </c>
      <c r="D4731" s="2" t="s">
        <v>2366</v>
      </c>
      <c r="E4731" s="2" t="s">
        <v>61</v>
      </c>
      <c r="F4731" s="2" t="s">
        <v>30</v>
      </c>
      <c r="G4731" s="2"/>
      <c r="H4731" s="2"/>
      <c r="I4731" s="2" t="s">
        <v>20</v>
      </c>
      <c r="J4731" s="2" t="s">
        <v>759</v>
      </c>
    </row>
    <row r="4732" spans="1:10" x14ac:dyDescent="0.35">
      <c r="A4732" s="2" t="s">
        <v>2220</v>
      </c>
      <c r="B4732" s="2" t="s">
        <v>2367</v>
      </c>
      <c r="C4732" s="2" t="s">
        <v>57</v>
      </c>
      <c r="D4732" s="2" t="s">
        <v>2368</v>
      </c>
      <c r="E4732" s="2" t="s">
        <v>121</v>
      </c>
      <c r="F4732" s="2" t="s">
        <v>122</v>
      </c>
      <c r="G4732" s="2" t="s">
        <v>20</v>
      </c>
      <c r="H4732" s="2" t="s">
        <v>2369</v>
      </c>
      <c r="I4732" s="2" t="s">
        <v>20</v>
      </c>
      <c r="J4732" s="2" t="s">
        <v>2244</v>
      </c>
    </row>
    <row r="4733" spans="1:10" x14ac:dyDescent="0.35">
      <c r="A4733" s="2" t="s">
        <v>2220</v>
      </c>
      <c r="B4733" s="2" t="s">
        <v>2367</v>
      </c>
      <c r="C4733" s="2" t="s">
        <v>57</v>
      </c>
      <c r="D4733" s="2" t="s">
        <v>2368</v>
      </c>
      <c r="E4733" s="2" t="s">
        <v>61</v>
      </c>
      <c r="F4733" s="2" t="s">
        <v>30</v>
      </c>
      <c r="G4733" s="2" t="s">
        <v>20</v>
      </c>
      <c r="H4733" s="2" t="s">
        <v>2369</v>
      </c>
      <c r="I4733" s="2" t="s">
        <v>20</v>
      </c>
      <c r="J4733" s="2" t="s">
        <v>2244</v>
      </c>
    </row>
    <row r="4734" spans="1:10" s="21" customFormat="1" x14ac:dyDescent="0.35">
      <c r="A4734" s="2" t="s">
        <v>2220</v>
      </c>
      <c r="B4734" s="2" t="s">
        <v>2370</v>
      </c>
      <c r="C4734" s="2" t="s">
        <v>54</v>
      </c>
      <c r="D4734" s="2" t="s">
        <v>2371</v>
      </c>
      <c r="E4734" s="2" t="s">
        <v>87</v>
      </c>
      <c r="F4734" s="2" t="s">
        <v>75</v>
      </c>
      <c r="G4734" s="2"/>
      <c r="H4734" s="2"/>
      <c r="I4734" s="2"/>
      <c r="J4734" s="2"/>
    </row>
    <row r="4735" spans="1:10" s="21" customFormat="1" x14ac:dyDescent="0.35">
      <c r="A4735" s="2" t="s">
        <v>2220</v>
      </c>
      <c r="B4735" s="2" t="s">
        <v>2370</v>
      </c>
      <c r="C4735" s="2" t="s">
        <v>54</v>
      </c>
      <c r="D4735" s="2" t="s">
        <v>2371</v>
      </c>
      <c r="E4735" s="2" t="s">
        <v>61</v>
      </c>
      <c r="F4735" s="2" t="s">
        <v>30</v>
      </c>
      <c r="G4735" s="2"/>
      <c r="H4735" s="2"/>
      <c r="I4735" s="2"/>
      <c r="J4735" s="2"/>
    </row>
    <row r="4736" spans="1:10" s="21" customFormat="1" x14ac:dyDescent="0.35">
      <c r="A4736" s="2" t="s">
        <v>2220</v>
      </c>
      <c r="B4736" s="2" t="s">
        <v>2372</v>
      </c>
      <c r="C4736" s="2" t="s">
        <v>57</v>
      </c>
      <c r="D4736" s="2" t="s">
        <v>2373</v>
      </c>
      <c r="E4736" s="2" t="s">
        <v>33</v>
      </c>
      <c r="F4736" s="2" t="s">
        <v>34</v>
      </c>
      <c r="G4736" s="2"/>
      <c r="H4736" s="2"/>
      <c r="I4736" s="2" t="s">
        <v>20</v>
      </c>
      <c r="J4736" s="2" t="s">
        <v>759</v>
      </c>
    </row>
    <row r="4737" spans="1:10" s="21" customFormat="1" x14ac:dyDescent="0.35">
      <c r="A4737" s="2" t="s">
        <v>2220</v>
      </c>
      <c r="B4737" s="2" t="s">
        <v>2372</v>
      </c>
      <c r="C4737" s="2" t="s">
        <v>57</v>
      </c>
      <c r="D4737" s="2" t="s">
        <v>2373</v>
      </c>
      <c r="E4737" s="2" t="s">
        <v>38</v>
      </c>
      <c r="F4737" s="2" t="s">
        <v>38</v>
      </c>
      <c r="G4737" s="2"/>
      <c r="H4737" s="2"/>
      <c r="I4737" s="2" t="s">
        <v>20</v>
      </c>
      <c r="J4737" s="2" t="s">
        <v>759</v>
      </c>
    </row>
    <row r="4738" spans="1:10" s="21" customFormat="1" x14ac:dyDescent="0.35">
      <c r="A4738" s="2" t="s">
        <v>2220</v>
      </c>
      <c r="B4738" s="2" t="s">
        <v>2372</v>
      </c>
      <c r="C4738" s="2" t="s">
        <v>57</v>
      </c>
      <c r="D4738" s="2" t="s">
        <v>2373</v>
      </c>
      <c r="E4738" s="2" t="s">
        <v>35</v>
      </c>
      <c r="F4738" s="2" t="s">
        <v>36</v>
      </c>
      <c r="G4738" s="2"/>
      <c r="H4738" s="2"/>
      <c r="I4738" s="2" t="s">
        <v>20</v>
      </c>
      <c r="J4738" s="2" t="s">
        <v>759</v>
      </c>
    </row>
    <row r="4739" spans="1:10" s="21" customFormat="1" x14ac:dyDescent="0.35">
      <c r="A4739" s="2" t="s">
        <v>2220</v>
      </c>
      <c r="B4739" s="2" t="s">
        <v>2372</v>
      </c>
      <c r="C4739" s="2" t="s">
        <v>57</v>
      </c>
      <c r="D4739" s="2" t="s">
        <v>2373</v>
      </c>
      <c r="E4739" s="2" t="s">
        <v>2363</v>
      </c>
      <c r="F4739" s="2" t="s">
        <v>228</v>
      </c>
      <c r="G4739" s="2"/>
      <c r="H4739" s="2"/>
      <c r="I4739" s="2" t="s">
        <v>20</v>
      </c>
      <c r="J4739" s="2" t="s">
        <v>759</v>
      </c>
    </row>
    <row r="4740" spans="1:10" s="21" customFormat="1" x14ac:dyDescent="0.35">
      <c r="A4740" s="2" t="s">
        <v>2220</v>
      </c>
      <c r="B4740" s="2" t="s">
        <v>2372</v>
      </c>
      <c r="C4740" s="2" t="s">
        <v>57</v>
      </c>
      <c r="D4740" s="2" t="s">
        <v>2373</v>
      </c>
      <c r="E4740" s="2" t="s">
        <v>61</v>
      </c>
      <c r="F4740" s="2" t="s">
        <v>30</v>
      </c>
      <c r="G4740" s="2"/>
      <c r="H4740" s="2"/>
      <c r="I4740" s="2" t="s">
        <v>20</v>
      </c>
      <c r="J4740" s="2" t="s">
        <v>759</v>
      </c>
    </row>
    <row r="4741" spans="1:10" x14ac:dyDescent="0.35">
      <c r="A4741" s="2" t="s">
        <v>2220</v>
      </c>
      <c r="B4741" s="2" t="s">
        <v>2372</v>
      </c>
      <c r="C4741" s="2" t="s">
        <v>62</v>
      </c>
      <c r="D4741" s="2" t="s">
        <v>2374</v>
      </c>
      <c r="E4741" s="2" t="s">
        <v>27</v>
      </c>
      <c r="F4741" s="2" t="s">
        <v>28</v>
      </c>
      <c r="G4741" s="2"/>
      <c r="H4741" s="2"/>
      <c r="I4741" s="2" t="s">
        <v>20</v>
      </c>
      <c r="J4741" s="2" t="s">
        <v>759</v>
      </c>
    </row>
    <row r="4742" spans="1:10" x14ac:dyDescent="0.35">
      <c r="A4742" s="2" t="s">
        <v>2220</v>
      </c>
      <c r="B4742" s="2" t="s">
        <v>2372</v>
      </c>
      <c r="C4742" s="2" t="s">
        <v>62</v>
      </c>
      <c r="D4742" s="2" t="s">
        <v>2374</v>
      </c>
      <c r="E4742" s="2" t="s">
        <v>269</v>
      </c>
      <c r="F4742" s="2" t="s">
        <v>270</v>
      </c>
      <c r="G4742" s="2"/>
      <c r="H4742" s="2"/>
      <c r="I4742" s="2" t="s">
        <v>20</v>
      </c>
      <c r="J4742" s="2" t="s">
        <v>759</v>
      </c>
    </row>
    <row r="4743" spans="1:10" x14ac:dyDescent="0.35">
      <c r="A4743" s="2" t="s">
        <v>2220</v>
      </c>
      <c r="B4743" s="2" t="s">
        <v>2372</v>
      </c>
      <c r="C4743" s="2" t="s">
        <v>24</v>
      </c>
      <c r="D4743" s="2" t="s">
        <v>2375</v>
      </c>
      <c r="E4743" s="2" t="s">
        <v>27</v>
      </c>
      <c r="F4743" s="2" t="s">
        <v>28</v>
      </c>
      <c r="G4743" s="2" t="s">
        <v>20</v>
      </c>
      <c r="H4743" s="2" t="s">
        <v>2376</v>
      </c>
      <c r="I4743" s="2" t="s">
        <v>20</v>
      </c>
      <c r="J4743" s="2" t="s">
        <v>759</v>
      </c>
    </row>
    <row r="4744" spans="1:10" s="21" customFormat="1" x14ac:dyDescent="0.35">
      <c r="A4744" s="2" t="s">
        <v>2220</v>
      </c>
      <c r="B4744" s="2" t="s">
        <v>2372</v>
      </c>
      <c r="C4744" s="2" t="s">
        <v>24</v>
      </c>
      <c r="D4744" s="2" t="s">
        <v>2375</v>
      </c>
      <c r="E4744" s="2" t="s">
        <v>120</v>
      </c>
      <c r="F4744" s="2" t="s">
        <v>32</v>
      </c>
      <c r="G4744" s="2"/>
      <c r="H4744" s="2"/>
      <c r="I4744" s="2"/>
      <c r="J4744" s="2"/>
    </row>
    <row r="4745" spans="1:10" s="21" customFormat="1" x14ac:dyDescent="0.35">
      <c r="A4745" s="2" t="s">
        <v>2220</v>
      </c>
      <c r="B4745" s="2" t="s">
        <v>2372</v>
      </c>
      <c r="C4745" s="2" t="s">
        <v>24</v>
      </c>
      <c r="D4745" s="2" t="s">
        <v>2375</v>
      </c>
      <c r="E4745" s="2" t="s">
        <v>35</v>
      </c>
      <c r="F4745" s="2" t="s">
        <v>36</v>
      </c>
      <c r="G4745" s="2"/>
      <c r="H4745" s="2"/>
      <c r="I4745" s="2"/>
      <c r="J4745" s="2"/>
    </row>
    <row r="4746" spans="1:10" s="21" customFormat="1" x14ac:dyDescent="0.35">
      <c r="A4746" s="2" t="s">
        <v>2220</v>
      </c>
      <c r="B4746" s="2" t="s">
        <v>2372</v>
      </c>
      <c r="C4746" s="2" t="s">
        <v>24</v>
      </c>
      <c r="D4746" s="2" t="s">
        <v>2375</v>
      </c>
      <c r="E4746" s="2" t="s">
        <v>269</v>
      </c>
      <c r="F4746" s="2" t="s">
        <v>270</v>
      </c>
      <c r="G4746" s="2"/>
      <c r="H4746" s="2"/>
      <c r="I4746" s="2"/>
      <c r="J4746" s="2"/>
    </row>
    <row r="4747" spans="1:10" s="21" customFormat="1" x14ac:dyDescent="0.35">
      <c r="A4747" s="2" t="s">
        <v>2220</v>
      </c>
      <c r="B4747" s="2" t="s">
        <v>2372</v>
      </c>
      <c r="C4747" s="2" t="s">
        <v>24</v>
      </c>
      <c r="D4747" s="2" t="s">
        <v>2375</v>
      </c>
      <c r="E4747" s="2" t="s">
        <v>61</v>
      </c>
      <c r="F4747" s="2" t="s">
        <v>30</v>
      </c>
      <c r="G4747" s="2"/>
      <c r="H4747" s="2"/>
      <c r="I4747" s="2"/>
      <c r="J4747" s="2"/>
    </row>
    <row r="4748" spans="1:10" s="21" customFormat="1" x14ac:dyDescent="0.35">
      <c r="A4748" s="2" t="s">
        <v>2220</v>
      </c>
      <c r="B4748" s="2" t="s">
        <v>2372</v>
      </c>
      <c r="C4748" s="2" t="s">
        <v>24</v>
      </c>
      <c r="D4748" s="2" t="s">
        <v>2375</v>
      </c>
      <c r="E4748" s="2" t="s">
        <v>423</v>
      </c>
      <c r="F4748" s="2" t="s">
        <v>424</v>
      </c>
      <c r="G4748" s="2"/>
      <c r="H4748" s="2"/>
      <c r="I4748" s="2"/>
      <c r="J4748" s="2"/>
    </row>
    <row r="4749" spans="1:10" x14ac:dyDescent="0.35">
      <c r="A4749" s="2" t="s">
        <v>2220</v>
      </c>
      <c r="B4749" s="2" t="s">
        <v>2372</v>
      </c>
      <c r="C4749" s="2" t="s">
        <v>24</v>
      </c>
      <c r="D4749" s="2" t="s">
        <v>2377</v>
      </c>
      <c r="E4749" s="2" t="s">
        <v>27</v>
      </c>
      <c r="F4749" s="2" t="s">
        <v>28</v>
      </c>
      <c r="G4749" s="2"/>
      <c r="H4749" s="2"/>
      <c r="I4749" s="2" t="s">
        <v>20</v>
      </c>
      <c r="J4749" s="2" t="s">
        <v>759</v>
      </c>
    </row>
    <row r="4750" spans="1:10" x14ac:dyDescent="0.35">
      <c r="A4750" s="2" t="s">
        <v>2220</v>
      </c>
      <c r="B4750" s="2" t="s">
        <v>2372</v>
      </c>
      <c r="C4750" s="2" t="s">
        <v>24</v>
      </c>
      <c r="D4750" s="2" t="s">
        <v>2377</v>
      </c>
      <c r="E4750" s="2" t="s">
        <v>423</v>
      </c>
      <c r="F4750" s="2" t="s">
        <v>424</v>
      </c>
      <c r="G4750" s="2"/>
      <c r="H4750" s="2"/>
      <c r="I4750" s="2" t="s">
        <v>20</v>
      </c>
      <c r="J4750" s="2" t="s">
        <v>759</v>
      </c>
    </row>
    <row r="4751" spans="1:10" s="21" customFormat="1" x14ac:dyDescent="0.35">
      <c r="A4751" s="2" t="s">
        <v>2220</v>
      </c>
      <c r="B4751" s="2" t="s">
        <v>2372</v>
      </c>
      <c r="C4751" s="2" t="s">
        <v>24</v>
      </c>
      <c r="D4751" s="2" t="s">
        <v>2378</v>
      </c>
      <c r="E4751" s="2" t="s">
        <v>27</v>
      </c>
      <c r="F4751" s="2" t="s">
        <v>28</v>
      </c>
      <c r="G4751" s="2"/>
      <c r="H4751" s="2"/>
      <c r="I4751" s="2" t="s">
        <v>20</v>
      </c>
      <c r="J4751" s="2" t="s">
        <v>759</v>
      </c>
    </row>
    <row r="4752" spans="1:10" s="21" customFormat="1" x14ac:dyDescent="0.35">
      <c r="A4752" s="2" t="s">
        <v>2220</v>
      </c>
      <c r="B4752" s="2" t="s">
        <v>2372</v>
      </c>
      <c r="C4752" s="2" t="s">
        <v>24</v>
      </c>
      <c r="D4752" s="2" t="s">
        <v>2378</v>
      </c>
      <c r="E4752" s="2" t="s">
        <v>167</v>
      </c>
      <c r="F4752" s="2" t="s">
        <v>40</v>
      </c>
      <c r="G4752" s="2"/>
      <c r="H4752" s="2"/>
      <c r="I4752" s="2" t="s">
        <v>20</v>
      </c>
      <c r="J4752" s="2" t="s">
        <v>759</v>
      </c>
    </row>
    <row r="4753" spans="1:10" s="21" customFormat="1" x14ac:dyDescent="0.35">
      <c r="A4753" s="2" t="s">
        <v>2220</v>
      </c>
      <c r="B4753" s="2" t="s">
        <v>2372</v>
      </c>
      <c r="C4753" s="2" t="s">
        <v>24</v>
      </c>
      <c r="D4753" s="2" t="s">
        <v>2378</v>
      </c>
      <c r="E4753" s="2" t="s">
        <v>35</v>
      </c>
      <c r="F4753" s="2" t="s">
        <v>36</v>
      </c>
      <c r="G4753" s="2"/>
      <c r="H4753" s="2"/>
      <c r="I4753" s="2" t="s">
        <v>20</v>
      </c>
      <c r="J4753" s="2" t="s">
        <v>759</v>
      </c>
    </row>
    <row r="4754" spans="1:10" s="21" customFormat="1" x14ac:dyDescent="0.35">
      <c r="A4754" s="2" t="s">
        <v>2220</v>
      </c>
      <c r="B4754" s="2" t="s">
        <v>2372</v>
      </c>
      <c r="C4754" s="2" t="s">
        <v>24</v>
      </c>
      <c r="D4754" s="2" t="s">
        <v>2378</v>
      </c>
      <c r="E4754" s="2" t="s">
        <v>61</v>
      </c>
      <c r="F4754" s="2" t="s">
        <v>30</v>
      </c>
      <c r="G4754" s="2"/>
      <c r="H4754" s="2"/>
      <c r="I4754" s="2" t="s">
        <v>20</v>
      </c>
      <c r="J4754" s="2" t="s">
        <v>759</v>
      </c>
    </row>
    <row r="4755" spans="1:10" s="21" customFormat="1" x14ac:dyDescent="0.35">
      <c r="A4755" s="2" t="s">
        <v>2220</v>
      </c>
      <c r="B4755" s="2" t="s">
        <v>2372</v>
      </c>
      <c r="C4755" s="2" t="s">
        <v>24</v>
      </c>
      <c r="D4755" s="2" t="s">
        <v>2378</v>
      </c>
      <c r="E4755" s="2" t="s">
        <v>423</v>
      </c>
      <c r="F4755" s="2" t="s">
        <v>424</v>
      </c>
      <c r="G4755" s="2"/>
      <c r="H4755" s="2"/>
      <c r="I4755" s="2" t="s">
        <v>20</v>
      </c>
      <c r="J4755" s="2" t="s">
        <v>759</v>
      </c>
    </row>
    <row r="4756" spans="1:10" s="21" customFormat="1" x14ac:dyDescent="0.35">
      <c r="A4756" s="2" t="s">
        <v>2220</v>
      </c>
      <c r="B4756" s="2" t="s">
        <v>2372</v>
      </c>
      <c r="C4756" s="2" t="s">
        <v>24</v>
      </c>
      <c r="D4756" s="2" t="s">
        <v>2379</v>
      </c>
      <c r="E4756" s="2" t="s">
        <v>167</v>
      </c>
      <c r="F4756" s="2" t="s">
        <v>40</v>
      </c>
      <c r="G4756" s="2"/>
      <c r="H4756" s="2"/>
      <c r="I4756" s="2" t="s">
        <v>20</v>
      </c>
      <c r="J4756" s="2" t="s">
        <v>759</v>
      </c>
    </row>
    <row r="4757" spans="1:10" s="21" customFormat="1" x14ac:dyDescent="0.35">
      <c r="A4757" s="2" t="s">
        <v>2220</v>
      </c>
      <c r="B4757" s="2" t="s">
        <v>2372</v>
      </c>
      <c r="C4757" s="2" t="s">
        <v>24</v>
      </c>
      <c r="D4757" s="2" t="s">
        <v>2379</v>
      </c>
      <c r="E4757" s="2" t="s">
        <v>35</v>
      </c>
      <c r="F4757" s="2" t="s">
        <v>36</v>
      </c>
      <c r="G4757" s="2"/>
      <c r="H4757" s="2"/>
      <c r="I4757" s="2" t="s">
        <v>20</v>
      </c>
      <c r="J4757" s="2" t="s">
        <v>759</v>
      </c>
    </row>
    <row r="4758" spans="1:10" s="21" customFormat="1" x14ac:dyDescent="0.35">
      <c r="A4758" s="2" t="s">
        <v>2220</v>
      </c>
      <c r="B4758" s="2" t="s">
        <v>2372</v>
      </c>
      <c r="C4758" s="2" t="s">
        <v>24</v>
      </c>
      <c r="D4758" s="2" t="s">
        <v>2379</v>
      </c>
      <c r="E4758" s="2" t="s">
        <v>423</v>
      </c>
      <c r="F4758" s="2" t="s">
        <v>424</v>
      </c>
      <c r="G4758" s="2"/>
      <c r="H4758" s="2"/>
      <c r="I4758" s="2" t="s">
        <v>20</v>
      </c>
      <c r="J4758" s="2" t="s">
        <v>759</v>
      </c>
    </row>
    <row r="4759" spans="1:10" s="21" customFormat="1" x14ac:dyDescent="0.35">
      <c r="A4759" s="2" t="s">
        <v>2220</v>
      </c>
      <c r="B4759" s="2" t="s">
        <v>2372</v>
      </c>
      <c r="C4759" s="2" t="s">
        <v>24</v>
      </c>
      <c r="D4759" s="2" t="s">
        <v>2380</v>
      </c>
      <c r="E4759" s="2" t="s">
        <v>136</v>
      </c>
      <c r="F4759" s="2" t="s">
        <v>107</v>
      </c>
      <c r="G4759" s="2" t="s">
        <v>20</v>
      </c>
      <c r="H4759" s="2" t="s">
        <v>2339</v>
      </c>
      <c r="I4759" s="2" t="s">
        <v>20</v>
      </c>
      <c r="J4759" s="2" t="s">
        <v>759</v>
      </c>
    </row>
    <row r="4760" spans="1:10" s="21" customFormat="1" x14ac:dyDescent="0.35">
      <c r="A4760" s="2" t="s">
        <v>2220</v>
      </c>
      <c r="B4760" s="2" t="s">
        <v>2372</v>
      </c>
      <c r="C4760" s="2" t="s">
        <v>24</v>
      </c>
      <c r="D4760" s="2" t="s">
        <v>2380</v>
      </c>
      <c r="E4760" s="2" t="s">
        <v>35</v>
      </c>
      <c r="F4760" s="2" t="s">
        <v>36</v>
      </c>
      <c r="G4760" s="2" t="s">
        <v>20</v>
      </c>
      <c r="H4760" s="2" t="s">
        <v>2339</v>
      </c>
      <c r="I4760" s="2" t="s">
        <v>20</v>
      </c>
      <c r="J4760" s="2" t="s">
        <v>759</v>
      </c>
    </row>
    <row r="4761" spans="1:10" s="21" customFormat="1" x14ac:dyDescent="0.35">
      <c r="A4761" s="2" t="s">
        <v>2220</v>
      </c>
      <c r="B4761" s="2" t="s">
        <v>2372</v>
      </c>
      <c r="C4761" s="2" t="s">
        <v>24</v>
      </c>
      <c r="D4761" s="2" t="s">
        <v>2380</v>
      </c>
      <c r="E4761" s="2" t="s">
        <v>18</v>
      </c>
      <c r="F4761" s="2" t="s">
        <v>19</v>
      </c>
      <c r="G4761" s="2" t="s">
        <v>20</v>
      </c>
      <c r="H4761" s="2" t="s">
        <v>2339</v>
      </c>
      <c r="I4761" s="2" t="s">
        <v>20</v>
      </c>
      <c r="J4761" s="2" t="s">
        <v>759</v>
      </c>
    </row>
    <row r="4762" spans="1:10" s="21" customFormat="1" x14ac:dyDescent="0.35">
      <c r="A4762" s="2" t="s">
        <v>2220</v>
      </c>
      <c r="B4762" s="2" t="s">
        <v>2372</v>
      </c>
      <c r="C4762" s="2" t="s">
        <v>24</v>
      </c>
      <c r="D4762" s="2" t="s">
        <v>2380</v>
      </c>
      <c r="E4762" s="2" t="s">
        <v>423</v>
      </c>
      <c r="F4762" s="2" t="s">
        <v>424</v>
      </c>
      <c r="G4762" s="2"/>
      <c r="H4762" s="2"/>
      <c r="I4762" s="2" t="s">
        <v>20</v>
      </c>
      <c r="J4762" s="2" t="s">
        <v>759</v>
      </c>
    </row>
    <row r="4763" spans="1:10" s="21" customFormat="1" x14ac:dyDescent="0.35">
      <c r="A4763" s="2" t="s">
        <v>2220</v>
      </c>
      <c r="B4763" s="2" t="s">
        <v>2372</v>
      </c>
      <c r="C4763" s="2" t="s">
        <v>24</v>
      </c>
      <c r="D4763" s="2" t="s">
        <v>2380</v>
      </c>
      <c r="E4763" s="2" t="s">
        <v>127</v>
      </c>
      <c r="F4763" s="2" t="s">
        <v>107</v>
      </c>
      <c r="G4763" s="2" t="s">
        <v>20</v>
      </c>
      <c r="H4763" s="2" t="s">
        <v>2339</v>
      </c>
      <c r="I4763" s="2" t="s">
        <v>20</v>
      </c>
      <c r="J4763" s="2" t="s">
        <v>759</v>
      </c>
    </row>
    <row r="4764" spans="1:10" x14ac:dyDescent="0.35">
      <c r="A4764" s="2" t="s">
        <v>2220</v>
      </c>
      <c r="B4764" s="2" t="s">
        <v>2381</v>
      </c>
      <c r="C4764" s="2" t="s">
        <v>24</v>
      </c>
      <c r="D4764" s="2" t="s">
        <v>2382</v>
      </c>
      <c r="E4764" s="2" t="s">
        <v>2256</v>
      </c>
      <c r="F4764" s="2" t="s">
        <v>30</v>
      </c>
      <c r="G4764" s="2"/>
      <c r="H4764" s="2"/>
      <c r="I4764" s="2" t="s">
        <v>20</v>
      </c>
      <c r="J4764" s="2" t="s">
        <v>759</v>
      </c>
    </row>
    <row r="4765" spans="1:10" x14ac:dyDescent="0.35">
      <c r="A4765" s="2" t="s">
        <v>2220</v>
      </c>
      <c r="B4765" s="2" t="s">
        <v>2381</v>
      </c>
      <c r="C4765" s="2" t="s">
        <v>24</v>
      </c>
      <c r="D4765" s="2" t="s">
        <v>2382</v>
      </c>
      <c r="E4765" s="2" t="s">
        <v>423</v>
      </c>
      <c r="F4765" s="2" t="s">
        <v>424</v>
      </c>
      <c r="G4765" s="2" t="s">
        <v>20</v>
      </c>
      <c r="H4765" s="2" t="s">
        <v>2383</v>
      </c>
      <c r="I4765" s="2" t="s">
        <v>20</v>
      </c>
      <c r="J4765" s="2" t="s">
        <v>759</v>
      </c>
    </row>
    <row r="4766" spans="1:10" x14ac:dyDescent="0.35">
      <c r="A4766" s="2" t="s">
        <v>2220</v>
      </c>
      <c r="B4766" s="2" t="s">
        <v>2381</v>
      </c>
      <c r="C4766" s="2" t="s">
        <v>24</v>
      </c>
      <c r="D4766" s="2" t="s">
        <v>2384</v>
      </c>
      <c r="E4766" s="2" t="s">
        <v>27</v>
      </c>
      <c r="F4766" s="2" t="s">
        <v>28</v>
      </c>
      <c r="G4766" s="2"/>
      <c r="H4766" s="2"/>
      <c r="I4766" s="2" t="s">
        <v>20</v>
      </c>
      <c r="J4766" s="2" t="s">
        <v>759</v>
      </c>
    </row>
    <row r="4767" spans="1:10" s="21" customFormat="1" x14ac:dyDescent="0.35">
      <c r="A4767" s="2" t="s">
        <v>2220</v>
      </c>
      <c r="B4767" s="2" t="s">
        <v>2381</v>
      </c>
      <c r="C4767" s="2" t="s">
        <v>24</v>
      </c>
      <c r="D4767" s="2" t="s">
        <v>2384</v>
      </c>
      <c r="E4767" s="2" t="s">
        <v>269</v>
      </c>
      <c r="F4767" s="2" t="s">
        <v>270</v>
      </c>
      <c r="G4767" s="2"/>
      <c r="H4767" s="2"/>
      <c r="I4767" s="2" t="s">
        <v>20</v>
      </c>
      <c r="J4767" s="2" t="s">
        <v>759</v>
      </c>
    </row>
    <row r="4768" spans="1:10" x14ac:dyDescent="0.35">
      <c r="A4768" s="2" t="s">
        <v>2220</v>
      </c>
      <c r="B4768" s="2" t="s">
        <v>2381</v>
      </c>
      <c r="C4768" s="2" t="s">
        <v>24</v>
      </c>
      <c r="D4768" s="2" t="s">
        <v>2384</v>
      </c>
      <c r="E4768" s="2" t="s">
        <v>423</v>
      </c>
      <c r="F4768" s="2" t="s">
        <v>424</v>
      </c>
      <c r="G4768" s="2" t="s">
        <v>20</v>
      </c>
      <c r="H4768" s="2" t="s">
        <v>2385</v>
      </c>
      <c r="I4768" s="2" t="s">
        <v>20</v>
      </c>
      <c r="J4768" s="2" t="s">
        <v>759</v>
      </c>
    </row>
    <row r="4769" spans="1:10" x14ac:dyDescent="0.35">
      <c r="A4769" s="2" t="s">
        <v>2220</v>
      </c>
      <c r="B4769" s="2" t="s">
        <v>2381</v>
      </c>
      <c r="C4769" s="2" t="s">
        <v>24</v>
      </c>
      <c r="D4769" s="2" t="s">
        <v>2386</v>
      </c>
      <c r="E4769" s="2" t="s">
        <v>27</v>
      </c>
      <c r="F4769" s="2" t="s">
        <v>28</v>
      </c>
      <c r="G4769" s="2" t="s">
        <v>20</v>
      </c>
      <c r="H4769" s="2" t="s">
        <v>2387</v>
      </c>
      <c r="I4769" s="2" t="s">
        <v>20</v>
      </c>
      <c r="J4769" s="2" t="s">
        <v>759</v>
      </c>
    </row>
    <row r="4770" spans="1:10" x14ac:dyDescent="0.35">
      <c r="A4770" s="2" t="s">
        <v>2220</v>
      </c>
      <c r="B4770" s="2" t="s">
        <v>2381</v>
      </c>
      <c r="C4770" s="2" t="s">
        <v>24</v>
      </c>
      <c r="D4770" s="2" t="s">
        <v>2386</v>
      </c>
      <c r="E4770" s="2" t="s">
        <v>61</v>
      </c>
      <c r="F4770" s="2" t="s">
        <v>30</v>
      </c>
      <c r="G4770" s="2" t="s">
        <v>20</v>
      </c>
      <c r="H4770" s="2" t="s">
        <v>2387</v>
      </c>
      <c r="I4770" s="2" t="s">
        <v>20</v>
      </c>
      <c r="J4770" s="2" t="s">
        <v>759</v>
      </c>
    </row>
    <row r="4771" spans="1:10" x14ac:dyDescent="0.35">
      <c r="A4771" s="2" t="s">
        <v>2220</v>
      </c>
      <c r="B4771" s="2" t="s">
        <v>2381</v>
      </c>
      <c r="C4771" s="2" t="s">
        <v>24</v>
      </c>
      <c r="D4771" s="2" t="s">
        <v>2386</v>
      </c>
      <c r="E4771" s="2" t="s">
        <v>423</v>
      </c>
      <c r="F4771" s="2" t="s">
        <v>424</v>
      </c>
      <c r="G4771" s="2" t="s">
        <v>20</v>
      </c>
      <c r="H4771" s="2" t="s">
        <v>2387</v>
      </c>
      <c r="I4771" s="2" t="s">
        <v>20</v>
      </c>
      <c r="J4771" s="2" t="s">
        <v>759</v>
      </c>
    </row>
    <row r="4772" spans="1:10" x14ac:dyDescent="0.35">
      <c r="A4772" s="2" t="s">
        <v>2220</v>
      </c>
      <c r="B4772" s="2" t="s">
        <v>2388</v>
      </c>
      <c r="C4772" s="2" t="s">
        <v>57</v>
      </c>
      <c r="D4772" s="2" t="s">
        <v>2389</v>
      </c>
      <c r="E4772" s="2" t="s">
        <v>120</v>
      </c>
      <c r="F4772" s="2" t="s">
        <v>32</v>
      </c>
      <c r="G4772" s="2" t="s">
        <v>20</v>
      </c>
      <c r="H4772" s="2" t="s">
        <v>2390</v>
      </c>
      <c r="I4772" s="2" t="s">
        <v>20</v>
      </c>
      <c r="J4772" s="2" t="s">
        <v>759</v>
      </c>
    </row>
    <row r="4773" spans="1:10" x14ac:dyDescent="0.35">
      <c r="A4773" s="2" t="s">
        <v>2220</v>
      </c>
      <c r="B4773" s="2" t="s">
        <v>2388</v>
      </c>
      <c r="C4773" s="2" t="s">
        <v>57</v>
      </c>
      <c r="D4773" s="2" t="s">
        <v>2389</v>
      </c>
      <c r="E4773" s="2" t="s">
        <v>291</v>
      </c>
      <c r="F4773" s="2" t="s">
        <v>139</v>
      </c>
      <c r="G4773" s="2" t="s">
        <v>20</v>
      </c>
      <c r="H4773" s="2" t="s">
        <v>2390</v>
      </c>
      <c r="I4773" s="2" t="s">
        <v>20</v>
      </c>
      <c r="J4773" s="2" t="s">
        <v>759</v>
      </c>
    </row>
    <row r="4774" spans="1:10" x14ac:dyDescent="0.35">
      <c r="A4774" s="2" t="s">
        <v>2220</v>
      </c>
      <c r="B4774" s="2" t="s">
        <v>2388</v>
      </c>
      <c r="C4774" s="2" t="s">
        <v>57</v>
      </c>
      <c r="D4774" s="2" t="s">
        <v>2389</v>
      </c>
      <c r="E4774" s="2" t="s">
        <v>35</v>
      </c>
      <c r="F4774" s="2" t="s">
        <v>36</v>
      </c>
      <c r="G4774" s="2"/>
      <c r="H4774" s="2"/>
      <c r="I4774" s="2" t="s">
        <v>20</v>
      </c>
      <c r="J4774" s="2" t="s">
        <v>759</v>
      </c>
    </row>
    <row r="4775" spans="1:10" x14ac:dyDescent="0.35">
      <c r="A4775" s="2" t="s">
        <v>2220</v>
      </c>
      <c r="B4775" s="2" t="s">
        <v>2388</v>
      </c>
      <c r="C4775" s="2" t="s">
        <v>57</v>
      </c>
      <c r="D4775" s="2" t="s">
        <v>2389</v>
      </c>
      <c r="E4775" s="2" t="s">
        <v>227</v>
      </c>
      <c r="F4775" s="2" t="s">
        <v>228</v>
      </c>
      <c r="G4775" s="2"/>
      <c r="H4775" s="2"/>
      <c r="I4775" s="2" t="s">
        <v>20</v>
      </c>
      <c r="J4775" s="2" t="s">
        <v>759</v>
      </c>
    </row>
    <row r="4776" spans="1:10" x14ac:dyDescent="0.35">
      <c r="A4776" s="2" t="s">
        <v>2220</v>
      </c>
      <c r="B4776" s="2" t="s">
        <v>2388</v>
      </c>
      <c r="C4776" s="2" t="s">
        <v>57</v>
      </c>
      <c r="D4776" s="2" t="s">
        <v>2389</v>
      </c>
      <c r="E4776" s="2" t="s">
        <v>61</v>
      </c>
      <c r="F4776" s="2" t="s">
        <v>30</v>
      </c>
      <c r="G4776" s="2"/>
      <c r="H4776" s="2"/>
      <c r="I4776" s="2" t="s">
        <v>20</v>
      </c>
      <c r="J4776" s="2" t="s">
        <v>759</v>
      </c>
    </row>
    <row r="4777" spans="1:10" x14ac:dyDescent="0.35">
      <c r="A4777" s="2" t="s">
        <v>2220</v>
      </c>
      <c r="B4777" s="2" t="s">
        <v>2388</v>
      </c>
      <c r="C4777" s="2" t="s">
        <v>24</v>
      </c>
      <c r="D4777" s="2" t="s">
        <v>2391</v>
      </c>
      <c r="E4777" s="2" t="s">
        <v>269</v>
      </c>
      <c r="F4777" s="2" t="s">
        <v>270</v>
      </c>
      <c r="G4777" s="2"/>
      <c r="H4777" s="2"/>
      <c r="I4777" s="2" t="s">
        <v>20</v>
      </c>
      <c r="J4777" s="2" t="s">
        <v>759</v>
      </c>
    </row>
    <row r="4778" spans="1:10" x14ac:dyDescent="0.35">
      <c r="A4778" s="2" t="s">
        <v>2220</v>
      </c>
      <c r="B4778" s="2" t="s">
        <v>2388</v>
      </c>
      <c r="C4778" s="2" t="s">
        <v>24</v>
      </c>
      <c r="D4778" s="2" t="s">
        <v>2391</v>
      </c>
      <c r="E4778" s="2" t="s">
        <v>91</v>
      </c>
      <c r="F4778" s="2" t="s">
        <v>19</v>
      </c>
      <c r="G4778" s="2" t="s">
        <v>20</v>
      </c>
      <c r="H4778" s="2" t="s">
        <v>2392</v>
      </c>
      <c r="I4778" s="2" t="s">
        <v>20</v>
      </c>
      <c r="J4778" s="2" t="s">
        <v>759</v>
      </c>
    </row>
    <row r="4779" spans="1:10" x14ac:dyDescent="0.35">
      <c r="A4779" s="2" t="s">
        <v>2220</v>
      </c>
      <c r="B4779" s="2" t="s">
        <v>2388</v>
      </c>
      <c r="C4779" s="2" t="s">
        <v>24</v>
      </c>
      <c r="D4779" s="2" t="s">
        <v>2391</v>
      </c>
      <c r="E4779" s="2" t="s">
        <v>61</v>
      </c>
      <c r="F4779" s="2" t="s">
        <v>30</v>
      </c>
      <c r="G4779" s="2"/>
      <c r="H4779" s="2"/>
      <c r="I4779" s="2" t="s">
        <v>20</v>
      </c>
      <c r="J4779" s="2" t="s">
        <v>759</v>
      </c>
    </row>
    <row r="4780" spans="1:10" x14ac:dyDescent="0.35">
      <c r="A4780" s="2" t="s">
        <v>2220</v>
      </c>
      <c r="B4780" s="2" t="s">
        <v>2388</v>
      </c>
      <c r="C4780" s="2" t="s">
        <v>24</v>
      </c>
      <c r="D4780" s="2" t="s">
        <v>2391</v>
      </c>
      <c r="E4780" s="2" t="s">
        <v>423</v>
      </c>
      <c r="F4780" s="2" t="s">
        <v>424</v>
      </c>
      <c r="G4780" s="2"/>
      <c r="H4780" s="2"/>
      <c r="I4780" s="2" t="s">
        <v>20</v>
      </c>
      <c r="J4780" s="2" t="s">
        <v>759</v>
      </c>
    </row>
    <row r="4781" spans="1:10" s="21" customFormat="1" x14ac:dyDescent="0.35">
      <c r="A4781" s="2" t="s">
        <v>2220</v>
      </c>
      <c r="B4781" s="2" t="s">
        <v>2393</v>
      </c>
      <c r="C4781" s="2" t="s">
        <v>57</v>
      </c>
      <c r="D4781" s="2" t="s">
        <v>2394</v>
      </c>
      <c r="E4781" s="2" t="s">
        <v>130</v>
      </c>
      <c r="F4781" s="2" t="s">
        <v>36</v>
      </c>
      <c r="G4781" s="2"/>
      <c r="H4781" s="2"/>
      <c r="I4781" s="2"/>
      <c r="J4781" s="2"/>
    </row>
    <row r="4782" spans="1:10" s="21" customFormat="1" x14ac:dyDescent="0.35">
      <c r="A4782" s="2" t="s">
        <v>2220</v>
      </c>
      <c r="B4782" s="2" t="s">
        <v>2393</v>
      </c>
      <c r="C4782" s="2" t="s">
        <v>57</v>
      </c>
      <c r="D4782" s="2" t="s">
        <v>2394</v>
      </c>
      <c r="E4782" s="2" t="s">
        <v>14</v>
      </c>
      <c r="F4782" s="2" t="s">
        <v>15</v>
      </c>
      <c r="G4782" s="2"/>
      <c r="H4782" s="2"/>
      <c r="I4782" s="2"/>
      <c r="J4782" s="2"/>
    </row>
    <row r="4783" spans="1:10" s="21" customFormat="1" x14ac:dyDescent="0.35">
      <c r="A4783" s="2" t="s">
        <v>2220</v>
      </c>
      <c r="B4783" s="2" t="s">
        <v>2393</v>
      </c>
      <c r="C4783" s="2" t="s">
        <v>57</v>
      </c>
      <c r="D4783" s="2" t="s">
        <v>2394</v>
      </c>
      <c r="E4783" s="2" t="s">
        <v>33</v>
      </c>
      <c r="F4783" s="2" t="s">
        <v>34</v>
      </c>
      <c r="G4783" s="2"/>
      <c r="H4783" s="2"/>
      <c r="I4783" s="2"/>
      <c r="J4783" s="2"/>
    </row>
    <row r="4784" spans="1:10" s="21" customFormat="1" x14ac:dyDescent="0.35">
      <c r="A4784" s="2" t="s">
        <v>2220</v>
      </c>
      <c r="B4784" s="2" t="s">
        <v>2393</v>
      </c>
      <c r="C4784" s="2" t="s">
        <v>57</v>
      </c>
      <c r="D4784" s="2" t="s">
        <v>2394</v>
      </c>
      <c r="E4784" s="2" t="s">
        <v>121</v>
      </c>
      <c r="F4784" s="2" t="s">
        <v>122</v>
      </c>
      <c r="G4784" s="2"/>
      <c r="H4784" s="2"/>
      <c r="I4784" s="2"/>
      <c r="J4784" s="2"/>
    </row>
    <row r="4785" spans="1:10" s="21" customFormat="1" x14ac:dyDescent="0.35">
      <c r="A4785" s="2" t="s">
        <v>2220</v>
      </c>
      <c r="B4785" s="2" t="s">
        <v>2393</v>
      </c>
      <c r="C4785" s="2" t="s">
        <v>57</v>
      </c>
      <c r="D4785" s="2" t="s">
        <v>2394</v>
      </c>
      <c r="E4785" s="2" t="s">
        <v>227</v>
      </c>
      <c r="F4785" s="2" t="s">
        <v>228</v>
      </c>
      <c r="G4785" s="2"/>
      <c r="H4785" s="2"/>
      <c r="I4785" s="2"/>
      <c r="J4785" s="2"/>
    </row>
    <row r="4786" spans="1:10" s="21" customFormat="1" x14ac:dyDescent="0.35">
      <c r="A4786" s="2" t="s">
        <v>2220</v>
      </c>
      <c r="B4786" s="2" t="s">
        <v>2393</v>
      </c>
      <c r="C4786" s="2" t="s">
        <v>57</v>
      </c>
      <c r="D4786" s="2" t="s">
        <v>2394</v>
      </c>
      <c r="E4786" s="2" t="s">
        <v>61</v>
      </c>
      <c r="F4786" s="2" t="s">
        <v>30</v>
      </c>
      <c r="G4786" s="2"/>
      <c r="H4786" s="2"/>
      <c r="I4786" s="2"/>
      <c r="J4786" s="2"/>
    </row>
    <row r="4787" spans="1:10" x14ac:dyDescent="0.35">
      <c r="A4787" s="2" t="s">
        <v>2220</v>
      </c>
      <c r="B4787" s="2" t="s">
        <v>2395</v>
      </c>
      <c r="C4787" s="2" t="s">
        <v>24</v>
      </c>
      <c r="D4787" s="2" t="s">
        <v>2396</v>
      </c>
      <c r="E4787" s="2" t="s">
        <v>27</v>
      </c>
      <c r="F4787" s="2" t="s">
        <v>28</v>
      </c>
      <c r="G4787" s="2" t="s">
        <v>20</v>
      </c>
      <c r="H4787" s="2" t="s">
        <v>2397</v>
      </c>
      <c r="I4787" s="2" t="s">
        <v>20</v>
      </c>
      <c r="J4787" s="2" t="s">
        <v>759</v>
      </c>
    </row>
    <row r="4788" spans="1:10" x14ac:dyDescent="0.35">
      <c r="A4788" s="2" t="s">
        <v>2220</v>
      </c>
      <c r="B4788" s="2" t="s">
        <v>2395</v>
      </c>
      <c r="C4788" s="2" t="s">
        <v>24</v>
      </c>
      <c r="D4788" s="2" t="s">
        <v>2396</v>
      </c>
      <c r="E4788" s="2" t="s">
        <v>35</v>
      </c>
      <c r="F4788" s="2" t="s">
        <v>36</v>
      </c>
      <c r="G4788" s="2"/>
      <c r="H4788" s="2"/>
      <c r="I4788" s="2" t="s">
        <v>20</v>
      </c>
      <c r="J4788" s="2" t="s">
        <v>759</v>
      </c>
    </row>
    <row r="4789" spans="1:10" x14ac:dyDescent="0.35">
      <c r="A4789" s="2" t="s">
        <v>2220</v>
      </c>
      <c r="B4789" s="2" t="s">
        <v>2395</v>
      </c>
      <c r="C4789" s="2" t="s">
        <v>24</v>
      </c>
      <c r="D4789" s="2" t="s">
        <v>2396</v>
      </c>
      <c r="E4789" s="2" t="s">
        <v>423</v>
      </c>
      <c r="F4789" s="2" t="s">
        <v>424</v>
      </c>
      <c r="G4789" s="2"/>
      <c r="H4789" s="2"/>
      <c r="I4789" s="2" t="s">
        <v>20</v>
      </c>
      <c r="J4789" s="2" t="s">
        <v>759</v>
      </c>
    </row>
    <row r="4790" spans="1:10" x14ac:dyDescent="0.35">
      <c r="A4790" s="2" t="s">
        <v>2220</v>
      </c>
      <c r="B4790" s="2" t="s">
        <v>2398</v>
      </c>
      <c r="C4790" s="2" t="s">
        <v>57</v>
      </c>
      <c r="D4790" s="2" t="s">
        <v>2399</v>
      </c>
      <c r="E4790" s="2" t="s">
        <v>38</v>
      </c>
      <c r="F4790" s="2" t="s">
        <v>38</v>
      </c>
      <c r="G4790" s="2"/>
      <c r="H4790" s="2"/>
      <c r="I4790" s="2"/>
      <c r="J4790" s="2"/>
    </row>
    <row r="4791" spans="1:10" x14ac:dyDescent="0.35">
      <c r="A4791" s="2" t="s">
        <v>2220</v>
      </c>
      <c r="B4791" s="2" t="s">
        <v>2398</v>
      </c>
      <c r="C4791" s="2" t="s">
        <v>57</v>
      </c>
      <c r="D4791" s="2" t="s">
        <v>2399</v>
      </c>
      <c r="E4791" s="2" t="s">
        <v>91</v>
      </c>
      <c r="F4791" s="2" t="s">
        <v>19</v>
      </c>
      <c r="G4791" s="2"/>
      <c r="H4791" s="2"/>
      <c r="I4791" s="2"/>
      <c r="J4791" s="2"/>
    </row>
    <row r="4792" spans="1:10" x14ac:dyDescent="0.35">
      <c r="A4792" s="2" t="s">
        <v>2220</v>
      </c>
      <c r="B4792" s="2" t="s">
        <v>2398</v>
      </c>
      <c r="C4792" s="2" t="s">
        <v>57</v>
      </c>
      <c r="D4792" s="2" t="s">
        <v>2399</v>
      </c>
      <c r="E4792" s="2" t="s">
        <v>61</v>
      </c>
      <c r="F4792" s="2" t="s">
        <v>30</v>
      </c>
      <c r="G4792" s="2"/>
      <c r="H4792" s="2"/>
      <c r="I4792" s="2"/>
      <c r="J4792" s="2"/>
    </row>
    <row r="4793" spans="1:10" x14ac:dyDescent="0.35">
      <c r="A4793" s="2" t="s">
        <v>2220</v>
      </c>
      <c r="B4793" s="2" t="s">
        <v>2398</v>
      </c>
      <c r="C4793" s="2" t="s">
        <v>24</v>
      </c>
      <c r="D4793" s="2" t="s">
        <v>2400</v>
      </c>
      <c r="E4793" s="2" t="s">
        <v>1305</v>
      </c>
      <c r="F4793" s="2" t="s">
        <v>38</v>
      </c>
      <c r="G4793" s="2" t="s">
        <v>20</v>
      </c>
      <c r="H4793" s="2" t="s">
        <v>2401</v>
      </c>
      <c r="I4793" s="2"/>
      <c r="J4793" s="2"/>
    </row>
    <row r="4794" spans="1:10" s="21" customFormat="1" x14ac:dyDescent="0.35">
      <c r="A4794" s="2" t="s">
        <v>2220</v>
      </c>
      <c r="B4794" s="2" t="s">
        <v>2398</v>
      </c>
      <c r="C4794" s="2" t="s">
        <v>24</v>
      </c>
      <c r="D4794" s="2" t="s">
        <v>2400</v>
      </c>
      <c r="E4794" s="2" t="s">
        <v>144</v>
      </c>
      <c r="F4794" s="2" t="s">
        <v>50</v>
      </c>
      <c r="G4794" s="2"/>
      <c r="H4794" s="2"/>
      <c r="I4794" s="2"/>
      <c r="J4794" s="2"/>
    </row>
    <row r="4795" spans="1:10" s="21" customFormat="1" x14ac:dyDescent="0.35">
      <c r="A4795" s="2" t="s">
        <v>2220</v>
      </c>
      <c r="B4795" s="2" t="s">
        <v>2398</v>
      </c>
      <c r="C4795" s="2" t="s">
        <v>24</v>
      </c>
      <c r="D4795" s="2" t="s">
        <v>2400</v>
      </c>
      <c r="E4795" s="2" t="s">
        <v>120</v>
      </c>
      <c r="F4795" s="2" t="s">
        <v>32</v>
      </c>
      <c r="G4795" s="2"/>
      <c r="H4795" s="2"/>
      <c r="I4795" s="2"/>
      <c r="J4795" s="2"/>
    </row>
    <row r="4796" spans="1:10" x14ac:dyDescent="0.35">
      <c r="A4796" s="2" t="s">
        <v>2220</v>
      </c>
      <c r="B4796" s="2" t="s">
        <v>2398</v>
      </c>
      <c r="C4796" s="2" t="s">
        <v>24</v>
      </c>
      <c r="D4796" s="2" t="s">
        <v>2400</v>
      </c>
      <c r="E4796" s="2" t="s">
        <v>121</v>
      </c>
      <c r="F4796" s="2" t="s">
        <v>122</v>
      </c>
      <c r="G4796" s="2" t="s">
        <v>20</v>
      </c>
      <c r="H4796" s="2" t="s">
        <v>2401</v>
      </c>
      <c r="I4796" s="2"/>
      <c r="J4796" s="2"/>
    </row>
    <row r="4797" spans="1:10" x14ac:dyDescent="0.35">
      <c r="A4797" s="2" t="s">
        <v>2220</v>
      </c>
      <c r="B4797" s="2" t="s">
        <v>2398</v>
      </c>
      <c r="C4797" s="2" t="s">
        <v>24</v>
      </c>
      <c r="D4797" s="2" t="s">
        <v>2400</v>
      </c>
      <c r="E4797" s="2" t="s">
        <v>91</v>
      </c>
      <c r="F4797" s="2" t="s">
        <v>19</v>
      </c>
      <c r="G4797" s="2" t="s">
        <v>20</v>
      </c>
      <c r="H4797" s="2" t="s">
        <v>2402</v>
      </c>
      <c r="I4797" s="2"/>
      <c r="J4797" s="2"/>
    </row>
    <row r="4798" spans="1:10" s="21" customFormat="1" x14ac:dyDescent="0.35">
      <c r="A4798" s="2" t="s">
        <v>2220</v>
      </c>
      <c r="B4798" s="2" t="s">
        <v>2398</v>
      </c>
      <c r="C4798" s="2" t="s">
        <v>24</v>
      </c>
      <c r="D4798" s="2" t="s">
        <v>2403</v>
      </c>
      <c r="E4798" s="2" t="s">
        <v>35</v>
      </c>
      <c r="F4798" s="2" t="s">
        <v>36</v>
      </c>
      <c r="G4798" s="2"/>
      <c r="H4798" s="2"/>
      <c r="I4798" s="2"/>
      <c r="J4798" s="2"/>
    </row>
    <row r="4799" spans="1:10" x14ac:dyDescent="0.35">
      <c r="A4799" s="2" t="s">
        <v>2220</v>
      </c>
      <c r="B4799" s="2" t="s">
        <v>2404</v>
      </c>
      <c r="C4799" s="2" t="s">
        <v>62</v>
      </c>
      <c r="D4799" s="2" t="s">
        <v>2405</v>
      </c>
      <c r="E4799" s="2" t="s">
        <v>61</v>
      </c>
      <c r="F4799" s="2" t="s">
        <v>30</v>
      </c>
      <c r="G4799" s="2"/>
      <c r="H4799" s="2"/>
      <c r="I4799" s="2"/>
      <c r="J4799" s="2"/>
    </row>
    <row r="4800" spans="1:10" x14ac:dyDescent="0.35">
      <c r="A4800" s="2" t="s">
        <v>2220</v>
      </c>
      <c r="B4800" s="2" t="s">
        <v>2404</v>
      </c>
      <c r="C4800" s="2" t="s">
        <v>12</v>
      </c>
      <c r="D4800" s="2" t="s">
        <v>2406</v>
      </c>
      <c r="E4800" s="2" t="s">
        <v>76</v>
      </c>
      <c r="F4800" s="2" t="s">
        <v>75</v>
      </c>
      <c r="G4800" s="2" t="s">
        <v>2279</v>
      </c>
      <c r="H4800" s="2" t="s">
        <v>2407</v>
      </c>
      <c r="I4800" s="2" t="s">
        <v>20</v>
      </c>
      <c r="J4800" s="2" t="s">
        <v>759</v>
      </c>
    </row>
    <row r="4801" spans="1:10" x14ac:dyDescent="0.35">
      <c r="A4801" s="2" t="s">
        <v>2220</v>
      </c>
      <c r="B4801" s="2" t="s">
        <v>2404</v>
      </c>
      <c r="C4801" s="2" t="s">
        <v>12</v>
      </c>
      <c r="D4801" s="2" t="s">
        <v>2406</v>
      </c>
      <c r="E4801" s="2" t="s">
        <v>815</v>
      </c>
      <c r="F4801" s="2" t="s">
        <v>122</v>
      </c>
      <c r="G4801" s="2" t="s">
        <v>46</v>
      </c>
      <c r="H4801" s="2" t="s">
        <v>47</v>
      </c>
      <c r="I4801" s="2" t="s">
        <v>20</v>
      </c>
      <c r="J4801" s="2" t="s">
        <v>759</v>
      </c>
    </row>
    <row r="4802" spans="1:10" x14ac:dyDescent="0.35">
      <c r="A4802" s="2" t="s">
        <v>2220</v>
      </c>
      <c r="B4802" s="2" t="s">
        <v>2404</v>
      </c>
      <c r="C4802" s="2" t="s">
        <v>12</v>
      </c>
      <c r="D4802" s="2" t="s">
        <v>2406</v>
      </c>
      <c r="E4802" s="2" t="s">
        <v>61</v>
      </c>
      <c r="F4802" s="2" t="s">
        <v>30</v>
      </c>
      <c r="G4802" s="2"/>
      <c r="H4802" s="2"/>
      <c r="I4802" s="2" t="s">
        <v>20</v>
      </c>
      <c r="J4802" s="2" t="s">
        <v>759</v>
      </c>
    </row>
    <row r="4803" spans="1:10" x14ac:dyDescent="0.35">
      <c r="A4803" s="2" t="s">
        <v>2220</v>
      </c>
      <c r="B4803" s="2" t="s">
        <v>2404</v>
      </c>
      <c r="C4803" s="2" t="s">
        <v>57</v>
      </c>
      <c r="D4803" s="2" t="s">
        <v>2408</v>
      </c>
      <c r="E4803" s="2" t="s">
        <v>27</v>
      </c>
      <c r="F4803" s="2" t="s">
        <v>28</v>
      </c>
      <c r="G4803" s="2" t="s">
        <v>2279</v>
      </c>
      <c r="H4803" s="2" t="s">
        <v>2390</v>
      </c>
      <c r="I4803" s="2" t="s">
        <v>20</v>
      </c>
      <c r="J4803" s="2" t="s">
        <v>759</v>
      </c>
    </row>
    <row r="4804" spans="1:10" s="21" customFormat="1" x14ac:dyDescent="0.35">
      <c r="A4804" s="2" t="s">
        <v>2220</v>
      </c>
      <c r="B4804" s="2" t="s">
        <v>2404</v>
      </c>
      <c r="C4804" s="2" t="s">
        <v>57</v>
      </c>
      <c r="D4804" s="2" t="s">
        <v>2408</v>
      </c>
      <c r="E4804" s="2" t="s">
        <v>120</v>
      </c>
      <c r="F4804" s="2" t="s">
        <v>1673</v>
      </c>
      <c r="G4804" s="2"/>
      <c r="H4804" s="2"/>
      <c r="I4804" s="2" t="s">
        <v>20</v>
      </c>
      <c r="J4804" s="2" t="s">
        <v>759</v>
      </c>
    </row>
    <row r="4805" spans="1:10" s="21" customFormat="1" x14ac:dyDescent="0.35">
      <c r="A4805" s="2" t="s">
        <v>2220</v>
      </c>
      <c r="B4805" s="2" t="s">
        <v>2404</v>
      </c>
      <c r="C4805" s="2" t="s">
        <v>57</v>
      </c>
      <c r="D4805" s="2" t="s">
        <v>2408</v>
      </c>
      <c r="E4805" s="16" t="s">
        <v>269</v>
      </c>
      <c r="F4805" s="2" t="s">
        <v>270</v>
      </c>
      <c r="G4805" s="2"/>
      <c r="H4805" s="2"/>
      <c r="I4805" s="2" t="s">
        <v>20</v>
      </c>
      <c r="J4805" s="2" t="s">
        <v>759</v>
      </c>
    </row>
    <row r="4806" spans="1:10" s="21" customFormat="1" x14ac:dyDescent="0.35">
      <c r="A4806" s="2" t="s">
        <v>2220</v>
      </c>
      <c r="B4806" s="2" t="s">
        <v>2404</v>
      </c>
      <c r="C4806" s="2" t="s">
        <v>57</v>
      </c>
      <c r="D4806" s="2" t="s">
        <v>2408</v>
      </c>
      <c r="E4806" s="2" t="s">
        <v>18</v>
      </c>
      <c r="F4806" s="2" t="s">
        <v>19</v>
      </c>
      <c r="G4806" s="2" t="s">
        <v>20</v>
      </c>
      <c r="H4806" s="2" t="s">
        <v>2390</v>
      </c>
      <c r="I4806" s="2" t="s">
        <v>20</v>
      </c>
      <c r="J4806" s="2" t="s">
        <v>759</v>
      </c>
    </row>
    <row r="4807" spans="1:10" x14ac:dyDescent="0.35">
      <c r="A4807" s="2" t="s">
        <v>2220</v>
      </c>
      <c r="B4807" s="2" t="s">
        <v>2404</v>
      </c>
      <c r="C4807" s="2" t="s">
        <v>57</v>
      </c>
      <c r="D4807" s="2" t="s">
        <v>2408</v>
      </c>
      <c r="E4807" s="2" t="s">
        <v>423</v>
      </c>
      <c r="F4807" s="2" t="s">
        <v>424</v>
      </c>
      <c r="G4807" s="2" t="s">
        <v>2279</v>
      </c>
      <c r="H4807" s="2" t="s">
        <v>2390</v>
      </c>
      <c r="I4807" s="2" t="s">
        <v>20</v>
      </c>
      <c r="J4807" s="2" t="s">
        <v>759</v>
      </c>
    </row>
    <row r="4808" spans="1:10" x14ac:dyDescent="0.35">
      <c r="A4808" s="2" t="s">
        <v>2220</v>
      </c>
      <c r="B4808" s="2" t="s">
        <v>2404</v>
      </c>
      <c r="C4808" s="2" t="s">
        <v>62</v>
      </c>
      <c r="D4808" s="2" t="s">
        <v>2409</v>
      </c>
      <c r="E4808" s="2" t="s">
        <v>127</v>
      </c>
      <c r="F4808" s="2" t="s">
        <v>107</v>
      </c>
      <c r="G4808" s="2"/>
      <c r="H4808" s="2"/>
      <c r="I4808" s="2" t="s">
        <v>20</v>
      </c>
      <c r="J4808" s="2" t="s">
        <v>2410</v>
      </c>
    </row>
    <row r="4809" spans="1:10" x14ac:dyDescent="0.35">
      <c r="A4809" s="2" t="s">
        <v>2220</v>
      </c>
      <c r="B4809" s="2" t="s">
        <v>2404</v>
      </c>
      <c r="C4809" s="2" t="s">
        <v>24</v>
      </c>
      <c r="D4809" s="2" t="s">
        <v>2411</v>
      </c>
      <c r="E4809" s="2" t="s">
        <v>61</v>
      </c>
      <c r="F4809" s="2" t="s">
        <v>30</v>
      </c>
      <c r="G4809" s="2"/>
      <c r="H4809" s="2"/>
      <c r="I4809" s="2" t="s">
        <v>20</v>
      </c>
      <c r="J4809" s="2" t="s">
        <v>759</v>
      </c>
    </row>
    <row r="4810" spans="1:10" s="21" customFormat="1" x14ac:dyDescent="0.35">
      <c r="A4810" s="2" t="s">
        <v>2220</v>
      </c>
      <c r="B4810" s="2" t="s">
        <v>2404</v>
      </c>
      <c r="C4810" s="2" t="s">
        <v>24</v>
      </c>
      <c r="D4810" s="2" t="s">
        <v>2412</v>
      </c>
      <c r="E4810" s="2" t="s">
        <v>18</v>
      </c>
      <c r="F4810" s="2" t="s">
        <v>19</v>
      </c>
      <c r="G4810" s="2" t="s">
        <v>20</v>
      </c>
      <c r="H4810" s="2" t="s">
        <v>2270</v>
      </c>
      <c r="I4810" s="2" t="s">
        <v>20</v>
      </c>
      <c r="J4810" s="2" t="s">
        <v>759</v>
      </c>
    </row>
    <row r="4811" spans="1:10" s="21" customFormat="1" x14ac:dyDescent="0.35">
      <c r="A4811" s="2" t="s">
        <v>2220</v>
      </c>
      <c r="B4811" s="2" t="s">
        <v>2404</v>
      </c>
      <c r="C4811" s="2" t="s">
        <v>24</v>
      </c>
      <c r="D4811" s="2" t="s">
        <v>2412</v>
      </c>
      <c r="E4811" s="2" t="s">
        <v>61</v>
      </c>
      <c r="F4811" s="2" t="s">
        <v>30</v>
      </c>
      <c r="G4811" s="2" t="s">
        <v>20</v>
      </c>
      <c r="H4811" s="2" t="s">
        <v>2270</v>
      </c>
      <c r="I4811" s="2" t="s">
        <v>20</v>
      </c>
      <c r="J4811" s="2" t="s">
        <v>759</v>
      </c>
    </row>
    <row r="4812" spans="1:10" x14ac:dyDescent="0.35">
      <c r="A4812" s="2" t="s">
        <v>2220</v>
      </c>
      <c r="B4812" s="2" t="s">
        <v>2404</v>
      </c>
      <c r="C4812" s="2" t="s">
        <v>24</v>
      </c>
      <c r="D4812" s="2" t="s">
        <v>2413</v>
      </c>
      <c r="E4812" s="2" t="s">
        <v>35</v>
      </c>
      <c r="F4812" s="2" t="s">
        <v>36</v>
      </c>
      <c r="G4812" s="2"/>
      <c r="H4812" s="2"/>
      <c r="I4812" s="2" t="s">
        <v>20</v>
      </c>
      <c r="J4812" s="2" t="s">
        <v>759</v>
      </c>
    </row>
    <row r="4813" spans="1:10" x14ac:dyDescent="0.35">
      <c r="A4813" s="2" t="s">
        <v>2220</v>
      </c>
      <c r="B4813" s="2" t="s">
        <v>2404</v>
      </c>
      <c r="C4813" s="2" t="s">
        <v>24</v>
      </c>
      <c r="D4813" s="2" t="s">
        <v>2413</v>
      </c>
      <c r="E4813" s="2" t="s">
        <v>61</v>
      </c>
      <c r="F4813" s="2" t="s">
        <v>30</v>
      </c>
      <c r="G4813" s="2"/>
      <c r="H4813" s="2"/>
      <c r="I4813" s="2" t="s">
        <v>20</v>
      </c>
      <c r="J4813" s="2" t="s">
        <v>759</v>
      </c>
    </row>
    <row r="4814" spans="1:10" x14ac:dyDescent="0.35">
      <c r="A4814" s="2" t="s">
        <v>2220</v>
      </c>
      <c r="B4814" s="2" t="s">
        <v>2404</v>
      </c>
      <c r="C4814" s="2" t="s">
        <v>801</v>
      </c>
      <c r="D4814" s="2" t="s">
        <v>2414</v>
      </c>
      <c r="E4814" s="2" t="s">
        <v>2012</v>
      </c>
      <c r="F4814" s="2" t="s">
        <v>36</v>
      </c>
      <c r="G4814" s="2" t="s">
        <v>2279</v>
      </c>
      <c r="H4814" s="2" t="s">
        <v>2270</v>
      </c>
      <c r="I4814" s="2" t="s">
        <v>20</v>
      </c>
      <c r="J4814" s="2" t="s">
        <v>759</v>
      </c>
    </row>
    <row r="4815" spans="1:10" s="18" customFormat="1" x14ac:dyDescent="0.35">
      <c r="A4815" s="2" t="s">
        <v>2220</v>
      </c>
      <c r="B4815" s="2" t="s">
        <v>2404</v>
      </c>
      <c r="C4815" s="2" t="s">
        <v>62</v>
      </c>
      <c r="D4815" s="2" t="s">
        <v>2415</v>
      </c>
      <c r="E4815" s="16" t="s">
        <v>269</v>
      </c>
      <c r="F4815" s="2" t="s">
        <v>270</v>
      </c>
      <c r="G4815" s="2"/>
      <c r="H4815" s="2"/>
      <c r="I4815" s="2" t="s">
        <v>20</v>
      </c>
      <c r="J4815" s="2" t="s">
        <v>759</v>
      </c>
    </row>
    <row r="4816" spans="1:10" s="18" customFormat="1" x14ac:dyDescent="0.35">
      <c r="A4816" s="2" t="s">
        <v>2220</v>
      </c>
      <c r="B4816" s="2" t="s">
        <v>2404</v>
      </c>
      <c r="C4816" s="2" t="s">
        <v>62</v>
      </c>
      <c r="D4816" s="2" t="s">
        <v>2415</v>
      </c>
      <c r="E4816" s="16" t="s">
        <v>87</v>
      </c>
      <c r="F4816" s="2" t="s">
        <v>75</v>
      </c>
      <c r="G4816" s="2" t="s">
        <v>20</v>
      </c>
      <c r="H4816" s="2" t="s">
        <v>2416</v>
      </c>
      <c r="I4816" s="2" t="s">
        <v>20</v>
      </c>
      <c r="J4816" s="2" t="s">
        <v>759</v>
      </c>
    </row>
    <row r="4817" spans="1:10" s="18" customFormat="1" x14ac:dyDescent="0.35">
      <c r="A4817" s="2" t="s">
        <v>2220</v>
      </c>
      <c r="B4817" s="2" t="s">
        <v>2404</v>
      </c>
      <c r="C4817" s="2" t="s">
        <v>62</v>
      </c>
      <c r="D4817" s="2" t="s">
        <v>2415</v>
      </c>
      <c r="E4817" s="16" t="s">
        <v>1243</v>
      </c>
      <c r="F4817" s="2" t="s">
        <v>1244</v>
      </c>
      <c r="G4817" s="2" t="s">
        <v>20</v>
      </c>
      <c r="H4817" s="2" t="s">
        <v>2416</v>
      </c>
      <c r="I4817" s="2" t="s">
        <v>20</v>
      </c>
      <c r="J4817" s="2" t="s">
        <v>759</v>
      </c>
    </row>
    <row r="4818" spans="1:10" s="18" customFormat="1" x14ac:dyDescent="0.35">
      <c r="A4818" s="2" t="s">
        <v>2220</v>
      </c>
      <c r="B4818" s="2" t="s">
        <v>2404</v>
      </c>
      <c r="C4818" s="2" t="s">
        <v>62</v>
      </c>
      <c r="D4818" s="2" t="s">
        <v>2415</v>
      </c>
      <c r="E4818" s="16" t="s">
        <v>61</v>
      </c>
      <c r="F4818" s="2" t="s">
        <v>30</v>
      </c>
      <c r="G4818" s="2"/>
      <c r="H4818" s="2"/>
      <c r="I4818" s="2" t="s">
        <v>20</v>
      </c>
      <c r="J4818" s="2" t="s">
        <v>759</v>
      </c>
    </row>
    <row r="4819" spans="1:10" s="18" customFormat="1" x14ac:dyDescent="0.35">
      <c r="A4819" s="2" t="s">
        <v>2220</v>
      </c>
      <c r="B4819" s="2" t="s">
        <v>2404</v>
      </c>
      <c r="C4819" s="2" t="s">
        <v>62</v>
      </c>
      <c r="D4819" s="2" t="s">
        <v>2415</v>
      </c>
      <c r="E4819" s="16" t="s">
        <v>127</v>
      </c>
      <c r="F4819" s="2" t="s">
        <v>107</v>
      </c>
      <c r="G4819" s="2"/>
      <c r="H4819" s="2"/>
      <c r="I4819" s="2" t="s">
        <v>20</v>
      </c>
      <c r="J4819" s="2" t="s">
        <v>759</v>
      </c>
    </row>
    <row r="4820" spans="1:10" x14ac:dyDescent="0.35">
      <c r="A4820" s="2" t="s">
        <v>2220</v>
      </c>
      <c r="B4820" s="2" t="s">
        <v>2404</v>
      </c>
      <c r="C4820" s="2" t="s">
        <v>62</v>
      </c>
      <c r="D4820" s="2" t="s">
        <v>2417</v>
      </c>
      <c r="E4820" s="2" t="s">
        <v>27</v>
      </c>
      <c r="F4820" s="2" t="s">
        <v>28</v>
      </c>
      <c r="G4820" s="2"/>
      <c r="H4820" s="2"/>
      <c r="I4820" s="2" t="s">
        <v>20</v>
      </c>
      <c r="J4820" s="2" t="s">
        <v>759</v>
      </c>
    </row>
    <row r="4821" spans="1:10" x14ac:dyDescent="0.35">
      <c r="A4821" s="2" t="s">
        <v>2220</v>
      </c>
      <c r="B4821" s="2" t="s">
        <v>2404</v>
      </c>
      <c r="C4821" s="2" t="s">
        <v>62</v>
      </c>
      <c r="D4821" s="2" t="s">
        <v>2417</v>
      </c>
      <c r="E4821" s="2" t="s">
        <v>76</v>
      </c>
      <c r="F4821" s="2" t="s">
        <v>75</v>
      </c>
      <c r="G4821" s="2" t="s">
        <v>20</v>
      </c>
      <c r="H4821" s="2" t="s">
        <v>1378</v>
      </c>
      <c r="I4821" s="2" t="s">
        <v>20</v>
      </c>
      <c r="J4821" s="2" t="s">
        <v>759</v>
      </c>
    </row>
    <row r="4822" spans="1:10" x14ac:dyDescent="0.35">
      <c r="A4822" s="2" t="s">
        <v>2220</v>
      </c>
      <c r="B4822" s="2" t="s">
        <v>2404</v>
      </c>
      <c r="C4822" s="2" t="s">
        <v>62</v>
      </c>
      <c r="D4822" s="2" t="s">
        <v>2417</v>
      </c>
      <c r="E4822" s="2" t="s">
        <v>269</v>
      </c>
      <c r="F4822" s="2" t="s">
        <v>270</v>
      </c>
      <c r="G4822" s="2"/>
      <c r="H4822" s="2"/>
      <c r="I4822" s="2" t="s">
        <v>20</v>
      </c>
      <c r="J4822" s="2" t="s">
        <v>759</v>
      </c>
    </row>
    <row r="4823" spans="1:10" x14ac:dyDescent="0.35">
      <c r="A4823" s="2" t="s">
        <v>2220</v>
      </c>
      <c r="B4823" s="2" t="s">
        <v>2404</v>
      </c>
      <c r="C4823" s="2" t="s">
        <v>62</v>
      </c>
      <c r="D4823" s="2" t="s">
        <v>2417</v>
      </c>
      <c r="E4823" s="2" t="s">
        <v>61</v>
      </c>
      <c r="F4823" s="2" t="s">
        <v>30</v>
      </c>
      <c r="G4823" s="2"/>
      <c r="H4823" s="2"/>
      <c r="I4823" s="2" t="s">
        <v>20</v>
      </c>
      <c r="J4823" s="2" t="s">
        <v>759</v>
      </c>
    </row>
    <row r="4824" spans="1:10" x14ac:dyDescent="0.35">
      <c r="A4824" s="2" t="s">
        <v>2220</v>
      </c>
      <c r="B4824" s="2" t="s">
        <v>2404</v>
      </c>
      <c r="C4824" s="2" t="s">
        <v>24</v>
      </c>
      <c r="D4824" s="2" t="s">
        <v>2418</v>
      </c>
      <c r="E4824" s="2" t="s">
        <v>121</v>
      </c>
      <c r="F4824" s="2" t="s">
        <v>122</v>
      </c>
      <c r="G4824" s="2"/>
      <c r="H4824" s="2"/>
      <c r="I4824" s="2" t="s">
        <v>20</v>
      </c>
      <c r="J4824" s="2" t="s">
        <v>759</v>
      </c>
    </row>
    <row r="4825" spans="1:10" x14ac:dyDescent="0.35">
      <c r="A4825" s="2" t="s">
        <v>2220</v>
      </c>
      <c r="B4825" s="2" t="s">
        <v>2404</v>
      </c>
      <c r="C4825" s="2" t="s">
        <v>24</v>
      </c>
      <c r="D4825" s="2" t="s">
        <v>2418</v>
      </c>
      <c r="E4825" s="2" t="s">
        <v>61</v>
      </c>
      <c r="F4825" s="2" t="s">
        <v>30</v>
      </c>
      <c r="G4825" s="2"/>
      <c r="H4825" s="2"/>
      <c r="I4825" s="2" t="s">
        <v>20</v>
      </c>
      <c r="J4825" s="2" t="s">
        <v>759</v>
      </c>
    </row>
    <row r="4826" spans="1:10" x14ac:dyDescent="0.35">
      <c r="A4826" s="2" t="s">
        <v>2220</v>
      </c>
      <c r="B4826" s="2" t="s">
        <v>2404</v>
      </c>
      <c r="C4826" s="2" t="s">
        <v>62</v>
      </c>
      <c r="D4826" s="2" t="s">
        <v>2419</v>
      </c>
      <c r="E4826" s="2" t="s">
        <v>269</v>
      </c>
      <c r="F4826" s="2" t="s">
        <v>270</v>
      </c>
      <c r="G4826" s="2"/>
      <c r="H4826" s="2"/>
      <c r="I4826" s="2" t="s">
        <v>20</v>
      </c>
      <c r="J4826" s="2" t="s">
        <v>759</v>
      </c>
    </row>
    <row r="4827" spans="1:10" x14ac:dyDescent="0.35">
      <c r="A4827" s="2" t="s">
        <v>2220</v>
      </c>
      <c r="B4827" s="2" t="s">
        <v>2404</v>
      </c>
      <c r="C4827" s="2" t="s">
        <v>62</v>
      </c>
      <c r="D4827" s="2" t="s">
        <v>2419</v>
      </c>
      <c r="E4827" s="2" t="s">
        <v>87</v>
      </c>
      <c r="F4827" s="2" t="s">
        <v>75</v>
      </c>
      <c r="G4827" s="2" t="s">
        <v>2279</v>
      </c>
      <c r="H4827" s="2" t="s">
        <v>2328</v>
      </c>
      <c r="I4827" s="2" t="s">
        <v>20</v>
      </c>
      <c r="J4827" s="2" t="s">
        <v>759</v>
      </c>
    </row>
    <row r="4828" spans="1:10" x14ac:dyDescent="0.35">
      <c r="A4828" s="2" t="s">
        <v>2220</v>
      </c>
      <c r="B4828" s="2" t="s">
        <v>2404</v>
      </c>
      <c r="C4828" s="2" t="s">
        <v>62</v>
      </c>
      <c r="D4828" s="2" t="s">
        <v>2419</v>
      </c>
      <c r="E4828" s="2" t="s">
        <v>61</v>
      </c>
      <c r="F4828" s="2" t="s">
        <v>30</v>
      </c>
      <c r="G4828" s="2"/>
      <c r="H4828" s="2"/>
      <c r="I4828" s="2" t="s">
        <v>20</v>
      </c>
      <c r="J4828" s="2" t="s">
        <v>759</v>
      </c>
    </row>
    <row r="4829" spans="1:10" x14ac:dyDescent="0.35">
      <c r="A4829" s="2" t="s">
        <v>2220</v>
      </c>
      <c r="B4829" s="2" t="s">
        <v>2404</v>
      </c>
      <c r="C4829" s="2" t="s">
        <v>54</v>
      </c>
      <c r="D4829" s="2" t="s">
        <v>2420</v>
      </c>
      <c r="E4829" s="2" t="s">
        <v>27</v>
      </c>
      <c r="F4829" s="2" t="s">
        <v>28</v>
      </c>
      <c r="G4829" s="2" t="s">
        <v>2279</v>
      </c>
      <c r="H4829" s="2" t="s">
        <v>2390</v>
      </c>
      <c r="I4829" s="2" t="s">
        <v>20</v>
      </c>
      <c r="J4829" s="2" t="s">
        <v>759</v>
      </c>
    </row>
    <row r="4830" spans="1:10" x14ac:dyDescent="0.35">
      <c r="A4830" s="2" t="s">
        <v>2220</v>
      </c>
      <c r="B4830" s="2" t="s">
        <v>2404</v>
      </c>
      <c r="C4830" s="2" t="s">
        <v>54</v>
      </c>
      <c r="D4830" s="2" t="s">
        <v>2420</v>
      </c>
      <c r="E4830" s="2" t="s">
        <v>35</v>
      </c>
      <c r="F4830" s="2" t="s">
        <v>36</v>
      </c>
      <c r="G4830" s="2" t="s">
        <v>2279</v>
      </c>
      <c r="H4830" s="2" t="s">
        <v>2390</v>
      </c>
      <c r="I4830" s="2" t="s">
        <v>20</v>
      </c>
      <c r="J4830" s="2" t="s">
        <v>759</v>
      </c>
    </row>
    <row r="4831" spans="1:10" x14ac:dyDescent="0.35">
      <c r="A4831" s="2" t="s">
        <v>2220</v>
      </c>
      <c r="B4831" s="2" t="s">
        <v>2404</v>
      </c>
      <c r="C4831" s="2" t="s">
        <v>54</v>
      </c>
      <c r="D4831" s="2" t="s">
        <v>2420</v>
      </c>
      <c r="E4831" s="2" t="s">
        <v>87</v>
      </c>
      <c r="F4831" s="2" t="s">
        <v>75</v>
      </c>
      <c r="G4831" s="2" t="s">
        <v>20</v>
      </c>
      <c r="H4831" s="2" t="s">
        <v>2390</v>
      </c>
      <c r="I4831" s="2" t="s">
        <v>20</v>
      </c>
      <c r="J4831" s="2" t="s">
        <v>759</v>
      </c>
    </row>
    <row r="4832" spans="1:10" x14ac:dyDescent="0.35">
      <c r="A4832" s="2" t="s">
        <v>2220</v>
      </c>
      <c r="B4832" s="2" t="s">
        <v>2404</v>
      </c>
      <c r="C4832" s="2" t="s">
        <v>54</v>
      </c>
      <c r="D4832" s="2" t="s">
        <v>2420</v>
      </c>
      <c r="E4832" s="2" t="s">
        <v>18</v>
      </c>
      <c r="F4832" s="2" t="s">
        <v>19</v>
      </c>
      <c r="G4832" s="2" t="s">
        <v>20</v>
      </c>
      <c r="H4832" s="2" t="s">
        <v>2390</v>
      </c>
      <c r="I4832" s="2" t="s">
        <v>20</v>
      </c>
      <c r="J4832" s="2" t="s">
        <v>759</v>
      </c>
    </row>
    <row r="4833" spans="1:10" x14ac:dyDescent="0.35">
      <c r="A4833" s="2" t="s">
        <v>2220</v>
      </c>
      <c r="B4833" s="2" t="s">
        <v>2404</v>
      </c>
      <c r="C4833" s="2" t="s">
        <v>54</v>
      </c>
      <c r="D4833" s="2" t="s">
        <v>2420</v>
      </c>
      <c r="E4833" s="2" t="s">
        <v>423</v>
      </c>
      <c r="F4833" s="2" t="s">
        <v>424</v>
      </c>
      <c r="G4833" s="2" t="s">
        <v>2279</v>
      </c>
      <c r="H4833" s="2" t="s">
        <v>2390</v>
      </c>
      <c r="I4833" s="2" t="s">
        <v>20</v>
      </c>
      <c r="J4833" s="2" t="s">
        <v>759</v>
      </c>
    </row>
    <row r="4834" spans="1:10" x14ac:dyDescent="0.35">
      <c r="A4834" s="2" t="s">
        <v>2220</v>
      </c>
      <c r="B4834" s="2" t="s">
        <v>2421</v>
      </c>
      <c r="C4834" s="2" t="s">
        <v>24</v>
      </c>
      <c r="D4834" s="2" t="s">
        <v>2422</v>
      </c>
      <c r="E4834" s="2" t="s">
        <v>130</v>
      </c>
      <c r="F4834" s="2" t="s">
        <v>36</v>
      </c>
      <c r="G4834" s="2"/>
      <c r="H4834" s="2"/>
      <c r="I4834" s="2"/>
      <c r="J4834" s="2"/>
    </row>
    <row r="4835" spans="1:10" x14ac:dyDescent="0.35">
      <c r="A4835" s="2" t="s">
        <v>2220</v>
      </c>
      <c r="B4835" s="2" t="s">
        <v>2421</v>
      </c>
      <c r="C4835" s="2" t="s">
        <v>24</v>
      </c>
      <c r="D4835" s="2" t="s">
        <v>2422</v>
      </c>
      <c r="E4835" s="2" t="s">
        <v>815</v>
      </c>
      <c r="F4835" s="2" t="s">
        <v>122</v>
      </c>
      <c r="G4835" s="2"/>
      <c r="H4835" s="2"/>
      <c r="I4835" s="2"/>
      <c r="J4835" s="2"/>
    </row>
    <row r="4836" spans="1:10" x14ac:dyDescent="0.35">
      <c r="A4836" s="2" t="s">
        <v>2220</v>
      </c>
      <c r="B4836" s="2" t="s">
        <v>2421</v>
      </c>
      <c r="C4836" s="2" t="s">
        <v>24</v>
      </c>
      <c r="D4836" s="2" t="s">
        <v>2422</v>
      </c>
      <c r="E4836" s="2" t="s">
        <v>61</v>
      </c>
      <c r="F4836" s="2" t="s">
        <v>30</v>
      </c>
      <c r="G4836" s="2" t="s">
        <v>16</v>
      </c>
      <c r="H4836" s="2" t="s">
        <v>2423</v>
      </c>
      <c r="I4836" s="2"/>
      <c r="J4836" s="4"/>
    </row>
    <row r="4837" spans="1:10" x14ac:dyDescent="0.35">
      <c r="A4837" s="2" t="s">
        <v>2220</v>
      </c>
      <c r="B4837" s="2" t="s">
        <v>2424</v>
      </c>
      <c r="C4837" s="2" t="s">
        <v>62</v>
      </c>
      <c r="D4837" s="2" t="s">
        <v>2425</v>
      </c>
      <c r="E4837" s="2" t="s">
        <v>27</v>
      </c>
      <c r="F4837" s="2" t="s">
        <v>28</v>
      </c>
      <c r="G4837" s="2"/>
      <c r="H4837" s="2"/>
      <c r="I4837" s="2" t="s">
        <v>20</v>
      </c>
      <c r="J4837" s="2" t="s">
        <v>759</v>
      </c>
    </row>
    <row r="4838" spans="1:10" x14ac:dyDescent="0.35">
      <c r="A4838" s="2" t="s">
        <v>2220</v>
      </c>
      <c r="B4838" s="2" t="s">
        <v>2424</v>
      </c>
      <c r="C4838" s="2" t="s">
        <v>62</v>
      </c>
      <c r="D4838" s="2" t="s">
        <v>2425</v>
      </c>
      <c r="E4838" s="2" t="s">
        <v>998</v>
      </c>
      <c r="F4838" s="2" t="s">
        <v>40</v>
      </c>
      <c r="G4838" s="2"/>
      <c r="H4838" s="2"/>
      <c r="I4838" s="2" t="s">
        <v>20</v>
      </c>
      <c r="J4838" s="2" t="s">
        <v>759</v>
      </c>
    </row>
    <row r="4839" spans="1:10" x14ac:dyDescent="0.35">
      <c r="A4839" s="2" t="s">
        <v>2220</v>
      </c>
      <c r="B4839" s="2" t="s">
        <v>2424</v>
      </c>
      <c r="C4839" s="2" t="s">
        <v>62</v>
      </c>
      <c r="D4839" s="2" t="s">
        <v>2425</v>
      </c>
      <c r="E4839" s="2" t="s">
        <v>136</v>
      </c>
      <c r="F4839" s="2" t="s">
        <v>107</v>
      </c>
      <c r="G4839" s="2"/>
      <c r="H4839" s="2"/>
      <c r="I4839" s="2" t="s">
        <v>20</v>
      </c>
      <c r="J4839" s="2" t="s">
        <v>759</v>
      </c>
    </row>
    <row r="4840" spans="1:10" x14ac:dyDescent="0.35">
      <c r="A4840" s="2" t="s">
        <v>2220</v>
      </c>
      <c r="B4840" s="2" t="s">
        <v>2424</v>
      </c>
      <c r="C4840" s="2" t="s">
        <v>62</v>
      </c>
      <c r="D4840" s="2" t="s">
        <v>2425</v>
      </c>
      <c r="E4840" s="2" t="s">
        <v>35</v>
      </c>
      <c r="F4840" s="2" t="s">
        <v>36</v>
      </c>
      <c r="G4840" s="2"/>
      <c r="H4840" s="2"/>
      <c r="I4840" s="2" t="s">
        <v>20</v>
      </c>
      <c r="J4840" s="2" t="s">
        <v>759</v>
      </c>
    </row>
    <row r="4841" spans="1:10" x14ac:dyDescent="0.35">
      <c r="A4841" s="2" t="s">
        <v>2220</v>
      </c>
      <c r="B4841" s="2" t="s">
        <v>2424</v>
      </c>
      <c r="C4841" s="2" t="s">
        <v>62</v>
      </c>
      <c r="D4841" s="2" t="s">
        <v>2425</v>
      </c>
      <c r="E4841" s="2" t="s">
        <v>269</v>
      </c>
      <c r="F4841" s="2" t="s">
        <v>2426</v>
      </c>
      <c r="G4841" s="2"/>
      <c r="H4841" s="2"/>
      <c r="I4841" s="2" t="s">
        <v>20</v>
      </c>
      <c r="J4841" s="2" t="s">
        <v>759</v>
      </c>
    </row>
    <row r="4842" spans="1:10" x14ac:dyDescent="0.35">
      <c r="A4842" s="2" t="s">
        <v>2220</v>
      </c>
      <c r="B4842" s="2" t="s">
        <v>2424</v>
      </c>
      <c r="C4842" s="2" t="s">
        <v>62</v>
      </c>
      <c r="D4842" s="2" t="s">
        <v>2425</v>
      </c>
      <c r="E4842" s="2" t="s">
        <v>61</v>
      </c>
      <c r="F4842" s="2" t="s">
        <v>30</v>
      </c>
      <c r="G4842" s="2"/>
      <c r="H4842" s="2"/>
      <c r="I4842" s="2" t="s">
        <v>20</v>
      </c>
      <c r="J4842" s="2" t="s">
        <v>759</v>
      </c>
    </row>
    <row r="4843" spans="1:10" x14ac:dyDescent="0.35">
      <c r="A4843" s="2" t="s">
        <v>2220</v>
      </c>
      <c r="B4843" s="2" t="s">
        <v>2424</v>
      </c>
      <c r="C4843" s="2" t="s">
        <v>62</v>
      </c>
      <c r="D4843" s="2" t="s">
        <v>2425</v>
      </c>
      <c r="E4843" s="2" t="s">
        <v>423</v>
      </c>
      <c r="F4843" s="2" t="s">
        <v>424</v>
      </c>
      <c r="G4843" s="2"/>
      <c r="H4843" s="2"/>
      <c r="I4843" s="2" t="s">
        <v>20</v>
      </c>
      <c r="J4843" s="2" t="s">
        <v>759</v>
      </c>
    </row>
    <row r="4844" spans="1:10" x14ac:dyDescent="0.35">
      <c r="A4844" s="2" t="s">
        <v>2220</v>
      </c>
      <c r="B4844" s="2" t="s">
        <v>2424</v>
      </c>
      <c r="C4844" s="2" t="s">
        <v>24</v>
      </c>
      <c r="D4844" s="2" t="s">
        <v>2427</v>
      </c>
      <c r="E4844" s="2" t="s">
        <v>144</v>
      </c>
      <c r="F4844" s="2" t="s">
        <v>50</v>
      </c>
      <c r="G4844" s="2" t="s">
        <v>20</v>
      </c>
      <c r="H4844" s="2" t="s">
        <v>2428</v>
      </c>
      <c r="I4844" s="2" t="s">
        <v>20</v>
      </c>
      <c r="J4844" s="2" t="s">
        <v>759</v>
      </c>
    </row>
    <row r="4845" spans="1:10" x14ac:dyDescent="0.35">
      <c r="A4845" s="2" t="s">
        <v>2220</v>
      </c>
      <c r="B4845" s="2" t="s">
        <v>2424</v>
      </c>
      <c r="C4845" s="2" t="s">
        <v>24</v>
      </c>
      <c r="D4845" s="2" t="s">
        <v>2427</v>
      </c>
      <c r="E4845" s="2" t="s">
        <v>27</v>
      </c>
      <c r="F4845" s="2" t="s">
        <v>28</v>
      </c>
      <c r="G4845" s="2" t="s">
        <v>20</v>
      </c>
      <c r="H4845" s="2" t="s">
        <v>2339</v>
      </c>
      <c r="I4845" s="2" t="s">
        <v>20</v>
      </c>
      <c r="J4845" s="2" t="s">
        <v>759</v>
      </c>
    </row>
    <row r="4846" spans="1:10" x14ac:dyDescent="0.35">
      <c r="A4846" s="2" t="s">
        <v>2220</v>
      </c>
      <c r="B4846" s="2" t="s">
        <v>2424</v>
      </c>
      <c r="C4846" s="2" t="s">
        <v>24</v>
      </c>
      <c r="D4846" s="2" t="s">
        <v>2427</v>
      </c>
      <c r="E4846" s="2" t="s">
        <v>136</v>
      </c>
      <c r="F4846" s="2" t="s">
        <v>107</v>
      </c>
      <c r="G4846" s="2" t="s">
        <v>20</v>
      </c>
      <c r="H4846" s="2" t="s">
        <v>2339</v>
      </c>
      <c r="I4846" s="2" t="s">
        <v>20</v>
      </c>
      <c r="J4846" s="2" t="s">
        <v>759</v>
      </c>
    </row>
    <row r="4847" spans="1:10" x14ac:dyDescent="0.35">
      <c r="A4847" s="2" t="s">
        <v>2220</v>
      </c>
      <c r="B4847" s="2" t="s">
        <v>2424</v>
      </c>
      <c r="C4847" s="2" t="s">
        <v>24</v>
      </c>
      <c r="D4847" s="2" t="s">
        <v>2427</v>
      </c>
      <c r="E4847" s="2" t="s">
        <v>35</v>
      </c>
      <c r="F4847" s="2" t="s">
        <v>36</v>
      </c>
      <c r="G4847" s="2" t="s">
        <v>20</v>
      </c>
      <c r="H4847" s="2" t="s">
        <v>2339</v>
      </c>
      <c r="I4847" s="2" t="s">
        <v>20</v>
      </c>
      <c r="J4847" s="2" t="s">
        <v>759</v>
      </c>
    </row>
    <row r="4848" spans="1:10" x14ac:dyDescent="0.35">
      <c r="A4848" s="2" t="s">
        <v>2220</v>
      </c>
      <c r="B4848" s="2" t="s">
        <v>2424</v>
      </c>
      <c r="C4848" s="2" t="s">
        <v>24</v>
      </c>
      <c r="D4848" s="2" t="s">
        <v>2427</v>
      </c>
      <c r="E4848" s="2" t="s">
        <v>1370</v>
      </c>
      <c r="F4848" s="2" t="s">
        <v>43</v>
      </c>
      <c r="G4848" s="2" t="s">
        <v>20</v>
      </c>
      <c r="H4848" s="2" t="s">
        <v>2339</v>
      </c>
      <c r="I4848" s="2" t="s">
        <v>20</v>
      </c>
      <c r="J4848" s="2" t="s">
        <v>759</v>
      </c>
    </row>
    <row r="4849" spans="1:10" x14ac:dyDescent="0.35">
      <c r="A4849" s="2" t="s">
        <v>2220</v>
      </c>
      <c r="B4849" s="2" t="s">
        <v>2424</v>
      </c>
      <c r="C4849" s="2" t="s">
        <v>24</v>
      </c>
      <c r="D4849" s="2" t="s">
        <v>2427</v>
      </c>
      <c r="E4849" s="2" t="s">
        <v>18</v>
      </c>
      <c r="F4849" s="2" t="s">
        <v>19</v>
      </c>
      <c r="G4849" s="2" t="s">
        <v>20</v>
      </c>
      <c r="H4849" s="2" t="s">
        <v>2339</v>
      </c>
      <c r="I4849" s="2" t="s">
        <v>20</v>
      </c>
      <c r="J4849" s="2" t="s">
        <v>759</v>
      </c>
    </row>
    <row r="4850" spans="1:10" x14ac:dyDescent="0.35">
      <c r="A4850" s="2" t="s">
        <v>2220</v>
      </c>
      <c r="B4850" s="2" t="s">
        <v>2424</v>
      </c>
      <c r="C4850" s="2" t="s">
        <v>24</v>
      </c>
      <c r="D4850" s="2" t="s">
        <v>2427</v>
      </c>
      <c r="E4850" s="2" t="s">
        <v>61</v>
      </c>
      <c r="F4850" s="2" t="s">
        <v>30</v>
      </c>
      <c r="G4850" s="2" t="s">
        <v>20</v>
      </c>
      <c r="H4850" s="2" t="s">
        <v>2429</v>
      </c>
      <c r="I4850" s="2" t="s">
        <v>20</v>
      </c>
      <c r="J4850" s="2" t="s">
        <v>759</v>
      </c>
    </row>
    <row r="4851" spans="1:10" x14ac:dyDescent="0.35">
      <c r="A4851" s="2" t="s">
        <v>2220</v>
      </c>
      <c r="B4851" s="2" t="s">
        <v>2430</v>
      </c>
      <c r="C4851" s="2" t="s">
        <v>62</v>
      </c>
      <c r="D4851" s="2" t="s">
        <v>2431</v>
      </c>
      <c r="E4851" s="2" t="s">
        <v>61</v>
      </c>
      <c r="F4851" s="2" t="s">
        <v>30</v>
      </c>
      <c r="G4851" s="2"/>
      <c r="H4851" s="2"/>
      <c r="I4851" s="2"/>
      <c r="J4851" s="2"/>
    </row>
    <row r="4852" spans="1:10" x14ac:dyDescent="0.35">
      <c r="A4852" s="2" t="s">
        <v>2220</v>
      </c>
      <c r="B4852" s="2" t="s">
        <v>2430</v>
      </c>
      <c r="C4852" s="2" t="s">
        <v>54</v>
      </c>
      <c r="D4852" s="2" t="s">
        <v>2432</v>
      </c>
      <c r="E4852" s="2" t="s">
        <v>136</v>
      </c>
      <c r="F4852" s="2" t="s">
        <v>107</v>
      </c>
      <c r="G4852" s="2" t="s">
        <v>20</v>
      </c>
      <c r="H4852" s="2" t="s">
        <v>2270</v>
      </c>
      <c r="I4852" s="2" t="s">
        <v>20</v>
      </c>
      <c r="J4852" s="2" t="s">
        <v>759</v>
      </c>
    </row>
    <row r="4853" spans="1:10" x14ac:dyDescent="0.35">
      <c r="A4853" s="2" t="s">
        <v>2220</v>
      </c>
      <c r="B4853" s="2" t="s">
        <v>2430</v>
      </c>
      <c r="C4853" s="2" t="s">
        <v>54</v>
      </c>
      <c r="D4853" s="2" t="s">
        <v>2432</v>
      </c>
      <c r="E4853" s="2" t="s">
        <v>35</v>
      </c>
      <c r="F4853" s="2" t="s">
        <v>36</v>
      </c>
      <c r="G4853" s="2" t="s">
        <v>20</v>
      </c>
      <c r="H4853" s="2" t="s">
        <v>2270</v>
      </c>
      <c r="I4853" s="2" t="s">
        <v>20</v>
      </c>
      <c r="J4853" s="2" t="s">
        <v>759</v>
      </c>
    </row>
    <row r="4854" spans="1:10" x14ac:dyDescent="0.35">
      <c r="A4854" s="2" t="s">
        <v>2220</v>
      </c>
      <c r="B4854" s="2" t="s">
        <v>2430</v>
      </c>
      <c r="C4854" s="2" t="s">
        <v>54</v>
      </c>
      <c r="D4854" s="2" t="s">
        <v>2432</v>
      </c>
      <c r="E4854" s="2" t="s">
        <v>269</v>
      </c>
      <c r="F4854" s="2" t="s">
        <v>270</v>
      </c>
      <c r="G4854" s="2" t="s">
        <v>46</v>
      </c>
      <c r="H4854" s="2" t="s">
        <v>2433</v>
      </c>
      <c r="I4854" s="2" t="s">
        <v>20</v>
      </c>
      <c r="J4854" s="2" t="s">
        <v>759</v>
      </c>
    </row>
    <row r="4855" spans="1:10" x14ac:dyDescent="0.35">
      <c r="A4855" s="2" t="s">
        <v>2220</v>
      </c>
      <c r="B4855" s="2" t="s">
        <v>2430</v>
      </c>
      <c r="C4855" s="2" t="s">
        <v>54</v>
      </c>
      <c r="D4855" s="2" t="s">
        <v>2432</v>
      </c>
      <c r="E4855" s="2" t="s">
        <v>423</v>
      </c>
      <c r="F4855" s="2" t="s">
        <v>424</v>
      </c>
      <c r="G4855" s="2" t="s">
        <v>46</v>
      </c>
      <c r="H4855" s="2" t="s">
        <v>2433</v>
      </c>
      <c r="I4855" s="2" t="s">
        <v>20</v>
      </c>
      <c r="J4855" s="2" t="s">
        <v>759</v>
      </c>
    </row>
    <row r="4856" spans="1:10" s="21" customFormat="1" x14ac:dyDescent="0.35">
      <c r="A4856" s="2" t="s">
        <v>2220</v>
      </c>
      <c r="B4856" s="2" t="s">
        <v>2430</v>
      </c>
      <c r="C4856" s="2" t="s">
        <v>24</v>
      </c>
      <c r="D4856" s="2" t="s">
        <v>2434</v>
      </c>
      <c r="E4856" s="2" t="s">
        <v>763</v>
      </c>
      <c r="F4856" s="2" t="s">
        <v>107</v>
      </c>
      <c r="G4856" s="2"/>
      <c r="H4856" s="2"/>
      <c r="I4856" s="2" t="s">
        <v>20</v>
      </c>
      <c r="J4856" s="2" t="s">
        <v>759</v>
      </c>
    </row>
    <row r="4857" spans="1:10" x14ac:dyDescent="0.35">
      <c r="A4857" s="2" t="s">
        <v>2220</v>
      </c>
      <c r="B4857" s="2" t="s">
        <v>2430</v>
      </c>
      <c r="C4857" s="2" t="s">
        <v>24</v>
      </c>
      <c r="D4857" s="2" t="s">
        <v>2434</v>
      </c>
      <c r="E4857" s="2" t="s">
        <v>27</v>
      </c>
      <c r="F4857" s="2" t="s">
        <v>28</v>
      </c>
      <c r="G4857" s="2" t="s">
        <v>20</v>
      </c>
      <c r="H4857" s="2" t="s">
        <v>2435</v>
      </c>
      <c r="I4857" s="2"/>
      <c r="J4857" s="2"/>
    </row>
    <row r="4858" spans="1:10" x14ac:dyDescent="0.35">
      <c r="A4858" s="2" t="s">
        <v>2220</v>
      </c>
      <c r="B4858" s="2" t="s">
        <v>2430</v>
      </c>
      <c r="C4858" s="2" t="s">
        <v>24</v>
      </c>
      <c r="D4858" s="2" t="s">
        <v>2434</v>
      </c>
      <c r="E4858" s="2" t="s">
        <v>120</v>
      </c>
      <c r="F4858" s="2" t="s">
        <v>1673</v>
      </c>
      <c r="G4858" s="2"/>
      <c r="H4858" s="2"/>
      <c r="I4858" s="2"/>
      <c r="J4858" s="2"/>
    </row>
    <row r="4859" spans="1:10" x14ac:dyDescent="0.35">
      <c r="A4859" s="2" t="s">
        <v>2220</v>
      </c>
      <c r="B4859" s="2" t="s">
        <v>2430</v>
      </c>
      <c r="C4859" s="2" t="s">
        <v>24</v>
      </c>
      <c r="D4859" s="2" t="s">
        <v>2434</v>
      </c>
      <c r="E4859" s="2" t="s">
        <v>35</v>
      </c>
      <c r="F4859" s="2" t="s">
        <v>36</v>
      </c>
      <c r="G4859" s="2"/>
      <c r="H4859" s="2"/>
      <c r="I4859" s="2"/>
      <c r="J4859" s="2"/>
    </row>
    <row r="4860" spans="1:10" x14ac:dyDescent="0.35">
      <c r="A4860" s="2" t="s">
        <v>2220</v>
      </c>
      <c r="B4860" s="2" t="s">
        <v>2430</v>
      </c>
      <c r="C4860" s="2" t="s">
        <v>24</v>
      </c>
      <c r="D4860" s="2" t="s">
        <v>2434</v>
      </c>
      <c r="E4860" s="2" t="s">
        <v>176</v>
      </c>
      <c r="F4860" s="2" t="s">
        <v>40</v>
      </c>
      <c r="G4860" s="2"/>
      <c r="H4860" s="2"/>
      <c r="I4860" s="2"/>
      <c r="J4860" s="2"/>
    </row>
    <row r="4861" spans="1:10" x14ac:dyDescent="0.35">
      <c r="A4861" s="2" t="s">
        <v>2220</v>
      </c>
      <c r="B4861" s="2" t="s">
        <v>2430</v>
      </c>
      <c r="C4861" s="2" t="s">
        <v>24</v>
      </c>
      <c r="D4861" s="2" t="s">
        <v>2434</v>
      </c>
      <c r="E4861" s="2" t="s">
        <v>87</v>
      </c>
      <c r="F4861" s="2" t="s">
        <v>75</v>
      </c>
      <c r="G4861" s="2" t="s">
        <v>20</v>
      </c>
      <c r="H4861" s="2" t="s">
        <v>2436</v>
      </c>
      <c r="I4861" s="2"/>
      <c r="J4861" s="2"/>
    </row>
    <row r="4862" spans="1:10" x14ac:dyDescent="0.35">
      <c r="A4862" s="2" t="s">
        <v>2220</v>
      </c>
      <c r="B4862" s="2" t="s">
        <v>2430</v>
      </c>
      <c r="C4862" s="2" t="s">
        <v>24</v>
      </c>
      <c r="D4862" s="2" t="s">
        <v>2434</v>
      </c>
      <c r="E4862" s="2" t="s">
        <v>18</v>
      </c>
      <c r="F4862" s="2" t="s">
        <v>19</v>
      </c>
      <c r="G4862" s="2" t="s">
        <v>20</v>
      </c>
      <c r="H4862" s="2" t="s">
        <v>2436</v>
      </c>
      <c r="I4862" s="2"/>
      <c r="J4862" s="2"/>
    </row>
    <row r="4863" spans="1:10" x14ac:dyDescent="0.35">
      <c r="A4863" s="2" t="s">
        <v>2220</v>
      </c>
      <c r="B4863" s="2" t="s">
        <v>2430</v>
      </c>
      <c r="C4863" s="2" t="s">
        <v>24</v>
      </c>
      <c r="D4863" s="2" t="s">
        <v>2434</v>
      </c>
      <c r="E4863" s="2" t="s">
        <v>61</v>
      </c>
      <c r="F4863" s="2" t="s">
        <v>30</v>
      </c>
      <c r="G4863" s="2" t="s">
        <v>20</v>
      </c>
      <c r="H4863" s="2" t="s">
        <v>2437</v>
      </c>
      <c r="I4863" s="2"/>
      <c r="J4863" s="2"/>
    </row>
    <row r="4864" spans="1:10" x14ac:dyDescent="0.35">
      <c r="A4864" s="2" t="s">
        <v>2220</v>
      </c>
      <c r="B4864" s="2" t="s">
        <v>2430</v>
      </c>
      <c r="C4864" s="2" t="s">
        <v>24</v>
      </c>
      <c r="D4864" s="2" t="s">
        <v>2434</v>
      </c>
      <c r="E4864" s="2" t="s">
        <v>423</v>
      </c>
      <c r="F4864" s="2" t="s">
        <v>424</v>
      </c>
      <c r="G4864" s="2" t="s">
        <v>20</v>
      </c>
      <c r="H4864" s="2" t="s">
        <v>2438</v>
      </c>
      <c r="I4864" s="2"/>
      <c r="J4864" s="2"/>
    </row>
    <row r="4865" spans="1:10" x14ac:dyDescent="0.35">
      <c r="A4865" s="2" t="s">
        <v>2220</v>
      </c>
      <c r="B4865" s="2" t="s">
        <v>2430</v>
      </c>
      <c r="C4865" s="2" t="s">
        <v>24</v>
      </c>
      <c r="D4865" s="2" t="s">
        <v>2434</v>
      </c>
      <c r="E4865" s="2" t="s">
        <v>127</v>
      </c>
      <c r="F4865" s="2" t="s">
        <v>107</v>
      </c>
      <c r="G4865" s="2"/>
      <c r="H4865" s="2"/>
      <c r="I4865" s="2"/>
      <c r="J4865" s="2"/>
    </row>
    <row r="4866" spans="1:10" s="21" customFormat="1" x14ac:dyDescent="0.35">
      <c r="A4866" s="2" t="s">
        <v>2220</v>
      </c>
      <c r="B4866" s="2" t="s">
        <v>2430</v>
      </c>
      <c r="C4866" s="2" t="s">
        <v>24</v>
      </c>
      <c r="D4866" s="2" t="s">
        <v>2439</v>
      </c>
      <c r="E4866" s="2" t="s">
        <v>763</v>
      </c>
      <c r="F4866" s="2" t="s">
        <v>107</v>
      </c>
      <c r="G4866" s="2"/>
      <c r="H4866" s="2"/>
      <c r="I4866" s="2" t="s">
        <v>20</v>
      </c>
      <c r="J4866" s="2" t="s">
        <v>759</v>
      </c>
    </row>
    <row r="4867" spans="1:10" x14ac:dyDescent="0.35">
      <c r="A4867" s="2" t="s">
        <v>2220</v>
      </c>
      <c r="B4867" s="2" t="s">
        <v>2430</v>
      </c>
      <c r="C4867" s="2" t="s">
        <v>24</v>
      </c>
      <c r="D4867" s="2" t="s">
        <v>2439</v>
      </c>
      <c r="E4867" s="2" t="s">
        <v>27</v>
      </c>
      <c r="F4867" s="2" t="s">
        <v>28</v>
      </c>
      <c r="G4867" s="2" t="s">
        <v>20</v>
      </c>
      <c r="H4867" s="2" t="s">
        <v>2440</v>
      </c>
      <c r="I4867" s="2" t="s">
        <v>20</v>
      </c>
      <c r="J4867" s="2" t="s">
        <v>759</v>
      </c>
    </row>
    <row r="4868" spans="1:10" s="21" customFormat="1" x14ac:dyDescent="0.35">
      <c r="A4868" s="2" t="s">
        <v>2220</v>
      </c>
      <c r="B4868" s="2" t="s">
        <v>2430</v>
      </c>
      <c r="C4868" s="2" t="s">
        <v>24</v>
      </c>
      <c r="D4868" s="2" t="s">
        <v>2439</v>
      </c>
      <c r="E4868" s="2" t="s">
        <v>35</v>
      </c>
      <c r="F4868" s="2" t="s">
        <v>36</v>
      </c>
      <c r="G4868" s="2"/>
      <c r="H4868" s="2"/>
      <c r="I4868" s="2" t="s">
        <v>20</v>
      </c>
      <c r="J4868" s="2" t="s">
        <v>759</v>
      </c>
    </row>
    <row r="4869" spans="1:10" x14ac:dyDescent="0.35">
      <c r="A4869" s="2" t="s">
        <v>2220</v>
      </c>
      <c r="B4869" s="2" t="s">
        <v>2430</v>
      </c>
      <c r="C4869" s="2" t="s">
        <v>24</v>
      </c>
      <c r="D4869" s="2" t="s">
        <v>2439</v>
      </c>
      <c r="E4869" s="2" t="s">
        <v>61</v>
      </c>
      <c r="F4869" s="2" t="s">
        <v>30</v>
      </c>
      <c r="G4869" s="2"/>
      <c r="H4869" s="2"/>
      <c r="I4869" s="2" t="s">
        <v>20</v>
      </c>
      <c r="J4869" s="2" t="s">
        <v>759</v>
      </c>
    </row>
    <row r="4870" spans="1:10" x14ac:dyDescent="0.35">
      <c r="A4870" s="2" t="s">
        <v>2220</v>
      </c>
      <c r="B4870" s="2" t="s">
        <v>2430</v>
      </c>
      <c r="C4870" s="2" t="s">
        <v>24</v>
      </c>
      <c r="D4870" s="2" t="s">
        <v>2439</v>
      </c>
      <c r="E4870" s="2" t="s">
        <v>423</v>
      </c>
      <c r="F4870" s="2" t="s">
        <v>424</v>
      </c>
      <c r="G4870" s="2"/>
      <c r="H4870" s="2"/>
      <c r="I4870" s="2" t="s">
        <v>20</v>
      </c>
      <c r="J4870" s="2" t="s">
        <v>759</v>
      </c>
    </row>
    <row r="4871" spans="1:10" x14ac:dyDescent="0.35">
      <c r="A4871" s="2" t="s">
        <v>2220</v>
      </c>
      <c r="B4871" s="2" t="s">
        <v>2430</v>
      </c>
      <c r="C4871" s="2" t="s">
        <v>24</v>
      </c>
      <c r="D4871" s="2" t="s">
        <v>2441</v>
      </c>
      <c r="E4871" s="2" t="s">
        <v>763</v>
      </c>
      <c r="F4871" s="2" t="s">
        <v>107</v>
      </c>
      <c r="G4871" s="2"/>
      <c r="H4871" s="2"/>
      <c r="I4871" s="2" t="s">
        <v>20</v>
      </c>
      <c r="J4871" s="2" t="s">
        <v>759</v>
      </c>
    </row>
    <row r="4872" spans="1:10" x14ac:dyDescent="0.35">
      <c r="A4872" s="2" t="s">
        <v>2220</v>
      </c>
      <c r="B4872" s="2" t="s">
        <v>2430</v>
      </c>
      <c r="C4872" s="2" t="s">
        <v>24</v>
      </c>
      <c r="D4872" s="2" t="s">
        <v>2441</v>
      </c>
      <c r="E4872" s="2" t="s">
        <v>27</v>
      </c>
      <c r="F4872" s="2" t="s">
        <v>28</v>
      </c>
      <c r="G4872" s="2"/>
      <c r="H4872" s="2"/>
      <c r="I4872" s="2" t="s">
        <v>20</v>
      </c>
      <c r="J4872" s="2" t="s">
        <v>759</v>
      </c>
    </row>
    <row r="4873" spans="1:10" x14ac:dyDescent="0.35">
      <c r="A4873" s="2" t="s">
        <v>2220</v>
      </c>
      <c r="B4873" s="2" t="s">
        <v>2430</v>
      </c>
      <c r="C4873" s="2" t="s">
        <v>24</v>
      </c>
      <c r="D4873" s="2" t="s">
        <v>2441</v>
      </c>
      <c r="E4873" s="2" t="s">
        <v>2365</v>
      </c>
      <c r="F4873" s="2" t="s">
        <v>228</v>
      </c>
      <c r="G4873" s="2"/>
      <c r="H4873" s="2"/>
      <c r="I4873" s="2" t="s">
        <v>20</v>
      </c>
      <c r="J4873" s="2" t="s">
        <v>759</v>
      </c>
    </row>
    <row r="4874" spans="1:10" x14ac:dyDescent="0.35">
      <c r="A4874" s="2" t="s">
        <v>2220</v>
      </c>
      <c r="B4874" s="2" t="s">
        <v>2430</v>
      </c>
      <c r="C4874" s="2" t="s">
        <v>24</v>
      </c>
      <c r="D4874" s="2" t="s">
        <v>2441</v>
      </c>
      <c r="E4874" s="2" t="s">
        <v>2012</v>
      </c>
      <c r="F4874" s="2" t="s">
        <v>36</v>
      </c>
      <c r="G4874" s="2"/>
      <c r="H4874" s="2"/>
      <c r="I4874" s="2" t="s">
        <v>20</v>
      </c>
      <c r="J4874" s="2" t="s">
        <v>759</v>
      </c>
    </row>
    <row r="4875" spans="1:10" x14ac:dyDescent="0.35">
      <c r="A4875" s="2" t="s">
        <v>2220</v>
      </c>
      <c r="B4875" s="2" t="s">
        <v>2430</v>
      </c>
      <c r="C4875" s="2" t="s">
        <v>24</v>
      </c>
      <c r="D4875" s="2" t="s">
        <v>2441</v>
      </c>
      <c r="E4875" s="2" t="s">
        <v>269</v>
      </c>
      <c r="F4875" s="2" t="s">
        <v>270</v>
      </c>
      <c r="G4875" s="2" t="s">
        <v>16</v>
      </c>
      <c r="H4875" s="2" t="s">
        <v>2442</v>
      </c>
      <c r="I4875" s="2" t="s">
        <v>20</v>
      </c>
      <c r="J4875" s="2" t="s">
        <v>759</v>
      </c>
    </row>
    <row r="4876" spans="1:10" x14ac:dyDescent="0.35">
      <c r="A4876" s="2" t="s">
        <v>2220</v>
      </c>
      <c r="B4876" s="2" t="s">
        <v>2430</v>
      </c>
      <c r="C4876" s="2" t="s">
        <v>24</v>
      </c>
      <c r="D4876" s="2" t="s">
        <v>2441</v>
      </c>
      <c r="E4876" s="2" t="s">
        <v>51</v>
      </c>
      <c r="F4876" s="2" t="s">
        <v>52</v>
      </c>
      <c r="G4876" s="2"/>
      <c r="H4876" s="2"/>
      <c r="I4876" s="2" t="s">
        <v>20</v>
      </c>
      <c r="J4876" s="2" t="s">
        <v>759</v>
      </c>
    </row>
    <row r="4877" spans="1:10" x14ac:dyDescent="0.35">
      <c r="A4877" s="2" t="s">
        <v>2220</v>
      </c>
      <c r="B4877" s="2" t="s">
        <v>2430</v>
      </c>
      <c r="C4877" s="2" t="s">
        <v>24</v>
      </c>
      <c r="D4877" s="2" t="s">
        <v>2443</v>
      </c>
      <c r="E4877" s="2" t="s">
        <v>27</v>
      </c>
      <c r="F4877" s="2" t="s">
        <v>28</v>
      </c>
      <c r="G4877" s="2" t="s">
        <v>20</v>
      </c>
      <c r="H4877" s="2" t="s">
        <v>2339</v>
      </c>
      <c r="I4877" s="2" t="s">
        <v>20</v>
      </c>
      <c r="J4877" s="2" t="s">
        <v>759</v>
      </c>
    </row>
    <row r="4878" spans="1:10" x14ac:dyDescent="0.35">
      <c r="A4878" s="2" t="s">
        <v>2220</v>
      </c>
      <c r="B4878" s="2" t="s">
        <v>2430</v>
      </c>
      <c r="C4878" s="2" t="s">
        <v>24</v>
      </c>
      <c r="D4878" s="2" t="s">
        <v>2443</v>
      </c>
      <c r="E4878" s="2" t="s">
        <v>136</v>
      </c>
      <c r="F4878" s="2" t="s">
        <v>107</v>
      </c>
      <c r="G4878" s="2" t="s">
        <v>20</v>
      </c>
      <c r="H4878" s="2" t="s">
        <v>2339</v>
      </c>
      <c r="I4878" s="2" t="s">
        <v>20</v>
      </c>
      <c r="J4878" s="2" t="s">
        <v>759</v>
      </c>
    </row>
    <row r="4879" spans="1:10" x14ac:dyDescent="0.35">
      <c r="A4879" s="2" t="s">
        <v>2220</v>
      </c>
      <c r="B4879" s="2" t="s">
        <v>2430</v>
      </c>
      <c r="C4879" s="2" t="s">
        <v>24</v>
      </c>
      <c r="D4879" s="2" t="s">
        <v>2443</v>
      </c>
      <c r="E4879" s="2" t="s">
        <v>35</v>
      </c>
      <c r="F4879" s="2" t="s">
        <v>36</v>
      </c>
      <c r="G4879" s="2" t="s">
        <v>20</v>
      </c>
      <c r="H4879" s="2" t="s">
        <v>2339</v>
      </c>
      <c r="I4879" s="2" t="s">
        <v>20</v>
      </c>
      <c r="J4879" s="2" t="s">
        <v>759</v>
      </c>
    </row>
    <row r="4880" spans="1:10" x14ac:dyDescent="0.35">
      <c r="A4880" s="2" t="s">
        <v>2220</v>
      </c>
      <c r="B4880" s="2" t="s">
        <v>2430</v>
      </c>
      <c r="C4880" s="2" t="s">
        <v>24</v>
      </c>
      <c r="D4880" s="2" t="s">
        <v>2443</v>
      </c>
      <c r="E4880" s="2" t="s">
        <v>91</v>
      </c>
      <c r="F4880" s="2" t="s">
        <v>19</v>
      </c>
      <c r="G4880" s="2" t="s">
        <v>20</v>
      </c>
      <c r="H4880" s="2" t="s">
        <v>2444</v>
      </c>
      <c r="I4880" s="2" t="s">
        <v>20</v>
      </c>
      <c r="J4880" s="2" t="s">
        <v>759</v>
      </c>
    </row>
    <row r="4881" spans="1:10" x14ac:dyDescent="0.35">
      <c r="A4881" s="2" t="s">
        <v>2220</v>
      </c>
      <c r="B4881" s="2" t="s">
        <v>2430</v>
      </c>
      <c r="C4881" s="2" t="s">
        <v>24</v>
      </c>
      <c r="D4881" s="2" t="s">
        <v>2443</v>
      </c>
      <c r="E4881" s="2" t="s">
        <v>423</v>
      </c>
      <c r="F4881" s="2" t="s">
        <v>424</v>
      </c>
      <c r="G4881" s="2" t="s">
        <v>20</v>
      </c>
      <c r="H4881" s="2" t="s">
        <v>2445</v>
      </c>
      <c r="I4881" s="2" t="s">
        <v>20</v>
      </c>
      <c r="J4881" s="2" t="s">
        <v>759</v>
      </c>
    </row>
    <row r="4882" spans="1:10" x14ac:dyDescent="0.35">
      <c r="A4882" s="2" t="s">
        <v>2220</v>
      </c>
      <c r="B4882" s="2" t="s">
        <v>2446</v>
      </c>
      <c r="C4882" s="2" t="s">
        <v>57</v>
      </c>
      <c r="D4882" s="2" t="s">
        <v>2447</v>
      </c>
      <c r="E4882" s="2" t="s">
        <v>27</v>
      </c>
      <c r="F4882" s="2" t="s">
        <v>28</v>
      </c>
      <c r="G4882" s="2" t="s">
        <v>20</v>
      </c>
      <c r="H4882" s="2" t="s">
        <v>2322</v>
      </c>
      <c r="I4882" s="2" t="s">
        <v>20</v>
      </c>
      <c r="J4882" s="2" t="s">
        <v>759</v>
      </c>
    </row>
    <row r="4883" spans="1:10" x14ac:dyDescent="0.35">
      <c r="A4883" s="2" t="s">
        <v>2220</v>
      </c>
      <c r="B4883" s="2" t="s">
        <v>2446</v>
      </c>
      <c r="C4883" s="2" t="s">
        <v>57</v>
      </c>
      <c r="D4883" s="2" t="s">
        <v>2447</v>
      </c>
      <c r="E4883" s="2" t="s">
        <v>121</v>
      </c>
      <c r="F4883" s="2" t="s">
        <v>122</v>
      </c>
      <c r="G4883" s="2"/>
      <c r="H4883" s="2"/>
      <c r="I4883" s="2" t="s">
        <v>20</v>
      </c>
      <c r="J4883" s="2" t="s">
        <v>759</v>
      </c>
    </row>
    <row r="4884" spans="1:10" x14ac:dyDescent="0.35">
      <c r="A4884" s="2" t="s">
        <v>2220</v>
      </c>
      <c r="B4884" s="2" t="s">
        <v>2446</v>
      </c>
      <c r="C4884" s="2" t="s">
        <v>57</v>
      </c>
      <c r="D4884" s="2" t="s">
        <v>2447</v>
      </c>
      <c r="E4884" s="2" t="s">
        <v>35</v>
      </c>
      <c r="F4884" s="2" t="s">
        <v>36</v>
      </c>
      <c r="G4884" s="2"/>
      <c r="H4884" s="2"/>
      <c r="I4884" s="2" t="s">
        <v>20</v>
      </c>
      <c r="J4884" s="2" t="s">
        <v>759</v>
      </c>
    </row>
    <row r="4885" spans="1:10" x14ac:dyDescent="0.35">
      <c r="A4885" s="2" t="s">
        <v>2220</v>
      </c>
      <c r="B4885" s="2" t="s">
        <v>2446</v>
      </c>
      <c r="C4885" s="2" t="s">
        <v>57</v>
      </c>
      <c r="D4885" s="2" t="s">
        <v>2447</v>
      </c>
      <c r="E4885" s="2" t="s">
        <v>423</v>
      </c>
      <c r="F4885" s="2" t="s">
        <v>424</v>
      </c>
      <c r="G4885" s="2" t="s">
        <v>20</v>
      </c>
      <c r="H4885" s="2" t="s">
        <v>2448</v>
      </c>
      <c r="I4885" s="2" t="s">
        <v>20</v>
      </c>
      <c r="J4885" s="2" t="s">
        <v>759</v>
      </c>
    </row>
    <row r="4886" spans="1:10" x14ac:dyDescent="0.35">
      <c r="A4886" s="2" t="s">
        <v>2220</v>
      </c>
      <c r="B4886" s="2" t="s">
        <v>2446</v>
      </c>
      <c r="C4886" s="2" t="s">
        <v>24</v>
      </c>
      <c r="D4886" s="2" t="s">
        <v>2449</v>
      </c>
      <c r="E4886" s="2" t="s">
        <v>27</v>
      </c>
      <c r="F4886" s="2" t="s">
        <v>28</v>
      </c>
      <c r="G4886" s="2"/>
      <c r="H4886" s="2"/>
      <c r="I4886" s="2" t="s">
        <v>20</v>
      </c>
      <c r="J4886" s="2" t="s">
        <v>759</v>
      </c>
    </row>
    <row r="4887" spans="1:10" x14ac:dyDescent="0.35">
      <c r="A4887" s="2" t="s">
        <v>2220</v>
      </c>
      <c r="B4887" s="2" t="s">
        <v>2446</v>
      </c>
      <c r="C4887" s="2" t="s">
        <v>24</v>
      </c>
      <c r="D4887" s="2" t="s">
        <v>2449</v>
      </c>
      <c r="E4887" s="2" t="s">
        <v>423</v>
      </c>
      <c r="F4887" s="2" t="s">
        <v>424</v>
      </c>
      <c r="G4887" s="2"/>
      <c r="H4887" s="2"/>
      <c r="I4887" s="2" t="s">
        <v>20</v>
      </c>
      <c r="J4887" s="2" t="s">
        <v>759</v>
      </c>
    </row>
    <row r="4888" spans="1:10" x14ac:dyDescent="0.35">
      <c r="A4888" s="2" t="s">
        <v>2220</v>
      </c>
      <c r="B4888" s="2" t="s">
        <v>2450</v>
      </c>
      <c r="C4888" s="2" t="s">
        <v>57</v>
      </c>
      <c r="D4888" s="2" t="s">
        <v>2451</v>
      </c>
      <c r="E4888" s="2" t="s">
        <v>27</v>
      </c>
      <c r="F4888" s="2" t="s">
        <v>28</v>
      </c>
      <c r="G4888" s="2"/>
      <c r="H4888" s="2"/>
      <c r="I4888" s="2" t="s">
        <v>20</v>
      </c>
      <c r="J4888" s="2" t="s">
        <v>759</v>
      </c>
    </row>
    <row r="4889" spans="1:10" x14ac:dyDescent="0.35">
      <c r="A4889" s="2" t="s">
        <v>2220</v>
      </c>
      <c r="B4889" s="2" t="s">
        <v>2450</v>
      </c>
      <c r="C4889" s="2" t="s">
        <v>57</v>
      </c>
      <c r="D4889" s="2" t="s">
        <v>2451</v>
      </c>
      <c r="E4889" s="2" t="s">
        <v>423</v>
      </c>
      <c r="F4889" s="2" t="s">
        <v>424</v>
      </c>
      <c r="G4889" s="2" t="s">
        <v>20</v>
      </c>
      <c r="H4889" s="2" t="s">
        <v>2452</v>
      </c>
      <c r="I4889" s="2" t="s">
        <v>20</v>
      </c>
      <c r="J4889" s="2" t="s">
        <v>759</v>
      </c>
    </row>
    <row r="4890" spans="1:10" x14ac:dyDescent="0.35">
      <c r="A4890" s="2" t="s">
        <v>2220</v>
      </c>
      <c r="B4890" s="2" t="s">
        <v>2450</v>
      </c>
      <c r="C4890" s="2" t="s">
        <v>54</v>
      </c>
      <c r="D4890" s="2" t="s">
        <v>2453</v>
      </c>
      <c r="E4890" s="2" t="s">
        <v>130</v>
      </c>
      <c r="F4890" s="2" t="s">
        <v>36</v>
      </c>
      <c r="G4890" s="2" t="s">
        <v>20</v>
      </c>
      <c r="H4890" s="2" t="s">
        <v>2351</v>
      </c>
      <c r="I4890" s="2" t="s">
        <v>20</v>
      </c>
      <c r="J4890" s="2" t="s">
        <v>759</v>
      </c>
    </row>
    <row r="4891" spans="1:10" x14ac:dyDescent="0.35">
      <c r="A4891" s="2" t="s">
        <v>2220</v>
      </c>
      <c r="B4891" s="2" t="s">
        <v>2450</v>
      </c>
      <c r="C4891" s="2" t="s">
        <v>54</v>
      </c>
      <c r="D4891" s="2" t="s">
        <v>2453</v>
      </c>
      <c r="E4891" s="2" t="s">
        <v>423</v>
      </c>
      <c r="F4891" s="2" t="s">
        <v>424</v>
      </c>
      <c r="G4891" s="2" t="s">
        <v>20</v>
      </c>
      <c r="H4891" s="2" t="s">
        <v>2351</v>
      </c>
      <c r="I4891" s="2" t="s">
        <v>20</v>
      </c>
      <c r="J4891" s="2" t="s">
        <v>759</v>
      </c>
    </row>
    <row r="4892" spans="1:10" x14ac:dyDescent="0.35">
      <c r="A4892" s="2" t="s">
        <v>2220</v>
      </c>
      <c r="B4892" s="2" t="s">
        <v>2450</v>
      </c>
      <c r="C4892" s="2" t="s">
        <v>24</v>
      </c>
      <c r="D4892" s="2" t="s">
        <v>2454</v>
      </c>
      <c r="E4892" s="2" t="s">
        <v>2455</v>
      </c>
      <c r="F4892" s="2" t="s">
        <v>270</v>
      </c>
      <c r="G4892" s="2" t="s">
        <v>20</v>
      </c>
      <c r="H4892" s="2" t="s">
        <v>2303</v>
      </c>
      <c r="I4892" s="2" t="s">
        <v>20</v>
      </c>
      <c r="J4892" s="2" t="s">
        <v>759</v>
      </c>
    </row>
    <row r="4893" spans="1:10" x14ac:dyDescent="0.35">
      <c r="A4893" s="2" t="s">
        <v>2220</v>
      </c>
      <c r="B4893" s="2" t="s">
        <v>2450</v>
      </c>
      <c r="C4893" s="2" t="s">
        <v>24</v>
      </c>
      <c r="D4893" s="2" t="s">
        <v>2454</v>
      </c>
      <c r="E4893" s="2" t="s">
        <v>27</v>
      </c>
      <c r="F4893" s="2" t="s">
        <v>28</v>
      </c>
      <c r="G4893" s="2" t="s">
        <v>20</v>
      </c>
      <c r="H4893" s="2" t="s">
        <v>2303</v>
      </c>
      <c r="I4893" s="2" t="s">
        <v>20</v>
      </c>
      <c r="J4893" s="2" t="s">
        <v>759</v>
      </c>
    </row>
    <row r="4894" spans="1:10" x14ac:dyDescent="0.35">
      <c r="A4894" s="2" t="s">
        <v>2220</v>
      </c>
      <c r="B4894" s="2" t="s">
        <v>2450</v>
      </c>
      <c r="C4894" s="2" t="s">
        <v>24</v>
      </c>
      <c r="D4894" s="2" t="s">
        <v>2454</v>
      </c>
      <c r="E4894" s="2" t="s">
        <v>815</v>
      </c>
      <c r="F4894" s="2" t="s">
        <v>122</v>
      </c>
      <c r="G4894" s="2"/>
      <c r="H4894" s="2"/>
      <c r="I4894" s="2" t="s">
        <v>20</v>
      </c>
      <c r="J4894" s="2" t="s">
        <v>759</v>
      </c>
    </row>
    <row r="4895" spans="1:10" x14ac:dyDescent="0.35">
      <c r="A4895" s="2" t="s">
        <v>2220</v>
      </c>
      <c r="B4895" s="2" t="s">
        <v>2450</v>
      </c>
      <c r="C4895" s="2" t="s">
        <v>24</v>
      </c>
      <c r="D4895" s="2" t="s">
        <v>2454</v>
      </c>
      <c r="E4895" s="2" t="s">
        <v>35</v>
      </c>
      <c r="F4895" s="2" t="s">
        <v>36</v>
      </c>
      <c r="G4895" s="2"/>
      <c r="H4895" s="2"/>
      <c r="I4895" s="2" t="s">
        <v>20</v>
      </c>
      <c r="J4895" s="2" t="s">
        <v>759</v>
      </c>
    </row>
    <row r="4896" spans="1:10" x14ac:dyDescent="0.35">
      <c r="A4896" s="2" t="s">
        <v>2220</v>
      </c>
      <c r="B4896" s="2" t="s">
        <v>2450</v>
      </c>
      <c r="C4896" s="2" t="s">
        <v>24</v>
      </c>
      <c r="D4896" s="2" t="s">
        <v>2454</v>
      </c>
      <c r="E4896" s="2" t="s">
        <v>91</v>
      </c>
      <c r="F4896" s="2" t="s">
        <v>19</v>
      </c>
      <c r="G4896" s="2" t="s">
        <v>20</v>
      </c>
      <c r="H4896" s="2" t="s">
        <v>2303</v>
      </c>
      <c r="I4896" s="2" t="s">
        <v>20</v>
      </c>
      <c r="J4896" s="2" t="s">
        <v>759</v>
      </c>
    </row>
    <row r="4897" spans="1:10" x14ac:dyDescent="0.35">
      <c r="A4897" s="2" t="s">
        <v>2220</v>
      </c>
      <c r="B4897" s="2" t="s">
        <v>2450</v>
      </c>
      <c r="C4897" s="2" t="s">
        <v>24</v>
      </c>
      <c r="D4897" s="2" t="s">
        <v>2454</v>
      </c>
      <c r="E4897" s="2" t="s">
        <v>423</v>
      </c>
      <c r="F4897" s="2" t="s">
        <v>424</v>
      </c>
      <c r="G4897" s="2" t="s">
        <v>20</v>
      </c>
      <c r="H4897" s="2" t="s">
        <v>2303</v>
      </c>
      <c r="I4897" s="2" t="s">
        <v>20</v>
      </c>
      <c r="J4897" s="2" t="s">
        <v>759</v>
      </c>
    </row>
    <row r="4898" spans="1:10" x14ac:dyDescent="0.35">
      <c r="A4898" s="2" t="s">
        <v>2220</v>
      </c>
      <c r="B4898" s="2" t="s">
        <v>2450</v>
      </c>
      <c r="C4898" s="2" t="s">
        <v>24</v>
      </c>
      <c r="D4898" s="2" t="s">
        <v>2454</v>
      </c>
      <c r="E4898" s="2" t="s">
        <v>2456</v>
      </c>
      <c r="F4898" s="2" t="s">
        <v>45</v>
      </c>
      <c r="G4898" s="2"/>
      <c r="H4898" s="2"/>
      <c r="I4898" s="2" t="s">
        <v>20</v>
      </c>
      <c r="J4898" s="2" t="s">
        <v>759</v>
      </c>
    </row>
    <row r="4899" spans="1:10" x14ac:dyDescent="0.35">
      <c r="A4899" s="2" t="s">
        <v>2220</v>
      </c>
      <c r="B4899" s="2" t="s">
        <v>2450</v>
      </c>
      <c r="C4899" s="2" t="s">
        <v>24</v>
      </c>
      <c r="D4899" s="2" t="s">
        <v>2457</v>
      </c>
      <c r="E4899" s="2" t="s">
        <v>120</v>
      </c>
      <c r="F4899" s="2" t="s">
        <v>32</v>
      </c>
      <c r="G4899" s="2"/>
      <c r="H4899" s="2"/>
      <c r="I4899" s="2" t="s">
        <v>20</v>
      </c>
      <c r="J4899" s="2" t="s">
        <v>759</v>
      </c>
    </row>
    <row r="4900" spans="1:10" s="21" customFormat="1" x14ac:dyDescent="0.35">
      <c r="A4900" s="2" t="s">
        <v>2220</v>
      </c>
      <c r="B4900" s="2" t="s">
        <v>2450</v>
      </c>
      <c r="C4900" s="2" t="s">
        <v>24</v>
      </c>
      <c r="D4900" s="2" t="s">
        <v>2457</v>
      </c>
      <c r="E4900" s="2" t="s">
        <v>136</v>
      </c>
      <c r="F4900" s="2" t="s">
        <v>107</v>
      </c>
      <c r="G4900" s="2"/>
      <c r="H4900" s="2"/>
      <c r="I4900" s="2" t="s">
        <v>20</v>
      </c>
      <c r="J4900" s="2" t="s">
        <v>759</v>
      </c>
    </row>
    <row r="4901" spans="1:10" x14ac:dyDescent="0.35">
      <c r="A4901" s="2" t="s">
        <v>2220</v>
      </c>
      <c r="B4901" s="2" t="s">
        <v>2450</v>
      </c>
      <c r="C4901" s="2" t="s">
        <v>24</v>
      </c>
      <c r="D4901" s="2" t="s">
        <v>2457</v>
      </c>
      <c r="E4901" s="2" t="s">
        <v>35</v>
      </c>
      <c r="F4901" s="2" t="s">
        <v>36</v>
      </c>
      <c r="G4901" s="2"/>
      <c r="H4901" s="2"/>
      <c r="I4901" s="2" t="s">
        <v>20</v>
      </c>
      <c r="J4901" s="2" t="s">
        <v>759</v>
      </c>
    </row>
    <row r="4902" spans="1:10" x14ac:dyDescent="0.35">
      <c r="A4902" s="2" t="s">
        <v>2220</v>
      </c>
      <c r="B4902" s="2" t="s">
        <v>2450</v>
      </c>
      <c r="C4902" s="2" t="s">
        <v>24</v>
      </c>
      <c r="D4902" s="2" t="s">
        <v>2457</v>
      </c>
      <c r="E4902" s="2" t="s">
        <v>91</v>
      </c>
      <c r="F4902" s="2" t="s">
        <v>19</v>
      </c>
      <c r="G4902" s="2" t="s">
        <v>20</v>
      </c>
      <c r="H4902" s="2" t="s">
        <v>2458</v>
      </c>
      <c r="I4902" s="2" t="s">
        <v>20</v>
      </c>
      <c r="J4902" s="2" t="s">
        <v>759</v>
      </c>
    </row>
    <row r="4903" spans="1:10" x14ac:dyDescent="0.35">
      <c r="A4903" s="2" t="s">
        <v>2220</v>
      </c>
      <c r="B4903" s="2" t="s">
        <v>2450</v>
      </c>
      <c r="C4903" s="2" t="s">
        <v>24</v>
      </c>
      <c r="D4903" s="2" t="s">
        <v>2457</v>
      </c>
      <c r="E4903" s="2" t="s">
        <v>423</v>
      </c>
      <c r="F4903" s="2" t="s">
        <v>424</v>
      </c>
      <c r="G4903" s="2" t="s">
        <v>20</v>
      </c>
      <c r="H4903" s="2" t="s">
        <v>2459</v>
      </c>
      <c r="I4903" s="2" t="s">
        <v>20</v>
      </c>
      <c r="J4903" s="2" t="s">
        <v>759</v>
      </c>
    </row>
    <row r="4904" spans="1:10" s="21" customFormat="1" x14ac:dyDescent="0.35">
      <c r="A4904" s="2" t="s">
        <v>2220</v>
      </c>
      <c r="B4904" s="2" t="s">
        <v>2460</v>
      </c>
      <c r="C4904" s="2" t="s">
        <v>24</v>
      </c>
      <c r="D4904" s="2" t="s">
        <v>2461</v>
      </c>
      <c r="E4904" s="2" t="s">
        <v>27</v>
      </c>
      <c r="F4904" s="2" t="s">
        <v>28</v>
      </c>
      <c r="G4904" s="2"/>
      <c r="H4904" s="2"/>
      <c r="I4904" s="2"/>
      <c r="J4904" s="2"/>
    </row>
    <row r="4905" spans="1:10" s="21" customFormat="1" x14ac:dyDescent="0.35">
      <c r="A4905" s="2" t="s">
        <v>2220</v>
      </c>
      <c r="B4905" s="2" t="s">
        <v>2460</v>
      </c>
      <c r="C4905" s="2" t="s">
        <v>24</v>
      </c>
      <c r="D4905" s="2" t="s">
        <v>2461</v>
      </c>
      <c r="E4905" s="2" t="s">
        <v>35</v>
      </c>
      <c r="F4905" s="2" t="s">
        <v>36</v>
      </c>
      <c r="G4905" s="2"/>
      <c r="H4905" s="2"/>
      <c r="I4905" s="2"/>
      <c r="J4905" s="2"/>
    </row>
    <row r="4906" spans="1:10" s="21" customFormat="1" x14ac:dyDescent="0.35">
      <c r="A4906" s="2" t="s">
        <v>2220</v>
      </c>
      <c r="B4906" s="2" t="s">
        <v>2460</v>
      </c>
      <c r="C4906" s="2" t="s">
        <v>24</v>
      </c>
      <c r="D4906" s="2" t="s">
        <v>2461</v>
      </c>
      <c r="E4906" s="2" t="s">
        <v>87</v>
      </c>
      <c r="F4906" s="2" t="s">
        <v>75</v>
      </c>
      <c r="G4906" s="2"/>
      <c r="H4906" s="2"/>
      <c r="I4906" s="2"/>
      <c r="J4906" s="2"/>
    </row>
    <row r="4907" spans="1:10" s="21" customFormat="1" x14ac:dyDescent="0.35">
      <c r="A4907" s="2" t="s">
        <v>2220</v>
      </c>
      <c r="B4907" s="2" t="s">
        <v>2460</v>
      </c>
      <c r="C4907" s="2" t="s">
        <v>24</v>
      </c>
      <c r="D4907" s="2" t="s">
        <v>2461</v>
      </c>
      <c r="E4907" s="2" t="s">
        <v>61</v>
      </c>
      <c r="F4907" s="2" t="s">
        <v>30</v>
      </c>
      <c r="G4907" s="2"/>
      <c r="H4907" s="2"/>
      <c r="I4907" s="2"/>
      <c r="J4907" s="2"/>
    </row>
    <row r="4908" spans="1:10" s="21" customFormat="1" x14ac:dyDescent="0.35">
      <c r="A4908" s="2" t="s">
        <v>2220</v>
      </c>
      <c r="B4908" s="2" t="s">
        <v>2460</v>
      </c>
      <c r="C4908" s="2" t="s">
        <v>24</v>
      </c>
      <c r="D4908" s="2" t="s">
        <v>2462</v>
      </c>
      <c r="E4908" s="2" t="s">
        <v>27</v>
      </c>
      <c r="F4908" s="2" t="s">
        <v>28</v>
      </c>
      <c r="G4908" s="2"/>
      <c r="H4908" s="2"/>
      <c r="I4908" s="2"/>
      <c r="J4908" s="2"/>
    </row>
    <row r="4909" spans="1:10" s="21" customFormat="1" x14ac:dyDescent="0.35">
      <c r="A4909" s="2" t="s">
        <v>2220</v>
      </c>
      <c r="B4909" s="2" t="s">
        <v>2460</v>
      </c>
      <c r="C4909" s="2" t="s">
        <v>24</v>
      </c>
      <c r="D4909" s="2" t="s">
        <v>2462</v>
      </c>
      <c r="E4909" s="2" t="s">
        <v>35</v>
      </c>
      <c r="F4909" s="2" t="s">
        <v>36</v>
      </c>
      <c r="G4909" s="2"/>
      <c r="H4909" s="2"/>
      <c r="I4909" s="2"/>
      <c r="J4909" s="2"/>
    </row>
    <row r="4910" spans="1:10" s="21" customFormat="1" x14ac:dyDescent="0.35">
      <c r="A4910" s="2" t="s">
        <v>2220</v>
      </c>
      <c r="B4910" s="2" t="s">
        <v>2460</v>
      </c>
      <c r="C4910" s="2" t="s">
        <v>24</v>
      </c>
      <c r="D4910" s="2" t="s">
        <v>2462</v>
      </c>
      <c r="E4910" s="2" t="s">
        <v>61</v>
      </c>
      <c r="F4910" s="2" t="s">
        <v>30</v>
      </c>
      <c r="G4910" s="2"/>
      <c r="H4910" s="2"/>
      <c r="I4910" s="2"/>
      <c r="J4910" s="2"/>
    </row>
    <row r="4911" spans="1:10" s="21" customFormat="1" x14ac:dyDescent="0.35">
      <c r="A4911" s="2" t="s">
        <v>2220</v>
      </c>
      <c r="B4911" s="2" t="s">
        <v>2463</v>
      </c>
      <c r="C4911" s="2" t="s">
        <v>24</v>
      </c>
      <c r="D4911" s="2" t="s">
        <v>2464</v>
      </c>
      <c r="E4911" s="2" t="s">
        <v>393</v>
      </c>
      <c r="F4911" s="2" t="s">
        <v>36</v>
      </c>
      <c r="G4911" s="2"/>
      <c r="H4911" s="2"/>
      <c r="I4911" s="2"/>
      <c r="J4911" s="2"/>
    </row>
    <row r="4912" spans="1:10" s="21" customFormat="1" x14ac:dyDescent="0.35">
      <c r="A4912" s="2" t="s">
        <v>2220</v>
      </c>
      <c r="B4912" s="2" t="s">
        <v>2465</v>
      </c>
      <c r="C4912" s="2" t="s">
        <v>24</v>
      </c>
      <c r="D4912" s="2" t="s">
        <v>2466</v>
      </c>
      <c r="E4912" s="2" t="s">
        <v>27</v>
      </c>
      <c r="F4912" s="2" t="s">
        <v>28</v>
      </c>
      <c r="G4912" s="2"/>
      <c r="H4912" s="2"/>
      <c r="I4912" s="2"/>
      <c r="J4912" s="2"/>
    </row>
    <row r="4913" spans="1:10" s="21" customFormat="1" x14ac:dyDescent="0.35">
      <c r="A4913" s="2" t="s">
        <v>2220</v>
      </c>
      <c r="B4913" s="2" t="s">
        <v>2465</v>
      </c>
      <c r="C4913" s="2" t="s">
        <v>24</v>
      </c>
      <c r="D4913" s="2" t="s">
        <v>2466</v>
      </c>
      <c r="E4913" s="2" t="s">
        <v>38</v>
      </c>
      <c r="F4913" s="2" t="s">
        <v>38</v>
      </c>
      <c r="G4913" s="2"/>
      <c r="H4913" s="2"/>
      <c r="I4913" s="2"/>
      <c r="J4913" s="2"/>
    </row>
    <row r="4914" spans="1:10" s="21" customFormat="1" x14ac:dyDescent="0.35">
      <c r="A4914" s="2" t="s">
        <v>2220</v>
      </c>
      <c r="B4914" s="2" t="s">
        <v>2467</v>
      </c>
      <c r="C4914" s="2" t="s">
        <v>24</v>
      </c>
      <c r="D4914" s="2" t="s">
        <v>2468</v>
      </c>
      <c r="E4914" s="2" t="s">
        <v>121</v>
      </c>
      <c r="F4914" s="2" t="s">
        <v>122</v>
      </c>
      <c r="G4914" s="2"/>
      <c r="H4914" s="2"/>
      <c r="I4914" s="2"/>
      <c r="J4914" s="2"/>
    </row>
    <row r="4915" spans="1:10" s="21" customFormat="1" x14ac:dyDescent="0.35">
      <c r="A4915" s="2" t="s">
        <v>2220</v>
      </c>
      <c r="B4915" s="2" t="s">
        <v>2467</v>
      </c>
      <c r="C4915" s="2" t="s">
        <v>24</v>
      </c>
      <c r="D4915" s="2" t="s">
        <v>2468</v>
      </c>
      <c r="E4915" s="2" t="s">
        <v>35</v>
      </c>
      <c r="F4915" s="2" t="s">
        <v>36</v>
      </c>
      <c r="G4915" s="2"/>
      <c r="H4915" s="2"/>
      <c r="I4915" s="2"/>
      <c r="J4915" s="2"/>
    </row>
    <row r="4916" spans="1:10" s="21" customFormat="1" x14ac:dyDescent="0.35">
      <c r="A4916" s="2" t="s">
        <v>2220</v>
      </c>
      <c r="B4916" s="2" t="s">
        <v>2467</v>
      </c>
      <c r="C4916" s="2" t="s">
        <v>24</v>
      </c>
      <c r="D4916" s="2" t="s">
        <v>2468</v>
      </c>
      <c r="E4916" s="2" t="s">
        <v>18</v>
      </c>
      <c r="F4916" s="2" t="s">
        <v>19</v>
      </c>
      <c r="G4916" s="2"/>
      <c r="H4916" s="2"/>
      <c r="I4916" s="2"/>
      <c r="J4916" s="2"/>
    </row>
    <row r="4917" spans="1:10" s="21" customFormat="1" x14ac:dyDescent="0.35">
      <c r="A4917" s="2" t="s">
        <v>2220</v>
      </c>
      <c r="B4917" s="2" t="s">
        <v>2469</v>
      </c>
      <c r="C4917" s="2" t="s">
        <v>57</v>
      </c>
      <c r="D4917" s="2" t="s">
        <v>2470</v>
      </c>
      <c r="E4917" s="2" t="s">
        <v>130</v>
      </c>
      <c r="F4917" s="2" t="s">
        <v>36</v>
      </c>
      <c r="G4917" s="2"/>
      <c r="H4917" s="2"/>
      <c r="I4917" s="2" t="s">
        <v>20</v>
      </c>
      <c r="J4917" s="2" t="s">
        <v>2471</v>
      </c>
    </row>
    <row r="4918" spans="1:10" s="21" customFormat="1" x14ac:dyDescent="0.35">
      <c r="A4918" s="2" t="s">
        <v>2220</v>
      </c>
      <c r="B4918" s="2" t="s">
        <v>2469</v>
      </c>
      <c r="C4918" s="2" t="s">
        <v>57</v>
      </c>
      <c r="D4918" s="2" t="s">
        <v>2470</v>
      </c>
      <c r="E4918" s="2" t="s">
        <v>121</v>
      </c>
      <c r="F4918" s="2" t="s">
        <v>122</v>
      </c>
      <c r="G4918" s="2"/>
      <c r="H4918" s="2"/>
      <c r="I4918" s="2" t="s">
        <v>20</v>
      </c>
      <c r="J4918" s="2" t="s">
        <v>2471</v>
      </c>
    </row>
    <row r="4919" spans="1:10" s="21" customFormat="1" x14ac:dyDescent="0.35">
      <c r="A4919" s="2" t="s">
        <v>2220</v>
      </c>
      <c r="B4919" s="2" t="s">
        <v>2469</v>
      </c>
      <c r="C4919" s="2" t="s">
        <v>57</v>
      </c>
      <c r="D4919" s="2" t="s">
        <v>2470</v>
      </c>
      <c r="E4919" s="2" t="s">
        <v>18</v>
      </c>
      <c r="F4919" s="2" t="s">
        <v>19</v>
      </c>
      <c r="G4919" s="2" t="s">
        <v>20</v>
      </c>
      <c r="H4919" s="2" t="s">
        <v>2472</v>
      </c>
      <c r="I4919" s="2" t="s">
        <v>20</v>
      </c>
      <c r="J4919" s="2" t="s">
        <v>2471</v>
      </c>
    </row>
    <row r="4920" spans="1:10" s="21" customFormat="1" x14ac:dyDescent="0.35">
      <c r="A4920" s="2" t="s">
        <v>2220</v>
      </c>
      <c r="B4920" s="2" t="s">
        <v>2469</v>
      </c>
      <c r="C4920" s="2" t="s">
        <v>57</v>
      </c>
      <c r="D4920" s="2" t="s">
        <v>2470</v>
      </c>
      <c r="E4920" s="2" t="s">
        <v>61</v>
      </c>
      <c r="F4920" s="2" t="s">
        <v>30</v>
      </c>
      <c r="G4920" s="2"/>
      <c r="H4920" s="2"/>
      <c r="I4920" s="2" t="s">
        <v>20</v>
      </c>
      <c r="J4920" s="2" t="s">
        <v>2471</v>
      </c>
    </row>
    <row r="4921" spans="1:10" x14ac:dyDescent="0.35">
      <c r="A4921" s="2" t="s">
        <v>2220</v>
      </c>
      <c r="B4921" s="2" t="s">
        <v>2473</v>
      </c>
      <c r="C4921" s="2" t="s">
        <v>57</v>
      </c>
      <c r="D4921" s="2" t="s">
        <v>2474</v>
      </c>
      <c r="E4921" s="2" t="s">
        <v>130</v>
      </c>
      <c r="F4921" s="2" t="s">
        <v>36</v>
      </c>
      <c r="G4921" s="2" t="s">
        <v>20</v>
      </c>
      <c r="H4921" s="2" t="s">
        <v>1246</v>
      </c>
      <c r="I4921" s="2"/>
      <c r="J4921" s="2"/>
    </row>
    <row r="4922" spans="1:10" x14ac:dyDescent="0.35">
      <c r="A4922" s="2" t="s">
        <v>2220</v>
      </c>
      <c r="B4922" s="2" t="s">
        <v>2473</v>
      </c>
      <c r="C4922" s="2" t="s">
        <v>57</v>
      </c>
      <c r="D4922" s="2" t="s">
        <v>2474</v>
      </c>
      <c r="E4922" s="2" t="s">
        <v>27</v>
      </c>
      <c r="F4922" s="2" t="s">
        <v>28</v>
      </c>
      <c r="G4922" s="2" t="s">
        <v>20</v>
      </c>
      <c r="H4922" s="2" t="s">
        <v>1246</v>
      </c>
      <c r="I4922" s="2"/>
      <c r="J4922" s="2"/>
    </row>
    <row r="4923" spans="1:10" s="19" customFormat="1" x14ac:dyDescent="0.35">
      <c r="A4923" s="2" t="s">
        <v>2220</v>
      </c>
      <c r="B4923" s="2" t="s">
        <v>2473</v>
      </c>
      <c r="C4923" s="2" t="s">
        <v>57</v>
      </c>
      <c r="D4923" s="2" t="s">
        <v>2474</v>
      </c>
      <c r="E4923" s="2" t="s">
        <v>121</v>
      </c>
      <c r="F4923" s="2" t="s">
        <v>122</v>
      </c>
      <c r="G4923" s="2" t="s">
        <v>20</v>
      </c>
      <c r="H4923" s="2" t="s">
        <v>1246</v>
      </c>
      <c r="I4923" s="2"/>
      <c r="J4923" s="2"/>
    </row>
    <row r="4924" spans="1:10" x14ac:dyDescent="0.35">
      <c r="A4924" s="2" t="s">
        <v>2220</v>
      </c>
      <c r="B4924" s="2" t="s">
        <v>2473</v>
      </c>
      <c r="C4924" s="2" t="s">
        <v>57</v>
      </c>
      <c r="D4924" s="2" t="s">
        <v>2474</v>
      </c>
      <c r="E4924" s="2" t="s">
        <v>2224</v>
      </c>
      <c r="F4924" s="2" t="s">
        <v>19</v>
      </c>
      <c r="G4924" s="2" t="s">
        <v>20</v>
      </c>
      <c r="H4924" s="2" t="s">
        <v>1246</v>
      </c>
      <c r="I4924" s="2"/>
      <c r="J4924" s="2"/>
    </row>
    <row r="4925" spans="1:10" x14ac:dyDescent="0.35">
      <c r="A4925" s="2" t="s">
        <v>2220</v>
      </c>
      <c r="B4925" s="2" t="s">
        <v>2473</v>
      </c>
      <c r="C4925" s="2" t="s">
        <v>24</v>
      </c>
      <c r="D4925" s="2" t="s">
        <v>2475</v>
      </c>
      <c r="E4925" s="2" t="s">
        <v>130</v>
      </c>
      <c r="F4925" s="2" t="s">
        <v>36</v>
      </c>
      <c r="G4925" s="2"/>
      <c r="H4925" s="2"/>
      <c r="I4925" s="2"/>
      <c r="J4925" s="2"/>
    </row>
    <row r="4926" spans="1:10" x14ac:dyDescent="0.35">
      <c r="A4926" s="2" t="s">
        <v>2220</v>
      </c>
      <c r="B4926" s="2" t="s">
        <v>2473</v>
      </c>
      <c r="C4926" s="2" t="s">
        <v>24</v>
      </c>
      <c r="D4926" s="2" t="s">
        <v>2475</v>
      </c>
      <c r="E4926" s="2" t="s">
        <v>27</v>
      </c>
      <c r="F4926" s="2" t="s">
        <v>28</v>
      </c>
      <c r="G4926" s="2"/>
      <c r="H4926" s="2"/>
      <c r="I4926" s="2"/>
      <c r="J4926" s="2"/>
    </row>
    <row r="4927" spans="1:10" x14ac:dyDescent="0.35">
      <c r="A4927" s="2" t="s">
        <v>2220</v>
      </c>
      <c r="B4927" s="2" t="s">
        <v>2473</v>
      </c>
      <c r="C4927" s="2" t="s">
        <v>24</v>
      </c>
      <c r="D4927" s="2" t="s">
        <v>2475</v>
      </c>
      <c r="E4927" s="2" t="s">
        <v>91</v>
      </c>
      <c r="F4927" s="2" t="s">
        <v>19</v>
      </c>
      <c r="G4927" s="2" t="s">
        <v>20</v>
      </c>
      <c r="H4927" s="2" t="s">
        <v>2476</v>
      </c>
      <c r="I4927" s="2"/>
      <c r="J4927" s="2"/>
    </row>
    <row r="4928" spans="1:10" x14ac:dyDescent="0.35">
      <c r="A4928" s="2" t="s">
        <v>2220</v>
      </c>
      <c r="B4928" s="2" t="s">
        <v>2473</v>
      </c>
      <c r="C4928" s="2" t="s">
        <v>24</v>
      </c>
      <c r="D4928" s="2" t="s">
        <v>2475</v>
      </c>
      <c r="E4928" s="2" t="s">
        <v>87</v>
      </c>
      <c r="F4928" s="2" t="s">
        <v>75</v>
      </c>
      <c r="G4928" s="2" t="s">
        <v>20</v>
      </c>
      <c r="H4928" s="2" t="s">
        <v>2477</v>
      </c>
      <c r="I4928" s="2"/>
      <c r="J4928" s="2"/>
    </row>
    <row r="4929" spans="1:10" x14ac:dyDescent="0.35">
      <c r="A4929" s="2" t="s">
        <v>2220</v>
      </c>
      <c r="B4929" s="2" t="s">
        <v>2473</v>
      </c>
      <c r="C4929" s="2" t="s">
        <v>24</v>
      </c>
      <c r="D4929" s="2" t="s">
        <v>2475</v>
      </c>
      <c r="E4929" s="2" t="s">
        <v>61</v>
      </c>
      <c r="F4929" s="2" t="s">
        <v>30</v>
      </c>
      <c r="G4929" s="2"/>
      <c r="H4929" s="2"/>
      <c r="I4929" s="2"/>
      <c r="J4929" s="2"/>
    </row>
    <row r="4930" spans="1:10" x14ac:dyDescent="0.35">
      <c r="A4930" s="2" t="s">
        <v>2220</v>
      </c>
      <c r="B4930" s="2" t="s">
        <v>2473</v>
      </c>
      <c r="C4930" s="2" t="s">
        <v>24</v>
      </c>
      <c r="D4930" s="2" t="s">
        <v>2478</v>
      </c>
      <c r="E4930" s="2" t="s">
        <v>1277</v>
      </c>
      <c r="F4930" s="2" t="s">
        <v>36</v>
      </c>
      <c r="G4930" s="2"/>
      <c r="H4930" s="2"/>
      <c r="I4930" s="2"/>
      <c r="J4930" s="2"/>
    </row>
    <row r="4931" spans="1:10" x14ac:dyDescent="0.35">
      <c r="A4931" s="2" t="s">
        <v>2220</v>
      </c>
      <c r="B4931" s="2" t="s">
        <v>2473</v>
      </c>
      <c r="C4931" s="2" t="s">
        <v>24</v>
      </c>
      <c r="D4931" s="2" t="s">
        <v>2478</v>
      </c>
      <c r="E4931" s="2" t="s">
        <v>2479</v>
      </c>
      <c r="F4931" s="2" t="s">
        <v>28</v>
      </c>
      <c r="G4931" s="2"/>
      <c r="H4931" s="2"/>
      <c r="I4931" s="2"/>
      <c r="J4931" s="2"/>
    </row>
    <row r="4932" spans="1:10" x14ac:dyDescent="0.35">
      <c r="A4932" s="2" t="s">
        <v>2220</v>
      </c>
      <c r="B4932" s="2" t="s">
        <v>2473</v>
      </c>
      <c r="C4932" s="2" t="s">
        <v>24</v>
      </c>
      <c r="D4932" s="2" t="s">
        <v>2478</v>
      </c>
      <c r="E4932" s="2" t="s">
        <v>121</v>
      </c>
      <c r="F4932" s="2" t="s">
        <v>122</v>
      </c>
      <c r="G4932" s="2" t="s">
        <v>20</v>
      </c>
      <c r="H4932" s="2" t="s">
        <v>2480</v>
      </c>
      <c r="I4932" s="2"/>
      <c r="J4932" s="2"/>
    </row>
    <row r="4933" spans="1:10" x14ac:dyDescent="0.35">
      <c r="A4933" s="2" t="s">
        <v>2220</v>
      </c>
      <c r="B4933" s="2" t="s">
        <v>2473</v>
      </c>
      <c r="C4933" s="2" t="s">
        <v>24</v>
      </c>
      <c r="D4933" s="2" t="s">
        <v>2478</v>
      </c>
      <c r="E4933" s="2" t="s">
        <v>87</v>
      </c>
      <c r="F4933" s="2" t="s">
        <v>75</v>
      </c>
      <c r="G4933" s="2" t="s">
        <v>20</v>
      </c>
      <c r="H4933" s="2" t="s">
        <v>2481</v>
      </c>
      <c r="I4933" s="2"/>
      <c r="J4933" s="2"/>
    </row>
    <row r="4934" spans="1:10" x14ac:dyDescent="0.35">
      <c r="A4934" s="2" t="s">
        <v>2220</v>
      </c>
      <c r="B4934" s="2" t="s">
        <v>2482</v>
      </c>
      <c r="C4934" s="2" t="s">
        <v>54</v>
      </c>
      <c r="D4934" s="2" t="s">
        <v>2483</v>
      </c>
      <c r="E4934" s="2" t="s">
        <v>91</v>
      </c>
      <c r="F4934" s="2" t="s">
        <v>19</v>
      </c>
      <c r="G4934" s="2" t="s">
        <v>20</v>
      </c>
      <c r="H4934" s="2" t="s">
        <v>2484</v>
      </c>
      <c r="I4934" s="2"/>
      <c r="J4934" s="2"/>
    </row>
    <row r="4935" spans="1:10" x14ac:dyDescent="0.35">
      <c r="A4935" s="2" t="s">
        <v>2220</v>
      </c>
      <c r="B4935" s="2" t="s">
        <v>2482</v>
      </c>
      <c r="C4935" s="2" t="s">
        <v>54</v>
      </c>
      <c r="D4935" s="2" t="s">
        <v>2483</v>
      </c>
      <c r="E4935" s="2" t="s">
        <v>61</v>
      </c>
      <c r="F4935" s="2" t="s">
        <v>30</v>
      </c>
      <c r="G4935" s="2"/>
      <c r="H4935" s="2"/>
      <c r="I4935" s="2"/>
      <c r="J4935" s="2"/>
    </row>
    <row r="4936" spans="1:10" s="21" customFormat="1" x14ac:dyDescent="0.35">
      <c r="A4936" s="2" t="s">
        <v>2220</v>
      </c>
      <c r="B4936" s="2" t="s">
        <v>2485</v>
      </c>
      <c r="C4936" s="2" t="s">
        <v>54</v>
      </c>
      <c r="D4936" s="2" t="s">
        <v>2486</v>
      </c>
      <c r="E4936" s="2" t="s">
        <v>144</v>
      </c>
      <c r="F4936" s="2" t="s">
        <v>50</v>
      </c>
      <c r="G4936" s="2"/>
      <c r="H4936" s="2"/>
      <c r="I4936" s="2"/>
      <c r="J4936" s="2"/>
    </row>
    <row r="4937" spans="1:10" s="21" customFormat="1" x14ac:dyDescent="0.35">
      <c r="A4937" s="2" t="s">
        <v>2220</v>
      </c>
      <c r="B4937" s="2" t="s">
        <v>2485</v>
      </c>
      <c r="C4937" s="2" t="s">
        <v>54</v>
      </c>
      <c r="D4937" s="2" t="s">
        <v>2486</v>
      </c>
      <c r="E4937" s="2" t="s">
        <v>35</v>
      </c>
      <c r="F4937" s="2" t="s">
        <v>36</v>
      </c>
      <c r="G4937" s="2"/>
      <c r="H4937" s="2"/>
      <c r="I4937" s="2"/>
      <c r="J4937" s="2"/>
    </row>
    <row r="4938" spans="1:10" s="21" customFormat="1" x14ac:dyDescent="0.35">
      <c r="A4938" s="2" t="s">
        <v>2220</v>
      </c>
      <c r="B4938" s="2" t="s">
        <v>2485</v>
      </c>
      <c r="C4938" s="2" t="s">
        <v>54</v>
      </c>
      <c r="D4938" s="2" t="s">
        <v>2486</v>
      </c>
      <c r="E4938" s="2" t="s">
        <v>18</v>
      </c>
      <c r="F4938" s="2" t="s">
        <v>19</v>
      </c>
      <c r="G4938" s="2" t="s">
        <v>20</v>
      </c>
      <c r="H4938" s="2" t="s">
        <v>2487</v>
      </c>
      <c r="I4938" s="2"/>
      <c r="J4938" s="2"/>
    </row>
    <row r="4939" spans="1:10" x14ac:dyDescent="0.35">
      <c r="A4939" s="2" t="s">
        <v>2220</v>
      </c>
      <c r="B4939" s="2" t="s">
        <v>2488</v>
      </c>
      <c r="C4939" s="2" t="s">
        <v>57</v>
      </c>
      <c r="D4939" s="2" t="s">
        <v>2489</v>
      </c>
      <c r="E4939" s="2" t="s">
        <v>27</v>
      </c>
      <c r="F4939" s="2" t="s">
        <v>28</v>
      </c>
      <c r="G4939" s="2"/>
      <c r="H4939" s="2"/>
      <c r="I4939" s="2" t="s">
        <v>20</v>
      </c>
      <c r="J4939" s="2" t="s">
        <v>759</v>
      </c>
    </row>
    <row r="4940" spans="1:10" x14ac:dyDescent="0.35">
      <c r="A4940" s="2" t="s">
        <v>2220</v>
      </c>
      <c r="B4940" s="2" t="s">
        <v>2488</v>
      </c>
      <c r="C4940" s="2" t="s">
        <v>57</v>
      </c>
      <c r="D4940" s="2" t="s">
        <v>2489</v>
      </c>
      <c r="E4940" s="2" t="s">
        <v>76</v>
      </c>
      <c r="F4940" s="2" t="s">
        <v>75</v>
      </c>
      <c r="G4940" s="2" t="s">
        <v>20</v>
      </c>
      <c r="H4940" s="2" t="s">
        <v>2438</v>
      </c>
      <c r="I4940" s="2" t="s">
        <v>20</v>
      </c>
      <c r="J4940" s="2" t="s">
        <v>759</v>
      </c>
    </row>
    <row r="4941" spans="1:10" x14ac:dyDescent="0.35">
      <c r="A4941" s="2" t="s">
        <v>2220</v>
      </c>
      <c r="B4941" s="2" t="s">
        <v>2488</v>
      </c>
      <c r="C4941" s="2" t="s">
        <v>57</v>
      </c>
      <c r="D4941" s="2" t="s">
        <v>2489</v>
      </c>
      <c r="E4941" s="2" t="s">
        <v>136</v>
      </c>
      <c r="F4941" s="2" t="s">
        <v>107</v>
      </c>
      <c r="G4941" s="2"/>
      <c r="H4941" s="2"/>
      <c r="I4941" s="2" t="s">
        <v>20</v>
      </c>
      <c r="J4941" s="2" t="s">
        <v>759</v>
      </c>
    </row>
    <row r="4942" spans="1:10" x14ac:dyDescent="0.35">
      <c r="A4942" s="2" t="s">
        <v>2220</v>
      </c>
      <c r="B4942" s="2" t="s">
        <v>2488</v>
      </c>
      <c r="C4942" s="2" t="s">
        <v>57</v>
      </c>
      <c r="D4942" s="2" t="s">
        <v>2489</v>
      </c>
      <c r="E4942" s="2" t="s">
        <v>35</v>
      </c>
      <c r="F4942" s="2" t="s">
        <v>36</v>
      </c>
      <c r="G4942" s="2"/>
      <c r="H4942" s="2"/>
      <c r="I4942" s="2" t="s">
        <v>20</v>
      </c>
      <c r="J4942" s="2" t="s">
        <v>759</v>
      </c>
    </row>
    <row r="4943" spans="1:10" x14ac:dyDescent="0.35">
      <c r="A4943" s="2" t="s">
        <v>2220</v>
      </c>
      <c r="B4943" s="2" t="s">
        <v>2488</v>
      </c>
      <c r="C4943" s="2" t="s">
        <v>57</v>
      </c>
      <c r="D4943" s="2" t="s">
        <v>2489</v>
      </c>
      <c r="E4943" s="2" t="s">
        <v>423</v>
      </c>
      <c r="F4943" s="2" t="s">
        <v>424</v>
      </c>
      <c r="G4943" s="2" t="s">
        <v>20</v>
      </c>
      <c r="H4943" s="2" t="s">
        <v>2490</v>
      </c>
      <c r="I4943" s="2" t="s">
        <v>20</v>
      </c>
      <c r="J4943" s="2" t="s">
        <v>759</v>
      </c>
    </row>
    <row r="4944" spans="1:10" x14ac:dyDescent="0.35">
      <c r="A4944" s="2" t="s">
        <v>2220</v>
      </c>
      <c r="B4944" s="2" t="s">
        <v>2488</v>
      </c>
      <c r="C4944" s="2" t="s">
        <v>54</v>
      </c>
      <c r="D4944" s="2" t="s">
        <v>2491</v>
      </c>
      <c r="E4944" s="2" t="s">
        <v>136</v>
      </c>
      <c r="F4944" s="2" t="s">
        <v>107</v>
      </c>
      <c r="G4944" s="2" t="s">
        <v>20</v>
      </c>
      <c r="H4944" s="2" t="s">
        <v>2492</v>
      </c>
      <c r="I4944" s="2"/>
      <c r="J4944" s="2"/>
    </row>
    <row r="4945" spans="1:10" x14ac:dyDescent="0.35">
      <c r="A4945" s="2" t="s">
        <v>2220</v>
      </c>
      <c r="B4945" s="2" t="s">
        <v>2488</v>
      </c>
      <c r="C4945" s="2" t="s">
        <v>54</v>
      </c>
      <c r="D4945" s="2" t="s">
        <v>2491</v>
      </c>
      <c r="E4945" s="2" t="s">
        <v>35</v>
      </c>
      <c r="F4945" s="2" t="s">
        <v>36</v>
      </c>
      <c r="G4945" s="2" t="s">
        <v>20</v>
      </c>
      <c r="H4945" s="2" t="s">
        <v>2307</v>
      </c>
      <c r="I4945" s="2"/>
      <c r="J4945" s="2"/>
    </row>
    <row r="4946" spans="1:10" x14ac:dyDescent="0.35">
      <c r="A4946" s="2" t="s">
        <v>2220</v>
      </c>
      <c r="B4946" s="2" t="s">
        <v>2493</v>
      </c>
      <c r="C4946" s="2" t="s">
        <v>57</v>
      </c>
      <c r="D4946" s="2" t="s">
        <v>2494</v>
      </c>
      <c r="E4946" s="2" t="s">
        <v>763</v>
      </c>
      <c r="F4946" s="2" t="s">
        <v>107</v>
      </c>
      <c r="G4946" s="2"/>
      <c r="H4946" s="2"/>
      <c r="I4946" s="2" t="s">
        <v>20</v>
      </c>
      <c r="J4946" s="2" t="s">
        <v>759</v>
      </c>
    </row>
    <row r="4947" spans="1:10" x14ac:dyDescent="0.35">
      <c r="A4947" s="2" t="s">
        <v>2220</v>
      </c>
      <c r="B4947" s="2" t="s">
        <v>2493</v>
      </c>
      <c r="C4947" s="2" t="s">
        <v>57</v>
      </c>
      <c r="D4947" s="2" t="s">
        <v>2494</v>
      </c>
      <c r="E4947" s="2" t="s">
        <v>74</v>
      </c>
      <c r="F4947" s="2" t="s">
        <v>75</v>
      </c>
      <c r="G4947" s="2" t="s">
        <v>2279</v>
      </c>
      <c r="H4947" s="2" t="s">
        <v>2495</v>
      </c>
      <c r="I4947" s="2" t="s">
        <v>20</v>
      </c>
      <c r="J4947" s="2" t="s">
        <v>759</v>
      </c>
    </row>
    <row r="4948" spans="1:10" x14ac:dyDescent="0.35">
      <c r="A4948" s="2" t="s">
        <v>2220</v>
      </c>
      <c r="B4948" s="2" t="s">
        <v>2493</v>
      </c>
      <c r="C4948" s="2" t="s">
        <v>57</v>
      </c>
      <c r="D4948" s="2" t="s">
        <v>2494</v>
      </c>
      <c r="E4948" s="2" t="s">
        <v>27</v>
      </c>
      <c r="F4948" s="2" t="s">
        <v>28</v>
      </c>
      <c r="G4948" s="2"/>
      <c r="H4948" s="2"/>
      <c r="I4948" s="2" t="s">
        <v>20</v>
      </c>
      <c r="J4948" s="2" t="s">
        <v>759</v>
      </c>
    </row>
    <row r="4949" spans="1:10" x14ac:dyDescent="0.35">
      <c r="A4949" s="2" t="s">
        <v>2220</v>
      </c>
      <c r="B4949" s="2" t="s">
        <v>2493</v>
      </c>
      <c r="C4949" s="2" t="s">
        <v>57</v>
      </c>
      <c r="D4949" s="2" t="s">
        <v>2494</v>
      </c>
      <c r="E4949" s="2" t="s">
        <v>18</v>
      </c>
      <c r="F4949" s="2" t="s">
        <v>19</v>
      </c>
      <c r="G4949" s="2" t="s">
        <v>2279</v>
      </c>
      <c r="H4949" s="2" t="s">
        <v>2496</v>
      </c>
      <c r="I4949" s="2" t="s">
        <v>20</v>
      </c>
      <c r="J4949" s="2" t="s">
        <v>759</v>
      </c>
    </row>
    <row r="4950" spans="1:10" x14ac:dyDescent="0.35">
      <c r="A4950" s="2" t="s">
        <v>2220</v>
      </c>
      <c r="B4950" s="2" t="s">
        <v>2493</v>
      </c>
      <c r="C4950" s="2" t="s">
        <v>57</v>
      </c>
      <c r="D4950" s="2" t="s">
        <v>2494</v>
      </c>
      <c r="E4950" s="2" t="s">
        <v>423</v>
      </c>
      <c r="F4950" s="2" t="s">
        <v>424</v>
      </c>
      <c r="G4950" s="2" t="s">
        <v>2279</v>
      </c>
      <c r="H4950" s="2" t="s">
        <v>2303</v>
      </c>
      <c r="I4950" s="2" t="s">
        <v>20</v>
      </c>
      <c r="J4950" s="2" t="s">
        <v>759</v>
      </c>
    </row>
    <row r="4951" spans="1:10" x14ac:dyDescent="0.35">
      <c r="A4951" s="2" t="s">
        <v>2220</v>
      </c>
      <c r="B4951" s="2" t="s">
        <v>2493</v>
      </c>
      <c r="C4951" s="2" t="s">
        <v>24</v>
      </c>
      <c r="D4951" s="2" t="s">
        <v>2497</v>
      </c>
      <c r="E4951" s="2" t="s">
        <v>27</v>
      </c>
      <c r="F4951" s="2" t="s">
        <v>28</v>
      </c>
      <c r="G4951" s="2" t="s">
        <v>20</v>
      </c>
      <c r="H4951" s="2" t="s">
        <v>2498</v>
      </c>
      <c r="I4951" s="2" t="s">
        <v>20</v>
      </c>
      <c r="J4951" s="2" t="s">
        <v>759</v>
      </c>
    </row>
    <row r="4952" spans="1:10" x14ac:dyDescent="0.35">
      <c r="A4952" s="2" t="s">
        <v>2220</v>
      </c>
      <c r="B4952" s="2" t="s">
        <v>2493</v>
      </c>
      <c r="C4952" s="2" t="s">
        <v>24</v>
      </c>
      <c r="D4952" s="2" t="s">
        <v>2497</v>
      </c>
      <c r="E4952" s="2" t="s">
        <v>423</v>
      </c>
      <c r="F4952" s="2" t="s">
        <v>424</v>
      </c>
      <c r="G4952" s="2"/>
      <c r="H4952" s="2"/>
      <c r="I4952" s="2" t="s">
        <v>20</v>
      </c>
      <c r="J4952" s="2" t="s">
        <v>759</v>
      </c>
    </row>
    <row r="4953" spans="1:10" s="21" customFormat="1" x14ac:dyDescent="0.35">
      <c r="A4953" s="2" t="s">
        <v>2499</v>
      </c>
      <c r="B4953" s="2" t="s">
        <v>2500</v>
      </c>
      <c r="C4953" s="2" t="s">
        <v>12</v>
      </c>
      <c r="D4953" s="2" t="s">
        <v>2501</v>
      </c>
      <c r="E4953" s="2" t="s">
        <v>89</v>
      </c>
      <c r="F4953" s="2" t="s">
        <v>45</v>
      </c>
      <c r="G4953" s="2"/>
      <c r="H4953" s="2"/>
      <c r="I4953" s="2"/>
      <c r="J4953" s="2"/>
    </row>
    <row r="4954" spans="1:10" s="21" customFormat="1" x14ac:dyDescent="0.35">
      <c r="A4954" s="2" t="s">
        <v>2499</v>
      </c>
      <c r="B4954" s="2" t="s">
        <v>2500</v>
      </c>
      <c r="C4954" s="2" t="s">
        <v>12</v>
      </c>
      <c r="D4954" s="2" t="s">
        <v>2501</v>
      </c>
      <c r="E4954" s="2" t="s">
        <v>2502</v>
      </c>
      <c r="F4954" s="2" t="s">
        <v>65</v>
      </c>
      <c r="G4954" s="2"/>
      <c r="H4954" s="2"/>
      <c r="I4954" s="2"/>
      <c r="J4954" s="2"/>
    </row>
    <row r="4955" spans="1:10" x14ac:dyDescent="0.35">
      <c r="A4955" s="2" t="s">
        <v>2499</v>
      </c>
      <c r="B4955" s="2" t="s">
        <v>2500</v>
      </c>
      <c r="C4955" s="2" t="s">
        <v>12</v>
      </c>
      <c r="D4955" s="2" t="s">
        <v>2503</v>
      </c>
      <c r="E4955" s="2" t="s">
        <v>438</v>
      </c>
      <c r="F4955" s="2" t="s">
        <v>19</v>
      </c>
      <c r="G4955" s="2" t="s">
        <v>20</v>
      </c>
      <c r="H4955" s="2" t="s">
        <v>2504</v>
      </c>
      <c r="I4955" s="2"/>
      <c r="J4955" s="2"/>
    </row>
    <row r="4956" spans="1:10" x14ac:dyDescent="0.35">
      <c r="A4956" s="2" t="s">
        <v>2499</v>
      </c>
      <c r="B4956" s="2" t="s">
        <v>2500</v>
      </c>
      <c r="C4956" s="2" t="s">
        <v>12</v>
      </c>
      <c r="D4956" s="2" t="s">
        <v>2505</v>
      </c>
      <c r="E4956" s="2" t="s">
        <v>438</v>
      </c>
      <c r="F4956" s="2" t="s">
        <v>19</v>
      </c>
      <c r="G4956" s="2" t="s">
        <v>20</v>
      </c>
      <c r="H4956" s="2" t="s">
        <v>2506</v>
      </c>
      <c r="I4956" s="2"/>
      <c r="J4956" s="2"/>
    </row>
    <row r="4957" spans="1:10" x14ac:dyDescent="0.35">
      <c r="A4957" s="2" t="s">
        <v>2499</v>
      </c>
      <c r="B4957" s="2" t="s">
        <v>2500</v>
      </c>
      <c r="C4957" s="2" t="s">
        <v>12</v>
      </c>
      <c r="D4957" s="2" t="s">
        <v>2505</v>
      </c>
      <c r="E4957" s="2" t="s">
        <v>188</v>
      </c>
      <c r="F4957" s="2" t="s">
        <v>189</v>
      </c>
      <c r="G4957" s="2"/>
      <c r="H4957" s="2"/>
      <c r="I4957" s="2"/>
      <c r="J4957" s="2"/>
    </row>
    <row r="4958" spans="1:10" x14ac:dyDescent="0.35">
      <c r="A4958" s="2" t="s">
        <v>2499</v>
      </c>
      <c r="B4958" s="2" t="s">
        <v>2500</v>
      </c>
      <c r="C4958" s="2" t="s">
        <v>12</v>
      </c>
      <c r="D4958" s="2" t="s">
        <v>2505</v>
      </c>
      <c r="E4958" s="2" t="s">
        <v>1982</v>
      </c>
      <c r="F4958" s="2" t="s">
        <v>847</v>
      </c>
      <c r="G4958" s="2" t="s">
        <v>20</v>
      </c>
      <c r="H4958" s="2" t="s">
        <v>2507</v>
      </c>
      <c r="I4958" s="2"/>
      <c r="J4958" s="2"/>
    </row>
    <row r="4959" spans="1:10" x14ac:dyDescent="0.35">
      <c r="A4959" s="2" t="s">
        <v>2499</v>
      </c>
      <c r="B4959" s="2" t="s">
        <v>2500</v>
      </c>
      <c r="C4959" s="2" t="s">
        <v>12</v>
      </c>
      <c r="D4959" s="2" t="s">
        <v>2505</v>
      </c>
      <c r="E4959" s="2" t="s">
        <v>790</v>
      </c>
      <c r="F4959" s="2" t="s">
        <v>65</v>
      </c>
      <c r="G4959" s="2"/>
      <c r="H4959" s="2"/>
      <c r="I4959" s="2"/>
      <c r="J4959" s="2"/>
    </row>
    <row r="4960" spans="1:10" s="21" customFormat="1" x14ac:dyDescent="0.35">
      <c r="A4960" s="2" t="s">
        <v>2499</v>
      </c>
      <c r="B4960" s="2" t="s">
        <v>2500</v>
      </c>
      <c r="C4960" s="2" t="s">
        <v>24</v>
      </c>
      <c r="D4960" s="2" t="s">
        <v>2508</v>
      </c>
      <c r="E4960" s="2" t="s">
        <v>438</v>
      </c>
      <c r="F4960" s="2" t="s">
        <v>19</v>
      </c>
      <c r="G4960" s="2" t="s">
        <v>20</v>
      </c>
      <c r="H4960" s="2" t="s">
        <v>2509</v>
      </c>
      <c r="I4960" s="2"/>
      <c r="J4960" s="2"/>
    </row>
    <row r="4961" spans="1:10" x14ac:dyDescent="0.35">
      <c r="A4961" s="2" t="s">
        <v>2499</v>
      </c>
      <c r="B4961" s="2" t="s">
        <v>2500</v>
      </c>
      <c r="C4961" s="2" t="s">
        <v>24</v>
      </c>
      <c r="D4961" s="2" t="s">
        <v>2508</v>
      </c>
      <c r="E4961" s="2" t="s">
        <v>89</v>
      </c>
      <c r="F4961" s="2" t="s">
        <v>45</v>
      </c>
      <c r="G4961" s="2" t="s">
        <v>20</v>
      </c>
      <c r="H4961" s="2" t="s">
        <v>2510</v>
      </c>
      <c r="I4961" s="2"/>
      <c r="J4961" s="2"/>
    </row>
    <row r="4962" spans="1:10" x14ac:dyDescent="0.35">
      <c r="A4962" s="2" t="s">
        <v>2499</v>
      </c>
      <c r="B4962" s="2" t="s">
        <v>2500</v>
      </c>
      <c r="C4962" s="2" t="s">
        <v>24</v>
      </c>
      <c r="D4962" s="2" t="s">
        <v>2508</v>
      </c>
      <c r="E4962" s="2" t="s">
        <v>1982</v>
      </c>
      <c r="F4962" s="2" t="s">
        <v>847</v>
      </c>
      <c r="G4962" s="2" t="s">
        <v>20</v>
      </c>
      <c r="H4962" s="2" t="s">
        <v>2511</v>
      </c>
      <c r="I4962" s="2"/>
      <c r="J4962" s="2"/>
    </row>
    <row r="4963" spans="1:10" x14ac:dyDescent="0.35">
      <c r="A4963" s="2" t="s">
        <v>2499</v>
      </c>
      <c r="B4963" s="2" t="s">
        <v>2500</v>
      </c>
      <c r="C4963" s="2" t="s">
        <v>54</v>
      </c>
      <c r="D4963" s="2" t="s">
        <v>2512</v>
      </c>
      <c r="E4963" s="2" t="s">
        <v>155</v>
      </c>
      <c r="F4963" s="2" t="s">
        <v>32</v>
      </c>
      <c r="G4963" s="2"/>
      <c r="H4963" s="2"/>
      <c r="I4963" s="2"/>
      <c r="J4963" s="2"/>
    </row>
    <row r="4964" spans="1:10" x14ac:dyDescent="0.35">
      <c r="A4964" s="2" t="s">
        <v>2499</v>
      </c>
      <c r="B4964" s="2" t="s">
        <v>2500</v>
      </c>
      <c r="C4964" s="2" t="s">
        <v>54</v>
      </c>
      <c r="D4964" s="2" t="s">
        <v>2512</v>
      </c>
      <c r="E4964" s="2" t="s">
        <v>2513</v>
      </c>
      <c r="F4964" s="2" t="s">
        <v>36</v>
      </c>
      <c r="G4964" s="2"/>
      <c r="H4964" s="2"/>
      <c r="I4964" s="2"/>
      <c r="J4964" s="2"/>
    </row>
    <row r="4965" spans="1:10" x14ac:dyDescent="0.35">
      <c r="A4965" s="2" t="s">
        <v>2499</v>
      </c>
      <c r="B4965" s="2" t="s">
        <v>2500</v>
      </c>
      <c r="C4965" s="2" t="s">
        <v>54</v>
      </c>
      <c r="D4965" s="2" t="s">
        <v>2512</v>
      </c>
      <c r="E4965" s="2" t="s">
        <v>1758</v>
      </c>
      <c r="F4965" s="2" t="s">
        <v>40</v>
      </c>
      <c r="G4965" s="2"/>
      <c r="H4965" s="2"/>
      <c r="I4965" s="2"/>
      <c r="J4965" s="2"/>
    </row>
    <row r="4966" spans="1:10" x14ac:dyDescent="0.35">
      <c r="A4966" s="2" t="s">
        <v>2499</v>
      </c>
      <c r="B4966" s="2" t="s">
        <v>2500</v>
      </c>
      <c r="C4966" s="2" t="s">
        <v>54</v>
      </c>
      <c r="D4966" s="2" t="s">
        <v>2512</v>
      </c>
      <c r="E4966" s="2" t="s">
        <v>61</v>
      </c>
      <c r="F4966" s="2" t="s">
        <v>30</v>
      </c>
      <c r="G4966" s="2"/>
      <c r="H4966" s="2"/>
      <c r="I4966" s="2"/>
      <c r="J4966" s="2"/>
    </row>
    <row r="4967" spans="1:10" x14ac:dyDescent="0.35">
      <c r="A4967" s="2" t="s">
        <v>2499</v>
      </c>
      <c r="B4967" s="2" t="s">
        <v>2500</v>
      </c>
      <c r="C4967" s="2" t="s">
        <v>54</v>
      </c>
      <c r="D4967" s="2" t="s">
        <v>2514</v>
      </c>
      <c r="E4967" s="2" t="s">
        <v>1725</v>
      </c>
      <c r="F4967" s="2" t="s">
        <v>32</v>
      </c>
      <c r="G4967" s="2" t="s">
        <v>20</v>
      </c>
      <c r="H4967" s="2" t="s">
        <v>2515</v>
      </c>
      <c r="I4967" s="2"/>
      <c r="J4967" s="2"/>
    </row>
    <row r="4968" spans="1:10" x14ac:dyDescent="0.35">
      <c r="A4968" s="2" t="s">
        <v>2499</v>
      </c>
      <c r="B4968" s="2" t="s">
        <v>2500</v>
      </c>
      <c r="C4968" s="2" t="s">
        <v>54</v>
      </c>
      <c r="D4968" s="2" t="s">
        <v>2514</v>
      </c>
      <c r="E4968" s="2" t="s">
        <v>172</v>
      </c>
      <c r="F4968" s="2" t="s">
        <v>65</v>
      </c>
      <c r="G4968" s="2" t="s">
        <v>20</v>
      </c>
      <c r="H4968" s="2" t="s">
        <v>2515</v>
      </c>
      <c r="I4968" s="2"/>
      <c r="J4968" s="2"/>
    </row>
    <row r="4969" spans="1:10" x14ac:dyDescent="0.35">
      <c r="A4969" s="2" t="s">
        <v>2499</v>
      </c>
      <c r="B4969" s="2" t="s">
        <v>2500</v>
      </c>
      <c r="C4969" s="2" t="s">
        <v>54</v>
      </c>
      <c r="D4969" s="2" t="s">
        <v>2514</v>
      </c>
      <c r="E4969" s="2" t="s">
        <v>1319</v>
      </c>
      <c r="F4969" s="2" t="s">
        <v>363</v>
      </c>
      <c r="G4969" s="2" t="s">
        <v>20</v>
      </c>
      <c r="H4969" s="2" t="s">
        <v>2515</v>
      </c>
      <c r="I4969" s="2"/>
      <c r="J4969" s="2"/>
    </row>
    <row r="4970" spans="1:10" x14ac:dyDescent="0.35">
      <c r="A4970" s="2" t="s">
        <v>2499</v>
      </c>
      <c r="B4970" s="2" t="s">
        <v>2500</v>
      </c>
      <c r="C4970" s="2" t="s">
        <v>54</v>
      </c>
      <c r="D4970" s="2" t="s">
        <v>2514</v>
      </c>
      <c r="E4970" s="2" t="s">
        <v>42</v>
      </c>
      <c r="F4970" s="2" t="s">
        <v>43</v>
      </c>
      <c r="G4970" s="2" t="s">
        <v>20</v>
      </c>
      <c r="H4970" s="2" t="s">
        <v>2515</v>
      </c>
      <c r="I4970" s="2"/>
      <c r="J4970" s="2"/>
    </row>
    <row r="4971" spans="1:10" s="18" customFormat="1" x14ac:dyDescent="0.35">
      <c r="A4971" s="2" t="s">
        <v>2499</v>
      </c>
      <c r="B4971" s="2" t="s">
        <v>2500</v>
      </c>
      <c r="C4971" s="2" t="s">
        <v>12</v>
      </c>
      <c r="D4971" s="2" t="s">
        <v>2516</v>
      </c>
      <c r="E4971" s="2" t="s">
        <v>2502</v>
      </c>
      <c r="F4971" s="2" t="s">
        <v>65</v>
      </c>
      <c r="G4971" s="2"/>
      <c r="H4971" s="2"/>
      <c r="I4971" s="2"/>
      <c r="J4971" s="2"/>
    </row>
    <row r="4972" spans="1:10" s="21" customFormat="1" x14ac:dyDescent="0.35">
      <c r="A4972" s="2" t="s">
        <v>2499</v>
      </c>
      <c r="B4972" s="2" t="s">
        <v>2500</v>
      </c>
      <c r="C4972" s="2" t="s">
        <v>436</v>
      </c>
      <c r="D4972" s="2" t="s">
        <v>2517</v>
      </c>
      <c r="E4972" s="2" t="s">
        <v>485</v>
      </c>
      <c r="F4972" s="2" t="s">
        <v>15</v>
      </c>
      <c r="G4972" s="2"/>
      <c r="H4972" s="2"/>
      <c r="I4972" s="2"/>
      <c r="J4972" s="2"/>
    </row>
    <row r="4973" spans="1:10" s="21" customFormat="1" x14ac:dyDescent="0.35">
      <c r="A4973" s="2" t="s">
        <v>2499</v>
      </c>
      <c r="B4973" s="2" t="s">
        <v>2500</v>
      </c>
      <c r="C4973" s="2" t="s">
        <v>436</v>
      </c>
      <c r="D4973" s="2" t="s">
        <v>2517</v>
      </c>
      <c r="E4973" s="2" t="s">
        <v>31</v>
      </c>
      <c r="F4973" s="2" t="s">
        <v>32</v>
      </c>
      <c r="G4973" s="2"/>
      <c r="H4973" s="2"/>
      <c r="I4973" s="2"/>
      <c r="J4973" s="2"/>
    </row>
    <row r="4974" spans="1:10" s="21" customFormat="1" x14ac:dyDescent="0.35">
      <c r="A4974" s="2" t="s">
        <v>2499</v>
      </c>
      <c r="B4974" s="2" t="s">
        <v>2500</v>
      </c>
      <c r="C4974" s="2" t="s">
        <v>436</v>
      </c>
      <c r="D4974" s="2" t="s">
        <v>2517</v>
      </c>
      <c r="E4974" s="2" t="s">
        <v>438</v>
      </c>
      <c r="F4974" s="2" t="s">
        <v>19</v>
      </c>
      <c r="G4974" s="2" t="s">
        <v>20</v>
      </c>
      <c r="H4974" s="2" t="s">
        <v>2518</v>
      </c>
      <c r="I4974" s="2"/>
      <c r="J4974" s="2"/>
    </row>
    <row r="4975" spans="1:10" s="21" customFormat="1" x14ac:dyDescent="0.35">
      <c r="A4975" s="2" t="s">
        <v>2499</v>
      </c>
      <c r="B4975" s="2" t="s">
        <v>2500</v>
      </c>
      <c r="C4975" s="2" t="s">
        <v>436</v>
      </c>
      <c r="D4975" s="2" t="s">
        <v>2517</v>
      </c>
      <c r="E4975" s="2" t="s">
        <v>61</v>
      </c>
      <c r="F4975" s="2" t="s">
        <v>30</v>
      </c>
      <c r="G4975" s="2"/>
      <c r="H4975" s="2"/>
      <c r="I4975" s="2"/>
      <c r="J4975" s="2"/>
    </row>
    <row r="4976" spans="1:10" s="21" customFormat="1" x14ac:dyDescent="0.35">
      <c r="A4976" s="2" t="s">
        <v>2499</v>
      </c>
      <c r="B4976" s="2" t="s">
        <v>2500</v>
      </c>
      <c r="C4976" s="2" t="s">
        <v>436</v>
      </c>
      <c r="D4976" s="2" t="s">
        <v>2517</v>
      </c>
      <c r="E4976" s="2" t="s">
        <v>2502</v>
      </c>
      <c r="F4976" s="2" t="s">
        <v>65</v>
      </c>
      <c r="G4976" s="2"/>
      <c r="H4976" s="2"/>
      <c r="I4976" s="2"/>
      <c r="J4976" s="2"/>
    </row>
    <row r="4977" spans="1:10" x14ac:dyDescent="0.35">
      <c r="A4977" s="2" t="s">
        <v>2499</v>
      </c>
      <c r="B4977" s="2" t="s">
        <v>2500</v>
      </c>
      <c r="C4977" s="2" t="s">
        <v>12</v>
      </c>
      <c r="D4977" s="2" t="s">
        <v>2519</v>
      </c>
      <c r="E4977" s="2" t="s">
        <v>74</v>
      </c>
      <c r="F4977" s="2" t="s">
        <v>75</v>
      </c>
      <c r="G4977" s="2" t="s">
        <v>20</v>
      </c>
      <c r="H4977" s="2" t="s">
        <v>2520</v>
      </c>
      <c r="I4977" s="2"/>
      <c r="J4977" s="2"/>
    </row>
    <row r="4978" spans="1:10" x14ac:dyDescent="0.35">
      <c r="A4978" s="2" t="s">
        <v>2499</v>
      </c>
      <c r="B4978" s="2" t="s">
        <v>2500</v>
      </c>
      <c r="C4978" s="2" t="s">
        <v>12</v>
      </c>
      <c r="D4978" s="2" t="s">
        <v>2519</v>
      </c>
      <c r="E4978" s="2" t="s">
        <v>1779</v>
      </c>
      <c r="F4978" s="2" t="s">
        <v>40</v>
      </c>
      <c r="G4978" s="2"/>
      <c r="H4978" s="2"/>
      <c r="I4978" s="2"/>
      <c r="J4978" s="2"/>
    </row>
    <row r="4979" spans="1:10" x14ac:dyDescent="0.35">
      <c r="A4979" s="2" t="s">
        <v>2499</v>
      </c>
      <c r="B4979" s="2" t="s">
        <v>2500</v>
      </c>
      <c r="C4979" s="2" t="s">
        <v>12</v>
      </c>
      <c r="D4979" s="2" t="s">
        <v>2519</v>
      </c>
      <c r="E4979" s="2" t="s">
        <v>121</v>
      </c>
      <c r="F4979" s="2" t="s">
        <v>122</v>
      </c>
      <c r="G4979" s="2"/>
      <c r="H4979" s="2"/>
      <c r="I4979" s="2"/>
      <c r="J4979" s="2"/>
    </row>
    <row r="4980" spans="1:10" x14ac:dyDescent="0.35">
      <c r="A4980" s="2" t="s">
        <v>2499</v>
      </c>
      <c r="B4980" s="2" t="s">
        <v>2500</v>
      </c>
      <c r="C4980" s="2" t="s">
        <v>12</v>
      </c>
      <c r="D4980" s="2" t="s">
        <v>2519</v>
      </c>
      <c r="E4980" s="2" t="s">
        <v>2502</v>
      </c>
      <c r="F4980" s="2" t="s">
        <v>65</v>
      </c>
      <c r="G4980" s="2"/>
      <c r="H4980" s="2"/>
      <c r="I4980" s="2"/>
      <c r="J4980" s="2"/>
    </row>
    <row r="4981" spans="1:10" x14ac:dyDescent="0.35">
      <c r="A4981" s="2" t="s">
        <v>2499</v>
      </c>
      <c r="B4981" s="2" t="s">
        <v>2500</v>
      </c>
      <c r="C4981" s="2" t="s">
        <v>24</v>
      </c>
      <c r="D4981" s="2" t="s">
        <v>2521</v>
      </c>
      <c r="E4981" s="2" t="s">
        <v>438</v>
      </c>
      <c r="F4981" s="2" t="s">
        <v>19</v>
      </c>
      <c r="G4981" s="2" t="s">
        <v>20</v>
      </c>
      <c r="H4981" s="2" t="s">
        <v>2522</v>
      </c>
      <c r="I4981" s="2"/>
      <c r="J4981" s="2"/>
    </row>
    <row r="4982" spans="1:10" x14ac:dyDescent="0.35">
      <c r="A4982" s="2" t="s">
        <v>2499</v>
      </c>
      <c r="B4982" s="2" t="s">
        <v>2500</v>
      </c>
      <c r="C4982" s="2" t="s">
        <v>24</v>
      </c>
      <c r="D4982" s="2" t="s">
        <v>2521</v>
      </c>
      <c r="E4982" s="2" t="s">
        <v>87</v>
      </c>
      <c r="F4982" s="2" t="s">
        <v>75</v>
      </c>
      <c r="G4982" s="2" t="s">
        <v>20</v>
      </c>
      <c r="H4982" s="2" t="s">
        <v>2523</v>
      </c>
      <c r="I4982" s="2"/>
      <c r="J4982" s="2"/>
    </row>
    <row r="4983" spans="1:10" x14ac:dyDescent="0.35">
      <c r="A4983" s="2" t="s">
        <v>2499</v>
      </c>
      <c r="B4983" s="2" t="s">
        <v>2500</v>
      </c>
      <c r="C4983" s="2" t="s">
        <v>54</v>
      </c>
      <c r="D4983" s="2" t="s">
        <v>2524</v>
      </c>
      <c r="E4983" s="2" t="s">
        <v>1267</v>
      </c>
      <c r="F4983" s="2" t="s">
        <v>32</v>
      </c>
      <c r="G4983" s="2"/>
      <c r="H4983" s="2"/>
      <c r="I4983" s="2"/>
      <c r="J4983" s="2"/>
    </row>
    <row r="4984" spans="1:10" x14ac:dyDescent="0.35">
      <c r="A4984" s="2" t="s">
        <v>2499</v>
      </c>
      <c r="B4984" s="2" t="s">
        <v>2500</v>
      </c>
      <c r="C4984" s="2" t="s">
        <v>54</v>
      </c>
      <c r="D4984" s="2" t="s">
        <v>2524</v>
      </c>
      <c r="E4984" s="2" t="s">
        <v>438</v>
      </c>
      <c r="F4984" s="2" t="s">
        <v>19</v>
      </c>
      <c r="G4984" s="2" t="s">
        <v>20</v>
      </c>
      <c r="H4984" s="2" t="s">
        <v>2525</v>
      </c>
      <c r="I4984" s="2"/>
      <c r="J4984" s="2"/>
    </row>
    <row r="4985" spans="1:10" x14ac:dyDescent="0.35">
      <c r="A4985" s="2" t="s">
        <v>2499</v>
      </c>
      <c r="B4985" s="2" t="s">
        <v>2500</v>
      </c>
      <c r="C4985" s="2" t="s">
        <v>54</v>
      </c>
      <c r="D4985" s="2" t="s">
        <v>2526</v>
      </c>
      <c r="E4985" s="2" t="s">
        <v>14</v>
      </c>
      <c r="F4985" s="2" t="s">
        <v>15</v>
      </c>
      <c r="G4985" s="2"/>
      <c r="H4985" s="2"/>
      <c r="I4985" s="2"/>
      <c r="J4985" s="2"/>
    </row>
    <row r="4986" spans="1:10" x14ac:dyDescent="0.35">
      <c r="A4986" s="2" t="s">
        <v>2499</v>
      </c>
      <c r="B4986" s="2" t="s">
        <v>2500</v>
      </c>
      <c r="C4986" s="2" t="s">
        <v>54</v>
      </c>
      <c r="D4986" s="2" t="s">
        <v>2526</v>
      </c>
      <c r="E4986" s="2" t="s">
        <v>31</v>
      </c>
      <c r="F4986" s="2" t="s">
        <v>32</v>
      </c>
      <c r="G4986" s="2"/>
      <c r="H4986" s="2"/>
      <c r="I4986" s="2"/>
      <c r="J4986" s="2"/>
    </row>
    <row r="4987" spans="1:10" x14ac:dyDescent="0.35">
      <c r="A4987" s="2" t="s">
        <v>2499</v>
      </c>
      <c r="B4987" s="2" t="s">
        <v>2500</v>
      </c>
      <c r="C4987" s="2" t="s">
        <v>54</v>
      </c>
      <c r="D4987" s="2" t="s">
        <v>2526</v>
      </c>
      <c r="E4987" s="2" t="s">
        <v>438</v>
      </c>
      <c r="F4987" s="2" t="s">
        <v>19</v>
      </c>
      <c r="G4987" s="2" t="s">
        <v>20</v>
      </c>
      <c r="H4987" s="2" t="s">
        <v>2527</v>
      </c>
      <c r="I4987" s="2"/>
      <c r="J4987" s="2"/>
    </row>
    <row r="4988" spans="1:10" x14ac:dyDescent="0.35">
      <c r="A4988" s="2" t="s">
        <v>2499</v>
      </c>
      <c r="B4988" s="2" t="s">
        <v>2500</v>
      </c>
      <c r="C4988" s="2" t="s">
        <v>54</v>
      </c>
      <c r="D4988" s="2" t="s">
        <v>2526</v>
      </c>
      <c r="E4988" s="2" t="s">
        <v>89</v>
      </c>
      <c r="F4988" s="2" t="s">
        <v>45</v>
      </c>
      <c r="G4988" s="2" t="s">
        <v>20</v>
      </c>
      <c r="H4988" s="2" t="s">
        <v>2510</v>
      </c>
      <c r="I4988" s="2"/>
      <c r="J4988" s="2"/>
    </row>
    <row r="4989" spans="1:10" x14ac:dyDescent="0.35">
      <c r="A4989" s="2" t="s">
        <v>2499</v>
      </c>
      <c r="B4989" s="2" t="s">
        <v>2500</v>
      </c>
      <c r="C4989" s="2" t="s">
        <v>54</v>
      </c>
      <c r="D4989" s="2" t="s">
        <v>2526</v>
      </c>
      <c r="E4989" s="2" t="s">
        <v>100</v>
      </c>
      <c r="F4989" s="2" t="s">
        <v>101</v>
      </c>
      <c r="G4989" s="2"/>
      <c r="H4989" s="2"/>
      <c r="I4989" s="2"/>
      <c r="J4989" s="2"/>
    </row>
    <row r="4990" spans="1:10" x14ac:dyDescent="0.35">
      <c r="A4990" s="2" t="s">
        <v>2499</v>
      </c>
      <c r="B4990" s="2" t="s">
        <v>2500</v>
      </c>
      <c r="C4990" s="2" t="s">
        <v>54</v>
      </c>
      <c r="D4990" s="2" t="s">
        <v>2526</v>
      </c>
      <c r="E4990" s="2" t="s">
        <v>188</v>
      </c>
      <c r="F4990" s="2" t="s">
        <v>189</v>
      </c>
      <c r="G4990" s="2" t="s">
        <v>20</v>
      </c>
      <c r="H4990" s="2" t="s">
        <v>2528</v>
      </c>
      <c r="I4990" s="2"/>
      <c r="J4990" s="2"/>
    </row>
    <row r="4991" spans="1:10" x14ac:dyDescent="0.35">
      <c r="A4991" s="2" t="s">
        <v>2499</v>
      </c>
      <c r="B4991" s="2" t="s">
        <v>2500</v>
      </c>
      <c r="C4991" s="2" t="s">
        <v>12</v>
      </c>
      <c r="D4991" s="2" t="s">
        <v>2529</v>
      </c>
      <c r="E4991" s="2" t="s">
        <v>438</v>
      </c>
      <c r="F4991" s="2" t="s">
        <v>19</v>
      </c>
      <c r="G4991" s="2" t="s">
        <v>20</v>
      </c>
      <c r="H4991" s="2" t="s">
        <v>2530</v>
      </c>
      <c r="I4991" s="2"/>
      <c r="J4991" s="2"/>
    </row>
    <row r="4992" spans="1:10" x14ac:dyDescent="0.35">
      <c r="A4992" s="2" t="s">
        <v>2499</v>
      </c>
      <c r="B4992" s="2" t="s">
        <v>2500</v>
      </c>
      <c r="C4992" s="2" t="s">
        <v>12</v>
      </c>
      <c r="D4992" s="2" t="s">
        <v>2529</v>
      </c>
      <c r="E4992" s="2" t="s">
        <v>1283</v>
      </c>
      <c r="F4992" s="2" t="s">
        <v>65</v>
      </c>
      <c r="G4992" s="2"/>
      <c r="H4992" s="2"/>
      <c r="I4992" s="2"/>
      <c r="J4992" s="2"/>
    </row>
    <row r="4993" spans="1:10" x14ac:dyDescent="0.35">
      <c r="A4993" s="2" t="s">
        <v>2499</v>
      </c>
      <c r="B4993" s="2" t="s">
        <v>2500</v>
      </c>
      <c r="C4993" s="2" t="s">
        <v>12</v>
      </c>
      <c r="D4993" s="2" t="s">
        <v>2531</v>
      </c>
      <c r="E4993" s="2" t="s">
        <v>120</v>
      </c>
      <c r="F4993" s="2" t="s">
        <v>32</v>
      </c>
      <c r="G4993" s="2"/>
      <c r="H4993" s="2"/>
      <c r="I4993" s="2"/>
      <c r="J4993" s="2"/>
    </row>
    <row r="4994" spans="1:10" x14ac:dyDescent="0.35">
      <c r="A4994" s="2" t="s">
        <v>2499</v>
      </c>
      <c r="B4994" s="2" t="s">
        <v>2500</v>
      </c>
      <c r="C4994" s="2" t="s">
        <v>12</v>
      </c>
      <c r="D4994" s="2" t="s">
        <v>2531</v>
      </c>
      <c r="E4994" s="2" t="s">
        <v>469</v>
      </c>
      <c r="F4994" s="2" t="s">
        <v>40</v>
      </c>
      <c r="G4994" s="2"/>
      <c r="H4994" s="2"/>
      <c r="I4994" s="2"/>
      <c r="J4994" s="2"/>
    </row>
    <row r="4995" spans="1:10" x14ac:dyDescent="0.35">
      <c r="A4995" s="2" t="s">
        <v>2499</v>
      </c>
      <c r="B4995" s="2" t="s">
        <v>2500</v>
      </c>
      <c r="C4995" s="2" t="s">
        <v>12</v>
      </c>
      <c r="D4995" s="2" t="s">
        <v>2531</v>
      </c>
      <c r="E4995" s="2" t="s">
        <v>1283</v>
      </c>
      <c r="F4995" s="2" t="s">
        <v>65</v>
      </c>
      <c r="G4995" s="2"/>
      <c r="H4995" s="2"/>
      <c r="I4995" s="2"/>
      <c r="J4995" s="2"/>
    </row>
    <row r="4996" spans="1:10" x14ac:dyDescent="0.35">
      <c r="A4996" s="2" t="s">
        <v>2499</v>
      </c>
      <c r="B4996" s="2" t="s">
        <v>2500</v>
      </c>
      <c r="C4996" s="2" t="s">
        <v>12</v>
      </c>
      <c r="D4996" s="2" t="s">
        <v>2532</v>
      </c>
      <c r="E4996" s="2" t="s">
        <v>485</v>
      </c>
      <c r="F4996" s="2" t="s">
        <v>15</v>
      </c>
      <c r="G4996" s="2"/>
      <c r="H4996" s="2"/>
      <c r="I4996" s="2"/>
      <c r="J4996" s="2"/>
    </row>
    <row r="4997" spans="1:10" x14ac:dyDescent="0.35">
      <c r="A4997" s="2" t="s">
        <v>2499</v>
      </c>
      <c r="B4997" s="2" t="s">
        <v>2500</v>
      </c>
      <c r="C4997" s="2" t="s">
        <v>12</v>
      </c>
      <c r="D4997" s="2" t="s">
        <v>2532</v>
      </c>
      <c r="E4997" s="2" t="s">
        <v>438</v>
      </c>
      <c r="F4997" s="2" t="s">
        <v>19</v>
      </c>
      <c r="G4997" s="2" t="s">
        <v>20</v>
      </c>
      <c r="H4997" s="2" t="s">
        <v>1378</v>
      </c>
      <c r="I4997" s="2"/>
      <c r="J4997" s="2"/>
    </row>
    <row r="4998" spans="1:10" x14ac:dyDescent="0.35">
      <c r="A4998" s="2" t="s">
        <v>2499</v>
      </c>
      <c r="B4998" s="2" t="s">
        <v>2500</v>
      </c>
      <c r="C4998" s="2" t="s">
        <v>12</v>
      </c>
      <c r="D4998" s="2" t="s">
        <v>2532</v>
      </c>
      <c r="E4998" s="2" t="s">
        <v>188</v>
      </c>
      <c r="F4998" s="2" t="s">
        <v>189</v>
      </c>
      <c r="G4998" s="2" t="s">
        <v>20</v>
      </c>
      <c r="H4998" s="2" t="s">
        <v>2533</v>
      </c>
      <c r="I4998" s="2"/>
      <c r="J4998" s="2"/>
    </row>
    <row r="4999" spans="1:10" x14ac:dyDescent="0.35">
      <c r="A4999" s="2" t="s">
        <v>2499</v>
      </c>
      <c r="B4999" s="2" t="s">
        <v>2500</v>
      </c>
      <c r="C4999" s="2" t="s">
        <v>12</v>
      </c>
      <c r="D4999" s="2" t="s">
        <v>2532</v>
      </c>
      <c r="E4999" s="2" t="s">
        <v>1283</v>
      </c>
      <c r="F4999" s="2" t="s">
        <v>65</v>
      </c>
      <c r="G4999" s="2"/>
      <c r="H4999" s="2"/>
      <c r="I4999" s="2"/>
      <c r="J4999" s="2"/>
    </row>
    <row r="5000" spans="1:10" x14ac:dyDescent="0.35">
      <c r="A5000" s="2" t="s">
        <v>2499</v>
      </c>
      <c r="B5000" s="2" t="s">
        <v>2500</v>
      </c>
      <c r="C5000" s="2" t="s">
        <v>24</v>
      </c>
      <c r="D5000" s="2" t="s">
        <v>2534</v>
      </c>
      <c r="E5000" s="2" t="s">
        <v>196</v>
      </c>
      <c r="F5000" s="2" t="s">
        <v>197</v>
      </c>
      <c r="G5000" s="2"/>
      <c r="H5000" s="2"/>
      <c r="I5000" s="2"/>
      <c r="J5000" s="2"/>
    </row>
    <row r="5001" spans="1:10" x14ac:dyDescent="0.35">
      <c r="A5001" s="2" t="s">
        <v>2499</v>
      </c>
      <c r="B5001" s="2" t="s">
        <v>2500</v>
      </c>
      <c r="C5001" s="2" t="s">
        <v>24</v>
      </c>
      <c r="D5001" s="2" t="s">
        <v>2534</v>
      </c>
      <c r="E5001" s="2" t="s">
        <v>14</v>
      </c>
      <c r="F5001" s="2" t="s">
        <v>15</v>
      </c>
      <c r="G5001" s="2"/>
      <c r="H5001" s="2"/>
      <c r="I5001" s="2"/>
      <c r="J5001" s="2"/>
    </row>
    <row r="5002" spans="1:10" x14ac:dyDescent="0.35">
      <c r="A5002" s="2" t="s">
        <v>2499</v>
      </c>
      <c r="B5002" s="2" t="s">
        <v>2500</v>
      </c>
      <c r="C5002" s="2" t="s">
        <v>24</v>
      </c>
      <c r="D5002" s="2" t="s">
        <v>2534</v>
      </c>
      <c r="E5002" s="2" t="s">
        <v>31</v>
      </c>
      <c r="F5002" s="2" t="s">
        <v>32</v>
      </c>
      <c r="G5002" s="2"/>
      <c r="H5002" s="2"/>
      <c r="I5002" s="2"/>
      <c r="J5002" s="2"/>
    </row>
    <row r="5003" spans="1:10" x14ac:dyDescent="0.35">
      <c r="A5003" s="2" t="s">
        <v>2499</v>
      </c>
      <c r="B5003" s="2" t="s">
        <v>2500</v>
      </c>
      <c r="C5003" s="2" t="s">
        <v>24</v>
      </c>
      <c r="D5003" s="2" t="s">
        <v>2534</v>
      </c>
      <c r="E5003" s="2" t="s">
        <v>200</v>
      </c>
      <c r="F5003" s="2" t="s">
        <v>201</v>
      </c>
      <c r="G5003" s="2"/>
      <c r="H5003" s="2"/>
      <c r="I5003" s="2"/>
      <c r="J5003" s="2"/>
    </row>
    <row r="5004" spans="1:10" x14ac:dyDescent="0.35">
      <c r="A5004" s="2" t="s">
        <v>2499</v>
      </c>
      <c r="B5004" s="2" t="s">
        <v>2500</v>
      </c>
      <c r="C5004" s="2" t="s">
        <v>24</v>
      </c>
      <c r="D5004" s="2" t="s">
        <v>2534</v>
      </c>
      <c r="E5004" s="2" t="s">
        <v>1215</v>
      </c>
      <c r="F5004" s="2" t="s">
        <v>1216</v>
      </c>
      <c r="G5004" s="2"/>
      <c r="H5004" s="2"/>
      <c r="I5004" s="2"/>
      <c r="J5004" s="2"/>
    </row>
    <row r="5005" spans="1:10" x14ac:dyDescent="0.35">
      <c r="A5005" s="2" t="s">
        <v>2499</v>
      </c>
      <c r="B5005" s="2" t="s">
        <v>2500</v>
      </c>
      <c r="C5005" s="2" t="s">
        <v>24</v>
      </c>
      <c r="D5005" s="2" t="s">
        <v>2534</v>
      </c>
      <c r="E5005" s="2" t="s">
        <v>2535</v>
      </c>
      <c r="F5005" s="2" t="s">
        <v>83</v>
      </c>
      <c r="G5005" s="2"/>
      <c r="H5005" s="2"/>
      <c r="I5005" s="2"/>
      <c r="J5005" s="2"/>
    </row>
    <row r="5006" spans="1:10" x14ac:dyDescent="0.35">
      <c r="A5006" s="2" t="s">
        <v>2499</v>
      </c>
      <c r="B5006" s="2" t="s">
        <v>2500</v>
      </c>
      <c r="C5006" s="2" t="s">
        <v>24</v>
      </c>
      <c r="D5006" s="2" t="s">
        <v>2534</v>
      </c>
      <c r="E5006" s="2" t="s">
        <v>2091</v>
      </c>
      <c r="F5006" s="2" t="s">
        <v>38</v>
      </c>
      <c r="G5006" s="2"/>
      <c r="H5006" s="2"/>
      <c r="I5006" s="2"/>
      <c r="J5006" s="2"/>
    </row>
    <row r="5007" spans="1:10" x14ac:dyDescent="0.35">
      <c r="A5007" s="2" t="s">
        <v>2499</v>
      </c>
      <c r="B5007" s="2" t="s">
        <v>2500</v>
      </c>
      <c r="C5007" s="2" t="s">
        <v>24</v>
      </c>
      <c r="D5007" s="2" t="s">
        <v>2534</v>
      </c>
      <c r="E5007" s="2" t="s">
        <v>2536</v>
      </c>
      <c r="F5007" s="2" t="s">
        <v>45</v>
      </c>
      <c r="G5007" s="2"/>
      <c r="H5007" s="2"/>
      <c r="I5007" s="2"/>
      <c r="J5007" s="2"/>
    </row>
    <row r="5008" spans="1:10" x14ac:dyDescent="0.35">
      <c r="A5008" s="2" t="s">
        <v>2499</v>
      </c>
      <c r="B5008" s="2" t="s">
        <v>2500</v>
      </c>
      <c r="C5008" s="2" t="s">
        <v>24</v>
      </c>
      <c r="D5008" s="2" t="s">
        <v>2534</v>
      </c>
      <c r="E5008" s="2" t="s">
        <v>2537</v>
      </c>
      <c r="F5008" s="2" t="s">
        <v>45</v>
      </c>
      <c r="G5008" s="2"/>
      <c r="H5008" s="2"/>
      <c r="I5008" s="2"/>
      <c r="J5008" s="2"/>
    </row>
    <row r="5009" spans="1:10" x14ac:dyDescent="0.35">
      <c r="A5009" s="2" t="s">
        <v>2499</v>
      </c>
      <c r="B5009" s="2" t="s">
        <v>2500</v>
      </c>
      <c r="C5009" s="2" t="s">
        <v>24</v>
      </c>
      <c r="D5009" s="2" t="s">
        <v>2534</v>
      </c>
      <c r="E5009" s="2" t="s">
        <v>2538</v>
      </c>
      <c r="F5009" s="2" t="s">
        <v>45</v>
      </c>
      <c r="G5009" s="2"/>
      <c r="H5009" s="2"/>
      <c r="I5009" s="2"/>
      <c r="J5009" s="2"/>
    </row>
    <row r="5010" spans="1:10" x14ac:dyDescent="0.35">
      <c r="A5010" s="2" t="s">
        <v>2499</v>
      </c>
      <c r="B5010" s="2" t="s">
        <v>2500</v>
      </c>
      <c r="C5010" s="2" t="s">
        <v>24</v>
      </c>
      <c r="D5010" s="2" t="s">
        <v>2534</v>
      </c>
      <c r="E5010" s="2" t="s">
        <v>438</v>
      </c>
      <c r="F5010" s="2" t="s">
        <v>19</v>
      </c>
      <c r="G5010" s="2" t="s">
        <v>20</v>
      </c>
      <c r="H5010" s="2" t="s">
        <v>2539</v>
      </c>
      <c r="I5010" s="2"/>
      <c r="J5010" s="2"/>
    </row>
    <row r="5011" spans="1:10" x14ac:dyDescent="0.35">
      <c r="A5011" s="2" t="s">
        <v>2499</v>
      </c>
      <c r="B5011" s="2" t="s">
        <v>2500</v>
      </c>
      <c r="C5011" s="2" t="s">
        <v>24</v>
      </c>
      <c r="D5011" s="2" t="s">
        <v>2534</v>
      </c>
      <c r="E5011" s="2" t="s">
        <v>77</v>
      </c>
      <c r="F5011" s="2" t="s">
        <v>78</v>
      </c>
      <c r="G5011" s="2"/>
      <c r="H5011" s="2"/>
      <c r="I5011" s="2"/>
      <c r="J5011" s="2"/>
    </row>
    <row r="5012" spans="1:10" x14ac:dyDescent="0.35">
      <c r="A5012" s="2" t="s">
        <v>2499</v>
      </c>
      <c r="B5012" s="2" t="s">
        <v>2500</v>
      </c>
      <c r="C5012" s="2" t="s">
        <v>24</v>
      </c>
      <c r="D5012" s="2" t="s">
        <v>2534</v>
      </c>
      <c r="E5012" s="2" t="s">
        <v>2540</v>
      </c>
      <c r="F5012" s="2" t="s">
        <v>122</v>
      </c>
      <c r="G5012" s="2"/>
      <c r="H5012" s="2"/>
      <c r="I5012" s="2"/>
      <c r="J5012" s="2"/>
    </row>
    <row r="5013" spans="1:10" x14ac:dyDescent="0.35">
      <c r="A5013" s="2" t="s">
        <v>2499</v>
      </c>
      <c r="B5013" s="2" t="s">
        <v>2500</v>
      </c>
      <c r="C5013" s="2" t="s">
        <v>24</v>
      </c>
      <c r="D5013" s="2" t="s">
        <v>2534</v>
      </c>
      <c r="E5013" s="2" t="s">
        <v>89</v>
      </c>
      <c r="F5013" s="2" t="s">
        <v>45</v>
      </c>
      <c r="G5013" s="2" t="s">
        <v>20</v>
      </c>
      <c r="H5013" s="2" t="s">
        <v>2541</v>
      </c>
      <c r="I5013" s="2"/>
      <c r="J5013" s="2"/>
    </row>
    <row r="5014" spans="1:10" x14ac:dyDescent="0.35">
      <c r="A5014" s="2" t="s">
        <v>2499</v>
      </c>
      <c r="B5014" s="2" t="s">
        <v>2500</v>
      </c>
      <c r="C5014" s="2" t="s">
        <v>24</v>
      </c>
      <c r="D5014" s="2" t="s">
        <v>2534</v>
      </c>
      <c r="E5014" s="2" t="s">
        <v>2542</v>
      </c>
      <c r="F5014" s="2" t="s">
        <v>228</v>
      </c>
      <c r="G5014" s="2"/>
      <c r="H5014" s="2"/>
      <c r="I5014" s="2"/>
      <c r="J5014" s="2"/>
    </row>
    <row r="5015" spans="1:10" x14ac:dyDescent="0.35">
      <c r="A5015" s="2" t="s">
        <v>2499</v>
      </c>
      <c r="B5015" s="2" t="s">
        <v>2500</v>
      </c>
      <c r="C5015" s="2" t="s">
        <v>24</v>
      </c>
      <c r="D5015" s="2" t="s">
        <v>2534</v>
      </c>
      <c r="E5015" s="2" t="s">
        <v>100</v>
      </c>
      <c r="F5015" s="2" t="s">
        <v>101</v>
      </c>
      <c r="G5015" s="2"/>
      <c r="H5015" s="2"/>
      <c r="I5015" s="2"/>
      <c r="J5015" s="2"/>
    </row>
    <row r="5016" spans="1:10" x14ac:dyDescent="0.35">
      <c r="A5016" s="2" t="s">
        <v>2499</v>
      </c>
      <c r="B5016" s="2" t="s">
        <v>2500</v>
      </c>
      <c r="C5016" s="2" t="s">
        <v>24</v>
      </c>
      <c r="D5016" s="2" t="s">
        <v>2534</v>
      </c>
      <c r="E5016" s="2" t="s">
        <v>2543</v>
      </c>
      <c r="F5016" s="2" t="s">
        <v>40</v>
      </c>
      <c r="G5016" s="2"/>
      <c r="H5016" s="2"/>
      <c r="I5016" s="2"/>
      <c r="J5016" s="2"/>
    </row>
    <row r="5017" spans="1:10" x14ac:dyDescent="0.35">
      <c r="A5017" s="2" t="s">
        <v>2499</v>
      </c>
      <c r="B5017" s="2" t="s">
        <v>2500</v>
      </c>
      <c r="C5017" s="2" t="s">
        <v>24</v>
      </c>
      <c r="D5017" s="2" t="s">
        <v>2534</v>
      </c>
      <c r="E5017" s="2" t="s">
        <v>1041</v>
      </c>
      <c r="F5017" s="2" t="s">
        <v>65</v>
      </c>
      <c r="G5017" s="2"/>
      <c r="H5017" s="2"/>
      <c r="I5017" s="2"/>
      <c r="J5017" s="2"/>
    </row>
    <row r="5018" spans="1:10" x14ac:dyDescent="0.35">
      <c r="A5018" s="2" t="s">
        <v>2499</v>
      </c>
      <c r="B5018" s="2" t="s">
        <v>2500</v>
      </c>
      <c r="C5018" s="2" t="s">
        <v>24</v>
      </c>
      <c r="D5018" s="2" t="s">
        <v>2534</v>
      </c>
      <c r="E5018" s="2" t="s">
        <v>1982</v>
      </c>
      <c r="F5018" s="2" t="s">
        <v>847</v>
      </c>
      <c r="G5018" s="2"/>
      <c r="H5018" s="2"/>
      <c r="I5018" s="2"/>
      <c r="J5018" s="2"/>
    </row>
    <row r="5019" spans="1:10" s="18" customFormat="1" x14ac:dyDescent="0.35">
      <c r="A5019" s="2" t="s">
        <v>2499</v>
      </c>
      <c r="B5019" s="2" t="s">
        <v>2500</v>
      </c>
      <c r="C5019" s="2" t="s">
        <v>12</v>
      </c>
      <c r="D5019" s="2" t="s">
        <v>2544</v>
      </c>
      <c r="E5019" s="2" t="s">
        <v>14</v>
      </c>
      <c r="F5019" s="2" t="s">
        <v>15</v>
      </c>
      <c r="G5019" s="2"/>
      <c r="H5019" s="2"/>
      <c r="I5019" s="2"/>
      <c r="J5019" s="2"/>
    </row>
    <row r="5020" spans="1:10" s="18" customFormat="1" x14ac:dyDescent="0.35">
      <c r="A5020" s="2" t="s">
        <v>2499</v>
      </c>
      <c r="B5020" s="2" t="s">
        <v>2500</v>
      </c>
      <c r="C5020" s="2" t="s">
        <v>12</v>
      </c>
      <c r="D5020" s="2" t="s">
        <v>2544</v>
      </c>
      <c r="E5020" s="2" t="s">
        <v>156</v>
      </c>
      <c r="F5020" s="2" t="s">
        <v>45</v>
      </c>
      <c r="G5020" s="2" t="s">
        <v>20</v>
      </c>
      <c r="H5020" s="2" t="s">
        <v>2545</v>
      </c>
      <c r="I5020" s="2"/>
      <c r="J5020" s="2"/>
    </row>
    <row r="5021" spans="1:10" s="18" customFormat="1" x14ac:dyDescent="0.35">
      <c r="A5021" s="2" t="s">
        <v>2499</v>
      </c>
      <c r="B5021" s="2" t="s">
        <v>2500</v>
      </c>
      <c r="C5021" s="2" t="s">
        <v>12</v>
      </c>
      <c r="D5021" s="2" t="s">
        <v>2544</v>
      </c>
      <c r="E5021" s="2" t="s">
        <v>1283</v>
      </c>
      <c r="F5021" s="2" t="s">
        <v>65</v>
      </c>
      <c r="G5021" s="2"/>
      <c r="H5021" s="2"/>
      <c r="I5021" s="2"/>
      <c r="J5021" s="2"/>
    </row>
    <row r="5022" spans="1:10" x14ac:dyDescent="0.35">
      <c r="A5022" s="2" t="s">
        <v>2499</v>
      </c>
      <c r="B5022" s="2" t="s">
        <v>2500</v>
      </c>
      <c r="C5022" s="2" t="s">
        <v>62</v>
      </c>
      <c r="D5022" s="2" t="s">
        <v>2546</v>
      </c>
      <c r="E5022" s="2" t="s">
        <v>246</v>
      </c>
      <c r="F5022" s="2" t="s">
        <v>107</v>
      </c>
      <c r="G5022" s="2"/>
      <c r="H5022" s="2"/>
      <c r="I5022" s="2"/>
      <c r="J5022" s="2"/>
    </row>
    <row r="5023" spans="1:10" x14ac:dyDescent="0.35">
      <c r="A5023" s="2" t="s">
        <v>2499</v>
      </c>
      <c r="B5023" s="2" t="s">
        <v>2500</v>
      </c>
      <c r="C5023" s="2" t="s">
        <v>62</v>
      </c>
      <c r="D5023" s="2" t="s">
        <v>2546</v>
      </c>
      <c r="E5023" s="2" t="s">
        <v>14</v>
      </c>
      <c r="F5023" s="2" t="s">
        <v>15</v>
      </c>
      <c r="G5023" s="2"/>
      <c r="H5023" s="2"/>
      <c r="I5023" s="2"/>
      <c r="J5023" s="2"/>
    </row>
    <row r="5024" spans="1:10" x14ac:dyDescent="0.35">
      <c r="A5024" s="2" t="s">
        <v>2499</v>
      </c>
      <c r="B5024" s="2" t="s">
        <v>2500</v>
      </c>
      <c r="C5024" s="2" t="s">
        <v>62</v>
      </c>
      <c r="D5024" s="2" t="s">
        <v>2546</v>
      </c>
      <c r="E5024" s="2" t="s">
        <v>27</v>
      </c>
      <c r="F5024" s="2" t="s">
        <v>28</v>
      </c>
      <c r="G5024" s="2"/>
      <c r="H5024" s="2"/>
      <c r="I5024" s="2"/>
      <c r="J5024" s="2"/>
    </row>
    <row r="5025" spans="1:10" x14ac:dyDescent="0.35">
      <c r="A5025" s="2" t="s">
        <v>2499</v>
      </c>
      <c r="B5025" s="2" t="s">
        <v>2500</v>
      </c>
      <c r="C5025" s="2" t="s">
        <v>62</v>
      </c>
      <c r="D5025" s="2" t="s">
        <v>2546</v>
      </c>
      <c r="E5025" s="2" t="s">
        <v>2547</v>
      </c>
      <c r="F5025" s="2" t="s">
        <v>78</v>
      </c>
      <c r="G5025" s="2"/>
      <c r="H5025" s="2"/>
      <c r="I5025" s="2"/>
      <c r="J5025" s="2"/>
    </row>
    <row r="5026" spans="1:10" x14ac:dyDescent="0.35">
      <c r="A5026" s="2" t="s">
        <v>2499</v>
      </c>
      <c r="B5026" s="2" t="s">
        <v>2500</v>
      </c>
      <c r="C5026" s="2" t="s">
        <v>62</v>
      </c>
      <c r="D5026" s="2" t="s">
        <v>2546</v>
      </c>
      <c r="E5026" s="2" t="s">
        <v>31</v>
      </c>
      <c r="F5026" s="2" t="s">
        <v>32</v>
      </c>
      <c r="G5026" s="2"/>
      <c r="H5026" s="2"/>
      <c r="I5026" s="2"/>
      <c r="J5026" s="2"/>
    </row>
    <row r="5027" spans="1:10" x14ac:dyDescent="0.35">
      <c r="A5027" s="2" t="s">
        <v>2499</v>
      </c>
      <c r="B5027" s="2" t="s">
        <v>2500</v>
      </c>
      <c r="C5027" s="2" t="s">
        <v>62</v>
      </c>
      <c r="D5027" s="2" t="s">
        <v>2546</v>
      </c>
      <c r="E5027" s="2" t="s">
        <v>172</v>
      </c>
      <c r="F5027" s="2" t="s">
        <v>65</v>
      </c>
      <c r="G5027" s="2"/>
      <c r="H5027" s="2"/>
      <c r="I5027" s="2"/>
      <c r="J5027" s="2"/>
    </row>
    <row r="5028" spans="1:10" x14ac:dyDescent="0.35">
      <c r="A5028" s="2" t="s">
        <v>2499</v>
      </c>
      <c r="B5028" s="2" t="s">
        <v>2500</v>
      </c>
      <c r="C5028" s="2" t="s">
        <v>62</v>
      </c>
      <c r="D5028" s="2" t="s">
        <v>2546</v>
      </c>
      <c r="E5028" s="2" t="s">
        <v>2535</v>
      </c>
      <c r="F5028" s="2" t="s">
        <v>83</v>
      </c>
      <c r="G5028" s="2"/>
      <c r="H5028" s="2"/>
      <c r="I5028" s="2"/>
      <c r="J5028" s="2"/>
    </row>
    <row r="5029" spans="1:10" x14ac:dyDescent="0.35">
      <c r="A5029" s="2" t="s">
        <v>2499</v>
      </c>
      <c r="B5029" s="2" t="s">
        <v>2500</v>
      </c>
      <c r="C5029" s="2" t="s">
        <v>62</v>
      </c>
      <c r="D5029" s="2" t="s">
        <v>2546</v>
      </c>
      <c r="E5029" s="2" t="s">
        <v>1782</v>
      </c>
      <c r="F5029" s="2" t="s">
        <v>38</v>
      </c>
      <c r="G5029" s="2"/>
      <c r="H5029" s="2"/>
      <c r="I5029" s="2"/>
      <c r="J5029" s="2"/>
    </row>
    <row r="5030" spans="1:10" x14ac:dyDescent="0.35">
      <c r="A5030" s="2" t="s">
        <v>2499</v>
      </c>
      <c r="B5030" s="2" t="s">
        <v>2500</v>
      </c>
      <c r="C5030" s="2" t="s">
        <v>62</v>
      </c>
      <c r="D5030" s="2" t="s">
        <v>2546</v>
      </c>
      <c r="E5030" s="2" t="s">
        <v>2548</v>
      </c>
      <c r="F5030" s="2" t="s">
        <v>19</v>
      </c>
      <c r="G5030" s="2" t="s">
        <v>20</v>
      </c>
      <c r="H5030" s="2" t="s">
        <v>2549</v>
      </c>
      <c r="I5030" s="2"/>
      <c r="J5030" s="2"/>
    </row>
    <row r="5031" spans="1:10" x14ac:dyDescent="0.35">
      <c r="A5031" s="2" t="s">
        <v>2499</v>
      </c>
      <c r="B5031" s="2" t="s">
        <v>2500</v>
      </c>
      <c r="C5031" s="2" t="s">
        <v>62</v>
      </c>
      <c r="D5031" s="2" t="s">
        <v>2546</v>
      </c>
      <c r="E5031" s="2" t="s">
        <v>438</v>
      </c>
      <c r="F5031" s="2" t="s">
        <v>19</v>
      </c>
      <c r="G5031" s="2"/>
      <c r="H5031" s="2"/>
      <c r="I5031" s="2"/>
      <c r="J5031" s="2"/>
    </row>
    <row r="5032" spans="1:10" x14ac:dyDescent="0.35">
      <c r="A5032" s="2" t="s">
        <v>2499</v>
      </c>
      <c r="B5032" s="2" t="s">
        <v>2500</v>
      </c>
      <c r="C5032" s="2" t="s">
        <v>62</v>
      </c>
      <c r="D5032" s="2" t="s">
        <v>2546</v>
      </c>
      <c r="E5032" s="2" t="s">
        <v>77</v>
      </c>
      <c r="F5032" s="2" t="s">
        <v>78</v>
      </c>
      <c r="G5032" s="2"/>
      <c r="H5032" s="2"/>
      <c r="I5032" s="2"/>
      <c r="J5032" s="2"/>
    </row>
    <row r="5033" spans="1:10" s="21" customFormat="1" x14ac:dyDescent="0.35">
      <c r="A5033" s="2" t="s">
        <v>2499</v>
      </c>
      <c r="B5033" s="2" t="s">
        <v>2500</v>
      </c>
      <c r="C5033" s="2" t="s">
        <v>62</v>
      </c>
      <c r="D5033" s="2" t="s">
        <v>2546</v>
      </c>
      <c r="E5033" s="2" t="s">
        <v>87</v>
      </c>
      <c r="F5033" s="2" t="s">
        <v>75</v>
      </c>
      <c r="G5033" s="2"/>
      <c r="H5033" s="2"/>
      <c r="I5033" s="2"/>
      <c r="J5033" s="2"/>
    </row>
    <row r="5034" spans="1:10" x14ac:dyDescent="0.35">
      <c r="A5034" s="2" t="s">
        <v>2499</v>
      </c>
      <c r="B5034" s="2" t="s">
        <v>2500</v>
      </c>
      <c r="C5034" s="2" t="s">
        <v>62</v>
      </c>
      <c r="D5034" s="2" t="s">
        <v>2546</v>
      </c>
      <c r="E5034" s="2" t="s">
        <v>64</v>
      </c>
      <c r="F5034" s="2" t="s">
        <v>65</v>
      </c>
      <c r="G5034" s="2"/>
      <c r="H5034" s="2"/>
      <c r="I5034" s="2"/>
      <c r="J5034" s="2"/>
    </row>
    <row r="5035" spans="1:10" x14ac:dyDescent="0.35">
      <c r="A5035" s="2" t="s">
        <v>2499</v>
      </c>
      <c r="B5035" s="2" t="s">
        <v>2500</v>
      </c>
      <c r="C5035" s="2" t="s">
        <v>62</v>
      </c>
      <c r="D5035" s="2" t="s">
        <v>2546</v>
      </c>
      <c r="E5035" s="2" t="s">
        <v>100</v>
      </c>
      <c r="F5035" s="2" t="s">
        <v>101</v>
      </c>
      <c r="G5035" s="2"/>
      <c r="H5035" s="2"/>
      <c r="I5035" s="2"/>
      <c r="J5035" s="2"/>
    </row>
    <row r="5036" spans="1:10" x14ac:dyDescent="0.35">
      <c r="A5036" s="2" t="s">
        <v>2499</v>
      </c>
      <c r="B5036" s="2" t="s">
        <v>2500</v>
      </c>
      <c r="C5036" s="2" t="s">
        <v>62</v>
      </c>
      <c r="D5036" s="2" t="s">
        <v>2546</v>
      </c>
      <c r="E5036" s="2" t="s">
        <v>352</v>
      </c>
      <c r="F5036" s="2" t="s">
        <v>107</v>
      </c>
      <c r="G5036" s="2"/>
      <c r="H5036" s="2"/>
      <c r="I5036" s="2"/>
      <c r="J5036" s="2"/>
    </row>
    <row r="5037" spans="1:10" x14ac:dyDescent="0.35">
      <c r="A5037" s="2" t="s">
        <v>2499</v>
      </c>
      <c r="B5037" s="2" t="s">
        <v>2500</v>
      </c>
      <c r="C5037" s="2" t="s">
        <v>62</v>
      </c>
      <c r="D5037" s="2" t="s">
        <v>2546</v>
      </c>
      <c r="E5037" s="2" t="s">
        <v>1982</v>
      </c>
      <c r="F5037" s="2" t="s">
        <v>847</v>
      </c>
      <c r="G5037" s="2" t="s">
        <v>20</v>
      </c>
      <c r="H5037" s="2" t="s">
        <v>2550</v>
      </c>
      <c r="I5037" s="2"/>
      <c r="J5037" s="2"/>
    </row>
    <row r="5038" spans="1:10" x14ac:dyDescent="0.35">
      <c r="A5038" s="2" t="s">
        <v>2499</v>
      </c>
      <c r="B5038" s="2" t="s">
        <v>2500</v>
      </c>
      <c r="C5038" s="2" t="s">
        <v>62</v>
      </c>
      <c r="D5038" s="2" t="s">
        <v>2546</v>
      </c>
      <c r="E5038" s="2" t="s">
        <v>2551</v>
      </c>
      <c r="F5038" s="2" t="s">
        <v>65</v>
      </c>
      <c r="G5038" s="2"/>
      <c r="H5038" s="2"/>
      <c r="I5038" s="2"/>
      <c r="J5038" s="2"/>
    </row>
    <row r="5039" spans="1:10" x14ac:dyDescent="0.35">
      <c r="A5039" s="2" t="s">
        <v>2499</v>
      </c>
      <c r="B5039" s="2" t="s">
        <v>2500</v>
      </c>
      <c r="C5039" s="2" t="s">
        <v>24</v>
      </c>
      <c r="D5039" s="2" t="s">
        <v>2552</v>
      </c>
      <c r="E5039" s="2" t="s">
        <v>196</v>
      </c>
      <c r="F5039" s="2" t="s">
        <v>197</v>
      </c>
      <c r="G5039" s="2"/>
      <c r="H5039" s="2"/>
      <c r="I5039" s="2"/>
      <c r="J5039" s="2"/>
    </row>
    <row r="5040" spans="1:10" x14ac:dyDescent="0.35">
      <c r="A5040" s="2" t="s">
        <v>2499</v>
      </c>
      <c r="B5040" s="2" t="s">
        <v>2500</v>
      </c>
      <c r="C5040" s="2" t="s">
        <v>24</v>
      </c>
      <c r="D5040" s="2" t="s">
        <v>2552</v>
      </c>
      <c r="E5040" s="2" t="s">
        <v>14</v>
      </c>
      <c r="F5040" s="2" t="s">
        <v>15</v>
      </c>
      <c r="G5040" s="2"/>
      <c r="H5040" s="2"/>
      <c r="I5040" s="2"/>
      <c r="J5040" s="2"/>
    </row>
    <row r="5041" spans="1:10" x14ac:dyDescent="0.35">
      <c r="A5041" s="2" t="s">
        <v>2499</v>
      </c>
      <c r="B5041" s="2" t="s">
        <v>2500</v>
      </c>
      <c r="C5041" s="2" t="s">
        <v>24</v>
      </c>
      <c r="D5041" s="2" t="s">
        <v>2552</v>
      </c>
      <c r="E5041" s="2" t="s">
        <v>31</v>
      </c>
      <c r="F5041" s="2" t="s">
        <v>32</v>
      </c>
      <c r="G5041" s="2"/>
      <c r="H5041" s="2"/>
      <c r="I5041" s="2"/>
      <c r="J5041" s="2"/>
    </row>
    <row r="5042" spans="1:10" x14ac:dyDescent="0.35">
      <c r="A5042" s="2" t="s">
        <v>2499</v>
      </c>
      <c r="B5042" s="2" t="s">
        <v>2500</v>
      </c>
      <c r="C5042" s="2" t="s">
        <v>24</v>
      </c>
      <c r="D5042" s="2" t="s">
        <v>2552</v>
      </c>
      <c r="E5042" s="2" t="s">
        <v>1215</v>
      </c>
      <c r="F5042" s="2" t="s">
        <v>1216</v>
      </c>
      <c r="G5042" s="2"/>
      <c r="H5042" s="2"/>
      <c r="I5042" s="2"/>
      <c r="J5042" s="2"/>
    </row>
    <row r="5043" spans="1:10" x14ac:dyDescent="0.35">
      <c r="A5043" s="2" t="s">
        <v>2499</v>
      </c>
      <c r="B5043" s="2" t="s">
        <v>2500</v>
      </c>
      <c r="C5043" s="2" t="s">
        <v>24</v>
      </c>
      <c r="D5043" s="2" t="s">
        <v>2552</v>
      </c>
      <c r="E5043" s="2" t="s">
        <v>1997</v>
      </c>
      <c r="F5043" s="2" t="s">
        <v>125</v>
      </c>
      <c r="G5043" s="2"/>
      <c r="H5043" s="2"/>
      <c r="I5043" s="2"/>
      <c r="J5043" s="2"/>
    </row>
    <row r="5044" spans="1:10" s="21" customFormat="1" x14ac:dyDescent="0.35">
      <c r="A5044" s="2" t="s">
        <v>2499</v>
      </c>
      <c r="B5044" s="2" t="s">
        <v>2500</v>
      </c>
      <c r="C5044" s="2" t="s">
        <v>24</v>
      </c>
      <c r="D5044" s="2" t="s">
        <v>2552</v>
      </c>
      <c r="E5044" s="2" t="s">
        <v>957</v>
      </c>
      <c r="F5044" s="2" t="s">
        <v>958</v>
      </c>
      <c r="G5044" s="2"/>
      <c r="H5044" s="2"/>
      <c r="I5044" s="2"/>
      <c r="J5044" s="2"/>
    </row>
    <row r="5045" spans="1:10" x14ac:dyDescent="0.35">
      <c r="A5045" s="2" t="s">
        <v>2499</v>
      </c>
      <c r="B5045" s="2" t="s">
        <v>2500</v>
      </c>
      <c r="C5045" s="2" t="s">
        <v>24</v>
      </c>
      <c r="D5045" s="2" t="s">
        <v>2552</v>
      </c>
      <c r="E5045" s="2" t="s">
        <v>438</v>
      </c>
      <c r="F5045" s="2" t="s">
        <v>19</v>
      </c>
      <c r="G5045" s="2" t="s">
        <v>20</v>
      </c>
      <c r="H5045" s="2" t="s">
        <v>2553</v>
      </c>
      <c r="I5045" s="2"/>
      <c r="J5045" s="2"/>
    </row>
    <row r="5046" spans="1:10" x14ac:dyDescent="0.35">
      <c r="A5046" s="2" t="s">
        <v>2499</v>
      </c>
      <c r="B5046" s="2" t="s">
        <v>2500</v>
      </c>
      <c r="C5046" s="2" t="s">
        <v>24</v>
      </c>
      <c r="D5046" s="2" t="s">
        <v>2552</v>
      </c>
      <c r="E5046" s="2" t="s">
        <v>2554</v>
      </c>
      <c r="F5046" s="2" t="s">
        <v>40</v>
      </c>
      <c r="G5046" s="2"/>
      <c r="H5046" s="2"/>
      <c r="I5046" s="2"/>
      <c r="J5046" s="2"/>
    </row>
    <row r="5047" spans="1:10" x14ac:dyDescent="0.35">
      <c r="A5047" s="2" t="s">
        <v>2499</v>
      </c>
      <c r="B5047" s="2" t="s">
        <v>2500</v>
      </c>
      <c r="C5047" s="2" t="s">
        <v>24</v>
      </c>
      <c r="D5047" s="2" t="s">
        <v>2552</v>
      </c>
      <c r="E5047" s="2" t="s">
        <v>100</v>
      </c>
      <c r="F5047" s="2" t="s">
        <v>101</v>
      </c>
      <c r="G5047" s="2"/>
      <c r="H5047" s="2"/>
      <c r="I5047" s="2"/>
      <c r="J5047" s="2"/>
    </row>
    <row r="5048" spans="1:10" x14ac:dyDescent="0.35">
      <c r="A5048" s="2" t="s">
        <v>2499</v>
      </c>
      <c r="B5048" s="2" t="s">
        <v>2500</v>
      </c>
      <c r="C5048" s="2" t="s">
        <v>24</v>
      </c>
      <c r="D5048" s="2" t="s">
        <v>2552</v>
      </c>
      <c r="E5048" s="2" t="s">
        <v>1593</v>
      </c>
      <c r="F5048" s="2" t="s">
        <v>38</v>
      </c>
      <c r="G5048" s="2"/>
      <c r="H5048" s="2"/>
      <c r="I5048" s="2"/>
      <c r="J5048" s="2"/>
    </row>
    <row r="5049" spans="1:10" x14ac:dyDescent="0.35">
      <c r="A5049" s="2" t="s">
        <v>2499</v>
      </c>
      <c r="B5049" s="2" t="s">
        <v>2500</v>
      </c>
      <c r="C5049" s="2" t="s">
        <v>24</v>
      </c>
      <c r="D5049" s="2" t="s">
        <v>2552</v>
      </c>
      <c r="E5049" s="2" t="s">
        <v>2555</v>
      </c>
      <c r="F5049" s="2" t="s">
        <v>228</v>
      </c>
      <c r="G5049" s="2"/>
      <c r="H5049" s="2"/>
      <c r="I5049" s="2"/>
      <c r="J5049" s="2"/>
    </row>
    <row r="5050" spans="1:10" x14ac:dyDescent="0.35">
      <c r="A5050" s="2" t="s">
        <v>2499</v>
      </c>
      <c r="B5050" s="2" t="s">
        <v>2500</v>
      </c>
      <c r="C5050" s="2" t="s">
        <v>24</v>
      </c>
      <c r="D5050" s="2" t="s">
        <v>2552</v>
      </c>
      <c r="E5050" s="2" t="s">
        <v>188</v>
      </c>
      <c r="F5050" s="2" t="s">
        <v>189</v>
      </c>
      <c r="G5050" s="2"/>
      <c r="H5050" s="2"/>
      <c r="I5050" s="2"/>
      <c r="J5050" s="2"/>
    </row>
    <row r="5051" spans="1:10" x14ac:dyDescent="0.35">
      <c r="A5051" s="2" t="s">
        <v>2499</v>
      </c>
      <c r="B5051" s="2" t="s">
        <v>2500</v>
      </c>
      <c r="C5051" s="2" t="s">
        <v>24</v>
      </c>
      <c r="D5051" s="2" t="s">
        <v>2552</v>
      </c>
      <c r="E5051" s="2" t="s">
        <v>2556</v>
      </c>
      <c r="F5051" s="2" t="s">
        <v>203</v>
      </c>
      <c r="G5051" s="2"/>
      <c r="H5051" s="2"/>
      <c r="I5051" s="2"/>
      <c r="J5051" s="2"/>
    </row>
    <row r="5052" spans="1:10" x14ac:dyDescent="0.35">
      <c r="A5052" s="2" t="s">
        <v>2499</v>
      </c>
      <c r="B5052" s="2" t="s">
        <v>2500</v>
      </c>
      <c r="C5052" s="2" t="s">
        <v>24</v>
      </c>
      <c r="D5052" s="2" t="s">
        <v>2552</v>
      </c>
      <c r="E5052" s="2" t="s">
        <v>1982</v>
      </c>
      <c r="F5052" s="2" t="s">
        <v>847</v>
      </c>
      <c r="G5052" s="2"/>
      <c r="H5052" s="2"/>
      <c r="I5052" s="2"/>
      <c r="J5052" s="2"/>
    </row>
    <row r="5053" spans="1:10" x14ac:dyDescent="0.35">
      <c r="A5053" s="2" t="s">
        <v>2499</v>
      </c>
      <c r="B5053" s="2" t="s">
        <v>2500</v>
      </c>
      <c r="C5053" s="2" t="s">
        <v>54</v>
      </c>
      <c r="D5053" s="2" t="s">
        <v>2557</v>
      </c>
      <c r="E5053" s="2" t="s">
        <v>2558</v>
      </c>
      <c r="F5053" s="2" t="s">
        <v>75</v>
      </c>
      <c r="G5053" s="2" t="s">
        <v>20</v>
      </c>
      <c r="H5053" s="2" t="s">
        <v>2559</v>
      </c>
      <c r="I5053" s="2"/>
      <c r="J5053" s="2"/>
    </row>
    <row r="5054" spans="1:10" x14ac:dyDescent="0.35">
      <c r="A5054" s="2" t="s">
        <v>2499</v>
      </c>
      <c r="B5054" s="2" t="s">
        <v>2500</v>
      </c>
      <c r="C5054" s="2" t="s">
        <v>54</v>
      </c>
      <c r="D5054" s="2" t="s">
        <v>2557</v>
      </c>
      <c r="E5054" s="2" t="s">
        <v>2560</v>
      </c>
      <c r="F5054" s="2" t="s">
        <v>45</v>
      </c>
      <c r="G5054" s="2"/>
      <c r="H5054" s="2"/>
      <c r="I5054" s="2"/>
      <c r="J5054" s="2"/>
    </row>
    <row r="5055" spans="1:10" x14ac:dyDescent="0.35">
      <c r="A5055" s="2" t="s">
        <v>2499</v>
      </c>
      <c r="B5055" s="2" t="s">
        <v>2500</v>
      </c>
      <c r="C5055" s="2" t="s">
        <v>54</v>
      </c>
      <c r="D5055" s="2" t="s">
        <v>2557</v>
      </c>
      <c r="E5055" s="2" t="s">
        <v>155</v>
      </c>
      <c r="F5055" s="2" t="s">
        <v>32</v>
      </c>
      <c r="G5055" s="2"/>
      <c r="H5055" s="2"/>
      <c r="I5055" s="2"/>
      <c r="J5055" s="2"/>
    </row>
    <row r="5056" spans="1:10" x14ac:dyDescent="0.35">
      <c r="A5056" s="2" t="s">
        <v>2499</v>
      </c>
      <c r="B5056" s="2" t="s">
        <v>2500</v>
      </c>
      <c r="C5056" s="2" t="s">
        <v>54</v>
      </c>
      <c r="D5056" s="2" t="s">
        <v>2557</v>
      </c>
      <c r="E5056" s="2" t="s">
        <v>438</v>
      </c>
      <c r="F5056" s="2" t="s">
        <v>19</v>
      </c>
      <c r="G5056" s="2" t="s">
        <v>20</v>
      </c>
      <c r="H5056" s="2" t="s">
        <v>2561</v>
      </c>
      <c r="I5056" s="2"/>
      <c r="J5056" s="2"/>
    </row>
    <row r="5057" spans="1:10" x14ac:dyDescent="0.35">
      <c r="A5057" s="2" t="s">
        <v>2499</v>
      </c>
      <c r="B5057" s="2" t="s">
        <v>2500</v>
      </c>
      <c r="C5057" s="2" t="s">
        <v>54</v>
      </c>
      <c r="D5057" s="2" t="s">
        <v>2557</v>
      </c>
      <c r="E5057" s="2" t="s">
        <v>1982</v>
      </c>
      <c r="F5057" s="2" t="s">
        <v>847</v>
      </c>
      <c r="G5057" s="2" t="s">
        <v>20</v>
      </c>
      <c r="H5057" s="2" t="s">
        <v>2562</v>
      </c>
      <c r="I5057" s="2"/>
      <c r="J5057" s="2"/>
    </row>
    <row r="5058" spans="1:10" x14ac:dyDescent="0.35">
      <c r="A5058" s="2" t="s">
        <v>2499</v>
      </c>
      <c r="B5058" s="2" t="s">
        <v>2500</v>
      </c>
      <c r="C5058" s="2" t="s">
        <v>24</v>
      </c>
      <c r="D5058" s="2" t="s">
        <v>2563</v>
      </c>
      <c r="E5058" s="2" t="s">
        <v>196</v>
      </c>
      <c r="F5058" s="2" t="s">
        <v>197</v>
      </c>
      <c r="G5058" s="2"/>
      <c r="H5058" s="2"/>
      <c r="I5058" s="2"/>
      <c r="J5058" s="2"/>
    </row>
    <row r="5059" spans="1:10" x14ac:dyDescent="0.35">
      <c r="A5059" s="2" t="s">
        <v>2499</v>
      </c>
      <c r="B5059" s="2" t="s">
        <v>2500</v>
      </c>
      <c r="C5059" s="2" t="s">
        <v>24</v>
      </c>
      <c r="D5059" s="2" t="s">
        <v>2563</v>
      </c>
      <c r="E5059" s="2" t="s">
        <v>14</v>
      </c>
      <c r="F5059" s="2" t="s">
        <v>15</v>
      </c>
      <c r="G5059" s="2"/>
      <c r="H5059" s="2"/>
      <c r="I5059" s="2"/>
      <c r="J5059" s="2"/>
    </row>
    <row r="5060" spans="1:10" x14ac:dyDescent="0.35">
      <c r="A5060" s="2" t="s">
        <v>2499</v>
      </c>
      <c r="B5060" s="2" t="s">
        <v>2500</v>
      </c>
      <c r="C5060" s="2" t="s">
        <v>24</v>
      </c>
      <c r="D5060" s="2" t="s">
        <v>2563</v>
      </c>
      <c r="E5060" s="2" t="s">
        <v>27</v>
      </c>
      <c r="F5060" s="2" t="s">
        <v>28</v>
      </c>
      <c r="G5060" s="2"/>
      <c r="H5060" s="2"/>
      <c r="I5060" s="2"/>
      <c r="J5060" s="2"/>
    </row>
    <row r="5061" spans="1:10" x14ac:dyDescent="0.35">
      <c r="A5061" s="2" t="s">
        <v>2499</v>
      </c>
      <c r="B5061" s="2" t="s">
        <v>2500</v>
      </c>
      <c r="C5061" s="2" t="s">
        <v>24</v>
      </c>
      <c r="D5061" s="2" t="s">
        <v>2563</v>
      </c>
      <c r="E5061" s="2" t="s">
        <v>1215</v>
      </c>
      <c r="F5061" s="2" t="s">
        <v>1216</v>
      </c>
      <c r="G5061" s="2"/>
      <c r="H5061" s="2"/>
      <c r="I5061" s="2"/>
      <c r="J5061" s="2"/>
    </row>
    <row r="5062" spans="1:10" x14ac:dyDescent="0.35">
      <c r="A5062" s="2" t="s">
        <v>2499</v>
      </c>
      <c r="B5062" s="2" t="s">
        <v>2500</v>
      </c>
      <c r="C5062" s="2" t="s">
        <v>24</v>
      </c>
      <c r="D5062" s="2" t="s">
        <v>2563</v>
      </c>
      <c r="E5062" s="2" t="s">
        <v>1782</v>
      </c>
      <c r="F5062" s="2" t="s">
        <v>38</v>
      </c>
      <c r="G5062" s="2"/>
      <c r="H5062" s="2"/>
      <c r="I5062" s="2"/>
      <c r="J5062" s="2"/>
    </row>
    <row r="5063" spans="1:10" x14ac:dyDescent="0.35">
      <c r="A5063" s="2" t="s">
        <v>2499</v>
      </c>
      <c r="B5063" s="2" t="s">
        <v>2500</v>
      </c>
      <c r="C5063" s="2" t="s">
        <v>24</v>
      </c>
      <c r="D5063" s="2" t="s">
        <v>2563</v>
      </c>
      <c r="E5063" s="2" t="s">
        <v>1789</v>
      </c>
      <c r="F5063" s="2" t="s">
        <v>32</v>
      </c>
      <c r="G5063" s="2"/>
      <c r="H5063" s="2"/>
      <c r="I5063" s="2"/>
      <c r="J5063" s="2"/>
    </row>
    <row r="5064" spans="1:10" x14ac:dyDescent="0.35">
      <c r="A5064" s="2" t="s">
        <v>2499</v>
      </c>
      <c r="B5064" s="2" t="s">
        <v>2500</v>
      </c>
      <c r="C5064" s="2" t="s">
        <v>24</v>
      </c>
      <c r="D5064" s="2" t="s">
        <v>2563</v>
      </c>
      <c r="E5064" s="2" t="s">
        <v>1589</v>
      </c>
      <c r="F5064" s="2" t="s">
        <v>28</v>
      </c>
      <c r="G5064" s="2"/>
      <c r="H5064" s="2"/>
      <c r="I5064" s="2"/>
      <c r="J5064" s="2"/>
    </row>
    <row r="5065" spans="1:10" x14ac:dyDescent="0.35">
      <c r="A5065" s="2" t="s">
        <v>2499</v>
      </c>
      <c r="B5065" s="2" t="s">
        <v>2500</v>
      </c>
      <c r="C5065" s="2" t="s">
        <v>24</v>
      </c>
      <c r="D5065" s="2" t="s">
        <v>2563</v>
      </c>
      <c r="E5065" s="2" t="s">
        <v>438</v>
      </c>
      <c r="F5065" s="2" t="s">
        <v>19</v>
      </c>
      <c r="G5065" s="2" t="s">
        <v>20</v>
      </c>
      <c r="H5065" s="2" t="s">
        <v>2561</v>
      </c>
      <c r="I5065" s="2"/>
      <c r="J5065" s="2"/>
    </row>
    <row r="5066" spans="1:10" x14ac:dyDescent="0.35">
      <c r="A5066" s="2" t="s">
        <v>2499</v>
      </c>
      <c r="B5066" s="2" t="s">
        <v>2500</v>
      </c>
      <c r="C5066" s="2" t="s">
        <v>24</v>
      </c>
      <c r="D5066" s="2" t="s">
        <v>2563</v>
      </c>
      <c r="E5066" s="2" t="s">
        <v>100</v>
      </c>
      <c r="F5066" s="2" t="s">
        <v>101</v>
      </c>
      <c r="G5066" s="2"/>
      <c r="H5066" s="2"/>
      <c r="I5066" s="2"/>
      <c r="J5066" s="2"/>
    </row>
    <row r="5067" spans="1:10" x14ac:dyDescent="0.35">
      <c r="A5067" s="2" t="s">
        <v>2499</v>
      </c>
      <c r="B5067" s="2" t="s">
        <v>2500</v>
      </c>
      <c r="C5067" s="2" t="s">
        <v>24</v>
      </c>
      <c r="D5067" s="2" t="s">
        <v>2563</v>
      </c>
      <c r="E5067" s="2" t="s">
        <v>2555</v>
      </c>
      <c r="F5067" s="2" t="s">
        <v>228</v>
      </c>
      <c r="G5067" s="2"/>
      <c r="H5067" s="2"/>
      <c r="I5067" s="2"/>
      <c r="J5067" s="2"/>
    </row>
    <row r="5068" spans="1:10" x14ac:dyDescent="0.35">
      <c r="A5068" s="2" t="s">
        <v>2499</v>
      </c>
      <c r="B5068" s="2" t="s">
        <v>2500</v>
      </c>
      <c r="C5068" s="2" t="s">
        <v>24</v>
      </c>
      <c r="D5068" s="2" t="s">
        <v>2563</v>
      </c>
      <c r="E5068" s="2" t="s">
        <v>1824</v>
      </c>
      <c r="F5068" s="2" t="s">
        <v>189</v>
      </c>
      <c r="G5068" s="2" t="s">
        <v>20</v>
      </c>
      <c r="H5068" s="2" t="s">
        <v>2528</v>
      </c>
      <c r="I5068" s="2"/>
      <c r="J5068" s="2"/>
    </row>
    <row r="5069" spans="1:10" x14ac:dyDescent="0.35">
      <c r="A5069" s="2" t="s">
        <v>2499</v>
      </c>
      <c r="B5069" s="2" t="s">
        <v>2500</v>
      </c>
      <c r="C5069" s="2" t="s">
        <v>24</v>
      </c>
      <c r="D5069" s="2" t="s">
        <v>2563</v>
      </c>
      <c r="E5069" s="2" t="s">
        <v>2564</v>
      </c>
      <c r="F5069" s="2" t="s">
        <v>107</v>
      </c>
      <c r="G5069" s="2"/>
      <c r="H5069" s="2"/>
      <c r="I5069" s="2"/>
      <c r="J5069" s="2"/>
    </row>
    <row r="5070" spans="1:10" x14ac:dyDescent="0.35">
      <c r="A5070" s="2" t="s">
        <v>2499</v>
      </c>
      <c r="B5070" s="2" t="s">
        <v>2500</v>
      </c>
      <c r="C5070" s="2" t="s">
        <v>24</v>
      </c>
      <c r="D5070" s="2" t="s">
        <v>2563</v>
      </c>
      <c r="E5070" s="2" t="s">
        <v>149</v>
      </c>
      <c r="F5070" s="2" t="s">
        <v>847</v>
      </c>
      <c r="G5070" s="2"/>
      <c r="H5070" s="2"/>
      <c r="I5070" s="2"/>
      <c r="J5070" s="2"/>
    </row>
    <row r="5071" spans="1:10" s="21" customFormat="1" x14ac:dyDescent="0.35">
      <c r="A5071" s="2" t="s">
        <v>2499</v>
      </c>
      <c r="B5071" s="2" t="s">
        <v>2500</v>
      </c>
      <c r="C5071" s="2" t="s">
        <v>24</v>
      </c>
      <c r="D5071" s="2" t="s">
        <v>2565</v>
      </c>
      <c r="E5071" s="2" t="s">
        <v>14</v>
      </c>
      <c r="F5071" s="2" t="s">
        <v>15</v>
      </c>
      <c r="G5071" s="2"/>
      <c r="H5071" s="2"/>
      <c r="I5071" s="2"/>
      <c r="J5071" s="2"/>
    </row>
    <row r="5072" spans="1:10" s="21" customFormat="1" x14ac:dyDescent="0.35">
      <c r="A5072" s="2" t="s">
        <v>2499</v>
      </c>
      <c r="B5072" s="2" t="s">
        <v>2500</v>
      </c>
      <c r="C5072" s="2" t="s">
        <v>24</v>
      </c>
      <c r="D5072" s="2" t="s">
        <v>2565</v>
      </c>
      <c r="E5072" s="2" t="s">
        <v>144</v>
      </c>
      <c r="F5072" s="2" t="s">
        <v>50</v>
      </c>
      <c r="G5072" s="2"/>
      <c r="H5072" s="2"/>
      <c r="I5072" s="2"/>
      <c r="J5072" s="2"/>
    </row>
    <row r="5073" spans="1:10" s="21" customFormat="1" x14ac:dyDescent="0.35">
      <c r="A5073" s="2" t="s">
        <v>2499</v>
      </c>
      <c r="B5073" s="2" t="s">
        <v>2500</v>
      </c>
      <c r="C5073" s="2" t="s">
        <v>24</v>
      </c>
      <c r="D5073" s="2" t="s">
        <v>2565</v>
      </c>
      <c r="E5073" s="2" t="s">
        <v>1782</v>
      </c>
      <c r="F5073" s="2" t="s">
        <v>38</v>
      </c>
      <c r="G5073" s="2"/>
      <c r="H5073" s="2"/>
      <c r="I5073" s="2"/>
      <c r="J5073" s="2"/>
    </row>
    <row r="5074" spans="1:10" s="21" customFormat="1" x14ac:dyDescent="0.35">
      <c r="A5074" s="2" t="s">
        <v>2499</v>
      </c>
      <c r="B5074" s="2" t="s">
        <v>2500</v>
      </c>
      <c r="C5074" s="2" t="s">
        <v>24</v>
      </c>
      <c r="D5074" s="2" t="s">
        <v>2565</v>
      </c>
      <c r="E5074" s="2" t="s">
        <v>438</v>
      </c>
      <c r="F5074" s="2" t="s">
        <v>19</v>
      </c>
      <c r="G5074" s="2"/>
      <c r="H5074" s="2"/>
      <c r="I5074" s="2"/>
      <c r="J5074" s="2"/>
    </row>
    <row r="5075" spans="1:10" s="21" customFormat="1" x14ac:dyDescent="0.35">
      <c r="A5075" s="2" t="s">
        <v>2499</v>
      </c>
      <c r="B5075" s="2" t="s">
        <v>2500</v>
      </c>
      <c r="C5075" s="2" t="s">
        <v>24</v>
      </c>
      <c r="D5075" s="2" t="s">
        <v>2565</v>
      </c>
      <c r="E5075" s="2" t="s">
        <v>1824</v>
      </c>
      <c r="F5075" s="2" t="s">
        <v>189</v>
      </c>
      <c r="G5075" s="2"/>
      <c r="H5075" s="2"/>
      <c r="I5075" s="2"/>
      <c r="J5075" s="2"/>
    </row>
    <row r="5076" spans="1:10" s="21" customFormat="1" x14ac:dyDescent="0.35">
      <c r="A5076" s="2" t="s">
        <v>2499</v>
      </c>
      <c r="B5076" s="2" t="s">
        <v>2500</v>
      </c>
      <c r="C5076" s="2" t="s">
        <v>24</v>
      </c>
      <c r="D5076" s="2" t="s">
        <v>2565</v>
      </c>
      <c r="E5076" s="2" t="s">
        <v>1283</v>
      </c>
      <c r="F5076" s="2" t="s">
        <v>65</v>
      </c>
      <c r="G5076" s="2"/>
      <c r="H5076" s="2"/>
      <c r="I5076" s="2"/>
      <c r="J5076" s="2"/>
    </row>
    <row r="5077" spans="1:10" x14ac:dyDescent="0.35">
      <c r="A5077" s="2" t="s">
        <v>2499</v>
      </c>
      <c r="B5077" s="2" t="s">
        <v>2500</v>
      </c>
      <c r="C5077" s="2" t="s">
        <v>62</v>
      </c>
      <c r="D5077" s="2" t="s">
        <v>2566</v>
      </c>
      <c r="E5077" s="2" t="s">
        <v>1175</v>
      </c>
      <c r="F5077" s="2" t="s">
        <v>75</v>
      </c>
      <c r="G5077" s="2"/>
      <c r="H5077" s="2"/>
      <c r="I5077" s="2"/>
      <c r="J5077" s="2"/>
    </row>
    <row r="5078" spans="1:10" x14ac:dyDescent="0.35">
      <c r="A5078" s="2" t="s">
        <v>2499</v>
      </c>
      <c r="B5078" s="2" t="s">
        <v>2500</v>
      </c>
      <c r="C5078" s="2" t="s">
        <v>62</v>
      </c>
      <c r="D5078" s="2" t="s">
        <v>2566</v>
      </c>
      <c r="E5078" s="2" t="s">
        <v>31</v>
      </c>
      <c r="F5078" s="2" t="s">
        <v>32</v>
      </c>
      <c r="G5078" s="2"/>
      <c r="H5078" s="2"/>
      <c r="I5078" s="2"/>
      <c r="J5078" s="2"/>
    </row>
    <row r="5079" spans="1:10" x14ac:dyDescent="0.35">
      <c r="A5079" s="2" t="s">
        <v>2499</v>
      </c>
      <c r="B5079" s="2" t="s">
        <v>2500</v>
      </c>
      <c r="C5079" s="2" t="s">
        <v>62</v>
      </c>
      <c r="D5079" s="2" t="s">
        <v>2566</v>
      </c>
      <c r="E5079" s="2" t="s">
        <v>782</v>
      </c>
      <c r="F5079" s="2" t="s">
        <v>75</v>
      </c>
      <c r="G5079" s="2"/>
      <c r="H5079" s="2"/>
      <c r="I5079" s="2"/>
      <c r="J5079" s="2"/>
    </row>
    <row r="5080" spans="1:10" x14ac:dyDescent="0.35">
      <c r="A5080" s="2" t="s">
        <v>2499</v>
      </c>
      <c r="B5080" s="2" t="s">
        <v>2500</v>
      </c>
      <c r="C5080" s="2" t="s">
        <v>62</v>
      </c>
      <c r="D5080" s="2" t="s">
        <v>2566</v>
      </c>
      <c r="E5080" s="2" t="s">
        <v>352</v>
      </c>
      <c r="F5080" s="2" t="s">
        <v>107</v>
      </c>
      <c r="G5080" s="2"/>
      <c r="H5080" s="2"/>
      <c r="I5080" s="2"/>
      <c r="J5080" s="2"/>
    </row>
    <row r="5081" spans="1:10" x14ac:dyDescent="0.35">
      <c r="A5081" s="2" t="s">
        <v>2499</v>
      </c>
      <c r="B5081" s="2" t="s">
        <v>2500</v>
      </c>
      <c r="C5081" s="2" t="s">
        <v>62</v>
      </c>
      <c r="D5081" s="2" t="s">
        <v>2566</v>
      </c>
      <c r="E5081" s="2" t="s">
        <v>1283</v>
      </c>
      <c r="F5081" s="2" t="s">
        <v>65</v>
      </c>
      <c r="G5081" s="2"/>
      <c r="H5081" s="2"/>
      <c r="I5081" s="2"/>
      <c r="J5081" s="2"/>
    </row>
    <row r="5082" spans="1:10" x14ac:dyDescent="0.35">
      <c r="A5082" s="2" t="s">
        <v>2499</v>
      </c>
      <c r="B5082" s="2" t="s">
        <v>2500</v>
      </c>
      <c r="C5082" s="2" t="s">
        <v>24</v>
      </c>
      <c r="D5082" s="2" t="s">
        <v>2567</v>
      </c>
      <c r="E5082" s="2" t="s">
        <v>31</v>
      </c>
      <c r="F5082" s="2" t="s">
        <v>32</v>
      </c>
      <c r="G5082" s="2"/>
      <c r="H5082" s="2"/>
      <c r="I5082" s="2"/>
      <c r="J5082" s="2"/>
    </row>
    <row r="5083" spans="1:10" x14ac:dyDescent="0.35">
      <c r="A5083" s="2" t="s">
        <v>2499</v>
      </c>
      <c r="B5083" s="2" t="s">
        <v>2500</v>
      </c>
      <c r="C5083" s="2" t="s">
        <v>24</v>
      </c>
      <c r="D5083" s="2" t="s">
        <v>2567</v>
      </c>
      <c r="E5083" s="2" t="s">
        <v>200</v>
      </c>
      <c r="F5083" s="2" t="s">
        <v>201</v>
      </c>
      <c r="G5083" s="2"/>
      <c r="H5083" s="2"/>
      <c r="I5083" s="2"/>
      <c r="J5083" s="2"/>
    </row>
    <row r="5084" spans="1:10" x14ac:dyDescent="0.35">
      <c r="A5084" s="2" t="s">
        <v>2499</v>
      </c>
      <c r="B5084" s="2" t="s">
        <v>2500</v>
      </c>
      <c r="C5084" s="2" t="s">
        <v>24</v>
      </c>
      <c r="D5084" s="2" t="s">
        <v>2567</v>
      </c>
      <c r="E5084" s="2" t="s">
        <v>188</v>
      </c>
      <c r="F5084" s="2" t="s">
        <v>189</v>
      </c>
      <c r="G5084" s="2"/>
      <c r="H5084" s="2"/>
      <c r="I5084" s="2"/>
      <c r="J5084" s="2"/>
    </row>
    <row r="5085" spans="1:10" x14ac:dyDescent="0.35">
      <c r="A5085" s="2" t="s">
        <v>2499</v>
      </c>
      <c r="B5085" s="2" t="s">
        <v>2500</v>
      </c>
      <c r="C5085" s="2" t="s">
        <v>24</v>
      </c>
      <c r="D5085" s="2" t="s">
        <v>2568</v>
      </c>
      <c r="E5085" s="2" t="s">
        <v>485</v>
      </c>
      <c r="F5085" s="2" t="s">
        <v>15</v>
      </c>
      <c r="G5085" s="2" t="s">
        <v>46</v>
      </c>
      <c r="H5085" s="2" t="s">
        <v>2569</v>
      </c>
      <c r="I5085" s="2"/>
      <c r="J5085" s="2"/>
    </row>
    <row r="5086" spans="1:10" x14ac:dyDescent="0.35">
      <c r="A5086" s="2" t="s">
        <v>2499</v>
      </c>
      <c r="B5086" s="2" t="s">
        <v>2500</v>
      </c>
      <c r="C5086" s="2" t="s">
        <v>24</v>
      </c>
      <c r="D5086" s="2" t="s">
        <v>2568</v>
      </c>
      <c r="E5086" s="2" t="s">
        <v>74</v>
      </c>
      <c r="F5086" s="2" t="s">
        <v>75</v>
      </c>
      <c r="G5086" s="2" t="s">
        <v>46</v>
      </c>
      <c r="H5086" s="2" t="s">
        <v>2569</v>
      </c>
      <c r="I5086" s="2"/>
      <c r="J5086" s="2"/>
    </row>
    <row r="5087" spans="1:10" x14ac:dyDescent="0.35">
      <c r="A5087" s="2" t="s">
        <v>2499</v>
      </c>
      <c r="B5087" s="2" t="s">
        <v>2500</v>
      </c>
      <c r="C5087" s="2" t="s">
        <v>24</v>
      </c>
      <c r="D5087" s="2" t="s">
        <v>2568</v>
      </c>
      <c r="E5087" s="2" t="s">
        <v>563</v>
      </c>
      <c r="F5087" s="2" t="s">
        <v>45</v>
      </c>
      <c r="G5087" s="2" t="s">
        <v>46</v>
      </c>
      <c r="H5087" s="2" t="s">
        <v>2569</v>
      </c>
      <c r="I5087" s="2"/>
      <c r="J5087" s="2"/>
    </row>
    <row r="5088" spans="1:10" x14ac:dyDescent="0.35">
      <c r="A5088" s="2" t="s">
        <v>2499</v>
      </c>
      <c r="B5088" s="2" t="s">
        <v>2500</v>
      </c>
      <c r="C5088" s="2" t="s">
        <v>24</v>
      </c>
      <c r="D5088" s="2" t="s">
        <v>2568</v>
      </c>
      <c r="E5088" s="2" t="s">
        <v>77</v>
      </c>
      <c r="F5088" s="2" t="s">
        <v>78</v>
      </c>
      <c r="G5088" s="2" t="s">
        <v>46</v>
      </c>
      <c r="H5088" s="2" t="s">
        <v>2569</v>
      </c>
      <c r="I5088" s="2"/>
      <c r="J5088" s="2"/>
    </row>
    <row r="5089" spans="1:10" x14ac:dyDescent="0.35">
      <c r="A5089" s="2" t="s">
        <v>2499</v>
      </c>
      <c r="B5089" s="2" t="s">
        <v>2500</v>
      </c>
      <c r="C5089" s="2" t="s">
        <v>24</v>
      </c>
      <c r="D5089" s="2" t="s">
        <v>2568</v>
      </c>
      <c r="E5089" s="2" t="s">
        <v>1283</v>
      </c>
      <c r="F5089" s="2" t="s">
        <v>65</v>
      </c>
      <c r="G5089" s="2" t="s">
        <v>46</v>
      </c>
      <c r="H5089" s="2" t="s">
        <v>2569</v>
      </c>
      <c r="I5089" s="2"/>
      <c r="J5089" s="2"/>
    </row>
    <row r="5090" spans="1:10" x14ac:dyDescent="0.35">
      <c r="A5090" s="2" t="s">
        <v>2499</v>
      </c>
      <c r="B5090" s="2" t="s">
        <v>2500</v>
      </c>
      <c r="C5090" s="2" t="s">
        <v>12</v>
      </c>
      <c r="D5090" s="2" t="s">
        <v>2570</v>
      </c>
      <c r="E5090" s="2" t="s">
        <v>438</v>
      </c>
      <c r="F5090" s="2" t="s">
        <v>19</v>
      </c>
      <c r="G5090" s="2" t="s">
        <v>20</v>
      </c>
      <c r="H5090" s="2" t="s">
        <v>2571</v>
      </c>
      <c r="I5090" s="2"/>
      <c r="J5090" s="2"/>
    </row>
    <row r="5091" spans="1:10" x14ac:dyDescent="0.35">
      <c r="A5091" s="2" t="s">
        <v>2499</v>
      </c>
      <c r="B5091" s="2" t="s">
        <v>2500</v>
      </c>
      <c r="C5091" s="2" t="s">
        <v>12</v>
      </c>
      <c r="D5091" s="2" t="s">
        <v>2570</v>
      </c>
      <c r="E5091" s="2" t="s">
        <v>1283</v>
      </c>
      <c r="F5091" s="2" t="s">
        <v>65</v>
      </c>
      <c r="G5091" s="2"/>
      <c r="H5091" s="2"/>
      <c r="I5091" s="2"/>
      <c r="J5091" s="2"/>
    </row>
    <row r="5092" spans="1:10" x14ac:dyDescent="0.35">
      <c r="A5092" s="2" t="s">
        <v>2499</v>
      </c>
      <c r="B5092" s="2" t="s">
        <v>2500</v>
      </c>
      <c r="C5092" s="2" t="s">
        <v>24</v>
      </c>
      <c r="D5092" s="2" t="s">
        <v>2572</v>
      </c>
      <c r="E5092" s="2" t="s">
        <v>14</v>
      </c>
      <c r="F5092" s="2" t="s">
        <v>15</v>
      </c>
      <c r="G5092" s="2"/>
      <c r="H5092" s="2"/>
      <c r="I5092" s="2"/>
      <c r="J5092" s="2"/>
    </row>
    <row r="5093" spans="1:10" x14ac:dyDescent="0.35">
      <c r="A5093" s="2" t="s">
        <v>2499</v>
      </c>
      <c r="B5093" s="2" t="s">
        <v>2500</v>
      </c>
      <c r="C5093" s="2" t="s">
        <v>24</v>
      </c>
      <c r="D5093" s="2" t="s">
        <v>2572</v>
      </c>
      <c r="E5093" s="2" t="s">
        <v>89</v>
      </c>
      <c r="F5093" s="2" t="s">
        <v>45</v>
      </c>
      <c r="G5093" s="2"/>
      <c r="H5093" s="2"/>
      <c r="I5093" s="2"/>
      <c r="J5093" s="2"/>
    </row>
    <row r="5094" spans="1:10" x14ac:dyDescent="0.35">
      <c r="A5094" s="2" t="s">
        <v>2499</v>
      </c>
      <c r="B5094" s="2" t="s">
        <v>2500</v>
      </c>
      <c r="C5094" s="2" t="s">
        <v>24</v>
      </c>
      <c r="D5094" s="2" t="s">
        <v>2572</v>
      </c>
      <c r="E5094" s="2" t="s">
        <v>1283</v>
      </c>
      <c r="F5094" s="2" t="s">
        <v>65</v>
      </c>
      <c r="G5094" s="2"/>
      <c r="H5094" s="2"/>
      <c r="I5094" s="2"/>
      <c r="J5094" s="2"/>
    </row>
    <row r="5095" spans="1:10" x14ac:dyDescent="0.35">
      <c r="A5095" s="2" t="s">
        <v>2499</v>
      </c>
      <c r="B5095" s="2" t="s">
        <v>2500</v>
      </c>
      <c r="C5095" s="2" t="s">
        <v>12</v>
      </c>
      <c r="D5095" s="2" t="s">
        <v>2573</v>
      </c>
      <c r="E5095" s="2" t="s">
        <v>31</v>
      </c>
      <c r="F5095" s="2" t="s">
        <v>32</v>
      </c>
      <c r="G5095" s="2"/>
      <c r="H5095" s="2"/>
      <c r="I5095" s="2"/>
      <c r="J5095" s="2"/>
    </row>
    <row r="5096" spans="1:10" x14ac:dyDescent="0.35">
      <c r="A5096" s="2" t="s">
        <v>2499</v>
      </c>
      <c r="B5096" s="2" t="s">
        <v>2500</v>
      </c>
      <c r="C5096" s="2" t="s">
        <v>12</v>
      </c>
      <c r="D5096" s="2" t="s">
        <v>2573</v>
      </c>
      <c r="E5096" s="2" t="s">
        <v>1782</v>
      </c>
      <c r="F5096" s="2" t="s">
        <v>38</v>
      </c>
      <c r="G5096" s="2"/>
      <c r="H5096" s="2"/>
      <c r="I5096" s="2"/>
      <c r="J5096" s="2"/>
    </row>
    <row r="5097" spans="1:10" x14ac:dyDescent="0.35">
      <c r="A5097" s="2" t="s">
        <v>2499</v>
      </c>
      <c r="B5097" s="2" t="s">
        <v>2500</v>
      </c>
      <c r="C5097" s="2" t="s">
        <v>12</v>
      </c>
      <c r="D5097" s="2" t="s">
        <v>2573</v>
      </c>
      <c r="E5097" s="2" t="s">
        <v>438</v>
      </c>
      <c r="F5097" s="2" t="s">
        <v>19</v>
      </c>
      <c r="G5097" s="2"/>
      <c r="H5097" s="2"/>
      <c r="I5097" s="2"/>
      <c r="J5097" s="2"/>
    </row>
    <row r="5098" spans="1:10" x14ac:dyDescent="0.35">
      <c r="A5098" s="2" t="s">
        <v>2499</v>
      </c>
      <c r="B5098" s="2" t="s">
        <v>2500</v>
      </c>
      <c r="C5098" s="2" t="s">
        <v>12</v>
      </c>
      <c r="D5098" s="2" t="s">
        <v>2573</v>
      </c>
      <c r="E5098" s="2" t="s">
        <v>1021</v>
      </c>
      <c r="F5098" s="2" t="s">
        <v>122</v>
      </c>
      <c r="G5098" s="2"/>
      <c r="H5098" s="2"/>
      <c r="I5098" s="2"/>
      <c r="J5098" s="2"/>
    </row>
    <row r="5099" spans="1:10" x14ac:dyDescent="0.35">
      <c r="A5099" s="2" t="s">
        <v>2499</v>
      </c>
      <c r="B5099" s="2" t="s">
        <v>2500</v>
      </c>
      <c r="C5099" s="2" t="s">
        <v>12</v>
      </c>
      <c r="D5099" s="2" t="s">
        <v>2573</v>
      </c>
      <c r="E5099" s="2" t="s">
        <v>1283</v>
      </c>
      <c r="F5099" s="2" t="s">
        <v>65</v>
      </c>
      <c r="G5099" s="2"/>
      <c r="H5099" s="2"/>
      <c r="I5099" s="2"/>
      <c r="J5099" s="2"/>
    </row>
    <row r="5100" spans="1:10" x14ac:dyDescent="0.35">
      <c r="A5100" s="2" t="s">
        <v>2499</v>
      </c>
      <c r="B5100" s="2" t="s">
        <v>2500</v>
      </c>
      <c r="C5100" s="2" t="s">
        <v>24</v>
      </c>
      <c r="D5100" s="2" t="s">
        <v>2574</v>
      </c>
      <c r="E5100" s="2" t="s">
        <v>196</v>
      </c>
      <c r="F5100" s="2" t="s">
        <v>197</v>
      </c>
      <c r="G5100" s="2"/>
      <c r="H5100" s="2"/>
      <c r="I5100" s="2"/>
      <c r="J5100" s="2"/>
    </row>
    <row r="5101" spans="1:10" x14ac:dyDescent="0.35">
      <c r="A5101" s="2" t="s">
        <v>2499</v>
      </c>
      <c r="B5101" s="2" t="s">
        <v>2500</v>
      </c>
      <c r="C5101" s="2" t="s">
        <v>24</v>
      </c>
      <c r="D5101" s="2" t="s">
        <v>2574</v>
      </c>
      <c r="E5101" s="2" t="s">
        <v>1267</v>
      </c>
      <c r="F5101" s="2" t="s">
        <v>32</v>
      </c>
      <c r="G5101" s="2"/>
      <c r="H5101" s="2"/>
      <c r="I5101" s="2"/>
      <c r="J5101" s="2"/>
    </row>
    <row r="5102" spans="1:10" x14ac:dyDescent="0.35">
      <c r="A5102" s="2" t="s">
        <v>2499</v>
      </c>
      <c r="B5102" s="2" t="s">
        <v>2500</v>
      </c>
      <c r="C5102" s="2" t="s">
        <v>24</v>
      </c>
      <c r="D5102" s="2" t="s">
        <v>2574</v>
      </c>
      <c r="E5102" s="2" t="s">
        <v>168</v>
      </c>
      <c r="F5102" s="2" t="s">
        <v>45</v>
      </c>
      <c r="G5102" s="2" t="s">
        <v>46</v>
      </c>
      <c r="H5102" s="2" t="s">
        <v>47</v>
      </c>
      <c r="I5102" s="2"/>
      <c r="J5102" s="2"/>
    </row>
    <row r="5103" spans="1:10" x14ac:dyDescent="0.35">
      <c r="A5103" s="2" t="s">
        <v>2499</v>
      </c>
      <c r="B5103" s="2" t="s">
        <v>2500</v>
      </c>
      <c r="C5103" s="2" t="s">
        <v>24</v>
      </c>
      <c r="D5103" s="2" t="s">
        <v>2574</v>
      </c>
      <c r="E5103" s="2" t="s">
        <v>100</v>
      </c>
      <c r="F5103" s="2" t="s">
        <v>101</v>
      </c>
      <c r="G5103" s="2"/>
      <c r="H5103" s="2"/>
      <c r="I5103" s="2"/>
      <c r="J5103" s="2"/>
    </row>
    <row r="5104" spans="1:10" x14ac:dyDescent="0.35">
      <c r="A5104" s="2" t="s">
        <v>2499</v>
      </c>
      <c r="B5104" s="2" t="s">
        <v>2500</v>
      </c>
      <c r="C5104" s="2" t="s">
        <v>24</v>
      </c>
      <c r="D5104" s="2" t="s">
        <v>2574</v>
      </c>
      <c r="E5104" s="2" t="s">
        <v>188</v>
      </c>
      <c r="F5104" s="2" t="s">
        <v>189</v>
      </c>
      <c r="G5104" s="2"/>
      <c r="H5104" s="2"/>
      <c r="I5104" s="2"/>
      <c r="J5104" s="2"/>
    </row>
    <row r="5105" spans="1:10" x14ac:dyDescent="0.35">
      <c r="A5105" s="2" t="s">
        <v>2499</v>
      </c>
      <c r="B5105" s="2" t="s">
        <v>2500</v>
      </c>
      <c r="C5105" s="2" t="s">
        <v>24</v>
      </c>
      <c r="D5105" s="2" t="s">
        <v>2574</v>
      </c>
      <c r="E5105" s="2" t="s">
        <v>1982</v>
      </c>
      <c r="F5105" s="2" t="s">
        <v>847</v>
      </c>
      <c r="G5105" s="2" t="s">
        <v>46</v>
      </c>
      <c r="H5105" s="2" t="s">
        <v>47</v>
      </c>
      <c r="I5105" s="2"/>
      <c r="J5105" s="2"/>
    </row>
    <row r="5106" spans="1:10" x14ac:dyDescent="0.35">
      <c r="A5106" s="2" t="s">
        <v>2499</v>
      </c>
      <c r="B5106" s="2" t="s">
        <v>2500</v>
      </c>
      <c r="C5106" s="2" t="s">
        <v>12</v>
      </c>
      <c r="D5106" s="2" t="s">
        <v>2575</v>
      </c>
      <c r="E5106" s="2" t="s">
        <v>438</v>
      </c>
      <c r="F5106" s="2" t="s">
        <v>19</v>
      </c>
      <c r="G5106" s="2" t="s">
        <v>20</v>
      </c>
      <c r="H5106" s="2" t="s">
        <v>2576</v>
      </c>
      <c r="I5106" s="2"/>
      <c r="J5106" s="2"/>
    </row>
    <row r="5107" spans="1:10" s="18" customFormat="1" x14ac:dyDescent="0.35">
      <c r="A5107" s="2" t="s">
        <v>2499</v>
      </c>
      <c r="B5107" s="2" t="s">
        <v>2500</v>
      </c>
      <c r="C5107" s="2" t="s">
        <v>12</v>
      </c>
      <c r="D5107" s="2" t="s">
        <v>2577</v>
      </c>
      <c r="E5107" s="2" t="s">
        <v>1283</v>
      </c>
      <c r="F5107" s="2" t="s">
        <v>65</v>
      </c>
      <c r="G5107" s="2"/>
      <c r="H5107" s="2"/>
      <c r="I5107" s="2"/>
      <c r="J5107" s="2"/>
    </row>
    <row r="5108" spans="1:10" s="21" customFormat="1" x14ac:dyDescent="0.35">
      <c r="A5108" s="2" t="s">
        <v>2499</v>
      </c>
      <c r="B5108" s="2" t="s">
        <v>2500</v>
      </c>
      <c r="C5108" s="2" t="s">
        <v>12</v>
      </c>
      <c r="D5108" s="2" t="s">
        <v>2578</v>
      </c>
      <c r="E5108" s="2" t="s">
        <v>89</v>
      </c>
      <c r="F5108" s="2" t="s">
        <v>45</v>
      </c>
      <c r="G5108" s="2"/>
      <c r="H5108" s="2"/>
      <c r="I5108" s="2"/>
      <c r="J5108" s="2"/>
    </row>
    <row r="5109" spans="1:10" s="21" customFormat="1" x14ac:dyDescent="0.35">
      <c r="A5109" s="2" t="s">
        <v>2499</v>
      </c>
      <c r="B5109" s="2" t="s">
        <v>2500</v>
      </c>
      <c r="C5109" s="2" t="s">
        <v>12</v>
      </c>
      <c r="D5109" s="2" t="s">
        <v>2578</v>
      </c>
      <c r="E5109" s="2" t="s">
        <v>1283</v>
      </c>
      <c r="F5109" s="2" t="s">
        <v>65</v>
      </c>
      <c r="G5109" s="2"/>
      <c r="H5109" s="2"/>
      <c r="I5109" s="2"/>
      <c r="J5109" s="2"/>
    </row>
    <row r="5110" spans="1:10" x14ac:dyDescent="0.35">
      <c r="A5110" s="2" t="s">
        <v>2499</v>
      </c>
      <c r="B5110" s="2" t="s">
        <v>2500</v>
      </c>
      <c r="C5110" s="2" t="s">
        <v>62</v>
      </c>
      <c r="D5110" s="2" t="s">
        <v>2579</v>
      </c>
      <c r="E5110" s="2" t="s">
        <v>91</v>
      </c>
      <c r="F5110" s="2" t="s">
        <v>19</v>
      </c>
      <c r="G5110" s="2"/>
      <c r="H5110" s="2"/>
      <c r="I5110" s="2"/>
      <c r="J5110" s="2"/>
    </row>
    <row r="5111" spans="1:10" x14ac:dyDescent="0.35">
      <c r="A5111" s="2" t="s">
        <v>2499</v>
      </c>
      <c r="B5111" s="2" t="s">
        <v>2500</v>
      </c>
      <c r="C5111" s="2" t="s">
        <v>62</v>
      </c>
      <c r="D5111" s="2" t="s">
        <v>2579</v>
      </c>
      <c r="E5111" s="2" t="s">
        <v>1758</v>
      </c>
      <c r="F5111" s="2" t="s">
        <v>40</v>
      </c>
      <c r="G5111" s="2"/>
      <c r="H5111" s="2"/>
      <c r="I5111" s="2"/>
      <c r="J5111" s="2"/>
    </row>
    <row r="5112" spans="1:10" x14ac:dyDescent="0.35">
      <c r="A5112" s="2" t="s">
        <v>2499</v>
      </c>
      <c r="B5112" s="2" t="s">
        <v>2500</v>
      </c>
      <c r="C5112" s="2" t="s">
        <v>62</v>
      </c>
      <c r="D5112" s="2" t="s">
        <v>2579</v>
      </c>
      <c r="E5112" s="2" t="s">
        <v>188</v>
      </c>
      <c r="F5112" s="2" t="s">
        <v>189</v>
      </c>
      <c r="G5112" s="2"/>
      <c r="H5112" s="2"/>
      <c r="I5112" s="2"/>
      <c r="J5112" s="2"/>
    </row>
    <row r="5113" spans="1:10" x14ac:dyDescent="0.35">
      <c r="A5113" s="2" t="s">
        <v>2499</v>
      </c>
      <c r="B5113" s="2" t="s">
        <v>2500</v>
      </c>
      <c r="C5113" s="2" t="s">
        <v>62</v>
      </c>
      <c r="D5113" s="2" t="s">
        <v>2579</v>
      </c>
      <c r="E5113" s="2" t="s">
        <v>127</v>
      </c>
      <c r="F5113" s="2" t="s">
        <v>107</v>
      </c>
      <c r="G5113" s="2"/>
      <c r="H5113" s="2"/>
      <c r="I5113" s="2"/>
      <c r="J5113" s="2"/>
    </row>
    <row r="5114" spans="1:10" x14ac:dyDescent="0.35">
      <c r="A5114" s="2" t="s">
        <v>2499</v>
      </c>
      <c r="B5114" s="2" t="s">
        <v>2500</v>
      </c>
      <c r="C5114" s="2" t="s">
        <v>24</v>
      </c>
      <c r="D5114" s="2" t="s">
        <v>2580</v>
      </c>
      <c r="E5114" s="2" t="s">
        <v>14</v>
      </c>
      <c r="F5114" s="2" t="s">
        <v>15</v>
      </c>
      <c r="G5114" s="2"/>
      <c r="H5114" s="2"/>
      <c r="I5114" s="2"/>
      <c r="J5114" s="2"/>
    </row>
    <row r="5115" spans="1:10" x14ac:dyDescent="0.35">
      <c r="A5115" s="2" t="s">
        <v>2499</v>
      </c>
      <c r="B5115" s="2" t="s">
        <v>2500</v>
      </c>
      <c r="C5115" s="2" t="s">
        <v>24</v>
      </c>
      <c r="D5115" s="2" t="s">
        <v>2580</v>
      </c>
      <c r="E5115" s="2" t="s">
        <v>438</v>
      </c>
      <c r="F5115" s="2" t="s">
        <v>19</v>
      </c>
      <c r="G5115" s="2" t="s">
        <v>20</v>
      </c>
      <c r="H5115" s="2" t="s">
        <v>2576</v>
      </c>
      <c r="I5115" s="2"/>
      <c r="J5115" s="2"/>
    </row>
    <row r="5116" spans="1:10" x14ac:dyDescent="0.35">
      <c r="A5116" s="2" t="s">
        <v>2499</v>
      </c>
      <c r="B5116" s="2" t="s">
        <v>2500</v>
      </c>
      <c r="C5116" s="2" t="s">
        <v>24</v>
      </c>
      <c r="D5116" s="2" t="s">
        <v>2580</v>
      </c>
      <c r="E5116" s="2" t="s">
        <v>77</v>
      </c>
      <c r="F5116" s="2" t="s">
        <v>78</v>
      </c>
      <c r="G5116" s="2" t="s">
        <v>20</v>
      </c>
      <c r="H5116" s="2" t="s">
        <v>2581</v>
      </c>
      <c r="I5116" s="2"/>
      <c r="J5116" s="2"/>
    </row>
    <row r="5117" spans="1:10" x14ac:dyDescent="0.35">
      <c r="A5117" s="2" t="s">
        <v>2499</v>
      </c>
      <c r="B5117" s="2" t="s">
        <v>2500</v>
      </c>
      <c r="C5117" s="2" t="s">
        <v>24</v>
      </c>
      <c r="D5117" s="2" t="s">
        <v>2582</v>
      </c>
      <c r="E5117" s="2" t="s">
        <v>196</v>
      </c>
      <c r="F5117" s="2" t="s">
        <v>2583</v>
      </c>
      <c r="G5117" s="2"/>
      <c r="H5117" s="2"/>
      <c r="I5117" s="2"/>
      <c r="J5117" s="2"/>
    </row>
    <row r="5118" spans="1:10" x14ac:dyDescent="0.35">
      <c r="A5118" s="2" t="s">
        <v>2499</v>
      </c>
      <c r="B5118" s="2" t="s">
        <v>2500</v>
      </c>
      <c r="C5118" s="2" t="s">
        <v>24</v>
      </c>
      <c r="D5118" s="2" t="s">
        <v>2582</v>
      </c>
      <c r="E5118" s="2" t="s">
        <v>120</v>
      </c>
      <c r="F5118" s="2" t="s">
        <v>32</v>
      </c>
      <c r="G5118" s="2" t="s">
        <v>20</v>
      </c>
      <c r="H5118" s="2" t="s">
        <v>2584</v>
      </c>
      <c r="I5118" s="2"/>
      <c r="J5118" s="2"/>
    </row>
    <row r="5119" spans="1:10" x14ac:dyDescent="0.35">
      <c r="A5119" s="2" t="s">
        <v>2499</v>
      </c>
      <c r="B5119" s="2" t="s">
        <v>2500</v>
      </c>
      <c r="C5119" s="2" t="s">
        <v>24</v>
      </c>
      <c r="D5119" s="2" t="s">
        <v>2582</v>
      </c>
      <c r="E5119" s="2" t="s">
        <v>534</v>
      </c>
      <c r="F5119" s="2" t="s">
        <v>38</v>
      </c>
      <c r="G5119" s="2" t="s">
        <v>20</v>
      </c>
      <c r="H5119" s="2" t="s">
        <v>2584</v>
      </c>
      <c r="I5119" s="2"/>
      <c r="J5119" s="2"/>
    </row>
    <row r="5120" spans="1:10" x14ac:dyDescent="0.35">
      <c r="A5120" s="2" t="s">
        <v>2499</v>
      </c>
      <c r="B5120" s="2" t="s">
        <v>2500</v>
      </c>
      <c r="C5120" s="2" t="s">
        <v>24</v>
      </c>
      <c r="D5120" s="2" t="s">
        <v>2582</v>
      </c>
      <c r="E5120" s="2" t="s">
        <v>121</v>
      </c>
      <c r="F5120" s="2" t="s">
        <v>122</v>
      </c>
      <c r="G5120" s="2" t="s">
        <v>20</v>
      </c>
      <c r="H5120" s="2" t="s">
        <v>2584</v>
      </c>
      <c r="I5120" s="2"/>
      <c r="J5120" s="2"/>
    </row>
    <row r="5121" spans="1:10" x14ac:dyDescent="0.35">
      <c r="A5121" s="2" t="s">
        <v>2499</v>
      </c>
      <c r="B5121" s="2" t="s">
        <v>2500</v>
      </c>
      <c r="C5121" s="2" t="s">
        <v>24</v>
      </c>
      <c r="D5121" s="2" t="s">
        <v>2582</v>
      </c>
      <c r="E5121" s="2" t="s">
        <v>156</v>
      </c>
      <c r="F5121" s="2" t="s">
        <v>45</v>
      </c>
      <c r="G5121" s="2" t="s">
        <v>20</v>
      </c>
      <c r="H5121" s="2" t="s">
        <v>2584</v>
      </c>
      <c r="I5121" s="2"/>
      <c r="J5121" s="2"/>
    </row>
    <row r="5122" spans="1:10" x14ac:dyDescent="0.35">
      <c r="A5122" s="2" t="s">
        <v>2499</v>
      </c>
      <c r="B5122" s="2" t="s">
        <v>2500</v>
      </c>
      <c r="C5122" s="2" t="s">
        <v>24</v>
      </c>
      <c r="D5122" s="2" t="s">
        <v>2582</v>
      </c>
      <c r="E5122" s="2" t="s">
        <v>100</v>
      </c>
      <c r="F5122" s="2" t="s">
        <v>101</v>
      </c>
      <c r="G5122" s="2" t="s">
        <v>20</v>
      </c>
      <c r="H5122" s="2" t="s">
        <v>2584</v>
      </c>
      <c r="I5122" s="2"/>
      <c r="J5122" s="2"/>
    </row>
    <row r="5123" spans="1:10" x14ac:dyDescent="0.35">
      <c r="A5123" s="2" t="s">
        <v>2499</v>
      </c>
      <c r="B5123" s="2" t="s">
        <v>2500</v>
      </c>
      <c r="C5123" s="2" t="s">
        <v>24</v>
      </c>
      <c r="D5123" s="2" t="s">
        <v>2582</v>
      </c>
      <c r="E5123" s="2" t="s">
        <v>149</v>
      </c>
      <c r="F5123" s="2" t="s">
        <v>150</v>
      </c>
      <c r="G5123" s="2" t="s">
        <v>20</v>
      </c>
      <c r="H5123" s="2" t="s">
        <v>2584</v>
      </c>
      <c r="I5123" s="2"/>
      <c r="J5123" s="2"/>
    </row>
    <row r="5124" spans="1:10" x14ac:dyDescent="0.35">
      <c r="A5124" s="2" t="s">
        <v>2499</v>
      </c>
      <c r="B5124" s="2" t="s">
        <v>2500</v>
      </c>
      <c r="C5124" s="2" t="s">
        <v>24</v>
      </c>
      <c r="D5124" s="2" t="s">
        <v>2582</v>
      </c>
      <c r="E5124" s="2" t="s">
        <v>1283</v>
      </c>
      <c r="F5124" s="2" t="s">
        <v>65</v>
      </c>
      <c r="G5124" s="2" t="s">
        <v>20</v>
      </c>
      <c r="H5124" s="2" t="s">
        <v>2584</v>
      </c>
      <c r="I5124" s="2"/>
      <c r="J5124" s="2"/>
    </row>
    <row r="5125" spans="1:10" x14ac:dyDescent="0.35">
      <c r="A5125" s="2" t="s">
        <v>2499</v>
      </c>
      <c r="B5125" s="2" t="s">
        <v>2500</v>
      </c>
      <c r="C5125" s="2" t="s">
        <v>57</v>
      </c>
      <c r="D5125" s="2" t="s">
        <v>2585</v>
      </c>
      <c r="E5125" s="2" t="s">
        <v>196</v>
      </c>
      <c r="F5125" s="2" t="s">
        <v>197</v>
      </c>
      <c r="G5125" s="2"/>
      <c r="H5125" s="2"/>
      <c r="I5125" s="2"/>
      <c r="J5125" s="2"/>
    </row>
    <row r="5126" spans="1:10" x14ac:dyDescent="0.35">
      <c r="A5126" s="2" t="s">
        <v>2499</v>
      </c>
      <c r="B5126" s="2" t="s">
        <v>2500</v>
      </c>
      <c r="C5126" s="2" t="s">
        <v>57</v>
      </c>
      <c r="D5126" s="2" t="s">
        <v>2585</v>
      </c>
      <c r="E5126" s="2" t="s">
        <v>1775</v>
      </c>
      <c r="F5126" s="2" t="s">
        <v>203</v>
      </c>
      <c r="G5126" s="2"/>
      <c r="H5126" s="2"/>
      <c r="I5126" s="2"/>
      <c r="J5126" s="2"/>
    </row>
    <row r="5127" spans="1:10" x14ac:dyDescent="0.35">
      <c r="A5127" s="2" t="s">
        <v>2499</v>
      </c>
      <c r="B5127" s="2" t="s">
        <v>2500</v>
      </c>
      <c r="C5127" s="2" t="s">
        <v>57</v>
      </c>
      <c r="D5127" s="2" t="s">
        <v>2585</v>
      </c>
      <c r="E5127" s="2" t="s">
        <v>31</v>
      </c>
      <c r="F5127" s="2" t="s">
        <v>32</v>
      </c>
      <c r="G5127" s="2"/>
      <c r="H5127" s="2"/>
      <c r="I5127" s="2"/>
      <c r="J5127" s="2"/>
    </row>
    <row r="5128" spans="1:10" x14ac:dyDescent="0.35">
      <c r="A5128" s="2" t="s">
        <v>2499</v>
      </c>
      <c r="B5128" s="2" t="s">
        <v>2500</v>
      </c>
      <c r="C5128" s="2" t="s">
        <v>57</v>
      </c>
      <c r="D5128" s="2" t="s">
        <v>2585</v>
      </c>
      <c r="E5128" s="2" t="s">
        <v>212</v>
      </c>
      <c r="F5128" s="2" t="s">
        <v>78</v>
      </c>
      <c r="G5128" s="2"/>
      <c r="H5128" s="2"/>
      <c r="I5128" s="2"/>
      <c r="J5128" s="2"/>
    </row>
    <row r="5129" spans="1:10" x14ac:dyDescent="0.35">
      <c r="A5129" s="2" t="s">
        <v>2499</v>
      </c>
      <c r="B5129" s="2" t="s">
        <v>2500</v>
      </c>
      <c r="C5129" s="2" t="s">
        <v>57</v>
      </c>
      <c r="D5129" s="2" t="s">
        <v>2585</v>
      </c>
      <c r="E5129" s="2" t="s">
        <v>438</v>
      </c>
      <c r="F5129" s="2" t="s">
        <v>19</v>
      </c>
      <c r="G5129" s="2" t="s">
        <v>20</v>
      </c>
      <c r="H5129" s="2" t="s">
        <v>2586</v>
      </c>
      <c r="I5129" s="2"/>
      <c r="J5129" s="2"/>
    </row>
    <row r="5130" spans="1:10" x14ac:dyDescent="0.35">
      <c r="A5130" s="2" t="s">
        <v>2499</v>
      </c>
      <c r="B5130" s="2" t="s">
        <v>2500</v>
      </c>
      <c r="C5130" s="2" t="s">
        <v>57</v>
      </c>
      <c r="D5130" s="2" t="s">
        <v>2585</v>
      </c>
      <c r="E5130" s="2" t="s">
        <v>2587</v>
      </c>
      <c r="F5130" s="2" t="s">
        <v>45</v>
      </c>
      <c r="G5130" s="2"/>
      <c r="H5130" s="2"/>
      <c r="I5130" s="2"/>
      <c r="J5130" s="2"/>
    </row>
    <row r="5131" spans="1:10" x14ac:dyDescent="0.35">
      <c r="A5131" s="2" t="s">
        <v>2499</v>
      </c>
      <c r="B5131" s="2" t="s">
        <v>2500</v>
      </c>
      <c r="C5131" s="2" t="s">
        <v>57</v>
      </c>
      <c r="D5131" s="2" t="s">
        <v>2585</v>
      </c>
      <c r="E5131" s="2" t="s">
        <v>100</v>
      </c>
      <c r="F5131" s="2" t="s">
        <v>101</v>
      </c>
      <c r="G5131" s="2"/>
      <c r="H5131" s="2"/>
      <c r="I5131" s="2"/>
      <c r="J5131" s="2"/>
    </row>
    <row r="5132" spans="1:10" x14ac:dyDescent="0.35">
      <c r="A5132" s="2" t="s">
        <v>2499</v>
      </c>
      <c r="B5132" s="2" t="s">
        <v>2500</v>
      </c>
      <c r="C5132" s="2" t="s">
        <v>57</v>
      </c>
      <c r="D5132" s="2" t="s">
        <v>2585</v>
      </c>
      <c r="E5132" s="2" t="s">
        <v>188</v>
      </c>
      <c r="F5132" s="2" t="s">
        <v>189</v>
      </c>
      <c r="G5132" s="2"/>
      <c r="H5132" s="2"/>
      <c r="I5132" s="2"/>
      <c r="J5132" s="2"/>
    </row>
    <row r="5133" spans="1:10" x14ac:dyDescent="0.35">
      <c r="A5133" s="2" t="s">
        <v>2499</v>
      </c>
      <c r="B5133" s="2" t="s">
        <v>2500</v>
      </c>
      <c r="C5133" s="2" t="s">
        <v>57</v>
      </c>
      <c r="D5133" s="2" t="s">
        <v>2585</v>
      </c>
      <c r="E5133" s="2" t="s">
        <v>149</v>
      </c>
      <c r="F5133" s="2" t="s">
        <v>150</v>
      </c>
      <c r="G5133" s="2" t="s">
        <v>20</v>
      </c>
      <c r="H5133" s="2" t="s">
        <v>2588</v>
      </c>
      <c r="I5133" s="2"/>
      <c r="J5133" s="2"/>
    </row>
    <row r="5134" spans="1:10" x14ac:dyDescent="0.35">
      <c r="A5134" s="2" t="s">
        <v>2499</v>
      </c>
      <c r="B5134" s="2" t="s">
        <v>2500</v>
      </c>
      <c r="C5134" s="2" t="s">
        <v>12</v>
      </c>
      <c r="D5134" s="2" t="s">
        <v>2589</v>
      </c>
      <c r="E5134" s="2" t="s">
        <v>438</v>
      </c>
      <c r="F5134" s="2" t="s">
        <v>19</v>
      </c>
      <c r="G5134" s="2" t="s">
        <v>20</v>
      </c>
      <c r="H5134" s="2" t="s">
        <v>1378</v>
      </c>
      <c r="I5134" s="2"/>
      <c r="J5134" s="2"/>
    </row>
    <row r="5135" spans="1:10" x14ac:dyDescent="0.35">
      <c r="A5135" s="2" t="s">
        <v>2499</v>
      </c>
      <c r="B5135" s="2" t="s">
        <v>2500</v>
      </c>
      <c r="C5135" s="2" t="s">
        <v>12</v>
      </c>
      <c r="D5135" s="2" t="s">
        <v>2589</v>
      </c>
      <c r="E5135" s="2" t="s">
        <v>1283</v>
      </c>
      <c r="F5135" s="2" t="s">
        <v>65</v>
      </c>
      <c r="G5135" s="2"/>
      <c r="H5135" s="2"/>
      <c r="I5135" s="2"/>
      <c r="J5135" s="2"/>
    </row>
    <row r="5136" spans="1:10" x14ac:dyDescent="0.35">
      <c r="A5136" s="2" t="s">
        <v>2499</v>
      </c>
      <c r="B5136" s="2" t="s">
        <v>2500</v>
      </c>
      <c r="C5136" s="2" t="s">
        <v>436</v>
      </c>
      <c r="D5136" s="2" t="s">
        <v>2590</v>
      </c>
      <c r="E5136" s="2" t="s">
        <v>14</v>
      </c>
      <c r="F5136" s="2" t="s">
        <v>15</v>
      </c>
      <c r="G5136" s="2" t="s">
        <v>46</v>
      </c>
      <c r="H5136" s="2" t="s">
        <v>2569</v>
      </c>
      <c r="I5136" s="2"/>
      <c r="J5136" s="2"/>
    </row>
    <row r="5137" spans="1:10" x14ac:dyDescent="0.35">
      <c r="A5137" s="2" t="s">
        <v>2499</v>
      </c>
      <c r="B5137" s="2" t="s">
        <v>2500</v>
      </c>
      <c r="C5137" s="2" t="s">
        <v>436</v>
      </c>
      <c r="D5137" s="2" t="s">
        <v>2590</v>
      </c>
      <c r="E5137" s="2" t="s">
        <v>144</v>
      </c>
      <c r="F5137" s="2" t="s">
        <v>50</v>
      </c>
      <c r="G5137" s="2" t="s">
        <v>46</v>
      </c>
      <c r="H5137" s="2" t="s">
        <v>2569</v>
      </c>
      <c r="I5137" s="2"/>
      <c r="J5137" s="2"/>
    </row>
    <row r="5138" spans="1:10" x14ac:dyDescent="0.35">
      <c r="A5138" s="2" t="s">
        <v>2499</v>
      </c>
      <c r="B5138" s="2" t="s">
        <v>2500</v>
      </c>
      <c r="C5138" s="2" t="s">
        <v>436</v>
      </c>
      <c r="D5138" s="2" t="s">
        <v>2590</v>
      </c>
      <c r="E5138" s="2" t="s">
        <v>2591</v>
      </c>
      <c r="F5138" s="2" t="s">
        <v>38</v>
      </c>
      <c r="G5138" s="2" t="s">
        <v>46</v>
      </c>
      <c r="H5138" s="2" t="s">
        <v>2569</v>
      </c>
      <c r="I5138" s="2"/>
      <c r="J5138" s="2"/>
    </row>
    <row r="5139" spans="1:10" x14ac:dyDescent="0.35">
      <c r="A5139" s="2" t="s">
        <v>2499</v>
      </c>
      <c r="B5139" s="2" t="s">
        <v>2500</v>
      </c>
      <c r="C5139" s="2" t="s">
        <v>12</v>
      </c>
      <c r="D5139" s="2" t="s">
        <v>2592</v>
      </c>
      <c r="E5139" s="2" t="s">
        <v>438</v>
      </c>
      <c r="F5139" s="2" t="s">
        <v>19</v>
      </c>
      <c r="G5139" s="2" t="s">
        <v>46</v>
      </c>
      <c r="H5139" s="2" t="s">
        <v>675</v>
      </c>
      <c r="I5139" s="2"/>
      <c r="J5139" s="2"/>
    </row>
    <row r="5140" spans="1:10" x14ac:dyDescent="0.35">
      <c r="A5140" s="2" t="s">
        <v>2499</v>
      </c>
      <c r="B5140" s="2" t="s">
        <v>2500</v>
      </c>
      <c r="C5140" s="2" t="s">
        <v>62</v>
      </c>
      <c r="D5140" s="2" t="s">
        <v>2593</v>
      </c>
      <c r="E5140" s="2" t="s">
        <v>438</v>
      </c>
      <c r="F5140" s="2" t="s">
        <v>19</v>
      </c>
      <c r="G5140" s="2" t="s">
        <v>20</v>
      </c>
      <c r="H5140" s="2" t="s">
        <v>1378</v>
      </c>
      <c r="I5140" s="2"/>
      <c r="J5140" s="2"/>
    </row>
    <row r="5141" spans="1:10" s="21" customFormat="1" x14ac:dyDescent="0.35">
      <c r="A5141" s="2" t="s">
        <v>2499</v>
      </c>
      <c r="B5141" s="2" t="s">
        <v>2594</v>
      </c>
      <c r="C5141" s="2" t="s">
        <v>24</v>
      </c>
      <c r="D5141" s="2" t="s">
        <v>2595</v>
      </c>
      <c r="E5141" s="2" t="s">
        <v>14</v>
      </c>
      <c r="F5141" s="2" t="s">
        <v>15</v>
      </c>
      <c r="G5141" s="2"/>
      <c r="H5141" s="2"/>
      <c r="I5141" s="2"/>
      <c r="J5141" s="2"/>
    </row>
    <row r="5142" spans="1:10" s="21" customFormat="1" x14ac:dyDescent="0.35">
      <c r="A5142" s="2" t="s">
        <v>2499</v>
      </c>
      <c r="B5142" s="2" t="s">
        <v>2594</v>
      </c>
      <c r="C5142" s="2" t="s">
        <v>24</v>
      </c>
      <c r="D5142" s="2" t="s">
        <v>2595</v>
      </c>
      <c r="E5142" s="2" t="s">
        <v>144</v>
      </c>
      <c r="F5142" s="2" t="s">
        <v>50</v>
      </c>
      <c r="G5142" s="2"/>
      <c r="H5142" s="2"/>
      <c r="I5142" s="2"/>
      <c r="J5142" s="2"/>
    </row>
    <row r="5143" spans="1:10" s="21" customFormat="1" x14ac:dyDescent="0.35">
      <c r="A5143" s="2" t="s">
        <v>2499</v>
      </c>
      <c r="B5143" s="2" t="s">
        <v>2594</v>
      </c>
      <c r="C5143" s="2" t="s">
        <v>24</v>
      </c>
      <c r="D5143" s="2" t="s">
        <v>2595</v>
      </c>
      <c r="E5143" s="2" t="s">
        <v>33</v>
      </c>
      <c r="F5143" s="2" t="s">
        <v>34</v>
      </c>
      <c r="G5143" s="2"/>
      <c r="H5143" s="2"/>
      <c r="I5143" s="2"/>
      <c r="J5143" s="2"/>
    </row>
    <row r="5144" spans="1:10" s="21" customFormat="1" x14ac:dyDescent="0.35">
      <c r="A5144" s="2" t="s">
        <v>2499</v>
      </c>
      <c r="B5144" s="2" t="s">
        <v>2594</v>
      </c>
      <c r="C5144" s="2" t="s">
        <v>24</v>
      </c>
      <c r="D5144" s="2" t="s">
        <v>2595</v>
      </c>
      <c r="E5144" s="2" t="s">
        <v>393</v>
      </c>
      <c r="F5144" s="2" t="s">
        <v>36</v>
      </c>
      <c r="G5144" s="2"/>
      <c r="H5144" s="2"/>
      <c r="I5144" s="2"/>
      <c r="J5144" s="2"/>
    </row>
    <row r="5145" spans="1:10" s="21" customFormat="1" x14ac:dyDescent="0.35">
      <c r="A5145" s="2" t="s">
        <v>2499</v>
      </c>
      <c r="B5145" s="2" t="s">
        <v>2594</v>
      </c>
      <c r="C5145" s="2" t="s">
        <v>24</v>
      </c>
      <c r="D5145" s="2" t="s">
        <v>2595</v>
      </c>
      <c r="E5145" s="2" t="s">
        <v>91</v>
      </c>
      <c r="F5145" s="2" t="s">
        <v>19</v>
      </c>
      <c r="G5145" s="2"/>
      <c r="H5145" s="2"/>
      <c r="I5145" s="2"/>
      <c r="J5145" s="2"/>
    </row>
    <row r="5146" spans="1:10" s="21" customFormat="1" x14ac:dyDescent="0.35">
      <c r="A5146" s="2" t="s">
        <v>2499</v>
      </c>
      <c r="B5146" s="2" t="s">
        <v>2594</v>
      </c>
      <c r="C5146" s="2" t="s">
        <v>24</v>
      </c>
      <c r="D5146" s="2" t="s">
        <v>2595</v>
      </c>
      <c r="E5146" s="2" t="s">
        <v>42</v>
      </c>
      <c r="F5146" s="2" t="s">
        <v>43</v>
      </c>
      <c r="G5146" s="2"/>
      <c r="H5146" s="2"/>
      <c r="I5146" s="2"/>
      <c r="J5146" s="2"/>
    </row>
    <row r="5147" spans="1:10" s="21" customFormat="1" x14ac:dyDescent="0.35">
      <c r="A5147" s="2" t="s">
        <v>2499</v>
      </c>
      <c r="B5147" s="2" t="s">
        <v>2594</v>
      </c>
      <c r="C5147" s="2" t="s">
        <v>24</v>
      </c>
      <c r="D5147" s="2" t="s">
        <v>2595</v>
      </c>
      <c r="E5147" s="2" t="s">
        <v>193</v>
      </c>
      <c r="F5147" s="2" t="s">
        <v>40</v>
      </c>
      <c r="G5147" s="2" t="s">
        <v>20</v>
      </c>
      <c r="H5147" s="2" t="s">
        <v>2596</v>
      </c>
      <c r="I5147" s="2"/>
      <c r="J5147" s="2"/>
    </row>
    <row r="5148" spans="1:10" s="21" customFormat="1" x14ac:dyDescent="0.35">
      <c r="A5148" s="2" t="s">
        <v>2499</v>
      </c>
      <c r="B5148" s="2" t="s">
        <v>2597</v>
      </c>
      <c r="C5148" s="2" t="s">
        <v>57</v>
      </c>
      <c r="D5148" s="2" t="s">
        <v>2598</v>
      </c>
      <c r="E5148" s="2" t="s">
        <v>417</v>
      </c>
      <c r="F5148" s="2" t="s">
        <v>40</v>
      </c>
      <c r="G5148" s="2"/>
      <c r="H5148" s="2"/>
      <c r="I5148" s="2"/>
      <c r="J5148" s="2"/>
    </row>
    <row r="5149" spans="1:10" s="21" customFormat="1" x14ac:dyDescent="0.35">
      <c r="A5149" s="2" t="s">
        <v>2499</v>
      </c>
      <c r="B5149" s="2" t="s">
        <v>2597</v>
      </c>
      <c r="C5149" s="2" t="s">
        <v>57</v>
      </c>
      <c r="D5149" s="2" t="s">
        <v>2598</v>
      </c>
      <c r="E5149" s="2" t="s">
        <v>18</v>
      </c>
      <c r="F5149" s="2" t="s">
        <v>19</v>
      </c>
      <c r="G5149" s="2" t="s">
        <v>20</v>
      </c>
      <c r="H5149" s="2" t="s">
        <v>2599</v>
      </c>
      <c r="I5149" s="2"/>
      <c r="J5149" s="2"/>
    </row>
    <row r="5150" spans="1:10" s="21" customFormat="1" x14ac:dyDescent="0.35">
      <c r="A5150" s="2" t="s">
        <v>2499</v>
      </c>
      <c r="B5150" s="2" t="s">
        <v>2597</v>
      </c>
      <c r="C5150" s="2" t="s">
        <v>57</v>
      </c>
      <c r="D5150" s="2" t="s">
        <v>2598</v>
      </c>
      <c r="E5150" s="2" t="s">
        <v>188</v>
      </c>
      <c r="F5150" s="2" t="s">
        <v>189</v>
      </c>
      <c r="G5150" s="2"/>
      <c r="H5150" s="2"/>
      <c r="I5150" s="2"/>
      <c r="J5150" s="2"/>
    </row>
    <row r="5151" spans="1:10" s="21" customFormat="1" x14ac:dyDescent="0.35">
      <c r="A5151" s="2" t="s">
        <v>2499</v>
      </c>
      <c r="B5151" s="2" t="s">
        <v>2597</v>
      </c>
      <c r="C5151" s="2" t="s">
        <v>57</v>
      </c>
      <c r="D5151" s="2" t="s">
        <v>2598</v>
      </c>
      <c r="E5151" s="2" t="s">
        <v>149</v>
      </c>
      <c r="F5151" s="2" t="s">
        <v>150</v>
      </c>
      <c r="G5151" s="2" t="s">
        <v>20</v>
      </c>
      <c r="H5151" s="2" t="s">
        <v>2600</v>
      </c>
      <c r="I5151" s="2"/>
      <c r="J5151" s="2"/>
    </row>
    <row r="5152" spans="1:10" x14ac:dyDescent="0.35">
      <c r="A5152" s="2" t="s">
        <v>2499</v>
      </c>
      <c r="B5152" s="2" t="s">
        <v>2601</v>
      </c>
      <c r="C5152" s="2" t="s">
        <v>24</v>
      </c>
      <c r="D5152" s="2" t="s">
        <v>2602</v>
      </c>
      <c r="E5152" s="2" t="s">
        <v>31</v>
      </c>
      <c r="F5152" s="2" t="s">
        <v>32</v>
      </c>
      <c r="G5152" s="2" t="s">
        <v>46</v>
      </c>
      <c r="H5152" s="2" t="s">
        <v>675</v>
      </c>
      <c r="I5152" s="2"/>
      <c r="J5152" s="2"/>
    </row>
    <row r="5153" spans="1:10" x14ac:dyDescent="0.35">
      <c r="A5153" s="2" t="s">
        <v>2499</v>
      </c>
      <c r="B5153" s="2" t="s">
        <v>2601</v>
      </c>
      <c r="C5153" s="2" t="s">
        <v>24</v>
      </c>
      <c r="D5153" s="2" t="s">
        <v>2602</v>
      </c>
      <c r="E5153" s="2" t="s">
        <v>438</v>
      </c>
      <c r="F5153" s="2" t="s">
        <v>19</v>
      </c>
      <c r="G5153" s="2" t="s">
        <v>46</v>
      </c>
      <c r="H5153" s="2" t="s">
        <v>675</v>
      </c>
      <c r="I5153" s="2"/>
      <c r="J5153" s="2"/>
    </row>
    <row r="5154" spans="1:10" x14ac:dyDescent="0.35">
      <c r="A5154" s="2" t="s">
        <v>2499</v>
      </c>
      <c r="B5154" s="2" t="s">
        <v>2601</v>
      </c>
      <c r="C5154" s="2" t="s">
        <v>24</v>
      </c>
      <c r="D5154" s="2" t="s">
        <v>2602</v>
      </c>
      <c r="E5154" s="2" t="s">
        <v>89</v>
      </c>
      <c r="F5154" s="2" t="s">
        <v>45</v>
      </c>
      <c r="G5154" s="2" t="s">
        <v>46</v>
      </c>
      <c r="H5154" s="2" t="s">
        <v>675</v>
      </c>
      <c r="I5154" s="2"/>
      <c r="J5154" s="2"/>
    </row>
    <row r="5155" spans="1:10" x14ac:dyDescent="0.35">
      <c r="A5155" s="2" t="s">
        <v>2499</v>
      </c>
      <c r="B5155" s="2" t="s">
        <v>2601</v>
      </c>
      <c r="C5155" s="2" t="s">
        <v>24</v>
      </c>
      <c r="D5155" s="2" t="s">
        <v>2603</v>
      </c>
      <c r="E5155" s="2" t="s">
        <v>155</v>
      </c>
      <c r="F5155" s="2" t="s">
        <v>32</v>
      </c>
      <c r="G5155" s="2" t="s">
        <v>20</v>
      </c>
      <c r="H5155" s="2" t="s">
        <v>2604</v>
      </c>
      <c r="I5155" s="2"/>
      <c r="J5155" s="2"/>
    </row>
    <row r="5156" spans="1:10" x14ac:dyDescent="0.35">
      <c r="A5156" s="2" t="s">
        <v>2499</v>
      </c>
      <c r="B5156" s="2" t="s">
        <v>2601</v>
      </c>
      <c r="C5156" s="2" t="s">
        <v>24</v>
      </c>
      <c r="D5156" s="2" t="s">
        <v>2603</v>
      </c>
      <c r="E5156" s="2" t="s">
        <v>96</v>
      </c>
      <c r="F5156" s="2" t="s">
        <v>83</v>
      </c>
      <c r="G5156" s="2" t="s">
        <v>20</v>
      </c>
      <c r="H5156" s="2" t="s">
        <v>2605</v>
      </c>
      <c r="I5156" s="2"/>
      <c r="J5156" s="2"/>
    </row>
    <row r="5157" spans="1:10" x14ac:dyDescent="0.35">
      <c r="A5157" s="2" t="s">
        <v>2499</v>
      </c>
      <c r="B5157" s="2" t="s">
        <v>2601</v>
      </c>
      <c r="C5157" s="2" t="s">
        <v>24</v>
      </c>
      <c r="D5157" s="2" t="s">
        <v>2603</v>
      </c>
      <c r="E5157" s="2" t="s">
        <v>38</v>
      </c>
      <c r="F5157" s="2" t="s">
        <v>38</v>
      </c>
      <c r="G5157" s="2"/>
      <c r="H5157" s="2"/>
      <c r="I5157" s="2"/>
      <c r="J5157" s="2"/>
    </row>
    <row r="5158" spans="1:10" x14ac:dyDescent="0.35">
      <c r="A5158" s="2" t="s">
        <v>2499</v>
      </c>
      <c r="B5158" s="2" t="s">
        <v>2601</v>
      </c>
      <c r="C5158" s="2" t="s">
        <v>24</v>
      </c>
      <c r="D5158" s="2" t="s">
        <v>2603</v>
      </c>
      <c r="E5158" s="2" t="s">
        <v>438</v>
      </c>
      <c r="F5158" s="2" t="s">
        <v>19</v>
      </c>
      <c r="G5158" s="2" t="s">
        <v>20</v>
      </c>
      <c r="H5158" s="2" t="s">
        <v>2606</v>
      </c>
      <c r="I5158" s="2"/>
      <c r="J5158" s="2"/>
    </row>
    <row r="5159" spans="1:10" x14ac:dyDescent="0.35">
      <c r="A5159" s="2" t="s">
        <v>2499</v>
      </c>
      <c r="B5159" s="2" t="s">
        <v>2601</v>
      </c>
      <c r="C5159" s="2" t="s">
        <v>54</v>
      </c>
      <c r="D5159" s="2" t="s">
        <v>2607</v>
      </c>
      <c r="E5159" s="2" t="s">
        <v>14</v>
      </c>
      <c r="F5159" s="2" t="s">
        <v>15</v>
      </c>
      <c r="G5159" s="2"/>
      <c r="H5159" s="2"/>
      <c r="I5159" s="2"/>
      <c r="J5159" s="2"/>
    </row>
    <row r="5160" spans="1:10" x14ac:dyDescent="0.35">
      <c r="A5160" s="2" t="s">
        <v>2499</v>
      </c>
      <c r="B5160" s="2" t="s">
        <v>2601</v>
      </c>
      <c r="C5160" s="2" t="s">
        <v>54</v>
      </c>
      <c r="D5160" s="2" t="s">
        <v>2607</v>
      </c>
      <c r="E5160" s="2" t="s">
        <v>1370</v>
      </c>
      <c r="F5160" s="2" t="s">
        <v>43</v>
      </c>
      <c r="G5160" s="2"/>
      <c r="H5160" s="2"/>
      <c r="I5160" s="2"/>
      <c r="J5160" s="2"/>
    </row>
    <row r="5161" spans="1:10" x14ac:dyDescent="0.35">
      <c r="A5161" s="2" t="s">
        <v>2499</v>
      </c>
      <c r="B5161" s="2" t="s">
        <v>2601</v>
      </c>
      <c r="C5161" s="2" t="s">
        <v>54</v>
      </c>
      <c r="D5161" s="2" t="s">
        <v>2607</v>
      </c>
      <c r="E5161" s="2" t="s">
        <v>77</v>
      </c>
      <c r="F5161" s="2" t="s">
        <v>78</v>
      </c>
      <c r="G5161" s="2"/>
      <c r="H5161" s="2"/>
      <c r="I5161" s="2"/>
      <c r="J5161" s="2"/>
    </row>
    <row r="5162" spans="1:10" x14ac:dyDescent="0.35">
      <c r="A5162" s="2" t="s">
        <v>2499</v>
      </c>
      <c r="B5162" s="2" t="s">
        <v>2601</v>
      </c>
      <c r="C5162" s="2" t="s">
        <v>54</v>
      </c>
      <c r="D5162" s="2" t="s">
        <v>2607</v>
      </c>
      <c r="E5162" s="2" t="s">
        <v>188</v>
      </c>
      <c r="F5162" s="2" t="s">
        <v>189</v>
      </c>
      <c r="G5162" s="2"/>
      <c r="H5162" s="2"/>
      <c r="I5162" s="2"/>
      <c r="J5162" s="2"/>
    </row>
    <row r="5163" spans="1:10" x14ac:dyDescent="0.35">
      <c r="A5163" s="2" t="s">
        <v>2499</v>
      </c>
      <c r="B5163" s="2" t="s">
        <v>2601</v>
      </c>
      <c r="C5163" s="2" t="s">
        <v>24</v>
      </c>
      <c r="D5163" s="2" t="s">
        <v>2608</v>
      </c>
      <c r="E5163" s="2" t="s">
        <v>604</v>
      </c>
      <c r="F5163" s="2" t="s">
        <v>78</v>
      </c>
      <c r="G5163" s="2"/>
      <c r="H5163" s="2"/>
      <c r="I5163" s="2"/>
      <c r="J5163" s="2"/>
    </row>
    <row r="5164" spans="1:10" x14ac:dyDescent="0.35">
      <c r="A5164" s="2" t="s">
        <v>2499</v>
      </c>
      <c r="B5164" s="2" t="s">
        <v>2601</v>
      </c>
      <c r="C5164" s="2" t="s">
        <v>24</v>
      </c>
      <c r="D5164" s="2" t="s">
        <v>2609</v>
      </c>
      <c r="E5164" s="2" t="s">
        <v>196</v>
      </c>
      <c r="F5164" s="2" t="s">
        <v>2583</v>
      </c>
      <c r="G5164" s="2"/>
      <c r="H5164" s="2"/>
      <c r="I5164" s="2"/>
      <c r="J5164" s="2"/>
    </row>
    <row r="5165" spans="1:10" x14ac:dyDescent="0.35">
      <c r="A5165" s="2" t="s">
        <v>2499</v>
      </c>
      <c r="B5165" s="2" t="s">
        <v>2601</v>
      </c>
      <c r="C5165" s="2" t="s">
        <v>24</v>
      </c>
      <c r="D5165" s="2" t="s">
        <v>2609</v>
      </c>
      <c r="E5165" s="2" t="s">
        <v>31</v>
      </c>
      <c r="F5165" s="2" t="s">
        <v>32</v>
      </c>
      <c r="G5165" s="2"/>
      <c r="H5165" s="2"/>
      <c r="I5165" s="2"/>
      <c r="J5165" s="2"/>
    </row>
    <row r="5166" spans="1:10" x14ac:dyDescent="0.35">
      <c r="A5166" s="2" t="s">
        <v>2499</v>
      </c>
      <c r="B5166" s="2" t="s">
        <v>2601</v>
      </c>
      <c r="C5166" s="2" t="s">
        <v>24</v>
      </c>
      <c r="D5166" s="2" t="s">
        <v>2609</v>
      </c>
      <c r="E5166" s="2" t="s">
        <v>992</v>
      </c>
      <c r="F5166" s="2" t="s">
        <v>201</v>
      </c>
      <c r="G5166" s="2"/>
      <c r="H5166" s="2"/>
      <c r="I5166" s="2"/>
      <c r="J5166" s="2"/>
    </row>
    <row r="5167" spans="1:10" x14ac:dyDescent="0.35">
      <c r="A5167" s="2" t="s">
        <v>2499</v>
      </c>
      <c r="B5167" s="2" t="s">
        <v>2601</v>
      </c>
      <c r="C5167" s="2" t="s">
        <v>24</v>
      </c>
      <c r="D5167" s="2" t="s">
        <v>2609</v>
      </c>
      <c r="E5167" s="2" t="s">
        <v>2610</v>
      </c>
      <c r="F5167" s="2" t="s">
        <v>1216</v>
      </c>
      <c r="G5167" s="2"/>
      <c r="H5167" s="2"/>
      <c r="I5167" s="2"/>
      <c r="J5167" s="2"/>
    </row>
    <row r="5168" spans="1:10" x14ac:dyDescent="0.35">
      <c r="A5168" s="2" t="s">
        <v>2499</v>
      </c>
      <c r="B5168" s="2" t="s">
        <v>2601</v>
      </c>
      <c r="C5168" s="2" t="s">
        <v>24</v>
      </c>
      <c r="D5168" s="2" t="s">
        <v>2609</v>
      </c>
      <c r="E5168" s="2" t="s">
        <v>416</v>
      </c>
      <c r="F5168" s="2" t="s">
        <v>38</v>
      </c>
      <c r="G5168" s="2"/>
      <c r="H5168" s="2"/>
      <c r="I5168" s="2"/>
      <c r="J5168" s="2"/>
    </row>
    <row r="5169" spans="1:10" x14ac:dyDescent="0.35">
      <c r="A5169" s="2" t="s">
        <v>2499</v>
      </c>
      <c r="B5169" s="2" t="s">
        <v>2601</v>
      </c>
      <c r="C5169" s="2" t="s">
        <v>24</v>
      </c>
      <c r="D5169" s="2" t="s">
        <v>2609</v>
      </c>
      <c r="E5169" s="2" t="s">
        <v>121</v>
      </c>
      <c r="F5169" s="2" t="s">
        <v>122</v>
      </c>
      <c r="G5169" s="2"/>
      <c r="H5169" s="2"/>
      <c r="I5169" s="2"/>
      <c r="J5169" s="2"/>
    </row>
    <row r="5170" spans="1:10" x14ac:dyDescent="0.35">
      <c r="A5170" s="2" t="s">
        <v>2499</v>
      </c>
      <c r="B5170" s="2" t="s">
        <v>2601</v>
      </c>
      <c r="C5170" s="2" t="s">
        <v>24</v>
      </c>
      <c r="D5170" s="2" t="s">
        <v>2609</v>
      </c>
      <c r="E5170" s="2" t="s">
        <v>156</v>
      </c>
      <c r="F5170" s="2" t="s">
        <v>45</v>
      </c>
      <c r="G5170" s="2" t="s">
        <v>20</v>
      </c>
      <c r="H5170" s="2" t="s">
        <v>2611</v>
      </c>
      <c r="I5170" s="2"/>
      <c r="J5170" s="2"/>
    </row>
    <row r="5171" spans="1:10" x14ac:dyDescent="0.35">
      <c r="A5171" s="2" t="s">
        <v>2499</v>
      </c>
      <c r="B5171" s="2" t="s">
        <v>2601</v>
      </c>
      <c r="C5171" s="2" t="s">
        <v>24</v>
      </c>
      <c r="D5171" s="2" t="s">
        <v>2609</v>
      </c>
      <c r="E5171" s="2" t="s">
        <v>87</v>
      </c>
      <c r="F5171" s="2" t="s">
        <v>75</v>
      </c>
      <c r="G5171" s="2"/>
      <c r="H5171" s="2"/>
      <c r="I5171" s="2"/>
      <c r="J5171" s="2"/>
    </row>
    <row r="5172" spans="1:10" x14ac:dyDescent="0.35">
      <c r="A5172" s="2" t="s">
        <v>2499</v>
      </c>
      <c r="B5172" s="2" t="s">
        <v>2601</v>
      </c>
      <c r="C5172" s="2" t="s">
        <v>24</v>
      </c>
      <c r="D5172" s="2" t="s">
        <v>2609</v>
      </c>
      <c r="E5172" s="2" t="s">
        <v>18</v>
      </c>
      <c r="F5172" s="2" t="s">
        <v>19</v>
      </c>
      <c r="G5172" s="2" t="s">
        <v>20</v>
      </c>
      <c r="H5172" s="2" t="s">
        <v>2576</v>
      </c>
      <c r="I5172" s="2"/>
      <c r="J5172" s="2"/>
    </row>
    <row r="5173" spans="1:10" x14ac:dyDescent="0.35">
      <c r="A5173" s="2" t="s">
        <v>2499</v>
      </c>
      <c r="B5173" s="2" t="s">
        <v>2601</v>
      </c>
      <c r="C5173" s="2" t="s">
        <v>24</v>
      </c>
      <c r="D5173" s="2" t="s">
        <v>2609</v>
      </c>
      <c r="E5173" s="2" t="s">
        <v>100</v>
      </c>
      <c r="F5173" s="2" t="s">
        <v>101</v>
      </c>
      <c r="G5173" s="2"/>
      <c r="H5173" s="2"/>
      <c r="I5173" s="2"/>
      <c r="J5173" s="2"/>
    </row>
    <row r="5174" spans="1:10" x14ac:dyDescent="0.35">
      <c r="A5174" s="2" t="s">
        <v>2499</v>
      </c>
      <c r="B5174" s="2" t="s">
        <v>2601</v>
      </c>
      <c r="C5174" s="2" t="s">
        <v>24</v>
      </c>
      <c r="D5174" s="2" t="s">
        <v>2609</v>
      </c>
      <c r="E5174" s="2" t="s">
        <v>188</v>
      </c>
      <c r="F5174" s="2" t="s">
        <v>189</v>
      </c>
      <c r="G5174" s="2"/>
      <c r="H5174" s="2"/>
      <c r="I5174" s="2"/>
      <c r="J5174" s="2"/>
    </row>
    <row r="5175" spans="1:10" x14ac:dyDescent="0.35">
      <c r="A5175" s="2" t="s">
        <v>2499</v>
      </c>
      <c r="B5175" s="2" t="s">
        <v>2601</v>
      </c>
      <c r="C5175" s="2" t="s">
        <v>24</v>
      </c>
      <c r="D5175" s="2" t="s">
        <v>2609</v>
      </c>
      <c r="E5175" s="2" t="s">
        <v>862</v>
      </c>
      <c r="F5175" s="2" t="s">
        <v>38</v>
      </c>
      <c r="G5175" s="2"/>
      <c r="H5175" s="2"/>
      <c r="I5175" s="2"/>
      <c r="J5175" s="2"/>
    </row>
    <row r="5176" spans="1:10" x14ac:dyDescent="0.35">
      <c r="A5176" s="2" t="s">
        <v>2499</v>
      </c>
      <c r="B5176" s="2" t="s">
        <v>2601</v>
      </c>
      <c r="C5176" s="2" t="s">
        <v>24</v>
      </c>
      <c r="D5176" s="2" t="s">
        <v>2609</v>
      </c>
      <c r="E5176" s="2" t="s">
        <v>939</v>
      </c>
      <c r="F5176" s="2" t="s">
        <v>65</v>
      </c>
      <c r="G5176" s="2"/>
      <c r="H5176" s="2"/>
      <c r="I5176" s="2"/>
      <c r="J5176" s="2"/>
    </row>
    <row r="5177" spans="1:10" x14ac:dyDescent="0.35">
      <c r="A5177" s="2" t="s">
        <v>2499</v>
      </c>
      <c r="B5177" s="2" t="s">
        <v>2601</v>
      </c>
      <c r="C5177" s="2" t="s">
        <v>24</v>
      </c>
      <c r="D5177" s="2" t="s">
        <v>2609</v>
      </c>
      <c r="E5177" s="2" t="s">
        <v>149</v>
      </c>
      <c r="F5177" s="2" t="s">
        <v>150</v>
      </c>
      <c r="G5177" s="2"/>
      <c r="H5177" s="2"/>
      <c r="I5177" s="2"/>
      <c r="J5177" s="2"/>
    </row>
    <row r="5178" spans="1:10" x14ac:dyDescent="0.35">
      <c r="A5178" s="2" t="s">
        <v>2499</v>
      </c>
      <c r="B5178" s="2" t="s">
        <v>2601</v>
      </c>
      <c r="C5178" s="2" t="s">
        <v>24</v>
      </c>
      <c r="D5178" s="2" t="s">
        <v>2609</v>
      </c>
      <c r="E5178" s="2" t="s">
        <v>2612</v>
      </c>
      <c r="F5178" s="2" t="s">
        <v>40</v>
      </c>
      <c r="G5178" s="2"/>
      <c r="H5178" s="2"/>
      <c r="I5178" s="2"/>
      <c r="J5178" s="2"/>
    </row>
    <row r="5179" spans="1:10" x14ac:dyDescent="0.35">
      <c r="A5179" s="2" t="s">
        <v>2499</v>
      </c>
      <c r="B5179" s="2" t="s">
        <v>2601</v>
      </c>
      <c r="C5179" s="2" t="s">
        <v>24</v>
      </c>
      <c r="D5179" s="2" t="s">
        <v>2609</v>
      </c>
      <c r="E5179" s="2" t="s">
        <v>2613</v>
      </c>
      <c r="F5179" s="2" t="s">
        <v>65</v>
      </c>
      <c r="G5179" s="2" t="s">
        <v>46</v>
      </c>
      <c r="H5179" s="2" t="s">
        <v>1191</v>
      </c>
      <c r="I5179" s="2"/>
      <c r="J5179" s="2"/>
    </row>
    <row r="5180" spans="1:10" x14ac:dyDescent="0.35">
      <c r="A5180" s="2" t="s">
        <v>2499</v>
      </c>
      <c r="B5180" s="2" t="s">
        <v>2601</v>
      </c>
      <c r="C5180" s="2" t="s">
        <v>54</v>
      </c>
      <c r="D5180" s="2" t="s">
        <v>2614</v>
      </c>
      <c r="E5180" s="2" t="s">
        <v>992</v>
      </c>
      <c r="F5180" s="2" t="s">
        <v>201</v>
      </c>
      <c r="G5180" s="2" t="s">
        <v>20</v>
      </c>
      <c r="H5180" s="2" t="s">
        <v>2615</v>
      </c>
      <c r="I5180" s="2"/>
      <c r="J5180" s="2"/>
    </row>
    <row r="5181" spans="1:10" x14ac:dyDescent="0.35">
      <c r="A5181" s="2" t="s">
        <v>2499</v>
      </c>
      <c r="B5181" s="2" t="s">
        <v>2601</v>
      </c>
      <c r="C5181" s="2" t="s">
        <v>54</v>
      </c>
      <c r="D5181" s="2" t="s">
        <v>2614</v>
      </c>
      <c r="E5181" s="2" t="s">
        <v>972</v>
      </c>
      <c r="F5181" s="2" t="s">
        <v>32</v>
      </c>
      <c r="G5181" s="2" t="s">
        <v>20</v>
      </c>
      <c r="H5181" s="2" t="s">
        <v>2615</v>
      </c>
      <c r="I5181" s="2"/>
      <c r="J5181" s="2"/>
    </row>
    <row r="5182" spans="1:10" x14ac:dyDescent="0.35">
      <c r="A5182" s="2" t="s">
        <v>2499</v>
      </c>
      <c r="B5182" s="2" t="s">
        <v>2601</v>
      </c>
      <c r="C5182" s="2" t="s">
        <v>54</v>
      </c>
      <c r="D5182" s="2" t="s">
        <v>2614</v>
      </c>
      <c r="E5182" s="2" t="s">
        <v>77</v>
      </c>
      <c r="F5182" s="2" t="s">
        <v>78</v>
      </c>
      <c r="G5182" s="2" t="s">
        <v>20</v>
      </c>
      <c r="H5182" s="2" t="s">
        <v>2615</v>
      </c>
      <c r="I5182" s="2"/>
      <c r="J5182" s="2"/>
    </row>
    <row r="5183" spans="1:10" x14ac:dyDescent="0.35">
      <c r="A5183" s="2" t="s">
        <v>2499</v>
      </c>
      <c r="B5183" s="2" t="s">
        <v>2601</v>
      </c>
      <c r="C5183" s="2" t="s">
        <v>54</v>
      </c>
      <c r="D5183" s="2" t="s">
        <v>2614</v>
      </c>
      <c r="E5183" s="2" t="s">
        <v>204</v>
      </c>
      <c r="F5183" s="2" t="s">
        <v>40</v>
      </c>
      <c r="G5183" s="2" t="s">
        <v>20</v>
      </c>
      <c r="H5183" s="2" t="s">
        <v>2615</v>
      </c>
      <c r="I5183" s="2"/>
      <c r="J5183" s="2"/>
    </row>
    <row r="5184" spans="1:10" x14ac:dyDescent="0.35">
      <c r="A5184" s="2" t="s">
        <v>2499</v>
      </c>
      <c r="B5184" s="2" t="s">
        <v>2601</v>
      </c>
      <c r="C5184" s="2" t="s">
        <v>54</v>
      </c>
      <c r="D5184" s="2" t="s">
        <v>2614</v>
      </c>
      <c r="E5184" s="2" t="s">
        <v>2616</v>
      </c>
      <c r="F5184" s="2" t="s">
        <v>228</v>
      </c>
      <c r="G5184" s="2" t="s">
        <v>20</v>
      </c>
      <c r="H5184" s="2" t="s">
        <v>2615</v>
      </c>
      <c r="I5184" s="2"/>
      <c r="J5184" s="2"/>
    </row>
    <row r="5185" spans="1:10" x14ac:dyDescent="0.35">
      <c r="A5185" s="2" t="s">
        <v>2499</v>
      </c>
      <c r="B5185" s="2" t="s">
        <v>2601</v>
      </c>
      <c r="C5185" s="2" t="s">
        <v>54</v>
      </c>
      <c r="D5185" s="2" t="s">
        <v>2614</v>
      </c>
      <c r="E5185" s="2" t="s">
        <v>188</v>
      </c>
      <c r="F5185" s="2" t="s">
        <v>189</v>
      </c>
      <c r="G5185" s="2" t="s">
        <v>20</v>
      </c>
      <c r="H5185" s="2" t="s">
        <v>2615</v>
      </c>
      <c r="I5185" s="2"/>
      <c r="J5185" s="2"/>
    </row>
    <row r="5186" spans="1:10" x14ac:dyDescent="0.35">
      <c r="A5186" s="2" t="s">
        <v>2499</v>
      </c>
      <c r="B5186" s="2" t="s">
        <v>2601</v>
      </c>
      <c r="C5186" s="2" t="s">
        <v>54</v>
      </c>
      <c r="D5186" s="2" t="s">
        <v>2614</v>
      </c>
      <c r="E5186" s="2" t="s">
        <v>2613</v>
      </c>
      <c r="F5186" s="2" t="s">
        <v>65</v>
      </c>
      <c r="G5186" s="2" t="s">
        <v>20</v>
      </c>
      <c r="H5186" s="2" t="s">
        <v>2615</v>
      </c>
      <c r="I5186" s="2"/>
      <c r="J5186" s="2"/>
    </row>
    <row r="5187" spans="1:10" x14ac:dyDescent="0.35">
      <c r="A5187" s="2" t="s">
        <v>2499</v>
      </c>
      <c r="B5187" s="2" t="s">
        <v>2601</v>
      </c>
      <c r="C5187" s="2" t="s">
        <v>54</v>
      </c>
      <c r="D5187" s="2" t="s">
        <v>2617</v>
      </c>
      <c r="E5187" s="2" t="s">
        <v>155</v>
      </c>
      <c r="F5187" s="2" t="s">
        <v>32</v>
      </c>
      <c r="G5187" s="2" t="s">
        <v>20</v>
      </c>
      <c r="H5187" s="2" t="s">
        <v>2618</v>
      </c>
      <c r="I5187" s="2"/>
      <c r="J5187" s="2"/>
    </row>
    <row r="5188" spans="1:10" x14ac:dyDescent="0.35">
      <c r="A5188" s="2" t="s">
        <v>2499</v>
      </c>
      <c r="B5188" s="2" t="s">
        <v>2601</v>
      </c>
      <c r="C5188" s="2" t="s">
        <v>54</v>
      </c>
      <c r="D5188" s="2" t="s">
        <v>2617</v>
      </c>
      <c r="E5188" s="2" t="s">
        <v>992</v>
      </c>
      <c r="F5188" s="2" t="s">
        <v>201</v>
      </c>
      <c r="G5188" s="2" t="s">
        <v>20</v>
      </c>
      <c r="H5188" s="2" t="s">
        <v>2618</v>
      </c>
      <c r="I5188" s="2"/>
      <c r="J5188" s="2"/>
    </row>
    <row r="5189" spans="1:10" x14ac:dyDescent="0.35">
      <c r="A5189" s="2" t="s">
        <v>2499</v>
      </c>
      <c r="B5189" s="2" t="s">
        <v>2601</v>
      </c>
      <c r="C5189" s="2" t="s">
        <v>54</v>
      </c>
      <c r="D5189" s="2" t="s">
        <v>2617</v>
      </c>
      <c r="E5189" s="2" t="s">
        <v>2619</v>
      </c>
      <c r="F5189" s="2" t="s">
        <v>75</v>
      </c>
      <c r="G5189" s="2" t="s">
        <v>20</v>
      </c>
      <c r="H5189" s="2" t="s">
        <v>2618</v>
      </c>
      <c r="I5189" s="2"/>
      <c r="J5189" s="2"/>
    </row>
    <row r="5190" spans="1:10" x14ac:dyDescent="0.35">
      <c r="A5190" s="2" t="s">
        <v>2499</v>
      </c>
      <c r="B5190" s="2" t="s">
        <v>2601</v>
      </c>
      <c r="C5190" s="2" t="s">
        <v>54</v>
      </c>
      <c r="D5190" s="2" t="s">
        <v>2617</v>
      </c>
      <c r="E5190" s="2" t="s">
        <v>1635</v>
      </c>
      <c r="F5190" s="2" t="s">
        <v>189</v>
      </c>
      <c r="G5190" s="2" t="s">
        <v>20</v>
      </c>
      <c r="H5190" s="2" t="s">
        <v>2618</v>
      </c>
      <c r="I5190" s="2"/>
      <c r="J5190" s="2"/>
    </row>
    <row r="5191" spans="1:10" x14ac:dyDescent="0.35">
      <c r="A5191" s="2" t="s">
        <v>2499</v>
      </c>
      <c r="B5191" s="2" t="s">
        <v>2601</v>
      </c>
      <c r="C5191" s="2" t="s">
        <v>62</v>
      </c>
      <c r="D5191" s="2" t="s">
        <v>2620</v>
      </c>
      <c r="E5191" s="2" t="s">
        <v>188</v>
      </c>
      <c r="F5191" s="2" t="s">
        <v>189</v>
      </c>
      <c r="G5191" s="2" t="s">
        <v>20</v>
      </c>
      <c r="H5191" s="2" t="s">
        <v>2618</v>
      </c>
      <c r="I5191" s="2"/>
      <c r="J5191" s="2"/>
    </row>
    <row r="5192" spans="1:10" s="18" customFormat="1" x14ac:dyDescent="0.35">
      <c r="A5192" s="2" t="s">
        <v>2499</v>
      </c>
      <c r="B5192" s="2" t="s">
        <v>2601</v>
      </c>
      <c r="C5192" s="2" t="s">
        <v>12</v>
      </c>
      <c r="D5192" s="2" t="s">
        <v>2621</v>
      </c>
      <c r="E5192" s="2" t="s">
        <v>1283</v>
      </c>
      <c r="F5192" s="2" t="s">
        <v>65</v>
      </c>
      <c r="G5192" s="2" t="s">
        <v>20</v>
      </c>
      <c r="H5192" s="2" t="s">
        <v>2622</v>
      </c>
      <c r="I5192" s="2"/>
      <c r="J5192" s="2"/>
    </row>
    <row r="5193" spans="1:10" x14ac:dyDescent="0.35">
      <c r="A5193" s="2" t="s">
        <v>2499</v>
      </c>
      <c r="B5193" s="2" t="s">
        <v>2601</v>
      </c>
      <c r="C5193" s="2" t="s">
        <v>62</v>
      </c>
      <c r="D5193" s="2" t="s">
        <v>2623</v>
      </c>
      <c r="E5193" s="2" t="s">
        <v>14</v>
      </c>
      <c r="F5193" s="2" t="s">
        <v>15</v>
      </c>
      <c r="G5193" s="2"/>
      <c r="H5193" s="2"/>
      <c r="I5193" s="2"/>
      <c r="J5193" s="2"/>
    </row>
    <row r="5194" spans="1:10" x14ac:dyDescent="0.35">
      <c r="A5194" s="2" t="s">
        <v>2499</v>
      </c>
      <c r="B5194" s="2" t="s">
        <v>2601</v>
      </c>
      <c r="C5194" s="2" t="s">
        <v>62</v>
      </c>
      <c r="D5194" s="2" t="s">
        <v>2623</v>
      </c>
      <c r="E5194" s="2" t="s">
        <v>31</v>
      </c>
      <c r="F5194" s="2" t="s">
        <v>32</v>
      </c>
      <c r="G5194" s="2"/>
      <c r="H5194" s="2"/>
      <c r="I5194" s="2"/>
      <c r="J5194" s="2"/>
    </row>
    <row r="5195" spans="1:10" x14ac:dyDescent="0.35">
      <c r="A5195" s="2" t="s">
        <v>2499</v>
      </c>
      <c r="B5195" s="2" t="s">
        <v>2601</v>
      </c>
      <c r="C5195" s="2" t="s">
        <v>62</v>
      </c>
      <c r="D5195" s="2" t="s">
        <v>2623</v>
      </c>
      <c r="E5195" s="2" t="s">
        <v>2624</v>
      </c>
      <c r="F5195" s="2" t="s">
        <v>125</v>
      </c>
      <c r="G5195" s="2"/>
      <c r="H5195" s="2"/>
      <c r="I5195" s="2"/>
      <c r="J5195" s="2"/>
    </row>
    <row r="5196" spans="1:10" x14ac:dyDescent="0.35">
      <c r="A5196" s="2" t="s">
        <v>2499</v>
      </c>
      <c r="B5196" s="2" t="s">
        <v>2601</v>
      </c>
      <c r="C5196" s="2" t="s">
        <v>62</v>
      </c>
      <c r="D5196" s="2" t="s">
        <v>2623</v>
      </c>
      <c r="E5196" s="2" t="s">
        <v>972</v>
      </c>
      <c r="F5196" s="2" t="s">
        <v>32</v>
      </c>
      <c r="G5196" s="2"/>
      <c r="H5196" s="2"/>
      <c r="I5196" s="2"/>
      <c r="J5196" s="2"/>
    </row>
    <row r="5197" spans="1:10" x14ac:dyDescent="0.35">
      <c r="A5197" s="2" t="s">
        <v>2499</v>
      </c>
      <c r="B5197" s="2" t="s">
        <v>2601</v>
      </c>
      <c r="C5197" s="2" t="s">
        <v>62</v>
      </c>
      <c r="D5197" s="2" t="s">
        <v>2623</v>
      </c>
      <c r="E5197" s="2" t="s">
        <v>416</v>
      </c>
      <c r="F5197" s="2" t="s">
        <v>38</v>
      </c>
      <c r="G5197" s="2"/>
      <c r="H5197" s="2"/>
      <c r="I5197" s="2"/>
      <c r="J5197" s="2"/>
    </row>
    <row r="5198" spans="1:10" x14ac:dyDescent="0.35">
      <c r="A5198" s="2" t="s">
        <v>2499</v>
      </c>
      <c r="B5198" s="2" t="s">
        <v>2601</v>
      </c>
      <c r="C5198" s="2" t="s">
        <v>62</v>
      </c>
      <c r="D5198" s="2" t="s">
        <v>2623</v>
      </c>
      <c r="E5198" s="2" t="s">
        <v>2548</v>
      </c>
      <c r="F5198" s="2" t="s">
        <v>19</v>
      </c>
      <c r="G5198" s="2" t="s">
        <v>20</v>
      </c>
      <c r="H5198" s="2" t="s">
        <v>2625</v>
      </c>
      <c r="I5198" s="2"/>
      <c r="J5198" s="2"/>
    </row>
    <row r="5199" spans="1:10" x14ac:dyDescent="0.35">
      <c r="A5199" s="2" t="s">
        <v>2499</v>
      </c>
      <c r="B5199" s="2" t="s">
        <v>2601</v>
      </c>
      <c r="C5199" s="2" t="s">
        <v>62</v>
      </c>
      <c r="D5199" s="2" t="s">
        <v>2623</v>
      </c>
      <c r="E5199" s="2" t="s">
        <v>2626</v>
      </c>
      <c r="F5199" s="2" t="s">
        <v>533</v>
      </c>
      <c r="G5199" s="2"/>
      <c r="H5199" s="2"/>
      <c r="I5199" s="2"/>
      <c r="J5199" s="2"/>
    </row>
    <row r="5200" spans="1:10" x14ac:dyDescent="0.35">
      <c r="A5200" s="2" t="s">
        <v>2499</v>
      </c>
      <c r="B5200" s="2" t="s">
        <v>2601</v>
      </c>
      <c r="C5200" s="2" t="s">
        <v>62</v>
      </c>
      <c r="D5200" s="2" t="s">
        <v>2623</v>
      </c>
      <c r="E5200" s="2" t="s">
        <v>18</v>
      </c>
      <c r="F5200" s="2" t="s">
        <v>19</v>
      </c>
      <c r="G5200" s="2" t="s">
        <v>46</v>
      </c>
      <c r="H5200" s="2" t="s">
        <v>2627</v>
      </c>
      <c r="I5200" s="2"/>
      <c r="J5200" s="2"/>
    </row>
    <row r="5201" spans="1:10" x14ac:dyDescent="0.35">
      <c r="A5201" s="2" t="s">
        <v>2499</v>
      </c>
      <c r="B5201" s="2" t="s">
        <v>2601</v>
      </c>
      <c r="C5201" s="2" t="s">
        <v>62</v>
      </c>
      <c r="D5201" s="2" t="s">
        <v>2623</v>
      </c>
      <c r="E5201" s="2" t="s">
        <v>79</v>
      </c>
      <c r="F5201" s="2" t="s">
        <v>38</v>
      </c>
      <c r="G5201" s="2"/>
      <c r="H5201" s="2"/>
      <c r="I5201" s="2"/>
      <c r="J5201" s="2"/>
    </row>
    <row r="5202" spans="1:10" x14ac:dyDescent="0.35">
      <c r="A5202" s="2" t="s">
        <v>2499</v>
      </c>
      <c r="B5202" s="2" t="s">
        <v>2601</v>
      </c>
      <c r="C5202" s="2" t="s">
        <v>62</v>
      </c>
      <c r="D5202" s="2" t="s">
        <v>2623</v>
      </c>
      <c r="E5202" s="2" t="s">
        <v>513</v>
      </c>
      <c r="F5202" s="2" t="s">
        <v>203</v>
      </c>
      <c r="G5202" s="2"/>
      <c r="H5202" s="2"/>
      <c r="I5202" s="2"/>
      <c r="J5202" s="2"/>
    </row>
    <row r="5203" spans="1:10" x14ac:dyDescent="0.35">
      <c r="A5203" s="2" t="s">
        <v>2499</v>
      </c>
      <c r="B5203" s="2" t="s">
        <v>2601</v>
      </c>
      <c r="C5203" s="2" t="s">
        <v>62</v>
      </c>
      <c r="D5203" s="2" t="s">
        <v>2623</v>
      </c>
      <c r="E5203" s="2" t="s">
        <v>2628</v>
      </c>
      <c r="F5203" s="2" t="s">
        <v>107</v>
      </c>
      <c r="G5203" s="2"/>
      <c r="H5203" s="2"/>
      <c r="I5203" s="2"/>
      <c r="J5203" s="2"/>
    </row>
    <row r="5204" spans="1:10" x14ac:dyDescent="0.35">
      <c r="A5204" s="2" t="s">
        <v>2499</v>
      </c>
      <c r="B5204" s="2" t="s">
        <v>2601</v>
      </c>
      <c r="C5204" s="2" t="s">
        <v>24</v>
      </c>
      <c r="D5204" s="2" t="s">
        <v>2629</v>
      </c>
      <c r="E5204" s="2" t="s">
        <v>14</v>
      </c>
      <c r="F5204" s="2" t="s">
        <v>15</v>
      </c>
      <c r="G5204" s="2"/>
      <c r="H5204" s="2"/>
      <c r="I5204" s="2"/>
      <c r="J5204" s="2"/>
    </row>
    <row r="5205" spans="1:10" x14ac:dyDescent="0.35">
      <c r="A5205" s="2" t="s">
        <v>2499</v>
      </c>
      <c r="B5205" s="2" t="s">
        <v>2601</v>
      </c>
      <c r="C5205" s="2" t="s">
        <v>24</v>
      </c>
      <c r="D5205" s="2" t="s">
        <v>2629</v>
      </c>
      <c r="E5205" s="2" t="s">
        <v>91</v>
      </c>
      <c r="F5205" s="2" t="s">
        <v>19</v>
      </c>
      <c r="G5205" s="2" t="s">
        <v>20</v>
      </c>
      <c r="H5205" s="2" t="s">
        <v>2630</v>
      </c>
      <c r="I5205" s="2"/>
      <c r="J5205" s="2"/>
    </row>
    <row r="5206" spans="1:10" x14ac:dyDescent="0.35">
      <c r="A5206" s="2" t="s">
        <v>2499</v>
      </c>
      <c r="B5206" s="2" t="s">
        <v>2601</v>
      </c>
      <c r="C5206" s="2" t="s">
        <v>24</v>
      </c>
      <c r="D5206" s="2" t="s">
        <v>2631</v>
      </c>
      <c r="E5206" s="2" t="s">
        <v>91</v>
      </c>
      <c r="F5206" s="2" t="s">
        <v>19</v>
      </c>
      <c r="G5206" s="2" t="s">
        <v>20</v>
      </c>
      <c r="H5206" s="2" t="s">
        <v>2632</v>
      </c>
      <c r="I5206" s="2"/>
      <c r="J5206" s="2"/>
    </row>
    <row r="5207" spans="1:10" x14ac:dyDescent="0.35">
      <c r="A5207" s="2" t="s">
        <v>2499</v>
      </c>
      <c r="B5207" s="2" t="s">
        <v>2601</v>
      </c>
      <c r="C5207" s="2" t="s">
        <v>24</v>
      </c>
      <c r="D5207" s="2" t="s">
        <v>2633</v>
      </c>
      <c r="E5207" s="2" t="s">
        <v>155</v>
      </c>
      <c r="F5207" s="2" t="s">
        <v>32</v>
      </c>
      <c r="G5207" s="2" t="s">
        <v>20</v>
      </c>
      <c r="H5207" s="2" t="s">
        <v>2584</v>
      </c>
      <c r="I5207" s="2"/>
      <c r="J5207" s="2"/>
    </row>
    <row r="5208" spans="1:10" x14ac:dyDescent="0.35">
      <c r="A5208" s="2" t="s">
        <v>2499</v>
      </c>
      <c r="B5208" s="2" t="s">
        <v>2601</v>
      </c>
      <c r="C5208" s="2" t="s">
        <v>24</v>
      </c>
      <c r="D5208" s="2" t="s">
        <v>2633</v>
      </c>
      <c r="E5208" s="2" t="s">
        <v>416</v>
      </c>
      <c r="F5208" s="2" t="s">
        <v>38</v>
      </c>
      <c r="G5208" s="2" t="s">
        <v>20</v>
      </c>
      <c r="H5208" s="2" t="s">
        <v>2584</v>
      </c>
      <c r="I5208" s="2"/>
      <c r="J5208" s="2"/>
    </row>
    <row r="5209" spans="1:10" x14ac:dyDescent="0.35">
      <c r="A5209" s="2" t="s">
        <v>2499</v>
      </c>
      <c r="B5209" s="2" t="s">
        <v>2601</v>
      </c>
      <c r="C5209" s="2" t="s">
        <v>24</v>
      </c>
      <c r="D5209" s="2" t="s">
        <v>2633</v>
      </c>
      <c r="E5209" s="2" t="s">
        <v>438</v>
      </c>
      <c r="F5209" s="2" t="s">
        <v>19</v>
      </c>
      <c r="G5209" s="2" t="s">
        <v>20</v>
      </c>
      <c r="H5209" s="2" t="s">
        <v>2584</v>
      </c>
      <c r="I5209" s="2"/>
      <c r="J5209" s="2"/>
    </row>
    <row r="5210" spans="1:10" x14ac:dyDescent="0.35">
      <c r="A5210" s="2" t="s">
        <v>2499</v>
      </c>
      <c r="B5210" s="2" t="s">
        <v>2601</v>
      </c>
      <c r="C5210" s="2" t="s">
        <v>24</v>
      </c>
      <c r="D5210" s="2" t="s">
        <v>2633</v>
      </c>
      <c r="E5210" s="2" t="s">
        <v>2634</v>
      </c>
      <c r="F5210" s="2" t="s">
        <v>78</v>
      </c>
      <c r="G5210" s="2" t="s">
        <v>20</v>
      </c>
      <c r="H5210" s="2" t="s">
        <v>2584</v>
      </c>
      <c r="I5210" s="2"/>
      <c r="J5210" s="2"/>
    </row>
    <row r="5211" spans="1:10" x14ac:dyDescent="0.35">
      <c r="A5211" s="2" t="s">
        <v>2499</v>
      </c>
      <c r="B5211" s="2" t="s">
        <v>2601</v>
      </c>
      <c r="C5211" s="2" t="s">
        <v>24</v>
      </c>
      <c r="D5211" s="2" t="s">
        <v>2633</v>
      </c>
      <c r="E5211" s="2" t="s">
        <v>89</v>
      </c>
      <c r="F5211" s="2" t="s">
        <v>45</v>
      </c>
      <c r="G5211" s="2" t="s">
        <v>20</v>
      </c>
      <c r="H5211" s="2" t="s">
        <v>2584</v>
      </c>
      <c r="I5211" s="2"/>
      <c r="J5211" s="2"/>
    </row>
    <row r="5212" spans="1:10" x14ac:dyDescent="0.35">
      <c r="A5212" s="2" t="s">
        <v>2499</v>
      </c>
      <c r="B5212" s="2" t="s">
        <v>2601</v>
      </c>
      <c r="C5212" s="2" t="s">
        <v>24</v>
      </c>
      <c r="D5212" s="2" t="s">
        <v>2633</v>
      </c>
      <c r="E5212" s="2" t="s">
        <v>100</v>
      </c>
      <c r="F5212" s="2" t="s">
        <v>101</v>
      </c>
      <c r="G5212" s="2" t="s">
        <v>20</v>
      </c>
      <c r="H5212" s="2" t="s">
        <v>2584</v>
      </c>
      <c r="I5212" s="2"/>
      <c r="J5212" s="2"/>
    </row>
    <row r="5213" spans="1:10" x14ac:dyDescent="0.35">
      <c r="A5213" s="2" t="s">
        <v>2499</v>
      </c>
      <c r="B5213" s="2" t="s">
        <v>2601</v>
      </c>
      <c r="C5213" s="2" t="s">
        <v>24</v>
      </c>
      <c r="D5213" s="2" t="s">
        <v>2633</v>
      </c>
      <c r="E5213" s="2" t="s">
        <v>2635</v>
      </c>
      <c r="F5213" s="2" t="s">
        <v>65</v>
      </c>
      <c r="G5213" s="2" t="s">
        <v>20</v>
      </c>
      <c r="H5213" s="2" t="s">
        <v>2584</v>
      </c>
      <c r="I5213" s="2"/>
      <c r="J5213" s="2"/>
    </row>
    <row r="5214" spans="1:10" x14ac:dyDescent="0.35">
      <c r="A5214" s="2" t="s">
        <v>2499</v>
      </c>
      <c r="B5214" s="2" t="s">
        <v>2601</v>
      </c>
      <c r="C5214" s="2" t="s">
        <v>24</v>
      </c>
      <c r="D5214" s="2" t="s">
        <v>2633</v>
      </c>
      <c r="E5214" s="2" t="s">
        <v>1982</v>
      </c>
      <c r="F5214" s="2" t="s">
        <v>150</v>
      </c>
      <c r="G5214" s="2" t="s">
        <v>20</v>
      </c>
      <c r="H5214" s="2" t="s">
        <v>2584</v>
      </c>
      <c r="I5214" s="2"/>
      <c r="J5214" s="2"/>
    </row>
    <row r="5215" spans="1:10" x14ac:dyDescent="0.35">
      <c r="A5215" s="2" t="s">
        <v>2499</v>
      </c>
      <c r="B5215" s="2" t="s">
        <v>2601</v>
      </c>
      <c r="C5215" s="2" t="s">
        <v>24</v>
      </c>
      <c r="D5215" s="2" t="s">
        <v>2633</v>
      </c>
      <c r="E5215" s="2" t="s">
        <v>2612</v>
      </c>
      <c r="F5215" s="2" t="s">
        <v>40</v>
      </c>
      <c r="G5215" s="2" t="s">
        <v>20</v>
      </c>
      <c r="H5215" s="2" t="s">
        <v>2584</v>
      </c>
      <c r="I5215" s="2"/>
      <c r="J5215" s="2"/>
    </row>
    <row r="5216" spans="1:10" x14ac:dyDescent="0.35">
      <c r="A5216" s="2" t="s">
        <v>2499</v>
      </c>
      <c r="B5216" s="2" t="s">
        <v>2601</v>
      </c>
      <c r="C5216" s="2" t="s">
        <v>57</v>
      </c>
      <c r="D5216" s="2" t="s">
        <v>2636</v>
      </c>
      <c r="E5216" s="2" t="s">
        <v>196</v>
      </c>
      <c r="F5216" s="2" t="s">
        <v>2583</v>
      </c>
      <c r="G5216" s="2"/>
      <c r="H5216" s="2"/>
      <c r="I5216" s="2"/>
      <c r="J5216" s="2"/>
    </row>
    <row r="5217" spans="1:10" x14ac:dyDescent="0.35">
      <c r="A5217" s="2" t="s">
        <v>2499</v>
      </c>
      <c r="B5217" s="2" t="s">
        <v>2601</v>
      </c>
      <c r="C5217" s="2" t="s">
        <v>57</v>
      </c>
      <c r="D5217" s="2" t="s">
        <v>2636</v>
      </c>
      <c r="E5217" s="2" t="s">
        <v>14</v>
      </c>
      <c r="F5217" s="2" t="s">
        <v>15</v>
      </c>
      <c r="G5217" s="2"/>
      <c r="H5217" s="2"/>
      <c r="I5217" s="2"/>
      <c r="J5217" s="2"/>
    </row>
    <row r="5218" spans="1:10" x14ac:dyDescent="0.35">
      <c r="A5218" s="2" t="s">
        <v>2499</v>
      </c>
      <c r="B5218" s="2" t="s">
        <v>2601</v>
      </c>
      <c r="C5218" s="2" t="s">
        <v>57</v>
      </c>
      <c r="D5218" s="2" t="s">
        <v>2636</v>
      </c>
      <c r="E5218" s="2" t="s">
        <v>144</v>
      </c>
      <c r="F5218" s="2" t="s">
        <v>50</v>
      </c>
      <c r="G5218" s="2"/>
      <c r="H5218" s="2"/>
      <c r="I5218" s="2"/>
      <c r="J5218" s="2"/>
    </row>
    <row r="5219" spans="1:10" x14ac:dyDescent="0.35">
      <c r="A5219" s="2" t="s">
        <v>2499</v>
      </c>
      <c r="B5219" s="2" t="s">
        <v>2601</v>
      </c>
      <c r="C5219" s="2" t="s">
        <v>57</v>
      </c>
      <c r="D5219" s="2" t="s">
        <v>2636</v>
      </c>
      <c r="E5219" s="2" t="s">
        <v>2637</v>
      </c>
      <c r="F5219" s="2" t="s">
        <v>40</v>
      </c>
      <c r="G5219" s="2"/>
      <c r="H5219" s="2"/>
      <c r="I5219" s="2"/>
      <c r="J5219" s="2"/>
    </row>
    <row r="5220" spans="1:10" x14ac:dyDescent="0.35">
      <c r="A5220" s="2" t="s">
        <v>2499</v>
      </c>
      <c r="B5220" s="2" t="s">
        <v>2601</v>
      </c>
      <c r="C5220" s="2" t="s">
        <v>57</v>
      </c>
      <c r="D5220" s="2" t="s">
        <v>2636</v>
      </c>
      <c r="E5220" s="2" t="s">
        <v>31</v>
      </c>
      <c r="F5220" s="2" t="s">
        <v>32</v>
      </c>
      <c r="G5220" s="2"/>
      <c r="H5220" s="2"/>
      <c r="I5220" s="2"/>
      <c r="J5220" s="2"/>
    </row>
    <row r="5221" spans="1:10" x14ac:dyDescent="0.35">
      <c r="A5221" s="2" t="s">
        <v>2499</v>
      </c>
      <c r="B5221" s="2" t="s">
        <v>2601</v>
      </c>
      <c r="C5221" s="2" t="s">
        <v>57</v>
      </c>
      <c r="D5221" s="2" t="s">
        <v>2636</v>
      </c>
      <c r="E5221" s="2" t="s">
        <v>200</v>
      </c>
      <c r="F5221" s="2" t="s">
        <v>201</v>
      </c>
      <c r="G5221" s="2"/>
      <c r="H5221" s="2"/>
      <c r="I5221" s="2"/>
      <c r="J5221" s="2"/>
    </row>
    <row r="5222" spans="1:10" x14ac:dyDescent="0.35">
      <c r="A5222" s="2" t="s">
        <v>2499</v>
      </c>
      <c r="B5222" s="2" t="s">
        <v>2601</v>
      </c>
      <c r="C5222" s="2" t="s">
        <v>57</v>
      </c>
      <c r="D5222" s="2" t="s">
        <v>2636</v>
      </c>
      <c r="E5222" s="2" t="s">
        <v>211</v>
      </c>
      <c r="F5222" s="2" t="s">
        <v>203</v>
      </c>
      <c r="G5222" s="2"/>
      <c r="H5222" s="2"/>
      <c r="I5222" s="2"/>
      <c r="J5222" s="2"/>
    </row>
    <row r="5223" spans="1:10" x14ac:dyDescent="0.35">
      <c r="A5223" s="2" t="s">
        <v>2499</v>
      </c>
      <c r="B5223" s="2" t="s">
        <v>2601</v>
      </c>
      <c r="C5223" s="2" t="s">
        <v>57</v>
      </c>
      <c r="D5223" s="2" t="s">
        <v>2636</v>
      </c>
      <c r="E5223" s="2" t="s">
        <v>1139</v>
      </c>
      <c r="F5223" s="2" t="s">
        <v>60</v>
      </c>
      <c r="G5223" s="2"/>
      <c r="H5223" s="2"/>
      <c r="I5223" s="2"/>
      <c r="J5223" s="2"/>
    </row>
    <row r="5224" spans="1:10" x14ac:dyDescent="0.35">
      <c r="A5224" s="2" t="s">
        <v>2499</v>
      </c>
      <c r="B5224" s="2" t="s">
        <v>2601</v>
      </c>
      <c r="C5224" s="2" t="s">
        <v>57</v>
      </c>
      <c r="D5224" s="2" t="s">
        <v>2636</v>
      </c>
      <c r="E5224" s="2" t="s">
        <v>501</v>
      </c>
      <c r="F5224" s="2" t="s">
        <v>270</v>
      </c>
      <c r="G5224" s="2"/>
      <c r="H5224" s="2"/>
      <c r="I5224" s="2"/>
      <c r="J5224" s="2"/>
    </row>
    <row r="5225" spans="1:10" x14ac:dyDescent="0.35">
      <c r="A5225" s="2" t="s">
        <v>2499</v>
      </c>
      <c r="B5225" s="2" t="s">
        <v>2601</v>
      </c>
      <c r="C5225" s="2" t="s">
        <v>57</v>
      </c>
      <c r="D5225" s="2" t="s">
        <v>2636</v>
      </c>
      <c r="E5225" s="2" t="s">
        <v>156</v>
      </c>
      <c r="F5225" s="2" t="s">
        <v>45</v>
      </c>
      <c r="G5225" s="2" t="s">
        <v>20</v>
      </c>
      <c r="H5225" s="2" t="s">
        <v>2588</v>
      </c>
      <c r="I5225" s="2"/>
      <c r="J5225" s="2"/>
    </row>
    <row r="5226" spans="1:10" x14ac:dyDescent="0.35">
      <c r="A5226" s="2" t="s">
        <v>2499</v>
      </c>
      <c r="B5226" s="2" t="s">
        <v>2601</v>
      </c>
      <c r="C5226" s="2" t="s">
        <v>57</v>
      </c>
      <c r="D5226" s="2" t="s">
        <v>2636</v>
      </c>
      <c r="E5226" s="2" t="s">
        <v>91</v>
      </c>
      <c r="F5226" s="2" t="s">
        <v>19</v>
      </c>
      <c r="G5226" s="2" t="s">
        <v>20</v>
      </c>
      <c r="H5226" s="2" t="s">
        <v>2638</v>
      </c>
      <c r="I5226" s="2"/>
      <c r="J5226" s="2"/>
    </row>
    <row r="5227" spans="1:10" x14ac:dyDescent="0.35">
      <c r="A5227" s="2" t="s">
        <v>2499</v>
      </c>
      <c r="B5227" s="2" t="s">
        <v>2601</v>
      </c>
      <c r="C5227" s="2" t="s">
        <v>57</v>
      </c>
      <c r="D5227" s="2" t="s">
        <v>2636</v>
      </c>
      <c r="E5227" s="2" t="s">
        <v>124</v>
      </c>
      <c r="F5227" s="2" t="s">
        <v>125</v>
      </c>
      <c r="G5227" s="2" t="s">
        <v>46</v>
      </c>
      <c r="H5227" s="2" t="s">
        <v>2639</v>
      </c>
      <c r="I5227" s="2"/>
      <c r="J5227" s="2"/>
    </row>
    <row r="5228" spans="1:10" x14ac:dyDescent="0.35">
      <c r="A5228" s="2" t="s">
        <v>2499</v>
      </c>
      <c r="B5228" s="2" t="s">
        <v>2601</v>
      </c>
      <c r="C5228" s="2" t="s">
        <v>57</v>
      </c>
      <c r="D5228" s="2" t="s">
        <v>2636</v>
      </c>
      <c r="E5228" s="2" t="s">
        <v>100</v>
      </c>
      <c r="F5228" s="2" t="s">
        <v>101</v>
      </c>
      <c r="G5228" s="2"/>
      <c r="H5228" s="2"/>
      <c r="I5228" s="2"/>
      <c r="J5228" s="2"/>
    </row>
    <row r="5229" spans="1:10" x14ac:dyDescent="0.35">
      <c r="A5229" s="2" t="s">
        <v>2499</v>
      </c>
      <c r="B5229" s="2" t="s">
        <v>2601</v>
      </c>
      <c r="C5229" s="2" t="s">
        <v>57</v>
      </c>
      <c r="D5229" s="2" t="s">
        <v>2636</v>
      </c>
      <c r="E5229" s="2" t="s">
        <v>2616</v>
      </c>
      <c r="F5229" s="2" t="s">
        <v>228</v>
      </c>
      <c r="G5229" s="2"/>
      <c r="H5229" s="2"/>
      <c r="I5229" s="2"/>
      <c r="J5229" s="2"/>
    </row>
    <row r="5230" spans="1:10" x14ac:dyDescent="0.35">
      <c r="A5230" s="2" t="s">
        <v>2499</v>
      </c>
      <c r="B5230" s="2" t="s">
        <v>2601</v>
      </c>
      <c r="C5230" s="2" t="s">
        <v>57</v>
      </c>
      <c r="D5230" s="2" t="s">
        <v>2636</v>
      </c>
      <c r="E5230" s="2" t="s">
        <v>939</v>
      </c>
      <c r="F5230" s="2" t="s">
        <v>65</v>
      </c>
      <c r="G5230" s="2"/>
      <c r="H5230" s="2"/>
      <c r="I5230" s="2"/>
      <c r="J5230" s="2"/>
    </row>
    <row r="5231" spans="1:10" x14ac:dyDescent="0.35">
      <c r="A5231" s="2" t="s">
        <v>2499</v>
      </c>
      <c r="B5231" s="2" t="s">
        <v>2601</v>
      </c>
      <c r="C5231" s="2" t="s">
        <v>57</v>
      </c>
      <c r="D5231" s="2" t="s">
        <v>2636</v>
      </c>
      <c r="E5231" s="2" t="s">
        <v>149</v>
      </c>
      <c r="F5231" s="2" t="s">
        <v>150</v>
      </c>
      <c r="G5231" s="2" t="s">
        <v>20</v>
      </c>
      <c r="H5231" s="2" t="s">
        <v>2640</v>
      </c>
      <c r="I5231" s="2"/>
      <c r="J5231" s="2"/>
    </row>
    <row r="5232" spans="1:10" x14ac:dyDescent="0.35">
      <c r="A5232" s="2" t="s">
        <v>2499</v>
      </c>
      <c r="B5232" s="2" t="s">
        <v>2601</v>
      </c>
      <c r="C5232" s="2" t="s">
        <v>57</v>
      </c>
      <c r="D5232" s="2" t="s">
        <v>2636</v>
      </c>
      <c r="E5232" s="2" t="s">
        <v>2612</v>
      </c>
      <c r="F5232" s="2" t="s">
        <v>40</v>
      </c>
      <c r="G5232" s="2"/>
      <c r="H5232" s="2"/>
      <c r="I5232" s="2"/>
      <c r="J5232" s="2"/>
    </row>
    <row r="5233" spans="1:10" s="21" customFormat="1" x14ac:dyDescent="0.35">
      <c r="A5233" s="2" t="s">
        <v>2499</v>
      </c>
      <c r="B5233" s="2" t="s">
        <v>2641</v>
      </c>
      <c r="C5233" s="2" t="s">
        <v>57</v>
      </c>
      <c r="D5233" s="2" t="s">
        <v>2642</v>
      </c>
      <c r="E5233" s="2" t="s">
        <v>14</v>
      </c>
      <c r="F5233" s="2" t="s">
        <v>15</v>
      </c>
      <c r="G5233" s="24"/>
      <c r="H5233" s="2"/>
      <c r="I5233" s="2"/>
      <c r="J5233" s="2"/>
    </row>
    <row r="5234" spans="1:10" s="21" customFormat="1" x14ac:dyDescent="0.35">
      <c r="A5234" s="2" t="s">
        <v>2499</v>
      </c>
      <c r="B5234" s="2" t="s">
        <v>2641</v>
      </c>
      <c r="C5234" s="2" t="s">
        <v>57</v>
      </c>
      <c r="D5234" s="2" t="s">
        <v>2642</v>
      </c>
      <c r="E5234" s="2" t="s">
        <v>87</v>
      </c>
      <c r="F5234" s="2" t="s">
        <v>75</v>
      </c>
      <c r="G5234" s="2" t="s">
        <v>20</v>
      </c>
      <c r="H5234" s="9" t="s">
        <v>2643</v>
      </c>
      <c r="I5234" s="2"/>
      <c r="J5234" s="2"/>
    </row>
    <row r="5235" spans="1:10" s="21" customFormat="1" x14ac:dyDescent="0.35">
      <c r="A5235" s="2" t="s">
        <v>2499</v>
      </c>
      <c r="B5235" s="2" t="s">
        <v>2641</v>
      </c>
      <c r="C5235" s="2" t="s">
        <v>57</v>
      </c>
      <c r="D5235" s="2" t="s">
        <v>2642</v>
      </c>
      <c r="E5235" s="2" t="s">
        <v>149</v>
      </c>
      <c r="F5235" s="2" t="s">
        <v>150</v>
      </c>
      <c r="G5235" s="2" t="s">
        <v>20</v>
      </c>
      <c r="H5235" s="9" t="s">
        <v>2644</v>
      </c>
      <c r="I5235" s="2"/>
      <c r="J5235" s="2"/>
    </row>
    <row r="5236" spans="1:10" s="21" customFormat="1" x14ac:dyDescent="0.35">
      <c r="A5236" s="2" t="s">
        <v>2499</v>
      </c>
      <c r="B5236" s="2" t="s">
        <v>2645</v>
      </c>
      <c r="C5236" s="2" t="s">
        <v>57</v>
      </c>
      <c r="D5236" s="2" t="s">
        <v>2646</v>
      </c>
      <c r="E5236" s="2" t="s">
        <v>393</v>
      </c>
      <c r="F5236" s="2" t="s">
        <v>36</v>
      </c>
      <c r="G5236" s="2"/>
      <c r="H5236" s="2"/>
      <c r="I5236" s="2"/>
      <c r="J5236" s="2"/>
    </row>
    <row r="5237" spans="1:10" s="21" customFormat="1" x14ac:dyDescent="0.35">
      <c r="A5237" s="2" t="s">
        <v>2499</v>
      </c>
      <c r="B5237" s="2" t="s">
        <v>2645</v>
      </c>
      <c r="C5237" s="2" t="s">
        <v>57</v>
      </c>
      <c r="D5237" s="2" t="s">
        <v>2646</v>
      </c>
      <c r="E5237" s="2" t="s">
        <v>18</v>
      </c>
      <c r="F5237" s="2" t="s">
        <v>19</v>
      </c>
      <c r="G5237" s="2" t="s">
        <v>20</v>
      </c>
      <c r="H5237" s="2" t="s">
        <v>2647</v>
      </c>
      <c r="I5237" s="2"/>
      <c r="J5237" s="2"/>
    </row>
    <row r="5238" spans="1:10" s="21" customFormat="1" x14ac:dyDescent="0.35">
      <c r="A5238" s="2" t="s">
        <v>2499</v>
      </c>
      <c r="B5238" s="2" t="s">
        <v>2645</v>
      </c>
      <c r="C5238" s="2" t="s">
        <v>57</v>
      </c>
      <c r="D5238" s="2" t="s">
        <v>2646</v>
      </c>
      <c r="E5238" s="2" t="s">
        <v>628</v>
      </c>
      <c r="F5238" s="2" t="s">
        <v>50</v>
      </c>
      <c r="G5238" s="2"/>
      <c r="H5238" s="2"/>
      <c r="I5238" s="2"/>
      <c r="J5238" s="2"/>
    </row>
    <row r="5239" spans="1:10" s="21" customFormat="1" x14ac:dyDescent="0.35">
      <c r="A5239" s="2" t="s">
        <v>2499</v>
      </c>
      <c r="B5239" s="2" t="s">
        <v>2648</v>
      </c>
      <c r="C5239" s="2" t="s">
        <v>57</v>
      </c>
      <c r="D5239" s="2" t="s">
        <v>2649</v>
      </c>
      <c r="E5239" s="2" t="s">
        <v>74</v>
      </c>
      <c r="F5239" s="2" t="s">
        <v>75</v>
      </c>
      <c r="G5239" s="2" t="s">
        <v>20</v>
      </c>
      <c r="H5239" s="2" t="s">
        <v>2650</v>
      </c>
      <c r="I5239" s="2"/>
      <c r="J5239" s="2"/>
    </row>
    <row r="5240" spans="1:10" s="21" customFormat="1" x14ac:dyDescent="0.35">
      <c r="A5240" s="2" t="s">
        <v>2499</v>
      </c>
      <c r="B5240" s="2" t="s">
        <v>2648</v>
      </c>
      <c r="C5240" s="2" t="s">
        <v>57</v>
      </c>
      <c r="D5240" s="2" t="s">
        <v>2649</v>
      </c>
      <c r="E5240" s="2" t="s">
        <v>14</v>
      </c>
      <c r="F5240" s="2" t="s">
        <v>15</v>
      </c>
      <c r="G5240" s="2"/>
      <c r="H5240" s="2"/>
      <c r="I5240" s="2"/>
      <c r="J5240" s="2"/>
    </row>
    <row r="5241" spans="1:10" s="21" customFormat="1" x14ac:dyDescent="0.35">
      <c r="A5241" s="2" t="s">
        <v>2499</v>
      </c>
      <c r="B5241" s="2" t="s">
        <v>2648</v>
      </c>
      <c r="C5241" s="2" t="s">
        <v>57</v>
      </c>
      <c r="D5241" s="2" t="s">
        <v>2649</v>
      </c>
      <c r="E5241" s="2" t="s">
        <v>1139</v>
      </c>
      <c r="F5241" s="2" t="s">
        <v>60</v>
      </c>
      <c r="G5241" s="2"/>
      <c r="H5241" s="2"/>
      <c r="I5241" s="2"/>
      <c r="J5241" s="2"/>
    </row>
    <row r="5242" spans="1:10" s="21" customFormat="1" x14ac:dyDescent="0.35">
      <c r="A5242" s="2" t="s">
        <v>2499</v>
      </c>
      <c r="B5242" s="2" t="s">
        <v>2648</v>
      </c>
      <c r="C5242" s="2" t="s">
        <v>57</v>
      </c>
      <c r="D5242" s="2" t="s">
        <v>2649</v>
      </c>
      <c r="E5242" s="2" t="s">
        <v>18</v>
      </c>
      <c r="F5242" s="2" t="s">
        <v>19</v>
      </c>
      <c r="G5242" s="2" t="s">
        <v>20</v>
      </c>
      <c r="H5242" s="2" t="s">
        <v>2650</v>
      </c>
      <c r="I5242" s="2"/>
      <c r="J5242" s="2"/>
    </row>
    <row r="5243" spans="1:10" s="21" customFormat="1" x14ac:dyDescent="0.35">
      <c r="A5243" s="2" t="s">
        <v>2499</v>
      </c>
      <c r="B5243" s="2" t="s">
        <v>2648</v>
      </c>
      <c r="C5243" s="2" t="s">
        <v>57</v>
      </c>
      <c r="D5243" s="2" t="s">
        <v>2649</v>
      </c>
      <c r="E5243" s="2" t="s">
        <v>112</v>
      </c>
      <c r="F5243" s="2" t="s">
        <v>2025</v>
      </c>
      <c r="G5243" s="2"/>
      <c r="H5243" s="2"/>
      <c r="I5243" s="2"/>
      <c r="J5243" s="2"/>
    </row>
    <row r="5244" spans="1:10" s="21" customFormat="1" x14ac:dyDescent="0.35">
      <c r="A5244" s="2" t="s">
        <v>2499</v>
      </c>
      <c r="B5244" s="2" t="s">
        <v>2651</v>
      </c>
      <c r="C5244" s="2" t="s">
        <v>57</v>
      </c>
      <c r="D5244" s="2" t="s">
        <v>2652</v>
      </c>
      <c r="E5244" s="2" t="s">
        <v>130</v>
      </c>
      <c r="F5244" s="2" t="s">
        <v>36</v>
      </c>
      <c r="G5244" s="2"/>
      <c r="H5244" s="2"/>
      <c r="I5244" s="2"/>
      <c r="J5244" s="2"/>
    </row>
    <row r="5245" spans="1:10" s="21" customFormat="1" x14ac:dyDescent="0.35">
      <c r="A5245" s="2" t="s">
        <v>2499</v>
      </c>
      <c r="B5245" s="2" t="s">
        <v>2651</v>
      </c>
      <c r="C5245" s="2" t="s">
        <v>57</v>
      </c>
      <c r="D5245" s="2" t="s">
        <v>2652</v>
      </c>
      <c r="E5245" s="2" t="s">
        <v>14</v>
      </c>
      <c r="F5245" s="2" t="s">
        <v>15</v>
      </c>
      <c r="G5245" s="2"/>
      <c r="H5245" s="2"/>
      <c r="I5245" s="2"/>
      <c r="J5245" s="2"/>
    </row>
    <row r="5246" spans="1:10" s="21" customFormat="1" x14ac:dyDescent="0.35">
      <c r="A5246" s="2" t="s">
        <v>2499</v>
      </c>
      <c r="B5246" s="2" t="s">
        <v>2651</v>
      </c>
      <c r="C5246" s="2" t="s">
        <v>57</v>
      </c>
      <c r="D5246" s="2" t="s">
        <v>2652</v>
      </c>
      <c r="E5246" s="2" t="s">
        <v>121</v>
      </c>
      <c r="F5246" s="2" t="s">
        <v>122</v>
      </c>
      <c r="G5246" s="2"/>
      <c r="H5246" s="2"/>
      <c r="I5246" s="2"/>
      <c r="J5246" s="2"/>
    </row>
    <row r="5247" spans="1:10" s="21" customFormat="1" x14ac:dyDescent="0.35">
      <c r="A5247" s="2" t="s">
        <v>2499</v>
      </c>
      <c r="B5247" s="2" t="s">
        <v>2651</v>
      </c>
      <c r="C5247" s="2" t="s">
        <v>57</v>
      </c>
      <c r="D5247" s="2" t="s">
        <v>2652</v>
      </c>
      <c r="E5247" s="2" t="s">
        <v>61</v>
      </c>
      <c r="F5247" s="2" t="s">
        <v>30</v>
      </c>
      <c r="G5247" s="2"/>
      <c r="H5247" s="2"/>
      <c r="I5247" s="2"/>
      <c r="J5247" s="2"/>
    </row>
    <row r="5248" spans="1:10" s="21" customFormat="1" x14ac:dyDescent="0.35">
      <c r="A5248" s="2" t="s">
        <v>2499</v>
      </c>
      <c r="B5248" s="2" t="s">
        <v>2651</v>
      </c>
      <c r="C5248" s="2" t="s">
        <v>57</v>
      </c>
      <c r="D5248" s="2" t="s">
        <v>2652</v>
      </c>
      <c r="E5248" s="2" t="s">
        <v>188</v>
      </c>
      <c r="F5248" s="2" t="s">
        <v>189</v>
      </c>
      <c r="G5248" s="2" t="s">
        <v>20</v>
      </c>
      <c r="H5248" s="2" t="s">
        <v>2653</v>
      </c>
      <c r="I5248" s="2"/>
      <c r="J5248" s="2"/>
    </row>
    <row r="5249" spans="1:10" s="21" customFormat="1" x14ac:dyDescent="0.35">
      <c r="A5249" s="2" t="s">
        <v>2499</v>
      </c>
      <c r="B5249" s="2" t="s">
        <v>2654</v>
      </c>
      <c r="C5249" s="2" t="s">
        <v>57</v>
      </c>
      <c r="D5249" s="2" t="s">
        <v>2655</v>
      </c>
      <c r="E5249" s="2" t="s">
        <v>14</v>
      </c>
      <c r="F5249" s="2" t="s">
        <v>15</v>
      </c>
      <c r="G5249" s="2"/>
      <c r="H5249" s="2"/>
      <c r="I5249" s="2"/>
      <c r="J5249" s="2"/>
    </row>
    <row r="5250" spans="1:10" s="21" customFormat="1" x14ac:dyDescent="0.35">
      <c r="A5250" s="2" t="s">
        <v>2499</v>
      </c>
      <c r="B5250" s="2" t="s">
        <v>2654</v>
      </c>
      <c r="C5250" s="2" t="s">
        <v>57</v>
      </c>
      <c r="D5250" s="2" t="s">
        <v>2655</v>
      </c>
      <c r="E5250" s="2" t="s">
        <v>18</v>
      </c>
      <c r="F5250" s="2" t="s">
        <v>19</v>
      </c>
      <c r="G5250" s="2" t="s">
        <v>20</v>
      </c>
      <c r="H5250" s="2" t="s">
        <v>2656</v>
      </c>
      <c r="I5250" s="2"/>
      <c r="J5250" s="2"/>
    </row>
    <row r="5251" spans="1:10" s="21" customFormat="1" x14ac:dyDescent="0.35">
      <c r="A5251" s="2" t="s">
        <v>2499</v>
      </c>
      <c r="B5251" s="2" t="s">
        <v>2654</v>
      </c>
      <c r="C5251" s="2" t="s">
        <v>57</v>
      </c>
      <c r="D5251" s="2" t="s">
        <v>2655</v>
      </c>
      <c r="E5251" s="2" t="s">
        <v>188</v>
      </c>
      <c r="F5251" s="2" t="s">
        <v>189</v>
      </c>
      <c r="G5251" s="2" t="s">
        <v>20</v>
      </c>
      <c r="H5251" s="2" t="s">
        <v>2657</v>
      </c>
      <c r="I5251" s="2"/>
      <c r="J5251" s="2"/>
    </row>
    <row r="5252" spans="1:10" s="21" customFormat="1" x14ac:dyDescent="0.35">
      <c r="A5252" s="2" t="s">
        <v>2658</v>
      </c>
      <c r="B5252" s="2" t="s">
        <v>2659</v>
      </c>
      <c r="C5252" s="2" t="s">
        <v>24</v>
      </c>
      <c r="D5252" s="2" t="s">
        <v>2660</v>
      </c>
      <c r="E5252" s="2" t="s">
        <v>14</v>
      </c>
      <c r="F5252" s="2" t="s">
        <v>15</v>
      </c>
      <c r="G5252" s="2"/>
      <c r="H5252" s="2"/>
      <c r="I5252" s="2" t="s">
        <v>20</v>
      </c>
      <c r="J5252" s="2" t="s">
        <v>2661</v>
      </c>
    </row>
    <row r="5253" spans="1:10" s="21" customFormat="1" x14ac:dyDescent="0.35">
      <c r="A5253" s="2" t="s">
        <v>2658</v>
      </c>
      <c r="B5253" s="2" t="s">
        <v>2659</v>
      </c>
      <c r="C5253" s="2" t="s">
        <v>24</v>
      </c>
      <c r="D5253" s="2" t="s">
        <v>2660</v>
      </c>
      <c r="E5253" s="2" t="s">
        <v>291</v>
      </c>
      <c r="F5253" s="2" t="s">
        <v>139</v>
      </c>
      <c r="G5253" s="2"/>
      <c r="H5253" s="2"/>
      <c r="I5253" s="2" t="s">
        <v>20</v>
      </c>
      <c r="J5253" s="2" t="s">
        <v>2661</v>
      </c>
    </row>
    <row r="5254" spans="1:10" s="21" customFormat="1" x14ac:dyDescent="0.35">
      <c r="A5254" s="2" t="s">
        <v>2658</v>
      </c>
      <c r="B5254" s="2" t="s">
        <v>2659</v>
      </c>
      <c r="C5254" s="2" t="s">
        <v>24</v>
      </c>
      <c r="D5254" s="2" t="s">
        <v>2660</v>
      </c>
      <c r="E5254" s="2" t="s">
        <v>39</v>
      </c>
      <c r="F5254" s="2" t="s">
        <v>1244</v>
      </c>
      <c r="G5254" s="2" t="s">
        <v>20</v>
      </c>
      <c r="H5254" s="2" t="s">
        <v>2662</v>
      </c>
      <c r="I5254" s="2" t="s">
        <v>20</v>
      </c>
      <c r="J5254" s="2" t="s">
        <v>2661</v>
      </c>
    </row>
    <row r="5255" spans="1:10" s="21" customFormat="1" x14ac:dyDescent="0.35">
      <c r="A5255" s="2" t="s">
        <v>2658</v>
      </c>
      <c r="B5255" s="2" t="s">
        <v>2659</v>
      </c>
      <c r="C5255" s="2" t="s">
        <v>24</v>
      </c>
      <c r="D5255" s="2" t="s">
        <v>2660</v>
      </c>
      <c r="E5255" s="2" t="s">
        <v>61</v>
      </c>
      <c r="F5255" s="2" t="s">
        <v>30</v>
      </c>
      <c r="G5255" s="2"/>
      <c r="H5255" s="2"/>
      <c r="I5255" s="2" t="s">
        <v>20</v>
      </c>
      <c r="J5255" s="2" t="s">
        <v>2661</v>
      </c>
    </row>
    <row r="5256" spans="1:10" s="21" customFormat="1" x14ac:dyDescent="0.35">
      <c r="A5256" s="2" t="s">
        <v>2658</v>
      </c>
      <c r="B5256" s="2" t="s">
        <v>2663</v>
      </c>
      <c r="C5256" s="2" t="s">
        <v>24</v>
      </c>
      <c r="D5256" s="2" t="s">
        <v>2664</v>
      </c>
      <c r="E5256" s="2" t="s">
        <v>14</v>
      </c>
      <c r="F5256" s="2" t="s">
        <v>15</v>
      </c>
      <c r="G5256" s="2"/>
      <c r="H5256" s="2"/>
      <c r="I5256" s="2" t="s">
        <v>20</v>
      </c>
      <c r="J5256" s="2" t="s">
        <v>2278</v>
      </c>
    </row>
    <row r="5257" spans="1:10" s="21" customFormat="1" x14ac:dyDescent="0.35">
      <c r="A5257" s="2" t="s">
        <v>2658</v>
      </c>
      <c r="B5257" s="2" t="s">
        <v>2663</v>
      </c>
      <c r="C5257" s="2" t="s">
        <v>24</v>
      </c>
      <c r="D5257" s="2" t="s">
        <v>2664</v>
      </c>
      <c r="E5257" s="2" t="s">
        <v>31</v>
      </c>
      <c r="F5257" s="2" t="s">
        <v>32</v>
      </c>
      <c r="G5257" s="2"/>
      <c r="H5257" s="2"/>
      <c r="I5257" s="2" t="s">
        <v>20</v>
      </c>
      <c r="J5257" s="2" t="s">
        <v>2278</v>
      </c>
    </row>
    <row r="5258" spans="1:10" s="21" customFormat="1" x14ac:dyDescent="0.35">
      <c r="A5258" s="2" t="s">
        <v>2658</v>
      </c>
      <c r="B5258" s="2" t="s">
        <v>2663</v>
      </c>
      <c r="C5258" s="2" t="s">
        <v>24</v>
      </c>
      <c r="D5258" s="2" t="s">
        <v>2664</v>
      </c>
      <c r="E5258" s="2" t="s">
        <v>528</v>
      </c>
      <c r="F5258" s="2" t="s">
        <v>203</v>
      </c>
      <c r="G5258" s="2"/>
      <c r="H5258" s="2"/>
      <c r="I5258" s="2" t="s">
        <v>20</v>
      </c>
      <c r="J5258" s="2" t="s">
        <v>2278</v>
      </c>
    </row>
    <row r="5259" spans="1:10" s="21" customFormat="1" x14ac:dyDescent="0.35">
      <c r="A5259" s="2" t="s">
        <v>2658</v>
      </c>
      <c r="B5259" s="2" t="s">
        <v>2663</v>
      </c>
      <c r="C5259" s="2" t="s">
        <v>24</v>
      </c>
      <c r="D5259" s="2" t="s">
        <v>2664</v>
      </c>
      <c r="E5259" s="2" t="s">
        <v>291</v>
      </c>
      <c r="F5259" s="2" t="s">
        <v>139</v>
      </c>
      <c r="G5259" s="2"/>
      <c r="H5259" s="2"/>
      <c r="I5259" s="2" t="s">
        <v>20</v>
      </c>
      <c r="J5259" s="2" t="s">
        <v>2278</v>
      </c>
    </row>
    <row r="5260" spans="1:10" s="21" customFormat="1" x14ac:dyDescent="0.35">
      <c r="A5260" s="2" t="s">
        <v>2658</v>
      </c>
      <c r="B5260" s="2" t="s">
        <v>2663</v>
      </c>
      <c r="C5260" s="2" t="s">
        <v>24</v>
      </c>
      <c r="D5260" s="2" t="s">
        <v>2664</v>
      </c>
      <c r="E5260" s="2" t="s">
        <v>35</v>
      </c>
      <c r="F5260" s="2" t="s">
        <v>36</v>
      </c>
      <c r="G5260" s="2"/>
      <c r="H5260" s="2"/>
      <c r="I5260" s="2" t="s">
        <v>20</v>
      </c>
      <c r="J5260" s="2" t="s">
        <v>2278</v>
      </c>
    </row>
    <row r="5261" spans="1:10" s="21" customFormat="1" x14ac:dyDescent="0.35">
      <c r="A5261" s="2" t="s">
        <v>2658</v>
      </c>
      <c r="B5261" s="2" t="s">
        <v>2663</v>
      </c>
      <c r="C5261" s="2" t="s">
        <v>24</v>
      </c>
      <c r="D5261" s="2" t="s">
        <v>2664</v>
      </c>
      <c r="E5261" s="2" t="s">
        <v>77</v>
      </c>
      <c r="F5261" s="2" t="s">
        <v>78</v>
      </c>
      <c r="G5261" s="2"/>
      <c r="H5261" s="2"/>
      <c r="I5261" s="2" t="s">
        <v>20</v>
      </c>
      <c r="J5261" s="2" t="s">
        <v>2278</v>
      </c>
    </row>
    <row r="5262" spans="1:10" s="21" customFormat="1" x14ac:dyDescent="0.35">
      <c r="A5262" s="2" t="s">
        <v>2658</v>
      </c>
      <c r="B5262" s="2" t="s">
        <v>2663</v>
      </c>
      <c r="C5262" s="2" t="s">
        <v>24</v>
      </c>
      <c r="D5262" s="2" t="s">
        <v>2664</v>
      </c>
      <c r="E5262" s="2" t="s">
        <v>61</v>
      </c>
      <c r="F5262" s="2" t="s">
        <v>30</v>
      </c>
      <c r="G5262" s="2"/>
      <c r="H5262" s="2"/>
      <c r="I5262" s="2" t="s">
        <v>20</v>
      </c>
      <c r="J5262" s="2" t="s">
        <v>2278</v>
      </c>
    </row>
    <row r="5263" spans="1:10" s="21" customFormat="1" x14ac:dyDescent="0.35">
      <c r="A5263" s="2" t="s">
        <v>2658</v>
      </c>
      <c r="B5263" s="2" t="s">
        <v>2663</v>
      </c>
      <c r="C5263" s="2" t="s">
        <v>24</v>
      </c>
      <c r="D5263" s="2" t="s">
        <v>2664</v>
      </c>
      <c r="E5263" s="2" t="s">
        <v>18</v>
      </c>
      <c r="F5263" s="2" t="s">
        <v>19</v>
      </c>
      <c r="G5263" s="2" t="s">
        <v>20</v>
      </c>
      <c r="H5263" s="2" t="s">
        <v>2665</v>
      </c>
      <c r="I5263" s="2" t="s">
        <v>20</v>
      </c>
      <c r="J5263" s="2" t="s">
        <v>2278</v>
      </c>
    </row>
    <row r="5264" spans="1:10" s="21" customFormat="1" x14ac:dyDescent="0.35">
      <c r="A5264" s="2" t="s">
        <v>2658</v>
      </c>
      <c r="B5264" s="2" t="s">
        <v>2663</v>
      </c>
      <c r="C5264" s="2" t="s">
        <v>24</v>
      </c>
      <c r="D5264" s="2" t="s">
        <v>2664</v>
      </c>
      <c r="E5264" s="2" t="s">
        <v>149</v>
      </c>
      <c r="F5264" s="2" t="s">
        <v>150</v>
      </c>
      <c r="G5264" s="2" t="s">
        <v>20</v>
      </c>
      <c r="H5264" s="2" t="s">
        <v>2666</v>
      </c>
      <c r="I5264" s="2" t="s">
        <v>20</v>
      </c>
      <c r="J5264" s="2" t="s">
        <v>2278</v>
      </c>
    </row>
    <row r="5265" spans="1:10" x14ac:dyDescent="0.35">
      <c r="A5265" s="2" t="s">
        <v>2658</v>
      </c>
      <c r="B5265" s="2" t="s">
        <v>2667</v>
      </c>
      <c r="C5265" s="2" t="s">
        <v>57</v>
      </c>
      <c r="D5265" s="2" t="s">
        <v>2668</v>
      </c>
      <c r="E5265" s="2" t="s">
        <v>14</v>
      </c>
      <c r="F5265" s="2" t="s">
        <v>15</v>
      </c>
      <c r="G5265" s="2" t="s">
        <v>16</v>
      </c>
      <c r="H5265" s="2" t="s">
        <v>1926</v>
      </c>
      <c r="I5265" s="2"/>
      <c r="J5265" s="2"/>
    </row>
    <row r="5266" spans="1:10" x14ac:dyDescent="0.35">
      <c r="A5266" s="2" t="s">
        <v>2658</v>
      </c>
      <c r="B5266" s="2" t="s">
        <v>2667</v>
      </c>
      <c r="C5266" s="2" t="s">
        <v>57</v>
      </c>
      <c r="D5266" s="2" t="s">
        <v>2668</v>
      </c>
      <c r="E5266" s="2" t="s">
        <v>27</v>
      </c>
      <c r="F5266" s="2" t="s">
        <v>28</v>
      </c>
      <c r="G5266" s="2"/>
      <c r="H5266" s="2"/>
      <c r="I5266" s="2"/>
      <c r="J5266" s="2"/>
    </row>
    <row r="5267" spans="1:10" x14ac:dyDescent="0.35">
      <c r="A5267" s="2" t="s">
        <v>2658</v>
      </c>
      <c r="B5267" s="2" t="s">
        <v>2667</v>
      </c>
      <c r="C5267" s="2" t="s">
        <v>57</v>
      </c>
      <c r="D5267" s="2" t="s">
        <v>2668</v>
      </c>
      <c r="E5267" s="2" t="s">
        <v>121</v>
      </c>
      <c r="F5267" s="2" t="s">
        <v>122</v>
      </c>
      <c r="G5267" s="2"/>
      <c r="H5267" s="2"/>
      <c r="I5267" s="2"/>
      <c r="J5267" s="2"/>
    </row>
    <row r="5268" spans="1:10" x14ac:dyDescent="0.35">
      <c r="A5268" s="2" t="s">
        <v>2658</v>
      </c>
      <c r="B5268" s="2" t="s">
        <v>2667</v>
      </c>
      <c r="C5268" s="2" t="s">
        <v>57</v>
      </c>
      <c r="D5268" s="2" t="s">
        <v>2668</v>
      </c>
      <c r="E5268" s="2" t="s">
        <v>149</v>
      </c>
      <c r="F5268" s="2" t="s">
        <v>150</v>
      </c>
      <c r="G5268" s="2" t="s">
        <v>16</v>
      </c>
      <c r="H5268" s="2" t="s">
        <v>2669</v>
      </c>
      <c r="I5268" s="2"/>
      <c r="J5268" s="2"/>
    </row>
    <row r="5269" spans="1:10" x14ac:dyDescent="0.35">
      <c r="A5269" s="2" t="s">
        <v>2658</v>
      </c>
      <c r="B5269" s="2" t="s">
        <v>2667</v>
      </c>
      <c r="C5269" s="2" t="s">
        <v>24</v>
      </c>
      <c r="D5269" s="2" t="s">
        <v>2670</v>
      </c>
      <c r="E5269" s="2" t="s">
        <v>14</v>
      </c>
      <c r="F5269" s="2" t="s">
        <v>15</v>
      </c>
      <c r="G5269" s="2"/>
      <c r="H5269" s="2"/>
      <c r="I5269" s="2"/>
      <c r="J5269" s="2"/>
    </row>
    <row r="5270" spans="1:10" x14ac:dyDescent="0.35">
      <c r="A5270" s="2" t="s">
        <v>2658</v>
      </c>
      <c r="B5270" s="2" t="s">
        <v>2667</v>
      </c>
      <c r="C5270" s="2" t="s">
        <v>24</v>
      </c>
      <c r="D5270" s="2" t="s">
        <v>2670</v>
      </c>
      <c r="E5270" s="2" t="s">
        <v>393</v>
      </c>
      <c r="F5270" s="2" t="s">
        <v>36</v>
      </c>
      <c r="G5270" s="2"/>
      <c r="H5270" s="2"/>
      <c r="I5270" s="2"/>
      <c r="J5270" s="2"/>
    </row>
    <row r="5271" spans="1:10" x14ac:dyDescent="0.35">
      <c r="A5271" s="2" t="s">
        <v>2658</v>
      </c>
      <c r="B5271" s="2" t="s">
        <v>2667</v>
      </c>
      <c r="C5271" s="2" t="s">
        <v>24</v>
      </c>
      <c r="D5271" s="2" t="s">
        <v>2670</v>
      </c>
      <c r="E5271" s="2" t="s">
        <v>91</v>
      </c>
      <c r="F5271" s="2" t="s">
        <v>19</v>
      </c>
      <c r="G5271" s="2" t="s">
        <v>16</v>
      </c>
      <c r="H5271" s="2" t="s">
        <v>2671</v>
      </c>
      <c r="I5271" s="2"/>
      <c r="J5271" s="2"/>
    </row>
    <row r="5272" spans="1:10" x14ac:dyDescent="0.35">
      <c r="A5272" s="2" t="s">
        <v>2658</v>
      </c>
      <c r="B5272" s="2" t="s">
        <v>2667</v>
      </c>
      <c r="C5272" s="2" t="s">
        <v>24</v>
      </c>
      <c r="D5272" s="2" t="s">
        <v>2670</v>
      </c>
      <c r="E5272" s="2" t="s">
        <v>89</v>
      </c>
      <c r="F5272" s="2" t="s">
        <v>45</v>
      </c>
      <c r="G5272" s="2" t="s">
        <v>16</v>
      </c>
      <c r="H5272" s="2" t="s">
        <v>2672</v>
      </c>
      <c r="I5272" s="2"/>
      <c r="J5272" s="2"/>
    </row>
    <row r="5273" spans="1:10" x14ac:dyDescent="0.35">
      <c r="A5273" s="2" t="s">
        <v>2658</v>
      </c>
      <c r="B5273" s="2" t="s">
        <v>2667</v>
      </c>
      <c r="C5273" s="2" t="s">
        <v>62</v>
      </c>
      <c r="D5273" s="2" t="s">
        <v>2673</v>
      </c>
      <c r="E5273" s="2" t="s">
        <v>14</v>
      </c>
      <c r="F5273" s="2" t="s">
        <v>15</v>
      </c>
      <c r="G5273" s="2"/>
      <c r="H5273" s="2"/>
      <c r="I5273" s="2"/>
      <c r="J5273" s="2"/>
    </row>
    <row r="5274" spans="1:10" x14ac:dyDescent="0.35">
      <c r="A5274" s="2" t="s">
        <v>2658</v>
      </c>
      <c r="B5274" s="2" t="s">
        <v>2667</v>
      </c>
      <c r="C5274" s="2" t="s">
        <v>62</v>
      </c>
      <c r="D5274" s="2" t="s">
        <v>2673</v>
      </c>
      <c r="E5274" s="2" t="s">
        <v>27</v>
      </c>
      <c r="F5274" s="2" t="s">
        <v>28</v>
      </c>
      <c r="G5274" s="2"/>
      <c r="H5274" s="2"/>
      <c r="I5274" s="2"/>
      <c r="J5274" s="2"/>
    </row>
    <row r="5275" spans="1:10" x14ac:dyDescent="0.35">
      <c r="A5275" s="2" t="s">
        <v>2658</v>
      </c>
      <c r="B5275" s="2" t="s">
        <v>2667</v>
      </c>
      <c r="C5275" s="2" t="s">
        <v>62</v>
      </c>
      <c r="D5275" s="2" t="s">
        <v>2673</v>
      </c>
      <c r="E5275" s="2" t="s">
        <v>87</v>
      </c>
      <c r="F5275" s="2" t="s">
        <v>75</v>
      </c>
      <c r="G5275" s="2" t="s">
        <v>16</v>
      </c>
      <c r="H5275" s="2" t="s">
        <v>2674</v>
      </c>
      <c r="I5275" s="2"/>
      <c r="J5275" s="2"/>
    </row>
    <row r="5276" spans="1:10" x14ac:dyDescent="0.35">
      <c r="A5276" s="2" t="s">
        <v>2658</v>
      </c>
      <c r="B5276" s="2" t="s">
        <v>2667</v>
      </c>
      <c r="C5276" s="2" t="s">
        <v>62</v>
      </c>
      <c r="D5276" s="2" t="s">
        <v>2673</v>
      </c>
      <c r="E5276" s="2" t="s">
        <v>127</v>
      </c>
      <c r="F5276" s="2" t="s">
        <v>107</v>
      </c>
      <c r="G5276" s="2"/>
      <c r="H5276" s="2"/>
      <c r="I5276" s="2"/>
      <c r="J5276" s="2"/>
    </row>
    <row r="5277" spans="1:10" x14ac:dyDescent="0.35">
      <c r="A5277" s="2" t="s">
        <v>2658</v>
      </c>
      <c r="B5277" s="2" t="s">
        <v>2675</v>
      </c>
      <c r="C5277" s="2" t="s">
        <v>57</v>
      </c>
      <c r="D5277" s="2" t="s">
        <v>2676</v>
      </c>
      <c r="E5277" s="2" t="s">
        <v>14</v>
      </c>
      <c r="F5277" s="2" t="s">
        <v>15</v>
      </c>
      <c r="G5277" s="2"/>
      <c r="H5277" s="2"/>
      <c r="I5277" s="2"/>
      <c r="J5277" s="2"/>
    </row>
    <row r="5278" spans="1:10" x14ac:dyDescent="0.35">
      <c r="A5278" s="2" t="s">
        <v>2658</v>
      </c>
      <c r="B5278" s="2" t="s">
        <v>2675</v>
      </c>
      <c r="C5278" s="2" t="s">
        <v>57</v>
      </c>
      <c r="D5278" s="2" t="s">
        <v>2676</v>
      </c>
      <c r="E5278" s="2" t="s">
        <v>27</v>
      </c>
      <c r="F5278" s="2" t="s">
        <v>28</v>
      </c>
      <c r="G5278" s="2" t="s">
        <v>16</v>
      </c>
      <c r="H5278" s="2" t="s">
        <v>2677</v>
      </c>
      <c r="I5278" s="2"/>
      <c r="J5278" s="2"/>
    </row>
    <row r="5279" spans="1:10" x14ac:dyDescent="0.35">
      <c r="A5279" s="2" t="s">
        <v>2658</v>
      </c>
      <c r="B5279" s="2" t="s">
        <v>2675</v>
      </c>
      <c r="C5279" s="2" t="s">
        <v>57</v>
      </c>
      <c r="D5279" s="2" t="s">
        <v>2676</v>
      </c>
      <c r="E5279" s="2" t="s">
        <v>1145</v>
      </c>
      <c r="F5279" s="2" t="s">
        <v>15</v>
      </c>
      <c r="G5279" s="2"/>
      <c r="H5279" s="2"/>
      <c r="I5279" s="2"/>
      <c r="J5279" s="2"/>
    </row>
    <row r="5280" spans="1:10" x14ac:dyDescent="0.35">
      <c r="A5280" s="2" t="s">
        <v>2658</v>
      </c>
      <c r="B5280" s="2" t="s">
        <v>2675</v>
      </c>
      <c r="C5280" s="2" t="s">
        <v>54</v>
      </c>
      <c r="D5280" s="2" t="s">
        <v>2678</v>
      </c>
      <c r="E5280" s="2" t="s">
        <v>74</v>
      </c>
      <c r="F5280" s="2" t="s">
        <v>75</v>
      </c>
      <c r="G5280" s="2" t="s">
        <v>16</v>
      </c>
      <c r="H5280" s="2" t="s">
        <v>2679</v>
      </c>
      <c r="I5280" s="2"/>
      <c r="J5280" s="2"/>
    </row>
    <row r="5281" spans="1:10" x14ac:dyDescent="0.35">
      <c r="A5281" s="2" t="s">
        <v>2658</v>
      </c>
      <c r="B5281" s="2" t="s">
        <v>2675</v>
      </c>
      <c r="C5281" s="2" t="s">
        <v>54</v>
      </c>
      <c r="D5281" s="2" t="s">
        <v>2678</v>
      </c>
      <c r="E5281" s="2" t="s">
        <v>14</v>
      </c>
      <c r="F5281" s="2" t="s">
        <v>15</v>
      </c>
      <c r="G5281" s="2"/>
      <c r="H5281" s="2"/>
      <c r="I5281" s="2"/>
      <c r="J5281" s="2"/>
    </row>
    <row r="5282" spans="1:10" x14ac:dyDescent="0.35">
      <c r="A5282" s="2" t="s">
        <v>2658</v>
      </c>
      <c r="B5282" s="2" t="s">
        <v>2675</v>
      </c>
      <c r="C5282" s="2" t="s">
        <v>54</v>
      </c>
      <c r="D5282" s="2" t="s">
        <v>2678</v>
      </c>
      <c r="E5282" s="2" t="s">
        <v>33</v>
      </c>
      <c r="F5282" s="2" t="s">
        <v>34</v>
      </c>
      <c r="G5282" s="2"/>
      <c r="H5282" s="2"/>
      <c r="I5282" s="2"/>
      <c r="J5282" s="2"/>
    </row>
    <row r="5283" spans="1:10" x14ac:dyDescent="0.35">
      <c r="A5283" s="2" t="s">
        <v>2658</v>
      </c>
      <c r="B5283" s="2" t="s">
        <v>2680</v>
      </c>
      <c r="C5283" s="2" t="s">
        <v>57</v>
      </c>
      <c r="D5283" s="2" t="s">
        <v>2681</v>
      </c>
      <c r="E5283" s="2" t="s">
        <v>14</v>
      </c>
      <c r="F5283" s="2" t="s">
        <v>15</v>
      </c>
      <c r="G5283" s="2"/>
      <c r="H5283" s="2"/>
      <c r="I5283" s="2"/>
      <c r="J5283" s="2"/>
    </row>
    <row r="5284" spans="1:10" x14ac:dyDescent="0.35">
      <c r="A5284" s="2" t="s">
        <v>2658</v>
      </c>
      <c r="B5284" s="2" t="s">
        <v>2680</v>
      </c>
      <c r="C5284" s="2" t="s">
        <v>57</v>
      </c>
      <c r="D5284" s="2" t="s">
        <v>2681</v>
      </c>
      <c r="E5284" s="2" t="s">
        <v>121</v>
      </c>
      <c r="F5284" s="2" t="s">
        <v>122</v>
      </c>
      <c r="G5284" s="2" t="s">
        <v>16</v>
      </c>
      <c r="H5284" s="2" t="s">
        <v>2682</v>
      </c>
      <c r="I5284" s="2"/>
      <c r="J5284" s="2"/>
    </row>
    <row r="5285" spans="1:10" x14ac:dyDescent="0.35">
      <c r="A5285" s="2" t="s">
        <v>2658</v>
      </c>
      <c r="B5285" s="2" t="s">
        <v>2680</v>
      </c>
      <c r="C5285" s="2" t="s">
        <v>57</v>
      </c>
      <c r="D5285" s="2" t="s">
        <v>2681</v>
      </c>
      <c r="E5285" s="2" t="s">
        <v>393</v>
      </c>
      <c r="F5285" s="2" t="s">
        <v>36</v>
      </c>
      <c r="G5285" s="2"/>
      <c r="H5285" s="2"/>
      <c r="I5285" s="2"/>
      <c r="J5285" s="2"/>
    </row>
    <row r="5286" spans="1:10" x14ac:dyDescent="0.35">
      <c r="A5286" s="2" t="s">
        <v>2658</v>
      </c>
      <c r="B5286" s="2" t="s">
        <v>2680</v>
      </c>
      <c r="C5286" s="2" t="s">
        <v>57</v>
      </c>
      <c r="D5286" s="2" t="s">
        <v>2681</v>
      </c>
      <c r="E5286" s="2" t="s">
        <v>87</v>
      </c>
      <c r="F5286" s="2" t="s">
        <v>75</v>
      </c>
      <c r="G5286" s="2" t="s">
        <v>16</v>
      </c>
      <c r="H5286" s="2" t="s">
        <v>2683</v>
      </c>
      <c r="I5286" s="2"/>
      <c r="J5286" s="2"/>
    </row>
    <row r="5287" spans="1:10" x14ac:dyDescent="0.35">
      <c r="A5287" s="2" t="s">
        <v>2658</v>
      </c>
      <c r="B5287" s="2" t="s">
        <v>2680</v>
      </c>
      <c r="C5287" s="2" t="s">
        <v>57</v>
      </c>
      <c r="D5287" s="2" t="s">
        <v>2681</v>
      </c>
      <c r="E5287" s="2" t="s">
        <v>149</v>
      </c>
      <c r="F5287" s="2" t="s">
        <v>150</v>
      </c>
      <c r="G5287" s="2" t="s">
        <v>16</v>
      </c>
      <c r="H5287" s="2" t="s">
        <v>2684</v>
      </c>
      <c r="I5287" s="2"/>
      <c r="J5287" s="2"/>
    </row>
    <row r="5288" spans="1:10" x14ac:dyDescent="0.35">
      <c r="A5288" s="2" t="s">
        <v>2658</v>
      </c>
      <c r="B5288" s="2" t="s">
        <v>2680</v>
      </c>
      <c r="C5288" s="2" t="s">
        <v>24</v>
      </c>
      <c r="D5288" s="2" t="s">
        <v>2685</v>
      </c>
      <c r="E5288" s="2" t="s">
        <v>121</v>
      </c>
      <c r="F5288" s="2" t="s">
        <v>122</v>
      </c>
      <c r="G5288" s="2"/>
      <c r="H5288" s="2"/>
      <c r="I5288" s="2"/>
      <c r="J5288" s="2"/>
    </row>
    <row r="5289" spans="1:10" x14ac:dyDescent="0.35">
      <c r="A5289" s="2" t="s">
        <v>2658</v>
      </c>
      <c r="B5289" s="2" t="s">
        <v>2680</v>
      </c>
      <c r="C5289" s="2" t="s">
        <v>24</v>
      </c>
      <c r="D5289" s="2" t="s">
        <v>2685</v>
      </c>
      <c r="E5289" s="2" t="s">
        <v>91</v>
      </c>
      <c r="F5289" s="2" t="s">
        <v>19</v>
      </c>
      <c r="G5289" s="2" t="s">
        <v>16</v>
      </c>
      <c r="H5289" s="2" t="s">
        <v>2686</v>
      </c>
      <c r="I5289" s="2"/>
      <c r="J5289" s="2"/>
    </row>
    <row r="5290" spans="1:10" x14ac:dyDescent="0.35">
      <c r="A5290" s="2" t="s">
        <v>2658</v>
      </c>
      <c r="B5290" s="2" t="s">
        <v>2680</v>
      </c>
      <c r="C5290" s="2" t="s">
        <v>24</v>
      </c>
      <c r="D5290" s="2" t="s">
        <v>2687</v>
      </c>
      <c r="E5290" s="2" t="s">
        <v>14</v>
      </c>
      <c r="F5290" s="2" t="s">
        <v>15</v>
      </c>
      <c r="G5290" s="2"/>
      <c r="H5290" s="2"/>
      <c r="I5290" s="2"/>
      <c r="J5290" s="2"/>
    </row>
    <row r="5291" spans="1:10" x14ac:dyDescent="0.35">
      <c r="A5291" s="2" t="s">
        <v>2658</v>
      </c>
      <c r="B5291" s="2" t="s">
        <v>2680</v>
      </c>
      <c r="C5291" s="2" t="s">
        <v>24</v>
      </c>
      <c r="D5291" s="2" t="s">
        <v>2687</v>
      </c>
      <c r="E5291" s="2" t="s">
        <v>87</v>
      </c>
      <c r="F5291" s="2" t="s">
        <v>75</v>
      </c>
      <c r="G5291" s="2" t="s">
        <v>16</v>
      </c>
      <c r="H5291" s="2" t="s">
        <v>2688</v>
      </c>
      <c r="I5291" s="2"/>
      <c r="J5291" s="2"/>
    </row>
    <row r="5292" spans="1:10" x14ac:dyDescent="0.35">
      <c r="A5292" s="2" t="s">
        <v>2658</v>
      </c>
      <c r="B5292" s="2" t="s">
        <v>2680</v>
      </c>
      <c r="C5292" s="2" t="s">
        <v>24</v>
      </c>
      <c r="D5292" s="2" t="s">
        <v>2687</v>
      </c>
      <c r="E5292" s="2" t="s">
        <v>42</v>
      </c>
      <c r="F5292" s="2" t="s">
        <v>43</v>
      </c>
      <c r="G5292" s="2"/>
      <c r="H5292" s="2"/>
      <c r="I5292" s="2"/>
      <c r="J5292" s="2"/>
    </row>
    <row r="5293" spans="1:10" x14ac:dyDescent="0.35">
      <c r="A5293" s="2" t="s">
        <v>2658</v>
      </c>
      <c r="B5293" s="2" t="s">
        <v>2689</v>
      </c>
      <c r="C5293" s="2" t="s">
        <v>24</v>
      </c>
      <c r="D5293" s="2" t="s">
        <v>2690</v>
      </c>
      <c r="E5293" s="2" t="s">
        <v>998</v>
      </c>
      <c r="F5293" s="2" t="s">
        <v>40</v>
      </c>
      <c r="G5293" s="2"/>
      <c r="H5293" s="2"/>
      <c r="I5293" s="2"/>
      <c r="J5293" s="2"/>
    </row>
    <row r="5294" spans="1:10" x14ac:dyDescent="0.35">
      <c r="A5294" s="2" t="s">
        <v>2658</v>
      </c>
      <c r="B5294" s="2" t="s">
        <v>2689</v>
      </c>
      <c r="C5294" s="2" t="s">
        <v>24</v>
      </c>
      <c r="D5294" s="2" t="s">
        <v>2690</v>
      </c>
      <c r="E5294" s="2" t="s">
        <v>138</v>
      </c>
      <c r="F5294" s="2" t="s">
        <v>139</v>
      </c>
      <c r="G5294" s="2"/>
      <c r="H5294" s="2"/>
      <c r="I5294" s="2"/>
      <c r="J5294" s="2"/>
    </row>
    <row r="5295" spans="1:10" x14ac:dyDescent="0.35">
      <c r="A5295" s="2" t="s">
        <v>2658</v>
      </c>
      <c r="B5295" s="2" t="s">
        <v>2689</v>
      </c>
      <c r="C5295" s="2" t="s">
        <v>24</v>
      </c>
      <c r="D5295" s="2" t="s">
        <v>2690</v>
      </c>
      <c r="E5295" s="2" t="s">
        <v>121</v>
      </c>
      <c r="F5295" s="2" t="s">
        <v>122</v>
      </c>
      <c r="G5295" s="2"/>
      <c r="H5295" s="2"/>
      <c r="I5295" s="2"/>
      <c r="J5295" s="2"/>
    </row>
    <row r="5296" spans="1:10" x14ac:dyDescent="0.35">
      <c r="A5296" s="2" t="s">
        <v>2658</v>
      </c>
      <c r="B5296" s="2" t="s">
        <v>2689</v>
      </c>
      <c r="C5296" s="2" t="s">
        <v>24</v>
      </c>
      <c r="D5296" s="2" t="s">
        <v>2690</v>
      </c>
      <c r="E5296" s="2" t="s">
        <v>18</v>
      </c>
      <c r="F5296" s="2" t="s">
        <v>19</v>
      </c>
      <c r="G5296" s="2" t="s">
        <v>16</v>
      </c>
      <c r="H5296" s="2" t="s">
        <v>2691</v>
      </c>
      <c r="I5296" s="2"/>
      <c r="J5296" s="2"/>
    </row>
    <row r="5297" spans="1:10" x14ac:dyDescent="0.35">
      <c r="A5297" s="2" t="s">
        <v>2658</v>
      </c>
      <c r="B5297" s="2" t="s">
        <v>2689</v>
      </c>
      <c r="C5297" s="2" t="s">
        <v>24</v>
      </c>
      <c r="D5297" s="2" t="s">
        <v>2690</v>
      </c>
      <c r="E5297" s="2" t="s">
        <v>61</v>
      </c>
      <c r="F5297" s="2" t="s">
        <v>30</v>
      </c>
      <c r="G5297" s="2"/>
      <c r="H5297" s="2"/>
      <c r="I5297" s="2"/>
      <c r="J5297" s="2"/>
    </row>
    <row r="5298" spans="1:10" x14ac:dyDescent="0.35">
      <c r="A5298" s="2" t="s">
        <v>2658</v>
      </c>
      <c r="B5298" s="2" t="s">
        <v>2689</v>
      </c>
      <c r="C5298" s="2" t="s">
        <v>24</v>
      </c>
      <c r="D5298" s="2" t="s">
        <v>2690</v>
      </c>
      <c r="E5298" s="2" t="s">
        <v>188</v>
      </c>
      <c r="F5298" s="2" t="s">
        <v>189</v>
      </c>
      <c r="G5298" s="2"/>
      <c r="H5298" s="2"/>
      <c r="I5298" s="2"/>
      <c r="J5298" s="2"/>
    </row>
    <row r="5299" spans="1:10" x14ac:dyDescent="0.35">
      <c r="A5299" s="2" t="s">
        <v>2658</v>
      </c>
      <c r="B5299" s="2" t="s">
        <v>2689</v>
      </c>
      <c r="C5299" s="2" t="s">
        <v>24</v>
      </c>
      <c r="D5299" s="2" t="s">
        <v>2690</v>
      </c>
      <c r="E5299" s="2" t="s">
        <v>149</v>
      </c>
      <c r="F5299" s="2" t="s">
        <v>150</v>
      </c>
      <c r="G5299" s="2" t="s">
        <v>16</v>
      </c>
      <c r="H5299" s="2" t="s">
        <v>2692</v>
      </c>
      <c r="I5299" s="2"/>
      <c r="J5299" s="2"/>
    </row>
    <row r="5300" spans="1:10" x14ac:dyDescent="0.35">
      <c r="A5300" s="2" t="s">
        <v>2658</v>
      </c>
      <c r="B5300" s="2" t="s">
        <v>2689</v>
      </c>
      <c r="C5300" s="2" t="s">
        <v>57</v>
      </c>
      <c r="D5300" s="2" t="s">
        <v>2693</v>
      </c>
      <c r="E5300" s="2" t="s">
        <v>14</v>
      </c>
      <c r="F5300" s="2" t="s">
        <v>15</v>
      </c>
      <c r="G5300" s="2"/>
      <c r="H5300" s="2"/>
      <c r="I5300" s="2"/>
      <c r="J5300" s="2"/>
    </row>
    <row r="5301" spans="1:10" x14ac:dyDescent="0.35">
      <c r="A5301" s="2" t="s">
        <v>2658</v>
      </c>
      <c r="B5301" s="2" t="s">
        <v>2689</v>
      </c>
      <c r="C5301" s="2" t="s">
        <v>57</v>
      </c>
      <c r="D5301" s="2" t="s">
        <v>2693</v>
      </c>
      <c r="E5301" s="2" t="s">
        <v>27</v>
      </c>
      <c r="F5301" s="2" t="s">
        <v>28</v>
      </c>
      <c r="G5301" s="2" t="s">
        <v>20</v>
      </c>
      <c r="H5301" s="2" t="s">
        <v>2694</v>
      </c>
      <c r="I5301" s="2"/>
      <c r="J5301" s="2"/>
    </row>
    <row r="5302" spans="1:10" x14ac:dyDescent="0.35">
      <c r="A5302" s="2" t="s">
        <v>2658</v>
      </c>
      <c r="B5302" s="2" t="s">
        <v>2689</v>
      </c>
      <c r="C5302" s="2" t="s">
        <v>57</v>
      </c>
      <c r="D5302" s="2" t="s">
        <v>2693</v>
      </c>
      <c r="E5302" s="2" t="s">
        <v>120</v>
      </c>
      <c r="F5302" s="2" t="s">
        <v>32</v>
      </c>
      <c r="G5302" s="2" t="s">
        <v>16</v>
      </c>
      <c r="H5302" s="2" t="s">
        <v>2695</v>
      </c>
      <c r="I5302" s="2"/>
      <c r="J5302" s="2"/>
    </row>
    <row r="5303" spans="1:10" x14ac:dyDescent="0.35">
      <c r="A5303" s="2" t="s">
        <v>2658</v>
      </c>
      <c r="B5303" s="2" t="s">
        <v>2689</v>
      </c>
      <c r="C5303" s="2" t="s">
        <v>57</v>
      </c>
      <c r="D5303" s="2" t="s">
        <v>2693</v>
      </c>
      <c r="E5303" s="2" t="s">
        <v>1145</v>
      </c>
      <c r="F5303" s="2" t="s">
        <v>15</v>
      </c>
      <c r="G5303" s="2"/>
      <c r="H5303" s="2"/>
      <c r="I5303" s="2"/>
      <c r="J5303" s="2"/>
    </row>
    <row r="5304" spans="1:10" x14ac:dyDescent="0.35">
      <c r="A5304" s="2" t="s">
        <v>2658</v>
      </c>
      <c r="B5304" s="2" t="s">
        <v>2689</v>
      </c>
      <c r="C5304" s="2" t="s">
        <v>57</v>
      </c>
      <c r="D5304" s="2" t="s">
        <v>2693</v>
      </c>
      <c r="E5304" s="2" t="s">
        <v>416</v>
      </c>
      <c r="F5304" s="2" t="s">
        <v>38</v>
      </c>
      <c r="G5304" s="2"/>
      <c r="H5304" s="2"/>
      <c r="I5304" s="2"/>
      <c r="J5304" s="2"/>
    </row>
    <row r="5305" spans="1:10" x14ac:dyDescent="0.35">
      <c r="A5305" s="2" t="s">
        <v>2658</v>
      </c>
      <c r="B5305" s="2" t="s">
        <v>2689</v>
      </c>
      <c r="C5305" s="2" t="s">
        <v>57</v>
      </c>
      <c r="D5305" s="2" t="s">
        <v>2693</v>
      </c>
      <c r="E5305" s="2" t="s">
        <v>121</v>
      </c>
      <c r="F5305" s="2" t="s">
        <v>122</v>
      </c>
      <c r="G5305" s="2" t="s">
        <v>16</v>
      </c>
      <c r="H5305" s="2" t="s">
        <v>2696</v>
      </c>
      <c r="I5305" s="2"/>
      <c r="J5305" s="2"/>
    </row>
    <row r="5306" spans="1:10" x14ac:dyDescent="0.35">
      <c r="A5306" s="2" t="s">
        <v>2658</v>
      </c>
      <c r="B5306" s="2" t="s">
        <v>2689</v>
      </c>
      <c r="C5306" s="2" t="s">
        <v>57</v>
      </c>
      <c r="D5306" s="2" t="s">
        <v>2693</v>
      </c>
      <c r="E5306" s="2" t="s">
        <v>393</v>
      </c>
      <c r="F5306" s="2" t="s">
        <v>36</v>
      </c>
      <c r="G5306" s="2" t="s">
        <v>16</v>
      </c>
      <c r="H5306" s="2" t="s">
        <v>2697</v>
      </c>
      <c r="I5306" s="2"/>
      <c r="J5306" s="2"/>
    </row>
    <row r="5307" spans="1:10" x14ac:dyDescent="0.35">
      <c r="A5307" s="2" t="s">
        <v>2658</v>
      </c>
      <c r="B5307" s="2" t="s">
        <v>2689</v>
      </c>
      <c r="C5307" s="2" t="s">
        <v>57</v>
      </c>
      <c r="D5307" s="2" t="s">
        <v>2693</v>
      </c>
      <c r="E5307" s="2" t="s">
        <v>18</v>
      </c>
      <c r="F5307" s="2" t="s">
        <v>19</v>
      </c>
      <c r="G5307" s="2" t="s">
        <v>16</v>
      </c>
      <c r="H5307" s="2" t="s">
        <v>2698</v>
      </c>
      <c r="I5307" s="2"/>
      <c r="J5307" s="2"/>
    </row>
    <row r="5308" spans="1:10" x14ac:dyDescent="0.35">
      <c r="A5308" s="2" t="s">
        <v>2658</v>
      </c>
      <c r="B5308" s="2" t="s">
        <v>2689</v>
      </c>
      <c r="C5308" s="2" t="s">
        <v>57</v>
      </c>
      <c r="D5308" s="2" t="s">
        <v>2693</v>
      </c>
      <c r="E5308" s="2" t="s">
        <v>188</v>
      </c>
      <c r="F5308" s="2" t="s">
        <v>189</v>
      </c>
      <c r="G5308" s="2" t="s">
        <v>16</v>
      </c>
      <c r="H5308" s="2" t="s">
        <v>2699</v>
      </c>
      <c r="I5308" s="2"/>
      <c r="J5308" s="2"/>
    </row>
    <row r="5309" spans="1:10" x14ac:dyDescent="0.35">
      <c r="A5309" s="2" t="s">
        <v>2658</v>
      </c>
      <c r="B5309" s="2" t="s">
        <v>2689</v>
      </c>
      <c r="C5309" s="2" t="s">
        <v>54</v>
      </c>
      <c r="D5309" s="2" t="s">
        <v>2700</v>
      </c>
      <c r="E5309" s="2" t="s">
        <v>27</v>
      </c>
      <c r="F5309" s="2" t="s">
        <v>28</v>
      </c>
      <c r="G5309" s="2"/>
      <c r="H5309" s="2"/>
      <c r="I5309" s="2"/>
      <c r="J5309" s="2"/>
    </row>
    <row r="5310" spans="1:10" x14ac:dyDescent="0.35">
      <c r="A5310" s="2" t="s">
        <v>2658</v>
      </c>
      <c r="B5310" s="2" t="s">
        <v>2689</v>
      </c>
      <c r="C5310" s="2" t="s">
        <v>54</v>
      </c>
      <c r="D5310" s="2" t="s">
        <v>2700</v>
      </c>
      <c r="E5310" s="2" t="s">
        <v>38</v>
      </c>
      <c r="F5310" s="2" t="s">
        <v>38</v>
      </c>
      <c r="G5310" s="2" t="s">
        <v>16</v>
      </c>
      <c r="H5310" s="2" t="s">
        <v>2701</v>
      </c>
      <c r="I5310" s="2"/>
      <c r="J5310" s="2"/>
    </row>
    <row r="5311" spans="1:10" x14ac:dyDescent="0.35">
      <c r="A5311" s="2" t="s">
        <v>2658</v>
      </c>
      <c r="B5311" s="2" t="s">
        <v>2689</v>
      </c>
      <c r="C5311" s="2" t="s">
        <v>54</v>
      </c>
      <c r="D5311" s="2" t="s">
        <v>2700</v>
      </c>
      <c r="E5311" s="2" t="s">
        <v>393</v>
      </c>
      <c r="F5311" s="2" t="s">
        <v>36</v>
      </c>
      <c r="G5311" s="2"/>
      <c r="H5311" s="2"/>
      <c r="I5311" s="2"/>
      <c r="J5311" s="2"/>
    </row>
    <row r="5312" spans="1:10" x14ac:dyDescent="0.35">
      <c r="A5312" s="2" t="s">
        <v>2658</v>
      </c>
      <c r="B5312" s="2" t="s">
        <v>2689</v>
      </c>
      <c r="C5312" s="2" t="s">
        <v>54</v>
      </c>
      <c r="D5312" s="2" t="s">
        <v>2700</v>
      </c>
      <c r="E5312" s="2" t="s">
        <v>18</v>
      </c>
      <c r="F5312" s="2" t="s">
        <v>19</v>
      </c>
      <c r="G5312" s="2"/>
      <c r="H5312" s="2"/>
      <c r="I5312" s="2"/>
      <c r="J5312" s="2"/>
    </row>
    <row r="5313" spans="1:10" x14ac:dyDescent="0.35">
      <c r="A5313" s="2" t="s">
        <v>2658</v>
      </c>
      <c r="B5313" s="2" t="s">
        <v>2689</v>
      </c>
      <c r="C5313" s="2" t="s">
        <v>24</v>
      </c>
      <c r="D5313" s="2" t="s">
        <v>2702</v>
      </c>
      <c r="E5313" s="2" t="s">
        <v>14</v>
      </c>
      <c r="F5313" s="2" t="s">
        <v>15</v>
      </c>
      <c r="G5313" s="2"/>
      <c r="H5313" s="2"/>
      <c r="I5313" s="2"/>
      <c r="J5313" s="2"/>
    </row>
    <row r="5314" spans="1:10" x14ac:dyDescent="0.35">
      <c r="A5314" s="2" t="s">
        <v>2658</v>
      </c>
      <c r="B5314" s="2" t="s">
        <v>2689</v>
      </c>
      <c r="C5314" s="2" t="s">
        <v>24</v>
      </c>
      <c r="D5314" s="2" t="s">
        <v>2702</v>
      </c>
      <c r="E5314" s="2" t="s">
        <v>121</v>
      </c>
      <c r="F5314" s="2" t="s">
        <v>122</v>
      </c>
      <c r="G5314" s="2"/>
      <c r="H5314" s="2"/>
      <c r="I5314" s="2"/>
      <c r="J5314" s="2"/>
    </row>
    <row r="5315" spans="1:10" x14ac:dyDescent="0.35">
      <c r="A5315" s="2" t="s">
        <v>2658</v>
      </c>
      <c r="B5315" s="2" t="s">
        <v>2689</v>
      </c>
      <c r="C5315" s="2" t="s">
        <v>24</v>
      </c>
      <c r="D5315" s="2" t="s">
        <v>2702</v>
      </c>
      <c r="E5315" s="2" t="s">
        <v>1176</v>
      </c>
      <c r="F5315" s="2" t="s">
        <v>38</v>
      </c>
      <c r="G5315" s="2"/>
      <c r="H5315" s="2"/>
      <c r="I5315" s="2"/>
      <c r="J5315" s="2"/>
    </row>
    <row r="5316" spans="1:10" x14ac:dyDescent="0.35">
      <c r="A5316" s="2" t="s">
        <v>2658</v>
      </c>
      <c r="B5316" s="2" t="s">
        <v>2689</v>
      </c>
      <c r="C5316" s="2" t="s">
        <v>24</v>
      </c>
      <c r="D5316" s="2" t="s">
        <v>2702</v>
      </c>
      <c r="E5316" s="2" t="s">
        <v>18</v>
      </c>
      <c r="F5316" s="2" t="s">
        <v>19</v>
      </c>
      <c r="G5316" s="2" t="s">
        <v>16</v>
      </c>
      <c r="H5316" s="2" t="s">
        <v>2703</v>
      </c>
      <c r="I5316" s="2"/>
      <c r="J5316" s="2"/>
    </row>
    <row r="5317" spans="1:10" x14ac:dyDescent="0.35">
      <c r="A5317" s="2" t="s">
        <v>2658</v>
      </c>
      <c r="B5317" s="2" t="s">
        <v>2689</v>
      </c>
      <c r="C5317" s="2" t="s">
        <v>24</v>
      </c>
      <c r="D5317" s="2" t="s">
        <v>2702</v>
      </c>
      <c r="E5317" s="2" t="s">
        <v>1982</v>
      </c>
      <c r="F5317" s="2" t="s">
        <v>150</v>
      </c>
      <c r="G5317" s="2" t="s">
        <v>16</v>
      </c>
      <c r="H5317" s="2" t="s">
        <v>2704</v>
      </c>
      <c r="I5317" s="2"/>
      <c r="J5317" s="2"/>
    </row>
    <row r="5318" spans="1:10" x14ac:dyDescent="0.35">
      <c r="A5318" s="2" t="s">
        <v>2658</v>
      </c>
      <c r="B5318" s="2" t="s">
        <v>2705</v>
      </c>
      <c r="C5318" s="2" t="s">
        <v>57</v>
      </c>
      <c r="D5318" s="2" t="s">
        <v>2706</v>
      </c>
      <c r="E5318" s="2" t="s">
        <v>1668</v>
      </c>
      <c r="F5318" s="2" t="s">
        <v>15</v>
      </c>
      <c r="G5318" s="2"/>
      <c r="H5318" s="2"/>
      <c r="I5318" s="2"/>
      <c r="J5318" s="2"/>
    </row>
    <row r="5319" spans="1:10" x14ac:dyDescent="0.35">
      <c r="A5319" s="2" t="s">
        <v>2658</v>
      </c>
      <c r="B5319" s="2" t="s">
        <v>2705</v>
      </c>
      <c r="C5319" s="2" t="s">
        <v>57</v>
      </c>
      <c r="D5319" s="2" t="s">
        <v>2706</v>
      </c>
      <c r="E5319" s="2" t="s">
        <v>2707</v>
      </c>
      <c r="F5319" s="2" t="s">
        <v>32</v>
      </c>
      <c r="G5319" s="2" t="s">
        <v>16</v>
      </c>
      <c r="H5319" s="2" t="s">
        <v>2695</v>
      </c>
      <c r="I5319" s="2"/>
      <c r="J5319" s="2"/>
    </row>
    <row r="5320" spans="1:10" x14ac:dyDescent="0.35">
      <c r="A5320" s="2" t="s">
        <v>2658</v>
      </c>
      <c r="B5320" s="2" t="s">
        <v>2705</v>
      </c>
      <c r="C5320" s="2" t="s">
        <v>57</v>
      </c>
      <c r="D5320" s="2" t="s">
        <v>2706</v>
      </c>
      <c r="E5320" s="2" t="s">
        <v>2708</v>
      </c>
      <c r="F5320" s="2" t="s">
        <v>60</v>
      </c>
      <c r="G5320" s="2"/>
      <c r="H5320" s="2"/>
      <c r="I5320" s="2"/>
      <c r="J5320" s="2"/>
    </row>
    <row r="5321" spans="1:10" x14ac:dyDescent="0.35">
      <c r="A5321" s="2" t="s">
        <v>2658</v>
      </c>
      <c r="B5321" s="2" t="s">
        <v>2705</v>
      </c>
      <c r="C5321" s="2" t="s">
        <v>57</v>
      </c>
      <c r="D5321" s="2" t="s">
        <v>2706</v>
      </c>
      <c r="E5321" s="2" t="s">
        <v>38</v>
      </c>
      <c r="F5321" s="2" t="s">
        <v>38</v>
      </c>
      <c r="G5321" s="2" t="s">
        <v>16</v>
      </c>
      <c r="H5321" s="2" t="s">
        <v>2709</v>
      </c>
      <c r="I5321" s="2"/>
      <c r="J5321" s="2"/>
    </row>
    <row r="5322" spans="1:10" x14ac:dyDescent="0.35">
      <c r="A5322" s="2" t="s">
        <v>2658</v>
      </c>
      <c r="B5322" s="2" t="s">
        <v>2705</v>
      </c>
      <c r="C5322" s="2" t="s">
        <v>57</v>
      </c>
      <c r="D5322" s="2" t="s">
        <v>2706</v>
      </c>
      <c r="E5322" s="2" t="s">
        <v>393</v>
      </c>
      <c r="F5322" s="2" t="s">
        <v>36</v>
      </c>
      <c r="G5322" s="2" t="s">
        <v>16</v>
      </c>
      <c r="H5322" s="2" t="s">
        <v>2709</v>
      </c>
      <c r="I5322" s="2"/>
      <c r="J5322" s="2"/>
    </row>
    <row r="5323" spans="1:10" x14ac:dyDescent="0.35">
      <c r="A5323" s="2" t="s">
        <v>2658</v>
      </c>
      <c r="B5323" s="2" t="s">
        <v>2705</v>
      </c>
      <c r="C5323" s="2" t="s">
        <v>57</v>
      </c>
      <c r="D5323" s="2" t="s">
        <v>2706</v>
      </c>
      <c r="E5323" s="2" t="s">
        <v>18</v>
      </c>
      <c r="F5323" s="2" t="s">
        <v>19</v>
      </c>
      <c r="G5323" s="2" t="s">
        <v>16</v>
      </c>
      <c r="H5323" s="2" t="s">
        <v>2710</v>
      </c>
      <c r="I5323" s="2"/>
      <c r="J5323" s="2"/>
    </row>
    <row r="5324" spans="1:10" x14ac:dyDescent="0.35">
      <c r="A5324" s="2" t="s">
        <v>2658</v>
      </c>
      <c r="B5324" s="2" t="s">
        <v>2705</v>
      </c>
      <c r="C5324" s="2" t="s">
        <v>57</v>
      </c>
      <c r="D5324" s="2" t="s">
        <v>2706</v>
      </c>
      <c r="E5324" s="2" t="s">
        <v>149</v>
      </c>
      <c r="F5324" s="2" t="s">
        <v>150</v>
      </c>
      <c r="G5324" s="2" t="s">
        <v>16</v>
      </c>
      <c r="H5324" s="2" t="s">
        <v>2711</v>
      </c>
      <c r="I5324" s="2"/>
      <c r="J5324" s="2"/>
    </row>
    <row r="5325" spans="1:10" x14ac:dyDescent="0.35">
      <c r="A5325" s="2" t="s">
        <v>2658</v>
      </c>
      <c r="B5325" s="2" t="s">
        <v>2705</v>
      </c>
      <c r="C5325" s="2" t="s">
        <v>24</v>
      </c>
      <c r="D5325" s="2" t="s">
        <v>2712</v>
      </c>
      <c r="E5325" s="2" t="s">
        <v>14</v>
      </c>
      <c r="F5325" s="2" t="s">
        <v>15</v>
      </c>
      <c r="G5325" s="2"/>
      <c r="H5325" s="2"/>
      <c r="I5325" s="2"/>
      <c r="J5325" s="2"/>
    </row>
    <row r="5326" spans="1:10" x14ac:dyDescent="0.35">
      <c r="A5326" s="2" t="s">
        <v>2658</v>
      </c>
      <c r="B5326" s="2" t="s">
        <v>2705</v>
      </c>
      <c r="C5326" s="2" t="s">
        <v>24</v>
      </c>
      <c r="D5326" s="2" t="s">
        <v>2712</v>
      </c>
      <c r="E5326" s="2" t="s">
        <v>27</v>
      </c>
      <c r="F5326" s="2" t="s">
        <v>28</v>
      </c>
      <c r="G5326" s="2"/>
      <c r="H5326" s="2"/>
      <c r="I5326" s="2"/>
      <c r="J5326" s="2"/>
    </row>
    <row r="5327" spans="1:10" x14ac:dyDescent="0.35">
      <c r="A5327" s="2" t="s">
        <v>2658</v>
      </c>
      <c r="B5327" s="2" t="s">
        <v>2705</v>
      </c>
      <c r="C5327" s="2" t="s">
        <v>24</v>
      </c>
      <c r="D5327" s="2" t="s">
        <v>2712</v>
      </c>
      <c r="E5327" s="2" t="s">
        <v>120</v>
      </c>
      <c r="F5327" s="2" t="s">
        <v>32</v>
      </c>
      <c r="G5327" s="2"/>
      <c r="H5327" s="2"/>
      <c r="I5327" s="2"/>
      <c r="J5327" s="2"/>
    </row>
    <row r="5328" spans="1:10" x14ac:dyDescent="0.35">
      <c r="A5328" s="2" t="s">
        <v>2658</v>
      </c>
      <c r="B5328" s="2" t="s">
        <v>2705</v>
      </c>
      <c r="C5328" s="2" t="s">
        <v>24</v>
      </c>
      <c r="D5328" s="2" t="s">
        <v>2712</v>
      </c>
      <c r="E5328" s="2" t="s">
        <v>96</v>
      </c>
      <c r="F5328" s="2" t="s">
        <v>83</v>
      </c>
      <c r="G5328" s="2"/>
      <c r="H5328" s="2"/>
      <c r="I5328" s="2"/>
      <c r="J5328" s="2"/>
    </row>
    <row r="5329" spans="1:10" x14ac:dyDescent="0.35">
      <c r="A5329" s="2" t="s">
        <v>2658</v>
      </c>
      <c r="B5329" s="2" t="s">
        <v>2705</v>
      </c>
      <c r="C5329" s="2" t="s">
        <v>24</v>
      </c>
      <c r="D5329" s="2" t="s">
        <v>2712</v>
      </c>
      <c r="E5329" s="2" t="s">
        <v>38</v>
      </c>
      <c r="F5329" s="2" t="s">
        <v>38</v>
      </c>
      <c r="G5329" s="2"/>
      <c r="H5329" s="2"/>
      <c r="I5329" s="2"/>
      <c r="J5329" s="2"/>
    </row>
    <row r="5330" spans="1:10" x14ac:dyDescent="0.35">
      <c r="A5330" s="2" t="s">
        <v>2658</v>
      </c>
      <c r="B5330" s="2" t="s">
        <v>2705</v>
      </c>
      <c r="C5330" s="2" t="s">
        <v>24</v>
      </c>
      <c r="D5330" s="2" t="s">
        <v>2712</v>
      </c>
      <c r="E5330" s="2" t="s">
        <v>393</v>
      </c>
      <c r="F5330" s="2" t="s">
        <v>36</v>
      </c>
      <c r="G5330" s="2"/>
      <c r="H5330" s="2"/>
      <c r="I5330" s="2"/>
      <c r="J5330" s="2"/>
    </row>
    <row r="5331" spans="1:10" x14ac:dyDescent="0.35">
      <c r="A5331" s="2" t="s">
        <v>2658</v>
      </c>
      <c r="B5331" s="2" t="s">
        <v>2705</v>
      </c>
      <c r="C5331" s="2" t="s">
        <v>24</v>
      </c>
      <c r="D5331" s="2" t="s">
        <v>2712</v>
      </c>
      <c r="E5331" s="2" t="s">
        <v>77</v>
      </c>
      <c r="F5331" s="2" t="s">
        <v>78</v>
      </c>
      <c r="G5331" s="2"/>
      <c r="H5331" s="2"/>
      <c r="I5331" s="2"/>
      <c r="J5331" s="2"/>
    </row>
    <row r="5332" spans="1:10" x14ac:dyDescent="0.35">
      <c r="A5332" s="2" t="s">
        <v>2658</v>
      </c>
      <c r="B5332" s="2" t="s">
        <v>2705</v>
      </c>
      <c r="C5332" s="2" t="s">
        <v>24</v>
      </c>
      <c r="D5332" s="2" t="s">
        <v>2712</v>
      </c>
      <c r="E5332" s="2" t="s">
        <v>18</v>
      </c>
      <c r="F5332" s="2" t="s">
        <v>19</v>
      </c>
      <c r="G5332" s="2" t="s">
        <v>16</v>
      </c>
      <c r="H5332" s="2" t="s">
        <v>2713</v>
      </c>
      <c r="I5332" s="2"/>
      <c r="J5332" s="2"/>
    </row>
    <row r="5333" spans="1:10" x14ac:dyDescent="0.35">
      <c r="A5333" s="2" t="s">
        <v>2658</v>
      </c>
      <c r="B5333" s="2" t="s">
        <v>2705</v>
      </c>
      <c r="C5333" s="2" t="s">
        <v>24</v>
      </c>
      <c r="D5333" s="2" t="s">
        <v>2712</v>
      </c>
      <c r="E5333" s="2" t="s">
        <v>149</v>
      </c>
      <c r="F5333" s="2" t="s">
        <v>150</v>
      </c>
      <c r="G5333" s="2" t="s">
        <v>16</v>
      </c>
      <c r="H5333" s="2" t="s">
        <v>2714</v>
      </c>
      <c r="I5333" s="2"/>
      <c r="J5333" s="2"/>
    </row>
    <row r="5334" spans="1:10" x14ac:dyDescent="0.35">
      <c r="A5334" s="2" t="s">
        <v>2658</v>
      </c>
      <c r="B5334" s="2" t="s">
        <v>2705</v>
      </c>
      <c r="C5334" s="2" t="s">
        <v>24</v>
      </c>
      <c r="D5334" s="2" t="s">
        <v>2715</v>
      </c>
      <c r="E5334" s="2" t="s">
        <v>76</v>
      </c>
      <c r="F5334" s="2" t="s">
        <v>75</v>
      </c>
      <c r="G5334" s="2" t="s">
        <v>16</v>
      </c>
      <c r="H5334" s="2" t="s">
        <v>191</v>
      </c>
      <c r="I5334" s="2"/>
      <c r="J5334" s="2"/>
    </row>
    <row r="5335" spans="1:10" x14ac:dyDescent="0.35">
      <c r="A5335" s="2" t="s">
        <v>2658</v>
      </c>
      <c r="B5335" s="2" t="s">
        <v>2705</v>
      </c>
      <c r="C5335" s="2" t="s">
        <v>24</v>
      </c>
      <c r="D5335" s="2" t="s">
        <v>2715</v>
      </c>
      <c r="E5335" s="2" t="s">
        <v>38</v>
      </c>
      <c r="F5335" s="2" t="s">
        <v>38</v>
      </c>
      <c r="G5335" s="2" t="s">
        <v>16</v>
      </c>
      <c r="H5335" s="2" t="s">
        <v>191</v>
      </c>
      <c r="I5335" s="2"/>
      <c r="J5335" s="2"/>
    </row>
    <row r="5336" spans="1:10" x14ac:dyDescent="0.35">
      <c r="A5336" s="2" t="s">
        <v>2658</v>
      </c>
      <c r="B5336" s="2" t="s">
        <v>2705</v>
      </c>
      <c r="C5336" s="2" t="s">
        <v>24</v>
      </c>
      <c r="D5336" s="2" t="s">
        <v>2715</v>
      </c>
      <c r="E5336" s="2" t="s">
        <v>89</v>
      </c>
      <c r="F5336" s="2" t="s">
        <v>45</v>
      </c>
      <c r="G5336" s="2" t="s">
        <v>16</v>
      </c>
      <c r="H5336" s="2" t="s">
        <v>191</v>
      </c>
      <c r="I5336" s="2"/>
      <c r="J5336" s="2"/>
    </row>
    <row r="5337" spans="1:10" x14ac:dyDescent="0.35">
      <c r="A5337" s="2" t="s">
        <v>2658</v>
      </c>
      <c r="B5337" s="2" t="s">
        <v>2705</v>
      </c>
      <c r="C5337" s="2" t="s">
        <v>24</v>
      </c>
      <c r="D5337" s="2" t="s">
        <v>2716</v>
      </c>
      <c r="E5337" s="2" t="s">
        <v>74</v>
      </c>
      <c r="F5337" s="2" t="s">
        <v>75</v>
      </c>
      <c r="G5337" s="2" t="s">
        <v>20</v>
      </c>
      <c r="H5337" s="2" t="s">
        <v>2717</v>
      </c>
      <c r="I5337" s="2"/>
      <c r="J5337" s="2"/>
    </row>
    <row r="5338" spans="1:10" x14ac:dyDescent="0.35">
      <c r="A5338" s="2" t="s">
        <v>2658</v>
      </c>
      <c r="B5338" s="2" t="s">
        <v>2705</v>
      </c>
      <c r="C5338" s="2" t="s">
        <v>24</v>
      </c>
      <c r="D5338" s="2" t="s">
        <v>2716</v>
      </c>
      <c r="E5338" s="2" t="s">
        <v>77</v>
      </c>
      <c r="F5338" s="2" t="s">
        <v>78</v>
      </c>
      <c r="G5338" s="2" t="s">
        <v>20</v>
      </c>
      <c r="H5338" s="2" t="s">
        <v>2717</v>
      </c>
      <c r="I5338" s="2"/>
      <c r="J5338" s="2"/>
    </row>
    <row r="5339" spans="1:10" x14ac:dyDescent="0.35">
      <c r="A5339" s="2" t="s">
        <v>2658</v>
      </c>
      <c r="B5339" s="2" t="s">
        <v>2705</v>
      </c>
      <c r="C5339" s="2" t="s">
        <v>24</v>
      </c>
      <c r="D5339" s="2" t="s">
        <v>2716</v>
      </c>
      <c r="E5339" s="2" t="s">
        <v>89</v>
      </c>
      <c r="F5339" s="2" t="s">
        <v>45</v>
      </c>
      <c r="G5339" s="2" t="s">
        <v>20</v>
      </c>
      <c r="H5339" s="2" t="s">
        <v>2717</v>
      </c>
      <c r="I5339" s="2"/>
      <c r="J5339" s="2"/>
    </row>
    <row r="5340" spans="1:10" x14ac:dyDescent="0.35">
      <c r="A5340" s="2" t="s">
        <v>2658</v>
      </c>
      <c r="B5340" s="2" t="s">
        <v>2705</v>
      </c>
      <c r="C5340" s="2" t="s">
        <v>24</v>
      </c>
      <c r="D5340" s="2" t="s">
        <v>2716</v>
      </c>
      <c r="E5340" s="2" t="s">
        <v>18</v>
      </c>
      <c r="F5340" s="2" t="s">
        <v>19</v>
      </c>
      <c r="G5340" s="2" t="s">
        <v>20</v>
      </c>
      <c r="H5340" s="2" t="s">
        <v>2717</v>
      </c>
      <c r="I5340" s="2"/>
      <c r="J5340" s="2"/>
    </row>
    <row r="5341" spans="1:10" x14ac:dyDescent="0.35">
      <c r="A5341" s="2" t="s">
        <v>2658</v>
      </c>
      <c r="B5341" s="2" t="s">
        <v>2705</v>
      </c>
      <c r="C5341" s="2" t="s">
        <v>24</v>
      </c>
      <c r="D5341" s="2" t="s">
        <v>2716</v>
      </c>
      <c r="E5341" s="2" t="s">
        <v>149</v>
      </c>
      <c r="F5341" s="2" t="s">
        <v>150</v>
      </c>
      <c r="G5341" s="2" t="s">
        <v>20</v>
      </c>
      <c r="H5341" s="2" t="s">
        <v>2717</v>
      </c>
      <c r="I5341" s="2"/>
      <c r="J5341" s="2"/>
    </row>
    <row r="5342" spans="1:10" x14ac:dyDescent="0.35">
      <c r="A5342" s="2" t="s">
        <v>2658</v>
      </c>
      <c r="B5342" s="2" t="s">
        <v>2705</v>
      </c>
      <c r="C5342" s="2" t="s">
        <v>54</v>
      </c>
      <c r="D5342" s="2" t="s">
        <v>2718</v>
      </c>
      <c r="E5342" s="2" t="s">
        <v>1668</v>
      </c>
      <c r="F5342" s="2" t="s">
        <v>15</v>
      </c>
      <c r="G5342" s="2"/>
      <c r="H5342" s="2"/>
      <c r="I5342" s="2"/>
      <c r="J5342" s="2"/>
    </row>
    <row r="5343" spans="1:10" x14ac:dyDescent="0.35">
      <c r="A5343" s="2" t="s">
        <v>2658</v>
      </c>
      <c r="B5343" s="2" t="s">
        <v>2705</v>
      </c>
      <c r="C5343" s="2" t="s">
        <v>54</v>
      </c>
      <c r="D5343" s="2" t="s">
        <v>2718</v>
      </c>
      <c r="E5343" s="2" t="s">
        <v>1083</v>
      </c>
      <c r="F5343" s="2" t="s">
        <v>15</v>
      </c>
      <c r="G5343" s="2"/>
      <c r="H5343" s="2"/>
      <c r="I5343" s="2"/>
      <c r="J5343" s="2"/>
    </row>
    <row r="5344" spans="1:10" x14ac:dyDescent="0.35">
      <c r="A5344" s="2" t="s">
        <v>2658</v>
      </c>
      <c r="B5344" s="2" t="s">
        <v>2705</v>
      </c>
      <c r="C5344" s="2" t="s">
        <v>54</v>
      </c>
      <c r="D5344" s="2" t="s">
        <v>2718</v>
      </c>
      <c r="E5344" s="2" t="s">
        <v>121</v>
      </c>
      <c r="F5344" s="2" t="s">
        <v>122</v>
      </c>
      <c r="G5344" s="2"/>
      <c r="H5344" s="2"/>
      <c r="I5344" s="2"/>
      <c r="J5344" s="2"/>
    </row>
    <row r="5345" spans="1:10" x14ac:dyDescent="0.35">
      <c r="A5345" s="2" t="s">
        <v>2658</v>
      </c>
      <c r="B5345" s="2" t="s">
        <v>2705</v>
      </c>
      <c r="C5345" s="2" t="s">
        <v>54</v>
      </c>
      <c r="D5345" s="2" t="s">
        <v>2718</v>
      </c>
      <c r="E5345" s="2" t="s">
        <v>87</v>
      </c>
      <c r="F5345" s="2" t="s">
        <v>75</v>
      </c>
      <c r="G5345" s="2"/>
      <c r="H5345" s="2"/>
      <c r="I5345" s="2"/>
      <c r="J5345" s="2"/>
    </row>
    <row r="5346" spans="1:10" x14ac:dyDescent="0.35">
      <c r="A5346" s="2" t="s">
        <v>2658</v>
      </c>
      <c r="B5346" s="2" t="s">
        <v>2705</v>
      </c>
      <c r="C5346" s="2" t="s">
        <v>54</v>
      </c>
      <c r="D5346" s="2" t="s">
        <v>2719</v>
      </c>
      <c r="E5346" s="2" t="s">
        <v>121</v>
      </c>
      <c r="F5346" s="2" t="s">
        <v>122</v>
      </c>
      <c r="G5346" s="2" t="s">
        <v>16</v>
      </c>
      <c r="H5346" s="2" t="s">
        <v>2720</v>
      </c>
      <c r="I5346" s="2"/>
      <c r="J5346" s="2"/>
    </row>
    <row r="5347" spans="1:10" x14ac:dyDescent="0.35">
      <c r="A5347" s="2" t="s">
        <v>2658</v>
      </c>
      <c r="B5347" s="2" t="s">
        <v>2705</v>
      </c>
      <c r="C5347" s="2" t="s">
        <v>54</v>
      </c>
      <c r="D5347" s="2" t="s">
        <v>2719</v>
      </c>
      <c r="E5347" s="2" t="s">
        <v>291</v>
      </c>
      <c r="F5347" s="2" t="s">
        <v>139</v>
      </c>
      <c r="G5347" s="2" t="s">
        <v>16</v>
      </c>
      <c r="H5347" s="2" t="s">
        <v>2721</v>
      </c>
      <c r="I5347" s="2"/>
      <c r="J5347" s="2"/>
    </row>
    <row r="5348" spans="1:10" x14ac:dyDescent="0.35">
      <c r="A5348" s="2" t="s">
        <v>2658</v>
      </c>
      <c r="B5348" s="2" t="s">
        <v>2705</v>
      </c>
      <c r="C5348" s="2" t="s">
        <v>54</v>
      </c>
      <c r="D5348" s="2" t="s">
        <v>2719</v>
      </c>
      <c r="E5348" s="2" t="s">
        <v>393</v>
      </c>
      <c r="F5348" s="2" t="s">
        <v>36</v>
      </c>
      <c r="G5348" s="2" t="s">
        <v>16</v>
      </c>
      <c r="H5348" s="2" t="s">
        <v>2722</v>
      </c>
      <c r="I5348" s="2"/>
      <c r="J5348" s="2"/>
    </row>
    <row r="5349" spans="1:10" x14ac:dyDescent="0.35">
      <c r="A5349" s="2" t="s">
        <v>2658</v>
      </c>
      <c r="B5349" s="2" t="s">
        <v>2705</v>
      </c>
      <c r="C5349" s="2" t="s">
        <v>54</v>
      </c>
      <c r="D5349" s="2" t="s">
        <v>2719</v>
      </c>
      <c r="E5349" s="2" t="s">
        <v>91</v>
      </c>
      <c r="F5349" s="2" t="s">
        <v>19</v>
      </c>
      <c r="G5349" s="2" t="s">
        <v>16</v>
      </c>
      <c r="H5349" s="2" t="s">
        <v>191</v>
      </c>
      <c r="I5349" s="2"/>
      <c r="J5349" s="2"/>
    </row>
    <row r="5350" spans="1:10" x14ac:dyDescent="0.35">
      <c r="A5350" s="2" t="s">
        <v>2658</v>
      </c>
      <c r="B5350" s="2" t="s">
        <v>2705</v>
      </c>
      <c r="C5350" s="2" t="s">
        <v>62</v>
      </c>
      <c r="D5350" s="2" t="s">
        <v>2723</v>
      </c>
      <c r="E5350" s="2" t="s">
        <v>38</v>
      </c>
      <c r="F5350" s="2" t="s">
        <v>38</v>
      </c>
      <c r="G5350" s="2"/>
      <c r="H5350" s="2"/>
      <c r="I5350" s="2"/>
      <c r="J5350" s="2"/>
    </row>
    <row r="5351" spans="1:10" x14ac:dyDescent="0.35">
      <c r="A5351" s="2" t="s">
        <v>2658</v>
      </c>
      <c r="B5351" s="2" t="s">
        <v>2705</v>
      </c>
      <c r="C5351" s="2" t="s">
        <v>62</v>
      </c>
      <c r="D5351" s="2" t="s">
        <v>2723</v>
      </c>
      <c r="E5351" s="2" t="s">
        <v>1402</v>
      </c>
      <c r="F5351" s="2" t="s">
        <v>75</v>
      </c>
      <c r="G5351" s="2"/>
      <c r="H5351" s="2"/>
      <c r="I5351" s="2"/>
      <c r="J5351" s="2"/>
    </row>
    <row r="5352" spans="1:10" x14ac:dyDescent="0.35">
      <c r="A5352" s="2" t="s">
        <v>2658</v>
      </c>
      <c r="B5352" s="2" t="s">
        <v>2705</v>
      </c>
      <c r="C5352" s="2" t="s">
        <v>62</v>
      </c>
      <c r="D5352" s="2" t="s">
        <v>2723</v>
      </c>
      <c r="E5352" s="2" t="s">
        <v>89</v>
      </c>
      <c r="F5352" s="2" t="s">
        <v>45</v>
      </c>
      <c r="G5352" s="2"/>
      <c r="H5352" s="2"/>
      <c r="I5352" s="2"/>
      <c r="J5352" s="2"/>
    </row>
    <row r="5353" spans="1:10" x14ac:dyDescent="0.35">
      <c r="A5353" s="2" t="s">
        <v>2658</v>
      </c>
      <c r="B5353" s="2" t="s">
        <v>2705</v>
      </c>
      <c r="C5353" s="2" t="s">
        <v>62</v>
      </c>
      <c r="D5353" s="2" t="s">
        <v>2723</v>
      </c>
      <c r="E5353" s="2" t="s">
        <v>61</v>
      </c>
      <c r="F5353" s="2" t="s">
        <v>30</v>
      </c>
      <c r="G5353" s="2"/>
      <c r="H5353" s="2"/>
      <c r="I5353" s="2"/>
      <c r="J5353" s="2"/>
    </row>
    <row r="5354" spans="1:10" x14ac:dyDescent="0.35">
      <c r="A5354" s="2" t="s">
        <v>2658</v>
      </c>
      <c r="B5354" s="2" t="s">
        <v>2705</v>
      </c>
      <c r="C5354" s="2" t="s">
        <v>62</v>
      </c>
      <c r="D5354" s="2" t="s">
        <v>2723</v>
      </c>
      <c r="E5354" s="2" t="s">
        <v>127</v>
      </c>
      <c r="F5354" s="2" t="s">
        <v>107</v>
      </c>
      <c r="G5354" s="2"/>
      <c r="H5354" s="2"/>
      <c r="I5354" s="2"/>
      <c r="J5354" s="2"/>
    </row>
    <row r="5355" spans="1:10" s="21" customFormat="1" x14ac:dyDescent="0.35">
      <c r="A5355" s="2" t="s">
        <v>2658</v>
      </c>
      <c r="B5355" s="2" t="s">
        <v>2724</v>
      </c>
      <c r="C5355" s="2" t="s">
        <v>24</v>
      </c>
      <c r="D5355" s="2" t="s">
        <v>2725</v>
      </c>
      <c r="E5355" s="2" t="s">
        <v>1668</v>
      </c>
      <c r="F5355" s="2" t="s">
        <v>15</v>
      </c>
      <c r="G5355" s="2"/>
      <c r="H5355" s="2"/>
      <c r="I5355" s="2" t="s">
        <v>20</v>
      </c>
      <c r="J5355" s="2" t="s">
        <v>2661</v>
      </c>
    </row>
    <row r="5356" spans="1:10" s="21" customFormat="1" x14ac:dyDescent="0.35">
      <c r="A5356" s="2" t="s">
        <v>2658</v>
      </c>
      <c r="B5356" s="2" t="s">
        <v>2724</v>
      </c>
      <c r="C5356" s="2" t="s">
        <v>24</v>
      </c>
      <c r="D5356" s="2" t="s">
        <v>2725</v>
      </c>
      <c r="E5356" s="2" t="s">
        <v>27</v>
      </c>
      <c r="F5356" s="2" t="s">
        <v>28</v>
      </c>
      <c r="G5356" s="2"/>
      <c r="H5356" s="2"/>
      <c r="I5356" s="2" t="s">
        <v>20</v>
      </c>
      <c r="J5356" s="2" t="s">
        <v>2661</v>
      </c>
    </row>
    <row r="5357" spans="1:10" s="21" customFormat="1" x14ac:dyDescent="0.35">
      <c r="A5357" s="2" t="s">
        <v>2658</v>
      </c>
      <c r="B5357" s="2" t="s">
        <v>2724</v>
      </c>
      <c r="C5357" s="2" t="s">
        <v>24</v>
      </c>
      <c r="D5357" s="2" t="s">
        <v>2725</v>
      </c>
      <c r="E5357" s="2" t="s">
        <v>120</v>
      </c>
      <c r="F5357" s="2" t="s">
        <v>32</v>
      </c>
      <c r="G5357" s="2"/>
      <c r="H5357" s="2"/>
      <c r="I5357" s="2" t="s">
        <v>20</v>
      </c>
      <c r="J5357" s="2" t="s">
        <v>2661</v>
      </c>
    </row>
    <row r="5358" spans="1:10" s="21" customFormat="1" x14ac:dyDescent="0.35">
      <c r="A5358" s="2" t="s">
        <v>2658</v>
      </c>
      <c r="B5358" s="2" t="s">
        <v>2724</v>
      </c>
      <c r="C5358" s="2" t="s">
        <v>24</v>
      </c>
      <c r="D5358" s="2" t="s">
        <v>2725</v>
      </c>
      <c r="E5358" s="2" t="s">
        <v>136</v>
      </c>
      <c r="F5358" s="2" t="s">
        <v>107</v>
      </c>
      <c r="G5358" s="2" t="s">
        <v>20</v>
      </c>
      <c r="H5358" s="2" t="s">
        <v>2726</v>
      </c>
      <c r="I5358" s="2" t="s">
        <v>20</v>
      </c>
      <c r="J5358" s="2" t="s">
        <v>2661</v>
      </c>
    </row>
    <row r="5359" spans="1:10" s="21" customFormat="1" x14ac:dyDescent="0.35">
      <c r="A5359" s="2" t="s">
        <v>2658</v>
      </c>
      <c r="B5359" s="2" t="s">
        <v>2724</v>
      </c>
      <c r="C5359" s="2" t="s">
        <v>24</v>
      </c>
      <c r="D5359" s="2" t="s">
        <v>2725</v>
      </c>
      <c r="E5359" s="2" t="s">
        <v>534</v>
      </c>
      <c r="F5359" s="2" t="s">
        <v>38</v>
      </c>
      <c r="G5359" s="2" t="s">
        <v>20</v>
      </c>
      <c r="H5359" s="2" t="s">
        <v>2727</v>
      </c>
      <c r="I5359" s="2" t="s">
        <v>20</v>
      </c>
      <c r="J5359" s="2" t="s">
        <v>2661</v>
      </c>
    </row>
    <row r="5360" spans="1:10" s="21" customFormat="1" x14ac:dyDescent="0.35">
      <c r="A5360" s="2" t="s">
        <v>2658</v>
      </c>
      <c r="B5360" s="2" t="s">
        <v>2724</v>
      </c>
      <c r="C5360" s="2" t="s">
        <v>24</v>
      </c>
      <c r="D5360" s="2" t="s">
        <v>2725</v>
      </c>
      <c r="E5360" s="2" t="s">
        <v>35</v>
      </c>
      <c r="F5360" s="2" t="s">
        <v>36</v>
      </c>
      <c r="G5360" s="2"/>
      <c r="H5360" s="2"/>
      <c r="I5360" s="2" t="s">
        <v>20</v>
      </c>
      <c r="J5360" s="2" t="s">
        <v>2661</v>
      </c>
    </row>
    <row r="5361" spans="1:10" s="21" customFormat="1" x14ac:dyDescent="0.35">
      <c r="A5361" s="2" t="s">
        <v>2658</v>
      </c>
      <c r="B5361" s="2" t="s">
        <v>2724</v>
      </c>
      <c r="C5361" s="2" t="s">
        <v>24</v>
      </c>
      <c r="D5361" s="2" t="s">
        <v>2725</v>
      </c>
      <c r="E5361" s="2" t="s">
        <v>89</v>
      </c>
      <c r="F5361" s="2" t="s">
        <v>45</v>
      </c>
      <c r="G5361" s="2" t="s">
        <v>20</v>
      </c>
      <c r="H5361" s="2" t="s">
        <v>2728</v>
      </c>
      <c r="I5361" s="2" t="s">
        <v>20</v>
      </c>
      <c r="J5361" s="2" t="s">
        <v>2661</v>
      </c>
    </row>
    <row r="5362" spans="1:10" s="21" customFormat="1" x14ac:dyDescent="0.35">
      <c r="A5362" s="2" t="s">
        <v>2658</v>
      </c>
      <c r="B5362" s="2" t="s">
        <v>2724</v>
      </c>
      <c r="C5362" s="2" t="s">
        <v>24</v>
      </c>
      <c r="D5362" s="2" t="s">
        <v>2725</v>
      </c>
      <c r="E5362" s="2" t="s">
        <v>61</v>
      </c>
      <c r="F5362" s="2" t="s">
        <v>30</v>
      </c>
      <c r="G5362" s="2"/>
      <c r="H5362" s="2"/>
      <c r="I5362" s="2" t="s">
        <v>20</v>
      </c>
      <c r="J5362" s="2" t="s">
        <v>2661</v>
      </c>
    </row>
    <row r="5363" spans="1:10" x14ac:dyDescent="0.35">
      <c r="A5363" s="2" t="s">
        <v>2658</v>
      </c>
      <c r="B5363" s="2" t="s">
        <v>2729</v>
      </c>
      <c r="C5363" s="2" t="s">
        <v>24</v>
      </c>
      <c r="D5363" s="2" t="s">
        <v>2730</v>
      </c>
      <c r="E5363" s="2" t="s">
        <v>87</v>
      </c>
      <c r="F5363" s="2" t="s">
        <v>75</v>
      </c>
      <c r="G5363" s="2"/>
      <c r="H5363" s="2"/>
      <c r="I5363" s="2"/>
      <c r="J5363" s="2"/>
    </row>
    <row r="5364" spans="1:10" x14ac:dyDescent="0.35">
      <c r="A5364" s="2" t="s">
        <v>2658</v>
      </c>
      <c r="B5364" s="2" t="s">
        <v>2731</v>
      </c>
      <c r="C5364" s="2" t="s">
        <v>57</v>
      </c>
      <c r="D5364" s="2" t="s">
        <v>2732</v>
      </c>
      <c r="E5364" s="2" t="s">
        <v>1668</v>
      </c>
      <c r="F5364" s="2" t="s">
        <v>15</v>
      </c>
      <c r="G5364" s="2"/>
      <c r="H5364" s="2"/>
      <c r="I5364" s="2"/>
      <c r="J5364" s="2"/>
    </row>
    <row r="5365" spans="1:10" x14ac:dyDescent="0.35">
      <c r="A5365" s="2" t="s">
        <v>2658</v>
      </c>
      <c r="B5365" s="2" t="s">
        <v>2731</v>
      </c>
      <c r="C5365" s="2" t="s">
        <v>57</v>
      </c>
      <c r="D5365" s="2" t="s">
        <v>2732</v>
      </c>
      <c r="E5365" s="2" t="s">
        <v>2708</v>
      </c>
      <c r="F5365" s="2" t="s">
        <v>60</v>
      </c>
      <c r="G5365" s="2"/>
      <c r="H5365" s="2"/>
      <c r="I5365" s="2"/>
      <c r="J5365" s="2"/>
    </row>
    <row r="5366" spans="1:10" x14ac:dyDescent="0.35">
      <c r="A5366" s="2" t="s">
        <v>2658</v>
      </c>
      <c r="B5366" s="2" t="s">
        <v>2731</v>
      </c>
      <c r="C5366" s="2" t="s">
        <v>57</v>
      </c>
      <c r="D5366" s="2" t="s">
        <v>2732</v>
      </c>
      <c r="E5366" s="2" t="s">
        <v>121</v>
      </c>
      <c r="F5366" s="2" t="s">
        <v>122</v>
      </c>
      <c r="G5366" s="2" t="s">
        <v>20</v>
      </c>
      <c r="H5366" s="2" t="s">
        <v>2733</v>
      </c>
      <c r="I5366" s="2"/>
      <c r="J5366" s="2"/>
    </row>
    <row r="5367" spans="1:10" x14ac:dyDescent="0.35">
      <c r="A5367" s="2" t="s">
        <v>2658</v>
      </c>
      <c r="B5367" s="2" t="s">
        <v>2731</v>
      </c>
      <c r="C5367" s="2" t="s">
        <v>57</v>
      </c>
      <c r="D5367" s="2" t="s">
        <v>2732</v>
      </c>
      <c r="E5367" s="2" t="s">
        <v>61</v>
      </c>
      <c r="F5367" s="2" t="s">
        <v>30</v>
      </c>
      <c r="G5367" s="2"/>
      <c r="H5367" s="2"/>
      <c r="I5367" s="2"/>
      <c r="J5367" s="2"/>
    </row>
    <row r="5368" spans="1:10" x14ac:dyDescent="0.35">
      <c r="A5368" s="2" t="s">
        <v>2658</v>
      </c>
      <c r="B5368" s="2" t="s">
        <v>2734</v>
      </c>
      <c r="C5368" s="2" t="s">
        <v>57</v>
      </c>
      <c r="D5368" s="2" t="s">
        <v>2735</v>
      </c>
      <c r="E5368" s="2" t="s">
        <v>1668</v>
      </c>
      <c r="F5368" s="2" t="s">
        <v>15</v>
      </c>
      <c r="G5368" s="2"/>
      <c r="H5368" s="2"/>
      <c r="I5368" s="2"/>
      <c r="J5368" s="4"/>
    </row>
    <row r="5369" spans="1:10" x14ac:dyDescent="0.35">
      <c r="A5369" s="2" t="s">
        <v>2658</v>
      </c>
      <c r="B5369" s="2" t="s">
        <v>2734</v>
      </c>
      <c r="C5369" s="2" t="s">
        <v>57</v>
      </c>
      <c r="D5369" s="2" t="s">
        <v>2735</v>
      </c>
      <c r="E5369" s="2" t="s">
        <v>27</v>
      </c>
      <c r="F5369" s="2" t="s">
        <v>28</v>
      </c>
      <c r="G5369" s="2" t="s">
        <v>16</v>
      </c>
      <c r="H5369" s="2" t="s">
        <v>2736</v>
      </c>
      <c r="I5369" s="2"/>
      <c r="J5369" s="2"/>
    </row>
    <row r="5370" spans="1:10" x14ac:dyDescent="0.35">
      <c r="A5370" s="2" t="s">
        <v>2658</v>
      </c>
      <c r="B5370" s="2" t="s">
        <v>2734</v>
      </c>
      <c r="C5370" s="2" t="s">
        <v>57</v>
      </c>
      <c r="D5370" s="2" t="s">
        <v>2735</v>
      </c>
      <c r="E5370" s="2" t="s">
        <v>59</v>
      </c>
      <c r="F5370" s="2" t="s">
        <v>60</v>
      </c>
      <c r="G5370" s="2"/>
      <c r="H5370" s="2"/>
      <c r="I5370" s="2"/>
      <c r="J5370" s="2"/>
    </row>
    <row r="5371" spans="1:10" x14ac:dyDescent="0.35">
      <c r="A5371" s="2" t="s">
        <v>2658</v>
      </c>
      <c r="B5371" s="2" t="s">
        <v>2734</v>
      </c>
      <c r="C5371" s="2" t="s">
        <v>57</v>
      </c>
      <c r="D5371" s="2" t="s">
        <v>2735</v>
      </c>
      <c r="E5371" s="2" t="s">
        <v>416</v>
      </c>
      <c r="F5371" s="2" t="s">
        <v>38</v>
      </c>
      <c r="G5371" s="2" t="s">
        <v>16</v>
      </c>
      <c r="H5371" s="2" t="s">
        <v>2737</v>
      </c>
      <c r="I5371" s="2"/>
      <c r="J5371" s="2"/>
    </row>
    <row r="5372" spans="1:10" x14ac:dyDescent="0.35">
      <c r="A5372" s="2" t="s">
        <v>2658</v>
      </c>
      <c r="B5372" s="2" t="s">
        <v>2734</v>
      </c>
      <c r="C5372" s="2" t="s">
        <v>57</v>
      </c>
      <c r="D5372" s="2" t="s">
        <v>2735</v>
      </c>
      <c r="E5372" s="2" t="s">
        <v>213</v>
      </c>
      <c r="F5372" s="2" t="s">
        <v>45</v>
      </c>
      <c r="G5372" s="2" t="s">
        <v>16</v>
      </c>
      <c r="H5372" s="2" t="s">
        <v>2738</v>
      </c>
      <c r="I5372" s="2"/>
      <c r="J5372" s="2"/>
    </row>
    <row r="5373" spans="1:10" x14ac:dyDescent="0.35">
      <c r="A5373" s="2" t="s">
        <v>2658</v>
      </c>
      <c r="B5373" s="2" t="s">
        <v>2734</v>
      </c>
      <c r="C5373" s="2" t="s">
        <v>57</v>
      </c>
      <c r="D5373" s="2" t="s">
        <v>2735</v>
      </c>
      <c r="E5373" s="2" t="s">
        <v>91</v>
      </c>
      <c r="F5373" s="2" t="s">
        <v>19</v>
      </c>
      <c r="G5373" s="2" t="s">
        <v>16</v>
      </c>
      <c r="H5373" s="2" t="s">
        <v>2739</v>
      </c>
      <c r="I5373" s="2"/>
      <c r="J5373" s="2"/>
    </row>
    <row r="5374" spans="1:10" x14ac:dyDescent="0.35">
      <c r="A5374" s="2" t="s">
        <v>2658</v>
      </c>
      <c r="B5374" s="2" t="s">
        <v>2734</v>
      </c>
      <c r="C5374" s="2" t="s">
        <v>57</v>
      </c>
      <c r="D5374" s="2" t="s">
        <v>2735</v>
      </c>
      <c r="E5374" s="2" t="s">
        <v>112</v>
      </c>
      <c r="F5374" s="2" t="s">
        <v>2025</v>
      </c>
      <c r="G5374" s="2" t="s">
        <v>46</v>
      </c>
      <c r="H5374" s="2" t="s">
        <v>2740</v>
      </c>
      <c r="I5374" s="2"/>
      <c r="J5374" s="2"/>
    </row>
    <row r="5375" spans="1:10" s="21" customFormat="1" x14ac:dyDescent="0.35">
      <c r="A5375" s="2" t="s">
        <v>2658</v>
      </c>
      <c r="B5375" s="2" t="s">
        <v>2734</v>
      </c>
      <c r="C5375" s="2" t="s">
        <v>24</v>
      </c>
      <c r="D5375" s="2" t="s">
        <v>2741</v>
      </c>
      <c r="E5375" s="2" t="s">
        <v>38</v>
      </c>
      <c r="F5375" s="2" t="s">
        <v>38</v>
      </c>
      <c r="G5375" s="2"/>
      <c r="H5375" s="2"/>
      <c r="I5375" s="2"/>
      <c r="J5375" s="2"/>
    </row>
    <row r="5376" spans="1:10" s="21" customFormat="1" x14ac:dyDescent="0.35">
      <c r="A5376" s="2" t="s">
        <v>2658</v>
      </c>
      <c r="B5376" s="2" t="s">
        <v>2734</v>
      </c>
      <c r="C5376" s="2" t="s">
        <v>24</v>
      </c>
      <c r="D5376" s="2" t="s">
        <v>2741</v>
      </c>
      <c r="E5376" s="2" t="s">
        <v>188</v>
      </c>
      <c r="F5376" s="2" t="s">
        <v>189</v>
      </c>
      <c r="G5376" s="2"/>
      <c r="H5376" s="2" t="s">
        <v>2742</v>
      </c>
      <c r="I5376" s="2"/>
      <c r="J5376" s="2"/>
    </row>
    <row r="5377" spans="1:10" x14ac:dyDescent="0.35">
      <c r="A5377" s="2" t="s">
        <v>2658</v>
      </c>
      <c r="B5377" s="2" t="s">
        <v>2734</v>
      </c>
      <c r="C5377" s="2" t="s">
        <v>24</v>
      </c>
      <c r="D5377" s="2" t="s">
        <v>2743</v>
      </c>
      <c r="E5377" s="2" t="s">
        <v>14</v>
      </c>
      <c r="F5377" s="2" t="s">
        <v>15</v>
      </c>
      <c r="G5377" s="2"/>
      <c r="H5377" s="2"/>
      <c r="I5377" s="2"/>
      <c r="J5377" s="2"/>
    </row>
    <row r="5378" spans="1:10" x14ac:dyDescent="0.35">
      <c r="A5378" s="2" t="s">
        <v>2658</v>
      </c>
      <c r="B5378" s="2" t="s">
        <v>2734</v>
      </c>
      <c r="C5378" s="2" t="s">
        <v>24</v>
      </c>
      <c r="D5378" s="2" t="s">
        <v>2743</v>
      </c>
      <c r="E5378" s="2" t="s">
        <v>998</v>
      </c>
      <c r="F5378" s="2" t="s">
        <v>40</v>
      </c>
      <c r="G5378" s="2"/>
      <c r="H5378" s="2"/>
      <c r="I5378" s="2"/>
      <c r="J5378" s="2"/>
    </row>
    <row r="5379" spans="1:10" x14ac:dyDescent="0.35">
      <c r="A5379" s="2" t="s">
        <v>2658</v>
      </c>
      <c r="B5379" s="2" t="s">
        <v>2734</v>
      </c>
      <c r="C5379" s="2" t="s">
        <v>24</v>
      </c>
      <c r="D5379" s="2" t="s">
        <v>2743</v>
      </c>
      <c r="E5379" s="2" t="s">
        <v>27</v>
      </c>
      <c r="F5379" s="2" t="s">
        <v>28</v>
      </c>
      <c r="G5379" s="2"/>
      <c r="H5379" s="2"/>
      <c r="I5379" s="2"/>
      <c r="J5379" s="2"/>
    </row>
    <row r="5380" spans="1:10" x14ac:dyDescent="0.35">
      <c r="A5380" s="2" t="s">
        <v>2658</v>
      </c>
      <c r="B5380" s="2" t="s">
        <v>2734</v>
      </c>
      <c r="C5380" s="2" t="s">
        <v>24</v>
      </c>
      <c r="D5380" s="2" t="s">
        <v>2743</v>
      </c>
      <c r="E5380" s="2" t="s">
        <v>121</v>
      </c>
      <c r="F5380" s="2" t="s">
        <v>122</v>
      </c>
      <c r="G5380" s="2"/>
      <c r="H5380" s="2"/>
      <c r="I5380" s="2"/>
      <c r="J5380" s="2"/>
    </row>
    <row r="5381" spans="1:10" x14ac:dyDescent="0.35">
      <c r="A5381" s="2" t="s">
        <v>2658</v>
      </c>
      <c r="B5381" s="2" t="s">
        <v>2734</v>
      </c>
      <c r="C5381" s="2" t="s">
        <v>24</v>
      </c>
      <c r="D5381" s="2" t="s">
        <v>2743</v>
      </c>
      <c r="E5381" s="2" t="s">
        <v>91</v>
      </c>
      <c r="F5381" s="2" t="s">
        <v>19</v>
      </c>
      <c r="G5381" s="2" t="s">
        <v>16</v>
      </c>
      <c r="H5381" s="2" t="s">
        <v>2744</v>
      </c>
      <c r="I5381" s="2"/>
      <c r="J5381" s="2"/>
    </row>
    <row r="5382" spans="1:10" x14ac:dyDescent="0.35">
      <c r="A5382" s="2" t="s">
        <v>2658</v>
      </c>
      <c r="B5382" s="2" t="s">
        <v>2734</v>
      </c>
      <c r="C5382" s="2" t="s">
        <v>24</v>
      </c>
      <c r="D5382" s="2" t="s">
        <v>2743</v>
      </c>
      <c r="E5382" s="2" t="s">
        <v>2745</v>
      </c>
      <c r="F5382" s="2" t="s">
        <v>107</v>
      </c>
      <c r="G5382" s="2"/>
      <c r="H5382" s="2"/>
      <c r="I5382" s="2"/>
      <c r="J5382" s="2"/>
    </row>
    <row r="5383" spans="1:10" x14ac:dyDescent="0.35">
      <c r="A5383" s="2" t="s">
        <v>2658</v>
      </c>
      <c r="B5383" s="2" t="s">
        <v>2734</v>
      </c>
      <c r="C5383" s="2" t="s">
        <v>24</v>
      </c>
      <c r="D5383" s="2" t="s">
        <v>2743</v>
      </c>
      <c r="E5383" s="2" t="s">
        <v>42</v>
      </c>
      <c r="F5383" s="2" t="s">
        <v>43</v>
      </c>
      <c r="G5383" s="2"/>
      <c r="H5383" s="2"/>
      <c r="I5383" s="2"/>
      <c r="J5383" s="2"/>
    </row>
    <row r="5384" spans="1:10" x14ac:dyDescent="0.35">
      <c r="A5384" s="2" t="s">
        <v>2658</v>
      </c>
      <c r="B5384" s="2" t="s">
        <v>2746</v>
      </c>
      <c r="C5384" s="2" t="s">
        <v>57</v>
      </c>
      <c r="D5384" s="2" t="s">
        <v>2747</v>
      </c>
      <c r="E5384" s="2" t="s">
        <v>14</v>
      </c>
      <c r="F5384" s="2" t="s">
        <v>15</v>
      </c>
      <c r="G5384" s="2"/>
      <c r="H5384" s="2"/>
      <c r="I5384" s="2"/>
      <c r="J5384" s="2"/>
    </row>
    <row r="5385" spans="1:10" x14ac:dyDescent="0.35">
      <c r="A5385" s="2" t="s">
        <v>2658</v>
      </c>
      <c r="B5385" s="2" t="s">
        <v>2746</v>
      </c>
      <c r="C5385" s="2" t="s">
        <v>57</v>
      </c>
      <c r="D5385" s="2" t="s">
        <v>2747</v>
      </c>
      <c r="E5385" s="2" t="s">
        <v>27</v>
      </c>
      <c r="F5385" s="2" t="s">
        <v>28</v>
      </c>
      <c r="G5385" s="2" t="s">
        <v>16</v>
      </c>
      <c r="H5385" s="2" t="s">
        <v>2748</v>
      </c>
      <c r="I5385" s="2"/>
      <c r="J5385" s="2"/>
    </row>
    <row r="5386" spans="1:10" x14ac:dyDescent="0.35">
      <c r="A5386" s="2" t="s">
        <v>2658</v>
      </c>
      <c r="B5386" s="2" t="s">
        <v>2746</v>
      </c>
      <c r="C5386" s="2" t="s">
        <v>57</v>
      </c>
      <c r="D5386" s="2" t="s">
        <v>2747</v>
      </c>
      <c r="E5386" s="2" t="s">
        <v>121</v>
      </c>
      <c r="F5386" s="2" t="s">
        <v>122</v>
      </c>
      <c r="G5386" s="2" t="s">
        <v>16</v>
      </c>
      <c r="H5386" s="2" t="s">
        <v>2749</v>
      </c>
      <c r="I5386" s="2"/>
      <c r="J5386" s="2"/>
    </row>
    <row r="5387" spans="1:10" x14ac:dyDescent="0.35">
      <c r="A5387" s="2" t="s">
        <v>2658</v>
      </c>
      <c r="B5387" s="2" t="s">
        <v>2746</v>
      </c>
      <c r="C5387" s="2" t="s">
        <v>57</v>
      </c>
      <c r="D5387" s="2" t="s">
        <v>2747</v>
      </c>
      <c r="E5387" s="2" t="s">
        <v>18</v>
      </c>
      <c r="F5387" s="2" t="s">
        <v>19</v>
      </c>
      <c r="G5387" s="2" t="s">
        <v>16</v>
      </c>
      <c r="H5387" s="2" t="s">
        <v>2750</v>
      </c>
      <c r="I5387" s="2"/>
      <c r="J5387" s="2"/>
    </row>
    <row r="5388" spans="1:10" x14ac:dyDescent="0.35">
      <c r="A5388" s="2" t="s">
        <v>2658</v>
      </c>
      <c r="B5388" s="2" t="s">
        <v>2746</v>
      </c>
      <c r="C5388" s="2" t="s">
        <v>57</v>
      </c>
      <c r="D5388" s="2" t="s">
        <v>2747</v>
      </c>
      <c r="E5388" s="2" t="s">
        <v>149</v>
      </c>
      <c r="F5388" s="2" t="s">
        <v>150</v>
      </c>
      <c r="G5388" s="2" t="s">
        <v>16</v>
      </c>
      <c r="H5388" s="2" t="s">
        <v>2751</v>
      </c>
      <c r="I5388" s="2"/>
      <c r="J5388" s="2"/>
    </row>
    <row r="5389" spans="1:10" s="21" customFormat="1" x14ac:dyDescent="0.35">
      <c r="A5389" s="2" t="s">
        <v>2658</v>
      </c>
      <c r="B5389" s="2" t="s">
        <v>2746</v>
      </c>
      <c r="C5389" s="2" t="s">
        <v>24</v>
      </c>
      <c r="D5389" s="2" t="s">
        <v>2752</v>
      </c>
      <c r="E5389" s="2" t="s">
        <v>14</v>
      </c>
      <c r="F5389" s="2" t="s">
        <v>15</v>
      </c>
      <c r="G5389" s="2"/>
      <c r="H5389" s="2"/>
      <c r="I5389" s="2"/>
      <c r="J5389" s="2"/>
    </row>
    <row r="5390" spans="1:10" s="21" customFormat="1" x14ac:dyDescent="0.35">
      <c r="A5390" s="2" t="s">
        <v>2658</v>
      </c>
      <c r="B5390" s="2" t="s">
        <v>2746</v>
      </c>
      <c r="C5390" s="2" t="s">
        <v>24</v>
      </c>
      <c r="D5390" s="2" t="s">
        <v>2752</v>
      </c>
      <c r="E5390" s="2" t="s">
        <v>29</v>
      </c>
      <c r="F5390" s="2" t="s">
        <v>30</v>
      </c>
      <c r="G5390" s="2"/>
      <c r="H5390" s="2"/>
      <c r="I5390" s="2"/>
      <c r="J5390" s="2"/>
    </row>
    <row r="5391" spans="1:10" s="21" customFormat="1" x14ac:dyDescent="0.35">
      <c r="A5391" s="2" t="s">
        <v>2658</v>
      </c>
      <c r="B5391" s="2" t="s">
        <v>2746</v>
      </c>
      <c r="C5391" s="2" t="s">
        <v>24</v>
      </c>
      <c r="D5391" s="2" t="s">
        <v>2752</v>
      </c>
      <c r="E5391" s="2" t="s">
        <v>121</v>
      </c>
      <c r="F5391" s="2" t="s">
        <v>122</v>
      </c>
      <c r="G5391" s="2"/>
      <c r="H5391" s="2"/>
      <c r="I5391" s="2"/>
      <c r="J5391" s="2"/>
    </row>
    <row r="5392" spans="1:10" s="21" customFormat="1" x14ac:dyDescent="0.35">
      <c r="A5392" s="2" t="s">
        <v>2658</v>
      </c>
      <c r="B5392" s="2" t="s">
        <v>2746</v>
      </c>
      <c r="C5392" s="2" t="s">
        <v>24</v>
      </c>
      <c r="D5392" s="2" t="s">
        <v>2752</v>
      </c>
      <c r="E5392" s="2" t="s">
        <v>77</v>
      </c>
      <c r="F5392" s="2" t="s">
        <v>78</v>
      </c>
      <c r="G5392" s="2"/>
      <c r="H5392" s="2"/>
      <c r="I5392" s="2"/>
      <c r="J5392" s="2"/>
    </row>
    <row r="5393" spans="1:10" s="21" customFormat="1" x14ac:dyDescent="0.35">
      <c r="A5393" s="2" t="s">
        <v>2658</v>
      </c>
      <c r="B5393" s="2" t="s">
        <v>2746</v>
      </c>
      <c r="C5393" s="2" t="s">
        <v>24</v>
      </c>
      <c r="D5393" s="2" t="s">
        <v>2752</v>
      </c>
      <c r="E5393" s="2" t="s">
        <v>87</v>
      </c>
      <c r="F5393" s="2" t="s">
        <v>75</v>
      </c>
      <c r="G5393" s="2" t="s">
        <v>20</v>
      </c>
      <c r="H5393" s="2" t="s">
        <v>2753</v>
      </c>
      <c r="I5393" s="2"/>
      <c r="J5393" s="2"/>
    </row>
    <row r="5394" spans="1:10" x14ac:dyDescent="0.35">
      <c r="A5394" s="2" t="s">
        <v>2658</v>
      </c>
      <c r="B5394" s="2" t="s">
        <v>2754</v>
      </c>
      <c r="C5394" s="2" t="s">
        <v>24</v>
      </c>
      <c r="D5394" s="2" t="s">
        <v>2755</v>
      </c>
      <c r="E5394" s="2" t="s">
        <v>14</v>
      </c>
      <c r="F5394" s="2" t="s">
        <v>15</v>
      </c>
      <c r="G5394" s="2"/>
      <c r="H5394" s="2"/>
      <c r="I5394" s="2"/>
      <c r="J5394" s="2"/>
    </row>
    <row r="5395" spans="1:10" x14ac:dyDescent="0.35">
      <c r="A5395" s="2" t="s">
        <v>2658</v>
      </c>
      <c r="B5395" s="2" t="s">
        <v>2754</v>
      </c>
      <c r="C5395" s="2" t="s">
        <v>24</v>
      </c>
      <c r="D5395" s="2" t="s">
        <v>2755</v>
      </c>
      <c r="E5395" s="2" t="s">
        <v>27</v>
      </c>
      <c r="F5395" s="2" t="s">
        <v>28</v>
      </c>
      <c r="G5395" s="2" t="s">
        <v>16</v>
      </c>
      <c r="H5395" s="2" t="s">
        <v>2756</v>
      </c>
      <c r="I5395" s="2"/>
      <c r="J5395" s="2"/>
    </row>
    <row r="5396" spans="1:10" x14ac:dyDescent="0.35">
      <c r="A5396" s="2" t="s">
        <v>2658</v>
      </c>
      <c r="B5396" s="2" t="s">
        <v>2754</v>
      </c>
      <c r="C5396" s="2" t="s">
        <v>24</v>
      </c>
      <c r="D5396" s="2" t="s">
        <v>2755</v>
      </c>
      <c r="E5396" s="2" t="s">
        <v>200</v>
      </c>
      <c r="F5396" s="2" t="s">
        <v>201</v>
      </c>
      <c r="G5396" s="2" t="s">
        <v>16</v>
      </c>
      <c r="H5396" s="2" t="s">
        <v>2757</v>
      </c>
      <c r="I5396" s="2"/>
      <c r="J5396" s="2"/>
    </row>
    <row r="5397" spans="1:10" x14ac:dyDescent="0.35">
      <c r="A5397" s="2" t="s">
        <v>2658</v>
      </c>
      <c r="B5397" s="2" t="s">
        <v>2754</v>
      </c>
      <c r="C5397" s="2" t="s">
        <v>24</v>
      </c>
      <c r="D5397" s="2" t="s">
        <v>2755</v>
      </c>
      <c r="E5397" s="2" t="s">
        <v>121</v>
      </c>
      <c r="F5397" s="2" t="s">
        <v>122</v>
      </c>
      <c r="G5397" s="2" t="s">
        <v>16</v>
      </c>
      <c r="H5397" s="2" t="s">
        <v>2757</v>
      </c>
      <c r="I5397" s="2"/>
      <c r="J5397" s="2"/>
    </row>
    <row r="5398" spans="1:10" x14ac:dyDescent="0.35">
      <c r="A5398" s="2" t="s">
        <v>2658</v>
      </c>
      <c r="B5398" s="2" t="s">
        <v>2754</v>
      </c>
      <c r="C5398" s="2" t="s">
        <v>24</v>
      </c>
      <c r="D5398" s="2" t="s">
        <v>2758</v>
      </c>
      <c r="E5398" s="2" t="s">
        <v>14</v>
      </c>
      <c r="F5398" s="2" t="s">
        <v>15</v>
      </c>
      <c r="G5398" s="2"/>
      <c r="H5398" s="2"/>
      <c r="I5398" s="2"/>
      <c r="J5398" s="2"/>
    </row>
    <row r="5399" spans="1:10" x14ac:dyDescent="0.35">
      <c r="A5399" s="2" t="s">
        <v>2658</v>
      </c>
      <c r="B5399" s="2" t="s">
        <v>2754</v>
      </c>
      <c r="C5399" s="2" t="s">
        <v>24</v>
      </c>
      <c r="D5399" s="2" t="s">
        <v>2758</v>
      </c>
      <c r="E5399" s="2" t="s">
        <v>27</v>
      </c>
      <c r="F5399" s="2" t="s">
        <v>28</v>
      </c>
      <c r="G5399" s="2"/>
      <c r="H5399" s="2"/>
      <c r="I5399" s="2"/>
      <c r="J5399" s="2"/>
    </row>
    <row r="5400" spans="1:10" x14ac:dyDescent="0.35">
      <c r="A5400" s="2" t="s">
        <v>2658</v>
      </c>
      <c r="B5400" s="2" t="s">
        <v>2754</v>
      </c>
      <c r="C5400" s="2" t="s">
        <v>24</v>
      </c>
      <c r="D5400" s="2" t="s">
        <v>2758</v>
      </c>
      <c r="E5400" s="2" t="s">
        <v>76</v>
      </c>
      <c r="F5400" s="2" t="s">
        <v>75</v>
      </c>
      <c r="G5400" s="2" t="s">
        <v>16</v>
      </c>
      <c r="H5400" s="2" t="s">
        <v>2759</v>
      </c>
      <c r="I5400" s="2"/>
      <c r="J5400" s="2"/>
    </row>
    <row r="5401" spans="1:10" x14ac:dyDescent="0.35">
      <c r="A5401" s="2" t="s">
        <v>2658</v>
      </c>
      <c r="B5401" s="2" t="s">
        <v>2754</v>
      </c>
      <c r="C5401" s="2" t="s">
        <v>24</v>
      </c>
      <c r="D5401" s="2" t="s">
        <v>2758</v>
      </c>
      <c r="E5401" s="2" t="s">
        <v>96</v>
      </c>
      <c r="F5401" s="2" t="s">
        <v>83</v>
      </c>
      <c r="G5401" s="2" t="s">
        <v>16</v>
      </c>
      <c r="H5401" s="2" t="s">
        <v>2760</v>
      </c>
      <c r="I5401" s="2"/>
      <c r="J5401" s="2"/>
    </row>
    <row r="5402" spans="1:10" x14ac:dyDescent="0.35">
      <c r="A5402" s="2" t="s">
        <v>2658</v>
      </c>
      <c r="B5402" s="2" t="s">
        <v>2754</v>
      </c>
      <c r="C5402" s="2" t="s">
        <v>24</v>
      </c>
      <c r="D5402" s="2" t="s">
        <v>2758</v>
      </c>
      <c r="E5402" s="2" t="s">
        <v>416</v>
      </c>
      <c r="F5402" s="2" t="s">
        <v>38</v>
      </c>
      <c r="G5402" s="2"/>
      <c r="H5402" s="2"/>
      <c r="I5402" s="2"/>
      <c r="J5402" s="2"/>
    </row>
    <row r="5403" spans="1:10" s="21" customFormat="1" x14ac:dyDescent="0.35">
      <c r="A5403" s="2" t="s">
        <v>2658</v>
      </c>
      <c r="B5403" s="2" t="s">
        <v>2754</v>
      </c>
      <c r="C5403" s="2" t="s">
        <v>24</v>
      </c>
      <c r="D5403" s="2" t="s">
        <v>2761</v>
      </c>
      <c r="E5403" s="2" t="s">
        <v>144</v>
      </c>
      <c r="F5403" s="2" t="s">
        <v>50</v>
      </c>
      <c r="G5403" s="2"/>
      <c r="H5403" s="2"/>
      <c r="I5403" s="2"/>
      <c r="J5403" s="2"/>
    </row>
    <row r="5404" spans="1:10" s="21" customFormat="1" x14ac:dyDescent="0.35">
      <c r="A5404" s="2" t="s">
        <v>2658</v>
      </c>
      <c r="B5404" s="2" t="s">
        <v>2754</v>
      </c>
      <c r="C5404" s="2" t="s">
        <v>24</v>
      </c>
      <c r="D5404" s="2" t="s">
        <v>2761</v>
      </c>
      <c r="E5404" s="2" t="s">
        <v>27</v>
      </c>
      <c r="F5404" s="2" t="s">
        <v>28</v>
      </c>
      <c r="G5404" s="2"/>
      <c r="H5404" s="2"/>
      <c r="I5404" s="2"/>
      <c r="J5404" s="2"/>
    </row>
    <row r="5405" spans="1:10" s="21" customFormat="1" x14ac:dyDescent="0.35">
      <c r="A5405" s="2" t="s">
        <v>2658</v>
      </c>
      <c r="B5405" s="2" t="s">
        <v>2754</v>
      </c>
      <c r="C5405" s="2" t="s">
        <v>24</v>
      </c>
      <c r="D5405" s="2" t="s">
        <v>2761</v>
      </c>
      <c r="E5405" s="2" t="s">
        <v>76</v>
      </c>
      <c r="F5405" s="2" t="s">
        <v>75</v>
      </c>
      <c r="G5405" s="2"/>
      <c r="H5405" s="2"/>
      <c r="I5405" s="2"/>
      <c r="J5405" s="2"/>
    </row>
    <row r="5406" spans="1:10" s="21" customFormat="1" x14ac:dyDescent="0.35">
      <c r="A5406" s="2" t="s">
        <v>2658</v>
      </c>
      <c r="B5406" s="2" t="s">
        <v>2754</v>
      </c>
      <c r="C5406" s="2" t="s">
        <v>24</v>
      </c>
      <c r="D5406" s="2" t="s">
        <v>2761</v>
      </c>
      <c r="E5406" s="2" t="s">
        <v>120</v>
      </c>
      <c r="F5406" s="2" t="s">
        <v>32</v>
      </c>
      <c r="G5406" s="2"/>
      <c r="H5406" s="2"/>
      <c r="I5406" s="2"/>
      <c r="J5406" s="2"/>
    </row>
    <row r="5407" spans="1:10" s="21" customFormat="1" x14ac:dyDescent="0.35">
      <c r="A5407" s="2" t="s">
        <v>2658</v>
      </c>
      <c r="B5407" s="2" t="s">
        <v>2754</v>
      </c>
      <c r="C5407" s="2" t="s">
        <v>24</v>
      </c>
      <c r="D5407" s="2" t="s">
        <v>2761</v>
      </c>
      <c r="E5407" s="2" t="s">
        <v>121</v>
      </c>
      <c r="F5407" s="2" t="s">
        <v>122</v>
      </c>
      <c r="G5407" s="2"/>
      <c r="H5407" s="2"/>
      <c r="I5407" s="2"/>
      <c r="J5407" s="2"/>
    </row>
    <row r="5408" spans="1:10" s="21" customFormat="1" x14ac:dyDescent="0.35">
      <c r="A5408" s="2" t="s">
        <v>2658</v>
      </c>
      <c r="B5408" s="2" t="s">
        <v>2754</v>
      </c>
      <c r="C5408" s="2" t="s">
        <v>24</v>
      </c>
      <c r="D5408" s="2" t="s">
        <v>2761</v>
      </c>
      <c r="E5408" s="2" t="s">
        <v>77</v>
      </c>
      <c r="F5408" s="2" t="s">
        <v>78</v>
      </c>
      <c r="G5408" s="2"/>
      <c r="H5408" s="2"/>
      <c r="I5408" s="2"/>
      <c r="J5408" s="2"/>
    </row>
    <row r="5409" spans="1:10" s="21" customFormat="1" x14ac:dyDescent="0.35">
      <c r="A5409" s="2" t="s">
        <v>2658</v>
      </c>
      <c r="B5409" s="2" t="s">
        <v>2754</v>
      </c>
      <c r="C5409" s="2" t="s">
        <v>24</v>
      </c>
      <c r="D5409" s="2" t="s">
        <v>2761</v>
      </c>
      <c r="E5409" s="2" t="s">
        <v>87</v>
      </c>
      <c r="F5409" s="2" t="s">
        <v>75</v>
      </c>
      <c r="G5409" s="2" t="s">
        <v>20</v>
      </c>
      <c r="H5409" s="2" t="s">
        <v>2762</v>
      </c>
      <c r="I5409" s="2"/>
      <c r="J5409" s="2"/>
    </row>
    <row r="5410" spans="1:10" s="21" customFormat="1" x14ac:dyDescent="0.35">
      <c r="A5410" s="2" t="s">
        <v>2658</v>
      </c>
      <c r="B5410" s="2" t="s">
        <v>2754</v>
      </c>
      <c r="C5410" s="2" t="s">
        <v>24</v>
      </c>
      <c r="D5410" s="2" t="s">
        <v>2761</v>
      </c>
      <c r="E5410" s="2" t="s">
        <v>18</v>
      </c>
      <c r="F5410" s="2" t="s">
        <v>19</v>
      </c>
      <c r="G5410" s="2" t="s">
        <v>20</v>
      </c>
      <c r="H5410" s="2" t="s">
        <v>2763</v>
      </c>
      <c r="I5410" s="2"/>
      <c r="J5410" s="2"/>
    </row>
    <row r="5411" spans="1:10" s="21" customFormat="1" x14ac:dyDescent="0.35">
      <c r="A5411" s="2" t="s">
        <v>2658</v>
      </c>
      <c r="B5411" s="2" t="s">
        <v>2754</v>
      </c>
      <c r="C5411" s="2" t="s">
        <v>24</v>
      </c>
      <c r="D5411" s="2" t="s">
        <v>2761</v>
      </c>
      <c r="E5411" s="2" t="s">
        <v>1021</v>
      </c>
      <c r="F5411" s="2" t="s">
        <v>122</v>
      </c>
      <c r="G5411" s="2"/>
      <c r="H5411" s="2"/>
      <c r="I5411" s="2"/>
      <c r="J5411" s="2"/>
    </row>
    <row r="5412" spans="1:10" x14ac:dyDescent="0.35">
      <c r="A5412" s="2" t="s">
        <v>2658</v>
      </c>
      <c r="B5412" s="2" t="s">
        <v>2754</v>
      </c>
      <c r="C5412" s="2" t="s">
        <v>54</v>
      </c>
      <c r="D5412" s="2" t="s">
        <v>2764</v>
      </c>
      <c r="E5412" s="2" t="s">
        <v>14</v>
      </c>
      <c r="F5412" s="2" t="s">
        <v>15</v>
      </c>
      <c r="G5412" s="2" t="s">
        <v>46</v>
      </c>
      <c r="H5412" s="2" t="s">
        <v>2765</v>
      </c>
      <c r="I5412" s="2"/>
      <c r="J5412" s="2"/>
    </row>
    <row r="5413" spans="1:10" x14ac:dyDescent="0.35">
      <c r="A5413" s="2" t="s">
        <v>2658</v>
      </c>
      <c r="B5413" s="2" t="s">
        <v>2754</v>
      </c>
      <c r="C5413" s="2" t="s">
        <v>54</v>
      </c>
      <c r="D5413" s="2" t="s">
        <v>2764</v>
      </c>
      <c r="E5413" s="2" t="s">
        <v>992</v>
      </c>
      <c r="F5413" s="2" t="s">
        <v>201</v>
      </c>
      <c r="G5413" s="2" t="s">
        <v>46</v>
      </c>
      <c r="H5413" s="2" t="s">
        <v>2765</v>
      </c>
      <c r="I5413" s="2"/>
      <c r="J5413" s="2"/>
    </row>
    <row r="5414" spans="1:10" x14ac:dyDescent="0.35">
      <c r="A5414" s="2" t="s">
        <v>2658</v>
      </c>
      <c r="B5414" s="2" t="s">
        <v>2754</v>
      </c>
      <c r="C5414" s="2" t="s">
        <v>54</v>
      </c>
      <c r="D5414" s="2" t="s">
        <v>2764</v>
      </c>
      <c r="E5414" s="2" t="s">
        <v>96</v>
      </c>
      <c r="F5414" s="2" t="s">
        <v>83</v>
      </c>
      <c r="G5414" s="2" t="s">
        <v>46</v>
      </c>
      <c r="H5414" s="2" t="s">
        <v>2765</v>
      </c>
      <c r="I5414" s="2"/>
      <c r="J5414" s="2"/>
    </row>
    <row r="5415" spans="1:10" x14ac:dyDescent="0.35">
      <c r="A5415" s="2" t="s">
        <v>2658</v>
      </c>
      <c r="B5415" s="2" t="s">
        <v>2754</v>
      </c>
      <c r="C5415" s="2" t="s">
        <v>54</v>
      </c>
      <c r="D5415" s="2" t="s">
        <v>2764</v>
      </c>
      <c r="E5415" s="2" t="s">
        <v>18</v>
      </c>
      <c r="F5415" s="2" t="s">
        <v>19</v>
      </c>
      <c r="G5415" s="2" t="s">
        <v>46</v>
      </c>
      <c r="H5415" s="2" t="s">
        <v>2765</v>
      </c>
      <c r="I5415" s="2"/>
      <c r="J5415" s="2"/>
    </row>
    <row r="5416" spans="1:10" x14ac:dyDescent="0.35">
      <c r="A5416" s="2" t="s">
        <v>2658</v>
      </c>
      <c r="B5416" s="2" t="s">
        <v>2754</v>
      </c>
      <c r="C5416" s="2" t="s">
        <v>54</v>
      </c>
      <c r="D5416" s="2" t="s">
        <v>2764</v>
      </c>
      <c r="E5416" s="2" t="s">
        <v>188</v>
      </c>
      <c r="F5416" s="2" t="s">
        <v>189</v>
      </c>
      <c r="G5416" s="2" t="s">
        <v>46</v>
      </c>
      <c r="H5416" s="2" t="s">
        <v>2765</v>
      </c>
      <c r="I5416" s="2"/>
      <c r="J5416" s="2"/>
    </row>
    <row r="5417" spans="1:10" x14ac:dyDescent="0.35">
      <c r="A5417" s="2" t="s">
        <v>2658</v>
      </c>
      <c r="B5417" s="2" t="s">
        <v>2754</v>
      </c>
      <c r="C5417" s="2" t="s">
        <v>24</v>
      </c>
      <c r="D5417" s="2" t="s">
        <v>2766</v>
      </c>
      <c r="E5417" s="2" t="s">
        <v>14</v>
      </c>
      <c r="F5417" s="2" t="s">
        <v>15</v>
      </c>
      <c r="G5417" s="2"/>
      <c r="H5417" s="2"/>
      <c r="I5417" s="2"/>
      <c r="J5417" s="2"/>
    </row>
    <row r="5418" spans="1:10" x14ac:dyDescent="0.35">
      <c r="A5418" s="2" t="s">
        <v>2658</v>
      </c>
      <c r="B5418" s="2" t="s">
        <v>2754</v>
      </c>
      <c r="C5418" s="2" t="s">
        <v>24</v>
      </c>
      <c r="D5418" s="2" t="s">
        <v>2766</v>
      </c>
      <c r="E5418" s="2" t="s">
        <v>61</v>
      </c>
      <c r="F5418" s="2" t="s">
        <v>30</v>
      </c>
      <c r="G5418" s="2"/>
      <c r="H5418" s="2"/>
      <c r="I5418" s="2"/>
      <c r="J5418" s="2"/>
    </row>
    <row r="5419" spans="1:10" x14ac:dyDescent="0.35">
      <c r="A5419" s="2" t="s">
        <v>2658</v>
      </c>
      <c r="B5419" s="2" t="s">
        <v>2754</v>
      </c>
      <c r="C5419" s="2" t="s">
        <v>62</v>
      </c>
      <c r="D5419" s="2" t="s">
        <v>2767</v>
      </c>
      <c r="E5419" s="2" t="s">
        <v>74</v>
      </c>
      <c r="F5419" s="2" t="s">
        <v>75</v>
      </c>
      <c r="G5419" s="2" t="s">
        <v>16</v>
      </c>
      <c r="H5419" s="2" t="s">
        <v>2768</v>
      </c>
      <c r="I5419" s="2"/>
      <c r="J5419" s="2"/>
    </row>
    <row r="5420" spans="1:10" x14ac:dyDescent="0.35">
      <c r="A5420" s="2" t="s">
        <v>2658</v>
      </c>
      <c r="B5420" s="2" t="s">
        <v>2754</v>
      </c>
      <c r="C5420" s="2" t="s">
        <v>62</v>
      </c>
      <c r="D5420" s="2" t="s">
        <v>2767</v>
      </c>
      <c r="E5420" s="2" t="s">
        <v>352</v>
      </c>
      <c r="F5420" s="2" t="s">
        <v>107</v>
      </c>
      <c r="G5420" s="2"/>
      <c r="H5420" s="2"/>
      <c r="I5420" s="2"/>
      <c r="J5420" s="2"/>
    </row>
    <row r="5421" spans="1:10" x14ac:dyDescent="0.35">
      <c r="A5421" s="2" t="s">
        <v>2658</v>
      </c>
      <c r="B5421" s="2" t="s">
        <v>2754</v>
      </c>
      <c r="C5421" s="2" t="s">
        <v>62</v>
      </c>
      <c r="D5421" s="2" t="s">
        <v>2767</v>
      </c>
      <c r="E5421" s="2" t="s">
        <v>1181</v>
      </c>
      <c r="F5421" s="2" t="s">
        <v>30</v>
      </c>
      <c r="G5421" s="2"/>
      <c r="H5421" s="2"/>
      <c r="I5421" s="2"/>
      <c r="J5421" s="2"/>
    </row>
    <row r="5422" spans="1:10" x14ac:dyDescent="0.35">
      <c r="A5422" s="2" t="s">
        <v>2658</v>
      </c>
      <c r="B5422" s="2" t="s">
        <v>2754</v>
      </c>
      <c r="C5422" s="2" t="s">
        <v>24</v>
      </c>
      <c r="D5422" s="2" t="s">
        <v>2769</v>
      </c>
      <c r="E5422" s="2" t="s">
        <v>14</v>
      </c>
      <c r="F5422" s="2" t="s">
        <v>15</v>
      </c>
      <c r="G5422" s="2"/>
      <c r="H5422" s="2"/>
      <c r="I5422" s="2"/>
      <c r="J5422" s="2"/>
    </row>
    <row r="5423" spans="1:10" x14ac:dyDescent="0.35">
      <c r="A5423" s="2" t="s">
        <v>2658</v>
      </c>
      <c r="B5423" s="2" t="s">
        <v>2754</v>
      </c>
      <c r="C5423" s="2" t="s">
        <v>24</v>
      </c>
      <c r="D5423" s="2" t="s">
        <v>2769</v>
      </c>
      <c r="E5423" s="2" t="s">
        <v>27</v>
      </c>
      <c r="F5423" s="2" t="s">
        <v>28</v>
      </c>
      <c r="G5423" s="2"/>
      <c r="H5423" s="2"/>
      <c r="I5423" s="2"/>
      <c r="J5423" s="2"/>
    </row>
    <row r="5424" spans="1:10" x14ac:dyDescent="0.35">
      <c r="A5424" s="2" t="s">
        <v>2658</v>
      </c>
      <c r="B5424" s="2" t="s">
        <v>2754</v>
      </c>
      <c r="C5424" s="2" t="s">
        <v>24</v>
      </c>
      <c r="D5424" s="2" t="s">
        <v>2769</v>
      </c>
      <c r="E5424" s="2" t="s">
        <v>438</v>
      </c>
      <c r="F5424" s="2" t="s">
        <v>19</v>
      </c>
      <c r="G5424" s="2"/>
      <c r="H5424" s="2"/>
      <c r="I5424" s="2"/>
      <c r="J5424" s="2"/>
    </row>
    <row r="5425" spans="1:10" x14ac:dyDescent="0.35">
      <c r="A5425" s="2" t="s">
        <v>2658</v>
      </c>
      <c r="B5425" s="2" t="s">
        <v>2754</v>
      </c>
      <c r="C5425" s="2" t="s">
        <v>24</v>
      </c>
      <c r="D5425" s="2" t="s">
        <v>2769</v>
      </c>
      <c r="E5425" s="2" t="s">
        <v>77</v>
      </c>
      <c r="F5425" s="2" t="s">
        <v>78</v>
      </c>
      <c r="G5425" s="2"/>
      <c r="H5425" s="2"/>
      <c r="I5425" s="2"/>
      <c r="J5425" s="2"/>
    </row>
    <row r="5426" spans="1:10" x14ac:dyDescent="0.35">
      <c r="A5426" s="2" t="s">
        <v>2658</v>
      </c>
      <c r="B5426" s="2" t="s">
        <v>2754</v>
      </c>
      <c r="C5426" s="2" t="s">
        <v>24</v>
      </c>
      <c r="D5426" s="2" t="s">
        <v>2769</v>
      </c>
      <c r="E5426" s="2" t="s">
        <v>188</v>
      </c>
      <c r="F5426" s="2" t="s">
        <v>189</v>
      </c>
      <c r="G5426" s="2" t="s">
        <v>16</v>
      </c>
      <c r="H5426" s="2" t="s">
        <v>2770</v>
      </c>
      <c r="I5426" s="2"/>
      <c r="J5426" s="2"/>
    </row>
    <row r="5427" spans="1:10" x14ac:dyDescent="0.35">
      <c r="A5427" s="2" t="s">
        <v>2658</v>
      </c>
      <c r="B5427" s="2" t="s">
        <v>2754</v>
      </c>
      <c r="C5427" s="2" t="s">
        <v>54</v>
      </c>
      <c r="D5427" s="2" t="s">
        <v>2771</v>
      </c>
      <c r="E5427" s="2" t="s">
        <v>14</v>
      </c>
      <c r="F5427" s="2" t="s">
        <v>15</v>
      </c>
      <c r="G5427" s="2"/>
      <c r="H5427" s="2"/>
      <c r="I5427" s="2"/>
      <c r="J5427" s="2"/>
    </row>
    <row r="5428" spans="1:10" x14ac:dyDescent="0.35">
      <c r="A5428" s="2" t="s">
        <v>2658</v>
      </c>
      <c r="B5428" s="2" t="s">
        <v>2754</v>
      </c>
      <c r="C5428" s="2" t="s">
        <v>54</v>
      </c>
      <c r="D5428" s="2" t="s">
        <v>2771</v>
      </c>
      <c r="E5428" s="2" t="s">
        <v>120</v>
      </c>
      <c r="F5428" s="2" t="s">
        <v>32</v>
      </c>
      <c r="G5428" s="2" t="s">
        <v>16</v>
      </c>
      <c r="H5428" s="2" t="s">
        <v>2772</v>
      </c>
      <c r="I5428" s="2"/>
      <c r="J5428" s="2"/>
    </row>
    <row r="5429" spans="1:10" x14ac:dyDescent="0.35">
      <c r="A5429" s="2" t="s">
        <v>2658</v>
      </c>
      <c r="B5429" s="2" t="s">
        <v>2754</v>
      </c>
      <c r="C5429" s="2" t="s">
        <v>54</v>
      </c>
      <c r="D5429" s="2" t="s">
        <v>2771</v>
      </c>
      <c r="E5429" s="2" t="s">
        <v>33</v>
      </c>
      <c r="F5429" s="2" t="s">
        <v>34</v>
      </c>
      <c r="G5429" s="2" t="s">
        <v>16</v>
      </c>
      <c r="H5429" s="2" t="s">
        <v>2772</v>
      </c>
      <c r="I5429" s="2"/>
      <c r="J5429" s="2"/>
    </row>
    <row r="5430" spans="1:10" x14ac:dyDescent="0.35">
      <c r="A5430" s="2" t="s">
        <v>2658</v>
      </c>
      <c r="B5430" s="2" t="s">
        <v>2754</v>
      </c>
      <c r="C5430" s="2" t="s">
        <v>54</v>
      </c>
      <c r="D5430" s="2" t="s">
        <v>2771</v>
      </c>
      <c r="E5430" s="2" t="s">
        <v>476</v>
      </c>
      <c r="F5430" s="2" t="s">
        <v>78</v>
      </c>
      <c r="G5430" s="2"/>
      <c r="H5430" s="2"/>
      <c r="I5430" s="2"/>
      <c r="J5430" s="2"/>
    </row>
    <row r="5431" spans="1:10" x14ac:dyDescent="0.35">
      <c r="A5431" s="2" t="s">
        <v>2658</v>
      </c>
      <c r="B5431" s="2" t="s">
        <v>2754</v>
      </c>
      <c r="C5431" s="2" t="s">
        <v>54</v>
      </c>
      <c r="D5431" s="2" t="s">
        <v>2771</v>
      </c>
      <c r="E5431" s="2" t="s">
        <v>438</v>
      </c>
      <c r="F5431" s="2" t="s">
        <v>19</v>
      </c>
      <c r="G5431" s="2" t="s">
        <v>16</v>
      </c>
      <c r="H5431" s="2" t="s">
        <v>2773</v>
      </c>
      <c r="I5431" s="2"/>
      <c r="J5431" s="2"/>
    </row>
    <row r="5432" spans="1:10" s="21" customFormat="1" x14ac:dyDescent="0.35">
      <c r="A5432" s="2" t="s">
        <v>2658</v>
      </c>
      <c r="B5432" s="2" t="s">
        <v>2754</v>
      </c>
      <c r="C5432" s="2" t="s">
        <v>24</v>
      </c>
      <c r="D5432" s="2" t="s">
        <v>2774</v>
      </c>
      <c r="E5432" s="2" t="s">
        <v>27</v>
      </c>
      <c r="F5432" s="2" t="s">
        <v>28</v>
      </c>
      <c r="G5432" s="2"/>
      <c r="H5432" s="2"/>
      <c r="I5432" s="2"/>
      <c r="J5432" s="2"/>
    </row>
    <row r="5433" spans="1:10" s="21" customFormat="1" x14ac:dyDescent="0.35">
      <c r="A5433" s="2" t="s">
        <v>2658</v>
      </c>
      <c r="B5433" s="2" t="s">
        <v>2754</v>
      </c>
      <c r="C5433" s="2" t="s">
        <v>24</v>
      </c>
      <c r="D5433" s="2" t="s">
        <v>2774</v>
      </c>
      <c r="E5433" s="2" t="s">
        <v>76</v>
      </c>
      <c r="F5433" s="2" t="s">
        <v>75</v>
      </c>
      <c r="G5433" s="2"/>
      <c r="H5433" s="2"/>
      <c r="I5433" s="2"/>
      <c r="J5433" s="2"/>
    </row>
    <row r="5434" spans="1:10" s="21" customFormat="1" x14ac:dyDescent="0.35">
      <c r="A5434" s="2" t="s">
        <v>2658</v>
      </c>
      <c r="B5434" s="2" t="s">
        <v>2754</v>
      </c>
      <c r="C5434" s="2" t="s">
        <v>24</v>
      </c>
      <c r="D5434" s="2" t="s">
        <v>2774</v>
      </c>
      <c r="E5434" s="2" t="s">
        <v>138</v>
      </c>
      <c r="F5434" s="2" t="s">
        <v>139</v>
      </c>
      <c r="G5434" s="2"/>
      <c r="H5434" s="2"/>
      <c r="I5434" s="2"/>
      <c r="J5434" s="2"/>
    </row>
    <row r="5435" spans="1:10" s="21" customFormat="1" x14ac:dyDescent="0.35">
      <c r="A5435" s="2" t="s">
        <v>2658</v>
      </c>
      <c r="B5435" s="2" t="s">
        <v>2754</v>
      </c>
      <c r="C5435" s="2" t="s">
        <v>24</v>
      </c>
      <c r="D5435" s="2" t="s">
        <v>2774</v>
      </c>
      <c r="E5435" s="2" t="s">
        <v>416</v>
      </c>
      <c r="F5435" s="2" t="s">
        <v>38</v>
      </c>
      <c r="G5435" s="2"/>
      <c r="H5435" s="2"/>
      <c r="I5435" s="2"/>
      <c r="J5435" s="2"/>
    </row>
    <row r="5436" spans="1:10" s="21" customFormat="1" x14ac:dyDescent="0.35">
      <c r="A5436" s="2" t="s">
        <v>2658</v>
      </c>
      <c r="B5436" s="2" t="s">
        <v>2754</v>
      </c>
      <c r="C5436" s="2" t="s">
        <v>24</v>
      </c>
      <c r="D5436" s="2" t="s">
        <v>2774</v>
      </c>
      <c r="E5436" s="2" t="s">
        <v>469</v>
      </c>
      <c r="F5436" s="2" t="s">
        <v>1244</v>
      </c>
      <c r="G5436" s="2"/>
      <c r="H5436" s="2"/>
      <c r="I5436" s="2"/>
      <c r="J5436" s="2"/>
    </row>
    <row r="5437" spans="1:10" s="21" customFormat="1" x14ac:dyDescent="0.35">
      <c r="A5437" s="2" t="s">
        <v>2658</v>
      </c>
      <c r="B5437" s="2" t="s">
        <v>2754</v>
      </c>
      <c r="C5437" s="2" t="s">
        <v>24</v>
      </c>
      <c r="D5437" s="2" t="s">
        <v>2774</v>
      </c>
      <c r="E5437" s="2" t="s">
        <v>61</v>
      </c>
      <c r="F5437" s="2" t="s">
        <v>30</v>
      </c>
      <c r="G5437" s="2"/>
      <c r="H5437" s="2"/>
      <c r="I5437" s="2"/>
      <c r="J5437" s="2"/>
    </row>
    <row r="5438" spans="1:10" s="21" customFormat="1" x14ac:dyDescent="0.35">
      <c r="A5438" s="2" t="s">
        <v>2658</v>
      </c>
      <c r="B5438" s="2" t="s">
        <v>2754</v>
      </c>
      <c r="C5438" s="2" t="s">
        <v>24</v>
      </c>
      <c r="D5438" s="2" t="s">
        <v>2774</v>
      </c>
      <c r="E5438" s="2" t="s">
        <v>1021</v>
      </c>
      <c r="F5438" s="2" t="s">
        <v>122</v>
      </c>
      <c r="G5438" s="2"/>
      <c r="H5438" s="2"/>
      <c r="I5438" s="2"/>
      <c r="J5438" s="2"/>
    </row>
    <row r="5439" spans="1:10" x14ac:dyDescent="0.35">
      <c r="A5439" s="2" t="s">
        <v>2658</v>
      </c>
      <c r="B5439" s="2" t="s">
        <v>2754</v>
      </c>
      <c r="C5439" s="2" t="s">
        <v>12</v>
      </c>
      <c r="D5439" s="2" t="s">
        <v>2775</v>
      </c>
      <c r="E5439" s="2" t="s">
        <v>416</v>
      </c>
      <c r="F5439" s="2" t="s">
        <v>38</v>
      </c>
      <c r="G5439" s="2"/>
      <c r="H5439" s="2"/>
      <c r="I5439" s="2"/>
      <c r="J5439" s="2"/>
    </row>
    <row r="5440" spans="1:10" x14ac:dyDescent="0.35">
      <c r="A5440" s="2" t="s">
        <v>2658</v>
      </c>
      <c r="B5440" s="2" t="s">
        <v>2754</v>
      </c>
      <c r="C5440" s="2" t="s">
        <v>12</v>
      </c>
      <c r="D5440" s="2" t="s">
        <v>2775</v>
      </c>
      <c r="E5440" s="2" t="s">
        <v>29</v>
      </c>
      <c r="F5440" s="2" t="s">
        <v>30</v>
      </c>
      <c r="G5440" s="2"/>
      <c r="H5440" s="2"/>
      <c r="I5440" s="2"/>
      <c r="J5440" s="2"/>
    </row>
    <row r="5441" spans="1:10" x14ac:dyDescent="0.35">
      <c r="A5441" s="2" t="s">
        <v>2658</v>
      </c>
      <c r="B5441" s="2" t="s">
        <v>2754</v>
      </c>
      <c r="C5441" s="2" t="s">
        <v>57</v>
      </c>
      <c r="D5441" s="2" t="s">
        <v>2776</v>
      </c>
      <c r="E5441" s="2" t="s">
        <v>14</v>
      </c>
      <c r="F5441" s="2" t="s">
        <v>15</v>
      </c>
      <c r="G5441" s="2"/>
      <c r="H5441" s="2"/>
      <c r="I5441" s="2"/>
      <c r="J5441" s="2"/>
    </row>
    <row r="5442" spans="1:10" x14ac:dyDescent="0.35">
      <c r="A5442" s="2" t="s">
        <v>2658</v>
      </c>
      <c r="B5442" s="2" t="s">
        <v>2754</v>
      </c>
      <c r="C5442" s="2" t="s">
        <v>57</v>
      </c>
      <c r="D5442" s="2" t="s">
        <v>2776</v>
      </c>
      <c r="E5442" s="2" t="s">
        <v>27</v>
      </c>
      <c r="F5442" s="2" t="s">
        <v>28</v>
      </c>
      <c r="G5442" s="2" t="s">
        <v>16</v>
      </c>
      <c r="H5442" s="2" t="s">
        <v>2777</v>
      </c>
      <c r="I5442" s="2"/>
      <c r="J5442" s="2"/>
    </row>
    <row r="5443" spans="1:10" x14ac:dyDescent="0.35">
      <c r="A5443" s="2" t="s">
        <v>2658</v>
      </c>
      <c r="B5443" s="2" t="s">
        <v>2754</v>
      </c>
      <c r="C5443" s="2" t="s">
        <v>57</v>
      </c>
      <c r="D5443" s="2" t="s">
        <v>2776</v>
      </c>
      <c r="E5443" s="2" t="s">
        <v>138</v>
      </c>
      <c r="F5443" s="2" t="s">
        <v>139</v>
      </c>
      <c r="G5443" s="2"/>
      <c r="H5443" s="2"/>
      <c r="I5443" s="2"/>
      <c r="J5443" s="2"/>
    </row>
    <row r="5444" spans="1:10" x14ac:dyDescent="0.35">
      <c r="A5444" s="2" t="s">
        <v>2658</v>
      </c>
      <c r="B5444" s="2" t="s">
        <v>2754</v>
      </c>
      <c r="C5444" s="2" t="s">
        <v>57</v>
      </c>
      <c r="D5444" s="2" t="s">
        <v>2776</v>
      </c>
      <c r="E5444" s="2" t="s">
        <v>96</v>
      </c>
      <c r="F5444" s="2" t="s">
        <v>83</v>
      </c>
      <c r="G5444" s="2"/>
      <c r="H5444" s="2"/>
      <c r="I5444" s="2"/>
      <c r="J5444" s="2"/>
    </row>
    <row r="5445" spans="1:10" x14ac:dyDescent="0.35">
      <c r="A5445" s="2" t="s">
        <v>2658</v>
      </c>
      <c r="B5445" s="2" t="s">
        <v>2754</v>
      </c>
      <c r="C5445" s="2" t="s">
        <v>57</v>
      </c>
      <c r="D5445" s="2" t="s">
        <v>2776</v>
      </c>
      <c r="E5445" s="2" t="s">
        <v>212</v>
      </c>
      <c r="F5445" s="2" t="s">
        <v>78</v>
      </c>
      <c r="G5445" s="2"/>
      <c r="H5445" s="2"/>
      <c r="I5445" s="2"/>
      <c r="J5445" s="2"/>
    </row>
    <row r="5446" spans="1:10" x14ac:dyDescent="0.35">
      <c r="A5446" s="2" t="s">
        <v>2658</v>
      </c>
      <c r="B5446" s="2" t="s">
        <v>2754</v>
      </c>
      <c r="C5446" s="2" t="s">
        <v>57</v>
      </c>
      <c r="D5446" s="2" t="s">
        <v>2776</v>
      </c>
      <c r="E5446" s="2" t="s">
        <v>416</v>
      </c>
      <c r="F5446" s="2" t="s">
        <v>38</v>
      </c>
      <c r="G5446" s="2" t="s">
        <v>16</v>
      </c>
      <c r="H5446" s="2" t="s">
        <v>2778</v>
      </c>
      <c r="I5446" s="2"/>
      <c r="J5446" s="2"/>
    </row>
    <row r="5447" spans="1:10" x14ac:dyDescent="0.35">
      <c r="A5447" s="2" t="s">
        <v>2658</v>
      </c>
      <c r="B5447" s="2" t="s">
        <v>2754</v>
      </c>
      <c r="C5447" s="2" t="s">
        <v>57</v>
      </c>
      <c r="D5447" s="2" t="s">
        <v>2776</v>
      </c>
      <c r="E5447" s="2" t="s">
        <v>438</v>
      </c>
      <c r="F5447" s="2" t="s">
        <v>19</v>
      </c>
      <c r="G5447" s="2"/>
      <c r="H5447" s="2"/>
      <c r="I5447" s="2"/>
      <c r="J5447" s="2"/>
    </row>
    <row r="5448" spans="1:10" x14ac:dyDescent="0.35">
      <c r="A5448" s="2" t="s">
        <v>2658</v>
      </c>
      <c r="B5448" s="2" t="s">
        <v>2754</v>
      </c>
      <c r="C5448" s="2" t="s">
        <v>57</v>
      </c>
      <c r="D5448" s="2" t="s">
        <v>2776</v>
      </c>
      <c r="E5448" s="2" t="s">
        <v>149</v>
      </c>
      <c r="F5448" s="2" t="s">
        <v>150</v>
      </c>
      <c r="G5448" s="2"/>
      <c r="H5448" s="2"/>
      <c r="I5448" s="2"/>
      <c r="J5448" s="2"/>
    </row>
    <row r="5449" spans="1:10" x14ac:dyDescent="0.35">
      <c r="A5449" s="2" t="s">
        <v>2658</v>
      </c>
      <c r="B5449" s="2" t="s">
        <v>2779</v>
      </c>
      <c r="C5449" s="2" t="s">
        <v>57</v>
      </c>
      <c r="D5449" s="2" t="s">
        <v>2780</v>
      </c>
      <c r="E5449" s="2" t="s">
        <v>1668</v>
      </c>
      <c r="F5449" s="2" t="s">
        <v>15</v>
      </c>
      <c r="G5449" s="2"/>
      <c r="H5449" s="2"/>
      <c r="I5449" s="2"/>
      <c r="J5449" s="2"/>
    </row>
    <row r="5450" spans="1:10" x14ac:dyDescent="0.35">
      <c r="A5450" s="2" t="s">
        <v>2658</v>
      </c>
      <c r="B5450" s="2" t="s">
        <v>2779</v>
      </c>
      <c r="C5450" s="2" t="s">
        <v>57</v>
      </c>
      <c r="D5450" s="2" t="s">
        <v>2780</v>
      </c>
      <c r="E5450" s="2" t="s">
        <v>2708</v>
      </c>
      <c r="F5450" s="2" t="s">
        <v>60</v>
      </c>
      <c r="G5450" s="2"/>
      <c r="H5450" s="2"/>
      <c r="I5450" s="2"/>
      <c r="J5450" s="2"/>
    </row>
    <row r="5451" spans="1:10" x14ac:dyDescent="0.35">
      <c r="A5451" s="2" t="s">
        <v>2658</v>
      </c>
      <c r="B5451" s="2" t="s">
        <v>2779</v>
      </c>
      <c r="C5451" s="2" t="s">
        <v>57</v>
      </c>
      <c r="D5451" s="2" t="s">
        <v>2780</v>
      </c>
      <c r="E5451" s="2" t="s">
        <v>18</v>
      </c>
      <c r="F5451" s="2" t="s">
        <v>19</v>
      </c>
      <c r="G5451" s="2" t="s">
        <v>16</v>
      </c>
      <c r="H5451" s="2" t="s">
        <v>2781</v>
      </c>
      <c r="I5451" s="2"/>
      <c r="J5451" s="2"/>
    </row>
    <row r="5452" spans="1:10" x14ac:dyDescent="0.35">
      <c r="A5452" s="2" t="s">
        <v>2658</v>
      </c>
      <c r="B5452" s="2" t="s">
        <v>2779</v>
      </c>
      <c r="C5452" s="2" t="s">
        <v>57</v>
      </c>
      <c r="D5452" s="2" t="s">
        <v>2780</v>
      </c>
      <c r="E5452" s="2" t="s">
        <v>393</v>
      </c>
      <c r="F5452" s="2" t="s">
        <v>36</v>
      </c>
      <c r="G5452" s="2" t="s">
        <v>16</v>
      </c>
      <c r="H5452" s="2" t="s">
        <v>2782</v>
      </c>
      <c r="I5452" s="2"/>
      <c r="J5452" s="2"/>
    </row>
    <row r="5453" spans="1:10" x14ac:dyDescent="0.35">
      <c r="A5453" s="2" t="s">
        <v>2658</v>
      </c>
      <c r="B5453" s="2" t="s">
        <v>2779</v>
      </c>
      <c r="C5453" s="2" t="s">
        <v>57</v>
      </c>
      <c r="D5453" s="2" t="s">
        <v>2780</v>
      </c>
      <c r="E5453" s="2" t="s">
        <v>89</v>
      </c>
      <c r="F5453" s="2" t="s">
        <v>45</v>
      </c>
      <c r="G5453" s="2" t="s">
        <v>16</v>
      </c>
      <c r="H5453" s="2" t="s">
        <v>2783</v>
      </c>
      <c r="I5453" s="2"/>
      <c r="J5453" s="2"/>
    </row>
    <row r="5454" spans="1:10" x14ac:dyDescent="0.35">
      <c r="A5454" s="2" t="s">
        <v>2658</v>
      </c>
      <c r="B5454" s="2" t="s">
        <v>2779</v>
      </c>
      <c r="C5454" s="2" t="s">
        <v>54</v>
      </c>
      <c r="D5454" s="2" t="s">
        <v>2784</v>
      </c>
      <c r="E5454" s="2" t="s">
        <v>74</v>
      </c>
      <c r="F5454" s="2" t="s">
        <v>75</v>
      </c>
      <c r="G5454" s="2"/>
      <c r="H5454" s="2"/>
      <c r="I5454" s="2"/>
      <c r="J5454" s="2"/>
    </row>
    <row r="5455" spans="1:10" x14ac:dyDescent="0.35">
      <c r="A5455" s="2" t="s">
        <v>2658</v>
      </c>
      <c r="B5455" s="2" t="s">
        <v>2779</v>
      </c>
      <c r="C5455" s="2" t="s">
        <v>54</v>
      </c>
      <c r="D5455" s="2" t="s">
        <v>2784</v>
      </c>
      <c r="E5455" s="2" t="s">
        <v>1668</v>
      </c>
      <c r="F5455" s="2" t="s">
        <v>15</v>
      </c>
      <c r="G5455" s="2"/>
      <c r="H5455" s="2"/>
      <c r="I5455" s="2"/>
      <c r="J5455" s="2"/>
    </row>
    <row r="5456" spans="1:10" x14ac:dyDescent="0.35">
      <c r="A5456" s="2" t="s">
        <v>2658</v>
      </c>
      <c r="B5456" s="2" t="s">
        <v>2779</v>
      </c>
      <c r="C5456" s="2" t="s">
        <v>54</v>
      </c>
      <c r="D5456" s="2" t="s">
        <v>2784</v>
      </c>
      <c r="E5456" s="2" t="s">
        <v>121</v>
      </c>
      <c r="F5456" s="2" t="s">
        <v>122</v>
      </c>
      <c r="G5456" s="2"/>
      <c r="H5456" s="2"/>
      <c r="I5456" s="2"/>
      <c r="J5456" s="2"/>
    </row>
    <row r="5457" spans="1:10" x14ac:dyDescent="0.35">
      <c r="A5457" s="2" t="s">
        <v>2658</v>
      </c>
      <c r="B5457" s="2" t="s">
        <v>2779</v>
      </c>
      <c r="C5457" s="2" t="s">
        <v>54</v>
      </c>
      <c r="D5457" s="2" t="s">
        <v>2784</v>
      </c>
      <c r="E5457" s="2" t="s">
        <v>393</v>
      </c>
      <c r="F5457" s="2" t="s">
        <v>36</v>
      </c>
      <c r="G5457" s="2"/>
      <c r="H5457" s="2"/>
      <c r="I5457" s="2"/>
      <c r="J5457" s="2"/>
    </row>
    <row r="5458" spans="1:10" x14ac:dyDescent="0.35">
      <c r="A5458" s="2" t="s">
        <v>2658</v>
      </c>
      <c r="B5458" s="2" t="s">
        <v>2779</v>
      </c>
      <c r="C5458" s="2" t="s">
        <v>62</v>
      </c>
      <c r="D5458" s="2" t="s">
        <v>2785</v>
      </c>
      <c r="E5458" s="2" t="s">
        <v>127</v>
      </c>
      <c r="F5458" s="2" t="s">
        <v>107</v>
      </c>
      <c r="G5458" s="2"/>
      <c r="H5458" s="2"/>
      <c r="I5458" s="2"/>
      <c r="J5458" s="2"/>
    </row>
    <row r="5459" spans="1:10" x14ac:dyDescent="0.35">
      <c r="A5459" s="2" t="s">
        <v>2658</v>
      </c>
      <c r="B5459" s="2" t="s">
        <v>2779</v>
      </c>
      <c r="C5459" s="2" t="s">
        <v>24</v>
      </c>
      <c r="D5459" s="2" t="s">
        <v>2786</v>
      </c>
      <c r="E5459" s="2" t="s">
        <v>14</v>
      </c>
      <c r="F5459" s="2" t="s">
        <v>15</v>
      </c>
      <c r="G5459" s="2"/>
      <c r="H5459" s="2"/>
      <c r="I5459" s="2"/>
      <c r="J5459" s="2"/>
    </row>
    <row r="5460" spans="1:10" x14ac:dyDescent="0.35">
      <c r="A5460" s="2" t="s">
        <v>2658</v>
      </c>
      <c r="B5460" s="2" t="s">
        <v>2779</v>
      </c>
      <c r="C5460" s="2" t="s">
        <v>24</v>
      </c>
      <c r="D5460" s="2" t="s">
        <v>2786</v>
      </c>
      <c r="E5460" s="2" t="s">
        <v>393</v>
      </c>
      <c r="F5460" s="2" t="s">
        <v>36</v>
      </c>
      <c r="G5460" s="2"/>
      <c r="H5460" s="2"/>
      <c r="I5460" s="2"/>
      <c r="J5460" s="2"/>
    </row>
    <row r="5461" spans="1:10" x14ac:dyDescent="0.35">
      <c r="A5461" s="2" t="s">
        <v>2658</v>
      </c>
      <c r="B5461" s="2" t="s">
        <v>2779</v>
      </c>
      <c r="C5461" s="2" t="s">
        <v>24</v>
      </c>
      <c r="D5461" s="2" t="s">
        <v>2786</v>
      </c>
      <c r="E5461" s="2" t="s">
        <v>18</v>
      </c>
      <c r="F5461" s="2" t="s">
        <v>19</v>
      </c>
      <c r="G5461" s="2" t="s">
        <v>16</v>
      </c>
      <c r="H5461" s="2" t="s">
        <v>2787</v>
      </c>
      <c r="I5461" s="2"/>
      <c r="J5461" s="2"/>
    </row>
    <row r="5462" spans="1:10" x14ac:dyDescent="0.35">
      <c r="A5462" s="2" t="s">
        <v>2658</v>
      </c>
      <c r="B5462" s="2" t="s">
        <v>2779</v>
      </c>
      <c r="C5462" s="2" t="s">
        <v>24</v>
      </c>
      <c r="D5462" s="2" t="s">
        <v>2788</v>
      </c>
      <c r="E5462" s="2" t="s">
        <v>77</v>
      </c>
      <c r="F5462" s="2" t="s">
        <v>78</v>
      </c>
      <c r="G5462" s="2"/>
      <c r="H5462" s="2"/>
      <c r="I5462" s="2"/>
      <c r="J5462" s="2"/>
    </row>
    <row r="5463" spans="1:10" x14ac:dyDescent="0.35">
      <c r="A5463" s="2" t="s">
        <v>2658</v>
      </c>
      <c r="B5463" s="2" t="s">
        <v>2779</v>
      </c>
      <c r="C5463" s="2" t="s">
        <v>24</v>
      </c>
      <c r="D5463" s="2" t="s">
        <v>2788</v>
      </c>
      <c r="E5463" s="2" t="s">
        <v>91</v>
      </c>
      <c r="F5463" s="2" t="s">
        <v>19</v>
      </c>
      <c r="G5463" s="2" t="s">
        <v>16</v>
      </c>
      <c r="H5463" s="2" t="s">
        <v>2789</v>
      </c>
      <c r="I5463" s="2"/>
      <c r="J5463" s="2"/>
    </row>
    <row r="5464" spans="1:10" x14ac:dyDescent="0.35">
      <c r="A5464" s="2" t="s">
        <v>2658</v>
      </c>
      <c r="B5464" s="2" t="s">
        <v>2779</v>
      </c>
      <c r="C5464" s="2" t="s">
        <v>24</v>
      </c>
      <c r="D5464" s="2" t="s">
        <v>2788</v>
      </c>
      <c r="E5464" s="2" t="s">
        <v>149</v>
      </c>
      <c r="F5464" s="2" t="s">
        <v>150</v>
      </c>
      <c r="G5464" s="2" t="s">
        <v>16</v>
      </c>
      <c r="H5464" s="2" t="s">
        <v>2790</v>
      </c>
      <c r="I5464" s="2"/>
      <c r="J5464" s="2"/>
    </row>
    <row r="5465" spans="1:10" x14ac:dyDescent="0.35">
      <c r="A5465" s="2" t="s">
        <v>2658</v>
      </c>
      <c r="B5465" s="2" t="s">
        <v>2779</v>
      </c>
      <c r="C5465" s="2" t="s">
        <v>24</v>
      </c>
      <c r="D5465" s="2" t="s">
        <v>2791</v>
      </c>
      <c r="E5465" s="2" t="s">
        <v>14</v>
      </c>
      <c r="F5465" s="2" t="s">
        <v>15</v>
      </c>
      <c r="G5465" s="2"/>
      <c r="H5465" s="2"/>
      <c r="I5465" s="2"/>
      <c r="J5465" s="2"/>
    </row>
    <row r="5466" spans="1:10" x14ac:dyDescent="0.35">
      <c r="A5466" s="2" t="s">
        <v>2658</v>
      </c>
      <c r="B5466" s="2" t="s">
        <v>2779</v>
      </c>
      <c r="C5466" s="2" t="s">
        <v>24</v>
      </c>
      <c r="D5466" s="2" t="s">
        <v>2791</v>
      </c>
      <c r="E5466" s="2" t="s">
        <v>89</v>
      </c>
      <c r="F5466" s="2" t="s">
        <v>45</v>
      </c>
      <c r="G5466" s="2"/>
      <c r="H5466" s="2"/>
      <c r="I5466" s="2"/>
      <c r="J5466" s="2"/>
    </row>
    <row r="5467" spans="1:10" x14ac:dyDescent="0.35">
      <c r="A5467" s="2" t="s">
        <v>2658</v>
      </c>
      <c r="B5467" s="2" t="s">
        <v>2792</v>
      </c>
      <c r="C5467" s="2" t="s">
        <v>57</v>
      </c>
      <c r="D5467" s="2" t="s">
        <v>2793</v>
      </c>
      <c r="E5467" s="2" t="s">
        <v>14</v>
      </c>
      <c r="F5467" s="2" t="s">
        <v>15</v>
      </c>
      <c r="G5467" s="2" t="s">
        <v>20</v>
      </c>
      <c r="H5467" s="2" t="s">
        <v>2794</v>
      </c>
      <c r="I5467" s="2"/>
      <c r="J5467" s="2"/>
    </row>
    <row r="5468" spans="1:10" x14ac:dyDescent="0.35">
      <c r="A5468" s="2" t="s">
        <v>2658</v>
      </c>
      <c r="B5468" s="2" t="s">
        <v>2792</v>
      </c>
      <c r="C5468" s="2" t="s">
        <v>57</v>
      </c>
      <c r="D5468" s="2" t="s">
        <v>2793</v>
      </c>
      <c r="E5468" s="2" t="s">
        <v>2708</v>
      </c>
      <c r="F5468" s="2" t="s">
        <v>60</v>
      </c>
      <c r="G5468" s="2"/>
      <c r="H5468" s="2"/>
      <c r="I5468" s="2"/>
      <c r="J5468" s="2"/>
    </row>
    <row r="5469" spans="1:10" x14ac:dyDescent="0.35">
      <c r="A5469" s="2" t="s">
        <v>2658</v>
      </c>
      <c r="B5469" s="2" t="s">
        <v>2792</v>
      </c>
      <c r="C5469" s="2" t="s">
        <v>57</v>
      </c>
      <c r="D5469" s="2" t="s">
        <v>2793</v>
      </c>
      <c r="E5469" s="2" t="s">
        <v>393</v>
      </c>
      <c r="F5469" s="2" t="s">
        <v>36</v>
      </c>
      <c r="G5469" s="2" t="s">
        <v>20</v>
      </c>
      <c r="H5469" s="2" t="s">
        <v>2795</v>
      </c>
      <c r="I5469" s="2"/>
      <c r="J5469" s="2"/>
    </row>
    <row r="5470" spans="1:10" x14ac:dyDescent="0.35">
      <c r="A5470" s="2" t="s">
        <v>2658</v>
      </c>
      <c r="B5470" s="2" t="s">
        <v>2792</v>
      </c>
      <c r="C5470" s="2" t="s">
        <v>57</v>
      </c>
      <c r="D5470" s="2" t="s">
        <v>2793</v>
      </c>
      <c r="E5470" s="2" t="s">
        <v>149</v>
      </c>
      <c r="F5470" s="2" t="s">
        <v>150</v>
      </c>
      <c r="G5470" s="2" t="s">
        <v>20</v>
      </c>
      <c r="H5470" s="2" t="s">
        <v>2796</v>
      </c>
      <c r="I5470" s="2"/>
      <c r="J5470" s="2"/>
    </row>
    <row r="5471" spans="1:10" x14ac:dyDescent="0.35">
      <c r="A5471" s="2" t="s">
        <v>2658</v>
      </c>
      <c r="B5471" s="2" t="s">
        <v>2792</v>
      </c>
      <c r="C5471" s="2" t="s">
        <v>24</v>
      </c>
      <c r="D5471" s="2" t="s">
        <v>2797</v>
      </c>
      <c r="E5471" s="2" t="s">
        <v>130</v>
      </c>
      <c r="F5471" s="2" t="s">
        <v>36</v>
      </c>
      <c r="G5471" s="2"/>
      <c r="H5471" s="2"/>
      <c r="I5471" s="2"/>
      <c r="J5471" s="2"/>
    </row>
    <row r="5472" spans="1:10" x14ac:dyDescent="0.35">
      <c r="A5472" s="2" t="s">
        <v>2658</v>
      </c>
      <c r="B5472" s="2" t="s">
        <v>2792</v>
      </c>
      <c r="C5472" s="2" t="s">
        <v>24</v>
      </c>
      <c r="D5472" s="2" t="s">
        <v>2797</v>
      </c>
      <c r="E5472" s="2" t="s">
        <v>138</v>
      </c>
      <c r="F5472" s="2" t="s">
        <v>139</v>
      </c>
      <c r="G5472" s="2"/>
      <c r="H5472" s="2"/>
      <c r="I5472" s="2"/>
      <c r="J5472" s="2"/>
    </row>
    <row r="5473" spans="1:10" x14ac:dyDescent="0.35">
      <c r="A5473" s="2" t="s">
        <v>2658</v>
      </c>
      <c r="B5473" s="2" t="s">
        <v>2792</v>
      </c>
      <c r="C5473" s="2" t="s">
        <v>24</v>
      </c>
      <c r="D5473" s="2" t="s">
        <v>2797</v>
      </c>
      <c r="E5473" s="2" t="s">
        <v>121</v>
      </c>
      <c r="F5473" s="2" t="s">
        <v>122</v>
      </c>
      <c r="G5473" s="2"/>
      <c r="H5473" s="2"/>
      <c r="I5473" s="2"/>
      <c r="J5473" s="2"/>
    </row>
    <row r="5474" spans="1:10" x14ac:dyDescent="0.35">
      <c r="A5474" s="2" t="s">
        <v>2658</v>
      </c>
      <c r="B5474" s="2" t="s">
        <v>2792</v>
      </c>
      <c r="C5474" s="2" t="s">
        <v>24</v>
      </c>
      <c r="D5474" s="2" t="s">
        <v>2797</v>
      </c>
      <c r="E5474" s="2" t="s">
        <v>87</v>
      </c>
      <c r="F5474" s="2" t="s">
        <v>75</v>
      </c>
      <c r="G5474" s="2"/>
      <c r="H5474" s="2"/>
      <c r="I5474" s="2"/>
      <c r="J5474" s="2"/>
    </row>
    <row r="5475" spans="1:10" x14ac:dyDescent="0.35">
      <c r="A5475" s="2" t="s">
        <v>2658</v>
      </c>
      <c r="B5475" s="2" t="s">
        <v>2792</v>
      </c>
      <c r="C5475" s="2" t="s">
        <v>24</v>
      </c>
      <c r="D5475" s="2" t="s">
        <v>2797</v>
      </c>
      <c r="E5475" s="2" t="s">
        <v>61</v>
      </c>
      <c r="F5475" s="2" t="s">
        <v>30</v>
      </c>
      <c r="G5475" s="2"/>
      <c r="H5475" s="2"/>
      <c r="I5475" s="2"/>
      <c r="J5475" s="2"/>
    </row>
    <row r="5476" spans="1:10" x14ac:dyDescent="0.35">
      <c r="A5476" s="2" t="s">
        <v>2658</v>
      </c>
      <c r="B5476" s="2" t="s">
        <v>2792</v>
      </c>
      <c r="C5476" s="2" t="s">
        <v>24</v>
      </c>
      <c r="D5476" s="2" t="s">
        <v>2797</v>
      </c>
      <c r="E5476" s="2" t="s">
        <v>862</v>
      </c>
      <c r="F5476" s="2" t="s">
        <v>38</v>
      </c>
      <c r="G5476" s="2"/>
      <c r="H5476" s="2"/>
      <c r="I5476" s="2"/>
      <c r="J5476" s="2"/>
    </row>
    <row r="5477" spans="1:10" x14ac:dyDescent="0.35">
      <c r="A5477" s="2" t="s">
        <v>2658</v>
      </c>
      <c r="B5477" s="2" t="s">
        <v>2798</v>
      </c>
      <c r="C5477" s="2" t="s">
        <v>57</v>
      </c>
      <c r="D5477" s="2" t="s">
        <v>2799</v>
      </c>
      <c r="E5477" s="2" t="s">
        <v>14</v>
      </c>
      <c r="F5477" s="2" t="s">
        <v>15</v>
      </c>
      <c r="G5477" s="2"/>
      <c r="H5477" s="2"/>
      <c r="I5477" s="2"/>
      <c r="J5477" s="2"/>
    </row>
    <row r="5478" spans="1:10" x14ac:dyDescent="0.35">
      <c r="A5478" s="2" t="s">
        <v>2658</v>
      </c>
      <c r="B5478" s="2" t="s">
        <v>2798</v>
      </c>
      <c r="C5478" s="2" t="s">
        <v>57</v>
      </c>
      <c r="D5478" s="2" t="s">
        <v>2799</v>
      </c>
      <c r="E5478" s="2" t="s">
        <v>27</v>
      </c>
      <c r="F5478" s="2" t="s">
        <v>28</v>
      </c>
      <c r="G5478" s="2" t="s">
        <v>16</v>
      </c>
      <c r="H5478" s="2" t="s">
        <v>2800</v>
      </c>
      <c r="I5478" s="2"/>
      <c r="J5478" s="2"/>
    </row>
    <row r="5479" spans="1:10" x14ac:dyDescent="0.35">
      <c r="A5479" s="2" t="s">
        <v>2658</v>
      </c>
      <c r="B5479" s="2" t="s">
        <v>2798</v>
      </c>
      <c r="C5479" s="2" t="s">
        <v>57</v>
      </c>
      <c r="D5479" s="2" t="s">
        <v>2799</v>
      </c>
      <c r="E5479" s="2" t="s">
        <v>87</v>
      </c>
      <c r="F5479" s="2" t="s">
        <v>75</v>
      </c>
      <c r="G5479" s="2" t="s">
        <v>16</v>
      </c>
      <c r="H5479" s="2" t="s">
        <v>2801</v>
      </c>
      <c r="I5479" s="2"/>
      <c r="J5479" s="2"/>
    </row>
    <row r="5480" spans="1:10" x14ac:dyDescent="0.35">
      <c r="A5480" s="2" t="s">
        <v>2658</v>
      </c>
      <c r="B5480" s="2" t="s">
        <v>2798</v>
      </c>
      <c r="C5480" s="2" t="s">
        <v>57</v>
      </c>
      <c r="D5480" s="2" t="s">
        <v>2799</v>
      </c>
      <c r="E5480" s="2" t="s">
        <v>18</v>
      </c>
      <c r="F5480" s="2" t="s">
        <v>19</v>
      </c>
      <c r="G5480" s="2" t="s">
        <v>16</v>
      </c>
      <c r="H5480" s="2" t="s">
        <v>2801</v>
      </c>
      <c r="I5480" s="2"/>
      <c r="J5480" s="2"/>
    </row>
    <row r="5481" spans="1:10" x14ac:dyDescent="0.35">
      <c r="A5481" s="2" t="s">
        <v>2658</v>
      </c>
      <c r="B5481" s="2" t="s">
        <v>2798</v>
      </c>
      <c r="C5481" s="2" t="s">
        <v>57</v>
      </c>
      <c r="D5481" s="2" t="s">
        <v>2799</v>
      </c>
      <c r="E5481" s="2" t="s">
        <v>116</v>
      </c>
      <c r="F5481" s="2" t="s">
        <v>30</v>
      </c>
      <c r="G5481" s="2"/>
      <c r="H5481" s="2"/>
      <c r="I5481" s="2"/>
      <c r="J5481" s="2"/>
    </row>
    <row r="5482" spans="1:10" x14ac:dyDescent="0.35">
      <c r="A5482" s="2" t="s">
        <v>2658</v>
      </c>
      <c r="B5482" s="2" t="s">
        <v>2798</v>
      </c>
      <c r="C5482" s="2" t="s">
        <v>24</v>
      </c>
      <c r="D5482" s="2" t="s">
        <v>2802</v>
      </c>
      <c r="E5482" s="2" t="s">
        <v>14</v>
      </c>
      <c r="F5482" s="2" t="s">
        <v>15</v>
      </c>
      <c r="G5482" s="2"/>
      <c r="H5482" s="2"/>
      <c r="I5482" s="2"/>
      <c r="J5482" s="2"/>
    </row>
    <row r="5483" spans="1:10" x14ac:dyDescent="0.35">
      <c r="A5483" s="2" t="s">
        <v>2658</v>
      </c>
      <c r="B5483" s="2" t="s">
        <v>2798</v>
      </c>
      <c r="C5483" s="2" t="s">
        <v>24</v>
      </c>
      <c r="D5483" s="2" t="s">
        <v>2802</v>
      </c>
      <c r="E5483" s="2" t="s">
        <v>27</v>
      </c>
      <c r="F5483" s="2" t="s">
        <v>28</v>
      </c>
      <c r="G5483" s="2"/>
      <c r="H5483" s="2"/>
      <c r="I5483" s="2"/>
      <c r="J5483" s="2"/>
    </row>
    <row r="5484" spans="1:10" x14ac:dyDescent="0.35">
      <c r="A5484" s="2" t="s">
        <v>2658</v>
      </c>
      <c r="B5484" s="2" t="s">
        <v>2798</v>
      </c>
      <c r="C5484" s="2" t="s">
        <v>24</v>
      </c>
      <c r="D5484" s="2" t="s">
        <v>2802</v>
      </c>
      <c r="E5484" s="2" t="s">
        <v>121</v>
      </c>
      <c r="F5484" s="2" t="s">
        <v>122</v>
      </c>
      <c r="G5484" s="2"/>
      <c r="H5484" s="2"/>
      <c r="I5484" s="2"/>
      <c r="J5484" s="2"/>
    </row>
    <row r="5485" spans="1:10" x14ac:dyDescent="0.35">
      <c r="A5485" s="2" t="s">
        <v>2658</v>
      </c>
      <c r="B5485" s="2" t="s">
        <v>2798</v>
      </c>
      <c r="C5485" s="2" t="s">
        <v>24</v>
      </c>
      <c r="D5485" s="2" t="s">
        <v>2802</v>
      </c>
      <c r="E5485" s="2" t="s">
        <v>193</v>
      </c>
      <c r="F5485" s="2" t="s">
        <v>40</v>
      </c>
      <c r="G5485" s="2" t="s">
        <v>16</v>
      </c>
      <c r="H5485" s="2" t="s">
        <v>2803</v>
      </c>
      <c r="I5485" s="2"/>
      <c r="J5485" s="2"/>
    </row>
    <row r="5486" spans="1:10" x14ac:dyDescent="0.35">
      <c r="A5486" s="2" t="s">
        <v>2658</v>
      </c>
      <c r="B5486" s="2" t="s">
        <v>2804</v>
      </c>
      <c r="C5486" s="2" t="s">
        <v>54</v>
      </c>
      <c r="D5486" s="2" t="s">
        <v>2805</v>
      </c>
      <c r="E5486" s="2" t="s">
        <v>14</v>
      </c>
      <c r="F5486" s="2" t="s">
        <v>15</v>
      </c>
      <c r="G5486" s="2"/>
      <c r="H5486" s="2"/>
      <c r="I5486" s="2"/>
      <c r="J5486" s="2"/>
    </row>
    <row r="5487" spans="1:10" x14ac:dyDescent="0.35">
      <c r="A5487" s="2" t="s">
        <v>2658</v>
      </c>
      <c r="B5487" s="2" t="s">
        <v>2804</v>
      </c>
      <c r="C5487" s="2" t="s">
        <v>54</v>
      </c>
      <c r="D5487" s="2" t="s">
        <v>2805</v>
      </c>
      <c r="E5487" s="2" t="s">
        <v>393</v>
      </c>
      <c r="F5487" s="2" t="s">
        <v>36</v>
      </c>
      <c r="G5487" s="2"/>
      <c r="H5487" s="2"/>
      <c r="I5487" s="2"/>
      <c r="J5487" s="2"/>
    </row>
    <row r="5488" spans="1:10" x14ac:dyDescent="0.35">
      <c r="A5488" s="2" t="s">
        <v>2658</v>
      </c>
      <c r="B5488" s="2" t="s">
        <v>2804</v>
      </c>
      <c r="C5488" s="2" t="s">
        <v>54</v>
      </c>
      <c r="D5488" s="2" t="s">
        <v>2805</v>
      </c>
      <c r="E5488" s="2" t="s">
        <v>87</v>
      </c>
      <c r="F5488" s="2" t="s">
        <v>75</v>
      </c>
      <c r="G5488" s="2" t="s">
        <v>16</v>
      </c>
      <c r="H5488" s="2" t="s">
        <v>2806</v>
      </c>
      <c r="I5488" s="2"/>
      <c r="J5488" s="2"/>
    </row>
    <row r="5489" spans="1:10" x14ac:dyDescent="0.35">
      <c r="A5489" s="2" t="s">
        <v>2658</v>
      </c>
      <c r="B5489" s="2" t="s">
        <v>2804</v>
      </c>
      <c r="C5489" s="2" t="s">
        <v>57</v>
      </c>
      <c r="D5489" s="2" t="s">
        <v>2807</v>
      </c>
      <c r="E5489" s="2" t="s">
        <v>14</v>
      </c>
      <c r="F5489" s="2" t="s">
        <v>15</v>
      </c>
      <c r="G5489" s="2"/>
      <c r="H5489" s="2"/>
      <c r="I5489" s="2"/>
      <c r="J5489" s="2"/>
    </row>
    <row r="5490" spans="1:10" x14ac:dyDescent="0.35">
      <c r="A5490" s="2" t="s">
        <v>2658</v>
      </c>
      <c r="B5490" s="2" t="s">
        <v>2804</v>
      </c>
      <c r="C5490" s="2" t="s">
        <v>57</v>
      </c>
      <c r="D5490" s="2" t="s">
        <v>2807</v>
      </c>
      <c r="E5490" s="2" t="s">
        <v>120</v>
      </c>
      <c r="F5490" s="2" t="s">
        <v>32</v>
      </c>
      <c r="G5490" s="2" t="s">
        <v>46</v>
      </c>
      <c r="H5490" s="2" t="s">
        <v>2740</v>
      </c>
      <c r="I5490" s="2"/>
      <c r="J5490" s="2"/>
    </row>
    <row r="5491" spans="1:10" x14ac:dyDescent="0.35">
      <c r="A5491" s="2" t="s">
        <v>2658</v>
      </c>
      <c r="B5491" s="2" t="s">
        <v>2804</v>
      </c>
      <c r="C5491" s="2" t="s">
        <v>57</v>
      </c>
      <c r="D5491" s="2" t="s">
        <v>2807</v>
      </c>
      <c r="E5491" s="2" t="s">
        <v>59</v>
      </c>
      <c r="F5491" s="2" t="s">
        <v>60</v>
      </c>
      <c r="G5491" s="2"/>
      <c r="H5491" s="2"/>
      <c r="I5491" s="2"/>
      <c r="J5491" s="2"/>
    </row>
    <row r="5492" spans="1:10" x14ac:dyDescent="0.35">
      <c r="A5492" s="2" t="s">
        <v>2658</v>
      </c>
      <c r="B5492" s="2" t="s">
        <v>2804</v>
      </c>
      <c r="C5492" s="2" t="s">
        <v>57</v>
      </c>
      <c r="D5492" s="2" t="s">
        <v>2807</v>
      </c>
      <c r="E5492" s="2" t="s">
        <v>121</v>
      </c>
      <c r="F5492" s="2" t="s">
        <v>122</v>
      </c>
      <c r="G5492" s="2" t="s">
        <v>16</v>
      </c>
      <c r="H5492" s="2" t="s">
        <v>2808</v>
      </c>
      <c r="I5492" s="2"/>
      <c r="J5492" s="2"/>
    </row>
    <row r="5493" spans="1:10" x14ac:dyDescent="0.35">
      <c r="A5493" s="2" t="s">
        <v>2658</v>
      </c>
      <c r="B5493" s="2" t="s">
        <v>2804</v>
      </c>
      <c r="C5493" s="2" t="s">
        <v>57</v>
      </c>
      <c r="D5493" s="2" t="s">
        <v>2807</v>
      </c>
      <c r="E5493" s="2" t="s">
        <v>91</v>
      </c>
      <c r="F5493" s="2" t="s">
        <v>19</v>
      </c>
      <c r="G5493" s="2" t="s">
        <v>16</v>
      </c>
      <c r="H5493" s="2" t="s">
        <v>2809</v>
      </c>
      <c r="I5493" s="2"/>
      <c r="J5493" s="2"/>
    </row>
    <row r="5494" spans="1:10" x14ac:dyDescent="0.35">
      <c r="A5494" s="2" t="s">
        <v>2658</v>
      </c>
      <c r="B5494" s="2" t="s">
        <v>2804</v>
      </c>
      <c r="C5494" s="2" t="s">
        <v>57</v>
      </c>
      <c r="D5494" s="2" t="s">
        <v>2807</v>
      </c>
      <c r="E5494" s="2" t="s">
        <v>89</v>
      </c>
      <c r="F5494" s="2" t="s">
        <v>45</v>
      </c>
      <c r="G5494" s="2"/>
      <c r="H5494" s="2"/>
      <c r="I5494" s="2"/>
      <c r="J5494" s="2"/>
    </row>
    <row r="5495" spans="1:10" x14ac:dyDescent="0.35">
      <c r="A5495" s="2" t="s">
        <v>2658</v>
      </c>
      <c r="B5495" s="2" t="s">
        <v>2804</v>
      </c>
      <c r="C5495" s="2" t="s">
        <v>57</v>
      </c>
      <c r="D5495" s="2" t="s">
        <v>2807</v>
      </c>
      <c r="E5495" s="2" t="s">
        <v>149</v>
      </c>
      <c r="F5495" s="2" t="s">
        <v>150</v>
      </c>
      <c r="G5495" s="2" t="s">
        <v>16</v>
      </c>
      <c r="H5495" s="2" t="s">
        <v>2810</v>
      </c>
      <c r="I5495" s="2"/>
      <c r="J5495" s="2"/>
    </row>
    <row r="5496" spans="1:10" x14ac:dyDescent="0.35">
      <c r="A5496" s="2" t="s">
        <v>2658</v>
      </c>
      <c r="B5496" s="2" t="s">
        <v>2804</v>
      </c>
      <c r="C5496" s="2" t="s">
        <v>24</v>
      </c>
      <c r="D5496" s="2" t="s">
        <v>2811</v>
      </c>
      <c r="E5496" s="2" t="s">
        <v>14</v>
      </c>
      <c r="F5496" s="2" t="s">
        <v>15</v>
      </c>
      <c r="G5496" s="2"/>
      <c r="H5496" s="2"/>
      <c r="I5496" s="2"/>
      <c r="J5496" s="2"/>
    </row>
    <row r="5497" spans="1:10" x14ac:dyDescent="0.35">
      <c r="A5497" s="2" t="s">
        <v>2658</v>
      </c>
      <c r="B5497" s="2" t="s">
        <v>2804</v>
      </c>
      <c r="C5497" s="2" t="s">
        <v>24</v>
      </c>
      <c r="D5497" s="2" t="s">
        <v>2811</v>
      </c>
      <c r="E5497" s="2" t="s">
        <v>393</v>
      </c>
      <c r="F5497" s="2" t="s">
        <v>36</v>
      </c>
      <c r="G5497" s="2"/>
      <c r="H5497" s="2"/>
      <c r="I5497" s="2"/>
      <c r="J5497" s="2"/>
    </row>
    <row r="5498" spans="1:10" x14ac:dyDescent="0.35">
      <c r="A5498" s="2" t="s">
        <v>2658</v>
      </c>
      <c r="B5498" s="2" t="s">
        <v>2804</v>
      </c>
      <c r="C5498" s="2" t="s">
        <v>24</v>
      </c>
      <c r="D5498" s="2" t="s">
        <v>2811</v>
      </c>
      <c r="E5498" s="2" t="s">
        <v>168</v>
      </c>
      <c r="F5498" s="2" t="s">
        <v>45</v>
      </c>
      <c r="G5498" s="2"/>
      <c r="H5498" s="2"/>
      <c r="I5498" s="2"/>
      <c r="J5498" s="2"/>
    </row>
    <row r="5499" spans="1:10" x14ac:dyDescent="0.35">
      <c r="A5499" s="2" t="s">
        <v>2658</v>
      </c>
      <c r="B5499" s="2" t="s">
        <v>2804</v>
      </c>
      <c r="C5499" s="2" t="s">
        <v>24</v>
      </c>
      <c r="D5499" s="2" t="s">
        <v>2811</v>
      </c>
      <c r="E5499" s="2" t="s">
        <v>18</v>
      </c>
      <c r="F5499" s="2" t="s">
        <v>19</v>
      </c>
      <c r="G5499" s="2"/>
      <c r="H5499" s="2"/>
      <c r="I5499" s="2"/>
      <c r="J5499" s="2"/>
    </row>
    <row r="5500" spans="1:10" x14ac:dyDescent="0.35">
      <c r="A5500" s="2" t="s">
        <v>2812</v>
      </c>
      <c r="B5500" s="2" t="s">
        <v>2812</v>
      </c>
      <c r="C5500" s="2" t="s">
        <v>181</v>
      </c>
      <c r="D5500" s="2" t="s">
        <v>2813</v>
      </c>
      <c r="E5500" s="2" t="s">
        <v>74</v>
      </c>
      <c r="F5500" s="2" t="s">
        <v>75</v>
      </c>
      <c r="G5500" s="2" t="s">
        <v>20</v>
      </c>
      <c r="H5500" s="2" t="s">
        <v>2814</v>
      </c>
      <c r="I5500" s="2"/>
      <c r="J5500" s="2"/>
    </row>
    <row r="5501" spans="1:10" x14ac:dyDescent="0.35">
      <c r="A5501" s="2" t="s">
        <v>2812</v>
      </c>
      <c r="B5501" s="2" t="s">
        <v>2812</v>
      </c>
      <c r="C5501" s="2" t="s">
        <v>181</v>
      </c>
      <c r="D5501" s="2" t="s">
        <v>2813</v>
      </c>
      <c r="E5501" s="2" t="s">
        <v>156</v>
      </c>
      <c r="F5501" s="2" t="s">
        <v>45</v>
      </c>
      <c r="G5501" s="2" t="s">
        <v>20</v>
      </c>
      <c r="H5501" s="2" t="s">
        <v>2814</v>
      </c>
      <c r="I5501" s="2"/>
      <c r="J5501" s="2"/>
    </row>
    <row r="5502" spans="1:10" x14ac:dyDescent="0.35">
      <c r="A5502" s="2" t="s">
        <v>2812</v>
      </c>
      <c r="B5502" s="2" t="s">
        <v>2812</v>
      </c>
      <c r="C5502" s="2" t="s">
        <v>181</v>
      </c>
      <c r="D5502" s="2" t="s">
        <v>2813</v>
      </c>
      <c r="E5502" s="2" t="s">
        <v>18</v>
      </c>
      <c r="F5502" s="2" t="s">
        <v>19</v>
      </c>
      <c r="G5502" s="2" t="s">
        <v>20</v>
      </c>
      <c r="H5502" s="2" t="s">
        <v>2814</v>
      </c>
      <c r="I5502" s="2"/>
      <c r="J5502" s="2"/>
    </row>
    <row r="5503" spans="1:10" x14ac:dyDescent="0.35">
      <c r="A5503" s="2" t="s">
        <v>2812</v>
      </c>
      <c r="B5503" s="2" t="s">
        <v>2812</v>
      </c>
      <c r="C5503" s="2" t="s">
        <v>181</v>
      </c>
      <c r="D5503" s="2" t="s">
        <v>2815</v>
      </c>
      <c r="E5503" s="2" t="s">
        <v>196</v>
      </c>
      <c r="F5503" s="2" t="s">
        <v>197</v>
      </c>
      <c r="G5503" s="2"/>
      <c r="H5503" s="2"/>
      <c r="I5503" s="2"/>
      <c r="J5503" s="2"/>
    </row>
    <row r="5504" spans="1:10" x14ac:dyDescent="0.35">
      <c r="A5504" s="2" t="s">
        <v>2812</v>
      </c>
      <c r="B5504" s="2" t="s">
        <v>2812</v>
      </c>
      <c r="C5504" s="2" t="s">
        <v>181</v>
      </c>
      <c r="D5504" s="2" t="s">
        <v>2815</v>
      </c>
      <c r="E5504" s="2" t="s">
        <v>14</v>
      </c>
      <c r="F5504" s="2" t="s">
        <v>15</v>
      </c>
      <c r="G5504" s="2"/>
      <c r="H5504" s="2"/>
      <c r="I5504" s="2"/>
      <c r="J5504" s="2"/>
    </row>
    <row r="5505" spans="1:10" x14ac:dyDescent="0.35">
      <c r="A5505" s="2" t="s">
        <v>2812</v>
      </c>
      <c r="B5505" s="2" t="s">
        <v>2812</v>
      </c>
      <c r="C5505" s="2" t="s">
        <v>181</v>
      </c>
      <c r="D5505" s="2" t="s">
        <v>2815</v>
      </c>
      <c r="E5505" s="2" t="s">
        <v>2816</v>
      </c>
      <c r="F5505" s="2" t="s">
        <v>189</v>
      </c>
      <c r="G5505" s="2"/>
      <c r="H5505" s="2"/>
      <c r="I5505" s="2"/>
      <c r="J5505" s="2"/>
    </row>
    <row r="5506" spans="1:10" x14ac:dyDescent="0.35">
      <c r="A5506" s="2" t="s">
        <v>2812</v>
      </c>
      <c r="B5506" s="2" t="s">
        <v>2812</v>
      </c>
      <c r="C5506" s="2" t="s">
        <v>181</v>
      </c>
      <c r="D5506" s="2" t="s">
        <v>2815</v>
      </c>
      <c r="E5506" s="2" t="s">
        <v>18</v>
      </c>
      <c r="F5506" s="2" t="s">
        <v>19</v>
      </c>
      <c r="G5506" s="2" t="s">
        <v>20</v>
      </c>
      <c r="H5506" s="2" t="s">
        <v>2817</v>
      </c>
      <c r="I5506" s="2"/>
      <c r="J5506" s="2"/>
    </row>
    <row r="5507" spans="1:10" x14ac:dyDescent="0.35">
      <c r="A5507" s="2" t="s">
        <v>2812</v>
      </c>
      <c r="B5507" s="2" t="s">
        <v>2812</v>
      </c>
      <c r="C5507" s="2" t="s">
        <v>181</v>
      </c>
      <c r="D5507" s="2" t="s">
        <v>2815</v>
      </c>
      <c r="E5507" s="2" t="s">
        <v>604</v>
      </c>
      <c r="F5507" s="2" t="s">
        <v>78</v>
      </c>
      <c r="G5507" s="2"/>
      <c r="H5507" s="2"/>
      <c r="I5507" s="2"/>
      <c r="J5507" s="2"/>
    </row>
    <row r="5508" spans="1:10" x14ac:dyDescent="0.35">
      <c r="A5508" s="2" t="s">
        <v>2812</v>
      </c>
      <c r="B5508" s="2" t="s">
        <v>2812</v>
      </c>
      <c r="C5508" s="2" t="s">
        <v>181</v>
      </c>
      <c r="D5508" s="2" t="s">
        <v>2815</v>
      </c>
      <c r="E5508" s="2" t="s">
        <v>100</v>
      </c>
      <c r="F5508" s="2" t="s">
        <v>101</v>
      </c>
      <c r="G5508" s="2"/>
      <c r="H5508" s="2"/>
      <c r="I5508" s="2"/>
      <c r="J5508" s="2"/>
    </row>
    <row r="5509" spans="1:10" x14ac:dyDescent="0.35">
      <c r="A5509" s="2" t="s">
        <v>2812</v>
      </c>
      <c r="B5509" s="2" t="s">
        <v>2812</v>
      </c>
      <c r="C5509" s="2" t="s">
        <v>181</v>
      </c>
      <c r="D5509" s="2" t="s">
        <v>2815</v>
      </c>
      <c r="E5509" s="2" t="s">
        <v>188</v>
      </c>
      <c r="F5509" s="2" t="s">
        <v>189</v>
      </c>
      <c r="G5509" s="2"/>
      <c r="H5509" s="2"/>
      <c r="I5509" s="2"/>
      <c r="J5509" s="2"/>
    </row>
    <row r="5510" spans="1:10" x14ac:dyDescent="0.35">
      <c r="A5510" s="2" t="s">
        <v>2812</v>
      </c>
      <c r="B5510" s="2" t="s">
        <v>2812</v>
      </c>
      <c r="C5510" s="2" t="s">
        <v>181</v>
      </c>
      <c r="D5510" s="2" t="s">
        <v>2815</v>
      </c>
      <c r="E5510" s="2" t="s">
        <v>149</v>
      </c>
      <c r="F5510" s="2" t="s">
        <v>150</v>
      </c>
      <c r="G5510" s="2" t="s">
        <v>20</v>
      </c>
      <c r="H5510" s="2" t="s">
        <v>2599</v>
      </c>
      <c r="I5510" s="2"/>
      <c r="J5510" s="2"/>
    </row>
    <row r="5511" spans="1:10" x14ac:dyDescent="0.35">
      <c r="A5511" s="2" t="s">
        <v>2812</v>
      </c>
      <c r="B5511" s="2" t="s">
        <v>2812</v>
      </c>
      <c r="C5511" s="2" t="s">
        <v>181</v>
      </c>
      <c r="D5511" s="2" t="s">
        <v>2815</v>
      </c>
      <c r="E5511" s="2" t="s">
        <v>2818</v>
      </c>
      <c r="F5511" s="2" t="s">
        <v>189</v>
      </c>
      <c r="G5511" s="2"/>
      <c r="H5511" s="2"/>
      <c r="I5511" s="2"/>
      <c r="J5511" s="2"/>
    </row>
    <row r="5512" spans="1:10" x14ac:dyDescent="0.35">
      <c r="A5512" s="2" t="s">
        <v>2812</v>
      </c>
      <c r="B5512" s="2" t="s">
        <v>2812</v>
      </c>
      <c r="C5512" s="2" t="s">
        <v>181</v>
      </c>
      <c r="D5512" s="2" t="s">
        <v>2815</v>
      </c>
      <c r="E5512" s="2" t="s">
        <v>2819</v>
      </c>
      <c r="F5512" s="2" t="s">
        <v>189</v>
      </c>
      <c r="G5512" s="2"/>
      <c r="H5512" s="2"/>
      <c r="I5512" s="2"/>
      <c r="J5512" s="2"/>
    </row>
    <row r="5513" spans="1:10" x14ac:dyDescent="0.35">
      <c r="A5513" s="2" t="s">
        <v>2812</v>
      </c>
      <c r="B5513" s="2" t="s">
        <v>2812</v>
      </c>
      <c r="C5513" s="2" t="s">
        <v>181</v>
      </c>
      <c r="D5513" s="2" t="s">
        <v>2815</v>
      </c>
      <c r="E5513" s="2" t="s">
        <v>112</v>
      </c>
      <c r="F5513" s="2" t="s">
        <v>113</v>
      </c>
      <c r="G5513" s="2"/>
      <c r="H5513" s="2"/>
      <c r="I5513" s="2"/>
      <c r="J5513" s="2"/>
    </row>
    <row r="5514" spans="1:10" x14ac:dyDescent="0.35">
      <c r="A5514" s="2" t="s">
        <v>2812</v>
      </c>
      <c r="B5514" s="2" t="s">
        <v>2812</v>
      </c>
      <c r="C5514" s="2" t="s">
        <v>181</v>
      </c>
      <c r="D5514" s="2" t="s">
        <v>2820</v>
      </c>
      <c r="E5514" s="2" t="s">
        <v>196</v>
      </c>
      <c r="F5514" s="2" t="s">
        <v>197</v>
      </c>
      <c r="G5514" s="2"/>
      <c r="H5514" s="2"/>
      <c r="I5514" s="2"/>
      <c r="J5514" s="2"/>
    </row>
    <row r="5515" spans="1:10" x14ac:dyDescent="0.35">
      <c r="A5515" s="2" t="s">
        <v>2812</v>
      </c>
      <c r="B5515" s="2" t="s">
        <v>2812</v>
      </c>
      <c r="C5515" s="2" t="s">
        <v>181</v>
      </c>
      <c r="D5515" s="2" t="s">
        <v>2820</v>
      </c>
      <c r="E5515" s="2" t="s">
        <v>31</v>
      </c>
      <c r="F5515" s="2" t="s">
        <v>32</v>
      </c>
      <c r="G5515" s="2"/>
      <c r="H5515" s="2"/>
      <c r="I5515" s="2"/>
      <c r="J5515" s="2"/>
    </row>
    <row r="5516" spans="1:10" x14ac:dyDescent="0.35">
      <c r="A5516" s="2" t="s">
        <v>2812</v>
      </c>
      <c r="B5516" s="2" t="s">
        <v>2812</v>
      </c>
      <c r="C5516" s="2" t="s">
        <v>181</v>
      </c>
      <c r="D5516" s="2" t="s">
        <v>2820</v>
      </c>
      <c r="E5516" s="2" t="s">
        <v>98</v>
      </c>
      <c r="F5516" s="2" t="s">
        <v>98</v>
      </c>
      <c r="G5516" s="2"/>
      <c r="H5516" s="2"/>
      <c r="I5516" s="2"/>
      <c r="J5516" s="2"/>
    </row>
    <row r="5517" spans="1:10" x14ac:dyDescent="0.35">
      <c r="A5517" s="2" t="s">
        <v>2812</v>
      </c>
      <c r="B5517" s="2" t="s">
        <v>2812</v>
      </c>
      <c r="C5517" s="2" t="s">
        <v>181</v>
      </c>
      <c r="D5517" s="2" t="s">
        <v>2820</v>
      </c>
      <c r="E5517" s="2" t="s">
        <v>2821</v>
      </c>
      <c r="F5517" s="2" t="s">
        <v>189</v>
      </c>
      <c r="G5517" s="2"/>
      <c r="H5517" s="2"/>
      <c r="I5517" s="2"/>
      <c r="J5517" s="2"/>
    </row>
    <row r="5518" spans="1:10" x14ac:dyDescent="0.35">
      <c r="A5518" s="2" t="s">
        <v>2812</v>
      </c>
      <c r="B5518" s="2" t="s">
        <v>2812</v>
      </c>
      <c r="C5518" s="2" t="s">
        <v>181</v>
      </c>
      <c r="D5518" s="2" t="s">
        <v>2820</v>
      </c>
      <c r="E5518" s="2" t="s">
        <v>156</v>
      </c>
      <c r="F5518" s="2" t="s">
        <v>45</v>
      </c>
      <c r="G5518" s="2" t="s">
        <v>20</v>
      </c>
      <c r="H5518" s="2" t="s">
        <v>2599</v>
      </c>
      <c r="I5518" s="2"/>
      <c r="J5518" s="2"/>
    </row>
    <row r="5519" spans="1:10" x14ac:dyDescent="0.35">
      <c r="A5519" s="2" t="s">
        <v>2812</v>
      </c>
      <c r="B5519" s="2" t="s">
        <v>2812</v>
      </c>
      <c r="C5519" s="2" t="s">
        <v>181</v>
      </c>
      <c r="D5519" s="2" t="s">
        <v>2820</v>
      </c>
      <c r="E5519" s="2" t="s">
        <v>100</v>
      </c>
      <c r="F5519" s="2" t="s">
        <v>101</v>
      </c>
      <c r="G5519" s="2"/>
      <c r="H5519" s="2"/>
      <c r="I5519" s="2"/>
      <c r="J5519" s="2"/>
    </row>
    <row r="5520" spans="1:10" x14ac:dyDescent="0.35">
      <c r="A5520" s="2" t="s">
        <v>2812</v>
      </c>
      <c r="B5520" s="2" t="s">
        <v>2812</v>
      </c>
      <c r="C5520" s="2" t="s">
        <v>181</v>
      </c>
      <c r="D5520" s="2" t="s">
        <v>2820</v>
      </c>
      <c r="E5520" s="2" t="s">
        <v>188</v>
      </c>
      <c r="F5520" s="2" t="s">
        <v>189</v>
      </c>
      <c r="G5520" s="2" t="s">
        <v>20</v>
      </c>
      <c r="H5520" s="2" t="s">
        <v>2599</v>
      </c>
      <c r="I5520" s="2"/>
      <c r="J5520" s="2"/>
    </row>
    <row r="5521" spans="1:10" x14ac:dyDescent="0.35">
      <c r="A5521" s="2" t="s">
        <v>2812</v>
      </c>
      <c r="B5521" s="2" t="s">
        <v>2812</v>
      </c>
      <c r="C5521" s="2" t="s">
        <v>181</v>
      </c>
      <c r="D5521" s="2" t="s">
        <v>2820</v>
      </c>
      <c r="E5521" s="2" t="s">
        <v>149</v>
      </c>
      <c r="F5521" s="2" t="s">
        <v>150</v>
      </c>
      <c r="G5521" s="2" t="s">
        <v>20</v>
      </c>
      <c r="H5521" s="2" t="s">
        <v>2599</v>
      </c>
      <c r="I5521" s="2"/>
      <c r="J5521" s="2"/>
    </row>
    <row r="5522" spans="1:10" x14ac:dyDescent="0.35">
      <c r="A5522" s="2" t="s">
        <v>2812</v>
      </c>
      <c r="B5522" s="2" t="s">
        <v>2812</v>
      </c>
      <c r="C5522" s="2" t="s">
        <v>181</v>
      </c>
      <c r="D5522" s="2" t="s">
        <v>2820</v>
      </c>
      <c r="E5522" s="2" t="s">
        <v>302</v>
      </c>
      <c r="F5522" s="2" t="s">
        <v>65</v>
      </c>
      <c r="G5522" s="2"/>
      <c r="H5522" s="2"/>
      <c r="I5522" s="2"/>
      <c r="J5522" s="2"/>
    </row>
    <row r="5523" spans="1:10" x14ac:dyDescent="0.35">
      <c r="A5523" s="2" t="s">
        <v>2812</v>
      </c>
      <c r="B5523" s="2" t="s">
        <v>2812</v>
      </c>
      <c r="C5523" s="2" t="s">
        <v>181</v>
      </c>
      <c r="D5523" s="2" t="s">
        <v>2820</v>
      </c>
      <c r="E5523" s="2" t="s">
        <v>112</v>
      </c>
      <c r="F5523" s="2" t="s">
        <v>113</v>
      </c>
      <c r="G5523" s="2"/>
      <c r="H5523" s="2"/>
      <c r="I5523" s="2"/>
      <c r="J5523" s="2"/>
    </row>
    <row r="5524" spans="1:10" s="21" customFormat="1" x14ac:dyDescent="0.35">
      <c r="A5524" s="2" t="s">
        <v>2812</v>
      </c>
      <c r="B5524" s="2" t="s">
        <v>2812</v>
      </c>
      <c r="C5524" s="3" t="s">
        <v>57</v>
      </c>
      <c r="D5524" s="2" t="s">
        <v>2822</v>
      </c>
      <c r="E5524" s="2" t="s">
        <v>61</v>
      </c>
      <c r="F5524" s="2" t="s">
        <v>30</v>
      </c>
      <c r="G5524" s="2"/>
      <c r="H5524" s="2"/>
      <c r="I5524" s="2"/>
    </row>
    <row r="5525" spans="1:10" s="21" customFormat="1" x14ac:dyDescent="0.35">
      <c r="A5525" s="2" t="s">
        <v>2812</v>
      </c>
      <c r="B5525" s="2" t="s">
        <v>2812</v>
      </c>
      <c r="C5525" s="3" t="s">
        <v>57</v>
      </c>
      <c r="D5525" s="2" t="s">
        <v>2822</v>
      </c>
      <c r="E5525" s="2" t="s">
        <v>207</v>
      </c>
      <c r="F5525" s="2" t="s">
        <v>122</v>
      </c>
      <c r="G5525" s="2"/>
      <c r="H5525" s="2"/>
      <c r="I5525" s="2"/>
    </row>
    <row r="5526" spans="1:10" s="21" customFormat="1" x14ac:dyDescent="0.35">
      <c r="A5526" s="2" t="s">
        <v>2812</v>
      </c>
      <c r="B5526" s="2" t="s">
        <v>2812</v>
      </c>
      <c r="C5526" s="3" t="s">
        <v>24</v>
      </c>
      <c r="D5526" s="2" t="s">
        <v>2823</v>
      </c>
      <c r="E5526" s="2" t="s">
        <v>130</v>
      </c>
      <c r="F5526" s="2" t="s">
        <v>36</v>
      </c>
      <c r="G5526" s="2"/>
      <c r="H5526" s="2"/>
      <c r="I5526" s="2"/>
    </row>
    <row r="5527" spans="1:10" s="21" customFormat="1" x14ac:dyDescent="0.35">
      <c r="A5527" s="2" t="s">
        <v>2812</v>
      </c>
      <c r="B5527" s="2" t="s">
        <v>2812</v>
      </c>
      <c r="C5527" s="3" t="s">
        <v>24</v>
      </c>
      <c r="D5527" s="2" t="s">
        <v>2823</v>
      </c>
      <c r="E5527" s="2" t="s">
        <v>1305</v>
      </c>
      <c r="F5527" s="2" t="s">
        <v>38</v>
      </c>
      <c r="G5527" s="2"/>
      <c r="H5527" s="2"/>
      <c r="I5527" s="2"/>
    </row>
    <row r="5528" spans="1:10" s="21" customFormat="1" x14ac:dyDescent="0.35">
      <c r="A5528" s="2" t="s">
        <v>2812</v>
      </c>
      <c r="B5528" s="2" t="s">
        <v>2812</v>
      </c>
      <c r="C5528" s="3" t="s">
        <v>24</v>
      </c>
      <c r="D5528" s="2" t="s">
        <v>2823</v>
      </c>
      <c r="E5528" s="2" t="s">
        <v>33</v>
      </c>
      <c r="F5528" s="2" t="s">
        <v>34</v>
      </c>
      <c r="G5528" s="2"/>
      <c r="H5528" s="2"/>
      <c r="I5528" s="2"/>
    </row>
    <row r="5529" spans="1:10" s="21" customFormat="1" x14ac:dyDescent="0.35">
      <c r="A5529" s="2" t="s">
        <v>2812</v>
      </c>
      <c r="B5529" s="2" t="s">
        <v>2812</v>
      </c>
      <c r="C5529" s="3" t="s">
        <v>24</v>
      </c>
      <c r="D5529" s="2" t="s">
        <v>2823</v>
      </c>
      <c r="E5529" s="2" t="s">
        <v>416</v>
      </c>
      <c r="F5529" s="2" t="s">
        <v>38</v>
      </c>
      <c r="G5529" s="2"/>
      <c r="H5529" s="2"/>
      <c r="I5529" s="2"/>
    </row>
    <row r="5530" spans="1:10" s="21" customFormat="1" x14ac:dyDescent="0.35">
      <c r="A5530" s="2" t="s">
        <v>2812</v>
      </c>
      <c r="B5530" s="2" t="s">
        <v>2812</v>
      </c>
      <c r="C5530" s="3" t="s">
        <v>24</v>
      </c>
      <c r="D5530" s="2" t="s">
        <v>2823</v>
      </c>
      <c r="E5530" s="2" t="s">
        <v>91</v>
      </c>
      <c r="F5530" s="2" t="s">
        <v>19</v>
      </c>
      <c r="G5530" s="2"/>
      <c r="H5530" s="2"/>
      <c r="I5530" s="2"/>
    </row>
    <row r="5531" spans="1:10" s="21" customFormat="1" x14ac:dyDescent="0.35">
      <c r="A5531" s="2" t="s">
        <v>2812</v>
      </c>
      <c r="B5531" s="2" t="s">
        <v>2812</v>
      </c>
      <c r="C5531" s="3" t="s">
        <v>24</v>
      </c>
      <c r="D5531" s="2" t="s">
        <v>2823</v>
      </c>
      <c r="E5531" s="2" t="s">
        <v>124</v>
      </c>
      <c r="F5531" s="2" t="s">
        <v>125</v>
      </c>
      <c r="G5531" s="2"/>
      <c r="H5531" s="2"/>
      <c r="I5531" s="2"/>
    </row>
    <row r="5532" spans="1:10" s="21" customFormat="1" x14ac:dyDescent="0.35">
      <c r="A5532" s="2" t="s">
        <v>2812</v>
      </c>
      <c r="B5532" s="2" t="s">
        <v>2812</v>
      </c>
      <c r="C5532" s="3" t="s">
        <v>24</v>
      </c>
      <c r="D5532" s="2" t="s">
        <v>2823</v>
      </c>
      <c r="E5532" s="2" t="s">
        <v>417</v>
      </c>
      <c r="F5532" s="2" t="s">
        <v>1244</v>
      </c>
      <c r="G5532" s="2"/>
      <c r="H5532" s="2"/>
      <c r="I5532" s="2"/>
    </row>
    <row r="5533" spans="1:10" s="21" customFormat="1" x14ac:dyDescent="0.35">
      <c r="A5533" s="2" t="s">
        <v>2812</v>
      </c>
      <c r="B5533" s="2" t="s">
        <v>2812</v>
      </c>
      <c r="C5533" s="3" t="s">
        <v>24</v>
      </c>
      <c r="D5533" s="2" t="s">
        <v>2823</v>
      </c>
      <c r="E5533" s="2" t="s">
        <v>1228</v>
      </c>
      <c r="F5533" s="2" t="s">
        <v>228</v>
      </c>
      <c r="G5533" s="2"/>
      <c r="H5533" s="2"/>
      <c r="I5533" s="2"/>
    </row>
    <row r="5534" spans="1:10" s="21" customFormat="1" x14ac:dyDescent="0.35">
      <c r="A5534" s="2" t="s">
        <v>2812</v>
      </c>
      <c r="B5534" s="2" t="s">
        <v>2812</v>
      </c>
      <c r="C5534" s="3" t="s">
        <v>24</v>
      </c>
      <c r="D5534" s="2" t="s">
        <v>2823</v>
      </c>
      <c r="E5534" s="2" t="s">
        <v>61</v>
      </c>
      <c r="F5534" s="2" t="s">
        <v>30</v>
      </c>
      <c r="G5534" s="2"/>
      <c r="H5534" s="2"/>
      <c r="I5534" s="2"/>
    </row>
    <row r="5535" spans="1:10" s="21" customFormat="1" x14ac:dyDescent="0.35">
      <c r="A5535" s="2" t="s">
        <v>2812</v>
      </c>
      <c r="B5535" s="2" t="s">
        <v>2812</v>
      </c>
      <c r="C5535" s="2" t="s">
        <v>12</v>
      </c>
      <c r="D5535" s="2" t="s">
        <v>2824</v>
      </c>
      <c r="E5535" s="2" t="s">
        <v>89</v>
      </c>
      <c r="F5535" s="2" t="s">
        <v>45</v>
      </c>
      <c r="G5535" s="2"/>
      <c r="H5535" s="2"/>
      <c r="I5535" s="2"/>
    </row>
    <row r="5536" spans="1:10" s="21" customFormat="1" x14ac:dyDescent="0.35">
      <c r="A5536" s="2" t="s">
        <v>2812</v>
      </c>
      <c r="B5536" s="2" t="s">
        <v>2812</v>
      </c>
      <c r="C5536" s="2" t="s">
        <v>12</v>
      </c>
      <c r="D5536" s="2" t="s">
        <v>2824</v>
      </c>
      <c r="E5536" s="2" t="s">
        <v>193</v>
      </c>
      <c r="F5536" s="2" t="s">
        <v>1244</v>
      </c>
      <c r="G5536" s="2" t="s">
        <v>20</v>
      </c>
      <c r="H5536" s="2" t="s">
        <v>2825</v>
      </c>
      <c r="I5536" s="2"/>
    </row>
    <row r="5537" spans="1:10" x14ac:dyDescent="0.35">
      <c r="A5537" s="2" t="s">
        <v>2812</v>
      </c>
      <c r="B5537" s="2" t="s">
        <v>2812</v>
      </c>
      <c r="C5537" s="2" t="s">
        <v>181</v>
      </c>
      <c r="D5537" s="2" t="s">
        <v>2826</v>
      </c>
      <c r="E5537" s="2" t="s">
        <v>196</v>
      </c>
      <c r="F5537" s="2" t="s">
        <v>197</v>
      </c>
      <c r="G5537" s="2"/>
      <c r="H5537" s="2"/>
      <c r="I5537" s="2"/>
      <c r="J5537" s="2"/>
    </row>
    <row r="5538" spans="1:10" s="21" customFormat="1" x14ac:dyDescent="0.35">
      <c r="A5538" s="2" t="s">
        <v>2812</v>
      </c>
      <c r="B5538" s="2" t="s">
        <v>2812</v>
      </c>
      <c r="C5538" s="2" t="s">
        <v>181</v>
      </c>
      <c r="D5538" s="2" t="s">
        <v>2826</v>
      </c>
      <c r="E5538" s="2" t="s">
        <v>120</v>
      </c>
      <c r="F5538" s="2" t="s">
        <v>32</v>
      </c>
      <c r="G5538" s="2"/>
      <c r="H5538" s="2"/>
      <c r="I5538" s="2"/>
      <c r="J5538" s="2"/>
    </row>
    <row r="5539" spans="1:10" x14ac:dyDescent="0.35">
      <c r="A5539" s="2" t="s">
        <v>2812</v>
      </c>
      <c r="B5539" s="2" t="s">
        <v>2812</v>
      </c>
      <c r="C5539" s="2" t="s">
        <v>181</v>
      </c>
      <c r="D5539" s="2" t="s">
        <v>2826</v>
      </c>
      <c r="E5539" s="2" t="s">
        <v>38</v>
      </c>
      <c r="F5539" s="2" t="s">
        <v>38</v>
      </c>
      <c r="G5539" s="2"/>
      <c r="H5539" s="2"/>
      <c r="I5539" s="2"/>
      <c r="J5539" s="2"/>
    </row>
    <row r="5540" spans="1:10" x14ac:dyDescent="0.35">
      <c r="A5540" s="2" t="s">
        <v>2812</v>
      </c>
      <c r="B5540" s="2" t="s">
        <v>2812</v>
      </c>
      <c r="C5540" s="2" t="s">
        <v>181</v>
      </c>
      <c r="D5540" s="2" t="s">
        <v>2826</v>
      </c>
      <c r="E5540" s="2" t="s">
        <v>18</v>
      </c>
      <c r="F5540" s="2" t="s">
        <v>19</v>
      </c>
      <c r="G5540" s="2"/>
      <c r="H5540" s="2"/>
      <c r="I5540" s="2"/>
      <c r="J5540" s="2"/>
    </row>
    <row r="5541" spans="1:10" x14ac:dyDescent="0.35">
      <c r="A5541" s="2" t="s">
        <v>2812</v>
      </c>
      <c r="B5541" s="2" t="s">
        <v>2812</v>
      </c>
      <c r="C5541" s="2" t="s">
        <v>181</v>
      </c>
      <c r="D5541" s="2" t="s">
        <v>2826</v>
      </c>
      <c r="E5541" s="2" t="s">
        <v>100</v>
      </c>
      <c r="F5541" s="2" t="s">
        <v>101</v>
      </c>
      <c r="G5541" s="2"/>
      <c r="H5541" s="2"/>
      <c r="I5541" s="2"/>
      <c r="J5541" s="2"/>
    </row>
    <row r="5542" spans="1:10" x14ac:dyDescent="0.35">
      <c r="A5542" s="2" t="s">
        <v>2812</v>
      </c>
      <c r="B5542" s="2" t="s">
        <v>2812</v>
      </c>
      <c r="C5542" s="2" t="s">
        <v>181</v>
      </c>
      <c r="D5542" s="2" t="s">
        <v>2826</v>
      </c>
      <c r="E5542" s="2" t="s">
        <v>188</v>
      </c>
      <c r="F5542" s="2" t="s">
        <v>189</v>
      </c>
      <c r="G5542" s="2"/>
      <c r="H5542" s="2"/>
      <c r="I5542" s="2"/>
      <c r="J5542" s="2"/>
    </row>
    <row r="5543" spans="1:10" x14ac:dyDescent="0.35">
      <c r="A5543" s="2" t="s">
        <v>2812</v>
      </c>
      <c r="B5543" s="2" t="s">
        <v>2812</v>
      </c>
      <c r="C5543" s="2" t="s">
        <v>181</v>
      </c>
      <c r="D5543" s="2" t="s">
        <v>2826</v>
      </c>
      <c r="E5543" s="2" t="s">
        <v>149</v>
      </c>
      <c r="F5543" s="2" t="s">
        <v>150</v>
      </c>
      <c r="G5543" s="2"/>
      <c r="H5543" s="2"/>
      <c r="I5543" s="2"/>
      <c r="J5543" s="2"/>
    </row>
    <row r="5544" spans="1:10" x14ac:dyDescent="0.35">
      <c r="A5544" s="2" t="s">
        <v>2812</v>
      </c>
      <c r="B5544" s="2" t="s">
        <v>2812</v>
      </c>
      <c r="C5544" s="2" t="s">
        <v>181</v>
      </c>
      <c r="D5544" s="2" t="s">
        <v>2826</v>
      </c>
      <c r="E5544" s="2" t="s">
        <v>193</v>
      </c>
      <c r="F5544" s="2" t="s">
        <v>1244</v>
      </c>
      <c r="G5544" s="2"/>
      <c r="H5544" s="2"/>
      <c r="I5544" s="2"/>
      <c r="J5544" s="2"/>
    </row>
    <row r="5545" spans="1:10" s="21" customFormat="1" x14ac:dyDescent="0.35">
      <c r="A5545" s="2" t="s">
        <v>2812</v>
      </c>
      <c r="B5545" s="2" t="s">
        <v>2812</v>
      </c>
      <c r="C5545" s="2" t="s">
        <v>12</v>
      </c>
      <c r="D5545" s="2" t="s">
        <v>2827</v>
      </c>
      <c r="E5545" s="2" t="s">
        <v>89</v>
      </c>
      <c r="F5545" s="2" t="s">
        <v>45</v>
      </c>
      <c r="G5545" s="2"/>
      <c r="H5545" s="2"/>
      <c r="I5545" s="2"/>
      <c r="J5545" s="2"/>
    </row>
    <row r="5546" spans="1:10" s="21" customFormat="1" x14ac:dyDescent="0.35">
      <c r="A5546" s="2" t="s">
        <v>2812</v>
      </c>
      <c r="B5546" s="2" t="s">
        <v>2812</v>
      </c>
      <c r="C5546" s="2" t="s">
        <v>12</v>
      </c>
      <c r="D5546" s="2" t="s">
        <v>2827</v>
      </c>
      <c r="E5546" s="2" t="s">
        <v>1283</v>
      </c>
      <c r="F5546" s="2" t="s">
        <v>65</v>
      </c>
      <c r="G5546" s="2"/>
      <c r="H5546" s="2"/>
      <c r="I5546" s="2"/>
      <c r="J5546" s="2"/>
    </row>
    <row r="5547" spans="1:10" x14ac:dyDescent="0.35">
      <c r="A5547" s="2" t="s">
        <v>2812</v>
      </c>
      <c r="B5547" s="2" t="s">
        <v>2812</v>
      </c>
      <c r="C5547" s="2" t="s">
        <v>181</v>
      </c>
      <c r="D5547" s="2" t="s">
        <v>2828</v>
      </c>
      <c r="E5547" s="2" t="s">
        <v>196</v>
      </c>
      <c r="F5547" s="2" t="s">
        <v>197</v>
      </c>
      <c r="G5547" s="2"/>
      <c r="H5547" s="2"/>
      <c r="I5547" s="2"/>
      <c r="J5547" s="2"/>
    </row>
    <row r="5548" spans="1:10" x14ac:dyDescent="0.35">
      <c r="A5548" s="2" t="s">
        <v>2812</v>
      </c>
      <c r="B5548" s="2" t="s">
        <v>2812</v>
      </c>
      <c r="C5548" s="2" t="s">
        <v>181</v>
      </c>
      <c r="D5548" s="2" t="s">
        <v>2828</v>
      </c>
      <c r="E5548" s="2" t="s">
        <v>14</v>
      </c>
      <c r="F5548" s="2" t="s">
        <v>15</v>
      </c>
      <c r="G5548" s="2"/>
      <c r="H5548" s="2"/>
      <c r="I5548" s="2"/>
      <c r="J5548" s="2"/>
    </row>
    <row r="5549" spans="1:10" x14ac:dyDescent="0.35">
      <c r="A5549" s="2" t="s">
        <v>2812</v>
      </c>
      <c r="B5549" s="2" t="s">
        <v>2812</v>
      </c>
      <c r="C5549" s="2" t="s">
        <v>181</v>
      </c>
      <c r="D5549" s="2" t="s">
        <v>2828</v>
      </c>
      <c r="E5549" s="2" t="s">
        <v>31</v>
      </c>
      <c r="F5549" s="2" t="s">
        <v>32</v>
      </c>
      <c r="G5549" s="2"/>
      <c r="H5549" s="2"/>
      <c r="I5549" s="2"/>
      <c r="J5549" s="2"/>
    </row>
    <row r="5550" spans="1:10" x14ac:dyDescent="0.35">
      <c r="A5550" s="2" t="s">
        <v>2812</v>
      </c>
      <c r="B5550" s="2" t="s">
        <v>2812</v>
      </c>
      <c r="C5550" s="2" t="s">
        <v>181</v>
      </c>
      <c r="D5550" s="2" t="s">
        <v>2828</v>
      </c>
      <c r="E5550" s="2" t="s">
        <v>38</v>
      </c>
      <c r="F5550" s="2" t="s">
        <v>38</v>
      </c>
      <c r="G5550" s="2"/>
      <c r="H5550" s="2"/>
      <c r="I5550" s="2"/>
      <c r="J5550" s="2"/>
    </row>
    <row r="5551" spans="1:10" x14ac:dyDescent="0.35">
      <c r="A5551" s="2" t="s">
        <v>2812</v>
      </c>
      <c r="B5551" s="2" t="s">
        <v>2812</v>
      </c>
      <c r="C5551" s="2" t="s">
        <v>181</v>
      </c>
      <c r="D5551" s="2" t="s">
        <v>2828</v>
      </c>
      <c r="E5551" s="2" t="s">
        <v>2829</v>
      </c>
      <c r="F5551" s="2" t="s">
        <v>189</v>
      </c>
      <c r="G5551" s="2"/>
      <c r="H5551" s="2"/>
      <c r="I5551" s="2"/>
      <c r="J5551" s="2"/>
    </row>
    <row r="5552" spans="1:10" x14ac:dyDescent="0.35">
      <c r="A5552" s="2" t="s">
        <v>2812</v>
      </c>
      <c r="B5552" s="2" t="s">
        <v>2812</v>
      </c>
      <c r="C5552" s="2" t="s">
        <v>181</v>
      </c>
      <c r="D5552" s="2" t="s">
        <v>2828</v>
      </c>
      <c r="E5552" s="2" t="s">
        <v>213</v>
      </c>
      <c r="F5552" s="2" t="s">
        <v>45</v>
      </c>
      <c r="G5552" s="2"/>
      <c r="H5552" s="2"/>
      <c r="I5552" s="2"/>
      <c r="J5552" s="2"/>
    </row>
    <row r="5553" spans="1:10" x14ac:dyDescent="0.35">
      <c r="A5553" s="2" t="s">
        <v>2812</v>
      </c>
      <c r="B5553" s="2" t="s">
        <v>2812</v>
      </c>
      <c r="C5553" s="2" t="s">
        <v>181</v>
      </c>
      <c r="D5553" s="2" t="s">
        <v>2828</v>
      </c>
      <c r="E5553" s="2" t="s">
        <v>18</v>
      </c>
      <c r="F5553" s="2" t="s">
        <v>19</v>
      </c>
      <c r="G5553" s="2" t="s">
        <v>20</v>
      </c>
      <c r="H5553" s="2" t="s">
        <v>2830</v>
      </c>
      <c r="I5553" s="2"/>
      <c r="J5553" s="2"/>
    </row>
    <row r="5554" spans="1:10" x14ac:dyDescent="0.35">
      <c r="A5554" s="2" t="s">
        <v>2812</v>
      </c>
      <c r="B5554" s="2" t="s">
        <v>2812</v>
      </c>
      <c r="C5554" s="2" t="s">
        <v>181</v>
      </c>
      <c r="D5554" s="2" t="s">
        <v>2828</v>
      </c>
      <c r="E5554" s="2" t="s">
        <v>2831</v>
      </c>
      <c r="F5554" s="2" t="s">
        <v>38</v>
      </c>
      <c r="G5554" s="2"/>
      <c r="H5554" s="2"/>
      <c r="I5554" s="2"/>
      <c r="J5554" s="2"/>
    </row>
    <row r="5555" spans="1:10" x14ac:dyDescent="0.35">
      <c r="A5555" s="2" t="s">
        <v>2812</v>
      </c>
      <c r="B5555" s="2" t="s">
        <v>2812</v>
      </c>
      <c r="C5555" s="2" t="s">
        <v>181</v>
      </c>
      <c r="D5555" s="2" t="s">
        <v>2828</v>
      </c>
      <c r="E5555" s="2" t="s">
        <v>100</v>
      </c>
      <c r="F5555" s="2" t="s">
        <v>101</v>
      </c>
      <c r="G5555" s="2"/>
      <c r="H5555" s="2"/>
      <c r="I5555" s="2"/>
      <c r="J5555" s="2"/>
    </row>
    <row r="5556" spans="1:10" x14ac:dyDescent="0.35">
      <c r="A5556" s="2" t="s">
        <v>2812</v>
      </c>
      <c r="B5556" s="2" t="s">
        <v>2812</v>
      </c>
      <c r="C5556" s="2" t="s">
        <v>181</v>
      </c>
      <c r="D5556" s="2" t="s">
        <v>2828</v>
      </c>
      <c r="E5556" s="2" t="s">
        <v>188</v>
      </c>
      <c r="F5556" s="2" t="s">
        <v>189</v>
      </c>
      <c r="G5556" s="2"/>
      <c r="H5556" s="2"/>
      <c r="I5556" s="2"/>
      <c r="J5556" s="2"/>
    </row>
    <row r="5557" spans="1:10" x14ac:dyDescent="0.35">
      <c r="A5557" s="2" t="s">
        <v>2812</v>
      </c>
      <c r="B5557" s="2" t="s">
        <v>2812</v>
      </c>
      <c r="C5557" s="2" t="s">
        <v>181</v>
      </c>
      <c r="D5557" s="2" t="s">
        <v>2828</v>
      </c>
      <c r="E5557" s="2" t="s">
        <v>513</v>
      </c>
      <c r="F5557" s="2" t="s">
        <v>203</v>
      </c>
      <c r="G5557" s="2"/>
      <c r="H5557" s="2"/>
      <c r="I5557" s="2"/>
      <c r="J5557" s="2"/>
    </row>
    <row r="5558" spans="1:10" x14ac:dyDescent="0.35">
      <c r="A5558" s="2" t="s">
        <v>2812</v>
      </c>
      <c r="B5558" s="2" t="s">
        <v>2812</v>
      </c>
      <c r="C5558" s="2" t="s">
        <v>181</v>
      </c>
      <c r="D5558" s="2" t="s">
        <v>2828</v>
      </c>
      <c r="E5558" s="2" t="s">
        <v>193</v>
      </c>
      <c r="F5558" s="2" t="s">
        <v>1244</v>
      </c>
      <c r="G5558" s="2"/>
      <c r="H5558" s="2"/>
      <c r="I5558" s="2"/>
      <c r="J5558" s="2"/>
    </row>
    <row r="5559" spans="1:10" x14ac:dyDescent="0.35">
      <c r="A5559" s="2" t="s">
        <v>2812</v>
      </c>
      <c r="B5559" s="2" t="s">
        <v>2812</v>
      </c>
      <c r="C5559" s="2" t="s">
        <v>12</v>
      </c>
      <c r="D5559" s="2" t="s">
        <v>2832</v>
      </c>
      <c r="E5559" s="2" t="s">
        <v>198</v>
      </c>
      <c r="F5559" s="2" t="s">
        <v>65</v>
      </c>
      <c r="G5559" s="2"/>
      <c r="H5559" s="2"/>
      <c r="I5559" s="2"/>
      <c r="J5559" s="2"/>
    </row>
    <row r="5560" spans="1:10" x14ac:dyDescent="0.35">
      <c r="A5560" s="2" t="s">
        <v>2812</v>
      </c>
      <c r="B5560" s="2" t="s">
        <v>2812</v>
      </c>
      <c r="C5560" s="2" t="s">
        <v>12</v>
      </c>
      <c r="D5560" s="2" t="s">
        <v>2832</v>
      </c>
      <c r="E5560" s="2" t="s">
        <v>38</v>
      </c>
      <c r="F5560" s="2" t="s">
        <v>38</v>
      </c>
      <c r="G5560" s="2"/>
      <c r="H5560" s="2"/>
      <c r="I5560" s="2"/>
      <c r="J5560" s="2"/>
    </row>
    <row r="5561" spans="1:10" x14ac:dyDescent="0.35">
      <c r="A5561" s="2" t="s">
        <v>2812</v>
      </c>
      <c r="B5561" s="2" t="s">
        <v>2812</v>
      </c>
      <c r="C5561" s="2" t="s">
        <v>12</v>
      </c>
      <c r="D5561" s="2" t="s">
        <v>2832</v>
      </c>
      <c r="E5561" s="2" t="s">
        <v>18</v>
      </c>
      <c r="F5561" s="2" t="s">
        <v>19</v>
      </c>
      <c r="G5561" s="2" t="s">
        <v>20</v>
      </c>
      <c r="H5561" s="2" t="s">
        <v>2833</v>
      </c>
      <c r="I5561" s="2"/>
      <c r="J5561" s="2"/>
    </row>
    <row r="5562" spans="1:10" s="21" customFormat="1" x14ac:dyDescent="0.35">
      <c r="A5562" s="2" t="s">
        <v>2812</v>
      </c>
      <c r="B5562" s="2" t="s">
        <v>2812</v>
      </c>
      <c r="C5562" s="2" t="s">
        <v>12</v>
      </c>
      <c r="D5562" s="2" t="s">
        <v>2834</v>
      </c>
      <c r="E5562" s="2" t="s">
        <v>172</v>
      </c>
      <c r="F5562" s="2" t="s">
        <v>65</v>
      </c>
      <c r="G5562" s="2"/>
      <c r="H5562" s="2"/>
      <c r="I5562" s="2"/>
      <c r="J5562" s="2"/>
    </row>
    <row r="5563" spans="1:10" s="21" customFormat="1" x14ac:dyDescent="0.35">
      <c r="A5563" s="2" t="s">
        <v>2812</v>
      </c>
      <c r="B5563" s="2" t="s">
        <v>2812</v>
      </c>
      <c r="C5563" s="2" t="s">
        <v>12</v>
      </c>
      <c r="D5563" s="2" t="s">
        <v>2834</v>
      </c>
      <c r="E5563" s="2" t="s">
        <v>91</v>
      </c>
      <c r="F5563" s="2" t="s">
        <v>19</v>
      </c>
      <c r="G5563" s="2" t="s">
        <v>20</v>
      </c>
      <c r="H5563" s="2" t="s">
        <v>2835</v>
      </c>
      <c r="I5563" s="2"/>
      <c r="J5563" s="2"/>
    </row>
    <row r="5564" spans="1:10" s="21" customFormat="1" x14ac:dyDescent="0.35">
      <c r="A5564" s="2" t="s">
        <v>2812</v>
      </c>
      <c r="B5564" s="2" t="s">
        <v>2812</v>
      </c>
      <c r="C5564" s="2" t="s">
        <v>12</v>
      </c>
      <c r="D5564" s="2" t="s">
        <v>2834</v>
      </c>
      <c r="E5564" s="2" t="s">
        <v>469</v>
      </c>
      <c r="F5564" s="2" t="s">
        <v>40</v>
      </c>
      <c r="G5564" s="2"/>
      <c r="H5564" s="2"/>
      <c r="I5564" s="2"/>
      <c r="J5564" s="2"/>
    </row>
    <row r="5565" spans="1:10" s="21" customFormat="1" x14ac:dyDescent="0.35">
      <c r="A5565" s="2" t="s">
        <v>2812</v>
      </c>
      <c r="B5565" s="2" t="s">
        <v>2812</v>
      </c>
      <c r="C5565" s="2" t="s">
        <v>12</v>
      </c>
      <c r="D5565" s="2" t="s">
        <v>2834</v>
      </c>
      <c r="E5565" s="2" t="s">
        <v>188</v>
      </c>
      <c r="F5565" s="2" t="s">
        <v>189</v>
      </c>
      <c r="G5565" s="2"/>
      <c r="H5565" s="2"/>
      <c r="I5565" s="2"/>
      <c r="J5565" s="2"/>
    </row>
    <row r="5566" spans="1:10" x14ac:dyDescent="0.35">
      <c r="A5566" s="2" t="s">
        <v>2812</v>
      </c>
      <c r="B5566" s="2" t="s">
        <v>2812</v>
      </c>
      <c r="C5566" s="2" t="s">
        <v>181</v>
      </c>
      <c r="D5566" s="2" t="s">
        <v>2836</v>
      </c>
      <c r="E5566" s="2" t="s">
        <v>18</v>
      </c>
      <c r="F5566" s="2" t="s">
        <v>19</v>
      </c>
      <c r="G5566" s="2"/>
      <c r="H5566" s="2"/>
      <c r="I5566" s="2"/>
      <c r="J5566" s="2"/>
    </row>
    <row r="5567" spans="1:10" x14ac:dyDescent="0.35">
      <c r="A5567" s="2" t="s">
        <v>2812</v>
      </c>
      <c r="B5567" s="2" t="s">
        <v>2812</v>
      </c>
      <c r="C5567" s="2" t="s">
        <v>12</v>
      </c>
      <c r="D5567" s="2" t="s">
        <v>2837</v>
      </c>
      <c r="E5567" s="2" t="s">
        <v>198</v>
      </c>
      <c r="F5567" s="2" t="s">
        <v>65</v>
      </c>
      <c r="G5567" s="2"/>
      <c r="H5567" s="2"/>
      <c r="I5567" s="2"/>
      <c r="J5567" s="2"/>
    </row>
    <row r="5568" spans="1:10" x14ac:dyDescent="0.35">
      <c r="A5568" s="2" t="s">
        <v>2812</v>
      </c>
      <c r="B5568" s="2" t="s">
        <v>2812</v>
      </c>
      <c r="C5568" s="2" t="s">
        <v>12</v>
      </c>
      <c r="D5568" s="2" t="s">
        <v>2837</v>
      </c>
      <c r="E5568" s="2" t="s">
        <v>18</v>
      </c>
      <c r="F5568" s="2" t="s">
        <v>19</v>
      </c>
      <c r="G5568" s="2" t="s">
        <v>20</v>
      </c>
      <c r="H5568" s="2" t="s">
        <v>2838</v>
      </c>
      <c r="I5568" s="2"/>
      <c r="J5568" s="2"/>
    </row>
    <row r="5569" spans="1:10" x14ac:dyDescent="0.35">
      <c r="A5569" s="2" t="s">
        <v>2812</v>
      </c>
      <c r="B5569" s="2" t="s">
        <v>2812</v>
      </c>
      <c r="C5569" s="2" t="s">
        <v>12</v>
      </c>
      <c r="D5569" s="2" t="s">
        <v>2837</v>
      </c>
      <c r="E5569" s="2" t="s">
        <v>188</v>
      </c>
      <c r="F5569" s="2" t="s">
        <v>189</v>
      </c>
      <c r="G5569" s="2"/>
      <c r="H5569" s="2"/>
      <c r="I5569" s="2"/>
      <c r="J5569" s="2"/>
    </row>
    <row r="5570" spans="1:10" x14ac:dyDescent="0.35">
      <c r="A5570" s="2" t="s">
        <v>2812</v>
      </c>
      <c r="B5570" s="2" t="s">
        <v>2812</v>
      </c>
      <c r="C5570" s="2" t="s">
        <v>181</v>
      </c>
      <c r="D5570" s="2" t="s">
        <v>2839</v>
      </c>
      <c r="E5570" s="2" t="s">
        <v>198</v>
      </c>
      <c r="F5570" s="2" t="s">
        <v>65</v>
      </c>
      <c r="G5570" s="2"/>
      <c r="H5570" s="2"/>
      <c r="I5570" s="2"/>
      <c r="J5570" s="2"/>
    </row>
    <row r="5571" spans="1:10" x14ac:dyDescent="0.35">
      <c r="A5571" s="2" t="s">
        <v>2812</v>
      </c>
      <c r="B5571" s="2" t="s">
        <v>2812</v>
      </c>
      <c r="C5571" s="2" t="s">
        <v>181</v>
      </c>
      <c r="D5571" s="2" t="s">
        <v>2839</v>
      </c>
      <c r="E5571" s="2" t="s">
        <v>155</v>
      </c>
      <c r="F5571" s="2" t="s">
        <v>32</v>
      </c>
      <c r="G5571" s="2"/>
      <c r="H5571" s="2"/>
      <c r="I5571" s="2"/>
      <c r="J5571" s="2"/>
    </row>
    <row r="5572" spans="1:10" x14ac:dyDescent="0.35">
      <c r="A5572" s="2" t="s">
        <v>2812</v>
      </c>
      <c r="B5572" s="2" t="s">
        <v>2812</v>
      </c>
      <c r="C5572" s="2" t="s">
        <v>181</v>
      </c>
      <c r="D5572" s="2" t="s">
        <v>2839</v>
      </c>
      <c r="E5572" s="2" t="s">
        <v>200</v>
      </c>
      <c r="F5572" s="2" t="s">
        <v>201</v>
      </c>
      <c r="G5572" s="2"/>
      <c r="H5572" s="2"/>
      <c r="I5572" s="2"/>
      <c r="J5572" s="2"/>
    </row>
    <row r="5573" spans="1:10" x14ac:dyDescent="0.35">
      <c r="A5573" s="2" t="s">
        <v>2812</v>
      </c>
      <c r="B5573" s="2" t="s">
        <v>2812</v>
      </c>
      <c r="C5573" s="2" t="s">
        <v>181</v>
      </c>
      <c r="D5573" s="2" t="s">
        <v>2839</v>
      </c>
      <c r="E5573" s="2" t="s">
        <v>2840</v>
      </c>
      <c r="F5573" s="2" t="s">
        <v>38</v>
      </c>
      <c r="G5573" s="2"/>
      <c r="H5573" s="2"/>
      <c r="I5573" s="2"/>
      <c r="J5573" s="2"/>
    </row>
    <row r="5574" spans="1:10" x14ac:dyDescent="0.35">
      <c r="A5574" s="2" t="s">
        <v>2812</v>
      </c>
      <c r="B5574" s="2" t="s">
        <v>2812</v>
      </c>
      <c r="C5574" s="2" t="s">
        <v>181</v>
      </c>
      <c r="D5574" s="2" t="s">
        <v>2839</v>
      </c>
      <c r="E5574" s="2" t="s">
        <v>2841</v>
      </c>
      <c r="F5574" s="2" t="s">
        <v>189</v>
      </c>
      <c r="G5574" s="2"/>
      <c r="H5574" s="2"/>
      <c r="I5574" s="2"/>
      <c r="J5574" s="2"/>
    </row>
    <row r="5575" spans="1:10" x14ac:dyDescent="0.35">
      <c r="A5575" s="2" t="s">
        <v>2812</v>
      </c>
      <c r="B5575" s="2" t="s">
        <v>2812</v>
      </c>
      <c r="C5575" s="2" t="s">
        <v>181</v>
      </c>
      <c r="D5575" s="2" t="s">
        <v>2839</v>
      </c>
      <c r="E5575" s="2" t="s">
        <v>168</v>
      </c>
      <c r="F5575" s="2" t="s">
        <v>45</v>
      </c>
      <c r="G5575" s="2"/>
      <c r="H5575" s="2"/>
      <c r="I5575" s="2"/>
      <c r="J5575" s="2"/>
    </row>
    <row r="5576" spans="1:10" x14ac:dyDescent="0.35">
      <c r="A5576" s="2" t="s">
        <v>2812</v>
      </c>
      <c r="B5576" s="2" t="s">
        <v>2812</v>
      </c>
      <c r="C5576" s="2" t="s">
        <v>181</v>
      </c>
      <c r="D5576" s="2" t="s">
        <v>2839</v>
      </c>
      <c r="E5576" s="2" t="s">
        <v>39</v>
      </c>
      <c r="F5576" s="2" t="s">
        <v>1244</v>
      </c>
      <c r="G5576" s="2"/>
      <c r="H5576" s="2"/>
      <c r="I5576" s="2"/>
      <c r="J5576" s="2"/>
    </row>
    <row r="5577" spans="1:10" x14ac:dyDescent="0.35">
      <c r="A5577" s="2" t="s">
        <v>2812</v>
      </c>
      <c r="B5577" s="2" t="s">
        <v>2812</v>
      </c>
      <c r="C5577" s="2" t="s">
        <v>181</v>
      </c>
      <c r="D5577" s="2" t="s">
        <v>2839</v>
      </c>
      <c r="E5577" s="2" t="s">
        <v>18</v>
      </c>
      <c r="F5577" s="2" t="s">
        <v>19</v>
      </c>
      <c r="G5577" s="2" t="s">
        <v>20</v>
      </c>
      <c r="H5577" s="2" t="s">
        <v>2842</v>
      </c>
      <c r="I5577" s="2"/>
      <c r="J5577" s="2"/>
    </row>
    <row r="5578" spans="1:10" x14ac:dyDescent="0.35">
      <c r="A5578" s="2" t="s">
        <v>2812</v>
      </c>
      <c r="B5578" s="2" t="s">
        <v>2812</v>
      </c>
      <c r="C5578" s="2" t="s">
        <v>181</v>
      </c>
      <c r="D5578" s="2" t="s">
        <v>2839</v>
      </c>
      <c r="E5578" s="2" t="s">
        <v>2831</v>
      </c>
      <c r="F5578" s="2" t="s">
        <v>38</v>
      </c>
      <c r="G5578" s="2"/>
      <c r="H5578" s="2"/>
      <c r="I5578" s="2"/>
      <c r="J5578" s="2"/>
    </row>
    <row r="5579" spans="1:10" x14ac:dyDescent="0.35">
      <c r="A5579" s="2" t="s">
        <v>2812</v>
      </c>
      <c r="B5579" s="2" t="s">
        <v>2812</v>
      </c>
      <c r="C5579" s="2" t="s">
        <v>181</v>
      </c>
      <c r="D5579" s="2" t="s">
        <v>2839</v>
      </c>
      <c r="E5579" s="2" t="s">
        <v>2843</v>
      </c>
      <c r="F5579" s="2" t="s">
        <v>277</v>
      </c>
      <c r="G5579" s="2"/>
      <c r="H5579" s="2"/>
      <c r="I5579" s="2"/>
      <c r="J5579" s="2"/>
    </row>
    <row r="5580" spans="1:10" x14ac:dyDescent="0.35">
      <c r="A5580" s="2" t="s">
        <v>2812</v>
      </c>
      <c r="B5580" s="2" t="s">
        <v>2812</v>
      </c>
      <c r="C5580" s="2" t="s">
        <v>181</v>
      </c>
      <c r="D5580" s="2" t="s">
        <v>2839</v>
      </c>
      <c r="E5580" s="2" t="s">
        <v>100</v>
      </c>
      <c r="F5580" s="2" t="s">
        <v>101</v>
      </c>
      <c r="G5580" s="2"/>
      <c r="H5580" s="2"/>
      <c r="I5580" s="2"/>
      <c r="J5580" s="2"/>
    </row>
    <row r="5581" spans="1:10" x14ac:dyDescent="0.35">
      <c r="A5581" s="2" t="s">
        <v>2812</v>
      </c>
      <c r="B5581" s="2" t="s">
        <v>2812</v>
      </c>
      <c r="C5581" s="2" t="s">
        <v>181</v>
      </c>
      <c r="D5581" s="2" t="s">
        <v>2839</v>
      </c>
      <c r="E5581" s="2" t="s">
        <v>188</v>
      </c>
      <c r="F5581" s="2" t="s">
        <v>189</v>
      </c>
      <c r="G5581" s="2"/>
      <c r="H5581" s="2"/>
      <c r="I5581" s="2"/>
      <c r="J5581" s="2"/>
    </row>
    <row r="5582" spans="1:10" x14ac:dyDescent="0.35">
      <c r="A5582" s="2" t="s">
        <v>2812</v>
      </c>
      <c r="B5582" s="2" t="s">
        <v>2812</v>
      </c>
      <c r="C5582" s="2" t="s">
        <v>181</v>
      </c>
      <c r="D5582" s="2" t="s">
        <v>2839</v>
      </c>
      <c r="E5582" s="2" t="s">
        <v>149</v>
      </c>
      <c r="F5582" s="2" t="s">
        <v>150</v>
      </c>
      <c r="G5582" s="2"/>
      <c r="H5582" s="2"/>
      <c r="I5582" s="2"/>
      <c r="J5582" s="2"/>
    </row>
    <row r="5583" spans="1:10" x14ac:dyDescent="0.35">
      <c r="A5583" s="2" t="s">
        <v>2812</v>
      </c>
      <c r="B5583" s="2" t="s">
        <v>2812</v>
      </c>
      <c r="C5583" s="2" t="s">
        <v>181</v>
      </c>
      <c r="D5583" s="2" t="s">
        <v>2839</v>
      </c>
      <c r="E5583" s="2" t="s">
        <v>1021</v>
      </c>
      <c r="F5583" s="2" t="s">
        <v>122</v>
      </c>
      <c r="G5583" s="2"/>
      <c r="H5583" s="2"/>
      <c r="I5583" s="2"/>
      <c r="J5583" s="2"/>
    </row>
    <row r="5584" spans="1:10" s="21" customFormat="1" x14ac:dyDescent="0.35">
      <c r="A5584" s="2" t="s">
        <v>2812</v>
      </c>
      <c r="B5584" s="2" t="s">
        <v>2812</v>
      </c>
      <c r="C5584" s="2" t="s">
        <v>181</v>
      </c>
      <c r="D5584" s="2" t="s">
        <v>2839</v>
      </c>
      <c r="E5584" s="2" t="s">
        <v>302</v>
      </c>
      <c r="F5584" s="2" t="s">
        <v>65</v>
      </c>
      <c r="G5584" s="2"/>
      <c r="H5584" s="2"/>
      <c r="I5584" s="2"/>
      <c r="J5584" s="2"/>
    </row>
    <row r="5585" spans="1:10" x14ac:dyDescent="0.35">
      <c r="A5585" s="2" t="s">
        <v>2812</v>
      </c>
      <c r="B5585" s="2" t="s">
        <v>2812</v>
      </c>
      <c r="C5585" s="2" t="s">
        <v>12</v>
      </c>
      <c r="D5585" s="2" t="s">
        <v>2844</v>
      </c>
      <c r="E5585" s="2" t="s">
        <v>64</v>
      </c>
      <c r="F5585" s="2" t="s">
        <v>65</v>
      </c>
      <c r="G5585" s="2" t="s">
        <v>20</v>
      </c>
      <c r="H5585" s="2" t="s">
        <v>2845</v>
      </c>
      <c r="I5585" s="2"/>
      <c r="J5585" s="21"/>
    </row>
    <row r="5586" spans="1:10" x14ac:dyDescent="0.35">
      <c r="A5586" s="2" t="s">
        <v>2812</v>
      </c>
      <c r="B5586" s="2" t="s">
        <v>2812</v>
      </c>
      <c r="C5586" s="2" t="s">
        <v>181</v>
      </c>
      <c r="D5586" s="2" t="s">
        <v>2846</v>
      </c>
      <c r="E5586" s="2" t="s">
        <v>196</v>
      </c>
      <c r="F5586" s="2" t="s">
        <v>197</v>
      </c>
      <c r="G5586" s="2"/>
      <c r="H5586" s="2"/>
      <c r="I5586" s="2"/>
      <c r="J5586" s="2"/>
    </row>
    <row r="5587" spans="1:10" x14ac:dyDescent="0.35">
      <c r="A5587" s="2" t="s">
        <v>2812</v>
      </c>
      <c r="B5587" s="2" t="s">
        <v>2812</v>
      </c>
      <c r="C5587" s="2" t="s">
        <v>181</v>
      </c>
      <c r="D5587" s="2" t="s">
        <v>2846</v>
      </c>
      <c r="E5587" s="2" t="s">
        <v>2847</v>
      </c>
      <c r="F5587" s="2" t="s">
        <v>203</v>
      </c>
      <c r="G5587" s="2"/>
      <c r="H5587" s="2"/>
      <c r="I5587" s="2"/>
      <c r="J5587" s="2"/>
    </row>
    <row r="5588" spans="1:10" x14ac:dyDescent="0.35">
      <c r="A5588" s="2" t="s">
        <v>2812</v>
      </c>
      <c r="B5588" s="2" t="s">
        <v>2812</v>
      </c>
      <c r="C5588" s="2" t="s">
        <v>181</v>
      </c>
      <c r="D5588" s="2" t="s">
        <v>2846</v>
      </c>
      <c r="E5588" s="2" t="s">
        <v>156</v>
      </c>
      <c r="F5588" s="2" t="s">
        <v>45</v>
      </c>
      <c r="G5588" s="2" t="s">
        <v>20</v>
      </c>
      <c r="H5588" s="2" t="s">
        <v>2848</v>
      </c>
      <c r="I5588" s="2"/>
      <c r="J5588" s="2"/>
    </row>
    <row r="5589" spans="1:10" x14ac:dyDescent="0.35">
      <c r="A5589" s="2" t="s">
        <v>2812</v>
      </c>
      <c r="B5589" s="2" t="s">
        <v>2812</v>
      </c>
      <c r="C5589" s="2" t="s">
        <v>181</v>
      </c>
      <c r="D5589" s="2" t="s">
        <v>2846</v>
      </c>
      <c r="E5589" s="2" t="s">
        <v>188</v>
      </c>
      <c r="F5589" s="2" t="s">
        <v>189</v>
      </c>
      <c r="G5589" s="2"/>
      <c r="H5589" s="2"/>
      <c r="I5589" s="2"/>
      <c r="J5589" s="2"/>
    </row>
    <row r="5590" spans="1:10" x14ac:dyDescent="0.35">
      <c r="A5590" s="2" t="s">
        <v>2812</v>
      </c>
      <c r="B5590" s="2" t="s">
        <v>2812</v>
      </c>
      <c r="C5590" s="2" t="s">
        <v>181</v>
      </c>
      <c r="D5590" s="2" t="s">
        <v>2846</v>
      </c>
      <c r="E5590" s="2" t="s">
        <v>149</v>
      </c>
      <c r="F5590" s="2" t="s">
        <v>150</v>
      </c>
      <c r="G5590" s="2" t="s">
        <v>20</v>
      </c>
      <c r="H5590" s="2" t="s">
        <v>2849</v>
      </c>
      <c r="I5590" s="2"/>
      <c r="J5590" s="2"/>
    </row>
    <row r="5591" spans="1:10" x14ac:dyDescent="0.35">
      <c r="A5591" s="2" t="s">
        <v>2812</v>
      </c>
      <c r="B5591" s="2" t="s">
        <v>2812</v>
      </c>
      <c r="C5591" s="2" t="s">
        <v>181</v>
      </c>
      <c r="D5591" s="2" t="s">
        <v>2846</v>
      </c>
      <c r="E5591" s="2" t="s">
        <v>2850</v>
      </c>
      <c r="F5591" s="2" t="s">
        <v>189</v>
      </c>
      <c r="G5591" s="2"/>
      <c r="H5591" s="2"/>
      <c r="I5591" s="2"/>
      <c r="J5591" s="2"/>
    </row>
    <row r="5592" spans="1:10" x14ac:dyDescent="0.35">
      <c r="A5592" s="2" t="s">
        <v>2812</v>
      </c>
      <c r="B5592" s="2" t="s">
        <v>2812</v>
      </c>
      <c r="C5592" s="2" t="s">
        <v>181</v>
      </c>
      <c r="D5592" s="2" t="s">
        <v>2851</v>
      </c>
      <c r="E5592" s="2" t="s">
        <v>196</v>
      </c>
      <c r="F5592" s="2" t="s">
        <v>197</v>
      </c>
      <c r="G5592" s="2"/>
      <c r="H5592" s="2"/>
      <c r="I5592" s="2"/>
      <c r="J5592" s="2"/>
    </row>
    <row r="5593" spans="1:10" x14ac:dyDescent="0.35">
      <c r="A5593" s="2" t="s">
        <v>2812</v>
      </c>
      <c r="B5593" s="2" t="s">
        <v>2812</v>
      </c>
      <c r="C5593" s="2" t="s">
        <v>181</v>
      </c>
      <c r="D5593" s="2" t="s">
        <v>2851</v>
      </c>
      <c r="E5593" s="2" t="s">
        <v>14</v>
      </c>
      <c r="F5593" s="2" t="s">
        <v>15</v>
      </c>
      <c r="G5593" s="2"/>
      <c r="H5593" s="2"/>
      <c r="I5593" s="2"/>
      <c r="J5593" s="2"/>
    </row>
    <row r="5594" spans="1:10" x14ac:dyDescent="0.35">
      <c r="A5594" s="2" t="s">
        <v>2812</v>
      </c>
      <c r="B5594" s="2" t="s">
        <v>2812</v>
      </c>
      <c r="C5594" s="2" t="s">
        <v>181</v>
      </c>
      <c r="D5594" s="2" t="s">
        <v>2851</v>
      </c>
      <c r="E5594" s="2" t="s">
        <v>464</v>
      </c>
      <c r="F5594" s="2" t="s">
        <v>38</v>
      </c>
      <c r="G5594" s="2"/>
      <c r="H5594" s="2"/>
      <c r="I5594" s="2"/>
      <c r="J5594" s="2"/>
    </row>
    <row r="5595" spans="1:10" x14ac:dyDescent="0.35">
      <c r="A5595" s="2" t="s">
        <v>2812</v>
      </c>
      <c r="B5595" s="2" t="s">
        <v>2812</v>
      </c>
      <c r="C5595" s="2" t="s">
        <v>181</v>
      </c>
      <c r="D5595" s="2" t="s">
        <v>2851</v>
      </c>
      <c r="E5595" s="2" t="s">
        <v>198</v>
      </c>
      <c r="F5595" s="2" t="s">
        <v>65</v>
      </c>
      <c r="G5595" s="2"/>
      <c r="H5595" s="2"/>
      <c r="I5595" s="2"/>
      <c r="J5595" s="2"/>
    </row>
    <row r="5596" spans="1:10" x14ac:dyDescent="0.35">
      <c r="A5596" s="2" t="s">
        <v>2812</v>
      </c>
      <c r="B5596" s="2" t="s">
        <v>2812</v>
      </c>
      <c r="C5596" s="2" t="s">
        <v>181</v>
      </c>
      <c r="D5596" s="2" t="s">
        <v>2851</v>
      </c>
      <c r="E5596" s="2" t="s">
        <v>31</v>
      </c>
      <c r="F5596" s="2" t="s">
        <v>32</v>
      </c>
      <c r="G5596" s="2"/>
      <c r="H5596" s="2"/>
      <c r="I5596" s="2"/>
      <c r="J5596" s="2"/>
    </row>
    <row r="5597" spans="1:10" x14ac:dyDescent="0.35">
      <c r="A5597" s="2" t="s">
        <v>2812</v>
      </c>
      <c r="B5597" s="2" t="s">
        <v>2812</v>
      </c>
      <c r="C5597" s="2" t="s">
        <v>181</v>
      </c>
      <c r="D5597" s="2" t="s">
        <v>2851</v>
      </c>
      <c r="E5597" s="2" t="s">
        <v>438</v>
      </c>
      <c r="F5597" s="2" t="s">
        <v>19</v>
      </c>
      <c r="G5597" s="2"/>
      <c r="H5597" s="2"/>
      <c r="I5597" s="2"/>
      <c r="J5597" s="2"/>
    </row>
    <row r="5598" spans="1:10" x14ac:dyDescent="0.35">
      <c r="A5598" s="2" t="s">
        <v>2812</v>
      </c>
      <c r="B5598" s="2" t="s">
        <v>2812</v>
      </c>
      <c r="C5598" s="2" t="s">
        <v>181</v>
      </c>
      <c r="D5598" s="2" t="s">
        <v>2851</v>
      </c>
      <c r="E5598" s="2" t="s">
        <v>77</v>
      </c>
      <c r="F5598" s="2" t="s">
        <v>78</v>
      </c>
      <c r="G5598" s="2"/>
      <c r="H5598" s="2"/>
      <c r="I5598" s="2"/>
      <c r="J5598" s="2"/>
    </row>
    <row r="5599" spans="1:10" x14ac:dyDescent="0.35">
      <c r="A5599" s="2" t="s">
        <v>2812</v>
      </c>
      <c r="B5599" s="2" t="s">
        <v>2812</v>
      </c>
      <c r="C5599" s="2" t="s">
        <v>181</v>
      </c>
      <c r="D5599" s="2" t="s">
        <v>2851</v>
      </c>
      <c r="E5599" s="2" t="s">
        <v>469</v>
      </c>
      <c r="F5599" s="2" t="s">
        <v>1244</v>
      </c>
      <c r="G5599" s="2"/>
      <c r="H5599" s="2"/>
      <c r="I5599" s="2"/>
      <c r="J5599" s="2"/>
    </row>
    <row r="5600" spans="1:10" x14ac:dyDescent="0.35">
      <c r="A5600" s="2" t="s">
        <v>2812</v>
      </c>
      <c r="B5600" s="2" t="s">
        <v>2812</v>
      </c>
      <c r="C5600" s="2" t="s">
        <v>181</v>
      </c>
      <c r="D5600" s="2" t="s">
        <v>2851</v>
      </c>
      <c r="E5600" s="2" t="s">
        <v>100</v>
      </c>
      <c r="F5600" s="2" t="s">
        <v>101</v>
      </c>
      <c r="G5600" s="2"/>
      <c r="H5600" s="2"/>
      <c r="I5600" s="2"/>
      <c r="J5600" s="2"/>
    </row>
    <row r="5601" spans="1:10" x14ac:dyDescent="0.35">
      <c r="A5601" s="2" t="s">
        <v>2812</v>
      </c>
      <c r="B5601" s="2" t="s">
        <v>2812</v>
      </c>
      <c r="C5601" s="2" t="s">
        <v>181</v>
      </c>
      <c r="D5601" s="2" t="s">
        <v>2851</v>
      </c>
      <c r="E5601" s="2" t="s">
        <v>188</v>
      </c>
      <c r="F5601" s="2" t="s">
        <v>189</v>
      </c>
      <c r="G5601" s="2"/>
      <c r="H5601" s="2"/>
      <c r="I5601" s="2"/>
      <c r="J5601" s="2"/>
    </row>
    <row r="5602" spans="1:10" x14ac:dyDescent="0.35">
      <c r="A5602" s="2" t="s">
        <v>2812</v>
      </c>
      <c r="B5602" s="2" t="s">
        <v>2812</v>
      </c>
      <c r="C5602" s="2" t="s">
        <v>181</v>
      </c>
      <c r="D5602" s="2" t="s">
        <v>2851</v>
      </c>
      <c r="E5602" s="2" t="s">
        <v>423</v>
      </c>
      <c r="F5602" s="2" t="s">
        <v>424</v>
      </c>
      <c r="G5602" s="2"/>
      <c r="H5602" s="2"/>
      <c r="I5602" s="2"/>
      <c r="J5602" s="2"/>
    </row>
    <row r="5603" spans="1:10" x14ac:dyDescent="0.35">
      <c r="A5603" s="2" t="s">
        <v>2812</v>
      </c>
      <c r="B5603" s="2" t="s">
        <v>2812</v>
      </c>
      <c r="C5603" s="2" t="s">
        <v>181</v>
      </c>
      <c r="D5603" s="2" t="s">
        <v>2851</v>
      </c>
      <c r="E5603" s="2" t="s">
        <v>513</v>
      </c>
      <c r="F5603" s="2" t="s">
        <v>203</v>
      </c>
      <c r="G5603" s="2"/>
      <c r="H5603" s="2"/>
      <c r="I5603" s="2"/>
      <c r="J5603" s="2"/>
    </row>
    <row r="5604" spans="1:10" x14ac:dyDescent="0.35">
      <c r="A5604" s="2" t="s">
        <v>2812</v>
      </c>
      <c r="B5604" s="2" t="s">
        <v>2812</v>
      </c>
      <c r="C5604" s="2" t="s">
        <v>181</v>
      </c>
      <c r="D5604" s="2" t="s">
        <v>2851</v>
      </c>
      <c r="E5604" s="2" t="s">
        <v>149</v>
      </c>
      <c r="F5604" s="2" t="s">
        <v>150</v>
      </c>
      <c r="G5604" s="2"/>
      <c r="H5604" s="2"/>
      <c r="I5604" s="2"/>
      <c r="J5604" s="2"/>
    </row>
    <row r="5605" spans="1:10" x14ac:dyDescent="0.35">
      <c r="A5605" s="2" t="s">
        <v>2812</v>
      </c>
      <c r="B5605" s="2" t="s">
        <v>2812</v>
      </c>
      <c r="C5605" s="2" t="s">
        <v>12</v>
      </c>
      <c r="D5605" s="2" t="s">
        <v>2852</v>
      </c>
      <c r="E5605" s="2" t="s">
        <v>91</v>
      </c>
      <c r="F5605" s="2" t="s">
        <v>19</v>
      </c>
      <c r="G5605" s="2" t="s">
        <v>20</v>
      </c>
      <c r="H5605" s="2" t="s">
        <v>2853</v>
      </c>
      <c r="I5605" s="2"/>
      <c r="J5605" s="4"/>
    </row>
    <row r="5606" spans="1:10" s="21" customFormat="1" x14ac:dyDescent="0.35">
      <c r="A5606" s="2" t="s">
        <v>2812</v>
      </c>
      <c r="B5606" s="2" t="s">
        <v>2812</v>
      </c>
      <c r="C5606" s="2" t="s">
        <v>12</v>
      </c>
      <c r="D5606" s="2" t="s">
        <v>2854</v>
      </c>
      <c r="E5606" s="2" t="s">
        <v>188</v>
      </c>
      <c r="F5606" s="2" t="s">
        <v>189</v>
      </c>
      <c r="G5606" s="2"/>
      <c r="H5606" s="2"/>
      <c r="I5606" s="2"/>
      <c r="J5606" s="4"/>
    </row>
    <row r="5607" spans="1:10" x14ac:dyDescent="0.35">
      <c r="A5607" s="2" t="s">
        <v>2812</v>
      </c>
      <c r="B5607" s="2" t="s">
        <v>2812</v>
      </c>
      <c r="C5607" s="2" t="s">
        <v>12</v>
      </c>
      <c r="D5607" s="2" t="s">
        <v>2855</v>
      </c>
      <c r="E5607" s="2" t="s">
        <v>172</v>
      </c>
      <c r="F5607" s="2" t="s">
        <v>65</v>
      </c>
      <c r="G5607" s="2"/>
      <c r="H5607" s="2"/>
      <c r="I5607" s="2"/>
      <c r="J5607" s="2"/>
    </row>
    <row r="5608" spans="1:10" x14ac:dyDescent="0.35">
      <c r="A5608" s="2" t="s">
        <v>2812</v>
      </c>
      <c r="B5608" s="2" t="s">
        <v>2812</v>
      </c>
      <c r="C5608" s="2" t="s">
        <v>12</v>
      </c>
      <c r="D5608" s="2" t="s">
        <v>2855</v>
      </c>
      <c r="E5608" s="2" t="s">
        <v>77</v>
      </c>
      <c r="F5608" s="2" t="s">
        <v>78</v>
      </c>
      <c r="G5608" s="2"/>
      <c r="H5608" s="2"/>
      <c r="I5608" s="2"/>
      <c r="J5608" s="2"/>
    </row>
    <row r="5609" spans="1:10" x14ac:dyDescent="0.35">
      <c r="A5609" s="2" t="s">
        <v>2812</v>
      </c>
      <c r="B5609" s="2" t="s">
        <v>2812</v>
      </c>
      <c r="C5609" s="2" t="s">
        <v>12</v>
      </c>
      <c r="D5609" s="2" t="s">
        <v>2855</v>
      </c>
      <c r="E5609" s="2" t="s">
        <v>18</v>
      </c>
      <c r="F5609" s="2" t="s">
        <v>19</v>
      </c>
      <c r="G5609" s="2" t="s">
        <v>20</v>
      </c>
      <c r="H5609" s="2" t="s">
        <v>1378</v>
      </c>
      <c r="I5609" s="2"/>
      <c r="J5609" s="2"/>
    </row>
    <row r="5610" spans="1:10" x14ac:dyDescent="0.35">
      <c r="A5610" s="2" t="s">
        <v>2812</v>
      </c>
      <c r="B5610" s="2" t="s">
        <v>2812</v>
      </c>
      <c r="C5610" s="2" t="s">
        <v>181</v>
      </c>
      <c r="D5610" s="2" t="s">
        <v>2856</v>
      </c>
      <c r="E5610" s="2" t="s">
        <v>120</v>
      </c>
      <c r="F5610" s="2" t="s">
        <v>32</v>
      </c>
      <c r="G5610" s="2"/>
      <c r="H5610" s="2"/>
      <c r="I5610" s="2"/>
      <c r="J5610" s="2"/>
    </row>
    <row r="5611" spans="1:10" x14ac:dyDescent="0.35">
      <c r="A5611" s="2" t="s">
        <v>2812</v>
      </c>
      <c r="B5611" s="2" t="s">
        <v>2812</v>
      </c>
      <c r="C5611" s="2" t="s">
        <v>181</v>
      </c>
      <c r="D5611" s="2" t="s">
        <v>2856</v>
      </c>
      <c r="E5611" s="2" t="s">
        <v>188</v>
      </c>
      <c r="F5611" s="2" t="s">
        <v>189</v>
      </c>
      <c r="G5611" s="2"/>
      <c r="H5611" s="2"/>
      <c r="I5611" s="2"/>
      <c r="J5611" s="2"/>
    </row>
    <row r="5612" spans="1:10" x14ac:dyDescent="0.35">
      <c r="A5612" s="2" t="s">
        <v>2812</v>
      </c>
      <c r="B5612" s="2" t="s">
        <v>2812</v>
      </c>
      <c r="C5612" s="2" t="s">
        <v>181</v>
      </c>
      <c r="D5612" s="2" t="s">
        <v>2857</v>
      </c>
      <c r="E5612" s="2" t="s">
        <v>120</v>
      </c>
      <c r="F5612" s="2" t="s">
        <v>32</v>
      </c>
      <c r="G5612" s="2"/>
      <c r="H5612" s="2"/>
      <c r="I5612" s="2"/>
      <c r="J5612" s="2"/>
    </row>
    <row r="5613" spans="1:10" x14ac:dyDescent="0.35">
      <c r="A5613" s="2" t="s">
        <v>2812</v>
      </c>
      <c r="B5613" s="2" t="s">
        <v>2812</v>
      </c>
      <c r="C5613" s="2" t="s">
        <v>181</v>
      </c>
      <c r="D5613" s="2" t="s">
        <v>2857</v>
      </c>
      <c r="E5613" s="2" t="s">
        <v>18</v>
      </c>
      <c r="F5613" s="2" t="s">
        <v>19</v>
      </c>
      <c r="G5613" s="2" t="s">
        <v>20</v>
      </c>
      <c r="H5613" s="2" t="s">
        <v>1378</v>
      </c>
      <c r="I5613" s="2"/>
      <c r="J5613" s="2"/>
    </row>
    <row r="5614" spans="1:10" x14ac:dyDescent="0.35">
      <c r="A5614" s="2" t="s">
        <v>2812</v>
      </c>
      <c r="B5614" s="2" t="s">
        <v>2812</v>
      </c>
      <c r="C5614" s="2" t="s">
        <v>181</v>
      </c>
      <c r="D5614" s="2" t="s">
        <v>2857</v>
      </c>
      <c r="E5614" s="2" t="s">
        <v>89</v>
      </c>
      <c r="F5614" s="2" t="s">
        <v>45</v>
      </c>
      <c r="G5614" s="2"/>
      <c r="H5614" s="2"/>
      <c r="I5614" s="2"/>
      <c r="J5614" s="2"/>
    </row>
    <row r="5615" spans="1:10" x14ac:dyDescent="0.35">
      <c r="A5615" s="2" t="s">
        <v>2812</v>
      </c>
      <c r="B5615" s="2" t="s">
        <v>2812</v>
      </c>
      <c r="C5615" s="2" t="s">
        <v>181</v>
      </c>
      <c r="D5615" s="2" t="s">
        <v>2857</v>
      </c>
      <c r="E5615" s="2" t="s">
        <v>100</v>
      </c>
      <c r="F5615" s="2" t="s">
        <v>101</v>
      </c>
      <c r="G5615" s="2"/>
      <c r="H5615" s="2"/>
      <c r="I5615" s="2"/>
      <c r="J5615" s="2"/>
    </row>
    <row r="5616" spans="1:10" x14ac:dyDescent="0.35">
      <c r="A5616" s="2" t="s">
        <v>2812</v>
      </c>
      <c r="B5616" s="2" t="s">
        <v>2812</v>
      </c>
      <c r="C5616" s="2" t="s">
        <v>181</v>
      </c>
      <c r="D5616" s="2" t="s">
        <v>2857</v>
      </c>
      <c r="E5616" s="2" t="s">
        <v>188</v>
      </c>
      <c r="F5616" s="2" t="s">
        <v>189</v>
      </c>
      <c r="G5616" s="2" t="s">
        <v>20</v>
      </c>
      <c r="H5616" s="2" t="s">
        <v>236</v>
      </c>
      <c r="I5616" s="2"/>
      <c r="J5616" s="2"/>
    </row>
    <row r="5617" spans="1:10" x14ac:dyDescent="0.35">
      <c r="A5617" s="2" t="s">
        <v>2812</v>
      </c>
      <c r="B5617" s="2" t="s">
        <v>2812</v>
      </c>
      <c r="C5617" s="2" t="s">
        <v>181</v>
      </c>
      <c r="D5617" s="2" t="s">
        <v>2857</v>
      </c>
      <c r="E5617" s="2" t="s">
        <v>193</v>
      </c>
      <c r="F5617" s="2" t="s">
        <v>1244</v>
      </c>
      <c r="G5617" s="2"/>
      <c r="H5617" s="2"/>
      <c r="I5617" s="2"/>
      <c r="J5617" s="2"/>
    </row>
    <row r="5618" spans="1:10" s="23" customFormat="1" ht="14" x14ac:dyDescent="0.3">
      <c r="A5618" s="2" t="s">
        <v>2812</v>
      </c>
      <c r="B5618" s="2" t="s">
        <v>2812</v>
      </c>
      <c r="C5618" s="2" t="s">
        <v>12</v>
      </c>
      <c r="D5618" s="2" t="s">
        <v>2858</v>
      </c>
      <c r="E5618" s="2" t="s">
        <v>14</v>
      </c>
      <c r="F5618" s="2" t="s">
        <v>15</v>
      </c>
      <c r="G5618" s="2"/>
      <c r="H5618" s="2"/>
      <c r="I5618" s="2"/>
      <c r="J5618" s="2"/>
    </row>
    <row r="5619" spans="1:10" s="23" customFormat="1" ht="14" x14ac:dyDescent="0.3">
      <c r="A5619" s="2" t="s">
        <v>2812</v>
      </c>
      <c r="B5619" s="2" t="s">
        <v>2812</v>
      </c>
      <c r="C5619" s="2" t="s">
        <v>12</v>
      </c>
      <c r="D5619" s="2" t="s">
        <v>2858</v>
      </c>
      <c r="E5619" s="2" t="s">
        <v>1145</v>
      </c>
      <c r="F5619" s="2" t="s">
        <v>15</v>
      </c>
      <c r="G5619" s="2"/>
      <c r="H5619" s="2"/>
      <c r="I5619" s="2"/>
      <c r="J5619" s="2"/>
    </row>
    <row r="5620" spans="1:10" s="23" customFormat="1" ht="14" x14ac:dyDescent="0.3">
      <c r="A5620" s="2" t="s">
        <v>2812</v>
      </c>
      <c r="B5620" s="2" t="s">
        <v>2812</v>
      </c>
      <c r="C5620" s="2" t="s">
        <v>12</v>
      </c>
      <c r="D5620" s="2" t="s">
        <v>2858</v>
      </c>
      <c r="E5620" s="2" t="s">
        <v>91</v>
      </c>
      <c r="F5620" s="2" t="s">
        <v>19</v>
      </c>
      <c r="G5620" s="2" t="s">
        <v>20</v>
      </c>
      <c r="H5620" s="2" t="s">
        <v>2859</v>
      </c>
      <c r="I5620" s="2"/>
      <c r="J5620" s="2"/>
    </row>
    <row r="5621" spans="1:10" s="23" customFormat="1" ht="14" x14ac:dyDescent="0.3">
      <c r="A5621" s="2" t="s">
        <v>2812</v>
      </c>
      <c r="B5621" s="2" t="s">
        <v>2812</v>
      </c>
      <c r="C5621" s="2" t="s">
        <v>12</v>
      </c>
      <c r="D5621" s="2" t="s">
        <v>2858</v>
      </c>
      <c r="E5621" s="2" t="s">
        <v>615</v>
      </c>
      <c r="F5621" s="2" t="s">
        <v>40</v>
      </c>
      <c r="G5621" s="2"/>
      <c r="H5621" s="2"/>
      <c r="I5621" s="2"/>
      <c r="J5621" s="2"/>
    </row>
    <row r="5622" spans="1:10" s="23" customFormat="1" ht="14" x14ac:dyDescent="0.3">
      <c r="A5622" s="2" t="s">
        <v>2812</v>
      </c>
      <c r="B5622" s="2" t="s">
        <v>2812</v>
      </c>
      <c r="C5622" s="2" t="s">
        <v>12</v>
      </c>
      <c r="D5622" s="2" t="s">
        <v>2858</v>
      </c>
      <c r="E5622" s="2" t="s">
        <v>149</v>
      </c>
      <c r="F5622" s="2" t="s">
        <v>150</v>
      </c>
      <c r="G5622" s="2" t="s">
        <v>20</v>
      </c>
      <c r="H5622" s="2" t="s">
        <v>2859</v>
      </c>
      <c r="I5622" s="2"/>
      <c r="J5622" s="2"/>
    </row>
    <row r="5623" spans="1:10" s="23" customFormat="1" ht="14" x14ac:dyDescent="0.3">
      <c r="A5623" s="2" t="s">
        <v>2812</v>
      </c>
      <c r="B5623" s="2" t="s">
        <v>2812</v>
      </c>
      <c r="C5623" s="2" t="s">
        <v>12</v>
      </c>
      <c r="D5623" s="2" t="s">
        <v>2858</v>
      </c>
      <c r="E5623" s="2" t="s">
        <v>112</v>
      </c>
      <c r="F5623" s="2" t="s">
        <v>113</v>
      </c>
      <c r="G5623" s="2"/>
      <c r="H5623" s="2"/>
      <c r="I5623" s="2"/>
      <c r="J5623" s="2"/>
    </row>
    <row r="5624" spans="1:10" s="23" customFormat="1" ht="14" x14ac:dyDescent="0.3">
      <c r="A5624" s="2" t="s">
        <v>2812</v>
      </c>
      <c r="B5624" s="2" t="s">
        <v>2812</v>
      </c>
      <c r="C5624" s="2" t="s">
        <v>181</v>
      </c>
      <c r="D5624" s="2" t="s">
        <v>2860</v>
      </c>
      <c r="E5624" s="2" t="s">
        <v>14</v>
      </c>
      <c r="F5624" s="2" t="s">
        <v>15</v>
      </c>
      <c r="G5624" s="2"/>
      <c r="H5624" s="2"/>
      <c r="I5624" s="2"/>
      <c r="J5624" s="2"/>
    </row>
    <row r="5625" spans="1:10" s="23" customFormat="1" ht="14" x14ac:dyDescent="0.3">
      <c r="A5625" s="2" t="s">
        <v>2812</v>
      </c>
      <c r="B5625" s="2" t="s">
        <v>2812</v>
      </c>
      <c r="C5625" s="2" t="s">
        <v>181</v>
      </c>
      <c r="D5625" s="2" t="s">
        <v>2860</v>
      </c>
      <c r="E5625" s="2" t="s">
        <v>91</v>
      </c>
      <c r="F5625" s="2" t="s">
        <v>19</v>
      </c>
      <c r="G5625" s="2" t="s">
        <v>20</v>
      </c>
      <c r="H5625" s="9" t="s">
        <v>2861</v>
      </c>
      <c r="I5625" s="2"/>
      <c r="J5625" s="2"/>
    </row>
    <row r="5626" spans="1:10" s="23" customFormat="1" ht="14" x14ac:dyDescent="0.3">
      <c r="A5626" s="2" t="s">
        <v>2812</v>
      </c>
      <c r="B5626" s="2" t="s">
        <v>2812</v>
      </c>
      <c r="C5626" s="2" t="s">
        <v>181</v>
      </c>
      <c r="D5626" s="2" t="s">
        <v>2860</v>
      </c>
      <c r="E5626" s="2" t="s">
        <v>149</v>
      </c>
      <c r="F5626" s="2" t="s">
        <v>150</v>
      </c>
      <c r="G5626" s="2" t="s">
        <v>20</v>
      </c>
      <c r="H5626" s="9" t="s">
        <v>2862</v>
      </c>
      <c r="I5626" s="2"/>
      <c r="J5626" s="2"/>
    </row>
    <row r="5627" spans="1:10" s="23" customFormat="1" ht="14" x14ac:dyDescent="0.3">
      <c r="A5627" s="2" t="s">
        <v>2812</v>
      </c>
      <c r="B5627" s="2" t="s">
        <v>2812</v>
      </c>
      <c r="C5627" s="2" t="s">
        <v>181</v>
      </c>
      <c r="D5627" s="2" t="s">
        <v>2863</v>
      </c>
      <c r="E5627" s="2" t="s">
        <v>77</v>
      </c>
      <c r="F5627" s="2" t="s">
        <v>78</v>
      </c>
      <c r="G5627" s="2" t="s">
        <v>20</v>
      </c>
      <c r="H5627" s="9" t="s">
        <v>2864</v>
      </c>
      <c r="I5627" s="2"/>
      <c r="J5627" s="2"/>
    </row>
    <row r="5628" spans="1:10" s="23" customFormat="1" ht="14" x14ac:dyDescent="0.3">
      <c r="A5628" s="2" t="s">
        <v>2812</v>
      </c>
      <c r="B5628" s="2" t="s">
        <v>2812</v>
      </c>
      <c r="C5628" s="2" t="s">
        <v>181</v>
      </c>
      <c r="D5628" s="2" t="s">
        <v>2863</v>
      </c>
      <c r="E5628" s="2" t="s">
        <v>18</v>
      </c>
      <c r="F5628" s="2" t="s">
        <v>19</v>
      </c>
      <c r="G5628" s="2" t="s">
        <v>20</v>
      </c>
      <c r="H5628" s="9" t="s">
        <v>2865</v>
      </c>
      <c r="I5628" s="2"/>
      <c r="J5628" s="2"/>
    </row>
    <row r="5629" spans="1:10" s="23" customFormat="1" ht="14" x14ac:dyDescent="0.3">
      <c r="A5629" s="2" t="s">
        <v>2812</v>
      </c>
      <c r="B5629" s="2" t="s">
        <v>2812</v>
      </c>
      <c r="C5629" s="2" t="s">
        <v>181</v>
      </c>
      <c r="D5629" s="2" t="s">
        <v>2863</v>
      </c>
      <c r="E5629" s="2" t="s">
        <v>89</v>
      </c>
      <c r="F5629" s="2" t="s">
        <v>45</v>
      </c>
      <c r="G5629" s="2" t="s">
        <v>20</v>
      </c>
      <c r="H5629" s="9" t="s">
        <v>2866</v>
      </c>
      <c r="I5629" s="2"/>
      <c r="J5629" s="2"/>
    </row>
    <row r="5630" spans="1:10" s="23" customFormat="1" ht="14" x14ac:dyDescent="0.3">
      <c r="A5630" s="2" t="s">
        <v>2812</v>
      </c>
      <c r="B5630" s="2" t="s">
        <v>2812</v>
      </c>
      <c r="C5630" s="2" t="s">
        <v>181</v>
      </c>
      <c r="D5630" s="2" t="s">
        <v>2863</v>
      </c>
      <c r="E5630" s="2" t="s">
        <v>230</v>
      </c>
      <c r="F5630" s="2" t="s">
        <v>189</v>
      </c>
      <c r="G5630" s="2"/>
      <c r="H5630" s="9"/>
      <c r="I5630" s="2"/>
      <c r="J5630" s="2"/>
    </row>
    <row r="5631" spans="1:10" s="23" customFormat="1" ht="14" x14ac:dyDescent="0.3">
      <c r="A5631" s="2" t="s">
        <v>2812</v>
      </c>
      <c r="B5631" s="2" t="s">
        <v>2812</v>
      </c>
      <c r="C5631" s="2" t="s">
        <v>181</v>
      </c>
      <c r="D5631" s="2" t="s">
        <v>2867</v>
      </c>
      <c r="E5631" s="2" t="s">
        <v>98</v>
      </c>
      <c r="F5631" s="2" t="s">
        <v>98</v>
      </c>
      <c r="G5631" s="2" t="s">
        <v>20</v>
      </c>
      <c r="H5631" s="9" t="s">
        <v>2868</v>
      </c>
      <c r="I5631" s="2"/>
      <c r="J5631" s="2"/>
    </row>
    <row r="5632" spans="1:10" s="23" customFormat="1" ht="14" x14ac:dyDescent="0.3">
      <c r="A5632" s="2" t="s">
        <v>2812</v>
      </c>
      <c r="B5632" s="2" t="s">
        <v>2812</v>
      </c>
      <c r="C5632" s="2" t="s">
        <v>181</v>
      </c>
      <c r="D5632" s="2" t="s">
        <v>2867</v>
      </c>
      <c r="E5632" s="2" t="s">
        <v>18</v>
      </c>
      <c r="F5632" s="2" t="s">
        <v>19</v>
      </c>
      <c r="G5632" s="2" t="s">
        <v>20</v>
      </c>
      <c r="H5632" s="9" t="s">
        <v>2868</v>
      </c>
      <c r="I5632" s="2"/>
      <c r="J5632" s="2"/>
    </row>
    <row r="5633" spans="1:10" s="23" customFormat="1" ht="14" x14ac:dyDescent="0.3">
      <c r="A5633" s="2" t="s">
        <v>2812</v>
      </c>
      <c r="B5633" s="2" t="s">
        <v>2812</v>
      </c>
      <c r="C5633" s="2" t="s">
        <v>181</v>
      </c>
      <c r="D5633" s="2" t="s">
        <v>2869</v>
      </c>
      <c r="E5633" s="2" t="s">
        <v>188</v>
      </c>
      <c r="F5633" s="2" t="s">
        <v>189</v>
      </c>
      <c r="G5633" s="2" t="s">
        <v>20</v>
      </c>
      <c r="H5633" s="9" t="s">
        <v>2870</v>
      </c>
      <c r="I5633" s="2"/>
      <c r="J5633" s="2"/>
    </row>
    <row r="5634" spans="1:10" s="23" customFormat="1" ht="14" x14ac:dyDescent="0.3">
      <c r="A5634" s="2" t="s">
        <v>2812</v>
      </c>
      <c r="B5634" s="2" t="s">
        <v>2812</v>
      </c>
      <c r="C5634" s="2" t="s">
        <v>181</v>
      </c>
      <c r="D5634" s="2" t="s">
        <v>2871</v>
      </c>
      <c r="E5634" s="2" t="s">
        <v>38</v>
      </c>
      <c r="F5634" s="2" t="s">
        <v>38</v>
      </c>
      <c r="G5634" s="2"/>
      <c r="H5634" s="2"/>
      <c r="I5634" s="2"/>
      <c r="J5634" s="2"/>
    </row>
    <row r="5635" spans="1:10" s="23" customFormat="1" ht="14" x14ac:dyDescent="0.3">
      <c r="A5635" s="2" t="s">
        <v>2812</v>
      </c>
      <c r="B5635" s="2" t="s">
        <v>2812</v>
      </c>
      <c r="C5635" s="2" t="s">
        <v>181</v>
      </c>
      <c r="D5635" s="2" t="s">
        <v>2871</v>
      </c>
      <c r="E5635" s="2" t="s">
        <v>42</v>
      </c>
      <c r="F5635" s="2" t="s">
        <v>2872</v>
      </c>
      <c r="G5635" s="2"/>
      <c r="H5635" s="2"/>
      <c r="I5635" s="2"/>
      <c r="J5635" s="2"/>
    </row>
    <row r="5636" spans="1:10" s="23" customFormat="1" ht="14" x14ac:dyDescent="0.3">
      <c r="A5636" s="2" t="s">
        <v>2812</v>
      </c>
      <c r="B5636" s="2" t="s">
        <v>2812</v>
      </c>
      <c r="C5636" s="2" t="s">
        <v>12</v>
      </c>
      <c r="D5636" s="2" t="s">
        <v>2873</v>
      </c>
      <c r="E5636" s="2" t="s">
        <v>38</v>
      </c>
      <c r="F5636" s="2" t="s">
        <v>38</v>
      </c>
      <c r="G5636" s="2" t="s">
        <v>20</v>
      </c>
      <c r="H5636" s="2" t="s">
        <v>2874</v>
      </c>
      <c r="I5636" s="2"/>
      <c r="J5636" s="2"/>
    </row>
  </sheetData>
  <autoFilter ref="A1:J5636" xr:uid="{00000000-0009-0000-0000-000000000000}"/>
  <pageMargins left="0.7" right="0.7" top="0.75" bottom="0.75" header="0.3" footer="0.3"/>
  <pageSetup paperSize="9"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08"/>
  <sheetViews>
    <sheetView workbookViewId="0">
      <selection activeCell="B8" sqref="B8"/>
    </sheetView>
  </sheetViews>
  <sheetFormatPr defaultRowHeight="14.5" x14ac:dyDescent="0.35"/>
  <cols>
    <col min="1" max="1" width="27.1796875" customWidth="1"/>
    <col min="2" max="2" width="33.81640625" customWidth="1"/>
    <col min="3" max="3" width="21.26953125" customWidth="1"/>
    <col min="4" max="4" width="44.1796875" customWidth="1"/>
    <col min="5" max="5" width="41.1796875" customWidth="1"/>
    <col min="6" max="6" width="113.453125" customWidth="1"/>
  </cols>
  <sheetData>
    <row r="1" spans="1:6" ht="34.5" customHeight="1" x14ac:dyDescent="0.35">
      <c r="A1" s="26" t="s">
        <v>2875</v>
      </c>
      <c r="B1" s="26"/>
      <c r="C1" s="26"/>
      <c r="D1" s="26"/>
      <c r="E1" s="26"/>
      <c r="F1" s="25" t="s">
        <v>2876</v>
      </c>
    </row>
    <row r="2" spans="1:6" x14ac:dyDescent="0.35">
      <c r="A2" s="5" t="s">
        <v>2877</v>
      </c>
      <c r="B2" s="5"/>
      <c r="C2" s="5"/>
      <c r="D2" s="5"/>
      <c r="E2" s="5"/>
      <c r="F2" s="6"/>
    </row>
    <row r="3" spans="1:6" x14ac:dyDescent="0.35">
      <c r="A3" s="5"/>
      <c r="B3" s="5" t="s">
        <v>2878</v>
      </c>
      <c r="C3" s="5"/>
      <c r="D3" s="5"/>
      <c r="E3" s="5"/>
      <c r="F3" s="7" t="s">
        <v>2879</v>
      </c>
    </row>
    <row r="4" spans="1:6" x14ac:dyDescent="0.35">
      <c r="A4" s="5"/>
      <c r="B4" s="5" t="s">
        <v>2880</v>
      </c>
      <c r="C4" s="5"/>
      <c r="D4" s="5"/>
      <c r="E4" s="5"/>
      <c r="F4" s="7" t="s">
        <v>2881</v>
      </c>
    </row>
    <row r="5" spans="1:6" x14ac:dyDescent="0.35">
      <c r="A5" s="5"/>
      <c r="B5" s="5" t="s">
        <v>2882</v>
      </c>
      <c r="C5" s="5"/>
      <c r="D5" s="5"/>
      <c r="E5" s="5"/>
      <c r="F5" s="7" t="s">
        <v>2883</v>
      </c>
    </row>
    <row r="6" spans="1:6" x14ac:dyDescent="0.35">
      <c r="A6" s="5" t="s">
        <v>2884</v>
      </c>
      <c r="B6" s="5" t="s">
        <v>2885</v>
      </c>
      <c r="C6" s="5"/>
      <c r="D6" s="5"/>
      <c r="E6" s="5"/>
      <c r="F6" s="7" t="s">
        <v>2886</v>
      </c>
    </row>
    <row r="7" spans="1:6" x14ac:dyDescent="0.35">
      <c r="A7" s="5"/>
      <c r="B7" s="5" t="s">
        <v>2887</v>
      </c>
      <c r="C7" s="5"/>
      <c r="D7" s="8"/>
      <c r="E7" s="8"/>
      <c r="F7" s="9" t="s">
        <v>2888</v>
      </c>
    </row>
    <row r="8" spans="1:6" s="21" customFormat="1" x14ac:dyDescent="0.35">
      <c r="A8" s="5"/>
      <c r="B8" s="5" t="s">
        <v>2889</v>
      </c>
      <c r="C8" s="5"/>
      <c r="D8" s="8"/>
      <c r="E8" s="8"/>
      <c r="F8" s="7" t="s">
        <v>2883</v>
      </c>
    </row>
    <row r="9" spans="1:6" s="21" customFormat="1" x14ac:dyDescent="0.35">
      <c r="A9" s="5"/>
      <c r="B9" s="5" t="s">
        <v>2890</v>
      </c>
      <c r="C9" s="5"/>
      <c r="D9" s="8"/>
      <c r="E9" s="8"/>
      <c r="F9" s="7" t="s">
        <v>2883</v>
      </c>
    </row>
    <row r="10" spans="1:6" x14ac:dyDescent="0.35">
      <c r="A10" s="5"/>
      <c r="B10" s="5" t="s">
        <v>197</v>
      </c>
      <c r="C10" s="5"/>
      <c r="D10" s="8"/>
      <c r="E10" s="8"/>
      <c r="F10" s="9" t="s">
        <v>2891</v>
      </c>
    </row>
    <row r="11" spans="1:6" x14ac:dyDescent="0.35">
      <c r="A11" s="5"/>
      <c r="B11" s="5" t="s">
        <v>2892</v>
      </c>
      <c r="C11" s="5"/>
      <c r="D11" s="8"/>
      <c r="E11" s="8"/>
      <c r="F11" s="9" t="s">
        <v>2893</v>
      </c>
    </row>
    <row r="12" spans="1:6" x14ac:dyDescent="0.35">
      <c r="A12" s="5"/>
      <c r="B12" s="5" t="s">
        <v>101</v>
      </c>
      <c r="C12" s="5"/>
      <c r="D12" s="8"/>
      <c r="E12" s="8"/>
      <c r="F12" s="10" t="s">
        <v>2894</v>
      </c>
    </row>
    <row r="13" spans="1:6" x14ac:dyDescent="0.35">
      <c r="A13" s="5"/>
      <c r="B13" s="5" t="s">
        <v>2895</v>
      </c>
      <c r="C13" s="5"/>
      <c r="D13" s="8"/>
      <c r="E13" s="8"/>
      <c r="F13" s="7" t="s">
        <v>2883</v>
      </c>
    </row>
    <row r="14" spans="1:6" x14ac:dyDescent="0.35">
      <c r="A14" s="5"/>
      <c r="B14" s="5" t="s">
        <v>2896</v>
      </c>
      <c r="C14" s="5"/>
      <c r="D14" s="8"/>
      <c r="E14" s="8"/>
      <c r="F14" s="10" t="s">
        <v>2897</v>
      </c>
    </row>
    <row r="15" spans="1:6" x14ac:dyDescent="0.35">
      <c r="A15" s="5" t="s">
        <v>2898</v>
      </c>
      <c r="B15" s="5"/>
      <c r="C15" s="5"/>
      <c r="D15" s="8"/>
      <c r="E15" s="8"/>
      <c r="F15" s="9"/>
    </row>
    <row r="16" spans="1:6" x14ac:dyDescent="0.35">
      <c r="A16" s="5"/>
      <c r="B16" s="5" t="s">
        <v>2899</v>
      </c>
      <c r="C16" s="5"/>
      <c r="D16" s="8"/>
      <c r="E16" s="8"/>
      <c r="F16" s="11" t="s">
        <v>2900</v>
      </c>
    </row>
    <row r="17" spans="1:6" x14ac:dyDescent="0.35">
      <c r="A17" s="5"/>
      <c r="B17" s="5" t="s">
        <v>36</v>
      </c>
      <c r="C17" s="5"/>
      <c r="D17" s="8"/>
      <c r="E17" s="8"/>
      <c r="F17" s="11" t="s">
        <v>2901</v>
      </c>
    </row>
    <row r="18" spans="1:6" x14ac:dyDescent="0.35">
      <c r="A18" s="5"/>
      <c r="B18" s="5" t="s">
        <v>34</v>
      </c>
      <c r="C18" s="5"/>
      <c r="D18" s="8"/>
      <c r="E18" s="8"/>
      <c r="F18" s="11" t="s">
        <v>2902</v>
      </c>
    </row>
    <row r="19" spans="1:6" x14ac:dyDescent="0.35">
      <c r="A19" s="5"/>
      <c r="B19" s="5" t="s">
        <v>2903</v>
      </c>
      <c r="C19" s="5"/>
      <c r="D19" s="8"/>
      <c r="E19" s="8"/>
      <c r="F19" s="11" t="s">
        <v>2904</v>
      </c>
    </row>
    <row r="20" spans="1:6" x14ac:dyDescent="0.35">
      <c r="A20" s="5"/>
      <c r="B20" s="5" t="s">
        <v>2905</v>
      </c>
      <c r="C20" s="5"/>
      <c r="D20" s="8"/>
      <c r="E20" s="8"/>
      <c r="F20" s="11" t="s">
        <v>2906</v>
      </c>
    </row>
    <row r="21" spans="1:6" x14ac:dyDescent="0.35">
      <c r="A21" s="5"/>
      <c r="B21" s="5" t="s">
        <v>2907</v>
      </c>
      <c r="C21" s="5"/>
      <c r="D21" s="8"/>
      <c r="E21" s="8"/>
      <c r="F21" s="11" t="s">
        <v>2908</v>
      </c>
    </row>
    <row r="22" spans="1:6" x14ac:dyDescent="0.35">
      <c r="A22" s="5"/>
      <c r="B22" s="5" t="s">
        <v>2909</v>
      </c>
      <c r="C22" s="5"/>
      <c r="D22" s="8"/>
      <c r="E22" s="8"/>
      <c r="F22" s="11" t="s">
        <v>2910</v>
      </c>
    </row>
    <row r="23" spans="1:6" x14ac:dyDescent="0.35">
      <c r="A23" s="5"/>
      <c r="B23" s="5" t="s">
        <v>2911</v>
      </c>
      <c r="C23" s="5"/>
      <c r="D23" s="8"/>
      <c r="E23" s="8"/>
      <c r="F23" s="11" t="s">
        <v>2912</v>
      </c>
    </row>
    <row r="24" spans="1:6" x14ac:dyDescent="0.35">
      <c r="A24" s="5"/>
      <c r="B24" s="5" t="s">
        <v>2913</v>
      </c>
      <c r="C24" s="5"/>
      <c r="D24" s="8"/>
      <c r="E24" s="8"/>
      <c r="F24" s="11" t="s">
        <v>2914</v>
      </c>
    </row>
    <row r="25" spans="1:6" x14ac:dyDescent="0.35">
      <c r="A25" s="5" t="s">
        <v>2915</v>
      </c>
      <c r="B25" s="5"/>
      <c r="C25" s="5"/>
      <c r="D25" s="8"/>
      <c r="E25" s="8"/>
      <c r="F25" s="9"/>
    </row>
    <row r="26" spans="1:6" x14ac:dyDescent="0.35">
      <c r="A26" s="5"/>
      <c r="B26" s="5" t="s">
        <v>30</v>
      </c>
      <c r="C26" s="5"/>
      <c r="D26" s="8"/>
      <c r="E26" s="8"/>
      <c r="F26" s="9" t="s">
        <v>2916</v>
      </c>
    </row>
    <row r="27" spans="1:6" x14ac:dyDescent="0.35">
      <c r="A27" s="5"/>
      <c r="B27" s="5" t="s">
        <v>2917</v>
      </c>
      <c r="C27" s="5"/>
      <c r="D27" s="8"/>
      <c r="E27" s="8"/>
      <c r="F27" s="9"/>
    </row>
    <row r="28" spans="1:6" x14ac:dyDescent="0.35">
      <c r="A28" s="5"/>
      <c r="B28" s="5"/>
      <c r="C28" s="5" t="s">
        <v>2918</v>
      </c>
      <c r="D28" s="5"/>
      <c r="E28" s="5"/>
      <c r="F28" s="7"/>
    </row>
    <row r="29" spans="1:6" x14ac:dyDescent="0.35">
      <c r="A29" s="5"/>
      <c r="B29" s="5"/>
      <c r="C29" s="5"/>
      <c r="D29" s="5" t="s">
        <v>228</v>
      </c>
      <c r="E29" s="5"/>
      <c r="F29" s="7" t="s">
        <v>2919</v>
      </c>
    </row>
    <row r="30" spans="1:6" x14ac:dyDescent="0.35">
      <c r="A30" s="5"/>
      <c r="B30" s="5"/>
      <c r="C30" s="5"/>
      <c r="D30" s="5" t="s">
        <v>1343</v>
      </c>
      <c r="E30" s="5"/>
      <c r="F30" s="7" t="s">
        <v>2920</v>
      </c>
    </row>
    <row r="31" spans="1:6" x14ac:dyDescent="0.35">
      <c r="A31" s="5"/>
      <c r="B31" s="5"/>
      <c r="C31" s="5"/>
      <c r="D31" s="12" t="s">
        <v>663</v>
      </c>
      <c r="E31" s="5"/>
      <c r="F31" s="7" t="s">
        <v>2921</v>
      </c>
    </row>
    <row r="32" spans="1:6" x14ac:dyDescent="0.35">
      <c r="A32" s="5"/>
      <c r="B32" s="5"/>
      <c r="C32" s="5"/>
      <c r="D32" s="5"/>
      <c r="E32" s="5" t="s">
        <v>1486</v>
      </c>
      <c r="F32" s="7" t="s">
        <v>2922</v>
      </c>
    </row>
    <row r="33" spans="1:6" x14ac:dyDescent="0.35">
      <c r="A33" s="5"/>
      <c r="B33" s="5"/>
      <c r="C33" s="5"/>
      <c r="D33" s="5"/>
      <c r="E33" s="5" t="s">
        <v>332</v>
      </c>
      <c r="F33" s="7" t="s">
        <v>2923</v>
      </c>
    </row>
    <row r="34" spans="1:6" x14ac:dyDescent="0.35">
      <c r="A34" s="5"/>
      <c r="B34" s="5"/>
      <c r="C34" s="5"/>
      <c r="D34" s="5"/>
      <c r="E34" s="5" t="s">
        <v>330</v>
      </c>
      <c r="F34" s="7" t="s">
        <v>2924</v>
      </c>
    </row>
    <row r="35" spans="1:6" x14ac:dyDescent="0.35">
      <c r="A35" s="5"/>
      <c r="B35" s="5"/>
      <c r="C35" s="5"/>
      <c r="D35" s="5"/>
      <c r="E35" s="5" t="s">
        <v>246</v>
      </c>
      <c r="F35" s="7" t="s">
        <v>2925</v>
      </c>
    </row>
    <row r="36" spans="1:6" x14ac:dyDescent="0.35">
      <c r="A36" s="5"/>
      <c r="B36" s="5"/>
      <c r="C36" s="5"/>
      <c r="D36" s="5"/>
      <c r="E36" s="5" t="s">
        <v>1413</v>
      </c>
      <c r="F36" s="7" t="s">
        <v>2926</v>
      </c>
    </row>
    <row r="37" spans="1:6" x14ac:dyDescent="0.35">
      <c r="A37" s="5"/>
      <c r="B37" s="5"/>
      <c r="C37" s="5"/>
      <c r="D37" s="5"/>
      <c r="E37" s="5" t="s">
        <v>334</v>
      </c>
      <c r="F37" s="7" t="s">
        <v>2927</v>
      </c>
    </row>
    <row r="38" spans="1:6" x14ac:dyDescent="0.35">
      <c r="A38" s="5"/>
      <c r="B38" s="5"/>
      <c r="C38" s="5"/>
      <c r="D38" s="5"/>
      <c r="E38" s="5" t="s">
        <v>321</v>
      </c>
      <c r="F38" s="7" t="s">
        <v>2928</v>
      </c>
    </row>
    <row r="39" spans="1:6" x14ac:dyDescent="0.35">
      <c r="A39" s="5"/>
      <c r="B39" s="5"/>
      <c r="C39" s="5"/>
      <c r="D39" s="5"/>
      <c r="E39" s="5" t="s">
        <v>338</v>
      </c>
      <c r="F39" s="7" t="s">
        <v>2929</v>
      </c>
    </row>
    <row r="40" spans="1:6" x14ac:dyDescent="0.35">
      <c r="A40" s="5"/>
      <c r="B40" s="5"/>
      <c r="C40" s="5"/>
      <c r="D40" s="5"/>
      <c r="E40" s="5" t="s">
        <v>336</v>
      </c>
      <c r="F40" s="7" t="s">
        <v>2930</v>
      </c>
    </row>
    <row r="41" spans="1:6" x14ac:dyDescent="0.35">
      <c r="A41" s="5"/>
      <c r="B41" s="5"/>
      <c r="C41" s="5" t="s">
        <v>2931</v>
      </c>
      <c r="D41" s="5"/>
      <c r="E41" s="5"/>
      <c r="F41" s="7"/>
    </row>
    <row r="42" spans="1:6" x14ac:dyDescent="0.35">
      <c r="A42" s="5"/>
      <c r="B42" s="5"/>
      <c r="C42" s="5"/>
      <c r="D42" s="5" t="s">
        <v>107</v>
      </c>
      <c r="E42" s="5"/>
      <c r="F42" s="7" t="s">
        <v>2932</v>
      </c>
    </row>
    <row r="43" spans="1:6" x14ac:dyDescent="0.35">
      <c r="A43" s="5"/>
      <c r="B43" s="5"/>
      <c r="C43" s="5"/>
      <c r="D43" s="5" t="s">
        <v>2933</v>
      </c>
      <c r="E43" s="5"/>
      <c r="F43" s="7" t="s">
        <v>2934</v>
      </c>
    </row>
    <row r="44" spans="1:6" x14ac:dyDescent="0.35">
      <c r="A44" s="5"/>
      <c r="B44" s="5"/>
      <c r="C44" s="5"/>
      <c r="D44" s="5"/>
      <c r="E44" s="5" t="s">
        <v>340</v>
      </c>
      <c r="F44" s="7" t="s">
        <v>2935</v>
      </c>
    </row>
    <row r="45" spans="1:6" x14ac:dyDescent="0.35">
      <c r="A45" s="5"/>
      <c r="B45" s="5"/>
      <c r="C45" s="5"/>
      <c r="D45" s="5"/>
      <c r="E45" s="5" t="s">
        <v>342</v>
      </c>
      <c r="F45" s="7" t="s">
        <v>2936</v>
      </c>
    </row>
    <row r="46" spans="1:6" x14ac:dyDescent="0.35">
      <c r="A46" s="5"/>
      <c r="B46" s="5"/>
      <c r="C46" s="5"/>
      <c r="D46" s="5"/>
      <c r="E46" s="5" t="s">
        <v>346</v>
      </c>
      <c r="F46" s="7" t="s">
        <v>2937</v>
      </c>
    </row>
    <row r="47" spans="1:6" x14ac:dyDescent="0.35">
      <c r="A47" s="5"/>
      <c r="B47" s="5"/>
      <c r="C47" s="5"/>
      <c r="D47" s="5"/>
      <c r="E47" s="5" t="s">
        <v>344</v>
      </c>
      <c r="F47" s="7" t="s">
        <v>2938</v>
      </c>
    </row>
    <row r="48" spans="1:6" x14ac:dyDescent="0.35">
      <c r="A48" s="5"/>
      <c r="B48" s="5"/>
      <c r="C48" s="5"/>
      <c r="D48" s="5" t="s">
        <v>318</v>
      </c>
      <c r="E48" s="5"/>
      <c r="F48" s="7" t="s">
        <v>2939</v>
      </c>
    </row>
    <row r="49" spans="1:6" x14ac:dyDescent="0.35">
      <c r="A49" s="5"/>
      <c r="B49" s="5"/>
      <c r="C49" s="5"/>
      <c r="D49" s="5" t="s">
        <v>958</v>
      </c>
      <c r="E49" s="5"/>
      <c r="F49" s="7" t="s">
        <v>2940</v>
      </c>
    </row>
    <row r="50" spans="1:6" x14ac:dyDescent="0.35">
      <c r="A50" s="5"/>
      <c r="B50" s="5"/>
      <c r="C50" s="5"/>
      <c r="D50" s="5" t="s">
        <v>2941</v>
      </c>
      <c r="E50" s="5"/>
      <c r="F50" s="7" t="s">
        <v>2942</v>
      </c>
    </row>
    <row r="51" spans="1:6" x14ac:dyDescent="0.35">
      <c r="A51" s="5"/>
      <c r="B51" s="5"/>
      <c r="C51" s="5"/>
      <c r="D51" s="5" t="s">
        <v>424</v>
      </c>
      <c r="E51" s="5"/>
      <c r="F51" s="7" t="s">
        <v>2942</v>
      </c>
    </row>
    <row r="52" spans="1:6" x14ac:dyDescent="0.35">
      <c r="A52" s="5"/>
      <c r="B52" s="5"/>
      <c r="C52" s="5"/>
      <c r="D52" s="5" t="s">
        <v>139</v>
      </c>
      <c r="E52" s="5"/>
      <c r="F52" s="7" t="s">
        <v>2942</v>
      </c>
    </row>
    <row r="53" spans="1:6" x14ac:dyDescent="0.35">
      <c r="A53" s="5"/>
      <c r="B53" s="5"/>
      <c r="C53" s="5"/>
      <c r="D53" s="12" t="s">
        <v>1253</v>
      </c>
      <c r="E53" s="5"/>
      <c r="F53" s="7" t="s">
        <v>2943</v>
      </c>
    </row>
    <row r="54" spans="1:6" x14ac:dyDescent="0.35">
      <c r="A54" s="5"/>
      <c r="B54" s="5"/>
      <c r="C54" s="5"/>
      <c r="D54" s="5" t="s">
        <v>1334</v>
      </c>
      <c r="E54" s="5"/>
      <c r="F54" s="7" t="s">
        <v>2944</v>
      </c>
    </row>
    <row r="55" spans="1:6" x14ac:dyDescent="0.35">
      <c r="A55" s="5"/>
      <c r="B55" s="5"/>
      <c r="C55" s="5"/>
      <c r="D55" s="5" t="s">
        <v>1377</v>
      </c>
      <c r="E55" s="5"/>
      <c r="F55" s="7" t="s">
        <v>2945</v>
      </c>
    </row>
    <row r="56" spans="1:6" x14ac:dyDescent="0.35">
      <c r="A56" s="5"/>
      <c r="B56" s="5"/>
      <c r="C56" s="5"/>
      <c r="D56" s="5" t="s">
        <v>367</v>
      </c>
      <c r="E56" s="5"/>
      <c r="F56" s="7" t="s">
        <v>2946</v>
      </c>
    </row>
    <row r="57" spans="1:6" x14ac:dyDescent="0.35">
      <c r="A57" s="5"/>
      <c r="B57" s="5"/>
      <c r="C57" s="5"/>
      <c r="D57" s="5" t="s">
        <v>1416</v>
      </c>
      <c r="E57" s="5"/>
      <c r="F57" s="13" t="s">
        <v>2947</v>
      </c>
    </row>
    <row r="58" spans="1:6" x14ac:dyDescent="0.35">
      <c r="A58" s="5"/>
      <c r="B58" s="5"/>
      <c r="C58" s="5"/>
      <c r="D58" s="5" t="s">
        <v>1458</v>
      </c>
      <c r="E58" s="5"/>
      <c r="F58" s="13" t="s">
        <v>2948</v>
      </c>
    </row>
    <row r="59" spans="1:6" x14ac:dyDescent="0.35">
      <c r="A59" s="5"/>
      <c r="B59" s="5"/>
      <c r="C59" s="5" t="s">
        <v>320</v>
      </c>
      <c r="D59" s="5"/>
      <c r="E59" s="5"/>
      <c r="F59" s="7" t="s">
        <v>2949</v>
      </c>
    </row>
    <row r="60" spans="1:6" x14ac:dyDescent="0.35">
      <c r="A60" s="5"/>
      <c r="B60" s="5"/>
      <c r="C60" s="5" t="s">
        <v>2950</v>
      </c>
      <c r="D60" s="5"/>
      <c r="E60" s="5"/>
      <c r="F60" s="7" t="s">
        <v>2951</v>
      </c>
    </row>
    <row r="61" spans="1:6" x14ac:dyDescent="0.35">
      <c r="A61" s="5"/>
      <c r="B61" s="5" t="s">
        <v>2952</v>
      </c>
      <c r="C61" s="5"/>
      <c r="D61" s="5"/>
      <c r="E61" s="5"/>
      <c r="F61" s="7"/>
    </row>
    <row r="62" spans="1:6" x14ac:dyDescent="0.35">
      <c r="A62" s="5"/>
      <c r="B62" s="5"/>
      <c r="C62" s="5" t="s">
        <v>32</v>
      </c>
      <c r="D62" s="5"/>
      <c r="E62" s="5"/>
      <c r="F62" s="7" t="s">
        <v>2953</v>
      </c>
    </row>
    <row r="63" spans="1:6" x14ac:dyDescent="0.35">
      <c r="A63" s="5"/>
      <c r="B63" s="5"/>
      <c r="C63" s="5" t="s">
        <v>65</v>
      </c>
      <c r="D63" s="5"/>
      <c r="E63" s="5"/>
      <c r="F63" s="7" t="s">
        <v>2954</v>
      </c>
    </row>
    <row r="64" spans="1:6" x14ac:dyDescent="0.35">
      <c r="A64" s="5"/>
      <c r="B64" s="5"/>
      <c r="C64" s="5" t="s">
        <v>277</v>
      </c>
      <c r="D64" s="5"/>
      <c r="E64" s="5"/>
      <c r="F64" s="7" t="s">
        <v>2955</v>
      </c>
    </row>
    <row r="65" spans="1:6" x14ac:dyDescent="0.35">
      <c r="A65" s="5"/>
      <c r="B65" s="5"/>
      <c r="C65" s="5" t="s">
        <v>203</v>
      </c>
      <c r="D65" s="5"/>
      <c r="E65" s="5"/>
      <c r="F65" s="7" t="s">
        <v>2956</v>
      </c>
    </row>
    <row r="66" spans="1:6" x14ac:dyDescent="0.35">
      <c r="A66" s="5"/>
      <c r="B66" s="5"/>
      <c r="C66" s="5" t="s">
        <v>201</v>
      </c>
      <c r="D66" s="5"/>
      <c r="E66" s="5"/>
      <c r="F66" s="7" t="s">
        <v>2957</v>
      </c>
    </row>
    <row r="67" spans="1:6" x14ac:dyDescent="0.35">
      <c r="A67" s="5"/>
      <c r="B67" s="5"/>
      <c r="C67" s="5" t="s">
        <v>955</v>
      </c>
      <c r="D67" s="5"/>
      <c r="E67" s="5"/>
      <c r="F67" s="7" t="s">
        <v>2958</v>
      </c>
    </row>
    <row r="68" spans="1:6" x14ac:dyDescent="0.35">
      <c r="A68" s="5"/>
      <c r="B68" s="5" t="s">
        <v>2959</v>
      </c>
      <c r="C68" s="5"/>
      <c r="D68" s="5"/>
      <c r="E68" s="5"/>
      <c r="F68" s="7"/>
    </row>
    <row r="69" spans="1:6" x14ac:dyDescent="0.35">
      <c r="A69" s="5"/>
      <c r="B69" s="5"/>
      <c r="C69" s="5" t="s">
        <v>2960</v>
      </c>
      <c r="D69" s="5"/>
      <c r="E69" s="5"/>
      <c r="F69" s="7" t="s">
        <v>2961</v>
      </c>
    </row>
    <row r="70" spans="1:6" x14ac:dyDescent="0.35">
      <c r="A70" s="5"/>
      <c r="B70" s="5"/>
      <c r="C70" s="5" t="s">
        <v>270</v>
      </c>
      <c r="D70" s="5"/>
      <c r="E70" s="5"/>
      <c r="F70" s="7" t="s">
        <v>2962</v>
      </c>
    </row>
    <row r="71" spans="1:6" x14ac:dyDescent="0.35">
      <c r="A71" s="5"/>
      <c r="B71" s="5"/>
      <c r="C71" s="5" t="s">
        <v>38</v>
      </c>
      <c r="D71" s="5"/>
      <c r="E71" s="5"/>
      <c r="F71" s="7" t="s">
        <v>2963</v>
      </c>
    </row>
    <row r="72" spans="1:6" x14ac:dyDescent="0.35">
      <c r="A72" s="5"/>
      <c r="B72" s="5"/>
      <c r="C72" s="5" t="s">
        <v>122</v>
      </c>
      <c r="D72" s="5"/>
      <c r="E72" s="5"/>
      <c r="F72" s="7" t="s">
        <v>2964</v>
      </c>
    </row>
    <row r="73" spans="1:6" x14ac:dyDescent="0.35">
      <c r="A73" s="5"/>
      <c r="B73" s="5"/>
      <c r="C73" s="5" t="s">
        <v>2965</v>
      </c>
      <c r="D73" s="5"/>
      <c r="E73" s="5"/>
      <c r="F73" s="7" t="s">
        <v>2966</v>
      </c>
    </row>
    <row r="74" spans="1:6" x14ac:dyDescent="0.35">
      <c r="A74" s="5"/>
      <c r="B74" s="5"/>
      <c r="C74" s="5" t="s">
        <v>52</v>
      </c>
      <c r="D74" s="5"/>
      <c r="E74" s="5"/>
      <c r="F74" s="7" t="s">
        <v>2967</v>
      </c>
    </row>
    <row r="75" spans="1:6" x14ac:dyDescent="0.35">
      <c r="A75" s="5"/>
      <c r="B75" s="5"/>
      <c r="C75" s="5" t="s">
        <v>98</v>
      </c>
      <c r="D75" s="5"/>
      <c r="E75" s="5"/>
      <c r="F75" s="7" t="s">
        <v>2968</v>
      </c>
    </row>
    <row r="76" spans="1:6" x14ac:dyDescent="0.35">
      <c r="A76" s="5"/>
      <c r="B76" s="5"/>
      <c r="C76" s="5" t="s">
        <v>85</v>
      </c>
      <c r="D76" s="5"/>
      <c r="E76" s="5"/>
      <c r="F76" s="7" t="s">
        <v>2969</v>
      </c>
    </row>
    <row r="77" spans="1:6" x14ac:dyDescent="0.35">
      <c r="A77" s="5"/>
      <c r="B77" s="5" t="s">
        <v>2970</v>
      </c>
      <c r="C77" s="5"/>
      <c r="D77" s="5"/>
      <c r="E77" s="5"/>
      <c r="F77" s="7" t="s">
        <v>2971</v>
      </c>
    </row>
    <row r="78" spans="1:6" x14ac:dyDescent="0.35">
      <c r="A78" s="5"/>
      <c r="B78" s="5" t="s">
        <v>2972</v>
      </c>
      <c r="C78" s="5"/>
      <c r="D78" s="5"/>
      <c r="E78" s="5"/>
      <c r="F78" s="7"/>
    </row>
    <row r="79" spans="1:6" x14ac:dyDescent="0.35">
      <c r="A79" s="5"/>
      <c r="B79" s="5"/>
      <c r="C79" s="5" t="s">
        <v>19</v>
      </c>
      <c r="D79" s="5"/>
      <c r="E79" s="5"/>
      <c r="F79" s="7" t="s">
        <v>2973</v>
      </c>
    </row>
    <row r="80" spans="1:6" x14ac:dyDescent="0.35">
      <c r="A80" s="5"/>
      <c r="B80" s="5"/>
      <c r="C80" s="5" t="s">
        <v>533</v>
      </c>
      <c r="D80" s="5"/>
      <c r="E80" s="5"/>
      <c r="F80" s="7" t="s">
        <v>2974</v>
      </c>
    </row>
    <row r="81" spans="1:6" x14ac:dyDescent="0.35">
      <c r="A81" s="5"/>
      <c r="B81" s="5"/>
      <c r="C81" s="5" t="s">
        <v>75</v>
      </c>
      <c r="D81" s="5"/>
      <c r="E81" s="5"/>
      <c r="F81" s="7" t="s">
        <v>2975</v>
      </c>
    </row>
    <row r="82" spans="1:6" x14ac:dyDescent="0.35">
      <c r="A82" s="5"/>
      <c r="B82" s="5"/>
      <c r="C82" s="5" t="s">
        <v>50</v>
      </c>
      <c r="D82" s="5"/>
      <c r="E82" s="5"/>
      <c r="F82" s="7" t="s">
        <v>2976</v>
      </c>
    </row>
    <row r="83" spans="1:6" x14ac:dyDescent="0.35">
      <c r="A83" s="5"/>
      <c r="B83" s="5"/>
      <c r="C83" s="5" t="s">
        <v>28</v>
      </c>
      <c r="D83" s="5"/>
      <c r="E83" s="5"/>
      <c r="F83" s="7" t="s">
        <v>2977</v>
      </c>
    </row>
    <row r="84" spans="1:6" x14ac:dyDescent="0.35">
      <c r="A84" s="5"/>
      <c r="B84" s="5"/>
      <c r="C84" s="5" t="s">
        <v>150</v>
      </c>
      <c r="D84" s="5"/>
      <c r="E84" s="5"/>
      <c r="F84" s="7" t="s">
        <v>2978</v>
      </c>
    </row>
    <row r="85" spans="1:6" x14ac:dyDescent="0.35">
      <c r="A85" s="5"/>
      <c r="B85" s="5"/>
      <c r="C85" s="5" t="s">
        <v>78</v>
      </c>
      <c r="D85" s="5"/>
      <c r="E85" s="5"/>
      <c r="F85" s="7" t="s">
        <v>2979</v>
      </c>
    </row>
    <row r="86" spans="1:6" x14ac:dyDescent="0.35">
      <c r="A86" s="5"/>
      <c r="B86" s="5"/>
      <c r="C86" s="5" t="s">
        <v>45</v>
      </c>
      <c r="D86" s="5"/>
      <c r="E86" s="5"/>
      <c r="F86" s="7" t="s">
        <v>2980</v>
      </c>
    </row>
    <row r="87" spans="1:6" x14ac:dyDescent="0.35">
      <c r="A87" s="5"/>
      <c r="B87" s="5" t="s">
        <v>2981</v>
      </c>
      <c r="C87" s="5"/>
      <c r="D87" s="5"/>
      <c r="E87" s="5"/>
      <c r="F87" s="7"/>
    </row>
    <row r="88" spans="1:6" x14ac:dyDescent="0.35">
      <c r="A88" s="5"/>
      <c r="B88" s="5"/>
      <c r="C88" s="5" t="s">
        <v>83</v>
      </c>
      <c r="D88" s="5"/>
      <c r="E88" s="5"/>
      <c r="F88" s="7" t="s">
        <v>2982</v>
      </c>
    </row>
    <row r="89" spans="1:6" x14ac:dyDescent="0.35">
      <c r="A89" s="5"/>
      <c r="B89" s="5"/>
      <c r="C89" s="5" t="s">
        <v>1216</v>
      </c>
      <c r="D89" s="5"/>
      <c r="E89" s="5"/>
      <c r="F89" s="7" t="s">
        <v>2983</v>
      </c>
    </row>
    <row r="90" spans="1:6" x14ac:dyDescent="0.35">
      <c r="A90" s="5"/>
      <c r="B90" s="5"/>
      <c r="C90" s="5" t="s">
        <v>43</v>
      </c>
      <c r="D90" s="5"/>
      <c r="E90" s="5"/>
      <c r="F90" s="7" t="s">
        <v>2984</v>
      </c>
    </row>
    <row r="91" spans="1:6" x14ac:dyDescent="0.35">
      <c r="A91" s="5"/>
      <c r="B91" s="5"/>
      <c r="C91" s="5" t="s">
        <v>125</v>
      </c>
      <c r="D91" s="5"/>
      <c r="E91" s="5"/>
      <c r="F91" s="7" t="s">
        <v>2985</v>
      </c>
    </row>
    <row r="92" spans="1:6" x14ac:dyDescent="0.35">
      <c r="A92" s="5"/>
      <c r="B92" s="5" t="s">
        <v>2986</v>
      </c>
      <c r="C92" s="5"/>
      <c r="D92" s="5"/>
      <c r="E92" s="5"/>
      <c r="F92" s="7"/>
    </row>
    <row r="93" spans="1:6" x14ac:dyDescent="0.35">
      <c r="A93" s="5"/>
      <c r="B93" s="5"/>
      <c r="C93" s="5" t="s">
        <v>189</v>
      </c>
      <c r="D93" s="5"/>
      <c r="E93" s="5"/>
      <c r="F93" s="7" t="s">
        <v>2987</v>
      </c>
    </row>
    <row r="94" spans="1:6" x14ac:dyDescent="0.35">
      <c r="A94" s="5"/>
      <c r="B94" s="5"/>
      <c r="C94" s="5" t="s">
        <v>15</v>
      </c>
      <c r="D94" s="5"/>
      <c r="E94" s="5"/>
      <c r="F94" s="7" t="s">
        <v>2988</v>
      </c>
    </row>
    <row r="95" spans="1:6" x14ac:dyDescent="0.35">
      <c r="A95" s="5"/>
      <c r="B95" s="5"/>
      <c r="C95" s="5" t="s">
        <v>60</v>
      </c>
      <c r="D95" s="5"/>
      <c r="E95" s="5"/>
      <c r="F95" s="7" t="s">
        <v>2989</v>
      </c>
    </row>
    <row r="96" spans="1:6" x14ac:dyDescent="0.35">
      <c r="A96" s="5"/>
      <c r="B96" s="5"/>
      <c r="C96" s="5" t="s">
        <v>113</v>
      </c>
      <c r="D96" s="5"/>
      <c r="E96" s="5"/>
      <c r="F96" s="7" t="s">
        <v>2990</v>
      </c>
    </row>
    <row r="97" spans="1:6" x14ac:dyDescent="0.35">
      <c r="A97" s="5"/>
      <c r="B97" s="5"/>
      <c r="C97" s="5" t="s">
        <v>259</v>
      </c>
      <c r="D97" s="5"/>
      <c r="E97" s="5"/>
      <c r="F97" s="7" t="s">
        <v>2991</v>
      </c>
    </row>
    <row r="98" spans="1:6" x14ac:dyDescent="0.35">
      <c r="A98" s="5" t="s">
        <v>2992</v>
      </c>
      <c r="B98" s="5"/>
      <c r="C98" s="5"/>
      <c r="D98" s="5"/>
      <c r="E98" s="14"/>
      <c r="F98" s="9"/>
    </row>
    <row r="99" spans="1:6" x14ac:dyDescent="0.35">
      <c r="A99" s="5"/>
      <c r="B99" s="5" t="s">
        <v>2993</v>
      </c>
      <c r="C99" s="5"/>
      <c r="D99" s="5"/>
      <c r="E99" s="14"/>
      <c r="F99" s="11" t="s">
        <v>2994</v>
      </c>
    </row>
    <row r="100" spans="1:6" x14ac:dyDescent="0.35">
      <c r="A100" s="5"/>
      <c r="B100" s="5" t="s">
        <v>2995</v>
      </c>
      <c r="C100" s="5"/>
      <c r="D100" s="5"/>
      <c r="E100" s="14"/>
      <c r="F100" s="11" t="s">
        <v>2996</v>
      </c>
    </row>
    <row r="101" spans="1:6" x14ac:dyDescent="0.35">
      <c r="A101" s="5"/>
      <c r="B101" s="5" t="s">
        <v>2997</v>
      </c>
      <c r="C101" s="5"/>
      <c r="D101" s="5"/>
      <c r="E101" s="14"/>
      <c r="F101" s="11" t="s">
        <v>2998</v>
      </c>
    </row>
    <row r="102" spans="1:6" x14ac:dyDescent="0.35">
      <c r="A102" s="5"/>
      <c r="B102" s="5" t="s">
        <v>2999</v>
      </c>
      <c r="C102" s="5"/>
      <c r="D102" s="5"/>
      <c r="E102" s="14"/>
      <c r="F102" s="11" t="s">
        <v>3000</v>
      </c>
    </row>
    <row r="103" spans="1:6" x14ac:dyDescent="0.35">
      <c r="A103" s="5"/>
      <c r="B103" s="5" t="s">
        <v>3001</v>
      </c>
      <c r="C103" s="5"/>
      <c r="D103" s="5"/>
      <c r="E103" s="14"/>
      <c r="F103" s="11" t="s">
        <v>3002</v>
      </c>
    </row>
    <row r="104" spans="1:6" x14ac:dyDescent="0.35">
      <c r="A104" s="5" t="s">
        <v>3003</v>
      </c>
      <c r="B104" s="5"/>
      <c r="C104" s="5"/>
      <c r="D104" s="5"/>
      <c r="E104" s="14"/>
      <c r="F104" s="9"/>
    </row>
    <row r="105" spans="1:6" x14ac:dyDescent="0.35">
      <c r="A105" s="5"/>
      <c r="B105" s="5" t="s">
        <v>3004</v>
      </c>
      <c r="C105" s="5"/>
      <c r="D105" s="5"/>
      <c r="E105" s="14"/>
      <c r="F105" s="10" t="s">
        <v>3005</v>
      </c>
    </row>
    <row r="106" spans="1:6" x14ac:dyDescent="0.35">
      <c r="A106" s="5"/>
      <c r="B106" s="5" t="s">
        <v>3006</v>
      </c>
      <c r="C106" s="5"/>
      <c r="D106" s="5"/>
      <c r="E106" s="14"/>
      <c r="F106" s="10" t="s">
        <v>3007</v>
      </c>
    </row>
    <row r="107" spans="1:6" x14ac:dyDescent="0.35">
      <c r="A107" s="5"/>
      <c r="B107" s="5" t="s">
        <v>3008</v>
      </c>
      <c r="C107" s="5"/>
      <c r="D107" s="5"/>
      <c r="E107" s="14"/>
      <c r="F107" s="10" t="s">
        <v>3009</v>
      </c>
    </row>
    <row r="108" spans="1:6" x14ac:dyDescent="0.35">
      <c r="A108" s="21"/>
      <c r="B108" s="21"/>
      <c r="C108" s="21"/>
      <c r="D108" s="21"/>
      <c r="E108" s="21"/>
      <c r="F108" s="21"/>
    </row>
  </sheetData>
  <mergeCells count="1">
    <mergeCell ref="A1:E1"/>
  </mergeCells>
  <pageMargins left="0.7" right="0.7" top="0.75" bottom="0.75" header="0.3" footer="0.3"/>
  <customProperties>
    <customPr name="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563CF-0510-45F7-AE12-9C3001B194FC}">
  <dimension ref="A1:IV485"/>
  <sheetViews>
    <sheetView workbookViewId="0"/>
  </sheetViews>
  <sheetFormatPr defaultRowHeight="14.5" x14ac:dyDescent="0.35"/>
  <sheetData>
    <row r="1" spans="1:256" x14ac:dyDescent="0.35">
      <c r="A1" t="s">
        <v>3010</v>
      </c>
      <c r="F1" t="e">
        <f>'All regions'!A1+"n/&gt;!%"</f>
        <v>#VALUE!</v>
      </c>
      <c r="G1" t="e">
        <f>'All regions'!B1+"n/&gt;!&amp;"</f>
        <v>#VALUE!</v>
      </c>
      <c r="H1" t="e">
        <f>'All regions'!C1+"n/&gt;!'"</f>
        <v>#VALUE!</v>
      </c>
      <c r="I1" t="e">
        <f>'All regions'!D1+"n/&gt;!("</f>
        <v>#VALUE!</v>
      </c>
      <c r="J1" t="e">
        <f>'All regions'!E1+"n/&gt;!)"</f>
        <v>#VALUE!</v>
      </c>
      <c r="K1" t="e">
        <f>'All regions'!F1+"n/&gt;!."</f>
        <v>#VALUE!</v>
      </c>
      <c r="L1" t="e">
        <f>'All regions'!G1+"n/&gt;!/"</f>
        <v>#VALUE!</v>
      </c>
      <c r="M1" t="e">
        <f>'All regions'!H1+"n/&gt;!0"</f>
        <v>#VALUE!</v>
      </c>
      <c r="N1" t="e">
        <f>'All regions'!I1+"n/&gt;!1"</f>
        <v>#VALUE!</v>
      </c>
      <c r="O1" t="e">
        <f>'All regions'!J1+"n/&gt;!2"</f>
        <v>#VALUE!</v>
      </c>
      <c r="P1" t="e">
        <f>'All regions'!A2+"n/&gt;!3"</f>
        <v>#VALUE!</v>
      </c>
      <c r="Q1" t="e">
        <f>'All regions'!B2+"n/&gt;!4"</f>
        <v>#VALUE!</v>
      </c>
      <c r="R1" t="e">
        <f>'All regions'!C2+"n/&gt;!5"</f>
        <v>#VALUE!</v>
      </c>
      <c r="S1" t="e">
        <f>'All regions'!D2+"n/&gt;!6"</f>
        <v>#VALUE!</v>
      </c>
      <c r="T1" t="e">
        <f>'All regions'!E2+"n/&gt;!7"</f>
        <v>#VALUE!</v>
      </c>
      <c r="U1" t="e">
        <f>'All regions'!F2+"n/&gt;!8"</f>
        <v>#VALUE!</v>
      </c>
      <c r="V1" t="e">
        <f>'All regions'!I2+"n/&gt;!9"</f>
        <v>#VALUE!</v>
      </c>
      <c r="W1" t="e">
        <f>'All regions'!J2+"n/&gt;!:"</f>
        <v>#VALUE!</v>
      </c>
      <c r="X1" t="e">
        <f>'All regions'!A3+"n/&gt;!;"</f>
        <v>#VALUE!</v>
      </c>
      <c r="Y1" t="e">
        <f>'All regions'!B3+"n/&gt;!&lt;"</f>
        <v>#VALUE!</v>
      </c>
      <c r="Z1" t="e">
        <f>'All regions'!C3+"n/&gt;!="</f>
        <v>#VALUE!</v>
      </c>
      <c r="AA1" t="e">
        <f>'All regions'!D3+"n/&gt;!&gt;"</f>
        <v>#VALUE!</v>
      </c>
      <c r="AB1" t="e">
        <f>'All regions'!E3+"n/&gt;!?"</f>
        <v>#VALUE!</v>
      </c>
      <c r="AC1" t="e">
        <f>'All regions'!F3+"n/&gt;!@"</f>
        <v>#VALUE!</v>
      </c>
      <c r="AD1" t="e">
        <f>'All regions'!G3+"n/&gt;!A"</f>
        <v>#VALUE!</v>
      </c>
      <c r="AE1" t="e">
        <f>'All regions'!H3+"n/&gt;!B"</f>
        <v>#VALUE!</v>
      </c>
      <c r="AF1" t="e">
        <f>'All regions'!I3+"n/&gt;!C"</f>
        <v>#VALUE!</v>
      </c>
      <c r="AG1" t="e">
        <f>'All regions'!J3+"n/&gt;!D"</f>
        <v>#VALUE!</v>
      </c>
      <c r="AH1" t="e">
        <f>'All regions'!A4+"n/&gt;!E"</f>
        <v>#VALUE!</v>
      </c>
      <c r="AI1" t="e">
        <f>'All regions'!B4+"n/&gt;!F"</f>
        <v>#VALUE!</v>
      </c>
      <c r="AJ1" t="e">
        <f>'All regions'!C4+"n/&gt;!G"</f>
        <v>#VALUE!</v>
      </c>
      <c r="AK1" t="e">
        <f>'All regions'!D4+"n/&gt;!H"</f>
        <v>#VALUE!</v>
      </c>
      <c r="AL1" t="e">
        <f>'All regions'!E4+"n/&gt;!I"</f>
        <v>#VALUE!</v>
      </c>
      <c r="AM1" t="e">
        <f>'All regions'!F4+"n/&gt;!J"</f>
        <v>#VALUE!</v>
      </c>
      <c r="AN1" t="e">
        <f>'All regions'!G4+"n/&gt;!K"</f>
        <v>#VALUE!</v>
      </c>
      <c r="AO1" t="e">
        <f>'All regions'!H4+"n/&gt;!L"</f>
        <v>#VALUE!</v>
      </c>
      <c r="AP1" t="e">
        <f>'All regions'!I4+"n/&gt;!M"</f>
        <v>#VALUE!</v>
      </c>
      <c r="AQ1" t="e">
        <f>'All regions'!J4+"n/&gt;!N"</f>
        <v>#VALUE!</v>
      </c>
      <c r="AR1" t="e">
        <f>'All regions'!A5+"n/&gt;!O"</f>
        <v>#VALUE!</v>
      </c>
      <c r="AS1" t="e">
        <f>'All regions'!B5+"n/&gt;!P"</f>
        <v>#VALUE!</v>
      </c>
      <c r="AT1" t="e">
        <f>'All regions'!C5+"n/&gt;!Q"</f>
        <v>#VALUE!</v>
      </c>
      <c r="AU1" t="e">
        <f>'All regions'!D5+"n/&gt;!R"</f>
        <v>#VALUE!</v>
      </c>
      <c r="AV1" t="e">
        <f>'All regions'!E5+"n/&gt;!S"</f>
        <v>#VALUE!</v>
      </c>
      <c r="AW1" t="e">
        <f>'All regions'!F5+"n/&gt;!T"</f>
        <v>#VALUE!</v>
      </c>
      <c r="AX1" t="e">
        <f>'All regions'!G5+"n/&gt;!U"</f>
        <v>#VALUE!</v>
      </c>
      <c r="AY1" t="e">
        <f>'All regions'!H5+"n/&gt;!V"</f>
        <v>#VALUE!</v>
      </c>
      <c r="AZ1" t="e">
        <f>'All regions'!I5+"n/&gt;!W"</f>
        <v>#VALUE!</v>
      </c>
      <c r="BA1" t="e">
        <f>'All regions'!J5+"n/&gt;!X"</f>
        <v>#VALUE!</v>
      </c>
      <c r="BB1" t="e">
        <f>'All regions'!A6+"n/&gt;!Y"</f>
        <v>#VALUE!</v>
      </c>
      <c r="BC1" t="e">
        <f>'All regions'!B6+"n/&gt;!Z"</f>
        <v>#VALUE!</v>
      </c>
      <c r="BD1" t="e">
        <f>'All regions'!C6+"n/&gt;!["</f>
        <v>#VALUE!</v>
      </c>
      <c r="BE1" t="e">
        <f>'All regions'!D6+"n/&gt;!\"</f>
        <v>#VALUE!</v>
      </c>
      <c r="BF1" t="e">
        <f>'All regions'!E6+"n/&gt;!]"</f>
        <v>#VALUE!</v>
      </c>
      <c r="BG1" t="e">
        <f>'All regions'!F6+"n/&gt;!^"</f>
        <v>#VALUE!</v>
      </c>
      <c r="BH1" t="e">
        <f>'All regions'!G6+"n/&gt;!_"</f>
        <v>#VALUE!</v>
      </c>
      <c r="BI1" t="e">
        <f>'All regions'!H6+"n/&gt;!`"</f>
        <v>#VALUE!</v>
      </c>
      <c r="BJ1" t="e">
        <f>'All regions'!I6+"n/&gt;!a"</f>
        <v>#VALUE!</v>
      </c>
      <c r="BK1" t="e">
        <f>'All regions'!J6+"n/&gt;!b"</f>
        <v>#VALUE!</v>
      </c>
      <c r="BL1" t="e">
        <f>'All regions'!A7+"n/&gt;!c"</f>
        <v>#VALUE!</v>
      </c>
      <c r="BM1" t="e">
        <f>'All regions'!B7+"n/&gt;!d"</f>
        <v>#VALUE!</v>
      </c>
      <c r="BN1" t="e">
        <f>'All regions'!C7+"n/&gt;!e"</f>
        <v>#VALUE!</v>
      </c>
      <c r="BO1" t="e">
        <f>'All regions'!D7+"n/&gt;!f"</f>
        <v>#VALUE!</v>
      </c>
      <c r="BP1" t="e">
        <f>'All regions'!E7+"n/&gt;!g"</f>
        <v>#VALUE!</v>
      </c>
      <c r="BQ1" t="e">
        <f>'All regions'!F7+"n/&gt;!h"</f>
        <v>#VALUE!</v>
      </c>
      <c r="BR1" t="e">
        <f>'All regions'!G7+"n/&gt;!i"</f>
        <v>#VALUE!</v>
      </c>
      <c r="BS1" t="e">
        <f>'All regions'!H7+"n/&gt;!j"</f>
        <v>#VALUE!</v>
      </c>
      <c r="BT1" t="e">
        <f>'All regions'!I7+"n/&gt;!k"</f>
        <v>#VALUE!</v>
      </c>
      <c r="BU1" t="e">
        <f>'All regions'!J7+"n/&gt;!l"</f>
        <v>#VALUE!</v>
      </c>
      <c r="BV1" t="e">
        <f>'All regions'!A8+"n/&gt;!m"</f>
        <v>#VALUE!</v>
      </c>
      <c r="BW1" t="e">
        <f>'All regions'!B8+"n/&gt;!n"</f>
        <v>#VALUE!</v>
      </c>
      <c r="BX1" t="e">
        <f>'All regions'!C8+"n/&gt;!o"</f>
        <v>#VALUE!</v>
      </c>
      <c r="BY1" t="e">
        <f>'All regions'!D8+"n/&gt;!p"</f>
        <v>#VALUE!</v>
      </c>
      <c r="BZ1" t="e">
        <f>'All regions'!E8+"n/&gt;!q"</f>
        <v>#VALUE!</v>
      </c>
      <c r="CA1" t="e">
        <f>'All regions'!F8+"n/&gt;!r"</f>
        <v>#VALUE!</v>
      </c>
      <c r="CB1" t="e">
        <f>'All regions'!G8+"n/&gt;!s"</f>
        <v>#VALUE!</v>
      </c>
      <c r="CC1" t="e">
        <f>'All regions'!H8+"n/&gt;!t"</f>
        <v>#VALUE!</v>
      </c>
      <c r="CD1" t="e">
        <f>'All regions'!I8+"n/&gt;!u"</f>
        <v>#VALUE!</v>
      </c>
      <c r="CE1" t="e">
        <f>'All regions'!J8+"n/&gt;!v"</f>
        <v>#VALUE!</v>
      </c>
      <c r="CF1" t="e">
        <f>'All regions'!A9+"n/&gt;!w"</f>
        <v>#VALUE!</v>
      </c>
      <c r="CG1" t="e">
        <f>'All regions'!B9+"n/&gt;!x"</f>
        <v>#VALUE!</v>
      </c>
      <c r="CH1" t="e">
        <f>'All regions'!C9+"n/&gt;!y"</f>
        <v>#VALUE!</v>
      </c>
      <c r="CI1" t="e">
        <f>'All regions'!D9+"n/&gt;!z"</f>
        <v>#VALUE!</v>
      </c>
      <c r="CJ1" t="e">
        <f>'All regions'!E9+"n/&gt;!{"</f>
        <v>#VALUE!</v>
      </c>
      <c r="CK1" t="e">
        <f>'All regions'!F9+"n/&gt;!|"</f>
        <v>#VALUE!</v>
      </c>
      <c r="CL1" t="e">
        <f>'All regions'!G9+"n/&gt;!}"</f>
        <v>#VALUE!</v>
      </c>
      <c r="CM1" t="e">
        <f>'All regions'!H9+"n/&gt;!~"</f>
        <v>#VALUE!</v>
      </c>
      <c r="CN1" t="e">
        <f>'All regions'!I9+"n/&gt;!$#"</f>
        <v>#VALUE!</v>
      </c>
      <c r="CO1" t="e">
        <f>'All regions'!J9+"n/&gt;!$$"</f>
        <v>#VALUE!</v>
      </c>
      <c r="CP1" t="e">
        <f>'All regions'!A10+"n/&gt;!$%"</f>
        <v>#VALUE!</v>
      </c>
      <c r="CQ1" t="e">
        <f>'All regions'!B10+"n/&gt;!$&amp;"</f>
        <v>#VALUE!</v>
      </c>
      <c r="CR1" t="e">
        <f>'All regions'!C10+"n/&gt;!$'"</f>
        <v>#VALUE!</v>
      </c>
      <c r="CS1" t="e">
        <f>'All regions'!D10+"n/&gt;!$("</f>
        <v>#VALUE!</v>
      </c>
      <c r="CT1" t="e">
        <f>'All regions'!E10+"n/&gt;!$)"</f>
        <v>#VALUE!</v>
      </c>
      <c r="CU1" t="e">
        <f>'All regions'!F10+"n/&gt;!$."</f>
        <v>#VALUE!</v>
      </c>
      <c r="CV1" t="e">
        <f>'All regions'!G10+"n/&gt;!$/"</f>
        <v>#VALUE!</v>
      </c>
      <c r="CW1" t="e">
        <f>'All regions'!H10+"n/&gt;!$0"</f>
        <v>#VALUE!</v>
      </c>
      <c r="CX1" t="e">
        <f>'All regions'!I10+"n/&gt;!$1"</f>
        <v>#VALUE!</v>
      </c>
      <c r="CY1" t="e">
        <f>'All regions'!J10+"n/&gt;!$2"</f>
        <v>#VALUE!</v>
      </c>
      <c r="CZ1" t="e">
        <f>'All regions'!A11+"n/&gt;!$3"</f>
        <v>#VALUE!</v>
      </c>
      <c r="DA1" t="e">
        <f>'All regions'!B11+"n/&gt;!$4"</f>
        <v>#VALUE!</v>
      </c>
      <c r="DB1" t="e">
        <f>'All regions'!C11+"n/&gt;!$5"</f>
        <v>#VALUE!</v>
      </c>
      <c r="DC1" t="e">
        <f>'All regions'!D11+"n/&gt;!$6"</f>
        <v>#VALUE!</v>
      </c>
      <c r="DD1" t="e">
        <f>'All regions'!E11+"n/&gt;!$7"</f>
        <v>#VALUE!</v>
      </c>
      <c r="DE1" t="e">
        <f>'All regions'!F11+"n/&gt;!$8"</f>
        <v>#VALUE!</v>
      </c>
      <c r="DF1" t="e">
        <f>'All regions'!G11+"n/&gt;!$9"</f>
        <v>#VALUE!</v>
      </c>
      <c r="DG1" t="e">
        <f>'All regions'!H11+"n/&gt;!$:"</f>
        <v>#VALUE!</v>
      </c>
      <c r="DH1" t="e">
        <f>'All regions'!I11+"n/&gt;!$;"</f>
        <v>#VALUE!</v>
      </c>
      <c r="DI1" t="e">
        <f>'All regions'!J11+"n/&gt;!$&lt;"</f>
        <v>#VALUE!</v>
      </c>
      <c r="DJ1" t="e">
        <f>'All regions'!A12+"n/&gt;!$="</f>
        <v>#VALUE!</v>
      </c>
      <c r="DK1" t="e">
        <f>'All regions'!B12+"n/&gt;!$&gt;"</f>
        <v>#VALUE!</v>
      </c>
      <c r="DL1" t="e">
        <f>'All regions'!C12+"n/&gt;!$?"</f>
        <v>#VALUE!</v>
      </c>
      <c r="DM1" t="e">
        <f>'All regions'!D12+"n/&gt;!$@"</f>
        <v>#VALUE!</v>
      </c>
      <c r="DN1" t="e">
        <f>'All regions'!E12+"n/&gt;!$A"</f>
        <v>#VALUE!</v>
      </c>
      <c r="DO1" t="e">
        <f>'All regions'!F12+"n/&gt;!$B"</f>
        <v>#VALUE!</v>
      </c>
      <c r="DP1" t="e">
        <f>'All regions'!G12+"n/&gt;!$C"</f>
        <v>#VALUE!</v>
      </c>
      <c r="DQ1" t="e">
        <f>'All regions'!H12+"n/&gt;!$D"</f>
        <v>#VALUE!</v>
      </c>
      <c r="DR1" t="e">
        <f>'All regions'!I12+"n/&gt;!$E"</f>
        <v>#VALUE!</v>
      </c>
      <c r="DS1" t="e">
        <f>'All regions'!J12+"n/&gt;!$F"</f>
        <v>#VALUE!</v>
      </c>
      <c r="DT1" t="e">
        <f>'All regions'!A13+"n/&gt;!$G"</f>
        <v>#VALUE!</v>
      </c>
      <c r="DU1" t="e">
        <f>'All regions'!B13+"n/&gt;!$H"</f>
        <v>#VALUE!</v>
      </c>
      <c r="DV1" t="e">
        <f>'All regions'!C13+"n/&gt;!$I"</f>
        <v>#VALUE!</v>
      </c>
      <c r="DW1" t="e">
        <f>'All regions'!D13+"n/&gt;!$J"</f>
        <v>#VALUE!</v>
      </c>
      <c r="DX1" t="e">
        <f>'All regions'!E13+"n/&gt;!$K"</f>
        <v>#VALUE!</v>
      </c>
      <c r="DY1" t="e">
        <f>'All regions'!F13+"n/&gt;!$L"</f>
        <v>#VALUE!</v>
      </c>
      <c r="DZ1" t="e">
        <f>'All regions'!G13+"n/&gt;!$M"</f>
        <v>#VALUE!</v>
      </c>
      <c r="EA1" t="e">
        <f>'All regions'!H13+"n/&gt;!$N"</f>
        <v>#VALUE!</v>
      </c>
      <c r="EB1" t="e">
        <f>'All regions'!I13+"n/&gt;!$O"</f>
        <v>#VALUE!</v>
      </c>
      <c r="EC1" t="e">
        <f>'All regions'!J13+"n/&gt;!$P"</f>
        <v>#VALUE!</v>
      </c>
      <c r="ED1" t="e">
        <f>'All regions'!A14+"n/&gt;!$Q"</f>
        <v>#VALUE!</v>
      </c>
      <c r="EE1" t="e">
        <f>'All regions'!B14+"n/&gt;!$R"</f>
        <v>#VALUE!</v>
      </c>
      <c r="EF1" t="e">
        <f>'All regions'!C14+"n/&gt;!$S"</f>
        <v>#VALUE!</v>
      </c>
      <c r="EG1" t="e">
        <f>'All regions'!D14+"n/&gt;!$T"</f>
        <v>#VALUE!</v>
      </c>
      <c r="EH1" t="e">
        <f>'All regions'!E14+"n/&gt;!$U"</f>
        <v>#VALUE!</v>
      </c>
      <c r="EI1" t="e">
        <f>'All regions'!F14+"n/&gt;!$V"</f>
        <v>#VALUE!</v>
      </c>
      <c r="EJ1" t="e">
        <f>'All regions'!G14+"n/&gt;!$W"</f>
        <v>#VALUE!</v>
      </c>
      <c r="EK1" t="e">
        <f>'All regions'!H14+"n/&gt;!$X"</f>
        <v>#VALUE!</v>
      </c>
      <c r="EL1" t="e">
        <f>'All regions'!I14+"n/&gt;!$Y"</f>
        <v>#VALUE!</v>
      </c>
      <c r="EM1" t="e">
        <f>'All regions'!J14+"n/&gt;!$Z"</f>
        <v>#VALUE!</v>
      </c>
      <c r="EN1" t="e">
        <f>'All regions'!A15+"n/&gt;!$["</f>
        <v>#VALUE!</v>
      </c>
      <c r="EO1" t="e">
        <f>'All regions'!B15+"n/&gt;!$\"</f>
        <v>#VALUE!</v>
      </c>
      <c r="EP1" t="e">
        <f>'All regions'!C15+"n/&gt;!$]"</f>
        <v>#VALUE!</v>
      </c>
      <c r="EQ1" t="e">
        <f>'All regions'!D15+"n/&gt;!$^"</f>
        <v>#VALUE!</v>
      </c>
      <c r="ER1" t="e">
        <f>'All regions'!E15+"n/&gt;!$_"</f>
        <v>#VALUE!</v>
      </c>
      <c r="ES1" t="e">
        <f>'All regions'!F15+"n/&gt;!$`"</f>
        <v>#VALUE!</v>
      </c>
      <c r="ET1" t="e">
        <f>'All regions'!G15+"n/&gt;!$a"</f>
        <v>#VALUE!</v>
      </c>
      <c r="EU1" t="e">
        <f>'All regions'!H15+"n/&gt;!$b"</f>
        <v>#VALUE!</v>
      </c>
      <c r="EV1" t="e">
        <f>'All regions'!I15+"n/&gt;!$c"</f>
        <v>#VALUE!</v>
      </c>
      <c r="EW1" t="e">
        <f>'All regions'!J15+"n/&gt;!$d"</f>
        <v>#VALUE!</v>
      </c>
      <c r="EX1" t="e">
        <f>'All regions'!A16+"n/&gt;!$e"</f>
        <v>#VALUE!</v>
      </c>
      <c r="EY1" t="e">
        <f>'All regions'!B16+"n/&gt;!$f"</f>
        <v>#VALUE!</v>
      </c>
      <c r="EZ1" t="e">
        <f>'All regions'!C16+"n/&gt;!$g"</f>
        <v>#VALUE!</v>
      </c>
      <c r="FA1" t="e">
        <f>'All regions'!D16+"n/&gt;!$h"</f>
        <v>#VALUE!</v>
      </c>
      <c r="FB1" t="e">
        <f>'All regions'!E16+"n/&gt;!$i"</f>
        <v>#VALUE!</v>
      </c>
      <c r="FC1" t="e">
        <f>'All regions'!F16+"n/&gt;!$j"</f>
        <v>#VALUE!</v>
      </c>
      <c r="FD1" t="e">
        <f>'All regions'!G16+"n/&gt;!$k"</f>
        <v>#VALUE!</v>
      </c>
      <c r="FE1" t="e">
        <f>'All regions'!H16+"n/&gt;!$l"</f>
        <v>#VALUE!</v>
      </c>
      <c r="FF1" t="e">
        <f>'All regions'!I16+"n/&gt;!$m"</f>
        <v>#VALUE!</v>
      </c>
      <c r="FG1" t="e">
        <f>'All regions'!J16+"n/&gt;!$n"</f>
        <v>#VALUE!</v>
      </c>
      <c r="FH1" t="e">
        <f>'All regions'!A17+"n/&gt;!$o"</f>
        <v>#VALUE!</v>
      </c>
      <c r="FI1" t="e">
        <f>'All regions'!B17+"n/&gt;!$p"</f>
        <v>#VALUE!</v>
      </c>
      <c r="FJ1" t="e">
        <f>'All regions'!C17+"n/&gt;!$q"</f>
        <v>#VALUE!</v>
      </c>
      <c r="FK1" t="e">
        <f>'All regions'!D17+"n/&gt;!$r"</f>
        <v>#VALUE!</v>
      </c>
      <c r="FL1" t="e">
        <f>'All regions'!E17+"n/&gt;!$s"</f>
        <v>#VALUE!</v>
      </c>
      <c r="FM1" t="e">
        <f>'All regions'!F17+"n/&gt;!$t"</f>
        <v>#VALUE!</v>
      </c>
      <c r="FN1" t="e">
        <f>'All regions'!G17+"n/&gt;!$u"</f>
        <v>#VALUE!</v>
      </c>
      <c r="FO1" t="e">
        <f>'All regions'!H17+"n/&gt;!$v"</f>
        <v>#VALUE!</v>
      </c>
      <c r="FP1" t="e">
        <f>'All regions'!I17+"n/&gt;!$w"</f>
        <v>#VALUE!</v>
      </c>
      <c r="FQ1" t="e">
        <f>'All regions'!J17+"n/&gt;!$x"</f>
        <v>#VALUE!</v>
      </c>
      <c r="FR1" t="e">
        <f>'All regions'!A18+"n/&gt;!$y"</f>
        <v>#VALUE!</v>
      </c>
      <c r="FS1" t="e">
        <f>'All regions'!B18+"n/&gt;!$z"</f>
        <v>#VALUE!</v>
      </c>
      <c r="FT1" t="e">
        <f>'All regions'!C18+"n/&gt;!${"</f>
        <v>#VALUE!</v>
      </c>
      <c r="FU1" t="e">
        <f>'All regions'!D18+"n/&gt;!$|"</f>
        <v>#VALUE!</v>
      </c>
      <c r="FV1" t="e">
        <f>'All regions'!E18+"n/&gt;!$}"</f>
        <v>#VALUE!</v>
      </c>
      <c r="FW1" t="e">
        <f>'All regions'!F18+"n/&gt;!$~"</f>
        <v>#VALUE!</v>
      </c>
      <c r="FX1" t="e">
        <f>'All regions'!G18+"n/&gt;!%#"</f>
        <v>#VALUE!</v>
      </c>
      <c r="FY1" t="e">
        <f>'All regions'!H18+"n/&gt;!%$"</f>
        <v>#VALUE!</v>
      </c>
      <c r="FZ1" t="e">
        <f>'All regions'!I18+"n/&gt;!%%"</f>
        <v>#VALUE!</v>
      </c>
      <c r="GA1" t="e">
        <f>'All regions'!J18+"n/&gt;!%&amp;"</f>
        <v>#VALUE!</v>
      </c>
      <c r="GB1" t="e">
        <f>'All regions'!A19+"n/&gt;!%'"</f>
        <v>#VALUE!</v>
      </c>
      <c r="GC1" t="e">
        <f>'All regions'!B19+"n/&gt;!%("</f>
        <v>#VALUE!</v>
      </c>
      <c r="GD1" t="e">
        <f>'All regions'!C19+"n/&gt;!%)"</f>
        <v>#VALUE!</v>
      </c>
      <c r="GE1" t="e">
        <f>'All regions'!D19+"n/&gt;!%."</f>
        <v>#VALUE!</v>
      </c>
      <c r="GF1" t="e">
        <f>'All regions'!E19+"n/&gt;!%/"</f>
        <v>#VALUE!</v>
      </c>
      <c r="GG1" t="e">
        <f>'All regions'!F19+"n/&gt;!%0"</f>
        <v>#VALUE!</v>
      </c>
      <c r="GH1" t="e">
        <f>'All regions'!G19+"n/&gt;!%1"</f>
        <v>#VALUE!</v>
      </c>
      <c r="GI1" t="e">
        <f>'All regions'!H19+"n/&gt;!%2"</f>
        <v>#VALUE!</v>
      </c>
      <c r="GJ1" t="e">
        <f>'All regions'!I19+"n/&gt;!%3"</f>
        <v>#VALUE!</v>
      </c>
      <c r="GK1" t="e">
        <f>'All regions'!J19+"n/&gt;!%4"</f>
        <v>#VALUE!</v>
      </c>
      <c r="GL1" t="e">
        <f>'All regions'!A20+"n/&gt;!%5"</f>
        <v>#VALUE!</v>
      </c>
      <c r="GM1" t="e">
        <f>'All regions'!B20+"n/&gt;!%6"</f>
        <v>#VALUE!</v>
      </c>
      <c r="GN1" t="e">
        <f>'All regions'!C20+"n/&gt;!%7"</f>
        <v>#VALUE!</v>
      </c>
      <c r="GO1" t="e">
        <f>'All regions'!D20+"n/&gt;!%8"</f>
        <v>#VALUE!</v>
      </c>
      <c r="GP1" t="e">
        <f>'All regions'!E20+"n/&gt;!%9"</f>
        <v>#VALUE!</v>
      </c>
      <c r="GQ1" t="e">
        <f>'All regions'!F20+"n/&gt;!%:"</f>
        <v>#VALUE!</v>
      </c>
      <c r="GR1" t="e">
        <f>'All regions'!G20+"n/&gt;!%;"</f>
        <v>#VALUE!</v>
      </c>
      <c r="GS1" t="e">
        <f>'All regions'!H20+"n/&gt;!%&lt;"</f>
        <v>#VALUE!</v>
      </c>
      <c r="GT1" t="e">
        <f>'All regions'!I20+"n/&gt;!%="</f>
        <v>#VALUE!</v>
      </c>
      <c r="GU1" t="e">
        <f>'All regions'!J20+"n/&gt;!%&gt;"</f>
        <v>#VALUE!</v>
      </c>
      <c r="GV1" t="e">
        <f>'All regions'!A21+"n/&gt;!%?"</f>
        <v>#VALUE!</v>
      </c>
      <c r="GW1" t="e">
        <f>'All regions'!B21+"n/&gt;!%@"</f>
        <v>#VALUE!</v>
      </c>
      <c r="GX1" t="e">
        <f>'All regions'!C21+"n/&gt;!%A"</f>
        <v>#VALUE!</v>
      </c>
      <c r="GY1" t="e">
        <f>'All regions'!D21+"n/&gt;!%B"</f>
        <v>#VALUE!</v>
      </c>
      <c r="GZ1" t="e">
        <f>'All regions'!E21+"n/&gt;!%C"</f>
        <v>#VALUE!</v>
      </c>
      <c r="HA1" t="e">
        <f>'All regions'!F21+"n/&gt;!%D"</f>
        <v>#VALUE!</v>
      </c>
      <c r="HB1" t="e">
        <f>'All regions'!G21+"n/&gt;!%E"</f>
        <v>#VALUE!</v>
      </c>
      <c r="HC1" t="e">
        <f>'All regions'!H21+"n/&gt;!%F"</f>
        <v>#VALUE!</v>
      </c>
      <c r="HD1" t="e">
        <f>'All regions'!I21+"n/&gt;!%G"</f>
        <v>#VALUE!</v>
      </c>
      <c r="HE1" t="e">
        <f>'All regions'!J21+"n/&gt;!%H"</f>
        <v>#VALUE!</v>
      </c>
      <c r="HF1" t="e">
        <f>'All regions'!A22+"n/&gt;!%I"</f>
        <v>#VALUE!</v>
      </c>
      <c r="HG1" t="e">
        <f>'All regions'!B22+"n/&gt;!%J"</f>
        <v>#VALUE!</v>
      </c>
      <c r="HH1" t="e">
        <f>'All regions'!C22+"n/&gt;!%K"</f>
        <v>#VALUE!</v>
      </c>
      <c r="HI1" t="e">
        <f>'All regions'!D22+"n/&gt;!%L"</f>
        <v>#VALUE!</v>
      </c>
      <c r="HJ1" t="e">
        <f>'All regions'!E22+"n/&gt;!%M"</f>
        <v>#VALUE!</v>
      </c>
      <c r="HK1" t="e">
        <f>'All regions'!F22+"n/&gt;!%N"</f>
        <v>#VALUE!</v>
      </c>
      <c r="HL1" t="e">
        <f>'All regions'!G22+"n/&gt;!%O"</f>
        <v>#VALUE!</v>
      </c>
      <c r="HM1" t="e">
        <f>'All regions'!H22+"n/&gt;!%P"</f>
        <v>#VALUE!</v>
      </c>
      <c r="HN1" t="e">
        <f>'All regions'!I22+"n/&gt;!%Q"</f>
        <v>#VALUE!</v>
      </c>
      <c r="HO1" t="e">
        <f>'All regions'!J22+"n/&gt;!%R"</f>
        <v>#VALUE!</v>
      </c>
      <c r="HP1" t="e">
        <f>'All regions'!A23+"n/&gt;!%S"</f>
        <v>#VALUE!</v>
      </c>
      <c r="HQ1" t="e">
        <f>'All regions'!B23+"n/&gt;!%T"</f>
        <v>#VALUE!</v>
      </c>
      <c r="HR1" t="e">
        <f>'All regions'!C23+"n/&gt;!%U"</f>
        <v>#VALUE!</v>
      </c>
      <c r="HS1" t="e">
        <f>'All regions'!D23+"n/&gt;!%V"</f>
        <v>#VALUE!</v>
      </c>
      <c r="HT1" t="e">
        <f>'All regions'!E23+"n/&gt;!%W"</f>
        <v>#VALUE!</v>
      </c>
      <c r="HU1" t="e">
        <f>'All regions'!F23+"n/&gt;!%X"</f>
        <v>#VALUE!</v>
      </c>
      <c r="HV1" t="e">
        <f>'All regions'!G23+"n/&gt;!%Y"</f>
        <v>#VALUE!</v>
      </c>
      <c r="HW1" t="e">
        <f>'All regions'!H23+"n/&gt;!%Z"</f>
        <v>#VALUE!</v>
      </c>
      <c r="HX1" t="e">
        <f>'All regions'!I23+"n/&gt;!%["</f>
        <v>#VALUE!</v>
      </c>
      <c r="HY1" t="e">
        <f>'All regions'!J23+"n/&gt;!%\"</f>
        <v>#VALUE!</v>
      </c>
      <c r="HZ1" t="e">
        <f>'All regions'!A24+"n/&gt;!%]"</f>
        <v>#VALUE!</v>
      </c>
      <c r="IA1" t="e">
        <f>'All regions'!B24+"n/&gt;!%^"</f>
        <v>#VALUE!</v>
      </c>
      <c r="IB1" t="e">
        <f>'All regions'!C24+"n/&gt;!%_"</f>
        <v>#VALUE!</v>
      </c>
      <c r="IC1" t="e">
        <f>'All regions'!D24+"n/&gt;!%`"</f>
        <v>#VALUE!</v>
      </c>
      <c r="ID1" t="e">
        <f>'All regions'!E24+"n/&gt;!%a"</f>
        <v>#VALUE!</v>
      </c>
      <c r="IE1" t="e">
        <f>'All regions'!F24+"n/&gt;!%b"</f>
        <v>#VALUE!</v>
      </c>
      <c r="IF1" t="e">
        <f>'All regions'!G24+"n/&gt;!%c"</f>
        <v>#VALUE!</v>
      </c>
      <c r="IG1" t="e">
        <f>'All regions'!H24+"n/&gt;!%d"</f>
        <v>#VALUE!</v>
      </c>
      <c r="IH1" t="e">
        <f>'All regions'!I24+"n/&gt;!%e"</f>
        <v>#VALUE!</v>
      </c>
      <c r="II1" t="e">
        <f>'All regions'!J24+"n/&gt;!%f"</f>
        <v>#VALUE!</v>
      </c>
      <c r="IJ1" t="e">
        <f>'All regions'!A25+"n/&gt;!%g"</f>
        <v>#VALUE!</v>
      </c>
      <c r="IK1" t="e">
        <f>'All regions'!B25+"n/&gt;!%h"</f>
        <v>#VALUE!</v>
      </c>
      <c r="IL1" t="e">
        <f>'All regions'!C25+"n/&gt;!%i"</f>
        <v>#VALUE!</v>
      </c>
      <c r="IM1" t="e">
        <f>'All regions'!D25+"n/&gt;!%j"</f>
        <v>#VALUE!</v>
      </c>
      <c r="IN1" t="e">
        <f>'All regions'!E25+"n/&gt;!%k"</f>
        <v>#VALUE!</v>
      </c>
      <c r="IO1" t="e">
        <f>'All regions'!F25+"n/&gt;!%l"</f>
        <v>#VALUE!</v>
      </c>
      <c r="IP1" t="e">
        <f>'All regions'!G25+"n/&gt;!%m"</f>
        <v>#VALUE!</v>
      </c>
      <c r="IQ1" t="e">
        <f>'All regions'!H25+"n/&gt;!%n"</f>
        <v>#VALUE!</v>
      </c>
      <c r="IR1" t="e">
        <f>'All regions'!I25+"n/&gt;!%o"</f>
        <v>#VALUE!</v>
      </c>
      <c r="IS1" t="e">
        <f>'All regions'!J25+"n/&gt;!%p"</f>
        <v>#VALUE!</v>
      </c>
      <c r="IT1" t="e">
        <f>'All regions'!A26+"n/&gt;!%q"</f>
        <v>#VALUE!</v>
      </c>
      <c r="IU1" t="e">
        <f>'All regions'!B26+"n/&gt;!%r"</f>
        <v>#VALUE!</v>
      </c>
      <c r="IV1" t="e">
        <f>'All regions'!C26+"n/&gt;!%s"</f>
        <v>#VALUE!</v>
      </c>
    </row>
    <row r="2" spans="1:256" x14ac:dyDescent="0.35">
      <c r="A2" t="s">
        <v>3011</v>
      </c>
      <c r="F2" t="e">
        <f>'All regions'!D26+"n/&gt;!%t"</f>
        <v>#VALUE!</v>
      </c>
      <c r="G2" t="e">
        <f>'All regions'!E26+"n/&gt;!%u"</f>
        <v>#VALUE!</v>
      </c>
      <c r="H2" t="e">
        <f>'All regions'!F26+"n/&gt;!%v"</f>
        <v>#VALUE!</v>
      </c>
      <c r="I2" t="e">
        <f>'All regions'!G26+"n/&gt;!%w"</f>
        <v>#VALUE!</v>
      </c>
      <c r="J2" t="e">
        <f>'All regions'!H26+"n/&gt;!%x"</f>
        <v>#VALUE!</v>
      </c>
      <c r="K2" t="e">
        <f>'All regions'!I26+"n/&gt;!%y"</f>
        <v>#VALUE!</v>
      </c>
      <c r="L2" t="e">
        <f>'All regions'!J26+"n/&gt;!%z"</f>
        <v>#VALUE!</v>
      </c>
      <c r="M2" t="e">
        <f>'All regions'!A27+"n/&gt;!%{"</f>
        <v>#VALUE!</v>
      </c>
      <c r="N2" t="e">
        <f>'All regions'!B27+"n/&gt;!%|"</f>
        <v>#VALUE!</v>
      </c>
      <c r="O2" t="e">
        <f>'All regions'!C27+"n/&gt;!%}"</f>
        <v>#VALUE!</v>
      </c>
      <c r="P2" t="e">
        <f>'All regions'!D27+"n/&gt;!%~"</f>
        <v>#VALUE!</v>
      </c>
      <c r="Q2" t="e">
        <f>'All regions'!E27+"n/&gt;!&amp;#"</f>
        <v>#VALUE!</v>
      </c>
      <c r="R2" t="e">
        <f>'All regions'!F27+"n/&gt;!&amp;$"</f>
        <v>#VALUE!</v>
      </c>
      <c r="S2" t="e">
        <f>'All regions'!G27+"n/&gt;!&amp;%"</f>
        <v>#VALUE!</v>
      </c>
      <c r="T2" t="e">
        <f>'All regions'!H27+"n/&gt;!&amp;&amp;"</f>
        <v>#VALUE!</v>
      </c>
      <c r="U2" t="e">
        <f>'All regions'!I27+"n/&gt;!&amp;'"</f>
        <v>#VALUE!</v>
      </c>
      <c r="V2" t="e">
        <f>'All regions'!J27+"n/&gt;!&amp;("</f>
        <v>#VALUE!</v>
      </c>
      <c r="W2" t="e">
        <f>'All regions'!A28+"n/&gt;!&amp;)"</f>
        <v>#VALUE!</v>
      </c>
      <c r="X2" t="e">
        <f>'All regions'!B28+"n/&gt;!&amp;."</f>
        <v>#VALUE!</v>
      </c>
      <c r="Y2" t="e">
        <f>'All regions'!C28+"n/&gt;!&amp;/"</f>
        <v>#VALUE!</v>
      </c>
      <c r="Z2" t="e">
        <f>'All regions'!D28+"n/&gt;!&amp;0"</f>
        <v>#VALUE!</v>
      </c>
      <c r="AA2" t="e">
        <f>'All regions'!E28+"n/&gt;!&amp;1"</f>
        <v>#VALUE!</v>
      </c>
      <c r="AB2" t="e">
        <f>'All regions'!F28+"n/&gt;!&amp;2"</f>
        <v>#VALUE!</v>
      </c>
      <c r="AC2" t="e">
        <f>'All regions'!G28+"n/&gt;!&amp;3"</f>
        <v>#VALUE!</v>
      </c>
      <c r="AD2" t="e">
        <f>'All regions'!H28+"n/&gt;!&amp;4"</f>
        <v>#VALUE!</v>
      </c>
      <c r="AE2" t="e">
        <f>'All regions'!I28+"n/&gt;!&amp;5"</f>
        <v>#VALUE!</v>
      </c>
      <c r="AF2" t="e">
        <f>'All regions'!J28+"n/&gt;!&amp;6"</f>
        <v>#VALUE!</v>
      </c>
      <c r="AG2" t="e">
        <f>'All regions'!A29+"n/&gt;!&amp;7"</f>
        <v>#VALUE!</v>
      </c>
      <c r="AH2" t="e">
        <f>'All regions'!B29+"n/&gt;!&amp;8"</f>
        <v>#VALUE!</v>
      </c>
      <c r="AI2" t="e">
        <f>'All regions'!C29+"n/&gt;!&amp;9"</f>
        <v>#VALUE!</v>
      </c>
      <c r="AJ2" t="e">
        <f>'All regions'!D29+"n/&gt;!&amp;:"</f>
        <v>#VALUE!</v>
      </c>
      <c r="AK2" t="e">
        <f>'All regions'!E29+"n/&gt;!&amp;;"</f>
        <v>#VALUE!</v>
      </c>
      <c r="AL2" t="e">
        <f>'All regions'!F29+"n/&gt;!&amp;&lt;"</f>
        <v>#VALUE!</v>
      </c>
      <c r="AM2" t="e">
        <f>'All regions'!G29+"n/&gt;!&amp;="</f>
        <v>#VALUE!</v>
      </c>
      <c r="AN2" t="e">
        <f>'All regions'!H29+"n/&gt;!&amp;&gt;"</f>
        <v>#VALUE!</v>
      </c>
      <c r="AO2" t="e">
        <f>'All regions'!I29+"n/&gt;!&amp;?"</f>
        <v>#VALUE!</v>
      </c>
      <c r="AP2" t="e">
        <f>'All regions'!J29+"n/&gt;!&amp;@"</f>
        <v>#VALUE!</v>
      </c>
      <c r="AQ2" t="e">
        <f>'All regions'!A30+"n/&gt;!&amp;A"</f>
        <v>#VALUE!</v>
      </c>
      <c r="AR2" t="e">
        <f>'All regions'!B30+"n/&gt;!&amp;B"</f>
        <v>#VALUE!</v>
      </c>
      <c r="AS2" t="e">
        <f>'All regions'!C30+"n/&gt;!&amp;C"</f>
        <v>#VALUE!</v>
      </c>
      <c r="AT2" t="e">
        <f>'All regions'!D30+"n/&gt;!&amp;D"</f>
        <v>#VALUE!</v>
      </c>
      <c r="AU2" t="e">
        <f>'All regions'!E30+"n/&gt;!&amp;E"</f>
        <v>#VALUE!</v>
      </c>
      <c r="AV2" t="e">
        <f>'All regions'!F30+"n/&gt;!&amp;F"</f>
        <v>#VALUE!</v>
      </c>
      <c r="AW2" t="e">
        <f>'All regions'!G30+"n/&gt;!&amp;G"</f>
        <v>#VALUE!</v>
      </c>
      <c r="AX2" t="e">
        <f>'All regions'!H30+"n/&gt;!&amp;H"</f>
        <v>#VALUE!</v>
      </c>
      <c r="AY2" t="e">
        <f>'All regions'!I30+"n/&gt;!&amp;I"</f>
        <v>#VALUE!</v>
      </c>
      <c r="AZ2" t="e">
        <f>'All regions'!J30+"n/&gt;!&amp;J"</f>
        <v>#VALUE!</v>
      </c>
      <c r="BA2" t="e">
        <f>'All regions'!A31+"n/&gt;!&amp;K"</f>
        <v>#VALUE!</v>
      </c>
      <c r="BB2" t="e">
        <f>'All regions'!B31+"n/&gt;!&amp;L"</f>
        <v>#VALUE!</v>
      </c>
      <c r="BC2" t="e">
        <f>'All regions'!C31+"n/&gt;!&amp;M"</f>
        <v>#VALUE!</v>
      </c>
      <c r="BD2" t="e">
        <f>'All regions'!D31+"n/&gt;!&amp;N"</f>
        <v>#VALUE!</v>
      </c>
      <c r="BE2" t="e">
        <f>'All regions'!E31+"n/&gt;!&amp;O"</f>
        <v>#VALUE!</v>
      </c>
      <c r="BF2" t="e">
        <f>'All regions'!F31+"n/&gt;!&amp;P"</f>
        <v>#VALUE!</v>
      </c>
      <c r="BG2" t="e">
        <f>'All regions'!G31+"n/&gt;!&amp;Q"</f>
        <v>#VALUE!</v>
      </c>
      <c r="BH2" t="e">
        <f>'All regions'!H31+"n/&gt;!&amp;R"</f>
        <v>#VALUE!</v>
      </c>
      <c r="BI2" t="e">
        <f>'All regions'!I31+"n/&gt;!&amp;S"</f>
        <v>#VALUE!</v>
      </c>
      <c r="BJ2" t="e">
        <f>'All regions'!J31+"n/&gt;!&amp;T"</f>
        <v>#VALUE!</v>
      </c>
      <c r="BK2" t="e">
        <f>'All regions'!A32+"n/&gt;!&amp;U"</f>
        <v>#VALUE!</v>
      </c>
      <c r="BL2" t="e">
        <f>'All regions'!B32+"n/&gt;!&amp;V"</f>
        <v>#VALUE!</v>
      </c>
      <c r="BM2" t="e">
        <f>'All regions'!C32+"n/&gt;!&amp;W"</f>
        <v>#VALUE!</v>
      </c>
      <c r="BN2" t="e">
        <f>'All regions'!D32+"n/&gt;!&amp;X"</f>
        <v>#VALUE!</v>
      </c>
      <c r="BO2" t="e">
        <f>'All regions'!E32+"n/&gt;!&amp;Y"</f>
        <v>#VALUE!</v>
      </c>
      <c r="BP2" t="e">
        <f>'All regions'!F32+"n/&gt;!&amp;Z"</f>
        <v>#VALUE!</v>
      </c>
      <c r="BQ2" t="e">
        <f>'All regions'!G32+"n/&gt;!&amp;["</f>
        <v>#VALUE!</v>
      </c>
      <c r="BR2" t="e">
        <f>'All regions'!H32+"n/&gt;!&amp;\"</f>
        <v>#VALUE!</v>
      </c>
      <c r="BS2" t="e">
        <f>'All regions'!I32+"n/&gt;!&amp;]"</f>
        <v>#VALUE!</v>
      </c>
      <c r="BT2" t="e">
        <f>'All regions'!J32+"n/&gt;!&amp;^"</f>
        <v>#VALUE!</v>
      </c>
      <c r="BU2" t="e">
        <f>'All regions'!A33+"n/&gt;!&amp;_"</f>
        <v>#VALUE!</v>
      </c>
      <c r="BV2" t="e">
        <f>'All regions'!B33+"n/&gt;!&amp;`"</f>
        <v>#VALUE!</v>
      </c>
      <c r="BW2" t="e">
        <f>'All regions'!C33+"n/&gt;!&amp;a"</f>
        <v>#VALUE!</v>
      </c>
      <c r="BX2" t="e">
        <f>'All regions'!D33+"n/&gt;!&amp;b"</f>
        <v>#VALUE!</v>
      </c>
      <c r="BY2" t="e">
        <f>'All regions'!E33+"n/&gt;!&amp;c"</f>
        <v>#VALUE!</v>
      </c>
      <c r="BZ2" t="e">
        <f>'All regions'!F33+"n/&gt;!&amp;d"</f>
        <v>#VALUE!</v>
      </c>
      <c r="CA2" t="e">
        <f>'All regions'!G33+"n/&gt;!&amp;e"</f>
        <v>#VALUE!</v>
      </c>
      <c r="CB2" t="e">
        <f>'All regions'!H33+"n/&gt;!&amp;f"</f>
        <v>#VALUE!</v>
      </c>
      <c r="CC2" t="e">
        <f>'All regions'!I33+"n/&gt;!&amp;g"</f>
        <v>#VALUE!</v>
      </c>
      <c r="CD2" t="e">
        <f>'All regions'!J33+"n/&gt;!&amp;h"</f>
        <v>#VALUE!</v>
      </c>
      <c r="CE2" t="e">
        <f>'All regions'!A34+"n/&gt;!&amp;i"</f>
        <v>#VALUE!</v>
      </c>
      <c r="CF2" t="e">
        <f>'All regions'!B34+"n/&gt;!&amp;j"</f>
        <v>#VALUE!</v>
      </c>
      <c r="CG2" t="e">
        <f>'All regions'!C34+"n/&gt;!&amp;k"</f>
        <v>#VALUE!</v>
      </c>
      <c r="CH2" t="e">
        <f>'All regions'!D34+"n/&gt;!&amp;l"</f>
        <v>#VALUE!</v>
      </c>
      <c r="CI2" t="e">
        <f>'All regions'!E34+"n/&gt;!&amp;m"</f>
        <v>#VALUE!</v>
      </c>
      <c r="CJ2" t="e">
        <f>'All regions'!F34+"n/&gt;!&amp;n"</f>
        <v>#VALUE!</v>
      </c>
      <c r="CK2" t="e">
        <f>'All regions'!G34+"n/&gt;!&amp;o"</f>
        <v>#VALUE!</v>
      </c>
      <c r="CL2" t="e">
        <f>'All regions'!H34+"n/&gt;!&amp;p"</f>
        <v>#VALUE!</v>
      </c>
      <c r="CM2" t="e">
        <f>'All regions'!I34+"n/&gt;!&amp;q"</f>
        <v>#VALUE!</v>
      </c>
      <c r="CN2" t="e">
        <f>'All regions'!J34+"n/&gt;!&amp;r"</f>
        <v>#VALUE!</v>
      </c>
      <c r="CO2" t="e">
        <f>'All regions'!A35+"n/&gt;!&amp;s"</f>
        <v>#VALUE!</v>
      </c>
      <c r="CP2" t="e">
        <f>'All regions'!B35+"n/&gt;!&amp;t"</f>
        <v>#VALUE!</v>
      </c>
      <c r="CQ2" t="e">
        <f>'All regions'!C35+"n/&gt;!&amp;u"</f>
        <v>#VALUE!</v>
      </c>
      <c r="CR2" t="e">
        <f>'All regions'!D35+"n/&gt;!&amp;v"</f>
        <v>#VALUE!</v>
      </c>
      <c r="CS2" t="e">
        <f>'All regions'!E35+"n/&gt;!&amp;w"</f>
        <v>#VALUE!</v>
      </c>
      <c r="CT2" t="e">
        <f>'All regions'!F35+"n/&gt;!&amp;x"</f>
        <v>#VALUE!</v>
      </c>
      <c r="CU2" t="e">
        <f>'All regions'!G35+"n/&gt;!&amp;y"</f>
        <v>#VALUE!</v>
      </c>
      <c r="CV2" t="e">
        <f>'All regions'!H35+"n/&gt;!&amp;z"</f>
        <v>#VALUE!</v>
      </c>
      <c r="CW2" t="e">
        <f>'All regions'!I35+"n/&gt;!&amp;{"</f>
        <v>#VALUE!</v>
      </c>
      <c r="CX2" t="e">
        <f>'All regions'!J35+"n/&gt;!&amp;|"</f>
        <v>#VALUE!</v>
      </c>
      <c r="CY2" t="e">
        <f>'All regions'!A36+"n/&gt;!&amp;}"</f>
        <v>#VALUE!</v>
      </c>
      <c r="CZ2" t="e">
        <f>'All regions'!B36+"n/&gt;!&amp;~"</f>
        <v>#VALUE!</v>
      </c>
      <c r="DA2" t="e">
        <f>'All regions'!C36+"n/&gt;!'#"</f>
        <v>#VALUE!</v>
      </c>
      <c r="DB2" t="e">
        <f>'All regions'!D36+"n/&gt;!'$"</f>
        <v>#VALUE!</v>
      </c>
      <c r="DC2" t="e">
        <f>'All regions'!E36+"n/&gt;!'%"</f>
        <v>#VALUE!</v>
      </c>
      <c r="DD2" t="e">
        <f>'All regions'!F36+"n/&gt;!'&amp;"</f>
        <v>#VALUE!</v>
      </c>
      <c r="DE2" t="e">
        <f>'All regions'!G36+"n/&gt;!''"</f>
        <v>#VALUE!</v>
      </c>
      <c r="DF2" t="e">
        <f>'All regions'!H36+"n/&gt;!'("</f>
        <v>#VALUE!</v>
      </c>
      <c r="DG2" t="e">
        <f>'All regions'!I36+"n/&gt;!')"</f>
        <v>#VALUE!</v>
      </c>
      <c r="DH2" t="e">
        <f>'All regions'!J36+"n/&gt;!'."</f>
        <v>#VALUE!</v>
      </c>
      <c r="DI2" t="e">
        <f>'All regions'!A37+"n/&gt;!'/"</f>
        <v>#VALUE!</v>
      </c>
      <c r="DJ2" t="e">
        <f>'All regions'!B37+"n/&gt;!'0"</f>
        <v>#VALUE!</v>
      </c>
      <c r="DK2" t="e">
        <f>'All regions'!C37+"n/&gt;!'1"</f>
        <v>#VALUE!</v>
      </c>
      <c r="DL2" t="e">
        <f>'All regions'!D37+"n/&gt;!'2"</f>
        <v>#VALUE!</v>
      </c>
      <c r="DM2" t="e">
        <f>'All regions'!E37+"n/&gt;!'3"</f>
        <v>#VALUE!</v>
      </c>
      <c r="DN2" t="e">
        <f>'All regions'!F37+"n/&gt;!'4"</f>
        <v>#VALUE!</v>
      </c>
      <c r="DO2" t="e">
        <f>'All regions'!G37+"n/&gt;!'5"</f>
        <v>#VALUE!</v>
      </c>
      <c r="DP2" t="e">
        <f>'All regions'!H37+"n/&gt;!'6"</f>
        <v>#VALUE!</v>
      </c>
      <c r="DQ2" t="e">
        <f>'All regions'!I37+"n/&gt;!'7"</f>
        <v>#VALUE!</v>
      </c>
      <c r="DR2" t="e">
        <f>'All regions'!J37+"n/&gt;!'8"</f>
        <v>#VALUE!</v>
      </c>
      <c r="DS2" t="e">
        <f>'All regions'!A38+"n/&gt;!'9"</f>
        <v>#VALUE!</v>
      </c>
      <c r="DT2" t="e">
        <f>'All regions'!B38+"n/&gt;!':"</f>
        <v>#VALUE!</v>
      </c>
      <c r="DU2" t="e">
        <f>'All regions'!C38+"n/&gt;!';"</f>
        <v>#VALUE!</v>
      </c>
      <c r="DV2" t="e">
        <f>'All regions'!D38+"n/&gt;!'&lt;"</f>
        <v>#VALUE!</v>
      </c>
      <c r="DW2" t="e">
        <f>'All regions'!E38+"n/&gt;!'="</f>
        <v>#VALUE!</v>
      </c>
      <c r="DX2" t="e">
        <f>'All regions'!F38+"n/&gt;!'&gt;"</f>
        <v>#VALUE!</v>
      </c>
      <c r="DY2" t="e">
        <f>'All regions'!G38+"n/&gt;!'?"</f>
        <v>#VALUE!</v>
      </c>
      <c r="DZ2" t="e">
        <f>'All regions'!H38+"n/&gt;!'@"</f>
        <v>#VALUE!</v>
      </c>
      <c r="EA2" t="e">
        <f>'All regions'!I38+"n/&gt;!'A"</f>
        <v>#VALUE!</v>
      </c>
      <c r="EB2" t="e">
        <f>'All regions'!J38+"n/&gt;!'B"</f>
        <v>#VALUE!</v>
      </c>
      <c r="EC2" t="e">
        <f>'All regions'!A39+"n/&gt;!'C"</f>
        <v>#VALUE!</v>
      </c>
      <c r="ED2" t="e">
        <f>'All regions'!B39+"n/&gt;!'D"</f>
        <v>#VALUE!</v>
      </c>
      <c r="EE2" t="e">
        <f>'All regions'!C39+"n/&gt;!'E"</f>
        <v>#VALUE!</v>
      </c>
      <c r="EF2" t="e">
        <f>'All regions'!D39+"n/&gt;!'F"</f>
        <v>#VALUE!</v>
      </c>
      <c r="EG2" t="e">
        <f>'All regions'!E39+"n/&gt;!'G"</f>
        <v>#VALUE!</v>
      </c>
      <c r="EH2" t="e">
        <f>'All regions'!F39+"n/&gt;!'H"</f>
        <v>#VALUE!</v>
      </c>
      <c r="EI2" t="e">
        <f>'All regions'!G39+"n/&gt;!'I"</f>
        <v>#VALUE!</v>
      </c>
      <c r="EJ2" t="e">
        <f>'All regions'!H39+"n/&gt;!'J"</f>
        <v>#VALUE!</v>
      </c>
      <c r="EK2" t="e">
        <f>'All regions'!I39+"n/&gt;!'K"</f>
        <v>#VALUE!</v>
      </c>
      <c r="EL2" t="e">
        <f>'All regions'!J39+"n/&gt;!'L"</f>
        <v>#VALUE!</v>
      </c>
      <c r="EM2" t="e">
        <f>'All regions'!A40+"n/&gt;!'M"</f>
        <v>#VALUE!</v>
      </c>
      <c r="EN2" t="e">
        <f>'All regions'!B40+"n/&gt;!'N"</f>
        <v>#VALUE!</v>
      </c>
      <c r="EO2" t="e">
        <f>'All regions'!C40+"n/&gt;!'O"</f>
        <v>#VALUE!</v>
      </c>
      <c r="EP2" t="e">
        <f>'All regions'!D40+"n/&gt;!'P"</f>
        <v>#VALUE!</v>
      </c>
      <c r="EQ2" t="e">
        <f>'All regions'!E40+"n/&gt;!'Q"</f>
        <v>#VALUE!</v>
      </c>
      <c r="ER2" t="e">
        <f>'All regions'!F40+"n/&gt;!'R"</f>
        <v>#VALUE!</v>
      </c>
      <c r="ES2" t="e">
        <f>'All regions'!G40+"n/&gt;!'S"</f>
        <v>#VALUE!</v>
      </c>
      <c r="ET2" t="e">
        <f>'All regions'!H40+"n/&gt;!'T"</f>
        <v>#VALUE!</v>
      </c>
      <c r="EU2" t="e">
        <f>'All regions'!I40+"n/&gt;!'U"</f>
        <v>#VALUE!</v>
      </c>
      <c r="EV2" t="e">
        <f>'All regions'!J40+"n/&gt;!'V"</f>
        <v>#VALUE!</v>
      </c>
      <c r="EW2" t="e">
        <f>'All regions'!A41+"n/&gt;!'W"</f>
        <v>#VALUE!</v>
      </c>
      <c r="EX2" t="e">
        <f>'All regions'!B41+"n/&gt;!'X"</f>
        <v>#VALUE!</v>
      </c>
      <c r="EY2" t="e">
        <f>'All regions'!C41+"n/&gt;!'Y"</f>
        <v>#VALUE!</v>
      </c>
      <c r="EZ2" t="e">
        <f>'All regions'!D41+"n/&gt;!'Z"</f>
        <v>#VALUE!</v>
      </c>
      <c r="FA2" t="e">
        <f>'All regions'!E41+"n/&gt;!'["</f>
        <v>#VALUE!</v>
      </c>
      <c r="FB2" t="e">
        <f>'All regions'!F41+"n/&gt;!'\"</f>
        <v>#VALUE!</v>
      </c>
      <c r="FC2" t="e">
        <f>'All regions'!G41+"n/&gt;!']"</f>
        <v>#VALUE!</v>
      </c>
      <c r="FD2" t="e">
        <f>'All regions'!H41+"n/&gt;!'^"</f>
        <v>#VALUE!</v>
      </c>
      <c r="FE2" t="e">
        <f>'All regions'!I41+"n/&gt;!'_"</f>
        <v>#VALUE!</v>
      </c>
      <c r="FF2" t="e">
        <f>'All regions'!J41+"n/&gt;!'`"</f>
        <v>#VALUE!</v>
      </c>
      <c r="FG2" t="e">
        <f>'All regions'!A42+"n/&gt;!'a"</f>
        <v>#VALUE!</v>
      </c>
      <c r="FH2" t="e">
        <f>'All regions'!B42+"n/&gt;!'b"</f>
        <v>#VALUE!</v>
      </c>
      <c r="FI2" t="e">
        <f>'All regions'!C42+"n/&gt;!'c"</f>
        <v>#VALUE!</v>
      </c>
      <c r="FJ2" t="e">
        <f>'All regions'!D42+"n/&gt;!'d"</f>
        <v>#VALUE!</v>
      </c>
      <c r="FK2" t="e">
        <f>'All regions'!E42+"n/&gt;!'e"</f>
        <v>#VALUE!</v>
      </c>
      <c r="FL2" t="e">
        <f>'All regions'!F42+"n/&gt;!'f"</f>
        <v>#VALUE!</v>
      </c>
      <c r="FM2" t="e">
        <f>'All regions'!G42+"n/&gt;!'g"</f>
        <v>#VALUE!</v>
      </c>
      <c r="FN2" t="e">
        <f>'All regions'!H42+"n/&gt;!'h"</f>
        <v>#VALUE!</v>
      </c>
      <c r="FO2" t="e">
        <f>'All regions'!I42+"n/&gt;!'i"</f>
        <v>#VALUE!</v>
      </c>
      <c r="FP2" t="e">
        <f>'All regions'!J42+"n/&gt;!'j"</f>
        <v>#VALUE!</v>
      </c>
      <c r="FQ2" t="e">
        <f>'All regions'!A43+"n/&gt;!'k"</f>
        <v>#VALUE!</v>
      </c>
      <c r="FR2" t="e">
        <f>'All regions'!B43+"n/&gt;!'l"</f>
        <v>#VALUE!</v>
      </c>
      <c r="FS2" t="e">
        <f>'All regions'!C43+"n/&gt;!'m"</f>
        <v>#VALUE!</v>
      </c>
      <c r="FT2" t="e">
        <f>'All regions'!D43+"n/&gt;!'n"</f>
        <v>#VALUE!</v>
      </c>
      <c r="FU2" t="e">
        <f>'All regions'!E43+"n/&gt;!'o"</f>
        <v>#VALUE!</v>
      </c>
      <c r="FV2" t="e">
        <f>'All regions'!F43+"n/&gt;!'p"</f>
        <v>#VALUE!</v>
      </c>
      <c r="FW2" t="e">
        <f>'All regions'!G43+"n/&gt;!'q"</f>
        <v>#VALUE!</v>
      </c>
      <c r="FX2" t="e">
        <f>'All regions'!H43+"n/&gt;!'r"</f>
        <v>#VALUE!</v>
      </c>
      <c r="FY2" t="e">
        <f>'All regions'!I43+"n/&gt;!'s"</f>
        <v>#VALUE!</v>
      </c>
      <c r="FZ2" t="e">
        <f>'All regions'!J43+"n/&gt;!'t"</f>
        <v>#VALUE!</v>
      </c>
      <c r="GA2" t="e">
        <f>'All regions'!A44+"n/&gt;!'u"</f>
        <v>#VALUE!</v>
      </c>
      <c r="GB2" t="e">
        <f>'All regions'!B44+"n/&gt;!'v"</f>
        <v>#VALUE!</v>
      </c>
      <c r="GC2" t="e">
        <f>'All regions'!C44+"n/&gt;!'w"</f>
        <v>#VALUE!</v>
      </c>
      <c r="GD2" t="e">
        <f>'All regions'!D44+"n/&gt;!'x"</f>
        <v>#VALUE!</v>
      </c>
      <c r="GE2" t="e">
        <f>'All regions'!E44+"n/&gt;!'y"</f>
        <v>#VALUE!</v>
      </c>
      <c r="GF2" t="e">
        <f>'All regions'!F44+"n/&gt;!'z"</f>
        <v>#VALUE!</v>
      </c>
      <c r="GG2" t="e">
        <f>'All regions'!G44+"n/&gt;!'{"</f>
        <v>#VALUE!</v>
      </c>
      <c r="GH2" t="e">
        <f>'All regions'!H44+"n/&gt;!'|"</f>
        <v>#VALUE!</v>
      </c>
      <c r="GI2" t="e">
        <f>'All regions'!I44+"n/&gt;!'}"</f>
        <v>#VALUE!</v>
      </c>
      <c r="GJ2" t="e">
        <f>'All regions'!J44+"n/&gt;!'~"</f>
        <v>#VALUE!</v>
      </c>
      <c r="GK2" t="e">
        <f>'All regions'!A45+"n/&gt;!(#"</f>
        <v>#VALUE!</v>
      </c>
      <c r="GL2" t="e">
        <f>'All regions'!B45+"n/&gt;!($"</f>
        <v>#VALUE!</v>
      </c>
      <c r="GM2" t="e">
        <f>'All regions'!C45+"n/&gt;!(%"</f>
        <v>#VALUE!</v>
      </c>
      <c r="GN2" t="e">
        <f>'All regions'!D45+"n/&gt;!(&amp;"</f>
        <v>#VALUE!</v>
      </c>
      <c r="GO2" t="e">
        <f>'All regions'!E45+"n/&gt;!('"</f>
        <v>#VALUE!</v>
      </c>
      <c r="GP2" t="e">
        <f>'All regions'!F45+"n/&gt;!(("</f>
        <v>#VALUE!</v>
      </c>
      <c r="GQ2" t="e">
        <f>'All regions'!G45+"n/&gt;!()"</f>
        <v>#VALUE!</v>
      </c>
      <c r="GR2" t="e">
        <f>'All regions'!H45+"n/&gt;!(."</f>
        <v>#VALUE!</v>
      </c>
      <c r="GS2" t="e">
        <f>'All regions'!I45+"n/&gt;!(/"</f>
        <v>#VALUE!</v>
      </c>
      <c r="GT2" t="e">
        <f>'All regions'!J45+"n/&gt;!(0"</f>
        <v>#VALUE!</v>
      </c>
      <c r="GU2" t="e">
        <f>'All regions'!A46+"n/&gt;!(1"</f>
        <v>#VALUE!</v>
      </c>
      <c r="GV2" t="e">
        <f>'All regions'!B46+"n/&gt;!(2"</f>
        <v>#VALUE!</v>
      </c>
      <c r="GW2" t="e">
        <f>'All regions'!C46+"n/&gt;!(3"</f>
        <v>#VALUE!</v>
      </c>
      <c r="GX2" t="e">
        <f>'All regions'!D46+"n/&gt;!(4"</f>
        <v>#VALUE!</v>
      </c>
      <c r="GY2" t="e">
        <f>'All regions'!E46+"n/&gt;!(5"</f>
        <v>#VALUE!</v>
      </c>
      <c r="GZ2" t="e">
        <f>'All regions'!F46+"n/&gt;!(6"</f>
        <v>#VALUE!</v>
      </c>
      <c r="HA2" t="e">
        <f>'All regions'!G46+"n/&gt;!(7"</f>
        <v>#VALUE!</v>
      </c>
      <c r="HB2" t="e">
        <f>'All regions'!H46+"n/&gt;!(8"</f>
        <v>#VALUE!</v>
      </c>
      <c r="HC2" t="e">
        <f>'All regions'!I46+"n/&gt;!(9"</f>
        <v>#VALUE!</v>
      </c>
      <c r="HD2" t="e">
        <f>'All regions'!J46+"n/&gt;!(:"</f>
        <v>#VALUE!</v>
      </c>
      <c r="HE2" t="e">
        <f>'All regions'!A47+"n/&gt;!(;"</f>
        <v>#VALUE!</v>
      </c>
      <c r="HF2" t="e">
        <f>'All regions'!B47+"n/&gt;!(&lt;"</f>
        <v>#VALUE!</v>
      </c>
      <c r="HG2" t="e">
        <f>'All regions'!C47+"n/&gt;!(="</f>
        <v>#VALUE!</v>
      </c>
      <c r="HH2" t="e">
        <f>'All regions'!D47+"n/&gt;!(&gt;"</f>
        <v>#VALUE!</v>
      </c>
      <c r="HI2" t="e">
        <f>'All regions'!E47+"n/&gt;!(?"</f>
        <v>#VALUE!</v>
      </c>
      <c r="HJ2" t="e">
        <f>'All regions'!F47+"n/&gt;!(@"</f>
        <v>#VALUE!</v>
      </c>
      <c r="HK2" t="e">
        <f>'All regions'!G47+"n/&gt;!(A"</f>
        <v>#VALUE!</v>
      </c>
      <c r="HL2" t="e">
        <f>'All regions'!H47+"n/&gt;!(B"</f>
        <v>#VALUE!</v>
      </c>
      <c r="HM2" t="e">
        <f>'All regions'!I47+"n/&gt;!(C"</f>
        <v>#VALUE!</v>
      </c>
      <c r="HN2" t="e">
        <f>'All regions'!J47+"n/&gt;!(D"</f>
        <v>#VALUE!</v>
      </c>
      <c r="HO2" t="e">
        <f>'All regions'!A48+"n/&gt;!(E"</f>
        <v>#VALUE!</v>
      </c>
      <c r="HP2" t="e">
        <f>'All regions'!B48+"n/&gt;!(F"</f>
        <v>#VALUE!</v>
      </c>
      <c r="HQ2" t="e">
        <f>'All regions'!C48+"n/&gt;!(G"</f>
        <v>#VALUE!</v>
      </c>
      <c r="HR2" t="e">
        <f>'All regions'!D48+"n/&gt;!(H"</f>
        <v>#VALUE!</v>
      </c>
      <c r="HS2" t="e">
        <f>'All regions'!E48+"n/&gt;!(I"</f>
        <v>#VALUE!</v>
      </c>
      <c r="HT2" t="e">
        <f>'All regions'!F48+"n/&gt;!(J"</f>
        <v>#VALUE!</v>
      </c>
      <c r="HU2" t="e">
        <f>'All regions'!G48+"n/&gt;!(K"</f>
        <v>#VALUE!</v>
      </c>
      <c r="HV2" t="e">
        <f>'All regions'!H48+"n/&gt;!(L"</f>
        <v>#VALUE!</v>
      </c>
      <c r="HW2" t="e">
        <f>'All regions'!I48+"n/&gt;!(M"</f>
        <v>#VALUE!</v>
      </c>
      <c r="HX2" t="e">
        <f>'All regions'!J48+"n/&gt;!(N"</f>
        <v>#VALUE!</v>
      </c>
      <c r="HY2" t="e">
        <f>'All regions'!A49+"n/&gt;!(O"</f>
        <v>#VALUE!</v>
      </c>
      <c r="HZ2" t="e">
        <f>'All regions'!B49+"n/&gt;!(P"</f>
        <v>#VALUE!</v>
      </c>
      <c r="IA2" t="e">
        <f>'All regions'!C49+"n/&gt;!(Q"</f>
        <v>#VALUE!</v>
      </c>
      <c r="IB2" t="e">
        <f>'All regions'!D49+"n/&gt;!(R"</f>
        <v>#VALUE!</v>
      </c>
      <c r="IC2" t="e">
        <f>'All regions'!E49+"n/&gt;!(S"</f>
        <v>#VALUE!</v>
      </c>
      <c r="ID2" t="e">
        <f>'All regions'!F49+"n/&gt;!(T"</f>
        <v>#VALUE!</v>
      </c>
      <c r="IE2" t="e">
        <f>'All regions'!G49+"n/&gt;!(U"</f>
        <v>#VALUE!</v>
      </c>
      <c r="IF2" t="e">
        <f>'All regions'!H49+"n/&gt;!(V"</f>
        <v>#VALUE!</v>
      </c>
      <c r="IG2" t="e">
        <f>'All regions'!I49+"n/&gt;!(W"</f>
        <v>#VALUE!</v>
      </c>
      <c r="IH2" t="e">
        <f>'All regions'!J49+"n/&gt;!(X"</f>
        <v>#VALUE!</v>
      </c>
      <c r="II2" t="e">
        <f>'All regions'!A50+"n/&gt;!(Y"</f>
        <v>#VALUE!</v>
      </c>
      <c r="IJ2" t="e">
        <f>'All regions'!B50+"n/&gt;!(Z"</f>
        <v>#VALUE!</v>
      </c>
      <c r="IK2" t="e">
        <f>'All regions'!C50+"n/&gt;!(["</f>
        <v>#VALUE!</v>
      </c>
      <c r="IL2" t="e">
        <f>'All regions'!D50+"n/&gt;!(\"</f>
        <v>#VALUE!</v>
      </c>
      <c r="IM2" t="e">
        <f>'All regions'!E50+"n/&gt;!(]"</f>
        <v>#VALUE!</v>
      </c>
      <c r="IN2" t="e">
        <f>'All regions'!F50+"n/&gt;!(^"</f>
        <v>#VALUE!</v>
      </c>
      <c r="IO2" t="e">
        <f>'All regions'!G50+"n/&gt;!(_"</f>
        <v>#VALUE!</v>
      </c>
      <c r="IP2" t="e">
        <f>'All regions'!H50+"n/&gt;!(`"</f>
        <v>#VALUE!</v>
      </c>
      <c r="IQ2" t="e">
        <f>'All regions'!I50+"n/&gt;!(a"</f>
        <v>#VALUE!</v>
      </c>
      <c r="IR2" t="e">
        <f>'All regions'!J50+"n/&gt;!(b"</f>
        <v>#VALUE!</v>
      </c>
      <c r="IS2" t="e">
        <f>'All regions'!A51+"n/&gt;!(c"</f>
        <v>#VALUE!</v>
      </c>
      <c r="IT2" t="e">
        <f>'All regions'!B51+"n/&gt;!(d"</f>
        <v>#VALUE!</v>
      </c>
      <c r="IU2" t="e">
        <f>'All regions'!C51+"n/&gt;!(e"</f>
        <v>#VALUE!</v>
      </c>
      <c r="IV2" t="e">
        <f>'All regions'!D51+"n/&gt;!(f"</f>
        <v>#VALUE!</v>
      </c>
    </row>
    <row r="3" spans="1:256" x14ac:dyDescent="0.35">
      <c r="A3" t="s">
        <v>3012</v>
      </c>
      <c r="F3" t="e">
        <f>'All regions'!E51+"n/&gt;!(g"</f>
        <v>#VALUE!</v>
      </c>
      <c r="G3" t="e">
        <f>'All regions'!F51+"n/&gt;!(h"</f>
        <v>#VALUE!</v>
      </c>
      <c r="H3" t="e">
        <f>'All regions'!G51+"n/&gt;!(i"</f>
        <v>#VALUE!</v>
      </c>
      <c r="I3" t="e">
        <f>'All regions'!H51+"n/&gt;!(j"</f>
        <v>#VALUE!</v>
      </c>
      <c r="J3" t="e">
        <f>'All regions'!I51+"n/&gt;!(k"</f>
        <v>#VALUE!</v>
      </c>
      <c r="K3" t="e">
        <f>'All regions'!J51+"n/&gt;!(l"</f>
        <v>#VALUE!</v>
      </c>
      <c r="L3" t="e">
        <f>'All regions'!A52+"n/&gt;!(m"</f>
        <v>#VALUE!</v>
      </c>
      <c r="M3" t="e">
        <f>'All regions'!B52+"n/&gt;!(n"</f>
        <v>#VALUE!</v>
      </c>
      <c r="N3" t="e">
        <f>'All regions'!C52+"n/&gt;!(o"</f>
        <v>#VALUE!</v>
      </c>
      <c r="O3" t="e">
        <f>'All regions'!D52+"n/&gt;!(p"</f>
        <v>#VALUE!</v>
      </c>
      <c r="P3" t="e">
        <f>'All regions'!E52+"n/&gt;!(q"</f>
        <v>#VALUE!</v>
      </c>
      <c r="Q3" t="e">
        <f>'All regions'!F52+"n/&gt;!(r"</f>
        <v>#VALUE!</v>
      </c>
      <c r="R3" t="e">
        <f>'All regions'!G52+"n/&gt;!(s"</f>
        <v>#VALUE!</v>
      </c>
      <c r="S3" t="e">
        <f>'All regions'!H52+"n/&gt;!(t"</f>
        <v>#VALUE!</v>
      </c>
      <c r="T3" t="e">
        <f>'All regions'!I52+"n/&gt;!(u"</f>
        <v>#VALUE!</v>
      </c>
      <c r="U3" t="e">
        <f>'All regions'!J52+"n/&gt;!(v"</f>
        <v>#VALUE!</v>
      </c>
      <c r="V3" t="e">
        <f>'All regions'!A53+"n/&gt;!(w"</f>
        <v>#VALUE!</v>
      </c>
      <c r="W3" t="e">
        <f>'All regions'!B53+"n/&gt;!(x"</f>
        <v>#VALUE!</v>
      </c>
      <c r="X3" t="e">
        <f>'All regions'!C53+"n/&gt;!(y"</f>
        <v>#VALUE!</v>
      </c>
      <c r="Y3" t="e">
        <f>'All regions'!D53+"n/&gt;!(z"</f>
        <v>#VALUE!</v>
      </c>
      <c r="Z3" t="e">
        <f>'All regions'!E53+"n/&gt;!({"</f>
        <v>#VALUE!</v>
      </c>
      <c r="AA3" t="e">
        <f>'All regions'!F53+"n/&gt;!(|"</f>
        <v>#VALUE!</v>
      </c>
      <c r="AB3" t="e">
        <f>'All regions'!G53+"n/&gt;!(}"</f>
        <v>#VALUE!</v>
      </c>
      <c r="AC3" t="e">
        <f>'All regions'!H53+"n/&gt;!(~"</f>
        <v>#VALUE!</v>
      </c>
      <c r="AD3" t="e">
        <f>'All regions'!I53+"n/&gt;!)#"</f>
        <v>#VALUE!</v>
      </c>
      <c r="AE3" t="e">
        <f>'All regions'!J53+"n/&gt;!)$"</f>
        <v>#VALUE!</v>
      </c>
      <c r="AF3" t="e">
        <f>'All regions'!A54+"n/&gt;!)%"</f>
        <v>#VALUE!</v>
      </c>
      <c r="AG3" t="e">
        <f>'All regions'!B54+"n/&gt;!)&amp;"</f>
        <v>#VALUE!</v>
      </c>
      <c r="AH3" t="e">
        <f>'All regions'!C54+"n/&gt;!)'"</f>
        <v>#VALUE!</v>
      </c>
      <c r="AI3" t="e">
        <f>'All regions'!D54+"n/&gt;!)("</f>
        <v>#VALUE!</v>
      </c>
      <c r="AJ3" t="e">
        <f>'All regions'!E54+"n/&gt;!))"</f>
        <v>#VALUE!</v>
      </c>
      <c r="AK3" t="e">
        <f>'All regions'!F54+"n/&gt;!)."</f>
        <v>#VALUE!</v>
      </c>
      <c r="AL3" t="e">
        <f>'All regions'!G54+"n/&gt;!)/"</f>
        <v>#VALUE!</v>
      </c>
      <c r="AM3" t="e">
        <f>'All regions'!H54+"n/&gt;!)0"</f>
        <v>#VALUE!</v>
      </c>
      <c r="AN3" t="e">
        <f>'All regions'!I54+"n/&gt;!)1"</f>
        <v>#VALUE!</v>
      </c>
      <c r="AO3" t="e">
        <f>'All regions'!J54+"n/&gt;!)2"</f>
        <v>#VALUE!</v>
      </c>
      <c r="AP3" t="e">
        <f>'All regions'!A55+"n/&gt;!)3"</f>
        <v>#VALUE!</v>
      </c>
      <c r="AQ3" t="e">
        <f>'All regions'!B55+"n/&gt;!)4"</f>
        <v>#VALUE!</v>
      </c>
      <c r="AR3" t="e">
        <f>'All regions'!C55+"n/&gt;!)5"</f>
        <v>#VALUE!</v>
      </c>
      <c r="AS3" t="e">
        <f>'All regions'!D55+"n/&gt;!)6"</f>
        <v>#VALUE!</v>
      </c>
      <c r="AT3" t="e">
        <f>'All regions'!E55+"n/&gt;!)7"</f>
        <v>#VALUE!</v>
      </c>
      <c r="AU3" t="e">
        <f>'All regions'!F55+"n/&gt;!)8"</f>
        <v>#VALUE!</v>
      </c>
      <c r="AV3" t="e">
        <f>'All regions'!G55+"n/&gt;!)9"</f>
        <v>#VALUE!</v>
      </c>
      <c r="AW3" t="e">
        <f>'All regions'!H55+"n/&gt;!):"</f>
        <v>#VALUE!</v>
      </c>
      <c r="AX3" t="e">
        <f>'All regions'!I55+"n/&gt;!);"</f>
        <v>#VALUE!</v>
      </c>
      <c r="AY3" t="e">
        <f>'All regions'!J55+"n/&gt;!)&lt;"</f>
        <v>#VALUE!</v>
      </c>
      <c r="AZ3" t="e">
        <f>'All regions'!A56+"n/&gt;!)="</f>
        <v>#VALUE!</v>
      </c>
      <c r="BA3" t="e">
        <f>'All regions'!B56+"n/&gt;!)&gt;"</f>
        <v>#VALUE!</v>
      </c>
      <c r="BB3" t="e">
        <f>'All regions'!C56+"n/&gt;!)?"</f>
        <v>#VALUE!</v>
      </c>
      <c r="BC3" t="e">
        <f>'All regions'!D56+"n/&gt;!)@"</f>
        <v>#VALUE!</v>
      </c>
      <c r="BD3" t="e">
        <f>'All regions'!E56+"n/&gt;!)A"</f>
        <v>#VALUE!</v>
      </c>
      <c r="BE3" t="e">
        <f>'All regions'!F56+"n/&gt;!)B"</f>
        <v>#VALUE!</v>
      </c>
      <c r="BF3" t="e">
        <f>'All regions'!G56+"n/&gt;!)C"</f>
        <v>#VALUE!</v>
      </c>
      <c r="BG3" t="e">
        <f>'All regions'!H56+"n/&gt;!)D"</f>
        <v>#VALUE!</v>
      </c>
      <c r="BH3" t="e">
        <f>'All regions'!I56+"n/&gt;!)E"</f>
        <v>#VALUE!</v>
      </c>
      <c r="BI3" t="e">
        <f>'All regions'!J56+"n/&gt;!)F"</f>
        <v>#VALUE!</v>
      </c>
      <c r="BJ3" t="e">
        <f>'All regions'!A57+"n/&gt;!)G"</f>
        <v>#VALUE!</v>
      </c>
      <c r="BK3" t="e">
        <f>'All regions'!B57+"n/&gt;!)H"</f>
        <v>#VALUE!</v>
      </c>
      <c r="BL3" t="e">
        <f>'All regions'!C57+"n/&gt;!)I"</f>
        <v>#VALUE!</v>
      </c>
      <c r="BM3" t="e">
        <f>'All regions'!D57+"n/&gt;!)J"</f>
        <v>#VALUE!</v>
      </c>
      <c r="BN3" t="e">
        <f>'All regions'!E57+"n/&gt;!)K"</f>
        <v>#VALUE!</v>
      </c>
      <c r="BO3" t="e">
        <f>'All regions'!F57+"n/&gt;!)L"</f>
        <v>#VALUE!</v>
      </c>
      <c r="BP3" t="e">
        <f>'All regions'!G57+"n/&gt;!)M"</f>
        <v>#VALUE!</v>
      </c>
      <c r="BQ3" t="e">
        <f>'All regions'!H57+"n/&gt;!)N"</f>
        <v>#VALUE!</v>
      </c>
      <c r="BR3" t="e">
        <f>'All regions'!I57+"n/&gt;!)O"</f>
        <v>#VALUE!</v>
      </c>
      <c r="BS3" t="e">
        <f>'All regions'!J57+"n/&gt;!)P"</f>
        <v>#VALUE!</v>
      </c>
      <c r="BT3" t="e">
        <f>'All regions'!A58+"n/&gt;!)Q"</f>
        <v>#VALUE!</v>
      </c>
      <c r="BU3" t="e">
        <f>'All regions'!B58+"n/&gt;!)R"</f>
        <v>#VALUE!</v>
      </c>
      <c r="BV3" t="e">
        <f>'All regions'!C58+"n/&gt;!)S"</f>
        <v>#VALUE!</v>
      </c>
      <c r="BW3" t="e">
        <f>'All regions'!D58+"n/&gt;!)T"</f>
        <v>#VALUE!</v>
      </c>
      <c r="BX3" t="e">
        <f>'All regions'!E58+"n/&gt;!)U"</f>
        <v>#VALUE!</v>
      </c>
      <c r="BY3" t="e">
        <f>'All regions'!F58+"n/&gt;!)V"</f>
        <v>#VALUE!</v>
      </c>
      <c r="BZ3" t="e">
        <f>'All regions'!G58+"n/&gt;!)W"</f>
        <v>#VALUE!</v>
      </c>
      <c r="CA3" t="e">
        <f>'All regions'!H58+"n/&gt;!)X"</f>
        <v>#VALUE!</v>
      </c>
      <c r="CB3" t="e">
        <f>'All regions'!I58+"n/&gt;!)Y"</f>
        <v>#VALUE!</v>
      </c>
      <c r="CC3" t="e">
        <f>'All regions'!J58+"n/&gt;!)Z"</f>
        <v>#VALUE!</v>
      </c>
      <c r="CD3" t="e">
        <f>'All regions'!A59+"n/&gt;!)["</f>
        <v>#VALUE!</v>
      </c>
      <c r="CE3" t="e">
        <f>'All regions'!B59+"n/&gt;!)\"</f>
        <v>#VALUE!</v>
      </c>
      <c r="CF3" t="e">
        <f>'All regions'!C59+"n/&gt;!)]"</f>
        <v>#VALUE!</v>
      </c>
      <c r="CG3" t="e">
        <f>'All regions'!D59+"n/&gt;!)^"</f>
        <v>#VALUE!</v>
      </c>
      <c r="CH3" t="e">
        <f>'All regions'!E59+"n/&gt;!)_"</f>
        <v>#VALUE!</v>
      </c>
      <c r="CI3" t="e">
        <f>'All regions'!F59+"n/&gt;!)`"</f>
        <v>#VALUE!</v>
      </c>
      <c r="CJ3" t="e">
        <f>'All regions'!G59+"n/&gt;!)a"</f>
        <v>#VALUE!</v>
      </c>
      <c r="CK3" t="e">
        <f>'All regions'!H59+"n/&gt;!)b"</f>
        <v>#VALUE!</v>
      </c>
      <c r="CL3" t="e">
        <f>'All regions'!I59+"n/&gt;!)c"</f>
        <v>#VALUE!</v>
      </c>
      <c r="CM3" t="e">
        <f>'All regions'!J59+"n/&gt;!)d"</f>
        <v>#VALUE!</v>
      </c>
      <c r="CN3" t="e">
        <f>'All regions'!A60+"n/&gt;!)e"</f>
        <v>#VALUE!</v>
      </c>
      <c r="CO3" t="e">
        <f>'All regions'!B60+"n/&gt;!)f"</f>
        <v>#VALUE!</v>
      </c>
      <c r="CP3" t="e">
        <f>'All regions'!C60+"n/&gt;!)g"</f>
        <v>#VALUE!</v>
      </c>
      <c r="CQ3" t="e">
        <f>'All regions'!D60+"n/&gt;!)h"</f>
        <v>#VALUE!</v>
      </c>
      <c r="CR3" t="e">
        <f>'All regions'!E60+"n/&gt;!)i"</f>
        <v>#VALUE!</v>
      </c>
      <c r="CS3" t="e">
        <f>'All regions'!F60+"n/&gt;!)j"</f>
        <v>#VALUE!</v>
      </c>
      <c r="CT3" t="e">
        <f>'All regions'!G60+"n/&gt;!)k"</f>
        <v>#VALUE!</v>
      </c>
      <c r="CU3" t="e">
        <f>'All regions'!H60+"n/&gt;!)l"</f>
        <v>#VALUE!</v>
      </c>
      <c r="CV3" t="e">
        <f>'All regions'!I60+"n/&gt;!)m"</f>
        <v>#VALUE!</v>
      </c>
      <c r="CW3" t="e">
        <f>'All regions'!J60+"n/&gt;!)n"</f>
        <v>#VALUE!</v>
      </c>
      <c r="CX3" t="e">
        <f>'All regions'!A61+"n/&gt;!)o"</f>
        <v>#VALUE!</v>
      </c>
      <c r="CY3" t="e">
        <f>'All regions'!B61+"n/&gt;!)p"</f>
        <v>#VALUE!</v>
      </c>
      <c r="CZ3" t="e">
        <f>'All regions'!C61+"n/&gt;!)q"</f>
        <v>#VALUE!</v>
      </c>
      <c r="DA3" t="e">
        <f>'All regions'!D61+"n/&gt;!)r"</f>
        <v>#VALUE!</v>
      </c>
      <c r="DB3" t="e">
        <f>'All regions'!E61+"n/&gt;!)s"</f>
        <v>#VALUE!</v>
      </c>
      <c r="DC3" t="e">
        <f>'All regions'!F61+"n/&gt;!)t"</f>
        <v>#VALUE!</v>
      </c>
      <c r="DD3" t="e">
        <f>'All regions'!G61+"n/&gt;!)u"</f>
        <v>#VALUE!</v>
      </c>
      <c r="DE3" t="e">
        <f>'All regions'!H61+"n/&gt;!)v"</f>
        <v>#VALUE!</v>
      </c>
      <c r="DF3" t="e">
        <f>'All regions'!I61+"n/&gt;!)w"</f>
        <v>#VALUE!</v>
      </c>
      <c r="DG3" t="e">
        <f>'All regions'!J61+"n/&gt;!)x"</f>
        <v>#VALUE!</v>
      </c>
      <c r="DH3" t="e">
        <f>'All regions'!A62+"n/&gt;!)y"</f>
        <v>#VALUE!</v>
      </c>
      <c r="DI3" t="e">
        <f>'All regions'!B62+"n/&gt;!)z"</f>
        <v>#VALUE!</v>
      </c>
      <c r="DJ3" t="e">
        <f>'All regions'!C62+"n/&gt;!){"</f>
        <v>#VALUE!</v>
      </c>
      <c r="DK3" t="e">
        <f>'All regions'!D62+"n/&gt;!)|"</f>
        <v>#VALUE!</v>
      </c>
      <c r="DL3" t="e">
        <f>'All regions'!E62+"n/&gt;!)}"</f>
        <v>#VALUE!</v>
      </c>
      <c r="DM3" t="e">
        <f>'All regions'!F62+"n/&gt;!)~"</f>
        <v>#VALUE!</v>
      </c>
      <c r="DN3" t="e">
        <f>'All regions'!G62+"n/&gt;!.#"</f>
        <v>#VALUE!</v>
      </c>
      <c r="DO3" t="e">
        <f>'All regions'!H62+"n/&gt;!.$"</f>
        <v>#VALUE!</v>
      </c>
      <c r="DP3" t="e">
        <f>'All regions'!I62+"n/&gt;!.%"</f>
        <v>#VALUE!</v>
      </c>
      <c r="DQ3" t="e">
        <f>'All regions'!J62+"n/&gt;!.&amp;"</f>
        <v>#VALUE!</v>
      </c>
      <c r="DR3" t="e">
        <f>'All regions'!A63+"n/&gt;!.'"</f>
        <v>#VALUE!</v>
      </c>
      <c r="DS3" t="e">
        <f>'All regions'!B63+"n/&gt;!.("</f>
        <v>#VALUE!</v>
      </c>
      <c r="DT3" t="e">
        <f>'All regions'!C63+"n/&gt;!.)"</f>
        <v>#VALUE!</v>
      </c>
      <c r="DU3" t="e">
        <f>'All regions'!D63+"n/&gt;!.."</f>
        <v>#VALUE!</v>
      </c>
      <c r="DV3" t="e">
        <f>'All regions'!E63+"n/&gt;!./"</f>
        <v>#VALUE!</v>
      </c>
      <c r="DW3" t="e">
        <f>'All regions'!F63+"n/&gt;!.0"</f>
        <v>#VALUE!</v>
      </c>
      <c r="DX3" t="e">
        <f>'All regions'!G63+"n/&gt;!.1"</f>
        <v>#VALUE!</v>
      </c>
      <c r="DY3" t="e">
        <f>'All regions'!H63+"n/&gt;!.2"</f>
        <v>#VALUE!</v>
      </c>
      <c r="DZ3" t="e">
        <f>'All regions'!I63+"n/&gt;!.3"</f>
        <v>#VALUE!</v>
      </c>
      <c r="EA3" t="e">
        <f>'All regions'!J63+"n/&gt;!.4"</f>
        <v>#VALUE!</v>
      </c>
      <c r="EB3" t="e">
        <f>'All regions'!A64+"n/&gt;!.5"</f>
        <v>#VALUE!</v>
      </c>
      <c r="EC3" t="e">
        <f>'All regions'!B64+"n/&gt;!.6"</f>
        <v>#VALUE!</v>
      </c>
      <c r="ED3" t="e">
        <f>'All regions'!C64+"n/&gt;!.7"</f>
        <v>#VALUE!</v>
      </c>
      <c r="EE3" t="e">
        <f>'All regions'!D64+"n/&gt;!.8"</f>
        <v>#VALUE!</v>
      </c>
      <c r="EF3" t="e">
        <f>'All regions'!E64+"n/&gt;!.9"</f>
        <v>#VALUE!</v>
      </c>
      <c r="EG3" t="e">
        <f>'All regions'!F64+"n/&gt;!.:"</f>
        <v>#VALUE!</v>
      </c>
      <c r="EH3" t="e">
        <f>'All regions'!G64+"n/&gt;!.;"</f>
        <v>#VALUE!</v>
      </c>
      <c r="EI3" t="e">
        <f>'All regions'!H64+"n/&gt;!.&lt;"</f>
        <v>#VALUE!</v>
      </c>
      <c r="EJ3" t="e">
        <f>'All regions'!I64+"n/&gt;!.="</f>
        <v>#VALUE!</v>
      </c>
      <c r="EK3" t="e">
        <f>'All regions'!J64+"n/&gt;!.&gt;"</f>
        <v>#VALUE!</v>
      </c>
      <c r="EL3" t="e">
        <f>'All regions'!A65+"n/&gt;!.?"</f>
        <v>#VALUE!</v>
      </c>
      <c r="EM3" t="e">
        <f>'All regions'!B65+"n/&gt;!.@"</f>
        <v>#VALUE!</v>
      </c>
      <c r="EN3" t="e">
        <f>'All regions'!C65+"n/&gt;!.A"</f>
        <v>#VALUE!</v>
      </c>
      <c r="EO3" t="e">
        <f>'All regions'!D65+"n/&gt;!.B"</f>
        <v>#VALUE!</v>
      </c>
      <c r="EP3" t="e">
        <f>'All regions'!E65+"n/&gt;!.C"</f>
        <v>#VALUE!</v>
      </c>
      <c r="EQ3" t="e">
        <f>'All regions'!F65+"n/&gt;!.D"</f>
        <v>#VALUE!</v>
      </c>
      <c r="ER3" t="e">
        <f>'All regions'!G65+"n/&gt;!.E"</f>
        <v>#VALUE!</v>
      </c>
      <c r="ES3" t="e">
        <f>'All regions'!H65+"n/&gt;!.F"</f>
        <v>#VALUE!</v>
      </c>
      <c r="ET3" t="e">
        <f>'All regions'!I65+"n/&gt;!.G"</f>
        <v>#VALUE!</v>
      </c>
      <c r="EU3" t="e">
        <f>'All regions'!J65+"n/&gt;!.H"</f>
        <v>#VALUE!</v>
      </c>
      <c r="EV3" t="e">
        <f>'All regions'!A66+"n/&gt;!.I"</f>
        <v>#VALUE!</v>
      </c>
      <c r="EW3" t="e">
        <f>'All regions'!B66+"n/&gt;!.J"</f>
        <v>#VALUE!</v>
      </c>
      <c r="EX3" t="e">
        <f>'All regions'!C66+"n/&gt;!.K"</f>
        <v>#VALUE!</v>
      </c>
      <c r="EY3" t="e">
        <f>'All regions'!D66+"n/&gt;!.L"</f>
        <v>#VALUE!</v>
      </c>
      <c r="EZ3" t="e">
        <f>'All regions'!E66+"n/&gt;!.M"</f>
        <v>#VALUE!</v>
      </c>
      <c r="FA3" t="e">
        <f>'All regions'!F66+"n/&gt;!.N"</f>
        <v>#VALUE!</v>
      </c>
      <c r="FB3" t="e">
        <f>'All regions'!G66+"n/&gt;!.O"</f>
        <v>#VALUE!</v>
      </c>
      <c r="FC3" t="e">
        <f>'All regions'!H66+"n/&gt;!.P"</f>
        <v>#VALUE!</v>
      </c>
      <c r="FD3" t="e">
        <f>'All regions'!I66+"n/&gt;!.Q"</f>
        <v>#VALUE!</v>
      </c>
      <c r="FE3" t="e">
        <f>'All regions'!J66+"n/&gt;!.R"</f>
        <v>#VALUE!</v>
      </c>
      <c r="FF3" t="e">
        <f>'All regions'!A67+"n/&gt;!.S"</f>
        <v>#VALUE!</v>
      </c>
      <c r="FG3" t="e">
        <f>'All regions'!B67+"n/&gt;!.T"</f>
        <v>#VALUE!</v>
      </c>
      <c r="FH3" t="e">
        <f>'All regions'!C67+"n/&gt;!.U"</f>
        <v>#VALUE!</v>
      </c>
      <c r="FI3" t="e">
        <f>'All regions'!D67+"n/&gt;!.V"</f>
        <v>#VALUE!</v>
      </c>
      <c r="FJ3" t="e">
        <f>'All regions'!E67+"n/&gt;!.W"</f>
        <v>#VALUE!</v>
      </c>
      <c r="FK3" t="e">
        <f>'All regions'!F67+"n/&gt;!.X"</f>
        <v>#VALUE!</v>
      </c>
      <c r="FL3" t="e">
        <f>'All regions'!G67+"n/&gt;!.Y"</f>
        <v>#VALUE!</v>
      </c>
      <c r="FM3" t="e">
        <f>'All regions'!H67+"n/&gt;!.Z"</f>
        <v>#VALUE!</v>
      </c>
      <c r="FN3" t="e">
        <f>'All regions'!I67+"n/&gt;!.["</f>
        <v>#VALUE!</v>
      </c>
      <c r="FO3" t="e">
        <f>'All regions'!J67+"n/&gt;!.\"</f>
        <v>#VALUE!</v>
      </c>
      <c r="FP3" t="e">
        <f>'All regions'!A68+"n/&gt;!.]"</f>
        <v>#VALUE!</v>
      </c>
      <c r="FQ3" t="e">
        <f>'All regions'!B68+"n/&gt;!.^"</f>
        <v>#VALUE!</v>
      </c>
      <c r="FR3" t="e">
        <f>'All regions'!C68+"n/&gt;!._"</f>
        <v>#VALUE!</v>
      </c>
      <c r="FS3" t="e">
        <f>'All regions'!D68+"n/&gt;!.`"</f>
        <v>#VALUE!</v>
      </c>
      <c r="FT3" t="e">
        <f>'All regions'!E68+"n/&gt;!.a"</f>
        <v>#VALUE!</v>
      </c>
      <c r="FU3" t="e">
        <f>'All regions'!F68+"n/&gt;!.b"</f>
        <v>#VALUE!</v>
      </c>
      <c r="FV3" t="e">
        <f>'All regions'!G68+"n/&gt;!.c"</f>
        <v>#VALUE!</v>
      </c>
      <c r="FW3" t="e">
        <f>'All regions'!H68+"n/&gt;!.d"</f>
        <v>#VALUE!</v>
      </c>
      <c r="FX3" t="e">
        <f>'All regions'!I68+"n/&gt;!.e"</f>
        <v>#VALUE!</v>
      </c>
      <c r="FY3" t="e">
        <f>'All regions'!J68+"n/&gt;!.f"</f>
        <v>#VALUE!</v>
      </c>
      <c r="FZ3" t="e">
        <f>'All regions'!A69+"n/&gt;!.g"</f>
        <v>#VALUE!</v>
      </c>
      <c r="GA3" t="e">
        <f>'All regions'!B69+"n/&gt;!.h"</f>
        <v>#VALUE!</v>
      </c>
      <c r="GB3" t="e">
        <f>'All regions'!C69+"n/&gt;!.i"</f>
        <v>#VALUE!</v>
      </c>
      <c r="GC3" t="e">
        <f>'All regions'!D69+"n/&gt;!.j"</f>
        <v>#VALUE!</v>
      </c>
      <c r="GD3" t="e">
        <f>'All regions'!E69+"n/&gt;!.k"</f>
        <v>#VALUE!</v>
      </c>
      <c r="GE3" t="e">
        <f>'All regions'!F69+"n/&gt;!.l"</f>
        <v>#VALUE!</v>
      </c>
      <c r="GF3" t="e">
        <f>'All regions'!G69+"n/&gt;!.m"</f>
        <v>#VALUE!</v>
      </c>
      <c r="GG3" t="e">
        <f>'All regions'!H69+"n/&gt;!.n"</f>
        <v>#VALUE!</v>
      </c>
      <c r="GH3" t="e">
        <f>'All regions'!I69+"n/&gt;!.o"</f>
        <v>#VALUE!</v>
      </c>
      <c r="GI3" t="e">
        <f>'All regions'!J69+"n/&gt;!.p"</f>
        <v>#VALUE!</v>
      </c>
      <c r="GJ3" t="e">
        <f>'All regions'!A70+"n/&gt;!.q"</f>
        <v>#VALUE!</v>
      </c>
      <c r="GK3" t="e">
        <f>'All regions'!B70+"n/&gt;!.r"</f>
        <v>#VALUE!</v>
      </c>
      <c r="GL3" t="e">
        <f>'All regions'!C70+"n/&gt;!.s"</f>
        <v>#VALUE!</v>
      </c>
      <c r="GM3" t="e">
        <f>'All regions'!D70+"n/&gt;!.t"</f>
        <v>#VALUE!</v>
      </c>
      <c r="GN3" t="e">
        <f>'All regions'!E70+"n/&gt;!.u"</f>
        <v>#VALUE!</v>
      </c>
      <c r="GO3" t="e">
        <f>'All regions'!F70+"n/&gt;!.v"</f>
        <v>#VALUE!</v>
      </c>
      <c r="GP3" t="e">
        <f>'All regions'!G70+"n/&gt;!.w"</f>
        <v>#VALUE!</v>
      </c>
      <c r="GQ3" t="e">
        <f>'All regions'!H70+"n/&gt;!.x"</f>
        <v>#VALUE!</v>
      </c>
      <c r="GR3" t="e">
        <f>'All regions'!I70+"n/&gt;!.y"</f>
        <v>#VALUE!</v>
      </c>
      <c r="GS3" t="e">
        <f>'All regions'!J70+"n/&gt;!.z"</f>
        <v>#VALUE!</v>
      </c>
      <c r="GT3" t="e">
        <f>'All regions'!A71+"n/&gt;!.{"</f>
        <v>#VALUE!</v>
      </c>
      <c r="GU3" t="e">
        <f>'All regions'!B71+"n/&gt;!.|"</f>
        <v>#VALUE!</v>
      </c>
      <c r="GV3" t="e">
        <f>'All regions'!C71+"n/&gt;!.}"</f>
        <v>#VALUE!</v>
      </c>
      <c r="GW3" t="e">
        <f>'All regions'!D71+"n/&gt;!.~"</f>
        <v>#VALUE!</v>
      </c>
      <c r="GX3" t="e">
        <f>'All regions'!E71+"n/&gt;!/#"</f>
        <v>#VALUE!</v>
      </c>
      <c r="GY3" t="e">
        <f>'All regions'!F71+"n/&gt;!/$"</f>
        <v>#VALUE!</v>
      </c>
      <c r="GZ3" t="e">
        <f>'All regions'!G71+"n/&gt;!/%"</f>
        <v>#VALUE!</v>
      </c>
      <c r="HA3" t="e">
        <f>'All regions'!H71+"n/&gt;!/&amp;"</f>
        <v>#VALUE!</v>
      </c>
      <c r="HB3" t="e">
        <f>'All regions'!I71+"n/&gt;!/'"</f>
        <v>#VALUE!</v>
      </c>
      <c r="HC3" t="e">
        <f>'All regions'!J71+"n/&gt;!/("</f>
        <v>#VALUE!</v>
      </c>
      <c r="HD3" t="e">
        <f>'All regions'!A72+"n/&gt;!/)"</f>
        <v>#VALUE!</v>
      </c>
      <c r="HE3" t="e">
        <f>'All regions'!B72+"n/&gt;!/."</f>
        <v>#VALUE!</v>
      </c>
      <c r="HF3" t="e">
        <f>'All regions'!C72+"n/&gt;!//"</f>
        <v>#VALUE!</v>
      </c>
      <c r="HG3" t="e">
        <f>'All regions'!D72+"n/&gt;!/0"</f>
        <v>#VALUE!</v>
      </c>
      <c r="HH3" t="e">
        <f>'All regions'!E72+"n/&gt;!/1"</f>
        <v>#VALUE!</v>
      </c>
      <c r="HI3" t="e">
        <f>'All regions'!F72+"n/&gt;!/2"</f>
        <v>#VALUE!</v>
      </c>
      <c r="HJ3" t="e">
        <f>'All regions'!G72+"n/&gt;!/3"</f>
        <v>#VALUE!</v>
      </c>
      <c r="HK3" t="e">
        <f>'All regions'!H72+"n/&gt;!/4"</f>
        <v>#VALUE!</v>
      </c>
      <c r="HL3" t="e">
        <f>'All regions'!I72+"n/&gt;!/5"</f>
        <v>#VALUE!</v>
      </c>
      <c r="HM3" t="e">
        <f>'All regions'!J72+"n/&gt;!/6"</f>
        <v>#VALUE!</v>
      </c>
      <c r="HN3" t="e">
        <f>'All regions'!A73+"n/&gt;!/7"</f>
        <v>#VALUE!</v>
      </c>
      <c r="HO3" t="e">
        <f>'All regions'!B73+"n/&gt;!/8"</f>
        <v>#VALUE!</v>
      </c>
      <c r="HP3" t="e">
        <f>'All regions'!C73+"n/&gt;!/9"</f>
        <v>#VALUE!</v>
      </c>
      <c r="HQ3" t="e">
        <f>'All regions'!D73+"n/&gt;!/:"</f>
        <v>#VALUE!</v>
      </c>
      <c r="HR3" t="e">
        <f>'All regions'!E73+"n/&gt;!/;"</f>
        <v>#VALUE!</v>
      </c>
      <c r="HS3" t="e">
        <f>'All regions'!F73+"n/&gt;!/&lt;"</f>
        <v>#VALUE!</v>
      </c>
      <c r="HT3" t="e">
        <f>'All regions'!G73+"n/&gt;!/="</f>
        <v>#VALUE!</v>
      </c>
      <c r="HU3" t="e">
        <f>'All regions'!H73+"n/&gt;!/&gt;"</f>
        <v>#VALUE!</v>
      </c>
      <c r="HV3" t="e">
        <f>'All regions'!I73+"n/&gt;!/?"</f>
        <v>#VALUE!</v>
      </c>
      <c r="HW3" t="e">
        <f>'All regions'!J73+"n/&gt;!/@"</f>
        <v>#VALUE!</v>
      </c>
      <c r="HX3" t="e">
        <f>'All regions'!A74+"n/&gt;!/A"</f>
        <v>#VALUE!</v>
      </c>
      <c r="HY3" t="e">
        <f>'All regions'!B74+"n/&gt;!/B"</f>
        <v>#VALUE!</v>
      </c>
      <c r="HZ3" t="e">
        <f>'All regions'!C74+"n/&gt;!/C"</f>
        <v>#VALUE!</v>
      </c>
      <c r="IA3" t="e">
        <f>'All regions'!D74+"n/&gt;!/D"</f>
        <v>#VALUE!</v>
      </c>
      <c r="IB3" t="e">
        <f>'All regions'!E74+"n/&gt;!/E"</f>
        <v>#VALUE!</v>
      </c>
      <c r="IC3" t="e">
        <f>'All regions'!F74+"n/&gt;!/F"</f>
        <v>#VALUE!</v>
      </c>
      <c r="ID3" t="e">
        <f>'All regions'!G74+"n/&gt;!/G"</f>
        <v>#VALUE!</v>
      </c>
      <c r="IE3" t="e">
        <f>'All regions'!H74+"n/&gt;!/H"</f>
        <v>#VALUE!</v>
      </c>
      <c r="IF3" t="e">
        <f>'All regions'!I74+"n/&gt;!/I"</f>
        <v>#VALUE!</v>
      </c>
      <c r="IG3" t="e">
        <f>'All regions'!J74+"n/&gt;!/J"</f>
        <v>#VALUE!</v>
      </c>
      <c r="IH3" t="e">
        <f>'All regions'!A75+"n/&gt;!/K"</f>
        <v>#VALUE!</v>
      </c>
      <c r="II3" t="e">
        <f>'All regions'!B75+"n/&gt;!/L"</f>
        <v>#VALUE!</v>
      </c>
      <c r="IJ3" t="e">
        <f>'All regions'!C75+"n/&gt;!/M"</f>
        <v>#VALUE!</v>
      </c>
      <c r="IK3" t="e">
        <f>'All regions'!D75+"n/&gt;!/N"</f>
        <v>#VALUE!</v>
      </c>
      <c r="IL3" t="e">
        <f>'All regions'!E75+"n/&gt;!/O"</f>
        <v>#VALUE!</v>
      </c>
      <c r="IM3" t="e">
        <f>'All regions'!F75+"n/&gt;!/P"</f>
        <v>#VALUE!</v>
      </c>
      <c r="IN3" t="e">
        <f>'All regions'!G75+"n/&gt;!/Q"</f>
        <v>#VALUE!</v>
      </c>
      <c r="IO3" t="e">
        <f>'All regions'!H75+"n/&gt;!/R"</f>
        <v>#VALUE!</v>
      </c>
      <c r="IP3" t="e">
        <f>'All regions'!I75+"n/&gt;!/S"</f>
        <v>#VALUE!</v>
      </c>
      <c r="IQ3" t="e">
        <f>'All regions'!J75+"n/&gt;!/T"</f>
        <v>#VALUE!</v>
      </c>
      <c r="IR3" t="e">
        <f>'All regions'!A76+"n/&gt;!/U"</f>
        <v>#VALUE!</v>
      </c>
      <c r="IS3" t="e">
        <f>'All regions'!B76+"n/&gt;!/V"</f>
        <v>#VALUE!</v>
      </c>
      <c r="IT3" t="e">
        <f>'All regions'!C76+"n/&gt;!/W"</f>
        <v>#VALUE!</v>
      </c>
      <c r="IU3" t="e">
        <f>'All regions'!D76+"n/&gt;!/X"</f>
        <v>#VALUE!</v>
      </c>
      <c r="IV3" t="e">
        <f>'All regions'!E76+"n/&gt;!/Y"</f>
        <v>#VALUE!</v>
      </c>
    </row>
    <row r="4" spans="1:256" x14ac:dyDescent="0.35">
      <c r="F4" t="e">
        <f>'All regions'!F76+"n/&gt;!/Z"</f>
        <v>#VALUE!</v>
      </c>
      <c r="G4" t="e">
        <f>'All regions'!G76+"n/&gt;!/["</f>
        <v>#VALUE!</v>
      </c>
      <c r="H4" t="e">
        <f>'All regions'!H76+"n/&gt;!/\"</f>
        <v>#VALUE!</v>
      </c>
      <c r="I4" t="e">
        <f>'All regions'!I76+"n/&gt;!/]"</f>
        <v>#VALUE!</v>
      </c>
      <c r="J4" t="e">
        <f>'All regions'!J76+"n/&gt;!/^"</f>
        <v>#VALUE!</v>
      </c>
      <c r="K4" t="e">
        <f>'All regions'!A77+"n/&gt;!/_"</f>
        <v>#VALUE!</v>
      </c>
      <c r="L4" t="e">
        <f>'All regions'!B77+"n/&gt;!/`"</f>
        <v>#VALUE!</v>
      </c>
      <c r="M4" t="e">
        <f>'All regions'!C77+"n/&gt;!/a"</f>
        <v>#VALUE!</v>
      </c>
      <c r="N4" t="e">
        <f>'All regions'!D77+"n/&gt;!/b"</f>
        <v>#VALUE!</v>
      </c>
      <c r="O4" t="e">
        <f>'All regions'!E77+"n/&gt;!/c"</f>
        <v>#VALUE!</v>
      </c>
      <c r="P4" t="e">
        <f>'All regions'!F77+"n/&gt;!/d"</f>
        <v>#VALUE!</v>
      </c>
      <c r="Q4" t="e">
        <f>'All regions'!G77+"n/&gt;!/e"</f>
        <v>#VALUE!</v>
      </c>
      <c r="R4" t="e">
        <f>'All regions'!H77+"n/&gt;!/f"</f>
        <v>#VALUE!</v>
      </c>
      <c r="S4" t="e">
        <f>'All regions'!I77+"n/&gt;!/g"</f>
        <v>#VALUE!</v>
      </c>
      <c r="T4" t="e">
        <f>'All regions'!J77+"n/&gt;!/h"</f>
        <v>#VALUE!</v>
      </c>
      <c r="U4" t="e">
        <f>'All regions'!A78+"n/&gt;!/i"</f>
        <v>#VALUE!</v>
      </c>
      <c r="V4" t="e">
        <f>'All regions'!B78+"n/&gt;!/j"</f>
        <v>#VALUE!</v>
      </c>
      <c r="W4" t="e">
        <f>'All regions'!C78+"n/&gt;!/k"</f>
        <v>#VALUE!</v>
      </c>
      <c r="X4" t="e">
        <f>'All regions'!D78+"n/&gt;!/l"</f>
        <v>#VALUE!</v>
      </c>
      <c r="Y4" t="e">
        <f>'All regions'!E78+"n/&gt;!/m"</f>
        <v>#VALUE!</v>
      </c>
      <c r="Z4" t="e">
        <f>'All regions'!F78+"n/&gt;!/n"</f>
        <v>#VALUE!</v>
      </c>
      <c r="AA4" t="e">
        <f>'All regions'!G78+"n/&gt;!/o"</f>
        <v>#VALUE!</v>
      </c>
      <c r="AB4" t="e">
        <f>'All regions'!H78+"n/&gt;!/p"</f>
        <v>#VALUE!</v>
      </c>
      <c r="AC4" t="e">
        <f>'All regions'!I78+"n/&gt;!/q"</f>
        <v>#VALUE!</v>
      </c>
      <c r="AD4" t="e">
        <f>'All regions'!J78+"n/&gt;!/r"</f>
        <v>#VALUE!</v>
      </c>
      <c r="AE4" t="e">
        <f>'All regions'!A79+"n/&gt;!/s"</f>
        <v>#VALUE!</v>
      </c>
      <c r="AF4" t="e">
        <f>'All regions'!B79+"n/&gt;!/t"</f>
        <v>#VALUE!</v>
      </c>
      <c r="AG4" t="e">
        <f>'All regions'!C79+"n/&gt;!/u"</f>
        <v>#VALUE!</v>
      </c>
      <c r="AH4" t="e">
        <f>'All regions'!D79+"n/&gt;!/v"</f>
        <v>#VALUE!</v>
      </c>
      <c r="AI4" t="e">
        <f>'All regions'!E79+"n/&gt;!/w"</f>
        <v>#VALUE!</v>
      </c>
      <c r="AJ4" t="e">
        <f>'All regions'!F79+"n/&gt;!/x"</f>
        <v>#VALUE!</v>
      </c>
      <c r="AK4" t="e">
        <f>'All regions'!G79+"n/&gt;!/y"</f>
        <v>#VALUE!</v>
      </c>
      <c r="AL4" t="e">
        <f>'All regions'!H79+"n/&gt;!/z"</f>
        <v>#VALUE!</v>
      </c>
      <c r="AM4" t="e">
        <f>'All regions'!I79+"n/&gt;!/{"</f>
        <v>#VALUE!</v>
      </c>
      <c r="AN4" t="e">
        <f>'All regions'!J79+"n/&gt;!/|"</f>
        <v>#VALUE!</v>
      </c>
      <c r="AO4" t="e">
        <f>'All regions'!A80+"n/&gt;!/}"</f>
        <v>#VALUE!</v>
      </c>
      <c r="AP4" t="e">
        <f>'All regions'!B80+"n/&gt;!/~"</f>
        <v>#VALUE!</v>
      </c>
      <c r="AQ4" t="e">
        <f>'All regions'!C80+"n/&gt;!0#"</f>
        <v>#VALUE!</v>
      </c>
      <c r="AR4" t="e">
        <f>'All regions'!D80+"n/&gt;!0$"</f>
        <v>#VALUE!</v>
      </c>
      <c r="AS4" t="e">
        <f>'All regions'!E80+"n/&gt;!0%"</f>
        <v>#VALUE!</v>
      </c>
      <c r="AT4" t="e">
        <f>'All regions'!F80+"n/&gt;!0&amp;"</f>
        <v>#VALUE!</v>
      </c>
      <c r="AU4" t="e">
        <f>'All regions'!G80+"n/&gt;!0'"</f>
        <v>#VALUE!</v>
      </c>
      <c r="AV4" t="e">
        <f>'All regions'!H80+"n/&gt;!0("</f>
        <v>#VALUE!</v>
      </c>
      <c r="AW4" t="e">
        <f>'All regions'!I80+"n/&gt;!0)"</f>
        <v>#VALUE!</v>
      </c>
      <c r="AX4" t="e">
        <f>'All regions'!J80+"n/&gt;!0."</f>
        <v>#VALUE!</v>
      </c>
      <c r="AY4" t="e">
        <f>'All regions'!A81+"n/&gt;!0/"</f>
        <v>#VALUE!</v>
      </c>
      <c r="AZ4" t="e">
        <f>'All regions'!B81+"n/&gt;!00"</f>
        <v>#VALUE!</v>
      </c>
      <c r="BA4" t="e">
        <f>'All regions'!C81+"n/&gt;!01"</f>
        <v>#VALUE!</v>
      </c>
      <c r="BB4" t="e">
        <f>'All regions'!D81+"n/&gt;!02"</f>
        <v>#VALUE!</v>
      </c>
      <c r="BC4" t="e">
        <f>'All regions'!E81+"n/&gt;!03"</f>
        <v>#VALUE!</v>
      </c>
      <c r="BD4" t="e">
        <f>'All regions'!F81+"n/&gt;!04"</f>
        <v>#VALUE!</v>
      </c>
      <c r="BE4" t="e">
        <f>'All regions'!G81+"n/&gt;!05"</f>
        <v>#VALUE!</v>
      </c>
      <c r="BF4" t="e">
        <f>'All regions'!H81+"n/&gt;!06"</f>
        <v>#VALUE!</v>
      </c>
      <c r="BG4" t="e">
        <f>'All regions'!I81+"n/&gt;!07"</f>
        <v>#VALUE!</v>
      </c>
      <c r="BH4" t="e">
        <f>'All regions'!J81+"n/&gt;!08"</f>
        <v>#VALUE!</v>
      </c>
      <c r="BI4" t="e">
        <f>'All regions'!A82+"n/&gt;!09"</f>
        <v>#VALUE!</v>
      </c>
      <c r="BJ4" t="e">
        <f>'All regions'!B82+"n/&gt;!0:"</f>
        <v>#VALUE!</v>
      </c>
      <c r="BK4" t="e">
        <f>'All regions'!C82+"n/&gt;!0;"</f>
        <v>#VALUE!</v>
      </c>
      <c r="BL4" t="e">
        <f>'All regions'!D82+"n/&gt;!0&lt;"</f>
        <v>#VALUE!</v>
      </c>
      <c r="BM4" t="e">
        <f>'All regions'!E82+"n/&gt;!0="</f>
        <v>#VALUE!</v>
      </c>
      <c r="BN4" t="e">
        <f>'All regions'!F82+"n/&gt;!0&gt;"</f>
        <v>#VALUE!</v>
      </c>
      <c r="BO4" t="e">
        <f>'All regions'!G82+"n/&gt;!0?"</f>
        <v>#VALUE!</v>
      </c>
      <c r="BP4" t="e">
        <f>'All regions'!H82+"n/&gt;!0@"</f>
        <v>#VALUE!</v>
      </c>
      <c r="BQ4" t="e">
        <f>'All regions'!I82+"n/&gt;!0A"</f>
        <v>#VALUE!</v>
      </c>
      <c r="BR4" t="e">
        <f>'All regions'!J82+"n/&gt;!0B"</f>
        <v>#VALUE!</v>
      </c>
      <c r="BS4" t="e">
        <f>'All regions'!A83+"n/&gt;!0C"</f>
        <v>#VALUE!</v>
      </c>
      <c r="BT4" t="e">
        <f>'All regions'!B83+"n/&gt;!0D"</f>
        <v>#VALUE!</v>
      </c>
      <c r="BU4" t="e">
        <f>'All regions'!C83+"n/&gt;!0E"</f>
        <v>#VALUE!</v>
      </c>
      <c r="BV4" t="e">
        <f>'All regions'!D83+"n/&gt;!0F"</f>
        <v>#VALUE!</v>
      </c>
      <c r="BW4" t="e">
        <f>'All regions'!E83+"n/&gt;!0G"</f>
        <v>#VALUE!</v>
      </c>
      <c r="BX4" t="e">
        <f>'All regions'!F83+"n/&gt;!0H"</f>
        <v>#VALUE!</v>
      </c>
      <c r="BY4" t="e">
        <f>'All regions'!G83+"n/&gt;!0I"</f>
        <v>#VALUE!</v>
      </c>
      <c r="BZ4" t="e">
        <f>'All regions'!H83+"n/&gt;!0J"</f>
        <v>#VALUE!</v>
      </c>
      <c r="CA4" t="e">
        <f>'All regions'!I83+"n/&gt;!0K"</f>
        <v>#VALUE!</v>
      </c>
      <c r="CB4" t="e">
        <f>'All regions'!J83+"n/&gt;!0L"</f>
        <v>#VALUE!</v>
      </c>
      <c r="CC4" t="e">
        <f>'All regions'!A84+"n/&gt;!0M"</f>
        <v>#VALUE!</v>
      </c>
      <c r="CD4" t="e">
        <f>'All regions'!B84+"n/&gt;!0N"</f>
        <v>#VALUE!</v>
      </c>
      <c r="CE4" t="e">
        <f>'All regions'!C84+"n/&gt;!0O"</f>
        <v>#VALUE!</v>
      </c>
      <c r="CF4" t="e">
        <f>'All regions'!D84+"n/&gt;!0P"</f>
        <v>#VALUE!</v>
      </c>
      <c r="CG4" t="e">
        <f>'All regions'!E84+"n/&gt;!0Q"</f>
        <v>#VALUE!</v>
      </c>
      <c r="CH4" t="e">
        <f>'All regions'!F84+"n/&gt;!0R"</f>
        <v>#VALUE!</v>
      </c>
      <c r="CI4" t="e">
        <f>'All regions'!G84+"n/&gt;!0S"</f>
        <v>#VALUE!</v>
      </c>
      <c r="CJ4" t="e">
        <f>'All regions'!H84+"n/&gt;!0T"</f>
        <v>#VALUE!</v>
      </c>
      <c r="CK4" t="e">
        <f>'All regions'!I84+"n/&gt;!0U"</f>
        <v>#VALUE!</v>
      </c>
      <c r="CL4" t="e">
        <f>'All regions'!J84+"n/&gt;!0V"</f>
        <v>#VALUE!</v>
      </c>
      <c r="CM4" t="e">
        <f>'All regions'!A85+"n/&gt;!0W"</f>
        <v>#VALUE!</v>
      </c>
      <c r="CN4" t="e">
        <f>'All regions'!B85+"n/&gt;!0X"</f>
        <v>#VALUE!</v>
      </c>
      <c r="CO4" t="e">
        <f>'All regions'!C85+"n/&gt;!0Y"</f>
        <v>#VALUE!</v>
      </c>
      <c r="CP4" t="e">
        <f>'All regions'!D85+"n/&gt;!0Z"</f>
        <v>#VALUE!</v>
      </c>
      <c r="CQ4" t="e">
        <f>'All regions'!E85+"n/&gt;!0["</f>
        <v>#VALUE!</v>
      </c>
      <c r="CR4" t="e">
        <f>'All regions'!F85+"n/&gt;!0\"</f>
        <v>#VALUE!</v>
      </c>
      <c r="CS4" t="e">
        <f>'All regions'!G85+"n/&gt;!0]"</f>
        <v>#VALUE!</v>
      </c>
      <c r="CT4" t="e">
        <f>'All regions'!H85+"n/&gt;!0^"</f>
        <v>#VALUE!</v>
      </c>
      <c r="CU4" t="e">
        <f>'All regions'!I85+"n/&gt;!0_"</f>
        <v>#VALUE!</v>
      </c>
      <c r="CV4" t="e">
        <f>'All regions'!J85+"n/&gt;!0`"</f>
        <v>#VALUE!</v>
      </c>
      <c r="CW4" t="e">
        <f>'All regions'!A86+"n/&gt;!0a"</f>
        <v>#VALUE!</v>
      </c>
      <c r="CX4" t="e">
        <f>'All regions'!B86+"n/&gt;!0b"</f>
        <v>#VALUE!</v>
      </c>
      <c r="CY4" t="e">
        <f>'All regions'!C86+"n/&gt;!0c"</f>
        <v>#VALUE!</v>
      </c>
      <c r="CZ4" t="e">
        <f>'All regions'!D86+"n/&gt;!0d"</f>
        <v>#VALUE!</v>
      </c>
      <c r="DA4" t="e">
        <f>'All regions'!E86+"n/&gt;!0e"</f>
        <v>#VALUE!</v>
      </c>
      <c r="DB4" t="e">
        <f>'All regions'!F86+"n/&gt;!0f"</f>
        <v>#VALUE!</v>
      </c>
      <c r="DC4" t="e">
        <f>'All regions'!G86+"n/&gt;!0g"</f>
        <v>#VALUE!</v>
      </c>
      <c r="DD4" t="e">
        <f>'All regions'!H86+"n/&gt;!0h"</f>
        <v>#VALUE!</v>
      </c>
      <c r="DE4" t="e">
        <f>'All regions'!I86+"n/&gt;!0i"</f>
        <v>#VALUE!</v>
      </c>
      <c r="DF4" t="e">
        <f>'All regions'!J86+"n/&gt;!0j"</f>
        <v>#VALUE!</v>
      </c>
      <c r="DG4" t="e">
        <f>'All regions'!A87+"n/&gt;!0k"</f>
        <v>#VALUE!</v>
      </c>
      <c r="DH4" t="e">
        <f>'All regions'!B87+"n/&gt;!0l"</f>
        <v>#VALUE!</v>
      </c>
      <c r="DI4" t="e">
        <f>'All regions'!C87+"n/&gt;!0m"</f>
        <v>#VALUE!</v>
      </c>
      <c r="DJ4" t="e">
        <f>'All regions'!D87+"n/&gt;!0n"</f>
        <v>#VALUE!</v>
      </c>
      <c r="DK4" t="e">
        <f>'All regions'!E87+"n/&gt;!0o"</f>
        <v>#VALUE!</v>
      </c>
      <c r="DL4" t="e">
        <f>'All regions'!F87+"n/&gt;!0p"</f>
        <v>#VALUE!</v>
      </c>
      <c r="DM4" t="e">
        <f>'All regions'!G87+"n/&gt;!0q"</f>
        <v>#VALUE!</v>
      </c>
      <c r="DN4" t="e">
        <f>'All regions'!H87+"n/&gt;!0r"</f>
        <v>#VALUE!</v>
      </c>
      <c r="DO4" t="e">
        <f>'All regions'!I87+"n/&gt;!0s"</f>
        <v>#VALUE!</v>
      </c>
      <c r="DP4" t="e">
        <f>'All regions'!J87+"n/&gt;!0t"</f>
        <v>#VALUE!</v>
      </c>
      <c r="DQ4" t="e">
        <f>'All regions'!A88+"n/&gt;!0u"</f>
        <v>#VALUE!</v>
      </c>
      <c r="DR4" t="e">
        <f>'All regions'!B88+"n/&gt;!0v"</f>
        <v>#VALUE!</v>
      </c>
      <c r="DS4" t="e">
        <f>'All regions'!C88+"n/&gt;!0w"</f>
        <v>#VALUE!</v>
      </c>
      <c r="DT4" t="e">
        <f>'All regions'!D88+"n/&gt;!0x"</f>
        <v>#VALUE!</v>
      </c>
      <c r="DU4" t="e">
        <f>'All regions'!E88+"n/&gt;!0y"</f>
        <v>#VALUE!</v>
      </c>
      <c r="DV4" t="e">
        <f>'All regions'!F88+"n/&gt;!0z"</f>
        <v>#VALUE!</v>
      </c>
      <c r="DW4" t="e">
        <f>'All regions'!G88+"n/&gt;!0{"</f>
        <v>#VALUE!</v>
      </c>
      <c r="DX4" t="e">
        <f>'All regions'!H88+"n/&gt;!0|"</f>
        <v>#VALUE!</v>
      </c>
      <c r="DY4" t="e">
        <f>'All regions'!I88+"n/&gt;!0}"</f>
        <v>#VALUE!</v>
      </c>
      <c r="DZ4" t="e">
        <f>'All regions'!J88+"n/&gt;!0~"</f>
        <v>#VALUE!</v>
      </c>
      <c r="EA4" t="e">
        <f>'All regions'!A89+"n/&gt;!1#"</f>
        <v>#VALUE!</v>
      </c>
      <c r="EB4" t="e">
        <f>'All regions'!B89+"n/&gt;!1$"</f>
        <v>#VALUE!</v>
      </c>
      <c r="EC4" t="e">
        <f>'All regions'!C89+"n/&gt;!1%"</f>
        <v>#VALUE!</v>
      </c>
      <c r="ED4" t="e">
        <f>'All regions'!D89+"n/&gt;!1&amp;"</f>
        <v>#VALUE!</v>
      </c>
      <c r="EE4" t="e">
        <f>'All regions'!E89+"n/&gt;!1'"</f>
        <v>#VALUE!</v>
      </c>
      <c r="EF4" t="e">
        <f>'All regions'!F89+"n/&gt;!1("</f>
        <v>#VALUE!</v>
      </c>
      <c r="EG4" t="e">
        <f>'All regions'!G89+"n/&gt;!1)"</f>
        <v>#VALUE!</v>
      </c>
      <c r="EH4" t="e">
        <f>'All regions'!H89+"n/&gt;!1."</f>
        <v>#VALUE!</v>
      </c>
      <c r="EI4" t="e">
        <f>'All regions'!I89+"n/&gt;!1/"</f>
        <v>#VALUE!</v>
      </c>
      <c r="EJ4" t="e">
        <f>'All regions'!J89+"n/&gt;!10"</f>
        <v>#VALUE!</v>
      </c>
      <c r="EK4" t="e">
        <f>'All regions'!A90+"n/&gt;!11"</f>
        <v>#VALUE!</v>
      </c>
      <c r="EL4" t="e">
        <f>'All regions'!B90+"n/&gt;!12"</f>
        <v>#VALUE!</v>
      </c>
      <c r="EM4" t="e">
        <f>'All regions'!C90+"n/&gt;!13"</f>
        <v>#VALUE!</v>
      </c>
      <c r="EN4" t="e">
        <f>'All regions'!D90+"n/&gt;!14"</f>
        <v>#VALUE!</v>
      </c>
      <c r="EO4" t="e">
        <f>'All regions'!E90+"n/&gt;!15"</f>
        <v>#VALUE!</v>
      </c>
      <c r="EP4" t="e">
        <f>'All regions'!F90+"n/&gt;!16"</f>
        <v>#VALUE!</v>
      </c>
      <c r="EQ4" t="e">
        <f>'All regions'!G90+"n/&gt;!17"</f>
        <v>#VALUE!</v>
      </c>
      <c r="ER4" t="e">
        <f>'All regions'!H90+"n/&gt;!18"</f>
        <v>#VALUE!</v>
      </c>
      <c r="ES4" t="e">
        <f>'All regions'!I90+"n/&gt;!19"</f>
        <v>#VALUE!</v>
      </c>
      <c r="ET4" t="e">
        <f>'All regions'!J90+"n/&gt;!1:"</f>
        <v>#VALUE!</v>
      </c>
      <c r="EU4" t="e">
        <f>'All regions'!A91+"n/&gt;!1;"</f>
        <v>#VALUE!</v>
      </c>
      <c r="EV4" t="e">
        <f>'All regions'!B91+"n/&gt;!1&lt;"</f>
        <v>#VALUE!</v>
      </c>
      <c r="EW4" t="e">
        <f>'All regions'!C91+"n/&gt;!1="</f>
        <v>#VALUE!</v>
      </c>
      <c r="EX4" t="e">
        <f>'All regions'!D91+"n/&gt;!1&gt;"</f>
        <v>#VALUE!</v>
      </c>
      <c r="EY4" t="e">
        <f>'All regions'!E91+"n/&gt;!1?"</f>
        <v>#VALUE!</v>
      </c>
      <c r="EZ4" t="e">
        <f>'All regions'!F91+"n/&gt;!1@"</f>
        <v>#VALUE!</v>
      </c>
      <c r="FA4" t="e">
        <f>'All regions'!G91+"n/&gt;!1A"</f>
        <v>#VALUE!</v>
      </c>
      <c r="FB4" t="e">
        <f>'All regions'!H91+"n/&gt;!1B"</f>
        <v>#VALUE!</v>
      </c>
      <c r="FC4" t="e">
        <f>'All regions'!I91+"n/&gt;!1C"</f>
        <v>#VALUE!</v>
      </c>
      <c r="FD4" t="e">
        <f>'All regions'!J91+"n/&gt;!1D"</f>
        <v>#VALUE!</v>
      </c>
      <c r="FE4" t="e">
        <f>'All regions'!A92+"n/&gt;!1E"</f>
        <v>#VALUE!</v>
      </c>
      <c r="FF4" t="e">
        <f>'All regions'!B92+"n/&gt;!1F"</f>
        <v>#VALUE!</v>
      </c>
      <c r="FG4" t="e">
        <f>'All regions'!C92+"n/&gt;!1G"</f>
        <v>#VALUE!</v>
      </c>
      <c r="FH4" t="e">
        <f>'All regions'!D92+"n/&gt;!1H"</f>
        <v>#VALUE!</v>
      </c>
      <c r="FI4" t="e">
        <f>'All regions'!E92+"n/&gt;!1I"</f>
        <v>#VALUE!</v>
      </c>
      <c r="FJ4" t="e">
        <f>'All regions'!F92+"n/&gt;!1J"</f>
        <v>#VALUE!</v>
      </c>
      <c r="FK4" t="e">
        <f>'All regions'!G92+"n/&gt;!1K"</f>
        <v>#VALUE!</v>
      </c>
      <c r="FL4" t="e">
        <f>'All regions'!H92+"n/&gt;!1L"</f>
        <v>#VALUE!</v>
      </c>
      <c r="FM4" t="e">
        <f>'All regions'!I92+"n/&gt;!1M"</f>
        <v>#VALUE!</v>
      </c>
      <c r="FN4" t="e">
        <f>'All regions'!J92+"n/&gt;!1N"</f>
        <v>#VALUE!</v>
      </c>
      <c r="FO4" t="e">
        <f>'All regions'!A93+"n/&gt;!1O"</f>
        <v>#VALUE!</v>
      </c>
      <c r="FP4" t="e">
        <f>'All regions'!B93+"n/&gt;!1P"</f>
        <v>#VALUE!</v>
      </c>
      <c r="FQ4" t="e">
        <f>'All regions'!C93+"n/&gt;!1Q"</f>
        <v>#VALUE!</v>
      </c>
      <c r="FR4" t="e">
        <f>'All regions'!D93+"n/&gt;!1R"</f>
        <v>#VALUE!</v>
      </c>
      <c r="FS4" t="e">
        <f>'All regions'!E93+"n/&gt;!1S"</f>
        <v>#VALUE!</v>
      </c>
      <c r="FT4" t="e">
        <f>'All regions'!F93+"n/&gt;!1T"</f>
        <v>#VALUE!</v>
      </c>
      <c r="FU4" t="e">
        <f>'All regions'!G93+"n/&gt;!1U"</f>
        <v>#VALUE!</v>
      </c>
      <c r="FV4" t="e">
        <f>'All regions'!H93+"n/&gt;!1V"</f>
        <v>#VALUE!</v>
      </c>
      <c r="FW4" t="e">
        <f>'All regions'!I93+"n/&gt;!1W"</f>
        <v>#VALUE!</v>
      </c>
      <c r="FX4" t="e">
        <f>'All regions'!J93+"n/&gt;!1X"</f>
        <v>#VALUE!</v>
      </c>
      <c r="FY4" t="e">
        <f>'All regions'!A94+"n/&gt;!1Y"</f>
        <v>#VALUE!</v>
      </c>
      <c r="FZ4" t="e">
        <f>'All regions'!B94+"n/&gt;!1Z"</f>
        <v>#VALUE!</v>
      </c>
      <c r="GA4" t="e">
        <f>'All regions'!C94+"n/&gt;!1["</f>
        <v>#VALUE!</v>
      </c>
      <c r="GB4" t="e">
        <f>'All regions'!D94+"n/&gt;!1\"</f>
        <v>#VALUE!</v>
      </c>
      <c r="GC4" t="e">
        <f>'All regions'!E94+"n/&gt;!1]"</f>
        <v>#VALUE!</v>
      </c>
      <c r="GD4" t="e">
        <f>'All regions'!F94+"n/&gt;!1^"</f>
        <v>#VALUE!</v>
      </c>
      <c r="GE4" t="e">
        <f>'All regions'!G94+"n/&gt;!1_"</f>
        <v>#VALUE!</v>
      </c>
      <c r="GF4" t="e">
        <f>'All regions'!H94+"n/&gt;!1`"</f>
        <v>#VALUE!</v>
      </c>
      <c r="GG4" t="e">
        <f>'All regions'!I94+"n/&gt;!1a"</f>
        <v>#VALUE!</v>
      </c>
      <c r="GH4" t="e">
        <f>'All regions'!J94+"n/&gt;!1b"</f>
        <v>#VALUE!</v>
      </c>
      <c r="GI4" t="e">
        <f>'All regions'!A95+"n/&gt;!1c"</f>
        <v>#VALUE!</v>
      </c>
      <c r="GJ4" t="e">
        <f>'All regions'!B95+"n/&gt;!1d"</f>
        <v>#VALUE!</v>
      </c>
      <c r="GK4" t="e">
        <f>'All regions'!C95+"n/&gt;!1e"</f>
        <v>#VALUE!</v>
      </c>
      <c r="GL4" t="e">
        <f>'All regions'!D95+"n/&gt;!1f"</f>
        <v>#VALUE!</v>
      </c>
      <c r="GM4" t="e">
        <f>'All regions'!E95+"n/&gt;!1g"</f>
        <v>#VALUE!</v>
      </c>
      <c r="GN4" t="e">
        <f>'All regions'!F95+"n/&gt;!1h"</f>
        <v>#VALUE!</v>
      </c>
      <c r="GO4" t="e">
        <f>'All regions'!G95+"n/&gt;!1i"</f>
        <v>#VALUE!</v>
      </c>
      <c r="GP4" t="e">
        <f>'All regions'!H95+"n/&gt;!1j"</f>
        <v>#VALUE!</v>
      </c>
      <c r="GQ4" t="e">
        <f>'All regions'!I95+"n/&gt;!1k"</f>
        <v>#VALUE!</v>
      </c>
      <c r="GR4" t="e">
        <f>'All regions'!J95+"n/&gt;!1l"</f>
        <v>#VALUE!</v>
      </c>
      <c r="GS4" t="e">
        <f>'All regions'!A96+"n/&gt;!1m"</f>
        <v>#VALUE!</v>
      </c>
      <c r="GT4" t="e">
        <f>'All regions'!B96+"n/&gt;!1n"</f>
        <v>#VALUE!</v>
      </c>
      <c r="GU4" t="e">
        <f>'All regions'!C96+"n/&gt;!1o"</f>
        <v>#VALUE!</v>
      </c>
      <c r="GV4" t="e">
        <f>'All regions'!D96+"n/&gt;!1p"</f>
        <v>#VALUE!</v>
      </c>
      <c r="GW4" t="e">
        <f>'All regions'!E96+"n/&gt;!1q"</f>
        <v>#VALUE!</v>
      </c>
      <c r="GX4" t="e">
        <f>'All regions'!F96+"n/&gt;!1r"</f>
        <v>#VALUE!</v>
      </c>
      <c r="GY4" t="e">
        <f>'All regions'!G96+"n/&gt;!1s"</f>
        <v>#VALUE!</v>
      </c>
      <c r="GZ4" t="e">
        <f>'All regions'!H96+"n/&gt;!1t"</f>
        <v>#VALUE!</v>
      </c>
      <c r="HA4" t="e">
        <f>'All regions'!I96+"n/&gt;!1u"</f>
        <v>#VALUE!</v>
      </c>
      <c r="HB4" t="e">
        <f>'All regions'!J96+"n/&gt;!1v"</f>
        <v>#VALUE!</v>
      </c>
      <c r="HC4" t="e">
        <f>'All regions'!A97+"n/&gt;!1w"</f>
        <v>#VALUE!</v>
      </c>
      <c r="HD4" t="e">
        <f>'All regions'!B97+"n/&gt;!1x"</f>
        <v>#VALUE!</v>
      </c>
      <c r="HE4" t="e">
        <f>'All regions'!C97+"n/&gt;!1y"</f>
        <v>#VALUE!</v>
      </c>
      <c r="HF4" t="e">
        <f>'All regions'!D97+"n/&gt;!1z"</f>
        <v>#VALUE!</v>
      </c>
      <c r="HG4" t="e">
        <f>'All regions'!E97+"n/&gt;!1{"</f>
        <v>#VALUE!</v>
      </c>
      <c r="HH4" t="e">
        <f>'All regions'!F97+"n/&gt;!1|"</f>
        <v>#VALUE!</v>
      </c>
      <c r="HI4" t="e">
        <f>'All regions'!G97+"n/&gt;!1}"</f>
        <v>#VALUE!</v>
      </c>
      <c r="HJ4" t="e">
        <f>'All regions'!H97+"n/&gt;!1~"</f>
        <v>#VALUE!</v>
      </c>
      <c r="HK4" t="e">
        <f>'All regions'!I97+"n/&gt;!2#"</f>
        <v>#VALUE!</v>
      </c>
      <c r="HL4" t="e">
        <f>'All regions'!J97+"n/&gt;!2$"</f>
        <v>#VALUE!</v>
      </c>
      <c r="HM4" t="e">
        <f>'All regions'!A98+"n/&gt;!2%"</f>
        <v>#VALUE!</v>
      </c>
      <c r="HN4" t="e">
        <f>'All regions'!B98+"n/&gt;!2&amp;"</f>
        <v>#VALUE!</v>
      </c>
      <c r="HO4" t="e">
        <f>'All regions'!C98+"n/&gt;!2'"</f>
        <v>#VALUE!</v>
      </c>
      <c r="HP4" t="e">
        <f>'All regions'!D98+"n/&gt;!2("</f>
        <v>#VALUE!</v>
      </c>
      <c r="HQ4" t="e">
        <f>'All regions'!E98+"n/&gt;!2)"</f>
        <v>#VALUE!</v>
      </c>
      <c r="HR4" t="e">
        <f>'All regions'!F98+"n/&gt;!2."</f>
        <v>#VALUE!</v>
      </c>
      <c r="HS4" t="e">
        <f>'All regions'!G98+"n/&gt;!2/"</f>
        <v>#VALUE!</v>
      </c>
      <c r="HT4" t="e">
        <f>'All regions'!H98+"n/&gt;!20"</f>
        <v>#VALUE!</v>
      </c>
      <c r="HU4" t="e">
        <f>'All regions'!I98+"n/&gt;!21"</f>
        <v>#VALUE!</v>
      </c>
      <c r="HV4" t="e">
        <f>'All regions'!J98+"n/&gt;!22"</f>
        <v>#VALUE!</v>
      </c>
      <c r="HW4" t="e">
        <f>'All regions'!A99+"n/&gt;!23"</f>
        <v>#VALUE!</v>
      </c>
      <c r="HX4" t="e">
        <f>'All regions'!B99+"n/&gt;!24"</f>
        <v>#VALUE!</v>
      </c>
      <c r="HY4" t="e">
        <f>'All regions'!C99+"n/&gt;!25"</f>
        <v>#VALUE!</v>
      </c>
      <c r="HZ4" t="e">
        <f>'All regions'!D99+"n/&gt;!26"</f>
        <v>#VALUE!</v>
      </c>
      <c r="IA4" t="e">
        <f>'All regions'!E99+"n/&gt;!27"</f>
        <v>#VALUE!</v>
      </c>
      <c r="IB4" t="e">
        <f>'All regions'!F99+"n/&gt;!28"</f>
        <v>#VALUE!</v>
      </c>
      <c r="IC4" t="e">
        <f>'All regions'!G99+"n/&gt;!29"</f>
        <v>#VALUE!</v>
      </c>
      <c r="ID4" t="e">
        <f>'All regions'!H99+"n/&gt;!2:"</f>
        <v>#VALUE!</v>
      </c>
      <c r="IE4" t="e">
        <f>'All regions'!I99+"n/&gt;!2;"</f>
        <v>#VALUE!</v>
      </c>
      <c r="IF4" t="e">
        <f>'All regions'!J99+"n/&gt;!2&lt;"</f>
        <v>#VALUE!</v>
      </c>
      <c r="IG4" t="e">
        <f>'All regions'!A100+"n/&gt;!2="</f>
        <v>#VALUE!</v>
      </c>
      <c r="IH4" t="e">
        <f>'All regions'!B100+"n/&gt;!2&gt;"</f>
        <v>#VALUE!</v>
      </c>
      <c r="II4" t="e">
        <f>'All regions'!C100+"n/&gt;!2?"</f>
        <v>#VALUE!</v>
      </c>
      <c r="IJ4" t="e">
        <f>'All regions'!D100+"n/&gt;!2@"</f>
        <v>#VALUE!</v>
      </c>
      <c r="IK4" t="e">
        <f>'All regions'!E100+"n/&gt;!2A"</f>
        <v>#VALUE!</v>
      </c>
      <c r="IL4" t="e">
        <f>'All regions'!F100+"n/&gt;!2B"</f>
        <v>#VALUE!</v>
      </c>
      <c r="IM4" t="e">
        <f>'All regions'!G100+"n/&gt;!2C"</f>
        <v>#VALUE!</v>
      </c>
      <c r="IN4" t="e">
        <f>'All regions'!H100+"n/&gt;!2D"</f>
        <v>#VALUE!</v>
      </c>
      <c r="IO4" t="e">
        <f>'All regions'!I100+"n/&gt;!2E"</f>
        <v>#VALUE!</v>
      </c>
      <c r="IP4" t="e">
        <f>'All regions'!J100+"n/&gt;!2F"</f>
        <v>#VALUE!</v>
      </c>
      <c r="IQ4" t="e">
        <f>'All regions'!A101+"n/&gt;!2G"</f>
        <v>#VALUE!</v>
      </c>
      <c r="IR4" t="e">
        <f>'All regions'!B101+"n/&gt;!2H"</f>
        <v>#VALUE!</v>
      </c>
      <c r="IS4" t="e">
        <f>'All regions'!C101+"n/&gt;!2I"</f>
        <v>#VALUE!</v>
      </c>
      <c r="IT4" t="e">
        <f>'All regions'!D101+"n/&gt;!2J"</f>
        <v>#VALUE!</v>
      </c>
      <c r="IU4" t="e">
        <f>'All regions'!E101+"n/&gt;!2K"</f>
        <v>#VALUE!</v>
      </c>
      <c r="IV4" t="e">
        <f>'All regions'!F101+"n/&gt;!2L"</f>
        <v>#VALUE!</v>
      </c>
    </row>
    <row r="5" spans="1:256" x14ac:dyDescent="0.35">
      <c r="F5" t="e">
        <f>'All regions'!G101+"n/&gt;!2M"</f>
        <v>#VALUE!</v>
      </c>
      <c r="G5" t="e">
        <f>'All regions'!H101+"n/&gt;!2N"</f>
        <v>#VALUE!</v>
      </c>
      <c r="H5" t="e">
        <f>'All regions'!I101+"n/&gt;!2O"</f>
        <v>#VALUE!</v>
      </c>
      <c r="I5" t="e">
        <f>'All regions'!J101+"n/&gt;!2P"</f>
        <v>#VALUE!</v>
      </c>
      <c r="J5" t="e">
        <f>'All regions'!A102+"n/&gt;!2Q"</f>
        <v>#VALUE!</v>
      </c>
      <c r="K5" t="e">
        <f>'All regions'!B102+"n/&gt;!2R"</f>
        <v>#VALUE!</v>
      </c>
      <c r="L5" t="e">
        <f>'All regions'!C102+"n/&gt;!2S"</f>
        <v>#VALUE!</v>
      </c>
      <c r="M5" t="e">
        <f>'All regions'!D102+"n/&gt;!2T"</f>
        <v>#VALUE!</v>
      </c>
      <c r="N5" t="e">
        <f>'All regions'!E102+"n/&gt;!2U"</f>
        <v>#VALUE!</v>
      </c>
      <c r="O5" t="e">
        <f>'All regions'!F102+"n/&gt;!2V"</f>
        <v>#VALUE!</v>
      </c>
      <c r="P5" t="e">
        <f>'All regions'!G102+"n/&gt;!2W"</f>
        <v>#VALUE!</v>
      </c>
      <c r="Q5" t="e">
        <f>'All regions'!H102+"n/&gt;!2X"</f>
        <v>#VALUE!</v>
      </c>
      <c r="R5" t="e">
        <f>'All regions'!I102+"n/&gt;!2Y"</f>
        <v>#VALUE!</v>
      </c>
      <c r="S5" t="e">
        <f>'All regions'!J102+"n/&gt;!2Z"</f>
        <v>#VALUE!</v>
      </c>
      <c r="T5" t="e">
        <f>'All regions'!A103+"n/&gt;!2["</f>
        <v>#VALUE!</v>
      </c>
      <c r="U5" t="e">
        <f>'All regions'!B103+"n/&gt;!2\"</f>
        <v>#VALUE!</v>
      </c>
      <c r="V5" t="e">
        <f>'All regions'!C103+"n/&gt;!2]"</f>
        <v>#VALUE!</v>
      </c>
      <c r="W5" t="e">
        <f>'All regions'!D103+"n/&gt;!2^"</f>
        <v>#VALUE!</v>
      </c>
      <c r="X5" t="e">
        <f>'All regions'!E103+"n/&gt;!2_"</f>
        <v>#VALUE!</v>
      </c>
      <c r="Y5" t="e">
        <f>'All regions'!F103+"n/&gt;!2`"</f>
        <v>#VALUE!</v>
      </c>
      <c r="Z5" t="e">
        <f>'All regions'!G103+"n/&gt;!2a"</f>
        <v>#VALUE!</v>
      </c>
      <c r="AA5" t="e">
        <f>'All regions'!H103+"n/&gt;!2b"</f>
        <v>#VALUE!</v>
      </c>
      <c r="AB5" t="e">
        <f>'All regions'!I103+"n/&gt;!2c"</f>
        <v>#VALUE!</v>
      </c>
      <c r="AC5" t="e">
        <f>'All regions'!J103+"n/&gt;!2d"</f>
        <v>#VALUE!</v>
      </c>
      <c r="AD5" t="e">
        <f>'All regions'!A104+"n/&gt;!2e"</f>
        <v>#VALUE!</v>
      </c>
      <c r="AE5" t="e">
        <f>'All regions'!B104+"n/&gt;!2f"</f>
        <v>#VALUE!</v>
      </c>
      <c r="AF5" t="e">
        <f>'All regions'!C104+"n/&gt;!2g"</f>
        <v>#VALUE!</v>
      </c>
      <c r="AG5" t="e">
        <f>'All regions'!D104+"n/&gt;!2h"</f>
        <v>#VALUE!</v>
      </c>
      <c r="AH5" t="e">
        <f>'All regions'!E104+"n/&gt;!2i"</f>
        <v>#VALUE!</v>
      </c>
      <c r="AI5" t="e">
        <f>'All regions'!F104+"n/&gt;!2j"</f>
        <v>#VALUE!</v>
      </c>
      <c r="AJ5" t="e">
        <f>'All regions'!G104+"n/&gt;!2k"</f>
        <v>#VALUE!</v>
      </c>
      <c r="AK5" t="e">
        <f>'All regions'!H104+"n/&gt;!2l"</f>
        <v>#VALUE!</v>
      </c>
      <c r="AL5" t="e">
        <f>'All regions'!I104+"n/&gt;!2m"</f>
        <v>#VALUE!</v>
      </c>
      <c r="AM5" t="e">
        <f>'All regions'!J104+"n/&gt;!2n"</f>
        <v>#VALUE!</v>
      </c>
      <c r="AN5" t="e">
        <f>'All regions'!A105+"n/&gt;!2o"</f>
        <v>#VALUE!</v>
      </c>
      <c r="AO5" t="e">
        <f>'All regions'!B105+"n/&gt;!2p"</f>
        <v>#VALUE!</v>
      </c>
      <c r="AP5" t="e">
        <f>'All regions'!C105+"n/&gt;!2q"</f>
        <v>#VALUE!</v>
      </c>
      <c r="AQ5" t="e">
        <f>'All regions'!D105+"n/&gt;!2r"</f>
        <v>#VALUE!</v>
      </c>
      <c r="AR5" t="e">
        <f>'All regions'!E105+"n/&gt;!2s"</f>
        <v>#VALUE!</v>
      </c>
      <c r="AS5" t="e">
        <f>'All regions'!F105+"n/&gt;!2t"</f>
        <v>#VALUE!</v>
      </c>
      <c r="AT5" t="e">
        <f>'All regions'!G105+"n/&gt;!2u"</f>
        <v>#VALUE!</v>
      </c>
      <c r="AU5" t="e">
        <f>'All regions'!H105+"n/&gt;!2v"</f>
        <v>#VALUE!</v>
      </c>
      <c r="AV5" t="e">
        <f>'All regions'!I105+"n/&gt;!2w"</f>
        <v>#VALUE!</v>
      </c>
      <c r="AW5" t="e">
        <f>'All regions'!J105+"n/&gt;!2x"</f>
        <v>#VALUE!</v>
      </c>
      <c r="AX5" t="e">
        <f>'All regions'!A106+"n/&gt;!2y"</f>
        <v>#VALUE!</v>
      </c>
      <c r="AY5" t="e">
        <f>'All regions'!B106+"n/&gt;!2z"</f>
        <v>#VALUE!</v>
      </c>
      <c r="AZ5" t="e">
        <f>'All regions'!C106+"n/&gt;!2{"</f>
        <v>#VALUE!</v>
      </c>
      <c r="BA5" t="e">
        <f>'All regions'!D106+"n/&gt;!2|"</f>
        <v>#VALUE!</v>
      </c>
      <c r="BB5" t="e">
        <f>'All regions'!E106+"n/&gt;!2}"</f>
        <v>#VALUE!</v>
      </c>
      <c r="BC5" t="e">
        <f>'All regions'!F106+"n/&gt;!2~"</f>
        <v>#VALUE!</v>
      </c>
      <c r="BD5" t="e">
        <f>'All regions'!G106+"n/&gt;!3#"</f>
        <v>#VALUE!</v>
      </c>
      <c r="BE5" t="e">
        <f>'All regions'!H106+"n/&gt;!3$"</f>
        <v>#VALUE!</v>
      </c>
      <c r="BF5" t="e">
        <f>'All regions'!I106+"n/&gt;!3%"</f>
        <v>#VALUE!</v>
      </c>
      <c r="BG5" t="e">
        <f>'All regions'!J106+"n/&gt;!3&amp;"</f>
        <v>#VALUE!</v>
      </c>
      <c r="BH5" t="e">
        <f>'All regions'!A107+"n/&gt;!3'"</f>
        <v>#VALUE!</v>
      </c>
      <c r="BI5" t="e">
        <f>'All regions'!B107+"n/&gt;!3("</f>
        <v>#VALUE!</v>
      </c>
      <c r="BJ5" t="e">
        <f>'All regions'!C107+"n/&gt;!3)"</f>
        <v>#VALUE!</v>
      </c>
      <c r="BK5" t="e">
        <f>'All regions'!D107+"n/&gt;!3."</f>
        <v>#VALUE!</v>
      </c>
      <c r="BL5" t="e">
        <f>'All regions'!E107+"n/&gt;!3/"</f>
        <v>#VALUE!</v>
      </c>
      <c r="BM5" t="e">
        <f>'All regions'!F107+"n/&gt;!30"</f>
        <v>#VALUE!</v>
      </c>
      <c r="BN5" t="e">
        <f>'All regions'!G107+"n/&gt;!31"</f>
        <v>#VALUE!</v>
      </c>
      <c r="BO5" t="e">
        <f>'All regions'!H107+"n/&gt;!32"</f>
        <v>#VALUE!</v>
      </c>
      <c r="BP5" t="e">
        <f>'All regions'!I107+"n/&gt;!33"</f>
        <v>#VALUE!</v>
      </c>
      <c r="BQ5" t="e">
        <f>'All regions'!J107+"n/&gt;!34"</f>
        <v>#VALUE!</v>
      </c>
      <c r="BR5" t="e">
        <f>'All regions'!A108+"n/&gt;!35"</f>
        <v>#VALUE!</v>
      </c>
      <c r="BS5" t="e">
        <f>'All regions'!B108+"n/&gt;!36"</f>
        <v>#VALUE!</v>
      </c>
      <c r="BT5" t="e">
        <f>'All regions'!C108+"n/&gt;!37"</f>
        <v>#VALUE!</v>
      </c>
      <c r="BU5" t="e">
        <f>'All regions'!D108+"n/&gt;!38"</f>
        <v>#VALUE!</v>
      </c>
      <c r="BV5" t="e">
        <f>'All regions'!E108+"n/&gt;!39"</f>
        <v>#VALUE!</v>
      </c>
      <c r="BW5" t="e">
        <f>'All regions'!F108+"n/&gt;!3:"</f>
        <v>#VALUE!</v>
      </c>
      <c r="BX5" t="e">
        <f>'All regions'!G108+"n/&gt;!3;"</f>
        <v>#VALUE!</v>
      </c>
      <c r="BY5" t="e">
        <f>'All regions'!H108+"n/&gt;!3&lt;"</f>
        <v>#VALUE!</v>
      </c>
      <c r="BZ5" t="e">
        <f>'All regions'!I108+"n/&gt;!3="</f>
        <v>#VALUE!</v>
      </c>
      <c r="CA5" t="e">
        <f>'All regions'!J108+"n/&gt;!3&gt;"</f>
        <v>#VALUE!</v>
      </c>
      <c r="CB5" t="e">
        <f>'All regions'!A109+"n/&gt;!3?"</f>
        <v>#VALUE!</v>
      </c>
      <c r="CC5" t="e">
        <f>'All regions'!B109+"n/&gt;!3@"</f>
        <v>#VALUE!</v>
      </c>
      <c r="CD5" t="e">
        <f>'All regions'!C109+"n/&gt;!3A"</f>
        <v>#VALUE!</v>
      </c>
      <c r="CE5" t="e">
        <f>'All regions'!D109+"n/&gt;!3B"</f>
        <v>#VALUE!</v>
      </c>
      <c r="CF5" t="e">
        <f>'All regions'!E109+"n/&gt;!3C"</f>
        <v>#VALUE!</v>
      </c>
      <c r="CG5" t="e">
        <f>'All regions'!F109+"n/&gt;!3D"</f>
        <v>#VALUE!</v>
      </c>
      <c r="CH5" t="e">
        <f>'All regions'!G109+"n/&gt;!3E"</f>
        <v>#VALUE!</v>
      </c>
      <c r="CI5" t="e">
        <f>'All regions'!H109+"n/&gt;!3F"</f>
        <v>#VALUE!</v>
      </c>
      <c r="CJ5" t="e">
        <f>'All regions'!I109+"n/&gt;!3G"</f>
        <v>#VALUE!</v>
      </c>
      <c r="CK5" t="e">
        <f>'All regions'!J109+"n/&gt;!3H"</f>
        <v>#VALUE!</v>
      </c>
      <c r="CL5" t="e">
        <f>'All regions'!A110+"n/&gt;!3I"</f>
        <v>#VALUE!</v>
      </c>
      <c r="CM5" t="e">
        <f>'All regions'!B110+"n/&gt;!3J"</f>
        <v>#VALUE!</v>
      </c>
      <c r="CN5" t="e">
        <f>'All regions'!C110+"n/&gt;!3K"</f>
        <v>#VALUE!</v>
      </c>
      <c r="CO5" t="e">
        <f>'All regions'!D110+"n/&gt;!3L"</f>
        <v>#VALUE!</v>
      </c>
      <c r="CP5" t="e">
        <f>'All regions'!E110+"n/&gt;!3M"</f>
        <v>#VALUE!</v>
      </c>
      <c r="CQ5" t="e">
        <f>'All regions'!F110+"n/&gt;!3N"</f>
        <v>#VALUE!</v>
      </c>
      <c r="CR5" t="e">
        <f>'All regions'!G110+"n/&gt;!3O"</f>
        <v>#VALUE!</v>
      </c>
      <c r="CS5" t="e">
        <f>'All regions'!H110+"n/&gt;!3P"</f>
        <v>#VALUE!</v>
      </c>
      <c r="CT5" t="e">
        <f>'All regions'!I110+"n/&gt;!3Q"</f>
        <v>#VALUE!</v>
      </c>
      <c r="CU5" t="e">
        <f>'All regions'!J110+"n/&gt;!3R"</f>
        <v>#VALUE!</v>
      </c>
      <c r="CV5" t="e">
        <f>'All regions'!A111+"n/&gt;!3S"</f>
        <v>#VALUE!</v>
      </c>
      <c r="CW5" t="e">
        <f>'All regions'!B111+"n/&gt;!3T"</f>
        <v>#VALUE!</v>
      </c>
      <c r="CX5" t="e">
        <f>'All regions'!C111+"n/&gt;!3U"</f>
        <v>#VALUE!</v>
      </c>
      <c r="CY5" t="e">
        <f>'All regions'!D111+"n/&gt;!3V"</f>
        <v>#VALUE!</v>
      </c>
      <c r="CZ5" t="e">
        <f>'All regions'!E111+"n/&gt;!3W"</f>
        <v>#VALUE!</v>
      </c>
      <c r="DA5" t="e">
        <f>'All regions'!F111+"n/&gt;!3X"</f>
        <v>#VALUE!</v>
      </c>
      <c r="DB5" t="e">
        <f>'All regions'!G111+"n/&gt;!3Y"</f>
        <v>#VALUE!</v>
      </c>
      <c r="DC5" t="e">
        <f>'All regions'!H111+"n/&gt;!3Z"</f>
        <v>#VALUE!</v>
      </c>
      <c r="DD5" t="e">
        <f>'All regions'!I111+"n/&gt;!3["</f>
        <v>#VALUE!</v>
      </c>
      <c r="DE5" t="e">
        <f>'All regions'!J111+"n/&gt;!3\"</f>
        <v>#VALUE!</v>
      </c>
      <c r="DF5" t="e">
        <f>'All regions'!A112+"n/&gt;!3]"</f>
        <v>#VALUE!</v>
      </c>
      <c r="DG5" t="e">
        <f>'All regions'!B112+"n/&gt;!3^"</f>
        <v>#VALUE!</v>
      </c>
      <c r="DH5" t="e">
        <f>'All regions'!C112+"n/&gt;!3_"</f>
        <v>#VALUE!</v>
      </c>
      <c r="DI5" t="e">
        <f>'All regions'!D112+"n/&gt;!3`"</f>
        <v>#VALUE!</v>
      </c>
      <c r="DJ5" t="e">
        <f>'All regions'!E112+"n/&gt;!3a"</f>
        <v>#VALUE!</v>
      </c>
      <c r="DK5" t="e">
        <f>'All regions'!F112+"n/&gt;!3b"</f>
        <v>#VALUE!</v>
      </c>
      <c r="DL5" t="e">
        <f>'All regions'!G112+"n/&gt;!3c"</f>
        <v>#VALUE!</v>
      </c>
      <c r="DM5" t="e">
        <f>'All regions'!H112+"n/&gt;!3d"</f>
        <v>#VALUE!</v>
      </c>
      <c r="DN5" t="e">
        <f>'All regions'!I112+"n/&gt;!3e"</f>
        <v>#VALUE!</v>
      </c>
      <c r="DO5" t="e">
        <f>'All regions'!J112+"n/&gt;!3f"</f>
        <v>#VALUE!</v>
      </c>
      <c r="DP5" t="e">
        <f>'All regions'!A113+"n/&gt;!3g"</f>
        <v>#VALUE!</v>
      </c>
      <c r="DQ5" t="e">
        <f>'All regions'!B113+"n/&gt;!3h"</f>
        <v>#VALUE!</v>
      </c>
      <c r="DR5" t="e">
        <f>'All regions'!C113+"n/&gt;!3i"</f>
        <v>#VALUE!</v>
      </c>
      <c r="DS5" t="e">
        <f>'All regions'!D113+"n/&gt;!3j"</f>
        <v>#VALUE!</v>
      </c>
      <c r="DT5" t="e">
        <f>'All regions'!E113+"n/&gt;!3k"</f>
        <v>#VALUE!</v>
      </c>
      <c r="DU5" t="e">
        <f>'All regions'!F113+"n/&gt;!3l"</f>
        <v>#VALUE!</v>
      </c>
      <c r="DV5" t="e">
        <f>'All regions'!G113+"n/&gt;!3m"</f>
        <v>#VALUE!</v>
      </c>
      <c r="DW5" t="e">
        <f>'All regions'!H113+"n/&gt;!3n"</f>
        <v>#VALUE!</v>
      </c>
      <c r="DX5" t="e">
        <f>'All regions'!I113+"n/&gt;!3o"</f>
        <v>#VALUE!</v>
      </c>
      <c r="DY5" t="e">
        <f>'All regions'!J113+"n/&gt;!3p"</f>
        <v>#VALUE!</v>
      </c>
      <c r="DZ5" t="e">
        <f>'All regions'!A114+"n/&gt;!3q"</f>
        <v>#VALUE!</v>
      </c>
      <c r="EA5" t="e">
        <f>'All regions'!B114+"n/&gt;!3r"</f>
        <v>#VALUE!</v>
      </c>
      <c r="EB5" t="e">
        <f>'All regions'!C114+"n/&gt;!3s"</f>
        <v>#VALUE!</v>
      </c>
      <c r="EC5" t="e">
        <f>'All regions'!D114+"n/&gt;!3t"</f>
        <v>#VALUE!</v>
      </c>
      <c r="ED5" t="e">
        <f>'All regions'!E114+"n/&gt;!3u"</f>
        <v>#VALUE!</v>
      </c>
      <c r="EE5" t="e">
        <f>'All regions'!F114+"n/&gt;!3v"</f>
        <v>#VALUE!</v>
      </c>
      <c r="EF5" t="e">
        <f>'All regions'!G114+"n/&gt;!3w"</f>
        <v>#VALUE!</v>
      </c>
      <c r="EG5" t="e">
        <f>'All regions'!H114+"n/&gt;!3x"</f>
        <v>#VALUE!</v>
      </c>
      <c r="EH5" t="e">
        <f>'All regions'!I114+"n/&gt;!3y"</f>
        <v>#VALUE!</v>
      </c>
      <c r="EI5" t="e">
        <f>'All regions'!J114+"n/&gt;!3z"</f>
        <v>#VALUE!</v>
      </c>
      <c r="EJ5" t="e">
        <f>'All regions'!A115+"n/&gt;!3{"</f>
        <v>#VALUE!</v>
      </c>
      <c r="EK5" t="e">
        <f>'All regions'!B115+"n/&gt;!3|"</f>
        <v>#VALUE!</v>
      </c>
      <c r="EL5" t="e">
        <f>'All regions'!C115+"n/&gt;!3}"</f>
        <v>#VALUE!</v>
      </c>
      <c r="EM5" t="e">
        <f>'All regions'!D115+"n/&gt;!3~"</f>
        <v>#VALUE!</v>
      </c>
      <c r="EN5" t="e">
        <f>'All regions'!E115+"n/&gt;!4#"</f>
        <v>#VALUE!</v>
      </c>
      <c r="EO5" t="e">
        <f>'All regions'!F115+"n/&gt;!4$"</f>
        <v>#VALUE!</v>
      </c>
      <c r="EP5" t="e">
        <f>'All regions'!G115+"n/&gt;!4%"</f>
        <v>#VALUE!</v>
      </c>
      <c r="EQ5" t="e">
        <f>'All regions'!H115+"n/&gt;!4&amp;"</f>
        <v>#VALUE!</v>
      </c>
      <c r="ER5" t="e">
        <f>'All regions'!I115+"n/&gt;!4'"</f>
        <v>#VALUE!</v>
      </c>
      <c r="ES5" t="e">
        <f>'All regions'!J115+"n/&gt;!4("</f>
        <v>#VALUE!</v>
      </c>
      <c r="ET5" t="e">
        <f>'All regions'!A116+"n/&gt;!4)"</f>
        <v>#VALUE!</v>
      </c>
      <c r="EU5" t="e">
        <f>'All regions'!B116+"n/&gt;!4."</f>
        <v>#VALUE!</v>
      </c>
      <c r="EV5" t="e">
        <f>'All regions'!C116+"n/&gt;!4/"</f>
        <v>#VALUE!</v>
      </c>
      <c r="EW5" t="e">
        <f>'All regions'!D116+"n/&gt;!40"</f>
        <v>#VALUE!</v>
      </c>
      <c r="EX5" t="e">
        <f>'All regions'!E116+"n/&gt;!41"</f>
        <v>#VALUE!</v>
      </c>
      <c r="EY5" t="e">
        <f>'All regions'!F116+"n/&gt;!42"</f>
        <v>#VALUE!</v>
      </c>
      <c r="EZ5" t="e">
        <f>'All regions'!G116+"n/&gt;!43"</f>
        <v>#VALUE!</v>
      </c>
      <c r="FA5" t="e">
        <f>'All regions'!H116+"n/&gt;!44"</f>
        <v>#VALUE!</v>
      </c>
      <c r="FB5" t="e">
        <f>'All regions'!I116+"n/&gt;!45"</f>
        <v>#VALUE!</v>
      </c>
      <c r="FC5" t="e">
        <f>'All regions'!J116+"n/&gt;!46"</f>
        <v>#VALUE!</v>
      </c>
      <c r="FD5" t="e">
        <f>'All regions'!A117+"n/&gt;!47"</f>
        <v>#VALUE!</v>
      </c>
      <c r="FE5" t="e">
        <f>'All regions'!B117+"n/&gt;!48"</f>
        <v>#VALUE!</v>
      </c>
      <c r="FF5" t="e">
        <f>'All regions'!C117+"n/&gt;!49"</f>
        <v>#VALUE!</v>
      </c>
      <c r="FG5" t="e">
        <f>'All regions'!D117+"n/&gt;!4:"</f>
        <v>#VALUE!</v>
      </c>
      <c r="FH5" t="e">
        <f>'All regions'!E117+"n/&gt;!4;"</f>
        <v>#VALUE!</v>
      </c>
      <c r="FI5" t="e">
        <f>'All regions'!F117+"n/&gt;!4&lt;"</f>
        <v>#VALUE!</v>
      </c>
      <c r="FJ5" t="e">
        <f>'All regions'!G117+"n/&gt;!4="</f>
        <v>#VALUE!</v>
      </c>
      <c r="FK5" t="e">
        <f>'All regions'!H117+"n/&gt;!4&gt;"</f>
        <v>#VALUE!</v>
      </c>
      <c r="FL5" t="e">
        <f>'All regions'!I117+"n/&gt;!4?"</f>
        <v>#VALUE!</v>
      </c>
      <c r="FM5" t="e">
        <f>'All regions'!J117+"n/&gt;!4@"</f>
        <v>#VALUE!</v>
      </c>
      <c r="FN5" t="e">
        <f>'All regions'!A118+"n/&gt;!4A"</f>
        <v>#VALUE!</v>
      </c>
      <c r="FO5" t="e">
        <f>'All regions'!B118+"n/&gt;!4B"</f>
        <v>#VALUE!</v>
      </c>
      <c r="FP5" t="e">
        <f>'All regions'!C118+"n/&gt;!4C"</f>
        <v>#VALUE!</v>
      </c>
      <c r="FQ5" t="e">
        <f>'All regions'!D118+"n/&gt;!4D"</f>
        <v>#VALUE!</v>
      </c>
      <c r="FR5" t="e">
        <f>'All regions'!E118+"n/&gt;!4E"</f>
        <v>#VALUE!</v>
      </c>
      <c r="FS5" t="e">
        <f>'All regions'!F118+"n/&gt;!4F"</f>
        <v>#VALUE!</v>
      </c>
      <c r="FT5" t="e">
        <f>'All regions'!G118+"n/&gt;!4G"</f>
        <v>#VALUE!</v>
      </c>
      <c r="FU5" t="e">
        <f>'All regions'!H118+"n/&gt;!4H"</f>
        <v>#VALUE!</v>
      </c>
      <c r="FV5" t="e">
        <f>'All regions'!I118+"n/&gt;!4I"</f>
        <v>#VALUE!</v>
      </c>
      <c r="FW5" t="e">
        <f>'All regions'!J118+"n/&gt;!4J"</f>
        <v>#VALUE!</v>
      </c>
      <c r="FX5" t="e">
        <f>'All regions'!A119+"n/&gt;!4K"</f>
        <v>#VALUE!</v>
      </c>
      <c r="FY5" t="e">
        <f>'All regions'!B119+"n/&gt;!4L"</f>
        <v>#VALUE!</v>
      </c>
      <c r="FZ5" t="e">
        <f>'All regions'!C119+"n/&gt;!4M"</f>
        <v>#VALUE!</v>
      </c>
      <c r="GA5" t="e">
        <f>'All regions'!D119+"n/&gt;!4N"</f>
        <v>#VALUE!</v>
      </c>
      <c r="GB5" t="e">
        <f>'All regions'!E119+"n/&gt;!4O"</f>
        <v>#VALUE!</v>
      </c>
      <c r="GC5" t="e">
        <f>'All regions'!F119+"n/&gt;!4P"</f>
        <v>#VALUE!</v>
      </c>
      <c r="GD5" t="e">
        <f>'All regions'!G119+"n/&gt;!4Q"</f>
        <v>#VALUE!</v>
      </c>
      <c r="GE5" t="e">
        <f>'All regions'!H119+"n/&gt;!4R"</f>
        <v>#VALUE!</v>
      </c>
      <c r="GF5" t="e">
        <f>'All regions'!I119+"n/&gt;!4S"</f>
        <v>#VALUE!</v>
      </c>
      <c r="GG5" t="e">
        <f>'All regions'!J119+"n/&gt;!4T"</f>
        <v>#VALUE!</v>
      </c>
      <c r="GH5" t="e">
        <f>'All regions'!A120+"n/&gt;!4U"</f>
        <v>#VALUE!</v>
      </c>
      <c r="GI5" t="e">
        <f>'All regions'!B120+"n/&gt;!4V"</f>
        <v>#VALUE!</v>
      </c>
      <c r="GJ5" t="e">
        <f>'All regions'!C120+"n/&gt;!4W"</f>
        <v>#VALUE!</v>
      </c>
      <c r="GK5" t="e">
        <f>'All regions'!D120+"n/&gt;!4X"</f>
        <v>#VALUE!</v>
      </c>
      <c r="GL5" t="e">
        <f>'All regions'!E120+"n/&gt;!4Y"</f>
        <v>#VALUE!</v>
      </c>
      <c r="GM5" t="e">
        <f>'All regions'!F120+"n/&gt;!4Z"</f>
        <v>#VALUE!</v>
      </c>
      <c r="GN5" t="e">
        <f>'All regions'!G120+"n/&gt;!4["</f>
        <v>#VALUE!</v>
      </c>
      <c r="GO5" t="e">
        <f>'All regions'!H120+"n/&gt;!4\"</f>
        <v>#VALUE!</v>
      </c>
      <c r="GP5" t="e">
        <f>'All regions'!I120+"n/&gt;!4]"</f>
        <v>#VALUE!</v>
      </c>
      <c r="GQ5" t="e">
        <f>'All regions'!J120+"n/&gt;!4^"</f>
        <v>#VALUE!</v>
      </c>
      <c r="GR5" t="e">
        <f>'All regions'!A121+"n/&gt;!4_"</f>
        <v>#VALUE!</v>
      </c>
      <c r="GS5" t="e">
        <f>'All regions'!B121+"n/&gt;!4`"</f>
        <v>#VALUE!</v>
      </c>
      <c r="GT5" t="e">
        <f>'All regions'!C121+"n/&gt;!4a"</f>
        <v>#VALUE!</v>
      </c>
      <c r="GU5" t="e">
        <f>'All regions'!D121+"n/&gt;!4b"</f>
        <v>#VALUE!</v>
      </c>
      <c r="GV5" t="e">
        <f>'All regions'!E121+"n/&gt;!4c"</f>
        <v>#VALUE!</v>
      </c>
      <c r="GW5" t="e">
        <f>'All regions'!F121+"n/&gt;!4d"</f>
        <v>#VALUE!</v>
      </c>
      <c r="GX5" t="e">
        <f>'All regions'!G121+"n/&gt;!4e"</f>
        <v>#VALUE!</v>
      </c>
      <c r="GY5" t="e">
        <f>'All regions'!H121+"n/&gt;!4f"</f>
        <v>#VALUE!</v>
      </c>
      <c r="GZ5" t="e">
        <f>'All regions'!I121+"n/&gt;!4g"</f>
        <v>#VALUE!</v>
      </c>
      <c r="HA5" t="e">
        <f>'All regions'!J121+"n/&gt;!4h"</f>
        <v>#VALUE!</v>
      </c>
      <c r="HB5" t="e">
        <f>'All regions'!A122+"n/&gt;!4i"</f>
        <v>#VALUE!</v>
      </c>
      <c r="HC5" t="e">
        <f>'All regions'!B122+"n/&gt;!4j"</f>
        <v>#VALUE!</v>
      </c>
      <c r="HD5" t="e">
        <f>'All regions'!C122+"n/&gt;!4k"</f>
        <v>#VALUE!</v>
      </c>
      <c r="HE5" t="e">
        <f>'All regions'!D122+"n/&gt;!4l"</f>
        <v>#VALUE!</v>
      </c>
      <c r="HF5" t="e">
        <f>'All regions'!E122+"n/&gt;!4m"</f>
        <v>#VALUE!</v>
      </c>
      <c r="HG5" t="e">
        <f>'All regions'!F122+"n/&gt;!4n"</f>
        <v>#VALUE!</v>
      </c>
      <c r="HH5" t="e">
        <f>'All regions'!G122+"n/&gt;!4o"</f>
        <v>#VALUE!</v>
      </c>
      <c r="HI5" t="e">
        <f>'All regions'!H122+"n/&gt;!4p"</f>
        <v>#VALUE!</v>
      </c>
      <c r="HJ5" t="e">
        <f>'All regions'!I122+"n/&gt;!4q"</f>
        <v>#VALUE!</v>
      </c>
      <c r="HK5" t="e">
        <f>'All regions'!J122+"n/&gt;!4r"</f>
        <v>#VALUE!</v>
      </c>
      <c r="HL5" t="e">
        <f>'All regions'!A123+"n/&gt;!4s"</f>
        <v>#VALUE!</v>
      </c>
      <c r="HM5" t="e">
        <f>'All regions'!B123+"n/&gt;!4t"</f>
        <v>#VALUE!</v>
      </c>
      <c r="HN5" t="e">
        <f>'All regions'!C123+"n/&gt;!4u"</f>
        <v>#VALUE!</v>
      </c>
      <c r="HO5" t="e">
        <f>'All regions'!D123+"n/&gt;!4v"</f>
        <v>#VALUE!</v>
      </c>
      <c r="HP5" t="e">
        <f>'All regions'!E123+"n/&gt;!4w"</f>
        <v>#VALUE!</v>
      </c>
      <c r="HQ5" t="e">
        <f>'All regions'!F123+"n/&gt;!4x"</f>
        <v>#VALUE!</v>
      </c>
      <c r="HR5" t="e">
        <f>'All regions'!G123+"n/&gt;!4y"</f>
        <v>#VALUE!</v>
      </c>
      <c r="HS5" t="e">
        <f>'All regions'!H123+"n/&gt;!4z"</f>
        <v>#VALUE!</v>
      </c>
      <c r="HT5" t="e">
        <f>'All regions'!I123+"n/&gt;!4{"</f>
        <v>#VALUE!</v>
      </c>
      <c r="HU5" t="e">
        <f>'All regions'!J123+"n/&gt;!4|"</f>
        <v>#VALUE!</v>
      </c>
      <c r="HV5" t="e">
        <f>'All regions'!A124+"n/&gt;!4}"</f>
        <v>#VALUE!</v>
      </c>
      <c r="HW5" t="e">
        <f>'All regions'!B124+"n/&gt;!4~"</f>
        <v>#VALUE!</v>
      </c>
      <c r="HX5" t="e">
        <f>'All regions'!C124+"n/&gt;!5#"</f>
        <v>#VALUE!</v>
      </c>
      <c r="HY5" t="e">
        <f>'All regions'!D124+"n/&gt;!5$"</f>
        <v>#VALUE!</v>
      </c>
      <c r="HZ5" t="e">
        <f>'All regions'!E124+"n/&gt;!5%"</f>
        <v>#VALUE!</v>
      </c>
      <c r="IA5" t="e">
        <f>'All regions'!F124+"n/&gt;!5&amp;"</f>
        <v>#VALUE!</v>
      </c>
      <c r="IB5" t="e">
        <f>'All regions'!G124+"n/&gt;!5'"</f>
        <v>#VALUE!</v>
      </c>
      <c r="IC5" t="e">
        <f>'All regions'!H124+"n/&gt;!5("</f>
        <v>#VALUE!</v>
      </c>
      <c r="ID5" t="e">
        <f>'All regions'!I124+"n/&gt;!5)"</f>
        <v>#VALUE!</v>
      </c>
      <c r="IE5" t="e">
        <f>'All regions'!J124+"n/&gt;!5."</f>
        <v>#VALUE!</v>
      </c>
      <c r="IF5" t="e">
        <f>'All regions'!A125+"n/&gt;!5/"</f>
        <v>#VALUE!</v>
      </c>
      <c r="IG5" t="e">
        <f>'All regions'!B125+"n/&gt;!50"</f>
        <v>#VALUE!</v>
      </c>
      <c r="IH5" t="e">
        <f>'All regions'!C125+"n/&gt;!51"</f>
        <v>#VALUE!</v>
      </c>
      <c r="II5" t="e">
        <f>'All regions'!D125+"n/&gt;!52"</f>
        <v>#VALUE!</v>
      </c>
      <c r="IJ5" t="e">
        <f>'All regions'!E125+"n/&gt;!53"</f>
        <v>#VALUE!</v>
      </c>
      <c r="IK5" t="e">
        <f>'All regions'!F125+"n/&gt;!54"</f>
        <v>#VALUE!</v>
      </c>
      <c r="IL5" t="e">
        <f>'All regions'!G125+"n/&gt;!55"</f>
        <v>#VALUE!</v>
      </c>
      <c r="IM5" t="e">
        <f>'All regions'!H125+"n/&gt;!56"</f>
        <v>#VALUE!</v>
      </c>
      <c r="IN5" t="e">
        <f>'All regions'!I125+"n/&gt;!57"</f>
        <v>#VALUE!</v>
      </c>
      <c r="IO5" t="e">
        <f>'All regions'!J125+"n/&gt;!58"</f>
        <v>#VALUE!</v>
      </c>
      <c r="IP5" t="e">
        <f>'All regions'!A126+"n/&gt;!59"</f>
        <v>#VALUE!</v>
      </c>
      <c r="IQ5" t="e">
        <f>'All regions'!B126+"n/&gt;!5:"</f>
        <v>#VALUE!</v>
      </c>
      <c r="IR5" t="e">
        <f>'All regions'!C126+"n/&gt;!5;"</f>
        <v>#VALUE!</v>
      </c>
      <c r="IS5" t="e">
        <f>'All regions'!D126+"n/&gt;!5&lt;"</f>
        <v>#VALUE!</v>
      </c>
      <c r="IT5" t="e">
        <f>'All regions'!E126+"n/&gt;!5="</f>
        <v>#VALUE!</v>
      </c>
      <c r="IU5" t="e">
        <f>'All regions'!F126+"n/&gt;!5&gt;"</f>
        <v>#VALUE!</v>
      </c>
      <c r="IV5" t="e">
        <f>'All regions'!G126+"n/&gt;!5?"</f>
        <v>#VALUE!</v>
      </c>
    </row>
    <row r="6" spans="1:256" x14ac:dyDescent="0.35">
      <c r="F6" t="e">
        <f>'All regions'!H126+"n/&gt;!5@"</f>
        <v>#VALUE!</v>
      </c>
      <c r="G6" t="e">
        <f>'All regions'!I126+"n/&gt;!5A"</f>
        <v>#VALUE!</v>
      </c>
      <c r="H6" t="e">
        <f>'All regions'!J126+"n/&gt;!5B"</f>
        <v>#VALUE!</v>
      </c>
      <c r="I6" t="e">
        <f>'All regions'!A127+"n/&gt;!5C"</f>
        <v>#VALUE!</v>
      </c>
      <c r="J6" t="e">
        <f>'All regions'!B127+"n/&gt;!5D"</f>
        <v>#VALUE!</v>
      </c>
      <c r="K6" t="e">
        <f>'All regions'!C127+"n/&gt;!5E"</f>
        <v>#VALUE!</v>
      </c>
      <c r="L6" t="e">
        <f>'All regions'!D127+"n/&gt;!5F"</f>
        <v>#VALUE!</v>
      </c>
      <c r="M6" t="e">
        <f>'All regions'!E127+"n/&gt;!5G"</f>
        <v>#VALUE!</v>
      </c>
      <c r="N6" t="e">
        <f>'All regions'!F127+"n/&gt;!5H"</f>
        <v>#VALUE!</v>
      </c>
      <c r="O6" t="e">
        <f>'All regions'!G127+"n/&gt;!5I"</f>
        <v>#VALUE!</v>
      </c>
      <c r="P6" t="e">
        <f>'All regions'!H127+"n/&gt;!5J"</f>
        <v>#VALUE!</v>
      </c>
      <c r="Q6" t="e">
        <f>'All regions'!I127+"n/&gt;!5K"</f>
        <v>#VALUE!</v>
      </c>
      <c r="R6" t="e">
        <f>'All regions'!J127+"n/&gt;!5L"</f>
        <v>#VALUE!</v>
      </c>
      <c r="S6" t="e">
        <f>'All regions'!A128+"n/&gt;!5M"</f>
        <v>#VALUE!</v>
      </c>
      <c r="T6" t="e">
        <f>'All regions'!B128+"n/&gt;!5N"</f>
        <v>#VALUE!</v>
      </c>
      <c r="U6" t="e">
        <f>'All regions'!C128+"n/&gt;!5O"</f>
        <v>#VALUE!</v>
      </c>
      <c r="V6" t="e">
        <f>'All regions'!D128+"n/&gt;!5P"</f>
        <v>#VALUE!</v>
      </c>
      <c r="W6" t="e">
        <f>'All regions'!E128+"n/&gt;!5Q"</f>
        <v>#VALUE!</v>
      </c>
      <c r="X6" t="e">
        <f>'All regions'!F128+"n/&gt;!5R"</f>
        <v>#VALUE!</v>
      </c>
      <c r="Y6" t="e">
        <f>'All regions'!G128+"n/&gt;!5S"</f>
        <v>#VALUE!</v>
      </c>
      <c r="Z6" t="e">
        <f>'All regions'!H128+"n/&gt;!5T"</f>
        <v>#VALUE!</v>
      </c>
      <c r="AA6" t="e">
        <f>'All regions'!I128+"n/&gt;!5U"</f>
        <v>#VALUE!</v>
      </c>
      <c r="AB6" t="e">
        <f>'All regions'!J128+"n/&gt;!5V"</f>
        <v>#VALUE!</v>
      </c>
      <c r="AC6" t="e">
        <f>'All regions'!A129+"n/&gt;!5W"</f>
        <v>#VALUE!</v>
      </c>
      <c r="AD6" t="e">
        <f>'All regions'!B129+"n/&gt;!5X"</f>
        <v>#VALUE!</v>
      </c>
      <c r="AE6" t="e">
        <f>'All regions'!C129+"n/&gt;!5Y"</f>
        <v>#VALUE!</v>
      </c>
      <c r="AF6" t="e">
        <f>'All regions'!D129+"n/&gt;!5Z"</f>
        <v>#VALUE!</v>
      </c>
      <c r="AG6" t="e">
        <f>'All regions'!E129+"n/&gt;!5["</f>
        <v>#VALUE!</v>
      </c>
      <c r="AH6" t="e">
        <f>'All regions'!F129+"n/&gt;!5\"</f>
        <v>#VALUE!</v>
      </c>
      <c r="AI6" t="e">
        <f>'All regions'!G129+"n/&gt;!5]"</f>
        <v>#VALUE!</v>
      </c>
      <c r="AJ6" t="e">
        <f>'All regions'!H129+"n/&gt;!5^"</f>
        <v>#VALUE!</v>
      </c>
      <c r="AK6" t="e">
        <f>'All regions'!I129+"n/&gt;!5_"</f>
        <v>#VALUE!</v>
      </c>
      <c r="AL6" t="e">
        <f>'All regions'!J129+"n/&gt;!5`"</f>
        <v>#VALUE!</v>
      </c>
      <c r="AM6" t="e">
        <f>'All regions'!A130+"n/&gt;!5a"</f>
        <v>#VALUE!</v>
      </c>
      <c r="AN6" t="e">
        <f>'All regions'!B130+"n/&gt;!5b"</f>
        <v>#VALUE!</v>
      </c>
      <c r="AO6" t="e">
        <f>'All regions'!C130+"n/&gt;!5c"</f>
        <v>#VALUE!</v>
      </c>
      <c r="AP6" t="e">
        <f>'All regions'!D130+"n/&gt;!5d"</f>
        <v>#VALUE!</v>
      </c>
      <c r="AQ6" t="e">
        <f>'All regions'!E130+"n/&gt;!5e"</f>
        <v>#VALUE!</v>
      </c>
      <c r="AR6" t="e">
        <f>'All regions'!F130+"n/&gt;!5f"</f>
        <v>#VALUE!</v>
      </c>
      <c r="AS6" t="e">
        <f>'All regions'!G130+"n/&gt;!5g"</f>
        <v>#VALUE!</v>
      </c>
      <c r="AT6" t="e">
        <f>'All regions'!H130+"n/&gt;!5h"</f>
        <v>#VALUE!</v>
      </c>
      <c r="AU6" t="e">
        <f>'All regions'!I130+"n/&gt;!5i"</f>
        <v>#VALUE!</v>
      </c>
      <c r="AV6" t="e">
        <f>'All regions'!J130+"n/&gt;!5j"</f>
        <v>#VALUE!</v>
      </c>
      <c r="AW6" t="e">
        <f>'All regions'!A131+"n/&gt;!5k"</f>
        <v>#VALUE!</v>
      </c>
      <c r="AX6" t="e">
        <f>'All regions'!B131+"n/&gt;!5l"</f>
        <v>#VALUE!</v>
      </c>
      <c r="AY6" t="e">
        <f>'All regions'!C131+"n/&gt;!5m"</f>
        <v>#VALUE!</v>
      </c>
      <c r="AZ6" t="e">
        <f>'All regions'!D131+"n/&gt;!5n"</f>
        <v>#VALUE!</v>
      </c>
      <c r="BA6" t="e">
        <f>'All regions'!E131+"n/&gt;!5o"</f>
        <v>#VALUE!</v>
      </c>
      <c r="BB6" t="e">
        <f>'All regions'!F131+"n/&gt;!5p"</f>
        <v>#VALUE!</v>
      </c>
      <c r="BC6" t="e">
        <f>'All regions'!G131+"n/&gt;!5q"</f>
        <v>#VALUE!</v>
      </c>
      <c r="BD6" t="e">
        <f>'All regions'!H131+"n/&gt;!5r"</f>
        <v>#VALUE!</v>
      </c>
      <c r="BE6" t="e">
        <f>'All regions'!I131+"n/&gt;!5s"</f>
        <v>#VALUE!</v>
      </c>
      <c r="BF6" t="e">
        <f>'All regions'!J131+"n/&gt;!5t"</f>
        <v>#VALUE!</v>
      </c>
      <c r="BG6" t="e">
        <f>'All regions'!A132+"n/&gt;!5u"</f>
        <v>#VALUE!</v>
      </c>
      <c r="BH6" t="e">
        <f>'All regions'!B132+"n/&gt;!5v"</f>
        <v>#VALUE!</v>
      </c>
      <c r="BI6" t="e">
        <f>'All regions'!C132+"n/&gt;!5w"</f>
        <v>#VALUE!</v>
      </c>
      <c r="BJ6" t="e">
        <f>'All regions'!D132+"n/&gt;!5x"</f>
        <v>#VALUE!</v>
      </c>
      <c r="BK6" t="e">
        <f>'All regions'!E132+"n/&gt;!5y"</f>
        <v>#VALUE!</v>
      </c>
      <c r="BL6" t="e">
        <f>'All regions'!F132+"n/&gt;!5z"</f>
        <v>#VALUE!</v>
      </c>
      <c r="BM6" t="e">
        <f>'All regions'!G132+"n/&gt;!5{"</f>
        <v>#VALUE!</v>
      </c>
      <c r="BN6" t="e">
        <f>'All regions'!H132+"n/&gt;!5|"</f>
        <v>#VALUE!</v>
      </c>
      <c r="BO6" t="e">
        <f>'All regions'!I132+"n/&gt;!5}"</f>
        <v>#VALUE!</v>
      </c>
      <c r="BP6" t="e">
        <f>'All regions'!J132+"n/&gt;!5~"</f>
        <v>#VALUE!</v>
      </c>
      <c r="BQ6" t="e">
        <f>'All regions'!A133+"n/&gt;!6#"</f>
        <v>#VALUE!</v>
      </c>
      <c r="BR6" t="e">
        <f>'All regions'!B133+"n/&gt;!6$"</f>
        <v>#VALUE!</v>
      </c>
      <c r="BS6" t="e">
        <f>'All regions'!C133+"n/&gt;!6%"</f>
        <v>#VALUE!</v>
      </c>
      <c r="BT6" t="e">
        <f>'All regions'!D133+"n/&gt;!6&amp;"</f>
        <v>#VALUE!</v>
      </c>
      <c r="BU6" t="e">
        <f>'All regions'!E133+"n/&gt;!6'"</f>
        <v>#VALUE!</v>
      </c>
      <c r="BV6" t="e">
        <f>'All regions'!F133+"n/&gt;!6("</f>
        <v>#VALUE!</v>
      </c>
      <c r="BW6" t="e">
        <f>'All regions'!G133+"n/&gt;!6)"</f>
        <v>#VALUE!</v>
      </c>
      <c r="BX6" t="e">
        <f>'All regions'!H133+"n/&gt;!6."</f>
        <v>#VALUE!</v>
      </c>
      <c r="BY6" t="e">
        <f>'All regions'!I133+"n/&gt;!6/"</f>
        <v>#VALUE!</v>
      </c>
      <c r="BZ6" t="e">
        <f>'All regions'!J133+"n/&gt;!60"</f>
        <v>#VALUE!</v>
      </c>
      <c r="CA6" t="e">
        <f>'All regions'!A134+"n/&gt;!61"</f>
        <v>#VALUE!</v>
      </c>
      <c r="CB6" t="e">
        <f>'All regions'!B134+"n/&gt;!62"</f>
        <v>#VALUE!</v>
      </c>
      <c r="CC6" t="e">
        <f>'All regions'!C134+"n/&gt;!63"</f>
        <v>#VALUE!</v>
      </c>
      <c r="CD6" t="e">
        <f>'All regions'!D134+"n/&gt;!64"</f>
        <v>#VALUE!</v>
      </c>
      <c r="CE6" t="e">
        <f>'All regions'!E134+"n/&gt;!65"</f>
        <v>#VALUE!</v>
      </c>
      <c r="CF6" t="e">
        <f>'All regions'!F134+"n/&gt;!66"</f>
        <v>#VALUE!</v>
      </c>
      <c r="CG6" t="e">
        <f>'All regions'!G134+"n/&gt;!67"</f>
        <v>#VALUE!</v>
      </c>
      <c r="CH6" t="e">
        <f>'All regions'!H134+"n/&gt;!68"</f>
        <v>#VALUE!</v>
      </c>
      <c r="CI6" t="e">
        <f>'All regions'!I134+"n/&gt;!69"</f>
        <v>#VALUE!</v>
      </c>
      <c r="CJ6" t="e">
        <f>'All regions'!J134+"n/&gt;!6:"</f>
        <v>#VALUE!</v>
      </c>
      <c r="CK6" t="e">
        <f>'All regions'!A135+"n/&gt;!6;"</f>
        <v>#VALUE!</v>
      </c>
      <c r="CL6" t="e">
        <f>'All regions'!B135+"n/&gt;!6&lt;"</f>
        <v>#VALUE!</v>
      </c>
      <c r="CM6" t="e">
        <f>'All regions'!C135+"n/&gt;!6="</f>
        <v>#VALUE!</v>
      </c>
      <c r="CN6" t="e">
        <f>'All regions'!D135+"n/&gt;!6&gt;"</f>
        <v>#VALUE!</v>
      </c>
      <c r="CO6" t="e">
        <f>'All regions'!E135+"n/&gt;!6?"</f>
        <v>#VALUE!</v>
      </c>
      <c r="CP6" t="e">
        <f>'All regions'!F135+"n/&gt;!6@"</f>
        <v>#VALUE!</v>
      </c>
      <c r="CQ6" t="e">
        <f>'All regions'!G135+"n/&gt;!6A"</f>
        <v>#VALUE!</v>
      </c>
      <c r="CR6" t="e">
        <f>'All regions'!H135+"n/&gt;!6B"</f>
        <v>#VALUE!</v>
      </c>
      <c r="CS6" t="e">
        <f>'All regions'!I135+"n/&gt;!6C"</f>
        <v>#VALUE!</v>
      </c>
      <c r="CT6" t="e">
        <f>'All regions'!J135+"n/&gt;!6D"</f>
        <v>#VALUE!</v>
      </c>
      <c r="CU6" t="e">
        <f>'All regions'!A136+"n/&gt;!6E"</f>
        <v>#VALUE!</v>
      </c>
      <c r="CV6" t="e">
        <f>'All regions'!B136+"n/&gt;!6F"</f>
        <v>#VALUE!</v>
      </c>
      <c r="CW6" t="e">
        <f>'All regions'!C136+"n/&gt;!6G"</f>
        <v>#VALUE!</v>
      </c>
      <c r="CX6" t="e">
        <f>'All regions'!D136+"n/&gt;!6H"</f>
        <v>#VALUE!</v>
      </c>
      <c r="CY6" t="e">
        <f>'All regions'!E136+"n/&gt;!6I"</f>
        <v>#VALUE!</v>
      </c>
      <c r="CZ6" t="e">
        <f>'All regions'!F136+"n/&gt;!6J"</f>
        <v>#VALUE!</v>
      </c>
      <c r="DA6" t="e">
        <f>'All regions'!G136+"n/&gt;!6K"</f>
        <v>#VALUE!</v>
      </c>
      <c r="DB6" t="e">
        <f>'All regions'!H136+"n/&gt;!6L"</f>
        <v>#VALUE!</v>
      </c>
      <c r="DC6" t="e">
        <f>'All regions'!I136+"n/&gt;!6M"</f>
        <v>#VALUE!</v>
      </c>
      <c r="DD6" t="e">
        <f>'All regions'!J136+"n/&gt;!6N"</f>
        <v>#VALUE!</v>
      </c>
      <c r="DE6" t="e">
        <f>'All regions'!A137+"n/&gt;!6O"</f>
        <v>#VALUE!</v>
      </c>
      <c r="DF6" t="e">
        <f>'All regions'!B137+"n/&gt;!6P"</f>
        <v>#VALUE!</v>
      </c>
      <c r="DG6" t="e">
        <f>'All regions'!C137+"n/&gt;!6Q"</f>
        <v>#VALUE!</v>
      </c>
      <c r="DH6" t="e">
        <f>'All regions'!D137+"n/&gt;!6R"</f>
        <v>#VALUE!</v>
      </c>
      <c r="DI6" t="e">
        <f>'All regions'!E137+"n/&gt;!6S"</f>
        <v>#VALUE!</v>
      </c>
      <c r="DJ6" t="e">
        <f>'All regions'!F137+"n/&gt;!6T"</f>
        <v>#VALUE!</v>
      </c>
      <c r="DK6" t="e">
        <f>'All regions'!G137+"n/&gt;!6U"</f>
        <v>#VALUE!</v>
      </c>
      <c r="DL6" t="e">
        <f>'All regions'!H137+"n/&gt;!6V"</f>
        <v>#VALUE!</v>
      </c>
      <c r="DM6" t="e">
        <f>'All regions'!I137+"n/&gt;!6W"</f>
        <v>#VALUE!</v>
      </c>
      <c r="DN6" t="e">
        <f>'All regions'!J137+"n/&gt;!6X"</f>
        <v>#VALUE!</v>
      </c>
      <c r="DO6" t="e">
        <f>'All regions'!A138+"n/&gt;!6Y"</f>
        <v>#VALUE!</v>
      </c>
      <c r="DP6" t="e">
        <f>'All regions'!B138+"n/&gt;!6Z"</f>
        <v>#VALUE!</v>
      </c>
      <c r="DQ6" t="e">
        <f>'All regions'!C138+"n/&gt;!6["</f>
        <v>#VALUE!</v>
      </c>
      <c r="DR6" t="e">
        <f>'All regions'!D138+"n/&gt;!6\"</f>
        <v>#VALUE!</v>
      </c>
      <c r="DS6" t="e">
        <f>'All regions'!E138+"n/&gt;!6]"</f>
        <v>#VALUE!</v>
      </c>
      <c r="DT6" t="e">
        <f>'All regions'!F138+"n/&gt;!6^"</f>
        <v>#VALUE!</v>
      </c>
      <c r="DU6" t="e">
        <f>'All regions'!G138+"n/&gt;!6_"</f>
        <v>#VALUE!</v>
      </c>
      <c r="DV6" t="e">
        <f>'All regions'!H138+"n/&gt;!6`"</f>
        <v>#VALUE!</v>
      </c>
      <c r="DW6" t="e">
        <f>'All regions'!I138+"n/&gt;!6a"</f>
        <v>#VALUE!</v>
      </c>
      <c r="DX6" t="e">
        <f>'All regions'!J138+"n/&gt;!6b"</f>
        <v>#VALUE!</v>
      </c>
      <c r="DY6" t="e">
        <f>'All regions'!A139+"n/&gt;!6c"</f>
        <v>#VALUE!</v>
      </c>
      <c r="DZ6" t="e">
        <f>'All regions'!B139+"n/&gt;!6d"</f>
        <v>#VALUE!</v>
      </c>
      <c r="EA6" t="e">
        <f>'All regions'!C139+"n/&gt;!6e"</f>
        <v>#VALUE!</v>
      </c>
      <c r="EB6" t="e">
        <f>'All regions'!D139+"n/&gt;!6f"</f>
        <v>#VALUE!</v>
      </c>
      <c r="EC6" t="e">
        <f>'All regions'!E139+"n/&gt;!6g"</f>
        <v>#VALUE!</v>
      </c>
      <c r="ED6" t="e">
        <f>'All regions'!F139+"n/&gt;!6h"</f>
        <v>#VALUE!</v>
      </c>
      <c r="EE6" t="e">
        <f>'All regions'!G139+"n/&gt;!6i"</f>
        <v>#VALUE!</v>
      </c>
      <c r="EF6" t="e">
        <f>'All regions'!H139+"n/&gt;!6j"</f>
        <v>#VALUE!</v>
      </c>
      <c r="EG6" t="e">
        <f>'All regions'!I139+"n/&gt;!6k"</f>
        <v>#VALUE!</v>
      </c>
      <c r="EH6" t="e">
        <f>'All regions'!J139+"n/&gt;!6l"</f>
        <v>#VALUE!</v>
      </c>
      <c r="EI6" t="e">
        <f>'All regions'!A140+"n/&gt;!6m"</f>
        <v>#VALUE!</v>
      </c>
      <c r="EJ6" t="e">
        <f>'All regions'!B140+"n/&gt;!6n"</f>
        <v>#VALUE!</v>
      </c>
      <c r="EK6" t="e">
        <f>'All regions'!C140+"n/&gt;!6o"</f>
        <v>#VALUE!</v>
      </c>
      <c r="EL6" t="e">
        <f>'All regions'!D140+"n/&gt;!6p"</f>
        <v>#VALUE!</v>
      </c>
      <c r="EM6" t="e">
        <f>'All regions'!E140+"n/&gt;!6q"</f>
        <v>#VALUE!</v>
      </c>
      <c r="EN6" t="e">
        <f>'All regions'!F140+"n/&gt;!6r"</f>
        <v>#VALUE!</v>
      </c>
      <c r="EO6" t="e">
        <f>'All regions'!G140+"n/&gt;!6s"</f>
        <v>#VALUE!</v>
      </c>
      <c r="EP6" t="e">
        <f>'All regions'!H140+"n/&gt;!6t"</f>
        <v>#VALUE!</v>
      </c>
      <c r="EQ6" t="e">
        <f>'All regions'!I140+"n/&gt;!6u"</f>
        <v>#VALUE!</v>
      </c>
      <c r="ER6" t="e">
        <f>'All regions'!J140+"n/&gt;!6v"</f>
        <v>#VALUE!</v>
      </c>
      <c r="ES6" t="e">
        <f>'All regions'!A141+"n/&gt;!6w"</f>
        <v>#VALUE!</v>
      </c>
      <c r="ET6" t="e">
        <f>'All regions'!B141+"n/&gt;!6x"</f>
        <v>#VALUE!</v>
      </c>
      <c r="EU6" t="e">
        <f>'All regions'!C141+"n/&gt;!6y"</f>
        <v>#VALUE!</v>
      </c>
      <c r="EV6" t="e">
        <f>'All regions'!D141+"n/&gt;!6z"</f>
        <v>#VALUE!</v>
      </c>
      <c r="EW6" t="e">
        <f>'All regions'!E141+"n/&gt;!6{"</f>
        <v>#VALUE!</v>
      </c>
      <c r="EX6" t="e">
        <f>'All regions'!F141+"n/&gt;!6|"</f>
        <v>#VALUE!</v>
      </c>
      <c r="EY6" t="e">
        <f>'All regions'!G141+"n/&gt;!6}"</f>
        <v>#VALUE!</v>
      </c>
      <c r="EZ6" t="e">
        <f>'All regions'!H141+"n/&gt;!6~"</f>
        <v>#VALUE!</v>
      </c>
      <c r="FA6" t="e">
        <f>'All regions'!I141+"n/&gt;!7#"</f>
        <v>#VALUE!</v>
      </c>
      <c r="FB6" t="e">
        <f>'All regions'!J141+"n/&gt;!7$"</f>
        <v>#VALUE!</v>
      </c>
      <c r="FC6" t="e">
        <f>'All regions'!A142+"n/&gt;!7%"</f>
        <v>#VALUE!</v>
      </c>
      <c r="FD6" t="e">
        <f>'All regions'!B142+"n/&gt;!7&amp;"</f>
        <v>#VALUE!</v>
      </c>
      <c r="FE6" t="e">
        <f>'All regions'!C142+"n/&gt;!7'"</f>
        <v>#VALUE!</v>
      </c>
      <c r="FF6" t="e">
        <f>'All regions'!D142+"n/&gt;!7("</f>
        <v>#VALUE!</v>
      </c>
      <c r="FG6" t="e">
        <f>'All regions'!E142+"n/&gt;!7)"</f>
        <v>#VALUE!</v>
      </c>
      <c r="FH6" t="e">
        <f>'All regions'!F142+"n/&gt;!7."</f>
        <v>#VALUE!</v>
      </c>
      <c r="FI6" t="e">
        <f>'All regions'!G142+"n/&gt;!7/"</f>
        <v>#VALUE!</v>
      </c>
      <c r="FJ6" t="e">
        <f>'All regions'!H142+"n/&gt;!70"</f>
        <v>#VALUE!</v>
      </c>
      <c r="FK6" t="e">
        <f>'All regions'!I142+"n/&gt;!71"</f>
        <v>#VALUE!</v>
      </c>
      <c r="FL6" t="e">
        <f>'All regions'!J142+"n/&gt;!72"</f>
        <v>#VALUE!</v>
      </c>
      <c r="FM6" t="e">
        <f>'All regions'!A143+"n/&gt;!73"</f>
        <v>#VALUE!</v>
      </c>
      <c r="FN6" t="e">
        <f>'All regions'!B143+"n/&gt;!74"</f>
        <v>#VALUE!</v>
      </c>
      <c r="FO6" t="e">
        <f>'All regions'!C143+"n/&gt;!75"</f>
        <v>#VALUE!</v>
      </c>
      <c r="FP6" t="e">
        <f>'All regions'!D143+"n/&gt;!76"</f>
        <v>#VALUE!</v>
      </c>
      <c r="FQ6" t="e">
        <f>'All regions'!E143+"n/&gt;!77"</f>
        <v>#VALUE!</v>
      </c>
      <c r="FR6" t="e">
        <f>'All regions'!F143+"n/&gt;!78"</f>
        <v>#VALUE!</v>
      </c>
      <c r="FS6" t="e">
        <f>'All regions'!G143+"n/&gt;!79"</f>
        <v>#VALUE!</v>
      </c>
      <c r="FT6" t="e">
        <f>'All regions'!H143+"n/&gt;!7:"</f>
        <v>#VALUE!</v>
      </c>
      <c r="FU6" t="e">
        <f>'All regions'!I143+"n/&gt;!7;"</f>
        <v>#VALUE!</v>
      </c>
      <c r="FV6" t="e">
        <f>'All regions'!J143+"n/&gt;!7&lt;"</f>
        <v>#VALUE!</v>
      </c>
      <c r="FW6" t="e">
        <f>'All regions'!A144+"n/&gt;!7="</f>
        <v>#VALUE!</v>
      </c>
      <c r="FX6" t="e">
        <f>'All regions'!B144+"n/&gt;!7&gt;"</f>
        <v>#VALUE!</v>
      </c>
      <c r="FY6" t="e">
        <f>'All regions'!C144+"n/&gt;!7?"</f>
        <v>#VALUE!</v>
      </c>
      <c r="FZ6" t="e">
        <f>'All regions'!D144+"n/&gt;!7@"</f>
        <v>#VALUE!</v>
      </c>
      <c r="GA6" t="e">
        <f>'All regions'!E144+"n/&gt;!7A"</f>
        <v>#VALUE!</v>
      </c>
      <c r="GB6" t="e">
        <f>'All regions'!F144+"n/&gt;!7B"</f>
        <v>#VALUE!</v>
      </c>
      <c r="GC6" t="e">
        <f>'All regions'!G144+"n/&gt;!7C"</f>
        <v>#VALUE!</v>
      </c>
      <c r="GD6" t="e">
        <f>'All regions'!H144+"n/&gt;!7D"</f>
        <v>#VALUE!</v>
      </c>
      <c r="GE6" t="e">
        <f>'All regions'!I144+"n/&gt;!7E"</f>
        <v>#VALUE!</v>
      </c>
      <c r="GF6" t="e">
        <f>'All regions'!J144+"n/&gt;!7F"</f>
        <v>#VALUE!</v>
      </c>
      <c r="GG6" t="e">
        <f>'All regions'!A145+"n/&gt;!7G"</f>
        <v>#VALUE!</v>
      </c>
      <c r="GH6" t="e">
        <f>'All regions'!B145+"n/&gt;!7H"</f>
        <v>#VALUE!</v>
      </c>
      <c r="GI6" t="e">
        <f>'All regions'!C145+"n/&gt;!7I"</f>
        <v>#VALUE!</v>
      </c>
      <c r="GJ6" t="e">
        <f>'All regions'!D145+"n/&gt;!7J"</f>
        <v>#VALUE!</v>
      </c>
      <c r="GK6" t="e">
        <f>'All regions'!E145+"n/&gt;!7K"</f>
        <v>#VALUE!</v>
      </c>
      <c r="GL6" t="e">
        <f>'All regions'!F145+"n/&gt;!7L"</f>
        <v>#VALUE!</v>
      </c>
      <c r="GM6" t="e">
        <f>'All regions'!G145+"n/&gt;!7M"</f>
        <v>#VALUE!</v>
      </c>
      <c r="GN6" t="e">
        <f>'All regions'!H145+"n/&gt;!7N"</f>
        <v>#VALUE!</v>
      </c>
      <c r="GO6" t="e">
        <f>'All regions'!I145+"n/&gt;!7O"</f>
        <v>#VALUE!</v>
      </c>
      <c r="GP6" t="e">
        <f>'All regions'!J145+"n/&gt;!7P"</f>
        <v>#VALUE!</v>
      </c>
      <c r="GQ6" t="e">
        <f>'All regions'!A146+"n/&gt;!7Q"</f>
        <v>#VALUE!</v>
      </c>
      <c r="GR6" t="e">
        <f>'All regions'!B146+"n/&gt;!7R"</f>
        <v>#VALUE!</v>
      </c>
      <c r="GS6" t="e">
        <f>'All regions'!C146+"n/&gt;!7S"</f>
        <v>#VALUE!</v>
      </c>
      <c r="GT6" t="e">
        <f>'All regions'!D146+"n/&gt;!7T"</f>
        <v>#VALUE!</v>
      </c>
      <c r="GU6" t="e">
        <f>'All regions'!E146+"n/&gt;!7U"</f>
        <v>#VALUE!</v>
      </c>
      <c r="GV6" t="e">
        <f>'All regions'!F146+"n/&gt;!7V"</f>
        <v>#VALUE!</v>
      </c>
      <c r="GW6" t="e">
        <f>'All regions'!G146+"n/&gt;!7W"</f>
        <v>#VALUE!</v>
      </c>
      <c r="GX6" t="e">
        <f>'All regions'!H146+"n/&gt;!7X"</f>
        <v>#VALUE!</v>
      </c>
      <c r="GY6" t="e">
        <f>'All regions'!I146+"n/&gt;!7Y"</f>
        <v>#VALUE!</v>
      </c>
      <c r="GZ6" t="e">
        <f>'All regions'!J146+"n/&gt;!7Z"</f>
        <v>#VALUE!</v>
      </c>
      <c r="HA6" t="e">
        <f>'All regions'!A147+"n/&gt;!7["</f>
        <v>#VALUE!</v>
      </c>
      <c r="HB6" t="e">
        <f>'All regions'!B147+"n/&gt;!7\"</f>
        <v>#VALUE!</v>
      </c>
      <c r="HC6" t="e">
        <f>'All regions'!C147+"n/&gt;!7]"</f>
        <v>#VALUE!</v>
      </c>
      <c r="HD6" t="e">
        <f>'All regions'!D147+"n/&gt;!7^"</f>
        <v>#VALUE!</v>
      </c>
      <c r="HE6" t="e">
        <f>'All regions'!E147+"n/&gt;!7_"</f>
        <v>#VALUE!</v>
      </c>
      <c r="HF6" t="e">
        <f>'All regions'!F147+"n/&gt;!7`"</f>
        <v>#VALUE!</v>
      </c>
      <c r="HG6" t="e">
        <f>'All regions'!G147+"n/&gt;!7a"</f>
        <v>#VALUE!</v>
      </c>
      <c r="HH6" t="e">
        <f>'All regions'!H147+"n/&gt;!7b"</f>
        <v>#VALUE!</v>
      </c>
      <c r="HI6" t="e">
        <f>'All regions'!I147+"n/&gt;!7c"</f>
        <v>#VALUE!</v>
      </c>
      <c r="HJ6" t="e">
        <f>'All regions'!J147+"n/&gt;!7d"</f>
        <v>#VALUE!</v>
      </c>
      <c r="HK6" t="e">
        <f>'All regions'!A148+"n/&gt;!7e"</f>
        <v>#VALUE!</v>
      </c>
      <c r="HL6" t="e">
        <f>'All regions'!B148+"n/&gt;!7f"</f>
        <v>#VALUE!</v>
      </c>
      <c r="HM6" t="e">
        <f>'All regions'!C148+"n/&gt;!7g"</f>
        <v>#VALUE!</v>
      </c>
      <c r="HN6" t="e">
        <f>'All regions'!D148+"n/&gt;!7h"</f>
        <v>#VALUE!</v>
      </c>
      <c r="HO6" t="e">
        <f>'All regions'!E148+"n/&gt;!7i"</f>
        <v>#VALUE!</v>
      </c>
      <c r="HP6" t="e">
        <f>'All regions'!F148+"n/&gt;!7j"</f>
        <v>#VALUE!</v>
      </c>
      <c r="HQ6" t="e">
        <f>'All regions'!G148+"n/&gt;!7k"</f>
        <v>#VALUE!</v>
      </c>
      <c r="HR6" t="e">
        <f>'All regions'!H148+"n/&gt;!7l"</f>
        <v>#VALUE!</v>
      </c>
      <c r="HS6" t="e">
        <f>'All regions'!I148+"n/&gt;!7m"</f>
        <v>#VALUE!</v>
      </c>
      <c r="HT6" t="e">
        <f>'All regions'!J148+"n/&gt;!7n"</f>
        <v>#VALUE!</v>
      </c>
      <c r="HU6" t="e">
        <f>'All regions'!A149+"n/&gt;!7o"</f>
        <v>#VALUE!</v>
      </c>
      <c r="HV6" t="e">
        <f>'All regions'!B149+"n/&gt;!7p"</f>
        <v>#VALUE!</v>
      </c>
      <c r="HW6" t="e">
        <f>'All regions'!C149+"n/&gt;!7q"</f>
        <v>#VALUE!</v>
      </c>
      <c r="HX6" t="e">
        <f>'All regions'!D149+"n/&gt;!7r"</f>
        <v>#VALUE!</v>
      </c>
      <c r="HY6" t="e">
        <f>'All regions'!E149+"n/&gt;!7s"</f>
        <v>#VALUE!</v>
      </c>
      <c r="HZ6" t="e">
        <f>'All regions'!F149+"n/&gt;!7t"</f>
        <v>#VALUE!</v>
      </c>
      <c r="IA6" t="e">
        <f>'All regions'!G149+"n/&gt;!7u"</f>
        <v>#VALUE!</v>
      </c>
      <c r="IB6" t="e">
        <f>'All regions'!H149+"n/&gt;!7v"</f>
        <v>#VALUE!</v>
      </c>
      <c r="IC6" t="e">
        <f>'All regions'!I149+"n/&gt;!7w"</f>
        <v>#VALUE!</v>
      </c>
      <c r="ID6" t="e">
        <f>'All regions'!J149+"n/&gt;!7x"</f>
        <v>#VALUE!</v>
      </c>
      <c r="IE6" t="e">
        <f>'All regions'!A150+"n/&gt;!7y"</f>
        <v>#VALUE!</v>
      </c>
      <c r="IF6" t="e">
        <f>'All regions'!B150+"n/&gt;!7z"</f>
        <v>#VALUE!</v>
      </c>
      <c r="IG6" t="e">
        <f>'All regions'!C150+"n/&gt;!7{"</f>
        <v>#VALUE!</v>
      </c>
      <c r="IH6" t="e">
        <f>'All regions'!D150+"n/&gt;!7|"</f>
        <v>#VALUE!</v>
      </c>
      <c r="II6" t="e">
        <f>'All regions'!E150+"n/&gt;!7}"</f>
        <v>#VALUE!</v>
      </c>
      <c r="IJ6" t="e">
        <f>'All regions'!F150+"n/&gt;!7~"</f>
        <v>#VALUE!</v>
      </c>
      <c r="IK6" t="e">
        <f>'All regions'!G150+"n/&gt;!8#"</f>
        <v>#VALUE!</v>
      </c>
      <c r="IL6" t="e">
        <f>'All regions'!H150+"n/&gt;!8$"</f>
        <v>#VALUE!</v>
      </c>
      <c r="IM6" t="e">
        <f>'All regions'!I150+"n/&gt;!8%"</f>
        <v>#VALUE!</v>
      </c>
      <c r="IN6" t="e">
        <f>'All regions'!J150+"n/&gt;!8&amp;"</f>
        <v>#VALUE!</v>
      </c>
      <c r="IO6" t="e">
        <f>'All regions'!A151+"n/&gt;!8'"</f>
        <v>#VALUE!</v>
      </c>
      <c r="IP6" t="e">
        <f>'All regions'!B151+"n/&gt;!8("</f>
        <v>#VALUE!</v>
      </c>
      <c r="IQ6" t="e">
        <f>'All regions'!C151+"n/&gt;!8)"</f>
        <v>#VALUE!</v>
      </c>
      <c r="IR6" t="e">
        <f>'All regions'!D151+"n/&gt;!8."</f>
        <v>#VALUE!</v>
      </c>
      <c r="IS6" t="e">
        <f>'All regions'!E151+"n/&gt;!8/"</f>
        <v>#VALUE!</v>
      </c>
      <c r="IT6" t="e">
        <f>'All regions'!F151+"n/&gt;!80"</f>
        <v>#VALUE!</v>
      </c>
      <c r="IU6" t="e">
        <f>'All regions'!G151+"n/&gt;!81"</f>
        <v>#VALUE!</v>
      </c>
      <c r="IV6" t="e">
        <f>'All regions'!H151+"n/&gt;!82"</f>
        <v>#VALUE!</v>
      </c>
    </row>
    <row r="7" spans="1:256" x14ac:dyDescent="0.35">
      <c r="F7" t="e">
        <f>'All regions'!I151+"n/&gt;!83"</f>
        <v>#VALUE!</v>
      </c>
      <c r="G7" t="e">
        <f>'All regions'!J151+"n/&gt;!84"</f>
        <v>#VALUE!</v>
      </c>
      <c r="H7" t="e">
        <f>'All regions'!A152+"n/&gt;!85"</f>
        <v>#VALUE!</v>
      </c>
      <c r="I7" t="e">
        <f>'All regions'!B152+"n/&gt;!86"</f>
        <v>#VALUE!</v>
      </c>
      <c r="J7" t="e">
        <f>'All regions'!C152+"n/&gt;!87"</f>
        <v>#VALUE!</v>
      </c>
      <c r="K7" t="e">
        <f>'All regions'!D152+"n/&gt;!88"</f>
        <v>#VALUE!</v>
      </c>
      <c r="L7" t="e">
        <f>'All regions'!E152+"n/&gt;!89"</f>
        <v>#VALUE!</v>
      </c>
      <c r="M7" t="e">
        <f>'All regions'!F152+"n/&gt;!8:"</f>
        <v>#VALUE!</v>
      </c>
      <c r="N7" t="e">
        <f>'All regions'!G152+"n/&gt;!8;"</f>
        <v>#VALUE!</v>
      </c>
      <c r="O7" t="e">
        <f>'All regions'!H152+"n/&gt;!8&lt;"</f>
        <v>#VALUE!</v>
      </c>
      <c r="P7" t="e">
        <f>'All regions'!I152+"n/&gt;!8="</f>
        <v>#VALUE!</v>
      </c>
      <c r="Q7" t="e">
        <f>'All regions'!J152+"n/&gt;!8&gt;"</f>
        <v>#VALUE!</v>
      </c>
      <c r="R7" t="e">
        <f>'All regions'!A153+"n/&gt;!8?"</f>
        <v>#VALUE!</v>
      </c>
      <c r="S7" t="e">
        <f>'All regions'!B153+"n/&gt;!8@"</f>
        <v>#VALUE!</v>
      </c>
      <c r="T7" t="e">
        <f>'All regions'!C153+"n/&gt;!8A"</f>
        <v>#VALUE!</v>
      </c>
      <c r="U7" t="e">
        <f>'All regions'!D153+"n/&gt;!8B"</f>
        <v>#VALUE!</v>
      </c>
      <c r="V7" t="e">
        <f>'All regions'!E153+"n/&gt;!8C"</f>
        <v>#VALUE!</v>
      </c>
      <c r="W7" t="e">
        <f>'All regions'!F153+"n/&gt;!8D"</f>
        <v>#VALUE!</v>
      </c>
      <c r="X7" t="e">
        <f>'All regions'!G153+"n/&gt;!8E"</f>
        <v>#VALUE!</v>
      </c>
      <c r="Y7" t="e">
        <f>'All regions'!H153+"n/&gt;!8F"</f>
        <v>#VALUE!</v>
      </c>
      <c r="Z7" t="e">
        <f>'All regions'!I153+"n/&gt;!8G"</f>
        <v>#VALUE!</v>
      </c>
      <c r="AA7" t="e">
        <f>'All regions'!J153+"n/&gt;!8H"</f>
        <v>#VALUE!</v>
      </c>
      <c r="AB7" t="e">
        <f>'All regions'!A154+"n/&gt;!8I"</f>
        <v>#VALUE!</v>
      </c>
      <c r="AC7" t="e">
        <f>'All regions'!B154+"n/&gt;!8J"</f>
        <v>#VALUE!</v>
      </c>
      <c r="AD7" t="e">
        <f>'All regions'!C154+"n/&gt;!8K"</f>
        <v>#VALUE!</v>
      </c>
      <c r="AE7" t="e">
        <f>'All regions'!D154+"n/&gt;!8L"</f>
        <v>#VALUE!</v>
      </c>
      <c r="AF7" t="e">
        <f>'All regions'!E154+"n/&gt;!8M"</f>
        <v>#VALUE!</v>
      </c>
      <c r="AG7" t="e">
        <f>'All regions'!F154+"n/&gt;!8N"</f>
        <v>#VALUE!</v>
      </c>
      <c r="AH7" t="e">
        <f>'All regions'!G154+"n/&gt;!8O"</f>
        <v>#VALUE!</v>
      </c>
      <c r="AI7" t="e">
        <f>'All regions'!H154+"n/&gt;!8P"</f>
        <v>#VALUE!</v>
      </c>
      <c r="AJ7" t="e">
        <f>'All regions'!I154+"n/&gt;!8Q"</f>
        <v>#VALUE!</v>
      </c>
      <c r="AK7" t="e">
        <f>'All regions'!J154+"n/&gt;!8R"</f>
        <v>#VALUE!</v>
      </c>
      <c r="AL7" t="e">
        <f>'All regions'!A155+"n/&gt;!8S"</f>
        <v>#VALUE!</v>
      </c>
      <c r="AM7" t="e">
        <f>'All regions'!B155+"n/&gt;!8T"</f>
        <v>#VALUE!</v>
      </c>
      <c r="AN7" t="e">
        <f>'All regions'!C155+"n/&gt;!8U"</f>
        <v>#VALUE!</v>
      </c>
      <c r="AO7" t="e">
        <f>'All regions'!D155+"n/&gt;!8V"</f>
        <v>#VALUE!</v>
      </c>
      <c r="AP7" t="e">
        <f>'All regions'!E155+"n/&gt;!8W"</f>
        <v>#VALUE!</v>
      </c>
      <c r="AQ7" t="e">
        <f>'All regions'!F155+"n/&gt;!8X"</f>
        <v>#VALUE!</v>
      </c>
      <c r="AR7" t="e">
        <f>'All regions'!G155+"n/&gt;!8Y"</f>
        <v>#VALUE!</v>
      </c>
      <c r="AS7" t="e">
        <f>'All regions'!H155+"n/&gt;!8Z"</f>
        <v>#VALUE!</v>
      </c>
      <c r="AT7" t="e">
        <f>'All regions'!I155+"n/&gt;!8["</f>
        <v>#VALUE!</v>
      </c>
      <c r="AU7" t="e">
        <f>'All regions'!J155+"n/&gt;!8\"</f>
        <v>#VALUE!</v>
      </c>
      <c r="AV7" t="e">
        <f>'All regions'!A156+"n/&gt;!8]"</f>
        <v>#VALUE!</v>
      </c>
      <c r="AW7" t="e">
        <f>'All regions'!B156+"n/&gt;!8^"</f>
        <v>#VALUE!</v>
      </c>
      <c r="AX7" t="e">
        <f>'All regions'!C156+"n/&gt;!8_"</f>
        <v>#VALUE!</v>
      </c>
      <c r="AY7" t="e">
        <f>'All regions'!D156+"n/&gt;!8`"</f>
        <v>#VALUE!</v>
      </c>
      <c r="AZ7" t="e">
        <f>'All regions'!E156+"n/&gt;!8a"</f>
        <v>#VALUE!</v>
      </c>
      <c r="BA7" t="e">
        <f>'All regions'!F156+"n/&gt;!8b"</f>
        <v>#VALUE!</v>
      </c>
      <c r="BB7" t="e">
        <f>'All regions'!G156+"n/&gt;!8c"</f>
        <v>#VALUE!</v>
      </c>
      <c r="BC7" t="e">
        <f>'All regions'!H156+"n/&gt;!8d"</f>
        <v>#VALUE!</v>
      </c>
      <c r="BD7" t="e">
        <f>'All regions'!I156+"n/&gt;!8e"</f>
        <v>#VALUE!</v>
      </c>
      <c r="BE7" t="e">
        <f>'All regions'!J156+"n/&gt;!8f"</f>
        <v>#VALUE!</v>
      </c>
      <c r="BF7" t="e">
        <f>'All regions'!A157+"n/&gt;!8g"</f>
        <v>#VALUE!</v>
      </c>
      <c r="BG7" t="e">
        <f>'All regions'!B157+"n/&gt;!8h"</f>
        <v>#VALUE!</v>
      </c>
      <c r="BH7" t="e">
        <f>'All regions'!C157+"n/&gt;!8i"</f>
        <v>#VALUE!</v>
      </c>
      <c r="BI7" t="e">
        <f>'All regions'!D157+"n/&gt;!8j"</f>
        <v>#VALUE!</v>
      </c>
      <c r="BJ7" t="e">
        <f>'All regions'!E157+"n/&gt;!8k"</f>
        <v>#VALUE!</v>
      </c>
      <c r="BK7" t="e">
        <f>'All regions'!F157+"n/&gt;!8l"</f>
        <v>#VALUE!</v>
      </c>
      <c r="BL7" t="e">
        <f>'All regions'!G157+"n/&gt;!8m"</f>
        <v>#VALUE!</v>
      </c>
      <c r="BM7" t="e">
        <f>'All regions'!H157+"n/&gt;!8n"</f>
        <v>#VALUE!</v>
      </c>
      <c r="BN7" t="e">
        <f>'All regions'!I157+"n/&gt;!8o"</f>
        <v>#VALUE!</v>
      </c>
      <c r="BO7" t="e">
        <f>'All regions'!J157+"n/&gt;!8p"</f>
        <v>#VALUE!</v>
      </c>
      <c r="BP7" t="e">
        <f>'All regions'!A158+"n/&gt;!8q"</f>
        <v>#VALUE!</v>
      </c>
      <c r="BQ7" t="e">
        <f>'All regions'!B158+"n/&gt;!8r"</f>
        <v>#VALUE!</v>
      </c>
      <c r="BR7" t="e">
        <f>'All regions'!C158+"n/&gt;!8s"</f>
        <v>#VALUE!</v>
      </c>
      <c r="BS7" t="e">
        <f>'All regions'!D158+"n/&gt;!8t"</f>
        <v>#VALUE!</v>
      </c>
      <c r="BT7" t="e">
        <f>'All regions'!E158+"n/&gt;!8u"</f>
        <v>#VALUE!</v>
      </c>
      <c r="BU7" t="e">
        <f>'All regions'!F158+"n/&gt;!8v"</f>
        <v>#VALUE!</v>
      </c>
      <c r="BV7" t="e">
        <f>'All regions'!G158+"n/&gt;!8w"</f>
        <v>#VALUE!</v>
      </c>
      <c r="BW7" t="e">
        <f>'All regions'!H158+"n/&gt;!8x"</f>
        <v>#VALUE!</v>
      </c>
      <c r="BX7" t="e">
        <f>'All regions'!I158+"n/&gt;!8y"</f>
        <v>#VALUE!</v>
      </c>
      <c r="BY7" t="e">
        <f>'All regions'!J158+"n/&gt;!8z"</f>
        <v>#VALUE!</v>
      </c>
      <c r="BZ7" t="e">
        <f>'All regions'!A159+"n/&gt;!8{"</f>
        <v>#VALUE!</v>
      </c>
      <c r="CA7" t="e">
        <f>'All regions'!B159+"n/&gt;!8|"</f>
        <v>#VALUE!</v>
      </c>
      <c r="CB7" t="e">
        <f>'All regions'!C159+"n/&gt;!8}"</f>
        <v>#VALUE!</v>
      </c>
      <c r="CC7" t="e">
        <f>'All regions'!D159+"n/&gt;!8~"</f>
        <v>#VALUE!</v>
      </c>
      <c r="CD7" t="e">
        <f>'All regions'!E159+"n/&gt;!9#"</f>
        <v>#VALUE!</v>
      </c>
      <c r="CE7" t="e">
        <f>'All regions'!F159+"n/&gt;!9$"</f>
        <v>#VALUE!</v>
      </c>
      <c r="CF7" t="e">
        <f>'All regions'!G159+"n/&gt;!9%"</f>
        <v>#VALUE!</v>
      </c>
      <c r="CG7" t="e">
        <f>'All regions'!H159+"n/&gt;!9&amp;"</f>
        <v>#VALUE!</v>
      </c>
      <c r="CH7" t="e">
        <f>'All regions'!I159+"n/&gt;!9'"</f>
        <v>#VALUE!</v>
      </c>
      <c r="CI7" t="e">
        <f>'All regions'!J159+"n/&gt;!9("</f>
        <v>#VALUE!</v>
      </c>
      <c r="CJ7" t="e">
        <f>'All regions'!A160+"n/&gt;!9)"</f>
        <v>#VALUE!</v>
      </c>
      <c r="CK7" t="e">
        <f>'All regions'!B160+"n/&gt;!9."</f>
        <v>#VALUE!</v>
      </c>
      <c r="CL7" t="e">
        <f>'All regions'!C160+"n/&gt;!9/"</f>
        <v>#VALUE!</v>
      </c>
      <c r="CM7" t="e">
        <f>'All regions'!D160+"n/&gt;!90"</f>
        <v>#VALUE!</v>
      </c>
      <c r="CN7" t="e">
        <f>'All regions'!E160+"n/&gt;!91"</f>
        <v>#VALUE!</v>
      </c>
      <c r="CO7" t="e">
        <f>'All regions'!F160+"n/&gt;!92"</f>
        <v>#VALUE!</v>
      </c>
      <c r="CP7" t="e">
        <f>'All regions'!G160+"n/&gt;!93"</f>
        <v>#VALUE!</v>
      </c>
      <c r="CQ7" t="e">
        <f>'All regions'!H160+"n/&gt;!94"</f>
        <v>#VALUE!</v>
      </c>
      <c r="CR7" t="e">
        <f>'All regions'!I160+"n/&gt;!95"</f>
        <v>#VALUE!</v>
      </c>
      <c r="CS7" t="e">
        <f>'All regions'!J160+"n/&gt;!96"</f>
        <v>#VALUE!</v>
      </c>
      <c r="CT7" t="e">
        <f>'All regions'!A161+"n/&gt;!97"</f>
        <v>#VALUE!</v>
      </c>
      <c r="CU7" t="e">
        <f>'All regions'!B161+"n/&gt;!98"</f>
        <v>#VALUE!</v>
      </c>
      <c r="CV7" t="e">
        <f>'All regions'!C161+"n/&gt;!99"</f>
        <v>#VALUE!</v>
      </c>
      <c r="CW7" t="e">
        <f>'All regions'!D161+"n/&gt;!9:"</f>
        <v>#VALUE!</v>
      </c>
      <c r="CX7" t="e">
        <f>'All regions'!E161+"n/&gt;!9;"</f>
        <v>#VALUE!</v>
      </c>
      <c r="CY7" t="e">
        <f>'All regions'!F161+"n/&gt;!9&lt;"</f>
        <v>#VALUE!</v>
      </c>
      <c r="CZ7" t="e">
        <f>'All regions'!G161+"n/&gt;!9="</f>
        <v>#VALUE!</v>
      </c>
      <c r="DA7" t="e">
        <f>'All regions'!H161+"n/&gt;!9&gt;"</f>
        <v>#VALUE!</v>
      </c>
      <c r="DB7" t="e">
        <f>'All regions'!I161+"n/&gt;!9?"</f>
        <v>#VALUE!</v>
      </c>
      <c r="DC7" t="e">
        <f>'All regions'!J161+"n/&gt;!9@"</f>
        <v>#VALUE!</v>
      </c>
      <c r="DD7" t="e">
        <f>'All regions'!A162+"n/&gt;!9A"</f>
        <v>#VALUE!</v>
      </c>
      <c r="DE7" t="e">
        <f>'All regions'!B162+"n/&gt;!9B"</f>
        <v>#VALUE!</v>
      </c>
      <c r="DF7" t="e">
        <f>'All regions'!C162+"n/&gt;!9C"</f>
        <v>#VALUE!</v>
      </c>
      <c r="DG7" t="e">
        <f>'All regions'!D162+"n/&gt;!9D"</f>
        <v>#VALUE!</v>
      </c>
      <c r="DH7" t="e">
        <f>'All regions'!E162+"n/&gt;!9E"</f>
        <v>#VALUE!</v>
      </c>
      <c r="DI7" t="e">
        <f>'All regions'!F162+"n/&gt;!9F"</f>
        <v>#VALUE!</v>
      </c>
      <c r="DJ7" t="e">
        <f>'All regions'!G162+"n/&gt;!9G"</f>
        <v>#VALUE!</v>
      </c>
      <c r="DK7" t="e">
        <f>'All regions'!H162+"n/&gt;!9H"</f>
        <v>#VALUE!</v>
      </c>
      <c r="DL7" t="e">
        <f>'All regions'!I162+"n/&gt;!9I"</f>
        <v>#VALUE!</v>
      </c>
      <c r="DM7" t="e">
        <f>'All regions'!J162+"n/&gt;!9J"</f>
        <v>#VALUE!</v>
      </c>
      <c r="DN7" t="e">
        <f>'All regions'!A163+"n/&gt;!9K"</f>
        <v>#VALUE!</v>
      </c>
      <c r="DO7" t="e">
        <f>'All regions'!B163+"n/&gt;!9L"</f>
        <v>#VALUE!</v>
      </c>
      <c r="DP7" t="e">
        <f>'All regions'!C163+"n/&gt;!9M"</f>
        <v>#VALUE!</v>
      </c>
      <c r="DQ7" t="e">
        <f>'All regions'!D163+"n/&gt;!9N"</f>
        <v>#VALUE!</v>
      </c>
      <c r="DR7" t="e">
        <f>'All regions'!E163+"n/&gt;!9O"</f>
        <v>#VALUE!</v>
      </c>
      <c r="DS7" t="e">
        <f>'All regions'!F163+"n/&gt;!9P"</f>
        <v>#VALUE!</v>
      </c>
      <c r="DT7" t="e">
        <f>'All regions'!G163+"n/&gt;!9Q"</f>
        <v>#VALUE!</v>
      </c>
      <c r="DU7" t="e">
        <f>'All regions'!H163+"n/&gt;!9R"</f>
        <v>#VALUE!</v>
      </c>
      <c r="DV7" t="e">
        <f>'All regions'!I163+"n/&gt;!9S"</f>
        <v>#VALUE!</v>
      </c>
      <c r="DW7" t="e">
        <f>'All regions'!J163+"n/&gt;!9T"</f>
        <v>#VALUE!</v>
      </c>
      <c r="DX7" t="e">
        <f>'All regions'!A164+"n/&gt;!9U"</f>
        <v>#VALUE!</v>
      </c>
      <c r="DY7" t="e">
        <f>'All regions'!B164+"n/&gt;!9V"</f>
        <v>#VALUE!</v>
      </c>
      <c r="DZ7" t="e">
        <f>'All regions'!C164+"n/&gt;!9W"</f>
        <v>#VALUE!</v>
      </c>
      <c r="EA7" t="e">
        <f>'All regions'!D164+"n/&gt;!9X"</f>
        <v>#VALUE!</v>
      </c>
      <c r="EB7" t="e">
        <f>'All regions'!E164+"n/&gt;!9Y"</f>
        <v>#VALUE!</v>
      </c>
      <c r="EC7" t="e">
        <f>'All regions'!F164+"n/&gt;!9Z"</f>
        <v>#VALUE!</v>
      </c>
      <c r="ED7" t="e">
        <f>'All regions'!G164+"n/&gt;!9["</f>
        <v>#VALUE!</v>
      </c>
      <c r="EE7" t="e">
        <f>'All regions'!H164+"n/&gt;!9\"</f>
        <v>#VALUE!</v>
      </c>
      <c r="EF7" t="e">
        <f>'All regions'!I164+"n/&gt;!9]"</f>
        <v>#VALUE!</v>
      </c>
      <c r="EG7" t="e">
        <f>'All regions'!J164+"n/&gt;!9^"</f>
        <v>#VALUE!</v>
      </c>
      <c r="EH7" t="e">
        <f>'All regions'!A165+"n/&gt;!9_"</f>
        <v>#VALUE!</v>
      </c>
      <c r="EI7" t="e">
        <f>'All regions'!B165+"n/&gt;!9`"</f>
        <v>#VALUE!</v>
      </c>
      <c r="EJ7" t="e">
        <f>'All regions'!C165+"n/&gt;!9a"</f>
        <v>#VALUE!</v>
      </c>
      <c r="EK7" t="e">
        <f>'All regions'!D165+"n/&gt;!9b"</f>
        <v>#VALUE!</v>
      </c>
      <c r="EL7" t="e">
        <f>'All regions'!E165+"n/&gt;!9c"</f>
        <v>#VALUE!</v>
      </c>
      <c r="EM7" t="e">
        <f>'All regions'!F165+"n/&gt;!9d"</f>
        <v>#VALUE!</v>
      </c>
      <c r="EN7" t="e">
        <f>'All regions'!G165+"n/&gt;!9e"</f>
        <v>#VALUE!</v>
      </c>
      <c r="EO7" t="e">
        <f>'All regions'!H165+"n/&gt;!9f"</f>
        <v>#VALUE!</v>
      </c>
      <c r="EP7" t="e">
        <f>'All regions'!I165+"n/&gt;!9g"</f>
        <v>#VALUE!</v>
      </c>
      <c r="EQ7" t="e">
        <f>'All regions'!J165+"n/&gt;!9h"</f>
        <v>#VALUE!</v>
      </c>
      <c r="ER7" t="e">
        <f>'All regions'!A166+"n/&gt;!9i"</f>
        <v>#VALUE!</v>
      </c>
      <c r="ES7" t="e">
        <f>'All regions'!B166+"n/&gt;!9j"</f>
        <v>#VALUE!</v>
      </c>
      <c r="ET7" t="e">
        <f>'All regions'!C166+"n/&gt;!9k"</f>
        <v>#VALUE!</v>
      </c>
      <c r="EU7" t="e">
        <f>'All regions'!D166+"n/&gt;!9l"</f>
        <v>#VALUE!</v>
      </c>
      <c r="EV7" t="e">
        <f>'All regions'!E166+"n/&gt;!9m"</f>
        <v>#VALUE!</v>
      </c>
      <c r="EW7" t="e">
        <f>'All regions'!F166+"n/&gt;!9n"</f>
        <v>#VALUE!</v>
      </c>
      <c r="EX7" t="e">
        <f>'All regions'!G166+"n/&gt;!9o"</f>
        <v>#VALUE!</v>
      </c>
      <c r="EY7" t="e">
        <f>'All regions'!H166+"n/&gt;!9p"</f>
        <v>#VALUE!</v>
      </c>
      <c r="EZ7" t="e">
        <f>'All regions'!I166+"n/&gt;!9q"</f>
        <v>#VALUE!</v>
      </c>
      <c r="FA7" t="e">
        <f>'All regions'!J166+"n/&gt;!9r"</f>
        <v>#VALUE!</v>
      </c>
      <c r="FB7" t="e">
        <f>'All regions'!A167+"n/&gt;!9s"</f>
        <v>#VALUE!</v>
      </c>
      <c r="FC7" t="e">
        <f>'All regions'!B167+"n/&gt;!9t"</f>
        <v>#VALUE!</v>
      </c>
      <c r="FD7" t="e">
        <f>'All regions'!C167+"n/&gt;!9u"</f>
        <v>#VALUE!</v>
      </c>
      <c r="FE7" t="e">
        <f>'All regions'!D167+"n/&gt;!9v"</f>
        <v>#VALUE!</v>
      </c>
      <c r="FF7" t="e">
        <f>'All regions'!E167+"n/&gt;!9w"</f>
        <v>#VALUE!</v>
      </c>
      <c r="FG7" t="e">
        <f>'All regions'!F167+"n/&gt;!9x"</f>
        <v>#VALUE!</v>
      </c>
      <c r="FH7" t="e">
        <f>'All regions'!G167+"n/&gt;!9y"</f>
        <v>#VALUE!</v>
      </c>
      <c r="FI7" t="e">
        <f>'All regions'!H167+"n/&gt;!9z"</f>
        <v>#VALUE!</v>
      </c>
      <c r="FJ7" t="e">
        <f>'All regions'!I167+"n/&gt;!9{"</f>
        <v>#VALUE!</v>
      </c>
      <c r="FK7" t="e">
        <f>'All regions'!J167+"n/&gt;!9|"</f>
        <v>#VALUE!</v>
      </c>
      <c r="FL7" t="e">
        <f>'All regions'!A168+"n/&gt;!9}"</f>
        <v>#VALUE!</v>
      </c>
      <c r="FM7" t="e">
        <f>'All regions'!B168+"n/&gt;!9~"</f>
        <v>#VALUE!</v>
      </c>
      <c r="FN7" t="e">
        <f>'All regions'!C168+"n/&gt;!:#"</f>
        <v>#VALUE!</v>
      </c>
      <c r="FO7" t="e">
        <f>'All regions'!D168+"n/&gt;!:$"</f>
        <v>#VALUE!</v>
      </c>
      <c r="FP7" t="e">
        <f>'All regions'!E168+"n/&gt;!:%"</f>
        <v>#VALUE!</v>
      </c>
      <c r="FQ7" t="e">
        <f>'All regions'!F168+"n/&gt;!:&amp;"</f>
        <v>#VALUE!</v>
      </c>
      <c r="FR7" t="e">
        <f>'All regions'!G168+"n/&gt;!:'"</f>
        <v>#VALUE!</v>
      </c>
      <c r="FS7" t="e">
        <f>'All regions'!H168+"n/&gt;!:("</f>
        <v>#VALUE!</v>
      </c>
      <c r="FT7" t="e">
        <f>'All regions'!I168+"n/&gt;!:)"</f>
        <v>#VALUE!</v>
      </c>
      <c r="FU7" t="e">
        <f>'All regions'!J168+"n/&gt;!:."</f>
        <v>#VALUE!</v>
      </c>
      <c r="FV7" t="e">
        <f>'All regions'!A169+"n/&gt;!:/"</f>
        <v>#VALUE!</v>
      </c>
      <c r="FW7" t="e">
        <f>'All regions'!B169+"n/&gt;!:0"</f>
        <v>#VALUE!</v>
      </c>
      <c r="FX7" t="e">
        <f>'All regions'!C169+"n/&gt;!:1"</f>
        <v>#VALUE!</v>
      </c>
      <c r="FY7" t="e">
        <f>'All regions'!D169+"n/&gt;!:2"</f>
        <v>#VALUE!</v>
      </c>
      <c r="FZ7" t="e">
        <f>'All regions'!E169+"n/&gt;!:3"</f>
        <v>#VALUE!</v>
      </c>
      <c r="GA7" t="e">
        <f>'All regions'!F169+"n/&gt;!:4"</f>
        <v>#VALUE!</v>
      </c>
      <c r="GB7" t="e">
        <f>'All regions'!G169+"n/&gt;!:5"</f>
        <v>#VALUE!</v>
      </c>
      <c r="GC7" t="e">
        <f>'All regions'!H169+"n/&gt;!:6"</f>
        <v>#VALUE!</v>
      </c>
      <c r="GD7" t="e">
        <f>'All regions'!I169+"n/&gt;!:7"</f>
        <v>#VALUE!</v>
      </c>
      <c r="GE7" t="e">
        <f>'All regions'!J169+"n/&gt;!:8"</f>
        <v>#VALUE!</v>
      </c>
      <c r="GF7" t="e">
        <f>'All regions'!A170+"n/&gt;!:9"</f>
        <v>#VALUE!</v>
      </c>
      <c r="GG7" t="e">
        <f>'All regions'!B170+"n/&gt;!::"</f>
        <v>#VALUE!</v>
      </c>
      <c r="GH7" t="e">
        <f>'All regions'!C170+"n/&gt;!:;"</f>
        <v>#VALUE!</v>
      </c>
      <c r="GI7" t="e">
        <f>'All regions'!D170+"n/&gt;!:&lt;"</f>
        <v>#VALUE!</v>
      </c>
      <c r="GJ7" t="e">
        <f>'All regions'!E170+"n/&gt;!:="</f>
        <v>#VALUE!</v>
      </c>
      <c r="GK7" t="e">
        <f>'All regions'!F170+"n/&gt;!:&gt;"</f>
        <v>#VALUE!</v>
      </c>
      <c r="GL7" t="e">
        <f>'All regions'!G170+"n/&gt;!:?"</f>
        <v>#VALUE!</v>
      </c>
      <c r="GM7" t="e">
        <f>'All regions'!H170+"n/&gt;!:@"</f>
        <v>#VALUE!</v>
      </c>
      <c r="GN7" t="e">
        <f>'All regions'!I170+"n/&gt;!:A"</f>
        <v>#VALUE!</v>
      </c>
      <c r="GO7" t="e">
        <f>'All regions'!J170+"n/&gt;!:B"</f>
        <v>#VALUE!</v>
      </c>
      <c r="GP7" t="e">
        <f>'All regions'!A171+"n/&gt;!:C"</f>
        <v>#VALUE!</v>
      </c>
      <c r="GQ7" t="e">
        <f>'All regions'!B171+"n/&gt;!:D"</f>
        <v>#VALUE!</v>
      </c>
      <c r="GR7" t="e">
        <f>'All regions'!C171+"n/&gt;!:E"</f>
        <v>#VALUE!</v>
      </c>
      <c r="GS7" t="e">
        <f>'All regions'!D171+"n/&gt;!:F"</f>
        <v>#VALUE!</v>
      </c>
      <c r="GT7" t="e">
        <f>'All regions'!E171+"n/&gt;!:G"</f>
        <v>#VALUE!</v>
      </c>
      <c r="GU7" t="e">
        <f>'All regions'!F171+"n/&gt;!:H"</f>
        <v>#VALUE!</v>
      </c>
      <c r="GV7" t="e">
        <f>'All regions'!G171+"n/&gt;!:I"</f>
        <v>#VALUE!</v>
      </c>
      <c r="GW7" t="e">
        <f>'All regions'!H171+"n/&gt;!:J"</f>
        <v>#VALUE!</v>
      </c>
      <c r="GX7" t="e">
        <f>'All regions'!I171+"n/&gt;!:K"</f>
        <v>#VALUE!</v>
      </c>
      <c r="GY7" t="e">
        <f>'All regions'!J171+"n/&gt;!:L"</f>
        <v>#VALUE!</v>
      </c>
      <c r="GZ7" t="e">
        <f>'All regions'!A172+"n/&gt;!:M"</f>
        <v>#VALUE!</v>
      </c>
      <c r="HA7" t="e">
        <f>'All regions'!B172+"n/&gt;!:N"</f>
        <v>#VALUE!</v>
      </c>
      <c r="HB7" t="e">
        <f>'All regions'!C172+"n/&gt;!:O"</f>
        <v>#VALUE!</v>
      </c>
      <c r="HC7" t="e">
        <f>'All regions'!D172+"n/&gt;!:P"</f>
        <v>#VALUE!</v>
      </c>
      <c r="HD7" t="e">
        <f>'All regions'!E172+"n/&gt;!:Q"</f>
        <v>#VALUE!</v>
      </c>
      <c r="HE7" t="e">
        <f>'All regions'!F172+"n/&gt;!:R"</f>
        <v>#VALUE!</v>
      </c>
      <c r="HF7" t="e">
        <f>'All regions'!G172+"n/&gt;!:S"</f>
        <v>#VALUE!</v>
      </c>
      <c r="HG7" t="e">
        <f>'All regions'!H172+"n/&gt;!:T"</f>
        <v>#VALUE!</v>
      </c>
      <c r="HH7" t="e">
        <f>'All regions'!I172+"n/&gt;!:U"</f>
        <v>#VALUE!</v>
      </c>
      <c r="HI7" t="e">
        <f>'All regions'!J172+"n/&gt;!:V"</f>
        <v>#VALUE!</v>
      </c>
      <c r="HJ7" t="e">
        <f>'All regions'!A173+"n/&gt;!:W"</f>
        <v>#VALUE!</v>
      </c>
      <c r="HK7" t="e">
        <f>'All regions'!B173+"n/&gt;!:X"</f>
        <v>#VALUE!</v>
      </c>
      <c r="HL7" t="e">
        <f>'All regions'!C173+"n/&gt;!:Y"</f>
        <v>#VALUE!</v>
      </c>
      <c r="HM7" t="e">
        <f>'All regions'!D173+"n/&gt;!:Z"</f>
        <v>#VALUE!</v>
      </c>
      <c r="HN7" t="e">
        <f>'All regions'!E173+"n/&gt;!:["</f>
        <v>#VALUE!</v>
      </c>
      <c r="HO7" t="e">
        <f>'All regions'!F173+"n/&gt;!:\"</f>
        <v>#VALUE!</v>
      </c>
      <c r="HP7" t="e">
        <f>'All regions'!G173+"n/&gt;!:]"</f>
        <v>#VALUE!</v>
      </c>
      <c r="HQ7" t="e">
        <f>'All regions'!H173+"n/&gt;!:^"</f>
        <v>#VALUE!</v>
      </c>
      <c r="HR7" t="e">
        <f>'All regions'!I173+"n/&gt;!:_"</f>
        <v>#VALUE!</v>
      </c>
      <c r="HS7" t="e">
        <f>'All regions'!J173+"n/&gt;!:`"</f>
        <v>#VALUE!</v>
      </c>
      <c r="HT7" t="e">
        <f>'All regions'!A174+"n/&gt;!:a"</f>
        <v>#VALUE!</v>
      </c>
      <c r="HU7" t="e">
        <f>'All regions'!B174+"n/&gt;!:b"</f>
        <v>#VALUE!</v>
      </c>
      <c r="HV7" t="e">
        <f>'All regions'!C174+"n/&gt;!:c"</f>
        <v>#VALUE!</v>
      </c>
      <c r="HW7" t="e">
        <f>'All regions'!D174+"n/&gt;!:d"</f>
        <v>#VALUE!</v>
      </c>
      <c r="HX7" t="e">
        <f>'All regions'!E174+"n/&gt;!:e"</f>
        <v>#VALUE!</v>
      </c>
      <c r="HY7" t="e">
        <f>'All regions'!F174+"n/&gt;!:f"</f>
        <v>#VALUE!</v>
      </c>
      <c r="HZ7" t="e">
        <f>'All regions'!G174+"n/&gt;!:g"</f>
        <v>#VALUE!</v>
      </c>
      <c r="IA7" t="e">
        <f>'All regions'!H174+"n/&gt;!:h"</f>
        <v>#VALUE!</v>
      </c>
      <c r="IB7" t="e">
        <f>'All regions'!I174+"n/&gt;!:i"</f>
        <v>#VALUE!</v>
      </c>
      <c r="IC7" t="e">
        <f>'All regions'!J174+"n/&gt;!:j"</f>
        <v>#VALUE!</v>
      </c>
      <c r="ID7" t="e">
        <f>'All regions'!A175+"n/&gt;!:k"</f>
        <v>#VALUE!</v>
      </c>
      <c r="IE7" t="e">
        <f>'All regions'!B175+"n/&gt;!:l"</f>
        <v>#VALUE!</v>
      </c>
      <c r="IF7" t="e">
        <f>'All regions'!C175+"n/&gt;!:m"</f>
        <v>#VALUE!</v>
      </c>
      <c r="IG7" t="e">
        <f>'All regions'!D175+"n/&gt;!:n"</f>
        <v>#VALUE!</v>
      </c>
      <c r="IH7" t="e">
        <f>'All regions'!E175+"n/&gt;!:o"</f>
        <v>#VALUE!</v>
      </c>
      <c r="II7" t="e">
        <f>'All regions'!F175+"n/&gt;!:p"</f>
        <v>#VALUE!</v>
      </c>
      <c r="IJ7" t="e">
        <f>'All regions'!G175+"n/&gt;!:q"</f>
        <v>#VALUE!</v>
      </c>
      <c r="IK7" t="e">
        <f>'All regions'!H175+"n/&gt;!:r"</f>
        <v>#VALUE!</v>
      </c>
      <c r="IL7" t="e">
        <f>'All regions'!I175+"n/&gt;!:s"</f>
        <v>#VALUE!</v>
      </c>
      <c r="IM7" t="e">
        <f>'All regions'!J175+"n/&gt;!:t"</f>
        <v>#VALUE!</v>
      </c>
      <c r="IN7" t="e">
        <f>'All regions'!A176+"n/&gt;!:u"</f>
        <v>#VALUE!</v>
      </c>
      <c r="IO7" t="e">
        <f>'All regions'!B176+"n/&gt;!:v"</f>
        <v>#VALUE!</v>
      </c>
      <c r="IP7" t="e">
        <f>'All regions'!C176+"n/&gt;!:w"</f>
        <v>#VALUE!</v>
      </c>
      <c r="IQ7" t="e">
        <f>'All regions'!D176+"n/&gt;!:x"</f>
        <v>#VALUE!</v>
      </c>
      <c r="IR7" t="e">
        <f>'All regions'!E176+"n/&gt;!:y"</f>
        <v>#VALUE!</v>
      </c>
      <c r="IS7" t="e">
        <f>'All regions'!F176+"n/&gt;!:z"</f>
        <v>#VALUE!</v>
      </c>
      <c r="IT7" t="e">
        <f>'All regions'!G176+"n/&gt;!:{"</f>
        <v>#VALUE!</v>
      </c>
      <c r="IU7" t="e">
        <f>'All regions'!H176+"n/&gt;!:|"</f>
        <v>#VALUE!</v>
      </c>
      <c r="IV7" t="e">
        <f>'All regions'!I176+"n/&gt;!:}"</f>
        <v>#VALUE!</v>
      </c>
    </row>
    <row r="8" spans="1:256" x14ac:dyDescent="0.35">
      <c r="F8" t="e">
        <f>'All regions'!J176+"n/&gt;!:~"</f>
        <v>#VALUE!</v>
      </c>
      <c r="G8" t="e">
        <f>'All regions'!A177+"n/&gt;!;#"</f>
        <v>#VALUE!</v>
      </c>
      <c r="H8" t="e">
        <f>'All regions'!B177+"n/&gt;!;$"</f>
        <v>#VALUE!</v>
      </c>
      <c r="I8" t="e">
        <f>'All regions'!C177+"n/&gt;!;%"</f>
        <v>#VALUE!</v>
      </c>
      <c r="J8" t="e">
        <f>'All regions'!D177+"n/&gt;!;&amp;"</f>
        <v>#VALUE!</v>
      </c>
      <c r="K8" t="e">
        <f>'All regions'!E177+"n/&gt;!;'"</f>
        <v>#VALUE!</v>
      </c>
      <c r="L8" t="e">
        <f>'All regions'!F177+"n/&gt;!;("</f>
        <v>#VALUE!</v>
      </c>
      <c r="M8" t="e">
        <f>'All regions'!G177+"n/&gt;!;)"</f>
        <v>#VALUE!</v>
      </c>
      <c r="N8" t="e">
        <f>'All regions'!H177+"n/&gt;!;."</f>
        <v>#VALUE!</v>
      </c>
      <c r="O8" t="e">
        <f>'All regions'!I177+"n/&gt;!;/"</f>
        <v>#VALUE!</v>
      </c>
      <c r="P8" t="e">
        <f>'All regions'!J177+"n/&gt;!;0"</f>
        <v>#VALUE!</v>
      </c>
      <c r="Q8" t="e">
        <f>'All regions'!A178+"n/&gt;!;1"</f>
        <v>#VALUE!</v>
      </c>
      <c r="R8" t="e">
        <f>'All regions'!B178+"n/&gt;!;2"</f>
        <v>#VALUE!</v>
      </c>
      <c r="S8" t="e">
        <f>'All regions'!C178+"n/&gt;!;3"</f>
        <v>#VALUE!</v>
      </c>
      <c r="T8" t="e">
        <f>'All regions'!D178+"n/&gt;!;4"</f>
        <v>#VALUE!</v>
      </c>
      <c r="U8" t="e">
        <f>'All regions'!E178+"n/&gt;!;5"</f>
        <v>#VALUE!</v>
      </c>
      <c r="V8" t="e">
        <f>'All regions'!F178+"n/&gt;!;6"</f>
        <v>#VALUE!</v>
      </c>
      <c r="W8" t="e">
        <f>'All regions'!G178+"n/&gt;!;7"</f>
        <v>#VALUE!</v>
      </c>
      <c r="X8" t="e">
        <f>'All regions'!H178+"n/&gt;!;8"</f>
        <v>#VALUE!</v>
      </c>
      <c r="Y8" t="e">
        <f>'All regions'!I178+"n/&gt;!;9"</f>
        <v>#VALUE!</v>
      </c>
      <c r="Z8" t="e">
        <f>'All regions'!J178+"n/&gt;!;:"</f>
        <v>#VALUE!</v>
      </c>
      <c r="AA8" t="e">
        <f>'All regions'!A179+"n/&gt;!;;"</f>
        <v>#VALUE!</v>
      </c>
      <c r="AB8" t="e">
        <f>'All regions'!B179+"n/&gt;!;&lt;"</f>
        <v>#VALUE!</v>
      </c>
      <c r="AC8" t="e">
        <f>'All regions'!C179+"n/&gt;!;="</f>
        <v>#VALUE!</v>
      </c>
      <c r="AD8" t="e">
        <f>'All regions'!D179+"n/&gt;!;&gt;"</f>
        <v>#VALUE!</v>
      </c>
      <c r="AE8" t="e">
        <f>'All regions'!E179+"n/&gt;!;?"</f>
        <v>#VALUE!</v>
      </c>
      <c r="AF8" t="e">
        <f>'All regions'!F179+"n/&gt;!;@"</f>
        <v>#VALUE!</v>
      </c>
      <c r="AG8" t="e">
        <f>'All regions'!G179+"n/&gt;!;A"</f>
        <v>#VALUE!</v>
      </c>
      <c r="AH8" t="e">
        <f>'All regions'!H179+"n/&gt;!;B"</f>
        <v>#VALUE!</v>
      </c>
      <c r="AI8" t="e">
        <f>'All regions'!I179+"n/&gt;!;C"</f>
        <v>#VALUE!</v>
      </c>
      <c r="AJ8" t="e">
        <f>'All regions'!J179+"n/&gt;!;D"</f>
        <v>#VALUE!</v>
      </c>
      <c r="AK8" t="e">
        <f>'All regions'!A180+"n/&gt;!;E"</f>
        <v>#VALUE!</v>
      </c>
      <c r="AL8" t="e">
        <f>'All regions'!B180+"n/&gt;!;F"</f>
        <v>#VALUE!</v>
      </c>
      <c r="AM8" t="e">
        <f>'All regions'!C180+"n/&gt;!;G"</f>
        <v>#VALUE!</v>
      </c>
      <c r="AN8" t="e">
        <f>'All regions'!D180+"n/&gt;!;H"</f>
        <v>#VALUE!</v>
      </c>
      <c r="AO8" t="e">
        <f>'All regions'!E180+"n/&gt;!;I"</f>
        <v>#VALUE!</v>
      </c>
      <c r="AP8" t="e">
        <f>'All regions'!F180+"n/&gt;!;J"</f>
        <v>#VALUE!</v>
      </c>
      <c r="AQ8" t="e">
        <f>'All regions'!G180+"n/&gt;!;K"</f>
        <v>#VALUE!</v>
      </c>
      <c r="AR8" t="e">
        <f>'All regions'!H180+"n/&gt;!;L"</f>
        <v>#VALUE!</v>
      </c>
      <c r="AS8" t="e">
        <f>'All regions'!I180+"n/&gt;!;M"</f>
        <v>#VALUE!</v>
      </c>
      <c r="AT8" t="e">
        <f>'All regions'!J180+"n/&gt;!;N"</f>
        <v>#VALUE!</v>
      </c>
      <c r="AU8" t="e">
        <f>'All regions'!A181+"n/&gt;!;O"</f>
        <v>#VALUE!</v>
      </c>
      <c r="AV8" t="e">
        <f>'All regions'!B181+"n/&gt;!;P"</f>
        <v>#VALUE!</v>
      </c>
      <c r="AW8" t="e">
        <f>'All regions'!C181+"n/&gt;!;Q"</f>
        <v>#VALUE!</v>
      </c>
      <c r="AX8" t="e">
        <f>'All regions'!D181+"n/&gt;!;R"</f>
        <v>#VALUE!</v>
      </c>
      <c r="AY8" t="e">
        <f>'All regions'!E181+"n/&gt;!;S"</f>
        <v>#VALUE!</v>
      </c>
      <c r="AZ8" t="e">
        <f>'All regions'!F181+"n/&gt;!;T"</f>
        <v>#VALUE!</v>
      </c>
      <c r="BA8" t="e">
        <f>'All regions'!G181+"n/&gt;!;U"</f>
        <v>#VALUE!</v>
      </c>
      <c r="BB8" t="e">
        <f>'All regions'!H181+"n/&gt;!;V"</f>
        <v>#VALUE!</v>
      </c>
      <c r="BC8" t="e">
        <f>'All regions'!I181+"n/&gt;!;W"</f>
        <v>#VALUE!</v>
      </c>
      <c r="BD8" t="e">
        <f>'All regions'!J181+"n/&gt;!;X"</f>
        <v>#VALUE!</v>
      </c>
      <c r="BE8" t="e">
        <f>'All regions'!A182+"n/&gt;!;Y"</f>
        <v>#VALUE!</v>
      </c>
      <c r="BF8" t="e">
        <f>'All regions'!B182+"n/&gt;!;Z"</f>
        <v>#VALUE!</v>
      </c>
      <c r="BG8" t="e">
        <f>'All regions'!C182+"n/&gt;!;["</f>
        <v>#VALUE!</v>
      </c>
      <c r="BH8" t="e">
        <f>'All regions'!D182+"n/&gt;!;\"</f>
        <v>#VALUE!</v>
      </c>
      <c r="BI8" t="e">
        <f>'All regions'!E182+"n/&gt;!;]"</f>
        <v>#VALUE!</v>
      </c>
      <c r="BJ8" t="e">
        <f>'All regions'!F182+"n/&gt;!;^"</f>
        <v>#VALUE!</v>
      </c>
      <c r="BK8" t="e">
        <f>'All regions'!G182+"n/&gt;!;_"</f>
        <v>#VALUE!</v>
      </c>
      <c r="BL8" t="e">
        <f>'All regions'!H182+"n/&gt;!;`"</f>
        <v>#VALUE!</v>
      </c>
      <c r="BM8" t="e">
        <f>'All regions'!I182+"n/&gt;!;a"</f>
        <v>#VALUE!</v>
      </c>
      <c r="BN8" t="e">
        <f>'All regions'!J182+"n/&gt;!;b"</f>
        <v>#VALUE!</v>
      </c>
      <c r="BO8" t="e">
        <f>'All regions'!A183+"n/&gt;!;c"</f>
        <v>#VALUE!</v>
      </c>
      <c r="BP8" t="e">
        <f>'All regions'!B183+"n/&gt;!;d"</f>
        <v>#VALUE!</v>
      </c>
      <c r="BQ8" t="e">
        <f>'All regions'!C183+"n/&gt;!;e"</f>
        <v>#VALUE!</v>
      </c>
      <c r="BR8" t="e">
        <f>'All regions'!D183+"n/&gt;!;f"</f>
        <v>#VALUE!</v>
      </c>
      <c r="BS8" t="e">
        <f>'All regions'!E183+"n/&gt;!;g"</f>
        <v>#VALUE!</v>
      </c>
      <c r="BT8" t="e">
        <f>'All regions'!F183+"n/&gt;!;h"</f>
        <v>#VALUE!</v>
      </c>
      <c r="BU8" t="e">
        <f>'All regions'!G183+"n/&gt;!;i"</f>
        <v>#VALUE!</v>
      </c>
      <c r="BV8" t="e">
        <f>'All regions'!H183+"n/&gt;!;j"</f>
        <v>#VALUE!</v>
      </c>
      <c r="BW8" t="e">
        <f>'All regions'!I183+"n/&gt;!;k"</f>
        <v>#VALUE!</v>
      </c>
      <c r="BX8" t="e">
        <f>'All regions'!J183+"n/&gt;!;l"</f>
        <v>#VALUE!</v>
      </c>
      <c r="BY8" t="e">
        <f>'All regions'!A184+"n/&gt;!;m"</f>
        <v>#VALUE!</v>
      </c>
      <c r="BZ8" t="e">
        <f>'All regions'!B184+"n/&gt;!;n"</f>
        <v>#VALUE!</v>
      </c>
      <c r="CA8" t="e">
        <f>'All regions'!C184+"n/&gt;!;o"</f>
        <v>#VALUE!</v>
      </c>
      <c r="CB8" t="e">
        <f>'All regions'!D184+"n/&gt;!;p"</f>
        <v>#VALUE!</v>
      </c>
      <c r="CC8" t="e">
        <f>'All regions'!E184+"n/&gt;!;q"</f>
        <v>#VALUE!</v>
      </c>
      <c r="CD8" t="e">
        <f>'All regions'!F184+"n/&gt;!;r"</f>
        <v>#VALUE!</v>
      </c>
      <c r="CE8" t="e">
        <f>'All regions'!G184+"n/&gt;!;s"</f>
        <v>#VALUE!</v>
      </c>
      <c r="CF8" t="e">
        <f>'All regions'!H184+"n/&gt;!;t"</f>
        <v>#VALUE!</v>
      </c>
      <c r="CG8" t="e">
        <f>'All regions'!I184+"n/&gt;!;u"</f>
        <v>#VALUE!</v>
      </c>
      <c r="CH8" t="e">
        <f>'All regions'!J184+"n/&gt;!;v"</f>
        <v>#VALUE!</v>
      </c>
      <c r="CI8" t="e">
        <f>'All regions'!A185+"n/&gt;!;w"</f>
        <v>#VALUE!</v>
      </c>
      <c r="CJ8" t="e">
        <f>'All regions'!B185+"n/&gt;!;x"</f>
        <v>#VALUE!</v>
      </c>
      <c r="CK8" t="e">
        <f>'All regions'!C185+"n/&gt;!;y"</f>
        <v>#VALUE!</v>
      </c>
      <c r="CL8" t="e">
        <f>'All regions'!D185+"n/&gt;!;z"</f>
        <v>#VALUE!</v>
      </c>
      <c r="CM8" t="e">
        <f>'All regions'!E185+"n/&gt;!;{"</f>
        <v>#VALUE!</v>
      </c>
      <c r="CN8" t="e">
        <f>'All regions'!F185+"n/&gt;!;|"</f>
        <v>#VALUE!</v>
      </c>
      <c r="CO8" t="e">
        <f>'All regions'!G185+"n/&gt;!;}"</f>
        <v>#VALUE!</v>
      </c>
      <c r="CP8" t="e">
        <f>'All regions'!H185+"n/&gt;!;~"</f>
        <v>#VALUE!</v>
      </c>
      <c r="CQ8" t="e">
        <f>'All regions'!I185+"n/&gt;!&lt;#"</f>
        <v>#VALUE!</v>
      </c>
      <c r="CR8" t="e">
        <f>'All regions'!J185+"n/&gt;!&lt;$"</f>
        <v>#VALUE!</v>
      </c>
      <c r="CS8" t="e">
        <f>'All regions'!A186+"n/&gt;!&lt;%"</f>
        <v>#VALUE!</v>
      </c>
      <c r="CT8" t="e">
        <f>'All regions'!B186+"n/&gt;!&lt;&amp;"</f>
        <v>#VALUE!</v>
      </c>
      <c r="CU8" t="e">
        <f>'All regions'!C186+"n/&gt;!&lt;'"</f>
        <v>#VALUE!</v>
      </c>
      <c r="CV8" t="e">
        <f>'All regions'!D186+"n/&gt;!&lt;("</f>
        <v>#VALUE!</v>
      </c>
      <c r="CW8" t="e">
        <f>'All regions'!E186+"n/&gt;!&lt;)"</f>
        <v>#VALUE!</v>
      </c>
      <c r="CX8" t="e">
        <f>'All regions'!F186+"n/&gt;!&lt;."</f>
        <v>#VALUE!</v>
      </c>
      <c r="CY8" t="e">
        <f>'All regions'!G186+"n/&gt;!&lt;/"</f>
        <v>#VALUE!</v>
      </c>
      <c r="CZ8" t="e">
        <f>'All regions'!H186+"n/&gt;!&lt;0"</f>
        <v>#VALUE!</v>
      </c>
      <c r="DA8" t="e">
        <f>'All regions'!I186+"n/&gt;!&lt;1"</f>
        <v>#VALUE!</v>
      </c>
      <c r="DB8" t="e">
        <f>'All regions'!J186+"n/&gt;!&lt;2"</f>
        <v>#VALUE!</v>
      </c>
      <c r="DC8" t="e">
        <f>'All regions'!A187+"n/&gt;!&lt;3"</f>
        <v>#VALUE!</v>
      </c>
      <c r="DD8" t="e">
        <f>'All regions'!B187+"n/&gt;!&lt;4"</f>
        <v>#VALUE!</v>
      </c>
      <c r="DE8" t="e">
        <f>'All regions'!C187+"n/&gt;!&lt;5"</f>
        <v>#VALUE!</v>
      </c>
      <c r="DF8" t="e">
        <f>'All regions'!D187+"n/&gt;!&lt;6"</f>
        <v>#VALUE!</v>
      </c>
      <c r="DG8" t="e">
        <f>'All regions'!E187+"n/&gt;!&lt;7"</f>
        <v>#VALUE!</v>
      </c>
      <c r="DH8" t="e">
        <f>'All regions'!F187+"n/&gt;!&lt;8"</f>
        <v>#VALUE!</v>
      </c>
      <c r="DI8" t="e">
        <f>'All regions'!G187+"n/&gt;!&lt;9"</f>
        <v>#VALUE!</v>
      </c>
      <c r="DJ8" t="e">
        <f>'All regions'!H187+"n/&gt;!&lt;:"</f>
        <v>#VALUE!</v>
      </c>
      <c r="DK8" t="e">
        <f>'All regions'!I187+"n/&gt;!&lt;;"</f>
        <v>#VALUE!</v>
      </c>
      <c r="DL8" t="e">
        <f>'All regions'!J187+"n/&gt;!&lt;&lt;"</f>
        <v>#VALUE!</v>
      </c>
      <c r="DM8" t="e">
        <f>'All regions'!A188+"n/&gt;!&lt;="</f>
        <v>#VALUE!</v>
      </c>
      <c r="DN8" t="e">
        <f>'All regions'!B188+"n/&gt;!&lt;&gt;"</f>
        <v>#VALUE!</v>
      </c>
      <c r="DO8" t="e">
        <f>'All regions'!C188+"n/&gt;!&lt;?"</f>
        <v>#VALUE!</v>
      </c>
      <c r="DP8" t="e">
        <f>'All regions'!D188+"n/&gt;!&lt;@"</f>
        <v>#VALUE!</v>
      </c>
      <c r="DQ8" t="e">
        <f>'All regions'!E188+"n/&gt;!&lt;A"</f>
        <v>#VALUE!</v>
      </c>
      <c r="DR8" t="e">
        <f>'All regions'!F188+"n/&gt;!&lt;B"</f>
        <v>#VALUE!</v>
      </c>
      <c r="DS8" t="e">
        <f>'All regions'!G188+"n/&gt;!&lt;C"</f>
        <v>#VALUE!</v>
      </c>
      <c r="DT8" t="e">
        <f>'All regions'!H188+"n/&gt;!&lt;D"</f>
        <v>#VALUE!</v>
      </c>
      <c r="DU8" t="e">
        <f>'All regions'!I188+"n/&gt;!&lt;E"</f>
        <v>#VALUE!</v>
      </c>
      <c r="DV8" t="e">
        <f>'All regions'!J188+"n/&gt;!&lt;F"</f>
        <v>#VALUE!</v>
      </c>
      <c r="DW8" t="e">
        <f>'All regions'!A189+"n/&gt;!&lt;G"</f>
        <v>#VALUE!</v>
      </c>
      <c r="DX8" t="e">
        <f>'All regions'!B189+"n/&gt;!&lt;H"</f>
        <v>#VALUE!</v>
      </c>
      <c r="DY8" t="e">
        <f>'All regions'!C189+"n/&gt;!&lt;I"</f>
        <v>#VALUE!</v>
      </c>
      <c r="DZ8" t="e">
        <f>'All regions'!D189+"n/&gt;!&lt;J"</f>
        <v>#VALUE!</v>
      </c>
      <c r="EA8" t="e">
        <f>'All regions'!E189+"n/&gt;!&lt;K"</f>
        <v>#VALUE!</v>
      </c>
      <c r="EB8" t="e">
        <f>'All regions'!F189+"n/&gt;!&lt;L"</f>
        <v>#VALUE!</v>
      </c>
      <c r="EC8" t="e">
        <f>'All regions'!G189+"n/&gt;!&lt;M"</f>
        <v>#VALUE!</v>
      </c>
      <c r="ED8" t="e">
        <f>'All regions'!H189+"n/&gt;!&lt;N"</f>
        <v>#VALUE!</v>
      </c>
      <c r="EE8" t="e">
        <f>'All regions'!I189+"n/&gt;!&lt;O"</f>
        <v>#VALUE!</v>
      </c>
      <c r="EF8" t="e">
        <f>'All regions'!J189+"n/&gt;!&lt;P"</f>
        <v>#VALUE!</v>
      </c>
      <c r="EG8" t="e">
        <f>'All regions'!A190+"n/&gt;!&lt;Q"</f>
        <v>#VALUE!</v>
      </c>
      <c r="EH8" t="e">
        <f>'All regions'!B190+"n/&gt;!&lt;R"</f>
        <v>#VALUE!</v>
      </c>
      <c r="EI8" t="e">
        <f>'All regions'!C190+"n/&gt;!&lt;S"</f>
        <v>#VALUE!</v>
      </c>
      <c r="EJ8" t="e">
        <f>'All regions'!D190+"n/&gt;!&lt;T"</f>
        <v>#VALUE!</v>
      </c>
      <c r="EK8" t="e">
        <f>'All regions'!E190+"n/&gt;!&lt;U"</f>
        <v>#VALUE!</v>
      </c>
      <c r="EL8" t="e">
        <f>'All regions'!F190+"n/&gt;!&lt;V"</f>
        <v>#VALUE!</v>
      </c>
      <c r="EM8" t="e">
        <f>'All regions'!G190+"n/&gt;!&lt;W"</f>
        <v>#VALUE!</v>
      </c>
      <c r="EN8" t="e">
        <f>'All regions'!H190+"n/&gt;!&lt;X"</f>
        <v>#VALUE!</v>
      </c>
      <c r="EO8" t="e">
        <f>'All regions'!I190+"n/&gt;!&lt;Y"</f>
        <v>#VALUE!</v>
      </c>
      <c r="EP8" t="e">
        <f>'All regions'!J190+"n/&gt;!&lt;Z"</f>
        <v>#VALUE!</v>
      </c>
      <c r="EQ8" t="e">
        <f>'All regions'!A191+"n/&gt;!&lt;["</f>
        <v>#VALUE!</v>
      </c>
      <c r="ER8" t="e">
        <f>'All regions'!B191+"n/&gt;!&lt;\"</f>
        <v>#VALUE!</v>
      </c>
      <c r="ES8" t="e">
        <f>'All regions'!C191+"n/&gt;!&lt;]"</f>
        <v>#VALUE!</v>
      </c>
      <c r="ET8" t="e">
        <f>'All regions'!D191+"n/&gt;!&lt;^"</f>
        <v>#VALUE!</v>
      </c>
      <c r="EU8" t="e">
        <f>'All regions'!E191+"n/&gt;!&lt;_"</f>
        <v>#VALUE!</v>
      </c>
      <c r="EV8" t="e">
        <f>'All regions'!F191+"n/&gt;!&lt;`"</f>
        <v>#VALUE!</v>
      </c>
      <c r="EW8" t="e">
        <f>'All regions'!G191+"n/&gt;!&lt;a"</f>
        <v>#VALUE!</v>
      </c>
      <c r="EX8" t="e">
        <f>'All regions'!H191+"n/&gt;!&lt;b"</f>
        <v>#VALUE!</v>
      </c>
      <c r="EY8" t="e">
        <f>'All regions'!I191+"n/&gt;!&lt;c"</f>
        <v>#VALUE!</v>
      </c>
      <c r="EZ8" t="e">
        <f>'All regions'!J191+"n/&gt;!&lt;d"</f>
        <v>#VALUE!</v>
      </c>
      <c r="FA8" t="e">
        <f>'All regions'!A192+"n/&gt;!&lt;e"</f>
        <v>#VALUE!</v>
      </c>
      <c r="FB8" t="e">
        <f>'All regions'!B192+"n/&gt;!&lt;f"</f>
        <v>#VALUE!</v>
      </c>
      <c r="FC8" t="e">
        <f>'All regions'!C192+"n/&gt;!&lt;g"</f>
        <v>#VALUE!</v>
      </c>
      <c r="FD8" t="e">
        <f>'All regions'!D192+"n/&gt;!&lt;h"</f>
        <v>#VALUE!</v>
      </c>
      <c r="FE8" t="e">
        <f>'All regions'!E192+"n/&gt;!&lt;i"</f>
        <v>#VALUE!</v>
      </c>
      <c r="FF8" t="e">
        <f>'All regions'!F192+"n/&gt;!&lt;j"</f>
        <v>#VALUE!</v>
      </c>
      <c r="FG8" t="e">
        <f>'All regions'!G192+"n/&gt;!&lt;k"</f>
        <v>#VALUE!</v>
      </c>
      <c r="FH8" t="e">
        <f>'All regions'!H192+"n/&gt;!&lt;l"</f>
        <v>#VALUE!</v>
      </c>
      <c r="FI8" t="e">
        <f>'All regions'!I192+"n/&gt;!&lt;m"</f>
        <v>#VALUE!</v>
      </c>
      <c r="FJ8" t="e">
        <f>'All regions'!J192+"n/&gt;!&lt;n"</f>
        <v>#VALUE!</v>
      </c>
      <c r="FK8" t="e">
        <f>'All regions'!A193+"n/&gt;!&lt;o"</f>
        <v>#VALUE!</v>
      </c>
      <c r="FL8" t="e">
        <f>'All regions'!B193+"n/&gt;!&lt;p"</f>
        <v>#VALUE!</v>
      </c>
      <c r="FM8" t="e">
        <f>'All regions'!C193+"n/&gt;!&lt;q"</f>
        <v>#VALUE!</v>
      </c>
      <c r="FN8" t="e">
        <f>'All regions'!D193+"n/&gt;!&lt;r"</f>
        <v>#VALUE!</v>
      </c>
      <c r="FO8" t="e">
        <f>'All regions'!E193+"n/&gt;!&lt;s"</f>
        <v>#VALUE!</v>
      </c>
      <c r="FP8" t="e">
        <f>'All regions'!F193+"n/&gt;!&lt;t"</f>
        <v>#VALUE!</v>
      </c>
      <c r="FQ8" t="e">
        <f>'All regions'!G193+"n/&gt;!&lt;u"</f>
        <v>#VALUE!</v>
      </c>
      <c r="FR8" t="e">
        <f>'All regions'!H193+"n/&gt;!&lt;v"</f>
        <v>#VALUE!</v>
      </c>
      <c r="FS8" t="e">
        <f>'All regions'!I193+"n/&gt;!&lt;w"</f>
        <v>#VALUE!</v>
      </c>
      <c r="FT8" t="e">
        <f>'All regions'!J193+"n/&gt;!&lt;x"</f>
        <v>#VALUE!</v>
      </c>
      <c r="FU8" t="e">
        <f>'All regions'!A194+"n/&gt;!&lt;y"</f>
        <v>#VALUE!</v>
      </c>
      <c r="FV8" t="e">
        <f>'All regions'!B194+"n/&gt;!&lt;z"</f>
        <v>#VALUE!</v>
      </c>
      <c r="FW8" t="e">
        <f>'All regions'!C194+"n/&gt;!&lt;{"</f>
        <v>#VALUE!</v>
      </c>
      <c r="FX8" t="e">
        <f>'All regions'!D194+"n/&gt;!&lt;|"</f>
        <v>#VALUE!</v>
      </c>
      <c r="FY8" t="e">
        <f>'All regions'!E194+"n/&gt;!&lt;}"</f>
        <v>#VALUE!</v>
      </c>
      <c r="FZ8" t="e">
        <f>'All regions'!F194+"n/&gt;!&lt;~"</f>
        <v>#VALUE!</v>
      </c>
      <c r="GA8" t="e">
        <f>'All regions'!G194+"n/&gt;!=#"</f>
        <v>#VALUE!</v>
      </c>
      <c r="GB8" t="e">
        <f>'All regions'!H194+"n/&gt;!=$"</f>
        <v>#VALUE!</v>
      </c>
      <c r="GC8" t="e">
        <f>'All regions'!I194+"n/&gt;!=%"</f>
        <v>#VALUE!</v>
      </c>
      <c r="GD8" t="e">
        <f>'All regions'!J194+"n/&gt;!=&amp;"</f>
        <v>#VALUE!</v>
      </c>
      <c r="GE8" t="e">
        <f>'All regions'!A195+"n/&gt;!='"</f>
        <v>#VALUE!</v>
      </c>
      <c r="GF8" t="e">
        <f>'All regions'!B195+"n/&gt;!=("</f>
        <v>#VALUE!</v>
      </c>
      <c r="GG8" t="e">
        <f>'All regions'!C195+"n/&gt;!=)"</f>
        <v>#VALUE!</v>
      </c>
      <c r="GH8" t="e">
        <f>'All regions'!D195+"n/&gt;!=."</f>
        <v>#VALUE!</v>
      </c>
      <c r="GI8" t="e">
        <f>'All regions'!E195+"n/&gt;!=/"</f>
        <v>#VALUE!</v>
      </c>
      <c r="GJ8" t="e">
        <f>'All regions'!F195+"n/&gt;!=0"</f>
        <v>#VALUE!</v>
      </c>
      <c r="GK8" t="e">
        <f>'All regions'!G195+"n/&gt;!=1"</f>
        <v>#VALUE!</v>
      </c>
      <c r="GL8" t="e">
        <f>'All regions'!H195+"n/&gt;!=2"</f>
        <v>#VALUE!</v>
      </c>
      <c r="GM8" t="e">
        <f>'All regions'!I195+"n/&gt;!=3"</f>
        <v>#VALUE!</v>
      </c>
      <c r="GN8" t="e">
        <f>'All regions'!J195+"n/&gt;!=4"</f>
        <v>#VALUE!</v>
      </c>
      <c r="GO8" t="e">
        <f>'All regions'!A196+"n/&gt;!=5"</f>
        <v>#VALUE!</v>
      </c>
      <c r="GP8" t="e">
        <f>'All regions'!B196+"n/&gt;!=6"</f>
        <v>#VALUE!</v>
      </c>
      <c r="GQ8" t="e">
        <f>'All regions'!C196+"n/&gt;!=7"</f>
        <v>#VALUE!</v>
      </c>
      <c r="GR8" t="e">
        <f>'All regions'!D196+"n/&gt;!=8"</f>
        <v>#VALUE!</v>
      </c>
      <c r="GS8" t="e">
        <f>'All regions'!E196+"n/&gt;!=9"</f>
        <v>#VALUE!</v>
      </c>
      <c r="GT8" t="e">
        <f>'All regions'!F196+"n/&gt;!=:"</f>
        <v>#VALUE!</v>
      </c>
      <c r="GU8" t="e">
        <f>'All regions'!G196+"n/&gt;!=;"</f>
        <v>#VALUE!</v>
      </c>
      <c r="GV8" t="e">
        <f>'All regions'!H196+"n/&gt;!=&lt;"</f>
        <v>#VALUE!</v>
      </c>
      <c r="GW8" t="e">
        <f>'All regions'!I196+"n/&gt;!=="</f>
        <v>#VALUE!</v>
      </c>
      <c r="GX8" t="e">
        <f>'All regions'!J196+"n/&gt;!=&gt;"</f>
        <v>#VALUE!</v>
      </c>
      <c r="GY8" t="e">
        <f>'All regions'!A197+"n/&gt;!=?"</f>
        <v>#VALUE!</v>
      </c>
      <c r="GZ8" t="e">
        <f>'All regions'!B197+"n/&gt;!=@"</f>
        <v>#VALUE!</v>
      </c>
      <c r="HA8" t="e">
        <f>'All regions'!C197+"n/&gt;!=A"</f>
        <v>#VALUE!</v>
      </c>
      <c r="HB8" t="e">
        <f>'All regions'!D197+"n/&gt;!=B"</f>
        <v>#VALUE!</v>
      </c>
      <c r="HC8" t="e">
        <f>'All regions'!E197+"n/&gt;!=C"</f>
        <v>#VALUE!</v>
      </c>
      <c r="HD8" t="e">
        <f>'All regions'!F197+"n/&gt;!=D"</f>
        <v>#VALUE!</v>
      </c>
      <c r="HE8" t="e">
        <f>'All regions'!G197+"n/&gt;!=E"</f>
        <v>#VALUE!</v>
      </c>
      <c r="HF8" t="e">
        <f>'All regions'!H197+"n/&gt;!=F"</f>
        <v>#VALUE!</v>
      </c>
      <c r="HG8" t="e">
        <f>'All regions'!I197+"n/&gt;!=G"</f>
        <v>#VALUE!</v>
      </c>
      <c r="HH8" t="e">
        <f>'All regions'!J197+"n/&gt;!=H"</f>
        <v>#VALUE!</v>
      </c>
      <c r="HI8" t="e">
        <f>'All regions'!A198+"n/&gt;!=I"</f>
        <v>#VALUE!</v>
      </c>
      <c r="HJ8" t="e">
        <f>'All regions'!B198+"n/&gt;!=J"</f>
        <v>#VALUE!</v>
      </c>
      <c r="HK8" t="e">
        <f>'All regions'!C198+"n/&gt;!=K"</f>
        <v>#VALUE!</v>
      </c>
      <c r="HL8" t="e">
        <f>'All regions'!D198+"n/&gt;!=L"</f>
        <v>#VALUE!</v>
      </c>
      <c r="HM8" t="e">
        <f>'All regions'!E198+"n/&gt;!=M"</f>
        <v>#VALUE!</v>
      </c>
      <c r="HN8" t="e">
        <f>'All regions'!F198+"n/&gt;!=N"</f>
        <v>#VALUE!</v>
      </c>
      <c r="HO8" t="e">
        <f>'All regions'!G198+"n/&gt;!=O"</f>
        <v>#VALUE!</v>
      </c>
      <c r="HP8" t="e">
        <f>'All regions'!H198+"n/&gt;!=P"</f>
        <v>#VALUE!</v>
      </c>
      <c r="HQ8" t="e">
        <f>'All regions'!I198+"n/&gt;!=Q"</f>
        <v>#VALUE!</v>
      </c>
      <c r="HR8" t="e">
        <f>'All regions'!J198+"n/&gt;!=R"</f>
        <v>#VALUE!</v>
      </c>
      <c r="HS8" t="e">
        <f>'All regions'!A199+"n/&gt;!=S"</f>
        <v>#VALUE!</v>
      </c>
      <c r="HT8" t="e">
        <f>'All regions'!B199+"n/&gt;!=T"</f>
        <v>#VALUE!</v>
      </c>
      <c r="HU8" t="e">
        <f>'All regions'!C199+"n/&gt;!=U"</f>
        <v>#VALUE!</v>
      </c>
      <c r="HV8" t="e">
        <f>'All regions'!D199+"n/&gt;!=V"</f>
        <v>#VALUE!</v>
      </c>
      <c r="HW8" t="e">
        <f>'All regions'!E199+"n/&gt;!=W"</f>
        <v>#VALUE!</v>
      </c>
      <c r="HX8" t="e">
        <f>'All regions'!F199+"n/&gt;!=X"</f>
        <v>#VALUE!</v>
      </c>
      <c r="HY8" t="e">
        <f>'All regions'!G199+"n/&gt;!=Y"</f>
        <v>#VALUE!</v>
      </c>
      <c r="HZ8" t="e">
        <f>'All regions'!H199+"n/&gt;!=Z"</f>
        <v>#VALUE!</v>
      </c>
      <c r="IA8" t="e">
        <f>'All regions'!I199+"n/&gt;!=["</f>
        <v>#VALUE!</v>
      </c>
      <c r="IB8" t="e">
        <f>'All regions'!J199+"n/&gt;!=\"</f>
        <v>#VALUE!</v>
      </c>
      <c r="IC8" t="e">
        <f>'All regions'!A200+"n/&gt;!=]"</f>
        <v>#VALUE!</v>
      </c>
      <c r="ID8" t="e">
        <f>'All regions'!B200+"n/&gt;!=^"</f>
        <v>#VALUE!</v>
      </c>
      <c r="IE8" t="e">
        <f>'All regions'!C200+"n/&gt;!=_"</f>
        <v>#VALUE!</v>
      </c>
      <c r="IF8" t="e">
        <f>'All regions'!D200+"n/&gt;!=`"</f>
        <v>#VALUE!</v>
      </c>
      <c r="IG8" t="e">
        <f>'All regions'!E200+"n/&gt;!=a"</f>
        <v>#VALUE!</v>
      </c>
      <c r="IH8" t="e">
        <f>'All regions'!F200+"n/&gt;!=b"</f>
        <v>#VALUE!</v>
      </c>
      <c r="II8" t="e">
        <f>'All regions'!G200+"n/&gt;!=c"</f>
        <v>#VALUE!</v>
      </c>
      <c r="IJ8" t="e">
        <f>'All regions'!H200+"n/&gt;!=d"</f>
        <v>#VALUE!</v>
      </c>
      <c r="IK8" t="e">
        <f>'All regions'!I200+"n/&gt;!=e"</f>
        <v>#VALUE!</v>
      </c>
      <c r="IL8" t="e">
        <f>'All regions'!J200+"n/&gt;!=f"</f>
        <v>#VALUE!</v>
      </c>
      <c r="IM8" t="e">
        <f>'All regions'!A201+"n/&gt;!=g"</f>
        <v>#VALUE!</v>
      </c>
      <c r="IN8" t="e">
        <f>'All regions'!B201+"n/&gt;!=h"</f>
        <v>#VALUE!</v>
      </c>
      <c r="IO8" t="e">
        <f>'All regions'!C201+"n/&gt;!=i"</f>
        <v>#VALUE!</v>
      </c>
      <c r="IP8" t="e">
        <f>'All regions'!D201+"n/&gt;!=j"</f>
        <v>#VALUE!</v>
      </c>
      <c r="IQ8" t="e">
        <f>'All regions'!E201+"n/&gt;!=k"</f>
        <v>#VALUE!</v>
      </c>
      <c r="IR8" t="e">
        <f>'All regions'!F201+"n/&gt;!=l"</f>
        <v>#VALUE!</v>
      </c>
      <c r="IS8" t="e">
        <f>'All regions'!G201+"n/&gt;!=m"</f>
        <v>#VALUE!</v>
      </c>
      <c r="IT8" t="e">
        <f>'All regions'!H201+"n/&gt;!=n"</f>
        <v>#VALUE!</v>
      </c>
      <c r="IU8" t="e">
        <f>'All regions'!I201+"n/&gt;!=o"</f>
        <v>#VALUE!</v>
      </c>
      <c r="IV8" t="e">
        <f>'All regions'!J201+"n/&gt;!=p"</f>
        <v>#VALUE!</v>
      </c>
    </row>
    <row r="9" spans="1:256" x14ac:dyDescent="0.35">
      <c r="F9" t="e">
        <f>'All regions'!A202+"n/&gt;!=q"</f>
        <v>#VALUE!</v>
      </c>
      <c r="G9" t="e">
        <f>'All regions'!B202+"n/&gt;!=r"</f>
        <v>#VALUE!</v>
      </c>
      <c r="H9" t="e">
        <f>'All regions'!C202+"n/&gt;!=s"</f>
        <v>#VALUE!</v>
      </c>
      <c r="I9" t="e">
        <f>'All regions'!D202+"n/&gt;!=t"</f>
        <v>#VALUE!</v>
      </c>
      <c r="J9" t="e">
        <f>'All regions'!E202+"n/&gt;!=u"</f>
        <v>#VALUE!</v>
      </c>
      <c r="K9" t="e">
        <f>'All regions'!F202+"n/&gt;!=v"</f>
        <v>#VALUE!</v>
      </c>
      <c r="L9" t="e">
        <f>'All regions'!G202+"n/&gt;!=w"</f>
        <v>#VALUE!</v>
      </c>
      <c r="M9" t="e">
        <f>'All regions'!H202+"n/&gt;!=x"</f>
        <v>#VALUE!</v>
      </c>
      <c r="N9" t="e">
        <f>'All regions'!I202+"n/&gt;!=y"</f>
        <v>#VALUE!</v>
      </c>
      <c r="O9" t="e">
        <f>'All regions'!J202+"n/&gt;!=z"</f>
        <v>#VALUE!</v>
      </c>
      <c r="P9" t="e">
        <f>'All regions'!A203+"n/&gt;!={"</f>
        <v>#VALUE!</v>
      </c>
      <c r="Q9" t="e">
        <f>'All regions'!B203+"n/&gt;!=|"</f>
        <v>#VALUE!</v>
      </c>
      <c r="R9" t="e">
        <f>'All regions'!C203+"n/&gt;!=}"</f>
        <v>#VALUE!</v>
      </c>
      <c r="S9" t="e">
        <f>'All regions'!D203+"n/&gt;!=~"</f>
        <v>#VALUE!</v>
      </c>
      <c r="T9" t="e">
        <f>'All regions'!E203+"n/&gt;!&gt;#"</f>
        <v>#VALUE!</v>
      </c>
      <c r="U9" t="e">
        <f>'All regions'!F203+"n/&gt;!&gt;$"</f>
        <v>#VALUE!</v>
      </c>
      <c r="V9" t="e">
        <f>'All regions'!G203+"n/&gt;!&gt;%"</f>
        <v>#VALUE!</v>
      </c>
      <c r="W9" t="e">
        <f>'All regions'!H203+"n/&gt;!&gt;&amp;"</f>
        <v>#VALUE!</v>
      </c>
      <c r="X9" t="e">
        <f>'All regions'!I203+"n/&gt;!&gt;'"</f>
        <v>#VALUE!</v>
      </c>
      <c r="Y9" t="e">
        <f>'All regions'!J203+"n/&gt;!&gt;("</f>
        <v>#VALUE!</v>
      </c>
      <c r="Z9" t="e">
        <f>'All regions'!A204+"n/&gt;!&gt;)"</f>
        <v>#VALUE!</v>
      </c>
      <c r="AA9" t="e">
        <f>'All regions'!B204+"n/&gt;!&gt;."</f>
        <v>#VALUE!</v>
      </c>
      <c r="AB9" t="e">
        <f>'All regions'!C204+"n/&gt;!&gt;/"</f>
        <v>#VALUE!</v>
      </c>
      <c r="AC9" t="e">
        <f>'All regions'!D204+"n/&gt;!&gt;0"</f>
        <v>#VALUE!</v>
      </c>
      <c r="AD9" t="e">
        <f>'All regions'!E204+"n/&gt;!&gt;1"</f>
        <v>#VALUE!</v>
      </c>
      <c r="AE9" t="e">
        <f>'All regions'!F204+"n/&gt;!&gt;2"</f>
        <v>#VALUE!</v>
      </c>
      <c r="AF9" t="e">
        <f>'All regions'!G204+"n/&gt;!&gt;3"</f>
        <v>#VALUE!</v>
      </c>
      <c r="AG9" t="e">
        <f>'All regions'!H204+"n/&gt;!&gt;4"</f>
        <v>#VALUE!</v>
      </c>
      <c r="AH9" t="e">
        <f>'All regions'!I204+"n/&gt;!&gt;5"</f>
        <v>#VALUE!</v>
      </c>
      <c r="AI9" t="e">
        <f>'All regions'!J204+"n/&gt;!&gt;6"</f>
        <v>#VALUE!</v>
      </c>
      <c r="AJ9" t="e">
        <f>'All regions'!A205+"n/&gt;!&gt;7"</f>
        <v>#VALUE!</v>
      </c>
      <c r="AK9" t="e">
        <f>'All regions'!B205+"n/&gt;!&gt;8"</f>
        <v>#VALUE!</v>
      </c>
      <c r="AL9" t="e">
        <f>'All regions'!C205+"n/&gt;!&gt;9"</f>
        <v>#VALUE!</v>
      </c>
      <c r="AM9" t="e">
        <f>'All regions'!D205+"n/&gt;!&gt;:"</f>
        <v>#VALUE!</v>
      </c>
      <c r="AN9" t="e">
        <f>'All regions'!E205+"n/&gt;!&gt;;"</f>
        <v>#VALUE!</v>
      </c>
      <c r="AO9" t="e">
        <f>'All regions'!F205+"n/&gt;!&gt;&lt;"</f>
        <v>#VALUE!</v>
      </c>
      <c r="AP9" t="e">
        <f>'All regions'!G205+"n/&gt;!&gt;="</f>
        <v>#VALUE!</v>
      </c>
      <c r="AQ9" t="e">
        <f>'All regions'!H205+"n/&gt;!&gt;&gt;"</f>
        <v>#VALUE!</v>
      </c>
      <c r="AR9" t="e">
        <f>'All regions'!I205+"n/&gt;!&gt;?"</f>
        <v>#VALUE!</v>
      </c>
      <c r="AS9" t="e">
        <f>'All regions'!J205+"n/&gt;!&gt;@"</f>
        <v>#VALUE!</v>
      </c>
      <c r="AT9" t="e">
        <f>'All regions'!A206+"n/&gt;!&gt;A"</f>
        <v>#VALUE!</v>
      </c>
      <c r="AU9" t="e">
        <f>'All regions'!B206+"n/&gt;!&gt;B"</f>
        <v>#VALUE!</v>
      </c>
      <c r="AV9" t="e">
        <f>'All regions'!C206+"n/&gt;!&gt;C"</f>
        <v>#VALUE!</v>
      </c>
      <c r="AW9" t="e">
        <f>'All regions'!D206+"n/&gt;!&gt;D"</f>
        <v>#VALUE!</v>
      </c>
      <c r="AX9" t="e">
        <f>'All regions'!E206+"n/&gt;!&gt;E"</f>
        <v>#VALUE!</v>
      </c>
      <c r="AY9" t="e">
        <f>'All regions'!F206+"n/&gt;!&gt;F"</f>
        <v>#VALUE!</v>
      </c>
      <c r="AZ9" t="e">
        <f>'All regions'!G206+"n/&gt;!&gt;G"</f>
        <v>#VALUE!</v>
      </c>
      <c r="BA9" t="e">
        <f>'All regions'!H206+"n/&gt;!&gt;H"</f>
        <v>#VALUE!</v>
      </c>
      <c r="BB9" t="e">
        <f>'All regions'!I206+"n/&gt;!&gt;I"</f>
        <v>#VALUE!</v>
      </c>
      <c r="BC9" t="e">
        <f>'All regions'!J206+"n/&gt;!&gt;J"</f>
        <v>#VALUE!</v>
      </c>
      <c r="BD9" t="e">
        <f>'All regions'!A207+"n/&gt;!&gt;K"</f>
        <v>#VALUE!</v>
      </c>
      <c r="BE9" t="e">
        <f>'All regions'!B207+"n/&gt;!&gt;L"</f>
        <v>#VALUE!</v>
      </c>
      <c r="BF9" t="e">
        <f>'All regions'!C207+"n/&gt;!&gt;M"</f>
        <v>#VALUE!</v>
      </c>
      <c r="BG9" t="e">
        <f>'All regions'!D207+"n/&gt;!&gt;N"</f>
        <v>#VALUE!</v>
      </c>
      <c r="BH9" t="e">
        <f>'All regions'!E207+"n/&gt;!&gt;O"</f>
        <v>#VALUE!</v>
      </c>
      <c r="BI9" t="e">
        <f>'All regions'!F207+"n/&gt;!&gt;P"</f>
        <v>#VALUE!</v>
      </c>
      <c r="BJ9" t="e">
        <f>'All regions'!G207+"n/&gt;!&gt;Q"</f>
        <v>#VALUE!</v>
      </c>
      <c r="BK9" t="e">
        <f>'All regions'!H207+"n/&gt;!&gt;R"</f>
        <v>#VALUE!</v>
      </c>
      <c r="BL9" t="e">
        <f>'All regions'!I207+"n/&gt;!&gt;S"</f>
        <v>#VALUE!</v>
      </c>
      <c r="BM9" t="e">
        <f>'All regions'!J207+"n/&gt;!&gt;T"</f>
        <v>#VALUE!</v>
      </c>
      <c r="BN9" t="e">
        <f>'All regions'!A208+"n/&gt;!&gt;U"</f>
        <v>#VALUE!</v>
      </c>
      <c r="BO9" t="e">
        <f>'All regions'!B208+"n/&gt;!&gt;V"</f>
        <v>#VALUE!</v>
      </c>
      <c r="BP9" t="e">
        <f>'All regions'!C208+"n/&gt;!&gt;W"</f>
        <v>#VALUE!</v>
      </c>
      <c r="BQ9" t="e">
        <f>'All regions'!D208+"n/&gt;!&gt;X"</f>
        <v>#VALUE!</v>
      </c>
      <c r="BR9" t="e">
        <f>'All regions'!E208+"n/&gt;!&gt;Y"</f>
        <v>#VALUE!</v>
      </c>
      <c r="BS9" t="e">
        <f>'All regions'!F208+"n/&gt;!&gt;Z"</f>
        <v>#VALUE!</v>
      </c>
      <c r="BT9" t="e">
        <f>'All regions'!G208+"n/&gt;!&gt;["</f>
        <v>#VALUE!</v>
      </c>
      <c r="BU9" t="e">
        <f>'All regions'!H208+"n/&gt;!&gt;\"</f>
        <v>#VALUE!</v>
      </c>
      <c r="BV9" t="e">
        <f>'All regions'!I208+"n/&gt;!&gt;]"</f>
        <v>#VALUE!</v>
      </c>
      <c r="BW9" t="e">
        <f>'All regions'!J208+"n/&gt;!&gt;^"</f>
        <v>#VALUE!</v>
      </c>
      <c r="BX9" t="e">
        <f>'All regions'!A209+"n/&gt;!&gt;_"</f>
        <v>#VALUE!</v>
      </c>
      <c r="BY9" t="e">
        <f>'All regions'!B209+"n/&gt;!&gt;`"</f>
        <v>#VALUE!</v>
      </c>
      <c r="BZ9" t="e">
        <f>'All regions'!C209+"n/&gt;!&gt;a"</f>
        <v>#VALUE!</v>
      </c>
      <c r="CA9" t="e">
        <f>'All regions'!D209+"n/&gt;!&gt;b"</f>
        <v>#VALUE!</v>
      </c>
      <c r="CB9" t="e">
        <f>'All regions'!E209+"n/&gt;!&gt;c"</f>
        <v>#VALUE!</v>
      </c>
      <c r="CC9" t="e">
        <f>'All regions'!F209+"n/&gt;!&gt;d"</f>
        <v>#VALUE!</v>
      </c>
      <c r="CD9" t="e">
        <f>'All regions'!G209+"n/&gt;!&gt;e"</f>
        <v>#VALUE!</v>
      </c>
      <c r="CE9" t="e">
        <f>'All regions'!H209+"n/&gt;!&gt;f"</f>
        <v>#VALUE!</v>
      </c>
      <c r="CF9" t="e">
        <f>'All regions'!I209+"n/&gt;!&gt;g"</f>
        <v>#VALUE!</v>
      </c>
      <c r="CG9" t="e">
        <f>'All regions'!J209+"n/&gt;!&gt;h"</f>
        <v>#VALUE!</v>
      </c>
      <c r="CH9" t="e">
        <f>'All regions'!A210+"n/&gt;!&gt;i"</f>
        <v>#VALUE!</v>
      </c>
      <c r="CI9" t="e">
        <f>'All regions'!B210+"n/&gt;!&gt;j"</f>
        <v>#VALUE!</v>
      </c>
      <c r="CJ9" t="e">
        <f>'All regions'!C210+"n/&gt;!&gt;k"</f>
        <v>#VALUE!</v>
      </c>
      <c r="CK9" t="e">
        <f>'All regions'!D210+"n/&gt;!&gt;l"</f>
        <v>#VALUE!</v>
      </c>
      <c r="CL9" t="e">
        <f>'All regions'!E210+"n/&gt;!&gt;m"</f>
        <v>#VALUE!</v>
      </c>
      <c r="CM9" t="e">
        <f>'All regions'!F210+"n/&gt;!&gt;n"</f>
        <v>#VALUE!</v>
      </c>
      <c r="CN9" t="e">
        <f>'All regions'!G210+"n/&gt;!&gt;o"</f>
        <v>#VALUE!</v>
      </c>
      <c r="CO9" t="e">
        <f>'All regions'!H210+"n/&gt;!&gt;p"</f>
        <v>#VALUE!</v>
      </c>
      <c r="CP9" t="e">
        <f>'All regions'!I210+"n/&gt;!&gt;q"</f>
        <v>#VALUE!</v>
      </c>
      <c r="CQ9" t="e">
        <f>'All regions'!J210+"n/&gt;!&gt;r"</f>
        <v>#VALUE!</v>
      </c>
      <c r="CR9" t="e">
        <f>'All regions'!A211+"n/&gt;!&gt;s"</f>
        <v>#VALUE!</v>
      </c>
      <c r="CS9" t="e">
        <f>'All regions'!B211+"n/&gt;!&gt;t"</f>
        <v>#VALUE!</v>
      </c>
      <c r="CT9" t="e">
        <f>'All regions'!C211+"n/&gt;!&gt;u"</f>
        <v>#VALUE!</v>
      </c>
      <c r="CU9" t="e">
        <f>'All regions'!D211+"n/&gt;!&gt;v"</f>
        <v>#VALUE!</v>
      </c>
      <c r="CV9" t="e">
        <f>'All regions'!E211+"n/&gt;!&gt;w"</f>
        <v>#VALUE!</v>
      </c>
      <c r="CW9" t="e">
        <f>'All regions'!F211+"n/&gt;!&gt;x"</f>
        <v>#VALUE!</v>
      </c>
      <c r="CX9" t="e">
        <f>'All regions'!G211+"n/&gt;!&gt;y"</f>
        <v>#VALUE!</v>
      </c>
      <c r="CY9" t="e">
        <f>'All regions'!H211+"n/&gt;!&gt;z"</f>
        <v>#VALUE!</v>
      </c>
      <c r="CZ9" t="e">
        <f>'All regions'!I211+"n/&gt;!&gt;{"</f>
        <v>#VALUE!</v>
      </c>
      <c r="DA9" t="e">
        <f>'All regions'!J211+"n/&gt;!&gt;|"</f>
        <v>#VALUE!</v>
      </c>
      <c r="DB9" t="e">
        <f>'All regions'!A212+"n/&gt;!&gt;}"</f>
        <v>#VALUE!</v>
      </c>
      <c r="DC9" t="e">
        <f>'All regions'!B212+"n/&gt;!&gt;~"</f>
        <v>#VALUE!</v>
      </c>
      <c r="DD9" t="e">
        <f>'All regions'!C212+"n/&gt;!?#"</f>
        <v>#VALUE!</v>
      </c>
      <c r="DE9" t="e">
        <f>'All regions'!D212+"n/&gt;!?$"</f>
        <v>#VALUE!</v>
      </c>
      <c r="DF9" t="e">
        <f>'All regions'!E212+"n/&gt;!?%"</f>
        <v>#VALUE!</v>
      </c>
      <c r="DG9" t="e">
        <f>'All regions'!F212+"n/&gt;!?&amp;"</f>
        <v>#VALUE!</v>
      </c>
      <c r="DH9" t="e">
        <f>'All regions'!G212+"n/&gt;!?'"</f>
        <v>#VALUE!</v>
      </c>
      <c r="DI9" t="e">
        <f>'All regions'!H212+"n/&gt;!?("</f>
        <v>#VALUE!</v>
      </c>
      <c r="DJ9" t="e">
        <f>'All regions'!I212+"n/&gt;!?)"</f>
        <v>#VALUE!</v>
      </c>
      <c r="DK9" t="e">
        <f>'All regions'!J212+"n/&gt;!?."</f>
        <v>#VALUE!</v>
      </c>
      <c r="DL9" t="e">
        <f>'All regions'!A213+"n/&gt;!?/"</f>
        <v>#VALUE!</v>
      </c>
      <c r="DM9" t="e">
        <f>'All regions'!B213+"n/&gt;!?0"</f>
        <v>#VALUE!</v>
      </c>
      <c r="DN9" t="e">
        <f>'All regions'!C213+"n/&gt;!?1"</f>
        <v>#VALUE!</v>
      </c>
      <c r="DO9" t="e">
        <f>'All regions'!D213+"n/&gt;!?2"</f>
        <v>#VALUE!</v>
      </c>
      <c r="DP9" t="e">
        <f>'All regions'!E213+"n/&gt;!?3"</f>
        <v>#VALUE!</v>
      </c>
      <c r="DQ9" t="e">
        <f>'All regions'!F213+"n/&gt;!?4"</f>
        <v>#VALUE!</v>
      </c>
      <c r="DR9" t="e">
        <f>'All regions'!G213+"n/&gt;!?5"</f>
        <v>#VALUE!</v>
      </c>
      <c r="DS9" t="e">
        <f>'All regions'!H213+"n/&gt;!?6"</f>
        <v>#VALUE!</v>
      </c>
      <c r="DT9" t="e">
        <f>'All regions'!I213+"n/&gt;!?7"</f>
        <v>#VALUE!</v>
      </c>
      <c r="DU9" t="e">
        <f>'All regions'!J213+"n/&gt;!?8"</f>
        <v>#VALUE!</v>
      </c>
      <c r="DV9" t="e">
        <f>'All regions'!A214+"n/&gt;!?9"</f>
        <v>#VALUE!</v>
      </c>
      <c r="DW9" t="e">
        <f>'All regions'!B214+"n/&gt;!?:"</f>
        <v>#VALUE!</v>
      </c>
      <c r="DX9" t="e">
        <f>'All regions'!C214+"n/&gt;!?;"</f>
        <v>#VALUE!</v>
      </c>
      <c r="DY9" t="e">
        <f>'All regions'!D214+"n/&gt;!?&lt;"</f>
        <v>#VALUE!</v>
      </c>
      <c r="DZ9" t="e">
        <f>'All regions'!E214+"n/&gt;!?="</f>
        <v>#VALUE!</v>
      </c>
      <c r="EA9" t="e">
        <f>'All regions'!F214+"n/&gt;!?&gt;"</f>
        <v>#VALUE!</v>
      </c>
      <c r="EB9" t="e">
        <f>'All regions'!G214+"n/&gt;!??"</f>
        <v>#VALUE!</v>
      </c>
      <c r="EC9" t="e">
        <f>'All regions'!H214+"n/&gt;!?@"</f>
        <v>#VALUE!</v>
      </c>
      <c r="ED9" t="e">
        <f>'All regions'!I214+"n/&gt;!?A"</f>
        <v>#VALUE!</v>
      </c>
      <c r="EE9" t="e">
        <f>'All regions'!J214+"n/&gt;!?B"</f>
        <v>#VALUE!</v>
      </c>
      <c r="EF9" t="e">
        <f>'All regions'!A215+"n/&gt;!?C"</f>
        <v>#VALUE!</v>
      </c>
      <c r="EG9" t="e">
        <f>'All regions'!B215+"n/&gt;!?D"</f>
        <v>#VALUE!</v>
      </c>
      <c r="EH9" t="e">
        <f>'All regions'!C215+"n/&gt;!?E"</f>
        <v>#VALUE!</v>
      </c>
      <c r="EI9" t="e">
        <f>'All regions'!D215+"n/&gt;!?F"</f>
        <v>#VALUE!</v>
      </c>
      <c r="EJ9" t="e">
        <f>'All regions'!E215+"n/&gt;!?G"</f>
        <v>#VALUE!</v>
      </c>
      <c r="EK9" t="e">
        <f>'All regions'!F215+"n/&gt;!?H"</f>
        <v>#VALUE!</v>
      </c>
      <c r="EL9" t="e">
        <f>'All regions'!G215+"n/&gt;!?I"</f>
        <v>#VALUE!</v>
      </c>
      <c r="EM9" t="e">
        <f>'All regions'!H215+"n/&gt;!?J"</f>
        <v>#VALUE!</v>
      </c>
      <c r="EN9" t="e">
        <f>'All regions'!I215+"n/&gt;!?K"</f>
        <v>#VALUE!</v>
      </c>
      <c r="EO9" t="e">
        <f>'All regions'!J215+"n/&gt;!?L"</f>
        <v>#VALUE!</v>
      </c>
      <c r="EP9" t="e">
        <f>'All regions'!A216+"n/&gt;!?M"</f>
        <v>#VALUE!</v>
      </c>
      <c r="EQ9" t="e">
        <f>'All regions'!B216+"n/&gt;!?N"</f>
        <v>#VALUE!</v>
      </c>
      <c r="ER9" t="e">
        <f>'All regions'!C216+"n/&gt;!?O"</f>
        <v>#VALUE!</v>
      </c>
      <c r="ES9" t="e">
        <f>'All regions'!D216+"n/&gt;!?P"</f>
        <v>#VALUE!</v>
      </c>
      <c r="ET9" t="e">
        <f>'All regions'!E216+"n/&gt;!?Q"</f>
        <v>#VALUE!</v>
      </c>
      <c r="EU9" t="e">
        <f>'All regions'!F216+"n/&gt;!?R"</f>
        <v>#VALUE!</v>
      </c>
      <c r="EV9" t="e">
        <f>'All regions'!G216+"n/&gt;!?S"</f>
        <v>#VALUE!</v>
      </c>
      <c r="EW9" t="e">
        <f>'All regions'!H216+"n/&gt;!?T"</f>
        <v>#VALUE!</v>
      </c>
      <c r="EX9" t="e">
        <f>'All regions'!I216+"n/&gt;!?U"</f>
        <v>#VALUE!</v>
      </c>
      <c r="EY9" t="e">
        <f>'All regions'!J216+"n/&gt;!?V"</f>
        <v>#VALUE!</v>
      </c>
      <c r="EZ9" t="e">
        <f>'All regions'!A217+"n/&gt;!?W"</f>
        <v>#VALUE!</v>
      </c>
      <c r="FA9" t="e">
        <f>'All regions'!B217+"n/&gt;!?X"</f>
        <v>#VALUE!</v>
      </c>
      <c r="FB9" t="e">
        <f>'All regions'!C217+"n/&gt;!?Y"</f>
        <v>#VALUE!</v>
      </c>
      <c r="FC9" t="e">
        <f>'All regions'!D217+"n/&gt;!?Z"</f>
        <v>#VALUE!</v>
      </c>
      <c r="FD9" t="e">
        <f>'All regions'!E217+"n/&gt;!?["</f>
        <v>#VALUE!</v>
      </c>
      <c r="FE9" t="e">
        <f>'All regions'!F217+"n/&gt;!?\"</f>
        <v>#VALUE!</v>
      </c>
      <c r="FF9" t="e">
        <f>'All regions'!G217+"n/&gt;!?]"</f>
        <v>#VALUE!</v>
      </c>
      <c r="FG9" t="e">
        <f>'All regions'!H217+"n/&gt;!?^"</f>
        <v>#VALUE!</v>
      </c>
      <c r="FH9" t="e">
        <f>'All regions'!I217+"n/&gt;!?_"</f>
        <v>#VALUE!</v>
      </c>
      <c r="FI9" t="e">
        <f>'All regions'!J217+"n/&gt;!?`"</f>
        <v>#VALUE!</v>
      </c>
      <c r="FJ9" t="e">
        <f>'All regions'!A218+"n/&gt;!?a"</f>
        <v>#VALUE!</v>
      </c>
      <c r="FK9" t="e">
        <f>'All regions'!B218+"n/&gt;!?b"</f>
        <v>#VALUE!</v>
      </c>
      <c r="FL9" t="e">
        <f>'All regions'!C218+"n/&gt;!?c"</f>
        <v>#VALUE!</v>
      </c>
      <c r="FM9" t="e">
        <f>'All regions'!D218+"n/&gt;!?d"</f>
        <v>#VALUE!</v>
      </c>
      <c r="FN9" t="e">
        <f>'All regions'!E218+"n/&gt;!?e"</f>
        <v>#VALUE!</v>
      </c>
      <c r="FO9" t="e">
        <f>'All regions'!F218+"n/&gt;!?f"</f>
        <v>#VALUE!</v>
      </c>
      <c r="FP9" t="e">
        <f>'All regions'!G218+"n/&gt;!?g"</f>
        <v>#VALUE!</v>
      </c>
      <c r="FQ9" t="e">
        <f>'All regions'!H218+"n/&gt;!?h"</f>
        <v>#VALUE!</v>
      </c>
      <c r="FR9" t="e">
        <f>'All regions'!I218+"n/&gt;!?i"</f>
        <v>#VALUE!</v>
      </c>
      <c r="FS9" t="e">
        <f>'All regions'!J218+"n/&gt;!?j"</f>
        <v>#VALUE!</v>
      </c>
      <c r="FT9" t="e">
        <f>'All regions'!A219+"n/&gt;!?k"</f>
        <v>#VALUE!</v>
      </c>
      <c r="FU9" t="e">
        <f>'All regions'!B219+"n/&gt;!?l"</f>
        <v>#VALUE!</v>
      </c>
      <c r="FV9" t="e">
        <f>'All regions'!C219+"n/&gt;!?m"</f>
        <v>#VALUE!</v>
      </c>
      <c r="FW9" t="e">
        <f>'All regions'!D219+"n/&gt;!?n"</f>
        <v>#VALUE!</v>
      </c>
      <c r="FX9" t="e">
        <f>'All regions'!E219+"n/&gt;!?o"</f>
        <v>#VALUE!</v>
      </c>
      <c r="FY9" t="e">
        <f>'All regions'!F219+"n/&gt;!?p"</f>
        <v>#VALUE!</v>
      </c>
      <c r="FZ9" t="e">
        <f>'All regions'!G219+"n/&gt;!?q"</f>
        <v>#VALUE!</v>
      </c>
      <c r="GA9" t="e">
        <f>'All regions'!H219+"n/&gt;!?r"</f>
        <v>#VALUE!</v>
      </c>
      <c r="GB9" t="e">
        <f>'All regions'!I219+"n/&gt;!?s"</f>
        <v>#VALUE!</v>
      </c>
      <c r="GC9" t="e">
        <f>'All regions'!J219+"n/&gt;!?t"</f>
        <v>#VALUE!</v>
      </c>
      <c r="GD9" t="e">
        <f>'All regions'!A220+"n/&gt;!?u"</f>
        <v>#VALUE!</v>
      </c>
      <c r="GE9" t="e">
        <f>'All regions'!B220+"n/&gt;!?v"</f>
        <v>#VALUE!</v>
      </c>
      <c r="GF9" t="e">
        <f>'All regions'!C220+"n/&gt;!?w"</f>
        <v>#VALUE!</v>
      </c>
      <c r="GG9" t="e">
        <f>'All regions'!D220+"n/&gt;!?x"</f>
        <v>#VALUE!</v>
      </c>
      <c r="GH9" t="e">
        <f>'All regions'!E220+"n/&gt;!?y"</f>
        <v>#VALUE!</v>
      </c>
      <c r="GI9" t="e">
        <f>'All regions'!F220+"n/&gt;!?z"</f>
        <v>#VALUE!</v>
      </c>
      <c r="GJ9" t="e">
        <f>'All regions'!G220+"n/&gt;!?{"</f>
        <v>#VALUE!</v>
      </c>
      <c r="GK9" t="e">
        <f>'All regions'!H220+"n/&gt;!?|"</f>
        <v>#VALUE!</v>
      </c>
      <c r="GL9" t="e">
        <f>'All regions'!I220+"n/&gt;!?}"</f>
        <v>#VALUE!</v>
      </c>
      <c r="GM9" t="e">
        <f>'All regions'!J220+"n/&gt;!?~"</f>
        <v>#VALUE!</v>
      </c>
      <c r="GN9" t="e">
        <f>'All regions'!A221+"n/&gt;!@#"</f>
        <v>#VALUE!</v>
      </c>
      <c r="GO9" t="e">
        <f>'All regions'!B221+"n/&gt;!@$"</f>
        <v>#VALUE!</v>
      </c>
      <c r="GP9" t="e">
        <f>'All regions'!C221+"n/&gt;!@%"</f>
        <v>#VALUE!</v>
      </c>
      <c r="GQ9" t="e">
        <f>'All regions'!D221+"n/&gt;!@&amp;"</f>
        <v>#VALUE!</v>
      </c>
      <c r="GR9" t="e">
        <f>'All regions'!E221+"n/&gt;!@'"</f>
        <v>#VALUE!</v>
      </c>
      <c r="GS9" t="e">
        <f>'All regions'!F221+"n/&gt;!@("</f>
        <v>#VALUE!</v>
      </c>
      <c r="GT9" t="e">
        <f>'All regions'!G221+"n/&gt;!@)"</f>
        <v>#VALUE!</v>
      </c>
      <c r="GU9" t="e">
        <f>'All regions'!H221+"n/&gt;!@."</f>
        <v>#VALUE!</v>
      </c>
      <c r="GV9" t="e">
        <f>'All regions'!I221+"n/&gt;!@/"</f>
        <v>#VALUE!</v>
      </c>
      <c r="GW9" t="e">
        <f>'All regions'!J221+"n/&gt;!@0"</f>
        <v>#VALUE!</v>
      </c>
      <c r="GX9" t="e">
        <f>'All regions'!A222+"n/&gt;!@1"</f>
        <v>#VALUE!</v>
      </c>
      <c r="GY9" t="e">
        <f>'All regions'!B222+"n/&gt;!@2"</f>
        <v>#VALUE!</v>
      </c>
      <c r="GZ9" t="e">
        <f>'All regions'!C222+"n/&gt;!@3"</f>
        <v>#VALUE!</v>
      </c>
      <c r="HA9" t="e">
        <f>'All regions'!D222+"n/&gt;!@4"</f>
        <v>#VALUE!</v>
      </c>
      <c r="HB9" t="e">
        <f>'All regions'!E222+"n/&gt;!@5"</f>
        <v>#VALUE!</v>
      </c>
      <c r="HC9" t="e">
        <f>'All regions'!F222+"n/&gt;!@6"</f>
        <v>#VALUE!</v>
      </c>
      <c r="HD9" t="e">
        <f>'All regions'!G222+"n/&gt;!@7"</f>
        <v>#VALUE!</v>
      </c>
      <c r="HE9" t="e">
        <f>'All regions'!H222+"n/&gt;!@8"</f>
        <v>#VALUE!</v>
      </c>
      <c r="HF9" t="e">
        <f>'All regions'!I222+"n/&gt;!@9"</f>
        <v>#VALUE!</v>
      </c>
      <c r="HG9" t="e">
        <f>'All regions'!J222+"n/&gt;!@:"</f>
        <v>#VALUE!</v>
      </c>
      <c r="HH9" t="e">
        <f>'All regions'!A223+"n/&gt;!@;"</f>
        <v>#VALUE!</v>
      </c>
      <c r="HI9" t="e">
        <f>'All regions'!B223+"n/&gt;!@&lt;"</f>
        <v>#VALUE!</v>
      </c>
      <c r="HJ9" t="e">
        <f>'All regions'!C223+"n/&gt;!@="</f>
        <v>#VALUE!</v>
      </c>
      <c r="HK9" t="e">
        <f>'All regions'!D223+"n/&gt;!@&gt;"</f>
        <v>#VALUE!</v>
      </c>
      <c r="HL9" t="e">
        <f>'All regions'!E223+"n/&gt;!@?"</f>
        <v>#VALUE!</v>
      </c>
      <c r="HM9" t="e">
        <f>'All regions'!F223+"n/&gt;!@@"</f>
        <v>#VALUE!</v>
      </c>
      <c r="HN9" t="e">
        <f>'All regions'!G223+"n/&gt;!@A"</f>
        <v>#VALUE!</v>
      </c>
      <c r="HO9" t="e">
        <f>'All regions'!H223+"n/&gt;!@B"</f>
        <v>#VALUE!</v>
      </c>
      <c r="HP9" t="e">
        <f>'All regions'!I223+"n/&gt;!@C"</f>
        <v>#VALUE!</v>
      </c>
      <c r="HQ9" t="e">
        <f>'All regions'!J223+"n/&gt;!@D"</f>
        <v>#VALUE!</v>
      </c>
      <c r="HR9" t="e">
        <f>'All regions'!A224+"n/&gt;!@E"</f>
        <v>#VALUE!</v>
      </c>
      <c r="HS9" t="e">
        <f>'All regions'!B224+"n/&gt;!@F"</f>
        <v>#VALUE!</v>
      </c>
      <c r="HT9" t="e">
        <f>'All regions'!C224+"n/&gt;!@G"</f>
        <v>#VALUE!</v>
      </c>
      <c r="HU9" t="e">
        <f>'All regions'!D224+"n/&gt;!@H"</f>
        <v>#VALUE!</v>
      </c>
      <c r="HV9" t="e">
        <f>'All regions'!E224+"n/&gt;!@I"</f>
        <v>#VALUE!</v>
      </c>
      <c r="HW9" t="e">
        <f>'All regions'!F224+"n/&gt;!@J"</f>
        <v>#VALUE!</v>
      </c>
      <c r="HX9" t="e">
        <f>'All regions'!G224+"n/&gt;!@K"</f>
        <v>#VALUE!</v>
      </c>
      <c r="HY9" t="e">
        <f>'All regions'!H224+"n/&gt;!@L"</f>
        <v>#VALUE!</v>
      </c>
      <c r="HZ9" t="e">
        <f>'All regions'!I224+"n/&gt;!@M"</f>
        <v>#VALUE!</v>
      </c>
      <c r="IA9" t="e">
        <f>'All regions'!J224+"n/&gt;!@N"</f>
        <v>#VALUE!</v>
      </c>
      <c r="IB9" t="e">
        <f>'All regions'!A225+"n/&gt;!@O"</f>
        <v>#VALUE!</v>
      </c>
      <c r="IC9" t="e">
        <f>'All regions'!B225+"n/&gt;!@P"</f>
        <v>#VALUE!</v>
      </c>
      <c r="ID9" t="e">
        <f>'All regions'!C225+"n/&gt;!@Q"</f>
        <v>#VALUE!</v>
      </c>
      <c r="IE9" t="e">
        <f>'All regions'!D225+"n/&gt;!@R"</f>
        <v>#VALUE!</v>
      </c>
      <c r="IF9" t="e">
        <f>'All regions'!E225+"n/&gt;!@S"</f>
        <v>#VALUE!</v>
      </c>
      <c r="IG9" t="e">
        <f>'All regions'!F225+"n/&gt;!@T"</f>
        <v>#VALUE!</v>
      </c>
      <c r="IH9" t="e">
        <f>'All regions'!G225+"n/&gt;!@U"</f>
        <v>#VALUE!</v>
      </c>
      <c r="II9" t="e">
        <f>'All regions'!H225+"n/&gt;!@V"</f>
        <v>#VALUE!</v>
      </c>
      <c r="IJ9" t="e">
        <f>'All regions'!I225+"n/&gt;!@W"</f>
        <v>#VALUE!</v>
      </c>
      <c r="IK9" t="e">
        <f>'All regions'!J225+"n/&gt;!@X"</f>
        <v>#VALUE!</v>
      </c>
      <c r="IL9" t="e">
        <f>'All regions'!A226+"n/&gt;!@Y"</f>
        <v>#VALUE!</v>
      </c>
      <c r="IM9" t="e">
        <f>'All regions'!B226+"n/&gt;!@Z"</f>
        <v>#VALUE!</v>
      </c>
      <c r="IN9" t="e">
        <f>'All regions'!C226+"n/&gt;!@["</f>
        <v>#VALUE!</v>
      </c>
      <c r="IO9" t="e">
        <f>'All regions'!D226+"n/&gt;!@\"</f>
        <v>#VALUE!</v>
      </c>
      <c r="IP9" t="e">
        <f>'All regions'!E226+"n/&gt;!@]"</f>
        <v>#VALUE!</v>
      </c>
      <c r="IQ9" t="e">
        <f>'All regions'!F226+"n/&gt;!@^"</f>
        <v>#VALUE!</v>
      </c>
      <c r="IR9" t="e">
        <f>'All regions'!G226+"n/&gt;!@_"</f>
        <v>#VALUE!</v>
      </c>
      <c r="IS9" t="e">
        <f>'All regions'!H226+"n/&gt;!@`"</f>
        <v>#VALUE!</v>
      </c>
      <c r="IT9" t="e">
        <f>'All regions'!I226+"n/&gt;!@a"</f>
        <v>#VALUE!</v>
      </c>
      <c r="IU9" t="e">
        <f>'All regions'!J226+"n/&gt;!@b"</f>
        <v>#VALUE!</v>
      </c>
      <c r="IV9" t="e">
        <f>'All regions'!A227+"n/&gt;!@c"</f>
        <v>#VALUE!</v>
      </c>
    </row>
    <row r="10" spans="1:256" x14ac:dyDescent="0.35">
      <c r="F10" t="e">
        <f>'All regions'!B227+"n/&gt;!@d"</f>
        <v>#VALUE!</v>
      </c>
      <c r="G10" t="e">
        <f>'All regions'!C227+"n/&gt;!@e"</f>
        <v>#VALUE!</v>
      </c>
      <c r="H10" t="e">
        <f>'All regions'!D227+"n/&gt;!@f"</f>
        <v>#VALUE!</v>
      </c>
      <c r="I10" t="e">
        <f>'All regions'!E227+"n/&gt;!@g"</f>
        <v>#VALUE!</v>
      </c>
      <c r="J10" t="e">
        <f>'All regions'!F227+"n/&gt;!@h"</f>
        <v>#VALUE!</v>
      </c>
      <c r="K10" t="e">
        <f>'All regions'!G227+"n/&gt;!@i"</f>
        <v>#VALUE!</v>
      </c>
      <c r="L10" t="e">
        <f>'All regions'!H227+"n/&gt;!@j"</f>
        <v>#VALUE!</v>
      </c>
      <c r="M10" t="e">
        <f>'All regions'!I227+"n/&gt;!@k"</f>
        <v>#VALUE!</v>
      </c>
      <c r="N10" t="e">
        <f>'All regions'!J227+"n/&gt;!@l"</f>
        <v>#VALUE!</v>
      </c>
      <c r="O10" t="e">
        <f>'All regions'!A228+"n/&gt;!@m"</f>
        <v>#VALUE!</v>
      </c>
      <c r="P10" t="e">
        <f>'All regions'!B228+"n/&gt;!@n"</f>
        <v>#VALUE!</v>
      </c>
      <c r="Q10" t="e">
        <f>'All regions'!C228+"n/&gt;!@o"</f>
        <v>#VALUE!</v>
      </c>
      <c r="R10" t="e">
        <f>'All regions'!D228+"n/&gt;!@p"</f>
        <v>#VALUE!</v>
      </c>
      <c r="S10" t="e">
        <f>'All regions'!E228+"n/&gt;!@q"</f>
        <v>#VALUE!</v>
      </c>
      <c r="T10" t="e">
        <f>'All regions'!F228+"n/&gt;!@r"</f>
        <v>#VALUE!</v>
      </c>
      <c r="U10" t="e">
        <f>'All regions'!G228+"n/&gt;!@s"</f>
        <v>#VALUE!</v>
      </c>
      <c r="V10" t="e">
        <f>'All regions'!H228+"n/&gt;!@t"</f>
        <v>#VALUE!</v>
      </c>
      <c r="W10" t="e">
        <f>'All regions'!I228+"n/&gt;!@u"</f>
        <v>#VALUE!</v>
      </c>
      <c r="X10" t="e">
        <f>'All regions'!J228+"n/&gt;!@v"</f>
        <v>#VALUE!</v>
      </c>
      <c r="Y10" t="e">
        <f>'All regions'!A229+"n/&gt;!@w"</f>
        <v>#VALUE!</v>
      </c>
      <c r="Z10" t="e">
        <f>'All regions'!B229+"n/&gt;!@x"</f>
        <v>#VALUE!</v>
      </c>
      <c r="AA10" t="e">
        <f>'All regions'!C229+"n/&gt;!@y"</f>
        <v>#VALUE!</v>
      </c>
      <c r="AB10" t="e">
        <f>'All regions'!D229+"n/&gt;!@z"</f>
        <v>#VALUE!</v>
      </c>
      <c r="AC10" t="e">
        <f>'All regions'!E229+"n/&gt;!@{"</f>
        <v>#VALUE!</v>
      </c>
      <c r="AD10" t="e">
        <f>'All regions'!F229+"n/&gt;!@|"</f>
        <v>#VALUE!</v>
      </c>
      <c r="AE10" t="e">
        <f>'All regions'!G229+"n/&gt;!@}"</f>
        <v>#VALUE!</v>
      </c>
      <c r="AF10" t="e">
        <f>'All regions'!H229+"n/&gt;!@~"</f>
        <v>#VALUE!</v>
      </c>
      <c r="AG10" t="e">
        <f>'All regions'!I229+"n/&gt;!A#"</f>
        <v>#VALUE!</v>
      </c>
      <c r="AH10" t="e">
        <f>'All regions'!J229+"n/&gt;!A$"</f>
        <v>#VALUE!</v>
      </c>
      <c r="AI10" t="e">
        <f>'All regions'!A230+"n/&gt;!A%"</f>
        <v>#VALUE!</v>
      </c>
      <c r="AJ10" t="e">
        <f>'All regions'!B230+"n/&gt;!A&amp;"</f>
        <v>#VALUE!</v>
      </c>
      <c r="AK10" t="e">
        <f>'All regions'!C230+"n/&gt;!A'"</f>
        <v>#VALUE!</v>
      </c>
      <c r="AL10" t="e">
        <f>'All regions'!D230+"n/&gt;!A("</f>
        <v>#VALUE!</v>
      </c>
      <c r="AM10" t="e">
        <f>'All regions'!E230+"n/&gt;!A)"</f>
        <v>#VALUE!</v>
      </c>
      <c r="AN10" t="e">
        <f>'All regions'!F230+"n/&gt;!A."</f>
        <v>#VALUE!</v>
      </c>
      <c r="AO10" t="e">
        <f>'All regions'!G230+"n/&gt;!A/"</f>
        <v>#VALUE!</v>
      </c>
      <c r="AP10" t="e">
        <f>'All regions'!H230+"n/&gt;!A0"</f>
        <v>#VALUE!</v>
      </c>
      <c r="AQ10" t="e">
        <f>'All regions'!I230+"n/&gt;!A1"</f>
        <v>#VALUE!</v>
      </c>
      <c r="AR10" t="e">
        <f>'All regions'!J230+"n/&gt;!A2"</f>
        <v>#VALUE!</v>
      </c>
      <c r="AS10" t="e">
        <f>'All regions'!A231+"n/&gt;!A3"</f>
        <v>#VALUE!</v>
      </c>
      <c r="AT10" t="e">
        <f>'All regions'!B231+"n/&gt;!A4"</f>
        <v>#VALUE!</v>
      </c>
      <c r="AU10" t="e">
        <f>'All regions'!C231+"n/&gt;!A5"</f>
        <v>#VALUE!</v>
      </c>
      <c r="AV10" t="e">
        <f>'All regions'!D231+"n/&gt;!A6"</f>
        <v>#VALUE!</v>
      </c>
      <c r="AW10" t="e">
        <f>'All regions'!E231+"n/&gt;!A7"</f>
        <v>#VALUE!</v>
      </c>
      <c r="AX10" t="e">
        <f>'All regions'!F231+"n/&gt;!A8"</f>
        <v>#VALUE!</v>
      </c>
      <c r="AY10" t="e">
        <f>'All regions'!G231+"n/&gt;!A9"</f>
        <v>#VALUE!</v>
      </c>
      <c r="AZ10" t="e">
        <f>'All regions'!H231+"n/&gt;!A:"</f>
        <v>#VALUE!</v>
      </c>
      <c r="BA10" t="e">
        <f>'All regions'!I231+"n/&gt;!A;"</f>
        <v>#VALUE!</v>
      </c>
      <c r="BB10" t="e">
        <f>'All regions'!J231+"n/&gt;!A&lt;"</f>
        <v>#VALUE!</v>
      </c>
      <c r="BC10" t="e">
        <f>'All regions'!A232+"n/&gt;!A="</f>
        <v>#VALUE!</v>
      </c>
      <c r="BD10" t="e">
        <f>'All regions'!B232+"n/&gt;!A&gt;"</f>
        <v>#VALUE!</v>
      </c>
      <c r="BE10" t="e">
        <f>'All regions'!C232+"n/&gt;!A?"</f>
        <v>#VALUE!</v>
      </c>
      <c r="BF10" t="e">
        <f>'All regions'!D232+"n/&gt;!A@"</f>
        <v>#VALUE!</v>
      </c>
      <c r="BG10" t="e">
        <f>'All regions'!E232+"n/&gt;!AA"</f>
        <v>#VALUE!</v>
      </c>
      <c r="BH10" t="e">
        <f>'All regions'!F232+"n/&gt;!AB"</f>
        <v>#VALUE!</v>
      </c>
      <c r="BI10" t="e">
        <f>'All regions'!G232+"n/&gt;!AC"</f>
        <v>#VALUE!</v>
      </c>
      <c r="BJ10" t="e">
        <f>'All regions'!H232+"n/&gt;!AD"</f>
        <v>#VALUE!</v>
      </c>
      <c r="BK10" t="e">
        <f>'All regions'!I232+"n/&gt;!AE"</f>
        <v>#VALUE!</v>
      </c>
      <c r="BL10" t="e">
        <f>'All regions'!J232+"n/&gt;!AF"</f>
        <v>#VALUE!</v>
      </c>
      <c r="BM10" t="e">
        <f>'All regions'!A233+"n/&gt;!AG"</f>
        <v>#VALUE!</v>
      </c>
      <c r="BN10" t="e">
        <f>'All regions'!B233+"n/&gt;!AH"</f>
        <v>#VALUE!</v>
      </c>
      <c r="BO10" t="e">
        <f>'All regions'!C233+"n/&gt;!AI"</f>
        <v>#VALUE!</v>
      </c>
      <c r="BP10" t="e">
        <f>'All regions'!D233+"n/&gt;!AJ"</f>
        <v>#VALUE!</v>
      </c>
      <c r="BQ10" t="e">
        <f>'All regions'!E233+"n/&gt;!AK"</f>
        <v>#VALUE!</v>
      </c>
      <c r="BR10" t="e">
        <f>'All regions'!F233+"n/&gt;!AL"</f>
        <v>#VALUE!</v>
      </c>
      <c r="BS10" t="e">
        <f>'All regions'!G233+"n/&gt;!AM"</f>
        <v>#VALUE!</v>
      </c>
      <c r="BT10" t="e">
        <f>'All regions'!H233+"n/&gt;!AN"</f>
        <v>#VALUE!</v>
      </c>
      <c r="BU10" t="e">
        <f>'All regions'!I233+"n/&gt;!AO"</f>
        <v>#VALUE!</v>
      </c>
      <c r="BV10" t="e">
        <f>'All regions'!J233+"n/&gt;!AP"</f>
        <v>#VALUE!</v>
      </c>
      <c r="BW10" t="e">
        <f>'All regions'!A234+"n/&gt;!AQ"</f>
        <v>#VALUE!</v>
      </c>
      <c r="BX10" t="e">
        <f>'All regions'!B234+"n/&gt;!AR"</f>
        <v>#VALUE!</v>
      </c>
      <c r="BY10" t="e">
        <f>'All regions'!C234+"n/&gt;!AS"</f>
        <v>#VALUE!</v>
      </c>
      <c r="BZ10" t="e">
        <f>'All regions'!D234+"n/&gt;!AT"</f>
        <v>#VALUE!</v>
      </c>
      <c r="CA10" t="e">
        <f>'All regions'!E234+"n/&gt;!AU"</f>
        <v>#VALUE!</v>
      </c>
      <c r="CB10" t="e">
        <f>'All regions'!F234+"n/&gt;!AV"</f>
        <v>#VALUE!</v>
      </c>
      <c r="CC10" t="e">
        <f>'All regions'!G234+"n/&gt;!AW"</f>
        <v>#VALUE!</v>
      </c>
      <c r="CD10" t="e">
        <f>'All regions'!H234+"n/&gt;!AX"</f>
        <v>#VALUE!</v>
      </c>
      <c r="CE10" t="e">
        <f>'All regions'!I234+"n/&gt;!AY"</f>
        <v>#VALUE!</v>
      </c>
      <c r="CF10" t="e">
        <f>'All regions'!J234+"n/&gt;!AZ"</f>
        <v>#VALUE!</v>
      </c>
      <c r="CG10" t="e">
        <f>'All regions'!A235+"n/&gt;!A["</f>
        <v>#VALUE!</v>
      </c>
      <c r="CH10" t="e">
        <f>'All regions'!B235+"n/&gt;!A\"</f>
        <v>#VALUE!</v>
      </c>
      <c r="CI10" t="e">
        <f>'All regions'!C235+"n/&gt;!A]"</f>
        <v>#VALUE!</v>
      </c>
      <c r="CJ10" t="e">
        <f>'All regions'!D235+"n/&gt;!A^"</f>
        <v>#VALUE!</v>
      </c>
      <c r="CK10" t="e">
        <f>'All regions'!E235+"n/&gt;!A_"</f>
        <v>#VALUE!</v>
      </c>
      <c r="CL10" t="e">
        <f>'All regions'!F235+"n/&gt;!A`"</f>
        <v>#VALUE!</v>
      </c>
      <c r="CM10" t="e">
        <f>'All regions'!G235+"n/&gt;!Aa"</f>
        <v>#VALUE!</v>
      </c>
      <c r="CN10" t="e">
        <f>'All regions'!H235+"n/&gt;!Ab"</f>
        <v>#VALUE!</v>
      </c>
      <c r="CO10" t="e">
        <f>'All regions'!I235+"n/&gt;!Ac"</f>
        <v>#VALUE!</v>
      </c>
      <c r="CP10" t="e">
        <f>'All regions'!J235+"n/&gt;!Ad"</f>
        <v>#VALUE!</v>
      </c>
      <c r="CQ10" t="e">
        <f>'All regions'!A236+"n/&gt;!Ae"</f>
        <v>#VALUE!</v>
      </c>
      <c r="CR10" t="e">
        <f>'All regions'!B236+"n/&gt;!Af"</f>
        <v>#VALUE!</v>
      </c>
      <c r="CS10" t="e">
        <f>'All regions'!C236+"n/&gt;!Ag"</f>
        <v>#VALUE!</v>
      </c>
      <c r="CT10" t="e">
        <f>'All regions'!D236+"n/&gt;!Ah"</f>
        <v>#VALUE!</v>
      </c>
      <c r="CU10" t="e">
        <f>'All regions'!E236+"n/&gt;!Ai"</f>
        <v>#VALUE!</v>
      </c>
      <c r="CV10" t="e">
        <f>'All regions'!F236+"n/&gt;!Aj"</f>
        <v>#VALUE!</v>
      </c>
      <c r="CW10" t="e">
        <f>'All regions'!G236+"n/&gt;!Ak"</f>
        <v>#VALUE!</v>
      </c>
      <c r="CX10" t="e">
        <f>'All regions'!H236+"n/&gt;!Al"</f>
        <v>#VALUE!</v>
      </c>
      <c r="CY10" t="e">
        <f>'All regions'!I236+"n/&gt;!Am"</f>
        <v>#VALUE!</v>
      </c>
      <c r="CZ10" t="e">
        <f>'All regions'!J236+"n/&gt;!An"</f>
        <v>#VALUE!</v>
      </c>
      <c r="DA10" t="e">
        <f>'All regions'!A237+"n/&gt;!Ao"</f>
        <v>#VALUE!</v>
      </c>
      <c r="DB10" t="e">
        <f>'All regions'!B237+"n/&gt;!Ap"</f>
        <v>#VALUE!</v>
      </c>
      <c r="DC10" t="e">
        <f>'All regions'!C237+"n/&gt;!Aq"</f>
        <v>#VALUE!</v>
      </c>
      <c r="DD10" t="e">
        <f>'All regions'!D237+"n/&gt;!Ar"</f>
        <v>#VALUE!</v>
      </c>
      <c r="DE10" t="e">
        <f>'All regions'!E237+"n/&gt;!As"</f>
        <v>#VALUE!</v>
      </c>
      <c r="DF10" t="e">
        <f>'All regions'!F237+"n/&gt;!At"</f>
        <v>#VALUE!</v>
      </c>
      <c r="DG10" t="e">
        <f>'All regions'!G237+"n/&gt;!Au"</f>
        <v>#VALUE!</v>
      </c>
      <c r="DH10" t="e">
        <f>'All regions'!H237+"n/&gt;!Av"</f>
        <v>#VALUE!</v>
      </c>
      <c r="DI10" t="e">
        <f>'All regions'!I237+"n/&gt;!Aw"</f>
        <v>#VALUE!</v>
      </c>
      <c r="DJ10" t="e">
        <f>'All regions'!J237+"n/&gt;!Ax"</f>
        <v>#VALUE!</v>
      </c>
      <c r="DK10" t="e">
        <f>'All regions'!A238+"n/&gt;!Ay"</f>
        <v>#VALUE!</v>
      </c>
      <c r="DL10" t="e">
        <f>'All regions'!B238+"n/&gt;!Az"</f>
        <v>#VALUE!</v>
      </c>
      <c r="DM10" t="e">
        <f>'All regions'!C238+"n/&gt;!A{"</f>
        <v>#VALUE!</v>
      </c>
      <c r="DN10" t="e">
        <f>'All regions'!D238+"n/&gt;!A|"</f>
        <v>#VALUE!</v>
      </c>
      <c r="DO10" t="e">
        <f>'All regions'!E238+"n/&gt;!A}"</f>
        <v>#VALUE!</v>
      </c>
      <c r="DP10" t="e">
        <f>'All regions'!F238+"n/&gt;!A~"</f>
        <v>#VALUE!</v>
      </c>
      <c r="DQ10" t="e">
        <f>'All regions'!G238+"n/&gt;!B#"</f>
        <v>#VALUE!</v>
      </c>
      <c r="DR10" t="e">
        <f>'All regions'!H238+"n/&gt;!B$"</f>
        <v>#VALUE!</v>
      </c>
      <c r="DS10" t="e">
        <f>'All regions'!I238+"n/&gt;!B%"</f>
        <v>#VALUE!</v>
      </c>
      <c r="DT10" t="e">
        <f>'All regions'!J238+"n/&gt;!B&amp;"</f>
        <v>#VALUE!</v>
      </c>
      <c r="DU10" t="e">
        <f>'All regions'!A239+"n/&gt;!B'"</f>
        <v>#VALUE!</v>
      </c>
      <c r="DV10" t="e">
        <f>'All regions'!B239+"n/&gt;!B("</f>
        <v>#VALUE!</v>
      </c>
      <c r="DW10" t="e">
        <f>'All regions'!C239+"n/&gt;!B)"</f>
        <v>#VALUE!</v>
      </c>
      <c r="DX10" t="e">
        <f>'All regions'!D239+"n/&gt;!B."</f>
        <v>#VALUE!</v>
      </c>
      <c r="DY10" t="e">
        <f>'All regions'!E239+"n/&gt;!B/"</f>
        <v>#VALUE!</v>
      </c>
      <c r="DZ10" t="e">
        <f>'All regions'!F239+"n/&gt;!B0"</f>
        <v>#VALUE!</v>
      </c>
      <c r="EA10" t="e">
        <f>'All regions'!G239+"n/&gt;!B1"</f>
        <v>#VALUE!</v>
      </c>
      <c r="EB10" t="e">
        <f>'All regions'!H239+"n/&gt;!B2"</f>
        <v>#VALUE!</v>
      </c>
      <c r="EC10" t="e">
        <f>'All regions'!I239+"n/&gt;!B3"</f>
        <v>#VALUE!</v>
      </c>
      <c r="ED10" t="e">
        <f>'All regions'!J239+"n/&gt;!B4"</f>
        <v>#VALUE!</v>
      </c>
      <c r="EE10" t="e">
        <f>'All regions'!A240+"n/&gt;!B5"</f>
        <v>#VALUE!</v>
      </c>
      <c r="EF10" t="e">
        <f>'All regions'!B240+"n/&gt;!B6"</f>
        <v>#VALUE!</v>
      </c>
      <c r="EG10" t="e">
        <f>'All regions'!C240+"n/&gt;!B7"</f>
        <v>#VALUE!</v>
      </c>
      <c r="EH10" t="e">
        <f>'All regions'!D240+"n/&gt;!B8"</f>
        <v>#VALUE!</v>
      </c>
      <c r="EI10" t="e">
        <f>'All regions'!E240+"n/&gt;!B9"</f>
        <v>#VALUE!</v>
      </c>
      <c r="EJ10" t="e">
        <f>'All regions'!F240+"n/&gt;!B:"</f>
        <v>#VALUE!</v>
      </c>
      <c r="EK10" t="e">
        <f>'All regions'!G240+"n/&gt;!B;"</f>
        <v>#VALUE!</v>
      </c>
      <c r="EL10" t="e">
        <f>'All regions'!H240+"n/&gt;!B&lt;"</f>
        <v>#VALUE!</v>
      </c>
      <c r="EM10" t="e">
        <f>'All regions'!I240+"n/&gt;!B="</f>
        <v>#VALUE!</v>
      </c>
      <c r="EN10" t="e">
        <f>'All regions'!J240+"n/&gt;!B&gt;"</f>
        <v>#VALUE!</v>
      </c>
      <c r="EO10" t="e">
        <f>'All regions'!A241+"n/&gt;!B?"</f>
        <v>#VALUE!</v>
      </c>
      <c r="EP10" t="e">
        <f>'All regions'!B241+"n/&gt;!B@"</f>
        <v>#VALUE!</v>
      </c>
      <c r="EQ10" t="e">
        <f>'All regions'!C241+"n/&gt;!BA"</f>
        <v>#VALUE!</v>
      </c>
      <c r="ER10" t="e">
        <f>'All regions'!D241+"n/&gt;!BB"</f>
        <v>#VALUE!</v>
      </c>
      <c r="ES10" t="e">
        <f>'All regions'!E241+"n/&gt;!BC"</f>
        <v>#VALUE!</v>
      </c>
      <c r="ET10" t="e">
        <f>'All regions'!F241+"n/&gt;!BD"</f>
        <v>#VALUE!</v>
      </c>
      <c r="EU10" t="e">
        <f>'All regions'!G241+"n/&gt;!BE"</f>
        <v>#VALUE!</v>
      </c>
      <c r="EV10" t="e">
        <f>'All regions'!H241+"n/&gt;!BF"</f>
        <v>#VALUE!</v>
      </c>
      <c r="EW10" t="e">
        <f>'All regions'!I241+"n/&gt;!BG"</f>
        <v>#VALUE!</v>
      </c>
      <c r="EX10" t="e">
        <f>'All regions'!J241+"n/&gt;!BH"</f>
        <v>#VALUE!</v>
      </c>
      <c r="EY10" t="e">
        <f>'All regions'!A242+"n/&gt;!BI"</f>
        <v>#VALUE!</v>
      </c>
      <c r="EZ10" t="e">
        <f>'All regions'!B242+"n/&gt;!BJ"</f>
        <v>#VALUE!</v>
      </c>
      <c r="FA10" t="e">
        <f>'All regions'!C242+"n/&gt;!BK"</f>
        <v>#VALUE!</v>
      </c>
      <c r="FB10" t="e">
        <f>'All regions'!D242+"n/&gt;!BL"</f>
        <v>#VALUE!</v>
      </c>
      <c r="FC10" t="e">
        <f>'All regions'!E242+"n/&gt;!BM"</f>
        <v>#VALUE!</v>
      </c>
      <c r="FD10" t="e">
        <f>'All regions'!F242+"n/&gt;!BN"</f>
        <v>#VALUE!</v>
      </c>
      <c r="FE10" t="e">
        <f>'All regions'!G242+"n/&gt;!BO"</f>
        <v>#VALUE!</v>
      </c>
      <c r="FF10" t="e">
        <f>'All regions'!H242+"n/&gt;!BP"</f>
        <v>#VALUE!</v>
      </c>
      <c r="FG10" t="e">
        <f>'All regions'!I242+"n/&gt;!BQ"</f>
        <v>#VALUE!</v>
      </c>
      <c r="FH10" t="e">
        <f>'All regions'!J242+"n/&gt;!BR"</f>
        <v>#VALUE!</v>
      </c>
      <c r="FI10" t="e">
        <f>'All regions'!A243+"n/&gt;!BS"</f>
        <v>#VALUE!</v>
      </c>
      <c r="FJ10" t="e">
        <f>'All regions'!B243+"n/&gt;!BT"</f>
        <v>#VALUE!</v>
      </c>
      <c r="FK10" t="e">
        <f>'All regions'!C243+"n/&gt;!BU"</f>
        <v>#VALUE!</v>
      </c>
      <c r="FL10" t="e">
        <f>'All regions'!D243+"n/&gt;!BV"</f>
        <v>#VALUE!</v>
      </c>
      <c r="FM10" t="e">
        <f>'All regions'!E243+"n/&gt;!BW"</f>
        <v>#VALUE!</v>
      </c>
      <c r="FN10" t="e">
        <f>'All regions'!F243+"n/&gt;!BX"</f>
        <v>#VALUE!</v>
      </c>
      <c r="FO10" t="e">
        <f>'All regions'!G243+"n/&gt;!BY"</f>
        <v>#VALUE!</v>
      </c>
      <c r="FP10" t="e">
        <f>'All regions'!H243+"n/&gt;!BZ"</f>
        <v>#VALUE!</v>
      </c>
      <c r="FQ10" t="e">
        <f>'All regions'!I243+"n/&gt;!B["</f>
        <v>#VALUE!</v>
      </c>
      <c r="FR10" t="e">
        <f>'All regions'!J243+"n/&gt;!B\"</f>
        <v>#VALUE!</v>
      </c>
      <c r="FS10" t="e">
        <f>'All regions'!A244+"n/&gt;!B]"</f>
        <v>#VALUE!</v>
      </c>
      <c r="FT10" t="e">
        <f>'All regions'!B244+"n/&gt;!B^"</f>
        <v>#VALUE!</v>
      </c>
      <c r="FU10" t="e">
        <f>'All regions'!C244+"n/&gt;!B_"</f>
        <v>#VALUE!</v>
      </c>
      <c r="FV10" t="e">
        <f>'All regions'!D244+"n/&gt;!B`"</f>
        <v>#VALUE!</v>
      </c>
      <c r="FW10" t="e">
        <f>'All regions'!E244+"n/&gt;!Ba"</f>
        <v>#VALUE!</v>
      </c>
      <c r="FX10" t="e">
        <f>'All regions'!F244+"n/&gt;!Bb"</f>
        <v>#VALUE!</v>
      </c>
      <c r="FY10" t="e">
        <f>'All regions'!G244+"n/&gt;!Bc"</f>
        <v>#VALUE!</v>
      </c>
      <c r="FZ10" t="e">
        <f>'All regions'!H244+"n/&gt;!Bd"</f>
        <v>#VALUE!</v>
      </c>
      <c r="GA10" t="e">
        <f>'All regions'!I244+"n/&gt;!Be"</f>
        <v>#VALUE!</v>
      </c>
      <c r="GB10" t="e">
        <f>'All regions'!J244+"n/&gt;!Bf"</f>
        <v>#VALUE!</v>
      </c>
      <c r="GC10" t="e">
        <f>'All regions'!A245+"n/&gt;!Bg"</f>
        <v>#VALUE!</v>
      </c>
      <c r="GD10" t="e">
        <f>'All regions'!B245+"n/&gt;!Bh"</f>
        <v>#VALUE!</v>
      </c>
      <c r="GE10" t="e">
        <f>'All regions'!C245+"n/&gt;!Bi"</f>
        <v>#VALUE!</v>
      </c>
      <c r="GF10" t="e">
        <f>'All regions'!D245+"n/&gt;!Bj"</f>
        <v>#VALUE!</v>
      </c>
      <c r="GG10" t="e">
        <f>'All regions'!E245+"n/&gt;!Bk"</f>
        <v>#VALUE!</v>
      </c>
      <c r="GH10" t="e">
        <f>'All regions'!F245+"n/&gt;!Bl"</f>
        <v>#VALUE!</v>
      </c>
      <c r="GI10" t="e">
        <f>'All regions'!G245+"n/&gt;!Bm"</f>
        <v>#VALUE!</v>
      </c>
      <c r="GJ10" t="e">
        <f>'All regions'!H245+"n/&gt;!Bn"</f>
        <v>#VALUE!</v>
      </c>
      <c r="GK10" t="e">
        <f>'All regions'!I245+"n/&gt;!Bo"</f>
        <v>#VALUE!</v>
      </c>
      <c r="GL10" t="e">
        <f>'All regions'!J245+"n/&gt;!Bp"</f>
        <v>#VALUE!</v>
      </c>
      <c r="GM10" t="e">
        <f>'All regions'!A246+"n/&gt;!Bq"</f>
        <v>#VALUE!</v>
      </c>
      <c r="GN10" t="e">
        <f>'All regions'!B246+"n/&gt;!Br"</f>
        <v>#VALUE!</v>
      </c>
      <c r="GO10" t="e">
        <f>'All regions'!C246+"n/&gt;!Bs"</f>
        <v>#VALUE!</v>
      </c>
      <c r="GP10" t="e">
        <f>'All regions'!D246+"n/&gt;!Bt"</f>
        <v>#VALUE!</v>
      </c>
      <c r="GQ10" t="e">
        <f>'All regions'!E246+"n/&gt;!Bu"</f>
        <v>#VALUE!</v>
      </c>
      <c r="GR10" t="e">
        <f>'All regions'!F246+"n/&gt;!Bv"</f>
        <v>#VALUE!</v>
      </c>
      <c r="GS10" t="e">
        <f>'All regions'!G246+"n/&gt;!Bw"</f>
        <v>#VALUE!</v>
      </c>
      <c r="GT10" t="e">
        <f>'All regions'!H246+"n/&gt;!Bx"</f>
        <v>#VALUE!</v>
      </c>
      <c r="GU10" t="e">
        <f>'All regions'!I246+"n/&gt;!By"</f>
        <v>#VALUE!</v>
      </c>
      <c r="GV10" t="e">
        <f>'All regions'!J246+"n/&gt;!Bz"</f>
        <v>#VALUE!</v>
      </c>
      <c r="GW10" t="e">
        <f>'All regions'!A247+"n/&gt;!B{"</f>
        <v>#VALUE!</v>
      </c>
      <c r="GX10" t="e">
        <f>'All regions'!B247+"n/&gt;!B|"</f>
        <v>#VALUE!</v>
      </c>
      <c r="GY10" t="e">
        <f>'All regions'!C247+"n/&gt;!B}"</f>
        <v>#VALUE!</v>
      </c>
      <c r="GZ10" t="e">
        <f>'All regions'!D247+"n/&gt;!B~"</f>
        <v>#VALUE!</v>
      </c>
      <c r="HA10" t="e">
        <f>'All regions'!E247+"n/&gt;!C#"</f>
        <v>#VALUE!</v>
      </c>
      <c r="HB10" t="e">
        <f>'All regions'!F247+"n/&gt;!C$"</f>
        <v>#VALUE!</v>
      </c>
      <c r="HC10" t="e">
        <f>'All regions'!G247+"n/&gt;!C%"</f>
        <v>#VALUE!</v>
      </c>
      <c r="HD10" t="e">
        <f>'All regions'!H247+"n/&gt;!C&amp;"</f>
        <v>#VALUE!</v>
      </c>
      <c r="HE10" t="e">
        <f>'All regions'!I247+"n/&gt;!C'"</f>
        <v>#VALUE!</v>
      </c>
      <c r="HF10" t="e">
        <f>'All regions'!J247+"n/&gt;!C("</f>
        <v>#VALUE!</v>
      </c>
      <c r="HG10" t="e">
        <f>'All regions'!A248+"n/&gt;!C)"</f>
        <v>#VALUE!</v>
      </c>
      <c r="HH10" t="e">
        <f>'All regions'!B248+"n/&gt;!C."</f>
        <v>#VALUE!</v>
      </c>
      <c r="HI10" t="e">
        <f>'All regions'!C248+"n/&gt;!C/"</f>
        <v>#VALUE!</v>
      </c>
      <c r="HJ10" t="e">
        <f>'All regions'!D248+"n/&gt;!C0"</f>
        <v>#VALUE!</v>
      </c>
      <c r="HK10" t="e">
        <f>'All regions'!E248+"n/&gt;!C1"</f>
        <v>#VALUE!</v>
      </c>
      <c r="HL10" t="e">
        <f>'All regions'!F248+"n/&gt;!C2"</f>
        <v>#VALUE!</v>
      </c>
      <c r="HM10" t="e">
        <f>'All regions'!G248+"n/&gt;!C3"</f>
        <v>#VALUE!</v>
      </c>
      <c r="HN10" t="e">
        <f>'All regions'!H248+"n/&gt;!C4"</f>
        <v>#VALUE!</v>
      </c>
      <c r="HO10" t="e">
        <f>'All regions'!I248+"n/&gt;!C5"</f>
        <v>#VALUE!</v>
      </c>
      <c r="HP10" t="e">
        <f>'All regions'!J248+"n/&gt;!C6"</f>
        <v>#VALUE!</v>
      </c>
      <c r="HQ10" t="e">
        <f>'All regions'!A249+"n/&gt;!C7"</f>
        <v>#VALUE!</v>
      </c>
      <c r="HR10" t="e">
        <f>'All regions'!B249+"n/&gt;!C8"</f>
        <v>#VALUE!</v>
      </c>
      <c r="HS10" t="e">
        <f>'All regions'!C249+"n/&gt;!C9"</f>
        <v>#VALUE!</v>
      </c>
      <c r="HT10" t="e">
        <f>'All regions'!D249+"n/&gt;!C:"</f>
        <v>#VALUE!</v>
      </c>
      <c r="HU10" t="e">
        <f>'All regions'!E249+"n/&gt;!C;"</f>
        <v>#VALUE!</v>
      </c>
      <c r="HV10" t="e">
        <f>'All regions'!F249+"n/&gt;!C&lt;"</f>
        <v>#VALUE!</v>
      </c>
      <c r="HW10" t="e">
        <f>'All regions'!G249+"n/&gt;!C="</f>
        <v>#VALUE!</v>
      </c>
      <c r="HX10" t="e">
        <f>'All regions'!H249+"n/&gt;!C&gt;"</f>
        <v>#VALUE!</v>
      </c>
      <c r="HY10" t="e">
        <f>'All regions'!I249+"n/&gt;!C?"</f>
        <v>#VALUE!</v>
      </c>
      <c r="HZ10" t="e">
        <f>'All regions'!J249+"n/&gt;!C@"</f>
        <v>#VALUE!</v>
      </c>
      <c r="IA10" t="e">
        <f>'All regions'!A250+"n/&gt;!CA"</f>
        <v>#VALUE!</v>
      </c>
      <c r="IB10" t="e">
        <f>'All regions'!B250+"n/&gt;!CB"</f>
        <v>#VALUE!</v>
      </c>
      <c r="IC10" t="e">
        <f>'All regions'!C250+"n/&gt;!CC"</f>
        <v>#VALUE!</v>
      </c>
      <c r="ID10" t="e">
        <f>'All regions'!D250+"n/&gt;!CD"</f>
        <v>#VALUE!</v>
      </c>
      <c r="IE10" t="e">
        <f>'All regions'!E250+"n/&gt;!CE"</f>
        <v>#VALUE!</v>
      </c>
      <c r="IF10" t="e">
        <f>'All regions'!F250+"n/&gt;!CF"</f>
        <v>#VALUE!</v>
      </c>
      <c r="IG10" t="e">
        <f>'All regions'!G250+"n/&gt;!CG"</f>
        <v>#VALUE!</v>
      </c>
      <c r="IH10" t="e">
        <f>'All regions'!H250+"n/&gt;!CH"</f>
        <v>#VALUE!</v>
      </c>
      <c r="II10" t="e">
        <f>'All regions'!I250+"n/&gt;!CI"</f>
        <v>#VALUE!</v>
      </c>
      <c r="IJ10" t="e">
        <f>'All regions'!J250+"n/&gt;!CJ"</f>
        <v>#VALUE!</v>
      </c>
      <c r="IK10" t="e">
        <f>'All regions'!A251+"n/&gt;!CK"</f>
        <v>#VALUE!</v>
      </c>
      <c r="IL10" t="e">
        <f>'All regions'!B251+"n/&gt;!CL"</f>
        <v>#VALUE!</v>
      </c>
      <c r="IM10" t="e">
        <f>'All regions'!C251+"n/&gt;!CM"</f>
        <v>#VALUE!</v>
      </c>
      <c r="IN10" t="e">
        <f>'All regions'!D251+"n/&gt;!CN"</f>
        <v>#VALUE!</v>
      </c>
      <c r="IO10" t="e">
        <f>'All regions'!E251+"n/&gt;!CO"</f>
        <v>#VALUE!</v>
      </c>
      <c r="IP10" t="e">
        <f>'All regions'!F251+"n/&gt;!CP"</f>
        <v>#VALUE!</v>
      </c>
      <c r="IQ10" t="e">
        <f>'All regions'!G251+"n/&gt;!CQ"</f>
        <v>#VALUE!</v>
      </c>
      <c r="IR10" t="e">
        <f>'All regions'!H251+"n/&gt;!CR"</f>
        <v>#VALUE!</v>
      </c>
      <c r="IS10" t="e">
        <f>'All regions'!I251+"n/&gt;!CS"</f>
        <v>#VALUE!</v>
      </c>
      <c r="IT10" t="e">
        <f>'All regions'!J251+"n/&gt;!CT"</f>
        <v>#VALUE!</v>
      </c>
      <c r="IU10" t="e">
        <f>'All regions'!A252+"n/&gt;!CU"</f>
        <v>#VALUE!</v>
      </c>
      <c r="IV10" t="e">
        <f>'All regions'!B252+"n/&gt;!CV"</f>
        <v>#VALUE!</v>
      </c>
    </row>
    <row r="11" spans="1:256" x14ac:dyDescent="0.35">
      <c r="F11" t="e">
        <f>'All regions'!C252+"n/&gt;!CW"</f>
        <v>#VALUE!</v>
      </c>
      <c r="G11" t="e">
        <f>'All regions'!D252+"n/&gt;!CX"</f>
        <v>#VALUE!</v>
      </c>
      <c r="H11" t="e">
        <f>'All regions'!E252+"n/&gt;!CY"</f>
        <v>#VALUE!</v>
      </c>
      <c r="I11" t="e">
        <f>'All regions'!F252+"n/&gt;!CZ"</f>
        <v>#VALUE!</v>
      </c>
      <c r="J11" t="e">
        <f>'All regions'!G252+"n/&gt;!C["</f>
        <v>#VALUE!</v>
      </c>
      <c r="K11" t="e">
        <f>'All regions'!H252+"n/&gt;!C\"</f>
        <v>#VALUE!</v>
      </c>
      <c r="L11" t="e">
        <f>'All regions'!I252+"n/&gt;!C]"</f>
        <v>#VALUE!</v>
      </c>
      <c r="M11" t="e">
        <f>'All regions'!J252+"n/&gt;!C^"</f>
        <v>#VALUE!</v>
      </c>
      <c r="N11" t="e">
        <f>'All regions'!A253+"n/&gt;!C_"</f>
        <v>#VALUE!</v>
      </c>
      <c r="O11" t="e">
        <f>'All regions'!B253+"n/&gt;!C`"</f>
        <v>#VALUE!</v>
      </c>
      <c r="P11" t="e">
        <f>'All regions'!C253+"n/&gt;!Ca"</f>
        <v>#VALUE!</v>
      </c>
      <c r="Q11" t="e">
        <f>'All regions'!D253+"n/&gt;!Cb"</f>
        <v>#VALUE!</v>
      </c>
      <c r="R11" t="e">
        <f>'All regions'!E253+"n/&gt;!Cc"</f>
        <v>#VALUE!</v>
      </c>
      <c r="S11" t="e">
        <f>'All regions'!F253+"n/&gt;!Cd"</f>
        <v>#VALUE!</v>
      </c>
      <c r="T11" t="e">
        <f>'All regions'!G253+"n/&gt;!Ce"</f>
        <v>#VALUE!</v>
      </c>
      <c r="U11" t="e">
        <f>'All regions'!H253+"n/&gt;!Cf"</f>
        <v>#VALUE!</v>
      </c>
      <c r="V11" t="e">
        <f>'All regions'!I253+"n/&gt;!Cg"</f>
        <v>#VALUE!</v>
      </c>
      <c r="W11" t="e">
        <f>'All regions'!J253+"n/&gt;!Ch"</f>
        <v>#VALUE!</v>
      </c>
      <c r="X11" t="e">
        <f>'All regions'!A254+"n/&gt;!Ci"</f>
        <v>#VALUE!</v>
      </c>
      <c r="Y11" t="e">
        <f>'All regions'!B254+"n/&gt;!Cj"</f>
        <v>#VALUE!</v>
      </c>
      <c r="Z11" t="e">
        <f>'All regions'!C254+"n/&gt;!Ck"</f>
        <v>#VALUE!</v>
      </c>
      <c r="AA11" t="e">
        <f>'All regions'!D254+"n/&gt;!Cl"</f>
        <v>#VALUE!</v>
      </c>
      <c r="AB11" t="e">
        <f>'All regions'!E254+"n/&gt;!Cm"</f>
        <v>#VALUE!</v>
      </c>
      <c r="AC11" t="e">
        <f>'All regions'!F254+"n/&gt;!Cn"</f>
        <v>#VALUE!</v>
      </c>
      <c r="AD11" t="e">
        <f>'All regions'!G254+"n/&gt;!Co"</f>
        <v>#VALUE!</v>
      </c>
      <c r="AE11" t="e">
        <f>'All regions'!H254+"n/&gt;!Cp"</f>
        <v>#VALUE!</v>
      </c>
      <c r="AF11" t="e">
        <f>'All regions'!I254+"n/&gt;!Cq"</f>
        <v>#VALUE!</v>
      </c>
      <c r="AG11" t="e">
        <f>'All regions'!J254+"n/&gt;!Cr"</f>
        <v>#VALUE!</v>
      </c>
      <c r="AH11" t="e">
        <f>'All regions'!A255+"n/&gt;!Cs"</f>
        <v>#VALUE!</v>
      </c>
      <c r="AI11" t="e">
        <f>'All regions'!B255+"n/&gt;!Ct"</f>
        <v>#VALUE!</v>
      </c>
      <c r="AJ11" t="e">
        <f>'All regions'!C255+"n/&gt;!Cu"</f>
        <v>#VALUE!</v>
      </c>
      <c r="AK11" t="e">
        <f>'All regions'!D255+"n/&gt;!Cv"</f>
        <v>#VALUE!</v>
      </c>
      <c r="AL11" t="e">
        <f>'All regions'!E255+"n/&gt;!Cw"</f>
        <v>#VALUE!</v>
      </c>
      <c r="AM11" t="e">
        <f>'All regions'!F255+"n/&gt;!Cx"</f>
        <v>#VALUE!</v>
      </c>
      <c r="AN11" t="e">
        <f>'All regions'!G255+"n/&gt;!Cy"</f>
        <v>#VALUE!</v>
      </c>
      <c r="AO11" t="e">
        <f>'All regions'!H255+"n/&gt;!Cz"</f>
        <v>#VALUE!</v>
      </c>
      <c r="AP11" t="e">
        <f>'All regions'!I255+"n/&gt;!C{"</f>
        <v>#VALUE!</v>
      </c>
      <c r="AQ11" t="e">
        <f>'All regions'!J255+"n/&gt;!C|"</f>
        <v>#VALUE!</v>
      </c>
      <c r="AR11" t="e">
        <f>'All regions'!A256+"n/&gt;!C}"</f>
        <v>#VALUE!</v>
      </c>
      <c r="AS11" t="e">
        <f>'All regions'!B256+"n/&gt;!C~"</f>
        <v>#VALUE!</v>
      </c>
      <c r="AT11" t="e">
        <f>'All regions'!C256+"n/&gt;!D#"</f>
        <v>#VALUE!</v>
      </c>
      <c r="AU11" t="e">
        <f>'All regions'!D256+"n/&gt;!D$"</f>
        <v>#VALUE!</v>
      </c>
      <c r="AV11" t="e">
        <f>'All regions'!E256+"n/&gt;!D%"</f>
        <v>#VALUE!</v>
      </c>
      <c r="AW11" t="e">
        <f>'All regions'!F256+"n/&gt;!D&amp;"</f>
        <v>#VALUE!</v>
      </c>
      <c r="AX11" t="e">
        <f>'All regions'!G256+"n/&gt;!D'"</f>
        <v>#VALUE!</v>
      </c>
      <c r="AY11" t="e">
        <f>'All regions'!H256+"n/&gt;!D("</f>
        <v>#VALUE!</v>
      </c>
      <c r="AZ11" t="e">
        <f>'All regions'!I256+"n/&gt;!D)"</f>
        <v>#VALUE!</v>
      </c>
      <c r="BA11" t="e">
        <f>'All regions'!J256+"n/&gt;!D."</f>
        <v>#VALUE!</v>
      </c>
      <c r="BB11" t="e">
        <f>'All regions'!A257+"n/&gt;!D/"</f>
        <v>#VALUE!</v>
      </c>
      <c r="BC11" t="e">
        <f>'All regions'!B257+"n/&gt;!D0"</f>
        <v>#VALUE!</v>
      </c>
      <c r="BD11" t="e">
        <f>'All regions'!C257+"n/&gt;!D1"</f>
        <v>#VALUE!</v>
      </c>
      <c r="BE11" t="e">
        <f>'All regions'!D257+"n/&gt;!D2"</f>
        <v>#VALUE!</v>
      </c>
      <c r="BF11" t="e">
        <f>'All regions'!E257+"n/&gt;!D3"</f>
        <v>#VALUE!</v>
      </c>
      <c r="BG11" t="e">
        <f>'All regions'!F257+"n/&gt;!D4"</f>
        <v>#VALUE!</v>
      </c>
      <c r="BH11" t="e">
        <f>'All regions'!G257+"n/&gt;!D5"</f>
        <v>#VALUE!</v>
      </c>
      <c r="BI11" t="e">
        <f>'All regions'!H257+"n/&gt;!D6"</f>
        <v>#VALUE!</v>
      </c>
      <c r="BJ11" t="e">
        <f>'All regions'!I257+"n/&gt;!D7"</f>
        <v>#VALUE!</v>
      </c>
      <c r="BK11" t="e">
        <f>'All regions'!J257+"n/&gt;!D8"</f>
        <v>#VALUE!</v>
      </c>
      <c r="BL11" t="e">
        <f>'All regions'!A258+"n/&gt;!D9"</f>
        <v>#VALUE!</v>
      </c>
      <c r="BM11" t="e">
        <f>'All regions'!B258+"n/&gt;!D:"</f>
        <v>#VALUE!</v>
      </c>
      <c r="BN11" t="e">
        <f>'All regions'!C258+"n/&gt;!D;"</f>
        <v>#VALUE!</v>
      </c>
      <c r="BO11" t="e">
        <f>'All regions'!D258+"n/&gt;!D&lt;"</f>
        <v>#VALUE!</v>
      </c>
      <c r="BP11" t="e">
        <f>'All regions'!E258+"n/&gt;!D="</f>
        <v>#VALUE!</v>
      </c>
      <c r="BQ11" t="e">
        <f>'All regions'!F258+"n/&gt;!D&gt;"</f>
        <v>#VALUE!</v>
      </c>
      <c r="BR11" t="e">
        <f>'All regions'!G258+"n/&gt;!D?"</f>
        <v>#VALUE!</v>
      </c>
      <c r="BS11" t="e">
        <f>'All regions'!H258+"n/&gt;!D@"</f>
        <v>#VALUE!</v>
      </c>
      <c r="BT11" t="e">
        <f>'All regions'!I258+"n/&gt;!DA"</f>
        <v>#VALUE!</v>
      </c>
      <c r="BU11" t="e">
        <f>'All regions'!J258+"n/&gt;!DB"</f>
        <v>#VALUE!</v>
      </c>
      <c r="BV11" t="e">
        <f>'All regions'!A259+"n/&gt;!DC"</f>
        <v>#VALUE!</v>
      </c>
      <c r="BW11" t="e">
        <f>'All regions'!B259+"n/&gt;!DD"</f>
        <v>#VALUE!</v>
      </c>
      <c r="BX11" t="e">
        <f>'All regions'!C259+"n/&gt;!DE"</f>
        <v>#VALUE!</v>
      </c>
      <c r="BY11" t="e">
        <f>'All regions'!D259+"n/&gt;!DF"</f>
        <v>#VALUE!</v>
      </c>
      <c r="BZ11" t="e">
        <f>'All regions'!E259+"n/&gt;!DG"</f>
        <v>#VALUE!</v>
      </c>
      <c r="CA11" t="e">
        <f>'All regions'!F259+"n/&gt;!DH"</f>
        <v>#VALUE!</v>
      </c>
      <c r="CB11" t="e">
        <f>'All regions'!G259+"n/&gt;!DI"</f>
        <v>#VALUE!</v>
      </c>
      <c r="CC11" t="e">
        <f>'All regions'!H259+"n/&gt;!DJ"</f>
        <v>#VALUE!</v>
      </c>
      <c r="CD11" t="e">
        <f>'All regions'!I259+"n/&gt;!DK"</f>
        <v>#VALUE!</v>
      </c>
      <c r="CE11" t="e">
        <f>'All regions'!J259+"n/&gt;!DL"</f>
        <v>#VALUE!</v>
      </c>
      <c r="CF11" t="e">
        <f>'All regions'!A260+"n/&gt;!DM"</f>
        <v>#VALUE!</v>
      </c>
      <c r="CG11" t="e">
        <f>'All regions'!B260+"n/&gt;!DN"</f>
        <v>#VALUE!</v>
      </c>
      <c r="CH11" t="e">
        <f>'All regions'!C260+"n/&gt;!DO"</f>
        <v>#VALUE!</v>
      </c>
      <c r="CI11" t="e">
        <f>'All regions'!D260+"n/&gt;!DP"</f>
        <v>#VALUE!</v>
      </c>
      <c r="CJ11" t="e">
        <f>'All regions'!E260+"n/&gt;!DQ"</f>
        <v>#VALUE!</v>
      </c>
      <c r="CK11" t="e">
        <f>'All regions'!F260+"n/&gt;!DR"</f>
        <v>#VALUE!</v>
      </c>
      <c r="CL11" t="e">
        <f>'All regions'!G260+"n/&gt;!DS"</f>
        <v>#VALUE!</v>
      </c>
      <c r="CM11" t="e">
        <f>'All regions'!H260+"n/&gt;!DT"</f>
        <v>#VALUE!</v>
      </c>
      <c r="CN11" t="e">
        <f>'All regions'!I260+"n/&gt;!DU"</f>
        <v>#VALUE!</v>
      </c>
      <c r="CO11" t="e">
        <f>'All regions'!J260+"n/&gt;!DV"</f>
        <v>#VALUE!</v>
      </c>
      <c r="CP11" t="e">
        <f>'All regions'!A261+"n/&gt;!DW"</f>
        <v>#VALUE!</v>
      </c>
      <c r="CQ11" t="e">
        <f>'All regions'!B261+"n/&gt;!DX"</f>
        <v>#VALUE!</v>
      </c>
      <c r="CR11" t="e">
        <f>'All regions'!C261+"n/&gt;!DY"</f>
        <v>#VALUE!</v>
      </c>
      <c r="CS11" t="e">
        <f>'All regions'!D261+"n/&gt;!DZ"</f>
        <v>#VALUE!</v>
      </c>
      <c r="CT11" t="e">
        <f>'All regions'!E261+"n/&gt;!D["</f>
        <v>#VALUE!</v>
      </c>
      <c r="CU11" t="e">
        <f>'All regions'!F261+"n/&gt;!D\"</f>
        <v>#VALUE!</v>
      </c>
      <c r="CV11" t="e">
        <f>'All regions'!G261+"n/&gt;!D]"</f>
        <v>#VALUE!</v>
      </c>
      <c r="CW11" t="e">
        <f>'All regions'!H261+"n/&gt;!D^"</f>
        <v>#VALUE!</v>
      </c>
      <c r="CX11" t="e">
        <f>'All regions'!I261+"n/&gt;!D_"</f>
        <v>#VALUE!</v>
      </c>
      <c r="CY11" t="e">
        <f>'All regions'!J261+"n/&gt;!D`"</f>
        <v>#VALUE!</v>
      </c>
      <c r="CZ11" t="e">
        <f>'All regions'!A262+"n/&gt;!Da"</f>
        <v>#VALUE!</v>
      </c>
      <c r="DA11" t="e">
        <f>'All regions'!B262+"n/&gt;!Db"</f>
        <v>#VALUE!</v>
      </c>
      <c r="DB11" t="e">
        <f>'All regions'!C262+"n/&gt;!Dc"</f>
        <v>#VALUE!</v>
      </c>
      <c r="DC11" t="e">
        <f>'All regions'!D262+"n/&gt;!Dd"</f>
        <v>#VALUE!</v>
      </c>
      <c r="DD11" t="e">
        <f>'All regions'!E262+"n/&gt;!De"</f>
        <v>#VALUE!</v>
      </c>
      <c r="DE11" t="e">
        <f>'All regions'!F262+"n/&gt;!Df"</f>
        <v>#VALUE!</v>
      </c>
      <c r="DF11" t="e">
        <f>'All regions'!G262+"n/&gt;!Dg"</f>
        <v>#VALUE!</v>
      </c>
      <c r="DG11" t="e">
        <f>'All regions'!H262+"n/&gt;!Dh"</f>
        <v>#VALUE!</v>
      </c>
      <c r="DH11" t="e">
        <f>'All regions'!I262+"n/&gt;!Di"</f>
        <v>#VALUE!</v>
      </c>
      <c r="DI11" t="e">
        <f>'All regions'!J262+"n/&gt;!Dj"</f>
        <v>#VALUE!</v>
      </c>
      <c r="DJ11" t="e">
        <f>'All regions'!A263+"n/&gt;!Dk"</f>
        <v>#VALUE!</v>
      </c>
      <c r="DK11" t="e">
        <f>'All regions'!B263+"n/&gt;!Dl"</f>
        <v>#VALUE!</v>
      </c>
      <c r="DL11" t="e">
        <f>'All regions'!C263+"n/&gt;!Dm"</f>
        <v>#VALUE!</v>
      </c>
      <c r="DM11" t="e">
        <f>'All regions'!D263+"n/&gt;!Dn"</f>
        <v>#VALUE!</v>
      </c>
      <c r="DN11" t="e">
        <f>'All regions'!E263+"n/&gt;!Do"</f>
        <v>#VALUE!</v>
      </c>
      <c r="DO11" t="e">
        <f>'All regions'!F263+"n/&gt;!Dp"</f>
        <v>#VALUE!</v>
      </c>
      <c r="DP11" t="e">
        <f>'All regions'!G263+"n/&gt;!Dq"</f>
        <v>#VALUE!</v>
      </c>
      <c r="DQ11" t="e">
        <f>'All regions'!H263+"n/&gt;!Dr"</f>
        <v>#VALUE!</v>
      </c>
      <c r="DR11" t="e">
        <f>'All regions'!I263+"n/&gt;!Ds"</f>
        <v>#VALUE!</v>
      </c>
      <c r="DS11" t="e">
        <f>'All regions'!J263+"n/&gt;!Dt"</f>
        <v>#VALUE!</v>
      </c>
      <c r="DT11" t="e">
        <f>'All regions'!A264+"n/&gt;!Du"</f>
        <v>#VALUE!</v>
      </c>
      <c r="DU11" t="e">
        <f>'All regions'!B264+"n/&gt;!Dv"</f>
        <v>#VALUE!</v>
      </c>
      <c r="DV11" t="e">
        <f>'All regions'!C264+"n/&gt;!Dw"</f>
        <v>#VALUE!</v>
      </c>
      <c r="DW11" t="e">
        <f>'All regions'!D264+"n/&gt;!Dx"</f>
        <v>#VALUE!</v>
      </c>
      <c r="DX11" t="e">
        <f>'All regions'!E264+"n/&gt;!Dy"</f>
        <v>#VALUE!</v>
      </c>
      <c r="DY11" t="e">
        <f>'All regions'!F264+"n/&gt;!Dz"</f>
        <v>#VALUE!</v>
      </c>
      <c r="DZ11" t="e">
        <f>'All regions'!G264+"n/&gt;!D{"</f>
        <v>#VALUE!</v>
      </c>
      <c r="EA11" t="e">
        <f>'All regions'!H264+"n/&gt;!D|"</f>
        <v>#VALUE!</v>
      </c>
      <c r="EB11" t="e">
        <f>'All regions'!I264+"n/&gt;!D}"</f>
        <v>#VALUE!</v>
      </c>
      <c r="EC11" t="e">
        <f>'All regions'!J264+"n/&gt;!D~"</f>
        <v>#VALUE!</v>
      </c>
      <c r="ED11" t="e">
        <f>'All regions'!A265+"n/&gt;!E#"</f>
        <v>#VALUE!</v>
      </c>
      <c r="EE11" t="e">
        <f>'All regions'!B265+"n/&gt;!E$"</f>
        <v>#VALUE!</v>
      </c>
      <c r="EF11" t="e">
        <f>'All regions'!C265+"n/&gt;!E%"</f>
        <v>#VALUE!</v>
      </c>
      <c r="EG11" t="e">
        <f>'All regions'!D265+"n/&gt;!E&amp;"</f>
        <v>#VALUE!</v>
      </c>
      <c r="EH11" t="e">
        <f>'All regions'!E265+"n/&gt;!E'"</f>
        <v>#VALUE!</v>
      </c>
      <c r="EI11" t="e">
        <f>'All regions'!F265+"n/&gt;!E("</f>
        <v>#VALUE!</v>
      </c>
      <c r="EJ11" t="e">
        <f>'All regions'!G265+"n/&gt;!E)"</f>
        <v>#VALUE!</v>
      </c>
      <c r="EK11" t="e">
        <f>'All regions'!H265+"n/&gt;!E."</f>
        <v>#VALUE!</v>
      </c>
      <c r="EL11" t="e">
        <f>'All regions'!I265+"n/&gt;!E/"</f>
        <v>#VALUE!</v>
      </c>
      <c r="EM11" t="e">
        <f>'All regions'!J265+"n/&gt;!E0"</f>
        <v>#VALUE!</v>
      </c>
      <c r="EN11" t="e">
        <f>'All regions'!A266+"n/&gt;!E1"</f>
        <v>#VALUE!</v>
      </c>
      <c r="EO11" t="e">
        <f>'All regions'!B266+"n/&gt;!E2"</f>
        <v>#VALUE!</v>
      </c>
      <c r="EP11" t="e">
        <f>'All regions'!C266+"n/&gt;!E3"</f>
        <v>#VALUE!</v>
      </c>
      <c r="EQ11" t="e">
        <f>'All regions'!D266+"n/&gt;!E4"</f>
        <v>#VALUE!</v>
      </c>
      <c r="ER11" t="e">
        <f>'All regions'!E266+"n/&gt;!E5"</f>
        <v>#VALUE!</v>
      </c>
      <c r="ES11" t="e">
        <f>'All regions'!F266+"n/&gt;!E6"</f>
        <v>#VALUE!</v>
      </c>
      <c r="ET11" t="e">
        <f>'All regions'!G266+"n/&gt;!E7"</f>
        <v>#VALUE!</v>
      </c>
      <c r="EU11" t="e">
        <f>'All regions'!H266+"n/&gt;!E8"</f>
        <v>#VALUE!</v>
      </c>
      <c r="EV11" t="e">
        <f>'All regions'!I266+"n/&gt;!E9"</f>
        <v>#VALUE!</v>
      </c>
      <c r="EW11" t="e">
        <f>'All regions'!J266+"n/&gt;!E:"</f>
        <v>#VALUE!</v>
      </c>
      <c r="EX11" t="e">
        <f>'All regions'!A267+"n/&gt;!E;"</f>
        <v>#VALUE!</v>
      </c>
      <c r="EY11" t="e">
        <f>'All regions'!B267+"n/&gt;!E&lt;"</f>
        <v>#VALUE!</v>
      </c>
      <c r="EZ11" t="e">
        <f>'All regions'!C267+"n/&gt;!E="</f>
        <v>#VALUE!</v>
      </c>
      <c r="FA11" t="e">
        <f>'All regions'!D267+"n/&gt;!E&gt;"</f>
        <v>#VALUE!</v>
      </c>
      <c r="FB11" t="e">
        <f>'All regions'!E267+"n/&gt;!E?"</f>
        <v>#VALUE!</v>
      </c>
      <c r="FC11" t="e">
        <f>'All regions'!F267+"n/&gt;!E@"</f>
        <v>#VALUE!</v>
      </c>
      <c r="FD11" t="e">
        <f>'All regions'!G267+"n/&gt;!EA"</f>
        <v>#VALUE!</v>
      </c>
      <c r="FE11" t="e">
        <f>'All regions'!H267+"n/&gt;!EB"</f>
        <v>#VALUE!</v>
      </c>
      <c r="FF11" t="e">
        <f>'All regions'!I267+"n/&gt;!EC"</f>
        <v>#VALUE!</v>
      </c>
      <c r="FG11" t="e">
        <f>'All regions'!J267+"n/&gt;!ED"</f>
        <v>#VALUE!</v>
      </c>
      <c r="FH11" t="e">
        <f>'All regions'!A268+"n/&gt;!EE"</f>
        <v>#VALUE!</v>
      </c>
      <c r="FI11" t="e">
        <f>'All regions'!B268+"n/&gt;!EF"</f>
        <v>#VALUE!</v>
      </c>
      <c r="FJ11" t="e">
        <f>'All regions'!C268+"n/&gt;!EG"</f>
        <v>#VALUE!</v>
      </c>
      <c r="FK11" t="e">
        <f>'All regions'!D268+"n/&gt;!EH"</f>
        <v>#VALUE!</v>
      </c>
      <c r="FL11" t="e">
        <f>'All regions'!E268+"n/&gt;!EI"</f>
        <v>#VALUE!</v>
      </c>
      <c r="FM11" t="e">
        <f>'All regions'!F268+"n/&gt;!EJ"</f>
        <v>#VALUE!</v>
      </c>
      <c r="FN11" t="e">
        <f>'All regions'!G268+"n/&gt;!EK"</f>
        <v>#VALUE!</v>
      </c>
      <c r="FO11" t="e">
        <f>'All regions'!H268+"n/&gt;!EL"</f>
        <v>#VALUE!</v>
      </c>
      <c r="FP11" t="e">
        <f>'All regions'!I268+"n/&gt;!EM"</f>
        <v>#VALUE!</v>
      </c>
      <c r="FQ11" t="e">
        <f>'All regions'!J268+"n/&gt;!EN"</f>
        <v>#VALUE!</v>
      </c>
      <c r="FR11" t="e">
        <f>'All regions'!A269+"n/&gt;!EO"</f>
        <v>#VALUE!</v>
      </c>
      <c r="FS11" t="e">
        <f>'All regions'!B269+"n/&gt;!EP"</f>
        <v>#VALUE!</v>
      </c>
      <c r="FT11" t="e">
        <f>'All regions'!C269+"n/&gt;!EQ"</f>
        <v>#VALUE!</v>
      </c>
      <c r="FU11" t="e">
        <f>'All regions'!D269+"n/&gt;!ER"</f>
        <v>#VALUE!</v>
      </c>
      <c r="FV11" t="e">
        <f>'All regions'!E269+"n/&gt;!ES"</f>
        <v>#VALUE!</v>
      </c>
      <c r="FW11" t="e">
        <f>'All regions'!F269+"n/&gt;!ET"</f>
        <v>#VALUE!</v>
      </c>
      <c r="FX11" t="e">
        <f>'All regions'!G269+"n/&gt;!EU"</f>
        <v>#VALUE!</v>
      </c>
      <c r="FY11" t="e">
        <f>'All regions'!H269+"n/&gt;!EV"</f>
        <v>#VALUE!</v>
      </c>
      <c r="FZ11" t="e">
        <f>'All regions'!I269+"n/&gt;!EW"</f>
        <v>#VALUE!</v>
      </c>
      <c r="GA11" t="e">
        <f>'All regions'!J269+"n/&gt;!EX"</f>
        <v>#VALUE!</v>
      </c>
      <c r="GB11" t="e">
        <f>'All regions'!A270+"n/&gt;!EY"</f>
        <v>#VALUE!</v>
      </c>
      <c r="GC11" t="e">
        <f>'All regions'!B270+"n/&gt;!EZ"</f>
        <v>#VALUE!</v>
      </c>
      <c r="GD11" t="e">
        <f>'All regions'!C270+"n/&gt;!E["</f>
        <v>#VALUE!</v>
      </c>
      <c r="GE11" t="e">
        <f>'All regions'!D270+"n/&gt;!E\"</f>
        <v>#VALUE!</v>
      </c>
      <c r="GF11" t="e">
        <f>'All regions'!E270+"n/&gt;!E]"</f>
        <v>#VALUE!</v>
      </c>
      <c r="GG11" t="e">
        <f>'All regions'!F270+"n/&gt;!E^"</f>
        <v>#VALUE!</v>
      </c>
      <c r="GH11" t="e">
        <f>'All regions'!G270+"n/&gt;!E_"</f>
        <v>#VALUE!</v>
      </c>
      <c r="GI11" t="e">
        <f>'All regions'!H270+"n/&gt;!E`"</f>
        <v>#VALUE!</v>
      </c>
      <c r="GJ11" t="e">
        <f>'All regions'!I270+"n/&gt;!Ea"</f>
        <v>#VALUE!</v>
      </c>
      <c r="GK11" t="e">
        <f>'All regions'!J270+"n/&gt;!Eb"</f>
        <v>#VALUE!</v>
      </c>
      <c r="GL11" t="e">
        <f>'All regions'!A271+"n/&gt;!Ec"</f>
        <v>#VALUE!</v>
      </c>
      <c r="GM11" t="e">
        <f>'All regions'!B271+"n/&gt;!Ed"</f>
        <v>#VALUE!</v>
      </c>
      <c r="GN11" t="e">
        <f>'All regions'!C271+"n/&gt;!Ee"</f>
        <v>#VALUE!</v>
      </c>
      <c r="GO11" t="e">
        <f>'All regions'!D271+"n/&gt;!Ef"</f>
        <v>#VALUE!</v>
      </c>
      <c r="GP11" t="e">
        <f>'All regions'!E271+"n/&gt;!Eg"</f>
        <v>#VALUE!</v>
      </c>
      <c r="GQ11" t="e">
        <f>'All regions'!F271+"n/&gt;!Eh"</f>
        <v>#VALUE!</v>
      </c>
      <c r="GR11" t="e">
        <f>'All regions'!G271+"n/&gt;!Ei"</f>
        <v>#VALUE!</v>
      </c>
      <c r="GS11" t="e">
        <f>'All regions'!H271+"n/&gt;!Ej"</f>
        <v>#VALUE!</v>
      </c>
      <c r="GT11" t="e">
        <f>'All regions'!I271+"n/&gt;!Ek"</f>
        <v>#VALUE!</v>
      </c>
      <c r="GU11" t="e">
        <f>'All regions'!J271+"n/&gt;!El"</f>
        <v>#VALUE!</v>
      </c>
      <c r="GV11" t="e">
        <f>'All regions'!A272+"n/&gt;!Em"</f>
        <v>#VALUE!</v>
      </c>
      <c r="GW11" t="e">
        <f>'All regions'!B272+"n/&gt;!En"</f>
        <v>#VALUE!</v>
      </c>
      <c r="GX11" t="e">
        <f>'All regions'!C272+"n/&gt;!Eo"</f>
        <v>#VALUE!</v>
      </c>
      <c r="GY11" t="e">
        <f>'All regions'!D272+"n/&gt;!Ep"</f>
        <v>#VALUE!</v>
      </c>
      <c r="GZ11" t="e">
        <f>'All regions'!E272+"n/&gt;!Eq"</f>
        <v>#VALUE!</v>
      </c>
      <c r="HA11" t="e">
        <f>'All regions'!F272+"n/&gt;!Er"</f>
        <v>#VALUE!</v>
      </c>
      <c r="HB11" t="e">
        <f>'All regions'!G272+"n/&gt;!Es"</f>
        <v>#VALUE!</v>
      </c>
      <c r="HC11" t="e">
        <f>'All regions'!H272+"n/&gt;!Et"</f>
        <v>#VALUE!</v>
      </c>
      <c r="HD11" t="e">
        <f>'All regions'!I272+"n/&gt;!Eu"</f>
        <v>#VALUE!</v>
      </c>
      <c r="HE11" t="e">
        <f>'All regions'!J272+"n/&gt;!Ev"</f>
        <v>#VALUE!</v>
      </c>
      <c r="HF11" t="e">
        <f>'All regions'!A273+"n/&gt;!Ew"</f>
        <v>#VALUE!</v>
      </c>
      <c r="HG11" t="e">
        <f>'All regions'!B273+"n/&gt;!Ex"</f>
        <v>#VALUE!</v>
      </c>
      <c r="HH11" t="e">
        <f>'All regions'!C273+"n/&gt;!Ey"</f>
        <v>#VALUE!</v>
      </c>
      <c r="HI11" t="e">
        <f>'All regions'!D273+"n/&gt;!Ez"</f>
        <v>#VALUE!</v>
      </c>
      <c r="HJ11" t="e">
        <f>'All regions'!E273+"n/&gt;!E{"</f>
        <v>#VALUE!</v>
      </c>
      <c r="HK11" t="e">
        <f>'All regions'!F273+"n/&gt;!E|"</f>
        <v>#VALUE!</v>
      </c>
      <c r="HL11" t="e">
        <f>'All regions'!G273+"n/&gt;!E}"</f>
        <v>#VALUE!</v>
      </c>
      <c r="HM11" t="e">
        <f>'All regions'!H273+"n/&gt;!E~"</f>
        <v>#VALUE!</v>
      </c>
      <c r="HN11" t="e">
        <f>'All regions'!I273+"n/&gt;!F#"</f>
        <v>#VALUE!</v>
      </c>
      <c r="HO11" t="e">
        <f>'All regions'!J273+"n/&gt;!F$"</f>
        <v>#VALUE!</v>
      </c>
      <c r="HP11" t="e">
        <f>'All regions'!A274+"n/&gt;!F%"</f>
        <v>#VALUE!</v>
      </c>
      <c r="HQ11" t="e">
        <f>'All regions'!B274+"n/&gt;!F&amp;"</f>
        <v>#VALUE!</v>
      </c>
      <c r="HR11" t="e">
        <f>'All regions'!C274+"n/&gt;!F'"</f>
        <v>#VALUE!</v>
      </c>
      <c r="HS11" t="e">
        <f>'All regions'!D274+"n/&gt;!F("</f>
        <v>#VALUE!</v>
      </c>
      <c r="HT11" t="e">
        <f>'All regions'!E274+"n/&gt;!F)"</f>
        <v>#VALUE!</v>
      </c>
      <c r="HU11" t="e">
        <f>'All regions'!F274+"n/&gt;!F."</f>
        <v>#VALUE!</v>
      </c>
      <c r="HV11" t="e">
        <f>'All regions'!G274+"n/&gt;!F/"</f>
        <v>#VALUE!</v>
      </c>
      <c r="HW11" t="e">
        <f>'All regions'!H274+"n/&gt;!F0"</f>
        <v>#VALUE!</v>
      </c>
      <c r="HX11" t="e">
        <f>'All regions'!I274+"n/&gt;!F1"</f>
        <v>#VALUE!</v>
      </c>
      <c r="HY11" t="e">
        <f>'All regions'!J274+"n/&gt;!F2"</f>
        <v>#VALUE!</v>
      </c>
      <c r="HZ11" t="e">
        <f>'All regions'!A275+"n/&gt;!F3"</f>
        <v>#VALUE!</v>
      </c>
      <c r="IA11" t="e">
        <f>'All regions'!B275+"n/&gt;!F4"</f>
        <v>#VALUE!</v>
      </c>
      <c r="IB11" t="e">
        <f>'All regions'!C275+"n/&gt;!F5"</f>
        <v>#VALUE!</v>
      </c>
      <c r="IC11" t="e">
        <f>'All regions'!D275+"n/&gt;!F6"</f>
        <v>#VALUE!</v>
      </c>
      <c r="ID11" t="e">
        <f>'All regions'!E275+"n/&gt;!F7"</f>
        <v>#VALUE!</v>
      </c>
      <c r="IE11" t="e">
        <f>'All regions'!F275+"n/&gt;!F8"</f>
        <v>#VALUE!</v>
      </c>
      <c r="IF11" t="e">
        <f>'All regions'!G275+"n/&gt;!F9"</f>
        <v>#VALUE!</v>
      </c>
      <c r="IG11" t="e">
        <f>'All regions'!H275+"n/&gt;!F:"</f>
        <v>#VALUE!</v>
      </c>
      <c r="IH11" t="e">
        <f>'All regions'!I275+"n/&gt;!F;"</f>
        <v>#VALUE!</v>
      </c>
      <c r="II11" t="e">
        <f>'All regions'!J275+"n/&gt;!F&lt;"</f>
        <v>#VALUE!</v>
      </c>
      <c r="IJ11" t="e">
        <f>'All regions'!A276+"n/&gt;!F="</f>
        <v>#VALUE!</v>
      </c>
      <c r="IK11" t="e">
        <f>'All regions'!B276+"n/&gt;!F&gt;"</f>
        <v>#VALUE!</v>
      </c>
      <c r="IL11" t="e">
        <f>'All regions'!C276+"n/&gt;!F?"</f>
        <v>#VALUE!</v>
      </c>
      <c r="IM11" t="e">
        <f>'All regions'!D276+"n/&gt;!F@"</f>
        <v>#VALUE!</v>
      </c>
      <c r="IN11" t="e">
        <f>'All regions'!E276+"n/&gt;!FA"</f>
        <v>#VALUE!</v>
      </c>
      <c r="IO11" t="e">
        <f>'All regions'!F276+"n/&gt;!FB"</f>
        <v>#VALUE!</v>
      </c>
      <c r="IP11" t="e">
        <f>'All regions'!G276+"n/&gt;!FC"</f>
        <v>#VALUE!</v>
      </c>
      <c r="IQ11" t="e">
        <f>'All regions'!H276+"n/&gt;!FD"</f>
        <v>#VALUE!</v>
      </c>
      <c r="IR11" t="e">
        <f>'All regions'!I276+"n/&gt;!FE"</f>
        <v>#VALUE!</v>
      </c>
      <c r="IS11" t="e">
        <f>'All regions'!J276+"n/&gt;!FF"</f>
        <v>#VALUE!</v>
      </c>
      <c r="IT11" t="e">
        <f>'All regions'!A277+"n/&gt;!FG"</f>
        <v>#VALUE!</v>
      </c>
      <c r="IU11" t="e">
        <f>'All regions'!B277+"n/&gt;!FH"</f>
        <v>#VALUE!</v>
      </c>
      <c r="IV11" t="e">
        <f>'All regions'!C277+"n/&gt;!FI"</f>
        <v>#VALUE!</v>
      </c>
    </row>
    <row r="12" spans="1:256" x14ac:dyDescent="0.35">
      <c r="F12" t="e">
        <f>'All regions'!D277+"n/&gt;!FJ"</f>
        <v>#VALUE!</v>
      </c>
      <c r="G12" t="e">
        <f>'All regions'!E277+"n/&gt;!FK"</f>
        <v>#VALUE!</v>
      </c>
      <c r="H12" t="e">
        <f>'All regions'!F277+"n/&gt;!FL"</f>
        <v>#VALUE!</v>
      </c>
      <c r="I12" t="e">
        <f>'All regions'!G277+"n/&gt;!FM"</f>
        <v>#VALUE!</v>
      </c>
      <c r="J12" t="e">
        <f>'All regions'!H277+"n/&gt;!FN"</f>
        <v>#VALUE!</v>
      </c>
      <c r="K12" t="e">
        <f>'All regions'!I277+"n/&gt;!FO"</f>
        <v>#VALUE!</v>
      </c>
      <c r="L12" t="e">
        <f>'All regions'!J277+"n/&gt;!FP"</f>
        <v>#VALUE!</v>
      </c>
      <c r="M12" t="e">
        <f>'All regions'!A278+"n/&gt;!FQ"</f>
        <v>#VALUE!</v>
      </c>
      <c r="N12" t="e">
        <f>'All regions'!B278+"n/&gt;!FR"</f>
        <v>#VALUE!</v>
      </c>
      <c r="O12" t="e">
        <f>'All regions'!C278+"n/&gt;!FS"</f>
        <v>#VALUE!</v>
      </c>
      <c r="P12" t="e">
        <f>'All regions'!D278+"n/&gt;!FT"</f>
        <v>#VALUE!</v>
      </c>
      <c r="Q12" t="e">
        <f>'All regions'!E278+"n/&gt;!FU"</f>
        <v>#VALUE!</v>
      </c>
      <c r="R12" t="e">
        <f>'All regions'!F278+"n/&gt;!FV"</f>
        <v>#VALUE!</v>
      </c>
      <c r="S12" t="e">
        <f>'All regions'!G278+"n/&gt;!FW"</f>
        <v>#VALUE!</v>
      </c>
      <c r="T12" t="e">
        <f>'All regions'!H278+"n/&gt;!FX"</f>
        <v>#VALUE!</v>
      </c>
      <c r="U12" t="e">
        <f>'All regions'!I278+"n/&gt;!FY"</f>
        <v>#VALUE!</v>
      </c>
      <c r="V12" t="e">
        <f>'All regions'!J278+"n/&gt;!FZ"</f>
        <v>#VALUE!</v>
      </c>
      <c r="W12" t="e">
        <f>'All regions'!A279+"n/&gt;!F["</f>
        <v>#VALUE!</v>
      </c>
      <c r="X12" t="e">
        <f>'All regions'!B279+"n/&gt;!F\"</f>
        <v>#VALUE!</v>
      </c>
      <c r="Y12" t="e">
        <f>'All regions'!C279+"n/&gt;!F]"</f>
        <v>#VALUE!</v>
      </c>
      <c r="Z12" t="e">
        <f>'All regions'!D279+"n/&gt;!F^"</f>
        <v>#VALUE!</v>
      </c>
      <c r="AA12" t="e">
        <f>'All regions'!E279+"n/&gt;!F_"</f>
        <v>#VALUE!</v>
      </c>
      <c r="AB12" t="e">
        <f>'All regions'!F279+"n/&gt;!F`"</f>
        <v>#VALUE!</v>
      </c>
      <c r="AC12" t="e">
        <f>'All regions'!G279+"n/&gt;!Fa"</f>
        <v>#VALUE!</v>
      </c>
      <c r="AD12" t="e">
        <f>'All regions'!H279+"n/&gt;!Fb"</f>
        <v>#VALUE!</v>
      </c>
      <c r="AE12" t="e">
        <f>'All regions'!I279+"n/&gt;!Fc"</f>
        <v>#VALUE!</v>
      </c>
      <c r="AF12" t="e">
        <f>'All regions'!J279+"n/&gt;!Fd"</f>
        <v>#VALUE!</v>
      </c>
      <c r="AG12" t="e">
        <f>'All regions'!A280+"n/&gt;!Fe"</f>
        <v>#VALUE!</v>
      </c>
      <c r="AH12" t="e">
        <f>'All regions'!B280+"n/&gt;!Ff"</f>
        <v>#VALUE!</v>
      </c>
      <c r="AI12" t="e">
        <f>'All regions'!C280+"n/&gt;!Fg"</f>
        <v>#VALUE!</v>
      </c>
      <c r="AJ12" t="e">
        <f>'All regions'!D280+"n/&gt;!Fh"</f>
        <v>#VALUE!</v>
      </c>
      <c r="AK12" t="e">
        <f>'All regions'!E280+"n/&gt;!Fi"</f>
        <v>#VALUE!</v>
      </c>
      <c r="AL12" t="e">
        <f>'All regions'!F280+"n/&gt;!Fj"</f>
        <v>#VALUE!</v>
      </c>
      <c r="AM12" t="e">
        <f>'All regions'!G280+"n/&gt;!Fk"</f>
        <v>#VALUE!</v>
      </c>
      <c r="AN12" t="e">
        <f>'All regions'!H280+"n/&gt;!Fl"</f>
        <v>#VALUE!</v>
      </c>
      <c r="AO12" t="e">
        <f>'All regions'!I280+"n/&gt;!Fm"</f>
        <v>#VALUE!</v>
      </c>
      <c r="AP12" t="e">
        <f>'All regions'!J280+"n/&gt;!Fn"</f>
        <v>#VALUE!</v>
      </c>
      <c r="AQ12" t="e">
        <f>'All regions'!A281+"n/&gt;!Fo"</f>
        <v>#VALUE!</v>
      </c>
      <c r="AR12" t="e">
        <f>'All regions'!B281+"n/&gt;!Fp"</f>
        <v>#VALUE!</v>
      </c>
      <c r="AS12" t="e">
        <f>'All regions'!C281+"n/&gt;!Fq"</f>
        <v>#VALUE!</v>
      </c>
      <c r="AT12" t="e">
        <f>'All regions'!D281+"n/&gt;!Fr"</f>
        <v>#VALUE!</v>
      </c>
      <c r="AU12" t="e">
        <f>'All regions'!E281+"n/&gt;!Fs"</f>
        <v>#VALUE!</v>
      </c>
      <c r="AV12" t="e">
        <f>'All regions'!F281+"n/&gt;!Ft"</f>
        <v>#VALUE!</v>
      </c>
      <c r="AW12" t="e">
        <f>'All regions'!G281+"n/&gt;!Fu"</f>
        <v>#VALUE!</v>
      </c>
      <c r="AX12" t="e">
        <f>'All regions'!H281+"n/&gt;!Fv"</f>
        <v>#VALUE!</v>
      </c>
      <c r="AY12" t="e">
        <f>'All regions'!I281+"n/&gt;!Fw"</f>
        <v>#VALUE!</v>
      </c>
      <c r="AZ12" t="e">
        <f>'All regions'!J281+"n/&gt;!Fx"</f>
        <v>#VALUE!</v>
      </c>
      <c r="BA12" t="e">
        <f>'All regions'!A282+"n/&gt;!Fy"</f>
        <v>#VALUE!</v>
      </c>
      <c r="BB12" t="e">
        <f>'All regions'!B282+"n/&gt;!Fz"</f>
        <v>#VALUE!</v>
      </c>
      <c r="BC12" t="e">
        <f>'All regions'!C282+"n/&gt;!F{"</f>
        <v>#VALUE!</v>
      </c>
      <c r="BD12" t="e">
        <f>'All regions'!D282+"n/&gt;!F|"</f>
        <v>#VALUE!</v>
      </c>
      <c r="BE12" t="e">
        <f>'All regions'!E282+"n/&gt;!F}"</f>
        <v>#VALUE!</v>
      </c>
      <c r="BF12" t="e">
        <f>'All regions'!F282+"n/&gt;!F~"</f>
        <v>#VALUE!</v>
      </c>
      <c r="BG12" t="e">
        <f>'All regions'!G282+"n/&gt;!G#"</f>
        <v>#VALUE!</v>
      </c>
      <c r="BH12" t="e">
        <f>'All regions'!H282+"n/&gt;!G$"</f>
        <v>#VALUE!</v>
      </c>
      <c r="BI12" t="e">
        <f>'All regions'!I282+"n/&gt;!G%"</f>
        <v>#VALUE!</v>
      </c>
      <c r="BJ12" t="e">
        <f>'All regions'!J282+"n/&gt;!G&amp;"</f>
        <v>#VALUE!</v>
      </c>
      <c r="BK12" t="e">
        <f>'All regions'!A283+"n/&gt;!G'"</f>
        <v>#VALUE!</v>
      </c>
      <c r="BL12" t="e">
        <f>'All regions'!B283+"n/&gt;!G("</f>
        <v>#VALUE!</v>
      </c>
      <c r="BM12" t="e">
        <f>'All regions'!C283+"n/&gt;!G)"</f>
        <v>#VALUE!</v>
      </c>
      <c r="BN12" t="e">
        <f>'All regions'!D283+"n/&gt;!G."</f>
        <v>#VALUE!</v>
      </c>
      <c r="BO12" t="e">
        <f>'All regions'!E283+"n/&gt;!G/"</f>
        <v>#VALUE!</v>
      </c>
      <c r="BP12" t="e">
        <f>'All regions'!F283+"n/&gt;!G0"</f>
        <v>#VALUE!</v>
      </c>
      <c r="BQ12" t="e">
        <f>'All regions'!G283+"n/&gt;!G1"</f>
        <v>#VALUE!</v>
      </c>
      <c r="BR12" t="e">
        <f>'All regions'!H283+"n/&gt;!G2"</f>
        <v>#VALUE!</v>
      </c>
      <c r="BS12" t="e">
        <f>'All regions'!I283+"n/&gt;!G3"</f>
        <v>#VALUE!</v>
      </c>
      <c r="BT12" t="e">
        <f>'All regions'!J283+"n/&gt;!G4"</f>
        <v>#VALUE!</v>
      </c>
      <c r="BU12" t="e">
        <f>'All regions'!A284+"n/&gt;!G5"</f>
        <v>#VALUE!</v>
      </c>
      <c r="BV12" t="e">
        <f>'All regions'!B284+"n/&gt;!G6"</f>
        <v>#VALUE!</v>
      </c>
      <c r="BW12" t="e">
        <f>'All regions'!C284+"n/&gt;!G7"</f>
        <v>#VALUE!</v>
      </c>
      <c r="BX12" t="e">
        <f>'All regions'!D284+"n/&gt;!G8"</f>
        <v>#VALUE!</v>
      </c>
      <c r="BY12" t="e">
        <f>'All regions'!E284+"n/&gt;!G9"</f>
        <v>#VALUE!</v>
      </c>
      <c r="BZ12" t="e">
        <f>'All regions'!F284+"n/&gt;!G:"</f>
        <v>#VALUE!</v>
      </c>
      <c r="CA12" t="e">
        <f>'All regions'!G284+"n/&gt;!G;"</f>
        <v>#VALUE!</v>
      </c>
      <c r="CB12" t="e">
        <f>'All regions'!H284+"n/&gt;!G&lt;"</f>
        <v>#VALUE!</v>
      </c>
      <c r="CC12" t="e">
        <f>'All regions'!I284+"n/&gt;!G="</f>
        <v>#VALUE!</v>
      </c>
      <c r="CD12" t="e">
        <f>'All regions'!J284+"n/&gt;!G&gt;"</f>
        <v>#VALUE!</v>
      </c>
      <c r="CE12" t="e">
        <f>'All regions'!A285+"n/&gt;!G?"</f>
        <v>#VALUE!</v>
      </c>
      <c r="CF12" t="e">
        <f>'All regions'!B285+"n/&gt;!G@"</f>
        <v>#VALUE!</v>
      </c>
      <c r="CG12" t="e">
        <f>'All regions'!C285+"n/&gt;!GA"</f>
        <v>#VALUE!</v>
      </c>
      <c r="CH12" t="e">
        <f>'All regions'!D285+"n/&gt;!GB"</f>
        <v>#VALUE!</v>
      </c>
      <c r="CI12" t="e">
        <f>'All regions'!E285+"n/&gt;!GC"</f>
        <v>#VALUE!</v>
      </c>
      <c r="CJ12" t="e">
        <f>'All regions'!F285+"n/&gt;!GD"</f>
        <v>#VALUE!</v>
      </c>
      <c r="CK12" t="e">
        <f>'All regions'!G285+"n/&gt;!GE"</f>
        <v>#VALUE!</v>
      </c>
      <c r="CL12" t="e">
        <f>'All regions'!H285+"n/&gt;!GF"</f>
        <v>#VALUE!</v>
      </c>
      <c r="CM12" t="e">
        <f>'All regions'!I285+"n/&gt;!GG"</f>
        <v>#VALUE!</v>
      </c>
      <c r="CN12" t="e">
        <f>'All regions'!J285+"n/&gt;!GH"</f>
        <v>#VALUE!</v>
      </c>
      <c r="CO12" t="e">
        <f>'All regions'!A286+"n/&gt;!GI"</f>
        <v>#VALUE!</v>
      </c>
      <c r="CP12" t="e">
        <f>'All regions'!B286+"n/&gt;!GJ"</f>
        <v>#VALUE!</v>
      </c>
      <c r="CQ12" t="e">
        <f>'All regions'!C286+"n/&gt;!GK"</f>
        <v>#VALUE!</v>
      </c>
      <c r="CR12" t="e">
        <f>'All regions'!D286+"n/&gt;!GL"</f>
        <v>#VALUE!</v>
      </c>
      <c r="CS12" t="e">
        <f>'All regions'!E286+"n/&gt;!GM"</f>
        <v>#VALUE!</v>
      </c>
      <c r="CT12" t="e">
        <f>'All regions'!F286+"n/&gt;!GN"</f>
        <v>#VALUE!</v>
      </c>
      <c r="CU12" t="e">
        <f>'All regions'!G286+"n/&gt;!GO"</f>
        <v>#VALUE!</v>
      </c>
      <c r="CV12" t="e">
        <f>'All regions'!H286+"n/&gt;!GP"</f>
        <v>#VALUE!</v>
      </c>
      <c r="CW12" t="e">
        <f>'All regions'!I286+"n/&gt;!GQ"</f>
        <v>#VALUE!</v>
      </c>
      <c r="CX12" t="e">
        <f>'All regions'!J286+"n/&gt;!GR"</f>
        <v>#VALUE!</v>
      </c>
      <c r="CY12" t="e">
        <f>'All regions'!A287+"n/&gt;!GS"</f>
        <v>#VALUE!</v>
      </c>
      <c r="CZ12" t="e">
        <f>'All regions'!B287+"n/&gt;!GT"</f>
        <v>#VALUE!</v>
      </c>
      <c r="DA12" t="e">
        <f>'All regions'!C287+"n/&gt;!GU"</f>
        <v>#VALUE!</v>
      </c>
      <c r="DB12" t="e">
        <f>'All regions'!D287+"n/&gt;!GV"</f>
        <v>#VALUE!</v>
      </c>
      <c r="DC12" t="e">
        <f>'All regions'!E287+"n/&gt;!GW"</f>
        <v>#VALUE!</v>
      </c>
      <c r="DD12" t="e">
        <f>'All regions'!F287+"n/&gt;!GX"</f>
        <v>#VALUE!</v>
      </c>
      <c r="DE12" t="e">
        <f>'All regions'!G287+"n/&gt;!GY"</f>
        <v>#VALUE!</v>
      </c>
      <c r="DF12" t="e">
        <f>'All regions'!H287+"n/&gt;!GZ"</f>
        <v>#VALUE!</v>
      </c>
      <c r="DG12" t="e">
        <f>'All regions'!I287+"n/&gt;!G["</f>
        <v>#VALUE!</v>
      </c>
      <c r="DH12" t="e">
        <f>'All regions'!J287+"n/&gt;!G\"</f>
        <v>#VALUE!</v>
      </c>
      <c r="DI12" t="e">
        <f>'All regions'!A288+"n/&gt;!G]"</f>
        <v>#VALUE!</v>
      </c>
      <c r="DJ12" t="e">
        <f>'All regions'!B288+"n/&gt;!G^"</f>
        <v>#VALUE!</v>
      </c>
      <c r="DK12" t="e">
        <f>'All regions'!C288+"n/&gt;!G_"</f>
        <v>#VALUE!</v>
      </c>
      <c r="DL12" t="e">
        <f>'All regions'!D288+"n/&gt;!G`"</f>
        <v>#VALUE!</v>
      </c>
      <c r="DM12" t="e">
        <f>'All regions'!E288+"n/&gt;!Ga"</f>
        <v>#VALUE!</v>
      </c>
      <c r="DN12" t="e">
        <f>'All regions'!F288+"n/&gt;!Gb"</f>
        <v>#VALUE!</v>
      </c>
      <c r="DO12" t="e">
        <f>'All regions'!G288+"n/&gt;!Gc"</f>
        <v>#VALUE!</v>
      </c>
      <c r="DP12" t="e">
        <f>'All regions'!H288+"n/&gt;!Gd"</f>
        <v>#VALUE!</v>
      </c>
      <c r="DQ12" t="e">
        <f>'All regions'!I288+"n/&gt;!Ge"</f>
        <v>#VALUE!</v>
      </c>
      <c r="DR12" t="e">
        <f>'All regions'!J288+"n/&gt;!Gf"</f>
        <v>#VALUE!</v>
      </c>
      <c r="DS12" t="e">
        <f>'All regions'!A289+"n/&gt;!Gg"</f>
        <v>#VALUE!</v>
      </c>
      <c r="DT12" t="e">
        <f>'All regions'!B289+"n/&gt;!Gh"</f>
        <v>#VALUE!</v>
      </c>
      <c r="DU12" t="e">
        <f>'All regions'!C289+"n/&gt;!Gi"</f>
        <v>#VALUE!</v>
      </c>
      <c r="DV12" t="e">
        <f>'All regions'!D289+"n/&gt;!Gj"</f>
        <v>#VALUE!</v>
      </c>
      <c r="DW12" t="e">
        <f>'All regions'!E289+"n/&gt;!Gk"</f>
        <v>#VALUE!</v>
      </c>
      <c r="DX12" t="e">
        <f>'All regions'!F289+"n/&gt;!Gl"</f>
        <v>#VALUE!</v>
      </c>
      <c r="DY12" t="e">
        <f>'All regions'!G289+"n/&gt;!Gm"</f>
        <v>#VALUE!</v>
      </c>
      <c r="DZ12" t="e">
        <f>'All regions'!H289+"n/&gt;!Gn"</f>
        <v>#VALUE!</v>
      </c>
      <c r="EA12" t="e">
        <f>'All regions'!I289+"n/&gt;!Go"</f>
        <v>#VALUE!</v>
      </c>
      <c r="EB12" t="e">
        <f>'All regions'!J289+"n/&gt;!Gp"</f>
        <v>#VALUE!</v>
      </c>
      <c r="EC12" t="e">
        <f>'All regions'!A290+"n/&gt;!Gq"</f>
        <v>#VALUE!</v>
      </c>
      <c r="ED12" t="e">
        <f>'All regions'!B290+"n/&gt;!Gr"</f>
        <v>#VALUE!</v>
      </c>
      <c r="EE12" t="e">
        <f>'All regions'!C290+"n/&gt;!Gs"</f>
        <v>#VALUE!</v>
      </c>
      <c r="EF12" t="e">
        <f>'All regions'!D290+"n/&gt;!Gt"</f>
        <v>#VALUE!</v>
      </c>
      <c r="EG12" t="e">
        <f>'All regions'!E290+"n/&gt;!Gu"</f>
        <v>#VALUE!</v>
      </c>
      <c r="EH12" t="e">
        <f>'All regions'!F290+"n/&gt;!Gv"</f>
        <v>#VALUE!</v>
      </c>
      <c r="EI12" t="e">
        <f>'All regions'!G290+"n/&gt;!Gw"</f>
        <v>#VALUE!</v>
      </c>
      <c r="EJ12" t="e">
        <f>'All regions'!H290+"n/&gt;!Gx"</f>
        <v>#VALUE!</v>
      </c>
      <c r="EK12" t="e">
        <f>'All regions'!I290+"n/&gt;!Gy"</f>
        <v>#VALUE!</v>
      </c>
      <c r="EL12" t="e">
        <f>'All regions'!J290+"n/&gt;!Gz"</f>
        <v>#VALUE!</v>
      </c>
      <c r="EM12" t="e">
        <f>'All regions'!A291+"n/&gt;!G{"</f>
        <v>#VALUE!</v>
      </c>
      <c r="EN12" t="e">
        <f>'All regions'!B291+"n/&gt;!G|"</f>
        <v>#VALUE!</v>
      </c>
      <c r="EO12" t="e">
        <f>'All regions'!C291+"n/&gt;!G}"</f>
        <v>#VALUE!</v>
      </c>
      <c r="EP12" t="e">
        <f>'All regions'!D291+"n/&gt;!G~"</f>
        <v>#VALUE!</v>
      </c>
      <c r="EQ12" t="e">
        <f>'All regions'!E291+"n/&gt;!H#"</f>
        <v>#VALUE!</v>
      </c>
      <c r="ER12" t="e">
        <f>'All regions'!F291+"n/&gt;!H$"</f>
        <v>#VALUE!</v>
      </c>
      <c r="ES12" t="e">
        <f>'All regions'!G291+"n/&gt;!H%"</f>
        <v>#VALUE!</v>
      </c>
      <c r="ET12" t="e">
        <f>'All regions'!H291+"n/&gt;!H&amp;"</f>
        <v>#VALUE!</v>
      </c>
      <c r="EU12" t="e">
        <f>'All regions'!I291+"n/&gt;!H'"</f>
        <v>#VALUE!</v>
      </c>
      <c r="EV12" t="e">
        <f>'All regions'!J291+"n/&gt;!H("</f>
        <v>#VALUE!</v>
      </c>
      <c r="EW12" t="e">
        <f>'All regions'!A292+"n/&gt;!H)"</f>
        <v>#VALUE!</v>
      </c>
      <c r="EX12" t="e">
        <f>'All regions'!B292+"n/&gt;!H."</f>
        <v>#VALUE!</v>
      </c>
      <c r="EY12" t="e">
        <f>'All regions'!C292+"n/&gt;!H/"</f>
        <v>#VALUE!</v>
      </c>
      <c r="EZ12" t="e">
        <f>'All regions'!D292+"n/&gt;!H0"</f>
        <v>#VALUE!</v>
      </c>
      <c r="FA12" t="e">
        <f>'All regions'!E292+"n/&gt;!H1"</f>
        <v>#VALUE!</v>
      </c>
      <c r="FB12" t="e">
        <f>'All regions'!F292+"n/&gt;!H2"</f>
        <v>#VALUE!</v>
      </c>
      <c r="FC12" t="e">
        <f>'All regions'!G292+"n/&gt;!H3"</f>
        <v>#VALUE!</v>
      </c>
      <c r="FD12" t="e">
        <f>'All regions'!H292+"n/&gt;!H4"</f>
        <v>#VALUE!</v>
      </c>
      <c r="FE12" t="e">
        <f>'All regions'!I292+"n/&gt;!H5"</f>
        <v>#VALUE!</v>
      </c>
      <c r="FF12" t="e">
        <f>'All regions'!J292+"n/&gt;!H6"</f>
        <v>#VALUE!</v>
      </c>
      <c r="FG12" t="e">
        <f>'All regions'!A293+"n/&gt;!H7"</f>
        <v>#VALUE!</v>
      </c>
      <c r="FH12" t="e">
        <f>'All regions'!B293+"n/&gt;!H8"</f>
        <v>#VALUE!</v>
      </c>
      <c r="FI12" t="e">
        <f>'All regions'!C293+"n/&gt;!H9"</f>
        <v>#VALUE!</v>
      </c>
      <c r="FJ12" t="e">
        <f>'All regions'!D293+"n/&gt;!H:"</f>
        <v>#VALUE!</v>
      </c>
      <c r="FK12" t="e">
        <f>'All regions'!E293+"n/&gt;!H;"</f>
        <v>#VALUE!</v>
      </c>
      <c r="FL12" t="e">
        <f>'All regions'!F293+"n/&gt;!H&lt;"</f>
        <v>#VALUE!</v>
      </c>
      <c r="FM12" t="e">
        <f>'All regions'!G293+"n/&gt;!H="</f>
        <v>#VALUE!</v>
      </c>
      <c r="FN12" t="e">
        <f>'All regions'!H293+"n/&gt;!H&gt;"</f>
        <v>#VALUE!</v>
      </c>
      <c r="FO12" t="e">
        <f>'All regions'!I293+"n/&gt;!H?"</f>
        <v>#VALUE!</v>
      </c>
      <c r="FP12" t="e">
        <f>'All regions'!J293+"n/&gt;!H@"</f>
        <v>#VALUE!</v>
      </c>
      <c r="FQ12" t="e">
        <f>'All regions'!A294+"n/&gt;!HA"</f>
        <v>#VALUE!</v>
      </c>
      <c r="FR12" t="e">
        <f>'All regions'!B294+"n/&gt;!HB"</f>
        <v>#VALUE!</v>
      </c>
      <c r="FS12" t="e">
        <f>'All regions'!C294+"n/&gt;!HC"</f>
        <v>#VALUE!</v>
      </c>
      <c r="FT12" t="e">
        <f>'All regions'!D294+"n/&gt;!HD"</f>
        <v>#VALUE!</v>
      </c>
      <c r="FU12" t="e">
        <f>'All regions'!E294+"n/&gt;!HE"</f>
        <v>#VALUE!</v>
      </c>
      <c r="FV12" t="e">
        <f>'All regions'!F294+"n/&gt;!HF"</f>
        <v>#VALUE!</v>
      </c>
      <c r="FW12" t="e">
        <f>'All regions'!G294+"n/&gt;!HG"</f>
        <v>#VALUE!</v>
      </c>
      <c r="FX12" t="e">
        <f>'All regions'!H294+"n/&gt;!HH"</f>
        <v>#VALUE!</v>
      </c>
      <c r="FY12" t="e">
        <f>'All regions'!I294+"n/&gt;!HI"</f>
        <v>#VALUE!</v>
      </c>
      <c r="FZ12" t="e">
        <f>'All regions'!J294+"n/&gt;!HJ"</f>
        <v>#VALUE!</v>
      </c>
      <c r="GA12" t="e">
        <f>'All regions'!A295+"n/&gt;!HK"</f>
        <v>#VALUE!</v>
      </c>
      <c r="GB12" t="e">
        <f>'All regions'!B295+"n/&gt;!HL"</f>
        <v>#VALUE!</v>
      </c>
      <c r="GC12" t="e">
        <f>'All regions'!C295+"n/&gt;!HM"</f>
        <v>#VALUE!</v>
      </c>
      <c r="GD12" t="e">
        <f>'All regions'!D295+"n/&gt;!HN"</f>
        <v>#VALUE!</v>
      </c>
      <c r="GE12" t="e">
        <f>'All regions'!E295+"n/&gt;!HO"</f>
        <v>#VALUE!</v>
      </c>
      <c r="GF12" t="e">
        <f>'All regions'!F295+"n/&gt;!HP"</f>
        <v>#VALUE!</v>
      </c>
      <c r="GG12" t="e">
        <f>'All regions'!G295+"n/&gt;!HQ"</f>
        <v>#VALUE!</v>
      </c>
      <c r="GH12" t="e">
        <f>'All regions'!H295+"n/&gt;!HR"</f>
        <v>#VALUE!</v>
      </c>
      <c r="GI12" t="e">
        <f>'All regions'!I295+"n/&gt;!HS"</f>
        <v>#VALUE!</v>
      </c>
      <c r="GJ12" t="e">
        <f>'All regions'!J295+"n/&gt;!HT"</f>
        <v>#VALUE!</v>
      </c>
      <c r="GK12" t="e">
        <f>'All regions'!A296+"n/&gt;!HU"</f>
        <v>#VALUE!</v>
      </c>
      <c r="GL12" t="e">
        <f>'All regions'!B296+"n/&gt;!HV"</f>
        <v>#VALUE!</v>
      </c>
      <c r="GM12" t="e">
        <f>'All regions'!C296+"n/&gt;!HW"</f>
        <v>#VALUE!</v>
      </c>
      <c r="GN12" t="e">
        <f>'All regions'!D296+"n/&gt;!HX"</f>
        <v>#VALUE!</v>
      </c>
      <c r="GO12" t="e">
        <f>'All regions'!E296+"n/&gt;!HY"</f>
        <v>#VALUE!</v>
      </c>
      <c r="GP12" t="e">
        <f>'All regions'!F296+"n/&gt;!HZ"</f>
        <v>#VALUE!</v>
      </c>
      <c r="GQ12" t="e">
        <f>'All regions'!G296+"n/&gt;!H["</f>
        <v>#VALUE!</v>
      </c>
      <c r="GR12" t="e">
        <f>'All regions'!H296+"n/&gt;!H\"</f>
        <v>#VALUE!</v>
      </c>
      <c r="GS12" t="e">
        <f>'All regions'!I296+"n/&gt;!H]"</f>
        <v>#VALUE!</v>
      </c>
      <c r="GT12" t="e">
        <f>'All regions'!J296+"n/&gt;!H^"</f>
        <v>#VALUE!</v>
      </c>
      <c r="GU12" t="e">
        <f>'All regions'!A297+"n/&gt;!H_"</f>
        <v>#VALUE!</v>
      </c>
      <c r="GV12" t="e">
        <f>'All regions'!B297+"n/&gt;!H`"</f>
        <v>#VALUE!</v>
      </c>
      <c r="GW12" t="e">
        <f>'All regions'!C297+"n/&gt;!Ha"</f>
        <v>#VALUE!</v>
      </c>
      <c r="GX12" t="e">
        <f>'All regions'!D297+"n/&gt;!Hb"</f>
        <v>#VALUE!</v>
      </c>
      <c r="GY12" t="e">
        <f>'All regions'!E297+"n/&gt;!Hc"</f>
        <v>#VALUE!</v>
      </c>
      <c r="GZ12" t="e">
        <f>'All regions'!F297+"n/&gt;!Hd"</f>
        <v>#VALUE!</v>
      </c>
      <c r="HA12" t="e">
        <f>'All regions'!G297+"n/&gt;!He"</f>
        <v>#VALUE!</v>
      </c>
      <c r="HB12" t="e">
        <f>'All regions'!H297+"n/&gt;!Hf"</f>
        <v>#VALUE!</v>
      </c>
      <c r="HC12" t="e">
        <f>'All regions'!I297+"n/&gt;!Hg"</f>
        <v>#VALUE!</v>
      </c>
      <c r="HD12" t="e">
        <f>'All regions'!J297+"n/&gt;!Hh"</f>
        <v>#VALUE!</v>
      </c>
      <c r="HE12" t="e">
        <f>'All regions'!A298+"n/&gt;!Hi"</f>
        <v>#VALUE!</v>
      </c>
      <c r="HF12" t="e">
        <f>'All regions'!B298+"n/&gt;!Hj"</f>
        <v>#VALUE!</v>
      </c>
      <c r="HG12" t="e">
        <f>'All regions'!C298+"n/&gt;!Hk"</f>
        <v>#VALUE!</v>
      </c>
      <c r="HH12" t="e">
        <f>'All regions'!D298+"n/&gt;!Hl"</f>
        <v>#VALUE!</v>
      </c>
      <c r="HI12" t="e">
        <f>'All regions'!E298+"n/&gt;!Hm"</f>
        <v>#VALUE!</v>
      </c>
      <c r="HJ12" t="e">
        <f>'All regions'!F298+"n/&gt;!Hn"</f>
        <v>#VALUE!</v>
      </c>
      <c r="HK12" t="e">
        <f>'All regions'!G298+"n/&gt;!Ho"</f>
        <v>#VALUE!</v>
      </c>
      <c r="HL12" t="e">
        <f>'All regions'!H298+"n/&gt;!Hp"</f>
        <v>#VALUE!</v>
      </c>
      <c r="HM12" t="e">
        <f>'All regions'!I298+"n/&gt;!Hq"</f>
        <v>#VALUE!</v>
      </c>
      <c r="HN12" t="e">
        <f>'All regions'!J298+"n/&gt;!Hr"</f>
        <v>#VALUE!</v>
      </c>
      <c r="HO12" t="e">
        <f>'All regions'!A299+"n/&gt;!Hs"</f>
        <v>#VALUE!</v>
      </c>
      <c r="HP12" t="e">
        <f>'All regions'!B299+"n/&gt;!Ht"</f>
        <v>#VALUE!</v>
      </c>
      <c r="HQ12" t="e">
        <f>'All regions'!C299+"n/&gt;!Hu"</f>
        <v>#VALUE!</v>
      </c>
      <c r="HR12" t="e">
        <f>'All regions'!D299+"n/&gt;!Hv"</f>
        <v>#VALUE!</v>
      </c>
      <c r="HS12" t="e">
        <f>'All regions'!E299+"n/&gt;!Hw"</f>
        <v>#VALUE!</v>
      </c>
      <c r="HT12" t="e">
        <f>'All regions'!F299+"n/&gt;!Hx"</f>
        <v>#VALUE!</v>
      </c>
      <c r="HU12" t="e">
        <f>'All regions'!G299+"n/&gt;!Hy"</f>
        <v>#VALUE!</v>
      </c>
      <c r="HV12" t="e">
        <f>'All regions'!H299+"n/&gt;!Hz"</f>
        <v>#VALUE!</v>
      </c>
      <c r="HW12" t="e">
        <f>'All regions'!I299+"n/&gt;!H{"</f>
        <v>#VALUE!</v>
      </c>
      <c r="HX12" t="e">
        <f>'All regions'!J299+"n/&gt;!H|"</f>
        <v>#VALUE!</v>
      </c>
      <c r="HY12" t="e">
        <f>'All regions'!A300+"n/&gt;!H}"</f>
        <v>#VALUE!</v>
      </c>
      <c r="HZ12" t="e">
        <f>'All regions'!B300+"n/&gt;!H~"</f>
        <v>#VALUE!</v>
      </c>
      <c r="IA12" t="e">
        <f>'All regions'!C300+"n/&gt;!I#"</f>
        <v>#VALUE!</v>
      </c>
      <c r="IB12" t="e">
        <f>'All regions'!D300+"n/&gt;!I$"</f>
        <v>#VALUE!</v>
      </c>
      <c r="IC12" t="e">
        <f>'All regions'!E300+"n/&gt;!I%"</f>
        <v>#VALUE!</v>
      </c>
      <c r="ID12" t="e">
        <f>'All regions'!F300+"n/&gt;!I&amp;"</f>
        <v>#VALUE!</v>
      </c>
      <c r="IE12" t="e">
        <f>'All regions'!G300+"n/&gt;!I'"</f>
        <v>#VALUE!</v>
      </c>
      <c r="IF12" t="e">
        <f>'All regions'!H300+"n/&gt;!I("</f>
        <v>#VALUE!</v>
      </c>
      <c r="IG12" t="e">
        <f>'All regions'!I300+"n/&gt;!I)"</f>
        <v>#VALUE!</v>
      </c>
      <c r="IH12" t="e">
        <f>'All regions'!J300+"n/&gt;!I."</f>
        <v>#VALUE!</v>
      </c>
      <c r="II12" t="e">
        <f>'All regions'!A301+"n/&gt;!I/"</f>
        <v>#VALUE!</v>
      </c>
      <c r="IJ12" t="e">
        <f>'All regions'!B301+"n/&gt;!I0"</f>
        <v>#VALUE!</v>
      </c>
      <c r="IK12" t="e">
        <f>'All regions'!C301+"n/&gt;!I1"</f>
        <v>#VALUE!</v>
      </c>
      <c r="IL12" t="e">
        <f>'All regions'!D301+"n/&gt;!I2"</f>
        <v>#VALUE!</v>
      </c>
      <c r="IM12" t="e">
        <f>'All regions'!E301+"n/&gt;!I3"</f>
        <v>#VALUE!</v>
      </c>
      <c r="IN12" t="e">
        <f>'All regions'!F301+"n/&gt;!I4"</f>
        <v>#VALUE!</v>
      </c>
      <c r="IO12" t="e">
        <f>'All regions'!G301+"n/&gt;!I5"</f>
        <v>#VALUE!</v>
      </c>
      <c r="IP12" t="e">
        <f>'All regions'!H301+"n/&gt;!I6"</f>
        <v>#VALUE!</v>
      </c>
      <c r="IQ12" t="e">
        <f>'All regions'!I301+"n/&gt;!I7"</f>
        <v>#VALUE!</v>
      </c>
      <c r="IR12" t="e">
        <f>'All regions'!J301+"n/&gt;!I8"</f>
        <v>#VALUE!</v>
      </c>
      <c r="IS12" t="e">
        <f>'All regions'!A302+"n/&gt;!I9"</f>
        <v>#VALUE!</v>
      </c>
      <c r="IT12" t="e">
        <f>'All regions'!B302+"n/&gt;!I:"</f>
        <v>#VALUE!</v>
      </c>
      <c r="IU12" t="e">
        <f>'All regions'!C302+"n/&gt;!I;"</f>
        <v>#VALUE!</v>
      </c>
      <c r="IV12" t="e">
        <f>'All regions'!D302+"n/&gt;!I&lt;"</f>
        <v>#VALUE!</v>
      </c>
    </row>
    <row r="13" spans="1:256" x14ac:dyDescent="0.35">
      <c r="F13" t="e">
        <f>'All regions'!E302+"n/&gt;!I="</f>
        <v>#VALUE!</v>
      </c>
      <c r="G13" t="e">
        <f>'All regions'!F302+"n/&gt;!I&gt;"</f>
        <v>#VALUE!</v>
      </c>
      <c r="H13" t="e">
        <f>'All regions'!G302+"n/&gt;!I?"</f>
        <v>#VALUE!</v>
      </c>
      <c r="I13" t="e">
        <f>'All regions'!H302+"n/&gt;!I@"</f>
        <v>#VALUE!</v>
      </c>
      <c r="J13" t="e">
        <f>'All regions'!I302+"n/&gt;!IA"</f>
        <v>#VALUE!</v>
      </c>
      <c r="K13" t="e">
        <f>'All regions'!J302+"n/&gt;!IB"</f>
        <v>#VALUE!</v>
      </c>
      <c r="L13" t="e">
        <f>'All regions'!A303+"n/&gt;!IC"</f>
        <v>#VALUE!</v>
      </c>
      <c r="M13" t="e">
        <f>'All regions'!B303+"n/&gt;!ID"</f>
        <v>#VALUE!</v>
      </c>
      <c r="N13" t="e">
        <f>'All regions'!C303+"n/&gt;!IE"</f>
        <v>#VALUE!</v>
      </c>
      <c r="O13" t="e">
        <f>'All regions'!D303+"n/&gt;!IF"</f>
        <v>#VALUE!</v>
      </c>
      <c r="P13" t="e">
        <f>'All regions'!E303+"n/&gt;!IG"</f>
        <v>#VALUE!</v>
      </c>
      <c r="Q13" t="e">
        <f>'All regions'!F303+"n/&gt;!IH"</f>
        <v>#VALUE!</v>
      </c>
      <c r="R13" t="e">
        <f>'All regions'!G303+"n/&gt;!II"</f>
        <v>#VALUE!</v>
      </c>
      <c r="S13" t="e">
        <f>'All regions'!H303+"n/&gt;!IJ"</f>
        <v>#VALUE!</v>
      </c>
      <c r="T13" t="e">
        <f>'All regions'!I303+"n/&gt;!IK"</f>
        <v>#VALUE!</v>
      </c>
      <c r="U13" t="e">
        <f>'All regions'!J303+"n/&gt;!IL"</f>
        <v>#VALUE!</v>
      </c>
      <c r="V13" t="e">
        <f>'All regions'!A304+"n/&gt;!IM"</f>
        <v>#VALUE!</v>
      </c>
      <c r="W13" t="e">
        <f>'All regions'!B304+"n/&gt;!IN"</f>
        <v>#VALUE!</v>
      </c>
      <c r="X13" t="e">
        <f>'All regions'!C304+"n/&gt;!IO"</f>
        <v>#VALUE!</v>
      </c>
      <c r="Y13" t="e">
        <f>'All regions'!D304+"n/&gt;!IP"</f>
        <v>#VALUE!</v>
      </c>
      <c r="Z13" t="e">
        <f>'All regions'!E304+"n/&gt;!IQ"</f>
        <v>#VALUE!</v>
      </c>
      <c r="AA13" t="e">
        <f>'All regions'!F304+"n/&gt;!IR"</f>
        <v>#VALUE!</v>
      </c>
      <c r="AB13" t="e">
        <f>'All regions'!G304+"n/&gt;!IS"</f>
        <v>#VALUE!</v>
      </c>
      <c r="AC13" t="e">
        <f>'All regions'!H304+"n/&gt;!IT"</f>
        <v>#VALUE!</v>
      </c>
      <c r="AD13" t="e">
        <f>'All regions'!I304+"n/&gt;!IU"</f>
        <v>#VALUE!</v>
      </c>
      <c r="AE13" t="e">
        <f>'All regions'!J304+"n/&gt;!IV"</f>
        <v>#VALUE!</v>
      </c>
      <c r="AF13" t="e">
        <f>'All regions'!A305+"n/&gt;!IW"</f>
        <v>#VALUE!</v>
      </c>
      <c r="AG13" t="e">
        <f>'All regions'!B305+"n/&gt;!IX"</f>
        <v>#VALUE!</v>
      </c>
      <c r="AH13" t="e">
        <f>'All regions'!C305+"n/&gt;!IY"</f>
        <v>#VALUE!</v>
      </c>
      <c r="AI13" t="e">
        <f>'All regions'!D305+"n/&gt;!IZ"</f>
        <v>#VALUE!</v>
      </c>
      <c r="AJ13" t="e">
        <f>'All regions'!E305+"n/&gt;!I["</f>
        <v>#VALUE!</v>
      </c>
      <c r="AK13" t="e">
        <f>'All regions'!F305+"n/&gt;!I\"</f>
        <v>#VALUE!</v>
      </c>
      <c r="AL13" t="e">
        <f>'All regions'!G305+"n/&gt;!I]"</f>
        <v>#VALUE!</v>
      </c>
      <c r="AM13" t="e">
        <f>'All regions'!H305+"n/&gt;!I^"</f>
        <v>#VALUE!</v>
      </c>
      <c r="AN13" t="e">
        <f>'All regions'!I305+"n/&gt;!I_"</f>
        <v>#VALUE!</v>
      </c>
      <c r="AO13" t="e">
        <f>'All regions'!J305+"n/&gt;!I`"</f>
        <v>#VALUE!</v>
      </c>
      <c r="AP13" t="e">
        <f>'All regions'!A306+"n/&gt;!Ia"</f>
        <v>#VALUE!</v>
      </c>
      <c r="AQ13" t="e">
        <f>'All regions'!B306+"n/&gt;!Ib"</f>
        <v>#VALUE!</v>
      </c>
      <c r="AR13" t="e">
        <f>'All regions'!C306+"n/&gt;!Ic"</f>
        <v>#VALUE!</v>
      </c>
      <c r="AS13" t="e">
        <f>'All regions'!D306+"n/&gt;!Id"</f>
        <v>#VALUE!</v>
      </c>
      <c r="AT13" t="e">
        <f>'All regions'!E306+"n/&gt;!Ie"</f>
        <v>#VALUE!</v>
      </c>
      <c r="AU13" t="e">
        <f>'All regions'!F306+"n/&gt;!If"</f>
        <v>#VALUE!</v>
      </c>
      <c r="AV13" t="e">
        <f>'All regions'!G306+"n/&gt;!Ig"</f>
        <v>#VALUE!</v>
      </c>
      <c r="AW13" t="e">
        <f>'All regions'!H306+"n/&gt;!Ih"</f>
        <v>#VALUE!</v>
      </c>
      <c r="AX13" t="e">
        <f>'All regions'!I306+"n/&gt;!Ii"</f>
        <v>#VALUE!</v>
      </c>
      <c r="AY13" t="e">
        <f>'All regions'!J306+"n/&gt;!Ij"</f>
        <v>#VALUE!</v>
      </c>
      <c r="AZ13" t="e">
        <f>'All regions'!A307+"n/&gt;!Ik"</f>
        <v>#VALUE!</v>
      </c>
      <c r="BA13" t="e">
        <f>'All regions'!B307+"n/&gt;!Il"</f>
        <v>#VALUE!</v>
      </c>
      <c r="BB13" t="e">
        <f>'All regions'!C307+"n/&gt;!Im"</f>
        <v>#VALUE!</v>
      </c>
      <c r="BC13" t="e">
        <f>'All regions'!D307+"n/&gt;!In"</f>
        <v>#VALUE!</v>
      </c>
      <c r="BD13" t="e">
        <f>'All regions'!E307+"n/&gt;!Io"</f>
        <v>#VALUE!</v>
      </c>
      <c r="BE13" t="e">
        <f>'All regions'!F307+"n/&gt;!Ip"</f>
        <v>#VALUE!</v>
      </c>
      <c r="BF13" t="e">
        <f>'All regions'!G307+"n/&gt;!Iq"</f>
        <v>#VALUE!</v>
      </c>
      <c r="BG13" t="e">
        <f>'All regions'!H307+"n/&gt;!Ir"</f>
        <v>#VALUE!</v>
      </c>
      <c r="BH13" t="e">
        <f>'All regions'!I307+"n/&gt;!Is"</f>
        <v>#VALUE!</v>
      </c>
      <c r="BI13" t="e">
        <f>'All regions'!J307+"n/&gt;!It"</f>
        <v>#VALUE!</v>
      </c>
      <c r="BJ13" t="e">
        <f>'All regions'!A308+"n/&gt;!Iu"</f>
        <v>#VALUE!</v>
      </c>
      <c r="BK13" t="e">
        <f>'All regions'!B308+"n/&gt;!Iv"</f>
        <v>#VALUE!</v>
      </c>
      <c r="BL13" t="e">
        <f>'All regions'!C308+"n/&gt;!Iw"</f>
        <v>#VALUE!</v>
      </c>
      <c r="BM13" t="e">
        <f>'All regions'!D308+"n/&gt;!Ix"</f>
        <v>#VALUE!</v>
      </c>
      <c r="BN13" t="e">
        <f>'All regions'!E308+"n/&gt;!Iy"</f>
        <v>#VALUE!</v>
      </c>
      <c r="BO13" t="e">
        <f>'All regions'!F308+"n/&gt;!Iz"</f>
        <v>#VALUE!</v>
      </c>
      <c r="BP13" t="e">
        <f>'All regions'!G308+"n/&gt;!I{"</f>
        <v>#VALUE!</v>
      </c>
      <c r="BQ13" t="e">
        <f>'All regions'!H308+"n/&gt;!I|"</f>
        <v>#VALUE!</v>
      </c>
      <c r="BR13" t="e">
        <f>'All regions'!I308+"n/&gt;!I}"</f>
        <v>#VALUE!</v>
      </c>
      <c r="BS13" t="e">
        <f>'All regions'!J308+"n/&gt;!I~"</f>
        <v>#VALUE!</v>
      </c>
      <c r="BT13" t="e">
        <f>'All regions'!A309+"n/&gt;!J#"</f>
        <v>#VALUE!</v>
      </c>
      <c r="BU13" t="e">
        <f>'All regions'!B309+"n/&gt;!J$"</f>
        <v>#VALUE!</v>
      </c>
      <c r="BV13" t="e">
        <f>'All regions'!C309+"n/&gt;!J%"</f>
        <v>#VALUE!</v>
      </c>
      <c r="BW13" t="e">
        <f>'All regions'!D309+"n/&gt;!J&amp;"</f>
        <v>#VALUE!</v>
      </c>
      <c r="BX13" t="e">
        <f>'All regions'!E309+"n/&gt;!J'"</f>
        <v>#VALUE!</v>
      </c>
      <c r="BY13" t="e">
        <f>'All regions'!F309+"n/&gt;!J("</f>
        <v>#VALUE!</v>
      </c>
      <c r="BZ13" t="e">
        <f>'All regions'!G309+"n/&gt;!J)"</f>
        <v>#VALUE!</v>
      </c>
      <c r="CA13" t="e">
        <f>'All regions'!H309+"n/&gt;!J."</f>
        <v>#VALUE!</v>
      </c>
      <c r="CB13" t="e">
        <f>'All regions'!I309+"n/&gt;!J/"</f>
        <v>#VALUE!</v>
      </c>
      <c r="CC13" t="e">
        <f>'All regions'!J309+"n/&gt;!J0"</f>
        <v>#VALUE!</v>
      </c>
      <c r="CD13" t="e">
        <f>'All regions'!A310+"n/&gt;!J1"</f>
        <v>#VALUE!</v>
      </c>
      <c r="CE13" t="e">
        <f>'All regions'!B310+"n/&gt;!J2"</f>
        <v>#VALUE!</v>
      </c>
      <c r="CF13" t="e">
        <f>'All regions'!C310+"n/&gt;!J3"</f>
        <v>#VALUE!</v>
      </c>
      <c r="CG13" t="e">
        <f>'All regions'!D310+"n/&gt;!J4"</f>
        <v>#VALUE!</v>
      </c>
      <c r="CH13" t="e">
        <f>'All regions'!E310+"n/&gt;!J5"</f>
        <v>#VALUE!</v>
      </c>
      <c r="CI13" t="e">
        <f>'All regions'!F310+"n/&gt;!J6"</f>
        <v>#VALUE!</v>
      </c>
      <c r="CJ13" t="e">
        <f>'All regions'!G310+"n/&gt;!J7"</f>
        <v>#VALUE!</v>
      </c>
      <c r="CK13" t="e">
        <f>'All regions'!H310+"n/&gt;!J8"</f>
        <v>#VALUE!</v>
      </c>
      <c r="CL13" t="e">
        <f>'All regions'!I310+"n/&gt;!J9"</f>
        <v>#VALUE!</v>
      </c>
      <c r="CM13" t="e">
        <f>'All regions'!J310+"n/&gt;!J:"</f>
        <v>#VALUE!</v>
      </c>
      <c r="CN13" t="e">
        <f>'All regions'!A311+"n/&gt;!J;"</f>
        <v>#VALUE!</v>
      </c>
      <c r="CO13" t="e">
        <f>'All regions'!B311+"n/&gt;!J&lt;"</f>
        <v>#VALUE!</v>
      </c>
      <c r="CP13" t="e">
        <f>'All regions'!C311+"n/&gt;!J="</f>
        <v>#VALUE!</v>
      </c>
      <c r="CQ13" t="e">
        <f>'All regions'!D311+"n/&gt;!J&gt;"</f>
        <v>#VALUE!</v>
      </c>
      <c r="CR13" t="e">
        <f>'All regions'!E311+"n/&gt;!J?"</f>
        <v>#VALUE!</v>
      </c>
      <c r="CS13" t="e">
        <f>'All regions'!F311+"n/&gt;!J@"</f>
        <v>#VALUE!</v>
      </c>
      <c r="CT13" t="e">
        <f>'All regions'!G311+"n/&gt;!JA"</f>
        <v>#VALUE!</v>
      </c>
      <c r="CU13" t="e">
        <f>'All regions'!H311+"n/&gt;!JB"</f>
        <v>#VALUE!</v>
      </c>
      <c r="CV13" t="e">
        <f>'All regions'!I311+"n/&gt;!JC"</f>
        <v>#VALUE!</v>
      </c>
      <c r="CW13" t="e">
        <f>'All regions'!J311+"n/&gt;!JD"</f>
        <v>#VALUE!</v>
      </c>
      <c r="CX13" t="e">
        <f>'All regions'!A312+"n/&gt;!JE"</f>
        <v>#VALUE!</v>
      </c>
      <c r="CY13" t="e">
        <f>'All regions'!B312+"n/&gt;!JF"</f>
        <v>#VALUE!</v>
      </c>
      <c r="CZ13" t="e">
        <f>'All regions'!C312+"n/&gt;!JG"</f>
        <v>#VALUE!</v>
      </c>
      <c r="DA13" t="e">
        <f>'All regions'!D312+"n/&gt;!JH"</f>
        <v>#VALUE!</v>
      </c>
      <c r="DB13" t="e">
        <f>'All regions'!E312+"n/&gt;!JI"</f>
        <v>#VALUE!</v>
      </c>
      <c r="DC13" t="e">
        <f>'All regions'!F312+"n/&gt;!JJ"</f>
        <v>#VALUE!</v>
      </c>
      <c r="DD13" t="e">
        <f>'All regions'!G312+"n/&gt;!JK"</f>
        <v>#VALUE!</v>
      </c>
      <c r="DE13" t="e">
        <f>'All regions'!H312+"n/&gt;!JL"</f>
        <v>#VALUE!</v>
      </c>
      <c r="DF13" t="e">
        <f>'All regions'!I312+"n/&gt;!JM"</f>
        <v>#VALUE!</v>
      </c>
      <c r="DG13" t="e">
        <f>'All regions'!J312+"n/&gt;!JN"</f>
        <v>#VALUE!</v>
      </c>
      <c r="DH13" t="e">
        <f>'All regions'!A313+"n/&gt;!JO"</f>
        <v>#VALUE!</v>
      </c>
      <c r="DI13" t="e">
        <f>'All regions'!B313+"n/&gt;!JP"</f>
        <v>#VALUE!</v>
      </c>
      <c r="DJ13" t="e">
        <f>'All regions'!C313+"n/&gt;!JQ"</f>
        <v>#VALUE!</v>
      </c>
      <c r="DK13" t="e">
        <f>'All regions'!D313+"n/&gt;!JR"</f>
        <v>#VALUE!</v>
      </c>
      <c r="DL13" t="e">
        <f>'All regions'!E313+"n/&gt;!JS"</f>
        <v>#VALUE!</v>
      </c>
      <c r="DM13" t="e">
        <f>'All regions'!F313+"n/&gt;!JT"</f>
        <v>#VALUE!</v>
      </c>
      <c r="DN13" t="e">
        <f>'All regions'!G313+"n/&gt;!JU"</f>
        <v>#VALUE!</v>
      </c>
      <c r="DO13" t="e">
        <f>'All regions'!H313+"n/&gt;!JV"</f>
        <v>#VALUE!</v>
      </c>
      <c r="DP13" t="e">
        <f>'All regions'!I313+"n/&gt;!JW"</f>
        <v>#VALUE!</v>
      </c>
      <c r="DQ13" t="e">
        <f>'All regions'!J313+"n/&gt;!JX"</f>
        <v>#VALUE!</v>
      </c>
      <c r="DR13" t="e">
        <f>'All regions'!A314+"n/&gt;!JY"</f>
        <v>#VALUE!</v>
      </c>
      <c r="DS13" t="e">
        <f>'All regions'!B314+"n/&gt;!JZ"</f>
        <v>#VALUE!</v>
      </c>
      <c r="DT13" t="e">
        <f>'All regions'!C314+"n/&gt;!J["</f>
        <v>#VALUE!</v>
      </c>
      <c r="DU13" t="e">
        <f>'All regions'!D314+"n/&gt;!J\"</f>
        <v>#VALUE!</v>
      </c>
      <c r="DV13" t="e">
        <f>'All regions'!E314+"n/&gt;!J]"</f>
        <v>#VALUE!</v>
      </c>
      <c r="DW13" t="e">
        <f>'All regions'!F314+"n/&gt;!J^"</f>
        <v>#VALUE!</v>
      </c>
      <c r="DX13" t="e">
        <f>'All regions'!G314+"n/&gt;!J_"</f>
        <v>#VALUE!</v>
      </c>
      <c r="DY13" t="e">
        <f>'All regions'!H314+"n/&gt;!J`"</f>
        <v>#VALUE!</v>
      </c>
      <c r="DZ13" t="e">
        <f>'All regions'!I314+"n/&gt;!Ja"</f>
        <v>#VALUE!</v>
      </c>
      <c r="EA13" t="e">
        <f>'All regions'!J314+"n/&gt;!Jb"</f>
        <v>#VALUE!</v>
      </c>
      <c r="EB13" t="e">
        <f>'All regions'!A315+"n/&gt;!Jc"</f>
        <v>#VALUE!</v>
      </c>
      <c r="EC13" t="e">
        <f>'All regions'!B315+"n/&gt;!Jd"</f>
        <v>#VALUE!</v>
      </c>
      <c r="ED13" t="e">
        <f>'All regions'!C315+"n/&gt;!Je"</f>
        <v>#VALUE!</v>
      </c>
      <c r="EE13" t="e">
        <f>'All regions'!D315+"n/&gt;!Jf"</f>
        <v>#VALUE!</v>
      </c>
      <c r="EF13" t="e">
        <f>'All regions'!E315+"n/&gt;!Jg"</f>
        <v>#VALUE!</v>
      </c>
      <c r="EG13" t="e">
        <f>'All regions'!F315+"n/&gt;!Jh"</f>
        <v>#VALUE!</v>
      </c>
      <c r="EH13" t="e">
        <f>'All regions'!G315+"n/&gt;!Ji"</f>
        <v>#VALUE!</v>
      </c>
      <c r="EI13" t="e">
        <f>'All regions'!H315+"n/&gt;!Jj"</f>
        <v>#VALUE!</v>
      </c>
      <c r="EJ13" t="e">
        <f>'All regions'!I315+"n/&gt;!Jk"</f>
        <v>#VALUE!</v>
      </c>
      <c r="EK13" t="e">
        <f>'All regions'!J315+"n/&gt;!Jl"</f>
        <v>#VALUE!</v>
      </c>
      <c r="EL13" t="e">
        <f>'All regions'!A316+"n/&gt;!Jm"</f>
        <v>#VALUE!</v>
      </c>
      <c r="EM13" t="e">
        <f>'All regions'!B316+"n/&gt;!Jn"</f>
        <v>#VALUE!</v>
      </c>
      <c r="EN13" t="e">
        <f>'All regions'!C316+"n/&gt;!Jo"</f>
        <v>#VALUE!</v>
      </c>
      <c r="EO13" t="e">
        <f>'All regions'!D316+"n/&gt;!Jp"</f>
        <v>#VALUE!</v>
      </c>
      <c r="EP13" t="e">
        <f>'All regions'!E316+"n/&gt;!Jq"</f>
        <v>#VALUE!</v>
      </c>
      <c r="EQ13" t="e">
        <f>'All regions'!F316+"n/&gt;!Jr"</f>
        <v>#VALUE!</v>
      </c>
      <c r="ER13" t="e">
        <f>'All regions'!G316+"n/&gt;!Js"</f>
        <v>#VALUE!</v>
      </c>
      <c r="ES13" t="e">
        <f>'All regions'!H316+"n/&gt;!Jt"</f>
        <v>#VALUE!</v>
      </c>
      <c r="ET13" t="e">
        <f>'All regions'!I316+"n/&gt;!Ju"</f>
        <v>#VALUE!</v>
      </c>
      <c r="EU13" t="e">
        <f>'All regions'!J316+"n/&gt;!Jv"</f>
        <v>#VALUE!</v>
      </c>
      <c r="EV13" t="e">
        <f>'All regions'!A317+"n/&gt;!Jw"</f>
        <v>#VALUE!</v>
      </c>
      <c r="EW13" t="e">
        <f>'All regions'!B317+"n/&gt;!Jx"</f>
        <v>#VALUE!</v>
      </c>
      <c r="EX13" t="e">
        <f>'All regions'!C317+"n/&gt;!Jy"</f>
        <v>#VALUE!</v>
      </c>
      <c r="EY13" t="e">
        <f>'All regions'!D317+"n/&gt;!Jz"</f>
        <v>#VALUE!</v>
      </c>
      <c r="EZ13" t="e">
        <f>'All regions'!E317+"n/&gt;!J{"</f>
        <v>#VALUE!</v>
      </c>
      <c r="FA13" t="e">
        <f>'All regions'!F317+"n/&gt;!J|"</f>
        <v>#VALUE!</v>
      </c>
      <c r="FB13" t="e">
        <f>'All regions'!G317+"n/&gt;!J}"</f>
        <v>#VALUE!</v>
      </c>
      <c r="FC13" t="e">
        <f>'All regions'!H317+"n/&gt;!J~"</f>
        <v>#VALUE!</v>
      </c>
      <c r="FD13" t="e">
        <f>'All regions'!I317+"n/&gt;!K#"</f>
        <v>#VALUE!</v>
      </c>
      <c r="FE13" t="e">
        <f>'All regions'!J317+"n/&gt;!K$"</f>
        <v>#VALUE!</v>
      </c>
      <c r="FF13" t="e">
        <f>'All regions'!A318+"n/&gt;!K%"</f>
        <v>#VALUE!</v>
      </c>
      <c r="FG13" t="e">
        <f>'All regions'!B318+"n/&gt;!K&amp;"</f>
        <v>#VALUE!</v>
      </c>
      <c r="FH13" t="e">
        <f>'All regions'!C318+"n/&gt;!K'"</f>
        <v>#VALUE!</v>
      </c>
      <c r="FI13" t="e">
        <f>'All regions'!D318+"n/&gt;!K("</f>
        <v>#VALUE!</v>
      </c>
      <c r="FJ13" t="e">
        <f>'All regions'!E318+"n/&gt;!K)"</f>
        <v>#VALUE!</v>
      </c>
      <c r="FK13" t="e">
        <f>'All regions'!F318+"n/&gt;!K."</f>
        <v>#VALUE!</v>
      </c>
      <c r="FL13" t="e">
        <f>'All regions'!G318+"n/&gt;!K/"</f>
        <v>#VALUE!</v>
      </c>
      <c r="FM13" t="e">
        <f>'All regions'!H318+"n/&gt;!K0"</f>
        <v>#VALUE!</v>
      </c>
      <c r="FN13" t="e">
        <f>'All regions'!I318+"n/&gt;!K1"</f>
        <v>#VALUE!</v>
      </c>
      <c r="FO13" t="e">
        <f>'All regions'!J318+"n/&gt;!K2"</f>
        <v>#VALUE!</v>
      </c>
      <c r="FP13" t="e">
        <f>'All regions'!A319+"n/&gt;!K3"</f>
        <v>#VALUE!</v>
      </c>
      <c r="FQ13" t="e">
        <f>'All regions'!B319+"n/&gt;!K4"</f>
        <v>#VALUE!</v>
      </c>
      <c r="FR13" t="e">
        <f>'All regions'!C319+"n/&gt;!K5"</f>
        <v>#VALUE!</v>
      </c>
      <c r="FS13" t="e">
        <f>'All regions'!D319+"n/&gt;!K6"</f>
        <v>#VALUE!</v>
      </c>
      <c r="FT13" t="e">
        <f>'All regions'!E319+"n/&gt;!K7"</f>
        <v>#VALUE!</v>
      </c>
      <c r="FU13" t="e">
        <f>'All regions'!F319+"n/&gt;!K8"</f>
        <v>#VALUE!</v>
      </c>
      <c r="FV13" t="e">
        <f>'All regions'!G319+"n/&gt;!K9"</f>
        <v>#VALUE!</v>
      </c>
      <c r="FW13" t="e">
        <f>'All regions'!H319+"n/&gt;!K:"</f>
        <v>#VALUE!</v>
      </c>
      <c r="FX13" t="e">
        <f>'All regions'!I319+"n/&gt;!K;"</f>
        <v>#VALUE!</v>
      </c>
      <c r="FY13" t="e">
        <f>'All regions'!J319+"n/&gt;!K&lt;"</f>
        <v>#VALUE!</v>
      </c>
      <c r="FZ13" t="e">
        <f>'All regions'!A320+"n/&gt;!K="</f>
        <v>#VALUE!</v>
      </c>
      <c r="GA13" t="e">
        <f>'All regions'!B320+"n/&gt;!K&gt;"</f>
        <v>#VALUE!</v>
      </c>
      <c r="GB13" t="e">
        <f>'All regions'!C320+"n/&gt;!K?"</f>
        <v>#VALUE!</v>
      </c>
      <c r="GC13" t="e">
        <f>'All regions'!D320+"n/&gt;!K@"</f>
        <v>#VALUE!</v>
      </c>
      <c r="GD13" t="e">
        <f>'All regions'!E320+"n/&gt;!KA"</f>
        <v>#VALUE!</v>
      </c>
      <c r="GE13" t="e">
        <f>'All regions'!F320+"n/&gt;!KB"</f>
        <v>#VALUE!</v>
      </c>
      <c r="GF13" t="e">
        <f>'All regions'!G320+"n/&gt;!KC"</f>
        <v>#VALUE!</v>
      </c>
      <c r="GG13" t="e">
        <f>'All regions'!H320+"n/&gt;!KD"</f>
        <v>#VALUE!</v>
      </c>
      <c r="GH13" t="e">
        <f>'All regions'!I320+"n/&gt;!KE"</f>
        <v>#VALUE!</v>
      </c>
      <c r="GI13" t="e">
        <f>'All regions'!J320+"n/&gt;!KF"</f>
        <v>#VALUE!</v>
      </c>
      <c r="GJ13" t="e">
        <f>'All regions'!A321+"n/&gt;!KG"</f>
        <v>#VALUE!</v>
      </c>
      <c r="GK13" t="e">
        <f>'All regions'!B321+"n/&gt;!KH"</f>
        <v>#VALUE!</v>
      </c>
      <c r="GL13" t="e">
        <f>'All regions'!C321+"n/&gt;!KI"</f>
        <v>#VALUE!</v>
      </c>
      <c r="GM13" t="e">
        <f>'All regions'!D321+"n/&gt;!KJ"</f>
        <v>#VALUE!</v>
      </c>
      <c r="GN13" t="e">
        <f>'All regions'!E321+"n/&gt;!KK"</f>
        <v>#VALUE!</v>
      </c>
      <c r="GO13" t="e">
        <f>'All regions'!F321+"n/&gt;!KL"</f>
        <v>#VALUE!</v>
      </c>
      <c r="GP13" t="e">
        <f>'All regions'!G321+"n/&gt;!KM"</f>
        <v>#VALUE!</v>
      </c>
      <c r="GQ13" t="e">
        <f>'All regions'!H321+"n/&gt;!KN"</f>
        <v>#VALUE!</v>
      </c>
      <c r="GR13" t="e">
        <f>'All regions'!I321+"n/&gt;!KO"</f>
        <v>#VALUE!</v>
      </c>
      <c r="GS13" t="e">
        <f>'All regions'!J321+"n/&gt;!KP"</f>
        <v>#VALUE!</v>
      </c>
      <c r="GT13" t="e">
        <f>'All regions'!A322+"n/&gt;!KQ"</f>
        <v>#VALUE!</v>
      </c>
      <c r="GU13" t="e">
        <f>'All regions'!B322+"n/&gt;!KR"</f>
        <v>#VALUE!</v>
      </c>
      <c r="GV13" t="e">
        <f>'All regions'!C322+"n/&gt;!KS"</f>
        <v>#VALUE!</v>
      </c>
      <c r="GW13" t="e">
        <f>'All regions'!D322+"n/&gt;!KT"</f>
        <v>#VALUE!</v>
      </c>
      <c r="GX13" t="e">
        <f>'All regions'!E322+"n/&gt;!KU"</f>
        <v>#VALUE!</v>
      </c>
      <c r="GY13" t="e">
        <f>'All regions'!F322+"n/&gt;!KV"</f>
        <v>#VALUE!</v>
      </c>
      <c r="GZ13" t="e">
        <f>'All regions'!G322+"n/&gt;!KW"</f>
        <v>#VALUE!</v>
      </c>
      <c r="HA13" t="e">
        <f>'All regions'!H322+"n/&gt;!KX"</f>
        <v>#VALUE!</v>
      </c>
      <c r="HB13" t="e">
        <f>'All regions'!I322+"n/&gt;!KY"</f>
        <v>#VALUE!</v>
      </c>
      <c r="HC13" t="e">
        <f>'All regions'!J322+"n/&gt;!KZ"</f>
        <v>#VALUE!</v>
      </c>
      <c r="HD13" t="e">
        <f>'All regions'!A323+"n/&gt;!K["</f>
        <v>#VALUE!</v>
      </c>
      <c r="HE13" t="e">
        <f>'All regions'!B323+"n/&gt;!K\"</f>
        <v>#VALUE!</v>
      </c>
      <c r="HF13" t="e">
        <f>'All regions'!C323+"n/&gt;!K]"</f>
        <v>#VALUE!</v>
      </c>
      <c r="HG13" t="e">
        <f>'All regions'!D323+"n/&gt;!K^"</f>
        <v>#VALUE!</v>
      </c>
      <c r="HH13" t="e">
        <f>'All regions'!E323+"n/&gt;!K_"</f>
        <v>#VALUE!</v>
      </c>
      <c r="HI13" t="e">
        <f>'All regions'!F323+"n/&gt;!K`"</f>
        <v>#VALUE!</v>
      </c>
      <c r="HJ13" t="e">
        <f>'All regions'!G323+"n/&gt;!Ka"</f>
        <v>#VALUE!</v>
      </c>
      <c r="HK13" t="e">
        <f>'All regions'!H323+"n/&gt;!Kb"</f>
        <v>#VALUE!</v>
      </c>
      <c r="HL13" t="e">
        <f>'All regions'!I323+"n/&gt;!Kc"</f>
        <v>#VALUE!</v>
      </c>
      <c r="HM13" t="e">
        <f>'All regions'!J323+"n/&gt;!Kd"</f>
        <v>#VALUE!</v>
      </c>
      <c r="HN13" t="e">
        <f>'All regions'!A324+"n/&gt;!Ke"</f>
        <v>#VALUE!</v>
      </c>
      <c r="HO13" t="e">
        <f>'All regions'!B324+"n/&gt;!Kf"</f>
        <v>#VALUE!</v>
      </c>
      <c r="HP13" t="e">
        <f>'All regions'!C324+"n/&gt;!Kg"</f>
        <v>#VALUE!</v>
      </c>
      <c r="HQ13" t="e">
        <f>'All regions'!D324+"n/&gt;!Kh"</f>
        <v>#VALUE!</v>
      </c>
      <c r="HR13" t="e">
        <f>'All regions'!E324+"n/&gt;!Ki"</f>
        <v>#VALUE!</v>
      </c>
      <c r="HS13" t="e">
        <f>'All regions'!F324+"n/&gt;!Kj"</f>
        <v>#VALUE!</v>
      </c>
      <c r="HT13" t="e">
        <f>'All regions'!G324+"n/&gt;!Kk"</f>
        <v>#VALUE!</v>
      </c>
      <c r="HU13" t="e">
        <f>'All regions'!H324+"n/&gt;!Kl"</f>
        <v>#VALUE!</v>
      </c>
      <c r="HV13" t="e">
        <f>'All regions'!I324+"n/&gt;!Km"</f>
        <v>#VALUE!</v>
      </c>
      <c r="HW13" t="e">
        <f>'All regions'!J324+"n/&gt;!Kn"</f>
        <v>#VALUE!</v>
      </c>
      <c r="HX13" t="e">
        <f>'All regions'!A325+"n/&gt;!Ko"</f>
        <v>#VALUE!</v>
      </c>
      <c r="HY13" t="e">
        <f>'All regions'!B325+"n/&gt;!Kp"</f>
        <v>#VALUE!</v>
      </c>
      <c r="HZ13" t="e">
        <f>'All regions'!C325+"n/&gt;!Kq"</f>
        <v>#VALUE!</v>
      </c>
      <c r="IA13" t="e">
        <f>'All regions'!D325+"n/&gt;!Kr"</f>
        <v>#VALUE!</v>
      </c>
      <c r="IB13" t="e">
        <f>'All regions'!E325+"n/&gt;!Ks"</f>
        <v>#VALUE!</v>
      </c>
      <c r="IC13" t="e">
        <f>'All regions'!F325+"n/&gt;!Kt"</f>
        <v>#VALUE!</v>
      </c>
      <c r="ID13" t="e">
        <f>'All regions'!G325+"n/&gt;!Ku"</f>
        <v>#VALUE!</v>
      </c>
      <c r="IE13" t="e">
        <f>'All regions'!H325+"n/&gt;!Kv"</f>
        <v>#VALUE!</v>
      </c>
      <c r="IF13" t="e">
        <f>'All regions'!I325+"n/&gt;!Kw"</f>
        <v>#VALUE!</v>
      </c>
      <c r="IG13" t="e">
        <f>'All regions'!J325+"n/&gt;!Kx"</f>
        <v>#VALUE!</v>
      </c>
      <c r="IH13" t="e">
        <f>'All regions'!A326+"n/&gt;!Ky"</f>
        <v>#VALUE!</v>
      </c>
      <c r="II13" t="e">
        <f>'All regions'!B326+"n/&gt;!Kz"</f>
        <v>#VALUE!</v>
      </c>
      <c r="IJ13" t="e">
        <f>'All regions'!C326+"n/&gt;!K{"</f>
        <v>#VALUE!</v>
      </c>
      <c r="IK13" t="e">
        <f>'All regions'!D326+"n/&gt;!K|"</f>
        <v>#VALUE!</v>
      </c>
      <c r="IL13" t="e">
        <f>'All regions'!E326+"n/&gt;!K}"</f>
        <v>#VALUE!</v>
      </c>
      <c r="IM13" t="e">
        <f>'All regions'!F326+"n/&gt;!K~"</f>
        <v>#VALUE!</v>
      </c>
      <c r="IN13" t="e">
        <f>'All regions'!G326+"n/&gt;!L#"</f>
        <v>#VALUE!</v>
      </c>
      <c r="IO13" t="e">
        <f>'All regions'!H326+"n/&gt;!L$"</f>
        <v>#VALUE!</v>
      </c>
      <c r="IP13" t="e">
        <f>'All regions'!I326+"n/&gt;!L%"</f>
        <v>#VALUE!</v>
      </c>
      <c r="IQ13" t="e">
        <f>'All regions'!J326+"n/&gt;!L&amp;"</f>
        <v>#VALUE!</v>
      </c>
      <c r="IR13" t="e">
        <f>'All regions'!A327+"n/&gt;!L'"</f>
        <v>#VALUE!</v>
      </c>
      <c r="IS13" t="e">
        <f>'All regions'!B327+"n/&gt;!L("</f>
        <v>#VALUE!</v>
      </c>
      <c r="IT13" t="e">
        <f>'All regions'!C327+"n/&gt;!L)"</f>
        <v>#VALUE!</v>
      </c>
      <c r="IU13" t="e">
        <f>'All regions'!D327+"n/&gt;!L."</f>
        <v>#VALUE!</v>
      </c>
      <c r="IV13" t="e">
        <f>'All regions'!E327+"n/&gt;!L/"</f>
        <v>#VALUE!</v>
      </c>
    </row>
    <row r="14" spans="1:256" x14ac:dyDescent="0.35">
      <c r="F14" t="e">
        <f>'All regions'!F327+"n/&gt;!L0"</f>
        <v>#VALUE!</v>
      </c>
      <c r="G14" t="e">
        <f>'All regions'!G327+"n/&gt;!L1"</f>
        <v>#VALUE!</v>
      </c>
      <c r="H14" t="e">
        <f>'All regions'!H327+"n/&gt;!L2"</f>
        <v>#VALUE!</v>
      </c>
      <c r="I14" t="e">
        <f>'All regions'!I327+"n/&gt;!L3"</f>
        <v>#VALUE!</v>
      </c>
      <c r="J14" t="e">
        <f>'All regions'!J327+"n/&gt;!L4"</f>
        <v>#VALUE!</v>
      </c>
      <c r="K14" t="e">
        <f>'All regions'!A328+"n/&gt;!L5"</f>
        <v>#VALUE!</v>
      </c>
      <c r="L14" t="e">
        <f>'All regions'!B328+"n/&gt;!L6"</f>
        <v>#VALUE!</v>
      </c>
      <c r="M14" t="e">
        <f>'All regions'!C328+"n/&gt;!L7"</f>
        <v>#VALUE!</v>
      </c>
      <c r="N14" t="e">
        <f>'All regions'!D328+"n/&gt;!L8"</f>
        <v>#VALUE!</v>
      </c>
      <c r="O14" t="e">
        <f>'All regions'!E328+"n/&gt;!L9"</f>
        <v>#VALUE!</v>
      </c>
      <c r="P14" t="e">
        <f>'All regions'!F328+"n/&gt;!L:"</f>
        <v>#VALUE!</v>
      </c>
      <c r="Q14" t="e">
        <f>'All regions'!G328+"n/&gt;!L;"</f>
        <v>#VALUE!</v>
      </c>
      <c r="R14" t="e">
        <f>'All regions'!H328+"n/&gt;!L&lt;"</f>
        <v>#VALUE!</v>
      </c>
      <c r="S14" t="e">
        <f>'All regions'!I328+"n/&gt;!L="</f>
        <v>#VALUE!</v>
      </c>
      <c r="T14" t="e">
        <f>'All regions'!J328+"n/&gt;!L&gt;"</f>
        <v>#VALUE!</v>
      </c>
      <c r="U14" t="e">
        <f>'All regions'!A329+"n/&gt;!L?"</f>
        <v>#VALUE!</v>
      </c>
      <c r="V14" t="e">
        <f>'All regions'!B329+"n/&gt;!L@"</f>
        <v>#VALUE!</v>
      </c>
      <c r="W14" t="e">
        <f>'All regions'!C329+"n/&gt;!LA"</f>
        <v>#VALUE!</v>
      </c>
      <c r="X14" t="e">
        <f>'All regions'!D329+"n/&gt;!LB"</f>
        <v>#VALUE!</v>
      </c>
      <c r="Y14" t="e">
        <f>'All regions'!E329+"n/&gt;!LC"</f>
        <v>#VALUE!</v>
      </c>
      <c r="Z14" t="e">
        <f>'All regions'!F329+"n/&gt;!LD"</f>
        <v>#VALUE!</v>
      </c>
      <c r="AA14" t="e">
        <f>'All regions'!G329+"n/&gt;!LE"</f>
        <v>#VALUE!</v>
      </c>
      <c r="AB14" t="e">
        <f>'All regions'!H329+"n/&gt;!LF"</f>
        <v>#VALUE!</v>
      </c>
      <c r="AC14" t="e">
        <f>'All regions'!I329+"n/&gt;!LG"</f>
        <v>#VALUE!</v>
      </c>
      <c r="AD14" t="e">
        <f>'All regions'!J329+"n/&gt;!LH"</f>
        <v>#VALUE!</v>
      </c>
      <c r="AE14" t="e">
        <f>'All regions'!A330+"n/&gt;!LI"</f>
        <v>#VALUE!</v>
      </c>
      <c r="AF14" t="e">
        <f>'All regions'!B330+"n/&gt;!LJ"</f>
        <v>#VALUE!</v>
      </c>
      <c r="AG14" t="e">
        <f>'All regions'!C330+"n/&gt;!LK"</f>
        <v>#VALUE!</v>
      </c>
      <c r="AH14" t="e">
        <f>'All regions'!D330+"n/&gt;!LL"</f>
        <v>#VALUE!</v>
      </c>
      <c r="AI14" t="e">
        <f>'All regions'!E330+"n/&gt;!LM"</f>
        <v>#VALUE!</v>
      </c>
      <c r="AJ14" t="e">
        <f>'All regions'!F330+"n/&gt;!LN"</f>
        <v>#VALUE!</v>
      </c>
      <c r="AK14" t="e">
        <f>'All regions'!G330+"n/&gt;!LO"</f>
        <v>#VALUE!</v>
      </c>
      <c r="AL14" t="e">
        <f>'All regions'!H330+"n/&gt;!LP"</f>
        <v>#VALUE!</v>
      </c>
      <c r="AM14" t="e">
        <f>'All regions'!I330+"n/&gt;!LQ"</f>
        <v>#VALUE!</v>
      </c>
      <c r="AN14" t="e">
        <f>'All regions'!J330+"n/&gt;!LR"</f>
        <v>#VALUE!</v>
      </c>
      <c r="AO14" t="e">
        <f>'All regions'!A331+"n/&gt;!LS"</f>
        <v>#VALUE!</v>
      </c>
      <c r="AP14" t="e">
        <f>'All regions'!B331+"n/&gt;!LT"</f>
        <v>#VALUE!</v>
      </c>
      <c r="AQ14" t="e">
        <f>'All regions'!C331+"n/&gt;!LU"</f>
        <v>#VALUE!</v>
      </c>
      <c r="AR14" t="e">
        <f>'All regions'!D331+"n/&gt;!LV"</f>
        <v>#VALUE!</v>
      </c>
      <c r="AS14" t="e">
        <f>'All regions'!E331+"n/&gt;!LW"</f>
        <v>#VALUE!</v>
      </c>
      <c r="AT14" t="e">
        <f>'All regions'!F331+"n/&gt;!LX"</f>
        <v>#VALUE!</v>
      </c>
      <c r="AU14" t="e">
        <f>'All regions'!G331+"n/&gt;!LY"</f>
        <v>#VALUE!</v>
      </c>
      <c r="AV14" t="e">
        <f>'All regions'!H331+"n/&gt;!LZ"</f>
        <v>#VALUE!</v>
      </c>
      <c r="AW14" t="e">
        <f>'All regions'!I331+"n/&gt;!L["</f>
        <v>#VALUE!</v>
      </c>
      <c r="AX14" t="e">
        <f>'All regions'!J331+"n/&gt;!L\"</f>
        <v>#VALUE!</v>
      </c>
      <c r="AY14" t="e">
        <f>'All regions'!A332+"n/&gt;!L]"</f>
        <v>#VALUE!</v>
      </c>
      <c r="AZ14" t="e">
        <f>'All regions'!B332+"n/&gt;!L^"</f>
        <v>#VALUE!</v>
      </c>
      <c r="BA14" t="e">
        <f>'All regions'!C332+"n/&gt;!L_"</f>
        <v>#VALUE!</v>
      </c>
      <c r="BB14" t="e">
        <f>'All regions'!D332+"n/&gt;!L`"</f>
        <v>#VALUE!</v>
      </c>
      <c r="BC14" t="e">
        <f>'All regions'!E332+"n/&gt;!La"</f>
        <v>#VALUE!</v>
      </c>
      <c r="BD14" t="e">
        <f>'All regions'!F332+"n/&gt;!Lb"</f>
        <v>#VALUE!</v>
      </c>
      <c r="BE14" t="e">
        <f>'All regions'!G332+"n/&gt;!Lc"</f>
        <v>#VALUE!</v>
      </c>
      <c r="BF14" t="e">
        <f>'All regions'!H332+"n/&gt;!Ld"</f>
        <v>#VALUE!</v>
      </c>
      <c r="BG14" t="e">
        <f>'All regions'!I332+"n/&gt;!Le"</f>
        <v>#VALUE!</v>
      </c>
      <c r="BH14" t="e">
        <f>'All regions'!J332+"n/&gt;!Lf"</f>
        <v>#VALUE!</v>
      </c>
      <c r="BI14" t="e">
        <f>'All regions'!A333+"n/&gt;!Lg"</f>
        <v>#VALUE!</v>
      </c>
      <c r="BJ14" t="e">
        <f>'All regions'!B333+"n/&gt;!Lh"</f>
        <v>#VALUE!</v>
      </c>
      <c r="BK14" t="e">
        <f>'All regions'!C333+"n/&gt;!Li"</f>
        <v>#VALUE!</v>
      </c>
      <c r="BL14" t="e">
        <f>'All regions'!D333+"n/&gt;!Lj"</f>
        <v>#VALUE!</v>
      </c>
      <c r="BM14" t="e">
        <f>'All regions'!E333+"n/&gt;!Lk"</f>
        <v>#VALUE!</v>
      </c>
      <c r="BN14" t="e">
        <f>'All regions'!F333+"n/&gt;!Ll"</f>
        <v>#VALUE!</v>
      </c>
      <c r="BO14" t="e">
        <f>'All regions'!G333+"n/&gt;!Lm"</f>
        <v>#VALUE!</v>
      </c>
      <c r="BP14" t="e">
        <f>'All regions'!H333+"n/&gt;!Ln"</f>
        <v>#VALUE!</v>
      </c>
      <c r="BQ14" t="e">
        <f>'All regions'!I333+"n/&gt;!Lo"</f>
        <v>#VALUE!</v>
      </c>
      <c r="BR14" t="e">
        <f>'All regions'!J333+"n/&gt;!Lp"</f>
        <v>#VALUE!</v>
      </c>
      <c r="BS14" t="e">
        <f>'All regions'!A334+"n/&gt;!Lq"</f>
        <v>#VALUE!</v>
      </c>
      <c r="BT14" t="e">
        <f>'All regions'!B334+"n/&gt;!Lr"</f>
        <v>#VALUE!</v>
      </c>
      <c r="BU14" t="e">
        <f>'All regions'!C334+"n/&gt;!Ls"</f>
        <v>#VALUE!</v>
      </c>
      <c r="BV14" t="e">
        <f>'All regions'!D334+"n/&gt;!Lt"</f>
        <v>#VALUE!</v>
      </c>
      <c r="BW14" t="e">
        <f>'All regions'!E334+"n/&gt;!Lu"</f>
        <v>#VALUE!</v>
      </c>
      <c r="BX14" t="e">
        <f>'All regions'!F334+"n/&gt;!Lv"</f>
        <v>#VALUE!</v>
      </c>
      <c r="BY14" t="e">
        <f>'All regions'!G334+"n/&gt;!Lw"</f>
        <v>#VALUE!</v>
      </c>
      <c r="BZ14" t="e">
        <f>'All regions'!H334+"n/&gt;!Lx"</f>
        <v>#VALUE!</v>
      </c>
      <c r="CA14" t="e">
        <f>'All regions'!I334+"n/&gt;!Ly"</f>
        <v>#VALUE!</v>
      </c>
      <c r="CB14" t="e">
        <f>'All regions'!J334+"n/&gt;!Lz"</f>
        <v>#VALUE!</v>
      </c>
      <c r="CC14" t="e">
        <f>'All regions'!A335+"n/&gt;!L{"</f>
        <v>#VALUE!</v>
      </c>
      <c r="CD14" t="e">
        <f>'All regions'!B335+"n/&gt;!L|"</f>
        <v>#VALUE!</v>
      </c>
      <c r="CE14" t="e">
        <f>'All regions'!C335+"n/&gt;!L}"</f>
        <v>#VALUE!</v>
      </c>
      <c r="CF14" t="e">
        <f>'All regions'!D335+"n/&gt;!L~"</f>
        <v>#VALUE!</v>
      </c>
      <c r="CG14" t="e">
        <f>'All regions'!E335+"n/&gt;!M#"</f>
        <v>#VALUE!</v>
      </c>
      <c r="CH14" t="e">
        <f>'All regions'!F335+"n/&gt;!M$"</f>
        <v>#VALUE!</v>
      </c>
      <c r="CI14" t="e">
        <f>'All regions'!G335+"n/&gt;!M%"</f>
        <v>#VALUE!</v>
      </c>
      <c r="CJ14" t="e">
        <f>'All regions'!H335+"n/&gt;!M&amp;"</f>
        <v>#VALUE!</v>
      </c>
      <c r="CK14" t="e">
        <f>'All regions'!I335+"n/&gt;!M'"</f>
        <v>#VALUE!</v>
      </c>
      <c r="CL14" t="e">
        <f>'All regions'!J335+"n/&gt;!M("</f>
        <v>#VALUE!</v>
      </c>
      <c r="CM14" t="e">
        <f>'All regions'!A336+"n/&gt;!M)"</f>
        <v>#VALUE!</v>
      </c>
      <c r="CN14" t="e">
        <f>'All regions'!B336+"n/&gt;!M."</f>
        <v>#VALUE!</v>
      </c>
      <c r="CO14" t="e">
        <f>'All regions'!C336+"n/&gt;!M/"</f>
        <v>#VALUE!</v>
      </c>
      <c r="CP14" t="e">
        <f>'All regions'!D336+"n/&gt;!M0"</f>
        <v>#VALUE!</v>
      </c>
      <c r="CQ14" t="e">
        <f>'All regions'!E336+"n/&gt;!M1"</f>
        <v>#VALUE!</v>
      </c>
      <c r="CR14" t="e">
        <f>'All regions'!F336+"n/&gt;!M2"</f>
        <v>#VALUE!</v>
      </c>
      <c r="CS14" t="e">
        <f>'All regions'!G336+"n/&gt;!M3"</f>
        <v>#VALUE!</v>
      </c>
      <c r="CT14" t="e">
        <f>'All regions'!H336+"n/&gt;!M4"</f>
        <v>#VALUE!</v>
      </c>
      <c r="CU14" t="e">
        <f>'All regions'!I336+"n/&gt;!M5"</f>
        <v>#VALUE!</v>
      </c>
      <c r="CV14" t="e">
        <f>'All regions'!J336+"n/&gt;!M6"</f>
        <v>#VALUE!</v>
      </c>
      <c r="CW14" t="e">
        <f>'All regions'!A337+"n/&gt;!M7"</f>
        <v>#VALUE!</v>
      </c>
      <c r="CX14" t="e">
        <f>'All regions'!B337+"n/&gt;!M8"</f>
        <v>#VALUE!</v>
      </c>
      <c r="CY14" t="e">
        <f>'All regions'!C337+"n/&gt;!M9"</f>
        <v>#VALUE!</v>
      </c>
      <c r="CZ14" t="e">
        <f>'All regions'!D337+"n/&gt;!M:"</f>
        <v>#VALUE!</v>
      </c>
      <c r="DA14" t="e">
        <f>'All regions'!E337+"n/&gt;!M;"</f>
        <v>#VALUE!</v>
      </c>
      <c r="DB14" t="e">
        <f>'All regions'!F337+"n/&gt;!M&lt;"</f>
        <v>#VALUE!</v>
      </c>
      <c r="DC14" t="e">
        <f>'All regions'!G337+"n/&gt;!M="</f>
        <v>#VALUE!</v>
      </c>
      <c r="DD14" t="e">
        <f>'All regions'!H337+"n/&gt;!M&gt;"</f>
        <v>#VALUE!</v>
      </c>
      <c r="DE14" t="e">
        <f>'All regions'!I337+"n/&gt;!M?"</f>
        <v>#VALUE!</v>
      </c>
      <c r="DF14" t="e">
        <f>'All regions'!J337+"n/&gt;!M@"</f>
        <v>#VALUE!</v>
      </c>
      <c r="DG14" t="e">
        <f>'All regions'!A338+"n/&gt;!MA"</f>
        <v>#VALUE!</v>
      </c>
      <c r="DH14" t="e">
        <f>'All regions'!B338+"n/&gt;!MB"</f>
        <v>#VALUE!</v>
      </c>
      <c r="DI14" t="e">
        <f>'All regions'!C338+"n/&gt;!MC"</f>
        <v>#VALUE!</v>
      </c>
      <c r="DJ14" t="e">
        <f>'All regions'!D338+"n/&gt;!MD"</f>
        <v>#VALUE!</v>
      </c>
      <c r="DK14" t="e">
        <f>'All regions'!E338+"n/&gt;!ME"</f>
        <v>#VALUE!</v>
      </c>
      <c r="DL14" t="e">
        <f>'All regions'!F338+"n/&gt;!MF"</f>
        <v>#VALUE!</v>
      </c>
      <c r="DM14" t="e">
        <f>'All regions'!G338+"n/&gt;!MG"</f>
        <v>#VALUE!</v>
      </c>
      <c r="DN14" t="e">
        <f>'All regions'!H338+"n/&gt;!MH"</f>
        <v>#VALUE!</v>
      </c>
      <c r="DO14" t="e">
        <f>'All regions'!I338+"n/&gt;!MI"</f>
        <v>#VALUE!</v>
      </c>
      <c r="DP14" t="e">
        <f>'All regions'!J338+"n/&gt;!MJ"</f>
        <v>#VALUE!</v>
      </c>
      <c r="DQ14" t="e">
        <f>'All regions'!A339+"n/&gt;!MK"</f>
        <v>#VALUE!</v>
      </c>
      <c r="DR14" t="e">
        <f>'All regions'!B339+"n/&gt;!ML"</f>
        <v>#VALUE!</v>
      </c>
      <c r="DS14" t="e">
        <f>'All regions'!C339+"n/&gt;!MM"</f>
        <v>#VALUE!</v>
      </c>
      <c r="DT14" t="e">
        <f>'All regions'!D339+"n/&gt;!MN"</f>
        <v>#VALUE!</v>
      </c>
      <c r="DU14" t="e">
        <f>'All regions'!E339+"n/&gt;!MO"</f>
        <v>#VALUE!</v>
      </c>
      <c r="DV14" t="e">
        <f>'All regions'!F339+"n/&gt;!MP"</f>
        <v>#VALUE!</v>
      </c>
      <c r="DW14" t="e">
        <f>'All regions'!G339+"n/&gt;!MQ"</f>
        <v>#VALUE!</v>
      </c>
      <c r="DX14" t="e">
        <f>'All regions'!H339+"n/&gt;!MR"</f>
        <v>#VALUE!</v>
      </c>
      <c r="DY14" t="e">
        <f>'All regions'!I339+"n/&gt;!MS"</f>
        <v>#VALUE!</v>
      </c>
      <c r="DZ14" t="e">
        <f>'All regions'!J339+"n/&gt;!MT"</f>
        <v>#VALUE!</v>
      </c>
      <c r="EA14" t="e">
        <f>'All regions'!A340+"n/&gt;!MU"</f>
        <v>#VALUE!</v>
      </c>
      <c r="EB14" t="e">
        <f>'All regions'!B340+"n/&gt;!MV"</f>
        <v>#VALUE!</v>
      </c>
      <c r="EC14" t="e">
        <f>'All regions'!C340+"n/&gt;!MW"</f>
        <v>#VALUE!</v>
      </c>
      <c r="ED14" t="e">
        <f>'All regions'!D340+"n/&gt;!MX"</f>
        <v>#VALUE!</v>
      </c>
      <c r="EE14" t="e">
        <f>'All regions'!E340+"n/&gt;!MY"</f>
        <v>#VALUE!</v>
      </c>
      <c r="EF14" t="e">
        <f>'All regions'!F340+"n/&gt;!MZ"</f>
        <v>#VALUE!</v>
      </c>
      <c r="EG14" t="e">
        <f>'All regions'!G340+"n/&gt;!M["</f>
        <v>#VALUE!</v>
      </c>
      <c r="EH14" t="e">
        <f>'All regions'!H340+"n/&gt;!M\"</f>
        <v>#VALUE!</v>
      </c>
      <c r="EI14" t="e">
        <f>'All regions'!I340+"n/&gt;!M]"</f>
        <v>#VALUE!</v>
      </c>
      <c r="EJ14" t="e">
        <f>'All regions'!J340+"n/&gt;!M^"</f>
        <v>#VALUE!</v>
      </c>
      <c r="EK14" t="e">
        <f>'All regions'!A341+"n/&gt;!M_"</f>
        <v>#VALUE!</v>
      </c>
      <c r="EL14" t="e">
        <f>'All regions'!B341+"n/&gt;!M`"</f>
        <v>#VALUE!</v>
      </c>
      <c r="EM14" t="e">
        <f>'All regions'!C341+"n/&gt;!Ma"</f>
        <v>#VALUE!</v>
      </c>
      <c r="EN14" t="e">
        <f>'All regions'!D341+"n/&gt;!Mb"</f>
        <v>#VALUE!</v>
      </c>
      <c r="EO14" t="e">
        <f>'All regions'!E341+"n/&gt;!Mc"</f>
        <v>#VALUE!</v>
      </c>
      <c r="EP14" t="e">
        <f>'All regions'!F341+"n/&gt;!Md"</f>
        <v>#VALUE!</v>
      </c>
      <c r="EQ14" t="e">
        <f>'All regions'!G341+"n/&gt;!Me"</f>
        <v>#VALUE!</v>
      </c>
      <c r="ER14" t="e">
        <f>'All regions'!H341+"n/&gt;!Mf"</f>
        <v>#VALUE!</v>
      </c>
      <c r="ES14" t="e">
        <f>'All regions'!I341+"n/&gt;!Mg"</f>
        <v>#VALUE!</v>
      </c>
      <c r="ET14" t="e">
        <f>'All regions'!J341+"n/&gt;!Mh"</f>
        <v>#VALUE!</v>
      </c>
      <c r="EU14" t="e">
        <f>'All regions'!A342+"n/&gt;!Mi"</f>
        <v>#VALUE!</v>
      </c>
      <c r="EV14" t="e">
        <f>'All regions'!B342+"n/&gt;!Mj"</f>
        <v>#VALUE!</v>
      </c>
      <c r="EW14" t="e">
        <f>'All regions'!C342+"n/&gt;!Mk"</f>
        <v>#VALUE!</v>
      </c>
      <c r="EX14" t="e">
        <f>'All regions'!D342+"n/&gt;!Ml"</f>
        <v>#VALUE!</v>
      </c>
      <c r="EY14" t="e">
        <f>'All regions'!E342+"n/&gt;!Mm"</f>
        <v>#VALUE!</v>
      </c>
      <c r="EZ14" t="e">
        <f>'All regions'!F342+"n/&gt;!Mn"</f>
        <v>#VALUE!</v>
      </c>
      <c r="FA14" t="e">
        <f>'All regions'!G342+"n/&gt;!Mo"</f>
        <v>#VALUE!</v>
      </c>
      <c r="FB14" t="e">
        <f>'All regions'!H342+"n/&gt;!Mp"</f>
        <v>#VALUE!</v>
      </c>
      <c r="FC14" t="e">
        <f>'All regions'!I342+"n/&gt;!Mq"</f>
        <v>#VALUE!</v>
      </c>
      <c r="FD14" t="e">
        <f>'All regions'!J342+"n/&gt;!Mr"</f>
        <v>#VALUE!</v>
      </c>
      <c r="FE14" t="e">
        <f>'All regions'!A343+"n/&gt;!Ms"</f>
        <v>#VALUE!</v>
      </c>
      <c r="FF14" t="e">
        <f>'All regions'!B343+"n/&gt;!Mt"</f>
        <v>#VALUE!</v>
      </c>
      <c r="FG14" t="e">
        <f>'All regions'!C343+"n/&gt;!Mu"</f>
        <v>#VALUE!</v>
      </c>
      <c r="FH14" t="e">
        <f>'All regions'!D343+"n/&gt;!Mv"</f>
        <v>#VALUE!</v>
      </c>
      <c r="FI14" t="e">
        <f>'All regions'!E343+"n/&gt;!Mw"</f>
        <v>#VALUE!</v>
      </c>
      <c r="FJ14" t="e">
        <f>'All regions'!F343+"n/&gt;!Mx"</f>
        <v>#VALUE!</v>
      </c>
      <c r="FK14" t="e">
        <f>'All regions'!G343+"n/&gt;!My"</f>
        <v>#VALUE!</v>
      </c>
      <c r="FL14" t="e">
        <f>'All regions'!H343+"n/&gt;!Mz"</f>
        <v>#VALUE!</v>
      </c>
      <c r="FM14" t="e">
        <f>'All regions'!I343+"n/&gt;!M{"</f>
        <v>#VALUE!</v>
      </c>
      <c r="FN14" t="e">
        <f>'All regions'!J343+"n/&gt;!M|"</f>
        <v>#VALUE!</v>
      </c>
      <c r="FO14" t="e">
        <f>'All regions'!A344+"n/&gt;!M}"</f>
        <v>#VALUE!</v>
      </c>
      <c r="FP14" t="e">
        <f>'All regions'!B344+"n/&gt;!M~"</f>
        <v>#VALUE!</v>
      </c>
      <c r="FQ14" t="e">
        <f>'All regions'!C344+"n/&gt;!N#"</f>
        <v>#VALUE!</v>
      </c>
      <c r="FR14" t="e">
        <f>'All regions'!D344+"n/&gt;!N$"</f>
        <v>#VALUE!</v>
      </c>
      <c r="FS14" t="e">
        <f>'All regions'!E344+"n/&gt;!N%"</f>
        <v>#VALUE!</v>
      </c>
      <c r="FT14" t="e">
        <f>'All regions'!F344+"n/&gt;!N&amp;"</f>
        <v>#VALUE!</v>
      </c>
      <c r="FU14" t="e">
        <f>'All regions'!G344+"n/&gt;!N'"</f>
        <v>#VALUE!</v>
      </c>
      <c r="FV14" t="e">
        <f>'All regions'!H344+"n/&gt;!N("</f>
        <v>#VALUE!</v>
      </c>
      <c r="FW14" t="e">
        <f>'All regions'!I344+"n/&gt;!N)"</f>
        <v>#VALUE!</v>
      </c>
      <c r="FX14" t="e">
        <f>'All regions'!J344+"n/&gt;!N."</f>
        <v>#VALUE!</v>
      </c>
      <c r="FY14" t="e">
        <f>'All regions'!A345+"n/&gt;!N/"</f>
        <v>#VALUE!</v>
      </c>
      <c r="FZ14" t="e">
        <f>'All regions'!B345+"n/&gt;!N0"</f>
        <v>#VALUE!</v>
      </c>
      <c r="GA14" t="e">
        <f>'All regions'!C345+"n/&gt;!N1"</f>
        <v>#VALUE!</v>
      </c>
      <c r="GB14" t="e">
        <f>'All regions'!D345+"n/&gt;!N2"</f>
        <v>#VALUE!</v>
      </c>
      <c r="GC14" t="e">
        <f>'All regions'!E345+"n/&gt;!N3"</f>
        <v>#VALUE!</v>
      </c>
      <c r="GD14" t="e">
        <f>'All regions'!F345+"n/&gt;!N4"</f>
        <v>#VALUE!</v>
      </c>
      <c r="GE14" t="e">
        <f>'All regions'!G345+"n/&gt;!N5"</f>
        <v>#VALUE!</v>
      </c>
      <c r="GF14" t="e">
        <f>'All regions'!H345+"n/&gt;!N6"</f>
        <v>#VALUE!</v>
      </c>
      <c r="GG14" t="e">
        <f>'All regions'!I345+"n/&gt;!N7"</f>
        <v>#VALUE!</v>
      </c>
      <c r="GH14" t="e">
        <f>'All regions'!J345+"n/&gt;!N8"</f>
        <v>#VALUE!</v>
      </c>
      <c r="GI14" t="e">
        <f>'All regions'!A346+"n/&gt;!N9"</f>
        <v>#VALUE!</v>
      </c>
      <c r="GJ14" t="e">
        <f>'All regions'!B346+"n/&gt;!N:"</f>
        <v>#VALUE!</v>
      </c>
      <c r="GK14" t="e">
        <f>'All regions'!C346+"n/&gt;!N;"</f>
        <v>#VALUE!</v>
      </c>
      <c r="GL14" t="e">
        <f>'All regions'!D346+"n/&gt;!N&lt;"</f>
        <v>#VALUE!</v>
      </c>
      <c r="GM14" t="e">
        <f>'All regions'!E346+"n/&gt;!N="</f>
        <v>#VALUE!</v>
      </c>
      <c r="GN14" t="e">
        <f>'All regions'!F346+"n/&gt;!N&gt;"</f>
        <v>#VALUE!</v>
      </c>
      <c r="GO14" t="e">
        <f>'All regions'!G346+"n/&gt;!N?"</f>
        <v>#VALUE!</v>
      </c>
      <c r="GP14" t="e">
        <f>'All regions'!H346+"n/&gt;!N@"</f>
        <v>#VALUE!</v>
      </c>
      <c r="GQ14" t="e">
        <f>'All regions'!I346+"n/&gt;!NA"</f>
        <v>#VALUE!</v>
      </c>
      <c r="GR14" t="e">
        <f>'All regions'!J346+"n/&gt;!NB"</f>
        <v>#VALUE!</v>
      </c>
      <c r="GS14" t="e">
        <f>'All regions'!A347+"n/&gt;!NC"</f>
        <v>#VALUE!</v>
      </c>
      <c r="GT14" t="e">
        <f>'All regions'!B347+"n/&gt;!ND"</f>
        <v>#VALUE!</v>
      </c>
      <c r="GU14" t="e">
        <f>'All regions'!C347+"n/&gt;!NE"</f>
        <v>#VALUE!</v>
      </c>
      <c r="GV14" t="e">
        <f>'All regions'!D347+"n/&gt;!NF"</f>
        <v>#VALUE!</v>
      </c>
      <c r="GW14" t="e">
        <f>'All regions'!E347+"n/&gt;!NG"</f>
        <v>#VALUE!</v>
      </c>
      <c r="GX14" t="e">
        <f>'All regions'!F347+"n/&gt;!NH"</f>
        <v>#VALUE!</v>
      </c>
      <c r="GY14" t="e">
        <f>'All regions'!G347+"n/&gt;!NI"</f>
        <v>#VALUE!</v>
      </c>
      <c r="GZ14" t="e">
        <f>'All regions'!H347+"n/&gt;!NJ"</f>
        <v>#VALUE!</v>
      </c>
      <c r="HA14" t="e">
        <f>'All regions'!I347+"n/&gt;!NK"</f>
        <v>#VALUE!</v>
      </c>
      <c r="HB14" t="e">
        <f>'All regions'!J347+"n/&gt;!NL"</f>
        <v>#VALUE!</v>
      </c>
      <c r="HC14" t="e">
        <f>'All regions'!A348+"n/&gt;!NM"</f>
        <v>#VALUE!</v>
      </c>
      <c r="HD14" t="e">
        <f>'All regions'!B348+"n/&gt;!NN"</f>
        <v>#VALUE!</v>
      </c>
      <c r="HE14" t="e">
        <f>'All regions'!C348+"n/&gt;!NO"</f>
        <v>#VALUE!</v>
      </c>
      <c r="HF14" t="e">
        <f>'All regions'!D348+"n/&gt;!NP"</f>
        <v>#VALUE!</v>
      </c>
      <c r="HG14" t="e">
        <f>'All regions'!E348+"n/&gt;!NQ"</f>
        <v>#VALUE!</v>
      </c>
      <c r="HH14" t="e">
        <f>'All regions'!F348+"n/&gt;!NR"</f>
        <v>#VALUE!</v>
      </c>
      <c r="HI14" t="e">
        <f>'All regions'!G348+"n/&gt;!NS"</f>
        <v>#VALUE!</v>
      </c>
      <c r="HJ14" t="e">
        <f>'All regions'!H348+"n/&gt;!NT"</f>
        <v>#VALUE!</v>
      </c>
      <c r="HK14" t="e">
        <f>'All regions'!I348+"n/&gt;!NU"</f>
        <v>#VALUE!</v>
      </c>
      <c r="HL14" t="e">
        <f>'All regions'!J348+"n/&gt;!NV"</f>
        <v>#VALUE!</v>
      </c>
      <c r="HM14" t="e">
        <f>'All regions'!A349+"n/&gt;!NW"</f>
        <v>#VALUE!</v>
      </c>
      <c r="HN14" t="e">
        <f>'All regions'!B349+"n/&gt;!NX"</f>
        <v>#VALUE!</v>
      </c>
      <c r="HO14" t="e">
        <f>'All regions'!C349+"n/&gt;!NY"</f>
        <v>#VALUE!</v>
      </c>
      <c r="HP14" t="e">
        <f>'All regions'!D349+"n/&gt;!NZ"</f>
        <v>#VALUE!</v>
      </c>
      <c r="HQ14" t="e">
        <f>'All regions'!E349+"n/&gt;!N["</f>
        <v>#VALUE!</v>
      </c>
      <c r="HR14" t="e">
        <f>'All regions'!F349+"n/&gt;!N\"</f>
        <v>#VALUE!</v>
      </c>
      <c r="HS14" t="e">
        <f>'All regions'!G349+"n/&gt;!N]"</f>
        <v>#VALUE!</v>
      </c>
      <c r="HT14" t="e">
        <f>'All regions'!H349+"n/&gt;!N^"</f>
        <v>#VALUE!</v>
      </c>
      <c r="HU14" t="e">
        <f>'All regions'!I349+"n/&gt;!N_"</f>
        <v>#VALUE!</v>
      </c>
      <c r="HV14" t="e">
        <f>'All regions'!J349+"n/&gt;!N`"</f>
        <v>#VALUE!</v>
      </c>
      <c r="HW14" t="e">
        <f>'All regions'!A350+"n/&gt;!Na"</f>
        <v>#VALUE!</v>
      </c>
      <c r="HX14" t="e">
        <f>'All regions'!B350+"n/&gt;!Nb"</f>
        <v>#VALUE!</v>
      </c>
      <c r="HY14" t="e">
        <f>'All regions'!C350+"n/&gt;!Nc"</f>
        <v>#VALUE!</v>
      </c>
      <c r="HZ14" t="e">
        <f>'All regions'!D350+"n/&gt;!Nd"</f>
        <v>#VALUE!</v>
      </c>
      <c r="IA14" t="e">
        <f>'All regions'!E350+"n/&gt;!Ne"</f>
        <v>#VALUE!</v>
      </c>
      <c r="IB14" t="e">
        <f>'All regions'!F350+"n/&gt;!Nf"</f>
        <v>#VALUE!</v>
      </c>
      <c r="IC14" t="e">
        <f>'All regions'!G350+"n/&gt;!Ng"</f>
        <v>#VALUE!</v>
      </c>
      <c r="ID14" t="e">
        <f>'All regions'!H350+"n/&gt;!Nh"</f>
        <v>#VALUE!</v>
      </c>
      <c r="IE14" t="e">
        <f>'All regions'!I350+"n/&gt;!Ni"</f>
        <v>#VALUE!</v>
      </c>
      <c r="IF14" t="e">
        <f>'All regions'!J350+"n/&gt;!Nj"</f>
        <v>#VALUE!</v>
      </c>
      <c r="IG14" t="e">
        <f>'All regions'!A351+"n/&gt;!Nk"</f>
        <v>#VALUE!</v>
      </c>
      <c r="IH14" t="e">
        <f>'All regions'!B351+"n/&gt;!Nl"</f>
        <v>#VALUE!</v>
      </c>
      <c r="II14" t="e">
        <f>'All regions'!C351+"n/&gt;!Nm"</f>
        <v>#VALUE!</v>
      </c>
      <c r="IJ14" t="e">
        <f>'All regions'!D351+"n/&gt;!Nn"</f>
        <v>#VALUE!</v>
      </c>
      <c r="IK14" t="e">
        <f>'All regions'!E351+"n/&gt;!No"</f>
        <v>#VALUE!</v>
      </c>
      <c r="IL14" t="e">
        <f>'All regions'!F351+"n/&gt;!Np"</f>
        <v>#VALUE!</v>
      </c>
      <c r="IM14" t="e">
        <f>'All regions'!G351+"n/&gt;!Nq"</f>
        <v>#VALUE!</v>
      </c>
      <c r="IN14" t="e">
        <f>'All regions'!H351+"n/&gt;!Nr"</f>
        <v>#VALUE!</v>
      </c>
      <c r="IO14" t="e">
        <f>'All regions'!I351+"n/&gt;!Ns"</f>
        <v>#VALUE!</v>
      </c>
      <c r="IP14" t="e">
        <f>'All regions'!J351+"n/&gt;!Nt"</f>
        <v>#VALUE!</v>
      </c>
      <c r="IQ14" t="e">
        <f>'All regions'!A352+"n/&gt;!Nu"</f>
        <v>#VALUE!</v>
      </c>
      <c r="IR14" t="e">
        <f>'All regions'!B352+"n/&gt;!Nv"</f>
        <v>#VALUE!</v>
      </c>
      <c r="IS14" t="e">
        <f>'All regions'!C352+"n/&gt;!Nw"</f>
        <v>#VALUE!</v>
      </c>
      <c r="IT14" t="e">
        <f>'All regions'!D352+"n/&gt;!Nx"</f>
        <v>#VALUE!</v>
      </c>
      <c r="IU14" t="e">
        <f>'All regions'!E352+"n/&gt;!Ny"</f>
        <v>#VALUE!</v>
      </c>
      <c r="IV14" t="e">
        <f>'All regions'!F352+"n/&gt;!Nz"</f>
        <v>#VALUE!</v>
      </c>
    </row>
    <row r="15" spans="1:256" x14ac:dyDescent="0.35">
      <c r="F15" t="e">
        <f>'All regions'!G352+"n/&gt;!N{"</f>
        <v>#VALUE!</v>
      </c>
      <c r="G15" t="e">
        <f>'All regions'!H352+"n/&gt;!N|"</f>
        <v>#VALUE!</v>
      </c>
      <c r="H15" t="e">
        <f>'All regions'!I352+"n/&gt;!N}"</f>
        <v>#VALUE!</v>
      </c>
      <c r="I15" t="e">
        <f>'All regions'!J352+"n/&gt;!N~"</f>
        <v>#VALUE!</v>
      </c>
      <c r="J15" t="e">
        <f>'All regions'!A353+"n/&gt;!O#"</f>
        <v>#VALUE!</v>
      </c>
      <c r="K15" t="e">
        <f>'All regions'!B353+"n/&gt;!O$"</f>
        <v>#VALUE!</v>
      </c>
      <c r="L15" t="e">
        <f>'All regions'!C353+"n/&gt;!O%"</f>
        <v>#VALUE!</v>
      </c>
      <c r="M15" t="e">
        <f>'All regions'!D353+"n/&gt;!O&amp;"</f>
        <v>#VALUE!</v>
      </c>
      <c r="N15" t="e">
        <f>'All regions'!E353+"n/&gt;!O'"</f>
        <v>#VALUE!</v>
      </c>
      <c r="O15" t="e">
        <f>'All regions'!F353+"n/&gt;!O("</f>
        <v>#VALUE!</v>
      </c>
      <c r="P15" t="e">
        <f>'All regions'!G353+"n/&gt;!O)"</f>
        <v>#VALUE!</v>
      </c>
      <c r="Q15" t="e">
        <f>'All regions'!H353+"n/&gt;!O."</f>
        <v>#VALUE!</v>
      </c>
      <c r="R15" t="e">
        <f>'All regions'!I353+"n/&gt;!O/"</f>
        <v>#VALUE!</v>
      </c>
      <c r="S15" t="e">
        <f>'All regions'!J353+"n/&gt;!O0"</f>
        <v>#VALUE!</v>
      </c>
      <c r="T15" t="e">
        <f>'All regions'!A354+"n/&gt;!O1"</f>
        <v>#VALUE!</v>
      </c>
      <c r="U15" t="e">
        <f>'All regions'!B354+"n/&gt;!O2"</f>
        <v>#VALUE!</v>
      </c>
      <c r="V15" t="e">
        <f>'All regions'!C354+"n/&gt;!O3"</f>
        <v>#VALUE!</v>
      </c>
      <c r="W15" t="e">
        <f>'All regions'!D354+"n/&gt;!O4"</f>
        <v>#VALUE!</v>
      </c>
      <c r="X15" t="e">
        <f>'All regions'!E354+"n/&gt;!O5"</f>
        <v>#VALUE!</v>
      </c>
      <c r="Y15" t="e">
        <f>'All regions'!F354+"n/&gt;!O6"</f>
        <v>#VALUE!</v>
      </c>
      <c r="Z15" t="e">
        <f>'All regions'!G354+"n/&gt;!O7"</f>
        <v>#VALUE!</v>
      </c>
      <c r="AA15" t="e">
        <f>'All regions'!H354+"n/&gt;!O8"</f>
        <v>#VALUE!</v>
      </c>
      <c r="AB15" t="e">
        <f>'All regions'!I354+"n/&gt;!O9"</f>
        <v>#VALUE!</v>
      </c>
      <c r="AC15" t="e">
        <f>'All regions'!J354+"n/&gt;!O:"</f>
        <v>#VALUE!</v>
      </c>
      <c r="AD15" t="e">
        <f>'All regions'!A355+"n/&gt;!O;"</f>
        <v>#VALUE!</v>
      </c>
      <c r="AE15" t="e">
        <f>'All regions'!B355+"n/&gt;!O&lt;"</f>
        <v>#VALUE!</v>
      </c>
      <c r="AF15" t="e">
        <f>'All regions'!C355+"n/&gt;!O="</f>
        <v>#VALUE!</v>
      </c>
      <c r="AG15" t="e">
        <f>'All regions'!D355+"n/&gt;!O&gt;"</f>
        <v>#VALUE!</v>
      </c>
      <c r="AH15" t="e">
        <f>'All regions'!E355+"n/&gt;!O?"</f>
        <v>#VALUE!</v>
      </c>
      <c r="AI15" t="e">
        <f>'All regions'!F355+"n/&gt;!O@"</f>
        <v>#VALUE!</v>
      </c>
      <c r="AJ15" t="e">
        <f>'All regions'!G355+"n/&gt;!OA"</f>
        <v>#VALUE!</v>
      </c>
      <c r="AK15" t="e">
        <f>'All regions'!H355+"n/&gt;!OB"</f>
        <v>#VALUE!</v>
      </c>
      <c r="AL15" t="e">
        <f>'All regions'!I355+"n/&gt;!OC"</f>
        <v>#VALUE!</v>
      </c>
      <c r="AM15" t="e">
        <f>'All regions'!J355+"n/&gt;!OD"</f>
        <v>#VALUE!</v>
      </c>
      <c r="AN15" t="e">
        <f>'All regions'!A356+"n/&gt;!OE"</f>
        <v>#VALUE!</v>
      </c>
      <c r="AO15" t="e">
        <f>'All regions'!B356+"n/&gt;!OF"</f>
        <v>#VALUE!</v>
      </c>
      <c r="AP15" t="e">
        <f>'All regions'!C356+"n/&gt;!OG"</f>
        <v>#VALUE!</v>
      </c>
      <c r="AQ15" t="e">
        <f>'All regions'!D356+"n/&gt;!OH"</f>
        <v>#VALUE!</v>
      </c>
      <c r="AR15" t="e">
        <f>'All regions'!E356+"n/&gt;!OI"</f>
        <v>#VALUE!</v>
      </c>
      <c r="AS15" t="e">
        <f>'All regions'!F356+"n/&gt;!OJ"</f>
        <v>#VALUE!</v>
      </c>
      <c r="AT15" t="e">
        <f>'All regions'!G356+"n/&gt;!OK"</f>
        <v>#VALUE!</v>
      </c>
      <c r="AU15" t="e">
        <f>'All regions'!H356+"n/&gt;!OL"</f>
        <v>#VALUE!</v>
      </c>
      <c r="AV15" t="e">
        <f>'All regions'!I356+"n/&gt;!OM"</f>
        <v>#VALUE!</v>
      </c>
      <c r="AW15" t="e">
        <f>'All regions'!J356+"n/&gt;!ON"</f>
        <v>#VALUE!</v>
      </c>
      <c r="AX15" t="e">
        <f>'All regions'!A357+"n/&gt;!OO"</f>
        <v>#VALUE!</v>
      </c>
      <c r="AY15" t="e">
        <f>'All regions'!B357+"n/&gt;!OP"</f>
        <v>#VALUE!</v>
      </c>
      <c r="AZ15" t="e">
        <f>'All regions'!C357+"n/&gt;!OQ"</f>
        <v>#VALUE!</v>
      </c>
      <c r="BA15" t="e">
        <f>'All regions'!D357+"n/&gt;!OR"</f>
        <v>#VALUE!</v>
      </c>
      <c r="BB15" t="e">
        <f>'All regions'!E357+"n/&gt;!OS"</f>
        <v>#VALUE!</v>
      </c>
      <c r="BC15" t="e">
        <f>'All regions'!F357+"n/&gt;!OT"</f>
        <v>#VALUE!</v>
      </c>
      <c r="BD15" t="e">
        <f>'All regions'!G357+"n/&gt;!OU"</f>
        <v>#VALUE!</v>
      </c>
      <c r="BE15" t="e">
        <f>'All regions'!H357+"n/&gt;!OV"</f>
        <v>#VALUE!</v>
      </c>
      <c r="BF15" t="e">
        <f>'All regions'!I357+"n/&gt;!OW"</f>
        <v>#VALUE!</v>
      </c>
      <c r="BG15" t="e">
        <f>'All regions'!J357+"n/&gt;!OX"</f>
        <v>#VALUE!</v>
      </c>
      <c r="BH15" t="e">
        <f>'All regions'!A358+"n/&gt;!OY"</f>
        <v>#VALUE!</v>
      </c>
      <c r="BI15" t="e">
        <f>'All regions'!B358+"n/&gt;!OZ"</f>
        <v>#VALUE!</v>
      </c>
      <c r="BJ15" t="e">
        <f>'All regions'!C358+"n/&gt;!O["</f>
        <v>#VALUE!</v>
      </c>
      <c r="BK15" t="e">
        <f>'All regions'!D358+"n/&gt;!O\"</f>
        <v>#VALUE!</v>
      </c>
      <c r="BL15" t="e">
        <f>'All regions'!E358+"n/&gt;!O]"</f>
        <v>#VALUE!</v>
      </c>
      <c r="BM15" t="e">
        <f>'All regions'!F358+"n/&gt;!O^"</f>
        <v>#VALUE!</v>
      </c>
      <c r="BN15" t="e">
        <f>'All regions'!G358+"n/&gt;!O_"</f>
        <v>#VALUE!</v>
      </c>
      <c r="BO15" t="e">
        <f>'All regions'!H358+"n/&gt;!O`"</f>
        <v>#VALUE!</v>
      </c>
      <c r="BP15" t="e">
        <f>'All regions'!I358+"n/&gt;!Oa"</f>
        <v>#VALUE!</v>
      </c>
      <c r="BQ15" t="e">
        <f>'All regions'!J358+"n/&gt;!Ob"</f>
        <v>#VALUE!</v>
      </c>
      <c r="BR15" t="e">
        <f>'All regions'!A359+"n/&gt;!Oc"</f>
        <v>#VALUE!</v>
      </c>
      <c r="BS15" t="e">
        <f>'All regions'!B359+"n/&gt;!Od"</f>
        <v>#VALUE!</v>
      </c>
      <c r="BT15" t="e">
        <f>'All regions'!C359+"n/&gt;!Oe"</f>
        <v>#VALUE!</v>
      </c>
      <c r="BU15" t="e">
        <f>'All regions'!D359+"n/&gt;!Of"</f>
        <v>#VALUE!</v>
      </c>
      <c r="BV15" t="e">
        <f>'All regions'!E359+"n/&gt;!Og"</f>
        <v>#VALUE!</v>
      </c>
      <c r="BW15" t="e">
        <f>'All regions'!F359+"n/&gt;!Oh"</f>
        <v>#VALUE!</v>
      </c>
      <c r="BX15" t="e">
        <f>'All regions'!G359+"n/&gt;!Oi"</f>
        <v>#VALUE!</v>
      </c>
      <c r="BY15" t="e">
        <f>'All regions'!H359+"n/&gt;!Oj"</f>
        <v>#VALUE!</v>
      </c>
      <c r="BZ15" t="e">
        <f>'All regions'!I359+"n/&gt;!Ok"</f>
        <v>#VALUE!</v>
      </c>
      <c r="CA15" t="e">
        <f>'All regions'!J359+"n/&gt;!Ol"</f>
        <v>#VALUE!</v>
      </c>
      <c r="CB15" t="e">
        <f>'All regions'!A360+"n/&gt;!Om"</f>
        <v>#VALUE!</v>
      </c>
      <c r="CC15" t="e">
        <f>'All regions'!B360+"n/&gt;!On"</f>
        <v>#VALUE!</v>
      </c>
      <c r="CD15" t="e">
        <f>'All regions'!C360+"n/&gt;!Oo"</f>
        <v>#VALUE!</v>
      </c>
      <c r="CE15" t="e">
        <f>'All regions'!D360+"n/&gt;!Op"</f>
        <v>#VALUE!</v>
      </c>
      <c r="CF15" t="e">
        <f>'All regions'!E360+"n/&gt;!Oq"</f>
        <v>#VALUE!</v>
      </c>
      <c r="CG15" t="e">
        <f>'All regions'!F360+"n/&gt;!Or"</f>
        <v>#VALUE!</v>
      </c>
      <c r="CH15" t="e">
        <f>'All regions'!G360+"n/&gt;!Os"</f>
        <v>#VALUE!</v>
      </c>
      <c r="CI15" t="e">
        <f>'All regions'!H360+"n/&gt;!Ot"</f>
        <v>#VALUE!</v>
      </c>
      <c r="CJ15" t="e">
        <f>'All regions'!I360+"n/&gt;!Ou"</f>
        <v>#VALUE!</v>
      </c>
      <c r="CK15" t="e">
        <f>'All regions'!J360+"n/&gt;!Ov"</f>
        <v>#VALUE!</v>
      </c>
      <c r="CL15" t="e">
        <f>'All regions'!A361+"n/&gt;!Ow"</f>
        <v>#VALUE!</v>
      </c>
      <c r="CM15" t="e">
        <f>'All regions'!B361+"n/&gt;!Ox"</f>
        <v>#VALUE!</v>
      </c>
      <c r="CN15" t="e">
        <f>'All regions'!C361+"n/&gt;!Oy"</f>
        <v>#VALUE!</v>
      </c>
      <c r="CO15" t="e">
        <f>'All regions'!D361+"n/&gt;!Oz"</f>
        <v>#VALUE!</v>
      </c>
      <c r="CP15" t="e">
        <f>'All regions'!E361+"n/&gt;!O{"</f>
        <v>#VALUE!</v>
      </c>
      <c r="CQ15" t="e">
        <f>'All regions'!F361+"n/&gt;!O|"</f>
        <v>#VALUE!</v>
      </c>
      <c r="CR15" t="e">
        <f>'All regions'!G361+"n/&gt;!O}"</f>
        <v>#VALUE!</v>
      </c>
      <c r="CS15" t="e">
        <f>'All regions'!H361+"n/&gt;!O~"</f>
        <v>#VALUE!</v>
      </c>
      <c r="CT15" t="e">
        <f>'All regions'!I361+"n/&gt;!P#"</f>
        <v>#VALUE!</v>
      </c>
      <c r="CU15" t="e">
        <f>'All regions'!J361+"n/&gt;!P$"</f>
        <v>#VALUE!</v>
      </c>
      <c r="CV15" t="e">
        <f>'All regions'!A362+"n/&gt;!P%"</f>
        <v>#VALUE!</v>
      </c>
      <c r="CW15" t="e">
        <f>'All regions'!B362+"n/&gt;!P&amp;"</f>
        <v>#VALUE!</v>
      </c>
      <c r="CX15" t="e">
        <f>'All regions'!C362+"n/&gt;!P'"</f>
        <v>#VALUE!</v>
      </c>
      <c r="CY15" t="e">
        <f>'All regions'!D362+"n/&gt;!P("</f>
        <v>#VALUE!</v>
      </c>
      <c r="CZ15" t="e">
        <f>'All regions'!E362+"n/&gt;!P)"</f>
        <v>#VALUE!</v>
      </c>
      <c r="DA15" t="e">
        <f>'All regions'!F362+"n/&gt;!P."</f>
        <v>#VALUE!</v>
      </c>
      <c r="DB15" t="e">
        <f>'All regions'!G362+"n/&gt;!P/"</f>
        <v>#VALUE!</v>
      </c>
      <c r="DC15" t="e">
        <f>'All regions'!H362+"n/&gt;!P0"</f>
        <v>#VALUE!</v>
      </c>
      <c r="DD15" t="e">
        <f>'All regions'!I362+"n/&gt;!P1"</f>
        <v>#VALUE!</v>
      </c>
      <c r="DE15" t="e">
        <f>'All regions'!J362+"n/&gt;!P2"</f>
        <v>#VALUE!</v>
      </c>
      <c r="DF15" t="e">
        <f>'All regions'!A363+"n/&gt;!P3"</f>
        <v>#VALUE!</v>
      </c>
      <c r="DG15" t="e">
        <f>'All regions'!B363+"n/&gt;!P4"</f>
        <v>#VALUE!</v>
      </c>
      <c r="DH15" t="e">
        <f>'All regions'!C363+"n/&gt;!P5"</f>
        <v>#VALUE!</v>
      </c>
      <c r="DI15" t="e">
        <f>'All regions'!D363+"n/&gt;!P6"</f>
        <v>#VALUE!</v>
      </c>
      <c r="DJ15" t="e">
        <f>'All regions'!E363+"n/&gt;!P7"</f>
        <v>#VALUE!</v>
      </c>
      <c r="DK15" t="e">
        <f>'All regions'!F363+"n/&gt;!P8"</f>
        <v>#VALUE!</v>
      </c>
      <c r="DL15" t="e">
        <f>'All regions'!G363+"n/&gt;!P9"</f>
        <v>#VALUE!</v>
      </c>
      <c r="DM15" t="e">
        <f>'All regions'!H363+"n/&gt;!P:"</f>
        <v>#VALUE!</v>
      </c>
      <c r="DN15" t="e">
        <f>'All regions'!I363+"n/&gt;!P;"</f>
        <v>#VALUE!</v>
      </c>
      <c r="DO15" t="e">
        <f>'All regions'!J363+"n/&gt;!P&lt;"</f>
        <v>#VALUE!</v>
      </c>
      <c r="DP15" t="e">
        <f>'All regions'!A364+"n/&gt;!P="</f>
        <v>#VALUE!</v>
      </c>
      <c r="DQ15" t="e">
        <f>'All regions'!B364+"n/&gt;!P&gt;"</f>
        <v>#VALUE!</v>
      </c>
      <c r="DR15" t="e">
        <f>'All regions'!C364+"n/&gt;!P?"</f>
        <v>#VALUE!</v>
      </c>
      <c r="DS15" t="e">
        <f>'All regions'!D364+"n/&gt;!P@"</f>
        <v>#VALUE!</v>
      </c>
      <c r="DT15" t="e">
        <f>'All regions'!E364+"n/&gt;!PA"</f>
        <v>#VALUE!</v>
      </c>
      <c r="DU15" t="e">
        <f>'All regions'!F364+"n/&gt;!PB"</f>
        <v>#VALUE!</v>
      </c>
      <c r="DV15" t="e">
        <f>'All regions'!G364+"n/&gt;!PC"</f>
        <v>#VALUE!</v>
      </c>
      <c r="DW15" t="e">
        <f>'All regions'!H364+"n/&gt;!PD"</f>
        <v>#VALUE!</v>
      </c>
      <c r="DX15" t="e">
        <f>'All regions'!I364+"n/&gt;!PE"</f>
        <v>#VALUE!</v>
      </c>
      <c r="DY15" t="e">
        <f>'All regions'!J364+"n/&gt;!PF"</f>
        <v>#VALUE!</v>
      </c>
      <c r="DZ15" t="e">
        <f>'All regions'!A365+"n/&gt;!PG"</f>
        <v>#VALUE!</v>
      </c>
      <c r="EA15" t="e">
        <f>'All regions'!B365+"n/&gt;!PH"</f>
        <v>#VALUE!</v>
      </c>
      <c r="EB15" t="e">
        <f>'All regions'!C365+"n/&gt;!PI"</f>
        <v>#VALUE!</v>
      </c>
      <c r="EC15" t="e">
        <f>'All regions'!D365+"n/&gt;!PJ"</f>
        <v>#VALUE!</v>
      </c>
      <c r="ED15" t="e">
        <f>'All regions'!E365+"n/&gt;!PK"</f>
        <v>#VALUE!</v>
      </c>
      <c r="EE15" t="e">
        <f>'All regions'!F365+"n/&gt;!PL"</f>
        <v>#VALUE!</v>
      </c>
      <c r="EF15" t="e">
        <f>'All regions'!G365+"n/&gt;!PM"</f>
        <v>#VALUE!</v>
      </c>
      <c r="EG15" t="e">
        <f>'All regions'!H365+"n/&gt;!PN"</f>
        <v>#VALUE!</v>
      </c>
      <c r="EH15" t="e">
        <f>'All regions'!I365+"n/&gt;!PO"</f>
        <v>#VALUE!</v>
      </c>
      <c r="EI15" t="e">
        <f>'All regions'!J365+"n/&gt;!PP"</f>
        <v>#VALUE!</v>
      </c>
      <c r="EJ15" t="e">
        <f>'All regions'!A366+"n/&gt;!PQ"</f>
        <v>#VALUE!</v>
      </c>
      <c r="EK15" t="e">
        <f>'All regions'!B366+"n/&gt;!PR"</f>
        <v>#VALUE!</v>
      </c>
      <c r="EL15" t="e">
        <f>'All regions'!C366+"n/&gt;!PS"</f>
        <v>#VALUE!</v>
      </c>
      <c r="EM15" t="e">
        <f>'All regions'!D366+"n/&gt;!PT"</f>
        <v>#VALUE!</v>
      </c>
      <c r="EN15" t="e">
        <f>'All regions'!E366+"n/&gt;!PU"</f>
        <v>#VALUE!</v>
      </c>
      <c r="EO15" t="e">
        <f>'All regions'!F366+"n/&gt;!PV"</f>
        <v>#VALUE!</v>
      </c>
      <c r="EP15" t="e">
        <f>'All regions'!G366+"n/&gt;!PW"</f>
        <v>#VALUE!</v>
      </c>
      <c r="EQ15" t="e">
        <f>'All regions'!H366+"n/&gt;!PX"</f>
        <v>#VALUE!</v>
      </c>
      <c r="ER15" t="e">
        <f>'All regions'!I366+"n/&gt;!PY"</f>
        <v>#VALUE!</v>
      </c>
      <c r="ES15" t="e">
        <f>'All regions'!J366+"n/&gt;!PZ"</f>
        <v>#VALUE!</v>
      </c>
      <c r="ET15" t="e">
        <f>'All regions'!A367+"n/&gt;!P["</f>
        <v>#VALUE!</v>
      </c>
      <c r="EU15" t="e">
        <f>'All regions'!B367+"n/&gt;!P\"</f>
        <v>#VALUE!</v>
      </c>
      <c r="EV15" t="e">
        <f>'All regions'!C367+"n/&gt;!P]"</f>
        <v>#VALUE!</v>
      </c>
      <c r="EW15" t="e">
        <f>'All regions'!D367+"n/&gt;!P^"</f>
        <v>#VALUE!</v>
      </c>
      <c r="EX15" t="e">
        <f>'All regions'!E367+"n/&gt;!P_"</f>
        <v>#VALUE!</v>
      </c>
      <c r="EY15" t="e">
        <f>'All regions'!F367+"n/&gt;!P`"</f>
        <v>#VALUE!</v>
      </c>
      <c r="EZ15" t="e">
        <f>'All regions'!G367+"n/&gt;!Pa"</f>
        <v>#VALUE!</v>
      </c>
      <c r="FA15" t="e">
        <f>'All regions'!H367+"n/&gt;!Pb"</f>
        <v>#VALUE!</v>
      </c>
      <c r="FB15" t="e">
        <f>'All regions'!I367+"n/&gt;!Pc"</f>
        <v>#VALUE!</v>
      </c>
      <c r="FC15" t="e">
        <f>'All regions'!J367+"n/&gt;!Pd"</f>
        <v>#VALUE!</v>
      </c>
      <c r="FD15" t="e">
        <f>'All regions'!A368+"n/&gt;!Pe"</f>
        <v>#VALUE!</v>
      </c>
      <c r="FE15" t="e">
        <f>'All regions'!B368+"n/&gt;!Pf"</f>
        <v>#VALUE!</v>
      </c>
      <c r="FF15" t="e">
        <f>'All regions'!C368+"n/&gt;!Pg"</f>
        <v>#VALUE!</v>
      </c>
      <c r="FG15" t="e">
        <f>'All regions'!D368+"n/&gt;!Ph"</f>
        <v>#VALUE!</v>
      </c>
      <c r="FH15" t="e">
        <f>'All regions'!E368+"n/&gt;!Pi"</f>
        <v>#VALUE!</v>
      </c>
      <c r="FI15" t="e">
        <f>'All regions'!F368+"n/&gt;!Pj"</f>
        <v>#VALUE!</v>
      </c>
      <c r="FJ15" t="e">
        <f>'All regions'!G368+"n/&gt;!Pk"</f>
        <v>#VALUE!</v>
      </c>
      <c r="FK15" t="e">
        <f>'All regions'!H368+"n/&gt;!Pl"</f>
        <v>#VALUE!</v>
      </c>
      <c r="FL15" t="e">
        <f>'All regions'!I368+"n/&gt;!Pm"</f>
        <v>#VALUE!</v>
      </c>
      <c r="FM15" t="e">
        <f>'All regions'!J368+"n/&gt;!Pn"</f>
        <v>#VALUE!</v>
      </c>
      <c r="FN15" t="e">
        <f>'All regions'!A369+"n/&gt;!Po"</f>
        <v>#VALUE!</v>
      </c>
      <c r="FO15" t="e">
        <f>'All regions'!B369+"n/&gt;!Pp"</f>
        <v>#VALUE!</v>
      </c>
      <c r="FP15" t="e">
        <f>'All regions'!C369+"n/&gt;!Pq"</f>
        <v>#VALUE!</v>
      </c>
      <c r="FQ15" t="e">
        <f>'All regions'!D369+"n/&gt;!Pr"</f>
        <v>#VALUE!</v>
      </c>
      <c r="FR15" t="e">
        <f>'All regions'!E369+"n/&gt;!Ps"</f>
        <v>#VALUE!</v>
      </c>
      <c r="FS15" t="e">
        <f>'All regions'!F369+"n/&gt;!Pt"</f>
        <v>#VALUE!</v>
      </c>
      <c r="FT15" t="e">
        <f>'All regions'!G369+"n/&gt;!Pu"</f>
        <v>#VALUE!</v>
      </c>
      <c r="FU15" t="e">
        <f>'All regions'!H369+"n/&gt;!Pv"</f>
        <v>#VALUE!</v>
      </c>
      <c r="FV15" t="e">
        <f>'All regions'!I369+"n/&gt;!Pw"</f>
        <v>#VALUE!</v>
      </c>
      <c r="FW15" t="e">
        <f>'All regions'!J369+"n/&gt;!Px"</f>
        <v>#VALUE!</v>
      </c>
      <c r="FX15" t="e">
        <f>'All regions'!A370+"n/&gt;!Py"</f>
        <v>#VALUE!</v>
      </c>
      <c r="FY15" t="e">
        <f>'All regions'!B370+"n/&gt;!Pz"</f>
        <v>#VALUE!</v>
      </c>
      <c r="FZ15" t="e">
        <f>'All regions'!C370+"n/&gt;!P{"</f>
        <v>#VALUE!</v>
      </c>
      <c r="GA15" t="e">
        <f>'All regions'!D370+"n/&gt;!P|"</f>
        <v>#VALUE!</v>
      </c>
      <c r="GB15" t="e">
        <f>'All regions'!E370+"n/&gt;!P}"</f>
        <v>#VALUE!</v>
      </c>
      <c r="GC15" t="e">
        <f>'All regions'!F370+"n/&gt;!P~"</f>
        <v>#VALUE!</v>
      </c>
      <c r="GD15" t="e">
        <f>'All regions'!G370+"n/&gt;!Q#"</f>
        <v>#VALUE!</v>
      </c>
      <c r="GE15" t="e">
        <f>'All regions'!H370+"n/&gt;!Q$"</f>
        <v>#VALUE!</v>
      </c>
      <c r="GF15" t="e">
        <f>'All regions'!I370+"n/&gt;!Q%"</f>
        <v>#VALUE!</v>
      </c>
      <c r="GG15" t="e">
        <f>'All regions'!J370+"n/&gt;!Q&amp;"</f>
        <v>#VALUE!</v>
      </c>
      <c r="GH15" t="e">
        <f>'All regions'!A371+"n/&gt;!Q'"</f>
        <v>#VALUE!</v>
      </c>
      <c r="GI15" t="e">
        <f>'All regions'!B371+"n/&gt;!Q("</f>
        <v>#VALUE!</v>
      </c>
      <c r="GJ15" t="e">
        <f>'All regions'!C371+"n/&gt;!Q)"</f>
        <v>#VALUE!</v>
      </c>
      <c r="GK15" t="e">
        <f>'All regions'!D371+"n/&gt;!Q."</f>
        <v>#VALUE!</v>
      </c>
      <c r="GL15" t="e">
        <f>'All regions'!E371+"n/&gt;!Q/"</f>
        <v>#VALUE!</v>
      </c>
      <c r="GM15" t="e">
        <f>'All regions'!F371+"n/&gt;!Q0"</f>
        <v>#VALUE!</v>
      </c>
      <c r="GN15" t="e">
        <f>'All regions'!G371+"n/&gt;!Q1"</f>
        <v>#VALUE!</v>
      </c>
      <c r="GO15" t="e">
        <f>'All regions'!H371+"n/&gt;!Q2"</f>
        <v>#VALUE!</v>
      </c>
      <c r="GP15" t="e">
        <f>'All regions'!I371+"n/&gt;!Q3"</f>
        <v>#VALUE!</v>
      </c>
      <c r="GQ15" t="e">
        <f>'All regions'!J371+"n/&gt;!Q4"</f>
        <v>#VALUE!</v>
      </c>
      <c r="GR15" t="e">
        <f>'All regions'!A372+"n/&gt;!Q5"</f>
        <v>#VALUE!</v>
      </c>
      <c r="GS15" t="e">
        <f>'All regions'!B372+"n/&gt;!Q6"</f>
        <v>#VALUE!</v>
      </c>
      <c r="GT15" t="e">
        <f>'All regions'!C372+"n/&gt;!Q7"</f>
        <v>#VALUE!</v>
      </c>
      <c r="GU15" t="e">
        <f>'All regions'!D372+"n/&gt;!Q8"</f>
        <v>#VALUE!</v>
      </c>
      <c r="GV15" t="e">
        <f>'All regions'!E372+"n/&gt;!Q9"</f>
        <v>#VALUE!</v>
      </c>
      <c r="GW15" t="e">
        <f>'All regions'!F372+"n/&gt;!Q:"</f>
        <v>#VALUE!</v>
      </c>
      <c r="GX15" t="e">
        <f>'All regions'!G372+"n/&gt;!Q;"</f>
        <v>#VALUE!</v>
      </c>
      <c r="GY15" t="e">
        <f>'All regions'!H372+"n/&gt;!Q&lt;"</f>
        <v>#VALUE!</v>
      </c>
      <c r="GZ15" t="e">
        <f>'All regions'!I372+"n/&gt;!Q="</f>
        <v>#VALUE!</v>
      </c>
      <c r="HA15" t="e">
        <f>'All regions'!J372+"n/&gt;!Q&gt;"</f>
        <v>#VALUE!</v>
      </c>
      <c r="HB15" t="e">
        <f>'All regions'!A373+"n/&gt;!Q?"</f>
        <v>#VALUE!</v>
      </c>
      <c r="HC15" t="e">
        <f>'All regions'!B373+"n/&gt;!Q@"</f>
        <v>#VALUE!</v>
      </c>
      <c r="HD15" t="e">
        <f>'All regions'!C373+"n/&gt;!QA"</f>
        <v>#VALUE!</v>
      </c>
      <c r="HE15" t="e">
        <f>'All regions'!D373+"n/&gt;!QB"</f>
        <v>#VALUE!</v>
      </c>
      <c r="HF15" t="e">
        <f>'All regions'!E373+"n/&gt;!QC"</f>
        <v>#VALUE!</v>
      </c>
      <c r="HG15" t="e">
        <f>'All regions'!F373+"n/&gt;!QD"</f>
        <v>#VALUE!</v>
      </c>
      <c r="HH15" t="e">
        <f>'All regions'!G373+"n/&gt;!QE"</f>
        <v>#VALUE!</v>
      </c>
      <c r="HI15" t="e">
        <f>'All regions'!H373+"n/&gt;!QF"</f>
        <v>#VALUE!</v>
      </c>
      <c r="HJ15" t="e">
        <f>'All regions'!I373+"n/&gt;!QG"</f>
        <v>#VALUE!</v>
      </c>
      <c r="HK15" t="e">
        <f>'All regions'!J373+"n/&gt;!QH"</f>
        <v>#VALUE!</v>
      </c>
      <c r="HL15" t="e">
        <f>'All regions'!A374+"n/&gt;!QI"</f>
        <v>#VALUE!</v>
      </c>
      <c r="HM15" t="e">
        <f>'All regions'!B374+"n/&gt;!QJ"</f>
        <v>#VALUE!</v>
      </c>
      <c r="HN15" t="e">
        <f>'All regions'!C374+"n/&gt;!QK"</f>
        <v>#VALUE!</v>
      </c>
      <c r="HO15" t="e">
        <f>'All regions'!D374+"n/&gt;!QL"</f>
        <v>#VALUE!</v>
      </c>
      <c r="HP15" t="e">
        <f>'All regions'!E374+"n/&gt;!QM"</f>
        <v>#VALUE!</v>
      </c>
      <c r="HQ15" t="e">
        <f>'All regions'!F374+"n/&gt;!QN"</f>
        <v>#VALUE!</v>
      </c>
      <c r="HR15" t="e">
        <f>'All regions'!G374+"n/&gt;!QO"</f>
        <v>#VALUE!</v>
      </c>
      <c r="HS15" t="e">
        <f>'All regions'!H374+"n/&gt;!QP"</f>
        <v>#VALUE!</v>
      </c>
      <c r="HT15" t="e">
        <f>'All regions'!I374+"n/&gt;!QQ"</f>
        <v>#VALUE!</v>
      </c>
      <c r="HU15" t="e">
        <f>'All regions'!J374+"n/&gt;!QR"</f>
        <v>#VALUE!</v>
      </c>
      <c r="HV15" t="e">
        <f>'All regions'!A375+"n/&gt;!QS"</f>
        <v>#VALUE!</v>
      </c>
      <c r="HW15" t="e">
        <f>'All regions'!B375+"n/&gt;!QT"</f>
        <v>#VALUE!</v>
      </c>
      <c r="HX15" t="e">
        <f>'All regions'!C375+"n/&gt;!QU"</f>
        <v>#VALUE!</v>
      </c>
      <c r="HY15" t="e">
        <f>'All regions'!D375+"n/&gt;!QV"</f>
        <v>#VALUE!</v>
      </c>
      <c r="HZ15" t="e">
        <f>'All regions'!E375+"n/&gt;!QW"</f>
        <v>#VALUE!</v>
      </c>
      <c r="IA15" t="e">
        <f>'All regions'!F375+"n/&gt;!QX"</f>
        <v>#VALUE!</v>
      </c>
      <c r="IB15" t="e">
        <f>'All regions'!G375+"n/&gt;!QY"</f>
        <v>#VALUE!</v>
      </c>
      <c r="IC15" t="e">
        <f>'All regions'!H375+"n/&gt;!QZ"</f>
        <v>#VALUE!</v>
      </c>
      <c r="ID15" t="e">
        <f>'All regions'!I375+"n/&gt;!Q["</f>
        <v>#VALUE!</v>
      </c>
      <c r="IE15" t="e">
        <f>'All regions'!J375+"n/&gt;!Q\"</f>
        <v>#VALUE!</v>
      </c>
      <c r="IF15" t="e">
        <f>'All regions'!A376+"n/&gt;!Q]"</f>
        <v>#VALUE!</v>
      </c>
      <c r="IG15" t="e">
        <f>'All regions'!B376+"n/&gt;!Q^"</f>
        <v>#VALUE!</v>
      </c>
      <c r="IH15" t="e">
        <f>'All regions'!C376+"n/&gt;!Q_"</f>
        <v>#VALUE!</v>
      </c>
      <c r="II15" t="e">
        <f>'All regions'!D376+"n/&gt;!Q`"</f>
        <v>#VALUE!</v>
      </c>
      <c r="IJ15" t="e">
        <f>'All regions'!E376+"n/&gt;!Qa"</f>
        <v>#VALUE!</v>
      </c>
      <c r="IK15" t="e">
        <f>'All regions'!F376+"n/&gt;!Qb"</f>
        <v>#VALUE!</v>
      </c>
      <c r="IL15" t="e">
        <f>'All regions'!G376+"n/&gt;!Qc"</f>
        <v>#VALUE!</v>
      </c>
      <c r="IM15" t="e">
        <f>'All regions'!H376+"n/&gt;!Qd"</f>
        <v>#VALUE!</v>
      </c>
      <c r="IN15" t="e">
        <f>'All regions'!I376+"n/&gt;!Qe"</f>
        <v>#VALUE!</v>
      </c>
      <c r="IO15" t="e">
        <f>'All regions'!J376+"n/&gt;!Qf"</f>
        <v>#VALUE!</v>
      </c>
      <c r="IP15" t="e">
        <f>'All regions'!A377+"n/&gt;!Qg"</f>
        <v>#VALUE!</v>
      </c>
      <c r="IQ15" t="e">
        <f>'All regions'!B377+"n/&gt;!Qh"</f>
        <v>#VALUE!</v>
      </c>
      <c r="IR15" t="e">
        <f>'All regions'!C377+"n/&gt;!Qi"</f>
        <v>#VALUE!</v>
      </c>
      <c r="IS15" t="e">
        <f>'All regions'!D377+"n/&gt;!Qj"</f>
        <v>#VALUE!</v>
      </c>
      <c r="IT15" t="e">
        <f>'All regions'!E377+"n/&gt;!Qk"</f>
        <v>#VALUE!</v>
      </c>
      <c r="IU15" t="e">
        <f>'All regions'!F377+"n/&gt;!Ql"</f>
        <v>#VALUE!</v>
      </c>
      <c r="IV15" t="e">
        <f>'All regions'!G377+"n/&gt;!Qm"</f>
        <v>#VALUE!</v>
      </c>
    </row>
    <row r="16" spans="1:256" x14ac:dyDescent="0.35">
      <c r="F16" t="e">
        <f>'All regions'!H377+"n/&gt;!Qn"</f>
        <v>#VALUE!</v>
      </c>
      <c r="G16" t="e">
        <f>'All regions'!I377+"n/&gt;!Qo"</f>
        <v>#VALUE!</v>
      </c>
      <c r="H16" t="e">
        <f>'All regions'!J377+"n/&gt;!Qp"</f>
        <v>#VALUE!</v>
      </c>
      <c r="I16" t="e">
        <f>'All regions'!A378+"n/&gt;!Qq"</f>
        <v>#VALUE!</v>
      </c>
      <c r="J16" t="e">
        <f>'All regions'!B378+"n/&gt;!Qr"</f>
        <v>#VALUE!</v>
      </c>
      <c r="K16" t="e">
        <f>'All regions'!C378+"n/&gt;!Qs"</f>
        <v>#VALUE!</v>
      </c>
      <c r="L16" t="e">
        <f>'All regions'!D378+"n/&gt;!Qt"</f>
        <v>#VALUE!</v>
      </c>
      <c r="M16" t="e">
        <f>'All regions'!E378+"n/&gt;!Qu"</f>
        <v>#VALUE!</v>
      </c>
      <c r="N16" t="e">
        <f>'All regions'!F378+"n/&gt;!Qv"</f>
        <v>#VALUE!</v>
      </c>
      <c r="O16" t="e">
        <f>'All regions'!G378+"n/&gt;!Qw"</f>
        <v>#VALUE!</v>
      </c>
      <c r="P16" t="e">
        <f>'All regions'!H378+"n/&gt;!Qx"</f>
        <v>#VALUE!</v>
      </c>
      <c r="Q16" t="e">
        <f>'All regions'!I378+"n/&gt;!Qy"</f>
        <v>#VALUE!</v>
      </c>
      <c r="R16" t="e">
        <f>'All regions'!J378+"n/&gt;!Qz"</f>
        <v>#VALUE!</v>
      </c>
      <c r="S16" t="e">
        <f>'All regions'!A379+"n/&gt;!Q{"</f>
        <v>#VALUE!</v>
      </c>
      <c r="T16" t="e">
        <f>'All regions'!B379+"n/&gt;!Q|"</f>
        <v>#VALUE!</v>
      </c>
      <c r="U16" t="e">
        <f>'All regions'!C379+"n/&gt;!Q}"</f>
        <v>#VALUE!</v>
      </c>
      <c r="V16" t="e">
        <f>'All regions'!D379+"n/&gt;!Q~"</f>
        <v>#VALUE!</v>
      </c>
      <c r="W16" t="e">
        <f>'All regions'!E379+"n/&gt;!R#"</f>
        <v>#VALUE!</v>
      </c>
      <c r="X16" t="e">
        <f>'All regions'!F379+"n/&gt;!R$"</f>
        <v>#VALUE!</v>
      </c>
      <c r="Y16" t="e">
        <f>'All regions'!G379+"n/&gt;!R%"</f>
        <v>#VALUE!</v>
      </c>
      <c r="Z16" t="e">
        <f>'All regions'!H379+"n/&gt;!R&amp;"</f>
        <v>#VALUE!</v>
      </c>
      <c r="AA16" t="e">
        <f>'All regions'!I379+"n/&gt;!R'"</f>
        <v>#VALUE!</v>
      </c>
      <c r="AB16" t="e">
        <f>'All regions'!J379+"n/&gt;!R("</f>
        <v>#VALUE!</v>
      </c>
      <c r="AC16" t="e">
        <f>'All regions'!A380+"n/&gt;!R)"</f>
        <v>#VALUE!</v>
      </c>
      <c r="AD16" t="e">
        <f>'All regions'!B380+"n/&gt;!R."</f>
        <v>#VALUE!</v>
      </c>
      <c r="AE16" t="e">
        <f>'All regions'!C380+"n/&gt;!R/"</f>
        <v>#VALUE!</v>
      </c>
      <c r="AF16" t="e">
        <f>'All regions'!D380+"n/&gt;!R0"</f>
        <v>#VALUE!</v>
      </c>
      <c r="AG16" t="e">
        <f>'All regions'!E380+"n/&gt;!R1"</f>
        <v>#VALUE!</v>
      </c>
      <c r="AH16" t="e">
        <f>'All regions'!F380+"n/&gt;!R2"</f>
        <v>#VALUE!</v>
      </c>
      <c r="AI16" t="e">
        <f>'All regions'!G380+"n/&gt;!R3"</f>
        <v>#VALUE!</v>
      </c>
      <c r="AJ16" t="e">
        <f>'All regions'!H380+"n/&gt;!R4"</f>
        <v>#VALUE!</v>
      </c>
      <c r="AK16" t="e">
        <f>'All regions'!I380+"n/&gt;!R5"</f>
        <v>#VALUE!</v>
      </c>
      <c r="AL16" t="e">
        <f>'All regions'!J380+"n/&gt;!R6"</f>
        <v>#VALUE!</v>
      </c>
      <c r="AM16" t="e">
        <f>'All regions'!A381+"n/&gt;!R7"</f>
        <v>#VALUE!</v>
      </c>
      <c r="AN16" t="e">
        <f>'All regions'!B381+"n/&gt;!R8"</f>
        <v>#VALUE!</v>
      </c>
      <c r="AO16" t="e">
        <f>'All regions'!C381+"n/&gt;!R9"</f>
        <v>#VALUE!</v>
      </c>
      <c r="AP16" t="e">
        <f>'All regions'!D381+"n/&gt;!R:"</f>
        <v>#VALUE!</v>
      </c>
      <c r="AQ16" t="e">
        <f>'All regions'!E381+"n/&gt;!R;"</f>
        <v>#VALUE!</v>
      </c>
      <c r="AR16" t="e">
        <f>'All regions'!F381+"n/&gt;!R&lt;"</f>
        <v>#VALUE!</v>
      </c>
      <c r="AS16" t="e">
        <f>'All regions'!G381+"n/&gt;!R="</f>
        <v>#VALUE!</v>
      </c>
      <c r="AT16" t="e">
        <f>'All regions'!H381+"n/&gt;!R&gt;"</f>
        <v>#VALUE!</v>
      </c>
      <c r="AU16" t="e">
        <f>'All regions'!I381+"n/&gt;!R?"</f>
        <v>#VALUE!</v>
      </c>
      <c r="AV16" t="e">
        <f>'All regions'!J381+"n/&gt;!R@"</f>
        <v>#VALUE!</v>
      </c>
      <c r="AW16" t="e">
        <f>'All regions'!A382+"n/&gt;!RA"</f>
        <v>#VALUE!</v>
      </c>
      <c r="AX16" t="e">
        <f>'All regions'!B382+"n/&gt;!RB"</f>
        <v>#VALUE!</v>
      </c>
      <c r="AY16" t="e">
        <f>'All regions'!C382+"n/&gt;!RC"</f>
        <v>#VALUE!</v>
      </c>
      <c r="AZ16" t="e">
        <f>'All regions'!D382+"n/&gt;!RD"</f>
        <v>#VALUE!</v>
      </c>
      <c r="BA16" t="e">
        <f>'All regions'!E382+"n/&gt;!RE"</f>
        <v>#VALUE!</v>
      </c>
      <c r="BB16" t="e">
        <f>'All regions'!F382+"n/&gt;!RF"</f>
        <v>#VALUE!</v>
      </c>
      <c r="BC16" t="e">
        <f>'All regions'!G382+"n/&gt;!RG"</f>
        <v>#VALUE!</v>
      </c>
      <c r="BD16" t="e">
        <f>'All regions'!H382+"n/&gt;!RH"</f>
        <v>#VALUE!</v>
      </c>
      <c r="BE16" t="e">
        <f>'All regions'!I382+"n/&gt;!RI"</f>
        <v>#VALUE!</v>
      </c>
      <c r="BF16" t="e">
        <f>'All regions'!J382+"n/&gt;!RJ"</f>
        <v>#VALUE!</v>
      </c>
      <c r="BG16" t="e">
        <f>'All regions'!A383+"n/&gt;!RK"</f>
        <v>#VALUE!</v>
      </c>
      <c r="BH16" t="e">
        <f>'All regions'!B383+"n/&gt;!RL"</f>
        <v>#VALUE!</v>
      </c>
      <c r="BI16" t="e">
        <f>'All regions'!C383+"n/&gt;!RM"</f>
        <v>#VALUE!</v>
      </c>
      <c r="BJ16" t="e">
        <f>'All regions'!D383+"n/&gt;!RN"</f>
        <v>#VALUE!</v>
      </c>
      <c r="BK16" t="e">
        <f>'All regions'!E383+"n/&gt;!RO"</f>
        <v>#VALUE!</v>
      </c>
      <c r="BL16" t="e">
        <f>'All regions'!F383+"n/&gt;!RP"</f>
        <v>#VALUE!</v>
      </c>
      <c r="BM16" t="e">
        <f>'All regions'!G383+"n/&gt;!RQ"</f>
        <v>#VALUE!</v>
      </c>
      <c r="BN16" t="e">
        <f>'All regions'!H383+"n/&gt;!RR"</f>
        <v>#VALUE!</v>
      </c>
      <c r="BO16" t="e">
        <f>'All regions'!I383+"n/&gt;!RS"</f>
        <v>#VALUE!</v>
      </c>
      <c r="BP16" t="e">
        <f>'All regions'!J383+"n/&gt;!RT"</f>
        <v>#VALUE!</v>
      </c>
      <c r="BQ16" t="e">
        <f>'All regions'!A384+"n/&gt;!RU"</f>
        <v>#VALUE!</v>
      </c>
      <c r="BR16" t="e">
        <f>'All regions'!B384+"n/&gt;!RV"</f>
        <v>#VALUE!</v>
      </c>
      <c r="BS16" t="e">
        <f>'All regions'!C384+"n/&gt;!RW"</f>
        <v>#VALUE!</v>
      </c>
      <c r="BT16" t="e">
        <f>'All regions'!D384+"n/&gt;!RX"</f>
        <v>#VALUE!</v>
      </c>
      <c r="BU16" t="e">
        <f>'All regions'!E384+"n/&gt;!RY"</f>
        <v>#VALUE!</v>
      </c>
      <c r="BV16" t="e">
        <f>'All regions'!F384+"n/&gt;!RZ"</f>
        <v>#VALUE!</v>
      </c>
      <c r="BW16" t="e">
        <f>'All regions'!G384+"n/&gt;!R["</f>
        <v>#VALUE!</v>
      </c>
      <c r="BX16" t="e">
        <f>'All regions'!H384+"n/&gt;!R\"</f>
        <v>#VALUE!</v>
      </c>
      <c r="BY16" t="e">
        <f>'All regions'!I384+"n/&gt;!R]"</f>
        <v>#VALUE!</v>
      </c>
      <c r="BZ16" t="e">
        <f>'All regions'!J384+"n/&gt;!R^"</f>
        <v>#VALUE!</v>
      </c>
      <c r="CA16" t="e">
        <f>'All regions'!A385+"n/&gt;!R_"</f>
        <v>#VALUE!</v>
      </c>
      <c r="CB16" t="e">
        <f>'All regions'!B385+"n/&gt;!R`"</f>
        <v>#VALUE!</v>
      </c>
      <c r="CC16" t="e">
        <f>'All regions'!C385+"n/&gt;!Ra"</f>
        <v>#VALUE!</v>
      </c>
      <c r="CD16" t="e">
        <f>'All regions'!D385+"n/&gt;!Rb"</f>
        <v>#VALUE!</v>
      </c>
      <c r="CE16" t="e">
        <f>'All regions'!E385+"n/&gt;!Rc"</f>
        <v>#VALUE!</v>
      </c>
      <c r="CF16" t="e">
        <f>'All regions'!F385+"n/&gt;!Rd"</f>
        <v>#VALUE!</v>
      </c>
      <c r="CG16" t="e">
        <f>'All regions'!G385+"n/&gt;!Re"</f>
        <v>#VALUE!</v>
      </c>
      <c r="CH16" t="e">
        <f>'All regions'!H385+"n/&gt;!Rf"</f>
        <v>#VALUE!</v>
      </c>
      <c r="CI16" t="e">
        <f>'All regions'!I385+"n/&gt;!Rg"</f>
        <v>#VALUE!</v>
      </c>
      <c r="CJ16" t="e">
        <f>'All regions'!J385+"n/&gt;!Rh"</f>
        <v>#VALUE!</v>
      </c>
      <c r="CK16" t="e">
        <f>'All regions'!A386+"n/&gt;!Ri"</f>
        <v>#VALUE!</v>
      </c>
      <c r="CL16" t="e">
        <f>'All regions'!B386+"n/&gt;!Rj"</f>
        <v>#VALUE!</v>
      </c>
      <c r="CM16" t="e">
        <f>'All regions'!C386+"n/&gt;!Rk"</f>
        <v>#VALUE!</v>
      </c>
      <c r="CN16" t="e">
        <f>'All regions'!D386+"n/&gt;!Rl"</f>
        <v>#VALUE!</v>
      </c>
      <c r="CO16" t="e">
        <f>'All regions'!E386+"n/&gt;!Rm"</f>
        <v>#VALUE!</v>
      </c>
      <c r="CP16" t="e">
        <f>'All regions'!F386+"n/&gt;!Rn"</f>
        <v>#VALUE!</v>
      </c>
      <c r="CQ16" t="e">
        <f>'All regions'!G386+"n/&gt;!Ro"</f>
        <v>#VALUE!</v>
      </c>
      <c r="CR16" t="e">
        <f>'All regions'!H386+"n/&gt;!Rp"</f>
        <v>#VALUE!</v>
      </c>
      <c r="CS16" t="e">
        <f>'All regions'!I386+"n/&gt;!Rq"</f>
        <v>#VALUE!</v>
      </c>
      <c r="CT16" t="e">
        <f>'All regions'!J386+"n/&gt;!Rr"</f>
        <v>#VALUE!</v>
      </c>
      <c r="CU16" t="e">
        <f>'All regions'!A387+"n/&gt;!Rs"</f>
        <v>#VALUE!</v>
      </c>
      <c r="CV16" t="e">
        <f>'All regions'!B387+"n/&gt;!Rt"</f>
        <v>#VALUE!</v>
      </c>
      <c r="CW16" t="e">
        <f>'All regions'!C387+"n/&gt;!Ru"</f>
        <v>#VALUE!</v>
      </c>
      <c r="CX16" t="e">
        <f>'All regions'!D387+"n/&gt;!Rv"</f>
        <v>#VALUE!</v>
      </c>
      <c r="CY16" t="e">
        <f>'All regions'!E387+"n/&gt;!Rw"</f>
        <v>#VALUE!</v>
      </c>
      <c r="CZ16" t="e">
        <f>'All regions'!F387+"n/&gt;!Rx"</f>
        <v>#VALUE!</v>
      </c>
      <c r="DA16" t="e">
        <f>'All regions'!G387+"n/&gt;!Ry"</f>
        <v>#VALUE!</v>
      </c>
      <c r="DB16" t="e">
        <f>'All regions'!H387+"n/&gt;!Rz"</f>
        <v>#VALUE!</v>
      </c>
      <c r="DC16" t="e">
        <f>'All regions'!I387+"n/&gt;!R{"</f>
        <v>#VALUE!</v>
      </c>
      <c r="DD16" t="e">
        <f>'All regions'!J387+"n/&gt;!R|"</f>
        <v>#VALUE!</v>
      </c>
      <c r="DE16" t="e">
        <f>'All regions'!A388+"n/&gt;!R}"</f>
        <v>#VALUE!</v>
      </c>
      <c r="DF16" t="e">
        <f>'All regions'!B388+"n/&gt;!R~"</f>
        <v>#VALUE!</v>
      </c>
      <c r="DG16" t="e">
        <f>'All regions'!C388+"n/&gt;!S#"</f>
        <v>#VALUE!</v>
      </c>
      <c r="DH16" t="e">
        <f>'All regions'!D388+"n/&gt;!S$"</f>
        <v>#VALUE!</v>
      </c>
      <c r="DI16" t="e">
        <f>'All regions'!E388+"n/&gt;!S%"</f>
        <v>#VALUE!</v>
      </c>
      <c r="DJ16" t="e">
        <f>'All regions'!F388+"n/&gt;!S&amp;"</f>
        <v>#VALUE!</v>
      </c>
      <c r="DK16" t="e">
        <f>'All regions'!G388+"n/&gt;!S'"</f>
        <v>#VALUE!</v>
      </c>
      <c r="DL16" t="e">
        <f>'All regions'!H388+"n/&gt;!S("</f>
        <v>#VALUE!</v>
      </c>
      <c r="DM16" t="e">
        <f>'All regions'!I388+"n/&gt;!S)"</f>
        <v>#VALUE!</v>
      </c>
      <c r="DN16" t="e">
        <f>'All regions'!J388+"n/&gt;!S."</f>
        <v>#VALUE!</v>
      </c>
      <c r="DO16" t="e">
        <f>'All regions'!A389+"n/&gt;!S/"</f>
        <v>#VALUE!</v>
      </c>
      <c r="DP16" t="e">
        <f>'All regions'!B389+"n/&gt;!S0"</f>
        <v>#VALUE!</v>
      </c>
      <c r="DQ16" t="e">
        <f>'All regions'!C389+"n/&gt;!S1"</f>
        <v>#VALUE!</v>
      </c>
      <c r="DR16" t="e">
        <f>'All regions'!D389+"n/&gt;!S2"</f>
        <v>#VALUE!</v>
      </c>
      <c r="DS16" t="e">
        <f>'All regions'!E389+"n/&gt;!S3"</f>
        <v>#VALUE!</v>
      </c>
      <c r="DT16" t="e">
        <f>'All regions'!F389+"n/&gt;!S4"</f>
        <v>#VALUE!</v>
      </c>
      <c r="DU16" t="e">
        <f>'All regions'!G389+"n/&gt;!S5"</f>
        <v>#VALUE!</v>
      </c>
      <c r="DV16" t="e">
        <f>'All regions'!H389+"n/&gt;!S6"</f>
        <v>#VALUE!</v>
      </c>
      <c r="DW16" t="e">
        <f>'All regions'!I389+"n/&gt;!S7"</f>
        <v>#VALUE!</v>
      </c>
      <c r="DX16" t="e">
        <f>'All regions'!J389+"n/&gt;!S8"</f>
        <v>#VALUE!</v>
      </c>
      <c r="DY16" t="e">
        <f>'All regions'!A390+"n/&gt;!S9"</f>
        <v>#VALUE!</v>
      </c>
      <c r="DZ16" t="e">
        <f>'All regions'!B390+"n/&gt;!S:"</f>
        <v>#VALUE!</v>
      </c>
      <c r="EA16" t="e">
        <f>'All regions'!C390+"n/&gt;!S;"</f>
        <v>#VALUE!</v>
      </c>
      <c r="EB16" t="e">
        <f>'All regions'!D390+"n/&gt;!S&lt;"</f>
        <v>#VALUE!</v>
      </c>
      <c r="EC16" t="e">
        <f>'All regions'!E390+"n/&gt;!S="</f>
        <v>#VALUE!</v>
      </c>
      <c r="ED16" t="e">
        <f>'All regions'!F390+"n/&gt;!S&gt;"</f>
        <v>#VALUE!</v>
      </c>
      <c r="EE16" t="e">
        <f>'All regions'!G390+"n/&gt;!S?"</f>
        <v>#VALUE!</v>
      </c>
      <c r="EF16" t="e">
        <f>'All regions'!H390+"n/&gt;!S@"</f>
        <v>#VALUE!</v>
      </c>
      <c r="EG16" t="e">
        <f>'All regions'!I390+"n/&gt;!SA"</f>
        <v>#VALUE!</v>
      </c>
      <c r="EH16" t="e">
        <f>'All regions'!J390+"n/&gt;!SB"</f>
        <v>#VALUE!</v>
      </c>
      <c r="EI16" t="e">
        <f>'All regions'!A391+"n/&gt;!SC"</f>
        <v>#VALUE!</v>
      </c>
      <c r="EJ16" t="e">
        <f>'All regions'!B391+"n/&gt;!SD"</f>
        <v>#VALUE!</v>
      </c>
      <c r="EK16" t="e">
        <f>'All regions'!C391+"n/&gt;!SE"</f>
        <v>#VALUE!</v>
      </c>
      <c r="EL16" t="e">
        <f>'All regions'!D391+"n/&gt;!SF"</f>
        <v>#VALUE!</v>
      </c>
      <c r="EM16" t="e">
        <f>'All regions'!E391+"n/&gt;!SG"</f>
        <v>#VALUE!</v>
      </c>
      <c r="EN16" t="e">
        <f>'All regions'!F391+"n/&gt;!SH"</f>
        <v>#VALUE!</v>
      </c>
      <c r="EO16" t="e">
        <f>'All regions'!G391+"n/&gt;!SI"</f>
        <v>#VALUE!</v>
      </c>
      <c r="EP16" t="e">
        <f>'All regions'!H391+"n/&gt;!SJ"</f>
        <v>#VALUE!</v>
      </c>
      <c r="EQ16" t="e">
        <f>'All regions'!I391+"n/&gt;!SK"</f>
        <v>#VALUE!</v>
      </c>
      <c r="ER16" t="e">
        <f>'All regions'!J391+"n/&gt;!SL"</f>
        <v>#VALUE!</v>
      </c>
      <c r="ES16" t="e">
        <f>'All regions'!A392+"n/&gt;!SM"</f>
        <v>#VALUE!</v>
      </c>
      <c r="ET16" t="e">
        <f>'All regions'!B392+"n/&gt;!SN"</f>
        <v>#VALUE!</v>
      </c>
      <c r="EU16" t="e">
        <f>'All regions'!C392+"n/&gt;!SO"</f>
        <v>#VALUE!</v>
      </c>
      <c r="EV16" t="e">
        <f>'All regions'!D392+"n/&gt;!SP"</f>
        <v>#VALUE!</v>
      </c>
      <c r="EW16" t="e">
        <f>'All regions'!E392+"n/&gt;!SQ"</f>
        <v>#VALUE!</v>
      </c>
      <c r="EX16" t="e">
        <f>'All regions'!F392+"n/&gt;!SR"</f>
        <v>#VALUE!</v>
      </c>
      <c r="EY16" t="e">
        <f>'All regions'!G392+"n/&gt;!SS"</f>
        <v>#VALUE!</v>
      </c>
      <c r="EZ16" t="e">
        <f>'All regions'!H392+"n/&gt;!ST"</f>
        <v>#VALUE!</v>
      </c>
      <c r="FA16" t="e">
        <f>'All regions'!I392+"n/&gt;!SU"</f>
        <v>#VALUE!</v>
      </c>
      <c r="FB16" t="e">
        <f>'All regions'!J392+"n/&gt;!SV"</f>
        <v>#VALUE!</v>
      </c>
      <c r="FC16" t="e">
        <f>'All regions'!A393+"n/&gt;!SW"</f>
        <v>#VALUE!</v>
      </c>
      <c r="FD16" t="e">
        <f>'All regions'!B393+"n/&gt;!SX"</f>
        <v>#VALUE!</v>
      </c>
      <c r="FE16" t="e">
        <f>'All regions'!C393+"n/&gt;!SY"</f>
        <v>#VALUE!</v>
      </c>
      <c r="FF16" t="e">
        <f>'All regions'!D393+"n/&gt;!SZ"</f>
        <v>#VALUE!</v>
      </c>
      <c r="FG16" t="e">
        <f>'All regions'!E393+"n/&gt;!S["</f>
        <v>#VALUE!</v>
      </c>
      <c r="FH16" t="e">
        <f>'All regions'!F393+"n/&gt;!S\"</f>
        <v>#VALUE!</v>
      </c>
      <c r="FI16" t="e">
        <f>'All regions'!G393+"n/&gt;!S]"</f>
        <v>#VALUE!</v>
      </c>
      <c r="FJ16" t="e">
        <f>'All regions'!H393+"n/&gt;!S^"</f>
        <v>#VALUE!</v>
      </c>
      <c r="FK16" t="e">
        <f>'All regions'!I393+"n/&gt;!S_"</f>
        <v>#VALUE!</v>
      </c>
      <c r="FL16" t="e">
        <f>'All regions'!J393+"n/&gt;!S`"</f>
        <v>#VALUE!</v>
      </c>
      <c r="FM16" t="e">
        <f>'All regions'!A394+"n/&gt;!Sa"</f>
        <v>#VALUE!</v>
      </c>
      <c r="FN16" t="e">
        <f>'All regions'!B394+"n/&gt;!Sb"</f>
        <v>#VALUE!</v>
      </c>
      <c r="FO16" t="e">
        <f>'All regions'!C394+"n/&gt;!Sc"</f>
        <v>#VALUE!</v>
      </c>
      <c r="FP16" t="e">
        <f>'All regions'!D394+"n/&gt;!Sd"</f>
        <v>#VALUE!</v>
      </c>
      <c r="FQ16" t="e">
        <f>'All regions'!E394+"n/&gt;!Se"</f>
        <v>#VALUE!</v>
      </c>
      <c r="FR16" t="e">
        <f>'All regions'!F394+"n/&gt;!Sf"</f>
        <v>#VALUE!</v>
      </c>
      <c r="FS16" t="e">
        <f>'All regions'!G394+"n/&gt;!Sg"</f>
        <v>#VALUE!</v>
      </c>
      <c r="FT16" t="e">
        <f>'All regions'!H394+"n/&gt;!Sh"</f>
        <v>#VALUE!</v>
      </c>
      <c r="FU16" t="e">
        <f>'All regions'!I394+"n/&gt;!Si"</f>
        <v>#VALUE!</v>
      </c>
      <c r="FV16" t="e">
        <f>'All regions'!J394+"n/&gt;!Sj"</f>
        <v>#VALUE!</v>
      </c>
      <c r="FW16" t="e">
        <f>'All regions'!A395+"n/&gt;!Sk"</f>
        <v>#VALUE!</v>
      </c>
      <c r="FX16" t="e">
        <f>'All regions'!B395+"n/&gt;!Sl"</f>
        <v>#VALUE!</v>
      </c>
      <c r="FY16" t="e">
        <f>'All regions'!C395+"n/&gt;!Sm"</f>
        <v>#VALUE!</v>
      </c>
      <c r="FZ16" t="e">
        <f>'All regions'!D395+"n/&gt;!Sn"</f>
        <v>#VALUE!</v>
      </c>
      <c r="GA16" t="e">
        <f>'All regions'!E395+"n/&gt;!So"</f>
        <v>#VALUE!</v>
      </c>
      <c r="GB16" t="e">
        <f>'All regions'!F395+"n/&gt;!Sp"</f>
        <v>#VALUE!</v>
      </c>
      <c r="GC16" t="e">
        <f>'All regions'!G395+"n/&gt;!Sq"</f>
        <v>#VALUE!</v>
      </c>
      <c r="GD16" t="e">
        <f>'All regions'!H395+"n/&gt;!Sr"</f>
        <v>#VALUE!</v>
      </c>
      <c r="GE16" t="e">
        <f>'All regions'!I395+"n/&gt;!Ss"</f>
        <v>#VALUE!</v>
      </c>
      <c r="GF16" t="e">
        <f>'All regions'!J395+"n/&gt;!St"</f>
        <v>#VALUE!</v>
      </c>
      <c r="GG16" t="e">
        <f>'All regions'!A396+"n/&gt;!Su"</f>
        <v>#VALUE!</v>
      </c>
      <c r="GH16" t="e">
        <f>'All regions'!B396+"n/&gt;!Sv"</f>
        <v>#VALUE!</v>
      </c>
      <c r="GI16" t="e">
        <f>'All regions'!C396+"n/&gt;!Sw"</f>
        <v>#VALUE!</v>
      </c>
      <c r="GJ16" t="e">
        <f>'All regions'!D396+"n/&gt;!Sx"</f>
        <v>#VALUE!</v>
      </c>
      <c r="GK16" t="e">
        <f>'All regions'!E396+"n/&gt;!Sy"</f>
        <v>#VALUE!</v>
      </c>
      <c r="GL16" t="e">
        <f>'All regions'!F396+"n/&gt;!Sz"</f>
        <v>#VALUE!</v>
      </c>
      <c r="GM16" t="e">
        <f>'All regions'!G396+"n/&gt;!S{"</f>
        <v>#VALUE!</v>
      </c>
      <c r="GN16" t="e">
        <f>'All regions'!H396+"n/&gt;!S|"</f>
        <v>#VALUE!</v>
      </c>
      <c r="GO16" t="e">
        <f>'All regions'!I396+"n/&gt;!S}"</f>
        <v>#VALUE!</v>
      </c>
      <c r="GP16" t="e">
        <f>'All regions'!J396+"n/&gt;!S~"</f>
        <v>#VALUE!</v>
      </c>
      <c r="GQ16" t="e">
        <f>'All regions'!A397+"n/&gt;!T#"</f>
        <v>#VALUE!</v>
      </c>
      <c r="GR16" t="e">
        <f>'All regions'!B397+"n/&gt;!T$"</f>
        <v>#VALUE!</v>
      </c>
      <c r="GS16" t="e">
        <f>'All regions'!C397+"n/&gt;!T%"</f>
        <v>#VALUE!</v>
      </c>
      <c r="GT16" t="e">
        <f>'All regions'!D397+"n/&gt;!T&amp;"</f>
        <v>#VALUE!</v>
      </c>
      <c r="GU16" t="e">
        <f>'All regions'!E397+"n/&gt;!T'"</f>
        <v>#VALUE!</v>
      </c>
      <c r="GV16" t="e">
        <f>'All regions'!F397+"n/&gt;!T("</f>
        <v>#VALUE!</v>
      </c>
      <c r="GW16" t="e">
        <f>'All regions'!G397+"n/&gt;!T)"</f>
        <v>#VALUE!</v>
      </c>
      <c r="GX16" t="e">
        <f>'All regions'!H397+"n/&gt;!T."</f>
        <v>#VALUE!</v>
      </c>
      <c r="GY16" t="e">
        <f>'All regions'!I397+"n/&gt;!T/"</f>
        <v>#VALUE!</v>
      </c>
      <c r="GZ16" t="e">
        <f>'All regions'!J397+"n/&gt;!T0"</f>
        <v>#VALUE!</v>
      </c>
      <c r="HA16" t="e">
        <f>'All regions'!A398+"n/&gt;!T1"</f>
        <v>#VALUE!</v>
      </c>
      <c r="HB16" t="e">
        <f>'All regions'!B398+"n/&gt;!T2"</f>
        <v>#VALUE!</v>
      </c>
      <c r="HC16" t="e">
        <f>'All regions'!C398+"n/&gt;!T3"</f>
        <v>#VALUE!</v>
      </c>
      <c r="HD16" t="e">
        <f>'All regions'!D398+"n/&gt;!T4"</f>
        <v>#VALUE!</v>
      </c>
      <c r="HE16" t="e">
        <f>'All regions'!E398+"n/&gt;!T5"</f>
        <v>#VALUE!</v>
      </c>
      <c r="HF16" t="e">
        <f>'All regions'!F398+"n/&gt;!T6"</f>
        <v>#VALUE!</v>
      </c>
      <c r="HG16" t="e">
        <f>'All regions'!G398+"n/&gt;!T7"</f>
        <v>#VALUE!</v>
      </c>
      <c r="HH16" t="e">
        <f>'All regions'!H398+"n/&gt;!T8"</f>
        <v>#VALUE!</v>
      </c>
      <c r="HI16" t="e">
        <f>'All regions'!I398+"n/&gt;!T9"</f>
        <v>#VALUE!</v>
      </c>
      <c r="HJ16" t="e">
        <f>'All regions'!J398+"n/&gt;!T:"</f>
        <v>#VALUE!</v>
      </c>
      <c r="HK16" t="e">
        <f>'All regions'!A399+"n/&gt;!T;"</f>
        <v>#VALUE!</v>
      </c>
      <c r="HL16" t="e">
        <f>'All regions'!B399+"n/&gt;!T&lt;"</f>
        <v>#VALUE!</v>
      </c>
      <c r="HM16" t="e">
        <f>'All regions'!C399+"n/&gt;!T="</f>
        <v>#VALUE!</v>
      </c>
      <c r="HN16" t="e">
        <f>'All regions'!D399+"n/&gt;!T&gt;"</f>
        <v>#VALUE!</v>
      </c>
      <c r="HO16" t="e">
        <f>'All regions'!E399+"n/&gt;!T?"</f>
        <v>#VALUE!</v>
      </c>
      <c r="HP16" t="e">
        <f>'All regions'!F399+"n/&gt;!T@"</f>
        <v>#VALUE!</v>
      </c>
      <c r="HQ16" t="e">
        <f>'All regions'!G399+"n/&gt;!TA"</f>
        <v>#VALUE!</v>
      </c>
      <c r="HR16" t="e">
        <f>'All regions'!H399+"n/&gt;!TB"</f>
        <v>#VALUE!</v>
      </c>
      <c r="HS16" t="e">
        <f>'All regions'!I399+"n/&gt;!TC"</f>
        <v>#VALUE!</v>
      </c>
      <c r="HT16" t="e">
        <f>'All regions'!J399+"n/&gt;!TD"</f>
        <v>#VALUE!</v>
      </c>
      <c r="HU16" t="e">
        <f>'All regions'!A400+"n/&gt;!TE"</f>
        <v>#VALUE!</v>
      </c>
      <c r="HV16" t="e">
        <f>'All regions'!B400+"n/&gt;!TF"</f>
        <v>#VALUE!</v>
      </c>
      <c r="HW16" t="e">
        <f>'All regions'!C400+"n/&gt;!TG"</f>
        <v>#VALUE!</v>
      </c>
      <c r="HX16" t="e">
        <f>'All regions'!D400+"n/&gt;!TH"</f>
        <v>#VALUE!</v>
      </c>
      <c r="HY16" t="e">
        <f>'All regions'!E400+"n/&gt;!TI"</f>
        <v>#VALUE!</v>
      </c>
      <c r="HZ16" t="e">
        <f>'All regions'!F400+"n/&gt;!TJ"</f>
        <v>#VALUE!</v>
      </c>
      <c r="IA16" t="e">
        <f>'All regions'!G400+"n/&gt;!TK"</f>
        <v>#VALUE!</v>
      </c>
      <c r="IB16" t="e">
        <f>'All regions'!H400+"n/&gt;!TL"</f>
        <v>#VALUE!</v>
      </c>
      <c r="IC16" t="e">
        <f>'All regions'!I400+"n/&gt;!TM"</f>
        <v>#VALUE!</v>
      </c>
      <c r="ID16" t="e">
        <f>'All regions'!J400+"n/&gt;!TN"</f>
        <v>#VALUE!</v>
      </c>
      <c r="IE16" t="e">
        <f>'All regions'!A401+"n/&gt;!TO"</f>
        <v>#VALUE!</v>
      </c>
      <c r="IF16" t="e">
        <f>'All regions'!B401+"n/&gt;!TP"</f>
        <v>#VALUE!</v>
      </c>
      <c r="IG16" t="e">
        <f>'All regions'!C401+"n/&gt;!TQ"</f>
        <v>#VALUE!</v>
      </c>
      <c r="IH16" t="e">
        <f>'All regions'!D401+"n/&gt;!TR"</f>
        <v>#VALUE!</v>
      </c>
      <c r="II16" t="e">
        <f>'All regions'!E401+"n/&gt;!TS"</f>
        <v>#VALUE!</v>
      </c>
      <c r="IJ16" t="e">
        <f>'All regions'!F401+"n/&gt;!TT"</f>
        <v>#VALUE!</v>
      </c>
      <c r="IK16" t="e">
        <f>'All regions'!G401+"n/&gt;!TU"</f>
        <v>#VALUE!</v>
      </c>
      <c r="IL16" t="e">
        <f>'All regions'!H401+"n/&gt;!TV"</f>
        <v>#VALUE!</v>
      </c>
      <c r="IM16" t="e">
        <f>'All regions'!I401+"n/&gt;!TW"</f>
        <v>#VALUE!</v>
      </c>
      <c r="IN16" t="e">
        <f>'All regions'!J401+"n/&gt;!TX"</f>
        <v>#VALUE!</v>
      </c>
      <c r="IO16" t="e">
        <f>'All regions'!A402+"n/&gt;!TY"</f>
        <v>#VALUE!</v>
      </c>
      <c r="IP16" t="e">
        <f>'All regions'!B402+"n/&gt;!TZ"</f>
        <v>#VALUE!</v>
      </c>
      <c r="IQ16" t="e">
        <f>'All regions'!C402+"n/&gt;!T["</f>
        <v>#VALUE!</v>
      </c>
      <c r="IR16" t="e">
        <f>'All regions'!D402+"n/&gt;!T\"</f>
        <v>#VALUE!</v>
      </c>
      <c r="IS16" t="e">
        <f>'All regions'!E402+"n/&gt;!T]"</f>
        <v>#VALUE!</v>
      </c>
      <c r="IT16" t="e">
        <f>'All regions'!F402+"n/&gt;!T^"</f>
        <v>#VALUE!</v>
      </c>
      <c r="IU16" t="e">
        <f>'All regions'!G402+"n/&gt;!T_"</f>
        <v>#VALUE!</v>
      </c>
      <c r="IV16" t="e">
        <f>'All regions'!H402+"n/&gt;!T`"</f>
        <v>#VALUE!</v>
      </c>
    </row>
    <row r="17" spans="6:256" x14ac:dyDescent="0.35">
      <c r="F17" t="e">
        <f>'All regions'!I402+"n/&gt;!Ta"</f>
        <v>#VALUE!</v>
      </c>
      <c r="G17" t="e">
        <f>'All regions'!J402+"n/&gt;!Tb"</f>
        <v>#VALUE!</v>
      </c>
      <c r="H17" t="e">
        <f>'All regions'!A403+"n/&gt;!Tc"</f>
        <v>#VALUE!</v>
      </c>
      <c r="I17" t="e">
        <f>'All regions'!B403+"n/&gt;!Td"</f>
        <v>#VALUE!</v>
      </c>
      <c r="J17" t="e">
        <f>'All regions'!C403+"n/&gt;!Te"</f>
        <v>#VALUE!</v>
      </c>
      <c r="K17" t="e">
        <f>'All regions'!D403+"n/&gt;!Tf"</f>
        <v>#VALUE!</v>
      </c>
      <c r="L17" t="e">
        <f>'All regions'!E403+"n/&gt;!Tg"</f>
        <v>#VALUE!</v>
      </c>
      <c r="M17" t="e">
        <f>'All regions'!F403+"n/&gt;!Th"</f>
        <v>#VALUE!</v>
      </c>
      <c r="N17" t="e">
        <f>'All regions'!G403+"n/&gt;!Ti"</f>
        <v>#VALUE!</v>
      </c>
      <c r="O17" t="e">
        <f>'All regions'!H403+"n/&gt;!Tj"</f>
        <v>#VALUE!</v>
      </c>
      <c r="P17" t="e">
        <f>'All regions'!I403+"n/&gt;!Tk"</f>
        <v>#VALUE!</v>
      </c>
      <c r="Q17" t="e">
        <f>'All regions'!J403+"n/&gt;!Tl"</f>
        <v>#VALUE!</v>
      </c>
      <c r="R17" t="e">
        <f>'All regions'!A404+"n/&gt;!Tm"</f>
        <v>#VALUE!</v>
      </c>
      <c r="S17" t="e">
        <f>'All regions'!B404+"n/&gt;!Tn"</f>
        <v>#VALUE!</v>
      </c>
      <c r="T17" t="e">
        <f>'All regions'!C404+"n/&gt;!To"</f>
        <v>#VALUE!</v>
      </c>
      <c r="U17" t="e">
        <f>'All regions'!D404+"n/&gt;!Tp"</f>
        <v>#VALUE!</v>
      </c>
      <c r="V17" t="e">
        <f>'All regions'!E404+"n/&gt;!Tq"</f>
        <v>#VALUE!</v>
      </c>
      <c r="W17" t="e">
        <f>'All regions'!F404+"n/&gt;!Tr"</f>
        <v>#VALUE!</v>
      </c>
      <c r="X17" t="e">
        <f>'All regions'!G404+"n/&gt;!Ts"</f>
        <v>#VALUE!</v>
      </c>
      <c r="Y17" t="e">
        <f>'All regions'!H404+"n/&gt;!Tt"</f>
        <v>#VALUE!</v>
      </c>
      <c r="Z17" t="e">
        <f>'All regions'!I404+"n/&gt;!Tu"</f>
        <v>#VALUE!</v>
      </c>
      <c r="AA17" t="e">
        <f>'All regions'!J404+"n/&gt;!Tv"</f>
        <v>#VALUE!</v>
      </c>
      <c r="AB17" t="e">
        <f>'All regions'!A405+"n/&gt;!Tw"</f>
        <v>#VALUE!</v>
      </c>
      <c r="AC17" t="e">
        <f>'All regions'!B405+"n/&gt;!Tx"</f>
        <v>#VALUE!</v>
      </c>
      <c r="AD17" t="e">
        <f>'All regions'!C405+"n/&gt;!Ty"</f>
        <v>#VALUE!</v>
      </c>
      <c r="AE17" t="e">
        <f>'All regions'!D405+"n/&gt;!Tz"</f>
        <v>#VALUE!</v>
      </c>
      <c r="AF17" t="e">
        <f>'All regions'!E405+"n/&gt;!T{"</f>
        <v>#VALUE!</v>
      </c>
      <c r="AG17" t="e">
        <f>'All regions'!F405+"n/&gt;!T|"</f>
        <v>#VALUE!</v>
      </c>
      <c r="AH17" t="e">
        <f>'All regions'!G405+"n/&gt;!T}"</f>
        <v>#VALUE!</v>
      </c>
      <c r="AI17" t="e">
        <f>'All regions'!H405+"n/&gt;!T~"</f>
        <v>#VALUE!</v>
      </c>
      <c r="AJ17" t="e">
        <f>'All regions'!I405+"n/&gt;!U#"</f>
        <v>#VALUE!</v>
      </c>
      <c r="AK17" t="e">
        <f>'All regions'!J405+"n/&gt;!U$"</f>
        <v>#VALUE!</v>
      </c>
      <c r="AL17" t="e">
        <f>'All regions'!A406+"n/&gt;!U%"</f>
        <v>#VALUE!</v>
      </c>
      <c r="AM17" t="e">
        <f>'All regions'!B406+"n/&gt;!U&amp;"</f>
        <v>#VALUE!</v>
      </c>
      <c r="AN17" t="e">
        <f>'All regions'!C406+"n/&gt;!U'"</f>
        <v>#VALUE!</v>
      </c>
      <c r="AO17" t="e">
        <f>'All regions'!D406+"n/&gt;!U("</f>
        <v>#VALUE!</v>
      </c>
      <c r="AP17" t="e">
        <f>'All regions'!E406+"n/&gt;!U)"</f>
        <v>#VALUE!</v>
      </c>
      <c r="AQ17" t="e">
        <f>'All regions'!F406+"n/&gt;!U."</f>
        <v>#VALUE!</v>
      </c>
      <c r="AR17" t="e">
        <f>'All regions'!G406+"n/&gt;!U/"</f>
        <v>#VALUE!</v>
      </c>
      <c r="AS17" t="e">
        <f>'All regions'!H406+"n/&gt;!U0"</f>
        <v>#VALUE!</v>
      </c>
      <c r="AT17" t="e">
        <f>'All regions'!I406+"n/&gt;!U1"</f>
        <v>#VALUE!</v>
      </c>
      <c r="AU17" t="e">
        <f>'All regions'!J406+"n/&gt;!U2"</f>
        <v>#VALUE!</v>
      </c>
      <c r="AV17" t="e">
        <f>'All regions'!A407+"n/&gt;!U3"</f>
        <v>#VALUE!</v>
      </c>
      <c r="AW17" t="e">
        <f>'All regions'!B407+"n/&gt;!U4"</f>
        <v>#VALUE!</v>
      </c>
      <c r="AX17" t="e">
        <f>'All regions'!C407+"n/&gt;!U5"</f>
        <v>#VALUE!</v>
      </c>
      <c r="AY17" t="e">
        <f>'All regions'!D407+"n/&gt;!U6"</f>
        <v>#VALUE!</v>
      </c>
      <c r="AZ17" t="e">
        <f>'All regions'!E407+"n/&gt;!U7"</f>
        <v>#VALUE!</v>
      </c>
      <c r="BA17" t="e">
        <f>'All regions'!F407+"n/&gt;!U8"</f>
        <v>#VALUE!</v>
      </c>
      <c r="BB17" t="e">
        <f>'All regions'!G407+"n/&gt;!U9"</f>
        <v>#VALUE!</v>
      </c>
      <c r="BC17" t="e">
        <f>'All regions'!H407+"n/&gt;!U:"</f>
        <v>#VALUE!</v>
      </c>
      <c r="BD17" t="e">
        <f>'All regions'!I407+"n/&gt;!U;"</f>
        <v>#VALUE!</v>
      </c>
      <c r="BE17" t="e">
        <f>'All regions'!J407+"n/&gt;!U&lt;"</f>
        <v>#VALUE!</v>
      </c>
      <c r="BF17" t="e">
        <f>'All regions'!A408+"n/&gt;!U="</f>
        <v>#VALUE!</v>
      </c>
      <c r="BG17" t="e">
        <f>'All regions'!B408+"n/&gt;!U&gt;"</f>
        <v>#VALUE!</v>
      </c>
      <c r="BH17" t="e">
        <f>'All regions'!C408+"n/&gt;!U?"</f>
        <v>#VALUE!</v>
      </c>
      <c r="BI17" t="e">
        <f>'All regions'!D408+"n/&gt;!U@"</f>
        <v>#VALUE!</v>
      </c>
      <c r="BJ17" t="e">
        <f>'All regions'!E408+"n/&gt;!UA"</f>
        <v>#VALUE!</v>
      </c>
      <c r="BK17" t="e">
        <f>'All regions'!F408+"n/&gt;!UB"</f>
        <v>#VALUE!</v>
      </c>
      <c r="BL17" t="e">
        <f>'All regions'!G408+"n/&gt;!UC"</f>
        <v>#VALUE!</v>
      </c>
      <c r="BM17" t="e">
        <f>'All regions'!H408+"n/&gt;!UD"</f>
        <v>#VALUE!</v>
      </c>
      <c r="BN17" t="e">
        <f>'All regions'!I408+"n/&gt;!UE"</f>
        <v>#VALUE!</v>
      </c>
      <c r="BO17" t="e">
        <f>'All regions'!J408+"n/&gt;!UF"</f>
        <v>#VALUE!</v>
      </c>
      <c r="BP17" t="e">
        <f>'All regions'!A409+"n/&gt;!UG"</f>
        <v>#VALUE!</v>
      </c>
      <c r="BQ17" t="e">
        <f>'All regions'!B409+"n/&gt;!UH"</f>
        <v>#VALUE!</v>
      </c>
      <c r="BR17" t="e">
        <f>'All regions'!C409+"n/&gt;!UI"</f>
        <v>#VALUE!</v>
      </c>
      <c r="BS17" t="e">
        <f>'All regions'!D409+"n/&gt;!UJ"</f>
        <v>#VALUE!</v>
      </c>
      <c r="BT17" t="e">
        <f>'All regions'!E409+"n/&gt;!UK"</f>
        <v>#VALUE!</v>
      </c>
      <c r="BU17" t="e">
        <f>'All regions'!F409+"n/&gt;!UL"</f>
        <v>#VALUE!</v>
      </c>
      <c r="BV17" t="e">
        <f>'All regions'!G409+"n/&gt;!UM"</f>
        <v>#VALUE!</v>
      </c>
      <c r="BW17" t="e">
        <f>'All regions'!H409+"n/&gt;!UN"</f>
        <v>#VALUE!</v>
      </c>
      <c r="BX17" t="e">
        <f>'All regions'!I409+"n/&gt;!UO"</f>
        <v>#VALUE!</v>
      </c>
      <c r="BY17" t="e">
        <f>'All regions'!J409+"n/&gt;!UP"</f>
        <v>#VALUE!</v>
      </c>
      <c r="BZ17" t="e">
        <f>'All regions'!A410+"n/&gt;!UQ"</f>
        <v>#VALUE!</v>
      </c>
      <c r="CA17" t="e">
        <f>'All regions'!B410+"n/&gt;!UR"</f>
        <v>#VALUE!</v>
      </c>
      <c r="CB17" t="e">
        <f>'All regions'!C410+"n/&gt;!US"</f>
        <v>#VALUE!</v>
      </c>
      <c r="CC17" t="e">
        <f>'All regions'!D410+"n/&gt;!UT"</f>
        <v>#VALUE!</v>
      </c>
      <c r="CD17" t="e">
        <f>'All regions'!E410+"n/&gt;!UU"</f>
        <v>#VALUE!</v>
      </c>
      <c r="CE17" t="e">
        <f>'All regions'!F410+"n/&gt;!UV"</f>
        <v>#VALUE!</v>
      </c>
      <c r="CF17" t="e">
        <f>'All regions'!G410+"n/&gt;!UW"</f>
        <v>#VALUE!</v>
      </c>
      <c r="CG17" t="e">
        <f>'All regions'!H410+"n/&gt;!UX"</f>
        <v>#VALUE!</v>
      </c>
      <c r="CH17" t="e">
        <f>'All regions'!I410+"n/&gt;!UY"</f>
        <v>#VALUE!</v>
      </c>
      <c r="CI17" t="e">
        <f>'All regions'!J410+"n/&gt;!UZ"</f>
        <v>#VALUE!</v>
      </c>
      <c r="CJ17" t="e">
        <f>'All regions'!A411+"n/&gt;!U["</f>
        <v>#VALUE!</v>
      </c>
      <c r="CK17" t="e">
        <f>'All regions'!B411+"n/&gt;!U\"</f>
        <v>#VALUE!</v>
      </c>
      <c r="CL17" t="e">
        <f>'All regions'!C411+"n/&gt;!U]"</f>
        <v>#VALUE!</v>
      </c>
      <c r="CM17" t="e">
        <f>'All regions'!D411+"n/&gt;!U^"</f>
        <v>#VALUE!</v>
      </c>
      <c r="CN17" t="e">
        <f>'All regions'!E411+"n/&gt;!U_"</f>
        <v>#VALUE!</v>
      </c>
      <c r="CO17" t="e">
        <f>'All regions'!F411+"n/&gt;!U`"</f>
        <v>#VALUE!</v>
      </c>
      <c r="CP17" t="e">
        <f>'All regions'!G411+"n/&gt;!Ua"</f>
        <v>#VALUE!</v>
      </c>
      <c r="CQ17" t="e">
        <f>'All regions'!H411+"n/&gt;!Ub"</f>
        <v>#VALUE!</v>
      </c>
      <c r="CR17" t="e">
        <f>'All regions'!I411+"n/&gt;!Uc"</f>
        <v>#VALUE!</v>
      </c>
      <c r="CS17" t="e">
        <f>'All regions'!J411+"n/&gt;!Ud"</f>
        <v>#VALUE!</v>
      </c>
      <c r="CT17" t="e">
        <f>'All regions'!A412+"n/&gt;!Ue"</f>
        <v>#VALUE!</v>
      </c>
      <c r="CU17" t="e">
        <f>'All regions'!B412+"n/&gt;!Uf"</f>
        <v>#VALUE!</v>
      </c>
      <c r="CV17" t="e">
        <f>'All regions'!C412+"n/&gt;!Ug"</f>
        <v>#VALUE!</v>
      </c>
      <c r="CW17" t="e">
        <f>'All regions'!D412+"n/&gt;!Uh"</f>
        <v>#VALUE!</v>
      </c>
      <c r="CX17" t="e">
        <f>'All regions'!E412+"n/&gt;!Ui"</f>
        <v>#VALUE!</v>
      </c>
      <c r="CY17" t="e">
        <f>'All regions'!F412+"n/&gt;!Uj"</f>
        <v>#VALUE!</v>
      </c>
      <c r="CZ17" t="e">
        <f>'All regions'!G412+"n/&gt;!Uk"</f>
        <v>#VALUE!</v>
      </c>
      <c r="DA17" t="e">
        <f>'All regions'!H412+"n/&gt;!Ul"</f>
        <v>#VALUE!</v>
      </c>
      <c r="DB17" t="e">
        <f>'All regions'!I412+"n/&gt;!Um"</f>
        <v>#VALUE!</v>
      </c>
      <c r="DC17" t="e">
        <f>'All regions'!J412+"n/&gt;!Un"</f>
        <v>#VALUE!</v>
      </c>
      <c r="DD17" t="e">
        <f>'All regions'!A413+"n/&gt;!Uo"</f>
        <v>#VALUE!</v>
      </c>
      <c r="DE17" t="e">
        <f>'All regions'!B413+"n/&gt;!Up"</f>
        <v>#VALUE!</v>
      </c>
      <c r="DF17" t="e">
        <f>'All regions'!C413+"n/&gt;!Uq"</f>
        <v>#VALUE!</v>
      </c>
      <c r="DG17" t="e">
        <f>'All regions'!D413+"n/&gt;!Ur"</f>
        <v>#VALUE!</v>
      </c>
      <c r="DH17" t="e">
        <f>'All regions'!E413+"n/&gt;!Us"</f>
        <v>#VALUE!</v>
      </c>
      <c r="DI17" t="e">
        <f>'All regions'!F413+"n/&gt;!Ut"</f>
        <v>#VALUE!</v>
      </c>
      <c r="DJ17" t="e">
        <f>'All regions'!G413+"n/&gt;!Uu"</f>
        <v>#VALUE!</v>
      </c>
      <c r="DK17" t="e">
        <f>'All regions'!H413+"n/&gt;!Uv"</f>
        <v>#VALUE!</v>
      </c>
      <c r="DL17" t="e">
        <f>'All regions'!I413+"n/&gt;!Uw"</f>
        <v>#VALUE!</v>
      </c>
      <c r="DM17" t="e">
        <f>'All regions'!J413+"n/&gt;!Ux"</f>
        <v>#VALUE!</v>
      </c>
      <c r="DN17" t="e">
        <f>'All regions'!A414+"n/&gt;!Uy"</f>
        <v>#VALUE!</v>
      </c>
      <c r="DO17" t="e">
        <f>'All regions'!B414+"n/&gt;!Uz"</f>
        <v>#VALUE!</v>
      </c>
      <c r="DP17" t="e">
        <f>'All regions'!C414+"n/&gt;!U{"</f>
        <v>#VALUE!</v>
      </c>
      <c r="DQ17" t="e">
        <f>'All regions'!D414+"n/&gt;!U|"</f>
        <v>#VALUE!</v>
      </c>
      <c r="DR17" t="e">
        <f>'All regions'!E414+"n/&gt;!U}"</f>
        <v>#VALUE!</v>
      </c>
      <c r="DS17" t="e">
        <f>'All regions'!F414+"n/&gt;!U~"</f>
        <v>#VALUE!</v>
      </c>
      <c r="DT17" t="e">
        <f>'All regions'!G414+"n/&gt;!V#"</f>
        <v>#VALUE!</v>
      </c>
      <c r="DU17" t="e">
        <f>'All regions'!H414+"n/&gt;!V$"</f>
        <v>#VALUE!</v>
      </c>
      <c r="DV17" t="e">
        <f>'All regions'!I414+"n/&gt;!V%"</f>
        <v>#VALUE!</v>
      </c>
      <c r="DW17" t="e">
        <f>'All regions'!J414+"n/&gt;!V&amp;"</f>
        <v>#VALUE!</v>
      </c>
      <c r="DX17" t="e">
        <f>'All regions'!A415+"n/&gt;!V'"</f>
        <v>#VALUE!</v>
      </c>
      <c r="DY17" t="e">
        <f>'All regions'!B415+"n/&gt;!V("</f>
        <v>#VALUE!</v>
      </c>
      <c r="DZ17" t="e">
        <f>'All regions'!C415+"n/&gt;!V)"</f>
        <v>#VALUE!</v>
      </c>
      <c r="EA17" t="e">
        <f>'All regions'!D415+"n/&gt;!V."</f>
        <v>#VALUE!</v>
      </c>
      <c r="EB17" t="e">
        <f>'All regions'!E415+"n/&gt;!V/"</f>
        <v>#VALUE!</v>
      </c>
      <c r="EC17" t="e">
        <f>'All regions'!F415+"n/&gt;!V0"</f>
        <v>#VALUE!</v>
      </c>
      <c r="ED17" t="e">
        <f>'All regions'!G415+"n/&gt;!V1"</f>
        <v>#VALUE!</v>
      </c>
      <c r="EE17" t="e">
        <f>'All regions'!H415+"n/&gt;!V2"</f>
        <v>#VALUE!</v>
      </c>
      <c r="EF17" t="e">
        <f>'All regions'!I415+"n/&gt;!V3"</f>
        <v>#VALUE!</v>
      </c>
      <c r="EG17" t="e">
        <f>'All regions'!J415+"n/&gt;!V4"</f>
        <v>#VALUE!</v>
      </c>
      <c r="EH17" t="e">
        <f>'All regions'!A416+"n/&gt;!V5"</f>
        <v>#VALUE!</v>
      </c>
      <c r="EI17" t="e">
        <f>'All regions'!B416+"n/&gt;!V6"</f>
        <v>#VALUE!</v>
      </c>
      <c r="EJ17" t="e">
        <f>'All regions'!C416+"n/&gt;!V7"</f>
        <v>#VALUE!</v>
      </c>
      <c r="EK17" t="e">
        <f>'All regions'!D416+"n/&gt;!V8"</f>
        <v>#VALUE!</v>
      </c>
      <c r="EL17" t="e">
        <f>'All regions'!E416+"n/&gt;!V9"</f>
        <v>#VALUE!</v>
      </c>
      <c r="EM17" t="e">
        <f>'All regions'!F416+"n/&gt;!V:"</f>
        <v>#VALUE!</v>
      </c>
      <c r="EN17" t="e">
        <f>'All regions'!G416+"n/&gt;!V;"</f>
        <v>#VALUE!</v>
      </c>
      <c r="EO17" t="e">
        <f>'All regions'!H416+"n/&gt;!V&lt;"</f>
        <v>#VALUE!</v>
      </c>
      <c r="EP17" t="e">
        <f>'All regions'!I416+"n/&gt;!V="</f>
        <v>#VALUE!</v>
      </c>
      <c r="EQ17" t="e">
        <f>'All regions'!J416+"n/&gt;!V&gt;"</f>
        <v>#VALUE!</v>
      </c>
      <c r="ER17" t="e">
        <f>'All regions'!A417+"n/&gt;!V?"</f>
        <v>#VALUE!</v>
      </c>
      <c r="ES17" t="e">
        <f>'All regions'!B417+"n/&gt;!V@"</f>
        <v>#VALUE!</v>
      </c>
      <c r="ET17" t="e">
        <f>'All regions'!C417+"n/&gt;!VA"</f>
        <v>#VALUE!</v>
      </c>
      <c r="EU17" t="e">
        <f>'All regions'!D417+"n/&gt;!VB"</f>
        <v>#VALUE!</v>
      </c>
      <c r="EV17" t="e">
        <f>'All regions'!E417+"n/&gt;!VC"</f>
        <v>#VALUE!</v>
      </c>
      <c r="EW17" t="e">
        <f>'All regions'!F417+"n/&gt;!VD"</f>
        <v>#VALUE!</v>
      </c>
      <c r="EX17" t="e">
        <f>'All regions'!G417+"n/&gt;!VE"</f>
        <v>#VALUE!</v>
      </c>
      <c r="EY17" t="e">
        <f>'All regions'!H417+"n/&gt;!VF"</f>
        <v>#VALUE!</v>
      </c>
      <c r="EZ17" t="e">
        <f>'All regions'!I417+"n/&gt;!VG"</f>
        <v>#VALUE!</v>
      </c>
      <c r="FA17" t="e">
        <f>'All regions'!J417+"n/&gt;!VH"</f>
        <v>#VALUE!</v>
      </c>
      <c r="FB17" t="e">
        <f>'All regions'!A418+"n/&gt;!VI"</f>
        <v>#VALUE!</v>
      </c>
      <c r="FC17" t="e">
        <f>'All regions'!B418+"n/&gt;!VJ"</f>
        <v>#VALUE!</v>
      </c>
      <c r="FD17" t="e">
        <f>'All regions'!C418+"n/&gt;!VK"</f>
        <v>#VALUE!</v>
      </c>
      <c r="FE17" t="e">
        <f>'All regions'!D418+"n/&gt;!VL"</f>
        <v>#VALUE!</v>
      </c>
      <c r="FF17" t="e">
        <f>'All regions'!E418+"n/&gt;!VM"</f>
        <v>#VALUE!</v>
      </c>
      <c r="FG17" t="e">
        <f>'All regions'!F418+"n/&gt;!VN"</f>
        <v>#VALUE!</v>
      </c>
      <c r="FH17" t="e">
        <f>'All regions'!G418+"n/&gt;!VO"</f>
        <v>#VALUE!</v>
      </c>
      <c r="FI17" t="e">
        <f>'All regions'!H418+"n/&gt;!VP"</f>
        <v>#VALUE!</v>
      </c>
      <c r="FJ17" t="e">
        <f>'All regions'!I418+"n/&gt;!VQ"</f>
        <v>#VALUE!</v>
      </c>
      <c r="FK17" t="e">
        <f>'All regions'!J418+"n/&gt;!VR"</f>
        <v>#VALUE!</v>
      </c>
      <c r="FL17" t="e">
        <f>'All regions'!A419+"n/&gt;!VS"</f>
        <v>#VALUE!</v>
      </c>
      <c r="FM17" t="e">
        <f>'All regions'!B419+"n/&gt;!VT"</f>
        <v>#VALUE!</v>
      </c>
      <c r="FN17" t="e">
        <f>'All regions'!C419+"n/&gt;!VU"</f>
        <v>#VALUE!</v>
      </c>
      <c r="FO17" t="e">
        <f>'All regions'!D419+"n/&gt;!VV"</f>
        <v>#VALUE!</v>
      </c>
      <c r="FP17" t="e">
        <f>'All regions'!E419+"n/&gt;!VW"</f>
        <v>#VALUE!</v>
      </c>
      <c r="FQ17" t="e">
        <f>'All regions'!F419+"n/&gt;!VX"</f>
        <v>#VALUE!</v>
      </c>
      <c r="FR17" t="e">
        <f>'All regions'!G419+"n/&gt;!VY"</f>
        <v>#VALUE!</v>
      </c>
      <c r="FS17" t="e">
        <f>'All regions'!H419+"n/&gt;!VZ"</f>
        <v>#VALUE!</v>
      </c>
      <c r="FT17" t="e">
        <f>'All regions'!I419+"n/&gt;!V["</f>
        <v>#VALUE!</v>
      </c>
      <c r="FU17" t="e">
        <f>'All regions'!J419+"n/&gt;!V\"</f>
        <v>#VALUE!</v>
      </c>
      <c r="FV17" t="e">
        <f>'All regions'!A420+"n/&gt;!V]"</f>
        <v>#VALUE!</v>
      </c>
      <c r="FW17" t="e">
        <f>'All regions'!B420+"n/&gt;!V^"</f>
        <v>#VALUE!</v>
      </c>
      <c r="FX17" t="e">
        <f>'All regions'!C420+"n/&gt;!V_"</f>
        <v>#VALUE!</v>
      </c>
      <c r="FY17" t="e">
        <f>'All regions'!D420+"n/&gt;!V`"</f>
        <v>#VALUE!</v>
      </c>
      <c r="FZ17" t="e">
        <f>'All regions'!E420+"n/&gt;!Va"</f>
        <v>#VALUE!</v>
      </c>
      <c r="GA17" t="e">
        <f>'All regions'!F420+"n/&gt;!Vb"</f>
        <v>#VALUE!</v>
      </c>
      <c r="GB17" t="e">
        <f>'All regions'!G420+"n/&gt;!Vc"</f>
        <v>#VALUE!</v>
      </c>
      <c r="GC17" t="e">
        <f>'All regions'!H420+"n/&gt;!Vd"</f>
        <v>#VALUE!</v>
      </c>
      <c r="GD17" t="e">
        <f>'All regions'!I420+"n/&gt;!Ve"</f>
        <v>#VALUE!</v>
      </c>
      <c r="GE17" t="e">
        <f>'All regions'!J420+"n/&gt;!Vf"</f>
        <v>#VALUE!</v>
      </c>
      <c r="GF17" t="e">
        <f>'All regions'!A421+"n/&gt;!Vg"</f>
        <v>#VALUE!</v>
      </c>
      <c r="GG17" t="e">
        <f>'All regions'!B421+"n/&gt;!Vh"</f>
        <v>#VALUE!</v>
      </c>
      <c r="GH17" t="e">
        <f>'All regions'!C421+"n/&gt;!Vi"</f>
        <v>#VALUE!</v>
      </c>
      <c r="GI17" t="e">
        <f>'All regions'!D421+"n/&gt;!Vj"</f>
        <v>#VALUE!</v>
      </c>
      <c r="GJ17" t="e">
        <f>'All regions'!E421+"n/&gt;!Vk"</f>
        <v>#VALUE!</v>
      </c>
      <c r="GK17" t="e">
        <f>'All regions'!F421+"n/&gt;!Vl"</f>
        <v>#VALUE!</v>
      </c>
      <c r="GL17" t="e">
        <f>'All regions'!G421+"n/&gt;!Vm"</f>
        <v>#VALUE!</v>
      </c>
      <c r="GM17" t="e">
        <f>'All regions'!H421+"n/&gt;!Vn"</f>
        <v>#VALUE!</v>
      </c>
      <c r="GN17" t="e">
        <f>'All regions'!I421+"n/&gt;!Vo"</f>
        <v>#VALUE!</v>
      </c>
      <c r="GO17" t="e">
        <f>'All regions'!J421+"n/&gt;!Vp"</f>
        <v>#VALUE!</v>
      </c>
      <c r="GP17" t="e">
        <f>'All regions'!A422+"n/&gt;!Vq"</f>
        <v>#VALUE!</v>
      </c>
      <c r="GQ17" t="e">
        <f>'All regions'!B422+"n/&gt;!Vr"</f>
        <v>#VALUE!</v>
      </c>
      <c r="GR17" t="e">
        <f>'All regions'!C422+"n/&gt;!Vs"</f>
        <v>#VALUE!</v>
      </c>
      <c r="GS17" t="e">
        <f>'All regions'!D422+"n/&gt;!Vt"</f>
        <v>#VALUE!</v>
      </c>
      <c r="GT17" t="e">
        <f>'All regions'!E422+"n/&gt;!Vu"</f>
        <v>#VALUE!</v>
      </c>
      <c r="GU17" t="e">
        <f>'All regions'!F422+"n/&gt;!Vv"</f>
        <v>#VALUE!</v>
      </c>
      <c r="GV17" t="e">
        <f>'All regions'!G422+"n/&gt;!Vw"</f>
        <v>#VALUE!</v>
      </c>
      <c r="GW17" t="e">
        <f>'All regions'!H422+"n/&gt;!Vx"</f>
        <v>#VALUE!</v>
      </c>
      <c r="GX17" t="e">
        <f>'All regions'!I422+"n/&gt;!Vy"</f>
        <v>#VALUE!</v>
      </c>
      <c r="GY17" t="e">
        <f>'All regions'!J422+"n/&gt;!Vz"</f>
        <v>#VALUE!</v>
      </c>
      <c r="GZ17" t="e">
        <f>'All regions'!A423+"n/&gt;!V{"</f>
        <v>#VALUE!</v>
      </c>
      <c r="HA17" t="e">
        <f>'All regions'!B423+"n/&gt;!V|"</f>
        <v>#VALUE!</v>
      </c>
      <c r="HB17" t="e">
        <f>'All regions'!C423+"n/&gt;!V}"</f>
        <v>#VALUE!</v>
      </c>
      <c r="HC17" t="e">
        <f>'All regions'!D423+"n/&gt;!V~"</f>
        <v>#VALUE!</v>
      </c>
      <c r="HD17" t="e">
        <f>'All regions'!E423+"n/&gt;!W#"</f>
        <v>#VALUE!</v>
      </c>
      <c r="HE17" t="e">
        <f>'All regions'!F423+"n/&gt;!W$"</f>
        <v>#VALUE!</v>
      </c>
      <c r="HF17" t="e">
        <f>'All regions'!G423+"n/&gt;!W%"</f>
        <v>#VALUE!</v>
      </c>
      <c r="HG17" t="e">
        <f>'All regions'!H423+"n/&gt;!W&amp;"</f>
        <v>#VALUE!</v>
      </c>
      <c r="HH17" t="e">
        <f>'All regions'!I423+"n/&gt;!W'"</f>
        <v>#VALUE!</v>
      </c>
      <c r="HI17" t="e">
        <f>'All regions'!J423+"n/&gt;!W("</f>
        <v>#VALUE!</v>
      </c>
      <c r="HJ17" t="e">
        <f>'All regions'!A424+"n/&gt;!W)"</f>
        <v>#VALUE!</v>
      </c>
      <c r="HK17" t="e">
        <f>'All regions'!B424+"n/&gt;!W."</f>
        <v>#VALUE!</v>
      </c>
      <c r="HL17" t="e">
        <f>'All regions'!C424+"n/&gt;!W/"</f>
        <v>#VALUE!</v>
      </c>
      <c r="HM17" t="e">
        <f>'All regions'!D424+"n/&gt;!W0"</f>
        <v>#VALUE!</v>
      </c>
      <c r="HN17" t="e">
        <f>'All regions'!E424+"n/&gt;!W1"</f>
        <v>#VALUE!</v>
      </c>
      <c r="HO17" t="e">
        <f>'All regions'!F424+"n/&gt;!W2"</f>
        <v>#VALUE!</v>
      </c>
      <c r="HP17" t="e">
        <f>'All regions'!G424+"n/&gt;!W3"</f>
        <v>#VALUE!</v>
      </c>
      <c r="HQ17" t="e">
        <f>'All regions'!H424+"n/&gt;!W4"</f>
        <v>#VALUE!</v>
      </c>
      <c r="HR17" t="e">
        <f>'All regions'!I424+"n/&gt;!W5"</f>
        <v>#VALUE!</v>
      </c>
      <c r="HS17" t="e">
        <f>'All regions'!J424+"n/&gt;!W6"</f>
        <v>#VALUE!</v>
      </c>
      <c r="HT17" t="e">
        <f>'All regions'!A425+"n/&gt;!W7"</f>
        <v>#VALUE!</v>
      </c>
      <c r="HU17" t="e">
        <f>'All regions'!B425+"n/&gt;!W8"</f>
        <v>#VALUE!</v>
      </c>
      <c r="HV17" t="e">
        <f>'All regions'!C425+"n/&gt;!W9"</f>
        <v>#VALUE!</v>
      </c>
      <c r="HW17" t="e">
        <f>'All regions'!D425+"n/&gt;!W:"</f>
        <v>#VALUE!</v>
      </c>
      <c r="HX17" t="e">
        <f>'All regions'!E425+"n/&gt;!W;"</f>
        <v>#VALUE!</v>
      </c>
      <c r="HY17" t="e">
        <f>'All regions'!F425+"n/&gt;!W&lt;"</f>
        <v>#VALUE!</v>
      </c>
      <c r="HZ17" t="e">
        <f>'All regions'!G425+"n/&gt;!W="</f>
        <v>#VALUE!</v>
      </c>
      <c r="IA17" t="e">
        <f>'All regions'!H425+"n/&gt;!W&gt;"</f>
        <v>#VALUE!</v>
      </c>
      <c r="IB17" t="e">
        <f>'All regions'!I425+"n/&gt;!W?"</f>
        <v>#VALUE!</v>
      </c>
      <c r="IC17" t="e">
        <f>'All regions'!J425+"n/&gt;!W@"</f>
        <v>#VALUE!</v>
      </c>
      <c r="ID17" t="e">
        <f>'All regions'!A426+"n/&gt;!WA"</f>
        <v>#VALUE!</v>
      </c>
      <c r="IE17" t="e">
        <f>'All regions'!B426+"n/&gt;!WB"</f>
        <v>#VALUE!</v>
      </c>
      <c r="IF17" t="e">
        <f>'All regions'!C426+"n/&gt;!WC"</f>
        <v>#VALUE!</v>
      </c>
      <c r="IG17" t="e">
        <f>'All regions'!D426+"n/&gt;!WD"</f>
        <v>#VALUE!</v>
      </c>
      <c r="IH17" t="e">
        <f>'All regions'!E426+"n/&gt;!WE"</f>
        <v>#VALUE!</v>
      </c>
      <c r="II17" t="e">
        <f>'All regions'!F426+"n/&gt;!WF"</f>
        <v>#VALUE!</v>
      </c>
      <c r="IJ17" t="e">
        <f>'All regions'!G426+"n/&gt;!WG"</f>
        <v>#VALUE!</v>
      </c>
      <c r="IK17" t="e">
        <f>'All regions'!H426+"n/&gt;!WH"</f>
        <v>#VALUE!</v>
      </c>
      <c r="IL17" t="e">
        <f>'All regions'!I426+"n/&gt;!WI"</f>
        <v>#VALUE!</v>
      </c>
      <c r="IM17" t="e">
        <f>'All regions'!J426+"n/&gt;!WJ"</f>
        <v>#VALUE!</v>
      </c>
      <c r="IN17" t="e">
        <f>'All regions'!A427+"n/&gt;!WK"</f>
        <v>#VALUE!</v>
      </c>
      <c r="IO17" t="e">
        <f>'All regions'!B427+"n/&gt;!WL"</f>
        <v>#VALUE!</v>
      </c>
      <c r="IP17" t="e">
        <f>'All regions'!C427+"n/&gt;!WM"</f>
        <v>#VALUE!</v>
      </c>
      <c r="IQ17" t="e">
        <f>'All regions'!D427+"n/&gt;!WN"</f>
        <v>#VALUE!</v>
      </c>
      <c r="IR17" t="e">
        <f>'All regions'!E427+"n/&gt;!WO"</f>
        <v>#VALUE!</v>
      </c>
      <c r="IS17" t="e">
        <f>'All regions'!F427+"n/&gt;!WP"</f>
        <v>#VALUE!</v>
      </c>
      <c r="IT17" t="e">
        <f>'All regions'!G427+"n/&gt;!WQ"</f>
        <v>#VALUE!</v>
      </c>
      <c r="IU17" t="e">
        <f>'All regions'!H427+"n/&gt;!WR"</f>
        <v>#VALUE!</v>
      </c>
      <c r="IV17" t="e">
        <f>'All regions'!I427+"n/&gt;!WS"</f>
        <v>#VALUE!</v>
      </c>
    </row>
    <row r="18" spans="6:256" x14ac:dyDescent="0.35">
      <c r="F18" t="e">
        <f>'All regions'!J427+"n/&gt;!WT"</f>
        <v>#VALUE!</v>
      </c>
      <c r="G18" t="e">
        <f>'All regions'!A428+"n/&gt;!WU"</f>
        <v>#VALUE!</v>
      </c>
      <c r="H18" t="e">
        <f>'All regions'!B428+"n/&gt;!WV"</f>
        <v>#VALUE!</v>
      </c>
      <c r="I18" t="e">
        <f>'All regions'!C428+"n/&gt;!WW"</f>
        <v>#VALUE!</v>
      </c>
      <c r="J18" t="e">
        <f>'All regions'!D428+"n/&gt;!WX"</f>
        <v>#VALUE!</v>
      </c>
      <c r="K18" t="e">
        <f>'All regions'!E428+"n/&gt;!WY"</f>
        <v>#VALUE!</v>
      </c>
      <c r="L18" t="e">
        <f>'All regions'!F428+"n/&gt;!WZ"</f>
        <v>#VALUE!</v>
      </c>
      <c r="M18" t="e">
        <f>'All regions'!G428+"n/&gt;!W["</f>
        <v>#VALUE!</v>
      </c>
      <c r="N18" t="e">
        <f>'All regions'!H428+"n/&gt;!W\"</f>
        <v>#VALUE!</v>
      </c>
      <c r="O18" t="e">
        <f>'All regions'!I428+"n/&gt;!W]"</f>
        <v>#VALUE!</v>
      </c>
      <c r="P18" t="e">
        <f>'All regions'!J428+"n/&gt;!W^"</f>
        <v>#VALUE!</v>
      </c>
      <c r="Q18" t="e">
        <f>'All regions'!A429+"n/&gt;!W_"</f>
        <v>#VALUE!</v>
      </c>
      <c r="R18" t="e">
        <f>'All regions'!B429+"n/&gt;!W`"</f>
        <v>#VALUE!</v>
      </c>
      <c r="S18" t="e">
        <f>'All regions'!C429+"n/&gt;!Wa"</f>
        <v>#VALUE!</v>
      </c>
      <c r="T18" t="e">
        <f>'All regions'!D429+"n/&gt;!Wb"</f>
        <v>#VALUE!</v>
      </c>
      <c r="U18" t="e">
        <f>'All regions'!E429+"n/&gt;!Wc"</f>
        <v>#VALUE!</v>
      </c>
      <c r="V18" t="e">
        <f>'All regions'!F429+"n/&gt;!Wd"</f>
        <v>#VALUE!</v>
      </c>
      <c r="W18" t="e">
        <f>'All regions'!G429+"n/&gt;!We"</f>
        <v>#VALUE!</v>
      </c>
      <c r="X18" t="e">
        <f>'All regions'!H429+"n/&gt;!Wf"</f>
        <v>#VALUE!</v>
      </c>
      <c r="Y18" t="e">
        <f>'All regions'!I429+"n/&gt;!Wg"</f>
        <v>#VALUE!</v>
      </c>
      <c r="Z18" t="e">
        <f>'All regions'!J429+"n/&gt;!Wh"</f>
        <v>#VALUE!</v>
      </c>
      <c r="AA18" t="e">
        <f>'All regions'!A430+"n/&gt;!Wi"</f>
        <v>#VALUE!</v>
      </c>
      <c r="AB18" t="e">
        <f>'All regions'!B430+"n/&gt;!Wj"</f>
        <v>#VALUE!</v>
      </c>
      <c r="AC18" t="e">
        <f>'All regions'!C430+"n/&gt;!Wk"</f>
        <v>#VALUE!</v>
      </c>
      <c r="AD18" t="e">
        <f>'All regions'!D430+"n/&gt;!Wl"</f>
        <v>#VALUE!</v>
      </c>
      <c r="AE18" t="e">
        <f>'All regions'!E430+"n/&gt;!Wm"</f>
        <v>#VALUE!</v>
      </c>
      <c r="AF18" t="e">
        <f>'All regions'!F430+"n/&gt;!Wn"</f>
        <v>#VALUE!</v>
      </c>
      <c r="AG18" t="e">
        <f>'All regions'!G430+"n/&gt;!Wo"</f>
        <v>#VALUE!</v>
      </c>
      <c r="AH18" t="e">
        <f>'All regions'!H430+"n/&gt;!Wp"</f>
        <v>#VALUE!</v>
      </c>
      <c r="AI18" t="e">
        <f>'All regions'!I430+"n/&gt;!Wq"</f>
        <v>#VALUE!</v>
      </c>
      <c r="AJ18" t="e">
        <f>'All regions'!J430+"n/&gt;!Wr"</f>
        <v>#VALUE!</v>
      </c>
      <c r="AK18" t="e">
        <f>'All regions'!A431+"n/&gt;!Ws"</f>
        <v>#VALUE!</v>
      </c>
      <c r="AL18" t="e">
        <f>'All regions'!B431+"n/&gt;!Wt"</f>
        <v>#VALUE!</v>
      </c>
      <c r="AM18" t="e">
        <f>'All regions'!C431+"n/&gt;!Wu"</f>
        <v>#VALUE!</v>
      </c>
      <c r="AN18" t="e">
        <f>'All regions'!D431+"n/&gt;!Wv"</f>
        <v>#VALUE!</v>
      </c>
      <c r="AO18" t="e">
        <f>'All regions'!E431+"n/&gt;!Ww"</f>
        <v>#VALUE!</v>
      </c>
      <c r="AP18" t="e">
        <f>'All regions'!F431+"n/&gt;!Wx"</f>
        <v>#VALUE!</v>
      </c>
      <c r="AQ18" t="e">
        <f>'All regions'!G431+"n/&gt;!Wy"</f>
        <v>#VALUE!</v>
      </c>
      <c r="AR18" t="e">
        <f>'All regions'!H431+"n/&gt;!Wz"</f>
        <v>#VALUE!</v>
      </c>
      <c r="AS18" t="e">
        <f>'All regions'!I431+"n/&gt;!W{"</f>
        <v>#VALUE!</v>
      </c>
      <c r="AT18" t="e">
        <f>'All regions'!J431+"n/&gt;!W|"</f>
        <v>#VALUE!</v>
      </c>
      <c r="AU18" t="e">
        <f>'All regions'!A432+"n/&gt;!W}"</f>
        <v>#VALUE!</v>
      </c>
      <c r="AV18" t="e">
        <f>'All regions'!B432+"n/&gt;!W~"</f>
        <v>#VALUE!</v>
      </c>
      <c r="AW18" t="e">
        <f>'All regions'!C432+"n/&gt;!X#"</f>
        <v>#VALUE!</v>
      </c>
      <c r="AX18" t="e">
        <f>'All regions'!D432+"n/&gt;!X$"</f>
        <v>#VALUE!</v>
      </c>
      <c r="AY18" t="e">
        <f>'All regions'!E432+"n/&gt;!X%"</f>
        <v>#VALUE!</v>
      </c>
      <c r="AZ18" t="e">
        <f>'All regions'!F432+"n/&gt;!X&amp;"</f>
        <v>#VALUE!</v>
      </c>
      <c r="BA18" t="e">
        <f>'All regions'!G432+"n/&gt;!X'"</f>
        <v>#VALUE!</v>
      </c>
      <c r="BB18" t="e">
        <f>'All regions'!H432+"n/&gt;!X("</f>
        <v>#VALUE!</v>
      </c>
      <c r="BC18" t="e">
        <f>'All regions'!I432+"n/&gt;!X)"</f>
        <v>#VALUE!</v>
      </c>
      <c r="BD18" t="e">
        <f>'All regions'!J432+"n/&gt;!X."</f>
        <v>#VALUE!</v>
      </c>
      <c r="BE18" t="e">
        <f>'All regions'!A433+"n/&gt;!X/"</f>
        <v>#VALUE!</v>
      </c>
      <c r="BF18" t="e">
        <f>'All regions'!B433+"n/&gt;!X0"</f>
        <v>#VALUE!</v>
      </c>
      <c r="BG18" t="e">
        <f>'All regions'!C433+"n/&gt;!X1"</f>
        <v>#VALUE!</v>
      </c>
      <c r="BH18" t="e">
        <f>'All regions'!D433+"n/&gt;!X2"</f>
        <v>#VALUE!</v>
      </c>
      <c r="BI18" t="e">
        <f>'All regions'!E433+"n/&gt;!X3"</f>
        <v>#VALUE!</v>
      </c>
      <c r="BJ18" t="e">
        <f>'All regions'!F433+"n/&gt;!X4"</f>
        <v>#VALUE!</v>
      </c>
      <c r="BK18" t="e">
        <f>'All regions'!G433+"n/&gt;!X5"</f>
        <v>#VALUE!</v>
      </c>
      <c r="BL18" t="e">
        <f>'All regions'!H433+"n/&gt;!X6"</f>
        <v>#VALUE!</v>
      </c>
      <c r="BM18" t="e">
        <f>'All regions'!I433+"n/&gt;!X7"</f>
        <v>#VALUE!</v>
      </c>
      <c r="BN18" t="e">
        <f>'All regions'!J433+"n/&gt;!X8"</f>
        <v>#VALUE!</v>
      </c>
      <c r="BO18" t="e">
        <f>'All regions'!A434+"n/&gt;!X9"</f>
        <v>#VALUE!</v>
      </c>
      <c r="BP18" t="e">
        <f>'All regions'!B434+"n/&gt;!X:"</f>
        <v>#VALUE!</v>
      </c>
      <c r="BQ18" t="e">
        <f>'All regions'!C434+"n/&gt;!X;"</f>
        <v>#VALUE!</v>
      </c>
      <c r="BR18" t="e">
        <f>'All regions'!D434+"n/&gt;!X&lt;"</f>
        <v>#VALUE!</v>
      </c>
      <c r="BS18" t="e">
        <f>'All regions'!E434+"n/&gt;!X="</f>
        <v>#VALUE!</v>
      </c>
      <c r="BT18" t="e">
        <f>'All regions'!F434+"n/&gt;!X&gt;"</f>
        <v>#VALUE!</v>
      </c>
      <c r="BU18" t="e">
        <f>'All regions'!G434+"n/&gt;!X?"</f>
        <v>#VALUE!</v>
      </c>
      <c r="BV18" t="e">
        <f>'All regions'!H434+"n/&gt;!X@"</f>
        <v>#VALUE!</v>
      </c>
      <c r="BW18" t="e">
        <f>'All regions'!I434+"n/&gt;!XA"</f>
        <v>#VALUE!</v>
      </c>
      <c r="BX18" t="e">
        <f>'All regions'!J434+"n/&gt;!XB"</f>
        <v>#VALUE!</v>
      </c>
      <c r="BY18" t="e">
        <f>'All regions'!A435+"n/&gt;!XC"</f>
        <v>#VALUE!</v>
      </c>
      <c r="BZ18" t="e">
        <f>'All regions'!B435+"n/&gt;!XD"</f>
        <v>#VALUE!</v>
      </c>
      <c r="CA18" t="e">
        <f>'All regions'!C435+"n/&gt;!XE"</f>
        <v>#VALUE!</v>
      </c>
      <c r="CB18" t="e">
        <f>'All regions'!D435+"n/&gt;!XF"</f>
        <v>#VALUE!</v>
      </c>
      <c r="CC18" t="e">
        <f>'All regions'!E435+"n/&gt;!XG"</f>
        <v>#VALUE!</v>
      </c>
      <c r="CD18" t="e">
        <f>'All regions'!F435+"n/&gt;!XH"</f>
        <v>#VALUE!</v>
      </c>
      <c r="CE18" t="e">
        <f>'All regions'!G435+"n/&gt;!XI"</f>
        <v>#VALUE!</v>
      </c>
      <c r="CF18" t="e">
        <f>'All regions'!H435+"n/&gt;!XJ"</f>
        <v>#VALUE!</v>
      </c>
      <c r="CG18" t="e">
        <f>'All regions'!I435+"n/&gt;!XK"</f>
        <v>#VALUE!</v>
      </c>
      <c r="CH18" t="e">
        <f>'All regions'!J435+"n/&gt;!XL"</f>
        <v>#VALUE!</v>
      </c>
      <c r="CI18" t="e">
        <f>'All regions'!A436+"n/&gt;!XM"</f>
        <v>#VALUE!</v>
      </c>
      <c r="CJ18" t="e">
        <f>'All regions'!B436+"n/&gt;!XN"</f>
        <v>#VALUE!</v>
      </c>
      <c r="CK18" t="e">
        <f>'All regions'!C436+"n/&gt;!XO"</f>
        <v>#VALUE!</v>
      </c>
      <c r="CL18" t="e">
        <f>'All regions'!D436+"n/&gt;!XP"</f>
        <v>#VALUE!</v>
      </c>
      <c r="CM18" t="e">
        <f>'All regions'!E436+"n/&gt;!XQ"</f>
        <v>#VALUE!</v>
      </c>
      <c r="CN18" t="e">
        <f>'All regions'!F436+"n/&gt;!XR"</f>
        <v>#VALUE!</v>
      </c>
      <c r="CO18" t="e">
        <f>'All regions'!G436+"n/&gt;!XS"</f>
        <v>#VALUE!</v>
      </c>
      <c r="CP18" t="e">
        <f>'All regions'!H436+"n/&gt;!XT"</f>
        <v>#VALUE!</v>
      </c>
      <c r="CQ18" t="e">
        <f>'All regions'!I436+"n/&gt;!XU"</f>
        <v>#VALUE!</v>
      </c>
      <c r="CR18" t="e">
        <f>'All regions'!J436+"n/&gt;!XV"</f>
        <v>#VALUE!</v>
      </c>
      <c r="CS18" t="e">
        <f>'All regions'!A437+"n/&gt;!XW"</f>
        <v>#VALUE!</v>
      </c>
      <c r="CT18" t="e">
        <f>'All regions'!B437+"n/&gt;!XX"</f>
        <v>#VALUE!</v>
      </c>
      <c r="CU18" t="e">
        <f>'All regions'!C437+"n/&gt;!XY"</f>
        <v>#VALUE!</v>
      </c>
      <c r="CV18" t="e">
        <f>'All regions'!D437+"n/&gt;!XZ"</f>
        <v>#VALUE!</v>
      </c>
      <c r="CW18" t="e">
        <f>'All regions'!E437+"n/&gt;!X["</f>
        <v>#VALUE!</v>
      </c>
      <c r="CX18" t="e">
        <f>'All regions'!F437+"n/&gt;!X\"</f>
        <v>#VALUE!</v>
      </c>
      <c r="CY18" t="e">
        <f>'All regions'!G437+"n/&gt;!X]"</f>
        <v>#VALUE!</v>
      </c>
      <c r="CZ18" t="e">
        <f>'All regions'!H437+"n/&gt;!X^"</f>
        <v>#VALUE!</v>
      </c>
      <c r="DA18" t="e">
        <f>'All regions'!I437+"n/&gt;!X_"</f>
        <v>#VALUE!</v>
      </c>
      <c r="DB18" t="e">
        <f>'All regions'!J437+"n/&gt;!X`"</f>
        <v>#VALUE!</v>
      </c>
      <c r="DC18" t="e">
        <f>'All regions'!A438+"n/&gt;!Xa"</f>
        <v>#VALUE!</v>
      </c>
      <c r="DD18" t="e">
        <f>'All regions'!B438+"n/&gt;!Xb"</f>
        <v>#VALUE!</v>
      </c>
      <c r="DE18" t="e">
        <f>'All regions'!C438+"n/&gt;!Xc"</f>
        <v>#VALUE!</v>
      </c>
      <c r="DF18" t="e">
        <f>'All regions'!D438+"n/&gt;!Xd"</f>
        <v>#VALUE!</v>
      </c>
      <c r="DG18" t="e">
        <f>'All regions'!E438+"n/&gt;!Xe"</f>
        <v>#VALUE!</v>
      </c>
      <c r="DH18" t="e">
        <f>'All regions'!F438+"n/&gt;!Xf"</f>
        <v>#VALUE!</v>
      </c>
      <c r="DI18" t="e">
        <f>'All regions'!G438+"n/&gt;!Xg"</f>
        <v>#VALUE!</v>
      </c>
      <c r="DJ18" t="e">
        <f>'All regions'!H438+"n/&gt;!Xh"</f>
        <v>#VALUE!</v>
      </c>
      <c r="DK18" t="e">
        <f>'All regions'!I438+"n/&gt;!Xi"</f>
        <v>#VALUE!</v>
      </c>
      <c r="DL18" t="e">
        <f>'All regions'!J438+"n/&gt;!Xj"</f>
        <v>#VALUE!</v>
      </c>
      <c r="DM18" t="e">
        <f>'All regions'!A439+"n/&gt;!Xk"</f>
        <v>#VALUE!</v>
      </c>
      <c r="DN18" t="e">
        <f>'All regions'!B439+"n/&gt;!Xl"</f>
        <v>#VALUE!</v>
      </c>
      <c r="DO18" t="e">
        <f>'All regions'!C439+"n/&gt;!Xm"</f>
        <v>#VALUE!</v>
      </c>
      <c r="DP18" t="e">
        <f>'All regions'!D439+"n/&gt;!Xn"</f>
        <v>#VALUE!</v>
      </c>
      <c r="DQ18" t="e">
        <f>'All regions'!E439+"n/&gt;!Xo"</f>
        <v>#VALUE!</v>
      </c>
      <c r="DR18" t="e">
        <f>'All regions'!F439+"n/&gt;!Xp"</f>
        <v>#VALUE!</v>
      </c>
      <c r="DS18" t="e">
        <f>'All regions'!G439+"n/&gt;!Xq"</f>
        <v>#VALUE!</v>
      </c>
      <c r="DT18" t="e">
        <f>'All regions'!H439+"n/&gt;!Xr"</f>
        <v>#VALUE!</v>
      </c>
      <c r="DU18" t="e">
        <f>'All regions'!I439+"n/&gt;!Xs"</f>
        <v>#VALUE!</v>
      </c>
      <c r="DV18" t="e">
        <f>'All regions'!J439+"n/&gt;!Xt"</f>
        <v>#VALUE!</v>
      </c>
      <c r="DW18" t="e">
        <f>'All regions'!A440+"n/&gt;!Xu"</f>
        <v>#VALUE!</v>
      </c>
      <c r="DX18" t="e">
        <f>'All regions'!B440+"n/&gt;!Xv"</f>
        <v>#VALUE!</v>
      </c>
      <c r="DY18" t="e">
        <f>'All regions'!C440+"n/&gt;!Xw"</f>
        <v>#VALUE!</v>
      </c>
      <c r="DZ18" t="e">
        <f>'All regions'!D440+"n/&gt;!Xx"</f>
        <v>#VALUE!</v>
      </c>
      <c r="EA18" t="e">
        <f>'All regions'!E440+"n/&gt;!Xy"</f>
        <v>#VALUE!</v>
      </c>
      <c r="EB18" t="e">
        <f>'All regions'!F440+"n/&gt;!Xz"</f>
        <v>#VALUE!</v>
      </c>
      <c r="EC18" t="e">
        <f>'All regions'!G440+"n/&gt;!X{"</f>
        <v>#VALUE!</v>
      </c>
      <c r="ED18" t="e">
        <f>'All regions'!H440+"n/&gt;!X|"</f>
        <v>#VALUE!</v>
      </c>
      <c r="EE18" t="e">
        <f>'All regions'!I440+"n/&gt;!X}"</f>
        <v>#VALUE!</v>
      </c>
      <c r="EF18" t="e">
        <f>'All regions'!J440+"n/&gt;!X~"</f>
        <v>#VALUE!</v>
      </c>
      <c r="EG18" t="e">
        <f>'All regions'!A441+"n/&gt;!Y#"</f>
        <v>#VALUE!</v>
      </c>
      <c r="EH18" t="e">
        <f>'All regions'!B441+"n/&gt;!Y$"</f>
        <v>#VALUE!</v>
      </c>
      <c r="EI18" t="e">
        <f>'All regions'!C441+"n/&gt;!Y%"</f>
        <v>#VALUE!</v>
      </c>
      <c r="EJ18" t="e">
        <f>'All regions'!D441+"n/&gt;!Y&amp;"</f>
        <v>#VALUE!</v>
      </c>
      <c r="EK18" t="e">
        <f>'All regions'!E441+"n/&gt;!Y'"</f>
        <v>#VALUE!</v>
      </c>
      <c r="EL18" t="e">
        <f>'All regions'!F441+"n/&gt;!Y("</f>
        <v>#VALUE!</v>
      </c>
      <c r="EM18" t="e">
        <f>'All regions'!G441+"n/&gt;!Y)"</f>
        <v>#VALUE!</v>
      </c>
      <c r="EN18" t="e">
        <f>'All regions'!H441+"n/&gt;!Y."</f>
        <v>#VALUE!</v>
      </c>
      <c r="EO18" t="e">
        <f>'All regions'!I441+"n/&gt;!Y/"</f>
        <v>#VALUE!</v>
      </c>
      <c r="EP18" t="e">
        <f>'All regions'!J441+"n/&gt;!Y0"</f>
        <v>#VALUE!</v>
      </c>
      <c r="EQ18" t="e">
        <f>'All regions'!A442+"n/&gt;!Y1"</f>
        <v>#VALUE!</v>
      </c>
      <c r="ER18" t="e">
        <f>'All regions'!B442+"n/&gt;!Y2"</f>
        <v>#VALUE!</v>
      </c>
      <c r="ES18" t="e">
        <f>'All regions'!C442+"n/&gt;!Y3"</f>
        <v>#VALUE!</v>
      </c>
      <c r="ET18" t="e">
        <f>'All regions'!D442+"n/&gt;!Y4"</f>
        <v>#VALUE!</v>
      </c>
      <c r="EU18" t="e">
        <f>'All regions'!E442+"n/&gt;!Y5"</f>
        <v>#VALUE!</v>
      </c>
      <c r="EV18" t="e">
        <f>'All regions'!F442+"n/&gt;!Y6"</f>
        <v>#VALUE!</v>
      </c>
      <c r="EW18" t="e">
        <f>'All regions'!G442+"n/&gt;!Y7"</f>
        <v>#VALUE!</v>
      </c>
      <c r="EX18" t="e">
        <f>'All regions'!H442+"n/&gt;!Y8"</f>
        <v>#VALUE!</v>
      </c>
      <c r="EY18" t="e">
        <f>'All regions'!I442+"n/&gt;!Y9"</f>
        <v>#VALUE!</v>
      </c>
      <c r="EZ18" t="e">
        <f>'All regions'!J442+"n/&gt;!Y:"</f>
        <v>#VALUE!</v>
      </c>
      <c r="FA18" t="e">
        <f>'All regions'!A443+"n/&gt;!Y;"</f>
        <v>#VALUE!</v>
      </c>
      <c r="FB18" t="e">
        <f>'All regions'!B443+"n/&gt;!Y&lt;"</f>
        <v>#VALUE!</v>
      </c>
      <c r="FC18" t="e">
        <f>'All regions'!C443+"n/&gt;!Y="</f>
        <v>#VALUE!</v>
      </c>
      <c r="FD18" t="e">
        <f>'All regions'!D443+"n/&gt;!Y&gt;"</f>
        <v>#VALUE!</v>
      </c>
      <c r="FE18" t="e">
        <f>'All regions'!E443+"n/&gt;!Y?"</f>
        <v>#VALUE!</v>
      </c>
      <c r="FF18" t="e">
        <f>'All regions'!F443+"n/&gt;!Y@"</f>
        <v>#VALUE!</v>
      </c>
      <c r="FG18" t="e">
        <f>'All regions'!G443+"n/&gt;!YA"</f>
        <v>#VALUE!</v>
      </c>
      <c r="FH18" t="e">
        <f>'All regions'!H443+"n/&gt;!YB"</f>
        <v>#VALUE!</v>
      </c>
      <c r="FI18" t="e">
        <f>'All regions'!I443+"n/&gt;!YC"</f>
        <v>#VALUE!</v>
      </c>
      <c r="FJ18" t="e">
        <f>'All regions'!J443+"n/&gt;!YD"</f>
        <v>#VALUE!</v>
      </c>
      <c r="FK18" t="e">
        <f>'All regions'!A444+"n/&gt;!YE"</f>
        <v>#VALUE!</v>
      </c>
      <c r="FL18" t="e">
        <f>'All regions'!B444+"n/&gt;!YF"</f>
        <v>#VALUE!</v>
      </c>
      <c r="FM18" t="e">
        <f>'All regions'!C444+"n/&gt;!YG"</f>
        <v>#VALUE!</v>
      </c>
      <c r="FN18" t="e">
        <f>'All regions'!D444+"n/&gt;!YH"</f>
        <v>#VALUE!</v>
      </c>
      <c r="FO18" t="e">
        <f>'All regions'!E444+"n/&gt;!YI"</f>
        <v>#VALUE!</v>
      </c>
      <c r="FP18" t="e">
        <f>'All regions'!F444+"n/&gt;!YJ"</f>
        <v>#VALUE!</v>
      </c>
      <c r="FQ18" t="e">
        <f>'All regions'!G444+"n/&gt;!YK"</f>
        <v>#VALUE!</v>
      </c>
      <c r="FR18" t="e">
        <f>'All regions'!H444+"n/&gt;!YL"</f>
        <v>#VALUE!</v>
      </c>
      <c r="FS18" t="e">
        <f>'All regions'!I444+"n/&gt;!YM"</f>
        <v>#VALUE!</v>
      </c>
      <c r="FT18" t="e">
        <f>'All regions'!J444+"n/&gt;!YN"</f>
        <v>#VALUE!</v>
      </c>
      <c r="FU18" t="e">
        <f>'All regions'!A445+"n/&gt;!YO"</f>
        <v>#VALUE!</v>
      </c>
      <c r="FV18" t="e">
        <f>'All regions'!B445+"n/&gt;!YP"</f>
        <v>#VALUE!</v>
      </c>
      <c r="FW18" t="e">
        <f>'All regions'!C445+"n/&gt;!YQ"</f>
        <v>#VALUE!</v>
      </c>
      <c r="FX18" t="e">
        <f>'All regions'!D445+"n/&gt;!YR"</f>
        <v>#VALUE!</v>
      </c>
      <c r="FY18" t="e">
        <f>'All regions'!E445+"n/&gt;!YS"</f>
        <v>#VALUE!</v>
      </c>
      <c r="FZ18" t="e">
        <f>'All regions'!F445+"n/&gt;!YT"</f>
        <v>#VALUE!</v>
      </c>
      <c r="GA18" t="e">
        <f>'All regions'!G445+"n/&gt;!YU"</f>
        <v>#VALUE!</v>
      </c>
      <c r="GB18" t="e">
        <f>'All regions'!H445+"n/&gt;!YV"</f>
        <v>#VALUE!</v>
      </c>
      <c r="GC18" t="e">
        <f>'All regions'!I445+"n/&gt;!YW"</f>
        <v>#VALUE!</v>
      </c>
      <c r="GD18" t="e">
        <f>'All regions'!J445+"n/&gt;!YX"</f>
        <v>#VALUE!</v>
      </c>
      <c r="GE18" t="e">
        <f>'All regions'!A446+"n/&gt;!YY"</f>
        <v>#VALUE!</v>
      </c>
      <c r="GF18" t="e">
        <f>'All regions'!B446+"n/&gt;!YZ"</f>
        <v>#VALUE!</v>
      </c>
      <c r="GG18" t="e">
        <f>'All regions'!C446+"n/&gt;!Y["</f>
        <v>#VALUE!</v>
      </c>
      <c r="GH18" t="e">
        <f>'All regions'!D446+"n/&gt;!Y\"</f>
        <v>#VALUE!</v>
      </c>
      <c r="GI18" t="e">
        <f>'All regions'!E446+"n/&gt;!Y]"</f>
        <v>#VALUE!</v>
      </c>
      <c r="GJ18" t="e">
        <f>'All regions'!F446+"n/&gt;!Y^"</f>
        <v>#VALUE!</v>
      </c>
      <c r="GK18" t="e">
        <f>'All regions'!G446+"n/&gt;!Y_"</f>
        <v>#VALUE!</v>
      </c>
      <c r="GL18" t="e">
        <f>'All regions'!H446+"n/&gt;!Y`"</f>
        <v>#VALUE!</v>
      </c>
      <c r="GM18" t="e">
        <f>'All regions'!I446+"n/&gt;!Ya"</f>
        <v>#VALUE!</v>
      </c>
      <c r="GN18" t="e">
        <f>'All regions'!J446+"n/&gt;!Yb"</f>
        <v>#VALUE!</v>
      </c>
      <c r="GO18" t="e">
        <f>'All regions'!A447+"n/&gt;!Yc"</f>
        <v>#VALUE!</v>
      </c>
      <c r="GP18" t="e">
        <f>'All regions'!B447+"n/&gt;!Yd"</f>
        <v>#VALUE!</v>
      </c>
      <c r="GQ18" t="e">
        <f>'All regions'!C447+"n/&gt;!Ye"</f>
        <v>#VALUE!</v>
      </c>
      <c r="GR18" t="e">
        <f>'All regions'!D447+"n/&gt;!Yf"</f>
        <v>#VALUE!</v>
      </c>
      <c r="GS18" t="e">
        <f>'All regions'!E447+"n/&gt;!Yg"</f>
        <v>#VALUE!</v>
      </c>
      <c r="GT18" t="e">
        <f>'All regions'!F447+"n/&gt;!Yh"</f>
        <v>#VALUE!</v>
      </c>
      <c r="GU18" t="e">
        <f>'All regions'!G447+"n/&gt;!Yi"</f>
        <v>#VALUE!</v>
      </c>
      <c r="GV18" t="e">
        <f>'All regions'!H447+"n/&gt;!Yj"</f>
        <v>#VALUE!</v>
      </c>
      <c r="GW18" t="e">
        <f>'All regions'!I447+"n/&gt;!Yk"</f>
        <v>#VALUE!</v>
      </c>
      <c r="GX18" t="e">
        <f>'All regions'!J447+"n/&gt;!Yl"</f>
        <v>#VALUE!</v>
      </c>
      <c r="GY18" t="e">
        <f>'All regions'!A448+"n/&gt;!Ym"</f>
        <v>#VALUE!</v>
      </c>
      <c r="GZ18" t="e">
        <f>'All regions'!B448+"n/&gt;!Yn"</f>
        <v>#VALUE!</v>
      </c>
      <c r="HA18" t="e">
        <f>'All regions'!C448+"n/&gt;!Yo"</f>
        <v>#VALUE!</v>
      </c>
      <c r="HB18" t="e">
        <f>'All regions'!D448+"n/&gt;!Yp"</f>
        <v>#VALUE!</v>
      </c>
      <c r="HC18" t="e">
        <f>'All regions'!E448+"n/&gt;!Yq"</f>
        <v>#VALUE!</v>
      </c>
      <c r="HD18" t="e">
        <f>'All regions'!F448+"n/&gt;!Yr"</f>
        <v>#VALUE!</v>
      </c>
      <c r="HE18" t="e">
        <f>'All regions'!G448+"n/&gt;!Ys"</f>
        <v>#VALUE!</v>
      </c>
      <c r="HF18" t="e">
        <f>'All regions'!H448+"n/&gt;!Yt"</f>
        <v>#VALUE!</v>
      </c>
      <c r="HG18" t="e">
        <f>'All regions'!I448+"n/&gt;!Yu"</f>
        <v>#VALUE!</v>
      </c>
      <c r="HH18" t="e">
        <f>'All regions'!J448+"n/&gt;!Yv"</f>
        <v>#VALUE!</v>
      </c>
      <c r="HI18" t="e">
        <f>'All regions'!A449+"n/&gt;!Yw"</f>
        <v>#VALUE!</v>
      </c>
      <c r="HJ18" t="e">
        <f>'All regions'!B449+"n/&gt;!Yx"</f>
        <v>#VALUE!</v>
      </c>
      <c r="HK18" t="e">
        <f>'All regions'!C449+"n/&gt;!Yy"</f>
        <v>#VALUE!</v>
      </c>
      <c r="HL18" t="e">
        <f>'All regions'!D449+"n/&gt;!Yz"</f>
        <v>#VALUE!</v>
      </c>
      <c r="HM18" t="e">
        <f>'All regions'!E449+"n/&gt;!Y{"</f>
        <v>#VALUE!</v>
      </c>
      <c r="HN18" t="e">
        <f>'All regions'!F449+"n/&gt;!Y|"</f>
        <v>#VALUE!</v>
      </c>
      <c r="HO18" t="e">
        <f>'All regions'!G449+"n/&gt;!Y}"</f>
        <v>#VALUE!</v>
      </c>
      <c r="HP18" t="e">
        <f>'All regions'!H449+"n/&gt;!Y~"</f>
        <v>#VALUE!</v>
      </c>
      <c r="HQ18" t="e">
        <f>'All regions'!I449+"n/&gt;!Z#"</f>
        <v>#VALUE!</v>
      </c>
      <c r="HR18" t="e">
        <f>'All regions'!J449+"n/&gt;!Z$"</f>
        <v>#VALUE!</v>
      </c>
      <c r="HS18" t="e">
        <f>'All regions'!A450+"n/&gt;!Z%"</f>
        <v>#VALUE!</v>
      </c>
      <c r="HT18" t="e">
        <f>'All regions'!B450+"n/&gt;!Z&amp;"</f>
        <v>#VALUE!</v>
      </c>
      <c r="HU18" t="e">
        <f>'All regions'!C450+"n/&gt;!Z'"</f>
        <v>#VALUE!</v>
      </c>
      <c r="HV18" t="e">
        <f>'All regions'!D450+"n/&gt;!Z("</f>
        <v>#VALUE!</v>
      </c>
      <c r="HW18" t="e">
        <f>'All regions'!E450+"n/&gt;!Z)"</f>
        <v>#VALUE!</v>
      </c>
      <c r="HX18" t="e">
        <f>'All regions'!F450+"n/&gt;!Z."</f>
        <v>#VALUE!</v>
      </c>
      <c r="HY18" t="e">
        <f>'All regions'!G450+"n/&gt;!Z/"</f>
        <v>#VALUE!</v>
      </c>
      <c r="HZ18" t="e">
        <f>'All regions'!H450+"n/&gt;!Z0"</f>
        <v>#VALUE!</v>
      </c>
      <c r="IA18" t="e">
        <f>'All regions'!I450+"n/&gt;!Z1"</f>
        <v>#VALUE!</v>
      </c>
      <c r="IB18" t="e">
        <f>'All regions'!J450+"n/&gt;!Z2"</f>
        <v>#VALUE!</v>
      </c>
      <c r="IC18" t="e">
        <f>'All regions'!A451+"n/&gt;!Z3"</f>
        <v>#VALUE!</v>
      </c>
      <c r="ID18" t="e">
        <f>'All regions'!B451+"n/&gt;!Z4"</f>
        <v>#VALUE!</v>
      </c>
      <c r="IE18" t="e">
        <f>'All regions'!C451+"n/&gt;!Z5"</f>
        <v>#VALUE!</v>
      </c>
      <c r="IF18" t="e">
        <f>'All regions'!D451+"n/&gt;!Z6"</f>
        <v>#VALUE!</v>
      </c>
      <c r="IG18" t="e">
        <f>'All regions'!E451+"n/&gt;!Z7"</f>
        <v>#VALUE!</v>
      </c>
      <c r="IH18" t="e">
        <f>'All regions'!F451+"n/&gt;!Z8"</f>
        <v>#VALUE!</v>
      </c>
      <c r="II18" t="e">
        <f>'All regions'!G451+"n/&gt;!Z9"</f>
        <v>#VALUE!</v>
      </c>
      <c r="IJ18" t="e">
        <f>'All regions'!H451+"n/&gt;!Z:"</f>
        <v>#VALUE!</v>
      </c>
      <c r="IK18" t="e">
        <f>'All regions'!I451+"n/&gt;!Z;"</f>
        <v>#VALUE!</v>
      </c>
      <c r="IL18" t="e">
        <f>'All regions'!J451+"n/&gt;!Z&lt;"</f>
        <v>#VALUE!</v>
      </c>
      <c r="IM18" t="e">
        <f>'All regions'!A452+"n/&gt;!Z="</f>
        <v>#VALUE!</v>
      </c>
      <c r="IN18" t="e">
        <f>'All regions'!B452+"n/&gt;!Z&gt;"</f>
        <v>#VALUE!</v>
      </c>
      <c r="IO18" t="e">
        <f>'All regions'!C452+"n/&gt;!Z?"</f>
        <v>#VALUE!</v>
      </c>
      <c r="IP18" t="e">
        <f>'All regions'!D452+"n/&gt;!Z@"</f>
        <v>#VALUE!</v>
      </c>
      <c r="IQ18" t="e">
        <f>'All regions'!E452+"n/&gt;!ZA"</f>
        <v>#VALUE!</v>
      </c>
      <c r="IR18" t="e">
        <f>'All regions'!F452+"n/&gt;!ZB"</f>
        <v>#VALUE!</v>
      </c>
      <c r="IS18" t="e">
        <f>'All regions'!G452+"n/&gt;!ZC"</f>
        <v>#VALUE!</v>
      </c>
      <c r="IT18" t="e">
        <f>'All regions'!H452+"n/&gt;!ZD"</f>
        <v>#VALUE!</v>
      </c>
      <c r="IU18" t="e">
        <f>'All regions'!I452+"n/&gt;!ZE"</f>
        <v>#VALUE!</v>
      </c>
      <c r="IV18" t="e">
        <f>'All regions'!J452+"n/&gt;!ZF"</f>
        <v>#VALUE!</v>
      </c>
    </row>
    <row r="19" spans="6:256" x14ac:dyDescent="0.35">
      <c r="F19" t="e">
        <f>'All regions'!A453+"n/&gt;!ZG"</f>
        <v>#VALUE!</v>
      </c>
      <c r="G19" t="e">
        <f>'All regions'!B453+"n/&gt;!ZH"</f>
        <v>#VALUE!</v>
      </c>
      <c r="H19" t="e">
        <f>'All regions'!C453+"n/&gt;!ZI"</f>
        <v>#VALUE!</v>
      </c>
      <c r="I19" t="e">
        <f>'All regions'!D453+"n/&gt;!ZJ"</f>
        <v>#VALUE!</v>
      </c>
      <c r="J19" t="e">
        <f>'All regions'!E453+"n/&gt;!ZK"</f>
        <v>#VALUE!</v>
      </c>
      <c r="K19" t="e">
        <f>'All regions'!F453+"n/&gt;!ZL"</f>
        <v>#VALUE!</v>
      </c>
      <c r="L19" t="e">
        <f>'All regions'!G453+"n/&gt;!ZM"</f>
        <v>#VALUE!</v>
      </c>
      <c r="M19" t="e">
        <f>'All regions'!H453+"n/&gt;!ZN"</f>
        <v>#VALUE!</v>
      </c>
      <c r="N19" t="e">
        <f>'All regions'!I453+"n/&gt;!ZO"</f>
        <v>#VALUE!</v>
      </c>
      <c r="O19" t="e">
        <f>'All regions'!J453+"n/&gt;!ZP"</f>
        <v>#VALUE!</v>
      </c>
      <c r="P19" t="e">
        <f>'All regions'!A454+"n/&gt;!ZQ"</f>
        <v>#VALUE!</v>
      </c>
      <c r="Q19" t="e">
        <f>'All regions'!B454+"n/&gt;!ZR"</f>
        <v>#VALUE!</v>
      </c>
      <c r="R19" t="e">
        <f>'All regions'!C454+"n/&gt;!ZS"</f>
        <v>#VALUE!</v>
      </c>
      <c r="S19" t="e">
        <f>'All regions'!D454+"n/&gt;!ZT"</f>
        <v>#VALUE!</v>
      </c>
      <c r="T19" t="e">
        <f>'All regions'!E454+"n/&gt;!ZU"</f>
        <v>#VALUE!</v>
      </c>
      <c r="U19" t="e">
        <f>'All regions'!F454+"n/&gt;!ZV"</f>
        <v>#VALUE!</v>
      </c>
      <c r="V19" t="e">
        <f>'All regions'!G454+"n/&gt;!ZW"</f>
        <v>#VALUE!</v>
      </c>
      <c r="W19" t="e">
        <f>'All regions'!H454+"n/&gt;!ZX"</f>
        <v>#VALUE!</v>
      </c>
      <c r="X19" t="e">
        <f>'All regions'!I454+"n/&gt;!ZY"</f>
        <v>#VALUE!</v>
      </c>
      <c r="Y19" t="e">
        <f>'All regions'!J454+"n/&gt;!ZZ"</f>
        <v>#VALUE!</v>
      </c>
      <c r="Z19" t="e">
        <f>'All regions'!A455+"n/&gt;!Z["</f>
        <v>#VALUE!</v>
      </c>
      <c r="AA19" t="e">
        <f>'All regions'!B455+"n/&gt;!Z\"</f>
        <v>#VALUE!</v>
      </c>
      <c r="AB19" t="e">
        <f>'All regions'!C455+"n/&gt;!Z]"</f>
        <v>#VALUE!</v>
      </c>
      <c r="AC19" t="e">
        <f>'All regions'!D455+"n/&gt;!Z^"</f>
        <v>#VALUE!</v>
      </c>
      <c r="AD19" t="e">
        <f>'All regions'!E455+"n/&gt;!Z_"</f>
        <v>#VALUE!</v>
      </c>
      <c r="AE19" t="e">
        <f>'All regions'!F455+"n/&gt;!Z`"</f>
        <v>#VALUE!</v>
      </c>
      <c r="AF19" t="e">
        <f>'All regions'!G455+"n/&gt;!Za"</f>
        <v>#VALUE!</v>
      </c>
      <c r="AG19" t="e">
        <f>'All regions'!H455+"n/&gt;!Zb"</f>
        <v>#VALUE!</v>
      </c>
      <c r="AH19" t="e">
        <f>'All regions'!I455+"n/&gt;!Zc"</f>
        <v>#VALUE!</v>
      </c>
      <c r="AI19" t="e">
        <f>'All regions'!J455+"n/&gt;!Zd"</f>
        <v>#VALUE!</v>
      </c>
      <c r="AJ19" t="e">
        <f>'All regions'!A456+"n/&gt;!Ze"</f>
        <v>#VALUE!</v>
      </c>
      <c r="AK19" t="e">
        <f>'All regions'!B456+"n/&gt;!Zf"</f>
        <v>#VALUE!</v>
      </c>
      <c r="AL19" t="e">
        <f>'All regions'!C456+"n/&gt;!Zg"</f>
        <v>#VALUE!</v>
      </c>
      <c r="AM19" t="e">
        <f>'All regions'!D456+"n/&gt;!Zh"</f>
        <v>#VALUE!</v>
      </c>
      <c r="AN19" t="e">
        <f>'All regions'!E456+"n/&gt;!Zi"</f>
        <v>#VALUE!</v>
      </c>
      <c r="AO19" t="e">
        <f>'All regions'!F456+"n/&gt;!Zj"</f>
        <v>#VALUE!</v>
      </c>
      <c r="AP19" t="e">
        <f>'All regions'!G456+"n/&gt;!Zk"</f>
        <v>#VALUE!</v>
      </c>
      <c r="AQ19" t="e">
        <f>'All regions'!H456+"n/&gt;!Zl"</f>
        <v>#VALUE!</v>
      </c>
      <c r="AR19" t="e">
        <f>'All regions'!I456+"n/&gt;!Zm"</f>
        <v>#VALUE!</v>
      </c>
      <c r="AS19" t="e">
        <f>'All regions'!J456+"n/&gt;!Zn"</f>
        <v>#VALUE!</v>
      </c>
      <c r="AT19" t="e">
        <f>'All regions'!A457+"n/&gt;!Zo"</f>
        <v>#VALUE!</v>
      </c>
      <c r="AU19" t="e">
        <f>'All regions'!B457+"n/&gt;!Zp"</f>
        <v>#VALUE!</v>
      </c>
      <c r="AV19" t="e">
        <f>'All regions'!C457+"n/&gt;!Zq"</f>
        <v>#VALUE!</v>
      </c>
      <c r="AW19" t="e">
        <f>'All regions'!D457+"n/&gt;!Zr"</f>
        <v>#VALUE!</v>
      </c>
      <c r="AX19" t="e">
        <f>'All regions'!E457+"n/&gt;!Zs"</f>
        <v>#VALUE!</v>
      </c>
      <c r="AY19" t="e">
        <f>'All regions'!F457+"n/&gt;!Zt"</f>
        <v>#VALUE!</v>
      </c>
      <c r="AZ19" t="e">
        <f>'All regions'!G457+"n/&gt;!Zu"</f>
        <v>#VALUE!</v>
      </c>
      <c r="BA19" t="e">
        <f>'All regions'!H457+"n/&gt;!Zv"</f>
        <v>#VALUE!</v>
      </c>
      <c r="BB19" t="e">
        <f>'All regions'!I457+"n/&gt;!Zw"</f>
        <v>#VALUE!</v>
      </c>
      <c r="BC19" t="e">
        <f>'All regions'!J457+"n/&gt;!Zx"</f>
        <v>#VALUE!</v>
      </c>
      <c r="BD19" t="e">
        <f>'All regions'!A458+"n/&gt;!Zy"</f>
        <v>#VALUE!</v>
      </c>
      <c r="BE19" t="e">
        <f>'All regions'!B458+"n/&gt;!Zz"</f>
        <v>#VALUE!</v>
      </c>
      <c r="BF19" t="e">
        <f>'All regions'!C458+"n/&gt;!Z{"</f>
        <v>#VALUE!</v>
      </c>
      <c r="BG19" t="e">
        <f>'All regions'!D458+"n/&gt;!Z|"</f>
        <v>#VALUE!</v>
      </c>
      <c r="BH19" t="e">
        <f>'All regions'!E458+"n/&gt;!Z}"</f>
        <v>#VALUE!</v>
      </c>
      <c r="BI19" t="e">
        <f>'All regions'!F458+"n/&gt;!Z~"</f>
        <v>#VALUE!</v>
      </c>
      <c r="BJ19" t="e">
        <f>'All regions'!G458+"n/&gt;![#"</f>
        <v>#VALUE!</v>
      </c>
      <c r="BK19" t="e">
        <f>'All regions'!H458+"n/&gt;![$"</f>
        <v>#VALUE!</v>
      </c>
      <c r="BL19" t="e">
        <f>'All regions'!I458+"n/&gt;![%"</f>
        <v>#VALUE!</v>
      </c>
      <c r="BM19" t="e">
        <f>'All regions'!J458+"n/&gt;![&amp;"</f>
        <v>#VALUE!</v>
      </c>
      <c r="BN19" t="e">
        <f>'All regions'!A459+"n/&gt;!['"</f>
        <v>#VALUE!</v>
      </c>
      <c r="BO19" t="e">
        <f>'All regions'!B459+"n/&gt;![("</f>
        <v>#VALUE!</v>
      </c>
      <c r="BP19" t="e">
        <f>'All regions'!C459+"n/&gt;![)"</f>
        <v>#VALUE!</v>
      </c>
      <c r="BQ19" t="e">
        <f>'All regions'!D459+"n/&gt;![."</f>
        <v>#VALUE!</v>
      </c>
      <c r="BR19" t="e">
        <f>'All regions'!E459+"n/&gt;![/"</f>
        <v>#VALUE!</v>
      </c>
      <c r="BS19" t="e">
        <f>'All regions'!F459+"n/&gt;![0"</f>
        <v>#VALUE!</v>
      </c>
      <c r="BT19" t="e">
        <f>'All regions'!G459+"n/&gt;![1"</f>
        <v>#VALUE!</v>
      </c>
      <c r="BU19" t="e">
        <f>'All regions'!H459+"n/&gt;![2"</f>
        <v>#VALUE!</v>
      </c>
      <c r="BV19" t="e">
        <f>'All regions'!I459+"n/&gt;![3"</f>
        <v>#VALUE!</v>
      </c>
      <c r="BW19" t="e">
        <f>'All regions'!J459+"n/&gt;![4"</f>
        <v>#VALUE!</v>
      </c>
      <c r="BX19" t="e">
        <f>'All regions'!A460+"n/&gt;![5"</f>
        <v>#VALUE!</v>
      </c>
      <c r="BY19" t="e">
        <f>'All regions'!B460+"n/&gt;![6"</f>
        <v>#VALUE!</v>
      </c>
      <c r="BZ19" t="e">
        <f>'All regions'!C460+"n/&gt;![7"</f>
        <v>#VALUE!</v>
      </c>
      <c r="CA19" t="e">
        <f>'All regions'!D460+"n/&gt;![8"</f>
        <v>#VALUE!</v>
      </c>
      <c r="CB19" t="e">
        <f>'All regions'!E460+"n/&gt;![9"</f>
        <v>#VALUE!</v>
      </c>
      <c r="CC19" t="e">
        <f>'All regions'!F460+"n/&gt;![:"</f>
        <v>#VALUE!</v>
      </c>
      <c r="CD19" t="e">
        <f>'All regions'!G460+"n/&gt;![;"</f>
        <v>#VALUE!</v>
      </c>
      <c r="CE19" t="e">
        <f>'All regions'!H460+"n/&gt;![&lt;"</f>
        <v>#VALUE!</v>
      </c>
      <c r="CF19" t="e">
        <f>'All regions'!I460+"n/&gt;![="</f>
        <v>#VALUE!</v>
      </c>
      <c r="CG19" t="e">
        <f>'All regions'!J460+"n/&gt;![&gt;"</f>
        <v>#VALUE!</v>
      </c>
      <c r="CH19" t="e">
        <f>'All regions'!A461+"n/&gt;![?"</f>
        <v>#VALUE!</v>
      </c>
      <c r="CI19" t="e">
        <f>'All regions'!B461+"n/&gt;![@"</f>
        <v>#VALUE!</v>
      </c>
      <c r="CJ19" t="e">
        <f>'All regions'!C461+"n/&gt;![A"</f>
        <v>#VALUE!</v>
      </c>
      <c r="CK19" t="e">
        <f>'All regions'!D461+"n/&gt;![B"</f>
        <v>#VALUE!</v>
      </c>
      <c r="CL19" t="e">
        <f>'All regions'!E461+"n/&gt;![C"</f>
        <v>#VALUE!</v>
      </c>
      <c r="CM19" t="e">
        <f>'All regions'!F461+"n/&gt;![D"</f>
        <v>#VALUE!</v>
      </c>
      <c r="CN19" t="e">
        <f>'All regions'!G461+"n/&gt;![E"</f>
        <v>#VALUE!</v>
      </c>
      <c r="CO19" t="e">
        <f>'All regions'!H461+"n/&gt;![F"</f>
        <v>#VALUE!</v>
      </c>
      <c r="CP19" t="e">
        <f>'All regions'!I461+"n/&gt;![G"</f>
        <v>#VALUE!</v>
      </c>
      <c r="CQ19" t="e">
        <f>'All regions'!J461+"n/&gt;![H"</f>
        <v>#VALUE!</v>
      </c>
      <c r="CR19" t="e">
        <f>'All regions'!A462+"n/&gt;![I"</f>
        <v>#VALUE!</v>
      </c>
      <c r="CS19" t="e">
        <f>'All regions'!B462+"n/&gt;![J"</f>
        <v>#VALUE!</v>
      </c>
      <c r="CT19" t="e">
        <f>'All regions'!C462+"n/&gt;![K"</f>
        <v>#VALUE!</v>
      </c>
      <c r="CU19" t="e">
        <f>'All regions'!D462+"n/&gt;![L"</f>
        <v>#VALUE!</v>
      </c>
      <c r="CV19" t="e">
        <f>'All regions'!E462+"n/&gt;![M"</f>
        <v>#VALUE!</v>
      </c>
      <c r="CW19" t="e">
        <f>'All regions'!F462+"n/&gt;![N"</f>
        <v>#VALUE!</v>
      </c>
      <c r="CX19" t="e">
        <f>'All regions'!G462+"n/&gt;![O"</f>
        <v>#VALUE!</v>
      </c>
      <c r="CY19" t="e">
        <f>'All regions'!H462+"n/&gt;![P"</f>
        <v>#VALUE!</v>
      </c>
      <c r="CZ19" t="e">
        <f>'All regions'!I462+"n/&gt;![Q"</f>
        <v>#VALUE!</v>
      </c>
      <c r="DA19" t="e">
        <f>'All regions'!J462+"n/&gt;![R"</f>
        <v>#VALUE!</v>
      </c>
      <c r="DB19" t="e">
        <f>'All regions'!A463+"n/&gt;![S"</f>
        <v>#VALUE!</v>
      </c>
      <c r="DC19" t="e">
        <f>'All regions'!B463+"n/&gt;![T"</f>
        <v>#VALUE!</v>
      </c>
      <c r="DD19" t="e">
        <f>'All regions'!C463+"n/&gt;![U"</f>
        <v>#VALUE!</v>
      </c>
      <c r="DE19" t="e">
        <f>'All regions'!D463+"n/&gt;![V"</f>
        <v>#VALUE!</v>
      </c>
      <c r="DF19" t="e">
        <f>'All regions'!E463+"n/&gt;![W"</f>
        <v>#VALUE!</v>
      </c>
      <c r="DG19" t="e">
        <f>'All regions'!F463+"n/&gt;![X"</f>
        <v>#VALUE!</v>
      </c>
      <c r="DH19" t="e">
        <f>'All regions'!G463+"n/&gt;![Y"</f>
        <v>#VALUE!</v>
      </c>
      <c r="DI19" t="e">
        <f>'All regions'!H463+"n/&gt;![Z"</f>
        <v>#VALUE!</v>
      </c>
      <c r="DJ19" t="e">
        <f>'All regions'!I463+"n/&gt;![["</f>
        <v>#VALUE!</v>
      </c>
      <c r="DK19" t="e">
        <f>'All regions'!J463+"n/&gt;![\"</f>
        <v>#VALUE!</v>
      </c>
      <c r="DL19" t="e">
        <f>'All regions'!A464+"n/&gt;![]"</f>
        <v>#VALUE!</v>
      </c>
      <c r="DM19" t="e">
        <f>'All regions'!B464+"n/&gt;![^"</f>
        <v>#VALUE!</v>
      </c>
      <c r="DN19" t="e">
        <f>'All regions'!C464+"n/&gt;![_"</f>
        <v>#VALUE!</v>
      </c>
      <c r="DO19" t="e">
        <f>'All regions'!D464+"n/&gt;![`"</f>
        <v>#VALUE!</v>
      </c>
      <c r="DP19" t="e">
        <f>'All regions'!E464+"n/&gt;![a"</f>
        <v>#VALUE!</v>
      </c>
      <c r="DQ19" t="e">
        <f>'All regions'!F464+"n/&gt;![b"</f>
        <v>#VALUE!</v>
      </c>
      <c r="DR19" t="e">
        <f>'All regions'!G464+"n/&gt;![c"</f>
        <v>#VALUE!</v>
      </c>
      <c r="DS19" t="e">
        <f>'All regions'!H464+"n/&gt;![d"</f>
        <v>#VALUE!</v>
      </c>
      <c r="DT19" t="e">
        <f>'All regions'!I464+"n/&gt;![e"</f>
        <v>#VALUE!</v>
      </c>
      <c r="DU19" t="e">
        <f>'All regions'!J464+"n/&gt;![f"</f>
        <v>#VALUE!</v>
      </c>
      <c r="DV19" t="e">
        <f>'All regions'!A465+"n/&gt;![g"</f>
        <v>#VALUE!</v>
      </c>
      <c r="DW19" t="e">
        <f>'All regions'!B465+"n/&gt;![h"</f>
        <v>#VALUE!</v>
      </c>
      <c r="DX19" t="e">
        <f>'All regions'!C465+"n/&gt;![i"</f>
        <v>#VALUE!</v>
      </c>
      <c r="DY19" t="e">
        <f>'All regions'!D465+"n/&gt;![j"</f>
        <v>#VALUE!</v>
      </c>
      <c r="DZ19" t="e">
        <f>'All regions'!E465+"n/&gt;![k"</f>
        <v>#VALUE!</v>
      </c>
      <c r="EA19" t="e">
        <f>'All regions'!F465+"n/&gt;![l"</f>
        <v>#VALUE!</v>
      </c>
      <c r="EB19" t="e">
        <f>'All regions'!G465+"n/&gt;![m"</f>
        <v>#VALUE!</v>
      </c>
      <c r="EC19" t="e">
        <f>'All regions'!H465+"n/&gt;![n"</f>
        <v>#VALUE!</v>
      </c>
      <c r="ED19" t="e">
        <f>'All regions'!I465+"n/&gt;![o"</f>
        <v>#VALUE!</v>
      </c>
      <c r="EE19" t="e">
        <f>'All regions'!J465+"n/&gt;![p"</f>
        <v>#VALUE!</v>
      </c>
      <c r="EF19" t="e">
        <f>'All regions'!A466+"n/&gt;![q"</f>
        <v>#VALUE!</v>
      </c>
      <c r="EG19" t="e">
        <f>'All regions'!B466+"n/&gt;![r"</f>
        <v>#VALUE!</v>
      </c>
      <c r="EH19" t="e">
        <f>'All regions'!C466+"n/&gt;![s"</f>
        <v>#VALUE!</v>
      </c>
      <c r="EI19" t="e">
        <f>'All regions'!D466+"n/&gt;![t"</f>
        <v>#VALUE!</v>
      </c>
      <c r="EJ19" t="e">
        <f>'All regions'!E466+"n/&gt;![u"</f>
        <v>#VALUE!</v>
      </c>
      <c r="EK19" t="e">
        <f>'All regions'!F466+"n/&gt;![v"</f>
        <v>#VALUE!</v>
      </c>
      <c r="EL19" t="e">
        <f>'All regions'!G466+"n/&gt;![w"</f>
        <v>#VALUE!</v>
      </c>
      <c r="EM19" t="e">
        <f>'All regions'!H466+"n/&gt;![x"</f>
        <v>#VALUE!</v>
      </c>
      <c r="EN19" t="e">
        <f>'All regions'!I466+"n/&gt;![y"</f>
        <v>#VALUE!</v>
      </c>
      <c r="EO19" t="e">
        <f>'All regions'!J466+"n/&gt;![z"</f>
        <v>#VALUE!</v>
      </c>
      <c r="EP19" t="e">
        <f>'All regions'!A467+"n/&gt;![{"</f>
        <v>#VALUE!</v>
      </c>
      <c r="EQ19" t="e">
        <f>'All regions'!B467+"n/&gt;![|"</f>
        <v>#VALUE!</v>
      </c>
      <c r="ER19" t="e">
        <f>'All regions'!C467+"n/&gt;![}"</f>
        <v>#VALUE!</v>
      </c>
      <c r="ES19" t="e">
        <f>'All regions'!D467+"n/&gt;![~"</f>
        <v>#VALUE!</v>
      </c>
      <c r="ET19" t="e">
        <f>'All regions'!E467+"n/&gt;!\#"</f>
        <v>#VALUE!</v>
      </c>
      <c r="EU19" t="e">
        <f>'All regions'!F467+"n/&gt;!\$"</f>
        <v>#VALUE!</v>
      </c>
      <c r="EV19" t="e">
        <f>'All regions'!G467+"n/&gt;!\%"</f>
        <v>#VALUE!</v>
      </c>
      <c r="EW19" t="e">
        <f>'All regions'!H467+"n/&gt;!\&amp;"</f>
        <v>#VALUE!</v>
      </c>
      <c r="EX19" t="e">
        <f>'All regions'!I467+"n/&gt;!\'"</f>
        <v>#VALUE!</v>
      </c>
      <c r="EY19" t="e">
        <f>'All regions'!J467+"n/&gt;!\("</f>
        <v>#VALUE!</v>
      </c>
      <c r="EZ19" t="e">
        <f>'All regions'!A468+"n/&gt;!\)"</f>
        <v>#VALUE!</v>
      </c>
      <c r="FA19" t="e">
        <f>'All regions'!B468+"n/&gt;!\."</f>
        <v>#VALUE!</v>
      </c>
      <c r="FB19" t="e">
        <f>'All regions'!C468+"n/&gt;!\/"</f>
        <v>#VALUE!</v>
      </c>
      <c r="FC19" t="e">
        <f>'All regions'!D468+"n/&gt;!\0"</f>
        <v>#VALUE!</v>
      </c>
      <c r="FD19" t="e">
        <f>'All regions'!E468+"n/&gt;!\1"</f>
        <v>#VALUE!</v>
      </c>
      <c r="FE19" t="e">
        <f>'All regions'!F468+"n/&gt;!\2"</f>
        <v>#VALUE!</v>
      </c>
      <c r="FF19" t="e">
        <f>'All regions'!G468+"n/&gt;!\3"</f>
        <v>#VALUE!</v>
      </c>
      <c r="FG19" t="e">
        <f>'All regions'!H468+"n/&gt;!\4"</f>
        <v>#VALUE!</v>
      </c>
      <c r="FH19" t="e">
        <f>'All regions'!I468+"n/&gt;!\5"</f>
        <v>#VALUE!</v>
      </c>
      <c r="FI19" t="e">
        <f>'All regions'!J468+"n/&gt;!\6"</f>
        <v>#VALUE!</v>
      </c>
      <c r="FJ19" t="e">
        <f>'All regions'!A469+"n/&gt;!\7"</f>
        <v>#VALUE!</v>
      </c>
      <c r="FK19" t="e">
        <f>'All regions'!B469+"n/&gt;!\8"</f>
        <v>#VALUE!</v>
      </c>
      <c r="FL19" t="e">
        <f>'All regions'!C469+"n/&gt;!\9"</f>
        <v>#VALUE!</v>
      </c>
      <c r="FM19" t="e">
        <f>'All regions'!D469+"n/&gt;!\:"</f>
        <v>#VALUE!</v>
      </c>
      <c r="FN19" t="e">
        <f>'All regions'!E469+"n/&gt;!\;"</f>
        <v>#VALUE!</v>
      </c>
      <c r="FO19" t="e">
        <f>'All regions'!F469+"n/&gt;!\&lt;"</f>
        <v>#VALUE!</v>
      </c>
      <c r="FP19" t="e">
        <f>'All regions'!G469+"n/&gt;!\="</f>
        <v>#VALUE!</v>
      </c>
      <c r="FQ19" t="e">
        <f>'All regions'!H469+"n/&gt;!\&gt;"</f>
        <v>#VALUE!</v>
      </c>
      <c r="FR19" t="e">
        <f>'All regions'!I469+"n/&gt;!\?"</f>
        <v>#VALUE!</v>
      </c>
      <c r="FS19" t="e">
        <f>'All regions'!J469+"n/&gt;!\@"</f>
        <v>#VALUE!</v>
      </c>
      <c r="FT19" t="e">
        <f>'All regions'!A470+"n/&gt;!\A"</f>
        <v>#VALUE!</v>
      </c>
      <c r="FU19" t="e">
        <f>'All regions'!B470+"n/&gt;!\B"</f>
        <v>#VALUE!</v>
      </c>
      <c r="FV19" t="e">
        <f>'All regions'!C470+"n/&gt;!\C"</f>
        <v>#VALUE!</v>
      </c>
      <c r="FW19" t="e">
        <f>'All regions'!D470+"n/&gt;!\D"</f>
        <v>#VALUE!</v>
      </c>
      <c r="FX19" t="e">
        <f>'All regions'!E470+"n/&gt;!\E"</f>
        <v>#VALUE!</v>
      </c>
      <c r="FY19" t="e">
        <f>'All regions'!F470+"n/&gt;!\F"</f>
        <v>#VALUE!</v>
      </c>
      <c r="FZ19" t="e">
        <f>'All regions'!G470+"n/&gt;!\G"</f>
        <v>#VALUE!</v>
      </c>
      <c r="GA19" t="e">
        <f>'All regions'!H470+"n/&gt;!\H"</f>
        <v>#VALUE!</v>
      </c>
      <c r="GB19" t="e">
        <f>'All regions'!I470+"n/&gt;!\I"</f>
        <v>#VALUE!</v>
      </c>
      <c r="GC19" t="e">
        <f>'All regions'!J470+"n/&gt;!\J"</f>
        <v>#VALUE!</v>
      </c>
      <c r="GD19" t="e">
        <f>'All regions'!A471+"n/&gt;!\K"</f>
        <v>#VALUE!</v>
      </c>
      <c r="GE19" t="e">
        <f>'All regions'!B471+"n/&gt;!\L"</f>
        <v>#VALUE!</v>
      </c>
      <c r="GF19" t="e">
        <f>'All regions'!C471+"n/&gt;!\M"</f>
        <v>#VALUE!</v>
      </c>
      <c r="GG19" t="e">
        <f>'All regions'!D471+"n/&gt;!\N"</f>
        <v>#VALUE!</v>
      </c>
      <c r="GH19" t="e">
        <f>'All regions'!E471+"n/&gt;!\O"</f>
        <v>#VALUE!</v>
      </c>
      <c r="GI19" t="e">
        <f>'All regions'!F471+"n/&gt;!\P"</f>
        <v>#VALUE!</v>
      </c>
      <c r="GJ19" t="e">
        <f>'All regions'!G471+"n/&gt;!\Q"</f>
        <v>#VALUE!</v>
      </c>
      <c r="GK19" t="e">
        <f>'All regions'!H471+"n/&gt;!\R"</f>
        <v>#VALUE!</v>
      </c>
      <c r="GL19" t="e">
        <f>'All regions'!I471+"n/&gt;!\S"</f>
        <v>#VALUE!</v>
      </c>
      <c r="GM19" t="e">
        <f>'All regions'!J471+"n/&gt;!\T"</f>
        <v>#VALUE!</v>
      </c>
      <c r="GN19" t="e">
        <f>'All regions'!A472+"n/&gt;!\U"</f>
        <v>#VALUE!</v>
      </c>
      <c r="GO19" t="e">
        <f>'All regions'!B472+"n/&gt;!\V"</f>
        <v>#VALUE!</v>
      </c>
      <c r="GP19" t="e">
        <f>'All regions'!C472+"n/&gt;!\W"</f>
        <v>#VALUE!</v>
      </c>
      <c r="GQ19" t="e">
        <f>'All regions'!D472+"n/&gt;!\X"</f>
        <v>#VALUE!</v>
      </c>
      <c r="GR19" t="e">
        <f>'All regions'!E472+"n/&gt;!\Y"</f>
        <v>#VALUE!</v>
      </c>
      <c r="GS19" t="e">
        <f>'All regions'!F472+"n/&gt;!\Z"</f>
        <v>#VALUE!</v>
      </c>
      <c r="GT19" t="e">
        <f>'All regions'!G472+"n/&gt;!\["</f>
        <v>#VALUE!</v>
      </c>
      <c r="GU19" t="e">
        <f>'All regions'!H472+"n/&gt;!\\"</f>
        <v>#VALUE!</v>
      </c>
      <c r="GV19" t="e">
        <f>'All regions'!I472+"n/&gt;!\]"</f>
        <v>#VALUE!</v>
      </c>
      <c r="GW19" t="e">
        <f>'All regions'!J472+"n/&gt;!\^"</f>
        <v>#VALUE!</v>
      </c>
      <c r="GX19" t="e">
        <f>'All regions'!A473+"n/&gt;!\_"</f>
        <v>#VALUE!</v>
      </c>
      <c r="GY19" t="e">
        <f>'All regions'!B473+"n/&gt;!\`"</f>
        <v>#VALUE!</v>
      </c>
      <c r="GZ19" t="e">
        <f>'All regions'!C473+"n/&gt;!\a"</f>
        <v>#VALUE!</v>
      </c>
      <c r="HA19" t="e">
        <f>'All regions'!D473+"n/&gt;!\b"</f>
        <v>#VALUE!</v>
      </c>
      <c r="HB19" t="e">
        <f>'All regions'!E473+"n/&gt;!\c"</f>
        <v>#VALUE!</v>
      </c>
      <c r="HC19" t="e">
        <f>'All regions'!F473+"n/&gt;!\d"</f>
        <v>#VALUE!</v>
      </c>
      <c r="HD19" t="e">
        <f>'All regions'!G473+"n/&gt;!\e"</f>
        <v>#VALUE!</v>
      </c>
      <c r="HE19" t="e">
        <f>'All regions'!H473+"n/&gt;!\f"</f>
        <v>#VALUE!</v>
      </c>
      <c r="HF19" t="e">
        <f>'All regions'!I473+"n/&gt;!\g"</f>
        <v>#VALUE!</v>
      </c>
      <c r="HG19" t="e">
        <f>'All regions'!J473+"n/&gt;!\h"</f>
        <v>#VALUE!</v>
      </c>
      <c r="HH19" t="e">
        <f>'All regions'!A474+"n/&gt;!\i"</f>
        <v>#VALUE!</v>
      </c>
      <c r="HI19" t="e">
        <f>'All regions'!B474+"n/&gt;!\j"</f>
        <v>#VALUE!</v>
      </c>
      <c r="HJ19" t="e">
        <f>'All regions'!C474+"n/&gt;!\k"</f>
        <v>#VALUE!</v>
      </c>
      <c r="HK19" t="e">
        <f>'All regions'!D474+"n/&gt;!\l"</f>
        <v>#VALUE!</v>
      </c>
      <c r="HL19" t="e">
        <f>'All regions'!E474+"n/&gt;!\m"</f>
        <v>#VALUE!</v>
      </c>
      <c r="HM19" t="e">
        <f>'All regions'!F474+"n/&gt;!\n"</f>
        <v>#VALUE!</v>
      </c>
      <c r="HN19" t="e">
        <f>'All regions'!G474+"n/&gt;!\o"</f>
        <v>#VALUE!</v>
      </c>
      <c r="HO19" t="e">
        <f>'All regions'!H474+"n/&gt;!\p"</f>
        <v>#VALUE!</v>
      </c>
      <c r="HP19" t="e">
        <f>'All regions'!I474+"n/&gt;!\q"</f>
        <v>#VALUE!</v>
      </c>
      <c r="HQ19" t="e">
        <f>'All regions'!J474+"n/&gt;!\r"</f>
        <v>#VALUE!</v>
      </c>
      <c r="HR19" t="e">
        <f>'All regions'!A475+"n/&gt;!\s"</f>
        <v>#VALUE!</v>
      </c>
      <c r="HS19" t="e">
        <f>'All regions'!B475+"n/&gt;!\t"</f>
        <v>#VALUE!</v>
      </c>
      <c r="HT19" t="e">
        <f>'All regions'!C475+"n/&gt;!\u"</f>
        <v>#VALUE!</v>
      </c>
      <c r="HU19" t="e">
        <f>'All regions'!D475+"n/&gt;!\v"</f>
        <v>#VALUE!</v>
      </c>
      <c r="HV19" t="e">
        <f>'All regions'!E475+"n/&gt;!\w"</f>
        <v>#VALUE!</v>
      </c>
      <c r="HW19" t="e">
        <f>'All regions'!F475+"n/&gt;!\x"</f>
        <v>#VALUE!</v>
      </c>
      <c r="HX19" t="e">
        <f>'All regions'!G475+"n/&gt;!\y"</f>
        <v>#VALUE!</v>
      </c>
      <c r="HY19" t="e">
        <f>'All regions'!H475+"n/&gt;!\z"</f>
        <v>#VALUE!</v>
      </c>
      <c r="HZ19" t="e">
        <f>'All regions'!I475+"n/&gt;!\{"</f>
        <v>#VALUE!</v>
      </c>
      <c r="IA19" t="e">
        <f>'All regions'!J475+"n/&gt;!\|"</f>
        <v>#VALUE!</v>
      </c>
      <c r="IB19" t="e">
        <f>'All regions'!A476+"n/&gt;!\}"</f>
        <v>#VALUE!</v>
      </c>
      <c r="IC19" t="e">
        <f>'All regions'!B476+"n/&gt;!\~"</f>
        <v>#VALUE!</v>
      </c>
      <c r="ID19" t="e">
        <f>'All regions'!C476+"n/&gt;!]#"</f>
        <v>#VALUE!</v>
      </c>
      <c r="IE19" t="e">
        <f>'All regions'!D476+"n/&gt;!]$"</f>
        <v>#VALUE!</v>
      </c>
      <c r="IF19" t="e">
        <f>'All regions'!E476+"n/&gt;!]%"</f>
        <v>#VALUE!</v>
      </c>
      <c r="IG19" t="e">
        <f>'All regions'!F476+"n/&gt;!]&amp;"</f>
        <v>#VALUE!</v>
      </c>
      <c r="IH19" t="e">
        <f>'All regions'!G476+"n/&gt;!]'"</f>
        <v>#VALUE!</v>
      </c>
      <c r="II19" t="e">
        <f>'All regions'!H476+"n/&gt;!]("</f>
        <v>#VALUE!</v>
      </c>
      <c r="IJ19" t="e">
        <f>'All regions'!I476+"n/&gt;!])"</f>
        <v>#VALUE!</v>
      </c>
      <c r="IK19" t="e">
        <f>'All regions'!J476+"n/&gt;!]."</f>
        <v>#VALUE!</v>
      </c>
      <c r="IL19" t="e">
        <f>'All regions'!A477+"n/&gt;!]/"</f>
        <v>#VALUE!</v>
      </c>
      <c r="IM19" t="e">
        <f>'All regions'!B477+"n/&gt;!]0"</f>
        <v>#VALUE!</v>
      </c>
      <c r="IN19" t="e">
        <f>'All regions'!C477+"n/&gt;!]1"</f>
        <v>#VALUE!</v>
      </c>
      <c r="IO19" t="e">
        <f>'All regions'!D477+"n/&gt;!]2"</f>
        <v>#VALUE!</v>
      </c>
      <c r="IP19" t="e">
        <f>'All regions'!E477+"n/&gt;!]3"</f>
        <v>#VALUE!</v>
      </c>
      <c r="IQ19" t="e">
        <f>'All regions'!F477+"n/&gt;!]4"</f>
        <v>#VALUE!</v>
      </c>
      <c r="IR19" t="e">
        <f>'All regions'!G477+"n/&gt;!]5"</f>
        <v>#VALUE!</v>
      </c>
      <c r="IS19" t="e">
        <f>'All regions'!H477+"n/&gt;!]6"</f>
        <v>#VALUE!</v>
      </c>
      <c r="IT19" t="e">
        <f>'All regions'!I477+"n/&gt;!]7"</f>
        <v>#VALUE!</v>
      </c>
      <c r="IU19" t="e">
        <f>'All regions'!J477+"n/&gt;!]8"</f>
        <v>#VALUE!</v>
      </c>
      <c r="IV19" t="e">
        <f>'All regions'!A478+"n/&gt;!]9"</f>
        <v>#VALUE!</v>
      </c>
    </row>
    <row r="20" spans="6:256" x14ac:dyDescent="0.35">
      <c r="F20" t="e">
        <f>'All regions'!B478+"n/&gt;!]:"</f>
        <v>#VALUE!</v>
      </c>
      <c r="G20" t="e">
        <f>'All regions'!C478+"n/&gt;!];"</f>
        <v>#VALUE!</v>
      </c>
      <c r="H20" t="e">
        <f>'All regions'!D478+"n/&gt;!]&lt;"</f>
        <v>#VALUE!</v>
      </c>
      <c r="I20" t="e">
        <f>'All regions'!E478+"n/&gt;!]="</f>
        <v>#VALUE!</v>
      </c>
      <c r="J20" t="e">
        <f>'All regions'!F478+"n/&gt;!]&gt;"</f>
        <v>#VALUE!</v>
      </c>
      <c r="K20" t="e">
        <f>'All regions'!G478+"n/&gt;!]?"</f>
        <v>#VALUE!</v>
      </c>
      <c r="L20" t="e">
        <f>'All regions'!H478+"n/&gt;!]@"</f>
        <v>#VALUE!</v>
      </c>
      <c r="M20" t="e">
        <f>'All regions'!I478+"n/&gt;!]A"</f>
        <v>#VALUE!</v>
      </c>
      <c r="N20" t="e">
        <f>'All regions'!J478+"n/&gt;!]B"</f>
        <v>#VALUE!</v>
      </c>
      <c r="O20" t="e">
        <f>'All regions'!A479+"n/&gt;!]C"</f>
        <v>#VALUE!</v>
      </c>
      <c r="P20" t="e">
        <f>'All regions'!B479+"n/&gt;!]D"</f>
        <v>#VALUE!</v>
      </c>
      <c r="Q20" t="e">
        <f>'All regions'!C479+"n/&gt;!]E"</f>
        <v>#VALUE!</v>
      </c>
      <c r="R20" t="e">
        <f>'All regions'!D479+"n/&gt;!]F"</f>
        <v>#VALUE!</v>
      </c>
      <c r="S20" t="e">
        <f>'All regions'!E479+"n/&gt;!]G"</f>
        <v>#VALUE!</v>
      </c>
      <c r="T20" t="e">
        <f>'All regions'!F479+"n/&gt;!]H"</f>
        <v>#VALUE!</v>
      </c>
      <c r="U20" t="e">
        <f>'All regions'!G479+"n/&gt;!]I"</f>
        <v>#VALUE!</v>
      </c>
      <c r="V20" t="e">
        <f>'All regions'!H479+"n/&gt;!]J"</f>
        <v>#VALUE!</v>
      </c>
      <c r="W20" t="e">
        <f>'All regions'!I479+"n/&gt;!]K"</f>
        <v>#VALUE!</v>
      </c>
      <c r="X20" t="e">
        <f>'All regions'!J479+"n/&gt;!]L"</f>
        <v>#VALUE!</v>
      </c>
      <c r="Y20" t="e">
        <f>'All regions'!A480+"n/&gt;!]M"</f>
        <v>#VALUE!</v>
      </c>
      <c r="Z20" t="e">
        <f>'All regions'!B480+"n/&gt;!]N"</f>
        <v>#VALUE!</v>
      </c>
      <c r="AA20" t="e">
        <f>'All regions'!C480+"n/&gt;!]O"</f>
        <v>#VALUE!</v>
      </c>
      <c r="AB20" t="e">
        <f>'All regions'!D480+"n/&gt;!]P"</f>
        <v>#VALUE!</v>
      </c>
      <c r="AC20" t="e">
        <f>'All regions'!E480+"n/&gt;!]Q"</f>
        <v>#VALUE!</v>
      </c>
      <c r="AD20" t="e">
        <f>'All regions'!F480+"n/&gt;!]R"</f>
        <v>#VALUE!</v>
      </c>
      <c r="AE20" t="e">
        <f>'All regions'!G480+"n/&gt;!]S"</f>
        <v>#VALUE!</v>
      </c>
      <c r="AF20" t="e">
        <f>'All regions'!H480+"n/&gt;!]T"</f>
        <v>#VALUE!</v>
      </c>
      <c r="AG20" t="e">
        <f>'All regions'!I480+"n/&gt;!]U"</f>
        <v>#VALUE!</v>
      </c>
      <c r="AH20" t="e">
        <f>'All regions'!J480+"n/&gt;!]V"</f>
        <v>#VALUE!</v>
      </c>
      <c r="AI20" t="e">
        <f>'All regions'!A481+"n/&gt;!]W"</f>
        <v>#VALUE!</v>
      </c>
      <c r="AJ20" t="e">
        <f>'All regions'!B481+"n/&gt;!]X"</f>
        <v>#VALUE!</v>
      </c>
      <c r="AK20" t="e">
        <f>'All regions'!C481+"n/&gt;!]Y"</f>
        <v>#VALUE!</v>
      </c>
      <c r="AL20" t="e">
        <f>'All regions'!D481+"n/&gt;!]Z"</f>
        <v>#VALUE!</v>
      </c>
      <c r="AM20" t="e">
        <f>'All regions'!E481+"n/&gt;!]["</f>
        <v>#VALUE!</v>
      </c>
      <c r="AN20" t="e">
        <f>'All regions'!F481+"n/&gt;!]\"</f>
        <v>#VALUE!</v>
      </c>
      <c r="AO20" t="e">
        <f>'All regions'!G481+"n/&gt;!]]"</f>
        <v>#VALUE!</v>
      </c>
      <c r="AP20" t="e">
        <f>'All regions'!H481+"n/&gt;!]^"</f>
        <v>#VALUE!</v>
      </c>
      <c r="AQ20" t="e">
        <f>'All regions'!I481+"n/&gt;!]_"</f>
        <v>#VALUE!</v>
      </c>
      <c r="AR20" t="e">
        <f>'All regions'!J481+"n/&gt;!]`"</f>
        <v>#VALUE!</v>
      </c>
      <c r="AS20" t="e">
        <f>'All regions'!A482+"n/&gt;!]a"</f>
        <v>#VALUE!</v>
      </c>
      <c r="AT20" t="e">
        <f>'All regions'!B482+"n/&gt;!]b"</f>
        <v>#VALUE!</v>
      </c>
      <c r="AU20" t="e">
        <f>'All regions'!C482+"n/&gt;!]c"</f>
        <v>#VALUE!</v>
      </c>
      <c r="AV20" t="e">
        <f>'All regions'!D482+"n/&gt;!]d"</f>
        <v>#VALUE!</v>
      </c>
      <c r="AW20" t="e">
        <f>'All regions'!E482+"n/&gt;!]e"</f>
        <v>#VALUE!</v>
      </c>
      <c r="AX20" t="e">
        <f>'All regions'!F482+"n/&gt;!]f"</f>
        <v>#VALUE!</v>
      </c>
      <c r="AY20" t="e">
        <f>'All regions'!G482+"n/&gt;!]g"</f>
        <v>#VALUE!</v>
      </c>
      <c r="AZ20" t="e">
        <f>'All regions'!H482+"n/&gt;!]h"</f>
        <v>#VALUE!</v>
      </c>
      <c r="BA20" t="e">
        <f>'All regions'!I482+"n/&gt;!]i"</f>
        <v>#VALUE!</v>
      </c>
      <c r="BB20" t="e">
        <f>'All regions'!J482+"n/&gt;!]j"</f>
        <v>#VALUE!</v>
      </c>
      <c r="BC20" t="e">
        <f>'All regions'!A483+"n/&gt;!]k"</f>
        <v>#VALUE!</v>
      </c>
      <c r="BD20" t="e">
        <f>'All regions'!B483+"n/&gt;!]l"</f>
        <v>#VALUE!</v>
      </c>
      <c r="BE20" t="e">
        <f>'All regions'!C483+"n/&gt;!]m"</f>
        <v>#VALUE!</v>
      </c>
      <c r="BF20" t="e">
        <f>'All regions'!D483+"n/&gt;!]n"</f>
        <v>#VALUE!</v>
      </c>
      <c r="BG20" t="e">
        <f>'All regions'!E483+"n/&gt;!]o"</f>
        <v>#VALUE!</v>
      </c>
      <c r="BH20" t="e">
        <f>'All regions'!F483+"n/&gt;!]p"</f>
        <v>#VALUE!</v>
      </c>
      <c r="BI20" t="e">
        <f>'All regions'!G483+"n/&gt;!]q"</f>
        <v>#VALUE!</v>
      </c>
      <c r="BJ20" t="e">
        <f>'All regions'!H483+"n/&gt;!]r"</f>
        <v>#VALUE!</v>
      </c>
      <c r="BK20" t="e">
        <f>'All regions'!I483+"n/&gt;!]s"</f>
        <v>#VALUE!</v>
      </c>
      <c r="BL20" t="e">
        <f>'All regions'!J483+"n/&gt;!]t"</f>
        <v>#VALUE!</v>
      </c>
      <c r="BM20" t="e">
        <f>'All regions'!A484+"n/&gt;!]u"</f>
        <v>#VALUE!</v>
      </c>
      <c r="BN20" t="e">
        <f>'All regions'!B484+"n/&gt;!]v"</f>
        <v>#VALUE!</v>
      </c>
      <c r="BO20" t="e">
        <f>'All regions'!C484+"n/&gt;!]w"</f>
        <v>#VALUE!</v>
      </c>
      <c r="BP20" t="e">
        <f>'All regions'!D484+"n/&gt;!]x"</f>
        <v>#VALUE!</v>
      </c>
      <c r="BQ20" t="e">
        <f>'All regions'!E484+"n/&gt;!]y"</f>
        <v>#VALUE!</v>
      </c>
      <c r="BR20" t="e">
        <f>'All regions'!F484+"n/&gt;!]z"</f>
        <v>#VALUE!</v>
      </c>
      <c r="BS20" t="e">
        <f>'All regions'!G484+"n/&gt;!]{"</f>
        <v>#VALUE!</v>
      </c>
      <c r="BT20" t="e">
        <f>'All regions'!H484+"n/&gt;!]|"</f>
        <v>#VALUE!</v>
      </c>
      <c r="BU20" t="e">
        <f>'All regions'!I484+"n/&gt;!]}"</f>
        <v>#VALUE!</v>
      </c>
      <c r="BV20" t="e">
        <f>'All regions'!J484+"n/&gt;!]~"</f>
        <v>#VALUE!</v>
      </c>
      <c r="BW20" t="e">
        <f>'All regions'!A485+"n/&gt;!^#"</f>
        <v>#VALUE!</v>
      </c>
      <c r="BX20" t="e">
        <f>'All regions'!B485+"n/&gt;!^$"</f>
        <v>#VALUE!</v>
      </c>
      <c r="BY20" t="e">
        <f>'All regions'!C485+"n/&gt;!^%"</f>
        <v>#VALUE!</v>
      </c>
      <c r="BZ20" t="e">
        <f>'All regions'!D485+"n/&gt;!^&amp;"</f>
        <v>#VALUE!</v>
      </c>
      <c r="CA20" t="e">
        <f>'All regions'!E485+"n/&gt;!^'"</f>
        <v>#VALUE!</v>
      </c>
      <c r="CB20" t="e">
        <f>'All regions'!F485+"n/&gt;!^("</f>
        <v>#VALUE!</v>
      </c>
      <c r="CC20" t="e">
        <f>'All regions'!G485+"n/&gt;!^)"</f>
        <v>#VALUE!</v>
      </c>
      <c r="CD20" t="e">
        <f>'All regions'!H485+"n/&gt;!^."</f>
        <v>#VALUE!</v>
      </c>
      <c r="CE20" t="e">
        <f>'All regions'!I485+"n/&gt;!^/"</f>
        <v>#VALUE!</v>
      </c>
      <c r="CF20" t="e">
        <f>'All regions'!J485+"n/&gt;!^0"</f>
        <v>#VALUE!</v>
      </c>
      <c r="CG20" t="e">
        <f>'All regions'!A486+"n/&gt;!^1"</f>
        <v>#VALUE!</v>
      </c>
      <c r="CH20" t="e">
        <f>'All regions'!B486+"n/&gt;!^2"</f>
        <v>#VALUE!</v>
      </c>
      <c r="CI20" t="e">
        <f>'All regions'!C486+"n/&gt;!^3"</f>
        <v>#VALUE!</v>
      </c>
      <c r="CJ20" t="e">
        <f>'All regions'!D486+"n/&gt;!^4"</f>
        <v>#VALUE!</v>
      </c>
      <c r="CK20" t="e">
        <f>'All regions'!E486+"n/&gt;!^5"</f>
        <v>#VALUE!</v>
      </c>
      <c r="CL20" t="e">
        <f>'All regions'!F486+"n/&gt;!^6"</f>
        <v>#VALUE!</v>
      </c>
      <c r="CM20" t="e">
        <f>'All regions'!G486+"n/&gt;!^7"</f>
        <v>#VALUE!</v>
      </c>
      <c r="CN20" t="e">
        <f>'All regions'!H486+"n/&gt;!^8"</f>
        <v>#VALUE!</v>
      </c>
      <c r="CO20" t="e">
        <f>'All regions'!I486+"n/&gt;!^9"</f>
        <v>#VALUE!</v>
      </c>
      <c r="CP20" t="e">
        <f>'All regions'!J486+"n/&gt;!^:"</f>
        <v>#VALUE!</v>
      </c>
      <c r="CQ20" t="e">
        <f>'All regions'!A487+"n/&gt;!^;"</f>
        <v>#VALUE!</v>
      </c>
      <c r="CR20" t="e">
        <f>'All regions'!B487+"n/&gt;!^&lt;"</f>
        <v>#VALUE!</v>
      </c>
      <c r="CS20" t="e">
        <f>'All regions'!C487+"n/&gt;!^="</f>
        <v>#VALUE!</v>
      </c>
      <c r="CT20" t="e">
        <f>'All regions'!D487+"n/&gt;!^&gt;"</f>
        <v>#VALUE!</v>
      </c>
      <c r="CU20" t="e">
        <f>'All regions'!E487+"n/&gt;!^?"</f>
        <v>#VALUE!</v>
      </c>
      <c r="CV20" t="e">
        <f>'All regions'!F487+"n/&gt;!^@"</f>
        <v>#VALUE!</v>
      </c>
      <c r="CW20" t="e">
        <f>'All regions'!G487+"n/&gt;!^A"</f>
        <v>#VALUE!</v>
      </c>
      <c r="CX20" t="e">
        <f>'All regions'!H487+"n/&gt;!^B"</f>
        <v>#VALUE!</v>
      </c>
      <c r="CY20" t="e">
        <f>'All regions'!I487+"n/&gt;!^C"</f>
        <v>#VALUE!</v>
      </c>
      <c r="CZ20" t="e">
        <f>'All regions'!J487+"n/&gt;!^D"</f>
        <v>#VALUE!</v>
      </c>
      <c r="DA20" t="e">
        <f>'All regions'!A488+"n/&gt;!^E"</f>
        <v>#VALUE!</v>
      </c>
      <c r="DB20" t="e">
        <f>'All regions'!B488+"n/&gt;!^F"</f>
        <v>#VALUE!</v>
      </c>
      <c r="DC20" t="e">
        <f>'All regions'!C488+"n/&gt;!^G"</f>
        <v>#VALUE!</v>
      </c>
      <c r="DD20" t="e">
        <f>'All regions'!D488+"n/&gt;!^H"</f>
        <v>#VALUE!</v>
      </c>
      <c r="DE20" t="e">
        <f>'All regions'!E488+"n/&gt;!^I"</f>
        <v>#VALUE!</v>
      </c>
      <c r="DF20" t="e">
        <f>'All regions'!F488+"n/&gt;!^J"</f>
        <v>#VALUE!</v>
      </c>
      <c r="DG20" t="e">
        <f>'All regions'!G488+"n/&gt;!^K"</f>
        <v>#VALUE!</v>
      </c>
      <c r="DH20" t="e">
        <f>'All regions'!H488+"n/&gt;!^L"</f>
        <v>#VALUE!</v>
      </c>
      <c r="DI20" t="e">
        <f>'All regions'!I488+"n/&gt;!^M"</f>
        <v>#VALUE!</v>
      </c>
      <c r="DJ20" t="e">
        <f>'All regions'!J488+"n/&gt;!^N"</f>
        <v>#VALUE!</v>
      </c>
      <c r="DK20" t="e">
        <f>'All regions'!A489+"n/&gt;!^O"</f>
        <v>#VALUE!</v>
      </c>
      <c r="DL20" t="e">
        <f>'All regions'!B489+"n/&gt;!^P"</f>
        <v>#VALUE!</v>
      </c>
      <c r="DM20" t="e">
        <f>'All regions'!C489+"n/&gt;!^Q"</f>
        <v>#VALUE!</v>
      </c>
      <c r="DN20" t="e">
        <f>'All regions'!D489+"n/&gt;!^R"</f>
        <v>#VALUE!</v>
      </c>
      <c r="DO20" t="e">
        <f>'All regions'!E489+"n/&gt;!^S"</f>
        <v>#VALUE!</v>
      </c>
      <c r="DP20" t="e">
        <f>'All regions'!F489+"n/&gt;!^T"</f>
        <v>#VALUE!</v>
      </c>
      <c r="DQ20" t="e">
        <f>'All regions'!G489+"n/&gt;!^U"</f>
        <v>#VALUE!</v>
      </c>
      <c r="DR20" t="e">
        <f>'All regions'!H489+"n/&gt;!^V"</f>
        <v>#VALUE!</v>
      </c>
      <c r="DS20" t="e">
        <f>'All regions'!I489+"n/&gt;!^W"</f>
        <v>#VALUE!</v>
      </c>
      <c r="DT20" t="e">
        <f>'All regions'!J489+"n/&gt;!^X"</f>
        <v>#VALUE!</v>
      </c>
      <c r="DU20" t="e">
        <f>'All regions'!A490+"n/&gt;!^Y"</f>
        <v>#VALUE!</v>
      </c>
      <c r="DV20" t="e">
        <f>'All regions'!B490+"n/&gt;!^Z"</f>
        <v>#VALUE!</v>
      </c>
      <c r="DW20" t="e">
        <f>'All regions'!C490+"n/&gt;!^["</f>
        <v>#VALUE!</v>
      </c>
      <c r="DX20" t="e">
        <f>'All regions'!D490+"n/&gt;!^\"</f>
        <v>#VALUE!</v>
      </c>
      <c r="DY20" t="e">
        <f>'All regions'!E490+"n/&gt;!^]"</f>
        <v>#VALUE!</v>
      </c>
      <c r="DZ20" t="e">
        <f>'All regions'!F490+"n/&gt;!^^"</f>
        <v>#VALUE!</v>
      </c>
      <c r="EA20" t="e">
        <f>'All regions'!G490+"n/&gt;!^_"</f>
        <v>#VALUE!</v>
      </c>
      <c r="EB20" t="e">
        <f>'All regions'!H490+"n/&gt;!^`"</f>
        <v>#VALUE!</v>
      </c>
      <c r="EC20" t="e">
        <f>'All regions'!I490+"n/&gt;!^a"</f>
        <v>#VALUE!</v>
      </c>
      <c r="ED20" t="e">
        <f>'All regions'!J490+"n/&gt;!^b"</f>
        <v>#VALUE!</v>
      </c>
      <c r="EE20" t="e">
        <f>'All regions'!A491+"n/&gt;!^c"</f>
        <v>#VALUE!</v>
      </c>
      <c r="EF20" t="e">
        <f>'All regions'!B491+"n/&gt;!^d"</f>
        <v>#VALUE!</v>
      </c>
      <c r="EG20" t="e">
        <f>'All regions'!C491+"n/&gt;!^e"</f>
        <v>#VALUE!</v>
      </c>
      <c r="EH20" t="e">
        <f>'All regions'!D491+"n/&gt;!^f"</f>
        <v>#VALUE!</v>
      </c>
      <c r="EI20" t="e">
        <f>'All regions'!E491+"n/&gt;!^g"</f>
        <v>#VALUE!</v>
      </c>
      <c r="EJ20" t="e">
        <f>'All regions'!F491+"n/&gt;!^h"</f>
        <v>#VALUE!</v>
      </c>
      <c r="EK20" t="e">
        <f>'All regions'!G491+"n/&gt;!^i"</f>
        <v>#VALUE!</v>
      </c>
      <c r="EL20" t="e">
        <f>'All regions'!H491+"n/&gt;!^j"</f>
        <v>#VALUE!</v>
      </c>
      <c r="EM20" t="e">
        <f>'All regions'!I491+"n/&gt;!^k"</f>
        <v>#VALUE!</v>
      </c>
      <c r="EN20" t="e">
        <f>'All regions'!J491+"n/&gt;!^l"</f>
        <v>#VALUE!</v>
      </c>
      <c r="EO20" t="e">
        <f>'All regions'!A492+"n/&gt;!^m"</f>
        <v>#VALUE!</v>
      </c>
      <c r="EP20" t="e">
        <f>'All regions'!B492+"n/&gt;!^n"</f>
        <v>#VALUE!</v>
      </c>
      <c r="EQ20" t="e">
        <f>'All regions'!C492+"n/&gt;!^o"</f>
        <v>#VALUE!</v>
      </c>
      <c r="ER20" t="e">
        <f>'All regions'!D492+"n/&gt;!^p"</f>
        <v>#VALUE!</v>
      </c>
      <c r="ES20" t="e">
        <f>'All regions'!E492+"n/&gt;!^q"</f>
        <v>#VALUE!</v>
      </c>
      <c r="ET20" t="e">
        <f>'All regions'!F492+"n/&gt;!^r"</f>
        <v>#VALUE!</v>
      </c>
      <c r="EU20" t="e">
        <f>'All regions'!G492+"n/&gt;!^s"</f>
        <v>#VALUE!</v>
      </c>
      <c r="EV20" t="e">
        <f>'All regions'!H492+"n/&gt;!^t"</f>
        <v>#VALUE!</v>
      </c>
      <c r="EW20" t="e">
        <f>'All regions'!I492+"n/&gt;!^u"</f>
        <v>#VALUE!</v>
      </c>
      <c r="EX20" t="e">
        <f>'All regions'!J492+"n/&gt;!^v"</f>
        <v>#VALUE!</v>
      </c>
      <c r="EY20" t="e">
        <f>'All regions'!A493+"n/&gt;!^w"</f>
        <v>#VALUE!</v>
      </c>
      <c r="EZ20" t="e">
        <f>'All regions'!B493+"n/&gt;!^x"</f>
        <v>#VALUE!</v>
      </c>
      <c r="FA20" t="e">
        <f>'All regions'!C493+"n/&gt;!^y"</f>
        <v>#VALUE!</v>
      </c>
      <c r="FB20" t="e">
        <f>'All regions'!D493+"n/&gt;!^z"</f>
        <v>#VALUE!</v>
      </c>
      <c r="FC20" t="e">
        <f>'All regions'!E493+"n/&gt;!^{"</f>
        <v>#VALUE!</v>
      </c>
      <c r="FD20" t="e">
        <f>'All regions'!F493+"n/&gt;!^|"</f>
        <v>#VALUE!</v>
      </c>
      <c r="FE20" t="e">
        <f>'All regions'!G493+"n/&gt;!^}"</f>
        <v>#VALUE!</v>
      </c>
      <c r="FF20" t="e">
        <f>'All regions'!H493+"n/&gt;!^~"</f>
        <v>#VALUE!</v>
      </c>
      <c r="FG20" t="e">
        <f>'All regions'!I493+"n/&gt;!_#"</f>
        <v>#VALUE!</v>
      </c>
      <c r="FH20" t="e">
        <f>'All regions'!J493+"n/&gt;!_$"</f>
        <v>#VALUE!</v>
      </c>
      <c r="FI20" t="e">
        <f>'All regions'!A494+"n/&gt;!_%"</f>
        <v>#VALUE!</v>
      </c>
      <c r="FJ20" t="e">
        <f>'All regions'!B494+"n/&gt;!_&amp;"</f>
        <v>#VALUE!</v>
      </c>
      <c r="FK20" t="e">
        <f>'All regions'!C494+"n/&gt;!_'"</f>
        <v>#VALUE!</v>
      </c>
      <c r="FL20" t="e">
        <f>'All regions'!D494+"n/&gt;!_("</f>
        <v>#VALUE!</v>
      </c>
      <c r="FM20" t="e">
        <f>'All regions'!E494+"n/&gt;!_)"</f>
        <v>#VALUE!</v>
      </c>
      <c r="FN20" t="e">
        <f>'All regions'!F494+"n/&gt;!_."</f>
        <v>#VALUE!</v>
      </c>
      <c r="FO20" t="e">
        <f>'All regions'!G494+"n/&gt;!_/"</f>
        <v>#VALUE!</v>
      </c>
      <c r="FP20" t="e">
        <f>'All regions'!H494+"n/&gt;!_0"</f>
        <v>#VALUE!</v>
      </c>
      <c r="FQ20" t="e">
        <f>'All regions'!I494+"n/&gt;!_1"</f>
        <v>#VALUE!</v>
      </c>
      <c r="FR20" t="e">
        <f>'All regions'!J494+"n/&gt;!_2"</f>
        <v>#VALUE!</v>
      </c>
      <c r="FS20" t="e">
        <f>'All regions'!A495+"n/&gt;!_3"</f>
        <v>#VALUE!</v>
      </c>
      <c r="FT20" t="e">
        <f>'All regions'!B495+"n/&gt;!_4"</f>
        <v>#VALUE!</v>
      </c>
      <c r="FU20" t="e">
        <f>'All regions'!C495+"n/&gt;!_5"</f>
        <v>#VALUE!</v>
      </c>
      <c r="FV20" t="e">
        <f>'All regions'!D495+"n/&gt;!_6"</f>
        <v>#VALUE!</v>
      </c>
      <c r="FW20" t="e">
        <f>'All regions'!E495+"n/&gt;!_7"</f>
        <v>#VALUE!</v>
      </c>
      <c r="FX20" t="e">
        <f>'All regions'!F495+"n/&gt;!_8"</f>
        <v>#VALUE!</v>
      </c>
      <c r="FY20" t="e">
        <f>'All regions'!G495+"n/&gt;!_9"</f>
        <v>#VALUE!</v>
      </c>
      <c r="FZ20" t="e">
        <f>'All regions'!H495+"n/&gt;!_:"</f>
        <v>#VALUE!</v>
      </c>
      <c r="GA20" t="e">
        <f>'All regions'!I495+"n/&gt;!_;"</f>
        <v>#VALUE!</v>
      </c>
      <c r="GB20" t="e">
        <f>'All regions'!J495+"n/&gt;!_&lt;"</f>
        <v>#VALUE!</v>
      </c>
      <c r="GC20" t="e">
        <f>'All regions'!A496+"n/&gt;!_="</f>
        <v>#VALUE!</v>
      </c>
      <c r="GD20" t="e">
        <f>'All regions'!B496+"n/&gt;!_&gt;"</f>
        <v>#VALUE!</v>
      </c>
      <c r="GE20" t="e">
        <f>'All regions'!C496+"n/&gt;!_?"</f>
        <v>#VALUE!</v>
      </c>
      <c r="GF20" t="e">
        <f>'All regions'!D496+"n/&gt;!_@"</f>
        <v>#VALUE!</v>
      </c>
      <c r="GG20" t="e">
        <f>'All regions'!E496+"n/&gt;!_A"</f>
        <v>#VALUE!</v>
      </c>
      <c r="GH20" t="e">
        <f>'All regions'!F496+"n/&gt;!_B"</f>
        <v>#VALUE!</v>
      </c>
      <c r="GI20" t="e">
        <f>'All regions'!G496+"n/&gt;!_C"</f>
        <v>#VALUE!</v>
      </c>
      <c r="GJ20" t="e">
        <f>'All regions'!H496+"n/&gt;!_D"</f>
        <v>#VALUE!</v>
      </c>
      <c r="GK20" t="e">
        <f>'All regions'!I496+"n/&gt;!_E"</f>
        <v>#VALUE!</v>
      </c>
      <c r="GL20" t="e">
        <f>'All regions'!J496+"n/&gt;!_F"</f>
        <v>#VALUE!</v>
      </c>
      <c r="GM20" t="e">
        <f>'All regions'!A497+"n/&gt;!_G"</f>
        <v>#VALUE!</v>
      </c>
      <c r="GN20" t="e">
        <f>'All regions'!B497+"n/&gt;!_H"</f>
        <v>#VALUE!</v>
      </c>
      <c r="GO20" t="e">
        <f>'All regions'!C497+"n/&gt;!_I"</f>
        <v>#VALUE!</v>
      </c>
      <c r="GP20" t="e">
        <f>'All regions'!D497+"n/&gt;!_J"</f>
        <v>#VALUE!</v>
      </c>
      <c r="GQ20" t="e">
        <f>'All regions'!E497+"n/&gt;!_K"</f>
        <v>#VALUE!</v>
      </c>
      <c r="GR20" t="e">
        <f>'All regions'!F497+"n/&gt;!_L"</f>
        <v>#VALUE!</v>
      </c>
      <c r="GS20" t="e">
        <f>'All regions'!G497+"n/&gt;!_M"</f>
        <v>#VALUE!</v>
      </c>
      <c r="GT20" t="e">
        <f>'All regions'!H497+"n/&gt;!_N"</f>
        <v>#VALUE!</v>
      </c>
      <c r="GU20" t="e">
        <f>'All regions'!I497+"n/&gt;!_O"</f>
        <v>#VALUE!</v>
      </c>
      <c r="GV20" t="e">
        <f>'All regions'!J497+"n/&gt;!_P"</f>
        <v>#VALUE!</v>
      </c>
      <c r="GW20" t="e">
        <f>'All regions'!A498+"n/&gt;!_Q"</f>
        <v>#VALUE!</v>
      </c>
      <c r="GX20" t="e">
        <f>'All regions'!B498+"n/&gt;!_R"</f>
        <v>#VALUE!</v>
      </c>
      <c r="GY20" t="e">
        <f>'All regions'!C498+"n/&gt;!_S"</f>
        <v>#VALUE!</v>
      </c>
      <c r="GZ20" t="e">
        <f>'All regions'!D498+"n/&gt;!_T"</f>
        <v>#VALUE!</v>
      </c>
      <c r="HA20" t="e">
        <f>'All regions'!E498+"n/&gt;!_U"</f>
        <v>#VALUE!</v>
      </c>
      <c r="HB20" t="e">
        <f>'All regions'!F498+"n/&gt;!_V"</f>
        <v>#VALUE!</v>
      </c>
      <c r="HC20" t="e">
        <f>'All regions'!G498+"n/&gt;!_W"</f>
        <v>#VALUE!</v>
      </c>
      <c r="HD20" t="e">
        <f>'All regions'!H498+"n/&gt;!_X"</f>
        <v>#VALUE!</v>
      </c>
      <c r="HE20" t="e">
        <f>'All regions'!I498+"n/&gt;!_Y"</f>
        <v>#VALUE!</v>
      </c>
      <c r="HF20" t="e">
        <f>'All regions'!J498+"n/&gt;!_Z"</f>
        <v>#VALUE!</v>
      </c>
      <c r="HG20" t="e">
        <f>'All regions'!A499+"n/&gt;!_["</f>
        <v>#VALUE!</v>
      </c>
      <c r="HH20" t="e">
        <f>'All regions'!B499+"n/&gt;!_\"</f>
        <v>#VALUE!</v>
      </c>
      <c r="HI20" t="e">
        <f>'All regions'!C499+"n/&gt;!_]"</f>
        <v>#VALUE!</v>
      </c>
      <c r="HJ20" t="e">
        <f>'All regions'!D499+"n/&gt;!_^"</f>
        <v>#VALUE!</v>
      </c>
      <c r="HK20" t="e">
        <f>'All regions'!E499+"n/&gt;!__"</f>
        <v>#VALUE!</v>
      </c>
      <c r="HL20" t="e">
        <f>'All regions'!F499+"n/&gt;!_`"</f>
        <v>#VALUE!</v>
      </c>
      <c r="HM20" t="e">
        <f>'All regions'!G499+"n/&gt;!_a"</f>
        <v>#VALUE!</v>
      </c>
      <c r="HN20" t="e">
        <f>'All regions'!H499+"n/&gt;!_b"</f>
        <v>#VALUE!</v>
      </c>
      <c r="HO20" t="e">
        <f>'All regions'!I499+"n/&gt;!_c"</f>
        <v>#VALUE!</v>
      </c>
      <c r="HP20" t="e">
        <f>'All regions'!J499+"n/&gt;!_d"</f>
        <v>#VALUE!</v>
      </c>
      <c r="HQ20" t="e">
        <f>'All regions'!A500+"n/&gt;!_e"</f>
        <v>#VALUE!</v>
      </c>
      <c r="HR20" t="e">
        <f>'All regions'!B500+"n/&gt;!_f"</f>
        <v>#VALUE!</v>
      </c>
      <c r="HS20" t="e">
        <f>'All regions'!C500+"n/&gt;!_g"</f>
        <v>#VALUE!</v>
      </c>
      <c r="HT20" t="e">
        <f>'All regions'!D500+"n/&gt;!_h"</f>
        <v>#VALUE!</v>
      </c>
      <c r="HU20" t="e">
        <f>'All regions'!E500+"n/&gt;!_i"</f>
        <v>#VALUE!</v>
      </c>
      <c r="HV20" t="e">
        <f>'All regions'!F500+"n/&gt;!_j"</f>
        <v>#VALUE!</v>
      </c>
      <c r="HW20" t="e">
        <f>'All regions'!G500+"n/&gt;!_k"</f>
        <v>#VALUE!</v>
      </c>
      <c r="HX20" t="e">
        <f>'All regions'!H500+"n/&gt;!_l"</f>
        <v>#VALUE!</v>
      </c>
      <c r="HY20" t="e">
        <f>'All regions'!I500+"n/&gt;!_m"</f>
        <v>#VALUE!</v>
      </c>
      <c r="HZ20" t="e">
        <f>'All regions'!J500+"n/&gt;!_n"</f>
        <v>#VALUE!</v>
      </c>
      <c r="IA20" t="e">
        <f>'All regions'!A501+"n/&gt;!_o"</f>
        <v>#VALUE!</v>
      </c>
      <c r="IB20" t="e">
        <f>'All regions'!B501+"n/&gt;!_p"</f>
        <v>#VALUE!</v>
      </c>
      <c r="IC20" t="e">
        <f>'All regions'!C501+"n/&gt;!_q"</f>
        <v>#VALUE!</v>
      </c>
      <c r="ID20" t="e">
        <f>'All regions'!D501+"n/&gt;!_r"</f>
        <v>#VALUE!</v>
      </c>
      <c r="IE20" t="e">
        <f>'All regions'!E501+"n/&gt;!_s"</f>
        <v>#VALUE!</v>
      </c>
      <c r="IF20" t="e">
        <f>'All regions'!F501+"n/&gt;!_t"</f>
        <v>#VALUE!</v>
      </c>
      <c r="IG20" t="e">
        <f>'All regions'!G501+"n/&gt;!_u"</f>
        <v>#VALUE!</v>
      </c>
      <c r="IH20" t="e">
        <f>'All regions'!H501+"n/&gt;!_v"</f>
        <v>#VALUE!</v>
      </c>
      <c r="II20" t="e">
        <f>'All regions'!I501+"n/&gt;!_w"</f>
        <v>#VALUE!</v>
      </c>
      <c r="IJ20" t="e">
        <f>'All regions'!J501+"n/&gt;!_x"</f>
        <v>#VALUE!</v>
      </c>
      <c r="IK20" t="e">
        <f>'All regions'!A502+"n/&gt;!_y"</f>
        <v>#VALUE!</v>
      </c>
      <c r="IL20" t="e">
        <f>'All regions'!B502+"n/&gt;!_z"</f>
        <v>#VALUE!</v>
      </c>
      <c r="IM20" t="e">
        <f>'All regions'!C502+"n/&gt;!_{"</f>
        <v>#VALUE!</v>
      </c>
      <c r="IN20" t="e">
        <f>'All regions'!D502+"n/&gt;!_|"</f>
        <v>#VALUE!</v>
      </c>
      <c r="IO20" t="e">
        <f>'All regions'!E502+"n/&gt;!_}"</f>
        <v>#VALUE!</v>
      </c>
      <c r="IP20" t="e">
        <f>'All regions'!F502+"n/&gt;!_~"</f>
        <v>#VALUE!</v>
      </c>
      <c r="IQ20" t="e">
        <f>'All regions'!G502+"n/&gt;!`#"</f>
        <v>#VALUE!</v>
      </c>
      <c r="IR20" t="e">
        <f>'All regions'!H502+"n/&gt;!`$"</f>
        <v>#VALUE!</v>
      </c>
      <c r="IS20" t="e">
        <f>'All regions'!I502+"n/&gt;!`%"</f>
        <v>#VALUE!</v>
      </c>
      <c r="IT20" t="e">
        <f>'All regions'!J502+"n/&gt;!`&amp;"</f>
        <v>#VALUE!</v>
      </c>
      <c r="IU20" t="e">
        <f>'All regions'!A503+"n/&gt;!`'"</f>
        <v>#VALUE!</v>
      </c>
      <c r="IV20" t="e">
        <f>'All regions'!B503+"n/&gt;!`("</f>
        <v>#VALUE!</v>
      </c>
    </row>
    <row r="21" spans="6:256" x14ac:dyDescent="0.35">
      <c r="F21" t="e">
        <f>'All regions'!C503+"n/&gt;!`)"</f>
        <v>#VALUE!</v>
      </c>
      <c r="G21" t="e">
        <f>'All regions'!D503+"n/&gt;!`."</f>
        <v>#VALUE!</v>
      </c>
      <c r="H21" t="e">
        <f>'All regions'!E503+"n/&gt;!`/"</f>
        <v>#VALUE!</v>
      </c>
      <c r="I21" t="e">
        <f>'All regions'!F503+"n/&gt;!`0"</f>
        <v>#VALUE!</v>
      </c>
      <c r="J21" t="e">
        <f>'All regions'!G503+"n/&gt;!`1"</f>
        <v>#VALUE!</v>
      </c>
      <c r="K21" t="e">
        <f>'All regions'!H503+"n/&gt;!`2"</f>
        <v>#VALUE!</v>
      </c>
      <c r="L21" t="e">
        <f>'All regions'!I503+"n/&gt;!`3"</f>
        <v>#VALUE!</v>
      </c>
      <c r="M21" t="e">
        <f>'All regions'!J503+"n/&gt;!`4"</f>
        <v>#VALUE!</v>
      </c>
      <c r="N21" t="e">
        <f>'All regions'!A504+"n/&gt;!`5"</f>
        <v>#VALUE!</v>
      </c>
      <c r="O21" t="e">
        <f>'All regions'!B504+"n/&gt;!`6"</f>
        <v>#VALUE!</v>
      </c>
      <c r="P21" t="e">
        <f>'All regions'!C504+"n/&gt;!`7"</f>
        <v>#VALUE!</v>
      </c>
      <c r="Q21" t="e">
        <f>'All regions'!D504+"n/&gt;!`8"</f>
        <v>#VALUE!</v>
      </c>
      <c r="R21" t="e">
        <f>'All regions'!E504+"n/&gt;!`9"</f>
        <v>#VALUE!</v>
      </c>
      <c r="S21" t="e">
        <f>'All regions'!F504+"n/&gt;!`:"</f>
        <v>#VALUE!</v>
      </c>
      <c r="T21" t="e">
        <f>'All regions'!G504+"n/&gt;!`;"</f>
        <v>#VALUE!</v>
      </c>
      <c r="U21" t="e">
        <f>'All regions'!H504+"n/&gt;!`&lt;"</f>
        <v>#VALUE!</v>
      </c>
      <c r="V21" t="e">
        <f>'All regions'!I504+"n/&gt;!`="</f>
        <v>#VALUE!</v>
      </c>
      <c r="W21" t="e">
        <f>'All regions'!J504+"n/&gt;!`&gt;"</f>
        <v>#VALUE!</v>
      </c>
      <c r="X21" t="e">
        <f>'All regions'!A505+"n/&gt;!`?"</f>
        <v>#VALUE!</v>
      </c>
      <c r="Y21" t="e">
        <f>'All regions'!B505+"n/&gt;!`@"</f>
        <v>#VALUE!</v>
      </c>
      <c r="Z21" t="e">
        <f>'All regions'!C505+"n/&gt;!`A"</f>
        <v>#VALUE!</v>
      </c>
      <c r="AA21" t="e">
        <f>'All regions'!D505+"n/&gt;!`B"</f>
        <v>#VALUE!</v>
      </c>
      <c r="AB21" t="e">
        <f>'All regions'!E505+"n/&gt;!`C"</f>
        <v>#VALUE!</v>
      </c>
      <c r="AC21" t="e">
        <f>'All regions'!F505+"n/&gt;!`D"</f>
        <v>#VALUE!</v>
      </c>
      <c r="AD21" t="e">
        <f>'All regions'!G505+"n/&gt;!`E"</f>
        <v>#VALUE!</v>
      </c>
      <c r="AE21" t="e">
        <f>'All regions'!H505+"n/&gt;!`F"</f>
        <v>#VALUE!</v>
      </c>
      <c r="AF21" t="e">
        <f>'All regions'!I505+"n/&gt;!`G"</f>
        <v>#VALUE!</v>
      </c>
      <c r="AG21" t="e">
        <f>'All regions'!J505+"n/&gt;!`H"</f>
        <v>#VALUE!</v>
      </c>
      <c r="AH21" t="e">
        <f>'All regions'!A506+"n/&gt;!`I"</f>
        <v>#VALUE!</v>
      </c>
      <c r="AI21" t="e">
        <f>'All regions'!B506+"n/&gt;!`J"</f>
        <v>#VALUE!</v>
      </c>
      <c r="AJ21" t="e">
        <f>'All regions'!C506+"n/&gt;!`K"</f>
        <v>#VALUE!</v>
      </c>
      <c r="AK21" t="e">
        <f>'All regions'!D506+"n/&gt;!`L"</f>
        <v>#VALUE!</v>
      </c>
      <c r="AL21" t="e">
        <f>'All regions'!E506+"n/&gt;!`M"</f>
        <v>#VALUE!</v>
      </c>
      <c r="AM21" t="e">
        <f>'All regions'!F506+"n/&gt;!`N"</f>
        <v>#VALUE!</v>
      </c>
      <c r="AN21" t="e">
        <f>'All regions'!G506+"n/&gt;!`O"</f>
        <v>#VALUE!</v>
      </c>
      <c r="AO21" t="e">
        <f>'All regions'!H506+"n/&gt;!`P"</f>
        <v>#VALUE!</v>
      </c>
      <c r="AP21" t="e">
        <f>'All regions'!I506+"n/&gt;!`Q"</f>
        <v>#VALUE!</v>
      </c>
      <c r="AQ21" t="e">
        <f>'All regions'!J506+"n/&gt;!`R"</f>
        <v>#VALUE!</v>
      </c>
      <c r="AR21" t="e">
        <f>'All regions'!A507+"n/&gt;!`S"</f>
        <v>#VALUE!</v>
      </c>
      <c r="AS21" t="e">
        <f>'All regions'!B507+"n/&gt;!`T"</f>
        <v>#VALUE!</v>
      </c>
      <c r="AT21" t="e">
        <f>'All regions'!C507+"n/&gt;!`U"</f>
        <v>#VALUE!</v>
      </c>
      <c r="AU21" t="e">
        <f>'All regions'!D507+"n/&gt;!`V"</f>
        <v>#VALUE!</v>
      </c>
      <c r="AV21" t="e">
        <f>'All regions'!E507+"n/&gt;!`W"</f>
        <v>#VALUE!</v>
      </c>
      <c r="AW21" t="e">
        <f>'All regions'!F507+"n/&gt;!`X"</f>
        <v>#VALUE!</v>
      </c>
      <c r="AX21" t="e">
        <f>'All regions'!G507+"n/&gt;!`Y"</f>
        <v>#VALUE!</v>
      </c>
      <c r="AY21" t="e">
        <f>'All regions'!H507+"n/&gt;!`Z"</f>
        <v>#VALUE!</v>
      </c>
      <c r="AZ21" t="e">
        <f>'All regions'!I507+"n/&gt;!`["</f>
        <v>#VALUE!</v>
      </c>
      <c r="BA21" t="e">
        <f>'All regions'!J507+"n/&gt;!`\"</f>
        <v>#VALUE!</v>
      </c>
      <c r="BB21" t="e">
        <f>'All regions'!A508+"n/&gt;!`]"</f>
        <v>#VALUE!</v>
      </c>
      <c r="BC21" t="e">
        <f>'All regions'!B508+"n/&gt;!`^"</f>
        <v>#VALUE!</v>
      </c>
      <c r="BD21" t="e">
        <f>'All regions'!C508+"n/&gt;!`_"</f>
        <v>#VALUE!</v>
      </c>
      <c r="BE21" t="e">
        <f>'All regions'!D508+"n/&gt;!``"</f>
        <v>#VALUE!</v>
      </c>
      <c r="BF21" t="e">
        <f>'All regions'!E508+"n/&gt;!`a"</f>
        <v>#VALUE!</v>
      </c>
      <c r="BG21" t="e">
        <f>'All regions'!F508+"n/&gt;!`b"</f>
        <v>#VALUE!</v>
      </c>
      <c r="BH21" t="e">
        <f>'All regions'!G508+"n/&gt;!`c"</f>
        <v>#VALUE!</v>
      </c>
      <c r="BI21" t="e">
        <f>'All regions'!H508+"n/&gt;!`d"</f>
        <v>#VALUE!</v>
      </c>
      <c r="BJ21" t="e">
        <f>'All regions'!I508+"n/&gt;!`e"</f>
        <v>#VALUE!</v>
      </c>
      <c r="BK21" t="e">
        <f>'All regions'!J508+"n/&gt;!`f"</f>
        <v>#VALUE!</v>
      </c>
      <c r="BL21" t="e">
        <f>'All regions'!A509+"n/&gt;!`g"</f>
        <v>#VALUE!</v>
      </c>
      <c r="BM21" t="e">
        <f>'All regions'!B509+"n/&gt;!`h"</f>
        <v>#VALUE!</v>
      </c>
      <c r="BN21" t="e">
        <f>'All regions'!C509+"n/&gt;!`i"</f>
        <v>#VALUE!</v>
      </c>
      <c r="BO21" t="e">
        <f>'All regions'!D509+"n/&gt;!`j"</f>
        <v>#VALUE!</v>
      </c>
      <c r="BP21" t="e">
        <f>'All regions'!E509+"n/&gt;!`k"</f>
        <v>#VALUE!</v>
      </c>
      <c r="BQ21" t="e">
        <f>'All regions'!F509+"n/&gt;!`l"</f>
        <v>#VALUE!</v>
      </c>
      <c r="BR21" t="e">
        <f>'All regions'!G509+"n/&gt;!`m"</f>
        <v>#VALUE!</v>
      </c>
      <c r="BS21" t="e">
        <f>'All regions'!H509+"n/&gt;!`n"</f>
        <v>#VALUE!</v>
      </c>
      <c r="BT21" t="e">
        <f>'All regions'!I509+"n/&gt;!`o"</f>
        <v>#VALUE!</v>
      </c>
      <c r="BU21" t="e">
        <f>'All regions'!J509+"n/&gt;!`p"</f>
        <v>#VALUE!</v>
      </c>
      <c r="BV21" t="e">
        <f>'All regions'!A510+"n/&gt;!`q"</f>
        <v>#VALUE!</v>
      </c>
      <c r="BW21" t="e">
        <f>'All regions'!B510+"n/&gt;!`r"</f>
        <v>#VALUE!</v>
      </c>
      <c r="BX21" t="e">
        <f>'All regions'!C510+"n/&gt;!`s"</f>
        <v>#VALUE!</v>
      </c>
      <c r="BY21" t="e">
        <f>'All regions'!D510+"n/&gt;!`t"</f>
        <v>#VALUE!</v>
      </c>
      <c r="BZ21" t="e">
        <f>'All regions'!E510+"n/&gt;!`u"</f>
        <v>#VALUE!</v>
      </c>
      <c r="CA21" t="e">
        <f>'All regions'!F510+"n/&gt;!`v"</f>
        <v>#VALUE!</v>
      </c>
      <c r="CB21" t="e">
        <f>'All regions'!G510+"n/&gt;!`w"</f>
        <v>#VALUE!</v>
      </c>
      <c r="CC21" t="e">
        <f>'All regions'!H510+"n/&gt;!`x"</f>
        <v>#VALUE!</v>
      </c>
      <c r="CD21" t="e">
        <f>'All regions'!I510+"n/&gt;!`y"</f>
        <v>#VALUE!</v>
      </c>
      <c r="CE21" t="e">
        <f>'All regions'!J510+"n/&gt;!`z"</f>
        <v>#VALUE!</v>
      </c>
      <c r="CF21" t="e">
        <f>'All regions'!A511+"n/&gt;!`{"</f>
        <v>#VALUE!</v>
      </c>
      <c r="CG21" t="e">
        <f>'All regions'!B511+"n/&gt;!`|"</f>
        <v>#VALUE!</v>
      </c>
      <c r="CH21" t="e">
        <f>'All regions'!C511+"n/&gt;!`}"</f>
        <v>#VALUE!</v>
      </c>
      <c r="CI21" t="e">
        <f>'All regions'!D511+"n/&gt;!`~"</f>
        <v>#VALUE!</v>
      </c>
      <c r="CJ21" t="e">
        <f>'All regions'!E511+"n/&gt;!a#"</f>
        <v>#VALUE!</v>
      </c>
      <c r="CK21" t="e">
        <f>'All regions'!F511+"n/&gt;!a$"</f>
        <v>#VALUE!</v>
      </c>
      <c r="CL21" t="e">
        <f>'All regions'!G511+"n/&gt;!a%"</f>
        <v>#VALUE!</v>
      </c>
      <c r="CM21" t="e">
        <f>'All regions'!H511+"n/&gt;!a&amp;"</f>
        <v>#VALUE!</v>
      </c>
      <c r="CN21" t="e">
        <f>'All regions'!I511+"n/&gt;!a'"</f>
        <v>#VALUE!</v>
      </c>
      <c r="CO21" t="e">
        <f>'All regions'!J511+"n/&gt;!a("</f>
        <v>#VALUE!</v>
      </c>
      <c r="CP21" t="e">
        <f>'All regions'!A512+"n/&gt;!a)"</f>
        <v>#VALUE!</v>
      </c>
      <c r="CQ21" t="e">
        <f>'All regions'!B512+"n/&gt;!a."</f>
        <v>#VALUE!</v>
      </c>
      <c r="CR21" t="e">
        <f>'All regions'!C512+"n/&gt;!a/"</f>
        <v>#VALUE!</v>
      </c>
      <c r="CS21" t="e">
        <f>'All regions'!D512+"n/&gt;!a0"</f>
        <v>#VALUE!</v>
      </c>
      <c r="CT21" t="e">
        <f>'All regions'!E512+"n/&gt;!a1"</f>
        <v>#VALUE!</v>
      </c>
      <c r="CU21" t="e">
        <f>'All regions'!F512+"n/&gt;!a2"</f>
        <v>#VALUE!</v>
      </c>
      <c r="CV21" t="e">
        <f>'All regions'!G512+"n/&gt;!a3"</f>
        <v>#VALUE!</v>
      </c>
      <c r="CW21" t="e">
        <f>'All regions'!H512+"n/&gt;!a4"</f>
        <v>#VALUE!</v>
      </c>
      <c r="CX21" t="e">
        <f>'All regions'!I512+"n/&gt;!a5"</f>
        <v>#VALUE!</v>
      </c>
      <c r="CY21" t="e">
        <f>'All regions'!J512+"n/&gt;!a6"</f>
        <v>#VALUE!</v>
      </c>
      <c r="CZ21" t="e">
        <f>'All regions'!A513+"n/&gt;!a7"</f>
        <v>#VALUE!</v>
      </c>
      <c r="DA21" t="e">
        <f>'All regions'!B513+"n/&gt;!a8"</f>
        <v>#VALUE!</v>
      </c>
      <c r="DB21" t="e">
        <f>'All regions'!C513+"n/&gt;!a9"</f>
        <v>#VALUE!</v>
      </c>
      <c r="DC21" t="e">
        <f>'All regions'!D513+"n/&gt;!a:"</f>
        <v>#VALUE!</v>
      </c>
      <c r="DD21" t="e">
        <f>'All regions'!E513+"n/&gt;!a;"</f>
        <v>#VALUE!</v>
      </c>
      <c r="DE21" t="e">
        <f>'All regions'!F513+"n/&gt;!a&lt;"</f>
        <v>#VALUE!</v>
      </c>
      <c r="DF21" t="e">
        <f>'All regions'!G513+"n/&gt;!a="</f>
        <v>#VALUE!</v>
      </c>
      <c r="DG21" t="e">
        <f>'All regions'!H513+"n/&gt;!a&gt;"</f>
        <v>#VALUE!</v>
      </c>
      <c r="DH21" t="e">
        <f>'All regions'!I513+"n/&gt;!a?"</f>
        <v>#VALUE!</v>
      </c>
      <c r="DI21" t="e">
        <f>'All regions'!J513+"n/&gt;!a@"</f>
        <v>#VALUE!</v>
      </c>
      <c r="DJ21" t="e">
        <f>'All regions'!A514+"n/&gt;!aA"</f>
        <v>#VALUE!</v>
      </c>
      <c r="DK21" t="e">
        <f>'All regions'!B514+"n/&gt;!aB"</f>
        <v>#VALUE!</v>
      </c>
      <c r="DL21" t="e">
        <f>'All regions'!C514+"n/&gt;!aC"</f>
        <v>#VALUE!</v>
      </c>
      <c r="DM21" t="e">
        <f>'All regions'!D514+"n/&gt;!aD"</f>
        <v>#VALUE!</v>
      </c>
      <c r="DN21" t="e">
        <f>'All regions'!E514+"n/&gt;!aE"</f>
        <v>#VALUE!</v>
      </c>
      <c r="DO21" t="e">
        <f>'All regions'!F514+"n/&gt;!aF"</f>
        <v>#VALUE!</v>
      </c>
      <c r="DP21" t="e">
        <f>'All regions'!G514+"n/&gt;!aG"</f>
        <v>#VALUE!</v>
      </c>
      <c r="DQ21" t="e">
        <f>'All regions'!H514+"n/&gt;!aH"</f>
        <v>#VALUE!</v>
      </c>
      <c r="DR21" t="e">
        <f>'All regions'!I514+"n/&gt;!aI"</f>
        <v>#VALUE!</v>
      </c>
      <c r="DS21" t="e">
        <f>'All regions'!J514+"n/&gt;!aJ"</f>
        <v>#VALUE!</v>
      </c>
      <c r="DT21" t="e">
        <f>'All regions'!A515+"n/&gt;!aK"</f>
        <v>#VALUE!</v>
      </c>
      <c r="DU21" t="e">
        <f>'All regions'!B515+"n/&gt;!aL"</f>
        <v>#VALUE!</v>
      </c>
      <c r="DV21" t="e">
        <f>'All regions'!C515+"n/&gt;!aM"</f>
        <v>#VALUE!</v>
      </c>
      <c r="DW21" t="e">
        <f>'All regions'!D515+"n/&gt;!aN"</f>
        <v>#VALUE!</v>
      </c>
      <c r="DX21" t="e">
        <f>'All regions'!E515+"n/&gt;!aO"</f>
        <v>#VALUE!</v>
      </c>
      <c r="DY21" t="e">
        <f>'All regions'!F515+"n/&gt;!aP"</f>
        <v>#VALUE!</v>
      </c>
      <c r="DZ21" t="e">
        <f>'All regions'!G515+"n/&gt;!aQ"</f>
        <v>#VALUE!</v>
      </c>
      <c r="EA21" t="e">
        <f>'All regions'!H515+"n/&gt;!aR"</f>
        <v>#VALUE!</v>
      </c>
      <c r="EB21" t="e">
        <f>'All regions'!I515+"n/&gt;!aS"</f>
        <v>#VALUE!</v>
      </c>
      <c r="EC21" t="e">
        <f>'All regions'!J515+"n/&gt;!aT"</f>
        <v>#VALUE!</v>
      </c>
      <c r="ED21" t="e">
        <f>'All regions'!A516+"n/&gt;!aU"</f>
        <v>#VALUE!</v>
      </c>
      <c r="EE21" t="e">
        <f>'All regions'!B516+"n/&gt;!aV"</f>
        <v>#VALUE!</v>
      </c>
      <c r="EF21" t="e">
        <f>'All regions'!C516+"n/&gt;!aW"</f>
        <v>#VALUE!</v>
      </c>
      <c r="EG21" t="e">
        <f>'All regions'!D516+"n/&gt;!aX"</f>
        <v>#VALUE!</v>
      </c>
      <c r="EH21" t="e">
        <f>'All regions'!E516+"n/&gt;!aY"</f>
        <v>#VALUE!</v>
      </c>
      <c r="EI21" t="e">
        <f>'All regions'!F516+"n/&gt;!aZ"</f>
        <v>#VALUE!</v>
      </c>
      <c r="EJ21" t="e">
        <f>'All regions'!G516+"n/&gt;!a["</f>
        <v>#VALUE!</v>
      </c>
      <c r="EK21" t="e">
        <f>'All regions'!H516+"n/&gt;!a\"</f>
        <v>#VALUE!</v>
      </c>
      <c r="EL21" t="e">
        <f>'All regions'!I516+"n/&gt;!a]"</f>
        <v>#VALUE!</v>
      </c>
      <c r="EM21" t="e">
        <f>'All regions'!J516+"n/&gt;!a^"</f>
        <v>#VALUE!</v>
      </c>
      <c r="EN21" t="e">
        <f>'All regions'!A517+"n/&gt;!a_"</f>
        <v>#VALUE!</v>
      </c>
      <c r="EO21" t="e">
        <f>'All regions'!B517+"n/&gt;!a`"</f>
        <v>#VALUE!</v>
      </c>
      <c r="EP21" t="e">
        <f>'All regions'!C517+"n/&gt;!aa"</f>
        <v>#VALUE!</v>
      </c>
      <c r="EQ21" t="e">
        <f>'All regions'!D517+"n/&gt;!ab"</f>
        <v>#VALUE!</v>
      </c>
      <c r="ER21" t="e">
        <f>'All regions'!E517+"n/&gt;!ac"</f>
        <v>#VALUE!</v>
      </c>
      <c r="ES21" t="e">
        <f>'All regions'!F517+"n/&gt;!ad"</f>
        <v>#VALUE!</v>
      </c>
      <c r="ET21" t="e">
        <f>'All regions'!G517+"n/&gt;!ae"</f>
        <v>#VALUE!</v>
      </c>
      <c r="EU21" t="e">
        <f>'All regions'!H517+"n/&gt;!af"</f>
        <v>#VALUE!</v>
      </c>
      <c r="EV21" t="e">
        <f>'All regions'!I517+"n/&gt;!ag"</f>
        <v>#VALUE!</v>
      </c>
      <c r="EW21" t="e">
        <f>'All regions'!J517+"n/&gt;!ah"</f>
        <v>#VALUE!</v>
      </c>
      <c r="EX21" t="e">
        <f>'All regions'!A518+"n/&gt;!ai"</f>
        <v>#VALUE!</v>
      </c>
      <c r="EY21" t="e">
        <f>'All regions'!B518+"n/&gt;!aj"</f>
        <v>#VALUE!</v>
      </c>
      <c r="EZ21" t="e">
        <f>'All regions'!C518+"n/&gt;!ak"</f>
        <v>#VALUE!</v>
      </c>
      <c r="FA21" t="e">
        <f>'All regions'!D518+"n/&gt;!al"</f>
        <v>#VALUE!</v>
      </c>
      <c r="FB21" t="e">
        <f>'All regions'!E518+"n/&gt;!am"</f>
        <v>#VALUE!</v>
      </c>
      <c r="FC21" t="e">
        <f>'All regions'!F518+"n/&gt;!an"</f>
        <v>#VALUE!</v>
      </c>
      <c r="FD21" t="e">
        <f>'All regions'!G518+"n/&gt;!ao"</f>
        <v>#VALUE!</v>
      </c>
      <c r="FE21" t="e">
        <f>'All regions'!H518+"n/&gt;!ap"</f>
        <v>#VALUE!</v>
      </c>
      <c r="FF21" t="e">
        <f>'All regions'!I518+"n/&gt;!aq"</f>
        <v>#VALUE!</v>
      </c>
      <c r="FG21" t="e">
        <f>'All regions'!J518+"n/&gt;!ar"</f>
        <v>#VALUE!</v>
      </c>
      <c r="FH21" t="e">
        <f>'All regions'!A519+"n/&gt;!as"</f>
        <v>#VALUE!</v>
      </c>
      <c r="FI21" t="e">
        <f>'All regions'!B519+"n/&gt;!at"</f>
        <v>#VALUE!</v>
      </c>
      <c r="FJ21" t="e">
        <f>'All regions'!C519+"n/&gt;!au"</f>
        <v>#VALUE!</v>
      </c>
      <c r="FK21" t="e">
        <f>'All regions'!D519+"n/&gt;!av"</f>
        <v>#VALUE!</v>
      </c>
      <c r="FL21" t="e">
        <f>'All regions'!E519+"n/&gt;!aw"</f>
        <v>#VALUE!</v>
      </c>
      <c r="FM21" t="e">
        <f>'All regions'!F519+"n/&gt;!ax"</f>
        <v>#VALUE!</v>
      </c>
      <c r="FN21" t="e">
        <f>'All regions'!G519+"n/&gt;!ay"</f>
        <v>#VALUE!</v>
      </c>
      <c r="FO21" t="e">
        <f>'All regions'!H519+"n/&gt;!az"</f>
        <v>#VALUE!</v>
      </c>
      <c r="FP21" t="e">
        <f>'All regions'!I519+"n/&gt;!a{"</f>
        <v>#VALUE!</v>
      </c>
      <c r="FQ21" t="e">
        <f>'All regions'!J519+"n/&gt;!a|"</f>
        <v>#VALUE!</v>
      </c>
      <c r="FR21" t="e">
        <f>'All regions'!A520+"n/&gt;!a}"</f>
        <v>#VALUE!</v>
      </c>
      <c r="FS21" t="e">
        <f>'All regions'!B520+"n/&gt;!a~"</f>
        <v>#VALUE!</v>
      </c>
      <c r="FT21" t="e">
        <f>'All regions'!C520+"n/&gt;!b#"</f>
        <v>#VALUE!</v>
      </c>
      <c r="FU21" t="e">
        <f>'All regions'!D520+"n/&gt;!b$"</f>
        <v>#VALUE!</v>
      </c>
      <c r="FV21" t="e">
        <f>'All regions'!E520+"n/&gt;!b%"</f>
        <v>#VALUE!</v>
      </c>
      <c r="FW21" t="e">
        <f>'All regions'!F520+"n/&gt;!b&amp;"</f>
        <v>#VALUE!</v>
      </c>
      <c r="FX21" t="e">
        <f>'All regions'!G520+"n/&gt;!b'"</f>
        <v>#VALUE!</v>
      </c>
      <c r="FY21" t="e">
        <f>'All regions'!H520+"n/&gt;!b("</f>
        <v>#VALUE!</v>
      </c>
      <c r="FZ21" t="e">
        <f>'All regions'!I520+"n/&gt;!b)"</f>
        <v>#VALUE!</v>
      </c>
      <c r="GA21" t="e">
        <f>'All regions'!J520+"n/&gt;!b."</f>
        <v>#VALUE!</v>
      </c>
      <c r="GB21" t="e">
        <f>'All regions'!A521+"n/&gt;!b/"</f>
        <v>#VALUE!</v>
      </c>
      <c r="GC21" t="e">
        <f>'All regions'!B521+"n/&gt;!b0"</f>
        <v>#VALUE!</v>
      </c>
      <c r="GD21" t="e">
        <f>'All regions'!C521+"n/&gt;!b1"</f>
        <v>#VALUE!</v>
      </c>
      <c r="GE21" t="e">
        <f>'All regions'!D521+"n/&gt;!b2"</f>
        <v>#VALUE!</v>
      </c>
      <c r="GF21" t="e">
        <f>'All regions'!E521+"n/&gt;!b3"</f>
        <v>#VALUE!</v>
      </c>
      <c r="GG21" t="e">
        <f>'All regions'!F521+"n/&gt;!b4"</f>
        <v>#VALUE!</v>
      </c>
      <c r="GH21" t="e">
        <f>'All regions'!G521+"n/&gt;!b5"</f>
        <v>#VALUE!</v>
      </c>
      <c r="GI21" t="e">
        <f>'All regions'!H521+"n/&gt;!b6"</f>
        <v>#VALUE!</v>
      </c>
      <c r="GJ21" t="e">
        <f>'All regions'!I521+"n/&gt;!b7"</f>
        <v>#VALUE!</v>
      </c>
      <c r="GK21" t="e">
        <f>'All regions'!J521+"n/&gt;!b8"</f>
        <v>#VALUE!</v>
      </c>
      <c r="GL21" t="e">
        <f>'All regions'!A522+"n/&gt;!b9"</f>
        <v>#VALUE!</v>
      </c>
      <c r="GM21" t="e">
        <f>'All regions'!B522+"n/&gt;!b:"</f>
        <v>#VALUE!</v>
      </c>
      <c r="GN21" t="e">
        <f>'All regions'!C522+"n/&gt;!b;"</f>
        <v>#VALUE!</v>
      </c>
      <c r="GO21" t="e">
        <f>'All regions'!D522+"n/&gt;!b&lt;"</f>
        <v>#VALUE!</v>
      </c>
      <c r="GP21" t="e">
        <f>'All regions'!E522+"n/&gt;!b="</f>
        <v>#VALUE!</v>
      </c>
      <c r="GQ21" t="e">
        <f>'All regions'!F522+"n/&gt;!b&gt;"</f>
        <v>#VALUE!</v>
      </c>
      <c r="GR21" t="e">
        <f>'All regions'!G522+"n/&gt;!b?"</f>
        <v>#VALUE!</v>
      </c>
      <c r="GS21" t="e">
        <f>'All regions'!H522+"n/&gt;!b@"</f>
        <v>#VALUE!</v>
      </c>
      <c r="GT21" t="e">
        <f>'All regions'!I522+"n/&gt;!bA"</f>
        <v>#VALUE!</v>
      </c>
      <c r="GU21" t="e">
        <f>'All regions'!J522+"n/&gt;!bB"</f>
        <v>#VALUE!</v>
      </c>
      <c r="GV21" t="e">
        <f>'All regions'!A523+"n/&gt;!bC"</f>
        <v>#VALUE!</v>
      </c>
      <c r="GW21" t="e">
        <f>'All regions'!B523+"n/&gt;!bD"</f>
        <v>#VALUE!</v>
      </c>
      <c r="GX21" t="e">
        <f>'All regions'!C523+"n/&gt;!bE"</f>
        <v>#VALUE!</v>
      </c>
      <c r="GY21" t="e">
        <f>'All regions'!D523+"n/&gt;!bF"</f>
        <v>#VALUE!</v>
      </c>
      <c r="GZ21" t="e">
        <f>'All regions'!E523+"n/&gt;!bG"</f>
        <v>#VALUE!</v>
      </c>
      <c r="HA21" t="e">
        <f>'All regions'!F523+"n/&gt;!bH"</f>
        <v>#VALUE!</v>
      </c>
      <c r="HB21" t="e">
        <f>'All regions'!G523+"n/&gt;!bI"</f>
        <v>#VALUE!</v>
      </c>
      <c r="HC21" t="e">
        <f>'All regions'!H523+"n/&gt;!bJ"</f>
        <v>#VALUE!</v>
      </c>
      <c r="HD21" t="e">
        <f>'All regions'!I523+"n/&gt;!bK"</f>
        <v>#VALUE!</v>
      </c>
      <c r="HE21" t="e">
        <f>'All regions'!J523+"n/&gt;!bL"</f>
        <v>#VALUE!</v>
      </c>
      <c r="HF21" t="e">
        <f>'All regions'!A524+"n/&gt;!bM"</f>
        <v>#VALUE!</v>
      </c>
      <c r="HG21" t="e">
        <f>'All regions'!B524+"n/&gt;!bN"</f>
        <v>#VALUE!</v>
      </c>
      <c r="HH21" t="e">
        <f>'All regions'!C524+"n/&gt;!bO"</f>
        <v>#VALUE!</v>
      </c>
      <c r="HI21" t="e">
        <f>'All regions'!D524+"n/&gt;!bP"</f>
        <v>#VALUE!</v>
      </c>
      <c r="HJ21" t="e">
        <f>'All regions'!E524+"n/&gt;!bQ"</f>
        <v>#VALUE!</v>
      </c>
      <c r="HK21" t="e">
        <f>'All regions'!F524+"n/&gt;!bR"</f>
        <v>#VALUE!</v>
      </c>
      <c r="HL21" t="e">
        <f>'All regions'!G524+"n/&gt;!bS"</f>
        <v>#VALUE!</v>
      </c>
      <c r="HM21" t="e">
        <f>'All regions'!H524+"n/&gt;!bT"</f>
        <v>#VALUE!</v>
      </c>
      <c r="HN21" t="e">
        <f>'All regions'!I524+"n/&gt;!bU"</f>
        <v>#VALUE!</v>
      </c>
      <c r="HO21" t="e">
        <f>'All regions'!J524+"n/&gt;!bV"</f>
        <v>#VALUE!</v>
      </c>
      <c r="HP21" t="e">
        <f>'All regions'!A525+"n/&gt;!bW"</f>
        <v>#VALUE!</v>
      </c>
      <c r="HQ21" t="e">
        <f>'All regions'!B525+"n/&gt;!bX"</f>
        <v>#VALUE!</v>
      </c>
      <c r="HR21" t="e">
        <f>'All regions'!C525+"n/&gt;!bY"</f>
        <v>#VALUE!</v>
      </c>
      <c r="HS21" t="e">
        <f>'All regions'!D525+"n/&gt;!bZ"</f>
        <v>#VALUE!</v>
      </c>
      <c r="HT21" t="e">
        <f>'All regions'!E525+"n/&gt;!b["</f>
        <v>#VALUE!</v>
      </c>
      <c r="HU21" t="e">
        <f>'All regions'!F525+"n/&gt;!b\"</f>
        <v>#VALUE!</v>
      </c>
      <c r="HV21" t="e">
        <f>'All regions'!G525+"n/&gt;!b]"</f>
        <v>#VALUE!</v>
      </c>
      <c r="HW21" t="e">
        <f>'All regions'!H525+"n/&gt;!b^"</f>
        <v>#VALUE!</v>
      </c>
      <c r="HX21" t="e">
        <f>'All regions'!I525+"n/&gt;!b_"</f>
        <v>#VALUE!</v>
      </c>
      <c r="HY21" t="e">
        <f>'All regions'!J525+"n/&gt;!b`"</f>
        <v>#VALUE!</v>
      </c>
      <c r="HZ21" t="e">
        <f>'All regions'!A526+"n/&gt;!ba"</f>
        <v>#VALUE!</v>
      </c>
      <c r="IA21" t="e">
        <f>'All regions'!B526+"n/&gt;!bb"</f>
        <v>#VALUE!</v>
      </c>
      <c r="IB21" t="e">
        <f>'All regions'!C526+"n/&gt;!bc"</f>
        <v>#VALUE!</v>
      </c>
      <c r="IC21" t="e">
        <f>'All regions'!D526+"n/&gt;!bd"</f>
        <v>#VALUE!</v>
      </c>
      <c r="ID21" t="e">
        <f>'All regions'!E526+"n/&gt;!be"</f>
        <v>#VALUE!</v>
      </c>
      <c r="IE21" t="e">
        <f>'All regions'!F526+"n/&gt;!bf"</f>
        <v>#VALUE!</v>
      </c>
      <c r="IF21" t="e">
        <f>'All regions'!G526+"n/&gt;!bg"</f>
        <v>#VALUE!</v>
      </c>
      <c r="IG21" t="e">
        <f>'All regions'!H526+"n/&gt;!bh"</f>
        <v>#VALUE!</v>
      </c>
      <c r="IH21" t="e">
        <f>'All regions'!I526+"n/&gt;!bi"</f>
        <v>#VALUE!</v>
      </c>
      <c r="II21" t="e">
        <f>'All regions'!J526+"n/&gt;!bj"</f>
        <v>#VALUE!</v>
      </c>
      <c r="IJ21" t="e">
        <f>'All regions'!A527+"n/&gt;!bk"</f>
        <v>#VALUE!</v>
      </c>
      <c r="IK21" t="e">
        <f>'All regions'!B527+"n/&gt;!bl"</f>
        <v>#VALUE!</v>
      </c>
      <c r="IL21" t="e">
        <f>'All regions'!C527+"n/&gt;!bm"</f>
        <v>#VALUE!</v>
      </c>
      <c r="IM21" t="e">
        <f>'All regions'!D527+"n/&gt;!bn"</f>
        <v>#VALUE!</v>
      </c>
      <c r="IN21" t="e">
        <f>'All regions'!E527+"n/&gt;!bo"</f>
        <v>#VALUE!</v>
      </c>
      <c r="IO21" t="e">
        <f>'All regions'!F527+"n/&gt;!bp"</f>
        <v>#VALUE!</v>
      </c>
      <c r="IP21" t="e">
        <f>'All regions'!G527+"n/&gt;!bq"</f>
        <v>#VALUE!</v>
      </c>
      <c r="IQ21" t="e">
        <f>'All regions'!H527+"n/&gt;!br"</f>
        <v>#VALUE!</v>
      </c>
      <c r="IR21" t="e">
        <f>'All regions'!I527+"n/&gt;!bs"</f>
        <v>#VALUE!</v>
      </c>
      <c r="IS21" t="e">
        <f>'All regions'!J527+"n/&gt;!bt"</f>
        <v>#VALUE!</v>
      </c>
      <c r="IT21" t="e">
        <f>'All regions'!A528+"n/&gt;!bu"</f>
        <v>#VALUE!</v>
      </c>
      <c r="IU21" t="e">
        <f>'All regions'!B528+"n/&gt;!bv"</f>
        <v>#VALUE!</v>
      </c>
      <c r="IV21" t="e">
        <f>'All regions'!C528+"n/&gt;!bw"</f>
        <v>#VALUE!</v>
      </c>
    </row>
    <row r="22" spans="6:256" x14ac:dyDescent="0.35">
      <c r="F22" t="e">
        <f>'All regions'!D528+"n/&gt;!bx"</f>
        <v>#VALUE!</v>
      </c>
      <c r="G22" t="e">
        <f>'All regions'!E528+"n/&gt;!by"</f>
        <v>#VALUE!</v>
      </c>
      <c r="H22" t="e">
        <f>'All regions'!F528+"n/&gt;!bz"</f>
        <v>#VALUE!</v>
      </c>
      <c r="I22" t="e">
        <f>'All regions'!G528+"n/&gt;!b{"</f>
        <v>#VALUE!</v>
      </c>
      <c r="J22" t="e">
        <f>'All regions'!H528+"n/&gt;!b|"</f>
        <v>#VALUE!</v>
      </c>
      <c r="K22" t="e">
        <f>'All regions'!I528+"n/&gt;!b}"</f>
        <v>#VALUE!</v>
      </c>
      <c r="L22" t="e">
        <f>'All regions'!J528+"n/&gt;!b~"</f>
        <v>#VALUE!</v>
      </c>
      <c r="M22" t="e">
        <f>'All regions'!A529+"n/&gt;!c#"</f>
        <v>#VALUE!</v>
      </c>
      <c r="N22" t="e">
        <f>'All regions'!B529+"n/&gt;!c$"</f>
        <v>#VALUE!</v>
      </c>
      <c r="O22" t="e">
        <f>'All regions'!C529+"n/&gt;!c%"</f>
        <v>#VALUE!</v>
      </c>
      <c r="P22" t="e">
        <f>'All regions'!D529+"n/&gt;!c&amp;"</f>
        <v>#VALUE!</v>
      </c>
      <c r="Q22" t="e">
        <f>'All regions'!E529+"n/&gt;!c'"</f>
        <v>#VALUE!</v>
      </c>
      <c r="R22" t="e">
        <f>'All regions'!F529+"n/&gt;!c("</f>
        <v>#VALUE!</v>
      </c>
      <c r="S22" t="e">
        <f>'All regions'!G529+"n/&gt;!c)"</f>
        <v>#VALUE!</v>
      </c>
      <c r="T22" t="e">
        <f>'All regions'!H529+"n/&gt;!c."</f>
        <v>#VALUE!</v>
      </c>
      <c r="U22" t="e">
        <f>'All regions'!I529+"n/&gt;!c/"</f>
        <v>#VALUE!</v>
      </c>
      <c r="V22" t="e">
        <f>'All regions'!J529+"n/&gt;!c0"</f>
        <v>#VALUE!</v>
      </c>
      <c r="W22" t="e">
        <f>'All regions'!A530+"n/&gt;!c1"</f>
        <v>#VALUE!</v>
      </c>
      <c r="X22" t="e">
        <f>'All regions'!B530+"n/&gt;!c2"</f>
        <v>#VALUE!</v>
      </c>
      <c r="Y22" t="e">
        <f>'All regions'!C530+"n/&gt;!c3"</f>
        <v>#VALUE!</v>
      </c>
      <c r="Z22" t="e">
        <f>'All regions'!D530+"n/&gt;!c4"</f>
        <v>#VALUE!</v>
      </c>
      <c r="AA22" t="e">
        <f>'All regions'!E530+"n/&gt;!c5"</f>
        <v>#VALUE!</v>
      </c>
      <c r="AB22" t="e">
        <f>'All regions'!F530+"n/&gt;!c6"</f>
        <v>#VALUE!</v>
      </c>
      <c r="AC22" t="e">
        <f>'All regions'!G530+"n/&gt;!c7"</f>
        <v>#VALUE!</v>
      </c>
      <c r="AD22" t="e">
        <f>'All regions'!H530+"n/&gt;!c8"</f>
        <v>#VALUE!</v>
      </c>
      <c r="AE22" t="e">
        <f>'All regions'!I530+"n/&gt;!c9"</f>
        <v>#VALUE!</v>
      </c>
      <c r="AF22" t="e">
        <f>'All regions'!J530+"n/&gt;!c:"</f>
        <v>#VALUE!</v>
      </c>
      <c r="AG22" t="e">
        <f>'All regions'!A531+"n/&gt;!c;"</f>
        <v>#VALUE!</v>
      </c>
      <c r="AH22" t="e">
        <f>'All regions'!B531+"n/&gt;!c&lt;"</f>
        <v>#VALUE!</v>
      </c>
      <c r="AI22" t="e">
        <f>'All regions'!C531+"n/&gt;!c="</f>
        <v>#VALUE!</v>
      </c>
      <c r="AJ22" t="e">
        <f>'All regions'!D531+"n/&gt;!c&gt;"</f>
        <v>#VALUE!</v>
      </c>
      <c r="AK22" t="e">
        <f>'All regions'!E531+"n/&gt;!c?"</f>
        <v>#VALUE!</v>
      </c>
      <c r="AL22" t="e">
        <f>'All regions'!F531+"n/&gt;!c@"</f>
        <v>#VALUE!</v>
      </c>
      <c r="AM22" t="e">
        <f>'All regions'!G531+"n/&gt;!cA"</f>
        <v>#VALUE!</v>
      </c>
      <c r="AN22" t="e">
        <f>'All regions'!H531+"n/&gt;!cB"</f>
        <v>#VALUE!</v>
      </c>
      <c r="AO22" t="e">
        <f>'All regions'!I531+"n/&gt;!cC"</f>
        <v>#VALUE!</v>
      </c>
      <c r="AP22" t="e">
        <f>'All regions'!J531+"n/&gt;!cD"</f>
        <v>#VALUE!</v>
      </c>
      <c r="AQ22" t="e">
        <f>'All regions'!A532+"n/&gt;!cE"</f>
        <v>#VALUE!</v>
      </c>
      <c r="AR22" t="e">
        <f>'All regions'!B532+"n/&gt;!cF"</f>
        <v>#VALUE!</v>
      </c>
      <c r="AS22" t="e">
        <f>'All regions'!C532+"n/&gt;!cG"</f>
        <v>#VALUE!</v>
      </c>
      <c r="AT22" t="e">
        <f>'All regions'!D532+"n/&gt;!cH"</f>
        <v>#VALUE!</v>
      </c>
      <c r="AU22" t="e">
        <f>'All regions'!E532+"n/&gt;!cI"</f>
        <v>#VALUE!</v>
      </c>
      <c r="AV22" t="e">
        <f>'All regions'!F532+"n/&gt;!cJ"</f>
        <v>#VALUE!</v>
      </c>
      <c r="AW22" t="e">
        <f>'All regions'!G532+"n/&gt;!cK"</f>
        <v>#VALUE!</v>
      </c>
      <c r="AX22" t="e">
        <f>'All regions'!H532+"n/&gt;!cL"</f>
        <v>#VALUE!</v>
      </c>
      <c r="AY22" t="e">
        <f>'All regions'!I532+"n/&gt;!cM"</f>
        <v>#VALUE!</v>
      </c>
      <c r="AZ22" t="e">
        <f>'All regions'!J532+"n/&gt;!cN"</f>
        <v>#VALUE!</v>
      </c>
      <c r="BA22" t="e">
        <f>'All regions'!A533+"n/&gt;!cO"</f>
        <v>#VALUE!</v>
      </c>
      <c r="BB22" t="e">
        <f>'All regions'!B533+"n/&gt;!cP"</f>
        <v>#VALUE!</v>
      </c>
      <c r="BC22" t="e">
        <f>'All regions'!C533+"n/&gt;!cQ"</f>
        <v>#VALUE!</v>
      </c>
      <c r="BD22" t="e">
        <f>'All regions'!D533+"n/&gt;!cR"</f>
        <v>#VALUE!</v>
      </c>
      <c r="BE22" t="e">
        <f>'All regions'!E533+"n/&gt;!cS"</f>
        <v>#VALUE!</v>
      </c>
      <c r="BF22" t="e">
        <f>'All regions'!F533+"n/&gt;!cT"</f>
        <v>#VALUE!</v>
      </c>
      <c r="BG22" t="e">
        <f>'All regions'!G533+"n/&gt;!cU"</f>
        <v>#VALUE!</v>
      </c>
      <c r="BH22" t="e">
        <f>'All regions'!H533+"n/&gt;!cV"</f>
        <v>#VALUE!</v>
      </c>
      <c r="BI22" t="e">
        <f>'All regions'!I533+"n/&gt;!cW"</f>
        <v>#VALUE!</v>
      </c>
      <c r="BJ22" t="e">
        <f>'All regions'!J533+"n/&gt;!cX"</f>
        <v>#VALUE!</v>
      </c>
      <c r="BK22" t="e">
        <f>'All regions'!A534+"n/&gt;!cY"</f>
        <v>#VALUE!</v>
      </c>
      <c r="BL22" t="e">
        <f>'All regions'!B534+"n/&gt;!cZ"</f>
        <v>#VALUE!</v>
      </c>
      <c r="BM22" t="e">
        <f>'All regions'!C534+"n/&gt;!c["</f>
        <v>#VALUE!</v>
      </c>
      <c r="BN22" t="e">
        <f>'All regions'!D534+"n/&gt;!c\"</f>
        <v>#VALUE!</v>
      </c>
      <c r="BO22" t="e">
        <f>'All regions'!E534+"n/&gt;!c]"</f>
        <v>#VALUE!</v>
      </c>
      <c r="BP22" t="e">
        <f>'All regions'!F534+"n/&gt;!c^"</f>
        <v>#VALUE!</v>
      </c>
      <c r="BQ22" t="e">
        <f>'All regions'!G534+"n/&gt;!c_"</f>
        <v>#VALUE!</v>
      </c>
      <c r="BR22" t="e">
        <f>'All regions'!H534+"n/&gt;!c`"</f>
        <v>#VALUE!</v>
      </c>
      <c r="BS22" t="e">
        <f>'All regions'!I534+"n/&gt;!ca"</f>
        <v>#VALUE!</v>
      </c>
      <c r="BT22" t="e">
        <f>'All regions'!J534+"n/&gt;!cb"</f>
        <v>#VALUE!</v>
      </c>
      <c r="BU22" t="e">
        <f>'All regions'!A535+"n/&gt;!cc"</f>
        <v>#VALUE!</v>
      </c>
      <c r="BV22" t="e">
        <f>'All regions'!B535+"n/&gt;!cd"</f>
        <v>#VALUE!</v>
      </c>
      <c r="BW22" t="e">
        <f>'All regions'!C535+"n/&gt;!ce"</f>
        <v>#VALUE!</v>
      </c>
      <c r="BX22" t="e">
        <f>'All regions'!D535+"n/&gt;!cf"</f>
        <v>#VALUE!</v>
      </c>
      <c r="BY22" t="e">
        <f>'All regions'!E535+"n/&gt;!cg"</f>
        <v>#VALUE!</v>
      </c>
      <c r="BZ22" t="e">
        <f>'All regions'!F535+"n/&gt;!ch"</f>
        <v>#VALUE!</v>
      </c>
      <c r="CA22" t="e">
        <f>'All regions'!G535+"n/&gt;!ci"</f>
        <v>#VALUE!</v>
      </c>
      <c r="CB22" t="e">
        <f>'All regions'!H535+"n/&gt;!cj"</f>
        <v>#VALUE!</v>
      </c>
      <c r="CC22" t="e">
        <f>'All regions'!I535+"n/&gt;!ck"</f>
        <v>#VALUE!</v>
      </c>
      <c r="CD22" t="e">
        <f>'All regions'!J535+"n/&gt;!cl"</f>
        <v>#VALUE!</v>
      </c>
      <c r="CE22" t="e">
        <f>'All regions'!A536+"n/&gt;!cm"</f>
        <v>#VALUE!</v>
      </c>
      <c r="CF22" t="e">
        <f>'All regions'!B536+"n/&gt;!cn"</f>
        <v>#VALUE!</v>
      </c>
      <c r="CG22" t="e">
        <f>'All regions'!C536+"n/&gt;!co"</f>
        <v>#VALUE!</v>
      </c>
      <c r="CH22" t="e">
        <f>'All regions'!D536+"n/&gt;!cp"</f>
        <v>#VALUE!</v>
      </c>
      <c r="CI22" t="e">
        <f>'All regions'!E536+"n/&gt;!cq"</f>
        <v>#VALUE!</v>
      </c>
      <c r="CJ22" t="e">
        <f>'All regions'!F536+"n/&gt;!cr"</f>
        <v>#VALUE!</v>
      </c>
      <c r="CK22" t="e">
        <f>'All regions'!G536+"n/&gt;!cs"</f>
        <v>#VALUE!</v>
      </c>
      <c r="CL22" t="e">
        <f>'All regions'!H536+"n/&gt;!ct"</f>
        <v>#VALUE!</v>
      </c>
      <c r="CM22" t="e">
        <f>'All regions'!I536+"n/&gt;!cu"</f>
        <v>#VALUE!</v>
      </c>
      <c r="CN22" t="e">
        <f>'All regions'!J536+"n/&gt;!cv"</f>
        <v>#VALUE!</v>
      </c>
      <c r="CO22" t="e">
        <f>'All regions'!A537+"n/&gt;!cw"</f>
        <v>#VALUE!</v>
      </c>
      <c r="CP22" t="e">
        <f>'All regions'!B537+"n/&gt;!cx"</f>
        <v>#VALUE!</v>
      </c>
      <c r="CQ22" t="e">
        <f>'All regions'!C537+"n/&gt;!cy"</f>
        <v>#VALUE!</v>
      </c>
      <c r="CR22" t="e">
        <f>'All regions'!D537+"n/&gt;!cz"</f>
        <v>#VALUE!</v>
      </c>
      <c r="CS22" t="e">
        <f>'All regions'!E537+"n/&gt;!c{"</f>
        <v>#VALUE!</v>
      </c>
      <c r="CT22" t="e">
        <f>'All regions'!F537+"n/&gt;!c|"</f>
        <v>#VALUE!</v>
      </c>
      <c r="CU22" t="e">
        <f>'All regions'!G537+"n/&gt;!c}"</f>
        <v>#VALUE!</v>
      </c>
      <c r="CV22" t="e">
        <f>'All regions'!H537+"n/&gt;!c~"</f>
        <v>#VALUE!</v>
      </c>
      <c r="CW22" t="e">
        <f>'All regions'!I537+"n/&gt;!d#"</f>
        <v>#VALUE!</v>
      </c>
      <c r="CX22" t="e">
        <f>'All regions'!J537+"n/&gt;!d$"</f>
        <v>#VALUE!</v>
      </c>
      <c r="CY22" t="e">
        <f>'All regions'!A538+"n/&gt;!d%"</f>
        <v>#VALUE!</v>
      </c>
      <c r="CZ22" t="e">
        <f>'All regions'!B538+"n/&gt;!d&amp;"</f>
        <v>#VALUE!</v>
      </c>
      <c r="DA22" t="e">
        <f>'All regions'!C538+"n/&gt;!d'"</f>
        <v>#VALUE!</v>
      </c>
      <c r="DB22" t="e">
        <f>'All regions'!D538+"n/&gt;!d("</f>
        <v>#VALUE!</v>
      </c>
      <c r="DC22" t="e">
        <f>'All regions'!E538+"n/&gt;!d)"</f>
        <v>#VALUE!</v>
      </c>
      <c r="DD22" t="e">
        <f>'All regions'!F538+"n/&gt;!d."</f>
        <v>#VALUE!</v>
      </c>
      <c r="DE22" t="e">
        <f>'All regions'!G538+"n/&gt;!d/"</f>
        <v>#VALUE!</v>
      </c>
      <c r="DF22" t="e">
        <f>'All regions'!H538+"n/&gt;!d0"</f>
        <v>#VALUE!</v>
      </c>
      <c r="DG22" t="e">
        <f>'All regions'!I538+"n/&gt;!d1"</f>
        <v>#VALUE!</v>
      </c>
      <c r="DH22" t="e">
        <f>'All regions'!J538+"n/&gt;!d2"</f>
        <v>#VALUE!</v>
      </c>
      <c r="DI22" t="e">
        <f>'All regions'!A539+"n/&gt;!d3"</f>
        <v>#VALUE!</v>
      </c>
      <c r="DJ22" t="e">
        <f>'All regions'!B539+"n/&gt;!d4"</f>
        <v>#VALUE!</v>
      </c>
      <c r="DK22" t="e">
        <f>'All regions'!C539+"n/&gt;!d5"</f>
        <v>#VALUE!</v>
      </c>
      <c r="DL22" t="e">
        <f>'All regions'!D539+"n/&gt;!d6"</f>
        <v>#VALUE!</v>
      </c>
      <c r="DM22" t="e">
        <f>'All regions'!E539+"n/&gt;!d7"</f>
        <v>#VALUE!</v>
      </c>
      <c r="DN22" t="e">
        <f>'All regions'!F539+"n/&gt;!d8"</f>
        <v>#VALUE!</v>
      </c>
      <c r="DO22" t="e">
        <f>'All regions'!G539+"n/&gt;!d9"</f>
        <v>#VALUE!</v>
      </c>
      <c r="DP22" t="e">
        <f>'All regions'!H539+"n/&gt;!d:"</f>
        <v>#VALUE!</v>
      </c>
      <c r="DQ22" t="e">
        <f>'All regions'!I539+"n/&gt;!d;"</f>
        <v>#VALUE!</v>
      </c>
      <c r="DR22" t="e">
        <f>'All regions'!J539+"n/&gt;!d&lt;"</f>
        <v>#VALUE!</v>
      </c>
      <c r="DS22" t="e">
        <f>'All regions'!A540+"n/&gt;!d="</f>
        <v>#VALUE!</v>
      </c>
      <c r="DT22" t="e">
        <f>'All regions'!B540+"n/&gt;!d&gt;"</f>
        <v>#VALUE!</v>
      </c>
      <c r="DU22" t="e">
        <f>'All regions'!C540+"n/&gt;!d?"</f>
        <v>#VALUE!</v>
      </c>
      <c r="DV22" t="e">
        <f>'All regions'!D540+"n/&gt;!d@"</f>
        <v>#VALUE!</v>
      </c>
      <c r="DW22" t="e">
        <f>'All regions'!E540+"n/&gt;!dA"</f>
        <v>#VALUE!</v>
      </c>
      <c r="DX22" t="e">
        <f>'All regions'!F540+"n/&gt;!dB"</f>
        <v>#VALUE!</v>
      </c>
      <c r="DY22" t="e">
        <f>'All regions'!G540+"n/&gt;!dC"</f>
        <v>#VALUE!</v>
      </c>
      <c r="DZ22" t="e">
        <f>'All regions'!H540+"n/&gt;!dD"</f>
        <v>#VALUE!</v>
      </c>
      <c r="EA22" t="e">
        <f>'All regions'!I540+"n/&gt;!dE"</f>
        <v>#VALUE!</v>
      </c>
      <c r="EB22" t="e">
        <f>'All regions'!J540+"n/&gt;!dF"</f>
        <v>#VALUE!</v>
      </c>
      <c r="EC22" t="e">
        <f>'All regions'!A541+"n/&gt;!dG"</f>
        <v>#VALUE!</v>
      </c>
      <c r="ED22" t="e">
        <f>'All regions'!B541+"n/&gt;!dH"</f>
        <v>#VALUE!</v>
      </c>
      <c r="EE22" t="e">
        <f>'All regions'!C541+"n/&gt;!dI"</f>
        <v>#VALUE!</v>
      </c>
      <c r="EF22" t="e">
        <f>'All regions'!D541+"n/&gt;!dJ"</f>
        <v>#VALUE!</v>
      </c>
      <c r="EG22" t="e">
        <f>'All regions'!E541+"n/&gt;!dK"</f>
        <v>#VALUE!</v>
      </c>
      <c r="EH22" t="e">
        <f>'All regions'!F541+"n/&gt;!dL"</f>
        <v>#VALUE!</v>
      </c>
      <c r="EI22" t="e">
        <f>'All regions'!G541+"n/&gt;!dM"</f>
        <v>#VALUE!</v>
      </c>
      <c r="EJ22" t="e">
        <f>'All regions'!H541+"n/&gt;!dN"</f>
        <v>#VALUE!</v>
      </c>
      <c r="EK22" t="e">
        <f>'All regions'!I541+"n/&gt;!dO"</f>
        <v>#VALUE!</v>
      </c>
      <c r="EL22" t="e">
        <f>'All regions'!J541+"n/&gt;!dP"</f>
        <v>#VALUE!</v>
      </c>
      <c r="EM22" t="e">
        <f>'All regions'!A542+"n/&gt;!dQ"</f>
        <v>#VALUE!</v>
      </c>
      <c r="EN22" t="e">
        <f>'All regions'!B542+"n/&gt;!dR"</f>
        <v>#VALUE!</v>
      </c>
      <c r="EO22" t="e">
        <f>'All regions'!C542+"n/&gt;!dS"</f>
        <v>#VALUE!</v>
      </c>
      <c r="EP22" t="e">
        <f>'All regions'!D542+"n/&gt;!dT"</f>
        <v>#VALUE!</v>
      </c>
      <c r="EQ22" t="e">
        <f>'All regions'!E542+"n/&gt;!dU"</f>
        <v>#VALUE!</v>
      </c>
      <c r="ER22" t="e">
        <f>'All regions'!F542+"n/&gt;!dV"</f>
        <v>#VALUE!</v>
      </c>
      <c r="ES22" t="e">
        <f>'All regions'!G542+"n/&gt;!dW"</f>
        <v>#VALUE!</v>
      </c>
      <c r="ET22" t="e">
        <f>'All regions'!H542+"n/&gt;!dX"</f>
        <v>#VALUE!</v>
      </c>
      <c r="EU22" t="e">
        <f>'All regions'!I542+"n/&gt;!dY"</f>
        <v>#VALUE!</v>
      </c>
      <c r="EV22" t="e">
        <f>'All regions'!J542+"n/&gt;!dZ"</f>
        <v>#VALUE!</v>
      </c>
      <c r="EW22" t="e">
        <f>'All regions'!A543+"n/&gt;!d["</f>
        <v>#VALUE!</v>
      </c>
      <c r="EX22" t="e">
        <f>'All regions'!B543+"n/&gt;!d\"</f>
        <v>#VALUE!</v>
      </c>
      <c r="EY22" t="e">
        <f>'All regions'!C543+"n/&gt;!d]"</f>
        <v>#VALUE!</v>
      </c>
      <c r="EZ22" t="e">
        <f>'All regions'!D543+"n/&gt;!d^"</f>
        <v>#VALUE!</v>
      </c>
      <c r="FA22" t="e">
        <f>'All regions'!E543+"n/&gt;!d_"</f>
        <v>#VALUE!</v>
      </c>
      <c r="FB22" t="e">
        <f>'All regions'!F543+"n/&gt;!d`"</f>
        <v>#VALUE!</v>
      </c>
      <c r="FC22" t="e">
        <f>'All regions'!G543+"n/&gt;!da"</f>
        <v>#VALUE!</v>
      </c>
      <c r="FD22" t="e">
        <f>'All regions'!H543+"n/&gt;!db"</f>
        <v>#VALUE!</v>
      </c>
      <c r="FE22" t="e">
        <f>'All regions'!I543+"n/&gt;!dc"</f>
        <v>#VALUE!</v>
      </c>
      <c r="FF22" t="e">
        <f>'All regions'!J543+"n/&gt;!dd"</f>
        <v>#VALUE!</v>
      </c>
      <c r="FG22" t="e">
        <f>'All regions'!A544+"n/&gt;!de"</f>
        <v>#VALUE!</v>
      </c>
      <c r="FH22" t="e">
        <f>'All regions'!B544+"n/&gt;!df"</f>
        <v>#VALUE!</v>
      </c>
      <c r="FI22" t="e">
        <f>'All regions'!C544+"n/&gt;!dg"</f>
        <v>#VALUE!</v>
      </c>
      <c r="FJ22" t="e">
        <f>'All regions'!D544+"n/&gt;!dh"</f>
        <v>#VALUE!</v>
      </c>
      <c r="FK22" t="e">
        <f>'All regions'!E544+"n/&gt;!di"</f>
        <v>#VALUE!</v>
      </c>
      <c r="FL22" t="e">
        <f>'All regions'!F544+"n/&gt;!dj"</f>
        <v>#VALUE!</v>
      </c>
      <c r="FM22" t="e">
        <f>'All regions'!G544+"n/&gt;!dk"</f>
        <v>#VALUE!</v>
      </c>
      <c r="FN22" t="e">
        <f>'All regions'!H544+"n/&gt;!dl"</f>
        <v>#VALUE!</v>
      </c>
      <c r="FO22" t="e">
        <f>'All regions'!I544+"n/&gt;!dm"</f>
        <v>#VALUE!</v>
      </c>
      <c r="FP22" t="e">
        <f>'All regions'!J544+"n/&gt;!dn"</f>
        <v>#VALUE!</v>
      </c>
      <c r="FQ22" t="e">
        <f>'All regions'!A545+"n/&gt;!do"</f>
        <v>#VALUE!</v>
      </c>
      <c r="FR22" t="e">
        <f>'All regions'!B545+"n/&gt;!dp"</f>
        <v>#VALUE!</v>
      </c>
      <c r="FS22" t="e">
        <f>'All regions'!C545+"n/&gt;!dq"</f>
        <v>#VALUE!</v>
      </c>
      <c r="FT22" t="e">
        <f>'All regions'!D545+"n/&gt;!dr"</f>
        <v>#VALUE!</v>
      </c>
      <c r="FU22" t="e">
        <f>'All regions'!E545+"n/&gt;!ds"</f>
        <v>#VALUE!</v>
      </c>
      <c r="FV22" t="e">
        <f>'All regions'!F545+"n/&gt;!dt"</f>
        <v>#VALUE!</v>
      </c>
      <c r="FW22" t="e">
        <f>'All regions'!G545+"n/&gt;!du"</f>
        <v>#VALUE!</v>
      </c>
      <c r="FX22" t="e">
        <f>'All regions'!H545+"n/&gt;!dv"</f>
        <v>#VALUE!</v>
      </c>
      <c r="FY22" t="e">
        <f>'All regions'!I545+"n/&gt;!dw"</f>
        <v>#VALUE!</v>
      </c>
      <c r="FZ22" t="e">
        <f>'All regions'!J545+"n/&gt;!dx"</f>
        <v>#VALUE!</v>
      </c>
      <c r="GA22" t="e">
        <f>'All regions'!A546+"n/&gt;!dy"</f>
        <v>#VALUE!</v>
      </c>
      <c r="GB22" t="e">
        <f>'All regions'!B546+"n/&gt;!dz"</f>
        <v>#VALUE!</v>
      </c>
      <c r="GC22" t="e">
        <f>'All regions'!C546+"n/&gt;!d{"</f>
        <v>#VALUE!</v>
      </c>
      <c r="GD22" t="e">
        <f>'All regions'!D546+"n/&gt;!d|"</f>
        <v>#VALUE!</v>
      </c>
      <c r="GE22" t="e">
        <f>'All regions'!E546+"n/&gt;!d}"</f>
        <v>#VALUE!</v>
      </c>
      <c r="GF22" t="e">
        <f>'All regions'!F546+"n/&gt;!d~"</f>
        <v>#VALUE!</v>
      </c>
      <c r="GG22" t="e">
        <f>'All regions'!G546+"n/&gt;!e#"</f>
        <v>#VALUE!</v>
      </c>
      <c r="GH22" t="e">
        <f>'All regions'!H546+"n/&gt;!e$"</f>
        <v>#VALUE!</v>
      </c>
      <c r="GI22" t="e">
        <f>'All regions'!I546+"n/&gt;!e%"</f>
        <v>#VALUE!</v>
      </c>
      <c r="GJ22" t="e">
        <f>'All regions'!J546+"n/&gt;!e&amp;"</f>
        <v>#VALUE!</v>
      </c>
      <c r="GK22" t="e">
        <f>'All regions'!A547+"n/&gt;!e'"</f>
        <v>#VALUE!</v>
      </c>
      <c r="GL22" t="e">
        <f>'All regions'!B547+"n/&gt;!e("</f>
        <v>#VALUE!</v>
      </c>
      <c r="GM22" t="e">
        <f>'All regions'!C547+"n/&gt;!e)"</f>
        <v>#VALUE!</v>
      </c>
      <c r="GN22" t="e">
        <f>'All regions'!D547+"n/&gt;!e."</f>
        <v>#VALUE!</v>
      </c>
      <c r="GO22" t="e">
        <f>'All regions'!E547+"n/&gt;!e/"</f>
        <v>#VALUE!</v>
      </c>
      <c r="GP22" t="e">
        <f>'All regions'!F547+"n/&gt;!e0"</f>
        <v>#VALUE!</v>
      </c>
      <c r="GQ22" t="e">
        <f>'All regions'!G547+"n/&gt;!e1"</f>
        <v>#VALUE!</v>
      </c>
      <c r="GR22" t="e">
        <f>'All regions'!H547+"n/&gt;!e2"</f>
        <v>#VALUE!</v>
      </c>
      <c r="GS22" t="e">
        <f>'All regions'!I547+"n/&gt;!e3"</f>
        <v>#VALUE!</v>
      </c>
      <c r="GT22" t="e">
        <f>'All regions'!J547+"n/&gt;!e4"</f>
        <v>#VALUE!</v>
      </c>
      <c r="GU22" t="e">
        <f>'All regions'!A548+"n/&gt;!e5"</f>
        <v>#VALUE!</v>
      </c>
      <c r="GV22" t="e">
        <f>'All regions'!B548+"n/&gt;!e6"</f>
        <v>#VALUE!</v>
      </c>
      <c r="GW22" t="e">
        <f>'All regions'!C548+"n/&gt;!e7"</f>
        <v>#VALUE!</v>
      </c>
      <c r="GX22" t="e">
        <f>'All regions'!D548+"n/&gt;!e8"</f>
        <v>#VALUE!</v>
      </c>
      <c r="GY22" t="e">
        <f>'All regions'!E548+"n/&gt;!e9"</f>
        <v>#VALUE!</v>
      </c>
      <c r="GZ22" t="e">
        <f>'All regions'!F548+"n/&gt;!e:"</f>
        <v>#VALUE!</v>
      </c>
      <c r="HA22" t="e">
        <f>'All regions'!G548+"n/&gt;!e;"</f>
        <v>#VALUE!</v>
      </c>
      <c r="HB22" t="e">
        <f>'All regions'!H548+"n/&gt;!e&lt;"</f>
        <v>#VALUE!</v>
      </c>
      <c r="HC22" t="e">
        <f>'All regions'!I548+"n/&gt;!e="</f>
        <v>#VALUE!</v>
      </c>
      <c r="HD22" t="e">
        <f>'All regions'!J548+"n/&gt;!e&gt;"</f>
        <v>#VALUE!</v>
      </c>
      <c r="HE22" t="e">
        <f>'All regions'!A549+"n/&gt;!e?"</f>
        <v>#VALUE!</v>
      </c>
      <c r="HF22" t="e">
        <f>'All regions'!B549+"n/&gt;!e@"</f>
        <v>#VALUE!</v>
      </c>
      <c r="HG22" t="e">
        <f>'All regions'!C549+"n/&gt;!eA"</f>
        <v>#VALUE!</v>
      </c>
      <c r="HH22" t="e">
        <f>'All regions'!D549+"n/&gt;!eB"</f>
        <v>#VALUE!</v>
      </c>
      <c r="HI22" t="e">
        <f>'All regions'!E549+"n/&gt;!eC"</f>
        <v>#VALUE!</v>
      </c>
      <c r="HJ22" t="e">
        <f>'All regions'!F549+"n/&gt;!eD"</f>
        <v>#VALUE!</v>
      </c>
      <c r="HK22" t="e">
        <f>'All regions'!G549+"n/&gt;!eE"</f>
        <v>#VALUE!</v>
      </c>
      <c r="HL22" t="e">
        <f>'All regions'!H549+"n/&gt;!eF"</f>
        <v>#VALUE!</v>
      </c>
      <c r="HM22" t="e">
        <f>'All regions'!I549+"n/&gt;!eG"</f>
        <v>#VALUE!</v>
      </c>
      <c r="HN22" t="e">
        <f>'All regions'!J549+"n/&gt;!eH"</f>
        <v>#VALUE!</v>
      </c>
      <c r="HO22" t="e">
        <f>'All regions'!A550+"n/&gt;!eI"</f>
        <v>#VALUE!</v>
      </c>
      <c r="HP22" t="e">
        <f>'All regions'!B550+"n/&gt;!eJ"</f>
        <v>#VALUE!</v>
      </c>
      <c r="HQ22" t="e">
        <f>'All regions'!C550+"n/&gt;!eK"</f>
        <v>#VALUE!</v>
      </c>
      <c r="HR22" t="e">
        <f>'All regions'!D550+"n/&gt;!eL"</f>
        <v>#VALUE!</v>
      </c>
      <c r="HS22" t="e">
        <f>'All regions'!E550+"n/&gt;!eM"</f>
        <v>#VALUE!</v>
      </c>
      <c r="HT22" t="e">
        <f>'All regions'!F550+"n/&gt;!eN"</f>
        <v>#VALUE!</v>
      </c>
      <c r="HU22" t="e">
        <f>'All regions'!G550+"n/&gt;!eO"</f>
        <v>#VALUE!</v>
      </c>
      <c r="HV22" t="e">
        <f>'All regions'!H550+"n/&gt;!eP"</f>
        <v>#VALUE!</v>
      </c>
      <c r="HW22" t="e">
        <f>'All regions'!I550+"n/&gt;!eQ"</f>
        <v>#VALUE!</v>
      </c>
      <c r="HX22" t="e">
        <f>'All regions'!J550+"n/&gt;!eR"</f>
        <v>#VALUE!</v>
      </c>
      <c r="HY22" t="e">
        <f>'All regions'!A551+"n/&gt;!eS"</f>
        <v>#VALUE!</v>
      </c>
      <c r="HZ22" t="e">
        <f>'All regions'!B551+"n/&gt;!eT"</f>
        <v>#VALUE!</v>
      </c>
      <c r="IA22" t="e">
        <f>'All regions'!C551+"n/&gt;!eU"</f>
        <v>#VALUE!</v>
      </c>
      <c r="IB22" t="e">
        <f>'All regions'!D551+"n/&gt;!eV"</f>
        <v>#VALUE!</v>
      </c>
      <c r="IC22" t="e">
        <f>'All regions'!E551+"n/&gt;!eW"</f>
        <v>#VALUE!</v>
      </c>
      <c r="ID22" t="e">
        <f>'All regions'!F551+"n/&gt;!eX"</f>
        <v>#VALUE!</v>
      </c>
      <c r="IE22" t="e">
        <f>'All regions'!G551+"n/&gt;!eY"</f>
        <v>#VALUE!</v>
      </c>
      <c r="IF22" t="e">
        <f>'All regions'!H551+"n/&gt;!eZ"</f>
        <v>#VALUE!</v>
      </c>
      <c r="IG22" t="e">
        <f>'All regions'!I551+"n/&gt;!e["</f>
        <v>#VALUE!</v>
      </c>
      <c r="IH22" t="e">
        <f>'All regions'!J551+"n/&gt;!e\"</f>
        <v>#VALUE!</v>
      </c>
      <c r="II22" t="e">
        <f>'All regions'!A552+"n/&gt;!e]"</f>
        <v>#VALUE!</v>
      </c>
      <c r="IJ22" t="e">
        <f>'All regions'!B552+"n/&gt;!e^"</f>
        <v>#VALUE!</v>
      </c>
      <c r="IK22" t="e">
        <f>'All regions'!C552+"n/&gt;!e_"</f>
        <v>#VALUE!</v>
      </c>
      <c r="IL22" t="e">
        <f>'All regions'!D552+"n/&gt;!e`"</f>
        <v>#VALUE!</v>
      </c>
      <c r="IM22" t="e">
        <f>'All regions'!E552+"n/&gt;!ea"</f>
        <v>#VALUE!</v>
      </c>
      <c r="IN22" t="e">
        <f>'All regions'!F552+"n/&gt;!eb"</f>
        <v>#VALUE!</v>
      </c>
      <c r="IO22" t="e">
        <f>'All regions'!G552+"n/&gt;!ec"</f>
        <v>#VALUE!</v>
      </c>
      <c r="IP22" t="e">
        <f>'All regions'!H552+"n/&gt;!ed"</f>
        <v>#VALUE!</v>
      </c>
      <c r="IQ22" t="e">
        <f>'All regions'!I552+"n/&gt;!ee"</f>
        <v>#VALUE!</v>
      </c>
      <c r="IR22" t="e">
        <f>'All regions'!J552+"n/&gt;!ef"</f>
        <v>#VALUE!</v>
      </c>
      <c r="IS22" t="e">
        <f>'All regions'!A553+"n/&gt;!eg"</f>
        <v>#VALUE!</v>
      </c>
      <c r="IT22" t="e">
        <f>'All regions'!B553+"n/&gt;!eh"</f>
        <v>#VALUE!</v>
      </c>
      <c r="IU22" t="e">
        <f>'All regions'!C553+"n/&gt;!ei"</f>
        <v>#VALUE!</v>
      </c>
      <c r="IV22" t="e">
        <f>'All regions'!D553+"n/&gt;!ej"</f>
        <v>#VALUE!</v>
      </c>
    </row>
    <row r="23" spans="6:256" x14ac:dyDescent="0.35">
      <c r="F23" t="e">
        <f>'All regions'!E553+"n/&gt;!ek"</f>
        <v>#VALUE!</v>
      </c>
      <c r="G23" t="e">
        <f>'All regions'!F553+"n/&gt;!el"</f>
        <v>#VALUE!</v>
      </c>
      <c r="H23" t="e">
        <f>'All regions'!G553+"n/&gt;!em"</f>
        <v>#VALUE!</v>
      </c>
      <c r="I23" t="e">
        <f>'All regions'!H553+"n/&gt;!en"</f>
        <v>#VALUE!</v>
      </c>
      <c r="J23" t="e">
        <f>'All regions'!I553+"n/&gt;!eo"</f>
        <v>#VALUE!</v>
      </c>
      <c r="K23" t="e">
        <f>'All regions'!J553+"n/&gt;!ep"</f>
        <v>#VALUE!</v>
      </c>
      <c r="L23" t="e">
        <f>'All regions'!A554+"n/&gt;!eq"</f>
        <v>#VALUE!</v>
      </c>
      <c r="M23" t="e">
        <f>'All regions'!B554+"n/&gt;!er"</f>
        <v>#VALUE!</v>
      </c>
      <c r="N23" t="e">
        <f>'All regions'!C554+"n/&gt;!es"</f>
        <v>#VALUE!</v>
      </c>
      <c r="O23" t="e">
        <f>'All regions'!D554+"n/&gt;!et"</f>
        <v>#VALUE!</v>
      </c>
      <c r="P23" t="e">
        <f>'All regions'!E554+"n/&gt;!eu"</f>
        <v>#VALUE!</v>
      </c>
      <c r="Q23" t="e">
        <f>'All regions'!F554+"n/&gt;!ev"</f>
        <v>#VALUE!</v>
      </c>
      <c r="R23" t="e">
        <f>'All regions'!G554+"n/&gt;!ew"</f>
        <v>#VALUE!</v>
      </c>
      <c r="S23" t="e">
        <f>'All regions'!H554+"n/&gt;!ex"</f>
        <v>#VALUE!</v>
      </c>
      <c r="T23" t="e">
        <f>'All regions'!I554+"n/&gt;!ey"</f>
        <v>#VALUE!</v>
      </c>
      <c r="U23" t="e">
        <f>'All regions'!J554+"n/&gt;!ez"</f>
        <v>#VALUE!</v>
      </c>
      <c r="V23" t="e">
        <f>'All regions'!A555+"n/&gt;!e{"</f>
        <v>#VALUE!</v>
      </c>
      <c r="W23" t="e">
        <f>'All regions'!B555+"n/&gt;!e|"</f>
        <v>#VALUE!</v>
      </c>
      <c r="X23" t="e">
        <f>'All regions'!C555+"n/&gt;!e}"</f>
        <v>#VALUE!</v>
      </c>
      <c r="Y23" t="e">
        <f>'All regions'!D555+"n/&gt;!e~"</f>
        <v>#VALUE!</v>
      </c>
      <c r="Z23" t="e">
        <f>'All regions'!E555+"n/&gt;!f#"</f>
        <v>#VALUE!</v>
      </c>
      <c r="AA23" t="e">
        <f>'All regions'!F555+"n/&gt;!f$"</f>
        <v>#VALUE!</v>
      </c>
      <c r="AB23" t="e">
        <f>'All regions'!G555+"n/&gt;!f%"</f>
        <v>#VALUE!</v>
      </c>
      <c r="AC23" t="e">
        <f>'All regions'!H555+"n/&gt;!f&amp;"</f>
        <v>#VALUE!</v>
      </c>
      <c r="AD23" t="e">
        <f>'All regions'!I555+"n/&gt;!f'"</f>
        <v>#VALUE!</v>
      </c>
      <c r="AE23" t="e">
        <f>'All regions'!J555+"n/&gt;!f("</f>
        <v>#VALUE!</v>
      </c>
      <c r="AF23" t="e">
        <f>'All regions'!A556+"n/&gt;!f)"</f>
        <v>#VALUE!</v>
      </c>
      <c r="AG23" t="e">
        <f>'All regions'!B556+"n/&gt;!f."</f>
        <v>#VALUE!</v>
      </c>
      <c r="AH23" t="e">
        <f>'All regions'!C556+"n/&gt;!f/"</f>
        <v>#VALUE!</v>
      </c>
      <c r="AI23" t="e">
        <f>'All regions'!D556+"n/&gt;!f0"</f>
        <v>#VALUE!</v>
      </c>
      <c r="AJ23" t="e">
        <f>'All regions'!E556+"n/&gt;!f1"</f>
        <v>#VALUE!</v>
      </c>
      <c r="AK23" t="e">
        <f>'All regions'!F556+"n/&gt;!f2"</f>
        <v>#VALUE!</v>
      </c>
      <c r="AL23" t="e">
        <f>'All regions'!G556+"n/&gt;!f3"</f>
        <v>#VALUE!</v>
      </c>
      <c r="AM23" t="e">
        <f>'All regions'!H556+"n/&gt;!f4"</f>
        <v>#VALUE!</v>
      </c>
      <c r="AN23" t="e">
        <f>'All regions'!I556+"n/&gt;!f5"</f>
        <v>#VALUE!</v>
      </c>
      <c r="AO23" t="e">
        <f>'All regions'!J556+"n/&gt;!f6"</f>
        <v>#VALUE!</v>
      </c>
      <c r="AP23" t="e">
        <f>'All regions'!A557+"n/&gt;!f7"</f>
        <v>#VALUE!</v>
      </c>
      <c r="AQ23" t="e">
        <f>'All regions'!B557+"n/&gt;!f8"</f>
        <v>#VALUE!</v>
      </c>
      <c r="AR23" t="e">
        <f>'All regions'!C557+"n/&gt;!f9"</f>
        <v>#VALUE!</v>
      </c>
      <c r="AS23" t="e">
        <f>'All regions'!D557+"n/&gt;!f:"</f>
        <v>#VALUE!</v>
      </c>
      <c r="AT23" t="e">
        <f>'All regions'!E557+"n/&gt;!f;"</f>
        <v>#VALUE!</v>
      </c>
      <c r="AU23" t="e">
        <f>'All regions'!F557+"n/&gt;!f&lt;"</f>
        <v>#VALUE!</v>
      </c>
      <c r="AV23" t="e">
        <f>'All regions'!G557+"n/&gt;!f="</f>
        <v>#VALUE!</v>
      </c>
      <c r="AW23" t="e">
        <f>'All regions'!H557+"n/&gt;!f&gt;"</f>
        <v>#VALUE!</v>
      </c>
      <c r="AX23" t="e">
        <f>'All regions'!I557+"n/&gt;!f?"</f>
        <v>#VALUE!</v>
      </c>
      <c r="AY23" t="e">
        <f>'All regions'!J557+"n/&gt;!f@"</f>
        <v>#VALUE!</v>
      </c>
      <c r="AZ23" t="e">
        <f>'All regions'!A558+"n/&gt;!fA"</f>
        <v>#VALUE!</v>
      </c>
      <c r="BA23" t="e">
        <f>'All regions'!B558+"n/&gt;!fB"</f>
        <v>#VALUE!</v>
      </c>
      <c r="BB23" t="e">
        <f>'All regions'!C558+"n/&gt;!fC"</f>
        <v>#VALUE!</v>
      </c>
      <c r="BC23" t="e">
        <f>'All regions'!D558+"n/&gt;!fD"</f>
        <v>#VALUE!</v>
      </c>
      <c r="BD23" t="e">
        <f>'All regions'!E558+"n/&gt;!fE"</f>
        <v>#VALUE!</v>
      </c>
      <c r="BE23" t="e">
        <f>'All regions'!F558+"n/&gt;!fF"</f>
        <v>#VALUE!</v>
      </c>
      <c r="BF23" t="e">
        <f>'All regions'!G558+"n/&gt;!fG"</f>
        <v>#VALUE!</v>
      </c>
      <c r="BG23" t="e">
        <f>'All regions'!H558+"n/&gt;!fH"</f>
        <v>#VALUE!</v>
      </c>
      <c r="BH23" t="e">
        <f>'All regions'!I558+"n/&gt;!fI"</f>
        <v>#VALUE!</v>
      </c>
      <c r="BI23" t="e">
        <f>'All regions'!J558+"n/&gt;!fJ"</f>
        <v>#VALUE!</v>
      </c>
      <c r="BJ23" t="e">
        <f>'All regions'!A559+"n/&gt;!fK"</f>
        <v>#VALUE!</v>
      </c>
      <c r="BK23" t="e">
        <f>'All regions'!B559+"n/&gt;!fL"</f>
        <v>#VALUE!</v>
      </c>
      <c r="BL23" t="e">
        <f>'All regions'!C559+"n/&gt;!fM"</f>
        <v>#VALUE!</v>
      </c>
      <c r="BM23" t="e">
        <f>'All regions'!D559+"n/&gt;!fN"</f>
        <v>#VALUE!</v>
      </c>
      <c r="BN23" t="e">
        <f>'All regions'!E559+"n/&gt;!fO"</f>
        <v>#VALUE!</v>
      </c>
      <c r="BO23" t="e">
        <f>'All regions'!F559+"n/&gt;!fP"</f>
        <v>#VALUE!</v>
      </c>
      <c r="BP23" t="e">
        <f>'All regions'!G559+"n/&gt;!fQ"</f>
        <v>#VALUE!</v>
      </c>
      <c r="BQ23" t="e">
        <f>'All regions'!H559+"n/&gt;!fR"</f>
        <v>#VALUE!</v>
      </c>
      <c r="BR23" t="e">
        <f>'All regions'!I559+"n/&gt;!fS"</f>
        <v>#VALUE!</v>
      </c>
      <c r="BS23" t="e">
        <f>'All regions'!J559+"n/&gt;!fT"</f>
        <v>#VALUE!</v>
      </c>
      <c r="BT23" t="e">
        <f>'All regions'!A560+"n/&gt;!fU"</f>
        <v>#VALUE!</v>
      </c>
      <c r="BU23" t="e">
        <f>'All regions'!B560+"n/&gt;!fV"</f>
        <v>#VALUE!</v>
      </c>
      <c r="BV23" t="e">
        <f>'All regions'!C560+"n/&gt;!fW"</f>
        <v>#VALUE!</v>
      </c>
      <c r="BW23" t="e">
        <f>'All regions'!D560+"n/&gt;!fX"</f>
        <v>#VALUE!</v>
      </c>
      <c r="BX23" t="e">
        <f>'All regions'!E560+"n/&gt;!fY"</f>
        <v>#VALUE!</v>
      </c>
      <c r="BY23" t="e">
        <f>'All regions'!F560+"n/&gt;!fZ"</f>
        <v>#VALUE!</v>
      </c>
      <c r="BZ23" t="e">
        <f>'All regions'!G560+"n/&gt;!f["</f>
        <v>#VALUE!</v>
      </c>
      <c r="CA23" t="e">
        <f>'All regions'!H560+"n/&gt;!f\"</f>
        <v>#VALUE!</v>
      </c>
      <c r="CB23" t="e">
        <f>'All regions'!I560+"n/&gt;!f]"</f>
        <v>#VALUE!</v>
      </c>
      <c r="CC23" t="e">
        <f>'All regions'!J560+"n/&gt;!f^"</f>
        <v>#VALUE!</v>
      </c>
      <c r="CD23" t="e">
        <f>'All regions'!A561+"n/&gt;!f_"</f>
        <v>#VALUE!</v>
      </c>
      <c r="CE23" t="e">
        <f>'All regions'!B561+"n/&gt;!f`"</f>
        <v>#VALUE!</v>
      </c>
      <c r="CF23" t="e">
        <f>'All regions'!C561+"n/&gt;!fa"</f>
        <v>#VALUE!</v>
      </c>
      <c r="CG23" t="e">
        <f>'All regions'!D561+"n/&gt;!fb"</f>
        <v>#VALUE!</v>
      </c>
      <c r="CH23" t="e">
        <f>'All regions'!E561+"n/&gt;!fc"</f>
        <v>#VALUE!</v>
      </c>
      <c r="CI23" t="e">
        <f>'All regions'!F561+"n/&gt;!fd"</f>
        <v>#VALUE!</v>
      </c>
      <c r="CJ23" t="e">
        <f>'All regions'!G561+"n/&gt;!fe"</f>
        <v>#VALUE!</v>
      </c>
      <c r="CK23" t="e">
        <f>'All regions'!H561+"n/&gt;!ff"</f>
        <v>#VALUE!</v>
      </c>
      <c r="CL23" t="e">
        <f>'All regions'!I561+"n/&gt;!fg"</f>
        <v>#VALUE!</v>
      </c>
      <c r="CM23" t="e">
        <f>'All regions'!J561+"n/&gt;!fh"</f>
        <v>#VALUE!</v>
      </c>
      <c r="CN23" t="e">
        <f>'All regions'!A562+"n/&gt;!fi"</f>
        <v>#VALUE!</v>
      </c>
      <c r="CO23" t="e">
        <f>'All regions'!B562+"n/&gt;!fj"</f>
        <v>#VALUE!</v>
      </c>
      <c r="CP23" t="e">
        <f>'All regions'!C562+"n/&gt;!fk"</f>
        <v>#VALUE!</v>
      </c>
      <c r="CQ23" t="e">
        <f>'All regions'!D562+"n/&gt;!fl"</f>
        <v>#VALUE!</v>
      </c>
      <c r="CR23" t="e">
        <f>'All regions'!E562+"n/&gt;!fm"</f>
        <v>#VALUE!</v>
      </c>
      <c r="CS23" t="e">
        <f>'All regions'!F562+"n/&gt;!fn"</f>
        <v>#VALUE!</v>
      </c>
      <c r="CT23" t="e">
        <f>'All regions'!G562+"n/&gt;!fo"</f>
        <v>#VALUE!</v>
      </c>
      <c r="CU23" t="e">
        <f>'All regions'!H562+"n/&gt;!fp"</f>
        <v>#VALUE!</v>
      </c>
      <c r="CV23" t="e">
        <f>'All regions'!I562+"n/&gt;!fq"</f>
        <v>#VALUE!</v>
      </c>
      <c r="CW23" t="e">
        <f>'All regions'!J562+"n/&gt;!fr"</f>
        <v>#VALUE!</v>
      </c>
      <c r="CX23" t="e">
        <f>'All regions'!A563+"n/&gt;!fs"</f>
        <v>#VALUE!</v>
      </c>
      <c r="CY23" t="e">
        <f>'All regions'!B563+"n/&gt;!ft"</f>
        <v>#VALUE!</v>
      </c>
      <c r="CZ23" t="e">
        <f>'All regions'!C563+"n/&gt;!fu"</f>
        <v>#VALUE!</v>
      </c>
      <c r="DA23" t="e">
        <f>'All regions'!D563+"n/&gt;!fv"</f>
        <v>#VALUE!</v>
      </c>
      <c r="DB23" t="e">
        <f>'All regions'!E563+"n/&gt;!fw"</f>
        <v>#VALUE!</v>
      </c>
      <c r="DC23" t="e">
        <f>'All regions'!F563+"n/&gt;!fx"</f>
        <v>#VALUE!</v>
      </c>
      <c r="DD23" t="e">
        <f>'All regions'!G563+"n/&gt;!fy"</f>
        <v>#VALUE!</v>
      </c>
      <c r="DE23" t="e">
        <f>'All regions'!H563+"n/&gt;!fz"</f>
        <v>#VALUE!</v>
      </c>
      <c r="DF23" t="e">
        <f>'All regions'!I563+"n/&gt;!f{"</f>
        <v>#VALUE!</v>
      </c>
      <c r="DG23" t="e">
        <f>'All regions'!J563+"n/&gt;!f|"</f>
        <v>#VALUE!</v>
      </c>
      <c r="DH23" t="e">
        <f>'All regions'!A564+"n/&gt;!f}"</f>
        <v>#VALUE!</v>
      </c>
      <c r="DI23" t="e">
        <f>'All regions'!B564+"n/&gt;!f~"</f>
        <v>#VALUE!</v>
      </c>
      <c r="DJ23" t="e">
        <f>'All regions'!C564+"n/&gt;!g#"</f>
        <v>#VALUE!</v>
      </c>
      <c r="DK23" t="e">
        <f>'All regions'!D564+"n/&gt;!g$"</f>
        <v>#VALUE!</v>
      </c>
      <c r="DL23" t="e">
        <f>'All regions'!E564+"n/&gt;!g%"</f>
        <v>#VALUE!</v>
      </c>
      <c r="DM23" t="e">
        <f>'All regions'!F564+"n/&gt;!g&amp;"</f>
        <v>#VALUE!</v>
      </c>
      <c r="DN23" t="e">
        <f>'All regions'!G564+"n/&gt;!g'"</f>
        <v>#VALUE!</v>
      </c>
      <c r="DO23" t="e">
        <f>'All regions'!H564+"n/&gt;!g("</f>
        <v>#VALUE!</v>
      </c>
      <c r="DP23" t="e">
        <f>'All regions'!I564+"n/&gt;!g)"</f>
        <v>#VALUE!</v>
      </c>
      <c r="DQ23" t="e">
        <f>'All regions'!J564+"n/&gt;!g."</f>
        <v>#VALUE!</v>
      </c>
      <c r="DR23" t="e">
        <f>'All regions'!A565+"n/&gt;!g/"</f>
        <v>#VALUE!</v>
      </c>
      <c r="DS23" t="e">
        <f>'All regions'!B565+"n/&gt;!g0"</f>
        <v>#VALUE!</v>
      </c>
      <c r="DT23" t="e">
        <f>'All regions'!C565+"n/&gt;!g1"</f>
        <v>#VALUE!</v>
      </c>
      <c r="DU23" t="e">
        <f>'All regions'!D565+"n/&gt;!g2"</f>
        <v>#VALUE!</v>
      </c>
      <c r="DV23" t="e">
        <f>'All regions'!E565+"n/&gt;!g3"</f>
        <v>#VALUE!</v>
      </c>
      <c r="DW23" t="e">
        <f>'All regions'!F565+"n/&gt;!g4"</f>
        <v>#VALUE!</v>
      </c>
      <c r="DX23" t="e">
        <f>'All regions'!G565+"n/&gt;!g5"</f>
        <v>#VALUE!</v>
      </c>
      <c r="DY23" t="e">
        <f>'All regions'!H565+"n/&gt;!g6"</f>
        <v>#VALUE!</v>
      </c>
      <c r="DZ23" t="e">
        <f>'All regions'!I565+"n/&gt;!g7"</f>
        <v>#VALUE!</v>
      </c>
      <c r="EA23" t="e">
        <f>'All regions'!J565+"n/&gt;!g8"</f>
        <v>#VALUE!</v>
      </c>
      <c r="EB23" t="e">
        <f>'All regions'!A566+"n/&gt;!g9"</f>
        <v>#VALUE!</v>
      </c>
      <c r="EC23" t="e">
        <f>'All regions'!B566+"n/&gt;!g:"</f>
        <v>#VALUE!</v>
      </c>
      <c r="ED23" t="e">
        <f>'All regions'!C566+"n/&gt;!g;"</f>
        <v>#VALUE!</v>
      </c>
      <c r="EE23" t="e">
        <f>'All regions'!D566+"n/&gt;!g&lt;"</f>
        <v>#VALUE!</v>
      </c>
      <c r="EF23" t="e">
        <f>'All regions'!E566+"n/&gt;!g="</f>
        <v>#VALUE!</v>
      </c>
      <c r="EG23" t="e">
        <f>'All regions'!F566+"n/&gt;!g&gt;"</f>
        <v>#VALUE!</v>
      </c>
      <c r="EH23" t="e">
        <f>'All regions'!G566+"n/&gt;!g?"</f>
        <v>#VALUE!</v>
      </c>
      <c r="EI23" t="e">
        <f>'All regions'!H566+"n/&gt;!g@"</f>
        <v>#VALUE!</v>
      </c>
      <c r="EJ23" t="e">
        <f>'All regions'!I566+"n/&gt;!gA"</f>
        <v>#VALUE!</v>
      </c>
      <c r="EK23" t="e">
        <f>'All regions'!J566+"n/&gt;!gB"</f>
        <v>#VALUE!</v>
      </c>
      <c r="EL23" t="e">
        <f>'All regions'!A567+"n/&gt;!gC"</f>
        <v>#VALUE!</v>
      </c>
      <c r="EM23" t="e">
        <f>'All regions'!B567+"n/&gt;!gD"</f>
        <v>#VALUE!</v>
      </c>
      <c r="EN23" t="e">
        <f>'All regions'!C567+"n/&gt;!gE"</f>
        <v>#VALUE!</v>
      </c>
      <c r="EO23" t="e">
        <f>'All regions'!D567+"n/&gt;!gF"</f>
        <v>#VALUE!</v>
      </c>
      <c r="EP23" t="e">
        <f>'All regions'!E567+"n/&gt;!gG"</f>
        <v>#VALUE!</v>
      </c>
      <c r="EQ23" t="e">
        <f>'All regions'!F567+"n/&gt;!gH"</f>
        <v>#VALUE!</v>
      </c>
      <c r="ER23" t="e">
        <f>'All regions'!G567+"n/&gt;!gI"</f>
        <v>#VALUE!</v>
      </c>
      <c r="ES23" t="e">
        <f>'All regions'!H567+"n/&gt;!gJ"</f>
        <v>#VALUE!</v>
      </c>
      <c r="ET23" t="e">
        <f>'All regions'!I567+"n/&gt;!gK"</f>
        <v>#VALUE!</v>
      </c>
      <c r="EU23" t="e">
        <f>'All regions'!J567+"n/&gt;!gL"</f>
        <v>#VALUE!</v>
      </c>
      <c r="EV23" t="e">
        <f>'All regions'!A568+"n/&gt;!gM"</f>
        <v>#VALUE!</v>
      </c>
      <c r="EW23" t="e">
        <f>'All regions'!B568+"n/&gt;!gN"</f>
        <v>#VALUE!</v>
      </c>
      <c r="EX23" t="e">
        <f>'All regions'!C568+"n/&gt;!gO"</f>
        <v>#VALUE!</v>
      </c>
      <c r="EY23" t="e">
        <f>'All regions'!D568+"n/&gt;!gP"</f>
        <v>#VALUE!</v>
      </c>
      <c r="EZ23" t="e">
        <f>'All regions'!E568+"n/&gt;!gQ"</f>
        <v>#VALUE!</v>
      </c>
      <c r="FA23" t="e">
        <f>'All regions'!F568+"n/&gt;!gR"</f>
        <v>#VALUE!</v>
      </c>
      <c r="FB23" t="e">
        <f>'All regions'!G568+"n/&gt;!gS"</f>
        <v>#VALUE!</v>
      </c>
      <c r="FC23" t="e">
        <f>'All regions'!H568+"n/&gt;!gT"</f>
        <v>#VALUE!</v>
      </c>
      <c r="FD23" t="e">
        <f>'All regions'!I568+"n/&gt;!gU"</f>
        <v>#VALUE!</v>
      </c>
      <c r="FE23" t="e">
        <f>'All regions'!J568+"n/&gt;!gV"</f>
        <v>#VALUE!</v>
      </c>
      <c r="FF23" t="e">
        <f>'All regions'!A569+"n/&gt;!gW"</f>
        <v>#VALUE!</v>
      </c>
      <c r="FG23" t="e">
        <f>'All regions'!B569+"n/&gt;!gX"</f>
        <v>#VALUE!</v>
      </c>
      <c r="FH23" t="e">
        <f>'All regions'!C569+"n/&gt;!gY"</f>
        <v>#VALUE!</v>
      </c>
      <c r="FI23" t="e">
        <f>'All regions'!D569+"n/&gt;!gZ"</f>
        <v>#VALUE!</v>
      </c>
      <c r="FJ23" t="e">
        <f>'All regions'!E569+"n/&gt;!g["</f>
        <v>#VALUE!</v>
      </c>
      <c r="FK23" t="e">
        <f>'All regions'!F569+"n/&gt;!g\"</f>
        <v>#VALUE!</v>
      </c>
      <c r="FL23" t="e">
        <f>'All regions'!G569+"n/&gt;!g]"</f>
        <v>#VALUE!</v>
      </c>
      <c r="FM23" t="e">
        <f>'All regions'!H569+"n/&gt;!g^"</f>
        <v>#VALUE!</v>
      </c>
      <c r="FN23" t="e">
        <f>'All regions'!I569+"n/&gt;!g_"</f>
        <v>#VALUE!</v>
      </c>
      <c r="FO23" t="e">
        <f>'All regions'!J569+"n/&gt;!g`"</f>
        <v>#VALUE!</v>
      </c>
      <c r="FP23" t="e">
        <f>'All regions'!A570+"n/&gt;!ga"</f>
        <v>#VALUE!</v>
      </c>
      <c r="FQ23" t="e">
        <f>'All regions'!B570+"n/&gt;!gb"</f>
        <v>#VALUE!</v>
      </c>
      <c r="FR23" t="e">
        <f>'All regions'!C570+"n/&gt;!gc"</f>
        <v>#VALUE!</v>
      </c>
      <c r="FS23" t="e">
        <f>'All regions'!D570+"n/&gt;!gd"</f>
        <v>#VALUE!</v>
      </c>
      <c r="FT23" t="e">
        <f>'All regions'!E570+"n/&gt;!ge"</f>
        <v>#VALUE!</v>
      </c>
      <c r="FU23" t="e">
        <f>'All regions'!F570+"n/&gt;!gf"</f>
        <v>#VALUE!</v>
      </c>
      <c r="FV23" t="e">
        <f>'All regions'!G570+"n/&gt;!gg"</f>
        <v>#VALUE!</v>
      </c>
      <c r="FW23" t="e">
        <f>'All regions'!H570+"n/&gt;!gh"</f>
        <v>#VALUE!</v>
      </c>
      <c r="FX23" t="e">
        <f>'All regions'!I570+"n/&gt;!gi"</f>
        <v>#VALUE!</v>
      </c>
      <c r="FY23" t="e">
        <f>'All regions'!J570+"n/&gt;!gj"</f>
        <v>#VALUE!</v>
      </c>
      <c r="FZ23" t="e">
        <f>'All regions'!A571+"n/&gt;!gk"</f>
        <v>#VALUE!</v>
      </c>
      <c r="GA23" t="e">
        <f>'All regions'!B571+"n/&gt;!gl"</f>
        <v>#VALUE!</v>
      </c>
      <c r="GB23" t="e">
        <f>'All regions'!C571+"n/&gt;!gm"</f>
        <v>#VALUE!</v>
      </c>
      <c r="GC23" t="e">
        <f>'All regions'!D571+"n/&gt;!gn"</f>
        <v>#VALUE!</v>
      </c>
      <c r="GD23" t="e">
        <f>'All regions'!E571+"n/&gt;!go"</f>
        <v>#VALUE!</v>
      </c>
      <c r="GE23" t="e">
        <f>'All regions'!F571+"n/&gt;!gp"</f>
        <v>#VALUE!</v>
      </c>
      <c r="GF23" t="e">
        <f>'All regions'!G571+"n/&gt;!gq"</f>
        <v>#VALUE!</v>
      </c>
      <c r="GG23" t="e">
        <f>'All regions'!H571+"n/&gt;!gr"</f>
        <v>#VALUE!</v>
      </c>
      <c r="GH23" t="e">
        <f>'All regions'!I571+"n/&gt;!gs"</f>
        <v>#VALUE!</v>
      </c>
      <c r="GI23" t="e">
        <f>'All regions'!J571+"n/&gt;!gt"</f>
        <v>#VALUE!</v>
      </c>
      <c r="GJ23" t="e">
        <f>'All regions'!A572+"n/&gt;!gu"</f>
        <v>#VALUE!</v>
      </c>
      <c r="GK23" t="e">
        <f>'All regions'!B572+"n/&gt;!gv"</f>
        <v>#VALUE!</v>
      </c>
      <c r="GL23" t="e">
        <f>'All regions'!C572+"n/&gt;!gw"</f>
        <v>#VALUE!</v>
      </c>
      <c r="GM23" t="e">
        <f>'All regions'!D572+"n/&gt;!gx"</f>
        <v>#VALUE!</v>
      </c>
      <c r="GN23" t="e">
        <f>'All regions'!E572+"n/&gt;!gy"</f>
        <v>#VALUE!</v>
      </c>
      <c r="GO23" t="e">
        <f>'All regions'!F572+"n/&gt;!gz"</f>
        <v>#VALUE!</v>
      </c>
      <c r="GP23" t="e">
        <f>'All regions'!G572+"n/&gt;!g{"</f>
        <v>#VALUE!</v>
      </c>
      <c r="GQ23" t="e">
        <f>'All regions'!H572+"n/&gt;!g|"</f>
        <v>#VALUE!</v>
      </c>
      <c r="GR23" t="e">
        <f>'All regions'!I572+"n/&gt;!g}"</f>
        <v>#VALUE!</v>
      </c>
      <c r="GS23" t="e">
        <f>'All regions'!J572+"n/&gt;!g~"</f>
        <v>#VALUE!</v>
      </c>
      <c r="GT23" t="e">
        <f>'All regions'!A573+"n/&gt;!h#"</f>
        <v>#VALUE!</v>
      </c>
      <c r="GU23" t="e">
        <f>'All regions'!B573+"n/&gt;!h$"</f>
        <v>#VALUE!</v>
      </c>
      <c r="GV23" t="e">
        <f>'All regions'!C573+"n/&gt;!h%"</f>
        <v>#VALUE!</v>
      </c>
      <c r="GW23" t="e">
        <f>'All regions'!D573+"n/&gt;!h&amp;"</f>
        <v>#VALUE!</v>
      </c>
      <c r="GX23" t="e">
        <f>'All regions'!E573+"n/&gt;!h'"</f>
        <v>#VALUE!</v>
      </c>
      <c r="GY23" t="e">
        <f>'All regions'!F573+"n/&gt;!h("</f>
        <v>#VALUE!</v>
      </c>
      <c r="GZ23" t="e">
        <f>'All regions'!G573+"n/&gt;!h)"</f>
        <v>#VALUE!</v>
      </c>
      <c r="HA23" t="e">
        <f>'All regions'!H573+"n/&gt;!h."</f>
        <v>#VALUE!</v>
      </c>
      <c r="HB23" t="e">
        <f>'All regions'!I573+"n/&gt;!h/"</f>
        <v>#VALUE!</v>
      </c>
      <c r="HC23" t="e">
        <f>'All regions'!J573+"n/&gt;!h0"</f>
        <v>#VALUE!</v>
      </c>
      <c r="HD23" t="e">
        <f>'All regions'!A574+"n/&gt;!h1"</f>
        <v>#VALUE!</v>
      </c>
      <c r="HE23" t="e">
        <f>'All regions'!B574+"n/&gt;!h2"</f>
        <v>#VALUE!</v>
      </c>
      <c r="HF23" t="e">
        <f>'All regions'!C574+"n/&gt;!h3"</f>
        <v>#VALUE!</v>
      </c>
      <c r="HG23" t="e">
        <f>'All regions'!D574+"n/&gt;!h4"</f>
        <v>#VALUE!</v>
      </c>
      <c r="HH23" t="e">
        <f>'All regions'!E574+"n/&gt;!h5"</f>
        <v>#VALUE!</v>
      </c>
      <c r="HI23" t="e">
        <f>'All regions'!F574+"n/&gt;!h6"</f>
        <v>#VALUE!</v>
      </c>
      <c r="HJ23" t="e">
        <f>'All regions'!G574+"n/&gt;!h7"</f>
        <v>#VALUE!</v>
      </c>
      <c r="HK23" t="e">
        <f>'All regions'!H574+"n/&gt;!h8"</f>
        <v>#VALUE!</v>
      </c>
      <c r="HL23" t="e">
        <f>'All regions'!I574+"n/&gt;!h9"</f>
        <v>#VALUE!</v>
      </c>
      <c r="HM23" t="e">
        <f>'All regions'!J574+"n/&gt;!h:"</f>
        <v>#VALUE!</v>
      </c>
      <c r="HN23" t="e">
        <f>'All regions'!A575+"n/&gt;!h;"</f>
        <v>#VALUE!</v>
      </c>
      <c r="HO23" t="e">
        <f>'All regions'!B575+"n/&gt;!h&lt;"</f>
        <v>#VALUE!</v>
      </c>
      <c r="HP23" t="e">
        <f>'All regions'!C575+"n/&gt;!h="</f>
        <v>#VALUE!</v>
      </c>
      <c r="HQ23" t="e">
        <f>'All regions'!D575+"n/&gt;!h&gt;"</f>
        <v>#VALUE!</v>
      </c>
      <c r="HR23" t="e">
        <f>'All regions'!E575+"n/&gt;!h?"</f>
        <v>#VALUE!</v>
      </c>
      <c r="HS23" t="e">
        <f>'All regions'!F575+"n/&gt;!h@"</f>
        <v>#VALUE!</v>
      </c>
      <c r="HT23" t="e">
        <f>'All regions'!G575+"n/&gt;!hA"</f>
        <v>#VALUE!</v>
      </c>
      <c r="HU23" t="e">
        <f>'All regions'!H575+"n/&gt;!hB"</f>
        <v>#VALUE!</v>
      </c>
      <c r="HV23" t="e">
        <f>'All regions'!I575+"n/&gt;!hC"</f>
        <v>#VALUE!</v>
      </c>
      <c r="HW23" t="e">
        <f>'All regions'!J575+"n/&gt;!hD"</f>
        <v>#VALUE!</v>
      </c>
      <c r="HX23" t="e">
        <f>'All regions'!A576+"n/&gt;!hE"</f>
        <v>#VALUE!</v>
      </c>
      <c r="HY23" t="e">
        <f>'All regions'!B576+"n/&gt;!hF"</f>
        <v>#VALUE!</v>
      </c>
      <c r="HZ23" t="e">
        <f>'All regions'!C576+"n/&gt;!hG"</f>
        <v>#VALUE!</v>
      </c>
      <c r="IA23" t="e">
        <f>'All regions'!D576+"n/&gt;!hH"</f>
        <v>#VALUE!</v>
      </c>
      <c r="IB23" t="e">
        <f>'All regions'!E576+"n/&gt;!hI"</f>
        <v>#VALUE!</v>
      </c>
      <c r="IC23" t="e">
        <f>'All regions'!F576+"n/&gt;!hJ"</f>
        <v>#VALUE!</v>
      </c>
      <c r="ID23" t="e">
        <f>'All regions'!G576+"n/&gt;!hK"</f>
        <v>#VALUE!</v>
      </c>
      <c r="IE23" t="e">
        <f>'All regions'!H576+"n/&gt;!hL"</f>
        <v>#VALUE!</v>
      </c>
      <c r="IF23" t="e">
        <f>'All regions'!I576+"n/&gt;!hM"</f>
        <v>#VALUE!</v>
      </c>
      <c r="IG23" t="e">
        <f>'All regions'!J576+"n/&gt;!hN"</f>
        <v>#VALUE!</v>
      </c>
      <c r="IH23" t="e">
        <f>'All regions'!A577+"n/&gt;!hO"</f>
        <v>#VALUE!</v>
      </c>
      <c r="II23" t="e">
        <f>'All regions'!B577+"n/&gt;!hP"</f>
        <v>#VALUE!</v>
      </c>
      <c r="IJ23" t="e">
        <f>'All regions'!C577+"n/&gt;!hQ"</f>
        <v>#VALUE!</v>
      </c>
      <c r="IK23" t="e">
        <f>'All regions'!D577+"n/&gt;!hR"</f>
        <v>#VALUE!</v>
      </c>
      <c r="IL23" t="e">
        <f>'All regions'!E577+"n/&gt;!hS"</f>
        <v>#VALUE!</v>
      </c>
      <c r="IM23" t="e">
        <f>'All regions'!F577+"n/&gt;!hT"</f>
        <v>#VALUE!</v>
      </c>
      <c r="IN23" t="e">
        <f>'All regions'!G577+"n/&gt;!hU"</f>
        <v>#VALUE!</v>
      </c>
      <c r="IO23" t="e">
        <f>'All regions'!H577+"n/&gt;!hV"</f>
        <v>#VALUE!</v>
      </c>
      <c r="IP23" t="e">
        <f>'All regions'!I577+"n/&gt;!hW"</f>
        <v>#VALUE!</v>
      </c>
      <c r="IQ23" t="e">
        <f>'All regions'!J577+"n/&gt;!hX"</f>
        <v>#VALUE!</v>
      </c>
      <c r="IR23" t="e">
        <f>'All regions'!A578+"n/&gt;!hY"</f>
        <v>#VALUE!</v>
      </c>
      <c r="IS23" t="e">
        <f>'All regions'!B578+"n/&gt;!hZ"</f>
        <v>#VALUE!</v>
      </c>
      <c r="IT23" t="e">
        <f>'All regions'!C578+"n/&gt;!h["</f>
        <v>#VALUE!</v>
      </c>
      <c r="IU23" t="e">
        <f>'All regions'!D578+"n/&gt;!h\"</f>
        <v>#VALUE!</v>
      </c>
      <c r="IV23" t="e">
        <f>'All regions'!E578+"n/&gt;!h]"</f>
        <v>#VALUE!</v>
      </c>
    </row>
    <row r="24" spans="6:256" x14ac:dyDescent="0.35">
      <c r="F24" t="e">
        <f>'All regions'!F578+"n/&gt;!h^"</f>
        <v>#VALUE!</v>
      </c>
      <c r="G24" t="e">
        <f>'All regions'!G578+"n/&gt;!h_"</f>
        <v>#VALUE!</v>
      </c>
      <c r="H24" t="e">
        <f>'All regions'!H578+"n/&gt;!h`"</f>
        <v>#VALUE!</v>
      </c>
      <c r="I24" t="e">
        <f>'All regions'!I578+"n/&gt;!ha"</f>
        <v>#VALUE!</v>
      </c>
      <c r="J24" t="e">
        <f>'All regions'!J578+"n/&gt;!hb"</f>
        <v>#VALUE!</v>
      </c>
      <c r="K24" t="e">
        <f>'All regions'!A579+"n/&gt;!hc"</f>
        <v>#VALUE!</v>
      </c>
      <c r="L24" t="e">
        <f>'All regions'!B579+"n/&gt;!hd"</f>
        <v>#VALUE!</v>
      </c>
      <c r="M24" t="e">
        <f>'All regions'!C579+"n/&gt;!he"</f>
        <v>#VALUE!</v>
      </c>
      <c r="N24" t="e">
        <f>'All regions'!D579+"n/&gt;!hf"</f>
        <v>#VALUE!</v>
      </c>
      <c r="O24" t="e">
        <f>'All regions'!E579+"n/&gt;!hg"</f>
        <v>#VALUE!</v>
      </c>
      <c r="P24" t="e">
        <f>'All regions'!F579+"n/&gt;!hh"</f>
        <v>#VALUE!</v>
      </c>
      <c r="Q24" t="e">
        <f>'All regions'!G579+"n/&gt;!hi"</f>
        <v>#VALUE!</v>
      </c>
      <c r="R24" t="e">
        <f>'All regions'!H579+"n/&gt;!hj"</f>
        <v>#VALUE!</v>
      </c>
      <c r="S24" t="e">
        <f>'All regions'!I579+"n/&gt;!hk"</f>
        <v>#VALUE!</v>
      </c>
      <c r="T24" t="e">
        <f>'All regions'!J579+"n/&gt;!hl"</f>
        <v>#VALUE!</v>
      </c>
      <c r="U24" t="e">
        <f>'All regions'!A580+"n/&gt;!hm"</f>
        <v>#VALUE!</v>
      </c>
      <c r="V24" t="e">
        <f>'All regions'!B580+"n/&gt;!hn"</f>
        <v>#VALUE!</v>
      </c>
      <c r="W24" t="e">
        <f>'All regions'!C580+"n/&gt;!ho"</f>
        <v>#VALUE!</v>
      </c>
      <c r="X24" t="e">
        <f>'All regions'!D580+"n/&gt;!hp"</f>
        <v>#VALUE!</v>
      </c>
      <c r="Y24" t="e">
        <f>'All regions'!E580+"n/&gt;!hq"</f>
        <v>#VALUE!</v>
      </c>
      <c r="Z24" t="e">
        <f>'All regions'!F580+"n/&gt;!hr"</f>
        <v>#VALUE!</v>
      </c>
      <c r="AA24" t="e">
        <f>'All regions'!G580+"n/&gt;!hs"</f>
        <v>#VALUE!</v>
      </c>
      <c r="AB24" t="e">
        <f>'All regions'!H580+"n/&gt;!ht"</f>
        <v>#VALUE!</v>
      </c>
      <c r="AC24" t="e">
        <f>'All regions'!I580+"n/&gt;!hu"</f>
        <v>#VALUE!</v>
      </c>
      <c r="AD24" t="e">
        <f>'All regions'!J580+"n/&gt;!hv"</f>
        <v>#VALUE!</v>
      </c>
      <c r="AE24" t="e">
        <f>'All regions'!A581+"n/&gt;!hw"</f>
        <v>#VALUE!</v>
      </c>
      <c r="AF24" t="e">
        <f>'All regions'!B581+"n/&gt;!hx"</f>
        <v>#VALUE!</v>
      </c>
      <c r="AG24" t="e">
        <f>'All regions'!C581+"n/&gt;!hy"</f>
        <v>#VALUE!</v>
      </c>
      <c r="AH24" t="e">
        <f>'All regions'!D581+"n/&gt;!hz"</f>
        <v>#VALUE!</v>
      </c>
      <c r="AI24" t="e">
        <f>'All regions'!E581+"n/&gt;!h{"</f>
        <v>#VALUE!</v>
      </c>
      <c r="AJ24" t="e">
        <f>'All regions'!F581+"n/&gt;!h|"</f>
        <v>#VALUE!</v>
      </c>
      <c r="AK24" t="e">
        <f>'All regions'!G581+"n/&gt;!h}"</f>
        <v>#VALUE!</v>
      </c>
      <c r="AL24" t="e">
        <f>'All regions'!H581+"n/&gt;!h~"</f>
        <v>#VALUE!</v>
      </c>
      <c r="AM24" t="e">
        <f>'All regions'!I581+"n/&gt;!i#"</f>
        <v>#VALUE!</v>
      </c>
      <c r="AN24" t="e">
        <f>'All regions'!J581+"n/&gt;!i$"</f>
        <v>#VALUE!</v>
      </c>
      <c r="AO24" t="e">
        <f>'All regions'!A582+"n/&gt;!i%"</f>
        <v>#VALUE!</v>
      </c>
      <c r="AP24" t="e">
        <f>'All regions'!B582+"n/&gt;!i&amp;"</f>
        <v>#VALUE!</v>
      </c>
      <c r="AQ24" t="e">
        <f>'All regions'!C582+"n/&gt;!i'"</f>
        <v>#VALUE!</v>
      </c>
      <c r="AR24" t="e">
        <f>'All regions'!D582+"n/&gt;!i("</f>
        <v>#VALUE!</v>
      </c>
      <c r="AS24" t="e">
        <f>'All regions'!E582+"n/&gt;!i)"</f>
        <v>#VALUE!</v>
      </c>
      <c r="AT24" t="e">
        <f>'All regions'!F582+"n/&gt;!i."</f>
        <v>#VALUE!</v>
      </c>
      <c r="AU24" t="e">
        <f>'All regions'!G582+"n/&gt;!i/"</f>
        <v>#VALUE!</v>
      </c>
      <c r="AV24" t="e">
        <f>'All regions'!H582+"n/&gt;!i0"</f>
        <v>#VALUE!</v>
      </c>
      <c r="AW24" t="e">
        <f>'All regions'!I582+"n/&gt;!i1"</f>
        <v>#VALUE!</v>
      </c>
      <c r="AX24" t="e">
        <f>'All regions'!J582+"n/&gt;!i2"</f>
        <v>#VALUE!</v>
      </c>
      <c r="AY24" t="e">
        <f>'All regions'!A583+"n/&gt;!i3"</f>
        <v>#VALUE!</v>
      </c>
      <c r="AZ24" t="e">
        <f>'All regions'!B583+"n/&gt;!i4"</f>
        <v>#VALUE!</v>
      </c>
      <c r="BA24" t="e">
        <f>'All regions'!C583+"n/&gt;!i5"</f>
        <v>#VALUE!</v>
      </c>
      <c r="BB24" t="e">
        <f>'All regions'!D583+"n/&gt;!i6"</f>
        <v>#VALUE!</v>
      </c>
      <c r="BC24" t="e">
        <f>'All regions'!E583+"n/&gt;!i7"</f>
        <v>#VALUE!</v>
      </c>
      <c r="BD24" t="e">
        <f>'All regions'!F583+"n/&gt;!i8"</f>
        <v>#VALUE!</v>
      </c>
      <c r="BE24" t="e">
        <f>'All regions'!G583+"n/&gt;!i9"</f>
        <v>#VALUE!</v>
      </c>
      <c r="BF24" t="e">
        <f>'All regions'!H583+"n/&gt;!i:"</f>
        <v>#VALUE!</v>
      </c>
      <c r="BG24" t="e">
        <f>'All regions'!I583+"n/&gt;!i;"</f>
        <v>#VALUE!</v>
      </c>
      <c r="BH24" t="e">
        <f>'All regions'!J583+"n/&gt;!i&lt;"</f>
        <v>#VALUE!</v>
      </c>
      <c r="BI24" t="e">
        <f>'All regions'!A584+"n/&gt;!i="</f>
        <v>#VALUE!</v>
      </c>
      <c r="BJ24" t="e">
        <f>'All regions'!B584+"n/&gt;!i&gt;"</f>
        <v>#VALUE!</v>
      </c>
      <c r="BK24" t="e">
        <f>'All regions'!C584+"n/&gt;!i?"</f>
        <v>#VALUE!</v>
      </c>
      <c r="BL24" t="e">
        <f>'All regions'!D584+"n/&gt;!i@"</f>
        <v>#VALUE!</v>
      </c>
      <c r="BM24" t="e">
        <f>'All regions'!E584+"n/&gt;!iA"</f>
        <v>#VALUE!</v>
      </c>
      <c r="BN24" t="e">
        <f>'All regions'!F584+"n/&gt;!iB"</f>
        <v>#VALUE!</v>
      </c>
      <c r="BO24" t="e">
        <f>'All regions'!G584+"n/&gt;!iC"</f>
        <v>#VALUE!</v>
      </c>
      <c r="BP24" t="e">
        <f>'All regions'!H584+"n/&gt;!iD"</f>
        <v>#VALUE!</v>
      </c>
      <c r="BQ24" t="e">
        <f>'All regions'!I584+"n/&gt;!iE"</f>
        <v>#VALUE!</v>
      </c>
      <c r="BR24" t="e">
        <f>'All regions'!J584+"n/&gt;!iF"</f>
        <v>#VALUE!</v>
      </c>
      <c r="BS24" t="e">
        <f>'All regions'!A585+"n/&gt;!iG"</f>
        <v>#VALUE!</v>
      </c>
      <c r="BT24" t="e">
        <f>'All regions'!B585+"n/&gt;!iH"</f>
        <v>#VALUE!</v>
      </c>
      <c r="BU24" t="e">
        <f>'All regions'!C585+"n/&gt;!iI"</f>
        <v>#VALUE!</v>
      </c>
      <c r="BV24" t="e">
        <f>'All regions'!D585+"n/&gt;!iJ"</f>
        <v>#VALUE!</v>
      </c>
      <c r="BW24" t="e">
        <f>'All regions'!E585+"n/&gt;!iK"</f>
        <v>#VALUE!</v>
      </c>
      <c r="BX24" t="e">
        <f>'All regions'!F585+"n/&gt;!iL"</f>
        <v>#VALUE!</v>
      </c>
      <c r="BY24" t="e">
        <f>'All regions'!G585+"n/&gt;!iM"</f>
        <v>#VALUE!</v>
      </c>
      <c r="BZ24" t="e">
        <f>'All regions'!H585+"n/&gt;!iN"</f>
        <v>#VALUE!</v>
      </c>
      <c r="CA24" t="e">
        <f>'All regions'!I585+"n/&gt;!iO"</f>
        <v>#VALUE!</v>
      </c>
      <c r="CB24" t="e">
        <f>'All regions'!J585+"n/&gt;!iP"</f>
        <v>#VALUE!</v>
      </c>
      <c r="CC24" t="e">
        <f>'All regions'!A586+"n/&gt;!iQ"</f>
        <v>#VALUE!</v>
      </c>
      <c r="CD24" t="e">
        <f>'All regions'!B586+"n/&gt;!iR"</f>
        <v>#VALUE!</v>
      </c>
      <c r="CE24" t="e">
        <f>'All regions'!C586+"n/&gt;!iS"</f>
        <v>#VALUE!</v>
      </c>
      <c r="CF24" t="e">
        <f>'All regions'!D586+"n/&gt;!iT"</f>
        <v>#VALUE!</v>
      </c>
      <c r="CG24" t="e">
        <f>'All regions'!E586+"n/&gt;!iU"</f>
        <v>#VALUE!</v>
      </c>
      <c r="CH24" t="e">
        <f>'All regions'!F586+"n/&gt;!iV"</f>
        <v>#VALUE!</v>
      </c>
      <c r="CI24" t="e">
        <f>'All regions'!G586+"n/&gt;!iW"</f>
        <v>#VALUE!</v>
      </c>
      <c r="CJ24" t="e">
        <f>'All regions'!H586+"n/&gt;!iX"</f>
        <v>#VALUE!</v>
      </c>
      <c r="CK24" t="e">
        <f>'All regions'!I586+"n/&gt;!iY"</f>
        <v>#VALUE!</v>
      </c>
      <c r="CL24" t="e">
        <f>'All regions'!J586+"n/&gt;!iZ"</f>
        <v>#VALUE!</v>
      </c>
      <c r="CM24" t="e">
        <f>'All regions'!A587+"n/&gt;!i["</f>
        <v>#VALUE!</v>
      </c>
      <c r="CN24" t="e">
        <f>'All regions'!B587+"n/&gt;!i\"</f>
        <v>#VALUE!</v>
      </c>
      <c r="CO24" t="e">
        <f>'All regions'!C587+"n/&gt;!i]"</f>
        <v>#VALUE!</v>
      </c>
      <c r="CP24" t="e">
        <f>'All regions'!D587+"n/&gt;!i^"</f>
        <v>#VALUE!</v>
      </c>
      <c r="CQ24" t="e">
        <f>'All regions'!E587+"n/&gt;!i_"</f>
        <v>#VALUE!</v>
      </c>
      <c r="CR24" t="e">
        <f>'All regions'!F587+"n/&gt;!i`"</f>
        <v>#VALUE!</v>
      </c>
      <c r="CS24" t="e">
        <f>'All regions'!G587+"n/&gt;!ia"</f>
        <v>#VALUE!</v>
      </c>
      <c r="CT24" t="e">
        <f>'All regions'!H587+"n/&gt;!ib"</f>
        <v>#VALUE!</v>
      </c>
      <c r="CU24" t="e">
        <f>'All regions'!I587+"n/&gt;!ic"</f>
        <v>#VALUE!</v>
      </c>
      <c r="CV24" t="e">
        <f>'All regions'!J587+"n/&gt;!id"</f>
        <v>#VALUE!</v>
      </c>
      <c r="CW24" t="e">
        <f>'All regions'!A588+"n/&gt;!ie"</f>
        <v>#VALUE!</v>
      </c>
      <c r="CX24" t="e">
        <f>'All regions'!B588+"n/&gt;!if"</f>
        <v>#VALUE!</v>
      </c>
      <c r="CY24" t="e">
        <f>'All regions'!C588+"n/&gt;!ig"</f>
        <v>#VALUE!</v>
      </c>
      <c r="CZ24" t="e">
        <f>'All regions'!D588+"n/&gt;!ih"</f>
        <v>#VALUE!</v>
      </c>
      <c r="DA24" t="e">
        <f>'All regions'!E588+"n/&gt;!ii"</f>
        <v>#VALUE!</v>
      </c>
      <c r="DB24" t="e">
        <f>'All regions'!F588+"n/&gt;!ij"</f>
        <v>#VALUE!</v>
      </c>
      <c r="DC24" t="e">
        <f>'All regions'!G588+"n/&gt;!ik"</f>
        <v>#VALUE!</v>
      </c>
      <c r="DD24" t="e">
        <f>'All regions'!H588+"n/&gt;!il"</f>
        <v>#VALUE!</v>
      </c>
      <c r="DE24" t="e">
        <f>'All regions'!I588+"n/&gt;!im"</f>
        <v>#VALUE!</v>
      </c>
      <c r="DF24" t="e">
        <f>'All regions'!J588+"n/&gt;!in"</f>
        <v>#VALUE!</v>
      </c>
      <c r="DG24" t="e">
        <f>'All regions'!A589+"n/&gt;!io"</f>
        <v>#VALUE!</v>
      </c>
      <c r="DH24" t="e">
        <f>'All regions'!B589+"n/&gt;!ip"</f>
        <v>#VALUE!</v>
      </c>
      <c r="DI24" t="e">
        <f>'All regions'!C589+"n/&gt;!iq"</f>
        <v>#VALUE!</v>
      </c>
      <c r="DJ24" t="e">
        <f>'All regions'!D589+"n/&gt;!ir"</f>
        <v>#VALUE!</v>
      </c>
      <c r="DK24" t="e">
        <f>'All regions'!E589+"n/&gt;!is"</f>
        <v>#VALUE!</v>
      </c>
      <c r="DL24" t="e">
        <f>'All regions'!F589+"n/&gt;!it"</f>
        <v>#VALUE!</v>
      </c>
      <c r="DM24" t="e">
        <f>'All regions'!G589+"n/&gt;!iu"</f>
        <v>#VALUE!</v>
      </c>
      <c r="DN24" t="e">
        <f>'All regions'!H589+"n/&gt;!iv"</f>
        <v>#VALUE!</v>
      </c>
      <c r="DO24" t="e">
        <f>'All regions'!I589+"n/&gt;!iw"</f>
        <v>#VALUE!</v>
      </c>
      <c r="DP24" t="e">
        <f>'All regions'!J589+"n/&gt;!ix"</f>
        <v>#VALUE!</v>
      </c>
      <c r="DQ24" t="e">
        <f>'All regions'!A590+"n/&gt;!iy"</f>
        <v>#VALUE!</v>
      </c>
      <c r="DR24" t="e">
        <f>'All regions'!B590+"n/&gt;!iz"</f>
        <v>#VALUE!</v>
      </c>
      <c r="DS24" t="e">
        <f>'All regions'!C590+"n/&gt;!i{"</f>
        <v>#VALUE!</v>
      </c>
      <c r="DT24" t="e">
        <f>'All regions'!D590+"n/&gt;!i|"</f>
        <v>#VALUE!</v>
      </c>
      <c r="DU24" t="e">
        <f>'All regions'!E590+"n/&gt;!i}"</f>
        <v>#VALUE!</v>
      </c>
      <c r="DV24" t="e">
        <f>'All regions'!F590+"n/&gt;!i~"</f>
        <v>#VALUE!</v>
      </c>
      <c r="DW24" t="e">
        <f>'All regions'!G590+"n/&gt;!j#"</f>
        <v>#VALUE!</v>
      </c>
      <c r="DX24" t="e">
        <f>'All regions'!H590+"n/&gt;!j$"</f>
        <v>#VALUE!</v>
      </c>
      <c r="DY24" t="e">
        <f>'All regions'!I590+"n/&gt;!j%"</f>
        <v>#VALUE!</v>
      </c>
      <c r="DZ24" t="e">
        <f>'All regions'!J590+"n/&gt;!j&amp;"</f>
        <v>#VALUE!</v>
      </c>
      <c r="EA24" t="e">
        <f>'All regions'!A591+"n/&gt;!j'"</f>
        <v>#VALUE!</v>
      </c>
      <c r="EB24" t="e">
        <f>'All regions'!B591+"n/&gt;!j("</f>
        <v>#VALUE!</v>
      </c>
      <c r="EC24" t="e">
        <f>'All regions'!C591+"n/&gt;!j)"</f>
        <v>#VALUE!</v>
      </c>
      <c r="ED24" t="e">
        <f>'All regions'!D591+"n/&gt;!j."</f>
        <v>#VALUE!</v>
      </c>
      <c r="EE24" t="e">
        <f>'All regions'!E591+"n/&gt;!j/"</f>
        <v>#VALUE!</v>
      </c>
      <c r="EF24" t="e">
        <f>'All regions'!F591+"n/&gt;!j0"</f>
        <v>#VALUE!</v>
      </c>
      <c r="EG24" t="e">
        <f>'All regions'!G591+"n/&gt;!j1"</f>
        <v>#VALUE!</v>
      </c>
      <c r="EH24" t="e">
        <f>'All regions'!H591+"n/&gt;!j2"</f>
        <v>#VALUE!</v>
      </c>
      <c r="EI24" t="e">
        <f>'All regions'!I591+"n/&gt;!j3"</f>
        <v>#VALUE!</v>
      </c>
      <c r="EJ24" t="e">
        <f>'All regions'!J591+"n/&gt;!j4"</f>
        <v>#VALUE!</v>
      </c>
      <c r="EK24" t="e">
        <f>'All regions'!A592+"n/&gt;!j5"</f>
        <v>#VALUE!</v>
      </c>
      <c r="EL24" t="e">
        <f>'All regions'!B592+"n/&gt;!j6"</f>
        <v>#VALUE!</v>
      </c>
      <c r="EM24" t="e">
        <f>'All regions'!C592+"n/&gt;!j7"</f>
        <v>#VALUE!</v>
      </c>
      <c r="EN24" t="e">
        <f>'All regions'!D592+"n/&gt;!j8"</f>
        <v>#VALUE!</v>
      </c>
      <c r="EO24" t="e">
        <f>'All regions'!E592+"n/&gt;!j9"</f>
        <v>#VALUE!</v>
      </c>
      <c r="EP24" t="e">
        <f>'All regions'!F592+"n/&gt;!j:"</f>
        <v>#VALUE!</v>
      </c>
      <c r="EQ24" t="e">
        <f>'All regions'!G592+"n/&gt;!j;"</f>
        <v>#VALUE!</v>
      </c>
      <c r="ER24" t="e">
        <f>'All regions'!H592+"n/&gt;!j&lt;"</f>
        <v>#VALUE!</v>
      </c>
      <c r="ES24" t="e">
        <f>'All regions'!I592+"n/&gt;!j="</f>
        <v>#VALUE!</v>
      </c>
      <c r="ET24" t="e">
        <f>'All regions'!J592+"n/&gt;!j&gt;"</f>
        <v>#VALUE!</v>
      </c>
      <c r="EU24" t="e">
        <f>'All regions'!A593+"n/&gt;!j?"</f>
        <v>#VALUE!</v>
      </c>
      <c r="EV24" t="e">
        <f>'All regions'!B593+"n/&gt;!j@"</f>
        <v>#VALUE!</v>
      </c>
      <c r="EW24" t="e">
        <f>'All regions'!C593+"n/&gt;!jA"</f>
        <v>#VALUE!</v>
      </c>
      <c r="EX24" t="e">
        <f>'All regions'!D593+"n/&gt;!jB"</f>
        <v>#VALUE!</v>
      </c>
      <c r="EY24" t="e">
        <f>'All regions'!E593+"n/&gt;!jC"</f>
        <v>#VALUE!</v>
      </c>
      <c r="EZ24" t="e">
        <f>'All regions'!F593+"n/&gt;!jD"</f>
        <v>#VALUE!</v>
      </c>
      <c r="FA24" t="e">
        <f>'All regions'!G593+"n/&gt;!jE"</f>
        <v>#VALUE!</v>
      </c>
      <c r="FB24" t="e">
        <f>'All regions'!H593+"n/&gt;!jF"</f>
        <v>#VALUE!</v>
      </c>
      <c r="FC24" t="e">
        <f>'All regions'!I593+"n/&gt;!jG"</f>
        <v>#VALUE!</v>
      </c>
      <c r="FD24" t="e">
        <f>'All regions'!J593+"n/&gt;!jH"</f>
        <v>#VALUE!</v>
      </c>
      <c r="FE24" t="e">
        <f>'All regions'!A594+"n/&gt;!jI"</f>
        <v>#VALUE!</v>
      </c>
      <c r="FF24" t="e">
        <f>'All regions'!B594+"n/&gt;!jJ"</f>
        <v>#VALUE!</v>
      </c>
      <c r="FG24" t="e">
        <f>'All regions'!C594+"n/&gt;!jK"</f>
        <v>#VALUE!</v>
      </c>
      <c r="FH24" t="e">
        <f>'All regions'!D594+"n/&gt;!jL"</f>
        <v>#VALUE!</v>
      </c>
      <c r="FI24" t="e">
        <f>'All regions'!E594+"n/&gt;!jM"</f>
        <v>#VALUE!</v>
      </c>
      <c r="FJ24" t="e">
        <f>'All regions'!F594+"n/&gt;!jN"</f>
        <v>#VALUE!</v>
      </c>
      <c r="FK24" t="e">
        <f>'All regions'!G594+"n/&gt;!jO"</f>
        <v>#VALUE!</v>
      </c>
      <c r="FL24" t="e">
        <f>'All regions'!H594+"n/&gt;!jP"</f>
        <v>#VALUE!</v>
      </c>
      <c r="FM24" t="e">
        <f>'All regions'!I594+"n/&gt;!jQ"</f>
        <v>#VALUE!</v>
      </c>
      <c r="FN24" t="e">
        <f>'All regions'!J594+"n/&gt;!jR"</f>
        <v>#VALUE!</v>
      </c>
      <c r="FO24" t="e">
        <f>'All regions'!A595+"n/&gt;!jS"</f>
        <v>#VALUE!</v>
      </c>
      <c r="FP24" t="e">
        <f>'All regions'!B595+"n/&gt;!jT"</f>
        <v>#VALUE!</v>
      </c>
      <c r="FQ24" t="e">
        <f>'All regions'!C595+"n/&gt;!jU"</f>
        <v>#VALUE!</v>
      </c>
      <c r="FR24" t="e">
        <f>'All regions'!D595+"n/&gt;!jV"</f>
        <v>#VALUE!</v>
      </c>
      <c r="FS24" t="e">
        <f>'All regions'!E595+"n/&gt;!jW"</f>
        <v>#VALUE!</v>
      </c>
      <c r="FT24" t="e">
        <f>'All regions'!F595+"n/&gt;!jX"</f>
        <v>#VALUE!</v>
      </c>
      <c r="FU24" t="e">
        <f>'All regions'!G595+"n/&gt;!jY"</f>
        <v>#VALUE!</v>
      </c>
      <c r="FV24" t="e">
        <f>'All regions'!H595+"n/&gt;!jZ"</f>
        <v>#VALUE!</v>
      </c>
      <c r="FW24" t="e">
        <f>'All regions'!I595+"n/&gt;!j["</f>
        <v>#VALUE!</v>
      </c>
      <c r="FX24" t="e">
        <f>'All regions'!J595+"n/&gt;!j\"</f>
        <v>#VALUE!</v>
      </c>
      <c r="FY24" t="e">
        <f>'All regions'!A596+"n/&gt;!j]"</f>
        <v>#VALUE!</v>
      </c>
      <c r="FZ24" t="e">
        <f>'All regions'!B596+"n/&gt;!j^"</f>
        <v>#VALUE!</v>
      </c>
      <c r="GA24" t="e">
        <f>'All regions'!C596+"n/&gt;!j_"</f>
        <v>#VALUE!</v>
      </c>
      <c r="GB24" t="e">
        <f>'All regions'!D596+"n/&gt;!j`"</f>
        <v>#VALUE!</v>
      </c>
      <c r="GC24" t="e">
        <f>'All regions'!E596+"n/&gt;!ja"</f>
        <v>#VALUE!</v>
      </c>
      <c r="GD24" t="e">
        <f>'All regions'!F596+"n/&gt;!jb"</f>
        <v>#VALUE!</v>
      </c>
      <c r="GE24" t="e">
        <f>'All regions'!G596+"n/&gt;!jc"</f>
        <v>#VALUE!</v>
      </c>
      <c r="GF24" t="e">
        <f>'All regions'!H596+"n/&gt;!jd"</f>
        <v>#VALUE!</v>
      </c>
      <c r="GG24" t="e">
        <f>'All regions'!I596+"n/&gt;!je"</f>
        <v>#VALUE!</v>
      </c>
      <c r="GH24" t="e">
        <f>'All regions'!J596+"n/&gt;!jf"</f>
        <v>#VALUE!</v>
      </c>
      <c r="GI24" t="e">
        <f>'All regions'!A597+"n/&gt;!jg"</f>
        <v>#VALUE!</v>
      </c>
      <c r="GJ24" t="e">
        <f>'All regions'!B597+"n/&gt;!jh"</f>
        <v>#VALUE!</v>
      </c>
      <c r="GK24" t="e">
        <f>'All regions'!C597+"n/&gt;!ji"</f>
        <v>#VALUE!</v>
      </c>
      <c r="GL24" t="e">
        <f>'All regions'!D597+"n/&gt;!jj"</f>
        <v>#VALUE!</v>
      </c>
      <c r="GM24" t="e">
        <f>'All regions'!E597+"n/&gt;!jk"</f>
        <v>#VALUE!</v>
      </c>
      <c r="GN24" t="e">
        <f>'All regions'!F597+"n/&gt;!jl"</f>
        <v>#VALUE!</v>
      </c>
      <c r="GO24" t="e">
        <f>'All regions'!G597+"n/&gt;!jm"</f>
        <v>#VALUE!</v>
      </c>
      <c r="GP24" t="e">
        <f>'All regions'!H597+"n/&gt;!jn"</f>
        <v>#VALUE!</v>
      </c>
      <c r="GQ24" t="e">
        <f>'All regions'!I597+"n/&gt;!jo"</f>
        <v>#VALUE!</v>
      </c>
      <c r="GR24" t="e">
        <f>'All regions'!J597+"n/&gt;!jp"</f>
        <v>#VALUE!</v>
      </c>
      <c r="GS24" t="e">
        <f>'All regions'!A598+"n/&gt;!jq"</f>
        <v>#VALUE!</v>
      </c>
      <c r="GT24" t="e">
        <f>'All regions'!B598+"n/&gt;!jr"</f>
        <v>#VALUE!</v>
      </c>
      <c r="GU24" t="e">
        <f>'All regions'!C598+"n/&gt;!js"</f>
        <v>#VALUE!</v>
      </c>
      <c r="GV24" t="e">
        <f>'All regions'!D598+"n/&gt;!jt"</f>
        <v>#VALUE!</v>
      </c>
      <c r="GW24" t="e">
        <f>'All regions'!E598+"n/&gt;!ju"</f>
        <v>#VALUE!</v>
      </c>
      <c r="GX24" t="e">
        <f>'All regions'!F598+"n/&gt;!jv"</f>
        <v>#VALUE!</v>
      </c>
      <c r="GY24" t="e">
        <f>'All regions'!G598+"n/&gt;!jw"</f>
        <v>#VALUE!</v>
      </c>
      <c r="GZ24" t="e">
        <f>'All regions'!H598+"n/&gt;!jx"</f>
        <v>#VALUE!</v>
      </c>
      <c r="HA24" t="e">
        <f>'All regions'!I598+"n/&gt;!jy"</f>
        <v>#VALUE!</v>
      </c>
      <c r="HB24" t="e">
        <f>'All regions'!J598+"n/&gt;!jz"</f>
        <v>#VALUE!</v>
      </c>
      <c r="HC24" t="e">
        <f>'All regions'!A599+"n/&gt;!j{"</f>
        <v>#VALUE!</v>
      </c>
      <c r="HD24" t="e">
        <f>'All regions'!B599+"n/&gt;!j|"</f>
        <v>#VALUE!</v>
      </c>
      <c r="HE24" t="e">
        <f>'All regions'!C599+"n/&gt;!j}"</f>
        <v>#VALUE!</v>
      </c>
      <c r="HF24" t="e">
        <f>'All regions'!D599+"n/&gt;!j~"</f>
        <v>#VALUE!</v>
      </c>
      <c r="HG24" t="e">
        <f>'All regions'!E599+"n/&gt;!k#"</f>
        <v>#VALUE!</v>
      </c>
      <c r="HH24" t="e">
        <f>'All regions'!F599+"n/&gt;!k$"</f>
        <v>#VALUE!</v>
      </c>
      <c r="HI24" t="e">
        <f>'All regions'!G599+"n/&gt;!k%"</f>
        <v>#VALUE!</v>
      </c>
      <c r="HJ24" t="e">
        <f>'All regions'!H599+"n/&gt;!k&amp;"</f>
        <v>#VALUE!</v>
      </c>
      <c r="HK24" t="e">
        <f>'All regions'!I599+"n/&gt;!k'"</f>
        <v>#VALUE!</v>
      </c>
      <c r="HL24" t="e">
        <f>'All regions'!J599+"n/&gt;!k("</f>
        <v>#VALUE!</v>
      </c>
      <c r="HM24" t="e">
        <f>'All regions'!A600+"n/&gt;!k)"</f>
        <v>#VALUE!</v>
      </c>
      <c r="HN24" t="e">
        <f>'All regions'!B600+"n/&gt;!k."</f>
        <v>#VALUE!</v>
      </c>
      <c r="HO24" t="e">
        <f>'All regions'!C600+"n/&gt;!k/"</f>
        <v>#VALUE!</v>
      </c>
      <c r="HP24" t="e">
        <f>'All regions'!D600+"n/&gt;!k0"</f>
        <v>#VALUE!</v>
      </c>
      <c r="HQ24" t="e">
        <f>'All regions'!E600+"n/&gt;!k1"</f>
        <v>#VALUE!</v>
      </c>
      <c r="HR24" t="e">
        <f>'All regions'!F600+"n/&gt;!k2"</f>
        <v>#VALUE!</v>
      </c>
      <c r="HS24" t="e">
        <f>'All regions'!G600+"n/&gt;!k3"</f>
        <v>#VALUE!</v>
      </c>
      <c r="HT24" t="e">
        <f>'All regions'!H600+"n/&gt;!k4"</f>
        <v>#VALUE!</v>
      </c>
      <c r="HU24" t="e">
        <f>'All regions'!I600+"n/&gt;!k5"</f>
        <v>#VALUE!</v>
      </c>
      <c r="HV24" t="e">
        <f>'All regions'!J600+"n/&gt;!k6"</f>
        <v>#VALUE!</v>
      </c>
      <c r="HW24" t="e">
        <f>'All regions'!A601+"n/&gt;!k7"</f>
        <v>#VALUE!</v>
      </c>
      <c r="HX24" t="e">
        <f>'All regions'!B601+"n/&gt;!k8"</f>
        <v>#VALUE!</v>
      </c>
      <c r="HY24" t="e">
        <f>'All regions'!C601+"n/&gt;!k9"</f>
        <v>#VALUE!</v>
      </c>
      <c r="HZ24" t="e">
        <f>'All regions'!D601+"n/&gt;!k:"</f>
        <v>#VALUE!</v>
      </c>
      <c r="IA24" t="e">
        <f>'All regions'!E601+"n/&gt;!k;"</f>
        <v>#VALUE!</v>
      </c>
      <c r="IB24" t="e">
        <f>'All regions'!F601+"n/&gt;!k&lt;"</f>
        <v>#VALUE!</v>
      </c>
      <c r="IC24" t="e">
        <f>'All regions'!G601+"n/&gt;!k="</f>
        <v>#VALUE!</v>
      </c>
      <c r="ID24" t="e">
        <f>'All regions'!H601+"n/&gt;!k&gt;"</f>
        <v>#VALUE!</v>
      </c>
      <c r="IE24" t="e">
        <f>'All regions'!I601+"n/&gt;!k?"</f>
        <v>#VALUE!</v>
      </c>
      <c r="IF24" t="e">
        <f>'All regions'!J601+"n/&gt;!k@"</f>
        <v>#VALUE!</v>
      </c>
      <c r="IG24" t="e">
        <f>'All regions'!A602+"n/&gt;!kA"</f>
        <v>#VALUE!</v>
      </c>
      <c r="IH24" t="e">
        <f>'All regions'!B602+"n/&gt;!kB"</f>
        <v>#VALUE!</v>
      </c>
      <c r="II24" t="e">
        <f>'All regions'!C602+"n/&gt;!kC"</f>
        <v>#VALUE!</v>
      </c>
      <c r="IJ24" t="e">
        <f>'All regions'!D602+"n/&gt;!kD"</f>
        <v>#VALUE!</v>
      </c>
      <c r="IK24" t="e">
        <f>'All regions'!E602+"n/&gt;!kE"</f>
        <v>#VALUE!</v>
      </c>
      <c r="IL24" t="e">
        <f>'All regions'!F602+"n/&gt;!kF"</f>
        <v>#VALUE!</v>
      </c>
      <c r="IM24" t="e">
        <f>'All regions'!G602+"n/&gt;!kG"</f>
        <v>#VALUE!</v>
      </c>
      <c r="IN24" t="e">
        <f>'All regions'!H602+"n/&gt;!kH"</f>
        <v>#VALUE!</v>
      </c>
      <c r="IO24" t="e">
        <f>'All regions'!I602+"n/&gt;!kI"</f>
        <v>#VALUE!</v>
      </c>
      <c r="IP24" t="e">
        <f>'All regions'!J602+"n/&gt;!kJ"</f>
        <v>#VALUE!</v>
      </c>
      <c r="IQ24" t="e">
        <f>'All regions'!A603+"n/&gt;!kK"</f>
        <v>#VALUE!</v>
      </c>
      <c r="IR24" t="e">
        <f>'All regions'!B603+"n/&gt;!kL"</f>
        <v>#VALUE!</v>
      </c>
      <c r="IS24" t="e">
        <f>'All regions'!C603+"n/&gt;!kM"</f>
        <v>#VALUE!</v>
      </c>
      <c r="IT24" t="e">
        <f>'All regions'!D603+"n/&gt;!kN"</f>
        <v>#VALUE!</v>
      </c>
      <c r="IU24" t="e">
        <f>'All regions'!E603+"n/&gt;!kO"</f>
        <v>#VALUE!</v>
      </c>
      <c r="IV24" t="e">
        <f>'All regions'!F603+"n/&gt;!kP"</f>
        <v>#VALUE!</v>
      </c>
    </row>
    <row r="25" spans="6:256" x14ac:dyDescent="0.35">
      <c r="F25" t="e">
        <f>'All regions'!G603+"n/&gt;!kQ"</f>
        <v>#VALUE!</v>
      </c>
      <c r="G25" t="e">
        <f>'All regions'!H603+"n/&gt;!kR"</f>
        <v>#VALUE!</v>
      </c>
      <c r="H25" t="e">
        <f>'All regions'!I603+"n/&gt;!kS"</f>
        <v>#VALUE!</v>
      </c>
      <c r="I25" t="e">
        <f>'All regions'!J603+"n/&gt;!kT"</f>
        <v>#VALUE!</v>
      </c>
      <c r="J25" t="e">
        <f>'All regions'!A604+"n/&gt;!kU"</f>
        <v>#VALUE!</v>
      </c>
      <c r="K25" t="e">
        <f>'All regions'!B604+"n/&gt;!kV"</f>
        <v>#VALUE!</v>
      </c>
      <c r="L25" t="e">
        <f>'All regions'!C604+"n/&gt;!kW"</f>
        <v>#VALUE!</v>
      </c>
      <c r="M25" t="e">
        <f>'All regions'!D604+"n/&gt;!kX"</f>
        <v>#VALUE!</v>
      </c>
      <c r="N25" t="e">
        <f>'All regions'!E604+"n/&gt;!kY"</f>
        <v>#VALUE!</v>
      </c>
      <c r="O25" t="e">
        <f>'All regions'!F604+"n/&gt;!kZ"</f>
        <v>#VALUE!</v>
      </c>
      <c r="P25" t="e">
        <f>'All regions'!G604+"n/&gt;!k["</f>
        <v>#VALUE!</v>
      </c>
      <c r="Q25" t="e">
        <f>'All regions'!H604+"n/&gt;!k\"</f>
        <v>#VALUE!</v>
      </c>
      <c r="R25" t="e">
        <f>'All regions'!I604+"n/&gt;!k]"</f>
        <v>#VALUE!</v>
      </c>
      <c r="S25" t="e">
        <f>'All regions'!J604+"n/&gt;!k^"</f>
        <v>#VALUE!</v>
      </c>
      <c r="T25" t="e">
        <f>'All regions'!A605+"n/&gt;!k_"</f>
        <v>#VALUE!</v>
      </c>
      <c r="U25" t="e">
        <f>'All regions'!B605+"n/&gt;!k`"</f>
        <v>#VALUE!</v>
      </c>
      <c r="V25" t="e">
        <f>'All regions'!C605+"n/&gt;!ka"</f>
        <v>#VALUE!</v>
      </c>
      <c r="W25" t="e">
        <f>'All regions'!D605+"n/&gt;!kb"</f>
        <v>#VALUE!</v>
      </c>
      <c r="X25" t="e">
        <f>'All regions'!E605+"n/&gt;!kc"</f>
        <v>#VALUE!</v>
      </c>
      <c r="Y25" t="e">
        <f>'All regions'!F605+"n/&gt;!kd"</f>
        <v>#VALUE!</v>
      </c>
      <c r="Z25" t="e">
        <f>'All regions'!G605+"n/&gt;!ke"</f>
        <v>#VALUE!</v>
      </c>
      <c r="AA25" t="e">
        <f>'All regions'!H605+"n/&gt;!kf"</f>
        <v>#VALUE!</v>
      </c>
      <c r="AB25" t="e">
        <f>'All regions'!I605+"n/&gt;!kg"</f>
        <v>#VALUE!</v>
      </c>
      <c r="AC25" t="e">
        <f>'All regions'!J605+"n/&gt;!kh"</f>
        <v>#VALUE!</v>
      </c>
      <c r="AD25" t="e">
        <f>'All regions'!A606+"n/&gt;!ki"</f>
        <v>#VALUE!</v>
      </c>
      <c r="AE25" t="e">
        <f>'All regions'!B606+"n/&gt;!kj"</f>
        <v>#VALUE!</v>
      </c>
      <c r="AF25" t="e">
        <f>'All regions'!C606+"n/&gt;!kk"</f>
        <v>#VALUE!</v>
      </c>
      <c r="AG25" t="e">
        <f>'All regions'!D606+"n/&gt;!kl"</f>
        <v>#VALUE!</v>
      </c>
      <c r="AH25" t="e">
        <f>'All regions'!E606+"n/&gt;!km"</f>
        <v>#VALUE!</v>
      </c>
      <c r="AI25" t="e">
        <f>'All regions'!F606+"n/&gt;!kn"</f>
        <v>#VALUE!</v>
      </c>
      <c r="AJ25" t="e">
        <f>'All regions'!G606+"n/&gt;!ko"</f>
        <v>#VALUE!</v>
      </c>
      <c r="AK25" t="e">
        <f>'All regions'!H606+"n/&gt;!kp"</f>
        <v>#VALUE!</v>
      </c>
      <c r="AL25" t="e">
        <f>'All regions'!I606+"n/&gt;!kq"</f>
        <v>#VALUE!</v>
      </c>
      <c r="AM25" t="e">
        <f>'All regions'!J606+"n/&gt;!kr"</f>
        <v>#VALUE!</v>
      </c>
      <c r="AN25" t="e">
        <f>'All regions'!A607+"n/&gt;!ks"</f>
        <v>#VALUE!</v>
      </c>
      <c r="AO25" t="e">
        <f>'All regions'!B607+"n/&gt;!kt"</f>
        <v>#VALUE!</v>
      </c>
      <c r="AP25" t="e">
        <f>'All regions'!C607+"n/&gt;!ku"</f>
        <v>#VALUE!</v>
      </c>
      <c r="AQ25" t="e">
        <f>'All regions'!D607+"n/&gt;!kv"</f>
        <v>#VALUE!</v>
      </c>
      <c r="AR25" t="e">
        <f>'All regions'!E607+"n/&gt;!kw"</f>
        <v>#VALUE!</v>
      </c>
      <c r="AS25" t="e">
        <f>'All regions'!F607+"n/&gt;!kx"</f>
        <v>#VALUE!</v>
      </c>
      <c r="AT25" t="e">
        <f>'All regions'!G607+"n/&gt;!ky"</f>
        <v>#VALUE!</v>
      </c>
      <c r="AU25" t="e">
        <f>'All regions'!H607+"n/&gt;!kz"</f>
        <v>#VALUE!</v>
      </c>
      <c r="AV25" t="e">
        <f>'All regions'!I607+"n/&gt;!k{"</f>
        <v>#VALUE!</v>
      </c>
      <c r="AW25" t="e">
        <f>'All regions'!J607+"n/&gt;!k|"</f>
        <v>#VALUE!</v>
      </c>
      <c r="AX25" t="e">
        <f>'All regions'!A608+"n/&gt;!k}"</f>
        <v>#VALUE!</v>
      </c>
      <c r="AY25" t="e">
        <f>'All regions'!B608+"n/&gt;!k~"</f>
        <v>#VALUE!</v>
      </c>
      <c r="AZ25" t="e">
        <f>'All regions'!C608+"n/&gt;!l#"</f>
        <v>#VALUE!</v>
      </c>
      <c r="BA25" t="e">
        <f>'All regions'!D608+"n/&gt;!l$"</f>
        <v>#VALUE!</v>
      </c>
      <c r="BB25" t="e">
        <f>'All regions'!E608+"n/&gt;!l%"</f>
        <v>#VALUE!</v>
      </c>
      <c r="BC25" t="e">
        <f>'All regions'!F608+"n/&gt;!l&amp;"</f>
        <v>#VALUE!</v>
      </c>
      <c r="BD25" t="e">
        <f>'All regions'!G608+"n/&gt;!l'"</f>
        <v>#VALUE!</v>
      </c>
      <c r="BE25" t="e">
        <f>'All regions'!H608+"n/&gt;!l("</f>
        <v>#VALUE!</v>
      </c>
      <c r="BF25" t="e">
        <f>'All regions'!I608+"n/&gt;!l)"</f>
        <v>#VALUE!</v>
      </c>
      <c r="BG25" t="e">
        <f>'All regions'!J608+"n/&gt;!l."</f>
        <v>#VALUE!</v>
      </c>
      <c r="BH25" t="e">
        <f>'All regions'!A609+"n/&gt;!l/"</f>
        <v>#VALUE!</v>
      </c>
      <c r="BI25" t="e">
        <f>'All regions'!B609+"n/&gt;!l0"</f>
        <v>#VALUE!</v>
      </c>
      <c r="BJ25" t="e">
        <f>'All regions'!C609+"n/&gt;!l1"</f>
        <v>#VALUE!</v>
      </c>
      <c r="BK25" t="e">
        <f>'All regions'!D609+"n/&gt;!l2"</f>
        <v>#VALUE!</v>
      </c>
      <c r="BL25" t="e">
        <f>'All regions'!E609+"n/&gt;!l3"</f>
        <v>#VALUE!</v>
      </c>
      <c r="BM25" t="e">
        <f>'All regions'!F609+"n/&gt;!l4"</f>
        <v>#VALUE!</v>
      </c>
      <c r="BN25" t="e">
        <f>'All regions'!G609+"n/&gt;!l5"</f>
        <v>#VALUE!</v>
      </c>
      <c r="BO25" t="e">
        <f>'All regions'!H609+"n/&gt;!l6"</f>
        <v>#VALUE!</v>
      </c>
      <c r="BP25" t="e">
        <f>'All regions'!I609+"n/&gt;!l7"</f>
        <v>#VALUE!</v>
      </c>
      <c r="BQ25" t="e">
        <f>'All regions'!J609+"n/&gt;!l8"</f>
        <v>#VALUE!</v>
      </c>
      <c r="BR25" t="e">
        <f>'All regions'!A610+"n/&gt;!l9"</f>
        <v>#VALUE!</v>
      </c>
      <c r="BS25" t="e">
        <f>'All regions'!B610+"n/&gt;!l:"</f>
        <v>#VALUE!</v>
      </c>
      <c r="BT25" t="e">
        <f>'All regions'!C610+"n/&gt;!l;"</f>
        <v>#VALUE!</v>
      </c>
      <c r="BU25" t="e">
        <f>'All regions'!D610+"n/&gt;!l&lt;"</f>
        <v>#VALUE!</v>
      </c>
      <c r="BV25" t="e">
        <f>'All regions'!E610+"n/&gt;!l="</f>
        <v>#VALUE!</v>
      </c>
      <c r="BW25" t="e">
        <f>'All regions'!F610+"n/&gt;!l&gt;"</f>
        <v>#VALUE!</v>
      </c>
      <c r="BX25" t="e">
        <f>'All regions'!G610+"n/&gt;!l?"</f>
        <v>#VALUE!</v>
      </c>
      <c r="BY25" t="e">
        <f>'All regions'!H610+"n/&gt;!l@"</f>
        <v>#VALUE!</v>
      </c>
      <c r="BZ25" t="e">
        <f>'All regions'!I610+"n/&gt;!lA"</f>
        <v>#VALUE!</v>
      </c>
      <c r="CA25" t="e">
        <f>'All regions'!J610+"n/&gt;!lB"</f>
        <v>#VALUE!</v>
      </c>
      <c r="CB25" t="e">
        <f>'All regions'!A611+"n/&gt;!lC"</f>
        <v>#VALUE!</v>
      </c>
      <c r="CC25" t="e">
        <f>'All regions'!B611+"n/&gt;!lD"</f>
        <v>#VALUE!</v>
      </c>
      <c r="CD25" t="e">
        <f>'All regions'!C611+"n/&gt;!lE"</f>
        <v>#VALUE!</v>
      </c>
      <c r="CE25" t="e">
        <f>'All regions'!D611+"n/&gt;!lF"</f>
        <v>#VALUE!</v>
      </c>
      <c r="CF25" t="e">
        <f>'All regions'!E611+"n/&gt;!lG"</f>
        <v>#VALUE!</v>
      </c>
      <c r="CG25" t="e">
        <f>'All regions'!F611+"n/&gt;!lH"</f>
        <v>#VALUE!</v>
      </c>
      <c r="CH25" t="e">
        <f>'All regions'!G611+"n/&gt;!lI"</f>
        <v>#VALUE!</v>
      </c>
      <c r="CI25" t="e">
        <f>'All regions'!H611+"n/&gt;!lJ"</f>
        <v>#VALUE!</v>
      </c>
      <c r="CJ25" t="e">
        <f>'All regions'!I611+"n/&gt;!lK"</f>
        <v>#VALUE!</v>
      </c>
      <c r="CK25" t="e">
        <f>'All regions'!J611+"n/&gt;!lL"</f>
        <v>#VALUE!</v>
      </c>
      <c r="CL25" t="e">
        <f>'All regions'!A612+"n/&gt;!lM"</f>
        <v>#VALUE!</v>
      </c>
      <c r="CM25" t="e">
        <f>'All regions'!B612+"n/&gt;!lN"</f>
        <v>#VALUE!</v>
      </c>
      <c r="CN25" t="e">
        <f>'All regions'!C612+"n/&gt;!lO"</f>
        <v>#VALUE!</v>
      </c>
      <c r="CO25" t="e">
        <f>'All regions'!D612+"n/&gt;!lP"</f>
        <v>#VALUE!</v>
      </c>
      <c r="CP25" t="e">
        <f>'All regions'!E612+"n/&gt;!lQ"</f>
        <v>#VALUE!</v>
      </c>
      <c r="CQ25" t="e">
        <f>'All regions'!F612+"n/&gt;!lR"</f>
        <v>#VALUE!</v>
      </c>
      <c r="CR25" t="e">
        <f>'All regions'!G612+"n/&gt;!lS"</f>
        <v>#VALUE!</v>
      </c>
      <c r="CS25" t="e">
        <f>'All regions'!H612+"n/&gt;!lT"</f>
        <v>#VALUE!</v>
      </c>
      <c r="CT25" t="e">
        <f>'All regions'!I612+"n/&gt;!lU"</f>
        <v>#VALUE!</v>
      </c>
      <c r="CU25" t="e">
        <f>'All regions'!J612+"n/&gt;!lV"</f>
        <v>#VALUE!</v>
      </c>
      <c r="CV25" t="e">
        <f>'All regions'!A613+"n/&gt;!lW"</f>
        <v>#VALUE!</v>
      </c>
      <c r="CW25" t="e">
        <f>'All regions'!B613+"n/&gt;!lX"</f>
        <v>#VALUE!</v>
      </c>
      <c r="CX25" t="e">
        <f>'All regions'!C613+"n/&gt;!lY"</f>
        <v>#VALUE!</v>
      </c>
      <c r="CY25" t="e">
        <f>'All regions'!D613+"n/&gt;!lZ"</f>
        <v>#VALUE!</v>
      </c>
      <c r="CZ25" t="e">
        <f>'All regions'!E613+"n/&gt;!l["</f>
        <v>#VALUE!</v>
      </c>
      <c r="DA25" t="e">
        <f>'All regions'!F613+"n/&gt;!l\"</f>
        <v>#VALUE!</v>
      </c>
      <c r="DB25" t="e">
        <f>'All regions'!G613+"n/&gt;!l]"</f>
        <v>#VALUE!</v>
      </c>
      <c r="DC25" t="e">
        <f>'All regions'!H613+"n/&gt;!l^"</f>
        <v>#VALUE!</v>
      </c>
      <c r="DD25" t="e">
        <f>'All regions'!I613+"n/&gt;!l_"</f>
        <v>#VALUE!</v>
      </c>
      <c r="DE25" t="e">
        <f>'All regions'!J613+"n/&gt;!l`"</f>
        <v>#VALUE!</v>
      </c>
      <c r="DF25" t="e">
        <f>'All regions'!A614+"n/&gt;!la"</f>
        <v>#VALUE!</v>
      </c>
      <c r="DG25" t="e">
        <f>'All regions'!B614+"n/&gt;!lb"</f>
        <v>#VALUE!</v>
      </c>
      <c r="DH25" t="e">
        <f>'All regions'!C614+"n/&gt;!lc"</f>
        <v>#VALUE!</v>
      </c>
      <c r="DI25" t="e">
        <f>'All regions'!D614+"n/&gt;!ld"</f>
        <v>#VALUE!</v>
      </c>
      <c r="DJ25" t="e">
        <f>'All regions'!E614+"n/&gt;!le"</f>
        <v>#VALUE!</v>
      </c>
      <c r="DK25" t="e">
        <f>'All regions'!F614+"n/&gt;!lf"</f>
        <v>#VALUE!</v>
      </c>
      <c r="DL25" t="e">
        <f>'All regions'!G614+"n/&gt;!lg"</f>
        <v>#VALUE!</v>
      </c>
      <c r="DM25" t="e">
        <f>'All regions'!H614+"n/&gt;!lh"</f>
        <v>#VALUE!</v>
      </c>
      <c r="DN25" t="e">
        <f>'All regions'!I614+"n/&gt;!li"</f>
        <v>#VALUE!</v>
      </c>
      <c r="DO25" t="e">
        <f>'All regions'!J614+"n/&gt;!lj"</f>
        <v>#VALUE!</v>
      </c>
      <c r="DP25" t="e">
        <f>'All regions'!A615+"n/&gt;!lk"</f>
        <v>#VALUE!</v>
      </c>
      <c r="DQ25" t="e">
        <f>'All regions'!B615+"n/&gt;!ll"</f>
        <v>#VALUE!</v>
      </c>
      <c r="DR25" t="e">
        <f>'All regions'!C615+"n/&gt;!lm"</f>
        <v>#VALUE!</v>
      </c>
      <c r="DS25" t="e">
        <f>'All regions'!D615+"n/&gt;!ln"</f>
        <v>#VALUE!</v>
      </c>
      <c r="DT25" t="e">
        <f>'All regions'!E615+"n/&gt;!lo"</f>
        <v>#VALUE!</v>
      </c>
      <c r="DU25" t="e">
        <f>'All regions'!F615+"n/&gt;!lp"</f>
        <v>#VALUE!</v>
      </c>
      <c r="DV25" t="e">
        <f>'All regions'!G615+"n/&gt;!lq"</f>
        <v>#VALUE!</v>
      </c>
      <c r="DW25" t="e">
        <f>'All regions'!H615+"n/&gt;!lr"</f>
        <v>#VALUE!</v>
      </c>
      <c r="DX25" t="e">
        <f>'All regions'!I615+"n/&gt;!ls"</f>
        <v>#VALUE!</v>
      </c>
      <c r="DY25" t="e">
        <f>'All regions'!J615+"n/&gt;!lt"</f>
        <v>#VALUE!</v>
      </c>
      <c r="DZ25" t="e">
        <f>'All regions'!A616+"n/&gt;!lu"</f>
        <v>#VALUE!</v>
      </c>
      <c r="EA25" t="e">
        <f>'All regions'!B616+"n/&gt;!lv"</f>
        <v>#VALUE!</v>
      </c>
      <c r="EB25" t="e">
        <f>'All regions'!C616+"n/&gt;!lw"</f>
        <v>#VALUE!</v>
      </c>
      <c r="EC25" t="e">
        <f>'All regions'!D616+"n/&gt;!lx"</f>
        <v>#VALUE!</v>
      </c>
      <c r="ED25" t="e">
        <f>'All regions'!E616+"n/&gt;!ly"</f>
        <v>#VALUE!</v>
      </c>
      <c r="EE25" t="e">
        <f>'All regions'!F616+"n/&gt;!lz"</f>
        <v>#VALUE!</v>
      </c>
      <c r="EF25" t="e">
        <f>'All regions'!G616+"n/&gt;!l{"</f>
        <v>#VALUE!</v>
      </c>
      <c r="EG25" t="e">
        <f>'All regions'!H616+"n/&gt;!l|"</f>
        <v>#VALUE!</v>
      </c>
      <c r="EH25" t="e">
        <f>'All regions'!I616+"n/&gt;!l}"</f>
        <v>#VALUE!</v>
      </c>
      <c r="EI25" t="e">
        <f>'All regions'!J616+"n/&gt;!l~"</f>
        <v>#VALUE!</v>
      </c>
      <c r="EJ25" t="e">
        <f>'All regions'!A617+"n/&gt;!m#"</f>
        <v>#VALUE!</v>
      </c>
      <c r="EK25" t="e">
        <f>'All regions'!B617+"n/&gt;!m$"</f>
        <v>#VALUE!</v>
      </c>
      <c r="EL25" t="e">
        <f>'All regions'!C617+"n/&gt;!m%"</f>
        <v>#VALUE!</v>
      </c>
      <c r="EM25" t="e">
        <f>'All regions'!D617+"n/&gt;!m&amp;"</f>
        <v>#VALUE!</v>
      </c>
      <c r="EN25" t="e">
        <f>'All regions'!E617+"n/&gt;!m'"</f>
        <v>#VALUE!</v>
      </c>
      <c r="EO25" t="e">
        <f>'All regions'!F617+"n/&gt;!m("</f>
        <v>#VALUE!</v>
      </c>
      <c r="EP25" t="e">
        <f>'All regions'!G617+"n/&gt;!m)"</f>
        <v>#VALUE!</v>
      </c>
      <c r="EQ25" t="e">
        <f>'All regions'!H617+"n/&gt;!m."</f>
        <v>#VALUE!</v>
      </c>
      <c r="ER25" t="e">
        <f>'All regions'!I617+"n/&gt;!m/"</f>
        <v>#VALUE!</v>
      </c>
      <c r="ES25" t="e">
        <f>'All regions'!J617+"n/&gt;!m0"</f>
        <v>#VALUE!</v>
      </c>
      <c r="ET25" t="e">
        <f>'All regions'!A618+"n/&gt;!m1"</f>
        <v>#VALUE!</v>
      </c>
      <c r="EU25" t="e">
        <f>'All regions'!B618+"n/&gt;!m2"</f>
        <v>#VALUE!</v>
      </c>
      <c r="EV25" t="e">
        <f>'All regions'!C618+"n/&gt;!m3"</f>
        <v>#VALUE!</v>
      </c>
      <c r="EW25" t="e">
        <f>'All regions'!D618+"n/&gt;!m4"</f>
        <v>#VALUE!</v>
      </c>
      <c r="EX25" t="e">
        <f>'All regions'!E618+"n/&gt;!m5"</f>
        <v>#VALUE!</v>
      </c>
      <c r="EY25" t="e">
        <f>'All regions'!F618+"n/&gt;!m6"</f>
        <v>#VALUE!</v>
      </c>
      <c r="EZ25" t="e">
        <f>'All regions'!G618+"n/&gt;!m7"</f>
        <v>#VALUE!</v>
      </c>
      <c r="FA25" t="e">
        <f>'All regions'!H618+"n/&gt;!m8"</f>
        <v>#VALUE!</v>
      </c>
      <c r="FB25" t="e">
        <f>'All regions'!I618+"n/&gt;!m9"</f>
        <v>#VALUE!</v>
      </c>
      <c r="FC25" t="e">
        <f>'All regions'!J618+"n/&gt;!m:"</f>
        <v>#VALUE!</v>
      </c>
      <c r="FD25" t="e">
        <f>'All regions'!A619+"n/&gt;!m;"</f>
        <v>#VALUE!</v>
      </c>
      <c r="FE25" t="e">
        <f>'All regions'!B619+"n/&gt;!m&lt;"</f>
        <v>#VALUE!</v>
      </c>
      <c r="FF25" t="e">
        <f>'All regions'!C619+"n/&gt;!m="</f>
        <v>#VALUE!</v>
      </c>
      <c r="FG25" t="e">
        <f>'All regions'!D619+"n/&gt;!m&gt;"</f>
        <v>#VALUE!</v>
      </c>
      <c r="FH25" t="e">
        <f>'All regions'!E619+"n/&gt;!m?"</f>
        <v>#VALUE!</v>
      </c>
      <c r="FI25" t="e">
        <f>'All regions'!F619+"n/&gt;!m@"</f>
        <v>#VALUE!</v>
      </c>
      <c r="FJ25" t="e">
        <f>'All regions'!G619+"n/&gt;!mA"</f>
        <v>#VALUE!</v>
      </c>
      <c r="FK25" t="e">
        <f>'All regions'!H619+"n/&gt;!mB"</f>
        <v>#VALUE!</v>
      </c>
      <c r="FL25" t="e">
        <f>'All regions'!I619+"n/&gt;!mC"</f>
        <v>#VALUE!</v>
      </c>
      <c r="FM25" t="e">
        <f>'All regions'!J619+"n/&gt;!mD"</f>
        <v>#VALUE!</v>
      </c>
      <c r="FN25" t="e">
        <f>'All regions'!A620+"n/&gt;!mE"</f>
        <v>#VALUE!</v>
      </c>
      <c r="FO25" t="e">
        <f>'All regions'!B620+"n/&gt;!mF"</f>
        <v>#VALUE!</v>
      </c>
      <c r="FP25" t="e">
        <f>'All regions'!C620+"n/&gt;!mG"</f>
        <v>#VALUE!</v>
      </c>
      <c r="FQ25" t="e">
        <f>'All regions'!D620+"n/&gt;!mH"</f>
        <v>#VALUE!</v>
      </c>
      <c r="FR25" t="e">
        <f>'All regions'!E620+"n/&gt;!mI"</f>
        <v>#VALUE!</v>
      </c>
      <c r="FS25" t="e">
        <f>'All regions'!F620+"n/&gt;!mJ"</f>
        <v>#VALUE!</v>
      </c>
      <c r="FT25" t="e">
        <f>'All regions'!G620+"n/&gt;!mK"</f>
        <v>#VALUE!</v>
      </c>
      <c r="FU25" t="e">
        <f>'All regions'!H620+"n/&gt;!mL"</f>
        <v>#VALUE!</v>
      </c>
      <c r="FV25" t="e">
        <f>'All regions'!I620+"n/&gt;!mM"</f>
        <v>#VALUE!</v>
      </c>
      <c r="FW25" t="e">
        <f>'All regions'!J620+"n/&gt;!mN"</f>
        <v>#VALUE!</v>
      </c>
      <c r="FX25" t="e">
        <f>'All regions'!A621+"n/&gt;!mO"</f>
        <v>#VALUE!</v>
      </c>
      <c r="FY25" t="e">
        <f>'All regions'!B621+"n/&gt;!mP"</f>
        <v>#VALUE!</v>
      </c>
      <c r="FZ25" t="e">
        <f>'All regions'!C621+"n/&gt;!mQ"</f>
        <v>#VALUE!</v>
      </c>
      <c r="GA25" t="e">
        <f>'All regions'!D621+"n/&gt;!mR"</f>
        <v>#VALUE!</v>
      </c>
      <c r="GB25" t="e">
        <f>'All regions'!E621+"n/&gt;!mS"</f>
        <v>#VALUE!</v>
      </c>
      <c r="GC25" t="e">
        <f>'All regions'!F621+"n/&gt;!mT"</f>
        <v>#VALUE!</v>
      </c>
      <c r="GD25" t="e">
        <f>'All regions'!G621+"n/&gt;!mU"</f>
        <v>#VALUE!</v>
      </c>
      <c r="GE25" t="e">
        <f>'All regions'!H621+"n/&gt;!mV"</f>
        <v>#VALUE!</v>
      </c>
      <c r="GF25" t="e">
        <f>'All regions'!I621+"n/&gt;!mW"</f>
        <v>#VALUE!</v>
      </c>
      <c r="GG25" t="e">
        <f>'All regions'!J621+"n/&gt;!mX"</f>
        <v>#VALUE!</v>
      </c>
      <c r="GH25" t="e">
        <f>'All regions'!A622+"n/&gt;!mY"</f>
        <v>#VALUE!</v>
      </c>
      <c r="GI25" t="e">
        <f>'All regions'!B622+"n/&gt;!mZ"</f>
        <v>#VALUE!</v>
      </c>
      <c r="GJ25" t="e">
        <f>'All regions'!C622+"n/&gt;!m["</f>
        <v>#VALUE!</v>
      </c>
      <c r="GK25" t="e">
        <f>'All regions'!D622+"n/&gt;!m\"</f>
        <v>#VALUE!</v>
      </c>
      <c r="GL25" t="e">
        <f>'All regions'!E622+"n/&gt;!m]"</f>
        <v>#VALUE!</v>
      </c>
      <c r="GM25" t="e">
        <f>'All regions'!F622+"n/&gt;!m^"</f>
        <v>#VALUE!</v>
      </c>
      <c r="GN25" t="e">
        <f>'All regions'!G622+"n/&gt;!m_"</f>
        <v>#VALUE!</v>
      </c>
      <c r="GO25" t="e">
        <f>'All regions'!H622+"n/&gt;!m`"</f>
        <v>#VALUE!</v>
      </c>
      <c r="GP25" t="e">
        <f>'All regions'!I622+"n/&gt;!ma"</f>
        <v>#VALUE!</v>
      </c>
      <c r="GQ25" t="e">
        <f>'All regions'!J622+"n/&gt;!mb"</f>
        <v>#VALUE!</v>
      </c>
      <c r="GR25" t="e">
        <f>'All regions'!A623+"n/&gt;!mc"</f>
        <v>#VALUE!</v>
      </c>
      <c r="GS25" t="e">
        <f>'All regions'!B623+"n/&gt;!md"</f>
        <v>#VALUE!</v>
      </c>
      <c r="GT25" t="e">
        <f>'All regions'!C623+"n/&gt;!me"</f>
        <v>#VALUE!</v>
      </c>
      <c r="GU25" t="e">
        <f>'All regions'!D623+"n/&gt;!mf"</f>
        <v>#VALUE!</v>
      </c>
      <c r="GV25" t="e">
        <f>'All regions'!E623+"n/&gt;!mg"</f>
        <v>#VALUE!</v>
      </c>
      <c r="GW25" t="e">
        <f>'All regions'!F623+"n/&gt;!mh"</f>
        <v>#VALUE!</v>
      </c>
      <c r="GX25" t="e">
        <f>'All regions'!G623+"n/&gt;!mi"</f>
        <v>#VALUE!</v>
      </c>
      <c r="GY25" t="e">
        <f>'All regions'!H623+"n/&gt;!mj"</f>
        <v>#VALUE!</v>
      </c>
      <c r="GZ25" t="e">
        <f>'All regions'!I623+"n/&gt;!mk"</f>
        <v>#VALUE!</v>
      </c>
      <c r="HA25" t="e">
        <f>'All regions'!J623+"n/&gt;!ml"</f>
        <v>#VALUE!</v>
      </c>
      <c r="HB25" t="e">
        <f>'All regions'!A624+"n/&gt;!mm"</f>
        <v>#VALUE!</v>
      </c>
      <c r="HC25" t="e">
        <f>'All regions'!B624+"n/&gt;!mn"</f>
        <v>#VALUE!</v>
      </c>
      <c r="HD25" t="e">
        <f>'All regions'!C624+"n/&gt;!mo"</f>
        <v>#VALUE!</v>
      </c>
      <c r="HE25" t="e">
        <f>'All regions'!D624+"n/&gt;!mp"</f>
        <v>#VALUE!</v>
      </c>
      <c r="HF25" t="e">
        <f>'All regions'!E624+"n/&gt;!mq"</f>
        <v>#VALUE!</v>
      </c>
      <c r="HG25" t="e">
        <f>'All regions'!F624+"n/&gt;!mr"</f>
        <v>#VALUE!</v>
      </c>
      <c r="HH25" t="e">
        <f>'All regions'!G624+"n/&gt;!ms"</f>
        <v>#VALUE!</v>
      </c>
      <c r="HI25" t="e">
        <f>'All regions'!H624+"n/&gt;!mt"</f>
        <v>#VALUE!</v>
      </c>
      <c r="HJ25" t="e">
        <f>'All regions'!I624+"n/&gt;!mu"</f>
        <v>#VALUE!</v>
      </c>
      <c r="HK25" t="e">
        <f>'All regions'!J624+"n/&gt;!mv"</f>
        <v>#VALUE!</v>
      </c>
      <c r="HL25" t="e">
        <f>'All regions'!A625+"n/&gt;!mw"</f>
        <v>#VALUE!</v>
      </c>
      <c r="HM25" t="e">
        <f>'All regions'!B625+"n/&gt;!mx"</f>
        <v>#VALUE!</v>
      </c>
      <c r="HN25" t="e">
        <f>'All regions'!C625+"n/&gt;!my"</f>
        <v>#VALUE!</v>
      </c>
      <c r="HO25" t="e">
        <f>'All regions'!D625+"n/&gt;!mz"</f>
        <v>#VALUE!</v>
      </c>
      <c r="HP25" t="e">
        <f>'All regions'!E625+"n/&gt;!m{"</f>
        <v>#VALUE!</v>
      </c>
      <c r="HQ25" t="e">
        <f>'All regions'!F625+"n/&gt;!m|"</f>
        <v>#VALUE!</v>
      </c>
      <c r="HR25" t="e">
        <f>'All regions'!G625+"n/&gt;!m}"</f>
        <v>#VALUE!</v>
      </c>
      <c r="HS25" t="e">
        <f>'All regions'!H625+"n/&gt;!m~"</f>
        <v>#VALUE!</v>
      </c>
      <c r="HT25" t="e">
        <f>'All regions'!I625+"n/&gt;!n#"</f>
        <v>#VALUE!</v>
      </c>
      <c r="HU25" t="e">
        <f>'All regions'!J625+"n/&gt;!n$"</f>
        <v>#VALUE!</v>
      </c>
      <c r="HV25" t="e">
        <f>'All regions'!A626+"n/&gt;!n%"</f>
        <v>#VALUE!</v>
      </c>
      <c r="HW25" t="e">
        <f>'All regions'!B626+"n/&gt;!n&amp;"</f>
        <v>#VALUE!</v>
      </c>
      <c r="HX25" t="e">
        <f>'All regions'!C626+"n/&gt;!n'"</f>
        <v>#VALUE!</v>
      </c>
      <c r="HY25" t="e">
        <f>'All regions'!D626+"n/&gt;!n("</f>
        <v>#VALUE!</v>
      </c>
      <c r="HZ25" t="e">
        <f>'All regions'!E626+"n/&gt;!n)"</f>
        <v>#VALUE!</v>
      </c>
      <c r="IA25" t="e">
        <f>'All regions'!F626+"n/&gt;!n."</f>
        <v>#VALUE!</v>
      </c>
      <c r="IB25" t="e">
        <f>'All regions'!G626+"n/&gt;!n/"</f>
        <v>#VALUE!</v>
      </c>
      <c r="IC25" t="e">
        <f>'All regions'!H626+"n/&gt;!n0"</f>
        <v>#VALUE!</v>
      </c>
      <c r="ID25" t="e">
        <f>'All regions'!I626+"n/&gt;!n1"</f>
        <v>#VALUE!</v>
      </c>
      <c r="IE25" t="e">
        <f>'All regions'!J626+"n/&gt;!n2"</f>
        <v>#VALUE!</v>
      </c>
      <c r="IF25" t="e">
        <f>'All regions'!A627+"n/&gt;!n3"</f>
        <v>#VALUE!</v>
      </c>
      <c r="IG25" t="e">
        <f>'All regions'!B627+"n/&gt;!n4"</f>
        <v>#VALUE!</v>
      </c>
      <c r="IH25" t="e">
        <f>'All regions'!C627+"n/&gt;!n5"</f>
        <v>#VALUE!</v>
      </c>
      <c r="II25" t="e">
        <f>'All regions'!D627+"n/&gt;!n6"</f>
        <v>#VALUE!</v>
      </c>
      <c r="IJ25" t="e">
        <f>'All regions'!E627+"n/&gt;!n7"</f>
        <v>#VALUE!</v>
      </c>
      <c r="IK25" t="e">
        <f>'All regions'!F627+"n/&gt;!n8"</f>
        <v>#VALUE!</v>
      </c>
      <c r="IL25" t="e">
        <f>'All regions'!G627+"n/&gt;!n9"</f>
        <v>#VALUE!</v>
      </c>
      <c r="IM25" t="e">
        <f>'All regions'!H627+"n/&gt;!n:"</f>
        <v>#VALUE!</v>
      </c>
      <c r="IN25" t="e">
        <f>'All regions'!I627+"n/&gt;!n;"</f>
        <v>#VALUE!</v>
      </c>
      <c r="IO25" t="e">
        <f>'All regions'!J627+"n/&gt;!n&lt;"</f>
        <v>#VALUE!</v>
      </c>
      <c r="IP25" t="e">
        <f>'All regions'!A628+"n/&gt;!n="</f>
        <v>#VALUE!</v>
      </c>
      <c r="IQ25" t="e">
        <f>'All regions'!B628+"n/&gt;!n&gt;"</f>
        <v>#VALUE!</v>
      </c>
      <c r="IR25" t="e">
        <f>'All regions'!C628+"n/&gt;!n?"</f>
        <v>#VALUE!</v>
      </c>
      <c r="IS25" t="e">
        <f>'All regions'!D628+"n/&gt;!n@"</f>
        <v>#VALUE!</v>
      </c>
      <c r="IT25" t="e">
        <f>'All regions'!E628+"n/&gt;!nA"</f>
        <v>#VALUE!</v>
      </c>
      <c r="IU25" t="e">
        <f>'All regions'!F628+"n/&gt;!nB"</f>
        <v>#VALUE!</v>
      </c>
      <c r="IV25" t="e">
        <f>'All regions'!G628+"n/&gt;!nC"</f>
        <v>#VALUE!</v>
      </c>
    </row>
    <row r="26" spans="6:256" x14ac:dyDescent="0.35">
      <c r="F26" t="e">
        <f>'All regions'!H628+"n/&gt;!nD"</f>
        <v>#VALUE!</v>
      </c>
      <c r="G26" t="e">
        <f>'All regions'!I628+"n/&gt;!nE"</f>
        <v>#VALUE!</v>
      </c>
      <c r="H26" t="e">
        <f>'All regions'!J628+"n/&gt;!nF"</f>
        <v>#VALUE!</v>
      </c>
      <c r="I26" t="e">
        <f>'All regions'!A629+"n/&gt;!nG"</f>
        <v>#VALUE!</v>
      </c>
      <c r="J26" t="e">
        <f>'All regions'!B629+"n/&gt;!nH"</f>
        <v>#VALUE!</v>
      </c>
      <c r="K26" t="e">
        <f>'All regions'!C629+"n/&gt;!nI"</f>
        <v>#VALUE!</v>
      </c>
      <c r="L26" t="e">
        <f>'All regions'!D629+"n/&gt;!nJ"</f>
        <v>#VALUE!</v>
      </c>
      <c r="M26" t="e">
        <f>'All regions'!E629+"n/&gt;!nK"</f>
        <v>#VALUE!</v>
      </c>
      <c r="N26" t="e">
        <f>'All regions'!F629+"n/&gt;!nL"</f>
        <v>#VALUE!</v>
      </c>
      <c r="O26" t="e">
        <f>'All regions'!G629+"n/&gt;!nM"</f>
        <v>#VALUE!</v>
      </c>
      <c r="P26" t="e">
        <f>'All regions'!H629+"n/&gt;!nN"</f>
        <v>#VALUE!</v>
      </c>
      <c r="Q26" t="e">
        <f>'All regions'!I629+"n/&gt;!nO"</f>
        <v>#VALUE!</v>
      </c>
      <c r="R26" t="e">
        <f>'All regions'!J629+"n/&gt;!nP"</f>
        <v>#VALUE!</v>
      </c>
      <c r="S26" t="e">
        <f>'All regions'!A630+"n/&gt;!nQ"</f>
        <v>#VALUE!</v>
      </c>
      <c r="T26" t="e">
        <f>'All regions'!B630+"n/&gt;!nR"</f>
        <v>#VALUE!</v>
      </c>
      <c r="U26" t="e">
        <f>'All regions'!C630+"n/&gt;!nS"</f>
        <v>#VALUE!</v>
      </c>
      <c r="V26" t="e">
        <f>'All regions'!D630+"n/&gt;!nT"</f>
        <v>#VALUE!</v>
      </c>
      <c r="W26" t="e">
        <f>'All regions'!E630+"n/&gt;!nU"</f>
        <v>#VALUE!</v>
      </c>
      <c r="X26" t="e">
        <f>'All regions'!F630+"n/&gt;!nV"</f>
        <v>#VALUE!</v>
      </c>
      <c r="Y26" t="e">
        <f>'All regions'!G630+"n/&gt;!nW"</f>
        <v>#VALUE!</v>
      </c>
      <c r="Z26" t="e">
        <f>'All regions'!H630+"n/&gt;!nX"</f>
        <v>#VALUE!</v>
      </c>
      <c r="AA26" t="e">
        <f>'All regions'!I630+"n/&gt;!nY"</f>
        <v>#VALUE!</v>
      </c>
      <c r="AB26" t="e">
        <f>'All regions'!J630+"n/&gt;!nZ"</f>
        <v>#VALUE!</v>
      </c>
      <c r="AC26" t="e">
        <f>'All regions'!A631+"n/&gt;!n["</f>
        <v>#VALUE!</v>
      </c>
      <c r="AD26" t="e">
        <f>'All regions'!B631+"n/&gt;!n\"</f>
        <v>#VALUE!</v>
      </c>
      <c r="AE26" t="e">
        <f>'All regions'!C631+"n/&gt;!n]"</f>
        <v>#VALUE!</v>
      </c>
      <c r="AF26" t="e">
        <f>'All regions'!D631+"n/&gt;!n^"</f>
        <v>#VALUE!</v>
      </c>
      <c r="AG26" t="e">
        <f>'All regions'!E631+"n/&gt;!n_"</f>
        <v>#VALUE!</v>
      </c>
      <c r="AH26" t="e">
        <f>'All regions'!F631+"n/&gt;!n`"</f>
        <v>#VALUE!</v>
      </c>
      <c r="AI26" t="e">
        <f>'All regions'!G631+"n/&gt;!na"</f>
        <v>#VALUE!</v>
      </c>
      <c r="AJ26" t="e">
        <f>'All regions'!H631+"n/&gt;!nb"</f>
        <v>#VALUE!</v>
      </c>
      <c r="AK26" t="e">
        <f>'All regions'!I631+"n/&gt;!nc"</f>
        <v>#VALUE!</v>
      </c>
      <c r="AL26" t="e">
        <f>'All regions'!J631+"n/&gt;!nd"</f>
        <v>#VALUE!</v>
      </c>
      <c r="AM26" t="e">
        <f>'All regions'!A632+"n/&gt;!ne"</f>
        <v>#VALUE!</v>
      </c>
      <c r="AN26" t="e">
        <f>'All regions'!B632+"n/&gt;!nf"</f>
        <v>#VALUE!</v>
      </c>
      <c r="AO26" t="e">
        <f>'All regions'!C632+"n/&gt;!ng"</f>
        <v>#VALUE!</v>
      </c>
      <c r="AP26" t="e">
        <f>'All regions'!D632+"n/&gt;!nh"</f>
        <v>#VALUE!</v>
      </c>
      <c r="AQ26" t="e">
        <f>'All regions'!E632+"n/&gt;!ni"</f>
        <v>#VALUE!</v>
      </c>
      <c r="AR26" t="e">
        <f>'All regions'!F632+"n/&gt;!nj"</f>
        <v>#VALUE!</v>
      </c>
      <c r="AS26" t="e">
        <f>'All regions'!G632+"n/&gt;!nk"</f>
        <v>#VALUE!</v>
      </c>
      <c r="AT26" t="e">
        <f>'All regions'!H632+"n/&gt;!nl"</f>
        <v>#VALUE!</v>
      </c>
      <c r="AU26" t="e">
        <f>'All regions'!I632+"n/&gt;!nm"</f>
        <v>#VALUE!</v>
      </c>
      <c r="AV26" t="e">
        <f>'All regions'!J632+"n/&gt;!nn"</f>
        <v>#VALUE!</v>
      </c>
      <c r="AW26" t="e">
        <f>'All regions'!A633+"n/&gt;!no"</f>
        <v>#VALUE!</v>
      </c>
      <c r="AX26" t="e">
        <f>'All regions'!B633+"n/&gt;!np"</f>
        <v>#VALUE!</v>
      </c>
      <c r="AY26" t="e">
        <f>'All regions'!C633+"n/&gt;!nq"</f>
        <v>#VALUE!</v>
      </c>
      <c r="AZ26" t="e">
        <f>'All regions'!D633+"n/&gt;!nr"</f>
        <v>#VALUE!</v>
      </c>
      <c r="BA26" t="e">
        <f>'All regions'!E633+"n/&gt;!ns"</f>
        <v>#VALUE!</v>
      </c>
      <c r="BB26" t="e">
        <f>'All regions'!F633+"n/&gt;!nt"</f>
        <v>#VALUE!</v>
      </c>
      <c r="BC26" t="e">
        <f>'All regions'!G633+"n/&gt;!nu"</f>
        <v>#VALUE!</v>
      </c>
      <c r="BD26" t="e">
        <f>'All regions'!H633+"n/&gt;!nv"</f>
        <v>#VALUE!</v>
      </c>
      <c r="BE26" t="e">
        <f>'All regions'!I633+"n/&gt;!nw"</f>
        <v>#VALUE!</v>
      </c>
      <c r="BF26" t="e">
        <f>'All regions'!J633+"n/&gt;!nx"</f>
        <v>#VALUE!</v>
      </c>
      <c r="BG26" t="e">
        <f>'All regions'!A634+"n/&gt;!ny"</f>
        <v>#VALUE!</v>
      </c>
      <c r="BH26" t="e">
        <f>'All regions'!B634+"n/&gt;!nz"</f>
        <v>#VALUE!</v>
      </c>
      <c r="BI26" t="e">
        <f>'All regions'!C634+"n/&gt;!n{"</f>
        <v>#VALUE!</v>
      </c>
      <c r="BJ26" t="e">
        <f>'All regions'!D634+"n/&gt;!n|"</f>
        <v>#VALUE!</v>
      </c>
      <c r="BK26" t="e">
        <f>'All regions'!E634+"n/&gt;!n}"</f>
        <v>#VALUE!</v>
      </c>
      <c r="BL26" t="e">
        <f>'All regions'!F634+"n/&gt;!n~"</f>
        <v>#VALUE!</v>
      </c>
      <c r="BM26" t="e">
        <f>'All regions'!G634+"n/&gt;!o#"</f>
        <v>#VALUE!</v>
      </c>
      <c r="BN26" t="e">
        <f>'All regions'!H634+"n/&gt;!o$"</f>
        <v>#VALUE!</v>
      </c>
      <c r="BO26" t="e">
        <f>'All regions'!I634+"n/&gt;!o%"</f>
        <v>#VALUE!</v>
      </c>
      <c r="BP26" t="e">
        <f>'All regions'!J634+"n/&gt;!o&amp;"</f>
        <v>#VALUE!</v>
      </c>
      <c r="BQ26" t="e">
        <f>'All regions'!A635+"n/&gt;!o'"</f>
        <v>#VALUE!</v>
      </c>
      <c r="BR26" t="e">
        <f>'All regions'!B635+"n/&gt;!o("</f>
        <v>#VALUE!</v>
      </c>
      <c r="BS26" t="e">
        <f>'All regions'!C635+"n/&gt;!o)"</f>
        <v>#VALUE!</v>
      </c>
      <c r="BT26" t="e">
        <f>'All regions'!D635+"n/&gt;!o."</f>
        <v>#VALUE!</v>
      </c>
      <c r="BU26" t="e">
        <f>'All regions'!E635+"n/&gt;!o/"</f>
        <v>#VALUE!</v>
      </c>
      <c r="BV26" t="e">
        <f>'All regions'!F635+"n/&gt;!o0"</f>
        <v>#VALUE!</v>
      </c>
      <c r="BW26" t="e">
        <f>'All regions'!G635+"n/&gt;!o1"</f>
        <v>#VALUE!</v>
      </c>
      <c r="BX26" t="e">
        <f>'All regions'!H635+"n/&gt;!o2"</f>
        <v>#VALUE!</v>
      </c>
      <c r="BY26" t="e">
        <f>'All regions'!I635+"n/&gt;!o3"</f>
        <v>#VALUE!</v>
      </c>
      <c r="BZ26" t="e">
        <f>'All regions'!J635+"n/&gt;!o4"</f>
        <v>#VALUE!</v>
      </c>
      <c r="CA26" t="e">
        <f>'All regions'!A636+"n/&gt;!o5"</f>
        <v>#VALUE!</v>
      </c>
      <c r="CB26" t="e">
        <f>'All regions'!B636+"n/&gt;!o6"</f>
        <v>#VALUE!</v>
      </c>
      <c r="CC26" t="e">
        <f>'All regions'!C636+"n/&gt;!o7"</f>
        <v>#VALUE!</v>
      </c>
      <c r="CD26" t="e">
        <f>'All regions'!D636+"n/&gt;!o8"</f>
        <v>#VALUE!</v>
      </c>
      <c r="CE26" t="e">
        <f>'All regions'!E636+"n/&gt;!o9"</f>
        <v>#VALUE!</v>
      </c>
      <c r="CF26" t="e">
        <f>'All regions'!F636+"n/&gt;!o:"</f>
        <v>#VALUE!</v>
      </c>
      <c r="CG26" t="e">
        <f>'All regions'!G636+"n/&gt;!o;"</f>
        <v>#VALUE!</v>
      </c>
      <c r="CH26" t="e">
        <f>'All regions'!H636+"n/&gt;!o&lt;"</f>
        <v>#VALUE!</v>
      </c>
      <c r="CI26" t="e">
        <f>'All regions'!I636+"n/&gt;!o="</f>
        <v>#VALUE!</v>
      </c>
      <c r="CJ26" t="e">
        <f>'All regions'!J636+"n/&gt;!o&gt;"</f>
        <v>#VALUE!</v>
      </c>
      <c r="CK26" t="e">
        <f>'All regions'!A637+"n/&gt;!o?"</f>
        <v>#VALUE!</v>
      </c>
      <c r="CL26" t="e">
        <f>'All regions'!B637+"n/&gt;!o@"</f>
        <v>#VALUE!</v>
      </c>
      <c r="CM26" t="e">
        <f>'All regions'!C637+"n/&gt;!oA"</f>
        <v>#VALUE!</v>
      </c>
      <c r="CN26" t="e">
        <f>'All regions'!D637+"n/&gt;!oB"</f>
        <v>#VALUE!</v>
      </c>
      <c r="CO26" t="e">
        <f>'All regions'!E637+"n/&gt;!oC"</f>
        <v>#VALUE!</v>
      </c>
      <c r="CP26" t="e">
        <f>'All regions'!F637+"n/&gt;!oD"</f>
        <v>#VALUE!</v>
      </c>
      <c r="CQ26" t="e">
        <f>'All regions'!G637+"n/&gt;!oE"</f>
        <v>#VALUE!</v>
      </c>
      <c r="CR26" t="e">
        <f>'All regions'!H637+"n/&gt;!oF"</f>
        <v>#VALUE!</v>
      </c>
      <c r="CS26" t="e">
        <f>'All regions'!I637+"n/&gt;!oG"</f>
        <v>#VALUE!</v>
      </c>
      <c r="CT26" t="e">
        <f>'All regions'!J637+"n/&gt;!oH"</f>
        <v>#VALUE!</v>
      </c>
      <c r="CU26" t="e">
        <f>'All regions'!A638+"n/&gt;!oI"</f>
        <v>#VALUE!</v>
      </c>
      <c r="CV26" t="e">
        <f>'All regions'!B638+"n/&gt;!oJ"</f>
        <v>#VALUE!</v>
      </c>
      <c r="CW26" t="e">
        <f>'All regions'!C638+"n/&gt;!oK"</f>
        <v>#VALUE!</v>
      </c>
      <c r="CX26" t="e">
        <f>'All regions'!D638+"n/&gt;!oL"</f>
        <v>#VALUE!</v>
      </c>
      <c r="CY26" t="e">
        <f>'All regions'!E638+"n/&gt;!oM"</f>
        <v>#VALUE!</v>
      </c>
      <c r="CZ26" t="e">
        <f>'All regions'!F638+"n/&gt;!oN"</f>
        <v>#VALUE!</v>
      </c>
      <c r="DA26" t="e">
        <f>'All regions'!G638+"n/&gt;!oO"</f>
        <v>#VALUE!</v>
      </c>
      <c r="DB26" t="e">
        <f>'All regions'!H638+"n/&gt;!oP"</f>
        <v>#VALUE!</v>
      </c>
      <c r="DC26" t="e">
        <f>'All regions'!I638+"n/&gt;!oQ"</f>
        <v>#VALUE!</v>
      </c>
      <c r="DD26" t="e">
        <f>'All regions'!J638+"n/&gt;!oR"</f>
        <v>#VALUE!</v>
      </c>
      <c r="DE26" t="e">
        <f>'All regions'!A639+"n/&gt;!oS"</f>
        <v>#VALUE!</v>
      </c>
      <c r="DF26" t="e">
        <f>'All regions'!B639+"n/&gt;!oT"</f>
        <v>#VALUE!</v>
      </c>
      <c r="DG26" t="e">
        <f>'All regions'!C639+"n/&gt;!oU"</f>
        <v>#VALUE!</v>
      </c>
      <c r="DH26" t="e">
        <f>'All regions'!D639+"n/&gt;!oV"</f>
        <v>#VALUE!</v>
      </c>
      <c r="DI26" t="e">
        <f>'All regions'!E639+"n/&gt;!oW"</f>
        <v>#VALUE!</v>
      </c>
      <c r="DJ26" t="e">
        <f>'All regions'!F639+"n/&gt;!oX"</f>
        <v>#VALUE!</v>
      </c>
      <c r="DK26" t="e">
        <f>'All regions'!G639+"n/&gt;!oY"</f>
        <v>#VALUE!</v>
      </c>
      <c r="DL26" t="e">
        <f>'All regions'!H639+"n/&gt;!oZ"</f>
        <v>#VALUE!</v>
      </c>
      <c r="DM26" t="e">
        <f>'All regions'!I639+"n/&gt;!o["</f>
        <v>#VALUE!</v>
      </c>
      <c r="DN26" t="e">
        <f>'All regions'!J639+"n/&gt;!o\"</f>
        <v>#VALUE!</v>
      </c>
      <c r="DO26" t="e">
        <f>'All regions'!A640+"n/&gt;!o]"</f>
        <v>#VALUE!</v>
      </c>
      <c r="DP26" t="e">
        <f>'All regions'!B640+"n/&gt;!o^"</f>
        <v>#VALUE!</v>
      </c>
      <c r="DQ26" t="e">
        <f>'All regions'!C640+"n/&gt;!o_"</f>
        <v>#VALUE!</v>
      </c>
      <c r="DR26" t="e">
        <f>'All regions'!D640+"n/&gt;!o`"</f>
        <v>#VALUE!</v>
      </c>
      <c r="DS26" t="e">
        <f>'All regions'!E640+"n/&gt;!oa"</f>
        <v>#VALUE!</v>
      </c>
      <c r="DT26" t="e">
        <f>'All regions'!F640+"n/&gt;!ob"</f>
        <v>#VALUE!</v>
      </c>
      <c r="DU26" t="e">
        <f>'All regions'!G640+"n/&gt;!oc"</f>
        <v>#VALUE!</v>
      </c>
      <c r="DV26" t="e">
        <f>'All regions'!H640+"n/&gt;!od"</f>
        <v>#VALUE!</v>
      </c>
      <c r="DW26" t="e">
        <f>'All regions'!I640+"n/&gt;!oe"</f>
        <v>#VALUE!</v>
      </c>
      <c r="DX26" t="e">
        <f>'All regions'!J640+"n/&gt;!of"</f>
        <v>#VALUE!</v>
      </c>
      <c r="DY26" t="e">
        <f>'All regions'!A641+"n/&gt;!og"</f>
        <v>#VALUE!</v>
      </c>
      <c r="DZ26" t="e">
        <f>'All regions'!B641+"n/&gt;!oh"</f>
        <v>#VALUE!</v>
      </c>
      <c r="EA26" t="e">
        <f>'All regions'!C641+"n/&gt;!oi"</f>
        <v>#VALUE!</v>
      </c>
      <c r="EB26" t="e">
        <f>'All regions'!D641+"n/&gt;!oj"</f>
        <v>#VALUE!</v>
      </c>
      <c r="EC26" t="e">
        <f>'All regions'!E641+"n/&gt;!ok"</f>
        <v>#VALUE!</v>
      </c>
      <c r="ED26" t="e">
        <f>'All regions'!F641+"n/&gt;!ol"</f>
        <v>#VALUE!</v>
      </c>
      <c r="EE26" t="e">
        <f>'All regions'!G641+"n/&gt;!om"</f>
        <v>#VALUE!</v>
      </c>
      <c r="EF26" t="e">
        <f>'All regions'!H641+"n/&gt;!on"</f>
        <v>#VALUE!</v>
      </c>
      <c r="EG26" t="e">
        <f>'All regions'!I641+"n/&gt;!oo"</f>
        <v>#VALUE!</v>
      </c>
      <c r="EH26" t="e">
        <f>'All regions'!J641+"n/&gt;!op"</f>
        <v>#VALUE!</v>
      </c>
      <c r="EI26" t="e">
        <f>'All regions'!A642+"n/&gt;!oq"</f>
        <v>#VALUE!</v>
      </c>
      <c r="EJ26" t="e">
        <f>'All regions'!B642+"n/&gt;!or"</f>
        <v>#VALUE!</v>
      </c>
      <c r="EK26" t="e">
        <f>'All regions'!C642+"n/&gt;!os"</f>
        <v>#VALUE!</v>
      </c>
      <c r="EL26" t="e">
        <f>'All regions'!D642+"n/&gt;!ot"</f>
        <v>#VALUE!</v>
      </c>
      <c r="EM26" t="e">
        <f>'All regions'!E642+"n/&gt;!ou"</f>
        <v>#VALUE!</v>
      </c>
      <c r="EN26" t="e">
        <f>'All regions'!F642+"n/&gt;!ov"</f>
        <v>#VALUE!</v>
      </c>
      <c r="EO26" t="e">
        <f>'All regions'!G642+"n/&gt;!ow"</f>
        <v>#VALUE!</v>
      </c>
      <c r="EP26" t="e">
        <f>'All regions'!H642+"n/&gt;!ox"</f>
        <v>#VALUE!</v>
      </c>
      <c r="EQ26" t="e">
        <f>'All regions'!I642+"n/&gt;!oy"</f>
        <v>#VALUE!</v>
      </c>
      <c r="ER26" t="e">
        <f>'All regions'!J642+"n/&gt;!oz"</f>
        <v>#VALUE!</v>
      </c>
      <c r="ES26" t="e">
        <f>'All regions'!A643+"n/&gt;!o{"</f>
        <v>#VALUE!</v>
      </c>
      <c r="ET26" t="e">
        <f>'All regions'!B643+"n/&gt;!o|"</f>
        <v>#VALUE!</v>
      </c>
      <c r="EU26" t="e">
        <f>'All regions'!C643+"n/&gt;!o}"</f>
        <v>#VALUE!</v>
      </c>
      <c r="EV26" t="e">
        <f>'All regions'!D643+"n/&gt;!o~"</f>
        <v>#VALUE!</v>
      </c>
      <c r="EW26" t="e">
        <f>'All regions'!E643+"n/&gt;!p#"</f>
        <v>#VALUE!</v>
      </c>
      <c r="EX26" t="e">
        <f>'All regions'!F643+"n/&gt;!p$"</f>
        <v>#VALUE!</v>
      </c>
      <c r="EY26" t="e">
        <f>'All regions'!G643+"n/&gt;!p%"</f>
        <v>#VALUE!</v>
      </c>
      <c r="EZ26" t="e">
        <f>'All regions'!H643+"n/&gt;!p&amp;"</f>
        <v>#VALUE!</v>
      </c>
      <c r="FA26" t="e">
        <f>'All regions'!I643+"n/&gt;!p'"</f>
        <v>#VALUE!</v>
      </c>
      <c r="FB26" t="e">
        <f>'All regions'!J643+"n/&gt;!p("</f>
        <v>#VALUE!</v>
      </c>
      <c r="FC26" t="e">
        <f>'All regions'!A644+"n/&gt;!p)"</f>
        <v>#VALUE!</v>
      </c>
      <c r="FD26" t="e">
        <f>'All regions'!B644+"n/&gt;!p."</f>
        <v>#VALUE!</v>
      </c>
      <c r="FE26" t="e">
        <f>'All regions'!C644+"n/&gt;!p/"</f>
        <v>#VALUE!</v>
      </c>
      <c r="FF26" t="e">
        <f>'All regions'!D644+"n/&gt;!p0"</f>
        <v>#VALUE!</v>
      </c>
      <c r="FG26" t="e">
        <f>'All regions'!E644+"n/&gt;!p1"</f>
        <v>#VALUE!</v>
      </c>
      <c r="FH26" t="e">
        <f>'All regions'!F644+"n/&gt;!p2"</f>
        <v>#VALUE!</v>
      </c>
      <c r="FI26" t="e">
        <f>'All regions'!G644+"n/&gt;!p3"</f>
        <v>#VALUE!</v>
      </c>
      <c r="FJ26" t="e">
        <f>'All regions'!H644+"n/&gt;!p4"</f>
        <v>#VALUE!</v>
      </c>
      <c r="FK26" t="e">
        <f>'All regions'!I644+"n/&gt;!p5"</f>
        <v>#VALUE!</v>
      </c>
      <c r="FL26" t="e">
        <f>'All regions'!J644+"n/&gt;!p6"</f>
        <v>#VALUE!</v>
      </c>
      <c r="FM26" t="e">
        <f>'All regions'!A645+"n/&gt;!p7"</f>
        <v>#VALUE!</v>
      </c>
      <c r="FN26" t="e">
        <f>'All regions'!B645+"n/&gt;!p8"</f>
        <v>#VALUE!</v>
      </c>
      <c r="FO26" t="e">
        <f>'All regions'!C645+"n/&gt;!p9"</f>
        <v>#VALUE!</v>
      </c>
      <c r="FP26" t="e">
        <f>'All regions'!D645+"n/&gt;!p:"</f>
        <v>#VALUE!</v>
      </c>
      <c r="FQ26" t="e">
        <f>'All regions'!E645+"n/&gt;!p;"</f>
        <v>#VALUE!</v>
      </c>
      <c r="FR26" t="e">
        <f>'All regions'!F645+"n/&gt;!p&lt;"</f>
        <v>#VALUE!</v>
      </c>
      <c r="FS26" t="e">
        <f>'All regions'!G645+"n/&gt;!p="</f>
        <v>#VALUE!</v>
      </c>
      <c r="FT26" t="e">
        <f>'All regions'!H645+"n/&gt;!p&gt;"</f>
        <v>#VALUE!</v>
      </c>
      <c r="FU26" t="e">
        <f>'All regions'!I645+"n/&gt;!p?"</f>
        <v>#VALUE!</v>
      </c>
      <c r="FV26" t="e">
        <f>'All regions'!J645+"n/&gt;!p@"</f>
        <v>#VALUE!</v>
      </c>
      <c r="FW26" t="e">
        <f>'All regions'!A646+"n/&gt;!pA"</f>
        <v>#VALUE!</v>
      </c>
      <c r="FX26" t="e">
        <f>'All regions'!B646+"n/&gt;!pB"</f>
        <v>#VALUE!</v>
      </c>
      <c r="FY26" t="e">
        <f>'All regions'!C646+"n/&gt;!pC"</f>
        <v>#VALUE!</v>
      </c>
      <c r="FZ26" t="e">
        <f>'All regions'!D646+"n/&gt;!pD"</f>
        <v>#VALUE!</v>
      </c>
      <c r="GA26" t="e">
        <f>'All regions'!E646+"n/&gt;!pE"</f>
        <v>#VALUE!</v>
      </c>
      <c r="GB26" t="e">
        <f>'All regions'!F646+"n/&gt;!pF"</f>
        <v>#VALUE!</v>
      </c>
      <c r="GC26" t="e">
        <f>'All regions'!G646+"n/&gt;!pG"</f>
        <v>#VALUE!</v>
      </c>
      <c r="GD26" t="e">
        <f>'All regions'!H646+"n/&gt;!pH"</f>
        <v>#VALUE!</v>
      </c>
      <c r="GE26" t="e">
        <f>'All regions'!I646+"n/&gt;!pI"</f>
        <v>#VALUE!</v>
      </c>
      <c r="GF26" t="e">
        <f>'All regions'!J646+"n/&gt;!pJ"</f>
        <v>#VALUE!</v>
      </c>
      <c r="GG26" t="e">
        <f>'All regions'!A647+"n/&gt;!pK"</f>
        <v>#VALUE!</v>
      </c>
      <c r="GH26" t="e">
        <f>'All regions'!B647+"n/&gt;!pL"</f>
        <v>#VALUE!</v>
      </c>
      <c r="GI26" t="e">
        <f>'All regions'!C647+"n/&gt;!pM"</f>
        <v>#VALUE!</v>
      </c>
      <c r="GJ26" t="e">
        <f>'All regions'!D647+"n/&gt;!pN"</f>
        <v>#VALUE!</v>
      </c>
      <c r="GK26" t="e">
        <f>'All regions'!E647+"n/&gt;!pO"</f>
        <v>#VALUE!</v>
      </c>
      <c r="GL26" t="e">
        <f>'All regions'!F647+"n/&gt;!pP"</f>
        <v>#VALUE!</v>
      </c>
      <c r="GM26" t="e">
        <f>'All regions'!G647+"n/&gt;!pQ"</f>
        <v>#VALUE!</v>
      </c>
      <c r="GN26" t="e">
        <f>'All regions'!H647+"n/&gt;!pR"</f>
        <v>#VALUE!</v>
      </c>
      <c r="GO26" t="e">
        <f>'All regions'!I647+"n/&gt;!pS"</f>
        <v>#VALUE!</v>
      </c>
      <c r="GP26" t="e">
        <f>'All regions'!J647+"n/&gt;!pT"</f>
        <v>#VALUE!</v>
      </c>
      <c r="GQ26" t="e">
        <f>'All regions'!A648+"n/&gt;!pU"</f>
        <v>#VALUE!</v>
      </c>
      <c r="GR26" t="e">
        <f>'All regions'!B648+"n/&gt;!pV"</f>
        <v>#VALUE!</v>
      </c>
      <c r="GS26" t="e">
        <f>'All regions'!C648+"n/&gt;!pW"</f>
        <v>#VALUE!</v>
      </c>
      <c r="GT26" t="e">
        <f>'All regions'!D648+"n/&gt;!pX"</f>
        <v>#VALUE!</v>
      </c>
      <c r="GU26" t="e">
        <f>'All regions'!E648+"n/&gt;!pY"</f>
        <v>#VALUE!</v>
      </c>
      <c r="GV26" t="e">
        <f>'All regions'!F648+"n/&gt;!pZ"</f>
        <v>#VALUE!</v>
      </c>
      <c r="GW26" t="e">
        <f>'All regions'!G648+"n/&gt;!p["</f>
        <v>#VALUE!</v>
      </c>
      <c r="GX26" t="e">
        <f>'All regions'!H648+"n/&gt;!p\"</f>
        <v>#VALUE!</v>
      </c>
      <c r="GY26" t="e">
        <f>'All regions'!I648+"n/&gt;!p]"</f>
        <v>#VALUE!</v>
      </c>
      <c r="GZ26" t="e">
        <f>'All regions'!J648+"n/&gt;!p^"</f>
        <v>#VALUE!</v>
      </c>
      <c r="HA26" t="e">
        <f>'All regions'!A649+"n/&gt;!p_"</f>
        <v>#VALUE!</v>
      </c>
      <c r="HB26" t="e">
        <f>'All regions'!B649+"n/&gt;!p`"</f>
        <v>#VALUE!</v>
      </c>
      <c r="HC26" t="e">
        <f>'All regions'!C649+"n/&gt;!pa"</f>
        <v>#VALUE!</v>
      </c>
      <c r="HD26" t="e">
        <f>'All regions'!D649+"n/&gt;!pb"</f>
        <v>#VALUE!</v>
      </c>
      <c r="HE26" t="e">
        <f>'All regions'!E649+"n/&gt;!pc"</f>
        <v>#VALUE!</v>
      </c>
      <c r="HF26" t="e">
        <f>'All regions'!F649+"n/&gt;!pd"</f>
        <v>#VALUE!</v>
      </c>
      <c r="HG26" t="e">
        <f>'All regions'!G649+"n/&gt;!pe"</f>
        <v>#VALUE!</v>
      </c>
      <c r="HH26" t="e">
        <f>'All regions'!H649+"n/&gt;!pf"</f>
        <v>#VALUE!</v>
      </c>
      <c r="HI26" t="e">
        <f>'All regions'!I649+"n/&gt;!pg"</f>
        <v>#VALUE!</v>
      </c>
      <c r="HJ26" t="e">
        <f>'All regions'!J649+"n/&gt;!ph"</f>
        <v>#VALUE!</v>
      </c>
      <c r="HK26" t="e">
        <f>'All regions'!A650+"n/&gt;!pi"</f>
        <v>#VALUE!</v>
      </c>
      <c r="HL26" t="e">
        <f>'All regions'!B650+"n/&gt;!pj"</f>
        <v>#VALUE!</v>
      </c>
      <c r="HM26" t="e">
        <f>'All regions'!C650+"n/&gt;!pk"</f>
        <v>#VALUE!</v>
      </c>
      <c r="HN26" t="e">
        <f>'All regions'!D650+"n/&gt;!pl"</f>
        <v>#VALUE!</v>
      </c>
      <c r="HO26" t="e">
        <f>'All regions'!E650+"n/&gt;!pm"</f>
        <v>#VALUE!</v>
      </c>
      <c r="HP26" t="e">
        <f>'All regions'!F650+"n/&gt;!pn"</f>
        <v>#VALUE!</v>
      </c>
      <c r="HQ26" t="e">
        <f>'All regions'!G650+"n/&gt;!po"</f>
        <v>#VALUE!</v>
      </c>
      <c r="HR26" t="e">
        <f>'All regions'!H650+"n/&gt;!pp"</f>
        <v>#VALUE!</v>
      </c>
      <c r="HS26" t="e">
        <f>'All regions'!I650+"n/&gt;!pq"</f>
        <v>#VALUE!</v>
      </c>
      <c r="HT26" t="e">
        <f>'All regions'!J650+"n/&gt;!pr"</f>
        <v>#VALUE!</v>
      </c>
      <c r="HU26" t="e">
        <f>'All regions'!A651+"n/&gt;!ps"</f>
        <v>#VALUE!</v>
      </c>
      <c r="HV26" t="e">
        <f>'All regions'!B651+"n/&gt;!pt"</f>
        <v>#VALUE!</v>
      </c>
      <c r="HW26" t="e">
        <f>'All regions'!C651+"n/&gt;!pu"</f>
        <v>#VALUE!</v>
      </c>
      <c r="HX26" t="e">
        <f>'All regions'!D651+"n/&gt;!pv"</f>
        <v>#VALUE!</v>
      </c>
      <c r="HY26" t="e">
        <f>'All regions'!E651+"n/&gt;!pw"</f>
        <v>#VALUE!</v>
      </c>
      <c r="HZ26" t="e">
        <f>'All regions'!F651+"n/&gt;!px"</f>
        <v>#VALUE!</v>
      </c>
      <c r="IA26" t="e">
        <f>'All regions'!G651+"n/&gt;!py"</f>
        <v>#VALUE!</v>
      </c>
      <c r="IB26" t="e">
        <f>'All regions'!H651+"n/&gt;!pz"</f>
        <v>#VALUE!</v>
      </c>
      <c r="IC26" t="e">
        <f>'All regions'!I651+"n/&gt;!p{"</f>
        <v>#VALUE!</v>
      </c>
      <c r="ID26" t="e">
        <f>'All regions'!J651+"n/&gt;!p|"</f>
        <v>#VALUE!</v>
      </c>
      <c r="IE26" t="e">
        <f>'All regions'!A652+"n/&gt;!p}"</f>
        <v>#VALUE!</v>
      </c>
      <c r="IF26" t="e">
        <f>'All regions'!B652+"n/&gt;!p~"</f>
        <v>#VALUE!</v>
      </c>
      <c r="IG26" t="e">
        <f>'All regions'!C652+"n/&gt;!q#"</f>
        <v>#VALUE!</v>
      </c>
      <c r="IH26" t="e">
        <f>'All regions'!D652+"n/&gt;!q$"</f>
        <v>#VALUE!</v>
      </c>
      <c r="II26" t="e">
        <f>'All regions'!E652+"n/&gt;!q%"</f>
        <v>#VALUE!</v>
      </c>
      <c r="IJ26" t="e">
        <f>'All regions'!F652+"n/&gt;!q&amp;"</f>
        <v>#VALUE!</v>
      </c>
      <c r="IK26" t="e">
        <f>'All regions'!G652+"n/&gt;!q'"</f>
        <v>#VALUE!</v>
      </c>
      <c r="IL26" t="e">
        <f>'All regions'!H652+"n/&gt;!q("</f>
        <v>#VALUE!</v>
      </c>
      <c r="IM26" t="e">
        <f>'All regions'!I652+"n/&gt;!q)"</f>
        <v>#VALUE!</v>
      </c>
      <c r="IN26" t="e">
        <f>'All regions'!J652+"n/&gt;!q."</f>
        <v>#VALUE!</v>
      </c>
      <c r="IO26" t="e">
        <f>'All regions'!A653+"n/&gt;!q/"</f>
        <v>#VALUE!</v>
      </c>
      <c r="IP26" t="e">
        <f>'All regions'!B653+"n/&gt;!q0"</f>
        <v>#VALUE!</v>
      </c>
      <c r="IQ26" t="e">
        <f>'All regions'!C653+"n/&gt;!q1"</f>
        <v>#VALUE!</v>
      </c>
      <c r="IR26" t="e">
        <f>'All regions'!D653+"n/&gt;!q2"</f>
        <v>#VALUE!</v>
      </c>
      <c r="IS26" t="e">
        <f>'All regions'!E653+"n/&gt;!q3"</f>
        <v>#VALUE!</v>
      </c>
      <c r="IT26" t="e">
        <f>'All regions'!F653+"n/&gt;!q4"</f>
        <v>#VALUE!</v>
      </c>
      <c r="IU26" t="e">
        <f>'All regions'!G653+"n/&gt;!q5"</f>
        <v>#VALUE!</v>
      </c>
      <c r="IV26" t="e">
        <f>'All regions'!H653+"n/&gt;!q6"</f>
        <v>#VALUE!</v>
      </c>
    </row>
    <row r="27" spans="6:256" x14ac:dyDescent="0.35">
      <c r="F27" t="e">
        <f>'All regions'!I653+"n/&gt;!q7"</f>
        <v>#VALUE!</v>
      </c>
      <c r="G27" t="e">
        <f>'All regions'!J653+"n/&gt;!q8"</f>
        <v>#VALUE!</v>
      </c>
      <c r="H27" t="e">
        <f>'All regions'!A654+"n/&gt;!q9"</f>
        <v>#VALUE!</v>
      </c>
      <c r="I27" t="e">
        <f>'All regions'!B654+"n/&gt;!q:"</f>
        <v>#VALUE!</v>
      </c>
      <c r="J27" t="e">
        <f>'All regions'!C654+"n/&gt;!q;"</f>
        <v>#VALUE!</v>
      </c>
      <c r="K27" t="e">
        <f>'All regions'!D654+"n/&gt;!q&lt;"</f>
        <v>#VALUE!</v>
      </c>
      <c r="L27" t="e">
        <f>'All regions'!E654+"n/&gt;!q="</f>
        <v>#VALUE!</v>
      </c>
      <c r="M27" t="e">
        <f>'All regions'!F654+"n/&gt;!q&gt;"</f>
        <v>#VALUE!</v>
      </c>
      <c r="N27" t="e">
        <f>'All regions'!G654+"n/&gt;!q?"</f>
        <v>#VALUE!</v>
      </c>
      <c r="O27" t="e">
        <f>'All regions'!H654+"n/&gt;!q@"</f>
        <v>#VALUE!</v>
      </c>
      <c r="P27" t="e">
        <f>'All regions'!I654+"n/&gt;!qA"</f>
        <v>#VALUE!</v>
      </c>
      <c r="Q27" t="e">
        <f>'All regions'!J654+"n/&gt;!qB"</f>
        <v>#VALUE!</v>
      </c>
      <c r="R27" t="e">
        <f>'All regions'!A655+"n/&gt;!qC"</f>
        <v>#VALUE!</v>
      </c>
      <c r="S27" t="e">
        <f>'All regions'!B655+"n/&gt;!qD"</f>
        <v>#VALUE!</v>
      </c>
      <c r="T27" t="e">
        <f>'All regions'!C655+"n/&gt;!qE"</f>
        <v>#VALUE!</v>
      </c>
      <c r="U27" t="e">
        <f>'All regions'!D655+"n/&gt;!qF"</f>
        <v>#VALUE!</v>
      </c>
      <c r="V27" t="e">
        <f>'All regions'!E655+"n/&gt;!qG"</f>
        <v>#VALUE!</v>
      </c>
      <c r="W27" t="e">
        <f>'All regions'!F655+"n/&gt;!qH"</f>
        <v>#VALUE!</v>
      </c>
      <c r="X27" t="e">
        <f>'All regions'!G655+"n/&gt;!qI"</f>
        <v>#VALUE!</v>
      </c>
      <c r="Y27" t="e">
        <f>'All regions'!H655+"n/&gt;!qJ"</f>
        <v>#VALUE!</v>
      </c>
      <c r="Z27" t="e">
        <f>'All regions'!I655+"n/&gt;!qK"</f>
        <v>#VALUE!</v>
      </c>
      <c r="AA27" t="e">
        <f>'All regions'!J655+"n/&gt;!qL"</f>
        <v>#VALUE!</v>
      </c>
      <c r="AB27" t="e">
        <f>'All regions'!A656+"n/&gt;!qM"</f>
        <v>#VALUE!</v>
      </c>
      <c r="AC27" t="e">
        <f>'All regions'!B656+"n/&gt;!qN"</f>
        <v>#VALUE!</v>
      </c>
      <c r="AD27" t="e">
        <f>'All regions'!C656+"n/&gt;!qO"</f>
        <v>#VALUE!</v>
      </c>
      <c r="AE27" t="e">
        <f>'All regions'!D656+"n/&gt;!qP"</f>
        <v>#VALUE!</v>
      </c>
      <c r="AF27" t="e">
        <f>'All regions'!E656+"n/&gt;!qQ"</f>
        <v>#VALUE!</v>
      </c>
      <c r="AG27" t="e">
        <f>'All regions'!F656+"n/&gt;!qR"</f>
        <v>#VALUE!</v>
      </c>
      <c r="AH27" t="e">
        <f>'All regions'!G656+"n/&gt;!qS"</f>
        <v>#VALUE!</v>
      </c>
      <c r="AI27" t="e">
        <f>'All regions'!H656+"n/&gt;!qT"</f>
        <v>#VALUE!</v>
      </c>
      <c r="AJ27" t="e">
        <f>'All regions'!I656+"n/&gt;!qU"</f>
        <v>#VALUE!</v>
      </c>
      <c r="AK27" t="e">
        <f>'All regions'!J656+"n/&gt;!qV"</f>
        <v>#VALUE!</v>
      </c>
      <c r="AL27" t="e">
        <f>'All regions'!A657+"n/&gt;!qW"</f>
        <v>#VALUE!</v>
      </c>
      <c r="AM27" t="e">
        <f>'All regions'!B657+"n/&gt;!qX"</f>
        <v>#VALUE!</v>
      </c>
      <c r="AN27" t="e">
        <f>'All regions'!C657+"n/&gt;!qY"</f>
        <v>#VALUE!</v>
      </c>
      <c r="AO27" t="e">
        <f>'All regions'!D657+"n/&gt;!qZ"</f>
        <v>#VALUE!</v>
      </c>
      <c r="AP27" t="e">
        <f>'All regions'!E657+"n/&gt;!q["</f>
        <v>#VALUE!</v>
      </c>
      <c r="AQ27" t="e">
        <f>'All regions'!F657+"n/&gt;!q\"</f>
        <v>#VALUE!</v>
      </c>
      <c r="AR27" t="e">
        <f>'All regions'!G657+"n/&gt;!q]"</f>
        <v>#VALUE!</v>
      </c>
      <c r="AS27" t="e">
        <f>'All regions'!H657+"n/&gt;!q^"</f>
        <v>#VALUE!</v>
      </c>
      <c r="AT27" t="e">
        <f>'All regions'!I657+"n/&gt;!q_"</f>
        <v>#VALUE!</v>
      </c>
      <c r="AU27" t="e">
        <f>'All regions'!J657+"n/&gt;!q`"</f>
        <v>#VALUE!</v>
      </c>
      <c r="AV27" t="e">
        <f>'All regions'!A658+"n/&gt;!qa"</f>
        <v>#VALUE!</v>
      </c>
      <c r="AW27" t="e">
        <f>'All regions'!B658+"n/&gt;!qb"</f>
        <v>#VALUE!</v>
      </c>
      <c r="AX27" t="e">
        <f>'All regions'!C658+"n/&gt;!qc"</f>
        <v>#VALUE!</v>
      </c>
      <c r="AY27" t="e">
        <f>'All regions'!D658+"n/&gt;!qd"</f>
        <v>#VALUE!</v>
      </c>
      <c r="AZ27" t="e">
        <f>'All regions'!E658+"n/&gt;!qe"</f>
        <v>#VALUE!</v>
      </c>
      <c r="BA27" t="e">
        <f>'All regions'!F658+"n/&gt;!qf"</f>
        <v>#VALUE!</v>
      </c>
      <c r="BB27" t="e">
        <f>'All regions'!G658+"n/&gt;!qg"</f>
        <v>#VALUE!</v>
      </c>
      <c r="BC27" t="e">
        <f>'All regions'!H658+"n/&gt;!qh"</f>
        <v>#VALUE!</v>
      </c>
      <c r="BD27" t="e">
        <f>'All regions'!I658+"n/&gt;!qi"</f>
        <v>#VALUE!</v>
      </c>
      <c r="BE27" t="e">
        <f>'All regions'!J658+"n/&gt;!qj"</f>
        <v>#VALUE!</v>
      </c>
      <c r="BF27" t="e">
        <f>'All regions'!A659+"n/&gt;!qk"</f>
        <v>#VALUE!</v>
      </c>
      <c r="BG27" t="e">
        <f>'All regions'!B659+"n/&gt;!ql"</f>
        <v>#VALUE!</v>
      </c>
      <c r="BH27" t="e">
        <f>'All regions'!C659+"n/&gt;!qm"</f>
        <v>#VALUE!</v>
      </c>
      <c r="BI27" t="e">
        <f>'All regions'!D659+"n/&gt;!qn"</f>
        <v>#VALUE!</v>
      </c>
      <c r="BJ27" t="e">
        <f>'All regions'!E659+"n/&gt;!qo"</f>
        <v>#VALUE!</v>
      </c>
      <c r="BK27" t="e">
        <f>'All regions'!F659+"n/&gt;!qp"</f>
        <v>#VALUE!</v>
      </c>
      <c r="BL27" t="e">
        <f>'All regions'!G659+"n/&gt;!qq"</f>
        <v>#VALUE!</v>
      </c>
      <c r="BM27" t="e">
        <f>'All regions'!H659+"n/&gt;!qr"</f>
        <v>#VALUE!</v>
      </c>
      <c r="BN27" t="e">
        <f>'All regions'!I659+"n/&gt;!qs"</f>
        <v>#VALUE!</v>
      </c>
      <c r="BO27" t="e">
        <f>'All regions'!J659+"n/&gt;!qt"</f>
        <v>#VALUE!</v>
      </c>
      <c r="BP27" t="e">
        <f>'All regions'!A660+"n/&gt;!qu"</f>
        <v>#VALUE!</v>
      </c>
      <c r="BQ27" t="e">
        <f>'All regions'!B660+"n/&gt;!qv"</f>
        <v>#VALUE!</v>
      </c>
      <c r="BR27" t="e">
        <f>'All regions'!C660+"n/&gt;!qw"</f>
        <v>#VALUE!</v>
      </c>
      <c r="BS27" t="e">
        <f>'All regions'!D660+"n/&gt;!qx"</f>
        <v>#VALUE!</v>
      </c>
      <c r="BT27" t="e">
        <f>'All regions'!E660+"n/&gt;!qy"</f>
        <v>#VALUE!</v>
      </c>
      <c r="BU27" t="e">
        <f>'All regions'!F660+"n/&gt;!qz"</f>
        <v>#VALUE!</v>
      </c>
      <c r="BV27" t="e">
        <f>'All regions'!G660+"n/&gt;!q{"</f>
        <v>#VALUE!</v>
      </c>
      <c r="BW27" t="e">
        <f>'All regions'!H660+"n/&gt;!q|"</f>
        <v>#VALUE!</v>
      </c>
      <c r="BX27" t="e">
        <f>'All regions'!I660+"n/&gt;!q}"</f>
        <v>#VALUE!</v>
      </c>
      <c r="BY27" t="e">
        <f>'All regions'!J660+"n/&gt;!q~"</f>
        <v>#VALUE!</v>
      </c>
      <c r="BZ27" t="e">
        <f>'All regions'!A661+"n/&gt;!r#"</f>
        <v>#VALUE!</v>
      </c>
      <c r="CA27" t="e">
        <f>'All regions'!B661+"n/&gt;!r$"</f>
        <v>#VALUE!</v>
      </c>
      <c r="CB27" t="e">
        <f>'All regions'!C661+"n/&gt;!r%"</f>
        <v>#VALUE!</v>
      </c>
      <c r="CC27" t="e">
        <f>'All regions'!D661+"n/&gt;!r&amp;"</f>
        <v>#VALUE!</v>
      </c>
      <c r="CD27" t="e">
        <f>'All regions'!E661+"n/&gt;!r'"</f>
        <v>#VALUE!</v>
      </c>
      <c r="CE27" t="e">
        <f>'All regions'!F661+"n/&gt;!r("</f>
        <v>#VALUE!</v>
      </c>
      <c r="CF27" t="e">
        <f>'All regions'!G661+"n/&gt;!r)"</f>
        <v>#VALUE!</v>
      </c>
      <c r="CG27" t="e">
        <f>'All regions'!H661+"n/&gt;!r."</f>
        <v>#VALUE!</v>
      </c>
      <c r="CH27" t="e">
        <f>'All regions'!I661+"n/&gt;!r/"</f>
        <v>#VALUE!</v>
      </c>
      <c r="CI27" t="e">
        <f>'All regions'!J661+"n/&gt;!r0"</f>
        <v>#VALUE!</v>
      </c>
      <c r="CJ27" t="e">
        <f>'All regions'!A662+"n/&gt;!r1"</f>
        <v>#VALUE!</v>
      </c>
      <c r="CK27" t="e">
        <f>'All regions'!B662+"n/&gt;!r2"</f>
        <v>#VALUE!</v>
      </c>
      <c r="CL27" t="e">
        <f>'All regions'!C662+"n/&gt;!r3"</f>
        <v>#VALUE!</v>
      </c>
      <c r="CM27" t="e">
        <f>'All regions'!D662+"n/&gt;!r4"</f>
        <v>#VALUE!</v>
      </c>
      <c r="CN27" t="e">
        <f>'All regions'!E662+"n/&gt;!r5"</f>
        <v>#VALUE!</v>
      </c>
      <c r="CO27" t="e">
        <f>'All regions'!F662+"n/&gt;!r6"</f>
        <v>#VALUE!</v>
      </c>
      <c r="CP27" t="e">
        <f>'All regions'!G662+"n/&gt;!r7"</f>
        <v>#VALUE!</v>
      </c>
      <c r="CQ27" t="e">
        <f>'All regions'!H662+"n/&gt;!r8"</f>
        <v>#VALUE!</v>
      </c>
      <c r="CR27" t="e">
        <f>'All regions'!I662+"n/&gt;!r9"</f>
        <v>#VALUE!</v>
      </c>
      <c r="CS27" t="e">
        <f>'All regions'!J662+"n/&gt;!r:"</f>
        <v>#VALUE!</v>
      </c>
      <c r="CT27" t="e">
        <f>'All regions'!A663+"n/&gt;!r;"</f>
        <v>#VALUE!</v>
      </c>
      <c r="CU27" t="e">
        <f>'All regions'!B663+"n/&gt;!r&lt;"</f>
        <v>#VALUE!</v>
      </c>
      <c r="CV27" t="e">
        <f>'All regions'!C663+"n/&gt;!r="</f>
        <v>#VALUE!</v>
      </c>
      <c r="CW27" t="e">
        <f>'All regions'!D663+"n/&gt;!r&gt;"</f>
        <v>#VALUE!</v>
      </c>
      <c r="CX27" t="e">
        <f>'All regions'!E663+"n/&gt;!r?"</f>
        <v>#VALUE!</v>
      </c>
      <c r="CY27" t="e">
        <f>'All regions'!F663+"n/&gt;!r@"</f>
        <v>#VALUE!</v>
      </c>
      <c r="CZ27" t="e">
        <f>'All regions'!G663+"n/&gt;!rA"</f>
        <v>#VALUE!</v>
      </c>
      <c r="DA27" t="e">
        <f>'All regions'!H663+"n/&gt;!rB"</f>
        <v>#VALUE!</v>
      </c>
      <c r="DB27" t="e">
        <f>'All regions'!I663+"n/&gt;!rC"</f>
        <v>#VALUE!</v>
      </c>
      <c r="DC27" t="e">
        <f>'All regions'!J663+"n/&gt;!rD"</f>
        <v>#VALUE!</v>
      </c>
      <c r="DD27" t="e">
        <f>'All regions'!A664+"n/&gt;!rE"</f>
        <v>#VALUE!</v>
      </c>
      <c r="DE27" t="e">
        <f>'All regions'!B664+"n/&gt;!rF"</f>
        <v>#VALUE!</v>
      </c>
      <c r="DF27" t="e">
        <f>'All regions'!C664+"n/&gt;!rG"</f>
        <v>#VALUE!</v>
      </c>
      <c r="DG27" t="e">
        <f>'All regions'!D664+"n/&gt;!rH"</f>
        <v>#VALUE!</v>
      </c>
      <c r="DH27" t="e">
        <f>'All regions'!E664+"n/&gt;!rI"</f>
        <v>#VALUE!</v>
      </c>
      <c r="DI27" t="e">
        <f>'All regions'!F664+"n/&gt;!rJ"</f>
        <v>#VALUE!</v>
      </c>
      <c r="DJ27" t="e">
        <f>'All regions'!G664+"n/&gt;!rK"</f>
        <v>#VALUE!</v>
      </c>
      <c r="DK27" t="e">
        <f>'All regions'!H664+"n/&gt;!rL"</f>
        <v>#VALUE!</v>
      </c>
      <c r="DL27" t="e">
        <f>'All regions'!I664+"n/&gt;!rM"</f>
        <v>#VALUE!</v>
      </c>
      <c r="DM27" t="e">
        <f>'All regions'!J664+"n/&gt;!rN"</f>
        <v>#VALUE!</v>
      </c>
      <c r="DN27" t="e">
        <f>'All regions'!A665+"n/&gt;!rO"</f>
        <v>#VALUE!</v>
      </c>
      <c r="DO27" t="e">
        <f>'All regions'!B665+"n/&gt;!rP"</f>
        <v>#VALUE!</v>
      </c>
      <c r="DP27" t="e">
        <f>'All regions'!C665+"n/&gt;!rQ"</f>
        <v>#VALUE!</v>
      </c>
      <c r="DQ27" t="e">
        <f>'All regions'!D665+"n/&gt;!rR"</f>
        <v>#VALUE!</v>
      </c>
      <c r="DR27" t="e">
        <f>'All regions'!E665+"n/&gt;!rS"</f>
        <v>#VALUE!</v>
      </c>
      <c r="DS27" t="e">
        <f>'All regions'!F665+"n/&gt;!rT"</f>
        <v>#VALUE!</v>
      </c>
      <c r="DT27" t="e">
        <f>'All regions'!G665+"n/&gt;!rU"</f>
        <v>#VALUE!</v>
      </c>
      <c r="DU27" t="e">
        <f>'All regions'!H665+"n/&gt;!rV"</f>
        <v>#VALUE!</v>
      </c>
      <c r="DV27" t="e">
        <f>'All regions'!I665+"n/&gt;!rW"</f>
        <v>#VALUE!</v>
      </c>
      <c r="DW27" t="e">
        <f>'All regions'!J665+"n/&gt;!rX"</f>
        <v>#VALUE!</v>
      </c>
      <c r="DX27" t="e">
        <f>'All regions'!A666+"n/&gt;!rY"</f>
        <v>#VALUE!</v>
      </c>
      <c r="DY27" t="e">
        <f>'All regions'!B666+"n/&gt;!rZ"</f>
        <v>#VALUE!</v>
      </c>
      <c r="DZ27" t="e">
        <f>'All regions'!C666+"n/&gt;!r["</f>
        <v>#VALUE!</v>
      </c>
      <c r="EA27" t="e">
        <f>'All regions'!D666+"n/&gt;!r\"</f>
        <v>#VALUE!</v>
      </c>
      <c r="EB27" t="e">
        <f>'All regions'!E666+"n/&gt;!r]"</f>
        <v>#VALUE!</v>
      </c>
      <c r="EC27" t="e">
        <f>'All regions'!F666+"n/&gt;!r^"</f>
        <v>#VALUE!</v>
      </c>
      <c r="ED27" t="e">
        <f>'All regions'!G666+"n/&gt;!r_"</f>
        <v>#VALUE!</v>
      </c>
      <c r="EE27" t="e">
        <f>'All regions'!H666+"n/&gt;!r`"</f>
        <v>#VALUE!</v>
      </c>
      <c r="EF27" t="e">
        <f>'All regions'!I666+"n/&gt;!ra"</f>
        <v>#VALUE!</v>
      </c>
      <c r="EG27" t="e">
        <f>'All regions'!J666+"n/&gt;!rb"</f>
        <v>#VALUE!</v>
      </c>
      <c r="EH27" t="e">
        <f>'All regions'!A667+"n/&gt;!rc"</f>
        <v>#VALUE!</v>
      </c>
      <c r="EI27" t="e">
        <f>'All regions'!B667+"n/&gt;!rd"</f>
        <v>#VALUE!</v>
      </c>
      <c r="EJ27" t="e">
        <f>'All regions'!C667+"n/&gt;!re"</f>
        <v>#VALUE!</v>
      </c>
      <c r="EK27" t="e">
        <f>'All regions'!D667+"n/&gt;!rf"</f>
        <v>#VALUE!</v>
      </c>
      <c r="EL27" t="e">
        <f>'All regions'!E667+"n/&gt;!rg"</f>
        <v>#VALUE!</v>
      </c>
      <c r="EM27" t="e">
        <f>'All regions'!F667+"n/&gt;!rh"</f>
        <v>#VALUE!</v>
      </c>
      <c r="EN27" t="e">
        <f>'All regions'!G667+"n/&gt;!ri"</f>
        <v>#VALUE!</v>
      </c>
      <c r="EO27" t="e">
        <f>'All regions'!H667+"n/&gt;!rj"</f>
        <v>#VALUE!</v>
      </c>
      <c r="EP27" t="e">
        <f>'All regions'!I667+"n/&gt;!rk"</f>
        <v>#VALUE!</v>
      </c>
      <c r="EQ27" t="e">
        <f>'All regions'!J667+"n/&gt;!rl"</f>
        <v>#VALUE!</v>
      </c>
      <c r="ER27" t="e">
        <f>'All regions'!A668+"n/&gt;!rm"</f>
        <v>#VALUE!</v>
      </c>
      <c r="ES27" t="e">
        <f>'All regions'!B668+"n/&gt;!rn"</f>
        <v>#VALUE!</v>
      </c>
      <c r="ET27" t="e">
        <f>'All regions'!C668+"n/&gt;!ro"</f>
        <v>#VALUE!</v>
      </c>
      <c r="EU27" t="e">
        <f>'All regions'!D668+"n/&gt;!rp"</f>
        <v>#VALUE!</v>
      </c>
      <c r="EV27" t="e">
        <f>'All regions'!E668+"n/&gt;!rq"</f>
        <v>#VALUE!</v>
      </c>
      <c r="EW27" t="e">
        <f>'All regions'!F668+"n/&gt;!rr"</f>
        <v>#VALUE!</v>
      </c>
      <c r="EX27" t="e">
        <f>'All regions'!G668+"n/&gt;!rs"</f>
        <v>#VALUE!</v>
      </c>
      <c r="EY27" t="e">
        <f>'All regions'!H668+"n/&gt;!rt"</f>
        <v>#VALUE!</v>
      </c>
      <c r="EZ27" t="e">
        <f>'All regions'!I668+"n/&gt;!ru"</f>
        <v>#VALUE!</v>
      </c>
      <c r="FA27" t="e">
        <f>'All regions'!J668+"n/&gt;!rv"</f>
        <v>#VALUE!</v>
      </c>
      <c r="FB27" t="e">
        <f>'All regions'!A669+"n/&gt;!rw"</f>
        <v>#VALUE!</v>
      </c>
      <c r="FC27" t="e">
        <f>'All regions'!B669+"n/&gt;!rx"</f>
        <v>#VALUE!</v>
      </c>
      <c r="FD27" t="e">
        <f>'All regions'!C669+"n/&gt;!ry"</f>
        <v>#VALUE!</v>
      </c>
      <c r="FE27" t="e">
        <f>'All regions'!D669+"n/&gt;!rz"</f>
        <v>#VALUE!</v>
      </c>
      <c r="FF27" t="e">
        <f>'All regions'!E669+"n/&gt;!r{"</f>
        <v>#VALUE!</v>
      </c>
      <c r="FG27" t="e">
        <f>'All regions'!F669+"n/&gt;!r|"</f>
        <v>#VALUE!</v>
      </c>
      <c r="FH27" t="e">
        <f>'All regions'!G669+"n/&gt;!r}"</f>
        <v>#VALUE!</v>
      </c>
      <c r="FI27" t="e">
        <f>'All regions'!H669+"n/&gt;!r~"</f>
        <v>#VALUE!</v>
      </c>
      <c r="FJ27" t="e">
        <f>'All regions'!I669+"n/&gt;!s#"</f>
        <v>#VALUE!</v>
      </c>
      <c r="FK27" t="e">
        <f>'All regions'!J669+"n/&gt;!s$"</f>
        <v>#VALUE!</v>
      </c>
      <c r="FL27" t="e">
        <f>'All regions'!A670+"n/&gt;!s%"</f>
        <v>#VALUE!</v>
      </c>
      <c r="FM27" t="e">
        <f>'All regions'!B670+"n/&gt;!s&amp;"</f>
        <v>#VALUE!</v>
      </c>
      <c r="FN27" t="e">
        <f>'All regions'!C670+"n/&gt;!s'"</f>
        <v>#VALUE!</v>
      </c>
      <c r="FO27" t="e">
        <f>'All regions'!D670+"n/&gt;!s("</f>
        <v>#VALUE!</v>
      </c>
      <c r="FP27" t="e">
        <f>'All regions'!E670+"n/&gt;!s)"</f>
        <v>#VALUE!</v>
      </c>
      <c r="FQ27" t="e">
        <f>'All regions'!F670+"n/&gt;!s."</f>
        <v>#VALUE!</v>
      </c>
      <c r="FR27" t="e">
        <f>'All regions'!G670+"n/&gt;!s/"</f>
        <v>#VALUE!</v>
      </c>
      <c r="FS27" t="e">
        <f>'All regions'!H670+"n/&gt;!s0"</f>
        <v>#VALUE!</v>
      </c>
      <c r="FT27" t="e">
        <f>'All regions'!I670+"n/&gt;!s1"</f>
        <v>#VALUE!</v>
      </c>
      <c r="FU27" t="e">
        <f>'All regions'!J670+"n/&gt;!s2"</f>
        <v>#VALUE!</v>
      </c>
      <c r="FV27" t="e">
        <f>'All regions'!A671+"n/&gt;!s3"</f>
        <v>#VALUE!</v>
      </c>
      <c r="FW27" t="e">
        <f>'All regions'!B671+"n/&gt;!s4"</f>
        <v>#VALUE!</v>
      </c>
      <c r="FX27" t="e">
        <f>'All regions'!C671+"n/&gt;!s5"</f>
        <v>#VALUE!</v>
      </c>
      <c r="FY27" t="e">
        <f>'All regions'!D671+"n/&gt;!s6"</f>
        <v>#VALUE!</v>
      </c>
      <c r="FZ27" t="e">
        <f>'All regions'!E671+"n/&gt;!s7"</f>
        <v>#VALUE!</v>
      </c>
      <c r="GA27" t="e">
        <f>'All regions'!F671+"n/&gt;!s8"</f>
        <v>#VALUE!</v>
      </c>
      <c r="GB27" t="e">
        <f>'All regions'!G671+"n/&gt;!s9"</f>
        <v>#VALUE!</v>
      </c>
      <c r="GC27" t="e">
        <f>'All regions'!H671+"n/&gt;!s:"</f>
        <v>#VALUE!</v>
      </c>
      <c r="GD27" t="e">
        <f>'All regions'!I671+"n/&gt;!s;"</f>
        <v>#VALUE!</v>
      </c>
      <c r="GE27" t="e">
        <f>'All regions'!J671+"n/&gt;!s&lt;"</f>
        <v>#VALUE!</v>
      </c>
      <c r="GF27" t="e">
        <f>'All regions'!A672+"n/&gt;!s="</f>
        <v>#VALUE!</v>
      </c>
      <c r="GG27" t="e">
        <f>'All regions'!B672+"n/&gt;!s&gt;"</f>
        <v>#VALUE!</v>
      </c>
      <c r="GH27" t="e">
        <f>'All regions'!C672+"n/&gt;!s?"</f>
        <v>#VALUE!</v>
      </c>
      <c r="GI27" t="e">
        <f>'All regions'!D672+"n/&gt;!s@"</f>
        <v>#VALUE!</v>
      </c>
      <c r="GJ27" t="e">
        <f>'All regions'!E672+"n/&gt;!sA"</f>
        <v>#VALUE!</v>
      </c>
      <c r="GK27" t="e">
        <f>'All regions'!F672+"n/&gt;!sB"</f>
        <v>#VALUE!</v>
      </c>
      <c r="GL27" t="e">
        <f>'All regions'!G672+"n/&gt;!sC"</f>
        <v>#VALUE!</v>
      </c>
      <c r="GM27" t="e">
        <f>'All regions'!H672+"n/&gt;!sD"</f>
        <v>#VALUE!</v>
      </c>
      <c r="GN27" t="e">
        <f>'All regions'!I672+"n/&gt;!sE"</f>
        <v>#VALUE!</v>
      </c>
      <c r="GO27" t="e">
        <f>'All regions'!J672+"n/&gt;!sF"</f>
        <v>#VALUE!</v>
      </c>
      <c r="GP27" t="e">
        <f>'All regions'!A673+"n/&gt;!sG"</f>
        <v>#VALUE!</v>
      </c>
      <c r="GQ27" t="e">
        <f>'All regions'!B673+"n/&gt;!sH"</f>
        <v>#VALUE!</v>
      </c>
      <c r="GR27" t="e">
        <f>'All regions'!C673+"n/&gt;!sI"</f>
        <v>#VALUE!</v>
      </c>
      <c r="GS27" t="e">
        <f>'All regions'!D673+"n/&gt;!sJ"</f>
        <v>#VALUE!</v>
      </c>
      <c r="GT27" t="e">
        <f>'All regions'!E673+"n/&gt;!sK"</f>
        <v>#VALUE!</v>
      </c>
      <c r="GU27" t="e">
        <f>'All regions'!F673+"n/&gt;!sL"</f>
        <v>#VALUE!</v>
      </c>
      <c r="GV27" t="e">
        <f>'All regions'!G673+"n/&gt;!sM"</f>
        <v>#VALUE!</v>
      </c>
      <c r="GW27" t="e">
        <f>'All regions'!H673+"n/&gt;!sN"</f>
        <v>#VALUE!</v>
      </c>
      <c r="GX27" t="e">
        <f>'All regions'!I673+"n/&gt;!sO"</f>
        <v>#VALUE!</v>
      </c>
      <c r="GY27" t="e">
        <f>'All regions'!J673+"n/&gt;!sP"</f>
        <v>#VALUE!</v>
      </c>
      <c r="GZ27" t="e">
        <f>'All regions'!A674+"n/&gt;!sQ"</f>
        <v>#VALUE!</v>
      </c>
      <c r="HA27" t="e">
        <f>'All regions'!B674+"n/&gt;!sR"</f>
        <v>#VALUE!</v>
      </c>
      <c r="HB27" t="e">
        <f>'All regions'!C674+"n/&gt;!sS"</f>
        <v>#VALUE!</v>
      </c>
      <c r="HC27" t="e">
        <f>'All regions'!D674+"n/&gt;!sT"</f>
        <v>#VALUE!</v>
      </c>
      <c r="HD27" t="e">
        <f>'All regions'!E674+"n/&gt;!sU"</f>
        <v>#VALUE!</v>
      </c>
      <c r="HE27" t="e">
        <f>'All regions'!F674+"n/&gt;!sV"</f>
        <v>#VALUE!</v>
      </c>
      <c r="HF27" t="e">
        <f>'All regions'!G674+"n/&gt;!sW"</f>
        <v>#VALUE!</v>
      </c>
      <c r="HG27" t="e">
        <f>'All regions'!H674+"n/&gt;!sX"</f>
        <v>#VALUE!</v>
      </c>
      <c r="HH27" t="e">
        <f>'All regions'!I674+"n/&gt;!sY"</f>
        <v>#VALUE!</v>
      </c>
      <c r="HI27" t="e">
        <f>'All regions'!J674+"n/&gt;!sZ"</f>
        <v>#VALUE!</v>
      </c>
      <c r="HJ27" t="e">
        <f>'All regions'!A675+"n/&gt;!s["</f>
        <v>#VALUE!</v>
      </c>
      <c r="HK27" t="e">
        <f>'All regions'!B675+"n/&gt;!s\"</f>
        <v>#VALUE!</v>
      </c>
      <c r="HL27" t="e">
        <f>'All regions'!C675+"n/&gt;!s]"</f>
        <v>#VALUE!</v>
      </c>
      <c r="HM27" t="e">
        <f>'All regions'!D675+"n/&gt;!s^"</f>
        <v>#VALUE!</v>
      </c>
      <c r="HN27" t="e">
        <f>'All regions'!E675+"n/&gt;!s_"</f>
        <v>#VALUE!</v>
      </c>
      <c r="HO27" t="e">
        <f>'All regions'!F675+"n/&gt;!s`"</f>
        <v>#VALUE!</v>
      </c>
      <c r="HP27" t="e">
        <f>'All regions'!G675+"n/&gt;!sa"</f>
        <v>#VALUE!</v>
      </c>
      <c r="HQ27" t="e">
        <f>'All regions'!H675+"n/&gt;!sb"</f>
        <v>#VALUE!</v>
      </c>
      <c r="HR27" t="e">
        <f>'All regions'!I675+"n/&gt;!sc"</f>
        <v>#VALUE!</v>
      </c>
      <c r="HS27" t="e">
        <f>'All regions'!J675+"n/&gt;!sd"</f>
        <v>#VALUE!</v>
      </c>
      <c r="HT27" t="e">
        <f>'All regions'!A676+"n/&gt;!se"</f>
        <v>#VALUE!</v>
      </c>
      <c r="HU27" t="e">
        <f>'All regions'!B676+"n/&gt;!sf"</f>
        <v>#VALUE!</v>
      </c>
      <c r="HV27" t="e">
        <f>'All regions'!C676+"n/&gt;!sg"</f>
        <v>#VALUE!</v>
      </c>
      <c r="HW27" t="e">
        <f>'All regions'!D676+"n/&gt;!sh"</f>
        <v>#VALUE!</v>
      </c>
      <c r="HX27" t="e">
        <f>'All regions'!E676+"n/&gt;!si"</f>
        <v>#VALUE!</v>
      </c>
      <c r="HY27" t="e">
        <f>'All regions'!F676+"n/&gt;!sj"</f>
        <v>#VALUE!</v>
      </c>
      <c r="HZ27" t="e">
        <f>'All regions'!G676+"n/&gt;!sk"</f>
        <v>#VALUE!</v>
      </c>
      <c r="IA27" t="e">
        <f>'All regions'!H676+"n/&gt;!sl"</f>
        <v>#VALUE!</v>
      </c>
      <c r="IB27" t="e">
        <f>'All regions'!I676+"n/&gt;!sm"</f>
        <v>#VALUE!</v>
      </c>
      <c r="IC27" t="e">
        <f>'All regions'!J676+"n/&gt;!sn"</f>
        <v>#VALUE!</v>
      </c>
      <c r="ID27" t="e">
        <f>'All regions'!A677+"n/&gt;!so"</f>
        <v>#VALUE!</v>
      </c>
      <c r="IE27" t="e">
        <f>'All regions'!B677+"n/&gt;!sp"</f>
        <v>#VALUE!</v>
      </c>
      <c r="IF27" t="e">
        <f>'All regions'!C677+"n/&gt;!sq"</f>
        <v>#VALUE!</v>
      </c>
      <c r="IG27" t="e">
        <f>'All regions'!D677+"n/&gt;!sr"</f>
        <v>#VALUE!</v>
      </c>
      <c r="IH27" t="e">
        <f>'All regions'!E677+"n/&gt;!ss"</f>
        <v>#VALUE!</v>
      </c>
      <c r="II27" t="e">
        <f>'All regions'!F677+"n/&gt;!st"</f>
        <v>#VALUE!</v>
      </c>
      <c r="IJ27" t="e">
        <f>'All regions'!G677+"n/&gt;!su"</f>
        <v>#VALUE!</v>
      </c>
      <c r="IK27" t="e">
        <f>'All regions'!H677+"n/&gt;!sv"</f>
        <v>#VALUE!</v>
      </c>
      <c r="IL27" t="e">
        <f>'All regions'!I677+"n/&gt;!sw"</f>
        <v>#VALUE!</v>
      </c>
      <c r="IM27" t="e">
        <f>'All regions'!J677+"n/&gt;!sx"</f>
        <v>#VALUE!</v>
      </c>
      <c r="IN27" t="e">
        <f>'All regions'!A678+"n/&gt;!sy"</f>
        <v>#VALUE!</v>
      </c>
      <c r="IO27" t="e">
        <f>'All regions'!B678+"n/&gt;!sz"</f>
        <v>#VALUE!</v>
      </c>
      <c r="IP27" t="e">
        <f>'All regions'!C678+"n/&gt;!s{"</f>
        <v>#VALUE!</v>
      </c>
      <c r="IQ27" t="e">
        <f>'All regions'!D678+"n/&gt;!s|"</f>
        <v>#VALUE!</v>
      </c>
      <c r="IR27" t="e">
        <f>'All regions'!E678+"n/&gt;!s}"</f>
        <v>#VALUE!</v>
      </c>
      <c r="IS27" t="e">
        <f>'All regions'!F678+"n/&gt;!s~"</f>
        <v>#VALUE!</v>
      </c>
      <c r="IT27" t="e">
        <f>'All regions'!G678+"n/&gt;!t#"</f>
        <v>#VALUE!</v>
      </c>
      <c r="IU27" t="e">
        <f>'All regions'!H678+"n/&gt;!t$"</f>
        <v>#VALUE!</v>
      </c>
      <c r="IV27" t="e">
        <f>'All regions'!I678+"n/&gt;!t%"</f>
        <v>#VALUE!</v>
      </c>
    </row>
    <row r="28" spans="6:256" x14ac:dyDescent="0.35">
      <c r="F28" t="e">
        <f>'All regions'!J678+"n/&gt;!t&amp;"</f>
        <v>#VALUE!</v>
      </c>
      <c r="G28" t="e">
        <f>'All regions'!A679+"n/&gt;!t'"</f>
        <v>#VALUE!</v>
      </c>
      <c r="H28" t="e">
        <f>'All regions'!B679+"n/&gt;!t("</f>
        <v>#VALUE!</v>
      </c>
      <c r="I28" t="e">
        <f>'All regions'!C679+"n/&gt;!t)"</f>
        <v>#VALUE!</v>
      </c>
      <c r="J28" t="e">
        <f>'All regions'!D679+"n/&gt;!t."</f>
        <v>#VALUE!</v>
      </c>
      <c r="K28" t="e">
        <f>'All regions'!E679+"n/&gt;!t/"</f>
        <v>#VALUE!</v>
      </c>
      <c r="L28" t="e">
        <f>'All regions'!F679+"n/&gt;!t0"</f>
        <v>#VALUE!</v>
      </c>
      <c r="M28" t="e">
        <f>'All regions'!G679+"n/&gt;!t1"</f>
        <v>#VALUE!</v>
      </c>
      <c r="N28" t="e">
        <f>'All regions'!H679+"n/&gt;!t2"</f>
        <v>#VALUE!</v>
      </c>
      <c r="O28" t="e">
        <f>'All regions'!I679+"n/&gt;!t3"</f>
        <v>#VALUE!</v>
      </c>
      <c r="P28" t="e">
        <f>'All regions'!J679+"n/&gt;!t4"</f>
        <v>#VALUE!</v>
      </c>
      <c r="Q28" t="e">
        <f>'All regions'!A680+"n/&gt;!t5"</f>
        <v>#VALUE!</v>
      </c>
      <c r="R28" t="e">
        <f>'All regions'!B680+"n/&gt;!t6"</f>
        <v>#VALUE!</v>
      </c>
      <c r="S28" t="e">
        <f>'All regions'!C680+"n/&gt;!t7"</f>
        <v>#VALUE!</v>
      </c>
      <c r="T28" t="e">
        <f>'All regions'!D680+"n/&gt;!t8"</f>
        <v>#VALUE!</v>
      </c>
      <c r="U28" t="e">
        <f>'All regions'!E680+"n/&gt;!t9"</f>
        <v>#VALUE!</v>
      </c>
      <c r="V28" t="e">
        <f>'All regions'!F680+"n/&gt;!t:"</f>
        <v>#VALUE!</v>
      </c>
      <c r="W28" t="e">
        <f>'All regions'!G680+"n/&gt;!t;"</f>
        <v>#VALUE!</v>
      </c>
      <c r="X28" t="e">
        <f>'All regions'!H680+"n/&gt;!t&lt;"</f>
        <v>#VALUE!</v>
      </c>
      <c r="Y28" t="e">
        <f>'All regions'!I680+"n/&gt;!t="</f>
        <v>#VALUE!</v>
      </c>
      <c r="Z28" t="e">
        <f>'All regions'!J680+"n/&gt;!t&gt;"</f>
        <v>#VALUE!</v>
      </c>
      <c r="AA28" t="e">
        <f>'All regions'!A681+"n/&gt;!t?"</f>
        <v>#VALUE!</v>
      </c>
      <c r="AB28" t="e">
        <f>'All regions'!B681+"n/&gt;!t@"</f>
        <v>#VALUE!</v>
      </c>
      <c r="AC28" t="e">
        <f>'All regions'!C681+"n/&gt;!tA"</f>
        <v>#VALUE!</v>
      </c>
      <c r="AD28" t="e">
        <f>'All regions'!D681+"n/&gt;!tB"</f>
        <v>#VALUE!</v>
      </c>
      <c r="AE28" t="e">
        <f>'All regions'!E681+"n/&gt;!tC"</f>
        <v>#VALUE!</v>
      </c>
      <c r="AF28" t="e">
        <f>'All regions'!F681+"n/&gt;!tD"</f>
        <v>#VALUE!</v>
      </c>
      <c r="AG28" t="e">
        <f>'All regions'!G681+"n/&gt;!tE"</f>
        <v>#VALUE!</v>
      </c>
      <c r="AH28" t="e">
        <f>'All regions'!H681+"n/&gt;!tF"</f>
        <v>#VALUE!</v>
      </c>
      <c r="AI28" t="e">
        <f>'All regions'!I681+"n/&gt;!tG"</f>
        <v>#VALUE!</v>
      </c>
      <c r="AJ28" t="e">
        <f>'All regions'!J681+"n/&gt;!tH"</f>
        <v>#VALUE!</v>
      </c>
      <c r="AK28" t="e">
        <f>'All regions'!A682+"n/&gt;!tI"</f>
        <v>#VALUE!</v>
      </c>
      <c r="AL28" t="e">
        <f>'All regions'!B682+"n/&gt;!tJ"</f>
        <v>#VALUE!</v>
      </c>
      <c r="AM28" t="e">
        <f>'All regions'!C682+"n/&gt;!tK"</f>
        <v>#VALUE!</v>
      </c>
      <c r="AN28" t="e">
        <f>'All regions'!D682+"n/&gt;!tL"</f>
        <v>#VALUE!</v>
      </c>
      <c r="AO28" t="e">
        <f>'All regions'!E682+"n/&gt;!tM"</f>
        <v>#VALUE!</v>
      </c>
      <c r="AP28" t="e">
        <f>'All regions'!F682+"n/&gt;!tN"</f>
        <v>#VALUE!</v>
      </c>
      <c r="AQ28" t="e">
        <f>'All regions'!G682+"n/&gt;!tO"</f>
        <v>#VALUE!</v>
      </c>
      <c r="AR28" t="e">
        <f>'All regions'!H682+"n/&gt;!tP"</f>
        <v>#VALUE!</v>
      </c>
      <c r="AS28" t="e">
        <f>'All regions'!I682+"n/&gt;!tQ"</f>
        <v>#VALUE!</v>
      </c>
      <c r="AT28" t="e">
        <f>'All regions'!J682+"n/&gt;!tR"</f>
        <v>#VALUE!</v>
      </c>
      <c r="AU28" t="e">
        <f>'All regions'!A683+"n/&gt;!tS"</f>
        <v>#VALUE!</v>
      </c>
      <c r="AV28" t="e">
        <f>'All regions'!B683+"n/&gt;!tT"</f>
        <v>#VALUE!</v>
      </c>
      <c r="AW28" t="e">
        <f>'All regions'!C683+"n/&gt;!tU"</f>
        <v>#VALUE!</v>
      </c>
      <c r="AX28" t="e">
        <f>'All regions'!D683+"n/&gt;!tV"</f>
        <v>#VALUE!</v>
      </c>
      <c r="AY28" t="e">
        <f>'All regions'!E683+"n/&gt;!tW"</f>
        <v>#VALUE!</v>
      </c>
      <c r="AZ28" t="e">
        <f>'All regions'!F683+"n/&gt;!tX"</f>
        <v>#VALUE!</v>
      </c>
      <c r="BA28" t="e">
        <f>'All regions'!G683+"n/&gt;!tY"</f>
        <v>#VALUE!</v>
      </c>
      <c r="BB28" t="e">
        <f>'All regions'!H683+"n/&gt;!tZ"</f>
        <v>#VALUE!</v>
      </c>
      <c r="BC28" t="e">
        <f>'All regions'!I683+"n/&gt;!t["</f>
        <v>#VALUE!</v>
      </c>
      <c r="BD28" t="e">
        <f>'All regions'!J683+"n/&gt;!t\"</f>
        <v>#VALUE!</v>
      </c>
      <c r="BE28" t="e">
        <f>'All regions'!A684+"n/&gt;!t]"</f>
        <v>#VALUE!</v>
      </c>
      <c r="BF28" t="e">
        <f>'All regions'!B684+"n/&gt;!t^"</f>
        <v>#VALUE!</v>
      </c>
      <c r="BG28" t="e">
        <f>'All regions'!C684+"n/&gt;!t_"</f>
        <v>#VALUE!</v>
      </c>
      <c r="BH28" t="e">
        <f>'All regions'!D684+"n/&gt;!t`"</f>
        <v>#VALUE!</v>
      </c>
      <c r="BI28" t="e">
        <f>'All regions'!E684+"n/&gt;!ta"</f>
        <v>#VALUE!</v>
      </c>
      <c r="BJ28" t="e">
        <f>'All regions'!F684+"n/&gt;!tb"</f>
        <v>#VALUE!</v>
      </c>
      <c r="BK28" t="e">
        <f>'All regions'!G684+"n/&gt;!tc"</f>
        <v>#VALUE!</v>
      </c>
      <c r="BL28" t="e">
        <f>'All regions'!H684+"n/&gt;!td"</f>
        <v>#VALUE!</v>
      </c>
      <c r="BM28" t="e">
        <f>'All regions'!I684+"n/&gt;!te"</f>
        <v>#VALUE!</v>
      </c>
      <c r="BN28" t="e">
        <f>'All regions'!J684+"n/&gt;!tf"</f>
        <v>#VALUE!</v>
      </c>
      <c r="BO28" t="e">
        <f>'All regions'!A685+"n/&gt;!tg"</f>
        <v>#VALUE!</v>
      </c>
      <c r="BP28" t="e">
        <f>'All regions'!B685+"n/&gt;!th"</f>
        <v>#VALUE!</v>
      </c>
      <c r="BQ28" t="e">
        <f>'All regions'!C685+"n/&gt;!ti"</f>
        <v>#VALUE!</v>
      </c>
      <c r="BR28" t="e">
        <f>'All regions'!D685+"n/&gt;!tj"</f>
        <v>#VALUE!</v>
      </c>
      <c r="BS28" t="e">
        <f>'All regions'!E685+"n/&gt;!tk"</f>
        <v>#VALUE!</v>
      </c>
      <c r="BT28" t="e">
        <f>'All regions'!F685+"n/&gt;!tl"</f>
        <v>#VALUE!</v>
      </c>
      <c r="BU28" t="e">
        <f>'All regions'!G685+"n/&gt;!tm"</f>
        <v>#VALUE!</v>
      </c>
      <c r="BV28" t="e">
        <f>'All regions'!H685+"n/&gt;!tn"</f>
        <v>#VALUE!</v>
      </c>
      <c r="BW28" t="e">
        <f>'All regions'!I685+"n/&gt;!to"</f>
        <v>#VALUE!</v>
      </c>
      <c r="BX28" t="e">
        <f>'All regions'!J685+"n/&gt;!tp"</f>
        <v>#VALUE!</v>
      </c>
      <c r="BY28" t="e">
        <f>'All regions'!A686+"n/&gt;!tq"</f>
        <v>#VALUE!</v>
      </c>
      <c r="BZ28" t="e">
        <f>'All regions'!B686+"n/&gt;!tr"</f>
        <v>#VALUE!</v>
      </c>
      <c r="CA28" t="e">
        <f>'All regions'!C686+"n/&gt;!ts"</f>
        <v>#VALUE!</v>
      </c>
      <c r="CB28" t="e">
        <f>'All regions'!D686+"n/&gt;!tt"</f>
        <v>#VALUE!</v>
      </c>
      <c r="CC28" t="e">
        <f>'All regions'!E686+"n/&gt;!tu"</f>
        <v>#VALUE!</v>
      </c>
      <c r="CD28" t="e">
        <f>'All regions'!F686+"n/&gt;!tv"</f>
        <v>#VALUE!</v>
      </c>
      <c r="CE28" t="e">
        <f>'All regions'!G686+"n/&gt;!tw"</f>
        <v>#VALUE!</v>
      </c>
      <c r="CF28" t="e">
        <f>'All regions'!H686+"n/&gt;!tx"</f>
        <v>#VALUE!</v>
      </c>
      <c r="CG28" t="e">
        <f>'All regions'!I686+"n/&gt;!ty"</f>
        <v>#VALUE!</v>
      </c>
      <c r="CH28" t="e">
        <f>'All regions'!J686+"n/&gt;!tz"</f>
        <v>#VALUE!</v>
      </c>
      <c r="CI28" t="e">
        <f>'All regions'!A687+"n/&gt;!t{"</f>
        <v>#VALUE!</v>
      </c>
      <c r="CJ28" t="e">
        <f>'All regions'!B687+"n/&gt;!t|"</f>
        <v>#VALUE!</v>
      </c>
      <c r="CK28" t="e">
        <f>'All regions'!C687+"n/&gt;!t}"</f>
        <v>#VALUE!</v>
      </c>
      <c r="CL28" t="e">
        <f>'All regions'!D687+"n/&gt;!t~"</f>
        <v>#VALUE!</v>
      </c>
      <c r="CM28" t="e">
        <f>'All regions'!E687+"n/&gt;!u#"</f>
        <v>#VALUE!</v>
      </c>
      <c r="CN28" t="e">
        <f>'All regions'!F687+"n/&gt;!u$"</f>
        <v>#VALUE!</v>
      </c>
      <c r="CO28" t="e">
        <f>'All regions'!G687+"n/&gt;!u%"</f>
        <v>#VALUE!</v>
      </c>
      <c r="CP28" t="e">
        <f>'All regions'!H687+"n/&gt;!u&amp;"</f>
        <v>#VALUE!</v>
      </c>
      <c r="CQ28" t="e">
        <f>'All regions'!I687+"n/&gt;!u'"</f>
        <v>#VALUE!</v>
      </c>
      <c r="CR28" t="e">
        <f>'All regions'!J687+"n/&gt;!u("</f>
        <v>#VALUE!</v>
      </c>
      <c r="CS28" t="e">
        <f>'All regions'!A688+"n/&gt;!u)"</f>
        <v>#VALUE!</v>
      </c>
      <c r="CT28" t="e">
        <f>'All regions'!B688+"n/&gt;!u."</f>
        <v>#VALUE!</v>
      </c>
      <c r="CU28" t="e">
        <f>'All regions'!C688+"n/&gt;!u/"</f>
        <v>#VALUE!</v>
      </c>
      <c r="CV28" t="e">
        <f>'All regions'!D688+"n/&gt;!u0"</f>
        <v>#VALUE!</v>
      </c>
      <c r="CW28" t="e">
        <f>'All regions'!E688+"n/&gt;!u1"</f>
        <v>#VALUE!</v>
      </c>
      <c r="CX28" t="e">
        <f>'All regions'!F688+"n/&gt;!u2"</f>
        <v>#VALUE!</v>
      </c>
      <c r="CY28" t="e">
        <f>'All regions'!G688+"n/&gt;!u3"</f>
        <v>#VALUE!</v>
      </c>
      <c r="CZ28" t="e">
        <f>'All regions'!H688+"n/&gt;!u4"</f>
        <v>#VALUE!</v>
      </c>
      <c r="DA28" t="e">
        <f>'All regions'!I688+"n/&gt;!u5"</f>
        <v>#VALUE!</v>
      </c>
      <c r="DB28" t="e">
        <f>'All regions'!J688+"n/&gt;!u6"</f>
        <v>#VALUE!</v>
      </c>
      <c r="DC28" t="e">
        <f>'All regions'!A689+"n/&gt;!u7"</f>
        <v>#VALUE!</v>
      </c>
      <c r="DD28" t="e">
        <f>'All regions'!B689+"n/&gt;!u8"</f>
        <v>#VALUE!</v>
      </c>
      <c r="DE28" t="e">
        <f>'All regions'!C689+"n/&gt;!u9"</f>
        <v>#VALUE!</v>
      </c>
      <c r="DF28" t="e">
        <f>'All regions'!D689+"n/&gt;!u:"</f>
        <v>#VALUE!</v>
      </c>
      <c r="DG28" t="e">
        <f>'All regions'!E689+"n/&gt;!u;"</f>
        <v>#VALUE!</v>
      </c>
      <c r="DH28" t="e">
        <f>'All regions'!F689+"n/&gt;!u&lt;"</f>
        <v>#VALUE!</v>
      </c>
      <c r="DI28" t="e">
        <f>'All regions'!G689+"n/&gt;!u="</f>
        <v>#VALUE!</v>
      </c>
      <c r="DJ28" t="e">
        <f>'All regions'!H689+"n/&gt;!u&gt;"</f>
        <v>#VALUE!</v>
      </c>
      <c r="DK28" t="e">
        <f>'All regions'!I689+"n/&gt;!u?"</f>
        <v>#VALUE!</v>
      </c>
      <c r="DL28" t="e">
        <f>'All regions'!J689+"n/&gt;!u@"</f>
        <v>#VALUE!</v>
      </c>
      <c r="DM28" t="e">
        <f>'All regions'!A690+"n/&gt;!uA"</f>
        <v>#VALUE!</v>
      </c>
      <c r="DN28" t="e">
        <f>'All regions'!B690+"n/&gt;!uB"</f>
        <v>#VALUE!</v>
      </c>
      <c r="DO28" t="e">
        <f>'All regions'!C690+"n/&gt;!uC"</f>
        <v>#VALUE!</v>
      </c>
      <c r="DP28" t="e">
        <f>'All regions'!D690+"n/&gt;!uD"</f>
        <v>#VALUE!</v>
      </c>
      <c r="DQ28" t="e">
        <f>'All regions'!E690+"n/&gt;!uE"</f>
        <v>#VALUE!</v>
      </c>
      <c r="DR28" t="e">
        <f>'All regions'!F690+"n/&gt;!uF"</f>
        <v>#VALUE!</v>
      </c>
      <c r="DS28" t="e">
        <f>'All regions'!G690+"n/&gt;!uG"</f>
        <v>#VALUE!</v>
      </c>
      <c r="DT28" t="e">
        <f>'All regions'!H690+"n/&gt;!uH"</f>
        <v>#VALUE!</v>
      </c>
      <c r="DU28" t="e">
        <f>'All regions'!I690+"n/&gt;!uI"</f>
        <v>#VALUE!</v>
      </c>
      <c r="DV28" t="e">
        <f>'All regions'!J690+"n/&gt;!uJ"</f>
        <v>#VALUE!</v>
      </c>
      <c r="DW28" t="e">
        <f>'All regions'!A691+"n/&gt;!uK"</f>
        <v>#VALUE!</v>
      </c>
      <c r="DX28" t="e">
        <f>'All regions'!B691+"n/&gt;!uL"</f>
        <v>#VALUE!</v>
      </c>
      <c r="DY28" t="e">
        <f>'All regions'!C691+"n/&gt;!uM"</f>
        <v>#VALUE!</v>
      </c>
      <c r="DZ28" t="e">
        <f>'All regions'!D691+"n/&gt;!uN"</f>
        <v>#VALUE!</v>
      </c>
      <c r="EA28" t="e">
        <f>'All regions'!E691+"n/&gt;!uO"</f>
        <v>#VALUE!</v>
      </c>
      <c r="EB28" t="e">
        <f>'All regions'!F691+"n/&gt;!uP"</f>
        <v>#VALUE!</v>
      </c>
      <c r="EC28" t="e">
        <f>'All regions'!G691+"n/&gt;!uQ"</f>
        <v>#VALUE!</v>
      </c>
      <c r="ED28" t="e">
        <f>'All regions'!H691+"n/&gt;!uR"</f>
        <v>#VALUE!</v>
      </c>
      <c r="EE28" t="e">
        <f>'All regions'!I691+"n/&gt;!uS"</f>
        <v>#VALUE!</v>
      </c>
      <c r="EF28" t="e">
        <f>'All regions'!J691+"n/&gt;!uT"</f>
        <v>#VALUE!</v>
      </c>
      <c r="EG28" t="e">
        <f>'All regions'!A692+"n/&gt;!uU"</f>
        <v>#VALUE!</v>
      </c>
      <c r="EH28" t="e">
        <f>'All regions'!B692+"n/&gt;!uV"</f>
        <v>#VALUE!</v>
      </c>
      <c r="EI28" t="e">
        <f>'All regions'!C692+"n/&gt;!uW"</f>
        <v>#VALUE!</v>
      </c>
      <c r="EJ28" t="e">
        <f>'All regions'!D692+"n/&gt;!uX"</f>
        <v>#VALUE!</v>
      </c>
      <c r="EK28" t="e">
        <f>'All regions'!E692+"n/&gt;!uY"</f>
        <v>#VALUE!</v>
      </c>
      <c r="EL28" t="e">
        <f>'All regions'!F692+"n/&gt;!uZ"</f>
        <v>#VALUE!</v>
      </c>
      <c r="EM28" t="e">
        <f>'All regions'!G692+"n/&gt;!u["</f>
        <v>#VALUE!</v>
      </c>
      <c r="EN28" t="e">
        <f>'All regions'!H692+"n/&gt;!u\"</f>
        <v>#VALUE!</v>
      </c>
      <c r="EO28" t="e">
        <f>'All regions'!I692+"n/&gt;!u]"</f>
        <v>#VALUE!</v>
      </c>
      <c r="EP28" t="e">
        <f>'All regions'!J692+"n/&gt;!u^"</f>
        <v>#VALUE!</v>
      </c>
      <c r="EQ28" t="e">
        <f>'All regions'!A693+"n/&gt;!u_"</f>
        <v>#VALUE!</v>
      </c>
      <c r="ER28" t="e">
        <f>'All regions'!B693+"n/&gt;!u`"</f>
        <v>#VALUE!</v>
      </c>
      <c r="ES28" t="e">
        <f>'All regions'!C693+"n/&gt;!ua"</f>
        <v>#VALUE!</v>
      </c>
      <c r="ET28" t="e">
        <f>'All regions'!D693+"n/&gt;!ub"</f>
        <v>#VALUE!</v>
      </c>
      <c r="EU28" t="e">
        <f>'All regions'!E693+"n/&gt;!uc"</f>
        <v>#VALUE!</v>
      </c>
      <c r="EV28" t="e">
        <f>'All regions'!F693+"n/&gt;!ud"</f>
        <v>#VALUE!</v>
      </c>
      <c r="EW28" t="e">
        <f>'All regions'!G693+"n/&gt;!ue"</f>
        <v>#VALUE!</v>
      </c>
      <c r="EX28" t="e">
        <f>'All regions'!H693+"n/&gt;!uf"</f>
        <v>#VALUE!</v>
      </c>
      <c r="EY28" t="e">
        <f>'All regions'!I693+"n/&gt;!ug"</f>
        <v>#VALUE!</v>
      </c>
      <c r="EZ28" t="e">
        <f>'All regions'!J693+"n/&gt;!uh"</f>
        <v>#VALUE!</v>
      </c>
      <c r="FA28" t="e">
        <f>'All regions'!A694+"n/&gt;!ui"</f>
        <v>#VALUE!</v>
      </c>
      <c r="FB28" t="e">
        <f>'All regions'!B694+"n/&gt;!uj"</f>
        <v>#VALUE!</v>
      </c>
      <c r="FC28" t="e">
        <f>'All regions'!C694+"n/&gt;!uk"</f>
        <v>#VALUE!</v>
      </c>
      <c r="FD28" t="e">
        <f>'All regions'!D694+"n/&gt;!ul"</f>
        <v>#VALUE!</v>
      </c>
      <c r="FE28" t="e">
        <f>'All regions'!E694+"n/&gt;!um"</f>
        <v>#VALUE!</v>
      </c>
      <c r="FF28" t="e">
        <f>'All regions'!F694+"n/&gt;!un"</f>
        <v>#VALUE!</v>
      </c>
      <c r="FG28" t="e">
        <f>'All regions'!G694+"n/&gt;!uo"</f>
        <v>#VALUE!</v>
      </c>
      <c r="FH28" t="e">
        <f>'All regions'!H694+"n/&gt;!up"</f>
        <v>#VALUE!</v>
      </c>
      <c r="FI28" t="e">
        <f>'All regions'!I694+"n/&gt;!uq"</f>
        <v>#VALUE!</v>
      </c>
      <c r="FJ28" t="e">
        <f>'All regions'!J694+"n/&gt;!ur"</f>
        <v>#VALUE!</v>
      </c>
      <c r="FK28" t="e">
        <f>'All regions'!A695+"n/&gt;!us"</f>
        <v>#VALUE!</v>
      </c>
      <c r="FL28" t="e">
        <f>'All regions'!B695+"n/&gt;!ut"</f>
        <v>#VALUE!</v>
      </c>
      <c r="FM28" t="e">
        <f>'All regions'!C695+"n/&gt;!uu"</f>
        <v>#VALUE!</v>
      </c>
      <c r="FN28" t="e">
        <f>'All regions'!D695+"n/&gt;!uv"</f>
        <v>#VALUE!</v>
      </c>
      <c r="FO28" t="e">
        <f>'All regions'!E695+"n/&gt;!uw"</f>
        <v>#VALUE!</v>
      </c>
      <c r="FP28" t="e">
        <f>'All regions'!F695+"n/&gt;!ux"</f>
        <v>#VALUE!</v>
      </c>
      <c r="FQ28" t="e">
        <f>'All regions'!G695+"n/&gt;!uy"</f>
        <v>#VALUE!</v>
      </c>
      <c r="FR28" t="e">
        <f>'All regions'!H695+"n/&gt;!uz"</f>
        <v>#VALUE!</v>
      </c>
      <c r="FS28" t="e">
        <f>'All regions'!I695+"n/&gt;!u{"</f>
        <v>#VALUE!</v>
      </c>
      <c r="FT28" t="e">
        <f>'All regions'!J695+"n/&gt;!u|"</f>
        <v>#VALUE!</v>
      </c>
      <c r="FU28" t="e">
        <f>'All regions'!A696+"n/&gt;!u}"</f>
        <v>#VALUE!</v>
      </c>
      <c r="FV28" t="e">
        <f>'All regions'!B696+"n/&gt;!u~"</f>
        <v>#VALUE!</v>
      </c>
      <c r="FW28" t="e">
        <f>'All regions'!C696+"n/&gt;!v#"</f>
        <v>#VALUE!</v>
      </c>
      <c r="FX28" t="e">
        <f>'All regions'!D696+"n/&gt;!v$"</f>
        <v>#VALUE!</v>
      </c>
      <c r="FY28" t="e">
        <f>'All regions'!E696+"n/&gt;!v%"</f>
        <v>#VALUE!</v>
      </c>
      <c r="FZ28" t="e">
        <f>'All regions'!F696+"n/&gt;!v&amp;"</f>
        <v>#VALUE!</v>
      </c>
      <c r="GA28" t="e">
        <f>'All regions'!G696+"n/&gt;!v'"</f>
        <v>#VALUE!</v>
      </c>
      <c r="GB28" t="e">
        <f>'All regions'!H696+"n/&gt;!v("</f>
        <v>#VALUE!</v>
      </c>
      <c r="GC28" t="e">
        <f>'All regions'!I696+"n/&gt;!v)"</f>
        <v>#VALUE!</v>
      </c>
      <c r="GD28" t="e">
        <f>'All regions'!J696+"n/&gt;!v."</f>
        <v>#VALUE!</v>
      </c>
      <c r="GE28" t="e">
        <f>'All regions'!A697+"n/&gt;!v/"</f>
        <v>#VALUE!</v>
      </c>
      <c r="GF28" t="e">
        <f>'All regions'!B697+"n/&gt;!v0"</f>
        <v>#VALUE!</v>
      </c>
      <c r="GG28" t="e">
        <f>'All regions'!C697+"n/&gt;!v1"</f>
        <v>#VALUE!</v>
      </c>
      <c r="GH28" t="e">
        <f>'All regions'!D697+"n/&gt;!v2"</f>
        <v>#VALUE!</v>
      </c>
      <c r="GI28" t="e">
        <f>'All regions'!E697+"n/&gt;!v3"</f>
        <v>#VALUE!</v>
      </c>
      <c r="GJ28" t="e">
        <f>'All regions'!F697+"n/&gt;!v4"</f>
        <v>#VALUE!</v>
      </c>
      <c r="GK28" t="e">
        <f>'All regions'!G697+"n/&gt;!v5"</f>
        <v>#VALUE!</v>
      </c>
      <c r="GL28" t="e">
        <f>'All regions'!H697+"n/&gt;!v6"</f>
        <v>#VALUE!</v>
      </c>
      <c r="GM28" t="e">
        <f>'All regions'!I697+"n/&gt;!v7"</f>
        <v>#VALUE!</v>
      </c>
      <c r="GN28" t="e">
        <f>'All regions'!J697+"n/&gt;!v8"</f>
        <v>#VALUE!</v>
      </c>
      <c r="GO28" t="e">
        <f>'All regions'!A698+"n/&gt;!v9"</f>
        <v>#VALUE!</v>
      </c>
      <c r="GP28" t="e">
        <f>'All regions'!B698+"n/&gt;!v:"</f>
        <v>#VALUE!</v>
      </c>
      <c r="GQ28" t="e">
        <f>'All regions'!C698+"n/&gt;!v;"</f>
        <v>#VALUE!</v>
      </c>
      <c r="GR28" t="e">
        <f>'All regions'!D698+"n/&gt;!v&lt;"</f>
        <v>#VALUE!</v>
      </c>
      <c r="GS28" t="e">
        <f>'All regions'!E698+"n/&gt;!v="</f>
        <v>#VALUE!</v>
      </c>
      <c r="GT28" t="e">
        <f>'All regions'!F698+"n/&gt;!v&gt;"</f>
        <v>#VALUE!</v>
      </c>
      <c r="GU28" t="e">
        <f>'All regions'!G698+"n/&gt;!v?"</f>
        <v>#VALUE!</v>
      </c>
      <c r="GV28" t="e">
        <f>'All regions'!H698+"n/&gt;!v@"</f>
        <v>#VALUE!</v>
      </c>
      <c r="GW28" t="e">
        <f>'All regions'!I698+"n/&gt;!vA"</f>
        <v>#VALUE!</v>
      </c>
      <c r="GX28" t="e">
        <f>'All regions'!J698+"n/&gt;!vB"</f>
        <v>#VALUE!</v>
      </c>
      <c r="GY28" t="e">
        <f>'All regions'!A699+"n/&gt;!vC"</f>
        <v>#VALUE!</v>
      </c>
      <c r="GZ28" t="e">
        <f>'All regions'!B699+"n/&gt;!vD"</f>
        <v>#VALUE!</v>
      </c>
      <c r="HA28" t="e">
        <f>'All regions'!C699+"n/&gt;!vE"</f>
        <v>#VALUE!</v>
      </c>
      <c r="HB28" t="e">
        <f>'All regions'!D699+"n/&gt;!vF"</f>
        <v>#VALUE!</v>
      </c>
      <c r="HC28" t="e">
        <f>'All regions'!E699+"n/&gt;!vG"</f>
        <v>#VALUE!</v>
      </c>
      <c r="HD28" t="e">
        <f>'All regions'!F699+"n/&gt;!vH"</f>
        <v>#VALUE!</v>
      </c>
      <c r="HE28" t="e">
        <f>'All regions'!G699+"n/&gt;!vI"</f>
        <v>#VALUE!</v>
      </c>
      <c r="HF28" t="e">
        <f>'All regions'!H699+"n/&gt;!vJ"</f>
        <v>#VALUE!</v>
      </c>
      <c r="HG28" t="e">
        <f>'All regions'!I699+"n/&gt;!vK"</f>
        <v>#VALUE!</v>
      </c>
      <c r="HH28" t="e">
        <f>'All regions'!J699+"n/&gt;!vL"</f>
        <v>#VALUE!</v>
      </c>
      <c r="HI28" t="e">
        <f>'All regions'!A700+"n/&gt;!vM"</f>
        <v>#VALUE!</v>
      </c>
      <c r="HJ28" t="e">
        <f>'All regions'!B700+"n/&gt;!vN"</f>
        <v>#VALUE!</v>
      </c>
      <c r="HK28" t="e">
        <f>'All regions'!C700+"n/&gt;!vO"</f>
        <v>#VALUE!</v>
      </c>
      <c r="HL28" t="e">
        <f>'All regions'!D700+"n/&gt;!vP"</f>
        <v>#VALUE!</v>
      </c>
      <c r="HM28" t="e">
        <f>'All regions'!E700+"n/&gt;!vQ"</f>
        <v>#VALUE!</v>
      </c>
      <c r="HN28" t="e">
        <f>'All regions'!F700+"n/&gt;!vR"</f>
        <v>#VALUE!</v>
      </c>
      <c r="HO28" t="e">
        <f>'All regions'!G700+"n/&gt;!vS"</f>
        <v>#VALUE!</v>
      </c>
      <c r="HP28" t="e">
        <f>'All regions'!H700+"n/&gt;!vT"</f>
        <v>#VALUE!</v>
      </c>
      <c r="HQ28" t="e">
        <f>'All regions'!I700+"n/&gt;!vU"</f>
        <v>#VALUE!</v>
      </c>
      <c r="HR28" t="e">
        <f>'All regions'!J700+"n/&gt;!vV"</f>
        <v>#VALUE!</v>
      </c>
      <c r="HS28" t="e">
        <f>'All regions'!A701+"n/&gt;!vW"</f>
        <v>#VALUE!</v>
      </c>
      <c r="HT28" t="e">
        <f>'All regions'!B701+"n/&gt;!vX"</f>
        <v>#VALUE!</v>
      </c>
      <c r="HU28" t="e">
        <f>'All regions'!C701+"n/&gt;!vY"</f>
        <v>#VALUE!</v>
      </c>
      <c r="HV28" t="e">
        <f>'All regions'!D701+"n/&gt;!vZ"</f>
        <v>#VALUE!</v>
      </c>
      <c r="HW28" t="e">
        <f>'All regions'!E701+"n/&gt;!v["</f>
        <v>#VALUE!</v>
      </c>
      <c r="HX28" t="e">
        <f>'All regions'!F701+"n/&gt;!v\"</f>
        <v>#VALUE!</v>
      </c>
      <c r="HY28" t="e">
        <f>'All regions'!G701+"n/&gt;!v]"</f>
        <v>#VALUE!</v>
      </c>
      <c r="HZ28" t="e">
        <f>'All regions'!H701+"n/&gt;!v^"</f>
        <v>#VALUE!</v>
      </c>
      <c r="IA28" t="e">
        <f>'All regions'!I701+"n/&gt;!v_"</f>
        <v>#VALUE!</v>
      </c>
      <c r="IB28" t="e">
        <f>'All regions'!J701+"n/&gt;!v`"</f>
        <v>#VALUE!</v>
      </c>
      <c r="IC28" t="e">
        <f>'All regions'!A702+"n/&gt;!va"</f>
        <v>#VALUE!</v>
      </c>
      <c r="ID28" t="e">
        <f>'All regions'!B702+"n/&gt;!vb"</f>
        <v>#VALUE!</v>
      </c>
      <c r="IE28" t="e">
        <f>'All regions'!C702+"n/&gt;!vc"</f>
        <v>#VALUE!</v>
      </c>
      <c r="IF28" t="e">
        <f>'All regions'!D702+"n/&gt;!vd"</f>
        <v>#VALUE!</v>
      </c>
      <c r="IG28" t="e">
        <f>'All regions'!E702+"n/&gt;!ve"</f>
        <v>#VALUE!</v>
      </c>
      <c r="IH28" t="e">
        <f>'All regions'!F702+"n/&gt;!vf"</f>
        <v>#VALUE!</v>
      </c>
      <c r="II28" t="e">
        <f>'All regions'!G702+"n/&gt;!vg"</f>
        <v>#VALUE!</v>
      </c>
      <c r="IJ28" t="e">
        <f>'All regions'!H702+"n/&gt;!vh"</f>
        <v>#VALUE!</v>
      </c>
      <c r="IK28" t="e">
        <f>'All regions'!I702+"n/&gt;!vi"</f>
        <v>#VALUE!</v>
      </c>
      <c r="IL28" t="e">
        <f>'All regions'!J702+"n/&gt;!vj"</f>
        <v>#VALUE!</v>
      </c>
      <c r="IM28" t="e">
        <f>'All regions'!A703+"n/&gt;!vk"</f>
        <v>#VALUE!</v>
      </c>
      <c r="IN28" t="e">
        <f>'All regions'!B703+"n/&gt;!vl"</f>
        <v>#VALUE!</v>
      </c>
      <c r="IO28" t="e">
        <f>'All regions'!C703+"n/&gt;!vm"</f>
        <v>#VALUE!</v>
      </c>
      <c r="IP28" t="e">
        <f>'All regions'!D703+"n/&gt;!vn"</f>
        <v>#VALUE!</v>
      </c>
      <c r="IQ28" t="e">
        <f>'All regions'!E703+"n/&gt;!vo"</f>
        <v>#VALUE!</v>
      </c>
      <c r="IR28" t="e">
        <f>'All regions'!F703+"n/&gt;!vp"</f>
        <v>#VALUE!</v>
      </c>
      <c r="IS28" t="e">
        <f>'All regions'!G703+"n/&gt;!vq"</f>
        <v>#VALUE!</v>
      </c>
      <c r="IT28" t="e">
        <f>'All regions'!H703+"n/&gt;!vr"</f>
        <v>#VALUE!</v>
      </c>
      <c r="IU28" t="e">
        <f>'All regions'!I703+"n/&gt;!vs"</f>
        <v>#VALUE!</v>
      </c>
      <c r="IV28" t="e">
        <f>'All regions'!J703+"n/&gt;!vt"</f>
        <v>#VALUE!</v>
      </c>
    </row>
    <row r="29" spans="6:256" x14ac:dyDescent="0.35">
      <c r="F29" t="e">
        <f>'All regions'!A704+"n/&gt;!vu"</f>
        <v>#VALUE!</v>
      </c>
      <c r="G29" t="e">
        <f>'All regions'!B704+"n/&gt;!vv"</f>
        <v>#VALUE!</v>
      </c>
      <c r="H29" t="e">
        <f>'All regions'!C704+"n/&gt;!vw"</f>
        <v>#VALUE!</v>
      </c>
      <c r="I29" t="e">
        <f>'All regions'!D704+"n/&gt;!vx"</f>
        <v>#VALUE!</v>
      </c>
      <c r="J29" t="e">
        <f>'All regions'!E704+"n/&gt;!vy"</f>
        <v>#VALUE!</v>
      </c>
      <c r="K29" t="e">
        <f>'All regions'!F704+"n/&gt;!vz"</f>
        <v>#VALUE!</v>
      </c>
      <c r="L29" t="e">
        <f>'All regions'!G704+"n/&gt;!v{"</f>
        <v>#VALUE!</v>
      </c>
      <c r="M29" t="e">
        <f>'All regions'!H704+"n/&gt;!v|"</f>
        <v>#VALUE!</v>
      </c>
      <c r="N29" t="e">
        <f>'All regions'!I704+"n/&gt;!v}"</f>
        <v>#VALUE!</v>
      </c>
      <c r="O29" t="e">
        <f>'All regions'!J704+"n/&gt;!v~"</f>
        <v>#VALUE!</v>
      </c>
      <c r="P29" t="e">
        <f>'All regions'!A705+"n/&gt;!w#"</f>
        <v>#VALUE!</v>
      </c>
      <c r="Q29" t="e">
        <f>'All regions'!B705+"n/&gt;!w$"</f>
        <v>#VALUE!</v>
      </c>
      <c r="R29" t="e">
        <f>'All regions'!C705+"n/&gt;!w%"</f>
        <v>#VALUE!</v>
      </c>
      <c r="S29" t="e">
        <f>'All regions'!D705+"n/&gt;!w&amp;"</f>
        <v>#VALUE!</v>
      </c>
      <c r="T29" t="e">
        <f>'All regions'!E705+"n/&gt;!w'"</f>
        <v>#VALUE!</v>
      </c>
      <c r="U29" t="e">
        <f>'All regions'!F705+"n/&gt;!w("</f>
        <v>#VALUE!</v>
      </c>
      <c r="V29" t="e">
        <f>'All regions'!G705+"n/&gt;!w)"</f>
        <v>#VALUE!</v>
      </c>
      <c r="W29" t="e">
        <f>'All regions'!H705+"n/&gt;!w."</f>
        <v>#VALUE!</v>
      </c>
      <c r="X29" t="e">
        <f>'All regions'!I705+"n/&gt;!w/"</f>
        <v>#VALUE!</v>
      </c>
      <c r="Y29" t="e">
        <f>'All regions'!J705+"n/&gt;!w0"</f>
        <v>#VALUE!</v>
      </c>
      <c r="Z29" t="e">
        <f>'All regions'!A706+"n/&gt;!w1"</f>
        <v>#VALUE!</v>
      </c>
      <c r="AA29" t="e">
        <f>'All regions'!B706+"n/&gt;!w2"</f>
        <v>#VALUE!</v>
      </c>
      <c r="AB29" t="e">
        <f>'All regions'!C706+"n/&gt;!w3"</f>
        <v>#VALUE!</v>
      </c>
      <c r="AC29" t="e">
        <f>'All regions'!D706+"n/&gt;!w4"</f>
        <v>#VALUE!</v>
      </c>
      <c r="AD29" t="e">
        <f>'All regions'!E706+"n/&gt;!w5"</f>
        <v>#VALUE!</v>
      </c>
      <c r="AE29" t="e">
        <f>'All regions'!F706+"n/&gt;!w6"</f>
        <v>#VALUE!</v>
      </c>
      <c r="AF29" t="e">
        <f>'All regions'!G706+"n/&gt;!w7"</f>
        <v>#VALUE!</v>
      </c>
      <c r="AG29" t="e">
        <f>'All regions'!H706+"n/&gt;!w8"</f>
        <v>#VALUE!</v>
      </c>
      <c r="AH29" t="e">
        <f>'All regions'!I706+"n/&gt;!w9"</f>
        <v>#VALUE!</v>
      </c>
      <c r="AI29" t="e">
        <f>'All regions'!J706+"n/&gt;!w:"</f>
        <v>#VALUE!</v>
      </c>
      <c r="AJ29" t="e">
        <f>'All regions'!A707+"n/&gt;!w;"</f>
        <v>#VALUE!</v>
      </c>
      <c r="AK29" t="e">
        <f>'All regions'!B707+"n/&gt;!w&lt;"</f>
        <v>#VALUE!</v>
      </c>
      <c r="AL29" t="e">
        <f>'All regions'!C707+"n/&gt;!w="</f>
        <v>#VALUE!</v>
      </c>
      <c r="AM29" t="e">
        <f>'All regions'!D707+"n/&gt;!w&gt;"</f>
        <v>#VALUE!</v>
      </c>
      <c r="AN29" t="e">
        <f>'All regions'!E707+"n/&gt;!w?"</f>
        <v>#VALUE!</v>
      </c>
      <c r="AO29" t="e">
        <f>'All regions'!F707+"n/&gt;!w@"</f>
        <v>#VALUE!</v>
      </c>
      <c r="AP29" t="e">
        <f>'All regions'!G707+"n/&gt;!wA"</f>
        <v>#VALUE!</v>
      </c>
      <c r="AQ29" t="e">
        <f>'All regions'!H707+"n/&gt;!wB"</f>
        <v>#VALUE!</v>
      </c>
      <c r="AR29" t="e">
        <f>'All regions'!I707+"n/&gt;!wC"</f>
        <v>#VALUE!</v>
      </c>
      <c r="AS29" t="e">
        <f>'All regions'!J707+"n/&gt;!wD"</f>
        <v>#VALUE!</v>
      </c>
      <c r="AT29" t="e">
        <f>'All regions'!A708+"n/&gt;!wE"</f>
        <v>#VALUE!</v>
      </c>
      <c r="AU29" t="e">
        <f>'All regions'!B708+"n/&gt;!wF"</f>
        <v>#VALUE!</v>
      </c>
      <c r="AV29" t="e">
        <f>'All regions'!C708+"n/&gt;!wG"</f>
        <v>#VALUE!</v>
      </c>
      <c r="AW29" t="e">
        <f>'All regions'!D708+"n/&gt;!wH"</f>
        <v>#VALUE!</v>
      </c>
      <c r="AX29" t="e">
        <f>'All regions'!E708+"n/&gt;!wI"</f>
        <v>#VALUE!</v>
      </c>
      <c r="AY29" t="e">
        <f>'All regions'!F708+"n/&gt;!wJ"</f>
        <v>#VALUE!</v>
      </c>
      <c r="AZ29" t="e">
        <f>'All regions'!G708+"n/&gt;!wK"</f>
        <v>#VALUE!</v>
      </c>
      <c r="BA29" t="e">
        <f>'All regions'!H708+"n/&gt;!wL"</f>
        <v>#VALUE!</v>
      </c>
      <c r="BB29" t="e">
        <f>'All regions'!I708+"n/&gt;!wM"</f>
        <v>#VALUE!</v>
      </c>
      <c r="BC29" t="e">
        <f>'All regions'!J708+"n/&gt;!wN"</f>
        <v>#VALUE!</v>
      </c>
      <c r="BD29" t="e">
        <f>'All regions'!A709+"n/&gt;!wO"</f>
        <v>#VALUE!</v>
      </c>
      <c r="BE29" t="e">
        <f>'All regions'!B709+"n/&gt;!wP"</f>
        <v>#VALUE!</v>
      </c>
      <c r="BF29" t="e">
        <f>'All regions'!C709+"n/&gt;!wQ"</f>
        <v>#VALUE!</v>
      </c>
      <c r="BG29" t="e">
        <f>'All regions'!D709+"n/&gt;!wR"</f>
        <v>#VALUE!</v>
      </c>
      <c r="BH29" t="e">
        <f>'All regions'!E709+"n/&gt;!wS"</f>
        <v>#VALUE!</v>
      </c>
      <c r="BI29" t="e">
        <f>'All regions'!F709+"n/&gt;!wT"</f>
        <v>#VALUE!</v>
      </c>
      <c r="BJ29" t="e">
        <f>'All regions'!G709+"n/&gt;!wU"</f>
        <v>#VALUE!</v>
      </c>
      <c r="BK29" t="e">
        <f>'All regions'!H709+"n/&gt;!wV"</f>
        <v>#VALUE!</v>
      </c>
      <c r="BL29" t="e">
        <f>'All regions'!I709+"n/&gt;!wW"</f>
        <v>#VALUE!</v>
      </c>
      <c r="BM29" t="e">
        <f>'All regions'!J709+"n/&gt;!wX"</f>
        <v>#VALUE!</v>
      </c>
      <c r="BN29" t="e">
        <f>'All regions'!A710+"n/&gt;!wY"</f>
        <v>#VALUE!</v>
      </c>
      <c r="BO29" t="e">
        <f>'All regions'!B710+"n/&gt;!wZ"</f>
        <v>#VALUE!</v>
      </c>
      <c r="BP29" t="e">
        <f>'All regions'!C710+"n/&gt;!w["</f>
        <v>#VALUE!</v>
      </c>
      <c r="BQ29" t="e">
        <f>'All regions'!D710+"n/&gt;!w\"</f>
        <v>#VALUE!</v>
      </c>
      <c r="BR29" t="e">
        <f>'All regions'!E710+"n/&gt;!w]"</f>
        <v>#VALUE!</v>
      </c>
      <c r="BS29" t="e">
        <f>'All regions'!F710+"n/&gt;!w^"</f>
        <v>#VALUE!</v>
      </c>
      <c r="BT29" t="e">
        <f>'All regions'!G710+"n/&gt;!w_"</f>
        <v>#VALUE!</v>
      </c>
      <c r="BU29" t="e">
        <f>'All regions'!H710+"n/&gt;!w`"</f>
        <v>#VALUE!</v>
      </c>
      <c r="BV29" t="e">
        <f>'All regions'!I710+"n/&gt;!wa"</f>
        <v>#VALUE!</v>
      </c>
      <c r="BW29" t="e">
        <f>'All regions'!J710+"n/&gt;!wb"</f>
        <v>#VALUE!</v>
      </c>
      <c r="BX29" t="e">
        <f>'All regions'!A711+"n/&gt;!wc"</f>
        <v>#VALUE!</v>
      </c>
      <c r="BY29" t="e">
        <f>'All regions'!B711+"n/&gt;!wd"</f>
        <v>#VALUE!</v>
      </c>
      <c r="BZ29" t="e">
        <f>'All regions'!C711+"n/&gt;!we"</f>
        <v>#VALUE!</v>
      </c>
      <c r="CA29" t="e">
        <f>'All regions'!D711+"n/&gt;!wf"</f>
        <v>#VALUE!</v>
      </c>
      <c r="CB29" t="e">
        <f>'All regions'!E711+"n/&gt;!wg"</f>
        <v>#VALUE!</v>
      </c>
      <c r="CC29" t="e">
        <f>'All regions'!F711+"n/&gt;!wh"</f>
        <v>#VALUE!</v>
      </c>
      <c r="CD29" t="e">
        <f>'All regions'!G711+"n/&gt;!wi"</f>
        <v>#VALUE!</v>
      </c>
      <c r="CE29" t="e">
        <f>'All regions'!H711+"n/&gt;!wj"</f>
        <v>#VALUE!</v>
      </c>
      <c r="CF29" t="e">
        <f>'All regions'!I711+"n/&gt;!wk"</f>
        <v>#VALUE!</v>
      </c>
      <c r="CG29" t="e">
        <f>'All regions'!J711+"n/&gt;!wl"</f>
        <v>#VALUE!</v>
      </c>
      <c r="CH29" t="e">
        <f>'All regions'!A712+"n/&gt;!wm"</f>
        <v>#VALUE!</v>
      </c>
      <c r="CI29" t="e">
        <f>'All regions'!B712+"n/&gt;!wn"</f>
        <v>#VALUE!</v>
      </c>
      <c r="CJ29" t="e">
        <f>'All regions'!C712+"n/&gt;!wo"</f>
        <v>#VALUE!</v>
      </c>
      <c r="CK29" t="e">
        <f>'All regions'!D712+"n/&gt;!wp"</f>
        <v>#VALUE!</v>
      </c>
      <c r="CL29" t="e">
        <f>'All regions'!E712+"n/&gt;!wq"</f>
        <v>#VALUE!</v>
      </c>
      <c r="CM29" t="e">
        <f>'All regions'!F712+"n/&gt;!wr"</f>
        <v>#VALUE!</v>
      </c>
      <c r="CN29" t="e">
        <f>'All regions'!G712+"n/&gt;!ws"</f>
        <v>#VALUE!</v>
      </c>
      <c r="CO29" t="e">
        <f>'All regions'!H712+"n/&gt;!wt"</f>
        <v>#VALUE!</v>
      </c>
      <c r="CP29" t="e">
        <f>'All regions'!I712+"n/&gt;!wu"</f>
        <v>#VALUE!</v>
      </c>
      <c r="CQ29" t="e">
        <f>'All regions'!J712+"n/&gt;!wv"</f>
        <v>#VALUE!</v>
      </c>
      <c r="CR29" t="e">
        <f>'All regions'!A713+"n/&gt;!ww"</f>
        <v>#VALUE!</v>
      </c>
      <c r="CS29" t="e">
        <f>'All regions'!B713+"n/&gt;!wx"</f>
        <v>#VALUE!</v>
      </c>
      <c r="CT29" t="e">
        <f>'All regions'!C713+"n/&gt;!wy"</f>
        <v>#VALUE!</v>
      </c>
      <c r="CU29" t="e">
        <f>'All regions'!D713+"n/&gt;!wz"</f>
        <v>#VALUE!</v>
      </c>
      <c r="CV29" t="e">
        <f>'All regions'!E713+"n/&gt;!w{"</f>
        <v>#VALUE!</v>
      </c>
      <c r="CW29" t="e">
        <f>'All regions'!F713+"n/&gt;!w|"</f>
        <v>#VALUE!</v>
      </c>
      <c r="CX29" t="e">
        <f>'All regions'!G713+"n/&gt;!w}"</f>
        <v>#VALUE!</v>
      </c>
      <c r="CY29" t="e">
        <f>'All regions'!H713+"n/&gt;!w~"</f>
        <v>#VALUE!</v>
      </c>
      <c r="CZ29" t="e">
        <f>'All regions'!I713+"n/&gt;!x#"</f>
        <v>#VALUE!</v>
      </c>
      <c r="DA29" t="e">
        <f>'All regions'!J713+"n/&gt;!x$"</f>
        <v>#VALUE!</v>
      </c>
      <c r="DB29" t="e">
        <f>'All regions'!A714+"n/&gt;!x%"</f>
        <v>#VALUE!</v>
      </c>
      <c r="DC29" t="e">
        <f>'All regions'!B714+"n/&gt;!x&amp;"</f>
        <v>#VALUE!</v>
      </c>
      <c r="DD29" t="e">
        <f>'All regions'!C714+"n/&gt;!x'"</f>
        <v>#VALUE!</v>
      </c>
      <c r="DE29" t="e">
        <f>'All regions'!D714+"n/&gt;!x("</f>
        <v>#VALUE!</v>
      </c>
      <c r="DF29" t="e">
        <f>'All regions'!E714+"n/&gt;!x)"</f>
        <v>#VALUE!</v>
      </c>
      <c r="DG29" t="e">
        <f>'All regions'!F714+"n/&gt;!x."</f>
        <v>#VALUE!</v>
      </c>
      <c r="DH29" t="e">
        <f>'All regions'!G714+"n/&gt;!x/"</f>
        <v>#VALUE!</v>
      </c>
      <c r="DI29" t="e">
        <f>'All regions'!H714+"n/&gt;!x0"</f>
        <v>#VALUE!</v>
      </c>
      <c r="DJ29" t="e">
        <f>'All regions'!I714+"n/&gt;!x1"</f>
        <v>#VALUE!</v>
      </c>
      <c r="DK29" t="e">
        <f>'All regions'!J714+"n/&gt;!x2"</f>
        <v>#VALUE!</v>
      </c>
      <c r="DL29" t="e">
        <f>'All regions'!A715+"n/&gt;!x3"</f>
        <v>#VALUE!</v>
      </c>
      <c r="DM29" t="e">
        <f>'All regions'!B715+"n/&gt;!x4"</f>
        <v>#VALUE!</v>
      </c>
      <c r="DN29" t="e">
        <f>'All regions'!C715+"n/&gt;!x5"</f>
        <v>#VALUE!</v>
      </c>
      <c r="DO29" t="e">
        <f>'All regions'!D715+"n/&gt;!x6"</f>
        <v>#VALUE!</v>
      </c>
      <c r="DP29" t="e">
        <f>'All regions'!E715+"n/&gt;!x7"</f>
        <v>#VALUE!</v>
      </c>
      <c r="DQ29" t="e">
        <f>'All regions'!F715+"n/&gt;!x8"</f>
        <v>#VALUE!</v>
      </c>
      <c r="DR29" t="e">
        <f>'All regions'!G715+"n/&gt;!x9"</f>
        <v>#VALUE!</v>
      </c>
      <c r="DS29" t="e">
        <f>'All regions'!H715+"n/&gt;!x:"</f>
        <v>#VALUE!</v>
      </c>
      <c r="DT29" t="e">
        <f>'All regions'!I715+"n/&gt;!x;"</f>
        <v>#VALUE!</v>
      </c>
      <c r="DU29" t="e">
        <f>'All regions'!J715+"n/&gt;!x&lt;"</f>
        <v>#VALUE!</v>
      </c>
      <c r="DV29" t="e">
        <f>'All regions'!A716+"n/&gt;!x="</f>
        <v>#VALUE!</v>
      </c>
      <c r="DW29" t="e">
        <f>'All regions'!B716+"n/&gt;!x&gt;"</f>
        <v>#VALUE!</v>
      </c>
      <c r="DX29" t="e">
        <f>'All regions'!C716+"n/&gt;!x?"</f>
        <v>#VALUE!</v>
      </c>
      <c r="DY29" t="e">
        <f>'All regions'!D716+"n/&gt;!x@"</f>
        <v>#VALUE!</v>
      </c>
      <c r="DZ29" t="e">
        <f>'All regions'!E716+"n/&gt;!xA"</f>
        <v>#VALUE!</v>
      </c>
      <c r="EA29" t="e">
        <f>'All regions'!F716+"n/&gt;!xB"</f>
        <v>#VALUE!</v>
      </c>
      <c r="EB29" t="e">
        <f>'All regions'!G716+"n/&gt;!xC"</f>
        <v>#VALUE!</v>
      </c>
      <c r="EC29" t="e">
        <f>'All regions'!H716+"n/&gt;!xD"</f>
        <v>#VALUE!</v>
      </c>
      <c r="ED29" t="e">
        <f>'All regions'!I716+"n/&gt;!xE"</f>
        <v>#VALUE!</v>
      </c>
      <c r="EE29" t="e">
        <f>'All regions'!J716+"n/&gt;!xF"</f>
        <v>#VALUE!</v>
      </c>
      <c r="EF29" t="e">
        <f>'All regions'!A717+"n/&gt;!xG"</f>
        <v>#VALUE!</v>
      </c>
      <c r="EG29" t="e">
        <f>'All regions'!B717+"n/&gt;!xH"</f>
        <v>#VALUE!</v>
      </c>
      <c r="EH29" t="e">
        <f>'All regions'!C717+"n/&gt;!xI"</f>
        <v>#VALUE!</v>
      </c>
      <c r="EI29" t="e">
        <f>'All regions'!D717+"n/&gt;!xJ"</f>
        <v>#VALUE!</v>
      </c>
      <c r="EJ29" t="e">
        <f>'All regions'!E717+"n/&gt;!xK"</f>
        <v>#VALUE!</v>
      </c>
      <c r="EK29" t="e">
        <f>'All regions'!F717+"n/&gt;!xL"</f>
        <v>#VALUE!</v>
      </c>
      <c r="EL29" t="e">
        <f>'All regions'!G717+"n/&gt;!xM"</f>
        <v>#VALUE!</v>
      </c>
      <c r="EM29" t="e">
        <f>'All regions'!H717+"n/&gt;!xN"</f>
        <v>#VALUE!</v>
      </c>
      <c r="EN29" t="e">
        <f>'All regions'!I717+"n/&gt;!xO"</f>
        <v>#VALUE!</v>
      </c>
      <c r="EO29" t="e">
        <f>'All regions'!J717+"n/&gt;!xP"</f>
        <v>#VALUE!</v>
      </c>
      <c r="EP29" t="e">
        <f>'All regions'!A718+"n/&gt;!xQ"</f>
        <v>#VALUE!</v>
      </c>
      <c r="EQ29" t="e">
        <f>'All regions'!B718+"n/&gt;!xR"</f>
        <v>#VALUE!</v>
      </c>
      <c r="ER29" t="e">
        <f>'All regions'!C718+"n/&gt;!xS"</f>
        <v>#VALUE!</v>
      </c>
      <c r="ES29" t="e">
        <f>'All regions'!D718+"n/&gt;!xT"</f>
        <v>#VALUE!</v>
      </c>
      <c r="ET29" t="e">
        <f>'All regions'!E718+"n/&gt;!xU"</f>
        <v>#VALUE!</v>
      </c>
      <c r="EU29" t="e">
        <f>'All regions'!F718+"n/&gt;!xV"</f>
        <v>#VALUE!</v>
      </c>
      <c r="EV29" t="e">
        <f>'All regions'!G718+"n/&gt;!xW"</f>
        <v>#VALUE!</v>
      </c>
      <c r="EW29" t="e">
        <f>'All regions'!H718+"n/&gt;!xX"</f>
        <v>#VALUE!</v>
      </c>
      <c r="EX29" t="e">
        <f>'All regions'!I718+"n/&gt;!xY"</f>
        <v>#VALUE!</v>
      </c>
      <c r="EY29" t="e">
        <f>'All regions'!J718+"n/&gt;!xZ"</f>
        <v>#VALUE!</v>
      </c>
      <c r="EZ29" t="e">
        <f>'All regions'!A719+"n/&gt;!x["</f>
        <v>#VALUE!</v>
      </c>
      <c r="FA29" t="e">
        <f>'All regions'!B719+"n/&gt;!x\"</f>
        <v>#VALUE!</v>
      </c>
      <c r="FB29" t="e">
        <f>'All regions'!C719+"n/&gt;!x]"</f>
        <v>#VALUE!</v>
      </c>
      <c r="FC29" t="e">
        <f>'All regions'!D719+"n/&gt;!x^"</f>
        <v>#VALUE!</v>
      </c>
      <c r="FD29" t="e">
        <f>'All regions'!E719+"n/&gt;!x_"</f>
        <v>#VALUE!</v>
      </c>
      <c r="FE29" t="e">
        <f>'All regions'!F719+"n/&gt;!x`"</f>
        <v>#VALUE!</v>
      </c>
      <c r="FF29" t="e">
        <f>'All regions'!G719+"n/&gt;!xa"</f>
        <v>#VALUE!</v>
      </c>
      <c r="FG29" t="e">
        <f>'All regions'!H719+"n/&gt;!xb"</f>
        <v>#VALUE!</v>
      </c>
      <c r="FH29" t="e">
        <f>'All regions'!I719+"n/&gt;!xc"</f>
        <v>#VALUE!</v>
      </c>
      <c r="FI29" t="e">
        <f>'All regions'!J719+"n/&gt;!xd"</f>
        <v>#VALUE!</v>
      </c>
      <c r="FJ29" t="e">
        <f>'All regions'!A720+"n/&gt;!xe"</f>
        <v>#VALUE!</v>
      </c>
      <c r="FK29" t="e">
        <f>'All regions'!B720+"n/&gt;!xf"</f>
        <v>#VALUE!</v>
      </c>
      <c r="FL29" t="e">
        <f>'All regions'!C720+"n/&gt;!xg"</f>
        <v>#VALUE!</v>
      </c>
      <c r="FM29" t="e">
        <f>'All regions'!D720+"n/&gt;!xh"</f>
        <v>#VALUE!</v>
      </c>
      <c r="FN29" t="e">
        <f>'All regions'!E720+"n/&gt;!xi"</f>
        <v>#VALUE!</v>
      </c>
      <c r="FO29" t="e">
        <f>'All regions'!F720+"n/&gt;!xj"</f>
        <v>#VALUE!</v>
      </c>
      <c r="FP29" t="e">
        <f>'All regions'!G720+"n/&gt;!xk"</f>
        <v>#VALUE!</v>
      </c>
      <c r="FQ29" t="e">
        <f>'All regions'!H720+"n/&gt;!xl"</f>
        <v>#VALUE!</v>
      </c>
      <c r="FR29" t="e">
        <f>'All regions'!I720+"n/&gt;!xm"</f>
        <v>#VALUE!</v>
      </c>
      <c r="FS29" t="e">
        <f>'All regions'!J720+"n/&gt;!xn"</f>
        <v>#VALUE!</v>
      </c>
      <c r="FT29" t="e">
        <f>'All regions'!A721+"n/&gt;!xo"</f>
        <v>#VALUE!</v>
      </c>
      <c r="FU29" t="e">
        <f>'All regions'!B721+"n/&gt;!xp"</f>
        <v>#VALUE!</v>
      </c>
      <c r="FV29" t="e">
        <f>'All regions'!C721+"n/&gt;!xq"</f>
        <v>#VALUE!</v>
      </c>
      <c r="FW29" t="e">
        <f>'All regions'!D721+"n/&gt;!xr"</f>
        <v>#VALUE!</v>
      </c>
      <c r="FX29" t="e">
        <f>'All regions'!E721+"n/&gt;!xs"</f>
        <v>#VALUE!</v>
      </c>
      <c r="FY29" t="e">
        <f>'All regions'!F721+"n/&gt;!xt"</f>
        <v>#VALUE!</v>
      </c>
      <c r="FZ29" t="e">
        <f>'All regions'!G721+"n/&gt;!xu"</f>
        <v>#VALUE!</v>
      </c>
      <c r="GA29" t="e">
        <f>'All regions'!H721+"n/&gt;!xv"</f>
        <v>#VALUE!</v>
      </c>
      <c r="GB29" t="e">
        <f>'All regions'!I721+"n/&gt;!xw"</f>
        <v>#VALUE!</v>
      </c>
      <c r="GC29" t="e">
        <f>'All regions'!J721+"n/&gt;!xx"</f>
        <v>#VALUE!</v>
      </c>
      <c r="GD29" t="e">
        <f>'All regions'!A722+"n/&gt;!xy"</f>
        <v>#VALUE!</v>
      </c>
      <c r="GE29" t="e">
        <f>'All regions'!B722+"n/&gt;!xz"</f>
        <v>#VALUE!</v>
      </c>
      <c r="GF29" t="e">
        <f>'All regions'!C722+"n/&gt;!x{"</f>
        <v>#VALUE!</v>
      </c>
      <c r="GG29" t="e">
        <f>'All regions'!D722+"n/&gt;!x|"</f>
        <v>#VALUE!</v>
      </c>
      <c r="GH29" t="e">
        <f>'All regions'!E722+"n/&gt;!x}"</f>
        <v>#VALUE!</v>
      </c>
      <c r="GI29" t="e">
        <f>'All regions'!F722+"n/&gt;!x~"</f>
        <v>#VALUE!</v>
      </c>
      <c r="GJ29" t="e">
        <f>'All regions'!G722+"n/&gt;!y#"</f>
        <v>#VALUE!</v>
      </c>
      <c r="GK29" t="e">
        <f>'All regions'!H722+"n/&gt;!y$"</f>
        <v>#VALUE!</v>
      </c>
      <c r="GL29" t="e">
        <f>'All regions'!I722+"n/&gt;!y%"</f>
        <v>#VALUE!</v>
      </c>
      <c r="GM29" t="e">
        <f>'All regions'!J722+"n/&gt;!y&amp;"</f>
        <v>#VALUE!</v>
      </c>
      <c r="GN29" t="e">
        <f>'All regions'!A723+"n/&gt;!y'"</f>
        <v>#VALUE!</v>
      </c>
      <c r="GO29" t="e">
        <f>'All regions'!B723+"n/&gt;!y("</f>
        <v>#VALUE!</v>
      </c>
      <c r="GP29" t="e">
        <f>'All regions'!C723+"n/&gt;!y)"</f>
        <v>#VALUE!</v>
      </c>
      <c r="GQ29" t="e">
        <f>'All regions'!D723+"n/&gt;!y."</f>
        <v>#VALUE!</v>
      </c>
      <c r="GR29" t="e">
        <f>'All regions'!E723+"n/&gt;!y/"</f>
        <v>#VALUE!</v>
      </c>
      <c r="GS29" t="e">
        <f>'All regions'!F723+"n/&gt;!y0"</f>
        <v>#VALUE!</v>
      </c>
      <c r="GT29" t="e">
        <f>'All regions'!G723+"n/&gt;!y1"</f>
        <v>#VALUE!</v>
      </c>
      <c r="GU29" t="e">
        <f>'All regions'!H723+"n/&gt;!y2"</f>
        <v>#VALUE!</v>
      </c>
      <c r="GV29" t="e">
        <f>'All regions'!I723+"n/&gt;!y3"</f>
        <v>#VALUE!</v>
      </c>
      <c r="GW29" t="e">
        <f>'All regions'!J723+"n/&gt;!y4"</f>
        <v>#VALUE!</v>
      </c>
      <c r="GX29" t="e">
        <f>'All regions'!A724+"n/&gt;!y5"</f>
        <v>#VALUE!</v>
      </c>
      <c r="GY29" t="e">
        <f>'All regions'!B724+"n/&gt;!y6"</f>
        <v>#VALUE!</v>
      </c>
      <c r="GZ29" t="e">
        <f>'All regions'!C724+"n/&gt;!y7"</f>
        <v>#VALUE!</v>
      </c>
      <c r="HA29" t="e">
        <f>'All regions'!D724+"n/&gt;!y8"</f>
        <v>#VALUE!</v>
      </c>
      <c r="HB29" t="e">
        <f>'All regions'!E724+"n/&gt;!y9"</f>
        <v>#VALUE!</v>
      </c>
      <c r="HC29" t="e">
        <f>'All regions'!F724+"n/&gt;!y:"</f>
        <v>#VALUE!</v>
      </c>
      <c r="HD29" t="e">
        <f>'All regions'!G724+"n/&gt;!y;"</f>
        <v>#VALUE!</v>
      </c>
      <c r="HE29" t="e">
        <f>'All regions'!H724+"n/&gt;!y&lt;"</f>
        <v>#VALUE!</v>
      </c>
      <c r="HF29" t="e">
        <f>'All regions'!I724+"n/&gt;!y="</f>
        <v>#VALUE!</v>
      </c>
      <c r="HG29" t="e">
        <f>'All regions'!J724+"n/&gt;!y&gt;"</f>
        <v>#VALUE!</v>
      </c>
      <c r="HH29" t="e">
        <f>'All regions'!A725+"n/&gt;!y?"</f>
        <v>#VALUE!</v>
      </c>
      <c r="HI29" t="e">
        <f>'All regions'!B725+"n/&gt;!y@"</f>
        <v>#VALUE!</v>
      </c>
      <c r="HJ29" t="e">
        <f>'All regions'!C725+"n/&gt;!yA"</f>
        <v>#VALUE!</v>
      </c>
      <c r="HK29" t="e">
        <f>'All regions'!D725+"n/&gt;!yB"</f>
        <v>#VALUE!</v>
      </c>
      <c r="HL29" t="e">
        <f>'All regions'!E725+"n/&gt;!yC"</f>
        <v>#VALUE!</v>
      </c>
      <c r="HM29" t="e">
        <f>'All regions'!F725+"n/&gt;!yD"</f>
        <v>#VALUE!</v>
      </c>
      <c r="HN29" t="e">
        <f>'All regions'!G725+"n/&gt;!yE"</f>
        <v>#VALUE!</v>
      </c>
      <c r="HO29" t="e">
        <f>'All regions'!H725+"n/&gt;!yF"</f>
        <v>#VALUE!</v>
      </c>
      <c r="HP29" t="e">
        <f>'All regions'!I725+"n/&gt;!yG"</f>
        <v>#VALUE!</v>
      </c>
      <c r="HQ29" t="e">
        <f>'All regions'!J725+"n/&gt;!yH"</f>
        <v>#VALUE!</v>
      </c>
      <c r="HR29" t="e">
        <f>'All regions'!A726+"n/&gt;!yI"</f>
        <v>#VALUE!</v>
      </c>
      <c r="HS29" t="e">
        <f>'All regions'!B726+"n/&gt;!yJ"</f>
        <v>#VALUE!</v>
      </c>
      <c r="HT29" t="e">
        <f>'All regions'!C726+"n/&gt;!yK"</f>
        <v>#VALUE!</v>
      </c>
      <c r="HU29" t="e">
        <f>'All regions'!D726+"n/&gt;!yL"</f>
        <v>#VALUE!</v>
      </c>
      <c r="HV29" t="e">
        <f>'All regions'!E726+"n/&gt;!yM"</f>
        <v>#VALUE!</v>
      </c>
      <c r="HW29" t="e">
        <f>'All regions'!F726+"n/&gt;!yN"</f>
        <v>#VALUE!</v>
      </c>
      <c r="HX29" t="e">
        <f>'All regions'!G726+"n/&gt;!yO"</f>
        <v>#VALUE!</v>
      </c>
      <c r="HY29" t="e">
        <f>'All regions'!H726+"n/&gt;!yP"</f>
        <v>#VALUE!</v>
      </c>
      <c r="HZ29" t="e">
        <f>'All regions'!I726+"n/&gt;!yQ"</f>
        <v>#VALUE!</v>
      </c>
      <c r="IA29" t="e">
        <f>'All regions'!J726+"n/&gt;!yR"</f>
        <v>#VALUE!</v>
      </c>
      <c r="IB29" t="e">
        <f>'All regions'!A727+"n/&gt;!yS"</f>
        <v>#VALUE!</v>
      </c>
      <c r="IC29" t="e">
        <f>'All regions'!B727+"n/&gt;!yT"</f>
        <v>#VALUE!</v>
      </c>
      <c r="ID29" t="e">
        <f>'All regions'!C727+"n/&gt;!yU"</f>
        <v>#VALUE!</v>
      </c>
      <c r="IE29" t="e">
        <f>'All regions'!D727+"n/&gt;!yV"</f>
        <v>#VALUE!</v>
      </c>
      <c r="IF29" t="e">
        <f>'All regions'!E727+"n/&gt;!yW"</f>
        <v>#VALUE!</v>
      </c>
      <c r="IG29" t="e">
        <f>'All regions'!F727+"n/&gt;!yX"</f>
        <v>#VALUE!</v>
      </c>
      <c r="IH29" t="e">
        <f>'All regions'!G727+"n/&gt;!yY"</f>
        <v>#VALUE!</v>
      </c>
      <c r="II29" t="e">
        <f>'All regions'!H727+"n/&gt;!yZ"</f>
        <v>#VALUE!</v>
      </c>
      <c r="IJ29" t="e">
        <f>'All regions'!I727+"n/&gt;!y["</f>
        <v>#VALUE!</v>
      </c>
      <c r="IK29" t="e">
        <f>'All regions'!J727+"n/&gt;!y\"</f>
        <v>#VALUE!</v>
      </c>
      <c r="IL29" t="e">
        <f>'All regions'!A728+"n/&gt;!y]"</f>
        <v>#VALUE!</v>
      </c>
      <c r="IM29" t="e">
        <f>'All regions'!B728+"n/&gt;!y^"</f>
        <v>#VALUE!</v>
      </c>
      <c r="IN29" t="e">
        <f>'All regions'!C728+"n/&gt;!y_"</f>
        <v>#VALUE!</v>
      </c>
      <c r="IO29" t="e">
        <f>'All regions'!D728+"n/&gt;!y`"</f>
        <v>#VALUE!</v>
      </c>
      <c r="IP29" t="e">
        <f>'All regions'!E728+"n/&gt;!ya"</f>
        <v>#VALUE!</v>
      </c>
      <c r="IQ29" t="e">
        <f>'All regions'!F728+"n/&gt;!yb"</f>
        <v>#VALUE!</v>
      </c>
      <c r="IR29" t="e">
        <f>'All regions'!G728+"n/&gt;!yc"</f>
        <v>#VALUE!</v>
      </c>
      <c r="IS29" t="e">
        <f>'All regions'!H728+"n/&gt;!yd"</f>
        <v>#VALUE!</v>
      </c>
      <c r="IT29" t="e">
        <f>'All regions'!I728+"n/&gt;!ye"</f>
        <v>#VALUE!</v>
      </c>
      <c r="IU29" t="e">
        <f>'All regions'!J728+"n/&gt;!yf"</f>
        <v>#VALUE!</v>
      </c>
      <c r="IV29" t="e">
        <f>'All regions'!A729+"n/&gt;!yg"</f>
        <v>#VALUE!</v>
      </c>
    </row>
    <row r="30" spans="6:256" x14ac:dyDescent="0.35">
      <c r="F30" t="e">
        <f>'All regions'!B729+"n/&gt;!yh"</f>
        <v>#VALUE!</v>
      </c>
      <c r="G30" t="e">
        <f>'All regions'!C729+"n/&gt;!yi"</f>
        <v>#VALUE!</v>
      </c>
      <c r="H30" t="e">
        <f>'All regions'!D729+"n/&gt;!yj"</f>
        <v>#VALUE!</v>
      </c>
      <c r="I30" t="e">
        <f>'All regions'!E729+"n/&gt;!yk"</f>
        <v>#VALUE!</v>
      </c>
      <c r="J30" t="e">
        <f>'All regions'!F729+"n/&gt;!yl"</f>
        <v>#VALUE!</v>
      </c>
      <c r="K30" t="e">
        <f>'All regions'!G729+"n/&gt;!ym"</f>
        <v>#VALUE!</v>
      </c>
      <c r="L30" t="e">
        <f>'All regions'!H729+"n/&gt;!yn"</f>
        <v>#VALUE!</v>
      </c>
      <c r="M30" t="e">
        <f>'All regions'!I729+"n/&gt;!yo"</f>
        <v>#VALUE!</v>
      </c>
      <c r="N30" t="e">
        <f>'All regions'!J729+"n/&gt;!yp"</f>
        <v>#VALUE!</v>
      </c>
      <c r="O30" t="e">
        <f>'All regions'!A730+"n/&gt;!yq"</f>
        <v>#VALUE!</v>
      </c>
      <c r="P30" t="e">
        <f>'All regions'!B730+"n/&gt;!yr"</f>
        <v>#VALUE!</v>
      </c>
      <c r="Q30" t="e">
        <f>'All regions'!C730+"n/&gt;!ys"</f>
        <v>#VALUE!</v>
      </c>
      <c r="R30" t="e">
        <f>'All regions'!D730+"n/&gt;!yt"</f>
        <v>#VALUE!</v>
      </c>
      <c r="S30" t="e">
        <f>'All regions'!E730+"n/&gt;!yu"</f>
        <v>#VALUE!</v>
      </c>
      <c r="T30" t="e">
        <f>'All regions'!F730+"n/&gt;!yv"</f>
        <v>#VALUE!</v>
      </c>
      <c r="U30" t="e">
        <f>'All regions'!G730+"n/&gt;!yw"</f>
        <v>#VALUE!</v>
      </c>
      <c r="V30" t="e">
        <f>'All regions'!H730+"n/&gt;!yx"</f>
        <v>#VALUE!</v>
      </c>
      <c r="W30" t="e">
        <f>'All regions'!I730+"n/&gt;!yy"</f>
        <v>#VALUE!</v>
      </c>
      <c r="X30" t="e">
        <f>'All regions'!J730+"n/&gt;!yz"</f>
        <v>#VALUE!</v>
      </c>
      <c r="Y30" t="e">
        <f>'All regions'!A731+"n/&gt;!y{"</f>
        <v>#VALUE!</v>
      </c>
      <c r="Z30" t="e">
        <f>'All regions'!B731+"n/&gt;!y|"</f>
        <v>#VALUE!</v>
      </c>
      <c r="AA30" t="e">
        <f>'All regions'!C731+"n/&gt;!y}"</f>
        <v>#VALUE!</v>
      </c>
      <c r="AB30" t="e">
        <f>'All regions'!D731+"n/&gt;!y~"</f>
        <v>#VALUE!</v>
      </c>
      <c r="AC30" t="e">
        <f>'All regions'!E731+"n/&gt;!z#"</f>
        <v>#VALUE!</v>
      </c>
      <c r="AD30" t="e">
        <f>'All regions'!F731+"n/&gt;!z$"</f>
        <v>#VALUE!</v>
      </c>
      <c r="AE30" t="e">
        <f>'All regions'!G731+"n/&gt;!z%"</f>
        <v>#VALUE!</v>
      </c>
      <c r="AF30" t="e">
        <f>'All regions'!H731+"n/&gt;!z&amp;"</f>
        <v>#VALUE!</v>
      </c>
      <c r="AG30" t="e">
        <f>'All regions'!I731+"n/&gt;!z'"</f>
        <v>#VALUE!</v>
      </c>
      <c r="AH30" t="e">
        <f>'All regions'!J731+"n/&gt;!z("</f>
        <v>#VALUE!</v>
      </c>
      <c r="AI30" t="e">
        <f>'All regions'!A732+"n/&gt;!z)"</f>
        <v>#VALUE!</v>
      </c>
      <c r="AJ30" t="e">
        <f>'All regions'!B732+"n/&gt;!z."</f>
        <v>#VALUE!</v>
      </c>
      <c r="AK30" t="e">
        <f>'All regions'!C732+"n/&gt;!z/"</f>
        <v>#VALUE!</v>
      </c>
      <c r="AL30" t="e">
        <f>'All regions'!D732+"n/&gt;!z0"</f>
        <v>#VALUE!</v>
      </c>
      <c r="AM30" t="e">
        <f>'All regions'!E732+"n/&gt;!z1"</f>
        <v>#VALUE!</v>
      </c>
      <c r="AN30" t="e">
        <f>'All regions'!F732+"n/&gt;!z2"</f>
        <v>#VALUE!</v>
      </c>
      <c r="AO30" t="e">
        <f>'All regions'!G732+"n/&gt;!z3"</f>
        <v>#VALUE!</v>
      </c>
      <c r="AP30" t="e">
        <f>'All regions'!H732+"n/&gt;!z4"</f>
        <v>#VALUE!</v>
      </c>
      <c r="AQ30" t="e">
        <f>'All regions'!I732+"n/&gt;!z5"</f>
        <v>#VALUE!</v>
      </c>
      <c r="AR30" t="e">
        <f>'All regions'!J732+"n/&gt;!z6"</f>
        <v>#VALUE!</v>
      </c>
      <c r="AS30" t="e">
        <f>'All regions'!A733+"n/&gt;!z7"</f>
        <v>#VALUE!</v>
      </c>
      <c r="AT30" t="e">
        <f>'All regions'!B733+"n/&gt;!z8"</f>
        <v>#VALUE!</v>
      </c>
      <c r="AU30" t="e">
        <f>'All regions'!C733+"n/&gt;!z9"</f>
        <v>#VALUE!</v>
      </c>
      <c r="AV30" t="e">
        <f>'All regions'!D733+"n/&gt;!z:"</f>
        <v>#VALUE!</v>
      </c>
      <c r="AW30" t="e">
        <f>'All regions'!E733+"n/&gt;!z;"</f>
        <v>#VALUE!</v>
      </c>
      <c r="AX30" t="e">
        <f>'All regions'!F733+"n/&gt;!z&lt;"</f>
        <v>#VALUE!</v>
      </c>
      <c r="AY30" t="e">
        <f>'All regions'!G733+"n/&gt;!z="</f>
        <v>#VALUE!</v>
      </c>
      <c r="AZ30" t="e">
        <f>'All regions'!H733+"n/&gt;!z&gt;"</f>
        <v>#VALUE!</v>
      </c>
      <c r="BA30" t="e">
        <f>'All regions'!I733+"n/&gt;!z?"</f>
        <v>#VALUE!</v>
      </c>
      <c r="BB30" t="e">
        <f>'All regions'!J733+"n/&gt;!z@"</f>
        <v>#VALUE!</v>
      </c>
      <c r="BC30" t="e">
        <f>'All regions'!A734+"n/&gt;!zA"</f>
        <v>#VALUE!</v>
      </c>
      <c r="BD30" t="e">
        <f>'All regions'!B734+"n/&gt;!zB"</f>
        <v>#VALUE!</v>
      </c>
      <c r="BE30" t="e">
        <f>'All regions'!C734+"n/&gt;!zC"</f>
        <v>#VALUE!</v>
      </c>
      <c r="BF30" t="e">
        <f>'All regions'!D734+"n/&gt;!zD"</f>
        <v>#VALUE!</v>
      </c>
      <c r="BG30" t="e">
        <f>'All regions'!E734+"n/&gt;!zE"</f>
        <v>#VALUE!</v>
      </c>
      <c r="BH30" t="e">
        <f>'All regions'!F734+"n/&gt;!zF"</f>
        <v>#VALUE!</v>
      </c>
      <c r="BI30" t="e">
        <f>'All regions'!G734+"n/&gt;!zG"</f>
        <v>#VALUE!</v>
      </c>
      <c r="BJ30" t="e">
        <f>'All regions'!H734+"n/&gt;!zH"</f>
        <v>#VALUE!</v>
      </c>
      <c r="BK30" t="e">
        <f>'All regions'!I734+"n/&gt;!zI"</f>
        <v>#VALUE!</v>
      </c>
      <c r="BL30" t="e">
        <f>'All regions'!J734+"n/&gt;!zJ"</f>
        <v>#VALUE!</v>
      </c>
      <c r="BM30" t="e">
        <f>'All regions'!A735+"n/&gt;!zK"</f>
        <v>#VALUE!</v>
      </c>
      <c r="BN30" t="e">
        <f>'All regions'!B735+"n/&gt;!zL"</f>
        <v>#VALUE!</v>
      </c>
      <c r="BO30" t="e">
        <f>'All regions'!C735+"n/&gt;!zM"</f>
        <v>#VALUE!</v>
      </c>
      <c r="BP30" t="e">
        <f>'All regions'!D735+"n/&gt;!zN"</f>
        <v>#VALUE!</v>
      </c>
      <c r="BQ30" t="e">
        <f>'All regions'!E735+"n/&gt;!zO"</f>
        <v>#VALUE!</v>
      </c>
      <c r="BR30" t="e">
        <f>'All regions'!F735+"n/&gt;!zP"</f>
        <v>#VALUE!</v>
      </c>
      <c r="BS30" t="e">
        <f>'All regions'!G735+"n/&gt;!zQ"</f>
        <v>#VALUE!</v>
      </c>
      <c r="BT30" t="e">
        <f>'All regions'!H735+"n/&gt;!zR"</f>
        <v>#VALUE!</v>
      </c>
      <c r="BU30" t="e">
        <f>'All regions'!I735+"n/&gt;!zS"</f>
        <v>#VALUE!</v>
      </c>
      <c r="BV30" t="e">
        <f>'All regions'!J735+"n/&gt;!zT"</f>
        <v>#VALUE!</v>
      </c>
      <c r="BW30" t="e">
        <f>'All regions'!A736+"n/&gt;!zU"</f>
        <v>#VALUE!</v>
      </c>
      <c r="BX30" t="e">
        <f>'All regions'!B736+"n/&gt;!zV"</f>
        <v>#VALUE!</v>
      </c>
      <c r="BY30" t="e">
        <f>'All regions'!C736+"n/&gt;!zW"</f>
        <v>#VALUE!</v>
      </c>
      <c r="BZ30" t="e">
        <f>'All regions'!D736+"n/&gt;!zX"</f>
        <v>#VALUE!</v>
      </c>
      <c r="CA30" t="e">
        <f>'All regions'!E736+"n/&gt;!zY"</f>
        <v>#VALUE!</v>
      </c>
      <c r="CB30" t="e">
        <f>'All regions'!F736+"n/&gt;!zZ"</f>
        <v>#VALUE!</v>
      </c>
      <c r="CC30" t="e">
        <f>'All regions'!G736+"n/&gt;!z["</f>
        <v>#VALUE!</v>
      </c>
      <c r="CD30" t="e">
        <f>'All regions'!H736+"n/&gt;!z\"</f>
        <v>#VALUE!</v>
      </c>
      <c r="CE30" t="e">
        <f>'All regions'!I736+"n/&gt;!z]"</f>
        <v>#VALUE!</v>
      </c>
      <c r="CF30" t="e">
        <f>'All regions'!J736+"n/&gt;!z^"</f>
        <v>#VALUE!</v>
      </c>
      <c r="CG30" t="e">
        <f>'All regions'!A737+"n/&gt;!z_"</f>
        <v>#VALUE!</v>
      </c>
      <c r="CH30" t="e">
        <f>'All regions'!B737+"n/&gt;!z`"</f>
        <v>#VALUE!</v>
      </c>
      <c r="CI30" t="e">
        <f>'All regions'!C737+"n/&gt;!za"</f>
        <v>#VALUE!</v>
      </c>
      <c r="CJ30" t="e">
        <f>'All regions'!D737+"n/&gt;!zb"</f>
        <v>#VALUE!</v>
      </c>
      <c r="CK30" t="e">
        <f>'All regions'!E737+"n/&gt;!zc"</f>
        <v>#VALUE!</v>
      </c>
      <c r="CL30" t="e">
        <f>'All regions'!F737+"n/&gt;!zd"</f>
        <v>#VALUE!</v>
      </c>
      <c r="CM30" t="e">
        <f>'All regions'!G737+"n/&gt;!ze"</f>
        <v>#VALUE!</v>
      </c>
      <c r="CN30" t="e">
        <f>'All regions'!H737+"n/&gt;!zf"</f>
        <v>#VALUE!</v>
      </c>
      <c r="CO30" t="e">
        <f>'All regions'!I737+"n/&gt;!zg"</f>
        <v>#VALUE!</v>
      </c>
      <c r="CP30" t="e">
        <f>'All regions'!J737+"n/&gt;!zh"</f>
        <v>#VALUE!</v>
      </c>
      <c r="CQ30" t="e">
        <f>'All regions'!A738+"n/&gt;!zi"</f>
        <v>#VALUE!</v>
      </c>
      <c r="CR30" t="e">
        <f>'All regions'!B738+"n/&gt;!zj"</f>
        <v>#VALUE!</v>
      </c>
      <c r="CS30" t="e">
        <f>'All regions'!C738+"n/&gt;!zk"</f>
        <v>#VALUE!</v>
      </c>
      <c r="CT30" t="e">
        <f>'All regions'!D738+"n/&gt;!zl"</f>
        <v>#VALUE!</v>
      </c>
      <c r="CU30" t="e">
        <f>'All regions'!E738+"n/&gt;!zm"</f>
        <v>#VALUE!</v>
      </c>
      <c r="CV30" t="e">
        <f>'All regions'!F738+"n/&gt;!zn"</f>
        <v>#VALUE!</v>
      </c>
      <c r="CW30" t="e">
        <f>'All regions'!G738+"n/&gt;!zo"</f>
        <v>#VALUE!</v>
      </c>
      <c r="CX30" t="e">
        <f>'All regions'!H738+"n/&gt;!zp"</f>
        <v>#VALUE!</v>
      </c>
      <c r="CY30" t="e">
        <f>'All regions'!I738+"n/&gt;!zq"</f>
        <v>#VALUE!</v>
      </c>
      <c r="CZ30" t="e">
        <f>'All regions'!J738+"n/&gt;!zr"</f>
        <v>#VALUE!</v>
      </c>
      <c r="DA30" t="e">
        <f>'All regions'!A739+"n/&gt;!zs"</f>
        <v>#VALUE!</v>
      </c>
      <c r="DB30" t="e">
        <f>'All regions'!B739+"n/&gt;!zt"</f>
        <v>#VALUE!</v>
      </c>
      <c r="DC30" t="e">
        <f>'All regions'!C739+"n/&gt;!zu"</f>
        <v>#VALUE!</v>
      </c>
      <c r="DD30" t="e">
        <f>'All regions'!D739+"n/&gt;!zv"</f>
        <v>#VALUE!</v>
      </c>
      <c r="DE30" t="e">
        <f>'All regions'!E739+"n/&gt;!zw"</f>
        <v>#VALUE!</v>
      </c>
      <c r="DF30" t="e">
        <f>'All regions'!F739+"n/&gt;!zx"</f>
        <v>#VALUE!</v>
      </c>
      <c r="DG30" t="e">
        <f>'All regions'!G739+"n/&gt;!zy"</f>
        <v>#VALUE!</v>
      </c>
      <c r="DH30" t="e">
        <f>'All regions'!H739+"n/&gt;!zz"</f>
        <v>#VALUE!</v>
      </c>
      <c r="DI30" t="e">
        <f>'All regions'!I739+"n/&gt;!z{"</f>
        <v>#VALUE!</v>
      </c>
      <c r="DJ30" t="e">
        <f>'All regions'!J739+"n/&gt;!z|"</f>
        <v>#VALUE!</v>
      </c>
      <c r="DK30" t="e">
        <f>'All regions'!A740+"n/&gt;!z}"</f>
        <v>#VALUE!</v>
      </c>
      <c r="DL30" t="e">
        <f>'All regions'!B740+"n/&gt;!z~"</f>
        <v>#VALUE!</v>
      </c>
      <c r="DM30" t="e">
        <f>'All regions'!C740+"n/&gt;!{#"</f>
        <v>#VALUE!</v>
      </c>
      <c r="DN30" t="e">
        <f>'All regions'!D740+"n/&gt;!{$"</f>
        <v>#VALUE!</v>
      </c>
      <c r="DO30" t="e">
        <f>'All regions'!E740+"n/&gt;!{%"</f>
        <v>#VALUE!</v>
      </c>
      <c r="DP30" t="e">
        <f>'All regions'!F740+"n/&gt;!{&amp;"</f>
        <v>#VALUE!</v>
      </c>
      <c r="DQ30" t="e">
        <f>'All regions'!G740+"n/&gt;!{'"</f>
        <v>#VALUE!</v>
      </c>
      <c r="DR30" t="e">
        <f>'All regions'!H740+"n/&gt;!{("</f>
        <v>#VALUE!</v>
      </c>
      <c r="DS30" t="e">
        <f>'All regions'!I740+"n/&gt;!{)"</f>
        <v>#VALUE!</v>
      </c>
      <c r="DT30" t="e">
        <f>'All regions'!J740+"n/&gt;!{."</f>
        <v>#VALUE!</v>
      </c>
      <c r="DU30" t="e">
        <f>'All regions'!A741+"n/&gt;!{/"</f>
        <v>#VALUE!</v>
      </c>
      <c r="DV30" t="e">
        <f>'All regions'!B741+"n/&gt;!{0"</f>
        <v>#VALUE!</v>
      </c>
      <c r="DW30" t="e">
        <f>'All regions'!C741+"n/&gt;!{1"</f>
        <v>#VALUE!</v>
      </c>
      <c r="DX30" t="e">
        <f>'All regions'!D741+"n/&gt;!{2"</f>
        <v>#VALUE!</v>
      </c>
      <c r="DY30" t="e">
        <f>'All regions'!E741+"n/&gt;!{3"</f>
        <v>#VALUE!</v>
      </c>
      <c r="DZ30" t="e">
        <f>'All regions'!F741+"n/&gt;!{4"</f>
        <v>#VALUE!</v>
      </c>
      <c r="EA30" t="e">
        <f>'All regions'!G741+"n/&gt;!{5"</f>
        <v>#VALUE!</v>
      </c>
      <c r="EB30" t="e">
        <f>'All regions'!H741+"n/&gt;!{6"</f>
        <v>#VALUE!</v>
      </c>
      <c r="EC30" t="e">
        <f>'All regions'!I741+"n/&gt;!{7"</f>
        <v>#VALUE!</v>
      </c>
      <c r="ED30" t="e">
        <f>'All regions'!J741+"n/&gt;!{8"</f>
        <v>#VALUE!</v>
      </c>
      <c r="EE30" t="e">
        <f>'All regions'!A742+"n/&gt;!{9"</f>
        <v>#VALUE!</v>
      </c>
      <c r="EF30" t="e">
        <f>'All regions'!B742+"n/&gt;!{:"</f>
        <v>#VALUE!</v>
      </c>
      <c r="EG30" t="e">
        <f>'All regions'!C742+"n/&gt;!{;"</f>
        <v>#VALUE!</v>
      </c>
      <c r="EH30" t="e">
        <f>'All regions'!D742+"n/&gt;!{&lt;"</f>
        <v>#VALUE!</v>
      </c>
      <c r="EI30" t="e">
        <f>'All regions'!E742+"n/&gt;!{="</f>
        <v>#VALUE!</v>
      </c>
      <c r="EJ30" t="e">
        <f>'All regions'!F742+"n/&gt;!{&gt;"</f>
        <v>#VALUE!</v>
      </c>
      <c r="EK30" t="e">
        <f>'All regions'!G742+"n/&gt;!{?"</f>
        <v>#VALUE!</v>
      </c>
      <c r="EL30" t="e">
        <f>'All regions'!H742+"n/&gt;!{@"</f>
        <v>#VALUE!</v>
      </c>
      <c r="EM30" t="e">
        <f>'All regions'!I742+"n/&gt;!{A"</f>
        <v>#VALUE!</v>
      </c>
      <c r="EN30" t="e">
        <f>'All regions'!J742+"n/&gt;!{B"</f>
        <v>#VALUE!</v>
      </c>
      <c r="EO30" t="e">
        <f>'All regions'!A743+"n/&gt;!{C"</f>
        <v>#VALUE!</v>
      </c>
      <c r="EP30" t="e">
        <f>'All regions'!B743+"n/&gt;!{D"</f>
        <v>#VALUE!</v>
      </c>
      <c r="EQ30" t="e">
        <f>'All regions'!C743+"n/&gt;!{E"</f>
        <v>#VALUE!</v>
      </c>
      <c r="ER30" t="e">
        <f>'All regions'!D743+"n/&gt;!{F"</f>
        <v>#VALUE!</v>
      </c>
      <c r="ES30" t="e">
        <f>'All regions'!E743+"n/&gt;!{G"</f>
        <v>#VALUE!</v>
      </c>
      <c r="ET30" t="e">
        <f>'All regions'!F743+"n/&gt;!{H"</f>
        <v>#VALUE!</v>
      </c>
      <c r="EU30" t="e">
        <f>'All regions'!G743+"n/&gt;!{I"</f>
        <v>#VALUE!</v>
      </c>
      <c r="EV30" t="e">
        <f>'All regions'!H743+"n/&gt;!{J"</f>
        <v>#VALUE!</v>
      </c>
      <c r="EW30" t="e">
        <f>'All regions'!I743+"n/&gt;!{K"</f>
        <v>#VALUE!</v>
      </c>
      <c r="EX30" t="e">
        <f>'All regions'!J743+"n/&gt;!{L"</f>
        <v>#VALUE!</v>
      </c>
      <c r="EY30" t="e">
        <f>'All regions'!A744+"n/&gt;!{M"</f>
        <v>#VALUE!</v>
      </c>
      <c r="EZ30" t="e">
        <f>'All regions'!B744+"n/&gt;!{N"</f>
        <v>#VALUE!</v>
      </c>
      <c r="FA30" t="e">
        <f>'All regions'!C744+"n/&gt;!{O"</f>
        <v>#VALUE!</v>
      </c>
      <c r="FB30" t="e">
        <f>'All regions'!D744+"n/&gt;!{P"</f>
        <v>#VALUE!</v>
      </c>
      <c r="FC30" t="e">
        <f>'All regions'!E744+"n/&gt;!{Q"</f>
        <v>#VALUE!</v>
      </c>
      <c r="FD30" t="e">
        <f>'All regions'!F744+"n/&gt;!{R"</f>
        <v>#VALUE!</v>
      </c>
      <c r="FE30" t="e">
        <f>'All regions'!G744+"n/&gt;!{S"</f>
        <v>#VALUE!</v>
      </c>
      <c r="FF30" t="e">
        <f>'All regions'!H744+"n/&gt;!{T"</f>
        <v>#VALUE!</v>
      </c>
      <c r="FG30" t="e">
        <f>'All regions'!I744+"n/&gt;!{U"</f>
        <v>#VALUE!</v>
      </c>
      <c r="FH30" t="e">
        <f>'All regions'!J744+"n/&gt;!{V"</f>
        <v>#VALUE!</v>
      </c>
      <c r="FI30" t="e">
        <f>'All regions'!A745+"n/&gt;!{W"</f>
        <v>#VALUE!</v>
      </c>
      <c r="FJ30" t="e">
        <f>'All regions'!B745+"n/&gt;!{X"</f>
        <v>#VALUE!</v>
      </c>
      <c r="FK30" t="e">
        <f>'All regions'!C745+"n/&gt;!{Y"</f>
        <v>#VALUE!</v>
      </c>
      <c r="FL30" t="e">
        <f>'All regions'!D745+"n/&gt;!{Z"</f>
        <v>#VALUE!</v>
      </c>
      <c r="FM30" t="e">
        <f>'All regions'!E745+"n/&gt;!{["</f>
        <v>#VALUE!</v>
      </c>
      <c r="FN30" t="e">
        <f>'All regions'!F745+"n/&gt;!{\"</f>
        <v>#VALUE!</v>
      </c>
      <c r="FO30" t="e">
        <f>'All regions'!G745+"n/&gt;!{]"</f>
        <v>#VALUE!</v>
      </c>
      <c r="FP30" t="e">
        <f>'All regions'!H745+"n/&gt;!{^"</f>
        <v>#VALUE!</v>
      </c>
      <c r="FQ30" t="e">
        <f>'All regions'!I745+"n/&gt;!{_"</f>
        <v>#VALUE!</v>
      </c>
      <c r="FR30" t="e">
        <f>'All regions'!J745+"n/&gt;!{`"</f>
        <v>#VALUE!</v>
      </c>
      <c r="FS30" t="e">
        <f>'All regions'!A746+"n/&gt;!{a"</f>
        <v>#VALUE!</v>
      </c>
      <c r="FT30" t="e">
        <f>'All regions'!B746+"n/&gt;!{b"</f>
        <v>#VALUE!</v>
      </c>
      <c r="FU30" t="e">
        <f>'All regions'!C746+"n/&gt;!{c"</f>
        <v>#VALUE!</v>
      </c>
      <c r="FV30" t="e">
        <f>'All regions'!D746+"n/&gt;!{d"</f>
        <v>#VALUE!</v>
      </c>
      <c r="FW30" t="e">
        <f>'All regions'!E746+"n/&gt;!{e"</f>
        <v>#VALUE!</v>
      </c>
      <c r="FX30" t="e">
        <f>'All regions'!F746+"n/&gt;!{f"</f>
        <v>#VALUE!</v>
      </c>
      <c r="FY30" t="e">
        <f>'All regions'!G746+"n/&gt;!{g"</f>
        <v>#VALUE!</v>
      </c>
      <c r="FZ30" t="e">
        <f>'All regions'!H746+"n/&gt;!{h"</f>
        <v>#VALUE!</v>
      </c>
      <c r="GA30" t="e">
        <f>'All regions'!I746+"n/&gt;!{i"</f>
        <v>#VALUE!</v>
      </c>
      <c r="GB30" t="e">
        <f>'All regions'!J746+"n/&gt;!{j"</f>
        <v>#VALUE!</v>
      </c>
      <c r="GC30" t="e">
        <f>'All regions'!A747+"n/&gt;!{k"</f>
        <v>#VALUE!</v>
      </c>
      <c r="GD30" t="e">
        <f>'All regions'!B747+"n/&gt;!{l"</f>
        <v>#VALUE!</v>
      </c>
      <c r="GE30" t="e">
        <f>'All regions'!C747+"n/&gt;!{m"</f>
        <v>#VALUE!</v>
      </c>
      <c r="GF30" t="e">
        <f>'All regions'!D747+"n/&gt;!{n"</f>
        <v>#VALUE!</v>
      </c>
      <c r="GG30" t="e">
        <f>'All regions'!E747+"n/&gt;!{o"</f>
        <v>#VALUE!</v>
      </c>
      <c r="GH30" t="e">
        <f>'All regions'!F747+"n/&gt;!{p"</f>
        <v>#VALUE!</v>
      </c>
      <c r="GI30" t="e">
        <f>'All regions'!G747+"n/&gt;!{q"</f>
        <v>#VALUE!</v>
      </c>
      <c r="GJ30" t="e">
        <f>'All regions'!H747+"n/&gt;!{r"</f>
        <v>#VALUE!</v>
      </c>
      <c r="GK30" t="e">
        <f>'All regions'!I747+"n/&gt;!{s"</f>
        <v>#VALUE!</v>
      </c>
      <c r="GL30" t="e">
        <f>'All regions'!J747+"n/&gt;!{t"</f>
        <v>#VALUE!</v>
      </c>
      <c r="GM30" t="e">
        <f>'All regions'!A748+"n/&gt;!{u"</f>
        <v>#VALUE!</v>
      </c>
      <c r="GN30" t="e">
        <f>'All regions'!B748+"n/&gt;!{v"</f>
        <v>#VALUE!</v>
      </c>
      <c r="GO30" t="e">
        <f>'All regions'!C748+"n/&gt;!{w"</f>
        <v>#VALUE!</v>
      </c>
      <c r="GP30" t="e">
        <f>'All regions'!D748+"n/&gt;!{x"</f>
        <v>#VALUE!</v>
      </c>
      <c r="GQ30" t="e">
        <f>'All regions'!E748+"n/&gt;!{y"</f>
        <v>#VALUE!</v>
      </c>
      <c r="GR30" t="e">
        <f>'All regions'!F748+"n/&gt;!{z"</f>
        <v>#VALUE!</v>
      </c>
      <c r="GS30" t="e">
        <f>'All regions'!G748+"n/&gt;!{{"</f>
        <v>#VALUE!</v>
      </c>
      <c r="GT30" t="e">
        <f>'All regions'!H748+"n/&gt;!{|"</f>
        <v>#VALUE!</v>
      </c>
      <c r="GU30" t="e">
        <f>'All regions'!I748+"n/&gt;!{}"</f>
        <v>#VALUE!</v>
      </c>
      <c r="GV30" t="e">
        <f>'All regions'!J748+"n/&gt;!{~"</f>
        <v>#VALUE!</v>
      </c>
      <c r="GW30" t="e">
        <f>'All regions'!A749+"n/&gt;!|#"</f>
        <v>#VALUE!</v>
      </c>
      <c r="GX30" t="e">
        <f>'All regions'!B749+"n/&gt;!|$"</f>
        <v>#VALUE!</v>
      </c>
      <c r="GY30" t="e">
        <f>'All regions'!C749+"n/&gt;!|%"</f>
        <v>#VALUE!</v>
      </c>
      <c r="GZ30" t="e">
        <f>'All regions'!D749+"n/&gt;!|&amp;"</f>
        <v>#VALUE!</v>
      </c>
      <c r="HA30" t="e">
        <f>'All regions'!E749+"n/&gt;!|'"</f>
        <v>#VALUE!</v>
      </c>
      <c r="HB30" t="e">
        <f>'All regions'!F749+"n/&gt;!|("</f>
        <v>#VALUE!</v>
      </c>
      <c r="HC30" t="e">
        <f>'All regions'!G749+"n/&gt;!|)"</f>
        <v>#VALUE!</v>
      </c>
      <c r="HD30" t="e">
        <f>'All regions'!H749+"n/&gt;!|."</f>
        <v>#VALUE!</v>
      </c>
      <c r="HE30" t="e">
        <f>'All regions'!I749+"n/&gt;!|/"</f>
        <v>#VALUE!</v>
      </c>
      <c r="HF30" t="e">
        <f>'All regions'!J749+"n/&gt;!|0"</f>
        <v>#VALUE!</v>
      </c>
      <c r="HG30" t="e">
        <f>'All regions'!A750+"n/&gt;!|1"</f>
        <v>#VALUE!</v>
      </c>
      <c r="HH30" t="e">
        <f>'All regions'!B750+"n/&gt;!|2"</f>
        <v>#VALUE!</v>
      </c>
      <c r="HI30" t="e">
        <f>'All regions'!C750+"n/&gt;!|3"</f>
        <v>#VALUE!</v>
      </c>
      <c r="HJ30" t="e">
        <f>'All regions'!D750+"n/&gt;!|4"</f>
        <v>#VALUE!</v>
      </c>
      <c r="HK30" t="e">
        <f>'All regions'!E750+"n/&gt;!|5"</f>
        <v>#VALUE!</v>
      </c>
      <c r="HL30" t="e">
        <f>'All regions'!F750+"n/&gt;!|6"</f>
        <v>#VALUE!</v>
      </c>
      <c r="HM30" t="e">
        <f>'All regions'!G750+"n/&gt;!|7"</f>
        <v>#VALUE!</v>
      </c>
      <c r="HN30" t="e">
        <f>'All regions'!H750+"n/&gt;!|8"</f>
        <v>#VALUE!</v>
      </c>
      <c r="HO30" t="e">
        <f>'All regions'!I750+"n/&gt;!|9"</f>
        <v>#VALUE!</v>
      </c>
      <c r="HP30" t="e">
        <f>'All regions'!J750+"n/&gt;!|:"</f>
        <v>#VALUE!</v>
      </c>
      <c r="HQ30" t="e">
        <f>'All regions'!A751+"n/&gt;!|;"</f>
        <v>#VALUE!</v>
      </c>
      <c r="HR30" t="e">
        <f>'All regions'!B751+"n/&gt;!|&lt;"</f>
        <v>#VALUE!</v>
      </c>
      <c r="HS30" t="e">
        <f>'All regions'!C751+"n/&gt;!|="</f>
        <v>#VALUE!</v>
      </c>
      <c r="HT30" t="e">
        <f>'All regions'!D751+"n/&gt;!|&gt;"</f>
        <v>#VALUE!</v>
      </c>
      <c r="HU30" t="e">
        <f>'All regions'!E751+"n/&gt;!|?"</f>
        <v>#VALUE!</v>
      </c>
      <c r="HV30" t="e">
        <f>'All regions'!F751+"n/&gt;!|@"</f>
        <v>#VALUE!</v>
      </c>
      <c r="HW30" t="e">
        <f>'All regions'!G751+"n/&gt;!|A"</f>
        <v>#VALUE!</v>
      </c>
      <c r="HX30" t="e">
        <f>'All regions'!H751+"n/&gt;!|B"</f>
        <v>#VALUE!</v>
      </c>
      <c r="HY30" t="e">
        <f>'All regions'!I751+"n/&gt;!|C"</f>
        <v>#VALUE!</v>
      </c>
      <c r="HZ30" t="e">
        <f>'All regions'!J751+"n/&gt;!|D"</f>
        <v>#VALUE!</v>
      </c>
      <c r="IA30" t="e">
        <f>'All regions'!A752+"n/&gt;!|E"</f>
        <v>#VALUE!</v>
      </c>
      <c r="IB30" t="e">
        <f>'All regions'!B752+"n/&gt;!|F"</f>
        <v>#VALUE!</v>
      </c>
      <c r="IC30" t="e">
        <f>'All regions'!C752+"n/&gt;!|G"</f>
        <v>#VALUE!</v>
      </c>
      <c r="ID30" t="e">
        <f>'All regions'!D752+"n/&gt;!|H"</f>
        <v>#VALUE!</v>
      </c>
      <c r="IE30" t="e">
        <f>'All regions'!E752+"n/&gt;!|I"</f>
        <v>#VALUE!</v>
      </c>
      <c r="IF30" t="e">
        <f>'All regions'!F752+"n/&gt;!|J"</f>
        <v>#VALUE!</v>
      </c>
      <c r="IG30" t="e">
        <f>'All regions'!G752+"n/&gt;!|K"</f>
        <v>#VALUE!</v>
      </c>
      <c r="IH30" t="e">
        <f>'All regions'!H752+"n/&gt;!|L"</f>
        <v>#VALUE!</v>
      </c>
      <c r="II30" t="e">
        <f>'All regions'!I752+"n/&gt;!|M"</f>
        <v>#VALUE!</v>
      </c>
      <c r="IJ30" t="e">
        <f>'All regions'!J752+"n/&gt;!|N"</f>
        <v>#VALUE!</v>
      </c>
      <c r="IK30" t="e">
        <f>'All regions'!A753+"n/&gt;!|O"</f>
        <v>#VALUE!</v>
      </c>
      <c r="IL30" t="e">
        <f>'All regions'!B753+"n/&gt;!|P"</f>
        <v>#VALUE!</v>
      </c>
      <c r="IM30" t="e">
        <f>'All regions'!C753+"n/&gt;!|Q"</f>
        <v>#VALUE!</v>
      </c>
      <c r="IN30" t="e">
        <f>'All regions'!D753+"n/&gt;!|R"</f>
        <v>#VALUE!</v>
      </c>
      <c r="IO30" t="e">
        <f>'All regions'!E753+"n/&gt;!|S"</f>
        <v>#VALUE!</v>
      </c>
      <c r="IP30" t="e">
        <f>'All regions'!F753+"n/&gt;!|T"</f>
        <v>#VALUE!</v>
      </c>
      <c r="IQ30" t="e">
        <f>'All regions'!G753+"n/&gt;!|U"</f>
        <v>#VALUE!</v>
      </c>
      <c r="IR30" t="e">
        <f>'All regions'!H753+"n/&gt;!|V"</f>
        <v>#VALUE!</v>
      </c>
      <c r="IS30" t="e">
        <f>'All regions'!I753+"n/&gt;!|W"</f>
        <v>#VALUE!</v>
      </c>
      <c r="IT30" t="e">
        <f>'All regions'!J753+"n/&gt;!|X"</f>
        <v>#VALUE!</v>
      </c>
      <c r="IU30" t="e">
        <f>'All regions'!A754+"n/&gt;!|Y"</f>
        <v>#VALUE!</v>
      </c>
      <c r="IV30" t="e">
        <f>'All regions'!B754+"n/&gt;!|Z"</f>
        <v>#VALUE!</v>
      </c>
    </row>
    <row r="31" spans="6:256" x14ac:dyDescent="0.35">
      <c r="F31" t="e">
        <f>'All regions'!C754+"n/&gt;!|["</f>
        <v>#VALUE!</v>
      </c>
      <c r="G31" t="e">
        <f>'All regions'!D754+"n/&gt;!|\"</f>
        <v>#VALUE!</v>
      </c>
      <c r="H31" t="e">
        <f>'All regions'!E754+"n/&gt;!|]"</f>
        <v>#VALUE!</v>
      </c>
      <c r="I31" t="e">
        <f>'All regions'!F754+"n/&gt;!|^"</f>
        <v>#VALUE!</v>
      </c>
      <c r="J31" t="e">
        <f>'All regions'!G754+"n/&gt;!|_"</f>
        <v>#VALUE!</v>
      </c>
      <c r="K31" t="e">
        <f>'All regions'!H754+"n/&gt;!|`"</f>
        <v>#VALUE!</v>
      </c>
      <c r="L31" t="e">
        <f>'All regions'!I754+"n/&gt;!|a"</f>
        <v>#VALUE!</v>
      </c>
      <c r="M31" t="e">
        <f>'All regions'!J754+"n/&gt;!|b"</f>
        <v>#VALUE!</v>
      </c>
      <c r="N31" t="e">
        <f>'All regions'!A755+"n/&gt;!|c"</f>
        <v>#VALUE!</v>
      </c>
      <c r="O31" t="e">
        <f>'All regions'!B755+"n/&gt;!|d"</f>
        <v>#VALUE!</v>
      </c>
      <c r="P31" t="e">
        <f>'All regions'!C755+"n/&gt;!|e"</f>
        <v>#VALUE!</v>
      </c>
      <c r="Q31" t="e">
        <f>'All regions'!D755+"n/&gt;!|f"</f>
        <v>#VALUE!</v>
      </c>
      <c r="R31" t="e">
        <f>'All regions'!E755+"n/&gt;!|g"</f>
        <v>#VALUE!</v>
      </c>
      <c r="S31" t="e">
        <f>'All regions'!F755+"n/&gt;!|h"</f>
        <v>#VALUE!</v>
      </c>
      <c r="T31" t="e">
        <f>'All regions'!G755+"n/&gt;!|i"</f>
        <v>#VALUE!</v>
      </c>
      <c r="U31" t="e">
        <f>'All regions'!H755+"n/&gt;!|j"</f>
        <v>#VALUE!</v>
      </c>
      <c r="V31" t="e">
        <f>'All regions'!I755+"n/&gt;!|k"</f>
        <v>#VALUE!</v>
      </c>
      <c r="W31" t="e">
        <f>'All regions'!J755+"n/&gt;!|l"</f>
        <v>#VALUE!</v>
      </c>
      <c r="X31" t="e">
        <f>'All regions'!A756+"n/&gt;!|m"</f>
        <v>#VALUE!</v>
      </c>
      <c r="Y31" t="e">
        <f>'All regions'!B756+"n/&gt;!|n"</f>
        <v>#VALUE!</v>
      </c>
      <c r="Z31" t="e">
        <f>'All regions'!C756+"n/&gt;!|o"</f>
        <v>#VALUE!</v>
      </c>
      <c r="AA31" t="e">
        <f>'All regions'!D756+"n/&gt;!|p"</f>
        <v>#VALUE!</v>
      </c>
      <c r="AB31" t="e">
        <f>'All regions'!E756+"n/&gt;!|q"</f>
        <v>#VALUE!</v>
      </c>
      <c r="AC31" t="e">
        <f>'All regions'!F756+"n/&gt;!|r"</f>
        <v>#VALUE!</v>
      </c>
      <c r="AD31" t="e">
        <f>'All regions'!G756+"n/&gt;!|s"</f>
        <v>#VALUE!</v>
      </c>
      <c r="AE31" t="e">
        <f>'All regions'!H756+"n/&gt;!|t"</f>
        <v>#VALUE!</v>
      </c>
      <c r="AF31" t="e">
        <f>'All regions'!I756+"n/&gt;!|u"</f>
        <v>#VALUE!</v>
      </c>
      <c r="AG31" t="e">
        <f>'All regions'!J756+"n/&gt;!|v"</f>
        <v>#VALUE!</v>
      </c>
      <c r="AH31" t="e">
        <f>'All regions'!A757+"n/&gt;!|w"</f>
        <v>#VALUE!</v>
      </c>
      <c r="AI31" t="e">
        <f>'All regions'!B757+"n/&gt;!|x"</f>
        <v>#VALUE!</v>
      </c>
      <c r="AJ31" t="e">
        <f>'All regions'!C757+"n/&gt;!|y"</f>
        <v>#VALUE!</v>
      </c>
      <c r="AK31" t="e">
        <f>'All regions'!D757+"n/&gt;!|z"</f>
        <v>#VALUE!</v>
      </c>
      <c r="AL31" t="e">
        <f>'All regions'!E757+"n/&gt;!|{"</f>
        <v>#VALUE!</v>
      </c>
      <c r="AM31" t="e">
        <f>'All regions'!F757+"n/&gt;!||"</f>
        <v>#VALUE!</v>
      </c>
      <c r="AN31" t="e">
        <f>'All regions'!G757+"n/&gt;!|}"</f>
        <v>#VALUE!</v>
      </c>
      <c r="AO31" t="e">
        <f>'All regions'!H757+"n/&gt;!|~"</f>
        <v>#VALUE!</v>
      </c>
      <c r="AP31" t="e">
        <f>'All regions'!I757+"n/&gt;!}#"</f>
        <v>#VALUE!</v>
      </c>
      <c r="AQ31" t="e">
        <f>'All regions'!J757+"n/&gt;!}$"</f>
        <v>#VALUE!</v>
      </c>
      <c r="AR31" t="e">
        <f>'All regions'!A758+"n/&gt;!}%"</f>
        <v>#VALUE!</v>
      </c>
      <c r="AS31" t="e">
        <f>'All regions'!B758+"n/&gt;!}&amp;"</f>
        <v>#VALUE!</v>
      </c>
      <c r="AT31" t="e">
        <f>'All regions'!C758+"n/&gt;!}'"</f>
        <v>#VALUE!</v>
      </c>
      <c r="AU31" t="e">
        <f>'All regions'!D758+"n/&gt;!}("</f>
        <v>#VALUE!</v>
      </c>
      <c r="AV31" t="e">
        <f>'All regions'!E758+"n/&gt;!})"</f>
        <v>#VALUE!</v>
      </c>
      <c r="AW31" t="e">
        <f>'All regions'!F758+"n/&gt;!}."</f>
        <v>#VALUE!</v>
      </c>
      <c r="AX31" t="e">
        <f>'All regions'!G758+"n/&gt;!}/"</f>
        <v>#VALUE!</v>
      </c>
      <c r="AY31" t="e">
        <f>'All regions'!H758+"n/&gt;!}0"</f>
        <v>#VALUE!</v>
      </c>
      <c r="AZ31" t="e">
        <f>'All regions'!I758+"n/&gt;!}1"</f>
        <v>#VALUE!</v>
      </c>
      <c r="BA31" t="e">
        <f>'All regions'!J758+"n/&gt;!}2"</f>
        <v>#VALUE!</v>
      </c>
      <c r="BB31" t="e">
        <f>'All regions'!A759+"n/&gt;!}3"</f>
        <v>#VALUE!</v>
      </c>
      <c r="BC31" t="e">
        <f>'All regions'!B759+"n/&gt;!}4"</f>
        <v>#VALUE!</v>
      </c>
      <c r="BD31" t="e">
        <f>'All regions'!C759+"n/&gt;!}5"</f>
        <v>#VALUE!</v>
      </c>
      <c r="BE31" t="e">
        <f>'All regions'!D759+"n/&gt;!}6"</f>
        <v>#VALUE!</v>
      </c>
      <c r="BF31" t="e">
        <f>'All regions'!E759+"n/&gt;!}7"</f>
        <v>#VALUE!</v>
      </c>
      <c r="BG31" t="e">
        <f>'All regions'!F759+"n/&gt;!}8"</f>
        <v>#VALUE!</v>
      </c>
      <c r="BH31" t="e">
        <f>'All regions'!G759+"n/&gt;!}9"</f>
        <v>#VALUE!</v>
      </c>
      <c r="BI31" t="e">
        <f>'All regions'!H759+"n/&gt;!}:"</f>
        <v>#VALUE!</v>
      </c>
      <c r="BJ31" t="e">
        <f>'All regions'!I759+"n/&gt;!};"</f>
        <v>#VALUE!</v>
      </c>
      <c r="BK31" t="e">
        <f>'All regions'!J759+"n/&gt;!}&lt;"</f>
        <v>#VALUE!</v>
      </c>
      <c r="BL31" t="e">
        <f>'All regions'!A760+"n/&gt;!}="</f>
        <v>#VALUE!</v>
      </c>
      <c r="BM31" t="e">
        <f>'All regions'!B760+"n/&gt;!}&gt;"</f>
        <v>#VALUE!</v>
      </c>
      <c r="BN31" t="e">
        <f>'All regions'!C760+"n/&gt;!}?"</f>
        <v>#VALUE!</v>
      </c>
      <c r="BO31" t="e">
        <f>'All regions'!D760+"n/&gt;!}@"</f>
        <v>#VALUE!</v>
      </c>
      <c r="BP31" t="e">
        <f>'All regions'!E760+"n/&gt;!}A"</f>
        <v>#VALUE!</v>
      </c>
      <c r="BQ31" t="e">
        <f>'All regions'!F760+"n/&gt;!}B"</f>
        <v>#VALUE!</v>
      </c>
      <c r="BR31" t="e">
        <f>'All regions'!G760+"n/&gt;!}C"</f>
        <v>#VALUE!</v>
      </c>
      <c r="BS31" t="e">
        <f>'All regions'!H760+"n/&gt;!}D"</f>
        <v>#VALUE!</v>
      </c>
      <c r="BT31" t="e">
        <f>'All regions'!I760+"n/&gt;!}E"</f>
        <v>#VALUE!</v>
      </c>
      <c r="BU31" t="e">
        <f>'All regions'!J760+"n/&gt;!}F"</f>
        <v>#VALUE!</v>
      </c>
      <c r="BV31" t="e">
        <f>'All regions'!A761+"n/&gt;!}G"</f>
        <v>#VALUE!</v>
      </c>
      <c r="BW31" t="e">
        <f>'All regions'!B761+"n/&gt;!}H"</f>
        <v>#VALUE!</v>
      </c>
      <c r="BX31" t="e">
        <f>'All regions'!C761+"n/&gt;!}I"</f>
        <v>#VALUE!</v>
      </c>
      <c r="BY31" t="e">
        <f>'All regions'!D761+"n/&gt;!}J"</f>
        <v>#VALUE!</v>
      </c>
      <c r="BZ31" t="e">
        <f>'All regions'!E761+"n/&gt;!}K"</f>
        <v>#VALUE!</v>
      </c>
      <c r="CA31" t="e">
        <f>'All regions'!F761+"n/&gt;!}L"</f>
        <v>#VALUE!</v>
      </c>
      <c r="CB31" t="e">
        <f>'All regions'!G761+"n/&gt;!}M"</f>
        <v>#VALUE!</v>
      </c>
      <c r="CC31" t="e">
        <f>'All regions'!H761+"n/&gt;!}N"</f>
        <v>#VALUE!</v>
      </c>
      <c r="CD31" t="e">
        <f>'All regions'!I761+"n/&gt;!}O"</f>
        <v>#VALUE!</v>
      </c>
      <c r="CE31" t="e">
        <f>'All regions'!J761+"n/&gt;!}P"</f>
        <v>#VALUE!</v>
      </c>
      <c r="CF31" t="e">
        <f>'All regions'!A762+"n/&gt;!}Q"</f>
        <v>#VALUE!</v>
      </c>
      <c r="CG31" t="e">
        <f>'All regions'!B762+"n/&gt;!}R"</f>
        <v>#VALUE!</v>
      </c>
      <c r="CH31" t="e">
        <f>'All regions'!C762+"n/&gt;!}S"</f>
        <v>#VALUE!</v>
      </c>
      <c r="CI31" t="e">
        <f>'All regions'!D762+"n/&gt;!}T"</f>
        <v>#VALUE!</v>
      </c>
      <c r="CJ31" t="e">
        <f>'All regions'!E762+"n/&gt;!}U"</f>
        <v>#VALUE!</v>
      </c>
      <c r="CK31" t="e">
        <f>'All regions'!F762+"n/&gt;!}V"</f>
        <v>#VALUE!</v>
      </c>
      <c r="CL31" t="e">
        <f>'All regions'!G762+"n/&gt;!}W"</f>
        <v>#VALUE!</v>
      </c>
      <c r="CM31" t="e">
        <f>'All regions'!H762+"n/&gt;!}X"</f>
        <v>#VALUE!</v>
      </c>
      <c r="CN31" t="e">
        <f>'All regions'!I762+"n/&gt;!}Y"</f>
        <v>#VALUE!</v>
      </c>
      <c r="CO31" t="e">
        <f>'All regions'!J762+"n/&gt;!}Z"</f>
        <v>#VALUE!</v>
      </c>
      <c r="CP31" t="e">
        <f>'All regions'!A763+"n/&gt;!}["</f>
        <v>#VALUE!</v>
      </c>
      <c r="CQ31" t="e">
        <f>'All regions'!B763+"n/&gt;!}\"</f>
        <v>#VALUE!</v>
      </c>
      <c r="CR31" t="e">
        <f>'All regions'!C763+"n/&gt;!}]"</f>
        <v>#VALUE!</v>
      </c>
      <c r="CS31" t="e">
        <f>'All regions'!D763+"n/&gt;!}^"</f>
        <v>#VALUE!</v>
      </c>
      <c r="CT31" t="e">
        <f>'All regions'!E763+"n/&gt;!}_"</f>
        <v>#VALUE!</v>
      </c>
      <c r="CU31" t="e">
        <f>'All regions'!F763+"n/&gt;!}`"</f>
        <v>#VALUE!</v>
      </c>
      <c r="CV31" t="e">
        <f>'All regions'!G763+"n/&gt;!}a"</f>
        <v>#VALUE!</v>
      </c>
      <c r="CW31" t="e">
        <f>'All regions'!H763+"n/&gt;!}b"</f>
        <v>#VALUE!</v>
      </c>
      <c r="CX31" t="e">
        <f>'All regions'!I763+"n/&gt;!}c"</f>
        <v>#VALUE!</v>
      </c>
      <c r="CY31" t="e">
        <f>'All regions'!J763+"n/&gt;!}d"</f>
        <v>#VALUE!</v>
      </c>
      <c r="CZ31" t="e">
        <f>'All regions'!A764+"n/&gt;!}e"</f>
        <v>#VALUE!</v>
      </c>
      <c r="DA31" t="e">
        <f>'All regions'!B764+"n/&gt;!}f"</f>
        <v>#VALUE!</v>
      </c>
      <c r="DB31" t="e">
        <f>'All regions'!C764+"n/&gt;!}g"</f>
        <v>#VALUE!</v>
      </c>
      <c r="DC31" t="e">
        <f>'All regions'!D764+"n/&gt;!}h"</f>
        <v>#VALUE!</v>
      </c>
      <c r="DD31" t="e">
        <f>'All regions'!E764+"n/&gt;!}i"</f>
        <v>#VALUE!</v>
      </c>
      <c r="DE31" t="e">
        <f>'All regions'!F764+"n/&gt;!}j"</f>
        <v>#VALUE!</v>
      </c>
      <c r="DF31" t="e">
        <f>'All regions'!G764+"n/&gt;!}k"</f>
        <v>#VALUE!</v>
      </c>
      <c r="DG31" t="e">
        <f>'All regions'!H764+"n/&gt;!}l"</f>
        <v>#VALUE!</v>
      </c>
      <c r="DH31" t="e">
        <f>'All regions'!I764+"n/&gt;!}m"</f>
        <v>#VALUE!</v>
      </c>
      <c r="DI31" t="e">
        <f>'All regions'!J764+"n/&gt;!}n"</f>
        <v>#VALUE!</v>
      </c>
      <c r="DJ31" t="e">
        <f>'All regions'!A765+"n/&gt;!}o"</f>
        <v>#VALUE!</v>
      </c>
      <c r="DK31" t="e">
        <f>'All regions'!B765+"n/&gt;!}p"</f>
        <v>#VALUE!</v>
      </c>
      <c r="DL31" t="e">
        <f>'All regions'!C765+"n/&gt;!}q"</f>
        <v>#VALUE!</v>
      </c>
      <c r="DM31" t="e">
        <f>'All regions'!D765+"n/&gt;!}r"</f>
        <v>#VALUE!</v>
      </c>
      <c r="DN31" t="e">
        <f>'All regions'!E765+"n/&gt;!}s"</f>
        <v>#VALUE!</v>
      </c>
      <c r="DO31" t="e">
        <f>'All regions'!F765+"n/&gt;!}t"</f>
        <v>#VALUE!</v>
      </c>
      <c r="DP31" t="e">
        <f>'All regions'!G765+"n/&gt;!}u"</f>
        <v>#VALUE!</v>
      </c>
      <c r="DQ31" t="e">
        <f>'All regions'!H765+"n/&gt;!}v"</f>
        <v>#VALUE!</v>
      </c>
      <c r="DR31" t="e">
        <f>'All regions'!I765+"n/&gt;!}w"</f>
        <v>#VALUE!</v>
      </c>
      <c r="DS31" t="e">
        <f>'All regions'!J765+"n/&gt;!}x"</f>
        <v>#VALUE!</v>
      </c>
      <c r="DT31" t="e">
        <f>'All regions'!A766+"n/&gt;!}y"</f>
        <v>#VALUE!</v>
      </c>
      <c r="DU31" t="e">
        <f>'All regions'!B766+"n/&gt;!}z"</f>
        <v>#VALUE!</v>
      </c>
      <c r="DV31" t="e">
        <f>'All regions'!C766+"n/&gt;!}{"</f>
        <v>#VALUE!</v>
      </c>
      <c r="DW31" t="e">
        <f>'All regions'!D766+"n/&gt;!}|"</f>
        <v>#VALUE!</v>
      </c>
      <c r="DX31" t="e">
        <f>'All regions'!E766+"n/&gt;!}}"</f>
        <v>#VALUE!</v>
      </c>
      <c r="DY31" t="e">
        <f>'All regions'!F766+"n/&gt;!}~"</f>
        <v>#VALUE!</v>
      </c>
      <c r="DZ31" t="e">
        <f>'All regions'!G766+"n/&gt;!~#"</f>
        <v>#VALUE!</v>
      </c>
      <c r="EA31" t="e">
        <f>'All regions'!H766+"n/&gt;!~$"</f>
        <v>#VALUE!</v>
      </c>
      <c r="EB31" t="e">
        <f>'All regions'!I766+"n/&gt;!~%"</f>
        <v>#VALUE!</v>
      </c>
      <c r="EC31" t="e">
        <f>'All regions'!J766+"n/&gt;!~&amp;"</f>
        <v>#VALUE!</v>
      </c>
      <c r="ED31" t="e">
        <f>'All regions'!A767+"n/&gt;!~'"</f>
        <v>#VALUE!</v>
      </c>
      <c r="EE31" t="e">
        <f>'All regions'!B767+"n/&gt;!~("</f>
        <v>#VALUE!</v>
      </c>
      <c r="EF31" t="e">
        <f>'All regions'!C767+"n/&gt;!~)"</f>
        <v>#VALUE!</v>
      </c>
      <c r="EG31" t="e">
        <f>'All regions'!D767+"n/&gt;!~."</f>
        <v>#VALUE!</v>
      </c>
      <c r="EH31" t="e">
        <f>'All regions'!E767+"n/&gt;!~/"</f>
        <v>#VALUE!</v>
      </c>
      <c r="EI31" t="e">
        <f>'All regions'!F767+"n/&gt;!~0"</f>
        <v>#VALUE!</v>
      </c>
      <c r="EJ31" t="e">
        <f>'All regions'!G767+"n/&gt;!~1"</f>
        <v>#VALUE!</v>
      </c>
      <c r="EK31" t="e">
        <f>'All regions'!H767+"n/&gt;!~2"</f>
        <v>#VALUE!</v>
      </c>
      <c r="EL31" t="e">
        <f>'All regions'!I767+"n/&gt;!~3"</f>
        <v>#VALUE!</v>
      </c>
      <c r="EM31" t="e">
        <f>'All regions'!J767+"n/&gt;!~4"</f>
        <v>#VALUE!</v>
      </c>
      <c r="EN31" t="e">
        <f>'All regions'!A768+"n/&gt;!~5"</f>
        <v>#VALUE!</v>
      </c>
      <c r="EO31" t="e">
        <f>'All regions'!B768+"n/&gt;!~6"</f>
        <v>#VALUE!</v>
      </c>
      <c r="EP31" t="e">
        <f>'All regions'!C768+"n/&gt;!~7"</f>
        <v>#VALUE!</v>
      </c>
      <c r="EQ31" t="e">
        <f>'All regions'!D768+"n/&gt;!~8"</f>
        <v>#VALUE!</v>
      </c>
      <c r="ER31" t="e">
        <f>'All regions'!E768+"n/&gt;!~9"</f>
        <v>#VALUE!</v>
      </c>
      <c r="ES31" t="e">
        <f>'All regions'!F768+"n/&gt;!~:"</f>
        <v>#VALUE!</v>
      </c>
      <c r="ET31" t="e">
        <f>'All regions'!G768+"n/&gt;!~;"</f>
        <v>#VALUE!</v>
      </c>
      <c r="EU31" t="e">
        <f>'All regions'!H768+"n/&gt;!~&lt;"</f>
        <v>#VALUE!</v>
      </c>
      <c r="EV31" t="e">
        <f>'All regions'!I768+"n/&gt;!~="</f>
        <v>#VALUE!</v>
      </c>
      <c r="EW31" t="e">
        <f>'All regions'!J768+"n/&gt;!~&gt;"</f>
        <v>#VALUE!</v>
      </c>
      <c r="EX31" t="e">
        <f>'All regions'!A769+"n/&gt;!~?"</f>
        <v>#VALUE!</v>
      </c>
      <c r="EY31" t="e">
        <f>'All regions'!B769+"n/&gt;!~@"</f>
        <v>#VALUE!</v>
      </c>
      <c r="EZ31" t="e">
        <f>'All regions'!C769+"n/&gt;!~A"</f>
        <v>#VALUE!</v>
      </c>
      <c r="FA31" t="e">
        <f>'All regions'!D769+"n/&gt;!~B"</f>
        <v>#VALUE!</v>
      </c>
      <c r="FB31" t="e">
        <f>'All regions'!E769+"n/&gt;!~C"</f>
        <v>#VALUE!</v>
      </c>
      <c r="FC31" t="e">
        <f>'All regions'!F769+"n/&gt;!~D"</f>
        <v>#VALUE!</v>
      </c>
      <c r="FD31" t="e">
        <f>'All regions'!G769+"n/&gt;!~E"</f>
        <v>#VALUE!</v>
      </c>
      <c r="FE31" t="e">
        <f>'All regions'!H769+"n/&gt;!~F"</f>
        <v>#VALUE!</v>
      </c>
      <c r="FF31" t="e">
        <f>'All regions'!I769+"n/&gt;!~G"</f>
        <v>#VALUE!</v>
      </c>
      <c r="FG31" t="e">
        <f>'All regions'!J769+"n/&gt;!~H"</f>
        <v>#VALUE!</v>
      </c>
      <c r="FH31" t="e">
        <f>'All regions'!A770+"n/&gt;!~I"</f>
        <v>#VALUE!</v>
      </c>
      <c r="FI31" t="e">
        <f>'All regions'!B770+"n/&gt;!~J"</f>
        <v>#VALUE!</v>
      </c>
      <c r="FJ31" t="e">
        <f>'All regions'!C770+"n/&gt;!~K"</f>
        <v>#VALUE!</v>
      </c>
      <c r="FK31" t="e">
        <f>'All regions'!D770+"n/&gt;!~L"</f>
        <v>#VALUE!</v>
      </c>
      <c r="FL31" t="e">
        <f>'All regions'!E770+"n/&gt;!~M"</f>
        <v>#VALUE!</v>
      </c>
      <c r="FM31" t="e">
        <f>'All regions'!F770+"n/&gt;!~N"</f>
        <v>#VALUE!</v>
      </c>
      <c r="FN31" t="e">
        <f>'All regions'!G770+"n/&gt;!~O"</f>
        <v>#VALUE!</v>
      </c>
      <c r="FO31" t="e">
        <f>'All regions'!H770+"n/&gt;!~P"</f>
        <v>#VALUE!</v>
      </c>
      <c r="FP31" t="e">
        <f>'All regions'!I770+"n/&gt;!~Q"</f>
        <v>#VALUE!</v>
      </c>
      <c r="FQ31" t="e">
        <f>'All regions'!J770+"n/&gt;!~R"</f>
        <v>#VALUE!</v>
      </c>
      <c r="FR31" t="e">
        <f>'All regions'!A771+"n/&gt;!~S"</f>
        <v>#VALUE!</v>
      </c>
      <c r="FS31" t="e">
        <f>'All regions'!B771+"n/&gt;!~T"</f>
        <v>#VALUE!</v>
      </c>
      <c r="FT31" t="e">
        <f>'All regions'!C771+"n/&gt;!~U"</f>
        <v>#VALUE!</v>
      </c>
      <c r="FU31" t="e">
        <f>'All regions'!D771+"n/&gt;!~V"</f>
        <v>#VALUE!</v>
      </c>
      <c r="FV31" t="e">
        <f>'All regions'!E771+"n/&gt;!~W"</f>
        <v>#VALUE!</v>
      </c>
      <c r="FW31" t="e">
        <f>'All regions'!F771+"n/&gt;!~X"</f>
        <v>#VALUE!</v>
      </c>
      <c r="FX31" t="e">
        <f>'All regions'!G771+"n/&gt;!~Y"</f>
        <v>#VALUE!</v>
      </c>
      <c r="FY31" t="e">
        <f>'All regions'!H771+"n/&gt;!~Z"</f>
        <v>#VALUE!</v>
      </c>
      <c r="FZ31" t="e">
        <f>'All regions'!I771+"n/&gt;!~["</f>
        <v>#VALUE!</v>
      </c>
      <c r="GA31" t="e">
        <f>'All regions'!J771+"n/&gt;!~\"</f>
        <v>#VALUE!</v>
      </c>
      <c r="GB31" t="e">
        <f>'All regions'!A772+"n/&gt;!~]"</f>
        <v>#VALUE!</v>
      </c>
      <c r="GC31" t="e">
        <f>'All regions'!B772+"n/&gt;!~^"</f>
        <v>#VALUE!</v>
      </c>
      <c r="GD31" t="e">
        <f>'All regions'!C772+"n/&gt;!~_"</f>
        <v>#VALUE!</v>
      </c>
      <c r="GE31" t="e">
        <f>'All regions'!D772+"n/&gt;!~`"</f>
        <v>#VALUE!</v>
      </c>
      <c r="GF31" t="e">
        <f>'All regions'!E772+"n/&gt;!~a"</f>
        <v>#VALUE!</v>
      </c>
      <c r="GG31" t="e">
        <f>'All regions'!F772+"n/&gt;!~b"</f>
        <v>#VALUE!</v>
      </c>
      <c r="GH31" t="e">
        <f>'All regions'!G772+"n/&gt;!~c"</f>
        <v>#VALUE!</v>
      </c>
      <c r="GI31" t="e">
        <f>'All regions'!H772+"n/&gt;!~d"</f>
        <v>#VALUE!</v>
      </c>
      <c r="GJ31" t="e">
        <f>'All regions'!I772+"n/&gt;!~e"</f>
        <v>#VALUE!</v>
      </c>
      <c r="GK31" t="e">
        <f>'All regions'!J772+"n/&gt;!~f"</f>
        <v>#VALUE!</v>
      </c>
      <c r="GL31" t="e">
        <f>'All regions'!A773+"n/&gt;!~g"</f>
        <v>#VALUE!</v>
      </c>
      <c r="GM31" t="e">
        <f>'All regions'!B773+"n/&gt;!~h"</f>
        <v>#VALUE!</v>
      </c>
      <c r="GN31" t="e">
        <f>'All regions'!C773+"n/&gt;!~i"</f>
        <v>#VALUE!</v>
      </c>
      <c r="GO31" t="e">
        <f>'All regions'!D773+"n/&gt;!~j"</f>
        <v>#VALUE!</v>
      </c>
      <c r="GP31" t="e">
        <f>'All regions'!E773+"n/&gt;!~k"</f>
        <v>#VALUE!</v>
      </c>
      <c r="GQ31" t="e">
        <f>'All regions'!F773+"n/&gt;!~l"</f>
        <v>#VALUE!</v>
      </c>
      <c r="GR31" t="e">
        <f>'All regions'!G773+"n/&gt;!~m"</f>
        <v>#VALUE!</v>
      </c>
      <c r="GS31" t="e">
        <f>'All regions'!H773+"n/&gt;!~n"</f>
        <v>#VALUE!</v>
      </c>
      <c r="GT31" t="e">
        <f>'All regions'!I773+"n/&gt;!~o"</f>
        <v>#VALUE!</v>
      </c>
      <c r="GU31" t="e">
        <f>'All regions'!J773+"n/&gt;!~p"</f>
        <v>#VALUE!</v>
      </c>
      <c r="GV31" t="e">
        <f>'All regions'!A774+"n/&gt;!~q"</f>
        <v>#VALUE!</v>
      </c>
      <c r="GW31" t="e">
        <f>'All regions'!B774+"n/&gt;!~r"</f>
        <v>#VALUE!</v>
      </c>
      <c r="GX31" t="e">
        <f>'All regions'!C774+"n/&gt;!~s"</f>
        <v>#VALUE!</v>
      </c>
      <c r="GY31" t="e">
        <f>'All regions'!D774+"n/&gt;!~t"</f>
        <v>#VALUE!</v>
      </c>
      <c r="GZ31" t="e">
        <f>'All regions'!E774+"n/&gt;!~u"</f>
        <v>#VALUE!</v>
      </c>
      <c r="HA31" t="e">
        <f>'All regions'!F774+"n/&gt;!~v"</f>
        <v>#VALUE!</v>
      </c>
      <c r="HB31" t="e">
        <f>'All regions'!G774+"n/&gt;!~w"</f>
        <v>#VALUE!</v>
      </c>
      <c r="HC31" t="e">
        <f>'All regions'!H774+"n/&gt;!~x"</f>
        <v>#VALUE!</v>
      </c>
      <c r="HD31" t="e">
        <f>'All regions'!I774+"n/&gt;!~y"</f>
        <v>#VALUE!</v>
      </c>
      <c r="HE31" t="e">
        <f>'All regions'!J774+"n/&gt;!~z"</f>
        <v>#VALUE!</v>
      </c>
      <c r="HF31" t="e">
        <f>'All regions'!A775+"n/&gt;!~{"</f>
        <v>#VALUE!</v>
      </c>
      <c r="HG31" t="e">
        <f>'All regions'!B775+"n/&gt;!~|"</f>
        <v>#VALUE!</v>
      </c>
      <c r="HH31" t="e">
        <f>'All regions'!C775+"n/&gt;!~}"</f>
        <v>#VALUE!</v>
      </c>
      <c r="HI31" t="e">
        <f>'All regions'!D775+"n/&gt;!~~"</f>
        <v>#VALUE!</v>
      </c>
      <c r="HJ31" t="e">
        <f>'All regions'!E775+"n/&gt;!$##"</f>
        <v>#VALUE!</v>
      </c>
      <c r="HK31" t="e">
        <f>'All regions'!F775+"n/&gt;!$#$"</f>
        <v>#VALUE!</v>
      </c>
      <c r="HL31" t="e">
        <f>'All regions'!G775+"n/&gt;!$#%"</f>
        <v>#VALUE!</v>
      </c>
      <c r="HM31" t="e">
        <f>'All regions'!H775+"n/&gt;!$#&amp;"</f>
        <v>#VALUE!</v>
      </c>
      <c r="HN31" t="e">
        <f>'All regions'!I775+"n/&gt;!$#'"</f>
        <v>#VALUE!</v>
      </c>
      <c r="HO31" t="e">
        <f>'All regions'!J775+"n/&gt;!$#("</f>
        <v>#VALUE!</v>
      </c>
      <c r="HP31" t="e">
        <f>'All regions'!A776+"n/&gt;!$#)"</f>
        <v>#VALUE!</v>
      </c>
      <c r="HQ31" t="e">
        <f>'All regions'!B776+"n/&gt;!$#."</f>
        <v>#VALUE!</v>
      </c>
      <c r="HR31" t="e">
        <f>'All regions'!C776+"n/&gt;!$#/"</f>
        <v>#VALUE!</v>
      </c>
      <c r="HS31" t="e">
        <f>'All regions'!D776+"n/&gt;!$#0"</f>
        <v>#VALUE!</v>
      </c>
      <c r="HT31" t="e">
        <f>'All regions'!E776+"n/&gt;!$#1"</f>
        <v>#VALUE!</v>
      </c>
      <c r="HU31" t="e">
        <f>'All regions'!F776+"n/&gt;!$#2"</f>
        <v>#VALUE!</v>
      </c>
      <c r="HV31" t="e">
        <f>'All regions'!G776+"n/&gt;!$#3"</f>
        <v>#VALUE!</v>
      </c>
      <c r="HW31" t="e">
        <f>'All regions'!H776+"n/&gt;!$#4"</f>
        <v>#VALUE!</v>
      </c>
      <c r="HX31" t="e">
        <f>'All regions'!I776+"n/&gt;!$#5"</f>
        <v>#VALUE!</v>
      </c>
      <c r="HY31" t="e">
        <f>'All regions'!J776+"n/&gt;!$#6"</f>
        <v>#VALUE!</v>
      </c>
      <c r="HZ31" t="e">
        <f>'All regions'!A777+"n/&gt;!$#7"</f>
        <v>#VALUE!</v>
      </c>
      <c r="IA31" t="e">
        <f>'All regions'!B777+"n/&gt;!$#8"</f>
        <v>#VALUE!</v>
      </c>
      <c r="IB31" t="e">
        <f>'All regions'!C777+"n/&gt;!$#9"</f>
        <v>#VALUE!</v>
      </c>
      <c r="IC31" t="e">
        <f>'All regions'!D777+"n/&gt;!$#:"</f>
        <v>#VALUE!</v>
      </c>
      <c r="ID31" t="e">
        <f>'All regions'!E777+"n/&gt;!$#;"</f>
        <v>#VALUE!</v>
      </c>
      <c r="IE31" t="e">
        <f>'All regions'!F777+"n/&gt;!$#&lt;"</f>
        <v>#VALUE!</v>
      </c>
      <c r="IF31" t="e">
        <f>'All regions'!G777+"n/&gt;!$#="</f>
        <v>#VALUE!</v>
      </c>
      <c r="IG31" t="e">
        <f>'All regions'!H777+"n/&gt;!$#&gt;"</f>
        <v>#VALUE!</v>
      </c>
      <c r="IH31" t="e">
        <f>'All regions'!I777+"n/&gt;!$#?"</f>
        <v>#VALUE!</v>
      </c>
      <c r="II31" t="e">
        <f>'All regions'!J777+"n/&gt;!$#@"</f>
        <v>#VALUE!</v>
      </c>
      <c r="IJ31" t="e">
        <f>'All regions'!A778+"n/&gt;!$#A"</f>
        <v>#VALUE!</v>
      </c>
      <c r="IK31" t="e">
        <f>'All regions'!B778+"n/&gt;!$#B"</f>
        <v>#VALUE!</v>
      </c>
      <c r="IL31" t="e">
        <f>'All regions'!C778+"n/&gt;!$#C"</f>
        <v>#VALUE!</v>
      </c>
      <c r="IM31" t="e">
        <f>'All regions'!D778+"n/&gt;!$#D"</f>
        <v>#VALUE!</v>
      </c>
      <c r="IN31" t="e">
        <f>'All regions'!E778+"n/&gt;!$#E"</f>
        <v>#VALUE!</v>
      </c>
      <c r="IO31" t="e">
        <f>'All regions'!F778+"n/&gt;!$#F"</f>
        <v>#VALUE!</v>
      </c>
      <c r="IP31" t="e">
        <f>'All regions'!G778+"n/&gt;!$#G"</f>
        <v>#VALUE!</v>
      </c>
      <c r="IQ31" t="e">
        <f>'All regions'!H778+"n/&gt;!$#H"</f>
        <v>#VALUE!</v>
      </c>
      <c r="IR31" t="e">
        <f>'All regions'!I778+"n/&gt;!$#I"</f>
        <v>#VALUE!</v>
      </c>
      <c r="IS31" t="e">
        <f>'All regions'!J778+"n/&gt;!$#J"</f>
        <v>#VALUE!</v>
      </c>
      <c r="IT31" t="e">
        <f>'All regions'!A779+"n/&gt;!$#K"</f>
        <v>#VALUE!</v>
      </c>
      <c r="IU31" t="e">
        <f>'All regions'!B779+"n/&gt;!$#L"</f>
        <v>#VALUE!</v>
      </c>
      <c r="IV31" t="e">
        <f>'All regions'!C779+"n/&gt;!$#M"</f>
        <v>#VALUE!</v>
      </c>
    </row>
    <row r="32" spans="6:256" x14ac:dyDescent="0.35">
      <c r="F32" t="e">
        <f>'All regions'!D779+"n/&gt;!$#N"</f>
        <v>#VALUE!</v>
      </c>
      <c r="G32" t="e">
        <f>'All regions'!E779+"n/&gt;!$#O"</f>
        <v>#VALUE!</v>
      </c>
      <c r="H32" t="e">
        <f>'All regions'!F779+"n/&gt;!$#P"</f>
        <v>#VALUE!</v>
      </c>
      <c r="I32" t="e">
        <f>'All regions'!G779+"n/&gt;!$#Q"</f>
        <v>#VALUE!</v>
      </c>
      <c r="J32" t="e">
        <f>'All regions'!H779+"n/&gt;!$#R"</f>
        <v>#VALUE!</v>
      </c>
      <c r="K32" t="e">
        <f>'All regions'!I779+"n/&gt;!$#S"</f>
        <v>#VALUE!</v>
      </c>
      <c r="L32" t="e">
        <f>'All regions'!J779+"n/&gt;!$#T"</f>
        <v>#VALUE!</v>
      </c>
      <c r="M32" t="e">
        <f>'All regions'!A780+"n/&gt;!$#U"</f>
        <v>#VALUE!</v>
      </c>
      <c r="N32" t="e">
        <f>'All regions'!B780+"n/&gt;!$#V"</f>
        <v>#VALUE!</v>
      </c>
      <c r="O32" t="e">
        <f>'All regions'!C780+"n/&gt;!$#W"</f>
        <v>#VALUE!</v>
      </c>
      <c r="P32" t="e">
        <f>'All regions'!D780+"n/&gt;!$#X"</f>
        <v>#VALUE!</v>
      </c>
      <c r="Q32" t="e">
        <f>'All regions'!E780+"n/&gt;!$#Y"</f>
        <v>#VALUE!</v>
      </c>
      <c r="R32" t="e">
        <f>'All regions'!F780+"n/&gt;!$#Z"</f>
        <v>#VALUE!</v>
      </c>
      <c r="S32" t="e">
        <f>'All regions'!G780+"n/&gt;!$#["</f>
        <v>#VALUE!</v>
      </c>
      <c r="T32" t="e">
        <f>'All regions'!H780+"n/&gt;!$#\"</f>
        <v>#VALUE!</v>
      </c>
      <c r="U32" t="e">
        <f>'All regions'!I780+"n/&gt;!$#]"</f>
        <v>#VALUE!</v>
      </c>
      <c r="V32" t="e">
        <f>'All regions'!J780+"n/&gt;!$#^"</f>
        <v>#VALUE!</v>
      </c>
      <c r="W32" t="e">
        <f>'All regions'!A781+"n/&gt;!$#_"</f>
        <v>#VALUE!</v>
      </c>
      <c r="X32" t="e">
        <f>'All regions'!B781+"n/&gt;!$#`"</f>
        <v>#VALUE!</v>
      </c>
      <c r="Y32" t="e">
        <f>'All regions'!C781+"n/&gt;!$#a"</f>
        <v>#VALUE!</v>
      </c>
      <c r="Z32" t="e">
        <f>'All regions'!D781+"n/&gt;!$#b"</f>
        <v>#VALUE!</v>
      </c>
      <c r="AA32" t="e">
        <f>'All regions'!E781+"n/&gt;!$#c"</f>
        <v>#VALUE!</v>
      </c>
      <c r="AB32" t="e">
        <f>'All regions'!F781+"n/&gt;!$#d"</f>
        <v>#VALUE!</v>
      </c>
      <c r="AC32" t="e">
        <f>'All regions'!G781+"n/&gt;!$#e"</f>
        <v>#VALUE!</v>
      </c>
      <c r="AD32" t="e">
        <f>'All regions'!H781+"n/&gt;!$#f"</f>
        <v>#VALUE!</v>
      </c>
      <c r="AE32" t="e">
        <f>'All regions'!I781+"n/&gt;!$#g"</f>
        <v>#VALUE!</v>
      </c>
      <c r="AF32" t="e">
        <f>'All regions'!J781+"n/&gt;!$#h"</f>
        <v>#VALUE!</v>
      </c>
      <c r="AG32" t="e">
        <f>'All regions'!A782+"n/&gt;!$#i"</f>
        <v>#VALUE!</v>
      </c>
      <c r="AH32" t="e">
        <f>'All regions'!B782+"n/&gt;!$#j"</f>
        <v>#VALUE!</v>
      </c>
      <c r="AI32" t="e">
        <f>'All regions'!C782+"n/&gt;!$#k"</f>
        <v>#VALUE!</v>
      </c>
      <c r="AJ32" t="e">
        <f>'All regions'!D782+"n/&gt;!$#l"</f>
        <v>#VALUE!</v>
      </c>
      <c r="AK32" t="e">
        <f>'All regions'!E782+"n/&gt;!$#m"</f>
        <v>#VALUE!</v>
      </c>
      <c r="AL32" t="e">
        <f>'All regions'!F782+"n/&gt;!$#n"</f>
        <v>#VALUE!</v>
      </c>
      <c r="AM32" t="e">
        <f>'All regions'!G782+"n/&gt;!$#o"</f>
        <v>#VALUE!</v>
      </c>
      <c r="AN32" t="e">
        <f>'All regions'!H782+"n/&gt;!$#p"</f>
        <v>#VALUE!</v>
      </c>
      <c r="AO32" t="e">
        <f>'All regions'!I782+"n/&gt;!$#q"</f>
        <v>#VALUE!</v>
      </c>
      <c r="AP32" t="e">
        <f>'All regions'!J782+"n/&gt;!$#r"</f>
        <v>#VALUE!</v>
      </c>
      <c r="AQ32" t="e">
        <f>'All regions'!A783+"n/&gt;!$#s"</f>
        <v>#VALUE!</v>
      </c>
      <c r="AR32" t="e">
        <f>'All regions'!B783+"n/&gt;!$#t"</f>
        <v>#VALUE!</v>
      </c>
      <c r="AS32" t="e">
        <f>'All regions'!C783+"n/&gt;!$#u"</f>
        <v>#VALUE!</v>
      </c>
      <c r="AT32" t="e">
        <f>'All regions'!D783+"n/&gt;!$#v"</f>
        <v>#VALUE!</v>
      </c>
      <c r="AU32" t="e">
        <f>'All regions'!E783+"n/&gt;!$#w"</f>
        <v>#VALUE!</v>
      </c>
      <c r="AV32" t="e">
        <f>'All regions'!F783+"n/&gt;!$#x"</f>
        <v>#VALUE!</v>
      </c>
      <c r="AW32" t="e">
        <f>'All regions'!G783+"n/&gt;!$#y"</f>
        <v>#VALUE!</v>
      </c>
      <c r="AX32" t="e">
        <f>'All regions'!H783+"n/&gt;!$#z"</f>
        <v>#VALUE!</v>
      </c>
      <c r="AY32" t="e">
        <f>'All regions'!I783+"n/&gt;!$#{"</f>
        <v>#VALUE!</v>
      </c>
      <c r="AZ32" t="e">
        <f>'All regions'!J783+"n/&gt;!$#|"</f>
        <v>#VALUE!</v>
      </c>
      <c r="BA32" t="e">
        <f>'All regions'!A784+"n/&gt;!$#}"</f>
        <v>#VALUE!</v>
      </c>
      <c r="BB32" t="e">
        <f>'All regions'!B784+"n/&gt;!$#~"</f>
        <v>#VALUE!</v>
      </c>
      <c r="BC32" t="e">
        <f>'All regions'!C784+"n/&gt;!$$#"</f>
        <v>#VALUE!</v>
      </c>
      <c r="BD32" t="e">
        <f>'All regions'!D784+"n/&gt;!$$$"</f>
        <v>#VALUE!</v>
      </c>
      <c r="BE32" t="e">
        <f>'All regions'!E784+"n/&gt;!$$%"</f>
        <v>#VALUE!</v>
      </c>
      <c r="BF32" t="e">
        <f>'All regions'!F784+"n/&gt;!$$&amp;"</f>
        <v>#VALUE!</v>
      </c>
      <c r="BG32" t="e">
        <f>'All regions'!G784+"n/&gt;!$$'"</f>
        <v>#VALUE!</v>
      </c>
      <c r="BH32" t="e">
        <f>'All regions'!H784+"n/&gt;!$$("</f>
        <v>#VALUE!</v>
      </c>
      <c r="BI32" t="e">
        <f>'All regions'!I784+"n/&gt;!$$)"</f>
        <v>#VALUE!</v>
      </c>
      <c r="BJ32" t="e">
        <f>'All regions'!J784+"n/&gt;!$$."</f>
        <v>#VALUE!</v>
      </c>
      <c r="BK32" t="e">
        <f>'All regions'!A785+"n/&gt;!$$/"</f>
        <v>#VALUE!</v>
      </c>
      <c r="BL32" t="e">
        <f>'All regions'!B785+"n/&gt;!$$0"</f>
        <v>#VALUE!</v>
      </c>
      <c r="BM32" t="e">
        <f>'All regions'!C785+"n/&gt;!$$1"</f>
        <v>#VALUE!</v>
      </c>
      <c r="BN32" t="e">
        <f>'All regions'!D785+"n/&gt;!$$2"</f>
        <v>#VALUE!</v>
      </c>
      <c r="BO32" t="e">
        <f>'All regions'!E785+"n/&gt;!$$3"</f>
        <v>#VALUE!</v>
      </c>
      <c r="BP32" t="e">
        <f>'All regions'!F785+"n/&gt;!$$4"</f>
        <v>#VALUE!</v>
      </c>
      <c r="BQ32" t="e">
        <f>'All regions'!G785+"n/&gt;!$$5"</f>
        <v>#VALUE!</v>
      </c>
      <c r="BR32" t="e">
        <f>'All regions'!H785+"n/&gt;!$$6"</f>
        <v>#VALUE!</v>
      </c>
      <c r="BS32" t="e">
        <f>'All regions'!I785+"n/&gt;!$$7"</f>
        <v>#VALUE!</v>
      </c>
      <c r="BT32" t="e">
        <f>'All regions'!J785+"n/&gt;!$$8"</f>
        <v>#VALUE!</v>
      </c>
      <c r="BU32" t="e">
        <f>'All regions'!A786+"n/&gt;!$$9"</f>
        <v>#VALUE!</v>
      </c>
      <c r="BV32" t="e">
        <f>'All regions'!B786+"n/&gt;!$$:"</f>
        <v>#VALUE!</v>
      </c>
      <c r="BW32" t="e">
        <f>'All regions'!C786+"n/&gt;!$$;"</f>
        <v>#VALUE!</v>
      </c>
      <c r="BX32" t="e">
        <f>'All regions'!D786+"n/&gt;!$$&lt;"</f>
        <v>#VALUE!</v>
      </c>
      <c r="BY32" t="e">
        <f>'All regions'!E786+"n/&gt;!$$="</f>
        <v>#VALUE!</v>
      </c>
      <c r="BZ32" t="e">
        <f>'All regions'!F786+"n/&gt;!$$&gt;"</f>
        <v>#VALUE!</v>
      </c>
      <c r="CA32" t="e">
        <f>'All regions'!G786+"n/&gt;!$$?"</f>
        <v>#VALUE!</v>
      </c>
      <c r="CB32" t="e">
        <f>'All regions'!H786+"n/&gt;!$$@"</f>
        <v>#VALUE!</v>
      </c>
      <c r="CC32" t="e">
        <f>'All regions'!I786+"n/&gt;!$$A"</f>
        <v>#VALUE!</v>
      </c>
      <c r="CD32" t="e">
        <f>'All regions'!J786+"n/&gt;!$$B"</f>
        <v>#VALUE!</v>
      </c>
      <c r="CE32" t="e">
        <f>'All regions'!A787+"n/&gt;!$$C"</f>
        <v>#VALUE!</v>
      </c>
      <c r="CF32" t="e">
        <f>'All regions'!B787+"n/&gt;!$$D"</f>
        <v>#VALUE!</v>
      </c>
      <c r="CG32" t="e">
        <f>'All regions'!C787+"n/&gt;!$$E"</f>
        <v>#VALUE!</v>
      </c>
      <c r="CH32" t="e">
        <f>'All regions'!D787+"n/&gt;!$$F"</f>
        <v>#VALUE!</v>
      </c>
      <c r="CI32" t="e">
        <f>'All regions'!E787+"n/&gt;!$$G"</f>
        <v>#VALUE!</v>
      </c>
      <c r="CJ32" t="e">
        <f>'All regions'!F787+"n/&gt;!$$H"</f>
        <v>#VALUE!</v>
      </c>
      <c r="CK32" t="e">
        <f>'All regions'!G787+"n/&gt;!$$I"</f>
        <v>#VALUE!</v>
      </c>
      <c r="CL32" t="e">
        <f>'All regions'!H787+"n/&gt;!$$J"</f>
        <v>#VALUE!</v>
      </c>
      <c r="CM32" t="e">
        <f>'All regions'!I787+"n/&gt;!$$K"</f>
        <v>#VALUE!</v>
      </c>
      <c r="CN32" t="e">
        <f>'All regions'!J787+"n/&gt;!$$L"</f>
        <v>#VALUE!</v>
      </c>
      <c r="CO32" t="e">
        <f>'All regions'!A788+"n/&gt;!$$M"</f>
        <v>#VALUE!</v>
      </c>
      <c r="CP32" t="e">
        <f>'All regions'!B788+"n/&gt;!$$N"</f>
        <v>#VALUE!</v>
      </c>
      <c r="CQ32" t="e">
        <f>'All regions'!C788+"n/&gt;!$$O"</f>
        <v>#VALUE!</v>
      </c>
      <c r="CR32" t="e">
        <f>'All regions'!D788+"n/&gt;!$$P"</f>
        <v>#VALUE!</v>
      </c>
      <c r="CS32" t="e">
        <f>'All regions'!E788+"n/&gt;!$$Q"</f>
        <v>#VALUE!</v>
      </c>
      <c r="CT32" t="e">
        <f>'All regions'!F788+"n/&gt;!$$R"</f>
        <v>#VALUE!</v>
      </c>
      <c r="CU32" t="e">
        <f>'All regions'!G788+"n/&gt;!$$S"</f>
        <v>#VALUE!</v>
      </c>
      <c r="CV32" t="e">
        <f>'All regions'!H788+"n/&gt;!$$T"</f>
        <v>#VALUE!</v>
      </c>
      <c r="CW32" t="e">
        <f>'All regions'!I788+"n/&gt;!$$U"</f>
        <v>#VALUE!</v>
      </c>
      <c r="CX32" t="e">
        <f>'All regions'!J788+"n/&gt;!$$V"</f>
        <v>#VALUE!</v>
      </c>
      <c r="CY32" t="e">
        <f>'All regions'!A789+"n/&gt;!$$W"</f>
        <v>#VALUE!</v>
      </c>
      <c r="CZ32" t="e">
        <f>'All regions'!B789+"n/&gt;!$$X"</f>
        <v>#VALUE!</v>
      </c>
      <c r="DA32" t="e">
        <f>'All regions'!C789+"n/&gt;!$$Y"</f>
        <v>#VALUE!</v>
      </c>
      <c r="DB32" t="e">
        <f>'All regions'!D789+"n/&gt;!$$Z"</f>
        <v>#VALUE!</v>
      </c>
      <c r="DC32" t="e">
        <f>'All regions'!E789+"n/&gt;!$$["</f>
        <v>#VALUE!</v>
      </c>
      <c r="DD32" t="e">
        <f>'All regions'!F789+"n/&gt;!$$\"</f>
        <v>#VALUE!</v>
      </c>
      <c r="DE32" t="e">
        <f>'All regions'!G789+"n/&gt;!$$]"</f>
        <v>#VALUE!</v>
      </c>
      <c r="DF32" t="e">
        <f>'All regions'!H789+"n/&gt;!$$^"</f>
        <v>#VALUE!</v>
      </c>
      <c r="DG32" t="e">
        <f>'All regions'!I789+"n/&gt;!$$_"</f>
        <v>#VALUE!</v>
      </c>
      <c r="DH32" t="e">
        <f>'All regions'!J789+"n/&gt;!$$`"</f>
        <v>#VALUE!</v>
      </c>
      <c r="DI32" t="e">
        <f>'All regions'!A790+"n/&gt;!$$a"</f>
        <v>#VALUE!</v>
      </c>
      <c r="DJ32" t="e">
        <f>'All regions'!B790+"n/&gt;!$$b"</f>
        <v>#VALUE!</v>
      </c>
      <c r="DK32" t="e">
        <f>'All regions'!C790+"n/&gt;!$$c"</f>
        <v>#VALUE!</v>
      </c>
      <c r="DL32" t="e">
        <f>'All regions'!D790+"n/&gt;!$$d"</f>
        <v>#VALUE!</v>
      </c>
      <c r="DM32" t="e">
        <f>'All regions'!E790+"n/&gt;!$$e"</f>
        <v>#VALUE!</v>
      </c>
      <c r="DN32" t="e">
        <f>'All regions'!F790+"n/&gt;!$$f"</f>
        <v>#VALUE!</v>
      </c>
      <c r="DO32" t="e">
        <f>'All regions'!G790+"n/&gt;!$$g"</f>
        <v>#VALUE!</v>
      </c>
      <c r="DP32" t="e">
        <f>'All regions'!H790+"n/&gt;!$$h"</f>
        <v>#VALUE!</v>
      </c>
      <c r="DQ32" t="e">
        <f>'All regions'!I790+"n/&gt;!$$i"</f>
        <v>#VALUE!</v>
      </c>
      <c r="DR32" t="e">
        <f>'All regions'!J790+"n/&gt;!$$j"</f>
        <v>#VALUE!</v>
      </c>
      <c r="DS32" t="e">
        <f>'All regions'!A791+"n/&gt;!$$k"</f>
        <v>#VALUE!</v>
      </c>
      <c r="DT32" t="e">
        <f>'All regions'!B791+"n/&gt;!$$l"</f>
        <v>#VALUE!</v>
      </c>
      <c r="DU32" t="e">
        <f>'All regions'!C791+"n/&gt;!$$m"</f>
        <v>#VALUE!</v>
      </c>
      <c r="DV32" t="e">
        <f>'All regions'!D791+"n/&gt;!$$n"</f>
        <v>#VALUE!</v>
      </c>
      <c r="DW32" t="e">
        <f>'All regions'!E791+"n/&gt;!$$o"</f>
        <v>#VALUE!</v>
      </c>
      <c r="DX32" t="e">
        <f>'All regions'!F791+"n/&gt;!$$p"</f>
        <v>#VALUE!</v>
      </c>
      <c r="DY32" t="e">
        <f>'All regions'!G791+"n/&gt;!$$q"</f>
        <v>#VALUE!</v>
      </c>
      <c r="DZ32" t="e">
        <f>'All regions'!H791+"n/&gt;!$$r"</f>
        <v>#VALUE!</v>
      </c>
      <c r="EA32" t="e">
        <f>'All regions'!I791+"n/&gt;!$$s"</f>
        <v>#VALUE!</v>
      </c>
      <c r="EB32" t="e">
        <f>'All regions'!J791+"n/&gt;!$$t"</f>
        <v>#VALUE!</v>
      </c>
      <c r="EC32" t="e">
        <f>'All regions'!A792+"n/&gt;!$$u"</f>
        <v>#VALUE!</v>
      </c>
      <c r="ED32" t="e">
        <f>'All regions'!B792+"n/&gt;!$$v"</f>
        <v>#VALUE!</v>
      </c>
      <c r="EE32" t="e">
        <f>'All regions'!C792+"n/&gt;!$$w"</f>
        <v>#VALUE!</v>
      </c>
      <c r="EF32" t="e">
        <f>'All regions'!D792+"n/&gt;!$$x"</f>
        <v>#VALUE!</v>
      </c>
      <c r="EG32" t="e">
        <f>'All regions'!E792+"n/&gt;!$$y"</f>
        <v>#VALUE!</v>
      </c>
      <c r="EH32" t="e">
        <f>'All regions'!F792+"n/&gt;!$$z"</f>
        <v>#VALUE!</v>
      </c>
      <c r="EI32" t="e">
        <f>'All regions'!G792+"n/&gt;!$${"</f>
        <v>#VALUE!</v>
      </c>
      <c r="EJ32" t="e">
        <f>'All regions'!H792+"n/&gt;!$$|"</f>
        <v>#VALUE!</v>
      </c>
      <c r="EK32" t="e">
        <f>'All regions'!I792+"n/&gt;!$$}"</f>
        <v>#VALUE!</v>
      </c>
      <c r="EL32" t="e">
        <f>'All regions'!J792+"n/&gt;!$$~"</f>
        <v>#VALUE!</v>
      </c>
      <c r="EM32" t="e">
        <f>'All regions'!A793+"n/&gt;!$%#"</f>
        <v>#VALUE!</v>
      </c>
      <c r="EN32" t="e">
        <f>'All regions'!B793+"n/&gt;!$%$"</f>
        <v>#VALUE!</v>
      </c>
      <c r="EO32" t="e">
        <f>'All regions'!C793+"n/&gt;!$%%"</f>
        <v>#VALUE!</v>
      </c>
      <c r="EP32" t="e">
        <f>'All regions'!D793+"n/&gt;!$%&amp;"</f>
        <v>#VALUE!</v>
      </c>
      <c r="EQ32" t="e">
        <f>'All regions'!E793+"n/&gt;!$%'"</f>
        <v>#VALUE!</v>
      </c>
      <c r="ER32" t="e">
        <f>'All regions'!F793+"n/&gt;!$%("</f>
        <v>#VALUE!</v>
      </c>
      <c r="ES32" t="e">
        <f>'All regions'!G793+"n/&gt;!$%)"</f>
        <v>#VALUE!</v>
      </c>
      <c r="ET32" t="e">
        <f>'All regions'!H793+"n/&gt;!$%."</f>
        <v>#VALUE!</v>
      </c>
      <c r="EU32" t="e">
        <f>'All regions'!I793+"n/&gt;!$%/"</f>
        <v>#VALUE!</v>
      </c>
      <c r="EV32" t="e">
        <f>'All regions'!J793+"n/&gt;!$%0"</f>
        <v>#VALUE!</v>
      </c>
      <c r="EW32" t="e">
        <f>'All regions'!A794+"n/&gt;!$%1"</f>
        <v>#VALUE!</v>
      </c>
      <c r="EX32" t="e">
        <f>'All regions'!B794+"n/&gt;!$%2"</f>
        <v>#VALUE!</v>
      </c>
      <c r="EY32" t="e">
        <f>'All regions'!C794+"n/&gt;!$%3"</f>
        <v>#VALUE!</v>
      </c>
      <c r="EZ32" t="e">
        <f>'All regions'!D794+"n/&gt;!$%4"</f>
        <v>#VALUE!</v>
      </c>
      <c r="FA32" t="e">
        <f>'All regions'!E794+"n/&gt;!$%5"</f>
        <v>#VALUE!</v>
      </c>
      <c r="FB32" t="e">
        <f>'All regions'!F794+"n/&gt;!$%6"</f>
        <v>#VALUE!</v>
      </c>
      <c r="FC32" t="e">
        <f>'All regions'!G794+"n/&gt;!$%7"</f>
        <v>#VALUE!</v>
      </c>
      <c r="FD32" t="e">
        <f>'All regions'!H794+"n/&gt;!$%8"</f>
        <v>#VALUE!</v>
      </c>
      <c r="FE32" t="e">
        <f>'All regions'!I794+"n/&gt;!$%9"</f>
        <v>#VALUE!</v>
      </c>
      <c r="FF32" t="e">
        <f>'All regions'!J794+"n/&gt;!$%:"</f>
        <v>#VALUE!</v>
      </c>
      <c r="FG32" t="e">
        <f>'All regions'!A795+"n/&gt;!$%;"</f>
        <v>#VALUE!</v>
      </c>
      <c r="FH32" t="e">
        <f>'All regions'!B795+"n/&gt;!$%&lt;"</f>
        <v>#VALUE!</v>
      </c>
      <c r="FI32" t="e">
        <f>'All regions'!C795+"n/&gt;!$%="</f>
        <v>#VALUE!</v>
      </c>
      <c r="FJ32" t="e">
        <f>'All regions'!D795+"n/&gt;!$%&gt;"</f>
        <v>#VALUE!</v>
      </c>
      <c r="FK32" t="e">
        <f>'All regions'!E795+"n/&gt;!$%?"</f>
        <v>#VALUE!</v>
      </c>
      <c r="FL32" t="e">
        <f>'All regions'!F795+"n/&gt;!$%@"</f>
        <v>#VALUE!</v>
      </c>
      <c r="FM32" t="e">
        <f>'All regions'!G795+"n/&gt;!$%A"</f>
        <v>#VALUE!</v>
      </c>
      <c r="FN32" t="e">
        <f>'All regions'!H795+"n/&gt;!$%B"</f>
        <v>#VALUE!</v>
      </c>
      <c r="FO32" t="e">
        <f>'All regions'!I795+"n/&gt;!$%C"</f>
        <v>#VALUE!</v>
      </c>
      <c r="FP32" t="e">
        <f>'All regions'!J795+"n/&gt;!$%D"</f>
        <v>#VALUE!</v>
      </c>
      <c r="FQ32" t="e">
        <f>'All regions'!A796+"n/&gt;!$%E"</f>
        <v>#VALUE!</v>
      </c>
      <c r="FR32" t="e">
        <f>'All regions'!B796+"n/&gt;!$%F"</f>
        <v>#VALUE!</v>
      </c>
      <c r="FS32" t="e">
        <f>'All regions'!C796+"n/&gt;!$%G"</f>
        <v>#VALUE!</v>
      </c>
      <c r="FT32" t="e">
        <f>'All regions'!D796+"n/&gt;!$%H"</f>
        <v>#VALUE!</v>
      </c>
      <c r="FU32" t="e">
        <f>'All regions'!E796+"n/&gt;!$%I"</f>
        <v>#VALUE!</v>
      </c>
      <c r="FV32" t="e">
        <f>'All regions'!F796+"n/&gt;!$%J"</f>
        <v>#VALUE!</v>
      </c>
      <c r="FW32" t="e">
        <f>'All regions'!G796+"n/&gt;!$%K"</f>
        <v>#VALUE!</v>
      </c>
      <c r="FX32" t="e">
        <f>'All regions'!H796+"n/&gt;!$%L"</f>
        <v>#VALUE!</v>
      </c>
      <c r="FY32" t="e">
        <f>'All regions'!I796+"n/&gt;!$%M"</f>
        <v>#VALUE!</v>
      </c>
      <c r="FZ32" t="e">
        <f>'All regions'!J796+"n/&gt;!$%N"</f>
        <v>#VALUE!</v>
      </c>
      <c r="GA32" t="e">
        <f>'All regions'!A797+"n/&gt;!$%O"</f>
        <v>#VALUE!</v>
      </c>
      <c r="GB32" t="e">
        <f>'All regions'!B797+"n/&gt;!$%P"</f>
        <v>#VALUE!</v>
      </c>
      <c r="GC32" t="e">
        <f>'All regions'!C797+"n/&gt;!$%Q"</f>
        <v>#VALUE!</v>
      </c>
      <c r="GD32" t="e">
        <f>'All regions'!D797+"n/&gt;!$%R"</f>
        <v>#VALUE!</v>
      </c>
      <c r="GE32" t="e">
        <f>'All regions'!E797+"n/&gt;!$%S"</f>
        <v>#VALUE!</v>
      </c>
      <c r="GF32" t="e">
        <f>'All regions'!F797+"n/&gt;!$%T"</f>
        <v>#VALUE!</v>
      </c>
      <c r="GG32" t="e">
        <f>'All regions'!G797+"n/&gt;!$%U"</f>
        <v>#VALUE!</v>
      </c>
      <c r="GH32" t="e">
        <f>'All regions'!H797+"n/&gt;!$%V"</f>
        <v>#VALUE!</v>
      </c>
      <c r="GI32" t="e">
        <f>'All regions'!I797+"n/&gt;!$%W"</f>
        <v>#VALUE!</v>
      </c>
      <c r="GJ32" t="e">
        <f>'All regions'!J797+"n/&gt;!$%X"</f>
        <v>#VALUE!</v>
      </c>
      <c r="GK32" t="e">
        <f>'All regions'!A798+"n/&gt;!$%Y"</f>
        <v>#VALUE!</v>
      </c>
      <c r="GL32" t="e">
        <f>'All regions'!B798+"n/&gt;!$%Z"</f>
        <v>#VALUE!</v>
      </c>
      <c r="GM32" t="e">
        <f>'All regions'!C798+"n/&gt;!$%["</f>
        <v>#VALUE!</v>
      </c>
      <c r="GN32" t="e">
        <f>'All regions'!D798+"n/&gt;!$%\"</f>
        <v>#VALUE!</v>
      </c>
      <c r="GO32" t="e">
        <f>'All regions'!E798+"n/&gt;!$%]"</f>
        <v>#VALUE!</v>
      </c>
      <c r="GP32" t="e">
        <f>'All regions'!F798+"n/&gt;!$%^"</f>
        <v>#VALUE!</v>
      </c>
      <c r="GQ32" t="e">
        <f>'All regions'!G798+"n/&gt;!$%_"</f>
        <v>#VALUE!</v>
      </c>
      <c r="GR32" t="e">
        <f>'All regions'!H798+"n/&gt;!$%`"</f>
        <v>#VALUE!</v>
      </c>
      <c r="GS32" t="e">
        <f>'All regions'!I798+"n/&gt;!$%a"</f>
        <v>#VALUE!</v>
      </c>
      <c r="GT32" t="e">
        <f>'All regions'!J798+"n/&gt;!$%b"</f>
        <v>#VALUE!</v>
      </c>
      <c r="GU32" t="e">
        <f>'All regions'!A799+"n/&gt;!$%c"</f>
        <v>#VALUE!</v>
      </c>
      <c r="GV32" t="e">
        <f>'All regions'!B799+"n/&gt;!$%d"</f>
        <v>#VALUE!</v>
      </c>
      <c r="GW32" t="e">
        <f>'All regions'!C799+"n/&gt;!$%e"</f>
        <v>#VALUE!</v>
      </c>
      <c r="GX32" t="e">
        <f>'All regions'!D799+"n/&gt;!$%f"</f>
        <v>#VALUE!</v>
      </c>
      <c r="GY32" t="e">
        <f>'All regions'!E799+"n/&gt;!$%g"</f>
        <v>#VALUE!</v>
      </c>
      <c r="GZ32" t="e">
        <f>'All regions'!F799+"n/&gt;!$%h"</f>
        <v>#VALUE!</v>
      </c>
      <c r="HA32" t="e">
        <f>'All regions'!G799+"n/&gt;!$%i"</f>
        <v>#VALUE!</v>
      </c>
      <c r="HB32" t="e">
        <f>'All regions'!H799+"n/&gt;!$%j"</f>
        <v>#VALUE!</v>
      </c>
      <c r="HC32" t="e">
        <f>'All regions'!I799+"n/&gt;!$%k"</f>
        <v>#VALUE!</v>
      </c>
      <c r="HD32" t="e">
        <f>'All regions'!J799+"n/&gt;!$%l"</f>
        <v>#VALUE!</v>
      </c>
      <c r="HE32" t="e">
        <f>'All regions'!A800+"n/&gt;!$%m"</f>
        <v>#VALUE!</v>
      </c>
      <c r="HF32" t="e">
        <f>'All regions'!B800+"n/&gt;!$%n"</f>
        <v>#VALUE!</v>
      </c>
      <c r="HG32" t="e">
        <f>'All regions'!C800+"n/&gt;!$%o"</f>
        <v>#VALUE!</v>
      </c>
      <c r="HH32" t="e">
        <f>'All regions'!D800+"n/&gt;!$%p"</f>
        <v>#VALUE!</v>
      </c>
      <c r="HI32" t="e">
        <f>'All regions'!E800+"n/&gt;!$%q"</f>
        <v>#VALUE!</v>
      </c>
      <c r="HJ32" t="e">
        <f>'All regions'!F800+"n/&gt;!$%r"</f>
        <v>#VALUE!</v>
      </c>
      <c r="HK32" t="e">
        <f>'All regions'!G800+"n/&gt;!$%s"</f>
        <v>#VALUE!</v>
      </c>
      <c r="HL32" t="e">
        <f>'All regions'!H800+"n/&gt;!$%t"</f>
        <v>#VALUE!</v>
      </c>
      <c r="HM32" t="e">
        <f>'All regions'!I800+"n/&gt;!$%u"</f>
        <v>#VALUE!</v>
      </c>
      <c r="HN32" t="e">
        <f>'All regions'!J800+"n/&gt;!$%v"</f>
        <v>#VALUE!</v>
      </c>
      <c r="HO32" t="e">
        <f>'All regions'!A801+"n/&gt;!$%w"</f>
        <v>#VALUE!</v>
      </c>
      <c r="HP32" t="e">
        <f>'All regions'!B801+"n/&gt;!$%x"</f>
        <v>#VALUE!</v>
      </c>
      <c r="HQ32" t="e">
        <f>'All regions'!C801+"n/&gt;!$%y"</f>
        <v>#VALUE!</v>
      </c>
      <c r="HR32" t="e">
        <f>'All regions'!D801+"n/&gt;!$%z"</f>
        <v>#VALUE!</v>
      </c>
      <c r="HS32" t="e">
        <f>'All regions'!E801+"n/&gt;!$%{"</f>
        <v>#VALUE!</v>
      </c>
      <c r="HT32" t="e">
        <f>'All regions'!F801+"n/&gt;!$%|"</f>
        <v>#VALUE!</v>
      </c>
      <c r="HU32" t="e">
        <f>'All regions'!G801+"n/&gt;!$%}"</f>
        <v>#VALUE!</v>
      </c>
      <c r="HV32" t="e">
        <f>'All regions'!H801+"n/&gt;!$%~"</f>
        <v>#VALUE!</v>
      </c>
      <c r="HW32" t="e">
        <f>'All regions'!I801+"n/&gt;!$&amp;#"</f>
        <v>#VALUE!</v>
      </c>
      <c r="HX32" t="e">
        <f>'All regions'!J801+"n/&gt;!$&amp;$"</f>
        <v>#VALUE!</v>
      </c>
      <c r="HY32" t="e">
        <f>'All regions'!A802+"n/&gt;!$&amp;%"</f>
        <v>#VALUE!</v>
      </c>
      <c r="HZ32" t="e">
        <f>'All regions'!B802+"n/&gt;!$&amp;&amp;"</f>
        <v>#VALUE!</v>
      </c>
      <c r="IA32" t="e">
        <f>'All regions'!C802+"n/&gt;!$&amp;'"</f>
        <v>#VALUE!</v>
      </c>
      <c r="IB32" t="e">
        <f>'All regions'!D802+"n/&gt;!$&amp;("</f>
        <v>#VALUE!</v>
      </c>
      <c r="IC32" t="e">
        <f>'All regions'!E802+"n/&gt;!$&amp;)"</f>
        <v>#VALUE!</v>
      </c>
      <c r="ID32" t="e">
        <f>'All regions'!F802+"n/&gt;!$&amp;."</f>
        <v>#VALUE!</v>
      </c>
      <c r="IE32" t="e">
        <f>'All regions'!G802+"n/&gt;!$&amp;/"</f>
        <v>#VALUE!</v>
      </c>
      <c r="IF32" t="e">
        <f>'All regions'!H802+"n/&gt;!$&amp;0"</f>
        <v>#VALUE!</v>
      </c>
      <c r="IG32" t="e">
        <f>'All regions'!I802+"n/&gt;!$&amp;1"</f>
        <v>#VALUE!</v>
      </c>
      <c r="IH32" t="e">
        <f>'All regions'!J802+"n/&gt;!$&amp;2"</f>
        <v>#VALUE!</v>
      </c>
      <c r="II32" t="e">
        <f>'All regions'!A803+"n/&gt;!$&amp;3"</f>
        <v>#VALUE!</v>
      </c>
      <c r="IJ32" t="e">
        <f>'All regions'!B803+"n/&gt;!$&amp;4"</f>
        <v>#VALUE!</v>
      </c>
      <c r="IK32" t="e">
        <f>'All regions'!C803+"n/&gt;!$&amp;5"</f>
        <v>#VALUE!</v>
      </c>
      <c r="IL32" t="e">
        <f>'All regions'!D803+"n/&gt;!$&amp;6"</f>
        <v>#VALUE!</v>
      </c>
      <c r="IM32" t="e">
        <f>'All regions'!E803+"n/&gt;!$&amp;7"</f>
        <v>#VALUE!</v>
      </c>
      <c r="IN32" t="e">
        <f>'All regions'!F803+"n/&gt;!$&amp;8"</f>
        <v>#VALUE!</v>
      </c>
      <c r="IO32" t="e">
        <f>'All regions'!G803+"n/&gt;!$&amp;9"</f>
        <v>#VALUE!</v>
      </c>
      <c r="IP32" t="e">
        <f>'All regions'!H803+"n/&gt;!$&amp;:"</f>
        <v>#VALUE!</v>
      </c>
      <c r="IQ32" t="e">
        <f>'All regions'!I803+"n/&gt;!$&amp;;"</f>
        <v>#VALUE!</v>
      </c>
      <c r="IR32" t="e">
        <f>'All regions'!J803+"n/&gt;!$&amp;&lt;"</f>
        <v>#VALUE!</v>
      </c>
      <c r="IS32" t="e">
        <f>'All regions'!A804+"n/&gt;!$&amp;="</f>
        <v>#VALUE!</v>
      </c>
      <c r="IT32" t="e">
        <f>'All regions'!B804+"n/&gt;!$&amp;&gt;"</f>
        <v>#VALUE!</v>
      </c>
      <c r="IU32" t="e">
        <f>'All regions'!C804+"n/&gt;!$&amp;?"</f>
        <v>#VALUE!</v>
      </c>
      <c r="IV32" t="e">
        <f>'All regions'!D804+"n/&gt;!$&amp;@"</f>
        <v>#VALUE!</v>
      </c>
    </row>
    <row r="33" spans="6:256" x14ac:dyDescent="0.35">
      <c r="F33" t="e">
        <f>'All regions'!E804+"n/&gt;!$&amp;A"</f>
        <v>#VALUE!</v>
      </c>
      <c r="G33" t="e">
        <f>'All regions'!F804+"n/&gt;!$&amp;B"</f>
        <v>#VALUE!</v>
      </c>
      <c r="H33" t="e">
        <f>'All regions'!G804+"n/&gt;!$&amp;C"</f>
        <v>#VALUE!</v>
      </c>
      <c r="I33" t="e">
        <f>'All regions'!H804+"n/&gt;!$&amp;D"</f>
        <v>#VALUE!</v>
      </c>
      <c r="J33" t="e">
        <f>'All regions'!I804+"n/&gt;!$&amp;E"</f>
        <v>#VALUE!</v>
      </c>
      <c r="K33" t="e">
        <f>'All regions'!J804+"n/&gt;!$&amp;F"</f>
        <v>#VALUE!</v>
      </c>
      <c r="L33" t="e">
        <f>'All regions'!A805+"n/&gt;!$&amp;G"</f>
        <v>#VALUE!</v>
      </c>
      <c r="M33" t="e">
        <f>'All regions'!B805+"n/&gt;!$&amp;H"</f>
        <v>#VALUE!</v>
      </c>
      <c r="N33" t="e">
        <f>'All regions'!C805+"n/&gt;!$&amp;I"</f>
        <v>#VALUE!</v>
      </c>
      <c r="O33" t="e">
        <f>'All regions'!D805+"n/&gt;!$&amp;J"</f>
        <v>#VALUE!</v>
      </c>
      <c r="P33" t="e">
        <f>'All regions'!E805+"n/&gt;!$&amp;K"</f>
        <v>#VALUE!</v>
      </c>
      <c r="Q33" t="e">
        <f>'All regions'!F805+"n/&gt;!$&amp;L"</f>
        <v>#VALUE!</v>
      </c>
      <c r="R33" t="e">
        <f>'All regions'!G805+"n/&gt;!$&amp;M"</f>
        <v>#VALUE!</v>
      </c>
      <c r="S33" t="e">
        <f>'All regions'!H805+"n/&gt;!$&amp;N"</f>
        <v>#VALUE!</v>
      </c>
      <c r="T33" t="e">
        <f>'All regions'!I805+"n/&gt;!$&amp;O"</f>
        <v>#VALUE!</v>
      </c>
      <c r="U33" t="e">
        <f>'All regions'!J805+"n/&gt;!$&amp;P"</f>
        <v>#VALUE!</v>
      </c>
      <c r="V33" t="e">
        <f>'All regions'!A806+"n/&gt;!$&amp;Q"</f>
        <v>#VALUE!</v>
      </c>
      <c r="W33" t="e">
        <f>'All regions'!B806+"n/&gt;!$&amp;R"</f>
        <v>#VALUE!</v>
      </c>
      <c r="X33" t="e">
        <f>'All regions'!C806+"n/&gt;!$&amp;S"</f>
        <v>#VALUE!</v>
      </c>
      <c r="Y33" t="e">
        <f>'All regions'!D806+"n/&gt;!$&amp;T"</f>
        <v>#VALUE!</v>
      </c>
      <c r="Z33" t="e">
        <f>'All regions'!E806+"n/&gt;!$&amp;U"</f>
        <v>#VALUE!</v>
      </c>
      <c r="AA33" t="e">
        <f>'All regions'!F806+"n/&gt;!$&amp;V"</f>
        <v>#VALUE!</v>
      </c>
      <c r="AB33" t="e">
        <f>'All regions'!G806+"n/&gt;!$&amp;W"</f>
        <v>#VALUE!</v>
      </c>
      <c r="AC33" t="e">
        <f>'All regions'!H806+"n/&gt;!$&amp;X"</f>
        <v>#VALUE!</v>
      </c>
      <c r="AD33" t="e">
        <f>'All regions'!I806+"n/&gt;!$&amp;Y"</f>
        <v>#VALUE!</v>
      </c>
      <c r="AE33" t="e">
        <f>'All regions'!J806+"n/&gt;!$&amp;Z"</f>
        <v>#VALUE!</v>
      </c>
      <c r="AF33" t="e">
        <f>'All regions'!A807+"n/&gt;!$&amp;["</f>
        <v>#VALUE!</v>
      </c>
      <c r="AG33" t="e">
        <f>'All regions'!B807+"n/&gt;!$&amp;\"</f>
        <v>#VALUE!</v>
      </c>
      <c r="AH33" t="e">
        <f>'All regions'!C807+"n/&gt;!$&amp;]"</f>
        <v>#VALUE!</v>
      </c>
      <c r="AI33" t="e">
        <f>'All regions'!D807+"n/&gt;!$&amp;^"</f>
        <v>#VALUE!</v>
      </c>
      <c r="AJ33" t="e">
        <f>'All regions'!E807+"n/&gt;!$&amp;_"</f>
        <v>#VALUE!</v>
      </c>
      <c r="AK33" t="e">
        <f>'All regions'!F807+"n/&gt;!$&amp;`"</f>
        <v>#VALUE!</v>
      </c>
      <c r="AL33" t="e">
        <f>'All regions'!G807+"n/&gt;!$&amp;a"</f>
        <v>#VALUE!</v>
      </c>
      <c r="AM33" t="e">
        <f>'All regions'!H807+"n/&gt;!$&amp;b"</f>
        <v>#VALUE!</v>
      </c>
      <c r="AN33" t="e">
        <f>'All regions'!I807+"n/&gt;!$&amp;c"</f>
        <v>#VALUE!</v>
      </c>
      <c r="AO33" t="e">
        <f>'All regions'!J807+"n/&gt;!$&amp;d"</f>
        <v>#VALUE!</v>
      </c>
      <c r="AP33" t="e">
        <f>'All regions'!A808+"n/&gt;!$&amp;e"</f>
        <v>#VALUE!</v>
      </c>
      <c r="AQ33" t="e">
        <f>'All regions'!B808+"n/&gt;!$&amp;f"</f>
        <v>#VALUE!</v>
      </c>
      <c r="AR33" t="e">
        <f>'All regions'!C808+"n/&gt;!$&amp;g"</f>
        <v>#VALUE!</v>
      </c>
      <c r="AS33" t="e">
        <f>'All regions'!D808+"n/&gt;!$&amp;h"</f>
        <v>#VALUE!</v>
      </c>
      <c r="AT33" t="e">
        <f>'All regions'!E808+"n/&gt;!$&amp;i"</f>
        <v>#VALUE!</v>
      </c>
      <c r="AU33" t="e">
        <f>'All regions'!F808+"n/&gt;!$&amp;j"</f>
        <v>#VALUE!</v>
      </c>
      <c r="AV33" t="e">
        <f>'All regions'!G808+"n/&gt;!$&amp;k"</f>
        <v>#VALUE!</v>
      </c>
      <c r="AW33" t="e">
        <f>'All regions'!H808+"n/&gt;!$&amp;l"</f>
        <v>#VALUE!</v>
      </c>
      <c r="AX33" t="e">
        <f>'All regions'!I808+"n/&gt;!$&amp;m"</f>
        <v>#VALUE!</v>
      </c>
      <c r="AY33" t="e">
        <f>'All regions'!J808+"n/&gt;!$&amp;n"</f>
        <v>#VALUE!</v>
      </c>
      <c r="AZ33" t="e">
        <f>'All regions'!A809+"n/&gt;!$&amp;o"</f>
        <v>#VALUE!</v>
      </c>
      <c r="BA33" t="e">
        <f>'All regions'!B809+"n/&gt;!$&amp;p"</f>
        <v>#VALUE!</v>
      </c>
      <c r="BB33" t="e">
        <f>'All regions'!C809+"n/&gt;!$&amp;q"</f>
        <v>#VALUE!</v>
      </c>
      <c r="BC33" t="e">
        <f>'All regions'!D809+"n/&gt;!$&amp;r"</f>
        <v>#VALUE!</v>
      </c>
      <c r="BD33" t="e">
        <f>'All regions'!E809+"n/&gt;!$&amp;s"</f>
        <v>#VALUE!</v>
      </c>
      <c r="BE33" t="e">
        <f>'All regions'!F809+"n/&gt;!$&amp;t"</f>
        <v>#VALUE!</v>
      </c>
      <c r="BF33" t="e">
        <f>'All regions'!G809+"n/&gt;!$&amp;u"</f>
        <v>#VALUE!</v>
      </c>
      <c r="BG33" t="e">
        <f>'All regions'!H809+"n/&gt;!$&amp;v"</f>
        <v>#VALUE!</v>
      </c>
      <c r="BH33" t="e">
        <f>'All regions'!I809+"n/&gt;!$&amp;w"</f>
        <v>#VALUE!</v>
      </c>
      <c r="BI33" t="e">
        <f>'All regions'!J809+"n/&gt;!$&amp;x"</f>
        <v>#VALUE!</v>
      </c>
      <c r="BJ33" t="e">
        <f>'All regions'!A810+"n/&gt;!$&amp;y"</f>
        <v>#VALUE!</v>
      </c>
      <c r="BK33" t="e">
        <f>'All regions'!B810+"n/&gt;!$&amp;z"</f>
        <v>#VALUE!</v>
      </c>
      <c r="BL33" t="e">
        <f>'All regions'!C810+"n/&gt;!$&amp;{"</f>
        <v>#VALUE!</v>
      </c>
      <c r="BM33" t="e">
        <f>'All regions'!D810+"n/&gt;!$&amp;|"</f>
        <v>#VALUE!</v>
      </c>
      <c r="BN33" t="e">
        <f>'All regions'!E810+"n/&gt;!$&amp;}"</f>
        <v>#VALUE!</v>
      </c>
      <c r="BO33" t="e">
        <f>'All regions'!F810+"n/&gt;!$&amp;~"</f>
        <v>#VALUE!</v>
      </c>
      <c r="BP33" t="e">
        <f>'All regions'!G810+"n/&gt;!$'#"</f>
        <v>#VALUE!</v>
      </c>
      <c r="BQ33" t="e">
        <f>'All regions'!H810+"n/&gt;!$'$"</f>
        <v>#VALUE!</v>
      </c>
      <c r="BR33" t="e">
        <f>'All regions'!I810+"n/&gt;!$'%"</f>
        <v>#VALUE!</v>
      </c>
      <c r="BS33" t="e">
        <f>'All regions'!J810+"n/&gt;!$'&amp;"</f>
        <v>#VALUE!</v>
      </c>
      <c r="BT33" t="e">
        <f>'All regions'!A811+"n/&gt;!$''"</f>
        <v>#VALUE!</v>
      </c>
      <c r="BU33" t="e">
        <f>'All regions'!B811+"n/&gt;!$'("</f>
        <v>#VALUE!</v>
      </c>
      <c r="BV33" t="e">
        <f>'All regions'!C811+"n/&gt;!$')"</f>
        <v>#VALUE!</v>
      </c>
      <c r="BW33" t="e">
        <f>'All regions'!D811+"n/&gt;!$'."</f>
        <v>#VALUE!</v>
      </c>
      <c r="BX33" t="e">
        <f>'All regions'!E811+"n/&gt;!$'/"</f>
        <v>#VALUE!</v>
      </c>
      <c r="BY33" t="e">
        <f>'All regions'!F811+"n/&gt;!$'0"</f>
        <v>#VALUE!</v>
      </c>
      <c r="BZ33" t="e">
        <f>'All regions'!G811+"n/&gt;!$'1"</f>
        <v>#VALUE!</v>
      </c>
      <c r="CA33" t="e">
        <f>'All regions'!H811+"n/&gt;!$'2"</f>
        <v>#VALUE!</v>
      </c>
      <c r="CB33" t="e">
        <f>'All regions'!I811+"n/&gt;!$'3"</f>
        <v>#VALUE!</v>
      </c>
      <c r="CC33" t="e">
        <f>'All regions'!J811+"n/&gt;!$'4"</f>
        <v>#VALUE!</v>
      </c>
      <c r="CD33" t="e">
        <f>'All regions'!A812+"n/&gt;!$'5"</f>
        <v>#VALUE!</v>
      </c>
      <c r="CE33" t="e">
        <f>'All regions'!B812+"n/&gt;!$'6"</f>
        <v>#VALUE!</v>
      </c>
      <c r="CF33" t="e">
        <f>'All regions'!C812+"n/&gt;!$'7"</f>
        <v>#VALUE!</v>
      </c>
      <c r="CG33" t="e">
        <f>'All regions'!D812+"n/&gt;!$'8"</f>
        <v>#VALUE!</v>
      </c>
      <c r="CH33" t="e">
        <f>'All regions'!E812+"n/&gt;!$'9"</f>
        <v>#VALUE!</v>
      </c>
      <c r="CI33" t="e">
        <f>'All regions'!F812+"n/&gt;!$':"</f>
        <v>#VALUE!</v>
      </c>
      <c r="CJ33" t="e">
        <f>'All regions'!G812+"n/&gt;!$';"</f>
        <v>#VALUE!</v>
      </c>
      <c r="CK33" t="e">
        <f>'All regions'!H812+"n/&gt;!$'&lt;"</f>
        <v>#VALUE!</v>
      </c>
      <c r="CL33" t="e">
        <f>'All regions'!I812+"n/&gt;!$'="</f>
        <v>#VALUE!</v>
      </c>
      <c r="CM33" t="e">
        <f>'All regions'!J812+"n/&gt;!$'&gt;"</f>
        <v>#VALUE!</v>
      </c>
      <c r="CN33" t="e">
        <f>'All regions'!A813+"n/&gt;!$'?"</f>
        <v>#VALUE!</v>
      </c>
      <c r="CO33" t="e">
        <f>'All regions'!B813+"n/&gt;!$'@"</f>
        <v>#VALUE!</v>
      </c>
      <c r="CP33" t="e">
        <f>'All regions'!C813+"n/&gt;!$'A"</f>
        <v>#VALUE!</v>
      </c>
      <c r="CQ33" t="e">
        <f>'All regions'!D813+"n/&gt;!$'B"</f>
        <v>#VALUE!</v>
      </c>
      <c r="CR33" t="e">
        <f>'All regions'!E813+"n/&gt;!$'C"</f>
        <v>#VALUE!</v>
      </c>
      <c r="CS33" t="e">
        <f>'All regions'!F813+"n/&gt;!$'D"</f>
        <v>#VALUE!</v>
      </c>
      <c r="CT33" t="e">
        <f>'All regions'!G813+"n/&gt;!$'E"</f>
        <v>#VALUE!</v>
      </c>
      <c r="CU33" t="e">
        <f>'All regions'!H813+"n/&gt;!$'F"</f>
        <v>#VALUE!</v>
      </c>
      <c r="CV33" t="e">
        <f>'All regions'!I813+"n/&gt;!$'G"</f>
        <v>#VALUE!</v>
      </c>
      <c r="CW33" t="e">
        <f>'All regions'!J813+"n/&gt;!$'H"</f>
        <v>#VALUE!</v>
      </c>
      <c r="CX33" t="e">
        <f>'All regions'!A814+"n/&gt;!$'I"</f>
        <v>#VALUE!</v>
      </c>
      <c r="CY33" t="e">
        <f>'All regions'!B814+"n/&gt;!$'J"</f>
        <v>#VALUE!</v>
      </c>
      <c r="CZ33" t="e">
        <f>'All regions'!C814+"n/&gt;!$'K"</f>
        <v>#VALUE!</v>
      </c>
      <c r="DA33" t="e">
        <f>'All regions'!D814+"n/&gt;!$'L"</f>
        <v>#VALUE!</v>
      </c>
      <c r="DB33" t="e">
        <f>'All regions'!E814+"n/&gt;!$'M"</f>
        <v>#VALUE!</v>
      </c>
      <c r="DC33" t="e">
        <f>'All regions'!F814+"n/&gt;!$'N"</f>
        <v>#VALUE!</v>
      </c>
      <c r="DD33" t="e">
        <f>'All regions'!G814+"n/&gt;!$'O"</f>
        <v>#VALUE!</v>
      </c>
      <c r="DE33" t="e">
        <f>'All regions'!H814+"n/&gt;!$'P"</f>
        <v>#VALUE!</v>
      </c>
      <c r="DF33" t="e">
        <f>'All regions'!I814+"n/&gt;!$'Q"</f>
        <v>#VALUE!</v>
      </c>
      <c r="DG33" t="e">
        <f>'All regions'!J814+"n/&gt;!$'R"</f>
        <v>#VALUE!</v>
      </c>
      <c r="DH33" t="e">
        <f>'All regions'!A815+"n/&gt;!$'S"</f>
        <v>#VALUE!</v>
      </c>
      <c r="DI33" t="e">
        <f>'All regions'!B815+"n/&gt;!$'T"</f>
        <v>#VALUE!</v>
      </c>
      <c r="DJ33" t="e">
        <f>'All regions'!C815+"n/&gt;!$'U"</f>
        <v>#VALUE!</v>
      </c>
      <c r="DK33" t="e">
        <f>'All regions'!D815+"n/&gt;!$'V"</f>
        <v>#VALUE!</v>
      </c>
      <c r="DL33" t="e">
        <f>'All regions'!E815+"n/&gt;!$'W"</f>
        <v>#VALUE!</v>
      </c>
      <c r="DM33" t="e">
        <f>'All regions'!F815+"n/&gt;!$'X"</f>
        <v>#VALUE!</v>
      </c>
      <c r="DN33" t="e">
        <f>'All regions'!G815+"n/&gt;!$'Y"</f>
        <v>#VALUE!</v>
      </c>
      <c r="DO33" t="e">
        <f>'All regions'!H815+"n/&gt;!$'Z"</f>
        <v>#VALUE!</v>
      </c>
      <c r="DP33" t="e">
        <f>'All regions'!I815+"n/&gt;!$'["</f>
        <v>#VALUE!</v>
      </c>
      <c r="DQ33" t="e">
        <f>'All regions'!J815+"n/&gt;!$'\"</f>
        <v>#VALUE!</v>
      </c>
      <c r="DR33" t="e">
        <f>'All regions'!A816+"n/&gt;!$']"</f>
        <v>#VALUE!</v>
      </c>
      <c r="DS33" t="e">
        <f>'All regions'!B816+"n/&gt;!$'^"</f>
        <v>#VALUE!</v>
      </c>
      <c r="DT33" t="e">
        <f>'All regions'!C816+"n/&gt;!$'_"</f>
        <v>#VALUE!</v>
      </c>
      <c r="DU33" t="e">
        <f>'All regions'!D816+"n/&gt;!$'`"</f>
        <v>#VALUE!</v>
      </c>
      <c r="DV33" t="e">
        <f>'All regions'!E816+"n/&gt;!$'a"</f>
        <v>#VALUE!</v>
      </c>
      <c r="DW33" t="e">
        <f>'All regions'!F816+"n/&gt;!$'b"</f>
        <v>#VALUE!</v>
      </c>
      <c r="DX33" t="e">
        <f>'All regions'!G816+"n/&gt;!$'c"</f>
        <v>#VALUE!</v>
      </c>
      <c r="DY33" t="e">
        <f>'All regions'!H816+"n/&gt;!$'d"</f>
        <v>#VALUE!</v>
      </c>
      <c r="DZ33" t="e">
        <f>'All regions'!I816+"n/&gt;!$'e"</f>
        <v>#VALUE!</v>
      </c>
      <c r="EA33" t="e">
        <f>'All regions'!J816+"n/&gt;!$'f"</f>
        <v>#VALUE!</v>
      </c>
      <c r="EB33" t="e">
        <f>'All regions'!A817+"n/&gt;!$'g"</f>
        <v>#VALUE!</v>
      </c>
      <c r="EC33" t="e">
        <f>'All regions'!B817+"n/&gt;!$'h"</f>
        <v>#VALUE!</v>
      </c>
      <c r="ED33" t="e">
        <f>'All regions'!C817+"n/&gt;!$'i"</f>
        <v>#VALUE!</v>
      </c>
      <c r="EE33" t="e">
        <f>'All regions'!D817+"n/&gt;!$'j"</f>
        <v>#VALUE!</v>
      </c>
      <c r="EF33" t="e">
        <f>'All regions'!E817+"n/&gt;!$'k"</f>
        <v>#VALUE!</v>
      </c>
      <c r="EG33" t="e">
        <f>'All regions'!F817+"n/&gt;!$'l"</f>
        <v>#VALUE!</v>
      </c>
      <c r="EH33" t="e">
        <f>'All regions'!G817+"n/&gt;!$'m"</f>
        <v>#VALUE!</v>
      </c>
      <c r="EI33" t="e">
        <f>'All regions'!H817+"n/&gt;!$'n"</f>
        <v>#VALUE!</v>
      </c>
      <c r="EJ33" t="e">
        <f>'All regions'!I817+"n/&gt;!$'o"</f>
        <v>#VALUE!</v>
      </c>
      <c r="EK33" t="e">
        <f>'All regions'!J817+"n/&gt;!$'p"</f>
        <v>#VALUE!</v>
      </c>
      <c r="EL33" t="e">
        <f>'All regions'!A818+"n/&gt;!$'q"</f>
        <v>#VALUE!</v>
      </c>
      <c r="EM33" t="e">
        <f>'All regions'!B818+"n/&gt;!$'r"</f>
        <v>#VALUE!</v>
      </c>
      <c r="EN33" t="e">
        <f>'All regions'!C818+"n/&gt;!$'s"</f>
        <v>#VALUE!</v>
      </c>
      <c r="EO33" t="e">
        <f>'All regions'!D818+"n/&gt;!$'t"</f>
        <v>#VALUE!</v>
      </c>
      <c r="EP33" t="e">
        <f>'All regions'!E818+"n/&gt;!$'u"</f>
        <v>#VALUE!</v>
      </c>
      <c r="EQ33" t="e">
        <f>'All regions'!F818+"n/&gt;!$'v"</f>
        <v>#VALUE!</v>
      </c>
      <c r="ER33" t="e">
        <f>'All regions'!G818+"n/&gt;!$'w"</f>
        <v>#VALUE!</v>
      </c>
      <c r="ES33" t="e">
        <f>'All regions'!H818+"n/&gt;!$'x"</f>
        <v>#VALUE!</v>
      </c>
      <c r="ET33" t="e">
        <f>'All regions'!I818+"n/&gt;!$'y"</f>
        <v>#VALUE!</v>
      </c>
      <c r="EU33" t="e">
        <f>'All regions'!J818+"n/&gt;!$'z"</f>
        <v>#VALUE!</v>
      </c>
      <c r="EV33" t="e">
        <f>'All regions'!A819+"n/&gt;!$'{"</f>
        <v>#VALUE!</v>
      </c>
      <c r="EW33" t="e">
        <f>'All regions'!B819+"n/&gt;!$'|"</f>
        <v>#VALUE!</v>
      </c>
      <c r="EX33" t="e">
        <f>'All regions'!C819+"n/&gt;!$'}"</f>
        <v>#VALUE!</v>
      </c>
      <c r="EY33" t="e">
        <f>'All regions'!D819+"n/&gt;!$'~"</f>
        <v>#VALUE!</v>
      </c>
      <c r="EZ33" t="e">
        <f>'All regions'!E819+"n/&gt;!$(#"</f>
        <v>#VALUE!</v>
      </c>
      <c r="FA33" t="e">
        <f>'All regions'!F819+"n/&gt;!$($"</f>
        <v>#VALUE!</v>
      </c>
      <c r="FB33" t="e">
        <f>'All regions'!G819+"n/&gt;!$(%"</f>
        <v>#VALUE!</v>
      </c>
      <c r="FC33" t="e">
        <f>'All regions'!H819+"n/&gt;!$(&amp;"</f>
        <v>#VALUE!</v>
      </c>
      <c r="FD33" t="e">
        <f>'All regions'!I819+"n/&gt;!$('"</f>
        <v>#VALUE!</v>
      </c>
      <c r="FE33" t="e">
        <f>'All regions'!J819+"n/&gt;!$(("</f>
        <v>#VALUE!</v>
      </c>
      <c r="FF33" t="e">
        <f>'All regions'!A820+"n/&gt;!$()"</f>
        <v>#VALUE!</v>
      </c>
      <c r="FG33" t="e">
        <f>'All regions'!B820+"n/&gt;!$(."</f>
        <v>#VALUE!</v>
      </c>
      <c r="FH33" t="e">
        <f>'All regions'!C820+"n/&gt;!$(/"</f>
        <v>#VALUE!</v>
      </c>
      <c r="FI33" t="e">
        <f>'All regions'!D820+"n/&gt;!$(0"</f>
        <v>#VALUE!</v>
      </c>
      <c r="FJ33" t="e">
        <f>'All regions'!E820+"n/&gt;!$(1"</f>
        <v>#VALUE!</v>
      </c>
      <c r="FK33" t="e">
        <f>'All regions'!F820+"n/&gt;!$(2"</f>
        <v>#VALUE!</v>
      </c>
      <c r="FL33" t="e">
        <f>'All regions'!G820+"n/&gt;!$(3"</f>
        <v>#VALUE!</v>
      </c>
      <c r="FM33" t="e">
        <f>'All regions'!H820+"n/&gt;!$(4"</f>
        <v>#VALUE!</v>
      </c>
      <c r="FN33" t="e">
        <f>'All regions'!I820+"n/&gt;!$(5"</f>
        <v>#VALUE!</v>
      </c>
      <c r="FO33" t="e">
        <f>'All regions'!J820+"n/&gt;!$(6"</f>
        <v>#VALUE!</v>
      </c>
      <c r="FP33" t="e">
        <f>'All regions'!A821+"n/&gt;!$(7"</f>
        <v>#VALUE!</v>
      </c>
      <c r="FQ33" t="e">
        <f>'All regions'!B821+"n/&gt;!$(8"</f>
        <v>#VALUE!</v>
      </c>
      <c r="FR33" t="e">
        <f>'All regions'!C821+"n/&gt;!$(9"</f>
        <v>#VALUE!</v>
      </c>
      <c r="FS33" t="e">
        <f>'All regions'!D821+"n/&gt;!$(:"</f>
        <v>#VALUE!</v>
      </c>
      <c r="FT33" t="e">
        <f>'All regions'!E821+"n/&gt;!$(;"</f>
        <v>#VALUE!</v>
      </c>
      <c r="FU33" t="e">
        <f>'All regions'!F821+"n/&gt;!$(&lt;"</f>
        <v>#VALUE!</v>
      </c>
      <c r="FV33" t="e">
        <f>'All regions'!G821+"n/&gt;!$(="</f>
        <v>#VALUE!</v>
      </c>
      <c r="FW33" t="e">
        <f>'All regions'!H821+"n/&gt;!$(&gt;"</f>
        <v>#VALUE!</v>
      </c>
      <c r="FX33" t="e">
        <f>'All regions'!I821+"n/&gt;!$(?"</f>
        <v>#VALUE!</v>
      </c>
      <c r="FY33" t="e">
        <f>'All regions'!J821+"n/&gt;!$(@"</f>
        <v>#VALUE!</v>
      </c>
      <c r="FZ33" t="e">
        <f>'All regions'!A822+"n/&gt;!$(A"</f>
        <v>#VALUE!</v>
      </c>
      <c r="GA33" t="e">
        <f>'All regions'!B822+"n/&gt;!$(B"</f>
        <v>#VALUE!</v>
      </c>
      <c r="GB33" t="e">
        <f>'All regions'!C822+"n/&gt;!$(C"</f>
        <v>#VALUE!</v>
      </c>
      <c r="GC33" t="e">
        <f>'All regions'!D822+"n/&gt;!$(D"</f>
        <v>#VALUE!</v>
      </c>
      <c r="GD33" t="e">
        <f>'All regions'!E822+"n/&gt;!$(E"</f>
        <v>#VALUE!</v>
      </c>
      <c r="GE33" t="e">
        <f>'All regions'!F822+"n/&gt;!$(F"</f>
        <v>#VALUE!</v>
      </c>
      <c r="GF33" t="e">
        <f>'All regions'!G822+"n/&gt;!$(G"</f>
        <v>#VALUE!</v>
      </c>
      <c r="GG33" t="e">
        <f>'All regions'!H822+"n/&gt;!$(H"</f>
        <v>#VALUE!</v>
      </c>
      <c r="GH33" t="e">
        <f>'All regions'!I822+"n/&gt;!$(I"</f>
        <v>#VALUE!</v>
      </c>
      <c r="GI33" t="e">
        <f>'All regions'!J822+"n/&gt;!$(J"</f>
        <v>#VALUE!</v>
      </c>
      <c r="GJ33" t="e">
        <f>'All regions'!A823+"n/&gt;!$(K"</f>
        <v>#VALUE!</v>
      </c>
      <c r="GK33" t="e">
        <f>'All regions'!B823+"n/&gt;!$(L"</f>
        <v>#VALUE!</v>
      </c>
      <c r="GL33" t="e">
        <f>'All regions'!C823+"n/&gt;!$(M"</f>
        <v>#VALUE!</v>
      </c>
      <c r="GM33" t="e">
        <f>'All regions'!D823+"n/&gt;!$(N"</f>
        <v>#VALUE!</v>
      </c>
      <c r="GN33" t="e">
        <f>'All regions'!E823+"n/&gt;!$(O"</f>
        <v>#VALUE!</v>
      </c>
      <c r="GO33" t="e">
        <f>'All regions'!F823+"n/&gt;!$(P"</f>
        <v>#VALUE!</v>
      </c>
      <c r="GP33" t="e">
        <f>'All regions'!G823+"n/&gt;!$(Q"</f>
        <v>#VALUE!</v>
      </c>
      <c r="GQ33" t="e">
        <f>'All regions'!H823+"n/&gt;!$(R"</f>
        <v>#VALUE!</v>
      </c>
      <c r="GR33" t="e">
        <f>'All regions'!I823+"n/&gt;!$(S"</f>
        <v>#VALUE!</v>
      </c>
      <c r="GS33" t="e">
        <f>'All regions'!J823+"n/&gt;!$(T"</f>
        <v>#VALUE!</v>
      </c>
      <c r="GT33" t="e">
        <f>'All regions'!A824+"n/&gt;!$(U"</f>
        <v>#VALUE!</v>
      </c>
      <c r="GU33" t="e">
        <f>'All regions'!B824+"n/&gt;!$(V"</f>
        <v>#VALUE!</v>
      </c>
      <c r="GV33" t="e">
        <f>'All regions'!C824+"n/&gt;!$(W"</f>
        <v>#VALUE!</v>
      </c>
      <c r="GW33" t="e">
        <f>'All regions'!D824+"n/&gt;!$(X"</f>
        <v>#VALUE!</v>
      </c>
      <c r="GX33" t="e">
        <f>'All regions'!E824+"n/&gt;!$(Y"</f>
        <v>#VALUE!</v>
      </c>
      <c r="GY33" t="e">
        <f>'All regions'!F824+"n/&gt;!$(Z"</f>
        <v>#VALUE!</v>
      </c>
      <c r="GZ33" t="e">
        <f>'All regions'!G824+"n/&gt;!$(["</f>
        <v>#VALUE!</v>
      </c>
      <c r="HA33" t="e">
        <f>'All regions'!H824+"n/&gt;!$(\"</f>
        <v>#VALUE!</v>
      </c>
      <c r="HB33" t="e">
        <f>'All regions'!I824+"n/&gt;!$(]"</f>
        <v>#VALUE!</v>
      </c>
      <c r="HC33" t="e">
        <f>'All regions'!J824+"n/&gt;!$(^"</f>
        <v>#VALUE!</v>
      </c>
      <c r="HD33" t="e">
        <f>'All regions'!A825+"n/&gt;!$(_"</f>
        <v>#VALUE!</v>
      </c>
      <c r="HE33" t="e">
        <f>'All regions'!B825+"n/&gt;!$(`"</f>
        <v>#VALUE!</v>
      </c>
      <c r="HF33" t="e">
        <f>'All regions'!C825+"n/&gt;!$(a"</f>
        <v>#VALUE!</v>
      </c>
      <c r="HG33" t="e">
        <f>'All regions'!D825+"n/&gt;!$(b"</f>
        <v>#VALUE!</v>
      </c>
      <c r="HH33" t="e">
        <f>'All regions'!E825+"n/&gt;!$(c"</f>
        <v>#VALUE!</v>
      </c>
      <c r="HI33" t="e">
        <f>'All regions'!F825+"n/&gt;!$(d"</f>
        <v>#VALUE!</v>
      </c>
      <c r="HJ33" t="e">
        <f>'All regions'!G825+"n/&gt;!$(e"</f>
        <v>#VALUE!</v>
      </c>
      <c r="HK33" t="e">
        <f>'All regions'!H825+"n/&gt;!$(f"</f>
        <v>#VALUE!</v>
      </c>
      <c r="HL33" t="e">
        <f>'All regions'!I825+"n/&gt;!$(g"</f>
        <v>#VALUE!</v>
      </c>
      <c r="HM33" t="e">
        <f>'All regions'!J825+"n/&gt;!$(h"</f>
        <v>#VALUE!</v>
      </c>
      <c r="HN33" t="e">
        <f>'All regions'!A826+"n/&gt;!$(i"</f>
        <v>#VALUE!</v>
      </c>
      <c r="HO33" t="e">
        <f>'All regions'!B826+"n/&gt;!$(j"</f>
        <v>#VALUE!</v>
      </c>
      <c r="HP33" t="e">
        <f>'All regions'!C826+"n/&gt;!$(k"</f>
        <v>#VALUE!</v>
      </c>
      <c r="HQ33" t="e">
        <f>'All regions'!D826+"n/&gt;!$(l"</f>
        <v>#VALUE!</v>
      </c>
      <c r="HR33" t="e">
        <f>'All regions'!E826+"n/&gt;!$(m"</f>
        <v>#VALUE!</v>
      </c>
      <c r="HS33" t="e">
        <f>'All regions'!F826+"n/&gt;!$(n"</f>
        <v>#VALUE!</v>
      </c>
      <c r="HT33" t="e">
        <f>'All regions'!G826+"n/&gt;!$(o"</f>
        <v>#VALUE!</v>
      </c>
      <c r="HU33" t="e">
        <f>'All regions'!H826+"n/&gt;!$(p"</f>
        <v>#VALUE!</v>
      </c>
      <c r="HV33" t="e">
        <f>'All regions'!I826+"n/&gt;!$(q"</f>
        <v>#VALUE!</v>
      </c>
      <c r="HW33" t="e">
        <f>'All regions'!J826+"n/&gt;!$(r"</f>
        <v>#VALUE!</v>
      </c>
      <c r="HX33" t="e">
        <f>'All regions'!A827+"n/&gt;!$(s"</f>
        <v>#VALUE!</v>
      </c>
      <c r="HY33" t="e">
        <f>'All regions'!B827+"n/&gt;!$(t"</f>
        <v>#VALUE!</v>
      </c>
      <c r="HZ33" t="e">
        <f>'All regions'!C827+"n/&gt;!$(u"</f>
        <v>#VALUE!</v>
      </c>
      <c r="IA33" t="e">
        <f>'All regions'!D827+"n/&gt;!$(v"</f>
        <v>#VALUE!</v>
      </c>
      <c r="IB33" t="e">
        <f>'All regions'!E827+"n/&gt;!$(w"</f>
        <v>#VALUE!</v>
      </c>
      <c r="IC33" t="e">
        <f>'All regions'!F827+"n/&gt;!$(x"</f>
        <v>#VALUE!</v>
      </c>
      <c r="ID33" t="e">
        <f>'All regions'!G827+"n/&gt;!$(y"</f>
        <v>#VALUE!</v>
      </c>
      <c r="IE33" t="e">
        <f>'All regions'!H827+"n/&gt;!$(z"</f>
        <v>#VALUE!</v>
      </c>
      <c r="IF33" t="e">
        <f>'All regions'!I827+"n/&gt;!$({"</f>
        <v>#VALUE!</v>
      </c>
      <c r="IG33" t="e">
        <f>'All regions'!J827+"n/&gt;!$(|"</f>
        <v>#VALUE!</v>
      </c>
      <c r="IH33" t="e">
        <f>'All regions'!A828+"n/&gt;!$(}"</f>
        <v>#VALUE!</v>
      </c>
      <c r="II33" t="e">
        <f>'All regions'!B828+"n/&gt;!$(~"</f>
        <v>#VALUE!</v>
      </c>
      <c r="IJ33" t="e">
        <f>'All regions'!C828+"n/&gt;!$)#"</f>
        <v>#VALUE!</v>
      </c>
      <c r="IK33" t="e">
        <f>'All regions'!D828+"n/&gt;!$)$"</f>
        <v>#VALUE!</v>
      </c>
      <c r="IL33" t="e">
        <f>'All regions'!E828+"n/&gt;!$)%"</f>
        <v>#VALUE!</v>
      </c>
      <c r="IM33" t="e">
        <f>'All regions'!F828+"n/&gt;!$)&amp;"</f>
        <v>#VALUE!</v>
      </c>
      <c r="IN33" t="e">
        <f>'All regions'!G828+"n/&gt;!$)'"</f>
        <v>#VALUE!</v>
      </c>
      <c r="IO33" t="e">
        <f>'All regions'!H828+"n/&gt;!$)("</f>
        <v>#VALUE!</v>
      </c>
      <c r="IP33" t="e">
        <f>'All regions'!I828+"n/&gt;!$))"</f>
        <v>#VALUE!</v>
      </c>
      <c r="IQ33" t="e">
        <f>'All regions'!J828+"n/&gt;!$)."</f>
        <v>#VALUE!</v>
      </c>
      <c r="IR33" t="e">
        <f>'All regions'!A829+"n/&gt;!$)/"</f>
        <v>#VALUE!</v>
      </c>
      <c r="IS33" t="e">
        <f>'All regions'!B829+"n/&gt;!$)0"</f>
        <v>#VALUE!</v>
      </c>
      <c r="IT33" t="e">
        <f>'All regions'!C829+"n/&gt;!$)1"</f>
        <v>#VALUE!</v>
      </c>
      <c r="IU33" t="e">
        <f>'All regions'!D829+"n/&gt;!$)2"</f>
        <v>#VALUE!</v>
      </c>
      <c r="IV33" t="e">
        <f>'All regions'!E829+"n/&gt;!$)3"</f>
        <v>#VALUE!</v>
      </c>
    </row>
    <row r="34" spans="6:256" x14ac:dyDescent="0.35">
      <c r="F34" t="e">
        <f>'All regions'!F829+"n/&gt;!$)4"</f>
        <v>#VALUE!</v>
      </c>
      <c r="G34" t="e">
        <f>'All regions'!G829+"n/&gt;!$)5"</f>
        <v>#VALUE!</v>
      </c>
      <c r="H34" t="e">
        <f>'All regions'!H829+"n/&gt;!$)6"</f>
        <v>#VALUE!</v>
      </c>
      <c r="I34" t="e">
        <f>'All regions'!I829+"n/&gt;!$)7"</f>
        <v>#VALUE!</v>
      </c>
      <c r="J34" t="e">
        <f>'All regions'!J829+"n/&gt;!$)8"</f>
        <v>#VALUE!</v>
      </c>
      <c r="K34" t="e">
        <f>'All regions'!A830+"n/&gt;!$)9"</f>
        <v>#VALUE!</v>
      </c>
      <c r="L34" t="e">
        <f>'All regions'!B830+"n/&gt;!$):"</f>
        <v>#VALUE!</v>
      </c>
      <c r="M34" t="e">
        <f>'All regions'!C830+"n/&gt;!$);"</f>
        <v>#VALUE!</v>
      </c>
      <c r="N34" t="e">
        <f>'All regions'!D830+"n/&gt;!$)&lt;"</f>
        <v>#VALUE!</v>
      </c>
      <c r="O34" t="e">
        <f>'All regions'!E830+"n/&gt;!$)="</f>
        <v>#VALUE!</v>
      </c>
      <c r="P34" t="e">
        <f>'All regions'!F830+"n/&gt;!$)&gt;"</f>
        <v>#VALUE!</v>
      </c>
      <c r="Q34" t="e">
        <f>'All regions'!G830+"n/&gt;!$)?"</f>
        <v>#VALUE!</v>
      </c>
      <c r="R34" t="e">
        <f>'All regions'!H830+"n/&gt;!$)@"</f>
        <v>#VALUE!</v>
      </c>
      <c r="S34" t="e">
        <f>'All regions'!I830+"n/&gt;!$)A"</f>
        <v>#VALUE!</v>
      </c>
      <c r="T34" t="e">
        <f>'All regions'!J830+"n/&gt;!$)B"</f>
        <v>#VALUE!</v>
      </c>
      <c r="U34" t="e">
        <f>'All regions'!A831+"n/&gt;!$)C"</f>
        <v>#VALUE!</v>
      </c>
      <c r="V34" t="e">
        <f>'All regions'!B831+"n/&gt;!$)D"</f>
        <v>#VALUE!</v>
      </c>
      <c r="W34" t="e">
        <f>'All regions'!C831+"n/&gt;!$)E"</f>
        <v>#VALUE!</v>
      </c>
      <c r="X34" t="e">
        <f>'All regions'!D831+"n/&gt;!$)F"</f>
        <v>#VALUE!</v>
      </c>
      <c r="Y34" t="e">
        <f>'All regions'!E831+"n/&gt;!$)G"</f>
        <v>#VALUE!</v>
      </c>
      <c r="Z34" t="e">
        <f>'All regions'!F831+"n/&gt;!$)H"</f>
        <v>#VALUE!</v>
      </c>
      <c r="AA34" t="e">
        <f>'All regions'!G831+"n/&gt;!$)I"</f>
        <v>#VALUE!</v>
      </c>
      <c r="AB34" t="e">
        <f>'All regions'!H831+"n/&gt;!$)J"</f>
        <v>#VALUE!</v>
      </c>
      <c r="AC34" t="e">
        <f>'All regions'!I831+"n/&gt;!$)K"</f>
        <v>#VALUE!</v>
      </c>
      <c r="AD34" t="e">
        <f>'All regions'!J831+"n/&gt;!$)L"</f>
        <v>#VALUE!</v>
      </c>
      <c r="AE34" t="e">
        <f>'All regions'!A832+"n/&gt;!$)M"</f>
        <v>#VALUE!</v>
      </c>
      <c r="AF34" t="e">
        <f>'All regions'!B832+"n/&gt;!$)N"</f>
        <v>#VALUE!</v>
      </c>
      <c r="AG34" t="e">
        <f>'All regions'!C832+"n/&gt;!$)O"</f>
        <v>#VALUE!</v>
      </c>
      <c r="AH34" t="e">
        <f>'All regions'!D832+"n/&gt;!$)P"</f>
        <v>#VALUE!</v>
      </c>
      <c r="AI34" t="e">
        <f>'All regions'!E832+"n/&gt;!$)Q"</f>
        <v>#VALUE!</v>
      </c>
      <c r="AJ34" t="e">
        <f>'All regions'!F832+"n/&gt;!$)R"</f>
        <v>#VALUE!</v>
      </c>
      <c r="AK34" t="e">
        <f>'All regions'!G832+"n/&gt;!$)S"</f>
        <v>#VALUE!</v>
      </c>
      <c r="AL34" t="e">
        <f>'All regions'!H832+"n/&gt;!$)T"</f>
        <v>#VALUE!</v>
      </c>
      <c r="AM34" t="e">
        <f>'All regions'!I832+"n/&gt;!$)U"</f>
        <v>#VALUE!</v>
      </c>
      <c r="AN34" t="e">
        <f>'All regions'!J832+"n/&gt;!$)V"</f>
        <v>#VALUE!</v>
      </c>
      <c r="AO34" t="e">
        <f>'All regions'!A833+"n/&gt;!$)W"</f>
        <v>#VALUE!</v>
      </c>
      <c r="AP34" t="e">
        <f>'All regions'!B833+"n/&gt;!$)X"</f>
        <v>#VALUE!</v>
      </c>
      <c r="AQ34" t="e">
        <f>'All regions'!C833+"n/&gt;!$)Y"</f>
        <v>#VALUE!</v>
      </c>
      <c r="AR34" t="e">
        <f>'All regions'!D833+"n/&gt;!$)Z"</f>
        <v>#VALUE!</v>
      </c>
      <c r="AS34" t="e">
        <f>'All regions'!E833+"n/&gt;!$)["</f>
        <v>#VALUE!</v>
      </c>
      <c r="AT34" t="e">
        <f>'All regions'!F833+"n/&gt;!$)\"</f>
        <v>#VALUE!</v>
      </c>
      <c r="AU34" t="e">
        <f>'All regions'!G833+"n/&gt;!$)]"</f>
        <v>#VALUE!</v>
      </c>
      <c r="AV34" t="e">
        <f>'All regions'!H833+"n/&gt;!$)^"</f>
        <v>#VALUE!</v>
      </c>
      <c r="AW34" t="e">
        <f>'All regions'!I833+"n/&gt;!$)_"</f>
        <v>#VALUE!</v>
      </c>
      <c r="AX34" t="e">
        <f>'All regions'!J833+"n/&gt;!$)`"</f>
        <v>#VALUE!</v>
      </c>
      <c r="AY34" t="e">
        <f>'All regions'!A834+"n/&gt;!$)a"</f>
        <v>#VALUE!</v>
      </c>
      <c r="AZ34" t="e">
        <f>'All regions'!B834+"n/&gt;!$)b"</f>
        <v>#VALUE!</v>
      </c>
      <c r="BA34" t="e">
        <f>'All regions'!C834+"n/&gt;!$)c"</f>
        <v>#VALUE!</v>
      </c>
      <c r="BB34" t="e">
        <f>'All regions'!D834+"n/&gt;!$)d"</f>
        <v>#VALUE!</v>
      </c>
      <c r="BC34" t="e">
        <f>'All regions'!E834+"n/&gt;!$)e"</f>
        <v>#VALUE!</v>
      </c>
      <c r="BD34" t="e">
        <f>'All regions'!F834+"n/&gt;!$)f"</f>
        <v>#VALUE!</v>
      </c>
      <c r="BE34" t="e">
        <f>'All regions'!G834+"n/&gt;!$)g"</f>
        <v>#VALUE!</v>
      </c>
      <c r="BF34" t="e">
        <f>'All regions'!H834+"n/&gt;!$)h"</f>
        <v>#VALUE!</v>
      </c>
      <c r="BG34" t="e">
        <f>'All regions'!I834+"n/&gt;!$)i"</f>
        <v>#VALUE!</v>
      </c>
      <c r="BH34" t="e">
        <f>'All regions'!J834+"n/&gt;!$)j"</f>
        <v>#VALUE!</v>
      </c>
      <c r="BI34" t="e">
        <f>'All regions'!A835+"n/&gt;!$)k"</f>
        <v>#VALUE!</v>
      </c>
      <c r="BJ34" t="e">
        <f>'All regions'!B835+"n/&gt;!$)l"</f>
        <v>#VALUE!</v>
      </c>
      <c r="BK34" t="e">
        <f>'All regions'!C835+"n/&gt;!$)m"</f>
        <v>#VALUE!</v>
      </c>
      <c r="BL34" t="e">
        <f>'All regions'!D835+"n/&gt;!$)n"</f>
        <v>#VALUE!</v>
      </c>
      <c r="BM34" t="e">
        <f>'All regions'!E835+"n/&gt;!$)o"</f>
        <v>#VALUE!</v>
      </c>
      <c r="BN34" t="e">
        <f>'All regions'!F835+"n/&gt;!$)p"</f>
        <v>#VALUE!</v>
      </c>
      <c r="BO34" t="e">
        <f>'All regions'!G835+"n/&gt;!$)q"</f>
        <v>#VALUE!</v>
      </c>
      <c r="BP34" t="e">
        <f>'All regions'!H835+"n/&gt;!$)r"</f>
        <v>#VALUE!</v>
      </c>
      <c r="BQ34" t="e">
        <f>'All regions'!I835+"n/&gt;!$)s"</f>
        <v>#VALUE!</v>
      </c>
      <c r="BR34" t="e">
        <f>'All regions'!J835+"n/&gt;!$)t"</f>
        <v>#VALUE!</v>
      </c>
      <c r="BS34" t="e">
        <f>'All regions'!A836+"n/&gt;!$)u"</f>
        <v>#VALUE!</v>
      </c>
      <c r="BT34" t="e">
        <f>'All regions'!B836+"n/&gt;!$)v"</f>
        <v>#VALUE!</v>
      </c>
      <c r="BU34" t="e">
        <f>'All regions'!C836+"n/&gt;!$)w"</f>
        <v>#VALUE!</v>
      </c>
      <c r="BV34" t="e">
        <f>'All regions'!D836+"n/&gt;!$)x"</f>
        <v>#VALUE!</v>
      </c>
      <c r="BW34" t="e">
        <f>'All regions'!E836+"n/&gt;!$)y"</f>
        <v>#VALUE!</v>
      </c>
      <c r="BX34" t="e">
        <f>'All regions'!F836+"n/&gt;!$)z"</f>
        <v>#VALUE!</v>
      </c>
      <c r="BY34" t="e">
        <f>'All regions'!G836+"n/&gt;!$){"</f>
        <v>#VALUE!</v>
      </c>
      <c r="BZ34" t="e">
        <f>'All regions'!H836+"n/&gt;!$)|"</f>
        <v>#VALUE!</v>
      </c>
      <c r="CA34" t="e">
        <f>'All regions'!I836+"n/&gt;!$)}"</f>
        <v>#VALUE!</v>
      </c>
      <c r="CB34" t="e">
        <f>'All regions'!J836+"n/&gt;!$)~"</f>
        <v>#VALUE!</v>
      </c>
      <c r="CC34" t="e">
        <f>'All regions'!A837+"n/&gt;!$.#"</f>
        <v>#VALUE!</v>
      </c>
      <c r="CD34" t="e">
        <f>'All regions'!B837+"n/&gt;!$.$"</f>
        <v>#VALUE!</v>
      </c>
      <c r="CE34" t="e">
        <f>'All regions'!C837+"n/&gt;!$.%"</f>
        <v>#VALUE!</v>
      </c>
      <c r="CF34" t="e">
        <f>'All regions'!D837+"n/&gt;!$.&amp;"</f>
        <v>#VALUE!</v>
      </c>
      <c r="CG34" t="e">
        <f>'All regions'!E837+"n/&gt;!$.'"</f>
        <v>#VALUE!</v>
      </c>
      <c r="CH34" t="e">
        <f>'All regions'!F837+"n/&gt;!$.("</f>
        <v>#VALUE!</v>
      </c>
      <c r="CI34" t="e">
        <f>'All regions'!G837+"n/&gt;!$.)"</f>
        <v>#VALUE!</v>
      </c>
      <c r="CJ34" t="e">
        <f>'All regions'!H837+"n/&gt;!$.."</f>
        <v>#VALUE!</v>
      </c>
      <c r="CK34" t="e">
        <f>'All regions'!I837+"n/&gt;!$./"</f>
        <v>#VALUE!</v>
      </c>
      <c r="CL34" t="e">
        <f>'All regions'!J837+"n/&gt;!$.0"</f>
        <v>#VALUE!</v>
      </c>
      <c r="CM34" t="e">
        <f>'All regions'!A838+"n/&gt;!$.1"</f>
        <v>#VALUE!</v>
      </c>
      <c r="CN34" t="e">
        <f>'All regions'!B838+"n/&gt;!$.2"</f>
        <v>#VALUE!</v>
      </c>
      <c r="CO34" t="e">
        <f>'All regions'!C838+"n/&gt;!$.3"</f>
        <v>#VALUE!</v>
      </c>
      <c r="CP34" t="e">
        <f>'All regions'!D838+"n/&gt;!$.4"</f>
        <v>#VALUE!</v>
      </c>
      <c r="CQ34" t="e">
        <f>'All regions'!E838+"n/&gt;!$.5"</f>
        <v>#VALUE!</v>
      </c>
      <c r="CR34" t="e">
        <f>'All regions'!F838+"n/&gt;!$.6"</f>
        <v>#VALUE!</v>
      </c>
      <c r="CS34" t="e">
        <f>'All regions'!G838+"n/&gt;!$.7"</f>
        <v>#VALUE!</v>
      </c>
      <c r="CT34" t="e">
        <f>'All regions'!H838+"n/&gt;!$.8"</f>
        <v>#VALUE!</v>
      </c>
      <c r="CU34" t="e">
        <f>'All regions'!I838+"n/&gt;!$.9"</f>
        <v>#VALUE!</v>
      </c>
      <c r="CV34" t="e">
        <f>'All regions'!J838+"n/&gt;!$.:"</f>
        <v>#VALUE!</v>
      </c>
      <c r="CW34" t="e">
        <f>'All regions'!A839+"n/&gt;!$.;"</f>
        <v>#VALUE!</v>
      </c>
      <c r="CX34" t="e">
        <f>'All regions'!B839+"n/&gt;!$.&lt;"</f>
        <v>#VALUE!</v>
      </c>
      <c r="CY34" t="e">
        <f>'All regions'!C839+"n/&gt;!$.="</f>
        <v>#VALUE!</v>
      </c>
      <c r="CZ34" t="e">
        <f>'All regions'!D839+"n/&gt;!$.&gt;"</f>
        <v>#VALUE!</v>
      </c>
      <c r="DA34" t="e">
        <f>'All regions'!E839+"n/&gt;!$.?"</f>
        <v>#VALUE!</v>
      </c>
      <c r="DB34" t="e">
        <f>'All regions'!F839+"n/&gt;!$.@"</f>
        <v>#VALUE!</v>
      </c>
      <c r="DC34" t="e">
        <f>'All regions'!G839+"n/&gt;!$.A"</f>
        <v>#VALUE!</v>
      </c>
      <c r="DD34" t="e">
        <f>'All regions'!H839+"n/&gt;!$.B"</f>
        <v>#VALUE!</v>
      </c>
      <c r="DE34" t="e">
        <f>'All regions'!I839+"n/&gt;!$.C"</f>
        <v>#VALUE!</v>
      </c>
      <c r="DF34" t="e">
        <f>'All regions'!J839+"n/&gt;!$.D"</f>
        <v>#VALUE!</v>
      </c>
      <c r="DG34" t="e">
        <f>'All regions'!A840+"n/&gt;!$.E"</f>
        <v>#VALUE!</v>
      </c>
      <c r="DH34" t="e">
        <f>'All regions'!B840+"n/&gt;!$.F"</f>
        <v>#VALUE!</v>
      </c>
      <c r="DI34" t="e">
        <f>'All regions'!C840+"n/&gt;!$.G"</f>
        <v>#VALUE!</v>
      </c>
      <c r="DJ34" t="e">
        <f>'All regions'!D840+"n/&gt;!$.H"</f>
        <v>#VALUE!</v>
      </c>
      <c r="DK34" t="e">
        <f>'All regions'!E840+"n/&gt;!$.I"</f>
        <v>#VALUE!</v>
      </c>
      <c r="DL34" t="e">
        <f>'All regions'!F840+"n/&gt;!$.J"</f>
        <v>#VALUE!</v>
      </c>
      <c r="DM34" t="e">
        <f>'All regions'!G840+"n/&gt;!$.K"</f>
        <v>#VALUE!</v>
      </c>
      <c r="DN34" t="e">
        <f>'All regions'!H840+"n/&gt;!$.L"</f>
        <v>#VALUE!</v>
      </c>
      <c r="DO34" t="e">
        <f>'All regions'!I840+"n/&gt;!$.M"</f>
        <v>#VALUE!</v>
      </c>
      <c r="DP34" t="e">
        <f>'All regions'!J840+"n/&gt;!$.N"</f>
        <v>#VALUE!</v>
      </c>
      <c r="DQ34" t="e">
        <f>'All regions'!A841+"n/&gt;!$.O"</f>
        <v>#VALUE!</v>
      </c>
      <c r="DR34" t="e">
        <f>'All regions'!B841+"n/&gt;!$.P"</f>
        <v>#VALUE!</v>
      </c>
      <c r="DS34" t="e">
        <f>'All regions'!C841+"n/&gt;!$.Q"</f>
        <v>#VALUE!</v>
      </c>
      <c r="DT34" t="e">
        <f>'All regions'!D841+"n/&gt;!$.R"</f>
        <v>#VALUE!</v>
      </c>
      <c r="DU34" t="e">
        <f>'All regions'!E841+"n/&gt;!$.S"</f>
        <v>#VALUE!</v>
      </c>
      <c r="DV34" t="e">
        <f>'All regions'!F841+"n/&gt;!$.T"</f>
        <v>#VALUE!</v>
      </c>
      <c r="DW34" t="e">
        <f>'All regions'!G841+"n/&gt;!$.U"</f>
        <v>#VALUE!</v>
      </c>
      <c r="DX34" t="e">
        <f>'All regions'!H841+"n/&gt;!$.V"</f>
        <v>#VALUE!</v>
      </c>
      <c r="DY34" t="e">
        <f>'All regions'!I841+"n/&gt;!$.W"</f>
        <v>#VALUE!</v>
      </c>
      <c r="DZ34" t="e">
        <f>'All regions'!J841+"n/&gt;!$.X"</f>
        <v>#VALUE!</v>
      </c>
      <c r="EA34" t="e">
        <f>'All regions'!A842+"n/&gt;!$.Y"</f>
        <v>#VALUE!</v>
      </c>
      <c r="EB34" t="e">
        <f>'All regions'!B842+"n/&gt;!$.Z"</f>
        <v>#VALUE!</v>
      </c>
      <c r="EC34" t="e">
        <f>'All regions'!C842+"n/&gt;!$.["</f>
        <v>#VALUE!</v>
      </c>
      <c r="ED34" t="e">
        <f>'All regions'!D842+"n/&gt;!$.\"</f>
        <v>#VALUE!</v>
      </c>
      <c r="EE34" t="e">
        <f>'All regions'!E842+"n/&gt;!$.]"</f>
        <v>#VALUE!</v>
      </c>
      <c r="EF34" t="e">
        <f>'All regions'!F842+"n/&gt;!$.^"</f>
        <v>#VALUE!</v>
      </c>
      <c r="EG34" t="e">
        <f>'All regions'!G842+"n/&gt;!$._"</f>
        <v>#VALUE!</v>
      </c>
      <c r="EH34" t="e">
        <f>'All regions'!H842+"n/&gt;!$.`"</f>
        <v>#VALUE!</v>
      </c>
      <c r="EI34" t="e">
        <f>'All regions'!I842+"n/&gt;!$.a"</f>
        <v>#VALUE!</v>
      </c>
      <c r="EJ34" t="e">
        <f>'All regions'!J842+"n/&gt;!$.b"</f>
        <v>#VALUE!</v>
      </c>
      <c r="EK34" t="e">
        <f>'All regions'!A843+"n/&gt;!$.c"</f>
        <v>#VALUE!</v>
      </c>
      <c r="EL34" t="e">
        <f>'All regions'!B843+"n/&gt;!$.d"</f>
        <v>#VALUE!</v>
      </c>
      <c r="EM34" t="e">
        <f>'All regions'!C843+"n/&gt;!$.e"</f>
        <v>#VALUE!</v>
      </c>
      <c r="EN34" t="e">
        <f>'All regions'!D843+"n/&gt;!$.f"</f>
        <v>#VALUE!</v>
      </c>
      <c r="EO34" t="e">
        <f>'All regions'!E843+"n/&gt;!$.g"</f>
        <v>#VALUE!</v>
      </c>
      <c r="EP34" t="e">
        <f>'All regions'!F843+"n/&gt;!$.h"</f>
        <v>#VALUE!</v>
      </c>
      <c r="EQ34" t="e">
        <f>'All regions'!G843+"n/&gt;!$.i"</f>
        <v>#VALUE!</v>
      </c>
      <c r="ER34" t="e">
        <f>'All regions'!H843+"n/&gt;!$.j"</f>
        <v>#VALUE!</v>
      </c>
      <c r="ES34" t="e">
        <f>'All regions'!I843+"n/&gt;!$.k"</f>
        <v>#VALUE!</v>
      </c>
      <c r="ET34" t="e">
        <f>'All regions'!J843+"n/&gt;!$.l"</f>
        <v>#VALUE!</v>
      </c>
      <c r="EU34" t="e">
        <f>'All regions'!A844+"n/&gt;!$.m"</f>
        <v>#VALUE!</v>
      </c>
      <c r="EV34" t="e">
        <f>'All regions'!B844+"n/&gt;!$.n"</f>
        <v>#VALUE!</v>
      </c>
      <c r="EW34" t="e">
        <f>'All regions'!C844+"n/&gt;!$.o"</f>
        <v>#VALUE!</v>
      </c>
      <c r="EX34" t="e">
        <f>'All regions'!D844+"n/&gt;!$.p"</f>
        <v>#VALUE!</v>
      </c>
      <c r="EY34" t="e">
        <f>'All regions'!E844+"n/&gt;!$.q"</f>
        <v>#VALUE!</v>
      </c>
      <c r="EZ34" t="e">
        <f>'All regions'!F844+"n/&gt;!$.r"</f>
        <v>#VALUE!</v>
      </c>
      <c r="FA34" t="e">
        <f>'All regions'!G844+"n/&gt;!$.s"</f>
        <v>#VALUE!</v>
      </c>
      <c r="FB34" t="e">
        <f>'All regions'!H844+"n/&gt;!$.t"</f>
        <v>#VALUE!</v>
      </c>
      <c r="FC34" t="e">
        <f>'All regions'!I844+"n/&gt;!$.u"</f>
        <v>#VALUE!</v>
      </c>
      <c r="FD34" t="e">
        <f>'All regions'!J844+"n/&gt;!$.v"</f>
        <v>#VALUE!</v>
      </c>
      <c r="FE34" t="e">
        <f>'All regions'!A845+"n/&gt;!$.w"</f>
        <v>#VALUE!</v>
      </c>
      <c r="FF34" t="e">
        <f>'All regions'!B845+"n/&gt;!$.x"</f>
        <v>#VALUE!</v>
      </c>
      <c r="FG34" t="e">
        <f>'All regions'!C845+"n/&gt;!$.y"</f>
        <v>#VALUE!</v>
      </c>
      <c r="FH34" t="e">
        <f>'All regions'!D845+"n/&gt;!$.z"</f>
        <v>#VALUE!</v>
      </c>
      <c r="FI34" t="e">
        <f>'All regions'!E845+"n/&gt;!$.{"</f>
        <v>#VALUE!</v>
      </c>
      <c r="FJ34" t="e">
        <f>'All regions'!F845+"n/&gt;!$.|"</f>
        <v>#VALUE!</v>
      </c>
      <c r="FK34" t="e">
        <f>'All regions'!G845+"n/&gt;!$.}"</f>
        <v>#VALUE!</v>
      </c>
      <c r="FL34" t="e">
        <f>'All regions'!H845+"n/&gt;!$.~"</f>
        <v>#VALUE!</v>
      </c>
      <c r="FM34" t="e">
        <f>'All regions'!I845+"n/&gt;!$/#"</f>
        <v>#VALUE!</v>
      </c>
      <c r="FN34" t="e">
        <f>'All regions'!J845+"n/&gt;!$/$"</f>
        <v>#VALUE!</v>
      </c>
      <c r="FO34" t="e">
        <f>'All regions'!A846+"n/&gt;!$/%"</f>
        <v>#VALUE!</v>
      </c>
      <c r="FP34" t="e">
        <f>'All regions'!B846+"n/&gt;!$/&amp;"</f>
        <v>#VALUE!</v>
      </c>
      <c r="FQ34" t="e">
        <f>'All regions'!C846+"n/&gt;!$/'"</f>
        <v>#VALUE!</v>
      </c>
      <c r="FR34" t="e">
        <f>'All regions'!D846+"n/&gt;!$/("</f>
        <v>#VALUE!</v>
      </c>
      <c r="FS34" t="e">
        <f>'All regions'!E846+"n/&gt;!$/)"</f>
        <v>#VALUE!</v>
      </c>
      <c r="FT34" t="e">
        <f>'All regions'!F846+"n/&gt;!$/."</f>
        <v>#VALUE!</v>
      </c>
      <c r="FU34" t="e">
        <f>'All regions'!G846+"n/&gt;!$//"</f>
        <v>#VALUE!</v>
      </c>
      <c r="FV34" t="e">
        <f>'All regions'!H846+"n/&gt;!$/0"</f>
        <v>#VALUE!</v>
      </c>
      <c r="FW34" t="e">
        <f>'All regions'!I846+"n/&gt;!$/1"</f>
        <v>#VALUE!</v>
      </c>
      <c r="FX34" t="e">
        <f>'All regions'!J846+"n/&gt;!$/2"</f>
        <v>#VALUE!</v>
      </c>
      <c r="FY34" t="e">
        <f>'All regions'!A847+"n/&gt;!$/3"</f>
        <v>#VALUE!</v>
      </c>
      <c r="FZ34" t="e">
        <f>'All regions'!B847+"n/&gt;!$/4"</f>
        <v>#VALUE!</v>
      </c>
      <c r="GA34" t="e">
        <f>'All regions'!C847+"n/&gt;!$/5"</f>
        <v>#VALUE!</v>
      </c>
      <c r="GB34" t="e">
        <f>'All regions'!D847+"n/&gt;!$/6"</f>
        <v>#VALUE!</v>
      </c>
      <c r="GC34" t="e">
        <f>'All regions'!E847+"n/&gt;!$/7"</f>
        <v>#VALUE!</v>
      </c>
      <c r="GD34" t="e">
        <f>'All regions'!F847+"n/&gt;!$/8"</f>
        <v>#VALUE!</v>
      </c>
      <c r="GE34" t="e">
        <f>'All regions'!G847+"n/&gt;!$/9"</f>
        <v>#VALUE!</v>
      </c>
      <c r="GF34" t="e">
        <f>'All regions'!H847+"n/&gt;!$/:"</f>
        <v>#VALUE!</v>
      </c>
      <c r="GG34" t="e">
        <f>'All regions'!I847+"n/&gt;!$/;"</f>
        <v>#VALUE!</v>
      </c>
      <c r="GH34" t="e">
        <f>'All regions'!J847+"n/&gt;!$/&lt;"</f>
        <v>#VALUE!</v>
      </c>
      <c r="GI34" t="e">
        <f>'All regions'!A848+"n/&gt;!$/="</f>
        <v>#VALUE!</v>
      </c>
      <c r="GJ34" t="e">
        <f>'All regions'!B848+"n/&gt;!$/&gt;"</f>
        <v>#VALUE!</v>
      </c>
      <c r="GK34" t="e">
        <f>'All regions'!C848+"n/&gt;!$/?"</f>
        <v>#VALUE!</v>
      </c>
      <c r="GL34" t="e">
        <f>'All regions'!D848+"n/&gt;!$/@"</f>
        <v>#VALUE!</v>
      </c>
      <c r="GM34" t="e">
        <f>'All regions'!E848+"n/&gt;!$/A"</f>
        <v>#VALUE!</v>
      </c>
      <c r="GN34" t="e">
        <f>'All regions'!F848+"n/&gt;!$/B"</f>
        <v>#VALUE!</v>
      </c>
      <c r="GO34" t="e">
        <f>'All regions'!G848+"n/&gt;!$/C"</f>
        <v>#VALUE!</v>
      </c>
      <c r="GP34" t="e">
        <f>'All regions'!H848+"n/&gt;!$/D"</f>
        <v>#VALUE!</v>
      </c>
      <c r="GQ34" t="e">
        <f>'All regions'!I848+"n/&gt;!$/E"</f>
        <v>#VALUE!</v>
      </c>
      <c r="GR34" t="e">
        <f>'All regions'!J848+"n/&gt;!$/F"</f>
        <v>#VALUE!</v>
      </c>
      <c r="GS34" t="e">
        <f>'All regions'!A849+"n/&gt;!$/G"</f>
        <v>#VALUE!</v>
      </c>
      <c r="GT34" t="e">
        <f>'All regions'!B849+"n/&gt;!$/H"</f>
        <v>#VALUE!</v>
      </c>
      <c r="GU34" t="e">
        <f>'All regions'!C849+"n/&gt;!$/I"</f>
        <v>#VALUE!</v>
      </c>
      <c r="GV34" t="e">
        <f>'All regions'!D849+"n/&gt;!$/J"</f>
        <v>#VALUE!</v>
      </c>
      <c r="GW34" t="e">
        <f>'All regions'!E849+"n/&gt;!$/K"</f>
        <v>#VALUE!</v>
      </c>
      <c r="GX34" t="e">
        <f>'All regions'!F849+"n/&gt;!$/L"</f>
        <v>#VALUE!</v>
      </c>
      <c r="GY34" t="e">
        <f>'All regions'!G849+"n/&gt;!$/M"</f>
        <v>#VALUE!</v>
      </c>
      <c r="GZ34" t="e">
        <f>'All regions'!H849+"n/&gt;!$/N"</f>
        <v>#VALUE!</v>
      </c>
      <c r="HA34" t="e">
        <f>'All regions'!I849+"n/&gt;!$/O"</f>
        <v>#VALUE!</v>
      </c>
      <c r="HB34" t="e">
        <f>'All regions'!J849+"n/&gt;!$/P"</f>
        <v>#VALUE!</v>
      </c>
      <c r="HC34" t="e">
        <f>'All regions'!A850+"n/&gt;!$/Q"</f>
        <v>#VALUE!</v>
      </c>
      <c r="HD34" t="e">
        <f>'All regions'!B850+"n/&gt;!$/R"</f>
        <v>#VALUE!</v>
      </c>
      <c r="HE34" t="e">
        <f>'All regions'!C850+"n/&gt;!$/S"</f>
        <v>#VALUE!</v>
      </c>
      <c r="HF34" t="e">
        <f>'All regions'!D850+"n/&gt;!$/T"</f>
        <v>#VALUE!</v>
      </c>
      <c r="HG34" t="e">
        <f>'All regions'!E850+"n/&gt;!$/U"</f>
        <v>#VALUE!</v>
      </c>
      <c r="HH34" t="e">
        <f>'All regions'!F850+"n/&gt;!$/V"</f>
        <v>#VALUE!</v>
      </c>
      <c r="HI34" t="e">
        <f>'All regions'!G850+"n/&gt;!$/W"</f>
        <v>#VALUE!</v>
      </c>
      <c r="HJ34" t="e">
        <f>'All regions'!H850+"n/&gt;!$/X"</f>
        <v>#VALUE!</v>
      </c>
      <c r="HK34" t="e">
        <f>'All regions'!I850+"n/&gt;!$/Y"</f>
        <v>#VALUE!</v>
      </c>
      <c r="HL34" t="e">
        <f>'All regions'!J850+"n/&gt;!$/Z"</f>
        <v>#VALUE!</v>
      </c>
      <c r="HM34" t="e">
        <f>'All regions'!A851+"n/&gt;!$/["</f>
        <v>#VALUE!</v>
      </c>
      <c r="HN34" t="e">
        <f>'All regions'!B851+"n/&gt;!$/\"</f>
        <v>#VALUE!</v>
      </c>
      <c r="HO34" t="e">
        <f>'All regions'!C851+"n/&gt;!$/]"</f>
        <v>#VALUE!</v>
      </c>
      <c r="HP34" t="e">
        <f>'All regions'!D851+"n/&gt;!$/^"</f>
        <v>#VALUE!</v>
      </c>
      <c r="HQ34" t="e">
        <f>'All regions'!E851+"n/&gt;!$/_"</f>
        <v>#VALUE!</v>
      </c>
      <c r="HR34" t="e">
        <f>'All regions'!F851+"n/&gt;!$/`"</f>
        <v>#VALUE!</v>
      </c>
      <c r="HS34" t="e">
        <f>'All regions'!G851+"n/&gt;!$/a"</f>
        <v>#VALUE!</v>
      </c>
      <c r="HT34" t="e">
        <f>'All regions'!H851+"n/&gt;!$/b"</f>
        <v>#VALUE!</v>
      </c>
      <c r="HU34" t="e">
        <f>'All regions'!I851+"n/&gt;!$/c"</f>
        <v>#VALUE!</v>
      </c>
      <c r="HV34" t="e">
        <f>'All regions'!J851+"n/&gt;!$/d"</f>
        <v>#VALUE!</v>
      </c>
      <c r="HW34" t="e">
        <f>'All regions'!A852+"n/&gt;!$/e"</f>
        <v>#VALUE!</v>
      </c>
      <c r="HX34" t="e">
        <f>'All regions'!B852+"n/&gt;!$/f"</f>
        <v>#VALUE!</v>
      </c>
      <c r="HY34" t="e">
        <f>'All regions'!C852+"n/&gt;!$/g"</f>
        <v>#VALUE!</v>
      </c>
      <c r="HZ34" t="e">
        <f>'All regions'!D852+"n/&gt;!$/h"</f>
        <v>#VALUE!</v>
      </c>
      <c r="IA34" t="e">
        <f>'All regions'!E852+"n/&gt;!$/i"</f>
        <v>#VALUE!</v>
      </c>
      <c r="IB34" t="e">
        <f>'All regions'!F852+"n/&gt;!$/j"</f>
        <v>#VALUE!</v>
      </c>
      <c r="IC34" t="e">
        <f>'All regions'!G852+"n/&gt;!$/k"</f>
        <v>#VALUE!</v>
      </c>
      <c r="ID34" t="e">
        <f>'All regions'!H852+"n/&gt;!$/l"</f>
        <v>#VALUE!</v>
      </c>
      <c r="IE34" t="e">
        <f>'All regions'!I852+"n/&gt;!$/m"</f>
        <v>#VALUE!</v>
      </c>
      <c r="IF34" t="e">
        <f>'All regions'!J852+"n/&gt;!$/n"</f>
        <v>#VALUE!</v>
      </c>
      <c r="IG34" t="e">
        <f>'All regions'!A853+"n/&gt;!$/o"</f>
        <v>#VALUE!</v>
      </c>
      <c r="IH34" t="e">
        <f>'All regions'!B853+"n/&gt;!$/p"</f>
        <v>#VALUE!</v>
      </c>
      <c r="II34" t="e">
        <f>'All regions'!C853+"n/&gt;!$/q"</f>
        <v>#VALUE!</v>
      </c>
      <c r="IJ34" t="e">
        <f>'All regions'!D853+"n/&gt;!$/r"</f>
        <v>#VALUE!</v>
      </c>
      <c r="IK34" t="e">
        <f>'All regions'!E853+"n/&gt;!$/s"</f>
        <v>#VALUE!</v>
      </c>
      <c r="IL34" t="e">
        <f>'All regions'!F853+"n/&gt;!$/t"</f>
        <v>#VALUE!</v>
      </c>
      <c r="IM34" t="e">
        <f>'All regions'!G853+"n/&gt;!$/u"</f>
        <v>#VALUE!</v>
      </c>
      <c r="IN34" t="e">
        <f>'All regions'!H853+"n/&gt;!$/v"</f>
        <v>#VALUE!</v>
      </c>
      <c r="IO34" t="e">
        <f>'All regions'!I853+"n/&gt;!$/w"</f>
        <v>#VALUE!</v>
      </c>
      <c r="IP34" t="e">
        <f>'All regions'!J853+"n/&gt;!$/x"</f>
        <v>#VALUE!</v>
      </c>
      <c r="IQ34" t="e">
        <f>'All regions'!A854+"n/&gt;!$/y"</f>
        <v>#VALUE!</v>
      </c>
      <c r="IR34" t="e">
        <f>'All regions'!B854+"n/&gt;!$/z"</f>
        <v>#VALUE!</v>
      </c>
      <c r="IS34" t="e">
        <f>'All regions'!C854+"n/&gt;!$/{"</f>
        <v>#VALUE!</v>
      </c>
      <c r="IT34" t="e">
        <f>'All regions'!D854+"n/&gt;!$/|"</f>
        <v>#VALUE!</v>
      </c>
      <c r="IU34" t="e">
        <f>'All regions'!E854+"n/&gt;!$/}"</f>
        <v>#VALUE!</v>
      </c>
      <c r="IV34" t="e">
        <f>'All regions'!F854+"n/&gt;!$/~"</f>
        <v>#VALUE!</v>
      </c>
    </row>
    <row r="35" spans="6:256" x14ac:dyDescent="0.35">
      <c r="F35" t="e">
        <f>'All regions'!G854+"n/&gt;!$0#"</f>
        <v>#VALUE!</v>
      </c>
      <c r="G35" t="e">
        <f>'All regions'!H854+"n/&gt;!$0$"</f>
        <v>#VALUE!</v>
      </c>
      <c r="H35" t="e">
        <f>'All regions'!I854+"n/&gt;!$0%"</f>
        <v>#VALUE!</v>
      </c>
      <c r="I35" t="e">
        <f>'All regions'!J854+"n/&gt;!$0&amp;"</f>
        <v>#VALUE!</v>
      </c>
      <c r="J35" t="e">
        <f>'All regions'!A855+"n/&gt;!$0'"</f>
        <v>#VALUE!</v>
      </c>
      <c r="K35" t="e">
        <f>'All regions'!B855+"n/&gt;!$0("</f>
        <v>#VALUE!</v>
      </c>
      <c r="L35" t="e">
        <f>'All regions'!C855+"n/&gt;!$0)"</f>
        <v>#VALUE!</v>
      </c>
      <c r="M35" t="e">
        <f>'All regions'!D855+"n/&gt;!$0."</f>
        <v>#VALUE!</v>
      </c>
      <c r="N35" t="e">
        <f>'All regions'!E855+"n/&gt;!$0/"</f>
        <v>#VALUE!</v>
      </c>
      <c r="O35" t="e">
        <f>'All regions'!F855+"n/&gt;!$00"</f>
        <v>#VALUE!</v>
      </c>
      <c r="P35" t="e">
        <f>'All regions'!G855+"n/&gt;!$01"</f>
        <v>#VALUE!</v>
      </c>
      <c r="Q35" t="e">
        <f>'All regions'!H855+"n/&gt;!$02"</f>
        <v>#VALUE!</v>
      </c>
      <c r="R35" t="e">
        <f>'All regions'!I855+"n/&gt;!$03"</f>
        <v>#VALUE!</v>
      </c>
      <c r="S35" t="e">
        <f>'All regions'!J855+"n/&gt;!$04"</f>
        <v>#VALUE!</v>
      </c>
      <c r="T35" t="e">
        <f>'All regions'!A856+"n/&gt;!$05"</f>
        <v>#VALUE!</v>
      </c>
      <c r="U35" t="e">
        <f>'All regions'!B856+"n/&gt;!$06"</f>
        <v>#VALUE!</v>
      </c>
      <c r="V35" t="e">
        <f>'All regions'!C856+"n/&gt;!$07"</f>
        <v>#VALUE!</v>
      </c>
      <c r="W35" t="e">
        <f>'All regions'!D856+"n/&gt;!$08"</f>
        <v>#VALUE!</v>
      </c>
      <c r="X35" t="e">
        <f>'All regions'!E856+"n/&gt;!$09"</f>
        <v>#VALUE!</v>
      </c>
      <c r="Y35" t="e">
        <f>'All regions'!F856+"n/&gt;!$0:"</f>
        <v>#VALUE!</v>
      </c>
      <c r="Z35" t="e">
        <f>'All regions'!G856+"n/&gt;!$0;"</f>
        <v>#VALUE!</v>
      </c>
      <c r="AA35" t="e">
        <f>'All regions'!H856+"n/&gt;!$0&lt;"</f>
        <v>#VALUE!</v>
      </c>
      <c r="AB35" t="e">
        <f>'All regions'!I856+"n/&gt;!$0="</f>
        <v>#VALUE!</v>
      </c>
      <c r="AC35" t="e">
        <f>'All regions'!J856+"n/&gt;!$0&gt;"</f>
        <v>#VALUE!</v>
      </c>
      <c r="AD35" t="e">
        <f>'All regions'!A857+"n/&gt;!$0?"</f>
        <v>#VALUE!</v>
      </c>
      <c r="AE35" t="e">
        <f>'All regions'!B857+"n/&gt;!$0@"</f>
        <v>#VALUE!</v>
      </c>
      <c r="AF35" t="e">
        <f>'All regions'!C857+"n/&gt;!$0A"</f>
        <v>#VALUE!</v>
      </c>
      <c r="AG35" t="e">
        <f>'All regions'!D857+"n/&gt;!$0B"</f>
        <v>#VALUE!</v>
      </c>
      <c r="AH35" t="e">
        <f>'All regions'!E857+"n/&gt;!$0C"</f>
        <v>#VALUE!</v>
      </c>
      <c r="AI35" t="e">
        <f>'All regions'!F857+"n/&gt;!$0D"</f>
        <v>#VALUE!</v>
      </c>
      <c r="AJ35" t="e">
        <f>'All regions'!G857+"n/&gt;!$0E"</f>
        <v>#VALUE!</v>
      </c>
      <c r="AK35" t="e">
        <f>'All regions'!H857+"n/&gt;!$0F"</f>
        <v>#VALUE!</v>
      </c>
      <c r="AL35" t="e">
        <f>'All regions'!I857+"n/&gt;!$0G"</f>
        <v>#VALUE!</v>
      </c>
      <c r="AM35" t="e">
        <f>'All regions'!J857+"n/&gt;!$0H"</f>
        <v>#VALUE!</v>
      </c>
      <c r="AN35" t="e">
        <f>'All regions'!A858+"n/&gt;!$0I"</f>
        <v>#VALUE!</v>
      </c>
      <c r="AO35" t="e">
        <f>'All regions'!B858+"n/&gt;!$0J"</f>
        <v>#VALUE!</v>
      </c>
      <c r="AP35" t="e">
        <f>'All regions'!C858+"n/&gt;!$0K"</f>
        <v>#VALUE!</v>
      </c>
      <c r="AQ35" t="e">
        <f>'All regions'!D858+"n/&gt;!$0L"</f>
        <v>#VALUE!</v>
      </c>
      <c r="AR35" t="e">
        <f>'All regions'!E858+"n/&gt;!$0M"</f>
        <v>#VALUE!</v>
      </c>
      <c r="AS35" t="e">
        <f>'All regions'!F858+"n/&gt;!$0N"</f>
        <v>#VALUE!</v>
      </c>
      <c r="AT35" t="e">
        <f>'All regions'!G858+"n/&gt;!$0O"</f>
        <v>#VALUE!</v>
      </c>
      <c r="AU35" t="e">
        <f>'All regions'!H858+"n/&gt;!$0P"</f>
        <v>#VALUE!</v>
      </c>
      <c r="AV35" t="e">
        <f>'All regions'!I858+"n/&gt;!$0Q"</f>
        <v>#VALUE!</v>
      </c>
      <c r="AW35" t="e">
        <f>'All regions'!J858+"n/&gt;!$0R"</f>
        <v>#VALUE!</v>
      </c>
      <c r="AX35" t="e">
        <f>'All regions'!A859+"n/&gt;!$0S"</f>
        <v>#VALUE!</v>
      </c>
      <c r="AY35" t="e">
        <f>'All regions'!B859+"n/&gt;!$0T"</f>
        <v>#VALUE!</v>
      </c>
      <c r="AZ35" t="e">
        <f>'All regions'!C859+"n/&gt;!$0U"</f>
        <v>#VALUE!</v>
      </c>
      <c r="BA35" t="e">
        <f>'All regions'!D859+"n/&gt;!$0V"</f>
        <v>#VALUE!</v>
      </c>
      <c r="BB35" t="e">
        <f>'All regions'!E859+"n/&gt;!$0W"</f>
        <v>#VALUE!</v>
      </c>
      <c r="BC35" t="e">
        <f>'All regions'!F859+"n/&gt;!$0X"</f>
        <v>#VALUE!</v>
      </c>
      <c r="BD35" t="e">
        <f>'All regions'!G859+"n/&gt;!$0Y"</f>
        <v>#VALUE!</v>
      </c>
      <c r="BE35" t="e">
        <f>'All regions'!H859+"n/&gt;!$0Z"</f>
        <v>#VALUE!</v>
      </c>
      <c r="BF35" t="e">
        <f>'All regions'!I859+"n/&gt;!$0["</f>
        <v>#VALUE!</v>
      </c>
      <c r="BG35" t="e">
        <f>'All regions'!J859+"n/&gt;!$0\"</f>
        <v>#VALUE!</v>
      </c>
      <c r="BH35" t="e">
        <f>'All regions'!A860+"n/&gt;!$0]"</f>
        <v>#VALUE!</v>
      </c>
      <c r="BI35" t="e">
        <f>'All regions'!B860+"n/&gt;!$0^"</f>
        <v>#VALUE!</v>
      </c>
      <c r="BJ35" t="e">
        <f>'All regions'!C860+"n/&gt;!$0_"</f>
        <v>#VALUE!</v>
      </c>
      <c r="BK35" t="e">
        <f>'All regions'!D860+"n/&gt;!$0`"</f>
        <v>#VALUE!</v>
      </c>
      <c r="BL35" t="e">
        <f>'All regions'!E860+"n/&gt;!$0a"</f>
        <v>#VALUE!</v>
      </c>
      <c r="BM35" t="e">
        <f>'All regions'!F860+"n/&gt;!$0b"</f>
        <v>#VALUE!</v>
      </c>
      <c r="BN35" t="e">
        <f>'All regions'!G860+"n/&gt;!$0c"</f>
        <v>#VALUE!</v>
      </c>
      <c r="BO35" t="e">
        <f>'All regions'!H860+"n/&gt;!$0d"</f>
        <v>#VALUE!</v>
      </c>
      <c r="BP35" t="e">
        <f>'All regions'!I860+"n/&gt;!$0e"</f>
        <v>#VALUE!</v>
      </c>
      <c r="BQ35" t="e">
        <f>'All regions'!J860+"n/&gt;!$0f"</f>
        <v>#VALUE!</v>
      </c>
      <c r="BR35" t="e">
        <f>'All regions'!A861+"n/&gt;!$0g"</f>
        <v>#VALUE!</v>
      </c>
      <c r="BS35" t="e">
        <f>'All regions'!B861+"n/&gt;!$0h"</f>
        <v>#VALUE!</v>
      </c>
      <c r="BT35" t="e">
        <f>'All regions'!C861+"n/&gt;!$0i"</f>
        <v>#VALUE!</v>
      </c>
      <c r="BU35" t="e">
        <f>'All regions'!D861+"n/&gt;!$0j"</f>
        <v>#VALUE!</v>
      </c>
      <c r="BV35" t="e">
        <f>'All regions'!E861+"n/&gt;!$0k"</f>
        <v>#VALUE!</v>
      </c>
      <c r="BW35" t="e">
        <f>'All regions'!F861+"n/&gt;!$0l"</f>
        <v>#VALUE!</v>
      </c>
      <c r="BX35" t="e">
        <f>'All regions'!G861+"n/&gt;!$0m"</f>
        <v>#VALUE!</v>
      </c>
      <c r="BY35" t="e">
        <f>'All regions'!H861+"n/&gt;!$0n"</f>
        <v>#VALUE!</v>
      </c>
      <c r="BZ35" t="e">
        <f>'All regions'!I861+"n/&gt;!$0o"</f>
        <v>#VALUE!</v>
      </c>
      <c r="CA35" t="e">
        <f>'All regions'!J861+"n/&gt;!$0p"</f>
        <v>#VALUE!</v>
      </c>
      <c r="CB35" t="e">
        <f>'All regions'!A862+"n/&gt;!$0q"</f>
        <v>#VALUE!</v>
      </c>
      <c r="CC35" t="e">
        <f>'All regions'!B862+"n/&gt;!$0r"</f>
        <v>#VALUE!</v>
      </c>
      <c r="CD35" t="e">
        <f>'All regions'!C862+"n/&gt;!$0s"</f>
        <v>#VALUE!</v>
      </c>
      <c r="CE35" t="e">
        <f>'All regions'!D862+"n/&gt;!$0t"</f>
        <v>#VALUE!</v>
      </c>
      <c r="CF35" t="e">
        <f>'All regions'!E862+"n/&gt;!$0u"</f>
        <v>#VALUE!</v>
      </c>
      <c r="CG35" t="e">
        <f>'All regions'!F862+"n/&gt;!$0v"</f>
        <v>#VALUE!</v>
      </c>
      <c r="CH35" t="e">
        <f>'All regions'!G862+"n/&gt;!$0w"</f>
        <v>#VALUE!</v>
      </c>
      <c r="CI35" t="e">
        <f>'All regions'!H862+"n/&gt;!$0x"</f>
        <v>#VALUE!</v>
      </c>
      <c r="CJ35" t="e">
        <f>'All regions'!I862+"n/&gt;!$0y"</f>
        <v>#VALUE!</v>
      </c>
      <c r="CK35" t="e">
        <f>'All regions'!J862+"n/&gt;!$0z"</f>
        <v>#VALUE!</v>
      </c>
      <c r="CL35" t="e">
        <f>'All regions'!A863+"n/&gt;!$0{"</f>
        <v>#VALUE!</v>
      </c>
      <c r="CM35" t="e">
        <f>'All regions'!B863+"n/&gt;!$0|"</f>
        <v>#VALUE!</v>
      </c>
      <c r="CN35" t="e">
        <f>'All regions'!C863+"n/&gt;!$0}"</f>
        <v>#VALUE!</v>
      </c>
      <c r="CO35" t="e">
        <f>'All regions'!D863+"n/&gt;!$0~"</f>
        <v>#VALUE!</v>
      </c>
      <c r="CP35" t="e">
        <f>'All regions'!E863+"n/&gt;!$1#"</f>
        <v>#VALUE!</v>
      </c>
      <c r="CQ35" t="e">
        <f>'All regions'!F863+"n/&gt;!$1$"</f>
        <v>#VALUE!</v>
      </c>
      <c r="CR35" t="e">
        <f>'All regions'!G863+"n/&gt;!$1%"</f>
        <v>#VALUE!</v>
      </c>
      <c r="CS35" t="e">
        <f>'All regions'!H863+"n/&gt;!$1&amp;"</f>
        <v>#VALUE!</v>
      </c>
      <c r="CT35" t="e">
        <f>'All regions'!I863+"n/&gt;!$1'"</f>
        <v>#VALUE!</v>
      </c>
      <c r="CU35" t="e">
        <f>'All regions'!J863+"n/&gt;!$1("</f>
        <v>#VALUE!</v>
      </c>
      <c r="CV35" t="e">
        <f>'All regions'!A864+"n/&gt;!$1)"</f>
        <v>#VALUE!</v>
      </c>
      <c r="CW35" t="e">
        <f>'All regions'!B864+"n/&gt;!$1."</f>
        <v>#VALUE!</v>
      </c>
      <c r="CX35" t="e">
        <f>'All regions'!C864+"n/&gt;!$1/"</f>
        <v>#VALUE!</v>
      </c>
      <c r="CY35" t="e">
        <f>'All regions'!D864+"n/&gt;!$10"</f>
        <v>#VALUE!</v>
      </c>
      <c r="CZ35" t="e">
        <f>'All regions'!E864+"n/&gt;!$11"</f>
        <v>#VALUE!</v>
      </c>
      <c r="DA35" t="e">
        <f>'All regions'!F864+"n/&gt;!$12"</f>
        <v>#VALUE!</v>
      </c>
      <c r="DB35" t="e">
        <f>'All regions'!G864+"n/&gt;!$13"</f>
        <v>#VALUE!</v>
      </c>
      <c r="DC35" t="e">
        <f>'All regions'!H864+"n/&gt;!$14"</f>
        <v>#VALUE!</v>
      </c>
      <c r="DD35" t="e">
        <f>'All regions'!I864+"n/&gt;!$15"</f>
        <v>#VALUE!</v>
      </c>
      <c r="DE35" t="e">
        <f>'All regions'!J864+"n/&gt;!$16"</f>
        <v>#VALUE!</v>
      </c>
      <c r="DF35" t="e">
        <f>'All regions'!A865+"n/&gt;!$17"</f>
        <v>#VALUE!</v>
      </c>
      <c r="DG35" t="e">
        <f>'All regions'!B865+"n/&gt;!$18"</f>
        <v>#VALUE!</v>
      </c>
      <c r="DH35" t="e">
        <f>'All regions'!C865+"n/&gt;!$19"</f>
        <v>#VALUE!</v>
      </c>
      <c r="DI35" t="e">
        <f>'All regions'!D865+"n/&gt;!$1:"</f>
        <v>#VALUE!</v>
      </c>
      <c r="DJ35" t="e">
        <f>'All regions'!E865+"n/&gt;!$1;"</f>
        <v>#VALUE!</v>
      </c>
      <c r="DK35" t="e">
        <f>'All regions'!F865+"n/&gt;!$1&lt;"</f>
        <v>#VALUE!</v>
      </c>
      <c r="DL35" t="e">
        <f>'All regions'!G865+"n/&gt;!$1="</f>
        <v>#VALUE!</v>
      </c>
      <c r="DM35" t="e">
        <f>'All regions'!H865+"n/&gt;!$1&gt;"</f>
        <v>#VALUE!</v>
      </c>
      <c r="DN35" t="e">
        <f>'All regions'!I865+"n/&gt;!$1?"</f>
        <v>#VALUE!</v>
      </c>
      <c r="DO35" t="e">
        <f>'All regions'!J865+"n/&gt;!$1@"</f>
        <v>#VALUE!</v>
      </c>
      <c r="DP35" t="e">
        <f>'All regions'!A866+"n/&gt;!$1A"</f>
        <v>#VALUE!</v>
      </c>
      <c r="DQ35" t="e">
        <f>'All regions'!B866+"n/&gt;!$1B"</f>
        <v>#VALUE!</v>
      </c>
      <c r="DR35" t="e">
        <f>'All regions'!C866+"n/&gt;!$1C"</f>
        <v>#VALUE!</v>
      </c>
      <c r="DS35" t="e">
        <f>'All regions'!D866+"n/&gt;!$1D"</f>
        <v>#VALUE!</v>
      </c>
      <c r="DT35" t="e">
        <f>'All regions'!E866+"n/&gt;!$1E"</f>
        <v>#VALUE!</v>
      </c>
      <c r="DU35" t="e">
        <f>'All regions'!F866+"n/&gt;!$1F"</f>
        <v>#VALUE!</v>
      </c>
      <c r="DV35" t="e">
        <f>'All regions'!G866+"n/&gt;!$1G"</f>
        <v>#VALUE!</v>
      </c>
      <c r="DW35" t="e">
        <f>'All regions'!H866+"n/&gt;!$1H"</f>
        <v>#VALUE!</v>
      </c>
      <c r="DX35" t="e">
        <f>'All regions'!I866+"n/&gt;!$1I"</f>
        <v>#VALUE!</v>
      </c>
      <c r="DY35" t="e">
        <f>'All regions'!J866+"n/&gt;!$1J"</f>
        <v>#VALUE!</v>
      </c>
      <c r="DZ35" t="e">
        <f>'All regions'!A867+"n/&gt;!$1K"</f>
        <v>#VALUE!</v>
      </c>
      <c r="EA35" t="e">
        <f>'All regions'!B867+"n/&gt;!$1L"</f>
        <v>#VALUE!</v>
      </c>
      <c r="EB35" t="e">
        <f>'All regions'!C867+"n/&gt;!$1M"</f>
        <v>#VALUE!</v>
      </c>
      <c r="EC35" t="e">
        <f>'All regions'!D867+"n/&gt;!$1N"</f>
        <v>#VALUE!</v>
      </c>
      <c r="ED35" t="e">
        <f>'All regions'!E867+"n/&gt;!$1O"</f>
        <v>#VALUE!</v>
      </c>
      <c r="EE35" t="e">
        <f>'All regions'!F867+"n/&gt;!$1P"</f>
        <v>#VALUE!</v>
      </c>
      <c r="EF35" t="e">
        <f>'All regions'!G867+"n/&gt;!$1Q"</f>
        <v>#VALUE!</v>
      </c>
      <c r="EG35" t="e">
        <f>'All regions'!H867+"n/&gt;!$1R"</f>
        <v>#VALUE!</v>
      </c>
      <c r="EH35" t="e">
        <f>'All regions'!I867+"n/&gt;!$1S"</f>
        <v>#VALUE!</v>
      </c>
      <c r="EI35" t="e">
        <f>'All regions'!J867+"n/&gt;!$1T"</f>
        <v>#VALUE!</v>
      </c>
      <c r="EJ35" t="e">
        <f>'All regions'!A868+"n/&gt;!$1U"</f>
        <v>#VALUE!</v>
      </c>
      <c r="EK35" t="e">
        <f>'All regions'!B868+"n/&gt;!$1V"</f>
        <v>#VALUE!</v>
      </c>
      <c r="EL35" t="e">
        <f>'All regions'!C868+"n/&gt;!$1W"</f>
        <v>#VALUE!</v>
      </c>
      <c r="EM35" t="e">
        <f>'All regions'!D868+"n/&gt;!$1X"</f>
        <v>#VALUE!</v>
      </c>
      <c r="EN35" t="e">
        <f>'All regions'!E868+"n/&gt;!$1Y"</f>
        <v>#VALUE!</v>
      </c>
      <c r="EO35" t="e">
        <f>'All regions'!F868+"n/&gt;!$1Z"</f>
        <v>#VALUE!</v>
      </c>
      <c r="EP35" t="e">
        <f>'All regions'!G868+"n/&gt;!$1["</f>
        <v>#VALUE!</v>
      </c>
      <c r="EQ35" t="e">
        <f>'All regions'!H868+"n/&gt;!$1\"</f>
        <v>#VALUE!</v>
      </c>
      <c r="ER35" t="e">
        <f>'All regions'!I868+"n/&gt;!$1]"</f>
        <v>#VALUE!</v>
      </c>
      <c r="ES35" t="e">
        <f>'All regions'!J868+"n/&gt;!$1^"</f>
        <v>#VALUE!</v>
      </c>
      <c r="ET35" t="e">
        <f>'All regions'!A869+"n/&gt;!$1_"</f>
        <v>#VALUE!</v>
      </c>
      <c r="EU35" t="e">
        <f>'All regions'!B869+"n/&gt;!$1`"</f>
        <v>#VALUE!</v>
      </c>
      <c r="EV35" t="e">
        <f>'All regions'!C869+"n/&gt;!$1a"</f>
        <v>#VALUE!</v>
      </c>
      <c r="EW35" t="e">
        <f>'All regions'!D869+"n/&gt;!$1b"</f>
        <v>#VALUE!</v>
      </c>
      <c r="EX35" t="e">
        <f>'All regions'!E869+"n/&gt;!$1c"</f>
        <v>#VALUE!</v>
      </c>
      <c r="EY35" t="e">
        <f>'All regions'!F869+"n/&gt;!$1d"</f>
        <v>#VALUE!</v>
      </c>
      <c r="EZ35" t="e">
        <f>'All regions'!G869+"n/&gt;!$1e"</f>
        <v>#VALUE!</v>
      </c>
      <c r="FA35" t="e">
        <f>'All regions'!H869+"n/&gt;!$1f"</f>
        <v>#VALUE!</v>
      </c>
      <c r="FB35" t="e">
        <f>'All regions'!I869+"n/&gt;!$1g"</f>
        <v>#VALUE!</v>
      </c>
      <c r="FC35" t="e">
        <f>'All regions'!J869+"n/&gt;!$1h"</f>
        <v>#VALUE!</v>
      </c>
      <c r="FD35" t="e">
        <f>'All regions'!A870+"n/&gt;!$1i"</f>
        <v>#VALUE!</v>
      </c>
      <c r="FE35" t="e">
        <f>'All regions'!B870+"n/&gt;!$1j"</f>
        <v>#VALUE!</v>
      </c>
      <c r="FF35" t="e">
        <f>'All regions'!C870+"n/&gt;!$1k"</f>
        <v>#VALUE!</v>
      </c>
      <c r="FG35" t="e">
        <f>'All regions'!D870+"n/&gt;!$1l"</f>
        <v>#VALUE!</v>
      </c>
      <c r="FH35" t="e">
        <f>'All regions'!E870+"n/&gt;!$1m"</f>
        <v>#VALUE!</v>
      </c>
      <c r="FI35" t="e">
        <f>'All regions'!F870+"n/&gt;!$1n"</f>
        <v>#VALUE!</v>
      </c>
      <c r="FJ35" t="e">
        <f>'All regions'!G870+"n/&gt;!$1o"</f>
        <v>#VALUE!</v>
      </c>
      <c r="FK35" t="e">
        <f>'All regions'!H870+"n/&gt;!$1p"</f>
        <v>#VALUE!</v>
      </c>
      <c r="FL35" t="e">
        <f>'All regions'!I870+"n/&gt;!$1q"</f>
        <v>#VALUE!</v>
      </c>
      <c r="FM35" t="e">
        <f>'All regions'!J870+"n/&gt;!$1r"</f>
        <v>#VALUE!</v>
      </c>
      <c r="FN35" t="e">
        <f>'All regions'!A871+"n/&gt;!$1s"</f>
        <v>#VALUE!</v>
      </c>
      <c r="FO35" t="e">
        <f>'All regions'!B871+"n/&gt;!$1t"</f>
        <v>#VALUE!</v>
      </c>
      <c r="FP35" t="e">
        <f>'All regions'!C871+"n/&gt;!$1u"</f>
        <v>#VALUE!</v>
      </c>
      <c r="FQ35" t="e">
        <f>'All regions'!D871+"n/&gt;!$1v"</f>
        <v>#VALUE!</v>
      </c>
      <c r="FR35" t="e">
        <f>'All regions'!E871+"n/&gt;!$1w"</f>
        <v>#VALUE!</v>
      </c>
      <c r="FS35" t="e">
        <f>'All regions'!F871+"n/&gt;!$1x"</f>
        <v>#VALUE!</v>
      </c>
      <c r="FT35" t="e">
        <f>'All regions'!G871+"n/&gt;!$1y"</f>
        <v>#VALUE!</v>
      </c>
      <c r="FU35" t="e">
        <f>'All regions'!H871+"n/&gt;!$1z"</f>
        <v>#VALUE!</v>
      </c>
      <c r="FV35" t="e">
        <f>'All regions'!I871+"n/&gt;!$1{"</f>
        <v>#VALUE!</v>
      </c>
      <c r="FW35" t="e">
        <f>'All regions'!J871+"n/&gt;!$1|"</f>
        <v>#VALUE!</v>
      </c>
      <c r="FX35" t="e">
        <f>'All regions'!A872+"n/&gt;!$1}"</f>
        <v>#VALUE!</v>
      </c>
      <c r="FY35" t="e">
        <f>'All regions'!B872+"n/&gt;!$1~"</f>
        <v>#VALUE!</v>
      </c>
      <c r="FZ35" t="e">
        <f>'All regions'!C872+"n/&gt;!$2#"</f>
        <v>#VALUE!</v>
      </c>
      <c r="GA35" t="e">
        <f>'All regions'!D872+"n/&gt;!$2$"</f>
        <v>#VALUE!</v>
      </c>
      <c r="GB35" t="e">
        <f>'All regions'!E872+"n/&gt;!$2%"</f>
        <v>#VALUE!</v>
      </c>
      <c r="GC35" t="e">
        <f>'All regions'!F872+"n/&gt;!$2&amp;"</f>
        <v>#VALUE!</v>
      </c>
      <c r="GD35" t="e">
        <f>'All regions'!G872+"n/&gt;!$2'"</f>
        <v>#VALUE!</v>
      </c>
      <c r="GE35" t="e">
        <f>'All regions'!H872+"n/&gt;!$2("</f>
        <v>#VALUE!</v>
      </c>
      <c r="GF35" t="e">
        <f>'All regions'!I872+"n/&gt;!$2)"</f>
        <v>#VALUE!</v>
      </c>
      <c r="GG35" t="e">
        <f>'All regions'!J872+"n/&gt;!$2."</f>
        <v>#VALUE!</v>
      </c>
      <c r="GH35" t="e">
        <f>'All regions'!A873+"n/&gt;!$2/"</f>
        <v>#VALUE!</v>
      </c>
      <c r="GI35" t="e">
        <f>'All regions'!B873+"n/&gt;!$20"</f>
        <v>#VALUE!</v>
      </c>
      <c r="GJ35" t="e">
        <f>'All regions'!C873+"n/&gt;!$21"</f>
        <v>#VALUE!</v>
      </c>
      <c r="GK35" t="e">
        <f>'All regions'!D873+"n/&gt;!$22"</f>
        <v>#VALUE!</v>
      </c>
      <c r="GL35" t="e">
        <f>'All regions'!E873+"n/&gt;!$23"</f>
        <v>#VALUE!</v>
      </c>
      <c r="GM35" t="e">
        <f>'All regions'!F873+"n/&gt;!$24"</f>
        <v>#VALUE!</v>
      </c>
      <c r="GN35" t="e">
        <f>'All regions'!G873+"n/&gt;!$25"</f>
        <v>#VALUE!</v>
      </c>
      <c r="GO35" t="e">
        <f>'All regions'!H873+"n/&gt;!$26"</f>
        <v>#VALUE!</v>
      </c>
      <c r="GP35" t="e">
        <f>'All regions'!I873+"n/&gt;!$27"</f>
        <v>#VALUE!</v>
      </c>
      <c r="GQ35" t="e">
        <f>'All regions'!J873+"n/&gt;!$28"</f>
        <v>#VALUE!</v>
      </c>
      <c r="GR35" t="e">
        <f>'All regions'!A874+"n/&gt;!$29"</f>
        <v>#VALUE!</v>
      </c>
      <c r="GS35" t="e">
        <f>'All regions'!B874+"n/&gt;!$2:"</f>
        <v>#VALUE!</v>
      </c>
      <c r="GT35" t="e">
        <f>'All regions'!C874+"n/&gt;!$2;"</f>
        <v>#VALUE!</v>
      </c>
      <c r="GU35" t="e">
        <f>'All regions'!D874+"n/&gt;!$2&lt;"</f>
        <v>#VALUE!</v>
      </c>
      <c r="GV35" t="e">
        <f>'All regions'!E874+"n/&gt;!$2="</f>
        <v>#VALUE!</v>
      </c>
      <c r="GW35" t="e">
        <f>'All regions'!F874+"n/&gt;!$2&gt;"</f>
        <v>#VALUE!</v>
      </c>
      <c r="GX35" t="e">
        <f>'All regions'!G874+"n/&gt;!$2?"</f>
        <v>#VALUE!</v>
      </c>
      <c r="GY35" t="e">
        <f>'All regions'!H874+"n/&gt;!$2@"</f>
        <v>#VALUE!</v>
      </c>
      <c r="GZ35" t="e">
        <f>'All regions'!I874+"n/&gt;!$2A"</f>
        <v>#VALUE!</v>
      </c>
      <c r="HA35" t="e">
        <f>'All regions'!J874+"n/&gt;!$2B"</f>
        <v>#VALUE!</v>
      </c>
      <c r="HB35" t="e">
        <f>'All regions'!A875+"n/&gt;!$2C"</f>
        <v>#VALUE!</v>
      </c>
      <c r="HC35" t="e">
        <f>'All regions'!B875+"n/&gt;!$2D"</f>
        <v>#VALUE!</v>
      </c>
      <c r="HD35" t="e">
        <f>'All regions'!C875+"n/&gt;!$2E"</f>
        <v>#VALUE!</v>
      </c>
      <c r="HE35" t="e">
        <f>'All regions'!D875+"n/&gt;!$2F"</f>
        <v>#VALUE!</v>
      </c>
      <c r="HF35" t="e">
        <f>'All regions'!E875+"n/&gt;!$2G"</f>
        <v>#VALUE!</v>
      </c>
      <c r="HG35" t="e">
        <f>'All regions'!F875+"n/&gt;!$2H"</f>
        <v>#VALUE!</v>
      </c>
      <c r="HH35" t="e">
        <f>'All regions'!G875+"n/&gt;!$2I"</f>
        <v>#VALUE!</v>
      </c>
      <c r="HI35" t="e">
        <f>'All regions'!H875+"n/&gt;!$2J"</f>
        <v>#VALUE!</v>
      </c>
      <c r="HJ35" t="e">
        <f>'All regions'!I875+"n/&gt;!$2K"</f>
        <v>#VALUE!</v>
      </c>
      <c r="HK35" t="e">
        <f>'All regions'!J875+"n/&gt;!$2L"</f>
        <v>#VALUE!</v>
      </c>
      <c r="HL35" t="e">
        <f>'All regions'!A876+"n/&gt;!$2M"</f>
        <v>#VALUE!</v>
      </c>
      <c r="HM35" t="e">
        <f>'All regions'!B876+"n/&gt;!$2N"</f>
        <v>#VALUE!</v>
      </c>
      <c r="HN35" t="e">
        <f>'All regions'!C876+"n/&gt;!$2O"</f>
        <v>#VALUE!</v>
      </c>
      <c r="HO35" t="e">
        <f>'All regions'!D876+"n/&gt;!$2P"</f>
        <v>#VALUE!</v>
      </c>
      <c r="HP35" t="e">
        <f>'All regions'!E876+"n/&gt;!$2Q"</f>
        <v>#VALUE!</v>
      </c>
      <c r="HQ35" t="e">
        <f>'All regions'!F876+"n/&gt;!$2R"</f>
        <v>#VALUE!</v>
      </c>
      <c r="HR35" t="e">
        <f>'All regions'!G876+"n/&gt;!$2S"</f>
        <v>#VALUE!</v>
      </c>
      <c r="HS35" t="e">
        <f>'All regions'!H876+"n/&gt;!$2T"</f>
        <v>#VALUE!</v>
      </c>
      <c r="HT35" t="e">
        <f>'All regions'!I876+"n/&gt;!$2U"</f>
        <v>#VALUE!</v>
      </c>
      <c r="HU35" t="e">
        <f>'All regions'!J876+"n/&gt;!$2V"</f>
        <v>#VALUE!</v>
      </c>
      <c r="HV35" t="e">
        <f>'All regions'!A877+"n/&gt;!$2W"</f>
        <v>#VALUE!</v>
      </c>
      <c r="HW35" t="e">
        <f>'All regions'!B877+"n/&gt;!$2X"</f>
        <v>#VALUE!</v>
      </c>
      <c r="HX35" t="e">
        <f>'All regions'!C877+"n/&gt;!$2Y"</f>
        <v>#VALUE!</v>
      </c>
      <c r="HY35" t="e">
        <f>'All regions'!D877+"n/&gt;!$2Z"</f>
        <v>#VALUE!</v>
      </c>
      <c r="HZ35" t="e">
        <f>'All regions'!E877+"n/&gt;!$2["</f>
        <v>#VALUE!</v>
      </c>
      <c r="IA35" t="e">
        <f>'All regions'!F877+"n/&gt;!$2\"</f>
        <v>#VALUE!</v>
      </c>
      <c r="IB35" t="e">
        <f>'All regions'!G877+"n/&gt;!$2]"</f>
        <v>#VALUE!</v>
      </c>
      <c r="IC35" t="e">
        <f>'All regions'!H877+"n/&gt;!$2^"</f>
        <v>#VALUE!</v>
      </c>
      <c r="ID35" t="e">
        <f>'All regions'!I877+"n/&gt;!$2_"</f>
        <v>#VALUE!</v>
      </c>
      <c r="IE35" t="e">
        <f>'All regions'!J877+"n/&gt;!$2`"</f>
        <v>#VALUE!</v>
      </c>
      <c r="IF35" t="e">
        <f>'All regions'!A878+"n/&gt;!$2a"</f>
        <v>#VALUE!</v>
      </c>
      <c r="IG35" t="e">
        <f>'All regions'!B878+"n/&gt;!$2b"</f>
        <v>#VALUE!</v>
      </c>
      <c r="IH35" t="e">
        <f>'All regions'!C878+"n/&gt;!$2c"</f>
        <v>#VALUE!</v>
      </c>
      <c r="II35" t="e">
        <f>'All regions'!D878+"n/&gt;!$2d"</f>
        <v>#VALUE!</v>
      </c>
      <c r="IJ35" t="e">
        <f>'All regions'!E878+"n/&gt;!$2e"</f>
        <v>#VALUE!</v>
      </c>
      <c r="IK35" t="e">
        <f>'All regions'!F878+"n/&gt;!$2f"</f>
        <v>#VALUE!</v>
      </c>
      <c r="IL35" t="e">
        <f>'All regions'!G878+"n/&gt;!$2g"</f>
        <v>#VALUE!</v>
      </c>
      <c r="IM35" t="e">
        <f>'All regions'!H878+"n/&gt;!$2h"</f>
        <v>#VALUE!</v>
      </c>
      <c r="IN35" t="e">
        <f>'All regions'!I878+"n/&gt;!$2i"</f>
        <v>#VALUE!</v>
      </c>
      <c r="IO35" t="e">
        <f>'All regions'!J878+"n/&gt;!$2j"</f>
        <v>#VALUE!</v>
      </c>
      <c r="IP35" t="e">
        <f>'All regions'!A879+"n/&gt;!$2k"</f>
        <v>#VALUE!</v>
      </c>
      <c r="IQ35" t="e">
        <f>'All regions'!B879+"n/&gt;!$2l"</f>
        <v>#VALUE!</v>
      </c>
      <c r="IR35" t="e">
        <f>'All regions'!C879+"n/&gt;!$2m"</f>
        <v>#VALUE!</v>
      </c>
      <c r="IS35" t="e">
        <f>'All regions'!D879+"n/&gt;!$2n"</f>
        <v>#VALUE!</v>
      </c>
      <c r="IT35" t="e">
        <f>'All regions'!E879+"n/&gt;!$2o"</f>
        <v>#VALUE!</v>
      </c>
      <c r="IU35" t="e">
        <f>'All regions'!F879+"n/&gt;!$2p"</f>
        <v>#VALUE!</v>
      </c>
      <c r="IV35" t="e">
        <f>'All regions'!G879+"n/&gt;!$2q"</f>
        <v>#VALUE!</v>
      </c>
    </row>
    <row r="36" spans="6:256" x14ac:dyDescent="0.35">
      <c r="F36" t="e">
        <f>'All regions'!H879+"n/&gt;!$2r"</f>
        <v>#VALUE!</v>
      </c>
      <c r="G36" t="e">
        <f>'All regions'!I879+"n/&gt;!$2s"</f>
        <v>#VALUE!</v>
      </c>
      <c r="H36" t="e">
        <f>'All regions'!J879+"n/&gt;!$2t"</f>
        <v>#VALUE!</v>
      </c>
      <c r="I36" t="e">
        <f>'All regions'!A880+"n/&gt;!$2u"</f>
        <v>#VALUE!</v>
      </c>
      <c r="J36" t="e">
        <f>'All regions'!B880+"n/&gt;!$2v"</f>
        <v>#VALUE!</v>
      </c>
      <c r="K36" t="e">
        <f>'All regions'!C880+"n/&gt;!$2w"</f>
        <v>#VALUE!</v>
      </c>
      <c r="L36" t="e">
        <f>'All regions'!D880+"n/&gt;!$2x"</f>
        <v>#VALUE!</v>
      </c>
      <c r="M36" t="e">
        <f>'All regions'!E880+"n/&gt;!$2y"</f>
        <v>#VALUE!</v>
      </c>
      <c r="N36" t="e">
        <f>'All regions'!F880+"n/&gt;!$2z"</f>
        <v>#VALUE!</v>
      </c>
      <c r="O36" t="e">
        <f>'All regions'!G880+"n/&gt;!$2{"</f>
        <v>#VALUE!</v>
      </c>
      <c r="P36" t="e">
        <f>'All regions'!H880+"n/&gt;!$2|"</f>
        <v>#VALUE!</v>
      </c>
      <c r="Q36" t="e">
        <f>'All regions'!I880+"n/&gt;!$2}"</f>
        <v>#VALUE!</v>
      </c>
      <c r="R36" t="e">
        <f>'All regions'!J880+"n/&gt;!$2~"</f>
        <v>#VALUE!</v>
      </c>
      <c r="S36" t="e">
        <f>'All regions'!A881+"n/&gt;!$3#"</f>
        <v>#VALUE!</v>
      </c>
      <c r="T36" t="e">
        <f>'All regions'!B881+"n/&gt;!$3$"</f>
        <v>#VALUE!</v>
      </c>
      <c r="U36" t="e">
        <f>'All regions'!C881+"n/&gt;!$3%"</f>
        <v>#VALUE!</v>
      </c>
      <c r="V36" t="e">
        <f>'All regions'!D881+"n/&gt;!$3&amp;"</f>
        <v>#VALUE!</v>
      </c>
      <c r="W36" t="e">
        <f>'All regions'!E881+"n/&gt;!$3'"</f>
        <v>#VALUE!</v>
      </c>
      <c r="X36" t="e">
        <f>'All regions'!F881+"n/&gt;!$3("</f>
        <v>#VALUE!</v>
      </c>
      <c r="Y36" t="e">
        <f>'All regions'!G881+"n/&gt;!$3)"</f>
        <v>#VALUE!</v>
      </c>
      <c r="Z36" t="e">
        <f>'All regions'!H881+"n/&gt;!$3."</f>
        <v>#VALUE!</v>
      </c>
      <c r="AA36" t="e">
        <f>'All regions'!I881+"n/&gt;!$3/"</f>
        <v>#VALUE!</v>
      </c>
      <c r="AB36" t="e">
        <f>'All regions'!J881+"n/&gt;!$30"</f>
        <v>#VALUE!</v>
      </c>
      <c r="AC36" t="e">
        <f>'All regions'!A882+"n/&gt;!$31"</f>
        <v>#VALUE!</v>
      </c>
      <c r="AD36" t="e">
        <f>'All regions'!B882+"n/&gt;!$32"</f>
        <v>#VALUE!</v>
      </c>
      <c r="AE36" t="e">
        <f>'All regions'!C882+"n/&gt;!$33"</f>
        <v>#VALUE!</v>
      </c>
      <c r="AF36" t="e">
        <f>'All regions'!D882+"n/&gt;!$34"</f>
        <v>#VALUE!</v>
      </c>
      <c r="AG36" t="e">
        <f>'All regions'!E882+"n/&gt;!$35"</f>
        <v>#VALUE!</v>
      </c>
      <c r="AH36" t="e">
        <f>'All regions'!F882+"n/&gt;!$36"</f>
        <v>#VALUE!</v>
      </c>
      <c r="AI36" t="e">
        <f>'All regions'!G882+"n/&gt;!$37"</f>
        <v>#VALUE!</v>
      </c>
      <c r="AJ36" t="e">
        <f>'All regions'!H882+"n/&gt;!$38"</f>
        <v>#VALUE!</v>
      </c>
      <c r="AK36" t="e">
        <f>'All regions'!I882+"n/&gt;!$39"</f>
        <v>#VALUE!</v>
      </c>
      <c r="AL36" t="e">
        <f>'All regions'!J882+"n/&gt;!$3:"</f>
        <v>#VALUE!</v>
      </c>
      <c r="AM36" t="e">
        <f>'All regions'!A883+"n/&gt;!$3;"</f>
        <v>#VALUE!</v>
      </c>
      <c r="AN36" t="e">
        <f>'All regions'!B883+"n/&gt;!$3&lt;"</f>
        <v>#VALUE!</v>
      </c>
      <c r="AO36" t="e">
        <f>'All regions'!C883+"n/&gt;!$3="</f>
        <v>#VALUE!</v>
      </c>
      <c r="AP36" t="e">
        <f>'All regions'!D883+"n/&gt;!$3&gt;"</f>
        <v>#VALUE!</v>
      </c>
      <c r="AQ36" t="e">
        <f>'All regions'!E883+"n/&gt;!$3?"</f>
        <v>#VALUE!</v>
      </c>
      <c r="AR36" t="e">
        <f>'All regions'!F883+"n/&gt;!$3@"</f>
        <v>#VALUE!</v>
      </c>
      <c r="AS36" t="e">
        <f>'All regions'!G883+"n/&gt;!$3A"</f>
        <v>#VALUE!</v>
      </c>
      <c r="AT36" t="e">
        <f>'All regions'!H883+"n/&gt;!$3B"</f>
        <v>#VALUE!</v>
      </c>
      <c r="AU36" t="e">
        <f>'All regions'!I883+"n/&gt;!$3C"</f>
        <v>#VALUE!</v>
      </c>
      <c r="AV36" t="e">
        <f>'All regions'!J883+"n/&gt;!$3D"</f>
        <v>#VALUE!</v>
      </c>
      <c r="AW36" t="e">
        <f>'All regions'!A884+"n/&gt;!$3E"</f>
        <v>#VALUE!</v>
      </c>
      <c r="AX36" t="e">
        <f>'All regions'!B884+"n/&gt;!$3F"</f>
        <v>#VALUE!</v>
      </c>
      <c r="AY36" t="e">
        <f>'All regions'!C884+"n/&gt;!$3G"</f>
        <v>#VALUE!</v>
      </c>
      <c r="AZ36" t="e">
        <f>'All regions'!D884+"n/&gt;!$3H"</f>
        <v>#VALUE!</v>
      </c>
      <c r="BA36" t="e">
        <f>'All regions'!E884+"n/&gt;!$3I"</f>
        <v>#VALUE!</v>
      </c>
      <c r="BB36" t="e">
        <f>'All regions'!F884+"n/&gt;!$3J"</f>
        <v>#VALUE!</v>
      </c>
      <c r="BC36" t="e">
        <f>'All regions'!G884+"n/&gt;!$3K"</f>
        <v>#VALUE!</v>
      </c>
      <c r="BD36" t="e">
        <f>'All regions'!H884+"n/&gt;!$3L"</f>
        <v>#VALUE!</v>
      </c>
      <c r="BE36" t="e">
        <f>'All regions'!I884+"n/&gt;!$3M"</f>
        <v>#VALUE!</v>
      </c>
      <c r="BF36" t="e">
        <f>'All regions'!J884+"n/&gt;!$3N"</f>
        <v>#VALUE!</v>
      </c>
      <c r="BG36" t="e">
        <f>'All regions'!A885+"n/&gt;!$3O"</f>
        <v>#VALUE!</v>
      </c>
      <c r="BH36" t="e">
        <f>'All regions'!B885+"n/&gt;!$3P"</f>
        <v>#VALUE!</v>
      </c>
      <c r="BI36" t="e">
        <f>'All regions'!C885+"n/&gt;!$3Q"</f>
        <v>#VALUE!</v>
      </c>
      <c r="BJ36" t="e">
        <f>'All regions'!D885+"n/&gt;!$3R"</f>
        <v>#VALUE!</v>
      </c>
      <c r="BK36" t="e">
        <f>'All regions'!E885+"n/&gt;!$3S"</f>
        <v>#VALUE!</v>
      </c>
      <c r="BL36" t="e">
        <f>'All regions'!F885+"n/&gt;!$3T"</f>
        <v>#VALUE!</v>
      </c>
      <c r="BM36" t="e">
        <f>'All regions'!G885+"n/&gt;!$3U"</f>
        <v>#VALUE!</v>
      </c>
      <c r="BN36" t="e">
        <f>'All regions'!H885+"n/&gt;!$3V"</f>
        <v>#VALUE!</v>
      </c>
      <c r="BO36" t="e">
        <f>'All regions'!I885+"n/&gt;!$3W"</f>
        <v>#VALUE!</v>
      </c>
      <c r="BP36" t="e">
        <f>'All regions'!J885+"n/&gt;!$3X"</f>
        <v>#VALUE!</v>
      </c>
      <c r="BQ36" t="e">
        <f>'All regions'!A886+"n/&gt;!$3Y"</f>
        <v>#VALUE!</v>
      </c>
      <c r="BR36" t="e">
        <f>'All regions'!B886+"n/&gt;!$3Z"</f>
        <v>#VALUE!</v>
      </c>
      <c r="BS36" t="e">
        <f>'All regions'!C886+"n/&gt;!$3["</f>
        <v>#VALUE!</v>
      </c>
      <c r="BT36" t="e">
        <f>'All regions'!D886+"n/&gt;!$3\"</f>
        <v>#VALUE!</v>
      </c>
      <c r="BU36" t="e">
        <f>'All regions'!E886+"n/&gt;!$3]"</f>
        <v>#VALUE!</v>
      </c>
      <c r="BV36" t="e">
        <f>'All regions'!F886+"n/&gt;!$3^"</f>
        <v>#VALUE!</v>
      </c>
      <c r="BW36" t="e">
        <f>'All regions'!G886+"n/&gt;!$3_"</f>
        <v>#VALUE!</v>
      </c>
      <c r="BX36" t="e">
        <f>'All regions'!H886+"n/&gt;!$3`"</f>
        <v>#VALUE!</v>
      </c>
      <c r="BY36" t="e">
        <f>'All regions'!I886+"n/&gt;!$3a"</f>
        <v>#VALUE!</v>
      </c>
      <c r="BZ36" t="e">
        <f>'All regions'!J886+"n/&gt;!$3b"</f>
        <v>#VALUE!</v>
      </c>
      <c r="CA36" t="e">
        <f>'All regions'!A887+"n/&gt;!$3c"</f>
        <v>#VALUE!</v>
      </c>
      <c r="CB36" t="e">
        <f>'All regions'!B887+"n/&gt;!$3d"</f>
        <v>#VALUE!</v>
      </c>
      <c r="CC36" t="e">
        <f>'All regions'!C887+"n/&gt;!$3e"</f>
        <v>#VALUE!</v>
      </c>
      <c r="CD36" t="e">
        <f>'All regions'!D887+"n/&gt;!$3f"</f>
        <v>#VALUE!</v>
      </c>
      <c r="CE36" t="e">
        <f>'All regions'!E887+"n/&gt;!$3g"</f>
        <v>#VALUE!</v>
      </c>
      <c r="CF36" t="e">
        <f>'All regions'!F887+"n/&gt;!$3h"</f>
        <v>#VALUE!</v>
      </c>
      <c r="CG36" t="e">
        <f>'All regions'!G887+"n/&gt;!$3i"</f>
        <v>#VALUE!</v>
      </c>
      <c r="CH36" t="e">
        <f>'All regions'!H887+"n/&gt;!$3j"</f>
        <v>#VALUE!</v>
      </c>
      <c r="CI36" t="e">
        <f>'All regions'!I887+"n/&gt;!$3k"</f>
        <v>#VALUE!</v>
      </c>
      <c r="CJ36" t="e">
        <f>'All regions'!J887+"n/&gt;!$3l"</f>
        <v>#VALUE!</v>
      </c>
      <c r="CK36" t="e">
        <f>'All regions'!A888+"n/&gt;!$3m"</f>
        <v>#VALUE!</v>
      </c>
      <c r="CL36" t="e">
        <f>'All regions'!B888+"n/&gt;!$3n"</f>
        <v>#VALUE!</v>
      </c>
      <c r="CM36" t="e">
        <f>'All regions'!C888+"n/&gt;!$3o"</f>
        <v>#VALUE!</v>
      </c>
      <c r="CN36" t="e">
        <f>'All regions'!D888+"n/&gt;!$3p"</f>
        <v>#VALUE!</v>
      </c>
      <c r="CO36" t="e">
        <f>'All regions'!E888+"n/&gt;!$3q"</f>
        <v>#VALUE!</v>
      </c>
      <c r="CP36" t="e">
        <f>'All regions'!F888+"n/&gt;!$3r"</f>
        <v>#VALUE!</v>
      </c>
      <c r="CQ36" t="e">
        <f>'All regions'!G888+"n/&gt;!$3s"</f>
        <v>#VALUE!</v>
      </c>
      <c r="CR36" t="e">
        <f>'All regions'!H888+"n/&gt;!$3t"</f>
        <v>#VALUE!</v>
      </c>
      <c r="CS36" t="e">
        <f>'All regions'!I888+"n/&gt;!$3u"</f>
        <v>#VALUE!</v>
      </c>
      <c r="CT36" t="e">
        <f>'All regions'!J888+"n/&gt;!$3v"</f>
        <v>#VALUE!</v>
      </c>
      <c r="CU36" t="e">
        <f>'All regions'!A889+"n/&gt;!$3w"</f>
        <v>#VALUE!</v>
      </c>
      <c r="CV36" t="e">
        <f>'All regions'!B889+"n/&gt;!$3x"</f>
        <v>#VALUE!</v>
      </c>
      <c r="CW36" t="e">
        <f>'All regions'!C889+"n/&gt;!$3y"</f>
        <v>#VALUE!</v>
      </c>
      <c r="CX36" t="e">
        <f>'All regions'!D889+"n/&gt;!$3z"</f>
        <v>#VALUE!</v>
      </c>
      <c r="CY36" t="e">
        <f>'All regions'!E889+"n/&gt;!$3{"</f>
        <v>#VALUE!</v>
      </c>
      <c r="CZ36" t="e">
        <f>'All regions'!F889+"n/&gt;!$3|"</f>
        <v>#VALUE!</v>
      </c>
      <c r="DA36" t="e">
        <f>'All regions'!G889+"n/&gt;!$3}"</f>
        <v>#VALUE!</v>
      </c>
      <c r="DB36" t="e">
        <f>'All regions'!H889+"n/&gt;!$3~"</f>
        <v>#VALUE!</v>
      </c>
      <c r="DC36" t="e">
        <f>'All regions'!I889+"n/&gt;!$4#"</f>
        <v>#VALUE!</v>
      </c>
      <c r="DD36" t="e">
        <f>'All regions'!J889+"n/&gt;!$4$"</f>
        <v>#VALUE!</v>
      </c>
      <c r="DE36" t="e">
        <f>'All regions'!A890+"n/&gt;!$4%"</f>
        <v>#VALUE!</v>
      </c>
      <c r="DF36" t="e">
        <f>'All regions'!B890+"n/&gt;!$4&amp;"</f>
        <v>#VALUE!</v>
      </c>
      <c r="DG36" t="e">
        <f>'All regions'!C890+"n/&gt;!$4'"</f>
        <v>#VALUE!</v>
      </c>
      <c r="DH36" t="e">
        <f>'All regions'!D890+"n/&gt;!$4("</f>
        <v>#VALUE!</v>
      </c>
      <c r="DI36" t="e">
        <f>'All regions'!E890+"n/&gt;!$4)"</f>
        <v>#VALUE!</v>
      </c>
      <c r="DJ36" t="e">
        <f>'All regions'!F890+"n/&gt;!$4."</f>
        <v>#VALUE!</v>
      </c>
      <c r="DK36" t="e">
        <f>'All regions'!G890+"n/&gt;!$4/"</f>
        <v>#VALUE!</v>
      </c>
      <c r="DL36" t="e">
        <f>'All regions'!H890+"n/&gt;!$40"</f>
        <v>#VALUE!</v>
      </c>
      <c r="DM36" t="e">
        <f>'All regions'!I890+"n/&gt;!$41"</f>
        <v>#VALUE!</v>
      </c>
      <c r="DN36" t="e">
        <f>'All regions'!J890+"n/&gt;!$42"</f>
        <v>#VALUE!</v>
      </c>
      <c r="DO36" t="e">
        <f>'All regions'!A891+"n/&gt;!$43"</f>
        <v>#VALUE!</v>
      </c>
      <c r="DP36" t="e">
        <f>'All regions'!B891+"n/&gt;!$44"</f>
        <v>#VALUE!</v>
      </c>
      <c r="DQ36" t="e">
        <f>'All regions'!C891+"n/&gt;!$45"</f>
        <v>#VALUE!</v>
      </c>
      <c r="DR36" t="e">
        <f>'All regions'!D891+"n/&gt;!$46"</f>
        <v>#VALUE!</v>
      </c>
      <c r="DS36" t="e">
        <f>'All regions'!E891+"n/&gt;!$47"</f>
        <v>#VALUE!</v>
      </c>
      <c r="DT36" t="e">
        <f>'All regions'!F891+"n/&gt;!$48"</f>
        <v>#VALUE!</v>
      </c>
      <c r="DU36" t="e">
        <f>'All regions'!G891+"n/&gt;!$49"</f>
        <v>#VALUE!</v>
      </c>
      <c r="DV36" t="e">
        <f>'All regions'!H891+"n/&gt;!$4:"</f>
        <v>#VALUE!</v>
      </c>
      <c r="DW36" t="e">
        <f>'All regions'!I891+"n/&gt;!$4;"</f>
        <v>#VALUE!</v>
      </c>
      <c r="DX36" t="e">
        <f>'All regions'!J891+"n/&gt;!$4&lt;"</f>
        <v>#VALUE!</v>
      </c>
      <c r="DY36" t="e">
        <f>'All regions'!A892+"n/&gt;!$4="</f>
        <v>#VALUE!</v>
      </c>
      <c r="DZ36" t="e">
        <f>'All regions'!B892+"n/&gt;!$4&gt;"</f>
        <v>#VALUE!</v>
      </c>
      <c r="EA36" t="e">
        <f>'All regions'!C892+"n/&gt;!$4?"</f>
        <v>#VALUE!</v>
      </c>
      <c r="EB36" t="e">
        <f>'All regions'!D892+"n/&gt;!$4@"</f>
        <v>#VALUE!</v>
      </c>
      <c r="EC36" t="e">
        <f>'All regions'!E892+"n/&gt;!$4A"</f>
        <v>#VALUE!</v>
      </c>
      <c r="ED36" t="e">
        <f>'All regions'!F892+"n/&gt;!$4B"</f>
        <v>#VALUE!</v>
      </c>
      <c r="EE36" t="e">
        <f>'All regions'!G892+"n/&gt;!$4C"</f>
        <v>#VALUE!</v>
      </c>
      <c r="EF36" t="e">
        <f>'All regions'!H892+"n/&gt;!$4D"</f>
        <v>#VALUE!</v>
      </c>
      <c r="EG36" t="e">
        <f>'All regions'!I892+"n/&gt;!$4E"</f>
        <v>#VALUE!</v>
      </c>
      <c r="EH36" t="e">
        <f>'All regions'!J892+"n/&gt;!$4F"</f>
        <v>#VALUE!</v>
      </c>
      <c r="EI36" t="e">
        <f>'All regions'!A893+"n/&gt;!$4G"</f>
        <v>#VALUE!</v>
      </c>
      <c r="EJ36" t="e">
        <f>'All regions'!B893+"n/&gt;!$4H"</f>
        <v>#VALUE!</v>
      </c>
      <c r="EK36" t="e">
        <f>'All regions'!C893+"n/&gt;!$4I"</f>
        <v>#VALUE!</v>
      </c>
      <c r="EL36" t="e">
        <f>'All regions'!D893+"n/&gt;!$4J"</f>
        <v>#VALUE!</v>
      </c>
      <c r="EM36" t="e">
        <f>'All regions'!E893+"n/&gt;!$4K"</f>
        <v>#VALUE!</v>
      </c>
      <c r="EN36" t="e">
        <f>'All regions'!F893+"n/&gt;!$4L"</f>
        <v>#VALUE!</v>
      </c>
      <c r="EO36" t="e">
        <f>'All regions'!G893+"n/&gt;!$4M"</f>
        <v>#VALUE!</v>
      </c>
      <c r="EP36" t="e">
        <f>'All regions'!H893+"n/&gt;!$4N"</f>
        <v>#VALUE!</v>
      </c>
      <c r="EQ36" t="e">
        <f>'All regions'!I893+"n/&gt;!$4O"</f>
        <v>#VALUE!</v>
      </c>
      <c r="ER36" t="e">
        <f>'All regions'!J893+"n/&gt;!$4P"</f>
        <v>#VALUE!</v>
      </c>
      <c r="ES36" t="e">
        <f>'All regions'!A894+"n/&gt;!$4Q"</f>
        <v>#VALUE!</v>
      </c>
      <c r="ET36" t="e">
        <f>'All regions'!B894+"n/&gt;!$4R"</f>
        <v>#VALUE!</v>
      </c>
      <c r="EU36" t="e">
        <f>'All regions'!C894+"n/&gt;!$4S"</f>
        <v>#VALUE!</v>
      </c>
      <c r="EV36" t="e">
        <f>'All regions'!D894+"n/&gt;!$4T"</f>
        <v>#VALUE!</v>
      </c>
      <c r="EW36" t="e">
        <f>'All regions'!E894+"n/&gt;!$4U"</f>
        <v>#VALUE!</v>
      </c>
      <c r="EX36" t="e">
        <f>'All regions'!F894+"n/&gt;!$4V"</f>
        <v>#VALUE!</v>
      </c>
      <c r="EY36" t="e">
        <f>'All regions'!G894+"n/&gt;!$4W"</f>
        <v>#VALUE!</v>
      </c>
      <c r="EZ36" t="e">
        <f>'All regions'!H894+"n/&gt;!$4X"</f>
        <v>#VALUE!</v>
      </c>
      <c r="FA36" t="e">
        <f>'All regions'!I894+"n/&gt;!$4Y"</f>
        <v>#VALUE!</v>
      </c>
      <c r="FB36" t="e">
        <f>'All regions'!J894+"n/&gt;!$4Z"</f>
        <v>#VALUE!</v>
      </c>
      <c r="FC36" t="e">
        <f>'All regions'!A895+"n/&gt;!$4["</f>
        <v>#VALUE!</v>
      </c>
      <c r="FD36" t="e">
        <f>'All regions'!B895+"n/&gt;!$4\"</f>
        <v>#VALUE!</v>
      </c>
      <c r="FE36" t="e">
        <f>'All regions'!C895+"n/&gt;!$4]"</f>
        <v>#VALUE!</v>
      </c>
      <c r="FF36" t="e">
        <f>'All regions'!D895+"n/&gt;!$4^"</f>
        <v>#VALUE!</v>
      </c>
      <c r="FG36" t="e">
        <f>'All regions'!E895+"n/&gt;!$4_"</f>
        <v>#VALUE!</v>
      </c>
      <c r="FH36" t="e">
        <f>'All regions'!F895+"n/&gt;!$4`"</f>
        <v>#VALUE!</v>
      </c>
      <c r="FI36" t="e">
        <f>'All regions'!G895+"n/&gt;!$4a"</f>
        <v>#VALUE!</v>
      </c>
      <c r="FJ36" t="e">
        <f>'All regions'!H895+"n/&gt;!$4b"</f>
        <v>#VALUE!</v>
      </c>
      <c r="FK36" t="e">
        <f>'All regions'!I895+"n/&gt;!$4c"</f>
        <v>#VALUE!</v>
      </c>
      <c r="FL36" t="e">
        <f>'All regions'!J895+"n/&gt;!$4d"</f>
        <v>#VALUE!</v>
      </c>
      <c r="FM36" t="e">
        <f>'All regions'!A896+"n/&gt;!$4e"</f>
        <v>#VALUE!</v>
      </c>
      <c r="FN36" t="e">
        <f>'All regions'!B896+"n/&gt;!$4f"</f>
        <v>#VALUE!</v>
      </c>
      <c r="FO36" t="e">
        <f>'All regions'!C896+"n/&gt;!$4g"</f>
        <v>#VALUE!</v>
      </c>
      <c r="FP36" t="e">
        <f>'All regions'!D896+"n/&gt;!$4h"</f>
        <v>#VALUE!</v>
      </c>
      <c r="FQ36" t="e">
        <f>'All regions'!E896+"n/&gt;!$4i"</f>
        <v>#VALUE!</v>
      </c>
      <c r="FR36" t="e">
        <f>'All regions'!F896+"n/&gt;!$4j"</f>
        <v>#VALUE!</v>
      </c>
      <c r="FS36" t="e">
        <f>'All regions'!G896+"n/&gt;!$4k"</f>
        <v>#VALUE!</v>
      </c>
      <c r="FT36" t="e">
        <f>'All regions'!H896+"n/&gt;!$4l"</f>
        <v>#VALUE!</v>
      </c>
      <c r="FU36" t="e">
        <f>'All regions'!I896+"n/&gt;!$4m"</f>
        <v>#VALUE!</v>
      </c>
      <c r="FV36" t="e">
        <f>'All regions'!J896+"n/&gt;!$4n"</f>
        <v>#VALUE!</v>
      </c>
      <c r="FW36" t="e">
        <f>'All regions'!A897+"n/&gt;!$4o"</f>
        <v>#VALUE!</v>
      </c>
      <c r="FX36" t="e">
        <f>'All regions'!B897+"n/&gt;!$4p"</f>
        <v>#VALUE!</v>
      </c>
      <c r="FY36" t="e">
        <f>'All regions'!C897+"n/&gt;!$4q"</f>
        <v>#VALUE!</v>
      </c>
      <c r="FZ36" t="e">
        <f>'All regions'!D897+"n/&gt;!$4r"</f>
        <v>#VALUE!</v>
      </c>
      <c r="GA36" t="e">
        <f>'All regions'!E897+"n/&gt;!$4s"</f>
        <v>#VALUE!</v>
      </c>
      <c r="GB36" t="e">
        <f>'All regions'!F897+"n/&gt;!$4t"</f>
        <v>#VALUE!</v>
      </c>
      <c r="GC36" t="e">
        <f>'All regions'!G897+"n/&gt;!$4u"</f>
        <v>#VALUE!</v>
      </c>
      <c r="GD36" t="e">
        <f>'All regions'!H897+"n/&gt;!$4v"</f>
        <v>#VALUE!</v>
      </c>
      <c r="GE36" t="e">
        <f>'All regions'!I897+"n/&gt;!$4w"</f>
        <v>#VALUE!</v>
      </c>
      <c r="GF36" t="e">
        <f>'All regions'!J897+"n/&gt;!$4x"</f>
        <v>#VALUE!</v>
      </c>
      <c r="GG36" t="e">
        <f>'All regions'!A898+"n/&gt;!$4y"</f>
        <v>#VALUE!</v>
      </c>
      <c r="GH36" t="e">
        <f>'All regions'!B898+"n/&gt;!$4z"</f>
        <v>#VALUE!</v>
      </c>
      <c r="GI36" t="e">
        <f>'All regions'!C898+"n/&gt;!$4{"</f>
        <v>#VALUE!</v>
      </c>
      <c r="GJ36" t="e">
        <f>'All regions'!D898+"n/&gt;!$4|"</f>
        <v>#VALUE!</v>
      </c>
      <c r="GK36" t="e">
        <f>'All regions'!E898+"n/&gt;!$4}"</f>
        <v>#VALUE!</v>
      </c>
      <c r="GL36" t="e">
        <f>'All regions'!F898+"n/&gt;!$4~"</f>
        <v>#VALUE!</v>
      </c>
      <c r="GM36" t="e">
        <f>'All regions'!G898+"n/&gt;!$5#"</f>
        <v>#VALUE!</v>
      </c>
      <c r="GN36" t="e">
        <f>'All regions'!H898+"n/&gt;!$5$"</f>
        <v>#VALUE!</v>
      </c>
      <c r="GO36" t="e">
        <f>'All regions'!I898+"n/&gt;!$5%"</f>
        <v>#VALUE!</v>
      </c>
      <c r="GP36" t="e">
        <f>'All regions'!J898+"n/&gt;!$5&amp;"</f>
        <v>#VALUE!</v>
      </c>
      <c r="GQ36" t="e">
        <f>'All regions'!A899+"n/&gt;!$5'"</f>
        <v>#VALUE!</v>
      </c>
      <c r="GR36" t="e">
        <f>'All regions'!B899+"n/&gt;!$5("</f>
        <v>#VALUE!</v>
      </c>
      <c r="GS36" t="e">
        <f>'All regions'!C899+"n/&gt;!$5)"</f>
        <v>#VALUE!</v>
      </c>
      <c r="GT36" t="e">
        <f>'All regions'!D899+"n/&gt;!$5."</f>
        <v>#VALUE!</v>
      </c>
      <c r="GU36" t="e">
        <f>'All regions'!E899+"n/&gt;!$5/"</f>
        <v>#VALUE!</v>
      </c>
      <c r="GV36" t="e">
        <f>'All regions'!F899+"n/&gt;!$50"</f>
        <v>#VALUE!</v>
      </c>
      <c r="GW36" t="e">
        <f>'All regions'!G899+"n/&gt;!$51"</f>
        <v>#VALUE!</v>
      </c>
      <c r="GX36" t="e">
        <f>'All regions'!H899+"n/&gt;!$52"</f>
        <v>#VALUE!</v>
      </c>
      <c r="GY36" t="e">
        <f>'All regions'!I899+"n/&gt;!$53"</f>
        <v>#VALUE!</v>
      </c>
      <c r="GZ36" t="e">
        <f>'All regions'!J899+"n/&gt;!$54"</f>
        <v>#VALUE!</v>
      </c>
      <c r="HA36" t="e">
        <f>'All regions'!A900+"n/&gt;!$55"</f>
        <v>#VALUE!</v>
      </c>
      <c r="HB36" t="e">
        <f>'All regions'!B900+"n/&gt;!$56"</f>
        <v>#VALUE!</v>
      </c>
      <c r="HC36" t="e">
        <f>'All regions'!C900+"n/&gt;!$57"</f>
        <v>#VALUE!</v>
      </c>
      <c r="HD36" t="e">
        <f>'All regions'!D900+"n/&gt;!$58"</f>
        <v>#VALUE!</v>
      </c>
      <c r="HE36" t="e">
        <f>'All regions'!E900+"n/&gt;!$59"</f>
        <v>#VALUE!</v>
      </c>
      <c r="HF36" t="e">
        <f>'All regions'!F900+"n/&gt;!$5:"</f>
        <v>#VALUE!</v>
      </c>
      <c r="HG36" t="e">
        <f>'All regions'!G900+"n/&gt;!$5;"</f>
        <v>#VALUE!</v>
      </c>
      <c r="HH36" t="e">
        <f>'All regions'!H900+"n/&gt;!$5&lt;"</f>
        <v>#VALUE!</v>
      </c>
      <c r="HI36" t="e">
        <f>'All regions'!I900+"n/&gt;!$5="</f>
        <v>#VALUE!</v>
      </c>
      <c r="HJ36" t="e">
        <f>'All regions'!J900+"n/&gt;!$5&gt;"</f>
        <v>#VALUE!</v>
      </c>
      <c r="HK36" t="e">
        <f>'All regions'!A901+"n/&gt;!$5?"</f>
        <v>#VALUE!</v>
      </c>
      <c r="HL36" t="e">
        <f>'All regions'!B901+"n/&gt;!$5@"</f>
        <v>#VALUE!</v>
      </c>
      <c r="HM36" t="e">
        <f>'All regions'!C901+"n/&gt;!$5A"</f>
        <v>#VALUE!</v>
      </c>
      <c r="HN36" t="e">
        <f>'All regions'!D901+"n/&gt;!$5B"</f>
        <v>#VALUE!</v>
      </c>
      <c r="HO36" t="e">
        <f>'All regions'!E901+"n/&gt;!$5C"</f>
        <v>#VALUE!</v>
      </c>
      <c r="HP36" t="e">
        <f>'All regions'!F901+"n/&gt;!$5D"</f>
        <v>#VALUE!</v>
      </c>
      <c r="HQ36" t="e">
        <f>'All regions'!G901+"n/&gt;!$5E"</f>
        <v>#VALUE!</v>
      </c>
      <c r="HR36" t="e">
        <f>'All regions'!H901+"n/&gt;!$5F"</f>
        <v>#VALUE!</v>
      </c>
      <c r="HS36" t="e">
        <f>'All regions'!I901+"n/&gt;!$5G"</f>
        <v>#VALUE!</v>
      </c>
      <c r="HT36" t="e">
        <f>'All regions'!J901+"n/&gt;!$5H"</f>
        <v>#VALUE!</v>
      </c>
      <c r="HU36" t="e">
        <f>'All regions'!A902+"n/&gt;!$5I"</f>
        <v>#VALUE!</v>
      </c>
      <c r="HV36" t="e">
        <f>'All regions'!B902+"n/&gt;!$5J"</f>
        <v>#VALUE!</v>
      </c>
      <c r="HW36" t="e">
        <f>'All regions'!C902+"n/&gt;!$5K"</f>
        <v>#VALUE!</v>
      </c>
      <c r="HX36" t="e">
        <f>'All regions'!D902+"n/&gt;!$5L"</f>
        <v>#VALUE!</v>
      </c>
      <c r="HY36" t="e">
        <f>'All regions'!E902+"n/&gt;!$5M"</f>
        <v>#VALUE!</v>
      </c>
      <c r="HZ36" t="e">
        <f>'All regions'!F902+"n/&gt;!$5N"</f>
        <v>#VALUE!</v>
      </c>
      <c r="IA36" t="e">
        <f>'All regions'!G902+"n/&gt;!$5O"</f>
        <v>#VALUE!</v>
      </c>
      <c r="IB36" t="e">
        <f>'All regions'!H902+"n/&gt;!$5P"</f>
        <v>#VALUE!</v>
      </c>
      <c r="IC36" t="e">
        <f>'All regions'!I902+"n/&gt;!$5Q"</f>
        <v>#VALUE!</v>
      </c>
      <c r="ID36" t="e">
        <f>'All regions'!J902+"n/&gt;!$5R"</f>
        <v>#VALUE!</v>
      </c>
      <c r="IE36" t="e">
        <f>'All regions'!A903+"n/&gt;!$5S"</f>
        <v>#VALUE!</v>
      </c>
      <c r="IF36" t="e">
        <f>'All regions'!B903+"n/&gt;!$5T"</f>
        <v>#VALUE!</v>
      </c>
      <c r="IG36" t="e">
        <f>'All regions'!C903+"n/&gt;!$5U"</f>
        <v>#VALUE!</v>
      </c>
      <c r="IH36" t="e">
        <f>'All regions'!D903+"n/&gt;!$5V"</f>
        <v>#VALUE!</v>
      </c>
      <c r="II36" t="e">
        <f>'All regions'!E903+"n/&gt;!$5W"</f>
        <v>#VALUE!</v>
      </c>
      <c r="IJ36" t="e">
        <f>'All regions'!F903+"n/&gt;!$5X"</f>
        <v>#VALUE!</v>
      </c>
      <c r="IK36" t="e">
        <f>'All regions'!G903+"n/&gt;!$5Y"</f>
        <v>#VALUE!</v>
      </c>
      <c r="IL36" t="e">
        <f>'All regions'!H903+"n/&gt;!$5Z"</f>
        <v>#VALUE!</v>
      </c>
      <c r="IM36" t="e">
        <f>'All regions'!I903+"n/&gt;!$5["</f>
        <v>#VALUE!</v>
      </c>
      <c r="IN36" t="e">
        <f>'All regions'!J903+"n/&gt;!$5\"</f>
        <v>#VALUE!</v>
      </c>
      <c r="IO36" t="e">
        <f>'All regions'!A904+"n/&gt;!$5]"</f>
        <v>#VALUE!</v>
      </c>
      <c r="IP36" t="e">
        <f>'All regions'!B904+"n/&gt;!$5^"</f>
        <v>#VALUE!</v>
      </c>
      <c r="IQ36" t="e">
        <f>'All regions'!C904+"n/&gt;!$5_"</f>
        <v>#VALUE!</v>
      </c>
      <c r="IR36" t="e">
        <f>'All regions'!D904+"n/&gt;!$5`"</f>
        <v>#VALUE!</v>
      </c>
      <c r="IS36" t="e">
        <f>'All regions'!E904+"n/&gt;!$5a"</f>
        <v>#VALUE!</v>
      </c>
      <c r="IT36" t="e">
        <f>'All regions'!F904+"n/&gt;!$5b"</f>
        <v>#VALUE!</v>
      </c>
      <c r="IU36" t="e">
        <f>'All regions'!G904+"n/&gt;!$5c"</f>
        <v>#VALUE!</v>
      </c>
      <c r="IV36" t="e">
        <f>'All regions'!H904+"n/&gt;!$5d"</f>
        <v>#VALUE!</v>
      </c>
    </row>
    <row r="37" spans="6:256" x14ac:dyDescent="0.35">
      <c r="F37" t="e">
        <f>'All regions'!I904+"n/&gt;!$5e"</f>
        <v>#VALUE!</v>
      </c>
      <c r="G37" t="e">
        <f>'All regions'!J904+"n/&gt;!$5f"</f>
        <v>#VALUE!</v>
      </c>
      <c r="H37" t="e">
        <f>'All regions'!A905+"n/&gt;!$5g"</f>
        <v>#VALUE!</v>
      </c>
      <c r="I37" t="e">
        <f>'All regions'!B905+"n/&gt;!$5h"</f>
        <v>#VALUE!</v>
      </c>
      <c r="J37" t="e">
        <f>'All regions'!C905+"n/&gt;!$5i"</f>
        <v>#VALUE!</v>
      </c>
      <c r="K37" t="e">
        <f>'All regions'!D905+"n/&gt;!$5j"</f>
        <v>#VALUE!</v>
      </c>
      <c r="L37" t="e">
        <f>'All regions'!E905+"n/&gt;!$5k"</f>
        <v>#VALUE!</v>
      </c>
      <c r="M37" t="e">
        <f>'All regions'!F905+"n/&gt;!$5l"</f>
        <v>#VALUE!</v>
      </c>
      <c r="N37" t="e">
        <f>'All regions'!G905+"n/&gt;!$5m"</f>
        <v>#VALUE!</v>
      </c>
      <c r="O37" t="e">
        <f>'All regions'!H905+"n/&gt;!$5n"</f>
        <v>#VALUE!</v>
      </c>
      <c r="P37" t="e">
        <f>'All regions'!I905+"n/&gt;!$5o"</f>
        <v>#VALUE!</v>
      </c>
      <c r="Q37" t="e">
        <f>'All regions'!J905+"n/&gt;!$5p"</f>
        <v>#VALUE!</v>
      </c>
      <c r="R37" t="e">
        <f>'All regions'!A906+"n/&gt;!$5q"</f>
        <v>#VALUE!</v>
      </c>
      <c r="S37" t="e">
        <f>'All regions'!B906+"n/&gt;!$5r"</f>
        <v>#VALUE!</v>
      </c>
      <c r="T37" t="e">
        <f>'All regions'!C906+"n/&gt;!$5s"</f>
        <v>#VALUE!</v>
      </c>
      <c r="U37" t="e">
        <f>'All regions'!D906+"n/&gt;!$5t"</f>
        <v>#VALUE!</v>
      </c>
      <c r="V37" t="e">
        <f>'All regions'!E906+"n/&gt;!$5u"</f>
        <v>#VALUE!</v>
      </c>
      <c r="W37" t="e">
        <f>'All regions'!F906+"n/&gt;!$5v"</f>
        <v>#VALUE!</v>
      </c>
      <c r="X37" t="e">
        <f>'All regions'!G906+"n/&gt;!$5w"</f>
        <v>#VALUE!</v>
      </c>
      <c r="Y37" t="e">
        <f>'All regions'!H906+"n/&gt;!$5x"</f>
        <v>#VALUE!</v>
      </c>
      <c r="Z37" t="e">
        <f>'All regions'!I906+"n/&gt;!$5y"</f>
        <v>#VALUE!</v>
      </c>
      <c r="AA37" t="e">
        <f>'All regions'!J906+"n/&gt;!$5z"</f>
        <v>#VALUE!</v>
      </c>
      <c r="AB37" t="e">
        <f>'All regions'!A907+"n/&gt;!$5{"</f>
        <v>#VALUE!</v>
      </c>
      <c r="AC37" t="e">
        <f>'All regions'!B907+"n/&gt;!$5|"</f>
        <v>#VALUE!</v>
      </c>
      <c r="AD37" t="e">
        <f>'All regions'!C907+"n/&gt;!$5}"</f>
        <v>#VALUE!</v>
      </c>
      <c r="AE37" t="e">
        <f>'All regions'!D907+"n/&gt;!$5~"</f>
        <v>#VALUE!</v>
      </c>
      <c r="AF37" t="e">
        <f>'All regions'!E907+"n/&gt;!$6#"</f>
        <v>#VALUE!</v>
      </c>
      <c r="AG37" t="e">
        <f>'All regions'!F907+"n/&gt;!$6$"</f>
        <v>#VALUE!</v>
      </c>
      <c r="AH37" t="e">
        <f>'All regions'!G907+"n/&gt;!$6%"</f>
        <v>#VALUE!</v>
      </c>
      <c r="AI37" t="e">
        <f>'All regions'!H907+"n/&gt;!$6&amp;"</f>
        <v>#VALUE!</v>
      </c>
      <c r="AJ37" t="e">
        <f>'All regions'!I907+"n/&gt;!$6'"</f>
        <v>#VALUE!</v>
      </c>
      <c r="AK37" t="e">
        <f>'All regions'!J907+"n/&gt;!$6("</f>
        <v>#VALUE!</v>
      </c>
      <c r="AL37" t="e">
        <f>'All regions'!A908+"n/&gt;!$6)"</f>
        <v>#VALUE!</v>
      </c>
      <c r="AM37" t="e">
        <f>'All regions'!B908+"n/&gt;!$6."</f>
        <v>#VALUE!</v>
      </c>
      <c r="AN37" t="e">
        <f>'All regions'!C908+"n/&gt;!$6/"</f>
        <v>#VALUE!</v>
      </c>
      <c r="AO37" t="e">
        <f>'All regions'!D908+"n/&gt;!$60"</f>
        <v>#VALUE!</v>
      </c>
      <c r="AP37" t="e">
        <f>'All regions'!E908+"n/&gt;!$61"</f>
        <v>#VALUE!</v>
      </c>
      <c r="AQ37" t="e">
        <f>'All regions'!F908+"n/&gt;!$62"</f>
        <v>#VALUE!</v>
      </c>
      <c r="AR37" t="e">
        <f>'All regions'!G908+"n/&gt;!$63"</f>
        <v>#VALUE!</v>
      </c>
      <c r="AS37" t="e">
        <f>'All regions'!H908+"n/&gt;!$64"</f>
        <v>#VALUE!</v>
      </c>
      <c r="AT37" t="e">
        <f>'All regions'!I908+"n/&gt;!$65"</f>
        <v>#VALUE!</v>
      </c>
      <c r="AU37" t="e">
        <f>'All regions'!J908+"n/&gt;!$66"</f>
        <v>#VALUE!</v>
      </c>
      <c r="AV37" t="e">
        <f>'All regions'!A909+"n/&gt;!$67"</f>
        <v>#VALUE!</v>
      </c>
      <c r="AW37" t="e">
        <f>'All regions'!B909+"n/&gt;!$68"</f>
        <v>#VALUE!</v>
      </c>
      <c r="AX37" t="e">
        <f>'All regions'!C909+"n/&gt;!$69"</f>
        <v>#VALUE!</v>
      </c>
      <c r="AY37" t="e">
        <f>'All regions'!D909+"n/&gt;!$6:"</f>
        <v>#VALUE!</v>
      </c>
      <c r="AZ37" t="e">
        <f>'All regions'!E909+"n/&gt;!$6;"</f>
        <v>#VALUE!</v>
      </c>
      <c r="BA37" t="e">
        <f>'All regions'!F909+"n/&gt;!$6&lt;"</f>
        <v>#VALUE!</v>
      </c>
      <c r="BB37" t="e">
        <f>'All regions'!G909+"n/&gt;!$6="</f>
        <v>#VALUE!</v>
      </c>
      <c r="BC37" t="e">
        <f>'All regions'!H909+"n/&gt;!$6&gt;"</f>
        <v>#VALUE!</v>
      </c>
      <c r="BD37" t="e">
        <f>'All regions'!I909+"n/&gt;!$6?"</f>
        <v>#VALUE!</v>
      </c>
      <c r="BE37" t="e">
        <f>'All regions'!J909+"n/&gt;!$6@"</f>
        <v>#VALUE!</v>
      </c>
      <c r="BF37" t="e">
        <f>'All regions'!A910+"n/&gt;!$6A"</f>
        <v>#VALUE!</v>
      </c>
      <c r="BG37" t="e">
        <f>'All regions'!B910+"n/&gt;!$6B"</f>
        <v>#VALUE!</v>
      </c>
      <c r="BH37" t="e">
        <f>'All regions'!C910+"n/&gt;!$6C"</f>
        <v>#VALUE!</v>
      </c>
      <c r="BI37" t="e">
        <f>'All regions'!D910+"n/&gt;!$6D"</f>
        <v>#VALUE!</v>
      </c>
      <c r="BJ37" t="e">
        <f>'All regions'!E910+"n/&gt;!$6E"</f>
        <v>#VALUE!</v>
      </c>
      <c r="BK37" t="e">
        <f>'All regions'!F910+"n/&gt;!$6F"</f>
        <v>#VALUE!</v>
      </c>
      <c r="BL37" t="e">
        <f>'All regions'!G910+"n/&gt;!$6G"</f>
        <v>#VALUE!</v>
      </c>
      <c r="BM37" t="e">
        <f>'All regions'!H910+"n/&gt;!$6H"</f>
        <v>#VALUE!</v>
      </c>
      <c r="BN37" t="e">
        <f>'All regions'!I910+"n/&gt;!$6I"</f>
        <v>#VALUE!</v>
      </c>
      <c r="BO37" t="e">
        <f>'All regions'!J910+"n/&gt;!$6J"</f>
        <v>#VALUE!</v>
      </c>
      <c r="BP37" t="e">
        <f>'All regions'!A911+"n/&gt;!$6K"</f>
        <v>#VALUE!</v>
      </c>
      <c r="BQ37" t="e">
        <f>'All regions'!B911+"n/&gt;!$6L"</f>
        <v>#VALUE!</v>
      </c>
      <c r="BR37" t="e">
        <f>'All regions'!C911+"n/&gt;!$6M"</f>
        <v>#VALUE!</v>
      </c>
      <c r="BS37" t="e">
        <f>'All regions'!D911+"n/&gt;!$6N"</f>
        <v>#VALUE!</v>
      </c>
      <c r="BT37" t="e">
        <f>'All regions'!E911+"n/&gt;!$6O"</f>
        <v>#VALUE!</v>
      </c>
      <c r="BU37" t="e">
        <f>'All regions'!F911+"n/&gt;!$6P"</f>
        <v>#VALUE!</v>
      </c>
      <c r="BV37" t="e">
        <f>'All regions'!G911+"n/&gt;!$6Q"</f>
        <v>#VALUE!</v>
      </c>
      <c r="BW37" t="e">
        <f>'All regions'!H911+"n/&gt;!$6R"</f>
        <v>#VALUE!</v>
      </c>
      <c r="BX37" t="e">
        <f>'All regions'!I911+"n/&gt;!$6S"</f>
        <v>#VALUE!</v>
      </c>
      <c r="BY37" t="e">
        <f>'All regions'!J911+"n/&gt;!$6T"</f>
        <v>#VALUE!</v>
      </c>
      <c r="BZ37" t="e">
        <f>'All regions'!A912+"n/&gt;!$6U"</f>
        <v>#VALUE!</v>
      </c>
      <c r="CA37" t="e">
        <f>'All regions'!B912+"n/&gt;!$6V"</f>
        <v>#VALUE!</v>
      </c>
      <c r="CB37" t="e">
        <f>'All regions'!C912+"n/&gt;!$6W"</f>
        <v>#VALUE!</v>
      </c>
      <c r="CC37" t="e">
        <f>'All regions'!D912+"n/&gt;!$6X"</f>
        <v>#VALUE!</v>
      </c>
      <c r="CD37" t="e">
        <f>'All regions'!E912+"n/&gt;!$6Y"</f>
        <v>#VALUE!</v>
      </c>
      <c r="CE37" t="e">
        <f>'All regions'!F912+"n/&gt;!$6Z"</f>
        <v>#VALUE!</v>
      </c>
      <c r="CF37" t="e">
        <f>'All regions'!G912+"n/&gt;!$6["</f>
        <v>#VALUE!</v>
      </c>
      <c r="CG37" t="e">
        <f>'All regions'!H912+"n/&gt;!$6\"</f>
        <v>#VALUE!</v>
      </c>
      <c r="CH37" t="e">
        <f>'All regions'!I912+"n/&gt;!$6]"</f>
        <v>#VALUE!</v>
      </c>
      <c r="CI37" t="e">
        <f>'All regions'!J912+"n/&gt;!$6^"</f>
        <v>#VALUE!</v>
      </c>
      <c r="CJ37" t="e">
        <f>'All regions'!A913+"n/&gt;!$6_"</f>
        <v>#VALUE!</v>
      </c>
      <c r="CK37" t="e">
        <f>'All regions'!B913+"n/&gt;!$6`"</f>
        <v>#VALUE!</v>
      </c>
      <c r="CL37" t="e">
        <f>'All regions'!C913+"n/&gt;!$6a"</f>
        <v>#VALUE!</v>
      </c>
      <c r="CM37" t="e">
        <f>'All regions'!D913+"n/&gt;!$6b"</f>
        <v>#VALUE!</v>
      </c>
      <c r="CN37" t="e">
        <f>'All regions'!E913+"n/&gt;!$6c"</f>
        <v>#VALUE!</v>
      </c>
      <c r="CO37" t="e">
        <f>'All regions'!F913+"n/&gt;!$6d"</f>
        <v>#VALUE!</v>
      </c>
      <c r="CP37" t="e">
        <f>'All regions'!G913+"n/&gt;!$6e"</f>
        <v>#VALUE!</v>
      </c>
      <c r="CQ37" t="e">
        <f>'All regions'!H913+"n/&gt;!$6f"</f>
        <v>#VALUE!</v>
      </c>
      <c r="CR37" t="e">
        <f>'All regions'!I913+"n/&gt;!$6g"</f>
        <v>#VALUE!</v>
      </c>
      <c r="CS37" t="e">
        <f>'All regions'!J913+"n/&gt;!$6h"</f>
        <v>#VALUE!</v>
      </c>
      <c r="CT37" t="e">
        <f>'All regions'!A914+"n/&gt;!$6i"</f>
        <v>#VALUE!</v>
      </c>
      <c r="CU37" t="e">
        <f>'All regions'!B914+"n/&gt;!$6j"</f>
        <v>#VALUE!</v>
      </c>
      <c r="CV37" t="e">
        <f>'All regions'!C914+"n/&gt;!$6k"</f>
        <v>#VALUE!</v>
      </c>
      <c r="CW37" t="e">
        <f>'All regions'!D914+"n/&gt;!$6l"</f>
        <v>#VALUE!</v>
      </c>
      <c r="CX37" t="e">
        <f>'All regions'!E914+"n/&gt;!$6m"</f>
        <v>#VALUE!</v>
      </c>
      <c r="CY37" t="e">
        <f>'All regions'!F914+"n/&gt;!$6n"</f>
        <v>#VALUE!</v>
      </c>
      <c r="CZ37" t="e">
        <f>'All regions'!G914+"n/&gt;!$6o"</f>
        <v>#VALUE!</v>
      </c>
      <c r="DA37" t="e">
        <f>'All regions'!H914+"n/&gt;!$6p"</f>
        <v>#VALUE!</v>
      </c>
      <c r="DB37" t="e">
        <f>'All regions'!I914+"n/&gt;!$6q"</f>
        <v>#VALUE!</v>
      </c>
      <c r="DC37" t="e">
        <f>'All regions'!J914+"n/&gt;!$6r"</f>
        <v>#VALUE!</v>
      </c>
      <c r="DD37" t="e">
        <f>'All regions'!A915+"n/&gt;!$6s"</f>
        <v>#VALUE!</v>
      </c>
      <c r="DE37" t="e">
        <f>'All regions'!B915+"n/&gt;!$6t"</f>
        <v>#VALUE!</v>
      </c>
      <c r="DF37" t="e">
        <f>'All regions'!C915+"n/&gt;!$6u"</f>
        <v>#VALUE!</v>
      </c>
      <c r="DG37" t="e">
        <f>'All regions'!D915+"n/&gt;!$6v"</f>
        <v>#VALUE!</v>
      </c>
      <c r="DH37" t="e">
        <f>'All regions'!E915+"n/&gt;!$6w"</f>
        <v>#VALUE!</v>
      </c>
      <c r="DI37" t="e">
        <f>'All regions'!F915+"n/&gt;!$6x"</f>
        <v>#VALUE!</v>
      </c>
      <c r="DJ37" t="e">
        <f>'All regions'!G915+"n/&gt;!$6y"</f>
        <v>#VALUE!</v>
      </c>
      <c r="DK37" t="e">
        <f>'All regions'!H915+"n/&gt;!$6z"</f>
        <v>#VALUE!</v>
      </c>
      <c r="DL37" t="e">
        <f>'All regions'!I915+"n/&gt;!$6{"</f>
        <v>#VALUE!</v>
      </c>
      <c r="DM37" t="e">
        <f>'All regions'!J915+"n/&gt;!$6|"</f>
        <v>#VALUE!</v>
      </c>
      <c r="DN37" t="e">
        <f>'All regions'!A916+"n/&gt;!$6}"</f>
        <v>#VALUE!</v>
      </c>
      <c r="DO37" t="e">
        <f>'All regions'!B916+"n/&gt;!$6~"</f>
        <v>#VALUE!</v>
      </c>
      <c r="DP37" t="e">
        <f>'All regions'!C916+"n/&gt;!$7#"</f>
        <v>#VALUE!</v>
      </c>
      <c r="DQ37" t="e">
        <f>'All regions'!D916+"n/&gt;!$7$"</f>
        <v>#VALUE!</v>
      </c>
      <c r="DR37" t="e">
        <f>'All regions'!E916+"n/&gt;!$7%"</f>
        <v>#VALUE!</v>
      </c>
      <c r="DS37" t="e">
        <f>'All regions'!F916+"n/&gt;!$7&amp;"</f>
        <v>#VALUE!</v>
      </c>
      <c r="DT37" t="e">
        <f>'All regions'!G916+"n/&gt;!$7'"</f>
        <v>#VALUE!</v>
      </c>
      <c r="DU37" t="e">
        <f>'All regions'!H916+"n/&gt;!$7("</f>
        <v>#VALUE!</v>
      </c>
      <c r="DV37" t="e">
        <f>'All regions'!I916+"n/&gt;!$7)"</f>
        <v>#VALUE!</v>
      </c>
      <c r="DW37" t="e">
        <f>'All regions'!J916+"n/&gt;!$7."</f>
        <v>#VALUE!</v>
      </c>
      <c r="DX37" t="e">
        <f>'All regions'!A917+"n/&gt;!$7/"</f>
        <v>#VALUE!</v>
      </c>
      <c r="DY37" t="e">
        <f>'All regions'!B917+"n/&gt;!$70"</f>
        <v>#VALUE!</v>
      </c>
      <c r="DZ37" t="e">
        <f>'All regions'!C917+"n/&gt;!$71"</f>
        <v>#VALUE!</v>
      </c>
      <c r="EA37" t="e">
        <f>'All regions'!D917+"n/&gt;!$72"</f>
        <v>#VALUE!</v>
      </c>
      <c r="EB37" t="e">
        <f>'All regions'!E917+"n/&gt;!$73"</f>
        <v>#VALUE!</v>
      </c>
      <c r="EC37" t="e">
        <f>'All regions'!F917+"n/&gt;!$74"</f>
        <v>#VALUE!</v>
      </c>
      <c r="ED37" t="e">
        <f>'All regions'!G917+"n/&gt;!$75"</f>
        <v>#VALUE!</v>
      </c>
      <c r="EE37" t="e">
        <f>'All regions'!H917+"n/&gt;!$76"</f>
        <v>#VALUE!</v>
      </c>
      <c r="EF37" t="e">
        <f>'All regions'!I917+"n/&gt;!$77"</f>
        <v>#VALUE!</v>
      </c>
      <c r="EG37" t="e">
        <f>'All regions'!J917+"n/&gt;!$78"</f>
        <v>#VALUE!</v>
      </c>
      <c r="EH37" t="e">
        <f>'All regions'!A918+"n/&gt;!$79"</f>
        <v>#VALUE!</v>
      </c>
      <c r="EI37" t="e">
        <f>'All regions'!B918+"n/&gt;!$7:"</f>
        <v>#VALUE!</v>
      </c>
      <c r="EJ37" t="e">
        <f>'All regions'!C918+"n/&gt;!$7;"</f>
        <v>#VALUE!</v>
      </c>
      <c r="EK37" t="e">
        <f>'All regions'!D918+"n/&gt;!$7&lt;"</f>
        <v>#VALUE!</v>
      </c>
      <c r="EL37" t="e">
        <f>'All regions'!E918+"n/&gt;!$7="</f>
        <v>#VALUE!</v>
      </c>
      <c r="EM37" t="e">
        <f>'All regions'!F918+"n/&gt;!$7&gt;"</f>
        <v>#VALUE!</v>
      </c>
      <c r="EN37" t="e">
        <f>'All regions'!G918+"n/&gt;!$7?"</f>
        <v>#VALUE!</v>
      </c>
      <c r="EO37" t="e">
        <f>'All regions'!H918+"n/&gt;!$7@"</f>
        <v>#VALUE!</v>
      </c>
      <c r="EP37" t="e">
        <f>'All regions'!I918+"n/&gt;!$7A"</f>
        <v>#VALUE!</v>
      </c>
      <c r="EQ37" t="e">
        <f>'All regions'!J918+"n/&gt;!$7B"</f>
        <v>#VALUE!</v>
      </c>
      <c r="ER37" t="e">
        <f>'All regions'!A919+"n/&gt;!$7C"</f>
        <v>#VALUE!</v>
      </c>
      <c r="ES37" t="e">
        <f>'All regions'!B919+"n/&gt;!$7D"</f>
        <v>#VALUE!</v>
      </c>
      <c r="ET37" t="e">
        <f>'All regions'!C919+"n/&gt;!$7E"</f>
        <v>#VALUE!</v>
      </c>
      <c r="EU37" t="e">
        <f>'All regions'!D919+"n/&gt;!$7F"</f>
        <v>#VALUE!</v>
      </c>
      <c r="EV37" t="e">
        <f>'All regions'!E919+"n/&gt;!$7G"</f>
        <v>#VALUE!</v>
      </c>
      <c r="EW37" t="e">
        <f>'All regions'!F919+"n/&gt;!$7H"</f>
        <v>#VALUE!</v>
      </c>
      <c r="EX37" t="e">
        <f>'All regions'!G919+"n/&gt;!$7I"</f>
        <v>#VALUE!</v>
      </c>
      <c r="EY37" t="e">
        <f>'All regions'!H919+"n/&gt;!$7J"</f>
        <v>#VALUE!</v>
      </c>
      <c r="EZ37" t="e">
        <f>'All regions'!I919+"n/&gt;!$7K"</f>
        <v>#VALUE!</v>
      </c>
      <c r="FA37" t="e">
        <f>'All regions'!J919+"n/&gt;!$7L"</f>
        <v>#VALUE!</v>
      </c>
      <c r="FB37" t="e">
        <f>'All regions'!A920+"n/&gt;!$7M"</f>
        <v>#VALUE!</v>
      </c>
      <c r="FC37" t="e">
        <f>'All regions'!B920+"n/&gt;!$7N"</f>
        <v>#VALUE!</v>
      </c>
      <c r="FD37" t="e">
        <f>'All regions'!C920+"n/&gt;!$7O"</f>
        <v>#VALUE!</v>
      </c>
      <c r="FE37" t="e">
        <f>'All regions'!D920+"n/&gt;!$7P"</f>
        <v>#VALUE!</v>
      </c>
      <c r="FF37" t="e">
        <f>'All regions'!E920+"n/&gt;!$7Q"</f>
        <v>#VALUE!</v>
      </c>
      <c r="FG37" t="e">
        <f>'All regions'!F920+"n/&gt;!$7R"</f>
        <v>#VALUE!</v>
      </c>
      <c r="FH37" t="e">
        <f>'All regions'!G920+"n/&gt;!$7S"</f>
        <v>#VALUE!</v>
      </c>
      <c r="FI37" t="e">
        <f>'All regions'!H920+"n/&gt;!$7T"</f>
        <v>#VALUE!</v>
      </c>
      <c r="FJ37" t="e">
        <f>'All regions'!I920+"n/&gt;!$7U"</f>
        <v>#VALUE!</v>
      </c>
      <c r="FK37" t="e">
        <f>'All regions'!J920+"n/&gt;!$7V"</f>
        <v>#VALUE!</v>
      </c>
      <c r="FL37" t="e">
        <f>'All regions'!A921+"n/&gt;!$7W"</f>
        <v>#VALUE!</v>
      </c>
      <c r="FM37" t="e">
        <f>'All regions'!B921+"n/&gt;!$7X"</f>
        <v>#VALUE!</v>
      </c>
      <c r="FN37" t="e">
        <f>'All regions'!C921+"n/&gt;!$7Y"</f>
        <v>#VALUE!</v>
      </c>
      <c r="FO37" t="e">
        <f>'All regions'!D921+"n/&gt;!$7Z"</f>
        <v>#VALUE!</v>
      </c>
      <c r="FP37" t="e">
        <f>'All regions'!E921+"n/&gt;!$7["</f>
        <v>#VALUE!</v>
      </c>
      <c r="FQ37" t="e">
        <f>'All regions'!F921+"n/&gt;!$7\"</f>
        <v>#VALUE!</v>
      </c>
      <c r="FR37" t="e">
        <f>'All regions'!G921+"n/&gt;!$7]"</f>
        <v>#VALUE!</v>
      </c>
      <c r="FS37" t="e">
        <f>'All regions'!H921+"n/&gt;!$7^"</f>
        <v>#VALUE!</v>
      </c>
      <c r="FT37" t="e">
        <f>'All regions'!I921+"n/&gt;!$7_"</f>
        <v>#VALUE!</v>
      </c>
      <c r="FU37" t="e">
        <f>'All regions'!J921+"n/&gt;!$7`"</f>
        <v>#VALUE!</v>
      </c>
      <c r="FV37" t="e">
        <f>'All regions'!A922+"n/&gt;!$7a"</f>
        <v>#VALUE!</v>
      </c>
      <c r="FW37" t="e">
        <f>'All regions'!B922+"n/&gt;!$7b"</f>
        <v>#VALUE!</v>
      </c>
      <c r="FX37" t="e">
        <f>'All regions'!C922+"n/&gt;!$7c"</f>
        <v>#VALUE!</v>
      </c>
      <c r="FY37" t="e">
        <f>'All regions'!D922+"n/&gt;!$7d"</f>
        <v>#VALUE!</v>
      </c>
      <c r="FZ37" t="e">
        <f>'All regions'!E922+"n/&gt;!$7e"</f>
        <v>#VALUE!</v>
      </c>
      <c r="GA37" t="e">
        <f>'All regions'!F922+"n/&gt;!$7f"</f>
        <v>#VALUE!</v>
      </c>
      <c r="GB37" t="e">
        <f>'All regions'!G922+"n/&gt;!$7g"</f>
        <v>#VALUE!</v>
      </c>
      <c r="GC37" t="e">
        <f>'All regions'!H922+"n/&gt;!$7h"</f>
        <v>#VALUE!</v>
      </c>
      <c r="GD37" t="e">
        <f>'All regions'!I922+"n/&gt;!$7i"</f>
        <v>#VALUE!</v>
      </c>
      <c r="GE37" t="e">
        <f>'All regions'!J922+"n/&gt;!$7j"</f>
        <v>#VALUE!</v>
      </c>
      <c r="GF37" t="e">
        <f>'All regions'!A923+"n/&gt;!$7k"</f>
        <v>#VALUE!</v>
      </c>
      <c r="GG37" t="e">
        <f>'All regions'!B923+"n/&gt;!$7l"</f>
        <v>#VALUE!</v>
      </c>
      <c r="GH37" t="e">
        <f>'All regions'!C923+"n/&gt;!$7m"</f>
        <v>#VALUE!</v>
      </c>
      <c r="GI37" t="e">
        <f>'All regions'!D923+"n/&gt;!$7n"</f>
        <v>#VALUE!</v>
      </c>
      <c r="GJ37" t="e">
        <f>'All regions'!E923+"n/&gt;!$7o"</f>
        <v>#VALUE!</v>
      </c>
      <c r="GK37" t="e">
        <f>'All regions'!F923+"n/&gt;!$7p"</f>
        <v>#VALUE!</v>
      </c>
      <c r="GL37" t="e">
        <f>'All regions'!G923+"n/&gt;!$7q"</f>
        <v>#VALUE!</v>
      </c>
      <c r="GM37" t="e">
        <f>'All regions'!H923+"n/&gt;!$7r"</f>
        <v>#VALUE!</v>
      </c>
      <c r="GN37" t="e">
        <f>'All regions'!I923+"n/&gt;!$7s"</f>
        <v>#VALUE!</v>
      </c>
      <c r="GO37" t="e">
        <f>'All regions'!J923+"n/&gt;!$7t"</f>
        <v>#VALUE!</v>
      </c>
      <c r="GP37" t="e">
        <f>'All regions'!A924+"n/&gt;!$7u"</f>
        <v>#VALUE!</v>
      </c>
      <c r="GQ37" t="e">
        <f>'All regions'!B924+"n/&gt;!$7v"</f>
        <v>#VALUE!</v>
      </c>
      <c r="GR37" t="e">
        <f>'All regions'!C924+"n/&gt;!$7w"</f>
        <v>#VALUE!</v>
      </c>
      <c r="GS37" t="e">
        <f>'All regions'!D924+"n/&gt;!$7x"</f>
        <v>#VALUE!</v>
      </c>
      <c r="GT37" t="e">
        <f>'All regions'!E924+"n/&gt;!$7y"</f>
        <v>#VALUE!</v>
      </c>
      <c r="GU37" t="e">
        <f>'All regions'!F924+"n/&gt;!$7z"</f>
        <v>#VALUE!</v>
      </c>
      <c r="GV37" t="e">
        <f>'All regions'!G924+"n/&gt;!$7{"</f>
        <v>#VALUE!</v>
      </c>
      <c r="GW37" t="e">
        <f>'All regions'!H924+"n/&gt;!$7|"</f>
        <v>#VALUE!</v>
      </c>
      <c r="GX37" t="e">
        <f>'All regions'!I924+"n/&gt;!$7}"</f>
        <v>#VALUE!</v>
      </c>
      <c r="GY37" t="e">
        <f>'All regions'!J924+"n/&gt;!$7~"</f>
        <v>#VALUE!</v>
      </c>
      <c r="GZ37" t="e">
        <f>'All regions'!A925+"n/&gt;!$8#"</f>
        <v>#VALUE!</v>
      </c>
      <c r="HA37" t="e">
        <f>'All regions'!B925+"n/&gt;!$8$"</f>
        <v>#VALUE!</v>
      </c>
      <c r="HB37" t="e">
        <f>'All regions'!C925+"n/&gt;!$8%"</f>
        <v>#VALUE!</v>
      </c>
      <c r="HC37" t="e">
        <f>'All regions'!D925+"n/&gt;!$8&amp;"</f>
        <v>#VALUE!</v>
      </c>
      <c r="HD37" t="e">
        <f>'All regions'!E925+"n/&gt;!$8'"</f>
        <v>#VALUE!</v>
      </c>
      <c r="HE37" t="e">
        <f>'All regions'!F925+"n/&gt;!$8("</f>
        <v>#VALUE!</v>
      </c>
      <c r="HF37" t="e">
        <f>'All regions'!G925+"n/&gt;!$8)"</f>
        <v>#VALUE!</v>
      </c>
      <c r="HG37" t="e">
        <f>'All regions'!H925+"n/&gt;!$8."</f>
        <v>#VALUE!</v>
      </c>
      <c r="HH37" t="e">
        <f>'All regions'!I925+"n/&gt;!$8/"</f>
        <v>#VALUE!</v>
      </c>
      <c r="HI37" t="e">
        <f>'All regions'!J925+"n/&gt;!$80"</f>
        <v>#VALUE!</v>
      </c>
      <c r="HJ37" t="e">
        <f>'All regions'!A926+"n/&gt;!$81"</f>
        <v>#VALUE!</v>
      </c>
      <c r="HK37" t="e">
        <f>'All regions'!B926+"n/&gt;!$82"</f>
        <v>#VALUE!</v>
      </c>
      <c r="HL37" t="e">
        <f>'All regions'!C926+"n/&gt;!$83"</f>
        <v>#VALUE!</v>
      </c>
      <c r="HM37" t="e">
        <f>'All regions'!D926+"n/&gt;!$84"</f>
        <v>#VALUE!</v>
      </c>
      <c r="HN37" t="e">
        <f>'All regions'!E926+"n/&gt;!$85"</f>
        <v>#VALUE!</v>
      </c>
      <c r="HO37" t="e">
        <f>'All regions'!F926+"n/&gt;!$86"</f>
        <v>#VALUE!</v>
      </c>
      <c r="HP37" t="e">
        <f>'All regions'!G926+"n/&gt;!$87"</f>
        <v>#VALUE!</v>
      </c>
      <c r="HQ37" t="e">
        <f>'All regions'!H926+"n/&gt;!$88"</f>
        <v>#VALUE!</v>
      </c>
      <c r="HR37" t="e">
        <f>'All regions'!I926+"n/&gt;!$89"</f>
        <v>#VALUE!</v>
      </c>
      <c r="HS37" t="e">
        <f>'All regions'!J926+"n/&gt;!$8:"</f>
        <v>#VALUE!</v>
      </c>
      <c r="HT37" t="e">
        <f>'All regions'!A927+"n/&gt;!$8;"</f>
        <v>#VALUE!</v>
      </c>
      <c r="HU37" t="e">
        <f>'All regions'!B927+"n/&gt;!$8&lt;"</f>
        <v>#VALUE!</v>
      </c>
      <c r="HV37" t="e">
        <f>'All regions'!C927+"n/&gt;!$8="</f>
        <v>#VALUE!</v>
      </c>
      <c r="HW37" t="e">
        <f>'All regions'!D927+"n/&gt;!$8&gt;"</f>
        <v>#VALUE!</v>
      </c>
      <c r="HX37" t="e">
        <f>'All regions'!E927+"n/&gt;!$8?"</f>
        <v>#VALUE!</v>
      </c>
      <c r="HY37" t="e">
        <f>'All regions'!F927+"n/&gt;!$8@"</f>
        <v>#VALUE!</v>
      </c>
      <c r="HZ37" t="e">
        <f>'All regions'!G927+"n/&gt;!$8A"</f>
        <v>#VALUE!</v>
      </c>
      <c r="IA37" t="e">
        <f>'All regions'!H927+"n/&gt;!$8B"</f>
        <v>#VALUE!</v>
      </c>
      <c r="IB37" t="e">
        <f>'All regions'!I927+"n/&gt;!$8C"</f>
        <v>#VALUE!</v>
      </c>
      <c r="IC37" t="e">
        <f>'All regions'!J927+"n/&gt;!$8D"</f>
        <v>#VALUE!</v>
      </c>
      <c r="ID37" t="e">
        <f>'All regions'!A928+"n/&gt;!$8E"</f>
        <v>#VALUE!</v>
      </c>
      <c r="IE37" t="e">
        <f>'All regions'!B928+"n/&gt;!$8F"</f>
        <v>#VALUE!</v>
      </c>
      <c r="IF37" t="e">
        <f>'All regions'!C928+"n/&gt;!$8G"</f>
        <v>#VALUE!</v>
      </c>
      <c r="IG37" t="e">
        <f>'All regions'!D928+"n/&gt;!$8H"</f>
        <v>#VALUE!</v>
      </c>
      <c r="IH37" t="e">
        <f>'All regions'!E928+"n/&gt;!$8I"</f>
        <v>#VALUE!</v>
      </c>
      <c r="II37" t="e">
        <f>'All regions'!F928+"n/&gt;!$8J"</f>
        <v>#VALUE!</v>
      </c>
      <c r="IJ37" t="e">
        <f>'All regions'!G928+"n/&gt;!$8K"</f>
        <v>#VALUE!</v>
      </c>
      <c r="IK37" t="e">
        <f>'All regions'!H928+"n/&gt;!$8L"</f>
        <v>#VALUE!</v>
      </c>
      <c r="IL37" t="e">
        <f>'All regions'!I928+"n/&gt;!$8M"</f>
        <v>#VALUE!</v>
      </c>
      <c r="IM37" t="e">
        <f>'All regions'!J928+"n/&gt;!$8N"</f>
        <v>#VALUE!</v>
      </c>
      <c r="IN37" t="e">
        <f>'All regions'!A929+"n/&gt;!$8O"</f>
        <v>#VALUE!</v>
      </c>
      <c r="IO37" t="e">
        <f>'All regions'!B929+"n/&gt;!$8P"</f>
        <v>#VALUE!</v>
      </c>
      <c r="IP37" t="e">
        <f>'All regions'!C929+"n/&gt;!$8Q"</f>
        <v>#VALUE!</v>
      </c>
      <c r="IQ37" t="e">
        <f>'All regions'!D929+"n/&gt;!$8R"</f>
        <v>#VALUE!</v>
      </c>
      <c r="IR37" t="e">
        <f>'All regions'!E929+"n/&gt;!$8S"</f>
        <v>#VALUE!</v>
      </c>
      <c r="IS37" t="e">
        <f>'All regions'!F929+"n/&gt;!$8T"</f>
        <v>#VALUE!</v>
      </c>
      <c r="IT37" t="e">
        <f>'All regions'!G929+"n/&gt;!$8U"</f>
        <v>#VALUE!</v>
      </c>
      <c r="IU37" t="e">
        <f>'All regions'!H929+"n/&gt;!$8V"</f>
        <v>#VALUE!</v>
      </c>
      <c r="IV37" t="e">
        <f>'All regions'!I929+"n/&gt;!$8W"</f>
        <v>#VALUE!</v>
      </c>
    </row>
    <row r="38" spans="6:256" x14ac:dyDescent="0.35">
      <c r="F38" t="e">
        <f>'All regions'!J929+"n/&gt;!$8X"</f>
        <v>#VALUE!</v>
      </c>
      <c r="G38" t="e">
        <f>'All regions'!A930+"n/&gt;!$8Y"</f>
        <v>#VALUE!</v>
      </c>
      <c r="H38" t="e">
        <f>'All regions'!B930+"n/&gt;!$8Z"</f>
        <v>#VALUE!</v>
      </c>
      <c r="I38" t="e">
        <f>'All regions'!C930+"n/&gt;!$8["</f>
        <v>#VALUE!</v>
      </c>
      <c r="J38" t="e">
        <f>'All regions'!D930+"n/&gt;!$8\"</f>
        <v>#VALUE!</v>
      </c>
      <c r="K38" t="e">
        <f>'All regions'!E930+"n/&gt;!$8]"</f>
        <v>#VALUE!</v>
      </c>
      <c r="L38" t="e">
        <f>'All regions'!F930+"n/&gt;!$8^"</f>
        <v>#VALUE!</v>
      </c>
      <c r="M38" t="e">
        <f>'All regions'!G930+"n/&gt;!$8_"</f>
        <v>#VALUE!</v>
      </c>
      <c r="N38" t="e">
        <f>'All regions'!H930+"n/&gt;!$8`"</f>
        <v>#VALUE!</v>
      </c>
      <c r="O38" t="e">
        <f>'All regions'!I930+"n/&gt;!$8a"</f>
        <v>#VALUE!</v>
      </c>
      <c r="P38" t="e">
        <f>'All regions'!J930+"n/&gt;!$8b"</f>
        <v>#VALUE!</v>
      </c>
      <c r="Q38" t="e">
        <f>'All regions'!A931+"n/&gt;!$8c"</f>
        <v>#VALUE!</v>
      </c>
      <c r="R38" t="e">
        <f>'All regions'!B931+"n/&gt;!$8d"</f>
        <v>#VALUE!</v>
      </c>
      <c r="S38" t="e">
        <f>'All regions'!C931+"n/&gt;!$8e"</f>
        <v>#VALUE!</v>
      </c>
      <c r="T38" t="e">
        <f>'All regions'!D931+"n/&gt;!$8f"</f>
        <v>#VALUE!</v>
      </c>
      <c r="U38" t="e">
        <f>'All regions'!E931+"n/&gt;!$8g"</f>
        <v>#VALUE!</v>
      </c>
      <c r="V38" t="e">
        <f>'All regions'!F931+"n/&gt;!$8h"</f>
        <v>#VALUE!</v>
      </c>
      <c r="W38" t="e">
        <f>'All regions'!G931+"n/&gt;!$8i"</f>
        <v>#VALUE!</v>
      </c>
      <c r="X38" t="e">
        <f>'All regions'!H931+"n/&gt;!$8j"</f>
        <v>#VALUE!</v>
      </c>
      <c r="Y38" t="e">
        <f>'All regions'!I931+"n/&gt;!$8k"</f>
        <v>#VALUE!</v>
      </c>
      <c r="Z38" t="e">
        <f>'All regions'!J931+"n/&gt;!$8l"</f>
        <v>#VALUE!</v>
      </c>
      <c r="AA38" t="e">
        <f>'All regions'!A932+"n/&gt;!$8m"</f>
        <v>#VALUE!</v>
      </c>
      <c r="AB38" t="e">
        <f>'All regions'!B932+"n/&gt;!$8n"</f>
        <v>#VALUE!</v>
      </c>
      <c r="AC38" t="e">
        <f>'All regions'!C932+"n/&gt;!$8o"</f>
        <v>#VALUE!</v>
      </c>
      <c r="AD38" t="e">
        <f>'All regions'!D932+"n/&gt;!$8p"</f>
        <v>#VALUE!</v>
      </c>
      <c r="AE38" t="e">
        <f>'All regions'!E932+"n/&gt;!$8q"</f>
        <v>#VALUE!</v>
      </c>
      <c r="AF38" t="e">
        <f>'All regions'!F932+"n/&gt;!$8r"</f>
        <v>#VALUE!</v>
      </c>
      <c r="AG38" t="e">
        <f>'All regions'!G932+"n/&gt;!$8s"</f>
        <v>#VALUE!</v>
      </c>
      <c r="AH38" t="e">
        <f>'All regions'!H932+"n/&gt;!$8t"</f>
        <v>#VALUE!</v>
      </c>
      <c r="AI38" t="e">
        <f>'All regions'!I932+"n/&gt;!$8u"</f>
        <v>#VALUE!</v>
      </c>
      <c r="AJ38" t="e">
        <f>'All regions'!J932+"n/&gt;!$8v"</f>
        <v>#VALUE!</v>
      </c>
      <c r="AK38" t="e">
        <f>'All regions'!A933+"n/&gt;!$8w"</f>
        <v>#VALUE!</v>
      </c>
      <c r="AL38" t="e">
        <f>'All regions'!B933+"n/&gt;!$8x"</f>
        <v>#VALUE!</v>
      </c>
      <c r="AM38" t="e">
        <f>'All regions'!C933+"n/&gt;!$8y"</f>
        <v>#VALUE!</v>
      </c>
      <c r="AN38" t="e">
        <f>'All regions'!D933+"n/&gt;!$8z"</f>
        <v>#VALUE!</v>
      </c>
      <c r="AO38" t="e">
        <f>'All regions'!E933+"n/&gt;!$8{"</f>
        <v>#VALUE!</v>
      </c>
      <c r="AP38" t="e">
        <f>'All regions'!F933+"n/&gt;!$8|"</f>
        <v>#VALUE!</v>
      </c>
      <c r="AQ38" t="e">
        <f>'All regions'!G933+"n/&gt;!$8}"</f>
        <v>#VALUE!</v>
      </c>
      <c r="AR38" t="e">
        <f>'All regions'!H933+"n/&gt;!$8~"</f>
        <v>#VALUE!</v>
      </c>
      <c r="AS38" t="e">
        <f>'All regions'!I933+"n/&gt;!$9#"</f>
        <v>#VALUE!</v>
      </c>
      <c r="AT38" t="e">
        <f>'All regions'!J933+"n/&gt;!$9$"</f>
        <v>#VALUE!</v>
      </c>
      <c r="AU38" t="e">
        <f>'All regions'!A934+"n/&gt;!$9%"</f>
        <v>#VALUE!</v>
      </c>
      <c r="AV38" t="e">
        <f>'All regions'!B934+"n/&gt;!$9&amp;"</f>
        <v>#VALUE!</v>
      </c>
      <c r="AW38" t="e">
        <f>'All regions'!C934+"n/&gt;!$9'"</f>
        <v>#VALUE!</v>
      </c>
      <c r="AX38" t="e">
        <f>'All regions'!D934+"n/&gt;!$9("</f>
        <v>#VALUE!</v>
      </c>
      <c r="AY38" t="e">
        <f>'All regions'!E934+"n/&gt;!$9)"</f>
        <v>#VALUE!</v>
      </c>
      <c r="AZ38" t="e">
        <f>'All regions'!F934+"n/&gt;!$9."</f>
        <v>#VALUE!</v>
      </c>
      <c r="BA38" t="e">
        <f>'All regions'!G934+"n/&gt;!$9/"</f>
        <v>#VALUE!</v>
      </c>
      <c r="BB38" t="e">
        <f>'All regions'!H934+"n/&gt;!$90"</f>
        <v>#VALUE!</v>
      </c>
      <c r="BC38" t="e">
        <f>'All regions'!I934+"n/&gt;!$91"</f>
        <v>#VALUE!</v>
      </c>
      <c r="BD38" t="e">
        <f>'All regions'!J934+"n/&gt;!$92"</f>
        <v>#VALUE!</v>
      </c>
      <c r="BE38" t="e">
        <f>'All regions'!A935+"n/&gt;!$93"</f>
        <v>#VALUE!</v>
      </c>
      <c r="BF38" t="e">
        <f>'All regions'!B935+"n/&gt;!$94"</f>
        <v>#VALUE!</v>
      </c>
      <c r="BG38" t="e">
        <f>'All regions'!C935+"n/&gt;!$95"</f>
        <v>#VALUE!</v>
      </c>
      <c r="BH38" t="e">
        <f>'All regions'!D935+"n/&gt;!$96"</f>
        <v>#VALUE!</v>
      </c>
      <c r="BI38" t="e">
        <f>'All regions'!E935+"n/&gt;!$97"</f>
        <v>#VALUE!</v>
      </c>
      <c r="BJ38" t="e">
        <f>'All regions'!F935+"n/&gt;!$98"</f>
        <v>#VALUE!</v>
      </c>
      <c r="BK38" t="e">
        <f>'All regions'!G935+"n/&gt;!$99"</f>
        <v>#VALUE!</v>
      </c>
      <c r="BL38" t="e">
        <f>'All regions'!H935+"n/&gt;!$9:"</f>
        <v>#VALUE!</v>
      </c>
      <c r="BM38" t="e">
        <f>'All regions'!I935+"n/&gt;!$9;"</f>
        <v>#VALUE!</v>
      </c>
      <c r="BN38" t="e">
        <f>'All regions'!J935+"n/&gt;!$9&lt;"</f>
        <v>#VALUE!</v>
      </c>
      <c r="BO38" t="e">
        <f>'All regions'!A936+"n/&gt;!$9="</f>
        <v>#VALUE!</v>
      </c>
      <c r="BP38" t="e">
        <f>'All regions'!B936+"n/&gt;!$9&gt;"</f>
        <v>#VALUE!</v>
      </c>
      <c r="BQ38" t="e">
        <f>'All regions'!C936+"n/&gt;!$9?"</f>
        <v>#VALUE!</v>
      </c>
      <c r="BR38" t="e">
        <f>'All regions'!D936+"n/&gt;!$9@"</f>
        <v>#VALUE!</v>
      </c>
      <c r="BS38" t="e">
        <f>'All regions'!E936+"n/&gt;!$9A"</f>
        <v>#VALUE!</v>
      </c>
      <c r="BT38" t="e">
        <f>'All regions'!F936+"n/&gt;!$9B"</f>
        <v>#VALUE!</v>
      </c>
      <c r="BU38" t="e">
        <f>'All regions'!G936+"n/&gt;!$9C"</f>
        <v>#VALUE!</v>
      </c>
      <c r="BV38" t="e">
        <f>'All regions'!H936+"n/&gt;!$9D"</f>
        <v>#VALUE!</v>
      </c>
      <c r="BW38" t="e">
        <f>'All regions'!I936+"n/&gt;!$9E"</f>
        <v>#VALUE!</v>
      </c>
      <c r="BX38" t="e">
        <f>'All regions'!J936+"n/&gt;!$9F"</f>
        <v>#VALUE!</v>
      </c>
      <c r="BY38" t="e">
        <f>'All regions'!A937+"n/&gt;!$9G"</f>
        <v>#VALUE!</v>
      </c>
      <c r="BZ38" t="e">
        <f>'All regions'!B937+"n/&gt;!$9H"</f>
        <v>#VALUE!</v>
      </c>
      <c r="CA38" t="e">
        <f>'All regions'!C937+"n/&gt;!$9I"</f>
        <v>#VALUE!</v>
      </c>
      <c r="CB38" t="e">
        <f>'All regions'!D937+"n/&gt;!$9J"</f>
        <v>#VALUE!</v>
      </c>
      <c r="CC38" t="e">
        <f>'All regions'!E937+"n/&gt;!$9K"</f>
        <v>#VALUE!</v>
      </c>
      <c r="CD38" t="e">
        <f>'All regions'!F937+"n/&gt;!$9L"</f>
        <v>#VALUE!</v>
      </c>
      <c r="CE38" t="e">
        <f>'All regions'!G937+"n/&gt;!$9M"</f>
        <v>#VALUE!</v>
      </c>
      <c r="CF38" t="e">
        <f>'All regions'!H937+"n/&gt;!$9N"</f>
        <v>#VALUE!</v>
      </c>
      <c r="CG38" t="e">
        <f>'All regions'!I937+"n/&gt;!$9O"</f>
        <v>#VALUE!</v>
      </c>
      <c r="CH38" t="e">
        <f>'All regions'!J937+"n/&gt;!$9P"</f>
        <v>#VALUE!</v>
      </c>
      <c r="CI38" t="e">
        <f>'All regions'!A938+"n/&gt;!$9Q"</f>
        <v>#VALUE!</v>
      </c>
      <c r="CJ38" t="e">
        <f>'All regions'!B938+"n/&gt;!$9R"</f>
        <v>#VALUE!</v>
      </c>
      <c r="CK38" t="e">
        <f>'All regions'!C938+"n/&gt;!$9S"</f>
        <v>#VALUE!</v>
      </c>
      <c r="CL38" t="e">
        <f>'All regions'!D938+"n/&gt;!$9T"</f>
        <v>#VALUE!</v>
      </c>
      <c r="CM38" t="e">
        <f>'All regions'!E938+"n/&gt;!$9U"</f>
        <v>#VALUE!</v>
      </c>
      <c r="CN38" t="e">
        <f>'All regions'!F938+"n/&gt;!$9V"</f>
        <v>#VALUE!</v>
      </c>
      <c r="CO38" t="e">
        <f>'All regions'!G938+"n/&gt;!$9W"</f>
        <v>#VALUE!</v>
      </c>
      <c r="CP38" t="e">
        <f>'All regions'!H938+"n/&gt;!$9X"</f>
        <v>#VALUE!</v>
      </c>
      <c r="CQ38" t="e">
        <f>'All regions'!I938+"n/&gt;!$9Y"</f>
        <v>#VALUE!</v>
      </c>
      <c r="CR38" t="e">
        <f>'All regions'!J938+"n/&gt;!$9Z"</f>
        <v>#VALUE!</v>
      </c>
      <c r="CS38" t="e">
        <f>'All regions'!A939+"n/&gt;!$9["</f>
        <v>#VALUE!</v>
      </c>
      <c r="CT38" t="e">
        <f>'All regions'!B939+"n/&gt;!$9\"</f>
        <v>#VALUE!</v>
      </c>
      <c r="CU38" t="e">
        <f>'All regions'!C939+"n/&gt;!$9]"</f>
        <v>#VALUE!</v>
      </c>
      <c r="CV38" t="e">
        <f>'All regions'!D939+"n/&gt;!$9^"</f>
        <v>#VALUE!</v>
      </c>
      <c r="CW38" t="e">
        <f>'All regions'!E939+"n/&gt;!$9_"</f>
        <v>#VALUE!</v>
      </c>
      <c r="CX38" t="e">
        <f>'All regions'!F939+"n/&gt;!$9`"</f>
        <v>#VALUE!</v>
      </c>
      <c r="CY38" t="e">
        <f>'All regions'!G939+"n/&gt;!$9a"</f>
        <v>#VALUE!</v>
      </c>
      <c r="CZ38" t="e">
        <f>'All regions'!H939+"n/&gt;!$9b"</f>
        <v>#VALUE!</v>
      </c>
      <c r="DA38" t="e">
        <f>'All regions'!I939+"n/&gt;!$9c"</f>
        <v>#VALUE!</v>
      </c>
      <c r="DB38" t="e">
        <f>'All regions'!J939+"n/&gt;!$9d"</f>
        <v>#VALUE!</v>
      </c>
      <c r="DC38" t="e">
        <f>'All regions'!A940+"n/&gt;!$9e"</f>
        <v>#VALUE!</v>
      </c>
      <c r="DD38" t="e">
        <f>'All regions'!B940+"n/&gt;!$9f"</f>
        <v>#VALUE!</v>
      </c>
      <c r="DE38" t="e">
        <f>'All regions'!C940+"n/&gt;!$9g"</f>
        <v>#VALUE!</v>
      </c>
      <c r="DF38" t="e">
        <f>'All regions'!D940+"n/&gt;!$9h"</f>
        <v>#VALUE!</v>
      </c>
      <c r="DG38" t="e">
        <f>'All regions'!E940+"n/&gt;!$9i"</f>
        <v>#VALUE!</v>
      </c>
      <c r="DH38" t="e">
        <f>'All regions'!F940+"n/&gt;!$9j"</f>
        <v>#VALUE!</v>
      </c>
      <c r="DI38" t="e">
        <f>'All regions'!G940+"n/&gt;!$9k"</f>
        <v>#VALUE!</v>
      </c>
      <c r="DJ38" t="e">
        <f>'All regions'!H940+"n/&gt;!$9l"</f>
        <v>#VALUE!</v>
      </c>
      <c r="DK38" t="e">
        <f>'All regions'!I940+"n/&gt;!$9m"</f>
        <v>#VALUE!</v>
      </c>
      <c r="DL38" t="e">
        <f>'All regions'!J940+"n/&gt;!$9n"</f>
        <v>#VALUE!</v>
      </c>
      <c r="DM38" t="e">
        <f>'All regions'!A941+"n/&gt;!$9o"</f>
        <v>#VALUE!</v>
      </c>
      <c r="DN38" t="e">
        <f>'All regions'!B941+"n/&gt;!$9p"</f>
        <v>#VALUE!</v>
      </c>
      <c r="DO38" t="e">
        <f>'All regions'!C941+"n/&gt;!$9q"</f>
        <v>#VALUE!</v>
      </c>
      <c r="DP38" t="e">
        <f>'All regions'!D941+"n/&gt;!$9r"</f>
        <v>#VALUE!</v>
      </c>
      <c r="DQ38" t="e">
        <f>'All regions'!E941+"n/&gt;!$9s"</f>
        <v>#VALUE!</v>
      </c>
      <c r="DR38" t="e">
        <f>'All regions'!F941+"n/&gt;!$9t"</f>
        <v>#VALUE!</v>
      </c>
      <c r="DS38" t="e">
        <f>'All regions'!G941+"n/&gt;!$9u"</f>
        <v>#VALUE!</v>
      </c>
      <c r="DT38" t="e">
        <f>'All regions'!H941+"n/&gt;!$9v"</f>
        <v>#VALUE!</v>
      </c>
      <c r="DU38" t="e">
        <f>'All regions'!I941+"n/&gt;!$9w"</f>
        <v>#VALUE!</v>
      </c>
      <c r="DV38" t="e">
        <f>'All regions'!J941+"n/&gt;!$9x"</f>
        <v>#VALUE!</v>
      </c>
      <c r="DW38" t="e">
        <f>'All regions'!A942+"n/&gt;!$9y"</f>
        <v>#VALUE!</v>
      </c>
      <c r="DX38" t="e">
        <f>'All regions'!B942+"n/&gt;!$9z"</f>
        <v>#VALUE!</v>
      </c>
      <c r="DY38" t="e">
        <f>'All regions'!C942+"n/&gt;!$9{"</f>
        <v>#VALUE!</v>
      </c>
      <c r="DZ38" t="e">
        <f>'All regions'!D942+"n/&gt;!$9|"</f>
        <v>#VALUE!</v>
      </c>
      <c r="EA38" t="e">
        <f>'All regions'!E942+"n/&gt;!$9}"</f>
        <v>#VALUE!</v>
      </c>
      <c r="EB38" t="e">
        <f>'All regions'!F942+"n/&gt;!$9~"</f>
        <v>#VALUE!</v>
      </c>
      <c r="EC38" t="e">
        <f>'All regions'!G942+"n/&gt;!$:#"</f>
        <v>#VALUE!</v>
      </c>
      <c r="ED38" t="e">
        <f>'All regions'!H942+"n/&gt;!$:$"</f>
        <v>#VALUE!</v>
      </c>
      <c r="EE38" t="e">
        <f>'All regions'!I942+"n/&gt;!$:%"</f>
        <v>#VALUE!</v>
      </c>
      <c r="EF38" t="e">
        <f>'All regions'!J942+"n/&gt;!$:&amp;"</f>
        <v>#VALUE!</v>
      </c>
      <c r="EG38" t="e">
        <f>'All regions'!A943+"n/&gt;!$:'"</f>
        <v>#VALUE!</v>
      </c>
      <c r="EH38" t="e">
        <f>'All regions'!B943+"n/&gt;!$:("</f>
        <v>#VALUE!</v>
      </c>
      <c r="EI38" t="e">
        <f>'All regions'!C943+"n/&gt;!$:)"</f>
        <v>#VALUE!</v>
      </c>
      <c r="EJ38" t="e">
        <f>'All regions'!D943+"n/&gt;!$:."</f>
        <v>#VALUE!</v>
      </c>
      <c r="EK38" t="e">
        <f>'All regions'!E943+"n/&gt;!$:/"</f>
        <v>#VALUE!</v>
      </c>
      <c r="EL38" t="e">
        <f>'All regions'!F943+"n/&gt;!$:0"</f>
        <v>#VALUE!</v>
      </c>
      <c r="EM38" t="e">
        <f>'All regions'!G943+"n/&gt;!$:1"</f>
        <v>#VALUE!</v>
      </c>
      <c r="EN38" t="e">
        <f>'All regions'!H943+"n/&gt;!$:2"</f>
        <v>#VALUE!</v>
      </c>
      <c r="EO38" t="e">
        <f>'All regions'!I943+"n/&gt;!$:3"</f>
        <v>#VALUE!</v>
      </c>
      <c r="EP38" t="e">
        <f>'All regions'!J943+"n/&gt;!$:4"</f>
        <v>#VALUE!</v>
      </c>
      <c r="EQ38" t="e">
        <f>'All regions'!A944+"n/&gt;!$:5"</f>
        <v>#VALUE!</v>
      </c>
      <c r="ER38" t="e">
        <f>'All regions'!B944+"n/&gt;!$:6"</f>
        <v>#VALUE!</v>
      </c>
      <c r="ES38" t="e">
        <f>'All regions'!C944+"n/&gt;!$:7"</f>
        <v>#VALUE!</v>
      </c>
      <c r="ET38" t="e">
        <f>'All regions'!D944+"n/&gt;!$:8"</f>
        <v>#VALUE!</v>
      </c>
      <c r="EU38" t="e">
        <f>'All regions'!E944+"n/&gt;!$:9"</f>
        <v>#VALUE!</v>
      </c>
      <c r="EV38" t="e">
        <f>'All regions'!F944+"n/&gt;!$::"</f>
        <v>#VALUE!</v>
      </c>
      <c r="EW38" t="e">
        <f>'All regions'!G944+"n/&gt;!$:;"</f>
        <v>#VALUE!</v>
      </c>
      <c r="EX38" t="e">
        <f>'All regions'!H944+"n/&gt;!$:&lt;"</f>
        <v>#VALUE!</v>
      </c>
      <c r="EY38" t="e">
        <f>'All regions'!I944+"n/&gt;!$:="</f>
        <v>#VALUE!</v>
      </c>
      <c r="EZ38" t="e">
        <f>'All regions'!J944+"n/&gt;!$:&gt;"</f>
        <v>#VALUE!</v>
      </c>
      <c r="FA38" t="e">
        <f>'All regions'!A945+"n/&gt;!$:?"</f>
        <v>#VALUE!</v>
      </c>
      <c r="FB38" t="e">
        <f>'All regions'!B945+"n/&gt;!$:@"</f>
        <v>#VALUE!</v>
      </c>
      <c r="FC38" t="e">
        <f>'All regions'!C945+"n/&gt;!$:A"</f>
        <v>#VALUE!</v>
      </c>
      <c r="FD38" t="e">
        <f>'All regions'!D945+"n/&gt;!$:B"</f>
        <v>#VALUE!</v>
      </c>
      <c r="FE38" t="e">
        <f>'All regions'!E945+"n/&gt;!$:C"</f>
        <v>#VALUE!</v>
      </c>
      <c r="FF38" t="e">
        <f>'All regions'!F945+"n/&gt;!$:D"</f>
        <v>#VALUE!</v>
      </c>
      <c r="FG38" t="e">
        <f>'All regions'!G945+"n/&gt;!$:E"</f>
        <v>#VALUE!</v>
      </c>
      <c r="FH38" t="e">
        <f>'All regions'!H945+"n/&gt;!$:F"</f>
        <v>#VALUE!</v>
      </c>
      <c r="FI38" t="e">
        <f>'All regions'!I945+"n/&gt;!$:G"</f>
        <v>#VALUE!</v>
      </c>
      <c r="FJ38" t="e">
        <f>'All regions'!J945+"n/&gt;!$:H"</f>
        <v>#VALUE!</v>
      </c>
      <c r="FK38" t="e">
        <f>'All regions'!A946+"n/&gt;!$:I"</f>
        <v>#VALUE!</v>
      </c>
      <c r="FL38" t="e">
        <f>'All regions'!B946+"n/&gt;!$:J"</f>
        <v>#VALUE!</v>
      </c>
      <c r="FM38" t="e">
        <f>'All regions'!C946+"n/&gt;!$:K"</f>
        <v>#VALUE!</v>
      </c>
      <c r="FN38" t="e">
        <f>'All regions'!D946+"n/&gt;!$:L"</f>
        <v>#VALUE!</v>
      </c>
      <c r="FO38" t="e">
        <f>'All regions'!E946+"n/&gt;!$:M"</f>
        <v>#VALUE!</v>
      </c>
      <c r="FP38" t="e">
        <f>'All regions'!F946+"n/&gt;!$:N"</f>
        <v>#VALUE!</v>
      </c>
      <c r="FQ38" t="e">
        <f>'All regions'!G946+"n/&gt;!$:O"</f>
        <v>#VALUE!</v>
      </c>
      <c r="FR38" t="e">
        <f>'All regions'!H946+"n/&gt;!$:P"</f>
        <v>#VALUE!</v>
      </c>
      <c r="FS38" t="e">
        <f>'All regions'!I946+"n/&gt;!$:Q"</f>
        <v>#VALUE!</v>
      </c>
      <c r="FT38" t="e">
        <f>'All regions'!J946+"n/&gt;!$:R"</f>
        <v>#VALUE!</v>
      </c>
      <c r="FU38" t="e">
        <f>'All regions'!A947+"n/&gt;!$:S"</f>
        <v>#VALUE!</v>
      </c>
      <c r="FV38" t="e">
        <f>'All regions'!B947+"n/&gt;!$:T"</f>
        <v>#VALUE!</v>
      </c>
      <c r="FW38" t="e">
        <f>'All regions'!C947+"n/&gt;!$:U"</f>
        <v>#VALUE!</v>
      </c>
      <c r="FX38" t="e">
        <f>'All regions'!D947+"n/&gt;!$:V"</f>
        <v>#VALUE!</v>
      </c>
      <c r="FY38" t="e">
        <f>'All regions'!E947+"n/&gt;!$:W"</f>
        <v>#VALUE!</v>
      </c>
      <c r="FZ38" t="e">
        <f>'All regions'!F947+"n/&gt;!$:X"</f>
        <v>#VALUE!</v>
      </c>
      <c r="GA38" t="e">
        <f>'All regions'!G947+"n/&gt;!$:Y"</f>
        <v>#VALUE!</v>
      </c>
      <c r="GB38" t="e">
        <f>'All regions'!H947+"n/&gt;!$:Z"</f>
        <v>#VALUE!</v>
      </c>
      <c r="GC38" t="e">
        <f>'All regions'!I947+"n/&gt;!$:["</f>
        <v>#VALUE!</v>
      </c>
      <c r="GD38" t="e">
        <f>'All regions'!J947+"n/&gt;!$:\"</f>
        <v>#VALUE!</v>
      </c>
      <c r="GE38" t="e">
        <f>'All regions'!A948+"n/&gt;!$:]"</f>
        <v>#VALUE!</v>
      </c>
      <c r="GF38" t="e">
        <f>'All regions'!B948+"n/&gt;!$:^"</f>
        <v>#VALUE!</v>
      </c>
      <c r="GG38" t="e">
        <f>'All regions'!C948+"n/&gt;!$:_"</f>
        <v>#VALUE!</v>
      </c>
      <c r="GH38" t="e">
        <f>'All regions'!D948+"n/&gt;!$:`"</f>
        <v>#VALUE!</v>
      </c>
      <c r="GI38" t="e">
        <f>'All regions'!E948+"n/&gt;!$:a"</f>
        <v>#VALUE!</v>
      </c>
      <c r="GJ38" t="e">
        <f>'All regions'!F948+"n/&gt;!$:b"</f>
        <v>#VALUE!</v>
      </c>
      <c r="GK38" t="e">
        <f>'All regions'!G948+"n/&gt;!$:c"</f>
        <v>#VALUE!</v>
      </c>
      <c r="GL38" t="e">
        <f>'All regions'!H948+"n/&gt;!$:d"</f>
        <v>#VALUE!</v>
      </c>
      <c r="GM38" t="e">
        <f>'All regions'!I948+"n/&gt;!$:e"</f>
        <v>#VALUE!</v>
      </c>
      <c r="GN38" t="e">
        <f>'All regions'!J948+"n/&gt;!$:f"</f>
        <v>#VALUE!</v>
      </c>
      <c r="GO38" t="e">
        <f>'All regions'!A949+"n/&gt;!$:g"</f>
        <v>#VALUE!</v>
      </c>
      <c r="GP38" t="e">
        <f>'All regions'!B949+"n/&gt;!$:h"</f>
        <v>#VALUE!</v>
      </c>
      <c r="GQ38" t="e">
        <f>'All regions'!C949+"n/&gt;!$:i"</f>
        <v>#VALUE!</v>
      </c>
      <c r="GR38" t="e">
        <f>'All regions'!D949+"n/&gt;!$:j"</f>
        <v>#VALUE!</v>
      </c>
      <c r="GS38" t="e">
        <f>'All regions'!E949+"n/&gt;!$:k"</f>
        <v>#VALUE!</v>
      </c>
      <c r="GT38" t="e">
        <f>'All regions'!F949+"n/&gt;!$:l"</f>
        <v>#VALUE!</v>
      </c>
      <c r="GU38" t="e">
        <f>'All regions'!G949+"n/&gt;!$:m"</f>
        <v>#VALUE!</v>
      </c>
      <c r="GV38" t="e">
        <f>'All regions'!H949+"n/&gt;!$:n"</f>
        <v>#VALUE!</v>
      </c>
      <c r="GW38" t="e">
        <f>'All regions'!I949+"n/&gt;!$:o"</f>
        <v>#VALUE!</v>
      </c>
      <c r="GX38" t="e">
        <f>'All regions'!J949+"n/&gt;!$:p"</f>
        <v>#VALUE!</v>
      </c>
      <c r="GY38" t="e">
        <f>'All regions'!A950+"n/&gt;!$:q"</f>
        <v>#VALUE!</v>
      </c>
      <c r="GZ38" t="e">
        <f>'All regions'!B950+"n/&gt;!$:r"</f>
        <v>#VALUE!</v>
      </c>
      <c r="HA38" t="e">
        <f>'All regions'!C950+"n/&gt;!$:s"</f>
        <v>#VALUE!</v>
      </c>
      <c r="HB38" t="e">
        <f>'All regions'!D950+"n/&gt;!$:t"</f>
        <v>#VALUE!</v>
      </c>
      <c r="HC38" t="e">
        <f>'All regions'!E950+"n/&gt;!$:u"</f>
        <v>#VALUE!</v>
      </c>
      <c r="HD38" t="e">
        <f>'All regions'!F950+"n/&gt;!$:v"</f>
        <v>#VALUE!</v>
      </c>
      <c r="HE38" t="e">
        <f>'All regions'!G950+"n/&gt;!$:w"</f>
        <v>#VALUE!</v>
      </c>
      <c r="HF38" t="e">
        <f>'All regions'!H950+"n/&gt;!$:x"</f>
        <v>#VALUE!</v>
      </c>
      <c r="HG38" t="e">
        <f>'All regions'!I950+"n/&gt;!$:y"</f>
        <v>#VALUE!</v>
      </c>
      <c r="HH38" t="e">
        <f>'All regions'!J950+"n/&gt;!$:z"</f>
        <v>#VALUE!</v>
      </c>
      <c r="HI38" t="e">
        <f>'All regions'!A951+"n/&gt;!$:{"</f>
        <v>#VALUE!</v>
      </c>
      <c r="HJ38" t="e">
        <f>'All regions'!B951+"n/&gt;!$:|"</f>
        <v>#VALUE!</v>
      </c>
      <c r="HK38" t="e">
        <f>'All regions'!C951+"n/&gt;!$:}"</f>
        <v>#VALUE!</v>
      </c>
      <c r="HL38" t="e">
        <f>'All regions'!D951+"n/&gt;!$:~"</f>
        <v>#VALUE!</v>
      </c>
      <c r="HM38" t="e">
        <f>'All regions'!E951+"n/&gt;!$;#"</f>
        <v>#VALUE!</v>
      </c>
      <c r="HN38" t="e">
        <f>'All regions'!F951+"n/&gt;!$;$"</f>
        <v>#VALUE!</v>
      </c>
      <c r="HO38" t="e">
        <f>'All regions'!G951+"n/&gt;!$;%"</f>
        <v>#VALUE!</v>
      </c>
      <c r="HP38" t="e">
        <f>'All regions'!H951+"n/&gt;!$;&amp;"</f>
        <v>#VALUE!</v>
      </c>
      <c r="HQ38" t="e">
        <f>'All regions'!I951+"n/&gt;!$;'"</f>
        <v>#VALUE!</v>
      </c>
      <c r="HR38" t="e">
        <f>'All regions'!J951+"n/&gt;!$;("</f>
        <v>#VALUE!</v>
      </c>
      <c r="HS38" t="e">
        <f>'All regions'!A952+"n/&gt;!$;)"</f>
        <v>#VALUE!</v>
      </c>
      <c r="HT38" t="e">
        <f>'All regions'!B952+"n/&gt;!$;."</f>
        <v>#VALUE!</v>
      </c>
      <c r="HU38" t="e">
        <f>'All regions'!C952+"n/&gt;!$;/"</f>
        <v>#VALUE!</v>
      </c>
      <c r="HV38" t="e">
        <f>'All regions'!D952+"n/&gt;!$;0"</f>
        <v>#VALUE!</v>
      </c>
      <c r="HW38" t="e">
        <f>'All regions'!E952+"n/&gt;!$;1"</f>
        <v>#VALUE!</v>
      </c>
      <c r="HX38" t="e">
        <f>'All regions'!F952+"n/&gt;!$;2"</f>
        <v>#VALUE!</v>
      </c>
      <c r="HY38" t="e">
        <f>'All regions'!G952+"n/&gt;!$;3"</f>
        <v>#VALUE!</v>
      </c>
      <c r="HZ38" t="e">
        <f>'All regions'!H952+"n/&gt;!$;4"</f>
        <v>#VALUE!</v>
      </c>
      <c r="IA38" t="e">
        <f>'All regions'!I952+"n/&gt;!$;5"</f>
        <v>#VALUE!</v>
      </c>
      <c r="IB38" t="e">
        <f>'All regions'!J952+"n/&gt;!$;6"</f>
        <v>#VALUE!</v>
      </c>
      <c r="IC38" t="e">
        <f>'All regions'!A953+"n/&gt;!$;7"</f>
        <v>#VALUE!</v>
      </c>
      <c r="ID38" t="e">
        <f>'All regions'!B953+"n/&gt;!$;8"</f>
        <v>#VALUE!</v>
      </c>
      <c r="IE38" t="e">
        <f>'All regions'!C953+"n/&gt;!$;9"</f>
        <v>#VALUE!</v>
      </c>
      <c r="IF38" t="e">
        <f>'All regions'!D953+"n/&gt;!$;:"</f>
        <v>#VALUE!</v>
      </c>
      <c r="IG38" t="e">
        <f>'All regions'!E953+"n/&gt;!$;;"</f>
        <v>#VALUE!</v>
      </c>
      <c r="IH38" t="e">
        <f>'All regions'!F953+"n/&gt;!$;&lt;"</f>
        <v>#VALUE!</v>
      </c>
      <c r="II38" t="e">
        <f>'All regions'!G953+"n/&gt;!$;="</f>
        <v>#VALUE!</v>
      </c>
      <c r="IJ38" t="e">
        <f>'All regions'!H953+"n/&gt;!$;&gt;"</f>
        <v>#VALUE!</v>
      </c>
      <c r="IK38" t="e">
        <f>'All regions'!I953+"n/&gt;!$;?"</f>
        <v>#VALUE!</v>
      </c>
      <c r="IL38" t="e">
        <f>'All regions'!J953+"n/&gt;!$;@"</f>
        <v>#VALUE!</v>
      </c>
      <c r="IM38" t="e">
        <f>'All regions'!A954+"n/&gt;!$;A"</f>
        <v>#VALUE!</v>
      </c>
      <c r="IN38" t="e">
        <f>'All regions'!B954+"n/&gt;!$;B"</f>
        <v>#VALUE!</v>
      </c>
      <c r="IO38" t="e">
        <f>'All regions'!C954+"n/&gt;!$;C"</f>
        <v>#VALUE!</v>
      </c>
      <c r="IP38" t="e">
        <f>'All regions'!D954+"n/&gt;!$;D"</f>
        <v>#VALUE!</v>
      </c>
      <c r="IQ38" t="e">
        <f>'All regions'!E954+"n/&gt;!$;E"</f>
        <v>#VALUE!</v>
      </c>
      <c r="IR38" t="e">
        <f>'All regions'!F954+"n/&gt;!$;F"</f>
        <v>#VALUE!</v>
      </c>
      <c r="IS38" t="e">
        <f>'All regions'!G954+"n/&gt;!$;G"</f>
        <v>#VALUE!</v>
      </c>
      <c r="IT38" t="e">
        <f>'All regions'!H954+"n/&gt;!$;H"</f>
        <v>#VALUE!</v>
      </c>
      <c r="IU38" t="e">
        <f>'All regions'!I954+"n/&gt;!$;I"</f>
        <v>#VALUE!</v>
      </c>
      <c r="IV38" t="e">
        <f>'All regions'!J954+"n/&gt;!$;J"</f>
        <v>#VALUE!</v>
      </c>
    </row>
    <row r="39" spans="6:256" x14ac:dyDescent="0.35">
      <c r="F39" t="e">
        <f>'All regions'!A955+"n/&gt;!$;K"</f>
        <v>#VALUE!</v>
      </c>
      <c r="G39" t="e">
        <f>'All regions'!B955+"n/&gt;!$;L"</f>
        <v>#VALUE!</v>
      </c>
      <c r="H39" t="e">
        <f>'All regions'!C955+"n/&gt;!$;M"</f>
        <v>#VALUE!</v>
      </c>
      <c r="I39" t="e">
        <f>'All regions'!D955+"n/&gt;!$;N"</f>
        <v>#VALUE!</v>
      </c>
      <c r="J39" t="e">
        <f>'All regions'!E955+"n/&gt;!$;O"</f>
        <v>#VALUE!</v>
      </c>
      <c r="K39" t="e">
        <f>'All regions'!F955+"n/&gt;!$;P"</f>
        <v>#VALUE!</v>
      </c>
      <c r="L39" t="e">
        <f>'All regions'!G955+"n/&gt;!$;Q"</f>
        <v>#VALUE!</v>
      </c>
      <c r="M39" t="e">
        <f>'All regions'!H955+"n/&gt;!$;R"</f>
        <v>#VALUE!</v>
      </c>
      <c r="N39" t="e">
        <f>'All regions'!I955+"n/&gt;!$;S"</f>
        <v>#VALUE!</v>
      </c>
      <c r="O39" t="e">
        <f>'All regions'!J955+"n/&gt;!$;T"</f>
        <v>#VALUE!</v>
      </c>
      <c r="P39" t="e">
        <f>'All regions'!A956+"n/&gt;!$;U"</f>
        <v>#VALUE!</v>
      </c>
      <c r="Q39" t="e">
        <f>'All regions'!B956+"n/&gt;!$;V"</f>
        <v>#VALUE!</v>
      </c>
      <c r="R39" t="e">
        <f>'All regions'!C956+"n/&gt;!$;W"</f>
        <v>#VALUE!</v>
      </c>
      <c r="S39" t="e">
        <f>'All regions'!D956+"n/&gt;!$;X"</f>
        <v>#VALUE!</v>
      </c>
      <c r="T39" t="e">
        <f>'All regions'!E956+"n/&gt;!$;Y"</f>
        <v>#VALUE!</v>
      </c>
      <c r="U39" t="e">
        <f>'All regions'!F956+"n/&gt;!$;Z"</f>
        <v>#VALUE!</v>
      </c>
      <c r="V39" t="e">
        <f>'All regions'!G956+"n/&gt;!$;["</f>
        <v>#VALUE!</v>
      </c>
      <c r="W39" t="e">
        <f>'All regions'!H956+"n/&gt;!$;\"</f>
        <v>#VALUE!</v>
      </c>
      <c r="X39" t="e">
        <f>'All regions'!I956+"n/&gt;!$;]"</f>
        <v>#VALUE!</v>
      </c>
      <c r="Y39" t="e">
        <f>'All regions'!J956+"n/&gt;!$;^"</f>
        <v>#VALUE!</v>
      </c>
      <c r="Z39" t="e">
        <f>'All regions'!A957+"n/&gt;!$;_"</f>
        <v>#VALUE!</v>
      </c>
      <c r="AA39" t="e">
        <f>'All regions'!B957+"n/&gt;!$;`"</f>
        <v>#VALUE!</v>
      </c>
      <c r="AB39" t="e">
        <f>'All regions'!C957+"n/&gt;!$;a"</f>
        <v>#VALUE!</v>
      </c>
      <c r="AC39" t="e">
        <f>'All regions'!D957+"n/&gt;!$;b"</f>
        <v>#VALUE!</v>
      </c>
      <c r="AD39" t="e">
        <f>'All regions'!E957+"n/&gt;!$;c"</f>
        <v>#VALUE!</v>
      </c>
      <c r="AE39" t="e">
        <f>'All regions'!F957+"n/&gt;!$;d"</f>
        <v>#VALUE!</v>
      </c>
      <c r="AF39" t="e">
        <f>'All regions'!G957+"n/&gt;!$;e"</f>
        <v>#VALUE!</v>
      </c>
      <c r="AG39" t="e">
        <f>'All regions'!H957+"n/&gt;!$;f"</f>
        <v>#VALUE!</v>
      </c>
      <c r="AH39" t="e">
        <f>'All regions'!I957+"n/&gt;!$;g"</f>
        <v>#VALUE!</v>
      </c>
      <c r="AI39" t="e">
        <f>'All regions'!J957+"n/&gt;!$;h"</f>
        <v>#VALUE!</v>
      </c>
      <c r="AJ39" t="e">
        <f>'All regions'!A958+"n/&gt;!$;i"</f>
        <v>#VALUE!</v>
      </c>
      <c r="AK39" t="e">
        <f>'All regions'!B958+"n/&gt;!$;j"</f>
        <v>#VALUE!</v>
      </c>
      <c r="AL39" t="e">
        <f>'All regions'!C958+"n/&gt;!$;k"</f>
        <v>#VALUE!</v>
      </c>
      <c r="AM39" t="e">
        <f>'All regions'!D958+"n/&gt;!$;l"</f>
        <v>#VALUE!</v>
      </c>
      <c r="AN39" t="e">
        <f>'All regions'!E958+"n/&gt;!$;m"</f>
        <v>#VALUE!</v>
      </c>
      <c r="AO39" t="e">
        <f>'All regions'!F958+"n/&gt;!$;n"</f>
        <v>#VALUE!</v>
      </c>
      <c r="AP39" t="e">
        <f>'All regions'!G958+"n/&gt;!$;o"</f>
        <v>#VALUE!</v>
      </c>
      <c r="AQ39" t="e">
        <f>'All regions'!H958+"n/&gt;!$;p"</f>
        <v>#VALUE!</v>
      </c>
      <c r="AR39" t="e">
        <f>'All regions'!I958+"n/&gt;!$;q"</f>
        <v>#VALUE!</v>
      </c>
      <c r="AS39" t="e">
        <f>'All regions'!J958+"n/&gt;!$;r"</f>
        <v>#VALUE!</v>
      </c>
      <c r="AT39" t="e">
        <f>'All regions'!A959+"n/&gt;!$;s"</f>
        <v>#VALUE!</v>
      </c>
      <c r="AU39" t="e">
        <f>'All regions'!B959+"n/&gt;!$;t"</f>
        <v>#VALUE!</v>
      </c>
      <c r="AV39" t="e">
        <f>'All regions'!C959+"n/&gt;!$;u"</f>
        <v>#VALUE!</v>
      </c>
      <c r="AW39" t="e">
        <f>'All regions'!D959+"n/&gt;!$;v"</f>
        <v>#VALUE!</v>
      </c>
      <c r="AX39" t="e">
        <f>'All regions'!E959+"n/&gt;!$;w"</f>
        <v>#VALUE!</v>
      </c>
      <c r="AY39" t="e">
        <f>'All regions'!F959+"n/&gt;!$;x"</f>
        <v>#VALUE!</v>
      </c>
      <c r="AZ39" t="e">
        <f>'All regions'!G959+"n/&gt;!$;y"</f>
        <v>#VALUE!</v>
      </c>
      <c r="BA39" t="e">
        <f>'All regions'!H959+"n/&gt;!$;z"</f>
        <v>#VALUE!</v>
      </c>
      <c r="BB39" t="e">
        <f>'All regions'!I959+"n/&gt;!$;{"</f>
        <v>#VALUE!</v>
      </c>
      <c r="BC39" t="e">
        <f>'All regions'!J959+"n/&gt;!$;|"</f>
        <v>#VALUE!</v>
      </c>
      <c r="BD39" t="e">
        <f>'All regions'!A960+"n/&gt;!$;}"</f>
        <v>#VALUE!</v>
      </c>
      <c r="BE39" t="e">
        <f>'All regions'!B960+"n/&gt;!$;~"</f>
        <v>#VALUE!</v>
      </c>
      <c r="BF39" t="e">
        <f>'All regions'!C960+"n/&gt;!$&lt;#"</f>
        <v>#VALUE!</v>
      </c>
      <c r="BG39" t="e">
        <f>'All regions'!D960+"n/&gt;!$&lt;$"</f>
        <v>#VALUE!</v>
      </c>
      <c r="BH39" t="e">
        <f>'All regions'!E960+"n/&gt;!$&lt;%"</f>
        <v>#VALUE!</v>
      </c>
      <c r="BI39" t="e">
        <f>'All regions'!F960+"n/&gt;!$&lt;&amp;"</f>
        <v>#VALUE!</v>
      </c>
      <c r="BJ39" t="e">
        <f>'All regions'!G960+"n/&gt;!$&lt;'"</f>
        <v>#VALUE!</v>
      </c>
      <c r="BK39" t="e">
        <f>'All regions'!H960+"n/&gt;!$&lt;("</f>
        <v>#VALUE!</v>
      </c>
      <c r="BL39" t="e">
        <f>'All regions'!I960+"n/&gt;!$&lt;)"</f>
        <v>#VALUE!</v>
      </c>
      <c r="BM39" t="e">
        <f>'All regions'!J960+"n/&gt;!$&lt;."</f>
        <v>#VALUE!</v>
      </c>
      <c r="BN39" t="e">
        <f>'All regions'!A961+"n/&gt;!$&lt;/"</f>
        <v>#VALUE!</v>
      </c>
      <c r="BO39" t="e">
        <f>'All regions'!B961+"n/&gt;!$&lt;0"</f>
        <v>#VALUE!</v>
      </c>
      <c r="BP39" t="e">
        <f>'All regions'!C961+"n/&gt;!$&lt;1"</f>
        <v>#VALUE!</v>
      </c>
      <c r="BQ39" t="e">
        <f>'All regions'!D961+"n/&gt;!$&lt;2"</f>
        <v>#VALUE!</v>
      </c>
      <c r="BR39" t="e">
        <f>'All regions'!E961+"n/&gt;!$&lt;3"</f>
        <v>#VALUE!</v>
      </c>
      <c r="BS39" t="e">
        <f>'All regions'!F961+"n/&gt;!$&lt;4"</f>
        <v>#VALUE!</v>
      </c>
      <c r="BT39" t="e">
        <f>'All regions'!G961+"n/&gt;!$&lt;5"</f>
        <v>#VALUE!</v>
      </c>
      <c r="BU39" t="e">
        <f>'All regions'!H961+"n/&gt;!$&lt;6"</f>
        <v>#VALUE!</v>
      </c>
      <c r="BV39" t="e">
        <f>'All regions'!I961+"n/&gt;!$&lt;7"</f>
        <v>#VALUE!</v>
      </c>
      <c r="BW39" t="e">
        <f>'All regions'!J961+"n/&gt;!$&lt;8"</f>
        <v>#VALUE!</v>
      </c>
      <c r="BX39" t="e">
        <f>'All regions'!A962+"n/&gt;!$&lt;9"</f>
        <v>#VALUE!</v>
      </c>
      <c r="BY39" t="e">
        <f>'All regions'!B962+"n/&gt;!$&lt;:"</f>
        <v>#VALUE!</v>
      </c>
      <c r="BZ39" t="e">
        <f>'All regions'!C962+"n/&gt;!$&lt;;"</f>
        <v>#VALUE!</v>
      </c>
      <c r="CA39" t="e">
        <f>'All regions'!D962+"n/&gt;!$&lt;&lt;"</f>
        <v>#VALUE!</v>
      </c>
      <c r="CB39" t="e">
        <f>'All regions'!E962+"n/&gt;!$&lt;="</f>
        <v>#VALUE!</v>
      </c>
      <c r="CC39" t="e">
        <f>'All regions'!F962+"n/&gt;!$&lt;&gt;"</f>
        <v>#VALUE!</v>
      </c>
      <c r="CD39" t="e">
        <f>'All regions'!G962+"n/&gt;!$&lt;?"</f>
        <v>#VALUE!</v>
      </c>
      <c r="CE39" t="e">
        <f>'All regions'!H962+"n/&gt;!$&lt;@"</f>
        <v>#VALUE!</v>
      </c>
      <c r="CF39" t="e">
        <f>'All regions'!I962+"n/&gt;!$&lt;A"</f>
        <v>#VALUE!</v>
      </c>
      <c r="CG39" t="e">
        <f>'All regions'!J962+"n/&gt;!$&lt;B"</f>
        <v>#VALUE!</v>
      </c>
      <c r="CH39" t="e">
        <f>'All regions'!A963+"n/&gt;!$&lt;C"</f>
        <v>#VALUE!</v>
      </c>
      <c r="CI39" t="e">
        <f>'All regions'!B963+"n/&gt;!$&lt;D"</f>
        <v>#VALUE!</v>
      </c>
      <c r="CJ39" t="e">
        <f>'All regions'!C963+"n/&gt;!$&lt;E"</f>
        <v>#VALUE!</v>
      </c>
      <c r="CK39" t="e">
        <f>'All regions'!D963+"n/&gt;!$&lt;F"</f>
        <v>#VALUE!</v>
      </c>
      <c r="CL39" t="e">
        <f>'All regions'!E963+"n/&gt;!$&lt;G"</f>
        <v>#VALUE!</v>
      </c>
      <c r="CM39" t="e">
        <f>'All regions'!F963+"n/&gt;!$&lt;H"</f>
        <v>#VALUE!</v>
      </c>
      <c r="CN39" t="e">
        <f>'All regions'!G963+"n/&gt;!$&lt;I"</f>
        <v>#VALUE!</v>
      </c>
      <c r="CO39" t="e">
        <f>'All regions'!H963+"n/&gt;!$&lt;J"</f>
        <v>#VALUE!</v>
      </c>
      <c r="CP39" t="e">
        <f>'All regions'!I963+"n/&gt;!$&lt;K"</f>
        <v>#VALUE!</v>
      </c>
      <c r="CQ39" t="e">
        <f>'All regions'!J963+"n/&gt;!$&lt;L"</f>
        <v>#VALUE!</v>
      </c>
      <c r="CR39" t="e">
        <f>'All regions'!A964+"n/&gt;!$&lt;M"</f>
        <v>#VALUE!</v>
      </c>
      <c r="CS39" t="e">
        <f>'All regions'!B964+"n/&gt;!$&lt;N"</f>
        <v>#VALUE!</v>
      </c>
      <c r="CT39" t="e">
        <f>'All regions'!C964+"n/&gt;!$&lt;O"</f>
        <v>#VALUE!</v>
      </c>
      <c r="CU39" t="e">
        <f>'All regions'!D964+"n/&gt;!$&lt;P"</f>
        <v>#VALUE!</v>
      </c>
      <c r="CV39" t="e">
        <f>'All regions'!E964+"n/&gt;!$&lt;Q"</f>
        <v>#VALUE!</v>
      </c>
      <c r="CW39" t="e">
        <f>'All regions'!F964+"n/&gt;!$&lt;R"</f>
        <v>#VALUE!</v>
      </c>
      <c r="CX39" t="e">
        <f>'All regions'!G964+"n/&gt;!$&lt;S"</f>
        <v>#VALUE!</v>
      </c>
      <c r="CY39" t="e">
        <f>'All regions'!H964+"n/&gt;!$&lt;T"</f>
        <v>#VALUE!</v>
      </c>
      <c r="CZ39" t="e">
        <f>'All regions'!I964+"n/&gt;!$&lt;U"</f>
        <v>#VALUE!</v>
      </c>
      <c r="DA39" t="e">
        <f>'All regions'!J964+"n/&gt;!$&lt;V"</f>
        <v>#VALUE!</v>
      </c>
      <c r="DB39" t="e">
        <f>'All regions'!A965+"n/&gt;!$&lt;W"</f>
        <v>#VALUE!</v>
      </c>
      <c r="DC39" t="e">
        <f>'All regions'!B965+"n/&gt;!$&lt;X"</f>
        <v>#VALUE!</v>
      </c>
      <c r="DD39" t="e">
        <f>'All regions'!C965+"n/&gt;!$&lt;Y"</f>
        <v>#VALUE!</v>
      </c>
      <c r="DE39" t="e">
        <f>'All regions'!D965+"n/&gt;!$&lt;Z"</f>
        <v>#VALUE!</v>
      </c>
      <c r="DF39" t="e">
        <f>'All regions'!E965+"n/&gt;!$&lt;["</f>
        <v>#VALUE!</v>
      </c>
      <c r="DG39" t="e">
        <f>'All regions'!F965+"n/&gt;!$&lt;\"</f>
        <v>#VALUE!</v>
      </c>
      <c r="DH39" t="e">
        <f>'All regions'!G965+"n/&gt;!$&lt;]"</f>
        <v>#VALUE!</v>
      </c>
      <c r="DI39" t="e">
        <f>'All regions'!H965+"n/&gt;!$&lt;^"</f>
        <v>#VALUE!</v>
      </c>
      <c r="DJ39" t="e">
        <f>'All regions'!I965+"n/&gt;!$&lt;_"</f>
        <v>#VALUE!</v>
      </c>
      <c r="DK39" t="e">
        <f>'All regions'!J965+"n/&gt;!$&lt;`"</f>
        <v>#VALUE!</v>
      </c>
      <c r="DL39" t="e">
        <f>'All regions'!A966+"n/&gt;!$&lt;a"</f>
        <v>#VALUE!</v>
      </c>
      <c r="DM39" t="e">
        <f>'All regions'!B966+"n/&gt;!$&lt;b"</f>
        <v>#VALUE!</v>
      </c>
      <c r="DN39" t="e">
        <f>'All regions'!C966+"n/&gt;!$&lt;c"</f>
        <v>#VALUE!</v>
      </c>
      <c r="DO39" t="e">
        <f>'All regions'!D966+"n/&gt;!$&lt;d"</f>
        <v>#VALUE!</v>
      </c>
      <c r="DP39" t="e">
        <f>'All regions'!E966+"n/&gt;!$&lt;e"</f>
        <v>#VALUE!</v>
      </c>
      <c r="DQ39" t="e">
        <f>'All regions'!F966+"n/&gt;!$&lt;f"</f>
        <v>#VALUE!</v>
      </c>
      <c r="DR39" t="e">
        <f>'All regions'!G966+"n/&gt;!$&lt;g"</f>
        <v>#VALUE!</v>
      </c>
      <c r="DS39" t="e">
        <f>'All regions'!H966+"n/&gt;!$&lt;h"</f>
        <v>#VALUE!</v>
      </c>
      <c r="DT39" t="e">
        <f>'All regions'!I966+"n/&gt;!$&lt;i"</f>
        <v>#VALUE!</v>
      </c>
      <c r="DU39" t="e">
        <f>'All regions'!J966+"n/&gt;!$&lt;j"</f>
        <v>#VALUE!</v>
      </c>
      <c r="DV39" t="e">
        <f>'All regions'!A967+"n/&gt;!$&lt;k"</f>
        <v>#VALUE!</v>
      </c>
      <c r="DW39" t="e">
        <f>'All regions'!B967+"n/&gt;!$&lt;l"</f>
        <v>#VALUE!</v>
      </c>
      <c r="DX39" t="e">
        <f>'All regions'!C967+"n/&gt;!$&lt;m"</f>
        <v>#VALUE!</v>
      </c>
      <c r="DY39" t="e">
        <f>'All regions'!D967+"n/&gt;!$&lt;n"</f>
        <v>#VALUE!</v>
      </c>
      <c r="DZ39" t="e">
        <f>'All regions'!E967+"n/&gt;!$&lt;o"</f>
        <v>#VALUE!</v>
      </c>
      <c r="EA39" t="e">
        <f>'All regions'!F967+"n/&gt;!$&lt;p"</f>
        <v>#VALUE!</v>
      </c>
      <c r="EB39" t="e">
        <f>'All regions'!G967+"n/&gt;!$&lt;q"</f>
        <v>#VALUE!</v>
      </c>
      <c r="EC39" t="e">
        <f>'All regions'!H967+"n/&gt;!$&lt;r"</f>
        <v>#VALUE!</v>
      </c>
      <c r="ED39" t="e">
        <f>'All regions'!I967+"n/&gt;!$&lt;s"</f>
        <v>#VALUE!</v>
      </c>
      <c r="EE39" t="e">
        <f>'All regions'!J967+"n/&gt;!$&lt;t"</f>
        <v>#VALUE!</v>
      </c>
      <c r="EF39" t="e">
        <f>'All regions'!A968+"n/&gt;!$&lt;u"</f>
        <v>#VALUE!</v>
      </c>
      <c r="EG39" t="e">
        <f>'All regions'!B968+"n/&gt;!$&lt;v"</f>
        <v>#VALUE!</v>
      </c>
      <c r="EH39" t="e">
        <f>'All regions'!C968+"n/&gt;!$&lt;w"</f>
        <v>#VALUE!</v>
      </c>
      <c r="EI39" t="e">
        <f>'All regions'!D968+"n/&gt;!$&lt;x"</f>
        <v>#VALUE!</v>
      </c>
      <c r="EJ39" t="e">
        <f>'All regions'!E968+"n/&gt;!$&lt;y"</f>
        <v>#VALUE!</v>
      </c>
      <c r="EK39" t="e">
        <f>'All regions'!F968+"n/&gt;!$&lt;z"</f>
        <v>#VALUE!</v>
      </c>
      <c r="EL39" t="e">
        <f>'All regions'!G968+"n/&gt;!$&lt;{"</f>
        <v>#VALUE!</v>
      </c>
      <c r="EM39" t="e">
        <f>'All regions'!H968+"n/&gt;!$&lt;|"</f>
        <v>#VALUE!</v>
      </c>
      <c r="EN39" t="e">
        <f>'All regions'!I968+"n/&gt;!$&lt;}"</f>
        <v>#VALUE!</v>
      </c>
      <c r="EO39" t="e">
        <f>'All regions'!J968+"n/&gt;!$&lt;~"</f>
        <v>#VALUE!</v>
      </c>
      <c r="EP39" t="e">
        <f>'All regions'!A969+"n/&gt;!$=#"</f>
        <v>#VALUE!</v>
      </c>
      <c r="EQ39" t="e">
        <f>'All regions'!B969+"n/&gt;!$=$"</f>
        <v>#VALUE!</v>
      </c>
      <c r="ER39" t="e">
        <f>'All regions'!C969+"n/&gt;!$=%"</f>
        <v>#VALUE!</v>
      </c>
      <c r="ES39" t="e">
        <f>'All regions'!D969+"n/&gt;!$=&amp;"</f>
        <v>#VALUE!</v>
      </c>
      <c r="ET39" t="e">
        <f>'All regions'!E969+"n/&gt;!$='"</f>
        <v>#VALUE!</v>
      </c>
      <c r="EU39" t="e">
        <f>'All regions'!F969+"n/&gt;!$=("</f>
        <v>#VALUE!</v>
      </c>
      <c r="EV39" t="e">
        <f>'All regions'!G969+"n/&gt;!$=)"</f>
        <v>#VALUE!</v>
      </c>
      <c r="EW39" t="e">
        <f>'All regions'!H969+"n/&gt;!$=."</f>
        <v>#VALUE!</v>
      </c>
      <c r="EX39" t="e">
        <f>'All regions'!I969+"n/&gt;!$=/"</f>
        <v>#VALUE!</v>
      </c>
      <c r="EY39" t="e">
        <f>'All regions'!J969+"n/&gt;!$=0"</f>
        <v>#VALUE!</v>
      </c>
      <c r="EZ39" t="e">
        <f>'All regions'!A970+"n/&gt;!$=1"</f>
        <v>#VALUE!</v>
      </c>
      <c r="FA39" t="e">
        <f>'All regions'!B970+"n/&gt;!$=2"</f>
        <v>#VALUE!</v>
      </c>
      <c r="FB39" t="e">
        <f>'All regions'!C970+"n/&gt;!$=3"</f>
        <v>#VALUE!</v>
      </c>
      <c r="FC39" t="e">
        <f>'All regions'!D970+"n/&gt;!$=4"</f>
        <v>#VALUE!</v>
      </c>
      <c r="FD39" t="e">
        <f>'All regions'!E970+"n/&gt;!$=5"</f>
        <v>#VALUE!</v>
      </c>
      <c r="FE39" t="e">
        <f>'All regions'!F970+"n/&gt;!$=6"</f>
        <v>#VALUE!</v>
      </c>
      <c r="FF39" t="e">
        <f>'All regions'!G970+"n/&gt;!$=7"</f>
        <v>#VALUE!</v>
      </c>
      <c r="FG39" t="e">
        <f>'All regions'!H970+"n/&gt;!$=8"</f>
        <v>#VALUE!</v>
      </c>
      <c r="FH39" t="e">
        <f>'All regions'!I970+"n/&gt;!$=9"</f>
        <v>#VALUE!</v>
      </c>
      <c r="FI39" t="e">
        <f>'All regions'!J970+"n/&gt;!$=:"</f>
        <v>#VALUE!</v>
      </c>
      <c r="FJ39" t="e">
        <f>'All regions'!A971+"n/&gt;!$=;"</f>
        <v>#VALUE!</v>
      </c>
      <c r="FK39" t="e">
        <f>'All regions'!B971+"n/&gt;!$=&lt;"</f>
        <v>#VALUE!</v>
      </c>
      <c r="FL39" t="e">
        <f>'All regions'!C971+"n/&gt;!$=="</f>
        <v>#VALUE!</v>
      </c>
      <c r="FM39" t="e">
        <f>'All regions'!D971+"n/&gt;!$=&gt;"</f>
        <v>#VALUE!</v>
      </c>
      <c r="FN39" t="e">
        <f>'All regions'!E971+"n/&gt;!$=?"</f>
        <v>#VALUE!</v>
      </c>
      <c r="FO39" t="e">
        <f>'All regions'!F971+"n/&gt;!$=@"</f>
        <v>#VALUE!</v>
      </c>
      <c r="FP39" t="e">
        <f>'All regions'!G971+"n/&gt;!$=A"</f>
        <v>#VALUE!</v>
      </c>
      <c r="FQ39" t="e">
        <f>'All regions'!H971+"n/&gt;!$=B"</f>
        <v>#VALUE!</v>
      </c>
      <c r="FR39" t="e">
        <f>'All regions'!I971+"n/&gt;!$=C"</f>
        <v>#VALUE!</v>
      </c>
      <c r="FS39" t="e">
        <f>'All regions'!J971+"n/&gt;!$=D"</f>
        <v>#VALUE!</v>
      </c>
      <c r="FT39" t="e">
        <f>'All regions'!A972+"n/&gt;!$=E"</f>
        <v>#VALUE!</v>
      </c>
      <c r="FU39" t="e">
        <f>'All regions'!B972+"n/&gt;!$=F"</f>
        <v>#VALUE!</v>
      </c>
      <c r="FV39" t="e">
        <f>'All regions'!C972+"n/&gt;!$=G"</f>
        <v>#VALUE!</v>
      </c>
      <c r="FW39" t="e">
        <f>'All regions'!D972+"n/&gt;!$=H"</f>
        <v>#VALUE!</v>
      </c>
      <c r="FX39" t="e">
        <f>'All regions'!E972+"n/&gt;!$=I"</f>
        <v>#VALUE!</v>
      </c>
      <c r="FY39" t="e">
        <f>'All regions'!F972+"n/&gt;!$=J"</f>
        <v>#VALUE!</v>
      </c>
      <c r="FZ39" t="e">
        <f>'All regions'!G972+"n/&gt;!$=K"</f>
        <v>#VALUE!</v>
      </c>
      <c r="GA39" t="e">
        <f>'All regions'!H972+"n/&gt;!$=L"</f>
        <v>#VALUE!</v>
      </c>
      <c r="GB39" t="e">
        <f>'All regions'!I972+"n/&gt;!$=M"</f>
        <v>#VALUE!</v>
      </c>
      <c r="GC39" t="e">
        <f>'All regions'!J972+"n/&gt;!$=N"</f>
        <v>#VALUE!</v>
      </c>
      <c r="GD39" t="e">
        <f>'All regions'!A973+"n/&gt;!$=O"</f>
        <v>#VALUE!</v>
      </c>
      <c r="GE39" t="e">
        <f>'All regions'!B973+"n/&gt;!$=P"</f>
        <v>#VALUE!</v>
      </c>
      <c r="GF39" t="e">
        <f>'All regions'!C973+"n/&gt;!$=Q"</f>
        <v>#VALUE!</v>
      </c>
      <c r="GG39" t="e">
        <f>'All regions'!D973+"n/&gt;!$=R"</f>
        <v>#VALUE!</v>
      </c>
      <c r="GH39" t="e">
        <f>'All regions'!E973+"n/&gt;!$=S"</f>
        <v>#VALUE!</v>
      </c>
      <c r="GI39" t="e">
        <f>'All regions'!F973+"n/&gt;!$=T"</f>
        <v>#VALUE!</v>
      </c>
      <c r="GJ39" t="e">
        <f>'All regions'!G973+"n/&gt;!$=U"</f>
        <v>#VALUE!</v>
      </c>
      <c r="GK39" t="e">
        <f>'All regions'!H973+"n/&gt;!$=V"</f>
        <v>#VALUE!</v>
      </c>
      <c r="GL39" t="e">
        <f>'All regions'!I973+"n/&gt;!$=W"</f>
        <v>#VALUE!</v>
      </c>
      <c r="GM39" t="e">
        <f>'All regions'!J973+"n/&gt;!$=X"</f>
        <v>#VALUE!</v>
      </c>
      <c r="GN39" t="e">
        <f>'All regions'!A974+"n/&gt;!$=Y"</f>
        <v>#VALUE!</v>
      </c>
      <c r="GO39" t="e">
        <f>'All regions'!B974+"n/&gt;!$=Z"</f>
        <v>#VALUE!</v>
      </c>
      <c r="GP39" t="e">
        <f>'All regions'!C974+"n/&gt;!$=["</f>
        <v>#VALUE!</v>
      </c>
      <c r="GQ39" t="e">
        <f>'All regions'!D974+"n/&gt;!$=\"</f>
        <v>#VALUE!</v>
      </c>
      <c r="GR39" t="e">
        <f>'All regions'!E974+"n/&gt;!$=]"</f>
        <v>#VALUE!</v>
      </c>
      <c r="GS39" t="e">
        <f>'All regions'!F974+"n/&gt;!$=^"</f>
        <v>#VALUE!</v>
      </c>
      <c r="GT39" t="e">
        <f>'All regions'!G974+"n/&gt;!$=_"</f>
        <v>#VALUE!</v>
      </c>
      <c r="GU39" t="e">
        <f>'All regions'!H974+"n/&gt;!$=`"</f>
        <v>#VALUE!</v>
      </c>
      <c r="GV39" t="e">
        <f>'All regions'!I974+"n/&gt;!$=a"</f>
        <v>#VALUE!</v>
      </c>
      <c r="GW39" t="e">
        <f>'All regions'!J974+"n/&gt;!$=b"</f>
        <v>#VALUE!</v>
      </c>
      <c r="GX39" t="e">
        <f>'All regions'!A975+"n/&gt;!$=c"</f>
        <v>#VALUE!</v>
      </c>
      <c r="GY39" t="e">
        <f>'All regions'!B975+"n/&gt;!$=d"</f>
        <v>#VALUE!</v>
      </c>
      <c r="GZ39" t="e">
        <f>'All regions'!C975+"n/&gt;!$=e"</f>
        <v>#VALUE!</v>
      </c>
      <c r="HA39" t="e">
        <f>'All regions'!D975+"n/&gt;!$=f"</f>
        <v>#VALUE!</v>
      </c>
      <c r="HB39" t="e">
        <f>'All regions'!E975+"n/&gt;!$=g"</f>
        <v>#VALUE!</v>
      </c>
      <c r="HC39" t="e">
        <f>'All regions'!F975+"n/&gt;!$=h"</f>
        <v>#VALUE!</v>
      </c>
      <c r="HD39" t="e">
        <f>'All regions'!G975+"n/&gt;!$=i"</f>
        <v>#VALUE!</v>
      </c>
      <c r="HE39" t="e">
        <f>'All regions'!H975+"n/&gt;!$=j"</f>
        <v>#VALUE!</v>
      </c>
      <c r="HF39" t="e">
        <f>'All regions'!I975+"n/&gt;!$=k"</f>
        <v>#VALUE!</v>
      </c>
      <c r="HG39" t="e">
        <f>'All regions'!J975+"n/&gt;!$=l"</f>
        <v>#VALUE!</v>
      </c>
      <c r="HH39" t="e">
        <f>'All regions'!A976+"n/&gt;!$=m"</f>
        <v>#VALUE!</v>
      </c>
      <c r="HI39" t="e">
        <f>'All regions'!B976+"n/&gt;!$=n"</f>
        <v>#VALUE!</v>
      </c>
      <c r="HJ39" t="e">
        <f>'All regions'!C976+"n/&gt;!$=o"</f>
        <v>#VALUE!</v>
      </c>
      <c r="HK39" t="e">
        <f>'All regions'!D976+"n/&gt;!$=p"</f>
        <v>#VALUE!</v>
      </c>
      <c r="HL39" t="e">
        <f>'All regions'!E976+"n/&gt;!$=q"</f>
        <v>#VALUE!</v>
      </c>
      <c r="HM39" t="e">
        <f>'All regions'!F976+"n/&gt;!$=r"</f>
        <v>#VALUE!</v>
      </c>
      <c r="HN39" t="e">
        <f>'All regions'!G976+"n/&gt;!$=s"</f>
        <v>#VALUE!</v>
      </c>
      <c r="HO39" t="e">
        <f>'All regions'!H976+"n/&gt;!$=t"</f>
        <v>#VALUE!</v>
      </c>
      <c r="HP39" t="e">
        <f>'All regions'!I976+"n/&gt;!$=u"</f>
        <v>#VALUE!</v>
      </c>
      <c r="HQ39" t="e">
        <f>'All regions'!J976+"n/&gt;!$=v"</f>
        <v>#VALUE!</v>
      </c>
      <c r="HR39" t="e">
        <f>'All regions'!A977+"n/&gt;!$=w"</f>
        <v>#VALUE!</v>
      </c>
      <c r="HS39" t="e">
        <f>'All regions'!B977+"n/&gt;!$=x"</f>
        <v>#VALUE!</v>
      </c>
      <c r="HT39" t="e">
        <f>'All regions'!C977+"n/&gt;!$=y"</f>
        <v>#VALUE!</v>
      </c>
      <c r="HU39" t="e">
        <f>'All regions'!D977+"n/&gt;!$=z"</f>
        <v>#VALUE!</v>
      </c>
      <c r="HV39" t="e">
        <f>'All regions'!E977+"n/&gt;!$={"</f>
        <v>#VALUE!</v>
      </c>
      <c r="HW39" t="e">
        <f>'All regions'!F977+"n/&gt;!$=|"</f>
        <v>#VALUE!</v>
      </c>
      <c r="HX39" t="e">
        <f>'All regions'!G977+"n/&gt;!$=}"</f>
        <v>#VALUE!</v>
      </c>
      <c r="HY39" t="e">
        <f>'All regions'!H977+"n/&gt;!$=~"</f>
        <v>#VALUE!</v>
      </c>
      <c r="HZ39" t="e">
        <f>'All regions'!I977+"n/&gt;!$&gt;#"</f>
        <v>#VALUE!</v>
      </c>
      <c r="IA39" t="e">
        <f>'All regions'!J977+"n/&gt;!$&gt;$"</f>
        <v>#VALUE!</v>
      </c>
      <c r="IB39" t="e">
        <f>'All regions'!A978+"n/&gt;!$&gt;%"</f>
        <v>#VALUE!</v>
      </c>
      <c r="IC39" t="e">
        <f>'All regions'!B978+"n/&gt;!$&gt;&amp;"</f>
        <v>#VALUE!</v>
      </c>
      <c r="ID39" t="e">
        <f>'All regions'!C978+"n/&gt;!$&gt;'"</f>
        <v>#VALUE!</v>
      </c>
      <c r="IE39" t="e">
        <f>'All regions'!D978+"n/&gt;!$&gt;("</f>
        <v>#VALUE!</v>
      </c>
      <c r="IF39" t="e">
        <f>'All regions'!E978+"n/&gt;!$&gt;)"</f>
        <v>#VALUE!</v>
      </c>
      <c r="IG39" t="e">
        <f>'All regions'!F978+"n/&gt;!$&gt;."</f>
        <v>#VALUE!</v>
      </c>
      <c r="IH39" t="e">
        <f>'All regions'!G978+"n/&gt;!$&gt;/"</f>
        <v>#VALUE!</v>
      </c>
      <c r="II39" t="e">
        <f>'All regions'!H978+"n/&gt;!$&gt;0"</f>
        <v>#VALUE!</v>
      </c>
      <c r="IJ39" t="e">
        <f>'All regions'!I978+"n/&gt;!$&gt;1"</f>
        <v>#VALUE!</v>
      </c>
      <c r="IK39" t="e">
        <f>'All regions'!J978+"n/&gt;!$&gt;2"</f>
        <v>#VALUE!</v>
      </c>
      <c r="IL39" t="e">
        <f>'All regions'!A979+"n/&gt;!$&gt;3"</f>
        <v>#VALUE!</v>
      </c>
      <c r="IM39" t="e">
        <f>'All regions'!B979+"n/&gt;!$&gt;4"</f>
        <v>#VALUE!</v>
      </c>
      <c r="IN39" t="e">
        <f>'All regions'!C979+"n/&gt;!$&gt;5"</f>
        <v>#VALUE!</v>
      </c>
      <c r="IO39" t="e">
        <f>'All regions'!D979+"n/&gt;!$&gt;6"</f>
        <v>#VALUE!</v>
      </c>
      <c r="IP39" t="e">
        <f>'All regions'!E979+"n/&gt;!$&gt;7"</f>
        <v>#VALUE!</v>
      </c>
      <c r="IQ39" t="e">
        <f>'All regions'!F979+"n/&gt;!$&gt;8"</f>
        <v>#VALUE!</v>
      </c>
      <c r="IR39" t="e">
        <f>'All regions'!G979+"n/&gt;!$&gt;9"</f>
        <v>#VALUE!</v>
      </c>
      <c r="IS39" t="e">
        <f>'All regions'!H979+"n/&gt;!$&gt;:"</f>
        <v>#VALUE!</v>
      </c>
      <c r="IT39" t="e">
        <f>'All regions'!I979+"n/&gt;!$&gt;;"</f>
        <v>#VALUE!</v>
      </c>
      <c r="IU39" t="e">
        <f>'All regions'!J979+"n/&gt;!$&gt;&lt;"</f>
        <v>#VALUE!</v>
      </c>
      <c r="IV39" t="e">
        <f>'All regions'!A980+"n/&gt;!$&gt;="</f>
        <v>#VALUE!</v>
      </c>
    </row>
    <row r="40" spans="6:256" x14ac:dyDescent="0.35">
      <c r="F40" t="e">
        <f>'All regions'!B980+"n/&gt;!$&gt;&gt;"</f>
        <v>#VALUE!</v>
      </c>
      <c r="G40" t="e">
        <f>'All regions'!C980+"n/&gt;!$&gt;?"</f>
        <v>#VALUE!</v>
      </c>
      <c r="H40" t="e">
        <f>'All regions'!D980+"n/&gt;!$&gt;@"</f>
        <v>#VALUE!</v>
      </c>
      <c r="I40" t="e">
        <f>'All regions'!E980+"n/&gt;!$&gt;A"</f>
        <v>#VALUE!</v>
      </c>
      <c r="J40" t="e">
        <f>'All regions'!F980+"n/&gt;!$&gt;B"</f>
        <v>#VALUE!</v>
      </c>
      <c r="K40" t="e">
        <f>'All regions'!G980+"n/&gt;!$&gt;C"</f>
        <v>#VALUE!</v>
      </c>
      <c r="L40" t="e">
        <f>'All regions'!H980+"n/&gt;!$&gt;D"</f>
        <v>#VALUE!</v>
      </c>
      <c r="M40" t="e">
        <f>'All regions'!I980+"n/&gt;!$&gt;E"</f>
        <v>#VALUE!</v>
      </c>
      <c r="N40" t="e">
        <f>'All regions'!J980+"n/&gt;!$&gt;F"</f>
        <v>#VALUE!</v>
      </c>
      <c r="O40" t="e">
        <f>'All regions'!A981+"n/&gt;!$&gt;G"</f>
        <v>#VALUE!</v>
      </c>
      <c r="P40" t="e">
        <f>'All regions'!B981+"n/&gt;!$&gt;H"</f>
        <v>#VALUE!</v>
      </c>
      <c r="Q40" t="e">
        <f>'All regions'!C981+"n/&gt;!$&gt;I"</f>
        <v>#VALUE!</v>
      </c>
      <c r="R40" t="e">
        <f>'All regions'!D981+"n/&gt;!$&gt;J"</f>
        <v>#VALUE!</v>
      </c>
      <c r="S40" t="e">
        <f>'All regions'!E981+"n/&gt;!$&gt;K"</f>
        <v>#VALUE!</v>
      </c>
      <c r="T40" t="e">
        <f>'All regions'!F981+"n/&gt;!$&gt;L"</f>
        <v>#VALUE!</v>
      </c>
      <c r="U40" t="e">
        <f>'All regions'!G981+"n/&gt;!$&gt;M"</f>
        <v>#VALUE!</v>
      </c>
      <c r="V40" t="e">
        <f>'All regions'!H981+"n/&gt;!$&gt;N"</f>
        <v>#VALUE!</v>
      </c>
      <c r="W40" t="e">
        <f>'All regions'!I981+"n/&gt;!$&gt;O"</f>
        <v>#VALUE!</v>
      </c>
      <c r="X40" t="e">
        <f>'All regions'!J981+"n/&gt;!$&gt;P"</f>
        <v>#VALUE!</v>
      </c>
      <c r="Y40" t="e">
        <f>'All regions'!A982+"n/&gt;!$&gt;Q"</f>
        <v>#VALUE!</v>
      </c>
      <c r="Z40" t="e">
        <f>'All regions'!B982+"n/&gt;!$&gt;R"</f>
        <v>#VALUE!</v>
      </c>
      <c r="AA40" t="e">
        <f>'All regions'!C982+"n/&gt;!$&gt;S"</f>
        <v>#VALUE!</v>
      </c>
      <c r="AB40" t="e">
        <f>'All regions'!D982+"n/&gt;!$&gt;T"</f>
        <v>#VALUE!</v>
      </c>
      <c r="AC40" t="e">
        <f>'All regions'!E982+"n/&gt;!$&gt;U"</f>
        <v>#VALUE!</v>
      </c>
      <c r="AD40" t="e">
        <f>'All regions'!F982+"n/&gt;!$&gt;V"</f>
        <v>#VALUE!</v>
      </c>
      <c r="AE40" t="e">
        <f>'All regions'!G982+"n/&gt;!$&gt;W"</f>
        <v>#VALUE!</v>
      </c>
      <c r="AF40" t="e">
        <f>'All regions'!H982+"n/&gt;!$&gt;X"</f>
        <v>#VALUE!</v>
      </c>
      <c r="AG40" t="e">
        <f>'All regions'!I982+"n/&gt;!$&gt;Y"</f>
        <v>#VALUE!</v>
      </c>
      <c r="AH40" t="e">
        <f>'All regions'!J982+"n/&gt;!$&gt;Z"</f>
        <v>#VALUE!</v>
      </c>
      <c r="AI40" t="e">
        <f>'All regions'!A983+"n/&gt;!$&gt;["</f>
        <v>#VALUE!</v>
      </c>
      <c r="AJ40" t="e">
        <f>'All regions'!B983+"n/&gt;!$&gt;\"</f>
        <v>#VALUE!</v>
      </c>
      <c r="AK40" t="e">
        <f>'All regions'!C983+"n/&gt;!$&gt;]"</f>
        <v>#VALUE!</v>
      </c>
      <c r="AL40" t="e">
        <f>'All regions'!D983+"n/&gt;!$&gt;^"</f>
        <v>#VALUE!</v>
      </c>
      <c r="AM40" t="e">
        <f>'All regions'!E983+"n/&gt;!$&gt;_"</f>
        <v>#VALUE!</v>
      </c>
      <c r="AN40" t="e">
        <f>'All regions'!F983+"n/&gt;!$&gt;`"</f>
        <v>#VALUE!</v>
      </c>
      <c r="AO40" t="e">
        <f>'All regions'!G983+"n/&gt;!$&gt;a"</f>
        <v>#VALUE!</v>
      </c>
      <c r="AP40" t="e">
        <f>'All regions'!H983+"n/&gt;!$&gt;b"</f>
        <v>#VALUE!</v>
      </c>
      <c r="AQ40" t="e">
        <f>'All regions'!I983+"n/&gt;!$&gt;c"</f>
        <v>#VALUE!</v>
      </c>
      <c r="AR40" t="e">
        <f>'All regions'!J983+"n/&gt;!$&gt;d"</f>
        <v>#VALUE!</v>
      </c>
      <c r="AS40" t="e">
        <f>'All regions'!A984+"n/&gt;!$&gt;e"</f>
        <v>#VALUE!</v>
      </c>
      <c r="AT40" t="e">
        <f>'All regions'!B984+"n/&gt;!$&gt;f"</f>
        <v>#VALUE!</v>
      </c>
      <c r="AU40" t="e">
        <f>'All regions'!C984+"n/&gt;!$&gt;g"</f>
        <v>#VALUE!</v>
      </c>
      <c r="AV40" t="e">
        <f>'All regions'!D984+"n/&gt;!$&gt;h"</f>
        <v>#VALUE!</v>
      </c>
      <c r="AW40" t="e">
        <f>'All regions'!E984+"n/&gt;!$&gt;i"</f>
        <v>#VALUE!</v>
      </c>
      <c r="AX40" t="e">
        <f>'All regions'!F984+"n/&gt;!$&gt;j"</f>
        <v>#VALUE!</v>
      </c>
      <c r="AY40" t="e">
        <f>'All regions'!G984+"n/&gt;!$&gt;k"</f>
        <v>#VALUE!</v>
      </c>
      <c r="AZ40" t="e">
        <f>'All regions'!H984+"n/&gt;!$&gt;l"</f>
        <v>#VALUE!</v>
      </c>
      <c r="BA40" t="e">
        <f>'All regions'!I984+"n/&gt;!$&gt;m"</f>
        <v>#VALUE!</v>
      </c>
      <c r="BB40" t="e">
        <f>'All regions'!J984+"n/&gt;!$&gt;n"</f>
        <v>#VALUE!</v>
      </c>
      <c r="BC40" t="e">
        <f>'All regions'!A985+"n/&gt;!$&gt;o"</f>
        <v>#VALUE!</v>
      </c>
      <c r="BD40" t="e">
        <f>'All regions'!B985+"n/&gt;!$&gt;p"</f>
        <v>#VALUE!</v>
      </c>
      <c r="BE40" t="e">
        <f>'All regions'!C985+"n/&gt;!$&gt;q"</f>
        <v>#VALUE!</v>
      </c>
      <c r="BF40" t="e">
        <f>'All regions'!D985+"n/&gt;!$&gt;r"</f>
        <v>#VALUE!</v>
      </c>
      <c r="BG40" t="e">
        <f>'All regions'!E985+"n/&gt;!$&gt;s"</f>
        <v>#VALUE!</v>
      </c>
      <c r="BH40" t="e">
        <f>'All regions'!F985+"n/&gt;!$&gt;t"</f>
        <v>#VALUE!</v>
      </c>
      <c r="BI40" t="e">
        <f>'All regions'!G985+"n/&gt;!$&gt;u"</f>
        <v>#VALUE!</v>
      </c>
      <c r="BJ40" t="e">
        <f>'All regions'!H985+"n/&gt;!$&gt;v"</f>
        <v>#VALUE!</v>
      </c>
      <c r="BK40" t="e">
        <f>'All regions'!I985+"n/&gt;!$&gt;w"</f>
        <v>#VALUE!</v>
      </c>
      <c r="BL40" t="e">
        <f>'All regions'!J985+"n/&gt;!$&gt;x"</f>
        <v>#VALUE!</v>
      </c>
      <c r="BM40" t="e">
        <f>'All regions'!A986+"n/&gt;!$&gt;y"</f>
        <v>#VALUE!</v>
      </c>
      <c r="BN40" t="e">
        <f>'All regions'!B986+"n/&gt;!$&gt;z"</f>
        <v>#VALUE!</v>
      </c>
      <c r="BO40" t="e">
        <f>'All regions'!C986+"n/&gt;!$&gt;{"</f>
        <v>#VALUE!</v>
      </c>
      <c r="BP40" t="e">
        <f>'All regions'!D986+"n/&gt;!$&gt;|"</f>
        <v>#VALUE!</v>
      </c>
      <c r="BQ40" t="e">
        <f>'All regions'!E986+"n/&gt;!$&gt;}"</f>
        <v>#VALUE!</v>
      </c>
      <c r="BR40" t="e">
        <f>'All regions'!F986+"n/&gt;!$&gt;~"</f>
        <v>#VALUE!</v>
      </c>
      <c r="BS40" t="e">
        <f>'All regions'!G986+"n/&gt;!$?#"</f>
        <v>#VALUE!</v>
      </c>
      <c r="BT40" t="e">
        <f>'All regions'!H986+"n/&gt;!$?$"</f>
        <v>#VALUE!</v>
      </c>
      <c r="BU40" t="e">
        <f>'All regions'!I986+"n/&gt;!$?%"</f>
        <v>#VALUE!</v>
      </c>
      <c r="BV40" t="e">
        <f>'All regions'!J986+"n/&gt;!$?&amp;"</f>
        <v>#VALUE!</v>
      </c>
      <c r="BW40" t="e">
        <f>'All regions'!A987+"n/&gt;!$?'"</f>
        <v>#VALUE!</v>
      </c>
      <c r="BX40" t="e">
        <f>'All regions'!B987+"n/&gt;!$?("</f>
        <v>#VALUE!</v>
      </c>
      <c r="BY40" t="e">
        <f>'All regions'!C987+"n/&gt;!$?)"</f>
        <v>#VALUE!</v>
      </c>
      <c r="BZ40" t="e">
        <f>'All regions'!D987+"n/&gt;!$?."</f>
        <v>#VALUE!</v>
      </c>
      <c r="CA40" t="e">
        <f>'All regions'!E987+"n/&gt;!$?/"</f>
        <v>#VALUE!</v>
      </c>
      <c r="CB40" t="e">
        <f>'All regions'!F987+"n/&gt;!$?0"</f>
        <v>#VALUE!</v>
      </c>
      <c r="CC40" t="e">
        <f>'All regions'!G987+"n/&gt;!$?1"</f>
        <v>#VALUE!</v>
      </c>
      <c r="CD40" t="e">
        <f>'All regions'!H987+"n/&gt;!$?2"</f>
        <v>#VALUE!</v>
      </c>
      <c r="CE40" t="e">
        <f>'All regions'!I987+"n/&gt;!$?3"</f>
        <v>#VALUE!</v>
      </c>
      <c r="CF40" t="e">
        <f>'All regions'!J987+"n/&gt;!$?4"</f>
        <v>#VALUE!</v>
      </c>
      <c r="CG40" t="e">
        <f>'All regions'!A988+"n/&gt;!$?5"</f>
        <v>#VALUE!</v>
      </c>
      <c r="CH40" t="e">
        <f>'All regions'!B988+"n/&gt;!$?6"</f>
        <v>#VALUE!</v>
      </c>
      <c r="CI40" t="e">
        <f>'All regions'!C988+"n/&gt;!$?7"</f>
        <v>#VALUE!</v>
      </c>
      <c r="CJ40" t="e">
        <f>'All regions'!D988+"n/&gt;!$?8"</f>
        <v>#VALUE!</v>
      </c>
      <c r="CK40" t="e">
        <f>'All regions'!E988+"n/&gt;!$?9"</f>
        <v>#VALUE!</v>
      </c>
      <c r="CL40" t="e">
        <f>'All regions'!F988+"n/&gt;!$?:"</f>
        <v>#VALUE!</v>
      </c>
      <c r="CM40" t="e">
        <f>'All regions'!G988+"n/&gt;!$?;"</f>
        <v>#VALUE!</v>
      </c>
      <c r="CN40" t="e">
        <f>'All regions'!H988+"n/&gt;!$?&lt;"</f>
        <v>#VALUE!</v>
      </c>
      <c r="CO40" t="e">
        <f>'All regions'!I988+"n/&gt;!$?="</f>
        <v>#VALUE!</v>
      </c>
      <c r="CP40" t="e">
        <f>'All regions'!J988+"n/&gt;!$?&gt;"</f>
        <v>#VALUE!</v>
      </c>
      <c r="CQ40" t="e">
        <f>'All regions'!A989+"n/&gt;!$??"</f>
        <v>#VALUE!</v>
      </c>
      <c r="CR40" t="e">
        <f>'All regions'!B989+"n/&gt;!$?@"</f>
        <v>#VALUE!</v>
      </c>
      <c r="CS40" t="e">
        <f>'All regions'!C989+"n/&gt;!$?A"</f>
        <v>#VALUE!</v>
      </c>
      <c r="CT40" t="e">
        <f>'All regions'!D989+"n/&gt;!$?B"</f>
        <v>#VALUE!</v>
      </c>
      <c r="CU40" t="e">
        <f>'All regions'!E989+"n/&gt;!$?C"</f>
        <v>#VALUE!</v>
      </c>
      <c r="CV40" t="e">
        <f>'All regions'!F989+"n/&gt;!$?D"</f>
        <v>#VALUE!</v>
      </c>
      <c r="CW40" t="e">
        <f>'All regions'!G989+"n/&gt;!$?E"</f>
        <v>#VALUE!</v>
      </c>
      <c r="CX40" t="e">
        <f>'All regions'!H989+"n/&gt;!$?F"</f>
        <v>#VALUE!</v>
      </c>
      <c r="CY40" t="e">
        <f>'All regions'!I989+"n/&gt;!$?G"</f>
        <v>#VALUE!</v>
      </c>
      <c r="CZ40" t="e">
        <f>'All regions'!J989+"n/&gt;!$?H"</f>
        <v>#VALUE!</v>
      </c>
      <c r="DA40" t="e">
        <f>'All regions'!A990+"n/&gt;!$?I"</f>
        <v>#VALUE!</v>
      </c>
      <c r="DB40" t="e">
        <f>'All regions'!B990+"n/&gt;!$?J"</f>
        <v>#VALUE!</v>
      </c>
      <c r="DC40" t="e">
        <f>'All regions'!C990+"n/&gt;!$?K"</f>
        <v>#VALUE!</v>
      </c>
      <c r="DD40" t="e">
        <f>'All regions'!D990+"n/&gt;!$?L"</f>
        <v>#VALUE!</v>
      </c>
      <c r="DE40" t="e">
        <f>'All regions'!E990+"n/&gt;!$?M"</f>
        <v>#VALUE!</v>
      </c>
      <c r="DF40" t="e">
        <f>'All regions'!F990+"n/&gt;!$?N"</f>
        <v>#VALUE!</v>
      </c>
      <c r="DG40" t="e">
        <f>'All regions'!G990+"n/&gt;!$?O"</f>
        <v>#VALUE!</v>
      </c>
      <c r="DH40" t="e">
        <f>'All regions'!H990+"n/&gt;!$?P"</f>
        <v>#VALUE!</v>
      </c>
      <c r="DI40" t="e">
        <f>'All regions'!I990+"n/&gt;!$?Q"</f>
        <v>#VALUE!</v>
      </c>
      <c r="DJ40" t="e">
        <f>'All regions'!J990+"n/&gt;!$?R"</f>
        <v>#VALUE!</v>
      </c>
      <c r="DK40" t="e">
        <f>'All regions'!A991+"n/&gt;!$?S"</f>
        <v>#VALUE!</v>
      </c>
      <c r="DL40" t="e">
        <f>'All regions'!B991+"n/&gt;!$?T"</f>
        <v>#VALUE!</v>
      </c>
      <c r="DM40" t="e">
        <f>'All regions'!C991+"n/&gt;!$?U"</f>
        <v>#VALUE!</v>
      </c>
      <c r="DN40" t="e">
        <f>'All regions'!D991+"n/&gt;!$?V"</f>
        <v>#VALUE!</v>
      </c>
      <c r="DO40" t="e">
        <f>'All regions'!E991+"n/&gt;!$?W"</f>
        <v>#VALUE!</v>
      </c>
      <c r="DP40" t="e">
        <f>'All regions'!F991+"n/&gt;!$?X"</f>
        <v>#VALUE!</v>
      </c>
      <c r="DQ40" t="e">
        <f>'All regions'!G991+"n/&gt;!$?Y"</f>
        <v>#VALUE!</v>
      </c>
      <c r="DR40" t="e">
        <f>'All regions'!H991+"n/&gt;!$?Z"</f>
        <v>#VALUE!</v>
      </c>
      <c r="DS40" t="e">
        <f>'All regions'!I991+"n/&gt;!$?["</f>
        <v>#VALUE!</v>
      </c>
      <c r="DT40" t="e">
        <f>'All regions'!J991+"n/&gt;!$?\"</f>
        <v>#VALUE!</v>
      </c>
      <c r="DU40" t="e">
        <f>'All regions'!A992+"n/&gt;!$?]"</f>
        <v>#VALUE!</v>
      </c>
      <c r="DV40" t="e">
        <f>'All regions'!B992+"n/&gt;!$?^"</f>
        <v>#VALUE!</v>
      </c>
      <c r="DW40" t="e">
        <f>'All regions'!C992+"n/&gt;!$?_"</f>
        <v>#VALUE!</v>
      </c>
      <c r="DX40" t="e">
        <f>'All regions'!D992+"n/&gt;!$?`"</f>
        <v>#VALUE!</v>
      </c>
      <c r="DY40" t="e">
        <f>'All regions'!E992+"n/&gt;!$?a"</f>
        <v>#VALUE!</v>
      </c>
      <c r="DZ40" t="e">
        <f>'All regions'!F992+"n/&gt;!$?b"</f>
        <v>#VALUE!</v>
      </c>
      <c r="EA40" t="e">
        <f>'All regions'!G992+"n/&gt;!$?c"</f>
        <v>#VALUE!</v>
      </c>
      <c r="EB40" t="e">
        <f>'All regions'!H992+"n/&gt;!$?d"</f>
        <v>#VALUE!</v>
      </c>
      <c r="EC40" t="e">
        <f>'All regions'!I992+"n/&gt;!$?e"</f>
        <v>#VALUE!</v>
      </c>
      <c r="ED40" t="e">
        <f>'All regions'!J992+"n/&gt;!$?f"</f>
        <v>#VALUE!</v>
      </c>
      <c r="EE40" t="e">
        <f>'All regions'!A993+"n/&gt;!$?g"</f>
        <v>#VALUE!</v>
      </c>
      <c r="EF40" t="e">
        <f>'All regions'!B993+"n/&gt;!$?h"</f>
        <v>#VALUE!</v>
      </c>
      <c r="EG40" t="e">
        <f>'All regions'!C993+"n/&gt;!$?i"</f>
        <v>#VALUE!</v>
      </c>
      <c r="EH40" t="e">
        <f>'All regions'!D993+"n/&gt;!$?j"</f>
        <v>#VALUE!</v>
      </c>
      <c r="EI40" t="e">
        <f>'All regions'!E993+"n/&gt;!$?k"</f>
        <v>#VALUE!</v>
      </c>
      <c r="EJ40" t="e">
        <f>'All regions'!F993+"n/&gt;!$?l"</f>
        <v>#VALUE!</v>
      </c>
      <c r="EK40" t="e">
        <f>'All regions'!G993+"n/&gt;!$?m"</f>
        <v>#VALUE!</v>
      </c>
      <c r="EL40" t="e">
        <f>'All regions'!H993+"n/&gt;!$?n"</f>
        <v>#VALUE!</v>
      </c>
      <c r="EM40" t="e">
        <f>'All regions'!I993+"n/&gt;!$?o"</f>
        <v>#VALUE!</v>
      </c>
      <c r="EN40" t="e">
        <f>'All regions'!J993+"n/&gt;!$?p"</f>
        <v>#VALUE!</v>
      </c>
      <c r="EO40" t="e">
        <f>'All regions'!A994+"n/&gt;!$?q"</f>
        <v>#VALUE!</v>
      </c>
      <c r="EP40" t="e">
        <f>'All regions'!B994+"n/&gt;!$?r"</f>
        <v>#VALUE!</v>
      </c>
      <c r="EQ40" t="e">
        <f>'All regions'!C994+"n/&gt;!$?s"</f>
        <v>#VALUE!</v>
      </c>
      <c r="ER40" t="e">
        <f>'All regions'!D994+"n/&gt;!$?t"</f>
        <v>#VALUE!</v>
      </c>
      <c r="ES40" t="e">
        <f>'All regions'!E994+"n/&gt;!$?u"</f>
        <v>#VALUE!</v>
      </c>
      <c r="ET40" t="e">
        <f>'All regions'!F994+"n/&gt;!$?v"</f>
        <v>#VALUE!</v>
      </c>
      <c r="EU40" t="e">
        <f>'All regions'!G994+"n/&gt;!$?w"</f>
        <v>#VALUE!</v>
      </c>
      <c r="EV40" t="e">
        <f>'All regions'!H994+"n/&gt;!$?x"</f>
        <v>#VALUE!</v>
      </c>
      <c r="EW40" t="e">
        <f>'All regions'!I994+"n/&gt;!$?y"</f>
        <v>#VALUE!</v>
      </c>
      <c r="EX40" t="e">
        <f>'All regions'!J994+"n/&gt;!$?z"</f>
        <v>#VALUE!</v>
      </c>
      <c r="EY40" t="e">
        <f>'All regions'!A995+"n/&gt;!$?{"</f>
        <v>#VALUE!</v>
      </c>
      <c r="EZ40" t="e">
        <f>'All regions'!B995+"n/&gt;!$?|"</f>
        <v>#VALUE!</v>
      </c>
      <c r="FA40" t="e">
        <f>'All regions'!C995+"n/&gt;!$?}"</f>
        <v>#VALUE!</v>
      </c>
      <c r="FB40" t="e">
        <f>'All regions'!D995+"n/&gt;!$?~"</f>
        <v>#VALUE!</v>
      </c>
      <c r="FC40" t="e">
        <f>'All regions'!E995+"n/&gt;!$@#"</f>
        <v>#VALUE!</v>
      </c>
      <c r="FD40" t="e">
        <f>'All regions'!F995+"n/&gt;!$@$"</f>
        <v>#VALUE!</v>
      </c>
      <c r="FE40" t="e">
        <f>'All regions'!G995+"n/&gt;!$@%"</f>
        <v>#VALUE!</v>
      </c>
      <c r="FF40" t="e">
        <f>'All regions'!H995+"n/&gt;!$@&amp;"</f>
        <v>#VALUE!</v>
      </c>
      <c r="FG40" t="e">
        <f>'All regions'!I995+"n/&gt;!$@'"</f>
        <v>#VALUE!</v>
      </c>
      <c r="FH40" t="e">
        <f>'All regions'!J995+"n/&gt;!$@("</f>
        <v>#VALUE!</v>
      </c>
      <c r="FI40" t="e">
        <f>'All regions'!A996+"n/&gt;!$@)"</f>
        <v>#VALUE!</v>
      </c>
      <c r="FJ40" t="e">
        <f>'All regions'!B996+"n/&gt;!$@."</f>
        <v>#VALUE!</v>
      </c>
      <c r="FK40" t="e">
        <f>'All regions'!C996+"n/&gt;!$@/"</f>
        <v>#VALUE!</v>
      </c>
      <c r="FL40" t="e">
        <f>'All regions'!D996+"n/&gt;!$@0"</f>
        <v>#VALUE!</v>
      </c>
      <c r="FM40" t="e">
        <f>'All regions'!E996+"n/&gt;!$@1"</f>
        <v>#VALUE!</v>
      </c>
      <c r="FN40" t="e">
        <f>'All regions'!F996+"n/&gt;!$@2"</f>
        <v>#VALUE!</v>
      </c>
      <c r="FO40" t="e">
        <f>'All regions'!G996+"n/&gt;!$@3"</f>
        <v>#VALUE!</v>
      </c>
      <c r="FP40" t="e">
        <f>'All regions'!H996+"n/&gt;!$@4"</f>
        <v>#VALUE!</v>
      </c>
      <c r="FQ40" t="e">
        <f>'All regions'!I996+"n/&gt;!$@5"</f>
        <v>#VALUE!</v>
      </c>
      <c r="FR40" t="e">
        <f>'All regions'!J996+"n/&gt;!$@6"</f>
        <v>#VALUE!</v>
      </c>
      <c r="FS40" t="e">
        <f>'All regions'!A997+"n/&gt;!$@7"</f>
        <v>#VALUE!</v>
      </c>
      <c r="FT40" t="e">
        <f>'All regions'!B997+"n/&gt;!$@8"</f>
        <v>#VALUE!</v>
      </c>
      <c r="FU40" t="e">
        <f>'All regions'!C997+"n/&gt;!$@9"</f>
        <v>#VALUE!</v>
      </c>
      <c r="FV40" t="e">
        <f>'All regions'!D997+"n/&gt;!$@:"</f>
        <v>#VALUE!</v>
      </c>
      <c r="FW40" t="e">
        <f>'All regions'!E997+"n/&gt;!$@;"</f>
        <v>#VALUE!</v>
      </c>
      <c r="FX40" t="e">
        <f>'All regions'!F997+"n/&gt;!$@&lt;"</f>
        <v>#VALUE!</v>
      </c>
      <c r="FY40" t="e">
        <f>'All regions'!G997+"n/&gt;!$@="</f>
        <v>#VALUE!</v>
      </c>
      <c r="FZ40" t="e">
        <f>'All regions'!H997+"n/&gt;!$@&gt;"</f>
        <v>#VALUE!</v>
      </c>
      <c r="GA40" t="e">
        <f>'All regions'!I997+"n/&gt;!$@?"</f>
        <v>#VALUE!</v>
      </c>
      <c r="GB40" t="e">
        <f>'All regions'!J997+"n/&gt;!$@@"</f>
        <v>#VALUE!</v>
      </c>
      <c r="GC40" t="e">
        <f>'All regions'!A998+"n/&gt;!$@A"</f>
        <v>#VALUE!</v>
      </c>
      <c r="GD40" t="e">
        <f>'All regions'!B998+"n/&gt;!$@B"</f>
        <v>#VALUE!</v>
      </c>
      <c r="GE40" t="e">
        <f>'All regions'!C998+"n/&gt;!$@C"</f>
        <v>#VALUE!</v>
      </c>
      <c r="GF40" t="e">
        <f>'All regions'!D998+"n/&gt;!$@D"</f>
        <v>#VALUE!</v>
      </c>
      <c r="GG40" t="e">
        <f>'All regions'!E998+"n/&gt;!$@E"</f>
        <v>#VALUE!</v>
      </c>
      <c r="GH40" t="e">
        <f>'All regions'!F998+"n/&gt;!$@F"</f>
        <v>#VALUE!</v>
      </c>
      <c r="GI40" t="e">
        <f>'All regions'!G998+"n/&gt;!$@G"</f>
        <v>#VALUE!</v>
      </c>
      <c r="GJ40" t="e">
        <f>'All regions'!H998+"n/&gt;!$@H"</f>
        <v>#VALUE!</v>
      </c>
      <c r="GK40" t="e">
        <f>'All regions'!I998+"n/&gt;!$@I"</f>
        <v>#VALUE!</v>
      </c>
      <c r="GL40" t="e">
        <f>'All regions'!J998+"n/&gt;!$@J"</f>
        <v>#VALUE!</v>
      </c>
      <c r="GM40" t="e">
        <f>'All regions'!A999+"n/&gt;!$@K"</f>
        <v>#VALUE!</v>
      </c>
      <c r="GN40" t="e">
        <f>'All regions'!B999+"n/&gt;!$@L"</f>
        <v>#VALUE!</v>
      </c>
      <c r="GO40" t="e">
        <f>'All regions'!C999+"n/&gt;!$@M"</f>
        <v>#VALUE!</v>
      </c>
      <c r="GP40" t="e">
        <f>'All regions'!D999+"n/&gt;!$@N"</f>
        <v>#VALUE!</v>
      </c>
      <c r="GQ40" t="e">
        <f>'All regions'!E999+"n/&gt;!$@O"</f>
        <v>#VALUE!</v>
      </c>
      <c r="GR40" t="e">
        <f>'All regions'!F999+"n/&gt;!$@P"</f>
        <v>#VALUE!</v>
      </c>
      <c r="GS40" t="e">
        <f>'All regions'!G999+"n/&gt;!$@Q"</f>
        <v>#VALUE!</v>
      </c>
      <c r="GT40" t="e">
        <f>'All regions'!H999+"n/&gt;!$@R"</f>
        <v>#VALUE!</v>
      </c>
      <c r="GU40" t="e">
        <f>'All regions'!I999+"n/&gt;!$@S"</f>
        <v>#VALUE!</v>
      </c>
      <c r="GV40" t="e">
        <f>'All regions'!J999+"n/&gt;!$@T"</f>
        <v>#VALUE!</v>
      </c>
      <c r="GW40" t="e">
        <f>'All regions'!A1000+"n/&gt;!$@U"</f>
        <v>#VALUE!</v>
      </c>
      <c r="GX40" t="e">
        <f>'All regions'!B1000+"n/&gt;!$@V"</f>
        <v>#VALUE!</v>
      </c>
      <c r="GY40" t="e">
        <f>'All regions'!C1000+"n/&gt;!$@W"</f>
        <v>#VALUE!</v>
      </c>
      <c r="GZ40" t="e">
        <f>'All regions'!D1000+"n/&gt;!$@X"</f>
        <v>#VALUE!</v>
      </c>
      <c r="HA40" t="e">
        <f>'All regions'!E1000+"n/&gt;!$@Y"</f>
        <v>#VALUE!</v>
      </c>
      <c r="HB40" t="e">
        <f>'All regions'!F1000+"n/&gt;!$@Z"</f>
        <v>#VALUE!</v>
      </c>
      <c r="HC40" t="e">
        <f>'All regions'!G1000+"n/&gt;!$@["</f>
        <v>#VALUE!</v>
      </c>
      <c r="HD40" t="e">
        <f>'All regions'!H1000+"n/&gt;!$@\"</f>
        <v>#VALUE!</v>
      </c>
      <c r="HE40" t="e">
        <f>'All regions'!I1000+"n/&gt;!$@]"</f>
        <v>#VALUE!</v>
      </c>
      <c r="HF40" t="e">
        <f>'All regions'!J1000+"n/&gt;!$@^"</f>
        <v>#VALUE!</v>
      </c>
      <c r="HG40" t="e">
        <f>'All regions'!A1001+"n/&gt;!$@_"</f>
        <v>#VALUE!</v>
      </c>
      <c r="HH40" t="e">
        <f>'All regions'!B1001+"n/&gt;!$@`"</f>
        <v>#VALUE!</v>
      </c>
      <c r="HI40" t="e">
        <f>'All regions'!C1001+"n/&gt;!$@a"</f>
        <v>#VALUE!</v>
      </c>
      <c r="HJ40" t="e">
        <f>'All regions'!D1001+"n/&gt;!$@b"</f>
        <v>#VALUE!</v>
      </c>
      <c r="HK40" t="e">
        <f>'All regions'!E1001+"n/&gt;!$@c"</f>
        <v>#VALUE!</v>
      </c>
      <c r="HL40" t="e">
        <f>'All regions'!F1001+"n/&gt;!$@d"</f>
        <v>#VALUE!</v>
      </c>
      <c r="HM40" t="e">
        <f>'All regions'!G1001+"n/&gt;!$@e"</f>
        <v>#VALUE!</v>
      </c>
      <c r="HN40" t="e">
        <f>'All regions'!H1001+"n/&gt;!$@f"</f>
        <v>#VALUE!</v>
      </c>
      <c r="HO40" t="e">
        <f>'All regions'!I1001+"n/&gt;!$@g"</f>
        <v>#VALUE!</v>
      </c>
      <c r="HP40" t="e">
        <f>'All regions'!J1001+"n/&gt;!$@h"</f>
        <v>#VALUE!</v>
      </c>
      <c r="HQ40" t="e">
        <f>'All regions'!A1002+"n/&gt;!$@i"</f>
        <v>#VALUE!</v>
      </c>
      <c r="HR40" t="e">
        <f>'All regions'!B1002+"n/&gt;!$@j"</f>
        <v>#VALUE!</v>
      </c>
      <c r="HS40" t="e">
        <f>'All regions'!C1002+"n/&gt;!$@k"</f>
        <v>#VALUE!</v>
      </c>
      <c r="HT40" t="e">
        <f>'All regions'!D1002+"n/&gt;!$@l"</f>
        <v>#VALUE!</v>
      </c>
      <c r="HU40" t="e">
        <f>'All regions'!E1002+"n/&gt;!$@m"</f>
        <v>#VALUE!</v>
      </c>
      <c r="HV40" t="e">
        <f>'All regions'!F1002+"n/&gt;!$@n"</f>
        <v>#VALUE!</v>
      </c>
      <c r="HW40" t="e">
        <f>'All regions'!G1002+"n/&gt;!$@o"</f>
        <v>#VALUE!</v>
      </c>
      <c r="HX40" t="e">
        <f>'All regions'!H1002+"n/&gt;!$@p"</f>
        <v>#VALUE!</v>
      </c>
      <c r="HY40" t="e">
        <f>'All regions'!I1002+"n/&gt;!$@q"</f>
        <v>#VALUE!</v>
      </c>
      <c r="HZ40" t="e">
        <f>'All regions'!J1002+"n/&gt;!$@r"</f>
        <v>#VALUE!</v>
      </c>
      <c r="IA40" t="e">
        <f>'All regions'!A1003+"n/&gt;!$@s"</f>
        <v>#VALUE!</v>
      </c>
      <c r="IB40" t="e">
        <f>'All regions'!B1003+"n/&gt;!$@t"</f>
        <v>#VALUE!</v>
      </c>
      <c r="IC40" t="e">
        <f>'All regions'!C1003+"n/&gt;!$@u"</f>
        <v>#VALUE!</v>
      </c>
      <c r="ID40" t="e">
        <f>'All regions'!D1003+"n/&gt;!$@v"</f>
        <v>#VALUE!</v>
      </c>
      <c r="IE40" t="e">
        <f>'All regions'!E1003+"n/&gt;!$@w"</f>
        <v>#VALUE!</v>
      </c>
      <c r="IF40" t="e">
        <f>'All regions'!F1003+"n/&gt;!$@x"</f>
        <v>#VALUE!</v>
      </c>
      <c r="IG40" t="e">
        <f>'All regions'!G1003+"n/&gt;!$@y"</f>
        <v>#VALUE!</v>
      </c>
      <c r="IH40" t="e">
        <f>'All regions'!H1003+"n/&gt;!$@z"</f>
        <v>#VALUE!</v>
      </c>
      <c r="II40" t="e">
        <f>'All regions'!I1003+"n/&gt;!$@{"</f>
        <v>#VALUE!</v>
      </c>
      <c r="IJ40" t="e">
        <f>'All regions'!J1003+"n/&gt;!$@|"</f>
        <v>#VALUE!</v>
      </c>
      <c r="IK40" t="e">
        <f>'All regions'!A1004+"n/&gt;!$@}"</f>
        <v>#VALUE!</v>
      </c>
      <c r="IL40" t="e">
        <f>'All regions'!B1004+"n/&gt;!$@~"</f>
        <v>#VALUE!</v>
      </c>
      <c r="IM40" t="e">
        <f>'All regions'!C1004+"n/&gt;!$A#"</f>
        <v>#VALUE!</v>
      </c>
      <c r="IN40" t="e">
        <f>'All regions'!D1004+"n/&gt;!$A$"</f>
        <v>#VALUE!</v>
      </c>
      <c r="IO40" t="e">
        <f>'All regions'!E1004+"n/&gt;!$A%"</f>
        <v>#VALUE!</v>
      </c>
      <c r="IP40" t="e">
        <f>'All regions'!F1004+"n/&gt;!$A&amp;"</f>
        <v>#VALUE!</v>
      </c>
      <c r="IQ40" t="e">
        <f>'All regions'!G1004+"n/&gt;!$A'"</f>
        <v>#VALUE!</v>
      </c>
      <c r="IR40" t="e">
        <f>'All regions'!H1004+"n/&gt;!$A("</f>
        <v>#VALUE!</v>
      </c>
      <c r="IS40" t="e">
        <f>'All regions'!I1004+"n/&gt;!$A)"</f>
        <v>#VALUE!</v>
      </c>
      <c r="IT40" t="e">
        <f>'All regions'!J1004+"n/&gt;!$A."</f>
        <v>#VALUE!</v>
      </c>
      <c r="IU40" t="e">
        <f>'All regions'!A1005+"n/&gt;!$A/"</f>
        <v>#VALUE!</v>
      </c>
      <c r="IV40" t="e">
        <f>'All regions'!B1005+"n/&gt;!$A0"</f>
        <v>#VALUE!</v>
      </c>
    </row>
    <row r="41" spans="6:256" x14ac:dyDescent="0.35">
      <c r="F41" t="e">
        <f>'All regions'!C1005+"n/&gt;!$A1"</f>
        <v>#VALUE!</v>
      </c>
      <c r="G41" t="e">
        <f>'All regions'!D1005+"n/&gt;!$A2"</f>
        <v>#VALUE!</v>
      </c>
      <c r="H41" t="e">
        <f>'All regions'!E1005+"n/&gt;!$A3"</f>
        <v>#VALUE!</v>
      </c>
      <c r="I41" t="e">
        <f>'All regions'!F1005+"n/&gt;!$A4"</f>
        <v>#VALUE!</v>
      </c>
      <c r="J41" t="e">
        <f>'All regions'!G1005+"n/&gt;!$A5"</f>
        <v>#VALUE!</v>
      </c>
      <c r="K41" t="e">
        <f>'All regions'!H1005+"n/&gt;!$A6"</f>
        <v>#VALUE!</v>
      </c>
      <c r="L41" t="e">
        <f>'All regions'!I1005+"n/&gt;!$A7"</f>
        <v>#VALUE!</v>
      </c>
      <c r="M41" t="e">
        <f>'All regions'!J1005+"n/&gt;!$A8"</f>
        <v>#VALUE!</v>
      </c>
      <c r="N41" t="e">
        <f>'All regions'!A1006+"n/&gt;!$A9"</f>
        <v>#VALUE!</v>
      </c>
      <c r="O41" t="e">
        <f>'All regions'!B1006+"n/&gt;!$A:"</f>
        <v>#VALUE!</v>
      </c>
      <c r="P41" t="e">
        <f>'All regions'!C1006+"n/&gt;!$A;"</f>
        <v>#VALUE!</v>
      </c>
      <c r="Q41" t="e">
        <f>'All regions'!D1006+"n/&gt;!$A&lt;"</f>
        <v>#VALUE!</v>
      </c>
      <c r="R41" t="e">
        <f>'All regions'!E1006+"n/&gt;!$A="</f>
        <v>#VALUE!</v>
      </c>
      <c r="S41" t="e">
        <f>'All regions'!F1006+"n/&gt;!$A&gt;"</f>
        <v>#VALUE!</v>
      </c>
      <c r="T41" t="e">
        <f>'All regions'!G1006+"n/&gt;!$A?"</f>
        <v>#VALUE!</v>
      </c>
      <c r="U41" t="e">
        <f>'All regions'!H1006+"n/&gt;!$A@"</f>
        <v>#VALUE!</v>
      </c>
      <c r="V41" t="e">
        <f>'All regions'!I1006+"n/&gt;!$AA"</f>
        <v>#VALUE!</v>
      </c>
      <c r="W41" t="e">
        <f>'All regions'!J1006+"n/&gt;!$AB"</f>
        <v>#VALUE!</v>
      </c>
      <c r="X41" t="e">
        <f>'All regions'!A1007+"n/&gt;!$AC"</f>
        <v>#VALUE!</v>
      </c>
      <c r="Y41" t="e">
        <f>'All regions'!B1007+"n/&gt;!$AD"</f>
        <v>#VALUE!</v>
      </c>
      <c r="Z41" t="e">
        <f>'All regions'!C1007+"n/&gt;!$AE"</f>
        <v>#VALUE!</v>
      </c>
      <c r="AA41" t="e">
        <f>'All regions'!D1007+"n/&gt;!$AF"</f>
        <v>#VALUE!</v>
      </c>
      <c r="AB41" t="e">
        <f>'All regions'!E1007+"n/&gt;!$AG"</f>
        <v>#VALUE!</v>
      </c>
      <c r="AC41" t="e">
        <f>'All regions'!F1007+"n/&gt;!$AH"</f>
        <v>#VALUE!</v>
      </c>
      <c r="AD41" t="e">
        <f>'All regions'!G1007+"n/&gt;!$AI"</f>
        <v>#VALUE!</v>
      </c>
      <c r="AE41" t="e">
        <f>'All regions'!H1007+"n/&gt;!$AJ"</f>
        <v>#VALUE!</v>
      </c>
      <c r="AF41" t="e">
        <f>'All regions'!I1007+"n/&gt;!$AK"</f>
        <v>#VALUE!</v>
      </c>
      <c r="AG41" t="e">
        <f>'All regions'!J1007+"n/&gt;!$AL"</f>
        <v>#VALUE!</v>
      </c>
      <c r="AH41" t="e">
        <f>'All regions'!A1008+"n/&gt;!$AM"</f>
        <v>#VALUE!</v>
      </c>
      <c r="AI41" t="e">
        <f>'All regions'!B1008+"n/&gt;!$AN"</f>
        <v>#VALUE!</v>
      </c>
      <c r="AJ41" t="e">
        <f>'All regions'!C1008+"n/&gt;!$AO"</f>
        <v>#VALUE!</v>
      </c>
      <c r="AK41" t="e">
        <f>'All regions'!D1008+"n/&gt;!$AP"</f>
        <v>#VALUE!</v>
      </c>
      <c r="AL41" t="e">
        <f>'All regions'!E1008+"n/&gt;!$AQ"</f>
        <v>#VALUE!</v>
      </c>
      <c r="AM41" t="e">
        <f>'All regions'!F1008+"n/&gt;!$AR"</f>
        <v>#VALUE!</v>
      </c>
      <c r="AN41" t="e">
        <f>'All regions'!G1008+"n/&gt;!$AS"</f>
        <v>#VALUE!</v>
      </c>
      <c r="AO41" t="e">
        <f>'All regions'!H1008+"n/&gt;!$AT"</f>
        <v>#VALUE!</v>
      </c>
      <c r="AP41" t="e">
        <f>'All regions'!I1008+"n/&gt;!$AU"</f>
        <v>#VALUE!</v>
      </c>
      <c r="AQ41" t="e">
        <f>'All regions'!J1008+"n/&gt;!$AV"</f>
        <v>#VALUE!</v>
      </c>
      <c r="AR41" t="e">
        <f>'All regions'!A1009+"n/&gt;!$AW"</f>
        <v>#VALUE!</v>
      </c>
      <c r="AS41" t="e">
        <f>'All regions'!B1009+"n/&gt;!$AX"</f>
        <v>#VALUE!</v>
      </c>
      <c r="AT41" t="e">
        <f>'All regions'!C1009+"n/&gt;!$AY"</f>
        <v>#VALUE!</v>
      </c>
      <c r="AU41" t="e">
        <f>'All regions'!D1009+"n/&gt;!$AZ"</f>
        <v>#VALUE!</v>
      </c>
      <c r="AV41" t="e">
        <f>'All regions'!E1009+"n/&gt;!$A["</f>
        <v>#VALUE!</v>
      </c>
      <c r="AW41" t="e">
        <f>'All regions'!F1009+"n/&gt;!$A\"</f>
        <v>#VALUE!</v>
      </c>
      <c r="AX41" t="e">
        <f>'All regions'!G1009+"n/&gt;!$A]"</f>
        <v>#VALUE!</v>
      </c>
      <c r="AY41" t="e">
        <f>'All regions'!H1009+"n/&gt;!$A^"</f>
        <v>#VALUE!</v>
      </c>
      <c r="AZ41" t="e">
        <f>'All regions'!I1009+"n/&gt;!$A_"</f>
        <v>#VALUE!</v>
      </c>
      <c r="BA41" t="e">
        <f>'All regions'!J1009+"n/&gt;!$A`"</f>
        <v>#VALUE!</v>
      </c>
      <c r="BB41" t="e">
        <f>'All regions'!A1010+"n/&gt;!$Aa"</f>
        <v>#VALUE!</v>
      </c>
      <c r="BC41" t="e">
        <f>'All regions'!B1010+"n/&gt;!$Ab"</f>
        <v>#VALUE!</v>
      </c>
      <c r="BD41" t="e">
        <f>'All regions'!C1010+"n/&gt;!$Ac"</f>
        <v>#VALUE!</v>
      </c>
      <c r="BE41" t="e">
        <f>'All regions'!D1010+"n/&gt;!$Ad"</f>
        <v>#VALUE!</v>
      </c>
      <c r="BF41" t="e">
        <f>'All regions'!E1010+"n/&gt;!$Ae"</f>
        <v>#VALUE!</v>
      </c>
      <c r="BG41" t="e">
        <f>'All regions'!F1010+"n/&gt;!$Af"</f>
        <v>#VALUE!</v>
      </c>
      <c r="BH41" t="e">
        <f>'All regions'!G1010+"n/&gt;!$Ag"</f>
        <v>#VALUE!</v>
      </c>
      <c r="BI41" t="e">
        <f>'All regions'!H1010+"n/&gt;!$Ah"</f>
        <v>#VALUE!</v>
      </c>
      <c r="BJ41" t="e">
        <f>'All regions'!I1010+"n/&gt;!$Ai"</f>
        <v>#VALUE!</v>
      </c>
      <c r="BK41" t="e">
        <f>'All regions'!J1010+"n/&gt;!$Aj"</f>
        <v>#VALUE!</v>
      </c>
      <c r="BL41" t="e">
        <f>'All regions'!A1011+"n/&gt;!$Ak"</f>
        <v>#VALUE!</v>
      </c>
      <c r="BM41" t="e">
        <f>'All regions'!B1011+"n/&gt;!$Al"</f>
        <v>#VALUE!</v>
      </c>
      <c r="BN41" t="e">
        <f>'All regions'!C1011+"n/&gt;!$Am"</f>
        <v>#VALUE!</v>
      </c>
      <c r="BO41" t="e">
        <f>'All regions'!D1011+"n/&gt;!$An"</f>
        <v>#VALUE!</v>
      </c>
      <c r="BP41" t="e">
        <f>'All regions'!E1011+"n/&gt;!$Ao"</f>
        <v>#VALUE!</v>
      </c>
      <c r="BQ41" t="e">
        <f>'All regions'!F1011+"n/&gt;!$Ap"</f>
        <v>#VALUE!</v>
      </c>
      <c r="BR41" t="e">
        <f>'All regions'!G1011+"n/&gt;!$Aq"</f>
        <v>#VALUE!</v>
      </c>
      <c r="BS41" t="e">
        <f>'All regions'!H1011+"n/&gt;!$Ar"</f>
        <v>#VALUE!</v>
      </c>
      <c r="BT41" t="e">
        <f>'All regions'!I1011+"n/&gt;!$As"</f>
        <v>#VALUE!</v>
      </c>
      <c r="BU41" t="e">
        <f>'All regions'!J1011+"n/&gt;!$At"</f>
        <v>#VALUE!</v>
      </c>
      <c r="BV41" t="e">
        <f>'All regions'!A1012+"n/&gt;!$Au"</f>
        <v>#VALUE!</v>
      </c>
      <c r="BW41" t="e">
        <f>'All regions'!B1012+"n/&gt;!$Av"</f>
        <v>#VALUE!</v>
      </c>
      <c r="BX41" t="e">
        <f>'All regions'!C1012+"n/&gt;!$Aw"</f>
        <v>#VALUE!</v>
      </c>
      <c r="BY41" t="e">
        <f>'All regions'!D1012+"n/&gt;!$Ax"</f>
        <v>#VALUE!</v>
      </c>
      <c r="BZ41" t="e">
        <f>'All regions'!E1012+"n/&gt;!$Ay"</f>
        <v>#VALUE!</v>
      </c>
      <c r="CA41" t="e">
        <f>'All regions'!F1012+"n/&gt;!$Az"</f>
        <v>#VALUE!</v>
      </c>
      <c r="CB41" t="e">
        <f>'All regions'!G1012+"n/&gt;!$A{"</f>
        <v>#VALUE!</v>
      </c>
      <c r="CC41" t="e">
        <f>'All regions'!H1012+"n/&gt;!$A|"</f>
        <v>#VALUE!</v>
      </c>
      <c r="CD41" t="e">
        <f>'All regions'!I1012+"n/&gt;!$A}"</f>
        <v>#VALUE!</v>
      </c>
      <c r="CE41" t="e">
        <f>'All regions'!J1012+"n/&gt;!$A~"</f>
        <v>#VALUE!</v>
      </c>
      <c r="CF41" t="e">
        <f>'All regions'!A1013+"n/&gt;!$B#"</f>
        <v>#VALUE!</v>
      </c>
      <c r="CG41" t="e">
        <f>'All regions'!B1013+"n/&gt;!$B$"</f>
        <v>#VALUE!</v>
      </c>
      <c r="CH41" t="e">
        <f>'All regions'!C1013+"n/&gt;!$B%"</f>
        <v>#VALUE!</v>
      </c>
      <c r="CI41" t="e">
        <f>'All regions'!D1013+"n/&gt;!$B&amp;"</f>
        <v>#VALUE!</v>
      </c>
      <c r="CJ41" t="e">
        <f>'All regions'!E1013+"n/&gt;!$B'"</f>
        <v>#VALUE!</v>
      </c>
      <c r="CK41" t="e">
        <f>'All regions'!F1013+"n/&gt;!$B("</f>
        <v>#VALUE!</v>
      </c>
      <c r="CL41" t="e">
        <f>'All regions'!G1013+"n/&gt;!$B)"</f>
        <v>#VALUE!</v>
      </c>
      <c r="CM41" t="e">
        <f>'All regions'!H1013+"n/&gt;!$B."</f>
        <v>#VALUE!</v>
      </c>
      <c r="CN41" t="e">
        <f>'All regions'!I1013+"n/&gt;!$B/"</f>
        <v>#VALUE!</v>
      </c>
      <c r="CO41" t="e">
        <f>'All regions'!J1013+"n/&gt;!$B0"</f>
        <v>#VALUE!</v>
      </c>
      <c r="CP41" t="e">
        <f>'All regions'!A1014+"n/&gt;!$B1"</f>
        <v>#VALUE!</v>
      </c>
      <c r="CQ41" t="e">
        <f>'All regions'!B1014+"n/&gt;!$B2"</f>
        <v>#VALUE!</v>
      </c>
      <c r="CR41" t="e">
        <f>'All regions'!C1014+"n/&gt;!$B3"</f>
        <v>#VALUE!</v>
      </c>
      <c r="CS41" t="e">
        <f>'All regions'!D1014+"n/&gt;!$B4"</f>
        <v>#VALUE!</v>
      </c>
      <c r="CT41" t="e">
        <f>'All regions'!E1014+"n/&gt;!$B5"</f>
        <v>#VALUE!</v>
      </c>
      <c r="CU41" t="e">
        <f>'All regions'!F1014+"n/&gt;!$B6"</f>
        <v>#VALUE!</v>
      </c>
      <c r="CV41" t="e">
        <f>'All regions'!G1014+"n/&gt;!$B7"</f>
        <v>#VALUE!</v>
      </c>
      <c r="CW41" t="e">
        <f>'All regions'!H1014+"n/&gt;!$B8"</f>
        <v>#VALUE!</v>
      </c>
      <c r="CX41" t="e">
        <f>'All regions'!I1014+"n/&gt;!$B9"</f>
        <v>#VALUE!</v>
      </c>
      <c r="CY41" t="e">
        <f>'All regions'!J1014+"n/&gt;!$B:"</f>
        <v>#VALUE!</v>
      </c>
      <c r="CZ41" t="e">
        <f>'All regions'!A1015+"n/&gt;!$B;"</f>
        <v>#VALUE!</v>
      </c>
      <c r="DA41" t="e">
        <f>'All regions'!B1015+"n/&gt;!$B&lt;"</f>
        <v>#VALUE!</v>
      </c>
      <c r="DB41" t="e">
        <f>'All regions'!C1015+"n/&gt;!$B="</f>
        <v>#VALUE!</v>
      </c>
      <c r="DC41" t="e">
        <f>'All regions'!D1015+"n/&gt;!$B&gt;"</f>
        <v>#VALUE!</v>
      </c>
      <c r="DD41" t="e">
        <f>'All regions'!E1015+"n/&gt;!$B?"</f>
        <v>#VALUE!</v>
      </c>
      <c r="DE41" t="e">
        <f>'All regions'!F1015+"n/&gt;!$B@"</f>
        <v>#VALUE!</v>
      </c>
      <c r="DF41" t="e">
        <f>'All regions'!G1015+"n/&gt;!$BA"</f>
        <v>#VALUE!</v>
      </c>
      <c r="DG41" t="e">
        <f>'All regions'!H1015+"n/&gt;!$BB"</f>
        <v>#VALUE!</v>
      </c>
      <c r="DH41" t="e">
        <f>'All regions'!I1015+"n/&gt;!$BC"</f>
        <v>#VALUE!</v>
      </c>
      <c r="DI41" t="e">
        <f>'All regions'!J1015+"n/&gt;!$BD"</f>
        <v>#VALUE!</v>
      </c>
      <c r="DJ41" t="e">
        <f>'All regions'!A1016+"n/&gt;!$BE"</f>
        <v>#VALUE!</v>
      </c>
      <c r="DK41" t="e">
        <f>'All regions'!B1016+"n/&gt;!$BF"</f>
        <v>#VALUE!</v>
      </c>
      <c r="DL41" t="e">
        <f>'All regions'!C1016+"n/&gt;!$BG"</f>
        <v>#VALUE!</v>
      </c>
      <c r="DM41" t="e">
        <f>'All regions'!D1016+"n/&gt;!$BH"</f>
        <v>#VALUE!</v>
      </c>
      <c r="DN41" t="e">
        <f>'All regions'!E1016+"n/&gt;!$BI"</f>
        <v>#VALUE!</v>
      </c>
      <c r="DO41" t="e">
        <f>'All regions'!F1016+"n/&gt;!$BJ"</f>
        <v>#VALUE!</v>
      </c>
      <c r="DP41" t="e">
        <f>'All regions'!G1016+"n/&gt;!$BK"</f>
        <v>#VALUE!</v>
      </c>
      <c r="DQ41" t="e">
        <f>'All regions'!H1016+"n/&gt;!$BL"</f>
        <v>#VALUE!</v>
      </c>
      <c r="DR41" t="e">
        <f>'All regions'!I1016+"n/&gt;!$BM"</f>
        <v>#VALUE!</v>
      </c>
      <c r="DS41" t="e">
        <f>'All regions'!J1016+"n/&gt;!$BN"</f>
        <v>#VALUE!</v>
      </c>
      <c r="DT41" t="e">
        <f>'All regions'!A1017+"n/&gt;!$BO"</f>
        <v>#VALUE!</v>
      </c>
      <c r="DU41" t="e">
        <f>'All regions'!B1017+"n/&gt;!$BP"</f>
        <v>#VALUE!</v>
      </c>
      <c r="DV41" t="e">
        <f>'All regions'!C1017+"n/&gt;!$BQ"</f>
        <v>#VALUE!</v>
      </c>
      <c r="DW41" t="e">
        <f>'All regions'!D1017+"n/&gt;!$BR"</f>
        <v>#VALUE!</v>
      </c>
      <c r="DX41" t="e">
        <f>'All regions'!E1017+"n/&gt;!$BS"</f>
        <v>#VALUE!</v>
      </c>
      <c r="DY41" t="e">
        <f>'All regions'!F1017+"n/&gt;!$BT"</f>
        <v>#VALUE!</v>
      </c>
      <c r="DZ41" t="e">
        <f>'All regions'!G1017+"n/&gt;!$BU"</f>
        <v>#VALUE!</v>
      </c>
      <c r="EA41" t="e">
        <f>'All regions'!H1017+"n/&gt;!$BV"</f>
        <v>#VALUE!</v>
      </c>
      <c r="EB41" t="e">
        <f>'All regions'!I1017+"n/&gt;!$BW"</f>
        <v>#VALUE!</v>
      </c>
      <c r="EC41" t="e">
        <f>'All regions'!J1017+"n/&gt;!$BX"</f>
        <v>#VALUE!</v>
      </c>
      <c r="ED41" t="e">
        <f>'All regions'!A1018+"n/&gt;!$BY"</f>
        <v>#VALUE!</v>
      </c>
      <c r="EE41" t="e">
        <f>'All regions'!B1018+"n/&gt;!$BZ"</f>
        <v>#VALUE!</v>
      </c>
      <c r="EF41" t="e">
        <f>'All regions'!C1018+"n/&gt;!$B["</f>
        <v>#VALUE!</v>
      </c>
      <c r="EG41" t="e">
        <f>'All regions'!D1018+"n/&gt;!$B\"</f>
        <v>#VALUE!</v>
      </c>
      <c r="EH41" t="e">
        <f>'All regions'!E1018+"n/&gt;!$B]"</f>
        <v>#VALUE!</v>
      </c>
      <c r="EI41" t="e">
        <f>'All regions'!F1018+"n/&gt;!$B^"</f>
        <v>#VALUE!</v>
      </c>
      <c r="EJ41" t="e">
        <f>'All regions'!G1018+"n/&gt;!$B_"</f>
        <v>#VALUE!</v>
      </c>
      <c r="EK41" t="e">
        <f>'All regions'!H1018+"n/&gt;!$B`"</f>
        <v>#VALUE!</v>
      </c>
      <c r="EL41" t="e">
        <f>'All regions'!I1018+"n/&gt;!$Ba"</f>
        <v>#VALUE!</v>
      </c>
      <c r="EM41" t="e">
        <f>'All regions'!J1018+"n/&gt;!$Bb"</f>
        <v>#VALUE!</v>
      </c>
      <c r="EN41" t="e">
        <f>'All regions'!A1019+"n/&gt;!$Bc"</f>
        <v>#VALUE!</v>
      </c>
      <c r="EO41" t="e">
        <f>'All regions'!B1019+"n/&gt;!$Bd"</f>
        <v>#VALUE!</v>
      </c>
      <c r="EP41" t="e">
        <f>'All regions'!C1019+"n/&gt;!$Be"</f>
        <v>#VALUE!</v>
      </c>
      <c r="EQ41" t="e">
        <f>'All regions'!D1019+"n/&gt;!$Bf"</f>
        <v>#VALUE!</v>
      </c>
      <c r="ER41" t="e">
        <f>'All regions'!E1019+"n/&gt;!$Bg"</f>
        <v>#VALUE!</v>
      </c>
      <c r="ES41" t="e">
        <f>'All regions'!F1019+"n/&gt;!$Bh"</f>
        <v>#VALUE!</v>
      </c>
      <c r="ET41" t="e">
        <f>'All regions'!G1019+"n/&gt;!$Bi"</f>
        <v>#VALUE!</v>
      </c>
      <c r="EU41" t="e">
        <f>'All regions'!H1019+"n/&gt;!$Bj"</f>
        <v>#VALUE!</v>
      </c>
      <c r="EV41" t="e">
        <f>'All regions'!I1019+"n/&gt;!$Bk"</f>
        <v>#VALUE!</v>
      </c>
      <c r="EW41" t="e">
        <f>'All regions'!J1019+"n/&gt;!$Bl"</f>
        <v>#VALUE!</v>
      </c>
      <c r="EX41" t="e">
        <f>'All regions'!A1020+"n/&gt;!$Bm"</f>
        <v>#VALUE!</v>
      </c>
      <c r="EY41" t="e">
        <f>'All regions'!B1020+"n/&gt;!$Bn"</f>
        <v>#VALUE!</v>
      </c>
      <c r="EZ41" t="e">
        <f>'All regions'!C1020+"n/&gt;!$Bo"</f>
        <v>#VALUE!</v>
      </c>
      <c r="FA41" t="e">
        <f>'All regions'!D1020+"n/&gt;!$Bp"</f>
        <v>#VALUE!</v>
      </c>
      <c r="FB41" t="e">
        <f>'All regions'!E1020+"n/&gt;!$Bq"</f>
        <v>#VALUE!</v>
      </c>
      <c r="FC41" t="e">
        <f>'All regions'!F1020+"n/&gt;!$Br"</f>
        <v>#VALUE!</v>
      </c>
      <c r="FD41" t="e">
        <f>'All regions'!G1020+"n/&gt;!$Bs"</f>
        <v>#VALUE!</v>
      </c>
      <c r="FE41" t="e">
        <f>'All regions'!H1020+"n/&gt;!$Bt"</f>
        <v>#VALUE!</v>
      </c>
      <c r="FF41" t="e">
        <f>'All regions'!I1020+"n/&gt;!$Bu"</f>
        <v>#VALUE!</v>
      </c>
      <c r="FG41" t="e">
        <f>'All regions'!J1020+"n/&gt;!$Bv"</f>
        <v>#VALUE!</v>
      </c>
      <c r="FH41" t="e">
        <f>'All regions'!A1021+"n/&gt;!$Bw"</f>
        <v>#VALUE!</v>
      </c>
      <c r="FI41" t="e">
        <f>'All regions'!B1021+"n/&gt;!$Bx"</f>
        <v>#VALUE!</v>
      </c>
      <c r="FJ41" t="e">
        <f>'All regions'!C1021+"n/&gt;!$By"</f>
        <v>#VALUE!</v>
      </c>
      <c r="FK41" t="e">
        <f>'All regions'!D1021+"n/&gt;!$Bz"</f>
        <v>#VALUE!</v>
      </c>
      <c r="FL41" t="e">
        <f>'All regions'!E1021+"n/&gt;!$B{"</f>
        <v>#VALUE!</v>
      </c>
      <c r="FM41" t="e">
        <f>'All regions'!F1021+"n/&gt;!$B|"</f>
        <v>#VALUE!</v>
      </c>
      <c r="FN41" t="e">
        <f>'All regions'!G1021+"n/&gt;!$B}"</f>
        <v>#VALUE!</v>
      </c>
      <c r="FO41" t="e">
        <f>'All regions'!H1021+"n/&gt;!$B~"</f>
        <v>#VALUE!</v>
      </c>
      <c r="FP41" t="e">
        <f>'All regions'!I1021+"n/&gt;!$C#"</f>
        <v>#VALUE!</v>
      </c>
      <c r="FQ41" t="e">
        <f>'All regions'!J1021+"n/&gt;!$C$"</f>
        <v>#VALUE!</v>
      </c>
      <c r="FR41" t="e">
        <f>'All regions'!A1022+"n/&gt;!$C%"</f>
        <v>#VALUE!</v>
      </c>
      <c r="FS41" t="e">
        <f>'All regions'!B1022+"n/&gt;!$C&amp;"</f>
        <v>#VALUE!</v>
      </c>
      <c r="FT41" t="e">
        <f>'All regions'!C1022+"n/&gt;!$C'"</f>
        <v>#VALUE!</v>
      </c>
      <c r="FU41" t="e">
        <f>'All regions'!D1022+"n/&gt;!$C("</f>
        <v>#VALUE!</v>
      </c>
      <c r="FV41" t="e">
        <f>'All regions'!E1022+"n/&gt;!$C)"</f>
        <v>#VALUE!</v>
      </c>
      <c r="FW41" t="e">
        <f>'All regions'!F1022+"n/&gt;!$C."</f>
        <v>#VALUE!</v>
      </c>
      <c r="FX41" t="e">
        <f>'All regions'!G1022+"n/&gt;!$C/"</f>
        <v>#VALUE!</v>
      </c>
      <c r="FY41" t="e">
        <f>'All regions'!H1022+"n/&gt;!$C0"</f>
        <v>#VALUE!</v>
      </c>
      <c r="FZ41" t="e">
        <f>'All regions'!I1022+"n/&gt;!$C1"</f>
        <v>#VALUE!</v>
      </c>
      <c r="GA41" t="e">
        <f>'All regions'!J1022+"n/&gt;!$C2"</f>
        <v>#VALUE!</v>
      </c>
      <c r="GB41" t="e">
        <f>'All regions'!A1023+"n/&gt;!$C3"</f>
        <v>#VALUE!</v>
      </c>
      <c r="GC41" t="e">
        <f>'All regions'!B1023+"n/&gt;!$C4"</f>
        <v>#VALUE!</v>
      </c>
      <c r="GD41" t="e">
        <f>'All regions'!C1023+"n/&gt;!$C5"</f>
        <v>#VALUE!</v>
      </c>
      <c r="GE41" t="e">
        <f>'All regions'!D1023+"n/&gt;!$C6"</f>
        <v>#VALUE!</v>
      </c>
      <c r="GF41" t="e">
        <f>'All regions'!E1023+"n/&gt;!$C7"</f>
        <v>#VALUE!</v>
      </c>
      <c r="GG41" t="e">
        <f>'All regions'!F1023+"n/&gt;!$C8"</f>
        <v>#VALUE!</v>
      </c>
      <c r="GH41" t="e">
        <f>'All regions'!G1023+"n/&gt;!$C9"</f>
        <v>#VALUE!</v>
      </c>
      <c r="GI41" t="e">
        <f>'All regions'!H1023+"n/&gt;!$C:"</f>
        <v>#VALUE!</v>
      </c>
      <c r="GJ41" t="e">
        <f>'All regions'!I1023+"n/&gt;!$C;"</f>
        <v>#VALUE!</v>
      </c>
      <c r="GK41" t="e">
        <f>'All regions'!J1023+"n/&gt;!$C&lt;"</f>
        <v>#VALUE!</v>
      </c>
      <c r="GL41" t="e">
        <f>'All regions'!A1024+"n/&gt;!$C="</f>
        <v>#VALUE!</v>
      </c>
      <c r="GM41" t="e">
        <f>'All regions'!B1024+"n/&gt;!$C&gt;"</f>
        <v>#VALUE!</v>
      </c>
      <c r="GN41" t="e">
        <f>'All regions'!C1024+"n/&gt;!$C?"</f>
        <v>#VALUE!</v>
      </c>
      <c r="GO41" t="e">
        <f>'All regions'!D1024+"n/&gt;!$C@"</f>
        <v>#VALUE!</v>
      </c>
      <c r="GP41" t="e">
        <f>'All regions'!E1024+"n/&gt;!$CA"</f>
        <v>#VALUE!</v>
      </c>
      <c r="GQ41" t="e">
        <f>'All regions'!F1024+"n/&gt;!$CB"</f>
        <v>#VALUE!</v>
      </c>
      <c r="GR41" t="e">
        <f>'All regions'!G1024+"n/&gt;!$CC"</f>
        <v>#VALUE!</v>
      </c>
      <c r="GS41" t="e">
        <f>'All regions'!H1024+"n/&gt;!$CD"</f>
        <v>#VALUE!</v>
      </c>
      <c r="GT41" t="e">
        <f>'All regions'!I1024+"n/&gt;!$CE"</f>
        <v>#VALUE!</v>
      </c>
      <c r="GU41" t="e">
        <f>'All regions'!J1024+"n/&gt;!$CF"</f>
        <v>#VALUE!</v>
      </c>
      <c r="GV41" t="e">
        <f>'All regions'!A1025+"n/&gt;!$CG"</f>
        <v>#VALUE!</v>
      </c>
      <c r="GW41" t="e">
        <f>'All regions'!B1025+"n/&gt;!$CH"</f>
        <v>#VALUE!</v>
      </c>
      <c r="GX41" t="e">
        <f>'All regions'!C1025+"n/&gt;!$CI"</f>
        <v>#VALUE!</v>
      </c>
      <c r="GY41" t="e">
        <f>'All regions'!D1025+"n/&gt;!$CJ"</f>
        <v>#VALUE!</v>
      </c>
      <c r="GZ41" t="e">
        <f>'All regions'!E1025+"n/&gt;!$CK"</f>
        <v>#VALUE!</v>
      </c>
      <c r="HA41" t="e">
        <f>'All regions'!F1025+"n/&gt;!$CL"</f>
        <v>#VALUE!</v>
      </c>
      <c r="HB41" t="e">
        <f>'All regions'!G1025+"n/&gt;!$CM"</f>
        <v>#VALUE!</v>
      </c>
      <c r="HC41" t="e">
        <f>'All regions'!H1025+"n/&gt;!$CN"</f>
        <v>#VALUE!</v>
      </c>
      <c r="HD41" t="e">
        <f>'All regions'!I1025+"n/&gt;!$CO"</f>
        <v>#VALUE!</v>
      </c>
      <c r="HE41" t="e">
        <f>'All regions'!J1025+"n/&gt;!$CP"</f>
        <v>#VALUE!</v>
      </c>
      <c r="HF41" t="e">
        <f>'All regions'!A1026+"n/&gt;!$CQ"</f>
        <v>#VALUE!</v>
      </c>
      <c r="HG41" t="e">
        <f>'All regions'!B1026+"n/&gt;!$CR"</f>
        <v>#VALUE!</v>
      </c>
      <c r="HH41" t="e">
        <f>'All regions'!C1026+"n/&gt;!$CS"</f>
        <v>#VALUE!</v>
      </c>
      <c r="HI41" t="e">
        <f>'All regions'!D1026+"n/&gt;!$CT"</f>
        <v>#VALUE!</v>
      </c>
      <c r="HJ41" t="e">
        <f>'All regions'!E1026+"n/&gt;!$CU"</f>
        <v>#VALUE!</v>
      </c>
      <c r="HK41" t="e">
        <f>'All regions'!F1026+"n/&gt;!$CV"</f>
        <v>#VALUE!</v>
      </c>
      <c r="HL41" t="e">
        <f>'All regions'!G1026+"n/&gt;!$CW"</f>
        <v>#VALUE!</v>
      </c>
      <c r="HM41" t="e">
        <f>'All regions'!H1026+"n/&gt;!$CX"</f>
        <v>#VALUE!</v>
      </c>
      <c r="HN41" t="e">
        <f>'All regions'!I1026+"n/&gt;!$CY"</f>
        <v>#VALUE!</v>
      </c>
      <c r="HO41" t="e">
        <f>'All regions'!J1026+"n/&gt;!$CZ"</f>
        <v>#VALUE!</v>
      </c>
      <c r="HP41" t="e">
        <f>'All regions'!A1027+"n/&gt;!$C["</f>
        <v>#VALUE!</v>
      </c>
      <c r="HQ41" t="e">
        <f>'All regions'!B1027+"n/&gt;!$C\"</f>
        <v>#VALUE!</v>
      </c>
      <c r="HR41" t="e">
        <f>'All regions'!C1027+"n/&gt;!$C]"</f>
        <v>#VALUE!</v>
      </c>
      <c r="HS41" t="e">
        <f>'All regions'!D1027+"n/&gt;!$C^"</f>
        <v>#VALUE!</v>
      </c>
      <c r="HT41" t="e">
        <f>'All regions'!E1027+"n/&gt;!$C_"</f>
        <v>#VALUE!</v>
      </c>
      <c r="HU41" t="e">
        <f>'All regions'!F1027+"n/&gt;!$C`"</f>
        <v>#VALUE!</v>
      </c>
      <c r="HV41" t="e">
        <f>'All regions'!G1027+"n/&gt;!$Ca"</f>
        <v>#VALUE!</v>
      </c>
      <c r="HW41" t="e">
        <f>'All regions'!H1027+"n/&gt;!$Cb"</f>
        <v>#VALUE!</v>
      </c>
      <c r="HX41" t="e">
        <f>'All regions'!I1027+"n/&gt;!$Cc"</f>
        <v>#VALUE!</v>
      </c>
      <c r="HY41" t="e">
        <f>'All regions'!J1027+"n/&gt;!$Cd"</f>
        <v>#VALUE!</v>
      </c>
      <c r="HZ41" t="e">
        <f>'All regions'!A1028+"n/&gt;!$Ce"</f>
        <v>#VALUE!</v>
      </c>
      <c r="IA41" t="e">
        <f>'All regions'!B1028+"n/&gt;!$Cf"</f>
        <v>#VALUE!</v>
      </c>
      <c r="IB41" t="e">
        <f>'All regions'!C1028+"n/&gt;!$Cg"</f>
        <v>#VALUE!</v>
      </c>
      <c r="IC41" t="e">
        <f>'All regions'!D1028+"n/&gt;!$Ch"</f>
        <v>#VALUE!</v>
      </c>
      <c r="ID41" t="e">
        <f>'All regions'!E1028+"n/&gt;!$Ci"</f>
        <v>#VALUE!</v>
      </c>
      <c r="IE41" t="e">
        <f>'All regions'!F1028+"n/&gt;!$Cj"</f>
        <v>#VALUE!</v>
      </c>
      <c r="IF41" t="e">
        <f>'All regions'!G1028+"n/&gt;!$Ck"</f>
        <v>#VALUE!</v>
      </c>
      <c r="IG41" t="e">
        <f>'All regions'!H1028+"n/&gt;!$Cl"</f>
        <v>#VALUE!</v>
      </c>
      <c r="IH41" t="e">
        <f>'All regions'!I1028+"n/&gt;!$Cm"</f>
        <v>#VALUE!</v>
      </c>
      <c r="II41" t="e">
        <f>'All regions'!J1028+"n/&gt;!$Cn"</f>
        <v>#VALUE!</v>
      </c>
      <c r="IJ41" t="e">
        <f>'All regions'!A1029+"n/&gt;!$Co"</f>
        <v>#VALUE!</v>
      </c>
      <c r="IK41" t="e">
        <f>'All regions'!B1029+"n/&gt;!$Cp"</f>
        <v>#VALUE!</v>
      </c>
      <c r="IL41" t="e">
        <f>'All regions'!C1029+"n/&gt;!$Cq"</f>
        <v>#VALUE!</v>
      </c>
      <c r="IM41" t="e">
        <f>'All regions'!D1029+"n/&gt;!$Cr"</f>
        <v>#VALUE!</v>
      </c>
      <c r="IN41" t="e">
        <f>'All regions'!E1029+"n/&gt;!$Cs"</f>
        <v>#VALUE!</v>
      </c>
      <c r="IO41" t="e">
        <f>'All regions'!F1029+"n/&gt;!$Ct"</f>
        <v>#VALUE!</v>
      </c>
      <c r="IP41" t="e">
        <f>'All regions'!G1029+"n/&gt;!$Cu"</f>
        <v>#VALUE!</v>
      </c>
      <c r="IQ41" t="e">
        <f>'All regions'!H1029+"n/&gt;!$Cv"</f>
        <v>#VALUE!</v>
      </c>
      <c r="IR41" t="e">
        <f>'All regions'!I1029+"n/&gt;!$Cw"</f>
        <v>#VALUE!</v>
      </c>
      <c r="IS41" t="e">
        <f>'All regions'!J1029+"n/&gt;!$Cx"</f>
        <v>#VALUE!</v>
      </c>
      <c r="IT41" t="e">
        <f>'All regions'!A1030+"n/&gt;!$Cy"</f>
        <v>#VALUE!</v>
      </c>
      <c r="IU41" t="e">
        <f>'All regions'!B1030+"n/&gt;!$Cz"</f>
        <v>#VALUE!</v>
      </c>
      <c r="IV41" t="e">
        <f>'All regions'!C1030+"n/&gt;!$C{"</f>
        <v>#VALUE!</v>
      </c>
    </row>
    <row r="42" spans="6:256" x14ac:dyDescent="0.35">
      <c r="F42" t="e">
        <f>'All regions'!D1030+"n/&gt;!$C|"</f>
        <v>#VALUE!</v>
      </c>
      <c r="G42" t="e">
        <f>'All regions'!E1030+"n/&gt;!$C}"</f>
        <v>#VALUE!</v>
      </c>
      <c r="H42" t="e">
        <f>'All regions'!F1030+"n/&gt;!$C~"</f>
        <v>#VALUE!</v>
      </c>
      <c r="I42" t="e">
        <f>'All regions'!G1030+"n/&gt;!$D#"</f>
        <v>#VALUE!</v>
      </c>
      <c r="J42" t="e">
        <f>'All regions'!H1030+"n/&gt;!$D$"</f>
        <v>#VALUE!</v>
      </c>
      <c r="K42" t="e">
        <f>'All regions'!I1030+"n/&gt;!$D%"</f>
        <v>#VALUE!</v>
      </c>
      <c r="L42" t="e">
        <f>'All regions'!J1030+"n/&gt;!$D&amp;"</f>
        <v>#VALUE!</v>
      </c>
      <c r="M42" t="e">
        <f>'All regions'!A1031+"n/&gt;!$D'"</f>
        <v>#VALUE!</v>
      </c>
      <c r="N42" t="e">
        <f>'All regions'!B1031+"n/&gt;!$D("</f>
        <v>#VALUE!</v>
      </c>
      <c r="O42" t="e">
        <f>'All regions'!C1031+"n/&gt;!$D)"</f>
        <v>#VALUE!</v>
      </c>
      <c r="P42" t="e">
        <f>'All regions'!D1031+"n/&gt;!$D."</f>
        <v>#VALUE!</v>
      </c>
      <c r="Q42" t="e">
        <f>'All regions'!E1031+"n/&gt;!$D/"</f>
        <v>#VALUE!</v>
      </c>
      <c r="R42" t="e">
        <f>'All regions'!F1031+"n/&gt;!$D0"</f>
        <v>#VALUE!</v>
      </c>
      <c r="S42" t="e">
        <f>'All regions'!G1031+"n/&gt;!$D1"</f>
        <v>#VALUE!</v>
      </c>
      <c r="T42" t="e">
        <f>'All regions'!H1031+"n/&gt;!$D2"</f>
        <v>#VALUE!</v>
      </c>
      <c r="U42" t="e">
        <f>'All regions'!I1031+"n/&gt;!$D3"</f>
        <v>#VALUE!</v>
      </c>
      <c r="V42" t="e">
        <f>'All regions'!J1031+"n/&gt;!$D4"</f>
        <v>#VALUE!</v>
      </c>
      <c r="W42" t="e">
        <f>'All regions'!A1032+"n/&gt;!$D5"</f>
        <v>#VALUE!</v>
      </c>
      <c r="X42" t="e">
        <f>'All regions'!B1032+"n/&gt;!$D6"</f>
        <v>#VALUE!</v>
      </c>
      <c r="Y42" t="e">
        <f>'All regions'!C1032+"n/&gt;!$D7"</f>
        <v>#VALUE!</v>
      </c>
      <c r="Z42" t="e">
        <f>'All regions'!D1032+"n/&gt;!$D8"</f>
        <v>#VALUE!</v>
      </c>
      <c r="AA42" t="e">
        <f>'All regions'!E1032+"n/&gt;!$D9"</f>
        <v>#VALUE!</v>
      </c>
      <c r="AB42" t="e">
        <f>'All regions'!F1032+"n/&gt;!$D:"</f>
        <v>#VALUE!</v>
      </c>
      <c r="AC42" t="e">
        <f>'All regions'!G1032+"n/&gt;!$D;"</f>
        <v>#VALUE!</v>
      </c>
      <c r="AD42" t="e">
        <f>'All regions'!H1032+"n/&gt;!$D&lt;"</f>
        <v>#VALUE!</v>
      </c>
      <c r="AE42" t="e">
        <f>'All regions'!I1032+"n/&gt;!$D="</f>
        <v>#VALUE!</v>
      </c>
      <c r="AF42" t="e">
        <f>'All regions'!J1032+"n/&gt;!$D&gt;"</f>
        <v>#VALUE!</v>
      </c>
      <c r="AG42" t="e">
        <f>'All regions'!A1033+"n/&gt;!$D?"</f>
        <v>#VALUE!</v>
      </c>
      <c r="AH42" t="e">
        <f>'All regions'!B1033+"n/&gt;!$D@"</f>
        <v>#VALUE!</v>
      </c>
      <c r="AI42" t="e">
        <f>'All regions'!C1033+"n/&gt;!$DA"</f>
        <v>#VALUE!</v>
      </c>
      <c r="AJ42" t="e">
        <f>'All regions'!D1033+"n/&gt;!$DB"</f>
        <v>#VALUE!</v>
      </c>
      <c r="AK42" t="e">
        <f>'All regions'!E1033+"n/&gt;!$DC"</f>
        <v>#VALUE!</v>
      </c>
      <c r="AL42" t="e">
        <f>'All regions'!F1033+"n/&gt;!$DD"</f>
        <v>#VALUE!</v>
      </c>
      <c r="AM42" t="e">
        <f>'All regions'!G1033+"n/&gt;!$DE"</f>
        <v>#VALUE!</v>
      </c>
      <c r="AN42" t="e">
        <f>'All regions'!H1033+"n/&gt;!$DF"</f>
        <v>#VALUE!</v>
      </c>
      <c r="AO42" t="e">
        <f>'All regions'!I1033+"n/&gt;!$DG"</f>
        <v>#VALUE!</v>
      </c>
      <c r="AP42" t="e">
        <f>'All regions'!J1033+"n/&gt;!$DH"</f>
        <v>#VALUE!</v>
      </c>
      <c r="AQ42" t="e">
        <f>'All regions'!A1034+"n/&gt;!$DI"</f>
        <v>#VALUE!</v>
      </c>
      <c r="AR42" t="e">
        <f>'All regions'!B1034+"n/&gt;!$DJ"</f>
        <v>#VALUE!</v>
      </c>
      <c r="AS42" t="e">
        <f>'All regions'!C1034+"n/&gt;!$DK"</f>
        <v>#VALUE!</v>
      </c>
      <c r="AT42" t="e">
        <f>'All regions'!D1034+"n/&gt;!$DL"</f>
        <v>#VALUE!</v>
      </c>
      <c r="AU42" t="e">
        <f>'All regions'!E1034+"n/&gt;!$DM"</f>
        <v>#VALUE!</v>
      </c>
      <c r="AV42" t="e">
        <f>'All regions'!F1034+"n/&gt;!$DN"</f>
        <v>#VALUE!</v>
      </c>
      <c r="AW42" t="e">
        <f>'All regions'!G1034+"n/&gt;!$DO"</f>
        <v>#VALUE!</v>
      </c>
      <c r="AX42" t="e">
        <f>'All regions'!H1034+"n/&gt;!$DP"</f>
        <v>#VALUE!</v>
      </c>
      <c r="AY42" t="e">
        <f>'All regions'!I1034+"n/&gt;!$DQ"</f>
        <v>#VALUE!</v>
      </c>
      <c r="AZ42" t="e">
        <f>'All regions'!J1034+"n/&gt;!$DR"</f>
        <v>#VALUE!</v>
      </c>
      <c r="BA42" t="e">
        <f>'All regions'!A1035+"n/&gt;!$DS"</f>
        <v>#VALUE!</v>
      </c>
      <c r="BB42" t="e">
        <f>'All regions'!B1035+"n/&gt;!$DT"</f>
        <v>#VALUE!</v>
      </c>
      <c r="BC42" t="e">
        <f>'All regions'!C1035+"n/&gt;!$DU"</f>
        <v>#VALUE!</v>
      </c>
      <c r="BD42" t="e">
        <f>'All regions'!D1035+"n/&gt;!$DV"</f>
        <v>#VALUE!</v>
      </c>
      <c r="BE42" t="e">
        <f>'All regions'!E1035+"n/&gt;!$DW"</f>
        <v>#VALUE!</v>
      </c>
      <c r="BF42" t="e">
        <f>'All regions'!F1035+"n/&gt;!$DX"</f>
        <v>#VALUE!</v>
      </c>
      <c r="BG42" t="e">
        <f>'All regions'!G1035+"n/&gt;!$DY"</f>
        <v>#VALUE!</v>
      </c>
      <c r="BH42" t="e">
        <f>'All regions'!H1035+"n/&gt;!$DZ"</f>
        <v>#VALUE!</v>
      </c>
      <c r="BI42" t="e">
        <f>'All regions'!I1035+"n/&gt;!$D["</f>
        <v>#VALUE!</v>
      </c>
      <c r="BJ42" t="e">
        <f>'All regions'!J1035+"n/&gt;!$D\"</f>
        <v>#VALUE!</v>
      </c>
      <c r="BK42" t="e">
        <f>'All regions'!A1036+"n/&gt;!$D]"</f>
        <v>#VALUE!</v>
      </c>
      <c r="BL42" t="e">
        <f>'All regions'!B1036+"n/&gt;!$D^"</f>
        <v>#VALUE!</v>
      </c>
      <c r="BM42" t="e">
        <f>'All regions'!C1036+"n/&gt;!$D_"</f>
        <v>#VALUE!</v>
      </c>
      <c r="BN42" t="e">
        <f>'All regions'!D1036+"n/&gt;!$D`"</f>
        <v>#VALUE!</v>
      </c>
      <c r="BO42" t="e">
        <f>'All regions'!E1036+"n/&gt;!$Da"</f>
        <v>#VALUE!</v>
      </c>
      <c r="BP42" t="e">
        <f>'All regions'!F1036+"n/&gt;!$Db"</f>
        <v>#VALUE!</v>
      </c>
      <c r="BQ42" t="e">
        <f>'All regions'!G1036+"n/&gt;!$Dc"</f>
        <v>#VALUE!</v>
      </c>
      <c r="BR42" t="e">
        <f>'All regions'!H1036+"n/&gt;!$Dd"</f>
        <v>#VALUE!</v>
      </c>
      <c r="BS42" t="e">
        <f>'All regions'!I1036+"n/&gt;!$De"</f>
        <v>#VALUE!</v>
      </c>
      <c r="BT42" t="e">
        <f>'All regions'!J1036+"n/&gt;!$Df"</f>
        <v>#VALUE!</v>
      </c>
      <c r="BU42" t="e">
        <f>'All regions'!A1037+"n/&gt;!$Dg"</f>
        <v>#VALUE!</v>
      </c>
      <c r="BV42" t="e">
        <f>'All regions'!B1037+"n/&gt;!$Dh"</f>
        <v>#VALUE!</v>
      </c>
      <c r="BW42" t="e">
        <f>'All regions'!C1037+"n/&gt;!$Di"</f>
        <v>#VALUE!</v>
      </c>
      <c r="BX42" t="e">
        <f>'All regions'!D1037+"n/&gt;!$Dj"</f>
        <v>#VALUE!</v>
      </c>
      <c r="BY42" t="e">
        <f>'All regions'!E1037+"n/&gt;!$Dk"</f>
        <v>#VALUE!</v>
      </c>
      <c r="BZ42" t="e">
        <f>'All regions'!F1037+"n/&gt;!$Dl"</f>
        <v>#VALUE!</v>
      </c>
      <c r="CA42" t="e">
        <f>'All regions'!G1037+"n/&gt;!$Dm"</f>
        <v>#VALUE!</v>
      </c>
      <c r="CB42" t="e">
        <f>'All regions'!H1037+"n/&gt;!$Dn"</f>
        <v>#VALUE!</v>
      </c>
      <c r="CC42" t="e">
        <f>'All regions'!I1037+"n/&gt;!$Do"</f>
        <v>#VALUE!</v>
      </c>
      <c r="CD42" t="e">
        <f>'All regions'!J1037+"n/&gt;!$Dp"</f>
        <v>#VALUE!</v>
      </c>
      <c r="CE42" t="e">
        <f>'All regions'!A1038+"n/&gt;!$Dq"</f>
        <v>#VALUE!</v>
      </c>
      <c r="CF42" t="e">
        <f>'All regions'!B1038+"n/&gt;!$Dr"</f>
        <v>#VALUE!</v>
      </c>
      <c r="CG42" t="e">
        <f>'All regions'!C1038+"n/&gt;!$Ds"</f>
        <v>#VALUE!</v>
      </c>
      <c r="CH42" t="e">
        <f>'All regions'!D1038+"n/&gt;!$Dt"</f>
        <v>#VALUE!</v>
      </c>
      <c r="CI42" t="e">
        <f>'All regions'!E1038+"n/&gt;!$Du"</f>
        <v>#VALUE!</v>
      </c>
      <c r="CJ42" t="e">
        <f>'All regions'!F1038+"n/&gt;!$Dv"</f>
        <v>#VALUE!</v>
      </c>
      <c r="CK42" t="e">
        <f>'All regions'!G1038+"n/&gt;!$Dw"</f>
        <v>#VALUE!</v>
      </c>
      <c r="CL42" t="e">
        <f>'All regions'!H1038+"n/&gt;!$Dx"</f>
        <v>#VALUE!</v>
      </c>
      <c r="CM42" t="e">
        <f>'All regions'!I1038+"n/&gt;!$Dy"</f>
        <v>#VALUE!</v>
      </c>
      <c r="CN42" t="e">
        <f>'All regions'!J1038+"n/&gt;!$Dz"</f>
        <v>#VALUE!</v>
      </c>
      <c r="CO42" t="e">
        <f>'All regions'!A1039+"n/&gt;!$D{"</f>
        <v>#VALUE!</v>
      </c>
      <c r="CP42" t="e">
        <f>'All regions'!B1039+"n/&gt;!$D|"</f>
        <v>#VALUE!</v>
      </c>
      <c r="CQ42" t="e">
        <f>'All regions'!C1039+"n/&gt;!$D}"</f>
        <v>#VALUE!</v>
      </c>
      <c r="CR42" t="e">
        <f>'All regions'!D1039+"n/&gt;!$D~"</f>
        <v>#VALUE!</v>
      </c>
      <c r="CS42" t="e">
        <f>'All regions'!E1039+"n/&gt;!$E#"</f>
        <v>#VALUE!</v>
      </c>
      <c r="CT42" t="e">
        <f>'All regions'!F1039+"n/&gt;!$E$"</f>
        <v>#VALUE!</v>
      </c>
      <c r="CU42" t="e">
        <f>'All regions'!G1039+"n/&gt;!$E%"</f>
        <v>#VALUE!</v>
      </c>
      <c r="CV42" t="e">
        <f>'All regions'!H1039+"n/&gt;!$E&amp;"</f>
        <v>#VALUE!</v>
      </c>
      <c r="CW42" t="e">
        <f>'All regions'!I1039+"n/&gt;!$E'"</f>
        <v>#VALUE!</v>
      </c>
      <c r="CX42" t="e">
        <f>'All regions'!J1039+"n/&gt;!$E("</f>
        <v>#VALUE!</v>
      </c>
      <c r="CY42" t="e">
        <f>'All regions'!A1040+"n/&gt;!$E)"</f>
        <v>#VALUE!</v>
      </c>
      <c r="CZ42" t="e">
        <f>'All regions'!B1040+"n/&gt;!$E."</f>
        <v>#VALUE!</v>
      </c>
      <c r="DA42" t="e">
        <f>'All regions'!C1040+"n/&gt;!$E/"</f>
        <v>#VALUE!</v>
      </c>
      <c r="DB42" t="e">
        <f>'All regions'!D1040+"n/&gt;!$E0"</f>
        <v>#VALUE!</v>
      </c>
      <c r="DC42" t="e">
        <f>'All regions'!E1040+"n/&gt;!$E1"</f>
        <v>#VALUE!</v>
      </c>
      <c r="DD42" t="e">
        <f>'All regions'!F1040+"n/&gt;!$E2"</f>
        <v>#VALUE!</v>
      </c>
      <c r="DE42" t="e">
        <f>'All regions'!G1040+"n/&gt;!$E3"</f>
        <v>#VALUE!</v>
      </c>
      <c r="DF42" t="e">
        <f>'All regions'!H1040+"n/&gt;!$E4"</f>
        <v>#VALUE!</v>
      </c>
      <c r="DG42" t="e">
        <f>'All regions'!I1040+"n/&gt;!$E5"</f>
        <v>#VALUE!</v>
      </c>
      <c r="DH42" t="e">
        <f>'All regions'!J1040+"n/&gt;!$E6"</f>
        <v>#VALUE!</v>
      </c>
      <c r="DI42" t="e">
        <f>'All regions'!A1041+"n/&gt;!$E7"</f>
        <v>#VALUE!</v>
      </c>
      <c r="DJ42" t="e">
        <f>'All regions'!B1041+"n/&gt;!$E8"</f>
        <v>#VALUE!</v>
      </c>
      <c r="DK42" t="e">
        <f>'All regions'!C1041+"n/&gt;!$E9"</f>
        <v>#VALUE!</v>
      </c>
      <c r="DL42" t="e">
        <f>'All regions'!D1041+"n/&gt;!$E:"</f>
        <v>#VALUE!</v>
      </c>
      <c r="DM42" t="e">
        <f>'All regions'!E1041+"n/&gt;!$E;"</f>
        <v>#VALUE!</v>
      </c>
      <c r="DN42" t="e">
        <f>'All regions'!F1041+"n/&gt;!$E&lt;"</f>
        <v>#VALUE!</v>
      </c>
      <c r="DO42" t="e">
        <f>'All regions'!G1041+"n/&gt;!$E="</f>
        <v>#VALUE!</v>
      </c>
      <c r="DP42" t="e">
        <f>'All regions'!H1041+"n/&gt;!$E&gt;"</f>
        <v>#VALUE!</v>
      </c>
      <c r="DQ42" t="e">
        <f>'All regions'!I1041+"n/&gt;!$E?"</f>
        <v>#VALUE!</v>
      </c>
      <c r="DR42" t="e">
        <f>'All regions'!J1041+"n/&gt;!$E@"</f>
        <v>#VALUE!</v>
      </c>
      <c r="DS42" t="e">
        <f>'All regions'!A1042+"n/&gt;!$EA"</f>
        <v>#VALUE!</v>
      </c>
      <c r="DT42" t="e">
        <f>'All regions'!B1042+"n/&gt;!$EB"</f>
        <v>#VALUE!</v>
      </c>
      <c r="DU42" t="e">
        <f>'All regions'!C1042+"n/&gt;!$EC"</f>
        <v>#VALUE!</v>
      </c>
      <c r="DV42" t="e">
        <f>'All regions'!D1042+"n/&gt;!$ED"</f>
        <v>#VALUE!</v>
      </c>
      <c r="DW42" t="e">
        <f>'All regions'!E1042+"n/&gt;!$EE"</f>
        <v>#VALUE!</v>
      </c>
      <c r="DX42" t="e">
        <f>'All regions'!F1042+"n/&gt;!$EF"</f>
        <v>#VALUE!</v>
      </c>
      <c r="DY42" t="e">
        <f>'All regions'!G1042+"n/&gt;!$EG"</f>
        <v>#VALUE!</v>
      </c>
      <c r="DZ42" t="e">
        <f>'All regions'!H1042+"n/&gt;!$EH"</f>
        <v>#VALUE!</v>
      </c>
      <c r="EA42" t="e">
        <f>'All regions'!I1042+"n/&gt;!$EI"</f>
        <v>#VALUE!</v>
      </c>
      <c r="EB42" t="e">
        <f>'All regions'!J1042+"n/&gt;!$EJ"</f>
        <v>#VALUE!</v>
      </c>
      <c r="EC42" t="e">
        <f>'All regions'!A1043+"n/&gt;!$EK"</f>
        <v>#VALUE!</v>
      </c>
      <c r="ED42" t="e">
        <f>'All regions'!B1043+"n/&gt;!$EL"</f>
        <v>#VALUE!</v>
      </c>
      <c r="EE42" t="e">
        <f>'All regions'!C1043+"n/&gt;!$EM"</f>
        <v>#VALUE!</v>
      </c>
      <c r="EF42" t="e">
        <f>'All regions'!D1043+"n/&gt;!$EN"</f>
        <v>#VALUE!</v>
      </c>
      <c r="EG42" t="e">
        <f>'All regions'!E1043+"n/&gt;!$EO"</f>
        <v>#VALUE!</v>
      </c>
      <c r="EH42" t="e">
        <f>'All regions'!F1043+"n/&gt;!$EP"</f>
        <v>#VALUE!</v>
      </c>
      <c r="EI42" t="e">
        <f>'All regions'!G1043+"n/&gt;!$EQ"</f>
        <v>#VALUE!</v>
      </c>
      <c r="EJ42" t="e">
        <f>'All regions'!H1043+"n/&gt;!$ER"</f>
        <v>#VALUE!</v>
      </c>
      <c r="EK42" t="e">
        <f>'All regions'!I1043+"n/&gt;!$ES"</f>
        <v>#VALUE!</v>
      </c>
      <c r="EL42" t="e">
        <f>'All regions'!J1043+"n/&gt;!$ET"</f>
        <v>#VALUE!</v>
      </c>
      <c r="EM42" t="e">
        <f>'All regions'!A1044+"n/&gt;!$EU"</f>
        <v>#VALUE!</v>
      </c>
      <c r="EN42" t="e">
        <f>'All regions'!B1044+"n/&gt;!$EV"</f>
        <v>#VALUE!</v>
      </c>
      <c r="EO42" t="e">
        <f>'All regions'!C1044+"n/&gt;!$EW"</f>
        <v>#VALUE!</v>
      </c>
      <c r="EP42" t="e">
        <f>'All regions'!D1044+"n/&gt;!$EX"</f>
        <v>#VALUE!</v>
      </c>
      <c r="EQ42" t="e">
        <f>'All regions'!E1044+"n/&gt;!$EY"</f>
        <v>#VALUE!</v>
      </c>
      <c r="ER42" t="e">
        <f>'All regions'!F1044+"n/&gt;!$EZ"</f>
        <v>#VALUE!</v>
      </c>
      <c r="ES42" t="e">
        <f>'All regions'!G1044+"n/&gt;!$E["</f>
        <v>#VALUE!</v>
      </c>
      <c r="ET42" t="e">
        <f>'All regions'!H1044+"n/&gt;!$E\"</f>
        <v>#VALUE!</v>
      </c>
      <c r="EU42" t="e">
        <f>'All regions'!I1044+"n/&gt;!$E]"</f>
        <v>#VALUE!</v>
      </c>
      <c r="EV42" t="e">
        <f>'All regions'!J1044+"n/&gt;!$E^"</f>
        <v>#VALUE!</v>
      </c>
      <c r="EW42" t="e">
        <f>'All regions'!A1045+"n/&gt;!$E_"</f>
        <v>#VALUE!</v>
      </c>
      <c r="EX42" t="e">
        <f>'All regions'!B1045+"n/&gt;!$E`"</f>
        <v>#VALUE!</v>
      </c>
      <c r="EY42" t="e">
        <f>'All regions'!C1045+"n/&gt;!$Ea"</f>
        <v>#VALUE!</v>
      </c>
      <c r="EZ42" t="e">
        <f>'All regions'!D1045+"n/&gt;!$Eb"</f>
        <v>#VALUE!</v>
      </c>
      <c r="FA42" t="e">
        <f>'All regions'!E1045+"n/&gt;!$Ec"</f>
        <v>#VALUE!</v>
      </c>
      <c r="FB42" t="e">
        <f>'All regions'!F1045+"n/&gt;!$Ed"</f>
        <v>#VALUE!</v>
      </c>
      <c r="FC42" t="e">
        <f>'All regions'!G1045+"n/&gt;!$Ee"</f>
        <v>#VALUE!</v>
      </c>
      <c r="FD42" t="e">
        <f>'All regions'!H1045+"n/&gt;!$Ef"</f>
        <v>#VALUE!</v>
      </c>
      <c r="FE42" t="e">
        <f>'All regions'!I1045+"n/&gt;!$Eg"</f>
        <v>#VALUE!</v>
      </c>
      <c r="FF42" t="e">
        <f>'All regions'!J1045+"n/&gt;!$Eh"</f>
        <v>#VALUE!</v>
      </c>
      <c r="FG42" t="e">
        <f>'All regions'!A1046+"n/&gt;!$Ei"</f>
        <v>#VALUE!</v>
      </c>
      <c r="FH42" t="e">
        <f>'All regions'!B1046+"n/&gt;!$Ej"</f>
        <v>#VALUE!</v>
      </c>
      <c r="FI42" t="e">
        <f>'All regions'!C1046+"n/&gt;!$Ek"</f>
        <v>#VALUE!</v>
      </c>
      <c r="FJ42" t="e">
        <f>'All regions'!D1046+"n/&gt;!$El"</f>
        <v>#VALUE!</v>
      </c>
      <c r="FK42" t="e">
        <f>'All regions'!E1046+"n/&gt;!$Em"</f>
        <v>#VALUE!</v>
      </c>
      <c r="FL42" t="e">
        <f>'All regions'!F1046+"n/&gt;!$En"</f>
        <v>#VALUE!</v>
      </c>
      <c r="FM42" t="e">
        <f>'All regions'!G1046+"n/&gt;!$Eo"</f>
        <v>#VALUE!</v>
      </c>
      <c r="FN42" t="e">
        <f>'All regions'!H1046+"n/&gt;!$Ep"</f>
        <v>#VALUE!</v>
      </c>
      <c r="FO42" t="e">
        <f>'All regions'!I1046+"n/&gt;!$Eq"</f>
        <v>#VALUE!</v>
      </c>
      <c r="FP42" t="e">
        <f>'All regions'!J1046+"n/&gt;!$Er"</f>
        <v>#VALUE!</v>
      </c>
      <c r="FQ42" t="e">
        <f>'All regions'!A1047+"n/&gt;!$Es"</f>
        <v>#VALUE!</v>
      </c>
      <c r="FR42" t="e">
        <f>'All regions'!B1047+"n/&gt;!$Et"</f>
        <v>#VALUE!</v>
      </c>
      <c r="FS42" t="e">
        <f>'All regions'!C1047+"n/&gt;!$Eu"</f>
        <v>#VALUE!</v>
      </c>
      <c r="FT42" t="e">
        <f>'All regions'!D1047+"n/&gt;!$Ev"</f>
        <v>#VALUE!</v>
      </c>
      <c r="FU42" t="e">
        <f>'All regions'!E1047+"n/&gt;!$Ew"</f>
        <v>#VALUE!</v>
      </c>
      <c r="FV42" t="e">
        <f>'All regions'!F1047+"n/&gt;!$Ex"</f>
        <v>#VALUE!</v>
      </c>
      <c r="FW42" t="e">
        <f>'All regions'!G1047+"n/&gt;!$Ey"</f>
        <v>#VALUE!</v>
      </c>
      <c r="FX42" t="e">
        <f>'All regions'!H1047+"n/&gt;!$Ez"</f>
        <v>#VALUE!</v>
      </c>
      <c r="FY42" t="e">
        <f>'All regions'!I1047+"n/&gt;!$E{"</f>
        <v>#VALUE!</v>
      </c>
      <c r="FZ42" t="e">
        <f>'All regions'!J1047+"n/&gt;!$E|"</f>
        <v>#VALUE!</v>
      </c>
      <c r="GA42" t="e">
        <f>'All regions'!A1048+"n/&gt;!$E}"</f>
        <v>#VALUE!</v>
      </c>
      <c r="GB42" t="e">
        <f>'All regions'!B1048+"n/&gt;!$E~"</f>
        <v>#VALUE!</v>
      </c>
      <c r="GC42" t="e">
        <f>'All regions'!C1048+"n/&gt;!$F#"</f>
        <v>#VALUE!</v>
      </c>
      <c r="GD42" t="e">
        <f>'All regions'!D1048+"n/&gt;!$F$"</f>
        <v>#VALUE!</v>
      </c>
      <c r="GE42" t="e">
        <f>'All regions'!E1048+"n/&gt;!$F%"</f>
        <v>#VALUE!</v>
      </c>
      <c r="GF42" t="e">
        <f>'All regions'!F1048+"n/&gt;!$F&amp;"</f>
        <v>#VALUE!</v>
      </c>
      <c r="GG42" t="e">
        <f>'All regions'!G1048+"n/&gt;!$F'"</f>
        <v>#VALUE!</v>
      </c>
      <c r="GH42" t="e">
        <f>'All regions'!H1048+"n/&gt;!$F("</f>
        <v>#VALUE!</v>
      </c>
      <c r="GI42" t="e">
        <f>'All regions'!I1048+"n/&gt;!$F)"</f>
        <v>#VALUE!</v>
      </c>
      <c r="GJ42" t="e">
        <f>'All regions'!J1048+"n/&gt;!$F."</f>
        <v>#VALUE!</v>
      </c>
      <c r="GK42" t="e">
        <f>'All regions'!A1049+"n/&gt;!$F/"</f>
        <v>#VALUE!</v>
      </c>
      <c r="GL42" t="e">
        <f>'All regions'!B1049+"n/&gt;!$F0"</f>
        <v>#VALUE!</v>
      </c>
      <c r="GM42" t="e">
        <f>'All regions'!C1049+"n/&gt;!$F1"</f>
        <v>#VALUE!</v>
      </c>
      <c r="GN42" t="e">
        <f>'All regions'!D1049+"n/&gt;!$F2"</f>
        <v>#VALUE!</v>
      </c>
      <c r="GO42" t="e">
        <f>'All regions'!E1049+"n/&gt;!$F3"</f>
        <v>#VALUE!</v>
      </c>
      <c r="GP42" t="e">
        <f>'All regions'!F1049+"n/&gt;!$F4"</f>
        <v>#VALUE!</v>
      </c>
      <c r="GQ42" t="e">
        <f>'All regions'!G1049+"n/&gt;!$F5"</f>
        <v>#VALUE!</v>
      </c>
      <c r="GR42" t="e">
        <f>'All regions'!H1049+"n/&gt;!$F6"</f>
        <v>#VALUE!</v>
      </c>
      <c r="GS42" t="e">
        <f>'All regions'!I1049+"n/&gt;!$F7"</f>
        <v>#VALUE!</v>
      </c>
      <c r="GT42" t="e">
        <f>'All regions'!J1049+"n/&gt;!$F8"</f>
        <v>#VALUE!</v>
      </c>
      <c r="GU42" t="e">
        <f>'All regions'!A1050+"n/&gt;!$F9"</f>
        <v>#VALUE!</v>
      </c>
      <c r="GV42" t="e">
        <f>'All regions'!B1050+"n/&gt;!$F:"</f>
        <v>#VALUE!</v>
      </c>
      <c r="GW42" t="e">
        <f>'All regions'!C1050+"n/&gt;!$F;"</f>
        <v>#VALUE!</v>
      </c>
      <c r="GX42" t="e">
        <f>'All regions'!D1050+"n/&gt;!$F&lt;"</f>
        <v>#VALUE!</v>
      </c>
      <c r="GY42" t="e">
        <f>'All regions'!E1050+"n/&gt;!$F="</f>
        <v>#VALUE!</v>
      </c>
      <c r="GZ42" t="e">
        <f>'All regions'!F1050+"n/&gt;!$F&gt;"</f>
        <v>#VALUE!</v>
      </c>
      <c r="HA42" t="e">
        <f>'All regions'!G1050+"n/&gt;!$F?"</f>
        <v>#VALUE!</v>
      </c>
      <c r="HB42" t="e">
        <f>'All regions'!H1050+"n/&gt;!$F@"</f>
        <v>#VALUE!</v>
      </c>
      <c r="HC42" t="e">
        <f>'All regions'!I1050+"n/&gt;!$FA"</f>
        <v>#VALUE!</v>
      </c>
      <c r="HD42" t="e">
        <f>'All regions'!J1050+"n/&gt;!$FB"</f>
        <v>#VALUE!</v>
      </c>
      <c r="HE42" t="e">
        <f>'All regions'!A1051+"n/&gt;!$FC"</f>
        <v>#VALUE!</v>
      </c>
      <c r="HF42" t="e">
        <f>'All regions'!B1051+"n/&gt;!$FD"</f>
        <v>#VALUE!</v>
      </c>
      <c r="HG42" t="e">
        <f>'All regions'!C1051+"n/&gt;!$FE"</f>
        <v>#VALUE!</v>
      </c>
      <c r="HH42" t="e">
        <f>'All regions'!D1051+"n/&gt;!$FF"</f>
        <v>#VALUE!</v>
      </c>
      <c r="HI42" t="e">
        <f>'All regions'!E1051+"n/&gt;!$FG"</f>
        <v>#VALUE!</v>
      </c>
      <c r="HJ42" t="e">
        <f>'All regions'!F1051+"n/&gt;!$FH"</f>
        <v>#VALUE!</v>
      </c>
      <c r="HK42" t="e">
        <f>'All regions'!G1051+"n/&gt;!$FI"</f>
        <v>#VALUE!</v>
      </c>
      <c r="HL42" t="e">
        <f>'All regions'!H1051+"n/&gt;!$FJ"</f>
        <v>#VALUE!</v>
      </c>
      <c r="HM42" t="e">
        <f>'All regions'!I1051+"n/&gt;!$FK"</f>
        <v>#VALUE!</v>
      </c>
      <c r="HN42" t="e">
        <f>'All regions'!J1051+"n/&gt;!$FL"</f>
        <v>#VALUE!</v>
      </c>
      <c r="HO42" t="e">
        <f>'All regions'!A1052+"n/&gt;!$FM"</f>
        <v>#VALUE!</v>
      </c>
      <c r="HP42" t="e">
        <f>'All regions'!B1052+"n/&gt;!$FN"</f>
        <v>#VALUE!</v>
      </c>
      <c r="HQ42" t="e">
        <f>'All regions'!C1052+"n/&gt;!$FO"</f>
        <v>#VALUE!</v>
      </c>
      <c r="HR42" t="e">
        <f>'All regions'!D1052+"n/&gt;!$FP"</f>
        <v>#VALUE!</v>
      </c>
      <c r="HS42" t="e">
        <f>'All regions'!E1052+"n/&gt;!$FQ"</f>
        <v>#VALUE!</v>
      </c>
      <c r="HT42" t="e">
        <f>'All regions'!F1052+"n/&gt;!$FR"</f>
        <v>#VALUE!</v>
      </c>
      <c r="HU42" t="e">
        <f>'All regions'!G1052+"n/&gt;!$FS"</f>
        <v>#VALUE!</v>
      </c>
      <c r="HV42" t="e">
        <f>'All regions'!H1052+"n/&gt;!$FT"</f>
        <v>#VALUE!</v>
      </c>
      <c r="HW42" t="e">
        <f>'All regions'!I1052+"n/&gt;!$FU"</f>
        <v>#VALUE!</v>
      </c>
      <c r="HX42" t="e">
        <f>'All regions'!J1052+"n/&gt;!$FV"</f>
        <v>#VALUE!</v>
      </c>
      <c r="HY42" t="e">
        <f>'All regions'!A1053+"n/&gt;!$FW"</f>
        <v>#VALUE!</v>
      </c>
      <c r="HZ42" t="e">
        <f>'All regions'!B1053+"n/&gt;!$FX"</f>
        <v>#VALUE!</v>
      </c>
      <c r="IA42" t="e">
        <f>'All regions'!C1053+"n/&gt;!$FY"</f>
        <v>#VALUE!</v>
      </c>
      <c r="IB42" t="e">
        <f>'All regions'!D1053+"n/&gt;!$FZ"</f>
        <v>#VALUE!</v>
      </c>
      <c r="IC42" t="e">
        <f>'All regions'!E1053+"n/&gt;!$F["</f>
        <v>#VALUE!</v>
      </c>
      <c r="ID42" t="e">
        <f>'All regions'!F1053+"n/&gt;!$F\"</f>
        <v>#VALUE!</v>
      </c>
      <c r="IE42" t="e">
        <f>'All regions'!G1053+"n/&gt;!$F]"</f>
        <v>#VALUE!</v>
      </c>
      <c r="IF42" t="e">
        <f>'All regions'!H1053+"n/&gt;!$F^"</f>
        <v>#VALUE!</v>
      </c>
      <c r="IG42" t="e">
        <f>'All regions'!I1053+"n/&gt;!$F_"</f>
        <v>#VALUE!</v>
      </c>
      <c r="IH42" t="e">
        <f>'All regions'!J1053+"n/&gt;!$F`"</f>
        <v>#VALUE!</v>
      </c>
      <c r="II42" t="e">
        <f>'All regions'!A1054+"n/&gt;!$Fa"</f>
        <v>#VALUE!</v>
      </c>
      <c r="IJ42" t="e">
        <f>'All regions'!B1054+"n/&gt;!$Fb"</f>
        <v>#VALUE!</v>
      </c>
      <c r="IK42" t="e">
        <f>'All regions'!C1054+"n/&gt;!$Fc"</f>
        <v>#VALUE!</v>
      </c>
      <c r="IL42" t="e">
        <f>'All regions'!D1054+"n/&gt;!$Fd"</f>
        <v>#VALUE!</v>
      </c>
      <c r="IM42" t="e">
        <f>'All regions'!E1054+"n/&gt;!$Fe"</f>
        <v>#VALUE!</v>
      </c>
      <c r="IN42" t="e">
        <f>'All regions'!F1054+"n/&gt;!$Ff"</f>
        <v>#VALUE!</v>
      </c>
      <c r="IO42" t="e">
        <f>'All regions'!G1054+"n/&gt;!$Fg"</f>
        <v>#VALUE!</v>
      </c>
      <c r="IP42" t="e">
        <f>'All regions'!H1054+"n/&gt;!$Fh"</f>
        <v>#VALUE!</v>
      </c>
      <c r="IQ42" t="e">
        <f>'All regions'!I1054+"n/&gt;!$Fi"</f>
        <v>#VALUE!</v>
      </c>
      <c r="IR42" t="e">
        <f>'All regions'!J1054+"n/&gt;!$Fj"</f>
        <v>#VALUE!</v>
      </c>
      <c r="IS42" t="e">
        <f>'All regions'!A1055+"n/&gt;!$Fk"</f>
        <v>#VALUE!</v>
      </c>
      <c r="IT42" t="e">
        <f>'All regions'!B1055+"n/&gt;!$Fl"</f>
        <v>#VALUE!</v>
      </c>
      <c r="IU42" t="e">
        <f>'All regions'!C1055+"n/&gt;!$Fm"</f>
        <v>#VALUE!</v>
      </c>
      <c r="IV42" t="e">
        <f>'All regions'!D1055+"n/&gt;!$Fn"</f>
        <v>#VALUE!</v>
      </c>
    </row>
    <row r="43" spans="6:256" x14ac:dyDescent="0.35">
      <c r="F43" t="e">
        <f>'All regions'!E1055+"n/&gt;!$Fo"</f>
        <v>#VALUE!</v>
      </c>
      <c r="G43" t="e">
        <f>'All regions'!F1055+"n/&gt;!$Fp"</f>
        <v>#VALUE!</v>
      </c>
      <c r="H43" t="e">
        <f>'All regions'!G1055+"n/&gt;!$Fq"</f>
        <v>#VALUE!</v>
      </c>
      <c r="I43" t="e">
        <f>'All regions'!H1055+"n/&gt;!$Fr"</f>
        <v>#VALUE!</v>
      </c>
      <c r="J43" t="e">
        <f>'All regions'!I1055+"n/&gt;!$Fs"</f>
        <v>#VALUE!</v>
      </c>
      <c r="K43" t="e">
        <f>'All regions'!J1055+"n/&gt;!$Ft"</f>
        <v>#VALUE!</v>
      </c>
      <c r="L43" t="e">
        <f>'All regions'!A1056+"n/&gt;!$Fu"</f>
        <v>#VALUE!</v>
      </c>
      <c r="M43" t="e">
        <f>'All regions'!B1056+"n/&gt;!$Fv"</f>
        <v>#VALUE!</v>
      </c>
      <c r="N43" t="e">
        <f>'All regions'!C1056+"n/&gt;!$Fw"</f>
        <v>#VALUE!</v>
      </c>
      <c r="O43" t="e">
        <f>'All regions'!D1056+"n/&gt;!$Fx"</f>
        <v>#VALUE!</v>
      </c>
      <c r="P43" t="e">
        <f>'All regions'!E1056+"n/&gt;!$Fy"</f>
        <v>#VALUE!</v>
      </c>
      <c r="Q43" t="e">
        <f>'All regions'!F1056+"n/&gt;!$Fz"</f>
        <v>#VALUE!</v>
      </c>
      <c r="R43" t="e">
        <f>'All regions'!G1056+"n/&gt;!$F{"</f>
        <v>#VALUE!</v>
      </c>
      <c r="S43" t="e">
        <f>'All regions'!H1056+"n/&gt;!$F|"</f>
        <v>#VALUE!</v>
      </c>
      <c r="T43" t="e">
        <f>'All regions'!I1056+"n/&gt;!$F}"</f>
        <v>#VALUE!</v>
      </c>
      <c r="U43" t="e">
        <f>'All regions'!J1056+"n/&gt;!$F~"</f>
        <v>#VALUE!</v>
      </c>
      <c r="V43" t="e">
        <f>'All regions'!A1057+"n/&gt;!$G#"</f>
        <v>#VALUE!</v>
      </c>
      <c r="W43" t="e">
        <f>'All regions'!B1057+"n/&gt;!$G$"</f>
        <v>#VALUE!</v>
      </c>
      <c r="X43" t="e">
        <f>'All regions'!C1057+"n/&gt;!$G%"</f>
        <v>#VALUE!</v>
      </c>
      <c r="Y43" t="e">
        <f>'All regions'!D1057+"n/&gt;!$G&amp;"</f>
        <v>#VALUE!</v>
      </c>
      <c r="Z43" t="e">
        <f>'All regions'!E1057+"n/&gt;!$G'"</f>
        <v>#VALUE!</v>
      </c>
      <c r="AA43" t="e">
        <f>'All regions'!F1057+"n/&gt;!$G("</f>
        <v>#VALUE!</v>
      </c>
      <c r="AB43" t="e">
        <f>'All regions'!G1057+"n/&gt;!$G)"</f>
        <v>#VALUE!</v>
      </c>
      <c r="AC43" t="e">
        <f>'All regions'!H1057+"n/&gt;!$G."</f>
        <v>#VALUE!</v>
      </c>
      <c r="AD43" t="e">
        <f>'All regions'!I1057+"n/&gt;!$G/"</f>
        <v>#VALUE!</v>
      </c>
      <c r="AE43" t="e">
        <f>'All regions'!J1057+"n/&gt;!$G0"</f>
        <v>#VALUE!</v>
      </c>
      <c r="AF43" t="e">
        <f>'All regions'!A1058+"n/&gt;!$G1"</f>
        <v>#VALUE!</v>
      </c>
      <c r="AG43" t="e">
        <f>'All regions'!B1058+"n/&gt;!$G2"</f>
        <v>#VALUE!</v>
      </c>
      <c r="AH43" t="e">
        <f>'All regions'!C1058+"n/&gt;!$G3"</f>
        <v>#VALUE!</v>
      </c>
      <c r="AI43" t="e">
        <f>'All regions'!D1058+"n/&gt;!$G4"</f>
        <v>#VALUE!</v>
      </c>
      <c r="AJ43" t="e">
        <f>'All regions'!E1058+"n/&gt;!$G5"</f>
        <v>#VALUE!</v>
      </c>
      <c r="AK43" t="e">
        <f>'All regions'!F1058+"n/&gt;!$G6"</f>
        <v>#VALUE!</v>
      </c>
      <c r="AL43" t="e">
        <f>'All regions'!G1058+"n/&gt;!$G7"</f>
        <v>#VALUE!</v>
      </c>
      <c r="AM43" t="e">
        <f>'All regions'!H1058+"n/&gt;!$G8"</f>
        <v>#VALUE!</v>
      </c>
      <c r="AN43" t="e">
        <f>'All regions'!I1058+"n/&gt;!$G9"</f>
        <v>#VALUE!</v>
      </c>
      <c r="AO43" t="e">
        <f>'All regions'!J1058+"n/&gt;!$G:"</f>
        <v>#VALUE!</v>
      </c>
      <c r="AP43" t="e">
        <f>'All regions'!A1059+"n/&gt;!$G;"</f>
        <v>#VALUE!</v>
      </c>
      <c r="AQ43" t="e">
        <f>'All regions'!B1059+"n/&gt;!$G&lt;"</f>
        <v>#VALUE!</v>
      </c>
      <c r="AR43" t="e">
        <f>'All regions'!C1059+"n/&gt;!$G="</f>
        <v>#VALUE!</v>
      </c>
      <c r="AS43" t="e">
        <f>'All regions'!D1059+"n/&gt;!$G&gt;"</f>
        <v>#VALUE!</v>
      </c>
      <c r="AT43" t="e">
        <f>'All regions'!E1059+"n/&gt;!$G?"</f>
        <v>#VALUE!</v>
      </c>
      <c r="AU43" t="e">
        <f>'All regions'!F1059+"n/&gt;!$G@"</f>
        <v>#VALUE!</v>
      </c>
      <c r="AV43" t="e">
        <f>'All regions'!G1059+"n/&gt;!$GA"</f>
        <v>#VALUE!</v>
      </c>
      <c r="AW43" t="e">
        <f>'All regions'!H1059+"n/&gt;!$GB"</f>
        <v>#VALUE!</v>
      </c>
      <c r="AX43" t="e">
        <f>'All regions'!I1059+"n/&gt;!$GC"</f>
        <v>#VALUE!</v>
      </c>
      <c r="AY43" t="e">
        <f>'All regions'!J1059+"n/&gt;!$GD"</f>
        <v>#VALUE!</v>
      </c>
      <c r="AZ43" t="e">
        <f>'All regions'!A1060+"n/&gt;!$GE"</f>
        <v>#VALUE!</v>
      </c>
      <c r="BA43" t="e">
        <f>'All regions'!B1060+"n/&gt;!$GF"</f>
        <v>#VALUE!</v>
      </c>
      <c r="BB43" t="e">
        <f>'All regions'!C1060+"n/&gt;!$GG"</f>
        <v>#VALUE!</v>
      </c>
      <c r="BC43" t="e">
        <f>'All regions'!D1060+"n/&gt;!$GH"</f>
        <v>#VALUE!</v>
      </c>
      <c r="BD43" t="e">
        <f>'All regions'!E1060+"n/&gt;!$GI"</f>
        <v>#VALUE!</v>
      </c>
      <c r="BE43" t="e">
        <f>'All regions'!F1060+"n/&gt;!$GJ"</f>
        <v>#VALUE!</v>
      </c>
      <c r="BF43" t="e">
        <f>'All regions'!G1060+"n/&gt;!$GK"</f>
        <v>#VALUE!</v>
      </c>
      <c r="BG43" t="e">
        <f>'All regions'!H1060+"n/&gt;!$GL"</f>
        <v>#VALUE!</v>
      </c>
      <c r="BH43" t="e">
        <f>'All regions'!I1060+"n/&gt;!$GM"</f>
        <v>#VALUE!</v>
      </c>
      <c r="BI43" t="e">
        <f>'All regions'!J1060+"n/&gt;!$GN"</f>
        <v>#VALUE!</v>
      </c>
      <c r="BJ43" t="e">
        <f>'All regions'!A1061+"n/&gt;!$GO"</f>
        <v>#VALUE!</v>
      </c>
      <c r="BK43" t="e">
        <f>'All regions'!B1061+"n/&gt;!$GP"</f>
        <v>#VALUE!</v>
      </c>
      <c r="BL43" t="e">
        <f>'All regions'!C1061+"n/&gt;!$GQ"</f>
        <v>#VALUE!</v>
      </c>
      <c r="BM43" t="e">
        <f>'All regions'!D1061+"n/&gt;!$GR"</f>
        <v>#VALUE!</v>
      </c>
      <c r="BN43" t="e">
        <f>'All regions'!E1061+"n/&gt;!$GS"</f>
        <v>#VALUE!</v>
      </c>
      <c r="BO43" t="e">
        <f>'All regions'!F1061+"n/&gt;!$GT"</f>
        <v>#VALUE!</v>
      </c>
      <c r="BP43" t="e">
        <f>'All regions'!G1061+"n/&gt;!$GU"</f>
        <v>#VALUE!</v>
      </c>
      <c r="BQ43" t="e">
        <f>'All regions'!H1061+"n/&gt;!$GV"</f>
        <v>#VALUE!</v>
      </c>
      <c r="BR43" t="e">
        <f>'All regions'!I1061+"n/&gt;!$GW"</f>
        <v>#VALUE!</v>
      </c>
      <c r="BS43" t="e">
        <f>'All regions'!J1061+"n/&gt;!$GX"</f>
        <v>#VALUE!</v>
      </c>
      <c r="BT43" t="e">
        <f>'All regions'!A1062+"n/&gt;!$GY"</f>
        <v>#VALUE!</v>
      </c>
      <c r="BU43" t="e">
        <f>'All regions'!B1062+"n/&gt;!$GZ"</f>
        <v>#VALUE!</v>
      </c>
      <c r="BV43" t="e">
        <f>'All regions'!C1062+"n/&gt;!$G["</f>
        <v>#VALUE!</v>
      </c>
      <c r="BW43" t="e">
        <f>'All regions'!D1062+"n/&gt;!$G\"</f>
        <v>#VALUE!</v>
      </c>
      <c r="BX43" t="e">
        <f>'All regions'!E1062+"n/&gt;!$G]"</f>
        <v>#VALUE!</v>
      </c>
      <c r="BY43" t="e">
        <f>'All regions'!F1062+"n/&gt;!$G^"</f>
        <v>#VALUE!</v>
      </c>
      <c r="BZ43" t="e">
        <f>'All regions'!G1062+"n/&gt;!$G_"</f>
        <v>#VALUE!</v>
      </c>
      <c r="CA43" t="e">
        <f>'All regions'!H1062+"n/&gt;!$G`"</f>
        <v>#VALUE!</v>
      </c>
      <c r="CB43" t="e">
        <f>'All regions'!I1062+"n/&gt;!$Ga"</f>
        <v>#VALUE!</v>
      </c>
      <c r="CC43" t="e">
        <f>'All regions'!J1062+"n/&gt;!$Gb"</f>
        <v>#VALUE!</v>
      </c>
      <c r="CD43" t="e">
        <f>'All regions'!A1063+"n/&gt;!$Gc"</f>
        <v>#VALUE!</v>
      </c>
      <c r="CE43" t="e">
        <f>'All regions'!B1063+"n/&gt;!$Gd"</f>
        <v>#VALUE!</v>
      </c>
      <c r="CF43" t="e">
        <f>'All regions'!C1063+"n/&gt;!$Ge"</f>
        <v>#VALUE!</v>
      </c>
      <c r="CG43" t="e">
        <f>'All regions'!D1063+"n/&gt;!$Gf"</f>
        <v>#VALUE!</v>
      </c>
      <c r="CH43" t="e">
        <f>'All regions'!E1063+"n/&gt;!$Gg"</f>
        <v>#VALUE!</v>
      </c>
      <c r="CI43" t="e">
        <f>'All regions'!F1063+"n/&gt;!$Gh"</f>
        <v>#VALUE!</v>
      </c>
      <c r="CJ43" t="e">
        <f>'All regions'!G1063+"n/&gt;!$Gi"</f>
        <v>#VALUE!</v>
      </c>
      <c r="CK43" t="e">
        <f>'All regions'!H1063+"n/&gt;!$Gj"</f>
        <v>#VALUE!</v>
      </c>
      <c r="CL43" t="e">
        <f>'All regions'!I1063+"n/&gt;!$Gk"</f>
        <v>#VALUE!</v>
      </c>
      <c r="CM43" t="e">
        <f>'All regions'!J1063+"n/&gt;!$Gl"</f>
        <v>#VALUE!</v>
      </c>
      <c r="CN43" t="e">
        <f>'All regions'!A1064+"n/&gt;!$Gm"</f>
        <v>#VALUE!</v>
      </c>
      <c r="CO43" t="e">
        <f>'All regions'!B1064+"n/&gt;!$Gn"</f>
        <v>#VALUE!</v>
      </c>
      <c r="CP43" t="e">
        <f>'All regions'!C1064+"n/&gt;!$Go"</f>
        <v>#VALUE!</v>
      </c>
      <c r="CQ43" t="e">
        <f>'All regions'!D1064+"n/&gt;!$Gp"</f>
        <v>#VALUE!</v>
      </c>
      <c r="CR43" t="e">
        <f>'All regions'!E1064+"n/&gt;!$Gq"</f>
        <v>#VALUE!</v>
      </c>
      <c r="CS43" t="e">
        <f>'All regions'!F1064+"n/&gt;!$Gr"</f>
        <v>#VALUE!</v>
      </c>
      <c r="CT43" t="e">
        <f>'All regions'!G1064+"n/&gt;!$Gs"</f>
        <v>#VALUE!</v>
      </c>
      <c r="CU43" t="e">
        <f>'All regions'!H1064+"n/&gt;!$Gt"</f>
        <v>#VALUE!</v>
      </c>
      <c r="CV43" t="e">
        <f>'All regions'!I1064+"n/&gt;!$Gu"</f>
        <v>#VALUE!</v>
      </c>
      <c r="CW43" t="e">
        <f>'All regions'!J1064+"n/&gt;!$Gv"</f>
        <v>#VALUE!</v>
      </c>
      <c r="CX43" t="e">
        <f>'All regions'!A1065+"n/&gt;!$Gw"</f>
        <v>#VALUE!</v>
      </c>
      <c r="CY43" t="e">
        <f>'All regions'!B1065+"n/&gt;!$Gx"</f>
        <v>#VALUE!</v>
      </c>
      <c r="CZ43" t="e">
        <f>'All regions'!C1065+"n/&gt;!$Gy"</f>
        <v>#VALUE!</v>
      </c>
      <c r="DA43" t="e">
        <f>'All regions'!D1065+"n/&gt;!$Gz"</f>
        <v>#VALUE!</v>
      </c>
      <c r="DB43" t="e">
        <f>'All regions'!E1065+"n/&gt;!$G{"</f>
        <v>#VALUE!</v>
      </c>
      <c r="DC43" t="e">
        <f>'All regions'!F1065+"n/&gt;!$G|"</f>
        <v>#VALUE!</v>
      </c>
      <c r="DD43" t="e">
        <f>'All regions'!G1065+"n/&gt;!$G}"</f>
        <v>#VALUE!</v>
      </c>
      <c r="DE43" t="e">
        <f>'All regions'!H1065+"n/&gt;!$G~"</f>
        <v>#VALUE!</v>
      </c>
      <c r="DF43" t="e">
        <f>'All regions'!I1065+"n/&gt;!$H#"</f>
        <v>#VALUE!</v>
      </c>
      <c r="DG43" t="e">
        <f>'All regions'!J1065+"n/&gt;!$H$"</f>
        <v>#VALUE!</v>
      </c>
      <c r="DH43" t="e">
        <f>'All regions'!A1066+"n/&gt;!$H%"</f>
        <v>#VALUE!</v>
      </c>
      <c r="DI43" t="e">
        <f>'All regions'!B1066+"n/&gt;!$H&amp;"</f>
        <v>#VALUE!</v>
      </c>
      <c r="DJ43" t="e">
        <f>'All regions'!C1066+"n/&gt;!$H'"</f>
        <v>#VALUE!</v>
      </c>
      <c r="DK43" t="e">
        <f>'All regions'!D1066+"n/&gt;!$H("</f>
        <v>#VALUE!</v>
      </c>
      <c r="DL43" t="e">
        <f>'All regions'!E1066+"n/&gt;!$H)"</f>
        <v>#VALUE!</v>
      </c>
      <c r="DM43" t="e">
        <f>'All regions'!F1066+"n/&gt;!$H."</f>
        <v>#VALUE!</v>
      </c>
      <c r="DN43" t="e">
        <f>'All regions'!G1066+"n/&gt;!$H/"</f>
        <v>#VALUE!</v>
      </c>
      <c r="DO43" t="e">
        <f>'All regions'!H1066+"n/&gt;!$H0"</f>
        <v>#VALUE!</v>
      </c>
      <c r="DP43" t="e">
        <f>'All regions'!I1066+"n/&gt;!$H1"</f>
        <v>#VALUE!</v>
      </c>
      <c r="DQ43" t="e">
        <f>'All regions'!J1066+"n/&gt;!$H2"</f>
        <v>#VALUE!</v>
      </c>
      <c r="DR43" t="e">
        <f>'All regions'!A1067+"n/&gt;!$H3"</f>
        <v>#VALUE!</v>
      </c>
      <c r="DS43" t="e">
        <f>'All regions'!B1067+"n/&gt;!$H4"</f>
        <v>#VALUE!</v>
      </c>
      <c r="DT43" t="e">
        <f>'All regions'!C1067+"n/&gt;!$H5"</f>
        <v>#VALUE!</v>
      </c>
      <c r="DU43" t="e">
        <f>'All regions'!D1067+"n/&gt;!$H6"</f>
        <v>#VALUE!</v>
      </c>
      <c r="DV43" t="e">
        <f>'All regions'!E1067+"n/&gt;!$H7"</f>
        <v>#VALUE!</v>
      </c>
      <c r="DW43" t="e">
        <f>'All regions'!F1067+"n/&gt;!$H8"</f>
        <v>#VALUE!</v>
      </c>
      <c r="DX43" t="e">
        <f>'All regions'!G1067+"n/&gt;!$H9"</f>
        <v>#VALUE!</v>
      </c>
      <c r="DY43" t="e">
        <f>'All regions'!H1067+"n/&gt;!$H:"</f>
        <v>#VALUE!</v>
      </c>
      <c r="DZ43" t="e">
        <f>'All regions'!I1067+"n/&gt;!$H;"</f>
        <v>#VALUE!</v>
      </c>
      <c r="EA43" t="e">
        <f>'All regions'!J1067+"n/&gt;!$H&lt;"</f>
        <v>#VALUE!</v>
      </c>
      <c r="EB43" t="e">
        <f>'All regions'!A1068+"n/&gt;!$H="</f>
        <v>#VALUE!</v>
      </c>
      <c r="EC43" t="e">
        <f>'All regions'!B1068+"n/&gt;!$H&gt;"</f>
        <v>#VALUE!</v>
      </c>
      <c r="ED43" t="e">
        <f>'All regions'!C1068+"n/&gt;!$H?"</f>
        <v>#VALUE!</v>
      </c>
      <c r="EE43" t="e">
        <f>'All regions'!D1068+"n/&gt;!$H@"</f>
        <v>#VALUE!</v>
      </c>
      <c r="EF43" t="e">
        <f>'All regions'!E1068+"n/&gt;!$HA"</f>
        <v>#VALUE!</v>
      </c>
      <c r="EG43" t="e">
        <f>'All regions'!F1068+"n/&gt;!$HB"</f>
        <v>#VALUE!</v>
      </c>
      <c r="EH43" t="e">
        <f>'All regions'!G1068+"n/&gt;!$HC"</f>
        <v>#VALUE!</v>
      </c>
      <c r="EI43" t="e">
        <f>'All regions'!H1068+"n/&gt;!$HD"</f>
        <v>#VALUE!</v>
      </c>
      <c r="EJ43" t="e">
        <f>'All regions'!I1068+"n/&gt;!$HE"</f>
        <v>#VALUE!</v>
      </c>
      <c r="EK43" t="e">
        <f>'All regions'!J1068+"n/&gt;!$HF"</f>
        <v>#VALUE!</v>
      </c>
      <c r="EL43" t="e">
        <f>'All regions'!A1069+"n/&gt;!$HG"</f>
        <v>#VALUE!</v>
      </c>
      <c r="EM43" t="e">
        <f>'All regions'!B1069+"n/&gt;!$HH"</f>
        <v>#VALUE!</v>
      </c>
      <c r="EN43" t="e">
        <f>'All regions'!C1069+"n/&gt;!$HI"</f>
        <v>#VALUE!</v>
      </c>
      <c r="EO43" t="e">
        <f>'All regions'!D1069+"n/&gt;!$HJ"</f>
        <v>#VALUE!</v>
      </c>
      <c r="EP43" t="e">
        <f>'All regions'!E1069+"n/&gt;!$HK"</f>
        <v>#VALUE!</v>
      </c>
      <c r="EQ43" t="e">
        <f>'All regions'!F1069+"n/&gt;!$HL"</f>
        <v>#VALUE!</v>
      </c>
      <c r="ER43" t="e">
        <f>'All regions'!G1069+"n/&gt;!$HM"</f>
        <v>#VALUE!</v>
      </c>
      <c r="ES43" t="e">
        <f>'All regions'!H1069+"n/&gt;!$HN"</f>
        <v>#VALUE!</v>
      </c>
      <c r="ET43" t="e">
        <f>'All regions'!I1069+"n/&gt;!$HO"</f>
        <v>#VALUE!</v>
      </c>
      <c r="EU43" t="e">
        <f>'All regions'!J1069+"n/&gt;!$HP"</f>
        <v>#VALUE!</v>
      </c>
      <c r="EV43" t="e">
        <f>'All regions'!A1070+"n/&gt;!$HQ"</f>
        <v>#VALUE!</v>
      </c>
      <c r="EW43" t="e">
        <f>'All regions'!B1070+"n/&gt;!$HR"</f>
        <v>#VALUE!</v>
      </c>
      <c r="EX43" t="e">
        <f>'All regions'!C1070+"n/&gt;!$HS"</f>
        <v>#VALUE!</v>
      </c>
      <c r="EY43" t="e">
        <f>'All regions'!D1070+"n/&gt;!$HT"</f>
        <v>#VALUE!</v>
      </c>
      <c r="EZ43" t="e">
        <f>'All regions'!E1070+"n/&gt;!$HU"</f>
        <v>#VALUE!</v>
      </c>
      <c r="FA43" t="e">
        <f>'All regions'!F1070+"n/&gt;!$HV"</f>
        <v>#VALUE!</v>
      </c>
      <c r="FB43" t="e">
        <f>'All regions'!G1070+"n/&gt;!$HW"</f>
        <v>#VALUE!</v>
      </c>
      <c r="FC43" t="e">
        <f>'All regions'!H1070+"n/&gt;!$HX"</f>
        <v>#VALUE!</v>
      </c>
      <c r="FD43" t="e">
        <f>'All regions'!I1070+"n/&gt;!$HY"</f>
        <v>#VALUE!</v>
      </c>
      <c r="FE43" t="e">
        <f>'All regions'!J1070+"n/&gt;!$HZ"</f>
        <v>#VALUE!</v>
      </c>
      <c r="FF43" t="e">
        <f>'All regions'!A1071+"n/&gt;!$H["</f>
        <v>#VALUE!</v>
      </c>
      <c r="FG43" t="e">
        <f>'All regions'!B1071+"n/&gt;!$H\"</f>
        <v>#VALUE!</v>
      </c>
      <c r="FH43" t="e">
        <f>'All regions'!C1071+"n/&gt;!$H]"</f>
        <v>#VALUE!</v>
      </c>
      <c r="FI43" t="e">
        <f>'All regions'!D1071+"n/&gt;!$H^"</f>
        <v>#VALUE!</v>
      </c>
      <c r="FJ43" t="e">
        <f>'All regions'!E1071+"n/&gt;!$H_"</f>
        <v>#VALUE!</v>
      </c>
      <c r="FK43" t="e">
        <f>'All regions'!F1071+"n/&gt;!$H`"</f>
        <v>#VALUE!</v>
      </c>
      <c r="FL43" t="e">
        <f>'All regions'!G1071+"n/&gt;!$Ha"</f>
        <v>#VALUE!</v>
      </c>
      <c r="FM43" t="e">
        <f>'All regions'!H1071+"n/&gt;!$Hb"</f>
        <v>#VALUE!</v>
      </c>
      <c r="FN43" t="e">
        <f>'All regions'!I1071+"n/&gt;!$Hc"</f>
        <v>#VALUE!</v>
      </c>
      <c r="FO43" t="e">
        <f>'All regions'!J1071+"n/&gt;!$Hd"</f>
        <v>#VALUE!</v>
      </c>
      <c r="FP43" t="e">
        <f>'All regions'!A1072+"n/&gt;!$He"</f>
        <v>#VALUE!</v>
      </c>
      <c r="FQ43" t="e">
        <f>'All regions'!B1072+"n/&gt;!$Hf"</f>
        <v>#VALUE!</v>
      </c>
      <c r="FR43" t="e">
        <f>'All regions'!C1072+"n/&gt;!$Hg"</f>
        <v>#VALUE!</v>
      </c>
      <c r="FS43" t="e">
        <f>'All regions'!D1072+"n/&gt;!$Hh"</f>
        <v>#VALUE!</v>
      </c>
      <c r="FT43" t="e">
        <f>'All regions'!E1072+"n/&gt;!$Hi"</f>
        <v>#VALUE!</v>
      </c>
      <c r="FU43" t="e">
        <f>'All regions'!F1072+"n/&gt;!$Hj"</f>
        <v>#VALUE!</v>
      </c>
      <c r="FV43" t="e">
        <f>'All regions'!G1072+"n/&gt;!$Hk"</f>
        <v>#VALUE!</v>
      </c>
      <c r="FW43" t="e">
        <f>'All regions'!H1072+"n/&gt;!$Hl"</f>
        <v>#VALUE!</v>
      </c>
      <c r="FX43" t="e">
        <f>'All regions'!I1072+"n/&gt;!$Hm"</f>
        <v>#VALUE!</v>
      </c>
      <c r="FY43" t="e">
        <f>'All regions'!J1072+"n/&gt;!$Hn"</f>
        <v>#VALUE!</v>
      </c>
      <c r="FZ43" t="e">
        <f>'All regions'!A1073+"n/&gt;!$Ho"</f>
        <v>#VALUE!</v>
      </c>
      <c r="GA43" t="e">
        <f>'All regions'!B1073+"n/&gt;!$Hp"</f>
        <v>#VALUE!</v>
      </c>
      <c r="GB43" t="e">
        <f>'All regions'!C1073+"n/&gt;!$Hq"</f>
        <v>#VALUE!</v>
      </c>
      <c r="GC43" t="e">
        <f>'All regions'!D1073+"n/&gt;!$Hr"</f>
        <v>#VALUE!</v>
      </c>
      <c r="GD43" t="e">
        <f>'All regions'!E1073+"n/&gt;!$Hs"</f>
        <v>#VALUE!</v>
      </c>
      <c r="GE43" t="e">
        <f>'All regions'!F1073+"n/&gt;!$Ht"</f>
        <v>#VALUE!</v>
      </c>
      <c r="GF43" t="e">
        <f>'All regions'!G1073+"n/&gt;!$Hu"</f>
        <v>#VALUE!</v>
      </c>
      <c r="GG43" t="e">
        <f>'All regions'!H1073+"n/&gt;!$Hv"</f>
        <v>#VALUE!</v>
      </c>
      <c r="GH43" t="e">
        <f>'All regions'!I1073+"n/&gt;!$Hw"</f>
        <v>#VALUE!</v>
      </c>
      <c r="GI43" t="e">
        <f>'All regions'!J1073+"n/&gt;!$Hx"</f>
        <v>#VALUE!</v>
      </c>
      <c r="GJ43" t="e">
        <f>'All regions'!A1074+"n/&gt;!$Hy"</f>
        <v>#VALUE!</v>
      </c>
      <c r="GK43" t="e">
        <f>'All regions'!B1074+"n/&gt;!$Hz"</f>
        <v>#VALUE!</v>
      </c>
      <c r="GL43" t="e">
        <f>'All regions'!C1074+"n/&gt;!$H{"</f>
        <v>#VALUE!</v>
      </c>
      <c r="GM43" t="e">
        <f>'All regions'!D1074+"n/&gt;!$H|"</f>
        <v>#VALUE!</v>
      </c>
      <c r="GN43" t="e">
        <f>'All regions'!E1074+"n/&gt;!$H}"</f>
        <v>#VALUE!</v>
      </c>
      <c r="GO43" t="e">
        <f>'All regions'!F1074+"n/&gt;!$H~"</f>
        <v>#VALUE!</v>
      </c>
      <c r="GP43" t="e">
        <f>'All regions'!G1074+"n/&gt;!$I#"</f>
        <v>#VALUE!</v>
      </c>
      <c r="GQ43" t="e">
        <f>'All regions'!H1074+"n/&gt;!$I$"</f>
        <v>#VALUE!</v>
      </c>
      <c r="GR43" t="e">
        <f>'All regions'!I1074+"n/&gt;!$I%"</f>
        <v>#VALUE!</v>
      </c>
      <c r="GS43" t="e">
        <f>'All regions'!J1074+"n/&gt;!$I&amp;"</f>
        <v>#VALUE!</v>
      </c>
      <c r="GT43" t="e">
        <f>'All regions'!A1075+"n/&gt;!$I'"</f>
        <v>#VALUE!</v>
      </c>
      <c r="GU43" t="e">
        <f>'All regions'!B1075+"n/&gt;!$I("</f>
        <v>#VALUE!</v>
      </c>
      <c r="GV43" t="e">
        <f>'All regions'!C1075+"n/&gt;!$I)"</f>
        <v>#VALUE!</v>
      </c>
      <c r="GW43" t="e">
        <f>'All regions'!D1075+"n/&gt;!$I."</f>
        <v>#VALUE!</v>
      </c>
      <c r="GX43" t="e">
        <f>'All regions'!E1075+"n/&gt;!$I/"</f>
        <v>#VALUE!</v>
      </c>
      <c r="GY43" t="e">
        <f>'All regions'!F1075+"n/&gt;!$I0"</f>
        <v>#VALUE!</v>
      </c>
      <c r="GZ43" t="e">
        <f>'All regions'!G1075+"n/&gt;!$I1"</f>
        <v>#VALUE!</v>
      </c>
      <c r="HA43" t="e">
        <f>'All regions'!H1075+"n/&gt;!$I2"</f>
        <v>#VALUE!</v>
      </c>
      <c r="HB43" t="e">
        <f>'All regions'!I1075+"n/&gt;!$I3"</f>
        <v>#VALUE!</v>
      </c>
      <c r="HC43" t="e">
        <f>'All regions'!J1075+"n/&gt;!$I4"</f>
        <v>#VALUE!</v>
      </c>
      <c r="HD43" t="e">
        <f>'All regions'!A1076+"n/&gt;!$I5"</f>
        <v>#VALUE!</v>
      </c>
      <c r="HE43" t="e">
        <f>'All regions'!B1076+"n/&gt;!$I6"</f>
        <v>#VALUE!</v>
      </c>
      <c r="HF43" t="e">
        <f>'All regions'!C1076+"n/&gt;!$I7"</f>
        <v>#VALUE!</v>
      </c>
      <c r="HG43" t="e">
        <f>'All regions'!D1076+"n/&gt;!$I8"</f>
        <v>#VALUE!</v>
      </c>
      <c r="HH43" t="e">
        <f>'All regions'!E1076+"n/&gt;!$I9"</f>
        <v>#VALUE!</v>
      </c>
      <c r="HI43" t="e">
        <f>'All regions'!F1076+"n/&gt;!$I:"</f>
        <v>#VALUE!</v>
      </c>
      <c r="HJ43" t="e">
        <f>'All regions'!G1076+"n/&gt;!$I;"</f>
        <v>#VALUE!</v>
      </c>
      <c r="HK43" t="e">
        <f>'All regions'!H1076+"n/&gt;!$I&lt;"</f>
        <v>#VALUE!</v>
      </c>
      <c r="HL43" t="e">
        <f>'All regions'!I1076+"n/&gt;!$I="</f>
        <v>#VALUE!</v>
      </c>
      <c r="HM43" t="e">
        <f>'All regions'!J1076+"n/&gt;!$I&gt;"</f>
        <v>#VALUE!</v>
      </c>
      <c r="HN43" t="e">
        <f>'All regions'!A1077+"n/&gt;!$I?"</f>
        <v>#VALUE!</v>
      </c>
      <c r="HO43" t="e">
        <f>'All regions'!B1077+"n/&gt;!$I@"</f>
        <v>#VALUE!</v>
      </c>
      <c r="HP43" t="e">
        <f>'All regions'!C1077+"n/&gt;!$IA"</f>
        <v>#VALUE!</v>
      </c>
      <c r="HQ43" t="e">
        <f>'All regions'!D1077+"n/&gt;!$IB"</f>
        <v>#VALUE!</v>
      </c>
      <c r="HR43" t="e">
        <f>'All regions'!E1077+"n/&gt;!$IC"</f>
        <v>#VALUE!</v>
      </c>
      <c r="HS43" t="e">
        <f>'All regions'!F1077+"n/&gt;!$ID"</f>
        <v>#VALUE!</v>
      </c>
      <c r="HT43" t="e">
        <f>'All regions'!G1077+"n/&gt;!$IE"</f>
        <v>#VALUE!</v>
      </c>
      <c r="HU43" t="e">
        <f>'All regions'!H1077+"n/&gt;!$IF"</f>
        <v>#VALUE!</v>
      </c>
      <c r="HV43" t="e">
        <f>'All regions'!I1077+"n/&gt;!$IG"</f>
        <v>#VALUE!</v>
      </c>
      <c r="HW43" t="e">
        <f>'All regions'!J1077+"n/&gt;!$IH"</f>
        <v>#VALUE!</v>
      </c>
      <c r="HX43" t="e">
        <f>'All regions'!A1078+"n/&gt;!$II"</f>
        <v>#VALUE!</v>
      </c>
      <c r="HY43" t="e">
        <f>'All regions'!B1078+"n/&gt;!$IJ"</f>
        <v>#VALUE!</v>
      </c>
      <c r="HZ43" t="e">
        <f>'All regions'!C1078+"n/&gt;!$IK"</f>
        <v>#VALUE!</v>
      </c>
      <c r="IA43" t="e">
        <f>'All regions'!D1078+"n/&gt;!$IL"</f>
        <v>#VALUE!</v>
      </c>
      <c r="IB43" t="e">
        <f>'All regions'!E1078+"n/&gt;!$IM"</f>
        <v>#VALUE!</v>
      </c>
      <c r="IC43" t="e">
        <f>'All regions'!F1078+"n/&gt;!$IN"</f>
        <v>#VALUE!</v>
      </c>
      <c r="ID43" t="e">
        <f>'All regions'!G1078+"n/&gt;!$IO"</f>
        <v>#VALUE!</v>
      </c>
      <c r="IE43" t="e">
        <f>'All regions'!H1078+"n/&gt;!$IP"</f>
        <v>#VALUE!</v>
      </c>
      <c r="IF43" t="e">
        <f>'All regions'!I1078+"n/&gt;!$IQ"</f>
        <v>#VALUE!</v>
      </c>
      <c r="IG43" t="e">
        <f>'All regions'!J1078+"n/&gt;!$IR"</f>
        <v>#VALUE!</v>
      </c>
      <c r="IH43" t="e">
        <f>'All regions'!A1079+"n/&gt;!$IS"</f>
        <v>#VALUE!</v>
      </c>
      <c r="II43" t="e">
        <f>'All regions'!B1079+"n/&gt;!$IT"</f>
        <v>#VALUE!</v>
      </c>
      <c r="IJ43" t="e">
        <f>'All regions'!C1079+"n/&gt;!$IU"</f>
        <v>#VALUE!</v>
      </c>
      <c r="IK43" t="e">
        <f>'All regions'!D1079+"n/&gt;!$IV"</f>
        <v>#VALUE!</v>
      </c>
      <c r="IL43" t="e">
        <f>'All regions'!E1079+"n/&gt;!$IW"</f>
        <v>#VALUE!</v>
      </c>
      <c r="IM43" t="e">
        <f>'All regions'!F1079+"n/&gt;!$IX"</f>
        <v>#VALUE!</v>
      </c>
      <c r="IN43" t="e">
        <f>'All regions'!G1079+"n/&gt;!$IY"</f>
        <v>#VALUE!</v>
      </c>
      <c r="IO43" t="e">
        <f>'All regions'!H1079+"n/&gt;!$IZ"</f>
        <v>#VALUE!</v>
      </c>
      <c r="IP43" t="e">
        <f>'All regions'!I1079+"n/&gt;!$I["</f>
        <v>#VALUE!</v>
      </c>
      <c r="IQ43" t="e">
        <f>'All regions'!J1079+"n/&gt;!$I\"</f>
        <v>#VALUE!</v>
      </c>
      <c r="IR43" t="e">
        <f>'All regions'!A1080+"n/&gt;!$I]"</f>
        <v>#VALUE!</v>
      </c>
      <c r="IS43" t="e">
        <f>'All regions'!B1080+"n/&gt;!$I^"</f>
        <v>#VALUE!</v>
      </c>
      <c r="IT43" t="e">
        <f>'All regions'!C1080+"n/&gt;!$I_"</f>
        <v>#VALUE!</v>
      </c>
      <c r="IU43" t="e">
        <f>'All regions'!D1080+"n/&gt;!$I`"</f>
        <v>#VALUE!</v>
      </c>
      <c r="IV43" t="e">
        <f>'All regions'!E1080+"n/&gt;!$Ia"</f>
        <v>#VALUE!</v>
      </c>
    </row>
    <row r="44" spans="6:256" x14ac:dyDescent="0.35">
      <c r="F44" t="e">
        <f>'All regions'!F1080+"n/&gt;!$Ib"</f>
        <v>#VALUE!</v>
      </c>
      <c r="G44" t="e">
        <f>'All regions'!G1080+"n/&gt;!$Ic"</f>
        <v>#VALUE!</v>
      </c>
      <c r="H44" t="e">
        <f>'All regions'!H1080+"n/&gt;!$Id"</f>
        <v>#VALUE!</v>
      </c>
      <c r="I44" t="e">
        <f>'All regions'!I1080+"n/&gt;!$Ie"</f>
        <v>#VALUE!</v>
      </c>
      <c r="J44" t="e">
        <f>'All regions'!J1080+"n/&gt;!$If"</f>
        <v>#VALUE!</v>
      </c>
      <c r="K44" t="e">
        <f>'All regions'!A1081+"n/&gt;!$Ig"</f>
        <v>#VALUE!</v>
      </c>
      <c r="L44" t="e">
        <f>'All regions'!B1081+"n/&gt;!$Ih"</f>
        <v>#VALUE!</v>
      </c>
      <c r="M44" t="e">
        <f>'All regions'!C1081+"n/&gt;!$Ii"</f>
        <v>#VALUE!</v>
      </c>
      <c r="N44" t="e">
        <f>'All regions'!D1081+"n/&gt;!$Ij"</f>
        <v>#VALUE!</v>
      </c>
      <c r="O44" t="e">
        <f>'All regions'!E1081+"n/&gt;!$Ik"</f>
        <v>#VALUE!</v>
      </c>
      <c r="P44" t="e">
        <f>'All regions'!F1081+"n/&gt;!$Il"</f>
        <v>#VALUE!</v>
      </c>
      <c r="Q44" t="e">
        <f>'All regions'!G1081+"n/&gt;!$Im"</f>
        <v>#VALUE!</v>
      </c>
      <c r="R44" t="e">
        <f>'All regions'!H1081+"n/&gt;!$In"</f>
        <v>#VALUE!</v>
      </c>
      <c r="S44" t="e">
        <f>'All regions'!I1081+"n/&gt;!$Io"</f>
        <v>#VALUE!</v>
      </c>
      <c r="T44" t="e">
        <f>'All regions'!J1081+"n/&gt;!$Ip"</f>
        <v>#VALUE!</v>
      </c>
      <c r="U44" t="e">
        <f>'All regions'!A1082+"n/&gt;!$Iq"</f>
        <v>#VALUE!</v>
      </c>
      <c r="V44" t="e">
        <f>'All regions'!B1082+"n/&gt;!$Ir"</f>
        <v>#VALUE!</v>
      </c>
      <c r="W44" t="e">
        <f>'All regions'!C1082+"n/&gt;!$Is"</f>
        <v>#VALUE!</v>
      </c>
      <c r="X44" t="e">
        <f>'All regions'!D1082+"n/&gt;!$It"</f>
        <v>#VALUE!</v>
      </c>
      <c r="Y44" t="e">
        <f>'All regions'!E1082+"n/&gt;!$Iu"</f>
        <v>#VALUE!</v>
      </c>
      <c r="Z44" t="e">
        <f>'All regions'!F1082+"n/&gt;!$Iv"</f>
        <v>#VALUE!</v>
      </c>
      <c r="AA44" t="e">
        <f>'All regions'!G1082+"n/&gt;!$Iw"</f>
        <v>#VALUE!</v>
      </c>
      <c r="AB44" t="e">
        <f>'All regions'!H1082+"n/&gt;!$Ix"</f>
        <v>#VALUE!</v>
      </c>
      <c r="AC44" t="e">
        <f>'All regions'!I1082+"n/&gt;!$Iy"</f>
        <v>#VALUE!</v>
      </c>
      <c r="AD44" t="e">
        <f>'All regions'!J1082+"n/&gt;!$Iz"</f>
        <v>#VALUE!</v>
      </c>
      <c r="AE44" t="e">
        <f>'All regions'!A1083+"n/&gt;!$I{"</f>
        <v>#VALUE!</v>
      </c>
      <c r="AF44" t="e">
        <f>'All regions'!B1083+"n/&gt;!$I|"</f>
        <v>#VALUE!</v>
      </c>
      <c r="AG44" t="e">
        <f>'All regions'!C1083+"n/&gt;!$I}"</f>
        <v>#VALUE!</v>
      </c>
      <c r="AH44" t="e">
        <f>'All regions'!D1083+"n/&gt;!$I~"</f>
        <v>#VALUE!</v>
      </c>
      <c r="AI44" t="e">
        <f>'All regions'!E1083+"n/&gt;!$J#"</f>
        <v>#VALUE!</v>
      </c>
      <c r="AJ44" t="e">
        <f>'All regions'!F1083+"n/&gt;!$J$"</f>
        <v>#VALUE!</v>
      </c>
      <c r="AK44" t="e">
        <f>'All regions'!G1083+"n/&gt;!$J%"</f>
        <v>#VALUE!</v>
      </c>
      <c r="AL44" t="e">
        <f>'All regions'!H1083+"n/&gt;!$J&amp;"</f>
        <v>#VALUE!</v>
      </c>
      <c r="AM44" t="e">
        <f>'All regions'!I1083+"n/&gt;!$J'"</f>
        <v>#VALUE!</v>
      </c>
      <c r="AN44" t="e">
        <f>'All regions'!J1083+"n/&gt;!$J("</f>
        <v>#VALUE!</v>
      </c>
      <c r="AO44" t="e">
        <f>'All regions'!A1084+"n/&gt;!$J)"</f>
        <v>#VALUE!</v>
      </c>
      <c r="AP44" t="e">
        <f>'All regions'!B1084+"n/&gt;!$J."</f>
        <v>#VALUE!</v>
      </c>
      <c r="AQ44" t="e">
        <f>'All regions'!C1084+"n/&gt;!$J/"</f>
        <v>#VALUE!</v>
      </c>
      <c r="AR44" t="e">
        <f>'All regions'!D1084+"n/&gt;!$J0"</f>
        <v>#VALUE!</v>
      </c>
      <c r="AS44" t="e">
        <f>'All regions'!E1084+"n/&gt;!$J1"</f>
        <v>#VALUE!</v>
      </c>
      <c r="AT44" t="e">
        <f>'All regions'!F1084+"n/&gt;!$J2"</f>
        <v>#VALUE!</v>
      </c>
      <c r="AU44" t="e">
        <f>'All regions'!G1084+"n/&gt;!$J3"</f>
        <v>#VALUE!</v>
      </c>
      <c r="AV44" t="e">
        <f>'All regions'!H1084+"n/&gt;!$J4"</f>
        <v>#VALUE!</v>
      </c>
      <c r="AW44" t="e">
        <f>'All regions'!I1084+"n/&gt;!$J5"</f>
        <v>#VALUE!</v>
      </c>
      <c r="AX44" t="e">
        <f>'All regions'!J1084+"n/&gt;!$J6"</f>
        <v>#VALUE!</v>
      </c>
      <c r="AY44" t="e">
        <f>'All regions'!A1085+"n/&gt;!$J7"</f>
        <v>#VALUE!</v>
      </c>
      <c r="AZ44" t="e">
        <f>'All regions'!B1085+"n/&gt;!$J8"</f>
        <v>#VALUE!</v>
      </c>
      <c r="BA44" t="e">
        <f>'All regions'!C1085+"n/&gt;!$J9"</f>
        <v>#VALUE!</v>
      </c>
      <c r="BB44" t="e">
        <f>'All regions'!D1085+"n/&gt;!$J:"</f>
        <v>#VALUE!</v>
      </c>
      <c r="BC44" t="e">
        <f>'All regions'!E1085+"n/&gt;!$J;"</f>
        <v>#VALUE!</v>
      </c>
      <c r="BD44" t="e">
        <f>'All regions'!F1085+"n/&gt;!$J&lt;"</f>
        <v>#VALUE!</v>
      </c>
      <c r="BE44" t="e">
        <f>'All regions'!G1085+"n/&gt;!$J="</f>
        <v>#VALUE!</v>
      </c>
      <c r="BF44" t="e">
        <f>'All regions'!H1085+"n/&gt;!$J&gt;"</f>
        <v>#VALUE!</v>
      </c>
      <c r="BG44" t="e">
        <f>'All regions'!I1085+"n/&gt;!$J?"</f>
        <v>#VALUE!</v>
      </c>
      <c r="BH44" t="e">
        <f>'All regions'!J1085+"n/&gt;!$J@"</f>
        <v>#VALUE!</v>
      </c>
      <c r="BI44" t="e">
        <f>'All regions'!A1086+"n/&gt;!$JA"</f>
        <v>#VALUE!</v>
      </c>
      <c r="BJ44" t="e">
        <f>'All regions'!B1086+"n/&gt;!$JB"</f>
        <v>#VALUE!</v>
      </c>
      <c r="BK44" t="e">
        <f>'All regions'!C1086+"n/&gt;!$JC"</f>
        <v>#VALUE!</v>
      </c>
      <c r="BL44" t="e">
        <f>'All regions'!D1086+"n/&gt;!$JD"</f>
        <v>#VALUE!</v>
      </c>
      <c r="BM44" t="e">
        <f>'All regions'!E1086+"n/&gt;!$JE"</f>
        <v>#VALUE!</v>
      </c>
      <c r="BN44" t="e">
        <f>'All regions'!F1086+"n/&gt;!$JF"</f>
        <v>#VALUE!</v>
      </c>
      <c r="BO44" t="e">
        <f>'All regions'!G1086+"n/&gt;!$JG"</f>
        <v>#VALUE!</v>
      </c>
      <c r="BP44" t="e">
        <f>'All regions'!H1086+"n/&gt;!$JH"</f>
        <v>#VALUE!</v>
      </c>
      <c r="BQ44" t="e">
        <f>'All regions'!I1086+"n/&gt;!$JI"</f>
        <v>#VALUE!</v>
      </c>
      <c r="BR44" t="e">
        <f>'All regions'!J1086+"n/&gt;!$JJ"</f>
        <v>#VALUE!</v>
      </c>
      <c r="BS44" t="e">
        <f>'All regions'!A1087+"n/&gt;!$JK"</f>
        <v>#VALUE!</v>
      </c>
      <c r="BT44" t="e">
        <f>'All regions'!B1087+"n/&gt;!$JL"</f>
        <v>#VALUE!</v>
      </c>
      <c r="BU44" t="e">
        <f>'All regions'!C1087+"n/&gt;!$JM"</f>
        <v>#VALUE!</v>
      </c>
      <c r="BV44" t="e">
        <f>'All regions'!D1087+"n/&gt;!$JN"</f>
        <v>#VALUE!</v>
      </c>
      <c r="BW44" t="e">
        <f>'All regions'!E1087+"n/&gt;!$JO"</f>
        <v>#VALUE!</v>
      </c>
      <c r="BX44" t="e">
        <f>'All regions'!F1087+"n/&gt;!$JP"</f>
        <v>#VALUE!</v>
      </c>
      <c r="BY44" t="e">
        <f>'All regions'!G1087+"n/&gt;!$JQ"</f>
        <v>#VALUE!</v>
      </c>
      <c r="BZ44" t="e">
        <f>'All regions'!H1087+"n/&gt;!$JR"</f>
        <v>#VALUE!</v>
      </c>
      <c r="CA44" t="e">
        <f>'All regions'!I1087+"n/&gt;!$JS"</f>
        <v>#VALUE!</v>
      </c>
      <c r="CB44" t="e">
        <f>'All regions'!J1087+"n/&gt;!$JT"</f>
        <v>#VALUE!</v>
      </c>
      <c r="CC44" t="e">
        <f>'All regions'!A1088+"n/&gt;!$JU"</f>
        <v>#VALUE!</v>
      </c>
      <c r="CD44" t="e">
        <f>'All regions'!B1088+"n/&gt;!$JV"</f>
        <v>#VALUE!</v>
      </c>
      <c r="CE44" t="e">
        <f>'All regions'!C1088+"n/&gt;!$JW"</f>
        <v>#VALUE!</v>
      </c>
      <c r="CF44" t="e">
        <f>'All regions'!D1088+"n/&gt;!$JX"</f>
        <v>#VALUE!</v>
      </c>
      <c r="CG44" t="e">
        <f>'All regions'!E1088+"n/&gt;!$JY"</f>
        <v>#VALUE!</v>
      </c>
      <c r="CH44" t="e">
        <f>'All regions'!F1088+"n/&gt;!$JZ"</f>
        <v>#VALUE!</v>
      </c>
      <c r="CI44" t="e">
        <f>'All regions'!G1088+"n/&gt;!$J["</f>
        <v>#VALUE!</v>
      </c>
      <c r="CJ44" t="e">
        <f>'All regions'!H1088+"n/&gt;!$J\"</f>
        <v>#VALUE!</v>
      </c>
      <c r="CK44" t="e">
        <f>'All regions'!I1088+"n/&gt;!$J]"</f>
        <v>#VALUE!</v>
      </c>
      <c r="CL44" t="e">
        <f>'All regions'!J1088+"n/&gt;!$J^"</f>
        <v>#VALUE!</v>
      </c>
      <c r="CM44" t="e">
        <f>'All regions'!A1089+"n/&gt;!$J_"</f>
        <v>#VALUE!</v>
      </c>
      <c r="CN44" t="e">
        <f>'All regions'!B1089+"n/&gt;!$J`"</f>
        <v>#VALUE!</v>
      </c>
      <c r="CO44" t="e">
        <f>'All regions'!C1089+"n/&gt;!$Ja"</f>
        <v>#VALUE!</v>
      </c>
      <c r="CP44" t="e">
        <f>'All regions'!D1089+"n/&gt;!$Jb"</f>
        <v>#VALUE!</v>
      </c>
      <c r="CQ44" t="e">
        <f>'All regions'!E1089+"n/&gt;!$Jc"</f>
        <v>#VALUE!</v>
      </c>
      <c r="CR44" t="e">
        <f>'All regions'!F1089+"n/&gt;!$Jd"</f>
        <v>#VALUE!</v>
      </c>
      <c r="CS44" t="e">
        <f>'All regions'!G1089+"n/&gt;!$Je"</f>
        <v>#VALUE!</v>
      </c>
      <c r="CT44" t="e">
        <f>'All regions'!H1089+"n/&gt;!$Jf"</f>
        <v>#VALUE!</v>
      </c>
      <c r="CU44" t="e">
        <f>'All regions'!I1089+"n/&gt;!$Jg"</f>
        <v>#VALUE!</v>
      </c>
      <c r="CV44" t="e">
        <f>'All regions'!J1089+"n/&gt;!$Jh"</f>
        <v>#VALUE!</v>
      </c>
      <c r="CW44" t="e">
        <f>'All regions'!A1090+"n/&gt;!$Ji"</f>
        <v>#VALUE!</v>
      </c>
      <c r="CX44" t="e">
        <f>'All regions'!B1090+"n/&gt;!$Jj"</f>
        <v>#VALUE!</v>
      </c>
      <c r="CY44" t="e">
        <f>'All regions'!C1090+"n/&gt;!$Jk"</f>
        <v>#VALUE!</v>
      </c>
      <c r="CZ44" t="e">
        <f>'All regions'!D1090+"n/&gt;!$Jl"</f>
        <v>#VALUE!</v>
      </c>
      <c r="DA44" t="e">
        <f>'All regions'!E1090+"n/&gt;!$Jm"</f>
        <v>#VALUE!</v>
      </c>
      <c r="DB44" t="e">
        <f>'All regions'!F1090+"n/&gt;!$Jn"</f>
        <v>#VALUE!</v>
      </c>
      <c r="DC44" t="e">
        <f>'All regions'!G1090+"n/&gt;!$Jo"</f>
        <v>#VALUE!</v>
      </c>
      <c r="DD44" t="e">
        <f>'All regions'!H1090+"n/&gt;!$Jp"</f>
        <v>#VALUE!</v>
      </c>
      <c r="DE44" t="e">
        <f>'All regions'!I1090+"n/&gt;!$Jq"</f>
        <v>#VALUE!</v>
      </c>
      <c r="DF44" t="e">
        <f>'All regions'!J1090+"n/&gt;!$Jr"</f>
        <v>#VALUE!</v>
      </c>
      <c r="DG44" t="e">
        <f>'All regions'!A1091+"n/&gt;!$Js"</f>
        <v>#VALUE!</v>
      </c>
      <c r="DH44" t="e">
        <f>'All regions'!B1091+"n/&gt;!$Jt"</f>
        <v>#VALUE!</v>
      </c>
      <c r="DI44" t="e">
        <f>'All regions'!C1091+"n/&gt;!$Ju"</f>
        <v>#VALUE!</v>
      </c>
      <c r="DJ44" t="e">
        <f>'All regions'!D1091+"n/&gt;!$Jv"</f>
        <v>#VALUE!</v>
      </c>
      <c r="DK44" t="e">
        <f>'All regions'!E1091+"n/&gt;!$Jw"</f>
        <v>#VALUE!</v>
      </c>
      <c r="DL44" t="e">
        <f>'All regions'!F1091+"n/&gt;!$Jx"</f>
        <v>#VALUE!</v>
      </c>
      <c r="DM44" t="e">
        <f>'All regions'!G1091+"n/&gt;!$Jy"</f>
        <v>#VALUE!</v>
      </c>
      <c r="DN44" t="e">
        <f>'All regions'!H1091+"n/&gt;!$Jz"</f>
        <v>#VALUE!</v>
      </c>
      <c r="DO44" t="e">
        <f>'All regions'!I1091+"n/&gt;!$J{"</f>
        <v>#VALUE!</v>
      </c>
      <c r="DP44" t="e">
        <f>'All regions'!J1091+"n/&gt;!$J|"</f>
        <v>#VALUE!</v>
      </c>
      <c r="DQ44" t="e">
        <f>'All regions'!A1092+"n/&gt;!$J}"</f>
        <v>#VALUE!</v>
      </c>
      <c r="DR44" t="e">
        <f>'All regions'!B1092+"n/&gt;!$J~"</f>
        <v>#VALUE!</v>
      </c>
      <c r="DS44" t="e">
        <f>'All regions'!C1092+"n/&gt;!$K#"</f>
        <v>#VALUE!</v>
      </c>
      <c r="DT44" t="e">
        <f>'All regions'!D1092+"n/&gt;!$K$"</f>
        <v>#VALUE!</v>
      </c>
      <c r="DU44" t="e">
        <f>'All regions'!E1092+"n/&gt;!$K%"</f>
        <v>#VALUE!</v>
      </c>
      <c r="DV44" t="e">
        <f>'All regions'!F1092+"n/&gt;!$K&amp;"</f>
        <v>#VALUE!</v>
      </c>
      <c r="DW44" t="e">
        <f>'All regions'!G1092+"n/&gt;!$K'"</f>
        <v>#VALUE!</v>
      </c>
      <c r="DX44" t="e">
        <f>'All regions'!H1092+"n/&gt;!$K("</f>
        <v>#VALUE!</v>
      </c>
      <c r="DY44" t="e">
        <f>'All regions'!I1092+"n/&gt;!$K)"</f>
        <v>#VALUE!</v>
      </c>
      <c r="DZ44" t="e">
        <f>'All regions'!J1092+"n/&gt;!$K."</f>
        <v>#VALUE!</v>
      </c>
      <c r="EA44" t="e">
        <f>'All regions'!A1093+"n/&gt;!$K/"</f>
        <v>#VALUE!</v>
      </c>
      <c r="EB44" t="e">
        <f>'All regions'!B1093+"n/&gt;!$K0"</f>
        <v>#VALUE!</v>
      </c>
      <c r="EC44" t="e">
        <f>'All regions'!C1093+"n/&gt;!$K1"</f>
        <v>#VALUE!</v>
      </c>
      <c r="ED44" t="e">
        <f>'All regions'!D1093+"n/&gt;!$K2"</f>
        <v>#VALUE!</v>
      </c>
      <c r="EE44" t="e">
        <f>'All regions'!E1093+"n/&gt;!$K3"</f>
        <v>#VALUE!</v>
      </c>
      <c r="EF44" t="e">
        <f>'All regions'!F1093+"n/&gt;!$K4"</f>
        <v>#VALUE!</v>
      </c>
      <c r="EG44" t="e">
        <f>'All regions'!G1093+"n/&gt;!$K5"</f>
        <v>#VALUE!</v>
      </c>
      <c r="EH44" t="e">
        <f>'All regions'!H1093+"n/&gt;!$K6"</f>
        <v>#VALUE!</v>
      </c>
      <c r="EI44" t="e">
        <f>'All regions'!I1093+"n/&gt;!$K7"</f>
        <v>#VALUE!</v>
      </c>
      <c r="EJ44" t="e">
        <f>'All regions'!J1093+"n/&gt;!$K8"</f>
        <v>#VALUE!</v>
      </c>
      <c r="EK44" t="e">
        <f>'All regions'!A1094+"n/&gt;!$K9"</f>
        <v>#VALUE!</v>
      </c>
      <c r="EL44" t="e">
        <f>'All regions'!B1094+"n/&gt;!$K:"</f>
        <v>#VALUE!</v>
      </c>
      <c r="EM44" t="e">
        <f>'All regions'!C1094+"n/&gt;!$K;"</f>
        <v>#VALUE!</v>
      </c>
      <c r="EN44" t="e">
        <f>'All regions'!D1094+"n/&gt;!$K&lt;"</f>
        <v>#VALUE!</v>
      </c>
      <c r="EO44" t="e">
        <f>'All regions'!E1094+"n/&gt;!$K="</f>
        <v>#VALUE!</v>
      </c>
      <c r="EP44" t="e">
        <f>'All regions'!F1094+"n/&gt;!$K&gt;"</f>
        <v>#VALUE!</v>
      </c>
      <c r="EQ44" t="e">
        <f>'All regions'!G1094+"n/&gt;!$K?"</f>
        <v>#VALUE!</v>
      </c>
      <c r="ER44" t="e">
        <f>'All regions'!H1094+"n/&gt;!$K@"</f>
        <v>#VALUE!</v>
      </c>
      <c r="ES44" t="e">
        <f>'All regions'!I1094+"n/&gt;!$KA"</f>
        <v>#VALUE!</v>
      </c>
      <c r="ET44" t="e">
        <f>'All regions'!J1094+"n/&gt;!$KB"</f>
        <v>#VALUE!</v>
      </c>
      <c r="EU44" t="e">
        <f>'All regions'!A1095+"n/&gt;!$KC"</f>
        <v>#VALUE!</v>
      </c>
      <c r="EV44" t="e">
        <f>'All regions'!B1095+"n/&gt;!$KD"</f>
        <v>#VALUE!</v>
      </c>
      <c r="EW44" t="e">
        <f>'All regions'!C1095+"n/&gt;!$KE"</f>
        <v>#VALUE!</v>
      </c>
      <c r="EX44" t="e">
        <f>'All regions'!D1095+"n/&gt;!$KF"</f>
        <v>#VALUE!</v>
      </c>
      <c r="EY44" t="e">
        <f>'All regions'!E1095+"n/&gt;!$KG"</f>
        <v>#VALUE!</v>
      </c>
      <c r="EZ44" t="e">
        <f>'All regions'!F1095+"n/&gt;!$KH"</f>
        <v>#VALUE!</v>
      </c>
      <c r="FA44" t="e">
        <f>'All regions'!G1095+"n/&gt;!$KI"</f>
        <v>#VALUE!</v>
      </c>
      <c r="FB44" t="e">
        <f>'All regions'!H1095+"n/&gt;!$KJ"</f>
        <v>#VALUE!</v>
      </c>
      <c r="FC44" t="e">
        <f>'All regions'!I1095+"n/&gt;!$KK"</f>
        <v>#VALUE!</v>
      </c>
      <c r="FD44" t="e">
        <f>'All regions'!J1095+"n/&gt;!$KL"</f>
        <v>#VALUE!</v>
      </c>
      <c r="FE44" t="e">
        <f>'All regions'!A1096+"n/&gt;!$KM"</f>
        <v>#VALUE!</v>
      </c>
      <c r="FF44" t="e">
        <f>'All regions'!B1096+"n/&gt;!$KN"</f>
        <v>#VALUE!</v>
      </c>
      <c r="FG44" t="e">
        <f>'All regions'!C1096+"n/&gt;!$KO"</f>
        <v>#VALUE!</v>
      </c>
      <c r="FH44" t="e">
        <f>'All regions'!D1096+"n/&gt;!$KP"</f>
        <v>#VALUE!</v>
      </c>
      <c r="FI44" t="e">
        <f>'All regions'!E1096+"n/&gt;!$KQ"</f>
        <v>#VALUE!</v>
      </c>
      <c r="FJ44" t="e">
        <f>'All regions'!F1096+"n/&gt;!$KR"</f>
        <v>#VALUE!</v>
      </c>
      <c r="FK44" t="e">
        <f>'All regions'!G1096+"n/&gt;!$KS"</f>
        <v>#VALUE!</v>
      </c>
      <c r="FL44" t="e">
        <f>'All regions'!H1096+"n/&gt;!$KT"</f>
        <v>#VALUE!</v>
      </c>
      <c r="FM44" t="e">
        <f>'All regions'!I1096+"n/&gt;!$KU"</f>
        <v>#VALUE!</v>
      </c>
      <c r="FN44" t="e">
        <f>'All regions'!J1096+"n/&gt;!$KV"</f>
        <v>#VALUE!</v>
      </c>
      <c r="FO44" t="e">
        <f>'All regions'!A1097+"n/&gt;!$KW"</f>
        <v>#VALUE!</v>
      </c>
      <c r="FP44" t="e">
        <f>'All regions'!B1097+"n/&gt;!$KX"</f>
        <v>#VALUE!</v>
      </c>
      <c r="FQ44" t="e">
        <f>'All regions'!C1097+"n/&gt;!$KY"</f>
        <v>#VALUE!</v>
      </c>
      <c r="FR44" t="e">
        <f>'All regions'!D1097+"n/&gt;!$KZ"</f>
        <v>#VALUE!</v>
      </c>
      <c r="FS44" t="e">
        <f>'All regions'!E1097+"n/&gt;!$K["</f>
        <v>#VALUE!</v>
      </c>
      <c r="FT44" t="e">
        <f>'All regions'!F1097+"n/&gt;!$K\"</f>
        <v>#VALUE!</v>
      </c>
      <c r="FU44" t="e">
        <f>'All regions'!G1097+"n/&gt;!$K]"</f>
        <v>#VALUE!</v>
      </c>
      <c r="FV44" t="e">
        <f>'All regions'!H1097+"n/&gt;!$K^"</f>
        <v>#VALUE!</v>
      </c>
      <c r="FW44" t="e">
        <f>'All regions'!I1097+"n/&gt;!$K_"</f>
        <v>#VALUE!</v>
      </c>
      <c r="FX44" t="e">
        <f>'All regions'!J1097+"n/&gt;!$K`"</f>
        <v>#VALUE!</v>
      </c>
      <c r="FY44" t="e">
        <f>'All regions'!A1098+"n/&gt;!$Ka"</f>
        <v>#VALUE!</v>
      </c>
      <c r="FZ44" t="e">
        <f>'All regions'!B1098+"n/&gt;!$Kb"</f>
        <v>#VALUE!</v>
      </c>
      <c r="GA44" t="e">
        <f>'All regions'!C1098+"n/&gt;!$Kc"</f>
        <v>#VALUE!</v>
      </c>
      <c r="GB44" t="e">
        <f>'All regions'!D1098+"n/&gt;!$Kd"</f>
        <v>#VALUE!</v>
      </c>
      <c r="GC44" t="e">
        <f>'All regions'!E1098+"n/&gt;!$Ke"</f>
        <v>#VALUE!</v>
      </c>
      <c r="GD44" t="e">
        <f>'All regions'!F1098+"n/&gt;!$Kf"</f>
        <v>#VALUE!</v>
      </c>
      <c r="GE44" t="e">
        <f>'All regions'!G1098+"n/&gt;!$Kg"</f>
        <v>#VALUE!</v>
      </c>
      <c r="GF44" t="e">
        <f>'All regions'!H1098+"n/&gt;!$Kh"</f>
        <v>#VALUE!</v>
      </c>
      <c r="GG44" t="e">
        <f>'All regions'!I1098+"n/&gt;!$Ki"</f>
        <v>#VALUE!</v>
      </c>
      <c r="GH44" t="e">
        <f>'All regions'!J1098+"n/&gt;!$Kj"</f>
        <v>#VALUE!</v>
      </c>
      <c r="GI44" t="e">
        <f>'All regions'!A1099+"n/&gt;!$Kk"</f>
        <v>#VALUE!</v>
      </c>
      <c r="GJ44" t="e">
        <f>'All regions'!B1099+"n/&gt;!$Kl"</f>
        <v>#VALUE!</v>
      </c>
      <c r="GK44" t="e">
        <f>'All regions'!C1099+"n/&gt;!$Km"</f>
        <v>#VALUE!</v>
      </c>
      <c r="GL44" t="e">
        <f>'All regions'!D1099+"n/&gt;!$Kn"</f>
        <v>#VALUE!</v>
      </c>
      <c r="GM44" t="e">
        <f>'All regions'!E1099+"n/&gt;!$Ko"</f>
        <v>#VALUE!</v>
      </c>
      <c r="GN44" t="e">
        <f>'All regions'!F1099+"n/&gt;!$Kp"</f>
        <v>#VALUE!</v>
      </c>
      <c r="GO44" t="e">
        <f>'All regions'!G1099+"n/&gt;!$Kq"</f>
        <v>#VALUE!</v>
      </c>
      <c r="GP44" t="e">
        <f>'All regions'!H1099+"n/&gt;!$Kr"</f>
        <v>#VALUE!</v>
      </c>
      <c r="GQ44" t="e">
        <f>'All regions'!I1099+"n/&gt;!$Ks"</f>
        <v>#VALUE!</v>
      </c>
      <c r="GR44" t="e">
        <f>'All regions'!J1099+"n/&gt;!$Kt"</f>
        <v>#VALUE!</v>
      </c>
      <c r="GS44" t="e">
        <f>'All regions'!A1100+"n/&gt;!$Ku"</f>
        <v>#VALUE!</v>
      </c>
      <c r="GT44" t="e">
        <f>'All regions'!B1100+"n/&gt;!$Kv"</f>
        <v>#VALUE!</v>
      </c>
      <c r="GU44" t="e">
        <f>'All regions'!C1100+"n/&gt;!$Kw"</f>
        <v>#VALUE!</v>
      </c>
      <c r="GV44" t="e">
        <f>'All regions'!D1100+"n/&gt;!$Kx"</f>
        <v>#VALUE!</v>
      </c>
      <c r="GW44" t="e">
        <f>'All regions'!E1100+"n/&gt;!$Ky"</f>
        <v>#VALUE!</v>
      </c>
      <c r="GX44" t="e">
        <f>'All regions'!F1100+"n/&gt;!$Kz"</f>
        <v>#VALUE!</v>
      </c>
      <c r="GY44" t="e">
        <f>'All regions'!G1100+"n/&gt;!$K{"</f>
        <v>#VALUE!</v>
      </c>
      <c r="GZ44" t="e">
        <f>'All regions'!H1100+"n/&gt;!$K|"</f>
        <v>#VALUE!</v>
      </c>
      <c r="HA44" t="e">
        <f>'All regions'!I1100+"n/&gt;!$K}"</f>
        <v>#VALUE!</v>
      </c>
      <c r="HB44" t="e">
        <f>'All regions'!J1100+"n/&gt;!$K~"</f>
        <v>#VALUE!</v>
      </c>
      <c r="HC44" t="e">
        <f>'All regions'!A1101+"n/&gt;!$L#"</f>
        <v>#VALUE!</v>
      </c>
      <c r="HD44" t="e">
        <f>'All regions'!B1101+"n/&gt;!$L$"</f>
        <v>#VALUE!</v>
      </c>
      <c r="HE44" t="e">
        <f>'All regions'!C1101+"n/&gt;!$L%"</f>
        <v>#VALUE!</v>
      </c>
      <c r="HF44" t="e">
        <f>'All regions'!D1101+"n/&gt;!$L&amp;"</f>
        <v>#VALUE!</v>
      </c>
      <c r="HG44" t="e">
        <f>'All regions'!E1101+"n/&gt;!$L'"</f>
        <v>#VALUE!</v>
      </c>
      <c r="HH44" t="e">
        <f>'All regions'!F1101+"n/&gt;!$L("</f>
        <v>#VALUE!</v>
      </c>
      <c r="HI44" t="e">
        <f>'All regions'!G1101+"n/&gt;!$L)"</f>
        <v>#VALUE!</v>
      </c>
      <c r="HJ44" t="e">
        <f>'All regions'!H1101+"n/&gt;!$L."</f>
        <v>#VALUE!</v>
      </c>
      <c r="HK44" t="e">
        <f>'All regions'!I1101+"n/&gt;!$L/"</f>
        <v>#VALUE!</v>
      </c>
      <c r="HL44" t="e">
        <f>'All regions'!J1101+"n/&gt;!$L0"</f>
        <v>#VALUE!</v>
      </c>
      <c r="HM44" t="e">
        <f>'All regions'!A1102+"n/&gt;!$L1"</f>
        <v>#VALUE!</v>
      </c>
      <c r="HN44" t="e">
        <f>'All regions'!B1102+"n/&gt;!$L2"</f>
        <v>#VALUE!</v>
      </c>
      <c r="HO44" t="e">
        <f>'All regions'!C1102+"n/&gt;!$L3"</f>
        <v>#VALUE!</v>
      </c>
      <c r="HP44" t="e">
        <f>'All regions'!D1102+"n/&gt;!$L4"</f>
        <v>#VALUE!</v>
      </c>
      <c r="HQ44" t="e">
        <f>'All regions'!E1102+"n/&gt;!$L5"</f>
        <v>#VALUE!</v>
      </c>
      <c r="HR44" t="e">
        <f>'All regions'!F1102+"n/&gt;!$L6"</f>
        <v>#VALUE!</v>
      </c>
      <c r="HS44" t="e">
        <f>'All regions'!G1102+"n/&gt;!$L7"</f>
        <v>#VALUE!</v>
      </c>
      <c r="HT44" t="e">
        <f>'All regions'!H1102+"n/&gt;!$L8"</f>
        <v>#VALUE!</v>
      </c>
      <c r="HU44" t="e">
        <f>'All regions'!I1102+"n/&gt;!$L9"</f>
        <v>#VALUE!</v>
      </c>
      <c r="HV44" t="e">
        <f>'All regions'!J1102+"n/&gt;!$L:"</f>
        <v>#VALUE!</v>
      </c>
      <c r="HW44" t="e">
        <f>'All regions'!A1103+"n/&gt;!$L;"</f>
        <v>#VALUE!</v>
      </c>
      <c r="HX44" t="e">
        <f>'All regions'!B1103+"n/&gt;!$L&lt;"</f>
        <v>#VALUE!</v>
      </c>
      <c r="HY44" t="e">
        <f>'All regions'!C1103+"n/&gt;!$L="</f>
        <v>#VALUE!</v>
      </c>
      <c r="HZ44" t="e">
        <f>'All regions'!D1103+"n/&gt;!$L&gt;"</f>
        <v>#VALUE!</v>
      </c>
      <c r="IA44" t="e">
        <f>'All regions'!E1103+"n/&gt;!$L?"</f>
        <v>#VALUE!</v>
      </c>
      <c r="IB44" t="e">
        <f>'All regions'!F1103+"n/&gt;!$L@"</f>
        <v>#VALUE!</v>
      </c>
      <c r="IC44" t="e">
        <f>'All regions'!G1103+"n/&gt;!$LA"</f>
        <v>#VALUE!</v>
      </c>
      <c r="ID44" t="e">
        <f>'All regions'!H1103+"n/&gt;!$LB"</f>
        <v>#VALUE!</v>
      </c>
      <c r="IE44" t="e">
        <f>'All regions'!I1103+"n/&gt;!$LC"</f>
        <v>#VALUE!</v>
      </c>
      <c r="IF44" t="e">
        <f>'All regions'!J1103+"n/&gt;!$LD"</f>
        <v>#VALUE!</v>
      </c>
      <c r="IG44" t="e">
        <f>'All regions'!A1104+"n/&gt;!$LE"</f>
        <v>#VALUE!</v>
      </c>
      <c r="IH44" t="e">
        <f>'All regions'!B1104+"n/&gt;!$LF"</f>
        <v>#VALUE!</v>
      </c>
      <c r="II44" t="e">
        <f>'All regions'!C1104+"n/&gt;!$LG"</f>
        <v>#VALUE!</v>
      </c>
      <c r="IJ44" t="e">
        <f>'All regions'!D1104+"n/&gt;!$LH"</f>
        <v>#VALUE!</v>
      </c>
      <c r="IK44" t="e">
        <f>'All regions'!E1104+"n/&gt;!$LI"</f>
        <v>#VALUE!</v>
      </c>
      <c r="IL44" t="e">
        <f>'All regions'!F1104+"n/&gt;!$LJ"</f>
        <v>#VALUE!</v>
      </c>
      <c r="IM44" t="e">
        <f>'All regions'!G1104+"n/&gt;!$LK"</f>
        <v>#VALUE!</v>
      </c>
      <c r="IN44" t="e">
        <f>'All regions'!H1104+"n/&gt;!$LL"</f>
        <v>#VALUE!</v>
      </c>
      <c r="IO44" t="e">
        <f>'All regions'!I1104+"n/&gt;!$LM"</f>
        <v>#VALUE!</v>
      </c>
      <c r="IP44" t="e">
        <f>'All regions'!J1104+"n/&gt;!$LN"</f>
        <v>#VALUE!</v>
      </c>
      <c r="IQ44" t="e">
        <f>'All regions'!A1105+"n/&gt;!$LO"</f>
        <v>#VALUE!</v>
      </c>
      <c r="IR44" t="e">
        <f>'All regions'!B1105+"n/&gt;!$LP"</f>
        <v>#VALUE!</v>
      </c>
      <c r="IS44" t="e">
        <f>'All regions'!C1105+"n/&gt;!$LQ"</f>
        <v>#VALUE!</v>
      </c>
      <c r="IT44" t="e">
        <f>'All regions'!D1105+"n/&gt;!$LR"</f>
        <v>#VALUE!</v>
      </c>
      <c r="IU44" t="e">
        <f>'All regions'!E1105+"n/&gt;!$LS"</f>
        <v>#VALUE!</v>
      </c>
      <c r="IV44" t="e">
        <f>'All regions'!F1105+"n/&gt;!$LT"</f>
        <v>#VALUE!</v>
      </c>
    </row>
    <row r="45" spans="6:256" x14ac:dyDescent="0.35">
      <c r="F45" t="e">
        <f>'All regions'!G1105+"n/&gt;!$LU"</f>
        <v>#VALUE!</v>
      </c>
      <c r="G45" t="e">
        <f>'All regions'!H1105+"n/&gt;!$LV"</f>
        <v>#VALUE!</v>
      </c>
      <c r="H45" t="e">
        <f>'All regions'!I1105+"n/&gt;!$LW"</f>
        <v>#VALUE!</v>
      </c>
      <c r="I45" t="e">
        <f>'All regions'!J1105+"n/&gt;!$LX"</f>
        <v>#VALUE!</v>
      </c>
      <c r="J45" t="e">
        <f>'All regions'!A1106+"n/&gt;!$LY"</f>
        <v>#VALUE!</v>
      </c>
      <c r="K45" t="e">
        <f>'All regions'!B1106+"n/&gt;!$LZ"</f>
        <v>#VALUE!</v>
      </c>
      <c r="L45" t="e">
        <f>'All regions'!C1106+"n/&gt;!$L["</f>
        <v>#VALUE!</v>
      </c>
      <c r="M45" t="e">
        <f>'All regions'!D1106+"n/&gt;!$L\"</f>
        <v>#VALUE!</v>
      </c>
      <c r="N45" t="e">
        <f>'All regions'!E1106+"n/&gt;!$L]"</f>
        <v>#VALUE!</v>
      </c>
      <c r="O45" t="e">
        <f>'All regions'!F1106+"n/&gt;!$L^"</f>
        <v>#VALUE!</v>
      </c>
      <c r="P45" t="e">
        <f>'All regions'!G1106+"n/&gt;!$L_"</f>
        <v>#VALUE!</v>
      </c>
      <c r="Q45" t="e">
        <f>'All regions'!H1106+"n/&gt;!$L`"</f>
        <v>#VALUE!</v>
      </c>
      <c r="R45" t="e">
        <f>'All regions'!I1106+"n/&gt;!$La"</f>
        <v>#VALUE!</v>
      </c>
      <c r="S45" t="e">
        <f>'All regions'!J1106+"n/&gt;!$Lb"</f>
        <v>#VALUE!</v>
      </c>
      <c r="T45" t="e">
        <f>'All regions'!A1107+"n/&gt;!$Lc"</f>
        <v>#VALUE!</v>
      </c>
      <c r="U45" t="e">
        <f>'All regions'!B1107+"n/&gt;!$Ld"</f>
        <v>#VALUE!</v>
      </c>
      <c r="V45" t="e">
        <f>'All regions'!C1107+"n/&gt;!$Le"</f>
        <v>#VALUE!</v>
      </c>
      <c r="W45" t="e">
        <f>'All regions'!D1107+"n/&gt;!$Lf"</f>
        <v>#VALUE!</v>
      </c>
      <c r="X45" t="e">
        <f>'All regions'!E1107+"n/&gt;!$Lg"</f>
        <v>#VALUE!</v>
      </c>
      <c r="Y45" t="e">
        <f>'All regions'!F1107+"n/&gt;!$Lh"</f>
        <v>#VALUE!</v>
      </c>
      <c r="Z45" t="e">
        <f>'All regions'!G1107+"n/&gt;!$Li"</f>
        <v>#VALUE!</v>
      </c>
      <c r="AA45" t="e">
        <f>'All regions'!H1107+"n/&gt;!$Lj"</f>
        <v>#VALUE!</v>
      </c>
      <c r="AB45" t="e">
        <f>'All regions'!I1107+"n/&gt;!$Lk"</f>
        <v>#VALUE!</v>
      </c>
      <c r="AC45" t="e">
        <f>'All regions'!J1107+"n/&gt;!$Ll"</f>
        <v>#VALUE!</v>
      </c>
      <c r="AD45" t="e">
        <f>'All regions'!A1108+"n/&gt;!$Lm"</f>
        <v>#VALUE!</v>
      </c>
      <c r="AE45" t="e">
        <f>'All regions'!B1108+"n/&gt;!$Ln"</f>
        <v>#VALUE!</v>
      </c>
      <c r="AF45" t="e">
        <f>'All regions'!C1108+"n/&gt;!$Lo"</f>
        <v>#VALUE!</v>
      </c>
      <c r="AG45" t="e">
        <f>'All regions'!D1108+"n/&gt;!$Lp"</f>
        <v>#VALUE!</v>
      </c>
      <c r="AH45" t="e">
        <f>'All regions'!E1108+"n/&gt;!$Lq"</f>
        <v>#VALUE!</v>
      </c>
      <c r="AI45" t="e">
        <f>'All regions'!F1108+"n/&gt;!$Lr"</f>
        <v>#VALUE!</v>
      </c>
      <c r="AJ45" t="e">
        <f>'All regions'!G1108+"n/&gt;!$Ls"</f>
        <v>#VALUE!</v>
      </c>
      <c r="AK45" t="e">
        <f>'All regions'!H1108+"n/&gt;!$Lt"</f>
        <v>#VALUE!</v>
      </c>
      <c r="AL45" t="e">
        <f>'All regions'!I1108+"n/&gt;!$Lu"</f>
        <v>#VALUE!</v>
      </c>
      <c r="AM45" t="e">
        <f>'All regions'!J1108+"n/&gt;!$Lv"</f>
        <v>#VALUE!</v>
      </c>
      <c r="AN45" t="e">
        <f>'All regions'!A1109+"n/&gt;!$Lw"</f>
        <v>#VALUE!</v>
      </c>
      <c r="AO45" t="e">
        <f>'All regions'!B1109+"n/&gt;!$Lx"</f>
        <v>#VALUE!</v>
      </c>
      <c r="AP45" t="e">
        <f>'All regions'!C1109+"n/&gt;!$Ly"</f>
        <v>#VALUE!</v>
      </c>
      <c r="AQ45" t="e">
        <f>'All regions'!D1109+"n/&gt;!$Lz"</f>
        <v>#VALUE!</v>
      </c>
      <c r="AR45" t="e">
        <f>'All regions'!E1109+"n/&gt;!$L{"</f>
        <v>#VALUE!</v>
      </c>
      <c r="AS45" t="e">
        <f>'All regions'!F1109+"n/&gt;!$L|"</f>
        <v>#VALUE!</v>
      </c>
      <c r="AT45" t="e">
        <f>'All regions'!G1109+"n/&gt;!$L}"</f>
        <v>#VALUE!</v>
      </c>
      <c r="AU45" t="e">
        <f>'All regions'!H1109+"n/&gt;!$L~"</f>
        <v>#VALUE!</v>
      </c>
      <c r="AV45" t="e">
        <f>'All regions'!I1109+"n/&gt;!$M#"</f>
        <v>#VALUE!</v>
      </c>
      <c r="AW45" t="e">
        <f>'All regions'!J1109+"n/&gt;!$M$"</f>
        <v>#VALUE!</v>
      </c>
      <c r="AX45" t="e">
        <f>'All regions'!A1110+"n/&gt;!$M%"</f>
        <v>#VALUE!</v>
      </c>
      <c r="AY45" t="e">
        <f>'All regions'!B1110+"n/&gt;!$M&amp;"</f>
        <v>#VALUE!</v>
      </c>
      <c r="AZ45" t="e">
        <f>'All regions'!C1110+"n/&gt;!$M'"</f>
        <v>#VALUE!</v>
      </c>
      <c r="BA45" t="e">
        <f>'All regions'!D1110+"n/&gt;!$M("</f>
        <v>#VALUE!</v>
      </c>
      <c r="BB45" t="e">
        <f>'All regions'!E1110+"n/&gt;!$M)"</f>
        <v>#VALUE!</v>
      </c>
      <c r="BC45" t="e">
        <f>'All regions'!F1110+"n/&gt;!$M."</f>
        <v>#VALUE!</v>
      </c>
      <c r="BD45" t="e">
        <f>'All regions'!G1110+"n/&gt;!$M/"</f>
        <v>#VALUE!</v>
      </c>
      <c r="BE45" t="e">
        <f>'All regions'!H1110+"n/&gt;!$M0"</f>
        <v>#VALUE!</v>
      </c>
      <c r="BF45" t="e">
        <f>'All regions'!I1110+"n/&gt;!$M1"</f>
        <v>#VALUE!</v>
      </c>
      <c r="BG45" t="e">
        <f>'All regions'!J1110+"n/&gt;!$M2"</f>
        <v>#VALUE!</v>
      </c>
      <c r="BH45" t="e">
        <f>'All regions'!A1111+"n/&gt;!$M3"</f>
        <v>#VALUE!</v>
      </c>
      <c r="BI45" t="e">
        <f>'All regions'!B1111+"n/&gt;!$M4"</f>
        <v>#VALUE!</v>
      </c>
      <c r="BJ45" t="e">
        <f>'All regions'!C1111+"n/&gt;!$M5"</f>
        <v>#VALUE!</v>
      </c>
      <c r="BK45" t="e">
        <f>'All regions'!D1111+"n/&gt;!$M6"</f>
        <v>#VALUE!</v>
      </c>
      <c r="BL45" t="e">
        <f>'All regions'!E1111+"n/&gt;!$M7"</f>
        <v>#VALUE!</v>
      </c>
      <c r="BM45" t="e">
        <f>'All regions'!F1111+"n/&gt;!$M8"</f>
        <v>#VALUE!</v>
      </c>
      <c r="BN45" t="e">
        <f>'All regions'!G1111+"n/&gt;!$M9"</f>
        <v>#VALUE!</v>
      </c>
      <c r="BO45" t="e">
        <f>'All regions'!H1111+"n/&gt;!$M:"</f>
        <v>#VALUE!</v>
      </c>
      <c r="BP45" t="e">
        <f>'All regions'!I1111+"n/&gt;!$M;"</f>
        <v>#VALUE!</v>
      </c>
      <c r="BQ45" t="e">
        <f>'All regions'!J1111+"n/&gt;!$M&lt;"</f>
        <v>#VALUE!</v>
      </c>
      <c r="BR45" t="e">
        <f>'All regions'!A1112+"n/&gt;!$M="</f>
        <v>#VALUE!</v>
      </c>
      <c r="BS45" t="e">
        <f>'All regions'!B1112+"n/&gt;!$M&gt;"</f>
        <v>#VALUE!</v>
      </c>
      <c r="BT45" t="e">
        <f>'All regions'!C1112+"n/&gt;!$M?"</f>
        <v>#VALUE!</v>
      </c>
      <c r="BU45" t="e">
        <f>'All regions'!D1112+"n/&gt;!$M@"</f>
        <v>#VALUE!</v>
      </c>
      <c r="BV45" t="e">
        <f>'All regions'!E1112+"n/&gt;!$MA"</f>
        <v>#VALUE!</v>
      </c>
      <c r="BW45" t="e">
        <f>'All regions'!F1112+"n/&gt;!$MB"</f>
        <v>#VALUE!</v>
      </c>
      <c r="BX45" t="e">
        <f>'All regions'!G1112+"n/&gt;!$MC"</f>
        <v>#VALUE!</v>
      </c>
      <c r="BY45" t="e">
        <f>'All regions'!H1112+"n/&gt;!$MD"</f>
        <v>#VALUE!</v>
      </c>
      <c r="BZ45" t="e">
        <f>'All regions'!I1112+"n/&gt;!$ME"</f>
        <v>#VALUE!</v>
      </c>
      <c r="CA45" t="e">
        <f>'All regions'!J1112+"n/&gt;!$MF"</f>
        <v>#VALUE!</v>
      </c>
      <c r="CB45" t="e">
        <f>'All regions'!A1113+"n/&gt;!$MG"</f>
        <v>#VALUE!</v>
      </c>
      <c r="CC45" t="e">
        <f>'All regions'!B1113+"n/&gt;!$MH"</f>
        <v>#VALUE!</v>
      </c>
      <c r="CD45" t="e">
        <f>'All regions'!C1113+"n/&gt;!$MI"</f>
        <v>#VALUE!</v>
      </c>
      <c r="CE45" t="e">
        <f>'All regions'!D1113+"n/&gt;!$MJ"</f>
        <v>#VALUE!</v>
      </c>
      <c r="CF45" t="e">
        <f>'All regions'!E1113+"n/&gt;!$MK"</f>
        <v>#VALUE!</v>
      </c>
      <c r="CG45" t="e">
        <f>'All regions'!F1113+"n/&gt;!$ML"</f>
        <v>#VALUE!</v>
      </c>
      <c r="CH45" t="e">
        <f>'All regions'!G1113+"n/&gt;!$MM"</f>
        <v>#VALUE!</v>
      </c>
      <c r="CI45" t="e">
        <f>'All regions'!H1113+"n/&gt;!$MN"</f>
        <v>#VALUE!</v>
      </c>
      <c r="CJ45" t="e">
        <f>'All regions'!I1113+"n/&gt;!$MO"</f>
        <v>#VALUE!</v>
      </c>
      <c r="CK45" t="e">
        <f>'All regions'!J1113+"n/&gt;!$MP"</f>
        <v>#VALUE!</v>
      </c>
      <c r="CL45" t="e">
        <f>'All regions'!A1114+"n/&gt;!$MQ"</f>
        <v>#VALUE!</v>
      </c>
      <c r="CM45" t="e">
        <f>'All regions'!B1114+"n/&gt;!$MR"</f>
        <v>#VALUE!</v>
      </c>
      <c r="CN45" t="e">
        <f>'All regions'!C1114+"n/&gt;!$MS"</f>
        <v>#VALUE!</v>
      </c>
      <c r="CO45" t="e">
        <f>'All regions'!D1114+"n/&gt;!$MT"</f>
        <v>#VALUE!</v>
      </c>
      <c r="CP45" t="e">
        <f>'All regions'!E1114+"n/&gt;!$MU"</f>
        <v>#VALUE!</v>
      </c>
      <c r="CQ45" t="e">
        <f>'All regions'!F1114+"n/&gt;!$MV"</f>
        <v>#VALUE!</v>
      </c>
      <c r="CR45" t="e">
        <f>'All regions'!G1114+"n/&gt;!$MW"</f>
        <v>#VALUE!</v>
      </c>
      <c r="CS45" t="e">
        <f>'All regions'!H1114+"n/&gt;!$MX"</f>
        <v>#VALUE!</v>
      </c>
      <c r="CT45" t="e">
        <f>'All regions'!I1114+"n/&gt;!$MY"</f>
        <v>#VALUE!</v>
      </c>
      <c r="CU45" t="e">
        <f>'All regions'!J1114+"n/&gt;!$MZ"</f>
        <v>#VALUE!</v>
      </c>
      <c r="CV45" t="e">
        <f>'All regions'!A1115+"n/&gt;!$M["</f>
        <v>#VALUE!</v>
      </c>
      <c r="CW45" t="e">
        <f>'All regions'!B1115+"n/&gt;!$M\"</f>
        <v>#VALUE!</v>
      </c>
      <c r="CX45" t="e">
        <f>'All regions'!C1115+"n/&gt;!$M]"</f>
        <v>#VALUE!</v>
      </c>
      <c r="CY45" t="e">
        <f>'All regions'!D1115+"n/&gt;!$M^"</f>
        <v>#VALUE!</v>
      </c>
      <c r="CZ45" t="e">
        <f>'All regions'!E1115+"n/&gt;!$M_"</f>
        <v>#VALUE!</v>
      </c>
      <c r="DA45" t="e">
        <f>'All regions'!F1115+"n/&gt;!$M`"</f>
        <v>#VALUE!</v>
      </c>
      <c r="DB45" t="e">
        <f>'All regions'!G1115+"n/&gt;!$Ma"</f>
        <v>#VALUE!</v>
      </c>
      <c r="DC45" t="e">
        <f>'All regions'!H1115+"n/&gt;!$Mb"</f>
        <v>#VALUE!</v>
      </c>
      <c r="DD45" t="e">
        <f>'All regions'!I1115+"n/&gt;!$Mc"</f>
        <v>#VALUE!</v>
      </c>
      <c r="DE45" t="e">
        <f>'All regions'!J1115+"n/&gt;!$Md"</f>
        <v>#VALUE!</v>
      </c>
      <c r="DF45" t="e">
        <f>'All regions'!A1116+"n/&gt;!$Me"</f>
        <v>#VALUE!</v>
      </c>
      <c r="DG45" t="e">
        <f>'All regions'!B1116+"n/&gt;!$Mf"</f>
        <v>#VALUE!</v>
      </c>
      <c r="DH45" t="e">
        <f>'All regions'!C1116+"n/&gt;!$Mg"</f>
        <v>#VALUE!</v>
      </c>
      <c r="DI45" t="e">
        <f>'All regions'!D1116+"n/&gt;!$Mh"</f>
        <v>#VALUE!</v>
      </c>
      <c r="DJ45" t="e">
        <f>'All regions'!E1116+"n/&gt;!$Mi"</f>
        <v>#VALUE!</v>
      </c>
      <c r="DK45" t="e">
        <f>'All regions'!F1116+"n/&gt;!$Mj"</f>
        <v>#VALUE!</v>
      </c>
      <c r="DL45" t="e">
        <f>'All regions'!G1116+"n/&gt;!$Mk"</f>
        <v>#VALUE!</v>
      </c>
      <c r="DM45" t="e">
        <f>'All regions'!H1116+"n/&gt;!$Ml"</f>
        <v>#VALUE!</v>
      </c>
      <c r="DN45" t="e">
        <f>'All regions'!I1116+"n/&gt;!$Mm"</f>
        <v>#VALUE!</v>
      </c>
      <c r="DO45" t="e">
        <f>'All regions'!J1116+"n/&gt;!$Mn"</f>
        <v>#VALUE!</v>
      </c>
      <c r="DP45" t="e">
        <f>'All regions'!A1117+"n/&gt;!$Mo"</f>
        <v>#VALUE!</v>
      </c>
      <c r="DQ45" t="e">
        <f>'All regions'!B1117+"n/&gt;!$Mp"</f>
        <v>#VALUE!</v>
      </c>
      <c r="DR45" t="e">
        <f>'All regions'!C1117+"n/&gt;!$Mq"</f>
        <v>#VALUE!</v>
      </c>
      <c r="DS45" t="e">
        <f>'All regions'!D1117+"n/&gt;!$Mr"</f>
        <v>#VALUE!</v>
      </c>
      <c r="DT45" t="e">
        <f>'All regions'!E1117+"n/&gt;!$Ms"</f>
        <v>#VALUE!</v>
      </c>
      <c r="DU45" t="e">
        <f>'All regions'!F1117+"n/&gt;!$Mt"</f>
        <v>#VALUE!</v>
      </c>
      <c r="DV45" t="e">
        <f>'All regions'!G1117+"n/&gt;!$Mu"</f>
        <v>#VALUE!</v>
      </c>
      <c r="DW45" t="e">
        <f>'All regions'!H1117+"n/&gt;!$Mv"</f>
        <v>#VALUE!</v>
      </c>
      <c r="DX45" t="e">
        <f>'All regions'!I1117+"n/&gt;!$Mw"</f>
        <v>#VALUE!</v>
      </c>
      <c r="DY45" t="e">
        <f>'All regions'!J1117+"n/&gt;!$Mx"</f>
        <v>#VALUE!</v>
      </c>
      <c r="DZ45" t="e">
        <f>'All regions'!A1118+"n/&gt;!$My"</f>
        <v>#VALUE!</v>
      </c>
      <c r="EA45" t="e">
        <f>'All regions'!B1118+"n/&gt;!$Mz"</f>
        <v>#VALUE!</v>
      </c>
      <c r="EB45" t="e">
        <f>'All regions'!C1118+"n/&gt;!$M{"</f>
        <v>#VALUE!</v>
      </c>
      <c r="EC45" t="e">
        <f>'All regions'!D1118+"n/&gt;!$M|"</f>
        <v>#VALUE!</v>
      </c>
      <c r="ED45" t="e">
        <f>'All regions'!E1118+"n/&gt;!$M}"</f>
        <v>#VALUE!</v>
      </c>
      <c r="EE45" t="e">
        <f>'All regions'!F1118+"n/&gt;!$M~"</f>
        <v>#VALUE!</v>
      </c>
      <c r="EF45" t="e">
        <f>'All regions'!G1118+"n/&gt;!$N#"</f>
        <v>#VALUE!</v>
      </c>
      <c r="EG45" t="e">
        <f>'All regions'!H1118+"n/&gt;!$N$"</f>
        <v>#VALUE!</v>
      </c>
      <c r="EH45" t="e">
        <f>'All regions'!I1118+"n/&gt;!$N%"</f>
        <v>#VALUE!</v>
      </c>
      <c r="EI45" t="e">
        <f>'All regions'!J1118+"n/&gt;!$N&amp;"</f>
        <v>#VALUE!</v>
      </c>
      <c r="EJ45" t="e">
        <f>'All regions'!A1119+"n/&gt;!$N'"</f>
        <v>#VALUE!</v>
      </c>
      <c r="EK45" t="e">
        <f>'All regions'!B1119+"n/&gt;!$N("</f>
        <v>#VALUE!</v>
      </c>
      <c r="EL45" t="e">
        <f>'All regions'!C1119+"n/&gt;!$N)"</f>
        <v>#VALUE!</v>
      </c>
      <c r="EM45" t="e">
        <f>'All regions'!D1119+"n/&gt;!$N."</f>
        <v>#VALUE!</v>
      </c>
      <c r="EN45" t="e">
        <f>'All regions'!E1119+"n/&gt;!$N/"</f>
        <v>#VALUE!</v>
      </c>
      <c r="EO45" t="e">
        <f>'All regions'!F1119+"n/&gt;!$N0"</f>
        <v>#VALUE!</v>
      </c>
      <c r="EP45" t="e">
        <f>'All regions'!G1119+"n/&gt;!$N1"</f>
        <v>#VALUE!</v>
      </c>
      <c r="EQ45" t="e">
        <f>'All regions'!H1119+"n/&gt;!$N2"</f>
        <v>#VALUE!</v>
      </c>
      <c r="ER45" t="e">
        <f>'All regions'!I1119+"n/&gt;!$N3"</f>
        <v>#VALUE!</v>
      </c>
      <c r="ES45" t="e">
        <f>'All regions'!J1119+"n/&gt;!$N4"</f>
        <v>#VALUE!</v>
      </c>
      <c r="ET45" t="e">
        <f>'All regions'!A1120+"n/&gt;!$N5"</f>
        <v>#VALUE!</v>
      </c>
      <c r="EU45" t="e">
        <f>'All regions'!B1120+"n/&gt;!$N6"</f>
        <v>#VALUE!</v>
      </c>
      <c r="EV45" t="e">
        <f>'All regions'!C1120+"n/&gt;!$N7"</f>
        <v>#VALUE!</v>
      </c>
      <c r="EW45" t="e">
        <f>'All regions'!D1120+"n/&gt;!$N8"</f>
        <v>#VALUE!</v>
      </c>
      <c r="EX45" t="e">
        <f>'All regions'!E1120+"n/&gt;!$N9"</f>
        <v>#VALUE!</v>
      </c>
      <c r="EY45" t="e">
        <f>'All regions'!F1120+"n/&gt;!$N:"</f>
        <v>#VALUE!</v>
      </c>
      <c r="EZ45" t="e">
        <f>'All regions'!G1120+"n/&gt;!$N;"</f>
        <v>#VALUE!</v>
      </c>
      <c r="FA45" t="e">
        <f>'All regions'!H1120+"n/&gt;!$N&lt;"</f>
        <v>#VALUE!</v>
      </c>
      <c r="FB45" t="e">
        <f>'All regions'!I1120+"n/&gt;!$N="</f>
        <v>#VALUE!</v>
      </c>
      <c r="FC45" t="e">
        <f>'All regions'!J1120+"n/&gt;!$N&gt;"</f>
        <v>#VALUE!</v>
      </c>
      <c r="FD45" t="e">
        <f>'All regions'!A1121+"n/&gt;!$N?"</f>
        <v>#VALUE!</v>
      </c>
      <c r="FE45" t="e">
        <f>'All regions'!B1121+"n/&gt;!$N@"</f>
        <v>#VALUE!</v>
      </c>
      <c r="FF45" t="e">
        <f>'All regions'!C1121+"n/&gt;!$NA"</f>
        <v>#VALUE!</v>
      </c>
      <c r="FG45" t="e">
        <f>'All regions'!D1121+"n/&gt;!$NB"</f>
        <v>#VALUE!</v>
      </c>
      <c r="FH45" t="e">
        <f>'All regions'!E1121+"n/&gt;!$NC"</f>
        <v>#VALUE!</v>
      </c>
      <c r="FI45" t="e">
        <f>'All regions'!F1121+"n/&gt;!$ND"</f>
        <v>#VALUE!</v>
      </c>
      <c r="FJ45" t="e">
        <f>'All regions'!G1121+"n/&gt;!$NE"</f>
        <v>#VALUE!</v>
      </c>
      <c r="FK45" t="e">
        <f>'All regions'!H1121+"n/&gt;!$NF"</f>
        <v>#VALUE!</v>
      </c>
      <c r="FL45" t="e">
        <f>'All regions'!I1121+"n/&gt;!$NG"</f>
        <v>#VALUE!</v>
      </c>
      <c r="FM45" t="e">
        <f>'All regions'!J1121+"n/&gt;!$NH"</f>
        <v>#VALUE!</v>
      </c>
      <c r="FN45" t="e">
        <f>'All regions'!A1122+"n/&gt;!$NI"</f>
        <v>#VALUE!</v>
      </c>
      <c r="FO45" t="e">
        <f>'All regions'!B1122+"n/&gt;!$NJ"</f>
        <v>#VALUE!</v>
      </c>
      <c r="FP45" t="e">
        <f>'All regions'!C1122+"n/&gt;!$NK"</f>
        <v>#VALUE!</v>
      </c>
      <c r="FQ45" t="e">
        <f>'All regions'!D1122+"n/&gt;!$NL"</f>
        <v>#VALUE!</v>
      </c>
      <c r="FR45" t="e">
        <f>'All regions'!E1122+"n/&gt;!$NM"</f>
        <v>#VALUE!</v>
      </c>
      <c r="FS45" t="e">
        <f>'All regions'!F1122+"n/&gt;!$NN"</f>
        <v>#VALUE!</v>
      </c>
      <c r="FT45" t="e">
        <f>'All regions'!G1122+"n/&gt;!$NO"</f>
        <v>#VALUE!</v>
      </c>
      <c r="FU45" t="e">
        <f>'All regions'!H1122+"n/&gt;!$NP"</f>
        <v>#VALUE!</v>
      </c>
      <c r="FV45" t="e">
        <f>'All regions'!I1122+"n/&gt;!$NQ"</f>
        <v>#VALUE!</v>
      </c>
      <c r="FW45" t="e">
        <f>'All regions'!J1122+"n/&gt;!$NR"</f>
        <v>#VALUE!</v>
      </c>
      <c r="FX45" t="e">
        <f>'All regions'!A1123+"n/&gt;!$NS"</f>
        <v>#VALUE!</v>
      </c>
      <c r="FY45" t="e">
        <f>'All regions'!B1123+"n/&gt;!$NT"</f>
        <v>#VALUE!</v>
      </c>
      <c r="FZ45" t="e">
        <f>'All regions'!C1123+"n/&gt;!$NU"</f>
        <v>#VALUE!</v>
      </c>
      <c r="GA45" t="e">
        <f>'All regions'!D1123+"n/&gt;!$NV"</f>
        <v>#VALUE!</v>
      </c>
      <c r="GB45" t="e">
        <f>'All regions'!E1123+"n/&gt;!$NW"</f>
        <v>#VALUE!</v>
      </c>
      <c r="GC45" t="e">
        <f>'All regions'!F1123+"n/&gt;!$NX"</f>
        <v>#VALUE!</v>
      </c>
      <c r="GD45" t="e">
        <f>'All regions'!G1123+"n/&gt;!$NY"</f>
        <v>#VALUE!</v>
      </c>
      <c r="GE45" t="e">
        <f>'All regions'!H1123+"n/&gt;!$NZ"</f>
        <v>#VALUE!</v>
      </c>
      <c r="GF45" t="e">
        <f>'All regions'!I1123+"n/&gt;!$N["</f>
        <v>#VALUE!</v>
      </c>
      <c r="GG45" t="e">
        <f>'All regions'!J1123+"n/&gt;!$N\"</f>
        <v>#VALUE!</v>
      </c>
      <c r="GH45" t="e">
        <f>'All regions'!A1124+"n/&gt;!$N]"</f>
        <v>#VALUE!</v>
      </c>
      <c r="GI45" t="e">
        <f>'All regions'!B1124+"n/&gt;!$N^"</f>
        <v>#VALUE!</v>
      </c>
      <c r="GJ45" t="e">
        <f>'All regions'!C1124+"n/&gt;!$N_"</f>
        <v>#VALUE!</v>
      </c>
      <c r="GK45" t="e">
        <f>'All regions'!D1124+"n/&gt;!$N`"</f>
        <v>#VALUE!</v>
      </c>
      <c r="GL45" t="e">
        <f>'All regions'!E1124+"n/&gt;!$Na"</f>
        <v>#VALUE!</v>
      </c>
      <c r="GM45" t="e">
        <f>'All regions'!F1124+"n/&gt;!$Nb"</f>
        <v>#VALUE!</v>
      </c>
      <c r="GN45" t="e">
        <f>'All regions'!G1124+"n/&gt;!$Nc"</f>
        <v>#VALUE!</v>
      </c>
      <c r="GO45" t="e">
        <f>'All regions'!H1124+"n/&gt;!$Nd"</f>
        <v>#VALUE!</v>
      </c>
      <c r="GP45" t="e">
        <f>'All regions'!I1124+"n/&gt;!$Ne"</f>
        <v>#VALUE!</v>
      </c>
      <c r="GQ45" t="e">
        <f>'All regions'!J1124+"n/&gt;!$Nf"</f>
        <v>#VALUE!</v>
      </c>
      <c r="GR45" t="e">
        <f>'All regions'!A1125+"n/&gt;!$Ng"</f>
        <v>#VALUE!</v>
      </c>
      <c r="GS45" t="e">
        <f>'All regions'!B1125+"n/&gt;!$Nh"</f>
        <v>#VALUE!</v>
      </c>
      <c r="GT45" t="e">
        <f>'All regions'!C1125+"n/&gt;!$Ni"</f>
        <v>#VALUE!</v>
      </c>
      <c r="GU45" t="e">
        <f>'All regions'!D1125+"n/&gt;!$Nj"</f>
        <v>#VALUE!</v>
      </c>
      <c r="GV45" t="e">
        <f>'All regions'!E1125+"n/&gt;!$Nk"</f>
        <v>#VALUE!</v>
      </c>
      <c r="GW45" t="e">
        <f>'All regions'!F1125+"n/&gt;!$Nl"</f>
        <v>#VALUE!</v>
      </c>
      <c r="GX45" t="e">
        <f>'All regions'!G1125+"n/&gt;!$Nm"</f>
        <v>#VALUE!</v>
      </c>
      <c r="GY45" t="e">
        <f>'All regions'!H1125+"n/&gt;!$Nn"</f>
        <v>#VALUE!</v>
      </c>
      <c r="GZ45" t="e">
        <f>'All regions'!I1125+"n/&gt;!$No"</f>
        <v>#VALUE!</v>
      </c>
      <c r="HA45" t="e">
        <f>'All regions'!J1125+"n/&gt;!$Np"</f>
        <v>#VALUE!</v>
      </c>
      <c r="HB45" t="e">
        <f>'All regions'!A1126+"n/&gt;!$Nq"</f>
        <v>#VALUE!</v>
      </c>
      <c r="HC45" t="e">
        <f>'All regions'!B1126+"n/&gt;!$Nr"</f>
        <v>#VALUE!</v>
      </c>
      <c r="HD45" t="e">
        <f>'All regions'!C1126+"n/&gt;!$Ns"</f>
        <v>#VALUE!</v>
      </c>
      <c r="HE45" t="e">
        <f>'All regions'!D1126+"n/&gt;!$Nt"</f>
        <v>#VALUE!</v>
      </c>
      <c r="HF45" t="e">
        <f>'All regions'!E1126+"n/&gt;!$Nu"</f>
        <v>#VALUE!</v>
      </c>
      <c r="HG45" t="e">
        <f>'All regions'!F1126+"n/&gt;!$Nv"</f>
        <v>#VALUE!</v>
      </c>
      <c r="HH45" t="e">
        <f>'All regions'!G1126+"n/&gt;!$Nw"</f>
        <v>#VALUE!</v>
      </c>
      <c r="HI45" t="e">
        <f>'All regions'!H1126+"n/&gt;!$Nx"</f>
        <v>#VALUE!</v>
      </c>
      <c r="HJ45" t="e">
        <f>'All regions'!I1126+"n/&gt;!$Ny"</f>
        <v>#VALUE!</v>
      </c>
      <c r="HK45" t="e">
        <f>'All regions'!J1126+"n/&gt;!$Nz"</f>
        <v>#VALUE!</v>
      </c>
      <c r="HL45" t="e">
        <f>'All regions'!A1127+"n/&gt;!$N{"</f>
        <v>#VALUE!</v>
      </c>
      <c r="HM45" t="e">
        <f>'All regions'!B1127+"n/&gt;!$N|"</f>
        <v>#VALUE!</v>
      </c>
      <c r="HN45" t="e">
        <f>'All regions'!C1127+"n/&gt;!$N}"</f>
        <v>#VALUE!</v>
      </c>
      <c r="HO45" t="e">
        <f>'All regions'!D1127+"n/&gt;!$N~"</f>
        <v>#VALUE!</v>
      </c>
      <c r="HP45" t="e">
        <f>'All regions'!E1127+"n/&gt;!$O#"</f>
        <v>#VALUE!</v>
      </c>
      <c r="HQ45" t="e">
        <f>'All regions'!F1127+"n/&gt;!$O$"</f>
        <v>#VALUE!</v>
      </c>
      <c r="HR45" t="e">
        <f>'All regions'!G1127+"n/&gt;!$O%"</f>
        <v>#VALUE!</v>
      </c>
      <c r="HS45" t="e">
        <f>'All regions'!H1127+"n/&gt;!$O&amp;"</f>
        <v>#VALUE!</v>
      </c>
      <c r="HT45" t="e">
        <f>'All regions'!I1127+"n/&gt;!$O'"</f>
        <v>#VALUE!</v>
      </c>
      <c r="HU45" t="e">
        <f>'All regions'!J1127+"n/&gt;!$O("</f>
        <v>#VALUE!</v>
      </c>
      <c r="HV45" t="e">
        <f>'All regions'!A1128+"n/&gt;!$O)"</f>
        <v>#VALUE!</v>
      </c>
      <c r="HW45" t="e">
        <f>'All regions'!B1128+"n/&gt;!$O."</f>
        <v>#VALUE!</v>
      </c>
      <c r="HX45" t="e">
        <f>'All regions'!C1128+"n/&gt;!$O/"</f>
        <v>#VALUE!</v>
      </c>
      <c r="HY45" t="e">
        <f>'All regions'!D1128+"n/&gt;!$O0"</f>
        <v>#VALUE!</v>
      </c>
      <c r="HZ45" t="e">
        <f>'All regions'!E1128+"n/&gt;!$O1"</f>
        <v>#VALUE!</v>
      </c>
      <c r="IA45" t="e">
        <f>'All regions'!F1128+"n/&gt;!$O2"</f>
        <v>#VALUE!</v>
      </c>
      <c r="IB45" t="e">
        <f>'All regions'!G1128+"n/&gt;!$O3"</f>
        <v>#VALUE!</v>
      </c>
      <c r="IC45" t="e">
        <f>'All regions'!H1128+"n/&gt;!$O4"</f>
        <v>#VALUE!</v>
      </c>
      <c r="ID45" t="e">
        <f>'All regions'!I1128+"n/&gt;!$O5"</f>
        <v>#VALUE!</v>
      </c>
      <c r="IE45" t="e">
        <f>'All regions'!J1128+"n/&gt;!$O6"</f>
        <v>#VALUE!</v>
      </c>
      <c r="IF45" t="e">
        <f>'All regions'!A1129+"n/&gt;!$O7"</f>
        <v>#VALUE!</v>
      </c>
      <c r="IG45" t="e">
        <f>'All regions'!B1129+"n/&gt;!$O8"</f>
        <v>#VALUE!</v>
      </c>
      <c r="IH45" t="e">
        <f>'All regions'!C1129+"n/&gt;!$O9"</f>
        <v>#VALUE!</v>
      </c>
      <c r="II45" t="e">
        <f>'All regions'!D1129+"n/&gt;!$O:"</f>
        <v>#VALUE!</v>
      </c>
      <c r="IJ45" t="e">
        <f>'All regions'!E1129+"n/&gt;!$O;"</f>
        <v>#VALUE!</v>
      </c>
      <c r="IK45" t="e">
        <f>'All regions'!F1129+"n/&gt;!$O&lt;"</f>
        <v>#VALUE!</v>
      </c>
      <c r="IL45" t="e">
        <f>'All regions'!G1129+"n/&gt;!$O="</f>
        <v>#VALUE!</v>
      </c>
      <c r="IM45" t="e">
        <f>'All regions'!H1129+"n/&gt;!$O&gt;"</f>
        <v>#VALUE!</v>
      </c>
      <c r="IN45" t="e">
        <f>'All regions'!I1129+"n/&gt;!$O?"</f>
        <v>#VALUE!</v>
      </c>
      <c r="IO45" t="e">
        <f>'All regions'!J1129+"n/&gt;!$O@"</f>
        <v>#VALUE!</v>
      </c>
      <c r="IP45" t="e">
        <f>'All regions'!A1130+"n/&gt;!$OA"</f>
        <v>#VALUE!</v>
      </c>
      <c r="IQ45" t="e">
        <f>'All regions'!B1130+"n/&gt;!$OB"</f>
        <v>#VALUE!</v>
      </c>
      <c r="IR45" t="e">
        <f>'All regions'!C1130+"n/&gt;!$OC"</f>
        <v>#VALUE!</v>
      </c>
      <c r="IS45" t="e">
        <f>'All regions'!D1130+"n/&gt;!$OD"</f>
        <v>#VALUE!</v>
      </c>
      <c r="IT45" t="e">
        <f>'All regions'!E1130+"n/&gt;!$OE"</f>
        <v>#VALUE!</v>
      </c>
      <c r="IU45" t="e">
        <f>'All regions'!F1130+"n/&gt;!$OF"</f>
        <v>#VALUE!</v>
      </c>
      <c r="IV45" t="e">
        <f>'All regions'!G1130+"n/&gt;!$OG"</f>
        <v>#VALUE!</v>
      </c>
    </row>
    <row r="46" spans="6:256" x14ac:dyDescent="0.35">
      <c r="F46" t="e">
        <f>'All regions'!H1130+"n/&gt;!$OH"</f>
        <v>#VALUE!</v>
      </c>
      <c r="G46" t="e">
        <f>'All regions'!I1130+"n/&gt;!$OI"</f>
        <v>#VALUE!</v>
      </c>
      <c r="H46" t="e">
        <f>'All regions'!J1130+"n/&gt;!$OJ"</f>
        <v>#VALUE!</v>
      </c>
      <c r="I46" t="e">
        <f>'All regions'!A1131+"n/&gt;!$OK"</f>
        <v>#VALUE!</v>
      </c>
      <c r="J46" t="e">
        <f>'All regions'!B1131+"n/&gt;!$OL"</f>
        <v>#VALUE!</v>
      </c>
      <c r="K46" t="e">
        <f>'All regions'!C1131+"n/&gt;!$OM"</f>
        <v>#VALUE!</v>
      </c>
      <c r="L46" t="e">
        <f>'All regions'!D1131+"n/&gt;!$ON"</f>
        <v>#VALUE!</v>
      </c>
      <c r="M46" t="e">
        <f>'All regions'!E1131+"n/&gt;!$OO"</f>
        <v>#VALUE!</v>
      </c>
      <c r="N46" t="e">
        <f>'All regions'!F1131+"n/&gt;!$OP"</f>
        <v>#VALUE!</v>
      </c>
      <c r="O46" t="e">
        <f>'All regions'!G1131+"n/&gt;!$OQ"</f>
        <v>#VALUE!</v>
      </c>
      <c r="P46" t="e">
        <f>'All regions'!H1131+"n/&gt;!$OR"</f>
        <v>#VALUE!</v>
      </c>
      <c r="Q46" t="e">
        <f>'All regions'!I1131+"n/&gt;!$OS"</f>
        <v>#VALUE!</v>
      </c>
      <c r="R46" t="e">
        <f>'All regions'!J1131+"n/&gt;!$OT"</f>
        <v>#VALUE!</v>
      </c>
      <c r="S46" t="e">
        <f>'All regions'!A1132+"n/&gt;!$OU"</f>
        <v>#VALUE!</v>
      </c>
      <c r="T46" t="e">
        <f>'All regions'!B1132+"n/&gt;!$OV"</f>
        <v>#VALUE!</v>
      </c>
      <c r="U46" t="e">
        <f>'All regions'!C1132+"n/&gt;!$OW"</f>
        <v>#VALUE!</v>
      </c>
      <c r="V46" t="e">
        <f>'All regions'!D1132+"n/&gt;!$OX"</f>
        <v>#VALUE!</v>
      </c>
      <c r="W46" t="e">
        <f>'All regions'!E1132+"n/&gt;!$OY"</f>
        <v>#VALUE!</v>
      </c>
      <c r="X46" t="e">
        <f>'All regions'!F1132+"n/&gt;!$OZ"</f>
        <v>#VALUE!</v>
      </c>
      <c r="Y46" t="e">
        <f>'All regions'!G1132+"n/&gt;!$O["</f>
        <v>#VALUE!</v>
      </c>
      <c r="Z46" t="e">
        <f>'All regions'!H1132+"n/&gt;!$O\"</f>
        <v>#VALUE!</v>
      </c>
      <c r="AA46" t="e">
        <f>'All regions'!I1132+"n/&gt;!$O]"</f>
        <v>#VALUE!</v>
      </c>
      <c r="AB46" t="e">
        <f>'All regions'!J1132+"n/&gt;!$O^"</f>
        <v>#VALUE!</v>
      </c>
      <c r="AC46" t="e">
        <f>'All regions'!A1133+"n/&gt;!$O_"</f>
        <v>#VALUE!</v>
      </c>
      <c r="AD46" t="e">
        <f>'All regions'!B1133+"n/&gt;!$O`"</f>
        <v>#VALUE!</v>
      </c>
      <c r="AE46" t="e">
        <f>'All regions'!C1133+"n/&gt;!$Oa"</f>
        <v>#VALUE!</v>
      </c>
      <c r="AF46" t="e">
        <f>'All regions'!D1133+"n/&gt;!$Ob"</f>
        <v>#VALUE!</v>
      </c>
      <c r="AG46" t="e">
        <f>'All regions'!E1133+"n/&gt;!$Oc"</f>
        <v>#VALUE!</v>
      </c>
      <c r="AH46" t="e">
        <f>'All regions'!F1133+"n/&gt;!$Od"</f>
        <v>#VALUE!</v>
      </c>
      <c r="AI46" t="e">
        <f>'All regions'!G1133+"n/&gt;!$Oe"</f>
        <v>#VALUE!</v>
      </c>
      <c r="AJ46" t="e">
        <f>'All regions'!H1133+"n/&gt;!$Of"</f>
        <v>#VALUE!</v>
      </c>
      <c r="AK46" t="e">
        <f>'All regions'!I1133+"n/&gt;!$Og"</f>
        <v>#VALUE!</v>
      </c>
      <c r="AL46" t="e">
        <f>'All regions'!J1133+"n/&gt;!$Oh"</f>
        <v>#VALUE!</v>
      </c>
      <c r="AM46" t="e">
        <f>'All regions'!A1134+"n/&gt;!$Oi"</f>
        <v>#VALUE!</v>
      </c>
      <c r="AN46" t="e">
        <f>'All regions'!B1134+"n/&gt;!$Oj"</f>
        <v>#VALUE!</v>
      </c>
      <c r="AO46" t="e">
        <f>'All regions'!C1134+"n/&gt;!$Ok"</f>
        <v>#VALUE!</v>
      </c>
      <c r="AP46" t="e">
        <f>'All regions'!D1134+"n/&gt;!$Ol"</f>
        <v>#VALUE!</v>
      </c>
      <c r="AQ46" t="e">
        <f>'All regions'!E1134+"n/&gt;!$Om"</f>
        <v>#VALUE!</v>
      </c>
      <c r="AR46" t="e">
        <f>'All regions'!F1134+"n/&gt;!$On"</f>
        <v>#VALUE!</v>
      </c>
      <c r="AS46" t="e">
        <f>'All regions'!G1134+"n/&gt;!$Oo"</f>
        <v>#VALUE!</v>
      </c>
      <c r="AT46" t="e">
        <f>'All regions'!H1134+"n/&gt;!$Op"</f>
        <v>#VALUE!</v>
      </c>
      <c r="AU46" t="e">
        <f>'All regions'!I1134+"n/&gt;!$Oq"</f>
        <v>#VALUE!</v>
      </c>
      <c r="AV46" t="e">
        <f>'All regions'!J1134+"n/&gt;!$Or"</f>
        <v>#VALUE!</v>
      </c>
      <c r="AW46" t="e">
        <f>'All regions'!A1135+"n/&gt;!$Os"</f>
        <v>#VALUE!</v>
      </c>
      <c r="AX46" t="e">
        <f>'All regions'!B1135+"n/&gt;!$Ot"</f>
        <v>#VALUE!</v>
      </c>
      <c r="AY46" t="e">
        <f>'All regions'!C1135+"n/&gt;!$Ou"</f>
        <v>#VALUE!</v>
      </c>
      <c r="AZ46" t="e">
        <f>'All regions'!D1135+"n/&gt;!$Ov"</f>
        <v>#VALUE!</v>
      </c>
      <c r="BA46" t="e">
        <f>'All regions'!E1135+"n/&gt;!$Ow"</f>
        <v>#VALUE!</v>
      </c>
      <c r="BB46" t="e">
        <f>'All regions'!F1135+"n/&gt;!$Ox"</f>
        <v>#VALUE!</v>
      </c>
      <c r="BC46" t="e">
        <f>'All regions'!G1135+"n/&gt;!$Oy"</f>
        <v>#VALUE!</v>
      </c>
      <c r="BD46" t="e">
        <f>'All regions'!H1135+"n/&gt;!$Oz"</f>
        <v>#VALUE!</v>
      </c>
      <c r="BE46" t="e">
        <f>'All regions'!I1135+"n/&gt;!$O{"</f>
        <v>#VALUE!</v>
      </c>
      <c r="BF46" t="e">
        <f>'All regions'!J1135+"n/&gt;!$O|"</f>
        <v>#VALUE!</v>
      </c>
      <c r="BG46" t="e">
        <f>'All regions'!A1136+"n/&gt;!$O}"</f>
        <v>#VALUE!</v>
      </c>
      <c r="BH46" t="e">
        <f>'All regions'!B1136+"n/&gt;!$O~"</f>
        <v>#VALUE!</v>
      </c>
      <c r="BI46" t="e">
        <f>'All regions'!C1136+"n/&gt;!$P#"</f>
        <v>#VALUE!</v>
      </c>
      <c r="BJ46" t="e">
        <f>'All regions'!D1136+"n/&gt;!$P$"</f>
        <v>#VALUE!</v>
      </c>
      <c r="BK46" t="e">
        <f>'All regions'!E1136+"n/&gt;!$P%"</f>
        <v>#VALUE!</v>
      </c>
      <c r="BL46" t="e">
        <f>'All regions'!F1136+"n/&gt;!$P&amp;"</f>
        <v>#VALUE!</v>
      </c>
      <c r="BM46" t="e">
        <f>'All regions'!G1136+"n/&gt;!$P'"</f>
        <v>#VALUE!</v>
      </c>
      <c r="BN46" t="e">
        <f>'All regions'!H1136+"n/&gt;!$P("</f>
        <v>#VALUE!</v>
      </c>
      <c r="BO46" t="e">
        <f>'All regions'!I1136+"n/&gt;!$P)"</f>
        <v>#VALUE!</v>
      </c>
      <c r="BP46" t="e">
        <f>'All regions'!J1136+"n/&gt;!$P."</f>
        <v>#VALUE!</v>
      </c>
      <c r="BQ46" t="e">
        <f>'All regions'!A1137+"n/&gt;!$P/"</f>
        <v>#VALUE!</v>
      </c>
      <c r="BR46" t="e">
        <f>'All regions'!B1137+"n/&gt;!$P0"</f>
        <v>#VALUE!</v>
      </c>
      <c r="BS46" t="e">
        <f>'All regions'!C1137+"n/&gt;!$P1"</f>
        <v>#VALUE!</v>
      </c>
      <c r="BT46" t="e">
        <f>'All regions'!D1137+"n/&gt;!$P2"</f>
        <v>#VALUE!</v>
      </c>
      <c r="BU46" t="e">
        <f>'All regions'!E1137+"n/&gt;!$P3"</f>
        <v>#VALUE!</v>
      </c>
      <c r="BV46" t="e">
        <f>'All regions'!F1137+"n/&gt;!$P4"</f>
        <v>#VALUE!</v>
      </c>
      <c r="BW46" t="e">
        <f>'All regions'!G1137+"n/&gt;!$P5"</f>
        <v>#VALUE!</v>
      </c>
      <c r="BX46" t="e">
        <f>'All regions'!H1137+"n/&gt;!$P6"</f>
        <v>#VALUE!</v>
      </c>
      <c r="BY46" t="e">
        <f>'All regions'!I1137+"n/&gt;!$P7"</f>
        <v>#VALUE!</v>
      </c>
      <c r="BZ46" t="e">
        <f>'All regions'!J1137+"n/&gt;!$P8"</f>
        <v>#VALUE!</v>
      </c>
      <c r="CA46" t="e">
        <f>'All regions'!A1138+"n/&gt;!$P9"</f>
        <v>#VALUE!</v>
      </c>
      <c r="CB46" t="e">
        <f>'All regions'!B1138+"n/&gt;!$P:"</f>
        <v>#VALUE!</v>
      </c>
      <c r="CC46" t="e">
        <f>'All regions'!C1138+"n/&gt;!$P;"</f>
        <v>#VALUE!</v>
      </c>
      <c r="CD46" t="e">
        <f>'All regions'!D1138+"n/&gt;!$P&lt;"</f>
        <v>#VALUE!</v>
      </c>
      <c r="CE46" t="e">
        <f>'All regions'!E1138+"n/&gt;!$P="</f>
        <v>#VALUE!</v>
      </c>
      <c r="CF46" t="e">
        <f>'All regions'!F1138+"n/&gt;!$P&gt;"</f>
        <v>#VALUE!</v>
      </c>
      <c r="CG46" t="e">
        <f>'All regions'!G1138+"n/&gt;!$P?"</f>
        <v>#VALUE!</v>
      </c>
      <c r="CH46" t="e">
        <f>'All regions'!H1138+"n/&gt;!$P@"</f>
        <v>#VALUE!</v>
      </c>
      <c r="CI46" t="e">
        <f>'All regions'!I1138+"n/&gt;!$PA"</f>
        <v>#VALUE!</v>
      </c>
      <c r="CJ46" t="e">
        <f>'All regions'!J1138+"n/&gt;!$PB"</f>
        <v>#VALUE!</v>
      </c>
      <c r="CK46" t="e">
        <f>'All regions'!A1139+"n/&gt;!$PC"</f>
        <v>#VALUE!</v>
      </c>
      <c r="CL46" t="e">
        <f>'All regions'!B1139+"n/&gt;!$PD"</f>
        <v>#VALUE!</v>
      </c>
      <c r="CM46" t="e">
        <f>'All regions'!C1139+"n/&gt;!$PE"</f>
        <v>#VALUE!</v>
      </c>
      <c r="CN46" t="e">
        <f>'All regions'!D1139+"n/&gt;!$PF"</f>
        <v>#VALUE!</v>
      </c>
      <c r="CO46" t="e">
        <f>'All regions'!E1139+"n/&gt;!$PG"</f>
        <v>#VALUE!</v>
      </c>
      <c r="CP46" t="e">
        <f>'All regions'!F1139+"n/&gt;!$PH"</f>
        <v>#VALUE!</v>
      </c>
      <c r="CQ46" t="e">
        <f>'All regions'!G1139+"n/&gt;!$PI"</f>
        <v>#VALUE!</v>
      </c>
      <c r="CR46" t="e">
        <f>'All regions'!H1139+"n/&gt;!$PJ"</f>
        <v>#VALUE!</v>
      </c>
      <c r="CS46" t="e">
        <f>'All regions'!I1139+"n/&gt;!$PK"</f>
        <v>#VALUE!</v>
      </c>
      <c r="CT46" t="e">
        <f>'All regions'!J1139+"n/&gt;!$PL"</f>
        <v>#VALUE!</v>
      </c>
      <c r="CU46" t="e">
        <f>'All regions'!A1140+"n/&gt;!$PM"</f>
        <v>#VALUE!</v>
      </c>
      <c r="CV46" t="e">
        <f>'All regions'!B1140+"n/&gt;!$PN"</f>
        <v>#VALUE!</v>
      </c>
      <c r="CW46" t="e">
        <f>'All regions'!C1140+"n/&gt;!$PO"</f>
        <v>#VALUE!</v>
      </c>
      <c r="CX46" t="e">
        <f>'All regions'!D1140+"n/&gt;!$PP"</f>
        <v>#VALUE!</v>
      </c>
      <c r="CY46" t="e">
        <f>'All regions'!E1140+"n/&gt;!$PQ"</f>
        <v>#VALUE!</v>
      </c>
      <c r="CZ46" t="e">
        <f>'All regions'!F1140+"n/&gt;!$PR"</f>
        <v>#VALUE!</v>
      </c>
      <c r="DA46" t="e">
        <f>'All regions'!G1140+"n/&gt;!$PS"</f>
        <v>#VALUE!</v>
      </c>
      <c r="DB46" t="e">
        <f>'All regions'!H1140+"n/&gt;!$PT"</f>
        <v>#VALUE!</v>
      </c>
      <c r="DC46" t="e">
        <f>'All regions'!I1140+"n/&gt;!$PU"</f>
        <v>#VALUE!</v>
      </c>
      <c r="DD46" t="e">
        <f>'All regions'!J1140+"n/&gt;!$PV"</f>
        <v>#VALUE!</v>
      </c>
      <c r="DE46" t="e">
        <f>'All regions'!A1141+"n/&gt;!$PW"</f>
        <v>#VALUE!</v>
      </c>
      <c r="DF46" t="e">
        <f>'All regions'!B1141+"n/&gt;!$PX"</f>
        <v>#VALUE!</v>
      </c>
      <c r="DG46" t="e">
        <f>'All regions'!C1141+"n/&gt;!$PY"</f>
        <v>#VALUE!</v>
      </c>
      <c r="DH46" t="e">
        <f>'All regions'!D1141+"n/&gt;!$PZ"</f>
        <v>#VALUE!</v>
      </c>
      <c r="DI46" t="e">
        <f>'All regions'!E1141+"n/&gt;!$P["</f>
        <v>#VALUE!</v>
      </c>
      <c r="DJ46" t="e">
        <f>'All regions'!F1141+"n/&gt;!$P\"</f>
        <v>#VALUE!</v>
      </c>
      <c r="DK46" t="e">
        <f>'All regions'!G1141+"n/&gt;!$P]"</f>
        <v>#VALUE!</v>
      </c>
      <c r="DL46" t="e">
        <f>'All regions'!H1141+"n/&gt;!$P^"</f>
        <v>#VALUE!</v>
      </c>
      <c r="DM46" t="e">
        <f>'All regions'!I1141+"n/&gt;!$P_"</f>
        <v>#VALUE!</v>
      </c>
      <c r="DN46" t="e">
        <f>'All regions'!J1141+"n/&gt;!$P`"</f>
        <v>#VALUE!</v>
      </c>
      <c r="DO46" t="e">
        <f>'All regions'!A1142+"n/&gt;!$Pa"</f>
        <v>#VALUE!</v>
      </c>
      <c r="DP46" t="e">
        <f>'All regions'!B1142+"n/&gt;!$Pb"</f>
        <v>#VALUE!</v>
      </c>
      <c r="DQ46" t="e">
        <f>'All regions'!C1142+"n/&gt;!$Pc"</f>
        <v>#VALUE!</v>
      </c>
      <c r="DR46" t="e">
        <f>'All regions'!D1142+"n/&gt;!$Pd"</f>
        <v>#VALUE!</v>
      </c>
      <c r="DS46" t="e">
        <f>'All regions'!E1142+"n/&gt;!$Pe"</f>
        <v>#VALUE!</v>
      </c>
      <c r="DT46" t="e">
        <f>'All regions'!F1142+"n/&gt;!$Pf"</f>
        <v>#VALUE!</v>
      </c>
      <c r="DU46" t="e">
        <f>'All regions'!G1142+"n/&gt;!$Pg"</f>
        <v>#VALUE!</v>
      </c>
      <c r="DV46" t="e">
        <f>'All regions'!H1142+"n/&gt;!$Ph"</f>
        <v>#VALUE!</v>
      </c>
      <c r="DW46" t="e">
        <f>'All regions'!I1142+"n/&gt;!$Pi"</f>
        <v>#VALUE!</v>
      </c>
      <c r="DX46" t="e">
        <f>'All regions'!J1142+"n/&gt;!$Pj"</f>
        <v>#VALUE!</v>
      </c>
      <c r="DY46" t="e">
        <f>'All regions'!A1143+"n/&gt;!$Pk"</f>
        <v>#VALUE!</v>
      </c>
      <c r="DZ46" t="e">
        <f>'All regions'!B1143+"n/&gt;!$Pl"</f>
        <v>#VALUE!</v>
      </c>
      <c r="EA46" t="e">
        <f>'All regions'!C1143+"n/&gt;!$Pm"</f>
        <v>#VALUE!</v>
      </c>
      <c r="EB46" t="e">
        <f>'All regions'!D1143+"n/&gt;!$Pn"</f>
        <v>#VALUE!</v>
      </c>
      <c r="EC46" t="e">
        <f>'All regions'!E1143+"n/&gt;!$Po"</f>
        <v>#VALUE!</v>
      </c>
      <c r="ED46" t="e">
        <f>'All regions'!F1143+"n/&gt;!$Pp"</f>
        <v>#VALUE!</v>
      </c>
      <c r="EE46" t="e">
        <f>'All regions'!G1143+"n/&gt;!$Pq"</f>
        <v>#VALUE!</v>
      </c>
      <c r="EF46" t="e">
        <f>'All regions'!H1143+"n/&gt;!$Pr"</f>
        <v>#VALUE!</v>
      </c>
      <c r="EG46" t="e">
        <f>'All regions'!I1143+"n/&gt;!$Ps"</f>
        <v>#VALUE!</v>
      </c>
      <c r="EH46" t="e">
        <f>'All regions'!J1143+"n/&gt;!$Pt"</f>
        <v>#VALUE!</v>
      </c>
      <c r="EI46" t="e">
        <f>'All regions'!A1144+"n/&gt;!$Pu"</f>
        <v>#VALUE!</v>
      </c>
      <c r="EJ46" t="e">
        <f>'All regions'!B1144+"n/&gt;!$Pv"</f>
        <v>#VALUE!</v>
      </c>
      <c r="EK46" t="e">
        <f>'All regions'!C1144+"n/&gt;!$Pw"</f>
        <v>#VALUE!</v>
      </c>
      <c r="EL46" t="e">
        <f>'All regions'!D1144+"n/&gt;!$Px"</f>
        <v>#VALUE!</v>
      </c>
      <c r="EM46" t="e">
        <f>'All regions'!E1144+"n/&gt;!$Py"</f>
        <v>#VALUE!</v>
      </c>
      <c r="EN46" t="e">
        <f>'All regions'!F1144+"n/&gt;!$Pz"</f>
        <v>#VALUE!</v>
      </c>
      <c r="EO46" t="e">
        <f>'All regions'!G1144+"n/&gt;!$P{"</f>
        <v>#VALUE!</v>
      </c>
      <c r="EP46" t="e">
        <f>'All regions'!H1144+"n/&gt;!$P|"</f>
        <v>#VALUE!</v>
      </c>
      <c r="EQ46" t="e">
        <f>'All regions'!I1144+"n/&gt;!$P}"</f>
        <v>#VALUE!</v>
      </c>
      <c r="ER46" t="e">
        <f>'All regions'!J1144+"n/&gt;!$P~"</f>
        <v>#VALUE!</v>
      </c>
      <c r="ES46" t="e">
        <f>'All regions'!A1145+"n/&gt;!$Q#"</f>
        <v>#VALUE!</v>
      </c>
      <c r="ET46" t="e">
        <f>'All regions'!B1145+"n/&gt;!$Q$"</f>
        <v>#VALUE!</v>
      </c>
      <c r="EU46" t="e">
        <f>'All regions'!C1145+"n/&gt;!$Q%"</f>
        <v>#VALUE!</v>
      </c>
      <c r="EV46" t="e">
        <f>'All regions'!D1145+"n/&gt;!$Q&amp;"</f>
        <v>#VALUE!</v>
      </c>
      <c r="EW46" t="e">
        <f>'All regions'!E1145+"n/&gt;!$Q'"</f>
        <v>#VALUE!</v>
      </c>
      <c r="EX46" t="e">
        <f>'All regions'!F1145+"n/&gt;!$Q("</f>
        <v>#VALUE!</v>
      </c>
      <c r="EY46" t="e">
        <f>'All regions'!G1145+"n/&gt;!$Q)"</f>
        <v>#VALUE!</v>
      </c>
      <c r="EZ46" t="e">
        <f>'All regions'!H1145+"n/&gt;!$Q."</f>
        <v>#VALUE!</v>
      </c>
      <c r="FA46" t="e">
        <f>'All regions'!I1145+"n/&gt;!$Q/"</f>
        <v>#VALUE!</v>
      </c>
      <c r="FB46" t="e">
        <f>'All regions'!J1145+"n/&gt;!$Q0"</f>
        <v>#VALUE!</v>
      </c>
      <c r="FC46" t="e">
        <f>'All regions'!A1146+"n/&gt;!$Q1"</f>
        <v>#VALUE!</v>
      </c>
      <c r="FD46" t="e">
        <f>'All regions'!B1146+"n/&gt;!$Q2"</f>
        <v>#VALUE!</v>
      </c>
      <c r="FE46" t="e">
        <f>'All regions'!C1146+"n/&gt;!$Q3"</f>
        <v>#VALUE!</v>
      </c>
      <c r="FF46" t="e">
        <f>'All regions'!D1146+"n/&gt;!$Q4"</f>
        <v>#VALUE!</v>
      </c>
      <c r="FG46" t="e">
        <f>'All regions'!E1146+"n/&gt;!$Q5"</f>
        <v>#VALUE!</v>
      </c>
      <c r="FH46" t="e">
        <f>'All regions'!F1146+"n/&gt;!$Q6"</f>
        <v>#VALUE!</v>
      </c>
      <c r="FI46" t="e">
        <f>'All regions'!G1146+"n/&gt;!$Q7"</f>
        <v>#VALUE!</v>
      </c>
      <c r="FJ46" t="e">
        <f>'All regions'!H1146+"n/&gt;!$Q8"</f>
        <v>#VALUE!</v>
      </c>
      <c r="FK46" t="e">
        <f>'All regions'!I1146+"n/&gt;!$Q9"</f>
        <v>#VALUE!</v>
      </c>
      <c r="FL46" t="e">
        <f>'All regions'!J1146+"n/&gt;!$Q:"</f>
        <v>#VALUE!</v>
      </c>
      <c r="FM46" t="e">
        <f>'All regions'!A1147+"n/&gt;!$Q;"</f>
        <v>#VALUE!</v>
      </c>
      <c r="FN46" t="e">
        <f>'All regions'!B1147+"n/&gt;!$Q&lt;"</f>
        <v>#VALUE!</v>
      </c>
      <c r="FO46" t="e">
        <f>'All regions'!C1147+"n/&gt;!$Q="</f>
        <v>#VALUE!</v>
      </c>
      <c r="FP46" t="e">
        <f>'All regions'!D1147+"n/&gt;!$Q&gt;"</f>
        <v>#VALUE!</v>
      </c>
      <c r="FQ46" t="e">
        <f>'All regions'!E1147+"n/&gt;!$Q?"</f>
        <v>#VALUE!</v>
      </c>
      <c r="FR46" t="e">
        <f>'All regions'!F1147+"n/&gt;!$Q@"</f>
        <v>#VALUE!</v>
      </c>
      <c r="FS46" t="e">
        <f>'All regions'!G1147+"n/&gt;!$QA"</f>
        <v>#VALUE!</v>
      </c>
      <c r="FT46" t="e">
        <f>'All regions'!H1147+"n/&gt;!$QB"</f>
        <v>#VALUE!</v>
      </c>
      <c r="FU46" t="e">
        <f>'All regions'!I1147+"n/&gt;!$QC"</f>
        <v>#VALUE!</v>
      </c>
      <c r="FV46" t="e">
        <f>'All regions'!J1147+"n/&gt;!$QD"</f>
        <v>#VALUE!</v>
      </c>
      <c r="FW46" t="e">
        <f>'All regions'!A1148+"n/&gt;!$QE"</f>
        <v>#VALUE!</v>
      </c>
      <c r="FX46" t="e">
        <f>'All regions'!B1148+"n/&gt;!$QF"</f>
        <v>#VALUE!</v>
      </c>
      <c r="FY46" t="e">
        <f>'All regions'!C1148+"n/&gt;!$QG"</f>
        <v>#VALUE!</v>
      </c>
      <c r="FZ46" t="e">
        <f>'All regions'!D1148+"n/&gt;!$QH"</f>
        <v>#VALUE!</v>
      </c>
      <c r="GA46" t="e">
        <f>'All regions'!E1148+"n/&gt;!$QI"</f>
        <v>#VALUE!</v>
      </c>
      <c r="GB46" t="e">
        <f>'All regions'!F1148+"n/&gt;!$QJ"</f>
        <v>#VALUE!</v>
      </c>
      <c r="GC46" t="e">
        <f>'All regions'!G1148+"n/&gt;!$QK"</f>
        <v>#VALUE!</v>
      </c>
      <c r="GD46" t="e">
        <f>'All regions'!H1148+"n/&gt;!$QL"</f>
        <v>#VALUE!</v>
      </c>
      <c r="GE46" t="e">
        <f>'All regions'!I1148+"n/&gt;!$QM"</f>
        <v>#VALUE!</v>
      </c>
      <c r="GF46" t="e">
        <f>'All regions'!J1148+"n/&gt;!$QN"</f>
        <v>#VALUE!</v>
      </c>
      <c r="GG46" t="e">
        <f>'All regions'!A1149+"n/&gt;!$QO"</f>
        <v>#VALUE!</v>
      </c>
      <c r="GH46" t="e">
        <f>'All regions'!B1149+"n/&gt;!$QP"</f>
        <v>#VALUE!</v>
      </c>
      <c r="GI46" t="e">
        <f>'All regions'!C1149+"n/&gt;!$QQ"</f>
        <v>#VALUE!</v>
      </c>
      <c r="GJ46" t="e">
        <f>'All regions'!D1149+"n/&gt;!$QR"</f>
        <v>#VALUE!</v>
      </c>
      <c r="GK46" t="e">
        <f>'All regions'!E1149+"n/&gt;!$QS"</f>
        <v>#VALUE!</v>
      </c>
      <c r="GL46" t="e">
        <f>'All regions'!F1149+"n/&gt;!$QT"</f>
        <v>#VALUE!</v>
      </c>
      <c r="GM46" t="e">
        <f>'All regions'!G1149+"n/&gt;!$QU"</f>
        <v>#VALUE!</v>
      </c>
      <c r="GN46" t="e">
        <f>'All regions'!H1149+"n/&gt;!$QV"</f>
        <v>#VALUE!</v>
      </c>
      <c r="GO46" t="e">
        <f>'All regions'!I1149+"n/&gt;!$QW"</f>
        <v>#VALUE!</v>
      </c>
      <c r="GP46" t="e">
        <f>'All regions'!J1149+"n/&gt;!$QX"</f>
        <v>#VALUE!</v>
      </c>
      <c r="GQ46" t="e">
        <f>'All regions'!A1150+"n/&gt;!$QY"</f>
        <v>#VALUE!</v>
      </c>
      <c r="GR46" t="e">
        <f>'All regions'!B1150+"n/&gt;!$QZ"</f>
        <v>#VALUE!</v>
      </c>
      <c r="GS46" t="e">
        <f>'All regions'!C1150+"n/&gt;!$Q["</f>
        <v>#VALUE!</v>
      </c>
      <c r="GT46" t="e">
        <f>'All regions'!D1150+"n/&gt;!$Q\"</f>
        <v>#VALUE!</v>
      </c>
      <c r="GU46" t="e">
        <f>'All regions'!E1150+"n/&gt;!$Q]"</f>
        <v>#VALUE!</v>
      </c>
      <c r="GV46" t="e">
        <f>'All regions'!F1150+"n/&gt;!$Q^"</f>
        <v>#VALUE!</v>
      </c>
      <c r="GW46" t="e">
        <f>'All regions'!G1150+"n/&gt;!$Q_"</f>
        <v>#VALUE!</v>
      </c>
      <c r="GX46" t="e">
        <f>'All regions'!H1150+"n/&gt;!$Q`"</f>
        <v>#VALUE!</v>
      </c>
      <c r="GY46" t="e">
        <f>'All regions'!I1150+"n/&gt;!$Qa"</f>
        <v>#VALUE!</v>
      </c>
      <c r="GZ46" t="e">
        <f>'All regions'!J1150+"n/&gt;!$Qb"</f>
        <v>#VALUE!</v>
      </c>
      <c r="HA46" t="e">
        <f>'All regions'!A1151+"n/&gt;!$Qc"</f>
        <v>#VALUE!</v>
      </c>
      <c r="HB46" t="e">
        <f>'All regions'!B1151+"n/&gt;!$Qd"</f>
        <v>#VALUE!</v>
      </c>
      <c r="HC46" t="e">
        <f>'All regions'!C1151+"n/&gt;!$Qe"</f>
        <v>#VALUE!</v>
      </c>
      <c r="HD46" t="e">
        <f>'All regions'!D1151+"n/&gt;!$Qf"</f>
        <v>#VALUE!</v>
      </c>
      <c r="HE46" t="e">
        <f>'All regions'!E1151+"n/&gt;!$Qg"</f>
        <v>#VALUE!</v>
      </c>
      <c r="HF46" t="e">
        <f>'All regions'!F1151+"n/&gt;!$Qh"</f>
        <v>#VALUE!</v>
      </c>
      <c r="HG46" t="e">
        <f>'All regions'!G1151+"n/&gt;!$Qi"</f>
        <v>#VALUE!</v>
      </c>
      <c r="HH46" t="e">
        <f>'All regions'!H1151+"n/&gt;!$Qj"</f>
        <v>#VALUE!</v>
      </c>
      <c r="HI46" t="e">
        <f>'All regions'!I1151+"n/&gt;!$Qk"</f>
        <v>#VALUE!</v>
      </c>
      <c r="HJ46" t="e">
        <f>'All regions'!J1151+"n/&gt;!$Ql"</f>
        <v>#VALUE!</v>
      </c>
      <c r="HK46" t="e">
        <f>'All regions'!A1152+"n/&gt;!$Qm"</f>
        <v>#VALUE!</v>
      </c>
      <c r="HL46" t="e">
        <f>'All regions'!B1152+"n/&gt;!$Qn"</f>
        <v>#VALUE!</v>
      </c>
      <c r="HM46" t="e">
        <f>'All regions'!C1152+"n/&gt;!$Qo"</f>
        <v>#VALUE!</v>
      </c>
      <c r="HN46" t="e">
        <f>'All regions'!D1152+"n/&gt;!$Qp"</f>
        <v>#VALUE!</v>
      </c>
      <c r="HO46" t="e">
        <f>'All regions'!E1152+"n/&gt;!$Qq"</f>
        <v>#VALUE!</v>
      </c>
      <c r="HP46" t="e">
        <f>'All regions'!F1152+"n/&gt;!$Qr"</f>
        <v>#VALUE!</v>
      </c>
      <c r="HQ46" t="e">
        <f>'All regions'!G1152+"n/&gt;!$Qs"</f>
        <v>#VALUE!</v>
      </c>
      <c r="HR46" t="e">
        <f>'All regions'!H1152+"n/&gt;!$Qt"</f>
        <v>#VALUE!</v>
      </c>
      <c r="HS46" t="e">
        <f>'All regions'!I1152+"n/&gt;!$Qu"</f>
        <v>#VALUE!</v>
      </c>
      <c r="HT46" t="e">
        <f>'All regions'!J1152+"n/&gt;!$Qv"</f>
        <v>#VALUE!</v>
      </c>
      <c r="HU46" t="e">
        <f>'All regions'!A1153+"n/&gt;!$Qw"</f>
        <v>#VALUE!</v>
      </c>
      <c r="HV46" t="e">
        <f>'All regions'!B1153+"n/&gt;!$Qx"</f>
        <v>#VALUE!</v>
      </c>
      <c r="HW46" t="e">
        <f>'All regions'!C1153+"n/&gt;!$Qy"</f>
        <v>#VALUE!</v>
      </c>
      <c r="HX46" t="e">
        <f>'All regions'!D1153+"n/&gt;!$Qz"</f>
        <v>#VALUE!</v>
      </c>
      <c r="HY46" t="e">
        <f>'All regions'!E1153+"n/&gt;!$Q{"</f>
        <v>#VALUE!</v>
      </c>
      <c r="HZ46" t="e">
        <f>'All regions'!F1153+"n/&gt;!$Q|"</f>
        <v>#VALUE!</v>
      </c>
      <c r="IA46" t="e">
        <f>'All regions'!G1153+"n/&gt;!$Q}"</f>
        <v>#VALUE!</v>
      </c>
      <c r="IB46" t="e">
        <f>'All regions'!H1153+"n/&gt;!$Q~"</f>
        <v>#VALUE!</v>
      </c>
      <c r="IC46" t="e">
        <f>'All regions'!I1153+"n/&gt;!$R#"</f>
        <v>#VALUE!</v>
      </c>
      <c r="ID46" t="e">
        <f>'All regions'!J1153+"n/&gt;!$R$"</f>
        <v>#VALUE!</v>
      </c>
      <c r="IE46" t="e">
        <f>'All regions'!A1154+"n/&gt;!$R%"</f>
        <v>#VALUE!</v>
      </c>
      <c r="IF46" t="e">
        <f>'All regions'!B1154+"n/&gt;!$R&amp;"</f>
        <v>#VALUE!</v>
      </c>
      <c r="IG46" t="e">
        <f>'All regions'!C1154+"n/&gt;!$R'"</f>
        <v>#VALUE!</v>
      </c>
      <c r="IH46" t="e">
        <f>'All regions'!D1154+"n/&gt;!$R("</f>
        <v>#VALUE!</v>
      </c>
      <c r="II46" t="e">
        <f>'All regions'!E1154+"n/&gt;!$R)"</f>
        <v>#VALUE!</v>
      </c>
      <c r="IJ46" t="e">
        <f>'All regions'!F1154+"n/&gt;!$R."</f>
        <v>#VALUE!</v>
      </c>
      <c r="IK46" t="e">
        <f>'All regions'!G1154+"n/&gt;!$R/"</f>
        <v>#VALUE!</v>
      </c>
      <c r="IL46" t="e">
        <f>'All regions'!H1154+"n/&gt;!$R0"</f>
        <v>#VALUE!</v>
      </c>
      <c r="IM46" t="e">
        <f>'All regions'!I1154+"n/&gt;!$R1"</f>
        <v>#VALUE!</v>
      </c>
      <c r="IN46" t="e">
        <f>'All regions'!J1154+"n/&gt;!$R2"</f>
        <v>#VALUE!</v>
      </c>
      <c r="IO46" t="e">
        <f>'All regions'!A1155+"n/&gt;!$R3"</f>
        <v>#VALUE!</v>
      </c>
      <c r="IP46" t="e">
        <f>'All regions'!B1155+"n/&gt;!$R4"</f>
        <v>#VALUE!</v>
      </c>
      <c r="IQ46" t="e">
        <f>'All regions'!C1155+"n/&gt;!$R5"</f>
        <v>#VALUE!</v>
      </c>
      <c r="IR46" t="e">
        <f>'All regions'!D1155+"n/&gt;!$R6"</f>
        <v>#VALUE!</v>
      </c>
      <c r="IS46" t="e">
        <f>'All regions'!E1155+"n/&gt;!$R7"</f>
        <v>#VALUE!</v>
      </c>
      <c r="IT46" t="e">
        <f>'All regions'!F1155+"n/&gt;!$R8"</f>
        <v>#VALUE!</v>
      </c>
      <c r="IU46" t="e">
        <f>'All regions'!G1155+"n/&gt;!$R9"</f>
        <v>#VALUE!</v>
      </c>
      <c r="IV46" t="e">
        <f>'All regions'!H1155+"n/&gt;!$R:"</f>
        <v>#VALUE!</v>
      </c>
    </row>
    <row r="47" spans="6:256" x14ac:dyDescent="0.35">
      <c r="F47" t="e">
        <f>'All regions'!I1155+"n/&gt;!$R;"</f>
        <v>#VALUE!</v>
      </c>
      <c r="G47" t="e">
        <f>'All regions'!J1155+"n/&gt;!$R&lt;"</f>
        <v>#VALUE!</v>
      </c>
      <c r="H47" t="e">
        <f>'All regions'!A1156+"n/&gt;!$R="</f>
        <v>#VALUE!</v>
      </c>
      <c r="I47" t="e">
        <f>'All regions'!B1156+"n/&gt;!$R&gt;"</f>
        <v>#VALUE!</v>
      </c>
      <c r="J47" t="e">
        <f>'All regions'!C1156+"n/&gt;!$R?"</f>
        <v>#VALUE!</v>
      </c>
      <c r="K47" t="e">
        <f>'All regions'!D1156+"n/&gt;!$R@"</f>
        <v>#VALUE!</v>
      </c>
      <c r="L47" t="e">
        <f>'All regions'!E1156+"n/&gt;!$RA"</f>
        <v>#VALUE!</v>
      </c>
      <c r="M47" t="e">
        <f>'All regions'!F1156+"n/&gt;!$RB"</f>
        <v>#VALUE!</v>
      </c>
      <c r="N47" t="e">
        <f>'All regions'!G1156+"n/&gt;!$RC"</f>
        <v>#VALUE!</v>
      </c>
      <c r="O47" t="e">
        <f>'All regions'!H1156+"n/&gt;!$RD"</f>
        <v>#VALUE!</v>
      </c>
      <c r="P47" t="e">
        <f>'All regions'!I1156+"n/&gt;!$RE"</f>
        <v>#VALUE!</v>
      </c>
      <c r="Q47" t="e">
        <f>'All regions'!J1156+"n/&gt;!$RF"</f>
        <v>#VALUE!</v>
      </c>
      <c r="R47" t="e">
        <f>'All regions'!A1157+"n/&gt;!$RG"</f>
        <v>#VALUE!</v>
      </c>
      <c r="S47" t="e">
        <f>'All regions'!B1157+"n/&gt;!$RH"</f>
        <v>#VALUE!</v>
      </c>
      <c r="T47" t="e">
        <f>'All regions'!C1157+"n/&gt;!$RI"</f>
        <v>#VALUE!</v>
      </c>
      <c r="U47" t="e">
        <f>'All regions'!D1157+"n/&gt;!$RJ"</f>
        <v>#VALUE!</v>
      </c>
      <c r="V47" t="e">
        <f>'All regions'!E1157+"n/&gt;!$RK"</f>
        <v>#VALUE!</v>
      </c>
      <c r="W47" t="e">
        <f>'All regions'!F1157+"n/&gt;!$RL"</f>
        <v>#VALUE!</v>
      </c>
      <c r="X47" t="e">
        <f>'All regions'!G1157+"n/&gt;!$RM"</f>
        <v>#VALUE!</v>
      </c>
      <c r="Y47" t="e">
        <f>'All regions'!H1157+"n/&gt;!$RN"</f>
        <v>#VALUE!</v>
      </c>
      <c r="Z47" t="e">
        <f>'All regions'!I1157+"n/&gt;!$RO"</f>
        <v>#VALUE!</v>
      </c>
      <c r="AA47" t="e">
        <f>'All regions'!J1157+"n/&gt;!$RP"</f>
        <v>#VALUE!</v>
      </c>
      <c r="AB47" t="e">
        <f>'All regions'!A1158+"n/&gt;!$RQ"</f>
        <v>#VALUE!</v>
      </c>
      <c r="AC47" t="e">
        <f>'All regions'!B1158+"n/&gt;!$RR"</f>
        <v>#VALUE!</v>
      </c>
      <c r="AD47" t="e">
        <f>'All regions'!C1158+"n/&gt;!$RS"</f>
        <v>#VALUE!</v>
      </c>
      <c r="AE47" t="e">
        <f>'All regions'!D1158+"n/&gt;!$RT"</f>
        <v>#VALUE!</v>
      </c>
      <c r="AF47" t="e">
        <f>'All regions'!E1158+"n/&gt;!$RU"</f>
        <v>#VALUE!</v>
      </c>
      <c r="AG47" t="e">
        <f>'All regions'!F1158+"n/&gt;!$RV"</f>
        <v>#VALUE!</v>
      </c>
      <c r="AH47" t="e">
        <f>'All regions'!G1158+"n/&gt;!$RW"</f>
        <v>#VALUE!</v>
      </c>
      <c r="AI47" t="e">
        <f>'All regions'!H1158+"n/&gt;!$RX"</f>
        <v>#VALUE!</v>
      </c>
      <c r="AJ47" t="e">
        <f>'All regions'!I1158+"n/&gt;!$RY"</f>
        <v>#VALUE!</v>
      </c>
      <c r="AK47" t="e">
        <f>'All regions'!J1158+"n/&gt;!$RZ"</f>
        <v>#VALUE!</v>
      </c>
      <c r="AL47" t="e">
        <f>'All regions'!A1159+"n/&gt;!$R["</f>
        <v>#VALUE!</v>
      </c>
      <c r="AM47" t="e">
        <f>'All regions'!B1159+"n/&gt;!$R\"</f>
        <v>#VALUE!</v>
      </c>
      <c r="AN47" t="e">
        <f>'All regions'!C1159+"n/&gt;!$R]"</f>
        <v>#VALUE!</v>
      </c>
      <c r="AO47" t="e">
        <f>'All regions'!D1159+"n/&gt;!$R^"</f>
        <v>#VALUE!</v>
      </c>
      <c r="AP47" t="e">
        <f>'All regions'!E1159+"n/&gt;!$R_"</f>
        <v>#VALUE!</v>
      </c>
      <c r="AQ47" t="e">
        <f>'All regions'!F1159+"n/&gt;!$R`"</f>
        <v>#VALUE!</v>
      </c>
      <c r="AR47" t="e">
        <f>'All regions'!G1159+"n/&gt;!$Ra"</f>
        <v>#VALUE!</v>
      </c>
      <c r="AS47" t="e">
        <f>'All regions'!H1159+"n/&gt;!$Rb"</f>
        <v>#VALUE!</v>
      </c>
      <c r="AT47" t="e">
        <f>'All regions'!I1159+"n/&gt;!$Rc"</f>
        <v>#VALUE!</v>
      </c>
      <c r="AU47" t="e">
        <f>'All regions'!J1159+"n/&gt;!$Rd"</f>
        <v>#VALUE!</v>
      </c>
      <c r="AV47" t="e">
        <f>'All regions'!A1160+"n/&gt;!$Re"</f>
        <v>#VALUE!</v>
      </c>
      <c r="AW47" t="e">
        <f>'All regions'!B1160+"n/&gt;!$Rf"</f>
        <v>#VALUE!</v>
      </c>
      <c r="AX47" t="e">
        <f>'All regions'!C1160+"n/&gt;!$Rg"</f>
        <v>#VALUE!</v>
      </c>
      <c r="AY47" t="e">
        <f>'All regions'!D1160+"n/&gt;!$Rh"</f>
        <v>#VALUE!</v>
      </c>
      <c r="AZ47" t="e">
        <f>'All regions'!E1160+"n/&gt;!$Ri"</f>
        <v>#VALUE!</v>
      </c>
      <c r="BA47" t="e">
        <f>'All regions'!F1160+"n/&gt;!$Rj"</f>
        <v>#VALUE!</v>
      </c>
      <c r="BB47" t="e">
        <f>'All regions'!G1160+"n/&gt;!$Rk"</f>
        <v>#VALUE!</v>
      </c>
      <c r="BC47" t="e">
        <f>'All regions'!H1160+"n/&gt;!$Rl"</f>
        <v>#VALUE!</v>
      </c>
      <c r="BD47" t="e">
        <f>'All regions'!I1160+"n/&gt;!$Rm"</f>
        <v>#VALUE!</v>
      </c>
      <c r="BE47" t="e">
        <f>'All regions'!J1160+"n/&gt;!$Rn"</f>
        <v>#VALUE!</v>
      </c>
      <c r="BF47" t="e">
        <f>'All regions'!A1161+"n/&gt;!$Ro"</f>
        <v>#VALUE!</v>
      </c>
      <c r="BG47" t="e">
        <f>'All regions'!B1161+"n/&gt;!$Rp"</f>
        <v>#VALUE!</v>
      </c>
      <c r="BH47" t="e">
        <f>'All regions'!C1161+"n/&gt;!$Rq"</f>
        <v>#VALUE!</v>
      </c>
      <c r="BI47" t="e">
        <f>'All regions'!D1161+"n/&gt;!$Rr"</f>
        <v>#VALUE!</v>
      </c>
      <c r="BJ47" t="e">
        <f>'All regions'!E1161+"n/&gt;!$Rs"</f>
        <v>#VALUE!</v>
      </c>
      <c r="BK47" t="e">
        <f>'All regions'!F1161+"n/&gt;!$Rt"</f>
        <v>#VALUE!</v>
      </c>
      <c r="BL47" t="e">
        <f>'All regions'!G1161+"n/&gt;!$Ru"</f>
        <v>#VALUE!</v>
      </c>
      <c r="BM47" t="e">
        <f>'All regions'!H1161+"n/&gt;!$Rv"</f>
        <v>#VALUE!</v>
      </c>
      <c r="BN47" t="e">
        <f>'All regions'!I1161+"n/&gt;!$Rw"</f>
        <v>#VALUE!</v>
      </c>
      <c r="BO47" t="e">
        <f>'All regions'!J1161+"n/&gt;!$Rx"</f>
        <v>#VALUE!</v>
      </c>
      <c r="BP47" t="e">
        <f>'All regions'!A1162+"n/&gt;!$Ry"</f>
        <v>#VALUE!</v>
      </c>
      <c r="BQ47" t="e">
        <f>'All regions'!B1162+"n/&gt;!$Rz"</f>
        <v>#VALUE!</v>
      </c>
      <c r="BR47" t="e">
        <f>'All regions'!C1162+"n/&gt;!$R{"</f>
        <v>#VALUE!</v>
      </c>
      <c r="BS47" t="e">
        <f>'All regions'!D1162+"n/&gt;!$R|"</f>
        <v>#VALUE!</v>
      </c>
      <c r="BT47" t="e">
        <f>'All regions'!E1162+"n/&gt;!$R}"</f>
        <v>#VALUE!</v>
      </c>
      <c r="BU47" t="e">
        <f>'All regions'!F1162+"n/&gt;!$R~"</f>
        <v>#VALUE!</v>
      </c>
      <c r="BV47" t="e">
        <f>'All regions'!G1162+"n/&gt;!$S#"</f>
        <v>#VALUE!</v>
      </c>
      <c r="BW47" t="e">
        <f>'All regions'!H1162+"n/&gt;!$S$"</f>
        <v>#VALUE!</v>
      </c>
      <c r="BX47" t="e">
        <f>'All regions'!I1162+"n/&gt;!$S%"</f>
        <v>#VALUE!</v>
      </c>
      <c r="BY47" t="e">
        <f>'All regions'!J1162+"n/&gt;!$S&amp;"</f>
        <v>#VALUE!</v>
      </c>
      <c r="BZ47" t="e">
        <f>'All regions'!A1163+"n/&gt;!$S'"</f>
        <v>#VALUE!</v>
      </c>
      <c r="CA47" t="e">
        <f>'All regions'!B1163+"n/&gt;!$S("</f>
        <v>#VALUE!</v>
      </c>
      <c r="CB47" t="e">
        <f>'All regions'!C1163+"n/&gt;!$S)"</f>
        <v>#VALUE!</v>
      </c>
      <c r="CC47" t="e">
        <f>'All regions'!D1163+"n/&gt;!$S."</f>
        <v>#VALUE!</v>
      </c>
      <c r="CD47" t="e">
        <f>'All regions'!E1163+"n/&gt;!$S/"</f>
        <v>#VALUE!</v>
      </c>
      <c r="CE47" t="e">
        <f>'All regions'!F1163+"n/&gt;!$S0"</f>
        <v>#VALUE!</v>
      </c>
      <c r="CF47" t="e">
        <f>'All regions'!G1163+"n/&gt;!$S1"</f>
        <v>#VALUE!</v>
      </c>
      <c r="CG47" t="e">
        <f>'All regions'!H1163+"n/&gt;!$S2"</f>
        <v>#VALUE!</v>
      </c>
      <c r="CH47" t="e">
        <f>'All regions'!I1163+"n/&gt;!$S3"</f>
        <v>#VALUE!</v>
      </c>
      <c r="CI47" t="e">
        <f>'All regions'!J1163+"n/&gt;!$S4"</f>
        <v>#VALUE!</v>
      </c>
      <c r="CJ47" t="e">
        <f>'All regions'!A1164+"n/&gt;!$S5"</f>
        <v>#VALUE!</v>
      </c>
      <c r="CK47" t="e">
        <f>'All regions'!B1164+"n/&gt;!$S6"</f>
        <v>#VALUE!</v>
      </c>
      <c r="CL47" t="e">
        <f>'All regions'!C1164+"n/&gt;!$S7"</f>
        <v>#VALUE!</v>
      </c>
      <c r="CM47" t="e">
        <f>'All regions'!D1164+"n/&gt;!$S8"</f>
        <v>#VALUE!</v>
      </c>
      <c r="CN47" t="e">
        <f>'All regions'!E1164+"n/&gt;!$S9"</f>
        <v>#VALUE!</v>
      </c>
      <c r="CO47" t="e">
        <f>'All regions'!F1164+"n/&gt;!$S:"</f>
        <v>#VALUE!</v>
      </c>
      <c r="CP47" t="e">
        <f>'All regions'!G1164+"n/&gt;!$S;"</f>
        <v>#VALUE!</v>
      </c>
      <c r="CQ47" t="e">
        <f>'All regions'!H1164+"n/&gt;!$S&lt;"</f>
        <v>#VALUE!</v>
      </c>
      <c r="CR47" t="e">
        <f>'All regions'!I1164+"n/&gt;!$S="</f>
        <v>#VALUE!</v>
      </c>
      <c r="CS47" t="e">
        <f>'All regions'!J1164+"n/&gt;!$S&gt;"</f>
        <v>#VALUE!</v>
      </c>
      <c r="CT47" t="e">
        <f>'All regions'!A1165+"n/&gt;!$S?"</f>
        <v>#VALUE!</v>
      </c>
      <c r="CU47" t="e">
        <f>'All regions'!B1165+"n/&gt;!$S@"</f>
        <v>#VALUE!</v>
      </c>
      <c r="CV47" t="e">
        <f>'All regions'!C1165+"n/&gt;!$SA"</f>
        <v>#VALUE!</v>
      </c>
      <c r="CW47" t="e">
        <f>'All regions'!D1165+"n/&gt;!$SB"</f>
        <v>#VALUE!</v>
      </c>
      <c r="CX47" t="e">
        <f>'All regions'!E1165+"n/&gt;!$SC"</f>
        <v>#VALUE!</v>
      </c>
      <c r="CY47" t="e">
        <f>'All regions'!F1165+"n/&gt;!$SD"</f>
        <v>#VALUE!</v>
      </c>
      <c r="CZ47" t="e">
        <f>'All regions'!G1165+"n/&gt;!$SE"</f>
        <v>#VALUE!</v>
      </c>
      <c r="DA47" t="e">
        <f>'All regions'!H1165+"n/&gt;!$SF"</f>
        <v>#VALUE!</v>
      </c>
      <c r="DB47" t="e">
        <f>'All regions'!I1165+"n/&gt;!$SG"</f>
        <v>#VALUE!</v>
      </c>
      <c r="DC47" t="e">
        <f>'All regions'!J1165+"n/&gt;!$SH"</f>
        <v>#VALUE!</v>
      </c>
      <c r="DD47" t="e">
        <f>'All regions'!A1166+"n/&gt;!$SI"</f>
        <v>#VALUE!</v>
      </c>
      <c r="DE47" t="e">
        <f>'All regions'!B1166+"n/&gt;!$SJ"</f>
        <v>#VALUE!</v>
      </c>
      <c r="DF47" t="e">
        <f>'All regions'!C1166+"n/&gt;!$SK"</f>
        <v>#VALUE!</v>
      </c>
      <c r="DG47" t="e">
        <f>'All regions'!D1166+"n/&gt;!$SL"</f>
        <v>#VALUE!</v>
      </c>
      <c r="DH47" t="e">
        <f>'All regions'!E1166+"n/&gt;!$SM"</f>
        <v>#VALUE!</v>
      </c>
      <c r="DI47" t="e">
        <f>'All regions'!F1166+"n/&gt;!$SN"</f>
        <v>#VALUE!</v>
      </c>
      <c r="DJ47" t="e">
        <f>'All regions'!G1166+"n/&gt;!$SO"</f>
        <v>#VALUE!</v>
      </c>
      <c r="DK47" t="e">
        <f>'All regions'!H1166+"n/&gt;!$SP"</f>
        <v>#VALUE!</v>
      </c>
      <c r="DL47" t="e">
        <f>'All regions'!I1166+"n/&gt;!$SQ"</f>
        <v>#VALUE!</v>
      </c>
      <c r="DM47" t="e">
        <f>'All regions'!J1166+"n/&gt;!$SR"</f>
        <v>#VALUE!</v>
      </c>
      <c r="DN47" t="e">
        <f>'All regions'!A1167+"n/&gt;!$SS"</f>
        <v>#VALUE!</v>
      </c>
      <c r="DO47" t="e">
        <f>'All regions'!B1167+"n/&gt;!$ST"</f>
        <v>#VALUE!</v>
      </c>
      <c r="DP47" t="e">
        <f>'All regions'!C1167+"n/&gt;!$SU"</f>
        <v>#VALUE!</v>
      </c>
      <c r="DQ47" t="e">
        <f>'All regions'!D1167+"n/&gt;!$SV"</f>
        <v>#VALUE!</v>
      </c>
      <c r="DR47" t="e">
        <f>'All regions'!E1167+"n/&gt;!$SW"</f>
        <v>#VALUE!</v>
      </c>
      <c r="DS47" t="e">
        <f>'All regions'!F1167+"n/&gt;!$SX"</f>
        <v>#VALUE!</v>
      </c>
      <c r="DT47" t="e">
        <f>'All regions'!G1167+"n/&gt;!$SY"</f>
        <v>#VALUE!</v>
      </c>
      <c r="DU47" t="e">
        <f>'All regions'!H1167+"n/&gt;!$SZ"</f>
        <v>#VALUE!</v>
      </c>
      <c r="DV47" t="e">
        <f>'All regions'!I1167+"n/&gt;!$S["</f>
        <v>#VALUE!</v>
      </c>
      <c r="DW47" t="e">
        <f>'All regions'!J1167+"n/&gt;!$S\"</f>
        <v>#VALUE!</v>
      </c>
      <c r="DX47" t="e">
        <f>'All regions'!A1168+"n/&gt;!$S]"</f>
        <v>#VALUE!</v>
      </c>
      <c r="DY47" t="e">
        <f>'All regions'!B1168+"n/&gt;!$S^"</f>
        <v>#VALUE!</v>
      </c>
      <c r="DZ47" t="e">
        <f>'All regions'!C1168+"n/&gt;!$S_"</f>
        <v>#VALUE!</v>
      </c>
      <c r="EA47" t="e">
        <f>'All regions'!D1168+"n/&gt;!$S`"</f>
        <v>#VALUE!</v>
      </c>
      <c r="EB47" t="e">
        <f>'All regions'!E1168+"n/&gt;!$Sa"</f>
        <v>#VALUE!</v>
      </c>
      <c r="EC47" t="e">
        <f>'All regions'!F1168+"n/&gt;!$Sb"</f>
        <v>#VALUE!</v>
      </c>
      <c r="ED47" t="e">
        <f>'All regions'!G1168+"n/&gt;!$Sc"</f>
        <v>#VALUE!</v>
      </c>
      <c r="EE47" t="e">
        <f>'All regions'!H1168+"n/&gt;!$Sd"</f>
        <v>#VALUE!</v>
      </c>
      <c r="EF47" t="e">
        <f>'All regions'!I1168+"n/&gt;!$Se"</f>
        <v>#VALUE!</v>
      </c>
      <c r="EG47" t="e">
        <f>'All regions'!J1168+"n/&gt;!$Sf"</f>
        <v>#VALUE!</v>
      </c>
      <c r="EH47" t="e">
        <f>'All regions'!A1169+"n/&gt;!$Sg"</f>
        <v>#VALUE!</v>
      </c>
      <c r="EI47" t="e">
        <f>'All regions'!B1169+"n/&gt;!$Sh"</f>
        <v>#VALUE!</v>
      </c>
      <c r="EJ47" t="e">
        <f>'All regions'!C1169+"n/&gt;!$Si"</f>
        <v>#VALUE!</v>
      </c>
      <c r="EK47" t="e">
        <f>'All regions'!D1169+"n/&gt;!$Sj"</f>
        <v>#VALUE!</v>
      </c>
      <c r="EL47" t="e">
        <f>'All regions'!E1169+"n/&gt;!$Sk"</f>
        <v>#VALUE!</v>
      </c>
      <c r="EM47" t="e">
        <f>'All regions'!F1169+"n/&gt;!$Sl"</f>
        <v>#VALUE!</v>
      </c>
      <c r="EN47" t="e">
        <f>'All regions'!G1169+"n/&gt;!$Sm"</f>
        <v>#VALUE!</v>
      </c>
      <c r="EO47" t="e">
        <f>'All regions'!H1169+"n/&gt;!$Sn"</f>
        <v>#VALUE!</v>
      </c>
      <c r="EP47" t="e">
        <f>'All regions'!I1169+"n/&gt;!$So"</f>
        <v>#VALUE!</v>
      </c>
      <c r="EQ47" t="e">
        <f>'All regions'!J1169+"n/&gt;!$Sp"</f>
        <v>#VALUE!</v>
      </c>
      <c r="ER47" t="e">
        <f>'All regions'!A1170+"n/&gt;!$Sq"</f>
        <v>#VALUE!</v>
      </c>
      <c r="ES47" t="e">
        <f>'All regions'!B1170+"n/&gt;!$Sr"</f>
        <v>#VALUE!</v>
      </c>
      <c r="ET47" t="e">
        <f>'All regions'!C1170+"n/&gt;!$Ss"</f>
        <v>#VALUE!</v>
      </c>
      <c r="EU47" t="e">
        <f>'All regions'!D1170+"n/&gt;!$St"</f>
        <v>#VALUE!</v>
      </c>
      <c r="EV47" t="e">
        <f>'All regions'!E1170+"n/&gt;!$Su"</f>
        <v>#VALUE!</v>
      </c>
      <c r="EW47" t="e">
        <f>'All regions'!F1170+"n/&gt;!$Sv"</f>
        <v>#VALUE!</v>
      </c>
      <c r="EX47" t="e">
        <f>'All regions'!G1170+"n/&gt;!$Sw"</f>
        <v>#VALUE!</v>
      </c>
      <c r="EY47" t="e">
        <f>'All regions'!H1170+"n/&gt;!$Sx"</f>
        <v>#VALUE!</v>
      </c>
      <c r="EZ47" t="e">
        <f>'All regions'!I1170+"n/&gt;!$Sy"</f>
        <v>#VALUE!</v>
      </c>
      <c r="FA47" t="e">
        <f>'All regions'!J1170+"n/&gt;!$Sz"</f>
        <v>#VALUE!</v>
      </c>
      <c r="FB47" t="e">
        <f>'All regions'!A1171+"n/&gt;!$S{"</f>
        <v>#VALUE!</v>
      </c>
      <c r="FC47" t="e">
        <f>'All regions'!B1171+"n/&gt;!$S|"</f>
        <v>#VALUE!</v>
      </c>
      <c r="FD47" t="e">
        <f>'All regions'!C1171+"n/&gt;!$S}"</f>
        <v>#VALUE!</v>
      </c>
      <c r="FE47" t="e">
        <f>'All regions'!D1171+"n/&gt;!$S~"</f>
        <v>#VALUE!</v>
      </c>
      <c r="FF47" t="e">
        <f>'All regions'!E1171+"n/&gt;!$T#"</f>
        <v>#VALUE!</v>
      </c>
      <c r="FG47" t="e">
        <f>'All regions'!F1171+"n/&gt;!$T$"</f>
        <v>#VALUE!</v>
      </c>
      <c r="FH47" t="e">
        <f>'All regions'!G1171+"n/&gt;!$T%"</f>
        <v>#VALUE!</v>
      </c>
      <c r="FI47" t="e">
        <f>'All regions'!H1171+"n/&gt;!$T&amp;"</f>
        <v>#VALUE!</v>
      </c>
      <c r="FJ47" t="e">
        <f>'All regions'!I1171+"n/&gt;!$T'"</f>
        <v>#VALUE!</v>
      </c>
      <c r="FK47" t="e">
        <f>'All regions'!J1171+"n/&gt;!$T("</f>
        <v>#VALUE!</v>
      </c>
      <c r="FL47" t="e">
        <f>'All regions'!A1172+"n/&gt;!$T)"</f>
        <v>#VALUE!</v>
      </c>
      <c r="FM47" t="e">
        <f>'All regions'!B1172+"n/&gt;!$T."</f>
        <v>#VALUE!</v>
      </c>
      <c r="FN47" t="e">
        <f>'All regions'!C1172+"n/&gt;!$T/"</f>
        <v>#VALUE!</v>
      </c>
      <c r="FO47" t="e">
        <f>'All regions'!D1172+"n/&gt;!$T0"</f>
        <v>#VALUE!</v>
      </c>
      <c r="FP47" t="e">
        <f>'All regions'!E1172+"n/&gt;!$T1"</f>
        <v>#VALUE!</v>
      </c>
      <c r="FQ47" t="e">
        <f>'All regions'!F1172+"n/&gt;!$T2"</f>
        <v>#VALUE!</v>
      </c>
      <c r="FR47" t="e">
        <f>'All regions'!G1172+"n/&gt;!$T3"</f>
        <v>#VALUE!</v>
      </c>
      <c r="FS47" t="e">
        <f>'All regions'!H1172+"n/&gt;!$T4"</f>
        <v>#VALUE!</v>
      </c>
      <c r="FT47" t="e">
        <f>'All regions'!I1172+"n/&gt;!$T5"</f>
        <v>#VALUE!</v>
      </c>
      <c r="FU47" t="e">
        <f>'All regions'!J1172+"n/&gt;!$T6"</f>
        <v>#VALUE!</v>
      </c>
      <c r="FV47" t="e">
        <f>'All regions'!A1173+"n/&gt;!$T7"</f>
        <v>#VALUE!</v>
      </c>
      <c r="FW47" t="e">
        <f>'All regions'!B1173+"n/&gt;!$T8"</f>
        <v>#VALUE!</v>
      </c>
      <c r="FX47" t="e">
        <f>'All regions'!C1173+"n/&gt;!$T9"</f>
        <v>#VALUE!</v>
      </c>
      <c r="FY47" t="e">
        <f>'All regions'!D1173+"n/&gt;!$T:"</f>
        <v>#VALUE!</v>
      </c>
      <c r="FZ47" t="e">
        <f>'All regions'!E1173+"n/&gt;!$T;"</f>
        <v>#VALUE!</v>
      </c>
      <c r="GA47" t="e">
        <f>'All regions'!F1173+"n/&gt;!$T&lt;"</f>
        <v>#VALUE!</v>
      </c>
      <c r="GB47" t="e">
        <f>'All regions'!G1173+"n/&gt;!$T="</f>
        <v>#VALUE!</v>
      </c>
      <c r="GC47" t="e">
        <f>'All regions'!H1173+"n/&gt;!$T&gt;"</f>
        <v>#VALUE!</v>
      </c>
      <c r="GD47" t="e">
        <f>'All regions'!I1173+"n/&gt;!$T?"</f>
        <v>#VALUE!</v>
      </c>
      <c r="GE47" t="e">
        <f>'All regions'!J1173+"n/&gt;!$T@"</f>
        <v>#VALUE!</v>
      </c>
      <c r="GF47" t="e">
        <f>'All regions'!A1174+"n/&gt;!$TA"</f>
        <v>#VALUE!</v>
      </c>
      <c r="GG47" t="e">
        <f>'All regions'!B1174+"n/&gt;!$TB"</f>
        <v>#VALUE!</v>
      </c>
      <c r="GH47" t="e">
        <f>'All regions'!C1174+"n/&gt;!$TC"</f>
        <v>#VALUE!</v>
      </c>
      <c r="GI47" t="e">
        <f>'All regions'!D1174+"n/&gt;!$TD"</f>
        <v>#VALUE!</v>
      </c>
      <c r="GJ47" t="e">
        <f>'All regions'!E1174+"n/&gt;!$TE"</f>
        <v>#VALUE!</v>
      </c>
      <c r="GK47" t="e">
        <f>'All regions'!F1174+"n/&gt;!$TF"</f>
        <v>#VALUE!</v>
      </c>
      <c r="GL47" t="e">
        <f>'All regions'!G1174+"n/&gt;!$TG"</f>
        <v>#VALUE!</v>
      </c>
      <c r="GM47" t="e">
        <f>'All regions'!H1174+"n/&gt;!$TH"</f>
        <v>#VALUE!</v>
      </c>
      <c r="GN47" t="e">
        <f>'All regions'!I1174+"n/&gt;!$TI"</f>
        <v>#VALUE!</v>
      </c>
      <c r="GO47" t="e">
        <f>'All regions'!J1174+"n/&gt;!$TJ"</f>
        <v>#VALUE!</v>
      </c>
      <c r="GP47" t="e">
        <f>'All regions'!A1175+"n/&gt;!$TK"</f>
        <v>#VALUE!</v>
      </c>
      <c r="GQ47" t="e">
        <f>'All regions'!B1175+"n/&gt;!$TL"</f>
        <v>#VALUE!</v>
      </c>
      <c r="GR47" t="e">
        <f>'All regions'!C1175+"n/&gt;!$TM"</f>
        <v>#VALUE!</v>
      </c>
      <c r="GS47" t="e">
        <f>'All regions'!D1175+"n/&gt;!$TN"</f>
        <v>#VALUE!</v>
      </c>
      <c r="GT47" t="e">
        <f>'All regions'!E1175+"n/&gt;!$TO"</f>
        <v>#VALUE!</v>
      </c>
      <c r="GU47" t="e">
        <f>'All regions'!F1175+"n/&gt;!$TP"</f>
        <v>#VALUE!</v>
      </c>
      <c r="GV47" t="e">
        <f>'All regions'!G1175+"n/&gt;!$TQ"</f>
        <v>#VALUE!</v>
      </c>
      <c r="GW47" t="e">
        <f>'All regions'!H1175+"n/&gt;!$TR"</f>
        <v>#VALUE!</v>
      </c>
      <c r="GX47" t="e">
        <f>'All regions'!I1175+"n/&gt;!$TS"</f>
        <v>#VALUE!</v>
      </c>
      <c r="GY47" t="e">
        <f>'All regions'!J1175+"n/&gt;!$TT"</f>
        <v>#VALUE!</v>
      </c>
      <c r="GZ47" t="e">
        <f>'All regions'!A1176+"n/&gt;!$TU"</f>
        <v>#VALUE!</v>
      </c>
      <c r="HA47" t="e">
        <f>'All regions'!B1176+"n/&gt;!$TV"</f>
        <v>#VALUE!</v>
      </c>
      <c r="HB47" t="e">
        <f>'All regions'!C1176+"n/&gt;!$TW"</f>
        <v>#VALUE!</v>
      </c>
      <c r="HC47" t="e">
        <f>'All regions'!D1176+"n/&gt;!$TX"</f>
        <v>#VALUE!</v>
      </c>
      <c r="HD47" t="e">
        <f>'All regions'!E1176+"n/&gt;!$TY"</f>
        <v>#VALUE!</v>
      </c>
      <c r="HE47" t="e">
        <f>'All regions'!F1176+"n/&gt;!$TZ"</f>
        <v>#VALUE!</v>
      </c>
      <c r="HF47" t="e">
        <f>'All regions'!G1176+"n/&gt;!$T["</f>
        <v>#VALUE!</v>
      </c>
      <c r="HG47" t="e">
        <f>'All regions'!H1176+"n/&gt;!$T\"</f>
        <v>#VALUE!</v>
      </c>
      <c r="HH47" t="e">
        <f>'All regions'!I1176+"n/&gt;!$T]"</f>
        <v>#VALUE!</v>
      </c>
      <c r="HI47" t="e">
        <f>'All regions'!J1176+"n/&gt;!$T^"</f>
        <v>#VALUE!</v>
      </c>
      <c r="HJ47" t="e">
        <f>'All regions'!A1177+"n/&gt;!$T_"</f>
        <v>#VALUE!</v>
      </c>
      <c r="HK47" t="e">
        <f>'All regions'!B1177+"n/&gt;!$T`"</f>
        <v>#VALUE!</v>
      </c>
      <c r="HL47" t="e">
        <f>'All regions'!C1177+"n/&gt;!$Ta"</f>
        <v>#VALUE!</v>
      </c>
      <c r="HM47" t="e">
        <f>'All regions'!D1177+"n/&gt;!$Tb"</f>
        <v>#VALUE!</v>
      </c>
      <c r="HN47" t="e">
        <f>'All regions'!E1177+"n/&gt;!$Tc"</f>
        <v>#VALUE!</v>
      </c>
      <c r="HO47" t="e">
        <f>'All regions'!F1177+"n/&gt;!$Td"</f>
        <v>#VALUE!</v>
      </c>
      <c r="HP47" t="e">
        <f>'All regions'!G1177+"n/&gt;!$Te"</f>
        <v>#VALUE!</v>
      </c>
      <c r="HQ47" t="e">
        <f>'All regions'!H1177+"n/&gt;!$Tf"</f>
        <v>#VALUE!</v>
      </c>
      <c r="HR47" t="e">
        <f>'All regions'!I1177+"n/&gt;!$Tg"</f>
        <v>#VALUE!</v>
      </c>
      <c r="HS47" t="e">
        <f>'All regions'!J1177+"n/&gt;!$Th"</f>
        <v>#VALUE!</v>
      </c>
      <c r="HT47" t="e">
        <f>'All regions'!A1178+"n/&gt;!$Ti"</f>
        <v>#VALUE!</v>
      </c>
      <c r="HU47" t="e">
        <f>'All regions'!B1178+"n/&gt;!$Tj"</f>
        <v>#VALUE!</v>
      </c>
      <c r="HV47" t="e">
        <f>'All regions'!C1178+"n/&gt;!$Tk"</f>
        <v>#VALUE!</v>
      </c>
      <c r="HW47" t="e">
        <f>'All regions'!D1178+"n/&gt;!$Tl"</f>
        <v>#VALUE!</v>
      </c>
      <c r="HX47" t="e">
        <f>'All regions'!E1178+"n/&gt;!$Tm"</f>
        <v>#VALUE!</v>
      </c>
      <c r="HY47" t="e">
        <f>'All regions'!F1178+"n/&gt;!$Tn"</f>
        <v>#VALUE!</v>
      </c>
      <c r="HZ47" t="e">
        <f>'All regions'!G1178+"n/&gt;!$To"</f>
        <v>#VALUE!</v>
      </c>
      <c r="IA47" t="e">
        <f>'All regions'!H1178+"n/&gt;!$Tp"</f>
        <v>#VALUE!</v>
      </c>
      <c r="IB47" t="e">
        <f>'All regions'!I1178+"n/&gt;!$Tq"</f>
        <v>#VALUE!</v>
      </c>
      <c r="IC47" t="e">
        <f>'All regions'!J1178+"n/&gt;!$Tr"</f>
        <v>#VALUE!</v>
      </c>
      <c r="ID47" t="e">
        <f>'All regions'!A1179+"n/&gt;!$Ts"</f>
        <v>#VALUE!</v>
      </c>
      <c r="IE47" t="e">
        <f>'All regions'!B1179+"n/&gt;!$Tt"</f>
        <v>#VALUE!</v>
      </c>
      <c r="IF47" t="e">
        <f>'All regions'!C1179+"n/&gt;!$Tu"</f>
        <v>#VALUE!</v>
      </c>
      <c r="IG47" t="e">
        <f>'All regions'!D1179+"n/&gt;!$Tv"</f>
        <v>#VALUE!</v>
      </c>
      <c r="IH47" t="e">
        <f>'All regions'!E1179+"n/&gt;!$Tw"</f>
        <v>#VALUE!</v>
      </c>
      <c r="II47" t="e">
        <f>'All regions'!F1179+"n/&gt;!$Tx"</f>
        <v>#VALUE!</v>
      </c>
      <c r="IJ47" t="e">
        <f>'All regions'!G1179+"n/&gt;!$Ty"</f>
        <v>#VALUE!</v>
      </c>
      <c r="IK47" t="e">
        <f>'All regions'!H1179+"n/&gt;!$Tz"</f>
        <v>#VALUE!</v>
      </c>
      <c r="IL47" t="e">
        <f>'All regions'!I1179+"n/&gt;!$T{"</f>
        <v>#VALUE!</v>
      </c>
      <c r="IM47" t="e">
        <f>'All regions'!J1179+"n/&gt;!$T|"</f>
        <v>#VALUE!</v>
      </c>
      <c r="IN47" t="e">
        <f>'All regions'!A1180+"n/&gt;!$T}"</f>
        <v>#VALUE!</v>
      </c>
      <c r="IO47" t="e">
        <f>'All regions'!B1180+"n/&gt;!$T~"</f>
        <v>#VALUE!</v>
      </c>
      <c r="IP47" t="e">
        <f>'All regions'!C1180+"n/&gt;!$U#"</f>
        <v>#VALUE!</v>
      </c>
      <c r="IQ47" t="e">
        <f>'All regions'!D1180+"n/&gt;!$U$"</f>
        <v>#VALUE!</v>
      </c>
      <c r="IR47" t="e">
        <f>'All regions'!E1180+"n/&gt;!$U%"</f>
        <v>#VALUE!</v>
      </c>
      <c r="IS47" t="e">
        <f>'All regions'!F1180+"n/&gt;!$U&amp;"</f>
        <v>#VALUE!</v>
      </c>
      <c r="IT47" t="e">
        <f>'All regions'!G1180+"n/&gt;!$U'"</f>
        <v>#VALUE!</v>
      </c>
      <c r="IU47" t="e">
        <f>'All regions'!H1180+"n/&gt;!$U("</f>
        <v>#VALUE!</v>
      </c>
      <c r="IV47" t="e">
        <f>'All regions'!I1180+"n/&gt;!$U)"</f>
        <v>#VALUE!</v>
      </c>
    </row>
    <row r="48" spans="6:256" x14ac:dyDescent="0.35">
      <c r="F48" t="e">
        <f>'All regions'!J1180+"n/&gt;!$U."</f>
        <v>#VALUE!</v>
      </c>
      <c r="G48" t="e">
        <f>'All regions'!A1181+"n/&gt;!$U/"</f>
        <v>#VALUE!</v>
      </c>
      <c r="H48" t="e">
        <f>'All regions'!B1181+"n/&gt;!$U0"</f>
        <v>#VALUE!</v>
      </c>
      <c r="I48" t="e">
        <f>'All regions'!C1181+"n/&gt;!$U1"</f>
        <v>#VALUE!</v>
      </c>
      <c r="J48" t="e">
        <f>'All regions'!D1181+"n/&gt;!$U2"</f>
        <v>#VALUE!</v>
      </c>
      <c r="K48" t="e">
        <f>'All regions'!E1181+"n/&gt;!$U3"</f>
        <v>#VALUE!</v>
      </c>
      <c r="L48" t="e">
        <f>'All regions'!F1181+"n/&gt;!$U4"</f>
        <v>#VALUE!</v>
      </c>
      <c r="M48" t="e">
        <f>'All regions'!G1181+"n/&gt;!$U5"</f>
        <v>#VALUE!</v>
      </c>
      <c r="N48" t="e">
        <f>'All regions'!H1181+"n/&gt;!$U6"</f>
        <v>#VALUE!</v>
      </c>
      <c r="O48" t="e">
        <f>'All regions'!I1181+"n/&gt;!$U7"</f>
        <v>#VALUE!</v>
      </c>
      <c r="P48" t="e">
        <f>'All regions'!J1181+"n/&gt;!$U8"</f>
        <v>#VALUE!</v>
      </c>
      <c r="Q48" t="e">
        <f>'All regions'!A1182+"n/&gt;!$U9"</f>
        <v>#VALUE!</v>
      </c>
      <c r="R48" t="e">
        <f>'All regions'!B1182+"n/&gt;!$U:"</f>
        <v>#VALUE!</v>
      </c>
      <c r="S48" t="e">
        <f>'All regions'!C1182+"n/&gt;!$U;"</f>
        <v>#VALUE!</v>
      </c>
      <c r="T48" t="e">
        <f>'All regions'!D1182+"n/&gt;!$U&lt;"</f>
        <v>#VALUE!</v>
      </c>
      <c r="U48" t="e">
        <f>'All regions'!E1182+"n/&gt;!$U="</f>
        <v>#VALUE!</v>
      </c>
      <c r="V48" t="e">
        <f>'All regions'!F1182+"n/&gt;!$U&gt;"</f>
        <v>#VALUE!</v>
      </c>
      <c r="W48" t="e">
        <f>'All regions'!G1182+"n/&gt;!$U?"</f>
        <v>#VALUE!</v>
      </c>
      <c r="X48" t="e">
        <f>'All regions'!H1182+"n/&gt;!$U@"</f>
        <v>#VALUE!</v>
      </c>
      <c r="Y48" t="e">
        <f>'All regions'!I1182+"n/&gt;!$UA"</f>
        <v>#VALUE!</v>
      </c>
      <c r="Z48" t="e">
        <f>'All regions'!J1182+"n/&gt;!$UB"</f>
        <v>#VALUE!</v>
      </c>
      <c r="AA48" t="e">
        <f>'All regions'!A1183+"n/&gt;!$UC"</f>
        <v>#VALUE!</v>
      </c>
      <c r="AB48" t="e">
        <f>'All regions'!B1183+"n/&gt;!$UD"</f>
        <v>#VALUE!</v>
      </c>
      <c r="AC48" t="e">
        <f>'All regions'!C1183+"n/&gt;!$UE"</f>
        <v>#VALUE!</v>
      </c>
      <c r="AD48" t="e">
        <f>'All regions'!D1183+"n/&gt;!$UF"</f>
        <v>#VALUE!</v>
      </c>
      <c r="AE48" t="e">
        <f>'All regions'!E1183+"n/&gt;!$UG"</f>
        <v>#VALUE!</v>
      </c>
      <c r="AF48" t="e">
        <f>'All regions'!F1183+"n/&gt;!$UH"</f>
        <v>#VALUE!</v>
      </c>
      <c r="AG48" t="e">
        <f>'All regions'!G1183+"n/&gt;!$UI"</f>
        <v>#VALUE!</v>
      </c>
      <c r="AH48" t="e">
        <f>'All regions'!H1183+"n/&gt;!$UJ"</f>
        <v>#VALUE!</v>
      </c>
      <c r="AI48" t="e">
        <f>'All regions'!I1183+"n/&gt;!$UK"</f>
        <v>#VALUE!</v>
      </c>
      <c r="AJ48" t="e">
        <f>'All regions'!J1183+"n/&gt;!$UL"</f>
        <v>#VALUE!</v>
      </c>
      <c r="AK48" t="e">
        <f>'All regions'!A1184+"n/&gt;!$UM"</f>
        <v>#VALUE!</v>
      </c>
      <c r="AL48" t="e">
        <f>'All regions'!B1184+"n/&gt;!$UN"</f>
        <v>#VALUE!</v>
      </c>
      <c r="AM48" t="e">
        <f>'All regions'!C1184+"n/&gt;!$UO"</f>
        <v>#VALUE!</v>
      </c>
      <c r="AN48" t="e">
        <f>'All regions'!D1184+"n/&gt;!$UP"</f>
        <v>#VALUE!</v>
      </c>
      <c r="AO48" t="e">
        <f>'All regions'!E1184+"n/&gt;!$UQ"</f>
        <v>#VALUE!</v>
      </c>
      <c r="AP48" t="e">
        <f>'All regions'!F1184+"n/&gt;!$UR"</f>
        <v>#VALUE!</v>
      </c>
      <c r="AQ48" t="e">
        <f>'All regions'!G1184+"n/&gt;!$US"</f>
        <v>#VALUE!</v>
      </c>
      <c r="AR48" t="e">
        <f>'All regions'!H1184+"n/&gt;!$UT"</f>
        <v>#VALUE!</v>
      </c>
      <c r="AS48" t="e">
        <f>'All regions'!I1184+"n/&gt;!$UU"</f>
        <v>#VALUE!</v>
      </c>
      <c r="AT48" t="e">
        <f>'All regions'!J1184+"n/&gt;!$UV"</f>
        <v>#VALUE!</v>
      </c>
      <c r="AU48" t="e">
        <f>'All regions'!A1185+"n/&gt;!$UW"</f>
        <v>#VALUE!</v>
      </c>
      <c r="AV48" t="e">
        <f>'All regions'!B1185+"n/&gt;!$UX"</f>
        <v>#VALUE!</v>
      </c>
      <c r="AW48" t="e">
        <f>'All regions'!C1185+"n/&gt;!$UY"</f>
        <v>#VALUE!</v>
      </c>
      <c r="AX48" t="e">
        <f>'All regions'!D1185+"n/&gt;!$UZ"</f>
        <v>#VALUE!</v>
      </c>
      <c r="AY48" t="e">
        <f>'All regions'!E1185+"n/&gt;!$U["</f>
        <v>#VALUE!</v>
      </c>
      <c r="AZ48" t="e">
        <f>'All regions'!F1185+"n/&gt;!$U\"</f>
        <v>#VALUE!</v>
      </c>
      <c r="BA48" t="e">
        <f>'All regions'!G1185+"n/&gt;!$U]"</f>
        <v>#VALUE!</v>
      </c>
      <c r="BB48" t="e">
        <f>'All regions'!H1185+"n/&gt;!$U^"</f>
        <v>#VALUE!</v>
      </c>
      <c r="BC48" t="e">
        <f>'All regions'!I1185+"n/&gt;!$U_"</f>
        <v>#VALUE!</v>
      </c>
      <c r="BD48" t="e">
        <f>'All regions'!J1185+"n/&gt;!$U`"</f>
        <v>#VALUE!</v>
      </c>
      <c r="BE48" t="e">
        <f>'All regions'!A1186+"n/&gt;!$Ua"</f>
        <v>#VALUE!</v>
      </c>
      <c r="BF48" t="e">
        <f>'All regions'!B1186+"n/&gt;!$Ub"</f>
        <v>#VALUE!</v>
      </c>
      <c r="BG48" t="e">
        <f>'All regions'!C1186+"n/&gt;!$Uc"</f>
        <v>#VALUE!</v>
      </c>
      <c r="BH48" t="e">
        <f>'All regions'!D1186+"n/&gt;!$Ud"</f>
        <v>#VALUE!</v>
      </c>
      <c r="BI48" t="e">
        <f>'All regions'!E1186+"n/&gt;!$Ue"</f>
        <v>#VALUE!</v>
      </c>
      <c r="BJ48" t="e">
        <f>'All regions'!F1186+"n/&gt;!$Uf"</f>
        <v>#VALUE!</v>
      </c>
      <c r="BK48" t="e">
        <f>'All regions'!G1186+"n/&gt;!$Ug"</f>
        <v>#VALUE!</v>
      </c>
      <c r="BL48" t="e">
        <f>'All regions'!H1186+"n/&gt;!$Uh"</f>
        <v>#VALUE!</v>
      </c>
      <c r="BM48" t="e">
        <f>'All regions'!I1186+"n/&gt;!$Ui"</f>
        <v>#VALUE!</v>
      </c>
      <c r="BN48" t="e">
        <f>'All regions'!J1186+"n/&gt;!$Uj"</f>
        <v>#VALUE!</v>
      </c>
      <c r="BO48" t="e">
        <f>'All regions'!A1187+"n/&gt;!$Uk"</f>
        <v>#VALUE!</v>
      </c>
      <c r="BP48" t="e">
        <f>'All regions'!B1187+"n/&gt;!$Ul"</f>
        <v>#VALUE!</v>
      </c>
      <c r="BQ48" t="e">
        <f>'All regions'!C1187+"n/&gt;!$Um"</f>
        <v>#VALUE!</v>
      </c>
      <c r="BR48" t="e">
        <f>'All regions'!D1187+"n/&gt;!$Un"</f>
        <v>#VALUE!</v>
      </c>
      <c r="BS48" t="e">
        <f>'All regions'!E1187+"n/&gt;!$Uo"</f>
        <v>#VALUE!</v>
      </c>
      <c r="BT48" t="e">
        <f>'All regions'!F1187+"n/&gt;!$Up"</f>
        <v>#VALUE!</v>
      </c>
      <c r="BU48" t="e">
        <f>'All regions'!G1187+"n/&gt;!$Uq"</f>
        <v>#VALUE!</v>
      </c>
      <c r="BV48" t="e">
        <f>'All regions'!H1187+"n/&gt;!$Ur"</f>
        <v>#VALUE!</v>
      </c>
      <c r="BW48" t="e">
        <f>'All regions'!I1187+"n/&gt;!$Us"</f>
        <v>#VALUE!</v>
      </c>
      <c r="BX48" t="e">
        <f>'All regions'!J1187+"n/&gt;!$Ut"</f>
        <v>#VALUE!</v>
      </c>
      <c r="BY48" t="e">
        <f>'All regions'!A1188+"n/&gt;!$Uu"</f>
        <v>#VALUE!</v>
      </c>
      <c r="BZ48" t="e">
        <f>'All regions'!B1188+"n/&gt;!$Uv"</f>
        <v>#VALUE!</v>
      </c>
      <c r="CA48" t="e">
        <f>'All regions'!C1188+"n/&gt;!$Uw"</f>
        <v>#VALUE!</v>
      </c>
      <c r="CB48" t="e">
        <f>'All regions'!D1188+"n/&gt;!$Ux"</f>
        <v>#VALUE!</v>
      </c>
      <c r="CC48" t="e">
        <f>'All regions'!E1188+"n/&gt;!$Uy"</f>
        <v>#VALUE!</v>
      </c>
      <c r="CD48" t="e">
        <f>'All regions'!F1188+"n/&gt;!$Uz"</f>
        <v>#VALUE!</v>
      </c>
      <c r="CE48" t="e">
        <f>'All regions'!G1188+"n/&gt;!$U{"</f>
        <v>#VALUE!</v>
      </c>
      <c r="CF48" t="e">
        <f>'All regions'!H1188+"n/&gt;!$U|"</f>
        <v>#VALUE!</v>
      </c>
      <c r="CG48" t="e">
        <f>'All regions'!I1188+"n/&gt;!$U}"</f>
        <v>#VALUE!</v>
      </c>
      <c r="CH48" t="e">
        <f>'All regions'!J1188+"n/&gt;!$U~"</f>
        <v>#VALUE!</v>
      </c>
      <c r="CI48" t="e">
        <f>'All regions'!A1189+"n/&gt;!$V#"</f>
        <v>#VALUE!</v>
      </c>
      <c r="CJ48" t="e">
        <f>'All regions'!B1189+"n/&gt;!$V$"</f>
        <v>#VALUE!</v>
      </c>
      <c r="CK48" t="e">
        <f>'All regions'!C1189+"n/&gt;!$V%"</f>
        <v>#VALUE!</v>
      </c>
      <c r="CL48" t="e">
        <f>'All regions'!D1189+"n/&gt;!$V&amp;"</f>
        <v>#VALUE!</v>
      </c>
      <c r="CM48" t="e">
        <f>'All regions'!E1189+"n/&gt;!$V'"</f>
        <v>#VALUE!</v>
      </c>
      <c r="CN48" t="e">
        <f>'All regions'!F1189+"n/&gt;!$V("</f>
        <v>#VALUE!</v>
      </c>
      <c r="CO48" t="e">
        <f>'All regions'!G1189+"n/&gt;!$V)"</f>
        <v>#VALUE!</v>
      </c>
      <c r="CP48" t="e">
        <f>'All regions'!H1189+"n/&gt;!$V."</f>
        <v>#VALUE!</v>
      </c>
      <c r="CQ48" t="e">
        <f>'All regions'!I1189+"n/&gt;!$V/"</f>
        <v>#VALUE!</v>
      </c>
      <c r="CR48" t="e">
        <f>'All regions'!J1189+"n/&gt;!$V0"</f>
        <v>#VALUE!</v>
      </c>
      <c r="CS48" t="e">
        <f>'All regions'!A1190+"n/&gt;!$V1"</f>
        <v>#VALUE!</v>
      </c>
      <c r="CT48" t="e">
        <f>'All regions'!B1190+"n/&gt;!$V2"</f>
        <v>#VALUE!</v>
      </c>
      <c r="CU48" t="e">
        <f>'All regions'!C1190+"n/&gt;!$V3"</f>
        <v>#VALUE!</v>
      </c>
      <c r="CV48" t="e">
        <f>'All regions'!D1190+"n/&gt;!$V4"</f>
        <v>#VALUE!</v>
      </c>
      <c r="CW48" t="e">
        <f>'All regions'!E1190+"n/&gt;!$V5"</f>
        <v>#VALUE!</v>
      </c>
      <c r="CX48" t="e">
        <f>'All regions'!F1190+"n/&gt;!$V6"</f>
        <v>#VALUE!</v>
      </c>
      <c r="CY48" t="e">
        <f>'All regions'!G1190+"n/&gt;!$V7"</f>
        <v>#VALUE!</v>
      </c>
      <c r="CZ48" t="e">
        <f>'All regions'!H1190+"n/&gt;!$V8"</f>
        <v>#VALUE!</v>
      </c>
      <c r="DA48" t="e">
        <f>'All regions'!I1190+"n/&gt;!$V9"</f>
        <v>#VALUE!</v>
      </c>
      <c r="DB48" t="e">
        <f>'All regions'!J1190+"n/&gt;!$V:"</f>
        <v>#VALUE!</v>
      </c>
      <c r="DC48" t="e">
        <f>'All regions'!A1191+"n/&gt;!$V;"</f>
        <v>#VALUE!</v>
      </c>
      <c r="DD48" t="e">
        <f>'All regions'!B1191+"n/&gt;!$V&lt;"</f>
        <v>#VALUE!</v>
      </c>
      <c r="DE48" t="e">
        <f>'All regions'!C1191+"n/&gt;!$V="</f>
        <v>#VALUE!</v>
      </c>
      <c r="DF48" t="e">
        <f>'All regions'!D1191+"n/&gt;!$V&gt;"</f>
        <v>#VALUE!</v>
      </c>
      <c r="DG48" t="e">
        <f>'All regions'!E1191+"n/&gt;!$V?"</f>
        <v>#VALUE!</v>
      </c>
      <c r="DH48" t="e">
        <f>'All regions'!F1191+"n/&gt;!$V@"</f>
        <v>#VALUE!</v>
      </c>
      <c r="DI48" t="e">
        <f>'All regions'!G1191+"n/&gt;!$VA"</f>
        <v>#VALUE!</v>
      </c>
      <c r="DJ48" t="e">
        <f>'All regions'!H1191+"n/&gt;!$VB"</f>
        <v>#VALUE!</v>
      </c>
      <c r="DK48" t="e">
        <f>'All regions'!I1191+"n/&gt;!$VC"</f>
        <v>#VALUE!</v>
      </c>
      <c r="DL48" t="e">
        <f>'All regions'!J1191+"n/&gt;!$VD"</f>
        <v>#VALUE!</v>
      </c>
      <c r="DM48" t="e">
        <f>'All regions'!A1192+"n/&gt;!$VE"</f>
        <v>#VALUE!</v>
      </c>
      <c r="DN48" t="e">
        <f>'All regions'!B1192+"n/&gt;!$VF"</f>
        <v>#VALUE!</v>
      </c>
      <c r="DO48" t="e">
        <f>'All regions'!C1192+"n/&gt;!$VG"</f>
        <v>#VALUE!</v>
      </c>
      <c r="DP48" t="e">
        <f>'All regions'!D1192+"n/&gt;!$VH"</f>
        <v>#VALUE!</v>
      </c>
      <c r="DQ48" t="e">
        <f>'All regions'!E1192+"n/&gt;!$VI"</f>
        <v>#VALUE!</v>
      </c>
      <c r="DR48" t="e">
        <f>'All regions'!F1192+"n/&gt;!$VJ"</f>
        <v>#VALUE!</v>
      </c>
      <c r="DS48" t="e">
        <f>'All regions'!G1192+"n/&gt;!$VK"</f>
        <v>#VALUE!</v>
      </c>
      <c r="DT48" t="e">
        <f>'All regions'!H1192+"n/&gt;!$VL"</f>
        <v>#VALUE!</v>
      </c>
      <c r="DU48" t="e">
        <f>'All regions'!I1192+"n/&gt;!$VM"</f>
        <v>#VALUE!</v>
      </c>
      <c r="DV48" t="e">
        <f>'All regions'!J1192+"n/&gt;!$VN"</f>
        <v>#VALUE!</v>
      </c>
      <c r="DW48" t="e">
        <f>'All regions'!A1193+"n/&gt;!$VO"</f>
        <v>#VALUE!</v>
      </c>
      <c r="DX48" t="e">
        <f>'All regions'!B1193+"n/&gt;!$VP"</f>
        <v>#VALUE!</v>
      </c>
      <c r="DY48" t="e">
        <f>'All regions'!C1193+"n/&gt;!$VQ"</f>
        <v>#VALUE!</v>
      </c>
      <c r="DZ48" t="e">
        <f>'All regions'!D1193+"n/&gt;!$VR"</f>
        <v>#VALUE!</v>
      </c>
      <c r="EA48" t="e">
        <f>'All regions'!E1193+"n/&gt;!$VS"</f>
        <v>#VALUE!</v>
      </c>
      <c r="EB48" t="e">
        <f>'All regions'!F1193+"n/&gt;!$VT"</f>
        <v>#VALUE!</v>
      </c>
      <c r="EC48" t="e">
        <f>'All regions'!G1193+"n/&gt;!$VU"</f>
        <v>#VALUE!</v>
      </c>
      <c r="ED48" t="e">
        <f>'All regions'!H1193+"n/&gt;!$VV"</f>
        <v>#VALUE!</v>
      </c>
      <c r="EE48" t="e">
        <f>'All regions'!I1193+"n/&gt;!$VW"</f>
        <v>#VALUE!</v>
      </c>
      <c r="EF48" t="e">
        <f>'All regions'!J1193+"n/&gt;!$VX"</f>
        <v>#VALUE!</v>
      </c>
      <c r="EG48" t="e">
        <f>'All regions'!A1194+"n/&gt;!$VY"</f>
        <v>#VALUE!</v>
      </c>
      <c r="EH48" t="e">
        <f>'All regions'!B1194+"n/&gt;!$VZ"</f>
        <v>#VALUE!</v>
      </c>
      <c r="EI48" t="e">
        <f>'All regions'!C1194+"n/&gt;!$V["</f>
        <v>#VALUE!</v>
      </c>
      <c r="EJ48" t="e">
        <f>'All regions'!D1194+"n/&gt;!$V\"</f>
        <v>#VALUE!</v>
      </c>
      <c r="EK48" t="e">
        <f>'All regions'!E1194+"n/&gt;!$V]"</f>
        <v>#VALUE!</v>
      </c>
      <c r="EL48" t="e">
        <f>'All regions'!F1194+"n/&gt;!$V^"</f>
        <v>#VALUE!</v>
      </c>
      <c r="EM48" t="e">
        <f>'All regions'!G1194+"n/&gt;!$V_"</f>
        <v>#VALUE!</v>
      </c>
      <c r="EN48" t="e">
        <f>'All regions'!H1194+"n/&gt;!$V`"</f>
        <v>#VALUE!</v>
      </c>
      <c r="EO48" t="e">
        <f>'All regions'!I1194+"n/&gt;!$Va"</f>
        <v>#VALUE!</v>
      </c>
      <c r="EP48" t="e">
        <f>'All regions'!J1194+"n/&gt;!$Vb"</f>
        <v>#VALUE!</v>
      </c>
      <c r="EQ48" t="e">
        <f>'All regions'!A1195+"n/&gt;!$Vc"</f>
        <v>#VALUE!</v>
      </c>
      <c r="ER48" t="e">
        <f>'All regions'!B1195+"n/&gt;!$Vd"</f>
        <v>#VALUE!</v>
      </c>
      <c r="ES48" t="e">
        <f>'All regions'!C1195+"n/&gt;!$Ve"</f>
        <v>#VALUE!</v>
      </c>
      <c r="ET48" t="e">
        <f>'All regions'!D1195+"n/&gt;!$Vf"</f>
        <v>#VALUE!</v>
      </c>
      <c r="EU48" t="e">
        <f>'All regions'!E1195+"n/&gt;!$Vg"</f>
        <v>#VALUE!</v>
      </c>
      <c r="EV48" t="e">
        <f>'All regions'!F1195+"n/&gt;!$Vh"</f>
        <v>#VALUE!</v>
      </c>
      <c r="EW48" t="e">
        <f>'All regions'!G1195+"n/&gt;!$Vi"</f>
        <v>#VALUE!</v>
      </c>
      <c r="EX48" t="e">
        <f>'All regions'!H1195+"n/&gt;!$Vj"</f>
        <v>#VALUE!</v>
      </c>
      <c r="EY48" t="e">
        <f>'All regions'!I1195+"n/&gt;!$Vk"</f>
        <v>#VALUE!</v>
      </c>
      <c r="EZ48" t="e">
        <f>'All regions'!J1195+"n/&gt;!$Vl"</f>
        <v>#VALUE!</v>
      </c>
      <c r="FA48" t="e">
        <f>'All regions'!A1196+"n/&gt;!$Vm"</f>
        <v>#VALUE!</v>
      </c>
      <c r="FB48" t="e">
        <f>'All regions'!B1196+"n/&gt;!$Vn"</f>
        <v>#VALUE!</v>
      </c>
      <c r="FC48" t="e">
        <f>'All regions'!C1196+"n/&gt;!$Vo"</f>
        <v>#VALUE!</v>
      </c>
      <c r="FD48" t="e">
        <f>'All regions'!D1196+"n/&gt;!$Vp"</f>
        <v>#VALUE!</v>
      </c>
      <c r="FE48" t="e">
        <f>'All regions'!E1196+"n/&gt;!$Vq"</f>
        <v>#VALUE!</v>
      </c>
      <c r="FF48" t="e">
        <f>'All regions'!F1196+"n/&gt;!$Vr"</f>
        <v>#VALUE!</v>
      </c>
      <c r="FG48" t="e">
        <f>'All regions'!G1196+"n/&gt;!$Vs"</f>
        <v>#VALUE!</v>
      </c>
      <c r="FH48" t="e">
        <f>'All regions'!H1196+"n/&gt;!$Vt"</f>
        <v>#VALUE!</v>
      </c>
      <c r="FI48" t="e">
        <f>'All regions'!I1196+"n/&gt;!$Vu"</f>
        <v>#VALUE!</v>
      </c>
      <c r="FJ48" t="e">
        <f>'All regions'!J1196+"n/&gt;!$Vv"</f>
        <v>#VALUE!</v>
      </c>
      <c r="FK48" t="e">
        <f>'All regions'!A1197+"n/&gt;!$Vw"</f>
        <v>#VALUE!</v>
      </c>
      <c r="FL48" t="e">
        <f>'All regions'!B1197+"n/&gt;!$Vx"</f>
        <v>#VALUE!</v>
      </c>
      <c r="FM48" t="e">
        <f>'All regions'!C1197+"n/&gt;!$Vy"</f>
        <v>#VALUE!</v>
      </c>
      <c r="FN48" t="e">
        <f>'All regions'!D1197+"n/&gt;!$Vz"</f>
        <v>#VALUE!</v>
      </c>
      <c r="FO48" t="e">
        <f>'All regions'!E1197+"n/&gt;!$V{"</f>
        <v>#VALUE!</v>
      </c>
      <c r="FP48" t="e">
        <f>'All regions'!F1197+"n/&gt;!$V|"</f>
        <v>#VALUE!</v>
      </c>
      <c r="FQ48" t="e">
        <f>'All regions'!G1197+"n/&gt;!$V}"</f>
        <v>#VALUE!</v>
      </c>
      <c r="FR48" t="e">
        <f>'All regions'!H1197+"n/&gt;!$V~"</f>
        <v>#VALUE!</v>
      </c>
      <c r="FS48" t="e">
        <f>'All regions'!I1197+"n/&gt;!$W#"</f>
        <v>#VALUE!</v>
      </c>
      <c r="FT48" t="e">
        <f>'All regions'!J1197+"n/&gt;!$W$"</f>
        <v>#VALUE!</v>
      </c>
      <c r="FU48" t="e">
        <f>'All regions'!A1198+"n/&gt;!$W%"</f>
        <v>#VALUE!</v>
      </c>
      <c r="FV48" t="e">
        <f>'All regions'!B1198+"n/&gt;!$W&amp;"</f>
        <v>#VALUE!</v>
      </c>
      <c r="FW48" t="e">
        <f>'All regions'!C1198+"n/&gt;!$W'"</f>
        <v>#VALUE!</v>
      </c>
      <c r="FX48" t="e">
        <f>'All regions'!D1198+"n/&gt;!$W("</f>
        <v>#VALUE!</v>
      </c>
      <c r="FY48" t="e">
        <f>'All regions'!E1198+"n/&gt;!$W)"</f>
        <v>#VALUE!</v>
      </c>
      <c r="FZ48" t="e">
        <f>'All regions'!F1198+"n/&gt;!$W."</f>
        <v>#VALUE!</v>
      </c>
      <c r="GA48" t="e">
        <f>'All regions'!G1198+"n/&gt;!$W/"</f>
        <v>#VALUE!</v>
      </c>
      <c r="GB48" t="e">
        <f>'All regions'!H1198+"n/&gt;!$W0"</f>
        <v>#VALUE!</v>
      </c>
      <c r="GC48" t="e">
        <f>'All regions'!I1198+"n/&gt;!$W1"</f>
        <v>#VALUE!</v>
      </c>
      <c r="GD48" t="e">
        <f>'All regions'!J1198+"n/&gt;!$W2"</f>
        <v>#VALUE!</v>
      </c>
      <c r="GE48" t="e">
        <f>'All regions'!A1199+"n/&gt;!$W3"</f>
        <v>#VALUE!</v>
      </c>
      <c r="GF48" t="e">
        <f>'All regions'!B1199+"n/&gt;!$W4"</f>
        <v>#VALUE!</v>
      </c>
      <c r="GG48" t="e">
        <f>'All regions'!C1199+"n/&gt;!$W5"</f>
        <v>#VALUE!</v>
      </c>
      <c r="GH48" t="e">
        <f>'All regions'!D1199+"n/&gt;!$W6"</f>
        <v>#VALUE!</v>
      </c>
      <c r="GI48" t="e">
        <f>'All regions'!E1199+"n/&gt;!$W7"</f>
        <v>#VALUE!</v>
      </c>
      <c r="GJ48" t="e">
        <f>'All regions'!F1199+"n/&gt;!$W8"</f>
        <v>#VALUE!</v>
      </c>
      <c r="GK48" t="e">
        <f>'All regions'!G1199+"n/&gt;!$W9"</f>
        <v>#VALUE!</v>
      </c>
      <c r="GL48" t="e">
        <f>'All regions'!H1199+"n/&gt;!$W:"</f>
        <v>#VALUE!</v>
      </c>
      <c r="GM48" t="e">
        <f>'All regions'!I1199+"n/&gt;!$W;"</f>
        <v>#VALUE!</v>
      </c>
      <c r="GN48" t="e">
        <f>'All regions'!J1199+"n/&gt;!$W&lt;"</f>
        <v>#VALUE!</v>
      </c>
      <c r="GO48" t="e">
        <f>'All regions'!A1200+"n/&gt;!$W="</f>
        <v>#VALUE!</v>
      </c>
      <c r="GP48" t="e">
        <f>'All regions'!B1200+"n/&gt;!$W&gt;"</f>
        <v>#VALUE!</v>
      </c>
      <c r="GQ48" t="e">
        <f>'All regions'!C1200+"n/&gt;!$W?"</f>
        <v>#VALUE!</v>
      </c>
      <c r="GR48" t="e">
        <f>'All regions'!D1200+"n/&gt;!$W@"</f>
        <v>#VALUE!</v>
      </c>
      <c r="GS48" t="e">
        <f>'All regions'!E1200+"n/&gt;!$WA"</f>
        <v>#VALUE!</v>
      </c>
      <c r="GT48" t="e">
        <f>'All regions'!F1200+"n/&gt;!$WB"</f>
        <v>#VALUE!</v>
      </c>
      <c r="GU48" t="e">
        <f>'All regions'!G1200+"n/&gt;!$WC"</f>
        <v>#VALUE!</v>
      </c>
      <c r="GV48" t="e">
        <f>'All regions'!H1200+"n/&gt;!$WD"</f>
        <v>#VALUE!</v>
      </c>
      <c r="GW48" t="e">
        <f>'All regions'!I1200+"n/&gt;!$WE"</f>
        <v>#VALUE!</v>
      </c>
      <c r="GX48" t="e">
        <f>'All regions'!J1200+"n/&gt;!$WF"</f>
        <v>#VALUE!</v>
      </c>
      <c r="GY48" t="e">
        <f>'All regions'!A1201+"n/&gt;!$WG"</f>
        <v>#VALUE!</v>
      </c>
      <c r="GZ48" t="e">
        <f>'All regions'!B1201+"n/&gt;!$WH"</f>
        <v>#VALUE!</v>
      </c>
      <c r="HA48" t="e">
        <f>'All regions'!C1201+"n/&gt;!$WI"</f>
        <v>#VALUE!</v>
      </c>
      <c r="HB48" t="e">
        <f>'All regions'!D1201+"n/&gt;!$WJ"</f>
        <v>#VALUE!</v>
      </c>
      <c r="HC48" t="e">
        <f>'All regions'!E1201+"n/&gt;!$WK"</f>
        <v>#VALUE!</v>
      </c>
      <c r="HD48" t="e">
        <f>'All regions'!F1201+"n/&gt;!$WL"</f>
        <v>#VALUE!</v>
      </c>
      <c r="HE48" t="e">
        <f>'All regions'!G1201+"n/&gt;!$WM"</f>
        <v>#VALUE!</v>
      </c>
      <c r="HF48" t="e">
        <f>'All regions'!H1201+"n/&gt;!$WN"</f>
        <v>#VALUE!</v>
      </c>
      <c r="HG48" t="e">
        <f>'All regions'!I1201+"n/&gt;!$WO"</f>
        <v>#VALUE!</v>
      </c>
      <c r="HH48" t="e">
        <f>'All regions'!J1201+"n/&gt;!$WP"</f>
        <v>#VALUE!</v>
      </c>
      <c r="HI48" t="e">
        <f>'All regions'!A1202+"n/&gt;!$WQ"</f>
        <v>#VALUE!</v>
      </c>
      <c r="HJ48" t="e">
        <f>'All regions'!B1202+"n/&gt;!$WR"</f>
        <v>#VALUE!</v>
      </c>
      <c r="HK48" t="e">
        <f>'All regions'!C1202+"n/&gt;!$WS"</f>
        <v>#VALUE!</v>
      </c>
      <c r="HL48" t="e">
        <f>'All regions'!D1202+"n/&gt;!$WT"</f>
        <v>#VALUE!</v>
      </c>
      <c r="HM48" t="e">
        <f>'All regions'!E1202+"n/&gt;!$WU"</f>
        <v>#VALUE!</v>
      </c>
      <c r="HN48" t="e">
        <f>'All regions'!F1202+"n/&gt;!$WV"</f>
        <v>#VALUE!</v>
      </c>
      <c r="HO48" t="e">
        <f>'All regions'!G1202+"n/&gt;!$WW"</f>
        <v>#VALUE!</v>
      </c>
      <c r="HP48" t="e">
        <f>'All regions'!H1202+"n/&gt;!$WX"</f>
        <v>#VALUE!</v>
      </c>
      <c r="HQ48" t="e">
        <f>'All regions'!I1202+"n/&gt;!$WY"</f>
        <v>#VALUE!</v>
      </c>
      <c r="HR48" t="e">
        <f>'All regions'!J1202+"n/&gt;!$WZ"</f>
        <v>#VALUE!</v>
      </c>
      <c r="HS48" t="e">
        <f>'All regions'!A1203+"n/&gt;!$W["</f>
        <v>#VALUE!</v>
      </c>
      <c r="HT48" t="e">
        <f>'All regions'!B1203+"n/&gt;!$W\"</f>
        <v>#VALUE!</v>
      </c>
      <c r="HU48" t="e">
        <f>'All regions'!C1203+"n/&gt;!$W]"</f>
        <v>#VALUE!</v>
      </c>
      <c r="HV48" t="e">
        <f>'All regions'!D1203+"n/&gt;!$W^"</f>
        <v>#VALUE!</v>
      </c>
      <c r="HW48" t="e">
        <f>'All regions'!E1203+"n/&gt;!$W_"</f>
        <v>#VALUE!</v>
      </c>
      <c r="HX48" t="e">
        <f>'All regions'!F1203+"n/&gt;!$W`"</f>
        <v>#VALUE!</v>
      </c>
      <c r="HY48" t="e">
        <f>'All regions'!G1203+"n/&gt;!$Wa"</f>
        <v>#VALUE!</v>
      </c>
      <c r="HZ48" t="e">
        <f>'All regions'!H1203+"n/&gt;!$Wb"</f>
        <v>#VALUE!</v>
      </c>
      <c r="IA48" t="e">
        <f>'All regions'!I1203+"n/&gt;!$Wc"</f>
        <v>#VALUE!</v>
      </c>
      <c r="IB48" t="e">
        <f>'All regions'!J1203+"n/&gt;!$Wd"</f>
        <v>#VALUE!</v>
      </c>
      <c r="IC48" t="e">
        <f>'All regions'!A1204+"n/&gt;!$We"</f>
        <v>#VALUE!</v>
      </c>
      <c r="ID48" t="e">
        <f>'All regions'!B1204+"n/&gt;!$Wf"</f>
        <v>#VALUE!</v>
      </c>
      <c r="IE48" t="e">
        <f>'All regions'!C1204+"n/&gt;!$Wg"</f>
        <v>#VALUE!</v>
      </c>
      <c r="IF48" t="e">
        <f>'All regions'!D1204+"n/&gt;!$Wh"</f>
        <v>#VALUE!</v>
      </c>
      <c r="IG48" t="e">
        <f>'All regions'!E1204+"n/&gt;!$Wi"</f>
        <v>#VALUE!</v>
      </c>
      <c r="IH48" t="e">
        <f>'All regions'!F1204+"n/&gt;!$Wj"</f>
        <v>#VALUE!</v>
      </c>
      <c r="II48" t="e">
        <f>'All regions'!G1204+"n/&gt;!$Wk"</f>
        <v>#VALUE!</v>
      </c>
      <c r="IJ48" t="e">
        <f>'All regions'!H1204+"n/&gt;!$Wl"</f>
        <v>#VALUE!</v>
      </c>
      <c r="IK48" t="e">
        <f>'All regions'!I1204+"n/&gt;!$Wm"</f>
        <v>#VALUE!</v>
      </c>
      <c r="IL48" t="e">
        <f>'All regions'!J1204+"n/&gt;!$Wn"</f>
        <v>#VALUE!</v>
      </c>
      <c r="IM48" t="e">
        <f>'All regions'!A1205+"n/&gt;!$Wo"</f>
        <v>#VALUE!</v>
      </c>
      <c r="IN48" t="e">
        <f>'All regions'!B1205+"n/&gt;!$Wp"</f>
        <v>#VALUE!</v>
      </c>
      <c r="IO48" t="e">
        <f>'All regions'!C1205+"n/&gt;!$Wq"</f>
        <v>#VALUE!</v>
      </c>
      <c r="IP48" t="e">
        <f>'All regions'!D1205+"n/&gt;!$Wr"</f>
        <v>#VALUE!</v>
      </c>
      <c r="IQ48" t="e">
        <f>'All regions'!E1205+"n/&gt;!$Ws"</f>
        <v>#VALUE!</v>
      </c>
      <c r="IR48" t="e">
        <f>'All regions'!F1205+"n/&gt;!$Wt"</f>
        <v>#VALUE!</v>
      </c>
      <c r="IS48" t="e">
        <f>'All regions'!G1205+"n/&gt;!$Wu"</f>
        <v>#VALUE!</v>
      </c>
      <c r="IT48" t="e">
        <f>'All regions'!H1205+"n/&gt;!$Wv"</f>
        <v>#VALUE!</v>
      </c>
      <c r="IU48" t="e">
        <f>'All regions'!I1205+"n/&gt;!$Ww"</f>
        <v>#VALUE!</v>
      </c>
      <c r="IV48" t="e">
        <f>'All regions'!J1205+"n/&gt;!$Wx"</f>
        <v>#VALUE!</v>
      </c>
    </row>
    <row r="49" spans="6:256" x14ac:dyDescent="0.35">
      <c r="F49" t="e">
        <f>'All regions'!A1206+"n/&gt;!$Wy"</f>
        <v>#VALUE!</v>
      </c>
      <c r="G49" t="e">
        <f>'All regions'!B1206+"n/&gt;!$Wz"</f>
        <v>#VALUE!</v>
      </c>
      <c r="H49" t="e">
        <f>'All regions'!C1206+"n/&gt;!$W{"</f>
        <v>#VALUE!</v>
      </c>
      <c r="I49" t="e">
        <f>'All regions'!D1206+"n/&gt;!$W|"</f>
        <v>#VALUE!</v>
      </c>
      <c r="J49" t="e">
        <f>'All regions'!E1206+"n/&gt;!$W}"</f>
        <v>#VALUE!</v>
      </c>
      <c r="K49" t="e">
        <f>'All regions'!F1206+"n/&gt;!$W~"</f>
        <v>#VALUE!</v>
      </c>
      <c r="L49" t="e">
        <f>'All regions'!G1206+"n/&gt;!$X#"</f>
        <v>#VALUE!</v>
      </c>
      <c r="M49" t="e">
        <f>'All regions'!H1206+"n/&gt;!$X$"</f>
        <v>#VALUE!</v>
      </c>
      <c r="N49" t="e">
        <f>'All regions'!I1206+"n/&gt;!$X%"</f>
        <v>#VALUE!</v>
      </c>
      <c r="O49" t="e">
        <f>'All regions'!J1206+"n/&gt;!$X&amp;"</f>
        <v>#VALUE!</v>
      </c>
      <c r="P49" t="e">
        <f>'All regions'!A1207+"n/&gt;!$X'"</f>
        <v>#VALUE!</v>
      </c>
      <c r="Q49" t="e">
        <f>'All regions'!B1207+"n/&gt;!$X("</f>
        <v>#VALUE!</v>
      </c>
      <c r="R49" t="e">
        <f>'All regions'!C1207+"n/&gt;!$X)"</f>
        <v>#VALUE!</v>
      </c>
      <c r="S49" t="e">
        <f>'All regions'!D1207+"n/&gt;!$X."</f>
        <v>#VALUE!</v>
      </c>
      <c r="T49" t="e">
        <f>'All regions'!E1207+"n/&gt;!$X/"</f>
        <v>#VALUE!</v>
      </c>
      <c r="U49" t="e">
        <f>'All regions'!F1207+"n/&gt;!$X0"</f>
        <v>#VALUE!</v>
      </c>
      <c r="V49" t="e">
        <f>'All regions'!G1207+"n/&gt;!$X1"</f>
        <v>#VALUE!</v>
      </c>
      <c r="W49" t="e">
        <f>'All regions'!H1207+"n/&gt;!$X2"</f>
        <v>#VALUE!</v>
      </c>
      <c r="X49" t="e">
        <f>'All regions'!I1207+"n/&gt;!$X3"</f>
        <v>#VALUE!</v>
      </c>
      <c r="Y49" t="e">
        <f>'All regions'!J1207+"n/&gt;!$X4"</f>
        <v>#VALUE!</v>
      </c>
      <c r="Z49" t="e">
        <f>'All regions'!A1208+"n/&gt;!$X5"</f>
        <v>#VALUE!</v>
      </c>
      <c r="AA49" t="e">
        <f>'All regions'!B1208+"n/&gt;!$X6"</f>
        <v>#VALUE!</v>
      </c>
      <c r="AB49" t="e">
        <f>'All regions'!C1208+"n/&gt;!$X7"</f>
        <v>#VALUE!</v>
      </c>
      <c r="AC49" t="e">
        <f>'All regions'!D1208+"n/&gt;!$X8"</f>
        <v>#VALUE!</v>
      </c>
      <c r="AD49" t="e">
        <f>'All regions'!E1208+"n/&gt;!$X9"</f>
        <v>#VALUE!</v>
      </c>
      <c r="AE49" t="e">
        <f>'All regions'!F1208+"n/&gt;!$X:"</f>
        <v>#VALUE!</v>
      </c>
      <c r="AF49" t="e">
        <f>'All regions'!G1208+"n/&gt;!$X;"</f>
        <v>#VALUE!</v>
      </c>
      <c r="AG49" t="e">
        <f>'All regions'!H1208+"n/&gt;!$X&lt;"</f>
        <v>#VALUE!</v>
      </c>
      <c r="AH49" t="e">
        <f>'All regions'!I1208+"n/&gt;!$X="</f>
        <v>#VALUE!</v>
      </c>
      <c r="AI49" t="e">
        <f>'All regions'!J1208+"n/&gt;!$X&gt;"</f>
        <v>#VALUE!</v>
      </c>
      <c r="AJ49" t="e">
        <f>'All regions'!A1209+"n/&gt;!$X?"</f>
        <v>#VALUE!</v>
      </c>
      <c r="AK49" t="e">
        <f>'All regions'!B1209+"n/&gt;!$X@"</f>
        <v>#VALUE!</v>
      </c>
      <c r="AL49" t="e">
        <f>'All regions'!C1209+"n/&gt;!$XA"</f>
        <v>#VALUE!</v>
      </c>
      <c r="AM49" t="e">
        <f>'All regions'!D1209+"n/&gt;!$XB"</f>
        <v>#VALUE!</v>
      </c>
      <c r="AN49" t="e">
        <f>'All regions'!E1209+"n/&gt;!$XC"</f>
        <v>#VALUE!</v>
      </c>
      <c r="AO49" t="e">
        <f>'All regions'!F1209+"n/&gt;!$XD"</f>
        <v>#VALUE!</v>
      </c>
      <c r="AP49" t="e">
        <f>'All regions'!G1209+"n/&gt;!$XE"</f>
        <v>#VALUE!</v>
      </c>
      <c r="AQ49" t="e">
        <f>'All regions'!H1209+"n/&gt;!$XF"</f>
        <v>#VALUE!</v>
      </c>
      <c r="AR49" t="e">
        <f>'All regions'!I1209+"n/&gt;!$XG"</f>
        <v>#VALUE!</v>
      </c>
      <c r="AS49" t="e">
        <f>'All regions'!J1209+"n/&gt;!$XH"</f>
        <v>#VALUE!</v>
      </c>
      <c r="AT49" t="e">
        <f>'All regions'!A1210+"n/&gt;!$XI"</f>
        <v>#VALUE!</v>
      </c>
      <c r="AU49" t="e">
        <f>'All regions'!B1210+"n/&gt;!$XJ"</f>
        <v>#VALUE!</v>
      </c>
      <c r="AV49" t="e">
        <f>'All regions'!C1210+"n/&gt;!$XK"</f>
        <v>#VALUE!</v>
      </c>
      <c r="AW49" t="e">
        <f>'All regions'!D1210+"n/&gt;!$XL"</f>
        <v>#VALUE!</v>
      </c>
      <c r="AX49" t="e">
        <f>'All regions'!E1210+"n/&gt;!$XM"</f>
        <v>#VALUE!</v>
      </c>
      <c r="AY49" t="e">
        <f>'All regions'!F1210+"n/&gt;!$XN"</f>
        <v>#VALUE!</v>
      </c>
      <c r="AZ49" t="e">
        <f>'All regions'!G1210+"n/&gt;!$XO"</f>
        <v>#VALUE!</v>
      </c>
      <c r="BA49" t="e">
        <f>'All regions'!H1210+"n/&gt;!$XP"</f>
        <v>#VALUE!</v>
      </c>
      <c r="BB49" t="e">
        <f>'All regions'!I1210+"n/&gt;!$XQ"</f>
        <v>#VALUE!</v>
      </c>
      <c r="BC49" t="e">
        <f>'All regions'!J1210+"n/&gt;!$XR"</f>
        <v>#VALUE!</v>
      </c>
      <c r="BD49" t="e">
        <f>'All regions'!A1211+"n/&gt;!$XS"</f>
        <v>#VALUE!</v>
      </c>
      <c r="BE49" t="e">
        <f>'All regions'!B1211+"n/&gt;!$XT"</f>
        <v>#VALUE!</v>
      </c>
      <c r="BF49" t="e">
        <f>'All regions'!C1211+"n/&gt;!$XU"</f>
        <v>#VALUE!</v>
      </c>
      <c r="BG49" t="e">
        <f>'All regions'!D1211+"n/&gt;!$XV"</f>
        <v>#VALUE!</v>
      </c>
      <c r="BH49" t="e">
        <f>'All regions'!E1211+"n/&gt;!$XW"</f>
        <v>#VALUE!</v>
      </c>
      <c r="BI49" t="e">
        <f>'All regions'!F1211+"n/&gt;!$XX"</f>
        <v>#VALUE!</v>
      </c>
      <c r="BJ49" t="e">
        <f>'All regions'!G1211+"n/&gt;!$XY"</f>
        <v>#VALUE!</v>
      </c>
      <c r="BK49" t="e">
        <f>'All regions'!H1211+"n/&gt;!$XZ"</f>
        <v>#VALUE!</v>
      </c>
      <c r="BL49" t="e">
        <f>'All regions'!I1211+"n/&gt;!$X["</f>
        <v>#VALUE!</v>
      </c>
      <c r="BM49" t="e">
        <f>'All regions'!J1211+"n/&gt;!$X\"</f>
        <v>#VALUE!</v>
      </c>
      <c r="BN49" t="e">
        <f>'All regions'!A1212+"n/&gt;!$X]"</f>
        <v>#VALUE!</v>
      </c>
      <c r="BO49" t="e">
        <f>'All regions'!B1212+"n/&gt;!$X^"</f>
        <v>#VALUE!</v>
      </c>
      <c r="BP49" t="e">
        <f>'All regions'!C1212+"n/&gt;!$X_"</f>
        <v>#VALUE!</v>
      </c>
      <c r="BQ49" t="e">
        <f>'All regions'!D1212+"n/&gt;!$X`"</f>
        <v>#VALUE!</v>
      </c>
      <c r="BR49" t="e">
        <f>'All regions'!E1212+"n/&gt;!$Xa"</f>
        <v>#VALUE!</v>
      </c>
      <c r="BS49" t="e">
        <f>'All regions'!F1212+"n/&gt;!$Xb"</f>
        <v>#VALUE!</v>
      </c>
      <c r="BT49" t="e">
        <f>'All regions'!G1212+"n/&gt;!$Xc"</f>
        <v>#VALUE!</v>
      </c>
      <c r="BU49" t="e">
        <f>'All regions'!H1212+"n/&gt;!$Xd"</f>
        <v>#VALUE!</v>
      </c>
      <c r="BV49" t="e">
        <f>'All regions'!I1212+"n/&gt;!$Xe"</f>
        <v>#VALUE!</v>
      </c>
      <c r="BW49" t="e">
        <f>'All regions'!J1212+"n/&gt;!$Xf"</f>
        <v>#VALUE!</v>
      </c>
      <c r="BX49" t="e">
        <f>'All regions'!A1213+"n/&gt;!$Xg"</f>
        <v>#VALUE!</v>
      </c>
      <c r="BY49" t="e">
        <f>'All regions'!B1213+"n/&gt;!$Xh"</f>
        <v>#VALUE!</v>
      </c>
      <c r="BZ49" t="e">
        <f>'All regions'!C1213+"n/&gt;!$Xi"</f>
        <v>#VALUE!</v>
      </c>
      <c r="CA49" t="e">
        <f>'All regions'!D1213+"n/&gt;!$Xj"</f>
        <v>#VALUE!</v>
      </c>
      <c r="CB49" t="e">
        <f>'All regions'!E1213+"n/&gt;!$Xk"</f>
        <v>#VALUE!</v>
      </c>
      <c r="CC49" t="e">
        <f>'All regions'!F1213+"n/&gt;!$Xl"</f>
        <v>#VALUE!</v>
      </c>
      <c r="CD49" t="e">
        <f>'All regions'!G1213+"n/&gt;!$Xm"</f>
        <v>#VALUE!</v>
      </c>
      <c r="CE49" t="e">
        <f>'All regions'!H1213+"n/&gt;!$Xn"</f>
        <v>#VALUE!</v>
      </c>
      <c r="CF49" t="e">
        <f>'All regions'!I1213+"n/&gt;!$Xo"</f>
        <v>#VALUE!</v>
      </c>
      <c r="CG49" t="e">
        <f>'All regions'!J1213+"n/&gt;!$Xp"</f>
        <v>#VALUE!</v>
      </c>
      <c r="CH49" t="e">
        <f>'All regions'!A1214+"n/&gt;!$Xq"</f>
        <v>#VALUE!</v>
      </c>
      <c r="CI49" t="e">
        <f>'All regions'!B1214+"n/&gt;!$Xr"</f>
        <v>#VALUE!</v>
      </c>
      <c r="CJ49" t="e">
        <f>'All regions'!C1214+"n/&gt;!$Xs"</f>
        <v>#VALUE!</v>
      </c>
      <c r="CK49" t="e">
        <f>'All regions'!D1214+"n/&gt;!$Xt"</f>
        <v>#VALUE!</v>
      </c>
      <c r="CL49" t="e">
        <f>'All regions'!E1214+"n/&gt;!$Xu"</f>
        <v>#VALUE!</v>
      </c>
      <c r="CM49" t="e">
        <f>'All regions'!F1214+"n/&gt;!$Xv"</f>
        <v>#VALUE!</v>
      </c>
      <c r="CN49" t="e">
        <f>'All regions'!G1214+"n/&gt;!$Xw"</f>
        <v>#VALUE!</v>
      </c>
      <c r="CO49" t="e">
        <f>'All regions'!H1214+"n/&gt;!$Xx"</f>
        <v>#VALUE!</v>
      </c>
      <c r="CP49" t="e">
        <f>'All regions'!I1214+"n/&gt;!$Xy"</f>
        <v>#VALUE!</v>
      </c>
      <c r="CQ49" t="e">
        <f>'All regions'!J1214+"n/&gt;!$Xz"</f>
        <v>#VALUE!</v>
      </c>
      <c r="CR49" t="e">
        <f>'All regions'!A1215+"n/&gt;!$X{"</f>
        <v>#VALUE!</v>
      </c>
      <c r="CS49" t="e">
        <f>'All regions'!B1215+"n/&gt;!$X|"</f>
        <v>#VALUE!</v>
      </c>
      <c r="CT49" t="e">
        <f>'All regions'!C1215+"n/&gt;!$X}"</f>
        <v>#VALUE!</v>
      </c>
      <c r="CU49" t="e">
        <f>'All regions'!D1215+"n/&gt;!$X~"</f>
        <v>#VALUE!</v>
      </c>
      <c r="CV49" t="e">
        <f>'All regions'!E1215+"n/&gt;!$Y#"</f>
        <v>#VALUE!</v>
      </c>
      <c r="CW49" t="e">
        <f>'All regions'!F1215+"n/&gt;!$Y$"</f>
        <v>#VALUE!</v>
      </c>
      <c r="CX49" t="e">
        <f>'All regions'!G1215+"n/&gt;!$Y%"</f>
        <v>#VALUE!</v>
      </c>
      <c r="CY49" t="e">
        <f>'All regions'!H1215+"n/&gt;!$Y&amp;"</f>
        <v>#VALUE!</v>
      </c>
      <c r="CZ49" t="e">
        <f>'All regions'!I1215+"n/&gt;!$Y'"</f>
        <v>#VALUE!</v>
      </c>
      <c r="DA49" t="e">
        <f>'All regions'!J1215+"n/&gt;!$Y("</f>
        <v>#VALUE!</v>
      </c>
      <c r="DB49" t="e">
        <f>'All regions'!A1216+"n/&gt;!$Y)"</f>
        <v>#VALUE!</v>
      </c>
      <c r="DC49" t="e">
        <f>'All regions'!B1216+"n/&gt;!$Y."</f>
        <v>#VALUE!</v>
      </c>
      <c r="DD49" t="e">
        <f>'All regions'!C1216+"n/&gt;!$Y/"</f>
        <v>#VALUE!</v>
      </c>
      <c r="DE49" t="e">
        <f>'All regions'!D1216+"n/&gt;!$Y0"</f>
        <v>#VALUE!</v>
      </c>
      <c r="DF49" t="e">
        <f>'All regions'!E1216+"n/&gt;!$Y1"</f>
        <v>#VALUE!</v>
      </c>
      <c r="DG49" t="e">
        <f>'All regions'!F1216+"n/&gt;!$Y2"</f>
        <v>#VALUE!</v>
      </c>
      <c r="DH49" t="e">
        <f>'All regions'!G1216+"n/&gt;!$Y3"</f>
        <v>#VALUE!</v>
      </c>
      <c r="DI49" t="e">
        <f>'All regions'!H1216+"n/&gt;!$Y4"</f>
        <v>#VALUE!</v>
      </c>
      <c r="DJ49" t="e">
        <f>'All regions'!I1216+"n/&gt;!$Y5"</f>
        <v>#VALUE!</v>
      </c>
      <c r="DK49" t="e">
        <f>'All regions'!J1216+"n/&gt;!$Y6"</f>
        <v>#VALUE!</v>
      </c>
      <c r="DL49" t="e">
        <f>'All regions'!A1217+"n/&gt;!$Y7"</f>
        <v>#VALUE!</v>
      </c>
      <c r="DM49" t="e">
        <f>'All regions'!B1217+"n/&gt;!$Y8"</f>
        <v>#VALUE!</v>
      </c>
      <c r="DN49" t="e">
        <f>'All regions'!C1217+"n/&gt;!$Y9"</f>
        <v>#VALUE!</v>
      </c>
      <c r="DO49" t="e">
        <f>'All regions'!D1217+"n/&gt;!$Y:"</f>
        <v>#VALUE!</v>
      </c>
      <c r="DP49" t="e">
        <f>'All regions'!E1217+"n/&gt;!$Y;"</f>
        <v>#VALUE!</v>
      </c>
      <c r="DQ49" t="e">
        <f>'All regions'!F1217+"n/&gt;!$Y&lt;"</f>
        <v>#VALUE!</v>
      </c>
      <c r="DR49" t="e">
        <f>'All regions'!G1217+"n/&gt;!$Y="</f>
        <v>#VALUE!</v>
      </c>
      <c r="DS49" t="e">
        <f>'All regions'!H1217+"n/&gt;!$Y&gt;"</f>
        <v>#VALUE!</v>
      </c>
      <c r="DT49" t="e">
        <f>'All regions'!I1217+"n/&gt;!$Y?"</f>
        <v>#VALUE!</v>
      </c>
      <c r="DU49" t="e">
        <f>'All regions'!J1217+"n/&gt;!$Y@"</f>
        <v>#VALUE!</v>
      </c>
      <c r="DV49" t="e">
        <f>'All regions'!A1218+"n/&gt;!$YA"</f>
        <v>#VALUE!</v>
      </c>
      <c r="DW49" t="e">
        <f>'All regions'!B1218+"n/&gt;!$YB"</f>
        <v>#VALUE!</v>
      </c>
      <c r="DX49" t="e">
        <f>'All regions'!C1218+"n/&gt;!$YC"</f>
        <v>#VALUE!</v>
      </c>
      <c r="DY49" t="e">
        <f>'All regions'!D1218+"n/&gt;!$YD"</f>
        <v>#VALUE!</v>
      </c>
      <c r="DZ49" t="e">
        <f>'All regions'!E1218+"n/&gt;!$YE"</f>
        <v>#VALUE!</v>
      </c>
      <c r="EA49" t="e">
        <f>'All regions'!F1218+"n/&gt;!$YF"</f>
        <v>#VALUE!</v>
      </c>
      <c r="EB49" t="e">
        <f>'All regions'!G1218+"n/&gt;!$YG"</f>
        <v>#VALUE!</v>
      </c>
      <c r="EC49" t="e">
        <f>'All regions'!H1218+"n/&gt;!$YH"</f>
        <v>#VALUE!</v>
      </c>
      <c r="ED49" t="e">
        <f>'All regions'!I1218+"n/&gt;!$YI"</f>
        <v>#VALUE!</v>
      </c>
      <c r="EE49" t="e">
        <f>'All regions'!J1218+"n/&gt;!$YJ"</f>
        <v>#VALUE!</v>
      </c>
      <c r="EF49" t="e">
        <f>'All regions'!A1219+"n/&gt;!$YK"</f>
        <v>#VALUE!</v>
      </c>
      <c r="EG49" t="e">
        <f>'All regions'!B1219+"n/&gt;!$YL"</f>
        <v>#VALUE!</v>
      </c>
      <c r="EH49" t="e">
        <f>'All regions'!C1219+"n/&gt;!$YM"</f>
        <v>#VALUE!</v>
      </c>
      <c r="EI49" t="e">
        <f>'All regions'!D1219+"n/&gt;!$YN"</f>
        <v>#VALUE!</v>
      </c>
      <c r="EJ49" t="e">
        <f>'All regions'!E1219+"n/&gt;!$YO"</f>
        <v>#VALUE!</v>
      </c>
      <c r="EK49" t="e">
        <f>'All regions'!F1219+"n/&gt;!$YP"</f>
        <v>#VALUE!</v>
      </c>
      <c r="EL49" t="e">
        <f>'All regions'!G1219+"n/&gt;!$YQ"</f>
        <v>#VALUE!</v>
      </c>
      <c r="EM49" t="e">
        <f>'All regions'!H1219+"n/&gt;!$YR"</f>
        <v>#VALUE!</v>
      </c>
      <c r="EN49" t="e">
        <f>'All regions'!I1219+"n/&gt;!$YS"</f>
        <v>#VALUE!</v>
      </c>
      <c r="EO49" t="e">
        <f>'All regions'!J1219+"n/&gt;!$YT"</f>
        <v>#VALUE!</v>
      </c>
      <c r="EP49" t="e">
        <f>'All regions'!A1220+"n/&gt;!$YU"</f>
        <v>#VALUE!</v>
      </c>
      <c r="EQ49" t="e">
        <f>'All regions'!B1220+"n/&gt;!$YV"</f>
        <v>#VALUE!</v>
      </c>
      <c r="ER49" t="e">
        <f>'All regions'!C1220+"n/&gt;!$YW"</f>
        <v>#VALUE!</v>
      </c>
      <c r="ES49" t="e">
        <f>'All regions'!D1220+"n/&gt;!$YX"</f>
        <v>#VALUE!</v>
      </c>
      <c r="ET49" t="e">
        <f>'All regions'!E1220+"n/&gt;!$YY"</f>
        <v>#VALUE!</v>
      </c>
      <c r="EU49" t="e">
        <f>'All regions'!F1220+"n/&gt;!$YZ"</f>
        <v>#VALUE!</v>
      </c>
      <c r="EV49" t="e">
        <f>'All regions'!G1220+"n/&gt;!$Y["</f>
        <v>#VALUE!</v>
      </c>
      <c r="EW49" t="e">
        <f>'All regions'!H1220+"n/&gt;!$Y\"</f>
        <v>#VALUE!</v>
      </c>
      <c r="EX49" t="e">
        <f>'All regions'!I1220+"n/&gt;!$Y]"</f>
        <v>#VALUE!</v>
      </c>
      <c r="EY49" t="e">
        <f>'All regions'!J1220+"n/&gt;!$Y^"</f>
        <v>#VALUE!</v>
      </c>
      <c r="EZ49" t="e">
        <f>'All regions'!A1221+"n/&gt;!$Y_"</f>
        <v>#VALUE!</v>
      </c>
      <c r="FA49" t="e">
        <f>'All regions'!B1221+"n/&gt;!$Y`"</f>
        <v>#VALUE!</v>
      </c>
      <c r="FB49" t="e">
        <f>'All regions'!C1221+"n/&gt;!$Ya"</f>
        <v>#VALUE!</v>
      </c>
      <c r="FC49" t="e">
        <f>'All regions'!D1221+"n/&gt;!$Yb"</f>
        <v>#VALUE!</v>
      </c>
      <c r="FD49" t="e">
        <f>'All regions'!E1221+"n/&gt;!$Yc"</f>
        <v>#VALUE!</v>
      </c>
      <c r="FE49" t="e">
        <f>'All regions'!F1221+"n/&gt;!$Yd"</f>
        <v>#VALUE!</v>
      </c>
      <c r="FF49" t="e">
        <f>'All regions'!G1221+"n/&gt;!$Ye"</f>
        <v>#VALUE!</v>
      </c>
      <c r="FG49" t="e">
        <f>'All regions'!H1221+"n/&gt;!$Yf"</f>
        <v>#VALUE!</v>
      </c>
      <c r="FH49" t="e">
        <f>'All regions'!I1221+"n/&gt;!$Yg"</f>
        <v>#VALUE!</v>
      </c>
      <c r="FI49" t="e">
        <f>'All regions'!J1221+"n/&gt;!$Yh"</f>
        <v>#VALUE!</v>
      </c>
      <c r="FJ49" t="e">
        <f>'All regions'!A1222+"n/&gt;!$Yi"</f>
        <v>#VALUE!</v>
      </c>
      <c r="FK49" t="e">
        <f>'All regions'!B1222+"n/&gt;!$Yj"</f>
        <v>#VALUE!</v>
      </c>
      <c r="FL49" t="e">
        <f>'All regions'!C1222+"n/&gt;!$Yk"</f>
        <v>#VALUE!</v>
      </c>
      <c r="FM49" t="e">
        <f>'All regions'!D1222+"n/&gt;!$Yl"</f>
        <v>#VALUE!</v>
      </c>
      <c r="FN49" t="e">
        <f>'All regions'!E1222+"n/&gt;!$Ym"</f>
        <v>#VALUE!</v>
      </c>
      <c r="FO49" t="e">
        <f>'All regions'!F1222+"n/&gt;!$Yn"</f>
        <v>#VALUE!</v>
      </c>
      <c r="FP49" t="e">
        <f>'All regions'!G1222+"n/&gt;!$Yo"</f>
        <v>#VALUE!</v>
      </c>
      <c r="FQ49" t="e">
        <f>'All regions'!H1222+"n/&gt;!$Yp"</f>
        <v>#VALUE!</v>
      </c>
      <c r="FR49" t="e">
        <f>'All regions'!I1222+"n/&gt;!$Yq"</f>
        <v>#VALUE!</v>
      </c>
      <c r="FS49" t="e">
        <f>'All regions'!J1222+"n/&gt;!$Yr"</f>
        <v>#VALUE!</v>
      </c>
      <c r="FT49" t="e">
        <f>'All regions'!A1223+"n/&gt;!$Ys"</f>
        <v>#VALUE!</v>
      </c>
      <c r="FU49" t="e">
        <f>'All regions'!B1223+"n/&gt;!$Yt"</f>
        <v>#VALUE!</v>
      </c>
      <c r="FV49" t="e">
        <f>'All regions'!C1223+"n/&gt;!$Yu"</f>
        <v>#VALUE!</v>
      </c>
      <c r="FW49" t="e">
        <f>'All regions'!D1223+"n/&gt;!$Yv"</f>
        <v>#VALUE!</v>
      </c>
      <c r="FX49" t="e">
        <f>'All regions'!E1223+"n/&gt;!$Yw"</f>
        <v>#VALUE!</v>
      </c>
      <c r="FY49" t="e">
        <f>'All regions'!F1223+"n/&gt;!$Yx"</f>
        <v>#VALUE!</v>
      </c>
      <c r="FZ49" t="e">
        <f>'All regions'!G1223+"n/&gt;!$Yy"</f>
        <v>#VALUE!</v>
      </c>
      <c r="GA49" t="e">
        <f>'All regions'!H1223+"n/&gt;!$Yz"</f>
        <v>#VALUE!</v>
      </c>
      <c r="GB49" t="e">
        <f>'All regions'!I1223+"n/&gt;!$Y{"</f>
        <v>#VALUE!</v>
      </c>
      <c r="GC49" t="e">
        <f>'All regions'!J1223+"n/&gt;!$Y|"</f>
        <v>#VALUE!</v>
      </c>
      <c r="GD49" t="e">
        <f>'All regions'!A1224+"n/&gt;!$Y}"</f>
        <v>#VALUE!</v>
      </c>
      <c r="GE49" t="e">
        <f>'All regions'!B1224+"n/&gt;!$Y~"</f>
        <v>#VALUE!</v>
      </c>
      <c r="GF49" t="e">
        <f>'All regions'!C1224+"n/&gt;!$Z#"</f>
        <v>#VALUE!</v>
      </c>
      <c r="GG49" t="e">
        <f>'All regions'!D1224+"n/&gt;!$Z$"</f>
        <v>#VALUE!</v>
      </c>
      <c r="GH49" t="e">
        <f>'All regions'!E1224+"n/&gt;!$Z%"</f>
        <v>#VALUE!</v>
      </c>
      <c r="GI49" t="e">
        <f>'All regions'!F1224+"n/&gt;!$Z&amp;"</f>
        <v>#VALUE!</v>
      </c>
      <c r="GJ49" t="e">
        <f>'All regions'!G1224+"n/&gt;!$Z'"</f>
        <v>#VALUE!</v>
      </c>
      <c r="GK49" t="e">
        <f>'All regions'!H1224+"n/&gt;!$Z("</f>
        <v>#VALUE!</v>
      </c>
      <c r="GL49" t="e">
        <f>'All regions'!I1224+"n/&gt;!$Z)"</f>
        <v>#VALUE!</v>
      </c>
      <c r="GM49" t="e">
        <f>'All regions'!J1224+"n/&gt;!$Z."</f>
        <v>#VALUE!</v>
      </c>
      <c r="GN49" t="e">
        <f>'All regions'!A1225+"n/&gt;!$Z/"</f>
        <v>#VALUE!</v>
      </c>
      <c r="GO49" t="e">
        <f>'All regions'!B1225+"n/&gt;!$Z0"</f>
        <v>#VALUE!</v>
      </c>
      <c r="GP49" t="e">
        <f>'All regions'!C1225+"n/&gt;!$Z1"</f>
        <v>#VALUE!</v>
      </c>
      <c r="GQ49" t="e">
        <f>'All regions'!D1225+"n/&gt;!$Z2"</f>
        <v>#VALUE!</v>
      </c>
      <c r="GR49" t="e">
        <f>'All regions'!E1225+"n/&gt;!$Z3"</f>
        <v>#VALUE!</v>
      </c>
      <c r="GS49" t="e">
        <f>'All regions'!F1225+"n/&gt;!$Z4"</f>
        <v>#VALUE!</v>
      </c>
      <c r="GT49" t="e">
        <f>'All regions'!G1225+"n/&gt;!$Z5"</f>
        <v>#VALUE!</v>
      </c>
      <c r="GU49" t="e">
        <f>'All regions'!H1225+"n/&gt;!$Z6"</f>
        <v>#VALUE!</v>
      </c>
      <c r="GV49" t="e">
        <f>'All regions'!I1225+"n/&gt;!$Z7"</f>
        <v>#VALUE!</v>
      </c>
      <c r="GW49" t="e">
        <f>'All regions'!J1225+"n/&gt;!$Z8"</f>
        <v>#VALUE!</v>
      </c>
      <c r="GX49" t="e">
        <f>'All regions'!A1226+"n/&gt;!$Z9"</f>
        <v>#VALUE!</v>
      </c>
      <c r="GY49" t="e">
        <f>'All regions'!B1226+"n/&gt;!$Z:"</f>
        <v>#VALUE!</v>
      </c>
      <c r="GZ49" t="e">
        <f>'All regions'!C1226+"n/&gt;!$Z;"</f>
        <v>#VALUE!</v>
      </c>
      <c r="HA49" t="e">
        <f>'All regions'!D1226+"n/&gt;!$Z&lt;"</f>
        <v>#VALUE!</v>
      </c>
      <c r="HB49" t="e">
        <f>'All regions'!E1226+"n/&gt;!$Z="</f>
        <v>#VALUE!</v>
      </c>
      <c r="HC49" t="e">
        <f>'All regions'!F1226+"n/&gt;!$Z&gt;"</f>
        <v>#VALUE!</v>
      </c>
      <c r="HD49" t="e">
        <f>'All regions'!G1226+"n/&gt;!$Z?"</f>
        <v>#VALUE!</v>
      </c>
      <c r="HE49" t="e">
        <f>'All regions'!H1226+"n/&gt;!$Z@"</f>
        <v>#VALUE!</v>
      </c>
      <c r="HF49" t="e">
        <f>'All regions'!I1226+"n/&gt;!$ZA"</f>
        <v>#VALUE!</v>
      </c>
      <c r="HG49" t="e">
        <f>'All regions'!J1226+"n/&gt;!$ZB"</f>
        <v>#VALUE!</v>
      </c>
      <c r="HH49" t="e">
        <f>'All regions'!A1227+"n/&gt;!$ZC"</f>
        <v>#VALUE!</v>
      </c>
      <c r="HI49" t="e">
        <f>'All regions'!B1227+"n/&gt;!$ZD"</f>
        <v>#VALUE!</v>
      </c>
      <c r="HJ49" t="e">
        <f>'All regions'!C1227+"n/&gt;!$ZE"</f>
        <v>#VALUE!</v>
      </c>
      <c r="HK49" t="e">
        <f>'All regions'!D1227+"n/&gt;!$ZF"</f>
        <v>#VALUE!</v>
      </c>
      <c r="HL49" t="e">
        <f>'All regions'!E1227+"n/&gt;!$ZG"</f>
        <v>#VALUE!</v>
      </c>
      <c r="HM49" t="e">
        <f>'All regions'!F1227+"n/&gt;!$ZH"</f>
        <v>#VALUE!</v>
      </c>
      <c r="HN49" t="e">
        <f>'All regions'!G1227+"n/&gt;!$ZI"</f>
        <v>#VALUE!</v>
      </c>
      <c r="HO49" t="e">
        <f>'All regions'!H1227+"n/&gt;!$ZJ"</f>
        <v>#VALUE!</v>
      </c>
      <c r="HP49" t="e">
        <f>'All regions'!I1227+"n/&gt;!$ZK"</f>
        <v>#VALUE!</v>
      </c>
      <c r="HQ49" t="e">
        <f>'All regions'!J1227+"n/&gt;!$ZL"</f>
        <v>#VALUE!</v>
      </c>
      <c r="HR49" t="e">
        <f>'All regions'!A1228+"n/&gt;!$ZM"</f>
        <v>#VALUE!</v>
      </c>
      <c r="HS49" t="e">
        <f>'All regions'!B1228+"n/&gt;!$ZN"</f>
        <v>#VALUE!</v>
      </c>
      <c r="HT49" t="e">
        <f>'All regions'!C1228+"n/&gt;!$ZO"</f>
        <v>#VALUE!</v>
      </c>
      <c r="HU49" t="e">
        <f>'All regions'!D1228+"n/&gt;!$ZP"</f>
        <v>#VALUE!</v>
      </c>
      <c r="HV49" t="e">
        <f>'All regions'!E1228+"n/&gt;!$ZQ"</f>
        <v>#VALUE!</v>
      </c>
      <c r="HW49" t="e">
        <f>'All regions'!F1228+"n/&gt;!$ZR"</f>
        <v>#VALUE!</v>
      </c>
      <c r="HX49" t="e">
        <f>'All regions'!G1228+"n/&gt;!$ZS"</f>
        <v>#VALUE!</v>
      </c>
      <c r="HY49" t="e">
        <f>'All regions'!H1228+"n/&gt;!$ZT"</f>
        <v>#VALUE!</v>
      </c>
      <c r="HZ49" t="e">
        <f>'All regions'!I1228+"n/&gt;!$ZU"</f>
        <v>#VALUE!</v>
      </c>
      <c r="IA49" t="e">
        <f>'All regions'!J1228+"n/&gt;!$ZV"</f>
        <v>#VALUE!</v>
      </c>
      <c r="IB49" t="e">
        <f>'All regions'!A1229+"n/&gt;!$ZW"</f>
        <v>#VALUE!</v>
      </c>
      <c r="IC49" t="e">
        <f>'All regions'!B1229+"n/&gt;!$ZX"</f>
        <v>#VALUE!</v>
      </c>
      <c r="ID49" t="e">
        <f>'All regions'!C1229+"n/&gt;!$ZY"</f>
        <v>#VALUE!</v>
      </c>
      <c r="IE49" t="e">
        <f>'All regions'!D1229+"n/&gt;!$ZZ"</f>
        <v>#VALUE!</v>
      </c>
      <c r="IF49" t="e">
        <f>'All regions'!E1229+"n/&gt;!$Z["</f>
        <v>#VALUE!</v>
      </c>
      <c r="IG49" t="e">
        <f>'All regions'!F1229+"n/&gt;!$Z\"</f>
        <v>#VALUE!</v>
      </c>
      <c r="IH49" t="e">
        <f>'All regions'!G1229+"n/&gt;!$Z]"</f>
        <v>#VALUE!</v>
      </c>
      <c r="II49" t="e">
        <f>'All regions'!H1229+"n/&gt;!$Z^"</f>
        <v>#VALUE!</v>
      </c>
      <c r="IJ49" t="e">
        <f>'All regions'!I1229+"n/&gt;!$Z_"</f>
        <v>#VALUE!</v>
      </c>
      <c r="IK49" t="e">
        <f>'All regions'!J1229+"n/&gt;!$Z`"</f>
        <v>#VALUE!</v>
      </c>
      <c r="IL49" t="e">
        <f>'All regions'!A1230+"n/&gt;!$Za"</f>
        <v>#VALUE!</v>
      </c>
      <c r="IM49" t="e">
        <f>'All regions'!B1230+"n/&gt;!$Zb"</f>
        <v>#VALUE!</v>
      </c>
      <c r="IN49" t="e">
        <f>'All regions'!C1230+"n/&gt;!$Zc"</f>
        <v>#VALUE!</v>
      </c>
      <c r="IO49" t="e">
        <f>'All regions'!D1230+"n/&gt;!$Zd"</f>
        <v>#VALUE!</v>
      </c>
      <c r="IP49" t="e">
        <f>'All regions'!E1230+"n/&gt;!$Ze"</f>
        <v>#VALUE!</v>
      </c>
      <c r="IQ49" t="e">
        <f>'All regions'!F1230+"n/&gt;!$Zf"</f>
        <v>#VALUE!</v>
      </c>
      <c r="IR49" t="e">
        <f>'All regions'!G1230+"n/&gt;!$Zg"</f>
        <v>#VALUE!</v>
      </c>
      <c r="IS49" t="e">
        <f>'All regions'!H1230+"n/&gt;!$Zh"</f>
        <v>#VALUE!</v>
      </c>
      <c r="IT49" t="e">
        <f>'All regions'!I1230+"n/&gt;!$Zi"</f>
        <v>#VALUE!</v>
      </c>
      <c r="IU49" t="e">
        <f>'All regions'!J1230+"n/&gt;!$Zj"</f>
        <v>#VALUE!</v>
      </c>
      <c r="IV49" t="e">
        <f>'All regions'!A1231+"n/&gt;!$Zk"</f>
        <v>#VALUE!</v>
      </c>
    </row>
    <row r="50" spans="6:256" x14ac:dyDescent="0.35">
      <c r="F50" t="e">
        <f>'All regions'!B1231+"n/&gt;!$Zl"</f>
        <v>#VALUE!</v>
      </c>
      <c r="G50" t="e">
        <f>'All regions'!C1231+"n/&gt;!$Zm"</f>
        <v>#VALUE!</v>
      </c>
      <c r="H50" t="e">
        <f>'All regions'!D1231+"n/&gt;!$Zn"</f>
        <v>#VALUE!</v>
      </c>
      <c r="I50" t="e">
        <f>'All regions'!E1231+"n/&gt;!$Zo"</f>
        <v>#VALUE!</v>
      </c>
      <c r="J50" t="e">
        <f>'All regions'!F1231+"n/&gt;!$Zp"</f>
        <v>#VALUE!</v>
      </c>
      <c r="K50" t="e">
        <f>'All regions'!G1231+"n/&gt;!$Zq"</f>
        <v>#VALUE!</v>
      </c>
      <c r="L50" t="e">
        <f>'All regions'!H1231+"n/&gt;!$Zr"</f>
        <v>#VALUE!</v>
      </c>
      <c r="M50" t="e">
        <f>'All regions'!I1231+"n/&gt;!$Zs"</f>
        <v>#VALUE!</v>
      </c>
      <c r="N50" t="e">
        <f>'All regions'!J1231+"n/&gt;!$Zt"</f>
        <v>#VALUE!</v>
      </c>
      <c r="O50" t="e">
        <f>'All regions'!A1232+"n/&gt;!$Zu"</f>
        <v>#VALUE!</v>
      </c>
      <c r="P50" t="e">
        <f>'All regions'!B1232+"n/&gt;!$Zv"</f>
        <v>#VALUE!</v>
      </c>
      <c r="Q50" t="e">
        <f>'All regions'!C1232+"n/&gt;!$Zw"</f>
        <v>#VALUE!</v>
      </c>
      <c r="R50" t="e">
        <f>'All regions'!D1232+"n/&gt;!$Zx"</f>
        <v>#VALUE!</v>
      </c>
      <c r="S50" t="e">
        <f>'All regions'!E1232+"n/&gt;!$Zy"</f>
        <v>#VALUE!</v>
      </c>
      <c r="T50" t="e">
        <f>'All regions'!F1232+"n/&gt;!$Zz"</f>
        <v>#VALUE!</v>
      </c>
      <c r="U50" t="e">
        <f>'All regions'!G1232+"n/&gt;!$Z{"</f>
        <v>#VALUE!</v>
      </c>
      <c r="V50" t="e">
        <f>'All regions'!H1232+"n/&gt;!$Z|"</f>
        <v>#VALUE!</v>
      </c>
      <c r="W50" t="e">
        <f>'All regions'!I1232+"n/&gt;!$Z}"</f>
        <v>#VALUE!</v>
      </c>
      <c r="X50" t="e">
        <f>'All regions'!J1232+"n/&gt;!$Z~"</f>
        <v>#VALUE!</v>
      </c>
      <c r="Y50" t="e">
        <f>'All regions'!A1233+"n/&gt;!$[#"</f>
        <v>#VALUE!</v>
      </c>
      <c r="Z50" t="e">
        <f>'All regions'!B1233+"n/&gt;!$[$"</f>
        <v>#VALUE!</v>
      </c>
      <c r="AA50" t="e">
        <f>'All regions'!C1233+"n/&gt;!$[%"</f>
        <v>#VALUE!</v>
      </c>
      <c r="AB50" t="e">
        <f>'All regions'!D1233+"n/&gt;!$[&amp;"</f>
        <v>#VALUE!</v>
      </c>
      <c r="AC50" t="e">
        <f>'All regions'!E1233+"n/&gt;!$['"</f>
        <v>#VALUE!</v>
      </c>
      <c r="AD50" t="e">
        <f>'All regions'!F1233+"n/&gt;!$[("</f>
        <v>#VALUE!</v>
      </c>
      <c r="AE50" t="e">
        <f>'All regions'!G1233+"n/&gt;!$[)"</f>
        <v>#VALUE!</v>
      </c>
      <c r="AF50" t="e">
        <f>'All regions'!H1233+"n/&gt;!$[."</f>
        <v>#VALUE!</v>
      </c>
      <c r="AG50" t="e">
        <f>'All regions'!I1233+"n/&gt;!$[/"</f>
        <v>#VALUE!</v>
      </c>
      <c r="AH50" t="e">
        <f>'All regions'!J1233+"n/&gt;!$[0"</f>
        <v>#VALUE!</v>
      </c>
      <c r="AI50" t="e">
        <f>'All regions'!A1234+"n/&gt;!$[1"</f>
        <v>#VALUE!</v>
      </c>
      <c r="AJ50" t="e">
        <f>'All regions'!B1234+"n/&gt;!$[2"</f>
        <v>#VALUE!</v>
      </c>
      <c r="AK50" t="e">
        <f>'All regions'!C1234+"n/&gt;!$[3"</f>
        <v>#VALUE!</v>
      </c>
      <c r="AL50" t="e">
        <f>'All regions'!D1234+"n/&gt;!$[4"</f>
        <v>#VALUE!</v>
      </c>
      <c r="AM50" t="e">
        <f>'All regions'!E1234+"n/&gt;!$[5"</f>
        <v>#VALUE!</v>
      </c>
      <c r="AN50" t="e">
        <f>'All regions'!F1234+"n/&gt;!$[6"</f>
        <v>#VALUE!</v>
      </c>
      <c r="AO50" t="e">
        <f>'All regions'!G1234+"n/&gt;!$[7"</f>
        <v>#VALUE!</v>
      </c>
      <c r="AP50" t="e">
        <f>'All regions'!H1234+"n/&gt;!$[8"</f>
        <v>#VALUE!</v>
      </c>
      <c r="AQ50" t="e">
        <f>'All regions'!I1234+"n/&gt;!$[9"</f>
        <v>#VALUE!</v>
      </c>
      <c r="AR50" t="e">
        <f>'All regions'!J1234+"n/&gt;!$[:"</f>
        <v>#VALUE!</v>
      </c>
      <c r="AS50" t="e">
        <f>'All regions'!A1235+"n/&gt;!$[;"</f>
        <v>#VALUE!</v>
      </c>
      <c r="AT50" t="e">
        <f>'All regions'!B1235+"n/&gt;!$[&lt;"</f>
        <v>#VALUE!</v>
      </c>
      <c r="AU50" t="e">
        <f>'All regions'!C1235+"n/&gt;!$[="</f>
        <v>#VALUE!</v>
      </c>
      <c r="AV50" t="e">
        <f>'All regions'!D1235+"n/&gt;!$[&gt;"</f>
        <v>#VALUE!</v>
      </c>
      <c r="AW50" t="e">
        <f>'All regions'!E1235+"n/&gt;!$[?"</f>
        <v>#VALUE!</v>
      </c>
      <c r="AX50" t="e">
        <f>'All regions'!F1235+"n/&gt;!$[@"</f>
        <v>#VALUE!</v>
      </c>
      <c r="AY50" t="e">
        <f>'All regions'!G1235+"n/&gt;!$[A"</f>
        <v>#VALUE!</v>
      </c>
      <c r="AZ50" t="e">
        <f>'All regions'!H1235+"n/&gt;!$[B"</f>
        <v>#VALUE!</v>
      </c>
      <c r="BA50" t="e">
        <f>'All regions'!I1235+"n/&gt;!$[C"</f>
        <v>#VALUE!</v>
      </c>
      <c r="BB50" t="e">
        <f>'All regions'!J1235+"n/&gt;!$[D"</f>
        <v>#VALUE!</v>
      </c>
      <c r="BC50" t="e">
        <f>'All regions'!A1236+"n/&gt;!$[E"</f>
        <v>#VALUE!</v>
      </c>
      <c r="BD50" t="e">
        <f>'All regions'!B1236+"n/&gt;!$[F"</f>
        <v>#VALUE!</v>
      </c>
      <c r="BE50" t="e">
        <f>'All regions'!C1236+"n/&gt;!$[G"</f>
        <v>#VALUE!</v>
      </c>
      <c r="BF50" t="e">
        <f>'All regions'!D1236+"n/&gt;!$[H"</f>
        <v>#VALUE!</v>
      </c>
      <c r="BG50" t="e">
        <f>'All regions'!E1236+"n/&gt;!$[I"</f>
        <v>#VALUE!</v>
      </c>
      <c r="BH50" t="e">
        <f>'All regions'!F1236+"n/&gt;!$[J"</f>
        <v>#VALUE!</v>
      </c>
      <c r="BI50" t="e">
        <f>'All regions'!G1236+"n/&gt;!$[K"</f>
        <v>#VALUE!</v>
      </c>
      <c r="BJ50" t="e">
        <f>'All regions'!H1236+"n/&gt;!$[L"</f>
        <v>#VALUE!</v>
      </c>
      <c r="BK50" t="e">
        <f>'All regions'!I1236+"n/&gt;!$[M"</f>
        <v>#VALUE!</v>
      </c>
      <c r="BL50" t="e">
        <f>'All regions'!J1236+"n/&gt;!$[N"</f>
        <v>#VALUE!</v>
      </c>
      <c r="BM50" t="e">
        <f>'All regions'!A1237+"n/&gt;!$[O"</f>
        <v>#VALUE!</v>
      </c>
      <c r="BN50" t="e">
        <f>'All regions'!B1237+"n/&gt;!$[P"</f>
        <v>#VALUE!</v>
      </c>
      <c r="BO50" t="e">
        <f>'All regions'!C1237+"n/&gt;!$[Q"</f>
        <v>#VALUE!</v>
      </c>
      <c r="BP50" t="e">
        <f>'All regions'!D1237+"n/&gt;!$[R"</f>
        <v>#VALUE!</v>
      </c>
      <c r="BQ50" t="e">
        <f>'All regions'!E1237+"n/&gt;!$[S"</f>
        <v>#VALUE!</v>
      </c>
      <c r="BR50" t="e">
        <f>'All regions'!F1237+"n/&gt;!$[T"</f>
        <v>#VALUE!</v>
      </c>
      <c r="BS50" t="e">
        <f>'All regions'!G1237+"n/&gt;!$[U"</f>
        <v>#VALUE!</v>
      </c>
      <c r="BT50" t="e">
        <f>'All regions'!H1237+"n/&gt;!$[V"</f>
        <v>#VALUE!</v>
      </c>
      <c r="BU50" t="e">
        <f>'All regions'!I1237+"n/&gt;!$[W"</f>
        <v>#VALUE!</v>
      </c>
      <c r="BV50" t="e">
        <f>'All regions'!J1237+"n/&gt;!$[X"</f>
        <v>#VALUE!</v>
      </c>
      <c r="BW50" t="e">
        <f>'All regions'!A1238+"n/&gt;!$[Y"</f>
        <v>#VALUE!</v>
      </c>
      <c r="BX50" t="e">
        <f>'All regions'!B1238+"n/&gt;!$[Z"</f>
        <v>#VALUE!</v>
      </c>
      <c r="BY50" t="e">
        <f>'All regions'!C1238+"n/&gt;!$[["</f>
        <v>#VALUE!</v>
      </c>
      <c r="BZ50" t="e">
        <f>'All regions'!D1238+"n/&gt;!$[\"</f>
        <v>#VALUE!</v>
      </c>
      <c r="CA50" t="e">
        <f>'All regions'!E1238+"n/&gt;!$[]"</f>
        <v>#VALUE!</v>
      </c>
      <c r="CB50" t="e">
        <f>'All regions'!F1238+"n/&gt;!$[^"</f>
        <v>#VALUE!</v>
      </c>
      <c r="CC50" t="e">
        <f>'All regions'!G1238+"n/&gt;!$[_"</f>
        <v>#VALUE!</v>
      </c>
      <c r="CD50" t="e">
        <f>'All regions'!H1238+"n/&gt;!$[`"</f>
        <v>#VALUE!</v>
      </c>
      <c r="CE50" t="e">
        <f>'All regions'!I1238+"n/&gt;!$[a"</f>
        <v>#VALUE!</v>
      </c>
      <c r="CF50" t="e">
        <f>'All regions'!J1238+"n/&gt;!$[b"</f>
        <v>#VALUE!</v>
      </c>
      <c r="CG50" t="e">
        <f>'All regions'!A1239+"n/&gt;!$[c"</f>
        <v>#VALUE!</v>
      </c>
      <c r="CH50" t="e">
        <f>'All regions'!B1239+"n/&gt;!$[d"</f>
        <v>#VALUE!</v>
      </c>
      <c r="CI50" t="e">
        <f>'All regions'!C1239+"n/&gt;!$[e"</f>
        <v>#VALUE!</v>
      </c>
      <c r="CJ50" t="e">
        <f>'All regions'!D1239+"n/&gt;!$[f"</f>
        <v>#VALUE!</v>
      </c>
      <c r="CK50" t="e">
        <f>'All regions'!E1239+"n/&gt;!$[g"</f>
        <v>#VALUE!</v>
      </c>
      <c r="CL50" t="e">
        <f>'All regions'!F1239+"n/&gt;!$[h"</f>
        <v>#VALUE!</v>
      </c>
      <c r="CM50" t="e">
        <f>'All regions'!G1239+"n/&gt;!$[i"</f>
        <v>#VALUE!</v>
      </c>
      <c r="CN50" t="e">
        <f>'All regions'!H1239+"n/&gt;!$[j"</f>
        <v>#VALUE!</v>
      </c>
      <c r="CO50" t="e">
        <f>'All regions'!I1239+"n/&gt;!$[k"</f>
        <v>#VALUE!</v>
      </c>
      <c r="CP50" t="e">
        <f>'All regions'!J1239+"n/&gt;!$[l"</f>
        <v>#VALUE!</v>
      </c>
      <c r="CQ50" t="e">
        <f>'All regions'!A1240+"n/&gt;!$[m"</f>
        <v>#VALUE!</v>
      </c>
      <c r="CR50" t="e">
        <f>'All regions'!B1240+"n/&gt;!$[n"</f>
        <v>#VALUE!</v>
      </c>
      <c r="CS50" t="e">
        <f>'All regions'!C1240+"n/&gt;!$[o"</f>
        <v>#VALUE!</v>
      </c>
      <c r="CT50" t="e">
        <f>'All regions'!D1240+"n/&gt;!$[p"</f>
        <v>#VALUE!</v>
      </c>
      <c r="CU50" t="e">
        <f>'All regions'!E1240+"n/&gt;!$[q"</f>
        <v>#VALUE!</v>
      </c>
      <c r="CV50" t="e">
        <f>'All regions'!F1240+"n/&gt;!$[r"</f>
        <v>#VALUE!</v>
      </c>
      <c r="CW50" t="e">
        <f>'All regions'!G1240+"n/&gt;!$[s"</f>
        <v>#VALUE!</v>
      </c>
      <c r="CX50" t="e">
        <f>'All regions'!H1240+"n/&gt;!$[t"</f>
        <v>#VALUE!</v>
      </c>
      <c r="CY50" t="e">
        <f>'All regions'!I1240+"n/&gt;!$[u"</f>
        <v>#VALUE!</v>
      </c>
      <c r="CZ50" t="e">
        <f>'All regions'!J1240+"n/&gt;!$[v"</f>
        <v>#VALUE!</v>
      </c>
      <c r="DA50" t="e">
        <f>'All regions'!A1241+"n/&gt;!$[w"</f>
        <v>#VALUE!</v>
      </c>
      <c r="DB50" t="e">
        <f>'All regions'!B1241+"n/&gt;!$[x"</f>
        <v>#VALUE!</v>
      </c>
      <c r="DC50" t="e">
        <f>'All regions'!C1241+"n/&gt;!$[y"</f>
        <v>#VALUE!</v>
      </c>
      <c r="DD50" t="e">
        <f>'All regions'!D1241+"n/&gt;!$[z"</f>
        <v>#VALUE!</v>
      </c>
      <c r="DE50" t="e">
        <f>'All regions'!E1241+"n/&gt;!$[{"</f>
        <v>#VALUE!</v>
      </c>
      <c r="DF50" t="e">
        <f>'All regions'!F1241+"n/&gt;!$[|"</f>
        <v>#VALUE!</v>
      </c>
      <c r="DG50" t="e">
        <f>'All regions'!G1241+"n/&gt;!$[}"</f>
        <v>#VALUE!</v>
      </c>
      <c r="DH50" t="e">
        <f>'All regions'!H1241+"n/&gt;!$[~"</f>
        <v>#VALUE!</v>
      </c>
      <c r="DI50" t="e">
        <f>'All regions'!I1241+"n/&gt;!$\#"</f>
        <v>#VALUE!</v>
      </c>
      <c r="DJ50" t="e">
        <f>'All regions'!J1241+"n/&gt;!$\$"</f>
        <v>#VALUE!</v>
      </c>
      <c r="DK50" t="e">
        <f>'All regions'!A1242+"n/&gt;!$\%"</f>
        <v>#VALUE!</v>
      </c>
      <c r="DL50" t="e">
        <f>'All regions'!B1242+"n/&gt;!$\&amp;"</f>
        <v>#VALUE!</v>
      </c>
      <c r="DM50" t="e">
        <f>'All regions'!C1242+"n/&gt;!$\'"</f>
        <v>#VALUE!</v>
      </c>
      <c r="DN50" t="e">
        <f>'All regions'!D1242+"n/&gt;!$\("</f>
        <v>#VALUE!</v>
      </c>
      <c r="DO50" t="e">
        <f>'All regions'!E1242+"n/&gt;!$\)"</f>
        <v>#VALUE!</v>
      </c>
      <c r="DP50" t="e">
        <f>'All regions'!F1242+"n/&gt;!$\."</f>
        <v>#VALUE!</v>
      </c>
      <c r="DQ50" t="e">
        <f>'All regions'!G1242+"n/&gt;!$\/"</f>
        <v>#VALUE!</v>
      </c>
      <c r="DR50" t="e">
        <f>'All regions'!H1242+"n/&gt;!$\0"</f>
        <v>#VALUE!</v>
      </c>
      <c r="DS50" t="e">
        <f>'All regions'!I1242+"n/&gt;!$\1"</f>
        <v>#VALUE!</v>
      </c>
      <c r="DT50" t="e">
        <f>'All regions'!J1242+"n/&gt;!$\2"</f>
        <v>#VALUE!</v>
      </c>
      <c r="DU50" t="e">
        <f>'All regions'!A1243+"n/&gt;!$\3"</f>
        <v>#VALUE!</v>
      </c>
      <c r="DV50" t="e">
        <f>'All regions'!B1243+"n/&gt;!$\4"</f>
        <v>#VALUE!</v>
      </c>
      <c r="DW50" t="e">
        <f>'All regions'!C1243+"n/&gt;!$\5"</f>
        <v>#VALUE!</v>
      </c>
      <c r="DX50" t="e">
        <f>'All regions'!D1243+"n/&gt;!$\6"</f>
        <v>#VALUE!</v>
      </c>
      <c r="DY50" t="e">
        <f>'All regions'!E1243+"n/&gt;!$\7"</f>
        <v>#VALUE!</v>
      </c>
      <c r="DZ50" t="e">
        <f>'All regions'!F1243+"n/&gt;!$\8"</f>
        <v>#VALUE!</v>
      </c>
      <c r="EA50" t="e">
        <f>'All regions'!G1243+"n/&gt;!$\9"</f>
        <v>#VALUE!</v>
      </c>
      <c r="EB50" t="e">
        <f>'All regions'!H1243+"n/&gt;!$\:"</f>
        <v>#VALUE!</v>
      </c>
      <c r="EC50" t="e">
        <f>'All regions'!I1243+"n/&gt;!$\;"</f>
        <v>#VALUE!</v>
      </c>
      <c r="ED50" t="e">
        <f>'All regions'!J1243+"n/&gt;!$\&lt;"</f>
        <v>#VALUE!</v>
      </c>
      <c r="EE50" t="e">
        <f>'All regions'!A1244+"n/&gt;!$\="</f>
        <v>#VALUE!</v>
      </c>
      <c r="EF50" t="e">
        <f>'All regions'!B1244+"n/&gt;!$\&gt;"</f>
        <v>#VALUE!</v>
      </c>
      <c r="EG50" t="e">
        <f>'All regions'!C1244+"n/&gt;!$\?"</f>
        <v>#VALUE!</v>
      </c>
      <c r="EH50" t="e">
        <f>'All regions'!D1244+"n/&gt;!$\@"</f>
        <v>#VALUE!</v>
      </c>
      <c r="EI50" t="e">
        <f>'All regions'!E1244+"n/&gt;!$\A"</f>
        <v>#VALUE!</v>
      </c>
      <c r="EJ50" t="e">
        <f>'All regions'!F1244+"n/&gt;!$\B"</f>
        <v>#VALUE!</v>
      </c>
      <c r="EK50" t="e">
        <f>'All regions'!G1244+"n/&gt;!$\C"</f>
        <v>#VALUE!</v>
      </c>
      <c r="EL50" t="e">
        <f>'All regions'!H1244+"n/&gt;!$\D"</f>
        <v>#VALUE!</v>
      </c>
      <c r="EM50" t="e">
        <f>'All regions'!I1244+"n/&gt;!$\E"</f>
        <v>#VALUE!</v>
      </c>
      <c r="EN50" t="e">
        <f>'All regions'!J1244+"n/&gt;!$\F"</f>
        <v>#VALUE!</v>
      </c>
      <c r="EO50" t="e">
        <f>'All regions'!A1245+"n/&gt;!$\G"</f>
        <v>#VALUE!</v>
      </c>
      <c r="EP50" t="e">
        <f>'All regions'!B1245+"n/&gt;!$\H"</f>
        <v>#VALUE!</v>
      </c>
      <c r="EQ50" t="e">
        <f>'All regions'!C1245+"n/&gt;!$\I"</f>
        <v>#VALUE!</v>
      </c>
      <c r="ER50" t="e">
        <f>'All regions'!D1245+"n/&gt;!$\J"</f>
        <v>#VALUE!</v>
      </c>
      <c r="ES50" t="e">
        <f>'All regions'!E1245+"n/&gt;!$\K"</f>
        <v>#VALUE!</v>
      </c>
      <c r="ET50" t="e">
        <f>'All regions'!F1245+"n/&gt;!$\L"</f>
        <v>#VALUE!</v>
      </c>
      <c r="EU50" t="e">
        <f>'All regions'!G1245+"n/&gt;!$\M"</f>
        <v>#VALUE!</v>
      </c>
      <c r="EV50" t="e">
        <f>'All regions'!H1245+"n/&gt;!$\N"</f>
        <v>#VALUE!</v>
      </c>
      <c r="EW50" t="e">
        <f>'All regions'!I1245+"n/&gt;!$\O"</f>
        <v>#VALUE!</v>
      </c>
      <c r="EX50" t="e">
        <f>'All regions'!J1245+"n/&gt;!$\P"</f>
        <v>#VALUE!</v>
      </c>
      <c r="EY50" t="e">
        <f>'All regions'!A1246+"n/&gt;!$\Q"</f>
        <v>#VALUE!</v>
      </c>
      <c r="EZ50" t="e">
        <f>'All regions'!B1246+"n/&gt;!$\R"</f>
        <v>#VALUE!</v>
      </c>
      <c r="FA50" t="e">
        <f>'All regions'!C1246+"n/&gt;!$\S"</f>
        <v>#VALUE!</v>
      </c>
      <c r="FB50" t="e">
        <f>'All regions'!D1246+"n/&gt;!$\T"</f>
        <v>#VALUE!</v>
      </c>
      <c r="FC50" t="e">
        <f>'All regions'!E1246+"n/&gt;!$\U"</f>
        <v>#VALUE!</v>
      </c>
      <c r="FD50" t="e">
        <f>'All regions'!F1246+"n/&gt;!$\V"</f>
        <v>#VALUE!</v>
      </c>
      <c r="FE50" t="e">
        <f>'All regions'!G1246+"n/&gt;!$\W"</f>
        <v>#VALUE!</v>
      </c>
      <c r="FF50" t="e">
        <f>'All regions'!H1246+"n/&gt;!$\X"</f>
        <v>#VALUE!</v>
      </c>
      <c r="FG50" t="e">
        <f>'All regions'!I1246+"n/&gt;!$\Y"</f>
        <v>#VALUE!</v>
      </c>
      <c r="FH50" t="e">
        <f>'All regions'!J1246+"n/&gt;!$\Z"</f>
        <v>#VALUE!</v>
      </c>
      <c r="FI50" t="e">
        <f>'All regions'!A1247+"n/&gt;!$\["</f>
        <v>#VALUE!</v>
      </c>
      <c r="FJ50" t="e">
        <f>'All regions'!B1247+"n/&gt;!$\\"</f>
        <v>#VALUE!</v>
      </c>
      <c r="FK50" t="e">
        <f>'All regions'!C1247+"n/&gt;!$\]"</f>
        <v>#VALUE!</v>
      </c>
      <c r="FL50" t="e">
        <f>'All regions'!D1247+"n/&gt;!$\^"</f>
        <v>#VALUE!</v>
      </c>
      <c r="FM50" t="e">
        <f>'All regions'!E1247+"n/&gt;!$\_"</f>
        <v>#VALUE!</v>
      </c>
      <c r="FN50" t="e">
        <f>'All regions'!F1247+"n/&gt;!$\`"</f>
        <v>#VALUE!</v>
      </c>
      <c r="FO50" t="e">
        <f>'All regions'!G1247+"n/&gt;!$\a"</f>
        <v>#VALUE!</v>
      </c>
      <c r="FP50" t="e">
        <f>'All regions'!H1247+"n/&gt;!$\b"</f>
        <v>#VALUE!</v>
      </c>
      <c r="FQ50" t="e">
        <f>'All regions'!I1247+"n/&gt;!$\c"</f>
        <v>#VALUE!</v>
      </c>
      <c r="FR50" t="e">
        <f>'All regions'!J1247+"n/&gt;!$\d"</f>
        <v>#VALUE!</v>
      </c>
      <c r="FS50" t="e">
        <f>'All regions'!A1248+"n/&gt;!$\e"</f>
        <v>#VALUE!</v>
      </c>
      <c r="FT50" t="e">
        <f>'All regions'!B1248+"n/&gt;!$\f"</f>
        <v>#VALUE!</v>
      </c>
      <c r="FU50" t="e">
        <f>'All regions'!C1248+"n/&gt;!$\g"</f>
        <v>#VALUE!</v>
      </c>
      <c r="FV50" t="e">
        <f>'All regions'!D1248+"n/&gt;!$\h"</f>
        <v>#VALUE!</v>
      </c>
      <c r="FW50" t="e">
        <f>'All regions'!E1248+"n/&gt;!$\i"</f>
        <v>#VALUE!</v>
      </c>
      <c r="FX50" t="e">
        <f>'All regions'!F1248+"n/&gt;!$\j"</f>
        <v>#VALUE!</v>
      </c>
      <c r="FY50" t="e">
        <f>'All regions'!G1248+"n/&gt;!$\k"</f>
        <v>#VALUE!</v>
      </c>
      <c r="FZ50" t="e">
        <f>'All regions'!H1248+"n/&gt;!$\l"</f>
        <v>#VALUE!</v>
      </c>
      <c r="GA50" t="e">
        <f>'All regions'!I1248+"n/&gt;!$\m"</f>
        <v>#VALUE!</v>
      </c>
      <c r="GB50" t="e">
        <f>'All regions'!J1248+"n/&gt;!$\n"</f>
        <v>#VALUE!</v>
      </c>
      <c r="GC50" t="e">
        <f>'All regions'!A1249+"n/&gt;!$\o"</f>
        <v>#VALUE!</v>
      </c>
      <c r="GD50" t="e">
        <f>'All regions'!B1249+"n/&gt;!$\p"</f>
        <v>#VALUE!</v>
      </c>
      <c r="GE50" t="e">
        <f>'All regions'!C1249+"n/&gt;!$\q"</f>
        <v>#VALUE!</v>
      </c>
      <c r="GF50" t="e">
        <f>'All regions'!D1249+"n/&gt;!$\r"</f>
        <v>#VALUE!</v>
      </c>
      <c r="GG50" t="e">
        <f>'All regions'!E1249+"n/&gt;!$\s"</f>
        <v>#VALUE!</v>
      </c>
      <c r="GH50" t="e">
        <f>'All regions'!F1249+"n/&gt;!$\t"</f>
        <v>#VALUE!</v>
      </c>
      <c r="GI50" t="e">
        <f>'All regions'!G1249+"n/&gt;!$\u"</f>
        <v>#VALUE!</v>
      </c>
      <c r="GJ50" t="e">
        <f>'All regions'!H1249+"n/&gt;!$\v"</f>
        <v>#VALUE!</v>
      </c>
      <c r="GK50" t="e">
        <f>'All regions'!I1249+"n/&gt;!$\w"</f>
        <v>#VALUE!</v>
      </c>
      <c r="GL50" t="e">
        <f>'All regions'!J1249+"n/&gt;!$\x"</f>
        <v>#VALUE!</v>
      </c>
      <c r="GM50" t="e">
        <f>'All regions'!A1250+"n/&gt;!$\y"</f>
        <v>#VALUE!</v>
      </c>
      <c r="GN50" t="e">
        <f>'All regions'!B1250+"n/&gt;!$\z"</f>
        <v>#VALUE!</v>
      </c>
      <c r="GO50" t="e">
        <f>'All regions'!C1250+"n/&gt;!$\{"</f>
        <v>#VALUE!</v>
      </c>
      <c r="GP50" t="e">
        <f>'All regions'!D1250+"n/&gt;!$\|"</f>
        <v>#VALUE!</v>
      </c>
      <c r="GQ50" t="e">
        <f>'All regions'!E1250+"n/&gt;!$\}"</f>
        <v>#VALUE!</v>
      </c>
      <c r="GR50" t="e">
        <f>'All regions'!F1250+"n/&gt;!$\~"</f>
        <v>#VALUE!</v>
      </c>
      <c r="GS50" t="e">
        <f>'All regions'!G1250+"n/&gt;!$]#"</f>
        <v>#VALUE!</v>
      </c>
      <c r="GT50" t="e">
        <f>'All regions'!H1250+"n/&gt;!$]$"</f>
        <v>#VALUE!</v>
      </c>
      <c r="GU50" t="e">
        <f>'All regions'!I1250+"n/&gt;!$]%"</f>
        <v>#VALUE!</v>
      </c>
      <c r="GV50" t="e">
        <f>'All regions'!J1250+"n/&gt;!$]&amp;"</f>
        <v>#VALUE!</v>
      </c>
      <c r="GW50" t="e">
        <f>'All regions'!A1251+"n/&gt;!$]'"</f>
        <v>#VALUE!</v>
      </c>
      <c r="GX50" t="e">
        <f>'All regions'!B1251+"n/&gt;!$]("</f>
        <v>#VALUE!</v>
      </c>
      <c r="GY50" t="e">
        <f>'All regions'!C1251+"n/&gt;!$])"</f>
        <v>#VALUE!</v>
      </c>
      <c r="GZ50" t="e">
        <f>'All regions'!D1251+"n/&gt;!$]."</f>
        <v>#VALUE!</v>
      </c>
      <c r="HA50" t="e">
        <f>'All regions'!E1251+"n/&gt;!$]/"</f>
        <v>#VALUE!</v>
      </c>
      <c r="HB50" t="e">
        <f>'All regions'!F1251+"n/&gt;!$]0"</f>
        <v>#VALUE!</v>
      </c>
      <c r="HC50" t="e">
        <f>'All regions'!G1251+"n/&gt;!$]1"</f>
        <v>#VALUE!</v>
      </c>
      <c r="HD50" t="e">
        <f>'All regions'!H1251+"n/&gt;!$]2"</f>
        <v>#VALUE!</v>
      </c>
      <c r="HE50" t="e">
        <f>'All regions'!I1251+"n/&gt;!$]3"</f>
        <v>#VALUE!</v>
      </c>
      <c r="HF50" t="e">
        <f>'All regions'!J1251+"n/&gt;!$]4"</f>
        <v>#VALUE!</v>
      </c>
      <c r="HG50" t="e">
        <f>'All regions'!A1252+"n/&gt;!$]5"</f>
        <v>#VALUE!</v>
      </c>
      <c r="HH50" t="e">
        <f>'All regions'!B1252+"n/&gt;!$]6"</f>
        <v>#VALUE!</v>
      </c>
      <c r="HI50" t="e">
        <f>'All regions'!C1252+"n/&gt;!$]7"</f>
        <v>#VALUE!</v>
      </c>
      <c r="HJ50" t="e">
        <f>'All regions'!D1252+"n/&gt;!$]8"</f>
        <v>#VALUE!</v>
      </c>
      <c r="HK50" t="e">
        <f>'All regions'!E1252+"n/&gt;!$]9"</f>
        <v>#VALUE!</v>
      </c>
      <c r="HL50" t="e">
        <f>'All regions'!F1252+"n/&gt;!$]:"</f>
        <v>#VALUE!</v>
      </c>
      <c r="HM50" t="e">
        <f>'All regions'!G1252+"n/&gt;!$];"</f>
        <v>#VALUE!</v>
      </c>
      <c r="HN50" t="e">
        <f>'All regions'!H1252+"n/&gt;!$]&lt;"</f>
        <v>#VALUE!</v>
      </c>
      <c r="HO50" t="e">
        <f>'All regions'!I1252+"n/&gt;!$]="</f>
        <v>#VALUE!</v>
      </c>
      <c r="HP50" t="e">
        <f>'All regions'!J1252+"n/&gt;!$]&gt;"</f>
        <v>#VALUE!</v>
      </c>
      <c r="HQ50" t="e">
        <f>'All regions'!A1253+"n/&gt;!$]?"</f>
        <v>#VALUE!</v>
      </c>
      <c r="HR50" t="e">
        <f>'All regions'!B1253+"n/&gt;!$]@"</f>
        <v>#VALUE!</v>
      </c>
      <c r="HS50" t="e">
        <f>'All regions'!C1253+"n/&gt;!$]A"</f>
        <v>#VALUE!</v>
      </c>
      <c r="HT50" t="e">
        <f>'All regions'!D1253+"n/&gt;!$]B"</f>
        <v>#VALUE!</v>
      </c>
      <c r="HU50" t="e">
        <f>'All regions'!E1253+"n/&gt;!$]C"</f>
        <v>#VALUE!</v>
      </c>
      <c r="HV50" t="e">
        <f>'All regions'!F1253+"n/&gt;!$]D"</f>
        <v>#VALUE!</v>
      </c>
      <c r="HW50" t="e">
        <f>'All regions'!G1253+"n/&gt;!$]E"</f>
        <v>#VALUE!</v>
      </c>
      <c r="HX50" t="e">
        <f>'All regions'!H1253+"n/&gt;!$]F"</f>
        <v>#VALUE!</v>
      </c>
      <c r="HY50" t="e">
        <f>'All regions'!I1253+"n/&gt;!$]G"</f>
        <v>#VALUE!</v>
      </c>
      <c r="HZ50" t="e">
        <f>'All regions'!J1253+"n/&gt;!$]H"</f>
        <v>#VALUE!</v>
      </c>
      <c r="IA50" t="e">
        <f>'All regions'!A1254+"n/&gt;!$]I"</f>
        <v>#VALUE!</v>
      </c>
      <c r="IB50" t="e">
        <f>'All regions'!B1254+"n/&gt;!$]J"</f>
        <v>#VALUE!</v>
      </c>
      <c r="IC50" t="e">
        <f>'All regions'!C1254+"n/&gt;!$]K"</f>
        <v>#VALUE!</v>
      </c>
      <c r="ID50" t="e">
        <f>'All regions'!D1254+"n/&gt;!$]L"</f>
        <v>#VALUE!</v>
      </c>
      <c r="IE50" t="e">
        <f>'All regions'!E1254+"n/&gt;!$]M"</f>
        <v>#VALUE!</v>
      </c>
      <c r="IF50" t="e">
        <f>'All regions'!F1254+"n/&gt;!$]N"</f>
        <v>#VALUE!</v>
      </c>
      <c r="IG50" t="e">
        <f>'All regions'!G1254+"n/&gt;!$]O"</f>
        <v>#VALUE!</v>
      </c>
      <c r="IH50" t="e">
        <f>'All regions'!H1254+"n/&gt;!$]P"</f>
        <v>#VALUE!</v>
      </c>
      <c r="II50" t="e">
        <f>'All regions'!I1254+"n/&gt;!$]Q"</f>
        <v>#VALUE!</v>
      </c>
      <c r="IJ50" t="e">
        <f>'All regions'!J1254+"n/&gt;!$]R"</f>
        <v>#VALUE!</v>
      </c>
      <c r="IK50" t="e">
        <f>'All regions'!A1255+"n/&gt;!$]S"</f>
        <v>#VALUE!</v>
      </c>
      <c r="IL50" t="e">
        <f>'All regions'!B1255+"n/&gt;!$]T"</f>
        <v>#VALUE!</v>
      </c>
      <c r="IM50" t="e">
        <f>'All regions'!C1255+"n/&gt;!$]U"</f>
        <v>#VALUE!</v>
      </c>
      <c r="IN50" t="e">
        <f>'All regions'!D1255+"n/&gt;!$]V"</f>
        <v>#VALUE!</v>
      </c>
      <c r="IO50" t="e">
        <f>'All regions'!E1255+"n/&gt;!$]W"</f>
        <v>#VALUE!</v>
      </c>
      <c r="IP50" t="e">
        <f>'All regions'!F1255+"n/&gt;!$]X"</f>
        <v>#VALUE!</v>
      </c>
      <c r="IQ50" t="e">
        <f>'All regions'!G1255+"n/&gt;!$]Y"</f>
        <v>#VALUE!</v>
      </c>
      <c r="IR50" t="e">
        <f>'All regions'!H1255+"n/&gt;!$]Z"</f>
        <v>#VALUE!</v>
      </c>
      <c r="IS50" t="e">
        <f>'All regions'!I1255+"n/&gt;!$]["</f>
        <v>#VALUE!</v>
      </c>
      <c r="IT50" t="e">
        <f>'All regions'!J1255+"n/&gt;!$]\"</f>
        <v>#VALUE!</v>
      </c>
      <c r="IU50" t="e">
        <f>'All regions'!A1256+"n/&gt;!$]]"</f>
        <v>#VALUE!</v>
      </c>
      <c r="IV50" t="e">
        <f>'All regions'!B1256+"n/&gt;!$]^"</f>
        <v>#VALUE!</v>
      </c>
    </row>
    <row r="51" spans="6:256" x14ac:dyDescent="0.35">
      <c r="F51" t="e">
        <f>'All regions'!C1256+"n/&gt;!$]_"</f>
        <v>#VALUE!</v>
      </c>
      <c r="G51" t="e">
        <f>'All regions'!D1256+"n/&gt;!$]`"</f>
        <v>#VALUE!</v>
      </c>
      <c r="H51" t="e">
        <f>'All regions'!E1256+"n/&gt;!$]a"</f>
        <v>#VALUE!</v>
      </c>
      <c r="I51" t="e">
        <f>'All regions'!F1256+"n/&gt;!$]b"</f>
        <v>#VALUE!</v>
      </c>
      <c r="J51" t="e">
        <f>'All regions'!G1256+"n/&gt;!$]c"</f>
        <v>#VALUE!</v>
      </c>
      <c r="K51" t="e">
        <f>'All regions'!H1256+"n/&gt;!$]d"</f>
        <v>#VALUE!</v>
      </c>
      <c r="L51" t="e">
        <f>'All regions'!I1256+"n/&gt;!$]e"</f>
        <v>#VALUE!</v>
      </c>
      <c r="M51" t="e">
        <f>'All regions'!J1256+"n/&gt;!$]f"</f>
        <v>#VALUE!</v>
      </c>
      <c r="N51" t="e">
        <f>'All regions'!A1257+"n/&gt;!$]g"</f>
        <v>#VALUE!</v>
      </c>
      <c r="O51" t="e">
        <f>'All regions'!B1257+"n/&gt;!$]h"</f>
        <v>#VALUE!</v>
      </c>
      <c r="P51" t="e">
        <f>'All regions'!C1257+"n/&gt;!$]i"</f>
        <v>#VALUE!</v>
      </c>
      <c r="Q51" t="e">
        <f>'All regions'!D1257+"n/&gt;!$]j"</f>
        <v>#VALUE!</v>
      </c>
      <c r="R51" t="e">
        <f>'All regions'!E1257+"n/&gt;!$]k"</f>
        <v>#VALUE!</v>
      </c>
      <c r="S51" t="e">
        <f>'All regions'!F1257+"n/&gt;!$]l"</f>
        <v>#VALUE!</v>
      </c>
      <c r="T51" t="e">
        <f>'All regions'!G1257+"n/&gt;!$]m"</f>
        <v>#VALUE!</v>
      </c>
      <c r="U51" t="e">
        <f>'All regions'!H1257+"n/&gt;!$]n"</f>
        <v>#VALUE!</v>
      </c>
      <c r="V51" t="e">
        <f>'All regions'!I1257+"n/&gt;!$]o"</f>
        <v>#VALUE!</v>
      </c>
      <c r="W51" t="e">
        <f>'All regions'!J1257+"n/&gt;!$]p"</f>
        <v>#VALUE!</v>
      </c>
      <c r="X51" t="e">
        <f>'All regions'!A1258+"n/&gt;!$]q"</f>
        <v>#VALUE!</v>
      </c>
      <c r="Y51" t="e">
        <f>'All regions'!B1258+"n/&gt;!$]r"</f>
        <v>#VALUE!</v>
      </c>
      <c r="Z51" t="e">
        <f>'All regions'!C1258+"n/&gt;!$]s"</f>
        <v>#VALUE!</v>
      </c>
      <c r="AA51" t="e">
        <f>'All regions'!D1258+"n/&gt;!$]t"</f>
        <v>#VALUE!</v>
      </c>
      <c r="AB51" t="e">
        <f>'All regions'!E1258+"n/&gt;!$]u"</f>
        <v>#VALUE!</v>
      </c>
      <c r="AC51" t="e">
        <f>'All regions'!F1258+"n/&gt;!$]v"</f>
        <v>#VALUE!</v>
      </c>
      <c r="AD51" t="e">
        <f>'All regions'!G1258+"n/&gt;!$]w"</f>
        <v>#VALUE!</v>
      </c>
      <c r="AE51" t="e">
        <f>'All regions'!H1258+"n/&gt;!$]x"</f>
        <v>#VALUE!</v>
      </c>
      <c r="AF51" t="e">
        <f>'All regions'!I1258+"n/&gt;!$]y"</f>
        <v>#VALUE!</v>
      </c>
      <c r="AG51" t="e">
        <f>'All regions'!J1258+"n/&gt;!$]z"</f>
        <v>#VALUE!</v>
      </c>
      <c r="AH51" t="e">
        <f>'All regions'!A1259+"n/&gt;!$]{"</f>
        <v>#VALUE!</v>
      </c>
      <c r="AI51" t="e">
        <f>'All regions'!B1259+"n/&gt;!$]|"</f>
        <v>#VALUE!</v>
      </c>
      <c r="AJ51" t="e">
        <f>'All regions'!C1259+"n/&gt;!$]}"</f>
        <v>#VALUE!</v>
      </c>
      <c r="AK51" t="e">
        <f>'All regions'!D1259+"n/&gt;!$]~"</f>
        <v>#VALUE!</v>
      </c>
      <c r="AL51" t="e">
        <f>'All regions'!E1259+"n/&gt;!$^#"</f>
        <v>#VALUE!</v>
      </c>
      <c r="AM51" t="e">
        <f>'All regions'!F1259+"n/&gt;!$^$"</f>
        <v>#VALUE!</v>
      </c>
      <c r="AN51" t="e">
        <f>'All regions'!G1259+"n/&gt;!$^%"</f>
        <v>#VALUE!</v>
      </c>
      <c r="AO51" t="e">
        <f>'All regions'!H1259+"n/&gt;!$^&amp;"</f>
        <v>#VALUE!</v>
      </c>
      <c r="AP51" t="e">
        <f>'All regions'!I1259+"n/&gt;!$^'"</f>
        <v>#VALUE!</v>
      </c>
      <c r="AQ51" t="e">
        <f>'All regions'!J1259+"n/&gt;!$^("</f>
        <v>#VALUE!</v>
      </c>
      <c r="AR51" t="e">
        <f>'All regions'!A1260+"n/&gt;!$^)"</f>
        <v>#VALUE!</v>
      </c>
      <c r="AS51" t="e">
        <f>'All regions'!B1260+"n/&gt;!$^."</f>
        <v>#VALUE!</v>
      </c>
      <c r="AT51" t="e">
        <f>'All regions'!C1260+"n/&gt;!$^/"</f>
        <v>#VALUE!</v>
      </c>
      <c r="AU51" t="e">
        <f>'All regions'!D1260+"n/&gt;!$^0"</f>
        <v>#VALUE!</v>
      </c>
      <c r="AV51" t="e">
        <f>'All regions'!E1260+"n/&gt;!$^1"</f>
        <v>#VALUE!</v>
      </c>
      <c r="AW51" t="e">
        <f>'All regions'!F1260+"n/&gt;!$^2"</f>
        <v>#VALUE!</v>
      </c>
      <c r="AX51" t="e">
        <f>'All regions'!G1260+"n/&gt;!$^3"</f>
        <v>#VALUE!</v>
      </c>
      <c r="AY51" t="e">
        <f>'All regions'!H1260+"n/&gt;!$^4"</f>
        <v>#VALUE!</v>
      </c>
      <c r="AZ51" t="e">
        <f>'All regions'!I1260+"n/&gt;!$^5"</f>
        <v>#VALUE!</v>
      </c>
      <c r="BA51" t="e">
        <f>'All regions'!J1260+"n/&gt;!$^6"</f>
        <v>#VALUE!</v>
      </c>
      <c r="BB51" t="e">
        <f>'All regions'!A1261+"n/&gt;!$^7"</f>
        <v>#VALUE!</v>
      </c>
      <c r="BC51" t="e">
        <f>'All regions'!B1261+"n/&gt;!$^8"</f>
        <v>#VALUE!</v>
      </c>
      <c r="BD51" t="e">
        <f>'All regions'!C1261+"n/&gt;!$^9"</f>
        <v>#VALUE!</v>
      </c>
      <c r="BE51" t="e">
        <f>'All regions'!D1261+"n/&gt;!$^:"</f>
        <v>#VALUE!</v>
      </c>
      <c r="BF51" t="e">
        <f>'All regions'!E1261+"n/&gt;!$^;"</f>
        <v>#VALUE!</v>
      </c>
      <c r="BG51" t="e">
        <f>'All regions'!F1261+"n/&gt;!$^&lt;"</f>
        <v>#VALUE!</v>
      </c>
      <c r="BH51" t="e">
        <f>'All regions'!G1261+"n/&gt;!$^="</f>
        <v>#VALUE!</v>
      </c>
      <c r="BI51" t="e">
        <f>'All regions'!H1261+"n/&gt;!$^&gt;"</f>
        <v>#VALUE!</v>
      </c>
      <c r="BJ51" t="e">
        <f>'All regions'!I1261+"n/&gt;!$^?"</f>
        <v>#VALUE!</v>
      </c>
      <c r="BK51" t="e">
        <f>'All regions'!J1261+"n/&gt;!$^@"</f>
        <v>#VALUE!</v>
      </c>
      <c r="BL51" t="e">
        <f>'All regions'!A1262+"n/&gt;!$^A"</f>
        <v>#VALUE!</v>
      </c>
      <c r="BM51" t="e">
        <f>'All regions'!B1262+"n/&gt;!$^B"</f>
        <v>#VALUE!</v>
      </c>
      <c r="BN51" t="e">
        <f>'All regions'!C1262+"n/&gt;!$^C"</f>
        <v>#VALUE!</v>
      </c>
      <c r="BO51" t="e">
        <f>'All regions'!D1262+"n/&gt;!$^D"</f>
        <v>#VALUE!</v>
      </c>
      <c r="BP51" t="e">
        <f>'All regions'!E1262+"n/&gt;!$^E"</f>
        <v>#VALUE!</v>
      </c>
      <c r="BQ51" t="e">
        <f>'All regions'!F1262+"n/&gt;!$^F"</f>
        <v>#VALUE!</v>
      </c>
      <c r="BR51" t="e">
        <f>'All regions'!G1262+"n/&gt;!$^G"</f>
        <v>#VALUE!</v>
      </c>
      <c r="BS51" t="e">
        <f>'All regions'!H1262+"n/&gt;!$^H"</f>
        <v>#VALUE!</v>
      </c>
      <c r="BT51" t="e">
        <f>'All regions'!I1262+"n/&gt;!$^I"</f>
        <v>#VALUE!</v>
      </c>
      <c r="BU51" t="e">
        <f>'All regions'!J1262+"n/&gt;!$^J"</f>
        <v>#VALUE!</v>
      </c>
      <c r="BV51" t="e">
        <f>'All regions'!A1263+"n/&gt;!$^K"</f>
        <v>#VALUE!</v>
      </c>
      <c r="BW51" t="e">
        <f>'All regions'!B1263+"n/&gt;!$^L"</f>
        <v>#VALUE!</v>
      </c>
      <c r="BX51" t="e">
        <f>'All regions'!C1263+"n/&gt;!$^M"</f>
        <v>#VALUE!</v>
      </c>
      <c r="BY51" t="e">
        <f>'All regions'!D1263+"n/&gt;!$^N"</f>
        <v>#VALUE!</v>
      </c>
      <c r="BZ51" t="e">
        <f>'All regions'!E1263+"n/&gt;!$^O"</f>
        <v>#VALUE!</v>
      </c>
      <c r="CA51" t="e">
        <f>'All regions'!F1263+"n/&gt;!$^P"</f>
        <v>#VALUE!</v>
      </c>
      <c r="CB51" t="e">
        <f>'All regions'!G1263+"n/&gt;!$^Q"</f>
        <v>#VALUE!</v>
      </c>
      <c r="CC51" t="e">
        <f>'All regions'!H1263+"n/&gt;!$^R"</f>
        <v>#VALUE!</v>
      </c>
      <c r="CD51" t="e">
        <f>'All regions'!I1263+"n/&gt;!$^S"</f>
        <v>#VALUE!</v>
      </c>
      <c r="CE51" t="e">
        <f>'All regions'!J1263+"n/&gt;!$^T"</f>
        <v>#VALUE!</v>
      </c>
      <c r="CF51" t="e">
        <f>'All regions'!A1264+"n/&gt;!$^U"</f>
        <v>#VALUE!</v>
      </c>
      <c r="CG51" t="e">
        <f>'All regions'!B1264+"n/&gt;!$^V"</f>
        <v>#VALUE!</v>
      </c>
      <c r="CH51" t="e">
        <f>'All regions'!C1264+"n/&gt;!$^W"</f>
        <v>#VALUE!</v>
      </c>
      <c r="CI51" t="e">
        <f>'All regions'!D1264+"n/&gt;!$^X"</f>
        <v>#VALUE!</v>
      </c>
      <c r="CJ51" t="e">
        <f>'All regions'!E1264+"n/&gt;!$^Y"</f>
        <v>#VALUE!</v>
      </c>
      <c r="CK51" t="e">
        <f>'All regions'!F1264+"n/&gt;!$^Z"</f>
        <v>#VALUE!</v>
      </c>
      <c r="CL51" t="e">
        <f>'All regions'!G1264+"n/&gt;!$^["</f>
        <v>#VALUE!</v>
      </c>
      <c r="CM51" t="e">
        <f>'All regions'!H1264+"n/&gt;!$^\"</f>
        <v>#VALUE!</v>
      </c>
      <c r="CN51" t="e">
        <f>'All regions'!I1264+"n/&gt;!$^]"</f>
        <v>#VALUE!</v>
      </c>
      <c r="CO51" t="e">
        <f>'All regions'!J1264+"n/&gt;!$^^"</f>
        <v>#VALUE!</v>
      </c>
      <c r="CP51" t="e">
        <f>'All regions'!A1265+"n/&gt;!$^_"</f>
        <v>#VALUE!</v>
      </c>
      <c r="CQ51" t="e">
        <f>'All regions'!B1265+"n/&gt;!$^`"</f>
        <v>#VALUE!</v>
      </c>
      <c r="CR51" t="e">
        <f>'All regions'!C1265+"n/&gt;!$^a"</f>
        <v>#VALUE!</v>
      </c>
      <c r="CS51" t="e">
        <f>'All regions'!D1265+"n/&gt;!$^b"</f>
        <v>#VALUE!</v>
      </c>
      <c r="CT51" t="e">
        <f>'All regions'!E1265+"n/&gt;!$^c"</f>
        <v>#VALUE!</v>
      </c>
      <c r="CU51" t="e">
        <f>'All regions'!F1265+"n/&gt;!$^d"</f>
        <v>#VALUE!</v>
      </c>
      <c r="CV51" t="e">
        <f>'All regions'!G1265+"n/&gt;!$^e"</f>
        <v>#VALUE!</v>
      </c>
      <c r="CW51" t="e">
        <f>'All regions'!H1265+"n/&gt;!$^f"</f>
        <v>#VALUE!</v>
      </c>
      <c r="CX51" t="e">
        <f>'All regions'!I1265+"n/&gt;!$^g"</f>
        <v>#VALUE!</v>
      </c>
      <c r="CY51" t="e">
        <f>'All regions'!J1265+"n/&gt;!$^h"</f>
        <v>#VALUE!</v>
      </c>
      <c r="CZ51" t="e">
        <f>'All regions'!A1266+"n/&gt;!$^i"</f>
        <v>#VALUE!</v>
      </c>
      <c r="DA51" t="e">
        <f>'All regions'!B1266+"n/&gt;!$^j"</f>
        <v>#VALUE!</v>
      </c>
      <c r="DB51" t="e">
        <f>'All regions'!C1266+"n/&gt;!$^k"</f>
        <v>#VALUE!</v>
      </c>
      <c r="DC51" t="e">
        <f>'All regions'!D1266+"n/&gt;!$^l"</f>
        <v>#VALUE!</v>
      </c>
      <c r="DD51" t="e">
        <f>'All regions'!E1266+"n/&gt;!$^m"</f>
        <v>#VALUE!</v>
      </c>
      <c r="DE51" t="e">
        <f>'All regions'!F1266+"n/&gt;!$^n"</f>
        <v>#VALUE!</v>
      </c>
      <c r="DF51" t="e">
        <f>'All regions'!G1266+"n/&gt;!$^o"</f>
        <v>#VALUE!</v>
      </c>
      <c r="DG51" t="e">
        <f>'All regions'!H1266+"n/&gt;!$^p"</f>
        <v>#VALUE!</v>
      </c>
      <c r="DH51" t="e">
        <f>'All regions'!I1266+"n/&gt;!$^q"</f>
        <v>#VALUE!</v>
      </c>
      <c r="DI51" t="e">
        <f>'All regions'!J1266+"n/&gt;!$^r"</f>
        <v>#VALUE!</v>
      </c>
      <c r="DJ51" t="e">
        <f>'All regions'!A1267+"n/&gt;!$^s"</f>
        <v>#VALUE!</v>
      </c>
      <c r="DK51" t="e">
        <f>'All regions'!B1267+"n/&gt;!$^t"</f>
        <v>#VALUE!</v>
      </c>
      <c r="DL51" t="e">
        <f>'All regions'!C1267+"n/&gt;!$^u"</f>
        <v>#VALUE!</v>
      </c>
      <c r="DM51" t="e">
        <f>'All regions'!D1267+"n/&gt;!$^v"</f>
        <v>#VALUE!</v>
      </c>
      <c r="DN51" t="e">
        <f>'All regions'!E1267+"n/&gt;!$^w"</f>
        <v>#VALUE!</v>
      </c>
      <c r="DO51" t="e">
        <f>'All regions'!F1267+"n/&gt;!$^x"</f>
        <v>#VALUE!</v>
      </c>
      <c r="DP51" t="e">
        <f>'All regions'!G1267+"n/&gt;!$^y"</f>
        <v>#VALUE!</v>
      </c>
      <c r="DQ51" t="e">
        <f>'All regions'!H1267+"n/&gt;!$^z"</f>
        <v>#VALUE!</v>
      </c>
      <c r="DR51" t="e">
        <f>'All regions'!I1267+"n/&gt;!$^{"</f>
        <v>#VALUE!</v>
      </c>
      <c r="DS51" t="e">
        <f>'All regions'!J1267+"n/&gt;!$^|"</f>
        <v>#VALUE!</v>
      </c>
      <c r="DT51" t="e">
        <f>'All regions'!A1268+"n/&gt;!$^}"</f>
        <v>#VALUE!</v>
      </c>
      <c r="DU51" t="e">
        <f>'All regions'!B1268+"n/&gt;!$^~"</f>
        <v>#VALUE!</v>
      </c>
      <c r="DV51" t="e">
        <f>'All regions'!C1268+"n/&gt;!$_#"</f>
        <v>#VALUE!</v>
      </c>
      <c r="DW51" t="e">
        <f>'All regions'!D1268+"n/&gt;!$_$"</f>
        <v>#VALUE!</v>
      </c>
      <c r="DX51" t="e">
        <f>'All regions'!E1268+"n/&gt;!$_%"</f>
        <v>#VALUE!</v>
      </c>
      <c r="DY51" t="e">
        <f>'All regions'!F1268+"n/&gt;!$_&amp;"</f>
        <v>#VALUE!</v>
      </c>
      <c r="DZ51" t="e">
        <f>'All regions'!G1268+"n/&gt;!$_'"</f>
        <v>#VALUE!</v>
      </c>
      <c r="EA51" t="e">
        <f>'All regions'!H1268+"n/&gt;!$_("</f>
        <v>#VALUE!</v>
      </c>
      <c r="EB51" t="e">
        <f>'All regions'!I1268+"n/&gt;!$_)"</f>
        <v>#VALUE!</v>
      </c>
      <c r="EC51" t="e">
        <f>'All regions'!J1268+"n/&gt;!$_."</f>
        <v>#VALUE!</v>
      </c>
      <c r="ED51" t="e">
        <f>'All regions'!A1269+"n/&gt;!$_/"</f>
        <v>#VALUE!</v>
      </c>
      <c r="EE51" t="e">
        <f>'All regions'!B1269+"n/&gt;!$_0"</f>
        <v>#VALUE!</v>
      </c>
      <c r="EF51" t="e">
        <f>'All regions'!C1269+"n/&gt;!$_1"</f>
        <v>#VALUE!</v>
      </c>
      <c r="EG51" t="e">
        <f>'All regions'!D1269+"n/&gt;!$_2"</f>
        <v>#VALUE!</v>
      </c>
      <c r="EH51" t="e">
        <f>'All regions'!E1269+"n/&gt;!$_3"</f>
        <v>#VALUE!</v>
      </c>
      <c r="EI51" t="e">
        <f>'All regions'!F1269+"n/&gt;!$_4"</f>
        <v>#VALUE!</v>
      </c>
      <c r="EJ51" t="e">
        <f>'All regions'!G1269+"n/&gt;!$_5"</f>
        <v>#VALUE!</v>
      </c>
      <c r="EK51" t="e">
        <f>'All regions'!H1269+"n/&gt;!$_6"</f>
        <v>#VALUE!</v>
      </c>
      <c r="EL51" t="e">
        <f>'All regions'!I1269+"n/&gt;!$_7"</f>
        <v>#VALUE!</v>
      </c>
      <c r="EM51" t="e">
        <f>'All regions'!J1269+"n/&gt;!$_8"</f>
        <v>#VALUE!</v>
      </c>
      <c r="EN51" t="e">
        <f>'All regions'!A1270+"n/&gt;!$_9"</f>
        <v>#VALUE!</v>
      </c>
      <c r="EO51" t="e">
        <f>'All regions'!B1270+"n/&gt;!$_:"</f>
        <v>#VALUE!</v>
      </c>
      <c r="EP51" t="e">
        <f>'All regions'!C1270+"n/&gt;!$_;"</f>
        <v>#VALUE!</v>
      </c>
      <c r="EQ51" t="e">
        <f>'All regions'!D1270+"n/&gt;!$_&lt;"</f>
        <v>#VALUE!</v>
      </c>
      <c r="ER51" t="e">
        <f>'All regions'!E1270+"n/&gt;!$_="</f>
        <v>#VALUE!</v>
      </c>
      <c r="ES51" t="e">
        <f>'All regions'!F1270+"n/&gt;!$_&gt;"</f>
        <v>#VALUE!</v>
      </c>
      <c r="ET51" t="e">
        <f>'All regions'!G1270+"n/&gt;!$_?"</f>
        <v>#VALUE!</v>
      </c>
      <c r="EU51" t="e">
        <f>'All regions'!H1270+"n/&gt;!$_@"</f>
        <v>#VALUE!</v>
      </c>
      <c r="EV51" t="e">
        <f>'All regions'!I1270+"n/&gt;!$_A"</f>
        <v>#VALUE!</v>
      </c>
      <c r="EW51" t="e">
        <f>'All regions'!J1270+"n/&gt;!$_B"</f>
        <v>#VALUE!</v>
      </c>
      <c r="EX51" t="e">
        <f>'All regions'!A1271+"n/&gt;!$_C"</f>
        <v>#VALUE!</v>
      </c>
      <c r="EY51" t="e">
        <f>'All regions'!B1271+"n/&gt;!$_D"</f>
        <v>#VALUE!</v>
      </c>
      <c r="EZ51" t="e">
        <f>'All regions'!C1271+"n/&gt;!$_E"</f>
        <v>#VALUE!</v>
      </c>
      <c r="FA51" t="e">
        <f>'All regions'!D1271+"n/&gt;!$_F"</f>
        <v>#VALUE!</v>
      </c>
      <c r="FB51" t="e">
        <f>'All regions'!E1271+"n/&gt;!$_G"</f>
        <v>#VALUE!</v>
      </c>
      <c r="FC51" t="e">
        <f>'All regions'!F1271+"n/&gt;!$_H"</f>
        <v>#VALUE!</v>
      </c>
      <c r="FD51" t="e">
        <f>'All regions'!G1271+"n/&gt;!$_I"</f>
        <v>#VALUE!</v>
      </c>
      <c r="FE51" t="e">
        <f>'All regions'!H1271+"n/&gt;!$_J"</f>
        <v>#VALUE!</v>
      </c>
      <c r="FF51" t="e">
        <f>'All regions'!I1271+"n/&gt;!$_K"</f>
        <v>#VALUE!</v>
      </c>
      <c r="FG51" t="e">
        <f>'All regions'!J1271+"n/&gt;!$_L"</f>
        <v>#VALUE!</v>
      </c>
      <c r="FH51" t="e">
        <f>'All regions'!A1272+"n/&gt;!$_M"</f>
        <v>#VALUE!</v>
      </c>
      <c r="FI51" t="e">
        <f>'All regions'!B1272+"n/&gt;!$_N"</f>
        <v>#VALUE!</v>
      </c>
      <c r="FJ51" t="e">
        <f>'All regions'!C1272+"n/&gt;!$_O"</f>
        <v>#VALUE!</v>
      </c>
      <c r="FK51" t="e">
        <f>'All regions'!D1272+"n/&gt;!$_P"</f>
        <v>#VALUE!</v>
      </c>
      <c r="FL51" t="e">
        <f>'All regions'!E1272+"n/&gt;!$_Q"</f>
        <v>#VALUE!</v>
      </c>
      <c r="FM51" t="e">
        <f>'All regions'!F1272+"n/&gt;!$_R"</f>
        <v>#VALUE!</v>
      </c>
      <c r="FN51" t="e">
        <f>'All regions'!G1272+"n/&gt;!$_S"</f>
        <v>#VALUE!</v>
      </c>
      <c r="FO51" t="e">
        <f>'All regions'!H1272+"n/&gt;!$_T"</f>
        <v>#VALUE!</v>
      </c>
      <c r="FP51" t="e">
        <f>'All regions'!I1272+"n/&gt;!$_U"</f>
        <v>#VALUE!</v>
      </c>
      <c r="FQ51" t="e">
        <f>'All regions'!J1272+"n/&gt;!$_V"</f>
        <v>#VALUE!</v>
      </c>
      <c r="FR51" t="e">
        <f>'All regions'!A1273+"n/&gt;!$_W"</f>
        <v>#VALUE!</v>
      </c>
      <c r="FS51" t="e">
        <f>'All regions'!B1273+"n/&gt;!$_X"</f>
        <v>#VALUE!</v>
      </c>
      <c r="FT51" t="e">
        <f>'All regions'!C1273+"n/&gt;!$_Y"</f>
        <v>#VALUE!</v>
      </c>
      <c r="FU51" t="e">
        <f>'All regions'!D1273+"n/&gt;!$_Z"</f>
        <v>#VALUE!</v>
      </c>
      <c r="FV51" t="e">
        <f>'All regions'!E1273+"n/&gt;!$_["</f>
        <v>#VALUE!</v>
      </c>
      <c r="FW51" t="e">
        <f>'All regions'!F1273+"n/&gt;!$_\"</f>
        <v>#VALUE!</v>
      </c>
      <c r="FX51" t="e">
        <f>'All regions'!G1273+"n/&gt;!$_]"</f>
        <v>#VALUE!</v>
      </c>
      <c r="FY51" t="e">
        <f>'All regions'!H1273+"n/&gt;!$_^"</f>
        <v>#VALUE!</v>
      </c>
      <c r="FZ51" t="e">
        <f>'All regions'!I1273+"n/&gt;!$__"</f>
        <v>#VALUE!</v>
      </c>
      <c r="GA51" t="e">
        <f>'All regions'!J1273+"n/&gt;!$_`"</f>
        <v>#VALUE!</v>
      </c>
      <c r="GB51" t="e">
        <f>'All regions'!A1274+"n/&gt;!$_a"</f>
        <v>#VALUE!</v>
      </c>
      <c r="GC51" t="e">
        <f>'All regions'!B1274+"n/&gt;!$_b"</f>
        <v>#VALUE!</v>
      </c>
      <c r="GD51" t="e">
        <f>'All regions'!C1274+"n/&gt;!$_c"</f>
        <v>#VALUE!</v>
      </c>
      <c r="GE51" t="e">
        <f>'All regions'!D1274+"n/&gt;!$_d"</f>
        <v>#VALUE!</v>
      </c>
      <c r="GF51" t="e">
        <f>'All regions'!E1274+"n/&gt;!$_e"</f>
        <v>#VALUE!</v>
      </c>
      <c r="GG51" t="e">
        <f>'All regions'!F1274+"n/&gt;!$_f"</f>
        <v>#VALUE!</v>
      </c>
      <c r="GH51" t="e">
        <f>'All regions'!G1274+"n/&gt;!$_g"</f>
        <v>#VALUE!</v>
      </c>
      <c r="GI51" t="e">
        <f>'All regions'!H1274+"n/&gt;!$_h"</f>
        <v>#VALUE!</v>
      </c>
      <c r="GJ51" t="e">
        <f>'All regions'!I1274+"n/&gt;!$_i"</f>
        <v>#VALUE!</v>
      </c>
      <c r="GK51" t="e">
        <f>'All regions'!J1274+"n/&gt;!$_j"</f>
        <v>#VALUE!</v>
      </c>
      <c r="GL51" t="e">
        <f>'All regions'!A1275+"n/&gt;!$_k"</f>
        <v>#VALUE!</v>
      </c>
      <c r="GM51" t="e">
        <f>'All regions'!B1275+"n/&gt;!$_l"</f>
        <v>#VALUE!</v>
      </c>
      <c r="GN51" t="e">
        <f>'All regions'!C1275+"n/&gt;!$_m"</f>
        <v>#VALUE!</v>
      </c>
      <c r="GO51" t="e">
        <f>'All regions'!D1275+"n/&gt;!$_n"</f>
        <v>#VALUE!</v>
      </c>
      <c r="GP51" t="e">
        <f>'All regions'!E1275+"n/&gt;!$_o"</f>
        <v>#VALUE!</v>
      </c>
      <c r="GQ51" t="e">
        <f>'All regions'!F1275+"n/&gt;!$_p"</f>
        <v>#VALUE!</v>
      </c>
      <c r="GR51" t="e">
        <f>'All regions'!G1275+"n/&gt;!$_q"</f>
        <v>#VALUE!</v>
      </c>
      <c r="GS51" t="e">
        <f>'All regions'!H1275+"n/&gt;!$_r"</f>
        <v>#VALUE!</v>
      </c>
      <c r="GT51" t="e">
        <f>'All regions'!I1275+"n/&gt;!$_s"</f>
        <v>#VALUE!</v>
      </c>
      <c r="GU51" t="e">
        <f>'All regions'!J1275+"n/&gt;!$_t"</f>
        <v>#VALUE!</v>
      </c>
      <c r="GV51" t="e">
        <f>'All regions'!A1276+"n/&gt;!$_u"</f>
        <v>#VALUE!</v>
      </c>
      <c r="GW51" t="e">
        <f>'All regions'!B1276+"n/&gt;!$_v"</f>
        <v>#VALUE!</v>
      </c>
      <c r="GX51" t="e">
        <f>'All regions'!C1276+"n/&gt;!$_w"</f>
        <v>#VALUE!</v>
      </c>
      <c r="GY51" t="e">
        <f>'All regions'!D1276+"n/&gt;!$_x"</f>
        <v>#VALUE!</v>
      </c>
      <c r="GZ51" t="e">
        <f>'All regions'!E1276+"n/&gt;!$_y"</f>
        <v>#VALUE!</v>
      </c>
      <c r="HA51" t="e">
        <f>'All regions'!F1276+"n/&gt;!$_z"</f>
        <v>#VALUE!</v>
      </c>
      <c r="HB51" t="e">
        <f>'All regions'!G1276+"n/&gt;!$_{"</f>
        <v>#VALUE!</v>
      </c>
      <c r="HC51" t="e">
        <f>'All regions'!H1276+"n/&gt;!$_|"</f>
        <v>#VALUE!</v>
      </c>
      <c r="HD51" t="e">
        <f>'All regions'!I1276+"n/&gt;!$_}"</f>
        <v>#VALUE!</v>
      </c>
      <c r="HE51" t="e">
        <f>'All regions'!J1276+"n/&gt;!$_~"</f>
        <v>#VALUE!</v>
      </c>
      <c r="HF51" t="e">
        <f>'All regions'!A1277+"n/&gt;!$`#"</f>
        <v>#VALUE!</v>
      </c>
      <c r="HG51" t="e">
        <f>'All regions'!B1277+"n/&gt;!$`$"</f>
        <v>#VALUE!</v>
      </c>
      <c r="HH51" t="e">
        <f>'All regions'!C1277+"n/&gt;!$`%"</f>
        <v>#VALUE!</v>
      </c>
      <c r="HI51" t="e">
        <f>'All regions'!D1277+"n/&gt;!$`&amp;"</f>
        <v>#VALUE!</v>
      </c>
      <c r="HJ51" t="e">
        <f>'All regions'!E1277+"n/&gt;!$`'"</f>
        <v>#VALUE!</v>
      </c>
      <c r="HK51" t="e">
        <f>'All regions'!F1277+"n/&gt;!$`("</f>
        <v>#VALUE!</v>
      </c>
      <c r="HL51" t="e">
        <f>'All regions'!G1277+"n/&gt;!$`)"</f>
        <v>#VALUE!</v>
      </c>
      <c r="HM51" t="e">
        <f>'All regions'!H1277+"n/&gt;!$`."</f>
        <v>#VALUE!</v>
      </c>
      <c r="HN51" t="e">
        <f>'All regions'!I1277+"n/&gt;!$`/"</f>
        <v>#VALUE!</v>
      </c>
      <c r="HO51" t="e">
        <f>'All regions'!J1277+"n/&gt;!$`0"</f>
        <v>#VALUE!</v>
      </c>
      <c r="HP51" t="e">
        <f>'All regions'!A1278+"n/&gt;!$`1"</f>
        <v>#VALUE!</v>
      </c>
      <c r="HQ51" t="e">
        <f>'All regions'!B1278+"n/&gt;!$`2"</f>
        <v>#VALUE!</v>
      </c>
      <c r="HR51" t="e">
        <f>'All regions'!C1278+"n/&gt;!$`3"</f>
        <v>#VALUE!</v>
      </c>
      <c r="HS51" t="e">
        <f>'All regions'!D1278+"n/&gt;!$`4"</f>
        <v>#VALUE!</v>
      </c>
      <c r="HT51" t="e">
        <f>'All regions'!E1278+"n/&gt;!$`5"</f>
        <v>#VALUE!</v>
      </c>
      <c r="HU51" t="e">
        <f>'All regions'!F1278+"n/&gt;!$`6"</f>
        <v>#VALUE!</v>
      </c>
      <c r="HV51" t="e">
        <f>'All regions'!G1278+"n/&gt;!$`7"</f>
        <v>#VALUE!</v>
      </c>
      <c r="HW51" t="e">
        <f>'All regions'!H1278+"n/&gt;!$`8"</f>
        <v>#VALUE!</v>
      </c>
      <c r="HX51" t="e">
        <f>'All regions'!I1278+"n/&gt;!$`9"</f>
        <v>#VALUE!</v>
      </c>
      <c r="HY51" t="e">
        <f>'All regions'!J1278+"n/&gt;!$`:"</f>
        <v>#VALUE!</v>
      </c>
      <c r="HZ51" t="e">
        <f>'All regions'!A1279+"n/&gt;!$`;"</f>
        <v>#VALUE!</v>
      </c>
      <c r="IA51" t="e">
        <f>'All regions'!B1279+"n/&gt;!$`&lt;"</f>
        <v>#VALUE!</v>
      </c>
      <c r="IB51" t="e">
        <f>'All regions'!C1279+"n/&gt;!$`="</f>
        <v>#VALUE!</v>
      </c>
      <c r="IC51" t="e">
        <f>'All regions'!D1279+"n/&gt;!$`&gt;"</f>
        <v>#VALUE!</v>
      </c>
      <c r="ID51" t="e">
        <f>'All regions'!E1279+"n/&gt;!$`?"</f>
        <v>#VALUE!</v>
      </c>
      <c r="IE51" t="e">
        <f>'All regions'!F1279+"n/&gt;!$`@"</f>
        <v>#VALUE!</v>
      </c>
      <c r="IF51" t="e">
        <f>'All regions'!G1279+"n/&gt;!$`A"</f>
        <v>#VALUE!</v>
      </c>
      <c r="IG51" t="e">
        <f>'All regions'!H1279+"n/&gt;!$`B"</f>
        <v>#VALUE!</v>
      </c>
      <c r="IH51" t="e">
        <f>'All regions'!I1279+"n/&gt;!$`C"</f>
        <v>#VALUE!</v>
      </c>
      <c r="II51" t="e">
        <f>'All regions'!J1279+"n/&gt;!$`D"</f>
        <v>#VALUE!</v>
      </c>
      <c r="IJ51" t="e">
        <f>'All regions'!A1280+"n/&gt;!$`E"</f>
        <v>#VALUE!</v>
      </c>
      <c r="IK51" t="e">
        <f>'All regions'!B1280+"n/&gt;!$`F"</f>
        <v>#VALUE!</v>
      </c>
      <c r="IL51" t="e">
        <f>'All regions'!C1280+"n/&gt;!$`G"</f>
        <v>#VALUE!</v>
      </c>
      <c r="IM51" t="e">
        <f>'All regions'!D1280+"n/&gt;!$`H"</f>
        <v>#VALUE!</v>
      </c>
      <c r="IN51" t="e">
        <f>'All regions'!E1280+"n/&gt;!$`I"</f>
        <v>#VALUE!</v>
      </c>
      <c r="IO51" t="e">
        <f>'All regions'!F1280+"n/&gt;!$`J"</f>
        <v>#VALUE!</v>
      </c>
      <c r="IP51" t="e">
        <f>'All regions'!G1280+"n/&gt;!$`K"</f>
        <v>#VALUE!</v>
      </c>
      <c r="IQ51" t="e">
        <f>'All regions'!H1280+"n/&gt;!$`L"</f>
        <v>#VALUE!</v>
      </c>
      <c r="IR51" t="e">
        <f>'All regions'!I1280+"n/&gt;!$`M"</f>
        <v>#VALUE!</v>
      </c>
      <c r="IS51" t="e">
        <f>'All regions'!J1280+"n/&gt;!$`N"</f>
        <v>#VALUE!</v>
      </c>
      <c r="IT51" t="e">
        <f>'All regions'!A1281+"n/&gt;!$`O"</f>
        <v>#VALUE!</v>
      </c>
      <c r="IU51" t="e">
        <f>'All regions'!B1281+"n/&gt;!$`P"</f>
        <v>#VALUE!</v>
      </c>
      <c r="IV51" t="e">
        <f>'All regions'!C1281+"n/&gt;!$`Q"</f>
        <v>#VALUE!</v>
      </c>
    </row>
    <row r="52" spans="6:256" x14ac:dyDescent="0.35">
      <c r="F52" t="e">
        <f>'All regions'!D1281+"n/&gt;!$`R"</f>
        <v>#VALUE!</v>
      </c>
      <c r="G52" t="e">
        <f>'All regions'!E1281+"n/&gt;!$`S"</f>
        <v>#VALUE!</v>
      </c>
      <c r="H52" t="e">
        <f>'All regions'!F1281+"n/&gt;!$`T"</f>
        <v>#VALUE!</v>
      </c>
      <c r="I52" t="e">
        <f>'All regions'!G1281+"n/&gt;!$`U"</f>
        <v>#VALUE!</v>
      </c>
      <c r="J52" t="e">
        <f>'All regions'!H1281+"n/&gt;!$`V"</f>
        <v>#VALUE!</v>
      </c>
      <c r="K52" t="e">
        <f>'All regions'!I1281+"n/&gt;!$`W"</f>
        <v>#VALUE!</v>
      </c>
      <c r="L52" t="e">
        <f>'All regions'!J1281+"n/&gt;!$`X"</f>
        <v>#VALUE!</v>
      </c>
      <c r="M52" t="e">
        <f>'All regions'!A1282+"n/&gt;!$`Y"</f>
        <v>#VALUE!</v>
      </c>
      <c r="N52" t="e">
        <f>'All regions'!B1282+"n/&gt;!$`Z"</f>
        <v>#VALUE!</v>
      </c>
      <c r="O52" t="e">
        <f>'All regions'!C1282+"n/&gt;!$`["</f>
        <v>#VALUE!</v>
      </c>
      <c r="P52" t="e">
        <f>'All regions'!D1282+"n/&gt;!$`\"</f>
        <v>#VALUE!</v>
      </c>
      <c r="Q52" t="e">
        <f>'All regions'!E1282+"n/&gt;!$`]"</f>
        <v>#VALUE!</v>
      </c>
      <c r="R52" t="e">
        <f>'All regions'!F1282+"n/&gt;!$`^"</f>
        <v>#VALUE!</v>
      </c>
      <c r="S52" t="e">
        <f>'All regions'!G1282+"n/&gt;!$`_"</f>
        <v>#VALUE!</v>
      </c>
      <c r="T52" t="e">
        <f>'All regions'!H1282+"n/&gt;!$``"</f>
        <v>#VALUE!</v>
      </c>
      <c r="U52" t="e">
        <f>'All regions'!I1282+"n/&gt;!$`a"</f>
        <v>#VALUE!</v>
      </c>
      <c r="V52" t="e">
        <f>'All regions'!J1282+"n/&gt;!$`b"</f>
        <v>#VALUE!</v>
      </c>
      <c r="W52" t="e">
        <f>'All regions'!A1283+"n/&gt;!$`c"</f>
        <v>#VALUE!</v>
      </c>
      <c r="X52" t="e">
        <f>'All regions'!B1283+"n/&gt;!$`d"</f>
        <v>#VALUE!</v>
      </c>
      <c r="Y52" t="e">
        <f>'All regions'!C1283+"n/&gt;!$`e"</f>
        <v>#VALUE!</v>
      </c>
      <c r="Z52" t="e">
        <f>'All regions'!D1283+"n/&gt;!$`f"</f>
        <v>#VALUE!</v>
      </c>
      <c r="AA52" t="e">
        <f>'All regions'!E1283+"n/&gt;!$`g"</f>
        <v>#VALUE!</v>
      </c>
      <c r="AB52" t="e">
        <f>'All regions'!F1283+"n/&gt;!$`h"</f>
        <v>#VALUE!</v>
      </c>
      <c r="AC52" t="e">
        <f>'All regions'!G1283+"n/&gt;!$`i"</f>
        <v>#VALUE!</v>
      </c>
      <c r="AD52" t="e">
        <f>'All regions'!H1283+"n/&gt;!$`j"</f>
        <v>#VALUE!</v>
      </c>
      <c r="AE52" t="e">
        <f>'All regions'!I1283+"n/&gt;!$`k"</f>
        <v>#VALUE!</v>
      </c>
      <c r="AF52" t="e">
        <f>'All regions'!J1283+"n/&gt;!$`l"</f>
        <v>#VALUE!</v>
      </c>
      <c r="AG52" t="e">
        <f>'All regions'!A1284+"n/&gt;!$`m"</f>
        <v>#VALUE!</v>
      </c>
      <c r="AH52" t="e">
        <f>'All regions'!B1284+"n/&gt;!$`n"</f>
        <v>#VALUE!</v>
      </c>
      <c r="AI52" t="e">
        <f>'All regions'!C1284+"n/&gt;!$`o"</f>
        <v>#VALUE!</v>
      </c>
      <c r="AJ52" t="e">
        <f>'All regions'!D1284+"n/&gt;!$`p"</f>
        <v>#VALUE!</v>
      </c>
      <c r="AK52" t="e">
        <f>'All regions'!E1284+"n/&gt;!$`q"</f>
        <v>#VALUE!</v>
      </c>
      <c r="AL52" t="e">
        <f>'All regions'!F1284+"n/&gt;!$`r"</f>
        <v>#VALUE!</v>
      </c>
      <c r="AM52" t="e">
        <f>'All regions'!G1284+"n/&gt;!$`s"</f>
        <v>#VALUE!</v>
      </c>
      <c r="AN52" t="e">
        <f>'All regions'!H1284+"n/&gt;!$`t"</f>
        <v>#VALUE!</v>
      </c>
      <c r="AO52" t="e">
        <f>'All regions'!I1284+"n/&gt;!$`u"</f>
        <v>#VALUE!</v>
      </c>
      <c r="AP52" t="e">
        <f>'All regions'!J1284+"n/&gt;!$`v"</f>
        <v>#VALUE!</v>
      </c>
      <c r="AQ52" t="e">
        <f>'All regions'!A1285+"n/&gt;!$`w"</f>
        <v>#VALUE!</v>
      </c>
      <c r="AR52" t="e">
        <f>'All regions'!B1285+"n/&gt;!$`x"</f>
        <v>#VALUE!</v>
      </c>
      <c r="AS52" t="e">
        <f>'All regions'!C1285+"n/&gt;!$`y"</f>
        <v>#VALUE!</v>
      </c>
      <c r="AT52" t="e">
        <f>'All regions'!D1285+"n/&gt;!$`z"</f>
        <v>#VALUE!</v>
      </c>
      <c r="AU52" t="e">
        <f>'All regions'!E1285+"n/&gt;!$`{"</f>
        <v>#VALUE!</v>
      </c>
      <c r="AV52" t="e">
        <f>'All regions'!F1285+"n/&gt;!$`|"</f>
        <v>#VALUE!</v>
      </c>
      <c r="AW52" t="e">
        <f>'All regions'!G1285+"n/&gt;!$`}"</f>
        <v>#VALUE!</v>
      </c>
      <c r="AX52" t="e">
        <f>'All regions'!H1285+"n/&gt;!$`~"</f>
        <v>#VALUE!</v>
      </c>
      <c r="AY52" t="e">
        <f>'All regions'!I1285+"n/&gt;!$a#"</f>
        <v>#VALUE!</v>
      </c>
      <c r="AZ52" t="e">
        <f>'All regions'!J1285+"n/&gt;!$a$"</f>
        <v>#VALUE!</v>
      </c>
      <c r="BA52" t="e">
        <f>'All regions'!A1286+"n/&gt;!$a%"</f>
        <v>#VALUE!</v>
      </c>
      <c r="BB52" t="e">
        <f>'All regions'!B1286+"n/&gt;!$a&amp;"</f>
        <v>#VALUE!</v>
      </c>
      <c r="BC52" t="e">
        <f>'All regions'!C1286+"n/&gt;!$a'"</f>
        <v>#VALUE!</v>
      </c>
      <c r="BD52" t="e">
        <f>'All regions'!D1286+"n/&gt;!$a("</f>
        <v>#VALUE!</v>
      </c>
      <c r="BE52" t="e">
        <f>'All regions'!E1286+"n/&gt;!$a)"</f>
        <v>#VALUE!</v>
      </c>
      <c r="BF52" t="e">
        <f>'All regions'!F1286+"n/&gt;!$a."</f>
        <v>#VALUE!</v>
      </c>
      <c r="BG52" t="e">
        <f>'All regions'!G1286+"n/&gt;!$a/"</f>
        <v>#VALUE!</v>
      </c>
      <c r="BH52" t="e">
        <f>'All regions'!H1286+"n/&gt;!$a0"</f>
        <v>#VALUE!</v>
      </c>
      <c r="BI52" t="e">
        <f>'All regions'!I1286+"n/&gt;!$a1"</f>
        <v>#VALUE!</v>
      </c>
      <c r="BJ52" t="e">
        <f>'All regions'!J1286+"n/&gt;!$a2"</f>
        <v>#VALUE!</v>
      </c>
      <c r="BK52" t="e">
        <f>'All regions'!A1287+"n/&gt;!$a3"</f>
        <v>#VALUE!</v>
      </c>
      <c r="BL52" t="e">
        <f>'All regions'!B1287+"n/&gt;!$a4"</f>
        <v>#VALUE!</v>
      </c>
      <c r="BM52" t="e">
        <f>'All regions'!C1287+"n/&gt;!$a5"</f>
        <v>#VALUE!</v>
      </c>
      <c r="BN52" t="e">
        <f>'All regions'!D1287+"n/&gt;!$a6"</f>
        <v>#VALUE!</v>
      </c>
      <c r="BO52" t="e">
        <f>'All regions'!E1287+"n/&gt;!$a7"</f>
        <v>#VALUE!</v>
      </c>
      <c r="BP52" t="e">
        <f>'All regions'!F1287+"n/&gt;!$a8"</f>
        <v>#VALUE!</v>
      </c>
      <c r="BQ52" t="e">
        <f>'All regions'!G1287+"n/&gt;!$a9"</f>
        <v>#VALUE!</v>
      </c>
      <c r="BR52" t="e">
        <f>'All regions'!H1287+"n/&gt;!$a:"</f>
        <v>#VALUE!</v>
      </c>
      <c r="BS52" t="e">
        <f>'All regions'!I1287+"n/&gt;!$a;"</f>
        <v>#VALUE!</v>
      </c>
      <c r="BT52" t="e">
        <f>'All regions'!J1287+"n/&gt;!$a&lt;"</f>
        <v>#VALUE!</v>
      </c>
      <c r="BU52" t="e">
        <f>'All regions'!A1288+"n/&gt;!$a="</f>
        <v>#VALUE!</v>
      </c>
      <c r="BV52" t="e">
        <f>'All regions'!B1288+"n/&gt;!$a&gt;"</f>
        <v>#VALUE!</v>
      </c>
      <c r="BW52" t="e">
        <f>'All regions'!C1288+"n/&gt;!$a?"</f>
        <v>#VALUE!</v>
      </c>
      <c r="BX52" t="e">
        <f>'All regions'!D1288+"n/&gt;!$a@"</f>
        <v>#VALUE!</v>
      </c>
      <c r="BY52" t="e">
        <f>'All regions'!E1288+"n/&gt;!$aA"</f>
        <v>#VALUE!</v>
      </c>
      <c r="BZ52" t="e">
        <f>'All regions'!F1288+"n/&gt;!$aB"</f>
        <v>#VALUE!</v>
      </c>
      <c r="CA52" t="e">
        <f>'All regions'!G1288+"n/&gt;!$aC"</f>
        <v>#VALUE!</v>
      </c>
      <c r="CB52" t="e">
        <f>'All regions'!H1288+"n/&gt;!$aD"</f>
        <v>#VALUE!</v>
      </c>
      <c r="CC52" t="e">
        <f>'All regions'!I1288+"n/&gt;!$aE"</f>
        <v>#VALUE!</v>
      </c>
      <c r="CD52" t="e">
        <f>'All regions'!J1288+"n/&gt;!$aF"</f>
        <v>#VALUE!</v>
      </c>
      <c r="CE52" t="e">
        <f>'All regions'!A1289+"n/&gt;!$aG"</f>
        <v>#VALUE!</v>
      </c>
      <c r="CF52" t="e">
        <f>'All regions'!B1289+"n/&gt;!$aH"</f>
        <v>#VALUE!</v>
      </c>
      <c r="CG52" t="e">
        <f>'All regions'!C1289+"n/&gt;!$aI"</f>
        <v>#VALUE!</v>
      </c>
      <c r="CH52" t="e">
        <f>'All regions'!D1289+"n/&gt;!$aJ"</f>
        <v>#VALUE!</v>
      </c>
      <c r="CI52" t="e">
        <f>'All regions'!E1289+"n/&gt;!$aK"</f>
        <v>#VALUE!</v>
      </c>
      <c r="CJ52" t="e">
        <f>'All regions'!F1289+"n/&gt;!$aL"</f>
        <v>#VALUE!</v>
      </c>
      <c r="CK52" t="e">
        <f>'All regions'!G1289+"n/&gt;!$aM"</f>
        <v>#VALUE!</v>
      </c>
      <c r="CL52" t="e">
        <f>'All regions'!H1289+"n/&gt;!$aN"</f>
        <v>#VALUE!</v>
      </c>
      <c r="CM52" t="e">
        <f>'All regions'!I1289+"n/&gt;!$aO"</f>
        <v>#VALUE!</v>
      </c>
      <c r="CN52" t="e">
        <f>'All regions'!J1289+"n/&gt;!$aP"</f>
        <v>#VALUE!</v>
      </c>
      <c r="CO52" t="e">
        <f>'All regions'!A1290+"n/&gt;!$aQ"</f>
        <v>#VALUE!</v>
      </c>
      <c r="CP52" t="e">
        <f>'All regions'!B1290+"n/&gt;!$aR"</f>
        <v>#VALUE!</v>
      </c>
      <c r="CQ52" t="e">
        <f>'All regions'!C1290+"n/&gt;!$aS"</f>
        <v>#VALUE!</v>
      </c>
      <c r="CR52" t="e">
        <f>'All regions'!D1290+"n/&gt;!$aT"</f>
        <v>#VALUE!</v>
      </c>
      <c r="CS52" t="e">
        <f>'All regions'!E1290+"n/&gt;!$aU"</f>
        <v>#VALUE!</v>
      </c>
      <c r="CT52" t="e">
        <f>'All regions'!F1290+"n/&gt;!$aV"</f>
        <v>#VALUE!</v>
      </c>
      <c r="CU52" t="e">
        <f>'All regions'!G1290+"n/&gt;!$aW"</f>
        <v>#VALUE!</v>
      </c>
      <c r="CV52" t="e">
        <f>'All regions'!H1290+"n/&gt;!$aX"</f>
        <v>#VALUE!</v>
      </c>
      <c r="CW52" t="e">
        <f>'All regions'!I1290+"n/&gt;!$aY"</f>
        <v>#VALUE!</v>
      </c>
      <c r="CX52" t="e">
        <f>'All regions'!J1290+"n/&gt;!$aZ"</f>
        <v>#VALUE!</v>
      </c>
      <c r="CY52" t="e">
        <f>'All regions'!A1291+"n/&gt;!$a["</f>
        <v>#VALUE!</v>
      </c>
      <c r="CZ52" t="e">
        <f>'All regions'!B1291+"n/&gt;!$a\"</f>
        <v>#VALUE!</v>
      </c>
      <c r="DA52" t="e">
        <f>'All regions'!C1291+"n/&gt;!$a]"</f>
        <v>#VALUE!</v>
      </c>
      <c r="DB52" t="e">
        <f>'All regions'!D1291+"n/&gt;!$a^"</f>
        <v>#VALUE!</v>
      </c>
      <c r="DC52" t="e">
        <f>'All regions'!E1291+"n/&gt;!$a_"</f>
        <v>#VALUE!</v>
      </c>
      <c r="DD52" t="e">
        <f>'All regions'!F1291+"n/&gt;!$a`"</f>
        <v>#VALUE!</v>
      </c>
      <c r="DE52" t="e">
        <f>'All regions'!G1291+"n/&gt;!$aa"</f>
        <v>#VALUE!</v>
      </c>
      <c r="DF52" t="e">
        <f>'All regions'!H1291+"n/&gt;!$ab"</f>
        <v>#VALUE!</v>
      </c>
      <c r="DG52" t="e">
        <f>'All regions'!I1291+"n/&gt;!$ac"</f>
        <v>#VALUE!</v>
      </c>
      <c r="DH52" t="e">
        <f>'All regions'!J1291+"n/&gt;!$ad"</f>
        <v>#VALUE!</v>
      </c>
      <c r="DI52" t="e">
        <f>'All regions'!A1292+"n/&gt;!$ae"</f>
        <v>#VALUE!</v>
      </c>
      <c r="DJ52" t="e">
        <f>'All regions'!B1292+"n/&gt;!$af"</f>
        <v>#VALUE!</v>
      </c>
      <c r="DK52" t="e">
        <f>'All regions'!C1292+"n/&gt;!$ag"</f>
        <v>#VALUE!</v>
      </c>
      <c r="DL52" t="e">
        <f>'All regions'!D1292+"n/&gt;!$ah"</f>
        <v>#VALUE!</v>
      </c>
      <c r="DM52" t="e">
        <f>'All regions'!E1292+"n/&gt;!$ai"</f>
        <v>#VALUE!</v>
      </c>
      <c r="DN52" t="e">
        <f>'All regions'!F1292+"n/&gt;!$aj"</f>
        <v>#VALUE!</v>
      </c>
      <c r="DO52" t="e">
        <f>'All regions'!G1292+"n/&gt;!$ak"</f>
        <v>#VALUE!</v>
      </c>
      <c r="DP52" t="e">
        <f>'All regions'!H1292+"n/&gt;!$al"</f>
        <v>#VALUE!</v>
      </c>
      <c r="DQ52" t="e">
        <f>'All regions'!I1292+"n/&gt;!$am"</f>
        <v>#VALUE!</v>
      </c>
      <c r="DR52" t="e">
        <f>'All regions'!J1292+"n/&gt;!$an"</f>
        <v>#VALUE!</v>
      </c>
      <c r="DS52" t="e">
        <f>'All regions'!A1293+"n/&gt;!$ao"</f>
        <v>#VALUE!</v>
      </c>
      <c r="DT52" t="e">
        <f>'All regions'!B1293+"n/&gt;!$ap"</f>
        <v>#VALUE!</v>
      </c>
      <c r="DU52" t="e">
        <f>'All regions'!C1293+"n/&gt;!$aq"</f>
        <v>#VALUE!</v>
      </c>
      <c r="DV52" t="e">
        <f>'All regions'!D1293+"n/&gt;!$ar"</f>
        <v>#VALUE!</v>
      </c>
      <c r="DW52" t="e">
        <f>'All regions'!E1293+"n/&gt;!$as"</f>
        <v>#VALUE!</v>
      </c>
      <c r="DX52" t="e">
        <f>'All regions'!F1293+"n/&gt;!$at"</f>
        <v>#VALUE!</v>
      </c>
      <c r="DY52" t="e">
        <f>'All regions'!G1293+"n/&gt;!$au"</f>
        <v>#VALUE!</v>
      </c>
      <c r="DZ52" t="e">
        <f>'All regions'!H1293+"n/&gt;!$av"</f>
        <v>#VALUE!</v>
      </c>
      <c r="EA52" t="e">
        <f>'All regions'!I1293+"n/&gt;!$aw"</f>
        <v>#VALUE!</v>
      </c>
      <c r="EB52" t="e">
        <f>'All regions'!J1293+"n/&gt;!$ax"</f>
        <v>#VALUE!</v>
      </c>
      <c r="EC52" t="e">
        <f>'All regions'!A1294+"n/&gt;!$ay"</f>
        <v>#VALUE!</v>
      </c>
      <c r="ED52" t="e">
        <f>'All regions'!B1294+"n/&gt;!$az"</f>
        <v>#VALUE!</v>
      </c>
      <c r="EE52" t="e">
        <f>'All regions'!C1294+"n/&gt;!$a{"</f>
        <v>#VALUE!</v>
      </c>
      <c r="EF52" t="e">
        <f>'All regions'!D1294+"n/&gt;!$a|"</f>
        <v>#VALUE!</v>
      </c>
      <c r="EG52" t="e">
        <f>'All regions'!E1294+"n/&gt;!$a}"</f>
        <v>#VALUE!</v>
      </c>
      <c r="EH52" t="e">
        <f>'All regions'!F1294+"n/&gt;!$a~"</f>
        <v>#VALUE!</v>
      </c>
      <c r="EI52" t="e">
        <f>'All regions'!G1294+"n/&gt;!$b#"</f>
        <v>#VALUE!</v>
      </c>
      <c r="EJ52" t="e">
        <f>'All regions'!H1294+"n/&gt;!$b$"</f>
        <v>#VALUE!</v>
      </c>
      <c r="EK52" t="e">
        <f>'All regions'!I1294+"n/&gt;!$b%"</f>
        <v>#VALUE!</v>
      </c>
      <c r="EL52" t="e">
        <f>'All regions'!J1294+"n/&gt;!$b&amp;"</f>
        <v>#VALUE!</v>
      </c>
      <c r="EM52" t="e">
        <f>'All regions'!A1295+"n/&gt;!$b'"</f>
        <v>#VALUE!</v>
      </c>
      <c r="EN52" t="e">
        <f>'All regions'!B1295+"n/&gt;!$b("</f>
        <v>#VALUE!</v>
      </c>
      <c r="EO52" t="e">
        <f>'All regions'!C1295+"n/&gt;!$b)"</f>
        <v>#VALUE!</v>
      </c>
      <c r="EP52" t="e">
        <f>'All regions'!D1295+"n/&gt;!$b."</f>
        <v>#VALUE!</v>
      </c>
      <c r="EQ52" t="e">
        <f>'All regions'!E1295+"n/&gt;!$b/"</f>
        <v>#VALUE!</v>
      </c>
      <c r="ER52" t="e">
        <f>'All regions'!F1295+"n/&gt;!$b0"</f>
        <v>#VALUE!</v>
      </c>
      <c r="ES52" t="e">
        <f>'All regions'!G1295+"n/&gt;!$b1"</f>
        <v>#VALUE!</v>
      </c>
      <c r="ET52" t="e">
        <f>'All regions'!H1295+"n/&gt;!$b2"</f>
        <v>#VALUE!</v>
      </c>
      <c r="EU52" t="e">
        <f>'All regions'!I1295+"n/&gt;!$b3"</f>
        <v>#VALUE!</v>
      </c>
      <c r="EV52" t="e">
        <f>'All regions'!J1295+"n/&gt;!$b4"</f>
        <v>#VALUE!</v>
      </c>
      <c r="EW52" t="e">
        <f>'All regions'!A1296+"n/&gt;!$b5"</f>
        <v>#VALUE!</v>
      </c>
      <c r="EX52" t="e">
        <f>'All regions'!B1296+"n/&gt;!$b6"</f>
        <v>#VALUE!</v>
      </c>
      <c r="EY52" t="e">
        <f>'All regions'!C1296+"n/&gt;!$b7"</f>
        <v>#VALUE!</v>
      </c>
      <c r="EZ52" t="e">
        <f>'All regions'!D1296+"n/&gt;!$b8"</f>
        <v>#VALUE!</v>
      </c>
      <c r="FA52" t="e">
        <f>'All regions'!E1296+"n/&gt;!$b9"</f>
        <v>#VALUE!</v>
      </c>
      <c r="FB52" t="e">
        <f>'All regions'!F1296+"n/&gt;!$b:"</f>
        <v>#VALUE!</v>
      </c>
      <c r="FC52" t="e">
        <f>'All regions'!G1296+"n/&gt;!$b;"</f>
        <v>#VALUE!</v>
      </c>
      <c r="FD52" t="e">
        <f>'All regions'!H1296+"n/&gt;!$b&lt;"</f>
        <v>#VALUE!</v>
      </c>
      <c r="FE52" t="e">
        <f>'All regions'!I1296+"n/&gt;!$b="</f>
        <v>#VALUE!</v>
      </c>
      <c r="FF52" t="e">
        <f>'All regions'!J1296+"n/&gt;!$b&gt;"</f>
        <v>#VALUE!</v>
      </c>
      <c r="FG52" t="e">
        <f>'All regions'!A1297+"n/&gt;!$b?"</f>
        <v>#VALUE!</v>
      </c>
      <c r="FH52" t="e">
        <f>'All regions'!B1297+"n/&gt;!$b@"</f>
        <v>#VALUE!</v>
      </c>
      <c r="FI52" t="e">
        <f>'All regions'!C1297+"n/&gt;!$bA"</f>
        <v>#VALUE!</v>
      </c>
      <c r="FJ52" t="e">
        <f>'All regions'!D1297+"n/&gt;!$bB"</f>
        <v>#VALUE!</v>
      </c>
      <c r="FK52" t="e">
        <f>'All regions'!E1297+"n/&gt;!$bC"</f>
        <v>#VALUE!</v>
      </c>
      <c r="FL52" t="e">
        <f>'All regions'!F1297+"n/&gt;!$bD"</f>
        <v>#VALUE!</v>
      </c>
      <c r="FM52" t="e">
        <f>'All regions'!G1297+"n/&gt;!$bE"</f>
        <v>#VALUE!</v>
      </c>
      <c r="FN52" t="e">
        <f>'All regions'!H1297+"n/&gt;!$bF"</f>
        <v>#VALUE!</v>
      </c>
      <c r="FO52" t="e">
        <f>'All regions'!I1297+"n/&gt;!$bG"</f>
        <v>#VALUE!</v>
      </c>
      <c r="FP52" t="e">
        <f>'All regions'!J1297+"n/&gt;!$bH"</f>
        <v>#VALUE!</v>
      </c>
      <c r="FQ52" t="e">
        <f>'All regions'!A1298+"n/&gt;!$bI"</f>
        <v>#VALUE!</v>
      </c>
      <c r="FR52" t="e">
        <f>'All regions'!B1298+"n/&gt;!$bJ"</f>
        <v>#VALUE!</v>
      </c>
      <c r="FS52" t="e">
        <f>'All regions'!C1298+"n/&gt;!$bK"</f>
        <v>#VALUE!</v>
      </c>
      <c r="FT52" t="e">
        <f>'All regions'!D1298+"n/&gt;!$bL"</f>
        <v>#VALUE!</v>
      </c>
      <c r="FU52" t="e">
        <f>'All regions'!E1298+"n/&gt;!$bM"</f>
        <v>#VALUE!</v>
      </c>
      <c r="FV52" t="e">
        <f>'All regions'!F1298+"n/&gt;!$bN"</f>
        <v>#VALUE!</v>
      </c>
      <c r="FW52" t="e">
        <f>'All regions'!G1298+"n/&gt;!$bO"</f>
        <v>#VALUE!</v>
      </c>
      <c r="FX52" t="e">
        <f>'All regions'!H1298+"n/&gt;!$bP"</f>
        <v>#VALUE!</v>
      </c>
      <c r="FY52" t="e">
        <f>'All regions'!I1298+"n/&gt;!$bQ"</f>
        <v>#VALUE!</v>
      </c>
      <c r="FZ52" t="e">
        <f>'All regions'!J1298+"n/&gt;!$bR"</f>
        <v>#VALUE!</v>
      </c>
      <c r="GA52" t="e">
        <f>'All regions'!A1299+"n/&gt;!$bS"</f>
        <v>#VALUE!</v>
      </c>
      <c r="GB52" t="e">
        <f>'All regions'!B1299+"n/&gt;!$bT"</f>
        <v>#VALUE!</v>
      </c>
      <c r="GC52" t="e">
        <f>'All regions'!C1299+"n/&gt;!$bU"</f>
        <v>#VALUE!</v>
      </c>
      <c r="GD52" t="e">
        <f>'All regions'!D1299+"n/&gt;!$bV"</f>
        <v>#VALUE!</v>
      </c>
      <c r="GE52" t="e">
        <f>'All regions'!E1299+"n/&gt;!$bW"</f>
        <v>#VALUE!</v>
      </c>
      <c r="GF52" t="e">
        <f>'All regions'!F1299+"n/&gt;!$bX"</f>
        <v>#VALUE!</v>
      </c>
      <c r="GG52" t="e">
        <f>'All regions'!G1299+"n/&gt;!$bY"</f>
        <v>#VALUE!</v>
      </c>
      <c r="GH52" t="e">
        <f>'All regions'!H1299+"n/&gt;!$bZ"</f>
        <v>#VALUE!</v>
      </c>
      <c r="GI52" t="e">
        <f>'All regions'!I1299+"n/&gt;!$b["</f>
        <v>#VALUE!</v>
      </c>
      <c r="GJ52" t="e">
        <f>'All regions'!J1299+"n/&gt;!$b\"</f>
        <v>#VALUE!</v>
      </c>
      <c r="GK52" t="e">
        <f>'All regions'!A1300+"n/&gt;!$b]"</f>
        <v>#VALUE!</v>
      </c>
      <c r="GL52" t="e">
        <f>'All regions'!B1300+"n/&gt;!$b^"</f>
        <v>#VALUE!</v>
      </c>
      <c r="GM52" t="e">
        <f>'All regions'!C1300+"n/&gt;!$b_"</f>
        <v>#VALUE!</v>
      </c>
      <c r="GN52" t="e">
        <f>'All regions'!D1300+"n/&gt;!$b`"</f>
        <v>#VALUE!</v>
      </c>
      <c r="GO52" t="e">
        <f>'All regions'!E1300+"n/&gt;!$ba"</f>
        <v>#VALUE!</v>
      </c>
      <c r="GP52" t="e">
        <f>'All regions'!F1300+"n/&gt;!$bb"</f>
        <v>#VALUE!</v>
      </c>
      <c r="GQ52" t="e">
        <f>'All regions'!G1300+"n/&gt;!$bc"</f>
        <v>#VALUE!</v>
      </c>
      <c r="GR52" t="e">
        <f>'All regions'!H1300+"n/&gt;!$bd"</f>
        <v>#VALUE!</v>
      </c>
      <c r="GS52" t="e">
        <f>'All regions'!I1300+"n/&gt;!$be"</f>
        <v>#VALUE!</v>
      </c>
      <c r="GT52" t="e">
        <f>'All regions'!J1300+"n/&gt;!$bf"</f>
        <v>#VALUE!</v>
      </c>
      <c r="GU52" t="e">
        <f>'All regions'!A1301+"n/&gt;!$bg"</f>
        <v>#VALUE!</v>
      </c>
      <c r="GV52" t="e">
        <f>'All regions'!B1301+"n/&gt;!$bh"</f>
        <v>#VALUE!</v>
      </c>
      <c r="GW52" t="e">
        <f>'All regions'!C1301+"n/&gt;!$bi"</f>
        <v>#VALUE!</v>
      </c>
      <c r="GX52" t="e">
        <f>'All regions'!D1301+"n/&gt;!$bj"</f>
        <v>#VALUE!</v>
      </c>
      <c r="GY52" t="e">
        <f>'All regions'!E1301+"n/&gt;!$bk"</f>
        <v>#VALUE!</v>
      </c>
      <c r="GZ52" t="e">
        <f>'All regions'!F1301+"n/&gt;!$bl"</f>
        <v>#VALUE!</v>
      </c>
      <c r="HA52" t="e">
        <f>'All regions'!G1301+"n/&gt;!$bm"</f>
        <v>#VALUE!</v>
      </c>
      <c r="HB52" t="e">
        <f>'All regions'!H1301+"n/&gt;!$bn"</f>
        <v>#VALUE!</v>
      </c>
      <c r="HC52" t="e">
        <f>'All regions'!I1301+"n/&gt;!$bo"</f>
        <v>#VALUE!</v>
      </c>
      <c r="HD52" t="e">
        <f>'All regions'!J1301+"n/&gt;!$bp"</f>
        <v>#VALUE!</v>
      </c>
      <c r="HE52" t="e">
        <f>'All regions'!A1302+"n/&gt;!$bq"</f>
        <v>#VALUE!</v>
      </c>
      <c r="HF52" t="e">
        <f>'All regions'!B1302+"n/&gt;!$br"</f>
        <v>#VALUE!</v>
      </c>
      <c r="HG52" t="e">
        <f>'All regions'!C1302+"n/&gt;!$bs"</f>
        <v>#VALUE!</v>
      </c>
      <c r="HH52" t="e">
        <f>'All regions'!D1302+"n/&gt;!$bt"</f>
        <v>#VALUE!</v>
      </c>
      <c r="HI52" t="e">
        <f>'All regions'!E1302+"n/&gt;!$bu"</f>
        <v>#VALUE!</v>
      </c>
      <c r="HJ52" t="e">
        <f>'All regions'!F1302+"n/&gt;!$bv"</f>
        <v>#VALUE!</v>
      </c>
      <c r="HK52" t="e">
        <f>'All regions'!G1302+"n/&gt;!$bw"</f>
        <v>#VALUE!</v>
      </c>
      <c r="HL52" t="e">
        <f>'All regions'!H1302+"n/&gt;!$bx"</f>
        <v>#VALUE!</v>
      </c>
      <c r="HM52" t="e">
        <f>'All regions'!I1302+"n/&gt;!$by"</f>
        <v>#VALUE!</v>
      </c>
      <c r="HN52" t="e">
        <f>'All regions'!J1302+"n/&gt;!$bz"</f>
        <v>#VALUE!</v>
      </c>
      <c r="HO52" t="e">
        <f>'All regions'!A1303+"n/&gt;!$b{"</f>
        <v>#VALUE!</v>
      </c>
      <c r="HP52" t="e">
        <f>'All regions'!B1303+"n/&gt;!$b|"</f>
        <v>#VALUE!</v>
      </c>
      <c r="HQ52" t="e">
        <f>'All regions'!C1303+"n/&gt;!$b}"</f>
        <v>#VALUE!</v>
      </c>
      <c r="HR52" t="e">
        <f>'All regions'!D1303+"n/&gt;!$b~"</f>
        <v>#VALUE!</v>
      </c>
      <c r="HS52" t="e">
        <f>'All regions'!E1303+"n/&gt;!$c#"</f>
        <v>#VALUE!</v>
      </c>
      <c r="HT52" t="e">
        <f>'All regions'!F1303+"n/&gt;!$c$"</f>
        <v>#VALUE!</v>
      </c>
      <c r="HU52" t="e">
        <f>'All regions'!G1303+"n/&gt;!$c%"</f>
        <v>#VALUE!</v>
      </c>
      <c r="HV52" t="e">
        <f>'All regions'!H1303+"n/&gt;!$c&amp;"</f>
        <v>#VALUE!</v>
      </c>
      <c r="HW52" t="e">
        <f>'All regions'!I1303+"n/&gt;!$c'"</f>
        <v>#VALUE!</v>
      </c>
      <c r="HX52" t="e">
        <f>'All regions'!J1303+"n/&gt;!$c("</f>
        <v>#VALUE!</v>
      </c>
      <c r="HY52" t="e">
        <f>'All regions'!A1304+"n/&gt;!$c)"</f>
        <v>#VALUE!</v>
      </c>
      <c r="HZ52" t="e">
        <f>'All regions'!B1304+"n/&gt;!$c."</f>
        <v>#VALUE!</v>
      </c>
      <c r="IA52" t="e">
        <f>'All regions'!C1304+"n/&gt;!$c/"</f>
        <v>#VALUE!</v>
      </c>
      <c r="IB52" t="e">
        <f>'All regions'!D1304+"n/&gt;!$c0"</f>
        <v>#VALUE!</v>
      </c>
      <c r="IC52" t="e">
        <f>'All regions'!E1304+"n/&gt;!$c1"</f>
        <v>#VALUE!</v>
      </c>
      <c r="ID52" t="e">
        <f>'All regions'!F1304+"n/&gt;!$c2"</f>
        <v>#VALUE!</v>
      </c>
      <c r="IE52" t="e">
        <f>'All regions'!G1304+"n/&gt;!$c3"</f>
        <v>#VALUE!</v>
      </c>
      <c r="IF52" t="e">
        <f>'All regions'!H1304+"n/&gt;!$c4"</f>
        <v>#VALUE!</v>
      </c>
      <c r="IG52" t="e">
        <f>'All regions'!I1304+"n/&gt;!$c5"</f>
        <v>#VALUE!</v>
      </c>
      <c r="IH52" t="e">
        <f>'All regions'!J1304+"n/&gt;!$c6"</f>
        <v>#VALUE!</v>
      </c>
      <c r="II52" t="e">
        <f>'All regions'!A1305+"n/&gt;!$c7"</f>
        <v>#VALUE!</v>
      </c>
      <c r="IJ52" t="e">
        <f>'All regions'!B1305+"n/&gt;!$c8"</f>
        <v>#VALUE!</v>
      </c>
      <c r="IK52" t="e">
        <f>'All regions'!C1305+"n/&gt;!$c9"</f>
        <v>#VALUE!</v>
      </c>
      <c r="IL52" t="e">
        <f>'All regions'!D1305+"n/&gt;!$c:"</f>
        <v>#VALUE!</v>
      </c>
      <c r="IM52" t="e">
        <f>'All regions'!E1305+"n/&gt;!$c;"</f>
        <v>#VALUE!</v>
      </c>
      <c r="IN52" t="e">
        <f>'All regions'!F1305+"n/&gt;!$c&lt;"</f>
        <v>#VALUE!</v>
      </c>
      <c r="IO52" t="e">
        <f>'All regions'!G1305+"n/&gt;!$c="</f>
        <v>#VALUE!</v>
      </c>
      <c r="IP52" t="e">
        <f>'All regions'!H1305+"n/&gt;!$c&gt;"</f>
        <v>#VALUE!</v>
      </c>
      <c r="IQ52" t="e">
        <f>'All regions'!I1305+"n/&gt;!$c?"</f>
        <v>#VALUE!</v>
      </c>
      <c r="IR52" t="e">
        <f>'All regions'!J1305+"n/&gt;!$c@"</f>
        <v>#VALUE!</v>
      </c>
      <c r="IS52" t="e">
        <f>'All regions'!A1306+"n/&gt;!$cA"</f>
        <v>#VALUE!</v>
      </c>
      <c r="IT52" t="e">
        <f>'All regions'!B1306+"n/&gt;!$cB"</f>
        <v>#VALUE!</v>
      </c>
      <c r="IU52" t="e">
        <f>'All regions'!C1306+"n/&gt;!$cC"</f>
        <v>#VALUE!</v>
      </c>
      <c r="IV52" t="e">
        <f>'All regions'!D1306+"n/&gt;!$cD"</f>
        <v>#VALUE!</v>
      </c>
    </row>
    <row r="53" spans="6:256" x14ac:dyDescent="0.35">
      <c r="F53" t="e">
        <f>'All regions'!E1306+"n/&gt;!$cE"</f>
        <v>#VALUE!</v>
      </c>
      <c r="G53" t="e">
        <f>'All regions'!F1306+"n/&gt;!$cF"</f>
        <v>#VALUE!</v>
      </c>
      <c r="H53" t="e">
        <f>'All regions'!G1306+"n/&gt;!$cG"</f>
        <v>#VALUE!</v>
      </c>
      <c r="I53" t="e">
        <f>'All regions'!H1306+"n/&gt;!$cH"</f>
        <v>#VALUE!</v>
      </c>
      <c r="J53" t="e">
        <f>'All regions'!I1306+"n/&gt;!$cI"</f>
        <v>#VALUE!</v>
      </c>
      <c r="K53" t="e">
        <f>'All regions'!J1306+"n/&gt;!$cJ"</f>
        <v>#VALUE!</v>
      </c>
      <c r="L53" t="e">
        <f>'All regions'!A1307+"n/&gt;!$cK"</f>
        <v>#VALUE!</v>
      </c>
      <c r="M53" t="e">
        <f>'All regions'!B1307+"n/&gt;!$cL"</f>
        <v>#VALUE!</v>
      </c>
      <c r="N53" t="e">
        <f>'All regions'!C1307+"n/&gt;!$cM"</f>
        <v>#VALUE!</v>
      </c>
      <c r="O53" t="e">
        <f>'All regions'!D1307+"n/&gt;!$cN"</f>
        <v>#VALUE!</v>
      </c>
      <c r="P53" t="e">
        <f>'All regions'!E1307+"n/&gt;!$cO"</f>
        <v>#VALUE!</v>
      </c>
      <c r="Q53" t="e">
        <f>'All regions'!F1307+"n/&gt;!$cP"</f>
        <v>#VALUE!</v>
      </c>
      <c r="R53" t="e">
        <f>'All regions'!G1307+"n/&gt;!$cQ"</f>
        <v>#VALUE!</v>
      </c>
      <c r="S53" t="e">
        <f>'All regions'!H1307+"n/&gt;!$cR"</f>
        <v>#VALUE!</v>
      </c>
      <c r="T53" t="e">
        <f>'All regions'!I1307+"n/&gt;!$cS"</f>
        <v>#VALUE!</v>
      </c>
      <c r="U53" t="e">
        <f>'All regions'!J1307+"n/&gt;!$cT"</f>
        <v>#VALUE!</v>
      </c>
      <c r="V53" t="e">
        <f>'All regions'!A1308+"n/&gt;!$cU"</f>
        <v>#VALUE!</v>
      </c>
      <c r="W53" t="e">
        <f>'All regions'!B1308+"n/&gt;!$cV"</f>
        <v>#VALUE!</v>
      </c>
      <c r="X53" t="e">
        <f>'All regions'!C1308+"n/&gt;!$cW"</f>
        <v>#VALUE!</v>
      </c>
      <c r="Y53" t="e">
        <f>'All regions'!D1308+"n/&gt;!$cX"</f>
        <v>#VALUE!</v>
      </c>
      <c r="Z53" t="e">
        <f>'All regions'!E1308+"n/&gt;!$cY"</f>
        <v>#VALUE!</v>
      </c>
      <c r="AA53" t="e">
        <f>'All regions'!F1308+"n/&gt;!$cZ"</f>
        <v>#VALUE!</v>
      </c>
      <c r="AB53" t="e">
        <f>'All regions'!G1308+"n/&gt;!$c["</f>
        <v>#VALUE!</v>
      </c>
      <c r="AC53" t="e">
        <f>'All regions'!H1308+"n/&gt;!$c\"</f>
        <v>#VALUE!</v>
      </c>
      <c r="AD53" t="e">
        <f>'All regions'!I1308+"n/&gt;!$c]"</f>
        <v>#VALUE!</v>
      </c>
      <c r="AE53" t="e">
        <f>'All regions'!J1308+"n/&gt;!$c^"</f>
        <v>#VALUE!</v>
      </c>
      <c r="AF53" t="e">
        <f>'All regions'!A1309+"n/&gt;!$c_"</f>
        <v>#VALUE!</v>
      </c>
      <c r="AG53" t="e">
        <f>'All regions'!B1309+"n/&gt;!$c`"</f>
        <v>#VALUE!</v>
      </c>
      <c r="AH53" t="e">
        <f>'All regions'!C1309+"n/&gt;!$ca"</f>
        <v>#VALUE!</v>
      </c>
      <c r="AI53" t="e">
        <f>'All regions'!D1309+"n/&gt;!$cb"</f>
        <v>#VALUE!</v>
      </c>
      <c r="AJ53" t="e">
        <f>'All regions'!E1309+"n/&gt;!$cc"</f>
        <v>#VALUE!</v>
      </c>
      <c r="AK53" t="e">
        <f>'All regions'!F1309+"n/&gt;!$cd"</f>
        <v>#VALUE!</v>
      </c>
      <c r="AL53" t="e">
        <f>'All regions'!G1309+"n/&gt;!$ce"</f>
        <v>#VALUE!</v>
      </c>
      <c r="AM53" t="e">
        <f>'All regions'!H1309+"n/&gt;!$cf"</f>
        <v>#VALUE!</v>
      </c>
      <c r="AN53" t="e">
        <f>'All regions'!I1309+"n/&gt;!$cg"</f>
        <v>#VALUE!</v>
      </c>
      <c r="AO53" t="e">
        <f>'All regions'!J1309+"n/&gt;!$ch"</f>
        <v>#VALUE!</v>
      </c>
      <c r="AP53" t="e">
        <f>'All regions'!A1310+"n/&gt;!$ci"</f>
        <v>#VALUE!</v>
      </c>
      <c r="AQ53" t="e">
        <f>'All regions'!B1310+"n/&gt;!$cj"</f>
        <v>#VALUE!</v>
      </c>
      <c r="AR53" t="e">
        <f>'All regions'!C1310+"n/&gt;!$ck"</f>
        <v>#VALUE!</v>
      </c>
      <c r="AS53" t="e">
        <f>'All regions'!D1310+"n/&gt;!$cl"</f>
        <v>#VALUE!</v>
      </c>
      <c r="AT53" t="e">
        <f>'All regions'!E1310+"n/&gt;!$cm"</f>
        <v>#VALUE!</v>
      </c>
      <c r="AU53" t="e">
        <f>'All regions'!F1310+"n/&gt;!$cn"</f>
        <v>#VALUE!</v>
      </c>
      <c r="AV53" t="e">
        <f>'All regions'!G1310+"n/&gt;!$co"</f>
        <v>#VALUE!</v>
      </c>
      <c r="AW53" t="e">
        <f>'All regions'!H1310+"n/&gt;!$cp"</f>
        <v>#VALUE!</v>
      </c>
      <c r="AX53" t="e">
        <f>'All regions'!I1310+"n/&gt;!$cq"</f>
        <v>#VALUE!</v>
      </c>
      <c r="AY53" t="e">
        <f>'All regions'!J1310+"n/&gt;!$cr"</f>
        <v>#VALUE!</v>
      </c>
      <c r="AZ53" t="e">
        <f>'All regions'!A1311+"n/&gt;!$cs"</f>
        <v>#VALUE!</v>
      </c>
      <c r="BA53" t="e">
        <f>'All regions'!B1311+"n/&gt;!$ct"</f>
        <v>#VALUE!</v>
      </c>
      <c r="BB53" t="e">
        <f>'All regions'!C1311+"n/&gt;!$cu"</f>
        <v>#VALUE!</v>
      </c>
      <c r="BC53" t="e">
        <f>'All regions'!D1311+"n/&gt;!$cv"</f>
        <v>#VALUE!</v>
      </c>
      <c r="BD53" t="e">
        <f>'All regions'!E1311+"n/&gt;!$cw"</f>
        <v>#VALUE!</v>
      </c>
      <c r="BE53" t="e">
        <f>'All regions'!F1311+"n/&gt;!$cx"</f>
        <v>#VALUE!</v>
      </c>
      <c r="BF53" t="e">
        <f>'All regions'!G1311+"n/&gt;!$cy"</f>
        <v>#VALUE!</v>
      </c>
      <c r="BG53" t="e">
        <f>'All regions'!H1311+"n/&gt;!$cz"</f>
        <v>#VALUE!</v>
      </c>
      <c r="BH53" t="e">
        <f>'All regions'!I1311+"n/&gt;!$c{"</f>
        <v>#VALUE!</v>
      </c>
      <c r="BI53" t="e">
        <f>'All regions'!J1311+"n/&gt;!$c|"</f>
        <v>#VALUE!</v>
      </c>
      <c r="BJ53" t="e">
        <f>'All regions'!A1312+"n/&gt;!$c}"</f>
        <v>#VALUE!</v>
      </c>
      <c r="BK53" t="e">
        <f>'All regions'!B1312+"n/&gt;!$c~"</f>
        <v>#VALUE!</v>
      </c>
      <c r="BL53" t="e">
        <f>'All regions'!C1312+"n/&gt;!$d#"</f>
        <v>#VALUE!</v>
      </c>
      <c r="BM53" t="e">
        <f>'All regions'!D1312+"n/&gt;!$d$"</f>
        <v>#VALUE!</v>
      </c>
      <c r="BN53" t="e">
        <f>'All regions'!E1312+"n/&gt;!$d%"</f>
        <v>#VALUE!</v>
      </c>
      <c r="BO53" t="e">
        <f>'All regions'!F1312+"n/&gt;!$d&amp;"</f>
        <v>#VALUE!</v>
      </c>
      <c r="BP53" t="e">
        <f>'All regions'!G1312+"n/&gt;!$d'"</f>
        <v>#VALUE!</v>
      </c>
      <c r="BQ53" t="e">
        <f>'All regions'!H1312+"n/&gt;!$d("</f>
        <v>#VALUE!</v>
      </c>
      <c r="BR53" t="e">
        <f>'All regions'!I1312+"n/&gt;!$d)"</f>
        <v>#VALUE!</v>
      </c>
      <c r="BS53" t="e">
        <f>'All regions'!J1312+"n/&gt;!$d."</f>
        <v>#VALUE!</v>
      </c>
      <c r="BT53" t="e">
        <f>'All regions'!A1313+"n/&gt;!$d/"</f>
        <v>#VALUE!</v>
      </c>
      <c r="BU53" t="e">
        <f>'All regions'!B1313+"n/&gt;!$d0"</f>
        <v>#VALUE!</v>
      </c>
      <c r="BV53" t="e">
        <f>'All regions'!C1313+"n/&gt;!$d1"</f>
        <v>#VALUE!</v>
      </c>
      <c r="BW53" t="e">
        <f>'All regions'!D1313+"n/&gt;!$d2"</f>
        <v>#VALUE!</v>
      </c>
      <c r="BX53" t="e">
        <f>'All regions'!E1313+"n/&gt;!$d3"</f>
        <v>#VALUE!</v>
      </c>
      <c r="BY53" t="e">
        <f>'All regions'!F1313+"n/&gt;!$d4"</f>
        <v>#VALUE!</v>
      </c>
      <c r="BZ53" t="e">
        <f>'All regions'!G1313+"n/&gt;!$d5"</f>
        <v>#VALUE!</v>
      </c>
      <c r="CA53" t="e">
        <f>'All regions'!H1313+"n/&gt;!$d6"</f>
        <v>#VALUE!</v>
      </c>
      <c r="CB53" t="e">
        <f>'All regions'!I1313+"n/&gt;!$d7"</f>
        <v>#VALUE!</v>
      </c>
      <c r="CC53" t="e">
        <f>'All regions'!J1313+"n/&gt;!$d8"</f>
        <v>#VALUE!</v>
      </c>
      <c r="CD53" t="e">
        <f>'All regions'!A1314+"n/&gt;!$d9"</f>
        <v>#VALUE!</v>
      </c>
      <c r="CE53" t="e">
        <f>'All regions'!B1314+"n/&gt;!$d:"</f>
        <v>#VALUE!</v>
      </c>
      <c r="CF53" t="e">
        <f>'All regions'!C1314+"n/&gt;!$d;"</f>
        <v>#VALUE!</v>
      </c>
      <c r="CG53" t="e">
        <f>'All regions'!D1314+"n/&gt;!$d&lt;"</f>
        <v>#VALUE!</v>
      </c>
      <c r="CH53" t="e">
        <f>'All regions'!E1314+"n/&gt;!$d="</f>
        <v>#VALUE!</v>
      </c>
      <c r="CI53" t="e">
        <f>'All regions'!F1314+"n/&gt;!$d&gt;"</f>
        <v>#VALUE!</v>
      </c>
      <c r="CJ53" t="e">
        <f>'All regions'!G1314+"n/&gt;!$d?"</f>
        <v>#VALUE!</v>
      </c>
      <c r="CK53" t="e">
        <f>'All regions'!H1314+"n/&gt;!$d@"</f>
        <v>#VALUE!</v>
      </c>
      <c r="CL53" t="e">
        <f>'All regions'!I1314+"n/&gt;!$dA"</f>
        <v>#VALUE!</v>
      </c>
      <c r="CM53" t="e">
        <f>'All regions'!J1314+"n/&gt;!$dB"</f>
        <v>#VALUE!</v>
      </c>
      <c r="CN53" t="e">
        <f>'All regions'!A1315+"n/&gt;!$dC"</f>
        <v>#VALUE!</v>
      </c>
      <c r="CO53" t="e">
        <f>'All regions'!B1315+"n/&gt;!$dD"</f>
        <v>#VALUE!</v>
      </c>
      <c r="CP53" t="e">
        <f>'All regions'!C1315+"n/&gt;!$dE"</f>
        <v>#VALUE!</v>
      </c>
      <c r="CQ53" t="e">
        <f>'All regions'!D1315+"n/&gt;!$dF"</f>
        <v>#VALUE!</v>
      </c>
      <c r="CR53" t="e">
        <f>'All regions'!E1315+"n/&gt;!$dG"</f>
        <v>#VALUE!</v>
      </c>
      <c r="CS53" t="e">
        <f>'All regions'!F1315+"n/&gt;!$dH"</f>
        <v>#VALUE!</v>
      </c>
      <c r="CT53" t="e">
        <f>'All regions'!G1315+"n/&gt;!$dI"</f>
        <v>#VALUE!</v>
      </c>
      <c r="CU53" t="e">
        <f>'All regions'!H1315+"n/&gt;!$dJ"</f>
        <v>#VALUE!</v>
      </c>
      <c r="CV53" t="e">
        <f>'All regions'!I1315+"n/&gt;!$dK"</f>
        <v>#VALUE!</v>
      </c>
      <c r="CW53" t="e">
        <f>'All regions'!J1315+"n/&gt;!$dL"</f>
        <v>#VALUE!</v>
      </c>
      <c r="CX53" t="e">
        <f>'All regions'!A1316+"n/&gt;!$dM"</f>
        <v>#VALUE!</v>
      </c>
      <c r="CY53" t="e">
        <f>'All regions'!B1316+"n/&gt;!$dN"</f>
        <v>#VALUE!</v>
      </c>
      <c r="CZ53" t="e">
        <f>'All regions'!C1316+"n/&gt;!$dO"</f>
        <v>#VALUE!</v>
      </c>
      <c r="DA53" t="e">
        <f>'All regions'!D1316+"n/&gt;!$dP"</f>
        <v>#VALUE!</v>
      </c>
      <c r="DB53" t="e">
        <f>'All regions'!E1316+"n/&gt;!$dQ"</f>
        <v>#VALUE!</v>
      </c>
      <c r="DC53" t="e">
        <f>'All regions'!F1316+"n/&gt;!$dR"</f>
        <v>#VALUE!</v>
      </c>
      <c r="DD53" t="e">
        <f>'All regions'!G1316+"n/&gt;!$dS"</f>
        <v>#VALUE!</v>
      </c>
      <c r="DE53" t="e">
        <f>'All regions'!H1316+"n/&gt;!$dT"</f>
        <v>#VALUE!</v>
      </c>
      <c r="DF53" t="e">
        <f>'All regions'!I1316+"n/&gt;!$dU"</f>
        <v>#VALUE!</v>
      </c>
      <c r="DG53" t="e">
        <f>'All regions'!J1316+"n/&gt;!$dV"</f>
        <v>#VALUE!</v>
      </c>
      <c r="DH53" t="e">
        <f>'All regions'!A1317+"n/&gt;!$dW"</f>
        <v>#VALUE!</v>
      </c>
      <c r="DI53" t="e">
        <f>'All regions'!B1317+"n/&gt;!$dX"</f>
        <v>#VALUE!</v>
      </c>
      <c r="DJ53" t="e">
        <f>'All regions'!C1317+"n/&gt;!$dY"</f>
        <v>#VALUE!</v>
      </c>
      <c r="DK53" t="e">
        <f>'All regions'!D1317+"n/&gt;!$dZ"</f>
        <v>#VALUE!</v>
      </c>
      <c r="DL53" t="e">
        <f>'All regions'!E1317+"n/&gt;!$d["</f>
        <v>#VALUE!</v>
      </c>
      <c r="DM53" t="e">
        <f>'All regions'!F1317+"n/&gt;!$d\"</f>
        <v>#VALUE!</v>
      </c>
      <c r="DN53" t="e">
        <f>'All regions'!G1317+"n/&gt;!$d]"</f>
        <v>#VALUE!</v>
      </c>
      <c r="DO53" t="e">
        <f>'All regions'!H1317+"n/&gt;!$d^"</f>
        <v>#VALUE!</v>
      </c>
      <c r="DP53" t="e">
        <f>'All regions'!I1317+"n/&gt;!$d_"</f>
        <v>#VALUE!</v>
      </c>
      <c r="DQ53" t="e">
        <f>'All regions'!J1317+"n/&gt;!$d`"</f>
        <v>#VALUE!</v>
      </c>
      <c r="DR53" t="e">
        <f>'All regions'!A1318+"n/&gt;!$da"</f>
        <v>#VALUE!</v>
      </c>
      <c r="DS53" t="e">
        <f>'All regions'!B1318+"n/&gt;!$db"</f>
        <v>#VALUE!</v>
      </c>
      <c r="DT53" t="e">
        <f>'All regions'!C1318+"n/&gt;!$dc"</f>
        <v>#VALUE!</v>
      </c>
      <c r="DU53" t="e">
        <f>'All regions'!D1318+"n/&gt;!$dd"</f>
        <v>#VALUE!</v>
      </c>
      <c r="DV53" t="e">
        <f>'All regions'!E1318+"n/&gt;!$de"</f>
        <v>#VALUE!</v>
      </c>
      <c r="DW53" t="e">
        <f>'All regions'!F1318+"n/&gt;!$df"</f>
        <v>#VALUE!</v>
      </c>
      <c r="DX53" t="e">
        <f>'All regions'!G1318+"n/&gt;!$dg"</f>
        <v>#VALUE!</v>
      </c>
      <c r="DY53" t="e">
        <f>'All regions'!H1318+"n/&gt;!$dh"</f>
        <v>#VALUE!</v>
      </c>
      <c r="DZ53" t="e">
        <f>'All regions'!I1318+"n/&gt;!$di"</f>
        <v>#VALUE!</v>
      </c>
      <c r="EA53" t="e">
        <f>'All regions'!J1318+"n/&gt;!$dj"</f>
        <v>#VALUE!</v>
      </c>
      <c r="EB53" t="e">
        <f>'All regions'!A1319+"n/&gt;!$dk"</f>
        <v>#VALUE!</v>
      </c>
      <c r="EC53" t="e">
        <f>'All regions'!B1319+"n/&gt;!$dl"</f>
        <v>#VALUE!</v>
      </c>
      <c r="ED53" t="e">
        <f>'All regions'!C1319+"n/&gt;!$dm"</f>
        <v>#VALUE!</v>
      </c>
      <c r="EE53" t="e">
        <f>'All regions'!D1319+"n/&gt;!$dn"</f>
        <v>#VALUE!</v>
      </c>
      <c r="EF53" t="e">
        <f>'All regions'!E1319+"n/&gt;!$do"</f>
        <v>#VALUE!</v>
      </c>
      <c r="EG53" t="e">
        <f>'All regions'!F1319+"n/&gt;!$dp"</f>
        <v>#VALUE!</v>
      </c>
      <c r="EH53" t="e">
        <f>'All regions'!G1319+"n/&gt;!$dq"</f>
        <v>#VALUE!</v>
      </c>
      <c r="EI53" t="e">
        <f>'All regions'!H1319+"n/&gt;!$dr"</f>
        <v>#VALUE!</v>
      </c>
      <c r="EJ53" t="e">
        <f>'All regions'!I1319+"n/&gt;!$ds"</f>
        <v>#VALUE!</v>
      </c>
      <c r="EK53" t="e">
        <f>'All regions'!J1319+"n/&gt;!$dt"</f>
        <v>#VALUE!</v>
      </c>
      <c r="EL53" t="e">
        <f>'All regions'!A1320+"n/&gt;!$du"</f>
        <v>#VALUE!</v>
      </c>
      <c r="EM53" t="e">
        <f>'All regions'!B1320+"n/&gt;!$dv"</f>
        <v>#VALUE!</v>
      </c>
      <c r="EN53" t="e">
        <f>'All regions'!C1320+"n/&gt;!$dw"</f>
        <v>#VALUE!</v>
      </c>
      <c r="EO53" t="e">
        <f>'All regions'!D1320+"n/&gt;!$dx"</f>
        <v>#VALUE!</v>
      </c>
      <c r="EP53" t="e">
        <f>'All regions'!E1320+"n/&gt;!$dy"</f>
        <v>#VALUE!</v>
      </c>
      <c r="EQ53" t="e">
        <f>'All regions'!F1320+"n/&gt;!$dz"</f>
        <v>#VALUE!</v>
      </c>
      <c r="ER53" t="e">
        <f>'All regions'!G1320+"n/&gt;!$d{"</f>
        <v>#VALUE!</v>
      </c>
      <c r="ES53" t="e">
        <f>'All regions'!H1320+"n/&gt;!$d|"</f>
        <v>#VALUE!</v>
      </c>
      <c r="ET53" t="e">
        <f>'All regions'!I1320+"n/&gt;!$d}"</f>
        <v>#VALUE!</v>
      </c>
      <c r="EU53" t="e">
        <f>'All regions'!J1320+"n/&gt;!$d~"</f>
        <v>#VALUE!</v>
      </c>
      <c r="EV53" t="e">
        <f>'All regions'!A1321+"n/&gt;!$e#"</f>
        <v>#VALUE!</v>
      </c>
      <c r="EW53" t="e">
        <f>'All regions'!B1321+"n/&gt;!$e$"</f>
        <v>#VALUE!</v>
      </c>
      <c r="EX53" t="e">
        <f>'All regions'!C1321+"n/&gt;!$e%"</f>
        <v>#VALUE!</v>
      </c>
      <c r="EY53" t="e">
        <f>'All regions'!D1321+"n/&gt;!$e&amp;"</f>
        <v>#VALUE!</v>
      </c>
      <c r="EZ53" t="e">
        <f>'All regions'!E1321+"n/&gt;!$e'"</f>
        <v>#VALUE!</v>
      </c>
      <c r="FA53" t="e">
        <f>'All regions'!F1321+"n/&gt;!$e("</f>
        <v>#VALUE!</v>
      </c>
      <c r="FB53" t="e">
        <f>'All regions'!G1321+"n/&gt;!$e)"</f>
        <v>#VALUE!</v>
      </c>
      <c r="FC53" t="e">
        <f>'All regions'!H1321+"n/&gt;!$e."</f>
        <v>#VALUE!</v>
      </c>
      <c r="FD53" t="e">
        <f>'All regions'!I1321+"n/&gt;!$e/"</f>
        <v>#VALUE!</v>
      </c>
      <c r="FE53" t="e">
        <f>'All regions'!J1321+"n/&gt;!$e0"</f>
        <v>#VALUE!</v>
      </c>
      <c r="FF53" t="e">
        <f>'All regions'!A1322+"n/&gt;!$e1"</f>
        <v>#VALUE!</v>
      </c>
      <c r="FG53" t="e">
        <f>'All regions'!B1322+"n/&gt;!$e2"</f>
        <v>#VALUE!</v>
      </c>
      <c r="FH53" t="e">
        <f>'All regions'!C1322+"n/&gt;!$e3"</f>
        <v>#VALUE!</v>
      </c>
      <c r="FI53" t="e">
        <f>'All regions'!D1322+"n/&gt;!$e4"</f>
        <v>#VALUE!</v>
      </c>
      <c r="FJ53" t="e">
        <f>'All regions'!E1322+"n/&gt;!$e5"</f>
        <v>#VALUE!</v>
      </c>
      <c r="FK53" t="e">
        <f>'All regions'!F1322+"n/&gt;!$e6"</f>
        <v>#VALUE!</v>
      </c>
      <c r="FL53" t="e">
        <f>'All regions'!G1322+"n/&gt;!$e7"</f>
        <v>#VALUE!</v>
      </c>
      <c r="FM53" t="e">
        <f>'All regions'!H1322+"n/&gt;!$e8"</f>
        <v>#VALUE!</v>
      </c>
      <c r="FN53" t="e">
        <f>'All regions'!I1322+"n/&gt;!$e9"</f>
        <v>#VALUE!</v>
      </c>
      <c r="FO53" t="e">
        <f>'All regions'!J1322+"n/&gt;!$e:"</f>
        <v>#VALUE!</v>
      </c>
      <c r="FP53" t="e">
        <f>'All regions'!A1323+"n/&gt;!$e;"</f>
        <v>#VALUE!</v>
      </c>
      <c r="FQ53" t="e">
        <f>'All regions'!B1323+"n/&gt;!$e&lt;"</f>
        <v>#VALUE!</v>
      </c>
      <c r="FR53" t="e">
        <f>'All regions'!C1323+"n/&gt;!$e="</f>
        <v>#VALUE!</v>
      </c>
      <c r="FS53" t="e">
        <f>'All regions'!D1323+"n/&gt;!$e&gt;"</f>
        <v>#VALUE!</v>
      </c>
      <c r="FT53" t="e">
        <f>'All regions'!E1323+"n/&gt;!$e?"</f>
        <v>#VALUE!</v>
      </c>
      <c r="FU53" t="e">
        <f>'All regions'!F1323+"n/&gt;!$e@"</f>
        <v>#VALUE!</v>
      </c>
      <c r="FV53" t="e">
        <f>'All regions'!G1323+"n/&gt;!$eA"</f>
        <v>#VALUE!</v>
      </c>
      <c r="FW53" t="e">
        <f>'All regions'!H1323+"n/&gt;!$eB"</f>
        <v>#VALUE!</v>
      </c>
      <c r="FX53" t="e">
        <f>'All regions'!I1323+"n/&gt;!$eC"</f>
        <v>#VALUE!</v>
      </c>
      <c r="FY53" t="e">
        <f>'All regions'!J1323+"n/&gt;!$eD"</f>
        <v>#VALUE!</v>
      </c>
      <c r="FZ53" t="e">
        <f>'All regions'!A1324+"n/&gt;!$eE"</f>
        <v>#VALUE!</v>
      </c>
      <c r="GA53" t="e">
        <f>'All regions'!B1324+"n/&gt;!$eF"</f>
        <v>#VALUE!</v>
      </c>
      <c r="GB53" t="e">
        <f>'All regions'!C1324+"n/&gt;!$eG"</f>
        <v>#VALUE!</v>
      </c>
      <c r="GC53" t="e">
        <f>'All regions'!D1324+"n/&gt;!$eH"</f>
        <v>#VALUE!</v>
      </c>
      <c r="GD53" t="e">
        <f>'All regions'!E1324+"n/&gt;!$eI"</f>
        <v>#VALUE!</v>
      </c>
      <c r="GE53" t="e">
        <f>'All regions'!F1324+"n/&gt;!$eJ"</f>
        <v>#VALUE!</v>
      </c>
      <c r="GF53" t="e">
        <f>'All regions'!G1324+"n/&gt;!$eK"</f>
        <v>#VALUE!</v>
      </c>
      <c r="GG53" t="e">
        <f>'All regions'!H1324+"n/&gt;!$eL"</f>
        <v>#VALUE!</v>
      </c>
      <c r="GH53" t="e">
        <f>'All regions'!I1324+"n/&gt;!$eM"</f>
        <v>#VALUE!</v>
      </c>
      <c r="GI53" t="e">
        <f>'All regions'!J1324+"n/&gt;!$eN"</f>
        <v>#VALUE!</v>
      </c>
      <c r="GJ53" t="e">
        <f>'All regions'!A1325+"n/&gt;!$eO"</f>
        <v>#VALUE!</v>
      </c>
      <c r="GK53" t="e">
        <f>'All regions'!B1325+"n/&gt;!$eP"</f>
        <v>#VALUE!</v>
      </c>
      <c r="GL53" t="e">
        <f>'All regions'!C1325+"n/&gt;!$eQ"</f>
        <v>#VALUE!</v>
      </c>
      <c r="GM53" t="e">
        <f>'All regions'!D1325+"n/&gt;!$eR"</f>
        <v>#VALUE!</v>
      </c>
      <c r="GN53" t="e">
        <f>'All regions'!E1325+"n/&gt;!$eS"</f>
        <v>#VALUE!</v>
      </c>
      <c r="GO53" t="e">
        <f>'All regions'!F1325+"n/&gt;!$eT"</f>
        <v>#VALUE!</v>
      </c>
      <c r="GP53" t="e">
        <f>'All regions'!G1325+"n/&gt;!$eU"</f>
        <v>#VALUE!</v>
      </c>
      <c r="GQ53" t="e">
        <f>'All regions'!H1325+"n/&gt;!$eV"</f>
        <v>#VALUE!</v>
      </c>
      <c r="GR53" t="e">
        <f>'All regions'!I1325+"n/&gt;!$eW"</f>
        <v>#VALUE!</v>
      </c>
      <c r="GS53" t="e">
        <f>'All regions'!J1325+"n/&gt;!$eX"</f>
        <v>#VALUE!</v>
      </c>
      <c r="GT53" t="e">
        <f>'All regions'!A1326+"n/&gt;!$eY"</f>
        <v>#VALUE!</v>
      </c>
      <c r="GU53" t="e">
        <f>'All regions'!B1326+"n/&gt;!$eZ"</f>
        <v>#VALUE!</v>
      </c>
      <c r="GV53" t="e">
        <f>'All regions'!C1326+"n/&gt;!$e["</f>
        <v>#VALUE!</v>
      </c>
      <c r="GW53" t="e">
        <f>'All regions'!D1326+"n/&gt;!$e\"</f>
        <v>#VALUE!</v>
      </c>
      <c r="GX53" t="e">
        <f>'All regions'!E1326+"n/&gt;!$e]"</f>
        <v>#VALUE!</v>
      </c>
      <c r="GY53" t="e">
        <f>'All regions'!F1326+"n/&gt;!$e^"</f>
        <v>#VALUE!</v>
      </c>
      <c r="GZ53" t="e">
        <f>'All regions'!G1326+"n/&gt;!$e_"</f>
        <v>#VALUE!</v>
      </c>
      <c r="HA53" t="e">
        <f>'All regions'!H1326+"n/&gt;!$e`"</f>
        <v>#VALUE!</v>
      </c>
      <c r="HB53" t="e">
        <f>'All regions'!I1326+"n/&gt;!$ea"</f>
        <v>#VALUE!</v>
      </c>
      <c r="HC53" t="e">
        <f>'All regions'!J1326+"n/&gt;!$eb"</f>
        <v>#VALUE!</v>
      </c>
      <c r="HD53" t="e">
        <f>'All regions'!A1327+"n/&gt;!$ec"</f>
        <v>#VALUE!</v>
      </c>
      <c r="HE53" t="e">
        <f>'All regions'!B1327+"n/&gt;!$ed"</f>
        <v>#VALUE!</v>
      </c>
      <c r="HF53" t="e">
        <f>'All regions'!C1327+"n/&gt;!$ee"</f>
        <v>#VALUE!</v>
      </c>
      <c r="HG53" t="e">
        <f>'All regions'!D1327+"n/&gt;!$ef"</f>
        <v>#VALUE!</v>
      </c>
      <c r="HH53" t="e">
        <f>'All regions'!E1327+"n/&gt;!$eg"</f>
        <v>#VALUE!</v>
      </c>
      <c r="HI53" t="e">
        <f>'All regions'!F1327+"n/&gt;!$eh"</f>
        <v>#VALUE!</v>
      </c>
      <c r="HJ53" t="e">
        <f>'All regions'!G1327+"n/&gt;!$ei"</f>
        <v>#VALUE!</v>
      </c>
      <c r="HK53" t="e">
        <f>'All regions'!H1327+"n/&gt;!$ej"</f>
        <v>#VALUE!</v>
      </c>
      <c r="HL53" t="e">
        <f>'All regions'!I1327+"n/&gt;!$ek"</f>
        <v>#VALUE!</v>
      </c>
      <c r="HM53" t="e">
        <f>'All regions'!J1327+"n/&gt;!$el"</f>
        <v>#VALUE!</v>
      </c>
      <c r="HN53" t="e">
        <f>'All regions'!A1328+"n/&gt;!$em"</f>
        <v>#VALUE!</v>
      </c>
      <c r="HO53" t="e">
        <f>'All regions'!B1328+"n/&gt;!$en"</f>
        <v>#VALUE!</v>
      </c>
      <c r="HP53" t="e">
        <f>'All regions'!C1328+"n/&gt;!$eo"</f>
        <v>#VALUE!</v>
      </c>
      <c r="HQ53" t="e">
        <f>'All regions'!D1328+"n/&gt;!$ep"</f>
        <v>#VALUE!</v>
      </c>
      <c r="HR53" t="e">
        <f>'All regions'!E1328+"n/&gt;!$eq"</f>
        <v>#VALUE!</v>
      </c>
      <c r="HS53" t="e">
        <f>'All regions'!F1328+"n/&gt;!$er"</f>
        <v>#VALUE!</v>
      </c>
      <c r="HT53" t="e">
        <f>'All regions'!G1328+"n/&gt;!$es"</f>
        <v>#VALUE!</v>
      </c>
      <c r="HU53" t="e">
        <f>'All regions'!H1328+"n/&gt;!$et"</f>
        <v>#VALUE!</v>
      </c>
      <c r="HV53" t="e">
        <f>'All regions'!I1328+"n/&gt;!$eu"</f>
        <v>#VALUE!</v>
      </c>
      <c r="HW53" t="e">
        <f>'All regions'!J1328+"n/&gt;!$ev"</f>
        <v>#VALUE!</v>
      </c>
      <c r="HX53" t="e">
        <f>'All regions'!A1329+"n/&gt;!$ew"</f>
        <v>#VALUE!</v>
      </c>
      <c r="HY53" t="e">
        <f>'All regions'!B1329+"n/&gt;!$ex"</f>
        <v>#VALUE!</v>
      </c>
      <c r="HZ53" t="e">
        <f>'All regions'!C1329+"n/&gt;!$ey"</f>
        <v>#VALUE!</v>
      </c>
      <c r="IA53" t="e">
        <f>'All regions'!D1329+"n/&gt;!$ez"</f>
        <v>#VALUE!</v>
      </c>
      <c r="IB53" t="e">
        <f>'All regions'!E1329+"n/&gt;!$e{"</f>
        <v>#VALUE!</v>
      </c>
      <c r="IC53" t="e">
        <f>'All regions'!F1329+"n/&gt;!$e|"</f>
        <v>#VALUE!</v>
      </c>
      <c r="ID53" t="e">
        <f>'All regions'!G1329+"n/&gt;!$e}"</f>
        <v>#VALUE!</v>
      </c>
      <c r="IE53" t="e">
        <f>'All regions'!H1329+"n/&gt;!$e~"</f>
        <v>#VALUE!</v>
      </c>
      <c r="IF53" t="e">
        <f>'All regions'!I1329+"n/&gt;!$f#"</f>
        <v>#VALUE!</v>
      </c>
      <c r="IG53" t="e">
        <f>'All regions'!J1329+"n/&gt;!$f$"</f>
        <v>#VALUE!</v>
      </c>
      <c r="IH53" t="e">
        <f>'All regions'!A1330+"n/&gt;!$f%"</f>
        <v>#VALUE!</v>
      </c>
      <c r="II53" t="e">
        <f>'All regions'!B1330+"n/&gt;!$f&amp;"</f>
        <v>#VALUE!</v>
      </c>
      <c r="IJ53" t="e">
        <f>'All regions'!C1330+"n/&gt;!$f'"</f>
        <v>#VALUE!</v>
      </c>
      <c r="IK53" t="e">
        <f>'All regions'!D1330+"n/&gt;!$f("</f>
        <v>#VALUE!</v>
      </c>
      <c r="IL53" t="e">
        <f>'All regions'!E1330+"n/&gt;!$f)"</f>
        <v>#VALUE!</v>
      </c>
      <c r="IM53" t="e">
        <f>'All regions'!F1330+"n/&gt;!$f."</f>
        <v>#VALUE!</v>
      </c>
      <c r="IN53" t="e">
        <f>'All regions'!G1330+"n/&gt;!$f/"</f>
        <v>#VALUE!</v>
      </c>
      <c r="IO53" t="e">
        <f>'All regions'!H1330+"n/&gt;!$f0"</f>
        <v>#VALUE!</v>
      </c>
      <c r="IP53" t="e">
        <f>'All regions'!I1330+"n/&gt;!$f1"</f>
        <v>#VALUE!</v>
      </c>
      <c r="IQ53" t="e">
        <f>'All regions'!J1330+"n/&gt;!$f2"</f>
        <v>#VALUE!</v>
      </c>
      <c r="IR53" t="e">
        <f>'All regions'!A1331+"n/&gt;!$f3"</f>
        <v>#VALUE!</v>
      </c>
      <c r="IS53" t="e">
        <f>'All regions'!B1331+"n/&gt;!$f4"</f>
        <v>#VALUE!</v>
      </c>
      <c r="IT53" t="e">
        <f>'All regions'!C1331+"n/&gt;!$f5"</f>
        <v>#VALUE!</v>
      </c>
      <c r="IU53" t="e">
        <f>'All regions'!D1331+"n/&gt;!$f6"</f>
        <v>#VALUE!</v>
      </c>
      <c r="IV53" t="e">
        <f>'All regions'!E1331+"n/&gt;!$f7"</f>
        <v>#VALUE!</v>
      </c>
    </row>
    <row r="54" spans="6:256" x14ac:dyDescent="0.35">
      <c r="F54" t="e">
        <f>'All regions'!F1331+"n/&gt;!$f8"</f>
        <v>#VALUE!</v>
      </c>
      <c r="G54" t="e">
        <f>'All regions'!G1331+"n/&gt;!$f9"</f>
        <v>#VALUE!</v>
      </c>
      <c r="H54" t="e">
        <f>'All regions'!H1331+"n/&gt;!$f:"</f>
        <v>#VALUE!</v>
      </c>
      <c r="I54" t="e">
        <f>'All regions'!I1331+"n/&gt;!$f;"</f>
        <v>#VALUE!</v>
      </c>
      <c r="J54" t="e">
        <f>'All regions'!J1331+"n/&gt;!$f&lt;"</f>
        <v>#VALUE!</v>
      </c>
      <c r="K54" t="e">
        <f>'All regions'!A1332+"n/&gt;!$f="</f>
        <v>#VALUE!</v>
      </c>
      <c r="L54" t="e">
        <f>'All regions'!B1332+"n/&gt;!$f&gt;"</f>
        <v>#VALUE!</v>
      </c>
      <c r="M54" t="e">
        <f>'All regions'!C1332+"n/&gt;!$f?"</f>
        <v>#VALUE!</v>
      </c>
      <c r="N54" t="e">
        <f>'All regions'!D1332+"n/&gt;!$f@"</f>
        <v>#VALUE!</v>
      </c>
      <c r="O54" t="e">
        <f>'All regions'!E1332+"n/&gt;!$fA"</f>
        <v>#VALUE!</v>
      </c>
      <c r="P54" t="e">
        <f>'All regions'!F1332+"n/&gt;!$fB"</f>
        <v>#VALUE!</v>
      </c>
      <c r="Q54" t="e">
        <f>'All regions'!G1332+"n/&gt;!$fC"</f>
        <v>#VALUE!</v>
      </c>
      <c r="R54" t="e">
        <f>'All regions'!H1332+"n/&gt;!$fD"</f>
        <v>#VALUE!</v>
      </c>
      <c r="S54" t="e">
        <f>'All regions'!I1332+"n/&gt;!$fE"</f>
        <v>#VALUE!</v>
      </c>
      <c r="T54" t="e">
        <f>'All regions'!J1332+"n/&gt;!$fF"</f>
        <v>#VALUE!</v>
      </c>
      <c r="U54" t="e">
        <f>'All regions'!A1333+"n/&gt;!$fG"</f>
        <v>#VALUE!</v>
      </c>
      <c r="V54" t="e">
        <f>'All regions'!B1333+"n/&gt;!$fH"</f>
        <v>#VALUE!</v>
      </c>
      <c r="W54" t="e">
        <f>'All regions'!C1333+"n/&gt;!$fI"</f>
        <v>#VALUE!</v>
      </c>
      <c r="X54" t="e">
        <f>'All regions'!D1333+"n/&gt;!$fJ"</f>
        <v>#VALUE!</v>
      </c>
      <c r="Y54" t="e">
        <f>'All regions'!E1333+"n/&gt;!$fK"</f>
        <v>#VALUE!</v>
      </c>
      <c r="Z54" t="e">
        <f>'All regions'!F1333+"n/&gt;!$fL"</f>
        <v>#VALUE!</v>
      </c>
      <c r="AA54" t="e">
        <f>'All regions'!G1333+"n/&gt;!$fM"</f>
        <v>#VALUE!</v>
      </c>
      <c r="AB54" t="e">
        <f>'All regions'!H1333+"n/&gt;!$fN"</f>
        <v>#VALUE!</v>
      </c>
      <c r="AC54" t="e">
        <f>'All regions'!I1333+"n/&gt;!$fO"</f>
        <v>#VALUE!</v>
      </c>
      <c r="AD54" t="e">
        <f>'All regions'!J1333+"n/&gt;!$fP"</f>
        <v>#VALUE!</v>
      </c>
      <c r="AE54" t="e">
        <f>'All regions'!A1334+"n/&gt;!$fQ"</f>
        <v>#VALUE!</v>
      </c>
      <c r="AF54" t="e">
        <f>'All regions'!B1334+"n/&gt;!$fR"</f>
        <v>#VALUE!</v>
      </c>
      <c r="AG54" t="e">
        <f>'All regions'!C1334+"n/&gt;!$fS"</f>
        <v>#VALUE!</v>
      </c>
      <c r="AH54" t="e">
        <f>'All regions'!D1334+"n/&gt;!$fT"</f>
        <v>#VALUE!</v>
      </c>
      <c r="AI54" t="e">
        <f>'All regions'!E1334+"n/&gt;!$fU"</f>
        <v>#VALUE!</v>
      </c>
      <c r="AJ54" t="e">
        <f>'All regions'!F1334+"n/&gt;!$fV"</f>
        <v>#VALUE!</v>
      </c>
      <c r="AK54" t="e">
        <f>'All regions'!G1334+"n/&gt;!$fW"</f>
        <v>#VALUE!</v>
      </c>
      <c r="AL54" t="e">
        <f>'All regions'!H1334+"n/&gt;!$fX"</f>
        <v>#VALUE!</v>
      </c>
      <c r="AM54" t="e">
        <f>'All regions'!I1334+"n/&gt;!$fY"</f>
        <v>#VALUE!</v>
      </c>
      <c r="AN54" t="e">
        <f>'All regions'!J1334+"n/&gt;!$fZ"</f>
        <v>#VALUE!</v>
      </c>
      <c r="AO54" t="e">
        <f>'All regions'!A1335+"n/&gt;!$f["</f>
        <v>#VALUE!</v>
      </c>
      <c r="AP54" t="e">
        <f>'All regions'!B1335+"n/&gt;!$f\"</f>
        <v>#VALUE!</v>
      </c>
      <c r="AQ54" t="e">
        <f>'All regions'!C1335+"n/&gt;!$f]"</f>
        <v>#VALUE!</v>
      </c>
      <c r="AR54" t="e">
        <f>'All regions'!D1335+"n/&gt;!$f^"</f>
        <v>#VALUE!</v>
      </c>
      <c r="AS54" t="e">
        <f>'All regions'!E1335+"n/&gt;!$f_"</f>
        <v>#VALUE!</v>
      </c>
      <c r="AT54" t="e">
        <f>'All regions'!F1335+"n/&gt;!$f`"</f>
        <v>#VALUE!</v>
      </c>
      <c r="AU54" t="e">
        <f>'All regions'!G1335+"n/&gt;!$fa"</f>
        <v>#VALUE!</v>
      </c>
      <c r="AV54" t="e">
        <f>'All regions'!H1335+"n/&gt;!$fb"</f>
        <v>#VALUE!</v>
      </c>
      <c r="AW54" t="e">
        <f>'All regions'!I1335+"n/&gt;!$fc"</f>
        <v>#VALUE!</v>
      </c>
      <c r="AX54" t="e">
        <f>'All regions'!J1335+"n/&gt;!$fd"</f>
        <v>#VALUE!</v>
      </c>
      <c r="AY54" t="e">
        <f>'All regions'!A1336+"n/&gt;!$fe"</f>
        <v>#VALUE!</v>
      </c>
      <c r="AZ54" t="e">
        <f>'All regions'!B1336+"n/&gt;!$ff"</f>
        <v>#VALUE!</v>
      </c>
      <c r="BA54" t="e">
        <f>'All regions'!C1336+"n/&gt;!$fg"</f>
        <v>#VALUE!</v>
      </c>
      <c r="BB54" t="e">
        <f>'All regions'!D1336+"n/&gt;!$fh"</f>
        <v>#VALUE!</v>
      </c>
      <c r="BC54" t="e">
        <f>'All regions'!E1336+"n/&gt;!$fi"</f>
        <v>#VALUE!</v>
      </c>
      <c r="BD54" t="e">
        <f>'All regions'!F1336+"n/&gt;!$fj"</f>
        <v>#VALUE!</v>
      </c>
      <c r="BE54" t="e">
        <f>'All regions'!G1336+"n/&gt;!$fk"</f>
        <v>#VALUE!</v>
      </c>
      <c r="BF54" t="e">
        <f>'All regions'!H1336+"n/&gt;!$fl"</f>
        <v>#VALUE!</v>
      </c>
      <c r="BG54" t="e">
        <f>'All regions'!I1336+"n/&gt;!$fm"</f>
        <v>#VALUE!</v>
      </c>
      <c r="BH54" t="e">
        <f>'All regions'!J1336+"n/&gt;!$fn"</f>
        <v>#VALUE!</v>
      </c>
      <c r="BI54" t="e">
        <f>'All regions'!A1337+"n/&gt;!$fo"</f>
        <v>#VALUE!</v>
      </c>
      <c r="BJ54" t="e">
        <f>'All regions'!B1337+"n/&gt;!$fp"</f>
        <v>#VALUE!</v>
      </c>
      <c r="BK54" t="e">
        <f>'All regions'!C1337+"n/&gt;!$fq"</f>
        <v>#VALUE!</v>
      </c>
      <c r="BL54" t="e">
        <f>'All regions'!D1337+"n/&gt;!$fr"</f>
        <v>#VALUE!</v>
      </c>
      <c r="BM54" t="e">
        <f>'All regions'!E1337+"n/&gt;!$fs"</f>
        <v>#VALUE!</v>
      </c>
      <c r="BN54" t="e">
        <f>'All regions'!F1337+"n/&gt;!$ft"</f>
        <v>#VALUE!</v>
      </c>
      <c r="BO54" t="e">
        <f>'All regions'!G1337+"n/&gt;!$fu"</f>
        <v>#VALUE!</v>
      </c>
      <c r="BP54" t="e">
        <f>'All regions'!H1337+"n/&gt;!$fv"</f>
        <v>#VALUE!</v>
      </c>
      <c r="BQ54" t="e">
        <f>'All regions'!I1337+"n/&gt;!$fw"</f>
        <v>#VALUE!</v>
      </c>
      <c r="BR54" t="e">
        <f>'All regions'!J1337+"n/&gt;!$fx"</f>
        <v>#VALUE!</v>
      </c>
      <c r="BS54" t="e">
        <f>'All regions'!A1338+"n/&gt;!$fy"</f>
        <v>#VALUE!</v>
      </c>
      <c r="BT54" t="e">
        <f>'All regions'!B1338+"n/&gt;!$fz"</f>
        <v>#VALUE!</v>
      </c>
      <c r="BU54" t="e">
        <f>'All regions'!C1338+"n/&gt;!$f{"</f>
        <v>#VALUE!</v>
      </c>
      <c r="BV54" t="e">
        <f>'All regions'!D1338+"n/&gt;!$f|"</f>
        <v>#VALUE!</v>
      </c>
      <c r="BW54" t="e">
        <f>'All regions'!E1338+"n/&gt;!$f}"</f>
        <v>#VALUE!</v>
      </c>
      <c r="BX54" t="e">
        <f>'All regions'!F1338+"n/&gt;!$f~"</f>
        <v>#VALUE!</v>
      </c>
      <c r="BY54" t="e">
        <f>'All regions'!G1338+"n/&gt;!$g#"</f>
        <v>#VALUE!</v>
      </c>
      <c r="BZ54" t="e">
        <f>'All regions'!H1338+"n/&gt;!$g$"</f>
        <v>#VALUE!</v>
      </c>
      <c r="CA54" t="e">
        <f>'All regions'!I1338+"n/&gt;!$g%"</f>
        <v>#VALUE!</v>
      </c>
      <c r="CB54" t="e">
        <f>'All regions'!J1338+"n/&gt;!$g&amp;"</f>
        <v>#VALUE!</v>
      </c>
      <c r="CC54" t="e">
        <f>'All regions'!A1339+"n/&gt;!$g'"</f>
        <v>#VALUE!</v>
      </c>
      <c r="CD54" t="e">
        <f>'All regions'!B1339+"n/&gt;!$g("</f>
        <v>#VALUE!</v>
      </c>
      <c r="CE54" t="e">
        <f>'All regions'!C1339+"n/&gt;!$g)"</f>
        <v>#VALUE!</v>
      </c>
      <c r="CF54" t="e">
        <f>'All regions'!D1339+"n/&gt;!$g."</f>
        <v>#VALUE!</v>
      </c>
      <c r="CG54" t="e">
        <f>'All regions'!E1339+"n/&gt;!$g/"</f>
        <v>#VALUE!</v>
      </c>
      <c r="CH54" t="e">
        <f>'All regions'!F1339+"n/&gt;!$g0"</f>
        <v>#VALUE!</v>
      </c>
      <c r="CI54" t="e">
        <f>'All regions'!G1339+"n/&gt;!$g1"</f>
        <v>#VALUE!</v>
      </c>
      <c r="CJ54" t="e">
        <f>'All regions'!H1339+"n/&gt;!$g2"</f>
        <v>#VALUE!</v>
      </c>
      <c r="CK54" t="e">
        <f>'All regions'!I1339+"n/&gt;!$g3"</f>
        <v>#VALUE!</v>
      </c>
      <c r="CL54" t="e">
        <f>'All regions'!J1339+"n/&gt;!$g4"</f>
        <v>#VALUE!</v>
      </c>
      <c r="CM54" t="e">
        <f>'All regions'!A1340+"n/&gt;!$g5"</f>
        <v>#VALUE!</v>
      </c>
      <c r="CN54" t="e">
        <f>'All regions'!B1340+"n/&gt;!$g6"</f>
        <v>#VALUE!</v>
      </c>
      <c r="CO54" t="e">
        <f>'All regions'!C1340+"n/&gt;!$g7"</f>
        <v>#VALUE!</v>
      </c>
      <c r="CP54" t="e">
        <f>'All regions'!D1340+"n/&gt;!$g8"</f>
        <v>#VALUE!</v>
      </c>
      <c r="CQ54" t="e">
        <f>'All regions'!E1340+"n/&gt;!$g9"</f>
        <v>#VALUE!</v>
      </c>
      <c r="CR54" t="e">
        <f>'All regions'!F1340+"n/&gt;!$g:"</f>
        <v>#VALUE!</v>
      </c>
      <c r="CS54" t="e">
        <f>'All regions'!G1340+"n/&gt;!$g;"</f>
        <v>#VALUE!</v>
      </c>
      <c r="CT54" t="e">
        <f>'All regions'!H1340+"n/&gt;!$g&lt;"</f>
        <v>#VALUE!</v>
      </c>
      <c r="CU54" t="e">
        <f>'All regions'!I1340+"n/&gt;!$g="</f>
        <v>#VALUE!</v>
      </c>
      <c r="CV54" t="e">
        <f>'All regions'!J1340+"n/&gt;!$g&gt;"</f>
        <v>#VALUE!</v>
      </c>
      <c r="CW54" t="e">
        <f>'All regions'!A1341+"n/&gt;!$g?"</f>
        <v>#VALUE!</v>
      </c>
      <c r="CX54" t="e">
        <f>'All regions'!B1341+"n/&gt;!$g@"</f>
        <v>#VALUE!</v>
      </c>
      <c r="CY54" t="e">
        <f>'All regions'!C1341+"n/&gt;!$gA"</f>
        <v>#VALUE!</v>
      </c>
      <c r="CZ54" t="e">
        <f>'All regions'!D1341+"n/&gt;!$gB"</f>
        <v>#VALUE!</v>
      </c>
      <c r="DA54" t="e">
        <f>'All regions'!E1341+"n/&gt;!$gC"</f>
        <v>#VALUE!</v>
      </c>
      <c r="DB54" t="e">
        <f>'All regions'!F1341+"n/&gt;!$gD"</f>
        <v>#VALUE!</v>
      </c>
      <c r="DC54" t="e">
        <f>'All regions'!G1341+"n/&gt;!$gE"</f>
        <v>#VALUE!</v>
      </c>
      <c r="DD54" t="e">
        <f>'All regions'!H1341+"n/&gt;!$gF"</f>
        <v>#VALUE!</v>
      </c>
      <c r="DE54" t="e">
        <f>'All regions'!I1341+"n/&gt;!$gG"</f>
        <v>#VALUE!</v>
      </c>
      <c r="DF54" t="e">
        <f>'All regions'!J1341+"n/&gt;!$gH"</f>
        <v>#VALUE!</v>
      </c>
      <c r="DG54" t="e">
        <f>'All regions'!A1342+"n/&gt;!$gI"</f>
        <v>#VALUE!</v>
      </c>
      <c r="DH54" t="e">
        <f>'All regions'!B1342+"n/&gt;!$gJ"</f>
        <v>#VALUE!</v>
      </c>
      <c r="DI54" t="e">
        <f>'All regions'!C1342+"n/&gt;!$gK"</f>
        <v>#VALUE!</v>
      </c>
      <c r="DJ54" t="e">
        <f>'All regions'!D1342+"n/&gt;!$gL"</f>
        <v>#VALUE!</v>
      </c>
      <c r="DK54" t="e">
        <f>'All regions'!E1342+"n/&gt;!$gM"</f>
        <v>#VALUE!</v>
      </c>
      <c r="DL54" t="e">
        <f>'All regions'!F1342+"n/&gt;!$gN"</f>
        <v>#VALUE!</v>
      </c>
      <c r="DM54" t="e">
        <f>'All regions'!G1342+"n/&gt;!$gO"</f>
        <v>#VALUE!</v>
      </c>
      <c r="DN54" t="e">
        <f>'All regions'!H1342+"n/&gt;!$gP"</f>
        <v>#VALUE!</v>
      </c>
      <c r="DO54" t="e">
        <f>'All regions'!I1342+"n/&gt;!$gQ"</f>
        <v>#VALUE!</v>
      </c>
      <c r="DP54" t="e">
        <f>'All regions'!J1342+"n/&gt;!$gR"</f>
        <v>#VALUE!</v>
      </c>
      <c r="DQ54" t="e">
        <f>'All regions'!A1343+"n/&gt;!$gS"</f>
        <v>#VALUE!</v>
      </c>
      <c r="DR54" t="e">
        <f>'All regions'!B1343+"n/&gt;!$gT"</f>
        <v>#VALUE!</v>
      </c>
      <c r="DS54" t="e">
        <f>'All regions'!C1343+"n/&gt;!$gU"</f>
        <v>#VALUE!</v>
      </c>
      <c r="DT54" t="e">
        <f>'All regions'!D1343+"n/&gt;!$gV"</f>
        <v>#VALUE!</v>
      </c>
      <c r="DU54" t="e">
        <f>'All regions'!E1343+"n/&gt;!$gW"</f>
        <v>#VALUE!</v>
      </c>
      <c r="DV54" t="e">
        <f>'All regions'!F1343+"n/&gt;!$gX"</f>
        <v>#VALUE!</v>
      </c>
      <c r="DW54" t="e">
        <f>'All regions'!G1343+"n/&gt;!$gY"</f>
        <v>#VALUE!</v>
      </c>
      <c r="DX54" t="e">
        <f>'All regions'!H1343+"n/&gt;!$gZ"</f>
        <v>#VALUE!</v>
      </c>
      <c r="DY54" t="e">
        <f>'All regions'!I1343+"n/&gt;!$g["</f>
        <v>#VALUE!</v>
      </c>
      <c r="DZ54" t="e">
        <f>'All regions'!J1343+"n/&gt;!$g\"</f>
        <v>#VALUE!</v>
      </c>
      <c r="EA54" t="e">
        <f>'All regions'!A1344+"n/&gt;!$g]"</f>
        <v>#VALUE!</v>
      </c>
      <c r="EB54" t="e">
        <f>'All regions'!B1344+"n/&gt;!$g^"</f>
        <v>#VALUE!</v>
      </c>
      <c r="EC54" t="e">
        <f>'All regions'!C1344+"n/&gt;!$g_"</f>
        <v>#VALUE!</v>
      </c>
      <c r="ED54" t="e">
        <f>'All regions'!D1344+"n/&gt;!$g`"</f>
        <v>#VALUE!</v>
      </c>
      <c r="EE54" t="e">
        <f>'All regions'!E1344+"n/&gt;!$ga"</f>
        <v>#VALUE!</v>
      </c>
      <c r="EF54" t="e">
        <f>'All regions'!F1344+"n/&gt;!$gb"</f>
        <v>#VALUE!</v>
      </c>
      <c r="EG54" t="e">
        <f>'All regions'!G1344+"n/&gt;!$gc"</f>
        <v>#VALUE!</v>
      </c>
      <c r="EH54" t="e">
        <f>'All regions'!H1344+"n/&gt;!$gd"</f>
        <v>#VALUE!</v>
      </c>
      <c r="EI54" t="e">
        <f>'All regions'!I1344+"n/&gt;!$ge"</f>
        <v>#VALUE!</v>
      </c>
      <c r="EJ54" t="e">
        <f>'All regions'!J1344+"n/&gt;!$gf"</f>
        <v>#VALUE!</v>
      </c>
      <c r="EK54" t="e">
        <f>'All regions'!A1345+"n/&gt;!$gg"</f>
        <v>#VALUE!</v>
      </c>
      <c r="EL54" t="e">
        <f>'All regions'!B1345+"n/&gt;!$gh"</f>
        <v>#VALUE!</v>
      </c>
      <c r="EM54" t="e">
        <f>'All regions'!C1345+"n/&gt;!$gi"</f>
        <v>#VALUE!</v>
      </c>
      <c r="EN54" t="e">
        <f>'All regions'!D1345+"n/&gt;!$gj"</f>
        <v>#VALUE!</v>
      </c>
      <c r="EO54" t="e">
        <f>'All regions'!E1345+"n/&gt;!$gk"</f>
        <v>#VALUE!</v>
      </c>
      <c r="EP54" t="e">
        <f>'All regions'!F1345+"n/&gt;!$gl"</f>
        <v>#VALUE!</v>
      </c>
      <c r="EQ54" t="e">
        <f>'All regions'!G1345+"n/&gt;!$gm"</f>
        <v>#VALUE!</v>
      </c>
      <c r="ER54" t="e">
        <f>'All regions'!H1345+"n/&gt;!$gn"</f>
        <v>#VALUE!</v>
      </c>
      <c r="ES54" t="e">
        <f>'All regions'!I1345+"n/&gt;!$go"</f>
        <v>#VALUE!</v>
      </c>
      <c r="ET54" t="e">
        <f>'All regions'!J1345+"n/&gt;!$gp"</f>
        <v>#VALUE!</v>
      </c>
      <c r="EU54" t="e">
        <f>'All regions'!A1346+"n/&gt;!$gq"</f>
        <v>#VALUE!</v>
      </c>
      <c r="EV54" t="e">
        <f>'All regions'!B1346+"n/&gt;!$gr"</f>
        <v>#VALUE!</v>
      </c>
      <c r="EW54" t="e">
        <f>'All regions'!C1346+"n/&gt;!$gs"</f>
        <v>#VALUE!</v>
      </c>
      <c r="EX54" t="e">
        <f>'All regions'!D1346+"n/&gt;!$gt"</f>
        <v>#VALUE!</v>
      </c>
      <c r="EY54" t="e">
        <f>'All regions'!E1346+"n/&gt;!$gu"</f>
        <v>#VALUE!</v>
      </c>
      <c r="EZ54" t="e">
        <f>'All regions'!F1346+"n/&gt;!$gv"</f>
        <v>#VALUE!</v>
      </c>
      <c r="FA54" t="e">
        <f>'All regions'!G1346+"n/&gt;!$gw"</f>
        <v>#VALUE!</v>
      </c>
      <c r="FB54" t="e">
        <f>'All regions'!H1346+"n/&gt;!$gx"</f>
        <v>#VALUE!</v>
      </c>
      <c r="FC54" t="e">
        <f>'All regions'!I1346+"n/&gt;!$gy"</f>
        <v>#VALUE!</v>
      </c>
      <c r="FD54" t="e">
        <f>'All regions'!J1346+"n/&gt;!$gz"</f>
        <v>#VALUE!</v>
      </c>
      <c r="FE54" t="e">
        <f>'All regions'!A1347+"n/&gt;!$g{"</f>
        <v>#VALUE!</v>
      </c>
      <c r="FF54" t="e">
        <f>'All regions'!B1347+"n/&gt;!$g|"</f>
        <v>#VALUE!</v>
      </c>
      <c r="FG54" t="e">
        <f>'All regions'!C1347+"n/&gt;!$g}"</f>
        <v>#VALUE!</v>
      </c>
      <c r="FH54" t="e">
        <f>'All regions'!D1347+"n/&gt;!$g~"</f>
        <v>#VALUE!</v>
      </c>
      <c r="FI54" t="e">
        <f>'All regions'!E1347+"n/&gt;!$h#"</f>
        <v>#VALUE!</v>
      </c>
      <c r="FJ54" t="e">
        <f>'All regions'!F1347+"n/&gt;!$h$"</f>
        <v>#VALUE!</v>
      </c>
      <c r="FK54" t="e">
        <f>'All regions'!G1347+"n/&gt;!$h%"</f>
        <v>#VALUE!</v>
      </c>
      <c r="FL54" t="e">
        <f>'All regions'!H1347+"n/&gt;!$h&amp;"</f>
        <v>#VALUE!</v>
      </c>
      <c r="FM54" t="e">
        <f>'All regions'!I1347+"n/&gt;!$h'"</f>
        <v>#VALUE!</v>
      </c>
      <c r="FN54" t="e">
        <f>'All regions'!J1347+"n/&gt;!$h("</f>
        <v>#VALUE!</v>
      </c>
      <c r="FO54" t="e">
        <f>'All regions'!A1348+"n/&gt;!$h)"</f>
        <v>#VALUE!</v>
      </c>
      <c r="FP54" t="e">
        <f>'All regions'!B1348+"n/&gt;!$h."</f>
        <v>#VALUE!</v>
      </c>
      <c r="FQ54" t="e">
        <f>'All regions'!C1348+"n/&gt;!$h/"</f>
        <v>#VALUE!</v>
      </c>
      <c r="FR54" t="e">
        <f>'All regions'!D1348+"n/&gt;!$h0"</f>
        <v>#VALUE!</v>
      </c>
      <c r="FS54" t="e">
        <f>'All regions'!E1348+"n/&gt;!$h1"</f>
        <v>#VALUE!</v>
      </c>
      <c r="FT54" t="e">
        <f>'All regions'!F1348+"n/&gt;!$h2"</f>
        <v>#VALUE!</v>
      </c>
      <c r="FU54" t="e">
        <f>'All regions'!G1348+"n/&gt;!$h3"</f>
        <v>#VALUE!</v>
      </c>
      <c r="FV54" t="e">
        <f>'All regions'!H1348+"n/&gt;!$h4"</f>
        <v>#VALUE!</v>
      </c>
      <c r="FW54" t="e">
        <f>'All regions'!I1348+"n/&gt;!$h5"</f>
        <v>#VALUE!</v>
      </c>
      <c r="FX54" t="e">
        <f>'All regions'!J1348+"n/&gt;!$h6"</f>
        <v>#VALUE!</v>
      </c>
      <c r="FY54" t="e">
        <f>'All regions'!A1349+"n/&gt;!$h7"</f>
        <v>#VALUE!</v>
      </c>
      <c r="FZ54" t="e">
        <f>'All regions'!B1349+"n/&gt;!$h8"</f>
        <v>#VALUE!</v>
      </c>
      <c r="GA54" t="e">
        <f>'All regions'!C1349+"n/&gt;!$h9"</f>
        <v>#VALUE!</v>
      </c>
      <c r="GB54" t="e">
        <f>'All regions'!D1349+"n/&gt;!$h:"</f>
        <v>#VALUE!</v>
      </c>
      <c r="GC54" t="e">
        <f>'All regions'!E1349+"n/&gt;!$h;"</f>
        <v>#VALUE!</v>
      </c>
      <c r="GD54" t="e">
        <f>'All regions'!F1349+"n/&gt;!$h&lt;"</f>
        <v>#VALUE!</v>
      </c>
      <c r="GE54" t="e">
        <f>'All regions'!G1349+"n/&gt;!$h="</f>
        <v>#VALUE!</v>
      </c>
      <c r="GF54" t="e">
        <f>'All regions'!H1349+"n/&gt;!$h&gt;"</f>
        <v>#VALUE!</v>
      </c>
      <c r="GG54" t="e">
        <f>'All regions'!I1349+"n/&gt;!$h?"</f>
        <v>#VALUE!</v>
      </c>
      <c r="GH54" t="e">
        <f>'All regions'!J1349+"n/&gt;!$h@"</f>
        <v>#VALUE!</v>
      </c>
      <c r="GI54" t="e">
        <f>'All regions'!A1350+"n/&gt;!$hA"</f>
        <v>#VALUE!</v>
      </c>
      <c r="GJ54" t="e">
        <f>'All regions'!B1350+"n/&gt;!$hB"</f>
        <v>#VALUE!</v>
      </c>
      <c r="GK54" t="e">
        <f>'All regions'!C1350+"n/&gt;!$hC"</f>
        <v>#VALUE!</v>
      </c>
      <c r="GL54" t="e">
        <f>'All regions'!D1350+"n/&gt;!$hD"</f>
        <v>#VALUE!</v>
      </c>
      <c r="GM54" t="e">
        <f>'All regions'!E1350+"n/&gt;!$hE"</f>
        <v>#VALUE!</v>
      </c>
      <c r="GN54" t="e">
        <f>'All regions'!F1350+"n/&gt;!$hF"</f>
        <v>#VALUE!</v>
      </c>
      <c r="GO54" t="e">
        <f>'All regions'!G1350+"n/&gt;!$hG"</f>
        <v>#VALUE!</v>
      </c>
      <c r="GP54" t="e">
        <f>'All regions'!H1350+"n/&gt;!$hH"</f>
        <v>#VALUE!</v>
      </c>
      <c r="GQ54" t="e">
        <f>'All regions'!I1350+"n/&gt;!$hI"</f>
        <v>#VALUE!</v>
      </c>
      <c r="GR54" t="e">
        <f>'All regions'!J1350+"n/&gt;!$hJ"</f>
        <v>#VALUE!</v>
      </c>
      <c r="GS54" t="e">
        <f>'All regions'!A1351+"n/&gt;!$hK"</f>
        <v>#VALUE!</v>
      </c>
      <c r="GT54" t="e">
        <f>'All regions'!B1351+"n/&gt;!$hL"</f>
        <v>#VALUE!</v>
      </c>
      <c r="GU54" t="e">
        <f>'All regions'!C1351+"n/&gt;!$hM"</f>
        <v>#VALUE!</v>
      </c>
      <c r="GV54" t="e">
        <f>'All regions'!D1351+"n/&gt;!$hN"</f>
        <v>#VALUE!</v>
      </c>
      <c r="GW54" t="e">
        <f>'All regions'!E1351+"n/&gt;!$hO"</f>
        <v>#VALUE!</v>
      </c>
      <c r="GX54" t="e">
        <f>'All regions'!F1351+"n/&gt;!$hP"</f>
        <v>#VALUE!</v>
      </c>
      <c r="GY54" t="e">
        <f>'All regions'!G1351+"n/&gt;!$hQ"</f>
        <v>#VALUE!</v>
      </c>
      <c r="GZ54" t="e">
        <f>'All regions'!H1351+"n/&gt;!$hR"</f>
        <v>#VALUE!</v>
      </c>
      <c r="HA54" t="e">
        <f>'All regions'!I1351+"n/&gt;!$hS"</f>
        <v>#VALUE!</v>
      </c>
      <c r="HB54" t="e">
        <f>'All regions'!J1351+"n/&gt;!$hT"</f>
        <v>#VALUE!</v>
      </c>
      <c r="HC54" t="e">
        <f>'All regions'!A1352+"n/&gt;!$hU"</f>
        <v>#VALUE!</v>
      </c>
      <c r="HD54" t="e">
        <f>'All regions'!B1352+"n/&gt;!$hV"</f>
        <v>#VALUE!</v>
      </c>
      <c r="HE54" t="e">
        <f>'All regions'!C1352+"n/&gt;!$hW"</f>
        <v>#VALUE!</v>
      </c>
      <c r="HF54" t="e">
        <f>'All regions'!D1352+"n/&gt;!$hX"</f>
        <v>#VALUE!</v>
      </c>
      <c r="HG54" t="e">
        <f>'All regions'!E1352+"n/&gt;!$hY"</f>
        <v>#VALUE!</v>
      </c>
      <c r="HH54" t="e">
        <f>'All regions'!F1352+"n/&gt;!$hZ"</f>
        <v>#VALUE!</v>
      </c>
      <c r="HI54" t="e">
        <f>'All regions'!G1352+"n/&gt;!$h["</f>
        <v>#VALUE!</v>
      </c>
      <c r="HJ54" t="e">
        <f>'All regions'!H1352+"n/&gt;!$h\"</f>
        <v>#VALUE!</v>
      </c>
      <c r="HK54" t="e">
        <f>'All regions'!I1352+"n/&gt;!$h]"</f>
        <v>#VALUE!</v>
      </c>
      <c r="HL54" t="e">
        <f>'All regions'!J1352+"n/&gt;!$h^"</f>
        <v>#VALUE!</v>
      </c>
      <c r="HM54" t="e">
        <f>'All regions'!A1353+"n/&gt;!$h_"</f>
        <v>#VALUE!</v>
      </c>
      <c r="HN54" t="e">
        <f>'All regions'!B1353+"n/&gt;!$h`"</f>
        <v>#VALUE!</v>
      </c>
      <c r="HO54" t="e">
        <f>'All regions'!C1353+"n/&gt;!$ha"</f>
        <v>#VALUE!</v>
      </c>
      <c r="HP54" t="e">
        <f>'All regions'!D1353+"n/&gt;!$hb"</f>
        <v>#VALUE!</v>
      </c>
      <c r="HQ54" t="e">
        <f>'All regions'!E1353+"n/&gt;!$hc"</f>
        <v>#VALUE!</v>
      </c>
      <c r="HR54" t="e">
        <f>'All regions'!F1353+"n/&gt;!$hd"</f>
        <v>#VALUE!</v>
      </c>
      <c r="HS54" t="e">
        <f>'All regions'!G1353+"n/&gt;!$he"</f>
        <v>#VALUE!</v>
      </c>
      <c r="HT54" t="e">
        <f>'All regions'!H1353+"n/&gt;!$hf"</f>
        <v>#VALUE!</v>
      </c>
      <c r="HU54" t="e">
        <f>'All regions'!I1353+"n/&gt;!$hg"</f>
        <v>#VALUE!</v>
      </c>
      <c r="HV54" t="e">
        <f>'All regions'!J1353+"n/&gt;!$hh"</f>
        <v>#VALUE!</v>
      </c>
      <c r="HW54" t="e">
        <f>'All regions'!A1354+"n/&gt;!$hi"</f>
        <v>#VALUE!</v>
      </c>
      <c r="HX54" t="e">
        <f>'All regions'!B1354+"n/&gt;!$hj"</f>
        <v>#VALUE!</v>
      </c>
      <c r="HY54" t="e">
        <f>'All regions'!C1354+"n/&gt;!$hk"</f>
        <v>#VALUE!</v>
      </c>
      <c r="HZ54" t="e">
        <f>'All regions'!D1354+"n/&gt;!$hl"</f>
        <v>#VALUE!</v>
      </c>
      <c r="IA54" t="e">
        <f>'All regions'!E1354+"n/&gt;!$hm"</f>
        <v>#VALUE!</v>
      </c>
      <c r="IB54" t="e">
        <f>'All regions'!F1354+"n/&gt;!$hn"</f>
        <v>#VALUE!</v>
      </c>
      <c r="IC54" t="e">
        <f>'All regions'!G1354+"n/&gt;!$ho"</f>
        <v>#VALUE!</v>
      </c>
      <c r="ID54" t="e">
        <f>'All regions'!H1354+"n/&gt;!$hp"</f>
        <v>#VALUE!</v>
      </c>
      <c r="IE54" t="e">
        <f>'All regions'!I1354+"n/&gt;!$hq"</f>
        <v>#VALUE!</v>
      </c>
      <c r="IF54" t="e">
        <f>'All regions'!J1354+"n/&gt;!$hr"</f>
        <v>#VALUE!</v>
      </c>
      <c r="IG54" t="e">
        <f>'All regions'!A1355+"n/&gt;!$hs"</f>
        <v>#VALUE!</v>
      </c>
      <c r="IH54" t="e">
        <f>'All regions'!B1355+"n/&gt;!$ht"</f>
        <v>#VALUE!</v>
      </c>
      <c r="II54" t="e">
        <f>'All regions'!C1355+"n/&gt;!$hu"</f>
        <v>#VALUE!</v>
      </c>
      <c r="IJ54" t="e">
        <f>'All regions'!D1355+"n/&gt;!$hv"</f>
        <v>#VALUE!</v>
      </c>
      <c r="IK54" t="e">
        <f>'All regions'!E1355+"n/&gt;!$hw"</f>
        <v>#VALUE!</v>
      </c>
      <c r="IL54" t="e">
        <f>'All regions'!F1355+"n/&gt;!$hx"</f>
        <v>#VALUE!</v>
      </c>
      <c r="IM54" t="e">
        <f>'All regions'!G1355+"n/&gt;!$hy"</f>
        <v>#VALUE!</v>
      </c>
      <c r="IN54" t="e">
        <f>'All regions'!H1355+"n/&gt;!$hz"</f>
        <v>#VALUE!</v>
      </c>
      <c r="IO54" t="e">
        <f>'All regions'!I1355+"n/&gt;!$h{"</f>
        <v>#VALUE!</v>
      </c>
      <c r="IP54" t="e">
        <f>'All regions'!J1355+"n/&gt;!$h|"</f>
        <v>#VALUE!</v>
      </c>
      <c r="IQ54" t="e">
        <f>'All regions'!A1356+"n/&gt;!$h}"</f>
        <v>#VALUE!</v>
      </c>
      <c r="IR54" t="e">
        <f>'All regions'!B1356+"n/&gt;!$h~"</f>
        <v>#VALUE!</v>
      </c>
      <c r="IS54" t="e">
        <f>'All regions'!C1356+"n/&gt;!$i#"</f>
        <v>#VALUE!</v>
      </c>
      <c r="IT54" t="e">
        <f>'All regions'!D1356+"n/&gt;!$i$"</f>
        <v>#VALUE!</v>
      </c>
      <c r="IU54" t="e">
        <f>'All regions'!E1356+"n/&gt;!$i%"</f>
        <v>#VALUE!</v>
      </c>
      <c r="IV54" t="e">
        <f>'All regions'!F1356+"n/&gt;!$i&amp;"</f>
        <v>#VALUE!</v>
      </c>
    </row>
    <row r="55" spans="6:256" x14ac:dyDescent="0.35">
      <c r="F55" t="e">
        <f>'All regions'!G1356+"n/&gt;!$i'"</f>
        <v>#VALUE!</v>
      </c>
      <c r="G55" t="e">
        <f>'All regions'!H1356+"n/&gt;!$i("</f>
        <v>#VALUE!</v>
      </c>
      <c r="H55" t="e">
        <f>'All regions'!I1356+"n/&gt;!$i)"</f>
        <v>#VALUE!</v>
      </c>
      <c r="I55" t="e">
        <f>'All regions'!J1356+"n/&gt;!$i."</f>
        <v>#VALUE!</v>
      </c>
      <c r="J55" t="e">
        <f>'All regions'!A1357+"n/&gt;!$i/"</f>
        <v>#VALUE!</v>
      </c>
      <c r="K55" t="e">
        <f>'All regions'!B1357+"n/&gt;!$i0"</f>
        <v>#VALUE!</v>
      </c>
      <c r="L55" t="e">
        <f>'All regions'!C1357+"n/&gt;!$i1"</f>
        <v>#VALUE!</v>
      </c>
      <c r="M55" t="e">
        <f>'All regions'!D1357+"n/&gt;!$i2"</f>
        <v>#VALUE!</v>
      </c>
      <c r="N55" t="e">
        <f>'All regions'!E1357+"n/&gt;!$i3"</f>
        <v>#VALUE!</v>
      </c>
      <c r="O55" t="e">
        <f>'All regions'!F1357+"n/&gt;!$i4"</f>
        <v>#VALUE!</v>
      </c>
      <c r="P55" t="e">
        <f>'All regions'!G1357+"n/&gt;!$i5"</f>
        <v>#VALUE!</v>
      </c>
      <c r="Q55" t="e">
        <f>'All regions'!H1357+"n/&gt;!$i6"</f>
        <v>#VALUE!</v>
      </c>
      <c r="R55" t="e">
        <f>'All regions'!I1357+"n/&gt;!$i7"</f>
        <v>#VALUE!</v>
      </c>
      <c r="S55" t="e">
        <f>'All regions'!J1357+"n/&gt;!$i8"</f>
        <v>#VALUE!</v>
      </c>
      <c r="T55" t="e">
        <f>'All regions'!A1358+"n/&gt;!$i9"</f>
        <v>#VALUE!</v>
      </c>
      <c r="U55" t="e">
        <f>'All regions'!B1358+"n/&gt;!$i:"</f>
        <v>#VALUE!</v>
      </c>
      <c r="V55" t="e">
        <f>'All regions'!C1358+"n/&gt;!$i;"</f>
        <v>#VALUE!</v>
      </c>
      <c r="W55" t="e">
        <f>'All regions'!D1358+"n/&gt;!$i&lt;"</f>
        <v>#VALUE!</v>
      </c>
      <c r="X55" t="e">
        <f>'All regions'!E1358+"n/&gt;!$i="</f>
        <v>#VALUE!</v>
      </c>
      <c r="Y55" t="e">
        <f>'All regions'!F1358+"n/&gt;!$i&gt;"</f>
        <v>#VALUE!</v>
      </c>
      <c r="Z55" t="e">
        <f>'All regions'!G1358+"n/&gt;!$i?"</f>
        <v>#VALUE!</v>
      </c>
      <c r="AA55" t="e">
        <f>'All regions'!H1358+"n/&gt;!$i@"</f>
        <v>#VALUE!</v>
      </c>
      <c r="AB55" t="e">
        <f>'All regions'!I1358+"n/&gt;!$iA"</f>
        <v>#VALUE!</v>
      </c>
      <c r="AC55" t="e">
        <f>'All regions'!J1358+"n/&gt;!$iB"</f>
        <v>#VALUE!</v>
      </c>
      <c r="AD55" t="e">
        <f>'All regions'!A1359+"n/&gt;!$iC"</f>
        <v>#VALUE!</v>
      </c>
      <c r="AE55" t="e">
        <f>'All regions'!B1359+"n/&gt;!$iD"</f>
        <v>#VALUE!</v>
      </c>
      <c r="AF55" t="e">
        <f>'All regions'!C1359+"n/&gt;!$iE"</f>
        <v>#VALUE!</v>
      </c>
      <c r="AG55" t="e">
        <f>'All regions'!D1359+"n/&gt;!$iF"</f>
        <v>#VALUE!</v>
      </c>
      <c r="AH55" t="e">
        <f>'All regions'!E1359+"n/&gt;!$iG"</f>
        <v>#VALUE!</v>
      </c>
      <c r="AI55" t="e">
        <f>'All regions'!F1359+"n/&gt;!$iH"</f>
        <v>#VALUE!</v>
      </c>
      <c r="AJ55" t="e">
        <f>'All regions'!G1359+"n/&gt;!$iI"</f>
        <v>#VALUE!</v>
      </c>
      <c r="AK55" t="e">
        <f>'All regions'!H1359+"n/&gt;!$iJ"</f>
        <v>#VALUE!</v>
      </c>
      <c r="AL55" t="e">
        <f>'All regions'!I1359+"n/&gt;!$iK"</f>
        <v>#VALUE!</v>
      </c>
      <c r="AM55" t="e">
        <f>'All regions'!J1359+"n/&gt;!$iL"</f>
        <v>#VALUE!</v>
      </c>
      <c r="AN55" t="e">
        <f>'All regions'!A1360+"n/&gt;!$iM"</f>
        <v>#VALUE!</v>
      </c>
      <c r="AO55" t="e">
        <f>'All regions'!B1360+"n/&gt;!$iN"</f>
        <v>#VALUE!</v>
      </c>
      <c r="AP55" t="e">
        <f>'All regions'!C1360+"n/&gt;!$iO"</f>
        <v>#VALUE!</v>
      </c>
      <c r="AQ55" t="e">
        <f>'All regions'!D1360+"n/&gt;!$iP"</f>
        <v>#VALUE!</v>
      </c>
      <c r="AR55" t="e">
        <f>'All regions'!E1360+"n/&gt;!$iQ"</f>
        <v>#VALUE!</v>
      </c>
      <c r="AS55" t="e">
        <f>'All regions'!F1360+"n/&gt;!$iR"</f>
        <v>#VALUE!</v>
      </c>
      <c r="AT55" t="e">
        <f>'All regions'!G1360+"n/&gt;!$iS"</f>
        <v>#VALUE!</v>
      </c>
      <c r="AU55" t="e">
        <f>'All regions'!H1360+"n/&gt;!$iT"</f>
        <v>#VALUE!</v>
      </c>
      <c r="AV55" t="e">
        <f>'All regions'!I1360+"n/&gt;!$iU"</f>
        <v>#VALUE!</v>
      </c>
      <c r="AW55" t="e">
        <f>'All regions'!J1360+"n/&gt;!$iV"</f>
        <v>#VALUE!</v>
      </c>
      <c r="AX55" t="e">
        <f>'All regions'!A1361+"n/&gt;!$iW"</f>
        <v>#VALUE!</v>
      </c>
      <c r="AY55" t="e">
        <f>'All regions'!B1361+"n/&gt;!$iX"</f>
        <v>#VALUE!</v>
      </c>
      <c r="AZ55" t="e">
        <f>'All regions'!C1361+"n/&gt;!$iY"</f>
        <v>#VALUE!</v>
      </c>
      <c r="BA55" t="e">
        <f>'All regions'!D1361+"n/&gt;!$iZ"</f>
        <v>#VALUE!</v>
      </c>
      <c r="BB55" t="e">
        <f>'All regions'!E1361+"n/&gt;!$i["</f>
        <v>#VALUE!</v>
      </c>
      <c r="BC55" t="e">
        <f>'All regions'!F1361+"n/&gt;!$i\"</f>
        <v>#VALUE!</v>
      </c>
      <c r="BD55" t="e">
        <f>'All regions'!G1361+"n/&gt;!$i]"</f>
        <v>#VALUE!</v>
      </c>
      <c r="BE55" t="e">
        <f>'All regions'!H1361+"n/&gt;!$i^"</f>
        <v>#VALUE!</v>
      </c>
      <c r="BF55" t="e">
        <f>'All regions'!I1361+"n/&gt;!$i_"</f>
        <v>#VALUE!</v>
      </c>
      <c r="BG55" t="e">
        <f>'All regions'!J1361+"n/&gt;!$i`"</f>
        <v>#VALUE!</v>
      </c>
      <c r="BH55" t="e">
        <f>'All regions'!A1362+"n/&gt;!$ia"</f>
        <v>#VALUE!</v>
      </c>
      <c r="BI55" t="e">
        <f>'All regions'!B1362+"n/&gt;!$ib"</f>
        <v>#VALUE!</v>
      </c>
      <c r="BJ55" t="e">
        <f>'All regions'!C1362+"n/&gt;!$ic"</f>
        <v>#VALUE!</v>
      </c>
      <c r="BK55" t="e">
        <f>'All regions'!D1362+"n/&gt;!$id"</f>
        <v>#VALUE!</v>
      </c>
      <c r="BL55" t="e">
        <f>'All regions'!E1362+"n/&gt;!$ie"</f>
        <v>#VALUE!</v>
      </c>
      <c r="BM55" t="e">
        <f>'All regions'!F1362+"n/&gt;!$if"</f>
        <v>#VALUE!</v>
      </c>
      <c r="BN55" t="e">
        <f>'All regions'!G1362+"n/&gt;!$ig"</f>
        <v>#VALUE!</v>
      </c>
      <c r="BO55" t="e">
        <f>'All regions'!H1362+"n/&gt;!$ih"</f>
        <v>#VALUE!</v>
      </c>
      <c r="BP55" t="e">
        <f>'All regions'!I1362+"n/&gt;!$ii"</f>
        <v>#VALUE!</v>
      </c>
      <c r="BQ55" t="e">
        <f>'All regions'!J1362+"n/&gt;!$ij"</f>
        <v>#VALUE!</v>
      </c>
      <c r="BR55" t="e">
        <f>'All regions'!A1363+"n/&gt;!$ik"</f>
        <v>#VALUE!</v>
      </c>
      <c r="BS55" t="e">
        <f>'All regions'!B1363+"n/&gt;!$il"</f>
        <v>#VALUE!</v>
      </c>
      <c r="BT55" t="e">
        <f>'All regions'!C1363+"n/&gt;!$im"</f>
        <v>#VALUE!</v>
      </c>
      <c r="BU55" t="e">
        <f>'All regions'!D1363+"n/&gt;!$in"</f>
        <v>#VALUE!</v>
      </c>
      <c r="BV55" t="e">
        <f>'All regions'!E1363+"n/&gt;!$io"</f>
        <v>#VALUE!</v>
      </c>
      <c r="BW55" t="e">
        <f>'All regions'!F1363+"n/&gt;!$ip"</f>
        <v>#VALUE!</v>
      </c>
      <c r="BX55" t="e">
        <f>'All regions'!G1363+"n/&gt;!$iq"</f>
        <v>#VALUE!</v>
      </c>
      <c r="BY55" t="e">
        <f>'All regions'!H1363+"n/&gt;!$ir"</f>
        <v>#VALUE!</v>
      </c>
      <c r="BZ55" t="e">
        <f>'All regions'!I1363+"n/&gt;!$is"</f>
        <v>#VALUE!</v>
      </c>
      <c r="CA55" t="e">
        <f>'All regions'!J1363+"n/&gt;!$it"</f>
        <v>#VALUE!</v>
      </c>
      <c r="CB55" t="e">
        <f>'All regions'!A1364+"n/&gt;!$iu"</f>
        <v>#VALUE!</v>
      </c>
      <c r="CC55" t="e">
        <f>'All regions'!B1364+"n/&gt;!$iv"</f>
        <v>#VALUE!</v>
      </c>
      <c r="CD55" t="e">
        <f>'All regions'!C1364+"n/&gt;!$iw"</f>
        <v>#VALUE!</v>
      </c>
      <c r="CE55" t="e">
        <f>'All regions'!D1364+"n/&gt;!$ix"</f>
        <v>#VALUE!</v>
      </c>
      <c r="CF55" t="e">
        <f>'All regions'!E1364+"n/&gt;!$iy"</f>
        <v>#VALUE!</v>
      </c>
      <c r="CG55" t="e">
        <f>'All regions'!F1364+"n/&gt;!$iz"</f>
        <v>#VALUE!</v>
      </c>
      <c r="CH55" t="e">
        <f>'All regions'!G1364+"n/&gt;!$i{"</f>
        <v>#VALUE!</v>
      </c>
      <c r="CI55" t="e">
        <f>'All regions'!H1364+"n/&gt;!$i|"</f>
        <v>#VALUE!</v>
      </c>
      <c r="CJ55" t="e">
        <f>'All regions'!I1364+"n/&gt;!$i}"</f>
        <v>#VALUE!</v>
      </c>
      <c r="CK55" t="e">
        <f>'All regions'!J1364+"n/&gt;!$i~"</f>
        <v>#VALUE!</v>
      </c>
      <c r="CL55" t="e">
        <f>'All regions'!A1365+"n/&gt;!$j#"</f>
        <v>#VALUE!</v>
      </c>
      <c r="CM55" t="e">
        <f>'All regions'!B1365+"n/&gt;!$j$"</f>
        <v>#VALUE!</v>
      </c>
      <c r="CN55" t="e">
        <f>'All regions'!C1365+"n/&gt;!$j%"</f>
        <v>#VALUE!</v>
      </c>
      <c r="CO55" t="e">
        <f>'All regions'!D1365+"n/&gt;!$j&amp;"</f>
        <v>#VALUE!</v>
      </c>
      <c r="CP55" t="e">
        <f>'All regions'!E1365+"n/&gt;!$j'"</f>
        <v>#VALUE!</v>
      </c>
      <c r="CQ55" t="e">
        <f>'All regions'!F1365+"n/&gt;!$j("</f>
        <v>#VALUE!</v>
      </c>
      <c r="CR55" t="e">
        <f>'All regions'!G1365+"n/&gt;!$j)"</f>
        <v>#VALUE!</v>
      </c>
      <c r="CS55" t="e">
        <f>'All regions'!H1365+"n/&gt;!$j."</f>
        <v>#VALUE!</v>
      </c>
      <c r="CT55" t="e">
        <f>'All regions'!I1365+"n/&gt;!$j/"</f>
        <v>#VALUE!</v>
      </c>
      <c r="CU55" t="e">
        <f>'All regions'!J1365+"n/&gt;!$j0"</f>
        <v>#VALUE!</v>
      </c>
      <c r="CV55" t="e">
        <f>'All regions'!A1366+"n/&gt;!$j1"</f>
        <v>#VALUE!</v>
      </c>
      <c r="CW55" t="e">
        <f>'All regions'!B1366+"n/&gt;!$j2"</f>
        <v>#VALUE!</v>
      </c>
      <c r="CX55" t="e">
        <f>'All regions'!C1366+"n/&gt;!$j3"</f>
        <v>#VALUE!</v>
      </c>
      <c r="CY55" t="e">
        <f>'All regions'!D1366+"n/&gt;!$j4"</f>
        <v>#VALUE!</v>
      </c>
      <c r="CZ55" t="e">
        <f>'All regions'!E1366+"n/&gt;!$j5"</f>
        <v>#VALUE!</v>
      </c>
      <c r="DA55" t="e">
        <f>'All regions'!F1366+"n/&gt;!$j6"</f>
        <v>#VALUE!</v>
      </c>
      <c r="DB55" t="e">
        <f>'All regions'!G1366+"n/&gt;!$j7"</f>
        <v>#VALUE!</v>
      </c>
      <c r="DC55" t="e">
        <f>'All regions'!H1366+"n/&gt;!$j8"</f>
        <v>#VALUE!</v>
      </c>
      <c r="DD55" t="e">
        <f>'All regions'!I1366+"n/&gt;!$j9"</f>
        <v>#VALUE!</v>
      </c>
      <c r="DE55" t="e">
        <f>'All regions'!J1366+"n/&gt;!$j:"</f>
        <v>#VALUE!</v>
      </c>
      <c r="DF55" t="e">
        <f>'All regions'!A1367+"n/&gt;!$j;"</f>
        <v>#VALUE!</v>
      </c>
      <c r="DG55" t="e">
        <f>'All regions'!B1367+"n/&gt;!$j&lt;"</f>
        <v>#VALUE!</v>
      </c>
      <c r="DH55" t="e">
        <f>'All regions'!C1367+"n/&gt;!$j="</f>
        <v>#VALUE!</v>
      </c>
      <c r="DI55" t="e">
        <f>'All regions'!D1367+"n/&gt;!$j&gt;"</f>
        <v>#VALUE!</v>
      </c>
      <c r="DJ55" t="e">
        <f>'All regions'!E1367+"n/&gt;!$j?"</f>
        <v>#VALUE!</v>
      </c>
      <c r="DK55" t="e">
        <f>'All regions'!F1367+"n/&gt;!$j@"</f>
        <v>#VALUE!</v>
      </c>
      <c r="DL55" t="e">
        <f>'All regions'!G1367+"n/&gt;!$jA"</f>
        <v>#VALUE!</v>
      </c>
      <c r="DM55" t="e">
        <f>'All regions'!H1367+"n/&gt;!$jB"</f>
        <v>#VALUE!</v>
      </c>
      <c r="DN55" t="e">
        <f>'All regions'!I1367+"n/&gt;!$jC"</f>
        <v>#VALUE!</v>
      </c>
      <c r="DO55" t="e">
        <f>'All regions'!J1367+"n/&gt;!$jD"</f>
        <v>#VALUE!</v>
      </c>
      <c r="DP55" t="e">
        <f>'All regions'!A1368+"n/&gt;!$jE"</f>
        <v>#VALUE!</v>
      </c>
      <c r="DQ55" t="e">
        <f>'All regions'!B1368+"n/&gt;!$jF"</f>
        <v>#VALUE!</v>
      </c>
      <c r="DR55" t="e">
        <f>'All regions'!C1368+"n/&gt;!$jG"</f>
        <v>#VALUE!</v>
      </c>
      <c r="DS55" t="e">
        <f>'All regions'!D1368+"n/&gt;!$jH"</f>
        <v>#VALUE!</v>
      </c>
      <c r="DT55" t="e">
        <f>'All regions'!E1368+"n/&gt;!$jI"</f>
        <v>#VALUE!</v>
      </c>
      <c r="DU55" t="e">
        <f>'All regions'!F1368+"n/&gt;!$jJ"</f>
        <v>#VALUE!</v>
      </c>
      <c r="DV55" t="e">
        <f>'All regions'!G1368+"n/&gt;!$jK"</f>
        <v>#VALUE!</v>
      </c>
      <c r="DW55" t="e">
        <f>'All regions'!H1368+"n/&gt;!$jL"</f>
        <v>#VALUE!</v>
      </c>
      <c r="DX55" t="e">
        <f>'All regions'!I1368+"n/&gt;!$jM"</f>
        <v>#VALUE!</v>
      </c>
      <c r="DY55" t="e">
        <f>'All regions'!J1368+"n/&gt;!$jN"</f>
        <v>#VALUE!</v>
      </c>
      <c r="DZ55" t="e">
        <f>'All regions'!A1369+"n/&gt;!$jO"</f>
        <v>#VALUE!</v>
      </c>
      <c r="EA55" t="e">
        <f>'All regions'!B1369+"n/&gt;!$jP"</f>
        <v>#VALUE!</v>
      </c>
      <c r="EB55" t="e">
        <f>'All regions'!C1369+"n/&gt;!$jQ"</f>
        <v>#VALUE!</v>
      </c>
      <c r="EC55" t="e">
        <f>'All regions'!D1369+"n/&gt;!$jR"</f>
        <v>#VALUE!</v>
      </c>
      <c r="ED55" t="e">
        <f>'All regions'!E1369+"n/&gt;!$jS"</f>
        <v>#VALUE!</v>
      </c>
      <c r="EE55" t="e">
        <f>'All regions'!F1369+"n/&gt;!$jT"</f>
        <v>#VALUE!</v>
      </c>
      <c r="EF55" t="e">
        <f>'All regions'!G1369+"n/&gt;!$jU"</f>
        <v>#VALUE!</v>
      </c>
      <c r="EG55" t="e">
        <f>'All regions'!H1369+"n/&gt;!$jV"</f>
        <v>#VALUE!</v>
      </c>
      <c r="EH55" t="e">
        <f>'All regions'!I1369+"n/&gt;!$jW"</f>
        <v>#VALUE!</v>
      </c>
      <c r="EI55" t="e">
        <f>'All regions'!J1369+"n/&gt;!$jX"</f>
        <v>#VALUE!</v>
      </c>
      <c r="EJ55" t="e">
        <f>'All regions'!A1370+"n/&gt;!$jY"</f>
        <v>#VALUE!</v>
      </c>
      <c r="EK55" t="e">
        <f>'All regions'!B1370+"n/&gt;!$jZ"</f>
        <v>#VALUE!</v>
      </c>
      <c r="EL55" t="e">
        <f>'All regions'!C1370+"n/&gt;!$j["</f>
        <v>#VALUE!</v>
      </c>
      <c r="EM55" t="e">
        <f>'All regions'!D1370+"n/&gt;!$j\"</f>
        <v>#VALUE!</v>
      </c>
      <c r="EN55" t="e">
        <f>'All regions'!E1370+"n/&gt;!$j]"</f>
        <v>#VALUE!</v>
      </c>
      <c r="EO55" t="e">
        <f>'All regions'!F1370+"n/&gt;!$j^"</f>
        <v>#VALUE!</v>
      </c>
      <c r="EP55" t="e">
        <f>'All regions'!G1370+"n/&gt;!$j_"</f>
        <v>#VALUE!</v>
      </c>
      <c r="EQ55" t="e">
        <f>'All regions'!H1370+"n/&gt;!$j`"</f>
        <v>#VALUE!</v>
      </c>
      <c r="ER55" t="e">
        <f>'All regions'!I1370+"n/&gt;!$ja"</f>
        <v>#VALUE!</v>
      </c>
      <c r="ES55" t="e">
        <f>'All regions'!J1370+"n/&gt;!$jb"</f>
        <v>#VALUE!</v>
      </c>
      <c r="ET55" t="e">
        <f>'All regions'!A1371+"n/&gt;!$jc"</f>
        <v>#VALUE!</v>
      </c>
      <c r="EU55" t="e">
        <f>'All regions'!B1371+"n/&gt;!$jd"</f>
        <v>#VALUE!</v>
      </c>
      <c r="EV55" t="e">
        <f>'All regions'!C1371+"n/&gt;!$je"</f>
        <v>#VALUE!</v>
      </c>
      <c r="EW55" t="e">
        <f>'All regions'!D1371+"n/&gt;!$jf"</f>
        <v>#VALUE!</v>
      </c>
      <c r="EX55" t="e">
        <f>'All regions'!E1371+"n/&gt;!$jg"</f>
        <v>#VALUE!</v>
      </c>
      <c r="EY55" t="e">
        <f>'All regions'!F1371+"n/&gt;!$jh"</f>
        <v>#VALUE!</v>
      </c>
      <c r="EZ55" t="e">
        <f>'All regions'!G1371+"n/&gt;!$ji"</f>
        <v>#VALUE!</v>
      </c>
      <c r="FA55" t="e">
        <f>'All regions'!H1371+"n/&gt;!$jj"</f>
        <v>#VALUE!</v>
      </c>
      <c r="FB55" t="e">
        <f>'All regions'!I1371+"n/&gt;!$jk"</f>
        <v>#VALUE!</v>
      </c>
      <c r="FC55" t="e">
        <f>'All regions'!J1371+"n/&gt;!$jl"</f>
        <v>#VALUE!</v>
      </c>
      <c r="FD55" t="e">
        <f>'All regions'!A1372+"n/&gt;!$jm"</f>
        <v>#VALUE!</v>
      </c>
      <c r="FE55" t="e">
        <f>'All regions'!B1372+"n/&gt;!$jn"</f>
        <v>#VALUE!</v>
      </c>
      <c r="FF55" t="e">
        <f>'All regions'!C1372+"n/&gt;!$jo"</f>
        <v>#VALUE!</v>
      </c>
      <c r="FG55" t="e">
        <f>'All regions'!D1372+"n/&gt;!$jp"</f>
        <v>#VALUE!</v>
      </c>
      <c r="FH55" t="e">
        <f>'All regions'!E1372+"n/&gt;!$jq"</f>
        <v>#VALUE!</v>
      </c>
      <c r="FI55" t="e">
        <f>'All regions'!F1372+"n/&gt;!$jr"</f>
        <v>#VALUE!</v>
      </c>
      <c r="FJ55" t="e">
        <f>'All regions'!G1372+"n/&gt;!$js"</f>
        <v>#VALUE!</v>
      </c>
      <c r="FK55" t="e">
        <f>'All regions'!H1372+"n/&gt;!$jt"</f>
        <v>#VALUE!</v>
      </c>
      <c r="FL55" t="e">
        <f>'All regions'!I1372+"n/&gt;!$ju"</f>
        <v>#VALUE!</v>
      </c>
      <c r="FM55" t="e">
        <f>'All regions'!J1372+"n/&gt;!$jv"</f>
        <v>#VALUE!</v>
      </c>
      <c r="FN55" t="e">
        <f>'All regions'!A1373+"n/&gt;!$jw"</f>
        <v>#VALUE!</v>
      </c>
      <c r="FO55" t="e">
        <f>'All regions'!B1373+"n/&gt;!$jx"</f>
        <v>#VALUE!</v>
      </c>
      <c r="FP55" t="e">
        <f>'All regions'!C1373+"n/&gt;!$jy"</f>
        <v>#VALUE!</v>
      </c>
      <c r="FQ55" t="e">
        <f>'All regions'!D1373+"n/&gt;!$jz"</f>
        <v>#VALUE!</v>
      </c>
      <c r="FR55" t="e">
        <f>'All regions'!E1373+"n/&gt;!$j{"</f>
        <v>#VALUE!</v>
      </c>
      <c r="FS55" t="e">
        <f>'All regions'!F1373+"n/&gt;!$j|"</f>
        <v>#VALUE!</v>
      </c>
      <c r="FT55" t="e">
        <f>'All regions'!G1373+"n/&gt;!$j}"</f>
        <v>#VALUE!</v>
      </c>
      <c r="FU55" t="e">
        <f>'All regions'!H1373+"n/&gt;!$j~"</f>
        <v>#VALUE!</v>
      </c>
      <c r="FV55" t="e">
        <f>'All regions'!I1373+"n/&gt;!$k#"</f>
        <v>#VALUE!</v>
      </c>
      <c r="FW55" t="e">
        <f>'All regions'!J1373+"n/&gt;!$k$"</f>
        <v>#VALUE!</v>
      </c>
      <c r="FX55" t="e">
        <f>'All regions'!A1374+"n/&gt;!$k%"</f>
        <v>#VALUE!</v>
      </c>
      <c r="FY55" t="e">
        <f>'All regions'!B1374+"n/&gt;!$k&amp;"</f>
        <v>#VALUE!</v>
      </c>
      <c r="FZ55" t="e">
        <f>'All regions'!C1374+"n/&gt;!$k'"</f>
        <v>#VALUE!</v>
      </c>
      <c r="GA55" t="e">
        <f>'All regions'!D1374+"n/&gt;!$k("</f>
        <v>#VALUE!</v>
      </c>
      <c r="GB55" t="e">
        <f>'All regions'!E1374+"n/&gt;!$k)"</f>
        <v>#VALUE!</v>
      </c>
      <c r="GC55" t="e">
        <f>'All regions'!F1374+"n/&gt;!$k."</f>
        <v>#VALUE!</v>
      </c>
      <c r="GD55" t="e">
        <f>'All regions'!G1374+"n/&gt;!$k/"</f>
        <v>#VALUE!</v>
      </c>
      <c r="GE55" t="e">
        <f>'All regions'!H1374+"n/&gt;!$k0"</f>
        <v>#VALUE!</v>
      </c>
      <c r="GF55" t="e">
        <f>'All regions'!I1374+"n/&gt;!$k1"</f>
        <v>#VALUE!</v>
      </c>
      <c r="GG55" t="e">
        <f>'All regions'!J1374+"n/&gt;!$k2"</f>
        <v>#VALUE!</v>
      </c>
      <c r="GH55" t="e">
        <f>'All regions'!A1375+"n/&gt;!$k3"</f>
        <v>#VALUE!</v>
      </c>
      <c r="GI55" t="e">
        <f>'All regions'!B1375+"n/&gt;!$k4"</f>
        <v>#VALUE!</v>
      </c>
      <c r="GJ55" t="e">
        <f>'All regions'!C1375+"n/&gt;!$k5"</f>
        <v>#VALUE!</v>
      </c>
      <c r="GK55" t="e">
        <f>'All regions'!D1375+"n/&gt;!$k6"</f>
        <v>#VALUE!</v>
      </c>
      <c r="GL55" t="e">
        <f>'All regions'!E1375+"n/&gt;!$k7"</f>
        <v>#VALUE!</v>
      </c>
      <c r="GM55" t="e">
        <f>'All regions'!F1375+"n/&gt;!$k8"</f>
        <v>#VALUE!</v>
      </c>
      <c r="GN55" t="e">
        <f>'All regions'!G1375+"n/&gt;!$k9"</f>
        <v>#VALUE!</v>
      </c>
      <c r="GO55" t="e">
        <f>'All regions'!H1375+"n/&gt;!$k:"</f>
        <v>#VALUE!</v>
      </c>
      <c r="GP55" t="e">
        <f>'All regions'!I1375+"n/&gt;!$k;"</f>
        <v>#VALUE!</v>
      </c>
      <c r="GQ55" t="e">
        <f>'All regions'!J1375+"n/&gt;!$k&lt;"</f>
        <v>#VALUE!</v>
      </c>
      <c r="GR55" t="e">
        <f>'All regions'!A1376+"n/&gt;!$k="</f>
        <v>#VALUE!</v>
      </c>
      <c r="GS55" t="e">
        <f>'All regions'!B1376+"n/&gt;!$k&gt;"</f>
        <v>#VALUE!</v>
      </c>
      <c r="GT55" t="e">
        <f>'All regions'!C1376+"n/&gt;!$k?"</f>
        <v>#VALUE!</v>
      </c>
      <c r="GU55" t="e">
        <f>'All regions'!D1376+"n/&gt;!$k@"</f>
        <v>#VALUE!</v>
      </c>
      <c r="GV55" t="e">
        <f>'All regions'!E1376+"n/&gt;!$kA"</f>
        <v>#VALUE!</v>
      </c>
      <c r="GW55" t="e">
        <f>'All regions'!F1376+"n/&gt;!$kB"</f>
        <v>#VALUE!</v>
      </c>
      <c r="GX55" t="e">
        <f>'All regions'!G1376+"n/&gt;!$kC"</f>
        <v>#VALUE!</v>
      </c>
      <c r="GY55" t="e">
        <f>'All regions'!H1376+"n/&gt;!$kD"</f>
        <v>#VALUE!</v>
      </c>
      <c r="GZ55" t="e">
        <f>'All regions'!I1376+"n/&gt;!$kE"</f>
        <v>#VALUE!</v>
      </c>
      <c r="HA55" t="e">
        <f>'All regions'!J1376+"n/&gt;!$kF"</f>
        <v>#VALUE!</v>
      </c>
      <c r="HB55" t="e">
        <f>'All regions'!A1377+"n/&gt;!$kG"</f>
        <v>#VALUE!</v>
      </c>
      <c r="HC55" t="e">
        <f>'All regions'!B1377+"n/&gt;!$kH"</f>
        <v>#VALUE!</v>
      </c>
      <c r="HD55" t="e">
        <f>'All regions'!C1377+"n/&gt;!$kI"</f>
        <v>#VALUE!</v>
      </c>
      <c r="HE55" t="e">
        <f>'All regions'!D1377+"n/&gt;!$kJ"</f>
        <v>#VALUE!</v>
      </c>
      <c r="HF55" t="e">
        <f>'All regions'!E1377+"n/&gt;!$kK"</f>
        <v>#VALUE!</v>
      </c>
      <c r="HG55" t="e">
        <f>'All regions'!F1377+"n/&gt;!$kL"</f>
        <v>#VALUE!</v>
      </c>
      <c r="HH55" t="e">
        <f>'All regions'!G1377+"n/&gt;!$kM"</f>
        <v>#VALUE!</v>
      </c>
      <c r="HI55" t="e">
        <f>'All regions'!H1377+"n/&gt;!$kN"</f>
        <v>#VALUE!</v>
      </c>
      <c r="HJ55" t="e">
        <f>'All regions'!I1377+"n/&gt;!$kO"</f>
        <v>#VALUE!</v>
      </c>
      <c r="HK55" t="e">
        <f>'All regions'!J1377+"n/&gt;!$kP"</f>
        <v>#VALUE!</v>
      </c>
      <c r="HL55" t="e">
        <f>'All regions'!A1378+"n/&gt;!$kQ"</f>
        <v>#VALUE!</v>
      </c>
      <c r="HM55" t="e">
        <f>'All regions'!B1378+"n/&gt;!$kR"</f>
        <v>#VALUE!</v>
      </c>
      <c r="HN55" t="e">
        <f>'All regions'!C1378+"n/&gt;!$kS"</f>
        <v>#VALUE!</v>
      </c>
      <c r="HO55" t="e">
        <f>'All regions'!D1378+"n/&gt;!$kT"</f>
        <v>#VALUE!</v>
      </c>
      <c r="HP55" t="e">
        <f>'All regions'!E1378+"n/&gt;!$kU"</f>
        <v>#VALUE!</v>
      </c>
      <c r="HQ55" t="e">
        <f>'All regions'!F1378+"n/&gt;!$kV"</f>
        <v>#VALUE!</v>
      </c>
      <c r="HR55" t="e">
        <f>'All regions'!G1378+"n/&gt;!$kW"</f>
        <v>#VALUE!</v>
      </c>
      <c r="HS55" t="e">
        <f>'All regions'!H1378+"n/&gt;!$kX"</f>
        <v>#VALUE!</v>
      </c>
      <c r="HT55" t="e">
        <f>'All regions'!I1378+"n/&gt;!$kY"</f>
        <v>#VALUE!</v>
      </c>
      <c r="HU55" t="e">
        <f>'All regions'!J1378+"n/&gt;!$kZ"</f>
        <v>#VALUE!</v>
      </c>
      <c r="HV55" t="e">
        <f>'All regions'!A1379+"n/&gt;!$k["</f>
        <v>#VALUE!</v>
      </c>
      <c r="HW55" t="e">
        <f>'All regions'!B1379+"n/&gt;!$k\"</f>
        <v>#VALUE!</v>
      </c>
      <c r="HX55" t="e">
        <f>'All regions'!C1379+"n/&gt;!$k]"</f>
        <v>#VALUE!</v>
      </c>
      <c r="HY55" t="e">
        <f>'All regions'!D1379+"n/&gt;!$k^"</f>
        <v>#VALUE!</v>
      </c>
      <c r="HZ55" t="e">
        <f>'All regions'!E1379+"n/&gt;!$k_"</f>
        <v>#VALUE!</v>
      </c>
      <c r="IA55" t="e">
        <f>'All regions'!F1379+"n/&gt;!$k`"</f>
        <v>#VALUE!</v>
      </c>
      <c r="IB55" t="e">
        <f>'All regions'!G1379+"n/&gt;!$ka"</f>
        <v>#VALUE!</v>
      </c>
      <c r="IC55" t="e">
        <f>'All regions'!H1379+"n/&gt;!$kb"</f>
        <v>#VALUE!</v>
      </c>
      <c r="ID55" t="e">
        <f>'All regions'!I1379+"n/&gt;!$kc"</f>
        <v>#VALUE!</v>
      </c>
      <c r="IE55" t="e">
        <f>'All regions'!J1379+"n/&gt;!$kd"</f>
        <v>#VALUE!</v>
      </c>
      <c r="IF55" t="e">
        <f>'All regions'!A1380+"n/&gt;!$ke"</f>
        <v>#VALUE!</v>
      </c>
      <c r="IG55" t="e">
        <f>'All regions'!B1380+"n/&gt;!$kf"</f>
        <v>#VALUE!</v>
      </c>
      <c r="IH55" t="e">
        <f>'All regions'!C1380+"n/&gt;!$kg"</f>
        <v>#VALUE!</v>
      </c>
      <c r="II55" t="e">
        <f>'All regions'!D1380+"n/&gt;!$kh"</f>
        <v>#VALUE!</v>
      </c>
      <c r="IJ55" t="e">
        <f>'All regions'!E1380+"n/&gt;!$ki"</f>
        <v>#VALUE!</v>
      </c>
      <c r="IK55" t="e">
        <f>'All regions'!F1380+"n/&gt;!$kj"</f>
        <v>#VALUE!</v>
      </c>
      <c r="IL55" t="e">
        <f>'All regions'!G1380+"n/&gt;!$kk"</f>
        <v>#VALUE!</v>
      </c>
      <c r="IM55" t="e">
        <f>'All regions'!H1380+"n/&gt;!$kl"</f>
        <v>#VALUE!</v>
      </c>
      <c r="IN55" t="e">
        <f>'All regions'!I1380+"n/&gt;!$km"</f>
        <v>#VALUE!</v>
      </c>
      <c r="IO55" t="e">
        <f>'All regions'!J1380+"n/&gt;!$kn"</f>
        <v>#VALUE!</v>
      </c>
      <c r="IP55" t="e">
        <f>'All regions'!A1381+"n/&gt;!$ko"</f>
        <v>#VALUE!</v>
      </c>
      <c r="IQ55" t="e">
        <f>'All regions'!B1381+"n/&gt;!$kp"</f>
        <v>#VALUE!</v>
      </c>
      <c r="IR55" t="e">
        <f>'All regions'!C1381+"n/&gt;!$kq"</f>
        <v>#VALUE!</v>
      </c>
      <c r="IS55" t="e">
        <f>'All regions'!D1381+"n/&gt;!$kr"</f>
        <v>#VALUE!</v>
      </c>
      <c r="IT55" t="e">
        <f>'All regions'!E1381+"n/&gt;!$ks"</f>
        <v>#VALUE!</v>
      </c>
      <c r="IU55" t="e">
        <f>'All regions'!F1381+"n/&gt;!$kt"</f>
        <v>#VALUE!</v>
      </c>
      <c r="IV55" t="e">
        <f>'All regions'!G1381+"n/&gt;!$ku"</f>
        <v>#VALUE!</v>
      </c>
    </row>
    <row r="56" spans="6:256" x14ac:dyDescent="0.35">
      <c r="F56" t="e">
        <f>'All regions'!H1381+"n/&gt;!$kv"</f>
        <v>#VALUE!</v>
      </c>
      <c r="G56" t="e">
        <f>'All regions'!I1381+"n/&gt;!$kw"</f>
        <v>#VALUE!</v>
      </c>
      <c r="H56" t="e">
        <f>'All regions'!J1381+"n/&gt;!$kx"</f>
        <v>#VALUE!</v>
      </c>
      <c r="I56" t="e">
        <f>'All regions'!A1382+"n/&gt;!$ky"</f>
        <v>#VALUE!</v>
      </c>
      <c r="J56" t="e">
        <f>'All regions'!B1382+"n/&gt;!$kz"</f>
        <v>#VALUE!</v>
      </c>
      <c r="K56" t="e">
        <f>'All regions'!C1382+"n/&gt;!$k{"</f>
        <v>#VALUE!</v>
      </c>
      <c r="L56" t="e">
        <f>'All regions'!D1382+"n/&gt;!$k|"</f>
        <v>#VALUE!</v>
      </c>
      <c r="M56" t="e">
        <f>'All regions'!E1382+"n/&gt;!$k}"</f>
        <v>#VALUE!</v>
      </c>
      <c r="N56" t="e">
        <f>'All regions'!F1382+"n/&gt;!$k~"</f>
        <v>#VALUE!</v>
      </c>
      <c r="O56" t="e">
        <f>'All regions'!G1382+"n/&gt;!$l#"</f>
        <v>#VALUE!</v>
      </c>
      <c r="P56" t="e">
        <f>'All regions'!H1382+"n/&gt;!$l$"</f>
        <v>#VALUE!</v>
      </c>
      <c r="Q56" t="e">
        <f>'All regions'!I1382+"n/&gt;!$l%"</f>
        <v>#VALUE!</v>
      </c>
      <c r="R56" t="e">
        <f>'All regions'!J1382+"n/&gt;!$l&amp;"</f>
        <v>#VALUE!</v>
      </c>
      <c r="S56" t="e">
        <f>'All regions'!A1383+"n/&gt;!$l'"</f>
        <v>#VALUE!</v>
      </c>
      <c r="T56" t="e">
        <f>'All regions'!B1383+"n/&gt;!$l("</f>
        <v>#VALUE!</v>
      </c>
      <c r="U56" t="e">
        <f>'All regions'!C1383+"n/&gt;!$l)"</f>
        <v>#VALUE!</v>
      </c>
      <c r="V56" t="e">
        <f>'All regions'!D1383+"n/&gt;!$l."</f>
        <v>#VALUE!</v>
      </c>
      <c r="W56" t="e">
        <f>'All regions'!E1383+"n/&gt;!$l/"</f>
        <v>#VALUE!</v>
      </c>
      <c r="X56" t="e">
        <f>'All regions'!F1383+"n/&gt;!$l0"</f>
        <v>#VALUE!</v>
      </c>
      <c r="Y56" t="e">
        <f>'All regions'!G1383+"n/&gt;!$l1"</f>
        <v>#VALUE!</v>
      </c>
      <c r="Z56" t="e">
        <f>'All regions'!H1383+"n/&gt;!$l2"</f>
        <v>#VALUE!</v>
      </c>
      <c r="AA56" t="e">
        <f>'All regions'!I1383+"n/&gt;!$l3"</f>
        <v>#VALUE!</v>
      </c>
      <c r="AB56" t="e">
        <f>'All regions'!J1383+"n/&gt;!$l4"</f>
        <v>#VALUE!</v>
      </c>
      <c r="AC56" t="e">
        <f>'All regions'!A1384+"n/&gt;!$l5"</f>
        <v>#VALUE!</v>
      </c>
      <c r="AD56" t="e">
        <f>'All regions'!B1384+"n/&gt;!$l6"</f>
        <v>#VALUE!</v>
      </c>
      <c r="AE56" t="e">
        <f>'All regions'!C1384+"n/&gt;!$l7"</f>
        <v>#VALUE!</v>
      </c>
      <c r="AF56" t="e">
        <f>'All regions'!D1384+"n/&gt;!$l8"</f>
        <v>#VALUE!</v>
      </c>
      <c r="AG56" t="e">
        <f>'All regions'!E1384+"n/&gt;!$l9"</f>
        <v>#VALUE!</v>
      </c>
      <c r="AH56" t="e">
        <f>'All regions'!F1384+"n/&gt;!$l:"</f>
        <v>#VALUE!</v>
      </c>
      <c r="AI56" t="e">
        <f>'All regions'!G1384+"n/&gt;!$l;"</f>
        <v>#VALUE!</v>
      </c>
      <c r="AJ56" t="e">
        <f>'All regions'!H1384+"n/&gt;!$l&lt;"</f>
        <v>#VALUE!</v>
      </c>
      <c r="AK56" t="e">
        <f>'All regions'!I1384+"n/&gt;!$l="</f>
        <v>#VALUE!</v>
      </c>
      <c r="AL56" t="e">
        <f>'All regions'!J1384+"n/&gt;!$l&gt;"</f>
        <v>#VALUE!</v>
      </c>
      <c r="AM56" t="e">
        <f>'All regions'!A1385+"n/&gt;!$l?"</f>
        <v>#VALUE!</v>
      </c>
      <c r="AN56" t="e">
        <f>'All regions'!B1385+"n/&gt;!$l@"</f>
        <v>#VALUE!</v>
      </c>
      <c r="AO56" t="e">
        <f>'All regions'!C1385+"n/&gt;!$lA"</f>
        <v>#VALUE!</v>
      </c>
      <c r="AP56" t="e">
        <f>'All regions'!D1385+"n/&gt;!$lB"</f>
        <v>#VALUE!</v>
      </c>
      <c r="AQ56" t="e">
        <f>'All regions'!E1385+"n/&gt;!$lC"</f>
        <v>#VALUE!</v>
      </c>
      <c r="AR56" t="e">
        <f>'All regions'!F1385+"n/&gt;!$lD"</f>
        <v>#VALUE!</v>
      </c>
      <c r="AS56" t="e">
        <f>'All regions'!G1385+"n/&gt;!$lE"</f>
        <v>#VALUE!</v>
      </c>
      <c r="AT56" t="e">
        <f>'All regions'!H1385+"n/&gt;!$lF"</f>
        <v>#VALUE!</v>
      </c>
      <c r="AU56" t="e">
        <f>'All regions'!I1385+"n/&gt;!$lG"</f>
        <v>#VALUE!</v>
      </c>
      <c r="AV56" t="e">
        <f>'All regions'!J1385+"n/&gt;!$lH"</f>
        <v>#VALUE!</v>
      </c>
      <c r="AW56" t="e">
        <f>'All regions'!A1386+"n/&gt;!$lI"</f>
        <v>#VALUE!</v>
      </c>
      <c r="AX56" t="e">
        <f>'All regions'!B1386+"n/&gt;!$lJ"</f>
        <v>#VALUE!</v>
      </c>
      <c r="AY56" t="e">
        <f>'All regions'!C1386+"n/&gt;!$lK"</f>
        <v>#VALUE!</v>
      </c>
      <c r="AZ56" t="e">
        <f>'All regions'!D1386+"n/&gt;!$lL"</f>
        <v>#VALUE!</v>
      </c>
      <c r="BA56" t="e">
        <f>'All regions'!E1386+"n/&gt;!$lM"</f>
        <v>#VALUE!</v>
      </c>
      <c r="BB56" t="e">
        <f>'All regions'!F1386+"n/&gt;!$lN"</f>
        <v>#VALUE!</v>
      </c>
      <c r="BC56" t="e">
        <f>'All regions'!G1386+"n/&gt;!$lO"</f>
        <v>#VALUE!</v>
      </c>
      <c r="BD56" t="e">
        <f>'All regions'!H1386+"n/&gt;!$lP"</f>
        <v>#VALUE!</v>
      </c>
      <c r="BE56" t="e">
        <f>'All regions'!I1386+"n/&gt;!$lQ"</f>
        <v>#VALUE!</v>
      </c>
      <c r="BF56" t="e">
        <f>'All regions'!J1386+"n/&gt;!$lR"</f>
        <v>#VALUE!</v>
      </c>
      <c r="BG56" t="e">
        <f>'All regions'!A1387+"n/&gt;!$lS"</f>
        <v>#VALUE!</v>
      </c>
      <c r="BH56" t="e">
        <f>'All regions'!B1387+"n/&gt;!$lT"</f>
        <v>#VALUE!</v>
      </c>
      <c r="BI56" t="e">
        <f>'All regions'!C1387+"n/&gt;!$lU"</f>
        <v>#VALUE!</v>
      </c>
      <c r="BJ56" t="e">
        <f>'All regions'!D1387+"n/&gt;!$lV"</f>
        <v>#VALUE!</v>
      </c>
      <c r="BK56" t="e">
        <f>'All regions'!E1387+"n/&gt;!$lW"</f>
        <v>#VALUE!</v>
      </c>
      <c r="BL56" t="e">
        <f>'All regions'!F1387+"n/&gt;!$lX"</f>
        <v>#VALUE!</v>
      </c>
      <c r="BM56" t="e">
        <f>'All regions'!G1387+"n/&gt;!$lY"</f>
        <v>#VALUE!</v>
      </c>
      <c r="BN56" t="e">
        <f>'All regions'!H1387+"n/&gt;!$lZ"</f>
        <v>#VALUE!</v>
      </c>
      <c r="BO56" t="e">
        <f>'All regions'!I1387+"n/&gt;!$l["</f>
        <v>#VALUE!</v>
      </c>
      <c r="BP56" t="e">
        <f>'All regions'!J1387+"n/&gt;!$l\"</f>
        <v>#VALUE!</v>
      </c>
      <c r="BQ56" t="e">
        <f>'All regions'!A1388+"n/&gt;!$l]"</f>
        <v>#VALUE!</v>
      </c>
      <c r="BR56" t="e">
        <f>'All regions'!B1388+"n/&gt;!$l^"</f>
        <v>#VALUE!</v>
      </c>
      <c r="BS56" t="e">
        <f>'All regions'!C1388+"n/&gt;!$l_"</f>
        <v>#VALUE!</v>
      </c>
      <c r="BT56" t="e">
        <f>'All regions'!D1388+"n/&gt;!$l`"</f>
        <v>#VALUE!</v>
      </c>
      <c r="BU56" t="e">
        <f>'All regions'!E1388+"n/&gt;!$la"</f>
        <v>#VALUE!</v>
      </c>
      <c r="BV56" t="e">
        <f>'All regions'!F1388+"n/&gt;!$lb"</f>
        <v>#VALUE!</v>
      </c>
      <c r="BW56" t="e">
        <f>'All regions'!G1388+"n/&gt;!$lc"</f>
        <v>#VALUE!</v>
      </c>
      <c r="BX56" t="e">
        <f>'All regions'!H1388+"n/&gt;!$ld"</f>
        <v>#VALUE!</v>
      </c>
      <c r="BY56" t="e">
        <f>'All regions'!I1388+"n/&gt;!$le"</f>
        <v>#VALUE!</v>
      </c>
      <c r="BZ56" t="e">
        <f>'All regions'!J1388+"n/&gt;!$lf"</f>
        <v>#VALUE!</v>
      </c>
      <c r="CA56" t="e">
        <f>'All regions'!A1389+"n/&gt;!$lg"</f>
        <v>#VALUE!</v>
      </c>
      <c r="CB56" t="e">
        <f>'All regions'!B1389+"n/&gt;!$lh"</f>
        <v>#VALUE!</v>
      </c>
      <c r="CC56" t="e">
        <f>'All regions'!C1389+"n/&gt;!$li"</f>
        <v>#VALUE!</v>
      </c>
      <c r="CD56" t="e">
        <f>'All regions'!D1389+"n/&gt;!$lj"</f>
        <v>#VALUE!</v>
      </c>
      <c r="CE56" t="e">
        <f>'All regions'!E1389+"n/&gt;!$lk"</f>
        <v>#VALUE!</v>
      </c>
      <c r="CF56" t="e">
        <f>'All regions'!F1389+"n/&gt;!$ll"</f>
        <v>#VALUE!</v>
      </c>
      <c r="CG56" t="e">
        <f>'All regions'!G1389+"n/&gt;!$lm"</f>
        <v>#VALUE!</v>
      </c>
      <c r="CH56" t="e">
        <f>'All regions'!H1389+"n/&gt;!$ln"</f>
        <v>#VALUE!</v>
      </c>
      <c r="CI56" t="e">
        <f>'All regions'!I1389+"n/&gt;!$lo"</f>
        <v>#VALUE!</v>
      </c>
      <c r="CJ56" t="e">
        <f>'All regions'!J1389+"n/&gt;!$lp"</f>
        <v>#VALUE!</v>
      </c>
      <c r="CK56" t="e">
        <f>'All regions'!A1390+"n/&gt;!$lq"</f>
        <v>#VALUE!</v>
      </c>
      <c r="CL56" t="e">
        <f>'All regions'!B1390+"n/&gt;!$lr"</f>
        <v>#VALUE!</v>
      </c>
      <c r="CM56" t="e">
        <f>'All regions'!C1390+"n/&gt;!$ls"</f>
        <v>#VALUE!</v>
      </c>
      <c r="CN56" t="e">
        <f>'All regions'!D1390+"n/&gt;!$lt"</f>
        <v>#VALUE!</v>
      </c>
      <c r="CO56" t="e">
        <f>'All regions'!E1390+"n/&gt;!$lu"</f>
        <v>#VALUE!</v>
      </c>
      <c r="CP56" t="e">
        <f>'All regions'!F1390+"n/&gt;!$lv"</f>
        <v>#VALUE!</v>
      </c>
      <c r="CQ56" t="e">
        <f>'All regions'!G1390+"n/&gt;!$lw"</f>
        <v>#VALUE!</v>
      </c>
      <c r="CR56" t="e">
        <f>'All regions'!H1390+"n/&gt;!$lx"</f>
        <v>#VALUE!</v>
      </c>
      <c r="CS56" t="e">
        <f>'All regions'!I1390+"n/&gt;!$ly"</f>
        <v>#VALUE!</v>
      </c>
      <c r="CT56" t="e">
        <f>'All regions'!J1390+"n/&gt;!$lz"</f>
        <v>#VALUE!</v>
      </c>
      <c r="CU56" t="e">
        <f>'All regions'!A1391+"n/&gt;!$l{"</f>
        <v>#VALUE!</v>
      </c>
      <c r="CV56" t="e">
        <f>'All regions'!B1391+"n/&gt;!$l|"</f>
        <v>#VALUE!</v>
      </c>
      <c r="CW56" t="e">
        <f>'All regions'!C1391+"n/&gt;!$l}"</f>
        <v>#VALUE!</v>
      </c>
      <c r="CX56" t="e">
        <f>'All regions'!D1391+"n/&gt;!$l~"</f>
        <v>#VALUE!</v>
      </c>
      <c r="CY56" t="e">
        <f>'All regions'!E1391+"n/&gt;!$m#"</f>
        <v>#VALUE!</v>
      </c>
      <c r="CZ56" t="e">
        <f>'All regions'!F1391+"n/&gt;!$m$"</f>
        <v>#VALUE!</v>
      </c>
      <c r="DA56" t="e">
        <f>'All regions'!G1391+"n/&gt;!$m%"</f>
        <v>#VALUE!</v>
      </c>
      <c r="DB56" t="e">
        <f>'All regions'!H1391+"n/&gt;!$m&amp;"</f>
        <v>#VALUE!</v>
      </c>
      <c r="DC56" t="e">
        <f>'All regions'!I1391+"n/&gt;!$m'"</f>
        <v>#VALUE!</v>
      </c>
      <c r="DD56" t="e">
        <f>'All regions'!J1391+"n/&gt;!$m("</f>
        <v>#VALUE!</v>
      </c>
      <c r="DE56" t="e">
        <f>'All regions'!A1392+"n/&gt;!$m)"</f>
        <v>#VALUE!</v>
      </c>
      <c r="DF56" t="e">
        <f>'All regions'!B1392+"n/&gt;!$m."</f>
        <v>#VALUE!</v>
      </c>
      <c r="DG56" t="e">
        <f>'All regions'!C1392+"n/&gt;!$m/"</f>
        <v>#VALUE!</v>
      </c>
      <c r="DH56" t="e">
        <f>'All regions'!D1392+"n/&gt;!$m0"</f>
        <v>#VALUE!</v>
      </c>
      <c r="DI56" t="e">
        <f>'All regions'!E1392+"n/&gt;!$m1"</f>
        <v>#VALUE!</v>
      </c>
      <c r="DJ56" t="e">
        <f>'All regions'!F1392+"n/&gt;!$m2"</f>
        <v>#VALUE!</v>
      </c>
      <c r="DK56" t="e">
        <f>'All regions'!G1392+"n/&gt;!$m3"</f>
        <v>#VALUE!</v>
      </c>
      <c r="DL56" t="e">
        <f>'All regions'!H1392+"n/&gt;!$m4"</f>
        <v>#VALUE!</v>
      </c>
      <c r="DM56" t="e">
        <f>'All regions'!I1392+"n/&gt;!$m5"</f>
        <v>#VALUE!</v>
      </c>
      <c r="DN56" t="e">
        <f>'All regions'!J1392+"n/&gt;!$m6"</f>
        <v>#VALUE!</v>
      </c>
      <c r="DO56" t="e">
        <f>'All regions'!A1393+"n/&gt;!$m7"</f>
        <v>#VALUE!</v>
      </c>
      <c r="DP56" t="e">
        <f>'All regions'!B1393+"n/&gt;!$m8"</f>
        <v>#VALUE!</v>
      </c>
      <c r="DQ56" t="e">
        <f>'All regions'!C1393+"n/&gt;!$m9"</f>
        <v>#VALUE!</v>
      </c>
      <c r="DR56" t="e">
        <f>'All regions'!D1393+"n/&gt;!$m:"</f>
        <v>#VALUE!</v>
      </c>
      <c r="DS56" t="e">
        <f>'All regions'!E1393+"n/&gt;!$m;"</f>
        <v>#VALUE!</v>
      </c>
      <c r="DT56" t="e">
        <f>'All regions'!F1393+"n/&gt;!$m&lt;"</f>
        <v>#VALUE!</v>
      </c>
      <c r="DU56" t="e">
        <f>'All regions'!G1393+"n/&gt;!$m="</f>
        <v>#VALUE!</v>
      </c>
      <c r="DV56" t="e">
        <f>'All regions'!H1393+"n/&gt;!$m&gt;"</f>
        <v>#VALUE!</v>
      </c>
      <c r="DW56" t="e">
        <f>'All regions'!I1393+"n/&gt;!$m?"</f>
        <v>#VALUE!</v>
      </c>
      <c r="DX56" t="e">
        <f>'All regions'!J1393+"n/&gt;!$m@"</f>
        <v>#VALUE!</v>
      </c>
      <c r="DY56" t="e">
        <f>'All regions'!A1394+"n/&gt;!$mA"</f>
        <v>#VALUE!</v>
      </c>
      <c r="DZ56" t="e">
        <f>'All regions'!B1394+"n/&gt;!$mB"</f>
        <v>#VALUE!</v>
      </c>
      <c r="EA56" t="e">
        <f>'All regions'!C1394+"n/&gt;!$mC"</f>
        <v>#VALUE!</v>
      </c>
      <c r="EB56" t="e">
        <f>'All regions'!D1394+"n/&gt;!$mD"</f>
        <v>#VALUE!</v>
      </c>
      <c r="EC56" t="e">
        <f>'All regions'!E1394+"n/&gt;!$mE"</f>
        <v>#VALUE!</v>
      </c>
      <c r="ED56" t="e">
        <f>'All regions'!F1394+"n/&gt;!$mF"</f>
        <v>#VALUE!</v>
      </c>
      <c r="EE56" t="e">
        <f>'All regions'!G1394+"n/&gt;!$mG"</f>
        <v>#VALUE!</v>
      </c>
      <c r="EF56" t="e">
        <f>'All regions'!H1394+"n/&gt;!$mH"</f>
        <v>#VALUE!</v>
      </c>
      <c r="EG56" t="e">
        <f>'All regions'!I1394+"n/&gt;!$mI"</f>
        <v>#VALUE!</v>
      </c>
      <c r="EH56" t="e">
        <f>'All regions'!J1394+"n/&gt;!$mJ"</f>
        <v>#VALUE!</v>
      </c>
      <c r="EI56" t="e">
        <f>'All regions'!A1395+"n/&gt;!$mK"</f>
        <v>#VALUE!</v>
      </c>
      <c r="EJ56" t="e">
        <f>'All regions'!B1395+"n/&gt;!$mL"</f>
        <v>#VALUE!</v>
      </c>
      <c r="EK56" t="e">
        <f>'All regions'!C1395+"n/&gt;!$mM"</f>
        <v>#VALUE!</v>
      </c>
      <c r="EL56" t="e">
        <f>'All regions'!D1395+"n/&gt;!$mN"</f>
        <v>#VALUE!</v>
      </c>
      <c r="EM56" t="e">
        <f>'All regions'!E1395+"n/&gt;!$mO"</f>
        <v>#VALUE!</v>
      </c>
      <c r="EN56" t="e">
        <f>'All regions'!F1395+"n/&gt;!$mP"</f>
        <v>#VALUE!</v>
      </c>
      <c r="EO56" t="e">
        <f>'All regions'!G1395+"n/&gt;!$mQ"</f>
        <v>#VALUE!</v>
      </c>
      <c r="EP56" t="e">
        <f>'All regions'!H1395+"n/&gt;!$mR"</f>
        <v>#VALUE!</v>
      </c>
      <c r="EQ56" t="e">
        <f>'All regions'!I1395+"n/&gt;!$mS"</f>
        <v>#VALUE!</v>
      </c>
      <c r="ER56" t="e">
        <f>'All regions'!J1395+"n/&gt;!$mT"</f>
        <v>#VALUE!</v>
      </c>
      <c r="ES56" t="e">
        <f>'All regions'!A1396+"n/&gt;!$mU"</f>
        <v>#VALUE!</v>
      </c>
      <c r="ET56" t="e">
        <f>'All regions'!B1396+"n/&gt;!$mV"</f>
        <v>#VALUE!</v>
      </c>
      <c r="EU56" t="e">
        <f>'All regions'!C1396+"n/&gt;!$mW"</f>
        <v>#VALUE!</v>
      </c>
      <c r="EV56" t="e">
        <f>'All regions'!D1396+"n/&gt;!$mX"</f>
        <v>#VALUE!</v>
      </c>
      <c r="EW56" t="e">
        <f>'All regions'!E1396+"n/&gt;!$mY"</f>
        <v>#VALUE!</v>
      </c>
      <c r="EX56" t="e">
        <f>'All regions'!F1396+"n/&gt;!$mZ"</f>
        <v>#VALUE!</v>
      </c>
      <c r="EY56" t="e">
        <f>'All regions'!G1396+"n/&gt;!$m["</f>
        <v>#VALUE!</v>
      </c>
      <c r="EZ56" t="e">
        <f>'All regions'!H1396+"n/&gt;!$m\"</f>
        <v>#VALUE!</v>
      </c>
      <c r="FA56" t="e">
        <f>'All regions'!I1396+"n/&gt;!$m]"</f>
        <v>#VALUE!</v>
      </c>
      <c r="FB56" t="e">
        <f>'All regions'!J1396+"n/&gt;!$m^"</f>
        <v>#VALUE!</v>
      </c>
      <c r="FC56" t="e">
        <f>'All regions'!A1397+"n/&gt;!$m_"</f>
        <v>#VALUE!</v>
      </c>
      <c r="FD56" t="e">
        <f>'All regions'!B1397+"n/&gt;!$m`"</f>
        <v>#VALUE!</v>
      </c>
      <c r="FE56" t="e">
        <f>'All regions'!C1397+"n/&gt;!$ma"</f>
        <v>#VALUE!</v>
      </c>
      <c r="FF56" t="e">
        <f>'All regions'!D1397+"n/&gt;!$mb"</f>
        <v>#VALUE!</v>
      </c>
      <c r="FG56" t="e">
        <f>'All regions'!E1397+"n/&gt;!$mc"</f>
        <v>#VALUE!</v>
      </c>
      <c r="FH56" t="e">
        <f>'All regions'!F1397+"n/&gt;!$md"</f>
        <v>#VALUE!</v>
      </c>
      <c r="FI56" t="e">
        <f>'All regions'!G1397+"n/&gt;!$me"</f>
        <v>#VALUE!</v>
      </c>
      <c r="FJ56" t="e">
        <f>'All regions'!H1397+"n/&gt;!$mf"</f>
        <v>#VALUE!</v>
      </c>
      <c r="FK56" t="e">
        <f>'All regions'!I1397+"n/&gt;!$mg"</f>
        <v>#VALUE!</v>
      </c>
      <c r="FL56" t="e">
        <f>'All regions'!J1397+"n/&gt;!$mh"</f>
        <v>#VALUE!</v>
      </c>
      <c r="FM56" t="e">
        <f>'All regions'!A1398+"n/&gt;!$mi"</f>
        <v>#VALUE!</v>
      </c>
      <c r="FN56" t="e">
        <f>'All regions'!B1398+"n/&gt;!$mj"</f>
        <v>#VALUE!</v>
      </c>
      <c r="FO56" t="e">
        <f>'All regions'!C1398+"n/&gt;!$mk"</f>
        <v>#VALUE!</v>
      </c>
      <c r="FP56" t="e">
        <f>'All regions'!D1398+"n/&gt;!$ml"</f>
        <v>#VALUE!</v>
      </c>
      <c r="FQ56" t="e">
        <f>'All regions'!E1398+"n/&gt;!$mm"</f>
        <v>#VALUE!</v>
      </c>
      <c r="FR56" t="e">
        <f>'All regions'!F1398+"n/&gt;!$mn"</f>
        <v>#VALUE!</v>
      </c>
      <c r="FS56" t="e">
        <f>'All regions'!G1398+"n/&gt;!$mo"</f>
        <v>#VALUE!</v>
      </c>
      <c r="FT56" t="e">
        <f>'All regions'!H1398+"n/&gt;!$mp"</f>
        <v>#VALUE!</v>
      </c>
      <c r="FU56" t="e">
        <f>'All regions'!I1398+"n/&gt;!$mq"</f>
        <v>#VALUE!</v>
      </c>
      <c r="FV56" t="e">
        <f>'All regions'!J1398+"n/&gt;!$mr"</f>
        <v>#VALUE!</v>
      </c>
      <c r="FW56" t="e">
        <f>'All regions'!A1399+"n/&gt;!$ms"</f>
        <v>#VALUE!</v>
      </c>
      <c r="FX56" t="e">
        <f>'All regions'!B1399+"n/&gt;!$mt"</f>
        <v>#VALUE!</v>
      </c>
      <c r="FY56" t="e">
        <f>'All regions'!C1399+"n/&gt;!$mu"</f>
        <v>#VALUE!</v>
      </c>
      <c r="FZ56" t="e">
        <f>'All regions'!D1399+"n/&gt;!$mv"</f>
        <v>#VALUE!</v>
      </c>
      <c r="GA56" t="e">
        <f>'All regions'!E1399+"n/&gt;!$mw"</f>
        <v>#VALUE!</v>
      </c>
      <c r="GB56" t="e">
        <f>'All regions'!F1399+"n/&gt;!$mx"</f>
        <v>#VALUE!</v>
      </c>
      <c r="GC56" t="e">
        <f>'All regions'!G1399+"n/&gt;!$my"</f>
        <v>#VALUE!</v>
      </c>
      <c r="GD56" t="e">
        <f>'All regions'!H1399+"n/&gt;!$mz"</f>
        <v>#VALUE!</v>
      </c>
      <c r="GE56" t="e">
        <f>'All regions'!I1399+"n/&gt;!$m{"</f>
        <v>#VALUE!</v>
      </c>
      <c r="GF56" t="e">
        <f>'All regions'!J1399+"n/&gt;!$m|"</f>
        <v>#VALUE!</v>
      </c>
      <c r="GG56" t="e">
        <f>'All regions'!A1400+"n/&gt;!$m}"</f>
        <v>#VALUE!</v>
      </c>
      <c r="GH56" t="e">
        <f>'All regions'!B1400+"n/&gt;!$m~"</f>
        <v>#VALUE!</v>
      </c>
      <c r="GI56" t="e">
        <f>'All regions'!C1400+"n/&gt;!$n#"</f>
        <v>#VALUE!</v>
      </c>
      <c r="GJ56" t="e">
        <f>'All regions'!D1400+"n/&gt;!$n$"</f>
        <v>#VALUE!</v>
      </c>
      <c r="GK56" t="e">
        <f>'All regions'!E1400+"n/&gt;!$n%"</f>
        <v>#VALUE!</v>
      </c>
      <c r="GL56" t="e">
        <f>'All regions'!F1400+"n/&gt;!$n&amp;"</f>
        <v>#VALUE!</v>
      </c>
      <c r="GM56" t="e">
        <f>'All regions'!G1400+"n/&gt;!$n'"</f>
        <v>#VALUE!</v>
      </c>
      <c r="GN56" t="e">
        <f>'All regions'!H1400+"n/&gt;!$n("</f>
        <v>#VALUE!</v>
      </c>
      <c r="GO56" t="e">
        <f>'All regions'!I1400+"n/&gt;!$n)"</f>
        <v>#VALUE!</v>
      </c>
      <c r="GP56" t="e">
        <f>'All regions'!J1400+"n/&gt;!$n."</f>
        <v>#VALUE!</v>
      </c>
      <c r="GQ56" t="e">
        <f>'All regions'!A1401+"n/&gt;!$n/"</f>
        <v>#VALUE!</v>
      </c>
      <c r="GR56" t="e">
        <f>'All regions'!B1401+"n/&gt;!$n0"</f>
        <v>#VALUE!</v>
      </c>
      <c r="GS56" t="e">
        <f>'All regions'!C1401+"n/&gt;!$n1"</f>
        <v>#VALUE!</v>
      </c>
      <c r="GT56" t="e">
        <f>'All regions'!D1401+"n/&gt;!$n2"</f>
        <v>#VALUE!</v>
      </c>
      <c r="GU56" t="e">
        <f>'All regions'!E1401+"n/&gt;!$n3"</f>
        <v>#VALUE!</v>
      </c>
      <c r="GV56" t="e">
        <f>'All regions'!F1401+"n/&gt;!$n4"</f>
        <v>#VALUE!</v>
      </c>
      <c r="GW56" t="e">
        <f>'All regions'!G1401+"n/&gt;!$n5"</f>
        <v>#VALUE!</v>
      </c>
      <c r="GX56" t="e">
        <f>'All regions'!H1401+"n/&gt;!$n6"</f>
        <v>#VALUE!</v>
      </c>
      <c r="GY56" t="e">
        <f>'All regions'!I1401+"n/&gt;!$n7"</f>
        <v>#VALUE!</v>
      </c>
      <c r="GZ56" t="e">
        <f>'All regions'!J1401+"n/&gt;!$n8"</f>
        <v>#VALUE!</v>
      </c>
      <c r="HA56" t="e">
        <f>'All regions'!A1402+"n/&gt;!$n9"</f>
        <v>#VALUE!</v>
      </c>
      <c r="HB56" t="e">
        <f>'All regions'!B1402+"n/&gt;!$n:"</f>
        <v>#VALUE!</v>
      </c>
      <c r="HC56" t="e">
        <f>'All regions'!C1402+"n/&gt;!$n;"</f>
        <v>#VALUE!</v>
      </c>
      <c r="HD56" t="e">
        <f>'All regions'!D1402+"n/&gt;!$n&lt;"</f>
        <v>#VALUE!</v>
      </c>
      <c r="HE56" t="e">
        <f>'All regions'!E1402+"n/&gt;!$n="</f>
        <v>#VALUE!</v>
      </c>
      <c r="HF56" t="e">
        <f>'All regions'!F1402+"n/&gt;!$n&gt;"</f>
        <v>#VALUE!</v>
      </c>
      <c r="HG56" t="e">
        <f>'All regions'!G1402+"n/&gt;!$n?"</f>
        <v>#VALUE!</v>
      </c>
      <c r="HH56" t="e">
        <f>'All regions'!H1402+"n/&gt;!$n@"</f>
        <v>#VALUE!</v>
      </c>
      <c r="HI56" t="e">
        <f>'All regions'!I1402+"n/&gt;!$nA"</f>
        <v>#VALUE!</v>
      </c>
      <c r="HJ56" t="e">
        <f>'All regions'!J1402+"n/&gt;!$nB"</f>
        <v>#VALUE!</v>
      </c>
      <c r="HK56" t="e">
        <f>'All regions'!A1403+"n/&gt;!$nC"</f>
        <v>#VALUE!</v>
      </c>
      <c r="HL56" t="e">
        <f>'All regions'!B1403+"n/&gt;!$nD"</f>
        <v>#VALUE!</v>
      </c>
      <c r="HM56" t="e">
        <f>'All regions'!C1403+"n/&gt;!$nE"</f>
        <v>#VALUE!</v>
      </c>
      <c r="HN56" t="e">
        <f>'All regions'!D1403+"n/&gt;!$nF"</f>
        <v>#VALUE!</v>
      </c>
      <c r="HO56" t="e">
        <f>'All regions'!E1403+"n/&gt;!$nG"</f>
        <v>#VALUE!</v>
      </c>
      <c r="HP56" t="e">
        <f>'All regions'!F1403+"n/&gt;!$nH"</f>
        <v>#VALUE!</v>
      </c>
      <c r="HQ56" t="e">
        <f>'All regions'!G1403+"n/&gt;!$nI"</f>
        <v>#VALUE!</v>
      </c>
      <c r="HR56" t="e">
        <f>'All regions'!H1403+"n/&gt;!$nJ"</f>
        <v>#VALUE!</v>
      </c>
      <c r="HS56" t="e">
        <f>'All regions'!I1403+"n/&gt;!$nK"</f>
        <v>#VALUE!</v>
      </c>
      <c r="HT56" t="e">
        <f>'All regions'!J1403+"n/&gt;!$nL"</f>
        <v>#VALUE!</v>
      </c>
      <c r="HU56" t="e">
        <f>'All regions'!A1404+"n/&gt;!$nM"</f>
        <v>#VALUE!</v>
      </c>
      <c r="HV56" t="e">
        <f>'All regions'!B1404+"n/&gt;!$nN"</f>
        <v>#VALUE!</v>
      </c>
      <c r="HW56" t="e">
        <f>'All regions'!C1404+"n/&gt;!$nO"</f>
        <v>#VALUE!</v>
      </c>
      <c r="HX56" t="e">
        <f>'All regions'!D1404+"n/&gt;!$nP"</f>
        <v>#VALUE!</v>
      </c>
      <c r="HY56" t="e">
        <f>'All regions'!E1404+"n/&gt;!$nQ"</f>
        <v>#VALUE!</v>
      </c>
      <c r="HZ56" t="e">
        <f>'All regions'!F1404+"n/&gt;!$nR"</f>
        <v>#VALUE!</v>
      </c>
      <c r="IA56" t="e">
        <f>'All regions'!G1404+"n/&gt;!$nS"</f>
        <v>#VALUE!</v>
      </c>
      <c r="IB56" t="e">
        <f>'All regions'!H1404+"n/&gt;!$nT"</f>
        <v>#VALUE!</v>
      </c>
      <c r="IC56" t="e">
        <f>'All regions'!I1404+"n/&gt;!$nU"</f>
        <v>#VALUE!</v>
      </c>
      <c r="ID56" t="e">
        <f>'All regions'!J1404+"n/&gt;!$nV"</f>
        <v>#VALUE!</v>
      </c>
      <c r="IE56" t="e">
        <f>'All regions'!A1405+"n/&gt;!$nW"</f>
        <v>#VALUE!</v>
      </c>
      <c r="IF56" t="e">
        <f>'All regions'!B1405+"n/&gt;!$nX"</f>
        <v>#VALUE!</v>
      </c>
      <c r="IG56" t="e">
        <f>'All regions'!C1405+"n/&gt;!$nY"</f>
        <v>#VALUE!</v>
      </c>
      <c r="IH56" t="e">
        <f>'All regions'!D1405+"n/&gt;!$nZ"</f>
        <v>#VALUE!</v>
      </c>
      <c r="II56" t="e">
        <f>'All regions'!E1405+"n/&gt;!$n["</f>
        <v>#VALUE!</v>
      </c>
      <c r="IJ56" t="e">
        <f>'All regions'!F1405+"n/&gt;!$n\"</f>
        <v>#VALUE!</v>
      </c>
      <c r="IK56" t="e">
        <f>'All regions'!G1405+"n/&gt;!$n]"</f>
        <v>#VALUE!</v>
      </c>
      <c r="IL56" t="e">
        <f>'All regions'!H1405+"n/&gt;!$n^"</f>
        <v>#VALUE!</v>
      </c>
      <c r="IM56" t="e">
        <f>'All regions'!I1405+"n/&gt;!$n_"</f>
        <v>#VALUE!</v>
      </c>
      <c r="IN56" t="e">
        <f>'All regions'!J1405+"n/&gt;!$n`"</f>
        <v>#VALUE!</v>
      </c>
      <c r="IO56" t="e">
        <f>'All regions'!A1406+"n/&gt;!$na"</f>
        <v>#VALUE!</v>
      </c>
      <c r="IP56" t="e">
        <f>'All regions'!B1406+"n/&gt;!$nb"</f>
        <v>#VALUE!</v>
      </c>
      <c r="IQ56" t="e">
        <f>'All regions'!C1406+"n/&gt;!$nc"</f>
        <v>#VALUE!</v>
      </c>
      <c r="IR56" t="e">
        <f>'All regions'!D1406+"n/&gt;!$nd"</f>
        <v>#VALUE!</v>
      </c>
      <c r="IS56" t="e">
        <f>'All regions'!E1406+"n/&gt;!$ne"</f>
        <v>#VALUE!</v>
      </c>
      <c r="IT56" t="e">
        <f>'All regions'!F1406+"n/&gt;!$nf"</f>
        <v>#VALUE!</v>
      </c>
      <c r="IU56" t="e">
        <f>'All regions'!G1406+"n/&gt;!$ng"</f>
        <v>#VALUE!</v>
      </c>
      <c r="IV56" t="e">
        <f>'All regions'!H1406+"n/&gt;!$nh"</f>
        <v>#VALUE!</v>
      </c>
    </row>
    <row r="57" spans="6:256" x14ac:dyDescent="0.35">
      <c r="F57" t="e">
        <f>'All regions'!I1406+"n/&gt;!$ni"</f>
        <v>#VALUE!</v>
      </c>
      <c r="G57" t="e">
        <f>'All regions'!J1406+"n/&gt;!$nj"</f>
        <v>#VALUE!</v>
      </c>
      <c r="H57" t="e">
        <f>'All regions'!A1407+"n/&gt;!$nk"</f>
        <v>#VALUE!</v>
      </c>
      <c r="I57" t="e">
        <f>'All regions'!B1407+"n/&gt;!$nl"</f>
        <v>#VALUE!</v>
      </c>
      <c r="J57" t="e">
        <f>'All regions'!C1407+"n/&gt;!$nm"</f>
        <v>#VALUE!</v>
      </c>
      <c r="K57" t="e">
        <f>'All regions'!D1407+"n/&gt;!$nn"</f>
        <v>#VALUE!</v>
      </c>
      <c r="L57" t="e">
        <f>'All regions'!E1407+"n/&gt;!$no"</f>
        <v>#VALUE!</v>
      </c>
      <c r="M57" t="e">
        <f>'All regions'!F1407+"n/&gt;!$np"</f>
        <v>#VALUE!</v>
      </c>
      <c r="N57" t="e">
        <f>'All regions'!G1407+"n/&gt;!$nq"</f>
        <v>#VALUE!</v>
      </c>
      <c r="O57" t="e">
        <f>'All regions'!H1407+"n/&gt;!$nr"</f>
        <v>#VALUE!</v>
      </c>
      <c r="P57" t="e">
        <f>'All regions'!I1407+"n/&gt;!$ns"</f>
        <v>#VALUE!</v>
      </c>
      <c r="Q57" t="e">
        <f>'All regions'!J1407+"n/&gt;!$nt"</f>
        <v>#VALUE!</v>
      </c>
      <c r="R57" t="e">
        <f>'All regions'!A1408+"n/&gt;!$nu"</f>
        <v>#VALUE!</v>
      </c>
      <c r="S57" t="e">
        <f>'All regions'!B1408+"n/&gt;!$nv"</f>
        <v>#VALUE!</v>
      </c>
      <c r="T57" t="e">
        <f>'All regions'!C1408+"n/&gt;!$nw"</f>
        <v>#VALUE!</v>
      </c>
      <c r="U57" t="e">
        <f>'All regions'!D1408+"n/&gt;!$nx"</f>
        <v>#VALUE!</v>
      </c>
      <c r="V57" t="e">
        <f>'All regions'!E1408+"n/&gt;!$ny"</f>
        <v>#VALUE!</v>
      </c>
      <c r="W57" t="e">
        <f>'All regions'!F1408+"n/&gt;!$nz"</f>
        <v>#VALUE!</v>
      </c>
      <c r="X57" t="e">
        <f>'All regions'!G1408+"n/&gt;!$n{"</f>
        <v>#VALUE!</v>
      </c>
      <c r="Y57" t="e">
        <f>'All regions'!H1408+"n/&gt;!$n|"</f>
        <v>#VALUE!</v>
      </c>
      <c r="Z57" t="e">
        <f>'All regions'!I1408+"n/&gt;!$n}"</f>
        <v>#VALUE!</v>
      </c>
      <c r="AA57" t="e">
        <f>'All regions'!J1408+"n/&gt;!$n~"</f>
        <v>#VALUE!</v>
      </c>
      <c r="AB57" t="e">
        <f>'All regions'!A1409+"n/&gt;!$o#"</f>
        <v>#VALUE!</v>
      </c>
      <c r="AC57" t="e">
        <f>'All regions'!B1409+"n/&gt;!$o$"</f>
        <v>#VALUE!</v>
      </c>
      <c r="AD57" t="e">
        <f>'All regions'!C1409+"n/&gt;!$o%"</f>
        <v>#VALUE!</v>
      </c>
      <c r="AE57" t="e">
        <f>'All regions'!D1409+"n/&gt;!$o&amp;"</f>
        <v>#VALUE!</v>
      </c>
      <c r="AF57" t="e">
        <f>'All regions'!E1409+"n/&gt;!$o'"</f>
        <v>#VALUE!</v>
      </c>
      <c r="AG57" t="e">
        <f>'All regions'!F1409+"n/&gt;!$o("</f>
        <v>#VALUE!</v>
      </c>
      <c r="AH57" t="e">
        <f>'All regions'!G1409+"n/&gt;!$o)"</f>
        <v>#VALUE!</v>
      </c>
      <c r="AI57" t="e">
        <f>'All regions'!H1409+"n/&gt;!$o."</f>
        <v>#VALUE!</v>
      </c>
      <c r="AJ57" t="e">
        <f>'All regions'!I1409+"n/&gt;!$o/"</f>
        <v>#VALUE!</v>
      </c>
      <c r="AK57" t="e">
        <f>'All regions'!J1409+"n/&gt;!$o0"</f>
        <v>#VALUE!</v>
      </c>
      <c r="AL57" t="e">
        <f>'All regions'!A1410+"n/&gt;!$o1"</f>
        <v>#VALUE!</v>
      </c>
      <c r="AM57" t="e">
        <f>'All regions'!B1410+"n/&gt;!$o2"</f>
        <v>#VALUE!</v>
      </c>
      <c r="AN57" t="e">
        <f>'All regions'!C1410+"n/&gt;!$o3"</f>
        <v>#VALUE!</v>
      </c>
      <c r="AO57" t="e">
        <f>'All regions'!D1410+"n/&gt;!$o4"</f>
        <v>#VALUE!</v>
      </c>
      <c r="AP57" t="e">
        <f>'All regions'!E1410+"n/&gt;!$o5"</f>
        <v>#VALUE!</v>
      </c>
      <c r="AQ57" t="e">
        <f>'All regions'!F1410+"n/&gt;!$o6"</f>
        <v>#VALUE!</v>
      </c>
      <c r="AR57" t="e">
        <f>'All regions'!G1410+"n/&gt;!$o7"</f>
        <v>#VALUE!</v>
      </c>
      <c r="AS57" t="e">
        <f>'All regions'!H1410+"n/&gt;!$o8"</f>
        <v>#VALUE!</v>
      </c>
      <c r="AT57" t="e">
        <f>'All regions'!I1410+"n/&gt;!$o9"</f>
        <v>#VALUE!</v>
      </c>
      <c r="AU57" t="e">
        <f>'All regions'!J1410+"n/&gt;!$o:"</f>
        <v>#VALUE!</v>
      </c>
      <c r="AV57" t="e">
        <f>'All regions'!A1411+"n/&gt;!$o;"</f>
        <v>#VALUE!</v>
      </c>
      <c r="AW57" t="e">
        <f>'All regions'!B1411+"n/&gt;!$o&lt;"</f>
        <v>#VALUE!</v>
      </c>
      <c r="AX57" t="e">
        <f>'All regions'!C1411+"n/&gt;!$o="</f>
        <v>#VALUE!</v>
      </c>
      <c r="AY57" t="e">
        <f>'All regions'!D1411+"n/&gt;!$o&gt;"</f>
        <v>#VALUE!</v>
      </c>
      <c r="AZ57" t="e">
        <f>'All regions'!E1411+"n/&gt;!$o?"</f>
        <v>#VALUE!</v>
      </c>
      <c r="BA57" t="e">
        <f>'All regions'!F1411+"n/&gt;!$o@"</f>
        <v>#VALUE!</v>
      </c>
      <c r="BB57" t="e">
        <f>'All regions'!G1411+"n/&gt;!$oA"</f>
        <v>#VALUE!</v>
      </c>
      <c r="BC57" t="e">
        <f>'All regions'!H1411+"n/&gt;!$oB"</f>
        <v>#VALUE!</v>
      </c>
      <c r="BD57" t="e">
        <f>'All regions'!I1411+"n/&gt;!$oC"</f>
        <v>#VALUE!</v>
      </c>
      <c r="BE57" t="e">
        <f>'All regions'!J1411+"n/&gt;!$oD"</f>
        <v>#VALUE!</v>
      </c>
      <c r="BF57" t="e">
        <f>'All regions'!A1412+"n/&gt;!$oE"</f>
        <v>#VALUE!</v>
      </c>
      <c r="BG57" t="e">
        <f>'All regions'!B1412+"n/&gt;!$oF"</f>
        <v>#VALUE!</v>
      </c>
      <c r="BH57" t="e">
        <f>'All regions'!C1412+"n/&gt;!$oG"</f>
        <v>#VALUE!</v>
      </c>
      <c r="BI57" t="e">
        <f>'All regions'!D1412+"n/&gt;!$oH"</f>
        <v>#VALUE!</v>
      </c>
      <c r="BJ57" t="e">
        <f>'All regions'!E1412+"n/&gt;!$oI"</f>
        <v>#VALUE!</v>
      </c>
      <c r="BK57" t="e">
        <f>'All regions'!F1412+"n/&gt;!$oJ"</f>
        <v>#VALUE!</v>
      </c>
      <c r="BL57" t="e">
        <f>'All regions'!G1412+"n/&gt;!$oK"</f>
        <v>#VALUE!</v>
      </c>
      <c r="BM57" t="e">
        <f>'All regions'!H1412+"n/&gt;!$oL"</f>
        <v>#VALUE!</v>
      </c>
      <c r="BN57" t="e">
        <f>'All regions'!I1412+"n/&gt;!$oM"</f>
        <v>#VALUE!</v>
      </c>
      <c r="BO57" t="e">
        <f>'All regions'!J1412+"n/&gt;!$oN"</f>
        <v>#VALUE!</v>
      </c>
      <c r="BP57" t="e">
        <f>'All regions'!A1413+"n/&gt;!$oO"</f>
        <v>#VALUE!</v>
      </c>
      <c r="BQ57" t="e">
        <f>'All regions'!B1413+"n/&gt;!$oP"</f>
        <v>#VALUE!</v>
      </c>
      <c r="BR57" t="e">
        <f>'All regions'!C1413+"n/&gt;!$oQ"</f>
        <v>#VALUE!</v>
      </c>
      <c r="BS57" t="e">
        <f>'All regions'!D1413+"n/&gt;!$oR"</f>
        <v>#VALUE!</v>
      </c>
      <c r="BT57" t="e">
        <f>'All regions'!E1413+"n/&gt;!$oS"</f>
        <v>#VALUE!</v>
      </c>
      <c r="BU57" t="e">
        <f>'All regions'!F1413+"n/&gt;!$oT"</f>
        <v>#VALUE!</v>
      </c>
      <c r="BV57" t="e">
        <f>'All regions'!G1413+"n/&gt;!$oU"</f>
        <v>#VALUE!</v>
      </c>
      <c r="BW57" t="e">
        <f>'All regions'!H1413+"n/&gt;!$oV"</f>
        <v>#VALUE!</v>
      </c>
      <c r="BX57" t="e">
        <f>'All regions'!I1413+"n/&gt;!$oW"</f>
        <v>#VALUE!</v>
      </c>
      <c r="BY57" t="e">
        <f>'All regions'!J1413+"n/&gt;!$oX"</f>
        <v>#VALUE!</v>
      </c>
      <c r="BZ57" t="e">
        <f>'All regions'!A1414+"n/&gt;!$oY"</f>
        <v>#VALUE!</v>
      </c>
      <c r="CA57" t="e">
        <f>'All regions'!B1414+"n/&gt;!$oZ"</f>
        <v>#VALUE!</v>
      </c>
      <c r="CB57" t="e">
        <f>'All regions'!C1414+"n/&gt;!$o["</f>
        <v>#VALUE!</v>
      </c>
      <c r="CC57" t="e">
        <f>'All regions'!D1414+"n/&gt;!$o\"</f>
        <v>#VALUE!</v>
      </c>
      <c r="CD57" t="e">
        <f>'All regions'!E1414+"n/&gt;!$o]"</f>
        <v>#VALUE!</v>
      </c>
      <c r="CE57" t="e">
        <f>'All regions'!F1414+"n/&gt;!$o^"</f>
        <v>#VALUE!</v>
      </c>
      <c r="CF57" t="e">
        <f>'All regions'!G1414+"n/&gt;!$o_"</f>
        <v>#VALUE!</v>
      </c>
      <c r="CG57" t="e">
        <f>'All regions'!H1414+"n/&gt;!$o`"</f>
        <v>#VALUE!</v>
      </c>
      <c r="CH57" t="e">
        <f>'All regions'!I1414+"n/&gt;!$oa"</f>
        <v>#VALUE!</v>
      </c>
      <c r="CI57" t="e">
        <f>'All regions'!J1414+"n/&gt;!$ob"</f>
        <v>#VALUE!</v>
      </c>
      <c r="CJ57" t="e">
        <f>'All regions'!A1415+"n/&gt;!$oc"</f>
        <v>#VALUE!</v>
      </c>
      <c r="CK57" t="e">
        <f>'All regions'!B1415+"n/&gt;!$od"</f>
        <v>#VALUE!</v>
      </c>
      <c r="CL57" t="e">
        <f>'All regions'!C1415+"n/&gt;!$oe"</f>
        <v>#VALUE!</v>
      </c>
      <c r="CM57" t="e">
        <f>'All regions'!D1415+"n/&gt;!$of"</f>
        <v>#VALUE!</v>
      </c>
      <c r="CN57" t="e">
        <f>'All regions'!E1415+"n/&gt;!$og"</f>
        <v>#VALUE!</v>
      </c>
      <c r="CO57" t="e">
        <f>'All regions'!F1415+"n/&gt;!$oh"</f>
        <v>#VALUE!</v>
      </c>
      <c r="CP57" t="e">
        <f>'All regions'!G1415+"n/&gt;!$oi"</f>
        <v>#VALUE!</v>
      </c>
      <c r="CQ57" t="e">
        <f>'All regions'!H1415+"n/&gt;!$oj"</f>
        <v>#VALUE!</v>
      </c>
      <c r="CR57" t="e">
        <f>'All regions'!I1415+"n/&gt;!$ok"</f>
        <v>#VALUE!</v>
      </c>
      <c r="CS57" t="e">
        <f>'All regions'!J1415+"n/&gt;!$ol"</f>
        <v>#VALUE!</v>
      </c>
      <c r="CT57" t="e">
        <f>'All regions'!A1416+"n/&gt;!$om"</f>
        <v>#VALUE!</v>
      </c>
      <c r="CU57" t="e">
        <f>'All regions'!B1416+"n/&gt;!$on"</f>
        <v>#VALUE!</v>
      </c>
      <c r="CV57" t="e">
        <f>'All regions'!C1416+"n/&gt;!$oo"</f>
        <v>#VALUE!</v>
      </c>
      <c r="CW57" t="e">
        <f>'All regions'!D1416+"n/&gt;!$op"</f>
        <v>#VALUE!</v>
      </c>
      <c r="CX57" t="e">
        <f>'All regions'!E1416+"n/&gt;!$oq"</f>
        <v>#VALUE!</v>
      </c>
      <c r="CY57" t="e">
        <f>'All regions'!F1416+"n/&gt;!$or"</f>
        <v>#VALUE!</v>
      </c>
      <c r="CZ57" t="e">
        <f>'All regions'!G1416+"n/&gt;!$os"</f>
        <v>#VALUE!</v>
      </c>
      <c r="DA57" t="e">
        <f>'All regions'!H1416+"n/&gt;!$ot"</f>
        <v>#VALUE!</v>
      </c>
      <c r="DB57" t="e">
        <f>'All regions'!I1416+"n/&gt;!$ou"</f>
        <v>#VALUE!</v>
      </c>
      <c r="DC57" t="e">
        <f>'All regions'!J1416+"n/&gt;!$ov"</f>
        <v>#VALUE!</v>
      </c>
      <c r="DD57" t="e">
        <f>'All regions'!A1417+"n/&gt;!$ow"</f>
        <v>#VALUE!</v>
      </c>
      <c r="DE57" t="e">
        <f>'All regions'!B1417+"n/&gt;!$ox"</f>
        <v>#VALUE!</v>
      </c>
      <c r="DF57" t="e">
        <f>'All regions'!C1417+"n/&gt;!$oy"</f>
        <v>#VALUE!</v>
      </c>
      <c r="DG57" t="e">
        <f>'All regions'!D1417+"n/&gt;!$oz"</f>
        <v>#VALUE!</v>
      </c>
      <c r="DH57" t="e">
        <f>'All regions'!E1417+"n/&gt;!$o{"</f>
        <v>#VALUE!</v>
      </c>
      <c r="DI57" t="e">
        <f>'All regions'!F1417+"n/&gt;!$o|"</f>
        <v>#VALUE!</v>
      </c>
      <c r="DJ57" t="e">
        <f>'All regions'!G1417+"n/&gt;!$o}"</f>
        <v>#VALUE!</v>
      </c>
      <c r="DK57" t="e">
        <f>'All regions'!H1417+"n/&gt;!$o~"</f>
        <v>#VALUE!</v>
      </c>
      <c r="DL57" t="e">
        <f>'All regions'!I1417+"n/&gt;!$p#"</f>
        <v>#VALUE!</v>
      </c>
      <c r="DM57" t="e">
        <f>'All regions'!J1417+"n/&gt;!$p$"</f>
        <v>#VALUE!</v>
      </c>
      <c r="DN57" t="e">
        <f>'All regions'!A1418+"n/&gt;!$p%"</f>
        <v>#VALUE!</v>
      </c>
      <c r="DO57" t="e">
        <f>'All regions'!B1418+"n/&gt;!$p&amp;"</f>
        <v>#VALUE!</v>
      </c>
      <c r="DP57" t="e">
        <f>'All regions'!C1418+"n/&gt;!$p'"</f>
        <v>#VALUE!</v>
      </c>
      <c r="DQ57" t="e">
        <f>'All regions'!D1418+"n/&gt;!$p("</f>
        <v>#VALUE!</v>
      </c>
      <c r="DR57" t="e">
        <f>'All regions'!E1418+"n/&gt;!$p)"</f>
        <v>#VALUE!</v>
      </c>
      <c r="DS57" t="e">
        <f>'All regions'!F1418+"n/&gt;!$p."</f>
        <v>#VALUE!</v>
      </c>
      <c r="DT57" t="e">
        <f>'All regions'!G1418+"n/&gt;!$p/"</f>
        <v>#VALUE!</v>
      </c>
      <c r="DU57" t="e">
        <f>'All regions'!H1418+"n/&gt;!$p0"</f>
        <v>#VALUE!</v>
      </c>
      <c r="DV57" t="e">
        <f>'All regions'!I1418+"n/&gt;!$p1"</f>
        <v>#VALUE!</v>
      </c>
      <c r="DW57" t="e">
        <f>'All regions'!J1418+"n/&gt;!$p2"</f>
        <v>#VALUE!</v>
      </c>
      <c r="DX57" t="e">
        <f>'All regions'!A1419+"n/&gt;!$p3"</f>
        <v>#VALUE!</v>
      </c>
      <c r="DY57" t="e">
        <f>'All regions'!B1419+"n/&gt;!$p4"</f>
        <v>#VALUE!</v>
      </c>
      <c r="DZ57" t="e">
        <f>'All regions'!C1419+"n/&gt;!$p5"</f>
        <v>#VALUE!</v>
      </c>
      <c r="EA57" t="e">
        <f>'All regions'!D1419+"n/&gt;!$p6"</f>
        <v>#VALUE!</v>
      </c>
      <c r="EB57" t="e">
        <f>'All regions'!E1419+"n/&gt;!$p7"</f>
        <v>#VALUE!</v>
      </c>
      <c r="EC57" t="e">
        <f>'All regions'!F1419+"n/&gt;!$p8"</f>
        <v>#VALUE!</v>
      </c>
      <c r="ED57" t="e">
        <f>'All regions'!G1419+"n/&gt;!$p9"</f>
        <v>#VALUE!</v>
      </c>
      <c r="EE57" t="e">
        <f>'All regions'!H1419+"n/&gt;!$p:"</f>
        <v>#VALUE!</v>
      </c>
      <c r="EF57" t="e">
        <f>'All regions'!I1419+"n/&gt;!$p;"</f>
        <v>#VALUE!</v>
      </c>
      <c r="EG57" t="e">
        <f>'All regions'!J1419+"n/&gt;!$p&lt;"</f>
        <v>#VALUE!</v>
      </c>
      <c r="EH57" t="e">
        <f>'All regions'!A1420+"n/&gt;!$p="</f>
        <v>#VALUE!</v>
      </c>
      <c r="EI57" t="e">
        <f>'All regions'!B1420+"n/&gt;!$p&gt;"</f>
        <v>#VALUE!</v>
      </c>
      <c r="EJ57" t="e">
        <f>'All regions'!C1420+"n/&gt;!$p?"</f>
        <v>#VALUE!</v>
      </c>
      <c r="EK57" t="e">
        <f>'All regions'!D1420+"n/&gt;!$p@"</f>
        <v>#VALUE!</v>
      </c>
      <c r="EL57" t="e">
        <f>'All regions'!E1420+"n/&gt;!$pA"</f>
        <v>#VALUE!</v>
      </c>
      <c r="EM57" t="e">
        <f>'All regions'!F1420+"n/&gt;!$pB"</f>
        <v>#VALUE!</v>
      </c>
      <c r="EN57" t="e">
        <f>'All regions'!G1420+"n/&gt;!$pC"</f>
        <v>#VALUE!</v>
      </c>
      <c r="EO57" t="e">
        <f>'All regions'!H1420+"n/&gt;!$pD"</f>
        <v>#VALUE!</v>
      </c>
      <c r="EP57" t="e">
        <f>'All regions'!I1420+"n/&gt;!$pE"</f>
        <v>#VALUE!</v>
      </c>
      <c r="EQ57" t="e">
        <f>'All regions'!J1420+"n/&gt;!$pF"</f>
        <v>#VALUE!</v>
      </c>
      <c r="ER57" t="e">
        <f>'All regions'!A1421+"n/&gt;!$pG"</f>
        <v>#VALUE!</v>
      </c>
      <c r="ES57" t="e">
        <f>'All regions'!B1421+"n/&gt;!$pH"</f>
        <v>#VALUE!</v>
      </c>
      <c r="ET57" t="e">
        <f>'All regions'!C1421+"n/&gt;!$pI"</f>
        <v>#VALUE!</v>
      </c>
      <c r="EU57" t="e">
        <f>'All regions'!D1421+"n/&gt;!$pJ"</f>
        <v>#VALUE!</v>
      </c>
      <c r="EV57" t="e">
        <f>'All regions'!E1421+"n/&gt;!$pK"</f>
        <v>#VALUE!</v>
      </c>
      <c r="EW57" t="e">
        <f>'All regions'!F1421+"n/&gt;!$pL"</f>
        <v>#VALUE!</v>
      </c>
      <c r="EX57" t="e">
        <f>'All regions'!G1421+"n/&gt;!$pM"</f>
        <v>#VALUE!</v>
      </c>
      <c r="EY57" t="e">
        <f>'All regions'!H1421+"n/&gt;!$pN"</f>
        <v>#VALUE!</v>
      </c>
      <c r="EZ57" t="e">
        <f>'All regions'!I1421+"n/&gt;!$pO"</f>
        <v>#VALUE!</v>
      </c>
      <c r="FA57" t="e">
        <f>'All regions'!J1421+"n/&gt;!$pP"</f>
        <v>#VALUE!</v>
      </c>
      <c r="FB57" t="e">
        <f>'All regions'!A1422+"n/&gt;!$pQ"</f>
        <v>#VALUE!</v>
      </c>
      <c r="FC57" t="e">
        <f>'All regions'!B1422+"n/&gt;!$pR"</f>
        <v>#VALUE!</v>
      </c>
      <c r="FD57" t="e">
        <f>'All regions'!C1422+"n/&gt;!$pS"</f>
        <v>#VALUE!</v>
      </c>
      <c r="FE57" t="e">
        <f>'All regions'!D1422+"n/&gt;!$pT"</f>
        <v>#VALUE!</v>
      </c>
      <c r="FF57" t="e">
        <f>'All regions'!E1422+"n/&gt;!$pU"</f>
        <v>#VALUE!</v>
      </c>
      <c r="FG57" t="e">
        <f>'All regions'!F1422+"n/&gt;!$pV"</f>
        <v>#VALUE!</v>
      </c>
      <c r="FH57" t="e">
        <f>'All regions'!G1422+"n/&gt;!$pW"</f>
        <v>#VALUE!</v>
      </c>
      <c r="FI57" t="e">
        <f>'All regions'!H1422+"n/&gt;!$pX"</f>
        <v>#VALUE!</v>
      </c>
      <c r="FJ57" t="e">
        <f>'All regions'!I1422+"n/&gt;!$pY"</f>
        <v>#VALUE!</v>
      </c>
      <c r="FK57" t="e">
        <f>'All regions'!J1422+"n/&gt;!$pZ"</f>
        <v>#VALUE!</v>
      </c>
      <c r="FL57" t="e">
        <f>'All regions'!A1423+"n/&gt;!$p["</f>
        <v>#VALUE!</v>
      </c>
      <c r="FM57" t="e">
        <f>'All regions'!B1423+"n/&gt;!$p\"</f>
        <v>#VALUE!</v>
      </c>
      <c r="FN57" t="e">
        <f>'All regions'!C1423+"n/&gt;!$p]"</f>
        <v>#VALUE!</v>
      </c>
      <c r="FO57" t="e">
        <f>'All regions'!D1423+"n/&gt;!$p^"</f>
        <v>#VALUE!</v>
      </c>
      <c r="FP57" t="e">
        <f>'All regions'!E1423+"n/&gt;!$p_"</f>
        <v>#VALUE!</v>
      </c>
      <c r="FQ57" t="e">
        <f>'All regions'!F1423+"n/&gt;!$p`"</f>
        <v>#VALUE!</v>
      </c>
      <c r="FR57" t="e">
        <f>'All regions'!G1423+"n/&gt;!$pa"</f>
        <v>#VALUE!</v>
      </c>
      <c r="FS57" t="e">
        <f>'All regions'!H1423+"n/&gt;!$pb"</f>
        <v>#VALUE!</v>
      </c>
      <c r="FT57" t="e">
        <f>'All regions'!I1423+"n/&gt;!$pc"</f>
        <v>#VALUE!</v>
      </c>
      <c r="FU57" t="e">
        <f>'All regions'!J1423+"n/&gt;!$pd"</f>
        <v>#VALUE!</v>
      </c>
      <c r="FV57" t="e">
        <f>'All regions'!A1424+"n/&gt;!$pe"</f>
        <v>#VALUE!</v>
      </c>
      <c r="FW57" t="e">
        <f>'All regions'!B1424+"n/&gt;!$pf"</f>
        <v>#VALUE!</v>
      </c>
      <c r="FX57" t="e">
        <f>'All regions'!C1424+"n/&gt;!$pg"</f>
        <v>#VALUE!</v>
      </c>
      <c r="FY57" t="e">
        <f>'All regions'!D1424+"n/&gt;!$ph"</f>
        <v>#VALUE!</v>
      </c>
      <c r="FZ57" t="e">
        <f>'All regions'!E1424+"n/&gt;!$pi"</f>
        <v>#VALUE!</v>
      </c>
      <c r="GA57" t="e">
        <f>'All regions'!F1424+"n/&gt;!$pj"</f>
        <v>#VALUE!</v>
      </c>
      <c r="GB57" t="e">
        <f>'All regions'!G1424+"n/&gt;!$pk"</f>
        <v>#VALUE!</v>
      </c>
      <c r="GC57" t="e">
        <f>'All regions'!H1424+"n/&gt;!$pl"</f>
        <v>#VALUE!</v>
      </c>
      <c r="GD57" t="e">
        <f>'All regions'!I1424+"n/&gt;!$pm"</f>
        <v>#VALUE!</v>
      </c>
      <c r="GE57" t="e">
        <f>'All regions'!J1424+"n/&gt;!$pn"</f>
        <v>#VALUE!</v>
      </c>
      <c r="GF57" t="e">
        <f>'All regions'!A1425+"n/&gt;!$po"</f>
        <v>#VALUE!</v>
      </c>
      <c r="GG57" t="e">
        <f>'All regions'!B1425+"n/&gt;!$pp"</f>
        <v>#VALUE!</v>
      </c>
      <c r="GH57" t="e">
        <f>'All regions'!C1425+"n/&gt;!$pq"</f>
        <v>#VALUE!</v>
      </c>
      <c r="GI57" t="e">
        <f>'All regions'!D1425+"n/&gt;!$pr"</f>
        <v>#VALUE!</v>
      </c>
      <c r="GJ57" t="e">
        <f>'All regions'!E1425+"n/&gt;!$ps"</f>
        <v>#VALUE!</v>
      </c>
      <c r="GK57" t="e">
        <f>'All regions'!F1425+"n/&gt;!$pt"</f>
        <v>#VALUE!</v>
      </c>
      <c r="GL57" t="e">
        <f>'All regions'!G1425+"n/&gt;!$pu"</f>
        <v>#VALUE!</v>
      </c>
      <c r="GM57" t="e">
        <f>'All regions'!H1425+"n/&gt;!$pv"</f>
        <v>#VALUE!</v>
      </c>
      <c r="GN57" t="e">
        <f>'All regions'!I1425+"n/&gt;!$pw"</f>
        <v>#VALUE!</v>
      </c>
      <c r="GO57" t="e">
        <f>'All regions'!J1425+"n/&gt;!$px"</f>
        <v>#VALUE!</v>
      </c>
      <c r="GP57" t="e">
        <f>'All regions'!A1426+"n/&gt;!$py"</f>
        <v>#VALUE!</v>
      </c>
      <c r="GQ57" t="e">
        <f>'All regions'!B1426+"n/&gt;!$pz"</f>
        <v>#VALUE!</v>
      </c>
      <c r="GR57" t="e">
        <f>'All regions'!C1426+"n/&gt;!$p{"</f>
        <v>#VALUE!</v>
      </c>
      <c r="GS57" t="e">
        <f>'All regions'!D1426+"n/&gt;!$p|"</f>
        <v>#VALUE!</v>
      </c>
      <c r="GT57" t="e">
        <f>'All regions'!E1426+"n/&gt;!$p}"</f>
        <v>#VALUE!</v>
      </c>
      <c r="GU57" t="e">
        <f>'All regions'!F1426+"n/&gt;!$p~"</f>
        <v>#VALUE!</v>
      </c>
      <c r="GV57" t="e">
        <f>'All regions'!G1426+"n/&gt;!$q#"</f>
        <v>#VALUE!</v>
      </c>
      <c r="GW57" t="e">
        <f>'All regions'!H1426+"n/&gt;!$q$"</f>
        <v>#VALUE!</v>
      </c>
      <c r="GX57" t="e">
        <f>'All regions'!I1426+"n/&gt;!$q%"</f>
        <v>#VALUE!</v>
      </c>
      <c r="GY57" t="e">
        <f>'All regions'!J1426+"n/&gt;!$q&amp;"</f>
        <v>#VALUE!</v>
      </c>
      <c r="GZ57" t="e">
        <f>'All regions'!A1427+"n/&gt;!$q'"</f>
        <v>#VALUE!</v>
      </c>
      <c r="HA57" t="e">
        <f>'All regions'!B1427+"n/&gt;!$q("</f>
        <v>#VALUE!</v>
      </c>
      <c r="HB57" t="e">
        <f>'All regions'!C1427+"n/&gt;!$q)"</f>
        <v>#VALUE!</v>
      </c>
      <c r="HC57" t="e">
        <f>'All regions'!D1427+"n/&gt;!$q."</f>
        <v>#VALUE!</v>
      </c>
      <c r="HD57" t="e">
        <f>'All regions'!E1427+"n/&gt;!$q/"</f>
        <v>#VALUE!</v>
      </c>
      <c r="HE57" t="e">
        <f>'All regions'!F1427+"n/&gt;!$q0"</f>
        <v>#VALUE!</v>
      </c>
      <c r="HF57" t="e">
        <f>'All regions'!G1427+"n/&gt;!$q1"</f>
        <v>#VALUE!</v>
      </c>
      <c r="HG57" t="e">
        <f>'All regions'!H1427+"n/&gt;!$q2"</f>
        <v>#VALUE!</v>
      </c>
      <c r="HH57" t="e">
        <f>'All regions'!I1427+"n/&gt;!$q3"</f>
        <v>#VALUE!</v>
      </c>
      <c r="HI57" t="e">
        <f>'All regions'!J1427+"n/&gt;!$q4"</f>
        <v>#VALUE!</v>
      </c>
      <c r="HJ57" t="e">
        <f>'All regions'!A1428+"n/&gt;!$q5"</f>
        <v>#VALUE!</v>
      </c>
      <c r="HK57" t="e">
        <f>'All regions'!B1428+"n/&gt;!$q6"</f>
        <v>#VALUE!</v>
      </c>
      <c r="HL57" t="e">
        <f>'All regions'!C1428+"n/&gt;!$q7"</f>
        <v>#VALUE!</v>
      </c>
      <c r="HM57" t="e">
        <f>'All regions'!D1428+"n/&gt;!$q8"</f>
        <v>#VALUE!</v>
      </c>
      <c r="HN57" t="e">
        <f>'All regions'!E1428+"n/&gt;!$q9"</f>
        <v>#VALUE!</v>
      </c>
      <c r="HO57" t="e">
        <f>'All regions'!F1428+"n/&gt;!$q:"</f>
        <v>#VALUE!</v>
      </c>
      <c r="HP57" t="e">
        <f>'All regions'!G1428+"n/&gt;!$q;"</f>
        <v>#VALUE!</v>
      </c>
      <c r="HQ57" t="e">
        <f>'All regions'!H1428+"n/&gt;!$q&lt;"</f>
        <v>#VALUE!</v>
      </c>
      <c r="HR57" t="e">
        <f>'All regions'!I1428+"n/&gt;!$q="</f>
        <v>#VALUE!</v>
      </c>
      <c r="HS57" t="e">
        <f>'All regions'!J1428+"n/&gt;!$q&gt;"</f>
        <v>#VALUE!</v>
      </c>
      <c r="HT57" t="e">
        <f>'All regions'!A1429+"n/&gt;!$q?"</f>
        <v>#VALUE!</v>
      </c>
      <c r="HU57" t="e">
        <f>'All regions'!B1429+"n/&gt;!$q@"</f>
        <v>#VALUE!</v>
      </c>
      <c r="HV57" t="e">
        <f>'All regions'!C1429+"n/&gt;!$qA"</f>
        <v>#VALUE!</v>
      </c>
      <c r="HW57" t="e">
        <f>'All regions'!D1429+"n/&gt;!$qB"</f>
        <v>#VALUE!</v>
      </c>
      <c r="HX57" t="e">
        <f>'All regions'!E1429+"n/&gt;!$qC"</f>
        <v>#VALUE!</v>
      </c>
      <c r="HY57" t="e">
        <f>'All regions'!F1429+"n/&gt;!$qD"</f>
        <v>#VALUE!</v>
      </c>
      <c r="HZ57" t="e">
        <f>'All regions'!G1429+"n/&gt;!$qE"</f>
        <v>#VALUE!</v>
      </c>
      <c r="IA57" t="e">
        <f>'All regions'!H1429+"n/&gt;!$qF"</f>
        <v>#VALUE!</v>
      </c>
      <c r="IB57" t="e">
        <f>'All regions'!I1429+"n/&gt;!$qG"</f>
        <v>#VALUE!</v>
      </c>
      <c r="IC57" t="e">
        <f>'All regions'!J1429+"n/&gt;!$qH"</f>
        <v>#VALUE!</v>
      </c>
      <c r="ID57" t="e">
        <f>'All regions'!A1430+"n/&gt;!$qI"</f>
        <v>#VALUE!</v>
      </c>
      <c r="IE57" t="e">
        <f>'All regions'!B1430+"n/&gt;!$qJ"</f>
        <v>#VALUE!</v>
      </c>
      <c r="IF57" t="e">
        <f>'All regions'!C1430+"n/&gt;!$qK"</f>
        <v>#VALUE!</v>
      </c>
      <c r="IG57" t="e">
        <f>'All regions'!D1430+"n/&gt;!$qL"</f>
        <v>#VALUE!</v>
      </c>
      <c r="IH57" t="e">
        <f>'All regions'!E1430+"n/&gt;!$qM"</f>
        <v>#VALUE!</v>
      </c>
      <c r="II57" t="e">
        <f>'All regions'!F1430+"n/&gt;!$qN"</f>
        <v>#VALUE!</v>
      </c>
      <c r="IJ57" t="e">
        <f>'All regions'!G1430+"n/&gt;!$qO"</f>
        <v>#VALUE!</v>
      </c>
      <c r="IK57" t="e">
        <f>'All regions'!H1430+"n/&gt;!$qP"</f>
        <v>#VALUE!</v>
      </c>
      <c r="IL57" t="e">
        <f>'All regions'!I1430+"n/&gt;!$qQ"</f>
        <v>#VALUE!</v>
      </c>
      <c r="IM57" t="e">
        <f>'All regions'!J1430+"n/&gt;!$qR"</f>
        <v>#VALUE!</v>
      </c>
      <c r="IN57" t="e">
        <f>'All regions'!A1431+"n/&gt;!$qS"</f>
        <v>#VALUE!</v>
      </c>
      <c r="IO57" t="e">
        <f>'All regions'!B1431+"n/&gt;!$qT"</f>
        <v>#VALUE!</v>
      </c>
      <c r="IP57" t="e">
        <f>'All regions'!C1431+"n/&gt;!$qU"</f>
        <v>#VALUE!</v>
      </c>
      <c r="IQ57" t="e">
        <f>'All regions'!D1431+"n/&gt;!$qV"</f>
        <v>#VALUE!</v>
      </c>
      <c r="IR57" t="e">
        <f>'All regions'!E1431+"n/&gt;!$qW"</f>
        <v>#VALUE!</v>
      </c>
      <c r="IS57" t="e">
        <f>'All regions'!F1431+"n/&gt;!$qX"</f>
        <v>#VALUE!</v>
      </c>
      <c r="IT57" t="e">
        <f>'All regions'!G1431+"n/&gt;!$qY"</f>
        <v>#VALUE!</v>
      </c>
      <c r="IU57" t="e">
        <f>'All regions'!H1431+"n/&gt;!$qZ"</f>
        <v>#VALUE!</v>
      </c>
      <c r="IV57" t="e">
        <f>'All regions'!I1431+"n/&gt;!$q["</f>
        <v>#VALUE!</v>
      </c>
    </row>
    <row r="58" spans="6:256" x14ac:dyDescent="0.35">
      <c r="F58" t="e">
        <f>'All regions'!J1431+"n/&gt;!$q\"</f>
        <v>#VALUE!</v>
      </c>
      <c r="G58" t="e">
        <f>'All regions'!A1432+"n/&gt;!$q]"</f>
        <v>#VALUE!</v>
      </c>
      <c r="H58" t="e">
        <f>'All regions'!B1432+"n/&gt;!$q^"</f>
        <v>#VALUE!</v>
      </c>
      <c r="I58" t="e">
        <f>'All regions'!C1432+"n/&gt;!$q_"</f>
        <v>#VALUE!</v>
      </c>
      <c r="J58" t="e">
        <f>'All regions'!D1432+"n/&gt;!$q`"</f>
        <v>#VALUE!</v>
      </c>
      <c r="K58" t="e">
        <f>'All regions'!E1432+"n/&gt;!$qa"</f>
        <v>#VALUE!</v>
      </c>
      <c r="L58" t="e">
        <f>'All regions'!F1432+"n/&gt;!$qb"</f>
        <v>#VALUE!</v>
      </c>
      <c r="M58" t="e">
        <f>'All regions'!G1432+"n/&gt;!$qc"</f>
        <v>#VALUE!</v>
      </c>
      <c r="N58" t="e">
        <f>'All regions'!H1432+"n/&gt;!$qd"</f>
        <v>#VALUE!</v>
      </c>
      <c r="O58" t="e">
        <f>'All regions'!I1432+"n/&gt;!$qe"</f>
        <v>#VALUE!</v>
      </c>
      <c r="P58" t="e">
        <f>'All regions'!J1432+"n/&gt;!$qf"</f>
        <v>#VALUE!</v>
      </c>
      <c r="Q58" t="e">
        <f>'All regions'!A1433+"n/&gt;!$qg"</f>
        <v>#VALUE!</v>
      </c>
      <c r="R58" t="e">
        <f>'All regions'!B1433+"n/&gt;!$qh"</f>
        <v>#VALUE!</v>
      </c>
      <c r="S58" t="e">
        <f>'All regions'!C1433+"n/&gt;!$qi"</f>
        <v>#VALUE!</v>
      </c>
      <c r="T58" t="e">
        <f>'All regions'!D1433+"n/&gt;!$qj"</f>
        <v>#VALUE!</v>
      </c>
      <c r="U58" t="e">
        <f>'All regions'!E1433+"n/&gt;!$qk"</f>
        <v>#VALUE!</v>
      </c>
      <c r="V58" t="e">
        <f>'All regions'!F1433+"n/&gt;!$ql"</f>
        <v>#VALUE!</v>
      </c>
      <c r="W58" t="e">
        <f>'All regions'!G1433+"n/&gt;!$qm"</f>
        <v>#VALUE!</v>
      </c>
      <c r="X58" t="e">
        <f>'All regions'!H1433+"n/&gt;!$qn"</f>
        <v>#VALUE!</v>
      </c>
      <c r="Y58" t="e">
        <f>'All regions'!I1433+"n/&gt;!$qo"</f>
        <v>#VALUE!</v>
      </c>
      <c r="Z58" t="e">
        <f>'All regions'!J1433+"n/&gt;!$qp"</f>
        <v>#VALUE!</v>
      </c>
      <c r="AA58" t="e">
        <f>'All regions'!A1434+"n/&gt;!$qq"</f>
        <v>#VALUE!</v>
      </c>
      <c r="AB58" t="e">
        <f>'All regions'!B1434+"n/&gt;!$qr"</f>
        <v>#VALUE!</v>
      </c>
      <c r="AC58" t="e">
        <f>'All regions'!C1434+"n/&gt;!$qs"</f>
        <v>#VALUE!</v>
      </c>
      <c r="AD58" t="e">
        <f>'All regions'!D1434+"n/&gt;!$qt"</f>
        <v>#VALUE!</v>
      </c>
      <c r="AE58" t="e">
        <f>'All regions'!E1434+"n/&gt;!$qu"</f>
        <v>#VALUE!</v>
      </c>
      <c r="AF58" t="e">
        <f>'All regions'!F1434+"n/&gt;!$qv"</f>
        <v>#VALUE!</v>
      </c>
      <c r="AG58" t="e">
        <f>'All regions'!G1434+"n/&gt;!$qw"</f>
        <v>#VALUE!</v>
      </c>
      <c r="AH58" t="e">
        <f>'All regions'!H1434+"n/&gt;!$qx"</f>
        <v>#VALUE!</v>
      </c>
      <c r="AI58" t="e">
        <f>'All regions'!I1434+"n/&gt;!$qy"</f>
        <v>#VALUE!</v>
      </c>
      <c r="AJ58" t="e">
        <f>'All regions'!J1434+"n/&gt;!$qz"</f>
        <v>#VALUE!</v>
      </c>
      <c r="AK58" t="e">
        <f>'All regions'!A1435+"n/&gt;!$q{"</f>
        <v>#VALUE!</v>
      </c>
      <c r="AL58" t="e">
        <f>'All regions'!B1435+"n/&gt;!$q|"</f>
        <v>#VALUE!</v>
      </c>
      <c r="AM58" t="e">
        <f>'All regions'!C1435+"n/&gt;!$q}"</f>
        <v>#VALUE!</v>
      </c>
      <c r="AN58" t="e">
        <f>'All regions'!D1435+"n/&gt;!$q~"</f>
        <v>#VALUE!</v>
      </c>
      <c r="AO58" t="e">
        <f>'All regions'!E1435+"n/&gt;!$r#"</f>
        <v>#VALUE!</v>
      </c>
      <c r="AP58" t="e">
        <f>'All regions'!F1435+"n/&gt;!$r$"</f>
        <v>#VALUE!</v>
      </c>
      <c r="AQ58" t="e">
        <f>'All regions'!G1435+"n/&gt;!$r%"</f>
        <v>#VALUE!</v>
      </c>
      <c r="AR58" t="e">
        <f>'All regions'!H1435+"n/&gt;!$r&amp;"</f>
        <v>#VALUE!</v>
      </c>
      <c r="AS58" t="e">
        <f>'All regions'!I1435+"n/&gt;!$r'"</f>
        <v>#VALUE!</v>
      </c>
      <c r="AT58" t="e">
        <f>'All regions'!J1435+"n/&gt;!$r("</f>
        <v>#VALUE!</v>
      </c>
      <c r="AU58" t="e">
        <f>'All regions'!A1436+"n/&gt;!$r)"</f>
        <v>#VALUE!</v>
      </c>
      <c r="AV58" t="e">
        <f>'All regions'!B1436+"n/&gt;!$r."</f>
        <v>#VALUE!</v>
      </c>
      <c r="AW58" t="e">
        <f>'All regions'!C1436+"n/&gt;!$r/"</f>
        <v>#VALUE!</v>
      </c>
      <c r="AX58" t="e">
        <f>'All regions'!D1436+"n/&gt;!$r0"</f>
        <v>#VALUE!</v>
      </c>
      <c r="AY58" t="e">
        <f>'All regions'!E1436+"n/&gt;!$r1"</f>
        <v>#VALUE!</v>
      </c>
      <c r="AZ58" t="e">
        <f>'All regions'!F1436+"n/&gt;!$r2"</f>
        <v>#VALUE!</v>
      </c>
      <c r="BA58" t="e">
        <f>'All regions'!G1436+"n/&gt;!$r3"</f>
        <v>#VALUE!</v>
      </c>
      <c r="BB58" t="e">
        <f>'All regions'!H1436+"n/&gt;!$r4"</f>
        <v>#VALUE!</v>
      </c>
      <c r="BC58" t="e">
        <f>'All regions'!I1436+"n/&gt;!$r5"</f>
        <v>#VALUE!</v>
      </c>
      <c r="BD58" t="e">
        <f>'All regions'!J1436+"n/&gt;!$r6"</f>
        <v>#VALUE!</v>
      </c>
      <c r="BE58" t="e">
        <f>'All regions'!A1437+"n/&gt;!$r7"</f>
        <v>#VALUE!</v>
      </c>
      <c r="BF58" t="e">
        <f>'All regions'!B1437+"n/&gt;!$r8"</f>
        <v>#VALUE!</v>
      </c>
      <c r="BG58" t="e">
        <f>'All regions'!C1437+"n/&gt;!$r9"</f>
        <v>#VALUE!</v>
      </c>
      <c r="BH58" t="e">
        <f>'All regions'!D1437+"n/&gt;!$r:"</f>
        <v>#VALUE!</v>
      </c>
      <c r="BI58" t="e">
        <f>'All regions'!E1437+"n/&gt;!$r;"</f>
        <v>#VALUE!</v>
      </c>
      <c r="BJ58" t="e">
        <f>'All regions'!F1437+"n/&gt;!$r&lt;"</f>
        <v>#VALUE!</v>
      </c>
      <c r="BK58" t="e">
        <f>'All regions'!G1437+"n/&gt;!$r="</f>
        <v>#VALUE!</v>
      </c>
      <c r="BL58" t="e">
        <f>'All regions'!H1437+"n/&gt;!$r&gt;"</f>
        <v>#VALUE!</v>
      </c>
      <c r="BM58" t="e">
        <f>'All regions'!I1437+"n/&gt;!$r?"</f>
        <v>#VALUE!</v>
      </c>
      <c r="BN58" t="e">
        <f>'All regions'!J1437+"n/&gt;!$r@"</f>
        <v>#VALUE!</v>
      </c>
      <c r="BO58" t="e">
        <f>'All regions'!A1438+"n/&gt;!$rA"</f>
        <v>#VALUE!</v>
      </c>
      <c r="BP58" t="e">
        <f>'All regions'!B1438+"n/&gt;!$rB"</f>
        <v>#VALUE!</v>
      </c>
      <c r="BQ58" t="e">
        <f>'All regions'!C1438+"n/&gt;!$rC"</f>
        <v>#VALUE!</v>
      </c>
      <c r="BR58" t="e">
        <f>'All regions'!D1438+"n/&gt;!$rD"</f>
        <v>#VALUE!</v>
      </c>
      <c r="BS58" t="e">
        <f>'All regions'!E1438+"n/&gt;!$rE"</f>
        <v>#VALUE!</v>
      </c>
      <c r="BT58" t="e">
        <f>'All regions'!F1438+"n/&gt;!$rF"</f>
        <v>#VALUE!</v>
      </c>
      <c r="BU58" t="e">
        <f>'All regions'!G1438+"n/&gt;!$rG"</f>
        <v>#VALUE!</v>
      </c>
      <c r="BV58" t="e">
        <f>'All regions'!H1438+"n/&gt;!$rH"</f>
        <v>#VALUE!</v>
      </c>
      <c r="BW58" t="e">
        <f>'All regions'!I1438+"n/&gt;!$rI"</f>
        <v>#VALUE!</v>
      </c>
      <c r="BX58" t="e">
        <f>'All regions'!J1438+"n/&gt;!$rJ"</f>
        <v>#VALUE!</v>
      </c>
      <c r="BY58" t="e">
        <f>'All regions'!A1439+"n/&gt;!$rK"</f>
        <v>#VALUE!</v>
      </c>
      <c r="BZ58" t="e">
        <f>'All regions'!B1439+"n/&gt;!$rL"</f>
        <v>#VALUE!</v>
      </c>
      <c r="CA58" t="e">
        <f>'All regions'!C1439+"n/&gt;!$rM"</f>
        <v>#VALUE!</v>
      </c>
      <c r="CB58" t="e">
        <f>'All regions'!D1439+"n/&gt;!$rN"</f>
        <v>#VALUE!</v>
      </c>
      <c r="CC58" t="e">
        <f>'All regions'!E1439+"n/&gt;!$rO"</f>
        <v>#VALUE!</v>
      </c>
      <c r="CD58" t="e">
        <f>'All regions'!F1439+"n/&gt;!$rP"</f>
        <v>#VALUE!</v>
      </c>
      <c r="CE58" t="e">
        <f>'All regions'!G1439+"n/&gt;!$rQ"</f>
        <v>#VALUE!</v>
      </c>
      <c r="CF58" t="e">
        <f>'All regions'!H1439+"n/&gt;!$rR"</f>
        <v>#VALUE!</v>
      </c>
      <c r="CG58" t="e">
        <f>'All regions'!I1439+"n/&gt;!$rS"</f>
        <v>#VALUE!</v>
      </c>
      <c r="CH58" t="e">
        <f>'All regions'!J1439+"n/&gt;!$rT"</f>
        <v>#VALUE!</v>
      </c>
      <c r="CI58" t="e">
        <f>'All regions'!A1440+"n/&gt;!$rU"</f>
        <v>#VALUE!</v>
      </c>
      <c r="CJ58" t="e">
        <f>'All regions'!B1440+"n/&gt;!$rV"</f>
        <v>#VALUE!</v>
      </c>
      <c r="CK58" t="e">
        <f>'All regions'!C1440+"n/&gt;!$rW"</f>
        <v>#VALUE!</v>
      </c>
      <c r="CL58" t="e">
        <f>'All regions'!D1440+"n/&gt;!$rX"</f>
        <v>#VALUE!</v>
      </c>
      <c r="CM58" t="e">
        <f>'All regions'!E1440+"n/&gt;!$rY"</f>
        <v>#VALUE!</v>
      </c>
      <c r="CN58" t="e">
        <f>'All regions'!F1440+"n/&gt;!$rZ"</f>
        <v>#VALUE!</v>
      </c>
      <c r="CO58" t="e">
        <f>'All regions'!G1440+"n/&gt;!$r["</f>
        <v>#VALUE!</v>
      </c>
      <c r="CP58" t="e">
        <f>'All regions'!H1440+"n/&gt;!$r\"</f>
        <v>#VALUE!</v>
      </c>
      <c r="CQ58" t="e">
        <f>'All regions'!I1440+"n/&gt;!$r]"</f>
        <v>#VALUE!</v>
      </c>
      <c r="CR58" t="e">
        <f>'All regions'!J1440+"n/&gt;!$r^"</f>
        <v>#VALUE!</v>
      </c>
      <c r="CS58" t="e">
        <f>'All regions'!A1441+"n/&gt;!$r_"</f>
        <v>#VALUE!</v>
      </c>
      <c r="CT58" t="e">
        <f>'All regions'!B1441+"n/&gt;!$r`"</f>
        <v>#VALUE!</v>
      </c>
      <c r="CU58" t="e">
        <f>'All regions'!C1441+"n/&gt;!$ra"</f>
        <v>#VALUE!</v>
      </c>
      <c r="CV58" t="e">
        <f>'All regions'!D1441+"n/&gt;!$rb"</f>
        <v>#VALUE!</v>
      </c>
      <c r="CW58" t="e">
        <f>'All regions'!E1441+"n/&gt;!$rc"</f>
        <v>#VALUE!</v>
      </c>
      <c r="CX58" t="e">
        <f>'All regions'!F1441+"n/&gt;!$rd"</f>
        <v>#VALUE!</v>
      </c>
      <c r="CY58" t="e">
        <f>'All regions'!G1441+"n/&gt;!$re"</f>
        <v>#VALUE!</v>
      </c>
      <c r="CZ58" t="e">
        <f>'All regions'!H1441+"n/&gt;!$rf"</f>
        <v>#VALUE!</v>
      </c>
      <c r="DA58" t="e">
        <f>'All regions'!I1441+"n/&gt;!$rg"</f>
        <v>#VALUE!</v>
      </c>
      <c r="DB58" t="e">
        <f>'All regions'!J1441+"n/&gt;!$rh"</f>
        <v>#VALUE!</v>
      </c>
      <c r="DC58" t="e">
        <f>'All regions'!A1442+"n/&gt;!$ri"</f>
        <v>#VALUE!</v>
      </c>
      <c r="DD58" t="e">
        <f>'All regions'!B1442+"n/&gt;!$rj"</f>
        <v>#VALUE!</v>
      </c>
      <c r="DE58" t="e">
        <f>'All regions'!C1442+"n/&gt;!$rk"</f>
        <v>#VALUE!</v>
      </c>
      <c r="DF58" t="e">
        <f>'All regions'!D1442+"n/&gt;!$rl"</f>
        <v>#VALUE!</v>
      </c>
      <c r="DG58" t="e">
        <f>'All regions'!E1442+"n/&gt;!$rm"</f>
        <v>#VALUE!</v>
      </c>
      <c r="DH58" t="e">
        <f>'All regions'!F1442+"n/&gt;!$rn"</f>
        <v>#VALUE!</v>
      </c>
      <c r="DI58" t="e">
        <f>'All regions'!G1442+"n/&gt;!$ro"</f>
        <v>#VALUE!</v>
      </c>
      <c r="DJ58" t="e">
        <f>'All regions'!H1442+"n/&gt;!$rp"</f>
        <v>#VALUE!</v>
      </c>
      <c r="DK58" t="e">
        <f>'All regions'!I1442+"n/&gt;!$rq"</f>
        <v>#VALUE!</v>
      </c>
      <c r="DL58" t="e">
        <f>'All regions'!J1442+"n/&gt;!$rr"</f>
        <v>#VALUE!</v>
      </c>
      <c r="DM58" t="e">
        <f>'All regions'!A1443+"n/&gt;!$rs"</f>
        <v>#VALUE!</v>
      </c>
      <c r="DN58" t="e">
        <f>'All regions'!B1443+"n/&gt;!$rt"</f>
        <v>#VALUE!</v>
      </c>
      <c r="DO58" t="e">
        <f>'All regions'!C1443+"n/&gt;!$ru"</f>
        <v>#VALUE!</v>
      </c>
      <c r="DP58" t="e">
        <f>'All regions'!D1443+"n/&gt;!$rv"</f>
        <v>#VALUE!</v>
      </c>
      <c r="DQ58" t="e">
        <f>'All regions'!E1443+"n/&gt;!$rw"</f>
        <v>#VALUE!</v>
      </c>
      <c r="DR58" t="e">
        <f>'All regions'!F1443+"n/&gt;!$rx"</f>
        <v>#VALUE!</v>
      </c>
      <c r="DS58" t="e">
        <f>'All regions'!G1443+"n/&gt;!$ry"</f>
        <v>#VALUE!</v>
      </c>
      <c r="DT58" t="e">
        <f>'All regions'!H1443+"n/&gt;!$rz"</f>
        <v>#VALUE!</v>
      </c>
      <c r="DU58" t="e">
        <f>'All regions'!I1443+"n/&gt;!$r{"</f>
        <v>#VALUE!</v>
      </c>
      <c r="DV58" t="e">
        <f>'All regions'!J1443+"n/&gt;!$r|"</f>
        <v>#VALUE!</v>
      </c>
      <c r="DW58" t="e">
        <f>'All regions'!A1444+"n/&gt;!$r}"</f>
        <v>#VALUE!</v>
      </c>
      <c r="DX58" t="e">
        <f>'All regions'!B1444+"n/&gt;!$r~"</f>
        <v>#VALUE!</v>
      </c>
      <c r="DY58" t="e">
        <f>'All regions'!C1444+"n/&gt;!$s#"</f>
        <v>#VALUE!</v>
      </c>
      <c r="DZ58" t="e">
        <f>'All regions'!D1444+"n/&gt;!$s$"</f>
        <v>#VALUE!</v>
      </c>
      <c r="EA58" t="e">
        <f>'All regions'!E1444+"n/&gt;!$s%"</f>
        <v>#VALUE!</v>
      </c>
      <c r="EB58" t="e">
        <f>'All regions'!F1444+"n/&gt;!$s&amp;"</f>
        <v>#VALUE!</v>
      </c>
      <c r="EC58" t="e">
        <f>'All regions'!G1444+"n/&gt;!$s'"</f>
        <v>#VALUE!</v>
      </c>
      <c r="ED58" t="e">
        <f>'All regions'!H1444+"n/&gt;!$s("</f>
        <v>#VALUE!</v>
      </c>
      <c r="EE58" t="e">
        <f>'All regions'!I1444+"n/&gt;!$s)"</f>
        <v>#VALUE!</v>
      </c>
      <c r="EF58" t="e">
        <f>'All regions'!J1444+"n/&gt;!$s."</f>
        <v>#VALUE!</v>
      </c>
      <c r="EG58" t="e">
        <f>'All regions'!A1445+"n/&gt;!$s/"</f>
        <v>#VALUE!</v>
      </c>
      <c r="EH58" t="e">
        <f>'All regions'!B1445+"n/&gt;!$s0"</f>
        <v>#VALUE!</v>
      </c>
      <c r="EI58" t="e">
        <f>'All regions'!C1445+"n/&gt;!$s1"</f>
        <v>#VALUE!</v>
      </c>
      <c r="EJ58" t="e">
        <f>'All regions'!D1445+"n/&gt;!$s2"</f>
        <v>#VALUE!</v>
      </c>
      <c r="EK58" t="e">
        <f>'All regions'!E1445+"n/&gt;!$s3"</f>
        <v>#VALUE!</v>
      </c>
      <c r="EL58" t="e">
        <f>'All regions'!F1445+"n/&gt;!$s4"</f>
        <v>#VALUE!</v>
      </c>
      <c r="EM58" t="e">
        <f>'All regions'!G1445+"n/&gt;!$s5"</f>
        <v>#VALUE!</v>
      </c>
      <c r="EN58" t="e">
        <f>'All regions'!H1445+"n/&gt;!$s6"</f>
        <v>#VALUE!</v>
      </c>
      <c r="EO58" t="e">
        <f>'All regions'!I1445+"n/&gt;!$s7"</f>
        <v>#VALUE!</v>
      </c>
      <c r="EP58" t="e">
        <f>'All regions'!J1445+"n/&gt;!$s8"</f>
        <v>#VALUE!</v>
      </c>
      <c r="EQ58" t="e">
        <f>'All regions'!A1446+"n/&gt;!$s9"</f>
        <v>#VALUE!</v>
      </c>
      <c r="ER58" t="e">
        <f>'All regions'!B1446+"n/&gt;!$s:"</f>
        <v>#VALUE!</v>
      </c>
      <c r="ES58" t="e">
        <f>'All regions'!C1446+"n/&gt;!$s;"</f>
        <v>#VALUE!</v>
      </c>
      <c r="ET58" t="e">
        <f>'All regions'!D1446+"n/&gt;!$s&lt;"</f>
        <v>#VALUE!</v>
      </c>
      <c r="EU58" t="e">
        <f>'All regions'!E1446+"n/&gt;!$s="</f>
        <v>#VALUE!</v>
      </c>
      <c r="EV58" t="e">
        <f>'All regions'!F1446+"n/&gt;!$s&gt;"</f>
        <v>#VALUE!</v>
      </c>
      <c r="EW58" t="e">
        <f>'All regions'!G1446+"n/&gt;!$s?"</f>
        <v>#VALUE!</v>
      </c>
      <c r="EX58" t="e">
        <f>'All regions'!H1446+"n/&gt;!$s@"</f>
        <v>#VALUE!</v>
      </c>
      <c r="EY58" t="e">
        <f>'All regions'!I1446+"n/&gt;!$sA"</f>
        <v>#VALUE!</v>
      </c>
      <c r="EZ58" t="e">
        <f>'All regions'!J1446+"n/&gt;!$sB"</f>
        <v>#VALUE!</v>
      </c>
      <c r="FA58" t="e">
        <f>'All regions'!A1447+"n/&gt;!$sC"</f>
        <v>#VALUE!</v>
      </c>
      <c r="FB58" t="e">
        <f>'All regions'!B1447+"n/&gt;!$sD"</f>
        <v>#VALUE!</v>
      </c>
      <c r="FC58" t="e">
        <f>'All regions'!C1447+"n/&gt;!$sE"</f>
        <v>#VALUE!</v>
      </c>
      <c r="FD58" t="e">
        <f>'All regions'!D1447+"n/&gt;!$sF"</f>
        <v>#VALUE!</v>
      </c>
      <c r="FE58" t="e">
        <f>'All regions'!E1447+"n/&gt;!$sG"</f>
        <v>#VALUE!</v>
      </c>
      <c r="FF58" t="e">
        <f>'All regions'!F1447+"n/&gt;!$sH"</f>
        <v>#VALUE!</v>
      </c>
      <c r="FG58" t="e">
        <f>'All regions'!G1447+"n/&gt;!$sI"</f>
        <v>#VALUE!</v>
      </c>
      <c r="FH58" t="e">
        <f>'All regions'!H1447+"n/&gt;!$sJ"</f>
        <v>#VALUE!</v>
      </c>
      <c r="FI58" t="e">
        <f>'All regions'!I1447+"n/&gt;!$sK"</f>
        <v>#VALUE!</v>
      </c>
      <c r="FJ58" t="e">
        <f>'All regions'!J1447+"n/&gt;!$sL"</f>
        <v>#VALUE!</v>
      </c>
      <c r="FK58" t="e">
        <f>'All regions'!A1448+"n/&gt;!$sM"</f>
        <v>#VALUE!</v>
      </c>
      <c r="FL58" t="e">
        <f>'All regions'!B1448+"n/&gt;!$sN"</f>
        <v>#VALUE!</v>
      </c>
      <c r="FM58" t="e">
        <f>'All regions'!C1448+"n/&gt;!$sO"</f>
        <v>#VALUE!</v>
      </c>
      <c r="FN58" t="e">
        <f>'All regions'!D1448+"n/&gt;!$sP"</f>
        <v>#VALUE!</v>
      </c>
      <c r="FO58" t="e">
        <f>'All regions'!E1448+"n/&gt;!$sQ"</f>
        <v>#VALUE!</v>
      </c>
      <c r="FP58" t="e">
        <f>'All regions'!F1448+"n/&gt;!$sR"</f>
        <v>#VALUE!</v>
      </c>
      <c r="FQ58" t="e">
        <f>'All regions'!G1448+"n/&gt;!$sS"</f>
        <v>#VALUE!</v>
      </c>
      <c r="FR58" t="e">
        <f>'All regions'!H1448+"n/&gt;!$sT"</f>
        <v>#VALUE!</v>
      </c>
      <c r="FS58" t="e">
        <f>'All regions'!I1448+"n/&gt;!$sU"</f>
        <v>#VALUE!</v>
      </c>
      <c r="FT58" t="e">
        <f>'All regions'!J1448+"n/&gt;!$sV"</f>
        <v>#VALUE!</v>
      </c>
      <c r="FU58" t="e">
        <f>'All regions'!A1449+"n/&gt;!$sW"</f>
        <v>#VALUE!</v>
      </c>
      <c r="FV58" t="e">
        <f>'All regions'!B1449+"n/&gt;!$sX"</f>
        <v>#VALUE!</v>
      </c>
      <c r="FW58" t="e">
        <f>'All regions'!C1449+"n/&gt;!$sY"</f>
        <v>#VALUE!</v>
      </c>
      <c r="FX58" t="e">
        <f>'All regions'!D1449+"n/&gt;!$sZ"</f>
        <v>#VALUE!</v>
      </c>
      <c r="FY58" t="e">
        <f>'All regions'!E1449+"n/&gt;!$s["</f>
        <v>#VALUE!</v>
      </c>
      <c r="FZ58" t="e">
        <f>'All regions'!F1449+"n/&gt;!$s\"</f>
        <v>#VALUE!</v>
      </c>
      <c r="GA58" t="e">
        <f>'All regions'!G1449+"n/&gt;!$s]"</f>
        <v>#VALUE!</v>
      </c>
      <c r="GB58" t="e">
        <f>'All regions'!H1449+"n/&gt;!$s^"</f>
        <v>#VALUE!</v>
      </c>
      <c r="GC58" t="e">
        <f>'All regions'!I1449+"n/&gt;!$s_"</f>
        <v>#VALUE!</v>
      </c>
      <c r="GD58" t="e">
        <f>'All regions'!J1449+"n/&gt;!$s`"</f>
        <v>#VALUE!</v>
      </c>
      <c r="GE58" t="e">
        <f>'All regions'!A1450+"n/&gt;!$sa"</f>
        <v>#VALUE!</v>
      </c>
      <c r="GF58" t="e">
        <f>'All regions'!B1450+"n/&gt;!$sb"</f>
        <v>#VALUE!</v>
      </c>
      <c r="GG58" t="e">
        <f>'All regions'!C1450+"n/&gt;!$sc"</f>
        <v>#VALUE!</v>
      </c>
      <c r="GH58" t="e">
        <f>'All regions'!D1450+"n/&gt;!$sd"</f>
        <v>#VALUE!</v>
      </c>
      <c r="GI58" t="e">
        <f>'All regions'!E1450+"n/&gt;!$se"</f>
        <v>#VALUE!</v>
      </c>
      <c r="GJ58" t="e">
        <f>'All regions'!F1450+"n/&gt;!$sf"</f>
        <v>#VALUE!</v>
      </c>
      <c r="GK58" t="e">
        <f>'All regions'!G1450+"n/&gt;!$sg"</f>
        <v>#VALUE!</v>
      </c>
      <c r="GL58" t="e">
        <f>'All regions'!H1450+"n/&gt;!$sh"</f>
        <v>#VALUE!</v>
      </c>
      <c r="GM58" t="e">
        <f>'All regions'!I1450+"n/&gt;!$si"</f>
        <v>#VALUE!</v>
      </c>
      <c r="GN58" t="e">
        <f>'All regions'!J1450+"n/&gt;!$sj"</f>
        <v>#VALUE!</v>
      </c>
      <c r="GO58" t="e">
        <f>'All regions'!A1451+"n/&gt;!$sk"</f>
        <v>#VALUE!</v>
      </c>
      <c r="GP58" t="e">
        <f>'All regions'!B1451+"n/&gt;!$sl"</f>
        <v>#VALUE!</v>
      </c>
      <c r="GQ58" t="e">
        <f>'All regions'!C1451+"n/&gt;!$sm"</f>
        <v>#VALUE!</v>
      </c>
      <c r="GR58" t="e">
        <f>'All regions'!D1451+"n/&gt;!$sn"</f>
        <v>#VALUE!</v>
      </c>
      <c r="GS58" t="e">
        <f>'All regions'!E1451+"n/&gt;!$so"</f>
        <v>#VALUE!</v>
      </c>
      <c r="GT58" t="e">
        <f>'All regions'!F1451+"n/&gt;!$sp"</f>
        <v>#VALUE!</v>
      </c>
      <c r="GU58" t="e">
        <f>'All regions'!G1451+"n/&gt;!$sq"</f>
        <v>#VALUE!</v>
      </c>
      <c r="GV58" t="e">
        <f>'All regions'!H1451+"n/&gt;!$sr"</f>
        <v>#VALUE!</v>
      </c>
      <c r="GW58" t="e">
        <f>'All regions'!I1451+"n/&gt;!$ss"</f>
        <v>#VALUE!</v>
      </c>
      <c r="GX58" t="e">
        <f>'All regions'!J1451+"n/&gt;!$st"</f>
        <v>#VALUE!</v>
      </c>
      <c r="GY58" t="e">
        <f>'All regions'!A1452+"n/&gt;!$su"</f>
        <v>#VALUE!</v>
      </c>
      <c r="GZ58" t="e">
        <f>'All regions'!B1452+"n/&gt;!$sv"</f>
        <v>#VALUE!</v>
      </c>
      <c r="HA58" t="e">
        <f>'All regions'!C1452+"n/&gt;!$sw"</f>
        <v>#VALUE!</v>
      </c>
      <c r="HB58" t="e">
        <f>'All regions'!D1452+"n/&gt;!$sx"</f>
        <v>#VALUE!</v>
      </c>
      <c r="HC58" t="e">
        <f>'All regions'!E1452+"n/&gt;!$sy"</f>
        <v>#VALUE!</v>
      </c>
      <c r="HD58" t="e">
        <f>'All regions'!F1452+"n/&gt;!$sz"</f>
        <v>#VALUE!</v>
      </c>
      <c r="HE58" t="e">
        <f>'All regions'!G1452+"n/&gt;!$s{"</f>
        <v>#VALUE!</v>
      </c>
      <c r="HF58" t="e">
        <f>'All regions'!H1452+"n/&gt;!$s|"</f>
        <v>#VALUE!</v>
      </c>
      <c r="HG58" t="e">
        <f>'All regions'!I1452+"n/&gt;!$s}"</f>
        <v>#VALUE!</v>
      </c>
      <c r="HH58" t="e">
        <f>'All regions'!J1452+"n/&gt;!$s~"</f>
        <v>#VALUE!</v>
      </c>
      <c r="HI58" t="e">
        <f>'All regions'!A1453+"n/&gt;!$t#"</f>
        <v>#VALUE!</v>
      </c>
      <c r="HJ58" t="e">
        <f>'All regions'!B1453+"n/&gt;!$t$"</f>
        <v>#VALUE!</v>
      </c>
      <c r="HK58" t="e">
        <f>'All regions'!C1453+"n/&gt;!$t%"</f>
        <v>#VALUE!</v>
      </c>
      <c r="HL58" t="e">
        <f>'All regions'!D1453+"n/&gt;!$t&amp;"</f>
        <v>#VALUE!</v>
      </c>
      <c r="HM58" t="e">
        <f>'All regions'!E1453+"n/&gt;!$t'"</f>
        <v>#VALUE!</v>
      </c>
      <c r="HN58" t="e">
        <f>'All regions'!F1453+"n/&gt;!$t("</f>
        <v>#VALUE!</v>
      </c>
      <c r="HO58" t="e">
        <f>'All regions'!G1453+"n/&gt;!$t)"</f>
        <v>#VALUE!</v>
      </c>
      <c r="HP58" t="e">
        <f>'All regions'!H1453+"n/&gt;!$t."</f>
        <v>#VALUE!</v>
      </c>
      <c r="HQ58" t="e">
        <f>'All regions'!I1453+"n/&gt;!$t/"</f>
        <v>#VALUE!</v>
      </c>
      <c r="HR58" t="e">
        <f>'All regions'!J1453+"n/&gt;!$t0"</f>
        <v>#VALUE!</v>
      </c>
      <c r="HS58" t="e">
        <f>'All regions'!A1454+"n/&gt;!$t1"</f>
        <v>#VALUE!</v>
      </c>
      <c r="HT58" t="e">
        <f>'All regions'!B1454+"n/&gt;!$t2"</f>
        <v>#VALUE!</v>
      </c>
      <c r="HU58" t="e">
        <f>'All regions'!C1454+"n/&gt;!$t3"</f>
        <v>#VALUE!</v>
      </c>
      <c r="HV58" t="e">
        <f>'All regions'!D1454+"n/&gt;!$t4"</f>
        <v>#VALUE!</v>
      </c>
      <c r="HW58" t="e">
        <f>'All regions'!E1454+"n/&gt;!$t5"</f>
        <v>#VALUE!</v>
      </c>
      <c r="HX58" t="e">
        <f>'All regions'!F1454+"n/&gt;!$t6"</f>
        <v>#VALUE!</v>
      </c>
      <c r="HY58" t="e">
        <f>'All regions'!G1454+"n/&gt;!$t7"</f>
        <v>#VALUE!</v>
      </c>
      <c r="HZ58" t="e">
        <f>'All regions'!H1454+"n/&gt;!$t8"</f>
        <v>#VALUE!</v>
      </c>
      <c r="IA58" t="e">
        <f>'All regions'!I1454+"n/&gt;!$t9"</f>
        <v>#VALUE!</v>
      </c>
      <c r="IB58" t="e">
        <f>'All regions'!J1454+"n/&gt;!$t:"</f>
        <v>#VALUE!</v>
      </c>
      <c r="IC58" t="e">
        <f>'All regions'!A1455+"n/&gt;!$t;"</f>
        <v>#VALUE!</v>
      </c>
      <c r="ID58" t="e">
        <f>'All regions'!B1455+"n/&gt;!$t&lt;"</f>
        <v>#VALUE!</v>
      </c>
      <c r="IE58" t="e">
        <f>'All regions'!C1455+"n/&gt;!$t="</f>
        <v>#VALUE!</v>
      </c>
      <c r="IF58" t="e">
        <f>'All regions'!D1455+"n/&gt;!$t&gt;"</f>
        <v>#VALUE!</v>
      </c>
      <c r="IG58" t="e">
        <f>'All regions'!E1455+"n/&gt;!$t?"</f>
        <v>#VALUE!</v>
      </c>
      <c r="IH58" t="e">
        <f>'All regions'!F1455+"n/&gt;!$t@"</f>
        <v>#VALUE!</v>
      </c>
      <c r="II58" t="e">
        <f>'All regions'!G1455+"n/&gt;!$tA"</f>
        <v>#VALUE!</v>
      </c>
      <c r="IJ58" t="e">
        <f>'All regions'!H1455+"n/&gt;!$tB"</f>
        <v>#VALUE!</v>
      </c>
      <c r="IK58" t="e">
        <f>'All regions'!I1455+"n/&gt;!$tC"</f>
        <v>#VALUE!</v>
      </c>
      <c r="IL58" t="e">
        <f>'All regions'!J1455+"n/&gt;!$tD"</f>
        <v>#VALUE!</v>
      </c>
      <c r="IM58" t="e">
        <f>'All regions'!A1456+"n/&gt;!$tE"</f>
        <v>#VALUE!</v>
      </c>
      <c r="IN58" t="e">
        <f>'All regions'!B1456+"n/&gt;!$tF"</f>
        <v>#VALUE!</v>
      </c>
      <c r="IO58" t="e">
        <f>'All regions'!C1456+"n/&gt;!$tG"</f>
        <v>#VALUE!</v>
      </c>
      <c r="IP58" t="e">
        <f>'All regions'!D1456+"n/&gt;!$tH"</f>
        <v>#VALUE!</v>
      </c>
      <c r="IQ58" t="e">
        <f>'All regions'!E1456+"n/&gt;!$tI"</f>
        <v>#VALUE!</v>
      </c>
      <c r="IR58" t="e">
        <f>'All regions'!F1456+"n/&gt;!$tJ"</f>
        <v>#VALUE!</v>
      </c>
      <c r="IS58" t="e">
        <f>'All regions'!G1456+"n/&gt;!$tK"</f>
        <v>#VALUE!</v>
      </c>
      <c r="IT58" t="e">
        <f>'All regions'!H1456+"n/&gt;!$tL"</f>
        <v>#VALUE!</v>
      </c>
      <c r="IU58" t="e">
        <f>'All regions'!I1456+"n/&gt;!$tM"</f>
        <v>#VALUE!</v>
      </c>
      <c r="IV58" t="e">
        <f>'All regions'!J1456+"n/&gt;!$tN"</f>
        <v>#VALUE!</v>
      </c>
    </row>
    <row r="59" spans="6:256" x14ac:dyDescent="0.35">
      <c r="F59" t="e">
        <f>'All regions'!A1457+"n/&gt;!$tO"</f>
        <v>#VALUE!</v>
      </c>
      <c r="G59" t="e">
        <f>'All regions'!B1457+"n/&gt;!$tP"</f>
        <v>#VALUE!</v>
      </c>
      <c r="H59" t="e">
        <f>'All regions'!C1457+"n/&gt;!$tQ"</f>
        <v>#VALUE!</v>
      </c>
      <c r="I59" t="e">
        <f>'All regions'!D1457+"n/&gt;!$tR"</f>
        <v>#VALUE!</v>
      </c>
      <c r="J59" t="e">
        <f>'All regions'!E1457+"n/&gt;!$tS"</f>
        <v>#VALUE!</v>
      </c>
      <c r="K59" t="e">
        <f>'All regions'!F1457+"n/&gt;!$tT"</f>
        <v>#VALUE!</v>
      </c>
      <c r="L59" t="e">
        <f>'All regions'!G1457+"n/&gt;!$tU"</f>
        <v>#VALUE!</v>
      </c>
      <c r="M59" t="e">
        <f>'All regions'!H1457+"n/&gt;!$tV"</f>
        <v>#VALUE!</v>
      </c>
      <c r="N59" t="e">
        <f>'All regions'!I1457+"n/&gt;!$tW"</f>
        <v>#VALUE!</v>
      </c>
      <c r="O59" t="e">
        <f>'All regions'!J1457+"n/&gt;!$tX"</f>
        <v>#VALUE!</v>
      </c>
      <c r="P59" t="e">
        <f>'All regions'!A1458+"n/&gt;!$tY"</f>
        <v>#VALUE!</v>
      </c>
      <c r="Q59" t="e">
        <f>'All regions'!B1458+"n/&gt;!$tZ"</f>
        <v>#VALUE!</v>
      </c>
      <c r="R59" t="e">
        <f>'All regions'!C1458+"n/&gt;!$t["</f>
        <v>#VALUE!</v>
      </c>
      <c r="S59" t="e">
        <f>'All regions'!D1458+"n/&gt;!$t\"</f>
        <v>#VALUE!</v>
      </c>
      <c r="T59" t="e">
        <f>'All regions'!E1458+"n/&gt;!$t]"</f>
        <v>#VALUE!</v>
      </c>
      <c r="U59" t="e">
        <f>'All regions'!F1458+"n/&gt;!$t^"</f>
        <v>#VALUE!</v>
      </c>
      <c r="V59" t="e">
        <f>'All regions'!G1458+"n/&gt;!$t_"</f>
        <v>#VALUE!</v>
      </c>
      <c r="W59" t="e">
        <f>'All regions'!H1458+"n/&gt;!$t`"</f>
        <v>#VALUE!</v>
      </c>
      <c r="X59" t="e">
        <f>'All regions'!I1458+"n/&gt;!$ta"</f>
        <v>#VALUE!</v>
      </c>
      <c r="Y59" t="e">
        <f>'All regions'!J1458+"n/&gt;!$tb"</f>
        <v>#VALUE!</v>
      </c>
      <c r="Z59" t="e">
        <f>'All regions'!A1459+"n/&gt;!$tc"</f>
        <v>#VALUE!</v>
      </c>
      <c r="AA59" t="e">
        <f>'All regions'!B1459+"n/&gt;!$td"</f>
        <v>#VALUE!</v>
      </c>
      <c r="AB59" t="e">
        <f>'All regions'!C1459+"n/&gt;!$te"</f>
        <v>#VALUE!</v>
      </c>
      <c r="AC59" t="e">
        <f>'All regions'!D1459+"n/&gt;!$tf"</f>
        <v>#VALUE!</v>
      </c>
      <c r="AD59" t="e">
        <f>'All regions'!E1459+"n/&gt;!$tg"</f>
        <v>#VALUE!</v>
      </c>
      <c r="AE59" t="e">
        <f>'All regions'!F1459+"n/&gt;!$th"</f>
        <v>#VALUE!</v>
      </c>
      <c r="AF59" t="e">
        <f>'All regions'!G1459+"n/&gt;!$ti"</f>
        <v>#VALUE!</v>
      </c>
      <c r="AG59" t="e">
        <f>'All regions'!H1459+"n/&gt;!$tj"</f>
        <v>#VALUE!</v>
      </c>
      <c r="AH59" t="e">
        <f>'All regions'!I1459+"n/&gt;!$tk"</f>
        <v>#VALUE!</v>
      </c>
      <c r="AI59" t="e">
        <f>'All regions'!J1459+"n/&gt;!$tl"</f>
        <v>#VALUE!</v>
      </c>
      <c r="AJ59" t="e">
        <f>'All regions'!A1460+"n/&gt;!$tm"</f>
        <v>#VALUE!</v>
      </c>
      <c r="AK59" t="e">
        <f>'All regions'!B1460+"n/&gt;!$tn"</f>
        <v>#VALUE!</v>
      </c>
      <c r="AL59" t="e">
        <f>'All regions'!C1460+"n/&gt;!$to"</f>
        <v>#VALUE!</v>
      </c>
      <c r="AM59" t="e">
        <f>'All regions'!D1460+"n/&gt;!$tp"</f>
        <v>#VALUE!</v>
      </c>
      <c r="AN59" t="e">
        <f>'All regions'!E1460+"n/&gt;!$tq"</f>
        <v>#VALUE!</v>
      </c>
      <c r="AO59" t="e">
        <f>'All regions'!F1460+"n/&gt;!$tr"</f>
        <v>#VALUE!</v>
      </c>
      <c r="AP59" t="e">
        <f>'All regions'!G1460+"n/&gt;!$ts"</f>
        <v>#VALUE!</v>
      </c>
      <c r="AQ59" t="e">
        <f>'All regions'!H1460+"n/&gt;!$tt"</f>
        <v>#VALUE!</v>
      </c>
      <c r="AR59" t="e">
        <f>'All regions'!I1460+"n/&gt;!$tu"</f>
        <v>#VALUE!</v>
      </c>
      <c r="AS59" t="e">
        <f>'All regions'!J1460+"n/&gt;!$tv"</f>
        <v>#VALUE!</v>
      </c>
      <c r="AT59" t="e">
        <f>'All regions'!A1461+"n/&gt;!$tw"</f>
        <v>#VALUE!</v>
      </c>
      <c r="AU59" t="e">
        <f>'All regions'!B1461+"n/&gt;!$tx"</f>
        <v>#VALUE!</v>
      </c>
      <c r="AV59" t="e">
        <f>'All regions'!C1461+"n/&gt;!$ty"</f>
        <v>#VALUE!</v>
      </c>
      <c r="AW59" t="e">
        <f>'All regions'!D1461+"n/&gt;!$tz"</f>
        <v>#VALUE!</v>
      </c>
      <c r="AX59" t="e">
        <f>'All regions'!E1461+"n/&gt;!$t{"</f>
        <v>#VALUE!</v>
      </c>
      <c r="AY59" t="e">
        <f>'All regions'!F1461+"n/&gt;!$t|"</f>
        <v>#VALUE!</v>
      </c>
      <c r="AZ59" t="e">
        <f>'All regions'!G1461+"n/&gt;!$t}"</f>
        <v>#VALUE!</v>
      </c>
      <c r="BA59" t="e">
        <f>'All regions'!H1461+"n/&gt;!$t~"</f>
        <v>#VALUE!</v>
      </c>
      <c r="BB59" t="e">
        <f>'All regions'!I1461+"n/&gt;!$u#"</f>
        <v>#VALUE!</v>
      </c>
      <c r="BC59" t="e">
        <f>'All regions'!J1461+"n/&gt;!$u$"</f>
        <v>#VALUE!</v>
      </c>
      <c r="BD59" t="e">
        <f>'All regions'!A1462+"n/&gt;!$u%"</f>
        <v>#VALUE!</v>
      </c>
      <c r="BE59" t="e">
        <f>'All regions'!B1462+"n/&gt;!$u&amp;"</f>
        <v>#VALUE!</v>
      </c>
      <c r="BF59" t="e">
        <f>'All regions'!C1462+"n/&gt;!$u'"</f>
        <v>#VALUE!</v>
      </c>
      <c r="BG59" t="e">
        <f>'All regions'!D1462+"n/&gt;!$u("</f>
        <v>#VALUE!</v>
      </c>
      <c r="BH59" t="e">
        <f>'All regions'!E1462+"n/&gt;!$u)"</f>
        <v>#VALUE!</v>
      </c>
      <c r="BI59" t="e">
        <f>'All regions'!F1462+"n/&gt;!$u."</f>
        <v>#VALUE!</v>
      </c>
      <c r="BJ59" t="e">
        <f>'All regions'!G1462+"n/&gt;!$u/"</f>
        <v>#VALUE!</v>
      </c>
      <c r="BK59" t="e">
        <f>'All regions'!H1462+"n/&gt;!$u0"</f>
        <v>#VALUE!</v>
      </c>
      <c r="BL59" t="e">
        <f>'All regions'!I1462+"n/&gt;!$u1"</f>
        <v>#VALUE!</v>
      </c>
      <c r="BM59" t="e">
        <f>'All regions'!J1462+"n/&gt;!$u2"</f>
        <v>#VALUE!</v>
      </c>
      <c r="BN59" t="e">
        <f>'All regions'!A1463+"n/&gt;!$u3"</f>
        <v>#VALUE!</v>
      </c>
      <c r="BO59" t="e">
        <f>'All regions'!B1463+"n/&gt;!$u4"</f>
        <v>#VALUE!</v>
      </c>
      <c r="BP59" t="e">
        <f>'All regions'!C1463+"n/&gt;!$u5"</f>
        <v>#VALUE!</v>
      </c>
      <c r="BQ59" t="e">
        <f>'All regions'!D1463+"n/&gt;!$u6"</f>
        <v>#VALUE!</v>
      </c>
      <c r="BR59" t="e">
        <f>'All regions'!E1463+"n/&gt;!$u7"</f>
        <v>#VALUE!</v>
      </c>
      <c r="BS59" t="e">
        <f>'All regions'!F1463+"n/&gt;!$u8"</f>
        <v>#VALUE!</v>
      </c>
      <c r="BT59" t="e">
        <f>'All regions'!G1463+"n/&gt;!$u9"</f>
        <v>#VALUE!</v>
      </c>
      <c r="BU59" t="e">
        <f>'All regions'!H1463+"n/&gt;!$u:"</f>
        <v>#VALUE!</v>
      </c>
      <c r="BV59" t="e">
        <f>'All regions'!I1463+"n/&gt;!$u;"</f>
        <v>#VALUE!</v>
      </c>
      <c r="BW59" t="e">
        <f>'All regions'!J1463+"n/&gt;!$u&lt;"</f>
        <v>#VALUE!</v>
      </c>
      <c r="BX59" t="e">
        <f>'All regions'!A1464+"n/&gt;!$u="</f>
        <v>#VALUE!</v>
      </c>
      <c r="BY59" t="e">
        <f>'All regions'!B1464+"n/&gt;!$u&gt;"</f>
        <v>#VALUE!</v>
      </c>
      <c r="BZ59" t="e">
        <f>'All regions'!C1464+"n/&gt;!$u?"</f>
        <v>#VALUE!</v>
      </c>
      <c r="CA59" t="e">
        <f>'All regions'!D1464+"n/&gt;!$u@"</f>
        <v>#VALUE!</v>
      </c>
      <c r="CB59" t="e">
        <f>'All regions'!E1464+"n/&gt;!$uA"</f>
        <v>#VALUE!</v>
      </c>
      <c r="CC59" t="e">
        <f>'All regions'!F1464+"n/&gt;!$uB"</f>
        <v>#VALUE!</v>
      </c>
      <c r="CD59" t="e">
        <f>'All regions'!G1464+"n/&gt;!$uC"</f>
        <v>#VALUE!</v>
      </c>
      <c r="CE59" t="e">
        <f>'All regions'!H1464+"n/&gt;!$uD"</f>
        <v>#VALUE!</v>
      </c>
      <c r="CF59" t="e">
        <f>'All regions'!I1464+"n/&gt;!$uE"</f>
        <v>#VALUE!</v>
      </c>
      <c r="CG59" t="e">
        <f>'All regions'!J1464+"n/&gt;!$uF"</f>
        <v>#VALUE!</v>
      </c>
      <c r="CH59" t="e">
        <f>'All regions'!A1465+"n/&gt;!$uG"</f>
        <v>#VALUE!</v>
      </c>
      <c r="CI59" t="e">
        <f>'All regions'!B1465+"n/&gt;!$uH"</f>
        <v>#VALUE!</v>
      </c>
      <c r="CJ59" t="e">
        <f>'All regions'!C1465+"n/&gt;!$uI"</f>
        <v>#VALUE!</v>
      </c>
      <c r="CK59" t="e">
        <f>'All regions'!D1465+"n/&gt;!$uJ"</f>
        <v>#VALUE!</v>
      </c>
      <c r="CL59" t="e">
        <f>'All regions'!E1465+"n/&gt;!$uK"</f>
        <v>#VALUE!</v>
      </c>
      <c r="CM59" t="e">
        <f>'All regions'!F1465+"n/&gt;!$uL"</f>
        <v>#VALUE!</v>
      </c>
      <c r="CN59" t="e">
        <f>'All regions'!G1465+"n/&gt;!$uM"</f>
        <v>#VALUE!</v>
      </c>
      <c r="CO59" t="e">
        <f>'All regions'!H1465+"n/&gt;!$uN"</f>
        <v>#VALUE!</v>
      </c>
      <c r="CP59" t="e">
        <f>'All regions'!I1465+"n/&gt;!$uO"</f>
        <v>#VALUE!</v>
      </c>
      <c r="CQ59" t="e">
        <f>'All regions'!J1465+"n/&gt;!$uP"</f>
        <v>#VALUE!</v>
      </c>
      <c r="CR59" t="e">
        <f>'All regions'!A1466+"n/&gt;!$uQ"</f>
        <v>#VALUE!</v>
      </c>
      <c r="CS59" t="e">
        <f>'All regions'!B1466+"n/&gt;!$uR"</f>
        <v>#VALUE!</v>
      </c>
      <c r="CT59" t="e">
        <f>'All regions'!C1466+"n/&gt;!$uS"</f>
        <v>#VALUE!</v>
      </c>
      <c r="CU59" t="e">
        <f>'All regions'!D1466+"n/&gt;!$uT"</f>
        <v>#VALUE!</v>
      </c>
      <c r="CV59" t="e">
        <f>'All regions'!E1466+"n/&gt;!$uU"</f>
        <v>#VALUE!</v>
      </c>
      <c r="CW59" t="e">
        <f>'All regions'!F1466+"n/&gt;!$uV"</f>
        <v>#VALUE!</v>
      </c>
      <c r="CX59" t="e">
        <f>'All regions'!G1466+"n/&gt;!$uW"</f>
        <v>#VALUE!</v>
      </c>
      <c r="CY59" t="e">
        <f>'All regions'!H1466+"n/&gt;!$uX"</f>
        <v>#VALUE!</v>
      </c>
      <c r="CZ59" t="e">
        <f>'All regions'!I1466+"n/&gt;!$uY"</f>
        <v>#VALUE!</v>
      </c>
      <c r="DA59" t="e">
        <f>'All regions'!J1466+"n/&gt;!$uZ"</f>
        <v>#VALUE!</v>
      </c>
      <c r="DB59" t="e">
        <f>'All regions'!A1467+"n/&gt;!$u["</f>
        <v>#VALUE!</v>
      </c>
      <c r="DC59" t="e">
        <f>'All regions'!B1467+"n/&gt;!$u\"</f>
        <v>#VALUE!</v>
      </c>
      <c r="DD59" t="e">
        <f>'All regions'!C1467+"n/&gt;!$u]"</f>
        <v>#VALUE!</v>
      </c>
      <c r="DE59" t="e">
        <f>'All regions'!D1467+"n/&gt;!$u^"</f>
        <v>#VALUE!</v>
      </c>
      <c r="DF59" t="e">
        <f>'All regions'!E1467+"n/&gt;!$u_"</f>
        <v>#VALUE!</v>
      </c>
      <c r="DG59" t="e">
        <f>'All regions'!F1467+"n/&gt;!$u`"</f>
        <v>#VALUE!</v>
      </c>
      <c r="DH59" t="e">
        <f>'All regions'!G1467+"n/&gt;!$ua"</f>
        <v>#VALUE!</v>
      </c>
      <c r="DI59" t="e">
        <f>'All regions'!H1467+"n/&gt;!$ub"</f>
        <v>#VALUE!</v>
      </c>
      <c r="DJ59" t="e">
        <f>'All regions'!I1467+"n/&gt;!$uc"</f>
        <v>#VALUE!</v>
      </c>
      <c r="DK59" t="e">
        <f>'All regions'!J1467+"n/&gt;!$ud"</f>
        <v>#VALUE!</v>
      </c>
      <c r="DL59" t="e">
        <f>'All regions'!A1468+"n/&gt;!$ue"</f>
        <v>#VALUE!</v>
      </c>
      <c r="DM59" t="e">
        <f>'All regions'!B1468+"n/&gt;!$uf"</f>
        <v>#VALUE!</v>
      </c>
      <c r="DN59" t="e">
        <f>'All regions'!C1468+"n/&gt;!$ug"</f>
        <v>#VALUE!</v>
      </c>
      <c r="DO59" t="e">
        <f>'All regions'!D1468+"n/&gt;!$uh"</f>
        <v>#VALUE!</v>
      </c>
      <c r="DP59" t="e">
        <f>'All regions'!E1468+"n/&gt;!$ui"</f>
        <v>#VALUE!</v>
      </c>
      <c r="DQ59" t="e">
        <f>'All regions'!F1468+"n/&gt;!$uj"</f>
        <v>#VALUE!</v>
      </c>
      <c r="DR59" t="e">
        <f>'All regions'!G1468+"n/&gt;!$uk"</f>
        <v>#VALUE!</v>
      </c>
      <c r="DS59" t="e">
        <f>'All regions'!H1468+"n/&gt;!$ul"</f>
        <v>#VALUE!</v>
      </c>
      <c r="DT59" t="e">
        <f>'All regions'!I1468+"n/&gt;!$um"</f>
        <v>#VALUE!</v>
      </c>
      <c r="DU59" t="e">
        <f>'All regions'!J1468+"n/&gt;!$un"</f>
        <v>#VALUE!</v>
      </c>
      <c r="DV59" t="e">
        <f>'All regions'!A1469+"n/&gt;!$uo"</f>
        <v>#VALUE!</v>
      </c>
      <c r="DW59" t="e">
        <f>'All regions'!B1469+"n/&gt;!$up"</f>
        <v>#VALUE!</v>
      </c>
      <c r="DX59" t="e">
        <f>'All regions'!C1469+"n/&gt;!$uq"</f>
        <v>#VALUE!</v>
      </c>
      <c r="DY59" t="e">
        <f>'All regions'!D1469+"n/&gt;!$ur"</f>
        <v>#VALUE!</v>
      </c>
      <c r="DZ59" t="e">
        <f>'All regions'!E1469+"n/&gt;!$us"</f>
        <v>#VALUE!</v>
      </c>
      <c r="EA59" t="e">
        <f>'All regions'!F1469+"n/&gt;!$ut"</f>
        <v>#VALUE!</v>
      </c>
      <c r="EB59" t="e">
        <f>'All regions'!G1469+"n/&gt;!$uu"</f>
        <v>#VALUE!</v>
      </c>
      <c r="EC59" t="e">
        <f>'All regions'!H1469+"n/&gt;!$uv"</f>
        <v>#VALUE!</v>
      </c>
      <c r="ED59" t="e">
        <f>'All regions'!I1469+"n/&gt;!$uw"</f>
        <v>#VALUE!</v>
      </c>
      <c r="EE59" t="e">
        <f>'All regions'!J1469+"n/&gt;!$ux"</f>
        <v>#VALUE!</v>
      </c>
      <c r="EF59" t="e">
        <f>'All regions'!A1470+"n/&gt;!$uy"</f>
        <v>#VALUE!</v>
      </c>
      <c r="EG59" t="e">
        <f>'All regions'!B1470+"n/&gt;!$uz"</f>
        <v>#VALUE!</v>
      </c>
      <c r="EH59" t="e">
        <f>'All regions'!C1470+"n/&gt;!$u{"</f>
        <v>#VALUE!</v>
      </c>
      <c r="EI59" t="e">
        <f>'All regions'!D1470+"n/&gt;!$u|"</f>
        <v>#VALUE!</v>
      </c>
      <c r="EJ59" t="e">
        <f>'All regions'!E1470+"n/&gt;!$u}"</f>
        <v>#VALUE!</v>
      </c>
      <c r="EK59" t="e">
        <f>'All regions'!F1470+"n/&gt;!$u~"</f>
        <v>#VALUE!</v>
      </c>
      <c r="EL59" t="e">
        <f>'All regions'!G1470+"n/&gt;!$v#"</f>
        <v>#VALUE!</v>
      </c>
      <c r="EM59" t="e">
        <f>'All regions'!H1470+"n/&gt;!$v$"</f>
        <v>#VALUE!</v>
      </c>
      <c r="EN59" t="e">
        <f>'All regions'!I1470+"n/&gt;!$v%"</f>
        <v>#VALUE!</v>
      </c>
      <c r="EO59" t="e">
        <f>'All regions'!J1470+"n/&gt;!$v&amp;"</f>
        <v>#VALUE!</v>
      </c>
      <c r="EP59" t="e">
        <f>'All regions'!A1471+"n/&gt;!$v'"</f>
        <v>#VALUE!</v>
      </c>
      <c r="EQ59" t="e">
        <f>'All regions'!B1471+"n/&gt;!$v("</f>
        <v>#VALUE!</v>
      </c>
      <c r="ER59" t="e">
        <f>'All regions'!C1471+"n/&gt;!$v)"</f>
        <v>#VALUE!</v>
      </c>
      <c r="ES59" t="e">
        <f>'All regions'!D1471+"n/&gt;!$v."</f>
        <v>#VALUE!</v>
      </c>
      <c r="ET59" t="e">
        <f>'All regions'!E1471+"n/&gt;!$v/"</f>
        <v>#VALUE!</v>
      </c>
      <c r="EU59" t="e">
        <f>'All regions'!F1471+"n/&gt;!$v0"</f>
        <v>#VALUE!</v>
      </c>
      <c r="EV59" t="e">
        <f>'All regions'!G1471+"n/&gt;!$v1"</f>
        <v>#VALUE!</v>
      </c>
      <c r="EW59" t="e">
        <f>'All regions'!H1471+"n/&gt;!$v2"</f>
        <v>#VALUE!</v>
      </c>
      <c r="EX59" t="e">
        <f>'All regions'!I1471+"n/&gt;!$v3"</f>
        <v>#VALUE!</v>
      </c>
      <c r="EY59" t="e">
        <f>'All regions'!J1471+"n/&gt;!$v4"</f>
        <v>#VALUE!</v>
      </c>
      <c r="EZ59" t="e">
        <f>'All regions'!A1472+"n/&gt;!$v5"</f>
        <v>#VALUE!</v>
      </c>
      <c r="FA59" t="e">
        <f>'All regions'!B1472+"n/&gt;!$v6"</f>
        <v>#VALUE!</v>
      </c>
      <c r="FB59" t="e">
        <f>'All regions'!C1472+"n/&gt;!$v7"</f>
        <v>#VALUE!</v>
      </c>
      <c r="FC59" t="e">
        <f>'All regions'!D1472+"n/&gt;!$v8"</f>
        <v>#VALUE!</v>
      </c>
      <c r="FD59" t="e">
        <f>'All regions'!E1472+"n/&gt;!$v9"</f>
        <v>#VALUE!</v>
      </c>
      <c r="FE59" t="e">
        <f>'All regions'!F1472+"n/&gt;!$v:"</f>
        <v>#VALUE!</v>
      </c>
      <c r="FF59" t="e">
        <f>'All regions'!G1472+"n/&gt;!$v;"</f>
        <v>#VALUE!</v>
      </c>
      <c r="FG59" t="e">
        <f>'All regions'!H1472+"n/&gt;!$v&lt;"</f>
        <v>#VALUE!</v>
      </c>
      <c r="FH59" t="e">
        <f>'All regions'!I1472+"n/&gt;!$v="</f>
        <v>#VALUE!</v>
      </c>
      <c r="FI59" t="e">
        <f>'All regions'!J1472+"n/&gt;!$v&gt;"</f>
        <v>#VALUE!</v>
      </c>
      <c r="FJ59" t="e">
        <f>'All regions'!A1473+"n/&gt;!$v?"</f>
        <v>#VALUE!</v>
      </c>
      <c r="FK59" t="e">
        <f>'All regions'!B1473+"n/&gt;!$v@"</f>
        <v>#VALUE!</v>
      </c>
      <c r="FL59" t="e">
        <f>'All regions'!C1473+"n/&gt;!$vA"</f>
        <v>#VALUE!</v>
      </c>
      <c r="FM59" t="e">
        <f>'All regions'!D1473+"n/&gt;!$vB"</f>
        <v>#VALUE!</v>
      </c>
      <c r="FN59" t="e">
        <f>'All regions'!E1473+"n/&gt;!$vC"</f>
        <v>#VALUE!</v>
      </c>
      <c r="FO59" t="e">
        <f>'All regions'!F1473+"n/&gt;!$vD"</f>
        <v>#VALUE!</v>
      </c>
      <c r="FP59" t="e">
        <f>'All regions'!G1473+"n/&gt;!$vE"</f>
        <v>#VALUE!</v>
      </c>
      <c r="FQ59" t="e">
        <f>'All regions'!H1473+"n/&gt;!$vF"</f>
        <v>#VALUE!</v>
      </c>
      <c r="FR59" t="e">
        <f>'All regions'!I1473+"n/&gt;!$vG"</f>
        <v>#VALUE!</v>
      </c>
      <c r="FS59" t="e">
        <f>'All regions'!J1473+"n/&gt;!$vH"</f>
        <v>#VALUE!</v>
      </c>
      <c r="FT59" t="e">
        <f>'All regions'!A1474+"n/&gt;!$vI"</f>
        <v>#VALUE!</v>
      </c>
      <c r="FU59" t="e">
        <f>'All regions'!B1474+"n/&gt;!$vJ"</f>
        <v>#VALUE!</v>
      </c>
      <c r="FV59" t="e">
        <f>'All regions'!C1474+"n/&gt;!$vK"</f>
        <v>#VALUE!</v>
      </c>
      <c r="FW59" t="e">
        <f>'All regions'!D1474+"n/&gt;!$vL"</f>
        <v>#VALUE!</v>
      </c>
      <c r="FX59" t="e">
        <f>'All regions'!E1474+"n/&gt;!$vM"</f>
        <v>#VALUE!</v>
      </c>
      <c r="FY59" t="e">
        <f>'All regions'!F1474+"n/&gt;!$vN"</f>
        <v>#VALUE!</v>
      </c>
      <c r="FZ59" t="e">
        <f>'All regions'!G1474+"n/&gt;!$vO"</f>
        <v>#VALUE!</v>
      </c>
      <c r="GA59" t="e">
        <f>'All regions'!H1474+"n/&gt;!$vP"</f>
        <v>#VALUE!</v>
      </c>
      <c r="GB59" t="e">
        <f>'All regions'!I1474+"n/&gt;!$vQ"</f>
        <v>#VALUE!</v>
      </c>
      <c r="GC59" t="e">
        <f>'All regions'!J1474+"n/&gt;!$vR"</f>
        <v>#VALUE!</v>
      </c>
      <c r="GD59" t="e">
        <f>'All regions'!A1475+"n/&gt;!$vS"</f>
        <v>#VALUE!</v>
      </c>
      <c r="GE59" t="e">
        <f>'All regions'!B1475+"n/&gt;!$vT"</f>
        <v>#VALUE!</v>
      </c>
      <c r="GF59" t="e">
        <f>'All regions'!C1475+"n/&gt;!$vU"</f>
        <v>#VALUE!</v>
      </c>
      <c r="GG59" t="e">
        <f>'All regions'!D1475+"n/&gt;!$vV"</f>
        <v>#VALUE!</v>
      </c>
      <c r="GH59" t="e">
        <f>'All regions'!E1475+"n/&gt;!$vW"</f>
        <v>#VALUE!</v>
      </c>
      <c r="GI59" t="e">
        <f>'All regions'!F1475+"n/&gt;!$vX"</f>
        <v>#VALUE!</v>
      </c>
      <c r="GJ59" t="e">
        <f>'All regions'!G1475+"n/&gt;!$vY"</f>
        <v>#VALUE!</v>
      </c>
      <c r="GK59" t="e">
        <f>'All regions'!H1475+"n/&gt;!$vZ"</f>
        <v>#VALUE!</v>
      </c>
      <c r="GL59" t="e">
        <f>'All regions'!I1475+"n/&gt;!$v["</f>
        <v>#VALUE!</v>
      </c>
      <c r="GM59" t="e">
        <f>'All regions'!J1475+"n/&gt;!$v\"</f>
        <v>#VALUE!</v>
      </c>
      <c r="GN59" t="e">
        <f>'All regions'!A1476+"n/&gt;!$v]"</f>
        <v>#VALUE!</v>
      </c>
      <c r="GO59" t="e">
        <f>'All regions'!B1476+"n/&gt;!$v^"</f>
        <v>#VALUE!</v>
      </c>
      <c r="GP59" t="e">
        <f>'All regions'!C1476+"n/&gt;!$v_"</f>
        <v>#VALUE!</v>
      </c>
      <c r="GQ59" t="e">
        <f>'All regions'!D1476+"n/&gt;!$v`"</f>
        <v>#VALUE!</v>
      </c>
      <c r="GR59" t="e">
        <f>'All regions'!E1476+"n/&gt;!$va"</f>
        <v>#VALUE!</v>
      </c>
      <c r="GS59" t="e">
        <f>'All regions'!F1476+"n/&gt;!$vb"</f>
        <v>#VALUE!</v>
      </c>
      <c r="GT59" t="e">
        <f>'All regions'!G1476+"n/&gt;!$vc"</f>
        <v>#VALUE!</v>
      </c>
      <c r="GU59" t="e">
        <f>'All regions'!H1476+"n/&gt;!$vd"</f>
        <v>#VALUE!</v>
      </c>
      <c r="GV59" t="e">
        <f>'All regions'!I1476+"n/&gt;!$ve"</f>
        <v>#VALUE!</v>
      </c>
      <c r="GW59" t="e">
        <f>'All regions'!J1476+"n/&gt;!$vf"</f>
        <v>#VALUE!</v>
      </c>
      <c r="GX59" t="e">
        <f>'All regions'!A1477+"n/&gt;!$vg"</f>
        <v>#VALUE!</v>
      </c>
      <c r="GY59" t="e">
        <f>'All regions'!B1477+"n/&gt;!$vh"</f>
        <v>#VALUE!</v>
      </c>
      <c r="GZ59" t="e">
        <f>'All regions'!C1477+"n/&gt;!$vi"</f>
        <v>#VALUE!</v>
      </c>
      <c r="HA59" t="e">
        <f>'All regions'!D1477+"n/&gt;!$vj"</f>
        <v>#VALUE!</v>
      </c>
      <c r="HB59" t="e">
        <f>'All regions'!E1477+"n/&gt;!$vk"</f>
        <v>#VALUE!</v>
      </c>
      <c r="HC59" t="e">
        <f>'All regions'!F1477+"n/&gt;!$vl"</f>
        <v>#VALUE!</v>
      </c>
      <c r="HD59" t="e">
        <f>'All regions'!G1477+"n/&gt;!$vm"</f>
        <v>#VALUE!</v>
      </c>
      <c r="HE59" t="e">
        <f>'All regions'!H1477+"n/&gt;!$vn"</f>
        <v>#VALUE!</v>
      </c>
      <c r="HF59" t="e">
        <f>'All regions'!I1477+"n/&gt;!$vo"</f>
        <v>#VALUE!</v>
      </c>
      <c r="HG59" t="e">
        <f>'All regions'!J1477+"n/&gt;!$vp"</f>
        <v>#VALUE!</v>
      </c>
      <c r="HH59" t="e">
        <f>'All regions'!A1478+"n/&gt;!$vq"</f>
        <v>#VALUE!</v>
      </c>
      <c r="HI59" t="e">
        <f>'All regions'!B1478+"n/&gt;!$vr"</f>
        <v>#VALUE!</v>
      </c>
      <c r="HJ59" t="e">
        <f>'All regions'!C1478+"n/&gt;!$vs"</f>
        <v>#VALUE!</v>
      </c>
      <c r="HK59" t="e">
        <f>'All regions'!D1478+"n/&gt;!$vt"</f>
        <v>#VALUE!</v>
      </c>
      <c r="HL59" t="e">
        <f>'All regions'!E1478+"n/&gt;!$vu"</f>
        <v>#VALUE!</v>
      </c>
      <c r="HM59" t="e">
        <f>'All regions'!F1478+"n/&gt;!$vv"</f>
        <v>#VALUE!</v>
      </c>
      <c r="HN59" t="e">
        <f>'All regions'!G1478+"n/&gt;!$vw"</f>
        <v>#VALUE!</v>
      </c>
      <c r="HO59" t="e">
        <f>'All regions'!H1478+"n/&gt;!$vx"</f>
        <v>#VALUE!</v>
      </c>
      <c r="HP59" t="e">
        <f>'All regions'!I1478+"n/&gt;!$vy"</f>
        <v>#VALUE!</v>
      </c>
      <c r="HQ59" t="e">
        <f>'All regions'!J1478+"n/&gt;!$vz"</f>
        <v>#VALUE!</v>
      </c>
      <c r="HR59" t="e">
        <f>'All regions'!A1479+"n/&gt;!$v{"</f>
        <v>#VALUE!</v>
      </c>
      <c r="HS59" t="e">
        <f>'All regions'!B1479+"n/&gt;!$v|"</f>
        <v>#VALUE!</v>
      </c>
      <c r="HT59" t="e">
        <f>'All regions'!C1479+"n/&gt;!$v}"</f>
        <v>#VALUE!</v>
      </c>
      <c r="HU59" t="e">
        <f>'All regions'!D1479+"n/&gt;!$v~"</f>
        <v>#VALUE!</v>
      </c>
      <c r="HV59" t="e">
        <f>'All regions'!E1479+"n/&gt;!$w#"</f>
        <v>#VALUE!</v>
      </c>
      <c r="HW59" t="e">
        <f>'All regions'!F1479+"n/&gt;!$w$"</f>
        <v>#VALUE!</v>
      </c>
      <c r="HX59" t="e">
        <f>'All regions'!G1479+"n/&gt;!$w%"</f>
        <v>#VALUE!</v>
      </c>
      <c r="HY59" t="e">
        <f>'All regions'!H1479+"n/&gt;!$w&amp;"</f>
        <v>#VALUE!</v>
      </c>
      <c r="HZ59" t="e">
        <f>'All regions'!I1479+"n/&gt;!$w'"</f>
        <v>#VALUE!</v>
      </c>
      <c r="IA59" t="e">
        <f>'All regions'!J1479+"n/&gt;!$w("</f>
        <v>#VALUE!</v>
      </c>
      <c r="IB59" t="e">
        <f>'All regions'!A1480+"n/&gt;!$w)"</f>
        <v>#VALUE!</v>
      </c>
      <c r="IC59" t="e">
        <f>'All regions'!B1480+"n/&gt;!$w."</f>
        <v>#VALUE!</v>
      </c>
      <c r="ID59" t="e">
        <f>'All regions'!C1480+"n/&gt;!$w/"</f>
        <v>#VALUE!</v>
      </c>
      <c r="IE59" t="e">
        <f>'All regions'!D1480+"n/&gt;!$w0"</f>
        <v>#VALUE!</v>
      </c>
      <c r="IF59" t="e">
        <f>'All regions'!E1480+"n/&gt;!$w1"</f>
        <v>#VALUE!</v>
      </c>
      <c r="IG59" t="e">
        <f>'All regions'!F1480+"n/&gt;!$w2"</f>
        <v>#VALUE!</v>
      </c>
      <c r="IH59" t="e">
        <f>'All regions'!G1480+"n/&gt;!$w3"</f>
        <v>#VALUE!</v>
      </c>
      <c r="II59" t="e">
        <f>'All regions'!H1480+"n/&gt;!$w4"</f>
        <v>#VALUE!</v>
      </c>
      <c r="IJ59" t="e">
        <f>'All regions'!I1480+"n/&gt;!$w5"</f>
        <v>#VALUE!</v>
      </c>
      <c r="IK59" t="e">
        <f>'All regions'!J1480+"n/&gt;!$w6"</f>
        <v>#VALUE!</v>
      </c>
      <c r="IL59" t="e">
        <f>'All regions'!A1481+"n/&gt;!$w7"</f>
        <v>#VALUE!</v>
      </c>
      <c r="IM59" t="e">
        <f>'All regions'!B1481+"n/&gt;!$w8"</f>
        <v>#VALUE!</v>
      </c>
      <c r="IN59" t="e">
        <f>'All regions'!C1481+"n/&gt;!$w9"</f>
        <v>#VALUE!</v>
      </c>
      <c r="IO59" t="e">
        <f>'All regions'!D1481+"n/&gt;!$w:"</f>
        <v>#VALUE!</v>
      </c>
      <c r="IP59" t="e">
        <f>'All regions'!E1481+"n/&gt;!$w;"</f>
        <v>#VALUE!</v>
      </c>
      <c r="IQ59" t="e">
        <f>'All regions'!F1481+"n/&gt;!$w&lt;"</f>
        <v>#VALUE!</v>
      </c>
      <c r="IR59" t="e">
        <f>'All regions'!G1481+"n/&gt;!$w="</f>
        <v>#VALUE!</v>
      </c>
      <c r="IS59" t="e">
        <f>'All regions'!H1481+"n/&gt;!$w&gt;"</f>
        <v>#VALUE!</v>
      </c>
      <c r="IT59" t="e">
        <f>'All regions'!I1481+"n/&gt;!$w?"</f>
        <v>#VALUE!</v>
      </c>
      <c r="IU59" t="e">
        <f>'All regions'!J1481+"n/&gt;!$w@"</f>
        <v>#VALUE!</v>
      </c>
      <c r="IV59" t="e">
        <f>'All regions'!A1482+"n/&gt;!$wA"</f>
        <v>#VALUE!</v>
      </c>
    </row>
    <row r="60" spans="6:256" x14ac:dyDescent="0.35">
      <c r="F60" t="e">
        <f>'All regions'!B1482+"n/&gt;!$wB"</f>
        <v>#VALUE!</v>
      </c>
      <c r="G60" t="e">
        <f>'All regions'!C1482+"n/&gt;!$wC"</f>
        <v>#VALUE!</v>
      </c>
      <c r="H60" t="e">
        <f>'All regions'!D1482+"n/&gt;!$wD"</f>
        <v>#VALUE!</v>
      </c>
      <c r="I60" t="e">
        <f>'All regions'!E1482+"n/&gt;!$wE"</f>
        <v>#VALUE!</v>
      </c>
      <c r="J60" t="e">
        <f>'All regions'!F1482+"n/&gt;!$wF"</f>
        <v>#VALUE!</v>
      </c>
      <c r="K60" t="e">
        <f>'All regions'!G1482+"n/&gt;!$wG"</f>
        <v>#VALUE!</v>
      </c>
      <c r="L60" t="e">
        <f>'All regions'!H1482+"n/&gt;!$wH"</f>
        <v>#VALUE!</v>
      </c>
      <c r="M60" t="e">
        <f>'All regions'!I1482+"n/&gt;!$wI"</f>
        <v>#VALUE!</v>
      </c>
      <c r="N60" t="e">
        <f>'All regions'!J1482+"n/&gt;!$wJ"</f>
        <v>#VALUE!</v>
      </c>
      <c r="O60" t="e">
        <f>'All regions'!A1483+"n/&gt;!$wK"</f>
        <v>#VALUE!</v>
      </c>
      <c r="P60" t="e">
        <f>'All regions'!B1483+"n/&gt;!$wL"</f>
        <v>#VALUE!</v>
      </c>
      <c r="Q60" t="e">
        <f>'All regions'!C1483+"n/&gt;!$wM"</f>
        <v>#VALUE!</v>
      </c>
      <c r="R60" t="e">
        <f>'All regions'!D1483+"n/&gt;!$wN"</f>
        <v>#VALUE!</v>
      </c>
      <c r="S60" t="e">
        <f>'All regions'!E1483+"n/&gt;!$wO"</f>
        <v>#VALUE!</v>
      </c>
      <c r="T60" t="e">
        <f>'All regions'!F1483+"n/&gt;!$wP"</f>
        <v>#VALUE!</v>
      </c>
      <c r="U60" t="e">
        <f>'All regions'!G1483+"n/&gt;!$wQ"</f>
        <v>#VALUE!</v>
      </c>
      <c r="V60" t="e">
        <f>'All regions'!H1483+"n/&gt;!$wR"</f>
        <v>#VALUE!</v>
      </c>
      <c r="W60" t="e">
        <f>'All regions'!I1483+"n/&gt;!$wS"</f>
        <v>#VALUE!</v>
      </c>
      <c r="X60" t="e">
        <f>'All regions'!J1483+"n/&gt;!$wT"</f>
        <v>#VALUE!</v>
      </c>
      <c r="Y60" t="e">
        <f>'All regions'!A1484+"n/&gt;!$wU"</f>
        <v>#VALUE!</v>
      </c>
      <c r="Z60" t="e">
        <f>'All regions'!B1484+"n/&gt;!$wV"</f>
        <v>#VALUE!</v>
      </c>
      <c r="AA60" t="e">
        <f>'All regions'!C1484+"n/&gt;!$wW"</f>
        <v>#VALUE!</v>
      </c>
      <c r="AB60" t="e">
        <f>'All regions'!D1484+"n/&gt;!$wX"</f>
        <v>#VALUE!</v>
      </c>
      <c r="AC60" t="e">
        <f>'All regions'!E1484+"n/&gt;!$wY"</f>
        <v>#VALUE!</v>
      </c>
      <c r="AD60" t="e">
        <f>'All regions'!F1484+"n/&gt;!$wZ"</f>
        <v>#VALUE!</v>
      </c>
      <c r="AE60" t="e">
        <f>'All regions'!G1484+"n/&gt;!$w["</f>
        <v>#VALUE!</v>
      </c>
      <c r="AF60" t="e">
        <f>'All regions'!H1484+"n/&gt;!$w\"</f>
        <v>#VALUE!</v>
      </c>
      <c r="AG60" t="e">
        <f>'All regions'!I1484+"n/&gt;!$w]"</f>
        <v>#VALUE!</v>
      </c>
      <c r="AH60" t="e">
        <f>'All regions'!J1484+"n/&gt;!$w^"</f>
        <v>#VALUE!</v>
      </c>
      <c r="AI60" t="e">
        <f>'All regions'!A1485+"n/&gt;!$w_"</f>
        <v>#VALUE!</v>
      </c>
      <c r="AJ60" t="e">
        <f>'All regions'!B1485+"n/&gt;!$w`"</f>
        <v>#VALUE!</v>
      </c>
      <c r="AK60" t="e">
        <f>'All regions'!C1485+"n/&gt;!$wa"</f>
        <v>#VALUE!</v>
      </c>
      <c r="AL60" t="e">
        <f>'All regions'!D1485+"n/&gt;!$wb"</f>
        <v>#VALUE!</v>
      </c>
      <c r="AM60" t="e">
        <f>'All regions'!E1485+"n/&gt;!$wc"</f>
        <v>#VALUE!</v>
      </c>
      <c r="AN60" t="e">
        <f>'All regions'!F1485+"n/&gt;!$wd"</f>
        <v>#VALUE!</v>
      </c>
      <c r="AO60" t="e">
        <f>'All regions'!G1485+"n/&gt;!$we"</f>
        <v>#VALUE!</v>
      </c>
      <c r="AP60" t="e">
        <f>'All regions'!H1485+"n/&gt;!$wf"</f>
        <v>#VALUE!</v>
      </c>
      <c r="AQ60" t="e">
        <f>'All regions'!I1485+"n/&gt;!$wg"</f>
        <v>#VALUE!</v>
      </c>
      <c r="AR60" t="e">
        <f>'All regions'!J1485+"n/&gt;!$wh"</f>
        <v>#VALUE!</v>
      </c>
      <c r="AS60" t="e">
        <f>'All regions'!A1486+"n/&gt;!$wi"</f>
        <v>#VALUE!</v>
      </c>
      <c r="AT60" t="e">
        <f>'All regions'!B1486+"n/&gt;!$wj"</f>
        <v>#VALUE!</v>
      </c>
      <c r="AU60" t="e">
        <f>'All regions'!C1486+"n/&gt;!$wk"</f>
        <v>#VALUE!</v>
      </c>
      <c r="AV60" t="e">
        <f>'All regions'!D1486+"n/&gt;!$wl"</f>
        <v>#VALUE!</v>
      </c>
      <c r="AW60" t="e">
        <f>'All regions'!E1486+"n/&gt;!$wm"</f>
        <v>#VALUE!</v>
      </c>
      <c r="AX60" t="e">
        <f>'All regions'!F1486+"n/&gt;!$wn"</f>
        <v>#VALUE!</v>
      </c>
      <c r="AY60" t="e">
        <f>'All regions'!G1486+"n/&gt;!$wo"</f>
        <v>#VALUE!</v>
      </c>
      <c r="AZ60" t="e">
        <f>'All regions'!H1486+"n/&gt;!$wp"</f>
        <v>#VALUE!</v>
      </c>
      <c r="BA60" t="e">
        <f>'All regions'!I1486+"n/&gt;!$wq"</f>
        <v>#VALUE!</v>
      </c>
      <c r="BB60" t="e">
        <f>'All regions'!J1486+"n/&gt;!$wr"</f>
        <v>#VALUE!</v>
      </c>
      <c r="BC60" t="e">
        <f>'All regions'!A1487+"n/&gt;!$ws"</f>
        <v>#VALUE!</v>
      </c>
      <c r="BD60" t="e">
        <f>'All regions'!B1487+"n/&gt;!$wt"</f>
        <v>#VALUE!</v>
      </c>
      <c r="BE60" t="e">
        <f>'All regions'!C1487+"n/&gt;!$wu"</f>
        <v>#VALUE!</v>
      </c>
      <c r="BF60" t="e">
        <f>'All regions'!D1487+"n/&gt;!$wv"</f>
        <v>#VALUE!</v>
      </c>
      <c r="BG60" t="e">
        <f>'All regions'!E1487+"n/&gt;!$ww"</f>
        <v>#VALUE!</v>
      </c>
      <c r="BH60" t="e">
        <f>'All regions'!F1487+"n/&gt;!$wx"</f>
        <v>#VALUE!</v>
      </c>
      <c r="BI60" t="e">
        <f>'All regions'!G1487+"n/&gt;!$wy"</f>
        <v>#VALUE!</v>
      </c>
      <c r="BJ60" t="e">
        <f>'All regions'!H1487+"n/&gt;!$wz"</f>
        <v>#VALUE!</v>
      </c>
      <c r="BK60" t="e">
        <f>'All regions'!I1487+"n/&gt;!$w{"</f>
        <v>#VALUE!</v>
      </c>
      <c r="BL60" t="e">
        <f>'All regions'!J1487+"n/&gt;!$w|"</f>
        <v>#VALUE!</v>
      </c>
      <c r="BM60" t="e">
        <f>'All regions'!A1488+"n/&gt;!$w}"</f>
        <v>#VALUE!</v>
      </c>
      <c r="BN60" t="e">
        <f>'All regions'!B1488+"n/&gt;!$w~"</f>
        <v>#VALUE!</v>
      </c>
      <c r="BO60" t="e">
        <f>'All regions'!C1488+"n/&gt;!$x#"</f>
        <v>#VALUE!</v>
      </c>
      <c r="BP60" t="e">
        <f>'All regions'!D1488+"n/&gt;!$x$"</f>
        <v>#VALUE!</v>
      </c>
      <c r="BQ60" t="e">
        <f>'All regions'!E1488+"n/&gt;!$x%"</f>
        <v>#VALUE!</v>
      </c>
      <c r="BR60" t="e">
        <f>'All regions'!F1488+"n/&gt;!$x&amp;"</f>
        <v>#VALUE!</v>
      </c>
      <c r="BS60" t="e">
        <f>'All regions'!G1488+"n/&gt;!$x'"</f>
        <v>#VALUE!</v>
      </c>
      <c r="BT60" t="e">
        <f>'All regions'!H1488+"n/&gt;!$x("</f>
        <v>#VALUE!</v>
      </c>
      <c r="BU60" t="e">
        <f>'All regions'!I1488+"n/&gt;!$x)"</f>
        <v>#VALUE!</v>
      </c>
      <c r="BV60" t="e">
        <f>'All regions'!J1488+"n/&gt;!$x."</f>
        <v>#VALUE!</v>
      </c>
      <c r="BW60" t="e">
        <f>'All regions'!A1489+"n/&gt;!$x/"</f>
        <v>#VALUE!</v>
      </c>
      <c r="BX60" t="e">
        <f>'All regions'!B1489+"n/&gt;!$x0"</f>
        <v>#VALUE!</v>
      </c>
      <c r="BY60" t="e">
        <f>'All regions'!C1489+"n/&gt;!$x1"</f>
        <v>#VALUE!</v>
      </c>
      <c r="BZ60" t="e">
        <f>'All regions'!D1489+"n/&gt;!$x2"</f>
        <v>#VALUE!</v>
      </c>
      <c r="CA60" t="e">
        <f>'All regions'!E1489+"n/&gt;!$x3"</f>
        <v>#VALUE!</v>
      </c>
      <c r="CB60" t="e">
        <f>'All regions'!F1489+"n/&gt;!$x4"</f>
        <v>#VALUE!</v>
      </c>
      <c r="CC60" t="e">
        <f>'All regions'!G1489+"n/&gt;!$x5"</f>
        <v>#VALUE!</v>
      </c>
      <c r="CD60" t="e">
        <f>'All regions'!H1489+"n/&gt;!$x6"</f>
        <v>#VALUE!</v>
      </c>
      <c r="CE60" t="e">
        <f>'All regions'!I1489+"n/&gt;!$x7"</f>
        <v>#VALUE!</v>
      </c>
      <c r="CF60" t="e">
        <f>'All regions'!J1489+"n/&gt;!$x8"</f>
        <v>#VALUE!</v>
      </c>
      <c r="CG60" t="e">
        <f>'All regions'!A1490+"n/&gt;!$x9"</f>
        <v>#VALUE!</v>
      </c>
      <c r="CH60" t="e">
        <f>'All regions'!B1490+"n/&gt;!$x:"</f>
        <v>#VALUE!</v>
      </c>
      <c r="CI60" t="e">
        <f>'All regions'!C1490+"n/&gt;!$x;"</f>
        <v>#VALUE!</v>
      </c>
      <c r="CJ60" t="e">
        <f>'All regions'!D1490+"n/&gt;!$x&lt;"</f>
        <v>#VALUE!</v>
      </c>
      <c r="CK60" t="e">
        <f>'All regions'!E1490+"n/&gt;!$x="</f>
        <v>#VALUE!</v>
      </c>
      <c r="CL60" t="e">
        <f>'All regions'!F1490+"n/&gt;!$x&gt;"</f>
        <v>#VALUE!</v>
      </c>
      <c r="CM60" t="e">
        <f>'All regions'!G1490+"n/&gt;!$x?"</f>
        <v>#VALUE!</v>
      </c>
      <c r="CN60" t="e">
        <f>'All regions'!H1490+"n/&gt;!$x@"</f>
        <v>#VALUE!</v>
      </c>
      <c r="CO60" t="e">
        <f>'All regions'!I1490+"n/&gt;!$xA"</f>
        <v>#VALUE!</v>
      </c>
      <c r="CP60" t="e">
        <f>'All regions'!J1490+"n/&gt;!$xB"</f>
        <v>#VALUE!</v>
      </c>
      <c r="CQ60" t="e">
        <f>'All regions'!A1491+"n/&gt;!$xC"</f>
        <v>#VALUE!</v>
      </c>
      <c r="CR60" t="e">
        <f>'All regions'!B1491+"n/&gt;!$xD"</f>
        <v>#VALUE!</v>
      </c>
      <c r="CS60" t="e">
        <f>'All regions'!C1491+"n/&gt;!$xE"</f>
        <v>#VALUE!</v>
      </c>
      <c r="CT60" t="e">
        <f>'All regions'!D1491+"n/&gt;!$xF"</f>
        <v>#VALUE!</v>
      </c>
      <c r="CU60" t="e">
        <f>'All regions'!E1491+"n/&gt;!$xG"</f>
        <v>#VALUE!</v>
      </c>
      <c r="CV60" t="e">
        <f>'All regions'!F1491+"n/&gt;!$xH"</f>
        <v>#VALUE!</v>
      </c>
      <c r="CW60" t="e">
        <f>'All regions'!G1491+"n/&gt;!$xI"</f>
        <v>#VALUE!</v>
      </c>
      <c r="CX60" t="e">
        <f>'All regions'!H1491+"n/&gt;!$xJ"</f>
        <v>#VALUE!</v>
      </c>
      <c r="CY60" t="e">
        <f>'All regions'!I1491+"n/&gt;!$xK"</f>
        <v>#VALUE!</v>
      </c>
      <c r="CZ60" t="e">
        <f>'All regions'!J1491+"n/&gt;!$xL"</f>
        <v>#VALUE!</v>
      </c>
      <c r="DA60" t="e">
        <f>'All regions'!A1492+"n/&gt;!$xM"</f>
        <v>#VALUE!</v>
      </c>
      <c r="DB60" t="e">
        <f>'All regions'!B1492+"n/&gt;!$xN"</f>
        <v>#VALUE!</v>
      </c>
      <c r="DC60" t="e">
        <f>'All regions'!C1492+"n/&gt;!$xO"</f>
        <v>#VALUE!</v>
      </c>
      <c r="DD60" t="e">
        <f>'All regions'!D1492+"n/&gt;!$xP"</f>
        <v>#VALUE!</v>
      </c>
      <c r="DE60" t="e">
        <f>'All regions'!E1492+"n/&gt;!$xQ"</f>
        <v>#VALUE!</v>
      </c>
      <c r="DF60" t="e">
        <f>'All regions'!F1492+"n/&gt;!$xR"</f>
        <v>#VALUE!</v>
      </c>
      <c r="DG60" t="e">
        <f>'All regions'!G1492+"n/&gt;!$xS"</f>
        <v>#VALUE!</v>
      </c>
      <c r="DH60" t="e">
        <f>'All regions'!H1492+"n/&gt;!$xT"</f>
        <v>#VALUE!</v>
      </c>
      <c r="DI60" t="e">
        <f>'All regions'!I1492+"n/&gt;!$xU"</f>
        <v>#VALUE!</v>
      </c>
      <c r="DJ60" t="e">
        <f>'All regions'!J1492+"n/&gt;!$xV"</f>
        <v>#VALUE!</v>
      </c>
      <c r="DK60" t="e">
        <f>'All regions'!A1493+"n/&gt;!$xW"</f>
        <v>#VALUE!</v>
      </c>
      <c r="DL60" t="e">
        <f>'All regions'!B1493+"n/&gt;!$xX"</f>
        <v>#VALUE!</v>
      </c>
      <c r="DM60" t="e">
        <f>'All regions'!C1493+"n/&gt;!$xY"</f>
        <v>#VALUE!</v>
      </c>
      <c r="DN60" t="e">
        <f>'All regions'!D1493+"n/&gt;!$xZ"</f>
        <v>#VALUE!</v>
      </c>
      <c r="DO60" t="e">
        <f>'All regions'!E1493+"n/&gt;!$x["</f>
        <v>#VALUE!</v>
      </c>
      <c r="DP60" t="e">
        <f>'All regions'!F1493+"n/&gt;!$x\"</f>
        <v>#VALUE!</v>
      </c>
      <c r="DQ60" t="e">
        <f>'All regions'!G1493+"n/&gt;!$x]"</f>
        <v>#VALUE!</v>
      </c>
      <c r="DR60" t="e">
        <f>'All regions'!H1493+"n/&gt;!$x^"</f>
        <v>#VALUE!</v>
      </c>
      <c r="DS60" t="e">
        <f>'All regions'!I1493+"n/&gt;!$x_"</f>
        <v>#VALUE!</v>
      </c>
      <c r="DT60" t="e">
        <f>'All regions'!J1493+"n/&gt;!$x`"</f>
        <v>#VALUE!</v>
      </c>
      <c r="DU60" t="e">
        <f>'All regions'!A1494+"n/&gt;!$xa"</f>
        <v>#VALUE!</v>
      </c>
      <c r="DV60" t="e">
        <f>'All regions'!B1494+"n/&gt;!$xb"</f>
        <v>#VALUE!</v>
      </c>
      <c r="DW60" t="e">
        <f>'All regions'!C1494+"n/&gt;!$xc"</f>
        <v>#VALUE!</v>
      </c>
      <c r="DX60" t="e">
        <f>'All regions'!D1494+"n/&gt;!$xd"</f>
        <v>#VALUE!</v>
      </c>
      <c r="DY60" t="e">
        <f>'All regions'!E1494+"n/&gt;!$xe"</f>
        <v>#VALUE!</v>
      </c>
      <c r="DZ60" t="e">
        <f>'All regions'!F1494+"n/&gt;!$xf"</f>
        <v>#VALUE!</v>
      </c>
      <c r="EA60" t="e">
        <f>'All regions'!G1494+"n/&gt;!$xg"</f>
        <v>#VALUE!</v>
      </c>
      <c r="EB60" t="e">
        <f>'All regions'!H1494+"n/&gt;!$xh"</f>
        <v>#VALUE!</v>
      </c>
      <c r="EC60" t="e">
        <f>'All regions'!I1494+"n/&gt;!$xi"</f>
        <v>#VALUE!</v>
      </c>
      <c r="ED60" t="e">
        <f>'All regions'!J1494+"n/&gt;!$xj"</f>
        <v>#VALUE!</v>
      </c>
      <c r="EE60" t="e">
        <f>'All regions'!A1495+"n/&gt;!$xk"</f>
        <v>#VALUE!</v>
      </c>
      <c r="EF60" t="e">
        <f>'All regions'!B1495+"n/&gt;!$xl"</f>
        <v>#VALUE!</v>
      </c>
      <c r="EG60" t="e">
        <f>'All regions'!C1495+"n/&gt;!$xm"</f>
        <v>#VALUE!</v>
      </c>
      <c r="EH60" t="e">
        <f>'All regions'!D1495+"n/&gt;!$xn"</f>
        <v>#VALUE!</v>
      </c>
      <c r="EI60" t="e">
        <f>'All regions'!E1495+"n/&gt;!$xo"</f>
        <v>#VALUE!</v>
      </c>
      <c r="EJ60" t="e">
        <f>'All regions'!F1495+"n/&gt;!$xp"</f>
        <v>#VALUE!</v>
      </c>
      <c r="EK60" t="e">
        <f>'All regions'!G1495+"n/&gt;!$xq"</f>
        <v>#VALUE!</v>
      </c>
      <c r="EL60" t="e">
        <f>'All regions'!H1495+"n/&gt;!$xr"</f>
        <v>#VALUE!</v>
      </c>
      <c r="EM60" t="e">
        <f>'All regions'!I1495+"n/&gt;!$xs"</f>
        <v>#VALUE!</v>
      </c>
      <c r="EN60" t="e">
        <f>'All regions'!J1495+"n/&gt;!$xt"</f>
        <v>#VALUE!</v>
      </c>
      <c r="EO60" t="e">
        <f>'All regions'!A1496+"n/&gt;!$xu"</f>
        <v>#VALUE!</v>
      </c>
      <c r="EP60" t="e">
        <f>'All regions'!B1496+"n/&gt;!$xv"</f>
        <v>#VALUE!</v>
      </c>
      <c r="EQ60" t="e">
        <f>'All regions'!C1496+"n/&gt;!$xw"</f>
        <v>#VALUE!</v>
      </c>
      <c r="ER60" t="e">
        <f>'All regions'!D1496+"n/&gt;!$xx"</f>
        <v>#VALUE!</v>
      </c>
      <c r="ES60" t="e">
        <f>'All regions'!E1496+"n/&gt;!$xy"</f>
        <v>#VALUE!</v>
      </c>
      <c r="ET60" t="e">
        <f>'All regions'!F1496+"n/&gt;!$xz"</f>
        <v>#VALUE!</v>
      </c>
      <c r="EU60" t="e">
        <f>'All regions'!G1496+"n/&gt;!$x{"</f>
        <v>#VALUE!</v>
      </c>
      <c r="EV60" t="e">
        <f>'All regions'!H1496+"n/&gt;!$x|"</f>
        <v>#VALUE!</v>
      </c>
      <c r="EW60" t="e">
        <f>'All regions'!I1496+"n/&gt;!$x}"</f>
        <v>#VALUE!</v>
      </c>
      <c r="EX60" t="e">
        <f>'All regions'!J1496+"n/&gt;!$x~"</f>
        <v>#VALUE!</v>
      </c>
      <c r="EY60" t="e">
        <f>'All regions'!A1497+"n/&gt;!$y#"</f>
        <v>#VALUE!</v>
      </c>
      <c r="EZ60" t="e">
        <f>'All regions'!B1497+"n/&gt;!$y$"</f>
        <v>#VALUE!</v>
      </c>
      <c r="FA60" t="e">
        <f>'All regions'!C1497+"n/&gt;!$y%"</f>
        <v>#VALUE!</v>
      </c>
      <c r="FB60" t="e">
        <f>'All regions'!D1497+"n/&gt;!$y&amp;"</f>
        <v>#VALUE!</v>
      </c>
      <c r="FC60" t="e">
        <f>'All regions'!E1497+"n/&gt;!$y'"</f>
        <v>#VALUE!</v>
      </c>
      <c r="FD60" t="e">
        <f>'All regions'!F1497+"n/&gt;!$y("</f>
        <v>#VALUE!</v>
      </c>
      <c r="FE60" t="e">
        <f>'All regions'!G1497+"n/&gt;!$y)"</f>
        <v>#VALUE!</v>
      </c>
      <c r="FF60" t="e">
        <f>'All regions'!H1497+"n/&gt;!$y."</f>
        <v>#VALUE!</v>
      </c>
      <c r="FG60" t="e">
        <f>'All regions'!I1497+"n/&gt;!$y/"</f>
        <v>#VALUE!</v>
      </c>
      <c r="FH60" t="e">
        <f>'All regions'!J1497+"n/&gt;!$y0"</f>
        <v>#VALUE!</v>
      </c>
      <c r="FI60" t="e">
        <f>'All regions'!A1498+"n/&gt;!$y1"</f>
        <v>#VALUE!</v>
      </c>
      <c r="FJ60" t="e">
        <f>'All regions'!B1498+"n/&gt;!$y2"</f>
        <v>#VALUE!</v>
      </c>
      <c r="FK60" t="e">
        <f>'All regions'!C1498+"n/&gt;!$y3"</f>
        <v>#VALUE!</v>
      </c>
      <c r="FL60" t="e">
        <f>'All regions'!D1498+"n/&gt;!$y4"</f>
        <v>#VALUE!</v>
      </c>
      <c r="FM60" t="e">
        <f>'All regions'!E1498+"n/&gt;!$y5"</f>
        <v>#VALUE!</v>
      </c>
      <c r="FN60" t="e">
        <f>'All regions'!F1498+"n/&gt;!$y6"</f>
        <v>#VALUE!</v>
      </c>
      <c r="FO60" t="e">
        <f>'All regions'!G1498+"n/&gt;!$y7"</f>
        <v>#VALUE!</v>
      </c>
      <c r="FP60" t="e">
        <f>'All regions'!H1498+"n/&gt;!$y8"</f>
        <v>#VALUE!</v>
      </c>
      <c r="FQ60" t="e">
        <f>'All regions'!I1498+"n/&gt;!$y9"</f>
        <v>#VALUE!</v>
      </c>
      <c r="FR60" t="e">
        <f>'All regions'!J1498+"n/&gt;!$y:"</f>
        <v>#VALUE!</v>
      </c>
      <c r="FS60" t="e">
        <f>'All regions'!A1499+"n/&gt;!$y;"</f>
        <v>#VALUE!</v>
      </c>
      <c r="FT60" t="e">
        <f>'All regions'!B1499+"n/&gt;!$y&lt;"</f>
        <v>#VALUE!</v>
      </c>
      <c r="FU60" t="e">
        <f>'All regions'!C1499+"n/&gt;!$y="</f>
        <v>#VALUE!</v>
      </c>
      <c r="FV60" t="e">
        <f>'All regions'!D1499+"n/&gt;!$y&gt;"</f>
        <v>#VALUE!</v>
      </c>
      <c r="FW60" t="e">
        <f>'All regions'!E1499+"n/&gt;!$y?"</f>
        <v>#VALUE!</v>
      </c>
      <c r="FX60" t="e">
        <f>'All regions'!F1499+"n/&gt;!$y@"</f>
        <v>#VALUE!</v>
      </c>
      <c r="FY60" t="e">
        <f>'All regions'!G1499+"n/&gt;!$yA"</f>
        <v>#VALUE!</v>
      </c>
      <c r="FZ60" t="e">
        <f>'All regions'!H1499+"n/&gt;!$yB"</f>
        <v>#VALUE!</v>
      </c>
      <c r="GA60" t="e">
        <f>'All regions'!I1499+"n/&gt;!$yC"</f>
        <v>#VALUE!</v>
      </c>
      <c r="GB60" t="e">
        <f>'All regions'!J1499+"n/&gt;!$yD"</f>
        <v>#VALUE!</v>
      </c>
      <c r="GC60" t="e">
        <f>'All regions'!A1500+"n/&gt;!$yE"</f>
        <v>#VALUE!</v>
      </c>
      <c r="GD60" t="e">
        <f>'All regions'!B1500+"n/&gt;!$yF"</f>
        <v>#VALUE!</v>
      </c>
      <c r="GE60" t="e">
        <f>'All regions'!C1500+"n/&gt;!$yG"</f>
        <v>#VALUE!</v>
      </c>
      <c r="GF60" t="e">
        <f>'All regions'!D1500+"n/&gt;!$yH"</f>
        <v>#VALUE!</v>
      </c>
      <c r="GG60" t="e">
        <f>'All regions'!E1500+"n/&gt;!$yI"</f>
        <v>#VALUE!</v>
      </c>
      <c r="GH60" t="e">
        <f>'All regions'!F1500+"n/&gt;!$yJ"</f>
        <v>#VALUE!</v>
      </c>
      <c r="GI60" t="e">
        <f>'All regions'!G1500+"n/&gt;!$yK"</f>
        <v>#VALUE!</v>
      </c>
      <c r="GJ60" t="e">
        <f>'All regions'!H1500+"n/&gt;!$yL"</f>
        <v>#VALUE!</v>
      </c>
      <c r="GK60" t="e">
        <f>'All regions'!I1500+"n/&gt;!$yM"</f>
        <v>#VALUE!</v>
      </c>
      <c r="GL60" t="e">
        <f>'All regions'!J1500+"n/&gt;!$yN"</f>
        <v>#VALUE!</v>
      </c>
      <c r="GM60" t="e">
        <f>'All regions'!A1501+"n/&gt;!$yO"</f>
        <v>#VALUE!</v>
      </c>
      <c r="GN60" t="e">
        <f>'All regions'!B1501+"n/&gt;!$yP"</f>
        <v>#VALUE!</v>
      </c>
      <c r="GO60" t="e">
        <f>'All regions'!C1501+"n/&gt;!$yQ"</f>
        <v>#VALUE!</v>
      </c>
      <c r="GP60" t="e">
        <f>'All regions'!D1501+"n/&gt;!$yR"</f>
        <v>#VALUE!</v>
      </c>
      <c r="GQ60" t="e">
        <f>'All regions'!E1501+"n/&gt;!$yS"</f>
        <v>#VALUE!</v>
      </c>
      <c r="GR60" t="e">
        <f>'All regions'!F1501+"n/&gt;!$yT"</f>
        <v>#VALUE!</v>
      </c>
      <c r="GS60" t="e">
        <f>'All regions'!G1501+"n/&gt;!$yU"</f>
        <v>#VALUE!</v>
      </c>
      <c r="GT60" t="e">
        <f>'All regions'!H1501+"n/&gt;!$yV"</f>
        <v>#VALUE!</v>
      </c>
      <c r="GU60" t="e">
        <f>'All regions'!I1501+"n/&gt;!$yW"</f>
        <v>#VALUE!</v>
      </c>
      <c r="GV60" t="e">
        <f>'All regions'!J1501+"n/&gt;!$yX"</f>
        <v>#VALUE!</v>
      </c>
      <c r="GW60" t="e">
        <f>'All regions'!A1502+"n/&gt;!$yY"</f>
        <v>#VALUE!</v>
      </c>
      <c r="GX60" t="e">
        <f>'All regions'!B1502+"n/&gt;!$yZ"</f>
        <v>#VALUE!</v>
      </c>
      <c r="GY60" t="e">
        <f>'All regions'!C1502+"n/&gt;!$y["</f>
        <v>#VALUE!</v>
      </c>
      <c r="GZ60" t="e">
        <f>'All regions'!D1502+"n/&gt;!$y\"</f>
        <v>#VALUE!</v>
      </c>
      <c r="HA60" t="e">
        <f>'All regions'!E1502+"n/&gt;!$y]"</f>
        <v>#VALUE!</v>
      </c>
      <c r="HB60" t="e">
        <f>'All regions'!F1502+"n/&gt;!$y^"</f>
        <v>#VALUE!</v>
      </c>
      <c r="HC60" t="e">
        <f>'All regions'!G1502+"n/&gt;!$y_"</f>
        <v>#VALUE!</v>
      </c>
      <c r="HD60" t="e">
        <f>'All regions'!H1502+"n/&gt;!$y`"</f>
        <v>#VALUE!</v>
      </c>
      <c r="HE60" t="e">
        <f>'All regions'!I1502+"n/&gt;!$ya"</f>
        <v>#VALUE!</v>
      </c>
      <c r="HF60" t="e">
        <f>'All regions'!J1502+"n/&gt;!$yb"</f>
        <v>#VALUE!</v>
      </c>
      <c r="HG60" t="e">
        <f>'All regions'!A1503+"n/&gt;!$yc"</f>
        <v>#VALUE!</v>
      </c>
      <c r="HH60" t="e">
        <f>'All regions'!B1503+"n/&gt;!$yd"</f>
        <v>#VALUE!</v>
      </c>
      <c r="HI60" t="e">
        <f>'All regions'!C1503+"n/&gt;!$ye"</f>
        <v>#VALUE!</v>
      </c>
      <c r="HJ60" t="e">
        <f>'All regions'!D1503+"n/&gt;!$yf"</f>
        <v>#VALUE!</v>
      </c>
      <c r="HK60" t="e">
        <f>'All regions'!E1503+"n/&gt;!$yg"</f>
        <v>#VALUE!</v>
      </c>
      <c r="HL60" t="e">
        <f>'All regions'!F1503+"n/&gt;!$yh"</f>
        <v>#VALUE!</v>
      </c>
      <c r="HM60" t="e">
        <f>'All regions'!G1503+"n/&gt;!$yi"</f>
        <v>#VALUE!</v>
      </c>
      <c r="HN60" t="e">
        <f>'All regions'!H1503+"n/&gt;!$yj"</f>
        <v>#VALUE!</v>
      </c>
      <c r="HO60" t="e">
        <f>'All regions'!I1503+"n/&gt;!$yk"</f>
        <v>#VALUE!</v>
      </c>
      <c r="HP60" t="e">
        <f>'All regions'!J1503+"n/&gt;!$yl"</f>
        <v>#VALUE!</v>
      </c>
      <c r="HQ60" t="e">
        <f>'All regions'!A1504+"n/&gt;!$ym"</f>
        <v>#VALUE!</v>
      </c>
      <c r="HR60" t="e">
        <f>'All regions'!B1504+"n/&gt;!$yn"</f>
        <v>#VALUE!</v>
      </c>
      <c r="HS60" t="e">
        <f>'All regions'!C1504+"n/&gt;!$yo"</f>
        <v>#VALUE!</v>
      </c>
      <c r="HT60" t="e">
        <f>'All regions'!D1504+"n/&gt;!$yp"</f>
        <v>#VALUE!</v>
      </c>
      <c r="HU60" t="e">
        <f>'All regions'!E1504+"n/&gt;!$yq"</f>
        <v>#VALUE!</v>
      </c>
      <c r="HV60" t="e">
        <f>'All regions'!F1504+"n/&gt;!$yr"</f>
        <v>#VALUE!</v>
      </c>
      <c r="HW60" t="e">
        <f>'All regions'!G1504+"n/&gt;!$ys"</f>
        <v>#VALUE!</v>
      </c>
      <c r="HX60" t="e">
        <f>'All regions'!H1504+"n/&gt;!$yt"</f>
        <v>#VALUE!</v>
      </c>
      <c r="HY60" t="e">
        <f>'All regions'!I1504+"n/&gt;!$yu"</f>
        <v>#VALUE!</v>
      </c>
      <c r="HZ60" t="e">
        <f>'All regions'!J1504+"n/&gt;!$yv"</f>
        <v>#VALUE!</v>
      </c>
      <c r="IA60" t="e">
        <f>'All regions'!A1505+"n/&gt;!$yw"</f>
        <v>#VALUE!</v>
      </c>
      <c r="IB60" t="e">
        <f>'All regions'!B1505+"n/&gt;!$yx"</f>
        <v>#VALUE!</v>
      </c>
      <c r="IC60" t="e">
        <f>'All regions'!C1505+"n/&gt;!$yy"</f>
        <v>#VALUE!</v>
      </c>
      <c r="ID60" t="e">
        <f>'All regions'!D1505+"n/&gt;!$yz"</f>
        <v>#VALUE!</v>
      </c>
      <c r="IE60" t="e">
        <f>'All regions'!E1505+"n/&gt;!$y{"</f>
        <v>#VALUE!</v>
      </c>
      <c r="IF60" t="e">
        <f>'All regions'!F1505+"n/&gt;!$y|"</f>
        <v>#VALUE!</v>
      </c>
      <c r="IG60" t="e">
        <f>'All regions'!G1505+"n/&gt;!$y}"</f>
        <v>#VALUE!</v>
      </c>
      <c r="IH60" t="e">
        <f>'All regions'!H1505+"n/&gt;!$y~"</f>
        <v>#VALUE!</v>
      </c>
      <c r="II60" t="e">
        <f>'All regions'!I1505+"n/&gt;!$z#"</f>
        <v>#VALUE!</v>
      </c>
      <c r="IJ60" t="e">
        <f>'All regions'!J1505+"n/&gt;!$z$"</f>
        <v>#VALUE!</v>
      </c>
      <c r="IK60" t="e">
        <f>'All regions'!A1506+"n/&gt;!$z%"</f>
        <v>#VALUE!</v>
      </c>
      <c r="IL60" t="e">
        <f>'All regions'!B1506+"n/&gt;!$z&amp;"</f>
        <v>#VALUE!</v>
      </c>
      <c r="IM60" t="e">
        <f>'All regions'!C1506+"n/&gt;!$z'"</f>
        <v>#VALUE!</v>
      </c>
      <c r="IN60" t="e">
        <f>'All regions'!D1506+"n/&gt;!$z("</f>
        <v>#VALUE!</v>
      </c>
      <c r="IO60" t="e">
        <f>'All regions'!E1506+"n/&gt;!$z)"</f>
        <v>#VALUE!</v>
      </c>
      <c r="IP60" t="e">
        <f>'All regions'!F1506+"n/&gt;!$z."</f>
        <v>#VALUE!</v>
      </c>
      <c r="IQ60" t="e">
        <f>'All regions'!G1506+"n/&gt;!$z/"</f>
        <v>#VALUE!</v>
      </c>
      <c r="IR60" t="e">
        <f>'All regions'!H1506+"n/&gt;!$z0"</f>
        <v>#VALUE!</v>
      </c>
      <c r="IS60" t="e">
        <f>'All regions'!I1506+"n/&gt;!$z1"</f>
        <v>#VALUE!</v>
      </c>
      <c r="IT60" t="e">
        <f>'All regions'!J1506+"n/&gt;!$z2"</f>
        <v>#VALUE!</v>
      </c>
      <c r="IU60" t="e">
        <f>'All regions'!A1507+"n/&gt;!$z3"</f>
        <v>#VALUE!</v>
      </c>
      <c r="IV60" t="e">
        <f>'All regions'!B1507+"n/&gt;!$z4"</f>
        <v>#VALUE!</v>
      </c>
    </row>
    <row r="61" spans="6:256" x14ac:dyDescent="0.35">
      <c r="F61" t="e">
        <f>'All regions'!C1507+"n/&gt;!$z5"</f>
        <v>#VALUE!</v>
      </c>
      <c r="G61" t="e">
        <f>'All regions'!D1507+"n/&gt;!$z6"</f>
        <v>#VALUE!</v>
      </c>
      <c r="H61" t="e">
        <f>'All regions'!E1507+"n/&gt;!$z7"</f>
        <v>#VALUE!</v>
      </c>
      <c r="I61" t="e">
        <f>'All regions'!F1507+"n/&gt;!$z8"</f>
        <v>#VALUE!</v>
      </c>
      <c r="J61" t="e">
        <f>'All regions'!G1507+"n/&gt;!$z9"</f>
        <v>#VALUE!</v>
      </c>
      <c r="K61" t="e">
        <f>'All regions'!H1507+"n/&gt;!$z:"</f>
        <v>#VALUE!</v>
      </c>
      <c r="L61" t="e">
        <f>'All regions'!I1507+"n/&gt;!$z;"</f>
        <v>#VALUE!</v>
      </c>
      <c r="M61" t="e">
        <f>'All regions'!J1507+"n/&gt;!$z&lt;"</f>
        <v>#VALUE!</v>
      </c>
      <c r="N61" t="e">
        <f>'All regions'!A1508+"n/&gt;!$z="</f>
        <v>#VALUE!</v>
      </c>
      <c r="O61" t="e">
        <f>'All regions'!B1508+"n/&gt;!$z&gt;"</f>
        <v>#VALUE!</v>
      </c>
      <c r="P61" t="e">
        <f>'All regions'!C1508+"n/&gt;!$z?"</f>
        <v>#VALUE!</v>
      </c>
      <c r="Q61" t="e">
        <f>'All regions'!D1508+"n/&gt;!$z@"</f>
        <v>#VALUE!</v>
      </c>
      <c r="R61" t="e">
        <f>'All regions'!E1508+"n/&gt;!$zA"</f>
        <v>#VALUE!</v>
      </c>
      <c r="S61" t="e">
        <f>'All regions'!F1508+"n/&gt;!$zB"</f>
        <v>#VALUE!</v>
      </c>
      <c r="T61" t="e">
        <f>'All regions'!G1508+"n/&gt;!$zC"</f>
        <v>#VALUE!</v>
      </c>
      <c r="U61" t="e">
        <f>'All regions'!H1508+"n/&gt;!$zD"</f>
        <v>#VALUE!</v>
      </c>
      <c r="V61" t="e">
        <f>'All regions'!I1508+"n/&gt;!$zE"</f>
        <v>#VALUE!</v>
      </c>
      <c r="W61" t="e">
        <f>'All regions'!J1508+"n/&gt;!$zF"</f>
        <v>#VALUE!</v>
      </c>
      <c r="X61" t="e">
        <f>'All regions'!A1509+"n/&gt;!$zG"</f>
        <v>#VALUE!</v>
      </c>
      <c r="Y61" t="e">
        <f>'All regions'!B1509+"n/&gt;!$zH"</f>
        <v>#VALUE!</v>
      </c>
      <c r="Z61" t="e">
        <f>'All regions'!C1509+"n/&gt;!$zI"</f>
        <v>#VALUE!</v>
      </c>
      <c r="AA61" t="e">
        <f>'All regions'!D1509+"n/&gt;!$zJ"</f>
        <v>#VALUE!</v>
      </c>
      <c r="AB61" t="e">
        <f>'All regions'!E1509+"n/&gt;!$zK"</f>
        <v>#VALUE!</v>
      </c>
      <c r="AC61" t="e">
        <f>'All regions'!F1509+"n/&gt;!$zL"</f>
        <v>#VALUE!</v>
      </c>
      <c r="AD61" t="e">
        <f>'All regions'!G1509+"n/&gt;!$zM"</f>
        <v>#VALUE!</v>
      </c>
      <c r="AE61" t="e">
        <f>'All regions'!H1509+"n/&gt;!$zN"</f>
        <v>#VALUE!</v>
      </c>
      <c r="AF61" t="e">
        <f>'All regions'!I1509+"n/&gt;!$zO"</f>
        <v>#VALUE!</v>
      </c>
      <c r="AG61" t="e">
        <f>'All regions'!J1509+"n/&gt;!$zP"</f>
        <v>#VALUE!</v>
      </c>
      <c r="AH61" t="e">
        <f>'All regions'!A1510+"n/&gt;!$zQ"</f>
        <v>#VALUE!</v>
      </c>
      <c r="AI61" t="e">
        <f>'All regions'!B1510+"n/&gt;!$zR"</f>
        <v>#VALUE!</v>
      </c>
      <c r="AJ61" t="e">
        <f>'All regions'!C1510+"n/&gt;!$zS"</f>
        <v>#VALUE!</v>
      </c>
      <c r="AK61" t="e">
        <f>'All regions'!D1510+"n/&gt;!$zT"</f>
        <v>#VALUE!</v>
      </c>
      <c r="AL61" t="e">
        <f>'All regions'!E1510+"n/&gt;!$zU"</f>
        <v>#VALUE!</v>
      </c>
      <c r="AM61" t="e">
        <f>'All regions'!F1510+"n/&gt;!$zV"</f>
        <v>#VALUE!</v>
      </c>
      <c r="AN61" t="e">
        <f>'All regions'!G1510+"n/&gt;!$zW"</f>
        <v>#VALUE!</v>
      </c>
      <c r="AO61" t="e">
        <f>'All regions'!H1510+"n/&gt;!$zX"</f>
        <v>#VALUE!</v>
      </c>
      <c r="AP61" t="e">
        <f>'All regions'!I1510+"n/&gt;!$zY"</f>
        <v>#VALUE!</v>
      </c>
      <c r="AQ61" t="e">
        <f>'All regions'!J1510+"n/&gt;!$zZ"</f>
        <v>#VALUE!</v>
      </c>
      <c r="AR61" t="e">
        <f>'All regions'!A1511+"n/&gt;!$z["</f>
        <v>#VALUE!</v>
      </c>
      <c r="AS61" t="e">
        <f>'All regions'!B1511+"n/&gt;!$z\"</f>
        <v>#VALUE!</v>
      </c>
      <c r="AT61" t="e">
        <f>'All regions'!C1511+"n/&gt;!$z]"</f>
        <v>#VALUE!</v>
      </c>
      <c r="AU61" t="e">
        <f>'All regions'!D1511+"n/&gt;!$z^"</f>
        <v>#VALUE!</v>
      </c>
      <c r="AV61" t="e">
        <f>'All regions'!E1511+"n/&gt;!$z_"</f>
        <v>#VALUE!</v>
      </c>
      <c r="AW61" t="e">
        <f>'All regions'!F1511+"n/&gt;!$z`"</f>
        <v>#VALUE!</v>
      </c>
      <c r="AX61" t="e">
        <f>'All regions'!G1511+"n/&gt;!$za"</f>
        <v>#VALUE!</v>
      </c>
      <c r="AY61" t="e">
        <f>'All regions'!H1511+"n/&gt;!$zb"</f>
        <v>#VALUE!</v>
      </c>
      <c r="AZ61" t="e">
        <f>'All regions'!I1511+"n/&gt;!$zc"</f>
        <v>#VALUE!</v>
      </c>
      <c r="BA61" t="e">
        <f>'All regions'!J1511+"n/&gt;!$zd"</f>
        <v>#VALUE!</v>
      </c>
      <c r="BB61" t="e">
        <f>'All regions'!A1512+"n/&gt;!$ze"</f>
        <v>#VALUE!</v>
      </c>
      <c r="BC61" t="e">
        <f>'All regions'!B1512+"n/&gt;!$zf"</f>
        <v>#VALUE!</v>
      </c>
      <c r="BD61" t="e">
        <f>'All regions'!C1512+"n/&gt;!$zg"</f>
        <v>#VALUE!</v>
      </c>
      <c r="BE61" t="e">
        <f>'All regions'!D1512+"n/&gt;!$zh"</f>
        <v>#VALUE!</v>
      </c>
      <c r="BF61" t="e">
        <f>'All regions'!E1512+"n/&gt;!$zi"</f>
        <v>#VALUE!</v>
      </c>
      <c r="BG61" t="e">
        <f>'All regions'!F1512+"n/&gt;!$zj"</f>
        <v>#VALUE!</v>
      </c>
      <c r="BH61" t="e">
        <f>'All regions'!G1512+"n/&gt;!$zk"</f>
        <v>#VALUE!</v>
      </c>
      <c r="BI61" t="e">
        <f>'All regions'!H1512+"n/&gt;!$zl"</f>
        <v>#VALUE!</v>
      </c>
      <c r="BJ61" t="e">
        <f>'All regions'!I1512+"n/&gt;!$zm"</f>
        <v>#VALUE!</v>
      </c>
      <c r="BK61" t="e">
        <f>'All regions'!J1512+"n/&gt;!$zn"</f>
        <v>#VALUE!</v>
      </c>
      <c r="BL61" t="e">
        <f>'All regions'!A1513+"n/&gt;!$zo"</f>
        <v>#VALUE!</v>
      </c>
      <c r="BM61" t="e">
        <f>'All regions'!B1513+"n/&gt;!$zp"</f>
        <v>#VALUE!</v>
      </c>
      <c r="BN61" t="e">
        <f>'All regions'!C1513+"n/&gt;!$zq"</f>
        <v>#VALUE!</v>
      </c>
      <c r="BO61" t="e">
        <f>'All regions'!D1513+"n/&gt;!$zr"</f>
        <v>#VALUE!</v>
      </c>
      <c r="BP61" t="e">
        <f>'All regions'!E1513+"n/&gt;!$zs"</f>
        <v>#VALUE!</v>
      </c>
      <c r="BQ61" t="e">
        <f>'All regions'!F1513+"n/&gt;!$zt"</f>
        <v>#VALUE!</v>
      </c>
      <c r="BR61" t="e">
        <f>'All regions'!G1513+"n/&gt;!$zu"</f>
        <v>#VALUE!</v>
      </c>
      <c r="BS61" t="e">
        <f>'All regions'!H1513+"n/&gt;!$zv"</f>
        <v>#VALUE!</v>
      </c>
      <c r="BT61" t="e">
        <f>'All regions'!I1513+"n/&gt;!$zw"</f>
        <v>#VALUE!</v>
      </c>
      <c r="BU61" t="e">
        <f>'All regions'!J1513+"n/&gt;!$zx"</f>
        <v>#VALUE!</v>
      </c>
      <c r="BV61" t="e">
        <f>'All regions'!A1514+"n/&gt;!$zy"</f>
        <v>#VALUE!</v>
      </c>
      <c r="BW61" t="e">
        <f>'All regions'!B1514+"n/&gt;!$zz"</f>
        <v>#VALUE!</v>
      </c>
      <c r="BX61" t="e">
        <f>'All regions'!C1514+"n/&gt;!$z{"</f>
        <v>#VALUE!</v>
      </c>
      <c r="BY61" t="e">
        <f>'All regions'!D1514+"n/&gt;!$z|"</f>
        <v>#VALUE!</v>
      </c>
      <c r="BZ61" t="e">
        <f>'All regions'!E1514+"n/&gt;!$z}"</f>
        <v>#VALUE!</v>
      </c>
      <c r="CA61" t="e">
        <f>'All regions'!F1514+"n/&gt;!$z~"</f>
        <v>#VALUE!</v>
      </c>
      <c r="CB61" t="e">
        <f>'All regions'!G1514+"n/&gt;!${#"</f>
        <v>#VALUE!</v>
      </c>
      <c r="CC61" t="e">
        <f>'All regions'!H1514+"n/&gt;!${$"</f>
        <v>#VALUE!</v>
      </c>
      <c r="CD61" t="e">
        <f>'All regions'!I1514+"n/&gt;!${%"</f>
        <v>#VALUE!</v>
      </c>
      <c r="CE61" t="e">
        <f>'All regions'!J1514+"n/&gt;!${&amp;"</f>
        <v>#VALUE!</v>
      </c>
      <c r="CF61" t="e">
        <f>'All regions'!A1515+"n/&gt;!${'"</f>
        <v>#VALUE!</v>
      </c>
      <c r="CG61" t="e">
        <f>'All regions'!B1515+"n/&gt;!${("</f>
        <v>#VALUE!</v>
      </c>
      <c r="CH61" t="e">
        <f>'All regions'!C1515+"n/&gt;!${)"</f>
        <v>#VALUE!</v>
      </c>
      <c r="CI61" t="e">
        <f>'All regions'!D1515+"n/&gt;!${."</f>
        <v>#VALUE!</v>
      </c>
      <c r="CJ61" t="e">
        <f>'All regions'!E1515+"n/&gt;!${/"</f>
        <v>#VALUE!</v>
      </c>
      <c r="CK61" t="e">
        <f>'All regions'!F1515+"n/&gt;!${0"</f>
        <v>#VALUE!</v>
      </c>
      <c r="CL61" t="e">
        <f>'All regions'!G1515+"n/&gt;!${1"</f>
        <v>#VALUE!</v>
      </c>
      <c r="CM61" t="e">
        <f>'All regions'!H1515+"n/&gt;!${2"</f>
        <v>#VALUE!</v>
      </c>
      <c r="CN61" t="e">
        <f>'All regions'!I1515+"n/&gt;!${3"</f>
        <v>#VALUE!</v>
      </c>
      <c r="CO61" t="e">
        <f>'All regions'!J1515+"n/&gt;!${4"</f>
        <v>#VALUE!</v>
      </c>
      <c r="CP61" t="e">
        <f>'All regions'!A1516+"n/&gt;!${5"</f>
        <v>#VALUE!</v>
      </c>
      <c r="CQ61" t="e">
        <f>'All regions'!B1516+"n/&gt;!${6"</f>
        <v>#VALUE!</v>
      </c>
      <c r="CR61" t="e">
        <f>'All regions'!C1516+"n/&gt;!${7"</f>
        <v>#VALUE!</v>
      </c>
      <c r="CS61" t="e">
        <f>'All regions'!D1516+"n/&gt;!${8"</f>
        <v>#VALUE!</v>
      </c>
      <c r="CT61" t="e">
        <f>'All regions'!E1516+"n/&gt;!${9"</f>
        <v>#VALUE!</v>
      </c>
      <c r="CU61" t="e">
        <f>'All regions'!F1516+"n/&gt;!${:"</f>
        <v>#VALUE!</v>
      </c>
      <c r="CV61" t="e">
        <f>'All regions'!G1516+"n/&gt;!${;"</f>
        <v>#VALUE!</v>
      </c>
      <c r="CW61" t="e">
        <f>'All regions'!H1516+"n/&gt;!${&lt;"</f>
        <v>#VALUE!</v>
      </c>
      <c r="CX61" t="e">
        <f>'All regions'!I1516+"n/&gt;!${="</f>
        <v>#VALUE!</v>
      </c>
      <c r="CY61" t="e">
        <f>'All regions'!J1516+"n/&gt;!${&gt;"</f>
        <v>#VALUE!</v>
      </c>
      <c r="CZ61" t="e">
        <f>'All regions'!A1517+"n/&gt;!${?"</f>
        <v>#VALUE!</v>
      </c>
      <c r="DA61" t="e">
        <f>'All regions'!B1517+"n/&gt;!${@"</f>
        <v>#VALUE!</v>
      </c>
      <c r="DB61" t="e">
        <f>'All regions'!C1517+"n/&gt;!${A"</f>
        <v>#VALUE!</v>
      </c>
      <c r="DC61" t="e">
        <f>'All regions'!D1517+"n/&gt;!${B"</f>
        <v>#VALUE!</v>
      </c>
      <c r="DD61" t="e">
        <f>'All regions'!E1517+"n/&gt;!${C"</f>
        <v>#VALUE!</v>
      </c>
      <c r="DE61" t="e">
        <f>'All regions'!F1517+"n/&gt;!${D"</f>
        <v>#VALUE!</v>
      </c>
      <c r="DF61" t="e">
        <f>'All regions'!G1517+"n/&gt;!${E"</f>
        <v>#VALUE!</v>
      </c>
      <c r="DG61" t="e">
        <f>'All regions'!H1517+"n/&gt;!${F"</f>
        <v>#VALUE!</v>
      </c>
      <c r="DH61" t="e">
        <f>'All regions'!I1517+"n/&gt;!${G"</f>
        <v>#VALUE!</v>
      </c>
      <c r="DI61" t="e">
        <f>'All regions'!J1517+"n/&gt;!${H"</f>
        <v>#VALUE!</v>
      </c>
      <c r="DJ61" t="e">
        <f>'All regions'!A1518+"n/&gt;!${I"</f>
        <v>#VALUE!</v>
      </c>
      <c r="DK61" t="e">
        <f>'All regions'!B1518+"n/&gt;!${J"</f>
        <v>#VALUE!</v>
      </c>
      <c r="DL61" t="e">
        <f>'All regions'!C1518+"n/&gt;!${K"</f>
        <v>#VALUE!</v>
      </c>
      <c r="DM61" t="e">
        <f>'All regions'!D1518+"n/&gt;!${L"</f>
        <v>#VALUE!</v>
      </c>
      <c r="DN61" t="e">
        <f>'All regions'!E1518+"n/&gt;!${M"</f>
        <v>#VALUE!</v>
      </c>
      <c r="DO61" t="e">
        <f>'All regions'!F1518+"n/&gt;!${N"</f>
        <v>#VALUE!</v>
      </c>
      <c r="DP61" t="e">
        <f>'All regions'!G1518+"n/&gt;!${O"</f>
        <v>#VALUE!</v>
      </c>
      <c r="DQ61" t="e">
        <f>'All regions'!H1518+"n/&gt;!${P"</f>
        <v>#VALUE!</v>
      </c>
      <c r="DR61" t="e">
        <f>'All regions'!I1518+"n/&gt;!${Q"</f>
        <v>#VALUE!</v>
      </c>
      <c r="DS61" t="e">
        <f>'All regions'!J1518+"n/&gt;!${R"</f>
        <v>#VALUE!</v>
      </c>
      <c r="DT61" t="e">
        <f>'All regions'!A1519+"n/&gt;!${S"</f>
        <v>#VALUE!</v>
      </c>
      <c r="DU61" t="e">
        <f>'All regions'!B1519+"n/&gt;!${T"</f>
        <v>#VALUE!</v>
      </c>
      <c r="DV61" t="e">
        <f>'All regions'!C1519+"n/&gt;!${U"</f>
        <v>#VALUE!</v>
      </c>
      <c r="DW61" t="e">
        <f>'All regions'!D1519+"n/&gt;!${V"</f>
        <v>#VALUE!</v>
      </c>
      <c r="DX61" t="e">
        <f>'All regions'!E1519+"n/&gt;!${W"</f>
        <v>#VALUE!</v>
      </c>
      <c r="DY61" t="e">
        <f>'All regions'!F1519+"n/&gt;!${X"</f>
        <v>#VALUE!</v>
      </c>
      <c r="DZ61" t="e">
        <f>'All regions'!G1519+"n/&gt;!${Y"</f>
        <v>#VALUE!</v>
      </c>
      <c r="EA61" t="e">
        <f>'All regions'!H1519+"n/&gt;!${Z"</f>
        <v>#VALUE!</v>
      </c>
      <c r="EB61" t="e">
        <f>'All regions'!I1519+"n/&gt;!${["</f>
        <v>#VALUE!</v>
      </c>
      <c r="EC61" t="e">
        <f>'All regions'!J1519+"n/&gt;!${\"</f>
        <v>#VALUE!</v>
      </c>
      <c r="ED61" t="e">
        <f>'All regions'!A1520+"n/&gt;!${]"</f>
        <v>#VALUE!</v>
      </c>
      <c r="EE61" t="e">
        <f>'All regions'!B1520+"n/&gt;!${^"</f>
        <v>#VALUE!</v>
      </c>
      <c r="EF61" t="e">
        <f>'All regions'!C1520+"n/&gt;!${_"</f>
        <v>#VALUE!</v>
      </c>
      <c r="EG61" t="e">
        <f>'All regions'!D1520+"n/&gt;!${`"</f>
        <v>#VALUE!</v>
      </c>
      <c r="EH61" t="e">
        <f>'All regions'!E1520+"n/&gt;!${a"</f>
        <v>#VALUE!</v>
      </c>
      <c r="EI61" t="e">
        <f>'All regions'!F1520+"n/&gt;!${b"</f>
        <v>#VALUE!</v>
      </c>
      <c r="EJ61" t="e">
        <f>'All regions'!G1520+"n/&gt;!${c"</f>
        <v>#VALUE!</v>
      </c>
      <c r="EK61" t="e">
        <f>'All regions'!H1520+"n/&gt;!${d"</f>
        <v>#VALUE!</v>
      </c>
      <c r="EL61" t="e">
        <f>'All regions'!I1520+"n/&gt;!${e"</f>
        <v>#VALUE!</v>
      </c>
      <c r="EM61" t="e">
        <f>'All regions'!J1520+"n/&gt;!${f"</f>
        <v>#VALUE!</v>
      </c>
      <c r="EN61" t="e">
        <f>'All regions'!A1521+"n/&gt;!${g"</f>
        <v>#VALUE!</v>
      </c>
      <c r="EO61" t="e">
        <f>'All regions'!B1521+"n/&gt;!${h"</f>
        <v>#VALUE!</v>
      </c>
      <c r="EP61" t="e">
        <f>'All regions'!C1521+"n/&gt;!${i"</f>
        <v>#VALUE!</v>
      </c>
      <c r="EQ61" t="e">
        <f>'All regions'!D1521+"n/&gt;!${j"</f>
        <v>#VALUE!</v>
      </c>
      <c r="ER61" t="e">
        <f>'All regions'!E1521+"n/&gt;!${k"</f>
        <v>#VALUE!</v>
      </c>
      <c r="ES61" t="e">
        <f>'All regions'!F1521+"n/&gt;!${l"</f>
        <v>#VALUE!</v>
      </c>
      <c r="ET61" t="e">
        <f>'All regions'!G1521+"n/&gt;!${m"</f>
        <v>#VALUE!</v>
      </c>
      <c r="EU61" t="e">
        <f>'All regions'!H1521+"n/&gt;!${n"</f>
        <v>#VALUE!</v>
      </c>
      <c r="EV61" t="e">
        <f>'All regions'!I1521+"n/&gt;!${o"</f>
        <v>#VALUE!</v>
      </c>
      <c r="EW61" t="e">
        <f>'All regions'!J1521+"n/&gt;!${p"</f>
        <v>#VALUE!</v>
      </c>
      <c r="EX61" t="e">
        <f>'All regions'!A1522+"n/&gt;!${q"</f>
        <v>#VALUE!</v>
      </c>
      <c r="EY61" t="e">
        <f>'All regions'!B1522+"n/&gt;!${r"</f>
        <v>#VALUE!</v>
      </c>
      <c r="EZ61" t="e">
        <f>'All regions'!C1522+"n/&gt;!${s"</f>
        <v>#VALUE!</v>
      </c>
      <c r="FA61" t="e">
        <f>'All regions'!D1522+"n/&gt;!${t"</f>
        <v>#VALUE!</v>
      </c>
      <c r="FB61" t="e">
        <f>'All regions'!E1522+"n/&gt;!${u"</f>
        <v>#VALUE!</v>
      </c>
      <c r="FC61" t="e">
        <f>'All regions'!F1522+"n/&gt;!${v"</f>
        <v>#VALUE!</v>
      </c>
      <c r="FD61" t="e">
        <f>'All regions'!G1522+"n/&gt;!${w"</f>
        <v>#VALUE!</v>
      </c>
      <c r="FE61" t="e">
        <f>'All regions'!H1522+"n/&gt;!${x"</f>
        <v>#VALUE!</v>
      </c>
      <c r="FF61" t="e">
        <f>'All regions'!I1522+"n/&gt;!${y"</f>
        <v>#VALUE!</v>
      </c>
      <c r="FG61" t="e">
        <f>'All regions'!J1522+"n/&gt;!${z"</f>
        <v>#VALUE!</v>
      </c>
      <c r="FH61" t="e">
        <f>'All regions'!A1523+"n/&gt;!${{"</f>
        <v>#VALUE!</v>
      </c>
      <c r="FI61" t="e">
        <f>'All regions'!B1523+"n/&gt;!${|"</f>
        <v>#VALUE!</v>
      </c>
      <c r="FJ61" t="e">
        <f>'All regions'!C1523+"n/&gt;!${}"</f>
        <v>#VALUE!</v>
      </c>
      <c r="FK61" t="e">
        <f>'All regions'!D1523+"n/&gt;!${~"</f>
        <v>#VALUE!</v>
      </c>
      <c r="FL61" t="e">
        <f>'All regions'!E1523+"n/&gt;!$|#"</f>
        <v>#VALUE!</v>
      </c>
      <c r="FM61" t="e">
        <f>'All regions'!F1523+"n/&gt;!$|$"</f>
        <v>#VALUE!</v>
      </c>
      <c r="FN61" t="e">
        <f>'All regions'!G1523+"n/&gt;!$|%"</f>
        <v>#VALUE!</v>
      </c>
      <c r="FO61" t="e">
        <f>'All regions'!H1523+"n/&gt;!$|&amp;"</f>
        <v>#VALUE!</v>
      </c>
      <c r="FP61" t="e">
        <f>'All regions'!I1523+"n/&gt;!$|'"</f>
        <v>#VALUE!</v>
      </c>
      <c r="FQ61" t="e">
        <f>'All regions'!J1523+"n/&gt;!$|("</f>
        <v>#VALUE!</v>
      </c>
      <c r="FR61" t="e">
        <f>'All regions'!A1524+"n/&gt;!$|)"</f>
        <v>#VALUE!</v>
      </c>
      <c r="FS61" t="e">
        <f>'All regions'!B1524+"n/&gt;!$|."</f>
        <v>#VALUE!</v>
      </c>
      <c r="FT61" t="e">
        <f>'All regions'!C1524+"n/&gt;!$|/"</f>
        <v>#VALUE!</v>
      </c>
      <c r="FU61" t="e">
        <f>'All regions'!D1524+"n/&gt;!$|0"</f>
        <v>#VALUE!</v>
      </c>
      <c r="FV61" t="e">
        <f>'All regions'!E1524+"n/&gt;!$|1"</f>
        <v>#VALUE!</v>
      </c>
      <c r="FW61" t="e">
        <f>'All regions'!F1524+"n/&gt;!$|2"</f>
        <v>#VALUE!</v>
      </c>
      <c r="FX61" t="e">
        <f>'All regions'!G1524+"n/&gt;!$|3"</f>
        <v>#VALUE!</v>
      </c>
      <c r="FY61" t="e">
        <f>'All regions'!H1524+"n/&gt;!$|4"</f>
        <v>#VALUE!</v>
      </c>
      <c r="FZ61" t="e">
        <f>'All regions'!I1524+"n/&gt;!$|5"</f>
        <v>#VALUE!</v>
      </c>
      <c r="GA61" t="e">
        <f>'All regions'!J1524+"n/&gt;!$|6"</f>
        <v>#VALUE!</v>
      </c>
      <c r="GB61" t="e">
        <f>'All regions'!A1525+"n/&gt;!$|7"</f>
        <v>#VALUE!</v>
      </c>
      <c r="GC61" t="e">
        <f>'All regions'!B1525+"n/&gt;!$|8"</f>
        <v>#VALUE!</v>
      </c>
      <c r="GD61" t="e">
        <f>'All regions'!C1525+"n/&gt;!$|9"</f>
        <v>#VALUE!</v>
      </c>
      <c r="GE61" t="e">
        <f>'All regions'!D1525+"n/&gt;!$|:"</f>
        <v>#VALUE!</v>
      </c>
      <c r="GF61" t="e">
        <f>'All regions'!E1525+"n/&gt;!$|;"</f>
        <v>#VALUE!</v>
      </c>
      <c r="GG61" t="e">
        <f>'All regions'!F1525+"n/&gt;!$|&lt;"</f>
        <v>#VALUE!</v>
      </c>
      <c r="GH61" t="e">
        <f>'All regions'!G1525+"n/&gt;!$|="</f>
        <v>#VALUE!</v>
      </c>
      <c r="GI61" t="e">
        <f>'All regions'!H1525+"n/&gt;!$|&gt;"</f>
        <v>#VALUE!</v>
      </c>
      <c r="GJ61" t="e">
        <f>'All regions'!I1525+"n/&gt;!$|?"</f>
        <v>#VALUE!</v>
      </c>
      <c r="GK61" t="e">
        <f>'All regions'!J1525+"n/&gt;!$|@"</f>
        <v>#VALUE!</v>
      </c>
      <c r="GL61" t="e">
        <f>'All regions'!A1526+"n/&gt;!$|A"</f>
        <v>#VALUE!</v>
      </c>
      <c r="GM61" t="e">
        <f>'All regions'!B1526+"n/&gt;!$|B"</f>
        <v>#VALUE!</v>
      </c>
      <c r="GN61" t="e">
        <f>'All regions'!C1526+"n/&gt;!$|C"</f>
        <v>#VALUE!</v>
      </c>
      <c r="GO61" t="e">
        <f>'All regions'!D1526+"n/&gt;!$|D"</f>
        <v>#VALUE!</v>
      </c>
      <c r="GP61" t="e">
        <f>'All regions'!E1526+"n/&gt;!$|E"</f>
        <v>#VALUE!</v>
      </c>
      <c r="GQ61" t="e">
        <f>'All regions'!F1526+"n/&gt;!$|F"</f>
        <v>#VALUE!</v>
      </c>
      <c r="GR61" t="e">
        <f>'All regions'!G1526+"n/&gt;!$|G"</f>
        <v>#VALUE!</v>
      </c>
      <c r="GS61" t="e">
        <f>'All regions'!H1526+"n/&gt;!$|H"</f>
        <v>#VALUE!</v>
      </c>
      <c r="GT61" t="e">
        <f>'All regions'!I1526+"n/&gt;!$|I"</f>
        <v>#VALUE!</v>
      </c>
      <c r="GU61" t="e">
        <f>'All regions'!J1526+"n/&gt;!$|J"</f>
        <v>#VALUE!</v>
      </c>
      <c r="GV61" t="e">
        <f>'All regions'!A1527+"n/&gt;!$|K"</f>
        <v>#VALUE!</v>
      </c>
      <c r="GW61" t="e">
        <f>'All regions'!B1527+"n/&gt;!$|L"</f>
        <v>#VALUE!</v>
      </c>
      <c r="GX61" t="e">
        <f>'All regions'!C1527+"n/&gt;!$|M"</f>
        <v>#VALUE!</v>
      </c>
      <c r="GY61" t="e">
        <f>'All regions'!D1527+"n/&gt;!$|N"</f>
        <v>#VALUE!</v>
      </c>
      <c r="GZ61" t="e">
        <f>'All regions'!E1527+"n/&gt;!$|O"</f>
        <v>#VALUE!</v>
      </c>
      <c r="HA61" t="e">
        <f>'All regions'!F1527+"n/&gt;!$|P"</f>
        <v>#VALUE!</v>
      </c>
      <c r="HB61" t="e">
        <f>'All regions'!G1527+"n/&gt;!$|Q"</f>
        <v>#VALUE!</v>
      </c>
      <c r="HC61" t="e">
        <f>'All regions'!H1527+"n/&gt;!$|R"</f>
        <v>#VALUE!</v>
      </c>
      <c r="HD61" t="e">
        <f>'All regions'!I1527+"n/&gt;!$|S"</f>
        <v>#VALUE!</v>
      </c>
      <c r="HE61" t="e">
        <f>'All regions'!J1527+"n/&gt;!$|T"</f>
        <v>#VALUE!</v>
      </c>
      <c r="HF61" t="e">
        <f>'All regions'!A1528+"n/&gt;!$|U"</f>
        <v>#VALUE!</v>
      </c>
      <c r="HG61" t="e">
        <f>'All regions'!B1528+"n/&gt;!$|V"</f>
        <v>#VALUE!</v>
      </c>
      <c r="HH61" t="e">
        <f>'All regions'!C1528+"n/&gt;!$|W"</f>
        <v>#VALUE!</v>
      </c>
      <c r="HI61" t="e">
        <f>'All regions'!D1528+"n/&gt;!$|X"</f>
        <v>#VALUE!</v>
      </c>
      <c r="HJ61" t="e">
        <f>'All regions'!E1528+"n/&gt;!$|Y"</f>
        <v>#VALUE!</v>
      </c>
      <c r="HK61" t="e">
        <f>'All regions'!F1528+"n/&gt;!$|Z"</f>
        <v>#VALUE!</v>
      </c>
      <c r="HL61" t="e">
        <f>'All regions'!G1528+"n/&gt;!$|["</f>
        <v>#VALUE!</v>
      </c>
      <c r="HM61" t="e">
        <f>'All regions'!H1528+"n/&gt;!$|\"</f>
        <v>#VALUE!</v>
      </c>
      <c r="HN61" t="e">
        <f>'All regions'!I1528+"n/&gt;!$|]"</f>
        <v>#VALUE!</v>
      </c>
      <c r="HO61" t="e">
        <f>'All regions'!J1528+"n/&gt;!$|^"</f>
        <v>#VALUE!</v>
      </c>
      <c r="HP61" t="e">
        <f>'All regions'!A1529+"n/&gt;!$|_"</f>
        <v>#VALUE!</v>
      </c>
      <c r="HQ61" t="e">
        <f>'All regions'!B1529+"n/&gt;!$|`"</f>
        <v>#VALUE!</v>
      </c>
      <c r="HR61" t="e">
        <f>'All regions'!C1529+"n/&gt;!$|a"</f>
        <v>#VALUE!</v>
      </c>
      <c r="HS61" t="e">
        <f>'All regions'!D1529+"n/&gt;!$|b"</f>
        <v>#VALUE!</v>
      </c>
      <c r="HT61" t="e">
        <f>'All regions'!E1529+"n/&gt;!$|c"</f>
        <v>#VALUE!</v>
      </c>
      <c r="HU61" t="e">
        <f>'All regions'!F1529+"n/&gt;!$|d"</f>
        <v>#VALUE!</v>
      </c>
      <c r="HV61" t="e">
        <f>'All regions'!G1529+"n/&gt;!$|e"</f>
        <v>#VALUE!</v>
      </c>
      <c r="HW61" t="e">
        <f>'All regions'!H1529+"n/&gt;!$|f"</f>
        <v>#VALUE!</v>
      </c>
      <c r="HX61" t="e">
        <f>'All regions'!I1529+"n/&gt;!$|g"</f>
        <v>#VALUE!</v>
      </c>
      <c r="HY61" t="e">
        <f>'All regions'!J1529+"n/&gt;!$|h"</f>
        <v>#VALUE!</v>
      </c>
      <c r="HZ61" t="e">
        <f>'All regions'!A1530+"n/&gt;!$|i"</f>
        <v>#VALUE!</v>
      </c>
      <c r="IA61" t="e">
        <f>'All regions'!B1530+"n/&gt;!$|j"</f>
        <v>#VALUE!</v>
      </c>
      <c r="IB61" t="e">
        <f>'All regions'!C1530+"n/&gt;!$|k"</f>
        <v>#VALUE!</v>
      </c>
      <c r="IC61" t="e">
        <f>'All regions'!D1530+"n/&gt;!$|l"</f>
        <v>#VALUE!</v>
      </c>
      <c r="ID61" t="e">
        <f>'All regions'!E1530+"n/&gt;!$|m"</f>
        <v>#VALUE!</v>
      </c>
      <c r="IE61" t="e">
        <f>'All regions'!F1530+"n/&gt;!$|n"</f>
        <v>#VALUE!</v>
      </c>
      <c r="IF61" t="e">
        <f>'All regions'!G1530+"n/&gt;!$|o"</f>
        <v>#VALUE!</v>
      </c>
      <c r="IG61" t="e">
        <f>'All regions'!H1530+"n/&gt;!$|p"</f>
        <v>#VALUE!</v>
      </c>
      <c r="IH61" t="e">
        <f>'All regions'!I1530+"n/&gt;!$|q"</f>
        <v>#VALUE!</v>
      </c>
      <c r="II61" t="e">
        <f>'All regions'!J1530+"n/&gt;!$|r"</f>
        <v>#VALUE!</v>
      </c>
      <c r="IJ61" t="e">
        <f>'All regions'!A1531+"n/&gt;!$|s"</f>
        <v>#VALUE!</v>
      </c>
      <c r="IK61" t="e">
        <f>'All regions'!B1531+"n/&gt;!$|t"</f>
        <v>#VALUE!</v>
      </c>
      <c r="IL61" t="e">
        <f>'All regions'!C1531+"n/&gt;!$|u"</f>
        <v>#VALUE!</v>
      </c>
      <c r="IM61" t="e">
        <f>'All regions'!D1531+"n/&gt;!$|v"</f>
        <v>#VALUE!</v>
      </c>
      <c r="IN61" t="e">
        <f>'All regions'!E1531+"n/&gt;!$|w"</f>
        <v>#VALUE!</v>
      </c>
      <c r="IO61" t="e">
        <f>'All regions'!F1531+"n/&gt;!$|x"</f>
        <v>#VALUE!</v>
      </c>
      <c r="IP61" t="e">
        <f>'All regions'!G1531+"n/&gt;!$|y"</f>
        <v>#VALUE!</v>
      </c>
      <c r="IQ61" t="e">
        <f>'All regions'!H1531+"n/&gt;!$|z"</f>
        <v>#VALUE!</v>
      </c>
      <c r="IR61" t="e">
        <f>'All regions'!I1531+"n/&gt;!$|{"</f>
        <v>#VALUE!</v>
      </c>
      <c r="IS61" t="e">
        <f>'All regions'!J1531+"n/&gt;!$||"</f>
        <v>#VALUE!</v>
      </c>
      <c r="IT61" t="e">
        <f>'All regions'!A1532+"n/&gt;!$|}"</f>
        <v>#VALUE!</v>
      </c>
      <c r="IU61" t="e">
        <f>'All regions'!B1532+"n/&gt;!$|~"</f>
        <v>#VALUE!</v>
      </c>
      <c r="IV61" t="e">
        <f>'All regions'!C1532+"n/&gt;!$}#"</f>
        <v>#VALUE!</v>
      </c>
    </row>
    <row r="62" spans="6:256" x14ac:dyDescent="0.35">
      <c r="F62" t="e">
        <f>'All regions'!D1532+"n/&gt;!$}$"</f>
        <v>#VALUE!</v>
      </c>
      <c r="G62" t="e">
        <f>'All regions'!E1532+"n/&gt;!$}%"</f>
        <v>#VALUE!</v>
      </c>
      <c r="H62" t="e">
        <f>'All regions'!F1532+"n/&gt;!$}&amp;"</f>
        <v>#VALUE!</v>
      </c>
      <c r="I62" t="e">
        <f>'All regions'!G1532+"n/&gt;!$}'"</f>
        <v>#VALUE!</v>
      </c>
      <c r="J62" t="e">
        <f>'All regions'!H1532+"n/&gt;!$}("</f>
        <v>#VALUE!</v>
      </c>
      <c r="K62" t="e">
        <f>'All regions'!I1532+"n/&gt;!$})"</f>
        <v>#VALUE!</v>
      </c>
      <c r="L62" t="e">
        <f>'All regions'!J1532+"n/&gt;!$}."</f>
        <v>#VALUE!</v>
      </c>
      <c r="M62" t="e">
        <f>'All regions'!A1533+"n/&gt;!$}/"</f>
        <v>#VALUE!</v>
      </c>
      <c r="N62" t="e">
        <f>'All regions'!B1533+"n/&gt;!$}0"</f>
        <v>#VALUE!</v>
      </c>
      <c r="O62" t="e">
        <f>'All regions'!C1533+"n/&gt;!$}1"</f>
        <v>#VALUE!</v>
      </c>
      <c r="P62" t="e">
        <f>'All regions'!D1533+"n/&gt;!$}2"</f>
        <v>#VALUE!</v>
      </c>
      <c r="Q62" t="e">
        <f>'All regions'!E1533+"n/&gt;!$}3"</f>
        <v>#VALUE!</v>
      </c>
      <c r="R62" t="e">
        <f>'All regions'!F1533+"n/&gt;!$}4"</f>
        <v>#VALUE!</v>
      </c>
      <c r="S62" t="e">
        <f>'All regions'!G1533+"n/&gt;!$}5"</f>
        <v>#VALUE!</v>
      </c>
      <c r="T62" t="e">
        <f>'All regions'!H1533+"n/&gt;!$}6"</f>
        <v>#VALUE!</v>
      </c>
      <c r="U62" t="e">
        <f>'All regions'!I1533+"n/&gt;!$}7"</f>
        <v>#VALUE!</v>
      </c>
      <c r="V62" t="e">
        <f>'All regions'!J1533+"n/&gt;!$}8"</f>
        <v>#VALUE!</v>
      </c>
      <c r="W62" t="e">
        <f>'All regions'!A1534+"n/&gt;!$}9"</f>
        <v>#VALUE!</v>
      </c>
      <c r="X62" t="e">
        <f>'All regions'!B1534+"n/&gt;!$}:"</f>
        <v>#VALUE!</v>
      </c>
      <c r="Y62" t="e">
        <f>'All regions'!C1534+"n/&gt;!$};"</f>
        <v>#VALUE!</v>
      </c>
      <c r="Z62" t="e">
        <f>'All regions'!D1534+"n/&gt;!$}&lt;"</f>
        <v>#VALUE!</v>
      </c>
      <c r="AA62" t="e">
        <f>'All regions'!E1534+"n/&gt;!$}="</f>
        <v>#VALUE!</v>
      </c>
      <c r="AB62" t="e">
        <f>'All regions'!F1534+"n/&gt;!$}&gt;"</f>
        <v>#VALUE!</v>
      </c>
      <c r="AC62" t="e">
        <f>'All regions'!G1534+"n/&gt;!$}?"</f>
        <v>#VALUE!</v>
      </c>
      <c r="AD62" t="e">
        <f>'All regions'!H1534+"n/&gt;!$}@"</f>
        <v>#VALUE!</v>
      </c>
      <c r="AE62" t="e">
        <f>'All regions'!I1534+"n/&gt;!$}A"</f>
        <v>#VALUE!</v>
      </c>
      <c r="AF62" t="e">
        <f>'All regions'!J1534+"n/&gt;!$}B"</f>
        <v>#VALUE!</v>
      </c>
      <c r="AG62" t="e">
        <f>'All regions'!A1535+"n/&gt;!$}C"</f>
        <v>#VALUE!</v>
      </c>
      <c r="AH62" t="e">
        <f>'All regions'!B1535+"n/&gt;!$}D"</f>
        <v>#VALUE!</v>
      </c>
      <c r="AI62" t="e">
        <f>'All regions'!C1535+"n/&gt;!$}E"</f>
        <v>#VALUE!</v>
      </c>
      <c r="AJ62" t="e">
        <f>'All regions'!D1535+"n/&gt;!$}F"</f>
        <v>#VALUE!</v>
      </c>
      <c r="AK62" t="e">
        <f>'All regions'!E1535+"n/&gt;!$}G"</f>
        <v>#VALUE!</v>
      </c>
      <c r="AL62" t="e">
        <f>'All regions'!F1535+"n/&gt;!$}H"</f>
        <v>#VALUE!</v>
      </c>
      <c r="AM62" t="e">
        <f>'All regions'!G1535+"n/&gt;!$}I"</f>
        <v>#VALUE!</v>
      </c>
      <c r="AN62" t="e">
        <f>'All regions'!H1535+"n/&gt;!$}J"</f>
        <v>#VALUE!</v>
      </c>
      <c r="AO62" t="e">
        <f>'All regions'!I1535+"n/&gt;!$}K"</f>
        <v>#VALUE!</v>
      </c>
      <c r="AP62" t="e">
        <f>'All regions'!J1535+"n/&gt;!$}L"</f>
        <v>#VALUE!</v>
      </c>
      <c r="AQ62" t="e">
        <f>'All regions'!A1536+"n/&gt;!$}M"</f>
        <v>#VALUE!</v>
      </c>
      <c r="AR62" t="e">
        <f>'All regions'!B1536+"n/&gt;!$}N"</f>
        <v>#VALUE!</v>
      </c>
      <c r="AS62" t="e">
        <f>'All regions'!C1536+"n/&gt;!$}O"</f>
        <v>#VALUE!</v>
      </c>
      <c r="AT62" t="e">
        <f>'All regions'!D1536+"n/&gt;!$}P"</f>
        <v>#VALUE!</v>
      </c>
      <c r="AU62" t="e">
        <f>'All regions'!E1536+"n/&gt;!$}Q"</f>
        <v>#VALUE!</v>
      </c>
      <c r="AV62" t="e">
        <f>'All regions'!F1536+"n/&gt;!$}R"</f>
        <v>#VALUE!</v>
      </c>
      <c r="AW62" t="e">
        <f>'All regions'!G1536+"n/&gt;!$}S"</f>
        <v>#VALUE!</v>
      </c>
      <c r="AX62" t="e">
        <f>'All regions'!H1536+"n/&gt;!$}T"</f>
        <v>#VALUE!</v>
      </c>
      <c r="AY62" t="e">
        <f>'All regions'!I1536+"n/&gt;!$}U"</f>
        <v>#VALUE!</v>
      </c>
      <c r="AZ62" t="e">
        <f>'All regions'!J1536+"n/&gt;!$}V"</f>
        <v>#VALUE!</v>
      </c>
      <c r="BA62" t="e">
        <f>'All regions'!A1537+"n/&gt;!$}W"</f>
        <v>#VALUE!</v>
      </c>
      <c r="BB62" t="e">
        <f>'All regions'!B1537+"n/&gt;!$}X"</f>
        <v>#VALUE!</v>
      </c>
      <c r="BC62" t="e">
        <f>'All regions'!C1537+"n/&gt;!$}Y"</f>
        <v>#VALUE!</v>
      </c>
      <c r="BD62" t="e">
        <f>'All regions'!D1537+"n/&gt;!$}Z"</f>
        <v>#VALUE!</v>
      </c>
      <c r="BE62" t="e">
        <f>'All regions'!E1537+"n/&gt;!$}["</f>
        <v>#VALUE!</v>
      </c>
      <c r="BF62" t="e">
        <f>'All regions'!F1537+"n/&gt;!$}\"</f>
        <v>#VALUE!</v>
      </c>
      <c r="BG62" t="e">
        <f>'All regions'!G1537+"n/&gt;!$}]"</f>
        <v>#VALUE!</v>
      </c>
      <c r="BH62" t="e">
        <f>'All regions'!H1537+"n/&gt;!$}^"</f>
        <v>#VALUE!</v>
      </c>
      <c r="BI62" t="e">
        <f>'All regions'!I1537+"n/&gt;!$}_"</f>
        <v>#VALUE!</v>
      </c>
      <c r="BJ62" t="e">
        <f>'All regions'!J1537+"n/&gt;!$}`"</f>
        <v>#VALUE!</v>
      </c>
      <c r="BK62" t="e">
        <f>'All regions'!A1538+"n/&gt;!$}a"</f>
        <v>#VALUE!</v>
      </c>
      <c r="BL62" t="e">
        <f>'All regions'!B1538+"n/&gt;!$}b"</f>
        <v>#VALUE!</v>
      </c>
      <c r="BM62" t="e">
        <f>'All regions'!C1538+"n/&gt;!$}c"</f>
        <v>#VALUE!</v>
      </c>
      <c r="BN62" t="e">
        <f>'All regions'!D1538+"n/&gt;!$}d"</f>
        <v>#VALUE!</v>
      </c>
      <c r="BO62" t="e">
        <f>'All regions'!E1538+"n/&gt;!$}e"</f>
        <v>#VALUE!</v>
      </c>
      <c r="BP62" t="e">
        <f>'All regions'!F1538+"n/&gt;!$}f"</f>
        <v>#VALUE!</v>
      </c>
      <c r="BQ62" t="e">
        <f>'All regions'!G1538+"n/&gt;!$}g"</f>
        <v>#VALUE!</v>
      </c>
      <c r="BR62" t="e">
        <f>'All regions'!H1538+"n/&gt;!$}h"</f>
        <v>#VALUE!</v>
      </c>
      <c r="BS62" t="e">
        <f>'All regions'!I1538+"n/&gt;!$}i"</f>
        <v>#VALUE!</v>
      </c>
      <c r="BT62" t="e">
        <f>'All regions'!J1538+"n/&gt;!$}j"</f>
        <v>#VALUE!</v>
      </c>
      <c r="BU62" t="e">
        <f>'All regions'!A1539+"n/&gt;!$}k"</f>
        <v>#VALUE!</v>
      </c>
      <c r="BV62" t="e">
        <f>'All regions'!B1539+"n/&gt;!$}l"</f>
        <v>#VALUE!</v>
      </c>
      <c r="BW62" t="e">
        <f>'All regions'!C1539+"n/&gt;!$}m"</f>
        <v>#VALUE!</v>
      </c>
      <c r="BX62" t="e">
        <f>'All regions'!D1539+"n/&gt;!$}n"</f>
        <v>#VALUE!</v>
      </c>
      <c r="BY62" t="e">
        <f>'All regions'!E1539+"n/&gt;!$}o"</f>
        <v>#VALUE!</v>
      </c>
      <c r="BZ62" t="e">
        <f>'All regions'!F1539+"n/&gt;!$}p"</f>
        <v>#VALUE!</v>
      </c>
      <c r="CA62" t="e">
        <f>'All regions'!G1539+"n/&gt;!$}q"</f>
        <v>#VALUE!</v>
      </c>
      <c r="CB62" t="e">
        <f>'All regions'!H1539+"n/&gt;!$}r"</f>
        <v>#VALUE!</v>
      </c>
      <c r="CC62" t="e">
        <f>'All regions'!I1539+"n/&gt;!$}s"</f>
        <v>#VALUE!</v>
      </c>
      <c r="CD62" t="e">
        <f>'All regions'!J1539+"n/&gt;!$}t"</f>
        <v>#VALUE!</v>
      </c>
      <c r="CE62" t="e">
        <f>'All regions'!A1540+"n/&gt;!$}u"</f>
        <v>#VALUE!</v>
      </c>
      <c r="CF62" t="e">
        <f>'All regions'!B1540+"n/&gt;!$}v"</f>
        <v>#VALUE!</v>
      </c>
      <c r="CG62" t="e">
        <f>'All regions'!C1540+"n/&gt;!$}w"</f>
        <v>#VALUE!</v>
      </c>
      <c r="CH62" t="e">
        <f>'All regions'!D1540+"n/&gt;!$}x"</f>
        <v>#VALUE!</v>
      </c>
      <c r="CI62" t="e">
        <f>'All regions'!E1540+"n/&gt;!$}y"</f>
        <v>#VALUE!</v>
      </c>
      <c r="CJ62" t="e">
        <f>'All regions'!F1540+"n/&gt;!$}z"</f>
        <v>#VALUE!</v>
      </c>
      <c r="CK62" t="e">
        <f>'All regions'!G1540+"n/&gt;!$}{"</f>
        <v>#VALUE!</v>
      </c>
      <c r="CL62" t="e">
        <f>'All regions'!H1540+"n/&gt;!$}|"</f>
        <v>#VALUE!</v>
      </c>
      <c r="CM62" t="e">
        <f>'All regions'!I1540+"n/&gt;!$}}"</f>
        <v>#VALUE!</v>
      </c>
      <c r="CN62" t="e">
        <f>'All regions'!J1540+"n/&gt;!$}~"</f>
        <v>#VALUE!</v>
      </c>
      <c r="CO62" t="e">
        <f>'All regions'!A1541+"n/&gt;!$~#"</f>
        <v>#VALUE!</v>
      </c>
      <c r="CP62" t="e">
        <f>'All regions'!B1541+"n/&gt;!$~$"</f>
        <v>#VALUE!</v>
      </c>
      <c r="CQ62" t="e">
        <f>'All regions'!C1541+"n/&gt;!$~%"</f>
        <v>#VALUE!</v>
      </c>
      <c r="CR62" t="e">
        <f>'All regions'!D1541+"n/&gt;!$~&amp;"</f>
        <v>#VALUE!</v>
      </c>
      <c r="CS62" t="e">
        <f>'All regions'!E1541+"n/&gt;!$~'"</f>
        <v>#VALUE!</v>
      </c>
      <c r="CT62" t="e">
        <f>'All regions'!F1541+"n/&gt;!$~("</f>
        <v>#VALUE!</v>
      </c>
      <c r="CU62" t="e">
        <f>'All regions'!G1541+"n/&gt;!$~)"</f>
        <v>#VALUE!</v>
      </c>
      <c r="CV62" t="e">
        <f>'All regions'!H1541+"n/&gt;!$~."</f>
        <v>#VALUE!</v>
      </c>
      <c r="CW62" t="e">
        <f>'All regions'!I1541+"n/&gt;!$~/"</f>
        <v>#VALUE!</v>
      </c>
      <c r="CX62" t="e">
        <f>'All regions'!J1541+"n/&gt;!$~0"</f>
        <v>#VALUE!</v>
      </c>
      <c r="CY62" t="e">
        <f>'All regions'!A1542+"n/&gt;!$~1"</f>
        <v>#VALUE!</v>
      </c>
      <c r="CZ62" t="e">
        <f>'All regions'!B1542+"n/&gt;!$~2"</f>
        <v>#VALUE!</v>
      </c>
      <c r="DA62" t="e">
        <f>'All regions'!C1542+"n/&gt;!$~3"</f>
        <v>#VALUE!</v>
      </c>
      <c r="DB62" t="e">
        <f>'All regions'!D1542+"n/&gt;!$~4"</f>
        <v>#VALUE!</v>
      </c>
      <c r="DC62" t="e">
        <f>'All regions'!E1542+"n/&gt;!$~5"</f>
        <v>#VALUE!</v>
      </c>
      <c r="DD62" t="e">
        <f>'All regions'!F1542+"n/&gt;!$~6"</f>
        <v>#VALUE!</v>
      </c>
      <c r="DE62" t="e">
        <f>'All regions'!G1542+"n/&gt;!$~7"</f>
        <v>#VALUE!</v>
      </c>
      <c r="DF62" t="e">
        <f>'All regions'!H1542+"n/&gt;!$~8"</f>
        <v>#VALUE!</v>
      </c>
      <c r="DG62" t="e">
        <f>'All regions'!I1542+"n/&gt;!$~9"</f>
        <v>#VALUE!</v>
      </c>
      <c r="DH62" t="e">
        <f>'All regions'!J1542+"n/&gt;!$~:"</f>
        <v>#VALUE!</v>
      </c>
      <c r="DI62" t="e">
        <f>'All regions'!A1543+"n/&gt;!$~;"</f>
        <v>#VALUE!</v>
      </c>
      <c r="DJ62" t="e">
        <f>'All regions'!B1543+"n/&gt;!$~&lt;"</f>
        <v>#VALUE!</v>
      </c>
      <c r="DK62" t="e">
        <f>'All regions'!C1543+"n/&gt;!$~="</f>
        <v>#VALUE!</v>
      </c>
      <c r="DL62" t="e">
        <f>'All regions'!D1543+"n/&gt;!$~&gt;"</f>
        <v>#VALUE!</v>
      </c>
      <c r="DM62" t="e">
        <f>'All regions'!E1543+"n/&gt;!$~?"</f>
        <v>#VALUE!</v>
      </c>
      <c r="DN62" t="e">
        <f>'All regions'!F1543+"n/&gt;!$~@"</f>
        <v>#VALUE!</v>
      </c>
      <c r="DO62" t="e">
        <f>'All regions'!G1543+"n/&gt;!$~A"</f>
        <v>#VALUE!</v>
      </c>
      <c r="DP62" t="e">
        <f>'All regions'!H1543+"n/&gt;!$~B"</f>
        <v>#VALUE!</v>
      </c>
      <c r="DQ62" t="e">
        <f>'All regions'!I1543+"n/&gt;!$~C"</f>
        <v>#VALUE!</v>
      </c>
      <c r="DR62" t="e">
        <f>'All regions'!J1543+"n/&gt;!$~D"</f>
        <v>#VALUE!</v>
      </c>
      <c r="DS62" t="e">
        <f>'All regions'!A1544+"n/&gt;!$~E"</f>
        <v>#VALUE!</v>
      </c>
      <c r="DT62" t="e">
        <f>'All regions'!B1544+"n/&gt;!$~F"</f>
        <v>#VALUE!</v>
      </c>
      <c r="DU62" t="e">
        <f>'All regions'!C1544+"n/&gt;!$~G"</f>
        <v>#VALUE!</v>
      </c>
      <c r="DV62" t="e">
        <f>'All regions'!D1544+"n/&gt;!$~H"</f>
        <v>#VALUE!</v>
      </c>
      <c r="DW62" t="e">
        <f>'All regions'!E1544+"n/&gt;!$~I"</f>
        <v>#VALUE!</v>
      </c>
      <c r="DX62" t="e">
        <f>'All regions'!F1544+"n/&gt;!$~J"</f>
        <v>#VALUE!</v>
      </c>
      <c r="DY62" t="e">
        <f>'All regions'!G1544+"n/&gt;!$~K"</f>
        <v>#VALUE!</v>
      </c>
      <c r="DZ62" t="e">
        <f>'All regions'!H1544+"n/&gt;!$~L"</f>
        <v>#VALUE!</v>
      </c>
      <c r="EA62" t="e">
        <f>'All regions'!I1544+"n/&gt;!$~M"</f>
        <v>#VALUE!</v>
      </c>
      <c r="EB62" t="e">
        <f>'All regions'!J1544+"n/&gt;!$~N"</f>
        <v>#VALUE!</v>
      </c>
      <c r="EC62" t="e">
        <f>'All regions'!A1545+"n/&gt;!$~O"</f>
        <v>#VALUE!</v>
      </c>
      <c r="ED62" t="e">
        <f>'All regions'!B1545+"n/&gt;!$~P"</f>
        <v>#VALUE!</v>
      </c>
      <c r="EE62" t="e">
        <f>'All regions'!C1545+"n/&gt;!$~Q"</f>
        <v>#VALUE!</v>
      </c>
      <c r="EF62" t="e">
        <f>'All regions'!D1545+"n/&gt;!$~R"</f>
        <v>#VALUE!</v>
      </c>
      <c r="EG62" t="e">
        <f>'All regions'!E1545+"n/&gt;!$~S"</f>
        <v>#VALUE!</v>
      </c>
      <c r="EH62" t="e">
        <f>'All regions'!F1545+"n/&gt;!$~T"</f>
        <v>#VALUE!</v>
      </c>
      <c r="EI62" t="e">
        <f>'All regions'!G1545+"n/&gt;!$~U"</f>
        <v>#VALUE!</v>
      </c>
      <c r="EJ62" t="e">
        <f>'All regions'!H1545+"n/&gt;!$~V"</f>
        <v>#VALUE!</v>
      </c>
      <c r="EK62" t="e">
        <f>'All regions'!I1545+"n/&gt;!$~W"</f>
        <v>#VALUE!</v>
      </c>
      <c r="EL62" t="e">
        <f>'All regions'!J1545+"n/&gt;!$~X"</f>
        <v>#VALUE!</v>
      </c>
      <c r="EM62" t="e">
        <f>'All regions'!A1546+"n/&gt;!$~Y"</f>
        <v>#VALUE!</v>
      </c>
      <c r="EN62" t="e">
        <f>'All regions'!B1546+"n/&gt;!$~Z"</f>
        <v>#VALUE!</v>
      </c>
      <c r="EO62" t="e">
        <f>'All regions'!C1546+"n/&gt;!$~["</f>
        <v>#VALUE!</v>
      </c>
      <c r="EP62" t="e">
        <f>'All regions'!D1546+"n/&gt;!$~\"</f>
        <v>#VALUE!</v>
      </c>
      <c r="EQ62" t="e">
        <f>'All regions'!E1546+"n/&gt;!$~]"</f>
        <v>#VALUE!</v>
      </c>
      <c r="ER62" t="e">
        <f>'All regions'!F1546+"n/&gt;!$~^"</f>
        <v>#VALUE!</v>
      </c>
      <c r="ES62" t="e">
        <f>'All regions'!G1546+"n/&gt;!$~_"</f>
        <v>#VALUE!</v>
      </c>
      <c r="ET62" t="e">
        <f>'All regions'!H1546+"n/&gt;!$~`"</f>
        <v>#VALUE!</v>
      </c>
      <c r="EU62" t="e">
        <f>'All regions'!I1546+"n/&gt;!$~a"</f>
        <v>#VALUE!</v>
      </c>
      <c r="EV62" t="e">
        <f>'All regions'!J1546+"n/&gt;!$~b"</f>
        <v>#VALUE!</v>
      </c>
      <c r="EW62" t="e">
        <f>'All regions'!A1547+"n/&gt;!$~c"</f>
        <v>#VALUE!</v>
      </c>
      <c r="EX62" t="e">
        <f>'All regions'!B1547+"n/&gt;!$~d"</f>
        <v>#VALUE!</v>
      </c>
      <c r="EY62" t="e">
        <f>'All regions'!C1547+"n/&gt;!$~e"</f>
        <v>#VALUE!</v>
      </c>
      <c r="EZ62" t="e">
        <f>'All regions'!D1547+"n/&gt;!$~f"</f>
        <v>#VALUE!</v>
      </c>
      <c r="FA62" t="e">
        <f>'All regions'!E1547+"n/&gt;!$~g"</f>
        <v>#VALUE!</v>
      </c>
      <c r="FB62" t="e">
        <f>'All regions'!F1547+"n/&gt;!$~h"</f>
        <v>#VALUE!</v>
      </c>
      <c r="FC62" t="e">
        <f>'All regions'!G1547+"n/&gt;!$~i"</f>
        <v>#VALUE!</v>
      </c>
      <c r="FD62" t="e">
        <f>'All regions'!H1547+"n/&gt;!$~j"</f>
        <v>#VALUE!</v>
      </c>
      <c r="FE62" t="e">
        <f>'All regions'!I1547+"n/&gt;!$~k"</f>
        <v>#VALUE!</v>
      </c>
      <c r="FF62" t="e">
        <f>'All regions'!J1547+"n/&gt;!$~l"</f>
        <v>#VALUE!</v>
      </c>
      <c r="FG62" t="e">
        <f>'All regions'!A1548+"n/&gt;!$~m"</f>
        <v>#VALUE!</v>
      </c>
      <c r="FH62" t="e">
        <f>'All regions'!B1548+"n/&gt;!$~n"</f>
        <v>#VALUE!</v>
      </c>
      <c r="FI62" t="e">
        <f>'All regions'!C1548+"n/&gt;!$~o"</f>
        <v>#VALUE!</v>
      </c>
      <c r="FJ62" t="e">
        <f>'All regions'!D1548+"n/&gt;!$~p"</f>
        <v>#VALUE!</v>
      </c>
      <c r="FK62" t="e">
        <f>'All regions'!E1548+"n/&gt;!$~q"</f>
        <v>#VALUE!</v>
      </c>
      <c r="FL62" t="e">
        <f>'All regions'!F1548+"n/&gt;!$~r"</f>
        <v>#VALUE!</v>
      </c>
      <c r="FM62" t="e">
        <f>'All regions'!G1548+"n/&gt;!$~s"</f>
        <v>#VALUE!</v>
      </c>
      <c r="FN62" t="e">
        <f>'All regions'!H1548+"n/&gt;!$~t"</f>
        <v>#VALUE!</v>
      </c>
      <c r="FO62" t="e">
        <f>'All regions'!I1548+"n/&gt;!$~u"</f>
        <v>#VALUE!</v>
      </c>
      <c r="FP62" t="e">
        <f>'All regions'!J1548+"n/&gt;!$~v"</f>
        <v>#VALUE!</v>
      </c>
      <c r="FQ62" t="e">
        <f>'All regions'!A1549+"n/&gt;!$~w"</f>
        <v>#VALUE!</v>
      </c>
      <c r="FR62" t="e">
        <f>'All regions'!B1549+"n/&gt;!$~x"</f>
        <v>#VALUE!</v>
      </c>
      <c r="FS62" t="e">
        <f>'All regions'!C1549+"n/&gt;!$~y"</f>
        <v>#VALUE!</v>
      </c>
      <c r="FT62" t="e">
        <f>'All regions'!D1549+"n/&gt;!$~z"</f>
        <v>#VALUE!</v>
      </c>
      <c r="FU62" t="e">
        <f>'All regions'!E1549+"n/&gt;!$~{"</f>
        <v>#VALUE!</v>
      </c>
      <c r="FV62" t="e">
        <f>'All regions'!F1549+"n/&gt;!$~|"</f>
        <v>#VALUE!</v>
      </c>
      <c r="FW62" t="e">
        <f>'All regions'!G1549+"n/&gt;!$~}"</f>
        <v>#VALUE!</v>
      </c>
      <c r="FX62" t="e">
        <f>'All regions'!H1549+"n/&gt;!$~~"</f>
        <v>#VALUE!</v>
      </c>
      <c r="FY62" t="e">
        <f>'All regions'!I1549+"n/&gt;!%##"</f>
        <v>#VALUE!</v>
      </c>
      <c r="FZ62" t="e">
        <f>'All regions'!J1549+"n/&gt;!%#$"</f>
        <v>#VALUE!</v>
      </c>
      <c r="GA62" t="e">
        <f>'All regions'!A1550+"n/&gt;!%#%"</f>
        <v>#VALUE!</v>
      </c>
      <c r="GB62" t="e">
        <f>'All regions'!B1550+"n/&gt;!%#&amp;"</f>
        <v>#VALUE!</v>
      </c>
      <c r="GC62" t="e">
        <f>'All regions'!C1550+"n/&gt;!%#'"</f>
        <v>#VALUE!</v>
      </c>
      <c r="GD62" t="e">
        <f>'All regions'!D1550+"n/&gt;!%#("</f>
        <v>#VALUE!</v>
      </c>
      <c r="GE62" t="e">
        <f>'All regions'!E1550+"n/&gt;!%#)"</f>
        <v>#VALUE!</v>
      </c>
      <c r="GF62" t="e">
        <f>'All regions'!F1550+"n/&gt;!%#."</f>
        <v>#VALUE!</v>
      </c>
      <c r="GG62" t="e">
        <f>'All regions'!G1550+"n/&gt;!%#/"</f>
        <v>#VALUE!</v>
      </c>
      <c r="GH62" t="e">
        <f>'All regions'!H1550+"n/&gt;!%#0"</f>
        <v>#VALUE!</v>
      </c>
      <c r="GI62" t="e">
        <f>'All regions'!I1550+"n/&gt;!%#1"</f>
        <v>#VALUE!</v>
      </c>
      <c r="GJ62" t="e">
        <f>'All regions'!J1550+"n/&gt;!%#2"</f>
        <v>#VALUE!</v>
      </c>
      <c r="GK62" t="e">
        <f>'All regions'!A1551+"n/&gt;!%#3"</f>
        <v>#VALUE!</v>
      </c>
      <c r="GL62" t="e">
        <f>'All regions'!B1551+"n/&gt;!%#4"</f>
        <v>#VALUE!</v>
      </c>
      <c r="GM62" t="e">
        <f>'All regions'!C1551+"n/&gt;!%#5"</f>
        <v>#VALUE!</v>
      </c>
      <c r="GN62" t="e">
        <f>'All regions'!D1551+"n/&gt;!%#6"</f>
        <v>#VALUE!</v>
      </c>
      <c r="GO62" t="e">
        <f>'All regions'!E1551+"n/&gt;!%#7"</f>
        <v>#VALUE!</v>
      </c>
      <c r="GP62" t="e">
        <f>'All regions'!F1551+"n/&gt;!%#8"</f>
        <v>#VALUE!</v>
      </c>
      <c r="GQ62" t="e">
        <f>'All regions'!G1551+"n/&gt;!%#9"</f>
        <v>#VALUE!</v>
      </c>
      <c r="GR62" t="e">
        <f>'All regions'!H1551+"n/&gt;!%#:"</f>
        <v>#VALUE!</v>
      </c>
      <c r="GS62" t="e">
        <f>'All regions'!I1551+"n/&gt;!%#;"</f>
        <v>#VALUE!</v>
      </c>
      <c r="GT62" t="e">
        <f>'All regions'!J1551+"n/&gt;!%#&lt;"</f>
        <v>#VALUE!</v>
      </c>
      <c r="GU62" t="e">
        <f>'All regions'!A1552+"n/&gt;!%#="</f>
        <v>#VALUE!</v>
      </c>
      <c r="GV62" t="e">
        <f>'All regions'!B1552+"n/&gt;!%#&gt;"</f>
        <v>#VALUE!</v>
      </c>
      <c r="GW62" t="e">
        <f>'All regions'!C1552+"n/&gt;!%#?"</f>
        <v>#VALUE!</v>
      </c>
      <c r="GX62" t="e">
        <f>'All regions'!D1552+"n/&gt;!%#@"</f>
        <v>#VALUE!</v>
      </c>
      <c r="GY62" t="e">
        <f>'All regions'!E1552+"n/&gt;!%#A"</f>
        <v>#VALUE!</v>
      </c>
      <c r="GZ62" t="e">
        <f>'All regions'!F1552+"n/&gt;!%#B"</f>
        <v>#VALUE!</v>
      </c>
      <c r="HA62" t="e">
        <f>'All regions'!G1552+"n/&gt;!%#C"</f>
        <v>#VALUE!</v>
      </c>
      <c r="HB62" t="e">
        <f>'All regions'!H1552+"n/&gt;!%#D"</f>
        <v>#VALUE!</v>
      </c>
      <c r="HC62" t="e">
        <f>'All regions'!I1552+"n/&gt;!%#E"</f>
        <v>#VALUE!</v>
      </c>
      <c r="HD62" t="e">
        <f>'All regions'!J1552+"n/&gt;!%#F"</f>
        <v>#VALUE!</v>
      </c>
      <c r="HE62" t="e">
        <f>'All regions'!A1553+"n/&gt;!%#G"</f>
        <v>#VALUE!</v>
      </c>
      <c r="HF62" t="e">
        <f>'All regions'!B1553+"n/&gt;!%#H"</f>
        <v>#VALUE!</v>
      </c>
      <c r="HG62" t="e">
        <f>'All regions'!C1553+"n/&gt;!%#I"</f>
        <v>#VALUE!</v>
      </c>
      <c r="HH62" t="e">
        <f>'All regions'!D1553+"n/&gt;!%#J"</f>
        <v>#VALUE!</v>
      </c>
      <c r="HI62" t="e">
        <f>'All regions'!E1553+"n/&gt;!%#K"</f>
        <v>#VALUE!</v>
      </c>
      <c r="HJ62" t="e">
        <f>'All regions'!F1553+"n/&gt;!%#L"</f>
        <v>#VALUE!</v>
      </c>
      <c r="HK62" t="e">
        <f>'All regions'!G1553+"n/&gt;!%#M"</f>
        <v>#VALUE!</v>
      </c>
      <c r="HL62" t="e">
        <f>'All regions'!H1553+"n/&gt;!%#N"</f>
        <v>#VALUE!</v>
      </c>
      <c r="HM62" t="e">
        <f>'All regions'!I1553+"n/&gt;!%#O"</f>
        <v>#VALUE!</v>
      </c>
      <c r="HN62" t="e">
        <f>'All regions'!J1553+"n/&gt;!%#P"</f>
        <v>#VALUE!</v>
      </c>
      <c r="HO62" t="e">
        <f>'All regions'!A1554+"n/&gt;!%#Q"</f>
        <v>#VALUE!</v>
      </c>
      <c r="HP62" t="e">
        <f>'All regions'!B1554+"n/&gt;!%#R"</f>
        <v>#VALUE!</v>
      </c>
      <c r="HQ62" t="e">
        <f>'All regions'!C1554+"n/&gt;!%#S"</f>
        <v>#VALUE!</v>
      </c>
      <c r="HR62" t="e">
        <f>'All regions'!D1554+"n/&gt;!%#T"</f>
        <v>#VALUE!</v>
      </c>
      <c r="HS62" t="e">
        <f>'All regions'!E1554+"n/&gt;!%#U"</f>
        <v>#VALUE!</v>
      </c>
      <c r="HT62" t="e">
        <f>'All regions'!F1554+"n/&gt;!%#V"</f>
        <v>#VALUE!</v>
      </c>
      <c r="HU62" t="e">
        <f>'All regions'!G1554+"n/&gt;!%#W"</f>
        <v>#VALUE!</v>
      </c>
      <c r="HV62" t="e">
        <f>'All regions'!H1554+"n/&gt;!%#X"</f>
        <v>#VALUE!</v>
      </c>
      <c r="HW62" t="e">
        <f>'All regions'!I1554+"n/&gt;!%#Y"</f>
        <v>#VALUE!</v>
      </c>
      <c r="HX62" t="e">
        <f>'All regions'!J1554+"n/&gt;!%#Z"</f>
        <v>#VALUE!</v>
      </c>
      <c r="HY62" t="e">
        <f>'All regions'!A1555+"n/&gt;!%#["</f>
        <v>#VALUE!</v>
      </c>
      <c r="HZ62" t="e">
        <f>'All regions'!B1555+"n/&gt;!%#\"</f>
        <v>#VALUE!</v>
      </c>
      <c r="IA62" t="e">
        <f>'All regions'!C1555+"n/&gt;!%#]"</f>
        <v>#VALUE!</v>
      </c>
      <c r="IB62" t="e">
        <f>'All regions'!D1555+"n/&gt;!%#^"</f>
        <v>#VALUE!</v>
      </c>
      <c r="IC62" t="e">
        <f>'All regions'!E1555+"n/&gt;!%#_"</f>
        <v>#VALUE!</v>
      </c>
      <c r="ID62" t="e">
        <f>'All regions'!F1555+"n/&gt;!%#`"</f>
        <v>#VALUE!</v>
      </c>
      <c r="IE62" t="e">
        <f>'All regions'!G1555+"n/&gt;!%#a"</f>
        <v>#VALUE!</v>
      </c>
      <c r="IF62" t="e">
        <f>'All regions'!H1555+"n/&gt;!%#b"</f>
        <v>#VALUE!</v>
      </c>
      <c r="IG62" t="e">
        <f>'All regions'!I1555+"n/&gt;!%#c"</f>
        <v>#VALUE!</v>
      </c>
      <c r="IH62" t="e">
        <f>'All regions'!J1555+"n/&gt;!%#d"</f>
        <v>#VALUE!</v>
      </c>
      <c r="II62" t="e">
        <f>'All regions'!A1556+"n/&gt;!%#e"</f>
        <v>#VALUE!</v>
      </c>
      <c r="IJ62" t="e">
        <f>'All regions'!B1556+"n/&gt;!%#f"</f>
        <v>#VALUE!</v>
      </c>
      <c r="IK62" t="e">
        <f>'All regions'!C1556+"n/&gt;!%#g"</f>
        <v>#VALUE!</v>
      </c>
      <c r="IL62" t="e">
        <f>'All regions'!D1556+"n/&gt;!%#h"</f>
        <v>#VALUE!</v>
      </c>
      <c r="IM62" t="e">
        <f>'All regions'!E1556+"n/&gt;!%#i"</f>
        <v>#VALUE!</v>
      </c>
      <c r="IN62" t="e">
        <f>'All regions'!F1556+"n/&gt;!%#j"</f>
        <v>#VALUE!</v>
      </c>
      <c r="IO62" t="e">
        <f>'All regions'!G1556+"n/&gt;!%#k"</f>
        <v>#VALUE!</v>
      </c>
      <c r="IP62" t="e">
        <f>'All regions'!H1556+"n/&gt;!%#l"</f>
        <v>#VALUE!</v>
      </c>
      <c r="IQ62" t="e">
        <f>'All regions'!I1556+"n/&gt;!%#m"</f>
        <v>#VALUE!</v>
      </c>
      <c r="IR62" t="e">
        <f>'All regions'!J1556+"n/&gt;!%#n"</f>
        <v>#VALUE!</v>
      </c>
      <c r="IS62" t="e">
        <f>'All regions'!A1557+"n/&gt;!%#o"</f>
        <v>#VALUE!</v>
      </c>
      <c r="IT62" t="e">
        <f>'All regions'!B1557+"n/&gt;!%#p"</f>
        <v>#VALUE!</v>
      </c>
      <c r="IU62" t="e">
        <f>'All regions'!C1557+"n/&gt;!%#q"</f>
        <v>#VALUE!</v>
      </c>
      <c r="IV62" t="e">
        <f>'All regions'!D1557+"n/&gt;!%#r"</f>
        <v>#VALUE!</v>
      </c>
    </row>
    <row r="63" spans="6:256" x14ac:dyDescent="0.35">
      <c r="F63" t="e">
        <f>'All regions'!E1557+"n/&gt;!%#s"</f>
        <v>#VALUE!</v>
      </c>
      <c r="G63" t="e">
        <f>'All regions'!F1557+"n/&gt;!%#t"</f>
        <v>#VALUE!</v>
      </c>
      <c r="H63" t="e">
        <f>'All regions'!G1557+"n/&gt;!%#u"</f>
        <v>#VALUE!</v>
      </c>
      <c r="I63" t="e">
        <f>'All regions'!H1557+"n/&gt;!%#v"</f>
        <v>#VALUE!</v>
      </c>
      <c r="J63" t="e">
        <f>'All regions'!I1557+"n/&gt;!%#w"</f>
        <v>#VALUE!</v>
      </c>
      <c r="K63" t="e">
        <f>'All regions'!J1557+"n/&gt;!%#x"</f>
        <v>#VALUE!</v>
      </c>
      <c r="L63" t="e">
        <f>'All regions'!A1558+"n/&gt;!%#y"</f>
        <v>#VALUE!</v>
      </c>
      <c r="M63" t="e">
        <f>'All regions'!B1558+"n/&gt;!%#z"</f>
        <v>#VALUE!</v>
      </c>
      <c r="N63" t="e">
        <f>'All regions'!C1558+"n/&gt;!%#{"</f>
        <v>#VALUE!</v>
      </c>
      <c r="O63" t="e">
        <f>'All regions'!D1558+"n/&gt;!%#|"</f>
        <v>#VALUE!</v>
      </c>
      <c r="P63" t="e">
        <f>'All regions'!E1558+"n/&gt;!%#}"</f>
        <v>#VALUE!</v>
      </c>
      <c r="Q63" t="e">
        <f>'All regions'!F1558+"n/&gt;!%#~"</f>
        <v>#VALUE!</v>
      </c>
      <c r="R63" t="e">
        <f>'All regions'!G1558+"n/&gt;!%$#"</f>
        <v>#VALUE!</v>
      </c>
      <c r="S63" t="e">
        <f>'All regions'!H1558+"n/&gt;!%$$"</f>
        <v>#VALUE!</v>
      </c>
      <c r="T63" t="e">
        <f>'All regions'!I1558+"n/&gt;!%$%"</f>
        <v>#VALUE!</v>
      </c>
      <c r="U63" t="e">
        <f>'All regions'!J1558+"n/&gt;!%$&amp;"</f>
        <v>#VALUE!</v>
      </c>
      <c r="V63" t="e">
        <f>'All regions'!A1559+"n/&gt;!%$'"</f>
        <v>#VALUE!</v>
      </c>
      <c r="W63" t="e">
        <f>'All regions'!B1559+"n/&gt;!%$("</f>
        <v>#VALUE!</v>
      </c>
      <c r="X63" t="e">
        <f>'All regions'!C1559+"n/&gt;!%$)"</f>
        <v>#VALUE!</v>
      </c>
      <c r="Y63" t="e">
        <f>'All regions'!D1559+"n/&gt;!%$."</f>
        <v>#VALUE!</v>
      </c>
      <c r="Z63" t="e">
        <f>'All regions'!E1559+"n/&gt;!%$/"</f>
        <v>#VALUE!</v>
      </c>
      <c r="AA63" t="e">
        <f>'All regions'!F1559+"n/&gt;!%$0"</f>
        <v>#VALUE!</v>
      </c>
      <c r="AB63" t="e">
        <f>'All regions'!G1559+"n/&gt;!%$1"</f>
        <v>#VALUE!</v>
      </c>
      <c r="AC63" t="e">
        <f>'All regions'!H1559+"n/&gt;!%$2"</f>
        <v>#VALUE!</v>
      </c>
      <c r="AD63" t="e">
        <f>'All regions'!I1559+"n/&gt;!%$3"</f>
        <v>#VALUE!</v>
      </c>
      <c r="AE63" t="e">
        <f>'All regions'!J1559+"n/&gt;!%$4"</f>
        <v>#VALUE!</v>
      </c>
      <c r="AF63" t="e">
        <f>'All regions'!A1560+"n/&gt;!%$5"</f>
        <v>#VALUE!</v>
      </c>
      <c r="AG63" t="e">
        <f>'All regions'!B1560+"n/&gt;!%$6"</f>
        <v>#VALUE!</v>
      </c>
      <c r="AH63" t="e">
        <f>'All regions'!C1560+"n/&gt;!%$7"</f>
        <v>#VALUE!</v>
      </c>
      <c r="AI63" t="e">
        <f>'All regions'!D1560+"n/&gt;!%$8"</f>
        <v>#VALUE!</v>
      </c>
      <c r="AJ63" t="e">
        <f>'All regions'!E1560+"n/&gt;!%$9"</f>
        <v>#VALUE!</v>
      </c>
      <c r="AK63" t="e">
        <f>'All regions'!F1560+"n/&gt;!%$:"</f>
        <v>#VALUE!</v>
      </c>
      <c r="AL63" t="e">
        <f>'All regions'!G1560+"n/&gt;!%$;"</f>
        <v>#VALUE!</v>
      </c>
      <c r="AM63" t="e">
        <f>'All regions'!H1560+"n/&gt;!%$&lt;"</f>
        <v>#VALUE!</v>
      </c>
      <c r="AN63" t="e">
        <f>'All regions'!I1560+"n/&gt;!%$="</f>
        <v>#VALUE!</v>
      </c>
      <c r="AO63" t="e">
        <f>'All regions'!J1560+"n/&gt;!%$&gt;"</f>
        <v>#VALUE!</v>
      </c>
      <c r="AP63" t="e">
        <f>'All regions'!A1561+"n/&gt;!%$?"</f>
        <v>#VALUE!</v>
      </c>
      <c r="AQ63" t="e">
        <f>'All regions'!B1561+"n/&gt;!%$@"</f>
        <v>#VALUE!</v>
      </c>
      <c r="AR63" t="e">
        <f>'All regions'!C1561+"n/&gt;!%$A"</f>
        <v>#VALUE!</v>
      </c>
      <c r="AS63" t="e">
        <f>'All regions'!D1561+"n/&gt;!%$B"</f>
        <v>#VALUE!</v>
      </c>
      <c r="AT63" t="e">
        <f>'All regions'!E1561+"n/&gt;!%$C"</f>
        <v>#VALUE!</v>
      </c>
      <c r="AU63" t="e">
        <f>'All regions'!F1561+"n/&gt;!%$D"</f>
        <v>#VALUE!</v>
      </c>
      <c r="AV63" t="e">
        <f>'All regions'!G1561+"n/&gt;!%$E"</f>
        <v>#VALUE!</v>
      </c>
      <c r="AW63" t="e">
        <f>'All regions'!H1561+"n/&gt;!%$F"</f>
        <v>#VALUE!</v>
      </c>
      <c r="AX63" t="e">
        <f>'All regions'!I1561+"n/&gt;!%$G"</f>
        <v>#VALUE!</v>
      </c>
      <c r="AY63" t="e">
        <f>'All regions'!J1561+"n/&gt;!%$H"</f>
        <v>#VALUE!</v>
      </c>
      <c r="AZ63" t="e">
        <f>'All regions'!A1562+"n/&gt;!%$I"</f>
        <v>#VALUE!</v>
      </c>
      <c r="BA63" t="e">
        <f>'All regions'!B1562+"n/&gt;!%$J"</f>
        <v>#VALUE!</v>
      </c>
      <c r="BB63" t="e">
        <f>'All regions'!C1562+"n/&gt;!%$K"</f>
        <v>#VALUE!</v>
      </c>
      <c r="BC63" t="e">
        <f>'All regions'!D1562+"n/&gt;!%$L"</f>
        <v>#VALUE!</v>
      </c>
      <c r="BD63" t="e">
        <f>'All regions'!E1562+"n/&gt;!%$M"</f>
        <v>#VALUE!</v>
      </c>
      <c r="BE63" t="e">
        <f>'All regions'!F1562+"n/&gt;!%$N"</f>
        <v>#VALUE!</v>
      </c>
      <c r="BF63" t="e">
        <f>'All regions'!G1562+"n/&gt;!%$O"</f>
        <v>#VALUE!</v>
      </c>
      <c r="BG63" t="e">
        <f>'All regions'!H1562+"n/&gt;!%$P"</f>
        <v>#VALUE!</v>
      </c>
      <c r="BH63" t="e">
        <f>'All regions'!I1562+"n/&gt;!%$Q"</f>
        <v>#VALUE!</v>
      </c>
      <c r="BI63" t="e">
        <f>'All regions'!J1562+"n/&gt;!%$R"</f>
        <v>#VALUE!</v>
      </c>
      <c r="BJ63" t="e">
        <f>'All regions'!A1563+"n/&gt;!%$S"</f>
        <v>#VALUE!</v>
      </c>
      <c r="BK63" t="e">
        <f>'All regions'!B1563+"n/&gt;!%$T"</f>
        <v>#VALUE!</v>
      </c>
      <c r="BL63" t="e">
        <f>'All regions'!C1563+"n/&gt;!%$U"</f>
        <v>#VALUE!</v>
      </c>
      <c r="BM63" t="e">
        <f>'All regions'!D1563+"n/&gt;!%$V"</f>
        <v>#VALUE!</v>
      </c>
      <c r="BN63" t="e">
        <f>'All regions'!E1563+"n/&gt;!%$W"</f>
        <v>#VALUE!</v>
      </c>
      <c r="BO63" t="e">
        <f>'All regions'!F1563+"n/&gt;!%$X"</f>
        <v>#VALUE!</v>
      </c>
      <c r="BP63" t="e">
        <f>'All regions'!G1563+"n/&gt;!%$Y"</f>
        <v>#VALUE!</v>
      </c>
      <c r="BQ63" t="e">
        <f>'All regions'!H1563+"n/&gt;!%$Z"</f>
        <v>#VALUE!</v>
      </c>
      <c r="BR63" t="e">
        <f>'All regions'!I1563+"n/&gt;!%$["</f>
        <v>#VALUE!</v>
      </c>
      <c r="BS63" t="e">
        <f>'All regions'!J1563+"n/&gt;!%$\"</f>
        <v>#VALUE!</v>
      </c>
      <c r="BT63" t="e">
        <f>'All regions'!A1564+"n/&gt;!%$]"</f>
        <v>#VALUE!</v>
      </c>
      <c r="BU63" t="e">
        <f>'All regions'!B1564+"n/&gt;!%$^"</f>
        <v>#VALUE!</v>
      </c>
      <c r="BV63" t="e">
        <f>'All regions'!C1564+"n/&gt;!%$_"</f>
        <v>#VALUE!</v>
      </c>
      <c r="BW63" t="e">
        <f>'All regions'!D1564+"n/&gt;!%$`"</f>
        <v>#VALUE!</v>
      </c>
      <c r="BX63" t="e">
        <f>'All regions'!E1564+"n/&gt;!%$a"</f>
        <v>#VALUE!</v>
      </c>
      <c r="BY63" t="e">
        <f>'All regions'!F1564+"n/&gt;!%$b"</f>
        <v>#VALUE!</v>
      </c>
      <c r="BZ63" t="e">
        <f>'All regions'!G1564+"n/&gt;!%$c"</f>
        <v>#VALUE!</v>
      </c>
      <c r="CA63" t="e">
        <f>'All regions'!H1564+"n/&gt;!%$d"</f>
        <v>#VALUE!</v>
      </c>
      <c r="CB63" t="e">
        <f>'All regions'!I1564+"n/&gt;!%$e"</f>
        <v>#VALUE!</v>
      </c>
      <c r="CC63" t="e">
        <f>'All regions'!J1564+"n/&gt;!%$f"</f>
        <v>#VALUE!</v>
      </c>
      <c r="CD63" t="e">
        <f>'All regions'!A1565+"n/&gt;!%$g"</f>
        <v>#VALUE!</v>
      </c>
      <c r="CE63" t="e">
        <f>'All regions'!B1565+"n/&gt;!%$h"</f>
        <v>#VALUE!</v>
      </c>
      <c r="CF63" t="e">
        <f>'All regions'!C1565+"n/&gt;!%$i"</f>
        <v>#VALUE!</v>
      </c>
      <c r="CG63" t="e">
        <f>'All regions'!D1565+"n/&gt;!%$j"</f>
        <v>#VALUE!</v>
      </c>
      <c r="CH63" t="e">
        <f>'All regions'!E1565+"n/&gt;!%$k"</f>
        <v>#VALUE!</v>
      </c>
      <c r="CI63" t="e">
        <f>'All regions'!F1565+"n/&gt;!%$l"</f>
        <v>#VALUE!</v>
      </c>
      <c r="CJ63" t="e">
        <f>'All regions'!G1565+"n/&gt;!%$m"</f>
        <v>#VALUE!</v>
      </c>
      <c r="CK63" t="e">
        <f>'All regions'!H1565+"n/&gt;!%$n"</f>
        <v>#VALUE!</v>
      </c>
      <c r="CL63" t="e">
        <f>'All regions'!I1565+"n/&gt;!%$o"</f>
        <v>#VALUE!</v>
      </c>
      <c r="CM63" t="e">
        <f>'All regions'!J1565+"n/&gt;!%$p"</f>
        <v>#VALUE!</v>
      </c>
      <c r="CN63" t="e">
        <f>'All regions'!A1566+"n/&gt;!%$q"</f>
        <v>#VALUE!</v>
      </c>
      <c r="CO63" t="e">
        <f>'All regions'!B1566+"n/&gt;!%$r"</f>
        <v>#VALUE!</v>
      </c>
      <c r="CP63" t="e">
        <f>'All regions'!C1566+"n/&gt;!%$s"</f>
        <v>#VALUE!</v>
      </c>
      <c r="CQ63" t="e">
        <f>'All regions'!D1566+"n/&gt;!%$t"</f>
        <v>#VALUE!</v>
      </c>
      <c r="CR63" t="e">
        <f>'All regions'!E1566+"n/&gt;!%$u"</f>
        <v>#VALUE!</v>
      </c>
      <c r="CS63" t="e">
        <f>'All regions'!F1566+"n/&gt;!%$v"</f>
        <v>#VALUE!</v>
      </c>
      <c r="CT63" t="e">
        <f>'All regions'!G1566+"n/&gt;!%$w"</f>
        <v>#VALUE!</v>
      </c>
      <c r="CU63" t="e">
        <f>'All regions'!H1566+"n/&gt;!%$x"</f>
        <v>#VALUE!</v>
      </c>
      <c r="CV63" t="e">
        <f>'All regions'!I1566+"n/&gt;!%$y"</f>
        <v>#VALUE!</v>
      </c>
      <c r="CW63" t="e">
        <f>'All regions'!J1566+"n/&gt;!%$z"</f>
        <v>#VALUE!</v>
      </c>
      <c r="CX63" t="e">
        <f>'All regions'!A1567+"n/&gt;!%${"</f>
        <v>#VALUE!</v>
      </c>
      <c r="CY63" t="e">
        <f>'All regions'!B1567+"n/&gt;!%$|"</f>
        <v>#VALUE!</v>
      </c>
      <c r="CZ63" t="e">
        <f>'All regions'!C1567+"n/&gt;!%$}"</f>
        <v>#VALUE!</v>
      </c>
      <c r="DA63" t="e">
        <f>'All regions'!D1567+"n/&gt;!%$~"</f>
        <v>#VALUE!</v>
      </c>
      <c r="DB63" t="e">
        <f>'All regions'!E1567+"n/&gt;!%%#"</f>
        <v>#VALUE!</v>
      </c>
      <c r="DC63" t="e">
        <f>'All regions'!F1567+"n/&gt;!%%$"</f>
        <v>#VALUE!</v>
      </c>
      <c r="DD63" t="e">
        <f>'All regions'!G1567+"n/&gt;!%%%"</f>
        <v>#VALUE!</v>
      </c>
      <c r="DE63" t="e">
        <f>'All regions'!H1567+"n/&gt;!%%&amp;"</f>
        <v>#VALUE!</v>
      </c>
      <c r="DF63" t="e">
        <f>'All regions'!I1567+"n/&gt;!%%'"</f>
        <v>#VALUE!</v>
      </c>
      <c r="DG63" t="e">
        <f>'All regions'!J1567+"n/&gt;!%%("</f>
        <v>#VALUE!</v>
      </c>
      <c r="DH63" t="e">
        <f>'All regions'!A1568+"n/&gt;!%%)"</f>
        <v>#VALUE!</v>
      </c>
      <c r="DI63" t="e">
        <f>'All regions'!B1568+"n/&gt;!%%."</f>
        <v>#VALUE!</v>
      </c>
      <c r="DJ63" t="e">
        <f>'All regions'!C1568+"n/&gt;!%%/"</f>
        <v>#VALUE!</v>
      </c>
      <c r="DK63" t="e">
        <f>'All regions'!D1568+"n/&gt;!%%0"</f>
        <v>#VALUE!</v>
      </c>
      <c r="DL63" t="e">
        <f>'All regions'!E1568+"n/&gt;!%%1"</f>
        <v>#VALUE!</v>
      </c>
      <c r="DM63" t="e">
        <f>'All regions'!F1568+"n/&gt;!%%2"</f>
        <v>#VALUE!</v>
      </c>
      <c r="DN63" t="e">
        <f>'All regions'!G1568+"n/&gt;!%%3"</f>
        <v>#VALUE!</v>
      </c>
      <c r="DO63" t="e">
        <f>'All regions'!H1568+"n/&gt;!%%4"</f>
        <v>#VALUE!</v>
      </c>
      <c r="DP63" t="e">
        <f>'All regions'!I1568+"n/&gt;!%%5"</f>
        <v>#VALUE!</v>
      </c>
      <c r="DQ63" t="e">
        <f>'All regions'!J1568+"n/&gt;!%%6"</f>
        <v>#VALUE!</v>
      </c>
      <c r="DR63" t="e">
        <f>'All regions'!A1569+"n/&gt;!%%7"</f>
        <v>#VALUE!</v>
      </c>
      <c r="DS63" t="e">
        <f>'All regions'!B1569+"n/&gt;!%%8"</f>
        <v>#VALUE!</v>
      </c>
      <c r="DT63" t="e">
        <f>'All regions'!C1569+"n/&gt;!%%9"</f>
        <v>#VALUE!</v>
      </c>
      <c r="DU63" t="e">
        <f>'All regions'!D1569+"n/&gt;!%%:"</f>
        <v>#VALUE!</v>
      </c>
      <c r="DV63" t="e">
        <f>'All regions'!E1569+"n/&gt;!%%;"</f>
        <v>#VALUE!</v>
      </c>
      <c r="DW63" t="e">
        <f>'All regions'!F1569+"n/&gt;!%%&lt;"</f>
        <v>#VALUE!</v>
      </c>
      <c r="DX63" t="e">
        <f>'All regions'!G1569+"n/&gt;!%%="</f>
        <v>#VALUE!</v>
      </c>
      <c r="DY63" t="e">
        <f>'All regions'!H1569+"n/&gt;!%%&gt;"</f>
        <v>#VALUE!</v>
      </c>
      <c r="DZ63" t="e">
        <f>'All regions'!I1569+"n/&gt;!%%?"</f>
        <v>#VALUE!</v>
      </c>
      <c r="EA63" t="e">
        <f>'All regions'!J1569+"n/&gt;!%%@"</f>
        <v>#VALUE!</v>
      </c>
      <c r="EB63" t="e">
        <f>'All regions'!A1570+"n/&gt;!%%A"</f>
        <v>#VALUE!</v>
      </c>
      <c r="EC63" t="e">
        <f>'All regions'!B1570+"n/&gt;!%%B"</f>
        <v>#VALUE!</v>
      </c>
      <c r="ED63" t="e">
        <f>'All regions'!C1570+"n/&gt;!%%C"</f>
        <v>#VALUE!</v>
      </c>
      <c r="EE63" t="e">
        <f>'All regions'!D1570+"n/&gt;!%%D"</f>
        <v>#VALUE!</v>
      </c>
      <c r="EF63" t="e">
        <f>'All regions'!E1570+"n/&gt;!%%E"</f>
        <v>#VALUE!</v>
      </c>
      <c r="EG63" t="e">
        <f>'All regions'!F1570+"n/&gt;!%%F"</f>
        <v>#VALUE!</v>
      </c>
      <c r="EH63" t="e">
        <f>'All regions'!G1570+"n/&gt;!%%G"</f>
        <v>#VALUE!</v>
      </c>
      <c r="EI63" t="e">
        <f>'All regions'!H1570+"n/&gt;!%%H"</f>
        <v>#VALUE!</v>
      </c>
      <c r="EJ63" t="e">
        <f>'All regions'!I1570+"n/&gt;!%%I"</f>
        <v>#VALUE!</v>
      </c>
      <c r="EK63" t="e">
        <f>'All regions'!J1570+"n/&gt;!%%J"</f>
        <v>#VALUE!</v>
      </c>
      <c r="EL63" t="e">
        <f>'All regions'!A1571+"n/&gt;!%%K"</f>
        <v>#VALUE!</v>
      </c>
      <c r="EM63" t="e">
        <f>'All regions'!B1571+"n/&gt;!%%L"</f>
        <v>#VALUE!</v>
      </c>
      <c r="EN63" t="e">
        <f>'All regions'!C1571+"n/&gt;!%%M"</f>
        <v>#VALUE!</v>
      </c>
      <c r="EO63" t="e">
        <f>'All regions'!D1571+"n/&gt;!%%N"</f>
        <v>#VALUE!</v>
      </c>
      <c r="EP63" t="e">
        <f>'All regions'!E1571+"n/&gt;!%%O"</f>
        <v>#VALUE!</v>
      </c>
      <c r="EQ63" t="e">
        <f>'All regions'!F1571+"n/&gt;!%%P"</f>
        <v>#VALUE!</v>
      </c>
      <c r="ER63" t="e">
        <f>'All regions'!G1571+"n/&gt;!%%Q"</f>
        <v>#VALUE!</v>
      </c>
      <c r="ES63" t="e">
        <f>'All regions'!H1571+"n/&gt;!%%R"</f>
        <v>#VALUE!</v>
      </c>
      <c r="ET63" t="e">
        <f>'All regions'!I1571+"n/&gt;!%%S"</f>
        <v>#VALUE!</v>
      </c>
      <c r="EU63" t="e">
        <f>'All regions'!J1571+"n/&gt;!%%T"</f>
        <v>#VALUE!</v>
      </c>
      <c r="EV63" t="e">
        <f>'All regions'!A1572+"n/&gt;!%%U"</f>
        <v>#VALUE!</v>
      </c>
      <c r="EW63" t="e">
        <f>'All regions'!B1572+"n/&gt;!%%V"</f>
        <v>#VALUE!</v>
      </c>
      <c r="EX63" t="e">
        <f>'All regions'!C1572+"n/&gt;!%%W"</f>
        <v>#VALUE!</v>
      </c>
      <c r="EY63" t="e">
        <f>'All regions'!D1572+"n/&gt;!%%X"</f>
        <v>#VALUE!</v>
      </c>
      <c r="EZ63" t="e">
        <f>'All regions'!E1572+"n/&gt;!%%Y"</f>
        <v>#VALUE!</v>
      </c>
      <c r="FA63" t="e">
        <f>'All regions'!F1572+"n/&gt;!%%Z"</f>
        <v>#VALUE!</v>
      </c>
      <c r="FB63" t="e">
        <f>'All regions'!G1572+"n/&gt;!%%["</f>
        <v>#VALUE!</v>
      </c>
      <c r="FC63" t="e">
        <f>'All regions'!H1572+"n/&gt;!%%\"</f>
        <v>#VALUE!</v>
      </c>
      <c r="FD63" t="e">
        <f>'All regions'!I1572+"n/&gt;!%%]"</f>
        <v>#VALUE!</v>
      </c>
      <c r="FE63" t="e">
        <f>'All regions'!J1572+"n/&gt;!%%^"</f>
        <v>#VALUE!</v>
      </c>
      <c r="FF63" t="e">
        <f>'All regions'!A1573+"n/&gt;!%%_"</f>
        <v>#VALUE!</v>
      </c>
      <c r="FG63" t="e">
        <f>'All regions'!B1573+"n/&gt;!%%`"</f>
        <v>#VALUE!</v>
      </c>
      <c r="FH63" t="e">
        <f>'All regions'!C1573+"n/&gt;!%%a"</f>
        <v>#VALUE!</v>
      </c>
      <c r="FI63" t="e">
        <f>'All regions'!D1573+"n/&gt;!%%b"</f>
        <v>#VALUE!</v>
      </c>
      <c r="FJ63" t="e">
        <f>'All regions'!E1573+"n/&gt;!%%c"</f>
        <v>#VALUE!</v>
      </c>
      <c r="FK63" t="e">
        <f>'All regions'!F1573+"n/&gt;!%%d"</f>
        <v>#VALUE!</v>
      </c>
      <c r="FL63" t="e">
        <f>'All regions'!G1573+"n/&gt;!%%e"</f>
        <v>#VALUE!</v>
      </c>
      <c r="FM63" t="e">
        <f>'All regions'!H1573+"n/&gt;!%%f"</f>
        <v>#VALUE!</v>
      </c>
      <c r="FN63" t="e">
        <f>'All regions'!I1573+"n/&gt;!%%g"</f>
        <v>#VALUE!</v>
      </c>
      <c r="FO63" t="e">
        <f>'All regions'!J1573+"n/&gt;!%%h"</f>
        <v>#VALUE!</v>
      </c>
      <c r="FP63" t="e">
        <f>'All regions'!A1574+"n/&gt;!%%i"</f>
        <v>#VALUE!</v>
      </c>
      <c r="FQ63" t="e">
        <f>'All regions'!B1574+"n/&gt;!%%j"</f>
        <v>#VALUE!</v>
      </c>
      <c r="FR63" t="e">
        <f>'All regions'!C1574+"n/&gt;!%%k"</f>
        <v>#VALUE!</v>
      </c>
      <c r="FS63" t="e">
        <f>'All regions'!D1574+"n/&gt;!%%l"</f>
        <v>#VALUE!</v>
      </c>
      <c r="FT63" t="e">
        <f>'All regions'!E1574+"n/&gt;!%%m"</f>
        <v>#VALUE!</v>
      </c>
      <c r="FU63" t="e">
        <f>'All regions'!F1574+"n/&gt;!%%n"</f>
        <v>#VALUE!</v>
      </c>
      <c r="FV63" t="e">
        <f>'All regions'!G1574+"n/&gt;!%%o"</f>
        <v>#VALUE!</v>
      </c>
      <c r="FW63" t="e">
        <f>'All regions'!H1574+"n/&gt;!%%p"</f>
        <v>#VALUE!</v>
      </c>
      <c r="FX63" t="e">
        <f>'All regions'!I1574+"n/&gt;!%%q"</f>
        <v>#VALUE!</v>
      </c>
      <c r="FY63" t="e">
        <f>'All regions'!J1574+"n/&gt;!%%r"</f>
        <v>#VALUE!</v>
      </c>
      <c r="FZ63" t="e">
        <f>'All regions'!A1575+"n/&gt;!%%s"</f>
        <v>#VALUE!</v>
      </c>
      <c r="GA63" t="e">
        <f>'All regions'!B1575+"n/&gt;!%%t"</f>
        <v>#VALUE!</v>
      </c>
      <c r="GB63" t="e">
        <f>'All regions'!C1575+"n/&gt;!%%u"</f>
        <v>#VALUE!</v>
      </c>
      <c r="GC63" t="e">
        <f>'All regions'!D1575+"n/&gt;!%%v"</f>
        <v>#VALUE!</v>
      </c>
      <c r="GD63" t="e">
        <f>'All regions'!E1575+"n/&gt;!%%w"</f>
        <v>#VALUE!</v>
      </c>
      <c r="GE63" t="e">
        <f>'All regions'!F1575+"n/&gt;!%%x"</f>
        <v>#VALUE!</v>
      </c>
      <c r="GF63" t="e">
        <f>'All regions'!G1575+"n/&gt;!%%y"</f>
        <v>#VALUE!</v>
      </c>
      <c r="GG63" t="e">
        <f>'All regions'!H1575+"n/&gt;!%%z"</f>
        <v>#VALUE!</v>
      </c>
      <c r="GH63" t="e">
        <f>'All regions'!I1575+"n/&gt;!%%{"</f>
        <v>#VALUE!</v>
      </c>
      <c r="GI63" t="e">
        <f>'All regions'!J1575+"n/&gt;!%%|"</f>
        <v>#VALUE!</v>
      </c>
      <c r="GJ63" t="e">
        <f>'All regions'!A1576+"n/&gt;!%%}"</f>
        <v>#VALUE!</v>
      </c>
      <c r="GK63" t="e">
        <f>'All regions'!B1576+"n/&gt;!%%~"</f>
        <v>#VALUE!</v>
      </c>
      <c r="GL63" t="e">
        <f>'All regions'!C1576+"n/&gt;!%&amp;#"</f>
        <v>#VALUE!</v>
      </c>
      <c r="GM63" t="e">
        <f>'All regions'!D1576+"n/&gt;!%&amp;$"</f>
        <v>#VALUE!</v>
      </c>
      <c r="GN63" t="e">
        <f>'All regions'!E1576+"n/&gt;!%&amp;%"</f>
        <v>#VALUE!</v>
      </c>
      <c r="GO63" t="e">
        <f>'All regions'!F1576+"n/&gt;!%&amp;&amp;"</f>
        <v>#VALUE!</v>
      </c>
      <c r="GP63" t="e">
        <f>'All regions'!G1576+"n/&gt;!%&amp;'"</f>
        <v>#VALUE!</v>
      </c>
      <c r="GQ63" t="e">
        <f>'All regions'!H1576+"n/&gt;!%&amp;("</f>
        <v>#VALUE!</v>
      </c>
      <c r="GR63" t="e">
        <f>'All regions'!I1576+"n/&gt;!%&amp;)"</f>
        <v>#VALUE!</v>
      </c>
      <c r="GS63" t="e">
        <f>'All regions'!J1576+"n/&gt;!%&amp;."</f>
        <v>#VALUE!</v>
      </c>
      <c r="GT63" t="e">
        <f>'All regions'!A1577+"n/&gt;!%&amp;/"</f>
        <v>#VALUE!</v>
      </c>
      <c r="GU63" t="e">
        <f>'All regions'!B1577+"n/&gt;!%&amp;0"</f>
        <v>#VALUE!</v>
      </c>
      <c r="GV63" t="e">
        <f>'All regions'!C1577+"n/&gt;!%&amp;1"</f>
        <v>#VALUE!</v>
      </c>
      <c r="GW63" t="e">
        <f>'All regions'!D1577+"n/&gt;!%&amp;2"</f>
        <v>#VALUE!</v>
      </c>
      <c r="GX63" t="e">
        <f>'All regions'!E1577+"n/&gt;!%&amp;3"</f>
        <v>#VALUE!</v>
      </c>
      <c r="GY63" t="e">
        <f>'All regions'!F1577+"n/&gt;!%&amp;4"</f>
        <v>#VALUE!</v>
      </c>
      <c r="GZ63" t="e">
        <f>'All regions'!G1577+"n/&gt;!%&amp;5"</f>
        <v>#VALUE!</v>
      </c>
      <c r="HA63" t="e">
        <f>'All regions'!H1577+"n/&gt;!%&amp;6"</f>
        <v>#VALUE!</v>
      </c>
      <c r="HB63" t="e">
        <f>'All regions'!I1577+"n/&gt;!%&amp;7"</f>
        <v>#VALUE!</v>
      </c>
      <c r="HC63" t="e">
        <f>'All regions'!J1577+"n/&gt;!%&amp;8"</f>
        <v>#VALUE!</v>
      </c>
      <c r="HD63" t="e">
        <f>'All regions'!A1578+"n/&gt;!%&amp;9"</f>
        <v>#VALUE!</v>
      </c>
      <c r="HE63" t="e">
        <f>'All regions'!B1578+"n/&gt;!%&amp;:"</f>
        <v>#VALUE!</v>
      </c>
      <c r="HF63" t="e">
        <f>'All regions'!C1578+"n/&gt;!%&amp;;"</f>
        <v>#VALUE!</v>
      </c>
      <c r="HG63" t="e">
        <f>'All regions'!D1578+"n/&gt;!%&amp;&lt;"</f>
        <v>#VALUE!</v>
      </c>
      <c r="HH63" t="e">
        <f>'All regions'!E1578+"n/&gt;!%&amp;="</f>
        <v>#VALUE!</v>
      </c>
      <c r="HI63" t="e">
        <f>'All regions'!F1578+"n/&gt;!%&amp;&gt;"</f>
        <v>#VALUE!</v>
      </c>
      <c r="HJ63" t="e">
        <f>'All regions'!G1578+"n/&gt;!%&amp;?"</f>
        <v>#VALUE!</v>
      </c>
      <c r="HK63" t="e">
        <f>'All regions'!H1578+"n/&gt;!%&amp;@"</f>
        <v>#VALUE!</v>
      </c>
      <c r="HL63" t="e">
        <f>'All regions'!I1578+"n/&gt;!%&amp;A"</f>
        <v>#VALUE!</v>
      </c>
      <c r="HM63" t="e">
        <f>'All regions'!J1578+"n/&gt;!%&amp;B"</f>
        <v>#VALUE!</v>
      </c>
      <c r="HN63" t="e">
        <f>'All regions'!A1579+"n/&gt;!%&amp;C"</f>
        <v>#VALUE!</v>
      </c>
      <c r="HO63" t="e">
        <f>'All regions'!B1579+"n/&gt;!%&amp;D"</f>
        <v>#VALUE!</v>
      </c>
      <c r="HP63" t="e">
        <f>'All regions'!C1579+"n/&gt;!%&amp;E"</f>
        <v>#VALUE!</v>
      </c>
      <c r="HQ63" t="e">
        <f>'All regions'!D1579+"n/&gt;!%&amp;F"</f>
        <v>#VALUE!</v>
      </c>
      <c r="HR63" t="e">
        <f>'All regions'!E1579+"n/&gt;!%&amp;G"</f>
        <v>#VALUE!</v>
      </c>
      <c r="HS63" t="e">
        <f>'All regions'!F1579+"n/&gt;!%&amp;H"</f>
        <v>#VALUE!</v>
      </c>
      <c r="HT63" t="e">
        <f>'All regions'!G1579+"n/&gt;!%&amp;I"</f>
        <v>#VALUE!</v>
      </c>
      <c r="HU63" t="e">
        <f>'All regions'!H1579+"n/&gt;!%&amp;J"</f>
        <v>#VALUE!</v>
      </c>
      <c r="HV63" t="e">
        <f>'All regions'!I1579+"n/&gt;!%&amp;K"</f>
        <v>#VALUE!</v>
      </c>
      <c r="HW63" t="e">
        <f>'All regions'!J1579+"n/&gt;!%&amp;L"</f>
        <v>#VALUE!</v>
      </c>
      <c r="HX63" t="e">
        <f>'All regions'!A1580+"n/&gt;!%&amp;M"</f>
        <v>#VALUE!</v>
      </c>
      <c r="HY63" t="e">
        <f>'All regions'!B1580+"n/&gt;!%&amp;N"</f>
        <v>#VALUE!</v>
      </c>
      <c r="HZ63" t="e">
        <f>'All regions'!C1580+"n/&gt;!%&amp;O"</f>
        <v>#VALUE!</v>
      </c>
      <c r="IA63" t="e">
        <f>'All regions'!D1580+"n/&gt;!%&amp;P"</f>
        <v>#VALUE!</v>
      </c>
      <c r="IB63" t="e">
        <f>'All regions'!E1580+"n/&gt;!%&amp;Q"</f>
        <v>#VALUE!</v>
      </c>
      <c r="IC63" t="e">
        <f>'All regions'!F1580+"n/&gt;!%&amp;R"</f>
        <v>#VALUE!</v>
      </c>
      <c r="ID63" t="e">
        <f>'All regions'!G1580+"n/&gt;!%&amp;S"</f>
        <v>#VALUE!</v>
      </c>
      <c r="IE63" t="e">
        <f>'All regions'!H1580+"n/&gt;!%&amp;T"</f>
        <v>#VALUE!</v>
      </c>
      <c r="IF63" t="e">
        <f>'All regions'!I1580+"n/&gt;!%&amp;U"</f>
        <v>#VALUE!</v>
      </c>
      <c r="IG63" t="e">
        <f>'All regions'!J1580+"n/&gt;!%&amp;V"</f>
        <v>#VALUE!</v>
      </c>
      <c r="IH63" t="e">
        <f>'All regions'!A1581+"n/&gt;!%&amp;W"</f>
        <v>#VALUE!</v>
      </c>
      <c r="II63" t="e">
        <f>'All regions'!B1581+"n/&gt;!%&amp;X"</f>
        <v>#VALUE!</v>
      </c>
      <c r="IJ63" t="e">
        <f>'All regions'!C1581+"n/&gt;!%&amp;Y"</f>
        <v>#VALUE!</v>
      </c>
      <c r="IK63" t="e">
        <f>'All regions'!D1581+"n/&gt;!%&amp;Z"</f>
        <v>#VALUE!</v>
      </c>
      <c r="IL63" t="e">
        <f>'All regions'!E1581+"n/&gt;!%&amp;["</f>
        <v>#VALUE!</v>
      </c>
      <c r="IM63" t="e">
        <f>'All regions'!F1581+"n/&gt;!%&amp;\"</f>
        <v>#VALUE!</v>
      </c>
      <c r="IN63" t="e">
        <f>'All regions'!G1581+"n/&gt;!%&amp;]"</f>
        <v>#VALUE!</v>
      </c>
      <c r="IO63" t="e">
        <f>'All regions'!H1581+"n/&gt;!%&amp;^"</f>
        <v>#VALUE!</v>
      </c>
      <c r="IP63" t="e">
        <f>'All regions'!I1581+"n/&gt;!%&amp;_"</f>
        <v>#VALUE!</v>
      </c>
      <c r="IQ63" t="e">
        <f>'All regions'!J1581+"n/&gt;!%&amp;`"</f>
        <v>#VALUE!</v>
      </c>
      <c r="IR63" t="e">
        <f>'All regions'!A1582+"n/&gt;!%&amp;a"</f>
        <v>#VALUE!</v>
      </c>
      <c r="IS63" t="e">
        <f>'All regions'!B1582+"n/&gt;!%&amp;b"</f>
        <v>#VALUE!</v>
      </c>
      <c r="IT63" t="e">
        <f>'All regions'!C1582+"n/&gt;!%&amp;c"</f>
        <v>#VALUE!</v>
      </c>
      <c r="IU63" t="e">
        <f>'All regions'!D1582+"n/&gt;!%&amp;d"</f>
        <v>#VALUE!</v>
      </c>
      <c r="IV63" t="e">
        <f>'All regions'!E1582+"n/&gt;!%&amp;e"</f>
        <v>#VALUE!</v>
      </c>
    </row>
    <row r="64" spans="6:256" x14ac:dyDescent="0.35">
      <c r="F64" t="e">
        <f>'All regions'!F1582+"n/&gt;!%&amp;f"</f>
        <v>#VALUE!</v>
      </c>
      <c r="G64" t="e">
        <f>'All regions'!G1582+"n/&gt;!%&amp;g"</f>
        <v>#VALUE!</v>
      </c>
      <c r="H64" t="e">
        <f>'All regions'!H1582+"n/&gt;!%&amp;h"</f>
        <v>#VALUE!</v>
      </c>
      <c r="I64" t="e">
        <f>'All regions'!I1582+"n/&gt;!%&amp;i"</f>
        <v>#VALUE!</v>
      </c>
      <c r="J64" t="e">
        <f>'All regions'!J1582+"n/&gt;!%&amp;j"</f>
        <v>#VALUE!</v>
      </c>
      <c r="K64" t="e">
        <f>'All regions'!A1583+"n/&gt;!%&amp;k"</f>
        <v>#VALUE!</v>
      </c>
      <c r="L64" t="e">
        <f>'All regions'!B1583+"n/&gt;!%&amp;l"</f>
        <v>#VALUE!</v>
      </c>
      <c r="M64" t="e">
        <f>'All regions'!C1583+"n/&gt;!%&amp;m"</f>
        <v>#VALUE!</v>
      </c>
      <c r="N64" t="e">
        <f>'All regions'!D1583+"n/&gt;!%&amp;n"</f>
        <v>#VALUE!</v>
      </c>
      <c r="O64" t="e">
        <f>'All regions'!E1583+"n/&gt;!%&amp;o"</f>
        <v>#VALUE!</v>
      </c>
      <c r="P64" t="e">
        <f>'All regions'!F1583+"n/&gt;!%&amp;p"</f>
        <v>#VALUE!</v>
      </c>
      <c r="Q64" t="e">
        <f>'All regions'!G1583+"n/&gt;!%&amp;q"</f>
        <v>#VALUE!</v>
      </c>
      <c r="R64" t="e">
        <f>'All regions'!H1583+"n/&gt;!%&amp;r"</f>
        <v>#VALUE!</v>
      </c>
      <c r="S64" t="e">
        <f>'All regions'!I1583+"n/&gt;!%&amp;s"</f>
        <v>#VALUE!</v>
      </c>
      <c r="T64" t="e">
        <f>'All regions'!J1583+"n/&gt;!%&amp;t"</f>
        <v>#VALUE!</v>
      </c>
      <c r="U64" t="e">
        <f>'All regions'!A1584+"n/&gt;!%&amp;u"</f>
        <v>#VALUE!</v>
      </c>
      <c r="V64" t="e">
        <f>'All regions'!B1584+"n/&gt;!%&amp;v"</f>
        <v>#VALUE!</v>
      </c>
      <c r="W64" t="e">
        <f>'All regions'!C1584+"n/&gt;!%&amp;w"</f>
        <v>#VALUE!</v>
      </c>
      <c r="X64" t="e">
        <f>'All regions'!D1584+"n/&gt;!%&amp;x"</f>
        <v>#VALUE!</v>
      </c>
      <c r="Y64" t="e">
        <f>'All regions'!E1584+"n/&gt;!%&amp;y"</f>
        <v>#VALUE!</v>
      </c>
      <c r="Z64" t="e">
        <f>'All regions'!F1584+"n/&gt;!%&amp;z"</f>
        <v>#VALUE!</v>
      </c>
      <c r="AA64" t="e">
        <f>'All regions'!G1584+"n/&gt;!%&amp;{"</f>
        <v>#VALUE!</v>
      </c>
      <c r="AB64" t="e">
        <f>'All regions'!H1584+"n/&gt;!%&amp;|"</f>
        <v>#VALUE!</v>
      </c>
      <c r="AC64" t="e">
        <f>'All regions'!I1584+"n/&gt;!%&amp;}"</f>
        <v>#VALUE!</v>
      </c>
      <c r="AD64" t="e">
        <f>'All regions'!J1584+"n/&gt;!%&amp;~"</f>
        <v>#VALUE!</v>
      </c>
      <c r="AE64" t="e">
        <f>'All regions'!A1585+"n/&gt;!%'#"</f>
        <v>#VALUE!</v>
      </c>
      <c r="AF64" t="e">
        <f>'All regions'!B1585+"n/&gt;!%'$"</f>
        <v>#VALUE!</v>
      </c>
      <c r="AG64" t="e">
        <f>'All regions'!C1585+"n/&gt;!%'%"</f>
        <v>#VALUE!</v>
      </c>
      <c r="AH64" t="e">
        <f>'All regions'!D1585+"n/&gt;!%'&amp;"</f>
        <v>#VALUE!</v>
      </c>
      <c r="AI64" t="e">
        <f>'All regions'!E1585+"n/&gt;!%''"</f>
        <v>#VALUE!</v>
      </c>
      <c r="AJ64" t="e">
        <f>'All regions'!F1585+"n/&gt;!%'("</f>
        <v>#VALUE!</v>
      </c>
      <c r="AK64" t="e">
        <f>'All regions'!G1585+"n/&gt;!%')"</f>
        <v>#VALUE!</v>
      </c>
      <c r="AL64" t="e">
        <f>'All regions'!H1585+"n/&gt;!%'."</f>
        <v>#VALUE!</v>
      </c>
      <c r="AM64" t="e">
        <f>'All regions'!I1585+"n/&gt;!%'/"</f>
        <v>#VALUE!</v>
      </c>
      <c r="AN64" t="e">
        <f>'All regions'!J1585+"n/&gt;!%'0"</f>
        <v>#VALUE!</v>
      </c>
      <c r="AO64" t="e">
        <f>'All regions'!A1586+"n/&gt;!%'1"</f>
        <v>#VALUE!</v>
      </c>
      <c r="AP64" t="e">
        <f>'All regions'!B1586+"n/&gt;!%'2"</f>
        <v>#VALUE!</v>
      </c>
      <c r="AQ64" t="e">
        <f>'All regions'!C1586+"n/&gt;!%'3"</f>
        <v>#VALUE!</v>
      </c>
      <c r="AR64" t="e">
        <f>'All regions'!D1586+"n/&gt;!%'4"</f>
        <v>#VALUE!</v>
      </c>
      <c r="AS64" t="e">
        <f>'All regions'!E1586+"n/&gt;!%'5"</f>
        <v>#VALUE!</v>
      </c>
      <c r="AT64" t="e">
        <f>'All regions'!F1586+"n/&gt;!%'6"</f>
        <v>#VALUE!</v>
      </c>
      <c r="AU64" t="e">
        <f>'All regions'!G1586+"n/&gt;!%'7"</f>
        <v>#VALUE!</v>
      </c>
      <c r="AV64" t="e">
        <f>'All regions'!H1586+"n/&gt;!%'8"</f>
        <v>#VALUE!</v>
      </c>
      <c r="AW64" t="e">
        <f>'All regions'!I1586+"n/&gt;!%'9"</f>
        <v>#VALUE!</v>
      </c>
      <c r="AX64" t="e">
        <f>'All regions'!J1586+"n/&gt;!%':"</f>
        <v>#VALUE!</v>
      </c>
      <c r="AY64" t="e">
        <f>'All regions'!A1587+"n/&gt;!%';"</f>
        <v>#VALUE!</v>
      </c>
      <c r="AZ64" t="e">
        <f>'All regions'!B1587+"n/&gt;!%'&lt;"</f>
        <v>#VALUE!</v>
      </c>
      <c r="BA64" t="e">
        <f>'All regions'!C1587+"n/&gt;!%'="</f>
        <v>#VALUE!</v>
      </c>
      <c r="BB64" t="e">
        <f>'All regions'!D1587+"n/&gt;!%'&gt;"</f>
        <v>#VALUE!</v>
      </c>
      <c r="BC64" t="e">
        <f>'All regions'!E1587+"n/&gt;!%'?"</f>
        <v>#VALUE!</v>
      </c>
      <c r="BD64" t="e">
        <f>'All regions'!F1587+"n/&gt;!%'@"</f>
        <v>#VALUE!</v>
      </c>
      <c r="BE64" t="e">
        <f>'All regions'!G1587+"n/&gt;!%'A"</f>
        <v>#VALUE!</v>
      </c>
      <c r="BF64" t="e">
        <f>'All regions'!H1587+"n/&gt;!%'B"</f>
        <v>#VALUE!</v>
      </c>
      <c r="BG64" t="e">
        <f>'All regions'!I1587+"n/&gt;!%'C"</f>
        <v>#VALUE!</v>
      </c>
      <c r="BH64" t="e">
        <f>'All regions'!J1587+"n/&gt;!%'D"</f>
        <v>#VALUE!</v>
      </c>
      <c r="BI64" t="e">
        <f>'All regions'!A1588+"n/&gt;!%'E"</f>
        <v>#VALUE!</v>
      </c>
      <c r="BJ64" t="e">
        <f>'All regions'!B1588+"n/&gt;!%'F"</f>
        <v>#VALUE!</v>
      </c>
      <c r="BK64" t="e">
        <f>'All regions'!C1588+"n/&gt;!%'G"</f>
        <v>#VALUE!</v>
      </c>
      <c r="BL64" t="e">
        <f>'All regions'!D1588+"n/&gt;!%'H"</f>
        <v>#VALUE!</v>
      </c>
      <c r="BM64" t="e">
        <f>'All regions'!E1588+"n/&gt;!%'I"</f>
        <v>#VALUE!</v>
      </c>
      <c r="BN64" t="e">
        <f>'All regions'!F1588+"n/&gt;!%'J"</f>
        <v>#VALUE!</v>
      </c>
      <c r="BO64" t="e">
        <f>'All regions'!G1588+"n/&gt;!%'K"</f>
        <v>#VALUE!</v>
      </c>
      <c r="BP64" t="e">
        <f>'All regions'!H1588+"n/&gt;!%'L"</f>
        <v>#VALUE!</v>
      </c>
      <c r="BQ64" t="e">
        <f>'All regions'!I1588+"n/&gt;!%'M"</f>
        <v>#VALUE!</v>
      </c>
      <c r="BR64" t="e">
        <f>'All regions'!J1588+"n/&gt;!%'N"</f>
        <v>#VALUE!</v>
      </c>
      <c r="BS64" t="e">
        <f>'All regions'!A1589+"n/&gt;!%'O"</f>
        <v>#VALUE!</v>
      </c>
      <c r="BT64" t="e">
        <f>'All regions'!B1589+"n/&gt;!%'P"</f>
        <v>#VALUE!</v>
      </c>
      <c r="BU64" t="e">
        <f>'All regions'!C1589+"n/&gt;!%'Q"</f>
        <v>#VALUE!</v>
      </c>
      <c r="BV64" t="e">
        <f>'All regions'!D1589+"n/&gt;!%'R"</f>
        <v>#VALUE!</v>
      </c>
      <c r="BW64" t="e">
        <f>'All regions'!E1589+"n/&gt;!%'S"</f>
        <v>#VALUE!</v>
      </c>
      <c r="BX64" t="e">
        <f>'All regions'!F1589+"n/&gt;!%'T"</f>
        <v>#VALUE!</v>
      </c>
      <c r="BY64" t="e">
        <f>'All regions'!G1589+"n/&gt;!%'U"</f>
        <v>#VALUE!</v>
      </c>
      <c r="BZ64" t="e">
        <f>'All regions'!H1589+"n/&gt;!%'V"</f>
        <v>#VALUE!</v>
      </c>
      <c r="CA64" t="e">
        <f>'All regions'!I1589+"n/&gt;!%'W"</f>
        <v>#VALUE!</v>
      </c>
      <c r="CB64" t="e">
        <f>'All regions'!J1589+"n/&gt;!%'X"</f>
        <v>#VALUE!</v>
      </c>
      <c r="CC64" t="e">
        <f>'All regions'!A1590+"n/&gt;!%'Y"</f>
        <v>#VALUE!</v>
      </c>
      <c r="CD64" t="e">
        <f>'All regions'!B1590+"n/&gt;!%'Z"</f>
        <v>#VALUE!</v>
      </c>
      <c r="CE64" t="e">
        <f>'All regions'!C1590+"n/&gt;!%'["</f>
        <v>#VALUE!</v>
      </c>
      <c r="CF64" t="e">
        <f>'All regions'!D1590+"n/&gt;!%'\"</f>
        <v>#VALUE!</v>
      </c>
      <c r="CG64" t="e">
        <f>'All regions'!E1590+"n/&gt;!%']"</f>
        <v>#VALUE!</v>
      </c>
      <c r="CH64" t="e">
        <f>'All regions'!F1590+"n/&gt;!%'^"</f>
        <v>#VALUE!</v>
      </c>
      <c r="CI64" t="e">
        <f>'All regions'!G1590+"n/&gt;!%'_"</f>
        <v>#VALUE!</v>
      </c>
      <c r="CJ64" t="e">
        <f>'All regions'!H1590+"n/&gt;!%'`"</f>
        <v>#VALUE!</v>
      </c>
      <c r="CK64" t="e">
        <f>'All regions'!I1590+"n/&gt;!%'a"</f>
        <v>#VALUE!</v>
      </c>
      <c r="CL64" t="e">
        <f>'All regions'!J1590+"n/&gt;!%'b"</f>
        <v>#VALUE!</v>
      </c>
      <c r="CM64" t="e">
        <f>'All regions'!A1591+"n/&gt;!%'c"</f>
        <v>#VALUE!</v>
      </c>
      <c r="CN64" t="e">
        <f>'All regions'!B1591+"n/&gt;!%'d"</f>
        <v>#VALUE!</v>
      </c>
      <c r="CO64" t="e">
        <f>'All regions'!C1591+"n/&gt;!%'e"</f>
        <v>#VALUE!</v>
      </c>
      <c r="CP64" t="e">
        <f>'All regions'!D1591+"n/&gt;!%'f"</f>
        <v>#VALUE!</v>
      </c>
      <c r="CQ64" t="e">
        <f>'All regions'!E1591+"n/&gt;!%'g"</f>
        <v>#VALUE!</v>
      </c>
      <c r="CR64" t="e">
        <f>'All regions'!F1591+"n/&gt;!%'h"</f>
        <v>#VALUE!</v>
      </c>
      <c r="CS64" t="e">
        <f>'All regions'!G1591+"n/&gt;!%'i"</f>
        <v>#VALUE!</v>
      </c>
      <c r="CT64" t="e">
        <f>'All regions'!H1591+"n/&gt;!%'j"</f>
        <v>#VALUE!</v>
      </c>
      <c r="CU64" t="e">
        <f>'All regions'!I1591+"n/&gt;!%'k"</f>
        <v>#VALUE!</v>
      </c>
      <c r="CV64" t="e">
        <f>'All regions'!J1591+"n/&gt;!%'l"</f>
        <v>#VALUE!</v>
      </c>
      <c r="CW64" t="e">
        <f>'All regions'!A1592+"n/&gt;!%'m"</f>
        <v>#VALUE!</v>
      </c>
      <c r="CX64" t="e">
        <f>'All regions'!B1592+"n/&gt;!%'n"</f>
        <v>#VALUE!</v>
      </c>
      <c r="CY64" t="e">
        <f>'All regions'!C1592+"n/&gt;!%'o"</f>
        <v>#VALUE!</v>
      </c>
      <c r="CZ64" t="e">
        <f>'All regions'!D1592+"n/&gt;!%'p"</f>
        <v>#VALUE!</v>
      </c>
      <c r="DA64" t="e">
        <f>'All regions'!E1592+"n/&gt;!%'q"</f>
        <v>#VALUE!</v>
      </c>
      <c r="DB64" t="e">
        <f>'All regions'!F1592+"n/&gt;!%'r"</f>
        <v>#VALUE!</v>
      </c>
      <c r="DC64" t="e">
        <f>'All regions'!G1592+"n/&gt;!%'s"</f>
        <v>#VALUE!</v>
      </c>
      <c r="DD64" t="e">
        <f>'All regions'!H1592+"n/&gt;!%'t"</f>
        <v>#VALUE!</v>
      </c>
      <c r="DE64" t="e">
        <f>'All regions'!I1592+"n/&gt;!%'u"</f>
        <v>#VALUE!</v>
      </c>
      <c r="DF64" t="e">
        <f>'All regions'!J1592+"n/&gt;!%'v"</f>
        <v>#VALUE!</v>
      </c>
      <c r="DG64" t="e">
        <f>'All regions'!A1593+"n/&gt;!%'w"</f>
        <v>#VALUE!</v>
      </c>
      <c r="DH64" t="e">
        <f>'All regions'!B1593+"n/&gt;!%'x"</f>
        <v>#VALUE!</v>
      </c>
      <c r="DI64" t="e">
        <f>'All regions'!C1593+"n/&gt;!%'y"</f>
        <v>#VALUE!</v>
      </c>
      <c r="DJ64" t="e">
        <f>'All regions'!D1593+"n/&gt;!%'z"</f>
        <v>#VALUE!</v>
      </c>
      <c r="DK64" t="e">
        <f>'All regions'!E1593+"n/&gt;!%'{"</f>
        <v>#VALUE!</v>
      </c>
      <c r="DL64" t="e">
        <f>'All regions'!F1593+"n/&gt;!%'|"</f>
        <v>#VALUE!</v>
      </c>
      <c r="DM64" t="e">
        <f>'All regions'!G1593+"n/&gt;!%'}"</f>
        <v>#VALUE!</v>
      </c>
      <c r="DN64" t="e">
        <f>'All regions'!H1593+"n/&gt;!%'~"</f>
        <v>#VALUE!</v>
      </c>
      <c r="DO64" t="e">
        <f>'All regions'!I1593+"n/&gt;!%(#"</f>
        <v>#VALUE!</v>
      </c>
      <c r="DP64" t="e">
        <f>'All regions'!J1593+"n/&gt;!%($"</f>
        <v>#VALUE!</v>
      </c>
      <c r="DQ64" t="e">
        <f>'All regions'!A1594+"n/&gt;!%(%"</f>
        <v>#VALUE!</v>
      </c>
      <c r="DR64" t="e">
        <f>'All regions'!B1594+"n/&gt;!%(&amp;"</f>
        <v>#VALUE!</v>
      </c>
      <c r="DS64" t="e">
        <f>'All regions'!C1594+"n/&gt;!%('"</f>
        <v>#VALUE!</v>
      </c>
      <c r="DT64" t="e">
        <f>'All regions'!D1594+"n/&gt;!%(("</f>
        <v>#VALUE!</v>
      </c>
      <c r="DU64" t="e">
        <f>'All regions'!E1594+"n/&gt;!%()"</f>
        <v>#VALUE!</v>
      </c>
      <c r="DV64" t="e">
        <f>'All regions'!F1594+"n/&gt;!%(."</f>
        <v>#VALUE!</v>
      </c>
      <c r="DW64" t="e">
        <f>'All regions'!G1594+"n/&gt;!%(/"</f>
        <v>#VALUE!</v>
      </c>
      <c r="DX64" t="e">
        <f>'All regions'!H1594+"n/&gt;!%(0"</f>
        <v>#VALUE!</v>
      </c>
      <c r="DY64" t="e">
        <f>'All regions'!I1594+"n/&gt;!%(1"</f>
        <v>#VALUE!</v>
      </c>
      <c r="DZ64" t="e">
        <f>'All regions'!J1594+"n/&gt;!%(2"</f>
        <v>#VALUE!</v>
      </c>
      <c r="EA64" t="e">
        <f>'All regions'!A1595+"n/&gt;!%(3"</f>
        <v>#VALUE!</v>
      </c>
      <c r="EB64" t="e">
        <f>'All regions'!B1595+"n/&gt;!%(4"</f>
        <v>#VALUE!</v>
      </c>
      <c r="EC64" t="e">
        <f>'All regions'!C1595+"n/&gt;!%(5"</f>
        <v>#VALUE!</v>
      </c>
      <c r="ED64" t="e">
        <f>'All regions'!D1595+"n/&gt;!%(6"</f>
        <v>#VALUE!</v>
      </c>
      <c r="EE64" t="e">
        <f>'All regions'!E1595+"n/&gt;!%(7"</f>
        <v>#VALUE!</v>
      </c>
      <c r="EF64" t="e">
        <f>'All regions'!F1595+"n/&gt;!%(8"</f>
        <v>#VALUE!</v>
      </c>
      <c r="EG64" t="e">
        <f>'All regions'!G1595+"n/&gt;!%(9"</f>
        <v>#VALUE!</v>
      </c>
      <c r="EH64" t="e">
        <f>'All regions'!H1595+"n/&gt;!%(:"</f>
        <v>#VALUE!</v>
      </c>
      <c r="EI64" t="e">
        <f>'All regions'!I1595+"n/&gt;!%(;"</f>
        <v>#VALUE!</v>
      </c>
      <c r="EJ64" t="e">
        <f>'All regions'!J1595+"n/&gt;!%(&lt;"</f>
        <v>#VALUE!</v>
      </c>
      <c r="EK64" t="e">
        <f>'All regions'!A1596+"n/&gt;!%(="</f>
        <v>#VALUE!</v>
      </c>
      <c r="EL64" t="e">
        <f>'All regions'!B1596+"n/&gt;!%(&gt;"</f>
        <v>#VALUE!</v>
      </c>
      <c r="EM64" t="e">
        <f>'All regions'!C1596+"n/&gt;!%(?"</f>
        <v>#VALUE!</v>
      </c>
      <c r="EN64" t="e">
        <f>'All regions'!D1596+"n/&gt;!%(@"</f>
        <v>#VALUE!</v>
      </c>
      <c r="EO64" t="e">
        <f>'All regions'!E1596+"n/&gt;!%(A"</f>
        <v>#VALUE!</v>
      </c>
      <c r="EP64" t="e">
        <f>'All regions'!F1596+"n/&gt;!%(B"</f>
        <v>#VALUE!</v>
      </c>
      <c r="EQ64" t="e">
        <f>'All regions'!G1596+"n/&gt;!%(C"</f>
        <v>#VALUE!</v>
      </c>
      <c r="ER64" t="e">
        <f>'All regions'!H1596+"n/&gt;!%(D"</f>
        <v>#VALUE!</v>
      </c>
      <c r="ES64" t="e">
        <f>'All regions'!I1596+"n/&gt;!%(E"</f>
        <v>#VALUE!</v>
      </c>
      <c r="ET64" t="e">
        <f>'All regions'!J1596+"n/&gt;!%(F"</f>
        <v>#VALUE!</v>
      </c>
      <c r="EU64" t="e">
        <f>'All regions'!A1597+"n/&gt;!%(G"</f>
        <v>#VALUE!</v>
      </c>
      <c r="EV64" t="e">
        <f>'All regions'!B1597+"n/&gt;!%(H"</f>
        <v>#VALUE!</v>
      </c>
      <c r="EW64" t="e">
        <f>'All regions'!C1597+"n/&gt;!%(I"</f>
        <v>#VALUE!</v>
      </c>
      <c r="EX64" t="e">
        <f>'All regions'!D1597+"n/&gt;!%(J"</f>
        <v>#VALUE!</v>
      </c>
      <c r="EY64" t="e">
        <f>'All regions'!E1597+"n/&gt;!%(K"</f>
        <v>#VALUE!</v>
      </c>
      <c r="EZ64" t="e">
        <f>'All regions'!F1597+"n/&gt;!%(L"</f>
        <v>#VALUE!</v>
      </c>
      <c r="FA64" t="e">
        <f>'All regions'!G1597+"n/&gt;!%(M"</f>
        <v>#VALUE!</v>
      </c>
      <c r="FB64" t="e">
        <f>'All regions'!H1597+"n/&gt;!%(N"</f>
        <v>#VALUE!</v>
      </c>
      <c r="FC64" t="e">
        <f>'All regions'!I1597+"n/&gt;!%(O"</f>
        <v>#VALUE!</v>
      </c>
      <c r="FD64" t="e">
        <f>'All regions'!J1597+"n/&gt;!%(P"</f>
        <v>#VALUE!</v>
      </c>
      <c r="FE64" t="e">
        <f>'All regions'!A1598+"n/&gt;!%(Q"</f>
        <v>#VALUE!</v>
      </c>
      <c r="FF64" t="e">
        <f>'All regions'!B1598+"n/&gt;!%(R"</f>
        <v>#VALUE!</v>
      </c>
      <c r="FG64" t="e">
        <f>'All regions'!C1598+"n/&gt;!%(S"</f>
        <v>#VALUE!</v>
      </c>
      <c r="FH64" t="e">
        <f>'All regions'!D1598+"n/&gt;!%(T"</f>
        <v>#VALUE!</v>
      </c>
      <c r="FI64" t="e">
        <f>'All regions'!E1598+"n/&gt;!%(U"</f>
        <v>#VALUE!</v>
      </c>
      <c r="FJ64" t="e">
        <f>'All regions'!F1598+"n/&gt;!%(V"</f>
        <v>#VALUE!</v>
      </c>
      <c r="FK64" t="e">
        <f>'All regions'!G1598+"n/&gt;!%(W"</f>
        <v>#VALUE!</v>
      </c>
      <c r="FL64" t="e">
        <f>'All regions'!H1598+"n/&gt;!%(X"</f>
        <v>#VALUE!</v>
      </c>
      <c r="FM64" t="e">
        <f>'All regions'!I1598+"n/&gt;!%(Y"</f>
        <v>#VALUE!</v>
      </c>
      <c r="FN64" t="e">
        <f>'All regions'!J1598+"n/&gt;!%(Z"</f>
        <v>#VALUE!</v>
      </c>
      <c r="FO64" t="e">
        <f>'All regions'!A1599+"n/&gt;!%(["</f>
        <v>#VALUE!</v>
      </c>
      <c r="FP64" t="e">
        <f>'All regions'!B1599+"n/&gt;!%(\"</f>
        <v>#VALUE!</v>
      </c>
      <c r="FQ64" t="e">
        <f>'All regions'!C1599+"n/&gt;!%(]"</f>
        <v>#VALUE!</v>
      </c>
      <c r="FR64" t="e">
        <f>'All regions'!D1599+"n/&gt;!%(^"</f>
        <v>#VALUE!</v>
      </c>
      <c r="FS64" t="e">
        <f>'All regions'!E1599+"n/&gt;!%(_"</f>
        <v>#VALUE!</v>
      </c>
      <c r="FT64" t="e">
        <f>'All regions'!F1599+"n/&gt;!%(`"</f>
        <v>#VALUE!</v>
      </c>
      <c r="FU64" t="e">
        <f>'All regions'!G1599+"n/&gt;!%(a"</f>
        <v>#VALUE!</v>
      </c>
      <c r="FV64" t="e">
        <f>'All regions'!H1599+"n/&gt;!%(b"</f>
        <v>#VALUE!</v>
      </c>
      <c r="FW64" t="e">
        <f>'All regions'!I1599+"n/&gt;!%(c"</f>
        <v>#VALUE!</v>
      </c>
      <c r="FX64" t="e">
        <f>'All regions'!J1599+"n/&gt;!%(d"</f>
        <v>#VALUE!</v>
      </c>
      <c r="FY64" t="e">
        <f>'All regions'!A1600+"n/&gt;!%(e"</f>
        <v>#VALUE!</v>
      </c>
      <c r="FZ64" t="e">
        <f>'All regions'!B1600+"n/&gt;!%(f"</f>
        <v>#VALUE!</v>
      </c>
      <c r="GA64" t="e">
        <f>'All regions'!C1600+"n/&gt;!%(g"</f>
        <v>#VALUE!</v>
      </c>
      <c r="GB64" t="e">
        <f>'All regions'!D1600+"n/&gt;!%(h"</f>
        <v>#VALUE!</v>
      </c>
      <c r="GC64" t="e">
        <f>'All regions'!E1600+"n/&gt;!%(i"</f>
        <v>#VALUE!</v>
      </c>
      <c r="GD64" t="e">
        <f>'All regions'!F1600+"n/&gt;!%(j"</f>
        <v>#VALUE!</v>
      </c>
      <c r="GE64" t="e">
        <f>'All regions'!G1600+"n/&gt;!%(k"</f>
        <v>#VALUE!</v>
      </c>
      <c r="GF64" t="e">
        <f>'All regions'!H1600+"n/&gt;!%(l"</f>
        <v>#VALUE!</v>
      </c>
      <c r="GG64" t="e">
        <f>'All regions'!I1600+"n/&gt;!%(m"</f>
        <v>#VALUE!</v>
      </c>
      <c r="GH64" t="e">
        <f>'All regions'!J1600+"n/&gt;!%(n"</f>
        <v>#VALUE!</v>
      </c>
      <c r="GI64" t="e">
        <f>'All regions'!A1601+"n/&gt;!%(o"</f>
        <v>#VALUE!</v>
      </c>
      <c r="GJ64" t="e">
        <f>'All regions'!B1601+"n/&gt;!%(p"</f>
        <v>#VALUE!</v>
      </c>
      <c r="GK64" t="e">
        <f>'All regions'!C1601+"n/&gt;!%(q"</f>
        <v>#VALUE!</v>
      </c>
      <c r="GL64" t="e">
        <f>'All regions'!D1601+"n/&gt;!%(r"</f>
        <v>#VALUE!</v>
      </c>
      <c r="GM64" t="e">
        <f>'All regions'!E1601+"n/&gt;!%(s"</f>
        <v>#VALUE!</v>
      </c>
      <c r="GN64" t="e">
        <f>'All regions'!F1601+"n/&gt;!%(t"</f>
        <v>#VALUE!</v>
      </c>
      <c r="GO64" t="e">
        <f>'All regions'!G1601+"n/&gt;!%(u"</f>
        <v>#VALUE!</v>
      </c>
      <c r="GP64" t="e">
        <f>'All regions'!H1601+"n/&gt;!%(v"</f>
        <v>#VALUE!</v>
      </c>
      <c r="GQ64" t="e">
        <f>'All regions'!I1601+"n/&gt;!%(w"</f>
        <v>#VALUE!</v>
      </c>
      <c r="GR64" t="e">
        <f>'All regions'!J1601+"n/&gt;!%(x"</f>
        <v>#VALUE!</v>
      </c>
      <c r="GS64" t="e">
        <f>'All regions'!A1602+"n/&gt;!%(y"</f>
        <v>#VALUE!</v>
      </c>
      <c r="GT64" t="e">
        <f>'All regions'!B1602+"n/&gt;!%(z"</f>
        <v>#VALUE!</v>
      </c>
      <c r="GU64" t="e">
        <f>'All regions'!C1602+"n/&gt;!%({"</f>
        <v>#VALUE!</v>
      </c>
      <c r="GV64" t="e">
        <f>'All regions'!D1602+"n/&gt;!%(|"</f>
        <v>#VALUE!</v>
      </c>
      <c r="GW64" t="e">
        <f>'All regions'!E1602+"n/&gt;!%(}"</f>
        <v>#VALUE!</v>
      </c>
      <c r="GX64" t="e">
        <f>'All regions'!F1602+"n/&gt;!%(~"</f>
        <v>#VALUE!</v>
      </c>
      <c r="GY64" t="e">
        <f>'All regions'!G1602+"n/&gt;!%)#"</f>
        <v>#VALUE!</v>
      </c>
      <c r="GZ64" t="e">
        <f>'All regions'!H1602+"n/&gt;!%)$"</f>
        <v>#VALUE!</v>
      </c>
      <c r="HA64" t="e">
        <f>'All regions'!I1602+"n/&gt;!%)%"</f>
        <v>#VALUE!</v>
      </c>
      <c r="HB64" t="e">
        <f>'All regions'!J1602+"n/&gt;!%)&amp;"</f>
        <v>#VALUE!</v>
      </c>
      <c r="HC64" t="e">
        <f>'All regions'!A1603+"n/&gt;!%)'"</f>
        <v>#VALUE!</v>
      </c>
      <c r="HD64" t="e">
        <f>'All regions'!B1603+"n/&gt;!%)("</f>
        <v>#VALUE!</v>
      </c>
      <c r="HE64" t="e">
        <f>'All regions'!C1603+"n/&gt;!%))"</f>
        <v>#VALUE!</v>
      </c>
      <c r="HF64" t="e">
        <f>'All regions'!D1603+"n/&gt;!%)."</f>
        <v>#VALUE!</v>
      </c>
      <c r="HG64" t="e">
        <f>'All regions'!E1603+"n/&gt;!%)/"</f>
        <v>#VALUE!</v>
      </c>
      <c r="HH64" t="e">
        <f>'All regions'!F1603+"n/&gt;!%)0"</f>
        <v>#VALUE!</v>
      </c>
      <c r="HI64" t="e">
        <f>'All regions'!G1603+"n/&gt;!%)1"</f>
        <v>#VALUE!</v>
      </c>
      <c r="HJ64" t="e">
        <f>'All regions'!H1603+"n/&gt;!%)2"</f>
        <v>#VALUE!</v>
      </c>
      <c r="HK64" t="e">
        <f>'All regions'!I1603+"n/&gt;!%)3"</f>
        <v>#VALUE!</v>
      </c>
      <c r="HL64" t="e">
        <f>'All regions'!J1603+"n/&gt;!%)4"</f>
        <v>#VALUE!</v>
      </c>
      <c r="HM64" t="e">
        <f>'All regions'!A1604+"n/&gt;!%)5"</f>
        <v>#VALUE!</v>
      </c>
      <c r="HN64" t="e">
        <f>'All regions'!B1604+"n/&gt;!%)6"</f>
        <v>#VALUE!</v>
      </c>
      <c r="HO64" t="e">
        <f>'All regions'!C1604+"n/&gt;!%)7"</f>
        <v>#VALUE!</v>
      </c>
      <c r="HP64" t="e">
        <f>'All regions'!D1604+"n/&gt;!%)8"</f>
        <v>#VALUE!</v>
      </c>
      <c r="HQ64" t="e">
        <f>'All regions'!E1604+"n/&gt;!%)9"</f>
        <v>#VALUE!</v>
      </c>
      <c r="HR64" t="e">
        <f>'All regions'!F1604+"n/&gt;!%):"</f>
        <v>#VALUE!</v>
      </c>
      <c r="HS64" t="e">
        <f>'All regions'!G1604+"n/&gt;!%);"</f>
        <v>#VALUE!</v>
      </c>
      <c r="HT64" t="e">
        <f>'All regions'!H1604+"n/&gt;!%)&lt;"</f>
        <v>#VALUE!</v>
      </c>
      <c r="HU64" t="e">
        <f>'All regions'!I1604+"n/&gt;!%)="</f>
        <v>#VALUE!</v>
      </c>
      <c r="HV64" t="e">
        <f>'All regions'!J1604+"n/&gt;!%)&gt;"</f>
        <v>#VALUE!</v>
      </c>
      <c r="HW64" t="e">
        <f>'All regions'!A1605+"n/&gt;!%)?"</f>
        <v>#VALUE!</v>
      </c>
      <c r="HX64" t="e">
        <f>'All regions'!B1605+"n/&gt;!%)@"</f>
        <v>#VALUE!</v>
      </c>
      <c r="HY64" t="e">
        <f>'All regions'!C1605+"n/&gt;!%)A"</f>
        <v>#VALUE!</v>
      </c>
      <c r="HZ64" t="e">
        <f>'All regions'!D1605+"n/&gt;!%)B"</f>
        <v>#VALUE!</v>
      </c>
      <c r="IA64" t="e">
        <f>'All regions'!E1605+"n/&gt;!%)C"</f>
        <v>#VALUE!</v>
      </c>
      <c r="IB64" t="e">
        <f>'All regions'!F1605+"n/&gt;!%)D"</f>
        <v>#VALUE!</v>
      </c>
      <c r="IC64" t="e">
        <f>'All regions'!G1605+"n/&gt;!%)E"</f>
        <v>#VALUE!</v>
      </c>
      <c r="ID64" t="e">
        <f>'All regions'!H1605+"n/&gt;!%)F"</f>
        <v>#VALUE!</v>
      </c>
      <c r="IE64" t="e">
        <f>'All regions'!I1605+"n/&gt;!%)G"</f>
        <v>#VALUE!</v>
      </c>
      <c r="IF64" t="e">
        <f>'All regions'!J1605+"n/&gt;!%)H"</f>
        <v>#VALUE!</v>
      </c>
      <c r="IG64" t="e">
        <f>'All regions'!A1606+"n/&gt;!%)I"</f>
        <v>#VALUE!</v>
      </c>
      <c r="IH64" t="e">
        <f>'All regions'!B1606+"n/&gt;!%)J"</f>
        <v>#VALUE!</v>
      </c>
      <c r="II64" t="e">
        <f>'All regions'!C1606+"n/&gt;!%)K"</f>
        <v>#VALUE!</v>
      </c>
      <c r="IJ64" t="e">
        <f>'All regions'!D1606+"n/&gt;!%)L"</f>
        <v>#VALUE!</v>
      </c>
      <c r="IK64" t="e">
        <f>'All regions'!E1606+"n/&gt;!%)M"</f>
        <v>#VALUE!</v>
      </c>
      <c r="IL64" t="e">
        <f>'All regions'!F1606+"n/&gt;!%)N"</f>
        <v>#VALUE!</v>
      </c>
      <c r="IM64" t="e">
        <f>'All regions'!G1606+"n/&gt;!%)O"</f>
        <v>#VALUE!</v>
      </c>
      <c r="IN64" t="e">
        <f>'All regions'!H1606+"n/&gt;!%)P"</f>
        <v>#VALUE!</v>
      </c>
      <c r="IO64" t="e">
        <f>'All regions'!I1606+"n/&gt;!%)Q"</f>
        <v>#VALUE!</v>
      </c>
      <c r="IP64" t="e">
        <f>'All regions'!J1606+"n/&gt;!%)R"</f>
        <v>#VALUE!</v>
      </c>
      <c r="IQ64" t="e">
        <f>'All regions'!A1607+"n/&gt;!%)S"</f>
        <v>#VALUE!</v>
      </c>
      <c r="IR64" t="e">
        <f>'All regions'!B1607+"n/&gt;!%)T"</f>
        <v>#VALUE!</v>
      </c>
      <c r="IS64" t="e">
        <f>'All regions'!C1607+"n/&gt;!%)U"</f>
        <v>#VALUE!</v>
      </c>
      <c r="IT64" t="e">
        <f>'All regions'!D1607+"n/&gt;!%)V"</f>
        <v>#VALUE!</v>
      </c>
      <c r="IU64" t="e">
        <f>'All regions'!E1607+"n/&gt;!%)W"</f>
        <v>#VALUE!</v>
      </c>
      <c r="IV64" t="e">
        <f>'All regions'!F1607+"n/&gt;!%)X"</f>
        <v>#VALUE!</v>
      </c>
    </row>
    <row r="65" spans="6:256" x14ac:dyDescent="0.35">
      <c r="F65" t="e">
        <f>'All regions'!G1607+"n/&gt;!%)Y"</f>
        <v>#VALUE!</v>
      </c>
      <c r="G65" t="e">
        <f>'All regions'!H1607+"n/&gt;!%)Z"</f>
        <v>#VALUE!</v>
      </c>
      <c r="H65" t="e">
        <f>'All regions'!I1607+"n/&gt;!%)["</f>
        <v>#VALUE!</v>
      </c>
      <c r="I65" t="e">
        <f>'All regions'!J1607+"n/&gt;!%)\"</f>
        <v>#VALUE!</v>
      </c>
      <c r="J65" t="e">
        <f>'All regions'!A1608+"n/&gt;!%)]"</f>
        <v>#VALUE!</v>
      </c>
      <c r="K65" t="e">
        <f>'All regions'!B1608+"n/&gt;!%)^"</f>
        <v>#VALUE!</v>
      </c>
      <c r="L65" t="e">
        <f>'All regions'!C1608+"n/&gt;!%)_"</f>
        <v>#VALUE!</v>
      </c>
      <c r="M65" t="e">
        <f>'All regions'!D1608+"n/&gt;!%)`"</f>
        <v>#VALUE!</v>
      </c>
      <c r="N65" t="e">
        <f>'All regions'!E1608+"n/&gt;!%)a"</f>
        <v>#VALUE!</v>
      </c>
      <c r="O65" t="e">
        <f>'All regions'!F1608+"n/&gt;!%)b"</f>
        <v>#VALUE!</v>
      </c>
      <c r="P65" t="e">
        <f>'All regions'!G1608+"n/&gt;!%)c"</f>
        <v>#VALUE!</v>
      </c>
      <c r="Q65" t="e">
        <f>'All regions'!H1608+"n/&gt;!%)d"</f>
        <v>#VALUE!</v>
      </c>
      <c r="R65" t="e">
        <f>'All regions'!I1608+"n/&gt;!%)e"</f>
        <v>#VALUE!</v>
      </c>
      <c r="S65" t="e">
        <f>'All regions'!J1608+"n/&gt;!%)f"</f>
        <v>#VALUE!</v>
      </c>
      <c r="T65" t="e">
        <f>'All regions'!A1609+"n/&gt;!%)g"</f>
        <v>#VALUE!</v>
      </c>
      <c r="U65" t="e">
        <f>'All regions'!B1609+"n/&gt;!%)h"</f>
        <v>#VALUE!</v>
      </c>
      <c r="V65" t="e">
        <f>'All regions'!C1609+"n/&gt;!%)i"</f>
        <v>#VALUE!</v>
      </c>
      <c r="W65" t="e">
        <f>'All regions'!D1609+"n/&gt;!%)j"</f>
        <v>#VALUE!</v>
      </c>
      <c r="X65" t="e">
        <f>'All regions'!E1609+"n/&gt;!%)k"</f>
        <v>#VALUE!</v>
      </c>
      <c r="Y65" t="e">
        <f>'All regions'!F1609+"n/&gt;!%)l"</f>
        <v>#VALUE!</v>
      </c>
      <c r="Z65" t="e">
        <f>'All regions'!G1609+"n/&gt;!%)m"</f>
        <v>#VALUE!</v>
      </c>
      <c r="AA65" t="e">
        <f>'All regions'!H1609+"n/&gt;!%)n"</f>
        <v>#VALUE!</v>
      </c>
      <c r="AB65" t="e">
        <f>'All regions'!I1609+"n/&gt;!%)o"</f>
        <v>#VALUE!</v>
      </c>
      <c r="AC65" t="e">
        <f>'All regions'!J1609+"n/&gt;!%)p"</f>
        <v>#VALUE!</v>
      </c>
      <c r="AD65" t="e">
        <f>'All regions'!A1610+"n/&gt;!%)q"</f>
        <v>#VALUE!</v>
      </c>
      <c r="AE65" t="e">
        <f>'All regions'!B1610+"n/&gt;!%)r"</f>
        <v>#VALUE!</v>
      </c>
      <c r="AF65" t="e">
        <f>'All regions'!C1610+"n/&gt;!%)s"</f>
        <v>#VALUE!</v>
      </c>
      <c r="AG65" t="e">
        <f>'All regions'!D1610+"n/&gt;!%)t"</f>
        <v>#VALUE!</v>
      </c>
      <c r="AH65" t="e">
        <f>'All regions'!E1610+"n/&gt;!%)u"</f>
        <v>#VALUE!</v>
      </c>
      <c r="AI65" t="e">
        <f>'All regions'!F1610+"n/&gt;!%)v"</f>
        <v>#VALUE!</v>
      </c>
      <c r="AJ65" t="e">
        <f>'All regions'!G1610+"n/&gt;!%)w"</f>
        <v>#VALUE!</v>
      </c>
      <c r="AK65" t="e">
        <f>'All regions'!H1610+"n/&gt;!%)x"</f>
        <v>#VALUE!</v>
      </c>
      <c r="AL65" t="e">
        <f>'All regions'!I1610+"n/&gt;!%)y"</f>
        <v>#VALUE!</v>
      </c>
      <c r="AM65" t="e">
        <f>'All regions'!J1610+"n/&gt;!%)z"</f>
        <v>#VALUE!</v>
      </c>
      <c r="AN65" t="e">
        <f>'All regions'!A1611+"n/&gt;!%){"</f>
        <v>#VALUE!</v>
      </c>
      <c r="AO65" t="e">
        <f>'All regions'!B1611+"n/&gt;!%)|"</f>
        <v>#VALUE!</v>
      </c>
      <c r="AP65" t="e">
        <f>'All regions'!C1611+"n/&gt;!%)}"</f>
        <v>#VALUE!</v>
      </c>
      <c r="AQ65" t="e">
        <f>'All regions'!D1611+"n/&gt;!%)~"</f>
        <v>#VALUE!</v>
      </c>
      <c r="AR65" t="e">
        <f>'All regions'!E1611+"n/&gt;!%.#"</f>
        <v>#VALUE!</v>
      </c>
      <c r="AS65" t="e">
        <f>'All regions'!F1611+"n/&gt;!%.$"</f>
        <v>#VALUE!</v>
      </c>
      <c r="AT65" t="e">
        <f>'All regions'!G1611+"n/&gt;!%.%"</f>
        <v>#VALUE!</v>
      </c>
      <c r="AU65" t="e">
        <f>'All regions'!H1611+"n/&gt;!%.&amp;"</f>
        <v>#VALUE!</v>
      </c>
      <c r="AV65" t="e">
        <f>'All regions'!I1611+"n/&gt;!%.'"</f>
        <v>#VALUE!</v>
      </c>
      <c r="AW65" t="e">
        <f>'All regions'!J1611+"n/&gt;!%.("</f>
        <v>#VALUE!</v>
      </c>
      <c r="AX65" t="e">
        <f>'All regions'!A1612+"n/&gt;!%.)"</f>
        <v>#VALUE!</v>
      </c>
      <c r="AY65" t="e">
        <f>'All regions'!B1612+"n/&gt;!%.."</f>
        <v>#VALUE!</v>
      </c>
      <c r="AZ65" t="e">
        <f>'All regions'!C1612+"n/&gt;!%./"</f>
        <v>#VALUE!</v>
      </c>
      <c r="BA65" t="e">
        <f>'All regions'!D1612+"n/&gt;!%.0"</f>
        <v>#VALUE!</v>
      </c>
      <c r="BB65" t="e">
        <f>'All regions'!E1612+"n/&gt;!%.1"</f>
        <v>#VALUE!</v>
      </c>
      <c r="BC65" t="e">
        <f>'All regions'!F1612+"n/&gt;!%.2"</f>
        <v>#VALUE!</v>
      </c>
      <c r="BD65" t="e">
        <f>'All regions'!G1612+"n/&gt;!%.3"</f>
        <v>#VALUE!</v>
      </c>
      <c r="BE65" t="e">
        <f>'All regions'!H1612+"n/&gt;!%.4"</f>
        <v>#VALUE!</v>
      </c>
      <c r="BF65" t="e">
        <f>'All regions'!I1612+"n/&gt;!%.5"</f>
        <v>#VALUE!</v>
      </c>
      <c r="BG65" t="e">
        <f>'All regions'!J1612+"n/&gt;!%.6"</f>
        <v>#VALUE!</v>
      </c>
      <c r="BH65" t="e">
        <f>'All regions'!A1613+"n/&gt;!%.7"</f>
        <v>#VALUE!</v>
      </c>
      <c r="BI65" t="e">
        <f>'All regions'!B1613+"n/&gt;!%.8"</f>
        <v>#VALUE!</v>
      </c>
      <c r="BJ65" t="e">
        <f>'All regions'!C1613+"n/&gt;!%.9"</f>
        <v>#VALUE!</v>
      </c>
      <c r="BK65" t="e">
        <f>'All regions'!D1613+"n/&gt;!%.:"</f>
        <v>#VALUE!</v>
      </c>
      <c r="BL65" t="e">
        <f>'All regions'!E1613+"n/&gt;!%.;"</f>
        <v>#VALUE!</v>
      </c>
      <c r="BM65" t="e">
        <f>'All regions'!F1613+"n/&gt;!%.&lt;"</f>
        <v>#VALUE!</v>
      </c>
      <c r="BN65" t="e">
        <f>'All regions'!G1613+"n/&gt;!%.="</f>
        <v>#VALUE!</v>
      </c>
      <c r="BO65" t="e">
        <f>'All regions'!H1613+"n/&gt;!%.&gt;"</f>
        <v>#VALUE!</v>
      </c>
      <c r="BP65" t="e">
        <f>'All regions'!I1613+"n/&gt;!%.?"</f>
        <v>#VALUE!</v>
      </c>
      <c r="BQ65" t="e">
        <f>'All regions'!J1613+"n/&gt;!%.@"</f>
        <v>#VALUE!</v>
      </c>
      <c r="BR65" t="e">
        <f>'All regions'!A1614+"n/&gt;!%.A"</f>
        <v>#VALUE!</v>
      </c>
      <c r="BS65" t="e">
        <f>'All regions'!B1614+"n/&gt;!%.B"</f>
        <v>#VALUE!</v>
      </c>
      <c r="BT65" t="e">
        <f>'All regions'!C1614+"n/&gt;!%.C"</f>
        <v>#VALUE!</v>
      </c>
      <c r="BU65" t="e">
        <f>'All regions'!D1614+"n/&gt;!%.D"</f>
        <v>#VALUE!</v>
      </c>
      <c r="BV65" t="e">
        <f>'All regions'!E1614+"n/&gt;!%.E"</f>
        <v>#VALUE!</v>
      </c>
      <c r="BW65" t="e">
        <f>'All regions'!F1614+"n/&gt;!%.F"</f>
        <v>#VALUE!</v>
      </c>
      <c r="BX65" t="e">
        <f>'All regions'!G1614+"n/&gt;!%.G"</f>
        <v>#VALUE!</v>
      </c>
      <c r="BY65" t="e">
        <f>'All regions'!H1614+"n/&gt;!%.H"</f>
        <v>#VALUE!</v>
      </c>
      <c r="BZ65" t="e">
        <f>'All regions'!I1614+"n/&gt;!%.I"</f>
        <v>#VALUE!</v>
      </c>
      <c r="CA65" t="e">
        <f>'All regions'!J1614+"n/&gt;!%.J"</f>
        <v>#VALUE!</v>
      </c>
      <c r="CB65" t="e">
        <f>'All regions'!A1615+"n/&gt;!%.K"</f>
        <v>#VALUE!</v>
      </c>
      <c r="CC65" t="e">
        <f>'All regions'!B1615+"n/&gt;!%.L"</f>
        <v>#VALUE!</v>
      </c>
      <c r="CD65" t="e">
        <f>'All regions'!C1615+"n/&gt;!%.M"</f>
        <v>#VALUE!</v>
      </c>
      <c r="CE65" t="e">
        <f>'All regions'!D1615+"n/&gt;!%.N"</f>
        <v>#VALUE!</v>
      </c>
      <c r="CF65" t="e">
        <f>'All regions'!E1615+"n/&gt;!%.O"</f>
        <v>#VALUE!</v>
      </c>
      <c r="CG65" t="e">
        <f>'All regions'!F1615+"n/&gt;!%.P"</f>
        <v>#VALUE!</v>
      </c>
      <c r="CH65" t="e">
        <f>'All regions'!G1615+"n/&gt;!%.Q"</f>
        <v>#VALUE!</v>
      </c>
      <c r="CI65" t="e">
        <f>'All regions'!H1615+"n/&gt;!%.R"</f>
        <v>#VALUE!</v>
      </c>
      <c r="CJ65" t="e">
        <f>'All regions'!I1615+"n/&gt;!%.S"</f>
        <v>#VALUE!</v>
      </c>
      <c r="CK65" t="e">
        <f>'All regions'!J1615+"n/&gt;!%.T"</f>
        <v>#VALUE!</v>
      </c>
      <c r="CL65" t="e">
        <f>'All regions'!A1616+"n/&gt;!%.U"</f>
        <v>#VALUE!</v>
      </c>
      <c r="CM65" t="e">
        <f>'All regions'!B1616+"n/&gt;!%.V"</f>
        <v>#VALUE!</v>
      </c>
      <c r="CN65" t="e">
        <f>'All regions'!C1616+"n/&gt;!%.W"</f>
        <v>#VALUE!</v>
      </c>
      <c r="CO65" t="e">
        <f>'All regions'!D1616+"n/&gt;!%.X"</f>
        <v>#VALUE!</v>
      </c>
      <c r="CP65" t="e">
        <f>'All regions'!E1616+"n/&gt;!%.Y"</f>
        <v>#VALUE!</v>
      </c>
      <c r="CQ65" t="e">
        <f>'All regions'!F1616+"n/&gt;!%.Z"</f>
        <v>#VALUE!</v>
      </c>
      <c r="CR65" t="e">
        <f>'All regions'!G1616+"n/&gt;!%.["</f>
        <v>#VALUE!</v>
      </c>
      <c r="CS65" t="e">
        <f>'All regions'!H1616+"n/&gt;!%.\"</f>
        <v>#VALUE!</v>
      </c>
      <c r="CT65" t="e">
        <f>'All regions'!I1616+"n/&gt;!%.]"</f>
        <v>#VALUE!</v>
      </c>
      <c r="CU65" t="e">
        <f>'All regions'!J1616+"n/&gt;!%.^"</f>
        <v>#VALUE!</v>
      </c>
      <c r="CV65" t="e">
        <f>'All regions'!A1617+"n/&gt;!%._"</f>
        <v>#VALUE!</v>
      </c>
      <c r="CW65" t="e">
        <f>'All regions'!B1617+"n/&gt;!%.`"</f>
        <v>#VALUE!</v>
      </c>
      <c r="CX65" t="e">
        <f>'All regions'!C1617+"n/&gt;!%.a"</f>
        <v>#VALUE!</v>
      </c>
      <c r="CY65" t="e">
        <f>'All regions'!D1617+"n/&gt;!%.b"</f>
        <v>#VALUE!</v>
      </c>
      <c r="CZ65" t="e">
        <f>'All regions'!E1617+"n/&gt;!%.c"</f>
        <v>#VALUE!</v>
      </c>
      <c r="DA65" t="e">
        <f>'All regions'!F1617+"n/&gt;!%.d"</f>
        <v>#VALUE!</v>
      </c>
      <c r="DB65" t="e">
        <f>'All regions'!G1617+"n/&gt;!%.e"</f>
        <v>#VALUE!</v>
      </c>
      <c r="DC65" t="e">
        <f>'All regions'!H1617+"n/&gt;!%.f"</f>
        <v>#VALUE!</v>
      </c>
      <c r="DD65" t="e">
        <f>'All regions'!I1617+"n/&gt;!%.g"</f>
        <v>#VALUE!</v>
      </c>
      <c r="DE65" t="e">
        <f>'All regions'!J1617+"n/&gt;!%.h"</f>
        <v>#VALUE!</v>
      </c>
      <c r="DF65" t="e">
        <f>'All regions'!A1618+"n/&gt;!%.i"</f>
        <v>#VALUE!</v>
      </c>
      <c r="DG65" t="e">
        <f>'All regions'!B1618+"n/&gt;!%.j"</f>
        <v>#VALUE!</v>
      </c>
      <c r="DH65" t="e">
        <f>'All regions'!C1618+"n/&gt;!%.k"</f>
        <v>#VALUE!</v>
      </c>
      <c r="DI65" t="e">
        <f>'All regions'!D1618+"n/&gt;!%.l"</f>
        <v>#VALUE!</v>
      </c>
      <c r="DJ65" t="e">
        <f>'All regions'!E1618+"n/&gt;!%.m"</f>
        <v>#VALUE!</v>
      </c>
      <c r="DK65" t="e">
        <f>'All regions'!F1618+"n/&gt;!%.n"</f>
        <v>#VALUE!</v>
      </c>
      <c r="DL65" t="e">
        <f>'All regions'!G1618+"n/&gt;!%.o"</f>
        <v>#VALUE!</v>
      </c>
      <c r="DM65" t="e">
        <f>'All regions'!H1618+"n/&gt;!%.p"</f>
        <v>#VALUE!</v>
      </c>
      <c r="DN65" t="e">
        <f>'All regions'!I1618+"n/&gt;!%.q"</f>
        <v>#VALUE!</v>
      </c>
      <c r="DO65" t="e">
        <f>'All regions'!J1618+"n/&gt;!%.r"</f>
        <v>#VALUE!</v>
      </c>
      <c r="DP65" t="e">
        <f>'All regions'!A1619+"n/&gt;!%.s"</f>
        <v>#VALUE!</v>
      </c>
      <c r="DQ65" t="e">
        <f>'All regions'!B1619+"n/&gt;!%.t"</f>
        <v>#VALUE!</v>
      </c>
      <c r="DR65" t="e">
        <f>'All regions'!C1619+"n/&gt;!%.u"</f>
        <v>#VALUE!</v>
      </c>
      <c r="DS65" t="e">
        <f>'All regions'!D1619+"n/&gt;!%.v"</f>
        <v>#VALUE!</v>
      </c>
      <c r="DT65" t="e">
        <f>'All regions'!E1619+"n/&gt;!%.w"</f>
        <v>#VALUE!</v>
      </c>
      <c r="DU65" t="e">
        <f>'All regions'!F1619+"n/&gt;!%.x"</f>
        <v>#VALUE!</v>
      </c>
      <c r="DV65" t="e">
        <f>'All regions'!G1619+"n/&gt;!%.y"</f>
        <v>#VALUE!</v>
      </c>
      <c r="DW65" t="e">
        <f>'All regions'!H1619+"n/&gt;!%.z"</f>
        <v>#VALUE!</v>
      </c>
      <c r="DX65" t="e">
        <f>'All regions'!I1619+"n/&gt;!%.{"</f>
        <v>#VALUE!</v>
      </c>
      <c r="DY65" t="e">
        <f>'All regions'!J1619+"n/&gt;!%.|"</f>
        <v>#VALUE!</v>
      </c>
      <c r="DZ65" t="e">
        <f>'All regions'!A1620+"n/&gt;!%.}"</f>
        <v>#VALUE!</v>
      </c>
      <c r="EA65" t="e">
        <f>'All regions'!B1620+"n/&gt;!%.~"</f>
        <v>#VALUE!</v>
      </c>
      <c r="EB65" t="e">
        <f>'All regions'!C1620+"n/&gt;!%/#"</f>
        <v>#VALUE!</v>
      </c>
      <c r="EC65" t="e">
        <f>'All regions'!D1620+"n/&gt;!%/$"</f>
        <v>#VALUE!</v>
      </c>
      <c r="ED65" t="e">
        <f>'All regions'!E1620+"n/&gt;!%/%"</f>
        <v>#VALUE!</v>
      </c>
      <c r="EE65" t="e">
        <f>'All regions'!F1620+"n/&gt;!%/&amp;"</f>
        <v>#VALUE!</v>
      </c>
      <c r="EF65" t="e">
        <f>'All regions'!G1620+"n/&gt;!%/'"</f>
        <v>#VALUE!</v>
      </c>
      <c r="EG65" t="e">
        <f>'All regions'!H1620+"n/&gt;!%/("</f>
        <v>#VALUE!</v>
      </c>
      <c r="EH65" t="e">
        <f>'All regions'!I1620+"n/&gt;!%/)"</f>
        <v>#VALUE!</v>
      </c>
      <c r="EI65" t="e">
        <f>'All regions'!J1620+"n/&gt;!%/."</f>
        <v>#VALUE!</v>
      </c>
      <c r="EJ65" t="e">
        <f>'All regions'!A1621+"n/&gt;!%//"</f>
        <v>#VALUE!</v>
      </c>
      <c r="EK65" t="e">
        <f>'All regions'!B1621+"n/&gt;!%/0"</f>
        <v>#VALUE!</v>
      </c>
      <c r="EL65" t="e">
        <f>'All regions'!C1621+"n/&gt;!%/1"</f>
        <v>#VALUE!</v>
      </c>
      <c r="EM65" t="e">
        <f>'All regions'!D1621+"n/&gt;!%/2"</f>
        <v>#VALUE!</v>
      </c>
      <c r="EN65" t="e">
        <f>'All regions'!E1621+"n/&gt;!%/3"</f>
        <v>#VALUE!</v>
      </c>
      <c r="EO65" t="e">
        <f>'All regions'!F1621+"n/&gt;!%/4"</f>
        <v>#VALUE!</v>
      </c>
      <c r="EP65" t="e">
        <f>'All regions'!G1621+"n/&gt;!%/5"</f>
        <v>#VALUE!</v>
      </c>
      <c r="EQ65" t="e">
        <f>'All regions'!H1621+"n/&gt;!%/6"</f>
        <v>#VALUE!</v>
      </c>
      <c r="ER65" t="e">
        <f>'All regions'!I1621+"n/&gt;!%/7"</f>
        <v>#VALUE!</v>
      </c>
      <c r="ES65" t="e">
        <f>'All regions'!J1621+"n/&gt;!%/8"</f>
        <v>#VALUE!</v>
      </c>
      <c r="ET65" t="e">
        <f>'All regions'!A1622+"n/&gt;!%/9"</f>
        <v>#VALUE!</v>
      </c>
      <c r="EU65" t="e">
        <f>'All regions'!B1622+"n/&gt;!%/:"</f>
        <v>#VALUE!</v>
      </c>
      <c r="EV65" t="e">
        <f>'All regions'!C1622+"n/&gt;!%/;"</f>
        <v>#VALUE!</v>
      </c>
      <c r="EW65" t="e">
        <f>'All regions'!D1622+"n/&gt;!%/&lt;"</f>
        <v>#VALUE!</v>
      </c>
      <c r="EX65" t="e">
        <f>'All regions'!E1622+"n/&gt;!%/="</f>
        <v>#VALUE!</v>
      </c>
      <c r="EY65" t="e">
        <f>'All regions'!F1622+"n/&gt;!%/&gt;"</f>
        <v>#VALUE!</v>
      </c>
      <c r="EZ65" t="e">
        <f>'All regions'!G1622+"n/&gt;!%/?"</f>
        <v>#VALUE!</v>
      </c>
      <c r="FA65" t="e">
        <f>'All regions'!H1622+"n/&gt;!%/@"</f>
        <v>#VALUE!</v>
      </c>
      <c r="FB65" t="e">
        <f>'All regions'!I1622+"n/&gt;!%/A"</f>
        <v>#VALUE!</v>
      </c>
      <c r="FC65" t="e">
        <f>'All regions'!J1622+"n/&gt;!%/B"</f>
        <v>#VALUE!</v>
      </c>
      <c r="FD65" t="e">
        <f>'All regions'!A1623+"n/&gt;!%/C"</f>
        <v>#VALUE!</v>
      </c>
      <c r="FE65" t="e">
        <f>'All regions'!B1623+"n/&gt;!%/D"</f>
        <v>#VALUE!</v>
      </c>
      <c r="FF65" t="e">
        <f>'All regions'!C1623+"n/&gt;!%/E"</f>
        <v>#VALUE!</v>
      </c>
      <c r="FG65" t="e">
        <f>'All regions'!D1623+"n/&gt;!%/F"</f>
        <v>#VALUE!</v>
      </c>
      <c r="FH65" t="e">
        <f>'All regions'!E1623+"n/&gt;!%/G"</f>
        <v>#VALUE!</v>
      </c>
      <c r="FI65" t="e">
        <f>'All regions'!F1623+"n/&gt;!%/H"</f>
        <v>#VALUE!</v>
      </c>
      <c r="FJ65" t="e">
        <f>'All regions'!G1623+"n/&gt;!%/I"</f>
        <v>#VALUE!</v>
      </c>
      <c r="FK65" t="e">
        <f>'All regions'!H1623+"n/&gt;!%/J"</f>
        <v>#VALUE!</v>
      </c>
      <c r="FL65" t="e">
        <f>'All regions'!I1623+"n/&gt;!%/K"</f>
        <v>#VALUE!</v>
      </c>
      <c r="FM65" t="e">
        <f>'All regions'!J1623+"n/&gt;!%/L"</f>
        <v>#VALUE!</v>
      </c>
      <c r="FN65" t="e">
        <f>'All regions'!A1624+"n/&gt;!%/M"</f>
        <v>#VALUE!</v>
      </c>
      <c r="FO65" t="e">
        <f>'All regions'!B1624+"n/&gt;!%/N"</f>
        <v>#VALUE!</v>
      </c>
      <c r="FP65" t="e">
        <f>'All regions'!C1624+"n/&gt;!%/O"</f>
        <v>#VALUE!</v>
      </c>
      <c r="FQ65" t="e">
        <f>'All regions'!D1624+"n/&gt;!%/P"</f>
        <v>#VALUE!</v>
      </c>
      <c r="FR65" t="e">
        <f>'All regions'!E1624+"n/&gt;!%/Q"</f>
        <v>#VALUE!</v>
      </c>
      <c r="FS65" t="e">
        <f>'All regions'!F1624+"n/&gt;!%/R"</f>
        <v>#VALUE!</v>
      </c>
      <c r="FT65" t="e">
        <f>'All regions'!G1624+"n/&gt;!%/S"</f>
        <v>#VALUE!</v>
      </c>
      <c r="FU65" t="e">
        <f>'All regions'!H1624+"n/&gt;!%/T"</f>
        <v>#VALUE!</v>
      </c>
      <c r="FV65" t="e">
        <f>'All regions'!I1624+"n/&gt;!%/U"</f>
        <v>#VALUE!</v>
      </c>
      <c r="FW65" t="e">
        <f>'All regions'!J1624+"n/&gt;!%/V"</f>
        <v>#VALUE!</v>
      </c>
      <c r="FX65" t="e">
        <f>'All regions'!A1625+"n/&gt;!%/W"</f>
        <v>#VALUE!</v>
      </c>
      <c r="FY65" t="e">
        <f>'All regions'!B1625+"n/&gt;!%/X"</f>
        <v>#VALUE!</v>
      </c>
      <c r="FZ65" t="e">
        <f>'All regions'!C1625+"n/&gt;!%/Y"</f>
        <v>#VALUE!</v>
      </c>
      <c r="GA65" t="e">
        <f>'All regions'!D1625+"n/&gt;!%/Z"</f>
        <v>#VALUE!</v>
      </c>
      <c r="GB65" t="e">
        <f>'All regions'!E1625+"n/&gt;!%/["</f>
        <v>#VALUE!</v>
      </c>
      <c r="GC65" t="e">
        <f>'All regions'!F1625+"n/&gt;!%/\"</f>
        <v>#VALUE!</v>
      </c>
      <c r="GD65" t="e">
        <f>'All regions'!G1625+"n/&gt;!%/]"</f>
        <v>#VALUE!</v>
      </c>
      <c r="GE65" t="e">
        <f>'All regions'!H1625+"n/&gt;!%/^"</f>
        <v>#VALUE!</v>
      </c>
      <c r="GF65" t="e">
        <f>'All regions'!I1625+"n/&gt;!%/_"</f>
        <v>#VALUE!</v>
      </c>
      <c r="GG65" t="e">
        <f>'All regions'!J1625+"n/&gt;!%/`"</f>
        <v>#VALUE!</v>
      </c>
      <c r="GH65" t="e">
        <f>'All regions'!A1626+"n/&gt;!%/a"</f>
        <v>#VALUE!</v>
      </c>
      <c r="GI65" t="e">
        <f>'All regions'!B1626+"n/&gt;!%/b"</f>
        <v>#VALUE!</v>
      </c>
      <c r="GJ65" t="e">
        <f>'All regions'!C1626+"n/&gt;!%/c"</f>
        <v>#VALUE!</v>
      </c>
      <c r="GK65" t="e">
        <f>'All regions'!D1626+"n/&gt;!%/d"</f>
        <v>#VALUE!</v>
      </c>
      <c r="GL65" t="e">
        <f>'All regions'!E1626+"n/&gt;!%/e"</f>
        <v>#VALUE!</v>
      </c>
      <c r="GM65" t="e">
        <f>'All regions'!F1626+"n/&gt;!%/f"</f>
        <v>#VALUE!</v>
      </c>
      <c r="GN65" t="e">
        <f>'All regions'!G1626+"n/&gt;!%/g"</f>
        <v>#VALUE!</v>
      </c>
      <c r="GO65" t="e">
        <f>'All regions'!H1626+"n/&gt;!%/h"</f>
        <v>#VALUE!</v>
      </c>
      <c r="GP65" t="e">
        <f>'All regions'!I1626+"n/&gt;!%/i"</f>
        <v>#VALUE!</v>
      </c>
      <c r="GQ65" t="e">
        <f>'All regions'!J1626+"n/&gt;!%/j"</f>
        <v>#VALUE!</v>
      </c>
      <c r="GR65" t="e">
        <f>'All regions'!A1627+"n/&gt;!%/k"</f>
        <v>#VALUE!</v>
      </c>
      <c r="GS65" t="e">
        <f>'All regions'!B1627+"n/&gt;!%/l"</f>
        <v>#VALUE!</v>
      </c>
      <c r="GT65" t="e">
        <f>'All regions'!C1627+"n/&gt;!%/m"</f>
        <v>#VALUE!</v>
      </c>
      <c r="GU65" t="e">
        <f>'All regions'!D1627+"n/&gt;!%/n"</f>
        <v>#VALUE!</v>
      </c>
      <c r="GV65" t="e">
        <f>'All regions'!E1627+"n/&gt;!%/o"</f>
        <v>#VALUE!</v>
      </c>
      <c r="GW65" t="e">
        <f>'All regions'!F1627+"n/&gt;!%/p"</f>
        <v>#VALUE!</v>
      </c>
      <c r="GX65" t="e">
        <f>'All regions'!G1627+"n/&gt;!%/q"</f>
        <v>#VALUE!</v>
      </c>
      <c r="GY65" t="e">
        <f>'All regions'!H1627+"n/&gt;!%/r"</f>
        <v>#VALUE!</v>
      </c>
      <c r="GZ65" t="e">
        <f>'All regions'!I1627+"n/&gt;!%/s"</f>
        <v>#VALUE!</v>
      </c>
      <c r="HA65" t="e">
        <f>'All regions'!J1627+"n/&gt;!%/t"</f>
        <v>#VALUE!</v>
      </c>
      <c r="HB65" t="e">
        <f>'All regions'!A1628+"n/&gt;!%/u"</f>
        <v>#VALUE!</v>
      </c>
      <c r="HC65" t="e">
        <f>'All regions'!B1628+"n/&gt;!%/v"</f>
        <v>#VALUE!</v>
      </c>
      <c r="HD65" t="e">
        <f>'All regions'!C1628+"n/&gt;!%/w"</f>
        <v>#VALUE!</v>
      </c>
      <c r="HE65" t="e">
        <f>'All regions'!D1628+"n/&gt;!%/x"</f>
        <v>#VALUE!</v>
      </c>
      <c r="HF65" t="e">
        <f>'All regions'!E1628+"n/&gt;!%/y"</f>
        <v>#VALUE!</v>
      </c>
      <c r="HG65" t="e">
        <f>'All regions'!F1628+"n/&gt;!%/z"</f>
        <v>#VALUE!</v>
      </c>
      <c r="HH65" t="e">
        <f>'All regions'!G1628+"n/&gt;!%/{"</f>
        <v>#VALUE!</v>
      </c>
      <c r="HI65" t="e">
        <f>'All regions'!H1628+"n/&gt;!%/|"</f>
        <v>#VALUE!</v>
      </c>
      <c r="HJ65" t="e">
        <f>'All regions'!I1628+"n/&gt;!%/}"</f>
        <v>#VALUE!</v>
      </c>
      <c r="HK65" t="e">
        <f>'All regions'!J1628+"n/&gt;!%/~"</f>
        <v>#VALUE!</v>
      </c>
      <c r="HL65" t="e">
        <f>'All regions'!A1629+"n/&gt;!%0#"</f>
        <v>#VALUE!</v>
      </c>
      <c r="HM65" t="e">
        <f>'All regions'!B1629+"n/&gt;!%0$"</f>
        <v>#VALUE!</v>
      </c>
      <c r="HN65" t="e">
        <f>'All regions'!C1629+"n/&gt;!%0%"</f>
        <v>#VALUE!</v>
      </c>
      <c r="HO65" t="e">
        <f>'All regions'!D1629+"n/&gt;!%0&amp;"</f>
        <v>#VALUE!</v>
      </c>
      <c r="HP65" t="e">
        <f>'All regions'!E1629+"n/&gt;!%0'"</f>
        <v>#VALUE!</v>
      </c>
      <c r="HQ65" t="e">
        <f>'All regions'!F1629+"n/&gt;!%0("</f>
        <v>#VALUE!</v>
      </c>
      <c r="HR65" t="e">
        <f>'All regions'!G1629+"n/&gt;!%0)"</f>
        <v>#VALUE!</v>
      </c>
      <c r="HS65" t="e">
        <f>'All regions'!H1629+"n/&gt;!%0."</f>
        <v>#VALUE!</v>
      </c>
      <c r="HT65" t="e">
        <f>'All regions'!I1629+"n/&gt;!%0/"</f>
        <v>#VALUE!</v>
      </c>
      <c r="HU65" t="e">
        <f>'All regions'!J1629+"n/&gt;!%00"</f>
        <v>#VALUE!</v>
      </c>
      <c r="HV65" t="e">
        <f>'All regions'!A1630+"n/&gt;!%01"</f>
        <v>#VALUE!</v>
      </c>
      <c r="HW65" t="e">
        <f>'All regions'!B1630+"n/&gt;!%02"</f>
        <v>#VALUE!</v>
      </c>
      <c r="HX65" t="e">
        <f>'All regions'!C1630+"n/&gt;!%03"</f>
        <v>#VALUE!</v>
      </c>
      <c r="HY65" t="e">
        <f>'All regions'!D1630+"n/&gt;!%04"</f>
        <v>#VALUE!</v>
      </c>
      <c r="HZ65" t="e">
        <f>'All regions'!E1630+"n/&gt;!%05"</f>
        <v>#VALUE!</v>
      </c>
      <c r="IA65" t="e">
        <f>'All regions'!F1630+"n/&gt;!%06"</f>
        <v>#VALUE!</v>
      </c>
      <c r="IB65" t="e">
        <f>'All regions'!G1630+"n/&gt;!%07"</f>
        <v>#VALUE!</v>
      </c>
      <c r="IC65" t="e">
        <f>'All regions'!H1630+"n/&gt;!%08"</f>
        <v>#VALUE!</v>
      </c>
      <c r="ID65" t="e">
        <f>'All regions'!I1630+"n/&gt;!%09"</f>
        <v>#VALUE!</v>
      </c>
      <c r="IE65" t="e">
        <f>'All regions'!J1630+"n/&gt;!%0:"</f>
        <v>#VALUE!</v>
      </c>
      <c r="IF65" t="e">
        <f>'All regions'!A1631+"n/&gt;!%0;"</f>
        <v>#VALUE!</v>
      </c>
      <c r="IG65" t="e">
        <f>'All regions'!B1631+"n/&gt;!%0&lt;"</f>
        <v>#VALUE!</v>
      </c>
      <c r="IH65" t="e">
        <f>'All regions'!C1631+"n/&gt;!%0="</f>
        <v>#VALUE!</v>
      </c>
      <c r="II65" t="e">
        <f>'All regions'!D1631+"n/&gt;!%0&gt;"</f>
        <v>#VALUE!</v>
      </c>
      <c r="IJ65" t="e">
        <f>'All regions'!E1631+"n/&gt;!%0?"</f>
        <v>#VALUE!</v>
      </c>
      <c r="IK65" t="e">
        <f>'All regions'!F1631+"n/&gt;!%0@"</f>
        <v>#VALUE!</v>
      </c>
      <c r="IL65" t="e">
        <f>'All regions'!G1631+"n/&gt;!%0A"</f>
        <v>#VALUE!</v>
      </c>
      <c r="IM65" t="e">
        <f>'All regions'!H1631+"n/&gt;!%0B"</f>
        <v>#VALUE!</v>
      </c>
      <c r="IN65" t="e">
        <f>'All regions'!I1631+"n/&gt;!%0C"</f>
        <v>#VALUE!</v>
      </c>
      <c r="IO65" t="e">
        <f>'All regions'!J1631+"n/&gt;!%0D"</f>
        <v>#VALUE!</v>
      </c>
      <c r="IP65" t="e">
        <f>'All regions'!A1632+"n/&gt;!%0E"</f>
        <v>#VALUE!</v>
      </c>
      <c r="IQ65" t="e">
        <f>'All regions'!B1632+"n/&gt;!%0F"</f>
        <v>#VALUE!</v>
      </c>
      <c r="IR65" t="e">
        <f>'All regions'!C1632+"n/&gt;!%0G"</f>
        <v>#VALUE!</v>
      </c>
      <c r="IS65" t="e">
        <f>'All regions'!D1632+"n/&gt;!%0H"</f>
        <v>#VALUE!</v>
      </c>
      <c r="IT65" t="e">
        <f>'All regions'!E1632+"n/&gt;!%0I"</f>
        <v>#VALUE!</v>
      </c>
      <c r="IU65" t="e">
        <f>'All regions'!F1632+"n/&gt;!%0J"</f>
        <v>#VALUE!</v>
      </c>
      <c r="IV65" t="e">
        <f>'All regions'!G1632+"n/&gt;!%0K"</f>
        <v>#VALUE!</v>
      </c>
    </row>
    <row r="66" spans="6:256" x14ac:dyDescent="0.35">
      <c r="F66" t="e">
        <f>'All regions'!H1632+"n/&gt;!%0L"</f>
        <v>#VALUE!</v>
      </c>
      <c r="G66" t="e">
        <f>'All regions'!I1632+"n/&gt;!%0M"</f>
        <v>#VALUE!</v>
      </c>
      <c r="H66" t="e">
        <f>'All regions'!J1632+"n/&gt;!%0N"</f>
        <v>#VALUE!</v>
      </c>
      <c r="I66" t="e">
        <f>'All regions'!A1633+"n/&gt;!%0O"</f>
        <v>#VALUE!</v>
      </c>
      <c r="J66" t="e">
        <f>'All regions'!B1633+"n/&gt;!%0P"</f>
        <v>#VALUE!</v>
      </c>
      <c r="K66" t="e">
        <f>'All regions'!C1633+"n/&gt;!%0Q"</f>
        <v>#VALUE!</v>
      </c>
      <c r="L66" t="e">
        <f>'All regions'!D1633+"n/&gt;!%0R"</f>
        <v>#VALUE!</v>
      </c>
      <c r="M66" t="e">
        <f>'All regions'!E1633+"n/&gt;!%0S"</f>
        <v>#VALUE!</v>
      </c>
      <c r="N66" t="e">
        <f>'All regions'!F1633+"n/&gt;!%0T"</f>
        <v>#VALUE!</v>
      </c>
      <c r="O66" t="e">
        <f>'All regions'!G1633+"n/&gt;!%0U"</f>
        <v>#VALUE!</v>
      </c>
      <c r="P66" t="e">
        <f>'All regions'!H1633+"n/&gt;!%0V"</f>
        <v>#VALUE!</v>
      </c>
      <c r="Q66" t="e">
        <f>'All regions'!I1633+"n/&gt;!%0W"</f>
        <v>#VALUE!</v>
      </c>
      <c r="R66" t="e">
        <f>'All regions'!J1633+"n/&gt;!%0X"</f>
        <v>#VALUE!</v>
      </c>
      <c r="S66" t="e">
        <f>'All regions'!A1634+"n/&gt;!%0Y"</f>
        <v>#VALUE!</v>
      </c>
      <c r="T66" t="e">
        <f>'All regions'!B1634+"n/&gt;!%0Z"</f>
        <v>#VALUE!</v>
      </c>
      <c r="U66" t="e">
        <f>'All regions'!C1634+"n/&gt;!%0["</f>
        <v>#VALUE!</v>
      </c>
      <c r="V66" t="e">
        <f>'All regions'!D1634+"n/&gt;!%0\"</f>
        <v>#VALUE!</v>
      </c>
      <c r="W66" t="e">
        <f>'All regions'!E1634+"n/&gt;!%0]"</f>
        <v>#VALUE!</v>
      </c>
      <c r="X66" t="e">
        <f>'All regions'!F1634+"n/&gt;!%0^"</f>
        <v>#VALUE!</v>
      </c>
      <c r="Y66" t="e">
        <f>'All regions'!G1634+"n/&gt;!%0_"</f>
        <v>#VALUE!</v>
      </c>
      <c r="Z66" t="e">
        <f>'All regions'!H1634+"n/&gt;!%0`"</f>
        <v>#VALUE!</v>
      </c>
      <c r="AA66" t="e">
        <f>'All regions'!I1634+"n/&gt;!%0a"</f>
        <v>#VALUE!</v>
      </c>
      <c r="AB66" t="e">
        <f>'All regions'!J1634+"n/&gt;!%0b"</f>
        <v>#VALUE!</v>
      </c>
      <c r="AC66" t="e">
        <f>'All regions'!A1635+"n/&gt;!%0c"</f>
        <v>#VALUE!</v>
      </c>
      <c r="AD66" t="e">
        <f>'All regions'!B1635+"n/&gt;!%0d"</f>
        <v>#VALUE!</v>
      </c>
      <c r="AE66" t="e">
        <f>'All regions'!C1635+"n/&gt;!%0e"</f>
        <v>#VALUE!</v>
      </c>
      <c r="AF66" t="e">
        <f>'All regions'!D1635+"n/&gt;!%0f"</f>
        <v>#VALUE!</v>
      </c>
      <c r="AG66" t="e">
        <f>'All regions'!E1635+"n/&gt;!%0g"</f>
        <v>#VALUE!</v>
      </c>
      <c r="AH66" t="e">
        <f>'All regions'!F1635+"n/&gt;!%0h"</f>
        <v>#VALUE!</v>
      </c>
      <c r="AI66" t="e">
        <f>'All regions'!G1635+"n/&gt;!%0i"</f>
        <v>#VALUE!</v>
      </c>
      <c r="AJ66" t="e">
        <f>'All regions'!H1635+"n/&gt;!%0j"</f>
        <v>#VALUE!</v>
      </c>
      <c r="AK66" t="e">
        <f>'All regions'!I1635+"n/&gt;!%0k"</f>
        <v>#VALUE!</v>
      </c>
      <c r="AL66" t="e">
        <f>'All regions'!J1635+"n/&gt;!%0l"</f>
        <v>#VALUE!</v>
      </c>
      <c r="AM66" t="e">
        <f>'All regions'!A1636+"n/&gt;!%0m"</f>
        <v>#VALUE!</v>
      </c>
      <c r="AN66" t="e">
        <f>'All regions'!B1636+"n/&gt;!%0n"</f>
        <v>#VALUE!</v>
      </c>
      <c r="AO66" t="e">
        <f>'All regions'!C1636+"n/&gt;!%0o"</f>
        <v>#VALUE!</v>
      </c>
      <c r="AP66" t="e">
        <f>'All regions'!D1636+"n/&gt;!%0p"</f>
        <v>#VALUE!</v>
      </c>
      <c r="AQ66" t="e">
        <f>'All regions'!E1636+"n/&gt;!%0q"</f>
        <v>#VALUE!</v>
      </c>
      <c r="AR66" t="e">
        <f>'All regions'!F1636+"n/&gt;!%0r"</f>
        <v>#VALUE!</v>
      </c>
      <c r="AS66" t="e">
        <f>'All regions'!G1636+"n/&gt;!%0s"</f>
        <v>#VALUE!</v>
      </c>
      <c r="AT66" t="e">
        <f>'All regions'!H1636+"n/&gt;!%0t"</f>
        <v>#VALUE!</v>
      </c>
      <c r="AU66" t="e">
        <f>'All regions'!I1636+"n/&gt;!%0u"</f>
        <v>#VALUE!</v>
      </c>
      <c r="AV66" t="e">
        <f>'All regions'!J1636+"n/&gt;!%0v"</f>
        <v>#VALUE!</v>
      </c>
      <c r="AW66" t="e">
        <f>'All regions'!A1637+"n/&gt;!%0w"</f>
        <v>#VALUE!</v>
      </c>
      <c r="AX66" t="e">
        <f>'All regions'!B1637+"n/&gt;!%0x"</f>
        <v>#VALUE!</v>
      </c>
      <c r="AY66" t="e">
        <f>'All regions'!C1637+"n/&gt;!%0y"</f>
        <v>#VALUE!</v>
      </c>
      <c r="AZ66" t="e">
        <f>'All regions'!D1637+"n/&gt;!%0z"</f>
        <v>#VALUE!</v>
      </c>
      <c r="BA66" t="e">
        <f>'All regions'!E1637+"n/&gt;!%0{"</f>
        <v>#VALUE!</v>
      </c>
      <c r="BB66" t="e">
        <f>'All regions'!F1637+"n/&gt;!%0|"</f>
        <v>#VALUE!</v>
      </c>
      <c r="BC66" t="e">
        <f>'All regions'!G1637+"n/&gt;!%0}"</f>
        <v>#VALUE!</v>
      </c>
      <c r="BD66" t="e">
        <f>'All regions'!H1637+"n/&gt;!%0~"</f>
        <v>#VALUE!</v>
      </c>
      <c r="BE66" t="e">
        <f>'All regions'!I1637+"n/&gt;!%1#"</f>
        <v>#VALUE!</v>
      </c>
      <c r="BF66" t="e">
        <f>'All regions'!J1637+"n/&gt;!%1$"</f>
        <v>#VALUE!</v>
      </c>
      <c r="BG66" t="e">
        <f>'All regions'!A1638+"n/&gt;!%1%"</f>
        <v>#VALUE!</v>
      </c>
      <c r="BH66" t="e">
        <f>'All regions'!B1638+"n/&gt;!%1&amp;"</f>
        <v>#VALUE!</v>
      </c>
      <c r="BI66" t="e">
        <f>'All regions'!C1638+"n/&gt;!%1'"</f>
        <v>#VALUE!</v>
      </c>
      <c r="BJ66" t="e">
        <f>'All regions'!D1638+"n/&gt;!%1("</f>
        <v>#VALUE!</v>
      </c>
      <c r="BK66" t="e">
        <f>'All regions'!E1638+"n/&gt;!%1)"</f>
        <v>#VALUE!</v>
      </c>
      <c r="BL66" t="e">
        <f>'All regions'!F1638+"n/&gt;!%1."</f>
        <v>#VALUE!</v>
      </c>
      <c r="BM66" t="e">
        <f>'All regions'!G1638+"n/&gt;!%1/"</f>
        <v>#VALUE!</v>
      </c>
      <c r="BN66" t="e">
        <f>'All regions'!H1638+"n/&gt;!%10"</f>
        <v>#VALUE!</v>
      </c>
      <c r="BO66" t="e">
        <f>'All regions'!I1638+"n/&gt;!%11"</f>
        <v>#VALUE!</v>
      </c>
      <c r="BP66" t="e">
        <f>'All regions'!J1638+"n/&gt;!%12"</f>
        <v>#VALUE!</v>
      </c>
      <c r="BQ66" t="e">
        <f>'All regions'!A1639+"n/&gt;!%13"</f>
        <v>#VALUE!</v>
      </c>
      <c r="BR66" t="e">
        <f>'All regions'!B1639+"n/&gt;!%14"</f>
        <v>#VALUE!</v>
      </c>
      <c r="BS66" t="e">
        <f>'All regions'!C1639+"n/&gt;!%15"</f>
        <v>#VALUE!</v>
      </c>
      <c r="BT66" t="e">
        <f>'All regions'!D1639+"n/&gt;!%16"</f>
        <v>#VALUE!</v>
      </c>
      <c r="BU66" t="e">
        <f>'All regions'!E1639+"n/&gt;!%17"</f>
        <v>#VALUE!</v>
      </c>
      <c r="BV66" t="e">
        <f>'All regions'!F1639+"n/&gt;!%18"</f>
        <v>#VALUE!</v>
      </c>
      <c r="BW66" t="e">
        <f>'All regions'!G1639+"n/&gt;!%19"</f>
        <v>#VALUE!</v>
      </c>
      <c r="BX66" t="e">
        <f>'All regions'!H1639+"n/&gt;!%1:"</f>
        <v>#VALUE!</v>
      </c>
      <c r="BY66" t="e">
        <f>'All regions'!I1639+"n/&gt;!%1;"</f>
        <v>#VALUE!</v>
      </c>
      <c r="BZ66" t="e">
        <f>'All regions'!J1639+"n/&gt;!%1&lt;"</f>
        <v>#VALUE!</v>
      </c>
      <c r="CA66" t="e">
        <f>'All regions'!A1640+"n/&gt;!%1="</f>
        <v>#VALUE!</v>
      </c>
      <c r="CB66" t="e">
        <f>'All regions'!B1640+"n/&gt;!%1&gt;"</f>
        <v>#VALUE!</v>
      </c>
      <c r="CC66" t="e">
        <f>'All regions'!C1640+"n/&gt;!%1?"</f>
        <v>#VALUE!</v>
      </c>
      <c r="CD66" t="e">
        <f>'All regions'!D1640+"n/&gt;!%1@"</f>
        <v>#VALUE!</v>
      </c>
      <c r="CE66" t="e">
        <f>'All regions'!E1640+"n/&gt;!%1A"</f>
        <v>#VALUE!</v>
      </c>
      <c r="CF66" t="e">
        <f>'All regions'!F1640+"n/&gt;!%1B"</f>
        <v>#VALUE!</v>
      </c>
      <c r="CG66" t="e">
        <f>'All regions'!G1640+"n/&gt;!%1C"</f>
        <v>#VALUE!</v>
      </c>
      <c r="CH66" t="e">
        <f>'All regions'!H1640+"n/&gt;!%1D"</f>
        <v>#VALUE!</v>
      </c>
      <c r="CI66" t="e">
        <f>'All regions'!I1640+"n/&gt;!%1E"</f>
        <v>#VALUE!</v>
      </c>
      <c r="CJ66" t="e">
        <f>'All regions'!J1640+"n/&gt;!%1F"</f>
        <v>#VALUE!</v>
      </c>
      <c r="CK66" t="e">
        <f>'All regions'!A1641+"n/&gt;!%1G"</f>
        <v>#VALUE!</v>
      </c>
      <c r="CL66" t="e">
        <f>'All regions'!B1641+"n/&gt;!%1H"</f>
        <v>#VALUE!</v>
      </c>
      <c r="CM66" t="e">
        <f>'All regions'!C1641+"n/&gt;!%1I"</f>
        <v>#VALUE!</v>
      </c>
      <c r="CN66" t="e">
        <f>'All regions'!D1641+"n/&gt;!%1J"</f>
        <v>#VALUE!</v>
      </c>
      <c r="CO66" t="e">
        <f>'All regions'!E1641+"n/&gt;!%1K"</f>
        <v>#VALUE!</v>
      </c>
      <c r="CP66" t="e">
        <f>'All regions'!F1641+"n/&gt;!%1L"</f>
        <v>#VALUE!</v>
      </c>
      <c r="CQ66" t="e">
        <f>'All regions'!G1641+"n/&gt;!%1M"</f>
        <v>#VALUE!</v>
      </c>
      <c r="CR66" t="e">
        <f>'All regions'!H1641+"n/&gt;!%1N"</f>
        <v>#VALUE!</v>
      </c>
      <c r="CS66" t="e">
        <f>'All regions'!I1641+"n/&gt;!%1O"</f>
        <v>#VALUE!</v>
      </c>
      <c r="CT66" t="e">
        <f>'All regions'!J1641+"n/&gt;!%1P"</f>
        <v>#VALUE!</v>
      </c>
      <c r="CU66" t="e">
        <f>'All regions'!A1642+"n/&gt;!%1Q"</f>
        <v>#VALUE!</v>
      </c>
      <c r="CV66" t="e">
        <f>'All regions'!B1642+"n/&gt;!%1R"</f>
        <v>#VALUE!</v>
      </c>
      <c r="CW66" t="e">
        <f>'All regions'!C1642+"n/&gt;!%1S"</f>
        <v>#VALUE!</v>
      </c>
      <c r="CX66" t="e">
        <f>'All regions'!D1642+"n/&gt;!%1T"</f>
        <v>#VALUE!</v>
      </c>
      <c r="CY66" t="e">
        <f>'All regions'!E1642+"n/&gt;!%1U"</f>
        <v>#VALUE!</v>
      </c>
      <c r="CZ66" t="e">
        <f>'All regions'!F1642+"n/&gt;!%1V"</f>
        <v>#VALUE!</v>
      </c>
      <c r="DA66" t="e">
        <f>'All regions'!G1642+"n/&gt;!%1W"</f>
        <v>#VALUE!</v>
      </c>
      <c r="DB66" t="e">
        <f>'All regions'!H1642+"n/&gt;!%1X"</f>
        <v>#VALUE!</v>
      </c>
      <c r="DC66" t="e">
        <f>'All regions'!I1642+"n/&gt;!%1Y"</f>
        <v>#VALUE!</v>
      </c>
      <c r="DD66" t="e">
        <f>'All regions'!J1642+"n/&gt;!%1Z"</f>
        <v>#VALUE!</v>
      </c>
      <c r="DE66" t="e">
        <f>'All regions'!A1643+"n/&gt;!%1["</f>
        <v>#VALUE!</v>
      </c>
      <c r="DF66" t="e">
        <f>'All regions'!B1643+"n/&gt;!%1\"</f>
        <v>#VALUE!</v>
      </c>
      <c r="DG66" t="e">
        <f>'All regions'!C1643+"n/&gt;!%1]"</f>
        <v>#VALUE!</v>
      </c>
      <c r="DH66" t="e">
        <f>'All regions'!D1643+"n/&gt;!%1^"</f>
        <v>#VALUE!</v>
      </c>
      <c r="DI66" t="e">
        <f>'All regions'!E1643+"n/&gt;!%1_"</f>
        <v>#VALUE!</v>
      </c>
      <c r="DJ66" t="e">
        <f>'All regions'!F1643+"n/&gt;!%1`"</f>
        <v>#VALUE!</v>
      </c>
      <c r="DK66" t="e">
        <f>'All regions'!G1643+"n/&gt;!%1a"</f>
        <v>#VALUE!</v>
      </c>
      <c r="DL66" t="e">
        <f>'All regions'!H1643+"n/&gt;!%1b"</f>
        <v>#VALUE!</v>
      </c>
      <c r="DM66" t="e">
        <f>'All regions'!I1643+"n/&gt;!%1c"</f>
        <v>#VALUE!</v>
      </c>
      <c r="DN66" t="e">
        <f>'All regions'!J1643+"n/&gt;!%1d"</f>
        <v>#VALUE!</v>
      </c>
      <c r="DO66" t="e">
        <f>'All regions'!A1644+"n/&gt;!%1e"</f>
        <v>#VALUE!</v>
      </c>
      <c r="DP66" t="e">
        <f>'All regions'!B1644+"n/&gt;!%1f"</f>
        <v>#VALUE!</v>
      </c>
      <c r="DQ66" t="e">
        <f>'All regions'!C1644+"n/&gt;!%1g"</f>
        <v>#VALUE!</v>
      </c>
      <c r="DR66" t="e">
        <f>'All regions'!D1644+"n/&gt;!%1h"</f>
        <v>#VALUE!</v>
      </c>
      <c r="DS66" t="e">
        <f>'All regions'!E1644+"n/&gt;!%1i"</f>
        <v>#VALUE!</v>
      </c>
      <c r="DT66" t="e">
        <f>'All regions'!F1644+"n/&gt;!%1j"</f>
        <v>#VALUE!</v>
      </c>
      <c r="DU66" t="e">
        <f>'All regions'!G1644+"n/&gt;!%1k"</f>
        <v>#VALUE!</v>
      </c>
      <c r="DV66" t="e">
        <f>'All regions'!H1644+"n/&gt;!%1l"</f>
        <v>#VALUE!</v>
      </c>
      <c r="DW66" t="e">
        <f>'All regions'!I1644+"n/&gt;!%1m"</f>
        <v>#VALUE!</v>
      </c>
      <c r="DX66" t="e">
        <f>'All regions'!J1644+"n/&gt;!%1n"</f>
        <v>#VALUE!</v>
      </c>
      <c r="DY66" t="e">
        <f>'All regions'!A1645+"n/&gt;!%1o"</f>
        <v>#VALUE!</v>
      </c>
      <c r="DZ66" t="e">
        <f>'All regions'!B1645+"n/&gt;!%1p"</f>
        <v>#VALUE!</v>
      </c>
      <c r="EA66" t="e">
        <f>'All regions'!C1645+"n/&gt;!%1q"</f>
        <v>#VALUE!</v>
      </c>
      <c r="EB66" t="e">
        <f>'All regions'!D1645+"n/&gt;!%1r"</f>
        <v>#VALUE!</v>
      </c>
      <c r="EC66" t="e">
        <f>'All regions'!E1645+"n/&gt;!%1s"</f>
        <v>#VALUE!</v>
      </c>
      <c r="ED66" t="e">
        <f>'All regions'!F1645+"n/&gt;!%1t"</f>
        <v>#VALUE!</v>
      </c>
      <c r="EE66" t="e">
        <f>'All regions'!G1645+"n/&gt;!%1u"</f>
        <v>#VALUE!</v>
      </c>
      <c r="EF66" t="e">
        <f>'All regions'!H1645+"n/&gt;!%1v"</f>
        <v>#VALUE!</v>
      </c>
      <c r="EG66" t="e">
        <f>'All regions'!I1645+"n/&gt;!%1w"</f>
        <v>#VALUE!</v>
      </c>
      <c r="EH66" t="e">
        <f>'All regions'!J1645+"n/&gt;!%1x"</f>
        <v>#VALUE!</v>
      </c>
      <c r="EI66" t="e">
        <f>'All regions'!A1646+"n/&gt;!%1y"</f>
        <v>#VALUE!</v>
      </c>
      <c r="EJ66" t="e">
        <f>'All regions'!B1646+"n/&gt;!%1z"</f>
        <v>#VALUE!</v>
      </c>
      <c r="EK66" t="e">
        <f>'All regions'!C1646+"n/&gt;!%1{"</f>
        <v>#VALUE!</v>
      </c>
      <c r="EL66" t="e">
        <f>'All regions'!D1646+"n/&gt;!%1|"</f>
        <v>#VALUE!</v>
      </c>
      <c r="EM66" t="e">
        <f>'All regions'!E1646+"n/&gt;!%1}"</f>
        <v>#VALUE!</v>
      </c>
      <c r="EN66" t="e">
        <f>'All regions'!F1646+"n/&gt;!%1~"</f>
        <v>#VALUE!</v>
      </c>
      <c r="EO66" t="e">
        <f>'All regions'!G1646+"n/&gt;!%2#"</f>
        <v>#VALUE!</v>
      </c>
      <c r="EP66" t="e">
        <f>'All regions'!H1646+"n/&gt;!%2$"</f>
        <v>#VALUE!</v>
      </c>
      <c r="EQ66" t="e">
        <f>'All regions'!I1646+"n/&gt;!%2%"</f>
        <v>#VALUE!</v>
      </c>
      <c r="ER66" t="e">
        <f>'All regions'!J1646+"n/&gt;!%2&amp;"</f>
        <v>#VALUE!</v>
      </c>
      <c r="ES66" t="e">
        <f>'All regions'!A1647+"n/&gt;!%2'"</f>
        <v>#VALUE!</v>
      </c>
      <c r="ET66" t="e">
        <f>'All regions'!B1647+"n/&gt;!%2("</f>
        <v>#VALUE!</v>
      </c>
      <c r="EU66" t="e">
        <f>'All regions'!C1647+"n/&gt;!%2)"</f>
        <v>#VALUE!</v>
      </c>
      <c r="EV66" t="e">
        <f>'All regions'!D1647+"n/&gt;!%2."</f>
        <v>#VALUE!</v>
      </c>
      <c r="EW66" t="e">
        <f>'All regions'!E1647+"n/&gt;!%2/"</f>
        <v>#VALUE!</v>
      </c>
      <c r="EX66" t="e">
        <f>'All regions'!F1647+"n/&gt;!%20"</f>
        <v>#VALUE!</v>
      </c>
      <c r="EY66" t="e">
        <f>'All regions'!G1647+"n/&gt;!%21"</f>
        <v>#VALUE!</v>
      </c>
      <c r="EZ66" t="e">
        <f>'All regions'!H1647+"n/&gt;!%22"</f>
        <v>#VALUE!</v>
      </c>
      <c r="FA66" t="e">
        <f>'All regions'!I1647+"n/&gt;!%23"</f>
        <v>#VALUE!</v>
      </c>
      <c r="FB66" t="e">
        <f>'All regions'!J1647+"n/&gt;!%24"</f>
        <v>#VALUE!</v>
      </c>
      <c r="FC66" t="e">
        <f>'All regions'!A1648+"n/&gt;!%25"</f>
        <v>#VALUE!</v>
      </c>
      <c r="FD66" t="e">
        <f>'All regions'!B1648+"n/&gt;!%26"</f>
        <v>#VALUE!</v>
      </c>
      <c r="FE66" t="e">
        <f>'All regions'!C1648+"n/&gt;!%27"</f>
        <v>#VALUE!</v>
      </c>
      <c r="FF66" t="e">
        <f>'All regions'!D1648+"n/&gt;!%28"</f>
        <v>#VALUE!</v>
      </c>
      <c r="FG66" t="e">
        <f>'All regions'!E1648+"n/&gt;!%29"</f>
        <v>#VALUE!</v>
      </c>
      <c r="FH66" t="e">
        <f>'All regions'!F1648+"n/&gt;!%2:"</f>
        <v>#VALUE!</v>
      </c>
      <c r="FI66" t="e">
        <f>'All regions'!G1648+"n/&gt;!%2;"</f>
        <v>#VALUE!</v>
      </c>
      <c r="FJ66" t="e">
        <f>'All regions'!H1648+"n/&gt;!%2&lt;"</f>
        <v>#VALUE!</v>
      </c>
      <c r="FK66" t="e">
        <f>'All regions'!I1648+"n/&gt;!%2="</f>
        <v>#VALUE!</v>
      </c>
      <c r="FL66" t="e">
        <f>'All regions'!J1648+"n/&gt;!%2&gt;"</f>
        <v>#VALUE!</v>
      </c>
      <c r="FM66" t="e">
        <f>'All regions'!A1649+"n/&gt;!%2?"</f>
        <v>#VALUE!</v>
      </c>
      <c r="FN66" t="e">
        <f>'All regions'!B1649+"n/&gt;!%2@"</f>
        <v>#VALUE!</v>
      </c>
      <c r="FO66" t="e">
        <f>'All regions'!C1649+"n/&gt;!%2A"</f>
        <v>#VALUE!</v>
      </c>
      <c r="FP66" t="e">
        <f>'All regions'!D1649+"n/&gt;!%2B"</f>
        <v>#VALUE!</v>
      </c>
      <c r="FQ66" t="e">
        <f>'All regions'!E1649+"n/&gt;!%2C"</f>
        <v>#VALUE!</v>
      </c>
      <c r="FR66" t="e">
        <f>'All regions'!F1649+"n/&gt;!%2D"</f>
        <v>#VALUE!</v>
      </c>
      <c r="FS66" t="e">
        <f>'All regions'!G1649+"n/&gt;!%2E"</f>
        <v>#VALUE!</v>
      </c>
      <c r="FT66" t="e">
        <f>'All regions'!H1649+"n/&gt;!%2F"</f>
        <v>#VALUE!</v>
      </c>
      <c r="FU66" t="e">
        <f>'All regions'!I1649+"n/&gt;!%2G"</f>
        <v>#VALUE!</v>
      </c>
      <c r="FV66" t="e">
        <f>'All regions'!J1649+"n/&gt;!%2H"</f>
        <v>#VALUE!</v>
      </c>
      <c r="FW66" t="e">
        <f>'All regions'!A1650+"n/&gt;!%2I"</f>
        <v>#VALUE!</v>
      </c>
      <c r="FX66" t="e">
        <f>'All regions'!B1650+"n/&gt;!%2J"</f>
        <v>#VALUE!</v>
      </c>
      <c r="FY66" t="e">
        <f>'All regions'!C1650+"n/&gt;!%2K"</f>
        <v>#VALUE!</v>
      </c>
      <c r="FZ66" t="e">
        <f>'All regions'!D1650+"n/&gt;!%2L"</f>
        <v>#VALUE!</v>
      </c>
      <c r="GA66" t="e">
        <f>'All regions'!E1650+"n/&gt;!%2M"</f>
        <v>#VALUE!</v>
      </c>
      <c r="GB66" t="e">
        <f>'All regions'!F1650+"n/&gt;!%2N"</f>
        <v>#VALUE!</v>
      </c>
      <c r="GC66" t="e">
        <f>'All regions'!G1650+"n/&gt;!%2O"</f>
        <v>#VALUE!</v>
      </c>
      <c r="GD66" t="e">
        <f>'All regions'!H1650+"n/&gt;!%2P"</f>
        <v>#VALUE!</v>
      </c>
      <c r="GE66" t="e">
        <f>'All regions'!I1650+"n/&gt;!%2Q"</f>
        <v>#VALUE!</v>
      </c>
      <c r="GF66" t="e">
        <f>'All regions'!J1650+"n/&gt;!%2R"</f>
        <v>#VALUE!</v>
      </c>
      <c r="GG66" t="e">
        <f>'All regions'!A1651+"n/&gt;!%2S"</f>
        <v>#VALUE!</v>
      </c>
      <c r="GH66" t="e">
        <f>'All regions'!B1651+"n/&gt;!%2T"</f>
        <v>#VALUE!</v>
      </c>
      <c r="GI66" t="e">
        <f>'All regions'!C1651+"n/&gt;!%2U"</f>
        <v>#VALUE!</v>
      </c>
      <c r="GJ66" t="e">
        <f>'All regions'!D1651+"n/&gt;!%2V"</f>
        <v>#VALUE!</v>
      </c>
      <c r="GK66" t="e">
        <f>'All regions'!E1651+"n/&gt;!%2W"</f>
        <v>#VALUE!</v>
      </c>
      <c r="GL66" t="e">
        <f>'All regions'!F1651+"n/&gt;!%2X"</f>
        <v>#VALUE!</v>
      </c>
      <c r="GM66" t="e">
        <f>'All regions'!G1651+"n/&gt;!%2Y"</f>
        <v>#VALUE!</v>
      </c>
      <c r="GN66" t="e">
        <f>'All regions'!H1651+"n/&gt;!%2Z"</f>
        <v>#VALUE!</v>
      </c>
      <c r="GO66" t="e">
        <f>'All regions'!I1651+"n/&gt;!%2["</f>
        <v>#VALUE!</v>
      </c>
      <c r="GP66" t="e">
        <f>'All regions'!J1651+"n/&gt;!%2\"</f>
        <v>#VALUE!</v>
      </c>
      <c r="GQ66" t="e">
        <f>'All regions'!A1652+"n/&gt;!%2]"</f>
        <v>#VALUE!</v>
      </c>
      <c r="GR66" t="e">
        <f>'All regions'!B1652+"n/&gt;!%2^"</f>
        <v>#VALUE!</v>
      </c>
      <c r="GS66" t="e">
        <f>'All regions'!C1652+"n/&gt;!%2_"</f>
        <v>#VALUE!</v>
      </c>
      <c r="GT66" t="e">
        <f>'All regions'!D1652+"n/&gt;!%2`"</f>
        <v>#VALUE!</v>
      </c>
      <c r="GU66" t="e">
        <f>'All regions'!E1652+"n/&gt;!%2a"</f>
        <v>#VALUE!</v>
      </c>
      <c r="GV66" t="e">
        <f>'All regions'!F1652+"n/&gt;!%2b"</f>
        <v>#VALUE!</v>
      </c>
      <c r="GW66" t="e">
        <f>'All regions'!G1652+"n/&gt;!%2c"</f>
        <v>#VALUE!</v>
      </c>
      <c r="GX66" t="e">
        <f>'All regions'!H1652+"n/&gt;!%2d"</f>
        <v>#VALUE!</v>
      </c>
      <c r="GY66" t="e">
        <f>'All regions'!I1652+"n/&gt;!%2e"</f>
        <v>#VALUE!</v>
      </c>
      <c r="GZ66" t="e">
        <f>'All regions'!J1652+"n/&gt;!%2f"</f>
        <v>#VALUE!</v>
      </c>
      <c r="HA66" t="e">
        <f>'All regions'!A1653+"n/&gt;!%2g"</f>
        <v>#VALUE!</v>
      </c>
      <c r="HB66" t="e">
        <f>'All regions'!B1653+"n/&gt;!%2h"</f>
        <v>#VALUE!</v>
      </c>
      <c r="HC66" t="e">
        <f>'All regions'!C1653+"n/&gt;!%2i"</f>
        <v>#VALUE!</v>
      </c>
      <c r="HD66" t="e">
        <f>'All regions'!D1653+"n/&gt;!%2j"</f>
        <v>#VALUE!</v>
      </c>
      <c r="HE66" t="e">
        <f>'All regions'!E1653+"n/&gt;!%2k"</f>
        <v>#VALUE!</v>
      </c>
      <c r="HF66" t="e">
        <f>'All regions'!F1653+"n/&gt;!%2l"</f>
        <v>#VALUE!</v>
      </c>
      <c r="HG66" t="e">
        <f>'All regions'!G1653+"n/&gt;!%2m"</f>
        <v>#VALUE!</v>
      </c>
      <c r="HH66" t="e">
        <f>'All regions'!H1653+"n/&gt;!%2n"</f>
        <v>#VALUE!</v>
      </c>
      <c r="HI66" t="e">
        <f>'All regions'!I1653+"n/&gt;!%2o"</f>
        <v>#VALUE!</v>
      </c>
      <c r="HJ66" t="e">
        <f>'All regions'!J1653+"n/&gt;!%2p"</f>
        <v>#VALUE!</v>
      </c>
      <c r="HK66" t="e">
        <f>'All regions'!A1654+"n/&gt;!%2q"</f>
        <v>#VALUE!</v>
      </c>
      <c r="HL66" t="e">
        <f>'All regions'!B1654+"n/&gt;!%2r"</f>
        <v>#VALUE!</v>
      </c>
      <c r="HM66" t="e">
        <f>'All regions'!C1654+"n/&gt;!%2s"</f>
        <v>#VALUE!</v>
      </c>
      <c r="HN66" t="e">
        <f>'All regions'!D1654+"n/&gt;!%2t"</f>
        <v>#VALUE!</v>
      </c>
      <c r="HO66" t="e">
        <f>'All regions'!E1654+"n/&gt;!%2u"</f>
        <v>#VALUE!</v>
      </c>
      <c r="HP66" t="e">
        <f>'All regions'!F1654+"n/&gt;!%2v"</f>
        <v>#VALUE!</v>
      </c>
      <c r="HQ66" t="e">
        <f>'All regions'!G1654+"n/&gt;!%2w"</f>
        <v>#VALUE!</v>
      </c>
      <c r="HR66" t="e">
        <f>'All regions'!H1654+"n/&gt;!%2x"</f>
        <v>#VALUE!</v>
      </c>
      <c r="HS66" t="e">
        <f>'All regions'!I1654+"n/&gt;!%2y"</f>
        <v>#VALUE!</v>
      </c>
      <c r="HT66" t="e">
        <f>'All regions'!J1654+"n/&gt;!%2z"</f>
        <v>#VALUE!</v>
      </c>
      <c r="HU66" t="e">
        <f>'All regions'!A1655+"n/&gt;!%2{"</f>
        <v>#VALUE!</v>
      </c>
      <c r="HV66" t="e">
        <f>'All regions'!B1655+"n/&gt;!%2|"</f>
        <v>#VALUE!</v>
      </c>
      <c r="HW66" t="e">
        <f>'All regions'!C1655+"n/&gt;!%2}"</f>
        <v>#VALUE!</v>
      </c>
      <c r="HX66" t="e">
        <f>'All regions'!D1655+"n/&gt;!%2~"</f>
        <v>#VALUE!</v>
      </c>
      <c r="HY66" t="e">
        <f>'All regions'!E1655+"n/&gt;!%3#"</f>
        <v>#VALUE!</v>
      </c>
      <c r="HZ66" t="e">
        <f>'All regions'!F1655+"n/&gt;!%3$"</f>
        <v>#VALUE!</v>
      </c>
      <c r="IA66" t="e">
        <f>'All regions'!G1655+"n/&gt;!%3%"</f>
        <v>#VALUE!</v>
      </c>
      <c r="IB66" t="e">
        <f>'All regions'!H1655+"n/&gt;!%3&amp;"</f>
        <v>#VALUE!</v>
      </c>
      <c r="IC66" t="e">
        <f>'All regions'!I1655+"n/&gt;!%3'"</f>
        <v>#VALUE!</v>
      </c>
      <c r="ID66" t="e">
        <f>'All regions'!J1655+"n/&gt;!%3("</f>
        <v>#VALUE!</v>
      </c>
      <c r="IE66" t="e">
        <f>'All regions'!A1656+"n/&gt;!%3)"</f>
        <v>#VALUE!</v>
      </c>
      <c r="IF66" t="e">
        <f>'All regions'!B1656+"n/&gt;!%3."</f>
        <v>#VALUE!</v>
      </c>
      <c r="IG66" t="e">
        <f>'All regions'!C1656+"n/&gt;!%3/"</f>
        <v>#VALUE!</v>
      </c>
      <c r="IH66" t="e">
        <f>'All regions'!D1656+"n/&gt;!%30"</f>
        <v>#VALUE!</v>
      </c>
      <c r="II66" t="e">
        <f>'All regions'!E1656+"n/&gt;!%31"</f>
        <v>#VALUE!</v>
      </c>
      <c r="IJ66" t="e">
        <f>'All regions'!F1656+"n/&gt;!%32"</f>
        <v>#VALUE!</v>
      </c>
      <c r="IK66" t="e">
        <f>'All regions'!G1656+"n/&gt;!%33"</f>
        <v>#VALUE!</v>
      </c>
      <c r="IL66" t="e">
        <f>'All regions'!H1656+"n/&gt;!%34"</f>
        <v>#VALUE!</v>
      </c>
      <c r="IM66" t="e">
        <f>'All regions'!I1656+"n/&gt;!%35"</f>
        <v>#VALUE!</v>
      </c>
      <c r="IN66" t="e">
        <f>'All regions'!J1656+"n/&gt;!%36"</f>
        <v>#VALUE!</v>
      </c>
      <c r="IO66" t="e">
        <f>'All regions'!A1657+"n/&gt;!%37"</f>
        <v>#VALUE!</v>
      </c>
      <c r="IP66" t="e">
        <f>'All regions'!B1657+"n/&gt;!%38"</f>
        <v>#VALUE!</v>
      </c>
      <c r="IQ66" t="e">
        <f>'All regions'!C1657+"n/&gt;!%39"</f>
        <v>#VALUE!</v>
      </c>
      <c r="IR66" t="e">
        <f>'All regions'!D1657+"n/&gt;!%3:"</f>
        <v>#VALUE!</v>
      </c>
      <c r="IS66" t="e">
        <f>'All regions'!E1657+"n/&gt;!%3;"</f>
        <v>#VALUE!</v>
      </c>
      <c r="IT66" t="e">
        <f>'All regions'!F1657+"n/&gt;!%3&lt;"</f>
        <v>#VALUE!</v>
      </c>
      <c r="IU66" t="e">
        <f>'All regions'!G1657+"n/&gt;!%3="</f>
        <v>#VALUE!</v>
      </c>
      <c r="IV66" t="e">
        <f>'All regions'!H1657+"n/&gt;!%3&gt;"</f>
        <v>#VALUE!</v>
      </c>
    </row>
    <row r="67" spans="6:256" x14ac:dyDescent="0.35">
      <c r="F67" t="e">
        <f>'All regions'!I1657+"n/&gt;!%3?"</f>
        <v>#VALUE!</v>
      </c>
      <c r="G67" t="e">
        <f>'All regions'!J1657+"n/&gt;!%3@"</f>
        <v>#VALUE!</v>
      </c>
      <c r="H67" t="e">
        <f>'All regions'!A1658+"n/&gt;!%3A"</f>
        <v>#VALUE!</v>
      </c>
      <c r="I67" t="e">
        <f>'All regions'!B1658+"n/&gt;!%3B"</f>
        <v>#VALUE!</v>
      </c>
      <c r="J67" t="e">
        <f>'All regions'!C1658+"n/&gt;!%3C"</f>
        <v>#VALUE!</v>
      </c>
      <c r="K67" t="e">
        <f>'All regions'!D1658+"n/&gt;!%3D"</f>
        <v>#VALUE!</v>
      </c>
      <c r="L67" t="e">
        <f>'All regions'!E1658+"n/&gt;!%3E"</f>
        <v>#VALUE!</v>
      </c>
      <c r="M67" t="e">
        <f>'All regions'!F1658+"n/&gt;!%3F"</f>
        <v>#VALUE!</v>
      </c>
      <c r="N67" t="e">
        <f>'All regions'!G1658+"n/&gt;!%3G"</f>
        <v>#VALUE!</v>
      </c>
      <c r="O67" t="e">
        <f>'All regions'!H1658+"n/&gt;!%3H"</f>
        <v>#VALUE!</v>
      </c>
      <c r="P67" t="e">
        <f>'All regions'!I1658+"n/&gt;!%3I"</f>
        <v>#VALUE!</v>
      </c>
      <c r="Q67" t="e">
        <f>'All regions'!J1658+"n/&gt;!%3J"</f>
        <v>#VALUE!</v>
      </c>
      <c r="R67" t="e">
        <f>'All regions'!A1659+"n/&gt;!%3K"</f>
        <v>#VALUE!</v>
      </c>
      <c r="S67" t="e">
        <f>'All regions'!B1659+"n/&gt;!%3L"</f>
        <v>#VALUE!</v>
      </c>
      <c r="T67" t="e">
        <f>'All regions'!C1659+"n/&gt;!%3M"</f>
        <v>#VALUE!</v>
      </c>
      <c r="U67" t="e">
        <f>'All regions'!D1659+"n/&gt;!%3N"</f>
        <v>#VALUE!</v>
      </c>
      <c r="V67" t="e">
        <f>'All regions'!E1659+"n/&gt;!%3O"</f>
        <v>#VALUE!</v>
      </c>
      <c r="W67" t="e">
        <f>'All regions'!F1659+"n/&gt;!%3P"</f>
        <v>#VALUE!</v>
      </c>
      <c r="X67" t="e">
        <f>'All regions'!G1659+"n/&gt;!%3Q"</f>
        <v>#VALUE!</v>
      </c>
      <c r="Y67" t="e">
        <f>'All regions'!H1659+"n/&gt;!%3R"</f>
        <v>#VALUE!</v>
      </c>
      <c r="Z67" t="e">
        <f>'All regions'!I1659+"n/&gt;!%3S"</f>
        <v>#VALUE!</v>
      </c>
      <c r="AA67" t="e">
        <f>'All regions'!J1659+"n/&gt;!%3T"</f>
        <v>#VALUE!</v>
      </c>
      <c r="AB67" t="e">
        <f>'All regions'!A1660+"n/&gt;!%3U"</f>
        <v>#VALUE!</v>
      </c>
      <c r="AC67" t="e">
        <f>'All regions'!B1660+"n/&gt;!%3V"</f>
        <v>#VALUE!</v>
      </c>
      <c r="AD67" t="e">
        <f>'All regions'!C1660+"n/&gt;!%3W"</f>
        <v>#VALUE!</v>
      </c>
      <c r="AE67" t="e">
        <f>'All regions'!D1660+"n/&gt;!%3X"</f>
        <v>#VALUE!</v>
      </c>
      <c r="AF67" t="e">
        <f>'All regions'!E1660+"n/&gt;!%3Y"</f>
        <v>#VALUE!</v>
      </c>
      <c r="AG67" t="e">
        <f>'All regions'!F1660+"n/&gt;!%3Z"</f>
        <v>#VALUE!</v>
      </c>
      <c r="AH67" t="e">
        <f>'All regions'!G1660+"n/&gt;!%3["</f>
        <v>#VALUE!</v>
      </c>
      <c r="AI67" t="e">
        <f>'All regions'!H1660+"n/&gt;!%3\"</f>
        <v>#VALUE!</v>
      </c>
      <c r="AJ67" t="e">
        <f>'All regions'!I1660+"n/&gt;!%3]"</f>
        <v>#VALUE!</v>
      </c>
      <c r="AK67" t="e">
        <f>'All regions'!J1660+"n/&gt;!%3^"</f>
        <v>#VALUE!</v>
      </c>
      <c r="AL67" t="e">
        <f>'All regions'!A1661+"n/&gt;!%3_"</f>
        <v>#VALUE!</v>
      </c>
      <c r="AM67" t="e">
        <f>'All regions'!B1661+"n/&gt;!%3`"</f>
        <v>#VALUE!</v>
      </c>
      <c r="AN67" t="e">
        <f>'All regions'!C1661+"n/&gt;!%3a"</f>
        <v>#VALUE!</v>
      </c>
      <c r="AO67" t="e">
        <f>'All regions'!D1661+"n/&gt;!%3b"</f>
        <v>#VALUE!</v>
      </c>
      <c r="AP67" t="e">
        <f>'All regions'!E1661+"n/&gt;!%3c"</f>
        <v>#VALUE!</v>
      </c>
      <c r="AQ67" t="e">
        <f>'All regions'!F1661+"n/&gt;!%3d"</f>
        <v>#VALUE!</v>
      </c>
      <c r="AR67" t="e">
        <f>'All regions'!G1661+"n/&gt;!%3e"</f>
        <v>#VALUE!</v>
      </c>
      <c r="AS67" t="e">
        <f>'All regions'!H1661+"n/&gt;!%3f"</f>
        <v>#VALUE!</v>
      </c>
      <c r="AT67" t="e">
        <f>'All regions'!I1661+"n/&gt;!%3g"</f>
        <v>#VALUE!</v>
      </c>
      <c r="AU67" t="e">
        <f>'All regions'!J1661+"n/&gt;!%3h"</f>
        <v>#VALUE!</v>
      </c>
      <c r="AV67" t="e">
        <f>'All regions'!A1662+"n/&gt;!%3i"</f>
        <v>#VALUE!</v>
      </c>
      <c r="AW67" t="e">
        <f>'All regions'!B1662+"n/&gt;!%3j"</f>
        <v>#VALUE!</v>
      </c>
      <c r="AX67" t="e">
        <f>'All regions'!C1662+"n/&gt;!%3k"</f>
        <v>#VALUE!</v>
      </c>
      <c r="AY67" t="e">
        <f>'All regions'!D1662+"n/&gt;!%3l"</f>
        <v>#VALUE!</v>
      </c>
      <c r="AZ67" t="e">
        <f>'All regions'!E1662+"n/&gt;!%3m"</f>
        <v>#VALUE!</v>
      </c>
      <c r="BA67" t="e">
        <f>'All regions'!F1662+"n/&gt;!%3n"</f>
        <v>#VALUE!</v>
      </c>
      <c r="BB67" t="e">
        <f>'All regions'!G1662+"n/&gt;!%3o"</f>
        <v>#VALUE!</v>
      </c>
      <c r="BC67" t="e">
        <f>'All regions'!H1662+"n/&gt;!%3p"</f>
        <v>#VALUE!</v>
      </c>
      <c r="BD67" t="e">
        <f>'All regions'!I1662+"n/&gt;!%3q"</f>
        <v>#VALUE!</v>
      </c>
      <c r="BE67" t="e">
        <f>'All regions'!J1662+"n/&gt;!%3r"</f>
        <v>#VALUE!</v>
      </c>
      <c r="BF67" t="e">
        <f>'All regions'!A1663+"n/&gt;!%3s"</f>
        <v>#VALUE!</v>
      </c>
      <c r="BG67" t="e">
        <f>'All regions'!B1663+"n/&gt;!%3t"</f>
        <v>#VALUE!</v>
      </c>
      <c r="BH67" t="e">
        <f>'All regions'!C1663+"n/&gt;!%3u"</f>
        <v>#VALUE!</v>
      </c>
      <c r="BI67" t="e">
        <f>'All regions'!D1663+"n/&gt;!%3v"</f>
        <v>#VALUE!</v>
      </c>
      <c r="BJ67" t="e">
        <f>'All regions'!E1663+"n/&gt;!%3w"</f>
        <v>#VALUE!</v>
      </c>
      <c r="BK67" t="e">
        <f>'All regions'!F1663+"n/&gt;!%3x"</f>
        <v>#VALUE!</v>
      </c>
      <c r="BL67" t="e">
        <f>'All regions'!G1663+"n/&gt;!%3y"</f>
        <v>#VALUE!</v>
      </c>
      <c r="BM67" t="e">
        <f>'All regions'!H1663+"n/&gt;!%3z"</f>
        <v>#VALUE!</v>
      </c>
      <c r="BN67" t="e">
        <f>'All regions'!I1663+"n/&gt;!%3{"</f>
        <v>#VALUE!</v>
      </c>
      <c r="BO67" t="e">
        <f>'All regions'!J1663+"n/&gt;!%3|"</f>
        <v>#VALUE!</v>
      </c>
      <c r="BP67" t="e">
        <f>'All regions'!A1664+"n/&gt;!%3}"</f>
        <v>#VALUE!</v>
      </c>
      <c r="BQ67" t="e">
        <f>'All regions'!B1664+"n/&gt;!%3~"</f>
        <v>#VALUE!</v>
      </c>
      <c r="BR67" t="e">
        <f>'All regions'!C1664+"n/&gt;!%4#"</f>
        <v>#VALUE!</v>
      </c>
      <c r="BS67" t="e">
        <f>'All regions'!D1664+"n/&gt;!%4$"</f>
        <v>#VALUE!</v>
      </c>
      <c r="BT67" t="e">
        <f>'All regions'!E1664+"n/&gt;!%4%"</f>
        <v>#VALUE!</v>
      </c>
      <c r="BU67" t="e">
        <f>'All regions'!F1664+"n/&gt;!%4&amp;"</f>
        <v>#VALUE!</v>
      </c>
      <c r="BV67" t="e">
        <f>'All regions'!G1664+"n/&gt;!%4'"</f>
        <v>#VALUE!</v>
      </c>
      <c r="BW67" t="e">
        <f>'All regions'!H1664+"n/&gt;!%4("</f>
        <v>#VALUE!</v>
      </c>
      <c r="BX67" t="e">
        <f>'All regions'!I1664+"n/&gt;!%4)"</f>
        <v>#VALUE!</v>
      </c>
      <c r="BY67" t="e">
        <f>'All regions'!J1664+"n/&gt;!%4."</f>
        <v>#VALUE!</v>
      </c>
      <c r="BZ67" t="e">
        <f>'All regions'!A1665+"n/&gt;!%4/"</f>
        <v>#VALUE!</v>
      </c>
      <c r="CA67" t="e">
        <f>'All regions'!B1665+"n/&gt;!%40"</f>
        <v>#VALUE!</v>
      </c>
      <c r="CB67" t="e">
        <f>'All regions'!C1665+"n/&gt;!%41"</f>
        <v>#VALUE!</v>
      </c>
      <c r="CC67" t="e">
        <f>'All regions'!D1665+"n/&gt;!%42"</f>
        <v>#VALUE!</v>
      </c>
      <c r="CD67" t="e">
        <f>'All regions'!E1665+"n/&gt;!%43"</f>
        <v>#VALUE!</v>
      </c>
      <c r="CE67" t="e">
        <f>'All regions'!F1665+"n/&gt;!%44"</f>
        <v>#VALUE!</v>
      </c>
      <c r="CF67" t="e">
        <f>'All regions'!G1665+"n/&gt;!%45"</f>
        <v>#VALUE!</v>
      </c>
      <c r="CG67" t="e">
        <f>'All regions'!H1665+"n/&gt;!%46"</f>
        <v>#VALUE!</v>
      </c>
      <c r="CH67" t="e">
        <f>'All regions'!I1665+"n/&gt;!%47"</f>
        <v>#VALUE!</v>
      </c>
      <c r="CI67" t="e">
        <f>'All regions'!J1665+"n/&gt;!%48"</f>
        <v>#VALUE!</v>
      </c>
      <c r="CJ67" t="e">
        <f>'All regions'!A1666+"n/&gt;!%49"</f>
        <v>#VALUE!</v>
      </c>
      <c r="CK67" t="e">
        <f>'All regions'!B1666+"n/&gt;!%4:"</f>
        <v>#VALUE!</v>
      </c>
      <c r="CL67" t="e">
        <f>'All regions'!C1666+"n/&gt;!%4;"</f>
        <v>#VALUE!</v>
      </c>
      <c r="CM67" t="e">
        <f>'All regions'!D1666+"n/&gt;!%4&lt;"</f>
        <v>#VALUE!</v>
      </c>
      <c r="CN67" t="e">
        <f>'All regions'!E1666+"n/&gt;!%4="</f>
        <v>#VALUE!</v>
      </c>
      <c r="CO67" t="e">
        <f>'All regions'!F1666+"n/&gt;!%4&gt;"</f>
        <v>#VALUE!</v>
      </c>
      <c r="CP67" t="e">
        <f>'All regions'!G1666+"n/&gt;!%4?"</f>
        <v>#VALUE!</v>
      </c>
      <c r="CQ67" t="e">
        <f>'All regions'!H1666+"n/&gt;!%4@"</f>
        <v>#VALUE!</v>
      </c>
      <c r="CR67" t="e">
        <f>'All regions'!I1666+"n/&gt;!%4A"</f>
        <v>#VALUE!</v>
      </c>
      <c r="CS67" t="e">
        <f>'All regions'!J1666+"n/&gt;!%4B"</f>
        <v>#VALUE!</v>
      </c>
      <c r="CT67" t="e">
        <f>'All regions'!A1667+"n/&gt;!%4C"</f>
        <v>#VALUE!</v>
      </c>
      <c r="CU67" t="e">
        <f>'All regions'!B1667+"n/&gt;!%4D"</f>
        <v>#VALUE!</v>
      </c>
      <c r="CV67" t="e">
        <f>'All regions'!C1667+"n/&gt;!%4E"</f>
        <v>#VALUE!</v>
      </c>
      <c r="CW67" t="e">
        <f>'All regions'!D1667+"n/&gt;!%4F"</f>
        <v>#VALUE!</v>
      </c>
      <c r="CX67" t="e">
        <f>'All regions'!E1667+"n/&gt;!%4G"</f>
        <v>#VALUE!</v>
      </c>
      <c r="CY67" t="e">
        <f>'All regions'!F1667+"n/&gt;!%4H"</f>
        <v>#VALUE!</v>
      </c>
      <c r="CZ67" t="e">
        <f>'All regions'!G1667+"n/&gt;!%4I"</f>
        <v>#VALUE!</v>
      </c>
      <c r="DA67" t="e">
        <f>'All regions'!H1667+"n/&gt;!%4J"</f>
        <v>#VALUE!</v>
      </c>
      <c r="DB67" t="e">
        <f>'All regions'!I1667+"n/&gt;!%4K"</f>
        <v>#VALUE!</v>
      </c>
      <c r="DC67" t="e">
        <f>'All regions'!J1667+"n/&gt;!%4L"</f>
        <v>#VALUE!</v>
      </c>
      <c r="DD67" t="e">
        <f>'All regions'!A1668+"n/&gt;!%4M"</f>
        <v>#VALUE!</v>
      </c>
      <c r="DE67" t="e">
        <f>'All regions'!B1668+"n/&gt;!%4N"</f>
        <v>#VALUE!</v>
      </c>
      <c r="DF67" t="e">
        <f>'All regions'!C1668+"n/&gt;!%4O"</f>
        <v>#VALUE!</v>
      </c>
      <c r="DG67" t="e">
        <f>'All regions'!D1668+"n/&gt;!%4P"</f>
        <v>#VALUE!</v>
      </c>
      <c r="DH67" t="e">
        <f>'All regions'!E1668+"n/&gt;!%4Q"</f>
        <v>#VALUE!</v>
      </c>
      <c r="DI67" t="e">
        <f>'All regions'!F1668+"n/&gt;!%4R"</f>
        <v>#VALUE!</v>
      </c>
      <c r="DJ67" t="e">
        <f>'All regions'!G1668+"n/&gt;!%4S"</f>
        <v>#VALUE!</v>
      </c>
      <c r="DK67" t="e">
        <f>'All regions'!H1668+"n/&gt;!%4T"</f>
        <v>#VALUE!</v>
      </c>
      <c r="DL67" t="e">
        <f>'All regions'!I1668+"n/&gt;!%4U"</f>
        <v>#VALUE!</v>
      </c>
      <c r="DM67" t="e">
        <f>'All regions'!J1668+"n/&gt;!%4V"</f>
        <v>#VALUE!</v>
      </c>
      <c r="DN67" t="e">
        <f>'All regions'!A1669+"n/&gt;!%4W"</f>
        <v>#VALUE!</v>
      </c>
      <c r="DO67" t="e">
        <f>'All regions'!B1669+"n/&gt;!%4X"</f>
        <v>#VALUE!</v>
      </c>
      <c r="DP67" t="e">
        <f>'All regions'!C1669+"n/&gt;!%4Y"</f>
        <v>#VALUE!</v>
      </c>
      <c r="DQ67" t="e">
        <f>'All regions'!D1669+"n/&gt;!%4Z"</f>
        <v>#VALUE!</v>
      </c>
      <c r="DR67" t="e">
        <f>'All regions'!E1669+"n/&gt;!%4["</f>
        <v>#VALUE!</v>
      </c>
      <c r="DS67" t="e">
        <f>'All regions'!F1669+"n/&gt;!%4\"</f>
        <v>#VALUE!</v>
      </c>
      <c r="DT67" t="e">
        <f>'All regions'!G1669+"n/&gt;!%4]"</f>
        <v>#VALUE!</v>
      </c>
      <c r="DU67" t="e">
        <f>'All regions'!H1669+"n/&gt;!%4^"</f>
        <v>#VALUE!</v>
      </c>
      <c r="DV67" t="e">
        <f>'All regions'!I1669+"n/&gt;!%4_"</f>
        <v>#VALUE!</v>
      </c>
      <c r="DW67" t="e">
        <f>'All regions'!J1669+"n/&gt;!%4`"</f>
        <v>#VALUE!</v>
      </c>
      <c r="DX67" t="e">
        <f>'All regions'!A1670+"n/&gt;!%4a"</f>
        <v>#VALUE!</v>
      </c>
      <c r="DY67" t="e">
        <f>'All regions'!B1670+"n/&gt;!%4b"</f>
        <v>#VALUE!</v>
      </c>
      <c r="DZ67" t="e">
        <f>'All regions'!C1670+"n/&gt;!%4c"</f>
        <v>#VALUE!</v>
      </c>
      <c r="EA67" t="e">
        <f>'All regions'!D1670+"n/&gt;!%4d"</f>
        <v>#VALUE!</v>
      </c>
      <c r="EB67" t="e">
        <f>'All regions'!E1670+"n/&gt;!%4e"</f>
        <v>#VALUE!</v>
      </c>
      <c r="EC67" t="e">
        <f>'All regions'!F1670+"n/&gt;!%4f"</f>
        <v>#VALUE!</v>
      </c>
      <c r="ED67" t="e">
        <f>'All regions'!G1670+"n/&gt;!%4g"</f>
        <v>#VALUE!</v>
      </c>
      <c r="EE67" t="e">
        <f>'All regions'!H1670+"n/&gt;!%4h"</f>
        <v>#VALUE!</v>
      </c>
      <c r="EF67" t="e">
        <f>'All regions'!I1670+"n/&gt;!%4i"</f>
        <v>#VALUE!</v>
      </c>
      <c r="EG67" t="e">
        <f>'All regions'!J1670+"n/&gt;!%4j"</f>
        <v>#VALUE!</v>
      </c>
      <c r="EH67" t="e">
        <f>'All regions'!A1671+"n/&gt;!%4k"</f>
        <v>#VALUE!</v>
      </c>
      <c r="EI67" t="e">
        <f>'All regions'!B1671+"n/&gt;!%4l"</f>
        <v>#VALUE!</v>
      </c>
      <c r="EJ67" t="e">
        <f>'All regions'!C1671+"n/&gt;!%4m"</f>
        <v>#VALUE!</v>
      </c>
      <c r="EK67" t="e">
        <f>'All regions'!D1671+"n/&gt;!%4n"</f>
        <v>#VALUE!</v>
      </c>
      <c r="EL67" t="e">
        <f>'All regions'!E1671+"n/&gt;!%4o"</f>
        <v>#VALUE!</v>
      </c>
      <c r="EM67" t="e">
        <f>'All regions'!F1671+"n/&gt;!%4p"</f>
        <v>#VALUE!</v>
      </c>
      <c r="EN67" t="e">
        <f>'All regions'!G1671+"n/&gt;!%4q"</f>
        <v>#VALUE!</v>
      </c>
      <c r="EO67" t="e">
        <f>'All regions'!H1671+"n/&gt;!%4r"</f>
        <v>#VALUE!</v>
      </c>
      <c r="EP67" t="e">
        <f>'All regions'!I1671+"n/&gt;!%4s"</f>
        <v>#VALUE!</v>
      </c>
      <c r="EQ67" t="e">
        <f>'All regions'!J1671+"n/&gt;!%4t"</f>
        <v>#VALUE!</v>
      </c>
      <c r="ER67" t="e">
        <f>'All regions'!A1672+"n/&gt;!%4u"</f>
        <v>#VALUE!</v>
      </c>
      <c r="ES67" t="e">
        <f>'All regions'!B1672+"n/&gt;!%4v"</f>
        <v>#VALUE!</v>
      </c>
      <c r="ET67" t="e">
        <f>'All regions'!C1672+"n/&gt;!%4w"</f>
        <v>#VALUE!</v>
      </c>
      <c r="EU67" t="e">
        <f>'All regions'!D1672+"n/&gt;!%4x"</f>
        <v>#VALUE!</v>
      </c>
      <c r="EV67" t="e">
        <f>'All regions'!E1672+"n/&gt;!%4y"</f>
        <v>#VALUE!</v>
      </c>
      <c r="EW67" t="e">
        <f>'All regions'!F1672+"n/&gt;!%4z"</f>
        <v>#VALUE!</v>
      </c>
      <c r="EX67" t="e">
        <f>'All regions'!G1672+"n/&gt;!%4{"</f>
        <v>#VALUE!</v>
      </c>
      <c r="EY67" t="e">
        <f>'All regions'!H1672+"n/&gt;!%4|"</f>
        <v>#VALUE!</v>
      </c>
      <c r="EZ67" t="e">
        <f>'All regions'!I1672+"n/&gt;!%4}"</f>
        <v>#VALUE!</v>
      </c>
      <c r="FA67" t="e">
        <f>'All regions'!J1672+"n/&gt;!%4~"</f>
        <v>#VALUE!</v>
      </c>
      <c r="FB67" t="e">
        <f>'All regions'!A1673+"n/&gt;!%5#"</f>
        <v>#VALUE!</v>
      </c>
      <c r="FC67" t="e">
        <f>'All regions'!B1673+"n/&gt;!%5$"</f>
        <v>#VALUE!</v>
      </c>
      <c r="FD67" t="e">
        <f>'All regions'!C1673+"n/&gt;!%5%"</f>
        <v>#VALUE!</v>
      </c>
      <c r="FE67" t="e">
        <f>'All regions'!D1673+"n/&gt;!%5&amp;"</f>
        <v>#VALUE!</v>
      </c>
      <c r="FF67" t="e">
        <f>'All regions'!E1673+"n/&gt;!%5'"</f>
        <v>#VALUE!</v>
      </c>
      <c r="FG67" t="e">
        <f>'All regions'!F1673+"n/&gt;!%5("</f>
        <v>#VALUE!</v>
      </c>
      <c r="FH67" t="e">
        <f>'All regions'!G1673+"n/&gt;!%5)"</f>
        <v>#VALUE!</v>
      </c>
      <c r="FI67" t="e">
        <f>'All regions'!H1673+"n/&gt;!%5."</f>
        <v>#VALUE!</v>
      </c>
      <c r="FJ67" t="e">
        <f>'All regions'!I1673+"n/&gt;!%5/"</f>
        <v>#VALUE!</v>
      </c>
      <c r="FK67" t="e">
        <f>'All regions'!J1673+"n/&gt;!%50"</f>
        <v>#VALUE!</v>
      </c>
      <c r="FL67" t="e">
        <f>'All regions'!A1674+"n/&gt;!%51"</f>
        <v>#VALUE!</v>
      </c>
      <c r="FM67" t="e">
        <f>'All regions'!B1674+"n/&gt;!%52"</f>
        <v>#VALUE!</v>
      </c>
      <c r="FN67" t="e">
        <f>'All regions'!C1674+"n/&gt;!%53"</f>
        <v>#VALUE!</v>
      </c>
      <c r="FO67" t="e">
        <f>'All regions'!D1674+"n/&gt;!%54"</f>
        <v>#VALUE!</v>
      </c>
      <c r="FP67" t="e">
        <f>'All regions'!E1674+"n/&gt;!%55"</f>
        <v>#VALUE!</v>
      </c>
      <c r="FQ67" t="e">
        <f>'All regions'!F1674+"n/&gt;!%56"</f>
        <v>#VALUE!</v>
      </c>
      <c r="FR67" t="e">
        <f>'All regions'!G1674+"n/&gt;!%57"</f>
        <v>#VALUE!</v>
      </c>
      <c r="FS67" t="e">
        <f>'All regions'!H1674+"n/&gt;!%58"</f>
        <v>#VALUE!</v>
      </c>
      <c r="FT67" t="e">
        <f>'All regions'!I1674+"n/&gt;!%59"</f>
        <v>#VALUE!</v>
      </c>
      <c r="FU67" t="e">
        <f>'All regions'!J1674+"n/&gt;!%5:"</f>
        <v>#VALUE!</v>
      </c>
      <c r="FV67" t="e">
        <f>'All regions'!A1675+"n/&gt;!%5;"</f>
        <v>#VALUE!</v>
      </c>
      <c r="FW67" t="e">
        <f>'All regions'!B1675+"n/&gt;!%5&lt;"</f>
        <v>#VALUE!</v>
      </c>
      <c r="FX67" t="e">
        <f>'All regions'!C1675+"n/&gt;!%5="</f>
        <v>#VALUE!</v>
      </c>
      <c r="FY67" t="e">
        <f>'All regions'!D1675+"n/&gt;!%5&gt;"</f>
        <v>#VALUE!</v>
      </c>
      <c r="FZ67" t="e">
        <f>'All regions'!E1675+"n/&gt;!%5?"</f>
        <v>#VALUE!</v>
      </c>
      <c r="GA67" t="e">
        <f>'All regions'!F1675+"n/&gt;!%5@"</f>
        <v>#VALUE!</v>
      </c>
      <c r="GB67" t="e">
        <f>'All regions'!G1675+"n/&gt;!%5A"</f>
        <v>#VALUE!</v>
      </c>
      <c r="GC67" t="e">
        <f>'All regions'!H1675+"n/&gt;!%5B"</f>
        <v>#VALUE!</v>
      </c>
      <c r="GD67" t="e">
        <f>'All regions'!I1675+"n/&gt;!%5C"</f>
        <v>#VALUE!</v>
      </c>
      <c r="GE67" t="e">
        <f>'All regions'!J1675+"n/&gt;!%5D"</f>
        <v>#VALUE!</v>
      </c>
      <c r="GF67" t="e">
        <f>'All regions'!A1676+"n/&gt;!%5E"</f>
        <v>#VALUE!</v>
      </c>
      <c r="GG67" t="e">
        <f>'All regions'!B1676+"n/&gt;!%5F"</f>
        <v>#VALUE!</v>
      </c>
      <c r="GH67" t="e">
        <f>'All regions'!C1676+"n/&gt;!%5G"</f>
        <v>#VALUE!</v>
      </c>
      <c r="GI67" t="e">
        <f>'All regions'!D1676+"n/&gt;!%5H"</f>
        <v>#VALUE!</v>
      </c>
      <c r="GJ67" t="e">
        <f>'All regions'!E1676+"n/&gt;!%5I"</f>
        <v>#VALUE!</v>
      </c>
      <c r="GK67" t="e">
        <f>'All regions'!F1676+"n/&gt;!%5J"</f>
        <v>#VALUE!</v>
      </c>
      <c r="GL67" t="e">
        <f>'All regions'!G1676+"n/&gt;!%5K"</f>
        <v>#VALUE!</v>
      </c>
      <c r="GM67" t="e">
        <f>'All regions'!H1676+"n/&gt;!%5L"</f>
        <v>#VALUE!</v>
      </c>
      <c r="GN67" t="e">
        <f>'All regions'!I1676+"n/&gt;!%5M"</f>
        <v>#VALUE!</v>
      </c>
      <c r="GO67" t="e">
        <f>'All regions'!J1676+"n/&gt;!%5N"</f>
        <v>#VALUE!</v>
      </c>
      <c r="GP67" t="e">
        <f>'All regions'!A1677+"n/&gt;!%5O"</f>
        <v>#VALUE!</v>
      </c>
      <c r="GQ67" t="e">
        <f>'All regions'!B1677+"n/&gt;!%5P"</f>
        <v>#VALUE!</v>
      </c>
      <c r="GR67" t="e">
        <f>'All regions'!C1677+"n/&gt;!%5Q"</f>
        <v>#VALUE!</v>
      </c>
      <c r="GS67" t="e">
        <f>'All regions'!D1677+"n/&gt;!%5R"</f>
        <v>#VALUE!</v>
      </c>
      <c r="GT67" t="e">
        <f>'All regions'!E1677+"n/&gt;!%5S"</f>
        <v>#VALUE!</v>
      </c>
      <c r="GU67" t="e">
        <f>'All regions'!F1677+"n/&gt;!%5T"</f>
        <v>#VALUE!</v>
      </c>
      <c r="GV67" t="e">
        <f>'All regions'!G1677+"n/&gt;!%5U"</f>
        <v>#VALUE!</v>
      </c>
      <c r="GW67" t="e">
        <f>'All regions'!H1677+"n/&gt;!%5V"</f>
        <v>#VALUE!</v>
      </c>
      <c r="GX67" t="e">
        <f>'All regions'!I1677+"n/&gt;!%5W"</f>
        <v>#VALUE!</v>
      </c>
      <c r="GY67" t="e">
        <f>'All regions'!J1677+"n/&gt;!%5X"</f>
        <v>#VALUE!</v>
      </c>
      <c r="GZ67" t="e">
        <f>'All regions'!A1678+"n/&gt;!%5Y"</f>
        <v>#VALUE!</v>
      </c>
      <c r="HA67" t="e">
        <f>'All regions'!B1678+"n/&gt;!%5Z"</f>
        <v>#VALUE!</v>
      </c>
      <c r="HB67" t="e">
        <f>'All regions'!C1678+"n/&gt;!%5["</f>
        <v>#VALUE!</v>
      </c>
      <c r="HC67" t="e">
        <f>'All regions'!D1678+"n/&gt;!%5\"</f>
        <v>#VALUE!</v>
      </c>
      <c r="HD67" t="e">
        <f>'All regions'!E1678+"n/&gt;!%5]"</f>
        <v>#VALUE!</v>
      </c>
      <c r="HE67" t="e">
        <f>'All regions'!F1678+"n/&gt;!%5^"</f>
        <v>#VALUE!</v>
      </c>
      <c r="HF67" t="e">
        <f>'All regions'!G1678+"n/&gt;!%5_"</f>
        <v>#VALUE!</v>
      </c>
      <c r="HG67" t="e">
        <f>'All regions'!H1678+"n/&gt;!%5`"</f>
        <v>#VALUE!</v>
      </c>
      <c r="HH67" t="e">
        <f>'All regions'!I1678+"n/&gt;!%5a"</f>
        <v>#VALUE!</v>
      </c>
      <c r="HI67" t="e">
        <f>'All regions'!J1678+"n/&gt;!%5b"</f>
        <v>#VALUE!</v>
      </c>
      <c r="HJ67" t="e">
        <f>'All regions'!A1679+"n/&gt;!%5c"</f>
        <v>#VALUE!</v>
      </c>
      <c r="HK67" t="e">
        <f>'All regions'!B1679+"n/&gt;!%5d"</f>
        <v>#VALUE!</v>
      </c>
      <c r="HL67" t="e">
        <f>'All regions'!C1679+"n/&gt;!%5e"</f>
        <v>#VALUE!</v>
      </c>
      <c r="HM67" t="e">
        <f>'All regions'!D1679+"n/&gt;!%5f"</f>
        <v>#VALUE!</v>
      </c>
      <c r="HN67" t="e">
        <f>'All regions'!E1679+"n/&gt;!%5g"</f>
        <v>#VALUE!</v>
      </c>
      <c r="HO67" t="e">
        <f>'All regions'!F1679+"n/&gt;!%5h"</f>
        <v>#VALUE!</v>
      </c>
      <c r="HP67" t="e">
        <f>'All regions'!G1679+"n/&gt;!%5i"</f>
        <v>#VALUE!</v>
      </c>
      <c r="HQ67" t="e">
        <f>'All regions'!H1679+"n/&gt;!%5j"</f>
        <v>#VALUE!</v>
      </c>
      <c r="HR67" t="e">
        <f>'All regions'!I1679+"n/&gt;!%5k"</f>
        <v>#VALUE!</v>
      </c>
      <c r="HS67" t="e">
        <f>'All regions'!J1679+"n/&gt;!%5l"</f>
        <v>#VALUE!</v>
      </c>
      <c r="HT67" t="e">
        <f>'All regions'!A1680+"n/&gt;!%5m"</f>
        <v>#VALUE!</v>
      </c>
      <c r="HU67" t="e">
        <f>'All regions'!B1680+"n/&gt;!%5n"</f>
        <v>#VALUE!</v>
      </c>
      <c r="HV67" t="e">
        <f>'All regions'!C1680+"n/&gt;!%5o"</f>
        <v>#VALUE!</v>
      </c>
      <c r="HW67" t="e">
        <f>'All regions'!D1680+"n/&gt;!%5p"</f>
        <v>#VALUE!</v>
      </c>
      <c r="HX67" t="e">
        <f>'All regions'!E1680+"n/&gt;!%5q"</f>
        <v>#VALUE!</v>
      </c>
      <c r="HY67" t="e">
        <f>'All regions'!F1680+"n/&gt;!%5r"</f>
        <v>#VALUE!</v>
      </c>
      <c r="HZ67" t="e">
        <f>'All regions'!G1680+"n/&gt;!%5s"</f>
        <v>#VALUE!</v>
      </c>
      <c r="IA67" t="e">
        <f>'All regions'!H1680+"n/&gt;!%5t"</f>
        <v>#VALUE!</v>
      </c>
      <c r="IB67" t="e">
        <f>'All regions'!I1680+"n/&gt;!%5u"</f>
        <v>#VALUE!</v>
      </c>
      <c r="IC67" t="e">
        <f>'All regions'!J1680+"n/&gt;!%5v"</f>
        <v>#VALUE!</v>
      </c>
      <c r="ID67" t="e">
        <f>'All regions'!A1681+"n/&gt;!%5w"</f>
        <v>#VALUE!</v>
      </c>
      <c r="IE67" t="e">
        <f>'All regions'!B1681+"n/&gt;!%5x"</f>
        <v>#VALUE!</v>
      </c>
      <c r="IF67" t="e">
        <f>'All regions'!C1681+"n/&gt;!%5y"</f>
        <v>#VALUE!</v>
      </c>
      <c r="IG67" t="e">
        <f>'All regions'!D1681+"n/&gt;!%5z"</f>
        <v>#VALUE!</v>
      </c>
      <c r="IH67" t="e">
        <f>'All regions'!E1681+"n/&gt;!%5{"</f>
        <v>#VALUE!</v>
      </c>
      <c r="II67" t="e">
        <f>'All regions'!F1681+"n/&gt;!%5|"</f>
        <v>#VALUE!</v>
      </c>
      <c r="IJ67" t="e">
        <f>'All regions'!G1681+"n/&gt;!%5}"</f>
        <v>#VALUE!</v>
      </c>
      <c r="IK67" t="e">
        <f>'All regions'!H1681+"n/&gt;!%5~"</f>
        <v>#VALUE!</v>
      </c>
      <c r="IL67" t="e">
        <f>'All regions'!I1681+"n/&gt;!%6#"</f>
        <v>#VALUE!</v>
      </c>
      <c r="IM67" t="e">
        <f>'All regions'!J1681+"n/&gt;!%6$"</f>
        <v>#VALUE!</v>
      </c>
      <c r="IN67" t="e">
        <f>'All regions'!A1682+"n/&gt;!%6%"</f>
        <v>#VALUE!</v>
      </c>
      <c r="IO67" t="e">
        <f>'All regions'!B1682+"n/&gt;!%6&amp;"</f>
        <v>#VALUE!</v>
      </c>
      <c r="IP67" t="e">
        <f>'All regions'!C1682+"n/&gt;!%6'"</f>
        <v>#VALUE!</v>
      </c>
      <c r="IQ67" t="e">
        <f>'All regions'!D1682+"n/&gt;!%6("</f>
        <v>#VALUE!</v>
      </c>
      <c r="IR67" t="e">
        <f>'All regions'!E1682+"n/&gt;!%6)"</f>
        <v>#VALUE!</v>
      </c>
      <c r="IS67" t="e">
        <f>'All regions'!F1682+"n/&gt;!%6."</f>
        <v>#VALUE!</v>
      </c>
      <c r="IT67" t="e">
        <f>'All regions'!G1682+"n/&gt;!%6/"</f>
        <v>#VALUE!</v>
      </c>
      <c r="IU67" t="e">
        <f>'All regions'!H1682+"n/&gt;!%60"</f>
        <v>#VALUE!</v>
      </c>
      <c r="IV67" t="e">
        <f>'All regions'!I1682+"n/&gt;!%61"</f>
        <v>#VALUE!</v>
      </c>
    </row>
    <row r="68" spans="6:256" x14ac:dyDescent="0.35">
      <c r="F68" t="e">
        <f>'All regions'!J1682+"n/&gt;!%62"</f>
        <v>#VALUE!</v>
      </c>
      <c r="G68" t="e">
        <f>'All regions'!A1683+"n/&gt;!%63"</f>
        <v>#VALUE!</v>
      </c>
      <c r="H68" t="e">
        <f>'All regions'!B1683+"n/&gt;!%64"</f>
        <v>#VALUE!</v>
      </c>
      <c r="I68" t="e">
        <f>'All regions'!C1683+"n/&gt;!%65"</f>
        <v>#VALUE!</v>
      </c>
      <c r="J68" t="e">
        <f>'All regions'!D1683+"n/&gt;!%66"</f>
        <v>#VALUE!</v>
      </c>
      <c r="K68" t="e">
        <f>'All regions'!E1683+"n/&gt;!%67"</f>
        <v>#VALUE!</v>
      </c>
      <c r="L68" t="e">
        <f>'All regions'!F1683+"n/&gt;!%68"</f>
        <v>#VALUE!</v>
      </c>
      <c r="M68" t="e">
        <f>'All regions'!G1683+"n/&gt;!%69"</f>
        <v>#VALUE!</v>
      </c>
      <c r="N68" t="e">
        <f>'All regions'!H1683+"n/&gt;!%6:"</f>
        <v>#VALUE!</v>
      </c>
      <c r="O68" t="e">
        <f>'All regions'!I1683+"n/&gt;!%6;"</f>
        <v>#VALUE!</v>
      </c>
      <c r="P68" t="e">
        <f>'All regions'!J1683+"n/&gt;!%6&lt;"</f>
        <v>#VALUE!</v>
      </c>
      <c r="Q68" t="e">
        <f>'All regions'!A1684+"n/&gt;!%6="</f>
        <v>#VALUE!</v>
      </c>
      <c r="R68" t="e">
        <f>'All regions'!B1684+"n/&gt;!%6&gt;"</f>
        <v>#VALUE!</v>
      </c>
      <c r="S68" t="e">
        <f>'All regions'!C1684+"n/&gt;!%6?"</f>
        <v>#VALUE!</v>
      </c>
      <c r="T68" t="e">
        <f>'All regions'!D1684+"n/&gt;!%6@"</f>
        <v>#VALUE!</v>
      </c>
      <c r="U68" t="e">
        <f>'All regions'!E1684+"n/&gt;!%6A"</f>
        <v>#VALUE!</v>
      </c>
      <c r="V68" t="e">
        <f>'All regions'!F1684+"n/&gt;!%6B"</f>
        <v>#VALUE!</v>
      </c>
      <c r="W68" t="e">
        <f>'All regions'!G1684+"n/&gt;!%6C"</f>
        <v>#VALUE!</v>
      </c>
      <c r="X68" t="e">
        <f>'All regions'!H1684+"n/&gt;!%6D"</f>
        <v>#VALUE!</v>
      </c>
      <c r="Y68" t="e">
        <f>'All regions'!I1684+"n/&gt;!%6E"</f>
        <v>#VALUE!</v>
      </c>
      <c r="Z68" t="e">
        <f>'All regions'!J1684+"n/&gt;!%6F"</f>
        <v>#VALUE!</v>
      </c>
      <c r="AA68" t="e">
        <f>'All regions'!A1685+"n/&gt;!%6G"</f>
        <v>#VALUE!</v>
      </c>
      <c r="AB68" t="e">
        <f>'All regions'!B1685+"n/&gt;!%6H"</f>
        <v>#VALUE!</v>
      </c>
      <c r="AC68" t="e">
        <f>'All regions'!C1685+"n/&gt;!%6I"</f>
        <v>#VALUE!</v>
      </c>
      <c r="AD68" t="e">
        <f>'All regions'!D1685+"n/&gt;!%6J"</f>
        <v>#VALUE!</v>
      </c>
      <c r="AE68" t="e">
        <f>'All regions'!E1685+"n/&gt;!%6K"</f>
        <v>#VALUE!</v>
      </c>
      <c r="AF68" t="e">
        <f>'All regions'!F1685+"n/&gt;!%6L"</f>
        <v>#VALUE!</v>
      </c>
      <c r="AG68" t="e">
        <f>'All regions'!G1685+"n/&gt;!%6M"</f>
        <v>#VALUE!</v>
      </c>
      <c r="AH68" t="e">
        <f>'All regions'!H1685+"n/&gt;!%6N"</f>
        <v>#VALUE!</v>
      </c>
      <c r="AI68" t="e">
        <f>'All regions'!I1685+"n/&gt;!%6O"</f>
        <v>#VALUE!</v>
      </c>
      <c r="AJ68" t="e">
        <f>'All regions'!J1685+"n/&gt;!%6P"</f>
        <v>#VALUE!</v>
      </c>
      <c r="AK68" t="e">
        <f>'All regions'!A1686+"n/&gt;!%6Q"</f>
        <v>#VALUE!</v>
      </c>
      <c r="AL68" t="e">
        <f>'All regions'!B1686+"n/&gt;!%6R"</f>
        <v>#VALUE!</v>
      </c>
      <c r="AM68" t="e">
        <f>'All regions'!C1686+"n/&gt;!%6S"</f>
        <v>#VALUE!</v>
      </c>
      <c r="AN68" t="e">
        <f>'All regions'!D1686+"n/&gt;!%6T"</f>
        <v>#VALUE!</v>
      </c>
      <c r="AO68" t="e">
        <f>'All regions'!E1686+"n/&gt;!%6U"</f>
        <v>#VALUE!</v>
      </c>
      <c r="AP68" t="e">
        <f>'All regions'!F1686+"n/&gt;!%6V"</f>
        <v>#VALUE!</v>
      </c>
      <c r="AQ68" t="e">
        <f>'All regions'!G1686+"n/&gt;!%6W"</f>
        <v>#VALUE!</v>
      </c>
      <c r="AR68" t="e">
        <f>'All regions'!H1686+"n/&gt;!%6X"</f>
        <v>#VALUE!</v>
      </c>
      <c r="AS68" t="e">
        <f>'All regions'!I1686+"n/&gt;!%6Y"</f>
        <v>#VALUE!</v>
      </c>
      <c r="AT68" t="e">
        <f>'All regions'!J1686+"n/&gt;!%6Z"</f>
        <v>#VALUE!</v>
      </c>
      <c r="AU68" t="e">
        <f>'All regions'!A1687+"n/&gt;!%6["</f>
        <v>#VALUE!</v>
      </c>
      <c r="AV68" t="e">
        <f>'All regions'!B1687+"n/&gt;!%6\"</f>
        <v>#VALUE!</v>
      </c>
      <c r="AW68" t="e">
        <f>'All regions'!C1687+"n/&gt;!%6]"</f>
        <v>#VALUE!</v>
      </c>
      <c r="AX68" t="e">
        <f>'All regions'!D1687+"n/&gt;!%6^"</f>
        <v>#VALUE!</v>
      </c>
      <c r="AY68" t="e">
        <f>'All regions'!E1687+"n/&gt;!%6_"</f>
        <v>#VALUE!</v>
      </c>
      <c r="AZ68" t="e">
        <f>'All regions'!F1687+"n/&gt;!%6`"</f>
        <v>#VALUE!</v>
      </c>
      <c r="BA68" t="e">
        <f>'All regions'!G1687+"n/&gt;!%6a"</f>
        <v>#VALUE!</v>
      </c>
      <c r="BB68" t="e">
        <f>'All regions'!H1687+"n/&gt;!%6b"</f>
        <v>#VALUE!</v>
      </c>
      <c r="BC68" t="e">
        <f>'All regions'!I1687+"n/&gt;!%6c"</f>
        <v>#VALUE!</v>
      </c>
      <c r="BD68" t="e">
        <f>'All regions'!J1687+"n/&gt;!%6d"</f>
        <v>#VALUE!</v>
      </c>
      <c r="BE68" t="e">
        <f>'All regions'!A1688+"n/&gt;!%6e"</f>
        <v>#VALUE!</v>
      </c>
      <c r="BF68" t="e">
        <f>'All regions'!B1688+"n/&gt;!%6f"</f>
        <v>#VALUE!</v>
      </c>
      <c r="BG68" t="e">
        <f>'All regions'!C1688+"n/&gt;!%6g"</f>
        <v>#VALUE!</v>
      </c>
      <c r="BH68" t="e">
        <f>'All regions'!D1688+"n/&gt;!%6h"</f>
        <v>#VALUE!</v>
      </c>
      <c r="BI68" t="e">
        <f>'All regions'!E1688+"n/&gt;!%6i"</f>
        <v>#VALUE!</v>
      </c>
      <c r="BJ68" t="e">
        <f>'All regions'!F1688+"n/&gt;!%6j"</f>
        <v>#VALUE!</v>
      </c>
      <c r="BK68" t="e">
        <f>'All regions'!G1688+"n/&gt;!%6k"</f>
        <v>#VALUE!</v>
      </c>
      <c r="BL68" t="e">
        <f>'All regions'!H1688+"n/&gt;!%6l"</f>
        <v>#VALUE!</v>
      </c>
      <c r="BM68" t="e">
        <f>'All regions'!I1688+"n/&gt;!%6m"</f>
        <v>#VALUE!</v>
      </c>
      <c r="BN68" t="e">
        <f>'All regions'!J1688+"n/&gt;!%6n"</f>
        <v>#VALUE!</v>
      </c>
      <c r="BO68" t="e">
        <f>'All regions'!A1689+"n/&gt;!%6o"</f>
        <v>#VALUE!</v>
      </c>
      <c r="BP68" t="e">
        <f>'All regions'!B1689+"n/&gt;!%6p"</f>
        <v>#VALUE!</v>
      </c>
      <c r="BQ68" t="e">
        <f>'All regions'!C1689+"n/&gt;!%6q"</f>
        <v>#VALUE!</v>
      </c>
      <c r="BR68" t="e">
        <f>'All regions'!D1689+"n/&gt;!%6r"</f>
        <v>#VALUE!</v>
      </c>
      <c r="BS68" t="e">
        <f>'All regions'!E1689+"n/&gt;!%6s"</f>
        <v>#VALUE!</v>
      </c>
      <c r="BT68" t="e">
        <f>'All regions'!F1689+"n/&gt;!%6t"</f>
        <v>#VALUE!</v>
      </c>
      <c r="BU68" t="e">
        <f>'All regions'!G1689+"n/&gt;!%6u"</f>
        <v>#VALUE!</v>
      </c>
      <c r="BV68" t="e">
        <f>'All regions'!H1689+"n/&gt;!%6v"</f>
        <v>#VALUE!</v>
      </c>
      <c r="BW68" t="e">
        <f>'All regions'!I1689+"n/&gt;!%6w"</f>
        <v>#VALUE!</v>
      </c>
      <c r="BX68" t="e">
        <f>'All regions'!J1689+"n/&gt;!%6x"</f>
        <v>#VALUE!</v>
      </c>
      <c r="BY68" t="e">
        <f>'All regions'!A1690+"n/&gt;!%6y"</f>
        <v>#VALUE!</v>
      </c>
      <c r="BZ68" t="e">
        <f>'All regions'!B1690+"n/&gt;!%6z"</f>
        <v>#VALUE!</v>
      </c>
      <c r="CA68" t="e">
        <f>'All regions'!C1690+"n/&gt;!%6{"</f>
        <v>#VALUE!</v>
      </c>
      <c r="CB68" t="e">
        <f>'All regions'!D1690+"n/&gt;!%6|"</f>
        <v>#VALUE!</v>
      </c>
      <c r="CC68" t="e">
        <f>'All regions'!E1690+"n/&gt;!%6}"</f>
        <v>#VALUE!</v>
      </c>
      <c r="CD68" t="e">
        <f>'All regions'!F1690+"n/&gt;!%6~"</f>
        <v>#VALUE!</v>
      </c>
      <c r="CE68" t="e">
        <f>'All regions'!G1690+"n/&gt;!%7#"</f>
        <v>#VALUE!</v>
      </c>
      <c r="CF68" t="e">
        <f>'All regions'!H1690+"n/&gt;!%7$"</f>
        <v>#VALUE!</v>
      </c>
      <c r="CG68" t="e">
        <f>'All regions'!I1690+"n/&gt;!%7%"</f>
        <v>#VALUE!</v>
      </c>
      <c r="CH68" t="e">
        <f>'All regions'!J1690+"n/&gt;!%7&amp;"</f>
        <v>#VALUE!</v>
      </c>
      <c r="CI68" t="e">
        <f>'All regions'!A1691+"n/&gt;!%7'"</f>
        <v>#VALUE!</v>
      </c>
      <c r="CJ68" t="e">
        <f>'All regions'!B1691+"n/&gt;!%7("</f>
        <v>#VALUE!</v>
      </c>
      <c r="CK68" t="e">
        <f>'All regions'!C1691+"n/&gt;!%7)"</f>
        <v>#VALUE!</v>
      </c>
      <c r="CL68" t="e">
        <f>'All regions'!D1691+"n/&gt;!%7."</f>
        <v>#VALUE!</v>
      </c>
      <c r="CM68" t="e">
        <f>'All regions'!E1691+"n/&gt;!%7/"</f>
        <v>#VALUE!</v>
      </c>
      <c r="CN68" t="e">
        <f>'All regions'!F1691+"n/&gt;!%70"</f>
        <v>#VALUE!</v>
      </c>
      <c r="CO68" t="e">
        <f>'All regions'!G1691+"n/&gt;!%71"</f>
        <v>#VALUE!</v>
      </c>
      <c r="CP68" t="e">
        <f>'All regions'!H1691+"n/&gt;!%72"</f>
        <v>#VALUE!</v>
      </c>
      <c r="CQ68" t="e">
        <f>'All regions'!I1691+"n/&gt;!%73"</f>
        <v>#VALUE!</v>
      </c>
      <c r="CR68" t="e">
        <f>'All regions'!J1691+"n/&gt;!%74"</f>
        <v>#VALUE!</v>
      </c>
      <c r="CS68" t="e">
        <f>'All regions'!A1692+"n/&gt;!%75"</f>
        <v>#VALUE!</v>
      </c>
      <c r="CT68" t="e">
        <f>'All regions'!B1692+"n/&gt;!%76"</f>
        <v>#VALUE!</v>
      </c>
      <c r="CU68" t="e">
        <f>'All regions'!C1692+"n/&gt;!%77"</f>
        <v>#VALUE!</v>
      </c>
      <c r="CV68" t="e">
        <f>'All regions'!D1692+"n/&gt;!%78"</f>
        <v>#VALUE!</v>
      </c>
      <c r="CW68" t="e">
        <f>'All regions'!E1692+"n/&gt;!%79"</f>
        <v>#VALUE!</v>
      </c>
      <c r="CX68" t="e">
        <f>'All regions'!F1692+"n/&gt;!%7:"</f>
        <v>#VALUE!</v>
      </c>
      <c r="CY68" t="e">
        <f>'All regions'!G1692+"n/&gt;!%7;"</f>
        <v>#VALUE!</v>
      </c>
      <c r="CZ68" t="e">
        <f>'All regions'!H1692+"n/&gt;!%7&lt;"</f>
        <v>#VALUE!</v>
      </c>
      <c r="DA68" t="e">
        <f>'All regions'!I1692+"n/&gt;!%7="</f>
        <v>#VALUE!</v>
      </c>
      <c r="DB68" t="e">
        <f>'All regions'!J1692+"n/&gt;!%7&gt;"</f>
        <v>#VALUE!</v>
      </c>
      <c r="DC68" t="e">
        <f>'All regions'!A1693+"n/&gt;!%7?"</f>
        <v>#VALUE!</v>
      </c>
      <c r="DD68" t="e">
        <f>'All regions'!B1693+"n/&gt;!%7@"</f>
        <v>#VALUE!</v>
      </c>
      <c r="DE68" t="e">
        <f>'All regions'!C1693+"n/&gt;!%7A"</f>
        <v>#VALUE!</v>
      </c>
      <c r="DF68" t="e">
        <f>'All regions'!D1693+"n/&gt;!%7B"</f>
        <v>#VALUE!</v>
      </c>
      <c r="DG68" t="e">
        <f>'All regions'!E1693+"n/&gt;!%7C"</f>
        <v>#VALUE!</v>
      </c>
      <c r="DH68" t="e">
        <f>'All regions'!F1693+"n/&gt;!%7D"</f>
        <v>#VALUE!</v>
      </c>
      <c r="DI68" t="e">
        <f>'All regions'!G1693+"n/&gt;!%7E"</f>
        <v>#VALUE!</v>
      </c>
      <c r="DJ68" t="e">
        <f>'All regions'!H1693+"n/&gt;!%7F"</f>
        <v>#VALUE!</v>
      </c>
      <c r="DK68" t="e">
        <f>'All regions'!I1693+"n/&gt;!%7G"</f>
        <v>#VALUE!</v>
      </c>
      <c r="DL68" t="e">
        <f>'All regions'!J1693+"n/&gt;!%7H"</f>
        <v>#VALUE!</v>
      </c>
      <c r="DM68" t="e">
        <f>'All regions'!A1694+"n/&gt;!%7I"</f>
        <v>#VALUE!</v>
      </c>
      <c r="DN68" t="e">
        <f>'All regions'!B1694+"n/&gt;!%7J"</f>
        <v>#VALUE!</v>
      </c>
      <c r="DO68" t="e">
        <f>'All regions'!C1694+"n/&gt;!%7K"</f>
        <v>#VALUE!</v>
      </c>
      <c r="DP68" t="e">
        <f>'All regions'!D1694+"n/&gt;!%7L"</f>
        <v>#VALUE!</v>
      </c>
      <c r="DQ68" t="e">
        <f>'All regions'!E1694+"n/&gt;!%7M"</f>
        <v>#VALUE!</v>
      </c>
      <c r="DR68" t="e">
        <f>'All regions'!F1694+"n/&gt;!%7N"</f>
        <v>#VALUE!</v>
      </c>
      <c r="DS68" t="e">
        <f>'All regions'!G1694+"n/&gt;!%7O"</f>
        <v>#VALUE!</v>
      </c>
      <c r="DT68" t="e">
        <f>'All regions'!H1694+"n/&gt;!%7P"</f>
        <v>#VALUE!</v>
      </c>
      <c r="DU68" t="e">
        <f>'All regions'!I1694+"n/&gt;!%7Q"</f>
        <v>#VALUE!</v>
      </c>
      <c r="DV68" t="e">
        <f>'All regions'!J1694+"n/&gt;!%7R"</f>
        <v>#VALUE!</v>
      </c>
      <c r="DW68" t="e">
        <f>'All regions'!A1695+"n/&gt;!%7S"</f>
        <v>#VALUE!</v>
      </c>
      <c r="DX68" t="e">
        <f>'All regions'!B1695+"n/&gt;!%7T"</f>
        <v>#VALUE!</v>
      </c>
      <c r="DY68" t="e">
        <f>'All regions'!C1695+"n/&gt;!%7U"</f>
        <v>#VALUE!</v>
      </c>
      <c r="DZ68" t="e">
        <f>'All regions'!D1695+"n/&gt;!%7V"</f>
        <v>#VALUE!</v>
      </c>
      <c r="EA68" t="e">
        <f>'All regions'!E1695+"n/&gt;!%7W"</f>
        <v>#VALUE!</v>
      </c>
      <c r="EB68" t="e">
        <f>'All regions'!F1695+"n/&gt;!%7X"</f>
        <v>#VALUE!</v>
      </c>
      <c r="EC68" t="e">
        <f>'All regions'!G1695+"n/&gt;!%7Y"</f>
        <v>#VALUE!</v>
      </c>
      <c r="ED68" t="e">
        <f>'All regions'!H1695+"n/&gt;!%7Z"</f>
        <v>#VALUE!</v>
      </c>
      <c r="EE68" t="e">
        <f>'All regions'!I1695+"n/&gt;!%7["</f>
        <v>#VALUE!</v>
      </c>
      <c r="EF68" t="e">
        <f>'All regions'!J1695+"n/&gt;!%7\"</f>
        <v>#VALUE!</v>
      </c>
      <c r="EG68" t="e">
        <f>'All regions'!A1696+"n/&gt;!%7]"</f>
        <v>#VALUE!</v>
      </c>
      <c r="EH68" t="e">
        <f>'All regions'!B1696+"n/&gt;!%7^"</f>
        <v>#VALUE!</v>
      </c>
      <c r="EI68" t="e">
        <f>'All regions'!C1696+"n/&gt;!%7_"</f>
        <v>#VALUE!</v>
      </c>
      <c r="EJ68" t="e">
        <f>'All regions'!D1696+"n/&gt;!%7`"</f>
        <v>#VALUE!</v>
      </c>
      <c r="EK68" t="e">
        <f>'All regions'!E1696+"n/&gt;!%7a"</f>
        <v>#VALUE!</v>
      </c>
      <c r="EL68" t="e">
        <f>'All regions'!F1696+"n/&gt;!%7b"</f>
        <v>#VALUE!</v>
      </c>
      <c r="EM68" t="e">
        <f>'All regions'!G1696+"n/&gt;!%7c"</f>
        <v>#VALUE!</v>
      </c>
      <c r="EN68" t="e">
        <f>'All regions'!H1696+"n/&gt;!%7d"</f>
        <v>#VALUE!</v>
      </c>
      <c r="EO68" t="e">
        <f>'All regions'!I1696+"n/&gt;!%7e"</f>
        <v>#VALUE!</v>
      </c>
      <c r="EP68" t="e">
        <f>'All regions'!J1696+"n/&gt;!%7f"</f>
        <v>#VALUE!</v>
      </c>
      <c r="EQ68" t="e">
        <f>'All regions'!A1697+"n/&gt;!%7g"</f>
        <v>#VALUE!</v>
      </c>
      <c r="ER68" t="e">
        <f>'All regions'!B1697+"n/&gt;!%7h"</f>
        <v>#VALUE!</v>
      </c>
      <c r="ES68" t="e">
        <f>'All regions'!C1697+"n/&gt;!%7i"</f>
        <v>#VALUE!</v>
      </c>
      <c r="ET68" t="e">
        <f>'All regions'!D1697+"n/&gt;!%7j"</f>
        <v>#VALUE!</v>
      </c>
      <c r="EU68" t="e">
        <f>'All regions'!E1697+"n/&gt;!%7k"</f>
        <v>#VALUE!</v>
      </c>
      <c r="EV68" t="e">
        <f>'All regions'!F1697+"n/&gt;!%7l"</f>
        <v>#VALUE!</v>
      </c>
      <c r="EW68" t="e">
        <f>'All regions'!G1697+"n/&gt;!%7m"</f>
        <v>#VALUE!</v>
      </c>
      <c r="EX68" t="e">
        <f>'All regions'!H1697+"n/&gt;!%7n"</f>
        <v>#VALUE!</v>
      </c>
      <c r="EY68" t="e">
        <f>'All regions'!I1697+"n/&gt;!%7o"</f>
        <v>#VALUE!</v>
      </c>
      <c r="EZ68" t="e">
        <f>'All regions'!J1697+"n/&gt;!%7p"</f>
        <v>#VALUE!</v>
      </c>
      <c r="FA68" t="e">
        <f>'All regions'!A1698+"n/&gt;!%7q"</f>
        <v>#VALUE!</v>
      </c>
      <c r="FB68" t="e">
        <f>'All regions'!B1698+"n/&gt;!%7r"</f>
        <v>#VALUE!</v>
      </c>
      <c r="FC68" t="e">
        <f>'All regions'!C1698+"n/&gt;!%7s"</f>
        <v>#VALUE!</v>
      </c>
      <c r="FD68" t="e">
        <f>'All regions'!D1698+"n/&gt;!%7t"</f>
        <v>#VALUE!</v>
      </c>
      <c r="FE68" t="e">
        <f>'All regions'!E1698+"n/&gt;!%7u"</f>
        <v>#VALUE!</v>
      </c>
      <c r="FF68" t="e">
        <f>'All regions'!F1698+"n/&gt;!%7v"</f>
        <v>#VALUE!</v>
      </c>
      <c r="FG68" t="e">
        <f>'All regions'!G1698+"n/&gt;!%7w"</f>
        <v>#VALUE!</v>
      </c>
      <c r="FH68" t="e">
        <f>'All regions'!H1698+"n/&gt;!%7x"</f>
        <v>#VALUE!</v>
      </c>
      <c r="FI68" t="e">
        <f>'All regions'!I1698+"n/&gt;!%7y"</f>
        <v>#VALUE!</v>
      </c>
      <c r="FJ68" t="e">
        <f>'All regions'!J1698+"n/&gt;!%7z"</f>
        <v>#VALUE!</v>
      </c>
      <c r="FK68" t="e">
        <f>'All regions'!A1699+"n/&gt;!%7{"</f>
        <v>#VALUE!</v>
      </c>
      <c r="FL68" t="e">
        <f>'All regions'!B1699+"n/&gt;!%7|"</f>
        <v>#VALUE!</v>
      </c>
      <c r="FM68" t="e">
        <f>'All regions'!C1699+"n/&gt;!%7}"</f>
        <v>#VALUE!</v>
      </c>
      <c r="FN68" t="e">
        <f>'All regions'!D1699+"n/&gt;!%7~"</f>
        <v>#VALUE!</v>
      </c>
      <c r="FO68" t="e">
        <f>'All regions'!E1699+"n/&gt;!%8#"</f>
        <v>#VALUE!</v>
      </c>
      <c r="FP68" t="e">
        <f>'All regions'!F1699+"n/&gt;!%8$"</f>
        <v>#VALUE!</v>
      </c>
      <c r="FQ68" t="e">
        <f>'All regions'!G1699+"n/&gt;!%8%"</f>
        <v>#VALUE!</v>
      </c>
      <c r="FR68" t="e">
        <f>'All regions'!H1699+"n/&gt;!%8&amp;"</f>
        <v>#VALUE!</v>
      </c>
      <c r="FS68" t="e">
        <f>'All regions'!I1699+"n/&gt;!%8'"</f>
        <v>#VALUE!</v>
      </c>
      <c r="FT68" t="e">
        <f>'All regions'!J1699+"n/&gt;!%8("</f>
        <v>#VALUE!</v>
      </c>
      <c r="FU68" t="e">
        <f>'All regions'!A1700+"n/&gt;!%8)"</f>
        <v>#VALUE!</v>
      </c>
      <c r="FV68" t="e">
        <f>'All regions'!B1700+"n/&gt;!%8."</f>
        <v>#VALUE!</v>
      </c>
      <c r="FW68" t="e">
        <f>'All regions'!C1700+"n/&gt;!%8/"</f>
        <v>#VALUE!</v>
      </c>
      <c r="FX68" t="e">
        <f>'All regions'!D1700+"n/&gt;!%80"</f>
        <v>#VALUE!</v>
      </c>
      <c r="FY68" t="e">
        <f>'All regions'!E1700+"n/&gt;!%81"</f>
        <v>#VALUE!</v>
      </c>
      <c r="FZ68" t="e">
        <f>'All regions'!F1700+"n/&gt;!%82"</f>
        <v>#VALUE!</v>
      </c>
      <c r="GA68" t="e">
        <f>'All regions'!G1700+"n/&gt;!%83"</f>
        <v>#VALUE!</v>
      </c>
      <c r="GB68" t="e">
        <f>'All regions'!H1700+"n/&gt;!%84"</f>
        <v>#VALUE!</v>
      </c>
      <c r="GC68" t="e">
        <f>'All regions'!I1700+"n/&gt;!%85"</f>
        <v>#VALUE!</v>
      </c>
      <c r="GD68" t="e">
        <f>'All regions'!J1700+"n/&gt;!%86"</f>
        <v>#VALUE!</v>
      </c>
      <c r="GE68" t="e">
        <f>'All regions'!A1701+"n/&gt;!%87"</f>
        <v>#VALUE!</v>
      </c>
      <c r="GF68" t="e">
        <f>'All regions'!B1701+"n/&gt;!%88"</f>
        <v>#VALUE!</v>
      </c>
      <c r="GG68" t="e">
        <f>'All regions'!C1701+"n/&gt;!%89"</f>
        <v>#VALUE!</v>
      </c>
      <c r="GH68" t="e">
        <f>'All regions'!D1701+"n/&gt;!%8:"</f>
        <v>#VALUE!</v>
      </c>
      <c r="GI68" t="e">
        <f>'All regions'!E1701+"n/&gt;!%8;"</f>
        <v>#VALUE!</v>
      </c>
      <c r="GJ68" t="e">
        <f>'All regions'!F1701+"n/&gt;!%8&lt;"</f>
        <v>#VALUE!</v>
      </c>
      <c r="GK68" t="e">
        <f>'All regions'!G1701+"n/&gt;!%8="</f>
        <v>#VALUE!</v>
      </c>
      <c r="GL68" t="e">
        <f>'All regions'!H1701+"n/&gt;!%8&gt;"</f>
        <v>#VALUE!</v>
      </c>
      <c r="GM68" t="e">
        <f>'All regions'!I1701+"n/&gt;!%8?"</f>
        <v>#VALUE!</v>
      </c>
      <c r="GN68" t="e">
        <f>'All regions'!J1701+"n/&gt;!%8@"</f>
        <v>#VALUE!</v>
      </c>
      <c r="GO68" t="e">
        <f>'All regions'!A1702+"n/&gt;!%8A"</f>
        <v>#VALUE!</v>
      </c>
      <c r="GP68" t="e">
        <f>'All regions'!B1702+"n/&gt;!%8B"</f>
        <v>#VALUE!</v>
      </c>
      <c r="GQ68" t="e">
        <f>'All regions'!C1702+"n/&gt;!%8C"</f>
        <v>#VALUE!</v>
      </c>
      <c r="GR68" t="e">
        <f>'All regions'!D1702+"n/&gt;!%8D"</f>
        <v>#VALUE!</v>
      </c>
      <c r="GS68" t="e">
        <f>'All regions'!E1702+"n/&gt;!%8E"</f>
        <v>#VALUE!</v>
      </c>
      <c r="GT68" t="e">
        <f>'All regions'!F1702+"n/&gt;!%8F"</f>
        <v>#VALUE!</v>
      </c>
      <c r="GU68" t="e">
        <f>'All regions'!G1702+"n/&gt;!%8G"</f>
        <v>#VALUE!</v>
      </c>
      <c r="GV68" t="e">
        <f>'All regions'!H1702+"n/&gt;!%8H"</f>
        <v>#VALUE!</v>
      </c>
      <c r="GW68" t="e">
        <f>'All regions'!I1702+"n/&gt;!%8I"</f>
        <v>#VALUE!</v>
      </c>
      <c r="GX68" t="e">
        <f>'All regions'!J1702+"n/&gt;!%8J"</f>
        <v>#VALUE!</v>
      </c>
      <c r="GY68" t="e">
        <f>'All regions'!A1703+"n/&gt;!%8K"</f>
        <v>#VALUE!</v>
      </c>
      <c r="GZ68" t="e">
        <f>'All regions'!B1703+"n/&gt;!%8L"</f>
        <v>#VALUE!</v>
      </c>
      <c r="HA68" t="e">
        <f>'All regions'!C1703+"n/&gt;!%8M"</f>
        <v>#VALUE!</v>
      </c>
      <c r="HB68" t="e">
        <f>'All regions'!D1703+"n/&gt;!%8N"</f>
        <v>#VALUE!</v>
      </c>
      <c r="HC68" t="e">
        <f>'All regions'!E1703+"n/&gt;!%8O"</f>
        <v>#VALUE!</v>
      </c>
      <c r="HD68" t="e">
        <f>'All regions'!F1703+"n/&gt;!%8P"</f>
        <v>#VALUE!</v>
      </c>
      <c r="HE68" t="e">
        <f>'All regions'!G1703+"n/&gt;!%8Q"</f>
        <v>#VALUE!</v>
      </c>
      <c r="HF68" t="e">
        <f>'All regions'!H1703+"n/&gt;!%8R"</f>
        <v>#VALUE!</v>
      </c>
      <c r="HG68" t="e">
        <f>'All regions'!I1703+"n/&gt;!%8S"</f>
        <v>#VALUE!</v>
      </c>
      <c r="HH68" t="e">
        <f>'All regions'!J1703+"n/&gt;!%8T"</f>
        <v>#VALUE!</v>
      </c>
      <c r="HI68" t="e">
        <f>'All regions'!A1704+"n/&gt;!%8U"</f>
        <v>#VALUE!</v>
      </c>
      <c r="HJ68" t="e">
        <f>'All regions'!B1704+"n/&gt;!%8V"</f>
        <v>#VALUE!</v>
      </c>
      <c r="HK68" t="e">
        <f>'All regions'!C1704+"n/&gt;!%8W"</f>
        <v>#VALUE!</v>
      </c>
      <c r="HL68" t="e">
        <f>'All regions'!D1704+"n/&gt;!%8X"</f>
        <v>#VALUE!</v>
      </c>
      <c r="HM68" t="e">
        <f>'All regions'!E1704+"n/&gt;!%8Y"</f>
        <v>#VALUE!</v>
      </c>
      <c r="HN68" t="e">
        <f>'All regions'!F1704+"n/&gt;!%8Z"</f>
        <v>#VALUE!</v>
      </c>
      <c r="HO68" t="e">
        <f>'All regions'!G1704+"n/&gt;!%8["</f>
        <v>#VALUE!</v>
      </c>
      <c r="HP68" t="e">
        <f>'All regions'!H1704+"n/&gt;!%8\"</f>
        <v>#VALUE!</v>
      </c>
      <c r="HQ68" t="e">
        <f>'All regions'!I1704+"n/&gt;!%8]"</f>
        <v>#VALUE!</v>
      </c>
      <c r="HR68" t="e">
        <f>'All regions'!J1704+"n/&gt;!%8^"</f>
        <v>#VALUE!</v>
      </c>
      <c r="HS68" t="e">
        <f>'All regions'!A1705+"n/&gt;!%8_"</f>
        <v>#VALUE!</v>
      </c>
      <c r="HT68" t="e">
        <f>'All regions'!B1705+"n/&gt;!%8`"</f>
        <v>#VALUE!</v>
      </c>
      <c r="HU68" t="e">
        <f>'All regions'!C1705+"n/&gt;!%8a"</f>
        <v>#VALUE!</v>
      </c>
      <c r="HV68" t="e">
        <f>'All regions'!D1705+"n/&gt;!%8b"</f>
        <v>#VALUE!</v>
      </c>
      <c r="HW68" t="e">
        <f>'All regions'!E1705+"n/&gt;!%8c"</f>
        <v>#VALUE!</v>
      </c>
      <c r="HX68" t="e">
        <f>'All regions'!F1705+"n/&gt;!%8d"</f>
        <v>#VALUE!</v>
      </c>
      <c r="HY68" t="e">
        <f>'All regions'!G1705+"n/&gt;!%8e"</f>
        <v>#VALUE!</v>
      </c>
      <c r="HZ68" t="e">
        <f>'All regions'!H1705+"n/&gt;!%8f"</f>
        <v>#VALUE!</v>
      </c>
      <c r="IA68" t="e">
        <f>'All regions'!I1705+"n/&gt;!%8g"</f>
        <v>#VALUE!</v>
      </c>
      <c r="IB68" t="e">
        <f>'All regions'!J1705+"n/&gt;!%8h"</f>
        <v>#VALUE!</v>
      </c>
      <c r="IC68" t="e">
        <f>'All regions'!A1706+"n/&gt;!%8i"</f>
        <v>#VALUE!</v>
      </c>
      <c r="ID68" t="e">
        <f>'All regions'!B1706+"n/&gt;!%8j"</f>
        <v>#VALUE!</v>
      </c>
      <c r="IE68" t="e">
        <f>'All regions'!C1706+"n/&gt;!%8k"</f>
        <v>#VALUE!</v>
      </c>
      <c r="IF68" t="e">
        <f>'All regions'!D1706+"n/&gt;!%8l"</f>
        <v>#VALUE!</v>
      </c>
      <c r="IG68" t="e">
        <f>'All regions'!E1706+"n/&gt;!%8m"</f>
        <v>#VALUE!</v>
      </c>
      <c r="IH68" t="e">
        <f>'All regions'!F1706+"n/&gt;!%8n"</f>
        <v>#VALUE!</v>
      </c>
      <c r="II68" t="e">
        <f>'All regions'!G1706+"n/&gt;!%8o"</f>
        <v>#VALUE!</v>
      </c>
      <c r="IJ68" t="e">
        <f>'All regions'!H1706+"n/&gt;!%8p"</f>
        <v>#VALUE!</v>
      </c>
      <c r="IK68" t="e">
        <f>'All regions'!I1706+"n/&gt;!%8q"</f>
        <v>#VALUE!</v>
      </c>
      <c r="IL68" t="e">
        <f>'All regions'!J1706+"n/&gt;!%8r"</f>
        <v>#VALUE!</v>
      </c>
      <c r="IM68" t="e">
        <f>'All regions'!A1707+"n/&gt;!%8s"</f>
        <v>#VALUE!</v>
      </c>
      <c r="IN68" t="e">
        <f>'All regions'!B1707+"n/&gt;!%8t"</f>
        <v>#VALUE!</v>
      </c>
      <c r="IO68" t="e">
        <f>'All regions'!C1707+"n/&gt;!%8u"</f>
        <v>#VALUE!</v>
      </c>
      <c r="IP68" t="e">
        <f>'All regions'!D1707+"n/&gt;!%8v"</f>
        <v>#VALUE!</v>
      </c>
      <c r="IQ68" t="e">
        <f>'All regions'!E1707+"n/&gt;!%8w"</f>
        <v>#VALUE!</v>
      </c>
      <c r="IR68" t="e">
        <f>'All regions'!F1707+"n/&gt;!%8x"</f>
        <v>#VALUE!</v>
      </c>
      <c r="IS68" t="e">
        <f>'All regions'!G1707+"n/&gt;!%8y"</f>
        <v>#VALUE!</v>
      </c>
      <c r="IT68" t="e">
        <f>'All regions'!H1707+"n/&gt;!%8z"</f>
        <v>#VALUE!</v>
      </c>
      <c r="IU68" t="e">
        <f>'All regions'!I1707+"n/&gt;!%8{"</f>
        <v>#VALUE!</v>
      </c>
      <c r="IV68" t="e">
        <f>'All regions'!J1707+"n/&gt;!%8|"</f>
        <v>#VALUE!</v>
      </c>
    </row>
    <row r="69" spans="6:256" x14ac:dyDescent="0.35">
      <c r="F69" t="e">
        <f>'All regions'!A1708+"n/&gt;!%8}"</f>
        <v>#VALUE!</v>
      </c>
      <c r="G69" t="e">
        <f>'All regions'!B1708+"n/&gt;!%8~"</f>
        <v>#VALUE!</v>
      </c>
      <c r="H69" t="e">
        <f>'All regions'!C1708+"n/&gt;!%9#"</f>
        <v>#VALUE!</v>
      </c>
      <c r="I69" t="e">
        <f>'All regions'!D1708+"n/&gt;!%9$"</f>
        <v>#VALUE!</v>
      </c>
      <c r="J69" t="e">
        <f>'All regions'!E1708+"n/&gt;!%9%"</f>
        <v>#VALUE!</v>
      </c>
      <c r="K69" t="e">
        <f>'All regions'!F1708+"n/&gt;!%9&amp;"</f>
        <v>#VALUE!</v>
      </c>
      <c r="L69" t="e">
        <f>'All regions'!G1708+"n/&gt;!%9'"</f>
        <v>#VALUE!</v>
      </c>
      <c r="M69" t="e">
        <f>'All regions'!H1708+"n/&gt;!%9("</f>
        <v>#VALUE!</v>
      </c>
      <c r="N69" t="e">
        <f>'All regions'!I1708+"n/&gt;!%9)"</f>
        <v>#VALUE!</v>
      </c>
      <c r="O69" t="e">
        <f>'All regions'!J1708+"n/&gt;!%9."</f>
        <v>#VALUE!</v>
      </c>
      <c r="P69" t="e">
        <f>'All regions'!A1709+"n/&gt;!%9/"</f>
        <v>#VALUE!</v>
      </c>
      <c r="Q69" t="e">
        <f>'All regions'!B1709+"n/&gt;!%90"</f>
        <v>#VALUE!</v>
      </c>
      <c r="R69" t="e">
        <f>'All regions'!C1709+"n/&gt;!%91"</f>
        <v>#VALUE!</v>
      </c>
      <c r="S69" t="e">
        <f>'All regions'!D1709+"n/&gt;!%92"</f>
        <v>#VALUE!</v>
      </c>
      <c r="T69" t="e">
        <f>'All regions'!E1709+"n/&gt;!%93"</f>
        <v>#VALUE!</v>
      </c>
      <c r="U69" t="e">
        <f>'All regions'!F1709+"n/&gt;!%94"</f>
        <v>#VALUE!</v>
      </c>
      <c r="V69" t="e">
        <f>'All regions'!G1709+"n/&gt;!%95"</f>
        <v>#VALUE!</v>
      </c>
      <c r="W69" t="e">
        <f>'All regions'!H1709+"n/&gt;!%96"</f>
        <v>#VALUE!</v>
      </c>
      <c r="X69" t="e">
        <f>'All regions'!I1709+"n/&gt;!%97"</f>
        <v>#VALUE!</v>
      </c>
      <c r="Y69" t="e">
        <f>'All regions'!J1709+"n/&gt;!%98"</f>
        <v>#VALUE!</v>
      </c>
      <c r="Z69" t="e">
        <f>'All regions'!A1710+"n/&gt;!%99"</f>
        <v>#VALUE!</v>
      </c>
      <c r="AA69" t="e">
        <f>'All regions'!B1710+"n/&gt;!%9:"</f>
        <v>#VALUE!</v>
      </c>
      <c r="AB69" t="e">
        <f>'All regions'!C1710+"n/&gt;!%9;"</f>
        <v>#VALUE!</v>
      </c>
      <c r="AC69" t="e">
        <f>'All regions'!D1710+"n/&gt;!%9&lt;"</f>
        <v>#VALUE!</v>
      </c>
      <c r="AD69" t="e">
        <f>'All regions'!E1710+"n/&gt;!%9="</f>
        <v>#VALUE!</v>
      </c>
      <c r="AE69" t="e">
        <f>'All regions'!F1710+"n/&gt;!%9&gt;"</f>
        <v>#VALUE!</v>
      </c>
      <c r="AF69" t="e">
        <f>'All regions'!G1710+"n/&gt;!%9?"</f>
        <v>#VALUE!</v>
      </c>
      <c r="AG69" t="e">
        <f>'All regions'!H1710+"n/&gt;!%9@"</f>
        <v>#VALUE!</v>
      </c>
      <c r="AH69" t="e">
        <f>'All regions'!I1710+"n/&gt;!%9A"</f>
        <v>#VALUE!</v>
      </c>
      <c r="AI69" t="e">
        <f>'All regions'!J1710+"n/&gt;!%9B"</f>
        <v>#VALUE!</v>
      </c>
      <c r="AJ69" t="e">
        <f>'All regions'!A1711+"n/&gt;!%9C"</f>
        <v>#VALUE!</v>
      </c>
      <c r="AK69" t="e">
        <f>'All regions'!B1711+"n/&gt;!%9D"</f>
        <v>#VALUE!</v>
      </c>
      <c r="AL69" t="e">
        <f>'All regions'!C1711+"n/&gt;!%9E"</f>
        <v>#VALUE!</v>
      </c>
      <c r="AM69" t="e">
        <f>'All regions'!D1711+"n/&gt;!%9F"</f>
        <v>#VALUE!</v>
      </c>
      <c r="AN69" t="e">
        <f>'All regions'!E1711+"n/&gt;!%9G"</f>
        <v>#VALUE!</v>
      </c>
      <c r="AO69" t="e">
        <f>'All regions'!F1711+"n/&gt;!%9H"</f>
        <v>#VALUE!</v>
      </c>
      <c r="AP69" t="e">
        <f>'All regions'!G1711+"n/&gt;!%9I"</f>
        <v>#VALUE!</v>
      </c>
      <c r="AQ69" t="e">
        <f>'All regions'!H1711+"n/&gt;!%9J"</f>
        <v>#VALUE!</v>
      </c>
      <c r="AR69" t="e">
        <f>'All regions'!I1711+"n/&gt;!%9K"</f>
        <v>#VALUE!</v>
      </c>
      <c r="AS69" t="e">
        <f>'All regions'!J1711+"n/&gt;!%9L"</f>
        <v>#VALUE!</v>
      </c>
      <c r="AT69" t="e">
        <f>'All regions'!A1712+"n/&gt;!%9M"</f>
        <v>#VALUE!</v>
      </c>
      <c r="AU69" t="e">
        <f>'All regions'!B1712+"n/&gt;!%9N"</f>
        <v>#VALUE!</v>
      </c>
      <c r="AV69" t="e">
        <f>'All regions'!C1712+"n/&gt;!%9O"</f>
        <v>#VALUE!</v>
      </c>
      <c r="AW69" t="e">
        <f>'All regions'!D1712+"n/&gt;!%9P"</f>
        <v>#VALUE!</v>
      </c>
      <c r="AX69" t="e">
        <f>'All regions'!E1712+"n/&gt;!%9Q"</f>
        <v>#VALUE!</v>
      </c>
      <c r="AY69" t="e">
        <f>'All regions'!F1712+"n/&gt;!%9R"</f>
        <v>#VALUE!</v>
      </c>
      <c r="AZ69" t="e">
        <f>'All regions'!G1712+"n/&gt;!%9S"</f>
        <v>#VALUE!</v>
      </c>
      <c r="BA69" t="e">
        <f>'All regions'!H1712+"n/&gt;!%9T"</f>
        <v>#VALUE!</v>
      </c>
      <c r="BB69" t="e">
        <f>'All regions'!I1712+"n/&gt;!%9U"</f>
        <v>#VALUE!</v>
      </c>
      <c r="BC69" t="e">
        <f>'All regions'!J1712+"n/&gt;!%9V"</f>
        <v>#VALUE!</v>
      </c>
      <c r="BD69" t="e">
        <f>'All regions'!A1713+"n/&gt;!%9W"</f>
        <v>#VALUE!</v>
      </c>
      <c r="BE69" t="e">
        <f>'All regions'!B1713+"n/&gt;!%9X"</f>
        <v>#VALUE!</v>
      </c>
      <c r="BF69" t="e">
        <f>'All regions'!C1713+"n/&gt;!%9Y"</f>
        <v>#VALUE!</v>
      </c>
      <c r="BG69" t="e">
        <f>'All regions'!D1713+"n/&gt;!%9Z"</f>
        <v>#VALUE!</v>
      </c>
      <c r="BH69" t="e">
        <f>'All regions'!E1713+"n/&gt;!%9["</f>
        <v>#VALUE!</v>
      </c>
      <c r="BI69" t="e">
        <f>'All regions'!F1713+"n/&gt;!%9\"</f>
        <v>#VALUE!</v>
      </c>
      <c r="BJ69" t="e">
        <f>'All regions'!G1713+"n/&gt;!%9]"</f>
        <v>#VALUE!</v>
      </c>
      <c r="BK69" t="e">
        <f>'All regions'!H1713+"n/&gt;!%9^"</f>
        <v>#VALUE!</v>
      </c>
      <c r="BL69" t="e">
        <f>'All regions'!I1713+"n/&gt;!%9_"</f>
        <v>#VALUE!</v>
      </c>
      <c r="BM69" t="e">
        <f>'All regions'!J1713+"n/&gt;!%9`"</f>
        <v>#VALUE!</v>
      </c>
      <c r="BN69" t="e">
        <f>'All regions'!A1714+"n/&gt;!%9a"</f>
        <v>#VALUE!</v>
      </c>
      <c r="BO69" t="e">
        <f>'All regions'!B1714+"n/&gt;!%9b"</f>
        <v>#VALUE!</v>
      </c>
      <c r="BP69" t="e">
        <f>'All regions'!C1714+"n/&gt;!%9c"</f>
        <v>#VALUE!</v>
      </c>
      <c r="BQ69" t="e">
        <f>'All regions'!D1714+"n/&gt;!%9d"</f>
        <v>#VALUE!</v>
      </c>
      <c r="BR69" t="e">
        <f>'All regions'!E1714+"n/&gt;!%9e"</f>
        <v>#VALUE!</v>
      </c>
      <c r="BS69" t="e">
        <f>'All regions'!F1714+"n/&gt;!%9f"</f>
        <v>#VALUE!</v>
      </c>
      <c r="BT69" t="e">
        <f>'All regions'!G1714+"n/&gt;!%9g"</f>
        <v>#VALUE!</v>
      </c>
      <c r="BU69" t="e">
        <f>'All regions'!H1714+"n/&gt;!%9h"</f>
        <v>#VALUE!</v>
      </c>
      <c r="BV69" t="e">
        <f>'All regions'!I1714+"n/&gt;!%9i"</f>
        <v>#VALUE!</v>
      </c>
      <c r="BW69" t="e">
        <f>'All regions'!J1714+"n/&gt;!%9j"</f>
        <v>#VALUE!</v>
      </c>
      <c r="BX69" t="e">
        <f>'All regions'!A1715+"n/&gt;!%9k"</f>
        <v>#VALUE!</v>
      </c>
      <c r="BY69" t="e">
        <f>'All regions'!B1715+"n/&gt;!%9l"</f>
        <v>#VALUE!</v>
      </c>
      <c r="BZ69" t="e">
        <f>'All regions'!C1715+"n/&gt;!%9m"</f>
        <v>#VALUE!</v>
      </c>
      <c r="CA69" t="e">
        <f>'All regions'!D1715+"n/&gt;!%9n"</f>
        <v>#VALUE!</v>
      </c>
      <c r="CB69" t="e">
        <f>'All regions'!E1715+"n/&gt;!%9o"</f>
        <v>#VALUE!</v>
      </c>
      <c r="CC69" t="e">
        <f>'All regions'!F1715+"n/&gt;!%9p"</f>
        <v>#VALUE!</v>
      </c>
      <c r="CD69" t="e">
        <f>'All regions'!G1715+"n/&gt;!%9q"</f>
        <v>#VALUE!</v>
      </c>
      <c r="CE69" t="e">
        <f>'All regions'!H1715+"n/&gt;!%9r"</f>
        <v>#VALUE!</v>
      </c>
      <c r="CF69" t="e">
        <f>'All regions'!I1715+"n/&gt;!%9s"</f>
        <v>#VALUE!</v>
      </c>
      <c r="CG69" t="e">
        <f>'All regions'!J1715+"n/&gt;!%9t"</f>
        <v>#VALUE!</v>
      </c>
      <c r="CH69" t="e">
        <f>'All regions'!A1716+"n/&gt;!%9u"</f>
        <v>#VALUE!</v>
      </c>
      <c r="CI69" t="e">
        <f>'All regions'!B1716+"n/&gt;!%9v"</f>
        <v>#VALUE!</v>
      </c>
      <c r="CJ69" t="e">
        <f>'All regions'!C1716+"n/&gt;!%9w"</f>
        <v>#VALUE!</v>
      </c>
      <c r="CK69" t="e">
        <f>'All regions'!D1716+"n/&gt;!%9x"</f>
        <v>#VALUE!</v>
      </c>
      <c r="CL69" t="e">
        <f>'All regions'!E1716+"n/&gt;!%9y"</f>
        <v>#VALUE!</v>
      </c>
      <c r="CM69" t="e">
        <f>'All regions'!F1716+"n/&gt;!%9z"</f>
        <v>#VALUE!</v>
      </c>
      <c r="CN69" t="e">
        <f>'All regions'!G1716+"n/&gt;!%9{"</f>
        <v>#VALUE!</v>
      </c>
      <c r="CO69" t="e">
        <f>'All regions'!H1716+"n/&gt;!%9|"</f>
        <v>#VALUE!</v>
      </c>
      <c r="CP69" t="e">
        <f>'All regions'!I1716+"n/&gt;!%9}"</f>
        <v>#VALUE!</v>
      </c>
      <c r="CQ69" t="e">
        <f>'All regions'!J1716+"n/&gt;!%9~"</f>
        <v>#VALUE!</v>
      </c>
      <c r="CR69" t="e">
        <f>'All regions'!A1717+"n/&gt;!%:#"</f>
        <v>#VALUE!</v>
      </c>
      <c r="CS69" t="e">
        <f>'All regions'!B1717+"n/&gt;!%:$"</f>
        <v>#VALUE!</v>
      </c>
      <c r="CT69" t="e">
        <f>'All regions'!C1717+"n/&gt;!%:%"</f>
        <v>#VALUE!</v>
      </c>
      <c r="CU69" t="e">
        <f>'All regions'!D1717+"n/&gt;!%:&amp;"</f>
        <v>#VALUE!</v>
      </c>
      <c r="CV69" t="e">
        <f>'All regions'!E1717+"n/&gt;!%:'"</f>
        <v>#VALUE!</v>
      </c>
      <c r="CW69" t="e">
        <f>'All regions'!F1717+"n/&gt;!%:("</f>
        <v>#VALUE!</v>
      </c>
      <c r="CX69" t="e">
        <f>'All regions'!G1717+"n/&gt;!%:)"</f>
        <v>#VALUE!</v>
      </c>
      <c r="CY69" t="e">
        <f>'All regions'!H1717+"n/&gt;!%:."</f>
        <v>#VALUE!</v>
      </c>
      <c r="CZ69" t="e">
        <f>'All regions'!I1717+"n/&gt;!%:/"</f>
        <v>#VALUE!</v>
      </c>
      <c r="DA69" t="e">
        <f>'All regions'!J1717+"n/&gt;!%:0"</f>
        <v>#VALUE!</v>
      </c>
      <c r="DB69" t="e">
        <f>'All regions'!A1718+"n/&gt;!%:1"</f>
        <v>#VALUE!</v>
      </c>
      <c r="DC69" t="e">
        <f>'All regions'!B1718+"n/&gt;!%:2"</f>
        <v>#VALUE!</v>
      </c>
      <c r="DD69" t="e">
        <f>'All regions'!C1718+"n/&gt;!%:3"</f>
        <v>#VALUE!</v>
      </c>
      <c r="DE69" t="e">
        <f>'All regions'!D1718+"n/&gt;!%:4"</f>
        <v>#VALUE!</v>
      </c>
      <c r="DF69" t="e">
        <f>'All regions'!E1718+"n/&gt;!%:5"</f>
        <v>#VALUE!</v>
      </c>
      <c r="DG69" t="e">
        <f>'All regions'!F1718+"n/&gt;!%:6"</f>
        <v>#VALUE!</v>
      </c>
      <c r="DH69" t="e">
        <f>'All regions'!G1718+"n/&gt;!%:7"</f>
        <v>#VALUE!</v>
      </c>
      <c r="DI69" t="e">
        <f>'All regions'!H1718+"n/&gt;!%:8"</f>
        <v>#VALUE!</v>
      </c>
      <c r="DJ69" t="e">
        <f>'All regions'!I1718+"n/&gt;!%:9"</f>
        <v>#VALUE!</v>
      </c>
      <c r="DK69" t="e">
        <f>'All regions'!J1718+"n/&gt;!%::"</f>
        <v>#VALUE!</v>
      </c>
      <c r="DL69" t="e">
        <f>'All regions'!A1719+"n/&gt;!%:;"</f>
        <v>#VALUE!</v>
      </c>
      <c r="DM69" t="e">
        <f>'All regions'!B1719+"n/&gt;!%:&lt;"</f>
        <v>#VALUE!</v>
      </c>
      <c r="DN69" t="e">
        <f>'All regions'!C1719+"n/&gt;!%:="</f>
        <v>#VALUE!</v>
      </c>
      <c r="DO69" t="e">
        <f>'All regions'!D1719+"n/&gt;!%:&gt;"</f>
        <v>#VALUE!</v>
      </c>
      <c r="DP69" t="e">
        <f>'All regions'!E1719+"n/&gt;!%:?"</f>
        <v>#VALUE!</v>
      </c>
      <c r="DQ69" t="e">
        <f>'All regions'!F1719+"n/&gt;!%:@"</f>
        <v>#VALUE!</v>
      </c>
      <c r="DR69" t="e">
        <f>'All regions'!G1719+"n/&gt;!%:A"</f>
        <v>#VALUE!</v>
      </c>
      <c r="DS69" t="e">
        <f>'All regions'!H1719+"n/&gt;!%:B"</f>
        <v>#VALUE!</v>
      </c>
      <c r="DT69" t="e">
        <f>'All regions'!I1719+"n/&gt;!%:C"</f>
        <v>#VALUE!</v>
      </c>
      <c r="DU69" t="e">
        <f>'All regions'!J1719+"n/&gt;!%:D"</f>
        <v>#VALUE!</v>
      </c>
      <c r="DV69" t="e">
        <f>'All regions'!A1720+"n/&gt;!%:E"</f>
        <v>#VALUE!</v>
      </c>
      <c r="DW69" t="e">
        <f>'All regions'!B1720+"n/&gt;!%:F"</f>
        <v>#VALUE!</v>
      </c>
      <c r="DX69" t="e">
        <f>'All regions'!C1720+"n/&gt;!%:G"</f>
        <v>#VALUE!</v>
      </c>
      <c r="DY69" t="e">
        <f>'All regions'!D1720+"n/&gt;!%:H"</f>
        <v>#VALUE!</v>
      </c>
      <c r="DZ69" t="e">
        <f>'All regions'!E1720+"n/&gt;!%:I"</f>
        <v>#VALUE!</v>
      </c>
      <c r="EA69" t="e">
        <f>'All regions'!F1720+"n/&gt;!%:J"</f>
        <v>#VALUE!</v>
      </c>
      <c r="EB69" t="e">
        <f>'All regions'!G1720+"n/&gt;!%:K"</f>
        <v>#VALUE!</v>
      </c>
      <c r="EC69" t="e">
        <f>'All regions'!H1720+"n/&gt;!%:L"</f>
        <v>#VALUE!</v>
      </c>
      <c r="ED69" t="e">
        <f>'All regions'!I1720+"n/&gt;!%:M"</f>
        <v>#VALUE!</v>
      </c>
      <c r="EE69" t="e">
        <f>'All regions'!J1720+"n/&gt;!%:N"</f>
        <v>#VALUE!</v>
      </c>
      <c r="EF69" t="e">
        <f>'All regions'!A1721+"n/&gt;!%:O"</f>
        <v>#VALUE!</v>
      </c>
      <c r="EG69" t="e">
        <f>'All regions'!B1721+"n/&gt;!%:P"</f>
        <v>#VALUE!</v>
      </c>
      <c r="EH69" t="e">
        <f>'All regions'!C1721+"n/&gt;!%:Q"</f>
        <v>#VALUE!</v>
      </c>
      <c r="EI69" t="e">
        <f>'All regions'!D1721+"n/&gt;!%:R"</f>
        <v>#VALUE!</v>
      </c>
      <c r="EJ69" t="e">
        <f>'All regions'!E1721+"n/&gt;!%:S"</f>
        <v>#VALUE!</v>
      </c>
      <c r="EK69" t="e">
        <f>'All regions'!F1721+"n/&gt;!%:T"</f>
        <v>#VALUE!</v>
      </c>
      <c r="EL69" t="e">
        <f>'All regions'!G1721+"n/&gt;!%:U"</f>
        <v>#VALUE!</v>
      </c>
      <c r="EM69" t="e">
        <f>'All regions'!H1721+"n/&gt;!%:V"</f>
        <v>#VALUE!</v>
      </c>
      <c r="EN69" t="e">
        <f>'All regions'!I1721+"n/&gt;!%:W"</f>
        <v>#VALUE!</v>
      </c>
      <c r="EO69" t="e">
        <f>'All regions'!J1721+"n/&gt;!%:X"</f>
        <v>#VALUE!</v>
      </c>
      <c r="EP69" t="e">
        <f>'All regions'!A1722+"n/&gt;!%:Y"</f>
        <v>#VALUE!</v>
      </c>
      <c r="EQ69" t="e">
        <f>'All regions'!B1722+"n/&gt;!%:Z"</f>
        <v>#VALUE!</v>
      </c>
      <c r="ER69" t="e">
        <f>'All regions'!C1722+"n/&gt;!%:["</f>
        <v>#VALUE!</v>
      </c>
      <c r="ES69" t="e">
        <f>'All regions'!D1722+"n/&gt;!%:\"</f>
        <v>#VALUE!</v>
      </c>
      <c r="ET69" t="e">
        <f>'All regions'!E1722+"n/&gt;!%:]"</f>
        <v>#VALUE!</v>
      </c>
      <c r="EU69" t="e">
        <f>'All regions'!F1722+"n/&gt;!%:^"</f>
        <v>#VALUE!</v>
      </c>
      <c r="EV69" t="e">
        <f>'All regions'!G1722+"n/&gt;!%:_"</f>
        <v>#VALUE!</v>
      </c>
      <c r="EW69" t="e">
        <f>'All regions'!H1722+"n/&gt;!%:`"</f>
        <v>#VALUE!</v>
      </c>
      <c r="EX69" t="e">
        <f>'All regions'!I1722+"n/&gt;!%:a"</f>
        <v>#VALUE!</v>
      </c>
      <c r="EY69" t="e">
        <f>'All regions'!J1722+"n/&gt;!%:b"</f>
        <v>#VALUE!</v>
      </c>
      <c r="EZ69" t="e">
        <f>'All regions'!A1723+"n/&gt;!%:c"</f>
        <v>#VALUE!</v>
      </c>
      <c r="FA69" t="e">
        <f>'All regions'!B1723+"n/&gt;!%:d"</f>
        <v>#VALUE!</v>
      </c>
      <c r="FB69" t="e">
        <f>'All regions'!C1723+"n/&gt;!%:e"</f>
        <v>#VALUE!</v>
      </c>
      <c r="FC69" t="e">
        <f>'All regions'!D1723+"n/&gt;!%:f"</f>
        <v>#VALUE!</v>
      </c>
      <c r="FD69" t="e">
        <f>'All regions'!E1723+"n/&gt;!%:g"</f>
        <v>#VALUE!</v>
      </c>
      <c r="FE69" t="e">
        <f>'All regions'!F1723+"n/&gt;!%:h"</f>
        <v>#VALUE!</v>
      </c>
      <c r="FF69" t="e">
        <f>'All regions'!G1723+"n/&gt;!%:i"</f>
        <v>#VALUE!</v>
      </c>
      <c r="FG69" t="e">
        <f>'All regions'!H1723+"n/&gt;!%:j"</f>
        <v>#VALUE!</v>
      </c>
      <c r="FH69" t="e">
        <f>'All regions'!I1723+"n/&gt;!%:k"</f>
        <v>#VALUE!</v>
      </c>
      <c r="FI69" t="e">
        <f>'All regions'!J1723+"n/&gt;!%:l"</f>
        <v>#VALUE!</v>
      </c>
      <c r="FJ69" t="e">
        <f>'All regions'!A1724+"n/&gt;!%:m"</f>
        <v>#VALUE!</v>
      </c>
      <c r="FK69" t="e">
        <f>'All regions'!B1724+"n/&gt;!%:n"</f>
        <v>#VALUE!</v>
      </c>
      <c r="FL69" t="e">
        <f>'All regions'!C1724+"n/&gt;!%:o"</f>
        <v>#VALUE!</v>
      </c>
      <c r="FM69" t="e">
        <f>'All regions'!D1724+"n/&gt;!%:p"</f>
        <v>#VALUE!</v>
      </c>
      <c r="FN69" t="e">
        <f>'All regions'!E1724+"n/&gt;!%:q"</f>
        <v>#VALUE!</v>
      </c>
      <c r="FO69" t="e">
        <f>'All regions'!F1724+"n/&gt;!%:r"</f>
        <v>#VALUE!</v>
      </c>
      <c r="FP69" t="e">
        <f>'All regions'!G1724+"n/&gt;!%:s"</f>
        <v>#VALUE!</v>
      </c>
      <c r="FQ69" t="e">
        <f>'All regions'!H1724+"n/&gt;!%:t"</f>
        <v>#VALUE!</v>
      </c>
      <c r="FR69" t="e">
        <f>'All regions'!I1724+"n/&gt;!%:u"</f>
        <v>#VALUE!</v>
      </c>
      <c r="FS69" t="e">
        <f>'All regions'!J1724+"n/&gt;!%:v"</f>
        <v>#VALUE!</v>
      </c>
      <c r="FT69" t="e">
        <f>'All regions'!A1725+"n/&gt;!%:w"</f>
        <v>#VALUE!</v>
      </c>
      <c r="FU69" t="e">
        <f>'All regions'!B1725+"n/&gt;!%:x"</f>
        <v>#VALUE!</v>
      </c>
      <c r="FV69" t="e">
        <f>'All regions'!C1725+"n/&gt;!%:y"</f>
        <v>#VALUE!</v>
      </c>
      <c r="FW69" t="e">
        <f>'All regions'!D1725+"n/&gt;!%:z"</f>
        <v>#VALUE!</v>
      </c>
      <c r="FX69" t="e">
        <f>'All regions'!E1725+"n/&gt;!%:{"</f>
        <v>#VALUE!</v>
      </c>
      <c r="FY69" t="e">
        <f>'All regions'!F1725+"n/&gt;!%:|"</f>
        <v>#VALUE!</v>
      </c>
      <c r="FZ69" t="e">
        <f>'All regions'!G1725+"n/&gt;!%:}"</f>
        <v>#VALUE!</v>
      </c>
      <c r="GA69" t="e">
        <f>'All regions'!H1725+"n/&gt;!%:~"</f>
        <v>#VALUE!</v>
      </c>
      <c r="GB69" t="e">
        <f>'All regions'!I1725+"n/&gt;!%;#"</f>
        <v>#VALUE!</v>
      </c>
      <c r="GC69" t="e">
        <f>'All regions'!J1725+"n/&gt;!%;$"</f>
        <v>#VALUE!</v>
      </c>
      <c r="GD69" t="e">
        <f>'All regions'!A1726+"n/&gt;!%;%"</f>
        <v>#VALUE!</v>
      </c>
      <c r="GE69" t="e">
        <f>'All regions'!B1726+"n/&gt;!%;&amp;"</f>
        <v>#VALUE!</v>
      </c>
      <c r="GF69" t="e">
        <f>'All regions'!C1726+"n/&gt;!%;'"</f>
        <v>#VALUE!</v>
      </c>
      <c r="GG69" t="e">
        <f>'All regions'!D1726+"n/&gt;!%;("</f>
        <v>#VALUE!</v>
      </c>
      <c r="GH69" t="e">
        <f>'All regions'!E1726+"n/&gt;!%;)"</f>
        <v>#VALUE!</v>
      </c>
      <c r="GI69" t="e">
        <f>'All regions'!F1726+"n/&gt;!%;."</f>
        <v>#VALUE!</v>
      </c>
      <c r="GJ69" t="e">
        <f>'All regions'!G1726+"n/&gt;!%;/"</f>
        <v>#VALUE!</v>
      </c>
      <c r="GK69" t="e">
        <f>'All regions'!H1726+"n/&gt;!%;0"</f>
        <v>#VALUE!</v>
      </c>
      <c r="GL69" t="e">
        <f>'All regions'!I1726+"n/&gt;!%;1"</f>
        <v>#VALUE!</v>
      </c>
      <c r="GM69" t="e">
        <f>'All regions'!J1726+"n/&gt;!%;2"</f>
        <v>#VALUE!</v>
      </c>
      <c r="GN69" t="e">
        <f>'All regions'!A1727+"n/&gt;!%;3"</f>
        <v>#VALUE!</v>
      </c>
      <c r="GO69" t="e">
        <f>'All regions'!B1727+"n/&gt;!%;4"</f>
        <v>#VALUE!</v>
      </c>
      <c r="GP69" t="e">
        <f>'All regions'!C1727+"n/&gt;!%;5"</f>
        <v>#VALUE!</v>
      </c>
      <c r="GQ69" t="e">
        <f>'All regions'!D1727+"n/&gt;!%;6"</f>
        <v>#VALUE!</v>
      </c>
      <c r="GR69" t="e">
        <f>'All regions'!E1727+"n/&gt;!%;7"</f>
        <v>#VALUE!</v>
      </c>
      <c r="GS69" t="e">
        <f>'All regions'!F1727+"n/&gt;!%;8"</f>
        <v>#VALUE!</v>
      </c>
      <c r="GT69" t="e">
        <f>'All regions'!G1727+"n/&gt;!%;9"</f>
        <v>#VALUE!</v>
      </c>
      <c r="GU69" t="e">
        <f>'All regions'!H1727+"n/&gt;!%;:"</f>
        <v>#VALUE!</v>
      </c>
      <c r="GV69" t="e">
        <f>'All regions'!I1727+"n/&gt;!%;;"</f>
        <v>#VALUE!</v>
      </c>
      <c r="GW69" t="e">
        <f>'All regions'!J1727+"n/&gt;!%;&lt;"</f>
        <v>#VALUE!</v>
      </c>
      <c r="GX69" t="e">
        <f>'All regions'!A1728+"n/&gt;!%;="</f>
        <v>#VALUE!</v>
      </c>
      <c r="GY69" t="e">
        <f>'All regions'!B1728+"n/&gt;!%;&gt;"</f>
        <v>#VALUE!</v>
      </c>
      <c r="GZ69" t="e">
        <f>'All regions'!C1728+"n/&gt;!%;?"</f>
        <v>#VALUE!</v>
      </c>
      <c r="HA69" t="e">
        <f>'All regions'!D1728+"n/&gt;!%;@"</f>
        <v>#VALUE!</v>
      </c>
      <c r="HB69" t="e">
        <f>'All regions'!E1728+"n/&gt;!%;A"</f>
        <v>#VALUE!</v>
      </c>
      <c r="HC69" t="e">
        <f>'All regions'!F1728+"n/&gt;!%;B"</f>
        <v>#VALUE!</v>
      </c>
      <c r="HD69" t="e">
        <f>'All regions'!G1728+"n/&gt;!%;C"</f>
        <v>#VALUE!</v>
      </c>
      <c r="HE69" t="e">
        <f>'All regions'!H1728+"n/&gt;!%;D"</f>
        <v>#VALUE!</v>
      </c>
      <c r="HF69" t="e">
        <f>'All regions'!I1728+"n/&gt;!%;E"</f>
        <v>#VALUE!</v>
      </c>
      <c r="HG69" t="e">
        <f>'All regions'!J1728+"n/&gt;!%;F"</f>
        <v>#VALUE!</v>
      </c>
      <c r="HH69" t="e">
        <f>'All regions'!A1729+"n/&gt;!%;G"</f>
        <v>#VALUE!</v>
      </c>
      <c r="HI69" t="e">
        <f>'All regions'!B1729+"n/&gt;!%;H"</f>
        <v>#VALUE!</v>
      </c>
      <c r="HJ69" t="e">
        <f>'All regions'!C1729+"n/&gt;!%;I"</f>
        <v>#VALUE!</v>
      </c>
      <c r="HK69" t="e">
        <f>'All regions'!D1729+"n/&gt;!%;J"</f>
        <v>#VALUE!</v>
      </c>
      <c r="HL69" t="e">
        <f>'All regions'!E1729+"n/&gt;!%;K"</f>
        <v>#VALUE!</v>
      </c>
      <c r="HM69" t="e">
        <f>'All regions'!F1729+"n/&gt;!%;L"</f>
        <v>#VALUE!</v>
      </c>
      <c r="HN69" t="e">
        <f>'All regions'!G1729+"n/&gt;!%;M"</f>
        <v>#VALUE!</v>
      </c>
      <c r="HO69" t="e">
        <f>'All regions'!H1729+"n/&gt;!%;N"</f>
        <v>#VALUE!</v>
      </c>
      <c r="HP69" t="e">
        <f>'All regions'!I1729+"n/&gt;!%;O"</f>
        <v>#VALUE!</v>
      </c>
      <c r="HQ69" t="e">
        <f>'All regions'!J1729+"n/&gt;!%;P"</f>
        <v>#VALUE!</v>
      </c>
      <c r="HR69" t="e">
        <f>'All regions'!A1730+"n/&gt;!%;Q"</f>
        <v>#VALUE!</v>
      </c>
      <c r="HS69" t="e">
        <f>'All regions'!B1730+"n/&gt;!%;R"</f>
        <v>#VALUE!</v>
      </c>
      <c r="HT69" t="e">
        <f>'All regions'!C1730+"n/&gt;!%;S"</f>
        <v>#VALUE!</v>
      </c>
      <c r="HU69" t="e">
        <f>'All regions'!D1730+"n/&gt;!%;T"</f>
        <v>#VALUE!</v>
      </c>
      <c r="HV69" t="e">
        <f>'All regions'!E1730+"n/&gt;!%;U"</f>
        <v>#VALUE!</v>
      </c>
      <c r="HW69" t="e">
        <f>'All regions'!F1730+"n/&gt;!%;V"</f>
        <v>#VALUE!</v>
      </c>
      <c r="HX69" t="e">
        <f>'All regions'!G1730+"n/&gt;!%;W"</f>
        <v>#VALUE!</v>
      </c>
      <c r="HY69" t="e">
        <f>'All regions'!H1730+"n/&gt;!%;X"</f>
        <v>#VALUE!</v>
      </c>
      <c r="HZ69" t="e">
        <f>'All regions'!I1730+"n/&gt;!%;Y"</f>
        <v>#VALUE!</v>
      </c>
      <c r="IA69" t="e">
        <f>'All regions'!J1730+"n/&gt;!%;Z"</f>
        <v>#VALUE!</v>
      </c>
      <c r="IB69" t="e">
        <f>'All regions'!A1731+"n/&gt;!%;["</f>
        <v>#VALUE!</v>
      </c>
      <c r="IC69" t="e">
        <f>'All regions'!B1731+"n/&gt;!%;\"</f>
        <v>#VALUE!</v>
      </c>
      <c r="ID69" t="e">
        <f>'All regions'!C1731+"n/&gt;!%;]"</f>
        <v>#VALUE!</v>
      </c>
      <c r="IE69" t="e">
        <f>'All regions'!D1731+"n/&gt;!%;^"</f>
        <v>#VALUE!</v>
      </c>
      <c r="IF69" t="e">
        <f>'All regions'!E1731+"n/&gt;!%;_"</f>
        <v>#VALUE!</v>
      </c>
      <c r="IG69" t="e">
        <f>'All regions'!F1731+"n/&gt;!%;`"</f>
        <v>#VALUE!</v>
      </c>
      <c r="IH69" t="e">
        <f>'All regions'!G1731+"n/&gt;!%;a"</f>
        <v>#VALUE!</v>
      </c>
      <c r="II69" t="e">
        <f>'All regions'!H1731+"n/&gt;!%;b"</f>
        <v>#VALUE!</v>
      </c>
      <c r="IJ69" t="e">
        <f>'All regions'!I1731+"n/&gt;!%;c"</f>
        <v>#VALUE!</v>
      </c>
      <c r="IK69" t="e">
        <f>'All regions'!J1731+"n/&gt;!%;d"</f>
        <v>#VALUE!</v>
      </c>
      <c r="IL69" t="e">
        <f>'All regions'!A1732+"n/&gt;!%;e"</f>
        <v>#VALUE!</v>
      </c>
      <c r="IM69" t="e">
        <f>'All regions'!B1732+"n/&gt;!%;f"</f>
        <v>#VALUE!</v>
      </c>
      <c r="IN69" t="e">
        <f>'All regions'!C1732+"n/&gt;!%;g"</f>
        <v>#VALUE!</v>
      </c>
      <c r="IO69" t="e">
        <f>'All regions'!D1732+"n/&gt;!%;h"</f>
        <v>#VALUE!</v>
      </c>
      <c r="IP69" t="e">
        <f>'All regions'!E1732+"n/&gt;!%;i"</f>
        <v>#VALUE!</v>
      </c>
      <c r="IQ69" t="e">
        <f>'All regions'!F1732+"n/&gt;!%;j"</f>
        <v>#VALUE!</v>
      </c>
      <c r="IR69" t="e">
        <f>'All regions'!G1732+"n/&gt;!%;k"</f>
        <v>#VALUE!</v>
      </c>
      <c r="IS69" t="e">
        <f>'All regions'!H1732+"n/&gt;!%;l"</f>
        <v>#VALUE!</v>
      </c>
      <c r="IT69" t="e">
        <f>'All regions'!I1732+"n/&gt;!%;m"</f>
        <v>#VALUE!</v>
      </c>
      <c r="IU69" t="e">
        <f>'All regions'!J1732+"n/&gt;!%;n"</f>
        <v>#VALUE!</v>
      </c>
      <c r="IV69" t="e">
        <f>'All regions'!A1733+"n/&gt;!%;o"</f>
        <v>#VALUE!</v>
      </c>
    </row>
    <row r="70" spans="6:256" x14ac:dyDescent="0.35">
      <c r="F70" t="e">
        <f>'All regions'!B1733+"n/&gt;!%;p"</f>
        <v>#VALUE!</v>
      </c>
      <c r="G70" t="e">
        <f>'All regions'!C1733+"n/&gt;!%;q"</f>
        <v>#VALUE!</v>
      </c>
      <c r="H70" t="e">
        <f>'All regions'!D1733+"n/&gt;!%;r"</f>
        <v>#VALUE!</v>
      </c>
      <c r="I70" t="e">
        <f>'All regions'!E1733+"n/&gt;!%;s"</f>
        <v>#VALUE!</v>
      </c>
      <c r="J70" t="e">
        <f>'All regions'!F1733+"n/&gt;!%;t"</f>
        <v>#VALUE!</v>
      </c>
      <c r="K70" t="e">
        <f>'All regions'!G1733+"n/&gt;!%;u"</f>
        <v>#VALUE!</v>
      </c>
      <c r="L70" t="e">
        <f>'All regions'!H1733+"n/&gt;!%;v"</f>
        <v>#VALUE!</v>
      </c>
      <c r="M70" t="e">
        <f>'All regions'!I1733+"n/&gt;!%;w"</f>
        <v>#VALUE!</v>
      </c>
      <c r="N70" t="e">
        <f>'All regions'!J1733+"n/&gt;!%;x"</f>
        <v>#VALUE!</v>
      </c>
      <c r="O70" t="e">
        <f>'All regions'!A1734+"n/&gt;!%;y"</f>
        <v>#VALUE!</v>
      </c>
      <c r="P70" t="e">
        <f>'All regions'!B1734+"n/&gt;!%;z"</f>
        <v>#VALUE!</v>
      </c>
      <c r="Q70" t="e">
        <f>'All regions'!C1734+"n/&gt;!%;{"</f>
        <v>#VALUE!</v>
      </c>
      <c r="R70" t="e">
        <f>'All regions'!D1734+"n/&gt;!%;|"</f>
        <v>#VALUE!</v>
      </c>
      <c r="S70" t="e">
        <f>'All regions'!E1734+"n/&gt;!%;}"</f>
        <v>#VALUE!</v>
      </c>
      <c r="T70" t="e">
        <f>'All regions'!F1734+"n/&gt;!%;~"</f>
        <v>#VALUE!</v>
      </c>
      <c r="U70" t="e">
        <f>'All regions'!G1734+"n/&gt;!%&lt;#"</f>
        <v>#VALUE!</v>
      </c>
      <c r="V70" t="e">
        <f>'All regions'!H1734+"n/&gt;!%&lt;$"</f>
        <v>#VALUE!</v>
      </c>
      <c r="W70" t="e">
        <f>'All regions'!I1734+"n/&gt;!%&lt;%"</f>
        <v>#VALUE!</v>
      </c>
      <c r="X70" t="e">
        <f>'All regions'!J1734+"n/&gt;!%&lt;&amp;"</f>
        <v>#VALUE!</v>
      </c>
      <c r="Y70" t="e">
        <f>'All regions'!A1735+"n/&gt;!%&lt;'"</f>
        <v>#VALUE!</v>
      </c>
      <c r="Z70" t="e">
        <f>'All regions'!B1735+"n/&gt;!%&lt;("</f>
        <v>#VALUE!</v>
      </c>
      <c r="AA70" t="e">
        <f>'All regions'!C1735+"n/&gt;!%&lt;)"</f>
        <v>#VALUE!</v>
      </c>
      <c r="AB70" t="e">
        <f>'All regions'!D1735+"n/&gt;!%&lt;."</f>
        <v>#VALUE!</v>
      </c>
      <c r="AC70" t="e">
        <f>'All regions'!E1735+"n/&gt;!%&lt;/"</f>
        <v>#VALUE!</v>
      </c>
      <c r="AD70" t="e">
        <f>'All regions'!F1735+"n/&gt;!%&lt;0"</f>
        <v>#VALUE!</v>
      </c>
      <c r="AE70" t="e">
        <f>'All regions'!G1735+"n/&gt;!%&lt;1"</f>
        <v>#VALUE!</v>
      </c>
      <c r="AF70" t="e">
        <f>'All regions'!H1735+"n/&gt;!%&lt;2"</f>
        <v>#VALUE!</v>
      </c>
      <c r="AG70" t="e">
        <f>'All regions'!I1735+"n/&gt;!%&lt;3"</f>
        <v>#VALUE!</v>
      </c>
      <c r="AH70" t="e">
        <f>'All regions'!J1735+"n/&gt;!%&lt;4"</f>
        <v>#VALUE!</v>
      </c>
      <c r="AI70" t="e">
        <f>'All regions'!A1736+"n/&gt;!%&lt;5"</f>
        <v>#VALUE!</v>
      </c>
      <c r="AJ70" t="e">
        <f>'All regions'!B1736+"n/&gt;!%&lt;6"</f>
        <v>#VALUE!</v>
      </c>
      <c r="AK70" t="e">
        <f>'All regions'!C1736+"n/&gt;!%&lt;7"</f>
        <v>#VALUE!</v>
      </c>
      <c r="AL70" t="e">
        <f>'All regions'!D1736+"n/&gt;!%&lt;8"</f>
        <v>#VALUE!</v>
      </c>
      <c r="AM70" t="e">
        <f>'All regions'!E1736+"n/&gt;!%&lt;9"</f>
        <v>#VALUE!</v>
      </c>
      <c r="AN70" t="e">
        <f>'All regions'!F1736+"n/&gt;!%&lt;:"</f>
        <v>#VALUE!</v>
      </c>
      <c r="AO70" t="e">
        <f>'All regions'!G1736+"n/&gt;!%&lt;;"</f>
        <v>#VALUE!</v>
      </c>
      <c r="AP70" t="e">
        <f>'All regions'!H1736+"n/&gt;!%&lt;&lt;"</f>
        <v>#VALUE!</v>
      </c>
      <c r="AQ70" t="e">
        <f>'All regions'!I1736+"n/&gt;!%&lt;="</f>
        <v>#VALUE!</v>
      </c>
      <c r="AR70" t="e">
        <f>'All regions'!J1736+"n/&gt;!%&lt;&gt;"</f>
        <v>#VALUE!</v>
      </c>
      <c r="AS70" t="e">
        <f>'All regions'!A1737+"n/&gt;!%&lt;?"</f>
        <v>#VALUE!</v>
      </c>
      <c r="AT70" t="e">
        <f>'All regions'!B1737+"n/&gt;!%&lt;@"</f>
        <v>#VALUE!</v>
      </c>
      <c r="AU70" t="e">
        <f>'All regions'!C1737+"n/&gt;!%&lt;A"</f>
        <v>#VALUE!</v>
      </c>
      <c r="AV70" t="e">
        <f>'All regions'!D1737+"n/&gt;!%&lt;B"</f>
        <v>#VALUE!</v>
      </c>
      <c r="AW70" t="e">
        <f>'All regions'!E1737+"n/&gt;!%&lt;C"</f>
        <v>#VALUE!</v>
      </c>
      <c r="AX70" t="e">
        <f>'All regions'!F1737+"n/&gt;!%&lt;D"</f>
        <v>#VALUE!</v>
      </c>
      <c r="AY70" t="e">
        <f>'All regions'!G1737+"n/&gt;!%&lt;E"</f>
        <v>#VALUE!</v>
      </c>
      <c r="AZ70" t="e">
        <f>'All regions'!H1737+"n/&gt;!%&lt;F"</f>
        <v>#VALUE!</v>
      </c>
      <c r="BA70" t="e">
        <f>'All regions'!I1737+"n/&gt;!%&lt;G"</f>
        <v>#VALUE!</v>
      </c>
      <c r="BB70" t="e">
        <f>'All regions'!J1737+"n/&gt;!%&lt;H"</f>
        <v>#VALUE!</v>
      </c>
      <c r="BC70" t="e">
        <f>'All regions'!A1738+"n/&gt;!%&lt;I"</f>
        <v>#VALUE!</v>
      </c>
      <c r="BD70" t="e">
        <f>'All regions'!B1738+"n/&gt;!%&lt;J"</f>
        <v>#VALUE!</v>
      </c>
      <c r="BE70" t="e">
        <f>'All regions'!C1738+"n/&gt;!%&lt;K"</f>
        <v>#VALUE!</v>
      </c>
      <c r="BF70" t="e">
        <f>'All regions'!D1738+"n/&gt;!%&lt;L"</f>
        <v>#VALUE!</v>
      </c>
      <c r="BG70" t="e">
        <f>'All regions'!E1738+"n/&gt;!%&lt;M"</f>
        <v>#VALUE!</v>
      </c>
      <c r="BH70" t="e">
        <f>'All regions'!F1738+"n/&gt;!%&lt;N"</f>
        <v>#VALUE!</v>
      </c>
      <c r="BI70" t="e">
        <f>'All regions'!G1738+"n/&gt;!%&lt;O"</f>
        <v>#VALUE!</v>
      </c>
      <c r="BJ70" t="e">
        <f>'All regions'!H1738+"n/&gt;!%&lt;P"</f>
        <v>#VALUE!</v>
      </c>
      <c r="BK70" t="e">
        <f>'All regions'!I1738+"n/&gt;!%&lt;Q"</f>
        <v>#VALUE!</v>
      </c>
      <c r="BL70" t="e">
        <f>'All regions'!J1738+"n/&gt;!%&lt;R"</f>
        <v>#VALUE!</v>
      </c>
      <c r="BM70" t="e">
        <f>'All regions'!A1739+"n/&gt;!%&lt;S"</f>
        <v>#VALUE!</v>
      </c>
      <c r="BN70" t="e">
        <f>'All regions'!B1739+"n/&gt;!%&lt;T"</f>
        <v>#VALUE!</v>
      </c>
      <c r="BO70" t="e">
        <f>'All regions'!C1739+"n/&gt;!%&lt;U"</f>
        <v>#VALUE!</v>
      </c>
      <c r="BP70" t="e">
        <f>'All regions'!D1739+"n/&gt;!%&lt;V"</f>
        <v>#VALUE!</v>
      </c>
      <c r="BQ70" t="e">
        <f>'All regions'!E1739+"n/&gt;!%&lt;W"</f>
        <v>#VALUE!</v>
      </c>
      <c r="BR70" t="e">
        <f>'All regions'!F1739+"n/&gt;!%&lt;X"</f>
        <v>#VALUE!</v>
      </c>
      <c r="BS70" t="e">
        <f>'All regions'!G1739+"n/&gt;!%&lt;Y"</f>
        <v>#VALUE!</v>
      </c>
      <c r="BT70" t="e">
        <f>'All regions'!H1739+"n/&gt;!%&lt;Z"</f>
        <v>#VALUE!</v>
      </c>
      <c r="BU70" t="e">
        <f>'All regions'!I1739+"n/&gt;!%&lt;["</f>
        <v>#VALUE!</v>
      </c>
      <c r="BV70" t="e">
        <f>'All regions'!J1739+"n/&gt;!%&lt;\"</f>
        <v>#VALUE!</v>
      </c>
      <c r="BW70" t="e">
        <f>'All regions'!A1740+"n/&gt;!%&lt;]"</f>
        <v>#VALUE!</v>
      </c>
      <c r="BX70" t="e">
        <f>'All regions'!B1740+"n/&gt;!%&lt;^"</f>
        <v>#VALUE!</v>
      </c>
      <c r="BY70" t="e">
        <f>'All regions'!C1740+"n/&gt;!%&lt;_"</f>
        <v>#VALUE!</v>
      </c>
      <c r="BZ70" t="e">
        <f>'All regions'!D1740+"n/&gt;!%&lt;`"</f>
        <v>#VALUE!</v>
      </c>
      <c r="CA70" t="e">
        <f>'All regions'!E1740+"n/&gt;!%&lt;a"</f>
        <v>#VALUE!</v>
      </c>
      <c r="CB70" t="e">
        <f>'All regions'!F1740+"n/&gt;!%&lt;b"</f>
        <v>#VALUE!</v>
      </c>
      <c r="CC70" t="e">
        <f>'All regions'!G1740+"n/&gt;!%&lt;c"</f>
        <v>#VALUE!</v>
      </c>
      <c r="CD70" t="e">
        <f>'All regions'!H1740+"n/&gt;!%&lt;d"</f>
        <v>#VALUE!</v>
      </c>
      <c r="CE70" t="e">
        <f>'All regions'!I1740+"n/&gt;!%&lt;e"</f>
        <v>#VALUE!</v>
      </c>
      <c r="CF70" t="e">
        <f>'All regions'!J1740+"n/&gt;!%&lt;f"</f>
        <v>#VALUE!</v>
      </c>
      <c r="CG70" t="e">
        <f>'All regions'!A1741+"n/&gt;!%&lt;g"</f>
        <v>#VALUE!</v>
      </c>
      <c r="CH70" t="e">
        <f>'All regions'!B1741+"n/&gt;!%&lt;h"</f>
        <v>#VALUE!</v>
      </c>
      <c r="CI70" t="e">
        <f>'All regions'!C1741+"n/&gt;!%&lt;i"</f>
        <v>#VALUE!</v>
      </c>
      <c r="CJ70" t="e">
        <f>'All regions'!D1741+"n/&gt;!%&lt;j"</f>
        <v>#VALUE!</v>
      </c>
      <c r="CK70" t="e">
        <f>'All regions'!E1741+"n/&gt;!%&lt;k"</f>
        <v>#VALUE!</v>
      </c>
      <c r="CL70" t="e">
        <f>'All regions'!F1741+"n/&gt;!%&lt;l"</f>
        <v>#VALUE!</v>
      </c>
      <c r="CM70" t="e">
        <f>'All regions'!G1741+"n/&gt;!%&lt;m"</f>
        <v>#VALUE!</v>
      </c>
      <c r="CN70" t="e">
        <f>'All regions'!H1741+"n/&gt;!%&lt;n"</f>
        <v>#VALUE!</v>
      </c>
      <c r="CO70" t="e">
        <f>'All regions'!I1741+"n/&gt;!%&lt;o"</f>
        <v>#VALUE!</v>
      </c>
      <c r="CP70" t="e">
        <f>'All regions'!J1741+"n/&gt;!%&lt;p"</f>
        <v>#VALUE!</v>
      </c>
      <c r="CQ70" t="e">
        <f>'All regions'!A1742+"n/&gt;!%&lt;q"</f>
        <v>#VALUE!</v>
      </c>
      <c r="CR70" t="e">
        <f>'All regions'!B1742+"n/&gt;!%&lt;r"</f>
        <v>#VALUE!</v>
      </c>
      <c r="CS70" t="e">
        <f>'All regions'!C1742+"n/&gt;!%&lt;s"</f>
        <v>#VALUE!</v>
      </c>
      <c r="CT70" t="e">
        <f>'All regions'!D1742+"n/&gt;!%&lt;t"</f>
        <v>#VALUE!</v>
      </c>
      <c r="CU70" t="e">
        <f>'All regions'!E1742+"n/&gt;!%&lt;u"</f>
        <v>#VALUE!</v>
      </c>
      <c r="CV70" t="e">
        <f>'All regions'!F1742+"n/&gt;!%&lt;v"</f>
        <v>#VALUE!</v>
      </c>
      <c r="CW70" t="e">
        <f>'All regions'!G1742+"n/&gt;!%&lt;w"</f>
        <v>#VALUE!</v>
      </c>
      <c r="CX70" t="e">
        <f>'All regions'!H1742+"n/&gt;!%&lt;x"</f>
        <v>#VALUE!</v>
      </c>
      <c r="CY70" t="e">
        <f>'All regions'!I1742+"n/&gt;!%&lt;y"</f>
        <v>#VALUE!</v>
      </c>
      <c r="CZ70" t="e">
        <f>'All regions'!J1742+"n/&gt;!%&lt;z"</f>
        <v>#VALUE!</v>
      </c>
      <c r="DA70" t="e">
        <f>'All regions'!A1743+"n/&gt;!%&lt;{"</f>
        <v>#VALUE!</v>
      </c>
      <c r="DB70" t="e">
        <f>'All regions'!B1743+"n/&gt;!%&lt;|"</f>
        <v>#VALUE!</v>
      </c>
      <c r="DC70" t="e">
        <f>'All regions'!C1743+"n/&gt;!%&lt;}"</f>
        <v>#VALUE!</v>
      </c>
      <c r="DD70" t="e">
        <f>'All regions'!D1743+"n/&gt;!%&lt;~"</f>
        <v>#VALUE!</v>
      </c>
      <c r="DE70" t="e">
        <f>'All regions'!E1743+"n/&gt;!%=#"</f>
        <v>#VALUE!</v>
      </c>
      <c r="DF70" t="e">
        <f>'All regions'!F1743+"n/&gt;!%=$"</f>
        <v>#VALUE!</v>
      </c>
      <c r="DG70" t="e">
        <f>'All regions'!G1743+"n/&gt;!%=%"</f>
        <v>#VALUE!</v>
      </c>
      <c r="DH70" t="e">
        <f>'All regions'!H1743+"n/&gt;!%=&amp;"</f>
        <v>#VALUE!</v>
      </c>
      <c r="DI70" t="e">
        <f>'All regions'!I1743+"n/&gt;!%='"</f>
        <v>#VALUE!</v>
      </c>
      <c r="DJ70" t="e">
        <f>'All regions'!J1743+"n/&gt;!%=("</f>
        <v>#VALUE!</v>
      </c>
      <c r="DK70" t="e">
        <f>'All regions'!A1744+"n/&gt;!%=)"</f>
        <v>#VALUE!</v>
      </c>
      <c r="DL70" t="e">
        <f>'All regions'!B1744+"n/&gt;!%=."</f>
        <v>#VALUE!</v>
      </c>
      <c r="DM70" t="e">
        <f>'All regions'!C1744+"n/&gt;!%=/"</f>
        <v>#VALUE!</v>
      </c>
      <c r="DN70" t="e">
        <f>'All regions'!D1744+"n/&gt;!%=0"</f>
        <v>#VALUE!</v>
      </c>
      <c r="DO70" t="e">
        <f>'All regions'!E1744+"n/&gt;!%=1"</f>
        <v>#VALUE!</v>
      </c>
      <c r="DP70" t="e">
        <f>'All regions'!F1744+"n/&gt;!%=2"</f>
        <v>#VALUE!</v>
      </c>
      <c r="DQ70" t="e">
        <f>'All regions'!G1744+"n/&gt;!%=3"</f>
        <v>#VALUE!</v>
      </c>
      <c r="DR70" t="e">
        <f>'All regions'!H1744+"n/&gt;!%=4"</f>
        <v>#VALUE!</v>
      </c>
      <c r="DS70" t="e">
        <f>'All regions'!I1744+"n/&gt;!%=5"</f>
        <v>#VALUE!</v>
      </c>
      <c r="DT70" t="e">
        <f>'All regions'!J1744+"n/&gt;!%=6"</f>
        <v>#VALUE!</v>
      </c>
      <c r="DU70" t="e">
        <f>'All regions'!A1745+"n/&gt;!%=7"</f>
        <v>#VALUE!</v>
      </c>
      <c r="DV70" t="e">
        <f>'All regions'!B1745+"n/&gt;!%=8"</f>
        <v>#VALUE!</v>
      </c>
      <c r="DW70" t="e">
        <f>'All regions'!C1745+"n/&gt;!%=9"</f>
        <v>#VALUE!</v>
      </c>
      <c r="DX70" t="e">
        <f>'All regions'!D1745+"n/&gt;!%=:"</f>
        <v>#VALUE!</v>
      </c>
      <c r="DY70" t="e">
        <f>'All regions'!E1745+"n/&gt;!%=;"</f>
        <v>#VALUE!</v>
      </c>
      <c r="DZ70" t="e">
        <f>'All regions'!F1745+"n/&gt;!%=&lt;"</f>
        <v>#VALUE!</v>
      </c>
      <c r="EA70" t="e">
        <f>'All regions'!G1745+"n/&gt;!%=="</f>
        <v>#VALUE!</v>
      </c>
      <c r="EB70" t="e">
        <f>'All regions'!H1745+"n/&gt;!%=&gt;"</f>
        <v>#VALUE!</v>
      </c>
      <c r="EC70" t="e">
        <f>'All regions'!I1745+"n/&gt;!%=?"</f>
        <v>#VALUE!</v>
      </c>
      <c r="ED70" t="e">
        <f>'All regions'!J1745+"n/&gt;!%=@"</f>
        <v>#VALUE!</v>
      </c>
      <c r="EE70" t="e">
        <f>'All regions'!A1746+"n/&gt;!%=A"</f>
        <v>#VALUE!</v>
      </c>
      <c r="EF70" t="e">
        <f>'All regions'!B1746+"n/&gt;!%=B"</f>
        <v>#VALUE!</v>
      </c>
      <c r="EG70" t="e">
        <f>'All regions'!C1746+"n/&gt;!%=C"</f>
        <v>#VALUE!</v>
      </c>
      <c r="EH70" t="e">
        <f>'All regions'!D1746+"n/&gt;!%=D"</f>
        <v>#VALUE!</v>
      </c>
      <c r="EI70" t="e">
        <f>'All regions'!E1746+"n/&gt;!%=E"</f>
        <v>#VALUE!</v>
      </c>
      <c r="EJ70" t="e">
        <f>'All regions'!F1746+"n/&gt;!%=F"</f>
        <v>#VALUE!</v>
      </c>
      <c r="EK70" t="e">
        <f>'All regions'!G1746+"n/&gt;!%=G"</f>
        <v>#VALUE!</v>
      </c>
      <c r="EL70" t="e">
        <f>'All regions'!H1746+"n/&gt;!%=H"</f>
        <v>#VALUE!</v>
      </c>
      <c r="EM70" t="e">
        <f>'All regions'!I1746+"n/&gt;!%=I"</f>
        <v>#VALUE!</v>
      </c>
      <c r="EN70" t="e">
        <f>'All regions'!J1746+"n/&gt;!%=J"</f>
        <v>#VALUE!</v>
      </c>
      <c r="EO70" t="e">
        <f>'All regions'!A1747+"n/&gt;!%=K"</f>
        <v>#VALUE!</v>
      </c>
      <c r="EP70" t="e">
        <f>'All regions'!B1747+"n/&gt;!%=L"</f>
        <v>#VALUE!</v>
      </c>
      <c r="EQ70" t="e">
        <f>'All regions'!C1747+"n/&gt;!%=M"</f>
        <v>#VALUE!</v>
      </c>
      <c r="ER70" t="e">
        <f>'All regions'!D1747+"n/&gt;!%=N"</f>
        <v>#VALUE!</v>
      </c>
      <c r="ES70" t="e">
        <f>'All regions'!E1747+"n/&gt;!%=O"</f>
        <v>#VALUE!</v>
      </c>
      <c r="ET70" t="e">
        <f>'All regions'!F1747+"n/&gt;!%=P"</f>
        <v>#VALUE!</v>
      </c>
      <c r="EU70" t="e">
        <f>'All regions'!G1747+"n/&gt;!%=Q"</f>
        <v>#VALUE!</v>
      </c>
      <c r="EV70" t="e">
        <f>'All regions'!H1747+"n/&gt;!%=R"</f>
        <v>#VALUE!</v>
      </c>
      <c r="EW70" t="e">
        <f>'All regions'!I1747+"n/&gt;!%=S"</f>
        <v>#VALUE!</v>
      </c>
      <c r="EX70" t="e">
        <f>'All regions'!J1747+"n/&gt;!%=T"</f>
        <v>#VALUE!</v>
      </c>
      <c r="EY70" t="e">
        <f>'All regions'!A1748+"n/&gt;!%=U"</f>
        <v>#VALUE!</v>
      </c>
      <c r="EZ70" t="e">
        <f>'All regions'!B1748+"n/&gt;!%=V"</f>
        <v>#VALUE!</v>
      </c>
      <c r="FA70" t="e">
        <f>'All regions'!C1748+"n/&gt;!%=W"</f>
        <v>#VALUE!</v>
      </c>
      <c r="FB70" t="e">
        <f>'All regions'!D1748+"n/&gt;!%=X"</f>
        <v>#VALUE!</v>
      </c>
      <c r="FC70" t="e">
        <f>'All regions'!E1748+"n/&gt;!%=Y"</f>
        <v>#VALUE!</v>
      </c>
      <c r="FD70" t="e">
        <f>'All regions'!F1748+"n/&gt;!%=Z"</f>
        <v>#VALUE!</v>
      </c>
      <c r="FE70" t="e">
        <f>'All regions'!G1748+"n/&gt;!%=["</f>
        <v>#VALUE!</v>
      </c>
      <c r="FF70" t="e">
        <f>'All regions'!H1748+"n/&gt;!%=\"</f>
        <v>#VALUE!</v>
      </c>
      <c r="FG70" t="e">
        <f>'All regions'!I1748+"n/&gt;!%=]"</f>
        <v>#VALUE!</v>
      </c>
      <c r="FH70" t="e">
        <f>'All regions'!J1748+"n/&gt;!%=^"</f>
        <v>#VALUE!</v>
      </c>
      <c r="FI70" t="e">
        <f>'All regions'!A1749+"n/&gt;!%=_"</f>
        <v>#VALUE!</v>
      </c>
      <c r="FJ70" t="e">
        <f>'All regions'!B1749+"n/&gt;!%=`"</f>
        <v>#VALUE!</v>
      </c>
      <c r="FK70" t="e">
        <f>'All regions'!C1749+"n/&gt;!%=a"</f>
        <v>#VALUE!</v>
      </c>
      <c r="FL70" t="e">
        <f>'All regions'!D1749+"n/&gt;!%=b"</f>
        <v>#VALUE!</v>
      </c>
      <c r="FM70" t="e">
        <f>'All regions'!E1749+"n/&gt;!%=c"</f>
        <v>#VALUE!</v>
      </c>
      <c r="FN70" t="e">
        <f>'All regions'!F1749+"n/&gt;!%=d"</f>
        <v>#VALUE!</v>
      </c>
      <c r="FO70" t="e">
        <f>'All regions'!G1749+"n/&gt;!%=e"</f>
        <v>#VALUE!</v>
      </c>
      <c r="FP70" t="e">
        <f>'All regions'!H1749+"n/&gt;!%=f"</f>
        <v>#VALUE!</v>
      </c>
      <c r="FQ70" t="e">
        <f>'All regions'!I1749+"n/&gt;!%=g"</f>
        <v>#VALUE!</v>
      </c>
      <c r="FR70" t="e">
        <f>'All regions'!J1749+"n/&gt;!%=h"</f>
        <v>#VALUE!</v>
      </c>
      <c r="FS70" t="e">
        <f>'All regions'!A1750+"n/&gt;!%=i"</f>
        <v>#VALUE!</v>
      </c>
      <c r="FT70" t="e">
        <f>'All regions'!B1750+"n/&gt;!%=j"</f>
        <v>#VALUE!</v>
      </c>
      <c r="FU70" t="e">
        <f>'All regions'!C1750+"n/&gt;!%=k"</f>
        <v>#VALUE!</v>
      </c>
      <c r="FV70" t="e">
        <f>'All regions'!D1750+"n/&gt;!%=l"</f>
        <v>#VALUE!</v>
      </c>
      <c r="FW70" t="e">
        <f>'All regions'!E1750+"n/&gt;!%=m"</f>
        <v>#VALUE!</v>
      </c>
      <c r="FX70" t="e">
        <f>'All regions'!F1750+"n/&gt;!%=n"</f>
        <v>#VALUE!</v>
      </c>
      <c r="FY70" t="e">
        <f>'All regions'!G1750+"n/&gt;!%=o"</f>
        <v>#VALUE!</v>
      </c>
      <c r="FZ70" t="e">
        <f>'All regions'!H1750+"n/&gt;!%=p"</f>
        <v>#VALUE!</v>
      </c>
      <c r="GA70" t="e">
        <f>'All regions'!I1750+"n/&gt;!%=q"</f>
        <v>#VALUE!</v>
      </c>
      <c r="GB70" t="e">
        <f>'All regions'!J1750+"n/&gt;!%=r"</f>
        <v>#VALUE!</v>
      </c>
      <c r="GC70" t="e">
        <f>'All regions'!A1751+"n/&gt;!%=s"</f>
        <v>#VALUE!</v>
      </c>
      <c r="GD70" t="e">
        <f>'All regions'!B1751+"n/&gt;!%=t"</f>
        <v>#VALUE!</v>
      </c>
      <c r="GE70" t="e">
        <f>'All regions'!C1751+"n/&gt;!%=u"</f>
        <v>#VALUE!</v>
      </c>
      <c r="GF70" t="e">
        <f>'All regions'!D1751+"n/&gt;!%=v"</f>
        <v>#VALUE!</v>
      </c>
      <c r="GG70" t="e">
        <f>'All regions'!E1751+"n/&gt;!%=w"</f>
        <v>#VALUE!</v>
      </c>
      <c r="GH70" t="e">
        <f>'All regions'!F1751+"n/&gt;!%=x"</f>
        <v>#VALUE!</v>
      </c>
      <c r="GI70" t="e">
        <f>'All regions'!G1751+"n/&gt;!%=y"</f>
        <v>#VALUE!</v>
      </c>
      <c r="GJ70" t="e">
        <f>'All regions'!H1751+"n/&gt;!%=z"</f>
        <v>#VALUE!</v>
      </c>
      <c r="GK70" t="e">
        <f>'All regions'!I1751+"n/&gt;!%={"</f>
        <v>#VALUE!</v>
      </c>
      <c r="GL70" t="e">
        <f>'All regions'!J1751+"n/&gt;!%=|"</f>
        <v>#VALUE!</v>
      </c>
      <c r="GM70" t="e">
        <f>'All regions'!A1752+"n/&gt;!%=}"</f>
        <v>#VALUE!</v>
      </c>
      <c r="GN70" t="e">
        <f>'All regions'!B1752+"n/&gt;!%=~"</f>
        <v>#VALUE!</v>
      </c>
      <c r="GO70" t="e">
        <f>'All regions'!C1752+"n/&gt;!%&gt;#"</f>
        <v>#VALUE!</v>
      </c>
      <c r="GP70" t="e">
        <f>'All regions'!D1752+"n/&gt;!%&gt;$"</f>
        <v>#VALUE!</v>
      </c>
      <c r="GQ70" t="e">
        <f>'All regions'!E1752+"n/&gt;!%&gt;%"</f>
        <v>#VALUE!</v>
      </c>
      <c r="GR70" t="e">
        <f>'All regions'!F1752+"n/&gt;!%&gt;&amp;"</f>
        <v>#VALUE!</v>
      </c>
      <c r="GS70" t="e">
        <f>'All regions'!G1752+"n/&gt;!%&gt;'"</f>
        <v>#VALUE!</v>
      </c>
      <c r="GT70" t="e">
        <f>'All regions'!H1752+"n/&gt;!%&gt;("</f>
        <v>#VALUE!</v>
      </c>
      <c r="GU70" t="e">
        <f>'All regions'!I1752+"n/&gt;!%&gt;)"</f>
        <v>#VALUE!</v>
      </c>
      <c r="GV70" t="e">
        <f>'All regions'!J1752+"n/&gt;!%&gt;."</f>
        <v>#VALUE!</v>
      </c>
      <c r="GW70" t="e">
        <f>'All regions'!A1753+"n/&gt;!%&gt;/"</f>
        <v>#VALUE!</v>
      </c>
      <c r="GX70" t="e">
        <f>'All regions'!B1753+"n/&gt;!%&gt;0"</f>
        <v>#VALUE!</v>
      </c>
      <c r="GY70" t="e">
        <f>'All regions'!C1753+"n/&gt;!%&gt;1"</f>
        <v>#VALUE!</v>
      </c>
      <c r="GZ70" t="e">
        <f>'All regions'!D1753+"n/&gt;!%&gt;2"</f>
        <v>#VALUE!</v>
      </c>
      <c r="HA70" t="e">
        <f>'All regions'!E1753+"n/&gt;!%&gt;3"</f>
        <v>#VALUE!</v>
      </c>
      <c r="HB70" t="e">
        <f>'All regions'!F1753+"n/&gt;!%&gt;4"</f>
        <v>#VALUE!</v>
      </c>
      <c r="HC70" t="e">
        <f>'All regions'!G1753+"n/&gt;!%&gt;5"</f>
        <v>#VALUE!</v>
      </c>
      <c r="HD70" t="e">
        <f>'All regions'!H1753+"n/&gt;!%&gt;6"</f>
        <v>#VALUE!</v>
      </c>
      <c r="HE70" t="e">
        <f>'All regions'!I1753+"n/&gt;!%&gt;7"</f>
        <v>#VALUE!</v>
      </c>
      <c r="HF70" t="e">
        <f>'All regions'!J1753+"n/&gt;!%&gt;8"</f>
        <v>#VALUE!</v>
      </c>
      <c r="HG70" t="e">
        <f>'All regions'!A1754+"n/&gt;!%&gt;9"</f>
        <v>#VALUE!</v>
      </c>
      <c r="HH70" t="e">
        <f>'All regions'!B1754+"n/&gt;!%&gt;:"</f>
        <v>#VALUE!</v>
      </c>
      <c r="HI70" t="e">
        <f>'All regions'!C1754+"n/&gt;!%&gt;;"</f>
        <v>#VALUE!</v>
      </c>
      <c r="HJ70" t="e">
        <f>'All regions'!D1754+"n/&gt;!%&gt;&lt;"</f>
        <v>#VALUE!</v>
      </c>
      <c r="HK70" t="e">
        <f>'All regions'!E1754+"n/&gt;!%&gt;="</f>
        <v>#VALUE!</v>
      </c>
      <c r="HL70" t="e">
        <f>'All regions'!F1754+"n/&gt;!%&gt;&gt;"</f>
        <v>#VALUE!</v>
      </c>
      <c r="HM70" t="e">
        <f>'All regions'!G1754+"n/&gt;!%&gt;?"</f>
        <v>#VALUE!</v>
      </c>
      <c r="HN70" t="e">
        <f>'All regions'!H1754+"n/&gt;!%&gt;@"</f>
        <v>#VALUE!</v>
      </c>
      <c r="HO70" t="e">
        <f>'All regions'!I1754+"n/&gt;!%&gt;A"</f>
        <v>#VALUE!</v>
      </c>
      <c r="HP70" t="e">
        <f>'All regions'!J1754+"n/&gt;!%&gt;B"</f>
        <v>#VALUE!</v>
      </c>
      <c r="HQ70" t="e">
        <f>'All regions'!A1755+"n/&gt;!%&gt;C"</f>
        <v>#VALUE!</v>
      </c>
      <c r="HR70" t="e">
        <f>'All regions'!B1755+"n/&gt;!%&gt;D"</f>
        <v>#VALUE!</v>
      </c>
      <c r="HS70" t="e">
        <f>'All regions'!C1755+"n/&gt;!%&gt;E"</f>
        <v>#VALUE!</v>
      </c>
      <c r="HT70" t="e">
        <f>'All regions'!D1755+"n/&gt;!%&gt;F"</f>
        <v>#VALUE!</v>
      </c>
      <c r="HU70" t="e">
        <f>'All regions'!E1755+"n/&gt;!%&gt;G"</f>
        <v>#VALUE!</v>
      </c>
      <c r="HV70" t="e">
        <f>'All regions'!F1755+"n/&gt;!%&gt;H"</f>
        <v>#VALUE!</v>
      </c>
      <c r="HW70" t="e">
        <f>'All regions'!G1755+"n/&gt;!%&gt;I"</f>
        <v>#VALUE!</v>
      </c>
      <c r="HX70" t="e">
        <f>'All regions'!H1755+"n/&gt;!%&gt;J"</f>
        <v>#VALUE!</v>
      </c>
      <c r="HY70" t="e">
        <f>'All regions'!I1755+"n/&gt;!%&gt;K"</f>
        <v>#VALUE!</v>
      </c>
      <c r="HZ70" t="e">
        <f>'All regions'!J1755+"n/&gt;!%&gt;L"</f>
        <v>#VALUE!</v>
      </c>
      <c r="IA70" t="e">
        <f>'All regions'!A1756+"n/&gt;!%&gt;M"</f>
        <v>#VALUE!</v>
      </c>
      <c r="IB70" t="e">
        <f>'All regions'!B1756+"n/&gt;!%&gt;N"</f>
        <v>#VALUE!</v>
      </c>
      <c r="IC70" t="e">
        <f>'All regions'!C1756+"n/&gt;!%&gt;O"</f>
        <v>#VALUE!</v>
      </c>
      <c r="ID70" t="e">
        <f>'All regions'!D1756+"n/&gt;!%&gt;P"</f>
        <v>#VALUE!</v>
      </c>
      <c r="IE70" t="e">
        <f>'All regions'!E1756+"n/&gt;!%&gt;Q"</f>
        <v>#VALUE!</v>
      </c>
      <c r="IF70" t="e">
        <f>'All regions'!F1756+"n/&gt;!%&gt;R"</f>
        <v>#VALUE!</v>
      </c>
      <c r="IG70" t="e">
        <f>'All regions'!G1756+"n/&gt;!%&gt;S"</f>
        <v>#VALUE!</v>
      </c>
      <c r="IH70" t="e">
        <f>'All regions'!H1756+"n/&gt;!%&gt;T"</f>
        <v>#VALUE!</v>
      </c>
      <c r="II70" t="e">
        <f>'All regions'!I1756+"n/&gt;!%&gt;U"</f>
        <v>#VALUE!</v>
      </c>
      <c r="IJ70" t="e">
        <f>'All regions'!J1756+"n/&gt;!%&gt;V"</f>
        <v>#VALUE!</v>
      </c>
      <c r="IK70" t="e">
        <f>'All regions'!A1757+"n/&gt;!%&gt;W"</f>
        <v>#VALUE!</v>
      </c>
      <c r="IL70" t="e">
        <f>'All regions'!B1757+"n/&gt;!%&gt;X"</f>
        <v>#VALUE!</v>
      </c>
      <c r="IM70" t="e">
        <f>'All regions'!C1757+"n/&gt;!%&gt;Y"</f>
        <v>#VALUE!</v>
      </c>
      <c r="IN70" t="e">
        <f>'All regions'!D1757+"n/&gt;!%&gt;Z"</f>
        <v>#VALUE!</v>
      </c>
      <c r="IO70" t="e">
        <f>'All regions'!E1757+"n/&gt;!%&gt;["</f>
        <v>#VALUE!</v>
      </c>
      <c r="IP70" t="e">
        <f>'All regions'!F1757+"n/&gt;!%&gt;\"</f>
        <v>#VALUE!</v>
      </c>
      <c r="IQ70" t="e">
        <f>'All regions'!G1757+"n/&gt;!%&gt;]"</f>
        <v>#VALUE!</v>
      </c>
      <c r="IR70" t="e">
        <f>'All regions'!H1757+"n/&gt;!%&gt;^"</f>
        <v>#VALUE!</v>
      </c>
      <c r="IS70" t="e">
        <f>'All regions'!I1757+"n/&gt;!%&gt;_"</f>
        <v>#VALUE!</v>
      </c>
      <c r="IT70" t="e">
        <f>'All regions'!J1757+"n/&gt;!%&gt;`"</f>
        <v>#VALUE!</v>
      </c>
      <c r="IU70" t="e">
        <f>'All regions'!A1758+"n/&gt;!%&gt;a"</f>
        <v>#VALUE!</v>
      </c>
      <c r="IV70" t="e">
        <f>'All regions'!B1758+"n/&gt;!%&gt;b"</f>
        <v>#VALUE!</v>
      </c>
    </row>
    <row r="71" spans="6:256" x14ac:dyDescent="0.35">
      <c r="F71" t="e">
        <f>'All regions'!C1758+"n/&gt;!%&gt;c"</f>
        <v>#VALUE!</v>
      </c>
      <c r="G71" t="e">
        <f>'All regions'!D1758+"n/&gt;!%&gt;d"</f>
        <v>#VALUE!</v>
      </c>
      <c r="H71" t="e">
        <f>'All regions'!E1758+"n/&gt;!%&gt;e"</f>
        <v>#VALUE!</v>
      </c>
      <c r="I71" t="e">
        <f>'All regions'!F1758+"n/&gt;!%&gt;f"</f>
        <v>#VALUE!</v>
      </c>
      <c r="J71" t="e">
        <f>'All regions'!G1758+"n/&gt;!%&gt;g"</f>
        <v>#VALUE!</v>
      </c>
      <c r="K71" t="e">
        <f>'All regions'!H1758+"n/&gt;!%&gt;h"</f>
        <v>#VALUE!</v>
      </c>
      <c r="L71" t="e">
        <f>'All regions'!I1758+"n/&gt;!%&gt;i"</f>
        <v>#VALUE!</v>
      </c>
      <c r="M71" t="e">
        <f>'All regions'!J1758+"n/&gt;!%&gt;j"</f>
        <v>#VALUE!</v>
      </c>
      <c r="N71" t="e">
        <f>'All regions'!A1759+"n/&gt;!%&gt;k"</f>
        <v>#VALUE!</v>
      </c>
      <c r="O71" t="e">
        <f>'All regions'!B1759+"n/&gt;!%&gt;l"</f>
        <v>#VALUE!</v>
      </c>
      <c r="P71" t="e">
        <f>'All regions'!C1759+"n/&gt;!%&gt;m"</f>
        <v>#VALUE!</v>
      </c>
      <c r="Q71" t="e">
        <f>'All regions'!D1759+"n/&gt;!%&gt;n"</f>
        <v>#VALUE!</v>
      </c>
      <c r="R71" t="e">
        <f>'All regions'!E1759+"n/&gt;!%&gt;o"</f>
        <v>#VALUE!</v>
      </c>
      <c r="S71" t="e">
        <f>'All regions'!F1759+"n/&gt;!%&gt;p"</f>
        <v>#VALUE!</v>
      </c>
      <c r="T71" t="e">
        <f>'All regions'!G1759+"n/&gt;!%&gt;q"</f>
        <v>#VALUE!</v>
      </c>
      <c r="U71" t="e">
        <f>'All regions'!H1759+"n/&gt;!%&gt;r"</f>
        <v>#VALUE!</v>
      </c>
      <c r="V71" t="e">
        <f>'All regions'!I1759+"n/&gt;!%&gt;s"</f>
        <v>#VALUE!</v>
      </c>
      <c r="W71" t="e">
        <f>'All regions'!J1759+"n/&gt;!%&gt;t"</f>
        <v>#VALUE!</v>
      </c>
      <c r="X71" t="e">
        <f>'All regions'!A1760+"n/&gt;!%&gt;u"</f>
        <v>#VALUE!</v>
      </c>
      <c r="Y71" t="e">
        <f>'All regions'!B1760+"n/&gt;!%&gt;v"</f>
        <v>#VALUE!</v>
      </c>
      <c r="Z71" t="e">
        <f>'All regions'!C1760+"n/&gt;!%&gt;w"</f>
        <v>#VALUE!</v>
      </c>
      <c r="AA71" t="e">
        <f>'All regions'!D1760+"n/&gt;!%&gt;x"</f>
        <v>#VALUE!</v>
      </c>
      <c r="AB71" t="e">
        <f>'All regions'!E1760+"n/&gt;!%&gt;y"</f>
        <v>#VALUE!</v>
      </c>
      <c r="AC71" t="e">
        <f>'All regions'!F1760+"n/&gt;!%&gt;z"</f>
        <v>#VALUE!</v>
      </c>
      <c r="AD71" t="e">
        <f>'All regions'!G1760+"n/&gt;!%&gt;{"</f>
        <v>#VALUE!</v>
      </c>
      <c r="AE71" t="e">
        <f>'All regions'!H1760+"n/&gt;!%&gt;|"</f>
        <v>#VALUE!</v>
      </c>
      <c r="AF71" t="e">
        <f>'All regions'!I1760+"n/&gt;!%&gt;}"</f>
        <v>#VALUE!</v>
      </c>
      <c r="AG71" t="e">
        <f>'All regions'!J1760+"n/&gt;!%&gt;~"</f>
        <v>#VALUE!</v>
      </c>
      <c r="AH71" t="e">
        <f>'All regions'!A1761+"n/&gt;!%?#"</f>
        <v>#VALUE!</v>
      </c>
      <c r="AI71" t="e">
        <f>'All regions'!B1761+"n/&gt;!%?$"</f>
        <v>#VALUE!</v>
      </c>
      <c r="AJ71" t="e">
        <f>'All regions'!C1761+"n/&gt;!%?%"</f>
        <v>#VALUE!</v>
      </c>
      <c r="AK71" t="e">
        <f>'All regions'!D1761+"n/&gt;!%?&amp;"</f>
        <v>#VALUE!</v>
      </c>
      <c r="AL71" t="e">
        <f>'All regions'!E1761+"n/&gt;!%?'"</f>
        <v>#VALUE!</v>
      </c>
      <c r="AM71" t="e">
        <f>'All regions'!F1761+"n/&gt;!%?("</f>
        <v>#VALUE!</v>
      </c>
      <c r="AN71" t="e">
        <f>'All regions'!G1761+"n/&gt;!%?)"</f>
        <v>#VALUE!</v>
      </c>
      <c r="AO71" t="e">
        <f>'All regions'!H1761+"n/&gt;!%?."</f>
        <v>#VALUE!</v>
      </c>
      <c r="AP71" t="e">
        <f>'All regions'!I1761+"n/&gt;!%?/"</f>
        <v>#VALUE!</v>
      </c>
      <c r="AQ71" t="e">
        <f>'All regions'!J1761+"n/&gt;!%?0"</f>
        <v>#VALUE!</v>
      </c>
      <c r="AR71" t="e">
        <f>'All regions'!A1762+"n/&gt;!%?1"</f>
        <v>#VALUE!</v>
      </c>
      <c r="AS71" t="e">
        <f>'All regions'!B1762+"n/&gt;!%?2"</f>
        <v>#VALUE!</v>
      </c>
      <c r="AT71" t="e">
        <f>'All regions'!C1762+"n/&gt;!%?3"</f>
        <v>#VALUE!</v>
      </c>
      <c r="AU71" t="e">
        <f>'All regions'!D1762+"n/&gt;!%?4"</f>
        <v>#VALUE!</v>
      </c>
      <c r="AV71" t="e">
        <f>'All regions'!E1762+"n/&gt;!%?5"</f>
        <v>#VALUE!</v>
      </c>
      <c r="AW71" t="e">
        <f>'All regions'!F1762+"n/&gt;!%?6"</f>
        <v>#VALUE!</v>
      </c>
      <c r="AX71" t="e">
        <f>'All regions'!G1762+"n/&gt;!%?7"</f>
        <v>#VALUE!</v>
      </c>
      <c r="AY71" t="e">
        <f>'All regions'!H1762+"n/&gt;!%?8"</f>
        <v>#VALUE!</v>
      </c>
      <c r="AZ71" t="e">
        <f>'All regions'!I1762+"n/&gt;!%?9"</f>
        <v>#VALUE!</v>
      </c>
      <c r="BA71" t="e">
        <f>'All regions'!J1762+"n/&gt;!%?:"</f>
        <v>#VALUE!</v>
      </c>
      <c r="BB71" t="e">
        <f>'All regions'!A1763+"n/&gt;!%?;"</f>
        <v>#VALUE!</v>
      </c>
      <c r="BC71" t="e">
        <f>'All regions'!B1763+"n/&gt;!%?&lt;"</f>
        <v>#VALUE!</v>
      </c>
      <c r="BD71" t="e">
        <f>'All regions'!C1763+"n/&gt;!%?="</f>
        <v>#VALUE!</v>
      </c>
      <c r="BE71" t="e">
        <f>'All regions'!D1763+"n/&gt;!%?&gt;"</f>
        <v>#VALUE!</v>
      </c>
      <c r="BF71" t="e">
        <f>'All regions'!E1763+"n/&gt;!%??"</f>
        <v>#VALUE!</v>
      </c>
      <c r="BG71" t="e">
        <f>'All regions'!F1763+"n/&gt;!%?@"</f>
        <v>#VALUE!</v>
      </c>
      <c r="BH71" t="e">
        <f>'All regions'!G1763+"n/&gt;!%?A"</f>
        <v>#VALUE!</v>
      </c>
      <c r="BI71" t="e">
        <f>'All regions'!H1763+"n/&gt;!%?B"</f>
        <v>#VALUE!</v>
      </c>
      <c r="BJ71" t="e">
        <f>'All regions'!I1763+"n/&gt;!%?C"</f>
        <v>#VALUE!</v>
      </c>
      <c r="BK71" t="e">
        <f>'All regions'!J1763+"n/&gt;!%?D"</f>
        <v>#VALUE!</v>
      </c>
      <c r="BL71" t="e">
        <f>'All regions'!A1764+"n/&gt;!%?E"</f>
        <v>#VALUE!</v>
      </c>
      <c r="BM71" t="e">
        <f>'All regions'!B1764+"n/&gt;!%?F"</f>
        <v>#VALUE!</v>
      </c>
      <c r="BN71" t="e">
        <f>'All regions'!C1764+"n/&gt;!%?G"</f>
        <v>#VALUE!</v>
      </c>
      <c r="BO71" t="e">
        <f>'All regions'!D1764+"n/&gt;!%?H"</f>
        <v>#VALUE!</v>
      </c>
      <c r="BP71" t="e">
        <f>'All regions'!E1764+"n/&gt;!%?I"</f>
        <v>#VALUE!</v>
      </c>
      <c r="BQ71" t="e">
        <f>'All regions'!F1764+"n/&gt;!%?J"</f>
        <v>#VALUE!</v>
      </c>
      <c r="BR71" t="e">
        <f>'All regions'!G1764+"n/&gt;!%?K"</f>
        <v>#VALUE!</v>
      </c>
      <c r="BS71" t="e">
        <f>'All regions'!H1764+"n/&gt;!%?L"</f>
        <v>#VALUE!</v>
      </c>
      <c r="BT71" t="e">
        <f>'All regions'!I1764+"n/&gt;!%?M"</f>
        <v>#VALUE!</v>
      </c>
      <c r="BU71" t="e">
        <f>'All regions'!J1764+"n/&gt;!%?N"</f>
        <v>#VALUE!</v>
      </c>
      <c r="BV71" t="e">
        <f>'All regions'!A1765+"n/&gt;!%?O"</f>
        <v>#VALUE!</v>
      </c>
      <c r="BW71" t="e">
        <f>'All regions'!B1765+"n/&gt;!%?P"</f>
        <v>#VALUE!</v>
      </c>
      <c r="BX71" t="e">
        <f>'All regions'!C1765+"n/&gt;!%?Q"</f>
        <v>#VALUE!</v>
      </c>
      <c r="BY71" t="e">
        <f>'All regions'!D1765+"n/&gt;!%?R"</f>
        <v>#VALUE!</v>
      </c>
      <c r="BZ71" t="e">
        <f>'All regions'!E1765+"n/&gt;!%?S"</f>
        <v>#VALUE!</v>
      </c>
      <c r="CA71" t="e">
        <f>'All regions'!F1765+"n/&gt;!%?T"</f>
        <v>#VALUE!</v>
      </c>
      <c r="CB71" t="e">
        <f>'All regions'!G1765+"n/&gt;!%?U"</f>
        <v>#VALUE!</v>
      </c>
      <c r="CC71" t="e">
        <f>'All regions'!H1765+"n/&gt;!%?V"</f>
        <v>#VALUE!</v>
      </c>
      <c r="CD71" t="e">
        <f>'All regions'!I1765+"n/&gt;!%?W"</f>
        <v>#VALUE!</v>
      </c>
      <c r="CE71" t="e">
        <f>'All regions'!J1765+"n/&gt;!%?X"</f>
        <v>#VALUE!</v>
      </c>
      <c r="CF71" t="e">
        <f>'All regions'!A1766+"n/&gt;!%?Y"</f>
        <v>#VALUE!</v>
      </c>
      <c r="CG71" t="e">
        <f>'All regions'!B1766+"n/&gt;!%?Z"</f>
        <v>#VALUE!</v>
      </c>
      <c r="CH71" t="e">
        <f>'All regions'!C1766+"n/&gt;!%?["</f>
        <v>#VALUE!</v>
      </c>
      <c r="CI71" t="e">
        <f>'All regions'!D1766+"n/&gt;!%?\"</f>
        <v>#VALUE!</v>
      </c>
      <c r="CJ71" t="e">
        <f>'All regions'!E1766+"n/&gt;!%?]"</f>
        <v>#VALUE!</v>
      </c>
      <c r="CK71" t="e">
        <f>'All regions'!F1766+"n/&gt;!%?^"</f>
        <v>#VALUE!</v>
      </c>
      <c r="CL71" t="e">
        <f>'All regions'!G1766+"n/&gt;!%?_"</f>
        <v>#VALUE!</v>
      </c>
      <c r="CM71" t="e">
        <f>'All regions'!H1766+"n/&gt;!%?`"</f>
        <v>#VALUE!</v>
      </c>
      <c r="CN71" t="e">
        <f>'All regions'!I1766+"n/&gt;!%?a"</f>
        <v>#VALUE!</v>
      </c>
      <c r="CO71" t="e">
        <f>'All regions'!J1766+"n/&gt;!%?b"</f>
        <v>#VALUE!</v>
      </c>
      <c r="CP71" t="e">
        <f>'All regions'!A1767+"n/&gt;!%?c"</f>
        <v>#VALUE!</v>
      </c>
      <c r="CQ71" t="e">
        <f>'All regions'!B1767+"n/&gt;!%?d"</f>
        <v>#VALUE!</v>
      </c>
      <c r="CR71" t="e">
        <f>'All regions'!C1767+"n/&gt;!%?e"</f>
        <v>#VALUE!</v>
      </c>
      <c r="CS71" t="e">
        <f>'All regions'!D1767+"n/&gt;!%?f"</f>
        <v>#VALUE!</v>
      </c>
      <c r="CT71" t="e">
        <f>'All regions'!E1767+"n/&gt;!%?g"</f>
        <v>#VALUE!</v>
      </c>
      <c r="CU71" t="e">
        <f>'All regions'!F1767+"n/&gt;!%?h"</f>
        <v>#VALUE!</v>
      </c>
      <c r="CV71" t="e">
        <f>'All regions'!G1767+"n/&gt;!%?i"</f>
        <v>#VALUE!</v>
      </c>
      <c r="CW71" t="e">
        <f>'All regions'!H1767+"n/&gt;!%?j"</f>
        <v>#VALUE!</v>
      </c>
      <c r="CX71" t="e">
        <f>'All regions'!I1767+"n/&gt;!%?k"</f>
        <v>#VALUE!</v>
      </c>
      <c r="CY71" t="e">
        <f>'All regions'!J1767+"n/&gt;!%?l"</f>
        <v>#VALUE!</v>
      </c>
      <c r="CZ71" t="e">
        <f>'All regions'!A1768+"n/&gt;!%?m"</f>
        <v>#VALUE!</v>
      </c>
      <c r="DA71" t="e">
        <f>'All regions'!B1768+"n/&gt;!%?n"</f>
        <v>#VALUE!</v>
      </c>
      <c r="DB71" t="e">
        <f>'All regions'!C1768+"n/&gt;!%?o"</f>
        <v>#VALUE!</v>
      </c>
      <c r="DC71" t="e">
        <f>'All regions'!D1768+"n/&gt;!%?p"</f>
        <v>#VALUE!</v>
      </c>
      <c r="DD71" t="e">
        <f>'All regions'!E1768+"n/&gt;!%?q"</f>
        <v>#VALUE!</v>
      </c>
      <c r="DE71" t="e">
        <f>'All regions'!F1768+"n/&gt;!%?r"</f>
        <v>#VALUE!</v>
      </c>
      <c r="DF71" t="e">
        <f>'All regions'!G1768+"n/&gt;!%?s"</f>
        <v>#VALUE!</v>
      </c>
      <c r="DG71" t="e">
        <f>'All regions'!H1768+"n/&gt;!%?t"</f>
        <v>#VALUE!</v>
      </c>
      <c r="DH71" t="e">
        <f>'All regions'!I1768+"n/&gt;!%?u"</f>
        <v>#VALUE!</v>
      </c>
      <c r="DI71" t="e">
        <f>'All regions'!J1768+"n/&gt;!%?v"</f>
        <v>#VALUE!</v>
      </c>
      <c r="DJ71" t="e">
        <f>'All regions'!A1769+"n/&gt;!%?w"</f>
        <v>#VALUE!</v>
      </c>
      <c r="DK71" t="e">
        <f>'All regions'!B1769+"n/&gt;!%?x"</f>
        <v>#VALUE!</v>
      </c>
      <c r="DL71" t="e">
        <f>'All regions'!C1769+"n/&gt;!%?y"</f>
        <v>#VALUE!</v>
      </c>
      <c r="DM71" t="e">
        <f>'All regions'!D1769+"n/&gt;!%?z"</f>
        <v>#VALUE!</v>
      </c>
      <c r="DN71" t="e">
        <f>'All regions'!E1769+"n/&gt;!%?{"</f>
        <v>#VALUE!</v>
      </c>
      <c r="DO71" t="e">
        <f>'All regions'!F1769+"n/&gt;!%?|"</f>
        <v>#VALUE!</v>
      </c>
      <c r="DP71" t="e">
        <f>'All regions'!G1769+"n/&gt;!%?}"</f>
        <v>#VALUE!</v>
      </c>
      <c r="DQ71" t="e">
        <f>'All regions'!H1769+"n/&gt;!%?~"</f>
        <v>#VALUE!</v>
      </c>
      <c r="DR71" t="e">
        <f>'All regions'!I1769+"n/&gt;!%@#"</f>
        <v>#VALUE!</v>
      </c>
      <c r="DS71" t="e">
        <f>'All regions'!J1769+"n/&gt;!%@$"</f>
        <v>#VALUE!</v>
      </c>
      <c r="DT71" t="e">
        <f>'All regions'!A1770+"n/&gt;!%@%"</f>
        <v>#VALUE!</v>
      </c>
      <c r="DU71" t="e">
        <f>'All regions'!B1770+"n/&gt;!%@&amp;"</f>
        <v>#VALUE!</v>
      </c>
      <c r="DV71" t="e">
        <f>'All regions'!C1770+"n/&gt;!%@'"</f>
        <v>#VALUE!</v>
      </c>
      <c r="DW71" t="e">
        <f>'All regions'!D1770+"n/&gt;!%@("</f>
        <v>#VALUE!</v>
      </c>
      <c r="DX71" t="e">
        <f>'All regions'!E1770+"n/&gt;!%@)"</f>
        <v>#VALUE!</v>
      </c>
      <c r="DY71" t="e">
        <f>'All regions'!F1770+"n/&gt;!%@."</f>
        <v>#VALUE!</v>
      </c>
      <c r="DZ71" t="e">
        <f>'All regions'!G1770+"n/&gt;!%@/"</f>
        <v>#VALUE!</v>
      </c>
      <c r="EA71" t="e">
        <f>'All regions'!H1770+"n/&gt;!%@0"</f>
        <v>#VALUE!</v>
      </c>
      <c r="EB71" t="e">
        <f>'All regions'!I1770+"n/&gt;!%@1"</f>
        <v>#VALUE!</v>
      </c>
      <c r="EC71" t="e">
        <f>'All regions'!J1770+"n/&gt;!%@2"</f>
        <v>#VALUE!</v>
      </c>
      <c r="ED71" t="e">
        <f>'All regions'!A1771+"n/&gt;!%@3"</f>
        <v>#VALUE!</v>
      </c>
      <c r="EE71" t="e">
        <f>'All regions'!B1771+"n/&gt;!%@4"</f>
        <v>#VALUE!</v>
      </c>
      <c r="EF71" t="e">
        <f>'All regions'!C1771+"n/&gt;!%@5"</f>
        <v>#VALUE!</v>
      </c>
      <c r="EG71" t="e">
        <f>'All regions'!D1771+"n/&gt;!%@6"</f>
        <v>#VALUE!</v>
      </c>
      <c r="EH71" t="e">
        <f>'All regions'!E1771+"n/&gt;!%@7"</f>
        <v>#VALUE!</v>
      </c>
      <c r="EI71" t="e">
        <f>'All regions'!F1771+"n/&gt;!%@8"</f>
        <v>#VALUE!</v>
      </c>
      <c r="EJ71" t="e">
        <f>'All regions'!G1771+"n/&gt;!%@9"</f>
        <v>#VALUE!</v>
      </c>
      <c r="EK71" t="e">
        <f>'All regions'!H1771+"n/&gt;!%@:"</f>
        <v>#VALUE!</v>
      </c>
      <c r="EL71" t="e">
        <f>'All regions'!I1771+"n/&gt;!%@;"</f>
        <v>#VALUE!</v>
      </c>
      <c r="EM71" t="e">
        <f>'All regions'!J1771+"n/&gt;!%@&lt;"</f>
        <v>#VALUE!</v>
      </c>
      <c r="EN71" t="e">
        <f>'All regions'!A1772+"n/&gt;!%@="</f>
        <v>#VALUE!</v>
      </c>
      <c r="EO71" t="e">
        <f>'All regions'!B1772+"n/&gt;!%@&gt;"</f>
        <v>#VALUE!</v>
      </c>
      <c r="EP71" t="e">
        <f>'All regions'!C1772+"n/&gt;!%@?"</f>
        <v>#VALUE!</v>
      </c>
      <c r="EQ71" t="e">
        <f>'All regions'!D1772+"n/&gt;!%@@"</f>
        <v>#VALUE!</v>
      </c>
      <c r="ER71" t="e">
        <f>'All regions'!E1772+"n/&gt;!%@A"</f>
        <v>#VALUE!</v>
      </c>
      <c r="ES71" t="e">
        <f>'All regions'!F1772+"n/&gt;!%@B"</f>
        <v>#VALUE!</v>
      </c>
      <c r="ET71" t="e">
        <f>'All regions'!G1772+"n/&gt;!%@C"</f>
        <v>#VALUE!</v>
      </c>
      <c r="EU71" t="e">
        <f>'All regions'!H1772+"n/&gt;!%@D"</f>
        <v>#VALUE!</v>
      </c>
      <c r="EV71" t="e">
        <f>'All regions'!I1772+"n/&gt;!%@E"</f>
        <v>#VALUE!</v>
      </c>
      <c r="EW71" t="e">
        <f>'All regions'!J1772+"n/&gt;!%@F"</f>
        <v>#VALUE!</v>
      </c>
      <c r="EX71" t="e">
        <f>'All regions'!A1773+"n/&gt;!%@G"</f>
        <v>#VALUE!</v>
      </c>
      <c r="EY71" t="e">
        <f>'All regions'!B1773+"n/&gt;!%@H"</f>
        <v>#VALUE!</v>
      </c>
      <c r="EZ71" t="e">
        <f>'All regions'!C1773+"n/&gt;!%@I"</f>
        <v>#VALUE!</v>
      </c>
      <c r="FA71" t="e">
        <f>'All regions'!D1773+"n/&gt;!%@J"</f>
        <v>#VALUE!</v>
      </c>
      <c r="FB71" t="e">
        <f>'All regions'!E1773+"n/&gt;!%@K"</f>
        <v>#VALUE!</v>
      </c>
      <c r="FC71" t="e">
        <f>'All regions'!F1773+"n/&gt;!%@L"</f>
        <v>#VALUE!</v>
      </c>
      <c r="FD71" t="e">
        <f>'All regions'!G1773+"n/&gt;!%@M"</f>
        <v>#VALUE!</v>
      </c>
      <c r="FE71" t="e">
        <f>'All regions'!H1773+"n/&gt;!%@N"</f>
        <v>#VALUE!</v>
      </c>
      <c r="FF71" t="e">
        <f>'All regions'!I1773+"n/&gt;!%@O"</f>
        <v>#VALUE!</v>
      </c>
      <c r="FG71" t="e">
        <f>'All regions'!J1773+"n/&gt;!%@P"</f>
        <v>#VALUE!</v>
      </c>
      <c r="FH71" t="e">
        <f>'All regions'!A1774+"n/&gt;!%@Q"</f>
        <v>#VALUE!</v>
      </c>
      <c r="FI71" t="e">
        <f>'All regions'!B1774+"n/&gt;!%@R"</f>
        <v>#VALUE!</v>
      </c>
      <c r="FJ71" t="e">
        <f>'All regions'!C1774+"n/&gt;!%@S"</f>
        <v>#VALUE!</v>
      </c>
      <c r="FK71" t="e">
        <f>'All regions'!D1774+"n/&gt;!%@T"</f>
        <v>#VALUE!</v>
      </c>
      <c r="FL71" t="e">
        <f>'All regions'!E1774+"n/&gt;!%@U"</f>
        <v>#VALUE!</v>
      </c>
      <c r="FM71" t="e">
        <f>'All regions'!F1774+"n/&gt;!%@V"</f>
        <v>#VALUE!</v>
      </c>
      <c r="FN71" t="e">
        <f>'All regions'!G1774+"n/&gt;!%@W"</f>
        <v>#VALUE!</v>
      </c>
      <c r="FO71" t="e">
        <f>'All regions'!H1774+"n/&gt;!%@X"</f>
        <v>#VALUE!</v>
      </c>
      <c r="FP71" t="e">
        <f>'All regions'!I1774+"n/&gt;!%@Y"</f>
        <v>#VALUE!</v>
      </c>
      <c r="FQ71" t="e">
        <f>'All regions'!J1774+"n/&gt;!%@Z"</f>
        <v>#VALUE!</v>
      </c>
      <c r="FR71" t="e">
        <f>'All regions'!A1775+"n/&gt;!%@["</f>
        <v>#VALUE!</v>
      </c>
      <c r="FS71" t="e">
        <f>'All regions'!B1775+"n/&gt;!%@\"</f>
        <v>#VALUE!</v>
      </c>
      <c r="FT71" t="e">
        <f>'All regions'!C1775+"n/&gt;!%@]"</f>
        <v>#VALUE!</v>
      </c>
      <c r="FU71" t="e">
        <f>'All regions'!D1775+"n/&gt;!%@^"</f>
        <v>#VALUE!</v>
      </c>
      <c r="FV71" t="e">
        <f>'All regions'!E1775+"n/&gt;!%@_"</f>
        <v>#VALUE!</v>
      </c>
      <c r="FW71" t="e">
        <f>'All regions'!F1775+"n/&gt;!%@`"</f>
        <v>#VALUE!</v>
      </c>
      <c r="FX71" t="e">
        <f>'All regions'!G1775+"n/&gt;!%@a"</f>
        <v>#VALUE!</v>
      </c>
      <c r="FY71" t="e">
        <f>'All regions'!H1775+"n/&gt;!%@b"</f>
        <v>#VALUE!</v>
      </c>
      <c r="FZ71" t="e">
        <f>'All regions'!I1775+"n/&gt;!%@c"</f>
        <v>#VALUE!</v>
      </c>
      <c r="GA71" t="e">
        <f>'All regions'!J1775+"n/&gt;!%@d"</f>
        <v>#VALUE!</v>
      </c>
      <c r="GB71" t="e">
        <f>'All regions'!A1776+"n/&gt;!%@e"</f>
        <v>#VALUE!</v>
      </c>
      <c r="GC71" t="e">
        <f>'All regions'!B1776+"n/&gt;!%@f"</f>
        <v>#VALUE!</v>
      </c>
      <c r="GD71" t="e">
        <f>'All regions'!C1776+"n/&gt;!%@g"</f>
        <v>#VALUE!</v>
      </c>
      <c r="GE71" t="e">
        <f>'All regions'!D1776+"n/&gt;!%@h"</f>
        <v>#VALUE!</v>
      </c>
      <c r="GF71" t="e">
        <f>'All regions'!E1776+"n/&gt;!%@i"</f>
        <v>#VALUE!</v>
      </c>
      <c r="GG71" t="e">
        <f>'All regions'!F1776+"n/&gt;!%@j"</f>
        <v>#VALUE!</v>
      </c>
      <c r="GH71" t="e">
        <f>'All regions'!G1776+"n/&gt;!%@k"</f>
        <v>#VALUE!</v>
      </c>
      <c r="GI71" t="e">
        <f>'All regions'!H1776+"n/&gt;!%@l"</f>
        <v>#VALUE!</v>
      </c>
      <c r="GJ71" t="e">
        <f>'All regions'!I1776+"n/&gt;!%@m"</f>
        <v>#VALUE!</v>
      </c>
      <c r="GK71" t="e">
        <f>'All regions'!J1776+"n/&gt;!%@n"</f>
        <v>#VALUE!</v>
      </c>
      <c r="GL71" t="e">
        <f>'All regions'!A1777+"n/&gt;!%@o"</f>
        <v>#VALUE!</v>
      </c>
      <c r="GM71" t="e">
        <f>'All regions'!B1777+"n/&gt;!%@p"</f>
        <v>#VALUE!</v>
      </c>
      <c r="GN71" t="e">
        <f>'All regions'!C1777+"n/&gt;!%@q"</f>
        <v>#VALUE!</v>
      </c>
      <c r="GO71" t="e">
        <f>'All regions'!D1777+"n/&gt;!%@r"</f>
        <v>#VALUE!</v>
      </c>
      <c r="GP71" t="e">
        <f>'All regions'!E1777+"n/&gt;!%@s"</f>
        <v>#VALUE!</v>
      </c>
      <c r="GQ71" t="e">
        <f>'All regions'!F1777+"n/&gt;!%@t"</f>
        <v>#VALUE!</v>
      </c>
      <c r="GR71" t="e">
        <f>'All regions'!G1777+"n/&gt;!%@u"</f>
        <v>#VALUE!</v>
      </c>
      <c r="GS71" t="e">
        <f>'All regions'!H1777+"n/&gt;!%@v"</f>
        <v>#VALUE!</v>
      </c>
      <c r="GT71" t="e">
        <f>'All regions'!I1777+"n/&gt;!%@w"</f>
        <v>#VALUE!</v>
      </c>
      <c r="GU71" t="e">
        <f>'All regions'!J1777+"n/&gt;!%@x"</f>
        <v>#VALUE!</v>
      </c>
      <c r="GV71" t="e">
        <f>'All regions'!A1778+"n/&gt;!%@y"</f>
        <v>#VALUE!</v>
      </c>
      <c r="GW71" t="e">
        <f>'All regions'!B1778+"n/&gt;!%@z"</f>
        <v>#VALUE!</v>
      </c>
      <c r="GX71" t="e">
        <f>'All regions'!C1778+"n/&gt;!%@{"</f>
        <v>#VALUE!</v>
      </c>
      <c r="GY71" t="e">
        <f>'All regions'!D1778+"n/&gt;!%@|"</f>
        <v>#VALUE!</v>
      </c>
      <c r="GZ71" t="e">
        <f>'All regions'!E1778+"n/&gt;!%@}"</f>
        <v>#VALUE!</v>
      </c>
      <c r="HA71" t="e">
        <f>'All regions'!F1778+"n/&gt;!%@~"</f>
        <v>#VALUE!</v>
      </c>
      <c r="HB71" t="e">
        <f>'All regions'!G1778+"n/&gt;!%A#"</f>
        <v>#VALUE!</v>
      </c>
      <c r="HC71" t="e">
        <f>'All regions'!H1778+"n/&gt;!%A$"</f>
        <v>#VALUE!</v>
      </c>
      <c r="HD71" t="e">
        <f>'All regions'!I1778+"n/&gt;!%A%"</f>
        <v>#VALUE!</v>
      </c>
      <c r="HE71" t="e">
        <f>'All regions'!J1778+"n/&gt;!%A&amp;"</f>
        <v>#VALUE!</v>
      </c>
      <c r="HF71" t="e">
        <f>'All regions'!A1779+"n/&gt;!%A'"</f>
        <v>#VALUE!</v>
      </c>
      <c r="HG71" t="e">
        <f>'All regions'!B1779+"n/&gt;!%A("</f>
        <v>#VALUE!</v>
      </c>
      <c r="HH71" t="e">
        <f>'All regions'!C1779+"n/&gt;!%A)"</f>
        <v>#VALUE!</v>
      </c>
      <c r="HI71" t="e">
        <f>'All regions'!D1779+"n/&gt;!%A."</f>
        <v>#VALUE!</v>
      </c>
      <c r="HJ71" t="e">
        <f>'All regions'!E1779+"n/&gt;!%A/"</f>
        <v>#VALUE!</v>
      </c>
      <c r="HK71" t="e">
        <f>'All regions'!F1779+"n/&gt;!%A0"</f>
        <v>#VALUE!</v>
      </c>
      <c r="HL71" t="e">
        <f>'All regions'!G1779+"n/&gt;!%A1"</f>
        <v>#VALUE!</v>
      </c>
      <c r="HM71" t="e">
        <f>'All regions'!H1779+"n/&gt;!%A2"</f>
        <v>#VALUE!</v>
      </c>
      <c r="HN71" t="e">
        <f>'All regions'!I1779+"n/&gt;!%A3"</f>
        <v>#VALUE!</v>
      </c>
      <c r="HO71" t="e">
        <f>'All regions'!J1779+"n/&gt;!%A4"</f>
        <v>#VALUE!</v>
      </c>
      <c r="HP71" t="e">
        <f>'All regions'!A1780+"n/&gt;!%A5"</f>
        <v>#VALUE!</v>
      </c>
      <c r="HQ71" t="e">
        <f>'All regions'!B1780+"n/&gt;!%A6"</f>
        <v>#VALUE!</v>
      </c>
      <c r="HR71" t="e">
        <f>'All regions'!C1780+"n/&gt;!%A7"</f>
        <v>#VALUE!</v>
      </c>
      <c r="HS71" t="e">
        <f>'All regions'!D1780+"n/&gt;!%A8"</f>
        <v>#VALUE!</v>
      </c>
      <c r="HT71" t="e">
        <f>'All regions'!E1780+"n/&gt;!%A9"</f>
        <v>#VALUE!</v>
      </c>
      <c r="HU71" t="e">
        <f>'All regions'!F1780+"n/&gt;!%A:"</f>
        <v>#VALUE!</v>
      </c>
      <c r="HV71" t="e">
        <f>'All regions'!G1780+"n/&gt;!%A;"</f>
        <v>#VALUE!</v>
      </c>
      <c r="HW71" t="e">
        <f>'All regions'!H1780+"n/&gt;!%A&lt;"</f>
        <v>#VALUE!</v>
      </c>
      <c r="HX71" t="e">
        <f>'All regions'!I1780+"n/&gt;!%A="</f>
        <v>#VALUE!</v>
      </c>
      <c r="HY71" t="e">
        <f>'All regions'!J1780+"n/&gt;!%A&gt;"</f>
        <v>#VALUE!</v>
      </c>
      <c r="HZ71" t="e">
        <f>'All regions'!A1781+"n/&gt;!%A?"</f>
        <v>#VALUE!</v>
      </c>
      <c r="IA71" t="e">
        <f>'All regions'!B1781+"n/&gt;!%A@"</f>
        <v>#VALUE!</v>
      </c>
      <c r="IB71" t="e">
        <f>'All regions'!C1781+"n/&gt;!%AA"</f>
        <v>#VALUE!</v>
      </c>
      <c r="IC71" t="e">
        <f>'All regions'!D1781+"n/&gt;!%AB"</f>
        <v>#VALUE!</v>
      </c>
      <c r="ID71" t="e">
        <f>'All regions'!E1781+"n/&gt;!%AC"</f>
        <v>#VALUE!</v>
      </c>
      <c r="IE71" t="e">
        <f>'All regions'!F1781+"n/&gt;!%AD"</f>
        <v>#VALUE!</v>
      </c>
      <c r="IF71" t="e">
        <f>'All regions'!G1781+"n/&gt;!%AE"</f>
        <v>#VALUE!</v>
      </c>
      <c r="IG71" t="e">
        <f>'All regions'!H1781+"n/&gt;!%AF"</f>
        <v>#VALUE!</v>
      </c>
      <c r="IH71" t="e">
        <f>'All regions'!I1781+"n/&gt;!%AG"</f>
        <v>#VALUE!</v>
      </c>
      <c r="II71" t="e">
        <f>'All regions'!J1781+"n/&gt;!%AH"</f>
        <v>#VALUE!</v>
      </c>
      <c r="IJ71" t="e">
        <f>'All regions'!A1782+"n/&gt;!%AI"</f>
        <v>#VALUE!</v>
      </c>
      <c r="IK71" t="e">
        <f>'All regions'!B1782+"n/&gt;!%AJ"</f>
        <v>#VALUE!</v>
      </c>
      <c r="IL71" t="e">
        <f>'All regions'!C1782+"n/&gt;!%AK"</f>
        <v>#VALUE!</v>
      </c>
      <c r="IM71" t="e">
        <f>'All regions'!D1782+"n/&gt;!%AL"</f>
        <v>#VALUE!</v>
      </c>
      <c r="IN71" t="e">
        <f>'All regions'!E1782+"n/&gt;!%AM"</f>
        <v>#VALUE!</v>
      </c>
      <c r="IO71" t="e">
        <f>'All regions'!F1782+"n/&gt;!%AN"</f>
        <v>#VALUE!</v>
      </c>
      <c r="IP71" t="e">
        <f>'All regions'!G1782+"n/&gt;!%AO"</f>
        <v>#VALUE!</v>
      </c>
      <c r="IQ71" t="e">
        <f>'All regions'!H1782+"n/&gt;!%AP"</f>
        <v>#VALUE!</v>
      </c>
      <c r="IR71" t="e">
        <f>'All regions'!I1782+"n/&gt;!%AQ"</f>
        <v>#VALUE!</v>
      </c>
      <c r="IS71" t="e">
        <f>'All regions'!J1782+"n/&gt;!%AR"</f>
        <v>#VALUE!</v>
      </c>
      <c r="IT71" t="e">
        <f>'All regions'!A1783+"n/&gt;!%AS"</f>
        <v>#VALUE!</v>
      </c>
      <c r="IU71" t="e">
        <f>'All regions'!B1783+"n/&gt;!%AT"</f>
        <v>#VALUE!</v>
      </c>
      <c r="IV71" t="e">
        <f>'All regions'!C1783+"n/&gt;!%AU"</f>
        <v>#VALUE!</v>
      </c>
    </row>
    <row r="72" spans="6:256" x14ac:dyDescent="0.35">
      <c r="F72" t="e">
        <f>'All regions'!D1783+"n/&gt;!%AV"</f>
        <v>#VALUE!</v>
      </c>
      <c r="G72" t="e">
        <f>'All regions'!E1783+"n/&gt;!%AW"</f>
        <v>#VALUE!</v>
      </c>
      <c r="H72" t="e">
        <f>'All regions'!F1783+"n/&gt;!%AX"</f>
        <v>#VALUE!</v>
      </c>
      <c r="I72" t="e">
        <f>'All regions'!G1783+"n/&gt;!%AY"</f>
        <v>#VALUE!</v>
      </c>
      <c r="J72" t="e">
        <f>'All regions'!H1783+"n/&gt;!%AZ"</f>
        <v>#VALUE!</v>
      </c>
      <c r="K72" t="e">
        <f>'All regions'!I1783+"n/&gt;!%A["</f>
        <v>#VALUE!</v>
      </c>
      <c r="L72" t="e">
        <f>'All regions'!J1783+"n/&gt;!%A\"</f>
        <v>#VALUE!</v>
      </c>
      <c r="M72" t="e">
        <f>'All regions'!A1784+"n/&gt;!%A]"</f>
        <v>#VALUE!</v>
      </c>
      <c r="N72" t="e">
        <f>'All regions'!B1784+"n/&gt;!%A^"</f>
        <v>#VALUE!</v>
      </c>
      <c r="O72" t="e">
        <f>'All regions'!C1784+"n/&gt;!%A_"</f>
        <v>#VALUE!</v>
      </c>
      <c r="P72" t="e">
        <f>'All regions'!D1784+"n/&gt;!%A`"</f>
        <v>#VALUE!</v>
      </c>
      <c r="Q72" t="e">
        <f>'All regions'!E1784+"n/&gt;!%Aa"</f>
        <v>#VALUE!</v>
      </c>
      <c r="R72" t="e">
        <f>'All regions'!F1784+"n/&gt;!%Ab"</f>
        <v>#VALUE!</v>
      </c>
      <c r="S72" t="e">
        <f>'All regions'!G1784+"n/&gt;!%Ac"</f>
        <v>#VALUE!</v>
      </c>
      <c r="T72" t="e">
        <f>'All regions'!H1784+"n/&gt;!%Ad"</f>
        <v>#VALUE!</v>
      </c>
      <c r="U72" t="e">
        <f>'All regions'!I1784+"n/&gt;!%Ae"</f>
        <v>#VALUE!</v>
      </c>
      <c r="V72" t="e">
        <f>'All regions'!J1784+"n/&gt;!%Af"</f>
        <v>#VALUE!</v>
      </c>
      <c r="W72" t="e">
        <f>'All regions'!A1785+"n/&gt;!%Ag"</f>
        <v>#VALUE!</v>
      </c>
      <c r="X72" t="e">
        <f>'All regions'!B1785+"n/&gt;!%Ah"</f>
        <v>#VALUE!</v>
      </c>
      <c r="Y72" t="e">
        <f>'All regions'!C1785+"n/&gt;!%Ai"</f>
        <v>#VALUE!</v>
      </c>
      <c r="Z72" t="e">
        <f>'All regions'!D1785+"n/&gt;!%Aj"</f>
        <v>#VALUE!</v>
      </c>
      <c r="AA72" t="e">
        <f>'All regions'!E1785+"n/&gt;!%Ak"</f>
        <v>#VALUE!</v>
      </c>
      <c r="AB72" t="e">
        <f>'All regions'!F1785+"n/&gt;!%Al"</f>
        <v>#VALUE!</v>
      </c>
      <c r="AC72" t="e">
        <f>'All regions'!G1785+"n/&gt;!%Am"</f>
        <v>#VALUE!</v>
      </c>
      <c r="AD72" t="e">
        <f>'All regions'!H1785+"n/&gt;!%An"</f>
        <v>#VALUE!</v>
      </c>
      <c r="AE72" t="e">
        <f>'All regions'!I1785+"n/&gt;!%Ao"</f>
        <v>#VALUE!</v>
      </c>
      <c r="AF72" t="e">
        <f>'All regions'!J1785+"n/&gt;!%Ap"</f>
        <v>#VALUE!</v>
      </c>
      <c r="AG72" t="e">
        <f>'All regions'!A1786+"n/&gt;!%Aq"</f>
        <v>#VALUE!</v>
      </c>
      <c r="AH72" t="e">
        <f>'All regions'!B1786+"n/&gt;!%Ar"</f>
        <v>#VALUE!</v>
      </c>
      <c r="AI72" t="e">
        <f>'All regions'!C1786+"n/&gt;!%As"</f>
        <v>#VALUE!</v>
      </c>
      <c r="AJ72" t="e">
        <f>'All regions'!D1786+"n/&gt;!%At"</f>
        <v>#VALUE!</v>
      </c>
      <c r="AK72" t="e">
        <f>'All regions'!E1786+"n/&gt;!%Au"</f>
        <v>#VALUE!</v>
      </c>
      <c r="AL72" t="e">
        <f>'All regions'!F1786+"n/&gt;!%Av"</f>
        <v>#VALUE!</v>
      </c>
      <c r="AM72" t="e">
        <f>'All regions'!G1786+"n/&gt;!%Aw"</f>
        <v>#VALUE!</v>
      </c>
      <c r="AN72" t="e">
        <f>'All regions'!H1786+"n/&gt;!%Ax"</f>
        <v>#VALUE!</v>
      </c>
      <c r="AO72" t="e">
        <f>'All regions'!I1786+"n/&gt;!%Ay"</f>
        <v>#VALUE!</v>
      </c>
      <c r="AP72" t="e">
        <f>'All regions'!J1786+"n/&gt;!%Az"</f>
        <v>#VALUE!</v>
      </c>
      <c r="AQ72" t="e">
        <f>'All regions'!A1787+"n/&gt;!%A{"</f>
        <v>#VALUE!</v>
      </c>
      <c r="AR72" t="e">
        <f>'All regions'!B1787+"n/&gt;!%A|"</f>
        <v>#VALUE!</v>
      </c>
      <c r="AS72" t="e">
        <f>'All regions'!C1787+"n/&gt;!%A}"</f>
        <v>#VALUE!</v>
      </c>
      <c r="AT72" t="e">
        <f>'All regions'!D1787+"n/&gt;!%A~"</f>
        <v>#VALUE!</v>
      </c>
      <c r="AU72" t="e">
        <f>'All regions'!E1787+"n/&gt;!%B#"</f>
        <v>#VALUE!</v>
      </c>
      <c r="AV72" t="e">
        <f>'All regions'!F1787+"n/&gt;!%B$"</f>
        <v>#VALUE!</v>
      </c>
      <c r="AW72" t="e">
        <f>'All regions'!G1787+"n/&gt;!%B%"</f>
        <v>#VALUE!</v>
      </c>
      <c r="AX72" t="e">
        <f>'All regions'!H1787+"n/&gt;!%B&amp;"</f>
        <v>#VALUE!</v>
      </c>
      <c r="AY72" t="e">
        <f>'All regions'!I1787+"n/&gt;!%B'"</f>
        <v>#VALUE!</v>
      </c>
      <c r="AZ72" t="e">
        <f>'All regions'!J1787+"n/&gt;!%B("</f>
        <v>#VALUE!</v>
      </c>
      <c r="BA72" t="e">
        <f>'All regions'!A1788+"n/&gt;!%B)"</f>
        <v>#VALUE!</v>
      </c>
      <c r="BB72" t="e">
        <f>'All regions'!B1788+"n/&gt;!%B."</f>
        <v>#VALUE!</v>
      </c>
      <c r="BC72" t="e">
        <f>'All regions'!C1788+"n/&gt;!%B/"</f>
        <v>#VALUE!</v>
      </c>
      <c r="BD72" t="e">
        <f>'All regions'!D1788+"n/&gt;!%B0"</f>
        <v>#VALUE!</v>
      </c>
      <c r="BE72" t="e">
        <f>'All regions'!E1788+"n/&gt;!%B1"</f>
        <v>#VALUE!</v>
      </c>
      <c r="BF72" t="e">
        <f>'All regions'!F1788+"n/&gt;!%B2"</f>
        <v>#VALUE!</v>
      </c>
      <c r="BG72" t="e">
        <f>'All regions'!G1788+"n/&gt;!%B3"</f>
        <v>#VALUE!</v>
      </c>
      <c r="BH72" t="e">
        <f>'All regions'!H1788+"n/&gt;!%B4"</f>
        <v>#VALUE!</v>
      </c>
      <c r="BI72" t="e">
        <f>'All regions'!I1788+"n/&gt;!%B5"</f>
        <v>#VALUE!</v>
      </c>
      <c r="BJ72" t="e">
        <f>'All regions'!J1788+"n/&gt;!%B6"</f>
        <v>#VALUE!</v>
      </c>
      <c r="BK72" t="e">
        <f>'All regions'!A1789+"n/&gt;!%B7"</f>
        <v>#VALUE!</v>
      </c>
      <c r="BL72" t="e">
        <f>'All regions'!B1789+"n/&gt;!%B8"</f>
        <v>#VALUE!</v>
      </c>
      <c r="BM72" t="e">
        <f>'All regions'!C1789+"n/&gt;!%B9"</f>
        <v>#VALUE!</v>
      </c>
      <c r="BN72" t="e">
        <f>'All regions'!D1789+"n/&gt;!%B:"</f>
        <v>#VALUE!</v>
      </c>
      <c r="BO72" t="e">
        <f>'All regions'!E1789+"n/&gt;!%B;"</f>
        <v>#VALUE!</v>
      </c>
      <c r="BP72" t="e">
        <f>'All regions'!F1789+"n/&gt;!%B&lt;"</f>
        <v>#VALUE!</v>
      </c>
      <c r="BQ72" t="e">
        <f>'All regions'!G1789+"n/&gt;!%B="</f>
        <v>#VALUE!</v>
      </c>
      <c r="BR72" t="e">
        <f>'All regions'!H1789+"n/&gt;!%B&gt;"</f>
        <v>#VALUE!</v>
      </c>
      <c r="BS72" t="e">
        <f>'All regions'!I1789+"n/&gt;!%B?"</f>
        <v>#VALUE!</v>
      </c>
      <c r="BT72" t="e">
        <f>'All regions'!J1789+"n/&gt;!%B@"</f>
        <v>#VALUE!</v>
      </c>
      <c r="BU72" t="e">
        <f>'All regions'!A1790+"n/&gt;!%BA"</f>
        <v>#VALUE!</v>
      </c>
      <c r="BV72" t="e">
        <f>'All regions'!B1790+"n/&gt;!%BB"</f>
        <v>#VALUE!</v>
      </c>
      <c r="BW72" t="e">
        <f>'All regions'!C1790+"n/&gt;!%BC"</f>
        <v>#VALUE!</v>
      </c>
      <c r="BX72" t="e">
        <f>'All regions'!D1790+"n/&gt;!%BD"</f>
        <v>#VALUE!</v>
      </c>
      <c r="BY72" t="e">
        <f>'All regions'!E1790+"n/&gt;!%BE"</f>
        <v>#VALUE!</v>
      </c>
      <c r="BZ72" t="e">
        <f>'All regions'!F1790+"n/&gt;!%BF"</f>
        <v>#VALUE!</v>
      </c>
      <c r="CA72" t="e">
        <f>'All regions'!G1790+"n/&gt;!%BG"</f>
        <v>#VALUE!</v>
      </c>
      <c r="CB72" t="e">
        <f>'All regions'!H1790+"n/&gt;!%BH"</f>
        <v>#VALUE!</v>
      </c>
      <c r="CC72" t="e">
        <f>'All regions'!I1790+"n/&gt;!%BI"</f>
        <v>#VALUE!</v>
      </c>
      <c r="CD72" t="e">
        <f>'All regions'!J1790+"n/&gt;!%BJ"</f>
        <v>#VALUE!</v>
      </c>
      <c r="CE72" t="e">
        <f>'All regions'!A1791+"n/&gt;!%BK"</f>
        <v>#VALUE!</v>
      </c>
      <c r="CF72" t="e">
        <f>'All regions'!B1791+"n/&gt;!%BL"</f>
        <v>#VALUE!</v>
      </c>
      <c r="CG72" t="e">
        <f>'All regions'!C1791+"n/&gt;!%BM"</f>
        <v>#VALUE!</v>
      </c>
      <c r="CH72" t="e">
        <f>'All regions'!D1791+"n/&gt;!%BN"</f>
        <v>#VALUE!</v>
      </c>
      <c r="CI72" t="e">
        <f>'All regions'!E1791+"n/&gt;!%BO"</f>
        <v>#VALUE!</v>
      </c>
      <c r="CJ72" t="e">
        <f>'All regions'!F1791+"n/&gt;!%BP"</f>
        <v>#VALUE!</v>
      </c>
      <c r="CK72" t="e">
        <f>'All regions'!G1791+"n/&gt;!%BQ"</f>
        <v>#VALUE!</v>
      </c>
      <c r="CL72" t="e">
        <f>'All regions'!H1791+"n/&gt;!%BR"</f>
        <v>#VALUE!</v>
      </c>
      <c r="CM72" t="e">
        <f>'All regions'!I1791+"n/&gt;!%BS"</f>
        <v>#VALUE!</v>
      </c>
      <c r="CN72" t="e">
        <f>'All regions'!J1791+"n/&gt;!%BT"</f>
        <v>#VALUE!</v>
      </c>
      <c r="CO72" t="e">
        <f>'All regions'!A1792+"n/&gt;!%BU"</f>
        <v>#VALUE!</v>
      </c>
      <c r="CP72" t="e">
        <f>'All regions'!B1792+"n/&gt;!%BV"</f>
        <v>#VALUE!</v>
      </c>
      <c r="CQ72" t="e">
        <f>'All regions'!C1792+"n/&gt;!%BW"</f>
        <v>#VALUE!</v>
      </c>
      <c r="CR72" t="e">
        <f>'All regions'!D1792+"n/&gt;!%BX"</f>
        <v>#VALUE!</v>
      </c>
      <c r="CS72" t="e">
        <f>'All regions'!E1792+"n/&gt;!%BY"</f>
        <v>#VALUE!</v>
      </c>
      <c r="CT72" t="e">
        <f>'All regions'!F1792+"n/&gt;!%BZ"</f>
        <v>#VALUE!</v>
      </c>
      <c r="CU72" t="e">
        <f>'All regions'!G1792+"n/&gt;!%B["</f>
        <v>#VALUE!</v>
      </c>
      <c r="CV72" t="e">
        <f>'All regions'!H1792+"n/&gt;!%B\"</f>
        <v>#VALUE!</v>
      </c>
      <c r="CW72" t="e">
        <f>'All regions'!I1792+"n/&gt;!%B]"</f>
        <v>#VALUE!</v>
      </c>
      <c r="CX72" t="e">
        <f>'All regions'!J1792+"n/&gt;!%B^"</f>
        <v>#VALUE!</v>
      </c>
      <c r="CY72" t="e">
        <f>'All regions'!A1793+"n/&gt;!%B_"</f>
        <v>#VALUE!</v>
      </c>
      <c r="CZ72" t="e">
        <f>'All regions'!B1793+"n/&gt;!%B`"</f>
        <v>#VALUE!</v>
      </c>
      <c r="DA72" t="e">
        <f>'All regions'!C1793+"n/&gt;!%Ba"</f>
        <v>#VALUE!</v>
      </c>
      <c r="DB72" t="e">
        <f>'All regions'!D1793+"n/&gt;!%Bb"</f>
        <v>#VALUE!</v>
      </c>
      <c r="DC72" t="e">
        <f>'All regions'!E1793+"n/&gt;!%Bc"</f>
        <v>#VALUE!</v>
      </c>
      <c r="DD72" t="e">
        <f>'All regions'!F1793+"n/&gt;!%Bd"</f>
        <v>#VALUE!</v>
      </c>
      <c r="DE72" t="e">
        <f>'All regions'!G1793+"n/&gt;!%Be"</f>
        <v>#VALUE!</v>
      </c>
      <c r="DF72" t="e">
        <f>'All regions'!H1793+"n/&gt;!%Bf"</f>
        <v>#VALUE!</v>
      </c>
      <c r="DG72" t="e">
        <f>'All regions'!I1793+"n/&gt;!%Bg"</f>
        <v>#VALUE!</v>
      </c>
      <c r="DH72" t="e">
        <f>'All regions'!J1793+"n/&gt;!%Bh"</f>
        <v>#VALUE!</v>
      </c>
      <c r="DI72" t="e">
        <f>'All regions'!A1794+"n/&gt;!%Bi"</f>
        <v>#VALUE!</v>
      </c>
      <c r="DJ72" t="e">
        <f>'All regions'!B1794+"n/&gt;!%Bj"</f>
        <v>#VALUE!</v>
      </c>
      <c r="DK72" t="e">
        <f>'All regions'!C1794+"n/&gt;!%Bk"</f>
        <v>#VALUE!</v>
      </c>
      <c r="DL72" t="e">
        <f>'All regions'!D1794+"n/&gt;!%Bl"</f>
        <v>#VALUE!</v>
      </c>
      <c r="DM72" t="e">
        <f>'All regions'!E1794+"n/&gt;!%Bm"</f>
        <v>#VALUE!</v>
      </c>
      <c r="DN72" t="e">
        <f>'All regions'!F1794+"n/&gt;!%Bn"</f>
        <v>#VALUE!</v>
      </c>
      <c r="DO72" t="e">
        <f>'All regions'!G1794+"n/&gt;!%Bo"</f>
        <v>#VALUE!</v>
      </c>
      <c r="DP72" t="e">
        <f>'All regions'!H1794+"n/&gt;!%Bp"</f>
        <v>#VALUE!</v>
      </c>
      <c r="DQ72" t="e">
        <f>'All regions'!I1794+"n/&gt;!%Bq"</f>
        <v>#VALUE!</v>
      </c>
      <c r="DR72" t="e">
        <f>'All regions'!J1794+"n/&gt;!%Br"</f>
        <v>#VALUE!</v>
      </c>
      <c r="DS72" t="e">
        <f>'All regions'!A1795+"n/&gt;!%Bs"</f>
        <v>#VALUE!</v>
      </c>
      <c r="DT72" t="e">
        <f>'All regions'!B1795+"n/&gt;!%Bt"</f>
        <v>#VALUE!</v>
      </c>
      <c r="DU72" t="e">
        <f>'All regions'!C1795+"n/&gt;!%Bu"</f>
        <v>#VALUE!</v>
      </c>
      <c r="DV72" t="e">
        <f>'All regions'!D1795+"n/&gt;!%Bv"</f>
        <v>#VALUE!</v>
      </c>
      <c r="DW72" t="e">
        <f>'All regions'!E1795+"n/&gt;!%Bw"</f>
        <v>#VALUE!</v>
      </c>
      <c r="DX72" t="e">
        <f>'All regions'!F1795+"n/&gt;!%Bx"</f>
        <v>#VALUE!</v>
      </c>
      <c r="DY72" t="e">
        <f>'All regions'!G1795+"n/&gt;!%By"</f>
        <v>#VALUE!</v>
      </c>
      <c r="DZ72" t="e">
        <f>'All regions'!H1795+"n/&gt;!%Bz"</f>
        <v>#VALUE!</v>
      </c>
      <c r="EA72" t="e">
        <f>'All regions'!I1795+"n/&gt;!%B{"</f>
        <v>#VALUE!</v>
      </c>
      <c r="EB72" t="e">
        <f>'All regions'!J1795+"n/&gt;!%B|"</f>
        <v>#VALUE!</v>
      </c>
      <c r="EC72" t="e">
        <f>'All regions'!A1796+"n/&gt;!%B}"</f>
        <v>#VALUE!</v>
      </c>
      <c r="ED72" t="e">
        <f>'All regions'!B1796+"n/&gt;!%B~"</f>
        <v>#VALUE!</v>
      </c>
      <c r="EE72" t="e">
        <f>'All regions'!C1796+"n/&gt;!%C#"</f>
        <v>#VALUE!</v>
      </c>
      <c r="EF72" t="e">
        <f>'All regions'!D1796+"n/&gt;!%C$"</f>
        <v>#VALUE!</v>
      </c>
      <c r="EG72" t="e">
        <f>'All regions'!E1796+"n/&gt;!%C%"</f>
        <v>#VALUE!</v>
      </c>
      <c r="EH72" t="e">
        <f>'All regions'!F1796+"n/&gt;!%C&amp;"</f>
        <v>#VALUE!</v>
      </c>
      <c r="EI72" t="e">
        <f>'All regions'!G1796+"n/&gt;!%C'"</f>
        <v>#VALUE!</v>
      </c>
      <c r="EJ72" t="e">
        <f>'All regions'!H1796+"n/&gt;!%C("</f>
        <v>#VALUE!</v>
      </c>
      <c r="EK72" t="e">
        <f>'All regions'!I1796+"n/&gt;!%C)"</f>
        <v>#VALUE!</v>
      </c>
      <c r="EL72" t="e">
        <f>'All regions'!J1796+"n/&gt;!%C."</f>
        <v>#VALUE!</v>
      </c>
      <c r="EM72" t="e">
        <f>'All regions'!A1797+"n/&gt;!%C/"</f>
        <v>#VALUE!</v>
      </c>
      <c r="EN72" t="e">
        <f>'All regions'!B1797+"n/&gt;!%C0"</f>
        <v>#VALUE!</v>
      </c>
      <c r="EO72" t="e">
        <f>'All regions'!C1797+"n/&gt;!%C1"</f>
        <v>#VALUE!</v>
      </c>
      <c r="EP72" t="e">
        <f>'All regions'!D1797+"n/&gt;!%C2"</f>
        <v>#VALUE!</v>
      </c>
      <c r="EQ72" t="e">
        <f>'All regions'!E1797+"n/&gt;!%C3"</f>
        <v>#VALUE!</v>
      </c>
      <c r="ER72" t="e">
        <f>'All regions'!F1797+"n/&gt;!%C4"</f>
        <v>#VALUE!</v>
      </c>
      <c r="ES72" t="e">
        <f>'All regions'!G1797+"n/&gt;!%C5"</f>
        <v>#VALUE!</v>
      </c>
      <c r="ET72" t="e">
        <f>'All regions'!H1797+"n/&gt;!%C6"</f>
        <v>#VALUE!</v>
      </c>
      <c r="EU72" t="e">
        <f>'All regions'!I1797+"n/&gt;!%C7"</f>
        <v>#VALUE!</v>
      </c>
      <c r="EV72" t="e">
        <f>'All regions'!J1797+"n/&gt;!%C8"</f>
        <v>#VALUE!</v>
      </c>
      <c r="EW72" t="e">
        <f>'All regions'!A1798+"n/&gt;!%C9"</f>
        <v>#VALUE!</v>
      </c>
      <c r="EX72" t="e">
        <f>'All regions'!B1798+"n/&gt;!%C:"</f>
        <v>#VALUE!</v>
      </c>
      <c r="EY72" t="e">
        <f>'All regions'!C1798+"n/&gt;!%C;"</f>
        <v>#VALUE!</v>
      </c>
      <c r="EZ72" t="e">
        <f>'All regions'!D1798+"n/&gt;!%C&lt;"</f>
        <v>#VALUE!</v>
      </c>
      <c r="FA72" t="e">
        <f>'All regions'!E1798+"n/&gt;!%C="</f>
        <v>#VALUE!</v>
      </c>
      <c r="FB72" t="e">
        <f>'All regions'!F1798+"n/&gt;!%C&gt;"</f>
        <v>#VALUE!</v>
      </c>
      <c r="FC72" t="e">
        <f>'All regions'!G1798+"n/&gt;!%C?"</f>
        <v>#VALUE!</v>
      </c>
      <c r="FD72" t="e">
        <f>'All regions'!H1798+"n/&gt;!%C@"</f>
        <v>#VALUE!</v>
      </c>
      <c r="FE72" t="e">
        <f>'All regions'!I1798+"n/&gt;!%CA"</f>
        <v>#VALUE!</v>
      </c>
      <c r="FF72" t="e">
        <f>'All regions'!J1798+"n/&gt;!%CB"</f>
        <v>#VALUE!</v>
      </c>
      <c r="FG72" t="e">
        <f>'All regions'!A1799+"n/&gt;!%CC"</f>
        <v>#VALUE!</v>
      </c>
      <c r="FH72" t="e">
        <f>'All regions'!B1799+"n/&gt;!%CD"</f>
        <v>#VALUE!</v>
      </c>
      <c r="FI72" t="e">
        <f>'All regions'!C1799+"n/&gt;!%CE"</f>
        <v>#VALUE!</v>
      </c>
      <c r="FJ72" t="e">
        <f>'All regions'!D1799+"n/&gt;!%CF"</f>
        <v>#VALUE!</v>
      </c>
      <c r="FK72" t="e">
        <f>'All regions'!E1799+"n/&gt;!%CG"</f>
        <v>#VALUE!</v>
      </c>
      <c r="FL72" t="e">
        <f>'All regions'!F1799+"n/&gt;!%CH"</f>
        <v>#VALUE!</v>
      </c>
      <c r="FM72" t="e">
        <f>'All regions'!G1799+"n/&gt;!%CI"</f>
        <v>#VALUE!</v>
      </c>
      <c r="FN72" t="e">
        <f>'All regions'!H1799+"n/&gt;!%CJ"</f>
        <v>#VALUE!</v>
      </c>
      <c r="FO72" t="e">
        <f>'All regions'!I1799+"n/&gt;!%CK"</f>
        <v>#VALUE!</v>
      </c>
      <c r="FP72" t="e">
        <f>'All regions'!J1799+"n/&gt;!%CL"</f>
        <v>#VALUE!</v>
      </c>
      <c r="FQ72" t="e">
        <f>'All regions'!A1800+"n/&gt;!%CM"</f>
        <v>#VALUE!</v>
      </c>
      <c r="FR72" t="e">
        <f>'All regions'!B1800+"n/&gt;!%CN"</f>
        <v>#VALUE!</v>
      </c>
      <c r="FS72" t="e">
        <f>'All regions'!C1800+"n/&gt;!%CO"</f>
        <v>#VALUE!</v>
      </c>
      <c r="FT72" t="e">
        <f>'All regions'!D1800+"n/&gt;!%CP"</f>
        <v>#VALUE!</v>
      </c>
      <c r="FU72" t="e">
        <f>'All regions'!E1800+"n/&gt;!%CQ"</f>
        <v>#VALUE!</v>
      </c>
      <c r="FV72" t="e">
        <f>'All regions'!F1800+"n/&gt;!%CR"</f>
        <v>#VALUE!</v>
      </c>
      <c r="FW72" t="e">
        <f>'All regions'!G1800+"n/&gt;!%CS"</f>
        <v>#VALUE!</v>
      </c>
      <c r="FX72" t="e">
        <f>'All regions'!H1800+"n/&gt;!%CT"</f>
        <v>#VALUE!</v>
      </c>
      <c r="FY72" t="e">
        <f>'All regions'!I1800+"n/&gt;!%CU"</f>
        <v>#VALUE!</v>
      </c>
      <c r="FZ72" t="e">
        <f>'All regions'!J1800+"n/&gt;!%CV"</f>
        <v>#VALUE!</v>
      </c>
      <c r="GA72" t="e">
        <f>'All regions'!A1801+"n/&gt;!%CW"</f>
        <v>#VALUE!</v>
      </c>
      <c r="GB72" t="e">
        <f>'All regions'!B1801+"n/&gt;!%CX"</f>
        <v>#VALUE!</v>
      </c>
      <c r="GC72" t="e">
        <f>'All regions'!C1801+"n/&gt;!%CY"</f>
        <v>#VALUE!</v>
      </c>
      <c r="GD72" t="e">
        <f>'All regions'!D1801+"n/&gt;!%CZ"</f>
        <v>#VALUE!</v>
      </c>
      <c r="GE72" t="e">
        <f>'All regions'!E1801+"n/&gt;!%C["</f>
        <v>#VALUE!</v>
      </c>
      <c r="GF72" t="e">
        <f>'All regions'!F1801+"n/&gt;!%C\"</f>
        <v>#VALUE!</v>
      </c>
      <c r="GG72" t="e">
        <f>'All regions'!G1801+"n/&gt;!%C]"</f>
        <v>#VALUE!</v>
      </c>
      <c r="GH72" t="e">
        <f>'All regions'!H1801+"n/&gt;!%C^"</f>
        <v>#VALUE!</v>
      </c>
      <c r="GI72" t="e">
        <f>'All regions'!I1801+"n/&gt;!%C_"</f>
        <v>#VALUE!</v>
      </c>
      <c r="GJ72" t="e">
        <f>'All regions'!J1801+"n/&gt;!%C`"</f>
        <v>#VALUE!</v>
      </c>
      <c r="GK72" t="e">
        <f>'All regions'!A1802+"n/&gt;!%Ca"</f>
        <v>#VALUE!</v>
      </c>
      <c r="GL72" t="e">
        <f>'All regions'!B1802+"n/&gt;!%Cb"</f>
        <v>#VALUE!</v>
      </c>
      <c r="GM72" t="e">
        <f>'All regions'!C1802+"n/&gt;!%Cc"</f>
        <v>#VALUE!</v>
      </c>
      <c r="GN72" t="e">
        <f>'All regions'!D1802+"n/&gt;!%Cd"</f>
        <v>#VALUE!</v>
      </c>
      <c r="GO72" t="e">
        <f>'All regions'!E1802+"n/&gt;!%Ce"</f>
        <v>#VALUE!</v>
      </c>
      <c r="GP72" t="e">
        <f>'All regions'!F1802+"n/&gt;!%Cf"</f>
        <v>#VALUE!</v>
      </c>
      <c r="GQ72" t="e">
        <f>'All regions'!G1802+"n/&gt;!%Cg"</f>
        <v>#VALUE!</v>
      </c>
      <c r="GR72" t="e">
        <f>'All regions'!H1802+"n/&gt;!%Ch"</f>
        <v>#VALUE!</v>
      </c>
      <c r="GS72" t="e">
        <f>'All regions'!I1802+"n/&gt;!%Ci"</f>
        <v>#VALUE!</v>
      </c>
      <c r="GT72" t="e">
        <f>'All regions'!J1802+"n/&gt;!%Cj"</f>
        <v>#VALUE!</v>
      </c>
      <c r="GU72" t="e">
        <f>'All regions'!A1803+"n/&gt;!%Ck"</f>
        <v>#VALUE!</v>
      </c>
      <c r="GV72" t="e">
        <f>'All regions'!B1803+"n/&gt;!%Cl"</f>
        <v>#VALUE!</v>
      </c>
      <c r="GW72" t="e">
        <f>'All regions'!C1803+"n/&gt;!%Cm"</f>
        <v>#VALUE!</v>
      </c>
      <c r="GX72" t="e">
        <f>'All regions'!D1803+"n/&gt;!%Cn"</f>
        <v>#VALUE!</v>
      </c>
      <c r="GY72" t="e">
        <f>'All regions'!E1803+"n/&gt;!%Co"</f>
        <v>#VALUE!</v>
      </c>
      <c r="GZ72" t="e">
        <f>'All regions'!F1803+"n/&gt;!%Cp"</f>
        <v>#VALUE!</v>
      </c>
      <c r="HA72" t="e">
        <f>'All regions'!G1803+"n/&gt;!%Cq"</f>
        <v>#VALUE!</v>
      </c>
      <c r="HB72" t="e">
        <f>'All regions'!H1803+"n/&gt;!%Cr"</f>
        <v>#VALUE!</v>
      </c>
      <c r="HC72" t="e">
        <f>'All regions'!I1803+"n/&gt;!%Cs"</f>
        <v>#VALUE!</v>
      </c>
      <c r="HD72" t="e">
        <f>'All regions'!J1803+"n/&gt;!%Ct"</f>
        <v>#VALUE!</v>
      </c>
      <c r="HE72" t="e">
        <f>'All regions'!A1804+"n/&gt;!%Cu"</f>
        <v>#VALUE!</v>
      </c>
      <c r="HF72" t="e">
        <f>'All regions'!B1804+"n/&gt;!%Cv"</f>
        <v>#VALUE!</v>
      </c>
      <c r="HG72" t="e">
        <f>'All regions'!C1804+"n/&gt;!%Cw"</f>
        <v>#VALUE!</v>
      </c>
      <c r="HH72" t="e">
        <f>'All regions'!D1804+"n/&gt;!%Cx"</f>
        <v>#VALUE!</v>
      </c>
      <c r="HI72" t="e">
        <f>'All regions'!E1804+"n/&gt;!%Cy"</f>
        <v>#VALUE!</v>
      </c>
      <c r="HJ72" t="e">
        <f>'All regions'!F1804+"n/&gt;!%Cz"</f>
        <v>#VALUE!</v>
      </c>
      <c r="HK72" t="e">
        <f>'All regions'!G1804+"n/&gt;!%C{"</f>
        <v>#VALUE!</v>
      </c>
      <c r="HL72" t="e">
        <f>'All regions'!H1804+"n/&gt;!%C|"</f>
        <v>#VALUE!</v>
      </c>
      <c r="HM72" t="e">
        <f>'All regions'!I1804+"n/&gt;!%C}"</f>
        <v>#VALUE!</v>
      </c>
      <c r="HN72" t="e">
        <f>'All regions'!J1804+"n/&gt;!%C~"</f>
        <v>#VALUE!</v>
      </c>
      <c r="HO72" t="e">
        <f>'All regions'!A1805+"n/&gt;!%D#"</f>
        <v>#VALUE!</v>
      </c>
      <c r="HP72" t="e">
        <f>'All regions'!B1805+"n/&gt;!%D$"</f>
        <v>#VALUE!</v>
      </c>
      <c r="HQ72" t="e">
        <f>'All regions'!C1805+"n/&gt;!%D%"</f>
        <v>#VALUE!</v>
      </c>
      <c r="HR72" t="e">
        <f>'All regions'!D1805+"n/&gt;!%D&amp;"</f>
        <v>#VALUE!</v>
      </c>
      <c r="HS72" t="e">
        <f>'All regions'!E1805+"n/&gt;!%D'"</f>
        <v>#VALUE!</v>
      </c>
      <c r="HT72" t="e">
        <f>'All regions'!F1805+"n/&gt;!%D("</f>
        <v>#VALUE!</v>
      </c>
      <c r="HU72" t="e">
        <f>'All regions'!G1805+"n/&gt;!%D)"</f>
        <v>#VALUE!</v>
      </c>
      <c r="HV72" t="e">
        <f>'All regions'!H1805+"n/&gt;!%D."</f>
        <v>#VALUE!</v>
      </c>
      <c r="HW72" t="e">
        <f>'All regions'!I1805+"n/&gt;!%D/"</f>
        <v>#VALUE!</v>
      </c>
      <c r="HX72" t="e">
        <f>'All regions'!J1805+"n/&gt;!%D0"</f>
        <v>#VALUE!</v>
      </c>
      <c r="HY72" t="e">
        <f>'All regions'!A1806+"n/&gt;!%D1"</f>
        <v>#VALUE!</v>
      </c>
      <c r="HZ72" t="e">
        <f>'All regions'!B1806+"n/&gt;!%D2"</f>
        <v>#VALUE!</v>
      </c>
      <c r="IA72" t="e">
        <f>'All regions'!C1806+"n/&gt;!%D3"</f>
        <v>#VALUE!</v>
      </c>
      <c r="IB72" t="e">
        <f>'All regions'!D1806+"n/&gt;!%D4"</f>
        <v>#VALUE!</v>
      </c>
      <c r="IC72" t="e">
        <f>'All regions'!E1806+"n/&gt;!%D5"</f>
        <v>#VALUE!</v>
      </c>
      <c r="ID72" t="e">
        <f>'All regions'!F1806+"n/&gt;!%D6"</f>
        <v>#VALUE!</v>
      </c>
      <c r="IE72" t="e">
        <f>'All regions'!G1806+"n/&gt;!%D7"</f>
        <v>#VALUE!</v>
      </c>
      <c r="IF72" t="e">
        <f>'All regions'!H1806+"n/&gt;!%D8"</f>
        <v>#VALUE!</v>
      </c>
      <c r="IG72" t="e">
        <f>'All regions'!I1806+"n/&gt;!%D9"</f>
        <v>#VALUE!</v>
      </c>
      <c r="IH72" t="e">
        <f>'All regions'!J1806+"n/&gt;!%D:"</f>
        <v>#VALUE!</v>
      </c>
      <c r="II72" t="e">
        <f>'All regions'!A1807+"n/&gt;!%D;"</f>
        <v>#VALUE!</v>
      </c>
      <c r="IJ72" t="e">
        <f>'All regions'!B1807+"n/&gt;!%D&lt;"</f>
        <v>#VALUE!</v>
      </c>
      <c r="IK72" t="e">
        <f>'All regions'!C1807+"n/&gt;!%D="</f>
        <v>#VALUE!</v>
      </c>
      <c r="IL72" t="e">
        <f>'All regions'!D1807+"n/&gt;!%D&gt;"</f>
        <v>#VALUE!</v>
      </c>
      <c r="IM72" t="e">
        <f>'All regions'!E1807+"n/&gt;!%D?"</f>
        <v>#VALUE!</v>
      </c>
      <c r="IN72" t="e">
        <f>'All regions'!F1807+"n/&gt;!%D@"</f>
        <v>#VALUE!</v>
      </c>
      <c r="IO72" t="e">
        <f>'All regions'!G1807+"n/&gt;!%DA"</f>
        <v>#VALUE!</v>
      </c>
      <c r="IP72" t="e">
        <f>'All regions'!H1807+"n/&gt;!%DB"</f>
        <v>#VALUE!</v>
      </c>
      <c r="IQ72" t="e">
        <f>'All regions'!I1807+"n/&gt;!%DC"</f>
        <v>#VALUE!</v>
      </c>
      <c r="IR72" t="e">
        <f>'All regions'!J1807+"n/&gt;!%DD"</f>
        <v>#VALUE!</v>
      </c>
      <c r="IS72" t="e">
        <f>'All regions'!A1808+"n/&gt;!%DE"</f>
        <v>#VALUE!</v>
      </c>
      <c r="IT72" t="e">
        <f>'All regions'!B1808+"n/&gt;!%DF"</f>
        <v>#VALUE!</v>
      </c>
      <c r="IU72" t="e">
        <f>'All regions'!C1808+"n/&gt;!%DG"</f>
        <v>#VALUE!</v>
      </c>
      <c r="IV72" t="e">
        <f>'All regions'!D1808+"n/&gt;!%DH"</f>
        <v>#VALUE!</v>
      </c>
    </row>
    <row r="73" spans="6:256" x14ac:dyDescent="0.35">
      <c r="F73" t="e">
        <f>'All regions'!E1808+"n/&gt;!%DI"</f>
        <v>#VALUE!</v>
      </c>
      <c r="G73" t="e">
        <f>'All regions'!F1808+"n/&gt;!%DJ"</f>
        <v>#VALUE!</v>
      </c>
      <c r="H73" t="e">
        <f>'All regions'!G1808+"n/&gt;!%DK"</f>
        <v>#VALUE!</v>
      </c>
      <c r="I73" t="e">
        <f>'All regions'!H1808+"n/&gt;!%DL"</f>
        <v>#VALUE!</v>
      </c>
      <c r="J73" t="e">
        <f>'All regions'!I1808+"n/&gt;!%DM"</f>
        <v>#VALUE!</v>
      </c>
      <c r="K73" t="e">
        <f>'All regions'!J1808+"n/&gt;!%DN"</f>
        <v>#VALUE!</v>
      </c>
      <c r="L73" t="e">
        <f>'All regions'!A1809+"n/&gt;!%DO"</f>
        <v>#VALUE!</v>
      </c>
      <c r="M73" t="e">
        <f>'All regions'!B1809+"n/&gt;!%DP"</f>
        <v>#VALUE!</v>
      </c>
      <c r="N73" t="e">
        <f>'All regions'!C1809+"n/&gt;!%DQ"</f>
        <v>#VALUE!</v>
      </c>
      <c r="O73" t="e">
        <f>'All regions'!D1809+"n/&gt;!%DR"</f>
        <v>#VALUE!</v>
      </c>
      <c r="P73" t="e">
        <f>'All regions'!E1809+"n/&gt;!%DS"</f>
        <v>#VALUE!</v>
      </c>
      <c r="Q73" t="e">
        <f>'All regions'!F1809+"n/&gt;!%DT"</f>
        <v>#VALUE!</v>
      </c>
      <c r="R73" t="e">
        <f>'All regions'!G1809+"n/&gt;!%DU"</f>
        <v>#VALUE!</v>
      </c>
      <c r="S73" t="e">
        <f>'All regions'!H1809+"n/&gt;!%DV"</f>
        <v>#VALUE!</v>
      </c>
      <c r="T73" t="e">
        <f>'All regions'!I1809+"n/&gt;!%DW"</f>
        <v>#VALUE!</v>
      </c>
      <c r="U73" t="e">
        <f>'All regions'!J1809+"n/&gt;!%DX"</f>
        <v>#VALUE!</v>
      </c>
      <c r="V73" t="e">
        <f>'All regions'!A1810+"n/&gt;!%DY"</f>
        <v>#VALUE!</v>
      </c>
      <c r="W73" t="e">
        <f>'All regions'!B1810+"n/&gt;!%DZ"</f>
        <v>#VALUE!</v>
      </c>
      <c r="X73" t="e">
        <f>'All regions'!C1810+"n/&gt;!%D["</f>
        <v>#VALUE!</v>
      </c>
      <c r="Y73" t="e">
        <f>'All regions'!D1810+"n/&gt;!%D\"</f>
        <v>#VALUE!</v>
      </c>
      <c r="Z73" t="e">
        <f>'All regions'!E1810+"n/&gt;!%D]"</f>
        <v>#VALUE!</v>
      </c>
      <c r="AA73" t="e">
        <f>'All regions'!F1810+"n/&gt;!%D^"</f>
        <v>#VALUE!</v>
      </c>
      <c r="AB73" t="e">
        <f>'All regions'!G1810+"n/&gt;!%D_"</f>
        <v>#VALUE!</v>
      </c>
      <c r="AC73" t="e">
        <f>'All regions'!H1810+"n/&gt;!%D`"</f>
        <v>#VALUE!</v>
      </c>
      <c r="AD73" t="e">
        <f>'All regions'!I1810+"n/&gt;!%Da"</f>
        <v>#VALUE!</v>
      </c>
      <c r="AE73" t="e">
        <f>'All regions'!J1810+"n/&gt;!%Db"</f>
        <v>#VALUE!</v>
      </c>
      <c r="AF73" t="e">
        <f>'All regions'!A1811+"n/&gt;!%Dc"</f>
        <v>#VALUE!</v>
      </c>
      <c r="AG73" t="e">
        <f>'All regions'!B1811+"n/&gt;!%Dd"</f>
        <v>#VALUE!</v>
      </c>
      <c r="AH73" t="e">
        <f>'All regions'!C1811+"n/&gt;!%De"</f>
        <v>#VALUE!</v>
      </c>
      <c r="AI73" t="e">
        <f>'All regions'!D1811+"n/&gt;!%Df"</f>
        <v>#VALUE!</v>
      </c>
      <c r="AJ73" t="e">
        <f>'All regions'!E1811+"n/&gt;!%Dg"</f>
        <v>#VALUE!</v>
      </c>
      <c r="AK73" t="e">
        <f>'All regions'!F1811+"n/&gt;!%Dh"</f>
        <v>#VALUE!</v>
      </c>
      <c r="AL73" t="e">
        <f>'All regions'!G1811+"n/&gt;!%Di"</f>
        <v>#VALUE!</v>
      </c>
      <c r="AM73" t="e">
        <f>'All regions'!H1811+"n/&gt;!%Dj"</f>
        <v>#VALUE!</v>
      </c>
      <c r="AN73" t="e">
        <f>'All regions'!I1811+"n/&gt;!%Dk"</f>
        <v>#VALUE!</v>
      </c>
      <c r="AO73" t="e">
        <f>'All regions'!J1811+"n/&gt;!%Dl"</f>
        <v>#VALUE!</v>
      </c>
      <c r="AP73" t="e">
        <f>'All regions'!A1812+"n/&gt;!%Dm"</f>
        <v>#VALUE!</v>
      </c>
      <c r="AQ73" t="e">
        <f>'All regions'!B1812+"n/&gt;!%Dn"</f>
        <v>#VALUE!</v>
      </c>
      <c r="AR73" t="e">
        <f>'All regions'!C1812+"n/&gt;!%Do"</f>
        <v>#VALUE!</v>
      </c>
      <c r="AS73" t="e">
        <f>'All regions'!D1812+"n/&gt;!%Dp"</f>
        <v>#VALUE!</v>
      </c>
      <c r="AT73" t="e">
        <f>'All regions'!E1812+"n/&gt;!%Dq"</f>
        <v>#VALUE!</v>
      </c>
      <c r="AU73" t="e">
        <f>'All regions'!F1812+"n/&gt;!%Dr"</f>
        <v>#VALUE!</v>
      </c>
      <c r="AV73" t="e">
        <f>'All regions'!G1812+"n/&gt;!%Ds"</f>
        <v>#VALUE!</v>
      </c>
      <c r="AW73" t="e">
        <f>'All regions'!H1812+"n/&gt;!%Dt"</f>
        <v>#VALUE!</v>
      </c>
      <c r="AX73" t="e">
        <f>'All regions'!I1812+"n/&gt;!%Du"</f>
        <v>#VALUE!</v>
      </c>
      <c r="AY73" t="e">
        <f>'All regions'!J1812+"n/&gt;!%Dv"</f>
        <v>#VALUE!</v>
      </c>
      <c r="AZ73" t="e">
        <f>'All regions'!A1813+"n/&gt;!%Dw"</f>
        <v>#VALUE!</v>
      </c>
      <c r="BA73" t="e">
        <f>'All regions'!B1813+"n/&gt;!%Dx"</f>
        <v>#VALUE!</v>
      </c>
      <c r="BB73" t="e">
        <f>'All regions'!C1813+"n/&gt;!%Dy"</f>
        <v>#VALUE!</v>
      </c>
      <c r="BC73" t="e">
        <f>'All regions'!D1813+"n/&gt;!%Dz"</f>
        <v>#VALUE!</v>
      </c>
      <c r="BD73" t="e">
        <f>'All regions'!E1813+"n/&gt;!%D{"</f>
        <v>#VALUE!</v>
      </c>
      <c r="BE73" t="e">
        <f>'All regions'!F1813+"n/&gt;!%D|"</f>
        <v>#VALUE!</v>
      </c>
      <c r="BF73" t="e">
        <f>'All regions'!G1813+"n/&gt;!%D}"</f>
        <v>#VALUE!</v>
      </c>
      <c r="BG73" t="e">
        <f>'All regions'!H1813+"n/&gt;!%D~"</f>
        <v>#VALUE!</v>
      </c>
      <c r="BH73" t="e">
        <f>'All regions'!I1813+"n/&gt;!%E#"</f>
        <v>#VALUE!</v>
      </c>
      <c r="BI73" t="e">
        <f>'All regions'!J1813+"n/&gt;!%E$"</f>
        <v>#VALUE!</v>
      </c>
      <c r="BJ73" t="e">
        <f>'All regions'!A1814+"n/&gt;!%E%"</f>
        <v>#VALUE!</v>
      </c>
      <c r="BK73" t="e">
        <f>'All regions'!B1814+"n/&gt;!%E&amp;"</f>
        <v>#VALUE!</v>
      </c>
      <c r="BL73" t="e">
        <f>'All regions'!C1814+"n/&gt;!%E'"</f>
        <v>#VALUE!</v>
      </c>
      <c r="BM73" t="e">
        <f>'All regions'!D1814+"n/&gt;!%E("</f>
        <v>#VALUE!</v>
      </c>
      <c r="BN73" t="e">
        <f>'All regions'!E1814+"n/&gt;!%E)"</f>
        <v>#VALUE!</v>
      </c>
      <c r="BO73" t="e">
        <f>'All regions'!F1814+"n/&gt;!%E."</f>
        <v>#VALUE!</v>
      </c>
      <c r="BP73" t="e">
        <f>'All regions'!G1814+"n/&gt;!%E/"</f>
        <v>#VALUE!</v>
      </c>
      <c r="BQ73" t="e">
        <f>'All regions'!H1814+"n/&gt;!%E0"</f>
        <v>#VALUE!</v>
      </c>
      <c r="BR73" t="e">
        <f>'All regions'!I1814+"n/&gt;!%E1"</f>
        <v>#VALUE!</v>
      </c>
      <c r="BS73" t="e">
        <f>'All regions'!J1814+"n/&gt;!%E2"</f>
        <v>#VALUE!</v>
      </c>
      <c r="BT73" t="e">
        <f>'All regions'!A1815+"n/&gt;!%E3"</f>
        <v>#VALUE!</v>
      </c>
      <c r="BU73" t="e">
        <f>'All regions'!B1815+"n/&gt;!%E4"</f>
        <v>#VALUE!</v>
      </c>
      <c r="BV73" t="e">
        <f>'All regions'!C1815+"n/&gt;!%E5"</f>
        <v>#VALUE!</v>
      </c>
      <c r="BW73" t="e">
        <f>'All regions'!D1815+"n/&gt;!%E6"</f>
        <v>#VALUE!</v>
      </c>
      <c r="BX73" t="e">
        <f>'All regions'!E1815+"n/&gt;!%E7"</f>
        <v>#VALUE!</v>
      </c>
      <c r="BY73" t="e">
        <f>'All regions'!F1815+"n/&gt;!%E8"</f>
        <v>#VALUE!</v>
      </c>
      <c r="BZ73" t="e">
        <f>'All regions'!G1815+"n/&gt;!%E9"</f>
        <v>#VALUE!</v>
      </c>
      <c r="CA73" t="e">
        <f>'All regions'!H1815+"n/&gt;!%E:"</f>
        <v>#VALUE!</v>
      </c>
      <c r="CB73" t="e">
        <f>'All regions'!I1815+"n/&gt;!%E;"</f>
        <v>#VALUE!</v>
      </c>
      <c r="CC73" t="e">
        <f>'All regions'!J1815+"n/&gt;!%E&lt;"</f>
        <v>#VALUE!</v>
      </c>
      <c r="CD73" t="e">
        <f>'All regions'!A1816+"n/&gt;!%E="</f>
        <v>#VALUE!</v>
      </c>
      <c r="CE73" t="e">
        <f>'All regions'!B1816+"n/&gt;!%E&gt;"</f>
        <v>#VALUE!</v>
      </c>
      <c r="CF73" t="e">
        <f>'All regions'!C1816+"n/&gt;!%E?"</f>
        <v>#VALUE!</v>
      </c>
      <c r="CG73" t="e">
        <f>'All regions'!D1816+"n/&gt;!%E@"</f>
        <v>#VALUE!</v>
      </c>
      <c r="CH73" t="e">
        <f>'All regions'!E1816+"n/&gt;!%EA"</f>
        <v>#VALUE!</v>
      </c>
      <c r="CI73" t="e">
        <f>'All regions'!F1816+"n/&gt;!%EB"</f>
        <v>#VALUE!</v>
      </c>
      <c r="CJ73" t="e">
        <f>'All regions'!G1816+"n/&gt;!%EC"</f>
        <v>#VALUE!</v>
      </c>
      <c r="CK73" t="e">
        <f>'All regions'!H1816+"n/&gt;!%ED"</f>
        <v>#VALUE!</v>
      </c>
      <c r="CL73" t="e">
        <f>'All regions'!I1816+"n/&gt;!%EE"</f>
        <v>#VALUE!</v>
      </c>
      <c r="CM73" t="e">
        <f>'All regions'!J1816+"n/&gt;!%EF"</f>
        <v>#VALUE!</v>
      </c>
      <c r="CN73" t="e">
        <f>'All regions'!A1817+"n/&gt;!%EG"</f>
        <v>#VALUE!</v>
      </c>
      <c r="CO73" t="e">
        <f>'All regions'!B1817+"n/&gt;!%EH"</f>
        <v>#VALUE!</v>
      </c>
      <c r="CP73" t="e">
        <f>'All regions'!C1817+"n/&gt;!%EI"</f>
        <v>#VALUE!</v>
      </c>
      <c r="CQ73" t="e">
        <f>'All regions'!D1817+"n/&gt;!%EJ"</f>
        <v>#VALUE!</v>
      </c>
      <c r="CR73" t="e">
        <f>'All regions'!E1817+"n/&gt;!%EK"</f>
        <v>#VALUE!</v>
      </c>
      <c r="CS73" t="e">
        <f>'All regions'!F1817+"n/&gt;!%EL"</f>
        <v>#VALUE!</v>
      </c>
      <c r="CT73" t="e">
        <f>'All regions'!G1817+"n/&gt;!%EM"</f>
        <v>#VALUE!</v>
      </c>
      <c r="CU73" t="e">
        <f>'All regions'!H1817+"n/&gt;!%EN"</f>
        <v>#VALUE!</v>
      </c>
      <c r="CV73" t="e">
        <f>'All regions'!I1817+"n/&gt;!%EO"</f>
        <v>#VALUE!</v>
      </c>
      <c r="CW73" t="e">
        <f>'All regions'!J1817+"n/&gt;!%EP"</f>
        <v>#VALUE!</v>
      </c>
      <c r="CX73" t="e">
        <f>'All regions'!A1818+"n/&gt;!%EQ"</f>
        <v>#VALUE!</v>
      </c>
      <c r="CY73" t="e">
        <f>'All regions'!B1818+"n/&gt;!%ER"</f>
        <v>#VALUE!</v>
      </c>
      <c r="CZ73" t="e">
        <f>'All regions'!C1818+"n/&gt;!%ES"</f>
        <v>#VALUE!</v>
      </c>
      <c r="DA73" t="e">
        <f>'All regions'!D1818+"n/&gt;!%ET"</f>
        <v>#VALUE!</v>
      </c>
      <c r="DB73" t="e">
        <f>'All regions'!E1818+"n/&gt;!%EU"</f>
        <v>#VALUE!</v>
      </c>
      <c r="DC73" t="e">
        <f>'All regions'!F1818+"n/&gt;!%EV"</f>
        <v>#VALUE!</v>
      </c>
      <c r="DD73" t="e">
        <f>'All regions'!G1818+"n/&gt;!%EW"</f>
        <v>#VALUE!</v>
      </c>
      <c r="DE73" t="e">
        <f>'All regions'!H1818+"n/&gt;!%EX"</f>
        <v>#VALUE!</v>
      </c>
      <c r="DF73" t="e">
        <f>'All regions'!I1818+"n/&gt;!%EY"</f>
        <v>#VALUE!</v>
      </c>
      <c r="DG73" t="e">
        <f>'All regions'!J1818+"n/&gt;!%EZ"</f>
        <v>#VALUE!</v>
      </c>
      <c r="DH73" t="e">
        <f>'All regions'!A1819+"n/&gt;!%E["</f>
        <v>#VALUE!</v>
      </c>
      <c r="DI73" t="e">
        <f>'All regions'!B1819+"n/&gt;!%E\"</f>
        <v>#VALUE!</v>
      </c>
      <c r="DJ73" t="e">
        <f>'All regions'!C1819+"n/&gt;!%E]"</f>
        <v>#VALUE!</v>
      </c>
      <c r="DK73" t="e">
        <f>'All regions'!D1819+"n/&gt;!%E^"</f>
        <v>#VALUE!</v>
      </c>
      <c r="DL73" t="e">
        <f>'All regions'!E1819+"n/&gt;!%E_"</f>
        <v>#VALUE!</v>
      </c>
      <c r="DM73" t="e">
        <f>'All regions'!F1819+"n/&gt;!%E`"</f>
        <v>#VALUE!</v>
      </c>
      <c r="DN73" t="e">
        <f>'All regions'!G1819+"n/&gt;!%Ea"</f>
        <v>#VALUE!</v>
      </c>
      <c r="DO73" t="e">
        <f>'All regions'!H1819+"n/&gt;!%Eb"</f>
        <v>#VALUE!</v>
      </c>
      <c r="DP73" t="e">
        <f>'All regions'!I1819+"n/&gt;!%Ec"</f>
        <v>#VALUE!</v>
      </c>
      <c r="DQ73" t="e">
        <f>'All regions'!J1819+"n/&gt;!%Ed"</f>
        <v>#VALUE!</v>
      </c>
      <c r="DR73" t="e">
        <f>'All regions'!A1820+"n/&gt;!%Ee"</f>
        <v>#VALUE!</v>
      </c>
      <c r="DS73" t="e">
        <f>'All regions'!B1820+"n/&gt;!%Ef"</f>
        <v>#VALUE!</v>
      </c>
      <c r="DT73" t="e">
        <f>'All regions'!C1820+"n/&gt;!%Eg"</f>
        <v>#VALUE!</v>
      </c>
      <c r="DU73" t="e">
        <f>'All regions'!D1820+"n/&gt;!%Eh"</f>
        <v>#VALUE!</v>
      </c>
      <c r="DV73" t="e">
        <f>'All regions'!E1820+"n/&gt;!%Ei"</f>
        <v>#VALUE!</v>
      </c>
      <c r="DW73" t="e">
        <f>'All regions'!F1820+"n/&gt;!%Ej"</f>
        <v>#VALUE!</v>
      </c>
      <c r="DX73" t="e">
        <f>'All regions'!G1820+"n/&gt;!%Ek"</f>
        <v>#VALUE!</v>
      </c>
      <c r="DY73" t="e">
        <f>'All regions'!H1820+"n/&gt;!%El"</f>
        <v>#VALUE!</v>
      </c>
      <c r="DZ73" t="e">
        <f>'All regions'!I1820+"n/&gt;!%Em"</f>
        <v>#VALUE!</v>
      </c>
      <c r="EA73" t="e">
        <f>'All regions'!J1820+"n/&gt;!%En"</f>
        <v>#VALUE!</v>
      </c>
      <c r="EB73" t="e">
        <f>'All regions'!A1821+"n/&gt;!%Eo"</f>
        <v>#VALUE!</v>
      </c>
      <c r="EC73" t="e">
        <f>'All regions'!B1821+"n/&gt;!%Ep"</f>
        <v>#VALUE!</v>
      </c>
      <c r="ED73" t="e">
        <f>'All regions'!C1821+"n/&gt;!%Eq"</f>
        <v>#VALUE!</v>
      </c>
      <c r="EE73" t="e">
        <f>'All regions'!D1821+"n/&gt;!%Er"</f>
        <v>#VALUE!</v>
      </c>
      <c r="EF73" t="e">
        <f>'All regions'!E1821+"n/&gt;!%Es"</f>
        <v>#VALUE!</v>
      </c>
      <c r="EG73" t="e">
        <f>'All regions'!F1821+"n/&gt;!%Et"</f>
        <v>#VALUE!</v>
      </c>
      <c r="EH73" t="e">
        <f>'All regions'!G1821+"n/&gt;!%Eu"</f>
        <v>#VALUE!</v>
      </c>
      <c r="EI73" t="e">
        <f>'All regions'!H1821+"n/&gt;!%Ev"</f>
        <v>#VALUE!</v>
      </c>
      <c r="EJ73" t="e">
        <f>'All regions'!I1821+"n/&gt;!%Ew"</f>
        <v>#VALUE!</v>
      </c>
      <c r="EK73" t="e">
        <f>'All regions'!J1821+"n/&gt;!%Ex"</f>
        <v>#VALUE!</v>
      </c>
      <c r="EL73" t="e">
        <f>'All regions'!A1822+"n/&gt;!%Ey"</f>
        <v>#VALUE!</v>
      </c>
      <c r="EM73" t="e">
        <f>'All regions'!B1822+"n/&gt;!%Ez"</f>
        <v>#VALUE!</v>
      </c>
      <c r="EN73" t="e">
        <f>'All regions'!C1822+"n/&gt;!%E{"</f>
        <v>#VALUE!</v>
      </c>
      <c r="EO73" t="e">
        <f>'All regions'!D1822+"n/&gt;!%E|"</f>
        <v>#VALUE!</v>
      </c>
      <c r="EP73" t="e">
        <f>'All regions'!E1822+"n/&gt;!%E}"</f>
        <v>#VALUE!</v>
      </c>
      <c r="EQ73" t="e">
        <f>'All regions'!F1822+"n/&gt;!%E~"</f>
        <v>#VALUE!</v>
      </c>
      <c r="ER73" t="e">
        <f>'All regions'!G1822+"n/&gt;!%F#"</f>
        <v>#VALUE!</v>
      </c>
      <c r="ES73" t="e">
        <f>'All regions'!H1822+"n/&gt;!%F$"</f>
        <v>#VALUE!</v>
      </c>
      <c r="ET73" t="e">
        <f>'All regions'!I1822+"n/&gt;!%F%"</f>
        <v>#VALUE!</v>
      </c>
      <c r="EU73" t="e">
        <f>'All regions'!J1822+"n/&gt;!%F&amp;"</f>
        <v>#VALUE!</v>
      </c>
      <c r="EV73" t="e">
        <f>'All regions'!A1823+"n/&gt;!%F'"</f>
        <v>#VALUE!</v>
      </c>
      <c r="EW73" t="e">
        <f>'All regions'!B1823+"n/&gt;!%F("</f>
        <v>#VALUE!</v>
      </c>
      <c r="EX73" t="e">
        <f>'All regions'!C1823+"n/&gt;!%F)"</f>
        <v>#VALUE!</v>
      </c>
      <c r="EY73" t="e">
        <f>'All regions'!D1823+"n/&gt;!%F."</f>
        <v>#VALUE!</v>
      </c>
      <c r="EZ73" t="e">
        <f>'All regions'!E1823+"n/&gt;!%F/"</f>
        <v>#VALUE!</v>
      </c>
      <c r="FA73" t="e">
        <f>'All regions'!F1823+"n/&gt;!%F0"</f>
        <v>#VALUE!</v>
      </c>
      <c r="FB73" t="e">
        <f>'All regions'!G1823+"n/&gt;!%F1"</f>
        <v>#VALUE!</v>
      </c>
      <c r="FC73" t="e">
        <f>'All regions'!H1823+"n/&gt;!%F2"</f>
        <v>#VALUE!</v>
      </c>
      <c r="FD73" t="e">
        <f>'All regions'!I1823+"n/&gt;!%F3"</f>
        <v>#VALUE!</v>
      </c>
      <c r="FE73" t="e">
        <f>'All regions'!J1823+"n/&gt;!%F4"</f>
        <v>#VALUE!</v>
      </c>
      <c r="FF73" t="e">
        <f>'All regions'!A1824+"n/&gt;!%F5"</f>
        <v>#VALUE!</v>
      </c>
      <c r="FG73" t="e">
        <f>'All regions'!B1824+"n/&gt;!%F6"</f>
        <v>#VALUE!</v>
      </c>
      <c r="FH73" t="e">
        <f>'All regions'!C1824+"n/&gt;!%F7"</f>
        <v>#VALUE!</v>
      </c>
      <c r="FI73" t="e">
        <f>'All regions'!D1824+"n/&gt;!%F8"</f>
        <v>#VALUE!</v>
      </c>
      <c r="FJ73" t="e">
        <f>'All regions'!E1824+"n/&gt;!%F9"</f>
        <v>#VALUE!</v>
      </c>
      <c r="FK73" t="e">
        <f>'All regions'!F1824+"n/&gt;!%F:"</f>
        <v>#VALUE!</v>
      </c>
      <c r="FL73" t="e">
        <f>'All regions'!G1824+"n/&gt;!%F;"</f>
        <v>#VALUE!</v>
      </c>
      <c r="FM73" t="e">
        <f>'All regions'!H1824+"n/&gt;!%F&lt;"</f>
        <v>#VALUE!</v>
      </c>
      <c r="FN73" t="e">
        <f>'All regions'!I1824+"n/&gt;!%F="</f>
        <v>#VALUE!</v>
      </c>
      <c r="FO73" t="e">
        <f>'All regions'!J1824+"n/&gt;!%F&gt;"</f>
        <v>#VALUE!</v>
      </c>
      <c r="FP73" t="e">
        <f>'All regions'!A1825+"n/&gt;!%F?"</f>
        <v>#VALUE!</v>
      </c>
      <c r="FQ73" t="e">
        <f>'All regions'!B1825+"n/&gt;!%F@"</f>
        <v>#VALUE!</v>
      </c>
      <c r="FR73" t="e">
        <f>'All regions'!C1825+"n/&gt;!%FA"</f>
        <v>#VALUE!</v>
      </c>
      <c r="FS73" t="e">
        <f>'All regions'!D1825+"n/&gt;!%FB"</f>
        <v>#VALUE!</v>
      </c>
      <c r="FT73" t="e">
        <f>'All regions'!E1825+"n/&gt;!%FC"</f>
        <v>#VALUE!</v>
      </c>
      <c r="FU73" t="e">
        <f>'All regions'!F1825+"n/&gt;!%FD"</f>
        <v>#VALUE!</v>
      </c>
      <c r="FV73" t="e">
        <f>'All regions'!G1825+"n/&gt;!%FE"</f>
        <v>#VALUE!</v>
      </c>
      <c r="FW73" t="e">
        <f>'All regions'!H1825+"n/&gt;!%FF"</f>
        <v>#VALUE!</v>
      </c>
      <c r="FX73" t="e">
        <f>'All regions'!I1825+"n/&gt;!%FG"</f>
        <v>#VALUE!</v>
      </c>
      <c r="FY73" t="e">
        <f>'All regions'!J1825+"n/&gt;!%FH"</f>
        <v>#VALUE!</v>
      </c>
      <c r="FZ73" t="e">
        <f>'All regions'!A1826+"n/&gt;!%FI"</f>
        <v>#VALUE!</v>
      </c>
      <c r="GA73" t="e">
        <f>'All regions'!B1826+"n/&gt;!%FJ"</f>
        <v>#VALUE!</v>
      </c>
      <c r="GB73" t="e">
        <f>'All regions'!C1826+"n/&gt;!%FK"</f>
        <v>#VALUE!</v>
      </c>
      <c r="GC73" t="e">
        <f>'All regions'!D1826+"n/&gt;!%FL"</f>
        <v>#VALUE!</v>
      </c>
      <c r="GD73" t="e">
        <f>'All regions'!E1826+"n/&gt;!%FM"</f>
        <v>#VALUE!</v>
      </c>
      <c r="GE73" t="e">
        <f>'All regions'!F1826+"n/&gt;!%FN"</f>
        <v>#VALUE!</v>
      </c>
      <c r="GF73" t="e">
        <f>'All regions'!G1826+"n/&gt;!%FO"</f>
        <v>#VALUE!</v>
      </c>
      <c r="GG73" t="e">
        <f>'All regions'!H1826+"n/&gt;!%FP"</f>
        <v>#VALUE!</v>
      </c>
      <c r="GH73" t="e">
        <f>'All regions'!I1826+"n/&gt;!%FQ"</f>
        <v>#VALUE!</v>
      </c>
      <c r="GI73" t="e">
        <f>'All regions'!J1826+"n/&gt;!%FR"</f>
        <v>#VALUE!</v>
      </c>
      <c r="GJ73" t="e">
        <f>'All regions'!A1827+"n/&gt;!%FS"</f>
        <v>#VALUE!</v>
      </c>
      <c r="GK73" t="e">
        <f>'All regions'!B1827+"n/&gt;!%FT"</f>
        <v>#VALUE!</v>
      </c>
      <c r="GL73" t="e">
        <f>'All regions'!C1827+"n/&gt;!%FU"</f>
        <v>#VALUE!</v>
      </c>
      <c r="GM73" t="e">
        <f>'All regions'!D1827+"n/&gt;!%FV"</f>
        <v>#VALUE!</v>
      </c>
      <c r="GN73" t="e">
        <f>'All regions'!E1827+"n/&gt;!%FW"</f>
        <v>#VALUE!</v>
      </c>
      <c r="GO73" t="e">
        <f>'All regions'!F1827+"n/&gt;!%FX"</f>
        <v>#VALUE!</v>
      </c>
      <c r="GP73" t="e">
        <f>'All regions'!G1827+"n/&gt;!%FY"</f>
        <v>#VALUE!</v>
      </c>
      <c r="GQ73" t="e">
        <f>'All regions'!H1827+"n/&gt;!%FZ"</f>
        <v>#VALUE!</v>
      </c>
      <c r="GR73" t="e">
        <f>'All regions'!I1827+"n/&gt;!%F["</f>
        <v>#VALUE!</v>
      </c>
      <c r="GS73" t="e">
        <f>'All regions'!J1827+"n/&gt;!%F\"</f>
        <v>#VALUE!</v>
      </c>
      <c r="GT73" t="e">
        <f>'All regions'!A1828+"n/&gt;!%F]"</f>
        <v>#VALUE!</v>
      </c>
      <c r="GU73" t="e">
        <f>'All regions'!B1828+"n/&gt;!%F^"</f>
        <v>#VALUE!</v>
      </c>
      <c r="GV73" t="e">
        <f>'All regions'!C1828+"n/&gt;!%F_"</f>
        <v>#VALUE!</v>
      </c>
      <c r="GW73" t="e">
        <f>'All regions'!D1828+"n/&gt;!%F`"</f>
        <v>#VALUE!</v>
      </c>
      <c r="GX73" t="e">
        <f>'All regions'!E1828+"n/&gt;!%Fa"</f>
        <v>#VALUE!</v>
      </c>
      <c r="GY73" t="e">
        <f>'All regions'!F1828+"n/&gt;!%Fb"</f>
        <v>#VALUE!</v>
      </c>
      <c r="GZ73" t="e">
        <f>'All regions'!G1828+"n/&gt;!%Fc"</f>
        <v>#VALUE!</v>
      </c>
      <c r="HA73" t="e">
        <f>'All regions'!H1828+"n/&gt;!%Fd"</f>
        <v>#VALUE!</v>
      </c>
      <c r="HB73" t="e">
        <f>'All regions'!I1828+"n/&gt;!%Fe"</f>
        <v>#VALUE!</v>
      </c>
      <c r="HC73" t="e">
        <f>'All regions'!J1828+"n/&gt;!%Ff"</f>
        <v>#VALUE!</v>
      </c>
      <c r="HD73" t="e">
        <f>'All regions'!A1829+"n/&gt;!%Fg"</f>
        <v>#VALUE!</v>
      </c>
      <c r="HE73" t="e">
        <f>'All regions'!B1829+"n/&gt;!%Fh"</f>
        <v>#VALUE!</v>
      </c>
      <c r="HF73" t="e">
        <f>'All regions'!C1829+"n/&gt;!%Fi"</f>
        <v>#VALUE!</v>
      </c>
      <c r="HG73" t="e">
        <f>'All regions'!D1829+"n/&gt;!%Fj"</f>
        <v>#VALUE!</v>
      </c>
      <c r="HH73" t="e">
        <f>'All regions'!E1829+"n/&gt;!%Fk"</f>
        <v>#VALUE!</v>
      </c>
      <c r="HI73" t="e">
        <f>'All regions'!F1829+"n/&gt;!%Fl"</f>
        <v>#VALUE!</v>
      </c>
      <c r="HJ73" t="e">
        <f>'All regions'!G1829+"n/&gt;!%Fm"</f>
        <v>#VALUE!</v>
      </c>
      <c r="HK73" t="e">
        <f>'All regions'!H1829+"n/&gt;!%Fn"</f>
        <v>#VALUE!</v>
      </c>
      <c r="HL73" t="e">
        <f>'All regions'!I1829+"n/&gt;!%Fo"</f>
        <v>#VALUE!</v>
      </c>
      <c r="HM73" t="e">
        <f>'All regions'!J1829+"n/&gt;!%Fp"</f>
        <v>#VALUE!</v>
      </c>
      <c r="HN73" t="e">
        <f>'All regions'!A1830+"n/&gt;!%Fq"</f>
        <v>#VALUE!</v>
      </c>
      <c r="HO73" t="e">
        <f>'All regions'!B1830+"n/&gt;!%Fr"</f>
        <v>#VALUE!</v>
      </c>
      <c r="HP73" t="e">
        <f>'All regions'!C1830+"n/&gt;!%Fs"</f>
        <v>#VALUE!</v>
      </c>
      <c r="HQ73" t="e">
        <f>'All regions'!D1830+"n/&gt;!%Ft"</f>
        <v>#VALUE!</v>
      </c>
      <c r="HR73" t="e">
        <f>'All regions'!E1830+"n/&gt;!%Fu"</f>
        <v>#VALUE!</v>
      </c>
      <c r="HS73" t="e">
        <f>'All regions'!F1830+"n/&gt;!%Fv"</f>
        <v>#VALUE!</v>
      </c>
      <c r="HT73" t="e">
        <f>'All regions'!G1830+"n/&gt;!%Fw"</f>
        <v>#VALUE!</v>
      </c>
      <c r="HU73" t="e">
        <f>'All regions'!H1830+"n/&gt;!%Fx"</f>
        <v>#VALUE!</v>
      </c>
      <c r="HV73" t="e">
        <f>'All regions'!I1830+"n/&gt;!%Fy"</f>
        <v>#VALUE!</v>
      </c>
      <c r="HW73" t="e">
        <f>'All regions'!J1830+"n/&gt;!%Fz"</f>
        <v>#VALUE!</v>
      </c>
      <c r="HX73" t="e">
        <f>'All regions'!A1831+"n/&gt;!%F{"</f>
        <v>#VALUE!</v>
      </c>
      <c r="HY73" t="e">
        <f>'All regions'!B1831+"n/&gt;!%F|"</f>
        <v>#VALUE!</v>
      </c>
      <c r="HZ73" t="e">
        <f>'All regions'!C1831+"n/&gt;!%F}"</f>
        <v>#VALUE!</v>
      </c>
      <c r="IA73" t="e">
        <f>'All regions'!D1831+"n/&gt;!%F~"</f>
        <v>#VALUE!</v>
      </c>
      <c r="IB73" t="e">
        <f>'All regions'!E1831+"n/&gt;!%G#"</f>
        <v>#VALUE!</v>
      </c>
      <c r="IC73" t="e">
        <f>'All regions'!F1831+"n/&gt;!%G$"</f>
        <v>#VALUE!</v>
      </c>
      <c r="ID73" t="e">
        <f>'All regions'!G1831+"n/&gt;!%G%"</f>
        <v>#VALUE!</v>
      </c>
      <c r="IE73" t="e">
        <f>'All regions'!H1831+"n/&gt;!%G&amp;"</f>
        <v>#VALUE!</v>
      </c>
      <c r="IF73" t="e">
        <f>'All regions'!I1831+"n/&gt;!%G'"</f>
        <v>#VALUE!</v>
      </c>
      <c r="IG73" t="e">
        <f>'All regions'!J1831+"n/&gt;!%G("</f>
        <v>#VALUE!</v>
      </c>
      <c r="IH73" t="e">
        <f>'All regions'!A1832+"n/&gt;!%G)"</f>
        <v>#VALUE!</v>
      </c>
      <c r="II73" t="e">
        <f>'All regions'!B1832+"n/&gt;!%G."</f>
        <v>#VALUE!</v>
      </c>
      <c r="IJ73" t="e">
        <f>'All regions'!C1832+"n/&gt;!%G/"</f>
        <v>#VALUE!</v>
      </c>
      <c r="IK73" t="e">
        <f>'All regions'!D1832+"n/&gt;!%G0"</f>
        <v>#VALUE!</v>
      </c>
      <c r="IL73" t="e">
        <f>'All regions'!E1832+"n/&gt;!%G1"</f>
        <v>#VALUE!</v>
      </c>
      <c r="IM73" t="e">
        <f>'All regions'!F1832+"n/&gt;!%G2"</f>
        <v>#VALUE!</v>
      </c>
      <c r="IN73" t="e">
        <f>'All regions'!G1832+"n/&gt;!%G3"</f>
        <v>#VALUE!</v>
      </c>
      <c r="IO73" t="e">
        <f>'All regions'!H1832+"n/&gt;!%G4"</f>
        <v>#VALUE!</v>
      </c>
      <c r="IP73" t="e">
        <f>'All regions'!I1832+"n/&gt;!%G5"</f>
        <v>#VALUE!</v>
      </c>
      <c r="IQ73" t="e">
        <f>'All regions'!J1832+"n/&gt;!%G6"</f>
        <v>#VALUE!</v>
      </c>
      <c r="IR73" t="e">
        <f>'All regions'!A1833+"n/&gt;!%G7"</f>
        <v>#VALUE!</v>
      </c>
      <c r="IS73" t="e">
        <f>'All regions'!B1833+"n/&gt;!%G8"</f>
        <v>#VALUE!</v>
      </c>
      <c r="IT73" t="e">
        <f>'All regions'!C1833+"n/&gt;!%G9"</f>
        <v>#VALUE!</v>
      </c>
      <c r="IU73" t="e">
        <f>'All regions'!D1833+"n/&gt;!%G:"</f>
        <v>#VALUE!</v>
      </c>
      <c r="IV73" t="e">
        <f>'All regions'!E1833+"n/&gt;!%G;"</f>
        <v>#VALUE!</v>
      </c>
    </row>
    <row r="74" spans="6:256" x14ac:dyDescent="0.35">
      <c r="F74" t="e">
        <f>'All regions'!F1833+"n/&gt;!%G&lt;"</f>
        <v>#VALUE!</v>
      </c>
      <c r="G74" t="e">
        <f>'All regions'!G1833+"n/&gt;!%G="</f>
        <v>#VALUE!</v>
      </c>
      <c r="H74" t="e">
        <f>'All regions'!H1833+"n/&gt;!%G&gt;"</f>
        <v>#VALUE!</v>
      </c>
      <c r="I74" t="e">
        <f>'All regions'!I1833+"n/&gt;!%G?"</f>
        <v>#VALUE!</v>
      </c>
      <c r="J74" t="e">
        <f>'All regions'!J1833+"n/&gt;!%G@"</f>
        <v>#VALUE!</v>
      </c>
      <c r="K74" t="e">
        <f>'All regions'!A1834+"n/&gt;!%GA"</f>
        <v>#VALUE!</v>
      </c>
      <c r="L74" t="e">
        <f>'All regions'!B1834+"n/&gt;!%GB"</f>
        <v>#VALUE!</v>
      </c>
      <c r="M74" t="e">
        <f>'All regions'!C1834+"n/&gt;!%GC"</f>
        <v>#VALUE!</v>
      </c>
      <c r="N74" t="e">
        <f>'All regions'!D1834+"n/&gt;!%GD"</f>
        <v>#VALUE!</v>
      </c>
      <c r="O74" t="e">
        <f>'All regions'!E1834+"n/&gt;!%GE"</f>
        <v>#VALUE!</v>
      </c>
      <c r="P74" t="e">
        <f>'All regions'!F1834+"n/&gt;!%GF"</f>
        <v>#VALUE!</v>
      </c>
      <c r="Q74" t="e">
        <f>'All regions'!G1834+"n/&gt;!%GG"</f>
        <v>#VALUE!</v>
      </c>
      <c r="R74" t="e">
        <f>'All regions'!H1834+"n/&gt;!%GH"</f>
        <v>#VALUE!</v>
      </c>
      <c r="S74" t="e">
        <f>'All regions'!I1834+"n/&gt;!%GI"</f>
        <v>#VALUE!</v>
      </c>
      <c r="T74" t="e">
        <f>'All regions'!J1834+"n/&gt;!%GJ"</f>
        <v>#VALUE!</v>
      </c>
      <c r="U74" t="e">
        <f>'All regions'!A1835+"n/&gt;!%GK"</f>
        <v>#VALUE!</v>
      </c>
      <c r="V74" t="e">
        <f>'All regions'!B1835+"n/&gt;!%GL"</f>
        <v>#VALUE!</v>
      </c>
      <c r="W74" t="e">
        <f>'All regions'!C1835+"n/&gt;!%GM"</f>
        <v>#VALUE!</v>
      </c>
      <c r="X74" t="e">
        <f>'All regions'!D1835+"n/&gt;!%GN"</f>
        <v>#VALUE!</v>
      </c>
      <c r="Y74" t="e">
        <f>'All regions'!E1835+"n/&gt;!%GO"</f>
        <v>#VALUE!</v>
      </c>
      <c r="Z74" t="e">
        <f>'All regions'!F1835+"n/&gt;!%GP"</f>
        <v>#VALUE!</v>
      </c>
      <c r="AA74" t="e">
        <f>'All regions'!G1835+"n/&gt;!%GQ"</f>
        <v>#VALUE!</v>
      </c>
      <c r="AB74" t="e">
        <f>'All regions'!H1835+"n/&gt;!%GR"</f>
        <v>#VALUE!</v>
      </c>
      <c r="AC74" t="e">
        <f>'All regions'!I1835+"n/&gt;!%GS"</f>
        <v>#VALUE!</v>
      </c>
      <c r="AD74" t="e">
        <f>'All regions'!J1835+"n/&gt;!%GT"</f>
        <v>#VALUE!</v>
      </c>
      <c r="AE74" t="e">
        <f>'All regions'!A1836+"n/&gt;!%GU"</f>
        <v>#VALUE!</v>
      </c>
      <c r="AF74" t="e">
        <f>'All regions'!B1836+"n/&gt;!%GV"</f>
        <v>#VALUE!</v>
      </c>
      <c r="AG74" t="e">
        <f>'All regions'!C1836+"n/&gt;!%GW"</f>
        <v>#VALUE!</v>
      </c>
      <c r="AH74" t="e">
        <f>'All regions'!D1836+"n/&gt;!%GX"</f>
        <v>#VALUE!</v>
      </c>
      <c r="AI74" t="e">
        <f>'All regions'!E1836+"n/&gt;!%GY"</f>
        <v>#VALUE!</v>
      </c>
      <c r="AJ74" t="e">
        <f>'All regions'!F1836+"n/&gt;!%GZ"</f>
        <v>#VALUE!</v>
      </c>
      <c r="AK74" t="e">
        <f>'All regions'!G1836+"n/&gt;!%G["</f>
        <v>#VALUE!</v>
      </c>
      <c r="AL74" t="e">
        <f>'All regions'!H1836+"n/&gt;!%G\"</f>
        <v>#VALUE!</v>
      </c>
      <c r="AM74" t="e">
        <f>'All regions'!I1836+"n/&gt;!%G]"</f>
        <v>#VALUE!</v>
      </c>
      <c r="AN74" t="e">
        <f>'All regions'!J1836+"n/&gt;!%G^"</f>
        <v>#VALUE!</v>
      </c>
      <c r="AO74" t="e">
        <f>'All regions'!A1837+"n/&gt;!%G_"</f>
        <v>#VALUE!</v>
      </c>
      <c r="AP74" t="e">
        <f>'All regions'!B1837+"n/&gt;!%G`"</f>
        <v>#VALUE!</v>
      </c>
      <c r="AQ74" t="e">
        <f>'All regions'!C1837+"n/&gt;!%Ga"</f>
        <v>#VALUE!</v>
      </c>
      <c r="AR74" t="e">
        <f>'All regions'!D1837+"n/&gt;!%Gb"</f>
        <v>#VALUE!</v>
      </c>
      <c r="AS74" t="e">
        <f>'All regions'!E1837+"n/&gt;!%Gc"</f>
        <v>#VALUE!</v>
      </c>
      <c r="AT74" t="e">
        <f>'All regions'!F1837+"n/&gt;!%Gd"</f>
        <v>#VALUE!</v>
      </c>
      <c r="AU74" t="e">
        <f>'All regions'!G1837+"n/&gt;!%Ge"</f>
        <v>#VALUE!</v>
      </c>
      <c r="AV74" t="e">
        <f>'All regions'!H1837+"n/&gt;!%Gf"</f>
        <v>#VALUE!</v>
      </c>
      <c r="AW74" t="e">
        <f>'All regions'!I1837+"n/&gt;!%Gg"</f>
        <v>#VALUE!</v>
      </c>
      <c r="AX74" t="e">
        <f>'All regions'!J1837+"n/&gt;!%Gh"</f>
        <v>#VALUE!</v>
      </c>
      <c r="AY74" t="e">
        <f>'All regions'!A1838+"n/&gt;!%Gi"</f>
        <v>#VALUE!</v>
      </c>
      <c r="AZ74" t="e">
        <f>'All regions'!B1838+"n/&gt;!%Gj"</f>
        <v>#VALUE!</v>
      </c>
      <c r="BA74" t="e">
        <f>'All regions'!C1838+"n/&gt;!%Gk"</f>
        <v>#VALUE!</v>
      </c>
      <c r="BB74" t="e">
        <f>'All regions'!D1838+"n/&gt;!%Gl"</f>
        <v>#VALUE!</v>
      </c>
      <c r="BC74" t="e">
        <f>'All regions'!E1838+"n/&gt;!%Gm"</f>
        <v>#VALUE!</v>
      </c>
      <c r="BD74" t="e">
        <f>'All regions'!F1838+"n/&gt;!%Gn"</f>
        <v>#VALUE!</v>
      </c>
      <c r="BE74" t="e">
        <f>'All regions'!G1838+"n/&gt;!%Go"</f>
        <v>#VALUE!</v>
      </c>
      <c r="BF74" t="e">
        <f>'All regions'!H1838+"n/&gt;!%Gp"</f>
        <v>#VALUE!</v>
      </c>
      <c r="BG74" t="e">
        <f>'All regions'!I1838+"n/&gt;!%Gq"</f>
        <v>#VALUE!</v>
      </c>
      <c r="BH74" t="e">
        <f>'All regions'!J1838+"n/&gt;!%Gr"</f>
        <v>#VALUE!</v>
      </c>
      <c r="BI74" t="e">
        <f>'All regions'!A1839+"n/&gt;!%Gs"</f>
        <v>#VALUE!</v>
      </c>
      <c r="BJ74" t="e">
        <f>'All regions'!B1839+"n/&gt;!%Gt"</f>
        <v>#VALUE!</v>
      </c>
      <c r="BK74" t="e">
        <f>'All regions'!C1839+"n/&gt;!%Gu"</f>
        <v>#VALUE!</v>
      </c>
      <c r="BL74" t="e">
        <f>'All regions'!D1839+"n/&gt;!%Gv"</f>
        <v>#VALUE!</v>
      </c>
      <c r="BM74" t="e">
        <f>'All regions'!E1839+"n/&gt;!%Gw"</f>
        <v>#VALUE!</v>
      </c>
      <c r="BN74" t="e">
        <f>'All regions'!F1839+"n/&gt;!%Gx"</f>
        <v>#VALUE!</v>
      </c>
      <c r="BO74" t="e">
        <f>'All regions'!G1839+"n/&gt;!%Gy"</f>
        <v>#VALUE!</v>
      </c>
      <c r="BP74" t="e">
        <f>'All regions'!H1839+"n/&gt;!%Gz"</f>
        <v>#VALUE!</v>
      </c>
      <c r="BQ74" t="e">
        <f>'All regions'!I1839+"n/&gt;!%G{"</f>
        <v>#VALUE!</v>
      </c>
      <c r="BR74" t="e">
        <f>'All regions'!J1839+"n/&gt;!%G|"</f>
        <v>#VALUE!</v>
      </c>
      <c r="BS74" t="e">
        <f>'All regions'!A1840+"n/&gt;!%G}"</f>
        <v>#VALUE!</v>
      </c>
      <c r="BT74" t="e">
        <f>'All regions'!B1840+"n/&gt;!%G~"</f>
        <v>#VALUE!</v>
      </c>
      <c r="BU74" t="e">
        <f>'All regions'!C1840+"n/&gt;!%H#"</f>
        <v>#VALUE!</v>
      </c>
      <c r="BV74" t="e">
        <f>'All regions'!D1840+"n/&gt;!%H$"</f>
        <v>#VALUE!</v>
      </c>
      <c r="BW74" t="e">
        <f>'All regions'!E1840+"n/&gt;!%H%"</f>
        <v>#VALUE!</v>
      </c>
      <c r="BX74" t="e">
        <f>'All regions'!F1840+"n/&gt;!%H&amp;"</f>
        <v>#VALUE!</v>
      </c>
      <c r="BY74" t="e">
        <f>'All regions'!G1840+"n/&gt;!%H'"</f>
        <v>#VALUE!</v>
      </c>
      <c r="BZ74" t="e">
        <f>'All regions'!H1840+"n/&gt;!%H("</f>
        <v>#VALUE!</v>
      </c>
      <c r="CA74" t="e">
        <f>'All regions'!I1840+"n/&gt;!%H)"</f>
        <v>#VALUE!</v>
      </c>
      <c r="CB74" t="e">
        <f>'All regions'!J1840+"n/&gt;!%H."</f>
        <v>#VALUE!</v>
      </c>
      <c r="CC74" t="e">
        <f>'All regions'!A1841+"n/&gt;!%H/"</f>
        <v>#VALUE!</v>
      </c>
      <c r="CD74" t="e">
        <f>'All regions'!B1841+"n/&gt;!%H0"</f>
        <v>#VALUE!</v>
      </c>
      <c r="CE74" t="e">
        <f>'All regions'!C1841+"n/&gt;!%H1"</f>
        <v>#VALUE!</v>
      </c>
      <c r="CF74" t="e">
        <f>'All regions'!D1841+"n/&gt;!%H2"</f>
        <v>#VALUE!</v>
      </c>
      <c r="CG74" t="e">
        <f>'All regions'!E1841+"n/&gt;!%H3"</f>
        <v>#VALUE!</v>
      </c>
      <c r="CH74" t="e">
        <f>'All regions'!F1841+"n/&gt;!%H4"</f>
        <v>#VALUE!</v>
      </c>
      <c r="CI74" t="e">
        <f>'All regions'!G1841+"n/&gt;!%H5"</f>
        <v>#VALUE!</v>
      </c>
      <c r="CJ74" t="e">
        <f>'All regions'!H1841+"n/&gt;!%H6"</f>
        <v>#VALUE!</v>
      </c>
      <c r="CK74" t="e">
        <f>'All regions'!I1841+"n/&gt;!%H7"</f>
        <v>#VALUE!</v>
      </c>
      <c r="CL74" t="e">
        <f>'All regions'!J1841+"n/&gt;!%H8"</f>
        <v>#VALUE!</v>
      </c>
      <c r="CM74" t="e">
        <f>'All regions'!A1842+"n/&gt;!%H9"</f>
        <v>#VALUE!</v>
      </c>
      <c r="CN74" t="e">
        <f>'All regions'!B1842+"n/&gt;!%H:"</f>
        <v>#VALUE!</v>
      </c>
      <c r="CO74" t="e">
        <f>'All regions'!C1842+"n/&gt;!%H;"</f>
        <v>#VALUE!</v>
      </c>
      <c r="CP74" t="e">
        <f>'All regions'!D1842+"n/&gt;!%H&lt;"</f>
        <v>#VALUE!</v>
      </c>
      <c r="CQ74" t="e">
        <f>'All regions'!E1842+"n/&gt;!%H="</f>
        <v>#VALUE!</v>
      </c>
      <c r="CR74" t="e">
        <f>'All regions'!F1842+"n/&gt;!%H&gt;"</f>
        <v>#VALUE!</v>
      </c>
      <c r="CS74" t="e">
        <f>'All regions'!G1842+"n/&gt;!%H?"</f>
        <v>#VALUE!</v>
      </c>
      <c r="CT74" t="e">
        <f>'All regions'!H1842+"n/&gt;!%H@"</f>
        <v>#VALUE!</v>
      </c>
      <c r="CU74" t="e">
        <f>'All regions'!I1842+"n/&gt;!%HA"</f>
        <v>#VALUE!</v>
      </c>
      <c r="CV74" t="e">
        <f>'All regions'!J1842+"n/&gt;!%HB"</f>
        <v>#VALUE!</v>
      </c>
      <c r="CW74" t="e">
        <f>'All regions'!A1843+"n/&gt;!%HC"</f>
        <v>#VALUE!</v>
      </c>
      <c r="CX74" t="e">
        <f>'All regions'!B1843+"n/&gt;!%HD"</f>
        <v>#VALUE!</v>
      </c>
      <c r="CY74" t="e">
        <f>'All regions'!C1843+"n/&gt;!%HE"</f>
        <v>#VALUE!</v>
      </c>
      <c r="CZ74" t="e">
        <f>'All regions'!D1843+"n/&gt;!%HF"</f>
        <v>#VALUE!</v>
      </c>
      <c r="DA74" t="e">
        <f>'All regions'!E1843+"n/&gt;!%HG"</f>
        <v>#VALUE!</v>
      </c>
      <c r="DB74" t="e">
        <f>'All regions'!F1843+"n/&gt;!%HH"</f>
        <v>#VALUE!</v>
      </c>
      <c r="DC74" t="e">
        <f>'All regions'!G1843+"n/&gt;!%HI"</f>
        <v>#VALUE!</v>
      </c>
      <c r="DD74" t="e">
        <f>'All regions'!H1843+"n/&gt;!%HJ"</f>
        <v>#VALUE!</v>
      </c>
      <c r="DE74" t="e">
        <f>'All regions'!I1843+"n/&gt;!%HK"</f>
        <v>#VALUE!</v>
      </c>
      <c r="DF74" t="e">
        <f>'All regions'!J1843+"n/&gt;!%HL"</f>
        <v>#VALUE!</v>
      </c>
      <c r="DG74" t="e">
        <f>'All regions'!A1844+"n/&gt;!%HM"</f>
        <v>#VALUE!</v>
      </c>
      <c r="DH74" t="e">
        <f>'All regions'!B1844+"n/&gt;!%HN"</f>
        <v>#VALUE!</v>
      </c>
      <c r="DI74" t="e">
        <f>'All regions'!C1844+"n/&gt;!%HO"</f>
        <v>#VALUE!</v>
      </c>
      <c r="DJ74" t="e">
        <f>'All regions'!D1844+"n/&gt;!%HP"</f>
        <v>#VALUE!</v>
      </c>
      <c r="DK74" t="e">
        <f>'All regions'!E1844+"n/&gt;!%HQ"</f>
        <v>#VALUE!</v>
      </c>
      <c r="DL74" t="e">
        <f>'All regions'!F1844+"n/&gt;!%HR"</f>
        <v>#VALUE!</v>
      </c>
      <c r="DM74" t="e">
        <f>'All regions'!G1844+"n/&gt;!%HS"</f>
        <v>#VALUE!</v>
      </c>
      <c r="DN74" t="e">
        <f>'All regions'!H1844+"n/&gt;!%HT"</f>
        <v>#VALUE!</v>
      </c>
      <c r="DO74" t="e">
        <f>'All regions'!I1844+"n/&gt;!%HU"</f>
        <v>#VALUE!</v>
      </c>
      <c r="DP74" t="e">
        <f>'All regions'!J1844+"n/&gt;!%HV"</f>
        <v>#VALUE!</v>
      </c>
      <c r="DQ74" t="e">
        <f>'All regions'!A1845+"n/&gt;!%HW"</f>
        <v>#VALUE!</v>
      </c>
      <c r="DR74" t="e">
        <f>'All regions'!B1845+"n/&gt;!%HX"</f>
        <v>#VALUE!</v>
      </c>
      <c r="DS74" t="e">
        <f>'All regions'!C1845+"n/&gt;!%HY"</f>
        <v>#VALUE!</v>
      </c>
      <c r="DT74" t="e">
        <f>'All regions'!D1845+"n/&gt;!%HZ"</f>
        <v>#VALUE!</v>
      </c>
      <c r="DU74" t="e">
        <f>'All regions'!E1845+"n/&gt;!%H["</f>
        <v>#VALUE!</v>
      </c>
      <c r="DV74" t="e">
        <f>'All regions'!F1845+"n/&gt;!%H\"</f>
        <v>#VALUE!</v>
      </c>
      <c r="DW74" t="e">
        <f>'All regions'!G1845+"n/&gt;!%H]"</f>
        <v>#VALUE!</v>
      </c>
      <c r="DX74" t="e">
        <f>'All regions'!H1845+"n/&gt;!%H^"</f>
        <v>#VALUE!</v>
      </c>
      <c r="DY74" t="e">
        <f>'All regions'!I1845+"n/&gt;!%H_"</f>
        <v>#VALUE!</v>
      </c>
      <c r="DZ74" t="e">
        <f>'All regions'!J1845+"n/&gt;!%H`"</f>
        <v>#VALUE!</v>
      </c>
      <c r="EA74" t="e">
        <f>'All regions'!A1846+"n/&gt;!%Ha"</f>
        <v>#VALUE!</v>
      </c>
      <c r="EB74" t="e">
        <f>'All regions'!B1846+"n/&gt;!%Hb"</f>
        <v>#VALUE!</v>
      </c>
      <c r="EC74" t="e">
        <f>'All regions'!C1846+"n/&gt;!%Hc"</f>
        <v>#VALUE!</v>
      </c>
      <c r="ED74" t="e">
        <f>'All regions'!D1846+"n/&gt;!%Hd"</f>
        <v>#VALUE!</v>
      </c>
      <c r="EE74" t="e">
        <f>'All regions'!E1846+"n/&gt;!%He"</f>
        <v>#VALUE!</v>
      </c>
      <c r="EF74" t="e">
        <f>'All regions'!F1846+"n/&gt;!%Hf"</f>
        <v>#VALUE!</v>
      </c>
      <c r="EG74" t="e">
        <f>'All regions'!G1846+"n/&gt;!%Hg"</f>
        <v>#VALUE!</v>
      </c>
      <c r="EH74" t="e">
        <f>'All regions'!H1846+"n/&gt;!%Hh"</f>
        <v>#VALUE!</v>
      </c>
      <c r="EI74" t="e">
        <f>'All regions'!I1846+"n/&gt;!%Hi"</f>
        <v>#VALUE!</v>
      </c>
      <c r="EJ74" t="e">
        <f>'All regions'!J1846+"n/&gt;!%Hj"</f>
        <v>#VALUE!</v>
      </c>
      <c r="EK74" t="e">
        <f>'All regions'!A1847+"n/&gt;!%Hk"</f>
        <v>#VALUE!</v>
      </c>
      <c r="EL74" t="e">
        <f>'All regions'!B1847+"n/&gt;!%Hl"</f>
        <v>#VALUE!</v>
      </c>
      <c r="EM74" t="e">
        <f>'All regions'!C1847+"n/&gt;!%Hm"</f>
        <v>#VALUE!</v>
      </c>
      <c r="EN74" t="e">
        <f>'All regions'!D1847+"n/&gt;!%Hn"</f>
        <v>#VALUE!</v>
      </c>
      <c r="EO74" t="e">
        <f>'All regions'!E1847+"n/&gt;!%Ho"</f>
        <v>#VALUE!</v>
      </c>
      <c r="EP74" t="e">
        <f>'All regions'!F1847+"n/&gt;!%Hp"</f>
        <v>#VALUE!</v>
      </c>
      <c r="EQ74" t="e">
        <f>'All regions'!G1847+"n/&gt;!%Hq"</f>
        <v>#VALUE!</v>
      </c>
      <c r="ER74" t="e">
        <f>'All regions'!H1847+"n/&gt;!%Hr"</f>
        <v>#VALUE!</v>
      </c>
      <c r="ES74" t="e">
        <f>'All regions'!I1847+"n/&gt;!%Hs"</f>
        <v>#VALUE!</v>
      </c>
      <c r="ET74" t="e">
        <f>'All regions'!J1847+"n/&gt;!%Ht"</f>
        <v>#VALUE!</v>
      </c>
      <c r="EU74" t="e">
        <f>'All regions'!A1848+"n/&gt;!%Hu"</f>
        <v>#VALUE!</v>
      </c>
      <c r="EV74" t="e">
        <f>'All regions'!B1848+"n/&gt;!%Hv"</f>
        <v>#VALUE!</v>
      </c>
      <c r="EW74" t="e">
        <f>'All regions'!C1848+"n/&gt;!%Hw"</f>
        <v>#VALUE!</v>
      </c>
      <c r="EX74" t="e">
        <f>'All regions'!D1848+"n/&gt;!%Hx"</f>
        <v>#VALUE!</v>
      </c>
      <c r="EY74" t="e">
        <f>'All regions'!E1848+"n/&gt;!%Hy"</f>
        <v>#VALUE!</v>
      </c>
      <c r="EZ74" t="e">
        <f>'All regions'!F1848+"n/&gt;!%Hz"</f>
        <v>#VALUE!</v>
      </c>
      <c r="FA74" t="e">
        <f>'All regions'!G1848+"n/&gt;!%H{"</f>
        <v>#VALUE!</v>
      </c>
      <c r="FB74" t="e">
        <f>'All regions'!H1848+"n/&gt;!%H|"</f>
        <v>#VALUE!</v>
      </c>
      <c r="FC74" t="e">
        <f>'All regions'!I1848+"n/&gt;!%H}"</f>
        <v>#VALUE!</v>
      </c>
      <c r="FD74" t="e">
        <f>'All regions'!J1848+"n/&gt;!%H~"</f>
        <v>#VALUE!</v>
      </c>
      <c r="FE74" t="e">
        <f>'All regions'!A1849+"n/&gt;!%I#"</f>
        <v>#VALUE!</v>
      </c>
      <c r="FF74" t="e">
        <f>'All regions'!B1849+"n/&gt;!%I$"</f>
        <v>#VALUE!</v>
      </c>
      <c r="FG74" t="e">
        <f>'All regions'!C1849+"n/&gt;!%I%"</f>
        <v>#VALUE!</v>
      </c>
      <c r="FH74" t="e">
        <f>'All regions'!D1849+"n/&gt;!%I&amp;"</f>
        <v>#VALUE!</v>
      </c>
      <c r="FI74" t="e">
        <f>'All regions'!E1849+"n/&gt;!%I'"</f>
        <v>#VALUE!</v>
      </c>
      <c r="FJ74" t="e">
        <f>'All regions'!F1849+"n/&gt;!%I("</f>
        <v>#VALUE!</v>
      </c>
      <c r="FK74" t="e">
        <f>'All regions'!G1849+"n/&gt;!%I)"</f>
        <v>#VALUE!</v>
      </c>
      <c r="FL74" t="e">
        <f>'All regions'!H1849+"n/&gt;!%I."</f>
        <v>#VALUE!</v>
      </c>
      <c r="FM74" t="e">
        <f>'All regions'!I1849+"n/&gt;!%I/"</f>
        <v>#VALUE!</v>
      </c>
      <c r="FN74" t="e">
        <f>'All regions'!J1849+"n/&gt;!%I0"</f>
        <v>#VALUE!</v>
      </c>
      <c r="FO74" t="e">
        <f>'All regions'!A1850+"n/&gt;!%I1"</f>
        <v>#VALUE!</v>
      </c>
      <c r="FP74" t="e">
        <f>'All regions'!B1850+"n/&gt;!%I2"</f>
        <v>#VALUE!</v>
      </c>
      <c r="FQ74" t="e">
        <f>'All regions'!C1850+"n/&gt;!%I3"</f>
        <v>#VALUE!</v>
      </c>
      <c r="FR74" t="e">
        <f>'All regions'!D1850+"n/&gt;!%I4"</f>
        <v>#VALUE!</v>
      </c>
      <c r="FS74" t="e">
        <f>'All regions'!E1850+"n/&gt;!%I5"</f>
        <v>#VALUE!</v>
      </c>
      <c r="FT74" t="e">
        <f>'All regions'!F1850+"n/&gt;!%I6"</f>
        <v>#VALUE!</v>
      </c>
      <c r="FU74" t="e">
        <f>'All regions'!G1850+"n/&gt;!%I7"</f>
        <v>#VALUE!</v>
      </c>
      <c r="FV74" t="e">
        <f>'All regions'!H1850+"n/&gt;!%I8"</f>
        <v>#VALUE!</v>
      </c>
      <c r="FW74" t="e">
        <f>'All regions'!I1850+"n/&gt;!%I9"</f>
        <v>#VALUE!</v>
      </c>
      <c r="FX74" t="e">
        <f>'All regions'!J1850+"n/&gt;!%I:"</f>
        <v>#VALUE!</v>
      </c>
      <c r="FY74" t="e">
        <f>'All regions'!A1851+"n/&gt;!%I;"</f>
        <v>#VALUE!</v>
      </c>
      <c r="FZ74" t="e">
        <f>'All regions'!B1851+"n/&gt;!%I&lt;"</f>
        <v>#VALUE!</v>
      </c>
      <c r="GA74" t="e">
        <f>'All regions'!C1851+"n/&gt;!%I="</f>
        <v>#VALUE!</v>
      </c>
      <c r="GB74" t="e">
        <f>'All regions'!D1851+"n/&gt;!%I&gt;"</f>
        <v>#VALUE!</v>
      </c>
      <c r="GC74" t="e">
        <f>'All regions'!E1851+"n/&gt;!%I?"</f>
        <v>#VALUE!</v>
      </c>
      <c r="GD74" t="e">
        <f>'All regions'!F1851+"n/&gt;!%I@"</f>
        <v>#VALUE!</v>
      </c>
      <c r="GE74" t="e">
        <f>'All regions'!G1851+"n/&gt;!%IA"</f>
        <v>#VALUE!</v>
      </c>
      <c r="GF74" t="e">
        <f>'All regions'!H1851+"n/&gt;!%IB"</f>
        <v>#VALUE!</v>
      </c>
      <c r="GG74" t="e">
        <f>'All regions'!I1851+"n/&gt;!%IC"</f>
        <v>#VALUE!</v>
      </c>
      <c r="GH74" t="e">
        <f>'All regions'!J1851+"n/&gt;!%ID"</f>
        <v>#VALUE!</v>
      </c>
      <c r="GI74" t="e">
        <f>'All regions'!A1852+"n/&gt;!%IE"</f>
        <v>#VALUE!</v>
      </c>
      <c r="GJ74" t="e">
        <f>'All regions'!B1852+"n/&gt;!%IF"</f>
        <v>#VALUE!</v>
      </c>
      <c r="GK74" t="e">
        <f>'All regions'!C1852+"n/&gt;!%IG"</f>
        <v>#VALUE!</v>
      </c>
      <c r="GL74" t="e">
        <f>'All regions'!D1852+"n/&gt;!%IH"</f>
        <v>#VALUE!</v>
      </c>
      <c r="GM74" t="e">
        <f>'All regions'!E1852+"n/&gt;!%II"</f>
        <v>#VALUE!</v>
      </c>
      <c r="GN74" t="e">
        <f>'All regions'!F1852+"n/&gt;!%IJ"</f>
        <v>#VALUE!</v>
      </c>
      <c r="GO74" t="e">
        <f>'All regions'!G1852+"n/&gt;!%IK"</f>
        <v>#VALUE!</v>
      </c>
      <c r="GP74" t="e">
        <f>'All regions'!H1852+"n/&gt;!%IL"</f>
        <v>#VALUE!</v>
      </c>
      <c r="GQ74" t="e">
        <f>'All regions'!I1852+"n/&gt;!%IM"</f>
        <v>#VALUE!</v>
      </c>
      <c r="GR74" t="e">
        <f>'All regions'!J1852+"n/&gt;!%IN"</f>
        <v>#VALUE!</v>
      </c>
      <c r="GS74" t="e">
        <f>'All regions'!A1853+"n/&gt;!%IO"</f>
        <v>#VALUE!</v>
      </c>
      <c r="GT74" t="e">
        <f>'All regions'!B1853+"n/&gt;!%IP"</f>
        <v>#VALUE!</v>
      </c>
      <c r="GU74" t="e">
        <f>'All regions'!C1853+"n/&gt;!%IQ"</f>
        <v>#VALUE!</v>
      </c>
      <c r="GV74" t="e">
        <f>'All regions'!D1853+"n/&gt;!%IR"</f>
        <v>#VALUE!</v>
      </c>
      <c r="GW74" t="e">
        <f>'All regions'!E1853+"n/&gt;!%IS"</f>
        <v>#VALUE!</v>
      </c>
      <c r="GX74" t="e">
        <f>'All regions'!F1853+"n/&gt;!%IT"</f>
        <v>#VALUE!</v>
      </c>
      <c r="GY74" t="e">
        <f>'All regions'!G1853+"n/&gt;!%IU"</f>
        <v>#VALUE!</v>
      </c>
      <c r="GZ74" t="e">
        <f>'All regions'!H1853+"n/&gt;!%IV"</f>
        <v>#VALUE!</v>
      </c>
      <c r="HA74" t="e">
        <f>'All regions'!I1853+"n/&gt;!%IW"</f>
        <v>#VALUE!</v>
      </c>
      <c r="HB74" t="e">
        <f>'All regions'!J1853+"n/&gt;!%IX"</f>
        <v>#VALUE!</v>
      </c>
      <c r="HC74" t="e">
        <f>'All regions'!A1854+"n/&gt;!%IY"</f>
        <v>#VALUE!</v>
      </c>
      <c r="HD74" t="e">
        <f>'All regions'!B1854+"n/&gt;!%IZ"</f>
        <v>#VALUE!</v>
      </c>
      <c r="HE74" t="e">
        <f>'All regions'!C1854+"n/&gt;!%I["</f>
        <v>#VALUE!</v>
      </c>
      <c r="HF74" t="e">
        <f>'All regions'!D1854+"n/&gt;!%I\"</f>
        <v>#VALUE!</v>
      </c>
      <c r="HG74" t="e">
        <f>'All regions'!E1854+"n/&gt;!%I]"</f>
        <v>#VALUE!</v>
      </c>
      <c r="HH74" t="e">
        <f>'All regions'!F1854+"n/&gt;!%I^"</f>
        <v>#VALUE!</v>
      </c>
      <c r="HI74" t="e">
        <f>'All regions'!G1854+"n/&gt;!%I_"</f>
        <v>#VALUE!</v>
      </c>
      <c r="HJ74" t="e">
        <f>'All regions'!H1854+"n/&gt;!%I`"</f>
        <v>#VALUE!</v>
      </c>
      <c r="HK74" t="e">
        <f>'All regions'!I1854+"n/&gt;!%Ia"</f>
        <v>#VALUE!</v>
      </c>
      <c r="HL74" t="e">
        <f>'All regions'!J1854+"n/&gt;!%Ib"</f>
        <v>#VALUE!</v>
      </c>
      <c r="HM74" t="e">
        <f>'All regions'!A1855+"n/&gt;!%Ic"</f>
        <v>#VALUE!</v>
      </c>
      <c r="HN74" t="e">
        <f>'All regions'!B1855+"n/&gt;!%Id"</f>
        <v>#VALUE!</v>
      </c>
      <c r="HO74" t="e">
        <f>'All regions'!C1855+"n/&gt;!%Ie"</f>
        <v>#VALUE!</v>
      </c>
      <c r="HP74" t="e">
        <f>'All regions'!D1855+"n/&gt;!%If"</f>
        <v>#VALUE!</v>
      </c>
      <c r="HQ74" t="e">
        <f>'All regions'!E1855+"n/&gt;!%Ig"</f>
        <v>#VALUE!</v>
      </c>
      <c r="HR74" t="e">
        <f>'All regions'!F1855+"n/&gt;!%Ih"</f>
        <v>#VALUE!</v>
      </c>
      <c r="HS74" t="e">
        <f>'All regions'!G1855+"n/&gt;!%Ii"</f>
        <v>#VALUE!</v>
      </c>
      <c r="HT74" t="e">
        <f>'All regions'!H1855+"n/&gt;!%Ij"</f>
        <v>#VALUE!</v>
      </c>
      <c r="HU74" t="e">
        <f>'All regions'!I1855+"n/&gt;!%Ik"</f>
        <v>#VALUE!</v>
      </c>
      <c r="HV74" t="e">
        <f>'All regions'!J1855+"n/&gt;!%Il"</f>
        <v>#VALUE!</v>
      </c>
      <c r="HW74" t="e">
        <f>'All regions'!A1856+"n/&gt;!%Im"</f>
        <v>#VALUE!</v>
      </c>
      <c r="HX74" t="e">
        <f>'All regions'!B1856+"n/&gt;!%In"</f>
        <v>#VALUE!</v>
      </c>
      <c r="HY74" t="e">
        <f>'All regions'!C1856+"n/&gt;!%Io"</f>
        <v>#VALUE!</v>
      </c>
      <c r="HZ74" t="e">
        <f>'All regions'!D1856+"n/&gt;!%Ip"</f>
        <v>#VALUE!</v>
      </c>
      <c r="IA74" t="e">
        <f>'All regions'!E1856+"n/&gt;!%Iq"</f>
        <v>#VALUE!</v>
      </c>
      <c r="IB74" t="e">
        <f>'All regions'!F1856+"n/&gt;!%Ir"</f>
        <v>#VALUE!</v>
      </c>
      <c r="IC74" t="e">
        <f>'All regions'!G1856+"n/&gt;!%Is"</f>
        <v>#VALUE!</v>
      </c>
      <c r="ID74" t="e">
        <f>'All regions'!H1856+"n/&gt;!%It"</f>
        <v>#VALUE!</v>
      </c>
      <c r="IE74" t="e">
        <f>'All regions'!I1856+"n/&gt;!%Iu"</f>
        <v>#VALUE!</v>
      </c>
      <c r="IF74" t="e">
        <f>'All regions'!J1856+"n/&gt;!%Iv"</f>
        <v>#VALUE!</v>
      </c>
      <c r="IG74" t="e">
        <f>'All regions'!A1857+"n/&gt;!%Iw"</f>
        <v>#VALUE!</v>
      </c>
      <c r="IH74" t="e">
        <f>'All regions'!B1857+"n/&gt;!%Ix"</f>
        <v>#VALUE!</v>
      </c>
      <c r="II74" t="e">
        <f>'All regions'!C1857+"n/&gt;!%Iy"</f>
        <v>#VALUE!</v>
      </c>
      <c r="IJ74" t="e">
        <f>'All regions'!D1857+"n/&gt;!%Iz"</f>
        <v>#VALUE!</v>
      </c>
      <c r="IK74" t="e">
        <f>'All regions'!E1857+"n/&gt;!%I{"</f>
        <v>#VALUE!</v>
      </c>
      <c r="IL74" t="e">
        <f>'All regions'!F1857+"n/&gt;!%I|"</f>
        <v>#VALUE!</v>
      </c>
      <c r="IM74" t="e">
        <f>'All regions'!G1857+"n/&gt;!%I}"</f>
        <v>#VALUE!</v>
      </c>
      <c r="IN74" t="e">
        <f>'All regions'!H1857+"n/&gt;!%I~"</f>
        <v>#VALUE!</v>
      </c>
      <c r="IO74" t="e">
        <f>'All regions'!I1857+"n/&gt;!%J#"</f>
        <v>#VALUE!</v>
      </c>
      <c r="IP74" t="e">
        <f>'All regions'!J1857+"n/&gt;!%J$"</f>
        <v>#VALUE!</v>
      </c>
      <c r="IQ74" t="e">
        <f>'All regions'!A1858+"n/&gt;!%J%"</f>
        <v>#VALUE!</v>
      </c>
      <c r="IR74" t="e">
        <f>'All regions'!B1858+"n/&gt;!%J&amp;"</f>
        <v>#VALUE!</v>
      </c>
      <c r="IS74" t="e">
        <f>'All regions'!C1858+"n/&gt;!%J'"</f>
        <v>#VALUE!</v>
      </c>
      <c r="IT74" t="e">
        <f>'All regions'!D1858+"n/&gt;!%J("</f>
        <v>#VALUE!</v>
      </c>
      <c r="IU74" t="e">
        <f>'All regions'!E1858+"n/&gt;!%J)"</f>
        <v>#VALUE!</v>
      </c>
      <c r="IV74" t="e">
        <f>'All regions'!F1858+"n/&gt;!%J."</f>
        <v>#VALUE!</v>
      </c>
    </row>
    <row r="75" spans="6:256" x14ac:dyDescent="0.35">
      <c r="F75" t="e">
        <f>'All regions'!G1858+"n/&gt;!%J/"</f>
        <v>#VALUE!</v>
      </c>
      <c r="G75" t="e">
        <f>'All regions'!H1858+"n/&gt;!%J0"</f>
        <v>#VALUE!</v>
      </c>
      <c r="H75" t="e">
        <f>'All regions'!I1858+"n/&gt;!%J1"</f>
        <v>#VALUE!</v>
      </c>
      <c r="I75" t="e">
        <f>'All regions'!J1858+"n/&gt;!%J2"</f>
        <v>#VALUE!</v>
      </c>
      <c r="J75" t="e">
        <f>'All regions'!A1859+"n/&gt;!%J3"</f>
        <v>#VALUE!</v>
      </c>
      <c r="K75" t="e">
        <f>'All regions'!B1859+"n/&gt;!%J4"</f>
        <v>#VALUE!</v>
      </c>
      <c r="L75" t="e">
        <f>'All regions'!C1859+"n/&gt;!%J5"</f>
        <v>#VALUE!</v>
      </c>
      <c r="M75" t="e">
        <f>'All regions'!D1859+"n/&gt;!%J6"</f>
        <v>#VALUE!</v>
      </c>
      <c r="N75" t="e">
        <f>'All regions'!E1859+"n/&gt;!%J7"</f>
        <v>#VALUE!</v>
      </c>
      <c r="O75" t="e">
        <f>'All regions'!F1859+"n/&gt;!%J8"</f>
        <v>#VALUE!</v>
      </c>
      <c r="P75" t="e">
        <f>'All regions'!G1859+"n/&gt;!%J9"</f>
        <v>#VALUE!</v>
      </c>
      <c r="Q75" t="e">
        <f>'All regions'!H1859+"n/&gt;!%J:"</f>
        <v>#VALUE!</v>
      </c>
      <c r="R75" t="e">
        <f>'All regions'!I1859+"n/&gt;!%J;"</f>
        <v>#VALUE!</v>
      </c>
      <c r="S75" t="e">
        <f>'All regions'!J1859+"n/&gt;!%J&lt;"</f>
        <v>#VALUE!</v>
      </c>
      <c r="T75" t="e">
        <f>'All regions'!A1860+"n/&gt;!%J="</f>
        <v>#VALUE!</v>
      </c>
      <c r="U75" t="e">
        <f>'All regions'!B1860+"n/&gt;!%J&gt;"</f>
        <v>#VALUE!</v>
      </c>
      <c r="V75" t="e">
        <f>'All regions'!C1860+"n/&gt;!%J?"</f>
        <v>#VALUE!</v>
      </c>
      <c r="W75" t="e">
        <f>'All regions'!D1860+"n/&gt;!%J@"</f>
        <v>#VALUE!</v>
      </c>
      <c r="X75" t="e">
        <f>'All regions'!E1860+"n/&gt;!%JA"</f>
        <v>#VALUE!</v>
      </c>
      <c r="Y75" t="e">
        <f>'All regions'!F1860+"n/&gt;!%JB"</f>
        <v>#VALUE!</v>
      </c>
      <c r="Z75" t="e">
        <f>'All regions'!G1860+"n/&gt;!%JC"</f>
        <v>#VALUE!</v>
      </c>
      <c r="AA75" t="e">
        <f>'All regions'!H1860+"n/&gt;!%JD"</f>
        <v>#VALUE!</v>
      </c>
      <c r="AB75" t="e">
        <f>'All regions'!I1860+"n/&gt;!%JE"</f>
        <v>#VALUE!</v>
      </c>
      <c r="AC75" t="e">
        <f>'All regions'!J1860+"n/&gt;!%JF"</f>
        <v>#VALUE!</v>
      </c>
      <c r="AD75" t="e">
        <f>'All regions'!A1861+"n/&gt;!%JG"</f>
        <v>#VALUE!</v>
      </c>
      <c r="AE75" t="e">
        <f>'All regions'!B1861+"n/&gt;!%JH"</f>
        <v>#VALUE!</v>
      </c>
      <c r="AF75" t="e">
        <f>'All regions'!C1861+"n/&gt;!%JI"</f>
        <v>#VALUE!</v>
      </c>
      <c r="AG75" t="e">
        <f>'All regions'!D1861+"n/&gt;!%JJ"</f>
        <v>#VALUE!</v>
      </c>
      <c r="AH75" t="e">
        <f>'All regions'!E1861+"n/&gt;!%JK"</f>
        <v>#VALUE!</v>
      </c>
      <c r="AI75" t="e">
        <f>'All regions'!F1861+"n/&gt;!%JL"</f>
        <v>#VALUE!</v>
      </c>
      <c r="AJ75" t="e">
        <f>'All regions'!G1861+"n/&gt;!%JM"</f>
        <v>#VALUE!</v>
      </c>
      <c r="AK75" t="e">
        <f>'All regions'!H1861+"n/&gt;!%JN"</f>
        <v>#VALUE!</v>
      </c>
      <c r="AL75" t="e">
        <f>'All regions'!I1861+"n/&gt;!%JO"</f>
        <v>#VALUE!</v>
      </c>
      <c r="AM75" t="e">
        <f>'All regions'!J1861+"n/&gt;!%JP"</f>
        <v>#VALUE!</v>
      </c>
      <c r="AN75" t="e">
        <f>'All regions'!A1862+"n/&gt;!%JQ"</f>
        <v>#VALUE!</v>
      </c>
      <c r="AO75" t="e">
        <f>'All regions'!B1862+"n/&gt;!%JR"</f>
        <v>#VALUE!</v>
      </c>
      <c r="AP75" t="e">
        <f>'All regions'!C1862+"n/&gt;!%JS"</f>
        <v>#VALUE!</v>
      </c>
      <c r="AQ75" t="e">
        <f>'All regions'!D1862+"n/&gt;!%JT"</f>
        <v>#VALUE!</v>
      </c>
      <c r="AR75" t="e">
        <f>'All regions'!E1862+"n/&gt;!%JU"</f>
        <v>#VALUE!</v>
      </c>
      <c r="AS75" t="e">
        <f>'All regions'!F1862+"n/&gt;!%JV"</f>
        <v>#VALUE!</v>
      </c>
      <c r="AT75" t="e">
        <f>'All regions'!G1862+"n/&gt;!%JW"</f>
        <v>#VALUE!</v>
      </c>
      <c r="AU75" t="e">
        <f>'All regions'!H1862+"n/&gt;!%JX"</f>
        <v>#VALUE!</v>
      </c>
      <c r="AV75" t="e">
        <f>'All regions'!I1862+"n/&gt;!%JY"</f>
        <v>#VALUE!</v>
      </c>
      <c r="AW75" t="e">
        <f>'All regions'!J1862+"n/&gt;!%JZ"</f>
        <v>#VALUE!</v>
      </c>
      <c r="AX75" t="e">
        <f>'All regions'!A1863+"n/&gt;!%J["</f>
        <v>#VALUE!</v>
      </c>
      <c r="AY75" t="e">
        <f>'All regions'!B1863+"n/&gt;!%J\"</f>
        <v>#VALUE!</v>
      </c>
      <c r="AZ75" t="e">
        <f>'All regions'!C1863+"n/&gt;!%J]"</f>
        <v>#VALUE!</v>
      </c>
      <c r="BA75" t="e">
        <f>'All regions'!D1863+"n/&gt;!%J^"</f>
        <v>#VALUE!</v>
      </c>
      <c r="BB75" t="e">
        <f>'All regions'!E1863+"n/&gt;!%J_"</f>
        <v>#VALUE!</v>
      </c>
      <c r="BC75" t="e">
        <f>'All regions'!F1863+"n/&gt;!%J`"</f>
        <v>#VALUE!</v>
      </c>
      <c r="BD75" t="e">
        <f>'All regions'!G1863+"n/&gt;!%Ja"</f>
        <v>#VALUE!</v>
      </c>
      <c r="BE75" t="e">
        <f>'All regions'!H1863+"n/&gt;!%Jb"</f>
        <v>#VALUE!</v>
      </c>
      <c r="BF75" t="e">
        <f>'All regions'!I1863+"n/&gt;!%Jc"</f>
        <v>#VALUE!</v>
      </c>
      <c r="BG75" t="e">
        <f>'All regions'!J1863+"n/&gt;!%Jd"</f>
        <v>#VALUE!</v>
      </c>
      <c r="BH75" t="e">
        <f>'All regions'!A1864+"n/&gt;!%Je"</f>
        <v>#VALUE!</v>
      </c>
      <c r="BI75" t="e">
        <f>'All regions'!B1864+"n/&gt;!%Jf"</f>
        <v>#VALUE!</v>
      </c>
      <c r="BJ75" t="e">
        <f>'All regions'!C1864+"n/&gt;!%Jg"</f>
        <v>#VALUE!</v>
      </c>
      <c r="BK75" t="e">
        <f>'All regions'!D1864+"n/&gt;!%Jh"</f>
        <v>#VALUE!</v>
      </c>
      <c r="BL75" t="e">
        <f>'All regions'!E1864+"n/&gt;!%Ji"</f>
        <v>#VALUE!</v>
      </c>
      <c r="BM75" t="e">
        <f>'All regions'!F1864+"n/&gt;!%Jj"</f>
        <v>#VALUE!</v>
      </c>
      <c r="BN75" t="e">
        <f>'All regions'!G1864+"n/&gt;!%Jk"</f>
        <v>#VALUE!</v>
      </c>
      <c r="BO75" t="e">
        <f>'All regions'!H1864+"n/&gt;!%Jl"</f>
        <v>#VALUE!</v>
      </c>
      <c r="BP75" t="e">
        <f>'All regions'!I1864+"n/&gt;!%Jm"</f>
        <v>#VALUE!</v>
      </c>
      <c r="BQ75" t="e">
        <f>'All regions'!J1864+"n/&gt;!%Jn"</f>
        <v>#VALUE!</v>
      </c>
      <c r="BR75" t="e">
        <f>'All regions'!A1865+"n/&gt;!%Jo"</f>
        <v>#VALUE!</v>
      </c>
      <c r="BS75" t="e">
        <f>'All regions'!B1865+"n/&gt;!%Jp"</f>
        <v>#VALUE!</v>
      </c>
      <c r="BT75" t="e">
        <f>'All regions'!C1865+"n/&gt;!%Jq"</f>
        <v>#VALUE!</v>
      </c>
      <c r="BU75" t="e">
        <f>'All regions'!D1865+"n/&gt;!%Jr"</f>
        <v>#VALUE!</v>
      </c>
      <c r="BV75" t="e">
        <f>'All regions'!E1865+"n/&gt;!%Js"</f>
        <v>#VALUE!</v>
      </c>
      <c r="BW75" t="e">
        <f>'All regions'!F1865+"n/&gt;!%Jt"</f>
        <v>#VALUE!</v>
      </c>
      <c r="BX75" t="e">
        <f>'All regions'!G1865+"n/&gt;!%Ju"</f>
        <v>#VALUE!</v>
      </c>
      <c r="BY75" t="e">
        <f>'All regions'!H1865+"n/&gt;!%Jv"</f>
        <v>#VALUE!</v>
      </c>
      <c r="BZ75" t="e">
        <f>'All regions'!I1865+"n/&gt;!%Jw"</f>
        <v>#VALUE!</v>
      </c>
      <c r="CA75" t="e">
        <f>'All regions'!J1865+"n/&gt;!%Jx"</f>
        <v>#VALUE!</v>
      </c>
      <c r="CB75" t="e">
        <f>'All regions'!A1866+"n/&gt;!%Jy"</f>
        <v>#VALUE!</v>
      </c>
      <c r="CC75" t="e">
        <f>'All regions'!B1866+"n/&gt;!%Jz"</f>
        <v>#VALUE!</v>
      </c>
      <c r="CD75" t="e">
        <f>'All regions'!C1866+"n/&gt;!%J{"</f>
        <v>#VALUE!</v>
      </c>
      <c r="CE75" t="e">
        <f>'All regions'!D1866+"n/&gt;!%J|"</f>
        <v>#VALUE!</v>
      </c>
      <c r="CF75" t="e">
        <f>'All regions'!E1866+"n/&gt;!%J}"</f>
        <v>#VALUE!</v>
      </c>
      <c r="CG75" t="e">
        <f>'All regions'!F1866+"n/&gt;!%J~"</f>
        <v>#VALUE!</v>
      </c>
      <c r="CH75" t="e">
        <f>'All regions'!G1866+"n/&gt;!%K#"</f>
        <v>#VALUE!</v>
      </c>
      <c r="CI75" t="e">
        <f>'All regions'!H1866+"n/&gt;!%K$"</f>
        <v>#VALUE!</v>
      </c>
      <c r="CJ75" t="e">
        <f>'All regions'!I1866+"n/&gt;!%K%"</f>
        <v>#VALUE!</v>
      </c>
      <c r="CK75" t="e">
        <f>'All regions'!J1866+"n/&gt;!%K&amp;"</f>
        <v>#VALUE!</v>
      </c>
      <c r="CL75" t="e">
        <f>'All regions'!A1867+"n/&gt;!%K'"</f>
        <v>#VALUE!</v>
      </c>
      <c r="CM75" t="e">
        <f>'All regions'!B1867+"n/&gt;!%K("</f>
        <v>#VALUE!</v>
      </c>
      <c r="CN75" t="e">
        <f>'All regions'!C1867+"n/&gt;!%K)"</f>
        <v>#VALUE!</v>
      </c>
      <c r="CO75" t="e">
        <f>'All regions'!D1867+"n/&gt;!%K."</f>
        <v>#VALUE!</v>
      </c>
      <c r="CP75" t="e">
        <f>'All regions'!E1867+"n/&gt;!%K/"</f>
        <v>#VALUE!</v>
      </c>
      <c r="CQ75" t="e">
        <f>'All regions'!F1867+"n/&gt;!%K0"</f>
        <v>#VALUE!</v>
      </c>
      <c r="CR75" t="e">
        <f>'All regions'!G1867+"n/&gt;!%K1"</f>
        <v>#VALUE!</v>
      </c>
      <c r="CS75" t="e">
        <f>'All regions'!H1867+"n/&gt;!%K2"</f>
        <v>#VALUE!</v>
      </c>
      <c r="CT75" t="e">
        <f>'All regions'!I1867+"n/&gt;!%K3"</f>
        <v>#VALUE!</v>
      </c>
      <c r="CU75" t="e">
        <f>'All regions'!J1867+"n/&gt;!%K4"</f>
        <v>#VALUE!</v>
      </c>
      <c r="CV75" t="e">
        <f>'All regions'!A1868+"n/&gt;!%K5"</f>
        <v>#VALUE!</v>
      </c>
      <c r="CW75" t="e">
        <f>'All regions'!B1868+"n/&gt;!%K6"</f>
        <v>#VALUE!</v>
      </c>
      <c r="CX75" t="e">
        <f>'All regions'!C1868+"n/&gt;!%K7"</f>
        <v>#VALUE!</v>
      </c>
      <c r="CY75" t="e">
        <f>'All regions'!D1868+"n/&gt;!%K8"</f>
        <v>#VALUE!</v>
      </c>
      <c r="CZ75" t="e">
        <f>'All regions'!E1868+"n/&gt;!%K9"</f>
        <v>#VALUE!</v>
      </c>
      <c r="DA75" t="e">
        <f>'All regions'!F1868+"n/&gt;!%K:"</f>
        <v>#VALUE!</v>
      </c>
      <c r="DB75" t="e">
        <f>'All regions'!G1868+"n/&gt;!%K;"</f>
        <v>#VALUE!</v>
      </c>
      <c r="DC75" t="e">
        <f>'All regions'!H1868+"n/&gt;!%K&lt;"</f>
        <v>#VALUE!</v>
      </c>
      <c r="DD75" t="e">
        <f>'All regions'!I1868+"n/&gt;!%K="</f>
        <v>#VALUE!</v>
      </c>
      <c r="DE75" t="e">
        <f>'All regions'!J1868+"n/&gt;!%K&gt;"</f>
        <v>#VALUE!</v>
      </c>
      <c r="DF75" t="e">
        <f>'All regions'!A1869+"n/&gt;!%K?"</f>
        <v>#VALUE!</v>
      </c>
      <c r="DG75" t="e">
        <f>'All regions'!B1869+"n/&gt;!%K@"</f>
        <v>#VALUE!</v>
      </c>
      <c r="DH75" t="e">
        <f>'All regions'!C1869+"n/&gt;!%KA"</f>
        <v>#VALUE!</v>
      </c>
      <c r="DI75" t="e">
        <f>'All regions'!D1869+"n/&gt;!%KB"</f>
        <v>#VALUE!</v>
      </c>
      <c r="DJ75" t="e">
        <f>'All regions'!E1869+"n/&gt;!%KC"</f>
        <v>#VALUE!</v>
      </c>
      <c r="DK75" t="e">
        <f>'All regions'!F1869+"n/&gt;!%KD"</f>
        <v>#VALUE!</v>
      </c>
      <c r="DL75" t="e">
        <f>'All regions'!G1869+"n/&gt;!%KE"</f>
        <v>#VALUE!</v>
      </c>
      <c r="DM75" t="e">
        <f>'All regions'!H1869+"n/&gt;!%KF"</f>
        <v>#VALUE!</v>
      </c>
      <c r="DN75" t="e">
        <f>'All regions'!I1869+"n/&gt;!%KG"</f>
        <v>#VALUE!</v>
      </c>
      <c r="DO75" t="e">
        <f>'All regions'!J1869+"n/&gt;!%KH"</f>
        <v>#VALUE!</v>
      </c>
      <c r="DP75" t="e">
        <f>'All regions'!A1870+"n/&gt;!%KI"</f>
        <v>#VALUE!</v>
      </c>
      <c r="DQ75" t="e">
        <f>'All regions'!B1870+"n/&gt;!%KJ"</f>
        <v>#VALUE!</v>
      </c>
      <c r="DR75" t="e">
        <f>'All regions'!C1870+"n/&gt;!%KK"</f>
        <v>#VALUE!</v>
      </c>
      <c r="DS75" t="e">
        <f>'All regions'!D1870+"n/&gt;!%KL"</f>
        <v>#VALUE!</v>
      </c>
      <c r="DT75" t="e">
        <f>'All regions'!E1870+"n/&gt;!%KM"</f>
        <v>#VALUE!</v>
      </c>
      <c r="DU75" t="e">
        <f>'All regions'!F1870+"n/&gt;!%KN"</f>
        <v>#VALUE!</v>
      </c>
      <c r="DV75" t="e">
        <f>'All regions'!G1870+"n/&gt;!%KO"</f>
        <v>#VALUE!</v>
      </c>
      <c r="DW75" t="e">
        <f>'All regions'!H1870+"n/&gt;!%KP"</f>
        <v>#VALUE!</v>
      </c>
      <c r="DX75" t="e">
        <f>'All regions'!I1870+"n/&gt;!%KQ"</f>
        <v>#VALUE!</v>
      </c>
      <c r="DY75" t="e">
        <f>'All regions'!J1870+"n/&gt;!%KR"</f>
        <v>#VALUE!</v>
      </c>
      <c r="DZ75" t="e">
        <f>'All regions'!A1871+"n/&gt;!%KS"</f>
        <v>#VALUE!</v>
      </c>
      <c r="EA75" t="e">
        <f>'All regions'!B1871+"n/&gt;!%KT"</f>
        <v>#VALUE!</v>
      </c>
      <c r="EB75" t="e">
        <f>'All regions'!C1871+"n/&gt;!%KU"</f>
        <v>#VALUE!</v>
      </c>
      <c r="EC75" t="e">
        <f>'All regions'!D1871+"n/&gt;!%KV"</f>
        <v>#VALUE!</v>
      </c>
      <c r="ED75" t="e">
        <f>'All regions'!E1871+"n/&gt;!%KW"</f>
        <v>#VALUE!</v>
      </c>
      <c r="EE75" t="e">
        <f>'All regions'!F1871+"n/&gt;!%KX"</f>
        <v>#VALUE!</v>
      </c>
      <c r="EF75" t="e">
        <f>'All regions'!G1871+"n/&gt;!%KY"</f>
        <v>#VALUE!</v>
      </c>
      <c r="EG75" t="e">
        <f>'All regions'!H1871+"n/&gt;!%KZ"</f>
        <v>#VALUE!</v>
      </c>
      <c r="EH75" t="e">
        <f>'All regions'!I1871+"n/&gt;!%K["</f>
        <v>#VALUE!</v>
      </c>
      <c r="EI75" t="e">
        <f>'All regions'!J1871+"n/&gt;!%K\"</f>
        <v>#VALUE!</v>
      </c>
      <c r="EJ75" t="e">
        <f>'All regions'!A1872+"n/&gt;!%K]"</f>
        <v>#VALUE!</v>
      </c>
      <c r="EK75" t="e">
        <f>'All regions'!B1872+"n/&gt;!%K^"</f>
        <v>#VALUE!</v>
      </c>
      <c r="EL75" t="e">
        <f>'All regions'!C1872+"n/&gt;!%K_"</f>
        <v>#VALUE!</v>
      </c>
      <c r="EM75" t="e">
        <f>'All regions'!D1872+"n/&gt;!%K`"</f>
        <v>#VALUE!</v>
      </c>
      <c r="EN75" t="e">
        <f>'All regions'!E1872+"n/&gt;!%Ka"</f>
        <v>#VALUE!</v>
      </c>
      <c r="EO75" t="e">
        <f>'All regions'!F1872+"n/&gt;!%Kb"</f>
        <v>#VALUE!</v>
      </c>
      <c r="EP75" t="e">
        <f>'All regions'!G1872+"n/&gt;!%Kc"</f>
        <v>#VALUE!</v>
      </c>
      <c r="EQ75" t="e">
        <f>'All regions'!H1872+"n/&gt;!%Kd"</f>
        <v>#VALUE!</v>
      </c>
      <c r="ER75" t="e">
        <f>'All regions'!I1872+"n/&gt;!%Ke"</f>
        <v>#VALUE!</v>
      </c>
      <c r="ES75" t="e">
        <f>'All regions'!J1872+"n/&gt;!%Kf"</f>
        <v>#VALUE!</v>
      </c>
      <c r="ET75" t="e">
        <f>'All regions'!A1873+"n/&gt;!%Kg"</f>
        <v>#VALUE!</v>
      </c>
      <c r="EU75" t="e">
        <f>'All regions'!B1873+"n/&gt;!%Kh"</f>
        <v>#VALUE!</v>
      </c>
      <c r="EV75" t="e">
        <f>'All regions'!C1873+"n/&gt;!%Ki"</f>
        <v>#VALUE!</v>
      </c>
      <c r="EW75" t="e">
        <f>'All regions'!D1873+"n/&gt;!%Kj"</f>
        <v>#VALUE!</v>
      </c>
      <c r="EX75" t="e">
        <f>'All regions'!E1873+"n/&gt;!%Kk"</f>
        <v>#VALUE!</v>
      </c>
      <c r="EY75" t="e">
        <f>'All regions'!F1873+"n/&gt;!%Kl"</f>
        <v>#VALUE!</v>
      </c>
      <c r="EZ75" t="e">
        <f>'All regions'!G1873+"n/&gt;!%Km"</f>
        <v>#VALUE!</v>
      </c>
      <c r="FA75" t="e">
        <f>'All regions'!H1873+"n/&gt;!%Kn"</f>
        <v>#VALUE!</v>
      </c>
      <c r="FB75" t="e">
        <f>'All regions'!I1873+"n/&gt;!%Ko"</f>
        <v>#VALUE!</v>
      </c>
      <c r="FC75" t="e">
        <f>'All regions'!J1873+"n/&gt;!%Kp"</f>
        <v>#VALUE!</v>
      </c>
      <c r="FD75" t="e">
        <f>'All regions'!A1874+"n/&gt;!%Kq"</f>
        <v>#VALUE!</v>
      </c>
      <c r="FE75" t="e">
        <f>'All regions'!B1874+"n/&gt;!%Kr"</f>
        <v>#VALUE!</v>
      </c>
      <c r="FF75" t="e">
        <f>'All regions'!C1874+"n/&gt;!%Ks"</f>
        <v>#VALUE!</v>
      </c>
      <c r="FG75" t="e">
        <f>'All regions'!D1874+"n/&gt;!%Kt"</f>
        <v>#VALUE!</v>
      </c>
      <c r="FH75" t="e">
        <f>'All regions'!E1874+"n/&gt;!%Ku"</f>
        <v>#VALUE!</v>
      </c>
      <c r="FI75" t="e">
        <f>'All regions'!F1874+"n/&gt;!%Kv"</f>
        <v>#VALUE!</v>
      </c>
      <c r="FJ75" t="e">
        <f>'All regions'!G1874+"n/&gt;!%Kw"</f>
        <v>#VALUE!</v>
      </c>
      <c r="FK75" t="e">
        <f>'All regions'!H1874+"n/&gt;!%Kx"</f>
        <v>#VALUE!</v>
      </c>
      <c r="FL75" t="e">
        <f>'All regions'!I1874+"n/&gt;!%Ky"</f>
        <v>#VALUE!</v>
      </c>
      <c r="FM75" t="e">
        <f>'All regions'!J1874+"n/&gt;!%Kz"</f>
        <v>#VALUE!</v>
      </c>
      <c r="FN75" t="e">
        <f>'All regions'!A1875+"n/&gt;!%K{"</f>
        <v>#VALUE!</v>
      </c>
      <c r="FO75" t="e">
        <f>'All regions'!B1875+"n/&gt;!%K|"</f>
        <v>#VALUE!</v>
      </c>
      <c r="FP75" t="e">
        <f>'All regions'!C1875+"n/&gt;!%K}"</f>
        <v>#VALUE!</v>
      </c>
      <c r="FQ75" t="e">
        <f>'All regions'!D1875+"n/&gt;!%K~"</f>
        <v>#VALUE!</v>
      </c>
      <c r="FR75" t="e">
        <f>'All regions'!E1875+"n/&gt;!%L#"</f>
        <v>#VALUE!</v>
      </c>
      <c r="FS75" t="e">
        <f>'All regions'!F1875+"n/&gt;!%L$"</f>
        <v>#VALUE!</v>
      </c>
      <c r="FT75" t="e">
        <f>'All regions'!G1875+"n/&gt;!%L%"</f>
        <v>#VALUE!</v>
      </c>
      <c r="FU75" t="e">
        <f>'All regions'!H1875+"n/&gt;!%L&amp;"</f>
        <v>#VALUE!</v>
      </c>
      <c r="FV75" t="e">
        <f>'All regions'!I1875+"n/&gt;!%L'"</f>
        <v>#VALUE!</v>
      </c>
      <c r="FW75" t="e">
        <f>'All regions'!J1875+"n/&gt;!%L("</f>
        <v>#VALUE!</v>
      </c>
      <c r="FX75" t="e">
        <f>'All regions'!A1876+"n/&gt;!%L)"</f>
        <v>#VALUE!</v>
      </c>
      <c r="FY75" t="e">
        <f>'All regions'!B1876+"n/&gt;!%L."</f>
        <v>#VALUE!</v>
      </c>
      <c r="FZ75" t="e">
        <f>'All regions'!C1876+"n/&gt;!%L/"</f>
        <v>#VALUE!</v>
      </c>
      <c r="GA75" t="e">
        <f>'All regions'!D1876+"n/&gt;!%L0"</f>
        <v>#VALUE!</v>
      </c>
      <c r="GB75" t="e">
        <f>'All regions'!E1876+"n/&gt;!%L1"</f>
        <v>#VALUE!</v>
      </c>
      <c r="GC75" t="e">
        <f>'All regions'!F1876+"n/&gt;!%L2"</f>
        <v>#VALUE!</v>
      </c>
      <c r="GD75" t="e">
        <f>'All regions'!G1876+"n/&gt;!%L3"</f>
        <v>#VALUE!</v>
      </c>
      <c r="GE75" t="e">
        <f>'All regions'!H1876+"n/&gt;!%L4"</f>
        <v>#VALUE!</v>
      </c>
      <c r="GF75" t="e">
        <f>'All regions'!I1876+"n/&gt;!%L5"</f>
        <v>#VALUE!</v>
      </c>
      <c r="GG75" t="e">
        <f>'All regions'!J1876+"n/&gt;!%L6"</f>
        <v>#VALUE!</v>
      </c>
      <c r="GH75" t="e">
        <f>'All regions'!A1877+"n/&gt;!%L7"</f>
        <v>#VALUE!</v>
      </c>
      <c r="GI75" t="e">
        <f>'All regions'!B1877+"n/&gt;!%L8"</f>
        <v>#VALUE!</v>
      </c>
      <c r="GJ75" t="e">
        <f>'All regions'!C1877+"n/&gt;!%L9"</f>
        <v>#VALUE!</v>
      </c>
      <c r="GK75" t="e">
        <f>'All regions'!D1877+"n/&gt;!%L:"</f>
        <v>#VALUE!</v>
      </c>
      <c r="GL75" t="e">
        <f>'All regions'!E1877+"n/&gt;!%L;"</f>
        <v>#VALUE!</v>
      </c>
      <c r="GM75" t="e">
        <f>'All regions'!F1877+"n/&gt;!%L&lt;"</f>
        <v>#VALUE!</v>
      </c>
      <c r="GN75" t="e">
        <f>'All regions'!G1877+"n/&gt;!%L="</f>
        <v>#VALUE!</v>
      </c>
      <c r="GO75" t="e">
        <f>'All regions'!H1877+"n/&gt;!%L&gt;"</f>
        <v>#VALUE!</v>
      </c>
      <c r="GP75" t="e">
        <f>'All regions'!I1877+"n/&gt;!%L?"</f>
        <v>#VALUE!</v>
      </c>
      <c r="GQ75" t="e">
        <f>'All regions'!J1877+"n/&gt;!%L@"</f>
        <v>#VALUE!</v>
      </c>
      <c r="GR75" t="e">
        <f>'All regions'!A1878+"n/&gt;!%LA"</f>
        <v>#VALUE!</v>
      </c>
      <c r="GS75" t="e">
        <f>'All regions'!B1878+"n/&gt;!%LB"</f>
        <v>#VALUE!</v>
      </c>
      <c r="GT75" t="e">
        <f>'All regions'!C1878+"n/&gt;!%LC"</f>
        <v>#VALUE!</v>
      </c>
      <c r="GU75" t="e">
        <f>'All regions'!D1878+"n/&gt;!%LD"</f>
        <v>#VALUE!</v>
      </c>
      <c r="GV75" t="e">
        <f>'All regions'!E1878+"n/&gt;!%LE"</f>
        <v>#VALUE!</v>
      </c>
      <c r="GW75" t="e">
        <f>'All regions'!F1878+"n/&gt;!%LF"</f>
        <v>#VALUE!</v>
      </c>
      <c r="GX75" t="e">
        <f>'All regions'!G1878+"n/&gt;!%LG"</f>
        <v>#VALUE!</v>
      </c>
      <c r="GY75" t="e">
        <f>'All regions'!H1878+"n/&gt;!%LH"</f>
        <v>#VALUE!</v>
      </c>
      <c r="GZ75" t="e">
        <f>'All regions'!I1878+"n/&gt;!%LI"</f>
        <v>#VALUE!</v>
      </c>
      <c r="HA75" t="e">
        <f>'All regions'!J1878+"n/&gt;!%LJ"</f>
        <v>#VALUE!</v>
      </c>
      <c r="HB75" t="e">
        <f>'All regions'!A1879+"n/&gt;!%LK"</f>
        <v>#VALUE!</v>
      </c>
      <c r="HC75" t="e">
        <f>'All regions'!B1879+"n/&gt;!%LL"</f>
        <v>#VALUE!</v>
      </c>
      <c r="HD75" t="e">
        <f>'All regions'!C1879+"n/&gt;!%LM"</f>
        <v>#VALUE!</v>
      </c>
      <c r="HE75" t="e">
        <f>'All regions'!D1879+"n/&gt;!%LN"</f>
        <v>#VALUE!</v>
      </c>
      <c r="HF75" t="e">
        <f>'All regions'!E1879+"n/&gt;!%LO"</f>
        <v>#VALUE!</v>
      </c>
      <c r="HG75" t="e">
        <f>'All regions'!F1879+"n/&gt;!%LP"</f>
        <v>#VALUE!</v>
      </c>
      <c r="HH75" t="e">
        <f>'All regions'!G1879+"n/&gt;!%LQ"</f>
        <v>#VALUE!</v>
      </c>
      <c r="HI75" t="e">
        <f>'All regions'!H1879+"n/&gt;!%LR"</f>
        <v>#VALUE!</v>
      </c>
      <c r="HJ75" t="e">
        <f>'All regions'!I1879+"n/&gt;!%LS"</f>
        <v>#VALUE!</v>
      </c>
      <c r="HK75" t="e">
        <f>'All regions'!J1879+"n/&gt;!%LT"</f>
        <v>#VALUE!</v>
      </c>
      <c r="HL75" t="e">
        <f>'All regions'!A1880+"n/&gt;!%LU"</f>
        <v>#VALUE!</v>
      </c>
      <c r="HM75" t="e">
        <f>'All regions'!B1880+"n/&gt;!%LV"</f>
        <v>#VALUE!</v>
      </c>
      <c r="HN75" t="e">
        <f>'All regions'!C1880+"n/&gt;!%LW"</f>
        <v>#VALUE!</v>
      </c>
      <c r="HO75" t="e">
        <f>'All regions'!D1880+"n/&gt;!%LX"</f>
        <v>#VALUE!</v>
      </c>
      <c r="HP75" t="e">
        <f>'All regions'!E1880+"n/&gt;!%LY"</f>
        <v>#VALUE!</v>
      </c>
      <c r="HQ75" t="e">
        <f>'All regions'!F1880+"n/&gt;!%LZ"</f>
        <v>#VALUE!</v>
      </c>
      <c r="HR75" t="e">
        <f>'All regions'!G1880+"n/&gt;!%L["</f>
        <v>#VALUE!</v>
      </c>
      <c r="HS75" t="e">
        <f>'All regions'!H1880+"n/&gt;!%L\"</f>
        <v>#VALUE!</v>
      </c>
      <c r="HT75" t="e">
        <f>'All regions'!I1880+"n/&gt;!%L]"</f>
        <v>#VALUE!</v>
      </c>
      <c r="HU75" t="e">
        <f>'All regions'!J1880+"n/&gt;!%L^"</f>
        <v>#VALUE!</v>
      </c>
      <c r="HV75" t="e">
        <f>'All regions'!A1881+"n/&gt;!%L_"</f>
        <v>#VALUE!</v>
      </c>
      <c r="HW75" t="e">
        <f>'All regions'!B1881+"n/&gt;!%L`"</f>
        <v>#VALUE!</v>
      </c>
      <c r="HX75" t="e">
        <f>'All regions'!C1881+"n/&gt;!%La"</f>
        <v>#VALUE!</v>
      </c>
      <c r="HY75" t="e">
        <f>'All regions'!D1881+"n/&gt;!%Lb"</f>
        <v>#VALUE!</v>
      </c>
      <c r="HZ75" t="e">
        <f>'All regions'!E1881+"n/&gt;!%Lc"</f>
        <v>#VALUE!</v>
      </c>
      <c r="IA75" t="e">
        <f>'All regions'!F1881+"n/&gt;!%Ld"</f>
        <v>#VALUE!</v>
      </c>
      <c r="IB75" t="e">
        <f>'All regions'!G1881+"n/&gt;!%Le"</f>
        <v>#VALUE!</v>
      </c>
      <c r="IC75" t="e">
        <f>'All regions'!H1881+"n/&gt;!%Lf"</f>
        <v>#VALUE!</v>
      </c>
      <c r="ID75" t="e">
        <f>'All regions'!I1881+"n/&gt;!%Lg"</f>
        <v>#VALUE!</v>
      </c>
      <c r="IE75" t="e">
        <f>'All regions'!J1881+"n/&gt;!%Lh"</f>
        <v>#VALUE!</v>
      </c>
      <c r="IF75" t="e">
        <f>'All regions'!A1882+"n/&gt;!%Li"</f>
        <v>#VALUE!</v>
      </c>
      <c r="IG75" t="e">
        <f>'All regions'!B1882+"n/&gt;!%Lj"</f>
        <v>#VALUE!</v>
      </c>
      <c r="IH75" t="e">
        <f>'All regions'!C1882+"n/&gt;!%Lk"</f>
        <v>#VALUE!</v>
      </c>
      <c r="II75" t="e">
        <f>'All regions'!D1882+"n/&gt;!%Ll"</f>
        <v>#VALUE!</v>
      </c>
      <c r="IJ75" t="e">
        <f>'All regions'!E1882+"n/&gt;!%Lm"</f>
        <v>#VALUE!</v>
      </c>
      <c r="IK75" t="e">
        <f>'All regions'!F1882+"n/&gt;!%Ln"</f>
        <v>#VALUE!</v>
      </c>
      <c r="IL75" t="e">
        <f>'All regions'!G1882+"n/&gt;!%Lo"</f>
        <v>#VALUE!</v>
      </c>
      <c r="IM75" t="e">
        <f>'All regions'!H1882+"n/&gt;!%Lp"</f>
        <v>#VALUE!</v>
      </c>
      <c r="IN75" t="e">
        <f>'All regions'!I1882+"n/&gt;!%Lq"</f>
        <v>#VALUE!</v>
      </c>
      <c r="IO75" t="e">
        <f>'All regions'!J1882+"n/&gt;!%Lr"</f>
        <v>#VALUE!</v>
      </c>
      <c r="IP75" t="e">
        <f>'All regions'!A1883+"n/&gt;!%Ls"</f>
        <v>#VALUE!</v>
      </c>
      <c r="IQ75" t="e">
        <f>'All regions'!B1883+"n/&gt;!%Lt"</f>
        <v>#VALUE!</v>
      </c>
      <c r="IR75" t="e">
        <f>'All regions'!C1883+"n/&gt;!%Lu"</f>
        <v>#VALUE!</v>
      </c>
      <c r="IS75" t="e">
        <f>'All regions'!D1883+"n/&gt;!%Lv"</f>
        <v>#VALUE!</v>
      </c>
      <c r="IT75" t="e">
        <f>'All regions'!E1883+"n/&gt;!%Lw"</f>
        <v>#VALUE!</v>
      </c>
      <c r="IU75" t="e">
        <f>'All regions'!F1883+"n/&gt;!%Lx"</f>
        <v>#VALUE!</v>
      </c>
      <c r="IV75" t="e">
        <f>'All regions'!G1883+"n/&gt;!%Ly"</f>
        <v>#VALUE!</v>
      </c>
    </row>
    <row r="76" spans="6:256" x14ac:dyDescent="0.35">
      <c r="F76" t="e">
        <f>'All regions'!H1883+"n/&gt;!%Lz"</f>
        <v>#VALUE!</v>
      </c>
      <c r="G76" t="e">
        <f>'All regions'!I1883+"n/&gt;!%L{"</f>
        <v>#VALUE!</v>
      </c>
      <c r="H76" t="e">
        <f>'All regions'!J1883+"n/&gt;!%L|"</f>
        <v>#VALUE!</v>
      </c>
      <c r="I76" t="e">
        <f>'All regions'!A1884+"n/&gt;!%L}"</f>
        <v>#VALUE!</v>
      </c>
      <c r="J76" t="e">
        <f>'All regions'!B1884+"n/&gt;!%L~"</f>
        <v>#VALUE!</v>
      </c>
      <c r="K76" t="e">
        <f>'All regions'!C1884+"n/&gt;!%M#"</f>
        <v>#VALUE!</v>
      </c>
      <c r="L76" t="e">
        <f>'All regions'!D1884+"n/&gt;!%M$"</f>
        <v>#VALUE!</v>
      </c>
      <c r="M76" t="e">
        <f>'All regions'!E1884+"n/&gt;!%M%"</f>
        <v>#VALUE!</v>
      </c>
      <c r="N76" t="e">
        <f>'All regions'!F1884+"n/&gt;!%M&amp;"</f>
        <v>#VALUE!</v>
      </c>
      <c r="O76" t="e">
        <f>'All regions'!G1884+"n/&gt;!%M'"</f>
        <v>#VALUE!</v>
      </c>
      <c r="P76" t="e">
        <f>'All regions'!H1884+"n/&gt;!%M("</f>
        <v>#VALUE!</v>
      </c>
      <c r="Q76" t="e">
        <f>'All regions'!I1884+"n/&gt;!%M)"</f>
        <v>#VALUE!</v>
      </c>
      <c r="R76" t="e">
        <f>'All regions'!J1884+"n/&gt;!%M."</f>
        <v>#VALUE!</v>
      </c>
      <c r="S76" t="e">
        <f>'All regions'!A1885+"n/&gt;!%M/"</f>
        <v>#VALUE!</v>
      </c>
      <c r="T76" t="e">
        <f>'All regions'!B1885+"n/&gt;!%M0"</f>
        <v>#VALUE!</v>
      </c>
      <c r="U76" t="e">
        <f>'All regions'!C1885+"n/&gt;!%M1"</f>
        <v>#VALUE!</v>
      </c>
      <c r="V76" t="e">
        <f>'All regions'!D1885+"n/&gt;!%M2"</f>
        <v>#VALUE!</v>
      </c>
      <c r="W76" t="e">
        <f>'All regions'!E1885+"n/&gt;!%M3"</f>
        <v>#VALUE!</v>
      </c>
      <c r="X76" t="e">
        <f>'All regions'!F1885+"n/&gt;!%M4"</f>
        <v>#VALUE!</v>
      </c>
      <c r="Y76" t="e">
        <f>'All regions'!G1885+"n/&gt;!%M5"</f>
        <v>#VALUE!</v>
      </c>
      <c r="Z76" t="e">
        <f>'All regions'!H1885+"n/&gt;!%M6"</f>
        <v>#VALUE!</v>
      </c>
      <c r="AA76" t="e">
        <f>'All regions'!I1885+"n/&gt;!%M7"</f>
        <v>#VALUE!</v>
      </c>
      <c r="AB76" t="e">
        <f>'All regions'!J1885+"n/&gt;!%M8"</f>
        <v>#VALUE!</v>
      </c>
      <c r="AC76" t="e">
        <f>'All regions'!A1886+"n/&gt;!%M9"</f>
        <v>#VALUE!</v>
      </c>
      <c r="AD76" t="e">
        <f>'All regions'!B1886+"n/&gt;!%M:"</f>
        <v>#VALUE!</v>
      </c>
      <c r="AE76" t="e">
        <f>'All regions'!C1886+"n/&gt;!%M;"</f>
        <v>#VALUE!</v>
      </c>
      <c r="AF76" t="e">
        <f>'All regions'!D1886+"n/&gt;!%M&lt;"</f>
        <v>#VALUE!</v>
      </c>
      <c r="AG76" t="e">
        <f>'All regions'!E1886+"n/&gt;!%M="</f>
        <v>#VALUE!</v>
      </c>
      <c r="AH76" t="e">
        <f>'All regions'!F1886+"n/&gt;!%M&gt;"</f>
        <v>#VALUE!</v>
      </c>
      <c r="AI76" t="e">
        <f>'All regions'!G1886+"n/&gt;!%M?"</f>
        <v>#VALUE!</v>
      </c>
      <c r="AJ76" t="e">
        <f>'All regions'!H1886+"n/&gt;!%M@"</f>
        <v>#VALUE!</v>
      </c>
      <c r="AK76" t="e">
        <f>'All regions'!I1886+"n/&gt;!%MA"</f>
        <v>#VALUE!</v>
      </c>
      <c r="AL76" t="e">
        <f>'All regions'!J1886+"n/&gt;!%MB"</f>
        <v>#VALUE!</v>
      </c>
      <c r="AM76" t="e">
        <f>'All regions'!A1887+"n/&gt;!%MC"</f>
        <v>#VALUE!</v>
      </c>
      <c r="AN76" t="e">
        <f>'All regions'!B1887+"n/&gt;!%MD"</f>
        <v>#VALUE!</v>
      </c>
      <c r="AO76" t="e">
        <f>'All regions'!C1887+"n/&gt;!%ME"</f>
        <v>#VALUE!</v>
      </c>
      <c r="AP76" t="e">
        <f>'All regions'!D1887+"n/&gt;!%MF"</f>
        <v>#VALUE!</v>
      </c>
      <c r="AQ76" t="e">
        <f>'All regions'!E1887+"n/&gt;!%MG"</f>
        <v>#VALUE!</v>
      </c>
      <c r="AR76" t="e">
        <f>'All regions'!F1887+"n/&gt;!%MH"</f>
        <v>#VALUE!</v>
      </c>
      <c r="AS76" t="e">
        <f>'All regions'!G1887+"n/&gt;!%MI"</f>
        <v>#VALUE!</v>
      </c>
      <c r="AT76" t="e">
        <f>'All regions'!H1887+"n/&gt;!%MJ"</f>
        <v>#VALUE!</v>
      </c>
      <c r="AU76" t="e">
        <f>'All regions'!I1887+"n/&gt;!%MK"</f>
        <v>#VALUE!</v>
      </c>
      <c r="AV76" t="e">
        <f>'All regions'!J1887+"n/&gt;!%ML"</f>
        <v>#VALUE!</v>
      </c>
      <c r="AW76" t="e">
        <f>'All regions'!A1888+"n/&gt;!%MM"</f>
        <v>#VALUE!</v>
      </c>
      <c r="AX76" t="e">
        <f>'All regions'!B1888+"n/&gt;!%MN"</f>
        <v>#VALUE!</v>
      </c>
      <c r="AY76" t="e">
        <f>'All regions'!C1888+"n/&gt;!%MO"</f>
        <v>#VALUE!</v>
      </c>
      <c r="AZ76" t="e">
        <f>'All regions'!D1888+"n/&gt;!%MP"</f>
        <v>#VALUE!</v>
      </c>
      <c r="BA76" t="e">
        <f>'All regions'!E1888+"n/&gt;!%MQ"</f>
        <v>#VALUE!</v>
      </c>
      <c r="BB76" t="e">
        <f>'All regions'!F1888+"n/&gt;!%MR"</f>
        <v>#VALUE!</v>
      </c>
      <c r="BC76" t="e">
        <f>'All regions'!G1888+"n/&gt;!%MS"</f>
        <v>#VALUE!</v>
      </c>
      <c r="BD76" t="e">
        <f>'All regions'!H1888+"n/&gt;!%MT"</f>
        <v>#VALUE!</v>
      </c>
      <c r="BE76" t="e">
        <f>'All regions'!I1888+"n/&gt;!%MU"</f>
        <v>#VALUE!</v>
      </c>
      <c r="BF76" t="e">
        <f>'All regions'!J1888+"n/&gt;!%MV"</f>
        <v>#VALUE!</v>
      </c>
      <c r="BG76" t="e">
        <f>'All regions'!A1889+"n/&gt;!%MW"</f>
        <v>#VALUE!</v>
      </c>
      <c r="BH76" t="e">
        <f>'All regions'!B1889+"n/&gt;!%MX"</f>
        <v>#VALUE!</v>
      </c>
      <c r="BI76" t="e">
        <f>'All regions'!C1889+"n/&gt;!%MY"</f>
        <v>#VALUE!</v>
      </c>
      <c r="BJ76" t="e">
        <f>'All regions'!D1889+"n/&gt;!%MZ"</f>
        <v>#VALUE!</v>
      </c>
      <c r="BK76" t="e">
        <f>'All regions'!E1889+"n/&gt;!%M["</f>
        <v>#VALUE!</v>
      </c>
      <c r="BL76" t="e">
        <f>'All regions'!F1889+"n/&gt;!%M\"</f>
        <v>#VALUE!</v>
      </c>
      <c r="BM76" t="e">
        <f>'All regions'!G1889+"n/&gt;!%M]"</f>
        <v>#VALUE!</v>
      </c>
      <c r="BN76" t="e">
        <f>'All regions'!H1889+"n/&gt;!%M^"</f>
        <v>#VALUE!</v>
      </c>
      <c r="BO76" t="e">
        <f>'All regions'!I1889+"n/&gt;!%M_"</f>
        <v>#VALUE!</v>
      </c>
      <c r="BP76" t="e">
        <f>'All regions'!J1889+"n/&gt;!%M`"</f>
        <v>#VALUE!</v>
      </c>
      <c r="BQ76" t="e">
        <f>'All regions'!A1890+"n/&gt;!%Ma"</f>
        <v>#VALUE!</v>
      </c>
      <c r="BR76" t="e">
        <f>'All regions'!B1890+"n/&gt;!%Mb"</f>
        <v>#VALUE!</v>
      </c>
      <c r="BS76" t="e">
        <f>'All regions'!C1890+"n/&gt;!%Mc"</f>
        <v>#VALUE!</v>
      </c>
      <c r="BT76" t="e">
        <f>'All regions'!D1890+"n/&gt;!%Md"</f>
        <v>#VALUE!</v>
      </c>
      <c r="BU76" t="e">
        <f>'All regions'!E1890+"n/&gt;!%Me"</f>
        <v>#VALUE!</v>
      </c>
      <c r="BV76" t="e">
        <f>'All regions'!F1890+"n/&gt;!%Mf"</f>
        <v>#VALUE!</v>
      </c>
      <c r="BW76" t="e">
        <f>'All regions'!G1890+"n/&gt;!%Mg"</f>
        <v>#VALUE!</v>
      </c>
      <c r="BX76" t="e">
        <f>'All regions'!H1890+"n/&gt;!%Mh"</f>
        <v>#VALUE!</v>
      </c>
      <c r="BY76" t="e">
        <f>'All regions'!I1890+"n/&gt;!%Mi"</f>
        <v>#VALUE!</v>
      </c>
      <c r="BZ76" t="e">
        <f>'All regions'!J1890+"n/&gt;!%Mj"</f>
        <v>#VALUE!</v>
      </c>
      <c r="CA76" t="e">
        <f>'All regions'!A1891+"n/&gt;!%Mk"</f>
        <v>#VALUE!</v>
      </c>
      <c r="CB76" t="e">
        <f>'All regions'!B1891+"n/&gt;!%Ml"</f>
        <v>#VALUE!</v>
      </c>
      <c r="CC76" t="e">
        <f>'All regions'!C1891+"n/&gt;!%Mm"</f>
        <v>#VALUE!</v>
      </c>
      <c r="CD76" t="e">
        <f>'All regions'!D1891+"n/&gt;!%Mn"</f>
        <v>#VALUE!</v>
      </c>
      <c r="CE76" t="e">
        <f>'All regions'!E1891+"n/&gt;!%Mo"</f>
        <v>#VALUE!</v>
      </c>
      <c r="CF76" t="e">
        <f>'All regions'!F1891+"n/&gt;!%Mp"</f>
        <v>#VALUE!</v>
      </c>
      <c r="CG76" t="e">
        <f>'All regions'!G1891+"n/&gt;!%Mq"</f>
        <v>#VALUE!</v>
      </c>
      <c r="CH76" t="e">
        <f>'All regions'!H1891+"n/&gt;!%Mr"</f>
        <v>#VALUE!</v>
      </c>
      <c r="CI76" t="e">
        <f>'All regions'!I1891+"n/&gt;!%Ms"</f>
        <v>#VALUE!</v>
      </c>
      <c r="CJ76" t="e">
        <f>'All regions'!J1891+"n/&gt;!%Mt"</f>
        <v>#VALUE!</v>
      </c>
      <c r="CK76" t="e">
        <f>'All regions'!A1892+"n/&gt;!%Mu"</f>
        <v>#VALUE!</v>
      </c>
      <c r="CL76" t="e">
        <f>'All regions'!B1892+"n/&gt;!%Mv"</f>
        <v>#VALUE!</v>
      </c>
      <c r="CM76" t="e">
        <f>'All regions'!C1892+"n/&gt;!%Mw"</f>
        <v>#VALUE!</v>
      </c>
      <c r="CN76" t="e">
        <f>'All regions'!D1892+"n/&gt;!%Mx"</f>
        <v>#VALUE!</v>
      </c>
      <c r="CO76" t="e">
        <f>'All regions'!E1892+"n/&gt;!%My"</f>
        <v>#VALUE!</v>
      </c>
      <c r="CP76" t="e">
        <f>'All regions'!F1892+"n/&gt;!%Mz"</f>
        <v>#VALUE!</v>
      </c>
      <c r="CQ76" t="e">
        <f>'All regions'!G1892+"n/&gt;!%M{"</f>
        <v>#VALUE!</v>
      </c>
      <c r="CR76" t="e">
        <f>'All regions'!H1892+"n/&gt;!%M|"</f>
        <v>#VALUE!</v>
      </c>
      <c r="CS76" t="e">
        <f>'All regions'!I1892+"n/&gt;!%M}"</f>
        <v>#VALUE!</v>
      </c>
      <c r="CT76" t="e">
        <f>'All regions'!J1892+"n/&gt;!%M~"</f>
        <v>#VALUE!</v>
      </c>
      <c r="CU76" t="e">
        <f>'All regions'!A1893+"n/&gt;!%N#"</f>
        <v>#VALUE!</v>
      </c>
      <c r="CV76" t="e">
        <f>'All regions'!B1893+"n/&gt;!%N$"</f>
        <v>#VALUE!</v>
      </c>
      <c r="CW76" t="e">
        <f>'All regions'!C1893+"n/&gt;!%N%"</f>
        <v>#VALUE!</v>
      </c>
      <c r="CX76" t="e">
        <f>'All regions'!D1893+"n/&gt;!%N&amp;"</f>
        <v>#VALUE!</v>
      </c>
      <c r="CY76" t="e">
        <f>'All regions'!E1893+"n/&gt;!%N'"</f>
        <v>#VALUE!</v>
      </c>
      <c r="CZ76" t="e">
        <f>'All regions'!F1893+"n/&gt;!%N("</f>
        <v>#VALUE!</v>
      </c>
      <c r="DA76" t="e">
        <f>'All regions'!G1893+"n/&gt;!%N)"</f>
        <v>#VALUE!</v>
      </c>
      <c r="DB76" t="e">
        <f>'All regions'!H1893+"n/&gt;!%N."</f>
        <v>#VALUE!</v>
      </c>
      <c r="DC76" t="e">
        <f>'All regions'!I1893+"n/&gt;!%N/"</f>
        <v>#VALUE!</v>
      </c>
      <c r="DD76" t="e">
        <f>'All regions'!J1893+"n/&gt;!%N0"</f>
        <v>#VALUE!</v>
      </c>
      <c r="DE76" t="e">
        <f>'All regions'!A1894+"n/&gt;!%N1"</f>
        <v>#VALUE!</v>
      </c>
      <c r="DF76" t="e">
        <f>'All regions'!B1894+"n/&gt;!%N2"</f>
        <v>#VALUE!</v>
      </c>
      <c r="DG76" t="e">
        <f>'All regions'!C1894+"n/&gt;!%N3"</f>
        <v>#VALUE!</v>
      </c>
      <c r="DH76" t="e">
        <f>'All regions'!D1894+"n/&gt;!%N4"</f>
        <v>#VALUE!</v>
      </c>
      <c r="DI76" t="e">
        <f>'All regions'!E1894+"n/&gt;!%N5"</f>
        <v>#VALUE!</v>
      </c>
      <c r="DJ76" t="e">
        <f>'All regions'!F1894+"n/&gt;!%N6"</f>
        <v>#VALUE!</v>
      </c>
      <c r="DK76" t="e">
        <f>'All regions'!G1894+"n/&gt;!%N7"</f>
        <v>#VALUE!</v>
      </c>
      <c r="DL76" t="e">
        <f>'All regions'!H1894+"n/&gt;!%N8"</f>
        <v>#VALUE!</v>
      </c>
      <c r="DM76" t="e">
        <f>'All regions'!I1894+"n/&gt;!%N9"</f>
        <v>#VALUE!</v>
      </c>
      <c r="DN76" t="e">
        <f>'All regions'!J1894+"n/&gt;!%N:"</f>
        <v>#VALUE!</v>
      </c>
      <c r="DO76" t="e">
        <f>'All regions'!A1895+"n/&gt;!%N;"</f>
        <v>#VALUE!</v>
      </c>
      <c r="DP76" t="e">
        <f>'All regions'!B1895+"n/&gt;!%N&lt;"</f>
        <v>#VALUE!</v>
      </c>
      <c r="DQ76" t="e">
        <f>'All regions'!C1895+"n/&gt;!%N="</f>
        <v>#VALUE!</v>
      </c>
      <c r="DR76" t="e">
        <f>'All regions'!D1895+"n/&gt;!%N&gt;"</f>
        <v>#VALUE!</v>
      </c>
      <c r="DS76" t="e">
        <f>'All regions'!E1895+"n/&gt;!%N?"</f>
        <v>#VALUE!</v>
      </c>
      <c r="DT76" t="e">
        <f>'All regions'!F1895+"n/&gt;!%N@"</f>
        <v>#VALUE!</v>
      </c>
      <c r="DU76" t="e">
        <f>'All regions'!G1895+"n/&gt;!%NA"</f>
        <v>#VALUE!</v>
      </c>
      <c r="DV76" t="e">
        <f>'All regions'!H1895+"n/&gt;!%NB"</f>
        <v>#VALUE!</v>
      </c>
      <c r="DW76" t="e">
        <f>'All regions'!I1895+"n/&gt;!%NC"</f>
        <v>#VALUE!</v>
      </c>
      <c r="DX76" t="e">
        <f>'All regions'!J1895+"n/&gt;!%ND"</f>
        <v>#VALUE!</v>
      </c>
      <c r="DY76" t="e">
        <f>'All regions'!A1896+"n/&gt;!%NE"</f>
        <v>#VALUE!</v>
      </c>
      <c r="DZ76" t="e">
        <f>'All regions'!B1896+"n/&gt;!%NF"</f>
        <v>#VALUE!</v>
      </c>
      <c r="EA76" t="e">
        <f>'All regions'!C1896+"n/&gt;!%NG"</f>
        <v>#VALUE!</v>
      </c>
      <c r="EB76" t="e">
        <f>'All regions'!D1896+"n/&gt;!%NH"</f>
        <v>#VALUE!</v>
      </c>
      <c r="EC76" t="e">
        <f>'All regions'!E1896+"n/&gt;!%NI"</f>
        <v>#VALUE!</v>
      </c>
      <c r="ED76" t="e">
        <f>'All regions'!F1896+"n/&gt;!%NJ"</f>
        <v>#VALUE!</v>
      </c>
      <c r="EE76" t="e">
        <f>'All regions'!G1896+"n/&gt;!%NK"</f>
        <v>#VALUE!</v>
      </c>
      <c r="EF76" t="e">
        <f>'All regions'!H1896+"n/&gt;!%NL"</f>
        <v>#VALUE!</v>
      </c>
      <c r="EG76" t="e">
        <f>'All regions'!I1896+"n/&gt;!%NM"</f>
        <v>#VALUE!</v>
      </c>
      <c r="EH76" t="e">
        <f>'All regions'!J1896+"n/&gt;!%NN"</f>
        <v>#VALUE!</v>
      </c>
      <c r="EI76" t="e">
        <f>'All regions'!A1897+"n/&gt;!%NO"</f>
        <v>#VALUE!</v>
      </c>
      <c r="EJ76" t="e">
        <f>'All regions'!B1897+"n/&gt;!%NP"</f>
        <v>#VALUE!</v>
      </c>
      <c r="EK76" t="e">
        <f>'All regions'!C1897+"n/&gt;!%NQ"</f>
        <v>#VALUE!</v>
      </c>
      <c r="EL76" t="e">
        <f>'All regions'!D1897+"n/&gt;!%NR"</f>
        <v>#VALUE!</v>
      </c>
      <c r="EM76" t="e">
        <f>'All regions'!E1897+"n/&gt;!%NS"</f>
        <v>#VALUE!</v>
      </c>
      <c r="EN76" t="e">
        <f>'All regions'!F1897+"n/&gt;!%NT"</f>
        <v>#VALUE!</v>
      </c>
      <c r="EO76" t="e">
        <f>'All regions'!G1897+"n/&gt;!%NU"</f>
        <v>#VALUE!</v>
      </c>
      <c r="EP76" t="e">
        <f>'All regions'!H1897+"n/&gt;!%NV"</f>
        <v>#VALUE!</v>
      </c>
      <c r="EQ76" t="e">
        <f>'All regions'!I1897+"n/&gt;!%NW"</f>
        <v>#VALUE!</v>
      </c>
      <c r="ER76" t="e">
        <f>'All regions'!J1897+"n/&gt;!%NX"</f>
        <v>#VALUE!</v>
      </c>
      <c r="ES76" t="e">
        <f>'All regions'!A1898+"n/&gt;!%NY"</f>
        <v>#VALUE!</v>
      </c>
      <c r="ET76" t="e">
        <f>'All regions'!B1898+"n/&gt;!%NZ"</f>
        <v>#VALUE!</v>
      </c>
      <c r="EU76" t="e">
        <f>'All regions'!C1898+"n/&gt;!%N["</f>
        <v>#VALUE!</v>
      </c>
      <c r="EV76" t="e">
        <f>'All regions'!D1898+"n/&gt;!%N\"</f>
        <v>#VALUE!</v>
      </c>
      <c r="EW76" t="e">
        <f>'All regions'!E1898+"n/&gt;!%N]"</f>
        <v>#VALUE!</v>
      </c>
      <c r="EX76" t="e">
        <f>'All regions'!F1898+"n/&gt;!%N^"</f>
        <v>#VALUE!</v>
      </c>
      <c r="EY76" t="e">
        <f>'All regions'!G1898+"n/&gt;!%N_"</f>
        <v>#VALUE!</v>
      </c>
      <c r="EZ76" t="e">
        <f>'All regions'!H1898+"n/&gt;!%N`"</f>
        <v>#VALUE!</v>
      </c>
      <c r="FA76" t="e">
        <f>'All regions'!I1898+"n/&gt;!%Na"</f>
        <v>#VALUE!</v>
      </c>
      <c r="FB76" t="e">
        <f>'All regions'!J1898+"n/&gt;!%Nb"</f>
        <v>#VALUE!</v>
      </c>
      <c r="FC76" t="e">
        <f>'All regions'!A1899+"n/&gt;!%Nc"</f>
        <v>#VALUE!</v>
      </c>
      <c r="FD76" t="e">
        <f>'All regions'!B1899+"n/&gt;!%Nd"</f>
        <v>#VALUE!</v>
      </c>
      <c r="FE76" t="e">
        <f>'All regions'!C1899+"n/&gt;!%Ne"</f>
        <v>#VALUE!</v>
      </c>
      <c r="FF76" t="e">
        <f>'All regions'!D1899+"n/&gt;!%Nf"</f>
        <v>#VALUE!</v>
      </c>
      <c r="FG76" t="e">
        <f>'All regions'!E1899+"n/&gt;!%Ng"</f>
        <v>#VALUE!</v>
      </c>
      <c r="FH76" t="e">
        <f>'All regions'!F1899+"n/&gt;!%Nh"</f>
        <v>#VALUE!</v>
      </c>
      <c r="FI76" t="e">
        <f>'All regions'!G1899+"n/&gt;!%Ni"</f>
        <v>#VALUE!</v>
      </c>
      <c r="FJ76" t="e">
        <f>'All regions'!H1899+"n/&gt;!%Nj"</f>
        <v>#VALUE!</v>
      </c>
      <c r="FK76" t="e">
        <f>'All regions'!I1899+"n/&gt;!%Nk"</f>
        <v>#VALUE!</v>
      </c>
      <c r="FL76" t="e">
        <f>'All regions'!J1899+"n/&gt;!%Nl"</f>
        <v>#VALUE!</v>
      </c>
      <c r="FM76" t="e">
        <f>'All regions'!A1900+"n/&gt;!%Nm"</f>
        <v>#VALUE!</v>
      </c>
      <c r="FN76" t="e">
        <f>'All regions'!B1900+"n/&gt;!%Nn"</f>
        <v>#VALUE!</v>
      </c>
      <c r="FO76" t="e">
        <f>'All regions'!C1900+"n/&gt;!%No"</f>
        <v>#VALUE!</v>
      </c>
      <c r="FP76" t="e">
        <f>'All regions'!D1900+"n/&gt;!%Np"</f>
        <v>#VALUE!</v>
      </c>
      <c r="FQ76" t="e">
        <f>'All regions'!E1900+"n/&gt;!%Nq"</f>
        <v>#VALUE!</v>
      </c>
      <c r="FR76" t="e">
        <f>'All regions'!F1900+"n/&gt;!%Nr"</f>
        <v>#VALUE!</v>
      </c>
      <c r="FS76" t="e">
        <f>'All regions'!G1900+"n/&gt;!%Ns"</f>
        <v>#VALUE!</v>
      </c>
      <c r="FT76" t="e">
        <f>'All regions'!H1900+"n/&gt;!%Nt"</f>
        <v>#VALUE!</v>
      </c>
      <c r="FU76" t="e">
        <f>'All regions'!I1900+"n/&gt;!%Nu"</f>
        <v>#VALUE!</v>
      </c>
      <c r="FV76" t="e">
        <f>'All regions'!J1900+"n/&gt;!%Nv"</f>
        <v>#VALUE!</v>
      </c>
      <c r="FW76" t="e">
        <f>'All regions'!A1901+"n/&gt;!%Nw"</f>
        <v>#VALUE!</v>
      </c>
      <c r="FX76" t="e">
        <f>'All regions'!B1901+"n/&gt;!%Nx"</f>
        <v>#VALUE!</v>
      </c>
      <c r="FY76" t="e">
        <f>'All regions'!C1901+"n/&gt;!%Ny"</f>
        <v>#VALUE!</v>
      </c>
      <c r="FZ76" t="e">
        <f>'All regions'!D1901+"n/&gt;!%Nz"</f>
        <v>#VALUE!</v>
      </c>
      <c r="GA76" t="e">
        <f>'All regions'!E1901+"n/&gt;!%N{"</f>
        <v>#VALUE!</v>
      </c>
      <c r="GB76" t="e">
        <f>'All regions'!F1901+"n/&gt;!%N|"</f>
        <v>#VALUE!</v>
      </c>
      <c r="GC76" t="e">
        <f>'All regions'!G1901+"n/&gt;!%N}"</f>
        <v>#VALUE!</v>
      </c>
      <c r="GD76" t="e">
        <f>'All regions'!H1901+"n/&gt;!%N~"</f>
        <v>#VALUE!</v>
      </c>
      <c r="GE76" t="e">
        <f>'All regions'!I1901+"n/&gt;!%O#"</f>
        <v>#VALUE!</v>
      </c>
      <c r="GF76" t="e">
        <f>'All regions'!J1901+"n/&gt;!%O$"</f>
        <v>#VALUE!</v>
      </c>
      <c r="GG76" t="e">
        <f>'All regions'!A1902+"n/&gt;!%O%"</f>
        <v>#VALUE!</v>
      </c>
      <c r="GH76" t="e">
        <f>'All regions'!B1902+"n/&gt;!%O&amp;"</f>
        <v>#VALUE!</v>
      </c>
      <c r="GI76" t="e">
        <f>'All regions'!C1902+"n/&gt;!%O'"</f>
        <v>#VALUE!</v>
      </c>
      <c r="GJ76" t="e">
        <f>'All regions'!D1902+"n/&gt;!%O("</f>
        <v>#VALUE!</v>
      </c>
      <c r="GK76" t="e">
        <f>'All regions'!E1902+"n/&gt;!%O)"</f>
        <v>#VALUE!</v>
      </c>
      <c r="GL76" t="e">
        <f>'All regions'!F1902+"n/&gt;!%O."</f>
        <v>#VALUE!</v>
      </c>
      <c r="GM76" t="e">
        <f>'All regions'!G1902+"n/&gt;!%O/"</f>
        <v>#VALUE!</v>
      </c>
      <c r="GN76" t="e">
        <f>'All regions'!H1902+"n/&gt;!%O0"</f>
        <v>#VALUE!</v>
      </c>
      <c r="GO76" t="e">
        <f>'All regions'!I1902+"n/&gt;!%O1"</f>
        <v>#VALUE!</v>
      </c>
      <c r="GP76" t="e">
        <f>'All regions'!J1902+"n/&gt;!%O2"</f>
        <v>#VALUE!</v>
      </c>
      <c r="GQ76" t="e">
        <f>'All regions'!A1903+"n/&gt;!%O3"</f>
        <v>#VALUE!</v>
      </c>
      <c r="GR76" t="e">
        <f>'All regions'!B1903+"n/&gt;!%O4"</f>
        <v>#VALUE!</v>
      </c>
      <c r="GS76" t="e">
        <f>'All regions'!C1903+"n/&gt;!%O5"</f>
        <v>#VALUE!</v>
      </c>
      <c r="GT76" t="e">
        <f>'All regions'!D1903+"n/&gt;!%O6"</f>
        <v>#VALUE!</v>
      </c>
      <c r="GU76" t="e">
        <f>'All regions'!E1903+"n/&gt;!%O7"</f>
        <v>#VALUE!</v>
      </c>
      <c r="GV76" t="e">
        <f>'All regions'!F1903+"n/&gt;!%O8"</f>
        <v>#VALUE!</v>
      </c>
      <c r="GW76" t="e">
        <f>'All regions'!G1903+"n/&gt;!%O9"</f>
        <v>#VALUE!</v>
      </c>
      <c r="GX76" t="e">
        <f>'All regions'!H1903+"n/&gt;!%O:"</f>
        <v>#VALUE!</v>
      </c>
      <c r="GY76" t="e">
        <f>'All regions'!I1903+"n/&gt;!%O;"</f>
        <v>#VALUE!</v>
      </c>
      <c r="GZ76" t="e">
        <f>'All regions'!J1903+"n/&gt;!%O&lt;"</f>
        <v>#VALUE!</v>
      </c>
      <c r="HA76" t="e">
        <f>'All regions'!A1904+"n/&gt;!%O="</f>
        <v>#VALUE!</v>
      </c>
      <c r="HB76" t="e">
        <f>'All regions'!B1904+"n/&gt;!%O&gt;"</f>
        <v>#VALUE!</v>
      </c>
      <c r="HC76" t="e">
        <f>'All regions'!C1904+"n/&gt;!%O?"</f>
        <v>#VALUE!</v>
      </c>
      <c r="HD76" t="e">
        <f>'All regions'!D1904+"n/&gt;!%O@"</f>
        <v>#VALUE!</v>
      </c>
      <c r="HE76" t="e">
        <f>'All regions'!E1904+"n/&gt;!%OA"</f>
        <v>#VALUE!</v>
      </c>
      <c r="HF76" t="e">
        <f>'All regions'!F1904+"n/&gt;!%OB"</f>
        <v>#VALUE!</v>
      </c>
      <c r="HG76" t="e">
        <f>'All regions'!G1904+"n/&gt;!%OC"</f>
        <v>#VALUE!</v>
      </c>
      <c r="HH76" t="e">
        <f>'All regions'!H1904+"n/&gt;!%OD"</f>
        <v>#VALUE!</v>
      </c>
      <c r="HI76" t="e">
        <f>'All regions'!I1904+"n/&gt;!%OE"</f>
        <v>#VALUE!</v>
      </c>
      <c r="HJ76" t="e">
        <f>'All regions'!J1904+"n/&gt;!%OF"</f>
        <v>#VALUE!</v>
      </c>
      <c r="HK76" t="e">
        <f>'All regions'!A1905+"n/&gt;!%OG"</f>
        <v>#VALUE!</v>
      </c>
      <c r="HL76" t="e">
        <f>'All regions'!B1905+"n/&gt;!%OH"</f>
        <v>#VALUE!</v>
      </c>
      <c r="HM76" t="e">
        <f>'All regions'!C1905+"n/&gt;!%OI"</f>
        <v>#VALUE!</v>
      </c>
      <c r="HN76" t="e">
        <f>'All regions'!D1905+"n/&gt;!%OJ"</f>
        <v>#VALUE!</v>
      </c>
      <c r="HO76" t="e">
        <f>'All regions'!E1905+"n/&gt;!%OK"</f>
        <v>#VALUE!</v>
      </c>
      <c r="HP76" t="e">
        <f>'All regions'!F1905+"n/&gt;!%OL"</f>
        <v>#VALUE!</v>
      </c>
      <c r="HQ76" t="e">
        <f>'All regions'!G1905+"n/&gt;!%OM"</f>
        <v>#VALUE!</v>
      </c>
      <c r="HR76" t="e">
        <f>'All regions'!H1905+"n/&gt;!%ON"</f>
        <v>#VALUE!</v>
      </c>
      <c r="HS76" t="e">
        <f>'All regions'!I1905+"n/&gt;!%OO"</f>
        <v>#VALUE!</v>
      </c>
      <c r="HT76" t="e">
        <f>'All regions'!J1905+"n/&gt;!%OP"</f>
        <v>#VALUE!</v>
      </c>
      <c r="HU76" t="e">
        <f>'All regions'!A1906+"n/&gt;!%OQ"</f>
        <v>#VALUE!</v>
      </c>
      <c r="HV76" t="e">
        <f>'All regions'!B1906+"n/&gt;!%OR"</f>
        <v>#VALUE!</v>
      </c>
      <c r="HW76" t="e">
        <f>'All regions'!C1906+"n/&gt;!%OS"</f>
        <v>#VALUE!</v>
      </c>
      <c r="HX76" t="e">
        <f>'All regions'!D1906+"n/&gt;!%OT"</f>
        <v>#VALUE!</v>
      </c>
      <c r="HY76" t="e">
        <f>'All regions'!E1906+"n/&gt;!%OU"</f>
        <v>#VALUE!</v>
      </c>
      <c r="HZ76" t="e">
        <f>'All regions'!F1906+"n/&gt;!%OV"</f>
        <v>#VALUE!</v>
      </c>
      <c r="IA76" t="e">
        <f>'All regions'!G1906+"n/&gt;!%OW"</f>
        <v>#VALUE!</v>
      </c>
      <c r="IB76" t="e">
        <f>'All regions'!H1906+"n/&gt;!%OX"</f>
        <v>#VALUE!</v>
      </c>
      <c r="IC76" t="e">
        <f>'All regions'!I1906+"n/&gt;!%OY"</f>
        <v>#VALUE!</v>
      </c>
      <c r="ID76" t="e">
        <f>'All regions'!J1906+"n/&gt;!%OZ"</f>
        <v>#VALUE!</v>
      </c>
      <c r="IE76" t="e">
        <f>'All regions'!A1907+"n/&gt;!%O["</f>
        <v>#VALUE!</v>
      </c>
      <c r="IF76" t="e">
        <f>'All regions'!B1907+"n/&gt;!%O\"</f>
        <v>#VALUE!</v>
      </c>
      <c r="IG76" t="e">
        <f>'All regions'!C1907+"n/&gt;!%O]"</f>
        <v>#VALUE!</v>
      </c>
      <c r="IH76" t="e">
        <f>'All regions'!D1907+"n/&gt;!%O^"</f>
        <v>#VALUE!</v>
      </c>
      <c r="II76" t="e">
        <f>'All regions'!E1907+"n/&gt;!%O_"</f>
        <v>#VALUE!</v>
      </c>
      <c r="IJ76" t="e">
        <f>'All regions'!F1907+"n/&gt;!%O`"</f>
        <v>#VALUE!</v>
      </c>
      <c r="IK76" t="e">
        <f>'All regions'!G1907+"n/&gt;!%Oa"</f>
        <v>#VALUE!</v>
      </c>
      <c r="IL76" t="e">
        <f>'All regions'!H1907+"n/&gt;!%Ob"</f>
        <v>#VALUE!</v>
      </c>
      <c r="IM76" t="e">
        <f>'All regions'!I1907+"n/&gt;!%Oc"</f>
        <v>#VALUE!</v>
      </c>
      <c r="IN76" t="e">
        <f>'All regions'!J1907+"n/&gt;!%Od"</f>
        <v>#VALUE!</v>
      </c>
      <c r="IO76" t="e">
        <f>'All regions'!A1908+"n/&gt;!%Oe"</f>
        <v>#VALUE!</v>
      </c>
      <c r="IP76" t="e">
        <f>'All regions'!B1908+"n/&gt;!%Of"</f>
        <v>#VALUE!</v>
      </c>
      <c r="IQ76" t="e">
        <f>'All regions'!C1908+"n/&gt;!%Og"</f>
        <v>#VALUE!</v>
      </c>
      <c r="IR76" t="e">
        <f>'All regions'!D1908+"n/&gt;!%Oh"</f>
        <v>#VALUE!</v>
      </c>
      <c r="IS76" t="e">
        <f>'All regions'!E1908+"n/&gt;!%Oi"</f>
        <v>#VALUE!</v>
      </c>
      <c r="IT76" t="e">
        <f>'All regions'!F1908+"n/&gt;!%Oj"</f>
        <v>#VALUE!</v>
      </c>
      <c r="IU76" t="e">
        <f>'All regions'!G1908+"n/&gt;!%Ok"</f>
        <v>#VALUE!</v>
      </c>
      <c r="IV76" t="e">
        <f>'All regions'!H1908+"n/&gt;!%Ol"</f>
        <v>#VALUE!</v>
      </c>
    </row>
    <row r="77" spans="6:256" x14ac:dyDescent="0.35">
      <c r="F77" t="e">
        <f>'All regions'!I1908+"n/&gt;!%Om"</f>
        <v>#VALUE!</v>
      </c>
      <c r="G77" t="e">
        <f>'All regions'!J1908+"n/&gt;!%On"</f>
        <v>#VALUE!</v>
      </c>
      <c r="H77" t="e">
        <f>'All regions'!A1909+"n/&gt;!%Oo"</f>
        <v>#VALUE!</v>
      </c>
      <c r="I77" t="e">
        <f>'All regions'!B1909+"n/&gt;!%Op"</f>
        <v>#VALUE!</v>
      </c>
      <c r="J77" t="e">
        <f>'All regions'!C1909+"n/&gt;!%Oq"</f>
        <v>#VALUE!</v>
      </c>
      <c r="K77" t="e">
        <f>'All regions'!D1909+"n/&gt;!%Or"</f>
        <v>#VALUE!</v>
      </c>
      <c r="L77" t="e">
        <f>'All regions'!E1909+"n/&gt;!%Os"</f>
        <v>#VALUE!</v>
      </c>
      <c r="M77" t="e">
        <f>'All regions'!F1909+"n/&gt;!%Ot"</f>
        <v>#VALUE!</v>
      </c>
      <c r="N77" t="e">
        <f>'All regions'!G1909+"n/&gt;!%Ou"</f>
        <v>#VALUE!</v>
      </c>
      <c r="O77" t="e">
        <f>'All regions'!H1909+"n/&gt;!%Ov"</f>
        <v>#VALUE!</v>
      </c>
      <c r="P77" t="e">
        <f>'All regions'!I1909+"n/&gt;!%Ow"</f>
        <v>#VALUE!</v>
      </c>
      <c r="Q77" t="e">
        <f>'All regions'!J1909+"n/&gt;!%Ox"</f>
        <v>#VALUE!</v>
      </c>
      <c r="R77" t="e">
        <f>'All regions'!A1910+"n/&gt;!%Oy"</f>
        <v>#VALUE!</v>
      </c>
      <c r="S77" t="e">
        <f>'All regions'!B1910+"n/&gt;!%Oz"</f>
        <v>#VALUE!</v>
      </c>
      <c r="T77" t="e">
        <f>'All regions'!C1910+"n/&gt;!%O{"</f>
        <v>#VALUE!</v>
      </c>
      <c r="U77" t="e">
        <f>'All regions'!D1910+"n/&gt;!%O|"</f>
        <v>#VALUE!</v>
      </c>
      <c r="V77" t="e">
        <f>'All regions'!E1910+"n/&gt;!%O}"</f>
        <v>#VALUE!</v>
      </c>
      <c r="W77" t="e">
        <f>'All regions'!F1910+"n/&gt;!%O~"</f>
        <v>#VALUE!</v>
      </c>
      <c r="X77" t="e">
        <f>'All regions'!G1910+"n/&gt;!%P#"</f>
        <v>#VALUE!</v>
      </c>
      <c r="Y77" t="e">
        <f>'All regions'!H1910+"n/&gt;!%P$"</f>
        <v>#VALUE!</v>
      </c>
      <c r="Z77" t="e">
        <f>'All regions'!I1910+"n/&gt;!%P%"</f>
        <v>#VALUE!</v>
      </c>
      <c r="AA77" t="e">
        <f>'All regions'!J1910+"n/&gt;!%P&amp;"</f>
        <v>#VALUE!</v>
      </c>
      <c r="AB77" t="e">
        <f>'All regions'!A1911+"n/&gt;!%P'"</f>
        <v>#VALUE!</v>
      </c>
      <c r="AC77" t="e">
        <f>'All regions'!B1911+"n/&gt;!%P("</f>
        <v>#VALUE!</v>
      </c>
      <c r="AD77" t="e">
        <f>'All regions'!C1911+"n/&gt;!%P)"</f>
        <v>#VALUE!</v>
      </c>
      <c r="AE77" t="e">
        <f>'All regions'!D1911+"n/&gt;!%P."</f>
        <v>#VALUE!</v>
      </c>
      <c r="AF77" t="e">
        <f>'All regions'!E1911+"n/&gt;!%P/"</f>
        <v>#VALUE!</v>
      </c>
      <c r="AG77" t="e">
        <f>'All regions'!F1911+"n/&gt;!%P0"</f>
        <v>#VALUE!</v>
      </c>
      <c r="AH77" t="e">
        <f>'All regions'!G1911+"n/&gt;!%P1"</f>
        <v>#VALUE!</v>
      </c>
      <c r="AI77" t="e">
        <f>'All regions'!H1911+"n/&gt;!%P2"</f>
        <v>#VALUE!</v>
      </c>
      <c r="AJ77" t="e">
        <f>'All regions'!I1911+"n/&gt;!%P3"</f>
        <v>#VALUE!</v>
      </c>
      <c r="AK77" t="e">
        <f>'All regions'!J1911+"n/&gt;!%P4"</f>
        <v>#VALUE!</v>
      </c>
      <c r="AL77" t="e">
        <f>'All regions'!A1912+"n/&gt;!%P5"</f>
        <v>#VALUE!</v>
      </c>
      <c r="AM77" t="e">
        <f>'All regions'!B1912+"n/&gt;!%P6"</f>
        <v>#VALUE!</v>
      </c>
      <c r="AN77" t="e">
        <f>'All regions'!C1912+"n/&gt;!%P7"</f>
        <v>#VALUE!</v>
      </c>
      <c r="AO77" t="e">
        <f>'All regions'!D1912+"n/&gt;!%P8"</f>
        <v>#VALUE!</v>
      </c>
      <c r="AP77" t="e">
        <f>'All regions'!E1912+"n/&gt;!%P9"</f>
        <v>#VALUE!</v>
      </c>
      <c r="AQ77" t="e">
        <f>'All regions'!F1912+"n/&gt;!%P:"</f>
        <v>#VALUE!</v>
      </c>
      <c r="AR77" t="e">
        <f>'All regions'!G1912+"n/&gt;!%P;"</f>
        <v>#VALUE!</v>
      </c>
      <c r="AS77" t="e">
        <f>'All regions'!H1912+"n/&gt;!%P&lt;"</f>
        <v>#VALUE!</v>
      </c>
      <c r="AT77" t="e">
        <f>'All regions'!I1912+"n/&gt;!%P="</f>
        <v>#VALUE!</v>
      </c>
      <c r="AU77" t="e">
        <f>'All regions'!J1912+"n/&gt;!%P&gt;"</f>
        <v>#VALUE!</v>
      </c>
      <c r="AV77" t="e">
        <f>'All regions'!A1913+"n/&gt;!%P?"</f>
        <v>#VALUE!</v>
      </c>
      <c r="AW77" t="e">
        <f>'All regions'!B1913+"n/&gt;!%P@"</f>
        <v>#VALUE!</v>
      </c>
      <c r="AX77" t="e">
        <f>'All regions'!C1913+"n/&gt;!%PA"</f>
        <v>#VALUE!</v>
      </c>
      <c r="AY77" t="e">
        <f>'All regions'!D1913+"n/&gt;!%PB"</f>
        <v>#VALUE!</v>
      </c>
      <c r="AZ77" t="e">
        <f>'All regions'!E1913+"n/&gt;!%PC"</f>
        <v>#VALUE!</v>
      </c>
      <c r="BA77" t="e">
        <f>'All regions'!F1913+"n/&gt;!%PD"</f>
        <v>#VALUE!</v>
      </c>
      <c r="BB77" t="e">
        <f>'All regions'!G1913+"n/&gt;!%PE"</f>
        <v>#VALUE!</v>
      </c>
      <c r="BC77" t="e">
        <f>'All regions'!H1913+"n/&gt;!%PF"</f>
        <v>#VALUE!</v>
      </c>
      <c r="BD77" t="e">
        <f>'All regions'!I1913+"n/&gt;!%PG"</f>
        <v>#VALUE!</v>
      </c>
      <c r="BE77" t="e">
        <f>'All regions'!J1913+"n/&gt;!%PH"</f>
        <v>#VALUE!</v>
      </c>
      <c r="BF77" t="e">
        <f>'All regions'!A1914+"n/&gt;!%PI"</f>
        <v>#VALUE!</v>
      </c>
      <c r="BG77" t="e">
        <f>'All regions'!B1914+"n/&gt;!%PJ"</f>
        <v>#VALUE!</v>
      </c>
      <c r="BH77" t="e">
        <f>'All regions'!C1914+"n/&gt;!%PK"</f>
        <v>#VALUE!</v>
      </c>
      <c r="BI77" t="e">
        <f>'All regions'!D1914+"n/&gt;!%PL"</f>
        <v>#VALUE!</v>
      </c>
      <c r="BJ77" t="e">
        <f>'All regions'!E1914+"n/&gt;!%PM"</f>
        <v>#VALUE!</v>
      </c>
      <c r="BK77" t="e">
        <f>'All regions'!F1914+"n/&gt;!%PN"</f>
        <v>#VALUE!</v>
      </c>
      <c r="BL77" t="e">
        <f>'All regions'!G1914+"n/&gt;!%PO"</f>
        <v>#VALUE!</v>
      </c>
      <c r="BM77" t="e">
        <f>'All regions'!H1914+"n/&gt;!%PP"</f>
        <v>#VALUE!</v>
      </c>
      <c r="BN77" t="e">
        <f>'All regions'!I1914+"n/&gt;!%PQ"</f>
        <v>#VALUE!</v>
      </c>
      <c r="BO77" t="e">
        <f>'All regions'!J1914+"n/&gt;!%PR"</f>
        <v>#VALUE!</v>
      </c>
      <c r="BP77" t="e">
        <f>'All regions'!A1915+"n/&gt;!%PS"</f>
        <v>#VALUE!</v>
      </c>
      <c r="BQ77" t="e">
        <f>'All regions'!B1915+"n/&gt;!%PT"</f>
        <v>#VALUE!</v>
      </c>
      <c r="BR77" t="e">
        <f>'All regions'!C1915+"n/&gt;!%PU"</f>
        <v>#VALUE!</v>
      </c>
      <c r="BS77" t="e">
        <f>'All regions'!D1915+"n/&gt;!%PV"</f>
        <v>#VALUE!</v>
      </c>
      <c r="BT77" t="e">
        <f>'All regions'!E1915+"n/&gt;!%PW"</f>
        <v>#VALUE!</v>
      </c>
      <c r="BU77" t="e">
        <f>'All regions'!F1915+"n/&gt;!%PX"</f>
        <v>#VALUE!</v>
      </c>
      <c r="BV77" t="e">
        <f>'All regions'!G1915+"n/&gt;!%PY"</f>
        <v>#VALUE!</v>
      </c>
      <c r="BW77" t="e">
        <f>'All regions'!H1915+"n/&gt;!%PZ"</f>
        <v>#VALUE!</v>
      </c>
      <c r="BX77" t="e">
        <f>'All regions'!I1915+"n/&gt;!%P["</f>
        <v>#VALUE!</v>
      </c>
      <c r="BY77" t="e">
        <f>'All regions'!J1915+"n/&gt;!%P\"</f>
        <v>#VALUE!</v>
      </c>
      <c r="BZ77" t="e">
        <f>'All regions'!A1916+"n/&gt;!%P]"</f>
        <v>#VALUE!</v>
      </c>
      <c r="CA77" t="e">
        <f>'All regions'!B1916+"n/&gt;!%P^"</f>
        <v>#VALUE!</v>
      </c>
      <c r="CB77" t="e">
        <f>'All regions'!C1916+"n/&gt;!%P_"</f>
        <v>#VALUE!</v>
      </c>
      <c r="CC77" t="e">
        <f>'All regions'!D1916+"n/&gt;!%P`"</f>
        <v>#VALUE!</v>
      </c>
      <c r="CD77" t="e">
        <f>'All regions'!E1916+"n/&gt;!%Pa"</f>
        <v>#VALUE!</v>
      </c>
      <c r="CE77" t="e">
        <f>'All regions'!F1916+"n/&gt;!%Pb"</f>
        <v>#VALUE!</v>
      </c>
      <c r="CF77" t="e">
        <f>'All regions'!G1916+"n/&gt;!%Pc"</f>
        <v>#VALUE!</v>
      </c>
      <c r="CG77" t="e">
        <f>'All regions'!H1916+"n/&gt;!%Pd"</f>
        <v>#VALUE!</v>
      </c>
      <c r="CH77" t="e">
        <f>'All regions'!I1916+"n/&gt;!%Pe"</f>
        <v>#VALUE!</v>
      </c>
      <c r="CI77" t="e">
        <f>'All regions'!J1916+"n/&gt;!%Pf"</f>
        <v>#VALUE!</v>
      </c>
      <c r="CJ77" t="e">
        <f>'All regions'!A1917+"n/&gt;!%Pg"</f>
        <v>#VALUE!</v>
      </c>
      <c r="CK77" t="e">
        <f>'All regions'!B1917+"n/&gt;!%Ph"</f>
        <v>#VALUE!</v>
      </c>
      <c r="CL77" t="e">
        <f>'All regions'!C1917+"n/&gt;!%Pi"</f>
        <v>#VALUE!</v>
      </c>
      <c r="CM77" t="e">
        <f>'All regions'!D1917+"n/&gt;!%Pj"</f>
        <v>#VALUE!</v>
      </c>
      <c r="CN77" t="e">
        <f>'All regions'!E1917+"n/&gt;!%Pk"</f>
        <v>#VALUE!</v>
      </c>
      <c r="CO77" t="e">
        <f>'All regions'!F1917+"n/&gt;!%Pl"</f>
        <v>#VALUE!</v>
      </c>
      <c r="CP77" t="e">
        <f>'All regions'!G1917+"n/&gt;!%Pm"</f>
        <v>#VALUE!</v>
      </c>
      <c r="CQ77" t="e">
        <f>'All regions'!H1917+"n/&gt;!%Pn"</f>
        <v>#VALUE!</v>
      </c>
      <c r="CR77" t="e">
        <f>'All regions'!I1917+"n/&gt;!%Po"</f>
        <v>#VALUE!</v>
      </c>
      <c r="CS77" t="e">
        <f>'All regions'!J1917+"n/&gt;!%Pp"</f>
        <v>#VALUE!</v>
      </c>
      <c r="CT77" t="e">
        <f>'All regions'!A1918+"n/&gt;!%Pq"</f>
        <v>#VALUE!</v>
      </c>
      <c r="CU77" t="e">
        <f>'All regions'!B1918+"n/&gt;!%Pr"</f>
        <v>#VALUE!</v>
      </c>
      <c r="CV77" t="e">
        <f>'All regions'!C1918+"n/&gt;!%Ps"</f>
        <v>#VALUE!</v>
      </c>
      <c r="CW77" t="e">
        <f>'All regions'!D1918+"n/&gt;!%Pt"</f>
        <v>#VALUE!</v>
      </c>
      <c r="CX77" t="e">
        <f>'All regions'!E1918+"n/&gt;!%Pu"</f>
        <v>#VALUE!</v>
      </c>
      <c r="CY77" t="e">
        <f>'All regions'!F1918+"n/&gt;!%Pv"</f>
        <v>#VALUE!</v>
      </c>
      <c r="CZ77" t="e">
        <f>'All regions'!G1918+"n/&gt;!%Pw"</f>
        <v>#VALUE!</v>
      </c>
      <c r="DA77" t="e">
        <f>'All regions'!H1918+"n/&gt;!%Px"</f>
        <v>#VALUE!</v>
      </c>
      <c r="DB77" t="e">
        <f>'All regions'!I1918+"n/&gt;!%Py"</f>
        <v>#VALUE!</v>
      </c>
      <c r="DC77" t="e">
        <f>'All regions'!J1918+"n/&gt;!%Pz"</f>
        <v>#VALUE!</v>
      </c>
      <c r="DD77" t="e">
        <f>'All regions'!A1919+"n/&gt;!%P{"</f>
        <v>#VALUE!</v>
      </c>
      <c r="DE77" t="e">
        <f>'All regions'!B1919+"n/&gt;!%P|"</f>
        <v>#VALUE!</v>
      </c>
      <c r="DF77" t="e">
        <f>'All regions'!C1919+"n/&gt;!%P}"</f>
        <v>#VALUE!</v>
      </c>
      <c r="DG77" t="e">
        <f>'All regions'!D1919+"n/&gt;!%P~"</f>
        <v>#VALUE!</v>
      </c>
      <c r="DH77" t="e">
        <f>'All regions'!E1919+"n/&gt;!%Q#"</f>
        <v>#VALUE!</v>
      </c>
      <c r="DI77" t="e">
        <f>'All regions'!F1919+"n/&gt;!%Q$"</f>
        <v>#VALUE!</v>
      </c>
      <c r="DJ77" t="e">
        <f>'All regions'!G1919+"n/&gt;!%Q%"</f>
        <v>#VALUE!</v>
      </c>
      <c r="DK77" t="e">
        <f>'All regions'!H1919+"n/&gt;!%Q&amp;"</f>
        <v>#VALUE!</v>
      </c>
      <c r="DL77" t="e">
        <f>'All regions'!I1919+"n/&gt;!%Q'"</f>
        <v>#VALUE!</v>
      </c>
      <c r="DM77" t="e">
        <f>'All regions'!J1919+"n/&gt;!%Q("</f>
        <v>#VALUE!</v>
      </c>
      <c r="DN77" t="e">
        <f>'All regions'!A1920+"n/&gt;!%Q)"</f>
        <v>#VALUE!</v>
      </c>
      <c r="DO77" t="e">
        <f>'All regions'!B1920+"n/&gt;!%Q."</f>
        <v>#VALUE!</v>
      </c>
      <c r="DP77" t="e">
        <f>'All regions'!C1920+"n/&gt;!%Q/"</f>
        <v>#VALUE!</v>
      </c>
      <c r="DQ77" t="e">
        <f>'All regions'!D1920+"n/&gt;!%Q0"</f>
        <v>#VALUE!</v>
      </c>
      <c r="DR77" t="e">
        <f>'All regions'!E1920+"n/&gt;!%Q1"</f>
        <v>#VALUE!</v>
      </c>
      <c r="DS77" t="e">
        <f>'All regions'!F1920+"n/&gt;!%Q2"</f>
        <v>#VALUE!</v>
      </c>
      <c r="DT77" t="e">
        <f>'All regions'!G1920+"n/&gt;!%Q3"</f>
        <v>#VALUE!</v>
      </c>
      <c r="DU77" t="e">
        <f>'All regions'!H1920+"n/&gt;!%Q4"</f>
        <v>#VALUE!</v>
      </c>
      <c r="DV77" t="e">
        <f>'All regions'!I1920+"n/&gt;!%Q5"</f>
        <v>#VALUE!</v>
      </c>
      <c r="DW77" t="e">
        <f>'All regions'!J1920+"n/&gt;!%Q6"</f>
        <v>#VALUE!</v>
      </c>
      <c r="DX77" t="e">
        <f>'All regions'!A1921+"n/&gt;!%Q7"</f>
        <v>#VALUE!</v>
      </c>
      <c r="DY77" t="e">
        <f>'All regions'!B1921+"n/&gt;!%Q8"</f>
        <v>#VALUE!</v>
      </c>
      <c r="DZ77" t="e">
        <f>'All regions'!C1921+"n/&gt;!%Q9"</f>
        <v>#VALUE!</v>
      </c>
      <c r="EA77" t="e">
        <f>'All regions'!D1921+"n/&gt;!%Q:"</f>
        <v>#VALUE!</v>
      </c>
      <c r="EB77" t="e">
        <f>'All regions'!E1921+"n/&gt;!%Q;"</f>
        <v>#VALUE!</v>
      </c>
      <c r="EC77" t="e">
        <f>'All regions'!F1921+"n/&gt;!%Q&lt;"</f>
        <v>#VALUE!</v>
      </c>
      <c r="ED77" t="e">
        <f>'All regions'!G1921+"n/&gt;!%Q="</f>
        <v>#VALUE!</v>
      </c>
      <c r="EE77" t="e">
        <f>'All regions'!H1921+"n/&gt;!%Q&gt;"</f>
        <v>#VALUE!</v>
      </c>
      <c r="EF77" t="e">
        <f>'All regions'!I1921+"n/&gt;!%Q?"</f>
        <v>#VALUE!</v>
      </c>
      <c r="EG77" t="e">
        <f>'All regions'!J1921+"n/&gt;!%Q@"</f>
        <v>#VALUE!</v>
      </c>
      <c r="EH77" t="e">
        <f>'All regions'!A1922+"n/&gt;!%QA"</f>
        <v>#VALUE!</v>
      </c>
      <c r="EI77" t="e">
        <f>'All regions'!B1922+"n/&gt;!%QB"</f>
        <v>#VALUE!</v>
      </c>
      <c r="EJ77" t="e">
        <f>'All regions'!C1922+"n/&gt;!%QC"</f>
        <v>#VALUE!</v>
      </c>
      <c r="EK77" t="e">
        <f>'All regions'!D1922+"n/&gt;!%QD"</f>
        <v>#VALUE!</v>
      </c>
      <c r="EL77" t="e">
        <f>'All regions'!E1922+"n/&gt;!%QE"</f>
        <v>#VALUE!</v>
      </c>
      <c r="EM77" t="e">
        <f>'All regions'!F1922+"n/&gt;!%QF"</f>
        <v>#VALUE!</v>
      </c>
      <c r="EN77" t="e">
        <f>'All regions'!G1922+"n/&gt;!%QG"</f>
        <v>#VALUE!</v>
      </c>
      <c r="EO77" t="e">
        <f>'All regions'!H1922+"n/&gt;!%QH"</f>
        <v>#VALUE!</v>
      </c>
      <c r="EP77" t="e">
        <f>'All regions'!I1922+"n/&gt;!%QI"</f>
        <v>#VALUE!</v>
      </c>
      <c r="EQ77" t="e">
        <f>'All regions'!J1922+"n/&gt;!%QJ"</f>
        <v>#VALUE!</v>
      </c>
      <c r="ER77" t="e">
        <f>'All regions'!A1923+"n/&gt;!%QK"</f>
        <v>#VALUE!</v>
      </c>
      <c r="ES77" t="e">
        <f>'All regions'!B1923+"n/&gt;!%QL"</f>
        <v>#VALUE!</v>
      </c>
      <c r="ET77" t="e">
        <f>'All regions'!C1923+"n/&gt;!%QM"</f>
        <v>#VALUE!</v>
      </c>
      <c r="EU77" t="e">
        <f>'All regions'!D1923+"n/&gt;!%QN"</f>
        <v>#VALUE!</v>
      </c>
      <c r="EV77" t="e">
        <f>'All regions'!E1923+"n/&gt;!%QO"</f>
        <v>#VALUE!</v>
      </c>
      <c r="EW77" t="e">
        <f>'All regions'!F1923+"n/&gt;!%QP"</f>
        <v>#VALUE!</v>
      </c>
      <c r="EX77" t="e">
        <f>'All regions'!G1923+"n/&gt;!%QQ"</f>
        <v>#VALUE!</v>
      </c>
      <c r="EY77" t="e">
        <f>'All regions'!H1923+"n/&gt;!%QR"</f>
        <v>#VALUE!</v>
      </c>
      <c r="EZ77" t="e">
        <f>'All regions'!I1923+"n/&gt;!%QS"</f>
        <v>#VALUE!</v>
      </c>
      <c r="FA77" t="e">
        <f>'All regions'!J1923+"n/&gt;!%QT"</f>
        <v>#VALUE!</v>
      </c>
      <c r="FB77" t="e">
        <f>'All regions'!A1924+"n/&gt;!%QU"</f>
        <v>#VALUE!</v>
      </c>
      <c r="FC77" t="e">
        <f>'All regions'!B1924+"n/&gt;!%QV"</f>
        <v>#VALUE!</v>
      </c>
      <c r="FD77" t="e">
        <f>'All regions'!C1924+"n/&gt;!%QW"</f>
        <v>#VALUE!</v>
      </c>
      <c r="FE77" t="e">
        <f>'All regions'!D1924+"n/&gt;!%QX"</f>
        <v>#VALUE!</v>
      </c>
      <c r="FF77" t="e">
        <f>'All regions'!E1924+"n/&gt;!%QY"</f>
        <v>#VALUE!</v>
      </c>
      <c r="FG77" t="e">
        <f>'All regions'!F1924+"n/&gt;!%QZ"</f>
        <v>#VALUE!</v>
      </c>
      <c r="FH77" t="e">
        <f>'All regions'!G1924+"n/&gt;!%Q["</f>
        <v>#VALUE!</v>
      </c>
      <c r="FI77" t="e">
        <f>'All regions'!H1924+"n/&gt;!%Q\"</f>
        <v>#VALUE!</v>
      </c>
      <c r="FJ77" t="e">
        <f>'All regions'!I1924+"n/&gt;!%Q]"</f>
        <v>#VALUE!</v>
      </c>
      <c r="FK77" t="e">
        <f>'All regions'!J1924+"n/&gt;!%Q^"</f>
        <v>#VALUE!</v>
      </c>
      <c r="FL77" t="e">
        <f>'All regions'!A1925+"n/&gt;!%Q_"</f>
        <v>#VALUE!</v>
      </c>
      <c r="FM77" t="e">
        <f>'All regions'!B1925+"n/&gt;!%Q`"</f>
        <v>#VALUE!</v>
      </c>
      <c r="FN77" t="e">
        <f>'All regions'!C1925+"n/&gt;!%Qa"</f>
        <v>#VALUE!</v>
      </c>
      <c r="FO77" t="e">
        <f>'All regions'!D1925+"n/&gt;!%Qb"</f>
        <v>#VALUE!</v>
      </c>
      <c r="FP77" t="e">
        <f>'All regions'!E1925+"n/&gt;!%Qc"</f>
        <v>#VALUE!</v>
      </c>
      <c r="FQ77" t="e">
        <f>'All regions'!F1925+"n/&gt;!%Qd"</f>
        <v>#VALUE!</v>
      </c>
      <c r="FR77" t="e">
        <f>'All regions'!G1925+"n/&gt;!%Qe"</f>
        <v>#VALUE!</v>
      </c>
      <c r="FS77" t="e">
        <f>'All regions'!H1925+"n/&gt;!%Qf"</f>
        <v>#VALUE!</v>
      </c>
      <c r="FT77" t="e">
        <f>'All regions'!I1925+"n/&gt;!%Qg"</f>
        <v>#VALUE!</v>
      </c>
      <c r="FU77" t="e">
        <f>'All regions'!J1925+"n/&gt;!%Qh"</f>
        <v>#VALUE!</v>
      </c>
      <c r="FV77" t="e">
        <f>'All regions'!A1926+"n/&gt;!%Qi"</f>
        <v>#VALUE!</v>
      </c>
      <c r="FW77" t="e">
        <f>'All regions'!B1926+"n/&gt;!%Qj"</f>
        <v>#VALUE!</v>
      </c>
      <c r="FX77" t="e">
        <f>'All regions'!C1926+"n/&gt;!%Qk"</f>
        <v>#VALUE!</v>
      </c>
      <c r="FY77" t="e">
        <f>'All regions'!D1926+"n/&gt;!%Ql"</f>
        <v>#VALUE!</v>
      </c>
      <c r="FZ77" t="e">
        <f>'All regions'!E1926+"n/&gt;!%Qm"</f>
        <v>#VALUE!</v>
      </c>
      <c r="GA77" t="e">
        <f>'All regions'!F1926+"n/&gt;!%Qn"</f>
        <v>#VALUE!</v>
      </c>
      <c r="GB77" t="e">
        <f>'All regions'!G1926+"n/&gt;!%Qo"</f>
        <v>#VALUE!</v>
      </c>
      <c r="GC77" t="e">
        <f>'All regions'!H1926+"n/&gt;!%Qp"</f>
        <v>#VALUE!</v>
      </c>
      <c r="GD77" t="e">
        <f>'All regions'!I1926+"n/&gt;!%Qq"</f>
        <v>#VALUE!</v>
      </c>
      <c r="GE77" t="e">
        <f>'All regions'!J1926+"n/&gt;!%Qr"</f>
        <v>#VALUE!</v>
      </c>
      <c r="GF77" t="e">
        <f>'All regions'!A1927+"n/&gt;!%Qs"</f>
        <v>#VALUE!</v>
      </c>
      <c r="GG77" t="e">
        <f>'All regions'!B1927+"n/&gt;!%Qt"</f>
        <v>#VALUE!</v>
      </c>
      <c r="GH77" t="e">
        <f>'All regions'!C1927+"n/&gt;!%Qu"</f>
        <v>#VALUE!</v>
      </c>
      <c r="GI77" t="e">
        <f>'All regions'!D1927+"n/&gt;!%Qv"</f>
        <v>#VALUE!</v>
      </c>
      <c r="GJ77" t="e">
        <f>'All regions'!E1927+"n/&gt;!%Qw"</f>
        <v>#VALUE!</v>
      </c>
      <c r="GK77" t="e">
        <f>'All regions'!F1927+"n/&gt;!%Qx"</f>
        <v>#VALUE!</v>
      </c>
      <c r="GL77" t="e">
        <f>'All regions'!G1927+"n/&gt;!%Qy"</f>
        <v>#VALUE!</v>
      </c>
      <c r="GM77" t="e">
        <f>'All regions'!H1927+"n/&gt;!%Qz"</f>
        <v>#VALUE!</v>
      </c>
      <c r="GN77" t="e">
        <f>'All regions'!I1927+"n/&gt;!%Q{"</f>
        <v>#VALUE!</v>
      </c>
      <c r="GO77" t="e">
        <f>'All regions'!J1927+"n/&gt;!%Q|"</f>
        <v>#VALUE!</v>
      </c>
      <c r="GP77" t="e">
        <f>'All regions'!A1928+"n/&gt;!%Q}"</f>
        <v>#VALUE!</v>
      </c>
      <c r="GQ77" t="e">
        <f>'All regions'!B1928+"n/&gt;!%Q~"</f>
        <v>#VALUE!</v>
      </c>
      <c r="GR77" t="e">
        <f>'All regions'!C1928+"n/&gt;!%R#"</f>
        <v>#VALUE!</v>
      </c>
      <c r="GS77" t="e">
        <f>'All regions'!D1928+"n/&gt;!%R$"</f>
        <v>#VALUE!</v>
      </c>
      <c r="GT77" t="e">
        <f>'All regions'!E1928+"n/&gt;!%R%"</f>
        <v>#VALUE!</v>
      </c>
      <c r="GU77" t="e">
        <f>'All regions'!F1928+"n/&gt;!%R&amp;"</f>
        <v>#VALUE!</v>
      </c>
      <c r="GV77" t="e">
        <f>'All regions'!G1928+"n/&gt;!%R'"</f>
        <v>#VALUE!</v>
      </c>
      <c r="GW77" t="e">
        <f>'All regions'!H1928+"n/&gt;!%R("</f>
        <v>#VALUE!</v>
      </c>
      <c r="GX77" t="e">
        <f>'All regions'!I1928+"n/&gt;!%R)"</f>
        <v>#VALUE!</v>
      </c>
      <c r="GY77" t="e">
        <f>'All regions'!J1928+"n/&gt;!%R."</f>
        <v>#VALUE!</v>
      </c>
      <c r="GZ77" t="e">
        <f>'All regions'!A1929+"n/&gt;!%R/"</f>
        <v>#VALUE!</v>
      </c>
      <c r="HA77" t="e">
        <f>'All regions'!B1929+"n/&gt;!%R0"</f>
        <v>#VALUE!</v>
      </c>
      <c r="HB77" t="e">
        <f>'All regions'!C1929+"n/&gt;!%R1"</f>
        <v>#VALUE!</v>
      </c>
      <c r="HC77" t="e">
        <f>'All regions'!D1929+"n/&gt;!%R2"</f>
        <v>#VALUE!</v>
      </c>
      <c r="HD77" t="e">
        <f>'All regions'!E1929+"n/&gt;!%R3"</f>
        <v>#VALUE!</v>
      </c>
      <c r="HE77" t="e">
        <f>'All regions'!F1929+"n/&gt;!%R4"</f>
        <v>#VALUE!</v>
      </c>
      <c r="HF77" t="e">
        <f>'All regions'!G1929+"n/&gt;!%R5"</f>
        <v>#VALUE!</v>
      </c>
      <c r="HG77" t="e">
        <f>'All regions'!H1929+"n/&gt;!%R6"</f>
        <v>#VALUE!</v>
      </c>
      <c r="HH77" t="e">
        <f>'All regions'!I1929+"n/&gt;!%R7"</f>
        <v>#VALUE!</v>
      </c>
      <c r="HI77" t="e">
        <f>'All regions'!J1929+"n/&gt;!%R8"</f>
        <v>#VALUE!</v>
      </c>
      <c r="HJ77" t="e">
        <f>'All regions'!A1930+"n/&gt;!%R9"</f>
        <v>#VALUE!</v>
      </c>
      <c r="HK77" t="e">
        <f>'All regions'!B1930+"n/&gt;!%R:"</f>
        <v>#VALUE!</v>
      </c>
      <c r="HL77" t="e">
        <f>'All regions'!C1930+"n/&gt;!%R;"</f>
        <v>#VALUE!</v>
      </c>
      <c r="HM77" t="e">
        <f>'All regions'!D1930+"n/&gt;!%R&lt;"</f>
        <v>#VALUE!</v>
      </c>
      <c r="HN77" t="e">
        <f>'All regions'!E1930+"n/&gt;!%R="</f>
        <v>#VALUE!</v>
      </c>
      <c r="HO77" t="e">
        <f>'All regions'!F1930+"n/&gt;!%R&gt;"</f>
        <v>#VALUE!</v>
      </c>
      <c r="HP77" t="e">
        <f>'All regions'!G1930+"n/&gt;!%R?"</f>
        <v>#VALUE!</v>
      </c>
      <c r="HQ77" t="e">
        <f>'All regions'!H1930+"n/&gt;!%R@"</f>
        <v>#VALUE!</v>
      </c>
      <c r="HR77" t="e">
        <f>'All regions'!I1930+"n/&gt;!%RA"</f>
        <v>#VALUE!</v>
      </c>
      <c r="HS77" t="e">
        <f>'All regions'!J1930+"n/&gt;!%RB"</f>
        <v>#VALUE!</v>
      </c>
      <c r="HT77" t="e">
        <f>'All regions'!A1931+"n/&gt;!%RC"</f>
        <v>#VALUE!</v>
      </c>
      <c r="HU77" t="e">
        <f>'All regions'!B1931+"n/&gt;!%RD"</f>
        <v>#VALUE!</v>
      </c>
      <c r="HV77" t="e">
        <f>'All regions'!C1931+"n/&gt;!%RE"</f>
        <v>#VALUE!</v>
      </c>
      <c r="HW77" t="e">
        <f>'All regions'!D1931+"n/&gt;!%RF"</f>
        <v>#VALUE!</v>
      </c>
      <c r="HX77" t="e">
        <f>'All regions'!E1931+"n/&gt;!%RG"</f>
        <v>#VALUE!</v>
      </c>
      <c r="HY77" t="e">
        <f>'All regions'!F1931+"n/&gt;!%RH"</f>
        <v>#VALUE!</v>
      </c>
      <c r="HZ77" t="e">
        <f>'All regions'!G1931+"n/&gt;!%RI"</f>
        <v>#VALUE!</v>
      </c>
      <c r="IA77" t="e">
        <f>'All regions'!H1931+"n/&gt;!%RJ"</f>
        <v>#VALUE!</v>
      </c>
      <c r="IB77" t="e">
        <f>'All regions'!I1931+"n/&gt;!%RK"</f>
        <v>#VALUE!</v>
      </c>
      <c r="IC77" t="e">
        <f>'All regions'!J1931+"n/&gt;!%RL"</f>
        <v>#VALUE!</v>
      </c>
      <c r="ID77" t="e">
        <f>'All regions'!A1932+"n/&gt;!%RM"</f>
        <v>#VALUE!</v>
      </c>
      <c r="IE77" t="e">
        <f>'All regions'!B1932+"n/&gt;!%RN"</f>
        <v>#VALUE!</v>
      </c>
      <c r="IF77" t="e">
        <f>'All regions'!C1932+"n/&gt;!%RO"</f>
        <v>#VALUE!</v>
      </c>
      <c r="IG77" t="e">
        <f>'All regions'!D1932+"n/&gt;!%RP"</f>
        <v>#VALUE!</v>
      </c>
      <c r="IH77" t="e">
        <f>'All regions'!E1932+"n/&gt;!%RQ"</f>
        <v>#VALUE!</v>
      </c>
      <c r="II77" t="e">
        <f>'All regions'!F1932+"n/&gt;!%RR"</f>
        <v>#VALUE!</v>
      </c>
      <c r="IJ77" t="e">
        <f>'All regions'!G1932+"n/&gt;!%RS"</f>
        <v>#VALUE!</v>
      </c>
      <c r="IK77" t="e">
        <f>'All regions'!H1932+"n/&gt;!%RT"</f>
        <v>#VALUE!</v>
      </c>
      <c r="IL77" t="e">
        <f>'All regions'!I1932+"n/&gt;!%RU"</f>
        <v>#VALUE!</v>
      </c>
      <c r="IM77" t="e">
        <f>'All regions'!J1932+"n/&gt;!%RV"</f>
        <v>#VALUE!</v>
      </c>
      <c r="IN77" t="e">
        <f>'All regions'!A1933+"n/&gt;!%RW"</f>
        <v>#VALUE!</v>
      </c>
      <c r="IO77" t="e">
        <f>'All regions'!B1933+"n/&gt;!%RX"</f>
        <v>#VALUE!</v>
      </c>
      <c r="IP77" t="e">
        <f>'All regions'!C1933+"n/&gt;!%RY"</f>
        <v>#VALUE!</v>
      </c>
      <c r="IQ77" t="e">
        <f>'All regions'!D1933+"n/&gt;!%RZ"</f>
        <v>#VALUE!</v>
      </c>
      <c r="IR77" t="e">
        <f>'All regions'!E1933+"n/&gt;!%R["</f>
        <v>#VALUE!</v>
      </c>
      <c r="IS77" t="e">
        <f>'All regions'!F1933+"n/&gt;!%R\"</f>
        <v>#VALUE!</v>
      </c>
      <c r="IT77" t="e">
        <f>'All regions'!G1933+"n/&gt;!%R]"</f>
        <v>#VALUE!</v>
      </c>
      <c r="IU77" t="e">
        <f>'All regions'!H1933+"n/&gt;!%R^"</f>
        <v>#VALUE!</v>
      </c>
      <c r="IV77" t="e">
        <f>'All regions'!I1933+"n/&gt;!%R_"</f>
        <v>#VALUE!</v>
      </c>
    </row>
    <row r="78" spans="6:256" x14ac:dyDescent="0.35">
      <c r="F78" t="e">
        <f>'All regions'!J1933+"n/&gt;!%R`"</f>
        <v>#VALUE!</v>
      </c>
      <c r="G78" t="e">
        <f>'All regions'!A1934+"n/&gt;!%Ra"</f>
        <v>#VALUE!</v>
      </c>
      <c r="H78" t="e">
        <f>'All regions'!B1934+"n/&gt;!%Rb"</f>
        <v>#VALUE!</v>
      </c>
      <c r="I78" t="e">
        <f>'All regions'!C1934+"n/&gt;!%Rc"</f>
        <v>#VALUE!</v>
      </c>
      <c r="J78" t="e">
        <f>'All regions'!D1934+"n/&gt;!%Rd"</f>
        <v>#VALUE!</v>
      </c>
      <c r="K78" t="e">
        <f>'All regions'!E1934+"n/&gt;!%Re"</f>
        <v>#VALUE!</v>
      </c>
      <c r="L78" t="e">
        <f>'All regions'!F1934+"n/&gt;!%Rf"</f>
        <v>#VALUE!</v>
      </c>
      <c r="M78" t="e">
        <f>'All regions'!G1934+"n/&gt;!%Rg"</f>
        <v>#VALUE!</v>
      </c>
      <c r="N78" t="e">
        <f>'All regions'!H1934+"n/&gt;!%Rh"</f>
        <v>#VALUE!</v>
      </c>
      <c r="O78" t="e">
        <f>'All regions'!I1934+"n/&gt;!%Ri"</f>
        <v>#VALUE!</v>
      </c>
      <c r="P78" t="e">
        <f>'All regions'!J1934+"n/&gt;!%Rj"</f>
        <v>#VALUE!</v>
      </c>
      <c r="Q78" t="e">
        <f>'All regions'!A1935+"n/&gt;!%Rk"</f>
        <v>#VALUE!</v>
      </c>
      <c r="R78" t="e">
        <f>'All regions'!B1935+"n/&gt;!%Rl"</f>
        <v>#VALUE!</v>
      </c>
      <c r="S78" t="e">
        <f>'All regions'!C1935+"n/&gt;!%Rm"</f>
        <v>#VALUE!</v>
      </c>
      <c r="T78" t="e">
        <f>'All regions'!D1935+"n/&gt;!%Rn"</f>
        <v>#VALUE!</v>
      </c>
      <c r="U78" t="e">
        <f>'All regions'!E1935+"n/&gt;!%Ro"</f>
        <v>#VALUE!</v>
      </c>
      <c r="V78" t="e">
        <f>'All regions'!F1935+"n/&gt;!%Rp"</f>
        <v>#VALUE!</v>
      </c>
      <c r="W78" t="e">
        <f>'All regions'!G1935+"n/&gt;!%Rq"</f>
        <v>#VALUE!</v>
      </c>
      <c r="X78" t="e">
        <f>'All regions'!H1935+"n/&gt;!%Rr"</f>
        <v>#VALUE!</v>
      </c>
      <c r="Y78" t="e">
        <f>'All regions'!I1935+"n/&gt;!%Rs"</f>
        <v>#VALUE!</v>
      </c>
      <c r="Z78" t="e">
        <f>'All regions'!J1935+"n/&gt;!%Rt"</f>
        <v>#VALUE!</v>
      </c>
      <c r="AA78" t="e">
        <f>'All regions'!A1936+"n/&gt;!%Ru"</f>
        <v>#VALUE!</v>
      </c>
      <c r="AB78" t="e">
        <f>'All regions'!B1936+"n/&gt;!%Rv"</f>
        <v>#VALUE!</v>
      </c>
      <c r="AC78" t="e">
        <f>'All regions'!C1936+"n/&gt;!%Rw"</f>
        <v>#VALUE!</v>
      </c>
      <c r="AD78" t="e">
        <f>'All regions'!D1936+"n/&gt;!%Rx"</f>
        <v>#VALUE!</v>
      </c>
      <c r="AE78" t="e">
        <f>'All regions'!E1936+"n/&gt;!%Ry"</f>
        <v>#VALUE!</v>
      </c>
      <c r="AF78" t="e">
        <f>'All regions'!F1936+"n/&gt;!%Rz"</f>
        <v>#VALUE!</v>
      </c>
      <c r="AG78" t="e">
        <f>'All regions'!G1936+"n/&gt;!%R{"</f>
        <v>#VALUE!</v>
      </c>
      <c r="AH78" t="e">
        <f>'All regions'!H1936+"n/&gt;!%R|"</f>
        <v>#VALUE!</v>
      </c>
      <c r="AI78" t="e">
        <f>'All regions'!I1936+"n/&gt;!%R}"</f>
        <v>#VALUE!</v>
      </c>
      <c r="AJ78" t="e">
        <f>'All regions'!J1936+"n/&gt;!%R~"</f>
        <v>#VALUE!</v>
      </c>
      <c r="AK78" t="e">
        <f>'All regions'!A1937+"n/&gt;!%S#"</f>
        <v>#VALUE!</v>
      </c>
      <c r="AL78" t="e">
        <f>'All regions'!B1937+"n/&gt;!%S$"</f>
        <v>#VALUE!</v>
      </c>
      <c r="AM78" t="e">
        <f>'All regions'!C1937+"n/&gt;!%S%"</f>
        <v>#VALUE!</v>
      </c>
      <c r="AN78" t="e">
        <f>'All regions'!D1937+"n/&gt;!%S&amp;"</f>
        <v>#VALUE!</v>
      </c>
      <c r="AO78" t="e">
        <f>'All regions'!E1937+"n/&gt;!%S'"</f>
        <v>#VALUE!</v>
      </c>
      <c r="AP78" t="e">
        <f>'All regions'!F1937+"n/&gt;!%S("</f>
        <v>#VALUE!</v>
      </c>
      <c r="AQ78" t="e">
        <f>'All regions'!G1937+"n/&gt;!%S)"</f>
        <v>#VALUE!</v>
      </c>
      <c r="AR78" t="e">
        <f>'All regions'!H1937+"n/&gt;!%S."</f>
        <v>#VALUE!</v>
      </c>
      <c r="AS78" t="e">
        <f>'All regions'!I1937+"n/&gt;!%S/"</f>
        <v>#VALUE!</v>
      </c>
      <c r="AT78" t="e">
        <f>'All regions'!J1937+"n/&gt;!%S0"</f>
        <v>#VALUE!</v>
      </c>
      <c r="AU78" t="e">
        <f>'All regions'!A1938+"n/&gt;!%S1"</f>
        <v>#VALUE!</v>
      </c>
      <c r="AV78" t="e">
        <f>'All regions'!B1938+"n/&gt;!%S2"</f>
        <v>#VALUE!</v>
      </c>
      <c r="AW78" t="e">
        <f>'All regions'!C1938+"n/&gt;!%S3"</f>
        <v>#VALUE!</v>
      </c>
      <c r="AX78" t="e">
        <f>'All regions'!D1938+"n/&gt;!%S4"</f>
        <v>#VALUE!</v>
      </c>
      <c r="AY78" t="e">
        <f>'All regions'!E1938+"n/&gt;!%S5"</f>
        <v>#VALUE!</v>
      </c>
      <c r="AZ78" t="e">
        <f>'All regions'!F1938+"n/&gt;!%S6"</f>
        <v>#VALUE!</v>
      </c>
      <c r="BA78" t="e">
        <f>'All regions'!G1938+"n/&gt;!%S7"</f>
        <v>#VALUE!</v>
      </c>
      <c r="BB78" t="e">
        <f>'All regions'!H1938+"n/&gt;!%S8"</f>
        <v>#VALUE!</v>
      </c>
      <c r="BC78" t="e">
        <f>'All regions'!I1938+"n/&gt;!%S9"</f>
        <v>#VALUE!</v>
      </c>
      <c r="BD78" t="e">
        <f>'All regions'!J1938+"n/&gt;!%S:"</f>
        <v>#VALUE!</v>
      </c>
      <c r="BE78" t="e">
        <f>'All regions'!A1939+"n/&gt;!%S;"</f>
        <v>#VALUE!</v>
      </c>
      <c r="BF78" t="e">
        <f>'All regions'!B1939+"n/&gt;!%S&lt;"</f>
        <v>#VALUE!</v>
      </c>
      <c r="BG78" t="e">
        <f>'All regions'!C1939+"n/&gt;!%S="</f>
        <v>#VALUE!</v>
      </c>
      <c r="BH78" t="e">
        <f>'All regions'!D1939+"n/&gt;!%S&gt;"</f>
        <v>#VALUE!</v>
      </c>
      <c r="BI78" t="e">
        <f>'All regions'!E1939+"n/&gt;!%S?"</f>
        <v>#VALUE!</v>
      </c>
      <c r="BJ78" t="e">
        <f>'All regions'!F1939+"n/&gt;!%S@"</f>
        <v>#VALUE!</v>
      </c>
      <c r="BK78" t="e">
        <f>'All regions'!G1939+"n/&gt;!%SA"</f>
        <v>#VALUE!</v>
      </c>
      <c r="BL78" t="e">
        <f>'All regions'!H1939+"n/&gt;!%SB"</f>
        <v>#VALUE!</v>
      </c>
      <c r="BM78" t="e">
        <f>'All regions'!I1939+"n/&gt;!%SC"</f>
        <v>#VALUE!</v>
      </c>
      <c r="BN78" t="e">
        <f>'All regions'!J1939+"n/&gt;!%SD"</f>
        <v>#VALUE!</v>
      </c>
      <c r="BO78" t="e">
        <f>'All regions'!A1940+"n/&gt;!%SE"</f>
        <v>#VALUE!</v>
      </c>
      <c r="BP78" t="e">
        <f>'All regions'!B1940+"n/&gt;!%SF"</f>
        <v>#VALUE!</v>
      </c>
      <c r="BQ78" t="e">
        <f>'All regions'!C1940+"n/&gt;!%SG"</f>
        <v>#VALUE!</v>
      </c>
      <c r="BR78" t="e">
        <f>'All regions'!D1940+"n/&gt;!%SH"</f>
        <v>#VALUE!</v>
      </c>
      <c r="BS78" t="e">
        <f>'All regions'!E1940+"n/&gt;!%SI"</f>
        <v>#VALUE!</v>
      </c>
      <c r="BT78" t="e">
        <f>'All regions'!F1940+"n/&gt;!%SJ"</f>
        <v>#VALUE!</v>
      </c>
      <c r="BU78" t="e">
        <f>'All regions'!G1940+"n/&gt;!%SK"</f>
        <v>#VALUE!</v>
      </c>
      <c r="BV78" t="e">
        <f>'All regions'!H1940+"n/&gt;!%SL"</f>
        <v>#VALUE!</v>
      </c>
      <c r="BW78" t="e">
        <f>'All regions'!I1940+"n/&gt;!%SM"</f>
        <v>#VALUE!</v>
      </c>
      <c r="BX78" t="e">
        <f>'All regions'!J1940+"n/&gt;!%SN"</f>
        <v>#VALUE!</v>
      </c>
      <c r="BY78" t="e">
        <f>'All regions'!A1941+"n/&gt;!%SO"</f>
        <v>#VALUE!</v>
      </c>
      <c r="BZ78" t="e">
        <f>'All regions'!B1941+"n/&gt;!%SP"</f>
        <v>#VALUE!</v>
      </c>
      <c r="CA78" t="e">
        <f>'All regions'!C1941+"n/&gt;!%SQ"</f>
        <v>#VALUE!</v>
      </c>
      <c r="CB78" t="e">
        <f>'All regions'!D1941+"n/&gt;!%SR"</f>
        <v>#VALUE!</v>
      </c>
      <c r="CC78" t="e">
        <f>'All regions'!E1941+"n/&gt;!%SS"</f>
        <v>#VALUE!</v>
      </c>
      <c r="CD78" t="e">
        <f>'All regions'!F1941+"n/&gt;!%ST"</f>
        <v>#VALUE!</v>
      </c>
      <c r="CE78" t="e">
        <f>'All regions'!G1941+"n/&gt;!%SU"</f>
        <v>#VALUE!</v>
      </c>
      <c r="CF78" t="e">
        <f>'All regions'!H1941+"n/&gt;!%SV"</f>
        <v>#VALUE!</v>
      </c>
      <c r="CG78" t="e">
        <f>'All regions'!I1941+"n/&gt;!%SW"</f>
        <v>#VALUE!</v>
      </c>
      <c r="CH78" t="e">
        <f>'All regions'!J1941+"n/&gt;!%SX"</f>
        <v>#VALUE!</v>
      </c>
      <c r="CI78" t="e">
        <f>'All regions'!A1942+"n/&gt;!%SY"</f>
        <v>#VALUE!</v>
      </c>
      <c r="CJ78" t="e">
        <f>'All regions'!B1942+"n/&gt;!%SZ"</f>
        <v>#VALUE!</v>
      </c>
      <c r="CK78" t="e">
        <f>'All regions'!C1942+"n/&gt;!%S["</f>
        <v>#VALUE!</v>
      </c>
      <c r="CL78" t="e">
        <f>'All regions'!D1942+"n/&gt;!%S\"</f>
        <v>#VALUE!</v>
      </c>
      <c r="CM78" t="e">
        <f>'All regions'!E1942+"n/&gt;!%S]"</f>
        <v>#VALUE!</v>
      </c>
      <c r="CN78" t="e">
        <f>'All regions'!F1942+"n/&gt;!%S^"</f>
        <v>#VALUE!</v>
      </c>
      <c r="CO78" t="e">
        <f>'All regions'!G1942+"n/&gt;!%S_"</f>
        <v>#VALUE!</v>
      </c>
      <c r="CP78" t="e">
        <f>'All regions'!H1942+"n/&gt;!%S`"</f>
        <v>#VALUE!</v>
      </c>
      <c r="CQ78" t="e">
        <f>'All regions'!I1942+"n/&gt;!%Sa"</f>
        <v>#VALUE!</v>
      </c>
      <c r="CR78" t="e">
        <f>'All regions'!J1942+"n/&gt;!%Sb"</f>
        <v>#VALUE!</v>
      </c>
      <c r="CS78" t="e">
        <f>'All regions'!A1943+"n/&gt;!%Sc"</f>
        <v>#VALUE!</v>
      </c>
      <c r="CT78" t="e">
        <f>'All regions'!B1943+"n/&gt;!%Sd"</f>
        <v>#VALUE!</v>
      </c>
      <c r="CU78" t="e">
        <f>'All regions'!C1943+"n/&gt;!%Se"</f>
        <v>#VALUE!</v>
      </c>
      <c r="CV78" t="e">
        <f>'All regions'!D1943+"n/&gt;!%Sf"</f>
        <v>#VALUE!</v>
      </c>
      <c r="CW78" t="e">
        <f>'All regions'!E1943+"n/&gt;!%Sg"</f>
        <v>#VALUE!</v>
      </c>
      <c r="CX78" t="e">
        <f>'All regions'!F1943+"n/&gt;!%Sh"</f>
        <v>#VALUE!</v>
      </c>
      <c r="CY78" t="e">
        <f>'All regions'!G1943+"n/&gt;!%Si"</f>
        <v>#VALUE!</v>
      </c>
      <c r="CZ78" t="e">
        <f>'All regions'!H1943+"n/&gt;!%Sj"</f>
        <v>#VALUE!</v>
      </c>
      <c r="DA78" t="e">
        <f>'All regions'!I1943+"n/&gt;!%Sk"</f>
        <v>#VALUE!</v>
      </c>
      <c r="DB78" t="e">
        <f>'All regions'!J1943+"n/&gt;!%Sl"</f>
        <v>#VALUE!</v>
      </c>
      <c r="DC78" t="e">
        <f>'All regions'!A1944+"n/&gt;!%Sm"</f>
        <v>#VALUE!</v>
      </c>
      <c r="DD78" t="e">
        <f>'All regions'!B1944+"n/&gt;!%Sn"</f>
        <v>#VALUE!</v>
      </c>
      <c r="DE78" t="e">
        <f>'All regions'!C1944+"n/&gt;!%So"</f>
        <v>#VALUE!</v>
      </c>
      <c r="DF78" t="e">
        <f>'All regions'!D1944+"n/&gt;!%Sp"</f>
        <v>#VALUE!</v>
      </c>
      <c r="DG78" t="e">
        <f>'All regions'!E1944+"n/&gt;!%Sq"</f>
        <v>#VALUE!</v>
      </c>
      <c r="DH78" t="e">
        <f>'All regions'!F1944+"n/&gt;!%Sr"</f>
        <v>#VALUE!</v>
      </c>
      <c r="DI78" t="e">
        <f>'All regions'!G1944+"n/&gt;!%Ss"</f>
        <v>#VALUE!</v>
      </c>
      <c r="DJ78" t="e">
        <f>'All regions'!H1944+"n/&gt;!%St"</f>
        <v>#VALUE!</v>
      </c>
      <c r="DK78" t="e">
        <f>'All regions'!I1944+"n/&gt;!%Su"</f>
        <v>#VALUE!</v>
      </c>
      <c r="DL78" t="e">
        <f>'All regions'!J1944+"n/&gt;!%Sv"</f>
        <v>#VALUE!</v>
      </c>
      <c r="DM78" t="e">
        <f>'All regions'!A1945+"n/&gt;!%Sw"</f>
        <v>#VALUE!</v>
      </c>
      <c r="DN78" t="e">
        <f>'All regions'!B1945+"n/&gt;!%Sx"</f>
        <v>#VALUE!</v>
      </c>
      <c r="DO78" t="e">
        <f>'All regions'!C1945+"n/&gt;!%Sy"</f>
        <v>#VALUE!</v>
      </c>
      <c r="DP78" t="e">
        <f>'All regions'!D1945+"n/&gt;!%Sz"</f>
        <v>#VALUE!</v>
      </c>
      <c r="DQ78" t="e">
        <f>'All regions'!E1945+"n/&gt;!%S{"</f>
        <v>#VALUE!</v>
      </c>
      <c r="DR78" t="e">
        <f>'All regions'!F1945+"n/&gt;!%S|"</f>
        <v>#VALUE!</v>
      </c>
      <c r="DS78" t="e">
        <f>'All regions'!G1945+"n/&gt;!%S}"</f>
        <v>#VALUE!</v>
      </c>
      <c r="DT78" t="e">
        <f>'All regions'!H1945+"n/&gt;!%S~"</f>
        <v>#VALUE!</v>
      </c>
      <c r="DU78" t="e">
        <f>'All regions'!I1945+"n/&gt;!%T#"</f>
        <v>#VALUE!</v>
      </c>
      <c r="DV78" t="e">
        <f>'All regions'!J1945+"n/&gt;!%T$"</f>
        <v>#VALUE!</v>
      </c>
      <c r="DW78" t="e">
        <f>'All regions'!A1946+"n/&gt;!%T%"</f>
        <v>#VALUE!</v>
      </c>
      <c r="DX78" t="e">
        <f>'All regions'!B1946+"n/&gt;!%T&amp;"</f>
        <v>#VALUE!</v>
      </c>
      <c r="DY78" t="e">
        <f>'All regions'!C1946+"n/&gt;!%T'"</f>
        <v>#VALUE!</v>
      </c>
      <c r="DZ78" t="e">
        <f>'All regions'!D1946+"n/&gt;!%T("</f>
        <v>#VALUE!</v>
      </c>
      <c r="EA78" t="e">
        <f>'All regions'!E1946+"n/&gt;!%T)"</f>
        <v>#VALUE!</v>
      </c>
      <c r="EB78" t="e">
        <f>'All regions'!F1946+"n/&gt;!%T."</f>
        <v>#VALUE!</v>
      </c>
      <c r="EC78" t="e">
        <f>'All regions'!G1946+"n/&gt;!%T/"</f>
        <v>#VALUE!</v>
      </c>
      <c r="ED78" t="e">
        <f>'All regions'!H1946+"n/&gt;!%T0"</f>
        <v>#VALUE!</v>
      </c>
      <c r="EE78" t="e">
        <f>'All regions'!I1946+"n/&gt;!%T1"</f>
        <v>#VALUE!</v>
      </c>
      <c r="EF78" t="e">
        <f>'All regions'!J1946+"n/&gt;!%T2"</f>
        <v>#VALUE!</v>
      </c>
      <c r="EG78" t="e">
        <f>'All regions'!A1947+"n/&gt;!%T3"</f>
        <v>#VALUE!</v>
      </c>
      <c r="EH78" t="e">
        <f>'All regions'!B1947+"n/&gt;!%T4"</f>
        <v>#VALUE!</v>
      </c>
      <c r="EI78" t="e">
        <f>'All regions'!C1947+"n/&gt;!%T5"</f>
        <v>#VALUE!</v>
      </c>
      <c r="EJ78" t="e">
        <f>'All regions'!D1947+"n/&gt;!%T6"</f>
        <v>#VALUE!</v>
      </c>
      <c r="EK78" t="e">
        <f>'All regions'!E1947+"n/&gt;!%T7"</f>
        <v>#VALUE!</v>
      </c>
      <c r="EL78" t="e">
        <f>'All regions'!F1947+"n/&gt;!%T8"</f>
        <v>#VALUE!</v>
      </c>
      <c r="EM78" t="e">
        <f>'All regions'!G1947+"n/&gt;!%T9"</f>
        <v>#VALUE!</v>
      </c>
      <c r="EN78" t="e">
        <f>'All regions'!H1947+"n/&gt;!%T:"</f>
        <v>#VALUE!</v>
      </c>
      <c r="EO78" t="e">
        <f>'All regions'!I1947+"n/&gt;!%T;"</f>
        <v>#VALUE!</v>
      </c>
      <c r="EP78" t="e">
        <f>'All regions'!J1947+"n/&gt;!%T&lt;"</f>
        <v>#VALUE!</v>
      </c>
      <c r="EQ78" t="e">
        <f>'All regions'!A1948+"n/&gt;!%T="</f>
        <v>#VALUE!</v>
      </c>
      <c r="ER78" t="e">
        <f>'All regions'!B1948+"n/&gt;!%T&gt;"</f>
        <v>#VALUE!</v>
      </c>
      <c r="ES78" t="e">
        <f>'All regions'!C1948+"n/&gt;!%T?"</f>
        <v>#VALUE!</v>
      </c>
      <c r="ET78" t="e">
        <f>'All regions'!D1948+"n/&gt;!%T@"</f>
        <v>#VALUE!</v>
      </c>
      <c r="EU78" t="e">
        <f>'All regions'!E1948+"n/&gt;!%TA"</f>
        <v>#VALUE!</v>
      </c>
      <c r="EV78" t="e">
        <f>'All regions'!F1948+"n/&gt;!%TB"</f>
        <v>#VALUE!</v>
      </c>
      <c r="EW78" t="e">
        <f>'All regions'!G1948+"n/&gt;!%TC"</f>
        <v>#VALUE!</v>
      </c>
      <c r="EX78" t="e">
        <f>'All regions'!H1948+"n/&gt;!%TD"</f>
        <v>#VALUE!</v>
      </c>
      <c r="EY78" t="e">
        <f>'All regions'!I1948+"n/&gt;!%TE"</f>
        <v>#VALUE!</v>
      </c>
      <c r="EZ78" t="e">
        <f>'All regions'!J1948+"n/&gt;!%TF"</f>
        <v>#VALUE!</v>
      </c>
      <c r="FA78" t="e">
        <f>'All regions'!A1949+"n/&gt;!%TG"</f>
        <v>#VALUE!</v>
      </c>
      <c r="FB78" t="e">
        <f>'All regions'!B1949+"n/&gt;!%TH"</f>
        <v>#VALUE!</v>
      </c>
      <c r="FC78" t="e">
        <f>'All regions'!C1949+"n/&gt;!%TI"</f>
        <v>#VALUE!</v>
      </c>
      <c r="FD78" t="e">
        <f>'All regions'!D1949+"n/&gt;!%TJ"</f>
        <v>#VALUE!</v>
      </c>
      <c r="FE78" t="e">
        <f>'All regions'!E1949+"n/&gt;!%TK"</f>
        <v>#VALUE!</v>
      </c>
      <c r="FF78" t="e">
        <f>'All regions'!F1949+"n/&gt;!%TL"</f>
        <v>#VALUE!</v>
      </c>
      <c r="FG78" t="e">
        <f>'All regions'!G1949+"n/&gt;!%TM"</f>
        <v>#VALUE!</v>
      </c>
      <c r="FH78" t="e">
        <f>'All regions'!H1949+"n/&gt;!%TN"</f>
        <v>#VALUE!</v>
      </c>
      <c r="FI78" t="e">
        <f>'All regions'!I1949+"n/&gt;!%TO"</f>
        <v>#VALUE!</v>
      </c>
      <c r="FJ78" t="e">
        <f>'All regions'!J1949+"n/&gt;!%TP"</f>
        <v>#VALUE!</v>
      </c>
      <c r="FK78" t="e">
        <f>'All regions'!A1950+"n/&gt;!%TQ"</f>
        <v>#VALUE!</v>
      </c>
      <c r="FL78" t="e">
        <f>'All regions'!B1950+"n/&gt;!%TR"</f>
        <v>#VALUE!</v>
      </c>
      <c r="FM78" t="e">
        <f>'All regions'!C1950+"n/&gt;!%TS"</f>
        <v>#VALUE!</v>
      </c>
      <c r="FN78" t="e">
        <f>'All regions'!D1950+"n/&gt;!%TT"</f>
        <v>#VALUE!</v>
      </c>
      <c r="FO78" t="e">
        <f>'All regions'!E1950+"n/&gt;!%TU"</f>
        <v>#VALUE!</v>
      </c>
      <c r="FP78" t="e">
        <f>'All regions'!F1950+"n/&gt;!%TV"</f>
        <v>#VALUE!</v>
      </c>
      <c r="FQ78" t="e">
        <f>'All regions'!G1950+"n/&gt;!%TW"</f>
        <v>#VALUE!</v>
      </c>
      <c r="FR78" t="e">
        <f>'All regions'!H1950+"n/&gt;!%TX"</f>
        <v>#VALUE!</v>
      </c>
      <c r="FS78" t="e">
        <f>'All regions'!I1950+"n/&gt;!%TY"</f>
        <v>#VALUE!</v>
      </c>
      <c r="FT78" t="e">
        <f>'All regions'!J1950+"n/&gt;!%TZ"</f>
        <v>#VALUE!</v>
      </c>
      <c r="FU78" t="e">
        <f>'All regions'!A1951+"n/&gt;!%T["</f>
        <v>#VALUE!</v>
      </c>
      <c r="FV78" t="e">
        <f>'All regions'!B1951+"n/&gt;!%T\"</f>
        <v>#VALUE!</v>
      </c>
      <c r="FW78" t="e">
        <f>'All regions'!C1951+"n/&gt;!%T]"</f>
        <v>#VALUE!</v>
      </c>
      <c r="FX78" t="e">
        <f>'All regions'!D1951+"n/&gt;!%T^"</f>
        <v>#VALUE!</v>
      </c>
      <c r="FY78" t="e">
        <f>'All regions'!E1951+"n/&gt;!%T_"</f>
        <v>#VALUE!</v>
      </c>
      <c r="FZ78" t="e">
        <f>'All regions'!F1951+"n/&gt;!%T`"</f>
        <v>#VALUE!</v>
      </c>
      <c r="GA78" t="e">
        <f>'All regions'!G1951+"n/&gt;!%Ta"</f>
        <v>#VALUE!</v>
      </c>
      <c r="GB78" t="e">
        <f>'All regions'!H1951+"n/&gt;!%Tb"</f>
        <v>#VALUE!</v>
      </c>
      <c r="GC78" t="e">
        <f>'All regions'!I1951+"n/&gt;!%Tc"</f>
        <v>#VALUE!</v>
      </c>
      <c r="GD78" t="e">
        <f>'All regions'!J1951+"n/&gt;!%Td"</f>
        <v>#VALUE!</v>
      </c>
      <c r="GE78" t="e">
        <f>'All regions'!A1952+"n/&gt;!%Te"</f>
        <v>#VALUE!</v>
      </c>
      <c r="GF78" t="e">
        <f>'All regions'!B1952+"n/&gt;!%Tf"</f>
        <v>#VALUE!</v>
      </c>
      <c r="GG78" t="e">
        <f>'All regions'!C1952+"n/&gt;!%Tg"</f>
        <v>#VALUE!</v>
      </c>
      <c r="GH78" t="e">
        <f>'All regions'!D1952+"n/&gt;!%Th"</f>
        <v>#VALUE!</v>
      </c>
      <c r="GI78" t="e">
        <f>'All regions'!E1952+"n/&gt;!%Ti"</f>
        <v>#VALUE!</v>
      </c>
      <c r="GJ78" t="e">
        <f>'All regions'!F1952+"n/&gt;!%Tj"</f>
        <v>#VALUE!</v>
      </c>
      <c r="GK78" t="e">
        <f>'All regions'!G1952+"n/&gt;!%Tk"</f>
        <v>#VALUE!</v>
      </c>
      <c r="GL78" t="e">
        <f>'All regions'!H1952+"n/&gt;!%Tl"</f>
        <v>#VALUE!</v>
      </c>
      <c r="GM78" t="e">
        <f>'All regions'!I1952+"n/&gt;!%Tm"</f>
        <v>#VALUE!</v>
      </c>
      <c r="GN78" t="e">
        <f>'All regions'!J1952+"n/&gt;!%Tn"</f>
        <v>#VALUE!</v>
      </c>
      <c r="GO78" t="e">
        <f>'All regions'!A1953+"n/&gt;!%To"</f>
        <v>#VALUE!</v>
      </c>
      <c r="GP78" t="e">
        <f>'All regions'!B1953+"n/&gt;!%Tp"</f>
        <v>#VALUE!</v>
      </c>
      <c r="GQ78" t="e">
        <f>'All regions'!C1953+"n/&gt;!%Tq"</f>
        <v>#VALUE!</v>
      </c>
      <c r="GR78" t="e">
        <f>'All regions'!D1953+"n/&gt;!%Tr"</f>
        <v>#VALUE!</v>
      </c>
      <c r="GS78" t="e">
        <f>'All regions'!E1953+"n/&gt;!%Ts"</f>
        <v>#VALUE!</v>
      </c>
      <c r="GT78" t="e">
        <f>'All regions'!F1953+"n/&gt;!%Tt"</f>
        <v>#VALUE!</v>
      </c>
      <c r="GU78" t="e">
        <f>'All regions'!G1953+"n/&gt;!%Tu"</f>
        <v>#VALUE!</v>
      </c>
      <c r="GV78" t="e">
        <f>'All regions'!H1953+"n/&gt;!%Tv"</f>
        <v>#VALUE!</v>
      </c>
      <c r="GW78" t="e">
        <f>'All regions'!I1953+"n/&gt;!%Tw"</f>
        <v>#VALUE!</v>
      </c>
      <c r="GX78" t="e">
        <f>'All regions'!J1953+"n/&gt;!%Tx"</f>
        <v>#VALUE!</v>
      </c>
      <c r="GY78" t="e">
        <f>'All regions'!A1954+"n/&gt;!%Ty"</f>
        <v>#VALUE!</v>
      </c>
      <c r="GZ78" t="e">
        <f>'All regions'!B1954+"n/&gt;!%Tz"</f>
        <v>#VALUE!</v>
      </c>
      <c r="HA78" t="e">
        <f>'All regions'!C1954+"n/&gt;!%T{"</f>
        <v>#VALUE!</v>
      </c>
      <c r="HB78" t="e">
        <f>'All regions'!D1954+"n/&gt;!%T|"</f>
        <v>#VALUE!</v>
      </c>
      <c r="HC78" t="e">
        <f>'All regions'!E1954+"n/&gt;!%T}"</f>
        <v>#VALUE!</v>
      </c>
      <c r="HD78" t="e">
        <f>'All regions'!F1954+"n/&gt;!%T~"</f>
        <v>#VALUE!</v>
      </c>
      <c r="HE78" t="e">
        <f>'All regions'!G1954+"n/&gt;!%U#"</f>
        <v>#VALUE!</v>
      </c>
      <c r="HF78" t="e">
        <f>'All regions'!H1954+"n/&gt;!%U$"</f>
        <v>#VALUE!</v>
      </c>
      <c r="HG78" t="e">
        <f>'All regions'!I1954+"n/&gt;!%U%"</f>
        <v>#VALUE!</v>
      </c>
      <c r="HH78" t="e">
        <f>'All regions'!J1954+"n/&gt;!%U&amp;"</f>
        <v>#VALUE!</v>
      </c>
      <c r="HI78" t="e">
        <f>'All regions'!A1955+"n/&gt;!%U'"</f>
        <v>#VALUE!</v>
      </c>
      <c r="HJ78" t="e">
        <f>'All regions'!B1955+"n/&gt;!%U("</f>
        <v>#VALUE!</v>
      </c>
      <c r="HK78" t="e">
        <f>'All regions'!C1955+"n/&gt;!%U)"</f>
        <v>#VALUE!</v>
      </c>
      <c r="HL78" t="e">
        <f>'All regions'!D1955+"n/&gt;!%U."</f>
        <v>#VALUE!</v>
      </c>
      <c r="HM78" t="e">
        <f>'All regions'!E1955+"n/&gt;!%U/"</f>
        <v>#VALUE!</v>
      </c>
      <c r="HN78" t="e">
        <f>'All regions'!F1955+"n/&gt;!%U0"</f>
        <v>#VALUE!</v>
      </c>
      <c r="HO78" t="e">
        <f>'All regions'!G1955+"n/&gt;!%U1"</f>
        <v>#VALUE!</v>
      </c>
      <c r="HP78" t="e">
        <f>'All regions'!H1955+"n/&gt;!%U2"</f>
        <v>#VALUE!</v>
      </c>
      <c r="HQ78" t="e">
        <f>'All regions'!I1955+"n/&gt;!%U3"</f>
        <v>#VALUE!</v>
      </c>
      <c r="HR78" t="e">
        <f>'All regions'!J1955+"n/&gt;!%U4"</f>
        <v>#VALUE!</v>
      </c>
      <c r="HS78" t="e">
        <f>'All regions'!A1956+"n/&gt;!%U5"</f>
        <v>#VALUE!</v>
      </c>
      <c r="HT78" t="e">
        <f>'All regions'!B1956+"n/&gt;!%U6"</f>
        <v>#VALUE!</v>
      </c>
      <c r="HU78" t="e">
        <f>'All regions'!C1956+"n/&gt;!%U7"</f>
        <v>#VALUE!</v>
      </c>
      <c r="HV78" t="e">
        <f>'All regions'!D1956+"n/&gt;!%U8"</f>
        <v>#VALUE!</v>
      </c>
      <c r="HW78" t="e">
        <f>'All regions'!E1956+"n/&gt;!%U9"</f>
        <v>#VALUE!</v>
      </c>
      <c r="HX78" t="e">
        <f>'All regions'!F1956+"n/&gt;!%U:"</f>
        <v>#VALUE!</v>
      </c>
      <c r="HY78" t="e">
        <f>'All regions'!G1956+"n/&gt;!%U;"</f>
        <v>#VALUE!</v>
      </c>
      <c r="HZ78" t="e">
        <f>'All regions'!H1956+"n/&gt;!%U&lt;"</f>
        <v>#VALUE!</v>
      </c>
      <c r="IA78" t="e">
        <f>'All regions'!I1956+"n/&gt;!%U="</f>
        <v>#VALUE!</v>
      </c>
      <c r="IB78" t="e">
        <f>'All regions'!J1956+"n/&gt;!%U&gt;"</f>
        <v>#VALUE!</v>
      </c>
      <c r="IC78" t="e">
        <f>'All regions'!A1957+"n/&gt;!%U?"</f>
        <v>#VALUE!</v>
      </c>
      <c r="ID78" t="e">
        <f>'All regions'!B1957+"n/&gt;!%U@"</f>
        <v>#VALUE!</v>
      </c>
      <c r="IE78" t="e">
        <f>'All regions'!C1957+"n/&gt;!%UA"</f>
        <v>#VALUE!</v>
      </c>
      <c r="IF78" t="e">
        <f>'All regions'!D1957+"n/&gt;!%UB"</f>
        <v>#VALUE!</v>
      </c>
      <c r="IG78" t="e">
        <f>'All regions'!E1957+"n/&gt;!%UC"</f>
        <v>#VALUE!</v>
      </c>
      <c r="IH78" t="e">
        <f>'All regions'!F1957+"n/&gt;!%UD"</f>
        <v>#VALUE!</v>
      </c>
      <c r="II78" t="e">
        <f>'All regions'!G1957+"n/&gt;!%UE"</f>
        <v>#VALUE!</v>
      </c>
      <c r="IJ78" t="e">
        <f>'All regions'!H1957+"n/&gt;!%UF"</f>
        <v>#VALUE!</v>
      </c>
      <c r="IK78" t="e">
        <f>'All regions'!I1957+"n/&gt;!%UG"</f>
        <v>#VALUE!</v>
      </c>
      <c r="IL78" t="e">
        <f>'All regions'!J1957+"n/&gt;!%UH"</f>
        <v>#VALUE!</v>
      </c>
      <c r="IM78" t="e">
        <f>'All regions'!A1958+"n/&gt;!%UI"</f>
        <v>#VALUE!</v>
      </c>
      <c r="IN78" t="e">
        <f>'All regions'!B1958+"n/&gt;!%UJ"</f>
        <v>#VALUE!</v>
      </c>
      <c r="IO78" t="e">
        <f>'All regions'!C1958+"n/&gt;!%UK"</f>
        <v>#VALUE!</v>
      </c>
      <c r="IP78" t="e">
        <f>'All regions'!D1958+"n/&gt;!%UL"</f>
        <v>#VALUE!</v>
      </c>
      <c r="IQ78" t="e">
        <f>'All regions'!E1958+"n/&gt;!%UM"</f>
        <v>#VALUE!</v>
      </c>
      <c r="IR78" t="e">
        <f>'All regions'!F1958+"n/&gt;!%UN"</f>
        <v>#VALUE!</v>
      </c>
      <c r="IS78" t="e">
        <f>'All regions'!G1958+"n/&gt;!%UO"</f>
        <v>#VALUE!</v>
      </c>
      <c r="IT78" t="e">
        <f>'All regions'!H1958+"n/&gt;!%UP"</f>
        <v>#VALUE!</v>
      </c>
      <c r="IU78" t="e">
        <f>'All regions'!I1958+"n/&gt;!%UQ"</f>
        <v>#VALUE!</v>
      </c>
      <c r="IV78" t="e">
        <f>'All regions'!J1958+"n/&gt;!%UR"</f>
        <v>#VALUE!</v>
      </c>
    </row>
    <row r="79" spans="6:256" x14ac:dyDescent="0.35">
      <c r="F79" t="e">
        <f>'All regions'!A1959+"n/&gt;!%US"</f>
        <v>#VALUE!</v>
      </c>
      <c r="G79" t="e">
        <f>'All regions'!B1959+"n/&gt;!%UT"</f>
        <v>#VALUE!</v>
      </c>
      <c r="H79" t="e">
        <f>'All regions'!C1959+"n/&gt;!%UU"</f>
        <v>#VALUE!</v>
      </c>
      <c r="I79" t="e">
        <f>'All regions'!D1959+"n/&gt;!%UV"</f>
        <v>#VALUE!</v>
      </c>
      <c r="J79" t="e">
        <f>'All regions'!E1959+"n/&gt;!%UW"</f>
        <v>#VALUE!</v>
      </c>
      <c r="K79" t="e">
        <f>'All regions'!F1959+"n/&gt;!%UX"</f>
        <v>#VALUE!</v>
      </c>
      <c r="L79" t="e">
        <f>'All regions'!G1959+"n/&gt;!%UY"</f>
        <v>#VALUE!</v>
      </c>
      <c r="M79" t="e">
        <f>'All regions'!H1959+"n/&gt;!%UZ"</f>
        <v>#VALUE!</v>
      </c>
      <c r="N79" t="e">
        <f>'All regions'!I1959+"n/&gt;!%U["</f>
        <v>#VALUE!</v>
      </c>
      <c r="O79" t="e">
        <f>'All regions'!J1959+"n/&gt;!%U\"</f>
        <v>#VALUE!</v>
      </c>
      <c r="P79" t="e">
        <f>'All regions'!A1960+"n/&gt;!%U]"</f>
        <v>#VALUE!</v>
      </c>
      <c r="Q79" t="e">
        <f>'All regions'!B1960+"n/&gt;!%U^"</f>
        <v>#VALUE!</v>
      </c>
      <c r="R79" t="e">
        <f>'All regions'!C1960+"n/&gt;!%U_"</f>
        <v>#VALUE!</v>
      </c>
      <c r="S79" t="e">
        <f>'All regions'!D1960+"n/&gt;!%U`"</f>
        <v>#VALUE!</v>
      </c>
      <c r="T79" t="e">
        <f>'All regions'!E1960+"n/&gt;!%Ua"</f>
        <v>#VALUE!</v>
      </c>
      <c r="U79" t="e">
        <f>'All regions'!F1960+"n/&gt;!%Ub"</f>
        <v>#VALUE!</v>
      </c>
      <c r="V79" t="e">
        <f>'All regions'!G1960+"n/&gt;!%Uc"</f>
        <v>#VALUE!</v>
      </c>
      <c r="W79" t="e">
        <f>'All regions'!H1960+"n/&gt;!%Ud"</f>
        <v>#VALUE!</v>
      </c>
      <c r="X79" t="e">
        <f>'All regions'!I1960+"n/&gt;!%Ue"</f>
        <v>#VALUE!</v>
      </c>
      <c r="Y79" t="e">
        <f>'All regions'!J1960+"n/&gt;!%Uf"</f>
        <v>#VALUE!</v>
      </c>
      <c r="Z79" t="e">
        <f>'All regions'!A1961+"n/&gt;!%Ug"</f>
        <v>#VALUE!</v>
      </c>
      <c r="AA79" t="e">
        <f>'All regions'!B1961+"n/&gt;!%Uh"</f>
        <v>#VALUE!</v>
      </c>
      <c r="AB79" t="e">
        <f>'All regions'!C1961+"n/&gt;!%Ui"</f>
        <v>#VALUE!</v>
      </c>
      <c r="AC79" t="e">
        <f>'All regions'!D1961+"n/&gt;!%Uj"</f>
        <v>#VALUE!</v>
      </c>
      <c r="AD79" t="e">
        <f>'All regions'!E1961+"n/&gt;!%Uk"</f>
        <v>#VALUE!</v>
      </c>
      <c r="AE79" t="e">
        <f>'All regions'!F1961+"n/&gt;!%Ul"</f>
        <v>#VALUE!</v>
      </c>
      <c r="AF79" t="e">
        <f>'All regions'!G1961+"n/&gt;!%Um"</f>
        <v>#VALUE!</v>
      </c>
      <c r="AG79" t="e">
        <f>'All regions'!H1961+"n/&gt;!%Un"</f>
        <v>#VALUE!</v>
      </c>
      <c r="AH79" t="e">
        <f>'All regions'!I1961+"n/&gt;!%Uo"</f>
        <v>#VALUE!</v>
      </c>
      <c r="AI79" t="e">
        <f>'All regions'!J1961+"n/&gt;!%Up"</f>
        <v>#VALUE!</v>
      </c>
      <c r="AJ79" t="e">
        <f>'All regions'!A1962+"n/&gt;!%Uq"</f>
        <v>#VALUE!</v>
      </c>
      <c r="AK79" t="e">
        <f>'All regions'!B1962+"n/&gt;!%Ur"</f>
        <v>#VALUE!</v>
      </c>
      <c r="AL79" t="e">
        <f>'All regions'!C1962+"n/&gt;!%Us"</f>
        <v>#VALUE!</v>
      </c>
      <c r="AM79" t="e">
        <f>'All regions'!D1962+"n/&gt;!%Ut"</f>
        <v>#VALUE!</v>
      </c>
      <c r="AN79" t="e">
        <f>'All regions'!E1962+"n/&gt;!%Uu"</f>
        <v>#VALUE!</v>
      </c>
      <c r="AO79" t="e">
        <f>'All regions'!F1962+"n/&gt;!%Uv"</f>
        <v>#VALUE!</v>
      </c>
      <c r="AP79" t="e">
        <f>'All regions'!G1962+"n/&gt;!%Uw"</f>
        <v>#VALUE!</v>
      </c>
      <c r="AQ79" t="e">
        <f>'All regions'!H1962+"n/&gt;!%Ux"</f>
        <v>#VALUE!</v>
      </c>
      <c r="AR79" t="e">
        <f>'All regions'!I1962+"n/&gt;!%Uy"</f>
        <v>#VALUE!</v>
      </c>
      <c r="AS79" t="e">
        <f>'All regions'!J1962+"n/&gt;!%Uz"</f>
        <v>#VALUE!</v>
      </c>
      <c r="AT79" t="e">
        <f>'All regions'!A1963+"n/&gt;!%U{"</f>
        <v>#VALUE!</v>
      </c>
      <c r="AU79" t="e">
        <f>'All regions'!B1963+"n/&gt;!%U|"</f>
        <v>#VALUE!</v>
      </c>
      <c r="AV79" t="e">
        <f>'All regions'!C1963+"n/&gt;!%U}"</f>
        <v>#VALUE!</v>
      </c>
      <c r="AW79" t="e">
        <f>'All regions'!D1963+"n/&gt;!%U~"</f>
        <v>#VALUE!</v>
      </c>
      <c r="AX79" t="e">
        <f>'All regions'!E1963+"n/&gt;!%V#"</f>
        <v>#VALUE!</v>
      </c>
      <c r="AY79" t="e">
        <f>'All regions'!F1963+"n/&gt;!%V$"</f>
        <v>#VALUE!</v>
      </c>
      <c r="AZ79" t="e">
        <f>'All regions'!G1963+"n/&gt;!%V%"</f>
        <v>#VALUE!</v>
      </c>
      <c r="BA79" t="e">
        <f>'All regions'!H1963+"n/&gt;!%V&amp;"</f>
        <v>#VALUE!</v>
      </c>
      <c r="BB79" t="e">
        <f>'All regions'!I1963+"n/&gt;!%V'"</f>
        <v>#VALUE!</v>
      </c>
      <c r="BC79" t="e">
        <f>'All regions'!J1963+"n/&gt;!%V("</f>
        <v>#VALUE!</v>
      </c>
      <c r="BD79" t="e">
        <f>'All regions'!A1964+"n/&gt;!%V)"</f>
        <v>#VALUE!</v>
      </c>
      <c r="BE79" t="e">
        <f>'All regions'!B1964+"n/&gt;!%V."</f>
        <v>#VALUE!</v>
      </c>
      <c r="BF79" t="e">
        <f>'All regions'!C1964+"n/&gt;!%V/"</f>
        <v>#VALUE!</v>
      </c>
      <c r="BG79" t="e">
        <f>'All regions'!D1964+"n/&gt;!%V0"</f>
        <v>#VALUE!</v>
      </c>
      <c r="BH79" t="e">
        <f>'All regions'!E1964+"n/&gt;!%V1"</f>
        <v>#VALUE!</v>
      </c>
      <c r="BI79" t="e">
        <f>'All regions'!F1964+"n/&gt;!%V2"</f>
        <v>#VALUE!</v>
      </c>
      <c r="BJ79" t="e">
        <f>'All regions'!G1964+"n/&gt;!%V3"</f>
        <v>#VALUE!</v>
      </c>
      <c r="BK79" t="e">
        <f>'All regions'!H1964+"n/&gt;!%V4"</f>
        <v>#VALUE!</v>
      </c>
      <c r="BL79" t="e">
        <f>'All regions'!I1964+"n/&gt;!%V5"</f>
        <v>#VALUE!</v>
      </c>
      <c r="BM79" t="e">
        <f>'All regions'!J1964+"n/&gt;!%V6"</f>
        <v>#VALUE!</v>
      </c>
      <c r="BN79" t="e">
        <f>'All regions'!A1965+"n/&gt;!%V7"</f>
        <v>#VALUE!</v>
      </c>
      <c r="BO79" t="e">
        <f>'All regions'!B1965+"n/&gt;!%V8"</f>
        <v>#VALUE!</v>
      </c>
      <c r="BP79" t="e">
        <f>'All regions'!C1965+"n/&gt;!%V9"</f>
        <v>#VALUE!</v>
      </c>
      <c r="BQ79" t="e">
        <f>'All regions'!D1965+"n/&gt;!%V:"</f>
        <v>#VALUE!</v>
      </c>
      <c r="BR79" t="e">
        <f>'All regions'!E1965+"n/&gt;!%V;"</f>
        <v>#VALUE!</v>
      </c>
      <c r="BS79" t="e">
        <f>'All regions'!F1965+"n/&gt;!%V&lt;"</f>
        <v>#VALUE!</v>
      </c>
      <c r="BT79" t="e">
        <f>'All regions'!G1965+"n/&gt;!%V="</f>
        <v>#VALUE!</v>
      </c>
      <c r="BU79" t="e">
        <f>'All regions'!H1965+"n/&gt;!%V&gt;"</f>
        <v>#VALUE!</v>
      </c>
      <c r="BV79" t="e">
        <f>'All regions'!I1965+"n/&gt;!%V?"</f>
        <v>#VALUE!</v>
      </c>
      <c r="BW79" t="e">
        <f>'All regions'!J1965+"n/&gt;!%V@"</f>
        <v>#VALUE!</v>
      </c>
      <c r="BX79" t="e">
        <f>'All regions'!A1966+"n/&gt;!%VA"</f>
        <v>#VALUE!</v>
      </c>
      <c r="BY79" t="e">
        <f>'All regions'!B1966+"n/&gt;!%VB"</f>
        <v>#VALUE!</v>
      </c>
      <c r="BZ79" t="e">
        <f>'All regions'!C1966+"n/&gt;!%VC"</f>
        <v>#VALUE!</v>
      </c>
      <c r="CA79" t="e">
        <f>'All regions'!D1966+"n/&gt;!%VD"</f>
        <v>#VALUE!</v>
      </c>
      <c r="CB79" t="e">
        <f>'All regions'!E1966+"n/&gt;!%VE"</f>
        <v>#VALUE!</v>
      </c>
      <c r="CC79" t="e">
        <f>'All regions'!F1966+"n/&gt;!%VF"</f>
        <v>#VALUE!</v>
      </c>
      <c r="CD79" t="e">
        <f>'All regions'!G1966+"n/&gt;!%VG"</f>
        <v>#VALUE!</v>
      </c>
      <c r="CE79" t="e">
        <f>'All regions'!H1966+"n/&gt;!%VH"</f>
        <v>#VALUE!</v>
      </c>
      <c r="CF79" t="e">
        <f>'All regions'!I1966+"n/&gt;!%VI"</f>
        <v>#VALUE!</v>
      </c>
      <c r="CG79" t="e">
        <f>'All regions'!J1966+"n/&gt;!%VJ"</f>
        <v>#VALUE!</v>
      </c>
      <c r="CH79" t="e">
        <f>'All regions'!A1967+"n/&gt;!%VK"</f>
        <v>#VALUE!</v>
      </c>
      <c r="CI79" t="e">
        <f>'All regions'!B1967+"n/&gt;!%VL"</f>
        <v>#VALUE!</v>
      </c>
      <c r="CJ79" t="e">
        <f>'All regions'!C1967+"n/&gt;!%VM"</f>
        <v>#VALUE!</v>
      </c>
      <c r="CK79" t="e">
        <f>'All regions'!D1967+"n/&gt;!%VN"</f>
        <v>#VALUE!</v>
      </c>
      <c r="CL79" t="e">
        <f>'All regions'!E1967+"n/&gt;!%VO"</f>
        <v>#VALUE!</v>
      </c>
      <c r="CM79" t="e">
        <f>'All regions'!F1967+"n/&gt;!%VP"</f>
        <v>#VALUE!</v>
      </c>
      <c r="CN79" t="e">
        <f>'All regions'!G1967+"n/&gt;!%VQ"</f>
        <v>#VALUE!</v>
      </c>
      <c r="CO79" t="e">
        <f>'All regions'!H1967+"n/&gt;!%VR"</f>
        <v>#VALUE!</v>
      </c>
      <c r="CP79" t="e">
        <f>'All regions'!I1967+"n/&gt;!%VS"</f>
        <v>#VALUE!</v>
      </c>
      <c r="CQ79" t="e">
        <f>'All regions'!J1967+"n/&gt;!%VT"</f>
        <v>#VALUE!</v>
      </c>
      <c r="CR79" t="e">
        <f>'All regions'!A1968+"n/&gt;!%VU"</f>
        <v>#VALUE!</v>
      </c>
      <c r="CS79" t="e">
        <f>'All regions'!B1968+"n/&gt;!%VV"</f>
        <v>#VALUE!</v>
      </c>
      <c r="CT79" t="e">
        <f>'All regions'!C1968+"n/&gt;!%VW"</f>
        <v>#VALUE!</v>
      </c>
      <c r="CU79" t="e">
        <f>'All regions'!D1968+"n/&gt;!%VX"</f>
        <v>#VALUE!</v>
      </c>
      <c r="CV79" t="e">
        <f>'All regions'!E1968+"n/&gt;!%VY"</f>
        <v>#VALUE!</v>
      </c>
      <c r="CW79" t="e">
        <f>'All regions'!F1968+"n/&gt;!%VZ"</f>
        <v>#VALUE!</v>
      </c>
      <c r="CX79" t="e">
        <f>'All regions'!G1968+"n/&gt;!%V["</f>
        <v>#VALUE!</v>
      </c>
      <c r="CY79" t="e">
        <f>'All regions'!H1968+"n/&gt;!%V\"</f>
        <v>#VALUE!</v>
      </c>
      <c r="CZ79" t="e">
        <f>'All regions'!I1968+"n/&gt;!%V]"</f>
        <v>#VALUE!</v>
      </c>
      <c r="DA79" t="e">
        <f>'All regions'!J1968+"n/&gt;!%V^"</f>
        <v>#VALUE!</v>
      </c>
      <c r="DB79" t="e">
        <f>'All regions'!A1969+"n/&gt;!%V_"</f>
        <v>#VALUE!</v>
      </c>
      <c r="DC79" t="e">
        <f>'All regions'!B1969+"n/&gt;!%V`"</f>
        <v>#VALUE!</v>
      </c>
      <c r="DD79" t="e">
        <f>'All regions'!C1969+"n/&gt;!%Va"</f>
        <v>#VALUE!</v>
      </c>
      <c r="DE79" t="e">
        <f>'All regions'!D1969+"n/&gt;!%Vb"</f>
        <v>#VALUE!</v>
      </c>
      <c r="DF79" t="e">
        <f>'All regions'!E1969+"n/&gt;!%Vc"</f>
        <v>#VALUE!</v>
      </c>
      <c r="DG79" t="e">
        <f>'All regions'!F1969+"n/&gt;!%Vd"</f>
        <v>#VALUE!</v>
      </c>
      <c r="DH79" t="e">
        <f>'All regions'!G1969+"n/&gt;!%Ve"</f>
        <v>#VALUE!</v>
      </c>
      <c r="DI79" t="e">
        <f>'All regions'!H1969+"n/&gt;!%Vf"</f>
        <v>#VALUE!</v>
      </c>
      <c r="DJ79" t="e">
        <f>'All regions'!I1969+"n/&gt;!%Vg"</f>
        <v>#VALUE!</v>
      </c>
      <c r="DK79" t="e">
        <f>'All regions'!J1969+"n/&gt;!%Vh"</f>
        <v>#VALUE!</v>
      </c>
      <c r="DL79" t="e">
        <f>'All regions'!A1970+"n/&gt;!%Vi"</f>
        <v>#VALUE!</v>
      </c>
      <c r="DM79" t="e">
        <f>'All regions'!B1970+"n/&gt;!%Vj"</f>
        <v>#VALUE!</v>
      </c>
      <c r="DN79" t="e">
        <f>'All regions'!C1970+"n/&gt;!%Vk"</f>
        <v>#VALUE!</v>
      </c>
      <c r="DO79" t="e">
        <f>'All regions'!D1970+"n/&gt;!%Vl"</f>
        <v>#VALUE!</v>
      </c>
      <c r="DP79" t="e">
        <f>'All regions'!E1970+"n/&gt;!%Vm"</f>
        <v>#VALUE!</v>
      </c>
      <c r="DQ79" t="e">
        <f>'All regions'!F1970+"n/&gt;!%Vn"</f>
        <v>#VALUE!</v>
      </c>
      <c r="DR79" t="e">
        <f>'All regions'!G1970+"n/&gt;!%Vo"</f>
        <v>#VALUE!</v>
      </c>
      <c r="DS79" t="e">
        <f>'All regions'!H1970+"n/&gt;!%Vp"</f>
        <v>#VALUE!</v>
      </c>
      <c r="DT79" t="e">
        <f>'All regions'!I1970+"n/&gt;!%Vq"</f>
        <v>#VALUE!</v>
      </c>
      <c r="DU79" t="e">
        <f>'All regions'!J1970+"n/&gt;!%Vr"</f>
        <v>#VALUE!</v>
      </c>
      <c r="DV79" t="e">
        <f>'All regions'!A1971+"n/&gt;!%Vs"</f>
        <v>#VALUE!</v>
      </c>
      <c r="DW79" t="e">
        <f>'All regions'!B1971+"n/&gt;!%Vt"</f>
        <v>#VALUE!</v>
      </c>
      <c r="DX79" t="e">
        <f>'All regions'!C1971+"n/&gt;!%Vu"</f>
        <v>#VALUE!</v>
      </c>
      <c r="DY79" t="e">
        <f>'All regions'!D1971+"n/&gt;!%Vv"</f>
        <v>#VALUE!</v>
      </c>
      <c r="DZ79" t="e">
        <f>'All regions'!E1971+"n/&gt;!%Vw"</f>
        <v>#VALUE!</v>
      </c>
      <c r="EA79" t="e">
        <f>'All regions'!F1971+"n/&gt;!%Vx"</f>
        <v>#VALUE!</v>
      </c>
      <c r="EB79" t="e">
        <f>'All regions'!G1971+"n/&gt;!%Vy"</f>
        <v>#VALUE!</v>
      </c>
      <c r="EC79" t="e">
        <f>'All regions'!H1971+"n/&gt;!%Vz"</f>
        <v>#VALUE!</v>
      </c>
      <c r="ED79" t="e">
        <f>'All regions'!I1971+"n/&gt;!%V{"</f>
        <v>#VALUE!</v>
      </c>
      <c r="EE79" t="e">
        <f>'All regions'!J1971+"n/&gt;!%V|"</f>
        <v>#VALUE!</v>
      </c>
      <c r="EF79" t="e">
        <f>'All regions'!A1972+"n/&gt;!%V}"</f>
        <v>#VALUE!</v>
      </c>
      <c r="EG79" t="e">
        <f>'All regions'!B1972+"n/&gt;!%V~"</f>
        <v>#VALUE!</v>
      </c>
      <c r="EH79" t="e">
        <f>'All regions'!C1972+"n/&gt;!%W#"</f>
        <v>#VALUE!</v>
      </c>
      <c r="EI79" t="e">
        <f>'All regions'!D1972+"n/&gt;!%W$"</f>
        <v>#VALUE!</v>
      </c>
      <c r="EJ79" t="e">
        <f>'All regions'!E1972+"n/&gt;!%W%"</f>
        <v>#VALUE!</v>
      </c>
      <c r="EK79" t="e">
        <f>'All regions'!F1972+"n/&gt;!%W&amp;"</f>
        <v>#VALUE!</v>
      </c>
      <c r="EL79" t="e">
        <f>'All regions'!G1972+"n/&gt;!%W'"</f>
        <v>#VALUE!</v>
      </c>
      <c r="EM79" t="e">
        <f>'All regions'!H1972+"n/&gt;!%W("</f>
        <v>#VALUE!</v>
      </c>
      <c r="EN79" t="e">
        <f>'All regions'!I1972+"n/&gt;!%W)"</f>
        <v>#VALUE!</v>
      </c>
      <c r="EO79" t="e">
        <f>'All regions'!J1972+"n/&gt;!%W."</f>
        <v>#VALUE!</v>
      </c>
      <c r="EP79" t="e">
        <f>'All regions'!A1973+"n/&gt;!%W/"</f>
        <v>#VALUE!</v>
      </c>
      <c r="EQ79" t="e">
        <f>'All regions'!B1973+"n/&gt;!%W0"</f>
        <v>#VALUE!</v>
      </c>
      <c r="ER79" t="e">
        <f>'All regions'!C1973+"n/&gt;!%W1"</f>
        <v>#VALUE!</v>
      </c>
      <c r="ES79" t="e">
        <f>'All regions'!D1973+"n/&gt;!%W2"</f>
        <v>#VALUE!</v>
      </c>
      <c r="ET79" t="e">
        <f>'All regions'!E1973+"n/&gt;!%W3"</f>
        <v>#VALUE!</v>
      </c>
      <c r="EU79" t="e">
        <f>'All regions'!F1973+"n/&gt;!%W4"</f>
        <v>#VALUE!</v>
      </c>
      <c r="EV79" t="e">
        <f>'All regions'!G1973+"n/&gt;!%W5"</f>
        <v>#VALUE!</v>
      </c>
      <c r="EW79" t="e">
        <f>'All regions'!H1973+"n/&gt;!%W6"</f>
        <v>#VALUE!</v>
      </c>
      <c r="EX79" t="e">
        <f>'All regions'!I1973+"n/&gt;!%W7"</f>
        <v>#VALUE!</v>
      </c>
      <c r="EY79" t="e">
        <f>'All regions'!J1973+"n/&gt;!%W8"</f>
        <v>#VALUE!</v>
      </c>
      <c r="EZ79" t="e">
        <f>'All regions'!A1974+"n/&gt;!%W9"</f>
        <v>#VALUE!</v>
      </c>
      <c r="FA79" t="e">
        <f>'All regions'!B1974+"n/&gt;!%W:"</f>
        <v>#VALUE!</v>
      </c>
      <c r="FB79" t="e">
        <f>'All regions'!C1974+"n/&gt;!%W;"</f>
        <v>#VALUE!</v>
      </c>
      <c r="FC79" t="e">
        <f>'All regions'!D1974+"n/&gt;!%W&lt;"</f>
        <v>#VALUE!</v>
      </c>
      <c r="FD79" t="e">
        <f>'All regions'!E1974+"n/&gt;!%W="</f>
        <v>#VALUE!</v>
      </c>
      <c r="FE79" t="e">
        <f>'All regions'!F1974+"n/&gt;!%W&gt;"</f>
        <v>#VALUE!</v>
      </c>
      <c r="FF79" t="e">
        <f>'All regions'!G1974+"n/&gt;!%W?"</f>
        <v>#VALUE!</v>
      </c>
      <c r="FG79" t="e">
        <f>'All regions'!H1974+"n/&gt;!%W@"</f>
        <v>#VALUE!</v>
      </c>
      <c r="FH79" t="e">
        <f>'All regions'!I1974+"n/&gt;!%WA"</f>
        <v>#VALUE!</v>
      </c>
      <c r="FI79" t="e">
        <f>'All regions'!J1974+"n/&gt;!%WB"</f>
        <v>#VALUE!</v>
      </c>
      <c r="FJ79" t="e">
        <f>'All regions'!A1975+"n/&gt;!%WC"</f>
        <v>#VALUE!</v>
      </c>
      <c r="FK79" t="e">
        <f>'All regions'!B1975+"n/&gt;!%WD"</f>
        <v>#VALUE!</v>
      </c>
      <c r="FL79" t="e">
        <f>'All regions'!C1975+"n/&gt;!%WE"</f>
        <v>#VALUE!</v>
      </c>
      <c r="FM79" t="e">
        <f>'All regions'!D1975+"n/&gt;!%WF"</f>
        <v>#VALUE!</v>
      </c>
      <c r="FN79" t="e">
        <f>'All regions'!E1975+"n/&gt;!%WG"</f>
        <v>#VALUE!</v>
      </c>
      <c r="FO79" t="e">
        <f>'All regions'!F1975+"n/&gt;!%WH"</f>
        <v>#VALUE!</v>
      </c>
      <c r="FP79" t="e">
        <f>'All regions'!G1975+"n/&gt;!%WI"</f>
        <v>#VALUE!</v>
      </c>
      <c r="FQ79" t="e">
        <f>'All regions'!H1975+"n/&gt;!%WJ"</f>
        <v>#VALUE!</v>
      </c>
      <c r="FR79" t="e">
        <f>'All regions'!I1975+"n/&gt;!%WK"</f>
        <v>#VALUE!</v>
      </c>
      <c r="FS79" t="e">
        <f>'All regions'!J1975+"n/&gt;!%WL"</f>
        <v>#VALUE!</v>
      </c>
      <c r="FT79" t="e">
        <f>'All regions'!A1976+"n/&gt;!%WM"</f>
        <v>#VALUE!</v>
      </c>
      <c r="FU79" t="e">
        <f>'All regions'!B1976+"n/&gt;!%WN"</f>
        <v>#VALUE!</v>
      </c>
      <c r="FV79" t="e">
        <f>'All regions'!C1976+"n/&gt;!%WO"</f>
        <v>#VALUE!</v>
      </c>
      <c r="FW79" t="e">
        <f>'All regions'!D1976+"n/&gt;!%WP"</f>
        <v>#VALUE!</v>
      </c>
      <c r="FX79" t="e">
        <f>'All regions'!E1976+"n/&gt;!%WQ"</f>
        <v>#VALUE!</v>
      </c>
      <c r="FY79" t="e">
        <f>'All regions'!F1976+"n/&gt;!%WR"</f>
        <v>#VALUE!</v>
      </c>
      <c r="FZ79" t="e">
        <f>'All regions'!G1976+"n/&gt;!%WS"</f>
        <v>#VALUE!</v>
      </c>
      <c r="GA79" t="e">
        <f>'All regions'!H1976+"n/&gt;!%WT"</f>
        <v>#VALUE!</v>
      </c>
      <c r="GB79" t="e">
        <f>'All regions'!I1976+"n/&gt;!%WU"</f>
        <v>#VALUE!</v>
      </c>
      <c r="GC79" t="e">
        <f>'All regions'!J1976+"n/&gt;!%WV"</f>
        <v>#VALUE!</v>
      </c>
      <c r="GD79" t="e">
        <f>'All regions'!A1977+"n/&gt;!%WW"</f>
        <v>#VALUE!</v>
      </c>
      <c r="GE79" t="e">
        <f>'All regions'!B1977+"n/&gt;!%WX"</f>
        <v>#VALUE!</v>
      </c>
      <c r="GF79" t="e">
        <f>'All regions'!C1977+"n/&gt;!%WY"</f>
        <v>#VALUE!</v>
      </c>
      <c r="GG79" t="e">
        <f>'All regions'!D1977+"n/&gt;!%WZ"</f>
        <v>#VALUE!</v>
      </c>
      <c r="GH79" t="e">
        <f>'All regions'!E1977+"n/&gt;!%W["</f>
        <v>#VALUE!</v>
      </c>
      <c r="GI79" t="e">
        <f>'All regions'!F1977+"n/&gt;!%W\"</f>
        <v>#VALUE!</v>
      </c>
      <c r="GJ79" t="e">
        <f>'All regions'!G1977+"n/&gt;!%W]"</f>
        <v>#VALUE!</v>
      </c>
      <c r="GK79" t="e">
        <f>'All regions'!H1977+"n/&gt;!%W^"</f>
        <v>#VALUE!</v>
      </c>
      <c r="GL79" t="e">
        <f>'All regions'!I1977+"n/&gt;!%W_"</f>
        <v>#VALUE!</v>
      </c>
      <c r="GM79" t="e">
        <f>'All regions'!J1977+"n/&gt;!%W`"</f>
        <v>#VALUE!</v>
      </c>
      <c r="GN79" t="e">
        <f>'All regions'!A1978+"n/&gt;!%Wa"</f>
        <v>#VALUE!</v>
      </c>
      <c r="GO79" t="e">
        <f>'All regions'!B1978+"n/&gt;!%Wb"</f>
        <v>#VALUE!</v>
      </c>
      <c r="GP79" t="e">
        <f>'All regions'!C1978+"n/&gt;!%Wc"</f>
        <v>#VALUE!</v>
      </c>
      <c r="GQ79" t="e">
        <f>'All regions'!D1978+"n/&gt;!%Wd"</f>
        <v>#VALUE!</v>
      </c>
      <c r="GR79" t="e">
        <f>'All regions'!E1978+"n/&gt;!%We"</f>
        <v>#VALUE!</v>
      </c>
      <c r="GS79" t="e">
        <f>'All regions'!F1978+"n/&gt;!%Wf"</f>
        <v>#VALUE!</v>
      </c>
      <c r="GT79" t="e">
        <f>'All regions'!G1978+"n/&gt;!%Wg"</f>
        <v>#VALUE!</v>
      </c>
      <c r="GU79" t="e">
        <f>'All regions'!H1978+"n/&gt;!%Wh"</f>
        <v>#VALUE!</v>
      </c>
      <c r="GV79" t="e">
        <f>'All regions'!I1978+"n/&gt;!%Wi"</f>
        <v>#VALUE!</v>
      </c>
      <c r="GW79" t="e">
        <f>'All regions'!J1978+"n/&gt;!%Wj"</f>
        <v>#VALUE!</v>
      </c>
      <c r="GX79" t="e">
        <f>'All regions'!A1979+"n/&gt;!%Wk"</f>
        <v>#VALUE!</v>
      </c>
      <c r="GY79" t="e">
        <f>'All regions'!B1979+"n/&gt;!%Wl"</f>
        <v>#VALUE!</v>
      </c>
      <c r="GZ79" t="e">
        <f>'All regions'!C1979+"n/&gt;!%Wm"</f>
        <v>#VALUE!</v>
      </c>
      <c r="HA79" t="e">
        <f>'All regions'!D1979+"n/&gt;!%Wn"</f>
        <v>#VALUE!</v>
      </c>
      <c r="HB79" t="e">
        <f>'All regions'!E1979+"n/&gt;!%Wo"</f>
        <v>#VALUE!</v>
      </c>
      <c r="HC79" t="e">
        <f>'All regions'!F1979+"n/&gt;!%Wp"</f>
        <v>#VALUE!</v>
      </c>
      <c r="HD79" t="e">
        <f>'All regions'!G1979+"n/&gt;!%Wq"</f>
        <v>#VALUE!</v>
      </c>
      <c r="HE79" t="e">
        <f>'All regions'!H1979+"n/&gt;!%Wr"</f>
        <v>#VALUE!</v>
      </c>
      <c r="HF79" t="e">
        <f>'All regions'!I1979+"n/&gt;!%Ws"</f>
        <v>#VALUE!</v>
      </c>
      <c r="HG79" t="e">
        <f>'All regions'!J1979+"n/&gt;!%Wt"</f>
        <v>#VALUE!</v>
      </c>
      <c r="HH79" t="e">
        <f>'All regions'!A1980+"n/&gt;!%Wu"</f>
        <v>#VALUE!</v>
      </c>
      <c r="HI79" t="e">
        <f>'All regions'!B1980+"n/&gt;!%Wv"</f>
        <v>#VALUE!</v>
      </c>
      <c r="HJ79" t="e">
        <f>'All regions'!C1980+"n/&gt;!%Ww"</f>
        <v>#VALUE!</v>
      </c>
      <c r="HK79" t="e">
        <f>'All regions'!D1980+"n/&gt;!%Wx"</f>
        <v>#VALUE!</v>
      </c>
      <c r="HL79" t="e">
        <f>'All regions'!E1980+"n/&gt;!%Wy"</f>
        <v>#VALUE!</v>
      </c>
      <c r="HM79" t="e">
        <f>'All regions'!F1980+"n/&gt;!%Wz"</f>
        <v>#VALUE!</v>
      </c>
      <c r="HN79" t="e">
        <f>'All regions'!G1980+"n/&gt;!%W{"</f>
        <v>#VALUE!</v>
      </c>
      <c r="HO79" t="e">
        <f>'All regions'!H1980+"n/&gt;!%W|"</f>
        <v>#VALUE!</v>
      </c>
      <c r="HP79" t="e">
        <f>'All regions'!I1980+"n/&gt;!%W}"</f>
        <v>#VALUE!</v>
      </c>
      <c r="HQ79" t="e">
        <f>'All regions'!J1980+"n/&gt;!%W~"</f>
        <v>#VALUE!</v>
      </c>
      <c r="HR79" t="e">
        <f>'All regions'!A1981+"n/&gt;!%X#"</f>
        <v>#VALUE!</v>
      </c>
      <c r="HS79" t="e">
        <f>'All regions'!B1981+"n/&gt;!%X$"</f>
        <v>#VALUE!</v>
      </c>
      <c r="HT79" t="e">
        <f>'All regions'!C1981+"n/&gt;!%X%"</f>
        <v>#VALUE!</v>
      </c>
      <c r="HU79" t="e">
        <f>'All regions'!D1981+"n/&gt;!%X&amp;"</f>
        <v>#VALUE!</v>
      </c>
      <c r="HV79" t="e">
        <f>'All regions'!E1981+"n/&gt;!%X'"</f>
        <v>#VALUE!</v>
      </c>
      <c r="HW79" t="e">
        <f>'All regions'!F1981+"n/&gt;!%X("</f>
        <v>#VALUE!</v>
      </c>
      <c r="HX79" t="e">
        <f>'All regions'!G1981+"n/&gt;!%X)"</f>
        <v>#VALUE!</v>
      </c>
      <c r="HY79" t="e">
        <f>'All regions'!H1981+"n/&gt;!%X."</f>
        <v>#VALUE!</v>
      </c>
      <c r="HZ79" t="e">
        <f>'All regions'!I1981+"n/&gt;!%X/"</f>
        <v>#VALUE!</v>
      </c>
      <c r="IA79" t="e">
        <f>'All regions'!J1981+"n/&gt;!%X0"</f>
        <v>#VALUE!</v>
      </c>
      <c r="IB79" t="e">
        <f>'All regions'!A1982+"n/&gt;!%X1"</f>
        <v>#VALUE!</v>
      </c>
      <c r="IC79" t="e">
        <f>'All regions'!B1982+"n/&gt;!%X2"</f>
        <v>#VALUE!</v>
      </c>
      <c r="ID79" t="e">
        <f>'All regions'!C1982+"n/&gt;!%X3"</f>
        <v>#VALUE!</v>
      </c>
      <c r="IE79" t="e">
        <f>'All regions'!D1982+"n/&gt;!%X4"</f>
        <v>#VALUE!</v>
      </c>
      <c r="IF79" t="e">
        <f>'All regions'!E1982+"n/&gt;!%X5"</f>
        <v>#VALUE!</v>
      </c>
      <c r="IG79" t="e">
        <f>'All regions'!F1982+"n/&gt;!%X6"</f>
        <v>#VALUE!</v>
      </c>
      <c r="IH79" t="e">
        <f>'All regions'!G1982+"n/&gt;!%X7"</f>
        <v>#VALUE!</v>
      </c>
      <c r="II79" t="e">
        <f>'All regions'!H1982+"n/&gt;!%X8"</f>
        <v>#VALUE!</v>
      </c>
      <c r="IJ79" t="e">
        <f>'All regions'!I1982+"n/&gt;!%X9"</f>
        <v>#VALUE!</v>
      </c>
      <c r="IK79" t="e">
        <f>'All regions'!J1982+"n/&gt;!%X:"</f>
        <v>#VALUE!</v>
      </c>
      <c r="IL79" t="e">
        <f>'All regions'!A1983+"n/&gt;!%X;"</f>
        <v>#VALUE!</v>
      </c>
      <c r="IM79" t="e">
        <f>'All regions'!B1983+"n/&gt;!%X&lt;"</f>
        <v>#VALUE!</v>
      </c>
      <c r="IN79" t="e">
        <f>'All regions'!C1983+"n/&gt;!%X="</f>
        <v>#VALUE!</v>
      </c>
      <c r="IO79" t="e">
        <f>'All regions'!D1983+"n/&gt;!%X&gt;"</f>
        <v>#VALUE!</v>
      </c>
      <c r="IP79" t="e">
        <f>'All regions'!E1983+"n/&gt;!%X?"</f>
        <v>#VALUE!</v>
      </c>
      <c r="IQ79" t="e">
        <f>'All regions'!F1983+"n/&gt;!%X@"</f>
        <v>#VALUE!</v>
      </c>
      <c r="IR79" t="e">
        <f>'All regions'!G1983+"n/&gt;!%XA"</f>
        <v>#VALUE!</v>
      </c>
      <c r="IS79" t="e">
        <f>'All regions'!H1983+"n/&gt;!%XB"</f>
        <v>#VALUE!</v>
      </c>
      <c r="IT79" t="e">
        <f>'All regions'!I1983+"n/&gt;!%XC"</f>
        <v>#VALUE!</v>
      </c>
      <c r="IU79" t="e">
        <f>'All regions'!J1983+"n/&gt;!%XD"</f>
        <v>#VALUE!</v>
      </c>
      <c r="IV79" t="e">
        <f>'All regions'!A1984+"n/&gt;!%XE"</f>
        <v>#VALUE!</v>
      </c>
    </row>
    <row r="80" spans="6:256" x14ac:dyDescent="0.35">
      <c r="F80" t="e">
        <f>'All regions'!B1984+"n/&gt;!%XF"</f>
        <v>#VALUE!</v>
      </c>
      <c r="G80" t="e">
        <f>'All regions'!C1984+"n/&gt;!%XG"</f>
        <v>#VALUE!</v>
      </c>
      <c r="H80" t="e">
        <f>'All regions'!D1984+"n/&gt;!%XH"</f>
        <v>#VALUE!</v>
      </c>
      <c r="I80" t="e">
        <f>'All regions'!E1984+"n/&gt;!%XI"</f>
        <v>#VALUE!</v>
      </c>
      <c r="J80" t="e">
        <f>'All regions'!F1984+"n/&gt;!%XJ"</f>
        <v>#VALUE!</v>
      </c>
      <c r="K80" t="e">
        <f>'All regions'!G1984+"n/&gt;!%XK"</f>
        <v>#VALUE!</v>
      </c>
      <c r="L80" t="e">
        <f>'All regions'!H1984+"n/&gt;!%XL"</f>
        <v>#VALUE!</v>
      </c>
      <c r="M80" t="e">
        <f>'All regions'!I1984+"n/&gt;!%XM"</f>
        <v>#VALUE!</v>
      </c>
      <c r="N80" t="e">
        <f>'All regions'!J1984+"n/&gt;!%XN"</f>
        <v>#VALUE!</v>
      </c>
      <c r="O80" t="e">
        <f>'All regions'!A1985+"n/&gt;!%XO"</f>
        <v>#VALUE!</v>
      </c>
      <c r="P80" t="e">
        <f>'All regions'!B1985+"n/&gt;!%XP"</f>
        <v>#VALUE!</v>
      </c>
      <c r="Q80" t="e">
        <f>'All regions'!C1985+"n/&gt;!%XQ"</f>
        <v>#VALUE!</v>
      </c>
      <c r="R80" t="e">
        <f>'All regions'!D1985+"n/&gt;!%XR"</f>
        <v>#VALUE!</v>
      </c>
      <c r="S80" t="e">
        <f>'All regions'!E1985+"n/&gt;!%XS"</f>
        <v>#VALUE!</v>
      </c>
      <c r="T80" t="e">
        <f>'All regions'!F1985+"n/&gt;!%XT"</f>
        <v>#VALUE!</v>
      </c>
      <c r="U80" t="e">
        <f>'All regions'!G1985+"n/&gt;!%XU"</f>
        <v>#VALUE!</v>
      </c>
      <c r="V80" t="e">
        <f>'All regions'!H1985+"n/&gt;!%XV"</f>
        <v>#VALUE!</v>
      </c>
      <c r="W80" t="e">
        <f>'All regions'!I1985+"n/&gt;!%XW"</f>
        <v>#VALUE!</v>
      </c>
      <c r="X80" t="e">
        <f>'All regions'!J1985+"n/&gt;!%XX"</f>
        <v>#VALUE!</v>
      </c>
      <c r="Y80" t="e">
        <f>'All regions'!A1986+"n/&gt;!%XY"</f>
        <v>#VALUE!</v>
      </c>
      <c r="Z80" t="e">
        <f>'All regions'!B1986+"n/&gt;!%XZ"</f>
        <v>#VALUE!</v>
      </c>
      <c r="AA80" t="e">
        <f>'All regions'!C1986+"n/&gt;!%X["</f>
        <v>#VALUE!</v>
      </c>
      <c r="AB80" t="e">
        <f>'All regions'!D1986+"n/&gt;!%X\"</f>
        <v>#VALUE!</v>
      </c>
      <c r="AC80" t="e">
        <f>'All regions'!E1986+"n/&gt;!%X]"</f>
        <v>#VALUE!</v>
      </c>
      <c r="AD80" t="e">
        <f>'All regions'!F1986+"n/&gt;!%X^"</f>
        <v>#VALUE!</v>
      </c>
      <c r="AE80" t="e">
        <f>'All regions'!G1986+"n/&gt;!%X_"</f>
        <v>#VALUE!</v>
      </c>
      <c r="AF80" t="e">
        <f>'All regions'!H1986+"n/&gt;!%X`"</f>
        <v>#VALUE!</v>
      </c>
      <c r="AG80" t="e">
        <f>'All regions'!I1986+"n/&gt;!%Xa"</f>
        <v>#VALUE!</v>
      </c>
      <c r="AH80" t="e">
        <f>'All regions'!J1986+"n/&gt;!%Xb"</f>
        <v>#VALUE!</v>
      </c>
      <c r="AI80" t="e">
        <f>'All regions'!A1987+"n/&gt;!%Xc"</f>
        <v>#VALUE!</v>
      </c>
      <c r="AJ80" t="e">
        <f>'All regions'!B1987+"n/&gt;!%Xd"</f>
        <v>#VALUE!</v>
      </c>
      <c r="AK80" t="e">
        <f>'All regions'!C1987+"n/&gt;!%Xe"</f>
        <v>#VALUE!</v>
      </c>
      <c r="AL80" t="e">
        <f>'All regions'!D1987+"n/&gt;!%Xf"</f>
        <v>#VALUE!</v>
      </c>
      <c r="AM80" t="e">
        <f>'All regions'!E1987+"n/&gt;!%Xg"</f>
        <v>#VALUE!</v>
      </c>
      <c r="AN80" t="e">
        <f>'All regions'!F1987+"n/&gt;!%Xh"</f>
        <v>#VALUE!</v>
      </c>
      <c r="AO80" t="e">
        <f>'All regions'!G1987+"n/&gt;!%Xi"</f>
        <v>#VALUE!</v>
      </c>
      <c r="AP80" t="e">
        <f>'All regions'!H1987+"n/&gt;!%Xj"</f>
        <v>#VALUE!</v>
      </c>
      <c r="AQ80" t="e">
        <f>'All regions'!I1987+"n/&gt;!%Xk"</f>
        <v>#VALUE!</v>
      </c>
      <c r="AR80" t="e">
        <f>'All regions'!J1987+"n/&gt;!%Xl"</f>
        <v>#VALUE!</v>
      </c>
      <c r="AS80" t="e">
        <f>'All regions'!A1988+"n/&gt;!%Xm"</f>
        <v>#VALUE!</v>
      </c>
      <c r="AT80" t="e">
        <f>'All regions'!B1988+"n/&gt;!%Xn"</f>
        <v>#VALUE!</v>
      </c>
      <c r="AU80" t="e">
        <f>'All regions'!C1988+"n/&gt;!%Xo"</f>
        <v>#VALUE!</v>
      </c>
      <c r="AV80" t="e">
        <f>'All regions'!D1988+"n/&gt;!%Xp"</f>
        <v>#VALUE!</v>
      </c>
      <c r="AW80" t="e">
        <f>'All regions'!E1988+"n/&gt;!%Xq"</f>
        <v>#VALUE!</v>
      </c>
      <c r="AX80" t="e">
        <f>'All regions'!F1988+"n/&gt;!%Xr"</f>
        <v>#VALUE!</v>
      </c>
      <c r="AY80" t="e">
        <f>'All regions'!G1988+"n/&gt;!%Xs"</f>
        <v>#VALUE!</v>
      </c>
      <c r="AZ80" t="e">
        <f>'All regions'!H1988+"n/&gt;!%Xt"</f>
        <v>#VALUE!</v>
      </c>
      <c r="BA80" t="e">
        <f>'All regions'!I1988+"n/&gt;!%Xu"</f>
        <v>#VALUE!</v>
      </c>
      <c r="BB80" t="e">
        <f>'All regions'!J1988+"n/&gt;!%Xv"</f>
        <v>#VALUE!</v>
      </c>
      <c r="BC80" t="e">
        <f>'All regions'!A1989+"n/&gt;!%Xw"</f>
        <v>#VALUE!</v>
      </c>
      <c r="BD80" t="e">
        <f>'All regions'!B1989+"n/&gt;!%Xx"</f>
        <v>#VALUE!</v>
      </c>
      <c r="BE80" t="e">
        <f>'All regions'!C1989+"n/&gt;!%Xy"</f>
        <v>#VALUE!</v>
      </c>
      <c r="BF80" t="e">
        <f>'All regions'!D1989+"n/&gt;!%Xz"</f>
        <v>#VALUE!</v>
      </c>
      <c r="BG80" t="e">
        <f>'All regions'!E1989+"n/&gt;!%X{"</f>
        <v>#VALUE!</v>
      </c>
      <c r="BH80" t="e">
        <f>'All regions'!F1989+"n/&gt;!%X|"</f>
        <v>#VALUE!</v>
      </c>
      <c r="BI80" t="e">
        <f>'All regions'!G1989+"n/&gt;!%X}"</f>
        <v>#VALUE!</v>
      </c>
      <c r="BJ80" t="e">
        <f>'All regions'!H1989+"n/&gt;!%X~"</f>
        <v>#VALUE!</v>
      </c>
      <c r="BK80" t="e">
        <f>'All regions'!I1989+"n/&gt;!%Y#"</f>
        <v>#VALUE!</v>
      </c>
      <c r="BL80" t="e">
        <f>'All regions'!J1989+"n/&gt;!%Y$"</f>
        <v>#VALUE!</v>
      </c>
      <c r="BM80" t="e">
        <f>'All regions'!A1990+"n/&gt;!%Y%"</f>
        <v>#VALUE!</v>
      </c>
      <c r="BN80" t="e">
        <f>'All regions'!B1990+"n/&gt;!%Y&amp;"</f>
        <v>#VALUE!</v>
      </c>
      <c r="BO80" t="e">
        <f>'All regions'!C1990+"n/&gt;!%Y'"</f>
        <v>#VALUE!</v>
      </c>
      <c r="BP80" t="e">
        <f>'All regions'!D1990+"n/&gt;!%Y("</f>
        <v>#VALUE!</v>
      </c>
      <c r="BQ80" t="e">
        <f>'All regions'!E1990+"n/&gt;!%Y)"</f>
        <v>#VALUE!</v>
      </c>
      <c r="BR80" t="e">
        <f>'All regions'!F1990+"n/&gt;!%Y."</f>
        <v>#VALUE!</v>
      </c>
      <c r="BS80" t="e">
        <f>'All regions'!G1990+"n/&gt;!%Y/"</f>
        <v>#VALUE!</v>
      </c>
      <c r="BT80" t="e">
        <f>'All regions'!H1990+"n/&gt;!%Y0"</f>
        <v>#VALUE!</v>
      </c>
      <c r="BU80" t="e">
        <f>'All regions'!I1990+"n/&gt;!%Y1"</f>
        <v>#VALUE!</v>
      </c>
      <c r="BV80" t="e">
        <f>'All regions'!J1990+"n/&gt;!%Y2"</f>
        <v>#VALUE!</v>
      </c>
      <c r="BW80" t="e">
        <f>'All regions'!A1991+"n/&gt;!%Y3"</f>
        <v>#VALUE!</v>
      </c>
      <c r="BX80" t="e">
        <f>'All regions'!B1991+"n/&gt;!%Y4"</f>
        <v>#VALUE!</v>
      </c>
      <c r="BY80" t="e">
        <f>'All regions'!C1991+"n/&gt;!%Y5"</f>
        <v>#VALUE!</v>
      </c>
      <c r="BZ80" t="e">
        <f>'All regions'!D1991+"n/&gt;!%Y6"</f>
        <v>#VALUE!</v>
      </c>
      <c r="CA80" t="e">
        <f>'All regions'!E1991+"n/&gt;!%Y7"</f>
        <v>#VALUE!</v>
      </c>
      <c r="CB80" t="e">
        <f>'All regions'!F1991+"n/&gt;!%Y8"</f>
        <v>#VALUE!</v>
      </c>
      <c r="CC80" t="e">
        <f>'All regions'!G1991+"n/&gt;!%Y9"</f>
        <v>#VALUE!</v>
      </c>
      <c r="CD80" t="e">
        <f>'All regions'!H1991+"n/&gt;!%Y:"</f>
        <v>#VALUE!</v>
      </c>
      <c r="CE80" t="e">
        <f>'All regions'!I1991+"n/&gt;!%Y;"</f>
        <v>#VALUE!</v>
      </c>
      <c r="CF80" t="e">
        <f>'All regions'!J1991+"n/&gt;!%Y&lt;"</f>
        <v>#VALUE!</v>
      </c>
      <c r="CG80" t="e">
        <f>'All regions'!A1992+"n/&gt;!%Y="</f>
        <v>#VALUE!</v>
      </c>
      <c r="CH80" t="e">
        <f>'All regions'!B1992+"n/&gt;!%Y&gt;"</f>
        <v>#VALUE!</v>
      </c>
      <c r="CI80" t="e">
        <f>'All regions'!C1992+"n/&gt;!%Y?"</f>
        <v>#VALUE!</v>
      </c>
      <c r="CJ80" t="e">
        <f>'All regions'!D1992+"n/&gt;!%Y@"</f>
        <v>#VALUE!</v>
      </c>
      <c r="CK80" t="e">
        <f>'All regions'!E1992+"n/&gt;!%YA"</f>
        <v>#VALUE!</v>
      </c>
      <c r="CL80" t="e">
        <f>'All regions'!F1992+"n/&gt;!%YB"</f>
        <v>#VALUE!</v>
      </c>
      <c r="CM80" t="e">
        <f>'All regions'!G1992+"n/&gt;!%YC"</f>
        <v>#VALUE!</v>
      </c>
      <c r="CN80" t="e">
        <f>'All regions'!H1992+"n/&gt;!%YD"</f>
        <v>#VALUE!</v>
      </c>
      <c r="CO80" t="e">
        <f>'All regions'!I1992+"n/&gt;!%YE"</f>
        <v>#VALUE!</v>
      </c>
      <c r="CP80" t="e">
        <f>'All regions'!J1992+"n/&gt;!%YF"</f>
        <v>#VALUE!</v>
      </c>
      <c r="CQ80" t="e">
        <f>'All regions'!A1993+"n/&gt;!%YG"</f>
        <v>#VALUE!</v>
      </c>
      <c r="CR80" t="e">
        <f>'All regions'!B1993+"n/&gt;!%YH"</f>
        <v>#VALUE!</v>
      </c>
      <c r="CS80" t="e">
        <f>'All regions'!C1993+"n/&gt;!%YI"</f>
        <v>#VALUE!</v>
      </c>
      <c r="CT80" t="e">
        <f>'All regions'!D1993+"n/&gt;!%YJ"</f>
        <v>#VALUE!</v>
      </c>
      <c r="CU80" t="e">
        <f>'All regions'!E1993+"n/&gt;!%YK"</f>
        <v>#VALUE!</v>
      </c>
      <c r="CV80" t="e">
        <f>'All regions'!F1993+"n/&gt;!%YL"</f>
        <v>#VALUE!</v>
      </c>
      <c r="CW80" t="e">
        <f>'All regions'!G1993+"n/&gt;!%YM"</f>
        <v>#VALUE!</v>
      </c>
      <c r="CX80" t="e">
        <f>'All regions'!H1993+"n/&gt;!%YN"</f>
        <v>#VALUE!</v>
      </c>
      <c r="CY80" t="e">
        <f>'All regions'!I1993+"n/&gt;!%YO"</f>
        <v>#VALUE!</v>
      </c>
      <c r="CZ80" t="e">
        <f>'All regions'!J1993+"n/&gt;!%YP"</f>
        <v>#VALUE!</v>
      </c>
      <c r="DA80" t="e">
        <f>'All regions'!A1994+"n/&gt;!%YQ"</f>
        <v>#VALUE!</v>
      </c>
      <c r="DB80" t="e">
        <f>'All regions'!B1994+"n/&gt;!%YR"</f>
        <v>#VALUE!</v>
      </c>
      <c r="DC80" t="e">
        <f>'All regions'!C1994+"n/&gt;!%YS"</f>
        <v>#VALUE!</v>
      </c>
      <c r="DD80" t="e">
        <f>'All regions'!D1994+"n/&gt;!%YT"</f>
        <v>#VALUE!</v>
      </c>
      <c r="DE80" t="e">
        <f>'All regions'!E1994+"n/&gt;!%YU"</f>
        <v>#VALUE!</v>
      </c>
      <c r="DF80" t="e">
        <f>'All regions'!F1994+"n/&gt;!%YV"</f>
        <v>#VALUE!</v>
      </c>
      <c r="DG80" t="e">
        <f>'All regions'!G1994+"n/&gt;!%YW"</f>
        <v>#VALUE!</v>
      </c>
      <c r="DH80" t="e">
        <f>'All regions'!H1994+"n/&gt;!%YX"</f>
        <v>#VALUE!</v>
      </c>
      <c r="DI80" t="e">
        <f>'All regions'!I1994+"n/&gt;!%YY"</f>
        <v>#VALUE!</v>
      </c>
      <c r="DJ80" t="e">
        <f>'All regions'!J1994+"n/&gt;!%YZ"</f>
        <v>#VALUE!</v>
      </c>
      <c r="DK80" t="e">
        <f>'All regions'!A1995+"n/&gt;!%Y["</f>
        <v>#VALUE!</v>
      </c>
      <c r="DL80" t="e">
        <f>'All regions'!B1995+"n/&gt;!%Y\"</f>
        <v>#VALUE!</v>
      </c>
      <c r="DM80" t="e">
        <f>'All regions'!C1995+"n/&gt;!%Y]"</f>
        <v>#VALUE!</v>
      </c>
      <c r="DN80" t="e">
        <f>'All regions'!D1995+"n/&gt;!%Y^"</f>
        <v>#VALUE!</v>
      </c>
      <c r="DO80" t="e">
        <f>'All regions'!E1995+"n/&gt;!%Y_"</f>
        <v>#VALUE!</v>
      </c>
      <c r="DP80" t="e">
        <f>'All regions'!F1995+"n/&gt;!%Y`"</f>
        <v>#VALUE!</v>
      </c>
      <c r="DQ80" t="e">
        <f>'All regions'!G1995+"n/&gt;!%Ya"</f>
        <v>#VALUE!</v>
      </c>
      <c r="DR80" t="e">
        <f>'All regions'!H1995+"n/&gt;!%Yb"</f>
        <v>#VALUE!</v>
      </c>
      <c r="DS80" t="e">
        <f>'All regions'!I1995+"n/&gt;!%Yc"</f>
        <v>#VALUE!</v>
      </c>
      <c r="DT80" t="e">
        <f>'All regions'!J1995+"n/&gt;!%Yd"</f>
        <v>#VALUE!</v>
      </c>
      <c r="DU80" t="e">
        <f>'All regions'!A1996+"n/&gt;!%Ye"</f>
        <v>#VALUE!</v>
      </c>
      <c r="DV80" t="e">
        <f>'All regions'!B1996+"n/&gt;!%Yf"</f>
        <v>#VALUE!</v>
      </c>
      <c r="DW80" t="e">
        <f>'All regions'!C1996+"n/&gt;!%Yg"</f>
        <v>#VALUE!</v>
      </c>
      <c r="DX80" t="e">
        <f>'All regions'!D1996+"n/&gt;!%Yh"</f>
        <v>#VALUE!</v>
      </c>
      <c r="DY80" t="e">
        <f>'All regions'!E1996+"n/&gt;!%Yi"</f>
        <v>#VALUE!</v>
      </c>
      <c r="DZ80" t="e">
        <f>'All regions'!F1996+"n/&gt;!%Yj"</f>
        <v>#VALUE!</v>
      </c>
      <c r="EA80" t="e">
        <f>'All regions'!G1996+"n/&gt;!%Yk"</f>
        <v>#VALUE!</v>
      </c>
      <c r="EB80" t="e">
        <f>'All regions'!H1996+"n/&gt;!%Yl"</f>
        <v>#VALUE!</v>
      </c>
      <c r="EC80" t="e">
        <f>'All regions'!I1996+"n/&gt;!%Ym"</f>
        <v>#VALUE!</v>
      </c>
      <c r="ED80" t="e">
        <f>'All regions'!J1996+"n/&gt;!%Yn"</f>
        <v>#VALUE!</v>
      </c>
      <c r="EE80" t="e">
        <f>'All regions'!A1997+"n/&gt;!%Yo"</f>
        <v>#VALUE!</v>
      </c>
      <c r="EF80" t="e">
        <f>'All regions'!B1997+"n/&gt;!%Yp"</f>
        <v>#VALUE!</v>
      </c>
      <c r="EG80" t="e">
        <f>'All regions'!C1997+"n/&gt;!%Yq"</f>
        <v>#VALUE!</v>
      </c>
      <c r="EH80" t="e">
        <f>'All regions'!D1997+"n/&gt;!%Yr"</f>
        <v>#VALUE!</v>
      </c>
      <c r="EI80" t="e">
        <f>'All regions'!E1997+"n/&gt;!%Ys"</f>
        <v>#VALUE!</v>
      </c>
      <c r="EJ80" t="e">
        <f>'All regions'!F1997+"n/&gt;!%Yt"</f>
        <v>#VALUE!</v>
      </c>
      <c r="EK80" t="e">
        <f>'All regions'!G1997+"n/&gt;!%Yu"</f>
        <v>#VALUE!</v>
      </c>
      <c r="EL80" t="e">
        <f>'All regions'!H1997+"n/&gt;!%Yv"</f>
        <v>#VALUE!</v>
      </c>
      <c r="EM80" t="e">
        <f>'All regions'!I1997+"n/&gt;!%Yw"</f>
        <v>#VALUE!</v>
      </c>
      <c r="EN80" t="e">
        <f>'All regions'!J1997+"n/&gt;!%Yx"</f>
        <v>#VALUE!</v>
      </c>
      <c r="EO80" t="e">
        <f>'All regions'!A1998+"n/&gt;!%Yy"</f>
        <v>#VALUE!</v>
      </c>
      <c r="EP80" t="e">
        <f>'All regions'!B1998+"n/&gt;!%Yz"</f>
        <v>#VALUE!</v>
      </c>
      <c r="EQ80" t="e">
        <f>'All regions'!C1998+"n/&gt;!%Y{"</f>
        <v>#VALUE!</v>
      </c>
      <c r="ER80" t="e">
        <f>'All regions'!D1998+"n/&gt;!%Y|"</f>
        <v>#VALUE!</v>
      </c>
      <c r="ES80" t="e">
        <f>'All regions'!E1998+"n/&gt;!%Y}"</f>
        <v>#VALUE!</v>
      </c>
      <c r="ET80" t="e">
        <f>'All regions'!F1998+"n/&gt;!%Y~"</f>
        <v>#VALUE!</v>
      </c>
      <c r="EU80" t="e">
        <f>'All regions'!G1998+"n/&gt;!%Z#"</f>
        <v>#VALUE!</v>
      </c>
      <c r="EV80" t="e">
        <f>'All regions'!H1998+"n/&gt;!%Z$"</f>
        <v>#VALUE!</v>
      </c>
      <c r="EW80" t="e">
        <f>'All regions'!I1998+"n/&gt;!%Z%"</f>
        <v>#VALUE!</v>
      </c>
      <c r="EX80" t="e">
        <f>'All regions'!J1998+"n/&gt;!%Z&amp;"</f>
        <v>#VALUE!</v>
      </c>
      <c r="EY80" t="e">
        <f>'All regions'!A1999+"n/&gt;!%Z'"</f>
        <v>#VALUE!</v>
      </c>
      <c r="EZ80" t="e">
        <f>'All regions'!B1999+"n/&gt;!%Z("</f>
        <v>#VALUE!</v>
      </c>
      <c r="FA80" t="e">
        <f>'All regions'!C1999+"n/&gt;!%Z)"</f>
        <v>#VALUE!</v>
      </c>
      <c r="FB80" t="e">
        <f>'All regions'!D1999+"n/&gt;!%Z."</f>
        <v>#VALUE!</v>
      </c>
      <c r="FC80" t="e">
        <f>'All regions'!E1999+"n/&gt;!%Z/"</f>
        <v>#VALUE!</v>
      </c>
      <c r="FD80" t="e">
        <f>'All regions'!F1999+"n/&gt;!%Z0"</f>
        <v>#VALUE!</v>
      </c>
      <c r="FE80" t="e">
        <f>'All regions'!G1999+"n/&gt;!%Z1"</f>
        <v>#VALUE!</v>
      </c>
      <c r="FF80" t="e">
        <f>'All regions'!H1999+"n/&gt;!%Z2"</f>
        <v>#VALUE!</v>
      </c>
      <c r="FG80" t="e">
        <f>'All regions'!I1999+"n/&gt;!%Z3"</f>
        <v>#VALUE!</v>
      </c>
      <c r="FH80" t="e">
        <f>'All regions'!J1999+"n/&gt;!%Z4"</f>
        <v>#VALUE!</v>
      </c>
      <c r="FI80" t="e">
        <f>'All regions'!A2000+"n/&gt;!%Z5"</f>
        <v>#VALUE!</v>
      </c>
      <c r="FJ80" t="e">
        <f>'All regions'!B2000+"n/&gt;!%Z6"</f>
        <v>#VALUE!</v>
      </c>
      <c r="FK80" t="e">
        <f>'All regions'!C2000+"n/&gt;!%Z7"</f>
        <v>#VALUE!</v>
      </c>
      <c r="FL80" t="e">
        <f>'All regions'!D2000+"n/&gt;!%Z8"</f>
        <v>#VALUE!</v>
      </c>
      <c r="FM80" t="e">
        <f>'All regions'!E2000+"n/&gt;!%Z9"</f>
        <v>#VALUE!</v>
      </c>
      <c r="FN80" t="e">
        <f>'All regions'!F2000+"n/&gt;!%Z:"</f>
        <v>#VALUE!</v>
      </c>
      <c r="FO80" t="e">
        <f>'All regions'!G2000+"n/&gt;!%Z;"</f>
        <v>#VALUE!</v>
      </c>
      <c r="FP80" t="e">
        <f>'All regions'!H2000+"n/&gt;!%Z&lt;"</f>
        <v>#VALUE!</v>
      </c>
      <c r="FQ80" t="e">
        <f>'All regions'!I2000+"n/&gt;!%Z="</f>
        <v>#VALUE!</v>
      </c>
      <c r="FR80" t="e">
        <f>'All regions'!J2000+"n/&gt;!%Z&gt;"</f>
        <v>#VALUE!</v>
      </c>
      <c r="FS80" t="e">
        <f>'All regions'!A2001+"n/&gt;!%Z?"</f>
        <v>#VALUE!</v>
      </c>
      <c r="FT80" t="e">
        <f>'All regions'!B2001+"n/&gt;!%Z@"</f>
        <v>#VALUE!</v>
      </c>
      <c r="FU80" t="e">
        <f>'All regions'!C2001+"n/&gt;!%ZA"</f>
        <v>#VALUE!</v>
      </c>
      <c r="FV80" t="e">
        <f>'All regions'!D2001+"n/&gt;!%ZB"</f>
        <v>#VALUE!</v>
      </c>
      <c r="FW80" t="e">
        <f>'All regions'!E2001+"n/&gt;!%ZC"</f>
        <v>#VALUE!</v>
      </c>
      <c r="FX80" t="e">
        <f>'All regions'!F2001+"n/&gt;!%ZD"</f>
        <v>#VALUE!</v>
      </c>
      <c r="FY80" t="e">
        <f>'All regions'!G2001+"n/&gt;!%ZE"</f>
        <v>#VALUE!</v>
      </c>
      <c r="FZ80" t="e">
        <f>'All regions'!H2001+"n/&gt;!%ZF"</f>
        <v>#VALUE!</v>
      </c>
      <c r="GA80" t="e">
        <f>'All regions'!I2001+"n/&gt;!%ZG"</f>
        <v>#VALUE!</v>
      </c>
      <c r="GB80" t="e">
        <f>'All regions'!J2001+"n/&gt;!%ZH"</f>
        <v>#VALUE!</v>
      </c>
      <c r="GC80" t="e">
        <f>'All regions'!A2002+"n/&gt;!%ZI"</f>
        <v>#VALUE!</v>
      </c>
      <c r="GD80" t="e">
        <f>'All regions'!B2002+"n/&gt;!%ZJ"</f>
        <v>#VALUE!</v>
      </c>
      <c r="GE80" t="e">
        <f>'All regions'!C2002+"n/&gt;!%ZK"</f>
        <v>#VALUE!</v>
      </c>
      <c r="GF80" t="e">
        <f>'All regions'!D2002+"n/&gt;!%ZL"</f>
        <v>#VALUE!</v>
      </c>
      <c r="GG80" t="e">
        <f>'All regions'!E2002+"n/&gt;!%ZM"</f>
        <v>#VALUE!</v>
      </c>
      <c r="GH80" t="e">
        <f>'All regions'!F2002+"n/&gt;!%ZN"</f>
        <v>#VALUE!</v>
      </c>
      <c r="GI80" t="e">
        <f>'All regions'!G2002+"n/&gt;!%ZO"</f>
        <v>#VALUE!</v>
      </c>
      <c r="GJ80" t="e">
        <f>'All regions'!H2002+"n/&gt;!%ZP"</f>
        <v>#VALUE!</v>
      </c>
      <c r="GK80" t="e">
        <f>'All regions'!I2002+"n/&gt;!%ZQ"</f>
        <v>#VALUE!</v>
      </c>
      <c r="GL80" t="e">
        <f>'All regions'!J2002+"n/&gt;!%ZR"</f>
        <v>#VALUE!</v>
      </c>
      <c r="GM80" t="e">
        <f>'All regions'!A2003+"n/&gt;!%ZS"</f>
        <v>#VALUE!</v>
      </c>
      <c r="GN80" t="e">
        <f>'All regions'!B2003+"n/&gt;!%ZT"</f>
        <v>#VALUE!</v>
      </c>
      <c r="GO80" t="e">
        <f>'All regions'!C2003+"n/&gt;!%ZU"</f>
        <v>#VALUE!</v>
      </c>
      <c r="GP80" t="e">
        <f>'All regions'!D2003+"n/&gt;!%ZV"</f>
        <v>#VALUE!</v>
      </c>
      <c r="GQ80" t="e">
        <f>'All regions'!E2003+"n/&gt;!%ZW"</f>
        <v>#VALUE!</v>
      </c>
      <c r="GR80" t="e">
        <f>'All regions'!F2003+"n/&gt;!%ZX"</f>
        <v>#VALUE!</v>
      </c>
      <c r="GS80" t="e">
        <f>'All regions'!G2003+"n/&gt;!%ZY"</f>
        <v>#VALUE!</v>
      </c>
      <c r="GT80" t="e">
        <f>'All regions'!H2003+"n/&gt;!%ZZ"</f>
        <v>#VALUE!</v>
      </c>
      <c r="GU80" t="e">
        <f>'All regions'!I2003+"n/&gt;!%Z["</f>
        <v>#VALUE!</v>
      </c>
      <c r="GV80" t="e">
        <f>'All regions'!J2003+"n/&gt;!%Z\"</f>
        <v>#VALUE!</v>
      </c>
      <c r="GW80" t="e">
        <f>'All regions'!A2004+"n/&gt;!%Z]"</f>
        <v>#VALUE!</v>
      </c>
      <c r="GX80" t="e">
        <f>'All regions'!B2004+"n/&gt;!%Z^"</f>
        <v>#VALUE!</v>
      </c>
      <c r="GY80" t="e">
        <f>'All regions'!C2004+"n/&gt;!%Z_"</f>
        <v>#VALUE!</v>
      </c>
      <c r="GZ80" t="e">
        <f>'All regions'!D2004+"n/&gt;!%Z`"</f>
        <v>#VALUE!</v>
      </c>
      <c r="HA80" t="e">
        <f>'All regions'!E2004+"n/&gt;!%Za"</f>
        <v>#VALUE!</v>
      </c>
      <c r="HB80" t="e">
        <f>'All regions'!F2004+"n/&gt;!%Zb"</f>
        <v>#VALUE!</v>
      </c>
      <c r="HC80" t="e">
        <f>'All regions'!G2004+"n/&gt;!%Zc"</f>
        <v>#VALUE!</v>
      </c>
      <c r="HD80" t="e">
        <f>'All regions'!H2004+"n/&gt;!%Zd"</f>
        <v>#VALUE!</v>
      </c>
      <c r="HE80" t="e">
        <f>'All regions'!I2004+"n/&gt;!%Ze"</f>
        <v>#VALUE!</v>
      </c>
      <c r="HF80" t="e">
        <f>'All regions'!J2004+"n/&gt;!%Zf"</f>
        <v>#VALUE!</v>
      </c>
      <c r="HG80" t="e">
        <f>'All regions'!A2005+"n/&gt;!%Zg"</f>
        <v>#VALUE!</v>
      </c>
      <c r="HH80" t="e">
        <f>'All regions'!B2005+"n/&gt;!%Zh"</f>
        <v>#VALUE!</v>
      </c>
      <c r="HI80" t="e">
        <f>'All regions'!C2005+"n/&gt;!%Zi"</f>
        <v>#VALUE!</v>
      </c>
      <c r="HJ80" t="e">
        <f>'All regions'!D2005+"n/&gt;!%Zj"</f>
        <v>#VALUE!</v>
      </c>
      <c r="HK80" t="e">
        <f>'All regions'!E2005+"n/&gt;!%Zk"</f>
        <v>#VALUE!</v>
      </c>
      <c r="HL80" t="e">
        <f>'All regions'!F2005+"n/&gt;!%Zl"</f>
        <v>#VALUE!</v>
      </c>
      <c r="HM80" t="e">
        <f>'All regions'!G2005+"n/&gt;!%Zm"</f>
        <v>#VALUE!</v>
      </c>
      <c r="HN80" t="e">
        <f>'All regions'!H2005+"n/&gt;!%Zn"</f>
        <v>#VALUE!</v>
      </c>
      <c r="HO80" t="e">
        <f>'All regions'!I2005+"n/&gt;!%Zo"</f>
        <v>#VALUE!</v>
      </c>
      <c r="HP80" t="e">
        <f>'All regions'!J2005+"n/&gt;!%Zp"</f>
        <v>#VALUE!</v>
      </c>
      <c r="HQ80" t="e">
        <f>'All regions'!A2006+"n/&gt;!%Zq"</f>
        <v>#VALUE!</v>
      </c>
      <c r="HR80" t="e">
        <f>'All regions'!B2006+"n/&gt;!%Zr"</f>
        <v>#VALUE!</v>
      </c>
      <c r="HS80" t="e">
        <f>'All regions'!C2006+"n/&gt;!%Zs"</f>
        <v>#VALUE!</v>
      </c>
      <c r="HT80" t="e">
        <f>'All regions'!D2006+"n/&gt;!%Zt"</f>
        <v>#VALUE!</v>
      </c>
      <c r="HU80" t="e">
        <f>'All regions'!E2006+"n/&gt;!%Zu"</f>
        <v>#VALUE!</v>
      </c>
      <c r="HV80" t="e">
        <f>'All regions'!F2006+"n/&gt;!%Zv"</f>
        <v>#VALUE!</v>
      </c>
      <c r="HW80" t="e">
        <f>'All regions'!G2006+"n/&gt;!%Zw"</f>
        <v>#VALUE!</v>
      </c>
      <c r="HX80" t="e">
        <f>'All regions'!H2006+"n/&gt;!%Zx"</f>
        <v>#VALUE!</v>
      </c>
      <c r="HY80" t="e">
        <f>'All regions'!I2006+"n/&gt;!%Zy"</f>
        <v>#VALUE!</v>
      </c>
      <c r="HZ80" t="e">
        <f>'All regions'!J2006+"n/&gt;!%Zz"</f>
        <v>#VALUE!</v>
      </c>
      <c r="IA80" t="e">
        <f>'All regions'!A2007+"n/&gt;!%Z{"</f>
        <v>#VALUE!</v>
      </c>
      <c r="IB80" t="e">
        <f>'All regions'!B2007+"n/&gt;!%Z|"</f>
        <v>#VALUE!</v>
      </c>
      <c r="IC80" t="e">
        <f>'All regions'!C2007+"n/&gt;!%Z}"</f>
        <v>#VALUE!</v>
      </c>
      <c r="ID80" t="e">
        <f>'All regions'!D2007+"n/&gt;!%Z~"</f>
        <v>#VALUE!</v>
      </c>
      <c r="IE80" t="e">
        <f>'All regions'!E2007+"n/&gt;!%[#"</f>
        <v>#VALUE!</v>
      </c>
      <c r="IF80" t="e">
        <f>'All regions'!F2007+"n/&gt;!%[$"</f>
        <v>#VALUE!</v>
      </c>
      <c r="IG80" t="e">
        <f>'All regions'!G2007+"n/&gt;!%[%"</f>
        <v>#VALUE!</v>
      </c>
      <c r="IH80" t="e">
        <f>'All regions'!H2007+"n/&gt;!%[&amp;"</f>
        <v>#VALUE!</v>
      </c>
      <c r="II80" t="e">
        <f>'All regions'!I2007+"n/&gt;!%['"</f>
        <v>#VALUE!</v>
      </c>
      <c r="IJ80" t="e">
        <f>'All regions'!J2007+"n/&gt;!%[("</f>
        <v>#VALUE!</v>
      </c>
      <c r="IK80" t="e">
        <f>'All regions'!A2008+"n/&gt;!%[)"</f>
        <v>#VALUE!</v>
      </c>
      <c r="IL80" t="e">
        <f>'All regions'!B2008+"n/&gt;!%[."</f>
        <v>#VALUE!</v>
      </c>
      <c r="IM80" t="e">
        <f>'All regions'!C2008+"n/&gt;!%[/"</f>
        <v>#VALUE!</v>
      </c>
      <c r="IN80" t="e">
        <f>'All regions'!D2008+"n/&gt;!%[0"</f>
        <v>#VALUE!</v>
      </c>
      <c r="IO80" t="e">
        <f>'All regions'!E2008+"n/&gt;!%[1"</f>
        <v>#VALUE!</v>
      </c>
      <c r="IP80" t="e">
        <f>'All regions'!F2008+"n/&gt;!%[2"</f>
        <v>#VALUE!</v>
      </c>
      <c r="IQ80" t="e">
        <f>'All regions'!G2008+"n/&gt;!%[3"</f>
        <v>#VALUE!</v>
      </c>
      <c r="IR80" t="e">
        <f>'All regions'!H2008+"n/&gt;!%[4"</f>
        <v>#VALUE!</v>
      </c>
      <c r="IS80" t="e">
        <f>'All regions'!I2008+"n/&gt;!%[5"</f>
        <v>#VALUE!</v>
      </c>
      <c r="IT80" t="e">
        <f>'All regions'!J2008+"n/&gt;!%[6"</f>
        <v>#VALUE!</v>
      </c>
      <c r="IU80" t="e">
        <f>'All regions'!A2009+"n/&gt;!%[7"</f>
        <v>#VALUE!</v>
      </c>
      <c r="IV80" t="e">
        <f>'All regions'!B2009+"n/&gt;!%[8"</f>
        <v>#VALUE!</v>
      </c>
    </row>
    <row r="81" spans="6:256" x14ac:dyDescent="0.35">
      <c r="F81" t="e">
        <f>'All regions'!C2009+"n/&gt;!%[9"</f>
        <v>#VALUE!</v>
      </c>
      <c r="G81" t="e">
        <f>'All regions'!D2009+"n/&gt;!%[:"</f>
        <v>#VALUE!</v>
      </c>
      <c r="H81" t="e">
        <f>'All regions'!E2009+"n/&gt;!%[;"</f>
        <v>#VALUE!</v>
      </c>
      <c r="I81" t="e">
        <f>'All regions'!F2009+"n/&gt;!%[&lt;"</f>
        <v>#VALUE!</v>
      </c>
      <c r="J81" t="e">
        <f>'All regions'!G2009+"n/&gt;!%[="</f>
        <v>#VALUE!</v>
      </c>
      <c r="K81" t="e">
        <f>'All regions'!H2009+"n/&gt;!%[&gt;"</f>
        <v>#VALUE!</v>
      </c>
      <c r="L81" t="e">
        <f>'All regions'!I2009+"n/&gt;!%[?"</f>
        <v>#VALUE!</v>
      </c>
      <c r="M81" t="e">
        <f>'All regions'!J2009+"n/&gt;!%[@"</f>
        <v>#VALUE!</v>
      </c>
      <c r="N81" t="e">
        <f>'All regions'!A2010+"n/&gt;!%[A"</f>
        <v>#VALUE!</v>
      </c>
      <c r="O81" t="e">
        <f>'All regions'!B2010+"n/&gt;!%[B"</f>
        <v>#VALUE!</v>
      </c>
      <c r="P81" t="e">
        <f>'All regions'!C2010+"n/&gt;!%[C"</f>
        <v>#VALUE!</v>
      </c>
      <c r="Q81" t="e">
        <f>'All regions'!D2010+"n/&gt;!%[D"</f>
        <v>#VALUE!</v>
      </c>
      <c r="R81" t="e">
        <f>'All regions'!E2010+"n/&gt;!%[E"</f>
        <v>#VALUE!</v>
      </c>
      <c r="S81" t="e">
        <f>'All regions'!F2010+"n/&gt;!%[F"</f>
        <v>#VALUE!</v>
      </c>
      <c r="T81" t="e">
        <f>'All regions'!G2010+"n/&gt;!%[G"</f>
        <v>#VALUE!</v>
      </c>
      <c r="U81" t="e">
        <f>'All regions'!H2010+"n/&gt;!%[H"</f>
        <v>#VALUE!</v>
      </c>
      <c r="V81" t="e">
        <f>'All regions'!I2010+"n/&gt;!%[I"</f>
        <v>#VALUE!</v>
      </c>
      <c r="W81" t="e">
        <f>'All regions'!J2010+"n/&gt;!%[J"</f>
        <v>#VALUE!</v>
      </c>
      <c r="X81" t="e">
        <f>'All regions'!A2011+"n/&gt;!%[K"</f>
        <v>#VALUE!</v>
      </c>
      <c r="Y81" t="e">
        <f>'All regions'!B2011+"n/&gt;!%[L"</f>
        <v>#VALUE!</v>
      </c>
      <c r="Z81" t="e">
        <f>'All regions'!C2011+"n/&gt;!%[M"</f>
        <v>#VALUE!</v>
      </c>
      <c r="AA81" t="e">
        <f>'All regions'!D2011+"n/&gt;!%[N"</f>
        <v>#VALUE!</v>
      </c>
      <c r="AB81" t="e">
        <f>'All regions'!E2011+"n/&gt;!%[O"</f>
        <v>#VALUE!</v>
      </c>
      <c r="AC81" t="e">
        <f>'All regions'!F2011+"n/&gt;!%[P"</f>
        <v>#VALUE!</v>
      </c>
      <c r="AD81" t="e">
        <f>'All regions'!G2011+"n/&gt;!%[Q"</f>
        <v>#VALUE!</v>
      </c>
      <c r="AE81" t="e">
        <f>'All regions'!H2011+"n/&gt;!%[R"</f>
        <v>#VALUE!</v>
      </c>
      <c r="AF81" t="e">
        <f>'All regions'!I2011+"n/&gt;!%[S"</f>
        <v>#VALUE!</v>
      </c>
      <c r="AG81" t="e">
        <f>'All regions'!J2011+"n/&gt;!%[T"</f>
        <v>#VALUE!</v>
      </c>
      <c r="AH81" t="e">
        <f>'All regions'!A2012+"n/&gt;!%[U"</f>
        <v>#VALUE!</v>
      </c>
      <c r="AI81" t="e">
        <f>'All regions'!B2012+"n/&gt;!%[V"</f>
        <v>#VALUE!</v>
      </c>
      <c r="AJ81" t="e">
        <f>'All regions'!C2012+"n/&gt;!%[W"</f>
        <v>#VALUE!</v>
      </c>
      <c r="AK81" t="e">
        <f>'All regions'!D2012+"n/&gt;!%[X"</f>
        <v>#VALUE!</v>
      </c>
      <c r="AL81" t="e">
        <f>'All regions'!E2012+"n/&gt;!%[Y"</f>
        <v>#VALUE!</v>
      </c>
      <c r="AM81" t="e">
        <f>'All regions'!F2012+"n/&gt;!%[Z"</f>
        <v>#VALUE!</v>
      </c>
      <c r="AN81" t="e">
        <f>'All regions'!G2012+"n/&gt;!%[["</f>
        <v>#VALUE!</v>
      </c>
      <c r="AO81" t="e">
        <f>'All regions'!H2012+"n/&gt;!%[\"</f>
        <v>#VALUE!</v>
      </c>
      <c r="AP81" t="e">
        <f>'All regions'!I2012+"n/&gt;!%[]"</f>
        <v>#VALUE!</v>
      </c>
      <c r="AQ81" t="e">
        <f>'All regions'!J2012+"n/&gt;!%[^"</f>
        <v>#VALUE!</v>
      </c>
      <c r="AR81" t="e">
        <f>'All regions'!A2013+"n/&gt;!%[_"</f>
        <v>#VALUE!</v>
      </c>
      <c r="AS81" t="e">
        <f>'All regions'!B2013+"n/&gt;!%[`"</f>
        <v>#VALUE!</v>
      </c>
      <c r="AT81" t="e">
        <f>'All regions'!C2013+"n/&gt;!%[a"</f>
        <v>#VALUE!</v>
      </c>
      <c r="AU81" t="e">
        <f>'All regions'!D2013+"n/&gt;!%[b"</f>
        <v>#VALUE!</v>
      </c>
      <c r="AV81" t="e">
        <f>'All regions'!E2013+"n/&gt;!%[c"</f>
        <v>#VALUE!</v>
      </c>
      <c r="AW81" t="e">
        <f>'All regions'!F2013+"n/&gt;!%[d"</f>
        <v>#VALUE!</v>
      </c>
      <c r="AX81" t="e">
        <f>'All regions'!G2013+"n/&gt;!%[e"</f>
        <v>#VALUE!</v>
      </c>
      <c r="AY81" t="e">
        <f>'All regions'!H2013+"n/&gt;!%[f"</f>
        <v>#VALUE!</v>
      </c>
      <c r="AZ81" t="e">
        <f>'All regions'!I2013+"n/&gt;!%[g"</f>
        <v>#VALUE!</v>
      </c>
      <c r="BA81" t="e">
        <f>'All regions'!J2013+"n/&gt;!%[h"</f>
        <v>#VALUE!</v>
      </c>
      <c r="BB81" t="e">
        <f>'All regions'!A2014+"n/&gt;!%[i"</f>
        <v>#VALUE!</v>
      </c>
      <c r="BC81" t="e">
        <f>'All regions'!B2014+"n/&gt;!%[j"</f>
        <v>#VALUE!</v>
      </c>
      <c r="BD81" t="e">
        <f>'All regions'!C2014+"n/&gt;!%[k"</f>
        <v>#VALUE!</v>
      </c>
      <c r="BE81" t="e">
        <f>'All regions'!D2014+"n/&gt;!%[l"</f>
        <v>#VALUE!</v>
      </c>
      <c r="BF81" t="e">
        <f>'All regions'!E2014+"n/&gt;!%[m"</f>
        <v>#VALUE!</v>
      </c>
      <c r="BG81" t="e">
        <f>'All regions'!F2014+"n/&gt;!%[n"</f>
        <v>#VALUE!</v>
      </c>
      <c r="BH81" t="e">
        <f>'All regions'!G2014+"n/&gt;!%[o"</f>
        <v>#VALUE!</v>
      </c>
      <c r="BI81" t="e">
        <f>'All regions'!H2014+"n/&gt;!%[p"</f>
        <v>#VALUE!</v>
      </c>
      <c r="BJ81" t="e">
        <f>'All regions'!I2014+"n/&gt;!%[q"</f>
        <v>#VALUE!</v>
      </c>
      <c r="BK81" t="e">
        <f>'All regions'!J2014+"n/&gt;!%[r"</f>
        <v>#VALUE!</v>
      </c>
      <c r="BL81" t="e">
        <f>'All regions'!A2015+"n/&gt;!%[s"</f>
        <v>#VALUE!</v>
      </c>
      <c r="BM81" t="e">
        <f>'All regions'!B2015+"n/&gt;!%[t"</f>
        <v>#VALUE!</v>
      </c>
      <c r="BN81" t="e">
        <f>'All regions'!C2015+"n/&gt;!%[u"</f>
        <v>#VALUE!</v>
      </c>
      <c r="BO81" t="e">
        <f>'All regions'!D2015+"n/&gt;!%[v"</f>
        <v>#VALUE!</v>
      </c>
      <c r="BP81" t="e">
        <f>'All regions'!E2015+"n/&gt;!%[w"</f>
        <v>#VALUE!</v>
      </c>
      <c r="BQ81" t="e">
        <f>'All regions'!F2015+"n/&gt;!%[x"</f>
        <v>#VALUE!</v>
      </c>
      <c r="BR81" t="e">
        <f>'All regions'!G2015+"n/&gt;!%[y"</f>
        <v>#VALUE!</v>
      </c>
      <c r="BS81" t="e">
        <f>'All regions'!H2015+"n/&gt;!%[z"</f>
        <v>#VALUE!</v>
      </c>
      <c r="BT81" t="e">
        <f>'All regions'!I2015+"n/&gt;!%[{"</f>
        <v>#VALUE!</v>
      </c>
      <c r="BU81" t="e">
        <f>'All regions'!J2015+"n/&gt;!%[|"</f>
        <v>#VALUE!</v>
      </c>
      <c r="BV81" t="e">
        <f>'All regions'!A2016+"n/&gt;!%[}"</f>
        <v>#VALUE!</v>
      </c>
      <c r="BW81" t="e">
        <f>'All regions'!B2016+"n/&gt;!%[~"</f>
        <v>#VALUE!</v>
      </c>
      <c r="BX81" t="e">
        <f>'All regions'!C2016+"n/&gt;!%\#"</f>
        <v>#VALUE!</v>
      </c>
      <c r="BY81" t="e">
        <f>'All regions'!D2016+"n/&gt;!%\$"</f>
        <v>#VALUE!</v>
      </c>
      <c r="BZ81" t="e">
        <f>'All regions'!E2016+"n/&gt;!%\%"</f>
        <v>#VALUE!</v>
      </c>
      <c r="CA81" t="e">
        <f>'All regions'!F2016+"n/&gt;!%\&amp;"</f>
        <v>#VALUE!</v>
      </c>
      <c r="CB81" t="e">
        <f>'All regions'!G2016+"n/&gt;!%\'"</f>
        <v>#VALUE!</v>
      </c>
      <c r="CC81" t="e">
        <f>'All regions'!H2016+"n/&gt;!%\("</f>
        <v>#VALUE!</v>
      </c>
      <c r="CD81" t="e">
        <f>'All regions'!I2016+"n/&gt;!%\)"</f>
        <v>#VALUE!</v>
      </c>
      <c r="CE81" t="e">
        <f>'All regions'!J2016+"n/&gt;!%\."</f>
        <v>#VALUE!</v>
      </c>
      <c r="CF81" t="e">
        <f>'All regions'!A2017+"n/&gt;!%\/"</f>
        <v>#VALUE!</v>
      </c>
      <c r="CG81" t="e">
        <f>'All regions'!B2017+"n/&gt;!%\0"</f>
        <v>#VALUE!</v>
      </c>
      <c r="CH81" t="e">
        <f>'All regions'!C2017+"n/&gt;!%\1"</f>
        <v>#VALUE!</v>
      </c>
      <c r="CI81" t="e">
        <f>'All regions'!D2017+"n/&gt;!%\2"</f>
        <v>#VALUE!</v>
      </c>
      <c r="CJ81" t="e">
        <f>'All regions'!E2017+"n/&gt;!%\3"</f>
        <v>#VALUE!</v>
      </c>
      <c r="CK81" t="e">
        <f>'All regions'!F2017+"n/&gt;!%\4"</f>
        <v>#VALUE!</v>
      </c>
      <c r="CL81" t="e">
        <f>'All regions'!G2017+"n/&gt;!%\5"</f>
        <v>#VALUE!</v>
      </c>
      <c r="CM81" t="e">
        <f>'All regions'!H2017+"n/&gt;!%\6"</f>
        <v>#VALUE!</v>
      </c>
      <c r="CN81" t="e">
        <f>'All regions'!I2017+"n/&gt;!%\7"</f>
        <v>#VALUE!</v>
      </c>
      <c r="CO81" t="e">
        <f>'All regions'!J2017+"n/&gt;!%\8"</f>
        <v>#VALUE!</v>
      </c>
      <c r="CP81" t="e">
        <f>'All regions'!A2018+"n/&gt;!%\9"</f>
        <v>#VALUE!</v>
      </c>
      <c r="CQ81" t="e">
        <f>'All regions'!B2018+"n/&gt;!%\:"</f>
        <v>#VALUE!</v>
      </c>
      <c r="CR81" t="e">
        <f>'All regions'!C2018+"n/&gt;!%\;"</f>
        <v>#VALUE!</v>
      </c>
      <c r="CS81" t="e">
        <f>'All regions'!D2018+"n/&gt;!%\&lt;"</f>
        <v>#VALUE!</v>
      </c>
      <c r="CT81" t="e">
        <f>'All regions'!E2018+"n/&gt;!%\="</f>
        <v>#VALUE!</v>
      </c>
      <c r="CU81" t="e">
        <f>'All regions'!F2018+"n/&gt;!%\&gt;"</f>
        <v>#VALUE!</v>
      </c>
      <c r="CV81" t="e">
        <f>'All regions'!G2018+"n/&gt;!%\?"</f>
        <v>#VALUE!</v>
      </c>
      <c r="CW81" t="e">
        <f>'All regions'!H2018+"n/&gt;!%\@"</f>
        <v>#VALUE!</v>
      </c>
      <c r="CX81" t="e">
        <f>'All regions'!I2018+"n/&gt;!%\A"</f>
        <v>#VALUE!</v>
      </c>
      <c r="CY81" t="e">
        <f>'All regions'!J2018+"n/&gt;!%\B"</f>
        <v>#VALUE!</v>
      </c>
      <c r="CZ81" t="e">
        <f>'All regions'!A2019+"n/&gt;!%\C"</f>
        <v>#VALUE!</v>
      </c>
      <c r="DA81" t="e">
        <f>'All regions'!B2019+"n/&gt;!%\D"</f>
        <v>#VALUE!</v>
      </c>
      <c r="DB81" t="e">
        <f>'All regions'!C2019+"n/&gt;!%\E"</f>
        <v>#VALUE!</v>
      </c>
      <c r="DC81" t="e">
        <f>'All regions'!D2019+"n/&gt;!%\F"</f>
        <v>#VALUE!</v>
      </c>
      <c r="DD81" t="e">
        <f>'All regions'!E2019+"n/&gt;!%\G"</f>
        <v>#VALUE!</v>
      </c>
      <c r="DE81" t="e">
        <f>'All regions'!F2019+"n/&gt;!%\H"</f>
        <v>#VALUE!</v>
      </c>
      <c r="DF81" t="e">
        <f>'All regions'!G2019+"n/&gt;!%\I"</f>
        <v>#VALUE!</v>
      </c>
      <c r="DG81" t="e">
        <f>'All regions'!H2019+"n/&gt;!%\J"</f>
        <v>#VALUE!</v>
      </c>
      <c r="DH81" t="e">
        <f>'All regions'!I2019+"n/&gt;!%\K"</f>
        <v>#VALUE!</v>
      </c>
      <c r="DI81" t="e">
        <f>'All regions'!J2019+"n/&gt;!%\L"</f>
        <v>#VALUE!</v>
      </c>
      <c r="DJ81" t="e">
        <f>'All regions'!A2020+"n/&gt;!%\M"</f>
        <v>#VALUE!</v>
      </c>
      <c r="DK81" t="e">
        <f>'All regions'!B2020+"n/&gt;!%\N"</f>
        <v>#VALUE!</v>
      </c>
      <c r="DL81" t="e">
        <f>'All regions'!C2020+"n/&gt;!%\O"</f>
        <v>#VALUE!</v>
      </c>
      <c r="DM81" t="e">
        <f>'All regions'!D2020+"n/&gt;!%\P"</f>
        <v>#VALUE!</v>
      </c>
      <c r="DN81" t="e">
        <f>'All regions'!E2020+"n/&gt;!%\Q"</f>
        <v>#VALUE!</v>
      </c>
      <c r="DO81" t="e">
        <f>'All regions'!F2020+"n/&gt;!%\R"</f>
        <v>#VALUE!</v>
      </c>
      <c r="DP81" t="e">
        <f>'All regions'!G2020+"n/&gt;!%\S"</f>
        <v>#VALUE!</v>
      </c>
      <c r="DQ81" t="e">
        <f>'All regions'!H2020+"n/&gt;!%\T"</f>
        <v>#VALUE!</v>
      </c>
      <c r="DR81" t="e">
        <f>'All regions'!I2020+"n/&gt;!%\U"</f>
        <v>#VALUE!</v>
      </c>
      <c r="DS81" t="e">
        <f>'All regions'!J2020+"n/&gt;!%\V"</f>
        <v>#VALUE!</v>
      </c>
      <c r="DT81" t="e">
        <f>'All regions'!A2021+"n/&gt;!%\W"</f>
        <v>#VALUE!</v>
      </c>
      <c r="DU81" t="e">
        <f>'All regions'!B2021+"n/&gt;!%\X"</f>
        <v>#VALUE!</v>
      </c>
      <c r="DV81" t="e">
        <f>'All regions'!C2021+"n/&gt;!%\Y"</f>
        <v>#VALUE!</v>
      </c>
      <c r="DW81" t="e">
        <f>'All regions'!D2021+"n/&gt;!%\Z"</f>
        <v>#VALUE!</v>
      </c>
      <c r="DX81" t="e">
        <f>'All regions'!E2021+"n/&gt;!%\["</f>
        <v>#VALUE!</v>
      </c>
      <c r="DY81" t="e">
        <f>'All regions'!F2021+"n/&gt;!%\\"</f>
        <v>#VALUE!</v>
      </c>
      <c r="DZ81" t="e">
        <f>'All regions'!G2021+"n/&gt;!%\]"</f>
        <v>#VALUE!</v>
      </c>
      <c r="EA81" t="e">
        <f>'All regions'!H2021+"n/&gt;!%\^"</f>
        <v>#VALUE!</v>
      </c>
      <c r="EB81" t="e">
        <f>'All regions'!I2021+"n/&gt;!%\_"</f>
        <v>#VALUE!</v>
      </c>
      <c r="EC81" t="e">
        <f>'All regions'!J2021+"n/&gt;!%\`"</f>
        <v>#VALUE!</v>
      </c>
      <c r="ED81" t="e">
        <f>'All regions'!A2022+"n/&gt;!%\a"</f>
        <v>#VALUE!</v>
      </c>
      <c r="EE81" t="e">
        <f>'All regions'!B2022+"n/&gt;!%\b"</f>
        <v>#VALUE!</v>
      </c>
      <c r="EF81" t="e">
        <f>'All regions'!C2022+"n/&gt;!%\c"</f>
        <v>#VALUE!</v>
      </c>
      <c r="EG81" t="e">
        <f>'All regions'!D2022+"n/&gt;!%\d"</f>
        <v>#VALUE!</v>
      </c>
      <c r="EH81" t="e">
        <f>'All regions'!E2022+"n/&gt;!%\e"</f>
        <v>#VALUE!</v>
      </c>
      <c r="EI81" t="e">
        <f>'All regions'!F2022+"n/&gt;!%\f"</f>
        <v>#VALUE!</v>
      </c>
      <c r="EJ81" t="e">
        <f>'All regions'!G2022+"n/&gt;!%\g"</f>
        <v>#VALUE!</v>
      </c>
      <c r="EK81" t="e">
        <f>'All regions'!H2022+"n/&gt;!%\h"</f>
        <v>#VALUE!</v>
      </c>
      <c r="EL81" t="e">
        <f>'All regions'!I2022+"n/&gt;!%\i"</f>
        <v>#VALUE!</v>
      </c>
      <c r="EM81" t="e">
        <f>'All regions'!J2022+"n/&gt;!%\j"</f>
        <v>#VALUE!</v>
      </c>
      <c r="EN81" t="e">
        <f>'All regions'!A2023+"n/&gt;!%\k"</f>
        <v>#VALUE!</v>
      </c>
      <c r="EO81" t="e">
        <f>'All regions'!B2023+"n/&gt;!%\l"</f>
        <v>#VALUE!</v>
      </c>
      <c r="EP81" t="e">
        <f>'All regions'!C2023+"n/&gt;!%\m"</f>
        <v>#VALUE!</v>
      </c>
      <c r="EQ81" t="e">
        <f>'All regions'!D2023+"n/&gt;!%\n"</f>
        <v>#VALUE!</v>
      </c>
      <c r="ER81" t="e">
        <f>'All regions'!E2023+"n/&gt;!%\o"</f>
        <v>#VALUE!</v>
      </c>
      <c r="ES81" t="e">
        <f>'All regions'!F2023+"n/&gt;!%\p"</f>
        <v>#VALUE!</v>
      </c>
      <c r="ET81" t="e">
        <f>'All regions'!G2023+"n/&gt;!%\q"</f>
        <v>#VALUE!</v>
      </c>
      <c r="EU81" t="e">
        <f>'All regions'!H2023+"n/&gt;!%\r"</f>
        <v>#VALUE!</v>
      </c>
      <c r="EV81" t="e">
        <f>'All regions'!I2023+"n/&gt;!%\s"</f>
        <v>#VALUE!</v>
      </c>
      <c r="EW81" t="e">
        <f>'All regions'!J2023+"n/&gt;!%\t"</f>
        <v>#VALUE!</v>
      </c>
      <c r="EX81" t="e">
        <f>'All regions'!A2024+"n/&gt;!%\u"</f>
        <v>#VALUE!</v>
      </c>
      <c r="EY81" t="e">
        <f>'All regions'!B2024+"n/&gt;!%\v"</f>
        <v>#VALUE!</v>
      </c>
      <c r="EZ81" t="e">
        <f>'All regions'!C2024+"n/&gt;!%\w"</f>
        <v>#VALUE!</v>
      </c>
      <c r="FA81" t="e">
        <f>'All regions'!D2024+"n/&gt;!%\x"</f>
        <v>#VALUE!</v>
      </c>
      <c r="FB81" t="e">
        <f>'All regions'!E2024+"n/&gt;!%\y"</f>
        <v>#VALUE!</v>
      </c>
      <c r="FC81" t="e">
        <f>'All regions'!F2024+"n/&gt;!%\z"</f>
        <v>#VALUE!</v>
      </c>
      <c r="FD81" t="e">
        <f>'All regions'!G2024+"n/&gt;!%\{"</f>
        <v>#VALUE!</v>
      </c>
      <c r="FE81" t="e">
        <f>'All regions'!H2024+"n/&gt;!%\|"</f>
        <v>#VALUE!</v>
      </c>
      <c r="FF81" t="e">
        <f>'All regions'!I2024+"n/&gt;!%\}"</f>
        <v>#VALUE!</v>
      </c>
      <c r="FG81" t="e">
        <f>'All regions'!J2024+"n/&gt;!%\~"</f>
        <v>#VALUE!</v>
      </c>
      <c r="FH81" t="e">
        <f>'All regions'!A2025+"n/&gt;!%]#"</f>
        <v>#VALUE!</v>
      </c>
      <c r="FI81" t="e">
        <f>'All regions'!B2025+"n/&gt;!%]$"</f>
        <v>#VALUE!</v>
      </c>
      <c r="FJ81" t="e">
        <f>'All regions'!C2025+"n/&gt;!%]%"</f>
        <v>#VALUE!</v>
      </c>
      <c r="FK81" t="e">
        <f>'All regions'!D2025+"n/&gt;!%]&amp;"</f>
        <v>#VALUE!</v>
      </c>
      <c r="FL81" t="e">
        <f>'All regions'!E2025+"n/&gt;!%]'"</f>
        <v>#VALUE!</v>
      </c>
      <c r="FM81" t="e">
        <f>'All regions'!F2025+"n/&gt;!%]("</f>
        <v>#VALUE!</v>
      </c>
      <c r="FN81" t="e">
        <f>'All regions'!G2025+"n/&gt;!%])"</f>
        <v>#VALUE!</v>
      </c>
      <c r="FO81" t="e">
        <f>'All regions'!H2025+"n/&gt;!%]."</f>
        <v>#VALUE!</v>
      </c>
      <c r="FP81" t="e">
        <f>'All regions'!I2025+"n/&gt;!%]/"</f>
        <v>#VALUE!</v>
      </c>
      <c r="FQ81" t="e">
        <f>'All regions'!J2025+"n/&gt;!%]0"</f>
        <v>#VALUE!</v>
      </c>
      <c r="FR81" t="e">
        <f>'All regions'!A2026+"n/&gt;!%]1"</f>
        <v>#VALUE!</v>
      </c>
      <c r="FS81" t="e">
        <f>'All regions'!B2026+"n/&gt;!%]2"</f>
        <v>#VALUE!</v>
      </c>
      <c r="FT81" t="e">
        <f>'All regions'!C2026+"n/&gt;!%]3"</f>
        <v>#VALUE!</v>
      </c>
      <c r="FU81" t="e">
        <f>'All regions'!D2026+"n/&gt;!%]4"</f>
        <v>#VALUE!</v>
      </c>
      <c r="FV81" t="e">
        <f>'All regions'!E2026+"n/&gt;!%]5"</f>
        <v>#VALUE!</v>
      </c>
      <c r="FW81" t="e">
        <f>'All regions'!F2026+"n/&gt;!%]6"</f>
        <v>#VALUE!</v>
      </c>
      <c r="FX81" t="e">
        <f>'All regions'!G2026+"n/&gt;!%]7"</f>
        <v>#VALUE!</v>
      </c>
      <c r="FY81" t="e">
        <f>'All regions'!H2026+"n/&gt;!%]8"</f>
        <v>#VALUE!</v>
      </c>
      <c r="FZ81" t="e">
        <f>'All regions'!I2026+"n/&gt;!%]9"</f>
        <v>#VALUE!</v>
      </c>
      <c r="GA81" t="e">
        <f>'All regions'!J2026+"n/&gt;!%]:"</f>
        <v>#VALUE!</v>
      </c>
      <c r="GB81" t="e">
        <f>'All regions'!A2027+"n/&gt;!%];"</f>
        <v>#VALUE!</v>
      </c>
      <c r="GC81" t="e">
        <f>'All regions'!B2027+"n/&gt;!%]&lt;"</f>
        <v>#VALUE!</v>
      </c>
      <c r="GD81" t="e">
        <f>'All regions'!C2027+"n/&gt;!%]="</f>
        <v>#VALUE!</v>
      </c>
      <c r="GE81" t="e">
        <f>'All regions'!D2027+"n/&gt;!%]&gt;"</f>
        <v>#VALUE!</v>
      </c>
      <c r="GF81" t="e">
        <f>'All regions'!E2027+"n/&gt;!%]?"</f>
        <v>#VALUE!</v>
      </c>
      <c r="GG81" t="e">
        <f>'All regions'!F2027+"n/&gt;!%]@"</f>
        <v>#VALUE!</v>
      </c>
      <c r="GH81" t="e">
        <f>'All regions'!G2027+"n/&gt;!%]A"</f>
        <v>#VALUE!</v>
      </c>
      <c r="GI81" t="e">
        <f>'All regions'!H2027+"n/&gt;!%]B"</f>
        <v>#VALUE!</v>
      </c>
      <c r="GJ81" t="e">
        <f>'All regions'!I2027+"n/&gt;!%]C"</f>
        <v>#VALUE!</v>
      </c>
      <c r="GK81" t="e">
        <f>'All regions'!J2027+"n/&gt;!%]D"</f>
        <v>#VALUE!</v>
      </c>
      <c r="GL81" t="e">
        <f>'All regions'!A2028+"n/&gt;!%]E"</f>
        <v>#VALUE!</v>
      </c>
      <c r="GM81" t="e">
        <f>'All regions'!B2028+"n/&gt;!%]F"</f>
        <v>#VALUE!</v>
      </c>
      <c r="GN81" t="e">
        <f>'All regions'!C2028+"n/&gt;!%]G"</f>
        <v>#VALUE!</v>
      </c>
      <c r="GO81" t="e">
        <f>'All regions'!D2028+"n/&gt;!%]H"</f>
        <v>#VALUE!</v>
      </c>
      <c r="GP81" t="e">
        <f>'All regions'!E2028+"n/&gt;!%]I"</f>
        <v>#VALUE!</v>
      </c>
      <c r="GQ81" t="e">
        <f>'All regions'!F2028+"n/&gt;!%]J"</f>
        <v>#VALUE!</v>
      </c>
      <c r="GR81" t="e">
        <f>'All regions'!G2028+"n/&gt;!%]K"</f>
        <v>#VALUE!</v>
      </c>
      <c r="GS81" t="e">
        <f>'All regions'!H2028+"n/&gt;!%]L"</f>
        <v>#VALUE!</v>
      </c>
      <c r="GT81" t="e">
        <f>'All regions'!I2028+"n/&gt;!%]M"</f>
        <v>#VALUE!</v>
      </c>
      <c r="GU81" t="e">
        <f>'All regions'!J2028+"n/&gt;!%]N"</f>
        <v>#VALUE!</v>
      </c>
      <c r="GV81" t="e">
        <f>'All regions'!A2029+"n/&gt;!%]O"</f>
        <v>#VALUE!</v>
      </c>
      <c r="GW81" t="e">
        <f>'All regions'!B2029+"n/&gt;!%]P"</f>
        <v>#VALUE!</v>
      </c>
      <c r="GX81" t="e">
        <f>'All regions'!C2029+"n/&gt;!%]Q"</f>
        <v>#VALUE!</v>
      </c>
      <c r="GY81" t="e">
        <f>'All regions'!D2029+"n/&gt;!%]R"</f>
        <v>#VALUE!</v>
      </c>
      <c r="GZ81" t="e">
        <f>'All regions'!E2029+"n/&gt;!%]S"</f>
        <v>#VALUE!</v>
      </c>
      <c r="HA81" t="e">
        <f>'All regions'!F2029+"n/&gt;!%]T"</f>
        <v>#VALUE!</v>
      </c>
      <c r="HB81" t="e">
        <f>'All regions'!G2029+"n/&gt;!%]U"</f>
        <v>#VALUE!</v>
      </c>
      <c r="HC81" t="e">
        <f>'All regions'!H2029+"n/&gt;!%]V"</f>
        <v>#VALUE!</v>
      </c>
      <c r="HD81" t="e">
        <f>'All regions'!I2029+"n/&gt;!%]W"</f>
        <v>#VALUE!</v>
      </c>
      <c r="HE81" t="e">
        <f>'All regions'!J2029+"n/&gt;!%]X"</f>
        <v>#VALUE!</v>
      </c>
      <c r="HF81" t="e">
        <f>'All regions'!A2030+"n/&gt;!%]Y"</f>
        <v>#VALUE!</v>
      </c>
      <c r="HG81" t="e">
        <f>'All regions'!B2030+"n/&gt;!%]Z"</f>
        <v>#VALUE!</v>
      </c>
      <c r="HH81" t="e">
        <f>'All regions'!C2030+"n/&gt;!%]["</f>
        <v>#VALUE!</v>
      </c>
      <c r="HI81" t="e">
        <f>'All regions'!D2030+"n/&gt;!%]\"</f>
        <v>#VALUE!</v>
      </c>
      <c r="HJ81" t="e">
        <f>'All regions'!E2030+"n/&gt;!%]]"</f>
        <v>#VALUE!</v>
      </c>
      <c r="HK81" t="e">
        <f>'All regions'!F2030+"n/&gt;!%]^"</f>
        <v>#VALUE!</v>
      </c>
      <c r="HL81" t="e">
        <f>'All regions'!G2030+"n/&gt;!%]_"</f>
        <v>#VALUE!</v>
      </c>
      <c r="HM81" t="e">
        <f>'All regions'!H2030+"n/&gt;!%]`"</f>
        <v>#VALUE!</v>
      </c>
      <c r="HN81" t="e">
        <f>'All regions'!I2030+"n/&gt;!%]a"</f>
        <v>#VALUE!</v>
      </c>
      <c r="HO81" t="e">
        <f>'All regions'!J2030+"n/&gt;!%]b"</f>
        <v>#VALUE!</v>
      </c>
      <c r="HP81" t="e">
        <f>'All regions'!A2031+"n/&gt;!%]c"</f>
        <v>#VALUE!</v>
      </c>
      <c r="HQ81" t="e">
        <f>'All regions'!B2031+"n/&gt;!%]d"</f>
        <v>#VALUE!</v>
      </c>
      <c r="HR81" t="e">
        <f>'All regions'!C2031+"n/&gt;!%]e"</f>
        <v>#VALUE!</v>
      </c>
      <c r="HS81" t="e">
        <f>'All regions'!D2031+"n/&gt;!%]f"</f>
        <v>#VALUE!</v>
      </c>
      <c r="HT81" t="e">
        <f>'All regions'!E2031+"n/&gt;!%]g"</f>
        <v>#VALUE!</v>
      </c>
      <c r="HU81" t="e">
        <f>'All regions'!F2031+"n/&gt;!%]h"</f>
        <v>#VALUE!</v>
      </c>
      <c r="HV81" t="e">
        <f>'All regions'!G2031+"n/&gt;!%]i"</f>
        <v>#VALUE!</v>
      </c>
      <c r="HW81" t="e">
        <f>'All regions'!H2031+"n/&gt;!%]j"</f>
        <v>#VALUE!</v>
      </c>
      <c r="HX81" t="e">
        <f>'All regions'!I2031+"n/&gt;!%]k"</f>
        <v>#VALUE!</v>
      </c>
      <c r="HY81" t="e">
        <f>'All regions'!J2031+"n/&gt;!%]l"</f>
        <v>#VALUE!</v>
      </c>
      <c r="HZ81" t="e">
        <f>'All regions'!A2032+"n/&gt;!%]m"</f>
        <v>#VALUE!</v>
      </c>
      <c r="IA81" t="e">
        <f>'All regions'!B2032+"n/&gt;!%]n"</f>
        <v>#VALUE!</v>
      </c>
      <c r="IB81" t="e">
        <f>'All regions'!C2032+"n/&gt;!%]o"</f>
        <v>#VALUE!</v>
      </c>
      <c r="IC81" t="e">
        <f>'All regions'!D2032+"n/&gt;!%]p"</f>
        <v>#VALUE!</v>
      </c>
      <c r="ID81" t="e">
        <f>'All regions'!E2032+"n/&gt;!%]q"</f>
        <v>#VALUE!</v>
      </c>
      <c r="IE81" t="e">
        <f>'All regions'!F2032+"n/&gt;!%]r"</f>
        <v>#VALUE!</v>
      </c>
      <c r="IF81" t="e">
        <f>'All regions'!G2032+"n/&gt;!%]s"</f>
        <v>#VALUE!</v>
      </c>
      <c r="IG81" t="e">
        <f>'All regions'!H2032+"n/&gt;!%]t"</f>
        <v>#VALUE!</v>
      </c>
      <c r="IH81" t="e">
        <f>'All regions'!I2032+"n/&gt;!%]u"</f>
        <v>#VALUE!</v>
      </c>
      <c r="II81" t="e">
        <f>'All regions'!J2032+"n/&gt;!%]v"</f>
        <v>#VALUE!</v>
      </c>
      <c r="IJ81" t="e">
        <f>'All regions'!A2033+"n/&gt;!%]w"</f>
        <v>#VALUE!</v>
      </c>
      <c r="IK81" t="e">
        <f>'All regions'!B2033+"n/&gt;!%]x"</f>
        <v>#VALUE!</v>
      </c>
      <c r="IL81" t="e">
        <f>'All regions'!C2033+"n/&gt;!%]y"</f>
        <v>#VALUE!</v>
      </c>
      <c r="IM81" t="e">
        <f>'All regions'!D2033+"n/&gt;!%]z"</f>
        <v>#VALUE!</v>
      </c>
      <c r="IN81" t="e">
        <f>'All regions'!E2033+"n/&gt;!%]{"</f>
        <v>#VALUE!</v>
      </c>
      <c r="IO81" t="e">
        <f>'All regions'!F2033+"n/&gt;!%]|"</f>
        <v>#VALUE!</v>
      </c>
      <c r="IP81" t="e">
        <f>'All regions'!G2033+"n/&gt;!%]}"</f>
        <v>#VALUE!</v>
      </c>
      <c r="IQ81" t="e">
        <f>'All regions'!H2033+"n/&gt;!%]~"</f>
        <v>#VALUE!</v>
      </c>
      <c r="IR81" t="e">
        <f>'All regions'!I2033+"n/&gt;!%^#"</f>
        <v>#VALUE!</v>
      </c>
      <c r="IS81" t="e">
        <f>'All regions'!J2033+"n/&gt;!%^$"</f>
        <v>#VALUE!</v>
      </c>
      <c r="IT81" t="e">
        <f>'All regions'!A2034+"n/&gt;!%^%"</f>
        <v>#VALUE!</v>
      </c>
      <c r="IU81" t="e">
        <f>'All regions'!B2034+"n/&gt;!%^&amp;"</f>
        <v>#VALUE!</v>
      </c>
      <c r="IV81" t="e">
        <f>'All regions'!C2034+"n/&gt;!%^'"</f>
        <v>#VALUE!</v>
      </c>
    </row>
    <row r="82" spans="6:256" x14ac:dyDescent="0.35">
      <c r="F82" t="e">
        <f>'All regions'!D2034+"n/&gt;!%^("</f>
        <v>#VALUE!</v>
      </c>
      <c r="G82" t="e">
        <f>'All regions'!E2034+"n/&gt;!%^)"</f>
        <v>#VALUE!</v>
      </c>
      <c r="H82" t="e">
        <f>'All regions'!F2034+"n/&gt;!%^."</f>
        <v>#VALUE!</v>
      </c>
      <c r="I82" t="e">
        <f>'All regions'!G2034+"n/&gt;!%^/"</f>
        <v>#VALUE!</v>
      </c>
      <c r="J82" t="e">
        <f>'All regions'!H2034+"n/&gt;!%^0"</f>
        <v>#VALUE!</v>
      </c>
      <c r="K82" t="e">
        <f>'All regions'!I2034+"n/&gt;!%^1"</f>
        <v>#VALUE!</v>
      </c>
      <c r="L82" t="e">
        <f>'All regions'!J2034+"n/&gt;!%^2"</f>
        <v>#VALUE!</v>
      </c>
      <c r="M82" t="e">
        <f>'All regions'!A2035+"n/&gt;!%^3"</f>
        <v>#VALUE!</v>
      </c>
      <c r="N82" t="e">
        <f>'All regions'!B2035+"n/&gt;!%^4"</f>
        <v>#VALUE!</v>
      </c>
      <c r="O82" t="e">
        <f>'All regions'!C2035+"n/&gt;!%^5"</f>
        <v>#VALUE!</v>
      </c>
      <c r="P82" t="e">
        <f>'All regions'!D2035+"n/&gt;!%^6"</f>
        <v>#VALUE!</v>
      </c>
      <c r="Q82" t="e">
        <f>'All regions'!E2035+"n/&gt;!%^7"</f>
        <v>#VALUE!</v>
      </c>
      <c r="R82" t="e">
        <f>'All regions'!F2035+"n/&gt;!%^8"</f>
        <v>#VALUE!</v>
      </c>
      <c r="S82" t="e">
        <f>'All regions'!G2035+"n/&gt;!%^9"</f>
        <v>#VALUE!</v>
      </c>
      <c r="T82" t="e">
        <f>'All regions'!H2035+"n/&gt;!%^:"</f>
        <v>#VALUE!</v>
      </c>
      <c r="U82" t="e">
        <f>'All regions'!I2035+"n/&gt;!%^;"</f>
        <v>#VALUE!</v>
      </c>
      <c r="V82" t="e">
        <f>'All regions'!J2035+"n/&gt;!%^&lt;"</f>
        <v>#VALUE!</v>
      </c>
      <c r="W82" t="e">
        <f>'All regions'!A2036+"n/&gt;!%^="</f>
        <v>#VALUE!</v>
      </c>
      <c r="X82" t="e">
        <f>'All regions'!B2036+"n/&gt;!%^&gt;"</f>
        <v>#VALUE!</v>
      </c>
      <c r="Y82" t="e">
        <f>'All regions'!C2036+"n/&gt;!%^?"</f>
        <v>#VALUE!</v>
      </c>
      <c r="Z82" t="e">
        <f>'All regions'!D2036+"n/&gt;!%^@"</f>
        <v>#VALUE!</v>
      </c>
      <c r="AA82" t="e">
        <f>'All regions'!E2036+"n/&gt;!%^A"</f>
        <v>#VALUE!</v>
      </c>
      <c r="AB82" t="e">
        <f>'All regions'!F2036+"n/&gt;!%^B"</f>
        <v>#VALUE!</v>
      </c>
      <c r="AC82" t="e">
        <f>'All regions'!G2036+"n/&gt;!%^C"</f>
        <v>#VALUE!</v>
      </c>
      <c r="AD82" t="e">
        <f>'All regions'!H2036+"n/&gt;!%^D"</f>
        <v>#VALUE!</v>
      </c>
      <c r="AE82" t="e">
        <f>'All regions'!I2036+"n/&gt;!%^E"</f>
        <v>#VALUE!</v>
      </c>
      <c r="AF82" t="e">
        <f>'All regions'!J2036+"n/&gt;!%^F"</f>
        <v>#VALUE!</v>
      </c>
      <c r="AG82" t="e">
        <f>'All regions'!A2037+"n/&gt;!%^G"</f>
        <v>#VALUE!</v>
      </c>
      <c r="AH82" t="e">
        <f>'All regions'!B2037+"n/&gt;!%^H"</f>
        <v>#VALUE!</v>
      </c>
      <c r="AI82" t="e">
        <f>'All regions'!C2037+"n/&gt;!%^I"</f>
        <v>#VALUE!</v>
      </c>
      <c r="AJ82" t="e">
        <f>'All regions'!D2037+"n/&gt;!%^J"</f>
        <v>#VALUE!</v>
      </c>
      <c r="AK82" t="e">
        <f>'All regions'!E2037+"n/&gt;!%^K"</f>
        <v>#VALUE!</v>
      </c>
      <c r="AL82" t="e">
        <f>'All regions'!F2037+"n/&gt;!%^L"</f>
        <v>#VALUE!</v>
      </c>
      <c r="AM82" t="e">
        <f>'All regions'!G2037+"n/&gt;!%^M"</f>
        <v>#VALUE!</v>
      </c>
      <c r="AN82" t="e">
        <f>'All regions'!H2037+"n/&gt;!%^N"</f>
        <v>#VALUE!</v>
      </c>
      <c r="AO82" t="e">
        <f>'All regions'!I2037+"n/&gt;!%^O"</f>
        <v>#VALUE!</v>
      </c>
      <c r="AP82" t="e">
        <f>'All regions'!J2037+"n/&gt;!%^P"</f>
        <v>#VALUE!</v>
      </c>
      <c r="AQ82" t="e">
        <f>'All regions'!A2038+"n/&gt;!%^Q"</f>
        <v>#VALUE!</v>
      </c>
      <c r="AR82" t="e">
        <f>'All regions'!B2038+"n/&gt;!%^R"</f>
        <v>#VALUE!</v>
      </c>
      <c r="AS82" t="e">
        <f>'All regions'!C2038+"n/&gt;!%^S"</f>
        <v>#VALUE!</v>
      </c>
      <c r="AT82" t="e">
        <f>'All regions'!D2038+"n/&gt;!%^T"</f>
        <v>#VALUE!</v>
      </c>
      <c r="AU82" t="e">
        <f>'All regions'!E2038+"n/&gt;!%^U"</f>
        <v>#VALUE!</v>
      </c>
      <c r="AV82" t="e">
        <f>'All regions'!F2038+"n/&gt;!%^V"</f>
        <v>#VALUE!</v>
      </c>
      <c r="AW82" t="e">
        <f>'All regions'!G2038+"n/&gt;!%^W"</f>
        <v>#VALUE!</v>
      </c>
      <c r="AX82" t="e">
        <f>'All regions'!H2038+"n/&gt;!%^X"</f>
        <v>#VALUE!</v>
      </c>
      <c r="AY82" t="e">
        <f>'All regions'!I2038+"n/&gt;!%^Y"</f>
        <v>#VALUE!</v>
      </c>
      <c r="AZ82" t="e">
        <f>'All regions'!J2038+"n/&gt;!%^Z"</f>
        <v>#VALUE!</v>
      </c>
      <c r="BA82" t="e">
        <f>'All regions'!A2039+"n/&gt;!%^["</f>
        <v>#VALUE!</v>
      </c>
      <c r="BB82" t="e">
        <f>'All regions'!B2039+"n/&gt;!%^\"</f>
        <v>#VALUE!</v>
      </c>
      <c r="BC82" t="e">
        <f>'All regions'!C2039+"n/&gt;!%^]"</f>
        <v>#VALUE!</v>
      </c>
      <c r="BD82" t="e">
        <f>'All regions'!D2039+"n/&gt;!%^^"</f>
        <v>#VALUE!</v>
      </c>
      <c r="BE82" t="e">
        <f>'All regions'!E2039+"n/&gt;!%^_"</f>
        <v>#VALUE!</v>
      </c>
      <c r="BF82" t="e">
        <f>'All regions'!F2039+"n/&gt;!%^`"</f>
        <v>#VALUE!</v>
      </c>
      <c r="BG82" t="e">
        <f>'All regions'!G2039+"n/&gt;!%^a"</f>
        <v>#VALUE!</v>
      </c>
      <c r="BH82" t="e">
        <f>'All regions'!H2039+"n/&gt;!%^b"</f>
        <v>#VALUE!</v>
      </c>
      <c r="BI82" t="e">
        <f>'All regions'!I2039+"n/&gt;!%^c"</f>
        <v>#VALUE!</v>
      </c>
      <c r="BJ82" t="e">
        <f>'All regions'!J2039+"n/&gt;!%^d"</f>
        <v>#VALUE!</v>
      </c>
      <c r="BK82" t="e">
        <f>'All regions'!A2040+"n/&gt;!%^e"</f>
        <v>#VALUE!</v>
      </c>
      <c r="BL82" t="e">
        <f>'All regions'!B2040+"n/&gt;!%^f"</f>
        <v>#VALUE!</v>
      </c>
      <c r="BM82" t="e">
        <f>'All regions'!C2040+"n/&gt;!%^g"</f>
        <v>#VALUE!</v>
      </c>
      <c r="BN82" t="e">
        <f>'All regions'!D2040+"n/&gt;!%^h"</f>
        <v>#VALUE!</v>
      </c>
      <c r="BO82" t="e">
        <f>'All regions'!E2040+"n/&gt;!%^i"</f>
        <v>#VALUE!</v>
      </c>
      <c r="BP82" t="e">
        <f>'All regions'!F2040+"n/&gt;!%^j"</f>
        <v>#VALUE!</v>
      </c>
      <c r="BQ82" t="e">
        <f>'All regions'!G2040+"n/&gt;!%^k"</f>
        <v>#VALUE!</v>
      </c>
      <c r="BR82" t="e">
        <f>'All regions'!H2040+"n/&gt;!%^l"</f>
        <v>#VALUE!</v>
      </c>
      <c r="BS82" t="e">
        <f>'All regions'!I2040+"n/&gt;!%^m"</f>
        <v>#VALUE!</v>
      </c>
      <c r="BT82" t="e">
        <f>'All regions'!J2040+"n/&gt;!%^n"</f>
        <v>#VALUE!</v>
      </c>
      <c r="BU82" t="e">
        <f>'All regions'!A2041+"n/&gt;!%^o"</f>
        <v>#VALUE!</v>
      </c>
      <c r="BV82" t="e">
        <f>'All regions'!B2041+"n/&gt;!%^p"</f>
        <v>#VALUE!</v>
      </c>
      <c r="BW82" t="e">
        <f>'All regions'!C2041+"n/&gt;!%^q"</f>
        <v>#VALUE!</v>
      </c>
      <c r="BX82" t="e">
        <f>'All regions'!D2041+"n/&gt;!%^r"</f>
        <v>#VALUE!</v>
      </c>
      <c r="BY82" t="e">
        <f>'All regions'!E2041+"n/&gt;!%^s"</f>
        <v>#VALUE!</v>
      </c>
      <c r="BZ82" t="e">
        <f>'All regions'!F2041+"n/&gt;!%^t"</f>
        <v>#VALUE!</v>
      </c>
      <c r="CA82" t="e">
        <f>'All regions'!G2041+"n/&gt;!%^u"</f>
        <v>#VALUE!</v>
      </c>
      <c r="CB82" t="e">
        <f>'All regions'!H2041+"n/&gt;!%^v"</f>
        <v>#VALUE!</v>
      </c>
      <c r="CC82" t="e">
        <f>'All regions'!I2041+"n/&gt;!%^w"</f>
        <v>#VALUE!</v>
      </c>
      <c r="CD82" t="e">
        <f>'All regions'!J2041+"n/&gt;!%^x"</f>
        <v>#VALUE!</v>
      </c>
      <c r="CE82" t="e">
        <f>'All regions'!A2042+"n/&gt;!%^y"</f>
        <v>#VALUE!</v>
      </c>
      <c r="CF82" t="e">
        <f>'All regions'!B2042+"n/&gt;!%^z"</f>
        <v>#VALUE!</v>
      </c>
      <c r="CG82" t="e">
        <f>'All regions'!C2042+"n/&gt;!%^{"</f>
        <v>#VALUE!</v>
      </c>
      <c r="CH82" t="e">
        <f>'All regions'!D2042+"n/&gt;!%^|"</f>
        <v>#VALUE!</v>
      </c>
      <c r="CI82" t="e">
        <f>'All regions'!E2042+"n/&gt;!%^}"</f>
        <v>#VALUE!</v>
      </c>
      <c r="CJ82" t="e">
        <f>'All regions'!F2042+"n/&gt;!%^~"</f>
        <v>#VALUE!</v>
      </c>
      <c r="CK82" t="e">
        <f>'All regions'!G2042+"n/&gt;!%_#"</f>
        <v>#VALUE!</v>
      </c>
      <c r="CL82" t="e">
        <f>'All regions'!H2042+"n/&gt;!%_$"</f>
        <v>#VALUE!</v>
      </c>
      <c r="CM82" t="e">
        <f>'All regions'!I2042+"n/&gt;!%_%"</f>
        <v>#VALUE!</v>
      </c>
      <c r="CN82" t="e">
        <f>'All regions'!J2042+"n/&gt;!%_&amp;"</f>
        <v>#VALUE!</v>
      </c>
      <c r="CO82" t="e">
        <f>'All regions'!A2043+"n/&gt;!%_'"</f>
        <v>#VALUE!</v>
      </c>
      <c r="CP82" t="e">
        <f>'All regions'!B2043+"n/&gt;!%_("</f>
        <v>#VALUE!</v>
      </c>
      <c r="CQ82" t="e">
        <f>'All regions'!C2043+"n/&gt;!%_)"</f>
        <v>#VALUE!</v>
      </c>
      <c r="CR82" t="e">
        <f>'All regions'!D2043+"n/&gt;!%_."</f>
        <v>#VALUE!</v>
      </c>
      <c r="CS82" t="e">
        <f>'All regions'!E2043+"n/&gt;!%_/"</f>
        <v>#VALUE!</v>
      </c>
      <c r="CT82" t="e">
        <f>'All regions'!F2043+"n/&gt;!%_0"</f>
        <v>#VALUE!</v>
      </c>
      <c r="CU82" t="e">
        <f>'All regions'!G2043+"n/&gt;!%_1"</f>
        <v>#VALUE!</v>
      </c>
      <c r="CV82" t="e">
        <f>'All regions'!H2043+"n/&gt;!%_2"</f>
        <v>#VALUE!</v>
      </c>
      <c r="CW82" t="e">
        <f>'All regions'!I2043+"n/&gt;!%_3"</f>
        <v>#VALUE!</v>
      </c>
      <c r="CX82" t="e">
        <f>'All regions'!J2043+"n/&gt;!%_4"</f>
        <v>#VALUE!</v>
      </c>
      <c r="CY82" t="e">
        <f>'All regions'!A2044+"n/&gt;!%_5"</f>
        <v>#VALUE!</v>
      </c>
      <c r="CZ82" t="e">
        <f>'All regions'!B2044+"n/&gt;!%_6"</f>
        <v>#VALUE!</v>
      </c>
      <c r="DA82" t="e">
        <f>'All regions'!C2044+"n/&gt;!%_7"</f>
        <v>#VALUE!</v>
      </c>
      <c r="DB82" t="e">
        <f>'All regions'!D2044+"n/&gt;!%_8"</f>
        <v>#VALUE!</v>
      </c>
      <c r="DC82" t="e">
        <f>'All regions'!E2044+"n/&gt;!%_9"</f>
        <v>#VALUE!</v>
      </c>
      <c r="DD82" t="e">
        <f>'All regions'!F2044+"n/&gt;!%_:"</f>
        <v>#VALUE!</v>
      </c>
      <c r="DE82" t="e">
        <f>'All regions'!G2044+"n/&gt;!%_;"</f>
        <v>#VALUE!</v>
      </c>
      <c r="DF82" t="e">
        <f>'All regions'!H2044+"n/&gt;!%_&lt;"</f>
        <v>#VALUE!</v>
      </c>
      <c r="DG82" t="e">
        <f>'All regions'!I2044+"n/&gt;!%_="</f>
        <v>#VALUE!</v>
      </c>
      <c r="DH82" t="e">
        <f>'All regions'!J2044+"n/&gt;!%_&gt;"</f>
        <v>#VALUE!</v>
      </c>
      <c r="DI82" t="e">
        <f>'All regions'!A2045+"n/&gt;!%_?"</f>
        <v>#VALUE!</v>
      </c>
      <c r="DJ82" t="e">
        <f>'All regions'!B2045+"n/&gt;!%_@"</f>
        <v>#VALUE!</v>
      </c>
      <c r="DK82" t="e">
        <f>'All regions'!C2045+"n/&gt;!%_A"</f>
        <v>#VALUE!</v>
      </c>
      <c r="DL82" t="e">
        <f>'All regions'!D2045+"n/&gt;!%_B"</f>
        <v>#VALUE!</v>
      </c>
      <c r="DM82" t="e">
        <f>'All regions'!E2045+"n/&gt;!%_C"</f>
        <v>#VALUE!</v>
      </c>
      <c r="DN82" t="e">
        <f>'All regions'!F2045+"n/&gt;!%_D"</f>
        <v>#VALUE!</v>
      </c>
      <c r="DO82" t="e">
        <f>'All regions'!G2045+"n/&gt;!%_E"</f>
        <v>#VALUE!</v>
      </c>
      <c r="DP82" t="e">
        <f>'All regions'!H2045+"n/&gt;!%_F"</f>
        <v>#VALUE!</v>
      </c>
      <c r="DQ82" t="e">
        <f>'All regions'!I2045+"n/&gt;!%_G"</f>
        <v>#VALUE!</v>
      </c>
      <c r="DR82" t="e">
        <f>'All regions'!J2045+"n/&gt;!%_H"</f>
        <v>#VALUE!</v>
      </c>
      <c r="DS82" t="e">
        <f>'All regions'!A2046+"n/&gt;!%_I"</f>
        <v>#VALUE!</v>
      </c>
      <c r="DT82" t="e">
        <f>'All regions'!B2046+"n/&gt;!%_J"</f>
        <v>#VALUE!</v>
      </c>
      <c r="DU82" t="e">
        <f>'All regions'!C2046+"n/&gt;!%_K"</f>
        <v>#VALUE!</v>
      </c>
      <c r="DV82" t="e">
        <f>'All regions'!D2046+"n/&gt;!%_L"</f>
        <v>#VALUE!</v>
      </c>
      <c r="DW82" t="e">
        <f>'All regions'!E2046+"n/&gt;!%_M"</f>
        <v>#VALUE!</v>
      </c>
      <c r="DX82" t="e">
        <f>'All regions'!F2046+"n/&gt;!%_N"</f>
        <v>#VALUE!</v>
      </c>
      <c r="DY82" t="e">
        <f>'All regions'!G2046+"n/&gt;!%_O"</f>
        <v>#VALUE!</v>
      </c>
      <c r="DZ82" t="e">
        <f>'All regions'!H2046+"n/&gt;!%_P"</f>
        <v>#VALUE!</v>
      </c>
      <c r="EA82" t="e">
        <f>'All regions'!I2046+"n/&gt;!%_Q"</f>
        <v>#VALUE!</v>
      </c>
      <c r="EB82" t="e">
        <f>'All regions'!J2046+"n/&gt;!%_R"</f>
        <v>#VALUE!</v>
      </c>
      <c r="EC82" t="e">
        <f>'All regions'!A2047+"n/&gt;!%_S"</f>
        <v>#VALUE!</v>
      </c>
      <c r="ED82" t="e">
        <f>'All regions'!B2047+"n/&gt;!%_T"</f>
        <v>#VALUE!</v>
      </c>
      <c r="EE82" t="e">
        <f>'All regions'!C2047+"n/&gt;!%_U"</f>
        <v>#VALUE!</v>
      </c>
      <c r="EF82" t="e">
        <f>'All regions'!D2047+"n/&gt;!%_V"</f>
        <v>#VALUE!</v>
      </c>
      <c r="EG82" t="e">
        <f>'All regions'!E2047+"n/&gt;!%_W"</f>
        <v>#VALUE!</v>
      </c>
      <c r="EH82" t="e">
        <f>'All regions'!F2047+"n/&gt;!%_X"</f>
        <v>#VALUE!</v>
      </c>
      <c r="EI82" t="e">
        <f>'All regions'!G2047+"n/&gt;!%_Y"</f>
        <v>#VALUE!</v>
      </c>
      <c r="EJ82" t="e">
        <f>'All regions'!H2047+"n/&gt;!%_Z"</f>
        <v>#VALUE!</v>
      </c>
      <c r="EK82" t="e">
        <f>'All regions'!I2047+"n/&gt;!%_["</f>
        <v>#VALUE!</v>
      </c>
      <c r="EL82" t="e">
        <f>'All regions'!J2047+"n/&gt;!%_\"</f>
        <v>#VALUE!</v>
      </c>
      <c r="EM82" t="e">
        <f>'All regions'!A2048+"n/&gt;!%_]"</f>
        <v>#VALUE!</v>
      </c>
      <c r="EN82" t="e">
        <f>'All regions'!B2048+"n/&gt;!%_^"</f>
        <v>#VALUE!</v>
      </c>
      <c r="EO82" t="e">
        <f>'All regions'!C2048+"n/&gt;!%__"</f>
        <v>#VALUE!</v>
      </c>
      <c r="EP82" t="e">
        <f>'All regions'!D2048+"n/&gt;!%_`"</f>
        <v>#VALUE!</v>
      </c>
      <c r="EQ82" t="e">
        <f>'All regions'!E2048+"n/&gt;!%_a"</f>
        <v>#VALUE!</v>
      </c>
      <c r="ER82" t="e">
        <f>'All regions'!F2048+"n/&gt;!%_b"</f>
        <v>#VALUE!</v>
      </c>
      <c r="ES82" t="e">
        <f>'All regions'!G2048+"n/&gt;!%_c"</f>
        <v>#VALUE!</v>
      </c>
      <c r="ET82" t="e">
        <f>'All regions'!H2048+"n/&gt;!%_d"</f>
        <v>#VALUE!</v>
      </c>
      <c r="EU82" t="e">
        <f>'All regions'!I2048+"n/&gt;!%_e"</f>
        <v>#VALUE!</v>
      </c>
      <c r="EV82" t="e">
        <f>'All regions'!J2048+"n/&gt;!%_f"</f>
        <v>#VALUE!</v>
      </c>
      <c r="EW82" t="e">
        <f>'All regions'!A2049+"n/&gt;!%_g"</f>
        <v>#VALUE!</v>
      </c>
      <c r="EX82" t="e">
        <f>'All regions'!B2049+"n/&gt;!%_h"</f>
        <v>#VALUE!</v>
      </c>
      <c r="EY82" t="e">
        <f>'All regions'!C2049+"n/&gt;!%_i"</f>
        <v>#VALUE!</v>
      </c>
      <c r="EZ82" t="e">
        <f>'All regions'!D2049+"n/&gt;!%_j"</f>
        <v>#VALUE!</v>
      </c>
      <c r="FA82" t="e">
        <f>'All regions'!E2049+"n/&gt;!%_k"</f>
        <v>#VALUE!</v>
      </c>
      <c r="FB82" t="e">
        <f>'All regions'!F2049+"n/&gt;!%_l"</f>
        <v>#VALUE!</v>
      </c>
      <c r="FC82" t="e">
        <f>'All regions'!G2049+"n/&gt;!%_m"</f>
        <v>#VALUE!</v>
      </c>
      <c r="FD82" t="e">
        <f>'All regions'!H2049+"n/&gt;!%_n"</f>
        <v>#VALUE!</v>
      </c>
      <c r="FE82" t="e">
        <f>'All regions'!I2049+"n/&gt;!%_o"</f>
        <v>#VALUE!</v>
      </c>
      <c r="FF82" t="e">
        <f>'All regions'!J2049+"n/&gt;!%_p"</f>
        <v>#VALUE!</v>
      </c>
      <c r="FG82" t="e">
        <f>'All regions'!A2050+"n/&gt;!%_q"</f>
        <v>#VALUE!</v>
      </c>
      <c r="FH82" t="e">
        <f>'All regions'!B2050+"n/&gt;!%_r"</f>
        <v>#VALUE!</v>
      </c>
      <c r="FI82" t="e">
        <f>'All regions'!C2050+"n/&gt;!%_s"</f>
        <v>#VALUE!</v>
      </c>
      <c r="FJ82" t="e">
        <f>'All regions'!D2050+"n/&gt;!%_t"</f>
        <v>#VALUE!</v>
      </c>
      <c r="FK82" t="e">
        <f>'All regions'!E2050+"n/&gt;!%_u"</f>
        <v>#VALUE!</v>
      </c>
      <c r="FL82" t="e">
        <f>'All regions'!F2050+"n/&gt;!%_v"</f>
        <v>#VALUE!</v>
      </c>
      <c r="FM82" t="e">
        <f>'All regions'!G2050+"n/&gt;!%_w"</f>
        <v>#VALUE!</v>
      </c>
      <c r="FN82" t="e">
        <f>'All regions'!H2050+"n/&gt;!%_x"</f>
        <v>#VALUE!</v>
      </c>
      <c r="FO82" t="e">
        <f>'All regions'!I2050+"n/&gt;!%_y"</f>
        <v>#VALUE!</v>
      </c>
      <c r="FP82" t="e">
        <f>'All regions'!J2050+"n/&gt;!%_z"</f>
        <v>#VALUE!</v>
      </c>
      <c r="FQ82" t="e">
        <f>'All regions'!A2051+"n/&gt;!%_{"</f>
        <v>#VALUE!</v>
      </c>
      <c r="FR82" t="e">
        <f>'All regions'!B2051+"n/&gt;!%_|"</f>
        <v>#VALUE!</v>
      </c>
      <c r="FS82" t="e">
        <f>'All regions'!C2051+"n/&gt;!%_}"</f>
        <v>#VALUE!</v>
      </c>
      <c r="FT82" t="e">
        <f>'All regions'!D2051+"n/&gt;!%_~"</f>
        <v>#VALUE!</v>
      </c>
      <c r="FU82" t="e">
        <f>'All regions'!E2051+"n/&gt;!%`#"</f>
        <v>#VALUE!</v>
      </c>
      <c r="FV82" t="e">
        <f>'All regions'!F2051+"n/&gt;!%`$"</f>
        <v>#VALUE!</v>
      </c>
      <c r="FW82" t="e">
        <f>'All regions'!G2051+"n/&gt;!%`%"</f>
        <v>#VALUE!</v>
      </c>
      <c r="FX82" t="e">
        <f>'All regions'!H2051+"n/&gt;!%`&amp;"</f>
        <v>#VALUE!</v>
      </c>
      <c r="FY82" t="e">
        <f>'All regions'!I2051+"n/&gt;!%`'"</f>
        <v>#VALUE!</v>
      </c>
      <c r="FZ82" t="e">
        <f>'All regions'!J2051+"n/&gt;!%`("</f>
        <v>#VALUE!</v>
      </c>
      <c r="GA82" t="e">
        <f>'All regions'!A2052+"n/&gt;!%`)"</f>
        <v>#VALUE!</v>
      </c>
      <c r="GB82" t="e">
        <f>'All regions'!B2052+"n/&gt;!%`."</f>
        <v>#VALUE!</v>
      </c>
      <c r="GC82" t="e">
        <f>'All regions'!C2052+"n/&gt;!%`/"</f>
        <v>#VALUE!</v>
      </c>
      <c r="GD82" t="e">
        <f>'All regions'!D2052+"n/&gt;!%`0"</f>
        <v>#VALUE!</v>
      </c>
      <c r="GE82" t="e">
        <f>'All regions'!E2052+"n/&gt;!%`1"</f>
        <v>#VALUE!</v>
      </c>
      <c r="GF82" t="e">
        <f>'All regions'!F2052+"n/&gt;!%`2"</f>
        <v>#VALUE!</v>
      </c>
      <c r="GG82" t="e">
        <f>'All regions'!G2052+"n/&gt;!%`3"</f>
        <v>#VALUE!</v>
      </c>
      <c r="GH82" t="e">
        <f>'All regions'!H2052+"n/&gt;!%`4"</f>
        <v>#VALUE!</v>
      </c>
      <c r="GI82" t="e">
        <f>'All regions'!I2052+"n/&gt;!%`5"</f>
        <v>#VALUE!</v>
      </c>
      <c r="GJ82" t="e">
        <f>'All regions'!J2052+"n/&gt;!%`6"</f>
        <v>#VALUE!</v>
      </c>
      <c r="GK82" t="e">
        <f>'All regions'!A2053+"n/&gt;!%`7"</f>
        <v>#VALUE!</v>
      </c>
      <c r="GL82" t="e">
        <f>'All regions'!B2053+"n/&gt;!%`8"</f>
        <v>#VALUE!</v>
      </c>
      <c r="GM82" t="e">
        <f>'All regions'!C2053+"n/&gt;!%`9"</f>
        <v>#VALUE!</v>
      </c>
      <c r="GN82" t="e">
        <f>'All regions'!D2053+"n/&gt;!%`:"</f>
        <v>#VALUE!</v>
      </c>
      <c r="GO82" t="e">
        <f>'All regions'!E2053+"n/&gt;!%`;"</f>
        <v>#VALUE!</v>
      </c>
      <c r="GP82" t="e">
        <f>'All regions'!F2053+"n/&gt;!%`&lt;"</f>
        <v>#VALUE!</v>
      </c>
      <c r="GQ82" t="e">
        <f>'All regions'!G2053+"n/&gt;!%`="</f>
        <v>#VALUE!</v>
      </c>
      <c r="GR82" t="e">
        <f>'All regions'!H2053+"n/&gt;!%`&gt;"</f>
        <v>#VALUE!</v>
      </c>
      <c r="GS82" t="e">
        <f>'All regions'!I2053+"n/&gt;!%`?"</f>
        <v>#VALUE!</v>
      </c>
      <c r="GT82" t="e">
        <f>'All regions'!J2053+"n/&gt;!%`@"</f>
        <v>#VALUE!</v>
      </c>
      <c r="GU82" t="e">
        <f>'All regions'!A2054+"n/&gt;!%`A"</f>
        <v>#VALUE!</v>
      </c>
      <c r="GV82" t="e">
        <f>'All regions'!B2054+"n/&gt;!%`B"</f>
        <v>#VALUE!</v>
      </c>
      <c r="GW82" t="e">
        <f>'All regions'!C2054+"n/&gt;!%`C"</f>
        <v>#VALUE!</v>
      </c>
      <c r="GX82" t="e">
        <f>'All regions'!D2054+"n/&gt;!%`D"</f>
        <v>#VALUE!</v>
      </c>
      <c r="GY82" t="e">
        <f>'All regions'!E2054+"n/&gt;!%`E"</f>
        <v>#VALUE!</v>
      </c>
      <c r="GZ82" t="e">
        <f>'All regions'!F2054+"n/&gt;!%`F"</f>
        <v>#VALUE!</v>
      </c>
      <c r="HA82" t="e">
        <f>'All regions'!G2054+"n/&gt;!%`G"</f>
        <v>#VALUE!</v>
      </c>
      <c r="HB82" t="e">
        <f>'All regions'!H2054+"n/&gt;!%`H"</f>
        <v>#VALUE!</v>
      </c>
      <c r="HC82" t="e">
        <f>'All regions'!I2054+"n/&gt;!%`I"</f>
        <v>#VALUE!</v>
      </c>
      <c r="HD82" t="e">
        <f>'All regions'!J2054+"n/&gt;!%`J"</f>
        <v>#VALUE!</v>
      </c>
      <c r="HE82" t="e">
        <f>'All regions'!A2055+"n/&gt;!%`K"</f>
        <v>#VALUE!</v>
      </c>
      <c r="HF82" t="e">
        <f>'All regions'!B2055+"n/&gt;!%`L"</f>
        <v>#VALUE!</v>
      </c>
      <c r="HG82" t="e">
        <f>'All regions'!C2055+"n/&gt;!%`M"</f>
        <v>#VALUE!</v>
      </c>
      <c r="HH82" t="e">
        <f>'All regions'!D2055+"n/&gt;!%`N"</f>
        <v>#VALUE!</v>
      </c>
      <c r="HI82" t="e">
        <f>'All regions'!E2055+"n/&gt;!%`O"</f>
        <v>#VALUE!</v>
      </c>
      <c r="HJ82" t="e">
        <f>'All regions'!F2055+"n/&gt;!%`P"</f>
        <v>#VALUE!</v>
      </c>
      <c r="HK82" t="e">
        <f>'All regions'!G2055+"n/&gt;!%`Q"</f>
        <v>#VALUE!</v>
      </c>
      <c r="HL82" t="e">
        <f>'All regions'!H2055+"n/&gt;!%`R"</f>
        <v>#VALUE!</v>
      </c>
      <c r="HM82" t="e">
        <f>'All regions'!I2055+"n/&gt;!%`S"</f>
        <v>#VALUE!</v>
      </c>
      <c r="HN82" t="e">
        <f>'All regions'!J2055+"n/&gt;!%`T"</f>
        <v>#VALUE!</v>
      </c>
      <c r="HO82" t="e">
        <f>'All regions'!A2056+"n/&gt;!%`U"</f>
        <v>#VALUE!</v>
      </c>
      <c r="HP82" t="e">
        <f>'All regions'!B2056+"n/&gt;!%`V"</f>
        <v>#VALUE!</v>
      </c>
      <c r="HQ82" t="e">
        <f>'All regions'!C2056+"n/&gt;!%`W"</f>
        <v>#VALUE!</v>
      </c>
      <c r="HR82" t="e">
        <f>'All regions'!D2056+"n/&gt;!%`X"</f>
        <v>#VALUE!</v>
      </c>
      <c r="HS82" t="e">
        <f>'All regions'!E2056+"n/&gt;!%`Y"</f>
        <v>#VALUE!</v>
      </c>
      <c r="HT82" t="e">
        <f>'All regions'!F2056+"n/&gt;!%`Z"</f>
        <v>#VALUE!</v>
      </c>
      <c r="HU82" t="e">
        <f>'All regions'!G2056+"n/&gt;!%`["</f>
        <v>#VALUE!</v>
      </c>
      <c r="HV82" t="e">
        <f>'All regions'!H2056+"n/&gt;!%`\"</f>
        <v>#VALUE!</v>
      </c>
      <c r="HW82" t="e">
        <f>'All regions'!I2056+"n/&gt;!%`]"</f>
        <v>#VALUE!</v>
      </c>
      <c r="HX82" t="e">
        <f>'All regions'!J2056+"n/&gt;!%`^"</f>
        <v>#VALUE!</v>
      </c>
      <c r="HY82" t="e">
        <f>'All regions'!A2057+"n/&gt;!%`_"</f>
        <v>#VALUE!</v>
      </c>
      <c r="HZ82" t="e">
        <f>'All regions'!B2057+"n/&gt;!%``"</f>
        <v>#VALUE!</v>
      </c>
      <c r="IA82" t="e">
        <f>'All regions'!C2057+"n/&gt;!%`a"</f>
        <v>#VALUE!</v>
      </c>
      <c r="IB82" t="e">
        <f>'All regions'!D2057+"n/&gt;!%`b"</f>
        <v>#VALUE!</v>
      </c>
      <c r="IC82" t="e">
        <f>'All regions'!E2057+"n/&gt;!%`c"</f>
        <v>#VALUE!</v>
      </c>
      <c r="ID82" t="e">
        <f>'All regions'!F2057+"n/&gt;!%`d"</f>
        <v>#VALUE!</v>
      </c>
      <c r="IE82" t="e">
        <f>'All regions'!G2057+"n/&gt;!%`e"</f>
        <v>#VALUE!</v>
      </c>
      <c r="IF82" t="e">
        <f>'All regions'!H2057+"n/&gt;!%`f"</f>
        <v>#VALUE!</v>
      </c>
      <c r="IG82" t="e">
        <f>'All regions'!I2057+"n/&gt;!%`g"</f>
        <v>#VALUE!</v>
      </c>
      <c r="IH82" t="e">
        <f>'All regions'!J2057+"n/&gt;!%`h"</f>
        <v>#VALUE!</v>
      </c>
      <c r="II82" t="e">
        <f>'All regions'!A2058+"n/&gt;!%`i"</f>
        <v>#VALUE!</v>
      </c>
      <c r="IJ82" t="e">
        <f>'All regions'!B2058+"n/&gt;!%`j"</f>
        <v>#VALUE!</v>
      </c>
      <c r="IK82" t="e">
        <f>'All regions'!C2058+"n/&gt;!%`k"</f>
        <v>#VALUE!</v>
      </c>
      <c r="IL82" t="e">
        <f>'All regions'!D2058+"n/&gt;!%`l"</f>
        <v>#VALUE!</v>
      </c>
      <c r="IM82" t="e">
        <f>'All regions'!E2058+"n/&gt;!%`m"</f>
        <v>#VALUE!</v>
      </c>
      <c r="IN82" t="e">
        <f>'All regions'!F2058+"n/&gt;!%`n"</f>
        <v>#VALUE!</v>
      </c>
      <c r="IO82" t="e">
        <f>'All regions'!G2058+"n/&gt;!%`o"</f>
        <v>#VALUE!</v>
      </c>
      <c r="IP82" t="e">
        <f>'All regions'!H2058+"n/&gt;!%`p"</f>
        <v>#VALUE!</v>
      </c>
      <c r="IQ82" t="e">
        <f>'All regions'!I2058+"n/&gt;!%`q"</f>
        <v>#VALUE!</v>
      </c>
      <c r="IR82" t="e">
        <f>'All regions'!J2058+"n/&gt;!%`r"</f>
        <v>#VALUE!</v>
      </c>
      <c r="IS82" t="e">
        <f>'All regions'!A2059+"n/&gt;!%`s"</f>
        <v>#VALUE!</v>
      </c>
      <c r="IT82" t="e">
        <f>'All regions'!B2059+"n/&gt;!%`t"</f>
        <v>#VALUE!</v>
      </c>
      <c r="IU82" t="e">
        <f>'All regions'!C2059+"n/&gt;!%`u"</f>
        <v>#VALUE!</v>
      </c>
      <c r="IV82" t="e">
        <f>'All regions'!D2059+"n/&gt;!%`v"</f>
        <v>#VALUE!</v>
      </c>
    </row>
    <row r="83" spans="6:256" x14ac:dyDescent="0.35">
      <c r="F83" t="e">
        <f>'All regions'!E2059+"n/&gt;!%`w"</f>
        <v>#VALUE!</v>
      </c>
      <c r="G83" t="e">
        <f>'All regions'!F2059+"n/&gt;!%`x"</f>
        <v>#VALUE!</v>
      </c>
      <c r="H83" t="e">
        <f>'All regions'!G2059+"n/&gt;!%`y"</f>
        <v>#VALUE!</v>
      </c>
      <c r="I83" t="e">
        <f>'All regions'!H2059+"n/&gt;!%`z"</f>
        <v>#VALUE!</v>
      </c>
      <c r="J83" t="e">
        <f>'All regions'!I2059+"n/&gt;!%`{"</f>
        <v>#VALUE!</v>
      </c>
      <c r="K83" t="e">
        <f>'All regions'!J2059+"n/&gt;!%`|"</f>
        <v>#VALUE!</v>
      </c>
      <c r="L83" t="e">
        <f>'All regions'!A2060+"n/&gt;!%`}"</f>
        <v>#VALUE!</v>
      </c>
      <c r="M83" t="e">
        <f>'All regions'!B2060+"n/&gt;!%`~"</f>
        <v>#VALUE!</v>
      </c>
      <c r="N83" t="e">
        <f>'All regions'!C2060+"n/&gt;!%a#"</f>
        <v>#VALUE!</v>
      </c>
      <c r="O83" t="e">
        <f>'All regions'!D2060+"n/&gt;!%a$"</f>
        <v>#VALUE!</v>
      </c>
      <c r="P83" t="e">
        <f>'All regions'!E2060+"n/&gt;!%a%"</f>
        <v>#VALUE!</v>
      </c>
      <c r="Q83" t="e">
        <f>'All regions'!F2060+"n/&gt;!%a&amp;"</f>
        <v>#VALUE!</v>
      </c>
      <c r="R83" t="e">
        <f>'All regions'!G2060+"n/&gt;!%a'"</f>
        <v>#VALUE!</v>
      </c>
      <c r="S83" t="e">
        <f>'All regions'!H2060+"n/&gt;!%a("</f>
        <v>#VALUE!</v>
      </c>
      <c r="T83" t="e">
        <f>'All regions'!I2060+"n/&gt;!%a)"</f>
        <v>#VALUE!</v>
      </c>
      <c r="U83" t="e">
        <f>'All regions'!J2060+"n/&gt;!%a."</f>
        <v>#VALUE!</v>
      </c>
      <c r="V83" t="e">
        <f>'All regions'!A2061+"n/&gt;!%a/"</f>
        <v>#VALUE!</v>
      </c>
      <c r="W83" t="e">
        <f>'All regions'!B2061+"n/&gt;!%a0"</f>
        <v>#VALUE!</v>
      </c>
      <c r="X83" t="e">
        <f>'All regions'!C2061+"n/&gt;!%a1"</f>
        <v>#VALUE!</v>
      </c>
      <c r="Y83" t="e">
        <f>'All regions'!D2061+"n/&gt;!%a2"</f>
        <v>#VALUE!</v>
      </c>
      <c r="Z83" t="e">
        <f>'All regions'!E2061+"n/&gt;!%a3"</f>
        <v>#VALUE!</v>
      </c>
      <c r="AA83" t="e">
        <f>'All regions'!F2061+"n/&gt;!%a4"</f>
        <v>#VALUE!</v>
      </c>
      <c r="AB83" t="e">
        <f>'All regions'!G2061+"n/&gt;!%a5"</f>
        <v>#VALUE!</v>
      </c>
      <c r="AC83" t="e">
        <f>'All regions'!H2061+"n/&gt;!%a6"</f>
        <v>#VALUE!</v>
      </c>
      <c r="AD83" t="e">
        <f>'All regions'!I2061+"n/&gt;!%a7"</f>
        <v>#VALUE!</v>
      </c>
      <c r="AE83" t="e">
        <f>'All regions'!J2061+"n/&gt;!%a8"</f>
        <v>#VALUE!</v>
      </c>
      <c r="AF83" t="e">
        <f>'All regions'!A2062+"n/&gt;!%a9"</f>
        <v>#VALUE!</v>
      </c>
      <c r="AG83" t="e">
        <f>'All regions'!B2062+"n/&gt;!%a:"</f>
        <v>#VALUE!</v>
      </c>
      <c r="AH83" t="e">
        <f>'All regions'!C2062+"n/&gt;!%a;"</f>
        <v>#VALUE!</v>
      </c>
      <c r="AI83" t="e">
        <f>'All regions'!D2062+"n/&gt;!%a&lt;"</f>
        <v>#VALUE!</v>
      </c>
      <c r="AJ83" t="e">
        <f>'All regions'!E2062+"n/&gt;!%a="</f>
        <v>#VALUE!</v>
      </c>
      <c r="AK83" t="e">
        <f>'All regions'!F2062+"n/&gt;!%a&gt;"</f>
        <v>#VALUE!</v>
      </c>
      <c r="AL83" t="e">
        <f>'All regions'!G2062+"n/&gt;!%a?"</f>
        <v>#VALUE!</v>
      </c>
      <c r="AM83" t="e">
        <f>'All regions'!H2062+"n/&gt;!%a@"</f>
        <v>#VALUE!</v>
      </c>
      <c r="AN83" t="e">
        <f>'All regions'!I2062+"n/&gt;!%aA"</f>
        <v>#VALUE!</v>
      </c>
      <c r="AO83" t="e">
        <f>'All regions'!J2062+"n/&gt;!%aB"</f>
        <v>#VALUE!</v>
      </c>
      <c r="AP83" t="e">
        <f>'All regions'!A2063+"n/&gt;!%aC"</f>
        <v>#VALUE!</v>
      </c>
      <c r="AQ83" t="e">
        <f>'All regions'!B2063+"n/&gt;!%aD"</f>
        <v>#VALUE!</v>
      </c>
      <c r="AR83" t="e">
        <f>'All regions'!C2063+"n/&gt;!%aE"</f>
        <v>#VALUE!</v>
      </c>
      <c r="AS83" t="e">
        <f>'All regions'!D2063+"n/&gt;!%aF"</f>
        <v>#VALUE!</v>
      </c>
      <c r="AT83" t="e">
        <f>'All regions'!E2063+"n/&gt;!%aG"</f>
        <v>#VALUE!</v>
      </c>
      <c r="AU83" t="e">
        <f>'All regions'!F2063+"n/&gt;!%aH"</f>
        <v>#VALUE!</v>
      </c>
      <c r="AV83" t="e">
        <f>'All regions'!G2063+"n/&gt;!%aI"</f>
        <v>#VALUE!</v>
      </c>
      <c r="AW83" t="e">
        <f>'All regions'!H2063+"n/&gt;!%aJ"</f>
        <v>#VALUE!</v>
      </c>
      <c r="AX83" t="e">
        <f>'All regions'!I2063+"n/&gt;!%aK"</f>
        <v>#VALUE!</v>
      </c>
      <c r="AY83" t="e">
        <f>'All regions'!J2063+"n/&gt;!%aL"</f>
        <v>#VALUE!</v>
      </c>
      <c r="AZ83" t="e">
        <f>'All regions'!A2064+"n/&gt;!%aM"</f>
        <v>#VALUE!</v>
      </c>
      <c r="BA83" t="e">
        <f>'All regions'!B2064+"n/&gt;!%aN"</f>
        <v>#VALUE!</v>
      </c>
      <c r="BB83" t="e">
        <f>'All regions'!C2064+"n/&gt;!%aO"</f>
        <v>#VALUE!</v>
      </c>
      <c r="BC83" t="e">
        <f>'All regions'!D2064+"n/&gt;!%aP"</f>
        <v>#VALUE!</v>
      </c>
      <c r="BD83" t="e">
        <f>'All regions'!E2064+"n/&gt;!%aQ"</f>
        <v>#VALUE!</v>
      </c>
      <c r="BE83" t="e">
        <f>'All regions'!F2064+"n/&gt;!%aR"</f>
        <v>#VALUE!</v>
      </c>
      <c r="BF83" t="e">
        <f>'All regions'!G2064+"n/&gt;!%aS"</f>
        <v>#VALUE!</v>
      </c>
      <c r="BG83" t="e">
        <f>'All regions'!H2064+"n/&gt;!%aT"</f>
        <v>#VALUE!</v>
      </c>
      <c r="BH83" t="e">
        <f>'All regions'!I2064+"n/&gt;!%aU"</f>
        <v>#VALUE!</v>
      </c>
      <c r="BI83" t="e">
        <f>'All regions'!J2064+"n/&gt;!%aV"</f>
        <v>#VALUE!</v>
      </c>
      <c r="BJ83" t="e">
        <f>'All regions'!A2065+"n/&gt;!%aW"</f>
        <v>#VALUE!</v>
      </c>
      <c r="BK83" t="e">
        <f>'All regions'!B2065+"n/&gt;!%aX"</f>
        <v>#VALUE!</v>
      </c>
      <c r="BL83" t="e">
        <f>'All regions'!C2065+"n/&gt;!%aY"</f>
        <v>#VALUE!</v>
      </c>
      <c r="BM83" t="e">
        <f>'All regions'!D2065+"n/&gt;!%aZ"</f>
        <v>#VALUE!</v>
      </c>
      <c r="BN83" t="e">
        <f>'All regions'!E2065+"n/&gt;!%a["</f>
        <v>#VALUE!</v>
      </c>
      <c r="BO83" t="e">
        <f>'All regions'!F2065+"n/&gt;!%a\"</f>
        <v>#VALUE!</v>
      </c>
      <c r="BP83" t="e">
        <f>'All regions'!G2065+"n/&gt;!%a]"</f>
        <v>#VALUE!</v>
      </c>
      <c r="BQ83" t="e">
        <f>'All regions'!H2065+"n/&gt;!%a^"</f>
        <v>#VALUE!</v>
      </c>
      <c r="BR83" t="e">
        <f>'All regions'!I2065+"n/&gt;!%a_"</f>
        <v>#VALUE!</v>
      </c>
      <c r="BS83" t="e">
        <f>'All regions'!J2065+"n/&gt;!%a`"</f>
        <v>#VALUE!</v>
      </c>
      <c r="BT83" t="e">
        <f>'All regions'!A2066+"n/&gt;!%aa"</f>
        <v>#VALUE!</v>
      </c>
      <c r="BU83" t="e">
        <f>'All regions'!B2066+"n/&gt;!%ab"</f>
        <v>#VALUE!</v>
      </c>
      <c r="BV83" t="e">
        <f>'All regions'!C2066+"n/&gt;!%ac"</f>
        <v>#VALUE!</v>
      </c>
      <c r="BW83" t="e">
        <f>'All regions'!D2066+"n/&gt;!%ad"</f>
        <v>#VALUE!</v>
      </c>
      <c r="BX83" t="e">
        <f>'All regions'!E2066+"n/&gt;!%ae"</f>
        <v>#VALUE!</v>
      </c>
      <c r="BY83" t="e">
        <f>'All regions'!F2066+"n/&gt;!%af"</f>
        <v>#VALUE!</v>
      </c>
      <c r="BZ83" t="e">
        <f>'All regions'!G2066+"n/&gt;!%ag"</f>
        <v>#VALUE!</v>
      </c>
      <c r="CA83" t="e">
        <f>'All regions'!H2066+"n/&gt;!%ah"</f>
        <v>#VALUE!</v>
      </c>
      <c r="CB83" t="e">
        <f>'All regions'!I2066+"n/&gt;!%ai"</f>
        <v>#VALUE!</v>
      </c>
      <c r="CC83" t="e">
        <f>'All regions'!J2066+"n/&gt;!%aj"</f>
        <v>#VALUE!</v>
      </c>
      <c r="CD83" t="e">
        <f>'All regions'!A2067+"n/&gt;!%ak"</f>
        <v>#VALUE!</v>
      </c>
      <c r="CE83" t="e">
        <f>'All regions'!B2067+"n/&gt;!%al"</f>
        <v>#VALUE!</v>
      </c>
      <c r="CF83" t="e">
        <f>'All regions'!C2067+"n/&gt;!%am"</f>
        <v>#VALUE!</v>
      </c>
      <c r="CG83" t="e">
        <f>'All regions'!D2067+"n/&gt;!%an"</f>
        <v>#VALUE!</v>
      </c>
      <c r="CH83" t="e">
        <f>'All regions'!E2067+"n/&gt;!%ao"</f>
        <v>#VALUE!</v>
      </c>
      <c r="CI83" t="e">
        <f>'All regions'!F2067+"n/&gt;!%ap"</f>
        <v>#VALUE!</v>
      </c>
      <c r="CJ83" t="e">
        <f>'All regions'!G2067+"n/&gt;!%aq"</f>
        <v>#VALUE!</v>
      </c>
      <c r="CK83" t="e">
        <f>'All regions'!H2067+"n/&gt;!%ar"</f>
        <v>#VALUE!</v>
      </c>
      <c r="CL83" t="e">
        <f>'All regions'!I2067+"n/&gt;!%as"</f>
        <v>#VALUE!</v>
      </c>
      <c r="CM83" t="e">
        <f>'All regions'!J2067+"n/&gt;!%at"</f>
        <v>#VALUE!</v>
      </c>
      <c r="CN83" t="e">
        <f>'All regions'!A2068+"n/&gt;!%au"</f>
        <v>#VALUE!</v>
      </c>
      <c r="CO83" t="e">
        <f>'All regions'!B2068+"n/&gt;!%av"</f>
        <v>#VALUE!</v>
      </c>
      <c r="CP83" t="e">
        <f>'All regions'!C2068+"n/&gt;!%aw"</f>
        <v>#VALUE!</v>
      </c>
      <c r="CQ83" t="e">
        <f>'All regions'!D2068+"n/&gt;!%ax"</f>
        <v>#VALUE!</v>
      </c>
      <c r="CR83" t="e">
        <f>'All regions'!E2068+"n/&gt;!%ay"</f>
        <v>#VALUE!</v>
      </c>
      <c r="CS83" t="e">
        <f>'All regions'!F2068+"n/&gt;!%az"</f>
        <v>#VALUE!</v>
      </c>
      <c r="CT83" t="e">
        <f>'All regions'!G2068+"n/&gt;!%a{"</f>
        <v>#VALUE!</v>
      </c>
      <c r="CU83" t="e">
        <f>'All regions'!H2068+"n/&gt;!%a|"</f>
        <v>#VALUE!</v>
      </c>
      <c r="CV83" t="e">
        <f>'All regions'!I2068+"n/&gt;!%a}"</f>
        <v>#VALUE!</v>
      </c>
      <c r="CW83" t="e">
        <f>'All regions'!J2068+"n/&gt;!%a~"</f>
        <v>#VALUE!</v>
      </c>
      <c r="CX83" t="e">
        <f>'All regions'!A2069+"n/&gt;!%b#"</f>
        <v>#VALUE!</v>
      </c>
      <c r="CY83" t="e">
        <f>'All regions'!B2069+"n/&gt;!%b$"</f>
        <v>#VALUE!</v>
      </c>
      <c r="CZ83" t="e">
        <f>'All regions'!C2069+"n/&gt;!%b%"</f>
        <v>#VALUE!</v>
      </c>
      <c r="DA83" t="e">
        <f>'All regions'!D2069+"n/&gt;!%b&amp;"</f>
        <v>#VALUE!</v>
      </c>
      <c r="DB83" t="e">
        <f>'All regions'!E2069+"n/&gt;!%b'"</f>
        <v>#VALUE!</v>
      </c>
      <c r="DC83" t="e">
        <f>'All regions'!F2069+"n/&gt;!%b("</f>
        <v>#VALUE!</v>
      </c>
      <c r="DD83" t="e">
        <f>'All regions'!G2069+"n/&gt;!%b)"</f>
        <v>#VALUE!</v>
      </c>
      <c r="DE83" t="e">
        <f>'All regions'!H2069+"n/&gt;!%b."</f>
        <v>#VALUE!</v>
      </c>
      <c r="DF83" t="e">
        <f>'All regions'!I2069+"n/&gt;!%b/"</f>
        <v>#VALUE!</v>
      </c>
      <c r="DG83" t="e">
        <f>'All regions'!J2069+"n/&gt;!%b0"</f>
        <v>#VALUE!</v>
      </c>
      <c r="DH83" t="e">
        <f>'All regions'!A2070+"n/&gt;!%b1"</f>
        <v>#VALUE!</v>
      </c>
      <c r="DI83" t="e">
        <f>'All regions'!B2070+"n/&gt;!%b2"</f>
        <v>#VALUE!</v>
      </c>
      <c r="DJ83" t="e">
        <f>'All regions'!C2070+"n/&gt;!%b3"</f>
        <v>#VALUE!</v>
      </c>
      <c r="DK83" t="e">
        <f>'All regions'!D2070+"n/&gt;!%b4"</f>
        <v>#VALUE!</v>
      </c>
      <c r="DL83" t="e">
        <f>'All regions'!E2070+"n/&gt;!%b5"</f>
        <v>#VALUE!</v>
      </c>
      <c r="DM83" t="e">
        <f>'All regions'!F2070+"n/&gt;!%b6"</f>
        <v>#VALUE!</v>
      </c>
      <c r="DN83" t="e">
        <f>'All regions'!G2070+"n/&gt;!%b7"</f>
        <v>#VALUE!</v>
      </c>
      <c r="DO83" t="e">
        <f>'All regions'!H2070+"n/&gt;!%b8"</f>
        <v>#VALUE!</v>
      </c>
      <c r="DP83" t="e">
        <f>'All regions'!I2070+"n/&gt;!%b9"</f>
        <v>#VALUE!</v>
      </c>
      <c r="DQ83" t="e">
        <f>'All regions'!J2070+"n/&gt;!%b:"</f>
        <v>#VALUE!</v>
      </c>
      <c r="DR83" t="e">
        <f>'All regions'!A2071+"n/&gt;!%b;"</f>
        <v>#VALUE!</v>
      </c>
      <c r="DS83" t="e">
        <f>'All regions'!B2071+"n/&gt;!%b&lt;"</f>
        <v>#VALUE!</v>
      </c>
      <c r="DT83" t="e">
        <f>'All regions'!C2071+"n/&gt;!%b="</f>
        <v>#VALUE!</v>
      </c>
      <c r="DU83" t="e">
        <f>'All regions'!D2071+"n/&gt;!%b&gt;"</f>
        <v>#VALUE!</v>
      </c>
      <c r="DV83" t="e">
        <f>'All regions'!E2071+"n/&gt;!%b?"</f>
        <v>#VALUE!</v>
      </c>
      <c r="DW83" t="e">
        <f>'All regions'!F2071+"n/&gt;!%b@"</f>
        <v>#VALUE!</v>
      </c>
      <c r="DX83" t="e">
        <f>'All regions'!G2071+"n/&gt;!%bA"</f>
        <v>#VALUE!</v>
      </c>
      <c r="DY83" t="e">
        <f>'All regions'!H2071+"n/&gt;!%bB"</f>
        <v>#VALUE!</v>
      </c>
      <c r="DZ83" t="e">
        <f>'All regions'!I2071+"n/&gt;!%bC"</f>
        <v>#VALUE!</v>
      </c>
      <c r="EA83" t="e">
        <f>'All regions'!J2071+"n/&gt;!%bD"</f>
        <v>#VALUE!</v>
      </c>
      <c r="EB83" t="e">
        <f>'All regions'!A2072+"n/&gt;!%bE"</f>
        <v>#VALUE!</v>
      </c>
      <c r="EC83" t="e">
        <f>'All regions'!B2072+"n/&gt;!%bF"</f>
        <v>#VALUE!</v>
      </c>
      <c r="ED83" t="e">
        <f>'All regions'!C2072+"n/&gt;!%bG"</f>
        <v>#VALUE!</v>
      </c>
      <c r="EE83" t="e">
        <f>'All regions'!D2072+"n/&gt;!%bH"</f>
        <v>#VALUE!</v>
      </c>
      <c r="EF83" t="e">
        <f>'All regions'!E2072+"n/&gt;!%bI"</f>
        <v>#VALUE!</v>
      </c>
      <c r="EG83" t="e">
        <f>'All regions'!F2072+"n/&gt;!%bJ"</f>
        <v>#VALUE!</v>
      </c>
      <c r="EH83" t="e">
        <f>'All regions'!G2072+"n/&gt;!%bK"</f>
        <v>#VALUE!</v>
      </c>
      <c r="EI83" t="e">
        <f>'All regions'!H2072+"n/&gt;!%bL"</f>
        <v>#VALUE!</v>
      </c>
      <c r="EJ83" t="e">
        <f>'All regions'!I2072+"n/&gt;!%bM"</f>
        <v>#VALUE!</v>
      </c>
      <c r="EK83" t="e">
        <f>'All regions'!J2072+"n/&gt;!%bN"</f>
        <v>#VALUE!</v>
      </c>
      <c r="EL83" t="e">
        <f>'All regions'!A2073+"n/&gt;!%bO"</f>
        <v>#VALUE!</v>
      </c>
      <c r="EM83" t="e">
        <f>'All regions'!B2073+"n/&gt;!%bP"</f>
        <v>#VALUE!</v>
      </c>
      <c r="EN83" t="e">
        <f>'All regions'!C2073+"n/&gt;!%bQ"</f>
        <v>#VALUE!</v>
      </c>
      <c r="EO83" t="e">
        <f>'All regions'!D2073+"n/&gt;!%bR"</f>
        <v>#VALUE!</v>
      </c>
      <c r="EP83" t="e">
        <f>'All regions'!E2073+"n/&gt;!%bS"</f>
        <v>#VALUE!</v>
      </c>
      <c r="EQ83" t="e">
        <f>'All regions'!F2073+"n/&gt;!%bT"</f>
        <v>#VALUE!</v>
      </c>
      <c r="ER83" t="e">
        <f>'All regions'!G2073+"n/&gt;!%bU"</f>
        <v>#VALUE!</v>
      </c>
      <c r="ES83" t="e">
        <f>'All regions'!H2073+"n/&gt;!%bV"</f>
        <v>#VALUE!</v>
      </c>
      <c r="ET83" t="e">
        <f>'All regions'!I2073+"n/&gt;!%bW"</f>
        <v>#VALUE!</v>
      </c>
      <c r="EU83" t="e">
        <f>'All regions'!J2073+"n/&gt;!%bX"</f>
        <v>#VALUE!</v>
      </c>
      <c r="EV83" t="e">
        <f>'All regions'!A2074+"n/&gt;!%bY"</f>
        <v>#VALUE!</v>
      </c>
      <c r="EW83" t="e">
        <f>'All regions'!B2074+"n/&gt;!%bZ"</f>
        <v>#VALUE!</v>
      </c>
      <c r="EX83" t="e">
        <f>'All regions'!C2074+"n/&gt;!%b["</f>
        <v>#VALUE!</v>
      </c>
      <c r="EY83" t="e">
        <f>'All regions'!D2074+"n/&gt;!%b\"</f>
        <v>#VALUE!</v>
      </c>
      <c r="EZ83" t="e">
        <f>'All regions'!E2074+"n/&gt;!%b]"</f>
        <v>#VALUE!</v>
      </c>
      <c r="FA83" t="e">
        <f>'All regions'!F2074+"n/&gt;!%b^"</f>
        <v>#VALUE!</v>
      </c>
      <c r="FB83" t="e">
        <f>'All regions'!G2074+"n/&gt;!%b_"</f>
        <v>#VALUE!</v>
      </c>
      <c r="FC83" t="e">
        <f>'All regions'!H2074+"n/&gt;!%b`"</f>
        <v>#VALUE!</v>
      </c>
      <c r="FD83" t="e">
        <f>'All regions'!I2074+"n/&gt;!%ba"</f>
        <v>#VALUE!</v>
      </c>
      <c r="FE83" t="e">
        <f>'All regions'!J2074+"n/&gt;!%bb"</f>
        <v>#VALUE!</v>
      </c>
      <c r="FF83" t="e">
        <f>'All regions'!A2075+"n/&gt;!%bc"</f>
        <v>#VALUE!</v>
      </c>
      <c r="FG83" t="e">
        <f>'All regions'!B2075+"n/&gt;!%bd"</f>
        <v>#VALUE!</v>
      </c>
      <c r="FH83" t="e">
        <f>'All regions'!C2075+"n/&gt;!%be"</f>
        <v>#VALUE!</v>
      </c>
      <c r="FI83" t="e">
        <f>'All regions'!D2075+"n/&gt;!%bf"</f>
        <v>#VALUE!</v>
      </c>
      <c r="FJ83" t="e">
        <f>'All regions'!E2075+"n/&gt;!%bg"</f>
        <v>#VALUE!</v>
      </c>
      <c r="FK83" t="e">
        <f>'All regions'!F2075+"n/&gt;!%bh"</f>
        <v>#VALUE!</v>
      </c>
      <c r="FL83" t="e">
        <f>'All regions'!G2075+"n/&gt;!%bi"</f>
        <v>#VALUE!</v>
      </c>
      <c r="FM83" t="e">
        <f>'All regions'!H2075+"n/&gt;!%bj"</f>
        <v>#VALUE!</v>
      </c>
      <c r="FN83" t="e">
        <f>'All regions'!I2075+"n/&gt;!%bk"</f>
        <v>#VALUE!</v>
      </c>
      <c r="FO83" t="e">
        <f>'All regions'!J2075+"n/&gt;!%bl"</f>
        <v>#VALUE!</v>
      </c>
      <c r="FP83" t="e">
        <f>'All regions'!A2076+"n/&gt;!%bm"</f>
        <v>#VALUE!</v>
      </c>
      <c r="FQ83" t="e">
        <f>'All regions'!B2076+"n/&gt;!%bn"</f>
        <v>#VALUE!</v>
      </c>
      <c r="FR83" t="e">
        <f>'All regions'!C2076+"n/&gt;!%bo"</f>
        <v>#VALUE!</v>
      </c>
      <c r="FS83" t="e">
        <f>'All regions'!D2076+"n/&gt;!%bp"</f>
        <v>#VALUE!</v>
      </c>
      <c r="FT83" t="e">
        <f>'All regions'!E2076+"n/&gt;!%bq"</f>
        <v>#VALUE!</v>
      </c>
      <c r="FU83" t="e">
        <f>'All regions'!F2076+"n/&gt;!%br"</f>
        <v>#VALUE!</v>
      </c>
      <c r="FV83" t="e">
        <f>'All regions'!G2076+"n/&gt;!%bs"</f>
        <v>#VALUE!</v>
      </c>
      <c r="FW83" t="e">
        <f>'All regions'!H2076+"n/&gt;!%bt"</f>
        <v>#VALUE!</v>
      </c>
      <c r="FX83" t="e">
        <f>'All regions'!I2076+"n/&gt;!%bu"</f>
        <v>#VALUE!</v>
      </c>
      <c r="FY83" t="e">
        <f>'All regions'!J2076+"n/&gt;!%bv"</f>
        <v>#VALUE!</v>
      </c>
      <c r="FZ83" t="e">
        <f>'All regions'!A2077+"n/&gt;!%bw"</f>
        <v>#VALUE!</v>
      </c>
      <c r="GA83" t="e">
        <f>'All regions'!B2077+"n/&gt;!%bx"</f>
        <v>#VALUE!</v>
      </c>
      <c r="GB83" t="e">
        <f>'All regions'!C2077+"n/&gt;!%by"</f>
        <v>#VALUE!</v>
      </c>
      <c r="GC83" t="e">
        <f>'All regions'!D2077+"n/&gt;!%bz"</f>
        <v>#VALUE!</v>
      </c>
      <c r="GD83" t="e">
        <f>'All regions'!E2077+"n/&gt;!%b{"</f>
        <v>#VALUE!</v>
      </c>
      <c r="GE83" t="e">
        <f>'All regions'!F2077+"n/&gt;!%b|"</f>
        <v>#VALUE!</v>
      </c>
      <c r="GF83" t="e">
        <f>'All regions'!G2077+"n/&gt;!%b}"</f>
        <v>#VALUE!</v>
      </c>
      <c r="GG83" t="e">
        <f>'All regions'!H2077+"n/&gt;!%b~"</f>
        <v>#VALUE!</v>
      </c>
      <c r="GH83" t="e">
        <f>'All regions'!I2077+"n/&gt;!%c#"</f>
        <v>#VALUE!</v>
      </c>
      <c r="GI83" t="e">
        <f>'All regions'!J2077+"n/&gt;!%c$"</f>
        <v>#VALUE!</v>
      </c>
      <c r="GJ83" t="e">
        <f>'All regions'!A2078+"n/&gt;!%c%"</f>
        <v>#VALUE!</v>
      </c>
      <c r="GK83" t="e">
        <f>'All regions'!B2078+"n/&gt;!%c&amp;"</f>
        <v>#VALUE!</v>
      </c>
      <c r="GL83" t="e">
        <f>'All regions'!C2078+"n/&gt;!%c'"</f>
        <v>#VALUE!</v>
      </c>
      <c r="GM83" t="e">
        <f>'All regions'!D2078+"n/&gt;!%c("</f>
        <v>#VALUE!</v>
      </c>
      <c r="GN83" t="e">
        <f>'All regions'!E2078+"n/&gt;!%c)"</f>
        <v>#VALUE!</v>
      </c>
      <c r="GO83" t="e">
        <f>'All regions'!F2078+"n/&gt;!%c."</f>
        <v>#VALUE!</v>
      </c>
      <c r="GP83" t="e">
        <f>'All regions'!G2078+"n/&gt;!%c/"</f>
        <v>#VALUE!</v>
      </c>
      <c r="GQ83" t="e">
        <f>'All regions'!H2078+"n/&gt;!%c0"</f>
        <v>#VALUE!</v>
      </c>
      <c r="GR83" t="e">
        <f>'All regions'!I2078+"n/&gt;!%c1"</f>
        <v>#VALUE!</v>
      </c>
      <c r="GS83" t="e">
        <f>'All regions'!J2078+"n/&gt;!%c2"</f>
        <v>#VALUE!</v>
      </c>
      <c r="GT83" t="e">
        <f>'All regions'!A2079+"n/&gt;!%c3"</f>
        <v>#VALUE!</v>
      </c>
      <c r="GU83" t="e">
        <f>'All regions'!B2079+"n/&gt;!%c4"</f>
        <v>#VALUE!</v>
      </c>
      <c r="GV83" t="e">
        <f>'All regions'!C2079+"n/&gt;!%c5"</f>
        <v>#VALUE!</v>
      </c>
      <c r="GW83" t="e">
        <f>'All regions'!D2079+"n/&gt;!%c6"</f>
        <v>#VALUE!</v>
      </c>
      <c r="GX83" t="e">
        <f>'All regions'!E2079+"n/&gt;!%c7"</f>
        <v>#VALUE!</v>
      </c>
      <c r="GY83" t="e">
        <f>'All regions'!F2079+"n/&gt;!%c8"</f>
        <v>#VALUE!</v>
      </c>
      <c r="GZ83" t="e">
        <f>'All regions'!G2079+"n/&gt;!%c9"</f>
        <v>#VALUE!</v>
      </c>
      <c r="HA83" t="e">
        <f>'All regions'!H2079+"n/&gt;!%c:"</f>
        <v>#VALUE!</v>
      </c>
      <c r="HB83" t="e">
        <f>'All regions'!I2079+"n/&gt;!%c;"</f>
        <v>#VALUE!</v>
      </c>
      <c r="HC83" t="e">
        <f>'All regions'!J2079+"n/&gt;!%c&lt;"</f>
        <v>#VALUE!</v>
      </c>
      <c r="HD83" t="e">
        <f>'All regions'!A2080+"n/&gt;!%c="</f>
        <v>#VALUE!</v>
      </c>
      <c r="HE83" t="e">
        <f>'All regions'!B2080+"n/&gt;!%c&gt;"</f>
        <v>#VALUE!</v>
      </c>
      <c r="HF83" t="e">
        <f>'All regions'!C2080+"n/&gt;!%c?"</f>
        <v>#VALUE!</v>
      </c>
      <c r="HG83" t="e">
        <f>'All regions'!D2080+"n/&gt;!%c@"</f>
        <v>#VALUE!</v>
      </c>
      <c r="HH83" t="e">
        <f>'All regions'!E2080+"n/&gt;!%cA"</f>
        <v>#VALUE!</v>
      </c>
      <c r="HI83" t="e">
        <f>'All regions'!F2080+"n/&gt;!%cB"</f>
        <v>#VALUE!</v>
      </c>
      <c r="HJ83" t="e">
        <f>'All regions'!G2080+"n/&gt;!%cC"</f>
        <v>#VALUE!</v>
      </c>
      <c r="HK83" t="e">
        <f>'All regions'!H2080+"n/&gt;!%cD"</f>
        <v>#VALUE!</v>
      </c>
      <c r="HL83" t="e">
        <f>'All regions'!I2080+"n/&gt;!%cE"</f>
        <v>#VALUE!</v>
      </c>
      <c r="HM83" t="e">
        <f>'All regions'!J2080+"n/&gt;!%cF"</f>
        <v>#VALUE!</v>
      </c>
      <c r="HN83" t="e">
        <f>'All regions'!A2081+"n/&gt;!%cG"</f>
        <v>#VALUE!</v>
      </c>
      <c r="HO83" t="e">
        <f>'All regions'!B2081+"n/&gt;!%cH"</f>
        <v>#VALUE!</v>
      </c>
      <c r="HP83" t="e">
        <f>'All regions'!C2081+"n/&gt;!%cI"</f>
        <v>#VALUE!</v>
      </c>
      <c r="HQ83" t="e">
        <f>'All regions'!D2081+"n/&gt;!%cJ"</f>
        <v>#VALUE!</v>
      </c>
      <c r="HR83" t="e">
        <f>'All regions'!E2081+"n/&gt;!%cK"</f>
        <v>#VALUE!</v>
      </c>
      <c r="HS83" t="e">
        <f>'All regions'!F2081+"n/&gt;!%cL"</f>
        <v>#VALUE!</v>
      </c>
      <c r="HT83" t="e">
        <f>'All regions'!G2081+"n/&gt;!%cM"</f>
        <v>#VALUE!</v>
      </c>
      <c r="HU83" t="e">
        <f>'All regions'!H2081+"n/&gt;!%cN"</f>
        <v>#VALUE!</v>
      </c>
      <c r="HV83" t="e">
        <f>'All regions'!I2081+"n/&gt;!%cO"</f>
        <v>#VALUE!</v>
      </c>
      <c r="HW83" t="e">
        <f>'All regions'!J2081+"n/&gt;!%cP"</f>
        <v>#VALUE!</v>
      </c>
      <c r="HX83" t="e">
        <f>'All regions'!A2082+"n/&gt;!%cQ"</f>
        <v>#VALUE!</v>
      </c>
      <c r="HY83" t="e">
        <f>'All regions'!B2082+"n/&gt;!%cR"</f>
        <v>#VALUE!</v>
      </c>
      <c r="HZ83" t="e">
        <f>'All regions'!C2082+"n/&gt;!%cS"</f>
        <v>#VALUE!</v>
      </c>
      <c r="IA83" t="e">
        <f>'All regions'!D2082+"n/&gt;!%cT"</f>
        <v>#VALUE!</v>
      </c>
      <c r="IB83" t="e">
        <f>'All regions'!E2082+"n/&gt;!%cU"</f>
        <v>#VALUE!</v>
      </c>
      <c r="IC83" t="e">
        <f>'All regions'!F2082+"n/&gt;!%cV"</f>
        <v>#VALUE!</v>
      </c>
      <c r="ID83" t="e">
        <f>'All regions'!G2082+"n/&gt;!%cW"</f>
        <v>#VALUE!</v>
      </c>
      <c r="IE83" t="e">
        <f>'All regions'!H2082+"n/&gt;!%cX"</f>
        <v>#VALUE!</v>
      </c>
      <c r="IF83" t="e">
        <f>'All regions'!I2082+"n/&gt;!%cY"</f>
        <v>#VALUE!</v>
      </c>
      <c r="IG83" t="e">
        <f>'All regions'!J2082+"n/&gt;!%cZ"</f>
        <v>#VALUE!</v>
      </c>
      <c r="IH83" t="e">
        <f>'All regions'!A2083+"n/&gt;!%c["</f>
        <v>#VALUE!</v>
      </c>
      <c r="II83" t="e">
        <f>'All regions'!B2083+"n/&gt;!%c\"</f>
        <v>#VALUE!</v>
      </c>
      <c r="IJ83" t="e">
        <f>'All regions'!C2083+"n/&gt;!%c]"</f>
        <v>#VALUE!</v>
      </c>
      <c r="IK83" t="e">
        <f>'All regions'!D2083+"n/&gt;!%c^"</f>
        <v>#VALUE!</v>
      </c>
      <c r="IL83" t="e">
        <f>'All regions'!E2083+"n/&gt;!%c_"</f>
        <v>#VALUE!</v>
      </c>
      <c r="IM83" t="e">
        <f>'All regions'!F2083+"n/&gt;!%c`"</f>
        <v>#VALUE!</v>
      </c>
      <c r="IN83" t="e">
        <f>'All regions'!G2083+"n/&gt;!%ca"</f>
        <v>#VALUE!</v>
      </c>
      <c r="IO83" t="e">
        <f>'All regions'!H2083+"n/&gt;!%cb"</f>
        <v>#VALUE!</v>
      </c>
      <c r="IP83" t="e">
        <f>'All regions'!I2083+"n/&gt;!%cc"</f>
        <v>#VALUE!</v>
      </c>
      <c r="IQ83" t="e">
        <f>'All regions'!J2083+"n/&gt;!%cd"</f>
        <v>#VALUE!</v>
      </c>
      <c r="IR83" t="e">
        <f>'All regions'!A2084+"n/&gt;!%ce"</f>
        <v>#VALUE!</v>
      </c>
      <c r="IS83" t="e">
        <f>'All regions'!B2084+"n/&gt;!%cf"</f>
        <v>#VALUE!</v>
      </c>
      <c r="IT83" t="e">
        <f>'All regions'!C2084+"n/&gt;!%cg"</f>
        <v>#VALUE!</v>
      </c>
      <c r="IU83" t="e">
        <f>'All regions'!D2084+"n/&gt;!%ch"</f>
        <v>#VALUE!</v>
      </c>
      <c r="IV83" t="e">
        <f>'All regions'!E2084+"n/&gt;!%ci"</f>
        <v>#VALUE!</v>
      </c>
    </row>
    <row r="84" spans="6:256" x14ac:dyDescent="0.35">
      <c r="F84" t="e">
        <f>'All regions'!F2084+"n/&gt;!%cj"</f>
        <v>#VALUE!</v>
      </c>
      <c r="G84" t="e">
        <f>'All regions'!G2084+"n/&gt;!%ck"</f>
        <v>#VALUE!</v>
      </c>
      <c r="H84" t="e">
        <f>'All regions'!H2084+"n/&gt;!%cl"</f>
        <v>#VALUE!</v>
      </c>
      <c r="I84" t="e">
        <f>'All regions'!I2084+"n/&gt;!%cm"</f>
        <v>#VALUE!</v>
      </c>
      <c r="J84" t="e">
        <f>'All regions'!J2084+"n/&gt;!%cn"</f>
        <v>#VALUE!</v>
      </c>
      <c r="K84" t="e">
        <f>'All regions'!A2085+"n/&gt;!%co"</f>
        <v>#VALUE!</v>
      </c>
      <c r="L84" t="e">
        <f>'All regions'!B2085+"n/&gt;!%cp"</f>
        <v>#VALUE!</v>
      </c>
      <c r="M84" t="e">
        <f>'All regions'!C2085+"n/&gt;!%cq"</f>
        <v>#VALUE!</v>
      </c>
      <c r="N84" t="e">
        <f>'All regions'!D2085+"n/&gt;!%cr"</f>
        <v>#VALUE!</v>
      </c>
      <c r="O84" t="e">
        <f>'All regions'!E2085+"n/&gt;!%cs"</f>
        <v>#VALUE!</v>
      </c>
      <c r="P84" t="e">
        <f>'All regions'!F2085+"n/&gt;!%ct"</f>
        <v>#VALUE!</v>
      </c>
      <c r="Q84" t="e">
        <f>'All regions'!G2085+"n/&gt;!%cu"</f>
        <v>#VALUE!</v>
      </c>
      <c r="R84" t="e">
        <f>'All regions'!H2085+"n/&gt;!%cv"</f>
        <v>#VALUE!</v>
      </c>
      <c r="S84" t="e">
        <f>'All regions'!I2085+"n/&gt;!%cw"</f>
        <v>#VALUE!</v>
      </c>
      <c r="T84" t="e">
        <f>'All regions'!J2085+"n/&gt;!%cx"</f>
        <v>#VALUE!</v>
      </c>
      <c r="U84" t="e">
        <f>'All regions'!A2086+"n/&gt;!%cy"</f>
        <v>#VALUE!</v>
      </c>
      <c r="V84" t="e">
        <f>'All regions'!B2086+"n/&gt;!%cz"</f>
        <v>#VALUE!</v>
      </c>
      <c r="W84" t="e">
        <f>'All regions'!C2086+"n/&gt;!%c{"</f>
        <v>#VALUE!</v>
      </c>
      <c r="X84" t="e">
        <f>'All regions'!D2086+"n/&gt;!%c|"</f>
        <v>#VALUE!</v>
      </c>
      <c r="Y84" t="e">
        <f>'All regions'!E2086+"n/&gt;!%c}"</f>
        <v>#VALUE!</v>
      </c>
      <c r="Z84" t="e">
        <f>'All regions'!F2086+"n/&gt;!%c~"</f>
        <v>#VALUE!</v>
      </c>
      <c r="AA84" t="e">
        <f>'All regions'!G2086+"n/&gt;!%d#"</f>
        <v>#VALUE!</v>
      </c>
      <c r="AB84" t="e">
        <f>'All regions'!H2086+"n/&gt;!%d$"</f>
        <v>#VALUE!</v>
      </c>
      <c r="AC84" t="e">
        <f>'All regions'!I2086+"n/&gt;!%d%"</f>
        <v>#VALUE!</v>
      </c>
      <c r="AD84" t="e">
        <f>'All regions'!J2086+"n/&gt;!%d&amp;"</f>
        <v>#VALUE!</v>
      </c>
      <c r="AE84" t="e">
        <f>'All regions'!A2087+"n/&gt;!%d'"</f>
        <v>#VALUE!</v>
      </c>
      <c r="AF84" t="e">
        <f>'All regions'!B2087+"n/&gt;!%d("</f>
        <v>#VALUE!</v>
      </c>
      <c r="AG84" t="e">
        <f>'All regions'!C2087+"n/&gt;!%d)"</f>
        <v>#VALUE!</v>
      </c>
      <c r="AH84" t="e">
        <f>'All regions'!D2087+"n/&gt;!%d."</f>
        <v>#VALUE!</v>
      </c>
      <c r="AI84" t="e">
        <f>'All regions'!E2087+"n/&gt;!%d/"</f>
        <v>#VALUE!</v>
      </c>
      <c r="AJ84" t="e">
        <f>'All regions'!F2087+"n/&gt;!%d0"</f>
        <v>#VALUE!</v>
      </c>
      <c r="AK84" t="e">
        <f>'All regions'!G2087+"n/&gt;!%d1"</f>
        <v>#VALUE!</v>
      </c>
      <c r="AL84" t="e">
        <f>'All regions'!H2087+"n/&gt;!%d2"</f>
        <v>#VALUE!</v>
      </c>
      <c r="AM84" t="e">
        <f>'All regions'!I2087+"n/&gt;!%d3"</f>
        <v>#VALUE!</v>
      </c>
      <c r="AN84" t="e">
        <f>'All regions'!J2087+"n/&gt;!%d4"</f>
        <v>#VALUE!</v>
      </c>
      <c r="AO84" t="e">
        <f>'All regions'!A2088+"n/&gt;!%d5"</f>
        <v>#VALUE!</v>
      </c>
      <c r="AP84" t="e">
        <f>'All regions'!B2088+"n/&gt;!%d6"</f>
        <v>#VALUE!</v>
      </c>
      <c r="AQ84" t="e">
        <f>'All regions'!C2088+"n/&gt;!%d7"</f>
        <v>#VALUE!</v>
      </c>
      <c r="AR84" t="e">
        <f>'All regions'!D2088+"n/&gt;!%d8"</f>
        <v>#VALUE!</v>
      </c>
      <c r="AS84" t="e">
        <f>'All regions'!E2088+"n/&gt;!%d9"</f>
        <v>#VALUE!</v>
      </c>
      <c r="AT84" t="e">
        <f>'All regions'!F2088+"n/&gt;!%d:"</f>
        <v>#VALUE!</v>
      </c>
      <c r="AU84" t="e">
        <f>'All regions'!G2088+"n/&gt;!%d;"</f>
        <v>#VALUE!</v>
      </c>
      <c r="AV84" t="e">
        <f>'All regions'!H2088+"n/&gt;!%d&lt;"</f>
        <v>#VALUE!</v>
      </c>
      <c r="AW84" t="e">
        <f>'All regions'!I2088+"n/&gt;!%d="</f>
        <v>#VALUE!</v>
      </c>
      <c r="AX84" t="e">
        <f>'All regions'!J2088+"n/&gt;!%d&gt;"</f>
        <v>#VALUE!</v>
      </c>
      <c r="AY84" t="e">
        <f>'All regions'!A2089+"n/&gt;!%d?"</f>
        <v>#VALUE!</v>
      </c>
      <c r="AZ84" t="e">
        <f>'All regions'!B2089+"n/&gt;!%d@"</f>
        <v>#VALUE!</v>
      </c>
      <c r="BA84" t="e">
        <f>'All regions'!C2089+"n/&gt;!%dA"</f>
        <v>#VALUE!</v>
      </c>
      <c r="BB84" t="e">
        <f>'All regions'!D2089+"n/&gt;!%dB"</f>
        <v>#VALUE!</v>
      </c>
      <c r="BC84" t="e">
        <f>'All regions'!E2089+"n/&gt;!%dC"</f>
        <v>#VALUE!</v>
      </c>
      <c r="BD84" t="e">
        <f>'All regions'!F2089+"n/&gt;!%dD"</f>
        <v>#VALUE!</v>
      </c>
      <c r="BE84" t="e">
        <f>'All regions'!G2089+"n/&gt;!%dE"</f>
        <v>#VALUE!</v>
      </c>
      <c r="BF84" t="e">
        <f>'All regions'!H2089+"n/&gt;!%dF"</f>
        <v>#VALUE!</v>
      </c>
      <c r="BG84" t="e">
        <f>'All regions'!I2089+"n/&gt;!%dG"</f>
        <v>#VALUE!</v>
      </c>
      <c r="BH84" t="e">
        <f>'All regions'!J2089+"n/&gt;!%dH"</f>
        <v>#VALUE!</v>
      </c>
      <c r="BI84" t="e">
        <f>'All regions'!A2090+"n/&gt;!%dI"</f>
        <v>#VALUE!</v>
      </c>
      <c r="BJ84" t="e">
        <f>'All regions'!B2090+"n/&gt;!%dJ"</f>
        <v>#VALUE!</v>
      </c>
      <c r="BK84" t="e">
        <f>'All regions'!C2090+"n/&gt;!%dK"</f>
        <v>#VALUE!</v>
      </c>
      <c r="BL84" t="e">
        <f>'All regions'!D2090+"n/&gt;!%dL"</f>
        <v>#VALUE!</v>
      </c>
      <c r="BM84" t="e">
        <f>'All regions'!E2090+"n/&gt;!%dM"</f>
        <v>#VALUE!</v>
      </c>
      <c r="BN84" t="e">
        <f>'All regions'!F2090+"n/&gt;!%dN"</f>
        <v>#VALUE!</v>
      </c>
      <c r="BO84" t="e">
        <f>'All regions'!G2090+"n/&gt;!%dO"</f>
        <v>#VALUE!</v>
      </c>
      <c r="BP84" t="e">
        <f>'All regions'!H2090+"n/&gt;!%dP"</f>
        <v>#VALUE!</v>
      </c>
      <c r="BQ84" t="e">
        <f>'All regions'!I2090+"n/&gt;!%dQ"</f>
        <v>#VALUE!</v>
      </c>
      <c r="BR84" t="e">
        <f>'All regions'!J2090+"n/&gt;!%dR"</f>
        <v>#VALUE!</v>
      </c>
      <c r="BS84" t="e">
        <f>'All regions'!A2091+"n/&gt;!%dS"</f>
        <v>#VALUE!</v>
      </c>
      <c r="BT84" t="e">
        <f>'All regions'!B2091+"n/&gt;!%dT"</f>
        <v>#VALUE!</v>
      </c>
      <c r="BU84" t="e">
        <f>'All regions'!C2091+"n/&gt;!%dU"</f>
        <v>#VALUE!</v>
      </c>
      <c r="BV84" t="e">
        <f>'All regions'!D2091+"n/&gt;!%dV"</f>
        <v>#VALUE!</v>
      </c>
      <c r="BW84" t="e">
        <f>'All regions'!E2091+"n/&gt;!%dW"</f>
        <v>#VALUE!</v>
      </c>
      <c r="BX84" t="e">
        <f>'All regions'!F2091+"n/&gt;!%dX"</f>
        <v>#VALUE!</v>
      </c>
      <c r="BY84" t="e">
        <f>'All regions'!G2091+"n/&gt;!%dY"</f>
        <v>#VALUE!</v>
      </c>
      <c r="BZ84" t="e">
        <f>'All regions'!H2091+"n/&gt;!%dZ"</f>
        <v>#VALUE!</v>
      </c>
      <c r="CA84" t="e">
        <f>'All regions'!I2091+"n/&gt;!%d["</f>
        <v>#VALUE!</v>
      </c>
      <c r="CB84" t="e">
        <f>'All regions'!J2091+"n/&gt;!%d\"</f>
        <v>#VALUE!</v>
      </c>
      <c r="CC84" t="e">
        <f>'All regions'!A2092+"n/&gt;!%d]"</f>
        <v>#VALUE!</v>
      </c>
      <c r="CD84" t="e">
        <f>'All regions'!B2092+"n/&gt;!%d^"</f>
        <v>#VALUE!</v>
      </c>
      <c r="CE84" t="e">
        <f>'All regions'!C2092+"n/&gt;!%d_"</f>
        <v>#VALUE!</v>
      </c>
      <c r="CF84" t="e">
        <f>'All regions'!D2092+"n/&gt;!%d`"</f>
        <v>#VALUE!</v>
      </c>
      <c r="CG84" t="e">
        <f>'All regions'!E2092+"n/&gt;!%da"</f>
        <v>#VALUE!</v>
      </c>
      <c r="CH84" t="e">
        <f>'All regions'!F2092+"n/&gt;!%db"</f>
        <v>#VALUE!</v>
      </c>
      <c r="CI84" t="e">
        <f>'All regions'!G2092+"n/&gt;!%dc"</f>
        <v>#VALUE!</v>
      </c>
      <c r="CJ84" t="e">
        <f>'All regions'!H2092+"n/&gt;!%dd"</f>
        <v>#VALUE!</v>
      </c>
      <c r="CK84" t="e">
        <f>'All regions'!I2092+"n/&gt;!%de"</f>
        <v>#VALUE!</v>
      </c>
      <c r="CL84" t="e">
        <f>'All regions'!J2092+"n/&gt;!%df"</f>
        <v>#VALUE!</v>
      </c>
      <c r="CM84" t="e">
        <f>'All regions'!A2093+"n/&gt;!%dg"</f>
        <v>#VALUE!</v>
      </c>
      <c r="CN84" t="e">
        <f>'All regions'!B2093+"n/&gt;!%dh"</f>
        <v>#VALUE!</v>
      </c>
      <c r="CO84" t="e">
        <f>'All regions'!C2093+"n/&gt;!%di"</f>
        <v>#VALUE!</v>
      </c>
      <c r="CP84" t="e">
        <f>'All regions'!D2093+"n/&gt;!%dj"</f>
        <v>#VALUE!</v>
      </c>
      <c r="CQ84" t="e">
        <f>'All regions'!E2093+"n/&gt;!%dk"</f>
        <v>#VALUE!</v>
      </c>
      <c r="CR84" t="e">
        <f>'All regions'!F2093+"n/&gt;!%dl"</f>
        <v>#VALUE!</v>
      </c>
      <c r="CS84" t="e">
        <f>'All regions'!G2093+"n/&gt;!%dm"</f>
        <v>#VALUE!</v>
      </c>
      <c r="CT84" t="e">
        <f>'All regions'!H2093+"n/&gt;!%dn"</f>
        <v>#VALUE!</v>
      </c>
      <c r="CU84" t="e">
        <f>'All regions'!I2093+"n/&gt;!%do"</f>
        <v>#VALUE!</v>
      </c>
      <c r="CV84" t="e">
        <f>'All regions'!J2093+"n/&gt;!%dp"</f>
        <v>#VALUE!</v>
      </c>
      <c r="CW84" t="e">
        <f>'All regions'!A2094+"n/&gt;!%dq"</f>
        <v>#VALUE!</v>
      </c>
      <c r="CX84" t="e">
        <f>'All regions'!B2094+"n/&gt;!%dr"</f>
        <v>#VALUE!</v>
      </c>
      <c r="CY84" t="e">
        <f>'All regions'!C2094+"n/&gt;!%ds"</f>
        <v>#VALUE!</v>
      </c>
      <c r="CZ84" t="e">
        <f>'All regions'!D2094+"n/&gt;!%dt"</f>
        <v>#VALUE!</v>
      </c>
      <c r="DA84" t="e">
        <f>'All regions'!E2094+"n/&gt;!%du"</f>
        <v>#VALUE!</v>
      </c>
      <c r="DB84" t="e">
        <f>'All regions'!F2094+"n/&gt;!%dv"</f>
        <v>#VALUE!</v>
      </c>
      <c r="DC84" t="e">
        <f>'All regions'!G2094+"n/&gt;!%dw"</f>
        <v>#VALUE!</v>
      </c>
      <c r="DD84" t="e">
        <f>'All regions'!H2094+"n/&gt;!%dx"</f>
        <v>#VALUE!</v>
      </c>
      <c r="DE84" t="e">
        <f>'All regions'!I2094+"n/&gt;!%dy"</f>
        <v>#VALUE!</v>
      </c>
      <c r="DF84" t="e">
        <f>'All regions'!J2094+"n/&gt;!%dz"</f>
        <v>#VALUE!</v>
      </c>
      <c r="DG84" t="e">
        <f>'All regions'!A2095+"n/&gt;!%d{"</f>
        <v>#VALUE!</v>
      </c>
      <c r="DH84" t="e">
        <f>'All regions'!B2095+"n/&gt;!%d|"</f>
        <v>#VALUE!</v>
      </c>
      <c r="DI84" t="e">
        <f>'All regions'!C2095+"n/&gt;!%d}"</f>
        <v>#VALUE!</v>
      </c>
      <c r="DJ84" t="e">
        <f>'All regions'!D2095+"n/&gt;!%d~"</f>
        <v>#VALUE!</v>
      </c>
      <c r="DK84" t="e">
        <f>'All regions'!E2095+"n/&gt;!%e#"</f>
        <v>#VALUE!</v>
      </c>
      <c r="DL84" t="e">
        <f>'All regions'!F2095+"n/&gt;!%e$"</f>
        <v>#VALUE!</v>
      </c>
      <c r="DM84" t="e">
        <f>'All regions'!G2095+"n/&gt;!%e%"</f>
        <v>#VALUE!</v>
      </c>
      <c r="DN84" t="e">
        <f>'All regions'!H2095+"n/&gt;!%e&amp;"</f>
        <v>#VALUE!</v>
      </c>
      <c r="DO84" t="e">
        <f>'All regions'!I2095+"n/&gt;!%e'"</f>
        <v>#VALUE!</v>
      </c>
      <c r="DP84" t="e">
        <f>'All regions'!J2095+"n/&gt;!%e("</f>
        <v>#VALUE!</v>
      </c>
      <c r="DQ84" t="e">
        <f>'All regions'!A2096+"n/&gt;!%e)"</f>
        <v>#VALUE!</v>
      </c>
      <c r="DR84" t="e">
        <f>'All regions'!B2096+"n/&gt;!%e."</f>
        <v>#VALUE!</v>
      </c>
      <c r="DS84" t="e">
        <f>'All regions'!C2096+"n/&gt;!%e/"</f>
        <v>#VALUE!</v>
      </c>
      <c r="DT84" t="e">
        <f>'All regions'!D2096+"n/&gt;!%e0"</f>
        <v>#VALUE!</v>
      </c>
      <c r="DU84" t="e">
        <f>'All regions'!E2096+"n/&gt;!%e1"</f>
        <v>#VALUE!</v>
      </c>
      <c r="DV84" t="e">
        <f>'All regions'!F2096+"n/&gt;!%e2"</f>
        <v>#VALUE!</v>
      </c>
      <c r="DW84" t="e">
        <f>'All regions'!G2096+"n/&gt;!%e3"</f>
        <v>#VALUE!</v>
      </c>
      <c r="DX84" t="e">
        <f>'All regions'!H2096+"n/&gt;!%e4"</f>
        <v>#VALUE!</v>
      </c>
      <c r="DY84" t="e">
        <f>'All regions'!I2096+"n/&gt;!%e5"</f>
        <v>#VALUE!</v>
      </c>
      <c r="DZ84" t="e">
        <f>'All regions'!J2096+"n/&gt;!%e6"</f>
        <v>#VALUE!</v>
      </c>
      <c r="EA84" t="e">
        <f>'All regions'!A2097+"n/&gt;!%e7"</f>
        <v>#VALUE!</v>
      </c>
      <c r="EB84" t="e">
        <f>'All regions'!B2097+"n/&gt;!%e8"</f>
        <v>#VALUE!</v>
      </c>
      <c r="EC84" t="e">
        <f>'All regions'!C2097+"n/&gt;!%e9"</f>
        <v>#VALUE!</v>
      </c>
      <c r="ED84" t="e">
        <f>'All regions'!D2097+"n/&gt;!%e:"</f>
        <v>#VALUE!</v>
      </c>
      <c r="EE84" t="e">
        <f>'All regions'!E2097+"n/&gt;!%e;"</f>
        <v>#VALUE!</v>
      </c>
      <c r="EF84" t="e">
        <f>'All regions'!F2097+"n/&gt;!%e&lt;"</f>
        <v>#VALUE!</v>
      </c>
      <c r="EG84" t="e">
        <f>'All regions'!G2097+"n/&gt;!%e="</f>
        <v>#VALUE!</v>
      </c>
      <c r="EH84" t="e">
        <f>'All regions'!H2097+"n/&gt;!%e&gt;"</f>
        <v>#VALUE!</v>
      </c>
      <c r="EI84" t="e">
        <f>'All regions'!I2097+"n/&gt;!%e?"</f>
        <v>#VALUE!</v>
      </c>
      <c r="EJ84" t="e">
        <f>'All regions'!J2097+"n/&gt;!%e@"</f>
        <v>#VALUE!</v>
      </c>
      <c r="EK84" t="e">
        <f>'All regions'!A2098+"n/&gt;!%eA"</f>
        <v>#VALUE!</v>
      </c>
      <c r="EL84" t="e">
        <f>'All regions'!B2098+"n/&gt;!%eB"</f>
        <v>#VALUE!</v>
      </c>
      <c r="EM84" t="e">
        <f>'All regions'!C2098+"n/&gt;!%eC"</f>
        <v>#VALUE!</v>
      </c>
      <c r="EN84" t="e">
        <f>'All regions'!D2098+"n/&gt;!%eD"</f>
        <v>#VALUE!</v>
      </c>
      <c r="EO84" t="e">
        <f>'All regions'!E2098+"n/&gt;!%eE"</f>
        <v>#VALUE!</v>
      </c>
      <c r="EP84" t="e">
        <f>'All regions'!F2098+"n/&gt;!%eF"</f>
        <v>#VALUE!</v>
      </c>
      <c r="EQ84" t="e">
        <f>'All regions'!G2098+"n/&gt;!%eG"</f>
        <v>#VALUE!</v>
      </c>
      <c r="ER84" t="e">
        <f>'All regions'!H2098+"n/&gt;!%eH"</f>
        <v>#VALUE!</v>
      </c>
      <c r="ES84" t="e">
        <f>'All regions'!I2098+"n/&gt;!%eI"</f>
        <v>#VALUE!</v>
      </c>
      <c r="ET84" t="e">
        <f>'All regions'!J2098+"n/&gt;!%eJ"</f>
        <v>#VALUE!</v>
      </c>
      <c r="EU84" t="e">
        <f>'All regions'!A2099+"n/&gt;!%eK"</f>
        <v>#VALUE!</v>
      </c>
      <c r="EV84" t="e">
        <f>'All regions'!B2099+"n/&gt;!%eL"</f>
        <v>#VALUE!</v>
      </c>
      <c r="EW84" t="e">
        <f>'All regions'!C2099+"n/&gt;!%eM"</f>
        <v>#VALUE!</v>
      </c>
      <c r="EX84" t="e">
        <f>'All regions'!D2099+"n/&gt;!%eN"</f>
        <v>#VALUE!</v>
      </c>
      <c r="EY84" t="e">
        <f>'All regions'!E2099+"n/&gt;!%eO"</f>
        <v>#VALUE!</v>
      </c>
      <c r="EZ84" t="e">
        <f>'All regions'!F2099+"n/&gt;!%eP"</f>
        <v>#VALUE!</v>
      </c>
      <c r="FA84" t="e">
        <f>'All regions'!G2099+"n/&gt;!%eQ"</f>
        <v>#VALUE!</v>
      </c>
      <c r="FB84" t="e">
        <f>'All regions'!H2099+"n/&gt;!%eR"</f>
        <v>#VALUE!</v>
      </c>
      <c r="FC84" t="e">
        <f>'All regions'!I2099+"n/&gt;!%eS"</f>
        <v>#VALUE!</v>
      </c>
      <c r="FD84" t="e">
        <f>'All regions'!J2099+"n/&gt;!%eT"</f>
        <v>#VALUE!</v>
      </c>
      <c r="FE84" t="e">
        <f>'All regions'!A2100+"n/&gt;!%eU"</f>
        <v>#VALUE!</v>
      </c>
      <c r="FF84" t="e">
        <f>'All regions'!B2100+"n/&gt;!%eV"</f>
        <v>#VALUE!</v>
      </c>
      <c r="FG84" t="e">
        <f>'All regions'!C2100+"n/&gt;!%eW"</f>
        <v>#VALUE!</v>
      </c>
      <c r="FH84" t="e">
        <f>'All regions'!D2100+"n/&gt;!%eX"</f>
        <v>#VALUE!</v>
      </c>
      <c r="FI84" t="e">
        <f>'All regions'!E2100+"n/&gt;!%eY"</f>
        <v>#VALUE!</v>
      </c>
      <c r="FJ84" t="e">
        <f>'All regions'!F2100+"n/&gt;!%eZ"</f>
        <v>#VALUE!</v>
      </c>
      <c r="FK84" t="e">
        <f>'All regions'!G2100+"n/&gt;!%e["</f>
        <v>#VALUE!</v>
      </c>
      <c r="FL84" t="e">
        <f>'All regions'!H2100+"n/&gt;!%e\"</f>
        <v>#VALUE!</v>
      </c>
      <c r="FM84" t="e">
        <f>'All regions'!I2100+"n/&gt;!%e]"</f>
        <v>#VALUE!</v>
      </c>
      <c r="FN84" t="e">
        <f>'All regions'!J2100+"n/&gt;!%e^"</f>
        <v>#VALUE!</v>
      </c>
      <c r="FO84" t="e">
        <f>'All regions'!A2101+"n/&gt;!%e_"</f>
        <v>#VALUE!</v>
      </c>
      <c r="FP84" t="e">
        <f>'All regions'!B2101+"n/&gt;!%e`"</f>
        <v>#VALUE!</v>
      </c>
      <c r="FQ84" t="e">
        <f>'All regions'!C2101+"n/&gt;!%ea"</f>
        <v>#VALUE!</v>
      </c>
      <c r="FR84" t="e">
        <f>'All regions'!D2101+"n/&gt;!%eb"</f>
        <v>#VALUE!</v>
      </c>
      <c r="FS84" t="e">
        <f>'All regions'!E2101+"n/&gt;!%ec"</f>
        <v>#VALUE!</v>
      </c>
      <c r="FT84" t="e">
        <f>'All regions'!F2101+"n/&gt;!%ed"</f>
        <v>#VALUE!</v>
      </c>
      <c r="FU84" t="e">
        <f>'All regions'!G2101+"n/&gt;!%ee"</f>
        <v>#VALUE!</v>
      </c>
      <c r="FV84" t="e">
        <f>'All regions'!H2101+"n/&gt;!%ef"</f>
        <v>#VALUE!</v>
      </c>
      <c r="FW84" t="e">
        <f>'All regions'!I2101+"n/&gt;!%eg"</f>
        <v>#VALUE!</v>
      </c>
      <c r="FX84" t="e">
        <f>'All regions'!J2101+"n/&gt;!%eh"</f>
        <v>#VALUE!</v>
      </c>
      <c r="FY84" t="e">
        <f>'All regions'!A2102+"n/&gt;!%ei"</f>
        <v>#VALUE!</v>
      </c>
      <c r="FZ84" t="e">
        <f>'All regions'!B2102+"n/&gt;!%ej"</f>
        <v>#VALUE!</v>
      </c>
      <c r="GA84" t="e">
        <f>'All regions'!C2102+"n/&gt;!%ek"</f>
        <v>#VALUE!</v>
      </c>
      <c r="GB84" t="e">
        <f>'All regions'!D2102+"n/&gt;!%el"</f>
        <v>#VALUE!</v>
      </c>
      <c r="GC84" t="e">
        <f>'All regions'!E2102+"n/&gt;!%em"</f>
        <v>#VALUE!</v>
      </c>
      <c r="GD84" t="e">
        <f>'All regions'!F2102+"n/&gt;!%en"</f>
        <v>#VALUE!</v>
      </c>
      <c r="GE84" t="e">
        <f>'All regions'!G2102+"n/&gt;!%eo"</f>
        <v>#VALUE!</v>
      </c>
      <c r="GF84" t="e">
        <f>'All regions'!H2102+"n/&gt;!%ep"</f>
        <v>#VALUE!</v>
      </c>
      <c r="GG84" t="e">
        <f>'All regions'!I2102+"n/&gt;!%eq"</f>
        <v>#VALUE!</v>
      </c>
      <c r="GH84" t="e">
        <f>'All regions'!J2102+"n/&gt;!%er"</f>
        <v>#VALUE!</v>
      </c>
      <c r="GI84" t="e">
        <f>'All regions'!A2103+"n/&gt;!%es"</f>
        <v>#VALUE!</v>
      </c>
      <c r="GJ84" t="e">
        <f>'All regions'!B2103+"n/&gt;!%et"</f>
        <v>#VALUE!</v>
      </c>
      <c r="GK84" t="e">
        <f>'All regions'!C2103+"n/&gt;!%eu"</f>
        <v>#VALUE!</v>
      </c>
      <c r="GL84" t="e">
        <f>'All regions'!D2103+"n/&gt;!%ev"</f>
        <v>#VALUE!</v>
      </c>
      <c r="GM84" t="e">
        <f>'All regions'!E2103+"n/&gt;!%ew"</f>
        <v>#VALUE!</v>
      </c>
      <c r="GN84" t="e">
        <f>'All regions'!F2103+"n/&gt;!%ex"</f>
        <v>#VALUE!</v>
      </c>
      <c r="GO84" t="e">
        <f>'All regions'!G2103+"n/&gt;!%ey"</f>
        <v>#VALUE!</v>
      </c>
      <c r="GP84" t="e">
        <f>'All regions'!H2103+"n/&gt;!%ez"</f>
        <v>#VALUE!</v>
      </c>
      <c r="GQ84" t="e">
        <f>'All regions'!I2103+"n/&gt;!%e{"</f>
        <v>#VALUE!</v>
      </c>
      <c r="GR84" t="e">
        <f>'All regions'!J2103+"n/&gt;!%e|"</f>
        <v>#VALUE!</v>
      </c>
      <c r="GS84" t="e">
        <f>'All regions'!A2104+"n/&gt;!%e}"</f>
        <v>#VALUE!</v>
      </c>
      <c r="GT84" t="e">
        <f>'All regions'!B2104+"n/&gt;!%e~"</f>
        <v>#VALUE!</v>
      </c>
      <c r="GU84" t="e">
        <f>'All regions'!C2104+"n/&gt;!%f#"</f>
        <v>#VALUE!</v>
      </c>
      <c r="GV84" t="e">
        <f>'All regions'!D2104+"n/&gt;!%f$"</f>
        <v>#VALUE!</v>
      </c>
      <c r="GW84" t="e">
        <f>'All regions'!E2104+"n/&gt;!%f%"</f>
        <v>#VALUE!</v>
      </c>
      <c r="GX84" t="e">
        <f>'All regions'!F2104+"n/&gt;!%f&amp;"</f>
        <v>#VALUE!</v>
      </c>
      <c r="GY84" t="e">
        <f>'All regions'!G2104+"n/&gt;!%f'"</f>
        <v>#VALUE!</v>
      </c>
      <c r="GZ84" t="e">
        <f>'All regions'!H2104+"n/&gt;!%f("</f>
        <v>#VALUE!</v>
      </c>
      <c r="HA84" t="e">
        <f>'All regions'!I2104+"n/&gt;!%f)"</f>
        <v>#VALUE!</v>
      </c>
      <c r="HB84" t="e">
        <f>'All regions'!J2104+"n/&gt;!%f."</f>
        <v>#VALUE!</v>
      </c>
      <c r="HC84" t="e">
        <f>'All regions'!A2105+"n/&gt;!%f/"</f>
        <v>#VALUE!</v>
      </c>
      <c r="HD84" t="e">
        <f>'All regions'!B2105+"n/&gt;!%f0"</f>
        <v>#VALUE!</v>
      </c>
      <c r="HE84" t="e">
        <f>'All regions'!C2105+"n/&gt;!%f1"</f>
        <v>#VALUE!</v>
      </c>
      <c r="HF84" t="e">
        <f>'All regions'!D2105+"n/&gt;!%f2"</f>
        <v>#VALUE!</v>
      </c>
      <c r="HG84" t="e">
        <f>'All regions'!E2105+"n/&gt;!%f3"</f>
        <v>#VALUE!</v>
      </c>
      <c r="HH84" t="e">
        <f>'All regions'!F2105+"n/&gt;!%f4"</f>
        <v>#VALUE!</v>
      </c>
      <c r="HI84" t="e">
        <f>'All regions'!G2105+"n/&gt;!%f5"</f>
        <v>#VALUE!</v>
      </c>
      <c r="HJ84" t="e">
        <f>'All regions'!H2105+"n/&gt;!%f6"</f>
        <v>#VALUE!</v>
      </c>
      <c r="HK84" t="e">
        <f>'All regions'!I2105+"n/&gt;!%f7"</f>
        <v>#VALUE!</v>
      </c>
      <c r="HL84" t="e">
        <f>'All regions'!J2105+"n/&gt;!%f8"</f>
        <v>#VALUE!</v>
      </c>
      <c r="HM84" t="e">
        <f>'All regions'!A2106+"n/&gt;!%f9"</f>
        <v>#VALUE!</v>
      </c>
      <c r="HN84" t="e">
        <f>'All regions'!B2106+"n/&gt;!%f:"</f>
        <v>#VALUE!</v>
      </c>
      <c r="HO84" t="e">
        <f>'All regions'!C2106+"n/&gt;!%f;"</f>
        <v>#VALUE!</v>
      </c>
      <c r="HP84" t="e">
        <f>'All regions'!D2106+"n/&gt;!%f&lt;"</f>
        <v>#VALUE!</v>
      </c>
      <c r="HQ84" t="e">
        <f>'All regions'!E2106+"n/&gt;!%f="</f>
        <v>#VALUE!</v>
      </c>
      <c r="HR84" t="e">
        <f>'All regions'!F2106+"n/&gt;!%f&gt;"</f>
        <v>#VALUE!</v>
      </c>
      <c r="HS84" t="e">
        <f>'All regions'!G2106+"n/&gt;!%f?"</f>
        <v>#VALUE!</v>
      </c>
      <c r="HT84" t="e">
        <f>'All regions'!H2106+"n/&gt;!%f@"</f>
        <v>#VALUE!</v>
      </c>
      <c r="HU84" t="e">
        <f>'All regions'!I2106+"n/&gt;!%fA"</f>
        <v>#VALUE!</v>
      </c>
      <c r="HV84" t="e">
        <f>'All regions'!J2106+"n/&gt;!%fB"</f>
        <v>#VALUE!</v>
      </c>
      <c r="HW84" t="e">
        <f>'All regions'!A2107+"n/&gt;!%fC"</f>
        <v>#VALUE!</v>
      </c>
      <c r="HX84" t="e">
        <f>'All regions'!B2107+"n/&gt;!%fD"</f>
        <v>#VALUE!</v>
      </c>
      <c r="HY84" t="e">
        <f>'All regions'!C2107+"n/&gt;!%fE"</f>
        <v>#VALUE!</v>
      </c>
      <c r="HZ84" t="e">
        <f>'All regions'!D2107+"n/&gt;!%fF"</f>
        <v>#VALUE!</v>
      </c>
      <c r="IA84" t="e">
        <f>'All regions'!E2107+"n/&gt;!%fG"</f>
        <v>#VALUE!</v>
      </c>
      <c r="IB84" t="e">
        <f>'All regions'!F2107+"n/&gt;!%fH"</f>
        <v>#VALUE!</v>
      </c>
      <c r="IC84" t="e">
        <f>'All regions'!G2107+"n/&gt;!%fI"</f>
        <v>#VALUE!</v>
      </c>
      <c r="ID84" t="e">
        <f>'All regions'!H2107+"n/&gt;!%fJ"</f>
        <v>#VALUE!</v>
      </c>
      <c r="IE84" t="e">
        <f>'All regions'!I2107+"n/&gt;!%fK"</f>
        <v>#VALUE!</v>
      </c>
      <c r="IF84" t="e">
        <f>'All regions'!J2107+"n/&gt;!%fL"</f>
        <v>#VALUE!</v>
      </c>
      <c r="IG84" t="e">
        <f>'All regions'!A2108+"n/&gt;!%fM"</f>
        <v>#VALUE!</v>
      </c>
      <c r="IH84" t="e">
        <f>'All regions'!B2108+"n/&gt;!%fN"</f>
        <v>#VALUE!</v>
      </c>
      <c r="II84" t="e">
        <f>'All regions'!C2108+"n/&gt;!%fO"</f>
        <v>#VALUE!</v>
      </c>
      <c r="IJ84" t="e">
        <f>'All regions'!D2108+"n/&gt;!%fP"</f>
        <v>#VALUE!</v>
      </c>
      <c r="IK84" t="e">
        <f>'All regions'!E2108+"n/&gt;!%fQ"</f>
        <v>#VALUE!</v>
      </c>
      <c r="IL84" t="e">
        <f>'All regions'!F2108+"n/&gt;!%fR"</f>
        <v>#VALUE!</v>
      </c>
      <c r="IM84" t="e">
        <f>'All regions'!G2108+"n/&gt;!%fS"</f>
        <v>#VALUE!</v>
      </c>
      <c r="IN84" t="e">
        <f>'All regions'!H2108+"n/&gt;!%fT"</f>
        <v>#VALUE!</v>
      </c>
      <c r="IO84" t="e">
        <f>'All regions'!I2108+"n/&gt;!%fU"</f>
        <v>#VALUE!</v>
      </c>
      <c r="IP84" t="e">
        <f>'All regions'!J2108+"n/&gt;!%fV"</f>
        <v>#VALUE!</v>
      </c>
      <c r="IQ84" t="e">
        <f>'All regions'!A2109+"n/&gt;!%fW"</f>
        <v>#VALUE!</v>
      </c>
      <c r="IR84" t="e">
        <f>'All regions'!B2109+"n/&gt;!%fX"</f>
        <v>#VALUE!</v>
      </c>
      <c r="IS84" t="e">
        <f>'All regions'!C2109+"n/&gt;!%fY"</f>
        <v>#VALUE!</v>
      </c>
      <c r="IT84" t="e">
        <f>'All regions'!D2109+"n/&gt;!%fZ"</f>
        <v>#VALUE!</v>
      </c>
      <c r="IU84" t="e">
        <f>'All regions'!E2109+"n/&gt;!%f["</f>
        <v>#VALUE!</v>
      </c>
      <c r="IV84" t="e">
        <f>'All regions'!F2109+"n/&gt;!%f\"</f>
        <v>#VALUE!</v>
      </c>
    </row>
    <row r="85" spans="6:256" x14ac:dyDescent="0.35">
      <c r="F85" t="e">
        <f>'All regions'!G2109+"n/&gt;!%f]"</f>
        <v>#VALUE!</v>
      </c>
      <c r="G85" t="e">
        <f>'All regions'!H2109+"n/&gt;!%f^"</f>
        <v>#VALUE!</v>
      </c>
      <c r="H85" t="e">
        <f>'All regions'!I2109+"n/&gt;!%f_"</f>
        <v>#VALUE!</v>
      </c>
      <c r="I85" t="e">
        <f>'All regions'!J2109+"n/&gt;!%f`"</f>
        <v>#VALUE!</v>
      </c>
      <c r="J85" t="e">
        <f>'All regions'!A2110+"n/&gt;!%fa"</f>
        <v>#VALUE!</v>
      </c>
      <c r="K85" t="e">
        <f>'All regions'!B2110+"n/&gt;!%fb"</f>
        <v>#VALUE!</v>
      </c>
      <c r="L85" t="e">
        <f>'All regions'!C2110+"n/&gt;!%fc"</f>
        <v>#VALUE!</v>
      </c>
      <c r="M85" t="e">
        <f>'All regions'!D2110+"n/&gt;!%fd"</f>
        <v>#VALUE!</v>
      </c>
      <c r="N85" t="e">
        <f>'All regions'!E2110+"n/&gt;!%fe"</f>
        <v>#VALUE!</v>
      </c>
      <c r="O85" t="e">
        <f>'All regions'!F2110+"n/&gt;!%ff"</f>
        <v>#VALUE!</v>
      </c>
      <c r="P85" t="e">
        <f>'All regions'!G2110+"n/&gt;!%fg"</f>
        <v>#VALUE!</v>
      </c>
      <c r="Q85" t="e">
        <f>'All regions'!H2110+"n/&gt;!%fh"</f>
        <v>#VALUE!</v>
      </c>
      <c r="R85" t="e">
        <f>'All regions'!I2110+"n/&gt;!%fi"</f>
        <v>#VALUE!</v>
      </c>
      <c r="S85" t="e">
        <f>'All regions'!J2110+"n/&gt;!%fj"</f>
        <v>#VALUE!</v>
      </c>
      <c r="T85" t="e">
        <f>'All regions'!A2111+"n/&gt;!%fk"</f>
        <v>#VALUE!</v>
      </c>
      <c r="U85" t="e">
        <f>'All regions'!B2111+"n/&gt;!%fl"</f>
        <v>#VALUE!</v>
      </c>
      <c r="V85" t="e">
        <f>'All regions'!C2111+"n/&gt;!%fm"</f>
        <v>#VALUE!</v>
      </c>
      <c r="W85" t="e">
        <f>'All regions'!D2111+"n/&gt;!%fn"</f>
        <v>#VALUE!</v>
      </c>
      <c r="X85" t="e">
        <f>'All regions'!E2111+"n/&gt;!%fo"</f>
        <v>#VALUE!</v>
      </c>
      <c r="Y85" t="e">
        <f>'All regions'!F2111+"n/&gt;!%fp"</f>
        <v>#VALUE!</v>
      </c>
      <c r="Z85" t="e">
        <f>'All regions'!G2111+"n/&gt;!%fq"</f>
        <v>#VALUE!</v>
      </c>
      <c r="AA85" t="e">
        <f>'All regions'!H2111+"n/&gt;!%fr"</f>
        <v>#VALUE!</v>
      </c>
      <c r="AB85" t="e">
        <f>'All regions'!I2111+"n/&gt;!%fs"</f>
        <v>#VALUE!</v>
      </c>
      <c r="AC85" t="e">
        <f>'All regions'!J2111+"n/&gt;!%ft"</f>
        <v>#VALUE!</v>
      </c>
      <c r="AD85" t="e">
        <f>'All regions'!A2112+"n/&gt;!%fu"</f>
        <v>#VALUE!</v>
      </c>
      <c r="AE85" t="e">
        <f>'All regions'!B2112+"n/&gt;!%fv"</f>
        <v>#VALUE!</v>
      </c>
      <c r="AF85" t="e">
        <f>'All regions'!C2112+"n/&gt;!%fw"</f>
        <v>#VALUE!</v>
      </c>
      <c r="AG85" t="e">
        <f>'All regions'!D2112+"n/&gt;!%fx"</f>
        <v>#VALUE!</v>
      </c>
      <c r="AH85" t="e">
        <f>'All regions'!E2112+"n/&gt;!%fy"</f>
        <v>#VALUE!</v>
      </c>
      <c r="AI85" t="e">
        <f>'All regions'!F2112+"n/&gt;!%fz"</f>
        <v>#VALUE!</v>
      </c>
      <c r="AJ85" t="e">
        <f>'All regions'!G2112+"n/&gt;!%f{"</f>
        <v>#VALUE!</v>
      </c>
      <c r="AK85" t="e">
        <f>'All regions'!H2112+"n/&gt;!%f|"</f>
        <v>#VALUE!</v>
      </c>
      <c r="AL85" t="e">
        <f>'All regions'!I2112+"n/&gt;!%f}"</f>
        <v>#VALUE!</v>
      </c>
      <c r="AM85" t="e">
        <f>'All regions'!J2112+"n/&gt;!%f~"</f>
        <v>#VALUE!</v>
      </c>
      <c r="AN85" t="e">
        <f>'All regions'!A2113+"n/&gt;!%g#"</f>
        <v>#VALUE!</v>
      </c>
      <c r="AO85" t="e">
        <f>'All regions'!B2113+"n/&gt;!%g$"</f>
        <v>#VALUE!</v>
      </c>
      <c r="AP85" t="e">
        <f>'All regions'!C2113+"n/&gt;!%g%"</f>
        <v>#VALUE!</v>
      </c>
      <c r="AQ85" t="e">
        <f>'All regions'!D2113+"n/&gt;!%g&amp;"</f>
        <v>#VALUE!</v>
      </c>
      <c r="AR85" t="e">
        <f>'All regions'!E2113+"n/&gt;!%g'"</f>
        <v>#VALUE!</v>
      </c>
      <c r="AS85" t="e">
        <f>'All regions'!F2113+"n/&gt;!%g("</f>
        <v>#VALUE!</v>
      </c>
      <c r="AT85" t="e">
        <f>'All regions'!G2113+"n/&gt;!%g)"</f>
        <v>#VALUE!</v>
      </c>
      <c r="AU85" t="e">
        <f>'All regions'!H2113+"n/&gt;!%g."</f>
        <v>#VALUE!</v>
      </c>
      <c r="AV85" t="e">
        <f>'All regions'!I2113+"n/&gt;!%g/"</f>
        <v>#VALUE!</v>
      </c>
      <c r="AW85" t="e">
        <f>'All regions'!J2113+"n/&gt;!%g0"</f>
        <v>#VALUE!</v>
      </c>
      <c r="AX85" t="e">
        <f>'All regions'!A2114+"n/&gt;!%g1"</f>
        <v>#VALUE!</v>
      </c>
      <c r="AY85" t="e">
        <f>'All regions'!B2114+"n/&gt;!%g2"</f>
        <v>#VALUE!</v>
      </c>
      <c r="AZ85" t="e">
        <f>'All regions'!C2114+"n/&gt;!%g3"</f>
        <v>#VALUE!</v>
      </c>
      <c r="BA85" t="e">
        <f>'All regions'!D2114+"n/&gt;!%g4"</f>
        <v>#VALUE!</v>
      </c>
      <c r="BB85" t="e">
        <f>'All regions'!E2114+"n/&gt;!%g5"</f>
        <v>#VALUE!</v>
      </c>
      <c r="BC85" t="e">
        <f>'All regions'!F2114+"n/&gt;!%g6"</f>
        <v>#VALUE!</v>
      </c>
      <c r="BD85" t="e">
        <f>'All regions'!G2114+"n/&gt;!%g7"</f>
        <v>#VALUE!</v>
      </c>
      <c r="BE85" t="e">
        <f>'All regions'!H2114+"n/&gt;!%g8"</f>
        <v>#VALUE!</v>
      </c>
      <c r="BF85" t="e">
        <f>'All regions'!I2114+"n/&gt;!%g9"</f>
        <v>#VALUE!</v>
      </c>
      <c r="BG85" t="e">
        <f>'All regions'!J2114+"n/&gt;!%g:"</f>
        <v>#VALUE!</v>
      </c>
      <c r="BH85" t="e">
        <f>'All regions'!A2115+"n/&gt;!%g;"</f>
        <v>#VALUE!</v>
      </c>
      <c r="BI85" t="e">
        <f>'All regions'!B2115+"n/&gt;!%g&lt;"</f>
        <v>#VALUE!</v>
      </c>
      <c r="BJ85" t="e">
        <f>'All regions'!C2115+"n/&gt;!%g="</f>
        <v>#VALUE!</v>
      </c>
      <c r="BK85" t="e">
        <f>'All regions'!D2115+"n/&gt;!%g&gt;"</f>
        <v>#VALUE!</v>
      </c>
      <c r="BL85" t="e">
        <f>'All regions'!E2115+"n/&gt;!%g?"</f>
        <v>#VALUE!</v>
      </c>
      <c r="BM85" t="e">
        <f>'All regions'!F2115+"n/&gt;!%g@"</f>
        <v>#VALUE!</v>
      </c>
      <c r="BN85" t="e">
        <f>'All regions'!G2115+"n/&gt;!%gA"</f>
        <v>#VALUE!</v>
      </c>
      <c r="BO85" t="e">
        <f>'All regions'!H2115+"n/&gt;!%gB"</f>
        <v>#VALUE!</v>
      </c>
      <c r="BP85" t="e">
        <f>'All regions'!I2115+"n/&gt;!%gC"</f>
        <v>#VALUE!</v>
      </c>
      <c r="BQ85" t="e">
        <f>'All regions'!J2115+"n/&gt;!%gD"</f>
        <v>#VALUE!</v>
      </c>
      <c r="BR85" t="e">
        <f>'All regions'!A2116+"n/&gt;!%gE"</f>
        <v>#VALUE!</v>
      </c>
      <c r="BS85" t="e">
        <f>'All regions'!B2116+"n/&gt;!%gF"</f>
        <v>#VALUE!</v>
      </c>
      <c r="BT85" t="e">
        <f>'All regions'!C2116+"n/&gt;!%gG"</f>
        <v>#VALUE!</v>
      </c>
      <c r="BU85" t="e">
        <f>'All regions'!D2116+"n/&gt;!%gH"</f>
        <v>#VALUE!</v>
      </c>
      <c r="BV85" t="e">
        <f>'All regions'!E2116+"n/&gt;!%gI"</f>
        <v>#VALUE!</v>
      </c>
      <c r="BW85" t="e">
        <f>'All regions'!F2116+"n/&gt;!%gJ"</f>
        <v>#VALUE!</v>
      </c>
      <c r="BX85" t="e">
        <f>'All regions'!G2116+"n/&gt;!%gK"</f>
        <v>#VALUE!</v>
      </c>
      <c r="BY85" t="e">
        <f>'All regions'!H2116+"n/&gt;!%gL"</f>
        <v>#VALUE!</v>
      </c>
      <c r="BZ85" t="e">
        <f>'All regions'!I2116+"n/&gt;!%gM"</f>
        <v>#VALUE!</v>
      </c>
      <c r="CA85" t="e">
        <f>'All regions'!J2116+"n/&gt;!%gN"</f>
        <v>#VALUE!</v>
      </c>
      <c r="CB85" t="e">
        <f>'All regions'!A2117+"n/&gt;!%gO"</f>
        <v>#VALUE!</v>
      </c>
      <c r="CC85" t="e">
        <f>'All regions'!B2117+"n/&gt;!%gP"</f>
        <v>#VALUE!</v>
      </c>
      <c r="CD85" t="e">
        <f>'All regions'!C2117+"n/&gt;!%gQ"</f>
        <v>#VALUE!</v>
      </c>
      <c r="CE85" t="e">
        <f>'All regions'!D2117+"n/&gt;!%gR"</f>
        <v>#VALUE!</v>
      </c>
      <c r="CF85" t="e">
        <f>'All regions'!E2117+"n/&gt;!%gS"</f>
        <v>#VALUE!</v>
      </c>
      <c r="CG85" t="e">
        <f>'All regions'!F2117+"n/&gt;!%gT"</f>
        <v>#VALUE!</v>
      </c>
      <c r="CH85" t="e">
        <f>'All regions'!G2117+"n/&gt;!%gU"</f>
        <v>#VALUE!</v>
      </c>
      <c r="CI85" t="e">
        <f>'All regions'!H2117+"n/&gt;!%gV"</f>
        <v>#VALUE!</v>
      </c>
      <c r="CJ85" t="e">
        <f>'All regions'!I2117+"n/&gt;!%gW"</f>
        <v>#VALUE!</v>
      </c>
      <c r="CK85" t="e">
        <f>'All regions'!J2117+"n/&gt;!%gX"</f>
        <v>#VALUE!</v>
      </c>
      <c r="CL85" t="e">
        <f>'All regions'!A2118+"n/&gt;!%gY"</f>
        <v>#VALUE!</v>
      </c>
      <c r="CM85" t="e">
        <f>'All regions'!B2118+"n/&gt;!%gZ"</f>
        <v>#VALUE!</v>
      </c>
      <c r="CN85" t="e">
        <f>'All regions'!C2118+"n/&gt;!%g["</f>
        <v>#VALUE!</v>
      </c>
      <c r="CO85" t="e">
        <f>'All regions'!D2118+"n/&gt;!%g\"</f>
        <v>#VALUE!</v>
      </c>
      <c r="CP85" t="e">
        <f>'All regions'!E2118+"n/&gt;!%g]"</f>
        <v>#VALUE!</v>
      </c>
      <c r="CQ85" t="e">
        <f>'All regions'!F2118+"n/&gt;!%g^"</f>
        <v>#VALUE!</v>
      </c>
      <c r="CR85" t="e">
        <f>'All regions'!G2118+"n/&gt;!%g_"</f>
        <v>#VALUE!</v>
      </c>
      <c r="CS85" t="e">
        <f>'All regions'!H2118+"n/&gt;!%g`"</f>
        <v>#VALUE!</v>
      </c>
      <c r="CT85" t="e">
        <f>'All regions'!I2118+"n/&gt;!%ga"</f>
        <v>#VALUE!</v>
      </c>
      <c r="CU85" t="e">
        <f>'All regions'!J2118+"n/&gt;!%gb"</f>
        <v>#VALUE!</v>
      </c>
      <c r="CV85" t="e">
        <f>'All regions'!A2119+"n/&gt;!%gc"</f>
        <v>#VALUE!</v>
      </c>
      <c r="CW85" t="e">
        <f>'All regions'!B2119+"n/&gt;!%gd"</f>
        <v>#VALUE!</v>
      </c>
      <c r="CX85" t="e">
        <f>'All regions'!C2119+"n/&gt;!%ge"</f>
        <v>#VALUE!</v>
      </c>
      <c r="CY85" t="e">
        <f>'All regions'!D2119+"n/&gt;!%gf"</f>
        <v>#VALUE!</v>
      </c>
      <c r="CZ85" t="e">
        <f>'All regions'!E2119+"n/&gt;!%gg"</f>
        <v>#VALUE!</v>
      </c>
      <c r="DA85" t="e">
        <f>'All regions'!F2119+"n/&gt;!%gh"</f>
        <v>#VALUE!</v>
      </c>
      <c r="DB85" t="e">
        <f>'All regions'!G2119+"n/&gt;!%gi"</f>
        <v>#VALUE!</v>
      </c>
      <c r="DC85" t="e">
        <f>'All regions'!H2119+"n/&gt;!%gj"</f>
        <v>#VALUE!</v>
      </c>
      <c r="DD85" t="e">
        <f>'All regions'!I2119+"n/&gt;!%gk"</f>
        <v>#VALUE!</v>
      </c>
      <c r="DE85" t="e">
        <f>'All regions'!J2119+"n/&gt;!%gl"</f>
        <v>#VALUE!</v>
      </c>
      <c r="DF85" t="e">
        <f>'All regions'!A2120+"n/&gt;!%gm"</f>
        <v>#VALUE!</v>
      </c>
      <c r="DG85" t="e">
        <f>'All regions'!B2120+"n/&gt;!%gn"</f>
        <v>#VALUE!</v>
      </c>
      <c r="DH85" t="e">
        <f>'All regions'!C2120+"n/&gt;!%go"</f>
        <v>#VALUE!</v>
      </c>
      <c r="DI85" t="e">
        <f>'All regions'!D2120+"n/&gt;!%gp"</f>
        <v>#VALUE!</v>
      </c>
      <c r="DJ85" t="e">
        <f>'All regions'!E2120+"n/&gt;!%gq"</f>
        <v>#VALUE!</v>
      </c>
      <c r="DK85" t="e">
        <f>'All regions'!F2120+"n/&gt;!%gr"</f>
        <v>#VALUE!</v>
      </c>
      <c r="DL85" t="e">
        <f>'All regions'!G2120+"n/&gt;!%gs"</f>
        <v>#VALUE!</v>
      </c>
      <c r="DM85" t="e">
        <f>'All regions'!H2120+"n/&gt;!%gt"</f>
        <v>#VALUE!</v>
      </c>
      <c r="DN85" t="e">
        <f>'All regions'!I2120+"n/&gt;!%gu"</f>
        <v>#VALUE!</v>
      </c>
      <c r="DO85" t="e">
        <f>'All regions'!J2120+"n/&gt;!%gv"</f>
        <v>#VALUE!</v>
      </c>
      <c r="DP85" t="e">
        <f>'All regions'!A2121+"n/&gt;!%gw"</f>
        <v>#VALUE!</v>
      </c>
      <c r="DQ85" t="e">
        <f>'All regions'!B2121+"n/&gt;!%gx"</f>
        <v>#VALUE!</v>
      </c>
      <c r="DR85" t="e">
        <f>'All regions'!C2121+"n/&gt;!%gy"</f>
        <v>#VALUE!</v>
      </c>
      <c r="DS85" t="e">
        <f>'All regions'!D2121+"n/&gt;!%gz"</f>
        <v>#VALUE!</v>
      </c>
      <c r="DT85" t="e">
        <f>'All regions'!E2121+"n/&gt;!%g{"</f>
        <v>#VALUE!</v>
      </c>
      <c r="DU85" t="e">
        <f>'All regions'!F2121+"n/&gt;!%g|"</f>
        <v>#VALUE!</v>
      </c>
      <c r="DV85" t="e">
        <f>'All regions'!G2121+"n/&gt;!%g}"</f>
        <v>#VALUE!</v>
      </c>
      <c r="DW85" t="e">
        <f>'All regions'!H2121+"n/&gt;!%g~"</f>
        <v>#VALUE!</v>
      </c>
      <c r="DX85" t="e">
        <f>'All regions'!I2121+"n/&gt;!%h#"</f>
        <v>#VALUE!</v>
      </c>
      <c r="DY85" t="e">
        <f>'All regions'!J2121+"n/&gt;!%h$"</f>
        <v>#VALUE!</v>
      </c>
      <c r="DZ85" t="e">
        <f>'All regions'!A2122+"n/&gt;!%h%"</f>
        <v>#VALUE!</v>
      </c>
      <c r="EA85" t="e">
        <f>'All regions'!B2122+"n/&gt;!%h&amp;"</f>
        <v>#VALUE!</v>
      </c>
      <c r="EB85" t="e">
        <f>'All regions'!C2122+"n/&gt;!%h'"</f>
        <v>#VALUE!</v>
      </c>
      <c r="EC85" t="e">
        <f>'All regions'!D2122+"n/&gt;!%h("</f>
        <v>#VALUE!</v>
      </c>
      <c r="ED85" t="e">
        <f>'All regions'!E2122+"n/&gt;!%h)"</f>
        <v>#VALUE!</v>
      </c>
      <c r="EE85" t="e">
        <f>'All regions'!F2122+"n/&gt;!%h."</f>
        <v>#VALUE!</v>
      </c>
      <c r="EF85" t="e">
        <f>'All regions'!G2122+"n/&gt;!%h/"</f>
        <v>#VALUE!</v>
      </c>
      <c r="EG85" t="e">
        <f>'All regions'!H2122+"n/&gt;!%h0"</f>
        <v>#VALUE!</v>
      </c>
      <c r="EH85" t="e">
        <f>'All regions'!I2122+"n/&gt;!%h1"</f>
        <v>#VALUE!</v>
      </c>
      <c r="EI85" t="e">
        <f>'All regions'!J2122+"n/&gt;!%h2"</f>
        <v>#VALUE!</v>
      </c>
      <c r="EJ85" t="e">
        <f>'All regions'!A2123+"n/&gt;!%h3"</f>
        <v>#VALUE!</v>
      </c>
      <c r="EK85" t="e">
        <f>'All regions'!B2123+"n/&gt;!%h4"</f>
        <v>#VALUE!</v>
      </c>
      <c r="EL85" t="e">
        <f>'All regions'!C2123+"n/&gt;!%h5"</f>
        <v>#VALUE!</v>
      </c>
      <c r="EM85" t="e">
        <f>'All regions'!D2123+"n/&gt;!%h6"</f>
        <v>#VALUE!</v>
      </c>
      <c r="EN85" t="e">
        <f>'All regions'!E2123+"n/&gt;!%h7"</f>
        <v>#VALUE!</v>
      </c>
      <c r="EO85" t="e">
        <f>'All regions'!F2123+"n/&gt;!%h8"</f>
        <v>#VALUE!</v>
      </c>
      <c r="EP85" t="e">
        <f>'All regions'!G2123+"n/&gt;!%h9"</f>
        <v>#VALUE!</v>
      </c>
      <c r="EQ85" t="e">
        <f>'All regions'!H2123+"n/&gt;!%h:"</f>
        <v>#VALUE!</v>
      </c>
      <c r="ER85" t="e">
        <f>'All regions'!I2123+"n/&gt;!%h;"</f>
        <v>#VALUE!</v>
      </c>
      <c r="ES85" t="e">
        <f>'All regions'!J2123+"n/&gt;!%h&lt;"</f>
        <v>#VALUE!</v>
      </c>
      <c r="ET85" t="e">
        <f>'All regions'!A2124+"n/&gt;!%h="</f>
        <v>#VALUE!</v>
      </c>
      <c r="EU85" t="e">
        <f>'All regions'!B2124+"n/&gt;!%h&gt;"</f>
        <v>#VALUE!</v>
      </c>
      <c r="EV85" t="e">
        <f>'All regions'!C2124+"n/&gt;!%h?"</f>
        <v>#VALUE!</v>
      </c>
      <c r="EW85" t="e">
        <f>'All regions'!D2124+"n/&gt;!%h@"</f>
        <v>#VALUE!</v>
      </c>
      <c r="EX85" t="e">
        <f>'All regions'!E2124+"n/&gt;!%hA"</f>
        <v>#VALUE!</v>
      </c>
      <c r="EY85" t="e">
        <f>'All regions'!F2124+"n/&gt;!%hB"</f>
        <v>#VALUE!</v>
      </c>
      <c r="EZ85" t="e">
        <f>'All regions'!G2124+"n/&gt;!%hC"</f>
        <v>#VALUE!</v>
      </c>
      <c r="FA85" t="e">
        <f>'All regions'!H2124+"n/&gt;!%hD"</f>
        <v>#VALUE!</v>
      </c>
      <c r="FB85" t="e">
        <f>'All regions'!I2124+"n/&gt;!%hE"</f>
        <v>#VALUE!</v>
      </c>
      <c r="FC85" t="e">
        <f>'All regions'!J2124+"n/&gt;!%hF"</f>
        <v>#VALUE!</v>
      </c>
      <c r="FD85" t="e">
        <f>'All regions'!A2125+"n/&gt;!%hG"</f>
        <v>#VALUE!</v>
      </c>
      <c r="FE85" t="e">
        <f>'All regions'!B2125+"n/&gt;!%hH"</f>
        <v>#VALUE!</v>
      </c>
      <c r="FF85" t="e">
        <f>'All regions'!C2125+"n/&gt;!%hI"</f>
        <v>#VALUE!</v>
      </c>
      <c r="FG85" t="e">
        <f>'All regions'!D2125+"n/&gt;!%hJ"</f>
        <v>#VALUE!</v>
      </c>
      <c r="FH85" t="e">
        <f>'All regions'!E2125+"n/&gt;!%hK"</f>
        <v>#VALUE!</v>
      </c>
      <c r="FI85" t="e">
        <f>'All regions'!F2125+"n/&gt;!%hL"</f>
        <v>#VALUE!</v>
      </c>
      <c r="FJ85" t="e">
        <f>'All regions'!G2125+"n/&gt;!%hM"</f>
        <v>#VALUE!</v>
      </c>
      <c r="FK85" t="e">
        <f>'All regions'!H2125+"n/&gt;!%hN"</f>
        <v>#VALUE!</v>
      </c>
      <c r="FL85" t="e">
        <f>'All regions'!I2125+"n/&gt;!%hO"</f>
        <v>#VALUE!</v>
      </c>
      <c r="FM85" t="e">
        <f>'All regions'!J2125+"n/&gt;!%hP"</f>
        <v>#VALUE!</v>
      </c>
      <c r="FN85" t="e">
        <f>'All regions'!A2126+"n/&gt;!%hQ"</f>
        <v>#VALUE!</v>
      </c>
      <c r="FO85" t="e">
        <f>'All regions'!B2126+"n/&gt;!%hR"</f>
        <v>#VALUE!</v>
      </c>
      <c r="FP85" t="e">
        <f>'All regions'!C2126+"n/&gt;!%hS"</f>
        <v>#VALUE!</v>
      </c>
      <c r="FQ85" t="e">
        <f>'All regions'!D2126+"n/&gt;!%hT"</f>
        <v>#VALUE!</v>
      </c>
      <c r="FR85" t="e">
        <f>'All regions'!E2126+"n/&gt;!%hU"</f>
        <v>#VALUE!</v>
      </c>
      <c r="FS85" t="e">
        <f>'All regions'!F2126+"n/&gt;!%hV"</f>
        <v>#VALUE!</v>
      </c>
      <c r="FT85" t="e">
        <f>'All regions'!G2126+"n/&gt;!%hW"</f>
        <v>#VALUE!</v>
      </c>
      <c r="FU85" t="e">
        <f>'All regions'!H2126+"n/&gt;!%hX"</f>
        <v>#VALUE!</v>
      </c>
      <c r="FV85" t="e">
        <f>'All regions'!I2126+"n/&gt;!%hY"</f>
        <v>#VALUE!</v>
      </c>
      <c r="FW85" t="e">
        <f>'All regions'!J2126+"n/&gt;!%hZ"</f>
        <v>#VALUE!</v>
      </c>
      <c r="FX85" t="e">
        <f>'All regions'!A2127+"n/&gt;!%h["</f>
        <v>#VALUE!</v>
      </c>
      <c r="FY85" t="e">
        <f>'All regions'!B2127+"n/&gt;!%h\"</f>
        <v>#VALUE!</v>
      </c>
      <c r="FZ85" t="e">
        <f>'All regions'!C2127+"n/&gt;!%h]"</f>
        <v>#VALUE!</v>
      </c>
      <c r="GA85" t="e">
        <f>'All regions'!D2127+"n/&gt;!%h^"</f>
        <v>#VALUE!</v>
      </c>
      <c r="GB85" t="e">
        <f>'All regions'!E2127+"n/&gt;!%h_"</f>
        <v>#VALUE!</v>
      </c>
      <c r="GC85" t="e">
        <f>'All regions'!F2127+"n/&gt;!%h`"</f>
        <v>#VALUE!</v>
      </c>
      <c r="GD85" t="e">
        <f>'All regions'!G2127+"n/&gt;!%ha"</f>
        <v>#VALUE!</v>
      </c>
      <c r="GE85" t="e">
        <f>'All regions'!H2127+"n/&gt;!%hb"</f>
        <v>#VALUE!</v>
      </c>
      <c r="GF85" t="e">
        <f>'All regions'!I2127+"n/&gt;!%hc"</f>
        <v>#VALUE!</v>
      </c>
      <c r="GG85" t="e">
        <f>'All regions'!J2127+"n/&gt;!%hd"</f>
        <v>#VALUE!</v>
      </c>
      <c r="GH85" t="e">
        <f>'All regions'!A2128+"n/&gt;!%he"</f>
        <v>#VALUE!</v>
      </c>
      <c r="GI85" t="e">
        <f>'All regions'!B2128+"n/&gt;!%hf"</f>
        <v>#VALUE!</v>
      </c>
      <c r="GJ85" t="e">
        <f>'All regions'!C2128+"n/&gt;!%hg"</f>
        <v>#VALUE!</v>
      </c>
      <c r="GK85" t="e">
        <f>'All regions'!D2128+"n/&gt;!%hh"</f>
        <v>#VALUE!</v>
      </c>
      <c r="GL85" t="e">
        <f>'All regions'!E2128+"n/&gt;!%hi"</f>
        <v>#VALUE!</v>
      </c>
      <c r="GM85" t="e">
        <f>'All regions'!F2128+"n/&gt;!%hj"</f>
        <v>#VALUE!</v>
      </c>
      <c r="GN85" t="e">
        <f>'All regions'!G2128+"n/&gt;!%hk"</f>
        <v>#VALUE!</v>
      </c>
      <c r="GO85" t="e">
        <f>'All regions'!H2128+"n/&gt;!%hl"</f>
        <v>#VALUE!</v>
      </c>
      <c r="GP85" t="e">
        <f>'All regions'!I2128+"n/&gt;!%hm"</f>
        <v>#VALUE!</v>
      </c>
      <c r="GQ85" t="e">
        <f>'All regions'!J2128+"n/&gt;!%hn"</f>
        <v>#VALUE!</v>
      </c>
      <c r="GR85" t="e">
        <f>'All regions'!A2129+"n/&gt;!%ho"</f>
        <v>#VALUE!</v>
      </c>
      <c r="GS85" t="e">
        <f>'All regions'!B2129+"n/&gt;!%hp"</f>
        <v>#VALUE!</v>
      </c>
      <c r="GT85" t="e">
        <f>'All regions'!C2129+"n/&gt;!%hq"</f>
        <v>#VALUE!</v>
      </c>
      <c r="GU85" t="e">
        <f>'All regions'!D2129+"n/&gt;!%hr"</f>
        <v>#VALUE!</v>
      </c>
      <c r="GV85" t="e">
        <f>'All regions'!E2129+"n/&gt;!%hs"</f>
        <v>#VALUE!</v>
      </c>
      <c r="GW85" t="e">
        <f>'All regions'!F2129+"n/&gt;!%ht"</f>
        <v>#VALUE!</v>
      </c>
      <c r="GX85" t="e">
        <f>'All regions'!G2129+"n/&gt;!%hu"</f>
        <v>#VALUE!</v>
      </c>
      <c r="GY85" t="e">
        <f>'All regions'!H2129+"n/&gt;!%hv"</f>
        <v>#VALUE!</v>
      </c>
      <c r="GZ85" t="e">
        <f>'All regions'!I2129+"n/&gt;!%hw"</f>
        <v>#VALUE!</v>
      </c>
      <c r="HA85" t="e">
        <f>'All regions'!J2129+"n/&gt;!%hx"</f>
        <v>#VALUE!</v>
      </c>
      <c r="HB85" t="e">
        <f>'All regions'!A2130+"n/&gt;!%hy"</f>
        <v>#VALUE!</v>
      </c>
      <c r="HC85" t="e">
        <f>'All regions'!B2130+"n/&gt;!%hz"</f>
        <v>#VALUE!</v>
      </c>
      <c r="HD85" t="e">
        <f>'All regions'!C2130+"n/&gt;!%h{"</f>
        <v>#VALUE!</v>
      </c>
      <c r="HE85" t="e">
        <f>'All regions'!D2130+"n/&gt;!%h|"</f>
        <v>#VALUE!</v>
      </c>
      <c r="HF85" t="e">
        <f>'All regions'!E2130+"n/&gt;!%h}"</f>
        <v>#VALUE!</v>
      </c>
      <c r="HG85" t="e">
        <f>'All regions'!F2130+"n/&gt;!%h~"</f>
        <v>#VALUE!</v>
      </c>
      <c r="HH85" t="e">
        <f>'All regions'!G2130+"n/&gt;!%i#"</f>
        <v>#VALUE!</v>
      </c>
      <c r="HI85" t="e">
        <f>'All regions'!H2130+"n/&gt;!%i$"</f>
        <v>#VALUE!</v>
      </c>
      <c r="HJ85" t="e">
        <f>'All regions'!I2130+"n/&gt;!%i%"</f>
        <v>#VALUE!</v>
      </c>
      <c r="HK85" t="e">
        <f>'All regions'!J2130+"n/&gt;!%i&amp;"</f>
        <v>#VALUE!</v>
      </c>
      <c r="HL85" t="e">
        <f>'All regions'!A2131+"n/&gt;!%i'"</f>
        <v>#VALUE!</v>
      </c>
      <c r="HM85" t="e">
        <f>'All regions'!B2131+"n/&gt;!%i("</f>
        <v>#VALUE!</v>
      </c>
      <c r="HN85" t="e">
        <f>'All regions'!C2131+"n/&gt;!%i)"</f>
        <v>#VALUE!</v>
      </c>
      <c r="HO85" t="e">
        <f>'All regions'!D2131+"n/&gt;!%i."</f>
        <v>#VALUE!</v>
      </c>
      <c r="HP85" t="e">
        <f>'All regions'!E2131+"n/&gt;!%i/"</f>
        <v>#VALUE!</v>
      </c>
      <c r="HQ85" t="e">
        <f>'All regions'!F2131+"n/&gt;!%i0"</f>
        <v>#VALUE!</v>
      </c>
      <c r="HR85" t="e">
        <f>'All regions'!G2131+"n/&gt;!%i1"</f>
        <v>#VALUE!</v>
      </c>
      <c r="HS85" t="e">
        <f>'All regions'!H2131+"n/&gt;!%i2"</f>
        <v>#VALUE!</v>
      </c>
      <c r="HT85" t="e">
        <f>'All regions'!I2131+"n/&gt;!%i3"</f>
        <v>#VALUE!</v>
      </c>
      <c r="HU85" t="e">
        <f>'All regions'!J2131+"n/&gt;!%i4"</f>
        <v>#VALUE!</v>
      </c>
      <c r="HV85" t="e">
        <f>'All regions'!A2132+"n/&gt;!%i5"</f>
        <v>#VALUE!</v>
      </c>
      <c r="HW85" t="e">
        <f>'All regions'!B2132+"n/&gt;!%i6"</f>
        <v>#VALUE!</v>
      </c>
      <c r="HX85" t="e">
        <f>'All regions'!C2132+"n/&gt;!%i7"</f>
        <v>#VALUE!</v>
      </c>
      <c r="HY85" t="e">
        <f>'All regions'!D2132+"n/&gt;!%i8"</f>
        <v>#VALUE!</v>
      </c>
      <c r="HZ85" t="e">
        <f>'All regions'!E2132+"n/&gt;!%i9"</f>
        <v>#VALUE!</v>
      </c>
      <c r="IA85" t="e">
        <f>'All regions'!F2132+"n/&gt;!%i:"</f>
        <v>#VALUE!</v>
      </c>
      <c r="IB85" t="e">
        <f>'All regions'!G2132+"n/&gt;!%i;"</f>
        <v>#VALUE!</v>
      </c>
      <c r="IC85" t="e">
        <f>'All regions'!H2132+"n/&gt;!%i&lt;"</f>
        <v>#VALUE!</v>
      </c>
      <c r="ID85" t="e">
        <f>'All regions'!I2132+"n/&gt;!%i="</f>
        <v>#VALUE!</v>
      </c>
      <c r="IE85" t="e">
        <f>'All regions'!J2132+"n/&gt;!%i&gt;"</f>
        <v>#VALUE!</v>
      </c>
      <c r="IF85" t="e">
        <f>'All regions'!A2133+"n/&gt;!%i?"</f>
        <v>#VALUE!</v>
      </c>
      <c r="IG85" t="e">
        <f>'All regions'!B2133+"n/&gt;!%i@"</f>
        <v>#VALUE!</v>
      </c>
      <c r="IH85" t="e">
        <f>'All regions'!C2133+"n/&gt;!%iA"</f>
        <v>#VALUE!</v>
      </c>
      <c r="II85" t="e">
        <f>'All regions'!D2133+"n/&gt;!%iB"</f>
        <v>#VALUE!</v>
      </c>
      <c r="IJ85" t="e">
        <f>'All regions'!E2133+"n/&gt;!%iC"</f>
        <v>#VALUE!</v>
      </c>
      <c r="IK85" t="e">
        <f>'All regions'!F2133+"n/&gt;!%iD"</f>
        <v>#VALUE!</v>
      </c>
      <c r="IL85" t="e">
        <f>'All regions'!G2133+"n/&gt;!%iE"</f>
        <v>#VALUE!</v>
      </c>
      <c r="IM85" t="e">
        <f>'All regions'!H2133+"n/&gt;!%iF"</f>
        <v>#VALUE!</v>
      </c>
      <c r="IN85" t="e">
        <f>'All regions'!I2133+"n/&gt;!%iG"</f>
        <v>#VALUE!</v>
      </c>
      <c r="IO85" t="e">
        <f>'All regions'!J2133+"n/&gt;!%iH"</f>
        <v>#VALUE!</v>
      </c>
      <c r="IP85" t="e">
        <f>'All regions'!A2134+"n/&gt;!%iI"</f>
        <v>#VALUE!</v>
      </c>
      <c r="IQ85" t="e">
        <f>'All regions'!B2134+"n/&gt;!%iJ"</f>
        <v>#VALUE!</v>
      </c>
      <c r="IR85" t="e">
        <f>'All regions'!C2134+"n/&gt;!%iK"</f>
        <v>#VALUE!</v>
      </c>
      <c r="IS85" t="e">
        <f>'All regions'!D2134+"n/&gt;!%iL"</f>
        <v>#VALUE!</v>
      </c>
      <c r="IT85" t="e">
        <f>'All regions'!E2134+"n/&gt;!%iM"</f>
        <v>#VALUE!</v>
      </c>
      <c r="IU85" t="e">
        <f>'All regions'!F2134+"n/&gt;!%iN"</f>
        <v>#VALUE!</v>
      </c>
      <c r="IV85" t="e">
        <f>'All regions'!G2134+"n/&gt;!%iO"</f>
        <v>#VALUE!</v>
      </c>
    </row>
    <row r="86" spans="6:256" x14ac:dyDescent="0.35">
      <c r="F86" t="e">
        <f>'All regions'!H2134+"n/&gt;!%iP"</f>
        <v>#VALUE!</v>
      </c>
      <c r="G86" t="e">
        <f>'All regions'!I2134+"n/&gt;!%iQ"</f>
        <v>#VALUE!</v>
      </c>
      <c r="H86" t="e">
        <f>'All regions'!J2134+"n/&gt;!%iR"</f>
        <v>#VALUE!</v>
      </c>
      <c r="I86" t="e">
        <f>'All regions'!A2135+"n/&gt;!%iS"</f>
        <v>#VALUE!</v>
      </c>
      <c r="J86" t="e">
        <f>'All regions'!B2135+"n/&gt;!%iT"</f>
        <v>#VALUE!</v>
      </c>
      <c r="K86" t="e">
        <f>'All regions'!C2135+"n/&gt;!%iU"</f>
        <v>#VALUE!</v>
      </c>
      <c r="L86" t="e">
        <f>'All regions'!D2135+"n/&gt;!%iV"</f>
        <v>#VALUE!</v>
      </c>
      <c r="M86" t="e">
        <f>'All regions'!E2135+"n/&gt;!%iW"</f>
        <v>#VALUE!</v>
      </c>
      <c r="N86" t="e">
        <f>'All regions'!F2135+"n/&gt;!%iX"</f>
        <v>#VALUE!</v>
      </c>
      <c r="O86" t="e">
        <f>'All regions'!G2135+"n/&gt;!%iY"</f>
        <v>#VALUE!</v>
      </c>
      <c r="P86" t="e">
        <f>'All regions'!H2135+"n/&gt;!%iZ"</f>
        <v>#VALUE!</v>
      </c>
      <c r="Q86" t="e">
        <f>'All regions'!I2135+"n/&gt;!%i["</f>
        <v>#VALUE!</v>
      </c>
      <c r="R86" t="e">
        <f>'All regions'!J2135+"n/&gt;!%i\"</f>
        <v>#VALUE!</v>
      </c>
      <c r="S86" t="e">
        <f>'All regions'!A2136+"n/&gt;!%i]"</f>
        <v>#VALUE!</v>
      </c>
      <c r="T86" t="e">
        <f>'All regions'!B2136+"n/&gt;!%i^"</f>
        <v>#VALUE!</v>
      </c>
      <c r="U86" t="e">
        <f>'All regions'!C2136+"n/&gt;!%i_"</f>
        <v>#VALUE!</v>
      </c>
      <c r="V86" t="e">
        <f>'All regions'!D2136+"n/&gt;!%i`"</f>
        <v>#VALUE!</v>
      </c>
      <c r="W86" t="e">
        <f>'All regions'!E2136+"n/&gt;!%ia"</f>
        <v>#VALUE!</v>
      </c>
      <c r="X86" t="e">
        <f>'All regions'!F2136+"n/&gt;!%ib"</f>
        <v>#VALUE!</v>
      </c>
      <c r="Y86" t="e">
        <f>'All regions'!G2136+"n/&gt;!%ic"</f>
        <v>#VALUE!</v>
      </c>
      <c r="Z86" t="e">
        <f>'All regions'!H2136+"n/&gt;!%id"</f>
        <v>#VALUE!</v>
      </c>
      <c r="AA86" t="e">
        <f>'All regions'!I2136+"n/&gt;!%ie"</f>
        <v>#VALUE!</v>
      </c>
      <c r="AB86" t="e">
        <f>'All regions'!J2136+"n/&gt;!%if"</f>
        <v>#VALUE!</v>
      </c>
      <c r="AC86" t="e">
        <f>'All regions'!A2137+"n/&gt;!%ig"</f>
        <v>#VALUE!</v>
      </c>
      <c r="AD86" t="e">
        <f>'All regions'!B2137+"n/&gt;!%ih"</f>
        <v>#VALUE!</v>
      </c>
      <c r="AE86" t="e">
        <f>'All regions'!C2137+"n/&gt;!%ii"</f>
        <v>#VALUE!</v>
      </c>
      <c r="AF86" t="e">
        <f>'All regions'!D2137+"n/&gt;!%ij"</f>
        <v>#VALUE!</v>
      </c>
      <c r="AG86" t="e">
        <f>'All regions'!E2137+"n/&gt;!%ik"</f>
        <v>#VALUE!</v>
      </c>
      <c r="AH86" t="e">
        <f>'All regions'!F2137+"n/&gt;!%il"</f>
        <v>#VALUE!</v>
      </c>
      <c r="AI86" t="e">
        <f>'All regions'!G2137+"n/&gt;!%im"</f>
        <v>#VALUE!</v>
      </c>
      <c r="AJ86" t="e">
        <f>'All regions'!H2137+"n/&gt;!%in"</f>
        <v>#VALUE!</v>
      </c>
      <c r="AK86" t="e">
        <f>'All regions'!I2137+"n/&gt;!%io"</f>
        <v>#VALUE!</v>
      </c>
      <c r="AL86" t="e">
        <f>'All regions'!J2137+"n/&gt;!%ip"</f>
        <v>#VALUE!</v>
      </c>
      <c r="AM86" t="e">
        <f>'All regions'!A2138+"n/&gt;!%iq"</f>
        <v>#VALUE!</v>
      </c>
      <c r="AN86" t="e">
        <f>'All regions'!B2138+"n/&gt;!%ir"</f>
        <v>#VALUE!</v>
      </c>
      <c r="AO86" t="e">
        <f>'All regions'!C2138+"n/&gt;!%is"</f>
        <v>#VALUE!</v>
      </c>
      <c r="AP86" t="e">
        <f>'All regions'!D2138+"n/&gt;!%it"</f>
        <v>#VALUE!</v>
      </c>
      <c r="AQ86" t="e">
        <f>'All regions'!E2138+"n/&gt;!%iu"</f>
        <v>#VALUE!</v>
      </c>
      <c r="AR86" t="e">
        <f>'All regions'!F2138+"n/&gt;!%iv"</f>
        <v>#VALUE!</v>
      </c>
      <c r="AS86" t="e">
        <f>'All regions'!G2138+"n/&gt;!%iw"</f>
        <v>#VALUE!</v>
      </c>
      <c r="AT86" t="e">
        <f>'All regions'!H2138+"n/&gt;!%ix"</f>
        <v>#VALUE!</v>
      </c>
      <c r="AU86" t="e">
        <f>'All regions'!I2138+"n/&gt;!%iy"</f>
        <v>#VALUE!</v>
      </c>
      <c r="AV86" t="e">
        <f>'All regions'!J2138+"n/&gt;!%iz"</f>
        <v>#VALUE!</v>
      </c>
      <c r="AW86" t="e">
        <f>'All regions'!A2139+"n/&gt;!%i{"</f>
        <v>#VALUE!</v>
      </c>
      <c r="AX86" t="e">
        <f>'All regions'!B2139+"n/&gt;!%i|"</f>
        <v>#VALUE!</v>
      </c>
      <c r="AY86" t="e">
        <f>'All regions'!C2139+"n/&gt;!%i}"</f>
        <v>#VALUE!</v>
      </c>
      <c r="AZ86" t="e">
        <f>'All regions'!D2139+"n/&gt;!%i~"</f>
        <v>#VALUE!</v>
      </c>
      <c r="BA86" t="e">
        <f>'All regions'!E2139+"n/&gt;!%j#"</f>
        <v>#VALUE!</v>
      </c>
      <c r="BB86" t="e">
        <f>'All regions'!F2139+"n/&gt;!%j$"</f>
        <v>#VALUE!</v>
      </c>
      <c r="BC86" t="e">
        <f>'All regions'!G2139+"n/&gt;!%j%"</f>
        <v>#VALUE!</v>
      </c>
      <c r="BD86" t="e">
        <f>'All regions'!H2139+"n/&gt;!%j&amp;"</f>
        <v>#VALUE!</v>
      </c>
      <c r="BE86" t="e">
        <f>'All regions'!I2139+"n/&gt;!%j'"</f>
        <v>#VALUE!</v>
      </c>
      <c r="BF86" t="e">
        <f>'All regions'!J2139+"n/&gt;!%j("</f>
        <v>#VALUE!</v>
      </c>
      <c r="BG86" t="e">
        <f>'All regions'!A2140+"n/&gt;!%j)"</f>
        <v>#VALUE!</v>
      </c>
      <c r="BH86" t="e">
        <f>'All regions'!B2140+"n/&gt;!%j."</f>
        <v>#VALUE!</v>
      </c>
      <c r="BI86" t="e">
        <f>'All regions'!C2140+"n/&gt;!%j/"</f>
        <v>#VALUE!</v>
      </c>
      <c r="BJ86" t="e">
        <f>'All regions'!D2140+"n/&gt;!%j0"</f>
        <v>#VALUE!</v>
      </c>
      <c r="BK86" t="e">
        <f>'All regions'!E2140+"n/&gt;!%j1"</f>
        <v>#VALUE!</v>
      </c>
      <c r="BL86" t="e">
        <f>'All regions'!F2140+"n/&gt;!%j2"</f>
        <v>#VALUE!</v>
      </c>
      <c r="BM86" t="e">
        <f>'All regions'!G2140+"n/&gt;!%j3"</f>
        <v>#VALUE!</v>
      </c>
      <c r="BN86" t="e">
        <f>'All regions'!H2140+"n/&gt;!%j4"</f>
        <v>#VALUE!</v>
      </c>
      <c r="BO86" t="e">
        <f>'All regions'!I2140+"n/&gt;!%j5"</f>
        <v>#VALUE!</v>
      </c>
      <c r="BP86" t="e">
        <f>'All regions'!J2140+"n/&gt;!%j6"</f>
        <v>#VALUE!</v>
      </c>
      <c r="BQ86" t="e">
        <f>'All regions'!A2141+"n/&gt;!%j7"</f>
        <v>#VALUE!</v>
      </c>
      <c r="BR86" t="e">
        <f>'All regions'!B2141+"n/&gt;!%j8"</f>
        <v>#VALUE!</v>
      </c>
      <c r="BS86" t="e">
        <f>'All regions'!C2141+"n/&gt;!%j9"</f>
        <v>#VALUE!</v>
      </c>
      <c r="BT86" t="e">
        <f>'All regions'!D2141+"n/&gt;!%j:"</f>
        <v>#VALUE!</v>
      </c>
      <c r="BU86" t="e">
        <f>'All regions'!E2141+"n/&gt;!%j;"</f>
        <v>#VALUE!</v>
      </c>
      <c r="BV86" t="e">
        <f>'All regions'!F2141+"n/&gt;!%j&lt;"</f>
        <v>#VALUE!</v>
      </c>
      <c r="BW86" t="e">
        <f>'All regions'!G2141+"n/&gt;!%j="</f>
        <v>#VALUE!</v>
      </c>
      <c r="BX86" t="e">
        <f>'All regions'!H2141+"n/&gt;!%j&gt;"</f>
        <v>#VALUE!</v>
      </c>
      <c r="BY86" t="e">
        <f>'All regions'!I2141+"n/&gt;!%j?"</f>
        <v>#VALUE!</v>
      </c>
      <c r="BZ86" t="e">
        <f>'All regions'!J2141+"n/&gt;!%j@"</f>
        <v>#VALUE!</v>
      </c>
      <c r="CA86" t="e">
        <f>'All regions'!A2142+"n/&gt;!%jA"</f>
        <v>#VALUE!</v>
      </c>
      <c r="CB86" t="e">
        <f>'All regions'!B2142+"n/&gt;!%jB"</f>
        <v>#VALUE!</v>
      </c>
      <c r="CC86" t="e">
        <f>'All regions'!C2142+"n/&gt;!%jC"</f>
        <v>#VALUE!</v>
      </c>
      <c r="CD86" t="e">
        <f>'All regions'!D2142+"n/&gt;!%jD"</f>
        <v>#VALUE!</v>
      </c>
      <c r="CE86" t="e">
        <f>'All regions'!E2142+"n/&gt;!%jE"</f>
        <v>#VALUE!</v>
      </c>
      <c r="CF86" t="e">
        <f>'All regions'!F2142+"n/&gt;!%jF"</f>
        <v>#VALUE!</v>
      </c>
      <c r="CG86" t="e">
        <f>'All regions'!G2142+"n/&gt;!%jG"</f>
        <v>#VALUE!</v>
      </c>
      <c r="CH86" t="e">
        <f>'All regions'!H2142+"n/&gt;!%jH"</f>
        <v>#VALUE!</v>
      </c>
      <c r="CI86" t="e">
        <f>'All regions'!I2142+"n/&gt;!%jI"</f>
        <v>#VALUE!</v>
      </c>
      <c r="CJ86" t="e">
        <f>'All regions'!J2142+"n/&gt;!%jJ"</f>
        <v>#VALUE!</v>
      </c>
      <c r="CK86" t="e">
        <f>'All regions'!A2143+"n/&gt;!%jK"</f>
        <v>#VALUE!</v>
      </c>
      <c r="CL86" t="e">
        <f>'All regions'!B2143+"n/&gt;!%jL"</f>
        <v>#VALUE!</v>
      </c>
      <c r="CM86" t="e">
        <f>'All regions'!C2143+"n/&gt;!%jM"</f>
        <v>#VALUE!</v>
      </c>
      <c r="CN86" t="e">
        <f>'All regions'!D2143+"n/&gt;!%jN"</f>
        <v>#VALUE!</v>
      </c>
      <c r="CO86" t="e">
        <f>'All regions'!E2143+"n/&gt;!%jO"</f>
        <v>#VALUE!</v>
      </c>
      <c r="CP86" t="e">
        <f>'All regions'!F2143+"n/&gt;!%jP"</f>
        <v>#VALUE!</v>
      </c>
      <c r="CQ86" t="e">
        <f>'All regions'!G2143+"n/&gt;!%jQ"</f>
        <v>#VALUE!</v>
      </c>
      <c r="CR86" t="e">
        <f>'All regions'!H2143+"n/&gt;!%jR"</f>
        <v>#VALUE!</v>
      </c>
      <c r="CS86" t="e">
        <f>'All regions'!I2143+"n/&gt;!%jS"</f>
        <v>#VALUE!</v>
      </c>
      <c r="CT86" t="e">
        <f>'All regions'!J2143+"n/&gt;!%jT"</f>
        <v>#VALUE!</v>
      </c>
      <c r="CU86" t="e">
        <f>'All regions'!A2144+"n/&gt;!%jU"</f>
        <v>#VALUE!</v>
      </c>
      <c r="CV86" t="e">
        <f>'All regions'!B2144+"n/&gt;!%jV"</f>
        <v>#VALUE!</v>
      </c>
      <c r="CW86" t="e">
        <f>'All regions'!C2144+"n/&gt;!%jW"</f>
        <v>#VALUE!</v>
      </c>
      <c r="CX86" t="e">
        <f>'All regions'!D2144+"n/&gt;!%jX"</f>
        <v>#VALUE!</v>
      </c>
      <c r="CY86" t="e">
        <f>'All regions'!E2144+"n/&gt;!%jY"</f>
        <v>#VALUE!</v>
      </c>
      <c r="CZ86" t="e">
        <f>'All regions'!F2144+"n/&gt;!%jZ"</f>
        <v>#VALUE!</v>
      </c>
      <c r="DA86" t="e">
        <f>'All regions'!G2144+"n/&gt;!%j["</f>
        <v>#VALUE!</v>
      </c>
      <c r="DB86" t="e">
        <f>'All regions'!H2144+"n/&gt;!%j\"</f>
        <v>#VALUE!</v>
      </c>
      <c r="DC86" t="e">
        <f>'All regions'!I2144+"n/&gt;!%j]"</f>
        <v>#VALUE!</v>
      </c>
      <c r="DD86" t="e">
        <f>'All regions'!J2144+"n/&gt;!%j^"</f>
        <v>#VALUE!</v>
      </c>
      <c r="DE86" t="e">
        <f>'All regions'!A2145+"n/&gt;!%j_"</f>
        <v>#VALUE!</v>
      </c>
      <c r="DF86" t="e">
        <f>'All regions'!B2145+"n/&gt;!%j`"</f>
        <v>#VALUE!</v>
      </c>
      <c r="DG86" t="e">
        <f>'All regions'!C2145+"n/&gt;!%ja"</f>
        <v>#VALUE!</v>
      </c>
      <c r="DH86" t="e">
        <f>'All regions'!D2145+"n/&gt;!%jb"</f>
        <v>#VALUE!</v>
      </c>
      <c r="DI86" t="e">
        <f>'All regions'!E2145+"n/&gt;!%jc"</f>
        <v>#VALUE!</v>
      </c>
      <c r="DJ86" t="e">
        <f>'All regions'!F2145+"n/&gt;!%jd"</f>
        <v>#VALUE!</v>
      </c>
      <c r="DK86" t="e">
        <f>'All regions'!G2145+"n/&gt;!%je"</f>
        <v>#VALUE!</v>
      </c>
      <c r="DL86" t="e">
        <f>'All regions'!H2145+"n/&gt;!%jf"</f>
        <v>#VALUE!</v>
      </c>
      <c r="DM86" t="e">
        <f>'All regions'!I2145+"n/&gt;!%jg"</f>
        <v>#VALUE!</v>
      </c>
      <c r="DN86" t="e">
        <f>'All regions'!J2145+"n/&gt;!%jh"</f>
        <v>#VALUE!</v>
      </c>
      <c r="DO86" t="e">
        <f>'All regions'!A2146+"n/&gt;!%ji"</f>
        <v>#VALUE!</v>
      </c>
      <c r="DP86" t="e">
        <f>'All regions'!B2146+"n/&gt;!%jj"</f>
        <v>#VALUE!</v>
      </c>
      <c r="DQ86" t="e">
        <f>'All regions'!C2146+"n/&gt;!%jk"</f>
        <v>#VALUE!</v>
      </c>
      <c r="DR86" t="e">
        <f>'All regions'!D2146+"n/&gt;!%jl"</f>
        <v>#VALUE!</v>
      </c>
      <c r="DS86" t="e">
        <f>'All regions'!E2146+"n/&gt;!%jm"</f>
        <v>#VALUE!</v>
      </c>
      <c r="DT86" t="e">
        <f>'All regions'!F2146+"n/&gt;!%jn"</f>
        <v>#VALUE!</v>
      </c>
      <c r="DU86" t="e">
        <f>'All regions'!G2146+"n/&gt;!%jo"</f>
        <v>#VALUE!</v>
      </c>
      <c r="DV86" t="e">
        <f>'All regions'!H2146+"n/&gt;!%jp"</f>
        <v>#VALUE!</v>
      </c>
      <c r="DW86" t="e">
        <f>'All regions'!I2146+"n/&gt;!%jq"</f>
        <v>#VALUE!</v>
      </c>
      <c r="DX86" t="e">
        <f>'All regions'!J2146+"n/&gt;!%jr"</f>
        <v>#VALUE!</v>
      </c>
      <c r="DY86" t="e">
        <f>'All regions'!A2147+"n/&gt;!%js"</f>
        <v>#VALUE!</v>
      </c>
      <c r="DZ86" t="e">
        <f>'All regions'!B2147+"n/&gt;!%jt"</f>
        <v>#VALUE!</v>
      </c>
      <c r="EA86" t="e">
        <f>'All regions'!C2147+"n/&gt;!%ju"</f>
        <v>#VALUE!</v>
      </c>
      <c r="EB86" t="e">
        <f>'All regions'!D2147+"n/&gt;!%jv"</f>
        <v>#VALUE!</v>
      </c>
      <c r="EC86" t="e">
        <f>'All regions'!E2147+"n/&gt;!%jw"</f>
        <v>#VALUE!</v>
      </c>
      <c r="ED86" t="e">
        <f>'All regions'!F2147+"n/&gt;!%jx"</f>
        <v>#VALUE!</v>
      </c>
      <c r="EE86" t="e">
        <f>'All regions'!G2147+"n/&gt;!%jy"</f>
        <v>#VALUE!</v>
      </c>
      <c r="EF86" t="e">
        <f>'All regions'!H2147+"n/&gt;!%jz"</f>
        <v>#VALUE!</v>
      </c>
      <c r="EG86" t="e">
        <f>'All regions'!I2147+"n/&gt;!%j{"</f>
        <v>#VALUE!</v>
      </c>
      <c r="EH86" t="e">
        <f>'All regions'!J2147+"n/&gt;!%j|"</f>
        <v>#VALUE!</v>
      </c>
      <c r="EI86" t="e">
        <f>'All regions'!A2148+"n/&gt;!%j}"</f>
        <v>#VALUE!</v>
      </c>
      <c r="EJ86" t="e">
        <f>'All regions'!B2148+"n/&gt;!%j~"</f>
        <v>#VALUE!</v>
      </c>
      <c r="EK86" t="e">
        <f>'All regions'!C2148+"n/&gt;!%k#"</f>
        <v>#VALUE!</v>
      </c>
      <c r="EL86" t="e">
        <f>'All regions'!D2148+"n/&gt;!%k$"</f>
        <v>#VALUE!</v>
      </c>
      <c r="EM86" t="e">
        <f>'All regions'!E2148+"n/&gt;!%k%"</f>
        <v>#VALUE!</v>
      </c>
      <c r="EN86" t="e">
        <f>'All regions'!F2148+"n/&gt;!%k&amp;"</f>
        <v>#VALUE!</v>
      </c>
      <c r="EO86" t="e">
        <f>'All regions'!G2148+"n/&gt;!%k'"</f>
        <v>#VALUE!</v>
      </c>
      <c r="EP86" t="e">
        <f>'All regions'!H2148+"n/&gt;!%k("</f>
        <v>#VALUE!</v>
      </c>
      <c r="EQ86" t="e">
        <f>'All regions'!I2148+"n/&gt;!%k)"</f>
        <v>#VALUE!</v>
      </c>
      <c r="ER86" t="e">
        <f>'All regions'!J2148+"n/&gt;!%k."</f>
        <v>#VALUE!</v>
      </c>
      <c r="ES86" t="e">
        <f>'All regions'!A2149+"n/&gt;!%k/"</f>
        <v>#VALUE!</v>
      </c>
      <c r="ET86" t="e">
        <f>'All regions'!B2149+"n/&gt;!%k0"</f>
        <v>#VALUE!</v>
      </c>
      <c r="EU86" t="e">
        <f>'All regions'!C2149+"n/&gt;!%k1"</f>
        <v>#VALUE!</v>
      </c>
      <c r="EV86" t="e">
        <f>'All regions'!D2149+"n/&gt;!%k2"</f>
        <v>#VALUE!</v>
      </c>
      <c r="EW86" t="e">
        <f>'All regions'!E2149+"n/&gt;!%k3"</f>
        <v>#VALUE!</v>
      </c>
      <c r="EX86" t="e">
        <f>'All regions'!F2149+"n/&gt;!%k4"</f>
        <v>#VALUE!</v>
      </c>
      <c r="EY86" t="e">
        <f>'All regions'!G2149+"n/&gt;!%k5"</f>
        <v>#VALUE!</v>
      </c>
      <c r="EZ86" t="e">
        <f>'All regions'!H2149+"n/&gt;!%k6"</f>
        <v>#VALUE!</v>
      </c>
      <c r="FA86" t="e">
        <f>'All regions'!I2149+"n/&gt;!%k7"</f>
        <v>#VALUE!</v>
      </c>
      <c r="FB86" t="e">
        <f>'All regions'!J2149+"n/&gt;!%k8"</f>
        <v>#VALUE!</v>
      </c>
      <c r="FC86" t="e">
        <f>'All regions'!A2150+"n/&gt;!%k9"</f>
        <v>#VALUE!</v>
      </c>
      <c r="FD86" t="e">
        <f>'All regions'!B2150+"n/&gt;!%k:"</f>
        <v>#VALUE!</v>
      </c>
      <c r="FE86" t="e">
        <f>'All regions'!C2150+"n/&gt;!%k;"</f>
        <v>#VALUE!</v>
      </c>
      <c r="FF86" t="e">
        <f>'All regions'!D2150+"n/&gt;!%k&lt;"</f>
        <v>#VALUE!</v>
      </c>
      <c r="FG86" t="e">
        <f>'All regions'!E2150+"n/&gt;!%k="</f>
        <v>#VALUE!</v>
      </c>
      <c r="FH86" t="e">
        <f>'All regions'!F2150+"n/&gt;!%k&gt;"</f>
        <v>#VALUE!</v>
      </c>
      <c r="FI86" t="e">
        <f>'All regions'!G2150+"n/&gt;!%k?"</f>
        <v>#VALUE!</v>
      </c>
      <c r="FJ86" t="e">
        <f>'All regions'!H2150+"n/&gt;!%k@"</f>
        <v>#VALUE!</v>
      </c>
      <c r="FK86" t="e">
        <f>'All regions'!I2150+"n/&gt;!%kA"</f>
        <v>#VALUE!</v>
      </c>
      <c r="FL86" t="e">
        <f>'All regions'!J2150+"n/&gt;!%kB"</f>
        <v>#VALUE!</v>
      </c>
      <c r="FM86" t="e">
        <f>'All regions'!A2151+"n/&gt;!%kC"</f>
        <v>#VALUE!</v>
      </c>
      <c r="FN86" t="e">
        <f>'All regions'!B2151+"n/&gt;!%kD"</f>
        <v>#VALUE!</v>
      </c>
      <c r="FO86" t="e">
        <f>'All regions'!C2151+"n/&gt;!%kE"</f>
        <v>#VALUE!</v>
      </c>
      <c r="FP86" t="e">
        <f>'All regions'!D2151+"n/&gt;!%kF"</f>
        <v>#VALUE!</v>
      </c>
      <c r="FQ86" t="e">
        <f>'All regions'!E2151+"n/&gt;!%kG"</f>
        <v>#VALUE!</v>
      </c>
      <c r="FR86" t="e">
        <f>'All regions'!F2151+"n/&gt;!%kH"</f>
        <v>#VALUE!</v>
      </c>
      <c r="FS86" t="e">
        <f>'All regions'!G2151+"n/&gt;!%kI"</f>
        <v>#VALUE!</v>
      </c>
      <c r="FT86" t="e">
        <f>'All regions'!H2151+"n/&gt;!%kJ"</f>
        <v>#VALUE!</v>
      </c>
      <c r="FU86" t="e">
        <f>'All regions'!I2151+"n/&gt;!%kK"</f>
        <v>#VALUE!</v>
      </c>
      <c r="FV86" t="e">
        <f>'All regions'!J2151+"n/&gt;!%kL"</f>
        <v>#VALUE!</v>
      </c>
      <c r="FW86" t="e">
        <f>'All regions'!A2152+"n/&gt;!%kM"</f>
        <v>#VALUE!</v>
      </c>
      <c r="FX86" t="e">
        <f>'All regions'!B2152+"n/&gt;!%kN"</f>
        <v>#VALUE!</v>
      </c>
      <c r="FY86" t="e">
        <f>'All regions'!C2152+"n/&gt;!%kO"</f>
        <v>#VALUE!</v>
      </c>
      <c r="FZ86" t="e">
        <f>'All regions'!D2152+"n/&gt;!%kP"</f>
        <v>#VALUE!</v>
      </c>
      <c r="GA86" t="e">
        <f>'All regions'!E2152+"n/&gt;!%kQ"</f>
        <v>#VALUE!</v>
      </c>
      <c r="GB86" t="e">
        <f>'All regions'!F2152+"n/&gt;!%kR"</f>
        <v>#VALUE!</v>
      </c>
      <c r="GC86" t="e">
        <f>'All regions'!G2152+"n/&gt;!%kS"</f>
        <v>#VALUE!</v>
      </c>
      <c r="GD86" t="e">
        <f>'All regions'!H2152+"n/&gt;!%kT"</f>
        <v>#VALUE!</v>
      </c>
      <c r="GE86" t="e">
        <f>'All regions'!I2152+"n/&gt;!%kU"</f>
        <v>#VALUE!</v>
      </c>
      <c r="GF86" t="e">
        <f>'All regions'!J2152+"n/&gt;!%kV"</f>
        <v>#VALUE!</v>
      </c>
      <c r="GG86" t="e">
        <f>'All regions'!A2153+"n/&gt;!%kW"</f>
        <v>#VALUE!</v>
      </c>
      <c r="GH86" t="e">
        <f>'All regions'!B2153+"n/&gt;!%kX"</f>
        <v>#VALUE!</v>
      </c>
      <c r="GI86" t="e">
        <f>'All regions'!C2153+"n/&gt;!%kY"</f>
        <v>#VALUE!</v>
      </c>
      <c r="GJ86" t="e">
        <f>'All regions'!D2153+"n/&gt;!%kZ"</f>
        <v>#VALUE!</v>
      </c>
      <c r="GK86" t="e">
        <f>'All regions'!E2153+"n/&gt;!%k["</f>
        <v>#VALUE!</v>
      </c>
      <c r="GL86" t="e">
        <f>'All regions'!F2153+"n/&gt;!%k\"</f>
        <v>#VALUE!</v>
      </c>
      <c r="GM86" t="e">
        <f>'All regions'!G2153+"n/&gt;!%k]"</f>
        <v>#VALUE!</v>
      </c>
      <c r="GN86" t="e">
        <f>'All regions'!H2153+"n/&gt;!%k^"</f>
        <v>#VALUE!</v>
      </c>
      <c r="GO86" t="e">
        <f>'All regions'!I2153+"n/&gt;!%k_"</f>
        <v>#VALUE!</v>
      </c>
      <c r="GP86" t="e">
        <f>'All regions'!J2153+"n/&gt;!%k`"</f>
        <v>#VALUE!</v>
      </c>
      <c r="GQ86" t="e">
        <f>'All regions'!A2154+"n/&gt;!%ka"</f>
        <v>#VALUE!</v>
      </c>
      <c r="GR86" t="e">
        <f>'All regions'!B2154+"n/&gt;!%kb"</f>
        <v>#VALUE!</v>
      </c>
      <c r="GS86" t="e">
        <f>'All regions'!C2154+"n/&gt;!%kc"</f>
        <v>#VALUE!</v>
      </c>
      <c r="GT86" t="e">
        <f>'All regions'!D2154+"n/&gt;!%kd"</f>
        <v>#VALUE!</v>
      </c>
      <c r="GU86" t="e">
        <f>'All regions'!E2154+"n/&gt;!%ke"</f>
        <v>#VALUE!</v>
      </c>
      <c r="GV86" t="e">
        <f>'All regions'!F2154+"n/&gt;!%kf"</f>
        <v>#VALUE!</v>
      </c>
      <c r="GW86" t="e">
        <f>'All regions'!G2154+"n/&gt;!%kg"</f>
        <v>#VALUE!</v>
      </c>
      <c r="GX86" t="e">
        <f>'All regions'!H2154+"n/&gt;!%kh"</f>
        <v>#VALUE!</v>
      </c>
      <c r="GY86" t="e">
        <f>'All regions'!I2154+"n/&gt;!%ki"</f>
        <v>#VALUE!</v>
      </c>
      <c r="GZ86" t="e">
        <f>'All regions'!J2154+"n/&gt;!%kj"</f>
        <v>#VALUE!</v>
      </c>
      <c r="HA86" t="e">
        <f>'All regions'!A2155+"n/&gt;!%kk"</f>
        <v>#VALUE!</v>
      </c>
      <c r="HB86" t="e">
        <f>'All regions'!B2155+"n/&gt;!%kl"</f>
        <v>#VALUE!</v>
      </c>
      <c r="HC86" t="e">
        <f>'All regions'!C2155+"n/&gt;!%km"</f>
        <v>#VALUE!</v>
      </c>
      <c r="HD86" t="e">
        <f>'All regions'!D2155+"n/&gt;!%kn"</f>
        <v>#VALUE!</v>
      </c>
      <c r="HE86" t="e">
        <f>'All regions'!E2155+"n/&gt;!%ko"</f>
        <v>#VALUE!</v>
      </c>
      <c r="HF86" t="e">
        <f>'All regions'!F2155+"n/&gt;!%kp"</f>
        <v>#VALUE!</v>
      </c>
      <c r="HG86" t="e">
        <f>'All regions'!G2155+"n/&gt;!%kq"</f>
        <v>#VALUE!</v>
      </c>
      <c r="HH86" t="e">
        <f>'All regions'!H2155+"n/&gt;!%kr"</f>
        <v>#VALUE!</v>
      </c>
      <c r="HI86" t="e">
        <f>'All regions'!I2155+"n/&gt;!%ks"</f>
        <v>#VALUE!</v>
      </c>
      <c r="HJ86" t="e">
        <f>'All regions'!J2155+"n/&gt;!%kt"</f>
        <v>#VALUE!</v>
      </c>
      <c r="HK86" t="e">
        <f>'All regions'!A2156+"n/&gt;!%ku"</f>
        <v>#VALUE!</v>
      </c>
      <c r="HL86" t="e">
        <f>'All regions'!B2156+"n/&gt;!%kv"</f>
        <v>#VALUE!</v>
      </c>
      <c r="HM86" t="e">
        <f>'All regions'!C2156+"n/&gt;!%kw"</f>
        <v>#VALUE!</v>
      </c>
      <c r="HN86" t="e">
        <f>'All regions'!D2156+"n/&gt;!%kx"</f>
        <v>#VALUE!</v>
      </c>
      <c r="HO86" t="e">
        <f>'All regions'!E2156+"n/&gt;!%ky"</f>
        <v>#VALUE!</v>
      </c>
      <c r="HP86" t="e">
        <f>'All regions'!F2156+"n/&gt;!%kz"</f>
        <v>#VALUE!</v>
      </c>
      <c r="HQ86" t="e">
        <f>'All regions'!G2156+"n/&gt;!%k{"</f>
        <v>#VALUE!</v>
      </c>
      <c r="HR86" t="e">
        <f>'All regions'!H2156+"n/&gt;!%k|"</f>
        <v>#VALUE!</v>
      </c>
      <c r="HS86" t="e">
        <f>'All regions'!I2156+"n/&gt;!%k}"</f>
        <v>#VALUE!</v>
      </c>
      <c r="HT86" t="e">
        <f>'All regions'!J2156+"n/&gt;!%k~"</f>
        <v>#VALUE!</v>
      </c>
      <c r="HU86" t="e">
        <f>'All regions'!A2157+"n/&gt;!%l#"</f>
        <v>#VALUE!</v>
      </c>
      <c r="HV86" t="e">
        <f>'All regions'!B2157+"n/&gt;!%l$"</f>
        <v>#VALUE!</v>
      </c>
      <c r="HW86" t="e">
        <f>'All regions'!C2157+"n/&gt;!%l%"</f>
        <v>#VALUE!</v>
      </c>
      <c r="HX86" t="e">
        <f>'All regions'!D2157+"n/&gt;!%l&amp;"</f>
        <v>#VALUE!</v>
      </c>
      <c r="HY86" t="e">
        <f>'All regions'!E2157+"n/&gt;!%l'"</f>
        <v>#VALUE!</v>
      </c>
      <c r="HZ86" t="e">
        <f>'All regions'!F2157+"n/&gt;!%l("</f>
        <v>#VALUE!</v>
      </c>
      <c r="IA86" t="e">
        <f>'All regions'!G2157+"n/&gt;!%l)"</f>
        <v>#VALUE!</v>
      </c>
      <c r="IB86" t="e">
        <f>'All regions'!H2157+"n/&gt;!%l."</f>
        <v>#VALUE!</v>
      </c>
      <c r="IC86" t="e">
        <f>'All regions'!I2157+"n/&gt;!%l/"</f>
        <v>#VALUE!</v>
      </c>
      <c r="ID86" t="e">
        <f>'All regions'!J2157+"n/&gt;!%l0"</f>
        <v>#VALUE!</v>
      </c>
      <c r="IE86" t="e">
        <f>'All regions'!A2158+"n/&gt;!%l1"</f>
        <v>#VALUE!</v>
      </c>
      <c r="IF86" t="e">
        <f>'All regions'!B2158+"n/&gt;!%l2"</f>
        <v>#VALUE!</v>
      </c>
      <c r="IG86" t="e">
        <f>'All regions'!C2158+"n/&gt;!%l3"</f>
        <v>#VALUE!</v>
      </c>
      <c r="IH86" t="e">
        <f>'All regions'!D2158+"n/&gt;!%l4"</f>
        <v>#VALUE!</v>
      </c>
      <c r="II86" t="e">
        <f>'All regions'!E2158+"n/&gt;!%l5"</f>
        <v>#VALUE!</v>
      </c>
      <c r="IJ86" t="e">
        <f>'All regions'!F2158+"n/&gt;!%l6"</f>
        <v>#VALUE!</v>
      </c>
      <c r="IK86" t="e">
        <f>'All regions'!G2158+"n/&gt;!%l7"</f>
        <v>#VALUE!</v>
      </c>
      <c r="IL86" t="e">
        <f>'All regions'!H2158+"n/&gt;!%l8"</f>
        <v>#VALUE!</v>
      </c>
      <c r="IM86" t="e">
        <f>'All regions'!I2158+"n/&gt;!%l9"</f>
        <v>#VALUE!</v>
      </c>
      <c r="IN86" t="e">
        <f>'All regions'!J2158+"n/&gt;!%l:"</f>
        <v>#VALUE!</v>
      </c>
      <c r="IO86" t="e">
        <f>'All regions'!A2159+"n/&gt;!%l;"</f>
        <v>#VALUE!</v>
      </c>
      <c r="IP86" t="e">
        <f>'All regions'!B2159+"n/&gt;!%l&lt;"</f>
        <v>#VALUE!</v>
      </c>
      <c r="IQ86" t="e">
        <f>'All regions'!C2159+"n/&gt;!%l="</f>
        <v>#VALUE!</v>
      </c>
      <c r="IR86" t="e">
        <f>'All regions'!D2159+"n/&gt;!%l&gt;"</f>
        <v>#VALUE!</v>
      </c>
      <c r="IS86" t="e">
        <f>'All regions'!E2159+"n/&gt;!%l?"</f>
        <v>#VALUE!</v>
      </c>
      <c r="IT86" t="e">
        <f>'All regions'!F2159+"n/&gt;!%l@"</f>
        <v>#VALUE!</v>
      </c>
      <c r="IU86" t="e">
        <f>'All regions'!G2159+"n/&gt;!%lA"</f>
        <v>#VALUE!</v>
      </c>
      <c r="IV86" t="e">
        <f>'All regions'!H2159+"n/&gt;!%lB"</f>
        <v>#VALUE!</v>
      </c>
    </row>
    <row r="87" spans="6:256" x14ac:dyDescent="0.35">
      <c r="F87" t="e">
        <f>'All regions'!I2159+"n/&gt;!%lC"</f>
        <v>#VALUE!</v>
      </c>
      <c r="G87" t="e">
        <f>'All regions'!J2159+"n/&gt;!%lD"</f>
        <v>#VALUE!</v>
      </c>
      <c r="H87" t="e">
        <f>'All regions'!A2160+"n/&gt;!%lE"</f>
        <v>#VALUE!</v>
      </c>
      <c r="I87" t="e">
        <f>'All regions'!B2160+"n/&gt;!%lF"</f>
        <v>#VALUE!</v>
      </c>
      <c r="J87" t="e">
        <f>'All regions'!C2160+"n/&gt;!%lG"</f>
        <v>#VALUE!</v>
      </c>
      <c r="K87" t="e">
        <f>'All regions'!D2160+"n/&gt;!%lH"</f>
        <v>#VALUE!</v>
      </c>
      <c r="L87" t="e">
        <f>'All regions'!E2160+"n/&gt;!%lI"</f>
        <v>#VALUE!</v>
      </c>
      <c r="M87" t="e">
        <f>'All regions'!F2160+"n/&gt;!%lJ"</f>
        <v>#VALUE!</v>
      </c>
      <c r="N87" t="e">
        <f>'All regions'!G2160+"n/&gt;!%lK"</f>
        <v>#VALUE!</v>
      </c>
      <c r="O87" t="e">
        <f>'All regions'!H2160+"n/&gt;!%lL"</f>
        <v>#VALUE!</v>
      </c>
      <c r="P87" t="e">
        <f>'All regions'!I2160+"n/&gt;!%lM"</f>
        <v>#VALUE!</v>
      </c>
      <c r="Q87" t="e">
        <f>'All regions'!J2160+"n/&gt;!%lN"</f>
        <v>#VALUE!</v>
      </c>
      <c r="R87" t="e">
        <f>'All regions'!A2161+"n/&gt;!%lO"</f>
        <v>#VALUE!</v>
      </c>
      <c r="S87" t="e">
        <f>'All regions'!B2161+"n/&gt;!%lP"</f>
        <v>#VALUE!</v>
      </c>
      <c r="T87" t="e">
        <f>'All regions'!C2161+"n/&gt;!%lQ"</f>
        <v>#VALUE!</v>
      </c>
      <c r="U87" t="e">
        <f>'All regions'!D2161+"n/&gt;!%lR"</f>
        <v>#VALUE!</v>
      </c>
      <c r="V87" t="e">
        <f>'All regions'!E2161+"n/&gt;!%lS"</f>
        <v>#VALUE!</v>
      </c>
      <c r="W87" t="e">
        <f>'All regions'!F2161+"n/&gt;!%lT"</f>
        <v>#VALUE!</v>
      </c>
      <c r="X87" t="e">
        <f>'All regions'!G2161+"n/&gt;!%lU"</f>
        <v>#VALUE!</v>
      </c>
      <c r="Y87" t="e">
        <f>'All regions'!H2161+"n/&gt;!%lV"</f>
        <v>#VALUE!</v>
      </c>
      <c r="Z87" t="e">
        <f>'All regions'!I2161+"n/&gt;!%lW"</f>
        <v>#VALUE!</v>
      </c>
      <c r="AA87" t="e">
        <f>'All regions'!J2161+"n/&gt;!%lX"</f>
        <v>#VALUE!</v>
      </c>
      <c r="AB87" t="e">
        <f>'All regions'!A2162+"n/&gt;!%lY"</f>
        <v>#VALUE!</v>
      </c>
      <c r="AC87" t="e">
        <f>'All regions'!B2162+"n/&gt;!%lZ"</f>
        <v>#VALUE!</v>
      </c>
      <c r="AD87" t="e">
        <f>'All regions'!C2162+"n/&gt;!%l["</f>
        <v>#VALUE!</v>
      </c>
      <c r="AE87" t="e">
        <f>'All regions'!D2162+"n/&gt;!%l\"</f>
        <v>#VALUE!</v>
      </c>
      <c r="AF87" t="e">
        <f>'All regions'!E2162+"n/&gt;!%l]"</f>
        <v>#VALUE!</v>
      </c>
      <c r="AG87" t="e">
        <f>'All regions'!F2162+"n/&gt;!%l^"</f>
        <v>#VALUE!</v>
      </c>
      <c r="AH87" t="e">
        <f>'All regions'!G2162+"n/&gt;!%l_"</f>
        <v>#VALUE!</v>
      </c>
      <c r="AI87" t="e">
        <f>'All regions'!H2162+"n/&gt;!%l`"</f>
        <v>#VALUE!</v>
      </c>
      <c r="AJ87" t="e">
        <f>'All regions'!I2162+"n/&gt;!%la"</f>
        <v>#VALUE!</v>
      </c>
      <c r="AK87" t="e">
        <f>'All regions'!J2162+"n/&gt;!%lb"</f>
        <v>#VALUE!</v>
      </c>
      <c r="AL87" t="e">
        <f>'All regions'!A2163+"n/&gt;!%lc"</f>
        <v>#VALUE!</v>
      </c>
      <c r="AM87" t="e">
        <f>'All regions'!B2163+"n/&gt;!%ld"</f>
        <v>#VALUE!</v>
      </c>
      <c r="AN87" t="e">
        <f>'All regions'!C2163+"n/&gt;!%le"</f>
        <v>#VALUE!</v>
      </c>
      <c r="AO87" t="e">
        <f>'All regions'!D2163+"n/&gt;!%lf"</f>
        <v>#VALUE!</v>
      </c>
      <c r="AP87" t="e">
        <f>'All regions'!E2163+"n/&gt;!%lg"</f>
        <v>#VALUE!</v>
      </c>
      <c r="AQ87" t="e">
        <f>'All regions'!F2163+"n/&gt;!%lh"</f>
        <v>#VALUE!</v>
      </c>
      <c r="AR87" t="e">
        <f>'All regions'!G2163+"n/&gt;!%li"</f>
        <v>#VALUE!</v>
      </c>
      <c r="AS87" t="e">
        <f>'All regions'!H2163+"n/&gt;!%lj"</f>
        <v>#VALUE!</v>
      </c>
      <c r="AT87" t="e">
        <f>'All regions'!I2163+"n/&gt;!%lk"</f>
        <v>#VALUE!</v>
      </c>
      <c r="AU87" t="e">
        <f>'All regions'!J2163+"n/&gt;!%ll"</f>
        <v>#VALUE!</v>
      </c>
      <c r="AV87" t="e">
        <f>'All regions'!A2164+"n/&gt;!%lm"</f>
        <v>#VALUE!</v>
      </c>
      <c r="AW87" t="e">
        <f>'All regions'!B2164+"n/&gt;!%ln"</f>
        <v>#VALUE!</v>
      </c>
      <c r="AX87" t="e">
        <f>'All regions'!C2164+"n/&gt;!%lo"</f>
        <v>#VALUE!</v>
      </c>
      <c r="AY87" t="e">
        <f>'All regions'!D2164+"n/&gt;!%lp"</f>
        <v>#VALUE!</v>
      </c>
      <c r="AZ87" t="e">
        <f>'All regions'!E2164+"n/&gt;!%lq"</f>
        <v>#VALUE!</v>
      </c>
      <c r="BA87" t="e">
        <f>'All regions'!F2164+"n/&gt;!%lr"</f>
        <v>#VALUE!</v>
      </c>
      <c r="BB87" t="e">
        <f>'All regions'!G2164+"n/&gt;!%ls"</f>
        <v>#VALUE!</v>
      </c>
      <c r="BC87" t="e">
        <f>'All regions'!H2164+"n/&gt;!%lt"</f>
        <v>#VALUE!</v>
      </c>
      <c r="BD87" t="e">
        <f>'All regions'!I2164+"n/&gt;!%lu"</f>
        <v>#VALUE!</v>
      </c>
      <c r="BE87" t="e">
        <f>'All regions'!J2164+"n/&gt;!%lv"</f>
        <v>#VALUE!</v>
      </c>
      <c r="BF87" t="e">
        <f>'All regions'!A2165+"n/&gt;!%lw"</f>
        <v>#VALUE!</v>
      </c>
      <c r="BG87" t="e">
        <f>'All regions'!B2165+"n/&gt;!%lx"</f>
        <v>#VALUE!</v>
      </c>
      <c r="BH87" t="e">
        <f>'All regions'!C2165+"n/&gt;!%ly"</f>
        <v>#VALUE!</v>
      </c>
      <c r="BI87" t="e">
        <f>'All regions'!D2165+"n/&gt;!%lz"</f>
        <v>#VALUE!</v>
      </c>
      <c r="BJ87" t="e">
        <f>'All regions'!E2165+"n/&gt;!%l{"</f>
        <v>#VALUE!</v>
      </c>
      <c r="BK87" t="e">
        <f>'All regions'!F2165+"n/&gt;!%l|"</f>
        <v>#VALUE!</v>
      </c>
      <c r="BL87" t="e">
        <f>'All regions'!G2165+"n/&gt;!%l}"</f>
        <v>#VALUE!</v>
      </c>
      <c r="BM87" t="e">
        <f>'All regions'!H2165+"n/&gt;!%l~"</f>
        <v>#VALUE!</v>
      </c>
      <c r="BN87" t="e">
        <f>'All regions'!I2165+"n/&gt;!%m#"</f>
        <v>#VALUE!</v>
      </c>
      <c r="BO87" t="e">
        <f>'All regions'!J2165+"n/&gt;!%m$"</f>
        <v>#VALUE!</v>
      </c>
      <c r="BP87" t="e">
        <f>'All regions'!A2166+"n/&gt;!%m%"</f>
        <v>#VALUE!</v>
      </c>
      <c r="BQ87" t="e">
        <f>'All regions'!B2166+"n/&gt;!%m&amp;"</f>
        <v>#VALUE!</v>
      </c>
      <c r="BR87" t="e">
        <f>'All regions'!C2166+"n/&gt;!%m'"</f>
        <v>#VALUE!</v>
      </c>
      <c r="BS87" t="e">
        <f>'All regions'!D2166+"n/&gt;!%m("</f>
        <v>#VALUE!</v>
      </c>
      <c r="BT87" t="e">
        <f>'All regions'!E2166+"n/&gt;!%m)"</f>
        <v>#VALUE!</v>
      </c>
      <c r="BU87" t="e">
        <f>'All regions'!F2166+"n/&gt;!%m."</f>
        <v>#VALUE!</v>
      </c>
      <c r="BV87" t="e">
        <f>'All regions'!G2166+"n/&gt;!%m/"</f>
        <v>#VALUE!</v>
      </c>
      <c r="BW87" t="e">
        <f>'All regions'!H2166+"n/&gt;!%m0"</f>
        <v>#VALUE!</v>
      </c>
      <c r="BX87" t="e">
        <f>'All regions'!I2166+"n/&gt;!%m1"</f>
        <v>#VALUE!</v>
      </c>
      <c r="BY87" t="e">
        <f>'All regions'!J2166+"n/&gt;!%m2"</f>
        <v>#VALUE!</v>
      </c>
      <c r="BZ87" t="e">
        <f>'All regions'!A2167+"n/&gt;!%m3"</f>
        <v>#VALUE!</v>
      </c>
      <c r="CA87" t="e">
        <f>'All regions'!B2167+"n/&gt;!%m4"</f>
        <v>#VALUE!</v>
      </c>
      <c r="CB87" t="e">
        <f>'All regions'!C2167+"n/&gt;!%m5"</f>
        <v>#VALUE!</v>
      </c>
      <c r="CC87" t="e">
        <f>'All regions'!D2167+"n/&gt;!%m6"</f>
        <v>#VALUE!</v>
      </c>
      <c r="CD87" t="e">
        <f>'All regions'!E2167+"n/&gt;!%m7"</f>
        <v>#VALUE!</v>
      </c>
      <c r="CE87" t="e">
        <f>'All regions'!F2167+"n/&gt;!%m8"</f>
        <v>#VALUE!</v>
      </c>
      <c r="CF87" t="e">
        <f>'All regions'!G2167+"n/&gt;!%m9"</f>
        <v>#VALUE!</v>
      </c>
      <c r="CG87" t="e">
        <f>'All regions'!H2167+"n/&gt;!%m:"</f>
        <v>#VALUE!</v>
      </c>
      <c r="CH87" t="e">
        <f>'All regions'!I2167+"n/&gt;!%m;"</f>
        <v>#VALUE!</v>
      </c>
      <c r="CI87" t="e">
        <f>'All regions'!J2167+"n/&gt;!%m&lt;"</f>
        <v>#VALUE!</v>
      </c>
      <c r="CJ87" t="e">
        <f>'All regions'!A2168+"n/&gt;!%m="</f>
        <v>#VALUE!</v>
      </c>
      <c r="CK87" t="e">
        <f>'All regions'!B2168+"n/&gt;!%m&gt;"</f>
        <v>#VALUE!</v>
      </c>
      <c r="CL87" t="e">
        <f>'All regions'!C2168+"n/&gt;!%m?"</f>
        <v>#VALUE!</v>
      </c>
      <c r="CM87" t="e">
        <f>'All regions'!D2168+"n/&gt;!%m@"</f>
        <v>#VALUE!</v>
      </c>
      <c r="CN87" t="e">
        <f>'All regions'!E2168+"n/&gt;!%mA"</f>
        <v>#VALUE!</v>
      </c>
      <c r="CO87" t="e">
        <f>'All regions'!F2168+"n/&gt;!%mB"</f>
        <v>#VALUE!</v>
      </c>
      <c r="CP87" t="e">
        <f>'All regions'!G2168+"n/&gt;!%mC"</f>
        <v>#VALUE!</v>
      </c>
      <c r="CQ87" t="e">
        <f>'All regions'!H2168+"n/&gt;!%mD"</f>
        <v>#VALUE!</v>
      </c>
      <c r="CR87" t="e">
        <f>'All regions'!I2168+"n/&gt;!%mE"</f>
        <v>#VALUE!</v>
      </c>
      <c r="CS87" t="e">
        <f>'All regions'!J2168+"n/&gt;!%mF"</f>
        <v>#VALUE!</v>
      </c>
      <c r="CT87" t="e">
        <f>'All regions'!A2169+"n/&gt;!%mG"</f>
        <v>#VALUE!</v>
      </c>
      <c r="CU87" t="e">
        <f>'All regions'!B2169+"n/&gt;!%mH"</f>
        <v>#VALUE!</v>
      </c>
      <c r="CV87" t="e">
        <f>'All regions'!C2169+"n/&gt;!%mI"</f>
        <v>#VALUE!</v>
      </c>
      <c r="CW87" t="e">
        <f>'All regions'!D2169+"n/&gt;!%mJ"</f>
        <v>#VALUE!</v>
      </c>
      <c r="CX87" t="e">
        <f>'All regions'!E2169+"n/&gt;!%mK"</f>
        <v>#VALUE!</v>
      </c>
      <c r="CY87" t="e">
        <f>'All regions'!F2169+"n/&gt;!%mL"</f>
        <v>#VALUE!</v>
      </c>
      <c r="CZ87" t="e">
        <f>'All regions'!G2169+"n/&gt;!%mM"</f>
        <v>#VALUE!</v>
      </c>
      <c r="DA87" t="e">
        <f>'All regions'!H2169+"n/&gt;!%mN"</f>
        <v>#VALUE!</v>
      </c>
      <c r="DB87" t="e">
        <f>'All regions'!I2169+"n/&gt;!%mO"</f>
        <v>#VALUE!</v>
      </c>
      <c r="DC87" t="e">
        <f>'All regions'!J2169+"n/&gt;!%mP"</f>
        <v>#VALUE!</v>
      </c>
      <c r="DD87" t="e">
        <f>'All regions'!A2170+"n/&gt;!%mQ"</f>
        <v>#VALUE!</v>
      </c>
      <c r="DE87" t="e">
        <f>'All regions'!B2170+"n/&gt;!%mR"</f>
        <v>#VALUE!</v>
      </c>
      <c r="DF87" t="e">
        <f>'All regions'!C2170+"n/&gt;!%mS"</f>
        <v>#VALUE!</v>
      </c>
      <c r="DG87" t="e">
        <f>'All regions'!D2170+"n/&gt;!%mT"</f>
        <v>#VALUE!</v>
      </c>
      <c r="DH87" t="e">
        <f>'All regions'!E2170+"n/&gt;!%mU"</f>
        <v>#VALUE!</v>
      </c>
      <c r="DI87" t="e">
        <f>'All regions'!F2170+"n/&gt;!%mV"</f>
        <v>#VALUE!</v>
      </c>
      <c r="DJ87" t="e">
        <f>'All regions'!G2170+"n/&gt;!%mW"</f>
        <v>#VALUE!</v>
      </c>
      <c r="DK87" t="e">
        <f>'All regions'!H2170+"n/&gt;!%mX"</f>
        <v>#VALUE!</v>
      </c>
      <c r="DL87" t="e">
        <f>'All regions'!I2170+"n/&gt;!%mY"</f>
        <v>#VALUE!</v>
      </c>
      <c r="DM87" t="e">
        <f>'All regions'!J2170+"n/&gt;!%mZ"</f>
        <v>#VALUE!</v>
      </c>
      <c r="DN87" t="e">
        <f>'All regions'!A2171+"n/&gt;!%m["</f>
        <v>#VALUE!</v>
      </c>
      <c r="DO87" t="e">
        <f>'All regions'!B2171+"n/&gt;!%m\"</f>
        <v>#VALUE!</v>
      </c>
      <c r="DP87" t="e">
        <f>'All regions'!C2171+"n/&gt;!%m]"</f>
        <v>#VALUE!</v>
      </c>
      <c r="DQ87" t="e">
        <f>'All regions'!D2171+"n/&gt;!%m^"</f>
        <v>#VALUE!</v>
      </c>
      <c r="DR87" t="e">
        <f>'All regions'!E2171+"n/&gt;!%m_"</f>
        <v>#VALUE!</v>
      </c>
      <c r="DS87" t="e">
        <f>'All regions'!F2171+"n/&gt;!%m`"</f>
        <v>#VALUE!</v>
      </c>
      <c r="DT87" t="e">
        <f>'All regions'!G2171+"n/&gt;!%ma"</f>
        <v>#VALUE!</v>
      </c>
      <c r="DU87" t="e">
        <f>'All regions'!H2171+"n/&gt;!%mb"</f>
        <v>#VALUE!</v>
      </c>
      <c r="DV87" t="e">
        <f>'All regions'!I2171+"n/&gt;!%mc"</f>
        <v>#VALUE!</v>
      </c>
      <c r="DW87" t="e">
        <f>'All regions'!J2171+"n/&gt;!%md"</f>
        <v>#VALUE!</v>
      </c>
      <c r="DX87" t="e">
        <f>'All regions'!A2172+"n/&gt;!%me"</f>
        <v>#VALUE!</v>
      </c>
      <c r="DY87" t="e">
        <f>'All regions'!B2172+"n/&gt;!%mf"</f>
        <v>#VALUE!</v>
      </c>
      <c r="DZ87" t="e">
        <f>'All regions'!C2172+"n/&gt;!%mg"</f>
        <v>#VALUE!</v>
      </c>
      <c r="EA87" t="e">
        <f>'All regions'!D2172+"n/&gt;!%mh"</f>
        <v>#VALUE!</v>
      </c>
      <c r="EB87" t="e">
        <f>'All regions'!E2172+"n/&gt;!%mi"</f>
        <v>#VALUE!</v>
      </c>
      <c r="EC87" t="e">
        <f>'All regions'!F2172+"n/&gt;!%mj"</f>
        <v>#VALUE!</v>
      </c>
      <c r="ED87" t="e">
        <f>'All regions'!G2172+"n/&gt;!%mk"</f>
        <v>#VALUE!</v>
      </c>
      <c r="EE87" t="e">
        <f>'All regions'!H2172+"n/&gt;!%ml"</f>
        <v>#VALUE!</v>
      </c>
      <c r="EF87" t="e">
        <f>'All regions'!I2172+"n/&gt;!%mm"</f>
        <v>#VALUE!</v>
      </c>
      <c r="EG87" t="e">
        <f>'All regions'!J2172+"n/&gt;!%mn"</f>
        <v>#VALUE!</v>
      </c>
      <c r="EH87" t="e">
        <f>'All regions'!A2173+"n/&gt;!%mo"</f>
        <v>#VALUE!</v>
      </c>
      <c r="EI87" t="e">
        <f>'All regions'!B2173+"n/&gt;!%mp"</f>
        <v>#VALUE!</v>
      </c>
      <c r="EJ87" t="e">
        <f>'All regions'!C2173+"n/&gt;!%mq"</f>
        <v>#VALUE!</v>
      </c>
      <c r="EK87" t="e">
        <f>'All regions'!D2173+"n/&gt;!%mr"</f>
        <v>#VALUE!</v>
      </c>
      <c r="EL87" t="e">
        <f>'All regions'!E2173+"n/&gt;!%ms"</f>
        <v>#VALUE!</v>
      </c>
      <c r="EM87" t="e">
        <f>'All regions'!F2173+"n/&gt;!%mt"</f>
        <v>#VALUE!</v>
      </c>
      <c r="EN87" t="e">
        <f>'All regions'!G2173+"n/&gt;!%mu"</f>
        <v>#VALUE!</v>
      </c>
      <c r="EO87" t="e">
        <f>'All regions'!H2173+"n/&gt;!%mv"</f>
        <v>#VALUE!</v>
      </c>
      <c r="EP87" t="e">
        <f>'All regions'!I2173+"n/&gt;!%mw"</f>
        <v>#VALUE!</v>
      </c>
      <c r="EQ87" t="e">
        <f>'All regions'!J2173+"n/&gt;!%mx"</f>
        <v>#VALUE!</v>
      </c>
      <c r="ER87" t="e">
        <f>'All regions'!A2174+"n/&gt;!%my"</f>
        <v>#VALUE!</v>
      </c>
      <c r="ES87" t="e">
        <f>'All regions'!B2174+"n/&gt;!%mz"</f>
        <v>#VALUE!</v>
      </c>
      <c r="ET87" t="e">
        <f>'All regions'!C2174+"n/&gt;!%m{"</f>
        <v>#VALUE!</v>
      </c>
      <c r="EU87" t="e">
        <f>'All regions'!D2174+"n/&gt;!%m|"</f>
        <v>#VALUE!</v>
      </c>
      <c r="EV87" t="e">
        <f>'All regions'!E2174+"n/&gt;!%m}"</f>
        <v>#VALUE!</v>
      </c>
      <c r="EW87" t="e">
        <f>'All regions'!F2174+"n/&gt;!%m~"</f>
        <v>#VALUE!</v>
      </c>
      <c r="EX87" t="e">
        <f>'All regions'!G2174+"n/&gt;!%n#"</f>
        <v>#VALUE!</v>
      </c>
      <c r="EY87" t="e">
        <f>'All regions'!H2174+"n/&gt;!%n$"</f>
        <v>#VALUE!</v>
      </c>
      <c r="EZ87" t="e">
        <f>'All regions'!I2174+"n/&gt;!%n%"</f>
        <v>#VALUE!</v>
      </c>
      <c r="FA87" t="e">
        <f>'All regions'!J2174+"n/&gt;!%n&amp;"</f>
        <v>#VALUE!</v>
      </c>
      <c r="FB87" t="e">
        <f>'All regions'!A2175+"n/&gt;!%n'"</f>
        <v>#VALUE!</v>
      </c>
      <c r="FC87" t="e">
        <f>'All regions'!B2175+"n/&gt;!%n("</f>
        <v>#VALUE!</v>
      </c>
      <c r="FD87" t="e">
        <f>'All regions'!C2175+"n/&gt;!%n)"</f>
        <v>#VALUE!</v>
      </c>
      <c r="FE87" t="e">
        <f>'All regions'!D2175+"n/&gt;!%n."</f>
        <v>#VALUE!</v>
      </c>
      <c r="FF87" t="e">
        <f>'All regions'!E2175+"n/&gt;!%n/"</f>
        <v>#VALUE!</v>
      </c>
      <c r="FG87" t="e">
        <f>'All regions'!F2175+"n/&gt;!%n0"</f>
        <v>#VALUE!</v>
      </c>
      <c r="FH87" t="e">
        <f>'All regions'!G2175+"n/&gt;!%n1"</f>
        <v>#VALUE!</v>
      </c>
      <c r="FI87" t="e">
        <f>'All regions'!H2175+"n/&gt;!%n2"</f>
        <v>#VALUE!</v>
      </c>
      <c r="FJ87" t="e">
        <f>'All regions'!I2175+"n/&gt;!%n3"</f>
        <v>#VALUE!</v>
      </c>
      <c r="FK87" t="e">
        <f>'All regions'!J2175+"n/&gt;!%n4"</f>
        <v>#VALUE!</v>
      </c>
      <c r="FL87" t="e">
        <f>'All regions'!A2176+"n/&gt;!%n5"</f>
        <v>#VALUE!</v>
      </c>
      <c r="FM87" t="e">
        <f>'All regions'!B2176+"n/&gt;!%n6"</f>
        <v>#VALUE!</v>
      </c>
      <c r="FN87" t="e">
        <f>'All regions'!C2176+"n/&gt;!%n7"</f>
        <v>#VALUE!</v>
      </c>
      <c r="FO87" t="e">
        <f>'All regions'!D2176+"n/&gt;!%n8"</f>
        <v>#VALUE!</v>
      </c>
      <c r="FP87" t="e">
        <f>'All regions'!E2176+"n/&gt;!%n9"</f>
        <v>#VALUE!</v>
      </c>
      <c r="FQ87" t="e">
        <f>'All regions'!F2176+"n/&gt;!%n:"</f>
        <v>#VALUE!</v>
      </c>
      <c r="FR87" t="e">
        <f>'All regions'!G2176+"n/&gt;!%n;"</f>
        <v>#VALUE!</v>
      </c>
      <c r="FS87" t="e">
        <f>'All regions'!H2176+"n/&gt;!%n&lt;"</f>
        <v>#VALUE!</v>
      </c>
      <c r="FT87" t="e">
        <f>'All regions'!I2176+"n/&gt;!%n="</f>
        <v>#VALUE!</v>
      </c>
      <c r="FU87" t="e">
        <f>'All regions'!J2176+"n/&gt;!%n&gt;"</f>
        <v>#VALUE!</v>
      </c>
      <c r="FV87" t="e">
        <f>'All regions'!A2177+"n/&gt;!%n?"</f>
        <v>#VALUE!</v>
      </c>
      <c r="FW87" t="e">
        <f>'All regions'!B2177+"n/&gt;!%n@"</f>
        <v>#VALUE!</v>
      </c>
      <c r="FX87" t="e">
        <f>'All regions'!C2177+"n/&gt;!%nA"</f>
        <v>#VALUE!</v>
      </c>
      <c r="FY87" t="e">
        <f>'All regions'!D2177+"n/&gt;!%nB"</f>
        <v>#VALUE!</v>
      </c>
      <c r="FZ87" t="e">
        <f>'All regions'!E2177+"n/&gt;!%nC"</f>
        <v>#VALUE!</v>
      </c>
      <c r="GA87" t="e">
        <f>'All regions'!F2177+"n/&gt;!%nD"</f>
        <v>#VALUE!</v>
      </c>
      <c r="GB87" t="e">
        <f>'All regions'!G2177+"n/&gt;!%nE"</f>
        <v>#VALUE!</v>
      </c>
      <c r="GC87" t="e">
        <f>'All regions'!H2177+"n/&gt;!%nF"</f>
        <v>#VALUE!</v>
      </c>
      <c r="GD87" t="e">
        <f>'All regions'!I2177+"n/&gt;!%nG"</f>
        <v>#VALUE!</v>
      </c>
      <c r="GE87" t="e">
        <f>'All regions'!J2177+"n/&gt;!%nH"</f>
        <v>#VALUE!</v>
      </c>
      <c r="GF87" t="e">
        <f>'All regions'!A2178+"n/&gt;!%nI"</f>
        <v>#VALUE!</v>
      </c>
      <c r="GG87" t="e">
        <f>'All regions'!B2178+"n/&gt;!%nJ"</f>
        <v>#VALUE!</v>
      </c>
      <c r="GH87" t="e">
        <f>'All regions'!C2178+"n/&gt;!%nK"</f>
        <v>#VALUE!</v>
      </c>
      <c r="GI87" t="e">
        <f>'All regions'!D2178+"n/&gt;!%nL"</f>
        <v>#VALUE!</v>
      </c>
      <c r="GJ87" t="e">
        <f>'All regions'!E2178+"n/&gt;!%nM"</f>
        <v>#VALUE!</v>
      </c>
      <c r="GK87" t="e">
        <f>'All regions'!F2178+"n/&gt;!%nN"</f>
        <v>#VALUE!</v>
      </c>
      <c r="GL87" t="e">
        <f>'All regions'!G2178+"n/&gt;!%nO"</f>
        <v>#VALUE!</v>
      </c>
      <c r="GM87" t="e">
        <f>'All regions'!H2178+"n/&gt;!%nP"</f>
        <v>#VALUE!</v>
      </c>
      <c r="GN87" t="e">
        <f>'All regions'!I2178+"n/&gt;!%nQ"</f>
        <v>#VALUE!</v>
      </c>
      <c r="GO87" t="e">
        <f>'All regions'!J2178+"n/&gt;!%nR"</f>
        <v>#VALUE!</v>
      </c>
      <c r="GP87" t="e">
        <f>'All regions'!A2179+"n/&gt;!%nS"</f>
        <v>#VALUE!</v>
      </c>
      <c r="GQ87" t="e">
        <f>'All regions'!B2179+"n/&gt;!%nT"</f>
        <v>#VALUE!</v>
      </c>
      <c r="GR87" t="e">
        <f>'All regions'!C2179+"n/&gt;!%nU"</f>
        <v>#VALUE!</v>
      </c>
      <c r="GS87" t="e">
        <f>'All regions'!D2179+"n/&gt;!%nV"</f>
        <v>#VALUE!</v>
      </c>
      <c r="GT87" t="e">
        <f>'All regions'!E2179+"n/&gt;!%nW"</f>
        <v>#VALUE!</v>
      </c>
      <c r="GU87" t="e">
        <f>'All regions'!F2179+"n/&gt;!%nX"</f>
        <v>#VALUE!</v>
      </c>
      <c r="GV87" t="e">
        <f>'All regions'!G2179+"n/&gt;!%nY"</f>
        <v>#VALUE!</v>
      </c>
      <c r="GW87" t="e">
        <f>'All regions'!H2179+"n/&gt;!%nZ"</f>
        <v>#VALUE!</v>
      </c>
      <c r="GX87" t="e">
        <f>'All regions'!I2179+"n/&gt;!%n["</f>
        <v>#VALUE!</v>
      </c>
      <c r="GY87" t="e">
        <f>'All regions'!J2179+"n/&gt;!%n\"</f>
        <v>#VALUE!</v>
      </c>
      <c r="GZ87" t="e">
        <f>'All regions'!A2180+"n/&gt;!%n]"</f>
        <v>#VALUE!</v>
      </c>
      <c r="HA87" t="e">
        <f>'All regions'!B2180+"n/&gt;!%n^"</f>
        <v>#VALUE!</v>
      </c>
      <c r="HB87" t="e">
        <f>'All regions'!C2180+"n/&gt;!%n_"</f>
        <v>#VALUE!</v>
      </c>
      <c r="HC87" t="e">
        <f>'All regions'!D2180+"n/&gt;!%n`"</f>
        <v>#VALUE!</v>
      </c>
      <c r="HD87" t="e">
        <f>'All regions'!E2180+"n/&gt;!%na"</f>
        <v>#VALUE!</v>
      </c>
      <c r="HE87" t="e">
        <f>'All regions'!F2180+"n/&gt;!%nb"</f>
        <v>#VALUE!</v>
      </c>
      <c r="HF87" t="e">
        <f>'All regions'!G2180+"n/&gt;!%nc"</f>
        <v>#VALUE!</v>
      </c>
      <c r="HG87" t="e">
        <f>'All regions'!H2180+"n/&gt;!%nd"</f>
        <v>#VALUE!</v>
      </c>
      <c r="HH87" t="e">
        <f>'All regions'!I2180+"n/&gt;!%ne"</f>
        <v>#VALUE!</v>
      </c>
      <c r="HI87" t="e">
        <f>'All regions'!J2180+"n/&gt;!%nf"</f>
        <v>#VALUE!</v>
      </c>
      <c r="HJ87" t="e">
        <f>'All regions'!A2181+"n/&gt;!%ng"</f>
        <v>#VALUE!</v>
      </c>
      <c r="HK87" t="e">
        <f>'All regions'!B2181+"n/&gt;!%nh"</f>
        <v>#VALUE!</v>
      </c>
      <c r="HL87" t="e">
        <f>'All regions'!C2181+"n/&gt;!%ni"</f>
        <v>#VALUE!</v>
      </c>
      <c r="HM87" t="e">
        <f>'All regions'!D2181+"n/&gt;!%nj"</f>
        <v>#VALUE!</v>
      </c>
      <c r="HN87" t="e">
        <f>'All regions'!E2181+"n/&gt;!%nk"</f>
        <v>#VALUE!</v>
      </c>
      <c r="HO87" t="e">
        <f>'All regions'!F2181+"n/&gt;!%nl"</f>
        <v>#VALUE!</v>
      </c>
      <c r="HP87" t="e">
        <f>'All regions'!G2181+"n/&gt;!%nm"</f>
        <v>#VALUE!</v>
      </c>
      <c r="HQ87" t="e">
        <f>'All regions'!H2181+"n/&gt;!%nn"</f>
        <v>#VALUE!</v>
      </c>
      <c r="HR87" t="e">
        <f>'All regions'!I2181+"n/&gt;!%no"</f>
        <v>#VALUE!</v>
      </c>
      <c r="HS87" t="e">
        <f>'All regions'!J2181+"n/&gt;!%np"</f>
        <v>#VALUE!</v>
      </c>
      <c r="HT87" t="e">
        <f>'All regions'!A2182+"n/&gt;!%nq"</f>
        <v>#VALUE!</v>
      </c>
      <c r="HU87" t="e">
        <f>'All regions'!B2182+"n/&gt;!%nr"</f>
        <v>#VALUE!</v>
      </c>
      <c r="HV87" t="e">
        <f>'All regions'!C2182+"n/&gt;!%ns"</f>
        <v>#VALUE!</v>
      </c>
      <c r="HW87" t="e">
        <f>'All regions'!D2182+"n/&gt;!%nt"</f>
        <v>#VALUE!</v>
      </c>
      <c r="HX87" t="e">
        <f>'All regions'!E2182+"n/&gt;!%nu"</f>
        <v>#VALUE!</v>
      </c>
      <c r="HY87" t="e">
        <f>'All regions'!F2182+"n/&gt;!%nv"</f>
        <v>#VALUE!</v>
      </c>
      <c r="HZ87" t="e">
        <f>'All regions'!G2182+"n/&gt;!%nw"</f>
        <v>#VALUE!</v>
      </c>
      <c r="IA87" t="e">
        <f>'All regions'!H2182+"n/&gt;!%nx"</f>
        <v>#VALUE!</v>
      </c>
      <c r="IB87" t="e">
        <f>'All regions'!I2182+"n/&gt;!%ny"</f>
        <v>#VALUE!</v>
      </c>
      <c r="IC87" t="e">
        <f>'All regions'!J2182+"n/&gt;!%nz"</f>
        <v>#VALUE!</v>
      </c>
      <c r="ID87" t="e">
        <f>'All regions'!A2183+"n/&gt;!%n{"</f>
        <v>#VALUE!</v>
      </c>
      <c r="IE87" t="e">
        <f>'All regions'!B2183+"n/&gt;!%n|"</f>
        <v>#VALUE!</v>
      </c>
      <c r="IF87" t="e">
        <f>'All regions'!C2183+"n/&gt;!%n}"</f>
        <v>#VALUE!</v>
      </c>
      <c r="IG87" t="e">
        <f>'All regions'!D2183+"n/&gt;!%n~"</f>
        <v>#VALUE!</v>
      </c>
      <c r="IH87" t="e">
        <f>'All regions'!E2183+"n/&gt;!%o#"</f>
        <v>#VALUE!</v>
      </c>
      <c r="II87" t="e">
        <f>'All regions'!F2183+"n/&gt;!%o$"</f>
        <v>#VALUE!</v>
      </c>
      <c r="IJ87" t="e">
        <f>'All regions'!G2183+"n/&gt;!%o%"</f>
        <v>#VALUE!</v>
      </c>
      <c r="IK87" t="e">
        <f>'All regions'!H2183+"n/&gt;!%o&amp;"</f>
        <v>#VALUE!</v>
      </c>
      <c r="IL87" t="e">
        <f>'All regions'!I2183+"n/&gt;!%o'"</f>
        <v>#VALUE!</v>
      </c>
      <c r="IM87" t="e">
        <f>'All regions'!J2183+"n/&gt;!%o("</f>
        <v>#VALUE!</v>
      </c>
      <c r="IN87" t="e">
        <f>'All regions'!A2184+"n/&gt;!%o)"</f>
        <v>#VALUE!</v>
      </c>
      <c r="IO87" t="e">
        <f>'All regions'!B2184+"n/&gt;!%o."</f>
        <v>#VALUE!</v>
      </c>
      <c r="IP87" t="e">
        <f>'All regions'!C2184+"n/&gt;!%o/"</f>
        <v>#VALUE!</v>
      </c>
      <c r="IQ87" t="e">
        <f>'All regions'!D2184+"n/&gt;!%o0"</f>
        <v>#VALUE!</v>
      </c>
      <c r="IR87" t="e">
        <f>'All regions'!E2184+"n/&gt;!%o1"</f>
        <v>#VALUE!</v>
      </c>
      <c r="IS87" t="e">
        <f>'All regions'!F2184+"n/&gt;!%o2"</f>
        <v>#VALUE!</v>
      </c>
      <c r="IT87" t="e">
        <f>'All regions'!G2184+"n/&gt;!%o3"</f>
        <v>#VALUE!</v>
      </c>
      <c r="IU87" t="e">
        <f>'All regions'!H2184+"n/&gt;!%o4"</f>
        <v>#VALUE!</v>
      </c>
      <c r="IV87" t="e">
        <f>'All regions'!I2184+"n/&gt;!%o5"</f>
        <v>#VALUE!</v>
      </c>
    </row>
    <row r="88" spans="6:256" x14ac:dyDescent="0.35">
      <c r="F88" t="e">
        <f>'All regions'!J2184+"n/&gt;!%o6"</f>
        <v>#VALUE!</v>
      </c>
      <c r="G88" t="e">
        <f>'All regions'!A2185+"n/&gt;!%o7"</f>
        <v>#VALUE!</v>
      </c>
      <c r="H88" t="e">
        <f>'All regions'!B2185+"n/&gt;!%o8"</f>
        <v>#VALUE!</v>
      </c>
      <c r="I88" t="e">
        <f>'All regions'!C2185+"n/&gt;!%o9"</f>
        <v>#VALUE!</v>
      </c>
      <c r="J88" t="e">
        <f>'All regions'!D2185+"n/&gt;!%o:"</f>
        <v>#VALUE!</v>
      </c>
      <c r="K88" t="e">
        <f>'All regions'!E2185+"n/&gt;!%o;"</f>
        <v>#VALUE!</v>
      </c>
      <c r="L88" t="e">
        <f>'All regions'!F2185+"n/&gt;!%o&lt;"</f>
        <v>#VALUE!</v>
      </c>
      <c r="M88" t="e">
        <f>'All regions'!G2185+"n/&gt;!%o="</f>
        <v>#VALUE!</v>
      </c>
      <c r="N88" t="e">
        <f>'All regions'!H2185+"n/&gt;!%o&gt;"</f>
        <v>#VALUE!</v>
      </c>
      <c r="O88" t="e">
        <f>'All regions'!I2185+"n/&gt;!%o?"</f>
        <v>#VALUE!</v>
      </c>
      <c r="P88" t="e">
        <f>'All regions'!J2185+"n/&gt;!%o@"</f>
        <v>#VALUE!</v>
      </c>
      <c r="Q88" t="e">
        <f>'All regions'!A2186+"n/&gt;!%oA"</f>
        <v>#VALUE!</v>
      </c>
      <c r="R88" t="e">
        <f>'All regions'!B2186+"n/&gt;!%oB"</f>
        <v>#VALUE!</v>
      </c>
      <c r="S88" t="e">
        <f>'All regions'!C2186+"n/&gt;!%oC"</f>
        <v>#VALUE!</v>
      </c>
      <c r="T88" t="e">
        <f>'All regions'!D2186+"n/&gt;!%oD"</f>
        <v>#VALUE!</v>
      </c>
      <c r="U88" t="e">
        <f>'All regions'!E2186+"n/&gt;!%oE"</f>
        <v>#VALUE!</v>
      </c>
      <c r="V88" t="e">
        <f>'All regions'!F2186+"n/&gt;!%oF"</f>
        <v>#VALUE!</v>
      </c>
      <c r="W88" t="e">
        <f>'All regions'!G2186+"n/&gt;!%oG"</f>
        <v>#VALUE!</v>
      </c>
      <c r="X88" t="e">
        <f>'All regions'!H2186+"n/&gt;!%oH"</f>
        <v>#VALUE!</v>
      </c>
      <c r="Y88" t="e">
        <f>'All regions'!I2186+"n/&gt;!%oI"</f>
        <v>#VALUE!</v>
      </c>
      <c r="Z88" t="e">
        <f>'All regions'!J2186+"n/&gt;!%oJ"</f>
        <v>#VALUE!</v>
      </c>
      <c r="AA88" t="e">
        <f>'All regions'!A2187+"n/&gt;!%oK"</f>
        <v>#VALUE!</v>
      </c>
      <c r="AB88" t="e">
        <f>'All regions'!B2187+"n/&gt;!%oL"</f>
        <v>#VALUE!</v>
      </c>
      <c r="AC88" t="e">
        <f>'All regions'!C2187+"n/&gt;!%oM"</f>
        <v>#VALUE!</v>
      </c>
      <c r="AD88" t="e">
        <f>'All regions'!D2187+"n/&gt;!%oN"</f>
        <v>#VALUE!</v>
      </c>
      <c r="AE88" t="e">
        <f>'All regions'!E2187+"n/&gt;!%oO"</f>
        <v>#VALUE!</v>
      </c>
      <c r="AF88" t="e">
        <f>'All regions'!F2187+"n/&gt;!%oP"</f>
        <v>#VALUE!</v>
      </c>
      <c r="AG88" t="e">
        <f>'All regions'!G2187+"n/&gt;!%oQ"</f>
        <v>#VALUE!</v>
      </c>
      <c r="AH88" t="e">
        <f>'All regions'!H2187+"n/&gt;!%oR"</f>
        <v>#VALUE!</v>
      </c>
      <c r="AI88" t="e">
        <f>'All regions'!I2187+"n/&gt;!%oS"</f>
        <v>#VALUE!</v>
      </c>
      <c r="AJ88" t="e">
        <f>'All regions'!J2187+"n/&gt;!%oT"</f>
        <v>#VALUE!</v>
      </c>
      <c r="AK88" t="e">
        <f>'All regions'!A2188+"n/&gt;!%oU"</f>
        <v>#VALUE!</v>
      </c>
      <c r="AL88" t="e">
        <f>'All regions'!B2188+"n/&gt;!%oV"</f>
        <v>#VALUE!</v>
      </c>
      <c r="AM88" t="e">
        <f>'All regions'!C2188+"n/&gt;!%oW"</f>
        <v>#VALUE!</v>
      </c>
      <c r="AN88" t="e">
        <f>'All regions'!D2188+"n/&gt;!%oX"</f>
        <v>#VALUE!</v>
      </c>
      <c r="AO88" t="e">
        <f>'All regions'!E2188+"n/&gt;!%oY"</f>
        <v>#VALUE!</v>
      </c>
      <c r="AP88" t="e">
        <f>'All regions'!F2188+"n/&gt;!%oZ"</f>
        <v>#VALUE!</v>
      </c>
      <c r="AQ88" t="e">
        <f>'All regions'!G2188+"n/&gt;!%o["</f>
        <v>#VALUE!</v>
      </c>
      <c r="AR88" t="e">
        <f>'All regions'!H2188+"n/&gt;!%o\"</f>
        <v>#VALUE!</v>
      </c>
      <c r="AS88" t="e">
        <f>'All regions'!I2188+"n/&gt;!%o]"</f>
        <v>#VALUE!</v>
      </c>
      <c r="AT88" t="e">
        <f>'All regions'!J2188+"n/&gt;!%o^"</f>
        <v>#VALUE!</v>
      </c>
      <c r="AU88" t="e">
        <f>'All regions'!A2189+"n/&gt;!%o_"</f>
        <v>#VALUE!</v>
      </c>
      <c r="AV88" t="e">
        <f>'All regions'!B2189+"n/&gt;!%o`"</f>
        <v>#VALUE!</v>
      </c>
      <c r="AW88" t="e">
        <f>'All regions'!C2189+"n/&gt;!%oa"</f>
        <v>#VALUE!</v>
      </c>
      <c r="AX88" t="e">
        <f>'All regions'!D2189+"n/&gt;!%ob"</f>
        <v>#VALUE!</v>
      </c>
      <c r="AY88" t="e">
        <f>'All regions'!E2189+"n/&gt;!%oc"</f>
        <v>#VALUE!</v>
      </c>
      <c r="AZ88" t="e">
        <f>'All regions'!F2189+"n/&gt;!%od"</f>
        <v>#VALUE!</v>
      </c>
      <c r="BA88" t="e">
        <f>'All regions'!G2189+"n/&gt;!%oe"</f>
        <v>#VALUE!</v>
      </c>
      <c r="BB88" t="e">
        <f>'All regions'!H2189+"n/&gt;!%of"</f>
        <v>#VALUE!</v>
      </c>
      <c r="BC88" t="e">
        <f>'All regions'!I2189+"n/&gt;!%og"</f>
        <v>#VALUE!</v>
      </c>
      <c r="BD88" t="e">
        <f>'All regions'!J2189+"n/&gt;!%oh"</f>
        <v>#VALUE!</v>
      </c>
      <c r="BE88" t="e">
        <f>'All regions'!A2190+"n/&gt;!%oi"</f>
        <v>#VALUE!</v>
      </c>
      <c r="BF88" t="e">
        <f>'All regions'!B2190+"n/&gt;!%oj"</f>
        <v>#VALUE!</v>
      </c>
      <c r="BG88" t="e">
        <f>'All regions'!C2190+"n/&gt;!%ok"</f>
        <v>#VALUE!</v>
      </c>
      <c r="BH88" t="e">
        <f>'All regions'!D2190+"n/&gt;!%ol"</f>
        <v>#VALUE!</v>
      </c>
      <c r="BI88" t="e">
        <f>'All regions'!E2190+"n/&gt;!%om"</f>
        <v>#VALUE!</v>
      </c>
      <c r="BJ88" t="e">
        <f>'All regions'!F2190+"n/&gt;!%on"</f>
        <v>#VALUE!</v>
      </c>
      <c r="BK88" t="e">
        <f>'All regions'!G2190+"n/&gt;!%oo"</f>
        <v>#VALUE!</v>
      </c>
      <c r="BL88" t="e">
        <f>'All regions'!H2190+"n/&gt;!%op"</f>
        <v>#VALUE!</v>
      </c>
      <c r="BM88" t="e">
        <f>'All regions'!I2190+"n/&gt;!%oq"</f>
        <v>#VALUE!</v>
      </c>
      <c r="BN88" t="e">
        <f>'All regions'!J2190+"n/&gt;!%or"</f>
        <v>#VALUE!</v>
      </c>
      <c r="BO88" t="e">
        <f>'All regions'!A2191+"n/&gt;!%os"</f>
        <v>#VALUE!</v>
      </c>
      <c r="BP88" t="e">
        <f>'All regions'!B2191+"n/&gt;!%ot"</f>
        <v>#VALUE!</v>
      </c>
      <c r="BQ88" t="e">
        <f>'All regions'!C2191+"n/&gt;!%ou"</f>
        <v>#VALUE!</v>
      </c>
      <c r="BR88" t="e">
        <f>'All regions'!D2191+"n/&gt;!%ov"</f>
        <v>#VALUE!</v>
      </c>
      <c r="BS88" t="e">
        <f>'All regions'!E2191+"n/&gt;!%ow"</f>
        <v>#VALUE!</v>
      </c>
      <c r="BT88" t="e">
        <f>'All regions'!F2191+"n/&gt;!%ox"</f>
        <v>#VALUE!</v>
      </c>
      <c r="BU88" t="e">
        <f>'All regions'!G2191+"n/&gt;!%oy"</f>
        <v>#VALUE!</v>
      </c>
      <c r="BV88" t="e">
        <f>'All regions'!H2191+"n/&gt;!%oz"</f>
        <v>#VALUE!</v>
      </c>
      <c r="BW88" t="e">
        <f>'All regions'!I2191+"n/&gt;!%o{"</f>
        <v>#VALUE!</v>
      </c>
      <c r="BX88" t="e">
        <f>'All regions'!J2191+"n/&gt;!%o|"</f>
        <v>#VALUE!</v>
      </c>
      <c r="BY88" t="e">
        <f>'All regions'!A2192+"n/&gt;!%o}"</f>
        <v>#VALUE!</v>
      </c>
      <c r="BZ88" t="e">
        <f>'All regions'!B2192+"n/&gt;!%o~"</f>
        <v>#VALUE!</v>
      </c>
      <c r="CA88" t="e">
        <f>'All regions'!C2192+"n/&gt;!%p#"</f>
        <v>#VALUE!</v>
      </c>
      <c r="CB88" t="e">
        <f>'All regions'!D2192+"n/&gt;!%p$"</f>
        <v>#VALUE!</v>
      </c>
      <c r="CC88" t="e">
        <f>'All regions'!E2192+"n/&gt;!%p%"</f>
        <v>#VALUE!</v>
      </c>
      <c r="CD88" t="e">
        <f>'All regions'!F2192+"n/&gt;!%p&amp;"</f>
        <v>#VALUE!</v>
      </c>
      <c r="CE88" t="e">
        <f>'All regions'!G2192+"n/&gt;!%p'"</f>
        <v>#VALUE!</v>
      </c>
      <c r="CF88" t="e">
        <f>'All regions'!H2192+"n/&gt;!%p("</f>
        <v>#VALUE!</v>
      </c>
      <c r="CG88" t="e">
        <f>'All regions'!I2192+"n/&gt;!%p)"</f>
        <v>#VALUE!</v>
      </c>
      <c r="CH88" t="e">
        <f>'All regions'!J2192+"n/&gt;!%p."</f>
        <v>#VALUE!</v>
      </c>
      <c r="CI88" t="e">
        <f>'All regions'!A2193+"n/&gt;!%p/"</f>
        <v>#VALUE!</v>
      </c>
      <c r="CJ88" t="e">
        <f>'All regions'!B2193+"n/&gt;!%p0"</f>
        <v>#VALUE!</v>
      </c>
      <c r="CK88" t="e">
        <f>'All regions'!C2193+"n/&gt;!%p1"</f>
        <v>#VALUE!</v>
      </c>
      <c r="CL88" t="e">
        <f>'All regions'!D2193+"n/&gt;!%p2"</f>
        <v>#VALUE!</v>
      </c>
      <c r="CM88" t="e">
        <f>'All regions'!E2193+"n/&gt;!%p3"</f>
        <v>#VALUE!</v>
      </c>
      <c r="CN88" t="e">
        <f>'All regions'!F2193+"n/&gt;!%p4"</f>
        <v>#VALUE!</v>
      </c>
      <c r="CO88" t="e">
        <f>'All regions'!G2193+"n/&gt;!%p5"</f>
        <v>#VALUE!</v>
      </c>
      <c r="CP88" t="e">
        <f>'All regions'!H2193+"n/&gt;!%p6"</f>
        <v>#VALUE!</v>
      </c>
      <c r="CQ88" t="e">
        <f>'All regions'!I2193+"n/&gt;!%p7"</f>
        <v>#VALUE!</v>
      </c>
      <c r="CR88" t="e">
        <f>'All regions'!J2193+"n/&gt;!%p8"</f>
        <v>#VALUE!</v>
      </c>
      <c r="CS88" t="e">
        <f>'All regions'!A2194+"n/&gt;!%p9"</f>
        <v>#VALUE!</v>
      </c>
      <c r="CT88" t="e">
        <f>'All regions'!B2194+"n/&gt;!%p:"</f>
        <v>#VALUE!</v>
      </c>
      <c r="CU88" t="e">
        <f>'All regions'!C2194+"n/&gt;!%p;"</f>
        <v>#VALUE!</v>
      </c>
      <c r="CV88" t="e">
        <f>'All regions'!D2194+"n/&gt;!%p&lt;"</f>
        <v>#VALUE!</v>
      </c>
      <c r="CW88" t="e">
        <f>'All regions'!E2194+"n/&gt;!%p="</f>
        <v>#VALUE!</v>
      </c>
      <c r="CX88" t="e">
        <f>'All regions'!F2194+"n/&gt;!%p&gt;"</f>
        <v>#VALUE!</v>
      </c>
      <c r="CY88" t="e">
        <f>'All regions'!G2194+"n/&gt;!%p?"</f>
        <v>#VALUE!</v>
      </c>
      <c r="CZ88" t="e">
        <f>'All regions'!H2194+"n/&gt;!%p@"</f>
        <v>#VALUE!</v>
      </c>
      <c r="DA88" t="e">
        <f>'All regions'!I2194+"n/&gt;!%pA"</f>
        <v>#VALUE!</v>
      </c>
      <c r="DB88" t="e">
        <f>'All regions'!J2194+"n/&gt;!%pB"</f>
        <v>#VALUE!</v>
      </c>
      <c r="DC88" t="e">
        <f>'All regions'!A2195+"n/&gt;!%pC"</f>
        <v>#VALUE!</v>
      </c>
      <c r="DD88" t="e">
        <f>'All regions'!B2195+"n/&gt;!%pD"</f>
        <v>#VALUE!</v>
      </c>
      <c r="DE88" t="e">
        <f>'All regions'!C2195+"n/&gt;!%pE"</f>
        <v>#VALUE!</v>
      </c>
      <c r="DF88" t="e">
        <f>'All regions'!D2195+"n/&gt;!%pF"</f>
        <v>#VALUE!</v>
      </c>
      <c r="DG88" t="e">
        <f>'All regions'!E2195+"n/&gt;!%pG"</f>
        <v>#VALUE!</v>
      </c>
      <c r="DH88" t="e">
        <f>'All regions'!F2195+"n/&gt;!%pH"</f>
        <v>#VALUE!</v>
      </c>
      <c r="DI88" t="e">
        <f>'All regions'!G2195+"n/&gt;!%pI"</f>
        <v>#VALUE!</v>
      </c>
      <c r="DJ88" t="e">
        <f>'All regions'!H2195+"n/&gt;!%pJ"</f>
        <v>#VALUE!</v>
      </c>
      <c r="DK88" t="e">
        <f>'All regions'!I2195+"n/&gt;!%pK"</f>
        <v>#VALUE!</v>
      </c>
      <c r="DL88" t="e">
        <f>'All regions'!J2195+"n/&gt;!%pL"</f>
        <v>#VALUE!</v>
      </c>
      <c r="DM88" t="e">
        <f>'All regions'!A2196+"n/&gt;!%pM"</f>
        <v>#VALUE!</v>
      </c>
      <c r="DN88" t="e">
        <f>'All regions'!B2196+"n/&gt;!%pN"</f>
        <v>#VALUE!</v>
      </c>
      <c r="DO88" t="e">
        <f>'All regions'!C2196+"n/&gt;!%pO"</f>
        <v>#VALUE!</v>
      </c>
      <c r="DP88" t="e">
        <f>'All regions'!D2196+"n/&gt;!%pP"</f>
        <v>#VALUE!</v>
      </c>
      <c r="DQ88" t="e">
        <f>'All regions'!E2196+"n/&gt;!%pQ"</f>
        <v>#VALUE!</v>
      </c>
      <c r="DR88" t="e">
        <f>'All regions'!F2196+"n/&gt;!%pR"</f>
        <v>#VALUE!</v>
      </c>
      <c r="DS88" t="e">
        <f>'All regions'!G2196+"n/&gt;!%pS"</f>
        <v>#VALUE!</v>
      </c>
      <c r="DT88" t="e">
        <f>'All regions'!H2196+"n/&gt;!%pT"</f>
        <v>#VALUE!</v>
      </c>
      <c r="DU88" t="e">
        <f>'All regions'!I2196+"n/&gt;!%pU"</f>
        <v>#VALUE!</v>
      </c>
      <c r="DV88" t="e">
        <f>'All regions'!J2196+"n/&gt;!%pV"</f>
        <v>#VALUE!</v>
      </c>
      <c r="DW88" t="e">
        <f>'All regions'!A2197+"n/&gt;!%pW"</f>
        <v>#VALUE!</v>
      </c>
      <c r="DX88" t="e">
        <f>'All regions'!B2197+"n/&gt;!%pX"</f>
        <v>#VALUE!</v>
      </c>
      <c r="DY88" t="e">
        <f>'All regions'!C2197+"n/&gt;!%pY"</f>
        <v>#VALUE!</v>
      </c>
      <c r="DZ88" t="e">
        <f>'All regions'!D2197+"n/&gt;!%pZ"</f>
        <v>#VALUE!</v>
      </c>
      <c r="EA88" t="e">
        <f>'All regions'!E2197+"n/&gt;!%p["</f>
        <v>#VALUE!</v>
      </c>
      <c r="EB88" t="e">
        <f>'All regions'!F2197+"n/&gt;!%p\"</f>
        <v>#VALUE!</v>
      </c>
      <c r="EC88" t="e">
        <f>'All regions'!G2197+"n/&gt;!%p]"</f>
        <v>#VALUE!</v>
      </c>
      <c r="ED88" t="e">
        <f>'All regions'!H2197+"n/&gt;!%p^"</f>
        <v>#VALUE!</v>
      </c>
      <c r="EE88" t="e">
        <f>'All regions'!I2197+"n/&gt;!%p_"</f>
        <v>#VALUE!</v>
      </c>
      <c r="EF88" t="e">
        <f>'All regions'!J2197+"n/&gt;!%p`"</f>
        <v>#VALUE!</v>
      </c>
      <c r="EG88" t="e">
        <f>'All regions'!A2198+"n/&gt;!%pa"</f>
        <v>#VALUE!</v>
      </c>
      <c r="EH88" t="e">
        <f>'All regions'!B2198+"n/&gt;!%pb"</f>
        <v>#VALUE!</v>
      </c>
      <c r="EI88" t="e">
        <f>'All regions'!C2198+"n/&gt;!%pc"</f>
        <v>#VALUE!</v>
      </c>
      <c r="EJ88" t="e">
        <f>'All regions'!D2198+"n/&gt;!%pd"</f>
        <v>#VALUE!</v>
      </c>
      <c r="EK88" t="e">
        <f>'All regions'!E2198+"n/&gt;!%pe"</f>
        <v>#VALUE!</v>
      </c>
      <c r="EL88" t="e">
        <f>'All regions'!F2198+"n/&gt;!%pf"</f>
        <v>#VALUE!</v>
      </c>
      <c r="EM88" t="e">
        <f>'All regions'!G2198+"n/&gt;!%pg"</f>
        <v>#VALUE!</v>
      </c>
      <c r="EN88" t="e">
        <f>'All regions'!H2198+"n/&gt;!%ph"</f>
        <v>#VALUE!</v>
      </c>
      <c r="EO88" t="e">
        <f>'All regions'!I2198+"n/&gt;!%pi"</f>
        <v>#VALUE!</v>
      </c>
      <c r="EP88" t="e">
        <f>'All regions'!J2198+"n/&gt;!%pj"</f>
        <v>#VALUE!</v>
      </c>
      <c r="EQ88" t="e">
        <f>'All regions'!A2199+"n/&gt;!%pk"</f>
        <v>#VALUE!</v>
      </c>
      <c r="ER88" t="e">
        <f>'All regions'!B2199+"n/&gt;!%pl"</f>
        <v>#VALUE!</v>
      </c>
      <c r="ES88" t="e">
        <f>'All regions'!C2199+"n/&gt;!%pm"</f>
        <v>#VALUE!</v>
      </c>
      <c r="ET88" t="e">
        <f>'All regions'!D2199+"n/&gt;!%pn"</f>
        <v>#VALUE!</v>
      </c>
      <c r="EU88" t="e">
        <f>'All regions'!E2199+"n/&gt;!%po"</f>
        <v>#VALUE!</v>
      </c>
      <c r="EV88" t="e">
        <f>'All regions'!F2199+"n/&gt;!%pp"</f>
        <v>#VALUE!</v>
      </c>
      <c r="EW88" t="e">
        <f>'All regions'!G2199+"n/&gt;!%pq"</f>
        <v>#VALUE!</v>
      </c>
      <c r="EX88" t="e">
        <f>'All regions'!H2199+"n/&gt;!%pr"</f>
        <v>#VALUE!</v>
      </c>
      <c r="EY88" t="e">
        <f>'All regions'!I2199+"n/&gt;!%ps"</f>
        <v>#VALUE!</v>
      </c>
      <c r="EZ88" t="e">
        <f>'All regions'!J2199+"n/&gt;!%pt"</f>
        <v>#VALUE!</v>
      </c>
      <c r="FA88" t="e">
        <f>'All regions'!A2200+"n/&gt;!%pu"</f>
        <v>#VALUE!</v>
      </c>
      <c r="FB88" t="e">
        <f>'All regions'!B2200+"n/&gt;!%pv"</f>
        <v>#VALUE!</v>
      </c>
      <c r="FC88" t="e">
        <f>'All regions'!C2200+"n/&gt;!%pw"</f>
        <v>#VALUE!</v>
      </c>
      <c r="FD88" t="e">
        <f>'All regions'!D2200+"n/&gt;!%px"</f>
        <v>#VALUE!</v>
      </c>
      <c r="FE88" t="e">
        <f>'All regions'!E2200+"n/&gt;!%py"</f>
        <v>#VALUE!</v>
      </c>
      <c r="FF88" t="e">
        <f>'All regions'!F2200+"n/&gt;!%pz"</f>
        <v>#VALUE!</v>
      </c>
      <c r="FG88" t="e">
        <f>'All regions'!G2200+"n/&gt;!%p{"</f>
        <v>#VALUE!</v>
      </c>
      <c r="FH88" t="e">
        <f>'All regions'!H2200+"n/&gt;!%p|"</f>
        <v>#VALUE!</v>
      </c>
      <c r="FI88" t="e">
        <f>'All regions'!I2200+"n/&gt;!%p}"</f>
        <v>#VALUE!</v>
      </c>
      <c r="FJ88" t="e">
        <f>'All regions'!J2200+"n/&gt;!%p~"</f>
        <v>#VALUE!</v>
      </c>
      <c r="FK88" t="e">
        <f>'All regions'!A2201+"n/&gt;!%q#"</f>
        <v>#VALUE!</v>
      </c>
      <c r="FL88" t="e">
        <f>'All regions'!B2201+"n/&gt;!%q$"</f>
        <v>#VALUE!</v>
      </c>
      <c r="FM88" t="e">
        <f>'All regions'!C2201+"n/&gt;!%q%"</f>
        <v>#VALUE!</v>
      </c>
      <c r="FN88" t="e">
        <f>'All regions'!D2201+"n/&gt;!%q&amp;"</f>
        <v>#VALUE!</v>
      </c>
      <c r="FO88" t="e">
        <f>'All regions'!E2201+"n/&gt;!%q'"</f>
        <v>#VALUE!</v>
      </c>
      <c r="FP88" t="e">
        <f>'All regions'!F2201+"n/&gt;!%q("</f>
        <v>#VALUE!</v>
      </c>
      <c r="FQ88" t="e">
        <f>'All regions'!G2201+"n/&gt;!%q)"</f>
        <v>#VALUE!</v>
      </c>
      <c r="FR88" t="e">
        <f>'All regions'!H2201+"n/&gt;!%q."</f>
        <v>#VALUE!</v>
      </c>
      <c r="FS88" t="e">
        <f>'All regions'!I2201+"n/&gt;!%q/"</f>
        <v>#VALUE!</v>
      </c>
      <c r="FT88" t="e">
        <f>'All regions'!J2201+"n/&gt;!%q0"</f>
        <v>#VALUE!</v>
      </c>
      <c r="FU88" t="e">
        <f>'All regions'!A2202+"n/&gt;!%q1"</f>
        <v>#VALUE!</v>
      </c>
      <c r="FV88" t="e">
        <f>'All regions'!B2202+"n/&gt;!%q2"</f>
        <v>#VALUE!</v>
      </c>
      <c r="FW88" t="e">
        <f>'All regions'!C2202+"n/&gt;!%q3"</f>
        <v>#VALUE!</v>
      </c>
      <c r="FX88" t="e">
        <f>'All regions'!D2202+"n/&gt;!%q4"</f>
        <v>#VALUE!</v>
      </c>
      <c r="FY88" t="e">
        <f>'All regions'!E2202+"n/&gt;!%q5"</f>
        <v>#VALUE!</v>
      </c>
      <c r="FZ88" t="e">
        <f>'All regions'!F2202+"n/&gt;!%q6"</f>
        <v>#VALUE!</v>
      </c>
      <c r="GA88" t="e">
        <f>'All regions'!G2202+"n/&gt;!%q7"</f>
        <v>#VALUE!</v>
      </c>
      <c r="GB88" t="e">
        <f>'All regions'!H2202+"n/&gt;!%q8"</f>
        <v>#VALUE!</v>
      </c>
      <c r="GC88" t="e">
        <f>'All regions'!I2202+"n/&gt;!%q9"</f>
        <v>#VALUE!</v>
      </c>
      <c r="GD88" t="e">
        <f>'All regions'!J2202+"n/&gt;!%q:"</f>
        <v>#VALUE!</v>
      </c>
      <c r="GE88" t="e">
        <f>'All regions'!A2203+"n/&gt;!%q;"</f>
        <v>#VALUE!</v>
      </c>
      <c r="GF88" t="e">
        <f>'All regions'!B2203+"n/&gt;!%q&lt;"</f>
        <v>#VALUE!</v>
      </c>
      <c r="GG88" t="e">
        <f>'All regions'!C2203+"n/&gt;!%q="</f>
        <v>#VALUE!</v>
      </c>
      <c r="GH88" t="e">
        <f>'All regions'!D2203+"n/&gt;!%q&gt;"</f>
        <v>#VALUE!</v>
      </c>
      <c r="GI88" t="e">
        <f>'All regions'!E2203+"n/&gt;!%q?"</f>
        <v>#VALUE!</v>
      </c>
      <c r="GJ88" t="e">
        <f>'All regions'!F2203+"n/&gt;!%q@"</f>
        <v>#VALUE!</v>
      </c>
      <c r="GK88" t="e">
        <f>'All regions'!G2203+"n/&gt;!%qA"</f>
        <v>#VALUE!</v>
      </c>
      <c r="GL88" t="e">
        <f>'All regions'!H2203+"n/&gt;!%qB"</f>
        <v>#VALUE!</v>
      </c>
      <c r="GM88" t="e">
        <f>'All regions'!I2203+"n/&gt;!%qC"</f>
        <v>#VALUE!</v>
      </c>
      <c r="GN88" t="e">
        <f>'All regions'!J2203+"n/&gt;!%qD"</f>
        <v>#VALUE!</v>
      </c>
      <c r="GO88" t="e">
        <f>'All regions'!A2204+"n/&gt;!%qE"</f>
        <v>#VALUE!</v>
      </c>
      <c r="GP88" t="e">
        <f>'All regions'!B2204+"n/&gt;!%qF"</f>
        <v>#VALUE!</v>
      </c>
      <c r="GQ88" t="e">
        <f>'All regions'!C2204+"n/&gt;!%qG"</f>
        <v>#VALUE!</v>
      </c>
      <c r="GR88" t="e">
        <f>'All regions'!D2204+"n/&gt;!%qH"</f>
        <v>#VALUE!</v>
      </c>
      <c r="GS88" t="e">
        <f>'All regions'!E2204+"n/&gt;!%qI"</f>
        <v>#VALUE!</v>
      </c>
      <c r="GT88" t="e">
        <f>'All regions'!F2204+"n/&gt;!%qJ"</f>
        <v>#VALUE!</v>
      </c>
      <c r="GU88" t="e">
        <f>'All regions'!G2204+"n/&gt;!%qK"</f>
        <v>#VALUE!</v>
      </c>
      <c r="GV88" t="e">
        <f>'All regions'!H2204+"n/&gt;!%qL"</f>
        <v>#VALUE!</v>
      </c>
      <c r="GW88" t="e">
        <f>'All regions'!I2204+"n/&gt;!%qM"</f>
        <v>#VALUE!</v>
      </c>
      <c r="GX88" t="e">
        <f>'All regions'!J2204+"n/&gt;!%qN"</f>
        <v>#VALUE!</v>
      </c>
      <c r="GY88" t="e">
        <f>'All regions'!A2205+"n/&gt;!%qO"</f>
        <v>#VALUE!</v>
      </c>
      <c r="GZ88" t="e">
        <f>'All regions'!B2205+"n/&gt;!%qP"</f>
        <v>#VALUE!</v>
      </c>
      <c r="HA88" t="e">
        <f>'All regions'!C2205+"n/&gt;!%qQ"</f>
        <v>#VALUE!</v>
      </c>
      <c r="HB88" t="e">
        <f>'All regions'!D2205+"n/&gt;!%qR"</f>
        <v>#VALUE!</v>
      </c>
      <c r="HC88" t="e">
        <f>'All regions'!E2205+"n/&gt;!%qS"</f>
        <v>#VALUE!</v>
      </c>
      <c r="HD88" t="e">
        <f>'All regions'!F2205+"n/&gt;!%qT"</f>
        <v>#VALUE!</v>
      </c>
      <c r="HE88" t="e">
        <f>'All regions'!G2205+"n/&gt;!%qU"</f>
        <v>#VALUE!</v>
      </c>
      <c r="HF88" t="e">
        <f>'All regions'!H2205+"n/&gt;!%qV"</f>
        <v>#VALUE!</v>
      </c>
      <c r="HG88" t="e">
        <f>'All regions'!I2205+"n/&gt;!%qW"</f>
        <v>#VALUE!</v>
      </c>
      <c r="HH88" t="e">
        <f>'All regions'!J2205+"n/&gt;!%qX"</f>
        <v>#VALUE!</v>
      </c>
      <c r="HI88" t="e">
        <f>'All regions'!A2206+"n/&gt;!%qY"</f>
        <v>#VALUE!</v>
      </c>
      <c r="HJ88" t="e">
        <f>'All regions'!B2206+"n/&gt;!%qZ"</f>
        <v>#VALUE!</v>
      </c>
      <c r="HK88" t="e">
        <f>'All regions'!C2206+"n/&gt;!%q["</f>
        <v>#VALUE!</v>
      </c>
      <c r="HL88" t="e">
        <f>'All regions'!D2206+"n/&gt;!%q\"</f>
        <v>#VALUE!</v>
      </c>
      <c r="HM88" t="e">
        <f>'All regions'!E2206+"n/&gt;!%q]"</f>
        <v>#VALUE!</v>
      </c>
      <c r="HN88" t="e">
        <f>'All regions'!F2206+"n/&gt;!%q^"</f>
        <v>#VALUE!</v>
      </c>
      <c r="HO88" t="e">
        <f>'All regions'!G2206+"n/&gt;!%q_"</f>
        <v>#VALUE!</v>
      </c>
      <c r="HP88" t="e">
        <f>'All regions'!H2206+"n/&gt;!%q`"</f>
        <v>#VALUE!</v>
      </c>
      <c r="HQ88" t="e">
        <f>'All regions'!I2206+"n/&gt;!%qa"</f>
        <v>#VALUE!</v>
      </c>
      <c r="HR88" t="e">
        <f>'All regions'!J2206+"n/&gt;!%qb"</f>
        <v>#VALUE!</v>
      </c>
      <c r="HS88" t="e">
        <f>'All regions'!A2207+"n/&gt;!%qc"</f>
        <v>#VALUE!</v>
      </c>
      <c r="HT88" t="e">
        <f>'All regions'!B2207+"n/&gt;!%qd"</f>
        <v>#VALUE!</v>
      </c>
      <c r="HU88" t="e">
        <f>'All regions'!C2207+"n/&gt;!%qe"</f>
        <v>#VALUE!</v>
      </c>
      <c r="HV88" t="e">
        <f>'All regions'!D2207+"n/&gt;!%qf"</f>
        <v>#VALUE!</v>
      </c>
      <c r="HW88" t="e">
        <f>'All regions'!E2207+"n/&gt;!%qg"</f>
        <v>#VALUE!</v>
      </c>
      <c r="HX88" t="e">
        <f>'All regions'!F2207+"n/&gt;!%qh"</f>
        <v>#VALUE!</v>
      </c>
      <c r="HY88" t="e">
        <f>'All regions'!G2207+"n/&gt;!%qi"</f>
        <v>#VALUE!</v>
      </c>
      <c r="HZ88" t="e">
        <f>'All regions'!H2207+"n/&gt;!%qj"</f>
        <v>#VALUE!</v>
      </c>
      <c r="IA88" t="e">
        <f>'All regions'!I2207+"n/&gt;!%qk"</f>
        <v>#VALUE!</v>
      </c>
      <c r="IB88" t="e">
        <f>'All regions'!J2207+"n/&gt;!%ql"</f>
        <v>#VALUE!</v>
      </c>
      <c r="IC88" t="e">
        <f>'All regions'!A2208+"n/&gt;!%qm"</f>
        <v>#VALUE!</v>
      </c>
      <c r="ID88" t="e">
        <f>'All regions'!B2208+"n/&gt;!%qn"</f>
        <v>#VALUE!</v>
      </c>
      <c r="IE88" t="e">
        <f>'All regions'!C2208+"n/&gt;!%qo"</f>
        <v>#VALUE!</v>
      </c>
      <c r="IF88" t="e">
        <f>'All regions'!D2208+"n/&gt;!%qp"</f>
        <v>#VALUE!</v>
      </c>
      <c r="IG88" t="e">
        <f>'All regions'!E2208+"n/&gt;!%qq"</f>
        <v>#VALUE!</v>
      </c>
      <c r="IH88" t="e">
        <f>'All regions'!F2208+"n/&gt;!%qr"</f>
        <v>#VALUE!</v>
      </c>
      <c r="II88" t="e">
        <f>'All regions'!G2208+"n/&gt;!%qs"</f>
        <v>#VALUE!</v>
      </c>
      <c r="IJ88" t="e">
        <f>'All regions'!H2208+"n/&gt;!%qt"</f>
        <v>#VALUE!</v>
      </c>
      <c r="IK88" t="e">
        <f>'All regions'!I2208+"n/&gt;!%qu"</f>
        <v>#VALUE!</v>
      </c>
      <c r="IL88" t="e">
        <f>'All regions'!J2208+"n/&gt;!%qv"</f>
        <v>#VALUE!</v>
      </c>
      <c r="IM88" t="e">
        <f>'All regions'!A2209+"n/&gt;!%qw"</f>
        <v>#VALUE!</v>
      </c>
      <c r="IN88" t="e">
        <f>'All regions'!B2209+"n/&gt;!%qx"</f>
        <v>#VALUE!</v>
      </c>
      <c r="IO88" t="e">
        <f>'All regions'!C2209+"n/&gt;!%qy"</f>
        <v>#VALUE!</v>
      </c>
      <c r="IP88" t="e">
        <f>'All regions'!D2209+"n/&gt;!%qz"</f>
        <v>#VALUE!</v>
      </c>
      <c r="IQ88" t="e">
        <f>'All regions'!E2209+"n/&gt;!%q{"</f>
        <v>#VALUE!</v>
      </c>
      <c r="IR88" t="e">
        <f>'All regions'!F2209+"n/&gt;!%q|"</f>
        <v>#VALUE!</v>
      </c>
      <c r="IS88" t="e">
        <f>'All regions'!G2209+"n/&gt;!%q}"</f>
        <v>#VALUE!</v>
      </c>
      <c r="IT88" t="e">
        <f>'All regions'!H2209+"n/&gt;!%q~"</f>
        <v>#VALUE!</v>
      </c>
      <c r="IU88" t="e">
        <f>'All regions'!I2209+"n/&gt;!%r#"</f>
        <v>#VALUE!</v>
      </c>
      <c r="IV88" t="e">
        <f>'All regions'!J2209+"n/&gt;!%r$"</f>
        <v>#VALUE!</v>
      </c>
    </row>
    <row r="89" spans="6:256" x14ac:dyDescent="0.35">
      <c r="F89" t="e">
        <f>'All regions'!A2210+"n/&gt;!%r%"</f>
        <v>#VALUE!</v>
      </c>
      <c r="G89" t="e">
        <f>'All regions'!B2210+"n/&gt;!%r&amp;"</f>
        <v>#VALUE!</v>
      </c>
      <c r="H89" t="e">
        <f>'All regions'!C2210+"n/&gt;!%r'"</f>
        <v>#VALUE!</v>
      </c>
      <c r="I89" t="e">
        <f>'All regions'!D2210+"n/&gt;!%r("</f>
        <v>#VALUE!</v>
      </c>
      <c r="J89" t="e">
        <f>'All regions'!E2210+"n/&gt;!%r)"</f>
        <v>#VALUE!</v>
      </c>
      <c r="K89" t="e">
        <f>'All regions'!F2210+"n/&gt;!%r."</f>
        <v>#VALUE!</v>
      </c>
      <c r="L89" t="e">
        <f>'All regions'!G2210+"n/&gt;!%r/"</f>
        <v>#VALUE!</v>
      </c>
      <c r="M89" t="e">
        <f>'All regions'!H2210+"n/&gt;!%r0"</f>
        <v>#VALUE!</v>
      </c>
      <c r="N89" t="e">
        <f>'All regions'!I2210+"n/&gt;!%r1"</f>
        <v>#VALUE!</v>
      </c>
      <c r="O89" t="e">
        <f>'All regions'!J2210+"n/&gt;!%r2"</f>
        <v>#VALUE!</v>
      </c>
      <c r="P89" t="e">
        <f>'All regions'!A2211+"n/&gt;!%r3"</f>
        <v>#VALUE!</v>
      </c>
      <c r="Q89" t="e">
        <f>'All regions'!B2211+"n/&gt;!%r4"</f>
        <v>#VALUE!</v>
      </c>
      <c r="R89" t="e">
        <f>'All regions'!C2211+"n/&gt;!%r5"</f>
        <v>#VALUE!</v>
      </c>
      <c r="S89" t="e">
        <f>'All regions'!D2211+"n/&gt;!%r6"</f>
        <v>#VALUE!</v>
      </c>
      <c r="T89" t="e">
        <f>'All regions'!E2211+"n/&gt;!%r7"</f>
        <v>#VALUE!</v>
      </c>
      <c r="U89" t="e">
        <f>'All regions'!F2211+"n/&gt;!%r8"</f>
        <v>#VALUE!</v>
      </c>
      <c r="V89" t="e">
        <f>'All regions'!G2211+"n/&gt;!%r9"</f>
        <v>#VALUE!</v>
      </c>
      <c r="W89" t="e">
        <f>'All regions'!H2211+"n/&gt;!%r:"</f>
        <v>#VALUE!</v>
      </c>
      <c r="X89" t="e">
        <f>'All regions'!I2211+"n/&gt;!%r;"</f>
        <v>#VALUE!</v>
      </c>
      <c r="Y89" t="e">
        <f>'All regions'!J2211+"n/&gt;!%r&lt;"</f>
        <v>#VALUE!</v>
      </c>
      <c r="Z89" t="e">
        <f>'All regions'!A2212+"n/&gt;!%r="</f>
        <v>#VALUE!</v>
      </c>
      <c r="AA89" t="e">
        <f>'All regions'!B2212+"n/&gt;!%r&gt;"</f>
        <v>#VALUE!</v>
      </c>
      <c r="AB89" t="e">
        <f>'All regions'!C2212+"n/&gt;!%r?"</f>
        <v>#VALUE!</v>
      </c>
      <c r="AC89" t="e">
        <f>'All regions'!D2212+"n/&gt;!%r@"</f>
        <v>#VALUE!</v>
      </c>
      <c r="AD89" t="e">
        <f>'All regions'!E2212+"n/&gt;!%rA"</f>
        <v>#VALUE!</v>
      </c>
      <c r="AE89" t="e">
        <f>'All regions'!F2212+"n/&gt;!%rB"</f>
        <v>#VALUE!</v>
      </c>
      <c r="AF89" t="e">
        <f>'All regions'!G2212+"n/&gt;!%rC"</f>
        <v>#VALUE!</v>
      </c>
      <c r="AG89" t="e">
        <f>'All regions'!H2212+"n/&gt;!%rD"</f>
        <v>#VALUE!</v>
      </c>
      <c r="AH89" t="e">
        <f>'All regions'!I2212+"n/&gt;!%rE"</f>
        <v>#VALUE!</v>
      </c>
      <c r="AI89" t="e">
        <f>'All regions'!J2212+"n/&gt;!%rF"</f>
        <v>#VALUE!</v>
      </c>
      <c r="AJ89" t="e">
        <f>'All regions'!A2213+"n/&gt;!%rG"</f>
        <v>#VALUE!</v>
      </c>
      <c r="AK89" t="e">
        <f>'All regions'!B2213+"n/&gt;!%rH"</f>
        <v>#VALUE!</v>
      </c>
      <c r="AL89" t="e">
        <f>'All regions'!C2213+"n/&gt;!%rI"</f>
        <v>#VALUE!</v>
      </c>
      <c r="AM89" t="e">
        <f>'All regions'!D2213+"n/&gt;!%rJ"</f>
        <v>#VALUE!</v>
      </c>
      <c r="AN89" t="e">
        <f>'All regions'!E2213+"n/&gt;!%rK"</f>
        <v>#VALUE!</v>
      </c>
      <c r="AO89" t="e">
        <f>'All regions'!F2213+"n/&gt;!%rL"</f>
        <v>#VALUE!</v>
      </c>
      <c r="AP89" t="e">
        <f>'All regions'!G2213+"n/&gt;!%rM"</f>
        <v>#VALUE!</v>
      </c>
      <c r="AQ89" t="e">
        <f>'All regions'!H2213+"n/&gt;!%rN"</f>
        <v>#VALUE!</v>
      </c>
      <c r="AR89" t="e">
        <f>'All regions'!I2213+"n/&gt;!%rO"</f>
        <v>#VALUE!</v>
      </c>
      <c r="AS89" t="e">
        <f>'All regions'!J2213+"n/&gt;!%rP"</f>
        <v>#VALUE!</v>
      </c>
      <c r="AT89" t="e">
        <f>'All regions'!A2214+"n/&gt;!%rQ"</f>
        <v>#VALUE!</v>
      </c>
      <c r="AU89" t="e">
        <f>'All regions'!B2214+"n/&gt;!%rR"</f>
        <v>#VALUE!</v>
      </c>
      <c r="AV89" t="e">
        <f>'All regions'!C2214+"n/&gt;!%rS"</f>
        <v>#VALUE!</v>
      </c>
      <c r="AW89" t="e">
        <f>'All regions'!D2214+"n/&gt;!%rT"</f>
        <v>#VALUE!</v>
      </c>
      <c r="AX89" t="e">
        <f>'All regions'!E2214+"n/&gt;!%rU"</f>
        <v>#VALUE!</v>
      </c>
      <c r="AY89" t="e">
        <f>'All regions'!F2214+"n/&gt;!%rV"</f>
        <v>#VALUE!</v>
      </c>
      <c r="AZ89" t="e">
        <f>'All regions'!G2214+"n/&gt;!%rW"</f>
        <v>#VALUE!</v>
      </c>
      <c r="BA89" t="e">
        <f>'All regions'!H2214+"n/&gt;!%rX"</f>
        <v>#VALUE!</v>
      </c>
      <c r="BB89" t="e">
        <f>'All regions'!I2214+"n/&gt;!%rY"</f>
        <v>#VALUE!</v>
      </c>
      <c r="BC89" t="e">
        <f>'All regions'!J2214+"n/&gt;!%rZ"</f>
        <v>#VALUE!</v>
      </c>
      <c r="BD89" t="e">
        <f>'All regions'!A2215+"n/&gt;!%r["</f>
        <v>#VALUE!</v>
      </c>
      <c r="BE89" t="e">
        <f>'All regions'!B2215+"n/&gt;!%r\"</f>
        <v>#VALUE!</v>
      </c>
      <c r="BF89" t="e">
        <f>'All regions'!C2215+"n/&gt;!%r]"</f>
        <v>#VALUE!</v>
      </c>
      <c r="BG89" t="e">
        <f>'All regions'!D2215+"n/&gt;!%r^"</f>
        <v>#VALUE!</v>
      </c>
      <c r="BH89" t="e">
        <f>'All regions'!E2215+"n/&gt;!%r_"</f>
        <v>#VALUE!</v>
      </c>
      <c r="BI89" t="e">
        <f>'All regions'!F2215+"n/&gt;!%r`"</f>
        <v>#VALUE!</v>
      </c>
      <c r="BJ89" t="e">
        <f>'All regions'!G2215+"n/&gt;!%ra"</f>
        <v>#VALUE!</v>
      </c>
      <c r="BK89" t="e">
        <f>'All regions'!H2215+"n/&gt;!%rb"</f>
        <v>#VALUE!</v>
      </c>
      <c r="BL89" t="e">
        <f>'All regions'!I2215+"n/&gt;!%rc"</f>
        <v>#VALUE!</v>
      </c>
      <c r="BM89" t="e">
        <f>'All regions'!J2215+"n/&gt;!%rd"</f>
        <v>#VALUE!</v>
      </c>
      <c r="BN89" t="e">
        <f>'All regions'!A2216+"n/&gt;!%re"</f>
        <v>#VALUE!</v>
      </c>
      <c r="BO89" t="e">
        <f>'All regions'!B2216+"n/&gt;!%rf"</f>
        <v>#VALUE!</v>
      </c>
      <c r="BP89" t="e">
        <f>'All regions'!C2216+"n/&gt;!%rg"</f>
        <v>#VALUE!</v>
      </c>
      <c r="BQ89" t="e">
        <f>'All regions'!D2216+"n/&gt;!%rh"</f>
        <v>#VALUE!</v>
      </c>
      <c r="BR89" t="e">
        <f>'All regions'!E2216+"n/&gt;!%ri"</f>
        <v>#VALUE!</v>
      </c>
      <c r="BS89" t="e">
        <f>'All regions'!F2216+"n/&gt;!%rj"</f>
        <v>#VALUE!</v>
      </c>
      <c r="BT89" t="e">
        <f>'All regions'!G2216+"n/&gt;!%rk"</f>
        <v>#VALUE!</v>
      </c>
      <c r="BU89" t="e">
        <f>'All regions'!H2216+"n/&gt;!%rl"</f>
        <v>#VALUE!</v>
      </c>
      <c r="BV89" t="e">
        <f>'All regions'!I2216+"n/&gt;!%rm"</f>
        <v>#VALUE!</v>
      </c>
      <c r="BW89" t="e">
        <f>'All regions'!J2216+"n/&gt;!%rn"</f>
        <v>#VALUE!</v>
      </c>
      <c r="BX89" t="e">
        <f>'All regions'!A2217+"n/&gt;!%ro"</f>
        <v>#VALUE!</v>
      </c>
      <c r="BY89" t="e">
        <f>'All regions'!B2217+"n/&gt;!%rp"</f>
        <v>#VALUE!</v>
      </c>
      <c r="BZ89" t="e">
        <f>'All regions'!C2217+"n/&gt;!%rq"</f>
        <v>#VALUE!</v>
      </c>
      <c r="CA89" t="e">
        <f>'All regions'!D2217+"n/&gt;!%rr"</f>
        <v>#VALUE!</v>
      </c>
      <c r="CB89" t="e">
        <f>'All regions'!E2217+"n/&gt;!%rs"</f>
        <v>#VALUE!</v>
      </c>
      <c r="CC89" t="e">
        <f>'All regions'!F2217+"n/&gt;!%rt"</f>
        <v>#VALUE!</v>
      </c>
      <c r="CD89" t="e">
        <f>'All regions'!G2217+"n/&gt;!%ru"</f>
        <v>#VALUE!</v>
      </c>
      <c r="CE89" t="e">
        <f>'All regions'!H2217+"n/&gt;!%rv"</f>
        <v>#VALUE!</v>
      </c>
      <c r="CF89" t="e">
        <f>'All regions'!I2217+"n/&gt;!%rw"</f>
        <v>#VALUE!</v>
      </c>
      <c r="CG89" t="e">
        <f>'All regions'!J2217+"n/&gt;!%rx"</f>
        <v>#VALUE!</v>
      </c>
      <c r="CH89" t="e">
        <f>'All regions'!A2218+"n/&gt;!%ry"</f>
        <v>#VALUE!</v>
      </c>
      <c r="CI89" t="e">
        <f>'All regions'!B2218+"n/&gt;!%rz"</f>
        <v>#VALUE!</v>
      </c>
      <c r="CJ89" t="e">
        <f>'All regions'!C2218+"n/&gt;!%r{"</f>
        <v>#VALUE!</v>
      </c>
      <c r="CK89" t="e">
        <f>'All regions'!D2218+"n/&gt;!%r|"</f>
        <v>#VALUE!</v>
      </c>
      <c r="CL89" t="e">
        <f>'All regions'!E2218+"n/&gt;!%r}"</f>
        <v>#VALUE!</v>
      </c>
      <c r="CM89" t="e">
        <f>'All regions'!F2218+"n/&gt;!%r~"</f>
        <v>#VALUE!</v>
      </c>
      <c r="CN89" t="e">
        <f>'All regions'!G2218+"n/&gt;!%s#"</f>
        <v>#VALUE!</v>
      </c>
      <c r="CO89" t="e">
        <f>'All regions'!H2218+"n/&gt;!%s$"</f>
        <v>#VALUE!</v>
      </c>
      <c r="CP89" t="e">
        <f>'All regions'!I2218+"n/&gt;!%s%"</f>
        <v>#VALUE!</v>
      </c>
      <c r="CQ89" t="e">
        <f>'All regions'!J2218+"n/&gt;!%s&amp;"</f>
        <v>#VALUE!</v>
      </c>
      <c r="CR89" t="e">
        <f>'All regions'!A2219+"n/&gt;!%s'"</f>
        <v>#VALUE!</v>
      </c>
      <c r="CS89" t="e">
        <f>'All regions'!B2219+"n/&gt;!%s("</f>
        <v>#VALUE!</v>
      </c>
      <c r="CT89" t="e">
        <f>'All regions'!C2219+"n/&gt;!%s)"</f>
        <v>#VALUE!</v>
      </c>
      <c r="CU89" t="e">
        <f>'All regions'!D2219+"n/&gt;!%s."</f>
        <v>#VALUE!</v>
      </c>
      <c r="CV89" t="e">
        <f>'All regions'!E2219+"n/&gt;!%s/"</f>
        <v>#VALUE!</v>
      </c>
      <c r="CW89" t="e">
        <f>'All regions'!F2219+"n/&gt;!%s0"</f>
        <v>#VALUE!</v>
      </c>
      <c r="CX89" t="e">
        <f>'All regions'!G2219+"n/&gt;!%s1"</f>
        <v>#VALUE!</v>
      </c>
      <c r="CY89" t="e">
        <f>'All regions'!H2219+"n/&gt;!%s2"</f>
        <v>#VALUE!</v>
      </c>
      <c r="CZ89" t="e">
        <f>'All regions'!I2219+"n/&gt;!%s3"</f>
        <v>#VALUE!</v>
      </c>
      <c r="DA89" t="e">
        <f>'All regions'!J2219+"n/&gt;!%s4"</f>
        <v>#VALUE!</v>
      </c>
      <c r="DB89" t="e">
        <f>'All regions'!A2220+"n/&gt;!%s5"</f>
        <v>#VALUE!</v>
      </c>
      <c r="DC89" t="e">
        <f>'All regions'!B2220+"n/&gt;!%s6"</f>
        <v>#VALUE!</v>
      </c>
      <c r="DD89" t="e">
        <f>'All regions'!C2220+"n/&gt;!%s7"</f>
        <v>#VALUE!</v>
      </c>
      <c r="DE89" t="e">
        <f>'All regions'!D2220+"n/&gt;!%s8"</f>
        <v>#VALUE!</v>
      </c>
      <c r="DF89" t="e">
        <f>'All regions'!E2220+"n/&gt;!%s9"</f>
        <v>#VALUE!</v>
      </c>
      <c r="DG89" t="e">
        <f>'All regions'!F2220+"n/&gt;!%s:"</f>
        <v>#VALUE!</v>
      </c>
      <c r="DH89" t="e">
        <f>'All regions'!I2220+"n/&gt;!%s;"</f>
        <v>#VALUE!</v>
      </c>
      <c r="DI89" t="e">
        <f>'All regions'!J2220+"n/&gt;!%s&lt;"</f>
        <v>#VALUE!</v>
      </c>
      <c r="DJ89" t="e">
        <f>'All regions'!A2221+"n/&gt;!%s="</f>
        <v>#VALUE!</v>
      </c>
      <c r="DK89" t="e">
        <f>'All regions'!B2221+"n/&gt;!%s&gt;"</f>
        <v>#VALUE!</v>
      </c>
      <c r="DL89" t="e">
        <f>'All regions'!C2221+"n/&gt;!%s?"</f>
        <v>#VALUE!</v>
      </c>
      <c r="DM89" t="e">
        <f>'All regions'!D2221+"n/&gt;!%s@"</f>
        <v>#VALUE!</v>
      </c>
      <c r="DN89" t="e">
        <f>'All regions'!E2221+"n/&gt;!%sA"</f>
        <v>#VALUE!</v>
      </c>
      <c r="DO89" t="e">
        <f>'All regions'!F2221+"n/&gt;!%sB"</f>
        <v>#VALUE!</v>
      </c>
      <c r="DP89" t="e">
        <f>'All regions'!G2221+"n/&gt;!%sC"</f>
        <v>#VALUE!</v>
      </c>
      <c r="DQ89" t="e">
        <f>'All regions'!H2221+"n/&gt;!%sD"</f>
        <v>#VALUE!</v>
      </c>
      <c r="DR89" t="e">
        <f>'All regions'!I2221+"n/&gt;!%sE"</f>
        <v>#VALUE!</v>
      </c>
      <c r="DS89" t="e">
        <f>'All regions'!J2221+"n/&gt;!%sF"</f>
        <v>#VALUE!</v>
      </c>
      <c r="DT89" t="e">
        <f>'All regions'!A2222+"n/&gt;!%sG"</f>
        <v>#VALUE!</v>
      </c>
      <c r="DU89" t="e">
        <f>'All regions'!B2222+"n/&gt;!%sH"</f>
        <v>#VALUE!</v>
      </c>
      <c r="DV89" t="e">
        <f>'All regions'!C2222+"n/&gt;!%sI"</f>
        <v>#VALUE!</v>
      </c>
      <c r="DW89" t="e">
        <f>'All regions'!D2222+"n/&gt;!%sJ"</f>
        <v>#VALUE!</v>
      </c>
      <c r="DX89" t="e">
        <f>'All regions'!E2222+"n/&gt;!%sK"</f>
        <v>#VALUE!</v>
      </c>
      <c r="DY89" t="e">
        <f>'All regions'!F2222+"n/&gt;!%sL"</f>
        <v>#VALUE!</v>
      </c>
      <c r="DZ89" t="e">
        <f>'All regions'!G2222+"n/&gt;!%sM"</f>
        <v>#VALUE!</v>
      </c>
      <c r="EA89" t="e">
        <f>'All regions'!H2222+"n/&gt;!%sN"</f>
        <v>#VALUE!</v>
      </c>
      <c r="EB89" t="e">
        <f>'All regions'!I2222+"n/&gt;!%sO"</f>
        <v>#VALUE!</v>
      </c>
      <c r="EC89" t="e">
        <f>'All regions'!J2222+"n/&gt;!%sP"</f>
        <v>#VALUE!</v>
      </c>
      <c r="ED89" t="e">
        <f>'All regions'!A2223+"n/&gt;!%sQ"</f>
        <v>#VALUE!</v>
      </c>
      <c r="EE89" t="e">
        <f>'All regions'!B2223+"n/&gt;!%sR"</f>
        <v>#VALUE!</v>
      </c>
      <c r="EF89" t="e">
        <f>'All regions'!C2223+"n/&gt;!%sS"</f>
        <v>#VALUE!</v>
      </c>
      <c r="EG89" t="e">
        <f>'All regions'!D2223+"n/&gt;!%sT"</f>
        <v>#VALUE!</v>
      </c>
      <c r="EH89" t="e">
        <f>'All regions'!E2223+"n/&gt;!%sU"</f>
        <v>#VALUE!</v>
      </c>
      <c r="EI89" t="e">
        <f>'All regions'!F2223+"n/&gt;!%sV"</f>
        <v>#VALUE!</v>
      </c>
      <c r="EJ89" t="e">
        <f>'All regions'!G2223+"n/&gt;!%sW"</f>
        <v>#VALUE!</v>
      </c>
      <c r="EK89" t="e">
        <f>'All regions'!H2223+"n/&gt;!%sX"</f>
        <v>#VALUE!</v>
      </c>
      <c r="EL89" t="e">
        <f>'All regions'!I2223+"n/&gt;!%sY"</f>
        <v>#VALUE!</v>
      </c>
      <c r="EM89" t="e">
        <f>'All regions'!J2223+"n/&gt;!%sZ"</f>
        <v>#VALUE!</v>
      </c>
      <c r="EN89" t="e">
        <f>'All regions'!A2224+"n/&gt;!%s["</f>
        <v>#VALUE!</v>
      </c>
      <c r="EO89" t="e">
        <f>'All regions'!B2224+"n/&gt;!%s\"</f>
        <v>#VALUE!</v>
      </c>
      <c r="EP89" t="e">
        <f>'All regions'!C2224+"n/&gt;!%s]"</f>
        <v>#VALUE!</v>
      </c>
      <c r="EQ89" t="e">
        <f>'All regions'!D2224+"n/&gt;!%s^"</f>
        <v>#VALUE!</v>
      </c>
      <c r="ER89" t="e">
        <f>'All regions'!E2224+"n/&gt;!%s_"</f>
        <v>#VALUE!</v>
      </c>
      <c r="ES89" t="e">
        <f>'All regions'!F2224+"n/&gt;!%s`"</f>
        <v>#VALUE!</v>
      </c>
      <c r="ET89" t="e">
        <f>'All regions'!G2224+"n/&gt;!%sa"</f>
        <v>#VALUE!</v>
      </c>
      <c r="EU89" t="e">
        <f>'All regions'!H2224+"n/&gt;!%sb"</f>
        <v>#VALUE!</v>
      </c>
      <c r="EV89" t="e">
        <f>'All regions'!I2224+"n/&gt;!%sc"</f>
        <v>#VALUE!</v>
      </c>
      <c r="EW89" t="e">
        <f>'All regions'!J2224+"n/&gt;!%sd"</f>
        <v>#VALUE!</v>
      </c>
      <c r="EX89" t="e">
        <f>'All regions'!A2225+"n/&gt;!%se"</f>
        <v>#VALUE!</v>
      </c>
      <c r="EY89" t="e">
        <f>'All regions'!B2225+"n/&gt;!%sf"</f>
        <v>#VALUE!</v>
      </c>
      <c r="EZ89" t="e">
        <f>'All regions'!C2225+"n/&gt;!%sg"</f>
        <v>#VALUE!</v>
      </c>
      <c r="FA89" t="e">
        <f>'All regions'!D2225+"n/&gt;!%sh"</f>
        <v>#VALUE!</v>
      </c>
      <c r="FB89" t="e">
        <f>'All regions'!E2225+"n/&gt;!%si"</f>
        <v>#VALUE!</v>
      </c>
      <c r="FC89" t="e">
        <f>'All regions'!F2225+"n/&gt;!%sj"</f>
        <v>#VALUE!</v>
      </c>
      <c r="FD89" t="e">
        <f>'All regions'!G2225+"n/&gt;!%sk"</f>
        <v>#VALUE!</v>
      </c>
      <c r="FE89" t="e">
        <f>'All regions'!H2225+"n/&gt;!%sl"</f>
        <v>#VALUE!</v>
      </c>
      <c r="FF89" t="e">
        <f>'All regions'!I2225+"n/&gt;!%sm"</f>
        <v>#VALUE!</v>
      </c>
      <c r="FG89" t="e">
        <f>'All regions'!J2225+"n/&gt;!%sn"</f>
        <v>#VALUE!</v>
      </c>
      <c r="FH89" t="e">
        <f>'All regions'!A2226+"n/&gt;!%so"</f>
        <v>#VALUE!</v>
      </c>
      <c r="FI89" t="e">
        <f>'All regions'!B2226+"n/&gt;!%sp"</f>
        <v>#VALUE!</v>
      </c>
      <c r="FJ89" t="e">
        <f>'All regions'!C2226+"n/&gt;!%sq"</f>
        <v>#VALUE!</v>
      </c>
      <c r="FK89" t="e">
        <f>'All regions'!D2226+"n/&gt;!%sr"</f>
        <v>#VALUE!</v>
      </c>
      <c r="FL89" t="e">
        <f>'All regions'!E2226+"n/&gt;!%ss"</f>
        <v>#VALUE!</v>
      </c>
      <c r="FM89" t="e">
        <f>'All regions'!F2226+"n/&gt;!%st"</f>
        <v>#VALUE!</v>
      </c>
      <c r="FN89" t="e">
        <f>'All regions'!G2226+"n/&gt;!%su"</f>
        <v>#VALUE!</v>
      </c>
      <c r="FO89" t="e">
        <f>'All regions'!H2226+"n/&gt;!%sv"</f>
        <v>#VALUE!</v>
      </c>
      <c r="FP89" t="e">
        <f>'All regions'!I2226+"n/&gt;!%sw"</f>
        <v>#VALUE!</v>
      </c>
      <c r="FQ89" t="e">
        <f>'All regions'!J2226+"n/&gt;!%sx"</f>
        <v>#VALUE!</v>
      </c>
      <c r="FR89" t="e">
        <f>'All regions'!A2227+"n/&gt;!%sy"</f>
        <v>#VALUE!</v>
      </c>
      <c r="FS89" t="e">
        <f>'All regions'!B2227+"n/&gt;!%sz"</f>
        <v>#VALUE!</v>
      </c>
      <c r="FT89" t="e">
        <f>'All regions'!C2227+"n/&gt;!%s{"</f>
        <v>#VALUE!</v>
      </c>
      <c r="FU89" t="e">
        <f>'All regions'!D2227+"n/&gt;!%s|"</f>
        <v>#VALUE!</v>
      </c>
      <c r="FV89" t="e">
        <f>'All regions'!E2227+"n/&gt;!%s}"</f>
        <v>#VALUE!</v>
      </c>
      <c r="FW89" t="e">
        <f>'All regions'!F2227+"n/&gt;!%s~"</f>
        <v>#VALUE!</v>
      </c>
      <c r="FX89" t="e">
        <f>'All regions'!G2227+"n/&gt;!%t#"</f>
        <v>#VALUE!</v>
      </c>
      <c r="FY89" t="e">
        <f>'All regions'!H2227+"n/&gt;!%t$"</f>
        <v>#VALUE!</v>
      </c>
      <c r="FZ89" t="e">
        <f>'All regions'!I2227+"n/&gt;!%t%"</f>
        <v>#VALUE!</v>
      </c>
      <c r="GA89" t="e">
        <f>'All regions'!J2227+"n/&gt;!%t&amp;"</f>
        <v>#VALUE!</v>
      </c>
      <c r="GB89" t="e">
        <f>'All regions'!A2228+"n/&gt;!%t'"</f>
        <v>#VALUE!</v>
      </c>
      <c r="GC89" t="e">
        <f>'All regions'!B2228+"n/&gt;!%t("</f>
        <v>#VALUE!</v>
      </c>
      <c r="GD89" t="e">
        <f>'All regions'!C2228+"n/&gt;!%t)"</f>
        <v>#VALUE!</v>
      </c>
      <c r="GE89" t="e">
        <f>'All regions'!D2228+"n/&gt;!%t."</f>
        <v>#VALUE!</v>
      </c>
      <c r="GF89" t="e">
        <f>'All regions'!E2228+"n/&gt;!%t/"</f>
        <v>#VALUE!</v>
      </c>
      <c r="GG89" t="e">
        <f>'All regions'!F2228+"n/&gt;!%t0"</f>
        <v>#VALUE!</v>
      </c>
      <c r="GH89" t="e">
        <f>'All regions'!G2228+"n/&gt;!%t1"</f>
        <v>#VALUE!</v>
      </c>
      <c r="GI89" t="e">
        <f>'All regions'!H2228+"n/&gt;!%t2"</f>
        <v>#VALUE!</v>
      </c>
      <c r="GJ89" t="e">
        <f>'All regions'!I2228+"n/&gt;!%t3"</f>
        <v>#VALUE!</v>
      </c>
      <c r="GK89" t="e">
        <f>'All regions'!J2228+"n/&gt;!%t4"</f>
        <v>#VALUE!</v>
      </c>
      <c r="GL89" t="e">
        <f>'All regions'!A2229+"n/&gt;!%t5"</f>
        <v>#VALUE!</v>
      </c>
      <c r="GM89" t="e">
        <f>'All regions'!B2229+"n/&gt;!%t6"</f>
        <v>#VALUE!</v>
      </c>
      <c r="GN89" t="e">
        <f>'All regions'!C2229+"n/&gt;!%t7"</f>
        <v>#VALUE!</v>
      </c>
      <c r="GO89" t="e">
        <f>'All regions'!D2229+"n/&gt;!%t8"</f>
        <v>#VALUE!</v>
      </c>
      <c r="GP89" t="e">
        <f>'All regions'!E2229+"n/&gt;!%t9"</f>
        <v>#VALUE!</v>
      </c>
      <c r="GQ89" t="e">
        <f>'All regions'!F2229+"n/&gt;!%t:"</f>
        <v>#VALUE!</v>
      </c>
      <c r="GR89" t="e">
        <f>'All regions'!G2229+"n/&gt;!%t;"</f>
        <v>#VALUE!</v>
      </c>
      <c r="GS89" t="e">
        <f>'All regions'!H2229+"n/&gt;!%t&lt;"</f>
        <v>#VALUE!</v>
      </c>
      <c r="GT89" t="e">
        <f>'All regions'!I2229+"n/&gt;!%t="</f>
        <v>#VALUE!</v>
      </c>
      <c r="GU89" t="e">
        <f>'All regions'!J2229+"n/&gt;!%t&gt;"</f>
        <v>#VALUE!</v>
      </c>
      <c r="GV89" t="e">
        <f>'All regions'!A2230+"n/&gt;!%t?"</f>
        <v>#VALUE!</v>
      </c>
      <c r="GW89" t="e">
        <f>'All regions'!B2230+"n/&gt;!%t@"</f>
        <v>#VALUE!</v>
      </c>
      <c r="GX89" t="e">
        <f>'All regions'!C2230+"n/&gt;!%tA"</f>
        <v>#VALUE!</v>
      </c>
      <c r="GY89" t="e">
        <f>'All regions'!D2230+"n/&gt;!%tB"</f>
        <v>#VALUE!</v>
      </c>
      <c r="GZ89" t="e">
        <f>'All regions'!E2230+"n/&gt;!%tC"</f>
        <v>#VALUE!</v>
      </c>
      <c r="HA89" t="e">
        <f>'All regions'!F2230+"n/&gt;!%tD"</f>
        <v>#VALUE!</v>
      </c>
      <c r="HB89" t="e">
        <f>'All regions'!G2230+"n/&gt;!%tE"</f>
        <v>#VALUE!</v>
      </c>
      <c r="HC89" t="e">
        <f>'All regions'!H2230+"n/&gt;!%tF"</f>
        <v>#VALUE!</v>
      </c>
      <c r="HD89" t="e">
        <f>'All regions'!I2230+"n/&gt;!%tG"</f>
        <v>#VALUE!</v>
      </c>
      <c r="HE89" t="e">
        <f>'All regions'!J2230+"n/&gt;!%tH"</f>
        <v>#VALUE!</v>
      </c>
      <c r="HF89" t="e">
        <f>'All regions'!A2231+"n/&gt;!%tI"</f>
        <v>#VALUE!</v>
      </c>
      <c r="HG89" t="e">
        <f>'All regions'!B2231+"n/&gt;!%tJ"</f>
        <v>#VALUE!</v>
      </c>
      <c r="HH89" t="e">
        <f>'All regions'!C2231+"n/&gt;!%tK"</f>
        <v>#VALUE!</v>
      </c>
      <c r="HI89" t="e">
        <f>'All regions'!D2231+"n/&gt;!%tL"</f>
        <v>#VALUE!</v>
      </c>
      <c r="HJ89" t="e">
        <f>'All regions'!E2231+"n/&gt;!%tM"</f>
        <v>#VALUE!</v>
      </c>
      <c r="HK89" t="e">
        <f>'All regions'!F2231+"n/&gt;!%tN"</f>
        <v>#VALUE!</v>
      </c>
      <c r="HL89" t="e">
        <f>'All regions'!G2231+"n/&gt;!%tO"</f>
        <v>#VALUE!</v>
      </c>
      <c r="HM89" t="e">
        <f>'All regions'!H2231+"n/&gt;!%tP"</f>
        <v>#VALUE!</v>
      </c>
      <c r="HN89" t="e">
        <f>'All regions'!I2231+"n/&gt;!%tQ"</f>
        <v>#VALUE!</v>
      </c>
      <c r="HO89" t="e">
        <f>'All regions'!J2231+"n/&gt;!%tR"</f>
        <v>#VALUE!</v>
      </c>
      <c r="HP89" t="e">
        <f>'All regions'!A2232+"n/&gt;!%tS"</f>
        <v>#VALUE!</v>
      </c>
      <c r="HQ89" t="e">
        <f>'All regions'!B2232+"n/&gt;!%tT"</f>
        <v>#VALUE!</v>
      </c>
      <c r="HR89" t="e">
        <f>'All regions'!C2232+"n/&gt;!%tU"</f>
        <v>#VALUE!</v>
      </c>
      <c r="HS89" t="e">
        <f>'All regions'!D2232+"n/&gt;!%tV"</f>
        <v>#VALUE!</v>
      </c>
      <c r="HT89" t="e">
        <f>'All regions'!E2232+"n/&gt;!%tW"</f>
        <v>#VALUE!</v>
      </c>
      <c r="HU89" t="e">
        <f>'All regions'!F2232+"n/&gt;!%tX"</f>
        <v>#VALUE!</v>
      </c>
      <c r="HV89" t="e">
        <f>'All regions'!G2232+"n/&gt;!%tY"</f>
        <v>#VALUE!</v>
      </c>
      <c r="HW89" t="e">
        <f>'All regions'!H2232+"n/&gt;!%tZ"</f>
        <v>#VALUE!</v>
      </c>
      <c r="HX89" t="e">
        <f>'All regions'!I2232+"n/&gt;!%t["</f>
        <v>#VALUE!</v>
      </c>
      <c r="HY89" t="e">
        <f>'All regions'!J2232+"n/&gt;!%t\"</f>
        <v>#VALUE!</v>
      </c>
      <c r="HZ89" t="e">
        <f>'All regions'!A2233+"n/&gt;!%t]"</f>
        <v>#VALUE!</v>
      </c>
      <c r="IA89" t="e">
        <f>'All regions'!B2233+"n/&gt;!%t^"</f>
        <v>#VALUE!</v>
      </c>
      <c r="IB89" t="e">
        <f>'All regions'!C2233+"n/&gt;!%t_"</f>
        <v>#VALUE!</v>
      </c>
      <c r="IC89" t="e">
        <f>'All regions'!D2233+"n/&gt;!%t`"</f>
        <v>#VALUE!</v>
      </c>
      <c r="ID89" t="e">
        <f>'All regions'!E2233+"n/&gt;!%ta"</f>
        <v>#VALUE!</v>
      </c>
      <c r="IE89" t="e">
        <f>'All regions'!F2233+"n/&gt;!%tb"</f>
        <v>#VALUE!</v>
      </c>
      <c r="IF89" t="e">
        <f>'All regions'!G2233+"n/&gt;!%tc"</f>
        <v>#VALUE!</v>
      </c>
      <c r="IG89" t="e">
        <f>'All regions'!H2233+"n/&gt;!%td"</f>
        <v>#VALUE!</v>
      </c>
      <c r="IH89" t="e">
        <f>'All regions'!I2233+"n/&gt;!%te"</f>
        <v>#VALUE!</v>
      </c>
      <c r="II89" t="e">
        <f>'All regions'!J2233+"n/&gt;!%tf"</f>
        <v>#VALUE!</v>
      </c>
      <c r="IJ89" t="e">
        <f>'All regions'!A2234+"n/&gt;!%tg"</f>
        <v>#VALUE!</v>
      </c>
      <c r="IK89" t="e">
        <f>'All regions'!B2234+"n/&gt;!%th"</f>
        <v>#VALUE!</v>
      </c>
      <c r="IL89" t="e">
        <f>'All regions'!C2234+"n/&gt;!%ti"</f>
        <v>#VALUE!</v>
      </c>
      <c r="IM89" t="e">
        <f>'All regions'!D2234+"n/&gt;!%tj"</f>
        <v>#VALUE!</v>
      </c>
      <c r="IN89" t="e">
        <f>'All regions'!E2234+"n/&gt;!%tk"</f>
        <v>#VALUE!</v>
      </c>
      <c r="IO89" t="e">
        <f>'All regions'!F2234+"n/&gt;!%tl"</f>
        <v>#VALUE!</v>
      </c>
      <c r="IP89" t="e">
        <f>'All regions'!G2234+"n/&gt;!%tm"</f>
        <v>#VALUE!</v>
      </c>
      <c r="IQ89" t="e">
        <f>'All regions'!H2234+"n/&gt;!%tn"</f>
        <v>#VALUE!</v>
      </c>
      <c r="IR89" t="e">
        <f>'All regions'!I2234+"n/&gt;!%to"</f>
        <v>#VALUE!</v>
      </c>
      <c r="IS89" t="e">
        <f>'All regions'!J2234+"n/&gt;!%tp"</f>
        <v>#VALUE!</v>
      </c>
      <c r="IT89" t="e">
        <f>'All regions'!A2235+"n/&gt;!%tq"</f>
        <v>#VALUE!</v>
      </c>
      <c r="IU89" t="e">
        <f>'All regions'!B2235+"n/&gt;!%tr"</f>
        <v>#VALUE!</v>
      </c>
      <c r="IV89" t="e">
        <f>'All regions'!C2235+"n/&gt;!%ts"</f>
        <v>#VALUE!</v>
      </c>
    </row>
    <row r="90" spans="6:256" x14ac:dyDescent="0.35">
      <c r="F90" t="e">
        <f>'All regions'!D2235+"n/&gt;!%tt"</f>
        <v>#VALUE!</v>
      </c>
      <c r="G90" t="e">
        <f>'All regions'!E2235+"n/&gt;!%tu"</f>
        <v>#VALUE!</v>
      </c>
      <c r="H90" t="e">
        <f>'All regions'!F2235+"n/&gt;!%tv"</f>
        <v>#VALUE!</v>
      </c>
      <c r="I90" t="e">
        <f>'All regions'!G2235+"n/&gt;!%tw"</f>
        <v>#VALUE!</v>
      </c>
      <c r="J90" t="e">
        <f>'All regions'!H2235+"n/&gt;!%tx"</f>
        <v>#VALUE!</v>
      </c>
      <c r="K90" t="e">
        <f>'All regions'!I2235+"n/&gt;!%ty"</f>
        <v>#VALUE!</v>
      </c>
      <c r="L90" t="e">
        <f>'All regions'!J2235+"n/&gt;!%tz"</f>
        <v>#VALUE!</v>
      </c>
      <c r="M90" t="e">
        <f>'All regions'!A2236+"n/&gt;!%t{"</f>
        <v>#VALUE!</v>
      </c>
      <c r="N90" t="e">
        <f>'All regions'!B2236+"n/&gt;!%t|"</f>
        <v>#VALUE!</v>
      </c>
      <c r="O90" t="e">
        <f>'All regions'!C2236+"n/&gt;!%t}"</f>
        <v>#VALUE!</v>
      </c>
      <c r="P90" t="e">
        <f>'All regions'!D2236+"n/&gt;!%t~"</f>
        <v>#VALUE!</v>
      </c>
      <c r="Q90" t="e">
        <f>'All regions'!E2236+"n/&gt;!%u#"</f>
        <v>#VALUE!</v>
      </c>
      <c r="R90" t="e">
        <f>'All regions'!F2236+"n/&gt;!%u$"</f>
        <v>#VALUE!</v>
      </c>
      <c r="S90" t="e">
        <f>'All regions'!G2236+"n/&gt;!%u%"</f>
        <v>#VALUE!</v>
      </c>
      <c r="T90" t="e">
        <f>'All regions'!H2236+"n/&gt;!%u&amp;"</f>
        <v>#VALUE!</v>
      </c>
      <c r="U90" t="e">
        <f>'All regions'!I2236+"n/&gt;!%u'"</f>
        <v>#VALUE!</v>
      </c>
      <c r="V90" t="e">
        <f>'All regions'!J2236+"n/&gt;!%u("</f>
        <v>#VALUE!</v>
      </c>
      <c r="W90" t="e">
        <f>'All regions'!A2237+"n/&gt;!%u)"</f>
        <v>#VALUE!</v>
      </c>
      <c r="X90" t="e">
        <f>'All regions'!B2237+"n/&gt;!%u."</f>
        <v>#VALUE!</v>
      </c>
      <c r="Y90" t="e">
        <f>'All regions'!C2237+"n/&gt;!%u/"</f>
        <v>#VALUE!</v>
      </c>
      <c r="Z90" t="e">
        <f>'All regions'!D2237+"n/&gt;!%u0"</f>
        <v>#VALUE!</v>
      </c>
      <c r="AA90" t="e">
        <f>'All regions'!E2237+"n/&gt;!%u1"</f>
        <v>#VALUE!</v>
      </c>
      <c r="AB90" t="e">
        <f>'All regions'!F2237+"n/&gt;!%u2"</f>
        <v>#VALUE!</v>
      </c>
      <c r="AC90" t="e">
        <f>'All regions'!G2237+"n/&gt;!%u3"</f>
        <v>#VALUE!</v>
      </c>
      <c r="AD90" t="e">
        <f>'All regions'!H2237+"n/&gt;!%u4"</f>
        <v>#VALUE!</v>
      </c>
      <c r="AE90" t="e">
        <f>'All regions'!I2237+"n/&gt;!%u5"</f>
        <v>#VALUE!</v>
      </c>
      <c r="AF90" t="e">
        <f>'All regions'!J2237+"n/&gt;!%u6"</f>
        <v>#VALUE!</v>
      </c>
      <c r="AG90" t="e">
        <f>'All regions'!A2238+"n/&gt;!%u7"</f>
        <v>#VALUE!</v>
      </c>
      <c r="AH90" t="e">
        <f>'All regions'!B2238+"n/&gt;!%u8"</f>
        <v>#VALUE!</v>
      </c>
      <c r="AI90" t="e">
        <f>'All regions'!C2238+"n/&gt;!%u9"</f>
        <v>#VALUE!</v>
      </c>
      <c r="AJ90" t="e">
        <f>'All regions'!D2238+"n/&gt;!%u:"</f>
        <v>#VALUE!</v>
      </c>
      <c r="AK90" t="e">
        <f>'All regions'!E2238+"n/&gt;!%u;"</f>
        <v>#VALUE!</v>
      </c>
      <c r="AL90" t="e">
        <f>'All regions'!F2238+"n/&gt;!%u&lt;"</f>
        <v>#VALUE!</v>
      </c>
      <c r="AM90" t="e">
        <f>'All regions'!G2238+"n/&gt;!%u="</f>
        <v>#VALUE!</v>
      </c>
      <c r="AN90" t="e">
        <f>'All regions'!H2238+"n/&gt;!%u&gt;"</f>
        <v>#VALUE!</v>
      </c>
      <c r="AO90" t="e">
        <f>'All regions'!I2238+"n/&gt;!%u?"</f>
        <v>#VALUE!</v>
      </c>
      <c r="AP90" t="e">
        <f>'All regions'!J2238+"n/&gt;!%u@"</f>
        <v>#VALUE!</v>
      </c>
      <c r="AQ90" t="e">
        <f>'All regions'!A2239+"n/&gt;!%uA"</f>
        <v>#VALUE!</v>
      </c>
      <c r="AR90" t="e">
        <f>'All regions'!B2239+"n/&gt;!%uB"</f>
        <v>#VALUE!</v>
      </c>
      <c r="AS90" t="e">
        <f>'All regions'!C2239+"n/&gt;!%uC"</f>
        <v>#VALUE!</v>
      </c>
      <c r="AT90" t="e">
        <f>'All regions'!D2239+"n/&gt;!%uD"</f>
        <v>#VALUE!</v>
      </c>
      <c r="AU90" t="e">
        <f>'All regions'!E2239+"n/&gt;!%uE"</f>
        <v>#VALUE!</v>
      </c>
      <c r="AV90" t="e">
        <f>'All regions'!F2239+"n/&gt;!%uF"</f>
        <v>#VALUE!</v>
      </c>
      <c r="AW90" t="e">
        <f>'All regions'!G2239+"n/&gt;!%uG"</f>
        <v>#VALUE!</v>
      </c>
      <c r="AX90" t="e">
        <f>'All regions'!H2239+"n/&gt;!%uH"</f>
        <v>#VALUE!</v>
      </c>
      <c r="AY90" t="e">
        <f>'All regions'!I2239+"n/&gt;!%uI"</f>
        <v>#VALUE!</v>
      </c>
      <c r="AZ90" t="e">
        <f>'All regions'!J2239+"n/&gt;!%uJ"</f>
        <v>#VALUE!</v>
      </c>
      <c r="BA90" t="e">
        <f>'All regions'!A2240+"n/&gt;!%uK"</f>
        <v>#VALUE!</v>
      </c>
      <c r="BB90" t="e">
        <f>'All regions'!B2240+"n/&gt;!%uL"</f>
        <v>#VALUE!</v>
      </c>
      <c r="BC90" t="e">
        <f>'All regions'!C2240+"n/&gt;!%uM"</f>
        <v>#VALUE!</v>
      </c>
      <c r="BD90" t="e">
        <f>'All regions'!D2240+"n/&gt;!%uN"</f>
        <v>#VALUE!</v>
      </c>
      <c r="BE90" t="e">
        <f>'All regions'!E2240+"n/&gt;!%uO"</f>
        <v>#VALUE!</v>
      </c>
      <c r="BF90" t="e">
        <f>'All regions'!F2240+"n/&gt;!%uP"</f>
        <v>#VALUE!</v>
      </c>
      <c r="BG90" t="e">
        <f>'All regions'!G2240+"n/&gt;!%uQ"</f>
        <v>#VALUE!</v>
      </c>
      <c r="BH90" t="e">
        <f>'All regions'!H2240+"n/&gt;!%uR"</f>
        <v>#VALUE!</v>
      </c>
      <c r="BI90" t="e">
        <f>'All regions'!I2240+"n/&gt;!%uS"</f>
        <v>#VALUE!</v>
      </c>
      <c r="BJ90" t="e">
        <f>'All regions'!J2240+"n/&gt;!%uT"</f>
        <v>#VALUE!</v>
      </c>
      <c r="BK90" t="e">
        <f>'All regions'!A2241+"n/&gt;!%uU"</f>
        <v>#VALUE!</v>
      </c>
      <c r="BL90" t="e">
        <f>'All regions'!B2241+"n/&gt;!%uV"</f>
        <v>#VALUE!</v>
      </c>
      <c r="BM90" t="e">
        <f>'All regions'!C2241+"n/&gt;!%uW"</f>
        <v>#VALUE!</v>
      </c>
      <c r="BN90" t="e">
        <f>'All regions'!D2241+"n/&gt;!%uX"</f>
        <v>#VALUE!</v>
      </c>
      <c r="BO90" t="e">
        <f>'All regions'!E2241+"n/&gt;!%uY"</f>
        <v>#VALUE!</v>
      </c>
      <c r="BP90" t="e">
        <f>'All regions'!F2241+"n/&gt;!%uZ"</f>
        <v>#VALUE!</v>
      </c>
      <c r="BQ90" t="e">
        <f>'All regions'!G2241+"n/&gt;!%u["</f>
        <v>#VALUE!</v>
      </c>
      <c r="BR90" t="e">
        <f>'All regions'!H2241+"n/&gt;!%u\"</f>
        <v>#VALUE!</v>
      </c>
      <c r="BS90" t="e">
        <f>'All regions'!I2241+"n/&gt;!%u]"</f>
        <v>#VALUE!</v>
      </c>
      <c r="BT90" t="e">
        <f>'All regions'!J2241+"n/&gt;!%u^"</f>
        <v>#VALUE!</v>
      </c>
      <c r="BU90" t="e">
        <f>'All regions'!A2242+"n/&gt;!%u_"</f>
        <v>#VALUE!</v>
      </c>
      <c r="BV90" t="e">
        <f>'All regions'!B2242+"n/&gt;!%u`"</f>
        <v>#VALUE!</v>
      </c>
      <c r="BW90" t="e">
        <f>'All regions'!C2242+"n/&gt;!%ua"</f>
        <v>#VALUE!</v>
      </c>
      <c r="BX90" t="e">
        <f>'All regions'!D2242+"n/&gt;!%ub"</f>
        <v>#VALUE!</v>
      </c>
      <c r="BY90" t="e">
        <f>'All regions'!E2242+"n/&gt;!%uc"</f>
        <v>#VALUE!</v>
      </c>
      <c r="BZ90" t="e">
        <f>'All regions'!F2242+"n/&gt;!%ud"</f>
        <v>#VALUE!</v>
      </c>
      <c r="CA90" t="e">
        <f>'All regions'!G2242+"n/&gt;!%ue"</f>
        <v>#VALUE!</v>
      </c>
      <c r="CB90" t="e">
        <f>'All regions'!H2242+"n/&gt;!%uf"</f>
        <v>#VALUE!</v>
      </c>
      <c r="CC90" t="e">
        <f>'All regions'!I2242+"n/&gt;!%ug"</f>
        <v>#VALUE!</v>
      </c>
      <c r="CD90" t="e">
        <f>'All regions'!J2242+"n/&gt;!%uh"</f>
        <v>#VALUE!</v>
      </c>
      <c r="CE90" t="e">
        <f>'All regions'!A2243+"n/&gt;!%ui"</f>
        <v>#VALUE!</v>
      </c>
      <c r="CF90" t="e">
        <f>'All regions'!B2243+"n/&gt;!%uj"</f>
        <v>#VALUE!</v>
      </c>
      <c r="CG90" t="e">
        <f>'All regions'!C2243+"n/&gt;!%uk"</f>
        <v>#VALUE!</v>
      </c>
      <c r="CH90" t="e">
        <f>'All regions'!D2243+"n/&gt;!%ul"</f>
        <v>#VALUE!</v>
      </c>
      <c r="CI90" t="e">
        <f>'All regions'!E2243+"n/&gt;!%um"</f>
        <v>#VALUE!</v>
      </c>
      <c r="CJ90" t="e">
        <f>'All regions'!F2243+"n/&gt;!%un"</f>
        <v>#VALUE!</v>
      </c>
      <c r="CK90" t="e">
        <f>'All regions'!G2243+"n/&gt;!%uo"</f>
        <v>#VALUE!</v>
      </c>
      <c r="CL90" t="e">
        <f>'All regions'!H2243+"n/&gt;!%up"</f>
        <v>#VALUE!</v>
      </c>
      <c r="CM90" t="e">
        <f>'All regions'!I2243+"n/&gt;!%uq"</f>
        <v>#VALUE!</v>
      </c>
      <c r="CN90" t="e">
        <f>'All regions'!J2243+"n/&gt;!%ur"</f>
        <v>#VALUE!</v>
      </c>
      <c r="CO90" t="e">
        <f>'All regions'!A2244+"n/&gt;!%us"</f>
        <v>#VALUE!</v>
      </c>
      <c r="CP90" t="e">
        <f>'All regions'!B2244+"n/&gt;!%ut"</f>
        <v>#VALUE!</v>
      </c>
      <c r="CQ90" t="e">
        <f>'All regions'!C2244+"n/&gt;!%uu"</f>
        <v>#VALUE!</v>
      </c>
      <c r="CR90" t="e">
        <f>'All regions'!D2244+"n/&gt;!%uv"</f>
        <v>#VALUE!</v>
      </c>
      <c r="CS90" t="e">
        <f>'All regions'!E2244+"n/&gt;!%uw"</f>
        <v>#VALUE!</v>
      </c>
      <c r="CT90" t="e">
        <f>'All regions'!F2244+"n/&gt;!%ux"</f>
        <v>#VALUE!</v>
      </c>
      <c r="CU90" t="e">
        <f>'All regions'!G2244+"n/&gt;!%uy"</f>
        <v>#VALUE!</v>
      </c>
      <c r="CV90" t="e">
        <f>'All regions'!H2244+"n/&gt;!%uz"</f>
        <v>#VALUE!</v>
      </c>
      <c r="CW90" t="e">
        <f>'All regions'!I2244+"n/&gt;!%u{"</f>
        <v>#VALUE!</v>
      </c>
      <c r="CX90" t="e">
        <f>'All regions'!J2244+"n/&gt;!%u|"</f>
        <v>#VALUE!</v>
      </c>
      <c r="CY90" t="e">
        <f>'All regions'!A2245+"n/&gt;!%u}"</f>
        <v>#VALUE!</v>
      </c>
      <c r="CZ90" t="e">
        <f>'All regions'!B2245+"n/&gt;!%u~"</f>
        <v>#VALUE!</v>
      </c>
      <c r="DA90" t="e">
        <f>'All regions'!C2245+"n/&gt;!%v#"</f>
        <v>#VALUE!</v>
      </c>
      <c r="DB90" t="e">
        <f>'All regions'!D2245+"n/&gt;!%v$"</f>
        <v>#VALUE!</v>
      </c>
      <c r="DC90" t="e">
        <f>'All regions'!E2245+"n/&gt;!%v%"</f>
        <v>#VALUE!</v>
      </c>
      <c r="DD90" t="e">
        <f>'All regions'!F2245+"n/&gt;!%v&amp;"</f>
        <v>#VALUE!</v>
      </c>
      <c r="DE90" t="e">
        <f>'All regions'!G2245+"n/&gt;!%v'"</f>
        <v>#VALUE!</v>
      </c>
      <c r="DF90" t="e">
        <f>'All regions'!H2245+"n/&gt;!%v("</f>
        <v>#VALUE!</v>
      </c>
      <c r="DG90" t="e">
        <f>'All regions'!I2245+"n/&gt;!%v)"</f>
        <v>#VALUE!</v>
      </c>
      <c r="DH90" t="e">
        <f>'All regions'!J2245+"n/&gt;!%v."</f>
        <v>#VALUE!</v>
      </c>
      <c r="DI90" t="e">
        <f>'All regions'!A2246+"n/&gt;!%v/"</f>
        <v>#VALUE!</v>
      </c>
      <c r="DJ90" t="e">
        <f>'All regions'!B2246+"n/&gt;!%v0"</f>
        <v>#VALUE!</v>
      </c>
      <c r="DK90" t="e">
        <f>'All regions'!C2246+"n/&gt;!%v1"</f>
        <v>#VALUE!</v>
      </c>
      <c r="DL90" t="e">
        <f>'All regions'!D2246+"n/&gt;!%v2"</f>
        <v>#VALUE!</v>
      </c>
      <c r="DM90" t="e">
        <f>'All regions'!E2246+"n/&gt;!%v3"</f>
        <v>#VALUE!</v>
      </c>
      <c r="DN90" t="e">
        <f>'All regions'!F2246+"n/&gt;!%v4"</f>
        <v>#VALUE!</v>
      </c>
      <c r="DO90" t="e">
        <f>'All regions'!G2246+"n/&gt;!%v5"</f>
        <v>#VALUE!</v>
      </c>
      <c r="DP90" t="e">
        <f>'All regions'!H2246+"n/&gt;!%v6"</f>
        <v>#VALUE!</v>
      </c>
      <c r="DQ90" t="e">
        <f>'All regions'!I2246+"n/&gt;!%v7"</f>
        <v>#VALUE!</v>
      </c>
      <c r="DR90" t="e">
        <f>'All regions'!J2246+"n/&gt;!%v8"</f>
        <v>#VALUE!</v>
      </c>
      <c r="DS90" t="e">
        <f>'All regions'!A2247+"n/&gt;!%v9"</f>
        <v>#VALUE!</v>
      </c>
      <c r="DT90" t="e">
        <f>'All regions'!B2247+"n/&gt;!%v:"</f>
        <v>#VALUE!</v>
      </c>
      <c r="DU90" t="e">
        <f>'All regions'!C2247+"n/&gt;!%v;"</f>
        <v>#VALUE!</v>
      </c>
      <c r="DV90" t="e">
        <f>'All regions'!D2247+"n/&gt;!%v&lt;"</f>
        <v>#VALUE!</v>
      </c>
      <c r="DW90" t="e">
        <f>'All regions'!E2247+"n/&gt;!%v="</f>
        <v>#VALUE!</v>
      </c>
      <c r="DX90" t="e">
        <f>'All regions'!F2247+"n/&gt;!%v&gt;"</f>
        <v>#VALUE!</v>
      </c>
      <c r="DY90" t="e">
        <f>'All regions'!G2247+"n/&gt;!%v?"</f>
        <v>#VALUE!</v>
      </c>
      <c r="DZ90" t="e">
        <f>'All regions'!H2247+"n/&gt;!%v@"</f>
        <v>#VALUE!</v>
      </c>
      <c r="EA90" t="e">
        <f>'All regions'!I2247+"n/&gt;!%vA"</f>
        <v>#VALUE!</v>
      </c>
      <c r="EB90" t="e">
        <f>'All regions'!J2247+"n/&gt;!%vB"</f>
        <v>#VALUE!</v>
      </c>
      <c r="EC90" t="e">
        <f>'All regions'!A2248+"n/&gt;!%vC"</f>
        <v>#VALUE!</v>
      </c>
      <c r="ED90" t="e">
        <f>'All regions'!B2248+"n/&gt;!%vD"</f>
        <v>#VALUE!</v>
      </c>
      <c r="EE90" t="e">
        <f>'All regions'!C2248+"n/&gt;!%vE"</f>
        <v>#VALUE!</v>
      </c>
      <c r="EF90" t="e">
        <f>'All regions'!D2248+"n/&gt;!%vF"</f>
        <v>#VALUE!</v>
      </c>
      <c r="EG90" t="e">
        <f>'All regions'!E2248+"n/&gt;!%vG"</f>
        <v>#VALUE!</v>
      </c>
      <c r="EH90" t="e">
        <f>'All regions'!F2248+"n/&gt;!%vH"</f>
        <v>#VALUE!</v>
      </c>
      <c r="EI90" t="e">
        <f>'All regions'!G2248+"n/&gt;!%vI"</f>
        <v>#VALUE!</v>
      </c>
      <c r="EJ90" t="e">
        <f>'All regions'!H2248+"n/&gt;!%vJ"</f>
        <v>#VALUE!</v>
      </c>
      <c r="EK90" t="e">
        <f>'All regions'!I2248+"n/&gt;!%vK"</f>
        <v>#VALUE!</v>
      </c>
      <c r="EL90" t="e">
        <f>'All regions'!J2248+"n/&gt;!%vL"</f>
        <v>#VALUE!</v>
      </c>
      <c r="EM90" t="e">
        <f>'All regions'!A2249+"n/&gt;!%vM"</f>
        <v>#VALUE!</v>
      </c>
      <c r="EN90" t="e">
        <f>'All regions'!B2249+"n/&gt;!%vN"</f>
        <v>#VALUE!</v>
      </c>
      <c r="EO90" t="e">
        <f>'All regions'!C2249+"n/&gt;!%vO"</f>
        <v>#VALUE!</v>
      </c>
      <c r="EP90" t="e">
        <f>'All regions'!D2249+"n/&gt;!%vP"</f>
        <v>#VALUE!</v>
      </c>
      <c r="EQ90" t="e">
        <f>'All regions'!E2249+"n/&gt;!%vQ"</f>
        <v>#VALUE!</v>
      </c>
      <c r="ER90" t="e">
        <f>'All regions'!F2249+"n/&gt;!%vR"</f>
        <v>#VALUE!</v>
      </c>
      <c r="ES90" t="e">
        <f>'All regions'!G2249+"n/&gt;!%vS"</f>
        <v>#VALUE!</v>
      </c>
      <c r="ET90" t="e">
        <f>'All regions'!H2249+"n/&gt;!%vT"</f>
        <v>#VALUE!</v>
      </c>
      <c r="EU90" t="e">
        <f>'All regions'!I2249+"n/&gt;!%vU"</f>
        <v>#VALUE!</v>
      </c>
      <c r="EV90" t="e">
        <f>'All regions'!J2249+"n/&gt;!%vV"</f>
        <v>#VALUE!</v>
      </c>
      <c r="EW90" t="e">
        <f>'All regions'!A2250+"n/&gt;!%vW"</f>
        <v>#VALUE!</v>
      </c>
      <c r="EX90" t="e">
        <f>'All regions'!B2250+"n/&gt;!%vX"</f>
        <v>#VALUE!</v>
      </c>
      <c r="EY90" t="e">
        <f>'All regions'!C2250+"n/&gt;!%vY"</f>
        <v>#VALUE!</v>
      </c>
      <c r="EZ90" t="e">
        <f>'All regions'!D2250+"n/&gt;!%vZ"</f>
        <v>#VALUE!</v>
      </c>
      <c r="FA90" t="e">
        <f>'All regions'!E2250+"n/&gt;!%v["</f>
        <v>#VALUE!</v>
      </c>
      <c r="FB90" t="e">
        <f>'All regions'!F2250+"n/&gt;!%v\"</f>
        <v>#VALUE!</v>
      </c>
      <c r="FC90" t="e">
        <f>'All regions'!G2250+"n/&gt;!%v]"</f>
        <v>#VALUE!</v>
      </c>
      <c r="FD90" t="e">
        <f>'All regions'!H2250+"n/&gt;!%v^"</f>
        <v>#VALUE!</v>
      </c>
      <c r="FE90" t="e">
        <f>'All regions'!I2250+"n/&gt;!%v_"</f>
        <v>#VALUE!</v>
      </c>
      <c r="FF90" t="e">
        <f>'All regions'!J2250+"n/&gt;!%v`"</f>
        <v>#VALUE!</v>
      </c>
      <c r="FG90" t="e">
        <f>'All regions'!A2251+"n/&gt;!%va"</f>
        <v>#VALUE!</v>
      </c>
      <c r="FH90" t="e">
        <f>'All regions'!B2251+"n/&gt;!%vb"</f>
        <v>#VALUE!</v>
      </c>
      <c r="FI90" t="e">
        <f>'All regions'!C2251+"n/&gt;!%vc"</f>
        <v>#VALUE!</v>
      </c>
      <c r="FJ90" t="e">
        <f>'All regions'!D2251+"n/&gt;!%vd"</f>
        <v>#VALUE!</v>
      </c>
      <c r="FK90" t="e">
        <f>'All regions'!E2251+"n/&gt;!%ve"</f>
        <v>#VALUE!</v>
      </c>
      <c r="FL90" t="e">
        <f>'All regions'!F2251+"n/&gt;!%vf"</f>
        <v>#VALUE!</v>
      </c>
      <c r="FM90" t="e">
        <f>'All regions'!G2251+"n/&gt;!%vg"</f>
        <v>#VALUE!</v>
      </c>
      <c r="FN90" t="e">
        <f>'All regions'!H2251+"n/&gt;!%vh"</f>
        <v>#VALUE!</v>
      </c>
      <c r="FO90" t="e">
        <f>'All regions'!I2251+"n/&gt;!%vi"</f>
        <v>#VALUE!</v>
      </c>
      <c r="FP90" t="e">
        <f>'All regions'!J2251+"n/&gt;!%vj"</f>
        <v>#VALUE!</v>
      </c>
      <c r="FQ90" t="e">
        <f>'All regions'!A2252+"n/&gt;!%vk"</f>
        <v>#VALUE!</v>
      </c>
      <c r="FR90" t="e">
        <f>'All regions'!B2252+"n/&gt;!%vl"</f>
        <v>#VALUE!</v>
      </c>
      <c r="FS90" t="e">
        <f>'All regions'!C2252+"n/&gt;!%vm"</f>
        <v>#VALUE!</v>
      </c>
      <c r="FT90" t="e">
        <f>'All regions'!D2252+"n/&gt;!%vn"</f>
        <v>#VALUE!</v>
      </c>
      <c r="FU90" t="e">
        <f>'All regions'!E2252+"n/&gt;!%vo"</f>
        <v>#VALUE!</v>
      </c>
      <c r="FV90" t="e">
        <f>'All regions'!F2252+"n/&gt;!%vp"</f>
        <v>#VALUE!</v>
      </c>
      <c r="FW90" t="e">
        <f>'All regions'!G2252+"n/&gt;!%vq"</f>
        <v>#VALUE!</v>
      </c>
      <c r="FX90" t="e">
        <f>'All regions'!H2252+"n/&gt;!%vr"</f>
        <v>#VALUE!</v>
      </c>
      <c r="FY90" t="e">
        <f>'All regions'!I2252+"n/&gt;!%vs"</f>
        <v>#VALUE!</v>
      </c>
      <c r="FZ90" t="e">
        <f>'All regions'!J2252+"n/&gt;!%vt"</f>
        <v>#VALUE!</v>
      </c>
      <c r="GA90" t="e">
        <f>'All regions'!A2253+"n/&gt;!%vu"</f>
        <v>#VALUE!</v>
      </c>
      <c r="GB90" t="e">
        <f>'All regions'!B2253+"n/&gt;!%vv"</f>
        <v>#VALUE!</v>
      </c>
      <c r="GC90" t="e">
        <f>'All regions'!C2253+"n/&gt;!%vw"</f>
        <v>#VALUE!</v>
      </c>
      <c r="GD90" t="e">
        <f>'All regions'!D2253+"n/&gt;!%vx"</f>
        <v>#VALUE!</v>
      </c>
      <c r="GE90" t="e">
        <f>'All regions'!E2253+"n/&gt;!%vy"</f>
        <v>#VALUE!</v>
      </c>
      <c r="GF90" t="e">
        <f>'All regions'!F2253+"n/&gt;!%vz"</f>
        <v>#VALUE!</v>
      </c>
      <c r="GG90" t="e">
        <f>'All regions'!G2253+"n/&gt;!%v{"</f>
        <v>#VALUE!</v>
      </c>
      <c r="GH90" t="e">
        <f>'All regions'!H2253+"n/&gt;!%v|"</f>
        <v>#VALUE!</v>
      </c>
      <c r="GI90" t="e">
        <f>'All regions'!I2253+"n/&gt;!%v}"</f>
        <v>#VALUE!</v>
      </c>
      <c r="GJ90" t="e">
        <f>'All regions'!J2253+"n/&gt;!%v~"</f>
        <v>#VALUE!</v>
      </c>
      <c r="GK90" t="e">
        <f>'All regions'!A2254+"n/&gt;!%w#"</f>
        <v>#VALUE!</v>
      </c>
      <c r="GL90" t="e">
        <f>'All regions'!B2254+"n/&gt;!%w$"</f>
        <v>#VALUE!</v>
      </c>
      <c r="GM90" t="e">
        <f>'All regions'!C2254+"n/&gt;!%w%"</f>
        <v>#VALUE!</v>
      </c>
      <c r="GN90" t="e">
        <f>'All regions'!D2254+"n/&gt;!%w&amp;"</f>
        <v>#VALUE!</v>
      </c>
      <c r="GO90" t="e">
        <f>'All regions'!E2254+"n/&gt;!%w'"</f>
        <v>#VALUE!</v>
      </c>
      <c r="GP90" t="e">
        <f>'All regions'!F2254+"n/&gt;!%w("</f>
        <v>#VALUE!</v>
      </c>
      <c r="GQ90" t="e">
        <f>'All regions'!G2254+"n/&gt;!%w)"</f>
        <v>#VALUE!</v>
      </c>
      <c r="GR90" t="e">
        <f>'All regions'!H2254+"n/&gt;!%w."</f>
        <v>#VALUE!</v>
      </c>
      <c r="GS90" t="e">
        <f>'All regions'!I2254+"n/&gt;!%w/"</f>
        <v>#VALUE!</v>
      </c>
      <c r="GT90" t="e">
        <f>'All regions'!J2254+"n/&gt;!%w0"</f>
        <v>#VALUE!</v>
      </c>
      <c r="GU90" t="e">
        <f>'All regions'!A2255+"n/&gt;!%w1"</f>
        <v>#VALUE!</v>
      </c>
      <c r="GV90" t="e">
        <f>'All regions'!B2255+"n/&gt;!%w2"</f>
        <v>#VALUE!</v>
      </c>
      <c r="GW90" t="e">
        <f>'All regions'!C2255+"n/&gt;!%w3"</f>
        <v>#VALUE!</v>
      </c>
      <c r="GX90" t="e">
        <f>'All regions'!D2255+"n/&gt;!%w4"</f>
        <v>#VALUE!</v>
      </c>
      <c r="GY90" t="e">
        <f>'All regions'!E2255+"n/&gt;!%w5"</f>
        <v>#VALUE!</v>
      </c>
      <c r="GZ90" t="e">
        <f>'All regions'!F2255+"n/&gt;!%w6"</f>
        <v>#VALUE!</v>
      </c>
      <c r="HA90" t="e">
        <f>'All regions'!G2255+"n/&gt;!%w7"</f>
        <v>#VALUE!</v>
      </c>
      <c r="HB90" t="e">
        <f>'All regions'!H2255+"n/&gt;!%w8"</f>
        <v>#VALUE!</v>
      </c>
      <c r="HC90" t="e">
        <f>'All regions'!I2255+"n/&gt;!%w9"</f>
        <v>#VALUE!</v>
      </c>
      <c r="HD90" t="e">
        <f>'All regions'!J2255+"n/&gt;!%w:"</f>
        <v>#VALUE!</v>
      </c>
      <c r="HE90" t="e">
        <f>'All regions'!A2256+"n/&gt;!%w;"</f>
        <v>#VALUE!</v>
      </c>
      <c r="HF90" t="e">
        <f>'All regions'!B2256+"n/&gt;!%w&lt;"</f>
        <v>#VALUE!</v>
      </c>
      <c r="HG90" t="e">
        <f>'All regions'!C2256+"n/&gt;!%w="</f>
        <v>#VALUE!</v>
      </c>
      <c r="HH90" t="e">
        <f>'All regions'!D2256+"n/&gt;!%w&gt;"</f>
        <v>#VALUE!</v>
      </c>
      <c r="HI90" t="e">
        <f>'All regions'!E2256+"n/&gt;!%w?"</f>
        <v>#VALUE!</v>
      </c>
      <c r="HJ90" t="e">
        <f>'All regions'!F2256+"n/&gt;!%w@"</f>
        <v>#VALUE!</v>
      </c>
      <c r="HK90" t="e">
        <f>'All regions'!G2256+"n/&gt;!%wA"</f>
        <v>#VALUE!</v>
      </c>
      <c r="HL90" t="e">
        <f>'All regions'!H2256+"n/&gt;!%wB"</f>
        <v>#VALUE!</v>
      </c>
      <c r="HM90" t="e">
        <f>'All regions'!I2256+"n/&gt;!%wC"</f>
        <v>#VALUE!</v>
      </c>
      <c r="HN90" t="e">
        <f>'All regions'!J2256+"n/&gt;!%wD"</f>
        <v>#VALUE!</v>
      </c>
      <c r="HO90" t="e">
        <f>'All regions'!A2257+"n/&gt;!%wE"</f>
        <v>#VALUE!</v>
      </c>
      <c r="HP90" t="e">
        <f>'All regions'!B2257+"n/&gt;!%wF"</f>
        <v>#VALUE!</v>
      </c>
      <c r="HQ90" t="e">
        <f>'All regions'!C2257+"n/&gt;!%wG"</f>
        <v>#VALUE!</v>
      </c>
      <c r="HR90" t="e">
        <f>'All regions'!D2257+"n/&gt;!%wH"</f>
        <v>#VALUE!</v>
      </c>
      <c r="HS90" t="e">
        <f>'All regions'!E2257+"n/&gt;!%wI"</f>
        <v>#VALUE!</v>
      </c>
      <c r="HT90" t="e">
        <f>'All regions'!F2257+"n/&gt;!%wJ"</f>
        <v>#VALUE!</v>
      </c>
      <c r="HU90" t="e">
        <f>'All regions'!G2257+"n/&gt;!%wK"</f>
        <v>#VALUE!</v>
      </c>
      <c r="HV90" t="e">
        <f>'All regions'!H2257+"n/&gt;!%wL"</f>
        <v>#VALUE!</v>
      </c>
      <c r="HW90" t="e">
        <f>'All regions'!I2257+"n/&gt;!%wM"</f>
        <v>#VALUE!</v>
      </c>
      <c r="HX90" t="e">
        <f>'All regions'!J2257+"n/&gt;!%wN"</f>
        <v>#VALUE!</v>
      </c>
      <c r="HY90" t="e">
        <f>'All regions'!A2258+"n/&gt;!%wO"</f>
        <v>#VALUE!</v>
      </c>
      <c r="HZ90" t="e">
        <f>'All regions'!B2258+"n/&gt;!%wP"</f>
        <v>#VALUE!</v>
      </c>
      <c r="IA90" t="e">
        <f>'All regions'!C2258+"n/&gt;!%wQ"</f>
        <v>#VALUE!</v>
      </c>
      <c r="IB90" t="e">
        <f>'All regions'!D2258+"n/&gt;!%wR"</f>
        <v>#VALUE!</v>
      </c>
      <c r="IC90" t="e">
        <f>'All regions'!E2258+"n/&gt;!%wS"</f>
        <v>#VALUE!</v>
      </c>
      <c r="ID90" t="e">
        <f>'All regions'!F2258+"n/&gt;!%wT"</f>
        <v>#VALUE!</v>
      </c>
      <c r="IE90" t="e">
        <f>'All regions'!G2258+"n/&gt;!%wU"</f>
        <v>#VALUE!</v>
      </c>
      <c r="IF90" t="e">
        <f>'All regions'!H2258+"n/&gt;!%wV"</f>
        <v>#VALUE!</v>
      </c>
      <c r="IG90" t="e">
        <f>'All regions'!I2258+"n/&gt;!%wW"</f>
        <v>#VALUE!</v>
      </c>
      <c r="IH90" t="e">
        <f>'All regions'!J2258+"n/&gt;!%wX"</f>
        <v>#VALUE!</v>
      </c>
      <c r="II90" t="e">
        <f>'All regions'!A2259+"n/&gt;!%wY"</f>
        <v>#VALUE!</v>
      </c>
      <c r="IJ90" t="e">
        <f>'All regions'!B2259+"n/&gt;!%wZ"</f>
        <v>#VALUE!</v>
      </c>
      <c r="IK90" t="e">
        <f>'All regions'!C2259+"n/&gt;!%w["</f>
        <v>#VALUE!</v>
      </c>
      <c r="IL90" t="e">
        <f>'All regions'!D2259+"n/&gt;!%w\"</f>
        <v>#VALUE!</v>
      </c>
      <c r="IM90" t="e">
        <f>'All regions'!E2259+"n/&gt;!%w]"</f>
        <v>#VALUE!</v>
      </c>
      <c r="IN90" t="e">
        <f>'All regions'!F2259+"n/&gt;!%w^"</f>
        <v>#VALUE!</v>
      </c>
      <c r="IO90" t="e">
        <f>'All regions'!G2259+"n/&gt;!%w_"</f>
        <v>#VALUE!</v>
      </c>
      <c r="IP90" t="e">
        <f>'All regions'!H2259+"n/&gt;!%w`"</f>
        <v>#VALUE!</v>
      </c>
      <c r="IQ90" t="e">
        <f>'All regions'!I2259+"n/&gt;!%wa"</f>
        <v>#VALUE!</v>
      </c>
      <c r="IR90" t="e">
        <f>'All regions'!J2259+"n/&gt;!%wb"</f>
        <v>#VALUE!</v>
      </c>
      <c r="IS90" t="e">
        <f>'All regions'!A2260+"n/&gt;!%wc"</f>
        <v>#VALUE!</v>
      </c>
      <c r="IT90" t="e">
        <f>'All regions'!B2260+"n/&gt;!%wd"</f>
        <v>#VALUE!</v>
      </c>
      <c r="IU90" t="e">
        <f>'All regions'!C2260+"n/&gt;!%we"</f>
        <v>#VALUE!</v>
      </c>
      <c r="IV90" t="e">
        <f>'All regions'!D2260+"n/&gt;!%wf"</f>
        <v>#VALUE!</v>
      </c>
    </row>
    <row r="91" spans="6:256" x14ac:dyDescent="0.35">
      <c r="F91" t="e">
        <f>'All regions'!E2260+"n/&gt;!%wg"</f>
        <v>#VALUE!</v>
      </c>
      <c r="G91" t="e">
        <f>'All regions'!F2260+"n/&gt;!%wh"</f>
        <v>#VALUE!</v>
      </c>
      <c r="H91" t="e">
        <f>'All regions'!G2260+"n/&gt;!%wi"</f>
        <v>#VALUE!</v>
      </c>
      <c r="I91" t="e">
        <f>'All regions'!H2260+"n/&gt;!%wj"</f>
        <v>#VALUE!</v>
      </c>
      <c r="J91" t="e">
        <f>'All regions'!I2260+"n/&gt;!%wk"</f>
        <v>#VALUE!</v>
      </c>
      <c r="K91" t="e">
        <f>'All regions'!J2260+"n/&gt;!%wl"</f>
        <v>#VALUE!</v>
      </c>
      <c r="L91" t="e">
        <f>'All regions'!A2261+"n/&gt;!%wm"</f>
        <v>#VALUE!</v>
      </c>
      <c r="M91" t="e">
        <f>'All regions'!B2261+"n/&gt;!%wn"</f>
        <v>#VALUE!</v>
      </c>
      <c r="N91" t="e">
        <f>'All regions'!C2261+"n/&gt;!%wo"</f>
        <v>#VALUE!</v>
      </c>
      <c r="O91" t="e">
        <f>'All regions'!D2261+"n/&gt;!%wp"</f>
        <v>#VALUE!</v>
      </c>
      <c r="P91" t="e">
        <f>'All regions'!E2261+"n/&gt;!%wq"</f>
        <v>#VALUE!</v>
      </c>
      <c r="Q91" t="e">
        <f>'All regions'!F2261+"n/&gt;!%wr"</f>
        <v>#VALUE!</v>
      </c>
      <c r="R91" t="e">
        <f>'All regions'!G2261+"n/&gt;!%ws"</f>
        <v>#VALUE!</v>
      </c>
      <c r="S91" t="e">
        <f>'All regions'!H2261+"n/&gt;!%wt"</f>
        <v>#VALUE!</v>
      </c>
      <c r="T91" t="e">
        <f>'All regions'!I2261+"n/&gt;!%wu"</f>
        <v>#VALUE!</v>
      </c>
      <c r="U91" t="e">
        <f>'All regions'!J2261+"n/&gt;!%wv"</f>
        <v>#VALUE!</v>
      </c>
      <c r="V91" t="e">
        <f>'All regions'!A2262+"n/&gt;!%ww"</f>
        <v>#VALUE!</v>
      </c>
      <c r="W91" t="e">
        <f>'All regions'!B2262+"n/&gt;!%wx"</f>
        <v>#VALUE!</v>
      </c>
      <c r="X91" t="e">
        <f>'All regions'!C2262+"n/&gt;!%wy"</f>
        <v>#VALUE!</v>
      </c>
      <c r="Y91" t="e">
        <f>'All regions'!D2262+"n/&gt;!%wz"</f>
        <v>#VALUE!</v>
      </c>
      <c r="Z91" t="e">
        <f>'All regions'!E2262+"n/&gt;!%w{"</f>
        <v>#VALUE!</v>
      </c>
      <c r="AA91" t="e">
        <f>'All regions'!F2262+"n/&gt;!%w|"</f>
        <v>#VALUE!</v>
      </c>
      <c r="AB91" t="e">
        <f>'All regions'!G2262+"n/&gt;!%w}"</f>
        <v>#VALUE!</v>
      </c>
      <c r="AC91" t="e">
        <f>'All regions'!H2262+"n/&gt;!%w~"</f>
        <v>#VALUE!</v>
      </c>
      <c r="AD91" t="e">
        <f>'All regions'!I2262+"n/&gt;!%x#"</f>
        <v>#VALUE!</v>
      </c>
      <c r="AE91" t="e">
        <f>'All regions'!J2262+"n/&gt;!%x$"</f>
        <v>#VALUE!</v>
      </c>
      <c r="AF91" t="e">
        <f>'All regions'!A2263+"n/&gt;!%x%"</f>
        <v>#VALUE!</v>
      </c>
      <c r="AG91" t="e">
        <f>'All regions'!B2263+"n/&gt;!%x&amp;"</f>
        <v>#VALUE!</v>
      </c>
      <c r="AH91" t="e">
        <f>'All regions'!C2263+"n/&gt;!%x'"</f>
        <v>#VALUE!</v>
      </c>
      <c r="AI91" t="e">
        <f>'All regions'!D2263+"n/&gt;!%x("</f>
        <v>#VALUE!</v>
      </c>
      <c r="AJ91" t="e">
        <f>'All regions'!E2263+"n/&gt;!%x)"</f>
        <v>#VALUE!</v>
      </c>
      <c r="AK91" t="e">
        <f>'All regions'!F2263+"n/&gt;!%x."</f>
        <v>#VALUE!</v>
      </c>
      <c r="AL91" t="e">
        <f>'All regions'!G2263+"n/&gt;!%x/"</f>
        <v>#VALUE!</v>
      </c>
      <c r="AM91" t="e">
        <f>'All regions'!H2263+"n/&gt;!%x0"</f>
        <v>#VALUE!</v>
      </c>
      <c r="AN91" t="e">
        <f>'All regions'!I2263+"n/&gt;!%x1"</f>
        <v>#VALUE!</v>
      </c>
      <c r="AO91" t="e">
        <f>'All regions'!J2263+"n/&gt;!%x2"</f>
        <v>#VALUE!</v>
      </c>
      <c r="AP91" t="e">
        <f>'All regions'!A2264+"n/&gt;!%x3"</f>
        <v>#VALUE!</v>
      </c>
      <c r="AQ91" t="e">
        <f>'All regions'!B2264+"n/&gt;!%x4"</f>
        <v>#VALUE!</v>
      </c>
      <c r="AR91" t="e">
        <f>'All regions'!C2264+"n/&gt;!%x5"</f>
        <v>#VALUE!</v>
      </c>
      <c r="AS91" t="e">
        <f>'All regions'!D2264+"n/&gt;!%x6"</f>
        <v>#VALUE!</v>
      </c>
      <c r="AT91" t="e">
        <f>'All regions'!E2264+"n/&gt;!%x7"</f>
        <v>#VALUE!</v>
      </c>
      <c r="AU91" t="e">
        <f>'All regions'!F2264+"n/&gt;!%x8"</f>
        <v>#VALUE!</v>
      </c>
      <c r="AV91" t="e">
        <f>'All regions'!G2264+"n/&gt;!%x9"</f>
        <v>#VALUE!</v>
      </c>
      <c r="AW91" t="e">
        <f>'All regions'!H2264+"n/&gt;!%x:"</f>
        <v>#VALUE!</v>
      </c>
      <c r="AX91" t="e">
        <f>'All regions'!I2264+"n/&gt;!%x;"</f>
        <v>#VALUE!</v>
      </c>
      <c r="AY91" t="e">
        <f>'All regions'!J2264+"n/&gt;!%x&lt;"</f>
        <v>#VALUE!</v>
      </c>
      <c r="AZ91" t="e">
        <f>'All regions'!A2265+"n/&gt;!%x="</f>
        <v>#VALUE!</v>
      </c>
      <c r="BA91" t="e">
        <f>'All regions'!B2265+"n/&gt;!%x&gt;"</f>
        <v>#VALUE!</v>
      </c>
      <c r="BB91" t="e">
        <f>'All regions'!C2265+"n/&gt;!%x?"</f>
        <v>#VALUE!</v>
      </c>
      <c r="BC91" t="e">
        <f>'All regions'!D2265+"n/&gt;!%x@"</f>
        <v>#VALUE!</v>
      </c>
      <c r="BD91" t="e">
        <f>'All regions'!E2265+"n/&gt;!%xA"</f>
        <v>#VALUE!</v>
      </c>
      <c r="BE91" t="e">
        <f>'All regions'!F2265+"n/&gt;!%xB"</f>
        <v>#VALUE!</v>
      </c>
      <c r="BF91" t="e">
        <f>'All regions'!G2265+"n/&gt;!%xC"</f>
        <v>#VALUE!</v>
      </c>
      <c r="BG91" t="e">
        <f>'All regions'!H2265+"n/&gt;!%xD"</f>
        <v>#VALUE!</v>
      </c>
      <c r="BH91" t="e">
        <f>'All regions'!I2265+"n/&gt;!%xE"</f>
        <v>#VALUE!</v>
      </c>
      <c r="BI91" t="e">
        <f>'All regions'!J2265+"n/&gt;!%xF"</f>
        <v>#VALUE!</v>
      </c>
      <c r="BJ91" t="e">
        <f>'All regions'!A2266+"n/&gt;!%xG"</f>
        <v>#VALUE!</v>
      </c>
      <c r="BK91" t="e">
        <f>'All regions'!B2266+"n/&gt;!%xH"</f>
        <v>#VALUE!</v>
      </c>
      <c r="BL91" t="e">
        <f>'All regions'!C2266+"n/&gt;!%xI"</f>
        <v>#VALUE!</v>
      </c>
      <c r="BM91" t="e">
        <f>'All regions'!D2266+"n/&gt;!%xJ"</f>
        <v>#VALUE!</v>
      </c>
      <c r="BN91" t="e">
        <f>'All regions'!E2266+"n/&gt;!%xK"</f>
        <v>#VALUE!</v>
      </c>
      <c r="BO91" t="e">
        <f>'All regions'!F2266+"n/&gt;!%xL"</f>
        <v>#VALUE!</v>
      </c>
      <c r="BP91" t="e">
        <f>'All regions'!G2266+"n/&gt;!%xM"</f>
        <v>#VALUE!</v>
      </c>
      <c r="BQ91" t="e">
        <f>'All regions'!H2266+"n/&gt;!%xN"</f>
        <v>#VALUE!</v>
      </c>
      <c r="BR91" t="e">
        <f>'All regions'!I2266+"n/&gt;!%xO"</f>
        <v>#VALUE!</v>
      </c>
      <c r="BS91" t="e">
        <f>'All regions'!J2266+"n/&gt;!%xP"</f>
        <v>#VALUE!</v>
      </c>
      <c r="BT91" t="e">
        <f>'All regions'!A2267+"n/&gt;!%xQ"</f>
        <v>#VALUE!</v>
      </c>
      <c r="BU91" t="e">
        <f>'All regions'!B2267+"n/&gt;!%xR"</f>
        <v>#VALUE!</v>
      </c>
      <c r="BV91" t="e">
        <f>'All regions'!C2267+"n/&gt;!%xS"</f>
        <v>#VALUE!</v>
      </c>
      <c r="BW91" t="e">
        <f>'All regions'!D2267+"n/&gt;!%xT"</f>
        <v>#VALUE!</v>
      </c>
      <c r="BX91" t="e">
        <f>'All regions'!E2267+"n/&gt;!%xU"</f>
        <v>#VALUE!</v>
      </c>
      <c r="BY91" t="e">
        <f>'All regions'!F2267+"n/&gt;!%xV"</f>
        <v>#VALUE!</v>
      </c>
      <c r="BZ91" t="e">
        <f>'All regions'!G2267+"n/&gt;!%xW"</f>
        <v>#VALUE!</v>
      </c>
      <c r="CA91" t="e">
        <f>'All regions'!H2267+"n/&gt;!%xX"</f>
        <v>#VALUE!</v>
      </c>
      <c r="CB91" t="e">
        <f>'All regions'!I2267+"n/&gt;!%xY"</f>
        <v>#VALUE!</v>
      </c>
      <c r="CC91" t="e">
        <f>'All regions'!J2267+"n/&gt;!%xZ"</f>
        <v>#VALUE!</v>
      </c>
      <c r="CD91" t="e">
        <f>'All regions'!A2268+"n/&gt;!%x["</f>
        <v>#VALUE!</v>
      </c>
      <c r="CE91" t="e">
        <f>'All regions'!B2268+"n/&gt;!%x\"</f>
        <v>#VALUE!</v>
      </c>
      <c r="CF91" t="e">
        <f>'All regions'!C2268+"n/&gt;!%x]"</f>
        <v>#VALUE!</v>
      </c>
      <c r="CG91" t="e">
        <f>'All regions'!D2268+"n/&gt;!%x^"</f>
        <v>#VALUE!</v>
      </c>
      <c r="CH91" t="e">
        <f>'All regions'!E2268+"n/&gt;!%x_"</f>
        <v>#VALUE!</v>
      </c>
      <c r="CI91" t="e">
        <f>'All regions'!F2268+"n/&gt;!%x`"</f>
        <v>#VALUE!</v>
      </c>
      <c r="CJ91" t="e">
        <f>'All regions'!G2268+"n/&gt;!%xa"</f>
        <v>#VALUE!</v>
      </c>
      <c r="CK91" t="e">
        <f>'All regions'!H2268+"n/&gt;!%xb"</f>
        <v>#VALUE!</v>
      </c>
      <c r="CL91" t="e">
        <f>'All regions'!I2268+"n/&gt;!%xc"</f>
        <v>#VALUE!</v>
      </c>
      <c r="CM91" t="e">
        <f>'All regions'!J2268+"n/&gt;!%xd"</f>
        <v>#VALUE!</v>
      </c>
      <c r="CN91" t="e">
        <f>'All regions'!A2269+"n/&gt;!%xe"</f>
        <v>#VALUE!</v>
      </c>
      <c r="CO91" t="e">
        <f>'All regions'!B2269+"n/&gt;!%xf"</f>
        <v>#VALUE!</v>
      </c>
      <c r="CP91" t="e">
        <f>'All regions'!C2269+"n/&gt;!%xg"</f>
        <v>#VALUE!</v>
      </c>
      <c r="CQ91" t="e">
        <f>'All regions'!D2269+"n/&gt;!%xh"</f>
        <v>#VALUE!</v>
      </c>
      <c r="CR91" t="e">
        <f>'All regions'!E2269+"n/&gt;!%xi"</f>
        <v>#VALUE!</v>
      </c>
      <c r="CS91" t="e">
        <f>'All regions'!F2269+"n/&gt;!%xj"</f>
        <v>#VALUE!</v>
      </c>
      <c r="CT91" t="e">
        <f>'All regions'!G2269+"n/&gt;!%xk"</f>
        <v>#VALUE!</v>
      </c>
      <c r="CU91" t="e">
        <f>'All regions'!H2269+"n/&gt;!%xl"</f>
        <v>#VALUE!</v>
      </c>
      <c r="CV91" t="e">
        <f>'All regions'!I2269+"n/&gt;!%xm"</f>
        <v>#VALUE!</v>
      </c>
      <c r="CW91" t="e">
        <f>'All regions'!J2269+"n/&gt;!%xn"</f>
        <v>#VALUE!</v>
      </c>
      <c r="CX91" t="e">
        <f>'All regions'!A2270+"n/&gt;!%xo"</f>
        <v>#VALUE!</v>
      </c>
      <c r="CY91" t="e">
        <f>'All regions'!B2270+"n/&gt;!%xp"</f>
        <v>#VALUE!</v>
      </c>
      <c r="CZ91" t="e">
        <f>'All regions'!C2270+"n/&gt;!%xq"</f>
        <v>#VALUE!</v>
      </c>
      <c r="DA91" t="e">
        <f>'All regions'!D2270+"n/&gt;!%xr"</f>
        <v>#VALUE!</v>
      </c>
      <c r="DB91" t="e">
        <f>'All regions'!E2270+"n/&gt;!%xs"</f>
        <v>#VALUE!</v>
      </c>
      <c r="DC91" t="e">
        <f>'All regions'!F2270+"n/&gt;!%xt"</f>
        <v>#VALUE!</v>
      </c>
      <c r="DD91" t="e">
        <f>'All regions'!G2270+"n/&gt;!%xu"</f>
        <v>#VALUE!</v>
      </c>
      <c r="DE91" t="e">
        <f>'All regions'!H2270+"n/&gt;!%xv"</f>
        <v>#VALUE!</v>
      </c>
      <c r="DF91" t="e">
        <f>'All regions'!I2270+"n/&gt;!%xw"</f>
        <v>#VALUE!</v>
      </c>
      <c r="DG91" t="e">
        <f>'All regions'!J2270+"n/&gt;!%xx"</f>
        <v>#VALUE!</v>
      </c>
      <c r="DH91" t="e">
        <f>'All regions'!A2271+"n/&gt;!%xy"</f>
        <v>#VALUE!</v>
      </c>
      <c r="DI91" t="e">
        <f>'All regions'!B2271+"n/&gt;!%xz"</f>
        <v>#VALUE!</v>
      </c>
      <c r="DJ91" t="e">
        <f>'All regions'!C2271+"n/&gt;!%x{"</f>
        <v>#VALUE!</v>
      </c>
      <c r="DK91" t="e">
        <f>'All regions'!D2271+"n/&gt;!%x|"</f>
        <v>#VALUE!</v>
      </c>
      <c r="DL91" t="e">
        <f>'All regions'!E2271+"n/&gt;!%x}"</f>
        <v>#VALUE!</v>
      </c>
      <c r="DM91" t="e">
        <f>'All regions'!F2271+"n/&gt;!%x~"</f>
        <v>#VALUE!</v>
      </c>
      <c r="DN91" t="e">
        <f>'All regions'!G2271+"n/&gt;!%y#"</f>
        <v>#VALUE!</v>
      </c>
      <c r="DO91" t="e">
        <f>'All regions'!H2271+"n/&gt;!%y$"</f>
        <v>#VALUE!</v>
      </c>
      <c r="DP91" t="e">
        <f>'All regions'!I2271+"n/&gt;!%y%"</f>
        <v>#VALUE!</v>
      </c>
      <c r="DQ91" t="e">
        <f>'All regions'!J2271+"n/&gt;!%y&amp;"</f>
        <v>#VALUE!</v>
      </c>
      <c r="DR91" t="e">
        <f>'All regions'!A2272+"n/&gt;!%y'"</f>
        <v>#VALUE!</v>
      </c>
      <c r="DS91" t="e">
        <f>'All regions'!B2272+"n/&gt;!%y("</f>
        <v>#VALUE!</v>
      </c>
      <c r="DT91" t="e">
        <f>'All regions'!C2272+"n/&gt;!%y)"</f>
        <v>#VALUE!</v>
      </c>
      <c r="DU91" t="e">
        <f>'All regions'!D2272+"n/&gt;!%y."</f>
        <v>#VALUE!</v>
      </c>
      <c r="DV91" t="e">
        <f>'All regions'!E2272+"n/&gt;!%y/"</f>
        <v>#VALUE!</v>
      </c>
      <c r="DW91" t="e">
        <f>'All regions'!F2272+"n/&gt;!%y0"</f>
        <v>#VALUE!</v>
      </c>
      <c r="DX91" t="e">
        <f>'All regions'!G2272+"n/&gt;!%y1"</f>
        <v>#VALUE!</v>
      </c>
      <c r="DY91" t="e">
        <f>'All regions'!H2272+"n/&gt;!%y2"</f>
        <v>#VALUE!</v>
      </c>
      <c r="DZ91" t="e">
        <f>'All regions'!I2272+"n/&gt;!%y3"</f>
        <v>#VALUE!</v>
      </c>
      <c r="EA91" t="e">
        <f>'All regions'!J2272+"n/&gt;!%y4"</f>
        <v>#VALUE!</v>
      </c>
      <c r="EB91" t="e">
        <f>'All regions'!A2273+"n/&gt;!%y5"</f>
        <v>#VALUE!</v>
      </c>
      <c r="EC91" t="e">
        <f>'All regions'!B2273+"n/&gt;!%y6"</f>
        <v>#VALUE!</v>
      </c>
      <c r="ED91" t="e">
        <f>'All regions'!C2273+"n/&gt;!%y7"</f>
        <v>#VALUE!</v>
      </c>
      <c r="EE91" t="e">
        <f>'All regions'!D2273+"n/&gt;!%y8"</f>
        <v>#VALUE!</v>
      </c>
      <c r="EF91" t="e">
        <f>'All regions'!E2273+"n/&gt;!%y9"</f>
        <v>#VALUE!</v>
      </c>
      <c r="EG91" t="e">
        <f>'All regions'!F2273+"n/&gt;!%y:"</f>
        <v>#VALUE!</v>
      </c>
      <c r="EH91" t="e">
        <f>'All regions'!G2273+"n/&gt;!%y;"</f>
        <v>#VALUE!</v>
      </c>
      <c r="EI91" t="e">
        <f>'All regions'!H2273+"n/&gt;!%y&lt;"</f>
        <v>#VALUE!</v>
      </c>
      <c r="EJ91" t="e">
        <f>'All regions'!I2273+"n/&gt;!%y="</f>
        <v>#VALUE!</v>
      </c>
      <c r="EK91" t="e">
        <f>'All regions'!J2273+"n/&gt;!%y&gt;"</f>
        <v>#VALUE!</v>
      </c>
      <c r="EL91" t="e">
        <f>'All regions'!A2274+"n/&gt;!%y?"</f>
        <v>#VALUE!</v>
      </c>
      <c r="EM91" t="e">
        <f>'All regions'!B2274+"n/&gt;!%y@"</f>
        <v>#VALUE!</v>
      </c>
      <c r="EN91" t="e">
        <f>'All regions'!C2274+"n/&gt;!%yA"</f>
        <v>#VALUE!</v>
      </c>
      <c r="EO91" t="e">
        <f>'All regions'!D2274+"n/&gt;!%yB"</f>
        <v>#VALUE!</v>
      </c>
      <c r="EP91" t="e">
        <f>'All regions'!E2274+"n/&gt;!%yC"</f>
        <v>#VALUE!</v>
      </c>
      <c r="EQ91" t="e">
        <f>'All regions'!F2274+"n/&gt;!%yD"</f>
        <v>#VALUE!</v>
      </c>
      <c r="ER91" t="e">
        <f>'All regions'!G2274+"n/&gt;!%yE"</f>
        <v>#VALUE!</v>
      </c>
      <c r="ES91" t="e">
        <f>'All regions'!H2274+"n/&gt;!%yF"</f>
        <v>#VALUE!</v>
      </c>
      <c r="ET91" t="e">
        <f>'All regions'!I2274+"n/&gt;!%yG"</f>
        <v>#VALUE!</v>
      </c>
      <c r="EU91" t="e">
        <f>'All regions'!J2274+"n/&gt;!%yH"</f>
        <v>#VALUE!</v>
      </c>
      <c r="EV91" t="e">
        <f>'All regions'!A2275+"n/&gt;!%yI"</f>
        <v>#VALUE!</v>
      </c>
      <c r="EW91" t="e">
        <f>'All regions'!B2275+"n/&gt;!%yJ"</f>
        <v>#VALUE!</v>
      </c>
      <c r="EX91" t="e">
        <f>'All regions'!C2275+"n/&gt;!%yK"</f>
        <v>#VALUE!</v>
      </c>
      <c r="EY91" t="e">
        <f>'All regions'!D2275+"n/&gt;!%yL"</f>
        <v>#VALUE!</v>
      </c>
      <c r="EZ91" t="e">
        <f>'All regions'!E2275+"n/&gt;!%yM"</f>
        <v>#VALUE!</v>
      </c>
      <c r="FA91" t="e">
        <f>'All regions'!F2275+"n/&gt;!%yN"</f>
        <v>#VALUE!</v>
      </c>
      <c r="FB91" t="e">
        <f>'All regions'!G2275+"n/&gt;!%yO"</f>
        <v>#VALUE!</v>
      </c>
      <c r="FC91" t="e">
        <f>'All regions'!H2275+"n/&gt;!%yP"</f>
        <v>#VALUE!</v>
      </c>
      <c r="FD91" t="e">
        <f>'All regions'!I2275+"n/&gt;!%yQ"</f>
        <v>#VALUE!</v>
      </c>
      <c r="FE91" t="e">
        <f>'All regions'!J2275+"n/&gt;!%yR"</f>
        <v>#VALUE!</v>
      </c>
      <c r="FF91" t="e">
        <f>'All regions'!A2276+"n/&gt;!%yS"</f>
        <v>#VALUE!</v>
      </c>
      <c r="FG91" t="e">
        <f>'All regions'!B2276+"n/&gt;!%yT"</f>
        <v>#VALUE!</v>
      </c>
      <c r="FH91" t="e">
        <f>'All regions'!C2276+"n/&gt;!%yU"</f>
        <v>#VALUE!</v>
      </c>
      <c r="FI91" t="e">
        <f>'All regions'!D2276+"n/&gt;!%yV"</f>
        <v>#VALUE!</v>
      </c>
      <c r="FJ91" t="e">
        <f>'All regions'!E2276+"n/&gt;!%yW"</f>
        <v>#VALUE!</v>
      </c>
      <c r="FK91" t="e">
        <f>'All regions'!F2276+"n/&gt;!%yX"</f>
        <v>#VALUE!</v>
      </c>
      <c r="FL91" t="e">
        <f>'All regions'!G2276+"n/&gt;!%yY"</f>
        <v>#VALUE!</v>
      </c>
      <c r="FM91" t="e">
        <f>'All regions'!H2276+"n/&gt;!%yZ"</f>
        <v>#VALUE!</v>
      </c>
      <c r="FN91" t="e">
        <f>'All regions'!I2276+"n/&gt;!%y["</f>
        <v>#VALUE!</v>
      </c>
      <c r="FO91" t="e">
        <f>'All regions'!J2276+"n/&gt;!%y\"</f>
        <v>#VALUE!</v>
      </c>
      <c r="FP91" t="e">
        <f>'All regions'!A2277+"n/&gt;!%y]"</f>
        <v>#VALUE!</v>
      </c>
      <c r="FQ91" t="e">
        <f>'All regions'!B2277+"n/&gt;!%y^"</f>
        <v>#VALUE!</v>
      </c>
      <c r="FR91" t="e">
        <f>'All regions'!C2277+"n/&gt;!%y_"</f>
        <v>#VALUE!</v>
      </c>
      <c r="FS91" t="e">
        <f>'All regions'!D2277+"n/&gt;!%y`"</f>
        <v>#VALUE!</v>
      </c>
      <c r="FT91" t="e">
        <f>'All regions'!E2277+"n/&gt;!%ya"</f>
        <v>#VALUE!</v>
      </c>
      <c r="FU91" t="e">
        <f>'All regions'!F2277+"n/&gt;!%yb"</f>
        <v>#VALUE!</v>
      </c>
      <c r="FV91" t="e">
        <f>'All regions'!G2277+"n/&gt;!%yc"</f>
        <v>#VALUE!</v>
      </c>
      <c r="FW91" t="e">
        <f>'All regions'!H2277+"n/&gt;!%yd"</f>
        <v>#VALUE!</v>
      </c>
      <c r="FX91" t="e">
        <f>'All regions'!I2277+"n/&gt;!%ye"</f>
        <v>#VALUE!</v>
      </c>
      <c r="FY91" t="e">
        <f>'All regions'!J2277+"n/&gt;!%yf"</f>
        <v>#VALUE!</v>
      </c>
      <c r="FZ91" t="e">
        <f>'All regions'!A2278+"n/&gt;!%yg"</f>
        <v>#VALUE!</v>
      </c>
      <c r="GA91" t="e">
        <f>'All regions'!B2278+"n/&gt;!%yh"</f>
        <v>#VALUE!</v>
      </c>
      <c r="GB91" t="e">
        <f>'All regions'!C2278+"n/&gt;!%yi"</f>
        <v>#VALUE!</v>
      </c>
      <c r="GC91" t="e">
        <f>'All regions'!D2278+"n/&gt;!%yj"</f>
        <v>#VALUE!</v>
      </c>
      <c r="GD91" t="e">
        <f>'All regions'!E2278+"n/&gt;!%yk"</f>
        <v>#VALUE!</v>
      </c>
      <c r="GE91" t="e">
        <f>'All regions'!F2278+"n/&gt;!%yl"</f>
        <v>#VALUE!</v>
      </c>
      <c r="GF91" t="e">
        <f>'All regions'!G2278+"n/&gt;!%ym"</f>
        <v>#VALUE!</v>
      </c>
      <c r="GG91" t="e">
        <f>'All regions'!H2278+"n/&gt;!%yn"</f>
        <v>#VALUE!</v>
      </c>
      <c r="GH91" t="e">
        <f>'All regions'!I2278+"n/&gt;!%yo"</f>
        <v>#VALUE!</v>
      </c>
      <c r="GI91" t="e">
        <f>'All regions'!J2278+"n/&gt;!%yp"</f>
        <v>#VALUE!</v>
      </c>
      <c r="GJ91" t="e">
        <f>'All regions'!A2279+"n/&gt;!%yq"</f>
        <v>#VALUE!</v>
      </c>
      <c r="GK91" t="e">
        <f>'All regions'!B2279+"n/&gt;!%yr"</f>
        <v>#VALUE!</v>
      </c>
      <c r="GL91" t="e">
        <f>'All regions'!C2279+"n/&gt;!%ys"</f>
        <v>#VALUE!</v>
      </c>
      <c r="GM91" t="e">
        <f>'All regions'!D2279+"n/&gt;!%yt"</f>
        <v>#VALUE!</v>
      </c>
      <c r="GN91" t="e">
        <f>'All regions'!E2279+"n/&gt;!%yu"</f>
        <v>#VALUE!</v>
      </c>
      <c r="GO91" t="e">
        <f>'All regions'!F2279+"n/&gt;!%yv"</f>
        <v>#VALUE!</v>
      </c>
      <c r="GP91" t="e">
        <f>'All regions'!G2279+"n/&gt;!%yw"</f>
        <v>#VALUE!</v>
      </c>
      <c r="GQ91" t="e">
        <f>'All regions'!H2279+"n/&gt;!%yx"</f>
        <v>#VALUE!</v>
      </c>
      <c r="GR91" t="e">
        <f>'All regions'!I2279+"n/&gt;!%yy"</f>
        <v>#VALUE!</v>
      </c>
      <c r="GS91" t="e">
        <f>'All regions'!J2279+"n/&gt;!%yz"</f>
        <v>#VALUE!</v>
      </c>
      <c r="GT91" t="e">
        <f>'All regions'!A2280+"n/&gt;!%y{"</f>
        <v>#VALUE!</v>
      </c>
      <c r="GU91" t="e">
        <f>'All regions'!B2280+"n/&gt;!%y|"</f>
        <v>#VALUE!</v>
      </c>
      <c r="GV91" t="e">
        <f>'All regions'!C2280+"n/&gt;!%y}"</f>
        <v>#VALUE!</v>
      </c>
      <c r="GW91" t="e">
        <f>'All regions'!D2280+"n/&gt;!%y~"</f>
        <v>#VALUE!</v>
      </c>
      <c r="GX91" t="e">
        <f>'All regions'!E2280+"n/&gt;!%z#"</f>
        <v>#VALUE!</v>
      </c>
      <c r="GY91" t="e">
        <f>'All regions'!F2280+"n/&gt;!%z$"</f>
        <v>#VALUE!</v>
      </c>
      <c r="GZ91" t="e">
        <f>'All regions'!G2280+"n/&gt;!%z%"</f>
        <v>#VALUE!</v>
      </c>
      <c r="HA91" t="e">
        <f>'All regions'!H2280+"n/&gt;!%z&amp;"</f>
        <v>#VALUE!</v>
      </c>
      <c r="HB91" t="e">
        <f>'All regions'!I2280+"n/&gt;!%z'"</f>
        <v>#VALUE!</v>
      </c>
      <c r="HC91" t="e">
        <f>'All regions'!J2280+"n/&gt;!%z("</f>
        <v>#VALUE!</v>
      </c>
      <c r="HD91" t="e">
        <f>'All regions'!A2281+"n/&gt;!%z)"</f>
        <v>#VALUE!</v>
      </c>
      <c r="HE91" t="e">
        <f>'All regions'!B2281+"n/&gt;!%z."</f>
        <v>#VALUE!</v>
      </c>
      <c r="HF91" t="e">
        <f>'All regions'!C2281+"n/&gt;!%z/"</f>
        <v>#VALUE!</v>
      </c>
      <c r="HG91" t="e">
        <f>'All regions'!D2281+"n/&gt;!%z0"</f>
        <v>#VALUE!</v>
      </c>
      <c r="HH91" t="e">
        <f>'All regions'!E2281+"n/&gt;!%z1"</f>
        <v>#VALUE!</v>
      </c>
      <c r="HI91" t="e">
        <f>'All regions'!F2281+"n/&gt;!%z2"</f>
        <v>#VALUE!</v>
      </c>
      <c r="HJ91" t="e">
        <f>'All regions'!G2281+"n/&gt;!%z3"</f>
        <v>#VALUE!</v>
      </c>
      <c r="HK91" t="e">
        <f>'All regions'!H2281+"n/&gt;!%z4"</f>
        <v>#VALUE!</v>
      </c>
      <c r="HL91" t="e">
        <f>'All regions'!I2281+"n/&gt;!%z5"</f>
        <v>#VALUE!</v>
      </c>
      <c r="HM91" t="e">
        <f>'All regions'!J2281+"n/&gt;!%z6"</f>
        <v>#VALUE!</v>
      </c>
      <c r="HN91" t="e">
        <f>'All regions'!A2282+"n/&gt;!%z7"</f>
        <v>#VALUE!</v>
      </c>
      <c r="HO91" t="e">
        <f>'All regions'!B2282+"n/&gt;!%z8"</f>
        <v>#VALUE!</v>
      </c>
      <c r="HP91" t="e">
        <f>'All regions'!C2282+"n/&gt;!%z9"</f>
        <v>#VALUE!</v>
      </c>
      <c r="HQ91" t="e">
        <f>'All regions'!D2282+"n/&gt;!%z:"</f>
        <v>#VALUE!</v>
      </c>
      <c r="HR91" t="e">
        <f>'All regions'!E2282+"n/&gt;!%z;"</f>
        <v>#VALUE!</v>
      </c>
      <c r="HS91" t="e">
        <f>'All regions'!F2282+"n/&gt;!%z&lt;"</f>
        <v>#VALUE!</v>
      </c>
      <c r="HT91" t="e">
        <f>'All regions'!G2282+"n/&gt;!%z="</f>
        <v>#VALUE!</v>
      </c>
      <c r="HU91" t="e">
        <f>'All regions'!H2282+"n/&gt;!%z&gt;"</f>
        <v>#VALUE!</v>
      </c>
      <c r="HV91" t="e">
        <f>'All regions'!I2282+"n/&gt;!%z?"</f>
        <v>#VALUE!</v>
      </c>
      <c r="HW91" t="e">
        <f>'All regions'!J2282+"n/&gt;!%z@"</f>
        <v>#VALUE!</v>
      </c>
      <c r="HX91" t="e">
        <f>'All regions'!A2283+"n/&gt;!%zA"</f>
        <v>#VALUE!</v>
      </c>
      <c r="HY91" t="e">
        <f>'All regions'!B2283+"n/&gt;!%zB"</f>
        <v>#VALUE!</v>
      </c>
      <c r="HZ91" t="e">
        <f>'All regions'!C2283+"n/&gt;!%zC"</f>
        <v>#VALUE!</v>
      </c>
      <c r="IA91" t="e">
        <f>'All regions'!D2283+"n/&gt;!%zD"</f>
        <v>#VALUE!</v>
      </c>
      <c r="IB91" t="e">
        <f>'All regions'!E2283+"n/&gt;!%zE"</f>
        <v>#VALUE!</v>
      </c>
      <c r="IC91" t="e">
        <f>'All regions'!F2283+"n/&gt;!%zF"</f>
        <v>#VALUE!</v>
      </c>
      <c r="ID91" t="e">
        <f>'All regions'!G2283+"n/&gt;!%zG"</f>
        <v>#VALUE!</v>
      </c>
      <c r="IE91" t="e">
        <f>'All regions'!H2283+"n/&gt;!%zH"</f>
        <v>#VALUE!</v>
      </c>
      <c r="IF91" t="e">
        <f>'All regions'!I2283+"n/&gt;!%zI"</f>
        <v>#VALUE!</v>
      </c>
      <c r="IG91" t="e">
        <f>'All regions'!J2283+"n/&gt;!%zJ"</f>
        <v>#VALUE!</v>
      </c>
      <c r="IH91" t="e">
        <f>'All regions'!A2284+"n/&gt;!%zK"</f>
        <v>#VALUE!</v>
      </c>
      <c r="II91" t="e">
        <f>'All regions'!B2284+"n/&gt;!%zL"</f>
        <v>#VALUE!</v>
      </c>
      <c r="IJ91" t="e">
        <f>'All regions'!C2284+"n/&gt;!%zM"</f>
        <v>#VALUE!</v>
      </c>
      <c r="IK91" t="e">
        <f>'All regions'!D2284+"n/&gt;!%zN"</f>
        <v>#VALUE!</v>
      </c>
      <c r="IL91" t="e">
        <f>'All regions'!E2284+"n/&gt;!%zO"</f>
        <v>#VALUE!</v>
      </c>
      <c r="IM91" t="e">
        <f>'All regions'!F2284+"n/&gt;!%zP"</f>
        <v>#VALUE!</v>
      </c>
      <c r="IN91" t="e">
        <f>'All regions'!G2284+"n/&gt;!%zQ"</f>
        <v>#VALUE!</v>
      </c>
      <c r="IO91" t="e">
        <f>'All regions'!H2284+"n/&gt;!%zR"</f>
        <v>#VALUE!</v>
      </c>
      <c r="IP91" t="e">
        <f>'All regions'!I2284+"n/&gt;!%zS"</f>
        <v>#VALUE!</v>
      </c>
      <c r="IQ91" t="e">
        <f>'All regions'!J2284+"n/&gt;!%zT"</f>
        <v>#VALUE!</v>
      </c>
      <c r="IR91" t="e">
        <f>'All regions'!A2285+"n/&gt;!%zU"</f>
        <v>#VALUE!</v>
      </c>
      <c r="IS91" t="e">
        <f>'All regions'!B2285+"n/&gt;!%zV"</f>
        <v>#VALUE!</v>
      </c>
      <c r="IT91" t="e">
        <f>'All regions'!C2285+"n/&gt;!%zW"</f>
        <v>#VALUE!</v>
      </c>
      <c r="IU91" t="e">
        <f>'All regions'!D2285+"n/&gt;!%zX"</f>
        <v>#VALUE!</v>
      </c>
      <c r="IV91" t="e">
        <f>'All regions'!E2285+"n/&gt;!%zY"</f>
        <v>#VALUE!</v>
      </c>
    </row>
    <row r="92" spans="6:256" x14ac:dyDescent="0.35">
      <c r="F92" t="e">
        <f>'All regions'!F2285+"n/&gt;!%zZ"</f>
        <v>#VALUE!</v>
      </c>
      <c r="G92" t="e">
        <f>'All regions'!G2285+"n/&gt;!%z["</f>
        <v>#VALUE!</v>
      </c>
      <c r="H92" t="e">
        <f>'All regions'!H2285+"n/&gt;!%z\"</f>
        <v>#VALUE!</v>
      </c>
      <c r="I92" t="e">
        <f>'All regions'!I2285+"n/&gt;!%z]"</f>
        <v>#VALUE!</v>
      </c>
      <c r="J92" t="e">
        <f>'All regions'!J2285+"n/&gt;!%z^"</f>
        <v>#VALUE!</v>
      </c>
      <c r="K92" t="e">
        <f>'All regions'!A2286+"n/&gt;!%z_"</f>
        <v>#VALUE!</v>
      </c>
      <c r="L92" t="e">
        <f>'All regions'!B2286+"n/&gt;!%z`"</f>
        <v>#VALUE!</v>
      </c>
      <c r="M92" t="e">
        <f>'All regions'!C2286+"n/&gt;!%za"</f>
        <v>#VALUE!</v>
      </c>
      <c r="N92" t="e">
        <f>'All regions'!D2286+"n/&gt;!%zb"</f>
        <v>#VALUE!</v>
      </c>
      <c r="O92" t="e">
        <f>'All regions'!E2286+"n/&gt;!%zc"</f>
        <v>#VALUE!</v>
      </c>
      <c r="P92" t="e">
        <f>'All regions'!F2286+"n/&gt;!%zd"</f>
        <v>#VALUE!</v>
      </c>
      <c r="Q92" t="e">
        <f>'All regions'!G2286+"n/&gt;!%ze"</f>
        <v>#VALUE!</v>
      </c>
      <c r="R92" t="e">
        <f>'All regions'!H2286+"n/&gt;!%zf"</f>
        <v>#VALUE!</v>
      </c>
      <c r="S92" t="e">
        <f>'All regions'!I2286+"n/&gt;!%zg"</f>
        <v>#VALUE!</v>
      </c>
      <c r="T92" t="e">
        <f>'All regions'!J2286+"n/&gt;!%zh"</f>
        <v>#VALUE!</v>
      </c>
      <c r="U92" t="e">
        <f>'All regions'!A2287+"n/&gt;!%zi"</f>
        <v>#VALUE!</v>
      </c>
      <c r="V92" t="e">
        <f>'All regions'!B2287+"n/&gt;!%zj"</f>
        <v>#VALUE!</v>
      </c>
      <c r="W92" t="e">
        <f>'All regions'!C2287+"n/&gt;!%zk"</f>
        <v>#VALUE!</v>
      </c>
      <c r="X92" t="e">
        <f>'All regions'!D2287+"n/&gt;!%zl"</f>
        <v>#VALUE!</v>
      </c>
      <c r="Y92" t="e">
        <f>'All regions'!E2287+"n/&gt;!%zm"</f>
        <v>#VALUE!</v>
      </c>
      <c r="Z92" t="e">
        <f>'All regions'!F2287+"n/&gt;!%zn"</f>
        <v>#VALUE!</v>
      </c>
      <c r="AA92" t="e">
        <f>'All regions'!G2287+"n/&gt;!%zo"</f>
        <v>#VALUE!</v>
      </c>
      <c r="AB92" t="e">
        <f>'All regions'!H2287+"n/&gt;!%zp"</f>
        <v>#VALUE!</v>
      </c>
      <c r="AC92" t="e">
        <f>'All regions'!I2287+"n/&gt;!%zq"</f>
        <v>#VALUE!</v>
      </c>
      <c r="AD92" t="e">
        <f>'All regions'!J2287+"n/&gt;!%zr"</f>
        <v>#VALUE!</v>
      </c>
      <c r="AE92" t="e">
        <f>'All regions'!A2288+"n/&gt;!%zs"</f>
        <v>#VALUE!</v>
      </c>
      <c r="AF92" t="e">
        <f>'All regions'!B2288+"n/&gt;!%zt"</f>
        <v>#VALUE!</v>
      </c>
      <c r="AG92" t="e">
        <f>'All regions'!C2288+"n/&gt;!%zu"</f>
        <v>#VALUE!</v>
      </c>
      <c r="AH92" t="e">
        <f>'All regions'!D2288+"n/&gt;!%zv"</f>
        <v>#VALUE!</v>
      </c>
      <c r="AI92" t="e">
        <f>'All regions'!E2288+"n/&gt;!%zw"</f>
        <v>#VALUE!</v>
      </c>
      <c r="AJ92" t="e">
        <f>'All regions'!F2288+"n/&gt;!%zx"</f>
        <v>#VALUE!</v>
      </c>
      <c r="AK92" t="e">
        <f>'All regions'!G2288+"n/&gt;!%zy"</f>
        <v>#VALUE!</v>
      </c>
      <c r="AL92" t="e">
        <f>'All regions'!H2288+"n/&gt;!%zz"</f>
        <v>#VALUE!</v>
      </c>
      <c r="AM92" t="e">
        <f>'All regions'!I2288+"n/&gt;!%z{"</f>
        <v>#VALUE!</v>
      </c>
      <c r="AN92" t="e">
        <f>'All regions'!J2288+"n/&gt;!%z|"</f>
        <v>#VALUE!</v>
      </c>
      <c r="AO92" t="e">
        <f>'All regions'!A2289+"n/&gt;!%z}"</f>
        <v>#VALUE!</v>
      </c>
      <c r="AP92" t="e">
        <f>'All regions'!B2289+"n/&gt;!%z~"</f>
        <v>#VALUE!</v>
      </c>
      <c r="AQ92" t="e">
        <f>'All regions'!C2289+"n/&gt;!%{#"</f>
        <v>#VALUE!</v>
      </c>
      <c r="AR92" t="e">
        <f>'All regions'!D2289+"n/&gt;!%{$"</f>
        <v>#VALUE!</v>
      </c>
      <c r="AS92" t="e">
        <f>'All regions'!E2289+"n/&gt;!%{%"</f>
        <v>#VALUE!</v>
      </c>
      <c r="AT92" t="e">
        <f>'All regions'!F2289+"n/&gt;!%{&amp;"</f>
        <v>#VALUE!</v>
      </c>
      <c r="AU92" t="e">
        <f>'All regions'!G2289+"n/&gt;!%{'"</f>
        <v>#VALUE!</v>
      </c>
      <c r="AV92" t="e">
        <f>'All regions'!H2289+"n/&gt;!%{("</f>
        <v>#VALUE!</v>
      </c>
      <c r="AW92" t="e">
        <f>'All regions'!I2289+"n/&gt;!%{)"</f>
        <v>#VALUE!</v>
      </c>
      <c r="AX92" t="e">
        <f>'All regions'!J2289+"n/&gt;!%{."</f>
        <v>#VALUE!</v>
      </c>
      <c r="AY92" t="e">
        <f>'All regions'!A2290+"n/&gt;!%{/"</f>
        <v>#VALUE!</v>
      </c>
      <c r="AZ92" t="e">
        <f>'All regions'!B2290+"n/&gt;!%{0"</f>
        <v>#VALUE!</v>
      </c>
      <c r="BA92" t="e">
        <f>'All regions'!C2290+"n/&gt;!%{1"</f>
        <v>#VALUE!</v>
      </c>
      <c r="BB92" t="e">
        <f>'All regions'!D2290+"n/&gt;!%{2"</f>
        <v>#VALUE!</v>
      </c>
      <c r="BC92" t="e">
        <f>'All regions'!E2290+"n/&gt;!%{3"</f>
        <v>#VALUE!</v>
      </c>
      <c r="BD92" t="e">
        <f>'All regions'!F2290+"n/&gt;!%{4"</f>
        <v>#VALUE!</v>
      </c>
      <c r="BE92" t="e">
        <f>'All regions'!G2290+"n/&gt;!%{5"</f>
        <v>#VALUE!</v>
      </c>
      <c r="BF92" t="e">
        <f>'All regions'!H2290+"n/&gt;!%{6"</f>
        <v>#VALUE!</v>
      </c>
      <c r="BG92" t="e">
        <f>'All regions'!I2290+"n/&gt;!%{7"</f>
        <v>#VALUE!</v>
      </c>
      <c r="BH92" t="e">
        <f>'All regions'!J2290+"n/&gt;!%{8"</f>
        <v>#VALUE!</v>
      </c>
      <c r="BI92" t="e">
        <f>'All regions'!A2291+"n/&gt;!%{9"</f>
        <v>#VALUE!</v>
      </c>
      <c r="BJ92" t="e">
        <f>'All regions'!B2291+"n/&gt;!%{:"</f>
        <v>#VALUE!</v>
      </c>
      <c r="BK92" t="e">
        <f>'All regions'!C2291+"n/&gt;!%{;"</f>
        <v>#VALUE!</v>
      </c>
      <c r="BL92" t="e">
        <f>'All regions'!D2291+"n/&gt;!%{&lt;"</f>
        <v>#VALUE!</v>
      </c>
      <c r="BM92" t="e">
        <f>'All regions'!E2291+"n/&gt;!%{="</f>
        <v>#VALUE!</v>
      </c>
      <c r="BN92" t="e">
        <f>'All regions'!F2291+"n/&gt;!%{&gt;"</f>
        <v>#VALUE!</v>
      </c>
      <c r="BO92" t="e">
        <f>'All regions'!G2291+"n/&gt;!%{?"</f>
        <v>#VALUE!</v>
      </c>
      <c r="BP92" t="e">
        <f>'All regions'!H2291+"n/&gt;!%{@"</f>
        <v>#VALUE!</v>
      </c>
      <c r="BQ92" t="e">
        <f>'All regions'!I2291+"n/&gt;!%{A"</f>
        <v>#VALUE!</v>
      </c>
      <c r="BR92" t="e">
        <f>'All regions'!J2291+"n/&gt;!%{B"</f>
        <v>#VALUE!</v>
      </c>
      <c r="BS92" t="e">
        <f>'All regions'!A2292+"n/&gt;!%{C"</f>
        <v>#VALUE!</v>
      </c>
      <c r="BT92" t="e">
        <f>'All regions'!B2292+"n/&gt;!%{D"</f>
        <v>#VALUE!</v>
      </c>
      <c r="BU92" t="e">
        <f>'All regions'!C2292+"n/&gt;!%{E"</f>
        <v>#VALUE!</v>
      </c>
      <c r="BV92" t="e">
        <f>'All regions'!D2292+"n/&gt;!%{F"</f>
        <v>#VALUE!</v>
      </c>
      <c r="BW92" t="e">
        <f>'All regions'!E2292+"n/&gt;!%{G"</f>
        <v>#VALUE!</v>
      </c>
      <c r="BX92" t="e">
        <f>'All regions'!F2292+"n/&gt;!%{H"</f>
        <v>#VALUE!</v>
      </c>
      <c r="BY92" t="e">
        <f>'All regions'!G2292+"n/&gt;!%{I"</f>
        <v>#VALUE!</v>
      </c>
      <c r="BZ92" t="e">
        <f>'All regions'!H2292+"n/&gt;!%{J"</f>
        <v>#VALUE!</v>
      </c>
      <c r="CA92" t="e">
        <f>'All regions'!I2292+"n/&gt;!%{K"</f>
        <v>#VALUE!</v>
      </c>
      <c r="CB92" t="e">
        <f>'All regions'!J2292+"n/&gt;!%{L"</f>
        <v>#VALUE!</v>
      </c>
      <c r="CC92" t="e">
        <f>'All regions'!A2293+"n/&gt;!%{M"</f>
        <v>#VALUE!</v>
      </c>
      <c r="CD92" t="e">
        <f>'All regions'!B2293+"n/&gt;!%{N"</f>
        <v>#VALUE!</v>
      </c>
      <c r="CE92" t="e">
        <f>'All regions'!C2293+"n/&gt;!%{O"</f>
        <v>#VALUE!</v>
      </c>
      <c r="CF92" t="e">
        <f>'All regions'!D2293+"n/&gt;!%{P"</f>
        <v>#VALUE!</v>
      </c>
      <c r="CG92" t="e">
        <f>'All regions'!E2293+"n/&gt;!%{Q"</f>
        <v>#VALUE!</v>
      </c>
      <c r="CH92" t="e">
        <f>'All regions'!F2293+"n/&gt;!%{R"</f>
        <v>#VALUE!</v>
      </c>
      <c r="CI92" t="e">
        <f>'All regions'!G2293+"n/&gt;!%{S"</f>
        <v>#VALUE!</v>
      </c>
      <c r="CJ92" t="e">
        <f>'All regions'!H2293+"n/&gt;!%{T"</f>
        <v>#VALUE!</v>
      </c>
      <c r="CK92" t="e">
        <f>'All regions'!I2293+"n/&gt;!%{U"</f>
        <v>#VALUE!</v>
      </c>
      <c r="CL92" t="e">
        <f>'All regions'!J2293+"n/&gt;!%{V"</f>
        <v>#VALUE!</v>
      </c>
      <c r="CM92" t="e">
        <f>'All regions'!A2294+"n/&gt;!%{W"</f>
        <v>#VALUE!</v>
      </c>
      <c r="CN92" t="e">
        <f>'All regions'!B2294+"n/&gt;!%{X"</f>
        <v>#VALUE!</v>
      </c>
      <c r="CO92" t="e">
        <f>'All regions'!C2294+"n/&gt;!%{Y"</f>
        <v>#VALUE!</v>
      </c>
      <c r="CP92" t="e">
        <f>'All regions'!D2294+"n/&gt;!%{Z"</f>
        <v>#VALUE!</v>
      </c>
      <c r="CQ92" t="e">
        <f>'All regions'!E2294+"n/&gt;!%{["</f>
        <v>#VALUE!</v>
      </c>
      <c r="CR92" t="e">
        <f>'All regions'!F2294+"n/&gt;!%{\"</f>
        <v>#VALUE!</v>
      </c>
      <c r="CS92" t="e">
        <f>'All regions'!G2294+"n/&gt;!%{]"</f>
        <v>#VALUE!</v>
      </c>
      <c r="CT92" t="e">
        <f>'All regions'!H2294+"n/&gt;!%{^"</f>
        <v>#VALUE!</v>
      </c>
      <c r="CU92" t="e">
        <f>'All regions'!I2294+"n/&gt;!%{_"</f>
        <v>#VALUE!</v>
      </c>
      <c r="CV92" t="e">
        <f>'All regions'!J2294+"n/&gt;!%{`"</f>
        <v>#VALUE!</v>
      </c>
      <c r="CW92" t="e">
        <f>'All regions'!A2295+"n/&gt;!%{a"</f>
        <v>#VALUE!</v>
      </c>
      <c r="CX92" t="e">
        <f>'All regions'!B2295+"n/&gt;!%{b"</f>
        <v>#VALUE!</v>
      </c>
      <c r="CY92" t="e">
        <f>'All regions'!C2295+"n/&gt;!%{c"</f>
        <v>#VALUE!</v>
      </c>
      <c r="CZ92" t="e">
        <f>'All regions'!D2295+"n/&gt;!%{d"</f>
        <v>#VALUE!</v>
      </c>
      <c r="DA92" t="e">
        <f>'All regions'!E2295+"n/&gt;!%{e"</f>
        <v>#VALUE!</v>
      </c>
      <c r="DB92" t="e">
        <f>'All regions'!F2295+"n/&gt;!%{f"</f>
        <v>#VALUE!</v>
      </c>
      <c r="DC92" t="e">
        <f>'All regions'!G2295+"n/&gt;!%{g"</f>
        <v>#VALUE!</v>
      </c>
      <c r="DD92" t="e">
        <f>'All regions'!H2295+"n/&gt;!%{h"</f>
        <v>#VALUE!</v>
      </c>
      <c r="DE92" t="e">
        <f>'All regions'!I2295+"n/&gt;!%{i"</f>
        <v>#VALUE!</v>
      </c>
      <c r="DF92" t="e">
        <f>'All regions'!J2295+"n/&gt;!%{j"</f>
        <v>#VALUE!</v>
      </c>
      <c r="DG92" t="e">
        <f>'All regions'!A2296+"n/&gt;!%{k"</f>
        <v>#VALUE!</v>
      </c>
      <c r="DH92" t="e">
        <f>'All regions'!B2296+"n/&gt;!%{l"</f>
        <v>#VALUE!</v>
      </c>
      <c r="DI92" t="e">
        <f>'All regions'!C2296+"n/&gt;!%{m"</f>
        <v>#VALUE!</v>
      </c>
      <c r="DJ92" t="e">
        <f>'All regions'!D2296+"n/&gt;!%{n"</f>
        <v>#VALUE!</v>
      </c>
      <c r="DK92" t="e">
        <f>'All regions'!E2296+"n/&gt;!%{o"</f>
        <v>#VALUE!</v>
      </c>
      <c r="DL92" t="e">
        <f>'All regions'!F2296+"n/&gt;!%{p"</f>
        <v>#VALUE!</v>
      </c>
      <c r="DM92" t="e">
        <f>'All regions'!G2296+"n/&gt;!%{q"</f>
        <v>#VALUE!</v>
      </c>
      <c r="DN92" t="e">
        <f>'All regions'!H2296+"n/&gt;!%{r"</f>
        <v>#VALUE!</v>
      </c>
      <c r="DO92" t="e">
        <f>'All regions'!I2296+"n/&gt;!%{s"</f>
        <v>#VALUE!</v>
      </c>
      <c r="DP92" t="e">
        <f>'All regions'!J2296+"n/&gt;!%{t"</f>
        <v>#VALUE!</v>
      </c>
      <c r="DQ92" t="e">
        <f>'All regions'!A2297+"n/&gt;!%{u"</f>
        <v>#VALUE!</v>
      </c>
      <c r="DR92" t="e">
        <f>'All regions'!B2297+"n/&gt;!%{v"</f>
        <v>#VALUE!</v>
      </c>
      <c r="DS92" t="e">
        <f>'All regions'!C2297+"n/&gt;!%{w"</f>
        <v>#VALUE!</v>
      </c>
      <c r="DT92" t="e">
        <f>'All regions'!D2297+"n/&gt;!%{x"</f>
        <v>#VALUE!</v>
      </c>
      <c r="DU92" t="e">
        <f>'All regions'!E2297+"n/&gt;!%{y"</f>
        <v>#VALUE!</v>
      </c>
      <c r="DV92" t="e">
        <f>'All regions'!F2297+"n/&gt;!%{z"</f>
        <v>#VALUE!</v>
      </c>
      <c r="DW92" t="e">
        <f>'All regions'!G2297+"n/&gt;!%{{"</f>
        <v>#VALUE!</v>
      </c>
      <c r="DX92" t="e">
        <f>'All regions'!H2297+"n/&gt;!%{|"</f>
        <v>#VALUE!</v>
      </c>
      <c r="DY92" t="e">
        <f>'All regions'!I2297+"n/&gt;!%{}"</f>
        <v>#VALUE!</v>
      </c>
      <c r="DZ92" t="e">
        <f>'All regions'!J2297+"n/&gt;!%{~"</f>
        <v>#VALUE!</v>
      </c>
      <c r="EA92" t="e">
        <f>'All regions'!A2298+"n/&gt;!%|#"</f>
        <v>#VALUE!</v>
      </c>
      <c r="EB92" t="e">
        <f>'All regions'!B2298+"n/&gt;!%|$"</f>
        <v>#VALUE!</v>
      </c>
      <c r="EC92" t="e">
        <f>'All regions'!C2298+"n/&gt;!%|%"</f>
        <v>#VALUE!</v>
      </c>
      <c r="ED92" t="e">
        <f>'All regions'!D2298+"n/&gt;!%|&amp;"</f>
        <v>#VALUE!</v>
      </c>
      <c r="EE92" t="e">
        <f>'All regions'!E2298+"n/&gt;!%|'"</f>
        <v>#VALUE!</v>
      </c>
      <c r="EF92" t="e">
        <f>'All regions'!F2298+"n/&gt;!%|("</f>
        <v>#VALUE!</v>
      </c>
      <c r="EG92" t="e">
        <f>'All regions'!G2298+"n/&gt;!%|)"</f>
        <v>#VALUE!</v>
      </c>
      <c r="EH92" t="e">
        <f>'All regions'!H2298+"n/&gt;!%|."</f>
        <v>#VALUE!</v>
      </c>
      <c r="EI92" t="e">
        <f>'All regions'!I2298+"n/&gt;!%|/"</f>
        <v>#VALUE!</v>
      </c>
      <c r="EJ92" t="e">
        <f>'All regions'!J2298+"n/&gt;!%|0"</f>
        <v>#VALUE!</v>
      </c>
      <c r="EK92" t="e">
        <f>'All regions'!A2299+"n/&gt;!%|1"</f>
        <v>#VALUE!</v>
      </c>
      <c r="EL92" t="e">
        <f>'All regions'!B2299+"n/&gt;!%|2"</f>
        <v>#VALUE!</v>
      </c>
      <c r="EM92" t="e">
        <f>'All regions'!C2299+"n/&gt;!%|3"</f>
        <v>#VALUE!</v>
      </c>
      <c r="EN92" t="e">
        <f>'All regions'!D2299+"n/&gt;!%|4"</f>
        <v>#VALUE!</v>
      </c>
      <c r="EO92" t="e">
        <f>'All regions'!E2299+"n/&gt;!%|5"</f>
        <v>#VALUE!</v>
      </c>
      <c r="EP92" t="e">
        <f>'All regions'!F2299+"n/&gt;!%|6"</f>
        <v>#VALUE!</v>
      </c>
      <c r="EQ92" t="e">
        <f>'All regions'!G2299+"n/&gt;!%|7"</f>
        <v>#VALUE!</v>
      </c>
      <c r="ER92" t="e">
        <f>'All regions'!H2299+"n/&gt;!%|8"</f>
        <v>#VALUE!</v>
      </c>
      <c r="ES92" t="e">
        <f>'All regions'!I2299+"n/&gt;!%|9"</f>
        <v>#VALUE!</v>
      </c>
      <c r="ET92" t="e">
        <f>'All regions'!J2299+"n/&gt;!%|:"</f>
        <v>#VALUE!</v>
      </c>
      <c r="EU92" t="e">
        <f>'All regions'!A2300+"n/&gt;!%|;"</f>
        <v>#VALUE!</v>
      </c>
      <c r="EV92" t="e">
        <f>'All regions'!B2300+"n/&gt;!%|&lt;"</f>
        <v>#VALUE!</v>
      </c>
      <c r="EW92" t="e">
        <f>'All regions'!C2300+"n/&gt;!%|="</f>
        <v>#VALUE!</v>
      </c>
      <c r="EX92" t="e">
        <f>'All regions'!D2300+"n/&gt;!%|&gt;"</f>
        <v>#VALUE!</v>
      </c>
      <c r="EY92" t="e">
        <f>'All regions'!E2300+"n/&gt;!%|?"</f>
        <v>#VALUE!</v>
      </c>
      <c r="EZ92" t="e">
        <f>'All regions'!F2300+"n/&gt;!%|@"</f>
        <v>#VALUE!</v>
      </c>
      <c r="FA92" t="e">
        <f>'All regions'!G2300+"n/&gt;!%|A"</f>
        <v>#VALUE!</v>
      </c>
      <c r="FB92" t="e">
        <f>'All regions'!H2300+"n/&gt;!%|B"</f>
        <v>#VALUE!</v>
      </c>
      <c r="FC92" t="e">
        <f>'All regions'!I2300+"n/&gt;!%|C"</f>
        <v>#VALUE!</v>
      </c>
      <c r="FD92" t="e">
        <f>'All regions'!J2300+"n/&gt;!%|D"</f>
        <v>#VALUE!</v>
      </c>
      <c r="FE92" t="e">
        <f>'All regions'!A2301+"n/&gt;!%|E"</f>
        <v>#VALUE!</v>
      </c>
      <c r="FF92" t="e">
        <f>'All regions'!B2301+"n/&gt;!%|F"</f>
        <v>#VALUE!</v>
      </c>
      <c r="FG92" t="e">
        <f>'All regions'!C2301+"n/&gt;!%|G"</f>
        <v>#VALUE!</v>
      </c>
      <c r="FH92" t="e">
        <f>'All regions'!D2301+"n/&gt;!%|H"</f>
        <v>#VALUE!</v>
      </c>
      <c r="FI92" t="e">
        <f>'All regions'!E2301+"n/&gt;!%|I"</f>
        <v>#VALUE!</v>
      </c>
      <c r="FJ92" t="e">
        <f>'All regions'!F2301+"n/&gt;!%|J"</f>
        <v>#VALUE!</v>
      </c>
      <c r="FK92" t="e">
        <f>'All regions'!G2301+"n/&gt;!%|K"</f>
        <v>#VALUE!</v>
      </c>
      <c r="FL92" t="e">
        <f>'All regions'!H2301+"n/&gt;!%|L"</f>
        <v>#VALUE!</v>
      </c>
      <c r="FM92" t="e">
        <f>'All regions'!I2301+"n/&gt;!%|M"</f>
        <v>#VALUE!</v>
      </c>
      <c r="FN92" t="e">
        <f>'All regions'!J2301+"n/&gt;!%|N"</f>
        <v>#VALUE!</v>
      </c>
      <c r="FO92" t="e">
        <f>'All regions'!A2302+"n/&gt;!%|O"</f>
        <v>#VALUE!</v>
      </c>
      <c r="FP92" t="e">
        <f>'All regions'!B2302+"n/&gt;!%|P"</f>
        <v>#VALUE!</v>
      </c>
      <c r="FQ92" t="e">
        <f>'All regions'!C2302+"n/&gt;!%|Q"</f>
        <v>#VALUE!</v>
      </c>
      <c r="FR92" t="e">
        <f>'All regions'!D2302+"n/&gt;!%|R"</f>
        <v>#VALUE!</v>
      </c>
      <c r="FS92" t="e">
        <f>'All regions'!E2302+"n/&gt;!%|S"</f>
        <v>#VALUE!</v>
      </c>
      <c r="FT92" t="e">
        <f>'All regions'!F2302+"n/&gt;!%|T"</f>
        <v>#VALUE!</v>
      </c>
      <c r="FU92" t="e">
        <f>'All regions'!G2302+"n/&gt;!%|U"</f>
        <v>#VALUE!</v>
      </c>
      <c r="FV92" t="e">
        <f>'All regions'!H2302+"n/&gt;!%|V"</f>
        <v>#VALUE!</v>
      </c>
      <c r="FW92" t="e">
        <f>'All regions'!I2302+"n/&gt;!%|W"</f>
        <v>#VALUE!</v>
      </c>
      <c r="FX92" t="e">
        <f>'All regions'!J2302+"n/&gt;!%|X"</f>
        <v>#VALUE!</v>
      </c>
      <c r="FY92" t="e">
        <f>'All regions'!A2303+"n/&gt;!%|Y"</f>
        <v>#VALUE!</v>
      </c>
      <c r="FZ92" t="e">
        <f>'All regions'!B2303+"n/&gt;!%|Z"</f>
        <v>#VALUE!</v>
      </c>
      <c r="GA92" t="e">
        <f>'All regions'!C2303+"n/&gt;!%|["</f>
        <v>#VALUE!</v>
      </c>
      <c r="GB92" t="e">
        <f>'All regions'!D2303+"n/&gt;!%|\"</f>
        <v>#VALUE!</v>
      </c>
      <c r="GC92" t="e">
        <f>'All regions'!E2303+"n/&gt;!%|]"</f>
        <v>#VALUE!</v>
      </c>
      <c r="GD92" t="e">
        <f>'All regions'!F2303+"n/&gt;!%|^"</f>
        <v>#VALUE!</v>
      </c>
      <c r="GE92" t="e">
        <f>'All regions'!G2303+"n/&gt;!%|_"</f>
        <v>#VALUE!</v>
      </c>
      <c r="GF92" t="e">
        <f>'All regions'!H2303+"n/&gt;!%|`"</f>
        <v>#VALUE!</v>
      </c>
      <c r="GG92" t="e">
        <f>'All regions'!I2303+"n/&gt;!%|a"</f>
        <v>#VALUE!</v>
      </c>
      <c r="GH92" t="e">
        <f>'All regions'!J2303+"n/&gt;!%|b"</f>
        <v>#VALUE!</v>
      </c>
      <c r="GI92" t="e">
        <f>'All regions'!A2304+"n/&gt;!%|c"</f>
        <v>#VALUE!</v>
      </c>
      <c r="GJ92" t="e">
        <f>'All regions'!B2304+"n/&gt;!%|d"</f>
        <v>#VALUE!</v>
      </c>
      <c r="GK92" t="e">
        <f>'All regions'!C2304+"n/&gt;!%|e"</f>
        <v>#VALUE!</v>
      </c>
      <c r="GL92" t="e">
        <f>'All regions'!D2304+"n/&gt;!%|f"</f>
        <v>#VALUE!</v>
      </c>
      <c r="GM92" t="e">
        <f>'All regions'!E2304+"n/&gt;!%|g"</f>
        <v>#VALUE!</v>
      </c>
      <c r="GN92" t="e">
        <f>'All regions'!F2304+"n/&gt;!%|h"</f>
        <v>#VALUE!</v>
      </c>
      <c r="GO92" t="e">
        <f>'All regions'!G2304+"n/&gt;!%|i"</f>
        <v>#VALUE!</v>
      </c>
      <c r="GP92" t="e">
        <f>'All regions'!H2304+"n/&gt;!%|j"</f>
        <v>#VALUE!</v>
      </c>
      <c r="GQ92" t="e">
        <f>'All regions'!I2304+"n/&gt;!%|k"</f>
        <v>#VALUE!</v>
      </c>
      <c r="GR92" t="e">
        <f>'All regions'!J2304+"n/&gt;!%|l"</f>
        <v>#VALUE!</v>
      </c>
      <c r="GS92" t="e">
        <f>'All regions'!A2305+"n/&gt;!%|m"</f>
        <v>#VALUE!</v>
      </c>
      <c r="GT92" t="e">
        <f>'All regions'!B2305+"n/&gt;!%|n"</f>
        <v>#VALUE!</v>
      </c>
      <c r="GU92" t="e">
        <f>'All regions'!C2305+"n/&gt;!%|o"</f>
        <v>#VALUE!</v>
      </c>
      <c r="GV92" t="e">
        <f>'All regions'!D2305+"n/&gt;!%|p"</f>
        <v>#VALUE!</v>
      </c>
      <c r="GW92" t="e">
        <f>'All regions'!E2305+"n/&gt;!%|q"</f>
        <v>#VALUE!</v>
      </c>
      <c r="GX92" t="e">
        <f>'All regions'!F2305+"n/&gt;!%|r"</f>
        <v>#VALUE!</v>
      </c>
      <c r="GY92" t="e">
        <f>'All regions'!G2305+"n/&gt;!%|s"</f>
        <v>#VALUE!</v>
      </c>
      <c r="GZ92" t="e">
        <f>'All regions'!H2305+"n/&gt;!%|t"</f>
        <v>#VALUE!</v>
      </c>
      <c r="HA92" t="e">
        <f>'All regions'!I2305+"n/&gt;!%|u"</f>
        <v>#VALUE!</v>
      </c>
      <c r="HB92" t="e">
        <f>'All regions'!J2305+"n/&gt;!%|v"</f>
        <v>#VALUE!</v>
      </c>
      <c r="HC92" t="e">
        <f>'All regions'!A2306+"n/&gt;!%|w"</f>
        <v>#VALUE!</v>
      </c>
      <c r="HD92" t="e">
        <f>'All regions'!B2306+"n/&gt;!%|x"</f>
        <v>#VALUE!</v>
      </c>
      <c r="HE92" t="e">
        <f>'All regions'!C2306+"n/&gt;!%|y"</f>
        <v>#VALUE!</v>
      </c>
      <c r="HF92" t="e">
        <f>'All regions'!D2306+"n/&gt;!%|z"</f>
        <v>#VALUE!</v>
      </c>
      <c r="HG92" t="e">
        <f>'All regions'!E2306+"n/&gt;!%|{"</f>
        <v>#VALUE!</v>
      </c>
      <c r="HH92" t="e">
        <f>'All regions'!F2306+"n/&gt;!%||"</f>
        <v>#VALUE!</v>
      </c>
      <c r="HI92" t="e">
        <f>'All regions'!G2306+"n/&gt;!%|}"</f>
        <v>#VALUE!</v>
      </c>
      <c r="HJ92" t="e">
        <f>'All regions'!H2306+"n/&gt;!%|~"</f>
        <v>#VALUE!</v>
      </c>
      <c r="HK92" t="e">
        <f>'All regions'!I2306+"n/&gt;!%}#"</f>
        <v>#VALUE!</v>
      </c>
      <c r="HL92" t="e">
        <f>'All regions'!J2306+"n/&gt;!%}$"</f>
        <v>#VALUE!</v>
      </c>
      <c r="HM92" t="e">
        <f>'All regions'!A2307+"n/&gt;!%}%"</f>
        <v>#VALUE!</v>
      </c>
      <c r="HN92" t="e">
        <f>'All regions'!B2307+"n/&gt;!%}&amp;"</f>
        <v>#VALUE!</v>
      </c>
      <c r="HO92" t="e">
        <f>'All regions'!C2307+"n/&gt;!%}'"</f>
        <v>#VALUE!</v>
      </c>
      <c r="HP92" t="e">
        <f>'All regions'!D2307+"n/&gt;!%}("</f>
        <v>#VALUE!</v>
      </c>
      <c r="HQ92" t="e">
        <f>'All regions'!E2307+"n/&gt;!%})"</f>
        <v>#VALUE!</v>
      </c>
      <c r="HR92" t="e">
        <f>'All regions'!F2307+"n/&gt;!%}."</f>
        <v>#VALUE!</v>
      </c>
      <c r="HS92" t="e">
        <f>'All regions'!G2307+"n/&gt;!%}/"</f>
        <v>#VALUE!</v>
      </c>
      <c r="HT92" t="e">
        <f>'All regions'!H2307+"n/&gt;!%}0"</f>
        <v>#VALUE!</v>
      </c>
      <c r="HU92" t="e">
        <f>'All regions'!I2307+"n/&gt;!%}1"</f>
        <v>#VALUE!</v>
      </c>
      <c r="HV92" t="e">
        <f>'All regions'!J2307+"n/&gt;!%}2"</f>
        <v>#VALUE!</v>
      </c>
      <c r="HW92" t="e">
        <f>'All regions'!A2308+"n/&gt;!%}3"</f>
        <v>#VALUE!</v>
      </c>
      <c r="HX92" t="e">
        <f>'All regions'!B2308+"n/&gt;!%}4"</f>
        <v>#VALUE!</v>
      </c>
      <c r="HY92" t="e">
        <f>'All regions'!C2308+"n/&gt;!%}5"</f>
        <v>#VALUE!</v>
      </c>
      <c r="HZ92" t="e">
        <f>'All regions'!D2308+"n/&gt;!%}6"</f>
        <v>#VALUE!</v>
      </c>
      <c r="IA92" t="e">
        <f>'All regions'!E2308+"n/&gt;!%}7"</f>
        <v>#VALUE!</v>
      </c>
      <c r="IB92" t="e">
        <f>'All regions'!F2308+"n/&gt;!%}8"</f>
        <v>#VALUE!</v>
      </c>
      <c r="IC92" t="e">
        <f>'All regions'!G2308+"n/&gt;!%}9"</f>
        <v>#VALUE!</v>
      </c>
      <c r="ID92" t="e">
        <f>'All regions'!H2308+"n/&gt;!%}:"</f>
        <v>#VALUE!</v>
      </c>
      <c r="IE92" t="e">
        <f>'All regions'!I2308+"n/&gt;!%};"</f>
        <v>#VALUE!</v>
      </c>
      <c r="IF92" t="e">
        <f>'All regions'!J2308+"n/&gt;!%}&lt;"</f>
        <v>#VALUE!</v>
      </c>
      <c r="IG92" t="e">
        <f>'All regions'!A2309+"n/&gt;!%}="</f>
        <v>#VALUE!</v>
      </c>
      <c r="IH92" t="e">
        <f>'All regions'!B2309+"n/&gt;!%}&gt;"</f>
        <v>#VALUE!</v>
      </c>
      <c r="II92" t="e">
        <f>'All regions'!C2309+"n/&gt;!%}?"</f>
        <v>#VALUE!</v>
      </c>
      <c r="IJ92" t="e">
        <f>'All regions'!D2309+"n/&gt;!%}@"</f>
        <v>#VALUE!</v>
      </c>
      <c r="IK92" t="e">
        <f>'All regions'!E2309+"n/&gt;!%}A"</f>
        <v>#VALUE!</v>
      </c>
      <c r="IL92" t="e">
        <f>'All regions'!F2309+"n/&gt;!%}B"</f>
        <v>#VALUE!</v>
      </c>
      <c r="IM92" t="e">
        <f>'All regions'!G2309+"n/&gt;!%}C"</f>
        <v>#VALUE!</v>
      </c>
      <c r="IN92" t="e">
        <f>'All regions'!H2309+"n/&gt;!%}D"</f>
        <v>#VALUE!</v>
      </c>
      <c r="IO92" t="e">
        <f>'All regions'!I2309+"n/&gt;!%}E"</f>
        <v>#VALUE!</v>
      </c>
      <c r="IP92" t="e">
        <f>'All regions'!J2309+"n/&gt;!%}F"</f>
        <v>#VALUE!</v>
      </c>
      <c r="IQ92" t="e">
        <f>'All regions'!A2310+"n/&gt;!%}G"</f>
        <v>#VALUE!</v>
      </c>
      <c r="IR92" t="e">
        <f>'All regions'!B2310+"n/&gt;!%}H"</f>
        <v>#VALUE!</v>
      </c>
      <c r="IS92" t="e">
        <f>'All regions'!C2310+"n/&gt;!%}I"</f>
        <v>#VALUE!</v>
      </c>
      <c r="IT92" t="e">
        <f>'All regions'!D2310+"n/&gt;!%}J"</f>
        <v>#VALUE!</v>
      </c>
      <c r="IU92" t="e">
        <f>'All regions'!E2310+"n/&gt;!%}K"</f>
        <v>#VALUE!</v>
      </c>
      <c r="IV92" t="e">
        <f>'All regions'!F2310+"n/&gt;!%}L"</f>
        <v>#VALUE!</v>
      </c>
    </row>
    <row r="93" spans="6:256" x14ac:dyDescent="0.35">
      <c r="F93" t="e">
        <f>'All regions'!G2310+"n/&gt;!%}M"</f>
        <v>#VALUE!</v>
      </c>
      <c r="G93" t="e">
        <f>'All regions'!H2310+"n/&gt;!%}N"</f>
        <v>#VALUE!</v>
      </c>
      <c r="H93" t="e">
        <f>'All regions'!I2310+"n/&gt;!%}O"</f>
        <v>#VALUE!</v>
      </c>
      <c r="I93" t="e">
        <f>'All regions'!J2310+"n/&gt;!%}P"</f>
        <v>#VALUE!</v>
      </c>
      <c r="J93" t="e">
        <f>'All regions'!A2311+"n/&gt;!%}Q"</f>
        <v>#VALUE!</v>
      </c>
      <c r="K93" t="e">
        <f>'All regions'!B2311+"n/&gt;!%}R"</f>
        <v>#VALUE!</v>
      </c>
      <c r="L93" t="e">
        <f>'All regions'!C2311+"n/&gt;!%}S"</f>
        <v>#VALUE!</v>
      </c>
      <c r="M93" t="e">
        <f>'All regions'!D2311+"n/&gt;!%}T"</f>
        <v>#VALUE!</v>
      </c>
      <c r="N93" t="e">
        <f>'All regions'!E2311+"n/&gt;!%}U"</f>
        <v>#VALUE!</v>
      </c>
      <c r="O93" t="e">
        <f>'All regions'!F2311+"n/&gt;!%}V"</f>
        <v>#VALUE!</v>
      </c>
      <c r="P93" t="e">
        <f>'All regions'!G2311+"n/&gt;!%}W"</f>
        <v>#VALUE!</v>
      </c>
      <c r="Q93" t="e">
        <f>'All regions'!H2311+"n/&gt;!%}X"</f>
        <v>#VALUE!</v>
      </c>
      <c r="R93" t="e">
        <f>'All regions'!I2311+"n/&gt;!%}Y"</f>
        <v>#VALUE!</v>
      </c>
      <c r="S93" t="e">
        <f>'All regions'!J2311+"n/&gt;!%}Z"</f>
        <v>#VALUE!</v>
      </c>
      <c r="T93" t="e">
        <f>'All regions'!A2312+"n/&gt;!%}["</f>
        <v>#VALUE!</v>
      </c>
      <c r="U93" t="e">
        <f>'All regions'!B2312+"n/&gt;!%}\"</f>
        <v>#VALUE!</v>
      </c>
      <c r="V93" t="e">
        <f>'All regions'!C2312+"n/&gt;!%}]"</f>
        <v>#VALUE!</v>
      </c>
      <c r="W93" t="e">
        <f>'All regions'!D2312+"n/&gt;!%}^"</f>
        <v>#VALUE!</v>
      </c>
      <c r="X93" t="e">
        <f>'All regions'!E2312+"n/&gt;!%}_"</f>
        <v>#VALUE!</v>
      </c>
      <c r="Y93" t="e">
        <f>'All regions'!F2312+"n/&gt;!%}`"</f>
        <v>#VALUE!</v>
      </c>
      <c r="Z93" t="e">
        <f>'All regions'!G2312+"n/&gt;!%}a"</f>
        <v>#VALUE!</v>
      </c>
      <c r="AA93" t="e">
        <f>'All regions'!H2312+"n/&gt;!%}b"</f>
        <v>#VALUE!</v>
      </c>
      <c r="AB93" t="e">
        <f>'All regions'!I2312+"n/&gt;!%}c"</f>
        <v>#VALUE!</v>
      </c>
      <c r="AC93" t="e">
        <f>'All regions'!J2312+"n/&gt;!%}d"</f>
        <v>#VALUE!</v>
      </c>
      <c r="AD93" t="e">
        <f>'All regions'!A2313+"n/&gt;!%}e"</f>
        <v>#VALUE!</v>
      </c>
      <c r="AE93" t="e">
        <f>'All regions'!B2313+"n/&gt;!%}f"</f>
        <v>#VALUE!</v>
      </c>
      <c r="AF93" t="e">
        <f>'All regions'!C2313+"n/&gt;!%}g"</f>
        <v>#VALUE!</v>
      </c>
      <c r="AG93" t="e">
        <f>'All regions'!D2313+"n/&gt;!%}h"</f>
        <v>#VALUE!</v>
      </c>
      <c r="AH93" t="e">
        <f>'All regions'!E2313+"n/&gt;!%}i"</f>
        <v>#VALUE!</v>
      </c>
      <c r="AI93" t="e">
        <f>'All regions'!F2313+"n/&gt;!%}j"</f>
        <v>#VALUE!</v>
      </c>
      <c r="AJ93" t="e">
        <f>'All regions'!G2313+"n/&gt;!%}k"</f>
        <v>#VALUE!</v>
      </c>
      <c r="AK93" t="e">
        <f>'All regions'!H2313+"n/&gt;!%}l"</f>
        <v>#VALUE!</v>
      </c>
      <c r="AL93" t="e">
        <f>'All regions'!I2313+"n/&gt;!%}m"</f>
        <v>#VALUE!</v>
      </c>
      <c r="AM93" t="e">
        <f>'All regions'!J2313+"n/&gt;!%}n"</f>
        <v>#VALUE!</v>
      </c>
      <c r="AN93" t="e">
        <f>'All regions'!A2314+"n/&gt;!%}o"</f>
        <v>#VALUE!</v>
      </c>
      <c r="AO93" t="e">
        <f>'All regions'!B2314+"n/&gt;!%}p"</f>
        <v>#VALUE!</v>
      </c>
      <c r="AP93" t="e">
        <f>'All regions'!C2314+"n/&gt;!%}q"</f>
        <v>#VALUE!</v>
      </c>
      <c r="AQ93" t="e">
        <f>'All regions'!D2314+"n/&gt;!%}r"</f>
        <v>#VALUE!</v>
      </c>
      <c r="AR93" t="e">
        <f>'All regions'!E2314+"n/&gt;!%}s"</f>
        <v>#VALUE!</v>
      </c>
      <c r="AS93" t="e">
        <f>'All regions'!F2314+"n/&gt;!%}t"</f>
        <v>#VALUE!</v>
      </c>
      <c r="AT93" t="e">
        <f>'All regions'!G2314+"n/&gt;!%}u"</f>
        <v>#VALUE!</v>
      </c>
      <c r="AU93" t="e">
        <f>'All regions'!H2314+"n/&gt;!%}v"</f>
        <v>#VALUE!</v>
      </c>
      <c r="AV93" t="e">
        <f>'All regions'!I2314+"n/&gt;!%}w"</f>
        <v>#VALUE!</v>
      </c>
      <c r="AW93" t="e">
        <f>'All regions'!J2314+"n/&gt;!%}x"</f>
        <v>#VALUE!</v>
      </c>
      <c r="AX93" t="e">
        <f>'All regions'!A2315+"n/&gt;!%}y"</f>
        <v>#VALUE!</v>
      </c>
      <c r="AY93" t="e">
        <f>'All regions'!B2315+"n/&gt;!%}z"</f>
        <v>#VALUE!</v>
      </c>
      <c r="AZ93" t="e">
        <f>'All regions'!C2315+"n/&gt;!%}{"</f>
        <v>#VALUE!</v>
      </c>
      <c r="BA93" t="e">
        <f>'All regions'!D2315+"n/&gt;!%}|"</f>
        <v>#VALUE!</v>
      </c>
      <c r="BB93" t="e">
        <f>'All regions'!E2315+"n/&gt;!%}}"</f>
        <v>#VALUE!</v>
      </c>
      <c r="BC93" t="e">
        <f>'All regions'!F2315+"n/&gt;!%}~"</f>
        <v>#VALUE!</v>
      </c>
      <c r="BD93" t="e">
        <f>'All regions'!G2315+"n/&gt;!%~#"</f>
        <v>#VALUE!</v>
      </c>
      <c r="BE93" t="e">
        <f>'All regions'!H2315+"n/&gt;!%~$"</f>
        <v>#VALUE!</v>
      </c>
      <c r="BF93" t="e">
        <f>'All regions'!I2315+"n/&gt;!%~%"</f>
        <v>#VALUE!</v>
      </c>
      <c r="BG93" t="e">
        <f>'All regions'!J2315+"n/&gt;!%~&amp;"</f>
        <v>#VALUE!</v>
      </c>
      <c r="BH93" t="e">
        <f>'All regions'!A2316+"n/&gt;!%~'"</f>
        <v>#VALUE!</v>
      </c>
      <c r="BI93" t="e">
        <f>'All regions'!B2316+"n/&gt;!%~("</f>
        <v>#VALUE!</v>
      </c>
      <c r="BJ93" t="e">
        <f>'All regions'!C2316+"n/&gt;!%~)"</f>
        <v>#VALUE!</v>
      </c>
      <c r="BK93" t="e">
        <f>'All regions'!D2316+"n/&gt;!%~."</f>
        <v>#VALUE!</v>
      </c>
      <c r="BL93" t="e">
        <f>'All regions'!E2316+"n/&gt;!%~/"</f>
        <v>#VALUE!</v>
      </c>
      <c r="BM93" t="e">
        <f>'All regions'!F2316+"n/&gt;!%~0"</f>
        <v>#VALUE!</v>
      </c>
      <c r="BN93" t="e">
        <f>'All regions'!G2316+"n/&gt;!%~1"</f>
        <v>#VALUE!</v>
      </c>
      <c r="BO93" t="e">
        <f>'All regions'!H2316+"n/&gt;!%~2"</f>
        <v>#VALUE!</v>
      </c>
      <c r="BP93" t="e">
        <f>'All regions'!I2316+"n/&gt;!%~3"</f>
        <v>#VALUE!</v>
      </c>
      <c r="BQ93" t="e">
        <f>'All regions'!J2316+"n/&gt;!%~4"</f>
        <v>#VALUE!</v>
      </c>
      <c r="BR93" t="e">
        <f>'All regions'!A2317+"n/&gt;!%~5"</f>
        <v>#VALUE!</v>
      </c>
      <c r="BS93" t="e">
        <f>'All regions'!B2317+"n/&gt;!%~6"</f>
        <v>#VALUE!</v>
      </c>
      <c r="BT93" t="e">
        <f>'All regions'!C2317+"n/&gt;!%~7"</f>
        <v>#VALUE!</v>
      </c>
      <c r="BU93" t="e">
        <f>'All regions'!D2317+"n/&gt;!%~8"</f>
        <v>#VALUE!</v>
      </c>
      <c r="BV93" t="e">
        <f>'All regions'!E2317+"n/&gt;!%~9"</f>
        <v>#VALUE!</v>
      </c>
      <c r="BW93" t="e">
        <f>'All regions'!F2317+"n/&gt;!%~:"</f>
        <v>#VALUE!</v>
      </c>
      <c r="BX93" t="e">
        <f>'All regions'!G2317+"n/&gt;!%~;"</f>
        <v>#VALUE!</v>
      </c>
      <c r="BY93" t="e">
        <f>'All regions'!H2317+"n/&gt;!%~&lt;"</f>
        <v>#VALUE!</v>
      </c>
      <c r="BZ93" t="e">
        <f>'All regions'!I2317+"n/&gt;!%~="</f>
        <v>#VALUE!</v>
      </c>
      <c r="CA93" t="e">
        <f>'All regions'!J2317+"n/&gt;!%~&gt;"</f>
        <v>#VALUE!</v>
      </c>
      <c r="CB93" t="e">
        <f>'All regions'!A2318+"n/&gt;!%~?"</f>
        <v>#VALUE!</v>
      </c>
      <c r="CC93" t="e">
        <f>'All regions'!B2318+"n/&gt;!%~@"</f>
        <v>#VALUE!</v>
      </c>
      <c r="CD93" t="e">
        <f>'All regions'!C2318+"n/&gt;!%~A"</f>
        <v>#VALUE!</v>
      </c>
      <c r="CE93" t="e">
        <f>'All regions'!D2318+"n/&gt;!%~B"</f>
        <v>#VALUE!</v>
      </c>
      <c r="CF93" t="e">
        <f>'All regions'!E2318+"n/&gt;!%~C"</f>
        <v>#VALUE!</v>
      </c>
      <c r="CG93" t="e">
        <f>'All regions'!F2318+"n/&gt;!%~D"</f>
        <v>#VALUE!</v>
      </c>
      <c r="CH93" t="e">
        <f>'All regions'!G2318+"n/&gt;!%~E"</f>
        <v>#VALUE!</v>
      </c>
      <c r="CI93" t="e">
        <f>'All regions'!H2318+"n/&gt;!%~F"</f>
        <v>#VALUE!</v>
      </c>
      <c r="CJ93" t="e">
        <f>'All regions'!I2318+"n/&gt;!%~G"</f>
        <v>#VALUE!</v>
      </c>
      <c r="CK93" t="e">
        <f>'All regions'!J2318+"n/&gt;!%~H"</f>
        <v>#VALUE!</v>
      </c>
      <c r="CL93" t="e">
        <f>'All regions'!A2319+"n/&gt;!%~I"</f>
        <v>#VALUE!</v>
      </c>
      <c r="CM93" t="e">
        <f>'All regions'!B2319+"n/&gt;!%~J"</f>
        <v>#VALUE!</v>
      </c>
      <c r="CN93" t="e">
        <f>'All regions'!C2319+"n/&gt;!%~K"</f>
        <v>#VALUE!</v>
      </c>
      <c r="CO93" t="e">
        <f>'All regions'!D2319+"n/&gt;!%~L"</f>
        <v>#VALUE!</v>
      </c>
      <c r="CP93" t="e">
        <f>'All regions'!E2319+"n/&gt;!%~M"</f>
        <v>#VALUE!</v>
      </c>
      <c r="CQ93" t="e">
        <f>'All regions'!F2319+"n/&gt;!%~N"</f>
        <v>#VALUE!</v>
      </c>
      <c r="CR93" t="e">
        <f>'All regions'!G2319+"n/&gt;!%~O"</f>
        <v>#VALUE!</v>
      </c>
      <c r="CS93" t="e">
        <f>'All regions'!H2319+"n/&gt;!%~P"</f>
        <v>#VALUE!</v>
      </c>
      <c r="CT93" t="e">
        <f>'All regions'!I2319+"n/&gt;!%~Q"</f>
        <v>#VALUE!</v>
      </c>
      <c r="CU93" t="e">
        <f>'All regions'!J2319+"n/&gt;!%~R"</f>
        <v>#VALUE!</v>
      </c>
      <c r="CV93" t="e">
        <f>'All regions'!A2320+"n/&gt;!%~S"</f>
        <v>#VALUE!</v>
      </c>
      <c r="CW93" t="e">
        <f>'All regions'!B2320+"n/&gt;!%~T"</f>
        <v>#VALUE!</v>
      </c>
      <c r="CX93" t="e">
        <f>'All regions'!C2320+"n/&gt;!%~U"</f>
        <v>#VALUE!</v>
      </c>
      <c r="CY93" t="e">
        <f>'All regions'!D2320+"n/&gt;!%~V"</f>
        <v>#VALUE!</v>
      </c>
      <c r="CZ93" t="e">
        <f>'All regions'!E2320+"n/&gt;!%~W"</f>
        <v>#VALUE!</v>
      </c>
      <c r="DA93" t="e">
        <f>'All regions'!F2320+"n/&gt;!%~X"</f>
        <v>#VALUE!</v>
      </c>
      <c r="DB93" t="e">
        <f>'All regions'!G2320+"n/&gt;!%~Y"</f>
        <v>#VALUE!</v>
      </c>
      <c r="DC93" t="e">
        <f>'All regions'!H2320+"n/&gt;!%~Z"</f>
        <v>#VALUE!</v>
      </c>
      <c r="DD93" t="e">
        <f>'All regions'!I2320+"n/&gt;!%~["</f>
        <v>#VALUE!</v>
      </c>
      <c r="DE93" t="e">
        <f>'All regions'!J2320+"n/&gt;!%~\"</f>
        <v>#VALUE!</v>
      </c>
      <c r="DF93" t="e">
        <f>'All regions'!A2321+"n/&gt;!%~]"</f>
        <v>#VALUE!</v>
      </c>
      <c r="DG93" t="e">
        <f>'All regions'!B2321+"n/&gt;!%~^"</f>
        <v>#VALUE!</v>
      </c>
      <c r="DH93" t="e">
        <f>'All regions'!C2321+"n/&gt;!%~_"</f>
        <v>#VALUE!</v>
      </c>
      <c r="DI93" t="e">
        <f>'All regions'!D2321+"n/&gt;!%~`"</f>
        <v>#VALUE!</v>
      </c>
      <c r="DJ93" t="e">
        <f>'All regions'!E2321+"n/&gt;!%~a"</f>
        <v>#VALUE!</v>
      </c>
      <c r="DK93" t="e">
        <f>'All regions'!F2321+"n/&gt;!%~b"</f>
        <v>#VALUE!</v>
      </c>
      <c r="DL93" t="e">
        <f>'All regions'!G2321+"n/&gt;!%~c"</f>
        <v>#VALUE!</v>
      </c>
      <c r="DM93" t="e">
        <f>'All regions'!H2321+"n/&gt;!%~d"</f>
        <v>#VALUE!</v>
      </c>
      <c r="DN93" t="e">
        <f>'All regions'!I2321+"n/&gt;!%~e"</f>
        <v>#VALUE!</v>
      </c>
      <c r="DO93" t="e">
        <f>'All regions'!J2321+"n/&gt;!%~f"</f>
        <v>#VALUE!</v>
      </c>
      <c r="DP93" t="e">
        <f>'All regions'!A2322+"n/&gt;!%~g"</f>
        <v>#VALUE!</v>
      </c>
      <c r="DQ93" t="e">
        <f>'All regions'!B2322+"n/&gt;!%~h"</f>
        <v>#VALUE!</v>
      </c>
      <c r="DR93" t="e">
        <f>'All regions'!C2322+"n/&gt;!%~i"</f>
        <v>#VALUE!</v>
      </c>
      <c r="DS93" t="e">
        <f>'All regions'!D2322+"n/&gt;!%~j"</f>
        <v>#VALUE!</v>
      </c>
      <c r="DT93" t="e">
        <f>'All regions'!E2322+"n/&gt;!%~k"</f>
        <v>#VALUE!</v>
      </c>
      <c r="DU93" t="e">
        <f>'All regions'!F2322+"n/&gt;!%~l"</f>
        <v>#VALUE!</v>
      </c>
      <c r="DV93" t="e">
        <f>'All regions'!G2322+"n/&gt;!%~m"</f>
        <v>#VALUE!</v>
      </c>
      <c r="DW93" t="e">
        <f>'All regions'!H2322+"n/&gt;!%~n"</f>
        <v>#VALUE!</v>
      </c>
      <c r="DX93" t="e">
        <f>'All regions'!I2322+"n/&gt;!%~o"</f>
        <v>#VALUE!</v>
      </c>
      <c r="DY93" t="e">
        <f>'All regions'!J2322+"n/&gt;!%~p"</f>
        <v>#VALUE!</v>
      </c>
      <c r="DZ93" t="e">
        <f>'All regions'!A2323+"n/&gt;!%~q"</f>
        <v>#VALUE!</v>
      </c>
      <c r="EA93" t="e">
        <f>'All regions'!B2323+"n/&gt;!%~r"</f>
        <v>#VALUE!</v>
      </c>
      <c r="EB93" t="e">
        <f>'All regions'!C2323+"n/&gt;!%~s"</f>
        <v>#VALUE!</v>
      </c>
      <c r="EC93" t="e">
        <f>'All regions'!D2323+"n/&gt;!%~t"</f>
        <v>#VALUE!</v>
      </c>
      <c r="ED93" t="e">
        <f>'All regions'!E2323+"n/&gt;!%~u"</f>
        <v>#VALUE!</v>
      </c>
      <c r="EE93" t="e">
        <f>'All regions'!F2323+"n/&gt;!%~v"</f>
        <v>#VALUE!</v>
      </c>
      <c r="EF93" t="e">
        <f>'All regions'!G2323+"n/&gt;!%~w"</f>
        <v>#VALUE!</v>
      </c>
      <c r="EG93" t="e">
        <f>'All regions'!H2323+"n/&gt;!%~x"</f>
        <v>#VALUE!</v>
      </c>
      <c r="EH93" t="e">
        <f>'All regions'!I2323+"n/&gt;!%~y"</f>
        <v>#VALUE!</v>
      </c>
      <c r="EI93" t="e">
        <f>'All regions'!J2323+"n/&gt;!%~z"</f>
        <v>#VALUE!</v>
      </c>
      <c r="EJ93" t="e">
        <f>'All regions'!A2324+"n/&gt;!%~{"</f>
        <v>#VALUE!</v>
      </c>
      <c r="EK93" t="e">
        <f>'All regions'!B2324+"n/&gt;!%~|"</f>
        <v>#VALUE!</v>
      </c>
      <c r="EL93" t="e">
        <f>'All regions'!C2324+"n/&gt;!%~}"</f>
        <v>#VALUE!</v>
      </c>
      <c r="EM93" t="e">
        <f>'All regions'!D2324+"n/&gt;!%~~"</f>
        <v>#VALUE!</v>
      </c>
      <c r="EN93" t="e">
        <f>'All regions'!E2324+"n/&gt;!&amp;##"</f>
        <v>#VALUE!</v>
      </c>
      <c r="EO93" t="e">
        <f>'All regions'!F2324+"n/&gt;!&amp;#$"</f>
        <v>#VALUE!</v>
      </c>
      <c r="EP93" t="e">
        <f>'All regions'!G2324+"n/&gt;!&amp;#%"</f>
        <v>#VALUE!</v>
      </c>
      <c r="EQ93" t="e">
        <f>'All regions'!H2324+"n/&gt;!&amp;#&amp;"</f>
        <v>#VALUE!</v>
      </c>
      <c r="ER93" t="e">
        <f>'All regions'!I2324+"n/&gt;!&amp;#'"</f>
        <v>#VALUE!</v>
      </c>
      <c r="ES93" t="e">
        <f>'All regions'!J2324+"n/&gt;!&amp;#("</f>
        <v>#VALUE!</v>
      </c>
      <c r="ET93" t="e">
        <f>'All regions'!A2325+"n/&gt;!&amp;#)"</f>
        <v>#VALUE!</v>
      </c>
      <c r="EU93" t="e">
        <f>'All regions'!B2325+"n/&gt;!&amp;#."</f>
        <v>#VALUE!</v>
      </c>
      <c r="EV93" t="e">
        <f>'All regions'!C2325+"n/&gt;!&amp;#/"</f>
        <v>#VALUE!</v>
      </c>
      <c r="EW93" t="e">
        <f>'All regions'!D2325+"n/&gt;!&amp;#0"</f>
        <v>#VALUE!</v>
      </c>
      <c r="EX93" t="e">
        <f>'All regions'!E2325+"n/&gt;!&amp;#1"</f>
        <v>#VALUE!</v>
      </c>
      <c r="EY93" t="e">
        <f>'All regions'!F2325+"n/&gt;!&amp;#2"</f>
        <v>#VALUE!</v>
      </c>
      <c r="EZ93" t="e">
        <f>'All regions'!G2325+"n/&gt;!&amp;#3"</f>
        <v>#VALUE!</v>
      </c>
      <c r="FA93" t="e">
        <f>'All regions'!H2325+"n/&gt;!&amp;#4"</f>
        <v>#VALUE!</v>
      </c>
      <c r="FB93" t="e">
        <f>'All regions'!I2325+"n/&gt;!&amp;#5"</f>
        <v>#VALUE!</v>
      </c>
      <c r="FC93" t="e">
        <f>'All regions'!J2325+"n/&gt;!&amp;#6"</f>
        <v>#VALUE!</v>
      </c>
      <c r="FD93" t="e">
        <f>'All regions'!A2326+"n/&gt;!&amp;#7"</f>
        <v>#VALUE!</v>
      </c>
      <c r="FE93" t="e">
        <f>'All regions'!B2326+"n/&gt;!&amp;#8"</f>
        <v>#VALUE!</v>
      </c>
      <c r="FF93" t="e">
        <f>'All regions'!C2326+"n/&gt;!&amp;#9"</f>
        <v>#VALUE!</v>
      </c>
      <c r="FG93" t="e">
        <f>'All regions'!D2326+"n/&gt;!&amp;#:"</f>
        <v>#VALUE!</v>
      </c>
      <c r="FH93" t="e">
        <f>'All regions'!E2326+"n/&gt;!&amp;#;"</f>
        <v>#VALUE!</v>
      </c>
      <c r="FI93" t="e">
        <f>'All regions'!F2326+"n/&gt;!&amp;#&lt;"</f>
        <v>#VALUE!</v>
      </c>
      <c r="FJ93" t="e">
        <f>'All regions'!G2326+"n/&gt;!&amp;#="</f>
        <v>#VALUE!</v>
      </c>
      <c r="FK93" t="e">
        <f>'All regions'!H2326+"n/&gt;!&amp;#&gt;"</f>
        <v>#VALUE!</v>
      </c>
      <c r="FL93" t="e">
        <f>'All regions'!I2326+"n/&gt;!&amp;#?"</f>
        <v>#VALUE!</v>
      </c>
      <c r="FM93" t="e">
        <f>'All regions'!J2326+"n/&gt;!&amp;#@"</f>
        <v>#VALUE!</v>
      </c>
      <c r="FN93" t="e">
        <f>'All regions'!A2327+"n/&gt;!&amp;#A"</f>
        <v>#VALUE!</v>
      </c>
      <c r="FO93" t="e">
        <f>'All regions'!B2327+"n/&gt;!&amp;#B"</f>
        <v>#VALUE!</v>
      </c>
      <c r="FP93" t="e">
        <f>'All regions'!C2327+"n/&gt;!&amp;#C"</f>
        <v>#VALUE!</v>
      </c>
      <c r="FQ93" t="e">
        <f>'All regions'!D2327+"n/&gt;!&amp;#D"</f>
        <v>#VALUE!</v>
      </c>
      <c r="FR93" t="e">
        <f>'All regions'!E2327+"n/&gt;!&amp;#E"</f>
        <v>#VALUE!</v>
      </c>
      <c r="FS93" t="e">
        <f>'All regions'!F2327+"n/&gt;!&amp;#F"</f>
        <v>#VALUE!</v>
      </c>
      <c r="FT93" t="e">
        <f>'All regions'!G2327+"n/&gt;!&amp;#G"</f>
        <v>#VALUE!</v>
      </c>
      <c r="FU93" t="e">
        <f>'All regions'!H2327+"n/&gt;!&amp;#H"</f>
        <v>#VALUE!</v>
      </c>
      <c r="FV93" t="e">
        <f>'All regions'!I2327+"n/&gt;!&amp;#I"</f>
        <v>#VALUE!</v>
      </c>
      <c r="FW93" t="e">
        <f>'All regions'!J2327+"n/&gt;!&amp;#J"</f>
        <v>#VALUE!</v>
      </c>
      <c r="FX93" t="e">
        <f>'All regions'!A2328+"n/&gt;!&amp;#K"</f>
        <v>#VALUE!</v>
      </c>
      <c r="FY93" t="e">
        <f>'All regions'!B2328+"n/&gt;!&amp;#L"</f>
        <v>#VALUE!</v>
      </c>
      <c r="FZ93" t="e">
        <f>'All regions'!C2328+"n/&gt;!&amp;#M"</f>
        <v>#VALUE!</v>
      </c>
      <c r="GA93" t="e">
        <f>'All regions'!D2328+"n/&gt;!&amp;#N"</f>
        <v>#VALUE!</v>
      </c>
      <c r="GB93" t="e">
        <f>'All regions'!E2328+"n/&gt;!&amp;#O"</f>
        <v>#VALUE!</v>
      </c>
      <c r="GC93" t="e">
        <f>'All regions'!F2328+"n/&gt;!&amp;#P"</f>
        <v>#VALUE!</v>
      </c>
      <c r="GD93" t="e">
        <f>'All regions'!G2328+"n/&gt;!&amp;#Q"</f>
        <v>#VALUE!</v>
      </c>
      <c r="GE93" t="e">
        <f>'All regions'!H2328+"n/&gt;!&amp;#R"</f>
        <v>#VALUE!</v>
      </c>
      <c r="GF93" t="e">
        <f>'All regions'!I2328+"n/&gt;!&amp;#S"</f>
        <v>#VALUE!</v>
      </c>
      <c r="GG93" t="e">
        <f>'All regions'!J2328+"n/&gt;!&amp;#T"</f>
        <v>#VALUE!</v>
      </c>
      <c r="GH93" t="e">
        <f>'All regions'!A2329+"n/&gt;!&amp;#U"</f>
        <v>#VALUE!</v>
      </c>
      <c r="GI93" t="e">
        <f>'All regions'!B2329+"n/&gt;!&amp;#V"</f>
        <v>#VALUE!</v>
      </c>
      <c r="GJ93" t="e">
        <f>'All regions'!C2329+"n/&gt;!&amp;#W"</f>
        <v>#VALUE!</v>
      </c>
      <c r="GK93" t="e">
        <f>'All regions'!D2329+"n/&gt;!&amp;#X"</f>
        <v>#VALUE!</v>
      </c>
      <c r="GL93" t="e">
        <f>'All regions'!E2329+"n/&gt;!&amp;#Y"</f>
        <v>#VALUE!</v>
      </c>
      <c r="GM93" t="e">
        <f>'All regions'!F2329+"n/&gt;!&amp;#Z"</f>
        <v>#VALUE!</v>
      </c>
      <c r="GN93" t="e">
        <f>'All regions'!G2329+"n/&gt;!&amp;#["</f>
        <v>#VALUE!</v>
      </c>
      <c r="GO93" t="e">
        <f>'All regions'!H2329+"n/&gt;!&amp;#\"</f>
        <v>#VALUE!</v>
      </c>
      <c r="GP93" t="e">
        <f>'All regions'!I2329+"n/&gt;!&amp;#]"</f>
        <v>#VALUE!</v>
      </c>
      <c r="GQ93" t="e">
        <f>'All regions'!J2329+"n/&gt;!&amp;#^"</f>
        <v>#VALUE!</v>
      </c>
      <c r="GR93" t="e">
        <f>'All regions'!A2330+"n/&gt;!&amp;#_"</f>
        <v>#VALUE!</v>
      </c>
      <c r="GS93" t="e">
        <f>'All regions'!B2330+"n/&gt;!&amp;#`"</f>
        <v>#VALUE!</v>
      </c>
      <c r="GT93" t="e">
        <f>'All regions'!C2330+"n/&gt;!&amp;#a"</f>
        <v>#VALUE!</v>
      </c>
      <c r="GU93" t="e">
        <f>'All regions'!D2330+"n/&gt;!&amp;#b"</f>
        <v>#VALUE!</v>
      </c>
      <c r="GV93" t="e">
        <f>'All regions'!E2330+"n/&gt;!&amp;#c"</f>
        <v>#VALUE!</v>
      </c>
      <c r="GW93" t="e">
        <f>'All regions'!F2330+"n/&gt;!&amp;#d"</f>
        <v>#VALUE!</v>
      </c>
      <c r="GX93" t="e">
        <f>'All regions'!G2330+"n/&gt;!&amp;#e"</f>
        <v>#VALUE!</v>
      </c>
      <c r="GY93" t="e">
        <f>'All regions'!H2330+"n/&gt;!&amp;#f"</f>
        <v>#VALUE!</v>
      </c>
      <c r="GZ93" t="e">
        <f>'All regions'!I2330+"n/&gt;!&amp;#g"</f>
        <v>#VALUE!</v>
      </c>
      <c r="HA93" t="e">
        <f>'All regions'!J2330+"n/&gt;!&amp;#h"</f>
        <v>#VALUE!</v>
      </c>
      <c r="HB93" t="e">
        <f>'All regions'!A2331+"n/&gt;!&amp;#i"</f>
        <v>#VALUE!</v>
      </c>
      <c r="HC93" t="e">
        <f>'All regions'!B2331+"n/&gt;!&amp;#j"</f>
        <v>#VALUE!</v>
      </c>
      <c r="HD93" t="e">
        <f>'All regions'!C2331+"n/&gt;!&amp;#k"</f>
        <v>#VALUE!</v>
      </c>
      <c r="HE93" t="e">
        <f>'All regions'!D2331+"n/&gt;!&amp;#l"</f>
        <v>#VALUE!</v>
      </c>
      <c r="HF93" t="e">
        <f>'All regions'!E2331+"n/&gt;!&amp;#m"</f>
        <v>#VALUE!</v>
      </c>
      <c r="HG93" t="e">
        <f>'All regions'!F2331+"n/&gt;!&amp;#n"</f>
        <v>#VALUE!</v>
      </c>
      <c r="HH93" t="e">
        <f>'All regions'!G2331+"n/&gt;!&amp;#o"</f>
        <v>#VALUE!</v>
      </c>
      <c r="HI93" t="e">
        <f>'All regions'!H2331+"n/&gt;!&amp;#p"</f>
        <v>#VALUE!</v>
      </c>
      <c r="HJ93" t="e">
        <f>'All regions'!I2331+"n/&gt;!&amp;#q"</f>
        <v>#VALUE!</v>
      </c>
      <c r="HK93" t="e">
        <f>'All regions'!J2331+"n/&gt;!&amp;#r"</f>
        <v>#VALUE!</v>
      </c>
      <c r="HL93" t="e">
        <f>'All regions'!A2332+"n/&gt;!&amp;#s"</f>
        <v>#VALUE!</v>
      </c>
      <c r="HM93" t="e">
        <f>'All regions'!B2332+"n/&gt;!&amp;#t"</f>
        <v>#VALUE!</v>
      </c>
      <c r="HN93" t="e">
        <f>'All regions'!C2332+"n/&gt;!&amp;#u"</f>
        <v>#VALUE!</v>
      </c>
      <c r="HO93" t="e">
        <f>'All regions'!D2332+"n/&gt;!&amp;#v"</f>
        <v>#VALUE!</v>
      </c>
      <c r="HP93" t="e">
        <f>'All regions'!E2332+"n/&gt;!&amp;#w"</f>
        <v>#VALUE!</v>
      </c>
      <c r="HQ93" t="e">
        <f>'All regions'!F2332+"n/&gt;!&amp;#x"</f>
        <v>#VALUE!</v>
      </c>
      <c r="HR93" t="e">
        <f>'All regions'!G2332+"n/&gt;!&amp;#y"</f>
        <v>#VALUE!</v>
      </c>
      <c r="HS93" t="e">
        <f>'All regions'!H2332+"n/&gt;!&amp;#z"</f>
        <v>#VALUE!</v>
      </c>
      <c r="HT93" t="e">
        <f>'All regions'!I2332+"n/&gt;!&amp;#{"</f>
        <v>#VALUE!</v>
      </c>
      <c r="HU93" t="e">
        <f>'All regions'!J2332+"n/&gt;!&amp;#|"</f>
        <v>#VALUE!</v>
      </c>
      <c r="HV93" t="e">
        <f>'All regions'!A2333+"n/&gt;!&amp;#}"</f>
        <v>#VALUE!</v>
      </c>
      <c r="HW93" t="e">
        <f>'All regions'!B2333+"n/&gt;!&amp;#~"</f>
        <v>#VALUE!</v>
      </c>
      <c r="HX93" t="e">
        <f>'All regions'!C2333+"n/&gt;!&amp;$#"</f>
        <v>#VALUE!</v>
      </c>
      <c r="HY93" t="e">
        <f>'All regions'!D2333+"n/&gt;!&amp;$$"</f>
        <v>#VALUE!</v>
      </c>
      <c r="HZ93" t="e">
        <f>'All regions'!E2333+"n/&gt;!&amp;$%"</f>
        <v>#VALUE!</v>
      </c>
      <c r="IA93" t="e">
        <f>'All regions'!F2333+"n/&gt;!&amp;$&amp;"</f>
        <v>#VALUE!</v>
      </c>
      <c r="IB93" t="e">
        <f>'All regions'!G2333+"n/&gt;!&amp;$'"</f>
        <v>#VALUE!</v>
      </c>
      <c r="IC93" t="e">
        <f>'All regions'!H2333+"n/&gt;!&amp;$("</f>
        <v>#VALUE!</v>
      </c>
      <c r="ID93" t="e">
        <f>'All regions'!I2333+"n/&gt;!&amp;$)"</f>
        <v>#VALUE!</v>
      </c>
      <c r="IE93" t="e">
        <f>'All regions'!J2333+"n/&gt;!&amp;$."</f>
        <v>#VALUE!</v>
      </c>
      <c r="IF93" t="e">
        <f>'All regions'!A2334+"n/&gt;!&amp;$/"</f>
        <v>#VALUE!</v>
      </c>
      <c r="IG93" t="e">
        <f>'All regions'!B2334+"n/&gt;!&amp;$0"</f>
        <v>#VALUE!</v>
      </c>
      <c r="IH93" t="e">
        <f>'All regions'!C2334+"n/&gt;!&amp;$1"</f>
        <v>#VALUE!</v>
      </c>
      <c r="II93" t="e">
        <f>'All regions'!D2334+"n/&gt;!&amp;$2"</f>
        <v>#VALUE!</v>
      </c>
      <c r="IJ93" t="e">
        <f>'All regions'!E2334+"n/&gt;!&amp;$3"</f>
        <v>#VALUE!</v>
      </c>
      <c r="IK93" t="e">
        <f>'All regions'!F2334+"n/&gt;!&amp;$4"</f>
        <v>#VALUE!</v>
      </c>
      <c r="IL93" t="e">
        <f>'All regions'!G2334+"n/&gt;!&amp;$5"</f>
        <v>#VALUE!</v>
      </c>
      <c r="IM93" t="e">
        <f>'All regions'!H2334+"n/&gt;!&amp;$6"</f>
        <v>#VALUE!</v>
      </c>
      <c r="IN93" t="e">
        <f>'All regions'!I2334+"n/&gt;!&amp;$7"</f>
        <v>#VALUE!</v>
      </c>
      <c r="IO93" t="e">
        <f>'All regions'!J2334+"n/&gt;!&amp;$8"</f>
        <v>#VALUE!</v>
      </c>
      <c r="IP93" t="e">
        <f>'All regions'!A2335+"n/&gt;!&amp;$9"</f>
        <v>#VALUE!</v>
      </c>
      <c r="IQ93" t="e">
        <f>'All regions'!B2335+"n/&gt;!&amp;$:"</f>
        <v>#VALUE!</v>
      </c>
      <c r="IR93" t="e">
        <f>'All regions'!C2335+"n/&gt;!&amp;$;"</f>
        <v>#VALUE!</v>
      </c>
      <c r="IS93" t="e">
        <f>'All regions'!D2335+"n/&gt;!&amp;$&lt;"</f>
        <v>#VALUE!</v>
      </c>
      <c r="IT93" t="e">
        <f>'All regions'!E2335+"n/&gt;!&amp;$="</f>
        <v>#VALUE!</v>
      </c>
      <c r="IU93" t="e">
        <f>'All regions'!F2335+"n/&gt;!&amp;$&gt;"</f>
        <v>#VALUE!</v>
      </c>
      <c r="IV93" t="e">
        <f>'All regions'!G2335+"n/&gt;!&amp;$?"</f>
        <v>#VALUE!</v>
      </c>
    </row>
    <row r="94" spans="6:256" x14ac:dyDescent="0.35">
      <c r="F94" t="e">
        <f>'All regions'!H2335+"n/&gt;!&amp;$@"</f>
        <v>#VALUE!</v>
      </c>
      <c r="G94" t="e">
        <f>'All regions'!I2335+"n/&gt;!&amp;$A"</f>
        <v>#VALUE!</v>
      </c>
      <c r="H94" t="e">
        <f>'All regions'!J2335+"n/&gt;!&amp;$B"</f>
        <v>#VALUE!</v>
      </c>
      <c r="I94" t="e">
        <f>'All regions'!A2336+"n/&gt;!&amp;$C"</f>
        <v>#VALUE!</v>
      </c>
      <c r="J94" t="e">
        <f>'All regions'!B2336+"n/&gt;!&amp;$D"</f>
        <v>#VALUE!</v>
      </c>
      <c r="K94" t="e">
        <f>'All regions'!C2336+"n/&gt;!&amp;$E"</f>
        <v>#VALUE!</v>
      </c>
      <c r="L94" t="e">
        <f>'All regions'!D2336+"n/&gt;!&amp;$F"</f>
        <v>#VALUE!</v>
      </c>
      <c r="M94" t="e">
        <f>'All regions'!E2336+"n/&gt;!&amp;$G"</f>
        <v>#VALUE!</v>
      </c>
      <c r="N94" t="e">
        <f>'All regions'!F2336+"n/&gt;!&amp;$H"</f>
        <v>#VALUE!</v>
      </c>
      <c r="O94" t="e">
        <f>'All regions'!G2336+"n/&gt;!&amp;$I"</f>
        <v>#VALUE!</v>
      </c>
      <c r="P94" t="e">
        <f>'All regions'!H2336+"n/&gt;!&amp;$J"</f>
        <v>#VALUE!</v>
      </c>
      <c r="Q94" t="e">
        <f>'All regions'!I2336+"n/&gt;!&amp;$K"</f>
        <v>#VALUE!</v>
      </c>
      <c r="R94" t="e">
        <f>'All regions'!J2336+"n/&gt;!&amp;$L"</f>
        <v>#VALUE!</v>
      </c>
      <c r="S94" t="e">
        <f>'All regions'!A2337+"n/&gt;!&amp;$M"</f>
        <v>#VALUE!</v>
      </c>
      <c r="T94" t="e">
        <f>'All regions'!B2337+"n/&gt;!&amp;$N"</f>
        <v>#VALUE!</v>
      </c>
      <c r="U94" t="e">
        <f>'All regions'!C2337+"n/&gt;!&amp;$O"</f>
        <v>#VALUE!</v>
      </c>
      <c r="V94" t="e">
        <f>'All regions'!D2337+"n/&gt;!&amp;$P"</f>
        <v>#VALUE!</v>
      </c>
      <c r="W94" t="e">
        <f>'All regions'!E2337+"n/&gt;!&amp;$Q"</f>
        <v>#VALUE!</v>
      </c>
      <c r="X94" t="e">
        <f>'All regions'!F2337+"n/&gt;!&amp;$R"</f>
        <v>#VALUE!</v>
      </c>
      <c r="Y94" t="e">
        <f>'All regions'!G2337+"n/&gt;!&amp;$S"</f>
        <v>#VALUE!</v>
      </c>
      <c r="Z94" t="e">
        <f>'All regions'!H2337+"n/&gt;!&amp;$T"</f>
        <v>#VALUE!</v>
      </c>
      <c r="AA94" t="e">
        <f>'All regions'!I2337+"n/&gt;!&amp;$U"</f>
        <v>#VALUE!</v>
      </c>
      <c r="AB94" t="e">
        <f>'All regions'!J2337+"n/&gt;!&amp;$V"</f>
        <v>#VALUE!</v>
      </c>
      <c r="AC94" t="e">
        <f>'All regions'!A2338+"n/&gt;!&amp;$W"</f>
        <v>#VALUE!</v>
      </c>
      <c r="AD94" t="e">
        <f>'All regions'!B2338+"n/&gt;!&amp;$X"</f>
        <v>#VALUE!</v>
      </c>
      <c r="AE94" t="e">
        <f>'All regions'!C2338+"n/&gt;!&amp;$Y"</f>
        <v>#VALUE!</v>
      </c>
      <c r="AF94" t="e">
        <f>'All regions'!D2338+"n/&gt;!&amp;$Z"</f>
        <v>#VALUE!</v>
      </c>
      <c r="AG94" t="e">
        <f>'All regions'!E2338+"n/&gt;!&amp;$["</f>
        <v>#VALUE!</v>
      </c>
      <c r="AH94" t="e">
        <f>'All regions'!F2338+"n/&gt;!&amp;$\"</f>
        <v>#VALUE!</v>
      </c>
      <c r="AI94" t="e">
        <f>'All regions'!G2338+"n/&gt;!&amp;$]"</f>
        <v>#VALUE!</v>
      </c>
      <c r="AJ94" t="e">
        <f>'All regions'!H2338+"n/&gt;!&amp;$^"</f>
        <v>#VALUE!</v>
      </c>
      <c r="AK94" t="e">
        <f>'All regions'!I2338+"n/&gt;!&amp;$_"</f>
        <v>#VALUE!</v>
      </c>
      <c r="AL94" t="e">
        <f>'All regions'!J2338+"n/&gt;!&amp;$`"</f>
        <v>#VALUE!</v>
      </c>
      <c r="AM94" t="e">
        <f>'All regions'!A2339+"n/&gt;!&amp;$a"</f>
        <v>#VALUE!</v>
      </c>
      <c r="AN94" t="e">
        <f>'All regions'!B2339+"n/&gt;!&amp;$b"</f>
        <v>#VALUE!</v>
      </c>
      <c r="AO94" t="e">
        <f>'All regions'!C2339+"n/&gt;!&amp;$c"</f>
        <v>#VALUE!</v>
      </c>
      <c r="AP94" t="e">
        <f>'All regions'!D2339+"n/&gt;!&amp;$d"</f>
        <v>#VALUE!</v>
      </c>
      <c r="AQ94" t="e">
        <f>'All regions'!E2339+"n/&gt;!&amp;$e"</f>
        <v>#VALUE!</v>
      </c>
      <c r="AR94" t="e">
        <f>'All regions'!F2339+"n/&gt;!&amp;$f"</f>
        <v>#VALUE!</v>
      </c>
      <c r="AS94" t="e">
        <f>'All regions'!G2339+"n/&gt;!&amp;$g"</f>
        <v>#VALUE!</v>
      </c>
      <c r="AT94" t="e">
        <f>'All regions'!H2339+"n/&gt;!&amp;$h"</f>
        <v>#VALUE!</v>
      </c>
      <c r="AU94" t="e">
        <f>'All regions'!I2339+"n/&gt;!&amp;$i"</f>
        <v>#VALUE!</v>
      </c>
      <c r="AV94" t="e">
        <f>'All regions'!J2339+"n/&gt;!&amp;$j"</f>
        <v>#VALUE!</v>
      </c>
      <c r="AW94" t="e">
        <f>'All regions'!A2340+"n/&gt;!&amp;$k"</f>
        <v>#VALUE!</v>
      </c>
      <c r="AX94" t="e">
        <f>'All regions'!B2340+"n/&gt;!&amp;$l"</f>
        <v>#VALUE!</v>
      </c>
      <c r="AY94" t="e">
        <f>'All regions'!C2340+"n/&gt;!&amp;$m"</f>
        <v>#VALUE!</v>
      </c>
      <c r="AZ94" t="e">
        <f>'All regions'!D2340+"n/&gt;!&amp;$n"</f>
        <v>#VALUE!</v>
      </c>
      <c r="BA94" t="e">
        <f>'All regions'!E2340+"n/&gt;!&amp;$o"</f>
        <v>#VALUE!</v>
      </c>
      <c r="BB94" t="e">
        <f>'All regions'!F2340+"n/&gt;!&amp;$p"</f>
        <v>#VALUE!</v>
      </c>
      <c r="BC94" t="e">
        <f>'All regions'!G2340+"n/&gt;!&amp;$q"</f>
        <v>#VALUE!</v>
      </c>
      <c r="BD94" t="e">
        <f>'All regions'!H2340+"n/&gt;!&amp;$r"</f>
        <v>#VALUE!</v>
      </c>
      <c r="BE94" t="e">
        <f>'All regions'!I2340+"n/&gt;!&amp;$s"</f>
        <v>#VALUE!</v>
      </c>
      <c r="BF94" t="e">
        <f>'All regions'!J2340+"n/&gt;!&amp;$t"</f>
        <v>#VALUE!</v>
      </c>
      <c r="BG94" t="e">
        <f>'All regions'!A2341+"n/&gt;!&amp;$u"</f>
        <v>#VALUE!</v>
      </c>
      <c r="BH94" t="e">
        <f>'All regions'!B2341+"n/&gt;!&amp;$v"</f>
        <v>#VALUE!</v>
      </c>
      <c r="BI94" t="e">
        <f>'All regions'!C2341+"n/&gt;!&amp;$w"</f>
        <v>#VALUE!</v>
      </c>
      <c r="BJ94" t="e">
        <f>'All regions'!D2341+"n/&gt;!&amp;$x"</f>
        <v>#VALUE!</v>
      </c>
      <c r="BK94" t="e">
        <f>'All regions'!E2341+"n/&gt;!&amp;$y"</f>
        <v>#VALUE!</v>
      </c>
      <c r="BL94" t="e">
        <f>'All regions'!F2341+"n/&gt;!&amp;$z"</f>
        <v>#VALUE!</v>
      </c>
      <c r="BM94" t="e">
        <f>'All regions'!G2341+"n/&gt;!&amp;${"</f>
        <v>#VALUE!</v>
      </c>
      <c r="BN94" t="e">
        <f>'All regions'!H2341+"n/&gt;!&amp;$|"</f>
        <v>#VALUE!</v>
      </c>
      <c r="BO94" t="e">
        <f>'All regions'!I2341+"n/&gt;!&amp;$}"</f>
        <v>#VALUE!</v>
      </c>
      <c r="BP94" t="e">
        <f>'All regions'!J2341+"n/&gt;!&amp;$~"</f>
        <v>#VALUE!</v>
      </c>
      <c r="BQ94" t="e">
        <f>'All regions'!A2342+"n/&gt;!&amp;%#"</f>
        <v>#VALUE!</v>
      </c>
      <c r="BR94" t="e">
        <f>'All regions'!B2342+"n/&gt;!&amp;%$"</f>
        <v>#VALUE!</v>
      </c>
      <c r="BS94" t="e">
        <f>'All regions'!C2342+"n/&gt;!&amp;%%"</f>
        <v>#VALUE!</v>
      </c>
      <c r="BT94" t="e">
        <f>'All regions'!D2342+"n/&gt;!&amp;%&amp;"</f>
        <v>#VALUE!</v>
      </c>
      <c r="BU94" t="e">
        <f>'All regions'!E2342+"n/&gt;!&amp;%'"</f>
        <v>#VALUE!</v>
      </c>
      <c r="BV94" t="e">
        <f>'All regions'!F2342+"n/&gt;!&amp;%("</f>
        <v>#VALUE!</v>
      </c>
      <c r="BW94" t="e">
        <f>'All regions'!G2342+"n/&gt;!&amp;%)"</f>
        <v>#VALUE!</v>
      </c>
      <c r="BX94" t="e">
        <f>'All regions'!H2342+"n/&gt;!&amp;%."</f>
        <v>#VALUE!</v>
      </c>
      <c r="BY94" t="e">
        <f>'All regions'!I2342+"n/&gt;!&amp;%/"</f>
        <v>#VALUE!</v>
      </c>
      <c r="BZ94" t="e">
        <f>'All regions'!J2342+"n/&gt;!&amp;%0"</f>
        <v>#VALUE!</v>
      </c>
      <c r="CA94" t="e">
        <f>'All regions'!A2343+"n/&gt;!&amp;%1"</f>
        <v>#VALUE!</v>
      </c>
      <c r="CB94" t="e">
        <f>'All regions'!B2343+"n/&gt;!&amp;%2"</f>
        <v>#VALUE!</v>
      </c>
      <c r="CC94" t="e">
        <f>'All regions'!C2343+"n/&gt;!&amp;%3"</f>
        <v>#VALUE!</v>
      </c>
      <c r="CD94" t="e">
        <f>'All regions'!D2343+"n/&gt;!&amp;%4"</f>
        <v>#VALUE!</v>
      </c>
      <c r="CE94" t="e">
        <f>'All regions'!E2343+"n/&gt;!&amp;%5"</f>
        <v>#VALUE!</v>
      </c>
      <c r="CF94" t="e">
        <f>'All regions'!F2343+"n/&gt;!&amp;%6"</f>
        <v>#VALUE!</v>
      </c>
      <c r="CG94" t="e">
        <f>'All regions'!G2343+"n/&gt;!&amp;%7"</f>
        <v>#VALUE!</v>
      </c>
      <c r="CH94" t="e">
        <f>'All regions'!H2343+"n/&gt;!&amp;%8"</f>
        <v>#VALUE!</v>
      </c>
      <c r="CI94" t="e">
        <f>'All regions'!I2343+"n/&gt;!&amp;%9"</f>
        <v>#VALUE!</v>
      </c>
      <c r="CJ94" t="e">
        <f>'All regions'!J2343+"n/&gt;!&amp;%:"</f>
        <v>#VALUE!</v>
      </c>
      <c r="CK94" t="e">
        <f>'All regions'!A2344+"n/&gt;!&amp;%;"</f>
        <v>#VALUE!</v>
      </c>
      <c r="CL94" t="e">
        <f>'All regions'!B2344+"n/&gt;!&amp;%&lt;"</f>
        <v>#VALUE!</v>
      </c>
      <c r="CM94" t="e">
        <f>'All regions'!C2344+"n/&gt;!&amp;%="</f>
        <v>#VALUE!</v>
      </c>
      <c r="CN94" t="e">
        <f>'All regions'!D2344+"n/&gt;!&amp;%&gt;"</f>
        <v>#VALUE!</v>
      </c>
      <c r="CO94" t="e">
        <f>'All regions'!E2344+"n/&gt;!&amp;%?"</f>
        <v>#VALUE!</v>
      </c>
      <c r="CP94" t="e">
        <f>'All regions'!F2344+"n/&gt;!&amp;%@"</f>
        <v>#VALUE!</v>
      </c>
      <c r="CQ94" t="e">
        <f>'All regions'!G2344+"n/&gt;!&amp;%A"</f>
        <v>#VALUE!</v>
      </c>
      <c r="CR94" t="e">
        <f>'All regions'!H2344+"n/&gt;!&amp;%B"</f>
        <v>#VALUE!</v>
      </c>
      <c r="CS94" t="e">
        <f>'All regions'!I2344+"n/&gt;!&amp;%C"</f>
        <v>#VALUE!</v>
      </c>
      <c r="CT94" t="e">
        <f>'All regions'!J2344+"n/&gt;!&amp;%D"</f>
        <v>#VALUE!</v>
      </c>
      <c r="CU94" t="e">
        <f>'All regions'!A2345+"n/&gt;!&amp;%E"</f>
        <v>#VALUE!</v>
      </c>
      <c r="CV94" t="e">
        <f>'All regions'!B2345+"n/&gt;!&amp;%F"</f>
        <v>#VALUE!</v>
      </c>
      <c r="CW94" t="e">
        <f>'All regions'!C2345+"n/&gt;!&amp;%G"</f>
        <v>#VALUE!</v>
      </c>
      <c r="CX94" t="e">
        <f>'All regions'!D2345+"n/&gt;!&amp;%H"</f>
        <v>#VALUE!</v>
      </c>
      <c r="CY94" t="e">
        <f>'All regions'!E2345+"n/&gt;!&amp;%I"</f>
        <v>#VALUE!</v>
      </c>
      <c r="CZ94" t="e">
        <f>'All regions'!F2345+"n/&gt;!&amp;%J"</f>
        <v>#VALUE!</v>
      </c>
      <c r="DA94" t="e">
        <f>'All regions'!G2345+"n/&gt;!&amp;%K"</f>
        <v>#VALUE!</v>
      </c>
      <c r="DB94" t="e">
        <f>'All regions'!H2345+"n/&gt;!&amp;%L"</f>
        <v>#VALUE!</v>
      </c>
      <c r="DC94" t="e">
        <f>'All regions'!I2345+"n/&gt;!&amp;%M"</f>
        <v>#VALUE!</v>
      </c>
      <c r="DD94" t="e">
        <f>'All regions'!J2345+"n/&gt;!&amp;%N"</f>
        <v>#VALUE!</v>
      </c>
      <c r="DE94" t="e">
        <f>'All regions'!A2346+"n/&gt;!&amp;%O"</f>
        <v>#VALUE!</v>
      </c>
      <c r="DF94" t="e">
        <f>'All regions'!B2346+"n/&gt;!&amp;%P"</f>
        <v>#VALUE!</v>
      </c>
      <c r="DG94" t="e">
        <f>'All regions'!C2346+"n/&gt;!&amp;%Q"</f>
        <v>#VALUE!</v>
      </c>
      <c r="DH94" t="e">
        <f>'All regions'!D2346+"n/&gt;!&amp;%R"</f>
        <v>#VALUE!</v>
      </c>
      <c r="DI94" t="e">
        <f>'All regions'!E2346+"n/&gt;!&amp;%S"</f>
        <v>#VALUE!</v>
      </c>
      <c r="DJ94" t="e">
        <f>'All regions'!F2346+"n/&gt;!&amp;%T"</f>
        <v>#VALUE!</v>
      </c>
      <c r="DK94" t="e">
        <f>'All regions'!G2346+"n/&gt;!&amp;%U"</f>
        <v>#VALUE!</v>
      </c>
      <c r="DL94" t="e">
        <f>'All regions'!H2346+"n/&gt;!&amp;%V"</f>
        <v>#VALUE!</v>
      </c>
      <c r="DM94" t="e">
        <f>'All regions'!I2346+"n/&gt;!&amp;%W"</f>
        <v>#VALUE!</v>
      </c>
      <c r="DN94" t="e">
        <f>'All regions'!J2346+"n/&gt;!&amp;%X"</f>
        <v>#VALUE!</v>
      </c>
      <c r="DO94" t="e">
        <f>'All regions'!A2347+"n/&gt;!&amp;%Y"</f>
        <v>#VALUE!</v>
      </c>
      <c r="DP94" t="e">
        <f>'All regions'!B2347+"n/&gt;!&amp;%Z"</f>
        <v>#VALUE!</v>
      </c>
      <c r="DQ94" t="e">
        <f>'All regions'!C2347+"n/&gt;!&amp;%["</f>
        <v>#VALUE!</v>
      </c>
      <c r="DR94" t="e">
        <f>'All regions'!D2347+"n/&gt;!&amp;%\"</f>
        <v>#VALUE!</v>
      </c>
      <c r="DS94" t="e">
        <f>'All regions'!E2347+"n/&gt;!&amp;%]"</f>
        <v>#VALUE!</v>
      </c>
      <c r="DT94" t="e">
        <f>'All regions'!F2347+"n/&gt;!&amp;%^"</f>
        <v>#VALUE!</v>
      </c>
      <c r="DU94" t="e">
        <f>'All regions'!G2347+"n/&gt;!&amp;%_"</f>
        <v>#VALUE!</v>
      </c>
      <c r="DV94" t="e">
        <f>'All regions'!H2347+"n/&gt;!&amp;%`"</f>
        <v>#VALUE!</v>
      </c>
      <c r="DW94" t="e">
        <f>'All regions'!I2347+"n/&gt;!&amp;%a"</f>
        <v>#VALUE!</v>
      </c>
      <c r="DX94" t="e">
        <f>'All regions'!J2347+"n/&gt;!&amp;%b"</f>
        <v>#VALUE!</v>
      </c>
      <c r="DY94" t="e">
        <f>'All regions'!A2348+"n/&gt;!&amp;%c"</f>
        <v>#VALUE!</v>
      </c>
      <c r="DZ94" t="e">
        <f>'All regions'!B2348+"n/&gt;!&amp;%d"</f>
        <v>#VALUE!</v>
      </c>
      <c r="EA94" t="e">
        <f>'All regions'!C2348+"n/&gt;!&amp;%e"</f>
        <v>#VALUE!</v>
      </c>
      <c r="EB94" t="e">
        <f>'All regions'!D2348+"n/&gt;!&amp;%f"</f>
        <v>#VALUE!</v>
      </c>
      <c r="EC94" t="e">
        <f>'All regions'!E2348+"n/&gt;!&amp;%g"</f>
        <v>#VALUE!</v>
      </c>
      <c r="ED94" t="e">
        <f>'All regions'!F2348+"n/&gt;!&amp;%h"</f>
        <v>#VALUE!</v>
      </c>
      <c r="EE94" t="e">
        <f>'All regions'!G2348+"n/&gt;!&amp;%i"</f>
        <v>#VALUE!</v>
      </c>
      <c r="EF94" t="e">
        <f>'All regions'!H2348+"n/&gt;!&amp;%j"</f>
        <v>#VALUE!</v>
      </c>
      <c r="EG94" t="e">
        <f>'All regions'!I2348+"n/&gt;!&amp;%k"</f>
        <v>#VALUE!</v>
      </c>
      <c r="EH94" t="e">
        <f>'All regions'!J2348+"n/&gt;!&amp;%l"</f>
        <v>#VALUE!</v>
      </c>
      <c r="EI94" t="e">
        <f>'All regions'!A2349+"n/&gt;!&amp;%m"</f>
        <v>#VALUE!</v>
      </c>
      <c r="EJ94" t="e">
        <f>'All regions'!B2349+"n/&gt;!&amp;%n"</f>
        <v>#VALUE!</v>
      </c>
      <c r="EK94" t="e">
        <f>'All regions'!C2349+"n/&gt;!&amp;%o"</f>
        <v>#VALUE!</v>
      </c>
      <c r="EL94" t="e">
        <f>'All regions'!D2349+"n/&gt;!&amp;%p"</f>
        <v>#VALUE!</v>
      </c>
      <c r="EM94" t="e">
        <f>'All regions'!E2349+"n/&gt;!&amp;%q"</f>
        <v>#VALUE!</v>
      </c>
      <c r="EN94" t="e">
        <f>'All regions'!F2349+"n/&gt;!&amp;%r"</f>
        <v>#VALUE!</v>
      </c>
      <c r="EO94" t="e">
        <f>'All regions'!G2349+"n/&gt;!&amp;%s"</f>
        <v>#VALUE!</v>
      </c>
      <c r="EP94" t="e">
        <f>'All regions'!H2349+"n/&gt;!&amp;%t"</f>
        <v>#VALUE!</v>
      </c>
      <c r="EQ94" t="e">
        <f>'All regions'!I2349+"n/&gt;!&amp;%u"</f>
        <v>#VALUE!</v>
      </c>
      <c r="ER94" t="e">
        <f>'All regions'!J2349+"n/&gt;!&amp;%v"</f>
        <v>#VALUE!</v>
      </c>
      <c r="ES94" t="e">
        <f>'All regions'!A2350+"n/&gt;!&amp;%w"</f>
        <v>#VALUE!</v>
      </c>
      <c r="ET94" t="e">
        <f>'All regions'!B2350+"n/&gt;!&amp;%x"</f>
        <v>#VALUE!</v>
      </c>
      <c r="EU94" t="e">
        <f>'All regions'!C2350+"n/&gt;!&amp;%y"</f>
        <v>#VALUE!</v>
      </c>
      <c r="EV94" t="e">
        <f>'All regions'!D2350+"n/&gt;!&amp;%z"</f>
        <v>#VALUE!</v>
      </c>
      <c r="EW94" t="e">
        <f>'All regions'!E2350+"n/&gt;!&amp;%{"</f>
        <v>#VALUE!</v>
      </c>
      <c r="EX94" t="e">
        <f>'All regions'!F2350+"n/&gt;!&amp;%|"</f>
        <v>#VALUE!</v>
      </c>
      <c r="EY94" t="e">
        <f>'All regions'!G2350+"n/&gt;!&amp;%}"</f>
        <v>#VALUE!</v>
      </c>
      <c r="EZ94" t="e">
        <f>'All regions'!H2350+"n/&gt;!&amp;%~"</f>
        <v>#VALUE!</v>
      </c>
      <c r="FA94" t="e">
        <f>'All regions'!I2350+"n/&gt;!&amp;&amp;#"</f>
        <v>#VALUE!</v>
      </c>
      <c r="FB94" t="e">
        <f>'All regions'!J2350+"n/&gt;!&amp;&amp;$"</f>
        <v>#VALUE!</v>
      </c>
      <c r="FC94" t="e">
        <f>'All regions'!A2351+"n/&gt;!&amp;&amp;%"</f>
        <v>#VALUE!</v>
      </c>
      <c r="FD94" t="e">
        <f>'All regions'!B2351+"n/&gt;!&amp;&amp;&amp;"</f>
        <v>#VALUE!</v>
      </c>
      <c r="FE94" t="e">
        <f>'All regions'!C2351+"n/&gt;!&amp;&amp;'"</f>
        <v>#VALUE!</v>
      </c>
      <c r="FF94" t="e">
        <f>'All regions'!D2351+"n/&gt;!&amp;&amp;("</f>
        <v>#VALUE!</v>
      </c>
      <c r="FG94" t="e">
        <f>'All regions'!E2351+"n/&gt;!&amp;&amp;)"</f>
        <v>#VALUE!</v>
      </c>
      <c r="FH94" t="e">
        <f>'All regions'!F2351+"n/&gt;!&amp;&amp;."</f>
        <v>#VALUE!</v>
      </c>
      <c r="FI94" t="e">
        <f>'All regions'!G2351+"n/&gt;!&amp;&amp;/"</f>
        <v>#VALUE!</v>
      </c>
      <c r="FJ94" t="e">
        <f>'All regions'!H2351+"n/&gt;!&amp;&amp;0"</f>
        <v>#VALUE!</v>
      </c>
      <c r="FK94" t="e">
        <f>'All regions'!I2351+"n/&gt;!&amp;&amp;1"</f>
        <v>#VALUE!</v>
      </c>
      <c r="FL94" t="e">
        <f>'All regions'!J2351+"n/&gt;!&amp;&amp;2"</f>
        <v>#VALUE!</v>
      </c>
      <c r="FM94" t="e">
        <f>'All regions'!A2352+"n/&gt;!&amp;&amp;3"</f>
        <v>#VALUE!</v>
      </c>
      <c r="FN94" t="e">
        <f>'All regions'!B2352+"n/&gt;!&amp;&amp;4"</f>
        <v>#VALUE!</v>
      </c>
      <c r="FO94" t="e">
        <f>'All regions'!C2352+"n/&gt;!&amp;&amp;5"</f>
        <v>#VALUE!</v>
      </c>
      <c r="FP94" t="e">
        <f>'All regions'!D2352+"n/&gt;!&amp;&amp;6"</f>
        <v>#VALUE!</v>
      </c>
      <c r="FQ94" t="e">
        <f>'All regions'!E2352+"n/&gt;!&amp;&amp;7"</f>
        <v>#VALUE!</v>
      </c>
      <c r="FR94" t="e">
        <f>'All regions'!F2352+"n/&gt;!&amp;&amp;8"</f>
        <v>#VALUE!</v>
      </c>
      <c r="FS94" t="e">
        <f>'All regions'!G2352+"n/&gt;!&amp;&amp;9"</f>
        <v>#VALUE!</v>
      </c>
      <c r="FT94" t="e">
        <f>'All regions'!H2352+"n/&gt;!&amp;&amp;:"</f>
        <v>#VALUE!</v>
      </c>
      <c r="FU94" t="e">
        <f>'All regions'!I2352+"n/&gt;!&amp;&amp;;"</f>
        <v>#VALUE!</v>
      </c>
      <c r="FV94" t="e">
        <f>'All regions'!J2352+"n/&gt;!&amp;&amp;&lt;"</f>
        <v>#VALUE!</v>
      </c>
      <c r="FW94" t="e">
        <f>'All regions'!A2353+"n/&gt;!&amp;&amp;="</f>
        <v>#VALUE!</v>
      </c>
      <c r="FX94" t="e">
        <f>'All regions'!B2353+"n/&gt;!&amp;&amp;&gt;"</f>
        <v>#VALUE!</v>
      </c>
      <c r="FY94" t="e">
        <f>'All regions'!C2353+"n/&gt;!&amp;&amp;?"</f>
        <v>#VALUE!</v>
      </c>
      <c r="FZ94" t="e">
        <f>'All regions'!D2353+"n/&gt;!&amp;&amp;@"</f>
        <v>#VALUE!</v>
      </c>
      <c r="GA94" t="e">
        <f>'All regions'!E2353+"n/&gt;!&amp;&amp;A"</f>
        <v>#VALUE!</v>
      </c>
      <c r="GB94" t="e">
        <f>'All regions'!F2353+"n/&gt;!&amp;&amp;B"</f>
        <v>#VALUE!</v>
      </c>
      <c r="GC94" t="e">
        <f>'All regions'!G2353+"n/&gt;!&amp;&amp;C"</f>
        <v>#VALUE!</v>
      </c>
      <c r="GD94" t="e">
        <f>'All regions'!H2353+"n/&gt;!&amp;&amp;D"</f>
        <v>#VALUE!</v>
      </c>
      <c r="GE94" t="e">
        <f>'All regions'!I2353+"n/&gt;!&amp;&amp;E"</f>
        <v>#VALUE!</v>
      </c>
      <c r="GF94" t="e">
        <f>'All regions'!J2353+"n/&gt;!&amp;&amp;F"</f>
        <v>#VALUE!</v>
      </c>
      <c r="GG94" t="e">
        <f>'All regions'!A2354+"n/&gt;!&amp;&amp;G"</f>
        <v>#VALUE!</v>
      </c>
      <c r="GH94" t="e">
        <f>'All regions'!B2354+"n/&gt;!&amp;&amp;H"</f>
        <v>#VALUE!</v>
      </c>
      <c r="GI94" t="e">
        <f>'All regions'!C2354+"n/&gt;!&amp;&amp;I"</f>
        <v>#VALUE!</v>
      </c>
      <c r="GJ94" t="e">
        <f>'All regions'!D2354+"n/&gt;!&amp;&amp;J"</f>
        <v>#VALUE!</v>
      </c>
      <c r="GK94" t="e">
        <f>'All regions'!E2354+"n/&gt;!&amp;&amp;K"</f>
        <v>#VALUE!</v>
      </c>
      <c r="GL94" t="e">
        <f>'All regions'!F2354+"n/&gt;!&amp;&amp;L"</f>
        <v>#VALUE!</v>
      </c>
      <c r="GM94" t="e">
        <f>'All regions'!G2354+"n/&gt;!&amp;&amp;M"</f>
        <v>#VALUE!</v>
      </c>
      <c r="GN94" t="e">
        <f>'All regions'!H2354+"n/&gt;!&amp;&amp;N"</f>
        <v>#VALUE!</v>
      </c>
      <c r="GO94" t="e">
        <f>'All regions'!I2354+"n/&gt;!&amp;&amp;O"</f>
        <v>#VALUE!</v>
      </c>
      <c r="GP94" t="e">
        <f>'All regions'!J2354+"n/&gt;!&amp;&amp;P"</f>
        <v>#VALUE!</v>
      </c>
      <c r="GQ94" t="e">
        <f>'All regions'!A2355+"n/&gt;!&amp;&amp;Q"</f>
        <v>#VALUE!</v>
      </c>
      <c r="GR94" t="e">
        <f>'All regions'!B2355+"n/&gt;!&amp;&amp;R"</f>
        <v>#VALUE!</v>
      </c>
      <c r="GS94" t="e">
        <f>'All regions'!C2355+"n/&gt;!&amp;&amp;S"</f>
        <v>#VALUE!</v>
      </c>
      <c r="GT94" t="e">
        <f>'All regions'!D2355+"n/&gt;!&amp;&amp;T"</f>
        <v>#VALUE!</v>
      </c>
      <c r="GU94" t="e">
        <f>'All regions'!E2355+"n/&gt;!&amp;&amp;U"</f>
        <v>#VALUE!</v>
      </c>
      <c r="GV94" t="e">
        <f>'All regions'!F2355+"n/&gt;!&amp;&amp;V"</f>
        <v>#VALUE!</v>
      </c>
      <c r="GW94" t="e">
        <f>'All regions'!G2355+"n/&gt;!&amp;&amp;W"</f>
        <v>#VALUE!</v>
      </c>
      <c r="GX94" t="e">
        <f>'All regions'!H2355+"n/&gt;!&amp;&amp;X"</f>
        <v>#VALUE!</v>
      </c>
      <c r="GY94" t="e">
        <f>'All regions'!I2355+"n/&gt;!&amp;&amp;Y"</f>
        <v>#VALUE!</v>
      </c>
      <c r="GZ94" t="e">
        <f>'All regions'!J2355+"n/&gt;!&amp;&amp;Z"</f>
        <v>#VALUE!</v>
      </c>
      <c r="HA94" t="e">
        <f>'All regions'!A2356+"n/&gt;!&amp;&amp;["</f>
        <v>#VALUE!</v>
      </c>
      <c r="HB94" t="e">
        <f>'All regions'!B2356+"n/&gt;!&amp;&amp;\"</f>
        <v>#VALUE!</v>
      </c>
      <c r="HC94" t="e">
        <f>'All regions'!C2356+"n/&gt;!&amp;&amp;]"</f>
        <v>#VALUE!</v>
      </c>
      <c r="HD94" t="e">
        <f>'All regions'!D2356+"n/&gt;!&amp;&amp;^"</f>
        <v>#VALUE!</v>
      </c>
      <c r="HE94" t="e">
        <f>'All regions'!E2356+"n/&gt;!&amp;&amp;_"</f>
        <v>#VALUE!</v>
      </c>
      <c r="HF94" t="e">
        <f>'All regions'!F2356+"n/&gt;!&amp;&amp;`"</f>
        <v>#VALUE!</v>
      </c>
      <c r="HG94" t="e">
        <f>'All regions'!G2356+"n/&gt;!&amp;&amp;a"</f>
        <v>#VALUE!</v>
      </c>
      <c r="HH94" t="e">
        <f>'All regions'!H2356+"n/&gt;!&amp;&amp;b"</f>
        <v>#VALUE!</v>
      </c>
      <c r="HI94" t="e">
        <f>'All regions'!I2356+"n/&gt;!&amp;&amp;c"</f>
        <v>#VALUE!</v>
      </c>
      <c r="HJ94" t="e">
        <f>'All regions'!J2356+"n/&gt;!&amp;&amp;d"</f>
        <v>#VALUE!</v>
      </c>
      <c r="HK94" t="e">
        <f>'All regions'!A2357+"n/&gt;!&amp;&amp;e"</f>
        <v>#VALUE!</v>
      </c>
      <c r="HL94" t="e">
        <f>'All regions'!B2357+"n/&gt;!&amp;&amp;f"</f>
        <v>#VALUE!</v>
      </c>
      <c r="HM94" t="e">
        <f>'All regions'!C2357+"n/&gt;!&amp;&amp;g"</f>
        <v>#VALUE!</v>
      </c>
      <c r="HN94" t="e">
        <f>'All regions'!D2357+"n/&gt;!&amp;&amp;h"</f>
        <v>#VALUE!</v>
      </c>
      <c r="HO94" t="e">
        <f>'All regions'!E2357+"n/&gt;!&amp;&amp;i"</f>
        <v>#VALUE!</v>
      </c>
      <c r="HP94" t="e">
        <f>'All regions'!F2357+"n/&gt;!&amp;&amp;j"</f>
        <v>#VALUE!</v>
      </c>
      <c r="HQ94" t="e">
        <f>'All regions'!G2357+"n/&gt;!&amp;&amp;k"</f>
        <v>#VALUE!</v>
      </c>
      <c r="HR94" t="e">
        <f>'All regions'!H2357+"n/&gt;!&amp;&amp;l"</f>
        <v>#VALUE!</v>
      </c>
      <c r="HS94" t="e">
        <f>'All regions'!I2357+"n/&gt;!&amp;&amp;m"</f>
        <v>#VALUE!</v>
      </c>
      <c r="HT94" t="e">
        <f>'All regions'!J2357+"n/&gt;!&amp;&amp;n"</f>
        <v>#VALUE!</v>
      </c>
      <c r="HU94" t="e">
        <f>'All regions'!A2358+"n/&gt;!&amp;&amp;o"</f>
        <v>#VALUE!</v>
      </c>
      <c r="HV94" t="e">
        <f>'All regions'!B2358+"n/&gt;!&amp;&amp;p"</f>
        <v>#VALUE!</v>
      </c>
      <c r="HW94" t="e">
        <f>'All regions'!C2358+"n/&gt;!&amp;&amp;q"</f>
        <v>#VALUE!</v>
      </c>
      <c r="HX94" t="e">
        <f>'All regions'!D2358+"n/&gt;!&amp;&amp;r"</f>
        <v>#VALUE!</v>
      </c>
      <c r="HY94" t="e">
        <f>'All regions'!E2358+"n/&gt;!&amp;&amp;s"</f>
        <v>#VALUE!</v>
      </c>
      <c r="HZ94" t="e">
        <f>'All regions'!F2358+"n/&gt;!&amp;&amp;t"</f>
        <v>#VALUE!</v>
      </c>
      <c r="IA94" t="e">
        <f>'All regions'!G2358+"n/&gt;!&amp;&amp;u"</f>
        <v>#VALUE!</v>
      </c>
      <c r="IB94" t="e">
        <f>'All regions'!H2358+"n/&gt;!&amp;&amp;v"</f>
        <v>#VALUE!</v>
      </c>
      <c r="IC94" t="e">
        <f>'All regions'!I2358+"n/&gt;!&amp;&amp;w"</f>
        <v>#VALUE!</v>
      </c>
      <c r="ID94" t="e">
        <f>'All regions'!J2358+"n/&gt;!&amp;&amp;x"</f>
        <v>#VALUE!</v>
      </c>
      <c r="IE94" t="e">
        <f>'All regions'!A2359+"n/&gt;!&amp;&amp;y"</f>
        <v>#VALUE!</v>
      </c>
      <c r="IF94" t="e">
        <f>'All regions'!B2359+"n/&gt;!&amp;&amp;z"</f>
        <v>#VALUE!</v>
      </c>
      <c r="IG94" t="e">
        <f>'All regions'!C2359+"n/&gt;!&amp;&amp;{"</f>
        <v>#VALUE!</v>
      </c>
      <c r="IH94" t="e">
        <f>'All regions'!D2359+"n/&gt;!&amp;&amp;|"</f>
        <v>#VALUE!</v>
      </c>
      <c r="II94" t="e">
        <f>'All regions'!E2359+"n/&gt;!&amp;&amp;}"</f>
        <v>#VALUE!</v>
      </c>
      <c r="IJ94" t="e">
        <f>'All regions'!F2359+"n/&gt;!&amp;&amp;~"</f>
        <v>#VALUE!</v>
      </c>
      <c r="IK94" t="e">
        <f>'All regions'!G2359+"n/&gt;!&amp;'#"</f>
        <v>#VALUE!</v>
      </c>
      <c r="IL94" t="e">
        <f>'All regions'!H2359+"n/&gt;!&amp;'$"</f>
        <v>#VALUE!</v>
      </c>
      <c r="IM94" t="e">
        <f>'All regions'!I2359+"n/&gt;!&amp;'%"</f>
        <v>#VALUE!</v>
      </c>
      <c r="IN94" t="e">
        <f>'All regions'!J2359+"n/&gt;!&amp;'&amp;"</f>
        <v>#VALUE!</v>
      </c>
      <c r="IO94" t="e">
        <f>'All regions'!A2360+"n/&gt;!&amp;''"</f>
        <v>#VALUE!</v>
      </c>
      <c r="IP94" t="e">
        <f>'All regions'!B2360+"n/&gt;!&amp;'("</f>
        <v>#VALUE!</v>
      </c>
      <c r="IQ94" t="e">
        <f>'All regions'!C2360+"n/&gt;!&amp;')"</f>
        <v>#VALUE!</v>
      </c>
      <c r="IR94" t="e">
        <f>'All regions'!D2360+"n/&gt;!&amp;'."</f>
        <v>#VALUE!</v>
      </c>
      <c r="IS94" t="e">
        <f>'All regions'!E2360+"n/&gt;!&amp;'/"</f>
        <v>#VALUE!</v>
      </c>
      <c r="IT94" t="e">
        <f>'All regions'!F2360+"n/&gt;!&amp;'0"</f>
        <v>#VALUE!</v>
      </c>
      <c r="IU94" t="e">
        <f>'All regions'!G2360+"n/&gt;!&amp;'1"</f>
        <v>#VALUE!</v>
      </c>
      <c r="IV94" t="e">
        <f>'All regions'!H2360+"n/&gt;!&amp;'2"</f>
        <v>#VALUE!</v>
      </c>
    </row>
    <row r="95" spans="6:256" x14ac:dyDescent="0.35">
      <c r="F95" t="e">
        <f>'All regions'!I2360+"n/&gt;!&amp;'3"</f>
        <v>#VALUE!</v>
      </c>
      <c r="G95" t="e">
        <f>'All regions'!J2360+"n/&gt;!&amp;'4"</f>
        <v>#VALUE!</v>
      </c>
      <c r="H95" t="e">
        <f>'All regions'!A2361+"n/&gt;!&amp;'5"</f>
        <v>#VALUE!</v>
      </c>
      <c r="I95" t="e">
        <f>'All regions'!B2361+"n/&gt;!&amp;'6"</f>
        <v>#VALUE!</v>
      </c>
      <c r="J95" t="e">
        <f>'All regions'!C2361+"n/&gt;!&amp;'7"</f>
        <v>#VALUE!</v>
      </c>
      <c r="K95" t="e">
        <f>'All regions'!D2361+"n/&gt;!&amp;'8"</f>
        <v>#VALUE!</v>
      </c>
      <c r="L95" t="e">
        <f>'All regions'!E2361+"n/&gt;!&amp;'9"</f>
        <v>#VALUE!</v>
      </c>
      <c r="M95" t="e">
        <f>'All regions'!F2361+"n/&gt;!&amp;':"</f>
        <v>#VALUE!</v>
      </c>
      <c r="N95" t="e">
        <f>'All regions'!G2361+"n/&gt;!&amp;';"</f>
        <v>#VALUE!</v>
      </c>
      <c r="O95" t="e">
        <f>'All regions'!H2361+"n/&gt;!&amp;'&lt;"</f>
        <v>#VALUE!</v>
      </c>
      <c r="P95" t="e">
        <f>'All regions'!I2361+"n/&gt;!&amp;'="</f>
        <v>#VALUE!</v>
      </c>
      <c r="Q95" t="e">
        <f>'All regions'!J2361+"n/&gt;!&amp;'&gt;"</f>
        <v>#VALUE!</v>
      </c>
      <c r="R95" t="e">
        <f>'All regions'!A2362+"n/&gt;!&amp;'?"</f>
        <v>#VALUE!</v>
      </c>
      <c r="S95" t="e">
        <f>'All regions'!B2362+"n/&gt;!&amp;'@"</f>
        <v>#VALUE!</v>
      </c>
      <c r="T95" t="e">
        <f>'All regions'!C2362+"n/&gt;!&amp;'A"</f>
        <v>#VALUE!</v>
      </c>
      <c r="U95" t="e">
        <f>'All regions'!D2362+"n/&gt;!&amp;'B"</f>
        <v>#VALUE!</v>
      </c>
      <c r="V95" t="e">
        <f>'All regions'!E2362+"n/&gt;!&amp;'C"</f>
        <v>#VALUE!</v>
      </c>
      <c r="W95" t="e">
        <f>'All regions'!F2362+"n/&gt;!&amp;'D"</f>
        <v>#VALUE!</v>
      </c>
      <c r="X95" t="e">
        <f>'All regions'!G2362+"n/&gt;!&amp;'E"</f>
        <v>#VALUE!</v>
      </c>
      <c r="Y95" t="e">
        <f>'All regions'!H2362+"n/&gt;!&amp;'F"</f>
        <v>#VALUE!</v>
      </c>
      <c r="Z95" t="e">
        <f>'All regions'!I2362+"n/&gt;!&amp;'G"</f>
        <v>#VALUE!</v>
      </c>
      <c r="AA95" t="e">
        <f>'All regions'!J2362+"n/&gt;!&amp;'H"</f>
        <v>#VALUE!</v>
      </c>
      <c r="AB95" t="e">
        <f>'All regions'!A2363+"n/&gt;!&amp;'I"</f>
        <v>#VALUE!</v>
      </c>
      <c r="AC95" t="e">
        <f>'All regions'!B2363+"n/&gt;!&amp;'J"</f>
        <v>#VALUE!</v>
      </c>
      <c r="AD95" t="e">
        <f>'All regions'!C2363+"n/&gt;!&amp;'K"</f>
        <v>#VALUE!</v>
      </c>
      <c r="AE95" t="e">
        <f>'All regions'!D2363+"n/&gt;!&amp;'L"</f>
        <v>#VALUE!</v>
      </c>
      <c r="AF95" t="e">
        <f>'All regions'!E2363+"n/&gt;!&amp;'M"</f>
        <v>#VALUE!</v>
      </c>
      <c r="AG95" t="e">
        <f>'All regions'!F2363+"n/&gt;!&amp;'N"</f>
        <v>#VALUE!</v>
      </c>
      <c r="AH95" t="e">
        <f>'All regions'!G2363+"n/&gt;!&amp;'O"</f>
        <v>#VALUE!</v>
      </c>
      <c r="AI95" t="e">
        <f>'All regions'!H2363+"n/&gt;!&amp;'P"</f>
        <v>#VALUE!</v>
      </c>
      <c r="AJ95" t="e">
        <f>'All regions'!I2363+"n/&gt;!&amp;'Q"</f>
        <v>#VALUE!</v>
      </c>
      <c r="AK95" t="e">
        <f>'All regions'!J2363+"n/&gt;!&amp;'R"</f>
        <v>#VALUE!</v>
      </c>
      <c r="AL95" t="e">
        <f>'All regions'!A2364+"n/&gt;!&amp;'S"</f>
        <v>#VALUE!</v>
      </c>
      <c r="AM95" t="e">
        <f>'All regions'!B2364+"n/&gt;!&amp;'T"</f>
        <v>#VALUE!</v>
      </c>
      <c r="AN95" t="e">
        <f>'All regions'!C2364+"n/&gt;!&amp;'U"</f>
        <v>#VALUE!</v>
      </c>
      <c r="AO95" t="e">
        <f>'All regions'!D2364+"n/&gt;!&amp;'V"</f>
        <v>#VALUE!</v>
      </c>
      <c r="AP95" t="e">
        <f>'All regions'!E2364+"n/&gt;!&amp;'W"</f>
        <v>#VALUE!</v>
      </c>
      <c r="AQ95" t="e">
        <f>'All regions'!F2364+"n/&gt;!&amp;'X"</f>
        <v>#VALUE!</v>
      </c>
      <c r="AR95" t="e">
        <f>'All regions'!G2364+"n/&gt;!&amp;'Y"</f>
        <v>#VALUE!</v>
      </c>
      <c r="AS95" t="e">
        <f>'All regions'!H2364+"n/&gt;!&amp;'Z"</f>
        <v>#VALUE!</v>
      </c>
      <c r="AT95" t="e">
        <f>'All regions'!I2364+"n/&gt;!&amp;'["</f>
        <v>#VALUE!</v>
      </c>
      <c r="AU95" t="e">
        <f>'All regions'!J2364+"n/&gt;!&amp;'\"</f>
        <v>#VALUE!</v>
      </c>
      <c r="AV95" t="e">
        <f>'All regions'!A2365+"n/&gt;!&amp;']"</f>
        <v>#VALUE!</v>
      </c>
      <c r="AW95" t="e">
        <f>'All regions'!B2365+"n/&gt;!&amp;'^"</f>
        <v>#VALUE!</v>
      </c>
      <c r="AX95" t="e">
        <f>'All regions'!C2365+"n/&gt;!&amp;'_"</f>
        <v>#VALUE!</v>
      </c>
      <c r="AY95" t="e">
        <f>'All regions'!D2365+"n/&gt;!&amp;'`"</f>
        <v>#VALUE!</v>
      </c>
      <c r="AZ95" t="e">
        <f>'All regions'!E2365+"n/&gt;!&amp;'a"</f>
        <v>#VALUE!</v>
      </c>
      <c r="BA95" t="e">
        <f>'All regions'!F2365+"n/&gt;!&amp;'b"</f>
        <v>#VALUE!</v>
      </c>
      <c r="BB95" t="e">
        <f>'All regions'!G2365+"n/&gt;!&amp;'c"</f>
        <v>#VALUE!</v>
      </c>
      <c r="BC95" t="e">
        <f>'All regions'!H2365+"n/&gt;!&amp;'d"</f>
        <v>#VALUE!</v>
      </c>
      <c r="BD95" t="e">
        <f>'All regions'!I2365+"n/&gt;!&amp;'e"</f>
        <v>#VALUE!</v>
      </c>
      <c r="BE95" t="e">
        <f>'All regions'!J2365+"n/&gt;!&amp;'f"</f>
        <v>#VALUE!</v>
      </c>
      <c r="BF95" t="e">
        <f>'All regions'!A2366+"n/&gt;!&amp;'g"</f>
        <v>#VALUE!</v>
      </c>
      <c r="BG95" t="e">
        <f>'All regions'!B2366+"n/&gt;!&amp;'h"</f>
        <v>#VALUE!</v>
      </c>
      <c r="BH95" t="e">
        <f>'All regions'!C2366+"n/&gt;!&amp;'i"</f>
        <v>#VALUE!</v>
      </c>
      <c r="BI95" t="e">
        <f>'All regions'!D2366+"n/&gt;!&amp;'j"</f>
        <v>#VALUE!</v>
      </c>
      <c r="BJ95" t="e">
        <f>'All regions'!E2366+"n/&gt;!&amp;'k"</f>
        <v>#VALUE!</v>
      </c>
      <c r="BK95" t="e">
        <f>'All regions'!F2366+"n/&gt;!&amp;'l"</f>
        <v>#VALUE!</v>
      </c>
      <c r="BL95" t="e">
        <f>'All regions'!G2366+"n/&gt;!&amp;'m"</f>
        <v>#VALUE!</v>
      </c>
      <c r="BM95" t="e">
        <f>'All regions'!H2366+"n/&gt;!&amp;'n"</f>
        <v>#VALUE!</v>
      </c>
      <c r="BN95" t="e">
        <f>'All regions'!I2366+"n/&gt;!&amp;'o"</f>
        <v>#VALUE!</v>
      </c>
      <c r="BO95" t="e">
        <f>'All regions'!J2366+"n/&gt;!&amp;'p"</f>
        <v>#VALUE!</v>
      </c>
      <c r="BP95" t="e">
        <f>'All regions'!A2367+"n/&gt;!&amp;'q"</f>
        <v>#VALUE!</v>
      </c>
      <c r="BQ95" t="e">
        <f>'All regions'!B2367+"n/&gt;!&amp;'r"</f>
        <v>#VALUE!</v>
      </c>
      <c r="BR95" t="e">
        <f>'All regions'!C2367+"n/&gt;!&amp;'s"</f>
        <v>#VALUE!</v>
      </c>
      <c r="BS95" t="e">
        <f>'All regions'!D2367+"n/&gt;!&amp;'t"</f>
        <v>#VALUE!</v>
      </c>
      <c r="BT95" t="e">
        <f>'All regions'!E2367+"n/&gt;!&amp;'u"</f>
        <v>#VALUE!</v>
      </c>
      <c r="BU95" t="e">
        <f>'All regions'!F2367+"n/&gt;!&amp;'v"</f>
        <v>#VALUE!</v>
      </c>
      <c r="BV95" t="e">
        <f>'All regions'!G2367+"n/&gt;!&amp;'w"</f>
        <v>#VALUE!</v>
      </c>
      <c r="BW95" t="e">
        <f>'All regions'!H2367+"n/&gt;!&amp;'x"</f>
        <v>#VALUE!</v>
      </c>
      <c r="BX95" t="e">
        <f>'All regions'!I2367+"n/&gt;!&amp;'y"</f>
        <v>#VALUE!</v>
      </c>
      <c r="BY95" t="e">
        <f>'All regions'!J2367+"n/&gt;!&amp;'z"</f>
        <v>#VALUE!</v>
      </c>
      <c r="BZ95" t="e">
        <f>'All regions'!A2368+"n/&gt;!&amp;'{"</f>
        <v>#VALUE!</v>
      </c>
      <c r="CA95" t="e">
        <f>'All regions'!B2368+"n/&gt;!&amp;'|"</f>
        <v>#VALUE!</v>
      </c>
      <c r="CB95" t="e">
        <f>'All regions'!C2368+"n/&gt;!&amp;'}"</f>
        <v>#VALUE!</v>
      </c>
      <c r="CC95" t="e">
        <f>'All regions'!D2368+"n/&gt;!&amp;'~"</f>
        <v>#VALUE!</v>
      </c>
      <c r="CD95" t="e">
        <f>'All regions'!E2368+"n/&gt;!&amp;(#"</f>
        <v>#VALUE!</v>
      </c>
      <c r="CE95" t="e">
        <f>'All regions'!F2368+"n/&gt;!&amp;($"</f>
        <v>#VALUE!</v>
      </c>
      <c r="CF95" t="e">
        <f>'All regions'!G2368+"n/&gt;!&amp;(%"</f>
        <v>#VALUE!</v>
      </c>
      <c r="CG95" t="e">
        <f>'All regions'!H2368+"n/&gt;!&amp;(&amp;"</f>
        <v>#VALUE!</v>
      </c>
      <c r="CH95" t="e">
        <f>'All regions'!I2368+"n/&gt;!&amp;('"</f>
        <v>#VALUE!</v>
      </c>
      <c r="CI95" t="e">
        <f>'All regions'!J2368+"n/&gt;!&amp;(("</f>
        <v>#VALUE!</v>
      </c>
      <c r="CJ95" t="e">
        <f>'All regions'!A2369+"n/&gt;!&amp;()"</f>
        <v>#VALUE!</v>
      </c>
      <c r="CK95" t="e">
        <f>'All regions'!B2369+"n/&gt;!&amp;(."</f>
        <v>#VALUE!</v>
      </c>
      <c r="CL95" t="e">
        <f>'All regions'!C2369+"n/&gt;!&amp;(/"</f>
        <v>#VALUE!</v>
      </c>
      <c r="CM95" t="e">
        <f>'All regions'!D2369+"n/&gt;!&amp;(0"</f>
        <v>#VALUE!</v>
      </c>
      <c r="CN95" t="e">
        <f>'All regions'!E2369+"n/&gt;!&amp;(1"</f>
        <v>#VALUE!</v>
      </c>
      <c r="CO95" t="e">
        <f>'All regions'!F2369+"n/&gt;!&amp;(2"</f>
        <v>#VALUE!</v>
      </c>
      <c r="CP95" t="e">
        <f>'All regions'!G2369+"n/&gt;!&amp;(3"</f>
        <v>#VALUE!</v>
      </c>
      <c r="CQ95" t="e">
        <f>'All regions'!H2369+"n/&gt;!&amp;(4"</f>
        <v>#VALUE!</v>
      </c>
      <c r="CR95" t="e">
        <f>'All regions'!I2369+"n/&gt;!&amp;(5"</f>
        <v>#VALUE!</v>
      </c>
      <c r="CS95" t="e">
        <f>'All regions'!J2369+"n/&gt;!&amp;(6"</f>
        <v>#VALUE!</v>
      </c>
      <c r="CT95" t="e">
        <f>'All regions'!A2370+"n/&gt;!&amp;(7"</f>
        <v>#VALUE!</v>
      </c>
      <c r="CU95" t="e">
        <f>'All regions'!B2370+"n/&gt;!&amp;(8"</f>
        <v>#VALUE!</v>
      </c>
      <c r="CV95" t="e">
        <f>'All regions'!C2370+"n/&gt;!&amp;(9"</f>
        <v>#VALUE!</v>
      </c>
      <c r="CW95" t="e">
        <f>'All regions'!D2370+"n/&gt;!&amp;(:"</f>
        <v>#VALUE!</v>
      </c>
      <c r="CX95" t="e">
        <f>'All regions'!E2370+"n/&gt;!&amp;(;"</f>
        <v>#VALUE!</v>
      </c>
      <c r="CY95" t="e">
        <f>'All regions'!F2370+"n/&gt;!&amp;(&lt;"</f>
        <v>#VALUE!</v>
      </c>
      <c r="CZ95" t="e">
        <f>'All regions'!G2370+"n/&gt;!&amp;(="</f>
        <v>#VALUE!</v>
      </c>
      <c r="DA95" t="e">
        <f>'All regions'!H2370+"n/&gt;!&amp;(&gt;"</f>
        <v>#VALUE!</v>
      </c>
      <c r="DB95" t="e">
        <f>'All regions'!I2370+"n/&gt;!&amp;(?"</f>
        <v>#VALUE!</v>
      </c>
      <c r="DC95" t="e">
        <f>'All regions'!J2370+"n/&gt;!&amp;(@"</f>
        <v>#VALUE!</v>
      </c>
      <c r="DD95" t="e">
        <f>'All regions'!A2371+"n/&gt;!&amp;(A"</f>
        <v>#VALUE!</v>
      </c>
      <c r="DE95" t="e">
        <f>'All regions'!B2371+"n/&gt;!&amp;(B"</f>
        <v>#VALUE!</v>
      </c>
      <c r="DF95" t="e">
        <f>'All regions'!C2371+"n/&gt;!&amp;(C"</f>
        <v>#VALUE!</v>
      </c>
      <c r="DG95" t="e">
        <f>'All regions'!D2371+"n/&gt;!&amp;(D"</f>
        <v>#VALUE!</v>
      </c>
      <c r="DH95" t="e">
        <f>'All regions'!E2371+"n/&gt;!&amp;(E"</f>
        <v>#VALUE!</v>
      </c>
      <c r="DI95" t="e">
        <f>'All regions'!F2371+"n/&gt;!&amp;(F"</f>
        <v>#VALUE!</v>
      </c>
      <c r="DJ95" t="e">
        <f>'All regions'!G2371+"n/&gt;!&amp;(G"</f>
        <v>#VALUE!</v>
      </c>
      <c r="DK95" t="e">
        <f>'All regions'!H2371+"n/&gt;!&amp;(H"</f>
        <v>#VALUE!</v>
      </c>
      <c r="DL95" t="e">
        <f>'All regions'!I2371+"n/&gt;!&amp;(I"</f>
        <v>#VALUE!</v>
      </c>
      <c r="DM95" t="e">
        <f>'All regions'!J2371+"n/&gt;!&amp;(J"</f>
        <v>#VALUE!</v>
      </c>
      <c r="DN95" t="e">
        <f>'All regions'!A2372+"n/&gt;!&amp;(K"</f>
        <v>#VALUE!</v>
      </c>
      <c r="DO95" t="e">
        <f>'All regions'!B2372+"n/&gt;!&amp;(L"</f>
        <v>#VALUE!</v>
      </c>
      <c r="DP95" t="e">
        <f>'All regions'!C2372+"n/&gt;!&amp;(M"</f>
        <v>#VALUE!</v>
      </c>
      <c r="DQ95" t="e">
        <f>'All regions'!D2372+"n/&gt;!&amp;(N"</f>
        <v>#VALUE!</v>
      </c>
      <c r="DR95" t="e">
        <f>'All regions'!E2372+"n/&gt;!&amp;(O"</f>
        <v>#VALUE!</v>
      </c>
      <c r="DS95" t="e">
        <f>'All regions'!F2372+"n/&gt;!&amp;(P"</f>
        <v>#VALUE!</v>
      </c>
      <c r="DT95" t="e">
        <f>'All regions'!G2372+"n/&gt;!&amp;(Q"</f>
        <v>#VALUE!</v>
      </c>
      <c r="DU95" t="e">
        <f>'All regions'!H2372+"n/&gt;!&amp;(R"</f>
        <v>#VALUE!</v>
      </c>
      <c r="DV95" t="e">
        <f>'All regions'!I2372+"n/&gt;!&amp;(S"</f>
        <v>#VALUE!</v>
      </c>
      <c r="DW95" t="e">
        <f>'All regions'!J2372+"n/&gt;!&amp;(T"</f>
        <v>#VALUE!</v>
      </c>
      <c r="DX95" t="e">
        <f>'All regions'!A2373+"n/&gt;!&amp;(U"</f>
        <v>#VALUE!</v>
      </c>
      <c r="DY95" t="e">
        <f>'All regions'!B2373+"n/&gt;!&amp;(V"</f>
        <v>#VALUE!</v>
      </c>
      <c r="DZ95" t="e">
        <f>'All regions'!C2373+"n/&gt;!&amp;(W"</f>
        <v>#VALUE!</v>
      </c>
      <c r="EA95" t="e">
        <f>'All regions'!D2373+"n/&gt;!&amp;(X"</f>
        <v>#VALUE!</v>
      </c>
      <c r="EB95" t="e">
        <f>'All regions'!E2373+"n/&gt;!&amp;(Y"</f>
        <v>#VALUE!</v>
      </c>
      <c r="EC95" t="e">
        <f>'All regions'!F2373+"n/&gt;!&amp;(Z"</f>
        <v>#VALUE!</v>
      </c>
      <c r="ED95" t="e">
        <f>'All regions'!G2373+"n/&gt;!&amp;(["</f>
        <v>#VALUE!</v>
      </c>
      <c r="EE95" t="e">
        <f>'All regions'!H2373+"n/&gt;!&amp;(\"</f>
        <v>#VALUE!</v>
      </c>
      <c r="EF95" t="e">
        <f>'All regions'!I2373+"n/&gt;!&amp;(]"</f>
        <v>#VALUE!</v>
      </c>
      <c r="EG95" t="e">
        <f>'All regions'!J2373+"n/&gt;!&amp;(^"</f>
        <v>#VALUE!</v>
      </c>
      <c r="EH95" t="e">
        <f>'All regions'!A2374+"n/&gt;!&amp;(_"</f>
        <v>#VALUE!</v>
      </c>
      <c r="EI95" t="e">
        <f>'All regions'!B2374+"n/&gt;!&amp;(`"</f>
        <v>#VALUE!</v>
      </c>
      <c r="EJ95" t="e">
        <f>'All regions'!C2374+"n/&gt;!&amp;(a"</f>
        <v>#VALUE!</v>
      </c>
      <c r="EK95" t="e">
        <f>'All regions'!D2374+"n/&gt;!&amp;(b"</f>
        <v>#VALUE!</v>
      </c>
      <c r="EL95" t="e">
        <f>'All regions'!E2374+"n/&gt;!&amp;(c"</f>
        <v>#VALUE!</v>
      </c>
      <c r="EM95" t="e">
        <f>'All regions'!F2374+"n/&gt;!&amp;(d"</f>
        <v>#VALUE!</v>
      </c>
      <c r="EN95" t="e">
        <f>'All regions'!G2374+"n/&gt;!&amp;(e"</f>
        <v>#VALUE!</v>
      </c>
      <c r="EO95" t="e">
        <f>'All regions'!H2374+"n/&gt;!&amp;(f"</f>
        <v>#VALUE!</v>
      </c>
      <c r="EP95" t="e">
        <f>'All regions'!I2374+"n/&gt;!&amp;(g"</f>
        <v>#VALUE!</v>
      </c>
      <c r="EQ95" t="e">
        <f>'All regions'!J2374+"n/&gt;!&amp;(h"</f>
        <v>#VALUE!</v>
      </c>
      <c r="ER95" t="e">
        <f>'All regions'!A2375+"n/&gt;!&amp;(i"</f>
        <v>#VALUE!</v>
      </c>
      <c r="ES95" t="e">
        <f>'All regions'!B2375+"n/&gt;!&amp;(j"</f>
        <v>#VALUE!</v>
      </c>
      <c r="ET95" t="e">
        <f>'All regions'!C2375+"n/&gt;!&amp;(k"</f>
        <v>#VALUE!</v>
      </c>
      <c r="EU95" t="e">
        <f>'All regions'!D2375+"n/&gt;!&amp;(l"</f>
        <v>#VALUE!</v>
      </c>
      <c r="EV95" t="e">
        <f>'All regions'!E2375+"n/&gt;!&amp;(m"</f>
        <v>#VALUE!</v>
      </c>
      <c r="EW95" t="e">
        <f>'All regions'!F2375+"n/&gt;!&amp;(n"</f>
        <v>#VALUE!</v>
      </c>
      <c r="EX95" t="e">
        <f>'All regions'!G2375+"n/&gt;!&amp;(o"</f>
        <v>#VALUE!</v>
      </c>
      <c r="EY95" t="e">
        <f>'All regions'!H2375+"n/&gt;!&amp;(p"</f>
        <v>#VALUE!</v>
      </c>
      <c r="EZ95" t="e">
        <f>'All regions'!I2375+"n/&gt;!&amp;(q"</f>
        <v>#VALUE!</v>
      </c>
      <c r="FA95" t="e">
        <f>'All regions'!J2375+"n/&gt;!&amp;(r"</f>
        <v>#VALUE!</v>
      </c>
      <c r="FB95" t="e">
        <f>'All regions'!A2376+"n/&gt;!&amp;(s"</f>
        <v>#VALUE!</v>
      </c>
      <c r="FC95" t="e">
        <f>'All regions'!B2376+"n/&gt;!&amp;(t"</f>
        <v>#VALUE!</v>
      </c>
      <c r="FD95" t="e">
        <f>'All regions'!C2376+"n/&gt;!&amp;(u"</f>
        <v>#VALUE!</v>
      </c>
      <c r="FE95" t="e">
        <f>'All regions'!D2376+"n/&gt;!&amp;(v"</f>
        <v>#VALUE!</v>
      </c>
      <c r="FF95" t="e">
        <f>'All regions'!E2376+"n/&gt;!&amp;(w"</f>
        <v>#VALUE!</v>
      </c>
      <c r="FG95" t="e">
        <f>'All regions'!F2376+"n/&gt;!&amp;(x"</f>
        <v>#VALUE!</v>
      </c>
      <c r="FH95" t="e">
        <f>'All regions'!G2376+"n/&gt;!&amp;(y"</f>
        <v>#VALUE!</v>
      </c>
      <c r="FI95" t="e">
        <f>'All regions'!H2376+"n/&gt;!&amp;(z"</f>
        <v>#VALUE!</v>
      </c>
      <c r="FJ95" t="e">
        <f>'All regions'!I2376+"n/&gt;!&amp;({"</f>
        <v>#VALUE!</v>
      </c>
      <c r="FK95" t="e">
        <f>'All regions'!J2376+"n/&gt;!&amp;(|"</f>
        <v>#VALUE!</v>
      </c>
      <c r="FL95" t="e">
        <f>'All regions'!A2377+"n/&gt;!&amp;(}"</f>
        <v>#VALUE!</v>
      </c>
      <c r="FM95" t="e">
        <f>'All regions'!B2377+"n/&gt;!&amp;(~"</f>
        <v>#VALUE!</v>
      </c>
      <c r="FN95" t="e">
        <f>'All regions'!C2377+"n/&gt;!&amp;)#"</f>
        <v>#VALUE!</v>
      </c>
      <c r="FO95" t="e">
        <f>'All regions'!D2377+"n/&gt;!&amp;)$"</f>
        <v>#VALUE!</v>
      </c>
      <c r="FP95" t="e">
        <f>'All regions'!E2377+"n/&gt;!&amp;)%"</f>
        <v>#VALUE!</v>
      </c>
      <c r="FQ95" t="e">
        <f>'All regions'!F2377+"n/&gt;!&amp;)&amp;"</f>
        <v>#VALUE!</v>
      </c>
      <c r="FR95" t="e">
        <f>'All regions'!G2377+"n/&gt;!&amp;)'"</f>
        <v>#VALUE!</v>
      </c>
      <c r="FS95" t="e">
        <f>'All regions'!H2377+"n/&gt;!&amp;)("</f>
        <v>#VALUE!</v>
      </c>
      <c r="FT95" t="e">
        <f>'All regions'!I2377+"n/&gt;!&amp;))"</f>
        <v>#VALUE!</v>
      </c>
      <c r="FU95" t="e">
        <f>'All regions'!J2377+"n/&gt;!&amp;)."</f>
        <v>#VALUE!</v>
      </c>
      <c r="FV95" t="e">
        <f>'All regions'!A2378+"n/&gt;!&amp;)/"</f>
        <v>#VALUE!</v>
      </c>
      <c r="FW95" t="e">
        <f>'All regions'!B2378+"n/&gt;!&amp;)0"</f>
        <v>#VALUE!</v>
      </c>
      <c r="FX95" t="e">
        <f>'All regions'!C2378+"n/&gt;!&amp;)1"</f>
        <v>#VALUE!</v>
      </c>
      <c r="FY95" t="e">
        <f>'All regions'!D2378+"n/&gt;!&amp;)2"</f>
        <v>#VALUE!</v>
      </c>
      <c r="FZ95" t="e">
        <f>'All regions'!E2378+"n/&gt;!&amp;)3"</f>
        <v>#VALUE!</v>
      </c>
      <c r="GA95" t="e">
        <f>'All regions'!F2378+"n/&gt;!&amp;)4"</f>
        <v>#VALUE!</v>
      </c>
      <c r="GB95" t="e">
        <f>'All regions'!G2378+"n/&gt;!&amp;)5"</f>
        <v>#VALUE!</v>
      </c>
      <c r="GC95" t="e">
        <f>'All regions'!H2378+"n/&gt;!&amp;)6"</f>
        <v>#VALUE!</v>
      </c>
      <c r="GD95" t="e">
        <f>'All regions'!I2378+"n/&gt;!&amp;)7"</f>
        <v>#VALUE!</v>
      </c>
      <c r="GE95" t="e">
        <f>'All regions'!J2378+"n/&gt;!&amp;)8"</f>
        <v>#VALUE!</v>
      </c>
      <c r="GF95" t="e">
        <f>'All regions'!A2379+"n/&gt;!&amp;)9"</f>
        <v>#VALUE!</v>
      </c>
      <c r="GG95" t="e">
        <f>'All regions'!B2379+"n/&gt;!&amp;):"</f>
        <v>#VALUE!</v>
      </c>
      <c r="GH95" t="e">
        <f>'All regions'!C2379+"n/&gt;!&amp;);"</f>
        <v>#VALUE!</v>
      </c>
      <c r="GI95" t="e">
        <f>'All regions'!D2379+"n/&gt;!&amp;)&lt;"</f>
        <v>#VALUE!</v>
      </c>
      <c r="GJ95" t="e">
        <f>'All regions'!E2379+"n/&gt;!&amp;)="</f>
        <v>#VALUE!</v>
      </c>
      <c r="GK95" t="e">
        <f>'All regions'!F2379+"n/&gt;!&amp;)&gt;"</f>
        <v>#VALUE!</v>
      </c>
      <c r="GL95" t="e">
        <f>'All regions'!G2379+"n/&gt;!&amp;)?"</f>
        <v>#VALUE!</v>
      </c>
      <c r="GM95" t="e">
        <f>'All regions'!H2379+"n/&gt;!&amp;)@"</f>
        <v>#VALUE!</v>
      </c>
      <c r="GN95" t="e">
        <f>'All regions'!I2379+"n/&gt;!&amp;)A"</f>
        <v>#VALUE!</v>
      </c>
      <c r="GO95" t="e">
        <f>'All regions'!J2379+"n/&gt;!&amp;)B"</f>
        <v>#VALUE!</v>
      </c>
      <c r="GP95" t="e">
        <f>'All regions'!A2380+"n/&gt;!&amp;)C"</f>
        <v>#VALUE!</v>
      </c>
      <c r="GQ95" t="e">
        <f>'All regions'!B2380+"n/&gt;!&amp;)D"</f>
        <v>#VALUE!</v>
      </c>
      <c r="GR95" t="e">
        <f>'All regions'!C2380+"n/&gt;!&amp;)E"</f>
        <v>#VALUE!</v>
      </c>
      <c r="GS95" t="e">
        <f>'All regions'!D2380+"n/&gt;!&amp;)F"</f>
        <v>#VALUE!</v>
      </c>
      <c r="GT95" t="e">
        <f>'All regions'!E2380+"n/&gt;!&amp;)G"</f>
        <v>#VALUE!</v>
      </c>
      <c r="GU95" t="e">
        <f>'All regions'!F2380+"n/&gt;!&amp;)H"</f>
        <v>#VALUE!</v>
      </c>
      <c r="GV95" t="e">
        <f>'All regions'!G2380+"n/&gt;!&amp;)I"</f>
        <v>#VALUE!</v>
      </c>
      <c r="GW95" t="e">
        <f>'All regions'!H2380+"n/&gt;!&amp;)J"</f>
        <v>#VALUE!</v>
      </c>
      <c r="GX95" t="e">
        <f>'All regions'!I2380+"n/&gt;!&amp;)K"</f>
        <v>#VALUE!</v>
      </c>
      <c r="GY95" t="e">
        <f>'All regions'!J2380+"n/&gt;!&amp;)L"</f>
        <v>#VALUE!</v>
      </c>
      <c r="GZ95" t="e">
        <f>'All regions'!A2381+"n/&gt;!&amp;)M"</f>
        <v>#VALUE!</v>
      </c>
      <c r="HA95" t="e">
        <f>'All regions'!B2381+"n/&gt;!&amp;)N"</f>
        <v>#VALUE!</v>
      </c>
      <c r="HB95" t="e">
        <f>'All regions'!C2381+"n/&gt;!&amp;)O"</f>
        <v>#VALUE!</v>
      </c>
      <c r="HC95" t="e">
        <f>'All regions'!D2381+"n/&gt;!&amp;)P"</f>
        <v>#VALUE!</v>
      </c>
      <c r="HD95" t="e">
        <f>'All regions'!E2381+"n/&gt;!&amp;)Q"</f>
        <v>#VALUE!</v>
      </c>
      <c r="HE95" t="e">
        <f>'All regions'!F2381+"n/&gt;!&amp;)R"</f>
        <v>#VALUE!</v>
      </c>
      <c r="HF95" t="e">
        <f>'All regions'!G2381+"n/&gt;!&amp;)S"</f>
        <v>#VALUE!</v>
      </c>
      <c r="HG95" t="e">
        <f>'All regions'!H2381+"n/&gt;!&amp;)T"</f>
        <v>#VALUE!</v>
      </c>
      <c r="HH95" t="e">
        <f>'All regions'!I2381+"n/&gt;!&amp;)U"</f>
        <v>#VALUE!</v>
      </c>
      <c r="HI95" t="e">
        <f>'All regions'!J2381+"n/&gt;!&amp;)V"</f>
        <v>#VALUE!</v>
      </c>
      <c r="HJ95" t="e">
        <f>'All regions'!A2382+"n/&gt;!&amp;)W"</f>
        <v>#VALUE!</v>
      </c>
      <c r="HK95" t="e">
        <f>'All regions'!B2382+"n/&gt;!&amp;)X"</f>
        <v>#VALUE!</v>
      </c>
      <c r="HL95" t="e">
        <f>'All regions'!C2382+"n/&gt;!&amp;)Y"</f>
        <v>#VALUE!</v>
      </c>
      <c r="HM95" t="e">
        <f>'All regions'!D2382+"n/&gt;!&amp;)Z"</f>
        <v>#VALUE!</v>
      </c>
      <c r="HN95" t="e">
        <f>'All regions'!E2382+"n/&gt;!&amp;)["</f>
        <v>#VALUE!</v>
      </c>
      <c r="HO95" t="e">
        <f>'All regions'!F2382+"n/&gt;!&amp;)\"</f>
        <v>#VALUE!</v>
      </c>
      <c r="HP95" t="e">
        <f>'All regions'!G2382+"n/&gt;!&amp;)]"</f>
        <v>#VALUE!</v>
      </c>
      <c r="HQ95" t="e">
        <f>'All regions'!H2382+"n/&gt;!&amp;)^"</f>
        <v>#VALUE!</v>
      </c>
      <c r="HR95" t="e">
        <f>'All regions'!I2382+"n/&gt;!&amp;)_"</f>
        <v>#VALUE!</v>
      </c>
      <c r="HS95" t="e">
        <f>'All regions'!J2382+"n/&gt;!&amp;)`"</f>
        <v>#VALUE!</v>
      </c>
      <c r="HT95" t="e">
        <f>'All regions'!A2383+"n/&gt;!&amp;)a"</f>
        <v>#VALUE!</v>
      </c>
      <c r="HU95" t="e">
        <f>'All regions'!B2383+"n/&gt;!&amp;)b"</f>
        <v>#VALUE!</v>
      </c>
      <c r="HV95" t="e">
        <f>'All regions'!C2383+"n/&gt;!&amp;)c"</f>
        <v>#VALUE!</v>
      </c>
      <c r="HW95" t="e">
        <f>'All regions'!D2383+"n/&gt;!&amp;)d"</f>
        <v>#VALUE!</v>
      </c>
      <c r="HX95" t="e">
        <f>'All regions'!E2383+"n/&gt;!&amp;)e"</f>
        <v>#VALUE!</v>
      </c>
      <c r="HY95" t="e">
        <f>'All regions'!F2383+"n/&gt;!&amp;)f"</f>
        <v>#VALUE!</v>
      </c>
      <c r="HZ95" t="e">
        <f>'All regions'!G2383+"n/&gt;!&amp;)g"</f>
        <v>#VALUE!</v>
      </c>
      <c r="IA95" t="e">
        <f>'All regions'!H2383+"n/&gt;!&amp;)h"</f>
        <v>#VALUE!</v>
      </c>
      <c r="IB95" t="e">
        <f>'All regions'!I2383+"n/&gt;!&amp;)i"</f>
        <v>#VALUE!</v>
      </c>
      <c r="IC95" t="e">
        <f>'All regions'!J2383+"n/&gt;!&amp;)j"</f>
        <v>#VALUE!</v>
      </c>
      <c r="ID95" t="e">
        <f>'All regions'!A2384+"n/&gt;!&amp;)k"</f>
        <v>#VALUE!</v>
      </c>
      <c r="IE95" t="e">
        <f>'All regions'!B2384+"n/&gt;!&amp;)l"</f>
        <v>#VALUE!</v>
      </c>
      <c r="IF95" t="e">
        <f>'All regions'!C2384+"n/&gt;!&amp;)m"</f>
        <v>#VALUE!</v>
      </c>
      <c r="IG95" t="e">
        <f>'All regions'!D2384+"n/&gt;!&amp;)n"</f>
        <v>#VALUE!</v>
      </c>
      <c r="IH95" t="e">
        <f>'All regions'!E2384+"n/&gt;!&amp;)o"</f>
        <v>#VALUE!</v>
      </c>
      <c r="II95" t="e">
        <f>'All regions'!F2384+"n/&gt;!&amp;)p"</f>
        <v>#VALUE!</v>
      </c>
      <c r="IJ95" t="e">
        <f>'All regions'!G2384+"n/&gt;!&amp;)q"</f>
        <v>#VALUE!</v>
      </c>
      <c r="IK95" t="e">
        <f>'All regions'!H2384+"n/&gt;!&amp;)r"</f>
        <v>#VALUE!</v>
      </c>
      <c r="IL95" t="e">
        <f>'All regions'!I2384+"n/&gt;!&amp;)s"</f>
        <v>#VALUE!</v>
      </c>
      <c r="IM95" t="e">
        <f>'All regions'!J2384+"n/&gt;!&amp;)t"</f>
        <v>#VALUE!</v>
      </c>
      <c r="IN95" t="e">
        <f>'All regions'!A2385+"n/&gt;!&amp;)u"</f>
        <v>#VALUE!</v>
      </c>
      <c r="IO95" t="e">
        <f>'All regions'!B2385+"n/&gt;!&amp;)v"</f>
        <v>#VALUE!</v>
      </c>
      <c r="IP95" t="e">
        <f>'All regions'!C2385+"n/&gt;!&amp;)w"</f>
        <v>#VALUE!</v>
      </c>
      <c r="IQ95" t="e">
        <f>'All regions'!D2385+"n/&gt;!&amp;)x"</f>
        <v>#VALUE!</v>
      </c>
      <c r="IR95" t="e">
        <f>'All regions'!E2385+"n/&gt;!&amp;)y"</f>
        <v>#VALUE!</v>
      </c>
      <c r="IS95" t="e">
        <f>'All regions'!F2385+"n/&gt;!&amp;)z"</f>
        <v>#VALUE!</v>
      </c>
      <c r="IT95" t="e">
        <f>'All regions'!G2385+"n/&gt;!&amp;){"</f>
        <v>#VALUE!</v>
      </c>
      <c r="IU95" t="e">
        <f>'All regions'!H2385+"n/&gt;!&amp;)|"</f>
        <v>#VALUE!</v>
      </c>
      <c r="IV95" t="e">
        <f>'All regions'!I2385+"n/&gt;!&amp;)}"</f>
        <v>#VALUE!</v>
      </c>
    </row>
    <row r="96" spans="6:256" x14ac:dyDescent="0.35">
      <c r="F96" t="e">
        <f>'All regions'!J2385+"n/&gt;!&amp;)~"</f>
        <v>#VALUE!</v>
      </c>
      <c r="G96" t="e">
        <f>'All regions'!A2386+"n/&gt;!&amp;.#"</f>
        <v>#VALUE!</v>
      </c>
      <c r="H96" t="e">
        <f>'All regions'!B2386+"n/&gt;!&amp;.$"</f>
        <v>#VALUE!</v>
      </c>
      <c r="I96" t="e">
        <f>'All regions'!C2386+"n/&gt;!&amp;.%"</f>
        <v>#VALUE!</v>
      </c>
      <c r="J96" t="e">
        <f>'All regions'!D2386+"n/&gt;!&amp;.&amp;"</f>
        <v>#VALUE!</v>
      </c>
      <c r="K96" t="e">
        <f>'All regions'!E2386+"n/&gt;!&amp;.'"</f>
        <v>#VALUE!</v>
      </c>
      <c r="L96" t="e">
        <f>'All regions'!F2386+"n/&gt;!&amp;.("</f>
        <v>#VALUE!</v>
      </c>
      <c r="M96" t="e">
        <f>'All regions'!G2386+"n/&gt;!&amp;.)"</f>
        <v>#VALUE!</v>
      </c>
      <c r="N96" t="e">
        <f>'All regions'!H2386+"n/&gt;!&amp;.."</f>
        <v>#VALUE!</v>
      </c>
      <c r="O96" t="e">
        <f>'All regions'!I2386+"n/&gt;!&amp;./"</f>
        <v>#VALUE!</v>
      </c>
      <c r="P96" t="e">
        <f>'All regions'!J2386+"n/&gt;!&amp;.0"</f>
        <v>#VALUE!</v>
      </c>
      <c r="Q96" t="e">
        <f>'All regions'!A2387+"n/&gt;!&amp;.1"</f>
        <v>#VALUE!</v>
      </c>
      <c r="R96" t="e">
        <f>'All regions'!B2387+"n/&gt;!&amp;.2"</f>
        <v>#VALUE!</v>
      </c>
      <c r="S96" t="e">
        <f>'All regions'!C2387+"n/&gt;!&amp;.3"</f>
        <v>#VALUE!</v>
      </c>
      <c r="T96" t="e">
        <f>'All regions'!D2387+"n/&gt;!&amp;.4"</f>
        <v>#VALUE!</v>
      </c>
      <c r="U96" t="e">
        <f>'All regions'!E2387+"n/&gt;!&amp;.5"</f>
        <v>#VALUE!</v>
      </c>
      <c r="V96" t="e">
        <f>'All regions'!F2387+"n/&gt;!&amp;.6"</f>
        <v>#VALUE!</v>
      </c>
      <c r="W96" t="e">
        <f>'All regions'!G2387+"n/&gt;!&amp;.7"</f>
        <v>#VALUE!</v>
      </c>
      <c r="X96" t="e">
        <f>'All regions'!H2387+"n/&gt;!&amp;.8"</f>
        <v>#VALUE!</v>
      </c>
      <c r="Y96" t="e">
        <f>'All regions'!I2387+"n/&gt;!&amp;.9"</f>
        <v>#VALUE!</v>
      </c>
      <c r="Z96" t="e">
        <f>'All regions'!J2387+"n/&gt;!&amp;.:"</f>
        <v>#VALUE!</v>
      </c>
      <c r="AA96" t="e">
        <f>'All regions'!A2388+"n/&gt;!&amp;.;"</f>
        <v>#VALUE!</v>
      </c>
      <c r="AB96" t="e">
        <f>'All regions'!B2388+"n/&gt;!&amp;.&lt;"</f>
        <v>#VALUE!</v>
      </c>
      <c r="AC96" t="e">
        <f>'All regions'!C2388+"n/&gt;!&amp;.="</f>
        <v>#VALUE!</v>
      </c>
      <c r="AD96" t="e">
        <f>'All regions'!D2388+"n/&gt;!&amp;.&gt;"</f>
        <v>#VALUE!</v>
      </c>
      <c r="AE96" t="e">
        <f>'All regions'!E2388+"n/&gt;!&amp;.?"</f>
        <v>#VALUE!</v>
      </c>
      <c r="AF96" t="e">
        <f>'All regions'!F2388+"n/&gt;!&amp;.@"</f>
        <v>#VALUE!</v>
      </c>
      <c r="AG96" t="e">
        <f>'All regions'!G2388+"n/&gt;!&amp;.A"</f>
        <v>#VALUE!</v>
      </c>
      <c r="AH96" t="e">
        <f>'All regions'!H2388+"n/&gt;!&amp;.B"</f>
        <v>#VALUE!</v>
      </c>
      <c r="AI96" t="e">
        <f>'All regions'!I2388+"n/&gt;!&amp;.C"</f>
        <v>#VALUE!</v>
      </c>
      <c r="AJ96" t="e">
        <f>'All regions'!J2388+"n/&gt;!&amp;.D"</f>
        <v>#VALUE!</v>
      </c>
      <c r="AK96" t="e">
        <f>'All regions'!A2389+"n/&gt;!&amp;.E"</f>
        <v>#VALUE!</v>
      </c>
      <c r="AL96" t="e">
        <f>'All regions'!B2389+"n/&gt;!&amp;.F"</f>
        <v>#VALUE!</v>
      </c>
      <c r="AM96" t="e">
        <f>'All regions'!C2389+"n/&gt;!&amp;.G"</f>
        <v>#VALUE!</v>
      </c>
      <c r="AN96" t="e">
        <f>'All regions'!D2389+"n/&gt;!&amp;.H"</f>
        <v>#VALUE!</v>
      </c>
      <c r="AO96" t="e">
        <f>'All regions'!E2389+"n/&gt;!&amp;.I"</f>
        <v>#VALUE!</v>
      </c>
      <c r="AP96" t="e">
        <f>'All regions'!F2389+"n/&gt;!&amp;.J"</f>
        <v>#VALUE!</v>
      </c>
      <c r="AQ96" t="e">
        <f>'All regions'!G2389+"n/&gt;!&amp;.K"</f>
        <v>#VALUE!</v>
      </c>
      <c r="AR96" t="e">
        <f>'All regions'!H2389+"n/&gt;!&amp;.L"</f>
        <v>#VALUE!</v>
      </c>
      <c r="AS96" t="e">
        <f>'All regions'!I2389+"n/&gt;!&amp;.M"</f>
        <v>#VALUE!</v>
      </c>
      <c r="AT96" t="e">
        <f>'All regions'!J2389+"n/&gt;!&amp;.N"</f>
        <v>#VALUE!</v>
      </c>
      <c r="AU96" t="e">
        <f>'All regions'!A2390+"n/&gt;!&amp;.O"</f>
        <v>#VALUE!</v>
      </c>
      <c r="AV96" t="e">
        <f>'All regions'!B2390+"n/&gt;!&amp;.P"</f>
        <v>#VALUE!</v>
      </c>
      <c r="AW96" t="e">
        <f>'All regions'!C2390+"n/&gt;!&amp;.Q"</f>
        <v>#VALUE!</v>
      </c>
      <c r="AX96" t="e">
        <f>'All regions'!D2390+"n/&gt;!&amp;.R"</f>
        <v>#VALUE!</v>
      </c>
      <c r="AY96" t="e">
        <f>'All regions'!E2390+"n/&gt;!&amp;.S"</f>
        <v>#VALUE!</v>
      </c>
      <c r="AZ96" t="e">
        <f>'All regions'!F2390+"n/&gt;!&amp;.T"</f>
        <v>#VALUE!</v>
      </c>
      <c r="BA96" t="e">
        <f>'All regions'!G2390+"n/&gt;!&amp;.U"</f>
        <v>#VALUE!</v>
      </c>
      <c r="BB96" t="e">
        <f>'All regions'!H2390+"n/&gt;!&amp;.V"</f>
        <v>#VALUE!</v>
      </c>
      <c r="BC96" t="e">
        <f>'All regions'!I2390+"n/&gt;!&amp;.W"</f>
        <v>#VALUE!</v>
      </c>
      <c r="BD96" t="e">
        <f>'All regions'!J2390+"n/&gt;!&amp;.X"</f>
        <v>#VALUE!</v>
      </c>
      <c r="BE96" t="e">
        <f>'All regions'!A2391+"n/&gt;!&amp;.Y"</f>
        <v>#VALUE!</v>
      </c>
      <c r="BF96" t="e">
        <f>'All regions'!B2391+"n/&gt;!&amp;.Z"</f>
        <v>#VALUE!</v>
      </c>
      <c r="BG96" t="e">
        <f>'All regions'!C2391+"n/&gt;!&amp;.["</f>
        <v>#VALUE!</v>
      </c>
      <c r="BH96" t="e">
        <f>'All regions'!D2391+"n/&gt;!&amp;.\"</f>
        <v>#VALUE!</v>
      </c>
      <c r="BI96" t="e">
        <f>'All regions'!E2391+"n/&gt;!&amp;.]"</f>
        <v>#VALUE!</v>
      </c>
      <c r="BJ96" t="e">
        <f>'All regions'!F2391+"n/&gt;!&amp;.^"</f>
        <v>#VALUE!</v>
      </c>
      <c r="BK96" t="e">
        <f>'All regions'!G2391+"n/&gt;!&amp;._"</f>
        <v>#VALUE!</v>
      </c>
      <c r="BL96" t="e">
        <f>'All regions'!H2391+"n/&gt;!&amp;.`"</f>
        <v>#VALUE!</v>
      </c>
      <c r="BM96" t="e">
        <f>'All regions'!I2391+"n/&gt;!&amp;.a"</f>
        <v>#VALUE!</v>
      </c>
      <c r="BN96" t="e">
        <f>'All regions'!J2391+"n/&gt;!&amp;.b"</f>
        <v>#VALUE!</v>
      </c>
      <c r="BO96" t="e">
        <f>'All regions'!A2392+"n/&gt;!&amp;.c"</f>
        <v>#VALUE!</v>
      </c>
      <c r="BP96" t="e">
        <f>'All regions'!B2392+"n/&gt;!&amp;.d"</f>
        <v>#VALUE!</v>
      </c>
      <c r="BQ96" t="e">
        <f>'All regions'!C2392+"n/&gt;!&amp;.e"</f>
        <v>#VALUE!</v>
      </c>
      <c r="BR96" t="e">
        <f>'All regions'!D2392+"n/&gt;!&amp;.f"</f>
        <v>#VALUE!</v>
      </c>
      <c r="BS96" t="e">
        <f>'All regions'!E2392+"n/&gt;!&amp;.g"</f>
        <v>#VALUE!</v>
      </c>
      <c r="BT96" t="e">
        <f>'All regions'!F2392+"n/&gt;!&amp;.h"</f>
        <v>#VALUE!</v>
      </c>
      <c r="BU96" t="e">
        <f>'All regions'!G2392+"n/&gt;!&amp;.i"</f>
        <v>#VALUE!</v>
      </c>
      <c r="BV96" t="e">
        <f>'All regions'!H2392+"n/&gt;!&amp;.j"</f>
        <v>#VALUE!</v>
      </c>
      <c r="BW96" t="e">
        <f>'All regions'!I2392+"n/&gt;!&amp;.k"</f>
        <v>#VALUE!</v>
      </c>
      <c r="BX96" t="e">
        <f>'All regions'!J2392+"n/&gt;!&amp;.l"</f>
        <v>#VALUE!</v>
      </c>
      <c r="BY96" t="e">
        <f>'All regions'!A2393+"n/&gt;!&amp;.m"</f>
        <v>#VALUE!</v>
      </c>
      <c r="BZ96" t="e">
        <f>'All regions'!B2393+"n/&gt;!&amp;.n"</f>
        <v>#VALUE!</v>
      </c>
      <c r="CA96" t="e">
        <f>'All regions'!C2393+"n/&gt;!&amp;.o"</f>
        <v>#VALUE!</v>
      </c>
      <c r="CB96" t="e">
        <f>'All regions'!D2393+"n/&gt;!&amp;.p"</f>
        <v>#VALUE!</v>
      </c>
      <c r="CC96" t="e">
        <f>'All regions'!E2393+"n/&gt;!&amp;.q"</f>
        <v>#VALUE!</v>
      </c>
      <c r="CD96" t="e">
        <f>'All regions'!F2393+"n/&gt;!&amp;.r"</f>
        <v>#VALUE!</v>
      </c>
      <c r="CE96" t="e">
        <f>'All regions'!G2393+"n/&gt;!&amp;.s"</f>
        <v>#VALUE!</v>
      </c>
      <c r="CF96" t="e">
        <f>'All regions'!H2393+"n/&gt;!&amp;.t"</f>
        <v>#VALUE!</v>
      </c>
      <c r="CG96" t="e">
        <f>'All regions'!I2393+"n/&gt;!&amp;.u"</f>
        <v>#VALUE!</v>
      </c>
      <c r="CH96" t="e">
        <f>'All regions'!J2393+"n/&gt;!&amp;.v"</f>
        <v>#VALUE!</v>
      </c>
      <c r="CI96" t="e">
        <f>'All regions'!A2394+"n/&gt;!&amp;.w"</f>
        <v>#VALUE!</v>
      </c>
      <c r="CJ96" t="e">
        <f>'All regions'!B2394+"n/&gt;!&amp;.x"</f>
        <v>#VALUE!</v>
      </c>
      <c r="CK96" t="e">
        <f>'All regions'!C2394+"n/&gt;!&amp;.y"</f>
        <v>#VALUE!</v>
      </c>
      <c r="CL96" t="e">
        <f>'All regions'!D2394+"n/&gt;!&amp;.z"</f>
        <v>#VALUE!</v>
      </c>
      <c r="CM96" t="e">
        <f>'All regions'!E2394+"n/&gt;!&amp;.{"</f>
        <v>#VALUE!</v>
      </c>
      <c r="CN96" t="e">
        <f>'All regions'!F2394+"n/&gt;!&amp;.|"</f>
        <v>#VALUE!</v>
      </c>
      <c r="CO96" t="e">
        <f>'All regions'!G2394+"n/&gt;!&amp;.}"</f>
        <v>#VALUE!</v>
      </c>
      <c r="CP96" t="e">
        <f>'All regions'!H2394+"n/&gt;!&amp;.~"</f>
        <v>#VALUE!</v>
      </c>
      <c r="CQ96" t="e">
        <f>'All regions'!I2394+"n/&gt;!&amp;/#"</f>
        <v>#VALUE!</v>
      </c>
      <c r="CR96" t="e">
        <f>'All regions'!J2394+"n/&gt;!&amp;/$"</f>
        <v>#VALUE!</v>
      </c>
      <c r="CS96" t="e">
        <f>'All regions'!A2395+"n/&gt;!&amp;/%"</f>
        <v>#VALUE!</v>
      </c>
      <c r="CT96" t="e">
        <f>'All regions'!B2395+"n/&gt;!&amp;/&amp;"</f>
        <v>#VALUE!</v>
      </c>
      <c r="CU96" t="e">
        <f>'All regions'!C2395+"n/&gt;!&amp;/'"</f>
        <v>#VALUE!</v>
      </c>
      <c r="CV96" t="e">
        <f>'All regions'!D2395+"n/&gt;!&amp;/("</f>
        <v>#VALUE!</v>
      </c>
      <c r="CW96" t="e">
        <f>'All regions'!E2395+"n/&gt;!&amp;/)"</f>
        <v>#VALUE!</v>
      </c>
      <c r="CX96" t="e">
        <f>'All regions'!F2395+"n/&gt;!&amp;/."</f>
        <v>#VALUE!</v>
      </c>
      <c r="CY96" t="e">
        <f>'All regions'!G2395+"n/&gt;!&amp;//"</f>
        <v>#VALUE!</v>
      </c>
      <c r="CZ96" t="e">
        <f>'All regions'!H2395+"n/&gt;!&amp;/0"</f>
        <v>#VALUE!</v>
      </c>
      <c r="DA96" t="e">
        <f>'All regions'!I2395+"n/&gt;!&amp;/1"</f>
        <v>#VALUE!</v>
      </c>
      <c r="DB96" t="e">
        <f>'All regions'!J2395+"n/&gt;!&amp;/2"</f>
        <v>#VALUE!</v>
      </c>
      <c r="DC96" t="e">
        <f>'All regions'!A2396+"n/&gt;!&amp;/3"</f>
        <v>#VALUE!</v>
      </c>
      <c r="DD96" t="e">
        <f>'All regions'!B2396+"n/&gt;!&amp;/4"</f>
        <v>#VALUE!</v>
      </c>
      <c r="DE96" t="e">
        <f>'All regions'!C2396+"n/&gt;!&amp;/5"</f>
        <v>#VALUE!</v>
      </c>
      <c r="DF96" t="e">
        <f>'All regions'!D2396+"n/&gt;!&amp;/6"</f>
        <v>#VALUE!</v>
      </c>
      <c r="DG96" t="e">
        <f>'All regions'!E2396+"n/&gt;!&amp;/7"</f>
        <v>#VALUE!</v>
      </c>
      <c r="DH96" t="e">
        <f>'All regions'!F2396+"n/&gt;!&amp;/8"</f>
        <v>#VALUE!</v>
      </c>
      <c r="DI96" t="e">
        <f>'All regions'!G2396+"n/&gt;!&amp;/9"</f>
        <v>#VALUE!</v>
      </c>
      <c r="DJ96" t="e">
        <f>'All regions'!H2396+"n/&gt;!&amp;/:"</f>
        <v>#VALUE!</v>
      </c>
      <c r="DK96" t="e">
        <f>'All regions'!I2396+"n/&gt;!&amp;/;"</f>
        <v>#VALUE!</v>
      </c>
      <c r="DL96" t="e">
        <f>'All regions'!J2396+"n/&gt;!&amp;/&lt;"</f>
        <v>#VALUE!</v>
      </c>
      <c r="DM96" t="e">
        <f>'All regions'!A2397+"n/&gt;!&amp;/="</f>
        <v>#VALUE!</v>
      </c>
      <c r="DN96" t="e">
        <f>'All regions'!B2397+"n/&gt;!&amp;/&gt;"</f>
        <v>#VALUE!</v>
      </c>
      <c r="DO96" t="e">
        <f>'All regions'!C2397+"n/&gt;!&amp;/?"</f>
        <v>#VALUE!</v>
      </c>
      <c r="DP96" t="e">
        <f>'All regions'!D2397+"n/&gt;!&amp;/@"</f>
        <v>#VALUE!</v>
      </c>
      <c r="DQ96" t="e">
        <f>'All regions'!E2397+"n/&gt;!&amp;/A"</f>
        <v>#VALUE!</v>
      </c>
      <c r="DR96" t="e">
        <f>'All regions'!F2397+"n/&gt;!&amp;/B"</f>
        <v>#VALUE!</v>
      </c>
      <c r="DS96" t="e">
        <f>'All regions'!G2397+"n/&gt;!&amp;/C"</f>
        <v>#VALUE!</v>
      </c>
      <c r="DT96" t="e">
        <f>'All regions'!H2397+"n/&gt;!&amp;/D"</f>
        <v>#VALUE!</v>
      </c>
      <c r="DU96" t="e">
        <f>'All regions'!I2397+"n/&gt;!&amp;/E"</f>
        <v>#VALUE!</v>
      </c>
      <c r="DV96" t="e">
        <f>'All regions'!J2397+"n/&gt;!&amp;/F"</f>
        <v>#VALUE!</v>
      </c>
      <c r="DW96" t="e">
        <f>'All regions'!A2398+"n/&gt;!&amp;/G"</f>
        <v>#VALUE!</v>
      </c>
      <c r="DX96" t="e">
        <f>'All regions'!B2398+"n/&gt;!&amp;/H"</f>
        <v>#VALUE!</v>
      </c>
      <c r="DY96" t="e">
        <f>'All regions'!C2398+"n/&gt;!&amp;/I"</f>
        <v>#VALUE!</v>
      </c>
      <c r="DZ96" t="e">
        <f>'All regions'!D2398+"n/&gt;!&amp;/J"</f>
        <v>#VALUE!</v>
      </c>
      <c r="EA96" t="e">
        <f>'All regions'!E2398+"n/&gt;!&amp;/K"</f>
        <v>#VALUE!</v>
      </c>
      <c r="EB96" t="e">
        <f>'All regions'!F2398+"n/&gt;!&amp;/L"</f>
        <v>#VALUE!</v>
      </c>
      <c r="EC96" t="e">
        <f>'All regions'!G2398+"n/&gt;!&amp;/M"</f>
        <v>#VALUE!</v>
      </c>
      <c r="ED96" t="e">
        <f>'All regions'!H2398+"n/&gt;!&amp;/N"</f>
        <v>#VALUE!</v>
      </c>
      <c r="EE96" t="e">
        <f>'All regions'!I2398+"n/&gt;!&amp;/O"</f>
        <v>#VALUE!</v>
      </c>
      <c r="EF96" t="e">
        <f>'All regions'!J2398+"n/&gt;!&amp;/P"</f>
        <v>#VALUE!</v>
      </c>
      <c r="EG96" t="e">
        <f>'All regions'!A2399+"n/&gt;!&amp;/Q"</f>
        <v>#VALUE!</v>
      </c>
      <c r="EH96" t="e">
        <f>'All regions'!B2399+"n/&gt;!&amp;/R"</f>
        <v>#VALUE!</v>
      </c>
      <c r="EI96" t="e">
        <f>'All regions'!C2399+"n/&gt;!&amp;/S"</f>
        <v>#VALUE!</v>
      </c>
      <c r="EJ96" t="e">
        <f>'All regions'!D2399+"n/&gt;!&amp;/T"</f>
        <v>#VALUE!</v>
      </c>
      <c r="EK96" t="e">
        <f>'All regions'!E2399+"n/&gt;!&amp;/U"</f>
        <v>#VALUE!</v>
      </c>
      <c r="EL96" t="e">
        <f>'All regions'!F2399+"n/&gt;!&amp;/V"</f>
        <v>#VALUE!</v>
      </c>
      <c r="EM96" t="e">
        <f>'All regions'!G2399+"n/&gt;!&amp;/W"</f>
        <v>#VALUE!</v>
      </c>
      <c r="EN96" t="e">
        <f>'All regions'!H2399+"n/&gt;!&amp;/X"</f>
        <v>#VALUE!</v>
      </c>
      <c r="EO96" t="e">
        <f>'All regions'!I2399+"n/&gt;!&amp;/Y"</f>
        <v>#VALUE!</v>
      </c>
      <c r="EP96" t="e">
        <f>'All regions'!J2399+"n/&gt;!&amp;/Z"</f>
        <v>#VALUE!</v>
      </c>
      <c r="EQ96" t="e">
        <f>'All regions'!A2400+"n/&gt;!&amp;/["</f>
        <v>#VALUE!</v>
      </c>
      <c r="ER96" t="e">
        <f>'All regions'!B2400+"n/&gt;!&amp;/\"</f>
        <v>#VALUE!</v>
      </c>
      <c r="ES96" t="e">
        <f>'All regions'!C2400+"n/&gt;!&amp;/]"</f>
        <v>#VALUE!</v>
      </c>
      <c r="ET96" t="e">
        <f>'All regions'!D2400+"n/&gt;!&amp;/^"</f>
        <v>#VALUE!</v>
      </c>
      <c r="EU96" t="e">
        <f>'All regions'!E2400+"n/&gt;!&amp;/_"</f>
        <v>#VALUE!</v>
      </c>
      <c r="EV96" t="e">
        <f>'All regions'!F2400+"n/&gt;!&amp;/`"</f>
        <v>#VALUE!</v>
      </c>
      <c r="EW96" t="e">
        <f>'All regions'!G2400+"n/&gt;!&amp;/a"</f>
        <v>#VALUE!</v>
      </c>
      <c r="EX96" t="e">
        <f>'All regions'!H2400+"n/&gt;!&amp;/b"</f>
        <v>#VALUE!</v>
      </c>
      <c r="EY96" t="e">
        <f>'All regions'!I2400+"n/&gt;!&amp;/c"</f>
        <v>#VALUE!</v>
      </c>
      <c r="EZ96" t="e">
        <f>'All regions'!J2400+"n/&gt;!&amp;/d"</f>
        <v>#VALUE!</v>
      </c>
      <c r="FA96" t="e">
        <f>'All regions'!A2401+"n/&gt;!&amp;/e"</f>
        <v>#VALUE!</v>
      </c>
      <c r="FB96" t="e">
        <f>'All regions'!B2401+"n/&gt;!&amp;/f"</f>
        <v>#VALUE!</v>
      </c>
      <c r="FC96" t="e">
        <f>'All regions'!C2401+"n/&gt;!&amp;/g"</f>
        <v>#VALUE!</v>
      </c>
      <c r="FD96" t="e">
        <f>'All regions'!D2401+"n/&gt;!&amp;/h"</f>
        <v>#VALUE!</v>
      </c>
      <c r="FE96" t="e">
        <f>'All regions'!E2401+"n/&gt;!&amp;/i"</f>
        <v>#VALUE!</v>
      </c>
      <c r="FF96" t="e">
        <f>'All regions'!F2401+"n/&gt;!&amp;/j"</f>
        <v>#VALUE!</v>
      </c>
      <c r="FG96" t="e">
        <f>'All regions'!G2401+"n/&gt;!&amp;/k"</f>
        <v>#VALUE!</v>
      </c>
      <c r="FH96" t="e">
        <f>'All regions'!H2401+"n/&gt;!&amp;/l"</f>
        <v>#VALUE!</v>
      </c>
      <c r="FI96" t="e">
        <f>'All regions'!I2401+"n/&gt;!&amp;/m"</f>
        <v>#VALUE!</v>
      </c>
      <c r="FJ96" t="e">
        <f>'All regions'!J2401+"n/&gt;!&amp;/n"</f>
        <v>#VALUE!</v>
      </c>
      <c r="FK96" t="e">
        <f>'All regions'!A2402+"n/&gt;!&amp;/o"</f>
        <v>#VALUE!</v>
      </c>
      <c r="FL96" t="e">
        <f>'All regions'!B2402+"n/&gt;!&amp;/p"</f>
        <v>#VALUE!</v>
      </c>
      <c r="FM96" t="e">
        <f>'All regions'!C2402+"n/&gt;!&amp;/q"</f>
        <v>#VALUE!</v>
      </c>
      <c r="FN96" t="e">
        <f>'All regions'!D2402+"n/&gt;!&amp;/r"</f>
        <v>#VALUE!</v>
      </c>
      <c r="FO96" t="e">
        <f>'All regions'!E2402+"n/&gt;!&amp;/s"</f>
        <v>#VALUE!</v>
      </c>
      <c r="FP96" t="e">
        <f>'All regions'!F2402+"n/&gt;!&amp;/t"</f>
        <v>#VALUE!</v>
      </c>
      <c r="FQ96" t="e">
        <f>'All regions'!G2402+"n/&gt;!&amp;/u"</f>
        <v>#VALUE!</v>
      </c>
      <c r="FR96" t="e">
        <f>'All regions'!H2402+"n/&gt;!&amp;/v"</f>
        <v>#VALUE!</v>
      </c>
      <c r="FS96" t="e">
        <f>'All regions'!I2402+"n/&gt;!&amp;/w"</f>
        <v>#VALUE!</v>
      </c>
      <c r="FT96" t="e">
        <f>'All regions'!J2402+"n/&gt;!&amp;/x"</f>
        <v>#VALUE!</v>
      </c>
      <c r="FU96" t="e">
        <f>'All regions'!A2403+"n/&gt;!&amp;/y"</f>
        <v>#VALUE!</v>
      </c>
      <c r="FV96" t="e">
        <f>'All regions'!B2403+"n/&gt;!&amp;/z"</f>
        <v>#VALUE!</v>
      </c>
      <c r="FW96" t="e">
        <f>'All regions'!C2403+"n/&gt;!&amp;/{"</f>
        <v>#VALUE!</v>
      </c>
      <c r="FX96" t="e">
        <f>'All regions'!D2403+"n/&gt;!&amp;/|"</f>
        <v>#VALUE!</v>
      </c>
      <c r="FY96" t="e">
        <f>'All regions'!E2403+"n/&gt;!&amp;/}"</f>
        <v>#VALUE!</v>
      </c>
      <c r="FZ96" t="e">
        <f>'All regions'!F2403+"n/&gt;!&amp;/~"</f>
        <v>#VALUE!</v>
      </c>
      <c r="GA96" t="e">
        <f>'All regions'!G2403+"n/&gt;!&amp;0#"</f>
        <v>#VALUE!</v>
      </c>
      <c r="GB96" t="e">
        <f>'All regions'!H2403+"n/&gt;!&amp;0$"</f>
        <v>#VALUE!</v>
      </c>
      <c r="GC96" t="e">
        <f>'All regions'!I2403+"n/&gt;!&amp;0%"</f>
        <v>#VALUE!</v>
      </c>
      <c r="GD96" t="e">
        <f>'All regions'!J2403+"n/&gt;!&amp;0&amp;"</f>
        <v>#VALUE!</v>
      </c>
      <c r="GE96" t="e">
        <f>'All regions'!A2404+"n/&gt;!&amp;0'"</f>
        <v>#VALUE!</v>
      </c>
      <c r="GF96" t="e">
        <f>'All regions'!B2404+"n/&gt;!&amp;0("</f>
        <v>#VALUE!</v>
      </c>
      <c r="GG96" t="e">
        <f>'All regions'!C2404+"n/&gt;!&amp;0)"</f>
        <v>#VALUE!</v>
      </c>
      <c r="GH96" t="e">
        <f>'All regions'!D2404+"n/&gt;!&amp;0."</f>
        <v>#VALUE!</v>
      </c>
      <c r="GI96" t="e">
        <f>'All regions'!E2404+"n/&gt;!&amp;0/"</f>
        <v>#VALUE!</v>
      </c>
      <c r="GJ96" t="e">
        <f>'All regions'!F2404+"n/&gt;!&amp;00"</f>
        <v>#VALUE!</v>
      </c>
      <c r="GK96" t="e">
        <f>'All regions'!G2404+"n/&gt;!&amp;01"</f>
        <v>#VALUE!</v>
      </c>
      <c r="GL96" t="e">
        <f>'All regions'!H2404+"n/&gt;!&amp;02"</f>
        <v>#VALUE!</v>
      </c>
      <c r="GM96" t="e">
        <f>'All regions'!I2404+"n/&gt;!&amp;03"</f>
        <v>#VALUE!</v>
      </c>
      <c r="GN96" t="e">
        <f>'All regions'!J2404+"n/&gt;!&amp;04"</f>
        <v>#VALUE!</v>
      </c>
      <c r="GO96" t="e">
        <f>'All regions'!A2405+"n/&gt;!&amp;05"</f>
        <v>#VALUE!</v>
      </c>
      <c r="GP96" t="e">
        <f>'All regions'!B2405+"n/&gt;!&amp;06"</f>
        <v>#VALUE!</v>
      </c>
      <c r="GQ96" t="e">
        <f>'All regions'!C2405+"n/&gt;!&amp;07"</f>
        <v>#VALUE!</v>
      </c>
      <c r="GR96" t="e">
        <f>'All regions'!D2405+"n/&gt;!&amp;08"</f>
        <v>#VALUE!</v>
      </c>
      <c r="GS96" t="e">
        <f>'All regions'!E2405+"n/&gt;!&amp;09"</f>
        <v>#VALUE!</v>
      </c>
      <c r="GT96" t="e">
        <f>'All regions'!F2405+"n/&gt;!&amp;0:"</f>
        <v>#VALUE!</v>
      </c>
      <c r="GU96" t="e">
        <f>'All regions'!G2405+"n/&gt;!&amp;0;"</f>
        <v>#VALUE!</v>
      </c>
      <c r="GV96" t="e">
        <f>'All regions'!H2405+"n/&gt;!&amp;0&lt;"</f>
        <v>#VALUE!</v>
      </c>
      <c r="GW96" t="e">
        <f>'All regions'!I2405+"n/&gt;!&amp;0="</f>
        <v>#VALUE!</v>
      </c>
      <c r="GX96" t="e">
        <f>'All regions'!J2405+"n/&gt;!&amp;0&gt;"</f>
        <v>#VALUE!</v>
      </c>
      <c r="GY96" t="e">
        <f>'All regions'!A2406+"n/&gt;!&amp;0?"</f>
        <v>#VALUE!</v>
      </c>
      <c r="GZ96" t="e">
        <f>'All regions'!B2406+"n/&gt;!&amp;0@"</f>
        <v>#VALUE!</v>
      </c>
      <c r="HA96" t="e">
        <f>'All regions'!C2406+"n/&gt;!&amp;0A"</f>
        <v>#VALUE!</v>
      </c>
      <c r="HB96" t="e">
        <f>'All regions'!D2406+"n/&gt;!&amp;0B"</f>
        <v>#VALUE!</v>
      </c>
      <c r="HC96" t="e">
        <f>'All regions'!E2406+"n/&gt;!&amp;0C"</f>
        <v>#VALUE!</v>
      </c>
      <c r="HD96" t="e">
        <f>'All regions'!F2406+"n/&gt;!&amp;0D"</f>
        <v>#VALUE!</v>
      </c>
      <c r="HE96" t="e">
        <f>'All regions'!G2406+"n/&gt;!&amp;0E"</f>
        <v>#VALUE!</v>
      </c>
      <c r="HF96" t="e">
        <f>'All regions'!H2406+"n/&gt;!&amp;0F"</f>
        <v>#VALUE!</v>
      </c>
      <c r="HG96" t="e">
        <f>'All regions'!I2406+"n/&gt;!&amp;0G"</f>
        <v>#VALUE!</v>
      </c>
      <c r="HH96" t="e">
        <f>'All regions'!J2406+"n/&gt;!&amp;0H"</f>
        <v>#VALUE!</v>
      </c>
      <c r="HI96" t="e">
        <f>'All regions'!A2407+"n/&gt;!&amp;0I"</f>
        <v>#VALUE!</v>
      </c>
      <c r="HJ96" t="e">
        <f>'All regions'!B2407+"n/&gt;!&amp;0J"</f>
        <v>#VALUE!</v>
      </c>
      <c r="HK96" t="e">
        <f>'All regions'!C2407+"n/&gt;!&amp;0K"</f>
        <v>#VALUE!</v>
      </c>
      <c r="HL96" t="e">
        <f>'All regions'!D2407+"n/&gt;!&amp;0L"</f>
        <v>#VALUE!</v>
      </c>
      <c r="HM96" t="e">
        <f>'All regions'!E2407+"n/&gt;!&amp;0M"</f>
        <v>#VALUE!</v>
      </c>
      <c r="HN96" t="e">
        <f>'All regions'!F2407+"n/&gt;!&amp;0N"</f>
        <v>#VALUE!</v>
      </c>
      <c r="HO96" t="e">
        <f>'All regions'!G2407+"n/&gt;!&amp;0O"</f>
        <v>#VALUE!</v>
      </c>
      <c r="HP96" t="e">
        <f>'All regions'!H2407+"n/&gt;!&amp;0P"</f>
        <v>#VALUE!</v>
      </c>
      <c r="HQ96" t="e">
        <f>'All regions'!I2407+"n/&gt;!&amp;0Q"</f>
        <v>#VALUE!</v>
      </c>
      <c r="HR96" t="e">
        <f>'All regions'!J2407+"n/&gt;!&amp;0R"</f>
        <v>#VALUE!</v>
      </c>
      <c r="HS96" t="e">
        <f>'All regions'!A2408+"n/&gt;!&amp;0S"</f>
        <v>#VALUE!</v>
      </c>
      <c r="HT96" t="e">
        <f>'All regions'!B2408+"n/&gt;!&amp;0T"</f>
        <v>#VALUE!</v>
      </c>
      <c r="HU96" t="e">
        <f>'All regions'!C2408+"n/&gt;!&amp;0U"</f>
        <v>#VALUE!</v>
      </c>
      <c r="HV96" t="e">
        <f>'All regions'!D2408+"n/&gt;!&amp;0V"</f>
        <v>#VALUE!</v>
      </c>
      <c r="HW96" t="e">
        <f>'All regions'!E2408+"n/&gt;!&amp;0W"</f>
        <v>#VALUE!</v>
      </c>
      <c r="HX96" t="e">
        <f>'All regions'!F2408+"n/&gt;!&amp;0X"</f>
        <v>#VALUE!</v>
      </c>
      <c r="HY96" t="e">
        <f>'All regions'!G2408+"n/&gt;!&amp;0Y"</f>
        <v>#VALUE!</v>
      </c>
      <c r="HZ96" t="e">
        <f>'All regions'!H2408+"n/&gt;!&amp;0Z"</f>
        <v>#VALUE!</v>
      </c>
      <c r="IA96" t="e">
        <f>'All regions'!I2408+"n/&gt;!&amp;0["</f>
        <v>#VALUE!</v>
      </c>
      <c r="IB96" t="e">
        <f>'All regions'!J2408+"n/&gt;!&amp;0\"</f>
        <v>#VALUE!</v>
      </c>
      <c r="IC96" t="e">
        <f>'All regions'!A2409+"n/&gt;!&amp;0]"</f>
        <v>#VALUE!</v>
      </c>
      <c r="ID96" t="e">
        <f>'All regions'!B2409+"n/&gt;!&amp;0^"</f>
        <v>#VALUE!</v>
      </c>
      <c r="IE96" t="e">
        <f>'All regions'!C2409+"n/&gt;!&amp;0_"</f>
        <v>#VALUE!</v>
      </c>
      <c r="IF96" t="e">
        <f>'All regions'!D2409+"n/&gt;!&amp;0`"</f>
        <v>#VALUE!</v>
      </c>
      <c r="IG96" t="e">
        <f>'All regions'!E2409+"n/&gt;!&amp;0a"</f>
        <v>#VALUE!</v>
      </c>
      <c r="IH96" t="e">
        <f>'All regions'!F2409+"n/&gt;!&amp;0b"</f>
        <v>#VALUE!</v>
      </c>
      <c r="II96" t="e">
        <f>'All regions'!G2409+"n/&gt;!&amp;0c"</f>
        <v>#VALUE!</v>
      </c>
      <c r="IJ96" t="e">
        <f>'All regions'!H2409+"n/&gt;!&amp;0d"</f>
        <v>#VALUE!</v>
      </c>
      <c r="IK96" t="e">
        <f>'All regions'!I2409+"n/&gt;!&amp;0e"</f>
        <v>#VALUE!</v>
      </c>
      <c r="IL96" t="e">
        <f>'All regions'!J2409+"n/&gt;!&amp;0f"</f>
        <v>#VALUE!</v>
      </c>
      <c r="IM96" t="e">
        <f>'All regions'!A2410+"n/&gt;!&amp;0g"</f>
        <v>#VALUE!</v>
      </c>
      <c r="IN96" t="e">
        <f>'All regions'!B2410+"n/&gt;!&amp;0h"</f>
        <v>#VALUE!</v>
      </c>
      <c r="IO96" t="e">
        <f>'All regions'!C2410+"n/&gt;!&amp;0i"</f>
        <v>#VALUE!</v>
      </c>
      <c r="IP96" t="e">
        <f>'All regions'!D2410+"n/&gt;!&amp;0j"</f>
        <v>#VALUE!</v>
      </c>
      <c r="IQ96" t="e">
        <f>'All regions'!E2410+"n/&gt;!&amp;0k"</f>
        <v>#VALUE!</v>
      </c>
      <c r="IR96" t="e">
        <f>'All regions'!F2410+"n/&gt;!&amp;0l"</f>
        <v>#VALUE!</v>
      </c>
      <c r="IS96" t="e">
        <f>'All regions'!G2410+"n/&gt;!&amp;0m"</f>
        <v>#VALUE!</v>
      </c>
      <c r="IT96" t="e">
        <f>'All regions'!H2410+"n/&gt;!&amp;0n"</f>
        <v>#VALUE!</v>
      </c>
      <c r="IU96" t="e">
        <f>'All regions'!I2410+"n/&gt;!&amp;0o"</f>
        <v>#VALUE!</v>
      </c>
      <c r="IV96" t="e">
        <f>'All regions'!J2410+"n/&gt;!&amp;0p"</f>
        <v>#VALUE!</v>
      </c>
    </row>
    <row r="97" spans="6:256" x14ac:dyDescent="0.35">
      <c r="F97" t="e">
        <f>'All regions'!A2411+"n/&gt;!&amp;0q"</f>
        <v>#VALUE!</v>
      </c>
      <c r="G97" t="e">
        <f>'All regions'!B2411+"n/&gt;!&amp;0r"</f>
        <v>#VALUE!</v>
      </c>
      <c r="H97" t="e">
        <f>'All regions'!C2411+"n/&gt;!&amp;0s"</f>
        <v>#VALUE!</v>
      </c>
      <c r="I97" t="e">
        <f>'All regions'!D2411+"n/&gt;!&amp;0t"</f>
        <v>#VALUE!</v>
      </c>
      <c r="J97" t="e">
        <f>'All regions'!E2411+"n/&gt;!&amp;0u"</f>
        <v>#VALUE!</v>
      </c>
      <c r="K97" t="e">
        <f>'All regions'!F2411+"n/&gt;!&amp;0v"</f>
        <v>#VALUE!</v>
      </c>
      <c r="L97" t="e">
        <f>'All regions'!G2411+"n/&gt;!&amp;0w"</f>
        <v>#VALUE!</v>
      </c>
      <c r="M97" t="e">
        <f>'All regions'!H2411+"n/&gt;!&amp;0x"</f>
        <v>#VALUE!</v>
      </c>
      <c r="N97" t="e">
        <f>'All regions'!I2411+"n/&gt;!&amp;0y"</f>
        <v>#VALUE!</v>
      </c>
      <c r="O97" t="e">
        <f>'All regions'!J2411+"n/&gt;!&amp;0z"</f>
        <v>#VALUE!</v>
      </c>
      <c r="P97" t="e">
        <f>'All regions'!A2412+"n/&gt;!&amp;0{"</f>
        <v>#VALUE!</v>
      </c>
      <c r="Q97" t="e">
        <f>'All regions'!B2412+"n/&gt;!&amp;0|"</f>
        <v>#VALUE!</v>
      </c>
      <c r="R97" t="e">
        <f>'All regions'!C2412+"n/&gt;!&amp;0}"</f>
        <v>#VALUE!</v>
      </c>
      <c r="S97" t="e">
        <f>'All regions'!D2412+"n/&gt;!&amp;0~"</f>
        <v>#VALUE!</v>
      </c>
      <c r="T97" t="e">
        <f>'All regions'!E2412+"n/&gt;!&amp;1#"</f>
        <v>#VALUE!</v>
      </c>
      <c r="U97" t="e">
        <f>'All regions'!F2412+"n/&gt;!&amp;1$"</f>
        <v>#VALUE!</v>
      </c>
      <c r="V97" t="e">
        <f>'All regions'!G2412+"n/&gt;!&amp;1%"</f>
        <v>#VALUE!</v>
      </c>
      <c r="W97" t="e">
        <f>'All regions'!H2412+"n/&gt;!&amp;1&amp;"</f>
        <v>#VALUE!</v>
      </c>
      <c r="X97" t="e">
        <f>'All regions'!I2412+"n/&gt;!&amp;1'"</f>
        <v>#VALUE!</v>
      </c>
      <c r="Y97" t="e">
        <f>'All regions'!J2412+"n/&gt;!&amp;1("</f>
        <v>#VALUE!</v>
      </c>
      <c r="Z97" t="e">
        <f>'All regions'!A2413+"n/&gt;!&amp;1)"</f>
        <v>#VALUE!</v>
      </c>
      <c r="AA97" t="e">
        <f>'All regions'!B2413+"n/&gt;!&amp;1."</f>
        <v>#VALUE!</v>
      </c>
      <c r="AB97" t="e">
        <f>'All regions'!C2413+"n/&gt;!&amp;1/"</f>
        <v>#VALUE!</v>
      </c>
      <c r="AC97" t="e">
        <f>'All regions'!D2413+"n/&gt;!&amp;10"</f>
        <v>#VALUE!</v>
      </c>
      <c r="AD97" t="e">
        <f>'All regions'!E2413+"n/&gt;!&amp;11"</f>
        <v>#VALUE!</v>
      </c>
      <c r="AE97" t="e">
        <f>'All regions'!F2413+"n/&gt;!&amp;12"</f>
        <v>#VALUE!</v>
      </c>
      <c r="AF97" t="e">
        <f>'All regions'!G2413+"n/&gt;!&amp;13"</f>
        <v>#VALUE!</v>
      </c>
      <c r="AG97" t="e">
        <f>'All regions'!H2413+"n/&gt;!&amp;14"</f>
        <v>#VALUE!</v>
      </c>
      <c r="AH97" t="e">
        <f>'All regions'!I2413+"n/&gt;!&amp;15"</f>
        <v>#VALUE!</v>
      </c>
      <c r="AI97" t="e">
        <f>'All regions'!J2413+"n/&gt;!&amp;16"</f>
        <v>#VALUE!</v>
      </c>
      <c r="AJ97" t="e">
        <f>'All regions'!A2414+"n/&gt;!&amp;17"</f>
        <v>#VALUE!</v>
      </c>
      <c r="AK97" t="e">
        <f>'All regions'!B2414+"n/&gt;!&amp;18"</f>
        <v>#VALUE!</v>
      </c>
      <c r="AL97" t="e">
        <f>'All regions'!C2414+"n/&gt;!&amp;19"</f>
        <v>#VALUE!</v>
      </c>
      <c r="AM97" t="e">
        <f>'All regions'!D2414+"n/&gt;!&amp;1:"</f>
        <v>#VALUE!</v>
      </c>
      <c r="AN97" t="e">
        <f>'All regions'!E2414+"n/&gt;!&amp;1;"</f>
        <v>#VALUE!</v>
      </c>
      <c r="AO97" t="e">
        <f>'All regions'!F2414+"n/&gt;!&amp;1&lt;"</f>
        <v>#VALUE!</v>
      </c>
      <c r="AP97" t="e">
        <f>'All regions'!G2414+"n/&gt;!&amp;1="</f>
        <v>#VALUE!</v>
      </c>
      <c r="AQ97" t="e">
        <f>'All regions'!H2414+"n/&gt;!&amp;1&gt;"</f>
        <v>#VALUE!</v>
      </c>
      <c r="AR97" t="e">
        <f>'All regions'!I2414+"n/&gt;!&amp;1?"</f>
        <v>#VALUE!</v>
      </c>
      <c r="AS97" t="e">
        <f>'All regions'!J2414+"n/&gt;!&amp;1@"</f>
        <v>#VALUE!</v>
      </c>
      <c r="AT97" t="e">
        <f>'All regions'!A2415+"n/&gt;!&amp;1A"</f>
        <v>#VALUE!</v>
      </c>
      <c r="AU97" t="e">
        <f>'All regions'!B2415+"n/&gt;!&amp;1B"</f>
        <v>#VALUE!</v>
      </c>
      <c r="AV97" t="e">
        <f>'All regions'!C2415+"n/&gt;!&amp;1C"</f>
        <v>#VALUE!</v>
      </c>
      <c r="AW97" t="e">
        <f>'All regions'!D2415+"n/&gt;!&amp;1D"</f>
        <v>#VALUE!</v>
      </c>
      <c r="AX97" t="e">
        <f>'All regions'!E2415+"n/&gt;!&amp;1E"</f>
        <v>#VALUE!</v>
      </c>
      <c r="AY97" t="e">
        <f>'All regions'!F2415+"n/&gt;!&amp;1F"</f>
        <v>#VALUE!</v>
      </c>
      <c r="AZ97" t="e">
        <f>'All regions'!G2415+"n/&gt;!&amp;1G"</f>
        <v>#VALUE!</v>
      </c>
      <c r="BA97" t="e">
        <f>'All regions'!H2415+"n/&gt;!&amp;1H"</f>
        <v>#VALUE!</v>
      </c>
      <c r="BB97" t="e">
        <f>'All regions'!I2415+"n/&gt;!&amp;1I"</f>
        <v>#VALUE!</v>
      </c>
      <c r="BC97" t="e">
        <f>'All regions'!J2415+"n/&gt;!&amp;1J"</f>
        <v>#VALUE!</v>
      </c>
      <c r="BD97" t="e">
        <f>'All regions'!A2416+"n/&gt;!&amp;1K"</f>
        <v>#VALUE!</v>
      </c>
      <c r="BE97" t="e">
        <f>'All regions'!B2416+"n/&gt;!&amp;1L"</f>
        <v>#VALUE!</v>
      </c>
      <c r="BF97" t="e">
        <f>'All regions'!C2416+"n/&gt;!&amp;1M"</f>
        <v>#VALUE!</v>
      </c>
      <c r="BG97" t="e">
        <f>'All regions'!D2416+"n/&gt;!&amp;1N"</f>
        <v>#VALUE!</v>
      </c>
      <c r="BH97" t="e">
        <f>'All regions'!E2416+"n/&gt;!&amp;1O"</f>
        <v>#VALUE!</v>
      </c>
      <c r="BI97" t="e">
        <f>'All regions'!F2416+"n/&gt;!&amp;1P"</f>
        <v>#VALUE!</v>
      </c>
      <c r="BJ97" t="e">
        <f>'All regions'!G2416+"n/&gt;!&amp;1Q"</f>
        <v>#VALUE!</v>
      </c>
      <c r="BK97" t="e">
        <f>'All regions'!H2416+"n/&gt;!&amp;1R"</f>
        <v>#VALUE!</v>
      </c>
      <c r="BL97" t="e">
        <f>'All regions'!I2416+"n/&gt;!&amp;1S"</f>
        <v>#VALUE!</v>
      </c>
      <c r="BM97" t="e">
        <f>'All regions'!J2416+"n/&gt;!&amp;1T"</f>
        <v>#VALUE!</v>
      </c>
      <c r="BN97" t="e">
        <f>'All regions'!A2417+"n/&gt;!&amp;1U"</f>
        <v>#VALUE!</v>
      </c>
      <c r="BO97" t="e">
        <f>'All regions'!B2417+"n/&gt;!&amp;1V"</f>
        <v>#VALUE!</v>
      </c>
      <c r="BP97" t="e">
        <f>'All regions'!C2417+"n/&gt;!&amp;1W"</f>
        <v>#VALUE!</v>
      </c>
      <c r="BQ97" t="e">
        <f>'All regions'!D2417+"n/&gt;!&amp;1X"</f>
        <v>#VALUE!</v>
      </c>
      <c r="BR97" t="e">
        <f>'All regions'!E2417+"n/&gt;!&amp;1Y"</f>
        <v>#VALUE!</v>
      </c>
      <c r="BS97" t="e">
        <f>'All regions'!F2417+"n/&gt;!&amp;1Z"</f>
        <v>#VALUE!</v>
      </c>
      <c r="BT97" t="e">
        <f>'All regions'!G2417+"n/&gt;!&amp;1["</f>
        <v>#VALUE!</v>
      </c>
      <c r="BU97" t="e">
        <f>'All regions'!H2417+"n/&gt;!&amp;1\"</f>
        <v>#VALUE!</v>
      </c>
      <c r="BV97" t="e">
        <f>'All regions'!I2417+"n/&gt;!&amp;1]"</f>
        <v>#VALUE!</v>
      </c>
      <c r="BW97" t="e">
        <f>'All regions'!J2417+"n/&gt;!&amp;1^"</f>
        <v>#VALUE!</v>
      </c>
      <c r="BX97" t="e">
        <f>'All regions'!A2418+"n/&gt;!&amp;1_"</f>
        <v>#VALUE!</v>
      </c>
      <c r="BY97" t="e">
        <f>'All regions'!B2418+"n/&gt;!&amp;1`"</f>
        <v>#VALUE!</v>
      </c>
      <c r="BZ97" t="e">
        <f>'All regions'!C2418+"n/&gt;!&amp;1a"</f>
        <v>#VALUE!</v>
      </c>
      <c r="CA97" t="e">
        <f>'All regions'!D2418+"n/&gt;!&amp;1b"</f>
        <v>#VALUE!</v>
      </c>
      <c r="CB97" t="e">
        <f>'All regions'!E2418+"n/&gt;!&amp;1c"</f>
        <v>#VALUE!</v>
      </c>
      <c r="CC97" t="e">
        <f>'All regions'!F2418+"n/&gt;!&amp;1d"</f>
        <v>#VALUE!</v>
      </c>
      <c r="CD97" t="e">
        <f>'All regions'!G2418+"n/&gt;!&amp;1e"</f>
        <v>#VALUE!</v>
      </c>
      <c r="CE97" t="e">
        <f>'All regions'!H2418+"n/&gt;!&amp;1f"</f>
        <v>#VALUE!</v>
      </c>
      <c r="CF97" t="e">
        <f>'All regions'!I2418+"n/&gt;!&amp;1g"</f>
        <v>#VALUE!</v>
      </c>
      <c r="CG97" t="e">
        <f>'All regions'!J2418+"n/&gt;!&amp;1h"</f>
        <v>#VALUE!</v>
      </c>
      <c r="CH97" t="e">
        <f>'All regions'!A2419+"n/&gt;!&amp;1i"</f>
        <v>#VALUE!</v>
      </c>
      <c r="CI97" t="e">
        <f>'All regions'!B2419+"n/&gt;!&amp;1j"</f>
        <v>#VALUE!</v>
      </c>
      <c r="CJ97" t="e">
        <f>'All regions'!C2419+"n/&gt;!&amp;1k"</f>
        <v>#VALUE!</v>
      </c>
      <c r="CK97" t="e">
        <f>'All regions'!D2419+"n/&gt;!&amp;1l"</f>
        <v>#VALUE!</v>
      </c>
      <c r="CL97" t="e">
        <f>'All regions'!E2419+"n/&gt;!&amp;1m"</f>
        <v>#VALUE!</v>
      </c>
      <c r="CM97" t="e">
        <f>'All regions'!F2419+"n/&gt;!&amp;1n"</f>
        <v>#VALUE!</v>
      </c>
      <c r="CN97" t="e">
        <f>'All regions'!G2419+"n/&gt;!&amp;1o"</f>
        <v>#VALUE!</v>
      </c>
      <c r="CO97" t="e">
        <f>'All regions'!H2419+"n/&gt;!&amp;1p"</f>
        <v>#VALUE!</v>
      </c>
      <c r="CP97" t="e">
        <f>'All regions'!I2419+"n/&gt;!&amp;1q"</f>
        <v>#VALUE!</v>
      </c>
      <c r="CQ97" t="e">
        <f>'All regions'!J2419+"n/&gt;!&amp;1r"</f>
        <v>#VALUE!</v>
      </c>
      <c r="CR97" t="e">
        <f>'All regions'!A2420+"n/&gt;!&amp;1s"</f>
        <v>#VALUE!</v>
      </c>
      <c r="CS97" t="e">
        <f>'All regions'!B2420+"n/&gt;!&amp;1t"</f>
        <v>#VALUE!</v>
      </c>
      <c r="CT97" t="e">
        <f>'All regions'!C2420+"n/&gt;!&amp;1u"</f>
        <v>#VALUE!</v>
      </c>
      <c r="CU97" t="e">
        <f>'All regions'!D2420+"n/&gt;!&amp;1v"</f>
        <v>#VALUE!</v>
      </c>
      <c r="CV97" t="e">
        <f>'All regions'!E2420+"n/&gt;!&amp;1w"</f>
        <v>#VALUE!</v>
      </c>
      <c r="CW97" t="e">
        <f>'All regions'!F2420+"n/&gt;!&amp;1x"</f>
        <v>#VALUE!</v>
      </c>
      <c r="CX97" t="e">
        <f>'All regions'!G2420+"n/&gt;!&amp;1y"</f>
        <v>#VALUE!</v>
      </c>
      <c r="CY97" t="e">
        <f>'All regions'!H2420+"n/&gt;!&amp;1z"</f>
        <v>#VALUE!</v>
      </c>
      <c r="CZ97" t="e">
        <f>'All regions'!I2420+"n/&gt;!&amp;1{"</f>
        <v>#VALUE!</v>
      </c>
      <c r="DA97" t="e">
        <f>'All regions'!J2420+"n/&gt;!&amp;1|"</f>
        <v>#VALUE!</v>
      </c>
      <c r="DB97" t="e">
        <f>'All regions'!A2421+"n/&gt;!&amp;1}"</f>
        <v>#VALUE!</v>
      </c>
      <c r="DC97" t="e">
        <f>'All regions'!B2421+"n/&gt;!&amp;1~"</f>
        <v>#VALUE!</v>
      </c>
      <c r="DD97" t="e">
        <f>'All regions'!C2421+"n/&gt;!&amp;2#"</f>
        <v>#VALUE!</v>
      </c>
      <c r="DE97" t="e">
        <f>'All regions'!D2421+"n/&gt;!&amp;2$"</f>
        <v>#VALUE!</v>
      </c>
      <c r="DF97" t="e">
        <f>'All regions'!E2421+"n/&gt;!&amp;2%"</f>
        <v>#VALUE!</v>
      </c>
      <c r="DG97" t="e">
        <f>'All regions'!F2421+"n/&gt;!&amp;2&amp;"</f>
        <v>#VALUE!</v>
      </c>
      <c r="DH97" t="e">
        <f>'All regions'!G2421+"n/&gt;!&amp;2'"</f>
        <v>#VALUE!</v>
      </c>
      <c r="DI97" t="e">
        <f>'All regions'!H2421+"n/&gt;!&amp;2("</f>
        <v>#VALUE!</v>
      </c>
      <c r="DJ97" t="e">
        <f>'All regions'!I2421+"n/&gt;!&amp;2)"</f>
        <v>#VALUE!</v>
      </c>
      <c r="DK97" t="e">
        <f>'All regions'!J2421+"n/&gt;!&amp;2."</f>
        <v>#VALUE!</v>
      </c>
      <c r="DL97" t="e">
        <f>'All regions'!A2422+"n/&gt;!&amp;2/"</f>
        <v>#VALUE!</v>
      </c>
      <c r="DM97" t="e">
        <f>'All regions'!B2422+"n/&gt;!&amp;20"</f>
        <v>#VALUE!</v>
      </c>
      <c r="DN97" t="e">
        <f>'All regions'!C2422+"n/&gt;!&amp;21"</f>
        <v>#VALUE!</v>
      </c>
      <c r="DO97" t="e">
        <f>'All regions'!D2422+"n/&gt;!&amp;22"</f>
        <v>#VALUE!</v>
      </c>
      <c r="DP97" t="e">
        <f>'All regions'!E2422+"n/&gt;!&amp;23"</f>
        <v>#VALUE!</v>
      </c>
      <c r="DQ97" t="e">
        <f>'All regions'!F2422+"n/&gt;!&amp;24"</f>
        <v>#VALUE!</v>
      </c>
      <c r="DR97" t="e">
        <f>'All regions'!G2422+"n/&gt;!&amp;25"</f>
        <v>#VALUE!</v>
      </c>
      <c r="DS97" t="e">
        <f>'All regions'!H2422+"n/&gt;!&amp;26"</f>
        <v>#VALUE!</v>
      </c>
      <c r="DT97" t="e">
        <f>'All regions'!I2422+"n/&gt;!&amp;27"</f>
        <v>#VALUE!</v>
      </c>
      <c r="DU97" t="e">
        <f>'All regions'!J2422+"n/&gt;!&amp;28"</f>
        <v>#VALUE!</v>
      </c>
      <c r="DV97" t="e">
        <f>'All regions'!A2423+"n/&gt;!&amp;29"</f>
        <v>#VALUE!</v>
      </c>
      <c r="DW97" t="e">
        <f>'All regions'!B2423+"n/&gt;!&amp;2:"</f>
        <v>#VALUE!</v>
      </c>
      <c r="DX97" t="e">
        <f>'All regions'!C2423+"n/&gt;!&amp;2;"</f>
        <v>#VALUE!</v>
      </c>
      <c r="DY97" t="e">
        <f>'All regions'!D2423+"n/&gt;!&amp;2&lt;"</f>
        <v>#VALUE!</v>
      </c>
      <c r="DZ97" t="e">
        <f>'All regions'!E2423+"n/&gt;!&amp;2="</f>
        <v>#VALUE!</v>
      </c>
      <c r="EA97" t="e">
        <f>'All regions'!F2423+"n/&gt;!&amp;2&gt;"</f>
        <v>#VALUE!</v>
      </c>
      <c r="EB97" t="e">
        <f>'All regions'!G2423+"n/&gt;!&amp;2?"</f>
        <v>#VALUE!</v>
      </c>
      <c r="EC97" t="e">
        <f>'All regions'!H2423+"n/&gt;!&amp;2@"</f>
        <v>#VALUE!</v>
      </c>
      <c r="ED97" t="e">
        <f>'All regions'!I2423+"n/&gt;!&amp;2A"</f>
        <v>#VALUE!</v>
      </c>
      <c r="EE97" t="e">
        <f>'All regions'!J2423+"n/&gt;!&amp;2B"</f>
        <v>#VALUE!</v>
      </c>
      <c r="EF97" t="e">
        <f>'All regions'!A2424+"n/&gt;!&amp;2C"</f>
        <v>#VALUE!</v>
      </c>
      <c r="EG97" t="e">
        <f>'All regions'!B2424+"n/&gt;!&amp;2D"</f>
        <v>#VALUE!</v>
      </c>
      <c r="EH97" t="e">
        <f>'All regions'!C2424+"n/&gt;!&amp;2E"</f>
        <v>#VALUE!</v>
      </c>
      <c r="EI97" t="e">
        <f>'All regions'!D2424+"n/&gt;!&amp;2F"</f>
        <v>#VALUE!</v>
      </c>
      <c r="EJ97" t="e">
        <f>'All regions'!E2424+"n/&gt;!&amp;2G"</f>
        <v>#VALUE!</v>
      </c>
      <c r="EK97" t="e">
        <f>'All regions'!F2424+"n/&gt;!&amp;2H"</f>
        <v>#VALUE!</v>
      </c>
      <c r="EL97" t="e">
        <f>'All regions'!G2424+"n/&gt;!&amp;2I"</f>
        <v>#VALUE!</v>
      </c>
      <c r="EM97" t="e">
        <f>'All regions'!H2424+"n/&gt;!&amp;2J"</f>
        <v>#VALUE!</v>
      </c>
      <c r="EN97" t="e">
        <f>'All regions'!I2424+"n/&gt;!&amp;2K"</f>
        <v>#VALUE!</v>
      </c>
      <c r="EO97" t="e">
        <f>'All regions'!J2424+"n/&gt;!&amp;2L"</f>
        <v>#VALUE!</v>
      </c>
      <c r="EP97" t="e">
        <f>'All regions'!A2425+"n/&gt;!&amp;2M"</f>
        <v>#VALUE!</v>
      </c>
      <c r="EQ97" t="e">
        <f>'All regions'!B2425+"n/&gt;!&amp;2N"</f>
        <v>#VALUE!</v>
      </c>
      <c r="ER97" t="e">
        <f>'All regions'!C2425+"n/&gt;!&amp;2O"</f>
        <v>#VALUE!</v>
      </c>
      <c r="ES97" t="e">
        <f>'All regions'!D2425+"n/&gt;!&amp;2P"</f>
        <v>#VALUE!</v>
      </c>
      <c r="ET97" t="e">
        <f>'All regions'!E2425+"n/&gt;!&amp;2Q"</f>
        <v>#VALUE!</v>
      </c>
      <c r="EU97" t="e">
        <f>'All regions'!F2425+"n/&gt;!&amp;2R"</f>
        <v>#VALUE!</v>
      </c>
      <c r="EV97" t="e">
        <f>'All regions'!G2425+"n/&gt;!&amp;2S"</f>
        <v>#VALUE!</v>
      </c>
      <c r="EW97" t="e">
        <f>'All regions'!H2425+"n/&gt;!&amp;2T"</f>
        <v>#VALUE!</v>
      </c>
      <c r="EX97" t="e">
        <f>'All regions'!I2425+"n/&gt;!&amp;2U"</f>
        <v>#VALUE!</v>
      </c>
      <c r="EY97" t="e">
        <f>'All regions'!J2425+"n/&gt;!&amp;2V"</f>
        <v>#VALUE!</v>
      </c>
      <c r="EZ97" t="e">
        <f>'All regions'!A2426+"n/&gt;!&amp;2W"</f>
        <v>#VALUE!</v>
      </c>
      <c r="FA97" t="e">
        <f>'All regions'!B2426+"n/&gt;!&amp;2X"</f>
        <v>#VALUE!</v>
      </c>
      <c r="FB97" t="e">
        <f>'All regions'!C2426+"n/&gt;!&amp;2Y"</f>
        <v>#VALUE!</v>
      </c>
      <c r="FC97" t="e">
        <f>'All regions'!D2426+"n/&gt;!&amp;2Z"</f>
        <v>#VALUE!</v>
      </c>
      <c r="FD97" t="e">
        <f>'All regions'!E2426+"n/&gt;!&amp;2["</f>
        <v>#VALUE!</v>
      </c>
      <c r="FE97" t="e">
        <f>'All regions'!F2426+"n/&gt;!&amp;2\"</f>
        <v>#VALUE!</v>
      </c>
      <c r="FF97" t="e">
        <f>'All regions'!G2426+"n/&gt;!&amp;2]"</f>
        <v>#VALUE!</v>
      </c>
      <c r="FG97" t="e">
        <f>'All regions'!H2426+"n/&gt;!&amp;2^"</f>
        <v>#VALUE!</v>
      </c>
      <c r="FH97" t="e">
        <f>'All regions'!I2426+"n/&gt;!&amp;2_"</f>
        <v>#VALUE!</v>
      </c>
      <c r="FI97" t="e">
        <f>'All regions'!J2426+"n/&gt;!&amp;2`"</f>
        <v>#VALUE!</v>
      </c>
      <c r="FJ97" t="e">
        <f>'All regions'!A2427+"n/&gt;!&amp;2a"</f>
        <v>#VALUE!</v>
      </c>
      <c r="FK97" t="e">
        <f>'All regions'!B2427+"n/&gt;!&amp;2b"</f>
        <v>#VALUE!</v>
      </c>
      <c r="FL97" t="e">
        <f>'All regions'!C2427+"n/&gt;!&amp;2c"</f>
        <v>#VALUE!</v>
      </c>
      <c r="FM97" t="e">
        <f>'All regions'!D2427+"n/&gt;!&amp;2d"</f>
        <v>#VALUE!</v>
      </c>
      <c r="FN97" t="e">
        <f>'All regions'!E2427+"n/&gt;!&amp;2e"</f>
        <v>#VALUE!</v>
      </c>
      <c r="FO97" t="e">
        <f>'All regions'!F2427+"n/&gt;!&amp;2f"</f>
        <v>#VALUE!</v>
      </c>
      <c r="FP97" t="e">
        <f>'All regions'!G2427+"n/&gt;!&amp;2g"</f>
        <v>#VALUE!</v>
      </c>
      <c r="FQ97" t="e">
        <f>'All regions'!H2427+"n/&gt;!&amp;2h"</f>
        <v>#VALUE!</v>
      </c>
      <c r="FR97" t="e">
        <f>'All regions'!I2427+"n/&gt;!&amp;2i"</f>
        <v>#VALUE!</v>
      </c>
      <c r="FS97" t="e">
        <f>'All regions'!J2427+"n/&gt;!&amp;2j"</f>
        <v>#VALUE!</v>
      </c>
      <c r="FT97" t="e">
        <f>'All regions'!A2428+"n/&gt;!&amp;2k"</f>
        <v>#VALUE!</v>
      </c>
      <c r="FU97" t="e">
        <f>'All regions'!B2428+"n/&gt;!&amp;2l"</f>
        <v>#VALUE!</v>
      </c>
      <c r="FV97" t="e">
        <f>'All regions'!C2428+"n/&gt;!&amp;2m"</f>
        <v>#VALUE!</v>
      </c>
      <c r="FW97" t="e">
        <f>'All regions'!D2428+"n/&gt;!&amp;2n"</f>
        <v>#VALUE!</v>
      </c>
      <c r="FX97" t="e">
        <f>'All regions'!E2428+"n/&gt;!&amp;2o"</f>
        <v>#VALUE!</v>
      </c>
      <c r="FY97" t="e">
        <f>'All regions'!F2428+"n/&gt;!&amp;2p"</f>
        <v>#VALUE!</v>
      </c>
      <c r="FZ97" t="e">
        <f>'All regions'!G2428+"n/&gt;!&amp;2q"</f>
        <v>#VALUE!</v>
      </c>
      <c r="GA97" t="e">
        <f>'All regions'!H2428+"n/&gt;!&amp;2r"</f>
        <v>#VALUE!</v>
      </c>
      <c r="GB97" t="e">
        <f>'All regions'!I2428+"n/&gt;!&amp;2s"</f>
        <v>#VALUE!</v>
      </c>
      <c r="GC97" t="e">
        <f>'All regions'!J2428+"n/&gt;!&amp;2t"</f>
        <v>#VALUE!</v>
      </c>
      <c r="GD97" t="e">
        <f>'All regions'!A2429+"n/&gt;!&amp;2u"</f>
        <v>#VALUE!</v>
      </c>
      <c r="GE97" t="e">
        <f>'All regions'!B2429+"n/&gt;!&amp;2v"</f>
        <v>#VALUE!</v>
      </c>
      <c r="GF97" t="e">
        <f>'All regions'!C2429+"n/&gt;!&amp;2w"</f>
        <v>#VALUE!</v>
      </c>
      <c r="GG97" t="e">
        <f>'All regions'!D2429+"n/&gt;!&amp;2x"</f>
        <v>#VALUE!</v>
      </c>
      <c r="GH97" t="e">
        <f>'All regions'!E2429+"n/&gt;!&amp;2y"</f>
        <v>#VALUE!</v>
      </c>
      <c r="GI97" t="e">
        <f>'All regions'!F2429+"n/&gt;!&amp;2z"</f>
        <v>#VALUE!</v>
      </c>
      <c r="GJ97" t="e">
        <f>'All regions'!G2429+"n/&gt;!&amp;2{"</f>
        <v>#VALUE!</v>
      </c>
      <c r="GK97" t="e">
        <f>'All regions'!H2429+"n/&gt;!&amp;2|"</f>
        <v>#VALUE!</v>
      </c>
      <c r="GL97" t="e">
        <f>'All regions'!I2429+"n/&gt;!&amp;2}"</f>
        <v>#VALUE!</v>
      </c>
      <c r="GM97" t="e">
        <f>'All regions'!J2429+"n/&gt;!&amp;2~"</f>
        <v>#VALUE!</v>
      </c>
      <c r="GN97" t="e">
        <f>'All regions'!A2430+"n/&gt;!&amp;3#"</f>
        <v>#VALUE!</v>
      </c>
      <c r="GO97" t="e">
        <f>'All regions'!B2430+"n/&gt;!&amp;3$"</f>
        <v>#VALUE!</v>
      </c>
      <c r="GP97" t="e">
        <f>'All regions'!C2430+"n/&gt;!&amp;3%"</f>
        <v>#VALUE!</v>
      </c>
      <c r="GQ97" t="e">
        <f>'All regions'!D2430+"n/&gt;!&amp;3&amp;"</f>
        <v>#VALUE!</v>
      </c>
      <c r="GR97" t="e">
        <f>'All regions'!E2430+"n/&gt;!&amp;3'"</f>
        <v>#VALUE!</v>
      </c>
      <c r="GS97" t="e">
        <f>'All regions'!F2430+"n/&gt;!&amp;3("</f>
        <v>#VALUE!</v>
      </c>
      <c r="GT97" t="e">
        <f>'All regions'!G2430+"n/&gt;!&amp;3)"</f>
        <v>#VALUE!</v>
      </c>
      <c r="GU97" t="e">
        <f>'All regions'!H2430+"n/&gt;!&amp;3."</f>
        <v>#VALUE!</v>
      </c>
      <c r="GV97" t="e">
        <f>'All regions'!I2430+"n/&gt;!&amp;3/"</f>
        <v>#VALUE!</v>
      </c>
      <c r="GW97" t="e">
        <f>'All regions'!J2430+"n/&gt;!&amp;30"</f>
        <v>#VALUE!</v>
      </c>
      <c r="GX97" t="e">
        <f>'All regions'!A2431+"n/&gt;!&amp;31"</f>
        <v>#VALUE!</v>
      </c>
      <c r="GY97" t="e">
        <f>'All regions'!B2431+"n/&gt;!&amp;32"</f>
        <v>#VALUE!</v>
      </c>
      <c r="GZ97" t="e">
        <f>'All regions'!C2431+"n/&gt;!&amp;33"</f>
        <v>#VALUE!</v>
      </c>
      <c r="HA97" t="e">
        <f>'All regions'!D2431+"n/&gt;!&amp;34"</f>
        <v>#VALUE!</v>
      </c>
      <c r="HB97" t="e">
        <f>'All regions'!E2431+"n/&gt;!&amp;35"</f>
        <v>#VALUE!</v>
      </c>
      <c r="HC97" t="e">
        <f>'All regions'!F2431+"n/&gt;!&amp;36"</f>
        <v>#VALUE!</v>
      </c>
      <c r="HD97" t="e">
        <f>'All regions'!G2431+"n/&gt;!&amp;37"</f>
        <v>#VALUE!</v>
      </c>
      <c r="HE97" t="e">
        <f>'All regions'!H2431+"n/&gt;!&amp;38"</f>
        <v>#VALUE!</v>
      </c>
      <c r="HF97" t="e">
        <f>'All regions'!I2431+"n/&gt;!&amp;39"</f>
        <v>#VALUE!</v>
      </c>
      <c r="HG97" t="e">
        <f>'All regions'!J2431+"n/&gt;!&amp;3:"</f>
        <v>#VALUE!</v>
      </c>
      <c r="HH97" t="e">
        <f>'All regions'!A2432+"n/&gt;!&amp;3;"</f>
        <v>#VALUE!</v>
      </c>
      <c r="HI97" t="e">
        <f>'All regions'!B2432+"n/&gt;!&amp;3&lt;"</f>
        <v>#VALUE!</v>
      </c>
      <c r="HJ97" t="e">
        <f>'All regions'!C2432+"n/&gt;!&amp;3="</f>
        <v>#VALUE!</v>
      </c>
      <c r="HK97" t="e">
        <f>'All regions'!D2432+"n/&gt;!&amp;3&gt;"</f>
        <v>#VALUE!</v>
      </c>
      <c r="HL97" t="e">
        <f>'All regions'!E2432+"n/&gt;!&amp;3?"</f>
        <v>#VALUE!</v>
      </c>
      <c r="HM97" t="e">
        <f>'All regions'!F2432+"n/&gt;!&amp;3@"</f>
        <v>#VALUE!</v>
      </c>
      <c r="HN97" t="e">
        <f>'All regions'!G2432+"n/&gt;!&amp;3A"</f>
        <v>#VALUE!</v>
      </c>
      <c r="HO97" t="e">
        <f>'All regions'!H2432+"n/&gt;!&amp;3B"</f>
        <v>#VALUE!</v>
      </c>
      <c r="HP97" t="e">
        <f>'All regions'!I2432+"n/&gt;!&amp;3C"</f>
        <v>#VALUE!</v>
      </c>
      <c r="HQ97" t="e">
        <f>'All regions'!J2432+"n/&gt;!&amp;3D"</f>
        <v>#VALUE!</v>
      </c>
      <c r="HR97" t="e">
        <f>'All regions'!A2433+"n/&gt;!&amp;3E"</f>
        <v>#VALUE!</v>
      </c>
      <c r="HS97" t="e">
        <f>'All regions'!B2433+"n/&gt;!&amp;3F"</f>
        <v>#VALUE!</v>
      </c>
      <c r="HT97" t="e">
        <f>'All regions'!C2433+"n/&gt;!&amp;3G"</f>
        <v>#VALUE!</v>
      </c>
      <c r="HU97" t="e">
        <f>'All regions'!D2433+"n/&gt;!&amp;3H"</f>
        <v>#VALUE!</v>
      </c>
      <c r="HV97" t="e">
        <f>'All regions'!E2433+"n/&gt;!&amp;3I"</f>
        <v>#VALUE!</v>
      </c>
      <c r="HW97" t="e">
        <f>'All regions'!F2433+"n/&gt;!&amp;3J"</f>
        <v>#VALUE!</v>
      </c>
      <c r="HX97" t="e">
        <f>'All regions'!G2433+"n/&gt;!&amp;3K"</f>
        <v>#VALUE!</v>
      </c>
      <c r="HY97" t="e">
        <f>'All regions'!H2433+"n/&gt;!&amp;3L"</f>
        <v>#VALUE!</v>
      </c>
      <c r="HZ97" t="e">
        <f>'All regions'!I2433+"n/&gt;!&amp;3M"</f>
        <v>#VALUE!</v>
      </c>
      <c r="IA97" t="e">
        <f>'All regions'!J2433+"n/&gt;!&amp;3N"</f>
        <v>#VALUE!</v>
      </c>
      <c r="IB97" t="e">
        <f>'All regions'!A2434+"n/&gt;!&amp;3O"</f>
        <v>#VALUE!</v>
      </c>
      <c r="IC97" t="e">
        <f>'All regions'!B2434+"n/&gt;!&amp;3P"</f>
        <v>#VALUE!</v>
      </c>
      <c r="ID97" t="e">
        <f>'All regions'!C2434+"n/&gt;!&amp;3Q"</f>
        <v>#VALUE!</v>
      </c>
      <c r="IE97" t="e">
        <f>'All regions'!D2434+"n/&gt;!&amp;3R"</f>
        <v>#VALUE!</v>
      </c>
      <c r="IF97" t="e">
        <f>'All regions'!E2434+"n/&gt;!&amp;3S"</f>
        <v>#VALUE!</v>
      </c>
      <c r="IG97" t="e">
        <f>'All regions'!F2434+"n/&gt;!&amp;3T"</f>
        <v>#VALUE!</v>
      </c>
      <c r="IH97" t="e">
        <f>'All regions'!G2434+"n/&gt;!&amp;3U"</f>
        <v>#VALUE!</v>
      </c>
      <c r="II97" t="e">
        <f>'All regions'!H2434+"n/&gt;!&amp;3V"</f>
        <v>#VALUE!</v>
      </c>
      <c r="IJ97" t="e">
        <f>'All regions'!I2434+"n/&gt;!&amp;3W"</f>
        <v>#VALUE!</v>
      </c>
      <c r="IK97" t="e">
        <f>'All regions'!J2434+"n/&gt;!&amp;3X"</f>
        <v>#VALUE!</v>
      </c>
      <c r="IL97" t="e">
        <f>'All regions'!A2435+"n/&gt;!&amp;3Y"</f>
        <v>#VALUE!</v>
      </c>
      <c r="IM97" t="e">
        <f>'All regions'!B2435+"n/&gt;!&amp;3Z"</f>
        <v>#VALUE!</v>
      </c>
      <c r="IN97" t="e">
        <f>'All regions'!C2435+"n/&gt;!&amp;3["</f>
        <v>#VALUE!</v>
      </c>
      <c r="IO97" t="e">
        <f>'All regions'!D2435+"n/&gt;!&amp;3\"</f>
        <v>#VALUE!</v>
      </c>
      <c r="IP97" t="e">
        <f>'All regions'!E2435+"n/&gt;!&amp;3]"</f>
        <v>#VALUE!</v>
      </c>
      <c r="IQ97" t="e">
        <f>'All regions'!F2435+"n/&gt;!&amp;3^"</f>
        <v>#VALUE!</v>
      </c>
      <c r="IR97" t="e">
        <f>'All regions'!G2435+"n/&gt;!&amp;3_"</f>
        <v>#VALUE!</v>
      </c>
      <c r="IS97" t="e">
        <f>'All regions'!H2435+"n/&gt;!&amp;3`"</f>
        <v>#VALUE!</v>
      </c>
      <c r="IT97" t="e">
        <f>'All regions'!I2435+"n/&gt;!&amp;3a"</f>
        <v>#VALUE!</v>
      </c>
      <c r="IU97" t="e">
        <f>'All regions'!J2435+"n/&gt;!&amp;3b"</f>
        <v>#VALUE!</v>
      </c>
      <c r="IV97" t="e">
        <f>'All regions'!A2436+"n/&gt;!&amp;3c"</f>
        <v>#VALUE!</v>
      </c>
    </row>
    <row r="98" spans="6:256" x14ac:dyDescent="0.35">
      <c r="F98" t="e">
        <f>'All regions'!B2436+"n/&gt;!&amp;3d"</f>
        <v>#VALUE!</v>
      </c>
      <c r="G98" t="e">
        <f>'All regions'!C2436+"n/&gt;!&amp;3e"</f>
        <v>#VALUE!</v>
      </c>
      <c r="H98" t="e">
        <f>'All regions'!D2436+"n/&gt;!&amp;3f"</f>
        <v>#VALUE!</v>
      </c>
      <c r="I98" t="e">
        <f>'All regions'!E2436+"n/&gt;!&amp;3g"</f>
        <v>#VALUE!</v>
      </c>
      <c r="J98" t="e">
        <f>'All regions'!F2436+"n/&gt;!&amp;3h"</f>
        <v>#VALUE!</v>
      </c>
      <c r="K98" t="e">
        <f>'All regions'!G2436+"n/&gt;!&amp;3i"</f>
        <v>#VALUE!</v>
      </c>
      <c r="L98" t="e">
        <f>'All regions'!H2436+"n/&gt;!&amp;3j"</f>
        <v>#VALUE!</v>
      </c>
      <c r="M98" t="e">
        <f>'All regions'!I2436+"n/&gt;!&amp;3k"</f>
        <v>#VALUE!</v>
      </c>
      <c r="N98" t="e">
        <f>'All regions'!J2436+"n/&gt;!&amp;3l"</f>
        <v>#VALUE!</v>
      </c>
      <c r="O98" t="e">
        <f>'All regions'!A2437+"n/&gt;!&amp;3m"</f>
        <v>#VALUE!</v>
      </c>
      <c r="P98" t="e">
        <f>'All regions'!B2437+"n/&gt;!&amp;3n"</f>
        <v>#VALUE!</v>
      </c>
      <c r="Q98" t="e">
        <f>'All regions'!C2437+"n/&gt;!&amp;3o"</f>
        <v>#VALUE!</v>
      </c>
      <c r="R98" t="e">
        <f>'All regions'!D2437+"n/&gt;!&amp;3p"</f>
        <v>#VALUE!</v>
      </c>
      <c r="S98" t="e">
        <f>'All regions'!E2437+"n/&gt;!&amp;3q"</f>
        <v>#VALUE!</v>
      </c>
      <c r="T98" t="e">
        <f>'All regions'!F2437+"n/&gt;!&amp;3r"</f>
        <v>#VALUE!</v>
      </c>
      <c r="U98" t="e">
        <f>'All regions'!G2437+"n/&gt;!&amp;3s"</f>
        <v>#VALUE!</v>
      </c>
      <c r="V98" t="e">
        <f>'All regions'!H2437+"n/&gt;!&amp;3t"</f>
        <v>#VALUE!</v>
      </c>
      <c r="W98" t="e">
        <f>'All regions'!I2437+"n/&gt;!&amp;3u"</f>
        <v>#VALUE!</v>
      </c>
      <c r="X98" t="e">
        <f>'All regions'!J2437+"n/&gt;!&amp;3v"</f>
        <v>#VALUE!</v>
      </c>
      <c r="Y98" t="e">
        <f>'All regions'!A2438+"n/&gt;!&amp;3w"</f>
        <v>#VALUE!</v>
      </c>
      <c r="Z98" t="e">
        <f>'All regions'!B2438+"n/&gt;!&amp;3x"</f>
        <v>#VALUE!</v>
      </c>
      <c r="AA98" t="e">
        <f>'All regions'!C2438+"n/&gt;!&amp;3y"</f>
        <v>#VALUE!</v>
      </c>
      <c r="AB98" t="e">
        <f>'All regions'!D2438+"n/&gt;!&amp;3z"</f>
        <v>#VALUE!</v>
      </c>
      <c r="AC98" t="e">
        <f>'All regions'!E2438+"n/&gt;!&amp;3{"</f>
        <v>#VALUE!</v>
      </c>
      <c r="AD98" t="e">
        <f>'All regions'!F2438+"n/&gt;!&amp;3|"</f>
        <v>#VALUE!</v>
      </c>
      <c r="AE98" t="e">
        <f>'All regions'!G2438+"n/&gt;!&amp;3}"</f>
        <v>#VALUE!</v>
      </c>
      <c r="AF98" t="e">
        <f>'All regions'!H2438+"n/&gt;!&amp;3~"</f>
        <v>#VALUE!</v>
      </c>
      <c r="AG98" t="e">
        <f>'All regions'!I2438+"n/&gt;!&amp;4#"</f>
        <v>#VALUE!</v>
      </c>
      <c r="AH98" t="e">
        <f>'All regions'!J2438+"n/&gt;!&amp;4$"</f>
        <v>#VALUE!</v>
      </c>
      <c r="AI98" t="e">
        <f>'All regions'!A2439+"n/&gt;!&amp;4%"</f>
        <v>#VALUE!</v>
      </c>
      <c r="AJ98" t="e">
        <f>'All regions'!B2439+"n/&gt;!&amp;4&amp;"</f>
        <v>#VALUE!</v>
      </c>
      <c r="AK98" t="e">
        <f>'All regions'!C2439+"n/&gt;!&amp;4'"</f>
        <v>#VALUE!</v>
      </c>
      <c r="AL98" t="e">
        <f>'All regions'!D2439+"n/&gt;!&amp;4("</f>
        <v>#VALUE!</v>
      </c>
      <c r="AM98" t="e">
        <f>'All regions'!E2439+"n/&gt;!&amp;4)"</f>
        <v>#VALUE!</v>
      </c>
      <c r="AN98" t="e">
        <f>'All regions'!F2439+"n/&gt;!&amp;4."</f>
        <v>#VALUE!</v>
      </c>
      <c r="AO98" t="e">
        <f>'All regions'!G2439+"n/&gt;!&amp;4/"</f>
        <v>#VALUE!</v>
      </c>
      <c r="AP98" t="e">
        <f>'All regions'!H2439+"n/&gt;!&amp;40"</f>
        <v>#VALUE!</v>
      </c>
      <c r="AQ98" t="e">
        <f>'All regions'!I2439+"n/&gt;!&amp;41"</f>
        <v>#VALUE!</v>
      </c>
      <c r="AR98" t="e">
        <f>'All regions'!J2439+"n/&gt;!&amp;42"</f>
        <v>#VALUE!</v>
      </c>
      <c r="AS98" t="e">
        <f>'All regions'!A2440+"n/&gt;!&amp;43"</f>
        <v>#VALUE!</v>
      </c>
      <c r="AT98" t="e">
        <f>'All regions'!B2440+"n/&gt;!&amp;44"</f>
        <v>#VALUE!</v>
      </c>
      <c r="AU98" t="e">
        <f>'All regions'!C2440+"n/&gt;!&amp;45"</f>
        <v>#VALUE!</v>
      </c>
      <c r="AV98" t="e">
        <f>'All regions'!D2440+"n/&gt;!&amp;46"</f>
        <v>#VALUE!</v>
      </c>
      <c r="AW98" t="e">
        <f>'All regions'!E2440+"n/&gt;!&amp;47"</f>
        <v>#VALUE!</v>
      </c>
      <c r="AX98" t="e">
        <f>'All regions'!F2440+"n/&gt;!&amp;48"</f>
        <v>#VALUE!</v>
      </c>
      <c r="AY98" t="e">
        <f>'All regions'!G2440+"n/&gt;!&amp;49"</f>
        <v>#VALUE!</v>
      </c>
      <c r="AZ98" t="e">
        <f>'All regions'!H2440+"n/&gt;!&amp;4:"</f>
        <v>#VALUE!</v>
      </c>
      <c r="BA98" t="e">
        <f>'All regions'!I2440+"n/&gt;!&amp;4;"</f>
        <v>#VALUE!</v>
      </c>
      <c r="BB98" t="e">
        <f>'All regions'!J2440+"n/&gt;!&amp;4&lt;"</f>
        <v>#VALUE!</v>
      </c>
      <c r="BC98" t="e">
        <f>'All regions'!A2441+"n/&gt;!&amp;4="</f>
        <v>#VALUE!</v>
      </c>
      <c r="BD98" t="e">
        <f>'All regions'!B2441+"n/&gt;!&amp;4&gt;"</f>
        <v>#VALUE!</v>
      </c>
      <c r="BE98" t="e">
        <f>'All regions'!C2441+"n/&gt;!&amp;4?"</f>
        <v>#VALUE!</v>
      </c>
      <c r="BF98" t="e">
        <f>'All regions'!D2441+"n/&gt;!&amp;4@"</f>
        <v>#VALUE!</v>
      </c>
      <c r="BG98" t="e">
        <f>'All regions'!E2441+"n/&gt;!&amp;4A"</f>
        <v>#VALUE!</v>
      </c>
      <c r="BH98" t="e">
        <f>'All regions'!F2441+"n/&gt;!&amp;4B"</f>
        <v>#VALUE!</v>
      </c>
      <c r="BI98" t="e">
        <f>'All regions'!G2441+"n/&gt;!&amp;4C"</f>
        <v>#VALUE!</v>
      </c>
      <c r="BJ98" t="e">
        <f>'All regions'!H2441+"n/&gt;!&amp;4D"</f>
        <v>#VALUE!</v>
      </c>
      <c r="BK98" t="e">
        <f>'All regions'!I2441+"n/&gt;!&amp;4E"</f>
        <v>#VALUE!</v>
      </c>
      <c r="BL98" t="e">
        <f>'All regions'!J2441+"n/&gt;!&amp;4F"</f>
        <v>#VALUE!</v>
      </c>
      <c r="BM98" t="e">
        <f>'All regions'!A2442+"n/&gt;!&amp;4G"</f>
        <v>#VALUE!</v>
      </c>
      <c r="BN98" t="e">
        <f>'All regions'!B2442+"n/&gt;!&amp;4H"</f>
        <v>#VALUE!</v>
      </c>
      <c r="BO98" t="e">
        <f>'All regions'!C2442+"n/&gt;!&amp;4I"</f>
        <v>#VALUE!</v>
      </c>
      <c r="BP98" t="e">
        <f>'All regions'!D2442+"n/&gt;!&amp;4J"</f>
        <v>#VALUE!</v>
      </c>
      <c r="BQ98" t="e">
        <f>'All regions'!E2442+"n/&gt;!&amp;4K"</f>
        <v>#VALUE!</v>
      </c>
      <c r="BR98" t="e">
        <f>'All regions'!F2442+"n/&gt;!&amp;4L"</f>
        <v>#VALUE!</v>
      </c>
      <c r="BS98" t="e">
        <f>'All regions'!G2442+"n/&gt;!&amp;4M"</f>
        <v>#VALUE!</v>
      </c>
      <c r="BT98" t="e">
        <f>'All regions'!H2442+"n/&gt;!&amp;4N"</f>
        <v>#VALUE!</v>
      </c>
      <c r="BU98" t="e">
        <f>'All regions'!I2442+"n/&gt;!&amp;4O"</f>
        <v>#VALUE!</v>
      </c>
      <c r="BV98" t="e">
        <f>'All regions'!J2442+"n/&gt;!&amp;4P"</f>
        <v>#VALUE!</v>
      </c>
      <c r="BW98" t="e">
        <f>'All regions'!A2443+"n/&gt;!&amp;4Q"</f>
        <v>#VALUE!</v>
      </c>
      <c r="BX98" t="e">
        <f>'All regions'!B2443+"n/&gt;!&amp;4R"</f>
        <v>#VALUE!</v>
      </c>
      <c r="BY98" t="e">
        <f>'All regions'!C2443+"n/&gt;!&amp;4S"</f>
        <v>#VALUE!</v>
      </c>
      <c r="BZ98" t="e">
        <f>'All regions'!D2443+"n/&gt;!&amp;4T"</f>
        <v>#VALUE!</v>
      </c>
      <c r="CA98" t="e">
        <f>'All regions'!E2443+"n/&gt;!&amp;4U"</f>
        <v>#VALUE!</v>
      </c>
      <c r="CB98" t="e">
        <f>'All regions'!F2443+"n/&gt;!&amp;4V"</f>
        <v>#VALUE!</v>
      </c>
      <c r="CC98" t="e">
        <f>'All regions'!G2443+"n/&gt;!&amp;4W"</f>
        <v>#VALUE!</v>
      </c>
      <c r="CD98" t="e">
        <f>'All regions'!H2443+"n/&gt;!&amp;4X"</f>
        <v>#VALUE!</v>
      </c>
      <c r="CE98" t="e">
        <f>'All regions'!I2443+"n/&gt;!&amp;4Y"</f>
        <v>#VALUE!</v>
      </c>
      <c r="CF98" t="e">
        <f>'All regions'!J2443+"n/&gt;!&amp;4Z"</f>
        <v>#VALUE!</v>
      </c>
      <c r="CG98" t="e">
        <f>'All regions'!A2444+"n/&gt;!&amp;4["</f>
        <v>#VALUE!</v>
      </c>
      <c r="CH98" t="e">
        <f>'All regions'!B2444+"n/&gt;!&amp;4\"</f>
        <v>#VALUE!</v>
      </c>
      <c r="CI98" t="e">
        <f>'All regions'!C2444+"n/&gt;!&amp;4]"</f>
        <v>#VALUE!</v>
      </c>
      <c r="CJ98" t="e">
        <f>'All regions'!D2444+"n/&gt;!&amp;4^"</f>
        <v>#VALUE!</v>
      </c>
      <c r="CK98" t="e">
        <f>'All regions'!E2444+"n/&gt;!&amp;4_"</f>
        <v>#VALUE!</v>
      </c>
      <c r="CL98" t="e">
        <f>'All regions'!F2444+"n/&gt;!&amp;4`"</f>
        <v>#VALUE!</v>
      </c>
      <c r="CM98" t="e">
        <f>'All regions'!G2444+"n/&gt;!&amp;4a"</f>
        <v>#VALUE!</v>
      </c>
      <c r="CN98" t="e">
        <f>'All regions'!H2444+"n/&gt;!&amp;4b"</f>
        <v>#VALUE!</v>
      </c>
      <c r="CO98" t="e">
        <f>'All regions'!I2444+"n/&gt;!&amp;4c"</f>
        <v>#VALUE!</v>
      </c>
      <c r="CP98" t="e">
        <f>'All regions'!J2444+"n/&gt;!&amp;4d"</f>
        <v>#VALUE!</v>
      </c>
      <c r="CQ98" t="e">
        <f>'All regions'!A2445+"n/&gt;!&amp;4e"</f>
        <v>#VALUE!</v>
      </c>
      <c r="CR98" t="e">
        <f>'All regions'!B2445+"n/&gt;!&amp;4f"</f>
        <v>#VALUE!</v>
      </c>
      <c r="CS98" t="e">
        <f>'All regions'!C2445+"n/&gt;!&amp;4g"</f>
        <v>#VALUE!</v>
      </c>
      <c r="CT98" t="e">
        <f>'All regions'!D2445+"n/&gt;!&amp;4h"</f>
        <v>#VALUE!</v>
      </c>
      <c r="CU98" t="e">
        <f>'All regions'!E2445+"n/&gt;!&amp;4i"</f>
        <v>#VALUE!</v>
      </c>
      <c r="CV98" t="e">
        <f>'All regions'!F2445+"n/&gt;!&amp;4j"</f>
        <v>#VALUE!</v>
      </c>
      <c r="CW98" t="e">
        <f>'All regions'!G2445+"n/&gt;!&amp;4k"</f>
        <v>#VALUE!</v>
      </c>
      <c r="CX98" t="e">
        <f>'All regions'!H2445+"n/&gt;!&amp;4l"</f>
        <v>#VALUE!</v>
      </c>
      <c r="CY98" t="e">
        <f>'All regions'!I2445+"n/&gt;!&amp;4m"</f>
        <v>#VALUE!</v>
      </c>
      <c r="CZ98" t="e">
        <f>'All regions'!J2445+"n/&gt;!&amp;4n"</f>
        <v>#VALUE!</v>
      </c>
      <c r="DA98" t="e">
        <f>'All regions'!A2446+"n/&gt;!&amp;4o"</f>
        <v>#VALUE!</v>
      </c>
      <c r="DB98" t="e">
        <f>'All regions'!B2446+"n/&gt;!&amp;4p"</f>
        <v>#VALUE!</v>
      </c>
      <c r="DC98" t="e">
        <f>'All regions'!C2446+"n/&gt;!&amp;4q"</f>
        <v>#VALUE!</v>
      </c>
      <c r="DD98" t="e">
        <f>'All regions'!D2446+"n/&gt;!&amp;4r"</f>
        <v>#VALUE!</v>
      </c>
      <c r="DE98" t="e">
        <f>'All regions'!E2446+"n/&gt;!&amp;4s"</f>
        <v>#VALUE!</v>
      </c>
      <c r="DF98" t="e">
        <f>'All regions'!F2446+"n/&gt;!&amp;4t"</f>
        <v>#VALUE!</v>
      </c>
      <c r="DG98" t="e">
        <f>'All regions'!G2446+"n/&gt;!&amp;4u"</f>
        <v>#VALUE!</v>
      </c>
      <c r="DH98" t="e">
        <f>'All regions'!H2446+"n/&gt;!&amp;4v"</f>
        <v>#VALUE!</v>
      </c>
      <c r="DI98" t="e">
        <f>'All regions'!I2446+"n/&gt;!&amp;4w"</f>
        <v>#VALUE!</v>
      </c>
      <c r="DJ98" t="e">
        <f>'All regions'!J2446+"n/&gt;!&amp;4x"</f>
        <v>#VALUE!</v>
      </c>
      <c r="DK98" t="e">
        <f>'All regions'!A2447+"n/&gt;!&amp;4y"</f>
        <v>#VALUE!</v>
      </c>
      <c r="DL98" t="e">
        <f>'All regions'!B2447+"n/&gt;!&amp;4z"</f>
        <v>#VALUE!</v>
      </c>
      <c r="DM98" t="e">
        <f>'All regions'!C2447+"n/&gt;!&amp;4{"</f>
        <v>#VALUE!</v>
      </c>
      <c r="DN98" t="e">
        <f>'All regions'!D2447+"n/&gt;!&amp;4|"</f>
        <v>#VALUE!</v>
      </c>
      <c r="DO98" t="e">
        <f>'All regions'!E2447+"n/&gt;!&amp;4}"</f>
        <v>#VALUE!</v>
      </c>
      <c r="DP98" t="e">
        <f>'All regions'!F2447+"n/&gt;!&amp;4~"</f>
        <v>#VALUE!</v>
      </c>
      <c r="DQ98" t="e">
        <f>'All regions'!G2447+"n/&gt;!&amp;5#"</f>
        <v>#VALUE!</v>
      </c>
      <c r="DR98" t="e">
        <f>'All regions'!H2447+"n/&gt;!&amp;5$"</f>
        <v>#VALUE!</v>
      </c>
      <c r="DS98" t="e">
        <f>'All regions'!I2447+"n/&gt;!&amp;5%"</f>
        <v>#VALUE!</v>
      </c>
      <c r="DT98" t="e">
        <f>'All regions'!J2447+"n/&gt;!&amp;5&amp;"</f>
        <v>#VALUE!</v>
      </c>
      <c r="DU98" t="e">
        <f>'All regions'!A2448+"n/&gt;!&amp;5'"</f>
        <v>#VALUE!</v>
      </c>
      <c r="DV98" t="e">
        <f>'All regions'!B2448+"n/&gt;!&amp;5("</f>
        <v>#VALUE!</v>
      </c>
      <c r="DW98" t="e">
        <f>'All regions'!C2448+"n/&gt;!&amp;5)"</f>
        <v>#VALUE!</v>
      </c>
      <c r="DX98" t="e">
        <f>'All regions'!D2448+"n/&gt;!&amp;5."</f>
        <v>#VALUE!</v>
      </c>
      <c r="DY98" t="e">
        <f>'All regions'!E2448+"n/&gt;!&amp;5/"</f>
        <v>#VALUE!</v>
      </c>
      <c r="DZ98" t="e">
        <f>'All regions'!F2448+"n/&gt;!&amp;50"</f>
        <v>#VALUE!</v>
      </c>
      <c r="EA98" t="e">
        <f>'All regions'!G2448+"n/&gt;!&amp;51"</f>
        <v>#VALUE!</v>
      </c>
      <c r="EB98" t="e">
        <f>'All regions'!H2448+"n/&gt;!&amp;52"</f>
        <v>#VALUE!</v>
      </c>
      <c r="EC98" t="e">
        <f>'All regions'!I2448+"n/&gt;!&amp;53"</f>
        <v>#VALUE!</v>
      </c>
      <c r="ED98" t="e">
        <f>'All regions'!J2448+"n/&gt;!&amp;54"</f>
        <v>#VALUE!</v>
      </c>
      <c r="EE98" t="e">
        <f>'All regions'!A2449+"n/&gt;!&amp;55"</f>
        <v>#VALUE!</v>
      </c>
      <c r="EF98" t="e">
        <f>'All regions'!B2449+"n/&gt;!&amp;56"</f>
        <v>#VALUE!</v>
      </c>
      <c r="EG98" t="e">
        <f>'All regions'!C2449+"n/&gt;!&amp;57"</f>
        <v>#VALUE!</v>
      </c>
      <c r="EH98" t="e">
        <f>'All regions'!D2449+"n/&gt;!&amp;58"</f>
        <v>#VALUE!</v>
      </c>
      <c r="EI98" t="e">
        <f>'All regions'!E2449+"n/&gt;!&amp;59"</f>
        <v>#VALUE!</v>
      </c>
      <c r="EJ98" t="e">
        <f>'All regions'!F2449+"n/&gt;!&amp;5:"</f>
        <v>#VALUE!</v>
      </c>
      <c r="EK98" t="e">
        <f>'All regions'!G2449+"n/&gt;!&amp;5;"</f>
        <v>#VALUE!</v>
      </c>
      <c r="EL98" t="e">
        <f>'All regions'!H2449+"n/&gt;!&amp;5&lt;"</f>
        <v>#VALUE!</v>
      </c>
      <c r="EM98" t="e">
        <f>'All regions'!I2449+"n/&gt;!&amp;5="</f>
        <v>#VALUE!</v>
      </c>
      <c r="EN98" t="e">
        <f>'All regions'!J2449+"n/&gt;!&amp;5&gt;"</f>
        <v>#VALUE!</v>
      </c>
      <c r="EO98" t="e">
        <f>'All regions'!A2450+"n/&gt;!&amp;5?"</f>
        <v>#VALUE!</v>
      </c>
      <c r="EP98" t="e">
        <f>'All regions'!B2450+"n/&gt;!&amp;5@"</f>
        <v>#VALUE!</v>
      </c>
      <c r="EQ98" t="e">
        <f>'All regions'!C2450+"n/&gt;!&amp;5A"</f>
        <v>#VALUE!</v>
      </c>
      <c r="ER98" t="e">
        <f>'All regions'!D2450+"n/&gt;!&amp;5B"</f>
        <v>#VALUE!</v>
      </c>
      <c r="ES98" t="e">
        <f>'All regions'!E2450+"n/&gt;!&amp;5C"</f>
        <v>#VALUE!</v>
      </c>
      <c r="ET98" t="e">
        <f>'All regions'!F2450+"n/&gt;!&amp;5D"</f>
        <v>#VALUE!</v>
      </c>
      <c r="EU98" t="e">
        <f>'All regions'!G2450+"n/&gt;!&amp;5E"</f>
        <v>#VALUE!</v>
      </c>
      <c r="EV98" t="e">
        <f>'All regions'!H2450+"n/&gt;!&amp;5F"</f>
        <v>#VALUE!</v>
      </c>
      <c r="EW98" t="e">
        <f>'All regions'!I2450+"n/&gt;!&amp;5G"</f>
        <v>#VALUE!</v>
      </c>
      <c r="EX98" t="e">
        <f>'All regions'!J2450+"n/&gt;!&amp;5H"</f>
        <v>#VALUE!</v>
      </c>
      <c r="EY98" t="e">
        <f>'All regions'!A2451+"n/&gt;!&amp;5I"</f>
        <v>#VALUE!</v>
      </c>
      <c r="EZ98" t="e">
        <f>'All regions'!B2451+"n/&gt;!&amp;5J"</f>
        <v>#VALUE!</v>
      </c>
      <c r="FA98" t="e">
        <f>'All regions'!C2451+"n/&gt;!&amp;5K"</f>
        <v>#VALUE!</v>
      </c>
      <c r="FB98" t="e">
        <f>'All regions'!D2451+"n/&gt;!&amp;5L"</f>
        <v>#VALUE!</v>
      </c>
      <c r="FC98" t="e">
        <f>'All regions'!E2451+"n/&gt;!&amp;5M"</f>
        <v>#VALUE!</v>
      </c>
      <c r="FD98" t="e">
        <f>'All regions'!F2451+"n/&gt;!&amp;5N"</f>
        <v>#VALUE!</v>
      </c>
      <c r="FE98" t="e">
        <f>'All regions'!G2451+"n/&gt;!&amp;5O"</f>
        <v>#VALUE!</v>
      </c>
      <c r="FF98" t="e">
        <f>'All regions'!H2451+"n/&gt;!&amp;5P"</f>
        <v>#VALUE!</v>
      </c>
      <c r="FG98" t="e">
        <f>'All regions'!I2451+"n/&gt;!&amp;5Q"</f>
        <v>#VALUE!</v>
      </c>
      <c r="FH98" t="e">
        <f>'All regions'!J2451+"n/&gt;!&amp;5R"</f>
        <v>#VALUE!</v>
      </c>
      <c r="FI98" t="e">
        <f>'All regions'!A2452+"n/&gt;!&amp;5S"</f>
        <v>#VALUE!</v>
      </c>
      <c r="FJ98" t="e">
        <f>'All regions'!B2452+"n/&gt;!&amp;5T"</f>
        <v>#VALUE!</v>
      </c>
      <c r="FK98" t="e">
        <f>'All regions'!C2452+"n/&gt;!&amp;5U"</f>
        <v>#VALUE!</v>
      </c>
      <c r="FL98" t="e">
        <f>'All regions'!D2452+"n/&gt;!&amp;5V"</f>
        <v>#VALUE!</v>
      </c>
      <c r="FM98" t="e">
        <f>'All regions'!E2452+"n/&gt;!&amp;5W"</f>
        <v>#VALUE!</v>
      </c>
      <c r="FN98" t="e">
        <f>'All regions'!F2452+"n/&gt;!&amp;5X"</f>
        <v>#VALUE!</v>
      </c>
      <c r="FO98" t="e">
        <f>'All regions'!G2452+"n/&gt;!&amp;5Y"</f>
        <v>#VALUE!</v>
      </c>
      <c r="FP98" t="e">
        <f>'All regions'!H2452+"n/&gt;!&amp;5Z"</f>
        <v>#VALUE!</v>
      </c>
      <c r="FQ98" t="e">
        <f>'All regions'!I2452+"n/&gt;!&amp;5["</f>
        <v>#VALUE!</v>
      </c>
      <c r="FR98" t="e">
        <f>'All regions'!J2452+"n/&gt;!&amp;5\"</f>
        <v>#VALUE!</v>
      </c>
      <c r="FS98" t="e">
        <f>'All regions'!A2453+"n/&gt;!&amp;5]"</f>
        <v>#VALUE!</v>
      </c>
      <c r="FT98" t="e">
        <f>'All regions'!B2453+"n/&gt;!&amp;5^"</f>
        <v>#VALUE!</v>
      </c>
      <c r="FU98" t="e">
        <f>'All regions'!C2453+"n/&gt;!&amp;5_"</f>
        <v>#VALUE!</v>
      </c>
      <c r="FV98" t="e">
        <f>'All regions'!D2453+"n/&gt;!&amp;5`"</f>
        <v>#VALUE!</v>
      </c>
      <c r="FW98" t="e">
        <f>'All regions'!E2453+"n/&gt;!&amp;5a"</f>
        <v>#VALUE!</v>
      </c>
      <c r="FX98" t="e">
        <f>'All regions'!F2453+"n/&gt;!&amp;5b"</f>
        <v>#VALUE!</v>
      </c>
      <c r="FY98" t="e">
        <f>'All regions'!G2453+"n/&gt;!&amp;5c"</f>
        <v>#VALUE!</v>
      </c>
      <c r="FZ98" t="e">
        <f>'All regions'!H2453+"n/&gt;!&amp;5d"</f>
        <v>#VALUE!</v>
      </c>
      <c r="GA98" t="e">
        <f>'All regions'!I2453+"n/&gt;!&amp;5e"</f>
        <v>#VALUE!</v>
      </c>
      <c r="GB98" t="e">
        <f>'All regions'!J2453+"n/&gt;!&amp;5f"</f>
        <v>#VALUE!</v>
      </c>
      <c r="GC98" t="e">
        <f>'All regions'!A2454+"n/&gt;!&amp;5g"</f>
        <v>#VALUE!</v>
      </c>
      <c r="GD98" t="e">
        <f>'All regions'!B2454+"n/&gt;!&amp;5h"</f>
        <v>#VALUE!</v>
      </c>
      <c r="GE98" t="e">
        <f>'All regions'!C2454+"n/&gt;!&amp;5i"</f>
        <v>#VALUE!</v>
      </c>
      <c r="GF98" t="e">
        <f>'All regions'!D2454+"n/&gt;!&amp;5j"</f>
        <v>#VALUE!</v>
      </c>
      <c r="GG98" t="e">
        <f>'All regions'!E2454+"n/&gt;!&amp;5k"</f>
        <v>#VALUE!</v>
      </c>
      <c r="GH98" t="e">
        <f>'All regions'!F2454+"n/&gt;!&amp;5l"</f>
        <v>#VALUE!</v>
      </c>
      <c r="GI98" t="e">
        <f>'All regions'!G2454+"n/&gt;!&amp;5m"</f>
        <v>#VALUE!</v>
      </c>
      <c r="GJ98" t="e">
        <f>'All regions'!H2454+"n/&gt;!&amp;5n"</f>
        <v>#VALUE!</v>
      </c>
      <c r="GK98" t="e">
        <f>'All regions'!I2454+"n/&gt;!&amp;5o"</f>
        <v>#VALUE!</v>
      </c>
      <c r="GL98" t="e">
        <f>'All regions'!J2454+"n/&gt;!&amp;5p"</f>
        <v>#VALUE!</v>
      </c>
      <c r="GM98" t="e">
        <f>'All regions'!A2455+"n/&gt;!&amp;5q"</f>
        <v>#VALUE!</v>
      </c>
      <c r="GN98" t="e">
        <f>'All regions'!B2455+"n/&gt;!&amp;5r"</f>
        <v>#VALUE!</v>
      </c>
      <c r="GO98" t="e">
        <f>'All regions'!C2455+"n/&gt;!&amp;5s"</f>
        <v>#VALUE!</v>
      </c>
      <c r="GP98" t="e">
        <f>'All regions'!D2455+"n/&gt;!&amp;5t"</f>
        <v>#VALUE!</v>
      </c>
      <c r="GQ98" t="e">
        <f>'All regions'!E2455+"n/&gt;!&amp;5u"</f>
        <v>#VALUE!</v>
      </c>
      <c r="GR98" t="e">
        <f>'All regions'!F2455+"n/&gt;!&amp;5v"</f>
        <v>#VALUE!</v>
      </c>
      <c r="GS98" t="e">
        <f>'All regions'!G2455+"n/&gt;!&amp;5w"</f>
        <v>#VALUE!</v>
      </c>
      <c r="GT98" t="e">
        <f>'All regions'!H2455+"n/&gt;!&amp;5x"</f>
        <v>#VALUE!</v>
      </c>
      <c r="GU98" t="e">
        <f>'All regions'!I2455+"n/&gt;!&amp;5y"</f>
        <v>#VALUE!</v>
      </c>
      <c r="GV98" t="e">
        <f>'All regions'!J2455+"n/&gt;!&amp;5z"</f>
        <v>#VALUE!</v>
      </c>
      <c r="GW98" t="e">
        <f>'All regions'!A2456+"n/&gt;!&amp;5{"</f>
        <v>#VALUE!</v>
      </c>
      <c r="GX98" t="e">
        <f>'All regions'!B2456+"n/&gt;!&amp;5|"</f>
        <v>#VALUE!</v>
      </c>
      <c r="GY98" t="e">
        <f>'All regions'!C2456+"n/&gt;!&amp;5}"</f>
        <v>#VALUE!</v>
      </c>
      <c r="GZ98" t="e">
        <f>'All regions'!D2456+"n/&gt;!&amp;5~"</f>
        <v>#VALUE!</v>
      </c>
      <c r="HA98" t="e">
        <f>'All regions'!E2456+"n/&gt;!&amp;6#"</f>
        <v>#VALUE!</v>
      </c>
      <c r="HB98" t="e">
        <f>'All regions'!F2456+"n/&gt;!&amp;6$"</f>
        <v>#VALUE!</v>
      </c>
      <c r="HC98" t="e">
        <f>'All regions'!G2456+"n/&gt;!&amp;6%"</f>
        <v>#VALUE!</v>
      </c>
      <c r="HD98" t="e">
        <f>'All regions'!H2456+"n/&gt;!&amp;6&amp;"</f>
        <v>#VALUE!</v>
      </c>
      <c r="HE98" t="e">
        <f>'All regions'!I2456+"n/&gt;!&amp;6'"</f>
        <v>#VALUE!</v>
      </c>
      <c r="HF98" t="e">
        <f>'All regions'!J2456+"n/&gt;!&amp;6("</f>
        <v>#VALUE!</v>
      </c>
      <c r="HG98" t="e">
        <f>'All regions'!A2457+"n/&gt;!&amp;6)"</f>
        <v>#VALUE!</v>
      </c>
      <c r="HH98" t="e">
        <f>'All regions'!B2457+"n/&gt;!&amp;6."</f>
        <v>#VALUE!</v>
      </c>
      <c r="HI98" t="e">
        <f>'All regions'!C2457+"n/&gt;!&amp;6/"</f>
        <v>#VALUE!</v>
      </c>
      <c r="HJ98" t="e">
        <f>'All regions'!D2457+"n/&gt;!&amp;60"</f>
        <v>#VALUE!</v>
      </c>
      <c r="HK98" t="e">
        <f>'All regions'!E2457+"n/&gt;!&amp;61"</f>
        <v>#VALUE!</v>
      </c>
      <c r="HL98" t="e">
        <f>'All regions'!F2457+"n/&gt;!&amp;62"</f>
        <v>#VALUE!</v>
      </c>
      <c r="HM98" t="e">
        <f>'All regions'!G2457+"n/&gt;!&amp;63"</f>
        <v>#VALUE!</v>
      </c>
      <c r="HN98" t="e">
        <f>'All regions'!H2457+"n/&gt;!&amp;64"</f>
        <v>#VALUE!</v>
      </c>
      <c r="HO98" t="e">
        <f>'All regions'!I2457+"n/&gt;!&amp;65"</f>
        <v>#VALUE!</v>
      </c>
      <c r="HP98" t="e">
        <f>'All regions'!J2457+"n/&gt;!&amp;66"</f>
        <v>#VALUE!</v>
      </c>
      <c r="HQ98" t="e">
        <f>'All regions'!A2458+"n/&gt;!&amp;67"</f>
        <v>#VALUE!</v>
      </c>
      <c r="HR98" t="e">
        <f>'All regions'!B2458+"n/&gt;!&amp;68"</f>
        <v>#VALUE!</v>
      </c>
      <c r="HS98" t="e">
        <f>'All regions'!C2458+"n/&gt;!&amp;69"</f>
        <v>#VALUE!</v>
      </c>
      <c r="HT98" t="e">
        <f>'All regions'!D2458+"n/&gt;!&amp;6:"</f>
        <v>#VALUE!</v>
      </c>
      <c r="HU98" t="e">
        <f>'All regions'!E2458+"n/&gt;!&amp;6;"</f>
        <v>#VALUE!</v>
      </c>
      <c r="HV98" t="e">
        <f>'All regions'!F2458+"n/&gt;!&amp;6&lt;"</f>
        <v>#VALUE!</v>
      </c>
      <c r="HW98" t="e">
        <f>'All regions'!G2458+"n/&gt;!&amp;6="</f>
        <v>#VALUE!</v>
      </c>
      <c r="HX98" t="e">
        <f>'All regions'!H2458+"n/&gt;!&amp;6&gt;"</f>
        <v>#VALUE!</v>
      </c>
      <c r="HY98" t="e">
        <f>'All regions'!I2458+"n/&gt;!&amp;6?"</f>
        <v>#VALUE!</v>
      </c>
      <c r="HZ98" t="e">
        <f>'All regions'!J2458+"n/&gt;!&amp;6@"</f>
        <v>#VALUE!</v>
      </c>
      <c r="IA98" t="e">
        <f>'All regions'!A2459+"n/&gt;!&amp;6A"</f>
        <v>#VALUE!</v>
      </c>
      <c r="IB98" t="e">
        <f>'All regions'!B2459+"n/&gt;!&amp;6B"</f>
        <v>#VALUE!</v>
      </c>
      <c r="IC98" t="e">
        <f>'All regions'!C2459+"n/&gt;!&amp;6C"</f>
        <v>#VALUE!</v>
      </c>
      <c r="ID98" t="e">
        <f>'All regions'!D2459+"n/&gt;!&amp;6D"</f>
        <v>#VALUE!</v>
      </c>
      <c r="IE98" t="e">
        <f>'All regions'!E2459+"n/&gt;!&amp;6E"</f>
        <v>#VALUE!</v>
      </c>
      <c r="IF98" t="e">
        <f>'All regions'!F2459+"n/&gt;!&amp;6F"</f>
        <v>#VALUE!</v>
      </c>
      <c r="IG98" t="e">
        <f>'All regions'!G2459+"n/&gt;!&amp;6G"</f>
        <v>#VALUE!</v>
      </c>
      <c r="IH98" t="e">
        <f>'All regions'!H2459+"n/&gt;!&amp;6H"</f>
        <v>#VALUE!</v>
      </c>
      <c r="II98" t="e">
        <f>'All regions'!I2459+"n/&gt;!&amp;6I"</f>
        <v>#VALUE!</v>
      </c>
      <c r="IJ98" t="e">
        <f>'All regions'!J2459+"n/&gt;!&amp;6J"</f>
        <v>#VALUE!</v>
      </c>
      <c r="IK98" t="e">
        <f>'All regions'!A2460+"n/&gt;!&amp;6K"</f>
        <v>#VALUE!</v>
      </c>
      <c r="IL98" t="e">
        <f>'All regions'!B2460+"n/&gt;!&amp;6L"</f>
        <v>#VALUE!</v>
      </c>
      <c r="IM98" t="e">
        <f>'All regions'!C2460+"n/&gt;!&amp;6M"</f>
        <v>#VALUE!</v>
      </c>
      <c r="IN98" t="e">
        <f>'All regions'!D2460+"n/&gt;!&amp;6N"</f>
        <v>#VALUE!</v>
      </c>
      <c r="IO98" t="e">
        <f>'All regions'!E2460+"n/&gt;!&amp;6O"</f>
        <v>#VALUE!</v>
      </c>
      <c r="IP98" t="e">
        <f>'All regions'!F2460+"n/&gt;!&amp;6P"</f>
        <v>#VALUE!</v>
      </c>
      <c r="IQ98" t="e">
        <f>'All regions'!G2460+"n/&gt;!&amp;6Q"</f>
        <v>#VALUE!</v>
      </c>
      <c r="IR98" t="e">
        <f>'All regions'!H2460+"n/&gt;!&amp;6R"</f>
        <v>#VALUE!</v>
      </c>
      <c r="IS98" t="e">
        <f>'All regions'!I2460+"n/&gt;!&amp;6S"</f>
        <v>#VALUE!</v>
      </c>
      <c r="IT98" t="e">
        <f>'All regions'!J2460+"n/&gt;!&amp;6T"</f>
        <v>#VALUE!</v>
      </c>
      <c r="IU98" t="e">
        <f>'All regions'!A2461+"n/&gt;!&amp;6U"</f>
        <v>#VALUE!</v>
      </c>
      <c r="IV98" t="e">
        <f>'All regions'!B2461+"n/&gt;!&amp;6V"</f>
        <v>#VALUE!</v>
      </c>
    </row>
    <row r="99" spans="6:256" x14ac:dyDescent="0.35">
      <c r="F99" t="e">
        <f>'All regions'!C2461+"n/&gt;!&amp;6W"</f>
        <v>#VALUE!</v>
      </c>
      <c r="G99" t="e">
        <f>'All regions'!D2461+"n/&gt;!&amp;6X"</f>
        <v>#VALUE!</v>
      </c>
      <c r="H99" t="e">
        <f>'All regions'!E2461+"n/&gt;!&amp;6Y"</f>
        <v>#VALUE!</v>
      </c>
      <c r="I99" t="e">
        <f>'All regions'!F2461+"n/&gt;!&amp;6Z"</f>
        <v>#VALUE!</v>
      </c>
      <c r="J99" t="e">
        <f>'All regions'!G2461+"n/&gt;!&amp;6["</f>
        <v>#VALUE!</v>
      </c>
      <c r="K99" t="e">
        <f>'All regions'!H2461+"n/&gt;!&amp;6\"</f>
        <v>#VALUE!</v>
      </c>
      <c r="L99" t="e">
        <f>'All regions'!I2461+"n/&gt;!&amp;6]"</f>
        <v>#VALUE!</v>
      </c>
      <c r="M99" t="e">
        <f>'All regions'!J2461+"n/&gt;!&amp;6^"</f>
        <v>#VALUE!</v>
      </c>
      <c r="N99" t="e">
        <f>'All regions'!A2462+"n/&gt;!&amp;6_"</f>
        <v>#VALUE!</v>
      </c>
      <c r="O99" t="e">
        <f>'All regions'!B2462+"n/&gt;!&amp;6`"</f>
        <v>#VALUE!</v>
      </c>
      <c r="P99" t="e">
        <f>'All regions'!C2462+"n/&gt;!&amp;6a"</f>
        <v>#VALUE!</v>
      </c>
      <c r="Q99" t="e">
        <f>'All regions'!D2462+"n/&gt;!&amp;6b"</f>
        <v>#VALUE!</v>
      </c>
      <c r="R99" t="e">
        <f>'All regions'!E2462+"n/&gt;!&amp;6c"</f>
        <v>#VALUE!</v>
      </c>
      <c r="S99" t="e">
        <f>'All regions'!F2462+"n/&gt;!&amp;6d"</f>
        <v>#VALUE!</v>
      </c>
      <c r="T99" t="e">
        <f>'All regions'!G2462+"n/&gt;!&amp;6e"</f>
        <v>#VALUE!</v>
      </c>
      <c r="U99" t="e">
        <f>'All regions'!H2462+"n/&gt;!&amp;6f"</f>
        <v>#VALUE!</v>
      </c>
      <c r="V99" t="e">
        <f>'All regions'!I2462+"n/&gt;!&amp;6g"</f>
        <v>#VALUE!</v>
      </c>
      <c r="W99" t="e">
        <f>'All regions'!J2462+"n/&gt;!&amp;6h"</f>
        <v>#VALUE!</v>
      </c>
      <c r="X99" t="e">
        <f>'All regions'!A2463+"n/&gt;!&amp;6i"</f>
        <v>#VALUE!</v>
      </c>
      <c r="Y99" t="e">
        <f>'All regions'!B2463+"n/&gt;!&amp;6j"</f>
        <v>#VALUE!</v>
      </c>
      <c r="Z99" t="e">
        <f>'All regions'!C2463+"n/&gt;!&amp;6k"</f>
        <v>#VALUE!</v>
      </c>
      <c r="AA99" t="e">
        <f>'All regions'!D2463+"n/&gt;!&amp;6l"</f>
        <v>#VALUE!</v>
      </c>
      <c r="AB99" t="e">
        <f>'All regions'!E2463+"n/&gt;!&amp;6m"</f>
        <v>#VALUE!</v>
      </c>
      <c r="AC99" t="e">
        <f>'All regions'!F2463+"n/&gt;!&amp;6n"</f>
        <v>#VALUE!</v>
      </c>
      <c r="AD99" t="e">
        <f>'All regions'!G2463+"n/&gt;!&amp;6o"</f>
        <v>#VALUE!</v>
      </c>
      <c r="AE99" t="e">
        <f>'All regions'!H2463+"n/&gt;!&amp;6p"</f>
        <v>#VALUE!</v>
      </c>
      <c r="AF99" t="e">
        <f>'All regions'!I2463+"n/&gt;!&amp;6q"</f>
        <v>#VALUE!</v>
      </c>
      <c r="AG99" t="e">
        <f>'All regions'!J2463+"n/&gt;!&amp;6r"</f>
        <v>#VALUE!</v>
      </c>
      <c r="AH99" t="e">
        <f>'All regions'!A2464+"n/&gt;!&amp;6s"</f>
        <v>#VALUE!</v>
      </c>
      <c r="AI99" t="e">
        <f>'All regions'!B2464+"n/&gt;!&amp;6t"</f>
        <v>#VALUE!</v>
      </c>
      <c r="AJ99" t="e">
        <f>'All regions'!C2464+"n/&gt;!&amp;6u"</f>
        <v>#VALUE!</v>
      </c>
      <c r="AK99" t="e">
        <f>'All regions'!D2464+"n/&gt;!&amp;6v"</f>
        <v>#VALUE!</v>
      </c>
      <c r="AL99" t="e">
        <f>'All regions'!E2464+"n/&gt;!&amp;6w"</f>
        <v>#VALUE!</v>
      </c>
      <c r="AM99" t="e">
        <f>'All regions'!F2464+"n/&gt;!&amp;6x"</f>
        <v>#VALUE!</v>
      </c>
      <c r="AN99" t="e">
        <f>'All regions'!G2464+"n/&gt;!&amp;6y"</f>
        <v>#VALUE!</v>
      </c>
      <c r="AO99" t="e">
        <f>'All regions'!H2464+"n/&gt;!&amp;6z"</f>
        <v>#VALUE!</v>
      </c>
      <c r="AP99" t="e">
        <f>'All regions'!I2464+"n/&gt;!&amp;6{"</f>
        <v>#VALUE!</v>
      </c>
      <c r="AQ99" t="e">
        <f>'All regions'!J2464+"n/&gt;!&amp;6|"</f>
        <v>#VALUE!</v>
      </c>
      <c r="AR99" t="e">
        <f>'All regions'!A2465+"n/&gt;!&amp;6}"</f>
        <v>#VALUE!</v>
      </c>
      <c r="AS99" t="e">
        <f>'All regions'!B2465+"n/&gt;!&amp;6~"</f>
        <v>#VALUE!</v>
      </c>
      <c r="AT99" t="e">
        <f>'All regions'!C2465+"n/&gt;!&amp;7#"</f>
        <v>#VALUE!</v>
      </c>
      <c r="AU99" t="e">
        <f>'All regions'!D2465+"n/&gt;!&amp;7$"</f>
        <v>#VALUE!</v>
      </c>
      <c r="AV99" t="e">
        <f>'All regions'!E2465+"n/&gt;!&amp;7%"</f>
        <v>#VALUE!</v>
      </c>
      <c r="AW99" t="e">
        <f>'All regions'!F2465+"n/&gt;!&amp;7&amp;"</f>
        <v>#VALUE!</v>
      </c>
      <c r="AX99" t="e">
        <f>'All regions'!G2465+"n/&gt;!&amp;7'"</f>
        <v>#VALUE!</v>
      </c>
      <c r="AY99" t="e">
        <f>'All regions'!H2465+"n/&gt;!&amp;7("</f>
        <v>#VALUE!</v>
      </c>
      <c r="AZ99" t="e">
        <f>'All regions'!I2465+"n/&gt;!&amp;7)"</f>
        <v>#VALUE!</v>
      </c>
      <c r="BA99" t="e">
        <f>'All regions'!J2465+"n/&gt;!&amp;7."</f>
        <v>#VALUE!</v>
      </c>
      <c r="BB99" t="e">
        <f>'All regions'!A2466+"n/&gt;!&amp;7/"</f>
        <v>#VALUE!</v>
      </c>
      <c r="BC99" t="e">
        <f>'All regions'!B2466+"n/&gt;!&amp;70"</f>
        <v>#VALUE!</v>
      </c>
      <c r="BD99" t="e">
        <f>'All regions'!C2466+"n/&gt;!&amp;71"</f>
        <v>#VALUE!</v>
      </c>
      <c r="BE99" t="e">
        <f>'All regions'!D2466+"n/&gt;!&amp;72"</f>
        <v>#VALUE!</v>
      </c>
      <c r="BF99" t="e">
        <f>'All regions'!E2466+"n/&gt;!&amp;73"</f>
        <v>#VALUE!</v>
      </c>
      <c r="BG99" t="e">
        <f>'All regions'!F2466+"n/&gt;!&amp;74"</f>
        <v>#VALUE!</v>
      </c>
      <c r="BH99" t="e">
        <f>'All regions'!G2466+"n/&gt;!&amp;75"</f>
        <v>#VALUE!</v>
      </c>
      <c r="BI99" t="e">
        <f>'All regions'!H2466+"n/&gt;!&amp;76"</f>
        <v>#VALUE!</v>
      </c>
      <c r="BJ99" t="e">
        <f>'All regions'!I2466+"n/&gt;!&amp;77"</f>
        <v>#VALUE!</v>
      </c>
      <c r="BK99" t="e">
        <f>'All regions'!J2466+"n/&gt;!&amp;78"</f>
        <v>#VALUE!</v>
      </c>
      <c r="BL99" t="e">
        <f>'All regions'!A2467+"n/&gt;!&amp;79"</f>
        <v>#VALUE!</v>
      </c>
      <c r="BM99" t="e">
        <f>'All regions'!B2467+"n/&gt;!&amp;7:"</f>
        <v>#VALUE!</v>
      </c>
      <c r="BN99" t="e">
        <f>'All regions'!C2467+"n/&gt;!&amp;7;"</f>
        <v>#VALUE!</v>
      </c>
      <c r="BO99" t="e">
        <f>'All regions'!D2467+"n/&gt;!&amp;7&lt;"</f>
        <v>#VALUE!</v>
      </c>
      <c r="BP99" t="e">
        <f>'All regions'!E2467+"n/&gt;!&amp;7="</f>
        <v>#VALUE!</v>
      </c>
      <c r="BQ99" t="e">
        <f>'All regions'!F2467+"n/&gt;!&amp;7&gt;"</f>
        <v>#VALUE!</v>
      </c>
      <c r="BR99" t="e">
        <f>'All regions'!G2467+"n/&gt;!&amp;7?"</f>
        <v>#VALUE!</v>
      </c>
      <c r="BS99" t="e">
        <f>'All regions'!H2467+"n/&gt;!&amp;7@"</f>
        <v>#VALUE!</v>
      </c>
      <c r="BT99" t="e">
        <f>'All regions'!I2467+"n/&gt;!&amp;7A"</f>
        <v>#VALUE!</v>
      </c>
      <c r="BU99" t="e">
        <f>'All regions'!J2467+"n/&gt;!&amp;7B"</f>
        <v>#VALUE!</v>
      </c>
      <c r="BV99" t="e">
        <f>'All regions'!A2468+"n/&gt;!&amp;7C"</f>
        <v>#VALUE!</v>
      </c>
      <c r="BW99" t="e">
        <f>'All regions'!B2468+"n/&gt;!&amp;7D"</f>
        <v>#VALUE!</v>
      </c>
      <c r="BX99" t="e">
        <f>'All regions'!C2468+"n/&gt;!&amp;7E"</f>
        <v>#VALUE!</v>
      </c>
      <c r="BY99" t="e">
        <f>'All regions'!D2468+"n/&gt;!&amp;7F"</f>
        <v>#VALUE!</v>
      </c>
      <c r="BZ99" t="e">
        <f>'All regions'!E2468+"n/&gt;!&amp;7G"</f>
        <v>#VALUE!</v>
      </c>
      <c r="CA99" t="e">
        <f>'All regions'!F2468+"n/&gt;!&amp;7H"</f>
        <v>#VALUE!</v>
      </c>
      <c r="CB99" t="e">
        <f>'All regions'!G2468+"n/&gt;!&amp;7I"</f>
        <v>#VALUE!</v>
      </c>
      <c r="CC99" t="e">
        <f>'All regions'!H2468+"n/&gt;!&amp;7J"</f>
        <v>#VALUE!</v>
      </c>
      <c r="CD99" t="e">
        <f>'All regions'!I2468+"n/&gt;!&amp;7K"</f>
        <v>#VALUE!</v>
      </c>
      <c r="CE99" t="e">
        <f>'All regions'!J2468+"n/&gt;!&amp;7L"</f>
        <v>#VALUE!</v>
      </c>
      <c r="CF99" t="e">
        <f>'All regions'!A2469+"n/&gt;!&amp;7M"</f>
        <v>#VALUE!</v>
      </c>
      <c r="CG99" t="e">
        <f>'All regions'!B2469+"n/&gt;!&amp;7N"</f>
        <v>#VALUE!</v>
      </c>
      <c r="CH99" t="e">
        <f>'All regions'!C2469+"n/&gt;!&amp;7O"</f>
        <v>#VALUE!</v>
      </c>
      <c r="CI99" t="e">
        <f>'All regions'!D2469+"n/&gt;!&amp;7P"</f>
        <v>#VALUE!</v>
      </c>
      <c r="CJ99" t="e">
        <f>'All regions'!E2469+"n/&gt;!&amp;7Q"</f>
        <v>#VALUE!</v>
      </c>
      <c r="CK99" t="e">
        <f>'All regions'!F2469+"n/&gt;!&amp;7R"</f>
        <v>#VALUE!</v>
      </c>
      <c r="CL99" t="e">
        <f>'All regions'!G2469+"n/&gt;!&amp;7S"</f>
        <v>#VALUE!</v>
      </c>
      <c r="CM99" t="e">
        <f>'All regions'!H2469+"n/&gt;!&amp;7T"</f>
        <v>#VALUE!</v>
      </c>
      <c r="CN99" t="e">
        <f>'All regions'!I2469+"n/&gt;!&amp;7U"</f>
        <v>#VALUE!</v>
      </c>
      <c r="CO99" t="e">
        <f>'All regions'!J2469+"n/&gt;!&amp;7V"</f>
        <v>#VALUE!</v>
      </c>
      <c r="CP99" t="e">
        <f>'All regions'!A2470+"n/&gt;!&amp;7W"</f>
        <v>#VALUE!</v>
      </c>
      <c r="CQ99" t="e">
        <f>'All regions'!B2470+"n/&gt;!&amp;7X"</f>
        <v>#VALUE!</v>
      </c>
      <c r="CR99" t="e">
        <f>'All regions'!C2470+"n/&gt;!&amp;7Y"</f>
        <v>#VALUE!</v>
      </c>
      <c r="CS99" t="e">
        <f>'All regions'!D2470+"n/&gt;!&amp;7Z"</f>
        <v>#VALUE!</v>
      </c>
      <c r="CT99" t="e">
        <f>'All regions'!E2470+"n/&gt;!&amp;7["</f>
        <v>#VALUE!</v>
      </c>
      <c r="CU99" t="e">
        <f>'All regions'!F2470+"n/&gt;!&amp;7\"</f>
        <v>#VALUE!</v>
      </c>
      <c r="CV99" t="e">
        <f>'All regions'!G2470+"n/&gt;!&amp;7]"</f>
        <v>#VALUE!</v>
      </c>
      <c r="CW99" t="e">
        <f>'All regions'!H2470+"n/&gt;!&amp;7^"</f>
        <v>#VALUE!</v>
      </c>
      <c r="CX99" t="e">
        <f>'All regions'!I2470+"n/&gt;!&amp;7_"</f>
        <v>#VALUE!</v>
      </c>
      <c r="CY99" t="e">
        <f>'All regions'!J2470+"n/&gt;!&amp;7`"</f>
        <v>#VALUE!</v>
      </c>
      <c r="CZ99" t="e">
        <f>'All regions'!A2471+"n/&gt;!&amp;7a"</f>
        <v>#VALUE!</v>
      </c>
      <c r="DA99" t="e">
        <f>'All regions'!B2471+"n/&gt;!&amp;7b"</f>
        <v>#VALUE!</v>
      </c>
      <c r="DB99" t="e">
        <f>'All regions'!C2471+"n/&gt;!&amp;7c"</f>
        <v>#VALUE!</v>
      </c>
      <c r="DC99" t="e">
        <f>'All regions'!D2471+"n/&gt;!&amp;7d"</f>
        <v>#VALUE!</v>
      </c>
      <c r="DD99" t="e">
        <f>'All regions'!E2471+"n/&gt;!&amp;7e"</f>
        <v>#VALUE!</v>
      </c>
      <c r="DE99" t="e">
        <f>'All regions'!F2471+"n/&gt;!&amp;7f"</f>
        <v>#VALUE!</v>
      </c>
      <c r="DF99" t="e">
        <f>'All regions'!G2471+"n/&gt;!&amp;7g"</f>
        <v>#VALUE!</v>
      </c>
      <c r="DG99" t="e">
        <f>'All regions'!H2471+"n/&gt;!&amp;7h"</f>
        <v>#VALUE!</v>
      </c>
      <c r="DH99" t="e">
        <f>'All regions'!I2471+"n/&gt;!&amp;7i"</f>
        <v>#VALUE!</v>
      </c>
      <c r="DI99" t="e">
        <f>'All regions'!J2471+"n/&gt;!&amp;7j"</f>
        <v>#VALUE!</v>
      </c>
      <c r="DJ99" t="e">
        <f>'All regions'!A2472+"n/&gt;!&amp;7k"</f>
        <v>#VALUE!</v>
      </c>
      <c r="DK99" t="e">
        <f>'All regions'!B2472+"n/&gt;!&amp;7l"</f>
        <v>#VALUE!</v>
      </c>
      <c r="DL99" t="e">
        <f>'All regions'!C2472+"n/&gt;!&amp;7m"</f>
        <v>#VALUE!</v>
      </c>
      <c r="DM99" t="e">
        <f>'All regions'!D2472+"n/&gt;!&amp;7n"</f>
        <v>#VALUE!</v>
      </c>
      <c r="DN99" t="e">
        <f>'All regions'!E2472+"n/&gt;!&amp;7o"</f>
        <v>#VALUE!</v>
      </c>
      <c r="DO99" t="e">
        <f>'All regions'!F2472+"n/&gt;!&amp;7p"</f>
        <v>#VALUE!</v>
      </c>
      <c r="DP99" t="e">
        <f>'All regions'!G2472+"n/&gt;!&amp;7q"</f>
        <v>#VALUE!</v>
      </c>
      <c r="DQ99" t="e">
        <f>'All regions'!H2472+"n/&gt;!&amp;7r"</f>
        <v>#VALUE!</v>
      </c>
      <c r="DR99" t="e">
        <f>'All regions'!I2472+"n/&gt;!&amp;7s"</f>
        <v>#VALUE!</v>
      </c>
      <c r="DS99" t="e">
        <f>'All regions'!J2472+"n/&gt;!&amp;7t"</f>
        <v>#VALUE!</v>
      </c>
      <c r="DT99" t="e">
        <f>'All regions'!A2473+"n/&gt;!&amp;7u"</f>
        <v>#VALUE!</v>
      </c>
      <c r="DU99" t="e">
        <f>'All regions'!B2473+"n/&gt;!&amp;7v"</f>
        <v>#VALUE!</v>
      </c>
      <c r="DV99" t="e">
        <f>'All regions'!C2473+"n/&gt;!&amp;7w"</f>
        <v>#VALUE!</v>
      </c>
      <c r="DW99" t="e">
        <f>'All regions'!D2473+"n/&gt;!&amp;7x"</f>
        <v>#VALUE!</v>
      </c>
      <c r="DX99" t="e">
        <f>'All regions'!E2473+"n/&gt;!&amp;7y"</f>
        <v>#VALUE!</v>
      </c>
      <c r="DY99" t="e">
        <f>'All regions'!F2473+"n/&gt;!&amp;7z"</f>
        <v>#VALUE!</v>
      </c>
      <c r="DZ99" t="e">
        <f>'All regions'!G2473+"n/&gt;!&amp;7{"</f>
        <v>#VALUE!</v>
      </c>
      <c r="EA99" t="e">
        <f>'All regions'!H2473+"n/&gt;!&amp;7|"</f>
        <v>#VALUE!</v>
      </c>
      <c r="EB99" t="e">
        <f>'All regions'!I2473+"n/&gt;!&amp;7}"</f>
        <v>#VALUE!</v>
      </c>
      <c r="EC99" t="e">
        <f>'All regions'!J2473+"n/&gt;!&amp;7~"</f>
        <v>#VALUE!</v>
      </c>
      <c r="ED99" t="e">
        <f>'All regions'!A2474+"n/&gt;!&amp;8#"</f>
        <v>#VALUE!</v>
      </c>
      <c r="EE99" t="e">
        <f>'All regions'!B2474+"n/&gt;!&amp;8$"</f>
        <v>#VALUE!</v>
      </c>
      <c r="EF99" t="e">
        <f>'All regions'!C2474+"n/&gt;!&amp;8%"</f>
        <v>#VALUE!</v>
      </c>
      <c r="EG99" t="e">
        <f>'All regions'!D2474+"n/&gt;!&amp;8&amp;"</f>
        <v>#VALUE!</v>
      </c>
      <c r="EH99" t="e">
        <f>'All regions'!E2474+"n/&gt;!&amp;8'"</f>
        <v>#VALUE!</v>
      </c>
      <c r="EI99" t="e">
        <f>'All regions'!F2474+"n/&gt;!&amp;8("</f>
        <v>#VALUE!</v>
      </c>
      <c r="EJ99" t="e">
        <f>'All regions'!G2474+"n/&gt;!&amp;8)"</f>
        <v>#VALUE!</v>
      </c>
      <c r="EK99" t="e">
        <f>'All regions'!H2474+"n/&gt;!&amp;8."</f>
        <v>#VALUE!</v>
      </c>
      <c r="EL99" t="e">
        <f>'All regions'!I2474+"n/&gt;!&amp;8/"</f>
        <v>#VALUE!</v>
      </c>
      <c r="EM99" t="e">
        <f>'All regions'!J2474+"n/&gt;!&amp;80"</f>
        <v>#VALUE!</v>
      </c>
      <c r="EN99" t="e">
        <f>'All regions'!A2475+"n/&gt;!&amp;81"</f>
        <v>#VALUE!</v>
      </c>
      <c r="EO99" t="e">
        <f>'All regions'!B2475+"n/&gt;!&amp;82"</f>
        <v>#VALUE!</v>
      </c>
      <c r="EP99" t="e">
        <f>'All regions'!C2475+"n/&gt;!&amp;83"</f>
        <v>#VALUE!</v>
      </c>
      <c r="EQ99" t="e">
        <f>'All regions'!D2475+"n/&gt;!&amp;84"</f>
        <v>#VALUE!</v>
      </c>
      <c r="ER99" t="e">
        <f>'All regions'!E2475+"n/&gt;!&amp;85"</f>
        <v>#VALUE!</v>
      </c>
      <c r="ES99" t="e">
        <f>'All regions'!F2475+"n/&gt;!&amp;86"</f>
        <v>#VALUE!</v>
      </c>
      <c r="ET99" t="e">
        <f>'All regions'!G2475+"n/&gt;!&amp;87"</f>
        <v>#VALUE!</v>
      </c>
      <c r="EU99" t="e">
        <f>'All regions'!H2475+"n/&gt;!&amp;88"</f>
        <v>#VALUE!</v>
      </c>
      <c r="EV99" t="e">
        <f>'All regions'!I2475+"n/&gt;!&amp;89"</f>
        <v>#VALUE!</v>
      </c>
      <c r="EW99" t="e">
        <f>'All regions'!J2475+"n/&gt;!&amp;8:"</f>
        <v>#VALUE!</v>
      </c>
      <c r="EX99" t="e">
        <f>'All regions'!A2476+"n/&gt;!&amp;8;"</f>
        <v>#VALUE!</v>
      </c>
      <c r="EY99" t="e">
        <f>'All regions'!B2476+"n/&gt;!&amp;8&lt;"</f>
        <v>#VALUE!</v>
      </c>
      <c r="EZ99" t="e">
        <f>'All regions'!C2476+"n/&gt;!&amp;8="</f>
        <v>#VALUE!</v>
      </c>
      <c r="FA99" t="e">
        <f>'All regions'!D2476+"n/&gt;!&amp;8&gt;"</f>
        <v>#VALUE!</v>
      </c>
      <c r="FB99" t="e">
        <f>'All regions'!E2476+"n/&gt;!&amp;8?"</f>
        <v>#VALUE!</v>
      </c>
      <c r="FC99" t="e">
        <f>'All regions'!F2476+"n/&gt;!&amp;8@"</f>
        <v>#VALUE!</v>
      </c>
      <c r="FD99" t="e">
        <f>'All regions'!G2476+"n/&gt;!&amp;8A"</f>
        <v>#VALUE!</v>
      </c>
      <c r="FE99" t="e">
        <f>'All regions'!H2476+"n/&gt;!&amp;8B"</f>
        <v>#VALUE!</v>
      </c>
      <c r="FF99" t="e">
        <f>'All regions'!I2476+"n/&gt;!&amp;8C"</f>
        <v>#VALUE!</v>
      </c>
      <c r="FG99" t="e">
        <f>'All regions'!J2476+"n/&gt;!&amp;8D"</f>
        <v>#VALUE!</v>
      </c>
      <c r="FH99" t="e">
        <f>'All regions'!A2477+"n/&gt;!&amp;8E"</f>
        <v>#VALUE!</v>
      </c>
      <c r="FI99" t="e">
        <f>'All regions'!B2477+"n/&gt;!&amp;8F"</f>
        <v>#VALUE!</v>
      </c>
      <c r="FJ99" t="e">
        <f>'All regions'!C2477+"n/&gt;!&amp;8G"</f>
        <v>#VALUE!</v>
      </c>
      <c r="FK99" t="e">
        <f>'All regions'!D2477+"n/&gt;!&amp;8H"</f>
        <v>#VALUE!</v>
      </c>
      <c r="FL99" t="e">
        <f>'All regions'!E2477+"n/&gt;!&amp;8I"</f>
        <v>#VALUE!</v>
      </c>
      <c r="FM99" t="e">
        <f>'All regions'!F2477+"n/&gt;!&amp;8J"</f>
        <v>#VALUE!</v>
      </c>
      <c r="FN99" t="e">
        <f>'All regions'!G2477+"n/&gt;!&amp;8K"</f>
        <v>#VALUE!</v>
      </c>
      <c r="FO99" t="e">
        <f>'All regions'!H2477+"n/&gt;!&amp;8L"</f>
        <v>#VALUE!</v>
      </c>
      <c r="FP99" t="e">
        <f>'All regions'!I2477+"n/&gt;!&amp;8M"</f>
        <v>#VALUE!</v>
      </c>
      <c r="FQ99" t="e">
        <f>'All regions'!J2477+"n/&gt;!&amp;8N"</f>
        <v>#VALUE!</v>
      </c>
      <c r="FR99" t="e">
        <f>'All regions'!A2478+"n/&gt;!&amp;8O"</f>
        <v>#VALUE!</v>
      </c>
      <c r="FS99" t="e">
        <f>'All regions'!B2478+"n/&gt;!&amp;8P"</f>
        <v>#VALUE!</v>
      </c>
      <c r="FT99" t="e">
        <f>'All regions'!C2478+"n/&gt;!&amp;8Q"</f>
        <v>#VALUE!</v>
      </c>
      <c r="FU99" t="e">
        <f>'All regions'!D2478+"n/&gt;!&amp;8R"</f>
        <v>#VALUE!</v>
      </c>
      <c r="FV99" t="e">
        <f>'All regions'!E2478+"n/&gt;!&amp;8S"</f>
        <v>#VALUE!</v>
      </c>
      <c r="FW99" t="e">
        <f>'All regions'!F2478+"n/&gt;!&amp;8T"</f>
        <v>#VALUE!</v>
      </c>
      <c r="FX99" t="e">
        <f>'All regions'!G2478+"n/&gt;!&amp;8U"</f>
        <v>#VALUE!</v>
      </c>
      <c r="FY99" t="e">
        <f>'All regions'!H2478+"n/&gt;!&amp;8V"</f>
        <v>#VALUE!</v>
      </c>
      <c r="FZ99" t="e">
        <f>'All regions'!I2478+"n/&gt;!&amp;8W"</f>
        <v>#VALUE!</v>
      </c>
      <c r="GA99" t="e">
        <f>'All regions'!J2478+"n/&gt;!&amp;8X"</f>
        <v>#VALUE!</v>
      </c>
      <c r="GB99" t="e">
        <f>'All regions'!A2479+"n/&gt;!&amp;8Y"</f>
        <v>#VALUE!</v>
      </c>
      <c r="GC99" t="e">
        <f>'All regions'!B2479+"n/&gt;!&amp;8Z"</f>
        <v>#VALUE!</v>
      </c>
      <c r="GD99" t="e">
        <f>'All regions'!C2479+"n/&gt;!&amp;8["</f>
        <v>#VALUE!</v>
      </c>
      <c r="GE99" t="e">
        <f>'All regions'!D2479+"n/&gt;!&amp;8\"</f>
        <v>#VALUE!</v>
      </c>
      <c r="GF99" t="e">
        <f>'All regions'!E2479+"n/&gt;!&amp;8]"</f>
        <v>#VALUE!</v>
      </c>
      <c r="GG99" t="e">
        <f>'All regions'!F2479+"n/&gt;!&amp;8^"</f>
        <v>#VALUE!</v>
      </c>
      <c r="GH99" t="e">
        <f>'All regions'!G2479+"n/&gt;!&amp;8_"</f>
        <v>#VALUE!</v>
      </c>
      <c r="GI99" t="e">
        <f>'All regions'!H2479+"n/&gt;!&amp;8`"</f>
        <v>#VALUE!</v>
      </c>
      <c r="GJ99" t="e">
        <f>'All regions'!I2479+"n/&gt;!&amp;8a"</f>
        <v>#VALUE!</v>
      </c>
      <c r="GK99" t="e">
        <f>'All regions'!J2479+"n/&gt;!&amp;8b"</f>
        <v>#VALUE!</v>
      </c>
      <c r="GL99" t="e">
        <f>'All regions'!A2480+"n/&gt;!&amp;8c"</f>
        <v>#VALUE!</v>
      </c>
      <c r="GM99" t="e">
        <f>'All regions'!B2480+"n/&gt;!&amp;8d"</f>
        <v>#VALUE!</v>
      </c>
      <c r="GN99" t="e">
        <f>'All regions'!C2480+"n/&gt;!&amp;8e"</f>
        <v>#VALUE!</v>
      </c>
      <c r="GO99" t="e">
        <f>'All regions'!D2480+"n/&gt;!&amp;8f"</f>
        <v>#VALUE!</v>
      </c>
      <c r="GP99" t="e">
        <f>'All regions'!E2480+"n/&gt;!&amp;8g"</f>
        <v>#VALUE!</v>
      </c>
      <c r="GQ99" t="e">
        <f>'All regions'!F2480+"n/&gt;!&amp;8h"</f>
        <v>#VALUE!</v>
      </c>
      <c r="GR99" t="e">
        <f>'All regions'!G2480+"n/&gt;!&amp;8i"</f>
        <v>#VALUE!</v>
      </c>
      <c r="GS99" t="e">
        <f>'All regions'!H2480+"n/&gt;!&amp;8j"</f>
        <v>#VALUE!</v>
      </c>
      <c r="GT99" t="e">
        <f>'All regions'!I2480+"n/&gt;!&amp;8k"</f>
        <v>#VALUE!</v>
      </c>
      <c r="GU99" t="e">
        <f>'All regions'!J2480+"n/&gt;!&amp;8l"</f>
        <v>#VALUE!</v>
      </c>
      <c r="GV99" t="e">
        <f>'All regions'!A2481+"n/&gt;!&amp;8m"</f>
        <v>#VALUE!</v>
      </c>
      <c r="GW99" t="e">
        <f>'All regions'!B2481+"n/&gt;!&amp;8n"</f>
        <v>#VALUE!</v>
      </c>
      <c r="GX99" t="e">
        <f>'All regions'!C2481+"n/&gt;!&amp;8o"</f>
        <v>#VALUE!</v>
      </c>
      <c r="GY99" t="e">
        <f>'All regions'!D2481+"n/&gt;!&amp;8p"</f>
        <v>#VALUE!</v>
      </c>
      <c r="GZ99" t="e">
        <f>'All regions'!E2481+"n/&gt;!&amp;8q"</f>
        <v>#VALUE!</v>
      </c>
      <c r="HA99" t="e">
        <f>'All regions'!F2481+"n/&gt;!&amp;8r"</f>
        <v>#VALUE!</v>
      </c>
      <c r="HB99" t="e">
        <f>'All regions'!G2481+"n/&gt;!&amp;8s"</f>
        <v>#VALUE!</v>
      </c>
      <c r="HC99" t="e">
        <f>'All regions'!H2481+"n/&gt;!&amp;8t"</f>
        <v>#VALUE!</v>
      </c>
      <c r="HD99" t="e">
        <f>'All regions'!I2481+"n/&gt;!&amp;8u"</f>
        <v>#VALUE!</v>
      </c>
      <c r="HE99" t="e">
        <f>'All regions'!J2481+"n/&gt;!&amp;8v"</f>
        <v>#VALUE!</v>
      </c>
      <c r="HF99" t="e">
        <f>'All regions'!A2482+"n/&gt;!&amp;8w"</f>
        <v>#VALUE!</v>
      </c>
      <c r="HG99" t="e">
        <f>'All regions'!B2482+"n/&gt;!&amp;8x"</f>
        <v>#VALUE!</v>
      </c>
      <c r="HH99" t="e">
        <f>'All regions'!C2482+"n/&gt;!&amp;8y"</f>
        <v>#VALUE!</v>
      </c>
      <c r="HI99" t="e">
        <f>'All regions'!D2482+"n/&gt;!&amp;8z"</f>
        <v>#VALUE!</v>
      </c>
      <c r="HJ99" t="e">
        <f>'All regions'!E2482+"n/&gt;!&amp;8{"</f>
        <v>#VALUE!</v>
      </c>
      <c r="HK99" t="e">
        <f>'All regions'!F2482+"n/&gt;!&amp;8|"</f>
        <v>#VALUE!</v>
      </c>
      <c r="HL99" t="e">
        <f>'All regions'!G2482+"n/&gt;!&amp;8}"</f>
        <v>#VALUE!</v>
      </c>
      <c r="HM99" t="e">
        <f>'All regions'!H2482+"n/&gt;!&amp;8~"</f>
        <v>#VALUE!</v>
      </c>
      <c r="HN99" t="e">
        <f>'All regions'!I2482+"n/&gt;!&amp;9#"</f>
        <v>#VALUE!</v>
      </c>
      <c r="HO99" t="e">
        <f>'All regions'!J2482+"n/&gt;!&amp;9$"</f>
        <v>#VALUE!</v>
      </c>
      <c r="HP99" t="e">
        <f>'All regions'!A2483+"n/&gt;!&amp;9%"</f>
        <v>#VALUE!</v>
      </c>
      <c r="HQ99" t="e">
        <f>'All regions'!B2483+"n/&gt;!&amp;9&amp;"</f>
        <v>#VALUE!</v>
      </c>
      <c r="HR99" t="e">
        <f>'All regions'!C2483+"n/&gt;!&amp;9'"</f>
        <v>#VALUE!</v>
      </c>
      <c r="HS99" t="e">
        <f>'All regions'!D2483+"n/&gt;!&amp;9("</f>
        <v>#VALUE!</v>
      </c>
      <c r="HT99" t="e">
        <f>'All regions'!E2483+"n/&gt;!&amp;9)"</f>
        <v>#VALUE!</v>
      </c>
      <c r="HU99" t="e">
        <f>'All regions'!F2483+"n/&gt;!&amp;9."</f>
        <v>#VALUE!</v>
      </c>
      <c r="HV99" t="e">
        <f>'All regions'!G2483+"n/&gt;!&amp;9/"</f>
        <v>#VALUE!</v>
      </c>
      <c r="HW99" t="e">
        <f>'All regions'!H2483+"n/&gt;!&amp;90"</f>
        <v>#VALUE!</v>
      </c>
      <c r="HX99" t="e">
        <f>'All regions'!I2483+"n/&gt;!&amp;91"</f>
        <v>#VALUE!</v>
      </c>
      <c r="HY99" t="e">
        <f>'All regions'!J2483+"n/&gt;!&amp;92"</f>
        <v>#VALUE!</v>
      </c>
      <c r="HZ99" t="e">
        <f>'All regions'!A2484+"n/&gt;!&amp;93"</f>
        <v>#VALUE!</v>
      </c>
      <c r="IA99" t="e">
        <f>'All regions'!B2484+"n/&gt;!&amp;94"</f>
        <v>#VALUE!</v>
      </c>
      <c r="IB99" t="e">
        <f>'All regions'!C2484+"n/&gt;!&amp;95"</f>
        <v>#VALUE!</v>
      </c>
      <c r="IC99" t="e">
        <f>'All regions'!D2484+"n/&gt;!&amp;96"</f>
        <v>#VALUE!</v>
      </c>
      <c r="ID99" t="e">
        <f>'All regions'!E2484+"n/&gt;!&amp;97"</f>
        <v>#VALUE!</v>
      </c>
      <c r="IE99" t="e">
        <f>'All regions'!F2484+"n/&gt;!&amp;98"</f>
        <v>#VALUE!</v>
      </c>
      <c r="IF99" t="e">
        <f>'All regions'!G2484+"n/&gt;!&amp;99"</f>
        <v>#VALUE!</v>
      </c>
      <c r="IG99" t="e">
        <f>'All regions'!H2484+"n/&gt;!&amp;9:"</f>
        <v>#VALUE!</v>
      </c>
      <c r="IH99" t="e">
        <f>'All regions'!I2484+"n/&gt;!&amp;9;"</f>
        <v>#VALUE!</v>
      </c>
      <c r="II99" t="e">
        <f>'All regions'!J2484+"n/&gt;!&amp;9&lt;"</f>
        <v>#VALUE!</v>
      </c>
      <c r="IJ99" t="e">
        <f>'All regions'!A2485+"n/&gt;!&amp;9="</f>
        <v>#VALUE!</v>
      </c>
      <c r="IK99" t="e">
        <f>'All regions'!B2485+"n/&gt;!&amp;9&gt;"</f>
        <v>#VALUE!</v>
      </c>
      <c r="IL99" t="e">
        <f>'All regions'!C2485+"n/&gt;!&amp;9?"</f>
        <v>#VALUE!</v>
      </c>
      <c r="IM99" t="e">
        <f>'All regions'!D2485+"n/&gt;!&amp;9@"</f>
        <v>#VALUE!</v>
      </c>
      <c r="IN99" t="e">
        <f>'All regions'!E2485+"n/&gt;!&amp;9A"</f>
        <v>#VALUE!</v>
      </c>
      <c r="IO99" t="e">
        <f>'All regions'!F2485+"n/&gt;!&amp;9B"</f>
        <v>#VALUE!</v>
      </c>
      <c r="IP99" t="e">
        <f>'All regions'!G2485+"n/&gt;!&amp;9C"</f>
        <v>#VALUE!</v>
      </c>
      <c r="IQ99" t="e">
        <f>'All regions'!H2485+"n/&gt;!&amp;9D"</f>
        <v>#VALUE!</v>
      </c>
      <c r="IR99" t="e">
        <f>'All regions'!I2485+"n/&gt;!&amp;9E"</f>
        <v>#VALUE!</v>
      </c>
      <c r="IS99" t="e">
        <f>'All regions'!J2485+"n/&gt;!&amp;9F"</f>
        <v>#VALUE!</v>
      </c>
      <c r="IT99" t="e">
        <f>'All regions'!A2486+"n/&gt;!&amp;9G"</f>
        <v>#VALUE!</v>
      </c>
      <c r="IU99" t="e">
        <f>'All regions'!B2486+"n/&gt;!&amp;9H"</f>
        <v>#VALUE!</v>
      </c>
      <c r="IV99" t="e">
        <f>'All regions'!C2486+"n/&gt;!&amp;9I"</f>
        <v>#VALUE!</v>
      </c>
    </row>
    <row r="100" spans="6:256" x14ac:dyDescent="0.35">
      <c r="F100" t="e">
        <f>'All regions'!D2486+"n/&gt;!&amp;9J"</f>
        <v>#VALUE!</v>
      </c>
      <c r="G100" t="e">
        <f>'All regions'!E2486+"n/&gt;!&amp;9K"</f>
        <v>#VALUE!</v>
      </c>
      <c r="H100" t="e">
        <f>'All regions'!F2486+"n/&gt;!&amp;9L"</f>
        <v>#VALUE!</v>
      </c>
      <c r="I100" t="e">
        <f>'All regions'!G2486+"n/&gt;!&amp;9M"</f>
        <v>#VALUE!</v>
      </c>
      <c r="J100" t="e">
        <f>'All regions'!H2486+"n/&gt;!&amp;9N"</f>
        <v>#VALUE!</v>
      </c>
      <c r="K100" t="e">
        <f>'All regions'!I2486+"n/&gt;!&amp;9O"</f>
        <v>#VALUE!</v>
      </c>
      <c r="L100" t="e">
        <f>'All regions'!J2486+"n/&gt;!&amp;9P"</f>
        <v>#VALUE!</v>
      </c>
      <c r="M100" t="e">
        <f>'All regions'!A2487+"n/&gt;!&amp;9Q"</f>
        <v>#VALUE!</v>
      </c>
      <c r="N100" t="e">
        <f>'All regions'!B2487+"n/&gt;!&amp;9R"</f>
        <v>#VALUE!</v>
      </c>
      <c r="O100" t="e">
        <f>'All regions'!C2487+"n/&gt;!&amp;9S"</f>
        <v>#VALUE!</v>
      </c>
      <c r="P100" t="e">
        <f>'All regions'!D2487+"n/&gt;!&amp;9T"</f>
        <v>#VALUE!</v>
      </c>
      <c r="Q100" t="e">
        <f>'All regions'!E2487+"n/&gt;!&amp;9U"</f>
        <v>#VALUE!</v>
      </c>
      <c r="R100" t="e">
        <f>'All regions'!F2487+"n/&gt;!&amp;9V"</f>
        <v>#VALUE!</v>
      </c>
      <c r="S100" t="e">
        <f>'All regions'!G2487+"n/&gt;!&amp;9W"</f>
        <v>#VALUE!</v>
      </c>
      <c r="T100" t="e">
        <f>'All regions'!H2487+"n/&gt;!&amp;9X"</f>
        <v>#VALUE!</v>
      </c>
      <c r="U100" t="e">
        <f>'All regions'!I2487+"n/&gt;!&amp;9Y"</f>
        <v>#VALUE!</v>
      </c>
      <c r="V100" t="e">
        <f>'All regions'!J2487+"n/&gt;!&amp;9Z"</f>
        <v>#VALUE!</v>
      </c>
      <c r="W100" t="e">
        <f>'All regions'!A2488+"n/&gt;!&amp;9["</f>
        <v>#VALUE!</v>
      </c>
      <c r="X100" t="e">
        <f>'All regions'!B2488+"n/&gt;!&amp;9\"</f>
        <v>#VALUE!</v>
      </c>
      <c r="Y100" t="e">
        <f>'All regions'!C2488+"n/&gt;!&amp;9]"</f>
        <v>#VALUE!</v>
      </c>
      <c r="Z100" t="e">
        <f>'All regions'!D2488+"n/&gt;!&amp;9^"</f>
        <v>#VALUE!</v>
      </c>
      <c r="AA100" t="e">
        <f>'All regions'!E2488+"n/&gt;!&amp;9_"</f>
        <v>#VALUE!</v>
      </c>
      <c r="AB100" t="e">
        <f>'All regions'!F2488+"n/&gt;!&amp;9`"</f>
        <v>#VALUE!</v>
      </c>
      <c r="AC100" t="e">
        <f>'All regions'!G2488+"n/&gt;!&amp;9a"</f>
        <v>#VALUE!</v>
      </c>
      <c r="AD100" t="e">
        <f>'All regions'!H2488+"n/&gt;!&amp;9b"</f>
        <v>#VALUE!</v>
      </c>
      <c r="AE100" t="e">
        <f>'All regions'!I2488+"n/&gt;!&amp;9c"</f>
        <v>#VALUE!</v>
      </c>
      <c r="AF100" t="e">
        <f>'All regions'!J2488+"n/&gt;!&amp;9d"</f>
        <v>#VALUE!</v>
      </c>
      <c r="AG100" t="e">
        <f>'All regions'!A2489+"n/&gt;!&amp;9e"</f>
        <v>#VALUE!</v>
      </c>
      <c r="AH100" t="e">
        <f>'All regions'!B2489+"n/&gt;!&amp;9f"</f>
        <v>#VALUE!</v>
      </c>
      <c r="AI100" t="e">
        <f>'All regions'!C2489+"n/&gt;!&amp;9g"</f>
        <v>#VALUE!</v>
      </c>
      <c r="AJ100" t="e">
        <f>'All regions'!D2489+"n/&gt;!&amp;9h"</f>
        <v>#VALUE!</v>
      </c>
      <c r="AK100" t="e">
        <f>'All regions'!E2489+"n/&gt;!&amp;9i"</f>
        <v>#VALUE!</v>
      </c>
      <c r="AL100" t="e">
        <f>'All regions'!F2489+"n/&gt;!&amp;9j"</f>
        <v>#VALUE!</v>
      </c>
      <c r="AM100" t="e">
        <f>'All regions'!G2489+"n/&gt;!&amp;9k"</f>
        <v>#VALUE!</v>
      </c>
      <c r="AN100" t="e">
        <f>'All regions'!H2489+"n/&gt;!&amp;9l"</f>
        <v>#VALUE!</v>
      </c>
      <c r="AO100" t="e">
        <f>'All regions'!I2489+"n/&gt;!&amp;9m"</f>
        <v>#VALUE!</v>
      </c>
      <c r="AP100" t="e">
        <f>'All regions'!J2489+"n/&gt;!&amp;9n"</f>
        <v>#VALUE!</v>
      </c>
      <c r="AQ100" t="e">
        <f>'All regions'!A2490+"n/&gt;!&amp;9o"</f>
        <v>#VALUE!</v>
      </c>
      <c r="AR100" t="e">
        <f>'All regions'!B2490+"n/&gt;!&amp;9p"</f>
        <v>#VALUE!</v>
      </c>
      <c r="AS100" t="e">
        <f>'All regions'!C2490+"n/&gt;!&amp;9q"</f>
        <v>#VALUE!</v>
      </c>
      <c r="AT100" t="e">
        <f>'All regions'!D2490+"n/&gt;!&amp;9r"</f>
        <v>#VALUE!</v>
      </c>
      <c r="AU100" t="e">
        <f>'All regions'!E2490+"n/&gt;!&amp;9s"</f>
        <v>#VALUE!</v>
      </c>
      <c r="AV100" t="e">
        <f>'All regions'!F2490+"n/&gt;!&amp;9t"</f>
        <v>#VALUE!</v>
      </c>
      <c r="AW100" t="e">
        <f>'All regions'!G2490+"n/&gt;!&amp;9u"</f>
        <v>#VALUE!</v>
      </c>
      <c r="AX100" t="e">
        <f>'All regions'!H2490+"n/&gt;!&amp;9v"</f>
        <v>#VALUE!</v>
      </c>
      <c r="AY100" t="e">
        <f>'All regions'!I2490+"n/&gt;!&amp;9w"</f>
        <v>#VALUE!</v>
      </c>
      <c r="AZ100" t="e">
        <f>'All regions'!J2490+"n/&gt;!&amp;9x"</f>
        <v>#VALUE!</v>
      </c>
      <c r="BA100" t="e">
        <f>'All regions'!A2491+"n/&gt;!&amp;9y"</f>
        <v>#VALUE!</v>
      </c>
      <c r="BB100" t="e">
        <f>'All regions'!B2491+"n/&gt;!&amp;9z"</f>
        <v>#VALUE!</v>
      </c>
      <c r="BC100" t="e">
        <f>'All regions'!C2491+"n/&gt;!&amp;9{"</f>
        <v>#VALUE!</v>
      </c>
      <c r="BD100" t="e">
        <f>'All regions'!D2491+"n/&gt;!&amp;9|"</f>
        <v>#VALUE!</v>
      </c>
      <c r="BE100" t="e">
        <f>'All regions'!E2491+"n/&gt;!&amp;9}"</f>
        <v>#VALUE!</v>
      </c>
      <c r="BF100" t="e">
        <f>'All regions'!F2491+"n/&gt;!&amp;9~"</f>
        <v>#VALUE!</v>
      </c>
      <c r="BG100" t="e">
        <f>'All regions'!G2491+"n/&gt;!&amp;:#"</f>
        <v>#VALUE!</v>
      </c>
      <c r="BH100" t="e">
        <f>'All regions'!H2491+"n/&gt;!&amp;:$"</f>
        <v>#VALUE!</v>
      </c>
      <c r="BI100" t="e">
        <f>'All regions'!I2491+"n/&gt;!&amp;:%"</f>
        <v>#VALUE!</v>
      </c>
      <c r="BJ100" t="e">
        <f>'All regions'!J2491+"n/&gt;!&amp;:&amp;"</f>
        <v>#VALUE!</v>
      </c>
      <c r="BK100" t="e">
        <f>'All regions'!A2492+"n/&gt;!&amp;:'"</f>
        <v>#VALUE!</v>
      </c>
      <c r="BL100" t="e">
        <f>'All regions'!B2492+"n/&gt;!&amp;:("</f>
        <v>#VALUE!</v>
      </c>
      <c r="BM100" t="e">
        <f>'All regions'!C2492+"n/&gt;!&amp;:)"</f>
        <v>#VALUE!</v>
      </c>
      <c r="BN100" t="e">
        <f>'All regions'!D2492+"n/&gt;!&amp;:."</f>
        <v>#VALUE!</v>
      </c>
      <c r="BO100" t="e">
        <f>'All regions'!E2492+"n/&gt;!&amp;:/"</f>
        <v>#VALUE!</v>
      </c>
      <c r="BP100" t="e">
        <f>'All regions'!F2492+"n/&gt;!&amp;:0"</f>
        <v>#VALUE!</v>
      </c>
      <c r="BQ100" t="e">
        <f>'All regions'!G2492+"n/&gt;!&amp;:1"</f>
        <v>#VALUE!</v>
      </c>
      <c r="BR100" t="e">
        <f>'All regions'!H2492+"n/&gt;!&amp;:2"</f>
        <v>#VALUE!</v>
      </c>
      <c r="BS100" t="e">
        <f>'All regions'!I2492+"n/&gt;!&amp;:3"</f>
        <v>#VALUE!</v>
      </c>
      <c r="BT100" t="e">
        <f>'All regions'!J2492+"n/&gt;!&amp;:4"</f>
        <v>#VALUE!</v>
      </c>
      <c r="BU100" t="e">
        <f>'All regions'!A2493+"n/&gt;!&amp;:5"</f>
        <v>#VALUE!</v>
      </c>
      <c r="BV100" t="e">
        <f>'All regions'!B2493+"n/&gt;!&amp;:6"</f>
        <v>#VALUE!</v>
      </c>
      <c r="BW100" t="e">
        <f>'All regions'!C2493+"n/&gt;!&amp;:7"</f>
        <v>#VALUE!</v>
      </c>
      <c r="BX100" t="e">
        <f>'All regions'!D2493+"n/&gt;!&amp;:8"</f>
        <v>#VALUE!</v>
      </c>
      <c r="BY100" t="e">
        <f>'All regions'!E2493+"n/&gt;!&amp;:9"</f>
        <v>#VALUE!</v>
      </c>
      <c r="BZ100" t="e">
        <f>'All regions'!F2493+"n/&gt;!&amp;::"</f>
        <v>#VALUE!</v>
      </c>
      <c r="CA100" t="e">
        <f>'All regions'!G2493+"n/&gt;!&amp;:;"</f>
        <v>#VALUE!</v>
      </c>
      <c r="CB100" t="e">
        <f>'All regions'!H2493+"n/&gt;!&amp;:&lt;"</f>
        <v>#VALUE!</v>
      </c>
      <c r="CC100" t="e">
        <f>'All regions'!I2493+"n/&gt;!&amp;:="</f>
        <v>#VALUE!</v>
      </c>
      <c r="CD100" t="e">
        <f>'All regions'!J2493+"n/&gt;!&amp;:&gt;"</f>
        <v>#VALUE!</v>
      </c>
      <c r="CE100" t="e">
        <f>'All regions'!A2494+"n/&gt;!&amp;:?"</f>
        <v>#VALUE!</v>
      </c>
      <c r="CF100" t="e">
        <f>'All regions'!B2494+"n/&gt;!&amp;:@"</f>
        <v>#VALUE!</v>
      </c>
      <c r="CG100" t="e">
        <f>'All regions'!C2494+"n/&gt;!&amp;:A"</f>
        <v>#VALUE!</v>
      </c>
      <c r="CH100" t="e">
        <f>'All regions'!D2494+"n/&gt;!&amp;:B"</f>
        <v>#VALUE!</v>
      </c>
      <c r="CI100" t="e">
        <f>'All regions'!E2494+"n/&gt;!&amp;:C"</f>
        <v>#VALUE!</v>
      </c>
      <c r="CJ100" t="e">
        <f>'All regions'!F2494+"n/&gt;!&amp;:D"</f>
        <v>#VALUE!</v>
      </c>
      <c r="CK100" t="e">
        <f>'All regions'!G2494+"n/&gt;!&amp;:E"</f>
        <v>#VALUE!</v>
      </c>
      <c r="CL100" t="e">
        <f>'All regions'!H2494+"n/&gt;!&amp;:F"</f>
        <v>#VALUE!</v>
      </c>
      <c r="CM100" t="e">
        <f>'All regions'!I2494+"n/&gt;!&amp;:G"</f>
        <v>#VALUE!</v>
      </c>
      <c r="CN100" t="e">
        <f>'All regions'!J2494+"n/&gt;!&amp;:H"</f>
        <v>#VALUE!</v>
      </c>
      <c r="CO100" t="e">
        <f>'All regions'!A2495+"n/&gt;!&amp;:I"</f>
        <v>#VALUE!</v>
      </c>
      <c r="CP100" t="e">
        <f>'All regions'!B2495+"n/&gt;!&amp;:J"</f>
        <v>#VALUE!</v>
      </c>
      <c r="CQ100" t="e">
        <f>'All regions'!C2495+"n/&gt;!&amp;:K"</f>
        <v>#VALUE!</v>
      </c>
      <c r="CR100" t="e">
        <f>'All regions'!D2495+"n/&gt;!&amp;:L"</f>
        <v>#VALUE!</v>
      </c>
      <c r="CS100" t="e">
        <f>'All regions'!E2495+"n/&gt;!&amp;:M"</f>
        <v>#VALUE!</v>
      </c>
      <c r="CT100" t="e">
        <f>'All regions'!F2495+"n/&gt;!&amp;:N"</f>
        <v>#VALUE!</v>
      </c>
      <c r="CU100" t="e">
        <f>'All regions'!G2495+"n/&gt;!&amp;:O"</f>
        <v>#VALUE!</v>
      </c>
      <c r="CV100" t="e">
        <f>'All regions'!H2495+"n/&gt;!&amp;:P"</f>
        <v>#VALUE!</v>
      </c>
      <c r="CW100" t="e">
        <f>'All regions'!I2495+"n/&gt;!&amp;:Q"</f>
        <v>#VALUE!</v>
      </c>
      <c r="CX100" t="e">
        <f>'All regions'!J2495+"n/&gt;!&amp;:R"</f>
        <v>#VALUE!</v>
      </c>
      <c r="CY100" t="e">
        <f>'All regions'!A2496+"n/&gt;!&amp;:S"</f>
        <v>#VALUE!</v>
      </c>
      <c r="CZ100" t="e">
        <f>'All regions'!B2496+"n/&gt;!&amp;:T"</f>
        <v>#VALUE!</v>
      </c>
      <c r="DA100" t="e">
        <f>'All regions'!C2496+"n/&gt;!&amp;:U"</f>
        <v>#VALUE!</v>
      </c>
      <c r="DB100" t="e">
        <f>'All regions'!D2496+"n/&gt;!&amp;:V"</f>
        <v>#VALUE!</v>
      </c>
      <c r="DC100" t="e">
        <f>'All regions'!E2496+"n/&gt;!&amp;:W"</f>
        <v>#VALUE!</v>
      </c>
      <c r="DD100" t="e">
        <f>'All regions'!F2496+"n/&gt;!&amp;:X"</f>
        <v>#VALUE!</v>
      </c>
      <c r="DE100" t="e">
        <f>'All regions'!G2496+"n/&gt;!&amp;:Y"</f>
        <v>#VALUE!</v>
      </c>
      <c r="DF100" t="e">
        <f>'All regions'!H2496+"n/&gt;!&amp;:Z"</f>
        <v>#VALUE!</v>
      </c>
      <c r="DG100" t="e">
        <f>'All regions'!I2496+"n/&gt;!&amp;:["</f>
        <v>#VALUE!</v>
      </c>
      <c r="DH100" t="e">
        <f>'All regions'!J2496+"n/&gt;!&amp;:\"</f>
        <v>#VALUE!</v>
      </c>
      <c r="DI100" t="e">
        <f>'All regions'!A2497+"n/&gt;!&amp;:]"</f>
        <v>#VALUE!</v>
      </c>
      <c r="DJ100" t="e">
        <f>'All regions'!B2497+"n/&gt;!&amp;:^"</f>
        <v>#VALUE!</v>
      </c>
      <c r="DK100" t="e">
        <f>'All regions'!C2497+"n/&gt;!&amp;:_"</f>
        <v>#VALUE!</v>
      </c>
      <c r="DL100" t="e">
        <f>'All regions'!D2497+"n/&gt;!&amp;:`"</f>
        <v>#VALUE!</v>
      </c>
      <c r="DM100" t="e">
        <f>'All regions'!E2497+"n/&gt;!&amp;:a"</f>
        <v>#VALUE!</v>
      </c>
      <c r="DN100" t="e">
        <f>'All regions'!F2497+"n/&gt;!&amp;:b"</f>
        <v>#VALUE!</v>
      </c>
      <c r="DO100" t="e">
        <f>'All regions'!G2497+"n/&gt;!&amp;:c"</f>
        <v>#VALUE!</v>
      </c>
      <c r="DP100" t="e">
        <f>'All regions'!H2497+"n/&gt;!&amp;:d"</f>
        <v>#VALUE!</v>
      </c>
      <c r="DQ100" t="e">
        <f>'All regions'!I2497+"n/&gt;!&amp;:e"</f>
        <v>#VALUE!</v>
      </c>
      <c r="DR100" t="e">
        <f>'All regions'!J2497+"n/&gt;!&amp;:f"</f>
        <v>#VALUE!</v>
      </c>
      <c r="DS100" t="e">
        <f>'All regions'!A2498+"n/&gt;!&amp;:g"</f>
        <v>#VALUE!</v>
      </c>
      <c r="DT100" t="e">
        <f>'All regions'!B2498+"n/&gt;!&amp;:h"</f>
        <v>#VALUE!</v>
      </c>
      <c r="DU100" t="e">
        <f>'All regions'!C2498+"n/&gt;!&amp;:i"</f>
        <v>#VALUE!</v>
      </c>
      <c r="DV100" t="e">
        <f>'All regions'!D2498+"n/&gt;!&amp;:j"</f>
        <v>#VALUE!</v>
      </c>
      <c r="DW100" t="e">
        <f>'All regions'!E2498+"n/&gt;!&amp;:k"</f>
        <v>#VALUE!</v>
      </c>
      <c r="DX100" t="e">
        <f>'All regions'!F2498+"n/&gt;!&amp;:l"</f>
        <v>#VALUE!</v>
      </c>
      <c r="DY100" t="e">
        <f>'All regions'!G2498+"n/&gt;!&amp;:m"</f>
        <v>#VALUE!</v>
      </c>
      <c r="DZ100" t="e">
        <f>'All regions'!H2498+"n/&gt;!&amp;:n"</f>
        <v>#VALUE!</v>
      </c>
      <c r="EA100" t="e">
        <f>'All regions'!I2498+"n/&gt;!&amp;:o"</f>
        <v>#VALUE!</v>
      </c>
      <c r="EB100" t="e">
        <f>'All regions'!J2498+"n/&gt;!&amp;:p"</f>
        <v>#VALUE!</v>
      </c>
      <c r="EC100" t="e">
        <f>'All regions'!A2499+"n/&gt;!&amp;:q"</f>
        <v>#VALUE!</v>
      </c>
      <c r="ED100" t="e">
        <f>'All regions'!B2499+"n/&gt;!&amp;:r"</f>
        <v>#VALUE!</v>
      </c>
      <c r="EE100" t="e">
        <f>'All regions'!C2499+"n/&gt;!&amp;:s"</f>
        <v>#VALUE!</v>
      </c>
      <c r="EF100" t="e">
        <f>'All regions'!D2499+"n/&gt;!&amp;:t"</f>
        <v>#VALUE!</v>
      </c>
      <c r="EG100" t="e">
        <f>'All regions'!E2499+"n/&gt;!&amp;:u"</f>
        <v>#VALUE!</v>
      </c>
      <c r="EH100" t="e">
        <f>'All regions'!F2499+"n/&gt;!&amp;:v"</f>
        <v>#VALUE!</v>
      </c>
      <c r="EI100" t="e">
        <f>'All regions'!G2499+"n/&gt;!&amp;:w"</f>
        <v>#VALUE!</v>
      </c>
      <c r="EJ100" t="e">
        <f>'All regions'!H2499+"n/&gt;!&amp;:x"</f>
        <v>#VALUE!</v>
      </c>
      <c r="EK100" t="e">
        <f>'All regions'!I2499+"n/&gt;!&amp;:y"</f>
        <v>#VALUE!</v>
      </c>
      <c r="EL100" t="e">
        <f>'All regions'!J2499+"n/&gt;!&amp;:z"</f>
        <v>#VALUE!</v>
      </c>
      <c r="EM100" t="e">
        <f>'All regions'!A2500+"n/&gt;!&amp;:{"</f>
        <v>#VALUE!</v>
      </c>
      <c r="EN100" t="e">
        <f>'All regions'!B2500+"n/&gt;!&amp;:|"</f>
        <v>#VALUE!</v>
      </c>
      <c r="EO100" t="e">
        <f>'All regions'!C2500+"n/&gt;!&amp;:}"</f>
        <v>#VALUE!</v>
      </c>
      <c r="EP100" t="e">
        <f>'All regions'!D2500+"n/&gt;!&amp;:~"</f>
        <v>#VALUE!</v>
      </c>
      <c r="EQ100" t="e">
        <f>'All regions'!E2500+"n/&gt;!&amp;;#"</f>
        <v>#VALUE!</v>
      </c>
      <c r="ER100" t="e">
        <f>'All regions'!F2500+"n/&gt;!&amp;;$"</f>
        <v>#VALUE!</v>
      </c>
      <c r="ES100" t="e">
        <f>'All regions'!G2500+"n/&gt;!&amp;;%"</f>
        <v>#VALUE!</v>
      </c>
      <c r="ET100" t="e">
        <f>'All regions'!H2500+"n/&gt;!&amp;;&amp;"</f>
        <v>#VALUE!</v>
      </c>
      <c r="EU100" t="e">
        <f>'All regions'!I2500+"n/&gt;!&amp;;'"</f>
        <v>#VALUE!</v>
      </c>
      <c r="EV100" t="e">
        <f>'All regions'!J2500+"n/&gt;!&amp;;("</f>
        <v>#VALUE!</v>
      </c>
      <c r="EW100" t="e">
        <f>'All regions'!A2501+"n/&gt;!&amp;;)"</f>
        <v>#VALUE!</v>
      </c>
      <c r="EX100" t="e">
        <f>'All regions'!B2501+"n/&gt;!&amp;;."</f>
        <v>#VALUE!</v>
      </c>
      <c r="EY100" t="e">
        <f>'All regions'!C2501+"n/&gt;!&amp;;/"</f>
        <v>#VALUE!</v>
      </c>
      <c r="EZ100" t="e">
        <f>'All regions'!D2501+"n/&gt;!&amp;;0"</f>
        <v>#VALUE!</v>
      </c>
      <c r="FA100" t="e">
        <f>'All regions'!E2501+"n/&gt;!&amp;;1"</f>
        <v>#VALUE!</v>
      </c>
      <c r="FB100" t="e">
        <f>'All regions'!F2501+"n/&gt;!&amp;;2"</f>
        <v>#VALUE!</v>
      </c>
      <c r="FC100" t="e">
        <f>'All regions'!G2501+"n/&gt;!&amp;;3"</f>
        <v>#VALUE!</v>
      </c>
      <c r="FD100" t="e">
        <f>'All regions'!H2501+"n/&gt;!&amp;;4"</f>
        <v>#VALUE!</v>
      </c>
      <c r="FE100" t="e">
        <f>'All regions'!I2501+"n/&gt;!&amp;;5"</f>
        <v>#VALUE!</v>
      </c>
      <c r="FF100" t="e">
        <f>'All regions'!J2501+"n/&gt;!&amp;;6"</f>
        <v>#VALUE!</v>
      </c>
      <c r="FG100" t="e">
        <f>'All regions'!A2502+"n/&gt;!&amp;;7"</f>
        <v>#VALUE!</v>
      </c>
      <c r="FH100" t="e">
        <f>'All regions'!B2502+"n/&gt;!&amp;;8"</f>
        <v>#VALUE!</v>
      </c>
      <c r="FI100" t="e">
        <f>'All regions'!C2502+"n/&gt;!&amp;;9"</f>
        <v>#VALUE!</v>
      </c>
      <c r="FJ100" t="e">
        <f>'All regions'!D2502+"n/&gt;!&amp;;:"</f>
        <v>#VALUE!</v>
      </c>
      <c r="FK100" t="e">
        <f>'All regions'!E2502+"n/&gt;!&amp;;;"</f>
        <v>#VALUE!</v>
      </c>
      <c r="FL100" t="e">
        <f>'All regions'!F2502+"n/&gt;!&amp;;&lt;"</f>
        <v>#VALUE!</v>
      </c>
      <c r="FM100" t="e">
        <f>'All regions'!G2502+"n/&gt;!&amp;;="</f>
        <v>#VALUE!</v>
      </c>
      <c r="FN100" t="e">
        <f>'All regions'!H2502+"n/&gt;!&amp;;&gt;"</f>
        <v>#VALUE!</v>
      </c>
      <c r="FO100" t="e">
        <f>'All regions'!I2502+"n/&gt;!&amp;;?"</f>
        <v>#VALUE!</v>
      </c>
      <c r="FP100" t="e">
        <f>'All regions'!J2502+"n/&gt;!&amp;;@"</f>
        <v>#VALUE!</v>
      </c>
      <c r="FQ100" t="e">
        <f>'All regions'!A2503+"n/&gt;!&amp;;A"</f>
        <v>#VALUE!</v>
      </c>
      <c r="FR100" t="e">
        <f>'All regions'!B2503+"n/&gt;!&amp;;B"</f>
        <v>#VALUE!</v>
      </c>
      <c r="FS100" t="e">
        <f>'All regions'!C2503+"n/&gt;!&amp;;C"</f>
        <v>#VALUE!</v>
      </c>
      <c r="FT100" t="e">
        <f>'All regions'!D2503+"n/&gt;!&amp;;D"</f>
        <v>#VALUE!</v>
      </c>
      <c r="FU100" t="e">
        <f>'All regions'!E2503+"n/&gt;!&amp;;E"</f>
        <v>#VALUE!</v>
      </c>
      <c r="FV100" t="e">
        <f>'All regions'!F2503+"n/&gt;!&amp;;F"</f>
        <v>#VALUE!</v>
      </c>
      <c r="FW100" t="e">
        <f>'All regions'!G2503+"n/&gt;!&amp;;G"</f>
        <v>#VALUE!</v>
      </c>
      <c r="FX100" t="e">
        <f>'All regions'!H2503+"n/&gt;!&amp;;H"</f>
        <v>#VALUE!</v>
      </c>
      <c r="FY100" t="e">
        <f>'All regions'!I2503+"n/&gt;!&amp;;I"</f>
        <v>#VALUE!</v>
      </c>
      <c r="FZ100" t="e">
        <f>'All regions'!J2503+"n/&gt;!&amp;;J"</f>
        <v>#VALUE!</v>
      </c>
      <c r="GA100" t="e">
        <f>'All regions'!A2504+"n/&gt;!&amp;;K"</f>
        <v>#VALUE!</v>
      </c>
      <c r="GB100" t="e">
        <f>'All regions'!B2504+"n/&gt;!&amp;;L"</f>
        <v>#VALUE!</v>
      </c>
      <c r="GC100" t="e">
        <f>'All regions'!C2504+"n/&gt;!&amp;;M"</f>
        <v>#VALUE!</v>
      </c>
      <c r="GD100" t="e">
        <f>'All regions'!D2504+"n/&gt;!&amp;;N"</f>
        <v>#VALUE!</v>
      </c>
      <c r="GE100" t="e">
        <f>'All regions'!E2504+"n/&gt;!&amp;;O"</f>
        <v>#VALUE!</v>
      </c>
      <c r="GF100" t="e">
        <f>'All regions'!F2504+"n/&gt;!&amp;;P"</f>
        <v>#VALUE!</v>
      </c>
      <c r="GG100" t="e">
        <f>'All regions'!G2504+"n/&gt;!&amp;;Q"</f>
        <v>#VALUE!</v>
      </c>
      <c r="GH100" t="e">
        <f>'All regions'!H2504+"n/&gt;!&amp;;R"</f>
        <v>#VALUE!</v>
      </c>
      <c r="GI100" t="e">
        <f>'All regions'!I2504+"n/&gt;!&amp;;S"</f>
        <v>#VALUE!</v>
      </c>
      <c r="GJ100" t="e">
        <f>'All regions'!J2504+"n/&gt;!&amp;;T"</f>
        <v>#VALUE!</v>
      </c>
      <c r="GK100" t="e">
        <f>'All regions'!A2505+"n/&gt;!&amp;;U"</f>
        <v>#VALUE!</v>
      </c>
      <c r="GL100" t="e">
        <f>'All regions'!B2505+"n/&gt;!&amp;;V"</f>
        <v>#VALUE!</v>
      </c>
      <c r="GM100" t="e">
        <f>'All regions'!C2505+"n/&gt;!&amp;;W"</f>
        <v>#VALUE!</v>
      </c>
      <c r="GN100" t="e">
        <f>'All regions'!D2505+"n/&gt;!&amp;;X"</f>
        <v>#VALUE!</v>
      </c>
      <c r="GO100" t="e">
        <f>'All regions'!E2505+"n/&gt;!&amp;;Y"</f>
        <v>#VALUE!</v>
      </c>
      <c r="GP100" t="e">
        <f>'All regions'!F2505+"n/&gt;!&amp;;Z"</f>
        <v>#VALUE!</v>
      </c>
      <c r="GQ100" t="e">
        <f>'All regions'!G2505+"n/&gt;!&amp;;["</f>
        <v>#VALUE!</v>
      </c>
      <c r="GR100" t="e">
        <f>'All regions'!H2505+"n/&gt;!&amp;;\"</f>
        <v>#VALUE!</v>
      </c>
      <c r="GS100" t="e">
        <f>'All regions'!I2505+"n/&gt;!&amp;;]"</f>
        <v>#VALUE!</v>
      </c>
      <c r="GT100" t="e">
        <f>'All regions'!J2505+"n/&gt;!&amp;;^"</f>
        <v>#VALUE!</v>
      </c>
      <c r="GU100" t="e">
        <f>'All regions'!A2506+"n/&gt;!&amp;;_"</f>
        <v>#VALUE!</v>
      </c>
      <c r="GV100" t="e">
        <f>'All regions'!B2506+"n/&gt;!&amp;;`"</f>
        <v>#VALUE!</v>
      </c>
      <c r="GW100" t="e">
        <f>'All regions'!C2506+"n/&gt;!&amp;;a"</f>
        <v>#VALUE!</v>
      </c>
      <c r="GX100" t="e">
        <f>'All regions'!D2506+"n/&gt;!&amp;;b"</f>
        <v>#VALUE!</v>
      </c>
      <c r="GY100" t="e">
        <f>'All regions'!E2506+"n/&gt;!&amp;;c"</f>
        <v>#VALUE!</v>
      </c>
      <c r="GZ100" t="e">
        <f>'All regions'!F2506+"n/&gt;!&amp;;d"</f>
        <v>#VALUE!</v>
      </c>
      <c r="HA100" t="e">
        <f>'All regions'!G2506+"n/&gt;!&amp;;e"</f>
        <v>#VALUE!</v>
      </c>
      <c r="HB100" t="e">
        <f>'All regions'!H2506+"n/&gt;!&amp;;f"</f>
        <v>#VALUE!</v>
      </c>
      <c r="HC100" t="e">
        <f>'All regions'!I2506+"n/&gt;!&amp;;g"</f>
        <v>#VALUE!</v>
      </c>
      <c r="HD100" t="e">
        <f>'All regions'!J2506+"n/&gt;!&amp;;h"</f>
        <v>#VALUE!</v>
      </c>
      <c r="HE100" t="e">
        <f>'All regions'!A2507+"n/&gt;!&amp;;i"</f>
        <v>#VALUE!</v>
      </c>
      <c r="HF100" t="e">
        <f>'All regions'!B2507+"n/&gt;!&amp;;j"</f>
        <v>#VALUE!</v>
      </c>
      <c r="HG100" t="e">
        <f>'All regions'!C2507+"n/&gt;!&amp;;k"</f>
        <v>#VALUE!</v>
      </c>
      <c r="HH100" t="e">
        <f>'All regions'!D2507+"n/&gt;!&amp;;l"</f>
        <v>#VALUE!</v>
      </c>
      <c r="HI100" t="e">
        <f>'All regions'!E2507+"n/&gt;!&amp;;m"</f>
        <v>#VALUE!</v>
      </c>
      <c r="HJ100" t="e">
        <f>'All regions'!F2507+"n/&gt;!&amp;;n"</f>
        <v>#VALUE!</v>
      </c>
      <c r="HK100" t="e">
        <f>'All regions'!G2507+"n/&gt;!&amp;;o"</f>
        <v>#VALUE!</v>
      </c>
      <c r="HL100" t="e">
        <f>'All regions'!H2507+"n/&gt;!&amp;;p"</f>
        <v>#VALUE!</v>
      </c>
      <c r="HM100" t="e">
        <f>'All regions'!I2507+"n/&gt;!&amp;;q"</f>
        <v>#VALUE!</v>
      </c>
      <c r="HN100" t="e">
        <f>'All regions'!J2507+"n/&gt;!&amp;;r"</f>
        <v>#VALUE!</v>
      </c>
      <c r="HO100" t="e">
        <f>'All regions'!A2508+"n/&gt;!&amp;;s"</f>
        <v>#VALUE!</v>
      </c>
      <c r="HP100" t="e">
        <f>'All regions'!B2508+"n/&gt;!&amp;;t"</f>
        <v>#VALUE!</v>
      </c>
      <c r="HQ100" t="e">
        <f>'All regions'!C2508+"n/&gt;!&amp;;u"</f>
        <v>#VALUE!</v>
      </c>
      <c r="HR100" t="e">
        <f>'All regions'!D2508+"n/&gt;!&amp;;v"</f>
        <v>#VALUE!</v>
      </c>
      <c r="HS100" t="e">
        <f>'All regions'!E2508+"n/&gt;!&amp;;w"</f>
        <v>#VALUE!</v>
      </c>
      <c r="HT100" t="e">
        <f>'All regions'!F2508+"n/&gt;!&amp;;x"</f>
        <v>#VALUE!</v>
      </c>
      <c r="HU100" t="e">
        <f>'All regions'!G2508+"n/&gt;!&amp;;y"</f>
        <v>#VALUE!</v>
      </c>
      <c r="HV100" t="e">
        <f>'All regions'!H2508+"n/&gt;!&amp;;z"</f>
        <v>#VALUE!</v>
      </c>
      <c r="HW100" t="e">
        <f>'All regions'!I2508+"n/&gt;!&amp;;{"</f>
        <v>#VALUE!</v>
      </c>
      <c r="HX100" t="e">
        <f>'All regions'!J2508+"n/&gt;!&amp;;|"</f>
        <v>#VALUE!</v>
      </c>
      <c r="HY100" t="e">
        <f>'All regions'!A2509+"n/&gt;!&amp;;}"</f>
        <v>#VALUE!</v>
      </c>
      <c r="HZ100" t="e">
        <f>'All regions'!B2509+"n/&gt;!&amp;;~"</f>
        <v>#VALUE!</v>
      </c>
      <c r="IA100" t="e">
        <f>'All regions'!C2509+"n/&gt;!&amp;&lt;#"</f>
        <v>#VALUE!</v>
      </c>
      <c r="IB100" t="e">
        <f>'All regions'!D2509+"n/&gt;!&amp;&lt;$"</f>
        <v>#VALUE!</v>
      </c>
      <c r="IC100" t="e">
        <f>'All regions'!E2509+"n/&gt;!&amp;&lt;%"</f>
        <v>#VALUE!</v>
      </c>
      <c r="ID100" t="e">
        <f>'All regions'!F2509+"n/&gt;!&amp;&lt;&amp;"</f>
        <v>#VALUE!</v>
      </c>
      <c r="IE100" t="e">
        <f>'All regions'!G2509+"n/&gt;!&amp;&lt;'"</f>
        <v>#VALUE!</v>
      </c>
      <c r="IF100" t="e">
        <f>'All regions'!H2509+"n/&gt;!&amp;&lt;("</f>
        <v>#VALUE!</v>
      </c>
      <c r="IG100" t="e">
        <f>'All regions'!I2509+"n/&gt;!&amp;&lt;)"</f>
        <v>#VALUE!</v>
      </c>
      <c r="IH100" t="e">
        <f>'All regions'!J2509+"n/&gt;!&amp;&lt;."</f>
        <v>#VALUE!</v>
      </c>
      <c r="II100" t="e">
        <f>'All regions'!A2510+"n/&gt;!&amp;&lt;/"</f>
        <v>#VALUE!</v>
      </c>
      <c r="IJ100" t="e">
        <f>'All regions'!B2510+"n/&gt;!&amp;&lt;0"</f>
        <v>#VALUE!</v>
      </c>
      <c r="IK100" t="e">
        <f>'All regions'!C2510+"n/&gt;!&amp;&lt;1"</f>
        <v>#VALUE!</v>
      </c>
      <c r="IL100" t="e">
        <f>'All regions'!D2510+"n/&gt;!&amp;&lt;2"</f>
        <v>#VALUE!</v>
      </c>
      <c r="IM100" t="e">
        <f>'All regions'!E2510+"n/&gt;!&amp;&lt;3"</f>
        <v>#VALUE!</v>
      </c>
      <c r="IN100" t="e">
        <f>'All regions'!F2510+"n/&gt;!&amp;&lt;4"</f>
        <v>#VALUE!</v>
      </c>
      <c r="IO100" t="e">
        <f>'All regions'!G2510+"n/&gt;!&amp;&lt;5"</f>
        <v>#VALUE!</v>
      </c>
      <c r="IP100" t="e">
        <f>'All regions'!H2510+"n/&gt;!&amp;&lt;6"</f>
        <v>#VALUE!</v>
      </c>
      <c r="IQ100" t="e">
        <f>'All regions'!I2510+"n/&gt;!&amp;&lt;7"</f>
        <v>#VALUE!</v>
      </c>
      <c r="IR100" t="e">
        <f>'All regions'!J2510+"n/&gt;!&amp;&lt;8"</f>
        <v>#VALUE!</v>
      </c>
      <c r="IS100" t="e">
        <f>'All regions'!A2511+"n/&gt;!&amp;&lt;9"</f>
        <v>#VALUE!</v>
      </c>
      <c r="IT100" t="e">
        <f>'All regions'!B2511+"n/&gt;!&amp;&lt;:"</f>
        <v>#VALUE!</v>
      </c>
      <c r="IU100" t="e">
        <f>'All regions'!C2511+"n/&gt;!&amp;&lt;;"</f>
        <v>#VALUE!</v>
      </c>
      <c r="IV100" t="e">
        <f>'All regions'!D2511+"n/&gt;!&amp;&lt;&lt;"</f>
        <v>#VALUE!</v>
      </c>
    </row>
    <row r="101" spans="6:256" x14ac:dyDescent="0.35">
      <c r="F101" t="e">
        <f>'All regions'!E2511+"n/&gt;!&amp;&lt;="</f>
        <v>#VALUE!</v>
      </c>
      <c r="G101" t="e">
        <f>'All regions'!F2511+"n/&gt;!&amp;&lt;&gt;"</f>
        <v>#VALUE!</v>
      </c>
      <c r="H101" t="e">
        <f>'All regions'!G2511+"n/&gt;!&amp;&lt;?"</f>
        <v>#VALUE!</v>
      </c>
      <c r="I101" t="e">
        <f>'All regions'!H2511+"n/&gt;!&amp;&lt;@"</f>
        <v>#VALUE!</v>
      </c>
      <c r="J101" t="e">
        <f>'All regions'!I2511+"n/&gt;!&amp;&lt;A"</f>
        <v>#VALUE!</v>
      </c>
      <c r="K101" t="e">
        <f>'All regions'!J2511+"n/&gt;!&amp;&lt;B"</f>
        <v>#VALUE!</v>
      </c>
      <c r="L101" t="e">
        <f>'All regions'!A2512+"n/&gt;!&amp;&lt;C"</f>
        <v>#VALUE!</v>
      </c>
      <c r="M101" t="e">
        <f>'All regions'!B2512+"n/&gt;!&amp;&lt;D"</f>
        <v>#VALUE!</v>
      </c>
      <c r="N101" t="e">
        <f>'All regions'!C2512+"n/&gt;!&amp;&lt;E"</f>
        <v>#VALUE!</v>
      </c>
      <c r="O101" t="e">
        <f>'All regions'!D2512+"n/&gt;!&amp;&lt;F"</f>
        <v>#VALUE!</v>
      </c>
      <c r="P101" t="e">
        <f>'All regions'!E2512+"n/&gt;!&amp;&lt;G"</f>
        <v>#VALUE!</v>
      </c>
      <c r="Q101" t="e">
        <f>'All regions'!F2512+"n/&gt;!&amp;&lt;H"</f>
        <v>#VALUE!</v>
      </c>
      <c r="R101" t="e">
        <f>'All regions'!G2512+"n/&gt;!&amp;&lt;I"</f>
        <v>#VALUE!</v>
      </c>
      <c r="S101" t="e">
        <f>'All regions'!H2512+"n/&gt;!&amp;&lt;J"</f>
        <v>#VALUE!</v>
      </c>
      <c r="T101" t="e">
        <f>'All regions'!I2512+"n/&gt;!&amp;&lt;K"</f>
        <v>#VALUE!</v>
      </c>
      <c r="U101" t="e">
        <f>'All regions'!J2512+"n/&gt;!&amp;&lt;L"</f>
        <v>#VALUE!</v>
      </c>
      <c r="V101" t="e">
        <f>'All regions'!A2513+"n/&gt;!&amp;&lt;M"</f>
        <v>#VALUE!</v>
      </c>
      <c r="W101" t="e">
        <f>'All regions'!B2513+"n/&gt;!&amp;&lt;N"</f>
        <v>#VALUE!</v>
      </c>
      <c r="X101" t="e">
        <f>'All regions'!C2513+"n/&gt;!&amp;&lt;O"</f>
        <v>#VALUE!</v>
      </c>
      <c r="Y101" t="e">
        <f>'All regions'!D2513+"n/&gt;!&amp;&lt;P"</f>
        <v>#VALUE!</v>
      </c>
      <c r="Z101" t="e">
        <f>'All regions'!E2513+"n/&gt;!&amp;&lt;Q"</f>
        <v>#VALUE!</v>
      </c>
      <c r="AA101" t="e">
        <f>'All regions'!F2513+"n/&gt;!&amp;&lt;R"</f>
        <v>#VALUE!</v>
      </c>
      <c r="AB101" t="e">
        <f>'All regions'!G2513+"n/&gt;!&amp;&lt;S"</f>
        <v>#VALUE!</v>
      </c>
      <c r="AC101" t="e">
        <f>'All regions'!H2513+"n/&gt;!&amp;&lt;T"</f>
        <v>#VALUE!</v>
      </c>
      <c r="AD101" t="e">
        <f>'All regions'!I2513+"n/&gt;!&amp;&lt;U"</f>
        <v>#VALUE!</v>
      </c>
      <c r="AE101" t="e">
        <f>'All regions'!J2513+"n/&gt;!&amp;&lt;V"</f>
        <v>#VALUE!</v>
      </c>
      <c r="AF101" t="e">
        <f>'All regions'!A2514+"n/&gt;!&amp;&lt;W"</f>
        <v>#VALUE!</v>
      </c>
      <c r="AG101" t="e">
        <f>'All regions'!B2514+"n/&gt;!&amp;&lt;X"</f>
        <v>#VALUE!</v>
      </c>
      <c r="AH101" t="e">
        <f>'All regions'!C2514+"n/&gt;!&amp;&lt;Y"</f>
        <v>#VALUE!</v>
      </c>
      <c r="AI101" t="e">
        <f>'All regions'!D2514+"n/&gt;!&amp;&lt;Z"</f>
        <v>#VALUE!</v>
      </c>
      <c r="AJ101" t="e">
        <f>'All regions'!E2514+"n/&gt;!&amp;&lt;["</f>
        <v>#VALUE!</v>
      </c>
      <c r="AK101" t="e">
        <f>'All regions'!F2514+"n/&gt;!&amp;&lt;\"</f>
        <v>#VALUE!</v>
      </c>
      <c r="AL101" t="e">
        <f>'All regions'!G2514+"n/&gt;!&amp;&lt;]"</f>
        <v>#VALUE!</v>
      </c>
      <c r="AM101" t="e">
        <f>'All regions'!H2514+"n/&gt;!&amp;&lt;^"</f>
        <v>#VALUE!</v>
      </c>
      <c r="AN101" t="e">
        <f>'All regions'!I2514+"n/&gt;!&amp;&lt;_"</f>
        <v>#VALUE!</v>
      </c>
      <c r="AO101" t="e">
        <f>'All regions'!J2514+"n/&gt;!&amp;&lt;`"</f>
        <v>#VALUE!</v>
      </c>
      <c r="AP101" t="e">
        <f>'All regions'!A2515+"n/&gt;!&amp;&lt;a"</f>
        <v>#VALUE!</v>
      </c>
      <c r="AQ101" t="e">
        <f>'All regions'!B2515+"n/&gt;!&amp;&lt;b"</f>
        <v>#VALUE!</v>
      </c>
      <c r="AR101" t="e">
        <f>'All regions'!C2515+"n/&gt;!&amp;&lt;c"</f>
        <v>#VALUE!</v>
      </c>
      <c r="AS101" t="e">
        <f>'All regions'!D2515+"n/&gt;!&amp;&lt;d"</f>
        <v>#VALUE!</v>
      </c>
      <c r="AT101" t="e">
        <f>'All regions'!E2515+"n/&gt;!&amp;&lt;e"</f>
        <v>#VALUE!</v>
      </c>
      <c r="AU101" t="e">
        <f>'All regions'!F2515+"n/&gt;!&amp;&lt;f"</f>
        <v>#VALUE!</v>
      </c>
      <c r="AV101" t="e">
        <f>'All regions'!G2515+"n/&gt;!&amp;&lt;g"</f>
        <v>#VALUE!</v>
      </c>
      <c r="AW101" t="e">
        <f>'All regions'!H2515+"n/&gt;!&amp;&lt;h"</f>
        <v>#VALUE!</v>
      </c>
      <c r="AX101" t="e">
        <f>'All regions'!I2515+"n/&gt;!&amp;&lt;i"</f>
        <v>#VALUE!</v>
      </c>
      <c r="AY101" t="e">
        <f>'All regions'!J2515+"n/&gt;!&amp;&lt;j"</f>
        <v>#VALUE!</v>
      </c>
      <c r="AZ101" t="e">
        <f>'All regions'!A2516+"n/&gt;!&amp;&lt;k"</f>
        <v>#VALUE!</v>
      </c>
      <c r="BA101" t="e">
        <f>'All regions'!B2516+"n/&gt;!&amp;&lt;l"</f>
        <v>#VALUE!</v>
      </c>
      <c r="BB101" t="e">
        <f>'All regions'!C2516+"n/&gt;!&amp;&lt;m"</f>
        <v>#VALUE!</v>
      </c>
      <c r="BC101" t="e">
        <f>'All regions'!D2516+"n/&gt;!&amp;&lt;n"</f>
        <v>#VALUE!</v>
      </c>
      <c r="BD101" t="e">
        <f>'All regions'!E2516+"n/&gt;!&amp;&lt;o"</f>
        <v>#VALUE!</v>
      </c>
      <c r="BE101" t="e">
        <f>'All regions'!F2516+"n/&gt;!&amp;&lt;p"</f>
        <v>#VALUE!</v>
      </c>
      <c r="BF101" t="e">
        <f>'All regions'!G2516+"n/&gt;!&amp;&lt;q"</f>
        <v>#VALUE!</v>
      </c>
      <c r="BG101" t="e">
        <f>'All regions'!H2516+"n/&gt;!&amp;&lt;r"</f>
        <v>#VALUE!</v>
      </c>
      <c r="BH101" t="e">
        <f>'All regions'!I2516+"n/&gt;!&amp;&lt;s"</f>
        <v>#VALUE!</v>
      </c>
      <c r="BI101" t="e">
        <f>'All regions'!J2516+"n/&gt;!&amp;&lt;t"</f>
        <v>#VALUE!</v>
      </c>
      <c r="BJ101" t="e">
        <f>'All regions'!A2517+"n/&gt;!&amp;&lt;u"</f>
        <v>#VALUE!</v>
      </c>
      <c r="BK101" t="e">
        <f>'All regions'!B2517+"n/&gt;!&amp;&lt;v"</f>
        <v>#VALUE!</v>
      </c>
      <c r="BL101" t="e">
        <f>'All regions'!C2517+"n/&gt;!&amp;&lt;w"</f>
        <v>#VALUE!</v>
      </c>
      <c r="BM101" t="e">
        <f>'All regions'!D2517+"n/&gt;!&amp;&lt;x"</f>
        <v>#VALUE!</v>
      </c>
      <c r="BN101" t="e">
        <f>'All regions'!E2517+"n/&gt;!&amp;&lt;y"</f>
        <v>#VALUE!</v>
      </c>
      <c r="BO101" t="e">
        <f>'All regions'!F2517+"n/&gt;!&amp;&lt;z"</f>
        <v>#VALUE!</v>
      </c>
      <c r="BP101" t="e">
        <f>'All regions'!G2517+"n/&gt;!&amp;&lt;{"</f>
        <v>#VALUE!</v>
      </c>
      <c r="BQ101" t="e">
        <f>'All regions'!H2517+"n/&gt;!&amp;&lt;|"</f>
        <v>#VALUE!</v>
      </c>
      <c r="BR101" t="e">
        <f>'All regions'!I2517+"n/&gt;!&amp;&lt;}"</f>
        <v>#VALUE!</v>
      </c>
      <c r="BS101" t="e">
        <f>'All regions'!J2517+"n/&gt;!&amp;&lt;~"</f>
        <v>#VALUE!</v>
      </c>
      <c r="BT101" t="e">
        <f>'All regions'!A2518+"n/&gt;!&amp;=#"</f>
        <v>#VALUE!</v>
      </c>
      <c r="BU101" t="e">
        <f>'All regions'!B2518+"n/&gt;!&amp;=$"</f>
        <v>#VALUE!</v>
      </c>
      <c r="BV101" t="e">
        <f>'All regions'!C2518+"n/&gt;!&amp;=%"</f>
        <v>#VALUE!</v>
      </c>
      <c r="BW101" t="e">
        <f>'All regions'!D2518+"n/&gt;!&amp;=&amp;"</f>
        <v>#VALUE!</v>
      </c>
      <c r="BX101" t="e">
        <f>'All regions'!E2518+"n/&gt;!&amp;='"</f>
        <v>#VALUE!</v>
      </c>
      <c r="BY101" t="e">
        <f>'All regions'!F2518+"n/&gt;!&amp;=("</f>
        <v>#VALUE!</v>
      </c>
      <c r="BZ101" t="e">
        <f>'All regions'!G2518+"n/&gt;!&amp;=)"</f>
        <v>#VALUE!</v>
      </c>
      <c r="CA101" t="e">
        <f>'All regions'!H2518+"n/&gt;!&amp;=."</f>
        <v>#VALUE!</v>
      </c>
      <c r="CB101" t="e">
        <f>'All regions'!I2518+"n/&gt;!&amp;=/"</f>
        <v>#VALUE!</v>
      </c>
      <c r="CC101" t="e">
        <f>'All regions'!J2518+"n/&gt;!&amp;=0"</f>
        <v>#VALUE!</v>
      </c>
      <c r="CD101" t="e">
        <f>'All regions'!A2519+"n/&gt;!&amp;=1"</f>
        <v>#VALUE!</v>
      </c>
      <c r="CE101" t="e">
        <f>'All regions'!B2519+"n/&gt;!&amp;=2"</f>
        <v>#VALUE!</v>
      </c>
      <c r="CF101" t="e">
        <f>'All regions'!C2519+"n/&gt;!&amp;=3"</f>
        <v>#VALUE!</v>
      </c>
      <c r="CG101" t="e">
        <f>'All regions'!D2519+"n/&gt;!&amp;=4"</f>
        <v>#VALUE!</v>
      </c>
      <c r="CH101" t="e">
        <f>'All regions'!E2519+"n/&gt;!&amp;=5"</f>
        <v>#VALUE!</v>
      </c>
      <c r="CI101" t="e">
        <f>'All regions'!F2519+"n/&gt;!&amp;=6"</f>
        <v>#VALUE!</v>
      </c>
      <c r="CJ101" t="e">
        <f>'All regions'!G2519+"n/&gt;!&amp;=7"</f>
        <v>#VALUE!</v>
      </c>
      <c r="CK101" t="e">
        <f>'All regions'!H2519+"n/&gt;!&amp;=8"</f>
        <v>#VALUE!</v>
      </c>
      <c r="CL101" t="e">
        <f>'All regions'!I2519+"n/&gt;!&amp;=9"</f>
        <v>#VALUE!</v>
      </c>
      <c r="CM101" t="e">
        <f>'All regions'!J2519+"n/&gt;!&amp;=:"</f>
        <v>#VALUE!</v>
      </c>
      <c r="CN101" t="e">
        <f>'All regions'!A2520+"n/&gt;!&amp;=;"</f>
        <v>#VALUE!</v>
      </c>
      <c r="CO101" t="e">
        <f>'All regions'!B2520+"n/&gt;!&amp;=&lt;"</f>
        <v>#VALUE!</v>
      </c>
      <c r="CP101" t="e">
        <f>'All regions'!C2520+"n/&gt;!&amp;=="</f>
        <v>#VALUE!</v>
      </c>
      <c r="CQ101" t="e">
        <f>'All regions'!D2520+"n/&gt;!&amp;=&gt;"</f>
        <v>#VALUE!</v>
      </c>
      <c r="CR101" t="e">
        <f>'All regions'!E2520+"n/&gt;!&amp;=?"</f>
        <v>#VALUE!</v>
      </c>
      <c r="CS101" t="e">
        <f>'All regions'!F2520+"n/&gt;!&amp;=@"</f>
        <v>#VALUE!</v>
      </c>
      <c r="CT101" t="e">
        <f>'All regions'!G2520+"n/&gt;!&amp;=A"</f>
        <v>#VALUE!</v>
      </c>
      <c r="CU101" t="e">
        <f>'All regions'!H2520+"n/&gt;!&amp;=B"</f>
        <v>#VALUE!</v>
      </c>
      <c r="CV101" t="e">
        <f>'All regions'!I2520+"n/&gt;!&amp;=C"</f>
        <v>#VALUE!</v>
      </c>
      <c r="CW101" t="e">
        <f>'All regions'!J2520+"n/&gt;!&amp;=D"</f>
        <v>#VALUE!</v>
      </c>
      <c r="CX101" t="e">
        <f>'All regions'!A2521+"n/&gt;!&amp;=E"</f>
        <v>#VALUE!</v>
      </c>
      <c r="CY101" t="e">
        <f>'All regions'!B2521+"n/&gt;!&amp;=F"</f>
        <v>#VALUE!</v>
      </c>
      <c r="CZ101" t="e">
        <f>'All regions'!C2521+"n/&gt;!&amp;=G"</f>
        <v>#VALUE!</v>
      </c>
      <c r="DA101" t="e">
        <f>'All regions'!D2521+"n/&gt;!&amp;=H"</f>
        <v>#VALUE!</v>
      </c>
      <c r="DB101" t="e">
        <f>'All regions'!E2521+"n/&gt;!&amp;=I"</f>
        <v>#VALUE!</v>
      </c>
      <c r="DC101" t="e">
        <f>'All regions'!F2521+"n/&gt;!&amp;=J"</f>
        <v>#VALUE!</v>
      </c>
      <c r="DD101" t="e">
        <f>'All regions'!G2521+"n/&gt;!&amp;=K"</f>
        <v>#VALUE!</v>
      </c>
      <c r="DE101" t="e">
        <f>'All regions'!H2521+"n/&gt;!&amp;=L"</f>
        <v>#VALUE!</v>
      </c>
      <c r="DF101" t="e">
        <f>'All regions'!I2521+"n/&gt;!&amp;=M"</f>
        <v>#VALUE!</v>
      </c>
      <c r="DG101" t="e">
        <f>'All regions'!J2521+"n/&gt;!&amp;=N"</f>
        <v>#VALUE!</v>
      </c>
      <c r="DH101" t="e">
        <f>'All regions'!A2522+"n/&gt;!&amp;=O"</f>
        <v>#VALUE!</v>
      </c>
      <c r="DI101" t="e">
        <f>'All regions'!B2522+"n/&gt;!&amp;=P"</f>
        <v>#VALUE!</v>
      </c>
      <c r="DJ101" t="e">
        <f>'All regions'!C2522+"n/&gt;!&amp;=Q"</f>
        <v>#VALUE!</v>
      </c>
      <c r="DK101" t="e">
        <f>'All regions'!D2522+"n/&gt;!&amp;=R"</f>
        <v>#VALUE!</v>
      </c>
      <c r="DL101" t="e">
        <f>'All regions'!E2522+"n/&gt;!&amp;=S"</f>
        <v>#VALUE!</v>
      </c>
      <c r="DM101" t="e">
        <f>'All regions'!F2522+"n/&gt;!&amp;=T"</f>
        <v>#VALUE!</v>
      </c>
      <c r="DN101" t="e">
        <f>'All regions'!G2522+"n/&gt;!&amp;=U"</f>
        <v>#VALUE!</v>
      </c>
      <c r="DO101" t="e">
        <f>'All regions'!H2522+"n/&gt;!&amp;=V"</f>
        <v>#VALUE!</v>
      </c>
      <c r="DP101" t="e">
        <f>'All regions'!I2522+"n/&gt;!&amp;=W"</f>
        <v>#VALUE!</v>
      </c>
      <c r="DQ101" t="e">
        <f>'All regions'!J2522+"n/&gt;!&amp;=X"</f>
        <v>#VALUE!</v>
      </c>
      <c r="DR101" t="e">
        <f>'All regions'!A2523+"n/&gt;!&amp;=Y"</f>
        <v>#VALUE!</v>
      </c>
      <c r="DS101" t="e">
        <f>'All regions'!B2523+"n/&gt;!&amp;=Z"</f>
        <v>#VALUE!</v>
      </c>
      <c r="DT101" t="e">
        <f>'All regions'!C2523+"n/&gt;!&amp;=["</f>
        <v>#VALUE!</v>
      </c>
      <c r="DU101" t="e">
        <f>'All regions'!D2523+"n/&gt;!&amp;=\"</f>
        <v>#VALUE!</v>
      </c>
      <c r="DV101" t="e">
        <f>'All regions'!E2523+"n/&gt;!&amp;=]"</f>
        <v>#VALUE!</v>
      </c>
      <c r="DW101" t="e">
        <f>'All regions'!F2523+"n/&gt;!&amp;=^"</f>
        <v>#VALUE!</v>
      </c>
      <c r="DX101" t="e">
        <f>'All regions'!G2523+"n/&gt;!&amp;=_"</f>
        <v>#VALUE!</v>
      </c>
      <c r="DY101" t="e">
        <f>'All regions'!H2523+"n/&gt;!&amp;=`"</f>
        <v>#VALUE!</v>
      </c>
      <c r="DZ101" t="e">
        <f>'All regions'!I2523+"n/&gt;!&amp;=a"</f>
        <v>#VALUE!</v>
      </c>
      <c r="EA101" t="e">
        <f>'All regions'!J2523+"n/&gt;!&amp;=b"</f>
        <v>#VALUE!</v>
      </c>
      <c r="EB101" t="e">
        <f>'All regions'!A2524+"n/&gt;!&amp;=c"</f>
        <v>#VALUE!</v>
      </c>
      <c r="EC101" t="e">
        <f>'All regions'!B2524+"n/&gt;!&amp;=d"</f>
        <v>#VALUE!</v>
      </c>
      <c r="ED101" t="e">
        <f>'All regions'!C2524+"n/&gt;!&amp;=e"</f>
        <v>#VALUE!</v>
      </c>
      <c r="EE101" t="e">
        <f>'All regions'!D2524+"n/&gt;!&amp;=f"</f>
        <v>#VALUE!</v>
      </c>
      <c r="EF101" t="e">
        <f>'All regions'!E2524+"n/&gt;!&amp;=g"</f>
        <v>#VALUE!</v>
      </c>
      <c r="EG101" t="e">
        <f>'All regions'!F2524+"n/&gt;!&amp;=h"</f>
        <v>#VALUE!</v>
      </c>
      <c r="EH101" t="e">
        <f>'All regions'!G2524+"n/&gt;!&amp;=i"</f>
        <v>#VALUE!</v>
      </c>
      <c r="EI101" t="e">
        <f>'All regions'!H2524+"n/&gt;!&amp;=j"</f>
        <v>#VALUE!</v>
      </c>
      <c r="EJ101" t="e">
        <f>'All regions'!I2524+"n/&gt;!&amp;=k"</f>
        <v>#VALUE!</v>
      </c>
      <c r="EK101" t="e">
        <f>'All regions'!J2524+"n/&gt;!&amp;=l"</f>
        <v>#VALUE!</v>
      </c>
      <c r="EL101" t="e">
        <f>'All regions'!A2525+"n/&gt;!&amp;=m"</f>
        <v>#VALUE!</v>
      </c>
      <c r="EM101" t="e">
        <f>'All regions'!B2525+"n/&gt;!&amp;=n"</f>
        <v>#VALUE!</v>
      </c>
      <c r="EN101" t="e">
        <f>'All regions'!C2525+"n/&gt;!&amp;=o"</f>
        <v>#VALUE!</v>
      </c>
      <c r="EO101" t="e">
        <f>'All regions'!D2525+"n/&gt;!&amp;=p"</f>
        <v>#VALUE!</v>
      </c>
      <c r="EP101" t="e">
        <f>'All regions'!E2525+"n/&gt;!&amp;=q"</f>
        <v>#VALUE!</v>
      </c>
      <c r="EQ101" t="e">
        <f>'All regions'!F2525+"n/&gt;!&amp;=r"</f>
        <v>#VALUE!</v>
      </c>
      <c r="ER101" t="e">
        <f>'All regions'!G2525+"n/&gt;!&amp;=s"</f>
        <v>#VALUE!</v>
      </c>
      <c r="ES101" t="e">
        <f>'All regions'!H2525+"n/&gt;!&amp;=t"</f>
        <v>#VALUE!</v>
      </c>
      <c r="ET101" t="e">
        <f>'All regions'!I2525+"n/&gt;!&amp;=u"</f>
        <v>#VALUE!</v>
      </c>
      <c r="EU101" t="e">
        <f>'All regions'!J2525+"n/&gt;!&amp;=v"</f>
        <v>#VALUE!</v>
      </c>
      <c r="EV101" t="e">
        <f>'All regions'!A2526+"n/&gt;!&amp;=w"</f>
        <v>#VALUE!</v>
      </c>
      <c r="EW101" t="e">
        <f>'All regions'!B2526+"n/&gt;!&amp;=x"</f>
        <v>#VALUE!</v>
      </c>
      <c r="EX101" t="e">
        <f>'All regions'!C2526+"n/&gt;!&amp;=y"</f>
        <v>#VALUE!</v>
      </c>
      <c r="EY101" t="e">
        <f>'All regions'!D2526+"n/&gt;!&amp;=z"</f>
        <v>#VALUE!</v>
      </c>
      <c r="EZ101" t="e">
        <f>'All regions'!E2526+"n/&gt;!&amp;={"</f>
        <v>#VALUE!</v>
      </c>
      <c r="FA101" t="e">
        <f>'All regions'!F2526+"n/&gt;!&amp;=|"</f>
        <v>#VALUE!</v>
      </c>
      <c r="FB101" t="e">
        <f>'All regions'!G2526+"n/&gt;!&amp;=}"</f>
        <v>#VALUE!</v>
      </c>
      <c r="FC101" t="e">
        <f>'All regions'!H2526+"n/&gt;!&amp;=~"</f>
        <v>#VALUE!</v>
      </c>
      <c r="FD101" t="e">
        <f>'All regions'!I2526+"n/&gt;!&amp;&gt;#"</f>
        <v>#VALUE!</v>
      </c>
      <c r="FE101" t="e">
        <f>'All regions'!J2526+"n/&gt;!&amp;&gt;$"</f>
        <v>#VALUE!</v>
      </c>
      <c r="FF101" t="e">
        <f>'All regions'!A2527+"n/&gt;!&amp;&gt;%"</f>
        <v>#VALUE!</v>
      </c>
      <c r="FG101" t="e">
        <f>'All regions'!B2527+"n/&gt;!&amp;&gt;&amp;"</f>
        <v>#VALUE!</v>
      </c>
      <c r="FH101" t="e">
        <f>'All regions'!C2527+"n/&gt;!&amp;&gt;'"</f>
        <v>#VALUE!</v>
      </c>
      <c r="FI101" t="e">
        <f>'All regions'!D2527+"n/&gt;!&amp;&gt;("</f>
        <v>#VALUE!</v>
      </c>
      <c r="FJ101" t="e">
        <f>'All regions'!E2527+"n/&gt;!&amp;&gt;)"</f>
        <v>#VALUE!</v>
      </c>
      <c r="FK101" t="e">
        <f>'All regions'!F2527+"n/&gt;!&amp;&gt;."</f>
        <v>#VALUE!</v>
      </c>
      <c r="FL101" t="e">
        <f>'All regions'!G2527+"n/&gt;!&amp;&gt;/"</f>
        <v>#VALUE!</v>
      </c>
      <c r="FM101" t="e">
        <f>'All regions'!H2527+"n/&gt;!&amp;&gt;0"</f>
        <v>#VALUE!</v>
      </c>
      <c r="FN101" t="e">
        <f>'All regions'!I2527+"n/&gt;!&amp;&gt;1"</f>
        <v>#VALUE!</v>
      </c>
      <c r="FO101" t="e">
        <f>'All regions'!J2527+"n/&gt;!&amp;&gt;2"</f>
        <v>#VALUE!</v>
      </c>
      <c r="FP101" t="e">
        <f>'All regions'!A2528+"n/&gt;!&amp;&gt;3"</f>
        <v>#VALUE!</v>
      </c>
      <c r="FQ101" t="e">
        <f>'All regions'!B2528+"n/&gt;!&amp;&gt;4"</f>
        <v>#VALUE!</v>
      </c>
      <c r="FR101" t="e">
        <f>'All regions'!C2528+"n/&gt;!&amp;&gt;5"</f>
        <v>#VALUE!</v>
      </c>
      <c r="FS101" t="e">
        <f>'All regions'!D2528+"n/&gt;!&amp;&gt;6"</f>
        <v>#VALUE!</v>
      </c>
      <c r="FT101" t="e">
        <f>'All regions'!E2528+"n/&gt;!&amp;&gt;7"</f>
        <v>#VALUE!</v>
      </c>
      <c r="FU101" t="e">
        <f>'All regions'!F2528+"n/&gt;!&amp;&gt;8"</f>
        <v>#VALUE!</v>
      </c>
      <c r="FV101" t="e">
        <f>'All regions'!G2528+"n/&gt;!&amp;&gt;9"</f>
        <v>#VALUE!</v>
      </c>
      <c r="FW101" t="e">
        <f>'All regions'!H2528+"n/&gt;!&amp;&gt;:"</f>
        <v>#VALUE!</v>
      </c>
      <c r="FX101" t="e">
        <f>'All regions'!I2528+"n/&gt;!&amp;&gt;;"</f>
        <v>#VALUE!</v>
      </c>
      <c r="FY101" t="e">
        <f>'All regions'!J2528+"n/&gt;!&amp;&gt;&lt;"</f>
        <v>#VALUE!</v>
      </c>
      <c r="FZ101" t="e">
        <f>'All regions'!A2529+"n/&gt;!&amp;&gt;="</f>
        <v>#VALUE!</v>
      </c>
      <c r="GA101" t="e">
        <f>'All regions'!B2529+"n/&gt;!&amp;&gt;&gt;"</f>
        <v>#VALUE!</v>
      </c>
      <c r="GB101" t="e">
        <f>'All regions'!C2529+"n/&gt;!&amp;&gt;?"</f>
        <v>#VALUE!</v>
      </c>
      <c r="GC101" t="e">
        <f>'All regions'!D2529+"n/&gt;!&amp;&gt;@"</f>
        <v>#VALUE!</v>
      </c>
      <c r="GD101" t="e">
        <f>'All regions'!E2529+"n/&gt;!&amp;&gt;A"</f>
        <v>#VALUE!</v>
      </c>
      <c r="GE101" t="e">
        <f>'All regions'!F2529+"n/&gt;!&amp;&gt;B"</f>
        <v>#VALUE!</v>
      </c>
      <c r="GF101" t="e">
        <f>'All regions'!G2529+"n/&gt;!&amp;&gt;C"</f>
        <v>#VALUE!</v>
      </c>
      <c r="GG101" t="e">
        <f>'All regions'!H2529+"n/&gt;!&amp;&gt;D"</f>
        <v>#VALUE!</v>
      </c>
      <c r="GH101" t="e">
        <f>'All regions'!I2529+"n/&gt;!&amp;&gt;E"</f>
        <v>#VALUE!</v>
      </c>
      <c r="GI101" t="e">
        <f>'All regions'!J2529+"n/&gt;!&amp;&gt;F"</f>
        <v>#VALUE!</v>
      </c>
      <c r="GJ101" t="e">
        <f>'All regions'!A2530+"n/&gt;!&amp;&gt;G"</f>
        <v>#VALUE!</v>
      </c>
      <c r="GK101" t="e">
        <f>'All regions'!B2530+"n/&gt;!&amp;&gt;H"</f>
        <v>#VALUE!</v>
      </c>
      <c r="GL101" t="e">
        <f>'All regions'!C2530+"n/&gt;!&amp;&gt;I"</f>
        <v>#VALUE!</v>
      </c>
      <c r="GM101" t="e">
        <f>'All regions'!D2530+"n/&gt;!&amp;&gt;J"</f>
        <v>#VALUE!</v>
      </c>
      <c r="GN101" t="e">
        <f>'All regions'!E2530+"n/&gt;!&amp;&gt;K"</f>
        <v>#VALUE!</v>
      </c>
      <c r="GO101" t="e">
        <f>'All regions'!F2530+"n/&gt;!&amp;&gt;L"</f>
        <v>#VALUE!</v>
      </c>
      <c r="GP101" t="e">
        <f>'All regions'!G2530+"n/&gt;!&amp;&gt;M"</f>
        <v>#VALUE!</v>
      </c>
      <c r="GQ101" t="e">
        <f>'All regions'!H2530+"n/&gt;!&amp;&gt;N"</f>
        <v>#VALUE!</v>
      </c>
      <c r="GR101" t="e">
        <f>'All regions'!I2530+"n/&gt;!&amp;&gt;O"</f>
        <v>#VALUE!</v>
      </c>
      <c r="GS101" t="e">
        <f>'All regions'!J2530+"n/&gt;!&amp;&gt;P"</f>
        <v>#VALUE!</v>
      </c>
      <c r="GT101" t="e">
        <f>'All regions'!A2531+"n/&gt;!&amp;&gt;Q"</f>
        <v>#VALUE!</v>
      </c>
      <c r="GU101" t="e">
        <f>'All regions'!B2531+"n/&gt;!&amp;&gt;R"</f>
        <v>#VALUE!</v>
      </c>
      <c r="GV101" t="e">
        <f>'All regions'!C2531+"n/&gt;!&amp;&gt;S"</f>
        <v>#VALUE!</v>
      </c>
      <c r="GW101" t="e">
        <f>'All regions'!D2531+"n/&gt;!&amp;&gt;T"</f>
        <v>#VALUE!</v>
      </c>
      <c r="GX101" t="e">
        <f>'All regions'!E2531+"n/&gt;!&amp;&gt;U"</f>
        <v>#VALUE!</v>
      </c>
      <c r="GY101" t="e">
        <f>'All regions'!F2531+"n/&gt;!&amp;&gt;V"</f>
        <v>#VALUE!</v>
      </c>
      <c r="GZ101" t="e">
        <f>'All regions'!G2531+"n/&gt;!&amp;&gt;W"</f>
        <v>#VALUE!</v>
      </c>
      <c r="HA101" t="e">
        <f>'All regions'!H2531+"n/&gt;!&amp;&gt;X"</f>
        <v>#VALUE!</v>
      </c>
      <c r="HB101" t="e">
        <f>'All regions'!I2531+"n/&gt;!&amp;&gt;Y"</f>
        <v>#VALUE!</v>
      </c>
      <c r="HC101" t="e">
        <f>'All regions'!J2531+"n/&gt;!&amp;&gt;Z"</f>
        <v>#VALUE!</v>
      </c>
      <c r="HD101" t="e">
        <f>'All regions'!A2532+"n/&gt;!&amp;&gt;["</f>
        <v>#VALUE!</v>
      </c>
      <c r="HE101" t="e">
        <f>'All regions'!B2532+"n/&gt;!&amp;&gt;\"</f>
        <v>#VALUE!</v>
      </c>
      <c r="HF101" t="e">
        <f>'All regions'!C2532+"n/&gt;!&amp;&gt;]"</f>
        <v>#VALUE!</v>
      </c>
      <c r="HG101" t="e">
        <f>'All regions'!D2532+"n/&gt;!&amp;&gt;^"</f>
        <v>#VALUE!</v>
      </c>
      <c r="HH101" t="e">
        <f>'All regions'!E2532+"n/&gt;!&amp;&gt;_"</f>
        <v>#VALUE!</v>
      </c>
      <c r="HI101" t="e">
        <f>'All regions'!F2532+"n/&gt;!&amp;&gt;`"</f>
        <v>#VALUE!</v>
      </c>
      <c r="HJ101" t="e">
        <f>'All regions'!G2532+"n/&gt;!&amp;&gt;a"</f>
        <v>#VALUE!</v>
      </c>
      <c r="HK101" t="e">
        <f>'All regions'!H2532+"n/&gt;!&amp;&gt;b"</f>
        <v>#VALUE!</v>
      </c>
      <c r="HL101" t="e">
        <f>'All regions'!I2532+"n/&gt;!&amp;&gt;c"</f>
        <v>#VALUE!</v>
      </c>
      <c r="HM101" t="e">
        <f>'All regions'!J2532+"n/&gt;!&amp;&gt;d"</f>
        <v>#VALUE!</v>
      </c>
      <c r="HN101" t="e">
        <f>'All regions'!A2533+"n/&gt;!&amp;&gt;e"</f>
        <v>#VALUE!</v>
      </c>
      <c r="HO101" t="e">
        <f>'All regions'!B2533+"n/&gt;!&amp;&gt;f"</f>
        <v>#VALUE!</v>
      </c>
      <c r="HP101" t="e">
        <f>'All regions'!C2533+"n/&gt;!&amp;&gt;g"</f>
        <v>#VALUE!</v>
      </c>
      <c r="HQ101" t="e">
        <f>'All regions'!D2533+"n/&gt;!&amp;&gt;h"</f>
        <v>#VALUE!</v>
      </c>
      <c r="HR101" t="e">
        <f>'All regions'!E2533+"n/&gt;!&amp;&gt;i"</f>
        <v>#VALUE!</v>
      </c>
      <c r="HS101" t="e">
        <f>'All regions'!F2533+"n/&gt;!&amp;&gt;j"</f>
        <v>#VALUE!</v>
      </c>
      <c r="HT101" t="e">
        <f>'All regions'!G2533+"n/&gt;!&amp;&gt;k"</f>
        <v>#VALUE!</v>
      </c>
      <c r="HU101" t="e">
        <f>'All regions'!H2533+"n/&gt;!&amp;&gt;l"</f>
        <v>#VALUE!</v>
      </c>
      <c r="HV101" t="e">
        <f>'All regions'!I2533+"n/&gt;!&amp;&gt;m"</f>
        <v>#VALUE!</v>
      </c>
      <c r="HW101" t="e">
        <f>'All regions'!J2533+"n/&gt;!&amp;&gt;n"</f>
        <v>#VALUE!</v>
      </c>
      <c r="HX101" t="e">
        <f>'All regions'!A2534+"n/&gt;!&amp;&gt;o"</f>
        <v>#VALUE!</v>
      </c>
      <c r="HY101" t="e">
        <f>'All regions'!B2534+"n/&gt;!&amp;&gt;p"</f>
        <v>#VALUE!</v>
      </c>
      <c r="HZ101" t="e">
        <f>'All regions'!C2534+"n/&gt;!&amp;&gt;q"</f>
        <v>#VALUE!</v>
      </c>
      <c r="IA101" t="e">
        <f>'All regions'!D2534+"n/&gt;!&amp;&gt;r"</f>
        <v>#VALUE!</v>
      </c>
      <c r="IB101" t="e">
        <f>'All regions'!E2534+"n/&gt;!&amp;&gt;s"</f>
        <v>#VALUE!</v>
      </c>
      <c r="IC101" t="e">
        <f>'All regions'!F2534+"n/&gt;!&amp;&gt;t"</f>
        <v>#VALUE!</v>
      </c>
      <c r="ID101" t="e">
        <f>'All regions'!G2534+"n/&gt;!&amp;&gt;u"</f>
        <v>#VALUE!</v>
      </c>
      <c r="IE101" t="e">
        <f>'All regions'!H2534+"n/&gt;!&amp;&gt;v"</f>
        <v>#VALUE!</v>
      </c>
      <c r="IF101" t="e">
        <f>'All regions'!I2534+"n/&gt;!&amp;&gt;w"</f>
        <v>#VALUE!</v>
      </c>
      <c r="IG101" t="e">
        <f>'All regions'!J2534+"n/&gt;!&amp;&gt;x"</f>
        <v>#VALUE!</v>
      </c>
      <c r="IH101" t="e">
        <f>'All regions'!A2535+"n/&gt;!&amp;&gt;y"</f>
        <v>#VALUE!</v>
      </c>
      <c r="II101" t="e">
        <f>'All regions'!B2535+"n/&gt;!&amp;&gt;z"</f>
        <v>#VALUE!</v>
      </c>
      <c r="IJ101" t="e">
        <f>'All regions'!C2535+"n/&gt;!&amp;&gt;{"</f>
        <v>#VALUE!</v>
      </c>
      <c r="IK101" t="e">
        <f>'All regions'!D2535+"n/&gt;!&amp;&gt;|"</f>
        <v>#VALUE!</v>
      </c>
      <c r="IL101" t="e">
        <f>'All regions'!E2535+"n/&gt;!&amp;&gt;}"</f>
        <v>#VALUE!</v>
      </c>
      <c r="IM101" t="e">
        <f>'All regions'!F2535+"n/&gt;!&amp;&gt;~"</f>
        <v>#VALUE!</v>
      </c>
      <c r="IN101" t="e">
        <f>'All regions'!G2535+"n/&gt;!&amp;?#"</f>
        <v>#VALUE!</v>
      </c>
      <c r="IO101" t="e">
        <f>'All regions'!H2535+"n/&gt;!&amp;?$"</f>
        <v>#VALUE!</v>
      </c>
      <c r="IP101" t="e">
        <f>'All regions'!I2535+"n/&gt;!&amp;?%"</f>
        <v>#VALUE!</v>
      </c>
      <c r="IQ101" t="e">
        <f>'All regions'!J2535+"n/&gt;!&amp;?&amp;"</f>
        <v>#VALUE!</v>
      </c>
      <c r="IR101" t="e">
        <f>'All regions'!A2536+"n/&gt;!&amp;?'"</f>
        <v>#VALUE!</v>
      </c>
      <c r="IS101" t="e">
        <f>'All regions'!B2536+"n/&gt;!&amp;?("</f>
        <v>#VALUE!</v>
      </c>
      <c r="IT101" t="e">
        <f>'All regions'!C2536+"n/&gt;!&amp;?)"</f>
        <v>#VALUE!</v>
      </c>
      <c r="IU101" t="e">
        <f>'All regions'!D2536+"n/&gt;!&amp;?."</f>
        <v>#VALUE!</v>
      </c>
      <c r="IV101" t="e">
        <f>'All regions'!E2536+"n/&gt;!&amp;?/"</f>
        <v>#VALUE!</v>
      </c>
    </row>
    <row r="102" spans="6:256" x14ac:dyDescent="0.35">
      <c r="F102" t="e">
        <f>'All regions'!F2536+"n/&gt;!&amp;?0"</f>
        <v>#VALUE!</v>
      </c>
      <c r="G102" t="e">
        <f>'All regions'!G2536+"n/&gt;!&amp;?1"</f>
        <v>#VALUE!</v>
      </c>
      <c r="H102" t="e">
        <f>'All regions'!H2536+"n/&gt;!&amp;?2"</f>
        <v>#VALUE!</v>
      </c>
      <c r="I102" t="e">
        <f>'All regions'!I2536+"n/&gt;!&amp;?3"</f>
        <v>#VALUE!</v>
      </c>
      <c r="J102" t="e">
        <f>'All regions'!J2536+"n/&gt;!&amp;?4"</f>
        <v>#VALUE!</v>
      </c>
      <c r="K102" t="e">
        <f>'All regions'!A2537+"n/&gt;!&amp;?5"</f>
        <v>#VALUE!</v>
      </c>
      <c r="L102" t="e">
        <f>'All regions'!B2537+"n/&gt;!&amp;?6"</f>
        <v>#VALUE!</v>
      </c>
      <c r="M102" t="e">
        <f>'All regions'!C2537+"n/&gt;!&amp;?7"</f>
        <v>#VALUE!</v>
      </c>
      <c r="N102" t="e">
        <f>'All regions'!D2537+"n/&gt;!&amp;?8"</f>
        <v>#VALUE!</v>
      </c>
      <c r="O102" t="e">
        <f>'All regions'!E2537+"n/&gt;!&amp;?9"</f>
        <v>#VALUE!</v>
      </c>
      <c r="P102" t="e">
        <f>'All regions'!F2537+"n/&gt;!&amp;?:"</f>
        <v>#VALUE!</v>
      </c>
      <c r="Q102" t="e">
        <f>'All regions'!G2537+"n/&gt;!&amp;?;"</f>
        <v>#VALUE!</v>
      </c>
      <c r="R102" t="e">
        <f>'All regions'!H2537+"n/&gt;!&amp;?&lt;"</f>
        <v>#VALUE!</v>
      </c>
      <c r="S102" t="e">
        <f>'All regions'!I2537+"n/&gt;!&amp;?="</f>
        <v>#VALUE!</v>
      </c>
      <c r="T102" t="e">
        <f>'All regions'!J2537+"n/&gt;!&amp;?&gt;"</f>
        <v>#VALUE!</v>
      </c>
      <c r="U102" t="e">
        <f>'All regions'!A2538+"n/&gt;!&amp;??"</f>
        <v>#VALUE!</v>
      </c>
      <c r="V102" t="e">
        <f>'All regions'!B2538+"n/&gt;!&amp;?@"</f>
        <v>#VALUE!</v>
      </c>
      <c r="W102" t="e">
        <f>'All regions'!C2538+"n/&gt;!&amp;?A"</f>
        <v>#VALUE!</v>
      </c>
      <c r="X102" t="e">
        <f>'All regions'!D2538+"n/&gt;!&amp;?B"</f>
        <v>#VALUE!</v>
      </c>
      <c r="Y102" t="e">
        <f>'All regions'!E2538+"n/&gt;!&amp;?C"</f>
        <v>#VALUE!</v>
      </c>
      <c r="Z102" t="e">
        <f>'All regions'!F2538+"n/&gt;!&amp;?D"</f>
        <v>#VALUE!</v>
      </c>
      <c r="AA102" t="e">
        <f>'All regions'!G2538+"n/&gt;!&amp;?E"</f>
        <v>#VALUE!</v>
      </c>
      <c r="AB102" t="e">
        <f>'All regions'!H2538+"n/&gt;!&amp;?F"</f>
        <v>#VALUE!</v>
      </c>
      <c r="AC102" t="e">
        <f>'All regions'!I2538+"n/&gt;!&amp;?G"</f>
        <v>#VALUE!</v>
      </c>
      <c r="AD102" t="e">
        <f>'All regions'!J2538+"n/&gt;!&amp;?H"</f>
        <v>#VALUE!</v>
      </c>
      <c r="AE102" t="e">
        <f>'All regions'!A2539+"n/&gt;!&amp;?I"</f>
        <v>#VALUE!</v>
      </c>
      <c r="AF102" t="e">
        <f>'All regions'!B2539+"n/&gt;!&amp;?J"</f>
        <v>#VALUE!</v>
      </c>
      <c r="AG102" t="e">
        <f>'All regions'!C2539+"n/&gt;!&amp;?K"</f>
        <v>#VALUE!</v>
      </c>
      <c r="AH102" t="e">
        <f>'All regions'!D2539+"n/&gt;!&amp;?L"</f>
        <v>#VALUE!</v>
      </c>
      <c r="AI102" t="e">
        <f>'All regions'!E2539+"n/&gt;!&amp;?M"</f>
        <v>#VALUE!</v>
      </c>
      <c r="AJ102" t="e">
        <f>'All regions'!F2539+"n/&gt;!&amp;?N"</f>
        <v>#VALUE!</v>
      </c>
      <c r="AK102" t="e">
        <f>'All regions'!G2539+"n/&gt;!&amp;?O"</f>
        <v>#VALUE!</v>
      </c>
      <c r="AL102" t="e">
        <f>'All regions'!H2539+"n/&gt;!&amp;?P"</f>
        <v>#VALUE!</v>
      </c>
      <c r="AM102" t="e">
        <f>'All regions'!I2539+"n/&gt;!&amp;?Q"</f>
        <v>#VALUE!</v>
      </c>
      <c r="AN102" t="e">
        <f>'All regions'!J2539+"n/&gt;!&amp;?R"</f>
        <v>#VALUE!</v>
      </c>
      <c r="AO102" t="e">
        <f>'All regions'!A2540+"n/&gt;!&amp;?S"</f>
        <v>#VALUE!</v>
      </c>
      <c r="AP102" t="e">
        <f>'All regions'!B2540+"n/&gt;!&amp;?T"</f>
        <v>#VALUE!</v>
      </c>
      <c r="AQ102" t="e">
        <f>'All regions'!C2540+"n/&gt;!&amp;?U"</f>
        <v>#VALUE!</v>
      </c>
      <c r="AR102" t="e">
        <f>'All regions'!D2540+"n/&gt;!&amp;?V"</f>
        <v>#VALUE!</v>
      </c>
      <c r="AS102" t="e">
        <f>'All regions'!E2540+"n/&gt;!&amp;?W"</f>
        <v>#VALUE!</v>
      </c>
      <c r="AT102" t="e">
        <f>'All regions'!F2540+"n/&gt;!&amp;?X"</f>
        <v>#VALUE!</v>
      </c>
      <c r="AU102" t="e">
        <f>'All regions'!G2540+"n/&gt;!&amp;?Y"</f>
        <v>#VALUE!</v>
      </c>
      <c r="AV102" t="e">
        <f>'All regions'!H2540+"n/&gt;!&amp;?Z"</f>
        <v>#VALUE!</v>
      </c>
      <c r="AW102" t="e">
        <f>'All regions'!I2540+"n/&gt;!&amp;?["</f>
        <v>#VALUE!</v>
      </c>
      <c r="AX102" t="e">
        <f>'All regions'!J2540+"n/&gt;!&amp;?\"</f>
        <v>#VALUE!</v>
      </c>
      <c r="AY102" t="e">
        <f>'All regions'!A2541+"n/&gt;!&amp;?]"</f>
        <v>#VALUE!</v>
      </c>
      <c r="AZ102" t="e">
        <f>'All regions'!B2541+"n/&gt;!&amp;?^"</f>
        <v>#VALUE!</v>
      </c>
      <c r="BA102" t="e">
        <f>'All regions'!C2541+"n/&gt;!&amp;?_"</f>
        <v>#VALUE!</v>
      </c>
      <c r="BB102" t="e">
        <f>'All regions'!D2541+"n/&gt;!&amp;?`"</f>
        <v>#VALUE!</v>
      </c>
      <c r="BC102" t="e">
        <f>'All regions'!E2541+"n/&gt;!&amp;?a"</f>
        <v>#VALUE!</v>
      </c>
      <c r="BD102" t="e">
        <f>'All regions'!F2541+"n/&gt;!&amp;?b"</f>
        <v>#VALUE!</v>
      </c>
      <c r="BE102" t="e">
        <f>'All regions'!G2541+"n/&gt;!&amp;?c"</f>
        <v>#VALUE!</v>
      </c>
      <c r="BF102" t="e">
        <f>'All regions'!H2541+"n/&gt;!&amp;?d"</f>
        <v>#VALUE!</v>
      </c>
      <c r="BG102" t="e">
        <f>'All regions'!I2541+"n/&gt;!&amp;?e"</f>
        <v>#VALUE!</v>
      </c>
      <c r="BH102" t="e">
        <f>'All regions'!J2541+"n/&gt;!&amp;?f"</f>
        <v>#VALUE!</v>
      </c>
      <c r="BI102" t="e">
        <f>'All regions'!A2542+"n/&gt;!&amp;?g"</f>
        <v>#VALUE!</v>
      </c>
      <c r="BJ102" t="e">
        <f>'All regions'!B2542+"n/&gt;!&amp;?h"</f>
        <v>#VALUE!</v>
      </c>
      <c r="BK102" t="e">
        <f>'All regions'!C2542+"n/&gt;!&amp;?i"</f>
        <v>#VALUE!</v>
      </c>
      <c r="BL102" t="e">
        <f>'All regions'!D2542+"n/&gt;!&amp;?j"</f>
        <v>#VALUE!</v>
      </c>
      <c r="BM102" t="e">
        <f>'All regions'!E2542+"n/&gt;!&amp;?k"</f>
        <v>#VALUE!</v>
      </c>
      <c r="BN102" t="e">
        <f>'All regions'!F2542+"n/&gt;!&amp;?l"</f>
        <v>#VALUE!</v>
      </c>
      <c r="BO102" t="e">
        <f>'All regions'!G2542+"n/&gt;!&amp;?m"</f>
        <v>#VALUE!</v>
      </c>
      <c r="BP102" t="e">
        <f>'All regions'!H2542+"n/&gt;!&amp;?n"</f>
        <v>#VALUE!</v>
      </c>
      <c r="BQ102" t="e">
        <f>'All regions'!I2542+"n/&gt;!&amp;?o"</f>
        <v>#VALUE!</v>
      </c>
      <c r="BR102" t="e">
        <f>'All regions'!J2542+"n/&gt;!&amp;?p"</f>
        <v>#VALUE!</v>
      </c>
      <c r="BS102" t="e">
        <f>'All regions'!A2543+"n/&gt;!&amp;?q"</f>
        <v>#VALUE!</v>
      </c>
      <c r="BT102" t="e">
        <f>'All regions'!B2543+"n/&gt;!&amp;?r"</f>
        <v>#VALUE!</v>
      </c>
      <c r="BU102" t="e">
        <f>'All regions'!C2543+"n/&gt;!&amp;?s"</f>
        <v>#VALUE!</v>
      </c>
      <c r="BV102" t="e">
        <f>'All regions'!D2543+"n/&gt;!&amp;?t"</f>
        <v>#VALUE!</v>
      </c>
      <c r="BW102" t="e">
        <f>'All regions'!E2543+"n/&gt;!&amp;?u"</f>
        <v>#VALUE!</v>
      </c>
      <c r="BX102" t="e">
        <f>'All regions'!F2543+"n/&gt;!&amp;?v"</f>
        <v>#VALUE!</v>
      </c>
      <c r="BY102" t="e">
        <f>'All regions'!G2543+"n/&gt;!&amp;?w"</f>
        <v>#VALUE!</v>
      </c>
      <c r="BZ102" t="e">
        <f>'All regions'!H2543+"n/&gt;!&amp;?x"</f>
        <v>#VALUE!</v>
      </c>
      <c r="CA102" t="e">
        <f>'All regions'!I2543+"n/&gt;!&amp;?y"</f>
        <v>#VALUE!</v>
      </c>
      <c r="CB102" t="e">
        <f>'All regions'!J2543+"n/&gt;!&amp;?z"</f>
        <v>#VALUE!</v>
      </c>
      <c r="CC102" t="e">
        <f>'All regions'!A2544+"n/&gt;!&amp;?{"</f>
        <v>#VALUE!</v>
      </c>
      <c r="CD102" t="e">
        <f>'All regions'!B2544+"n/&gt;!&amp;?|"</f>
        <v>#VALUE!</v>
      </c>
      <c r="CE102" t="e">
        <f>'All regions'!C2544+"n/&gt;!&amp;?}"</f>
        <v>#VALUE!</v>
      </c>
      <c r="CF102" t="e">
        <f>'All regions'!D2544+"n/&gt;!&amp;?~"</f>
        <v>#VALUE!</v>
      </c>
      <c r="CG102" t="e">
        <f>'All regions'!E2544+"n/&gt;!&amp;@#"</f>
        <v>#VALUE!</v>
      </c>
      <c r="CH102" t="e">
        <f>'All regions'!F2544+"n/&gt;!&amp;@$"</f>
        <v>#VALUE!</v>
      </c>
      <c r="CI102" t="e">
        <f>'All regions'!G2544+"n/&gt;!&amp;@%"</f>
        <v>#VALUE!</v>
      </c>
      <c r="CJ102" t="e">
        <f>'All regions'!H2544+"n/&gt;!&amp;@&amp;"</f>
        <v>#VALUE!</v>
      </c>
      <c r="CK102" t="e">
        <f>'All regions'!I2544+"n/&gt;!&amp;@'"</f>
        <v>#VALUE!</v>
      </c>
      <c r="CL102" t="e">
        <f>'All regions'!J2544+"n/&gt;!&amp;@("</f>
        <v>#VALUE!</v>
      </c>
      <c r="CM102" t="e">
        <f>'All regions'!A2545+"n/&gt;!&amp;@)"</f>
        <v>#VALUE!</v>
      </c>
      <c r="CN102" t="e">
        <f>'All regions'!B2545+"n/&gt;!&amp;@."</f>
        <v>#VALUE!</v>
      </c>
      <c r="CO102" t="e">
        <f>'All regions'!C2545+"n/&gt;!&amp;@/"</f>
        <v>#VALUE!</v>
      </c>
      <c r="CP102" t="e">
        <f>'All regions'!D2545+"n/&gt;!&amp;@0"</f>
        <v>#VALUE!</v>
      </c>
      <c r="CQ102" t="e">
        <f>'All regions'!E2545+"n/&gt;!&amp;@1"</f>
        <v>#VALUE!</v>
      </c>
      <c r="CR102" t="e">
        <f>'All regions'!F2545+"n/&gt;!&amp;@2"</f>
        <v>#VALUE!</v>
      </c>
      <c r="CS102" t="e">
        <f>'All regions'!G2545+"n/&gt;!&amp;@3"</f>
        <v>#VALUE!</v>
      </c>
      <c r="CT102" t="e">
        <f>'All regions'!H2545+"n/&gt;!&amp;@4"</f>
        <v>#VALUE!</v>
      </c>
      <c r="CU102" t="e">
        <f>'All regions'!I2545+"n/&gt;!&amp;@5"</f>
        <v>#VALUE!</v>
      </c>
      <c r="CV102" t="e">
        <f>'All regions'!J2545+"n/&gt;!&amp;@6"</f>
        <v>#VALUE!</v>
      </c>
      <c r="CW102" t="e">
        <f>'All regions'!A2546+"n/&gt;!&amp;@7"</f>
        <v>#VALUE!</v>
      </c>
      <c r="CX102" t="e">
        <f>'All regions'!B2546+"n/&gt;!&amp;@8"</f>
        <v>#VALUE!</v>
      </c>
      <c r="CY102" t="e">
        <f>'All regions'!C2546+"n/&gt;!&amp;@9"</f>
        <v>#VALUE!</v>
      </c>
      <c r="CZ102" t="e">
        <f>'All regions'!D2546+"n/&gt;!&amp;@:"</f>
        <v>#VALUE!</v>
      </c>
      <c r="DA102" t="e">
        <f>'All regions'!E2546+"n/&gt;!&amp;@;"</f>
        <v>#VALUE!</v>
      </c>
      <c r="DB102" t="e">
        <f>'All regions'!F2546+"n/&gt;!&amp;@&lt;"</f>
        <v>#VALUE!</v>
      </c>
      <c r="DC102" t="e">
        <f>'All regions'!G2546+"n/&gt;!&amp;@="</f>
        <v>#VALUE!</v>
      </c>
      <c r="DD102" t="e">
        <f>'All regions'!H2546+"n/&gt;!&amp;@&gt;"</f>
        <v>#VALUE!</v>
      </c>
      <c r="DE102" t="e">
        <f>'All regions'!I2546+"n/&gt;!&amp;@?"</f>
        <v>#VALUE!</v>
      </c>
      <c r="DF102" t="e">
        <f>'All regions'!J2546+"n/&gt;!&amp;@@"</f>
        <v>#VALUE!</v>
      </c>
      <c r="DG102" t="e">
        <f>'All regions'!A2547+"n/&gt;!&amp;@A"</f>
        <v>#VALUE!</v>
      </c>
      <c r="DH102" t="e">
        <f>'All regions'!B2547+"n/&gt;!&amp;@B"</f>
        <v>#VALUE!</v>
      </c>
      <c r="DI102" t="e">
        <f>'All regions'!C2547+"n/&gt;!&amp;@C"</f>
        <v>#VALUE!</v>
      </c>
      <c r="DJ102" t="e">
        <f>'All regions'!D2547+"n/&gt;!&amp;@D"</f>
        <v>#VALUE!</v>
      </c>
      <c r="DK102" t="e">
        <f>'All regions'!E2547+"n/&gt;!&amp;@E"</f>
        <v>#VALUE!</v>
      </c>
      <c r="DL102" t="e">
        <f>'All regions'!F2547+"n/&gt;!&amp;@F"</f>
        <v>#VALUE!</v>
      </c>
      <c r="DM102" t="e">
        <f>'All regions'!G2547+"n/&gt;!&amp;@G"</f>
        <v>#VALUE!</v>
      </c>
      <c r="DN102" t="e">
        <f>'All regions'!H2547+"n/&gt;!&amp;@H"</f>
        <v>#VALUE!</v>
      </c>
      <c r="DO102" t="e">
        <f>'All regions'!I2547+"n/&gt;!&amp;@I"</f>
        <v>#VALUE!</v>
      </c>
      <c r="DP102" t="e">
        <f>'All regions'!J2547+"n/&gt;!&amp;@J"</f>
        <v>#VALUE!</v>
      </c>
      <c r="DQ102" t="e">
        <f>'All regions'!A2548+"n/&gt;!&amp;@K"</f>
        <v>#VALUE!</v>
      </c>
      <c r="DR102" t="e">
        <f>'All regions'!B2548+"n/&gt;!&amp;@L"</f>
        <v>#VALUE!</v>
      </c>
      <c r="DS102" t="e">
        <f>'All regions'!C2548+"n/&gt;!&amp;@M"</f>
        <v>#VALUE!</v>
      </c>
      <c r="DT102" t="e">
        <f>'All regions'!D2548+"n/&gt;!&amp;@N"</f>
        <v>#VALUE!</v>
      </c>
      <c r="DU102" t="e">
        <f>'All regions'!E2548+"n/&gt;!&amp;@O"</f>
        <v>#VALUE!</v>
      </c>
      <c r="DV102" t="e">
        <f>'All regions'!F2548+"n/&gt;!&amp;@P"</f>
        <v>#VALUE!</v>
      </c>
      <c r="DW102" t="e">
        <f>'All regions'!G2548+"n/&gt;!&amp;@Q"</f>
        <v>#VALUE!</v>
      </c>
      <c r="DX102" t="e">
        <f>'All regions'!H2548+"n/&gt;!&amp;@R"</f>
        <v>#VALUE!</v>
      </c>
      <c r="DY102" t="e">
        <f>'All regions'!I2548+"n/&gt;!&amp;@S"</f>
        <v>#VALUE!</v>
      </c>
      <c r="DZ102" t="e">
        <f>'All regions'!J2548+"n/&gt;!&amp;@T"</f>
        <v>#VALUE!</v>
      </c>
      <c r="EA102" t="e">
        <f>'All regions'!A2549+"n/&gt;!&amp;@U"</f>
        <v>#VALUE!</v>
      </c>
      <c r="EB102" t="e">
        <f>'All regions'!B2549+"n/&gt;!&amp;@V"</f>
        <v>#VALUE!</v>
      </c>
      <c r="EC102" t="e">
        <f>'All regions'!C2549+"n/&gt;!&amp;@W"</f>
        <v>#VALUE!</v>
      </c>
      <c r="ED102" t="e">
        <f>'All regions'!D2549+"n/&gt;!&amp;@X"</f>
        <v>#VALUE!</v>
      </c>
      <c r="EE102" t="e">
        <f>'All regions'!E2549+"n/&gt;!&amp;@Y"</f>
        <v>#VALUE!</v>
      </c>
      <c r="EF102" t="e">
        <f>'All regions'!F2549+"n/&gt;!&amp;@Z"</f>
        <v>#VALUE!</v>
      </c>
      <c r="EG102" t="e">
        <f>'All regions'!G2549+"n/&gt;!&amp;@["</f>
        <v>#VALUE!</v>
      </c>
      <c r="EH102" t="e">
        <f>'All regions'!H2549+"n/&gt;!&amp;@\"</f>
        <v>#VALUE!</v>
      </c>
      <c r="EI102" t="e">
        <f>'All regions'!I2549+"n/&gt;!&amp;@]"</f>
        <v>#VALUE!</v>
      </c>
      <c r="EJ102" t="e">
        <f>'All regions'!J2549+"n/&gt;!&amp;@^"</f>
        <v>#VALUE!</v>
      </c>
      <c r="EK102" t="e">
        <f>'All regions'!A2550+"n/&gt;!&amp;@_"</f>
        <v>#VALUE!</v>
      </c>
      <c r="EL102" t="e">
        <f>'All regions'!B2550+"n/&gt;!&amp;@`"</f>
        <v>#VALUE!</v>
      </c>
      <c r="EM102" t="e">
        <f>'All regions'!C2550+"n/&gt;!&amp;@a"</f>
        <v>#VALUE!</v>
      </c>
      <c r="EN102" t="e">
        <f>'All regions'!D2550+"n/&gt;!&amp;@b"</f>
        <v>#VALUE!</v>
      </c>
      <c r="EO102" t="e">
        <f>'All regions'!E2550+"n/&gt;!&amp;@c"</f>
        <v>#VALUE!</v>
      </c>
      <c r="EP102" t="e">
        <f>'All regions'!F2550+"n/&gt;!&amp;@d"</f>
        <v>#VALUE!</v>
      </c>
      <c r="EQ102" t="e">
        <f>'All regions'!G2550+"n/&gt;!&amp;@e"</f>
        <v>#VALUE!</v>
      </c>
      <c r="ER102" t="e">
        <f>'All regions'!H2550+"n/&gt;!&amp;@f"</f>
        <v>#VALUE!</v>
      </c>
      <c r="ES102" t="e">
        <f>'All regions'!I2550+"n/&gt;!&amp;@g"</f>
        <v>#VALUE!</v>
      </c>
      <c r="ET102" t="e">
        <f>'All regions'!J2550+"n/&gt;!&amp;@h"</f>
        <v>#VALUE!</v>
      </c>
      <c r="EU102" t="e">
        <f>'All regions'!A2551+"n/&gt;!&amp;@i"</f>
        <v>#VALUE!</v>
      </c>
      <c r="EV102" t="e">
        <f>'All regions'!B2551+"n/&gt;!&amp;@j"</f>
        <v>#VALUE!</v>
      </c>
      <c r="EW102" t="e">
        <f>'All regions'!C2551+"n/&gt;!&amp;@k"</f>
        <v>#VALUE!</v>
      </c>
      <c r="EX102" t="e">
        <f>'All regions'!D2551+"n/&gt;!&amp;@l"</f>
        <v>#VALUE!</v>
      </c>
      <c r="EY102" t="e">
        <f>'All regions'!E2551+"n/&gt;!&amp;@m"</f>
        <v>#VALUE!</v>
      </c>
      <c r="EZ102" t="e">
        <f>'All regions'!F2551+"n/&gt;!&amp;@n"</f>
        <v>#VALUE!</v>
      </c>
      <c r="FA102" t="e">
        <f>'All regions'!G2551+"n/&gt;!&amp;@o"</f>
        <v>#VALUE!</v>
      </c>
      <c r="FB102" t="e">
        <f>'All regions'!H2551+"n/&gt;!&amp;@p"</f>
        <v>#VALUE!</v>
      </c>
      <c r="FC102" t="e">
        <f>'All regions'!I2551+"n/&gt;!&amp;@q"</f>
        <v>#VALUE!</v>
      </c>
      <c r="FD102" t="e">
        <f>'All regions'!J2551+"n/&gt;!&amp;@r"</f>
        <v>#VALUE!</v>
      </c>
      <c r="FE102" t="e">
        <f>'All regions'!A2552+"n/&gt;!&amp;@s"</f>
        <v>#VALUE!</v>
      </c>
      <c r="FF102" t="e">
        <f>'All regions'!B2552+"n/&gt;!&amp;@t"</f>
        <v>#VALUE!</v>
      </c>
      <c r="FG102" t="e">
        <f>'All regions'!C2552+"n/&gt;!&amp;@u"</f>
        <v>#VALUE!</v>
      </c>
      <c r="FH102" t="e">
        <f>'All regions'!D2552+"n/&gt;!&amp;@v"</f>
        <v>#VALUE!</v>
      </c>
      <c r="FI102" t="e">
        <f>'All regions'!E2552+"n/&gt;!&amp;@w"</f>
        <v>#VALUE!</v>
      </c>
      <c r="FJ102" t="e">
        <f>'All regions'!F2552+"n/&gt;!&amp;@x"</f>
        <v>#VALUE!</v>
      </c>
      <c r="FK102" t="e">
        <f>'All regions'!G2552+"n/&gt;!&amp;@y"</f>
        <v>#VALUE!</v>
      </c>
      <c r="FL102" t="e">
        <f>'All regions'!H2552+"n/&gt;!&amp;@z"</f>
        <v>#VALUE!</v>
      </c>
      <c r="FM102" t="e">
        <f>'All regions'!I2552+"n/&gt;!&amp;@{"</f>
        <v>#VALUE!</v>
      </c>
      <c r="FN102" t="e">
        <f>'All regions'!J2552+"n/&gt;!&amp;@|"</f>
        <v>#VALUE!</v>
      </c>
      <c r="FO102" t="e">
        <f>'All regions'!A2553+"n/&gt;!&amp;@}"</f>
        <v>#VALUE!</v>
      </c>
      <c r="FP102" t="e">
        <f>'All regions'!B2553+"n/&gt;!&amp;@~"</f>
        <v>#VALUE!</v>
      </c>
      <c r="FQ102" t="e">
        <f>'All regions'!C2553+"n/&gt;!&amp;A#"</f>
        <v>#VALUE!</v>
      </c>
      <c r="FR102" t="e">
        <f>'All regions'!D2553+"n/&gt;!&amp;A$"</f>
        <v>#VALUE!</v>
      </c>
      <c r="FS102" t="e">
        <f>'All regions'!E2553+"n/&gt;!&amp;A%"</f>
        <v>#VALUE!</v>
      </c>
      <c r="FT102" t="e">
        <f>'All regions'!F2553+"n/&gt;!&amp;A&amp;"</f>
        <v>#VALUE!</v>
      </c>
      <c r="FU102" t="e">
        <f>'All regions'!G2553+"n/&gt;!&amp;A'"</f>
        <v>#VALUE!</v>
      </c>
      <c r="FV102" t="e">
        <f>'All regions'!H2553+"n/&gt;!&amp;A("</f>
        <v>#VALUE!</v>
      </c>
      <c r="FW102" t="e">
        <f>'All regions'!I2553+"n/&gt;!&amp;A)"</f>
        <v>#VALUE!</v>
      </c>
      <c r="FX102" t="e">
        <f>'All regions'!J2553+"n/&gt;!&amp;A."</f>
        <v>#VALUE!</v>
      </c>
      <c r="FY102" t="e">
        <f>'All regions'!A2554+"n/&gt;!&amp;A/"</f>
        <v>#VALUE!</v>
      </c>
      <c r="FZ102" t="e">
        <f>'All regions'!B2554+"n/&gt;!&amp;A0"</f>
        <v>#VALUE!</v>
      </c>
      <c r="GA102" t="e">
        <f>'All regions'!C2554+"n/&gt;!&amp;A1"</f>
        <v>#VALUE!</v>
      </c>
      <c r="GB102" t="e">
        <f>'All regions'!D2554+"n/&gt;!&amp;A2"</f>
        <v>#VALUE!</v>
      </c>
      <c r="GC102" t="e">
        <f>'All regions'!E2554+"n/&gt;!&amp;A3"</f>
        <v>#VALUE!</v>
      </c>
      <c r="GD102" t="e">
        <f>'All regions'!F2554+"n/&gt;!&amp;A4"</f>
        <v>#VALUE!</v>
      </c>
      <c r="GE102" t="e">
        <f>'All regions'!G2554+"n/&gt;!&amp;A5"</f>
        <v>#VALUE!</v>
      </c>
      <c r="GF102" t="e">
        <f>'All regions'!H2554+"n/&gt;!&amp;A6"</f>
        <v>#VALUE!</v>
      </c>
      <c r="GG102" t="e">
        <f>'All regions'!I2554+"n/&gt;!&amp;A7"</f>
        <v>#VALUE!</v>
      </c>
      <c r="GH102" t="e">
        <f>'All regions'!J2554+"n/&gt;!&amp;A8"</f>
        <v>#VALUE!</v>
      </c>
      <c r="GI102" t="e">
        <f>'All regions'!A2555+"n/&gt;!&amp;A9"</f>
        <v>#VALUE!</v>
      </c>
      <c r="GJ102" t="e">
        <f>'All regions'!B2555+"n/&gt;!&amp;A:"</f>
        <v>#VALUE!</v>
      </c>
      <c r="GK102" t="e">
        <f>'All regions'!C2555+"n/&gt;!&amp;A;"</f>
        <v>#VALUE!</v>
      </c>
      <c r="GL102" t="e">
        <f>'All regions'!D2555+"n/&gt;!&amp;A&lt;"</f>
        <v>#VALUE!</v>
      </c>
      <c r="GM102" t="e">
        <f>'All regions'!E2555+"n/&gt;!&amp;A="</f>
        <v>#VALUE!</v>
      </c>
      <c r="GN102" t="e">
        <f>'All regions'!F2555+"n/&gt;!&amp;A&gt;"</f>
        <v>#VALUE!</v>
      </c>
      <c r="GO102" t="e">
        <f>'All regions'!G2555+"n/&gt;!&amp;A?"</f>
        <v>#VALUE!</v>
      </c>
      <c r="GP102" t="e">
        <f>'All regions'!H2555+"n/&gt;!&amp;A@"</f>
        <v>#VALUE!</v>
      </c>
      <c r="GQ102" t="e">
        <f>'All regions'!I2555+"n/&gt;!&amp;AA"</f>
        <v>#VALUE!</v>
      </c>
      <c r="GR102" t="e">
        <f>'All regions'!J2555+"n/&gt;!&amp;AB"</f>
        <v>#VALUE!</v>
      </c>
      <c r="GS102" t="e">
        <f>'All regions'!A2556+"n/&gt;!&amp;AC"</f>
        <v>#VALUE!</v>
      </c>
      <c r="GT102" t="e">
        <f>'All regions'!B2556+"n/&gt;!&amp;AD"</f>
        <v>#VALUE!</v>
      </c>
      <c r="GU102" t="e">
        <f>'All regions'!C2556+"n/&gt;!&amp;AE"</f>
        <v>#VALUE!</v>
      </c>
      <c r="GV102" t="e">
        <f>'All regions'!D2556+"n/&gt;!&amp;AF"</f>
        <v>#VALUE!</v>
      </c>
      <c r="GW102" t="e">
        <f>'All regions'!E2556+"n/&gt;!&amp;AG"</f>
        <v>#VALUE!</v>
      </c>
      <c r="GX102" t="e">
        <f>'All regions'!F2556+"n/&gt;!&amp;AH"</f>
        <v>#VALUE!</v>
      </c>
      <c r="GY102" t="e">
        <f>'All regions'!G2556+"n/&gt;!&amp;AI"</f>
        <v>#VALUE!</v>
      </c>
      <c r="GZ102" t="e">
        <f>'All regions'!H2556+"n/&gt;!&amp;AJ"</f>
        <v>#VALUE!</v>
      </c>
      <c r="HA102" t="e">
        <f>'All regions'!I2556+"n/&gt;!&amp;AK"</f>
        <v>#VALUE!</v>
      </c>
      <c r="HB102" t="e">
        <f>'All regions'!J2556+"n/&gt;!&amp;AL"</f>
        <v>#VALUE!</v>
      </c>
      <c r="HC102" t="e">
        <f>'All regions'!A2557+"n/&gt;!&amp;AM"</f>
        <v>#VALUE!</v>
      </c>
      <c r="HD102" t="e">
        <f>'All regions'!B2557+"n/&gt;!&amp;AN"</f>
        <v>#VALUE!</v>
      </c>
      <c r="HE102" t="e">
        <f>'All regions'!C2557+"n/&gt;!&amp;AO"</f>
        <v>#VALUE!</v>
      </c>
      <c r="HF102" t="e">
        <f>'All regions'!D2557+"n/&gt;!&amp;AP"</f>
        <v>#VALUE!</v>
      </c>
      <c r="HG102" t="e">
        <f>'All regions'!E2557+"n/&gt;!&amp;AQ"</f>
        <v>#VALUE!</v>
      </c>
      <c r="HH102" t="e">
        <f>'All regions'!F2557+"n/&gt;!&amp;AR"</f>
        <v>#VALUE!</v>
      </c>
      <c r="HI102" t="e">
        <f>'All regions'!G2557+"n/&gt;!&amp;AS"</f>
        <v>#VALUE!</v>
      </c>
      <c r="HJ102" t="e">
        <f>'All regions'!H2557+"n/&gt;!&amp;AT"</f>
        <v>#VALUE!</v>
      </c>
      <c r="HK102" t="e">
        <f>'All regions'!I2557+"n/&gt;!&amp;AU"</f>
        <v>#VALUE!</v>
      </c>
      <c r="HL102" t="e">
        <f>'All regions'!J2557+"n/&gt;!&amp;AV"</f>
        <v>#VALUE!</v>
      </c>
      <c r="HM102" t="e">
        <f>'All regions'!A2558+"n/&gt;!&amp;AW"</f>
        <v>#VALUE!</v>
      </c>
      <c r="HN102" t="e">
        <f>'All regions'!B2558+"n/&gt;!&amp;AX"</f>
        <v>#VALUE!</v>
      </c>
      <c r="HO102" t="e">
        <f>'All regions'!C2558+"n/&gt;!&amp;AY"</f>
        <v>#VALUE!</v>
      </c>
      <c r="HP102" t="e">
        <f>'All regions'!D2558+"n/&gt;!&amp;AZ"</f>
        <v>#VALUE!</v>
      </c>
      <c r="HQ102" t="e">
        <f>'All regions'!E2558+"n/&gt;!&amp;A["</f>
        <v>#VALUE!</v>
      </c>
      <c r="HR102" t="e">
        <f>'All regions'!F2558+"n/&gt;!&amp;A\"</f>
        <v>#VALUE!</v>
      </c>
      <c r="HS102" t="e">
        <f>'All regions'!G2558+"n/&gt;!&amp;A]"</f>
        <v>#VALUE!</v>
      </c>
      <c r="HT102" t="e">
        <f>'All regions'!H2558+"n/&gt;!&amp;A^"</f>
        <v>#VALUE!</v>
      </c>
      <c r="HU102" t="e">
        <f>'All regions'!I2558+"n/&gt;!&amp;A_"</f>
        <v>#VALUE!</v>
      </c>
      <c r="HV102" t="e">
        <f>'All regions'!J2558+"n/&gt;!&amp;A`"</f>
        <v>#VALUE!</v>
      </c>
      <c r="HW102" t="e">
        <f>'All regions'!A2559+"n/&gt;!&amp;Aa"</f>
        <v>#VALUE!</v>
      </c>
      <c r="HX102" t="e">
        <f>'All regions'!B2559+"n/&gt;!&amp;Ab"</f>
        <v>#VALUE!</v>
      </c>
      <c r="HY102" t="e">
        <f>'All regions'!C2559+"n/&gt;!&amp;Ac"</f>
        <v>#VALUE!</v>
      </c>
      <c r="HZ102" t="e">
        <f>'All regions'!D2559+"n/&gt;!&amp;Ad"</f>
        <v>#VALUE!</v>
      </c>
      <c r="IA102" t="e">
        <f>'All regions'!E2559+"n/&gt;!&amp;Ae"</f>
        <v>#VALUE!</v>
      </c>
      <c r="IB102" t="e">
        <f>'All regions'!F2559+"n/&gt;!&amp;Af"</f>
        <v>#VALUE!</v>
      </c>
      <c r="IC102" t="e">
        <f>'All regions'!G2559+"n/&gt;!&amp;Ag"</f>
        <v>#VALUE!</v>
      </c>
      <c r="ID102" t="e">
        <f>'All regions'!H2559+"n/&gt;!&amp;Ah"</f>
        <v>#VALUE!</v>
      </c>
      <c r="IE102" t="e">
        <f>'All regions'!I2559+"n/&gt;!&amp;Ai"</f>
        <v>#VALUE!</v>
      </c>
      <c r="IF102" t="e">
        <f>'All regions'!J2559+"n/&gt;!&amp;Aj"</f>
        <v>#VALUE!</v>
      </c>
      <c r="IG102" t="e">
        <f>'All regions'!A2560+"n/&gt;!&amp;Ak"</f>
        <v>#VALUE!</v>
      </c>
      <c r="IH102" t="e">
        <f>'All regions'!B2560+"n/&gt;!&amp;Al"</f>
        <v>#VALUE!</v>
      </c>
      <c r="II102" t="e">
        <f>'All regions'!C2560+"n/&gt;!&amp;Am"</f>
        <v>#VALUE!</v>
      </c>
      <c r="IJ102" t="e">
        <f>'All regions'!D2560+"n/&gt;!&amp;An"</f>
        <v>#VALUE!</v>
      </c>
      <c r="IK102" t="e">
        <f>'All regions'!E2560+"n/&gt;!&amp;Ao"</f>
        <v>#VALUE!</v>
      </c>
      <c r="IL102" t="e">
        <f>'All regions'!F2560+"n/&gt;!&amp;Ap"</f>
        <v>#VALUE!</v>
      </c>
      <c r="IM102" t="e">
        <f>'All regions'!G2560+"n/&gt;!&amp;Aq"</f>
        <v>#VALUE!</v>
      </c>
      <c r="IN102" t="e">
        <f>'All regions'!H2560+"n/&gt;!&amp;Ar"</f>
        <v>#VALUE!</v>
      </c>
      <c r="IO102" t="e">
        <f>'All regions'!I2560+"n/&gt;!&amp;As"</f>
        <v>#VALUE!</v>
      </c>
      <c r="IP102" t="e">
        <f>'All regions'!J2560+"n/&gt;!&amp;At"</f>
        <v>#VALUE!</v>
      </c>
      <c r="IQ102" t="e">
        <f>'All regions'!A2561+"n/&gt;!&amp;Au"</f>
        <v>#VALUE!</v>
      </c>
      <c r="IR102" t="e">
        <f>'All regions'!B2561+"n/&gt;!&amp;Av"</f>
        <v>#VALUE!</v>
      </c>
      <c r="IS102" t="e">
        <f>'All regions'!C2561+"n/&gt;!&amp;Aw"</f>
        <v>#VALUE!</v>
      </c>
      <c r="IT102" t="e">
        <f>'All regions'!D2561+"n/&gt;!&amp;Ax"</f>
        <v>#VALUE!</v>
      </c>
      <c r="IU102" t="e">
        <f>'All regions'!E2561+"n/&gt;!&amp;Ay"</f>
        <v>#VALUE!</v>
      </c>
      <c r="IV102" t="e">
        <f>'All regions'!F2561+"n/&gt;!&amp;Az"</f>
        <v>#VALUE!</v>
      </c>
    </row>
    <row r="103" spans="6:256" x14ac:dyDescent="0.35">
      <c r="F103" t="e">
        <f>'All regions'!G2561+"n/&gt;!&amp;A{"</f>
        <v>#VALUE!</v>
      </c>
      <c r="G103" t="e">
        <f>'All regions'!H2561+"n/&gt;!&amp;A|"</f>
        <v>#VALUE!</v>
      </c>
      <c r="H103" t="e">
        <f>'All regions'!I2561+"n/&gt;!&amp;A}"</f>
        <v>#VALUE!</v>
      </c>
      <c r="I103" t="e">
        <f>'All regions'!J2561+"n/&gt;!&amp;A~"</f>
        <v>#VALUE!</v>
      </c>
      <c r="J103" t="e">
        <f>'All regions'!A2562+"n/&gt;!&amp;B#"</f>
        <v>#VALUE!</v>
      </c>
      <c r="K103" t="e">
        <f>'All regions'!B2562+"n/&gt;!&amp;B$"</f>
        <v>#VALUE!</v>
      </c>
      <c r="L103" t="e">
        <f>'All regions'!C2562+"n/&gt;!&amp;B%"</f>
        <v>#VALUE!</v>
      </c>
      <c r="M103" t="e">
        <f>'All regions'!D2562+"n/&gt;!&amp;B&amp;"</f>
        <v>#VALUE!</v>
      </c>
      <c r="N103" t="e">
        <f>'All regions'!E2562+"n/&gt;!&amp;B'"</f>
        <v>#VALUE!</v>
      </c>
      <c r="O103" t="e">
        <f>'All regions'!F2562+"n/&gt;!&amp;B("</f>
        <v>#VALUE!</v>
      </c>
      <c r="P103" t="e">
        <f>'All regions'!G2562+"n/&gt;!&amp;B)"</f>
        <v>#VALUE!</v>
      </c>
      <c r="Q103" t="e">
        <f>'All regions'!H2562+"n/&gt;!&amp;B."</f>
        <v>#VALUE!</v>
      </c>
      <c r="R103" t="e">
        <f>'All regions'!I2562+"n/&gt;!&amp;B/"</f>
        <v>#VALUE!</v>
      </c>
      <c r="S103" t="e">
        <f>'All regions'!J2562+"n/&gt;!&amp;B0"</f>
        <v>#VALUE!</v>
      </c>
      <c r="T103" t="e">
        <f>'All regions'!A2563+"n/&gt;!&amp;B1"</f>
        <v>#VALUE!</v>
      </c>
      <c r="U103" t="e">
        <f>'All regions'!B2563+"n/&gt;!&amp;B2"</f>
        <v>#VALUE!</v>
      </c>
      <c r="V103" t="e">
        <f>'All regions'!C2563+"n/&gt;!&amp;B3"</f>
        <v>#VALUE!</v>
      </c>
      <c r="W103" t="e">
        <f>'All regions'!D2563+"n/&gt;!&amp;B4"</f>
        <v>#VALUE!</v>
      </c>
      <c r="X103" t="e">
        <f>'All regions'!E2563+"n/&gt;!&amp;B5"</f>
        <v>#VALUE!</v>
      </c>
      <c r="Y103" t="e">
        <f>'All regions'!F2563+"n/&gt;!&amp;B6"</f>
        <v>#VALUE!</v>
      </c>
      <c r="Z103" t="e">
        <f>'All regions'!G2563+"n/&gt;!&amp;B7"</f>
        <v>#VALUE!</v>
      </c>
      <c r="AA103" t="e">
        <f>'All regions'!H2563+"n/&gt;!&amp;B8"</f>
        <v>#VALUE!</v>
      </c>
      <c r="AB103" t="e">
        <f>'All regions'!I2563+"n/&gt;!&amp;B9"</f>
        <v>#VALUE!</v>
      </c>
      <c r="AC103" t="e">
        <f>'All regions'!J2563+"n/&gt;!&amp;B:"</f>
        <v>#VALUE!</v>
      </c>
      <c r="AD103" t="e">
        <f>'All regions'!A2564+"n/&gt;!&amp;B;"</f>
        <v>#VALUE!</v>
      </c>
      <c r="AE103" t="e">
        <f>'All regions'!B2564+"n/&gt;!&amp;B&lt;"</f>
        <v>#VALUE!</v>
      </c>
      <c r="AF103" t="e">
        <f>'All regions'!C2564+"n/&gt;!&amp;B="</f>
        <v>#VALUE!</v>
      </c>
      <c r="AG103" t="e">
        <f>'All regions'!D2564+"n/&gt;!&amp;B&gt;"</f>
        <v>#VALUE!</v>
      </c>
      <c r="AH103" t="e">
        <f>'All regions'!E2564+"n/&gt;!&amp;B?"</f>
        <v>#VALUE!</v>
      </c>
      <c r="AI103" t="e">
        <f>'All regions'!F2564+"n/&gt;!&amp;B@"</f>
        <v>#VALUE!</v>
      </c>
      <c r="AJ103" t="e">
        <f>'All regions'!G2564+"n/&gt;!&amp;BA"</f>
        <v>#VALUE!</v>
      </c>
      <c r="AK103" t="e">
        <f>'All regions'!H2564+"n/&gt;!&amp;BB"</f>
        <v>#VALUE!</v>
      </c>
      <c r="AL103" t="e">
        <f>'All regions'!I2564+"n/&gt;!&amp;BC"</f>
        <v>#VALUE!</v>
      </c>
      <c r="AM103" t="e">
        <f>'All regions'!J2564+"n/&gt;!&amp;BD"</f>
        <v>#VALUE!</v>
      </c>
      <c r="AN103" t="e">
        <f>'All regions'!A2565+"n/&gt;!&amp;BE"</f>
        <v>#VALUE!</v>
      </c>
      <c r="AO103" t="e">
        <f>'All regions'!B2565+"n/&gt;!&amp;BF"</f>
        <v>#VALUE!</v>
      </c>
      <c r="AP103" t="e">
        <f>'All regions'!C2565+"n/&gt;!&amp;BG"</f>
        <v>#VALUE!</v>
      </c>
      <c r="AQ103" t="e">
        <f>'All regions'!D2565+"n/&gt;!&amp;BH"</f>
        <v>#VALUE!</v>
      </c>
      <c r="AR103" t="e">
        <f>'All regions'!E2565+"n/&gt;!&amp;BI"</f>
        <v>#VALUE!</v>
      </c>
      <c r="AS103" t="e">
        <f>'All regions'!F2565+"n/&gt;!&amp;BJ"</f>
        <v>#VALUE!</v>
      </c>
      <c r="AT103" t="e">
        <f>'All regions'!G2565+"n/&gt;!&amp;BK"</f>
        <v>#VALUE!</v>
      </c>
      <c r="AU103" t="e">
        <f>'All regions'!H2565+"n/&gt;!&amp;BL"</f>
        <v>#VALUE!</v>
      </c>
      <c r="AV103" t="e">
        <f>'All regions'!I2565+"n/&gt;!&amp;BM"</f>
        <v>#VALUE!</v>
      </c>
      <c r="AW103" t="e">
        <f>'All regions'!J2565+"n/&gt;!&amp;BN"</f>
        <v>#VALUE!</v>
      </c>
      <c r="AX103" t="e">
        <f>'All regions'!A2566+"n/&gt;!&amp;BO"</f>
        <v>#VALUE!</v>
      </c>
      <c r="AY103" t="e">
        <f>'All regions'!B2566+"n/&gt;!&amp;BP"</f>
        <v>#VALUE!</v>
      </c>
      <c r="AZ103" t="e">
        <f>'All regions'!C2566+"n/&gt;!&amp;BQ"</f>
        <v>#VALUE!</v>
      </c>
      <c r="BA103" t="e">
        <f>'All regions'!D2566+"n/&gt;!&amp;BR"</f>
        <v>#VALUE!</v>
      </c>
      <c r="BB103" t="e">
        <f>'All regions'!E2566+"n/&gt;!&amp;BS"</f>
        <v>#VALUE!</v>
      </c>
      <c r="BC103" t="e">
        <f>'All regions'!F2566+"n/&gt;!&amp;BT"</f>
        <v>#VALUE!</v>
      </c>
      <c r="BD103" t="e">
        <f>'All regions'!G2566+"n/&gt;!&amp;BU"</f>
        <v>#VALUE!</v>
      </c>
      <c r="BE103" t="e">
        <f>'All regions'!H2566+"n/&gt;!&amp;BV"</f>
        <v>#VALUE!</v>
      </c>
      <c r="BF103" t="e">
        <f>'All regions'!I2566+"n/&gt;!&amp;BW"</f>
        <v>#VALUE!</v>
      </c>
      <c r="BG103" t="e">
        <f>'All regions'!J2566+"n/&gt;!&amp;BX"</f>
        <v>#VALUE!</v>
      </c>
      <c r="BH103" t="e">
        <f>'All regions'!A2567+"n/&gt;!&amp;BY"</f>
        <v>#VALUE!</v>
      </c>
      <c r="BI103" t="e">
        <f>'All regions'!B2567+"n/&gt;!&amp;BZ"</f>
        <v>#VALUE!</v>
      </c>
      <c r="BJ103" t="e">
        <f>'All regions'!C2567+"n/&gt;!&amp;B["</f>
        <v>#VALUE!</v>
      </c>
      <c r="BK103" t="e">
        <f>'All regions'!D2567+"n/&gt;!&amp;B\"</f>
        <v>#VALUE!</v>
      </c>
      <c r="BL103" t="e">
        <f>'All regions'!E2567+"n/&gt;!&amp;B]"</f>
        <v>#VALUE!</v>
      </c>
      <c r="BM103" t="e">
        <f>'All regions'!F2567+"n/&gt;!&amp;B^"</f>
        <v>#VALUE!</v>
      </c>
      <c r="BN103" t="e">
        <f>'All regions'!G2567+"n/&gt;!&amp;B_"</f>
        <v>#VALUE!</v>
      </c>
      <c r="BO103" t="e">
        <f>'All regions'!H2567+"n/&gt;!&amp;B`"</f>
        <v>#VALUE!</v>
      </c>
      <c r="BP103" t="e">
        <f>'All regions'!I2567+"n/&gt;!&amp;Ba"</f>
        <v>#VALUE!</v>
      </c>
      <c r="BQ103" t="e">
        <f>'All regions'!J2567+"n/&gt;!&amp;Bb"</f>
        <v>#VALUE!</v>
      </c>
      <c r="BR103" t="e">
        <f>'All regions'!A2568+"n/&gt;!&amp;Bc"</f>
        <v>#VALUE!</v>
      </c>
      <c r="BS103" t="e">
        <f>'All regions'!B2568+"n/&gt;!&amp;Bd"</f>
        <v>#VALUE!</v>
      </c>
      <c r="BT103" t="e">
        <f>'All regions'!C2568+"n/&gt;!&amp;Be"</f>
        <v>#VALUE!</v>
      </c>
      <c r="BU103" t="e">
        <f>'All regions'!D2568+"n/&gt;!&amp;Bf"</f>
        <v>#VALUE!</v>
      </c>
      <c r="BV103" t="e">
        <f>'All regions'!E2568+"n/&gt;!&amp;Bg"</f>
        <v>#VALUE!</v>
      </c>
      <c r="BW103" t="e">
        <f>'All regions'!F2568+"n/&gt;!&amp;Bh"</f>
        <v>#VALUE!</v>
      </c>
      <c r="BX103" t="e">
        <f>'All regions'!G2568+"n/&gt;!&amp;Bi"</f>
        <v>#VALUE!</v>
      </c>
      <c r="BY103" t="e">
        <f>'All regions'!H2568+"n/&gt;!&amp;Bj"</f>
        <v>#VALUE!</v>
      </c>
      <c r="BZ103" t="e">
        <f>'All regions'!I2568+"n/&gt;!&amp;Bk"</f>
        <v>#VALUE!</v>
      </c>
      <c r="CA103" t="e">
        <f>'All regions'!J2568+"n/&gt;!&amp;Bl"</f>
        <v>#VALUE!</v>
      </c>
      <c r="CB103" t="e">
        <f>'All regions'!A2569+"n/&gt;!&amp;Bm"</f>
        <v>#VALUE!</v>
      </c>
      <c r="CC103" t="e">
        <f>'All regions'!B2569+"n/&gt;!&amp;Bn"</f>
        <v>#VALUE!</v>
      </c>
      <c r="CD103" t="e">
        <f>'All regions'!C2569+"n/&gt;!&amp;Bo"</f>
        <v>#VALUE!</v>
      </c>
      <c r="CE103" t="e">
        <f>'All regions'!D2569+"n/&gt;!&amp;Bp"</f>
        <v>#VALUE!</v>
      </c>
      <c r="CF103" t="e">
        <f>'All regions'!E2569+"n/&gt;!&amp;Bq"</f>
        <v>#VALUE!</v>
      </c>
      <c r="CG103" t="e">
        <f>'All regions'!F2569+"n/&gt;!&amp;Br"</f>
        <v>#VALUE!</v>
      </c>
      <c r="CH103" t="e">
        <f>'All regions'!G2569+"n/&gt;!&amp;Bs"</f>
        <v>#VALUE!</v>
      </c>
      <c r="CI103" t="e">
        <f>'All regions'!H2569+"n/&gt;!&amp;Bt"</f>
        <v>#VALUE!</v>
      </c>
      <c r="CJ103" t="e">
        <f>'All regions'!I2569+"n/&gt;!&amp;Bu"</f>
        <v>#VALUE!</v>
      </c>
      <c r="CK103" t="e">
        <f>'All regions'!J2569+"n/&gt;!&amp;Bv"</f>
        <v>#VALUE!</v>
      </c>
      <c r="CL103" t="e">
        <f>'All regions'!A2570+"n/&gt;!&amp;Bw"</f>
        <v>#VALUE!</v>
      </c>
      <c r="CM103" t="e">
        <f>'All regions'!B2570+"n/&gt;!&amp;Bx"</f>
        <v>#VALUE!</v>
      </c>
      <c r="CN103" t="e">
        <f>'All regions'!C2570+"n/&gt;!&amp;By"</f>
        <v>#VALUE!</v>
      </c>
      <c r="CO103" t="e">
        <f>'All regions'!D2570+"n/&gt;!&amp;Bz"</f>
        <v>#VALUE!</v>
      </c>
      <c r="CP103" t="e">
        <f>'All regions'!E2570+"n/&gt;!&amp;B{"</f>
        <v>#VALUE!</v>
      </c>
      <c r="CQ103" t="e">
        <f>'All regions'!F2570+"n/&gt;!&amp;B|"</f>
        <v>#VALUE!</v>
      </c>
      <c r="CR103" t="e">
        <f>'All regions'!G2570+"n/&gt;!&amp;B}"</f>
        <v>#VALUE!</v>
      </c>
      <c r="CS103" t="e">
        <f>'All regions'!H2570+"n/&gt;!&amp;B~"</f>
        <v>#VALUE!</v>
      </c>
      <c r="CT103" t="e">
        <f>'All regions'!I2570+"n/&gt;!&amp;C#"</f>
        <v>#VALUE!</v>
      </c>
      <c r="CU103" t="e">
        <f>'All regions'!J2570+"n/&gt;!&amp;C$"</f>
        <v>#VALUE!</v>
      </c>
      <c r="CV103" t="e">
        <f>'All regions'!A2571+"n/&gt;!&amp;C%"</f>
        <v>#VALUE!</v>
      </c>
      <c r="CW103" t="e">
        <f>'All regions'!B2571+"n/&gt;!&amp;C&amp;"</f>
        <v>#VALUE!</v>
      </c>
      <c r="CX103" t="e">
        <f>'All regions'!C2571+"n/&gt;!&amp;C'"</f>
        <v>#VALUE!</v>
      </c>
      <c r="CY103" t="e">
        <f>'All regions'!D2571+"n/&gt;!&amp;C("</f>
        <v>#VALUE!</v>
      </c>
      <c r="CZ103" t="e">
        <f>'All regions'!E2571+"n/&gt;!&amp;C)"</f>
        <v>#VALUE!</v>
      </c>
      <c r="DA103" t="e">
        <f>'All regions'!F2571+"n/&gt;!&amp;C."</f>
        <v>#VALUE!</v>
      </c>
      <c r="DB103" t="e">
        <f>'All regions'!G2571+"n/&gt;!&amp;C/"</f>
        <v>#VALUE!</v>
      </c>
      <c r="DC103" t="e">
        <f>'All regions'!H2571+"n/&gt;!&amp;C0"</f>
        <v>#VALUE!</v>
      </c>
      <c r="DD103" t="e">
        <f>'All regions'!I2571+"n/&gt;!&amp;C1"</f>
        <v>#VALUE!</v>
      </c>
      <c r="DE103" t="e">
        <f>'All regions'!J2571+"n/&gt;!&amp;C2"</f>
        <v>#VALUE!</v>
      </c>
      <c r="DF103" t="e">
        <f>'All regions'!A2572+"n/&gt;!&amp;C3"</f>
        <v>#VALUE!</v>
      </c>
      <c r="DG103" t="e">
        <f>'All regions'!B2572+"n/&gt;!&amp;C4"</f>
        <v>#VALUE!</v>
      </c>
      <c r="DH103" t="e">
        <f>'All regions'!C2572+"n/&gt;!&amp;C5"</f>
        <v>#VALUE!</v>
      </c>
      <c r="DI103" t="e">
        <f>'All regions'!D2572+"n/&gt;!&amp;C6"</f>
        <v>#VALUE!</v>
      </c>
      <c r="DJ103" t="e">
        <f>'All regions'!E2572+"n/&gt;!&amp;C7"</f>
        <v>#VALUE!</v>
      </c>
      <c r="DK103" t="e">
        <f>'All regions'!F2572+"n/&gt;!&amp;C8"</f>
        <v>#VALUE!</v>
      </c>
      <c r="DL103" t="e">
        <f>'All regions'!G2572+"n/&gt;!&amp;C9"</f>
        <v>#VALUE!</v>
      </c>
      <c r="DM103" t="e">
        <f>'All regions'!H2572+"n/&gt;!&amp;C:"</f>
        <v>#VALUE!</v>
      </c>
      <c r="DN103" t="e">
        <f>'All regions'!I2572+"n/&gt;!&amp;C;"</f>
        <v>#VALUE!</v>
      </c>
      <c r="DO103" t="e">
        <f>'All regions'!J2572+"n/&gt;!&amp;C&lt;"</f>
        <v>#VALUE!</v>
      </c>
      <c r="DP103" t="e">
        <f>'All regions'!A2573+"n/&gt;!&amp;C="</f>
        <v>#VALUE!</v>
      </c>
      <c r="DQ103" t="e">
        <f>'All regions'!B2573+"n/&gt;!&amp;C&gt;"</f>
        <v>#VALUE!</v>
      </c>
      <c r="DR103" t="e">
        <f>'All regions'!C2573+"n/&gt;!&amp;C?"</f>
        <v>#VALUE!</v>
      </c>
      <c r="DS103" t="e">
        <f>'All regions'!D2573+"n/&gt;!&amp;C@"</f>
        <v>#VALUE!</v>
      </c>
      <c r="DT103" t="e">
        <f>'All regions'!E2573+"n/&gt;!&amp;CA"</f>
        <v>#VALUE!</v>
      </c>
      <c r="DU103" t="e">
        <f>'All regions'!F2573+"n/&gt;!&amp;CB"</f>
        <v>#VALUE!</v>
      </c>
      <c r="DV103" t="e">
        <f>'All regions'!G2573+"n/&gt;!&amp;CC"</f>
        <v>#VALUE!</v>
      </c>
      <c r="DW103" t="e">
        <f>'All regions'!H2573+"n/&gt;!&amp;CD"</f>
        <v>#VALUE!</v>
      </c>
      <c r="DX103" t="e">
        <f>'All regions'!I2573+"n/&gt;!&amp;CE"</f>
        <v>#VALUE!</v>
      </c>
      <c r="DY103" t="e">
        <f>'All regions'!J2573+"n/&gt;!&amp;CF"</f>
        <v>#VALUE!</v>
      </c>
      <c r="DZ103" t="e">
        <f>'All regions'!A2574+"n/&gt;!&amp;CG"</f>
        <v>#VALUE!</v>
      </c>
      <c r="EA103" t="e">
        <f>'All regions'!B2574+"n/&gt;!&amp;CH"</f>
        <v>#VALUE!</v>
      </c>
      <c r="EB103" t="e">
        <f>'All regions'!C2574+"n/&gt;!&amp;CI"</f>
        <v>#VALUE!</v>
      </c>
      <c r="EC103" t="e">
        <f>'All regions'!D2574+"n/&gt;!&amp;CJ"</f>
        <v>#VALUE!</v>
      </c>
      <c r="ED103" t="e">
        <f>'All regions'!E2574+"n/&gt;!&amp;CK"</f>
        <v>#VALUE!</v>
      </c>
      <c r="EE103" t="e">
        <f>'All regions'!F2574+"n/&gt;!&amp;CL"</f>
        <v>#VALUE!</v>
      </c>
      <c r="EF103" t="e">
        <f>'All regions'!G2574+"n/&gt;!&amp;CM"</f>
        <v>#VALUE!</v>
      </c>
      <c r="EG103" t="e">
        <f>'All regions'!H2574+"n/&gt;!&amp;CN"</f>
        <v>#VALUE!</v>
      </c>
      <c r="EH103" t="e">
        <f>'All regions'!I2574+"n/&gt;!&amp;CO"</f>
        <v>#VALUE!</v>
      </c>
      <c r="EI103" t="e">
        <f>'All regions'!J2574+"n/&gt;!&amp;CP"</f>
        <v>#VALUE!</v>
      </c>
      <c r="EJ103" t="e">
        <f>'All regions'!A2575+"n/&gt;!&amp;CQ"</f>
        <v>#VALUE!</v>
      </c>
      <c r="EK103" t="e">
        <f>'All regions'!B2575+"n/&gt;!&amp;CR"</f>
        <v>#VALUE!</v>
      </c>
      <c r="EL103" t="e">
        <f>'All regions'!C2575+"n/&gt;!&amp;CS"</f>
        <v>#VALUE!</v>
      </c>
      <c r="EM103" t="e">
        <f>'All regions'!D2575+"n/&gt;!&amp;CT"</f>
        <v>#VALUE!</v>
      </c>
      <c r="EN103" t="e">
        <f>'All regions'!E2575+"n/&gt;!&amp;CU"</f>
        <v>#VALUE!</v>
      </c>
      <c r="EO103" t="e">
        <f>'All regions'!F2575+"n/&gt;!&amp;CV"</f>
        <v>#VALUE!</v>
      </c>
      <c r="EP103" t="e">
        <f>'All regions'!G2575+"n/&gt;!&amp;CW"</f>
        <v>#VALUE!</v>
      </c>
      <c r="EQ103" t="e">
        <f>'All regions'!H2575+"n/&gt;!&amp;CX"</f>
        <v>#VALUE!</v>
      </c>
      <c r="ER103" t="e">
        <f>'All regions'!I2575+"n/&gt;!&amp;CY"</f>
        <v>#VALUE!</v>
      </c>
      <c r="ES103" t="e">
        <f>'All regions'!J2575+"n/&gt;!&amp;CZ"</f>
        <v>#VALUE!</v>
      </c>
      <c r="ET103" t="e">
        <f>'All regions'!A2576+"n/&gt;!&amp;C["</f>
        <v>#VALUE!</v>
      </c>
      <c r="EU103" t="e">
        <f>'All regions'!B2576+"n/&gt;!&amp;C\"</f>
        <v>#VALUE!</v>
      </c>
      <c r="EV103" t="e">
        <f>'All regions'!C2576+"n/&gt;!&amp;C]"</f>
        <v>#VALUE!</v>
      </c>
      <c r="EW103" t="e">
        <f>'All regions'!D2576+"n/&gt;!&amp;C^"</f>
        <v>#VALUE!</v>
      </c>
      <c r="EX103" t="e">
        <f>'All regions'!E2576+"n/&gt;!&amp;C_"</f>
        <v>#VALUE!</v>
      </c>
      <c r="EY103" t="e">
        <f>'All regions'!F2576+"n/&gt;!&amp;C`"</f>
        <v>#VALUE!</v>
      </c>
      <c r="EZ103" t="e">
        <f>'All regions'!G2576+"n/&gt;!&amp;Ca"</f>
        <v>#VALUE!</v>
      </c>
      <c r="FA103" t="e">
        <f>'All regions'!H2576+"n/&gt;!&amp;Cb"</f>
        <v>#VALUE!</v>
      </c>
      <c r="FB103" t="e">
        <f>'All regions'!I2576+"n/&gt;!&amp;Cc"</f>
        <v>#VALUE!</v>
      </c>
      <c r="FC103" t="e">
        <f>'All regions'!J2576+"n/&gt;!&amp;Cd"</f>
        <v>#VALUE!</v>
      </c>
      <c r="FD103" t="e">
        <f>'All regions'!A2577+"n/&gt;!&amp;Ce"</f>
        <v>#VALUE!</v>
      </c>
      <c r="FE103" t="e">
        <f>'All regions'!B2577+"n/&gt;!&amp;Cf"</f>
        <v>#VALUE!</v>
      </c>
      <c r="FF103" t="e">
        <f>'All regions'!C2577+"n/&gt;!&amp;Cg"</f>
        <v>#VALUE!</v>
      </c>
      <c r="FG103" t="e">
        <f>'All regions'!D2577+"n/&gt;!&amp;Ch"</f>
        <v>#VALUE!</v>
      </c>
      <c r="FH103" t="e">
        <f>'All regions'!E2577+"n/&gt;!&amp;Ci"</f>
        <v>#VALUE!</v>
      </c>
      <c r="FI103" t="e">
        <f>'All regions'!F2577+"n/&gt;!&amp;Cj"</f>
        <v>#VALUE!</v>
      </c>
      <c r="FJ103" t="e">
        <f>'All regions'!G2577+"n/&gt;!&amp;Ck"</f>
        <v>#VALUE!</v>
      </c>
      <c r="FK103" t="e">
        <f>'All regions'!H2577+"n/&gt;!&amp;Cl"</f>
        <v>#VALUE!</v>
      </c>
      <c r="FL103" t="e">
        <f>'All regions'!I2577+"n/&gt;!&amp;Cm"</f>
        <v>#VALUE!</v>
      </c>
      <c r="FM103" t="e">
        <f>'All regions'!J2577+"n/&gt;!&amp;Cn"</f>
        <v>#VALUE!</v>
      </c>
      <c r="FN103" t="e">
        <f>'All regions'!A2578+"n/&gt;!&amp;Co"</f>
        <v>#VALUE!</v>
      </c>
      <c r="FO103" t="e">
        <f>'All regions'!B2578+"n/&gt;!&amp;Cp"</f>
        <v>#VALUE!</v>
      </c>
      <c r="FP103" t="e">
        <f>'All regions'!C2578+"n/&gt;!&amp;Cq"</f>
        <v>#VALUE!</v>
      </c>
      <c r="FQ103" t="e">
        <f>'All regions'!D2578+"n/&gt;!&amp;Cr"</f>
        <v>#VALUE!</v>
      </c>
      <c r="FR103" t="e">
        <f>'All regions'!E2578+"n/&gt;!&amp;Cs"</f>
        <v>#VALUE!</v>
      </c>
      <c r="FS103" t="e">
        <f>'All regions'!F2578+"n/&gt;!&amp;Ct"</f>
        <v>#VALUE!</v>
      </c>
      <c r="FT103" t="e">
        <f>'All regions'!G2578+"n/&gt;!&amp;Cu"</f>
        <v>#VALUE!</v>
      </c>
      <c r="FU103" t="e">
        <f>'All regions'!H2578+"n/&gt;!&amp;Cv"</f>
        <v>#VALUE!</v>
      </c>
      <c r="FV103" t="e">
        <f>'All regions'!I2578+"n/&gt;!&amp;Cw"</f>
        <v>#VALUE!</v>
      </c>
      <c r="FW103" t="e">
        <f>'All regions'!J2578+"n/&gt;!&amp;Cx"</f>
        <v>#VALUE!</v>
      </c>
      <c r="FX103" t="e">
        <f>'All regions'!A2579+"n/&gt;!&amp;Cy"</f>
        <v>#VALUE!</v>
      </c>
      <c r="FY103" t="e">
        <f>'All regions'!B2579+"n/&gt;!&amp;Cz"</f>
        <v>#VALUE!</v>
      </c>
      <c r="FZ103" t="e">
        <f>'All regions'!C2579+"n/&gt;!&amp;C{"</f>
        <v>#VALUE!</v>
      </c>
      <c r="GA103" t="e">
        <f>'All regions'!D2579+"n/&gt;!&amp;C|"</f>
        <v>#VALUE!</v>
      </c>
      <c r="GB103" t="e">
        <f>'All regions'!E2579+"n/&gt;!&amp;C}"</f>
        <v>#VALUE!</v>
      </c>
      <c r="GC103" t="e">
        <f>'All regions'!F2579+"n/&gt;!&amp;C~"</f>
        <v>#VALUE!</v>
      </c>
      <c r="GD103" t="e">
        <f>'All regions'!G2579+"n/&gt;!&amp;D#"</f>
        <v>#VALUE!</v>
      </c>
      <c r="GE103" t="e">
        <f>'All regions'!H2579+"n/&gt;!&amp;D$"</f>
        <v>#VALUE!</v>
      </c>
      <c r="GF103" t="e">
        <f>'All regions'!I2579+"n/&gt;!&amp;D%"</f>
        <v>#VALUE!</v>
      </c>
      <c r="GG103" t="e">
        <f>'All regions'!J2579+"n/&gt;!&amp;D&amp;"</f>
        <v>#VALUE!</v>
      </c>
      <c r="GH103" t="e">
        <f>'All regions'!A2580+"n/&gt;!&amp;D'"</f>
        <v>#VALUE!</v>
      </c>
      <c r="GI103" t="e">
        <f>'All regions'!B2580+"n/&gt;!&amp;D("</f>
        <v>#VALUE!</v>
      </c>
      <c r="GJ103" t="e">
        <f>'All regions'!C2580+"n/&gt;!&amp;D)"</f>
        <v>#VALUE!</v>
      </c>
      <c r="GK103" t="e">
        <f>'All regions'!D2580+"n/&gt;!&amp;D."</f>
        <v>#VALUE!</v>
      </c>
      <c r="GL103" t="e">
        <f>'All regions'!E2580+"n/&gt;!&amp;D/"</f>
        <v>#VALUE!</v>
      </c>
      <c r="GM103" t="e">
        <f>'All regions'!F2580+"n/&gt;!&amp;D0"</f>
        <v>#VALUE!</v>
      </c>
      <c r="GN103" t="e">
        <f>'All regions'!G2580+"n/&gt;!&amp;D1"</f>
        <v>#VALUE!</v>
      </c>
      <c r="GO103" t="e">
        <f>'All regions'!H2580+"n/&gt;!&amp;D2"</f>
        <v>#VALUE!</v>
      </c>
      <c r="GP103" t="e">
        <f>'All regions'!I2580+"n/&gt;!&amp;D3"</f>
        <v>#VALUE!</v>
      </c>
      <c r="GQ103" t="e">
        <f>'All regions'!J2580+"n/&gt;!&amp;D4"</f>
        <v>#VALUE!</v>
      </c>
      <c r="GR103" t="e">
        <f>'All regions'!A2581+"n/&gt;!&amp;D5"</f>
        <v>#VALUE!</v>
      </c>
      <c r="GS103" t="e">
        <f>'All regions'!B2581+"n/&gt;!&amp;D6"</f>
        <v>#VALUE!</v>
      </c>
      <c r="GT103" t="e">
        <f>'All regions'!C2581+"n/&gt;!&amp;D7"</f>
        <v>#VALUE!</v>
      </c>
      <c r="GU103" t="e">
        <f>'All regions'!D2581+"n/&gt;!&amp;D8"</f>
        <v>#VALUE!</v>
      </c>
      <c r="GV103" t="e">
        <f>'All regions'!E2581+"n/&gt;!&amp;D9"</f>
        <v>#VALUE!</v>
      </c>
      <c r="GW103" t="e">
        <f>'All regions'!F2581+"n/&gt;!&amp;D:"</f>
        <v>#VALUE!</v>
      </c>
      <c r="GX103" t="e">
        <f>'All regions'!G2581+"n/&gt;!&amp;D;"</f>
        <v>#VALUE!</v>
      </c>
      <c r="GY103" t="e">
        <f>'All regions'!H2581+"n/&gt;!&amp;D&lt;"</f>
        <v>#VALUE!</v>
      </c>
      <c r="GZ103" t="e">
        <f>'All regions'!I2581+"n/&gt;!&amp;D="</f>
        <v>#VALUE!</v>
      </c>
      <c r="HA103" t="e">
        <f>'All regions'!J2581+"n/&gt;!&amp;D&gt;"</f>
        <v>#VALUE!</v>
      </c>
      <c r="HB103" t="e">
        <f>'All regions'!A2582+"n/&gt;!&amp;D?"</f>
        <v>#VALUE!</v>
      </c>
      <c r="HC103" t="e">
        <f>'All regions'!B2582+"n/&gt;!&amp;D@"</f>
        <v>#VALUE!</v>
      </c>
      <c r="HD103" t="e">
        <f>'All regions'!C2582+"n/&gt;!&amp;DA"</f>
        <v>#VALUE!</v>
      </c>
      <c r="HE103" t="e">
        <f>'All regions'!D2582+"n/&gt;!&amp;DB"</f>
        <v>#VALUE!</v>
      </c>
      <c r="HF103" t="e">
        <f>'All regions'!E2582+"n/&gt;!&amp;DC"</f>
        <v>#VALUE!</v>
      </c>
      <c r="HG103" t="e">
        <f>'All regions'!F2582+"n/&gt;!&amp;DD"</f>
        <v>#VALUE!</v>
      </c>
      <c r="HH103" t="e">
        <f>'All regions'!G2582+"n/&gt;!&amp;DE"</f>
        <v>#VALUE!</v>
      </c>
      <c r="HI103" t="e">
        <f>'All regions'!H2582+"n/&gt;!&amp;DF"</f>
        <v>#VALUE!</v>
      </c>
      <c r="HJ103" t="e">
        <f>'All regions'!J2582+"n/&gt;!&amp;DG"</f>
        <v>#VALUE!</v>
      </c>
      <c r="HK103" t="e">
        <f>'All regions'!A2583+"n/&gt;!&amp;DH"</f>
        <v>#VALUE!</v>
      </c>
      <c r="HL103" t="e">
        <f>'All regions'!B2583+"n/&gt;!&amp;DI"</f>
        <v>#VALUE!</v>
      </c>
      <c r="HM103" t="e">
        <f>'All regions'!C2583+"n/&gt;!&amp;DJ"</f>
        <v>#VALUE!</v>
      </c>
      <c r="HN103" t="e">
        <f>'All regions'!D2583+"n/&gt;!&amp;DK"</f>
        <v>#VALUE!</v>
      </c>
      <c r="HO103" t="e">
        <f>'All regions'!E2583+"n/&gt;!&amp;DL"</f>
        <v>#VALUE!</v>
      </c>
      <c r="HP103" t="e">
        <f>'All regions'!F2583+"n/&gt;!&amp;DM"</f>
        <v>#VALUE!</v>
      </c>
      <c r="HQ103" t="e">
        <f>'All regions'!G2583+"n/&gt;!&amp;DN"</f>
        <v>#VALUE!</v>
      </c>
      <c r="HR103" t="e">
        <f>'All regions'!H2583+"n/&gt;!&amp;DO"</f>
        <v>#VALUE!</v>
      </c>
      <c r="HS103" t="e">
        <f>'All regions'!J2583+"n/&gt;!&amp;DP"</f>
        <v>#VALUE!</v>
      </c>
      <c r="HT103" t="e">
        <f>'All regions'!A2584+"n/&gt;!&amp;DQ"</f>
        <v>#VALUE!</v>
      </c>
      <c r="HU103" t="e">
        <f>'All regions'!B2584+"n/&gt;!&amp;DR"</f>
        <v>#VALUE!</v>
      </c>
      <c r="HV103" t="e">
        <f>'All regions'!C2584+"n/&gt;!&amp;DS"</f>
        <v>#VALUE!</v>
      </c>
      <c r="HW103" t="e">
        <f>'All regions'!D2584+"n/&gt;!&amp;DT"</f>
        <v>#VALUE!</v>
      </c>
      <c r="HX103" t="e">
        <f>'All regions'!E2584+"n/&gt;!&amp;DU"</f>
        <v>#VALUE!</v>
      </c>
      <c r="HY103" t="e">
        <f>'All regions'!F2584+"n/&gt;!&amp;DV"</f>
        <v>#VALUE!</v>
      </c>
      <c r="HZ103" t="e">
        <f>'All regions'!G2584+"n/&gt;!&amp;DW"</f>
        <v>#VALUE!</v>
      </c>
      <c r="IA103" t="e">
        <f>'All regions'!H2584+"n/&gt;!&amp;DX"</f>
        <v>#VALUE!</v>
      </c>
      <c r="IB103" t="e">
        <f>'All regions'!I2584+"n/&gt;!&amp;DY"</f>
        <v>#VALUE!</v>
      </c>
      <c r="IC103" t="e">
        <f>'All regions'!J2584+"n/&gt;!&amp;DZ"</f>
        <v>#VALUE!</v>
      </c>
      <c r="ID103" t="e">
        <f>'All regions'!A2585+"n/&gt;!&amp;D["</f>
        <v>#VALUE!</v>
      </c>
      <c r="IE103" t="e">
        <f>'All regions'!B2585+"n/&gt;!&amp;D\"</f>
        <v>#VALUE!</v>
      </c>
      <c r="IF103" t="e">
        <f>'All regions'!C2585+"n/&gt;!&amp;D]"</f>
        <v>#VALUE!</v>
      </c>
      <c r="IG103" t="e">
        <f>'All regions'!D2585+"n/&gt;!&amp;D^"</f>
        <v>#VALUE!</v>
      </c>
      <c r="IH103" t="e">
        <f>'All regions'!E2585+"n/&gt;!&amp;D_"</f>
        <v>#VALUE!</v>
      </c>
      <c r="II103" t="e">
        <f>'All regions'!F2585+"n/&gt;!&amp;D`"</f>
        <v>#VALUE!</v>
      </c>
      <c r="IJ103" t="e">
        <f>'All regions'!G2585+"n/&gt;!&amp;Da"</f>
        <v>#VALUE!</v>
      </c>
      <c r="IK103" t="e">
        <f>'All regions'!H2585+"n/&gt;!&amp;Db"</f>
        <v>#VALUE!</v>
      </c>
      <c r="IL103" t="e">
        <f>'All regions'!I2585+"n/&gt;!&amp;Dc"</f>
        <v>#VALUE!</v>
      </c>
      <c r="IM103" t="e">
        <f>'All regions'!J2585+"n/&gt;!&amp;Dd"</f>
        <v>#VALUE!</v>
      </c>
      <c r="IN103" t="e">
        <f>'All regions'!A2586+"n/&gt;!&amp;De"</f>
        <v>#VALUE!</v>
      </c>
      <c r="IO103" t="e">
        <f>'All regions'!B2586+"n/&gt;!&amp;Df"</f>
        <v>#VALUE!</v>
      </c>
      <c r="IP103" t="e">
        <f>'All regions'!C2586+"n/&gt;!&amp;Dg"</f>
        <v>#VALUE!</v>
      </c>
      <c r="IQ103" t="e">
        <f>'All regions'!D2586+"n/&gt;!&amp;Dh"</f>
        <v>#VALUE!</v>
      </c>
      <c r="IR103" t="e">
        <f>'All regions'!E2586+"n/&gt;!&amp;Di"</f>
        <v>#VALUE!</v>
      </c>
      <c r="IS103" t="e">
        <f>'All regions'!F2586+"n/&gt;!&amp;Dj"</f>
        <v>#VALUE!</v>
      </c>
      <c r="IT103" t="e">
        <f>'All regions'!G2586+"n/&gt;!&amp;Dk"</f>
        <v>#VALUE!</v>
      </c>
      <c r="IU103" t="e">
        <f>'All regions'!H2586+"n/&gt;!&amp;Dl"</f>
        <v>#VALUE!</v>
      </c>
      <c r="IV103" t="e">
        <f>'All regions'!I2586+"n/&gt;!&amp;Dm"</f>
        <v>#VALUE!</v>
      </c>
    </row>
    <row r="104" spans="6:256" x14ac:dyDescent="0.35">
      <c r="F104" t="e">
        <f>'All regions'!J2586+"n/&gt;!&amp;Dn"</f>
        <v>#VALUE!</v>
      </c>
      <c r="G104" t="e">
        <f>'All regions'!A2587+"n/&gt;!&amp;Do"</f>
        <v>#VALUE!</v>
      </c>
      <c r="H104" t="e">
        <f>'All regions'!B2587+"n/&gt;!&amp;Dp"</f>
        <v>#VALUE!</v>
      </c>
      <c r="I104" t="e">
        <f>'All regions'!C2587+"n/&gt;!&amp;Dq"</f>
        <v>#VALUE!</v>
      </c>
      <c r="J104" t="e">
        <f>'All regions'!D2587+"n/&gt;!&amp;Dr"</f>
        <v>#VALUE!</v>
      </c>
      <c r="K104" t="e">
        <f>'All regions'!E2587+"n/&gt;!&amp;Ds"</f>
        <v>#VALUE!</v>
      </c>
      <c r="L104" t="e">
        <f>'All regions'!F2587+"n/&gt;!&amp;Dt"</f>
        <v>#VALUE!</v>
      </c>
      <c r="M104" t="e">
        <f>'All regions'!G2587+"n/&gt;!&amp;Du"</f>
        <v>#VALUE!</v>
      </c>
      <c r="N104" t="e">
        <f>'All regions'!H2587+"n/&gt;!&amp;Dv"</f>
        <v>#VALUE!</v>
      </c>
      <c r="O104" t="e">
        <f>'All regions'!I2587+"n/&gt;!&amp;Dw"</f>
        <v>#VALUE!</v>
      </c>
      <c r="P104" t="e">
        <f>'All regions'!J2587+"n/&gt;!&amp;Dx"</f>
        <v>#VALUE!</v>
      </c>
      <c r="Q104" t="e">
        <f>'All regions'!A2588+"n/&gt;!&amp;Dy"</f>
        <v>#VALUE!</v>
      </c>
      <c r="R104" t="e">
        <f>'All regions'!B2588+"n/&gt;!&amp;Dz"</f>
        <v>#VALUE!</v>
      </c>
      <c r="S104" t="e">
        <f>'All regions'!C2588+"n/&gt;!&amp;D{"</f>
        <v>#VALUE!</v>
      </c>
      <c r="T104" t="e">
        <f>'All regions'!D2588+"n/&gt;!&amp;D|"</f>
        <v>#VALUE!</v>
      </c>
      <c r="U104" t="e">
        <f>'All regions'!E2588+"n/&gt;!&amp;D}"</f>
        <v>#VALUE!</v>
      </c>
      <c r="V104" t="e">
        <f>'All regions'!F2588+"n/&gt;!&amp;D~"</f>
        <v>#VALUE!</v>
      </c>
      <c r="W104" t="e">
        <f>'All regions'!G2588+"n/&gt;!&amp;E#"</f>
        <v>#VALUE!</v>
      </c>
      <c r="X104" t="e">
        <f>'All regions'!H2588+"n/&gt;!&amp;E$"</f>
        <v>#VALUE!</v>
      </c>
      <c r="Y104" t="e">
        <f>'All regions'!I2588+"n/&gt;!&amp;E%"</f>
        <v>#VALUE!</v>
      </c>
      <c r="Z104" t="e">
        <f>'All regions'!J2588+"n/&gt;!&amp;E&amp;"</f>
        <v>#VALUE!</v>
      </c>
      <c r="AA104" t="e">
        <f>'All regions'!A2589+"n/&gt;!&amp;E'"</f>
        <v>#VALUE!</v>
      </c>
      <c r="AB104" t="e">
        <f>'All regions'!B2589+"n/&gt;!&amp;E("</f>
        <v>#VALUE!</v>
      </c>
      <c r="AC104" t="e">
        <f>'All regions'!C2589+"n/&gt;!&amp;E)"</f>
        <v>#VALUE!</v>
      </c>
      <c r="AD104" t="e">
        <f>'All regions'!D2589+"n/&gt;!&amp;E."</f>
        <v>#VALUE!</v>
      </c>
      <c r="AE104" t="e">
        <f>'All regions'!E2589+"n/&gt;!&amp;E/"</f>
        <v>#VALUE!</v>
      </c>
      <c r="AF104" t="e">
        <f>'All regions'!F2589+"n/&gt;!&amp;E0"</f>
        <v>#VALUE!</v>
      </c>
      <c r="AG104" t="e">
        <f>'All regions'!G2589+"n/&gt;!&amp;E1"</f>
        <v>#VALUE!</v>
      </c>
      <c r="AH104" t="e">
        <f>'All regions'!H2589+"n/&gt;!&amp;E2"</f>
        <v>#VALUE!</v>
      </c>
      <c r="AI104" t="e">
        <f>'All regions'!I2589+"n/&gt;!&amp;E3"</f>
        <v>#VALUE!</v>
      </c>
      <c r="AJ104" t="e">
        <f>'All regions'!J2589+"n/&gt;!&amp;E4"</f>
        <v>#VALUE!</v>
      </c>
      <c r="AK104" t="e">
        <f>'All regions'!A2590+"n/&gt;!&amp;E5"</f>
        <v>#VALUE!</v>
      </c>
      <c r="AL104" t="e">
        <f>'All regions'!B2590+"n/&gt;!&amp;E6"</f>
        <v>#VALUE!</v>
      </c>
      <c r="AM104" t="e">
        <f>'All regions'!C2590+"n/&gt;!&amp;E7"</f>
        <v>#VALUE!</v>
      </c>
      <c r="AN104" t="e">
        <f>'All regions'!D2590+"n/&gt;!&amp;E8"</f>
        <v>#VALUE!</v>
      </c>
      <c r="AO104" t="e">
        <f>'All regions'!E2590+"n/&gt;!&amp;E9"</f>
        <v>#VALUE!</v>
      </c>
      <c r="AP104" t="e">
        <f>'All regions'!F2590+"n/&gt;!&amp;E:"</f>
        <v>#VALUE!</v>
      </c>
      <c r="AQ104" t="e">
        <f>'All regions'!G2590+"n/&gt;!&amp;E;"</f>
        <v>#VALUE!</v>
      </c>
      <c r="AR104" t="e">
        <f>'All regions'!H2590+"n/&gt;!&amp;E&lt;"</f>
        <v>#VALUE!</v>
      </c>
      <c r="AS104" t="e">
        <f>'All regions'!I2590+"n/&gt;!&amp;E="</f>
        <v>#VALUE!</v>
      </c>
      <c r="AT104" t="e">
        <f>'All regions'!J2590+"n/&gt;!&amp;E&gt;"</f>
        <v>#VALUE!</v>
      </c>
      <c r="AU104" t="e">
        <f>'All regions'!A2591+"n/&gt;!&amp;E?"</f>
        <v>#VALUE!</v>
      </c>
      <c r="AV104" t="e">
        <f>'All regions'!B2591+"n/&gt;!&amp;E@"</f>
        <v>#VALUE!</v>
      </c>
      <c r="AW104" t="e">
        <f>'All regions'!C2591+"n/&gt;!&amp;EA"</f>
        <v>#VALUE!</v>
      </c>
      <c r="AX104" t="e">
        <f>'All regions'!D2591+"n/&gt;!&amp;EB"</f>
        <v>#VALUE!</v>
      </c>
      <c r="AY104" t="e">
        <f>'All regions'!E2591+"n/&gt;!&amp;EC"</f>
        <v>#VALUE!</v>
      </c>
      <c r="AZ104" t="e">
        <f>'All regions'!F2591+"n/&gt;!&amp;ED"</f>
        <v>#VALUE!</v>
      </c>
      <c r="BA104" t="e">
        <f>'All regions'!G2591+"n/&gt;!&amp;EE"</f>
        <v>#VALUE!</v>
      </c>
      <c r="BB104" t="e">
        <f>'All regions'!H2591+"n/&gt;!&amp;EF"</f>
        <v>#VALUE!</v>
      </c>
      <c r="BC104" t="e">
        <f>'All regions'!I2591+"n/&gt;!&amp;EG"</f>
        <v>#VALUE!</v>
      </c>
      <c r="BD104" t="e">
        <f>'All regions'!J2591+"n/&gt;!&amp;EH"</f>
        <v>#VALUE!</v>
      </c>
      <c r="BE104" t="e">
        <f>'All regions'!A2592+"n/&gt;!&amp;EI"</f>
        <v>#VALUE!</v>
      </c>
      <c r="BF104" t="e">
        <f>'All regions'!B2592+"n/&gt;!&amp;EJ"</f>
        <v>#VALUE!</v>
      </c>
      <c r="BG104" t="e">
        <f>'All regions'!C2592+"n/&gt;!&amp;EK"</f>
        <v>#VALUE!</v>
      </c>
      <c r="BH104" t="e">
        <f>'All regions'!D2592+"n/&gt;!&amp;EL"</f>
        <v>#VALUE!</v>
      </c>
      <c r="BI104" t="e">
        <f>'All regions'!E2592+"n/&gt;!&amp;EM"</f>
        <v>#VALUE!</v>
      </c>
      <c r="BJ104" t="e">
        <f>'All regions'!F2592+"n/&gt;!&amp;EN"</f>
        <v>#VALUE!</v>
      </c>
      <c r="BK104" t="e">
        <f>'All regions'!G2592+"n/&gt;!&amp;EO"</f>
        <v>#VALUE!</v>
      </c>
      <c r="BL104" t="e">
        <f>'All regions'!H2592+"n/&gt;!&amp;EP"</f>
        <v>#VALUE!</v>
      </c>
      <c r="BM104" t="e">
        <f>'All regions'!I2592+"n/&gt;!&amp;EQ"</f>
        <v>#VALUE!</v>
      </c>
      <c r="BN104" t="e">
        <f>'All regions'!J2592+"n/&gt;!&amp;ER"</f>
        <v>#VALUE!</v>
      </c>
      <c r="BO104" t="e">
        <f>'All regions'!A2593+"n/&gt;!&amp;ES"</f>
        <v>#VALUE!</v>
      </c>
      <c r="BP104" t="e">
        <f>'All regions'!B2593+"n/&gt;!&amp;ET"</f>
        <v>#VALUE!</v>
      </c>
      <c r="BQ104" t="e">
        <f>'All regions'!C2593+"n/&gt;!&amp;EU"</f>
        <v>#VALUE!</v>
      </c>
      <c r="BR104" t="e">
        <f>'All regions'!D2593+"n/&gt;!&amp;EV"</f>
        <v>#VALUE!</v>
      </c>
      <c r="BS104" t="e">
        <f>'All regions'!E2593+"n/&gt;!&amp;EW"</f>
        <v>#VALUE!</v>
      </c>
      <c r="BT104" t="e">
        <f>'All regions'!F2593+"n/&gt;!&amp;EX"</f>
        <v>#VALUE!</v>
      </c>
      <c r="BU104" t="e">
        <f>'All regions'!G2593+"n/&gt;!&amp;EY"</f>
        <v>#VALUE!</v>
      </c>
      <c r="BV104" t="e">
        <f>'All regions'!H2593+"n/&gt;!&amp;EZ"</f>
        <v>#VALUE!</v>
      </c>
      <c r="BW104" t="e">
        <f>'All regions'!I2593+"n/&gt;!&amp;E["</f>
        <v>#VALUE!</v>
      </c>
      <c r="BX104" t="e">
        <f>'All regions'!J2593+"n/&gt;!&amp;E\"</f>
        <v>#VALUE!</v>
      </c>
      <c r="BY104" t="e">
        <f>'All regions'!A2594+"n/&gt;!&amp;E]"</f>
        <v>#VALUE!</v>
      </c>
      <c r="BZ104" t="e">
        <f>'All regions'!B2594+"n/&gt;!&amp;E^"</f>
        <v>#VALUE!</v>
      </c>
      <c r="CA104" t="e">
        <f>'All regions'!C2594+"n/&gt;!&amp;E_"</f>
        <v>#VALUE!</v>
      </c>
      <c r="CB104" t="e">
        <f>'All regions'!D2594+"n/&gt;!&amp;E`"</f>
        <v>#VALUE!</v>
      </c>
      <c r="CC104" t="e">
        <f>'All regions'!E2594+"n/&gt;!&amp;Ea"</f>
        <v>#VALUE!</v>
      </c>
      <c r="CD104" t="e">
        <f>'All regions'!F2594+"n/&gt;!&amp;Eb"</f>
        <v>#VALUE!</v>
      </c>
      <c r="CE104" t="e">
        <f>'All regions'!G2594+"n/&gt;!&amp;Ec"</f>
        <v>#VALUE!</v>
      </c>
      <c r="CF104" t="e">
        <f>'All regions'!H2594+"n/&gt;!&amp;Ed"</f>
        <v>#VALUE!</v>
      </c>
      <c r="CG104" t="e">
        <f>'All regions'!I2594+"n/&gt;!&amp;Ee"</f>
        <v>#VALUE!</v>
      </c>
      <c r="CH104" t="e">
        <f>'All regions'!J2594+"n/&gt;!&amp;Ef"</f>
        <v>#VALUE!</v>
      </c>
      <c r="CI104" t="e">
        <f>'All regions'!A2595+"n/&gt;!&amp;Eg"</f>
        <v>#VALUE!</v>
      </c>
      <c r="CJ104" t="e">
        <f>'All regions'!B2595+"n/&gt;!&amp;Eh"</f>
        <v>#VALUE!</v>
      </c>
      <c r="CK104" t="e">
        <f>'All regions'!C2595+"n/&gt;!&amp;Ei"</f>
        <v>#VALUE!</v>
      </c>
      <c r="CL104" t="e">
        <f>'All regions'!D2595+"n/&gt;!&amp;Ej"</f>
        <v>#VALUE!</v>
      </c>
      <c r="CM104" t="e">
        <f>'All regions'!E2595+"n/&gt;!&amp;Ek"</f>
        <v>#VALUE!</v>
      </c>
      <c r="CN104" t="e">
        <f>'All regions'!F2595+"n/&gt;!&amp;El"</f>
        <v>#VALUE!</v>
      </c>
      <c r="CO104" t="e">
        <f>'All regions'!G2595+"n/&gt;!&amp;Em"</f>
        <v>#VALUE!</v>
      </c>
      <c r="CP104" t="e">
        <f>'All regions'!H2595+"n/&gt;!&amp;En"</f>
        <v>#VALUE!</v>
      </c>
      <c r="CQ104" t="e">
        <f>'All regions'!I2595+"n/&gt;!&amp;Eo"</f>
        <v>#VALUE!</v>
      </c>
      <c r="CR104" t="e">
        <f>'All regions'!J2595+"n/&gt;!&amp;Ep"</f>
        <v>#VALUE!</v>
      </c>
      <c r="CS104" t="e">
        <f>'All regions'!A2596+"n/&gt;!&amp;Eq"</f>
        <v>#VALUE!</v>
      </c>
      <c r="CT104" t="e">
        <f>'All regions'!B2596+"n/&gt;!&amp;Er"</f>
        <v>#VALUE!</v>
      </c>
      <c r="CU104" t="e">
        <f>'All regions'!C2596+"n/&gt;!&amp;Es"</f>
        <v>#VALUE!</v>
      </c>
      <c r="CV104" t="e">
        <f>'All regions'!D2596+"n/&gt;!&amp;Et"</f>
        <v>#VALUE!</v>
      </c>
      <c r="CW104" t="e">
        <f>'All regions'!E2596+"n/&gt;!&amp;Eu"</f>
        <v>#VALUE!</v>
      </c>
      <c r="CX104" t="e">
        <f>'All regions'!F2596+"n/&gt;!&amp;Ev"</f>
        <v>#VALUE!</v>
      </c>
      <c r="CY104" t="e">
        <f>'All regions'!G2596+"n/&gt;!&amp;Ew"</f>
        <v>#VALUE!</v>
      </c>
      <c r="CZ104" t="e">
        <f>'All regions'!H2596+"n/&gt;!&amp;Ex"</f>
        <v>#VALUE!</v>
      </c>
      <c r="DA104" t="e">
        <f>'All regions'!I2596+"n/&gt;!&amp;Ey"</f>
        <v>#VALUE!</v>
      </c>
      <c r="DB104" t="e">
        <f>'All regions'!J2596+"n/&gt;!&amp;Ez"</f>
        <v>#VALUE!</v>
      </c>
      <c r="DC104" t="e">
        <f>'All regions'!A2597+"n/&gt;!&amp;E{"</f>
        <v>#VALUE!</v>
      </c>
      <c r="DD104" t="e">
        <f>'All regions'!B2597+"n/&gt;!&amp;E|"</f>
        <v>#VALUE!</v>
      </c>
      <c r="DE104" t="e">
        <f>'All regions'!C2597+"n/&gt;!&amp;E}"</f>
        <v>#VALUE!</v>
      </c>
      <c r="DF104" t="e">
        <f>'All regions'!D2597+"n/&gt;!&amp;E~"</f>
        <v>#VALUE!</v>
      </c>
      <c r="DG104" t="e">
        <f>'All regions'!E2597+"n/&gt;!&amp;F#"</f>
        <v>#VALUE!</v>
      </c>
      <c r="DH104" t="e">
        <f>'All regions'!F2597+"n/&gt;!&amp;F$"</f>
        <v>#VALUE!</v>
      </c>
      <c r="DI104" t="e">
        <f>'All regions'!G2597+"n/&gt;!&amp;F%"</f>
        <v>#VALUE!</v>
      </c>
      <c r="DJ104" t="e">
        <f>'All regions'!H2597+"n/&gt;!&amp;F&amp;"</f>
        <v>#VALUE!</v>
      </c>
      <c r="DK104" t="e">
        <f>'All regions'!I2597+"n/&gt;!&amp;F'"</f>
        <v>#VALUE!</v>
      </c>
      <c r="DL104" t="e">
        <f>'All regions'!J2597+"n/&gt;!&amp;F("</f>
        <v>#VALUE!</v>
      </c>
      <c r="DM104" t="e">
        <f>'All regions'!A2598+"n/&gt;!&amp;F)"</f>
        <v>#VALUE!</v>
      </c>
      <c r="DN104" t="e">
        <f>'All regions'!B2598+"n/&gt;!&amp;F."</f>
        <v>#VALUE!</v>
      </c>
      <c r="DO104" t="e">
        <f>'All regions'!C2598+"n/&gt;!&amp;F/"</f>
        <v>#VALUE!</v>
      </c>
      <c r="DP104" t="e">
        <f>'All regions'!D2598+"n/&gt;!&amp;F0"</f>
        <v>#VALUE!</v>
      </c>
      <c r="DQ104" t="e">
        <f>'All regions'!E2598+"n/&gt;!&amp;F1"</f>
        <v>#VALUE!</v>
      </c>
      <c r="DR104" t="e">
        <f>'All regions'!F2598+"n/&gt;!&amp;F2"</f>
        <v>#VALUE!</v>
      </c>
      <c r="DS104" t="e">
        <f>'All regions'!G2598+"n/&gt;!&amp;F3"</f>
        <v>#VALUE!</v>
      </c>
      <c r="DT104" t="e">
        <f>'All regions'!H2598+"n/&gt;!&amp;F4"</f>
        <v>#VALUE!</v>
      </c>
      <c r="DU104" t="e">
        <f>'All regions'!I2598+"n/&gt;!&amp;F5"</f>
        <v>#VALUE!</v>
      </c>
      <c r="DV104" t="e">
        <f>'All regions'!J2598+"n/&gt;!&amp;F6"</f>
        <v>#VALUE!</v>
      </c>
      <c r="DW104" t="e">
        <f>'All regions'!A2599+"n/&gt;!&amp;F7"</f>
        <v>#VALUE!</v>
      </c>
      <c r="DX104" t="e">
        <f>'All regions'!B2599+"n/&gt;!&amp;F8"</f>
        <v>#VALUE!</v>
      </c>
      <c r="DY104" t="e">
        <f>'All regions'!C2599+"n/&gt;!&amp;F9"</f>
        <v>#VALUE!</v>
      </c>
      <c r="DZ104" t="e">
        <f>'All regions'!D2599+"n/&gt;!&amp;F:"</f>
        <v>#VALUE!</v>
      </c>
      <c r="EA104" t="e">
        <f>'All regions'!E2599+"n/&gt;!&amp;F;"</f>
        <v>#VALUE!</v>
      </c>
      <c r="EB104" t="e">
        <f>'All regions'!F2599+"n/&gt;!&amp;F&lt;"</f>
        <v>#VALUE!</v>
      </c>
      <c r="EC104" t="e">
        <f>'All regions'!G2599+"n/&gt;!&amp;F="</f>
        <v>#VALUE!</v>
      </c>
      <c r="ED104" t="e">
        <f>'All regions'!H2599+"n/&gt;!&amp;F&gt;"</f>
        <v>#VALUE!</v>
      </c>
      <c r="EE104" t="e">
        <f>'All regions'!I2599+"n/&gt;!&amp;F?"</f>
        <v>#VALUE!</v>
      </c>
      <c r="EF104" t="e">
        <f>'All regions'!J2599+"n/&gt;!&amp;F@"</f>
        <v>#VALUE!</v>
      </c>
      <c r="EG104" t="e">
        <f>'All regions'!A2600+"n/&gt;!&amp;FA"</f>
        <v>#VALUE!</v>
      </c>
      <c r="EH104" t="e">
        <f>'All regions'!B2600+"n/&gt;!&amp;FB"</f>
        <v>#VALUE!</v>
      </c>
      <c r="EI104" t="e">
        <f>'All regions'!C2600+"n/&gt;!&amp;FC"</f>
        <v>#VALUE!</v>
      </c>
      <c r="EJ104" t="e">
        <f>'All regions'!D2600+"n/&gt;!&amp;FD"</f>
        <v>#VALUE!</v>
      </c>
      <c r="EK104" t="e">
        <f>'All regions'!E2600+"n/&gt;!&amp;FE"</f>
        <v>#VALUE!</v>
      </c>
      <c r="EL104" t="e">
        <f>'All regions'!F2600+"n/&gt;!&amp;FF"</f>
        <v>#VALUE!</v>
      </c>
      <c r="EM104" t="e">
        <f>'All regions'!G2600+"n/&gt;!&amp;FG"</f>
        <v>#VALUE!</v>
      </c>
      <c r="EN104" t="e">
        <f>'All regions'!H2600+"n/&gt;!&amp;FH"</f>
        <v>#VALUE!</v>
      </c>
      <c r="EO104" t="e">
        <f>'All regions'!I2600+"n/&gt;!&amp;FI"</f>
        <v>#VALUE!</v>
      </c>
      <c r="EP104" t="e">
        <f>'All regions'!J2600+"n/&gt;!&amp;FJ"</f>
        <v>#VALUE!</v>
      </c>
      <c r="EQ104" t="e">
        <f>'All regions'!A2601+"n/&gt;!&amp;FK"</f>
        <v>#VALUE!</v>
      </c>
      <c r="ER104" t="e">
        <f>'All regions'!B2601+"n/&gt;!&amp;FL"</f>
        <v>#VALUE!</v>
      </c>
      <c r="ES104" t="e">
        <f>'All regions'!C2601+"n/&gt;!&amp;FM"</f>
        <v>#VALUE!</v>
      </c>
      <c r="ET104" t="e">
        <f>'All regions'!D2601+"n/&gt;!&amp;FN"</f>
        <v>#VALUE!</v>
      </c>
      <c r="EU104" t="e">
        <f>'All regions'!E2601+"n/&gt;!&amp;FO"</f>
        <v>#VALUE!</v>
      </c>
      <c r="EV104" t="e">
        <f>'All regions'!F2601+"n/&gt;!&amp;FP"</f>
        <v>#VALUE!</v>
      </c>
      <c r="EW104" t="e">
        <f>'All regions'!G2601+"n/&gt;!&amp;FQ"</f>
        <v>#VALUE!</v>
      </c>
      <c r="EX104" t="e">
        <f>'All regions'!H2601+"n/&gt;!&amp;FR"</f>
        <v>#VALUE!</v>
      </c>
      <c r="EY104" t="e">
        <f>'All regions'!I2601+"n/&gt;!&amp;FS"</f>
        <v>#VALUE!</v>
      </c>
      <c r="EZ104" t="e">
        <f>'All regions'!J2601+"n/&gt;!&amp;FT"</f>
        <v>#VALUE!</v>
      </c>
      <c r="FA104" t="e">
        <f>'All regions'!A2602+"n/&gt;!&amp;FU"</f>
        <v>#VALUE!</v>
      </c>
      <c r="FB104" t="e">
        <f>'All regions'!B2602+"n/&gt;!&amp;FV"</f>
        <v>#VALUE!</v>
      </c>
      <c r="FC104" t="e">
        <f>'All regions'!C2602+"n/&gt;!&amp;FW"</f>
        <v>#VALUE!</v>
      </c>
      <c r="FD104" t="e">
        <f>'All regions'!D2602+"n/&gt;!&amp;FX"</f>
        <v>#VALUE!</v>
      </c>
      <c r="FE104" t="e">
        <f>'All regions'!E2602+"n/&gt;!&amp;FY"</f>
        <v>#VALUE!</v>
      </c>
      <c r="FF104" t="e">
        <f>'All regions'!F2602+"n/&gt;!&amp;FZ"</f>
        <v>#VALUE!</v>
      </c>
      <c r="FG104" t="e">
        <f>'All regions'!G2602+"n/&gt;!&amp;F["</f>
        <v>#VALUE!</v>
      </c>
      <c r="FH104" t="e">
        <f>'All regions'!H2602+"n/&gt;!&amp;F\"</f>
        <v>#VALUE!</v>
      </c>
      <c r="FI104" t="e">
        <f>'All regions'!I2602+"n/&gt;!&amp;F]"</f>
        <v>#VALUE!</v>
      </c>
      <c r="FJ104" t="e">
        <f>'All regions'!J2602+"n/&gt;!&amp;F^"</f>
        <v>#VALUE!</v>
      </c>
      <c r="FK104" t="e">
        <f>'All regions'!A2603+"n/&gt;!&amp;F_"</f>
        <v>#VALUE!</v>
      </c>
      <c r="FL104" t="e">
        <f>'All regions'!B2603+"n/&gt;!&amp;F`"</f>
        <v>#VALUE!</v>
      </c>
      <c r="FM104" t="e">
        <f>'All regions'!C2603+"n/&gt;!&amp;Fa"</f>
        <v>#VALUE!</v>
      </c>
      <c r="FN104" t="e">
        <f>'All regions'!D2603+"n/&gt;!&amp;Fb"</f>
        <v>#VALUE!</v>
      </c>
      <c r="FO104" t="e">
        <f>'All regions'!E2603+"n/&gt;!&amp;Fc"</f>
        <v>#VALUE!</v>
      </c>
      <c r="FP104" t="e">
        <f>'All regions'!F2603+"n/&gt;!&amp;Fd"</f>
        <v>#VALUE!</v>
      </c>
      <c r="FQ104" t="e">
        <f>'All regions'!G2603+"n/&gt;!&amp;Fe"</f>
        <v>#VALUE!</v>
      </c>
      <c r="FR104" t="e">
        <f>'All regions'!H2603+"n/&gt;!&amp;Ff"</f>
        <v>#VALUE!</v>
      </c>
      <c r="FS104" t="e">
        <f>'All regions'!I2603+"n/&gt;!&amp;Fg"</f>
        <v>#VALUE!</v>
      </c>
      <c r="FT104" t="e">
        <f>'All regions'!J2603+"n/&gt;!&amp;Fh"</f>
        <v>#VALUE!</v>
      </c>
      <c r="FU104" t="e">
        <f>'All regions'!A2604+"n/&gt;!&amp;Fi"</f>
        <v>#VALUE!</v>
      </c>
      <c r="FV104" t="e">
        <f>'All regions'!B2604+"n/&gt;!&amp;Fj"</f>
        <v>#VALUE!</v>
      </c>
      <c r="FW104" t="e">
        <f>'All regions'!C2604+"n/&gt;!&amp;Fk"</f>
        <v>#VALUE!</v>
      </c>
      <c r="FX104" t="e">
        <f>'All regions'!D2604+"n/&gt;!&amp;Fl"</f>
        <v>#VALUE!</v>
      </c>
      <c r="FY104" t="e">
        <f>'All regions'!E2604+"n/&gt;!&amp;Fm"</f>
        <v>#VALUE!</v>
      </c>
      <c r="FZ104" t="e">
        <f>'All regions'!F2604+"n/&gt;!&amp;Fn"</f>
        <v>#VALUE!</v>
      </c>
      <c r="GA104" t="e">
        <f>'All regions'!G2604+"n/&gt;!&amp;Fo"</f>
        <v>#VALUE!</v>
      </c>
      <c r="GB104" t="e">
        <f>'All regions'!H2604+"n/&gt;!&amp;Fp"</f>
        <v>#VALUE!</v>
      </c>
      <c r="GC104" t="e">
        <f>'All regions'!I2604+"n/&gt;!&amp;Fq"</f>
        <v>#VALUE!</v>
      </c>
      <c r="GD104" t="e">
        <f>'All regions'!J2604+"n/&gt;!&amp;Fr"</f>
        <v>#VALUE!</v>
      </c>
      <c r="GE104" t="e">
        <f>'All regions'!A2605+"n/&gt;!&amp;Fs"</f>
        <v>#VALUE!</v>
      </c>
      <c r="GF104" t="e">
        <f>'All regions'!B2605+"n/&gt;!&amp;Ft"</f>
        <v>#VALUE!</v>
      </c>
      <c r="GG104" t="e">
        <f>'All regions'!C2605+"n/&gt;!&amp;Fu"</f>
        <v>#VALUE!</v>
      </c>
      <c r="GH104" t="e">
        <f>'All regions'!D2605+"n/&gt;!&amp;Fv"</f>
        <v>#VALUE!</v>
      </c>
      <c r="GI104" t="e">
        <f>'All regions'!E2605+"n/&gt;!&amp;Fw"</f>
        <v>#VALUE!</v>
      </c>
      <c r="GJ104" t="e">
        <f>'All regions'!F2605+"n/&gt;!&amp;Fx"</f>
        <v>#VALUE!</v>
      </c>
      <c r="GK104" t="e">
        <f>'All regions'!G2605+"n/&gt;!&amp;Fy"</f>
        <v>#VALUE!</v>
      </c>
      <c r="GL104" t="e">
        <f>'All regions'!H2605+"n/&gt;!&amp;Fz"</f>
        <v>#VALUE!</v>
      </c>
      <c r="GM104" t="e">
        <f>'All regions'!I2605+"n/&gt;!&amp;F{"</f>
        <v>#VALUE!</v>
      </c>
      <c r="GN104" t="e">
        <f>'All regions'!J2605+"n/&gt;!&amp;F|"</f>
        <v>#VALUE!</v>
      </c>
      <c r="GO104" t="e">
        <f>'All regions'!A2606+"n/&gt;!&amp;F}"</f>
        <v>#VALUE!</v>
      </c>
      <c r="GP104" t="e">
        <f>'All regions'!B2606+"n/&gt;!&amp;F~"</f>
        <v>#VALUE!</v>
      </c>
      <c r="GQ104" t="e">
        <f>'All regions'!C2606+"n/&gt;!&amp;G#"</f>
        <v>#VALUE!</v>
      </c>
      <c r="GR104" t="e">
        <f>'All regions'!D2606+"n/&gt;!&amp;G$"</f>
        <v>#VALUE!</v>
      </c>
      <c r="GS104" t="e">
        <f>'All regions'!E2606+"n/&gt;!&amp;G%"</f>
        <v>#VALUE!</v>
      </c>
      <c r="GT104" t="e">
        <f>'All regions'!F2606+"n/&gt;!&amp;G&amp;"</f>
        <v>#VALUE!</v>
      </c>
      <c r="GU104" t="e">
        <f>'All regions'!G2606+"n/&gt;!&amp;G'"</f>
        <v>#VALUE!</v>
      </c>
      <c r="GV104" t="e">
        <f>'All regions'!H2606+"n/&gt;!&amp;G("</f>
        <v>#VALUE!</v>
      </c>
      <c r="GW104" t="e">
        <f>'All regions'!I2606+"n/&gt;!&amp;G)"</f>
        <v>#VALUE!</v>
      </c>
      <c r="GX104" t="e">
        <f>'All regions'!J2606+"n/&gt;!&amp;G."</f>
        <v>#VALUE!</v>
      </c>
      <c r="GY104" t="e">
        <f>'All regions'!A2607+"n/&gt;!&amp;G/"</f>
        <v>#VALUE!</v>
      </c>
      <c r="GZ104" t="e">
        <f>'All regions'!B2607+"n/&gt;!&amp;G0"</f>
        <v>#VALUE!</v>
      </c>
      <c r="HA104" t="e">
        <f>'All regions'!C2607+"n/&gt;!&amp;G1"</f>
        <v>#VALUE!</v>
      </c>
      <c r="HB104" t="e">
        <f>'All regions'!D2607+"n/&gt;!&amp;G2"</f>
        <v>#VALUE!</v>
      </c>
      <c r="HC104" t="e">
        <f>'All regions'!E2607+"n/&gt;!&amp;G3"</f>
        <v>#VALUE!</v>
      </c>
      <c r="HD104" t="e">
        <f>'All regions'!F2607+"n/&gt;!&amp;G4"</f>
        <v>#VALUE!</v>
      </c>
      <c r="HE104" t="e">
        <f>'All regions'!G2607+"n/&gt;!&amp;G5"</f>
        <v>#VALUE!</v>
      </c>
      <c r="HF104" t="e">
        <f>'All regions'!H2607+"n/&gt;!&amp;G6"</f>
        <v>#VALUE!</v>
      </c>
      <c r="HG104" t="e">
        <f>'All regions'!I2607+"n/&gt;!&amp;G7"</f>
        <v>#VALUE!</v>
      </c>
      <c r="HH104" t="e">
        <f>'All regions'!J2607+"n/&gt;!&amp;G8"</f>
        <v>#VALUE!</v>
      </c>
      <c r="HI104" t="e">
        <f>'All regions'!A2608+"n/&gt;!&amp;G9"</f>
        <v>#VALUE!</v>
      </c>
      <c r="HJ104" t="e">
        <f>'All regions'!B2608+"n/&gt;!&amp;G:"</f>
        <v>#VALUE!</v>
      </c>
      <c r="HK104" t="e">
        <f>'All regions'!C2608+"n/&gt;!&amp;G;"</f>
        <v>#VALUE!</v>
      </c>
      <c r="HL104" t="e">
        <f>'All regions'!D2608+"n/&gt;!&amp;G&lt;"</f>
        <v>#VALUE!</v>
      </c>
      <c r="HM104" t="e">
        <f>'All regions'!E2608+"n/&gt;!&amp;G="</f>
        <v>#VALUE!</v>
      </c>
      <c r="HN104" t="e">
        <f>'All regions'!F2608+"n/&gt;!&amp;G&gt;"</f>
        <v>#VALUE!</v>
      </c>
      <c r="HO104" t="e">
        <f>'All regions'!G2608+"n/&gt;!&amp;G?"</f>
        <v>#VALUE!</v>
      </c>
      <c r="HP104" t="e">
        <f>'All regions'!H2608+"n/&gt;!&amp;G@"</f>
        <v>#VALUE!</v>
      </c>
      <c r="HQ104" t="e">
        <f>'All regions'!I2608+"n/&gt;!&amp;GA"</f>
        <v>#VALUE!</v>
      </c>
      <c r="HR104" t="e">
        <f>'All regions'!J2608+"n/&gt;!&amp;GB"</f>
        <v>#VALUE!</v>
      </c>
      <c r="HS104" t="e">
        <f>'All regions'!A2609+"n/&gt;!&amp;GC"</f>
        <v>#VALUE!</v>
      </c>
      <c r="HT104" t="e">
        <f>'All regions'!B2609+"n/&gt;!&amp;GD"</f>
        <v>#VALUE!</v>
      </c>
      <c r="HU104" t="e">
        <f>'All regions'!C2609+"n/&gt;!&amp;GE"</f>
        <v>#VALUE!</v>
      </c>
      <c r="HV104" t="e">
        <f>'All regions'!D2609+"n/&gt;!&amp;GF"</f>
        <v>#VALUE!</v>
      </c>
      <c r="HW104" t="e">
        <f>'All regions'!E2609+"n/&gt;!&amp;GG"</f>
        <v>#VALUE!</v>
      </c>
      <c r="HX104" t="e">
        <f>'All regions'!F2609+"n/&gt;!&amp;GH"</f>
        <v>#VALUE!</v>
      </c>
      <c r="HY104" t="e">
        <f>'All regions'!G2609+"n/&gt;!&amp;GI"</f>
        <v>#VALUE!</v>
      </c>
      <c r="HZ104" t="e">
        <f>'All regions'!H2609+"n/&gt;!&amp;GJ"</f>
        <v>#VALUE!</v>
      </c>
      <c r="IA104" t="e">
        <f>'All regions'!I2609+"n/&gt;!&amp;GK"</f>
        <v>#VALUE!</v>
      </c>
      <c r="IB104" t="e">
        <f>'All regions'!J2609+"n/&gt;!&amp;GL"</f>
        <v>#VALUE!</v>
      </c>
      <c r="IC104" t="e">
        <f>'All regions'!A2610+"n/&gt;!&amp;GM"</f>
        <v>#VALUE!</v>
      </c>
      <c r="ID104" t="e">
        <f>'All regions'!B2610+"n/&gt;!&amp;GN"</f>
        <v>#VALUE!</v>
      </c>
      <c r="IE104" t="e">
        <f>'All regions'!C2610+"n/&gt;!&amp;GO"</f>
        <v>#VALUE!</v>
      </c>
      <c r="IF104" t="e">
        <f>'All regions'!D2610+"n/&gt;!&amp;GP"</f>
        <v>#VALUE!</v>
      </c>
      <c r="IG104" t="e">
        <f>'All regions'!E2610+"n/&gt;!&amp;GQ"</f>
        <v>#VALUE!</v>
      </c>
      <c r="IH104" t="e">
        <f>'All regions'!F2610+"n/&gt;!&amp;GR"</f>
        <v>#VALUE!</v>
      </c>
      <c r="II104" t="e">
        <f>'All regions'!G2610+"n/&gt;!&amp;GS"</f>
        <v>#VALUE!</v>
      </c>
      <c r="IJ104" t="e">
        <f>'All regions'!H2610+"n/&gt;!&amp;GT"</f>
        <v>#VALUE!</v>
      </c>
      <c r="IK104" t="e">
        <f>'All regions'!I2610+"n/&gt;!&amp;GU"</f>
        <v>#VALUE!</v>
      </c>
      <c r="IL104" t="e">
        <f>'All regions'!J2610+"n/&gt;!&amp;GV"</f>
        <v>#VALUE!</v>
      </c>
      <c r="IM104" t="e">
        <f>'All regions'!A2611+"n/&gt;!&amp;GW"</f>
        <v>#VALUE!</v>
      </c>
      <c r="IN104" t="e">
        <f>'All regions'!B2611+"n/&gt;!&amp;GX"</f>
        <v>#VALUE!</v>
      </c>
      <c r="IO104" t="e">
        <f>'All regions'!C2611+"n/&gt;!&amp;GY"</f>
        <v>#VALUE!</v>
      </c>
      <c r="IP104" t="e">
        <f>'All regions'!D2611+"n/&gt;!&amp;GZ"</f>
        <v>#VALUE!</v>
      </c>
      <c r="IQ104" t="e">
        <f>'All regions'!E2611+"n/&gt;!&amp;G["</f>
        <v>#VALUE!</v>
      </c>
      <c r="IR104" t="e">
        <f>'All regions'!F2611+"n/&gt;!&amp;G\"</f>
        <v>#VALUE!</v>
      </c>
      <c r="IS104" t="e">
        <f>'All regions'!G2611+"n/&gt;!&amp;G]"</f>
        <v>#VALUE!</v>
      </c>
      <c r="IT104" t="e">
        <f>'All regions'!H2611+"n/&gt;!&amp;G^"</f>
        <v>#VALUE!</v>
      </c>
      <c r="IU104" t="e">
        <f>'All regions'!I2611+"n/&gt;!&amp;G_"</f>
        <v>#VALUE!</v>
      </c>
      <c r="IV104" t="e">
        <f>'All regions'!J2611+"n/&gt;!&amp;G`"</f>
        <v>#VALUE!</v>
      </c>
    </row>
    <row r="105" spans="6:256" x14ac:dyDescent="0.35">
      <c r="F105" t="e">
        <f>'All regions'!A2612+"n/&gt;!&amp;Ga"</f>
        <v>#VALUE!</v>
      </c>
      <c r="G105" t="e">
        <f>'All regions'!B2612+"n/&gt;!&amp;Gb"</f>
        <v>#VALUE!</v>
      </c>
      <c r="H105" t="e">
        <f>'All regions'!C2612+"n/&gt;!&amp;Gc"</f>
        <v>#VALUE!</v>
      </c>
      <c r="I105" t="e">
        <f>'All regions'!D2612+"n/&gt;!&amp;Gd"</f>
        <v>#VALUE!</v>
      </c>
      <c r="J105" t="e">
        <f>'All regions'!E2612+"n/&gt;!&amp;Ge"</f>
        <v>#VALUE!</v>
      </c>
      <c r="K105" t="e">
        <f>'All regions'!F2612+"n/&gt;!&amp;Gf"</f>
        <v>#VALUE!</v>
      </c>
      <c r="L105" t="e">
        <f>'All regions'!G2612+"n/&gt;!&amp;Gg"</f>
        <v>#VALUE!</v>
      </c>
      <c r="M105" t="e">
        <f>'All regions'!H2612+"n/&gt;!&amp;Gh"</f>
        <v>#VALUE!</v>
      </c>
      <c r="N105" t="e">
        <f>'All regions'!I2612+"n/&gt;!&amp;Gi"</f>
        <v>#VALUE!</v>
      </c>
      <c r="O105" t="e">
        <f>'All regions'!J2612+"n/&gt;!&amp;Gj"</f>
        <v>#VALUE!</v>
      </c>
      <c r="P105" t="e">
        <f>'All regions'!A2613+"n/&gt;!&amp;Gk"</f>
        <v>#VALUE!</v>
      </c>
      <c r="Q105" t="e">
        <f>'All regions'!B2613+"n/&gt;!&amp;Gl"</f>
        <v>#VALUE!</v>
      </c>
      <c r="R105" t="e">
        <f>'All regions'!C2613+"n/&gt;!&amp;Gm"</f>
        <v>#VALUE!</v>
      </c>
      <c r="S105" t="e">
        <f>'All regions'!D2613+"n/&gt;!&amp;Gn"</f>
        <v>#VALUE!</v>
      </c>
      <c r="T105" t="e">
        <f>'All regions'!E2613+"n/&gt;!&amp;Go"</f>
        <v>#VALUE!</v>
      </c>
      <c r="U105" t="e">
        <f>'All regions'!F2613+"n/&gt;!&amp;Gp"</f>
        <v>#VALUE!</v>
      </c>
      <c r="V105" t="e">
        <f>'All regions'!G2613+"n/&gt;!&amp;Gq"</f>
        <v>#VALUE!</v>
      </c>
      <c r="W105" t="e">
        <f>'All regions'!H2613+"n/&gt;!&amp;Gr"</f>
        <v>#VALUE!</v>
      </c>
      <c r="X105" t="e">
        <f>'All regions'!I2613+"n/&gt;!&amp;Gs"</f>
        <v>#VALUE!</v>
      </c>
      <c r="Y105" t="e">
        <f>'All regions'!J2613+"n/&gt;!&amp;Gt"</f>
        <v>#VALUE!</v>
      </c>
      <c r="Z105" t="e">
        <f>'All regions'!A2614+"n/&gt;!&amp;Gu"</f>
        <v>#VALUE!</v>
      </c>
      <c r="AA105" t="e">
        <f>'All regions'!B2614+"n/&gt;!&amp;Gv"</f>
        <v>#VALUE!</v>
      </c>
      <c r="AB105" t="e">
        <f>'All regions'!C2614+"n/&gt;!&amp;Gw"</f>
        <v>#VALUE!</v>
      </c>
      <c r="AC105" t="e">
        <f>'All regions'!D2614+"n/&gt;!&amp;Gx"</f>
        <v>#VALUE!</v>
      </c>
      <c r="AD105" t="e">
        <f>'All regions'!E2614+"n/&gt;!&amp;Gy"</f>
        <v>#VALUE!</v>
      </c>
      <c r="AE105" t="e">
        <f>'All regions'!F2614+"n/&gt;!&amp;Gz"</f>
        <v>#VALUE!</v>
      </c>
      <c r="AF105" t="e">
        <f>'All regions'!G2614+"n/&gt;!&amp;G{"</f>
        <v>#VALUE!</v>
      </c>
      <c r="AG105" t="e">
        <f>'All regions'!H2614+"n/&gt;!&amp;G|"</f>
        <v>#VALUE!</v>
      </c>
      <c r="AH105" t="e">
        <f>'All regions'!I2614+"n/&gt;!&amp;G}"</f>
        <v>#VALUE!</v>
      </c>
      <c r="AI105" t="e">
        <f>'All regions'!J2614+"n/&gt;!&amp;G~"</f>
        <v>#VALUE!</v>
      </c>
      <c r="AJ105" t="e">
        <f>'All regions'!A2615+"n/&gt;!&amp;H#"</f>
        <v>#VALUE!</v>
      </c>
      <c r="AK105" t="e">
        <f>'All regions'!B2615+"n/&gt;!&amp;H$"</f>
        <v>#VALUE!</v>
      </c>
      <c r="AL105" t="e">
        <f>'All regions'!C2615+"n/&gt;!&amp;H%"</f>
        <v>#VALUE!</v>
      </c>
      <c r="AM105" t="e">
        <f>'All regions'!D2615+"n/&gt;!&amp;H&amp;"</f>
        <v>#VALUE!</v>
      </c>
      <c r="AN105" t="e">
        <f>'All regions'!E2615+"n/&gt;!&amp;H'"</f>
        <v>#VALUE!</v>
      </c>
      <c r="AO105" t="e">
        <f>'All regions'!F2615+"n/&gt;!&amp;H("</f>
        <v>#VALUE!</v>
      </c>
      <c r="AP105" t="e">
        <f>'All regions'!G2615+"n/&gt;!&amp;H)"</f>
        <v>#VALUE!</v>
      </c>
      <c r="AQ105" t="e">
        <f>'All regions'!H2615+"n/&gt;!&amp;H."</f>
        <v>#VALUE!</v>
      </c>
      <c r="AR105" t="e">
        <f>'All regions'!I2615+"n/&gt;!&amp;H/"</f>
        <v>#VALUE!</v>
      </c>
      <c r="AS105" t="e">
        <f>'All regions'!J2615+"n/&gt;!&amp;H0"</f>
        <v>#VALUE!</v>
      </c>
      <c r="AT105" t="e">
        <f>'All regions'!A2616+"n/&gt;!&amp;H1"</f>
        <v>#VALUE!</v>
      </c>
      <c r="AU105" t="e">
        <f>'All regions'!B2616+"n/&gt;!&amp;H2"</f>
        <v>#VALUE!</v>
      </c>
      <c r="AV105" t="e">
        <f>'All regions'!C2616+"n/&gt;!&amp;H3"</f>
        <v>#VALUE!</v>
      </c>
      <c r="AW105" t="e">
        <f>'All regions'!D2616+"n/&gt;!&amp;H4"</f>
        <v>#VALUE!</v>
      </c>
      <c r="AX105" t="e">
        <f>'All regions'!E2616+"n/&gt;!&amp;H5"</f>
        <v>#VALUE!</v>
      </c>
      <c r="AY105" t="e">
        <f>'All regions'!F2616+"n/&gt;!&amp;H6"</f>
        <v>#VALUE!</v>
      </c>
      <c r="AZ105" t="e">
        <f>'All regions'!G2616+"n/&gt;!&amp;H7"</f>
        <v>#VALUE!</v>
      </c>
      <c r="BA105" t="e">
        <f>'All regions'!H2616+"n/&gt;!&amp;H8"</f>
        <v>#VALUE!</v>
      </c>
      <c r="BB105" t="e">
        <f>'All regions'!I2616+"n/&gt;!&amp;H9"</f>
        <v>#VALUE!</v>
      </c>
      <c r="BC105" t="e">
        <f>'All regions'!J2616+"n/&gt;!&amp;H:"</f>
        <v>#VALUE!</v>
      </c>
      <c r="BD105" t="e">
        <f>'All regions'!A2617+"n/&gt;!&amp;H;"</f>
        <v>#VALUE!</v>
      </c>
      <c r="BE105" t="e">
        <f>'All regions'!B2617+"n/&gt;!&amp;H&lt;"</f>
        <v>#VALUE!</v>
      </c>
      <c r="BF105" t="e">
        <f>'All regions'!C2617+"n/&gt;!&amp;H="</f>
        <v>#VALUE!</v>
      </c>
      <c r="BG105" t="e">
        <f>'All regions'!D2617+"n/&gt;!&amp;H&gt;"</f>
        <v>#VALUE!</v>
      </c>
      <c r="BH105" t="e">
        <f>'All regions'!E2617+"n/&gt;!&amp;H?"</f>
        <v>#VALUE!</v>
      </c>
      <c r="BI105" t="e">
        <f>'All regions'!F2617+"n/&gt;!&amp;H@"</f>
        <v>#VALUE!</v>
      </c>
      <c r="BJ105" t="e">
        <f>'All regions'!G2617+"n/&gt;!&amp;HA"</f>
        <v>#VALUE!</v>
      </c>
      <c r="BK105" t="e">
        <f>'All regions'!H2617+"n/&gt;!&amp;HB"</f>
        <v>#VALUE!</v>
      </c>
      <c r="BL105" t="e">
        <f>'All regions'!I2617+"n/&gt;!&amp;HC"</f>
        <v>#VALUE!</v>
      </c>
      <c r="BM105" t="e">
        <f>'All regions'!J2617+"n/&gt;!&amp;HD"</f>
        <v>#VALUE!</v>
      </c>
      <c r="BN105" t="e">
        <f>'All regions'!A2618+"n/&gt;!&amp;HE"</f>
        <v>#VALUE!</v>
      </c>
      <c r="BO105" t="e">
        <f>'All regions'!B2618+"n/&gt;!&amp;HF"</f>
        <v>#VALUE!</v>
      </c>
      <c r="BP105" t="e">
        <f>'All regions'!C2618+"n/&gt;!&amp;HG"</f>
        <v>#VALUE!</v>
      </c>
      <c r="BQ105" t="e">
        <f>'All regions'!D2618+"n/&gt;!&amp;HH"</f>
        <v>#VALUE!</v>
      </c>
      <c r="BR105" t="e">
        <f>'All regions'!E2618+"n/&gt;!&amp;HI"</f>
        <v>#VALUE!</v>
      </c>
      <c r="BS105" t="e">
        <f>'All regions'!F2618+"n/&gt;!&amp;HJ"</f>
        <v>#VALUE!</v>
      </c>
      <c r="BT105" t="e">
        <f>'All regions'!G2618+"n/&gt;!&amp;HK"</f>
        <v>#VALUE!</v>
      </c>
      <c r="BU105" t="e">
        <f>'All regions'!H2618+"n/&gt;!&amp;HL"</f>
        <v>#VALUE!</v>
      </c>
      <c r="BV105" t="e">
        <f>'All regions'!I2618+"n/&gt;!&amp;HM"</f>
        <v>#VALUE!</v>
      </c>
      <c r="BW105" t="e">
        <f>'All regions'!J2618+"n/&gt;!&amp;HN"</f>
        <v>#VALUE!</v>
      </c>
      <c r="BX105" t="e">
        <f>'All regions'!A2619+"n/&gt;!&amp;HO"</f>
        <v>#VALUE!</v>
      </c>
      <c r="BY105" t="e">
        <f>'All regions'!B2619+"n/&gt;!&amp;HP"</f>
        <v>#VALUE!</v>
      </c>
      <c r="BZ105" t="e">
        <f>'All regions'!C2619+"n/&gt;!&amp;HQ"</f>
        <v>#VALUE!</v>
      </c>
      <c r="CA105" t="e">
        <f>'All regions'!D2619+"n/&gt;!&amp;HR"</f>
        <v>#VALUE!</v>
      </c>
      <c r="CB105" t="e">
        <f>'All regions'!E2619+"n/&gt;!&amp;HS"</f>
        <v>#VALUE!</v>
      </c>
      <c r="CC105" t="e">
        <f>'All regions'!F2619+"n/&gt;!&amp;HT"</f>
        <v>#VALUE!</v>
      </c>
      <c r="CD105" t="e">
        <f>'All regions'!G2619+"n/&gt;!&amp;HU"</f>
        <v>#VALUE!</v>
      </c>
      <c r="CE105" t="e">
        <f>'All regions'!H2619+"n/&gt;!&amp;HV"</f>
        <v>#VALUE!</v>
      </c>
      <c r="CF105" t="e">
        <f>'All regions'!I2619+"n/&gt;!&amp;HW"</f>
        <v>#VALUE!</v>
      </c>
      <c r="CG105" t="e">
        <f>'All regions'!J2619+"n/&gt;!&amp;HX"</f>
        <v>#VALUE!</v>
      </c>
      <c r="CH105" t="e">
        <f>'All regions'!A2620+"n/&gt;!&amp;HY"</f>
        <v>#VALUE!</v>
      </c>
      <c r="CI105" t="e">
        <f>'All regions'!B2620+"n/&gt;!&amp;HZ"</f>
        <v>#VALUE!</v>
      </c>
      <c r="CJ105" t="e">
        <f>'All regions'!C2620+"n/&gt;!&amp;H["</f>
        <v>#VALUE!</v>
      </c>
      <c r="CK105" t="e">
        <f>'All regions'!D2620+"n/&gt;!&amp;H\"</f>
        <v>#VALUE!</v>
      </c>
      <c r="CL105" t="e">
        <f>'All regions'!E2620+"n/&gt;!&amp;H]"</f>
        <v>#VALUE!</v>
      </c>
      <c r="CM105" t="e">
        <f>'All regions'!F2620+"n/&gt;!&amp;H^"</f>
        <v>#VALUE!</v>
      </c>
      <c r="CN105" t="e">
        <f>'All regions'!G2620+"n/&gt;!&amp;H_"</f>
        <v>#VALUE!</v>
      </c>
      <c r="CO105" t="e">
        <f>'All regions'!H2620+"n/&gt;!&amp;H`"</f>
        <v>#VALUE!</v>
      </c>
      <c r="CP105" t="e">
        <f>'All regions'!I2620+"n/&gt;!&amp;Ha"</f>
        <v>#VALUE!</v>
      </c>
      <c r="CQ105" t="e">
        <f>'All regions'!J2620+"n/&gt;!&amp;Hb"</f>
        <v>#VALUE!</v>
      </c>
      <c r="CR105" t="e">
        <f>'All regions'!A2621+"n/&gt;!&amp;Hc"</f>
        <v>#VALUE!</v>
      </c>
      <c r="CS105" t="e">
        <f>'All regions'!B2621+"n/&gt;!&amp;Hd"</f>
        <v>#VALUE!</v>
      </c>
      <c r="CT105" t="e">
        <f>'All regions'!C2621+"n/&gt;!&amp;He"</f>
        <v>#VALUE!</v>
      </c>
      <c r="CU105" t="e">
        <f>'All regions'!D2621+"n/&gt;!&amp;Hf"</f>
        <v>#VALUE!</v>
      </c>
      <c r="CV105" t="e">
        <f>'All regions'!E2621+"n/&gt;!&amp;Hg"</f>
        <v>#VALUE!</v>
      </c>
      <c r="CW105" t="e">
        <f>'All regions'!F2621+"n/&gt;!&amp;Hh"</f>
        <v>#VALUE!</v>
      </c>
      <c r="CX105" t="e">
        <f>'All regions'!G2621+"n/&gt;!&amp;Hi"</f>
        <v>#VALUE!</v>
      </c>
      <c r="CY105" t="e">
        <f>'All regions'!H2621+"n/&gt;!&amp;Hj"</f>
        <v>#VALUE!</v>
      </c>
      <c r="CZ105" t="e">
        <f>'All regions'!I2621+"n/&gt;!&amp;Hk"</f>
        <v>#VALUE!</v>
      </c>
      <c r="DA105" t="e">
        <f>'All regions'!J2621+"n/&gt;!&amp;Hl"</f>
        <v>#VALUE!</v>
      </c>
      <c r="DB105" t="e">
        <f>'All regions'!A2622+"n/&gt;!&amp;Hm"</f>
        <v>#VALUE!</v>
      </c>
      <c r="DC105" t="e">
        <f>'All regions'!B2622+"n/&gt;!&amp;Hn"</f>
        <v>#VALUE!</v>
      </c>
      <c r="DD105" t="e">
        <f>'All regions'!C2622+"n/&gt;!&amp;Ho"</f>
        <v>#VALUE!</v>
      </c>
      <c r="DE105" t="e">
        <f>'All regions'!D2622+"n/&gt;!&amp;Hp"</f>
        <v>#VALUE!</v>
      </c>
      <c r="DF105" t="e">
        <f>'All regions'!E2622+"n/&gt;!&amp;Hq"</f>
        <v>#VALUE!</v>
      </c>
      <c r="DG105" t="e">
        <f>'All regions'!F2622+"n/&gt;!&amp;Hr"</f>
        <v>#VALUE!</v>
      </c>
      <c r="DH105" t="e">
        <f>'All regions'!G2622+"n/&gt;!&amp;Hs"</f>
        <v>#VALUE!</v>
      </c>
      <c r="DI105" t="e">
        <f>'All regions'!H2622+"n/&gt;!&amp;Ht"</f>
        <v>#VALUE!</v>
      </c>
      <c r="DJ105" t="e">
        <f>'All regions'!I2622+"n/&gt;!&amp;Hu"</f>
        <v>#VALUE!</v>
      </c>
      <c r="DK105" t="e">
        <f>'All regions'!J2622+"n/&gt;!&amp;Hv"</f>
        <v>#VALUE!</v>
      </c>
      <c r="DL105" t="e">
        <f>'All regions'!A2623+"n/&gt;!&amp;Hw"</f>
        <v>#VALUE!</v>
      </c>
      <c r="DM105" t="e">
        <f>'All regions'!B2623+"n/&gt;!&amp;Hx"</f>
        <v>#VALUE!</v>
      </c>
      <c r="DN105" t="e">
        <f>'All regions'!C2623+"n/&gt;!&amp;Hy"</f>
        <v>#VALUE!</v>
      </c>
      <c r="DO105" t="e">
        <f>'All regions'!D2623+"n/&gt;!&amp;Hz"</f>
        <v>#VALUE!</v>
      </c>
      <c r="DP105" t="e">
        <f>'All regions'!E2623+"n/&gt;!&amp;H{"</f>
        <v>#VALUE!</v>
      </c>
      <c r="DQ105" t="e">
        <f>'All regions'!F2623+"n/&gt;!&amp;H|"</f>
        <v>#VALUE!</v>
      </c>
      <c r="DR105" t="e">
        <f>'All regions'!G2623+"n/&gt;!&amp;H}"</f>
        <v>#VALUE!</v>
      </c>
      <c r="DS105" t="e">
        <f>'All regions'!H2623+"n/&gt;!&amp;H~"</f>
        <v>#VALUE!</v>
      </c>
      <c r="DT105" t="e">
        <f>'All regions'!I2623+"n/&gt;!&amp;I#"</f>
        <v>#VALUE!</v>
      </c>
      <c r="DU105" t="e">
        <f>'All regions'!J2623+"n/&gt;!&amp;I$"</f>
        <v>#VALUE!</v>
      </c>
      <c r="DV105" t="e">
        <f>'All regions'!A2624+"n/&gt;!&amp;I%"</f>
        <v>#VALUE!</v>
      </c>
      <c r="DW105" t="e">
        <f>'All regions'!B2624+"n/&gt;!&amp;I&amp;"</f>
        <v>#VALUE!</v>
      </c>
      <c r="DX105" t="e">
        <f>'All regions'!C2624+"n/&gt;!&amp;I'"</f>
        <v>#VALUE!</v>
      </c>
      <c r="DY105" t="e">
        <f>'All regions'!D2624+"n/&gt;!&amp;I("</f>
        <v>#VALUE!</v>
      </c>
      <c r="DZ105" t="e">
        <f>'All regions'!E2624+"n/&gt;!&amp;I)"</f>
        <v>#VALUE!</v>
      </c>
      <c r="EA105" t="e">
        <f>'All regions'!F2624+"n/&gt;!&amp;I."</f>
        <v>#VALUE!</v>
      </c>
      <c r="EB105" t="e">
        <f>'All regions'!G2624+"n/&gt;!&amp;I/"</f>
        <v>#VALUE!</v>
      </c>
      <c r="EC105" t="e">
        <f>'All regions'!H2624+"n/&gt;!&amp;I0"</f>
        <v>#VALUE!</v>
      </c>
      <c r="ED105" t="e">
        <f>'All regions'!I2624+"n/&gt;!&amp;I1"</f>
        <v>#VALUE!</v>
      </c>
      <c r="EE105" t="e">
        <f>'All regions'!J2624+"n/&gt;!&amp;I2"</f>
        <v>#VALUE!</v>
      </c>
      <c r="EF105" t="e">
        <f>'All regions'!A2625+"n/&gt;!&amp;I3"</f>
        <v>#VALUE!</v>
      </c>
      <c r="EG105" t="e">
        <f>'All regions'!B2625+"n/&gt;!&amp;I4"</f>
        <v>#VALUE!</v>
      </c>
      <c r="EH105" t="e">
        <f>'All regions'!C2625+"n/&gt;!&amp;I5"</f>
        <v>#VALUE!</v>
      </c>
      <c r="EI105" t="e">
        <f>'All regions'!D2625+"n/&gt;!&amp;I6"</f>
        <v>#VALUE!</v>
      </c>
      <c r="EJ105" t="e">
        <f>'All regions'!E2625+"n/&gt;!&amp;I7"</f>
        <v>#VALUE!</v>
      </c>
      <c r="EK105" t="e">
        <f>'All regions'!F2625+"n/&gt;!&amp;I8"</f>
        <v>#VALUE!</v>
      </c>
      <c r="EL105" t="e">
        <f>'All regions'!G2625+"n/&gt;!&amp;I9"</f>
        <v>#VALUE!</v>
      </c>
      <c r="EM105" t="e">
        <f>'All regions'!H2625+"n/&gt;!&amp;I:"</f>
        <v>#VALUE!</v>
      </c>
      <c r="EN105" t="e">
        <f>'All regions'!I2625+"n/&gt;!&amp;I;"</f>
        <v>#VALUE!</v>
      </c>
      <c r="EO105" t="e">
        <f>'All regions'!J2625+"n/&gt;!&amp;I&lt;"</f>
        <v>#VALUE!</v>
      </c>
      <c r="EP105" t="e">
        <f>'All regions'!A2626+"n/&gt;!&amp;I="</f>
        <v>#VALUE!</v>
      </c>
      <c r="EQ105" t="e">
        <f>'All regions'!B2626+"n/&gt;!&amp;I&gt;"</f>
        <v>#VALUE!</v>
      </c>
      <c r="ER105" t="e">
        <f>'All regions'!C2626+"n/&gt;!&amp;I?"</f>
        <v>#VALUE!</v>
      </c>
      <c r="ES105" t="e">
        <f>'All regions'!D2626+"n/&gt;!&amp;I@"</f>
        <v>#VALUE!</v>
      </c>
      <c r="ET105" t="e">
        <f>'All regions'!E2626+"n/&gt;!&amp;IA"</f>
        <v>#VALUE!</v>
      </c>
      <c r="EU105" t="e">
        <f>'All regions'!F2626+"n/&gt;!&amp;IB"</f>
        <v>#VALUE!</v>
      </c>
      <c r="EV105" t="e">
        <f>'All regions'!G2626+"n/&gt;!&amp;IC"</f>
        <v>#VALUE!</v>
      </c>
      <c r="EW105" t="e">
        <f>'All regions'!H2626+"n/&gt;!&amp;ID"</f>
        <v>#VALUE!</v>
      </c>
      <c r="EX105" t="e">
        <f>'All regions'!I2626+"n/&gt;!&amp;IE"</f>
        <v>#VALUE!</v>
      </c>
      <c r="EY105" t="e">
        <f>'All regions'!J2626+"n/&gt;!&amp;IF"</f>
        <v>#VALUE!</v>
      </c>
      <c r="EZ105" t="e">
        <f>'All regions'!A2627+"n/&gt;!&amp;IG"</f>
        <v>#VALUE!</v>
      </c>
      <c r="FA105" t="e">
        <f>'All regions'!B2627+"n/&gt;!&amp;IH"</f>
        <v>#VALUE!</v>
      </c>
      <c r="FB105" t="e">
        <f>'All regions'!C2627+"n/&gt;!&amp;II"</f>
        <v>#VALUE!</v>
      </c>
      <c r="FC105" t="e">
        <f>'All regions'!D2627+"n/&gt;!&amp;IJ"</f>
        <v>#VALUE!</v>
      </c>
      <c r="FD105" t="e">
        <f>'All regions'!E2627+"n/&gt;!&amp;IK"</f>
        <v>#VALUE!</v>
      </c>
      <c r="FE105" t="e">
        <f>'All regions'!F2627+"n/&gt;!&amp;IL"</f>
        <v>#VALUE!</v>
      </c>
      <c r="FF105" t="e">
        <f>'All regions'!G2627+"n/&gt;!&amp;IM"</f>
        <v>#VALUE!</v>
      </c>
      <c r="FG105" t="e">
        <f>'All regions'!H2627+"n/&gt;!&amp;IN"</f>
        <v>#VALUE!</v>
      </c>
      <c r="FH105" t="e">
        <f>'All regions'!I2627+"n/&gt;!&amp;IO"</f>
        <v>#VALUE!</v>
      </c>
      <c r="FI105" t="e">
        <f>'All regions'!J2627+"n/&gt;!&amp;IP"</f>
        <v>#VALUE!</v>
      </c>
      <c r="FJ105" t="e">
        <f>'All regions'!A2628+"n/&gt;!&amp;IQ"</f>
        <v>#VALUE!</v>
      </c>
      <c r="FK105" t="e">
        <f>'All regions'!B2628+"n/&gt;!&amp;IR"</f>
        <v>#VALUE!</v>
      </c>
      <c r="FL105" t="e">
        <f>'All regions'!C2628+"n/&gt;!&amp;IS"</f>
        <v>#VALUE!</v>
      </c>
      <c r="FM105" t="e">
        <f>'All regions'!D2628+"n/&gt;!&amp;IT"</f>
        <v>#VALUE!</v>
      </c>
      <c r="FN105" t="e">
        <f>'All regions'!E2628+"n/&gt;!&amp;IU"</f>
        <v>#VALUE!</v>
      </c>
      <c r="FO105" t="e">
        <f>'All regions'!F2628+"n/&gt;!&amp;IV"</f>
        <v>#VALUE!</v>
      </c>
      <c r="FP105" t="e">
        <f>'All regions'!G2628+"n/&gt;!&amp;IW"</f>
        <v>#VALUE!</v>
      </c>
      <c r="FQ105" t="e">
        <f>'All regions'!H2628+"n/&gt;!&amp;IX"</f>
        <v>#VALUE!</v>
      </c>
      <c r="FR105" t="e">
        <f>'All regions'!I2628+"n/&gt;!&amp;IY"</f>
        <v>#VALUE!</v>
      </c>
      <c r="FS105" t="e">
        <f>'All regions'!J2628+"n/&gt;!&amp;IZ"</f>
        <v>#VALUE!</v>
      </c>
      <c r="FT105" t="e">
        <f>'All regions'!A2629+"n/&gt;!&amp;I["</f>
        <v>#VALUE!</v>
      </c>
      <c r="FU105" t="e">
        <f>'All regions'!B2629+"n/&gt;!&amp;I\"</f>
        <v>#VALUE!</v>
      </c>
      <c r="FV105" t="e">
        <f>'All regions'!C2629+"n/&gt;!&amp;I]"</f>
        <v>#VALUE!</v>
      </c>
      <c r="FW105" t="e">
        <f>'All regions'!D2629+"n/&gt;!&amp;I^"</f>
        <v>#VALUE!</v>
      </c>
      <c r="FX105" t="e">
        <f>'All regions'!E2629+"n/&gt;!&amp;I_"</f>
        <v>#VALUE!</v>
      </c>
      <c r="FY105" t="e">
        <f>'All regions'!F2629+"n/&gt;!&amp;I`"</f>
        <v>#VALUE!</v>
      </c>
      <c r="FZ105" t="e">
        <f>'All regions'!G2629+"n/&gt;!&amp;Ia"</f>
        <v>#VALUE!</v>
      </c>
      <c r="GA105" t="e">
        <f>'All regions'!H2629+"n/&gt;!&amp;Ib"</f>
        <v>#VALUE!</v>
      </c>
      <c r="GB105" t="e">
        <f>'All regions'!I2629+"n/&gt;!&amp;Ic"</f>
        <v>#VALUE!</v>
      </c>
      <c r="GC105" t="e">
        <f>'All regions'!J2629+"n/&gt;!&amp;Id"</f>
        <v>#VALUE!</v>
      </c>
      <c r="GD105" t="e">
        <f>'All regions'!A2630+"n/&gt;!&amp;Ie"</f>
        <v>#VALUE!</v>
      </c>
      <c r="GE105" t="e">
        <f>'All regions'!B2630+"n/&gt;!&amp;If"</f>
        <v>#VALUE!</v>
      </c>
      <c r="GF105" t="e">
        <f>'All regions'!C2630+"n/&gt;!&amp;Ig"</f>
        <v>#VALUE!</v>
      </c>
      <c r="GG105" t="e">
        <f>'All regions'!D2630+"n/&gt;!&amp;Ih"</f>
        <v>#VALUE!</v>
      </c>
      <c r="GH105" t="e">
        <f>'All regions'!E2630+"n/&gt;!&amp;Ii"</f>
        <v>#VALUE!</v>
      </c>
      <c r="GI105" t="e">
        <f>'All regions'!F2630+"n/&gt;!&amp;Ij"</f>
        <v>#VALUE!</v>
      </c>
      <c r="GJ105" t="e">
        <f>'All regions'!G2630+"n/&gt;!&amp;Ik"</f>
        <v>#VALUE!</v>
      </c>
      <c r="GK105" t="e">
        <f>'All regions'!H2630+"n/&gt;!&amp;Il"</f>
        <v>#VALUE!</v>
      </c>
      <c r="GL105" t="e">
        <f>'All regions'!I2630+"n/&gt;!&amp;Im"</f>
        <v>#VALUE!</v>
      </c>
      <c r="GM105" t="e">
        <f>'All regions'!J2630+"n/&gt;!&amp;In"</f>
        <v>#VALUE!</v>
      </c>
      <c r="GN105" t="e">
        <f>'All regions'!A2631+"n/&gt;!&amp;Io"</f>
        <v>#VALUE!</v>
      </c>
      <c r="GO105" t="e">
        <f>'All regions'!B2631+"n/&gt;!&amp;Ip"</f>
        <v>#VALUE!</v>
      </c>
      <c r="GP105" t="e">
        <f>'All regions'!C2631+"n/&gt;!&amp;Iq"</f>
        <v>#VALUE!</v>
      </c>
      <c r="GQ105" t="e">
        <f>'All regions'!D2631+"n/&gt;!&amp;Ir"</f>
        <v>#VALUE!</v>
      </c>
      <c r="GR105" t="e">
        <f>'All regions'!E2631+"n/&gt;!&amp;Is"</f>
        <v>#VALUE!</v>
      </c>
      <c r="GS105" t="e">
        <f>'All regions'!F2631+"n/&gt;!&amp;It"</f>
        <v>#VALUE!</v>
      </c>
      <c r="GT105" t="e">
        <f>'All regions'!G2631+"n/&gt;!&amp;Iu"</f>
        <v>#VALUE!</v>
      </c>
      <c r="GU105" t="e">
        <f>'All regions'!H2631+"n/&gt;!&amp;Iv"</f>
        <v>#VALUE!</v>
      </c>
      <c r="GV105" t="e">
        <f>'All regions'!I2631+"n/&gt;!&amp;Iw"</f>
        <v>#VALUE!</v>
      </c>
      <c r="GW105" t="e">
        <f>'All regions'!J2631+"n/&gt;!&amp;Ix"</f>
        <v>#VALUE!</v>
      </c>
      <c r="GX105" t="e">
        <f>'All regions'!A2632+"n/&gt;!&amp;Iy"</f>
        <v>#VALUE!</v>
      </c>
      <c r="GY105" t="e">
        <f>'All regions'!B2632+"n/&gt;!&amp;Iz"</f>
        <v>#VALUE!</v>
      </c>
      <c r="GZ105" t="e">
        <f>'All regions'!C2632+"n/&gt;!&amp;I{"</f>
        <v>#VALUE!</v>
      </c>
      <c r="HA105" t="e">
        <f>'All regions'!D2632+"n/&gt;!&amp;I|"</f>
        <v>#VALUE!</v>
      </c>
      <c r="HB105" t="e">
        <f>'All regions'!E2632+"n/&gt;!&amp;I}"</f>
        <v>#VALUE!</v>
      </c>
      <c r="HC105" t="e">
        <f>'All regions'!F2632+"n/&gt;!&amp;I~"</f>
        <v>#VALUE!</v>
      </c>
      <c r="HD105" t="e">
        <f>'All regions'!G2632+"n/&gt;!&amp;J#"</f>
        <v>#VALUE!</v>
      </c>
      <c r="HE105" t="e">
        <f>'All regions'!H2632+"n/&gt;!&amp;J$"</f>
        <v>#VALUE!</v>
      </c>
      <c r="HF105" t="e">
        <f>'All regions'!I2632+"n/&gt;!&amp;J%"</f>
        <v>#VALUE!</v>
      </c>
      <c r="HG105" t="e">
        <f>'All regions'!J2632+"n/&gt;!&amp;J&amp;"</f>
        <v>#VALUE!</v>
      </c>
      <c r="HH105" t="e">
        <f>'All regions'!A2633+"n/&gt;!&amp;J'"</f>
        <v>#VALUE!</v>
      </c>
      <c r="HI105" t="e">
        <f>'All regions'!B2633+"n/&gt;!&amp;J("</f>
        <v>#VALUE!</v>
      </c>
      <c r="HJ105" t="e">
        <f>'All regions'!C2633+"n/&gt;!&amp;J)"</f>
        <v>#VALUE!</v>
      </c>
      <c r="HK105" t="e">
        <f>'All regions'!D2633+"n/&gt;!&amp;J."</f>
        <v>#VALUE!</v>
      </c>
      <c r="HL105" t="e">
        <f>'All regions'!E2633+"n/&gt;!&amp;J/"</f>
        <v>#VALUE!</v>
      </c>
      <c r="HM105" t="e">
        <f>'All regions'!F2633+"n/&gt;!&amp;J0"</f>
        <v>#VALUE!</v>
      </c>
      <c r="HN105" t="e">
        <f>'All regions'!G2633+"n/&gt;!&amp;J1"</f>
        <v>#VALUE!</v>
      </c>
      <c r="HO105" t="e">
        <f>'All regions'!H2633+"n/&gt;!&amp;J2"</f>
        <v>#VALUE!</v>
      </c>
      <c r="HP105" t="e">
        <f>'All regions'!I2633+"n/&gt;!&amp;J3"</f>
        <v>#VALUE!</v>
      </c>
      <c r="HQ105" t="e">
        <f>'All regions'!J2633+"n/&gt;!&amp;J4"</f>
        <v>#VALUE!</v>
      </c>
      <c r="HR105" t="e">
        <f>'All regions'!A2634+"n/&gt;!&amp;J5"</f>
        <v>#VALUE!</v>
      </c>
      <c r="HS105" t="e">
        <f>'All regions'!B2634+"n/&gt;!&amp;J6"</f>
        <v>#VALUE!</v>
      </c>
      <c r="HT105" t="e">
        <f>'All regions'!C2634+"n/&gt;!&amp;J7"</f>
        <v>#VALUE!</v>
      </c>
      <c r="HU105" t="e">
        <f>'All regions'!D2634+"n/&gt;!&amp;J8"</f>
        <v>#VALUE!</v>
      </c>
      <c r="HV105" t="e">
        <f>'All regions'!E2634+"n/&gt;!&amp;J9"</f>
        <v>#VALUE!</v>
      </c>
      <c r="HW105" t="e">
        <f>'All regions'!F2634+"n/&gt;!&amp;J:"</f>
        <v>#VALUE!</v>
      </c>
      <c r="HX105" t="e">
        <f>'All regions'!G2634+"n/&gt;!&amp;J;"</f>
        <v>#VALUE!</v>
      </c>
      <c r="HY105" t="e">
        <f>'All regions'!H2634+"n/&gt;!&amp;J&lt;"</f>
        <v>#VALUE!</v>
      </c>
      <c r="HZ105" t="e">
        <f>'All regions'!I2634+"n/&gt;!&amp;J="</f>
        <v>#VALUE!</v>
      </c>
      <c r="IA105" t="e">
        <f>'All regions'!J2634+"n/&gt;!&amp;J&gt;"</f>
        <v>#VALUE!</v>
      </c>
      <c r="IB105" t="e">
        <f>'All regions'!A2635+"n/&gt;!&amp;J?"</f>
        <v>#VALUE!</v>
      </c>
      <c r="IC105" t="e">
        <f>'All regions'!B2635+"n/&gt;!&amp;J@"</f>
        <v>#VALUE!</v>
      </c>
      <c r="ID105" t="e">
        <f>'All regions'!C2635+"n/&gt;!&amp;JA"</f>
        <v>#VALUE!</v>
      </c>
      <c r="IE105" t="e">
        <f>'All regions'!D2635+"n/&gt;!&amp;JB"</f>
        <v>#VALUE!</v>
      </c>
      <c r="IF105" t="e">
        <f>'All regions'!E2635+"n/&gt;!&amp;JC"</f>
        <v>#VALUE!</v>
      </c>
      <c r="IG105" t="e">
        <f>'All regions'!F2635+"n/&gt;!&amp;JD"</f>
        <v>#VALUE!</v>
      </c>
      <c r="IH105" t="e">
        <f>'All regions'!G2635+"n/&gt;!&amp;JE"</f>
        <v>#VALUE!</v>
      </c>
      <c r="II105" t="e">
        <f>'All regions'!H2635+"n/&gt;!&amp;JF"</f>
        <v>#VALUE!</v>
      </c>
      <c r="IJ105" t="e">
        <f>'All regions'!I2635+"n/&gt;!&amp;JG"</f>
        <v>#VALUE!</v>
      </c>
      <c r="IK105" t="e">
        <f>'All regions'!J2635+"n/&gt;!&amp;JH"</f>
        <v>#VALUE!</v>
      </c>
      <c r="IL105" t="e">
        <f>'All regions'!A2636+"n/&gt;!&amp;JI"</f>
        <v>#VALUE!</v>
      </c>
      <c r="IM105" t="e">
        <f>'All regions'!B2636+"n/&gt;!&amp;JJ"</f>
        <v>#VALUE!</v>
      </c>
      <c r="IN105" t="e">
        <f>'All regions'!C2636+"n/&gt;!&amp;JK"</f>
        <v>#VALUE!</v>
      </c>
      <c r="IO105" t="e">
        <f>'All regions'!D2636+"n/&gt;!&amp;JL"</f>
        <v>#VALUE!</v>
      </c>
      <c r="IP105" t="e">
        <f>'All regions'!E2636+"n/&gt;!&amp;JM"</f>
        <v>#VALUE!</v>
      </c>
      <c r="IQ105" t="e">
        <f>'All regions'!F2636+"n/&gt;!&amp;JN"</f>
        <v>#VALUE!</v>
      </c>
      <c r="IR105" t="e">
        <f>'All regions'!G2636+"n/&gt;!&amp;JO"</f>
        <v>#VALUE!</v>
      </c>
      <c r="IS105" t="e">
        <f>'All regions'!H2636+"n/&gt;!&amp;JP"</f>
        <v>#VALUE!</v>
      </c>
      <c r="IT105" t="e">
        <f>'All regions'!I2636+"n/&gt;!&amp;JQ"</f>
        <v>#VALUE!</v>
      </c>
      <c r="IU105" t="e">
        <f>'All regions'!J2636+"n/&gt;!&amp;JR"</f>
        <v>#VALUE!</v>
      </c>
      <c r="IV105" t="e">
        <f>'All regions'!A2637+"n/&gt;!&amp;JS"</f>
        <v>#VALUE!</v>
      </c>
    </row>
    <row r="106" spans="6:256" x14ac:dyDescent="0.35">
      <c r="F106" t="e">
        <f>'All regions'!B2637+"n/&gt;!&amp;JT"</f>
        <v>#VALUE!</v>
      </c>
      <c r="G106" t="e">
        <f>'All regions'!C2637+"n/&gt;!&amp;JU"</f>
        <v>#VALUE!</v>
      </c>
      <c r="H106" t="e">
        <f>'All regions'!D2637+"n/&gt;!&amp;JV"</f>
        <v>#VALUE!</v>
      </c>
      <c r="I106" t="e">
        <f>'All regions'!E2637+"n/&gt;!&amp;JW"</f>
        <v>#VALUE!</v>
      </c>
      <c r="J106" t="e">
        <f>'All regions'!F2637+"n/&gt;!&amp;JX"</f>
        <v>#VALUE!</v>
      </c>
      <c r="K106" t="e">
        <f>'All regions'!G2637+"n/&gt;!&amp;JY"</f>
        <v>#VALUE!</v>
      </c>
      <c r="L106" t="e">
        <f>'All regions'!H2637+"n/&gt;!&amp;JZ"</f>
        <v>#VALUE!</v>
      </c>
      <c r="M106" t="e">
        <f>'All regions'!I2637+"n/&gt;!&amp;J["</f>
        <v>#VALUE!</v>
      </c>
      <c r="N106" t="e">
        <f>'All regions'!J2637+"n/&gt;!&amp;J\"</f>
        <v>#VALUE!</v>
      </c>
      <c r="O106" t="e">
        <f>'All regions'!A2638+"n/&gt;!&amp;J]"</f>
        <v>#VALUE!</v>
      </c>
      <c r="P106" t="e">
        <f>'All regions'!B2638+"n/&gt;!&amp;J^"</f>
        <v>#VALUE!</v>
      </c>
      <c r="Q106" t="e">
        <f>'All regions'!C2638+"n/&gt;!&amp;J_"</f>
        <v>#VALUE!</v>
      </c>
      <c r="R106" t="e">
        <f>'All regions'!D2638+"n/&gt;!&amp;J`"</f>
        <v>#VALUE!</v>
      </c>
      <c r="S106" t="e">
        <f>'All regions'!E2638+"n/&gt;!&amp;Ja"</f>
        <v>#VALUE!</v>
      </c>
      <c r="T106" t="e">
        <f>'All regions'!F2638+"n/&gt;!&amp;Jb"</f>
        <v>#VALUE!</v>
      </c>
      <c r="U106" t="e">
        <f>'All regions'!G2638+"n/&gt;!&amp;Jc"</f>
        <v>#VALUE!</v>
      </c>
      <c r="V106" t="e">
        <f>'All regions'!H2638+"n/&gt;!&amp;Jd"</f>
        <v>#VALUE!</v>
      </c>
      <c r="W106" t="e">
        <f>'All regions'!I2638+"n/&gt;!&amp;Je"</f>
        <v>#VALUE!</v>
      </c>
      <c r="X106" t="e">
        <f>'All regions'!J2638+"n/&gt;!&amp;Jf"</f>
        <v>#VALUE!</v>
      </c>
      <c r="Y106" t="e">
        <f>'All regions'!A2639+"n/&gt;!&amp;Jg"</f>
        <v>#VALUE!</v>
      </c>
      <c r="Z106" t="e">
        <f>'All regions'!B2639+"n/&gt;!&amp;Jh"</f>
        <v>#VALUE!</v>
      </c>
      <c r="AA106" t="e">
        <f>'All regions'!C2639+"n/&gt;!&amp;Ji"</f>
        <v>#VALUE!</v>
      </c>
      <c r="AB106" t="e">
        <f>'All regions'!D2639+"n/&gt;!&amp;Jj"</f>
        <v>#VALUE!</v>
      </c>
      <c r="AC106" t="e">
        <f>'All regions'!E2639+"n/&gt;!&amp;Jk"</f>
        <v>#VALUE!</v>
      </c>
      <c r="AD106" t="e">
        <f>'All regions'!F2639+"n/&gt;!&amp;Jl"</f>
        <v>#VALUE!</v>
      </c>
      <c r="AE106" t="e">
        <f>'All regions'!G2639+"n/&gt;!&amp;Jm"</f>
        <v>#VALUE!</v>
      </c>
      <c r="AF106" t="e">
        <f>'All regions'!H2639+"n/&gt;!&amp;Jn"</f>
        <v>#VALUE!</v>
      </c>
      <c r="AG106" t="e">
        <f>'All regions'!I2639+"n/&gt;!&amp;Jo"</f>
        <v>#VALUE!</v>
      </c>
      <c r="AH106" t="e">
        <f>'All regions'!J2639+"n/&gt;!&amp;Jp"</f>
        <v>#VALUE!</v>
      </c>
      <c r="AI106" t="e">
        <f>'All regions'!A2640+"n/&gt;!&amp;Jq"</f>
        <v>#VALUE!</v>
      </c>
      <c r="AJ106" t="e">
        <f>'All regions'!B2640+"n/&gt;!&amp;Jr"</f>
        <v>#VALUE!</v>
      </c>
      <c r="AK106" t="e">
        <f>'All regions'!C2640+"n/&gt;!&amp;Js"</f>
        <v>#VALUE!</v>
      </c>
      <c r="AL106" t="e">
        <f>'All regions'!D2640+"n/&gt;!&amp;Jt"</f>
        <v>#VALUE!</v>
      </c>
      <c r="AM106" t="e">
        <f>'All regions'!E2640+"n/&gt;!&amp;Ju"</f>
        <v>#VALUE!</v>
      </c>
      <c r="AN106" t="e">
        <f>'All regions'!F2640+"n/&gt;!&amp;Jv"</f>
        <v>#VALUE!</v>
      </c>
      <c r="AO106" t="e">
        <f>'All regions'!G2640+"n/&gt;!&amp;Jw"</f>
        <v>#VALUE!</v>
      </c>
      <c r="AP106" t="e">
        <f>'All regions'!H2640+"n/&gt;!&amp;Jx"</f>
        <v>#VALUE!</v>
      </c>
      <c r="AQ106" t="e">
        <f>'All regions'!I2640+"n/&gt;!&amp;Jy"</f>
        <v>#VALUE!</v>
      </c>
      <c r="AR106" t="e">
        <f>'All regions'!J2640+"n/&gt;!&amp;Jz"</f>
        <v>#VALUE!</v>
      </c>
      <c r="AS106" t="e">
        <f>'All regions'!A2641+"n/&gt;!&amp;J{"</f>
        <v>#VALUE!</v>
      </c>
      <c r="AT106" t="e">
        <f>'All regions'!B2641+"n/&gt;!&amp;J|"</f>
        <v>#VALUE!</v>
      </c>
      <c r="AU106" t="e">
        <f>'All regions'!C2641+"n/&gt;!&amp;J}"</f>
        <v>#VALUE!</v>
      </c>
      <c r="AV106" t="e">
        <f>'All regions'!D2641+"n/&gt;!&amp;J~"</f>
        <v>#VALUE!</v>
      </c>
      <c r="AW106" t="e">
        <f>'All regions'!E2641+"n/&gt;!&amp;K#"</f>
        <v>#VALUE!</v>
      </c>
      <c r="AX106" t="e">
        <f>'All regions'!F2641+"n/&gt;!&amp;K$"</f>
        <v>#VALUE!</v>
      </c>
      <c r="AY106" t="e">
        <f>'All regions'!G2641+"n/&gt;!&amp;K%"</f>
        <v>#VALUE!</v>
      </c>
      <c r="AZ106" t="e">
        <f>'All regions'!H2641+"n/&gt;!&amp;K&amp;"</f>
        <v>#VALUE!</v>
      </c>
      <c r="BA106" t="e">
        <f>'All regions'!I2641+"n/&gt;!&amp;K'"</f>
        <v>#VALUE!</v>
      </c>
      <c r="BB106" t="e">
        <f>'All regions'!J2641+"n/&gt;!&amp;K("</f>
        <v>#VALUE!</v>
      </c>
      <c r="BC106" t="e">
        <f>'All regions'!A2642+"n/&gt;!&amp;K)"</f>
        <v>#VALUE!</v>
      </c>
      <c r="BD106" t="e">
        <f>'All regions'!B2642+"n/&gt;!&amp;K."</f>
        <v>#VALUE!</v>
      </c>
      <c r="BE106" t="e">
        <f>'All regions'!C2642+"n/&gt;!&amp;K/"</f>
        <v>#VALUE!</v>
      </c>
      <c r="BF106" t="e">
        <f>'All regions'!D2642+"n/&gt;!&amp;K0"</f>
        <v>#VALUE!</v>
      </c>
      <c r="BG106" t="e">
        <f>'All regions'!E2642+"n/&gt;!&amp;K1"</f>
        <v>#VALUE!</v>
      </c>
      <c r="BH106" t="e">
        <f>'All regions'!F2642+"n/&gt;!&amp;K2"</f>
        <v>#VALUE!</v>
      </c>
      <c r="BI106" t="e">
        <f>'All regions'!G2642+"n/&gt;!&amp;K3"</f>
        <v>#VALUE!</v>
      </c>
      <c r="BJ106" t="e">
        <f>'All regions'!H2642+"n/&gt;!&amp;K4"</f>
        <v>#VALUE!</v>
      </c>
      <c r="BK106" t="e">
        <f>'All regions'!I2642+"n/&gt;!&amp;K5"</f>
        <v>#VALUE!</v>
      </c>
      <c r="BL106" t="e">
        <f>'All regions'!J2642+"n/&gt;!&amp;K6"</f>
        <v>#VALUE!</v>
      </c>
      <c r="BM106" t="e">
        <f>'All regions'!A2643+"n/&gt;!&amp;K7"</f>
        <v>#VALUE!</v>
      </c>
      <c r="BN106" t="e">
        <f>'All regions'!B2643+"n/&gt;!&amp;K8"</f>
        <v>#VALUE!</v>
      </c>
      <c r="BO106" t="e">
        <f>'All regions'!C2643+"n/&gt;!&amp;K9"</f>
        <v>#VALUE!</v>
      </c>
      <c r="BP106" t="e">
        <f>'All regions'!D2643+"n/&gt;!&amp;K:"</f>
        <v>#VALUE!</v>
      </c>
      <c r="BQ106" t="e">
        <f>'All regions'!E2643+"n/&gt;!&amp;K;"</f>
        <v>#VALUE!</v>
      </c>
      <c r="BR106" t="e">
        <f>'All regions'!F2643+"n/&gt;!&amp;K&lt;"</f>
        <v>#VALUE!</v>
      </c>
      <c r="BS106" t="e">
        <f>'All regions'!G2643+"n/&gt;!&amp;K="</f>
        <v>#VALUE!</v>
      </c>
      <c r="BT106" t="e">
        <f>'All regions'!H2643+"n/&gt;!&amp;K&gt;"</f>
        <v>#VALUE!</v>
      </c>
      <c r="BU106" t="e">
        <f>'All regions'!I2643+"n/&gt;!&amp;K?"</f>
        <v>#VALUE!</v>
      </c>
      <c r="BV106" t="e">
        <f>'All regions'!J2643+"n/&gt;!&amp;K@"</f>
        <v>#VALUE!</v>
      </c>
      <c r="BW106" t="e">
        <f>'All regions'!A2644+"n/&gt;!&amp;KA"</f>
        <v>#VALUE!</v>
      </c>
      <c r="BX106" t="e">
        <f>'All regions'!B2644+"n/&gt;!&amp;KB"</f>
        <v>#VALUE!</v>
      </c>
      <c r="BY106" t="e">
        <f>'All regions'!C2644+"n/&gt;!&amp;KC"</f>
        <v>#VALUE!</v>
      </c>
      <c r="BZ106" t="e">
        <f>'All regions'!D2644+"n/&gt;!&amp;KD"</f>
        <v>#VALUE!</v>
      </c>
      <c r="CA106" t="e">
        <f>'All regions'!E2644+"n/&gt;!&amp;KE"</f>
        <v>#VALUE!</v>
      </c>
      <c r="CB106" t="e">
        <f>'All regions'!F2644+"n/&gt;!&amp;KF"</f>
        <v>#VALUE!</v>
      </c>
      <c r="CC106" t="e">
        <f>'All regions'!G2644+"n/&gt;!&amp;KG"</f>
        <v>#VALUE!</v>
      </c>
      <c r="CD106" t="e">
        <f>'All regions'!H2644+"n/&gt;!&amp;KH"</f>
        <v>#VALUE!</v>
      </c>
      <c r="CE106" t="e">
        <f>'All regions'!I2644+"n/&gt;!&amp;KI"</f>
        <v>#VALUE!</v>
      </c>
      <c r="CF106" t="e">
        <f>'All regions'!J2644+"n/&gt;!&amp;KJ"</f>
        <v>#VALUE!</v>
      </c>
      <c r="CG106" t="e">
        <f>'All regions'!A2645+"n/&gt;!&amp;KK"</f>
        <v>#VALUE!</v>
      </c>
      <c r="CH106" t="e">
        <f>'All regions'!B2645+"n/&gt;!&amp;KL"</f>
        <v>#VALUE!</v>
      </c>
      <c r="CI106" t="e">
        <f>'All regions'!C2645+"n/&gt;!&amp;KM"</f>
        <v>#VALUE!</v>
      </c>
      <c r="CJ106" t="e">
        <f>'All regions'!D2645+"n/&gt;!&amp;KN"</f>
        <v>#VALUE!</v>
      </c>
      <c r="CK106" t="e">
        <f>'All regions'!E2645+"n/&gt;!&amp;KO"</f>
        <v>#VALUE!</v>
      </c>
      <c r="CL106" t="e">
        <f>'All regions'!F2645+"n/&gt;!&amp;KP"</f>
        <v>#VALUE!</v>
      </c>
      <c r="CM106" t="e">
        <f>'All regions'!G2645+"n/&gt;!&amp;KQ"</f>
        <v>#VALUE!</v>
      </c>
      <c r="CN106" t="e">
        <f>'All regions'!H2645+"n/&gt;!&amp;KR"</f>
        <v>#VALUE!</v>
      </c>
      <c r="CO106" t="e">
        <f>'All regions'!I2645+"n/&gt;!&amp;KS"</f>
        <v>#VALUE!</v>
      </c>
      <c r="CP106" t="e">
        <f>'All regions'!J2645+"n/&gt;!&amp;KT"</f>
        <v>#VALUE!</v>
      </c>
      <c r="CQ106" t="e">
        <f>'All regions'!A2646+"n/&gt;!&amp;KU"</f>
        <v>#VALUE!</v>
      </c>
      <c r="CR106" t="e">
        <f>'All regions'!B2646+"n/&gt;!&amp;KV"</f>
        <v>#VALUE!</v>
      </c>
      <c r="CS106" t="e">
        <f>'All regions'!C2646+"n/&gt;!&amp;KW"</f>
        <v>#VALUE!</v>
      </c>
      <c r="CT106" t="e">
        <f>'All regions'!D2646+"n/&gt;!&amp;KX"</f>
        <v>#VALUE!</v>
      </c>
      <c r="CU106" t="e">
        <f>'All regions'!E2646+"n/&gt;!&amp;KY"</f>
        <v>#VALUE!</v>
      </c>
      <c r="CV106" t="e">
        <f>'All regions'!F2646+"n/&gt;!&amp;KZ"</f>
        <v>#VALUE!</v>
      </c>
      <c r="CW106" t="e">
        <f>'All regions'!G2646+"n/&gt;!&amp;K["</f>
        <v>#VALUE!</v>
      </c>
      <c r="CX106" t="e">
        <f>'All regions'!H2646+"n/&gt;!&amp;K\"</f>
        <v>#VALUE!</v>
      </c>
      <c r="CY106" t="e">
        <f>'All regions'!I2646+"n/&gt;!&amp;K]"</f>
        <v>#VALUE!</v>
      </c>
      <c r="CZ106" t="e">
        <f>'All regions'!J2646+"n/&gt;!&amp;K^"</f>
        <v>#VALUE!</v>
      </c>
      <c r="DA106" t="e">
        <f>'All regions'!A2647+"n/&gt;!&amp;K_"</f>
        <v>#VALUE!</v>
      </c>
      <c r="DB106" t="e">
        <f>'All regions'!B2647+"n/&gt;!&amp;K`"</f>
        <v>#VALUE!</v>
      </c>
      <c r="DC106" t="e">
        <f>'All regions'!C2647+"n/&gt;!&amp;Ka"</f>
        <v>#VALUE!</v>
      </c>
      <c r="DD106" t="e">
        <f>'All regions'!D2647+"n/&gt;!&amp;Kb"</f>
        <v>#VALUE!</v>
      </c>
      <c r="DE106" t="e">
        <f>'All regions'!E2647+"n/&gt;!&amp;Kc"</f>
        <v>#VALUE!</v>
      </c>
      <c r="DF106" t="e">
        <f>'All regions'!F2647+"n/&gt;!&amp;Kd"</f>
        <v>#VALUE!</v>
      </c>
      <c r="DG106" t="e">
        <f>'All regions'!G2647+"n/&gt;!&amp;Ke"</f>
        <v>#VALUE!</v>
      </c>
      <c r="DH106" t="e">
        <f>'All regions'!H2647+"n/&gt;!&amp;Kf"</f>
        <v>#VALUE!</v>
      </c>
      <c r="DI106" t="e">
        <f>'All regions'!I2647+"n/&gt;!&amp;Kg"</f>
        <v>#VALUE!</v>
      </c>
      <c r="DJ106" t="e">
        <f>'All regions'!J2647+"n/&gt;!&amp;Kh"</f>
        <v>#VALUE!</v>
      </c>
      <c r="DK106" t="e">
        <f>'All regions'!A2648+"n/&gt;!&amp;Ki"</f>
        <v>#VALUE!</v>
      </c>
      <c r="DL106" t="e">
        <f>'All regions'!B2648+"n/&gt;!&amp;Kj"</f>
        <v>#VALUE!</v>
      </c>
      <c r="DM106" t="e">
        <f>'All regions'!C2648+"n/&gt;!&amp;Kk"</f>
        <v>#VALUE!</v>
      </c>
      <c r="DN106" t="e">
        <f>'All regions'!D2648+"n/&gt;!&amp;Kl"</f>
        <v>#VALUE!</v>
      </c>
      <c r="DO106" t="e">
        <f>'All regions'!E2648+"n/&gt;!&amp;Km"</f>
        <v>#VALUE!</v>
      </c>
      <c r="DP106" t="e">
        <f>'All regions'!F2648+"n/&gt;!&amp;Kn"</f>
        <v>#VALUE!</v>
      </c>
      <c r="DQ106" t="e">
        <f>'All regions'!G2648+"n/&gt;!&amp;Ko"</f>
        <v>#VALUE!</v>
      </c>
      <c r="DR106" t="e">
        <f>'All regions'!H2648+"n/&gt;!&amp;Kp"</f>
        <v>#VALUE!</v>
      </c>
      <c r="DS106" t="e">
        <f>'All regions'!I2648+"n/&gt;!&amp;Kq"</f>
        <v>#VALUE!</v>
      </c>
      <c r="DT106" t="e">
        <f>'All regions'!J2648+"n/&gt;!&amp;Kr"</f>
        <v>#VALUE!</v>
      </c>
      <c r="DU106" t="e">
        <f>'All regions'!A2649+"n/&gt;!&amp;Ks"</f>
        <v>#VALUE!</v>
      </c>
      <c r="DV106" t="e">
        <f>'All regions'!B2649+"n/&gt;!&amp;Kt"</f>
        <v>#VALUE!</v>
      </c>
      <c r="DW106" t="e">
        <f>'All regions'!C2649+"n/&gt;!&amp;Ku"</f>
        <v>#VALUE!</v>
      </c>
      <c r="DX106" t="e">
        <f>'All regions'!D2649+"n/&gt;!&amp;Kv"</f>
        <v>#VALUE!</v>
      </c>
      <c r="DY106" t="e">
        <f>'All regions'!E2649+"n/&gt;!&amp;Kw"</f>
        <v>#VALUE!</v>
      </c>
      <c r="DZ106" t="e">
        <f>'All regions'!F2649+"n/&gt;!&amp;Kx"</f>
        <v>#VALUE!</v>
      </c>
      <c r="EA106" t="e">
        <f>'All regions'!G2649+"n/&gt;!&amp;Ky"</f>
        <v>#VALUE!</v>
      </c>
      <c r="EB106" t="e">
        <f>'All regions'!H2649+"n/&gt;!&amp;Kz"</f>
        <v>#VALUE!</v>
      </c>
      <c r="EC106" t="e">
        <f>'All regions'!I2649+"n/&gt;!&amp;K{"</f>
        <v>#VALUE!</v>
      </c>
      <c r="ED106" t="e">
        <f>'All regions'!J2649+"n/&gt;!&amp;K|"</f>
        <v>#VALUE!</v>
      </c>
      <c r="EE106" t="e">
        <f>'All regions'!A2650+"n/&gt;!&amp;K}"</f>
        <v>#VALUE!</v>
      </c>
      <c r="EF106" t="e">
        <f>'All regions'!B2650+"n/&gt;!&amp;K~"</f>
        <v>#VALUE!</v>
      </c>
      <c r="EG106" t="e">
        <f>'All regions'!C2650+"n/&gt;!&amp;L#"</f>
        <v>#VALUE!</v>
      </c>
      <c r="EH106" t="e">
        <f>'All regions'!D2650+"n/&gt;!&amp;L$"</f>
        <v>#VALUE!</v>
      </c>
      <c r="EI106" t="e">
        <f>'All regions'!E2650+"n/&gt;!&amp;L%"</f>
        <v>#VALUE!</v>
      </c>
      <c r="EJ106" t="e">
        <f>'All regions'!F2650+"n/&gt;!&amp;L&amp;"</f>
        <v>#VALUE!</v>
      </c>
      <c r="EK106" t="e">
        <f>'All regions'!G2650+"n/&gt;!&amp;L'"</f>
        <v>#VALUE!</v>
      </c>
      <c r="EL106" t="e">
        <f>'All regions'!H2650+"n/&gt;!&amp;L("</f>
        <v>#VALUE!</v>
      </c>
      <c r="EM106" t="e">
        <f>'All regions'!I2650+"n/&gt;!&amp;L)"</f>
        <v>#VALUE!</v>
      </c>
      <c r="EN106" t="e">
        <f>'All regions'!J2650+"n/&gt;!&amp;L."</f>
        <v>#VALUE!</v>
      </c>
      <c r="EO106" t="e">
        <f>'All regions'!A2651+"n/&gt;!&amp;L/"</f>
        <v>#VALUE!</v>
      </c>
      <c r="EP106" t="e">
        <f>'All regions'!B2651+"n/&gt;!&amp;L0"</f>
        <v>#VALUE!</v>
      </c>
      <c r="EQ106" t="e">
        <f>'All regions'!C2651+"n/&gt;!&amp;L1"</f>
        <v>#VALUE!</v>
      </c>
      <c r="ER106" t="e">
        <f>'All regions'!D2651+"n/&gt;!&amp;L2"</f>
        <v>#VALUE!</v>
      </c>
      <c r="ES106" t="e">
        <f>'All regions'!E2651+"n/&gt;!&amp;L3"</f>
        <v>#VALUE!</v>
      </c>
      <c r="ET106" t="e">
        <f>'All regions'!F2651+"n/&gt;!&amp;L4"</f>
        <v>#VALUE!</v>
      </c>
      <c r="EU106" t="e">
        <f>'All regions'!G2651+"n/&gt;!&amp;L5"</f>
        <v>#VALUE!</v>
      </c>
      <c r="EV106" t="e">
        <f>'All regions'!H2651+"n/&gt;!&amp;L6"</f>
        <v>#VALUE!</v>
      </c>
      <c r="EW106" t="e">
        <f>'All regions'!I2651+"n/&gt;!&amp;L7"</f>
        <v>#VALUE!</v>
      </c>
      <c r="EX106" t="e">
        <f>'All regions'!J2651+"n/&gt;!&amp;L8"</f>
        <v>#VALUE!</v>
      </c>
      <c r="EY106" t="e">
        <f>'All regions'!A2652+"n/&gt;!&amp;L9"</f>
        <v>#VALUE!</v>
      </c>
      <c r="EZ106" t="e">
        <f>'All regions'!B2652+"n/&gt;!&amp;L:"</f>
        <v>#VALUE!</v>
      </c>
      <c r="FA106" t="e">
        <f>'All regions'!C2652+"n/&gt;!&amp;L;"</f>
        <v>#VALUE!</v>
      </c>
      <c r="FB106" t="e">
        <f>'All regions'!D2652+"n/&gt;!&amp;L&lt;"</f>
        <v>#VALUE!</v>
      </c>
      <c r="FC106" t="e">
        <f>'All regions'!E2652+"n/&gt;!&amp;L="</f>
        <v>#VALUE!</v>
      </c>
      <c r="FD106" t="e">
        <f>'All regions'!F2652+"n/&gt;!&amp;L&gt;"</f>
        <v>#VALUE!</v>
      </c>
      <c r="FE106" t="e">
        <f>'All regions'!G2652+"n/&gt;!&amp;L?"</f>
        <v>#VALUE!</v>
      </c>
      <c r="FF106" t="e">
        <f>'All regions'!H2652+"n/&gt;!&amp;L@"</f>
        <v>#VALUE!</v>
      </c>
      <c r="FG106" t="e">
        <f>'All regions'!I2652+"n/&gt;!&amp;LA"</f>
        <v>#VALUE!</v>
      </c>
      <c r="FH106" t="e">
        <f>'All regions'!J2652+"n/&gt;!&amp;LB"</f>
        <v>#VALUE!</v>
      </c>
      <c r="FI106" t="e">
        <f>'All regions'!A2653+"n/&gt;!&amp;LC"</f>
        <v>#VALUE!</v>
      </c>
      <c r="FJ106" t="e">
        <f>'All regions'!B2653+"n/&gt;!&amp;LD"</f>
        <v>#VALUE!</v>
      </c>
      <c r="FK106" t="e">
        <f>'All regions'!C2653+"n/&gt;!&amp;LE"</f>
        <v>#VALUE!</v>
      </c>
      <c r="FL106" t="e">
        <f>'All regions'!D2653+"n/&gt;!&amp;LF"</f>
        <v>#VALUE!</v>
      </c>
      <c r="FM106" t="e">
        <f>'All regions'!E2653+"n/&gt;!&amp;LG"</f>
        <v>#VALUE!</v>
      </c>
      <c r="FN106" t="e">
        <f>'All regions'!F2653+"n/&gt;!&amp;LH"</f>
        <v>#VALUE!</v>
      </c>
      <c r="FO106" t="e">
        <f>'All regions'!G2653+"n/&gt;!&amp;LI"</f>
        <v>#VALUE!</v>
      </c>
      <c r="FP106" t="e">
        <f>'All regions'!H2653+"n/&gt;!&amp;LJ"</f>
        <v>#VALUE!</v>
      </c>
      <c r="FQ106" t="e">
        <f>'All regions'!I2653+"n/&gt;!&amp;LK"</f>
        <v>#VALUE!</v>
      </c>
      <c r="FR106" t="e">
        <f>'All regions'!J2653+"n/&gt;!&amp;LL"</f>
        <v>#VALUE!</v>
      </c>
      <c r="FS106" t="e">
        <f>'All regions'!A2654+"n/&gt;!&amp;LM"</f>
        <v>#VALUE!</v>
      </c>
      <c r="FT106" t="e">
        <f>'All regions'!B2654+"n/&gt;!&amp;LN"</f>
        <v>#VALUE!</v>
      </c>
      <c r="FU106" t="e">
        <f>'All regions'!C2654+"n/&gt;!&amp;LO"</f>
        <v>#VALUE!</v>
      </c>
      <c r="FV106" t="e">
        <f>'All regions'!D2654+"n/&gt;!&amp;LP"</f>
        <v>#VALUE!</v>
      </c>
      <c r="FW106" t="e">
        <f>'All regions'!E2654+"n/&gt;!&amp;LQ"</f>
        <v>#VALUE!</v>
      </c>
      <c r="FX106" t="e">
        <f>'All regions'!F2654+"n/&gt;!&amp;LR"</f>
        <v>#VALUE!</v>
      </c>
      <c r="FY106" t="e">
        <f>'All regions'!G2654+"n/&gt;!&amp;LS"</f>
        <v>#VALUE!</v>
      </c>
      <c r="FZ106" t="e">
        <f>'All regions'!H2654+"n/&gt;!&amp;LT"</f>
        <v>#VALUE!</v>
      </c>
      <c r="GA106" t="e">
        <f>'All regions'!I2654+"n/&gt;!&amp;LU"</f>
        <v>#VALUE!</v>
      </c>
      <c r="GB106" t="e">
        <f>'All regions'!J2654+"n/&gt;!&amp;LV"</f>
        <v>#VALUE!</v>
      </c>
      <c r="GC106" t="e">
        <f>'All regions'!A2655+"n/&gt;!&amp;LW"</f>
        <v>#VALUE!</v>
      </c>
      <c r="GD106" t="e">
        <f>'All regions'!B2655+"n/&gt;!&amp;LX"</f>
        <v>#VALUE!</v>
      </c>
      <c r="GE106" t="e">
        <f>'All regions'!C2655+"n/&gt;!&amp;LY"</f>
        <v>#VALUE!</v>
      </c>
      <c r="GF106" t="e">
        <f>'All regions'!D2655+"n/&gt;!&amp;LZ"</f>
        <v>#VALUE!</v>
      </c>
      <c r="GG106" t="e">
        <f>'All regions'!E2655+"n/&gt;!&amp;L["</f>
        <v>#VALUE!</v>
      </c>
      <c r="GH106" t="e">
        <f>'All regions'!F2655+"n/&gt;!&amp;L\"</f>
        <v>#VALUE!</v>
      </c>
      <c r="GI106" t="e">
        <f>'All regions'!G2655+"n/&gt;!&amp;L]"</f>
        <v>#VALUE!</v>
      </c>
      <c r="GJ106" t="e">
        <f>'All regions'!H2655+"n/&gt;!&amp;L^"</f>
        <v>#VALUE!</v>
      </c>
      <c r="GK106" t="e">
        <f>'All regions'!I2655+"n/&gt;!&amp;L_"</f>
        <v>#VALUE!</v>
      </c>
      <c r="GL106" t="e">
        <f>'All regions'!J2655+"n/&gt;!&amp;L`"</f>
        <v>#VALUE!</v>
      </c>
      <c r="GM106" t="e">
        <f>'All regions'!A2656+"n/&gt;!&amp;La"</f>
        <v>#VALUE!</v>
      </c>
      <c r="GN106" t="e">
        <f>'All regions'!B2656+"n/&gt;!&amp;Lb"</f>
        <v>#VALUE!</v>
      </c>
      <c r="GO106" t="e">
        <f>'All regions'!C2656+"n/&gt;!&amp;Lc"</f>
        <v>#VALUE!</v>
      </c>
      <c r="GP106" t="e">
        <f>'All regions'!D2656+"n/&gt;!&amp;Ld"</f>
        <v>#VALUE!</v>
      </c>
      <c r="GQ106" t="e">
        <f>'All regions'!E2656+"n/&gt;!&amp;Le"</f>
        <v>#VALUE!</v>
      </c>
      <c r="GR106" t="e">
        <f>'All regions'!F2656+"n/&gt;!&amp;Lf"</f>
        <v>#VALUE!</v>
      </c>
      <c r="GS106" t="e">
        <f>'All regions'!G2656+"n/&gt;!&amp;Lg"</f>
        <v>#VALUE!</v>
      </c>
      <c r="GT106" t="e">
        <f>'All regions'!H2656+"n/&gt;!&amp;Lh"</f>
        <v>#VALUE!</v>
      </c>
      <c r="GU106" t="e">
        <f>'All regions'!I2656+"n/&gt;!&amp;Li"</f>
        <v>#VALUE!</v>
      </c>
      <c r="GV106" t="e">
        <f>'All regions'!J2656+"n/&gt;!&amp;Lj"</f>
        <v>#VALUE!</v>
      </c>
      <c r="GW106" t="e">
        <f>'All regions'!A2657+"n/&gt;!&amp;Lk"</f>
        <v>#VALUE!</v>
      </c>
      <c r="GX106" t="e">
        <f>'All regions'!B2657+"n/&gt;!&amp;Ll"</f>
        <v>#VALUE!</v>
      </c>
      <c r="GY106" t="e">
        <f>'All regions'!C2657+"n/&gt;!&amp;Lm"</f>
        <v>#VALUE!</v>
      </c>
      <c r="GZ106" t="e">
        <f>'All regions'!D2657+"n/&gt;!&amp;Ln"</f>
        <v>#VALUE!</v>
      </c>
      <c r="HA106" t="e">
        <f>'All regions'!E2657+"n/&gt;!&amp;Lo"</f>
        <v>#VALUE!</v>
      </c>
      <c r="HB106" t="e">
        <f>'All regions'!F2657+"n/&gt;!&amp;Lp"</f>
        <v>#VALUE!</v>
      </c>
      <c r="HC106" t="e">
        <f>'All regions'!G2657+"n/&gt;!&amp;Lq"</f>
        <v>#VALUE!</v>
      </c>
      <c r="HD106" t="e">
        <f>'All regions'!H2657+"n/&gt;!&amp;Lr"</f>
        <v>#VALUE!</v>
      </c>
      <c r="HE106" t="e">
        <f>'All regions'!I2657+"n/&gt;!&amp;Ls"</f>
        <v>#VALUE!</v>
      </c>
      <c r="HF106" t="e">
        <f>'All regions'!J2657+"n/&gt;!&amp;Lt"</f>
        <v>#VALUE!</v>
      </c>
      <c r="HG106" t="e">
        <f>'All regions'!A2658+"n/&gt;!&amp;Lu"</f>
        <v>#VALUE!</v>
      </c>
      <c r="HH106" t="e">
        <f>'All regions'!B2658+"n/&gt;!&amp;Lv"</f>
        <v>#VALUE!</v>
      </c>
      <c r="HI106" t="e">
        <f>'All regions'!C2658+"n/&gt;!&amp;Lw"</f>
        <v>#VALUE!</v>
      </c>
      <c r="HJ106" t="e">
        <f>'All regions'!D2658+"n/&gt;!&amp;Lx"</f>
        <v>#VALUE!</v>
      </c>
      <c r="HK106" t="e">
        <f>'All regions'!E2658+"n/&gt;!&amp;Ly"</f>
        <v>#VALUE!</v>
      </c>
      <c r="HL106" t="e">
        <f>'All regions'!F2658+"n/&gt;!&amp;Lz"</f>
        <v>#VALUE!</v>
      </c>
      <c r="HM106" t="e">
        <f>'All regions'!G2658+"n/&gt;!&amp;L{"</f>
        <v>#VALUE!</v>
      </c>
      <c r="HN106" t="e">
        <f>'All regions'!H2658+"n/&gt;!&amp;L|"</f>
        <v>#VALUE!</v>
      </c>
      <c r="HO106" t="e">
        <f>'All regions'!I2658+"n/&gt;!&amp;L}"</f>
        <v>#VALUE!</v>
      </c>
      <c r="HP106" t="e">
        <f>'All regions'!J2658+"n/&gt;!&amp;L~"</f>
        <v>#VALUE!</v>
      </c>
      <c r="HQ106" t="e">
        <f>'All regions'!A2659+"n/&gt;!&amp;M#"</f>
        <v>#VALUE!</v>
      </c>
      <c r="HR106" t="e">
        <f>'All regions'!B2659+"n/&gt;!&amp;M$"</f>
        <v>#VALUE!</v>
      </c>
      <c r="HS106" t="e">
        <f>'All regions'!C2659+"n/&gt;!&amp;M%"</f>
        <v>#VALUE!</v>
      </c>
      <c r="HT106" t="e">
        <f>'All regions'!D2659+"n/&gt;!&amp;M&amp;"</f>
        <v>#VALUE!</v>
      </c>
      <c r="HU106" t="e">
        <f>'All regions'!E2659+"n/&gt;!&amp;M'"</f>
        <v>#VALUE!</v>
      </c>
      <c r="HV106" t="e">
        <f>'All regions'!F2659+"n/&gt;!&amp;M("</f>
        <v>#VALUE!</v>
      </c>
      <c r="HW106" t="e">
        <f>'All regions'!G2659+"n/&gt;!&amp;M)"</f>
        <v>#VALUE!</v>
      </c>
      <c r="HX106" t="e">
        <f>'All regions'!H2659+"n/&gt;!&amp;M."</f>
        <v>#VALUE!</v>
      </c>
      <c r="HY106" t="e">
        <f>'All regions'!I2659+"n/&gt;!&amp;M/"</f>
        <v>#VALUE!</v>
      </c>
      <c r="HZ106" t="e">
        <f>'All regions'!J2659+"n/&gt;!&amp;M0"</f>
        <v>#VALUE!</v>
      </c>
      <c r="IA106" t="e">
        <f>'All regions'!A2660+"n/&gt;!&amp;M1"</f>
        <v>#VALUE!</v>
      </c>
      <c r="IB106" t="e">
        <f>'All regions'!B2660+"n/&gt;!&amp;M2"</f>
        <v>#VALUE!</v>
      </c>
      <c r="IC106" t="e">
        <f>'All regions'!C2660+"n/&gt;!&amp;M3"</f>
        <v>#VALUE!</v>
      </c>
      <c r="ID106" t="e">
        <f>'All regions'!D2660+"n/&gt;!&amp;M4"</f>
        <v>#VALUE!</v>
      </c>
      <c r="IE106" t="e">
        <f>'All regions'!E2660+"n/&gt;!&amp;M5"</f>
        <v>#VALUE!</v>
      </c>
      <c r="IF106" t="e">
        <f>'All regions'!F2660+"n/&gt;!&amp;M6"</f>
        <v>#VALUE!</v>
      </c>
      <c r="IG106" t="e">
        <f>'All regions'!G2660+"n/&gt;!&amp;M7"</f>
        <v>#VALUE!</v>
      </c>
      <c r="IH106" t="e">
        <f>'All regions'!H2660+"n/&gt;!&amp;M8"</f>
        <v>#VALUE!</v>
      </c>
      <c r="II106" t="e">
        <f>'All regions'!I2660+"n/&gt;!&amp;M9"</f>
        <v>#VALUE!</v>
      </c>
      <c r="IJ106" t="e">
        <f>'All regions'!J2660+"n/&gt;!&amp;M:"</f>
        <v>#VALUE!</v>
      </c>
      <c r="IK106" t="e">
        <f>'All regions'!A2661+"n/&gt;!&amp;M;"</f>
        <v>#VALUE!</v>
      </c>
      <c r="IL106" t="e">
        <f>'All regions'!B2661+"n/&gt;!&amp;M&lt;"</f>
        <v>#VALUE!</v>
      </c>
      <c r="IM106" t="e">
        <f>'All regions'!C2661+"n/&gt;!&amp;M="</f>
        <v>#VALUE!</v>
      </c>
      <c r="IN106" t="e">
        <f>'All regions'!D2661+"n/&gt;!&amp;M&gt;"</f>
        <v>#VALUE!</v>
      </c>
      <c r="IO106" t="e">
        <f>'All regions'!E2661+"n/&gt;!&amp;M?"</f>
        <v>#VALUE!</v>
      </c>
      <c r="IP106" t="e">
        <f>'All regions'!F2661+"n/&gt;!&amp;M@"</f>
        <v>#VALUE!</v>
      </c>
      <c r="IQ106" t="e">
        <f>'All regions'!G2661+"n/&gt;!&amp;MA"</f>
        <v>#VALUE!</v>
      </c>
      <c r="IR106" t="e">
        <f>'All regions'!H2661+"n/&gt;!&amp;MB"</f>
        <v>#VALUE!</v>
      </c>
      <c r="IS106" t="e">
        <f>'All regions'!I2661+"n/&gt;!&amp;MC"</f>
        <v>#VALUE!</v>
      </c>
      <c r="IT106" t="e">
        <f>'All regions'!J2661+"n/&gt;!&amp;MD"</f>
        <v>#VALUE!</v>
      </c>
      <c r="IU106" t="e">
        <f>'All regions'!A2662+"n/&gt;!&amp;ME"</f>
        <v>#VALUE!</v>
      </c>
      <c r="IV106" t="e">
        <f>'All regions'!B2662+"n/&gt;!&amp;MF"</f>
        <v>#VALUE!</v>
      </c>
    </row>
    <row r="107" spans="6:256" x14ac:dyDescent="0.35">
      <c r="F107" t="e">
        <f>'All regions'!C2662+"n/&gt;!&amp;MG"</f>
        <v>#VALUE!</v>
      </c>
      <c r="G107" t="e">
        <f>'All regions'!D2662+"n/&gt;!&amp;MH"</f>
        <v>#VALUE!</v>
      </c>
      <c r="H107" t="e">
        <f>'All regions'!E2662+"n/&gt;!&amp;MI"</f>
        <v>#VALUE!</v>
      </c>
      <c r="I107" t="e">
        <f>'All regions'!F2662+"n/&gt;!&amp;MJ"</f>
        <v>#VALUE!</v>
      </c>
      <c r="J107" t="e">
        <f>'All regions'!G2662+"n/&gt;!&amp;MK"</f>
        <v>#VALUE!</v>
      </c>
      <c r="K107" t="e">
        <f>'All regions'!H2662+"n/&gt;!&amp;ML"</f>
        <v>#VALUE!</v>
      </c>
      <c r="L107" t="e">
        <f>'All regions'!I2662+"n/&gt;!&amp;MM"</f>
        <v>#VALUE!</v>
      </c>
      <c r="M107" t="e">
        <f>'All regions'!J2662+"n/&gt;!&amp;MN"</f>
        <v>#VALUE!</v>
      </c>
      <c r="N107" t="e">
        <f>'All regions'!A2663+"n/&gt;!&amp;MO"</f>
        <v>#VALUE!</v>
      </c>
      <c r="O107" t="e">
        <f>'All regions'!B2663+"n/&gt;!&amp;MP"</f>
        <v>#VALUE!</v>
      </c>
      <c r="P107" t="e">
        <f>'All regions'!C2663+"n/&gt;!&amp;MQ"</f>
        <v>#VALUE!</v>
      </c>
      <c r="Q107" t="e">
        <f>'All regions'!D2663+"n/&gt;!&amp;MR"</f>
        <v>#VALUE!</v>
      </c>
      <c r="R107" t="e">
        <f>'All regions'!E2663+"n/&gt;!&amp;MS"</f>
        <v>#VALUE!</v>
      </c>
      <c r="S107" t="e">
        <f>'All regions'!F2663+"n/&gt;!&amp;MT"</f>
        <v>#VALUE!</v>
      </c>
      <c r="T107" t="e">
        <f>'All regions'!G2663+"n/&gt;!&amp;MU"</f>
        <v>#VALUE!</v>
      </c>
      <c r="U107" t="e">
        <f>'All regions'!H2663+"n/&gt;!&amp;MV"</f>
        <v>#VALUE!</v>
      </c>
      <c r="V107" t="e">
        <f>'All regions'!I2663+"n/&gt;!&amp;MW"</f>
        <v>#VALUE!</v>
      </c>
      <c r="W107" t="e">
        <f>'All regions'!J2663+"n/&gt;!&amp;MX"</f>
        <v>#VALUE!</v>
      </c>
      <c r="X107" t="e">
        <f>'All regions'!A2664+"n/&gt;!&amp;MY"</f>
        <v>#VALUE!</v>
      </c>
      <c r="Y107" t="e">
        <f>'All regions'!B2664+"n/&gt;!&amp;MZ"</f>
        <v>#VALUE!</v>
      </c>
      <c r="Z107" t="e">
        <f>'All regions'!C2664+"n/&gt;!&amp;M["</f>
        <v>#VALUE!</v>
      </c>
      <c r="AA107" t="e">
        <f>'All regions'!D2664+"n/&gt;!&amp;M\"</f>
        <v>#VALUE!</v>
      </c>
      <c r="AB107" t="e">
        <f>'All regions'!E2664+"n/&gt;!&amp;M]"</f>
        <v>#VALUE!</v>
      </c>
      <c r="AC107" t="e">
        <f>'All regions'!F2664+"n/&gt;!&amp;M^"</f>
        <v>#VALUE!</v>
      </c>
      <c r="AD107" t="e">
        <f>'All regions'!G2664+"n/&gt;!&amp;M_"</f>
        <v>#VALUE!</v>
      </c>
      <c r="AE107" t="e">
        <f>'All regions'!H2664+"n/&gt;!&amp;M`"</f>
        <v>#VALUE!</v>
      </c>
      <c r="AF107" t="e">
        <f>'All regions'!I2664+"n/&gt;!&amp;Ma"</f>
        <v>#VALUE!</v>
      </c>
      <c r="AG107" t="e">
        <f>'All regions'!J2664+"n/&gt;!&amp;Mb"</f>
        <v>#VALUE!</v>
      </c>
      <c r="AH107" t="e">
        <f>'All regions'!A2665+"n/&gt;!&amp;Mc"</f>
        <v>#VALUE!</v>
      </c>
      <c r="AI107" t="e">
        <f>'All regions'!B2665+"n/&gt;!&amp;Md"</f>
        <v>#VALUE!</v>
      </c>
      <c r="AJ107" t="e">
        <f>'All regions'!C2665+"n/&gt;!&amp;Me"</f>
        <v>#VALUE!</v>
      </c>
      <c r="AK107" t="e">
        <f>'All regions'!D2665+"n/&gt;!&amp;Mf"</f>
        <v>#VALUE!</v>
      </c>
      <c r="AL107" t="e">
        <f>'All regions'!E2665+"n/&gt;!&amp;Mg"</f>
        <v>#VALUE!</v>
      </c>
      <c r="AM107" t="e">
        <f>'All regions'!F2665+"n/&gt;!&amp;Mh"</f>
        <v>#VALUE!</v>
      </c>
      <c r="AN107" t="e">
        <f>'All regions'!G2665+"n/&gt;!&amp;Mi"</f>
        <v>#VALUE!</v>
      </c>
      <c r="AO107" t="e">
        <f>'All regions'!H2665+"n/&gt;!&amp;Mj"</f>
        <v>#VALUE!</v>
      </c>
      <c r="AP107" t="e">
        <f>'All regions'!I2665+"n/&gt;!&amp;Mk"</f>
        <v>#VALUE!</v>
      </c>
      <c r="AQ107" t="e">
        <f>'All regions'!J2665+"n/&gt;!&amp;Ml"</f>
        <v>#VALUE!</v>
      </c>
      <c r="AR107" t="e">
        <f>'All regions'!A2666+"n/&gt;!&amp;Mm"</f>
        <v>#VALUE!</v>
      </c>
      <c r="AS107" t="e">
        <f>'All regions'!B2666+"n/&gt;!&amp;Mn"</f>
        <v>#VALUE!</v>
      </c>
      <c r="AT107" t="e">
        <f>'All regions'!C2666+"n/&gt;!&amp;Mo"</f>
        <v>#VALUE!</v>
      </c>
      <c r="AU107" t="e">
        <f>'All regions'!D2666+"n/&gt;!&amp;Mp"</f>
        <v>#VALUE!</v>
      </c>
      <c r="AV107" t="e">
        <f>'All regions'!E2666+"n/&gt;!&amp;Mq"</f>
        <v>#VALUE!</v>
      </c>
      <c r="AW107" t="e">
        <f>'All regions'!F2666+"n/&gt;!&amp;Mr"</f>
        <v>#VALUE!</v>
      </c>
      <c r="AX107" t="e">
        <f>'All regions'!G2666+"n/&gt;!&amp;Ms"</f>
        <v>#VALUE!</v>
      </c>
      <c r="AY107" t="e">
        <f>'All regions'!H2666+"n/&gt;!&amp;Mt"</f>
        <v>#VALUE!</v>
      </c>
      <c r="AZ107" t="e">
        <f>'All regions'!I2666+"n/&gt;!&amp;Mu"</f>
        <v>#VALUE!</v>
      </c>
      <c r="BA107" t="e">
        <f>'All regions'!J2666+"n/&gt;!&amp;Mv"</f>
        <v>#VALUE!</v>
      </c>
      <c r="BB107" t="e">
        <f>'All regions'!A2667+"n/&gt;!&amp;Mw"</f>
        <v>#VALUE!</v>
      </c>
      <c r="BC107" t="e">
        <f>'All regions'!B2667+"n/&gt;!&amp;Mx"</f>
        <v>#VALUE!</v>
      </c>
      <c r="BD107" t="e">
        <f>'All regions'!C2667+"n/&gt;!&amp;My"</f>
        <v>#VALUE!</v>
      </c>
      <c r="BE107" t="e">
        <f>'All regions'!D2667+"n/&gt;!&amp;Mz"</f>
        <v>#VALUE!</v>
      </c>
      <c r="BF107" t="e">
        <f>'All regions'!E2667+"n/&gt;!&amp;M{"</f>
        <v>#VALUE!</v>
      </c>
      <c r="BG107" t="e">
        <f>'All regions'!F2667+"n/&gt;!&amp;M|"</f>
        <v>#VALUE!</v>
      </c>
      <c r="BH107" t="e">
        <f>'All regions'!G2667+"n/&gt;!&amp;M}"</f>
        <v>#VALUE!</v>
      </c>
      <c r="BI107" t="e">
        <f>'All regions'!H2667+"n/&gt;!&amp;M~"</f>
        <v>#VALUE!</v>
      </c>
      <c r="BJ107" t="e">
        <f>'All regions'!I2667+"n/&gt;!&amp;N#"</f>
        <v>#VALUE!</v>
      </c>
      <c r="BK107" t="e">
        <f>'All regions'!J2667+"n/&gt;!&amp;N$"</f>
        <v>#VALUE!</v>
      </c>
      <c r="BL107" t="e">
        <f>'All regions'!A2668+"n/&gt;!&amp;N%"</f>
        <v>#VALUE!</v>
      </c>
      <c r="BM107" t="e">
        <f>'All regions'!B2668+"n/&gt;!&amp;N&amp;"</f>
        <v>#VALUE!</v>
      </c>
      <c r="BN107" t="e">
        <f>'All regions'!C2668+"n/&gt;!&amp;N'"</f>
        <v>#VALUE!</v>
      </c>
      <c r="BO107" t="e">
        <f>'All regions'!D2668+"n/&gt;!&amp;N("</f>
        <v>#VALUE!</v>
      </c>
      <c r="BP107" t="e">
        <f>'All regions'!E2668+"n/&gt;!&amp;N)"</f>
        <v>#VALUE!</v>
      </c>
      <c r="BQ107" t="e">
        <f>'All regions'!F2668+"n/&gt;!&amp;N."</f>
        <v>#VALUE!</v>
      </c>
      <c r="BR107" t="e">
        <f>'All regions'!G2668+"n/&gt;!&amp;N/"</f>
        <v>#VALUE!</v>
      </c>
      <c r="BS107" t="e">
        <f>'All regions'!H2668+"n/&gt;!&amp;N0"</f>
        <v>#VALUE!</v>
      </c>
      <c r="BT107" t="e">
        <f>'All regions'!I2668+"n/&gt;!&amp;N1"</f>
        <v>#VALUE!</v>
      </c>
      <c r="BU107" t="e">
        <f>'All regions'!J2668+"n/&gt;!&amp;N2"</f>
        <v>#VALUE!</v>
      </c>
      <c r="BV107" t="e">
        <f>'All regions'!A2669+"n/&gt;!&amp;N3"</f>
        <v>#VALUE!</v>
      </c>
      <c r="BW107" t="e">
        <f>'All regions'!B2669+"n/&gt;!&amp;N4"</f>
        <v>#VALUE!</v>
      </c>
      <c r="BX107" t="e">
        <f>'All regions'!C2669+"n/&gt;!&amp;N5"</f>
        <v>#VALUE!</v>
      </c>
      <c r="BY107" t="e">
        <f>'All regions'!D2669+"n/&gt;!&amp;N6"</f>
        <v>#VALUE!</v>
      </c>
      <c r="BZ107" t="e">
        <f>'All regions'!E2669+"n/&gt;!&amp;N7"</f>
        <v>#VALUE!</v>
      </c>
      <c r="CA107" t="e">
        <f>'All regions'!F2669+"n/&gt;!&amp;N8"</f>
        <v>#VALUE!</v>
      </c>
      <c r="CB107" t="e">
        <f>'All regions'!G2669+"n/&gt;!&amp;N9"</f>
        <v>#VALUE!</v>
      </c>
      <c r="CC107" t="e">
        <f>'All regions'!H2669+"n/&gt;!&amp;N:"</f>
        <v>#VALUE!</v>
      </c>
      <c r="CD107" t="e">
        <f>'All regions'!I2669+"n/&gt;!&amp;N;"</f>
        <v>#VALUE!</v>
      </c>
      <c r="CE107" t="e">
        <f>'All regions'!J2669+"n/&gt;!&amp;N&lt;"</f>
        <v>#VALUE!</v>
      </c>
      <c r="CF107" t="e">
        <f>'All regions'!A2670+"n/&gt;!&amp;N="</f>
        <v>#VALUE!</v>
      </c>
      <c r="CG107" t="e">
        <f>'All regions'!B2670+"n/&gt;!&amp;N&gt;"</f>
        <v>#VALUE!</v>
      </c>
      <c r="CH107" t="e">
        <f>'All regions'!C2670+"n/&gt;!&amp;N?"</f>
        <v>#VALUE!</v>
      </c>
      <c r="CI107" t="e">
        <f>'All regions'!D2670+"n/&gt;!&amp;N@"</f>
        <v>#VALUE!</v>
      </c>
      <c r="CJ107" t="e">
        <f>'All regions'!E2670+"n/&gt;!&amp;NA"</f>
        <v>#VALUE!</v>
      </c>
      <c r="CK107" t="e">
        <f>'All regions'!F2670+"n/&gt;!&amp;NB"</f>
        <v>#VALUE!</v>
      </c>
      <c r="CL107" t="e">
        <f>'All regions'!G2670+"n/&gt;!&amp;NC"</f>
        <v>#VALUE!</v>
      </c>
      <c r="CM107" t="e">
        <f>'All regions'!H2670+"n/&gt;!&amp;ND"</f>
        <v>#VALUE!</v>
      </c>
      <c r="CN107" t="e">
        <f>'All regions'!I2670+"n/&gt;!&amp;NE"</f>
        <v>#VALUE!</v>
      </c>
      <c r="CO107" t="e">
        <f>'All regions'!J2670+"n/&gt;!&amp;NF"</f>
        <v>#VALUE!</v>
      </c>
      <c r="CP107" t="e">
        <f>'All regions'!A2671+"n/&gt;!&amp;NG"</f>
        <v>#VALUE!</v>
      </c>
      <c r="CQ107" t="e">
        <f>'All regions'!B2671+"n/&gt;!&amp;NH"</f>
        <v>#VALUE!</v>
      </c>
      <c r="CR107" t="e">
        <f>'All regions'!C2671+"n/&gt;!&amp;NI"</f>
        <v>#VALUE!</v>
      </c>
      <c r="CS107" t="e">
        <f>'All regions'!D2671+"n/&gt;!&amp;NJ"</f>
        <v>#VALUE!</v>
      </c>
      <c r="CT107" t="e">
        <f>'All regions'!E2671+"n/&gt;!&amp;NK"</f>
        <v>#VALUE!</v>
      </c>
      <c r="CU107" t="e">
        <f>'All regions'!F2671+"n/&gt;!&amp;NL"</f>
        <v>#VALUE!</v>
      </c>
      <c r="CV107" t="e">
        <f>'All regions'!G2671+"n/&gt;!&amp;NM"</f>
        <v>#VALUE!</v>
      </c>
      <c r="CW107" t="e">
        <f>'All regions'!H2671+"n/&gt;!&amp;NN"</f>
        <v>#VALUE!</v>
      </c>
      <c r="CX107" t="e">
        <f>'All regions'!I2671+"n/&gt;!&amp;NO"</f>
        <v>#VALUE!</v>
      </c>
      <c r="CY107" t="e">
        <f>'All regions'!J2671+"n/&gt;!&amp;NP"</f>
        <v>#VALUE!</v>
      </c>
      <c r="CZ107" t="e">
        <f>'All regions'!A2672+"n/&gt;!&amp;NQ"</f>
        <v>#VALUE!</v>
      </c>
      <c r="DA107" t="e">
        <f>'All regions'!B2672+"n/&gt;!&amp;NR"</f>
        <v>#VALUE!</v>
      </c>
      <c r="DB107" t="e">
        <f>'All regions'!C2672+"n/&gt;!&amp;NS"</f>
        <v>#VALUE!</v>
      </c>
      <c r="DC107" t="e">
        <f>'All regions'!D2672+"n/&gt;!&amp;NT"</f>
        <v>#VALUE!</v>
      </c>
      <c r="DD107" t="e">
        <f>'All regions'!E2672+"n/&gt;!&amp;NU"</f>
        <v>#VALUE!</v>
      </c>
      <c r="DE107" t="e">
        <f>'All regions'!F2672+"n/&gt;!&amp;NV"</f>
        <v>#VALUE!</v>
      </c>
      <c r="DF107" t="e">
        <f>'All regions'!G2672+"n/&gt;!&amp;NW"</f>
        <v>#VALUE!</v>
      </c>
      <c r="DG107" t="e">
        <f>'All regions'!H2672+"n/&gt;!&amp;NX"</f>
        <v>#VALUE!</v>
      </c>
      <c r="DH107" t="e">
        <f>'All regions'!I2672+"n/&gt;!&amp;NY"</f>
        <v>#VALUE!</v>
      </c>
      <c r="DI107" t="e">
        <f>'All regions'!J2672+"n/&gt;!&amp;NZ"</f>
        <v>#VALUE!</v>
      </c>
      <c r="DJ107" t="e">
        <f>'All regions'!A2673+"n/&gt;!&amp;N["</f>
        <v>#VALUE!</v>
      </c>
      <c r="DK107" t="e">
        <f>'All regions'!B2673+"n/&gt;!&amp;N\"</f>
        <v>#VALUE!</v>
      </c>
      <c r="DL107" t="e">
        <f>'All regions'!C2673+"n/&gt;!&amp;N]"</f>
        <v>#VALUE!</v>
      </c>
      <c r="DM107" t="e">
        <f>'All regions'!D2673+"n/&gt;!&amp;N^"</f>
        <v>#VALUE!</v>
      </c>
      <c r="DN107" t="e">
        <f>'All regions'!E2673+"n/&gt;!&amp;N_"</f>
        <v>#VALUE!</v>
      </c>
      <c r="DO107" t="e">
        <f>'All regions'!F2673+"n/&gt;!&amp;N`"</f>
        <v>#VALUE!</v>
      </c>
      <c r="DP107" t="e">
        <f>'All regions'!G2673+"n/&gt;!&amp;Na"</f>
        <v>#VALUE!</v>
      </c>
      <c r="DQ107" t="e">
        <f>'All regions'!H2673+"n/&gt;!&amp;Nb"</f>
        <v>#VALUE!</v>
      </c>
      <c r="DR107" t="e">
        <f>'All regions'!I2673+"n/&gt;!&amp;Nc"</f>
        <v>#VALUE!</v>
      </c>
      <c r="DS107" t="e">
        <f>'All regions'!J2673+"n/&gt;!&amp;Nd"</f>
        <v>#VALUE!</v>
      </c>
      <c r="DT107" t="e">
        <f>'All regions'!A2674+"n/&gt;!&amp;Ne"</f>
        <v>#VALUE!</v>
      </c>
      <c r="DU107" t="e">
        <f>'All regions'!B2674+"n/&gt;!&amp;Nf"</f>
        <v>#VALUE!</v>
      </c>
      <c r="DV107" t="e">
        <f>'All regions'!C2674+"n/&gt;!&amp;Ng"</f>
        <v>#VALUE!</v>
      </c>
      <c r="DW107" t="e">
        <f>'All regions'!D2674+"n/&gt;!&amp;Nh"</f>
        <v>#VALUE!</v>
      </c>
      <c r="DX107" t="e">
        <f>'All regions'!E2674+"n/&gt;!&amp;Ni"</f>
        <v>#VALUE!</v>
      </c>
      <c r="DY107" t="e">
        <f>'All regions'!F2674+"n/&gt;!&amp;Nj"</f>
        <v>#VALUE!</v>
      </c>
      <c r="DZ107" t="e">
        <f>'All regions'!G2674+"n/&gt;!&amp;Nk"</f>
        <v>#VALUE!</v>
      </c>
      <c r="EA107" t="e">
        <f>'All regions'!H2674+"n/&gt;!&amp;Nl"</f>
        <v>#VALUE!</v>
      </c>
      <c r="EB107" t="e">
        <f>'All regions'!I2674+"n/&gt;!&amp;Nm"</f>
        <v>#VALUE!</v>
      </c>
      <c r="EC107" t="e">
        <f>'All regions'!J2674+"n/&gt;!&amp;Nn"</f>
        <v>#VALUE!</v>
      </c>
      <c r="ED107" t="e">
        <f>'All regions'!A2675+"n/&gt;!&amp;No"</f>
        <v>#VALUE!</v>
      </c>
      <c r="EE107" t="e">
        <f>'All regions'!B2675+"n/&gt;!&amp;Np"</f>
        <v>#VALUE!</v>
      </c>
      <c r="EF107" t="e">
        <f>'All regions'!C2675+"n/&gt;!&amp;Nq"</f>
        <v>#VALUE!</v>
      </c>
      <c r="EG107" t="e">
        <f>'All regions'!D2675+"n/&gt;!&amp;Nr"</f>
        <v>#VALUE!</v>
      </c>
      <c r="EH107" t="e">
        <f>'All regions'!E2675+"n/&gt;!&amp;Ns"</f>
        <v>#VALUE!</v>
      </c>
      <c r="EI107" t="e">
        <f>'All regions'!F2675+"n/&gt;!&amp;Nt"</f>
        <v>#VALUE!</v>
      </c>
      <c r="EJ107" t="e">
        <f>'All regions'!G2675+"n/&gt;!&amp;Nu"</f>
        <v>#VALUE!</v>
      </c>
      <c r="EK107" t="e">
        <f>'All regions'!H2675+"n/&gt;!&amp;Nv"</f>
        <v>#VALUE!</v>
      </c>
      <c r="EL107" t="e">
        <f>'All regions'!I2675+"n/&gt;!&amp;Nw"</f>
        <v>#VALUE!</v>
      </c>
      <c r="EM107" t="e">
        <f>'All regions'!J2675+"n/&gt;!&amp;Nx"</f>
        <v>#VALUE!</v>
      </c>
      <c r="EN107" t="e">
        <f>'All regions'!A2676+"n/&gt;!&amp;Ny"</f>
        <v>#VALUE!</v>
      </c>
      <c r="EO107" t="e">
        <f>'All regions'!B2676+"n/&gt;!&amp;Nz"</f>
        <v>#VALUE!</v>
      </c>
      <c r="EP107" t="e">
        <f>'All regions'!C2676+"n/&gt;!&amp;N{"</f>
        <v>#VALUE!</v>
      </c>
      <c r="EQ107" t="e">
        <f>'All regions'!D2676+"n/&gt;!&amp;N|"</f>
        <v>#VALUE!</v>
      </c>
      <c r="ER107" t="e">
        <f>'All regions'!E2676+"n/&gt;!&amp;N}"</f>
        <v>#VALUE!</v>
      </c>
      <c r="ES107" t="e">
        <f>'All regions'!F2676+"n/&gt;!&amp;N~"</f>
        <v>#VALUE!</v>
      </c>
      <c r="ET107" t="e">
        <f>'All regions'!G2676+"n/&gt;!&amp;O#"</f>
        <v>#VALUE!</v>
      </c>
      <c r="EU107" t="e">
        <f>'All regions'!H2676+"n/&gt;!&amp;O$"</f>
        <v>#VALUE!</v>
      </c>
      <c r="EV107" t="e">
        <f>'All regions'!I2676+"n/&gt;!&amp;O%"</f>
        <v>#VALUE!</v>
      </c>
      <c r="EW107" t="e">
        <f>'All regions'!J2676+"n/&gt;!&amp;O&amp;"</f>
        <v>#VALUE!</v>
      </c>
      <c r="EX107" t="e">
        <f>'All regions'!A2677+"n/&gt;!&amp;O'"</f>
        <v>#VALUE!</v>
      </c>
      <c r="EY107" t="e">
        <f>'All regions'!B2677+"n/&gt;!&amp;O("</f>
        <v>#VALUE!</v>
      </c>
      <c r="EZ107" t="e">
        <f>'All regions'!C2677+"n/&gt;!&amp;O)"</f>
        <v>#VALUE!</v>
      </c>
      <c r="FA107" t="e">
        <f>'All regions'!D2677+"n/&gt;!&amp;O."</f>
        <v>#VALUE!</v>
      </c>
      <c r="FB107" t="e">
        <f>'All regions'!E2677+"n/&gt;!&amp;O/"</f>
        <v>#VALUE!</v>
      </c>
      <c r="FC107" t="e">
        <f>'All regions'!F2677+"n/&gt;!&amp;O0"</f>
        <v>#VALUE!</v>
      </c>
      <c r="FD107" t="e">
        <f>'All regions'!G2677+"n/&gt;!&amp;O1"</f>
        <v>#VALUE!</v>
      </c>
      <c r="FE107" t="e">
        <f>'All regions'!H2677+"n/&gt;!&amp;O2"</f>
        <v>#VALUE!</v>
      </c>
      <c r="FF107" t="e">
        <f>'All regions'!I2677+"n/&gt;!&amp;O3"</f>
        <v>#VALUE!</v>
      </c>
      <c r="FG107" t="e">
        <f>'All regions'!J2677+"n/&gt;!&amp;O4"</f>
        <v>#VALUE!</v>
      </c>
      <c r="FH107" t="e">
        <f>'All regions'!A2678+"n/&gt;!&amp;O5"</f>
        <v>#VALUE!</v>
      </c>
      <c r="FI107" t="e">
        <f>'All regions'!B2678+"n/&gt;!&amp;O6"</f>
        <v>#VALUE!</v>
      </c>
      <c r="FJ107" t="e">
        <f>'All regions'!C2678+"n/&gt;!&amp;O7"</f>
        <v>#VALUE!</v>
      </c>
      <c r="FK107" t="e">
        <f>'All regions'!D2678+"n/&gt;!&amp;O8"</f>
        <v>#VALUE!</v>
      </c>
      <c r="FL107" t="e">
        <f>'All regions'!E2678+"n/&gt;!&amp;O9"</f>
        <v>#VALUE!</v>
      </c>
      <c r="FM107" t="e">
        <f>'All regions'!F2678+"n/&gt;!&amp;O:"</f>
        <v>#VALUE!</v>
      </c>
      <c r="FN107" t="e">
        <f>'All regions'!G2678+"n/&gt;!&amp;O;"</f>
        <v>#VALUE!</v>
      </c>
      <c r="FO107" t="e">
        <f>'All regions'!H2678+"n/&gt;!&amp;O&lt;"</f>
        <v>#VALUE!</v>
      </c>
      <c r="FP107" t="e">
        <f>'All regions'!I2678+"n/&gt;!&amp;O="</f>
        <v>#VALUE!</v>
      </c>
      <c r="FQ107" t="e">
        <f>'All regions'!J2678+"n/&gt;!&amp;O&gt;"</f>
        <v>#VALUE!</v>
      </c>
      <c r="FR107" t="e">
        <f>'All regions'!A2679+"n/&gt;!&amp;O?"</f>
        <v>#VALUE!</v>
      </c>
      <c r="FS107" t="e">
        <f>'All regions'!B2679+"n/&gt;!&amp;O@"</f>
        <v>#VALUE!</v>
      </c>
      <c r="FT107" t="e">
        <f>'All regions'!C2679+"n/&gt;!&amp;OA"</f>
        <v>#VALUE!</v>
      </c>
      <c r="FU107" t="e">
        <f>'All regions'!D2679+"n/&gt;!&amp;OB"</f>
        <v>#VALUE!</v>
      </c>
      <c r="FV107" t="e">
        <f>'All regions'!E2679+"n/&gt;!&amp;OC"</f>
        <v>#VALUE!</v>
      </c>
      <c r="FW107" t="e">
        <f>'All regions'!F2679+"n/&gt;!&amp;OD"</f>
        <v>#VALUE!</v>
      </c>
      <c r="FX107" t="e">
        <f>'All regions'!G2679+"n/&gt;!&amp;OE"</f>
        <v>#VALUE!</v>
      </c>
      <c r="FY107" t="e">
        <f>'All regions'!H2679+"n/&gt;!&amp;OF"</f>
        <v>#VALUE!</v>
      </c>
      <c r="FZ107" t="e">
        <f>'All regions'!I2679+"n/&gt;!&amp;OG"</f>
        <v>#VALUE!</v>
      </c>
      <c r="GA107" t="e">
        <f>'All regions'!J2679+"n/&gt;!&amp;OH"</f>
        <v>#VALUE!</v>
      </c>
      <c r="GB107" t="e">
        <f>'All regions'!A2680+"n/&gt;!&amp;OI"</f>
        <v>#VALUE!</v>
      </c>
      <c r="GC107" t="e">
        <f>'All regions'!B2680+"n/&gt;!&amp;OJ"</f>
        <v>#VALUE!</v>
      </c>
      <c r="GD107" t="e">
        <f>'All regions'!C2680+"n/&gt;!&amp;OK"</f>
        <v>#VALUE!</v>
      </c>
      <c r="GE107" t="e">
        <f>'All regions'!D2680+"n/&gt;!&amp;OL"</f>
        <v>#VALUE!</v>
      </c>
      <c r="GF107" t="e">
        <f>'All regions'!E2680+"n/&gt;!&amp;OM"</f>
        <v>#VALUE!</v>
      </c>
      <c r="GG107" t="e">
        <f>'All regions'!F2680+"n/&gt;!&amp;ON"</f>
        <v>#VALUE!</v>
      </c>
      <c r="GH107" t="e">
        <f>'All regions'!G2680+"n/&gt;!&amp;OO"</f>
        <v>#VALUE!</v>
      </c>
      <c r="GI107" t="e">
        <f>'All regions'!H2680+"n/&gt;!&amp;OP"</f>
        <v>#VALUE!</v>
      </c>
      <c r="GJ107" t="e">
        <f>'All regions'!I2680+"n/&gt;!&amp;OQ"</f>
        <v>#VALUE!</v>
      </c>
      <c r="GK107" t="e">
        <f>'All regions'!J2680+"n/&gt;!&amp;OR"</f>
        <v>#VALUE!</v>
      </c>
      <c r="GL107" t="e">
        <f>'All regions'!A2681+"n/&gt;!&amp;OS"</f>
        <v>#VALUE!</v>
      </c>
      <c r="GM107" t="e">
        <f>'All regions'!B2681+"n/&gt;!&amp;OT"</f>
        <v>#VALUE!</v>
      </c>
      <c r="GN107" t="e">
        <f>'All regions'!C2681+"n/&gt;!&amp;OU"</f>
        <v>#VALUE!</v>
      </c>
      <c r="GO107" t="e">
        <f>'All regions'!D2681+"n/&gt;!&amp;OV"</f>
        <v>#VALUE!</v>
      </c>
      <c r="GP107" t="e">
        <f>'All regions'!E2681+"n/&gt;!&amp;OW"</f>
        <v>#VALUE!</v>
      </c>
      <c r="GQ107" t="e">
        <f>'All regions'!F2681+"n/&gt;!&amp;OX"</f>
        <v>#VALUE!</v>
      </c>
      <c r="GR107" t="e">
        <f>'All regions'!G2681+"n/&gt;!&amp;OY"</f>
        <v>#VALUE!</v>
      </c>
      <c r="GS107" t="e">
        <f>'All regions'!H2681+"n/&gt;!&amp;OZ"</f>
        <v>#VALUE!</v>
      </c>
      <c r="GT107" t="e">
        <f>'All regions'!I2681+"n/&gt;!&amp;O["</f>
        <v>#VALUE!</v>
      </c>
      <c r="GU107" t="e">
        <f>'All regions'!J2681+"n/&gt;!&amp;O\"</f>
        <v>#VALUE!</v>
      </c>
      <c r="GV107" t="e">
        <f>'All regions'!A2682+"n/&gt;!&amp;O]"</f>
        <v>#VALUE!</v>
      </c>
      <c r="GW107" t="e">
        <f>'All regions'!B2682+"n/&gt;!&amp;O^"</f>
        <v>#VALUE!</v>
      </c>
      <c r="GX107" t="e">
        <f>'All regions'!C2682+"n/&gt;!&amp;O_"</f>
        <v>#VALUE!</v>
      </c>
      <c r="GY107" t="e">
        <f>'All regions'!D2682+"n/&gt;!&amp;O`"</f>
        <v>#VALUE!</v>
      </c>
      <c r="GZ107" t="e">
        <f>'All regions'!E2682+"n/&gt;!&amp;Oa"</f>
        <v>#VALUE!</v>
      </c>
      <c r="HA107" t="e">
        <f>'All regions'!F2682+"n/&gt;!&amp;Ob"</f>
        <v>#VALUE!</v>
      </c>
      <c r="HB107" t="e">
        <f>'All regions'!G2682+"n/&gt;!&amp;Oc"</f>
        <v>#VALUE!</v>
      </c>
      <c r="HC107" t="e">
        <f>'All regions'!H2682+"n/&gt;!&amp;Od"</f>
        <v>#VALUE!</v>
      </c>
      <c r="HD107" t="e">
        <f>'All regions'!I2682+"n/&gt;!&amp;Oe"</f>
        <v>#VALUE!</v>
      </c>
      <c r="HE107" t="e">
        <f>'All regions'!J2682+"n/&gt;!&amp;Of"</f>
        <v>#VALUE!</v>
      </c>
      <c r="HF107" t="e">
        <f>'All regions'!A2683+"n/&gt;!&amp;Og"</f>
        <v>#VALUE!</v>
      </c>
      <c r="HG107" t="e">
        <f>'All regions'!B2683+"n/&gt;!&amp;Oh"</f>
        <v>#VALUE!</v>
      </c>
      <c r="HH107" t="e">
        <f>'All regions'!C2683+"n/&gt;!&amp;Oi"</f>
        <v>#VALUE!</v>
      </c>
      <c r="HI107" t="e">
        <f>'All regions'!D2683+"n/&gt;!&amp;Oj"</f>
        <v>#VALUE!</v>
      </c>
      <c r="HJ107" t="e">
        <f>'All regions'!E2683+"n/&gt;!&amp;Ok"</f>
        <v>#VALUE!</v>
      </c>
      <c r="HK107" t="e">
        <f>'All regions'!F2683+"n/&gt;!&amp;Ol"</f>
        <v>#VALUE!</v>
      </c>
      <c r="HL107" t="e">
        <f>'All regions'!G2683+"n/&gt;!&amp;Om"</f>
        <v>#VALUE!</v>
      </c>
      <c r="HM107" t="e">
        <f>'All regions'!H2683+"n/&gt;!&amp;On"</f>
        <v>#VALUE!</v>
      </c>
      <c r="HN107" t="e">
        <f>'All regions'!I2683+"n/&gt;!&amp;Oo"</f>
        <v>#VALUE!</v>
      </c>
      <c r="HO107" t="e">
        <f>'All regions'!J2683+"n/&gt;!&amp;Op"</f>
        <v>#VALUE!</v>
      </c>
      <c r="HP107" t="e">
        <f>'All regions'!A2684+"n/&gt;!&amp;Oq"</f>
        <v>#VALUE!</v>
      </c>
      <c r="HQ107" t="e">
        <f>'All regions'!B2684+"n/&gt;!&amp;Or"</f>
        <v>#VALUE!</v>
      </c>
      <c r="HR107" t="e">
        <f>'All regions'!C2684+"n/&gt;!&amp;Os"</f>
        <v>#VALUE!</v>
      </c>
      <c r="HS107" t="e">
        <f>'All regions'!D2684+"n/&gt;!&amp;Ot"</f>
        <v>#VALUE!</v>
      </c>
      <c r="HT107" t="e">
        <f>'All regions'!E2684+"n/&gt;!&amp;Ou"</f>
        <v>#VALUE!</v>
      </c>
      <c r="HU107" t="e">
        <f>'All regions'!F2684+"n/&gt;!&amp;Ov"</f>
        <v>#VALUE!</v>
      </c>
      <c r="HV107" t="e">
        <f>'All regions'!G2684+"n/&gt;!&amp;Ow"</f>
        <v>#VALUE!</v>
      </c>
      <c r="HW107" t="e">
        <f>'All regions'!H2684+"n/&gt;!&amp;Ox"</f>
        <v>#VALUE!</v>
      </c>
      <c r="HX107" t="e">
        <f>'All regions'!I2684+"n/&gt;!&amp;Oy"</f>
        <v>#VALUE!</v>
      </c>
      <c r="HY107" t="e">
        <f>'All regions'!J2684+"n/&gt;!&amp;Oz"</f>
        <v>#VALUE!</v>
      </c>
      <c r="HZ107" t="e">
        <f>'All regions'!A2685+"n/&gt;!&amp;O{"</f>
        <v>#VALUE!</v>
      </c>
      <c r="IA107" t="e">
        <f>'All regions'!B2685+"n/&gt;!&amp;O|"</f>
        <v>#VALUE!</v>
      </c>
      <c r="IB107" t="e">
        <f>'All regions'!C2685+"n/&gt;!&amp;O}"</f>
        <v>#VALUE!</v>
      </c>
      <c r="IC107" t="e">
        <f>'All regions'!D2685+"n/&gt;!&amp;O~"</f>
        <v>#VALUE!</v>
      </c>
      <c r="ID107" t="e">
        <f>'All regions'!E2685+"n/&gt;!&amp;P#"</f>
        <v>#VALUE!</v>
      </c>
      <c r="IE107" t="e">
        <f>'All regions'!F2685+"n/&gt;!&amp;P$"</f>
        <v>#VALUE!</v>
      </c>
      <c r="IF107" t="e">
        <f>'All regions'!G2685+"n/&gt;!&amp;P%"</f>
        <v>#VALUE!</v>
      </c>
      <c r="IG107" t="e">
        <f>'All regions'!H2685+"n/&gt;!&amp;P&amp;"</f>
        <v>#VALUE!</v>
      </c>
      <c r="IH107" t="e">
        <f>'All regions'!I2685+"n/&gt;!&amp;P'"</f>
        <v>#VALUE!</v>
      </c>
      <c r="II107" t="e">
        <f>'All regions'!J2685+"n/&gt;!&amp;P("</f>
        <v>#VALUE!</v>
      </c>
      <c r="IJ107" t="e">
        <f>'All regions'!A2686+"n/&gt;!&amp;P)"</f>
        <v>#VALUE!</v>
      </c>
      <c r="IK107" t="e">
        <f>'All regions'!B2686+"n/&gt;!&amp;P."</f>
        <v>#VALUE!</v>
      </c>
      <c r="IL107" t="e">
        <f>'All regions'!C2686+"n/&gt;!&amp;P/"</f>
        <v>#VALUE!</v>
      </c>
      <c r="IM107" t="e">
        <f>'All regions'!D2686+"n/&gt;!&amp;P0"</f>
        <v>#VALUE!</v>
      </c>
      <c r="IN107" t="e">
        <f>'All regions'!E2686+"n/&gt;!&amp;P1"</f>
        <v>#VALUE!</v>
      </c>
      <c r="IO107" t="e">
        <f>'All regions'!F2686+"n/&gt;!&amp;P2"</f>
        <v>#VALUE!</v>
      </c>
      <c r="IP107" t="e">
        <f>'All regions'!G2686+"n/&gt;!&amp;P3"</f>
        <v>#VALUE!</v>
      </c>
      <c r="IQ107" t="e">
        <f>'All regions'!H2686+"n/&gt;!&amp;P4"</f>
        <v>#VALUE!</v>
      </c>
      <c r="IR107" t="e">
        <f>'All regions'!I2686+"n/&gt;!&amp;P5"</f>
        <v>#VALUE!</v>
      </c>
      <c r="IS107" t="e">
        <f>'All regions'!J2686+"n/&gt;!&amp;P6"</f>
        <v>#VALUE!</v>
      </c>
      <c r="IT107" t="e">
        <f>'All regions'!A2687+"n/&gt;!&amp;P7"</f>
        <v>#VALUE!</v>
      </c>
      <c r="IU107" t="e">
        <f>'All regions'!B2687+"n/&gt;!&amp;P8"</f>
        <v>#VALUE!</v>
      </c>
      <c r="IV107" t="e">
        <f>'All regions'!C2687+"n/&gt;!&amp;P9"</f>
        <v>#VALUE!</v>
      </c>
    </row>
    <row r="108" spans="6:256" x14ac:dyDescent="0.35">
      <c r="F108" t="e">
        <f>'All regions'!D2687+"n/&gt;!&amp;P:"</f>
        <v>#VALUE!</v>
      </c>
      <c r="G108" t="e">
        <f>'All regions'!E2687+"n/&gt;!&amp;P;"</f>
        <v>#VALUE!</v>
      </c>
      <c r="H108" t="e">
        <f>'All regions'!F2687+"n/&gt;!&amp;P&lt;"</f>
        <v>#VALUE!</v>
      </c>
      <c r="I108" t="e">
        <f>'All regions'!G2687+"n/&gt;!&amp;P="</f>
        <v>#VALUE!</v>
      </c>
      <c r="J108" t="e">
        <f>'All regions'!H2687+"n/&gt;!&amp;P&gt;"</f>
        <v>#VALUE!</v>
      </c>
      <c r="K108" t="e">
        <f>'All regions'!I2687+"n/&gt;!&amp;P?"</f>
        <v>#VALUE!</v>
      </c>
      <c r="L108" t="e">
        <f>'All regions'!J2687+"n/&gt;!&amp;P@"</f>
        <v>#VALUE!</v>
      </c>
      <c r="M108" t="e">
        <f>'All regions'!A2688+"n/&gt;!&amp;PA"</f>
        <v>#VALUE!</v>
      </c>
      <c r="N108" t="e">
        <f>'All regions'!B2688+"n/&gt;!&amp;PB"</f>
        <v>#VALUE!</v>
      </c>
      <c r="O108" t="e">
        <f>'All regions'!C2688+"n/&gt;!&amp;PC"</f>
        <v>#VALUE!</v>
      </c>
      <c r="P108" t="e">
        <f>'All regions'!D2688+"n/&gt;!&amp;PD"</f>
        <v>#VALUE!</v>
      </c>
      <c r="Q108" t="e">
        <f>'All regions'!E2688+"n/&gt;!&amp;PE"</f>
        <v>#VALUE!</v>
      </c>
      <c r="R108" t="e">
        <f>'All regions'!F2688+"n/&gt;!&amp;PF"</f>
        <v>#VALUE!</v>
      </c>
      <c r="S108" t="e">
        <f>'All regions'!G2688+"n/&gt;!&amp;PG"</f>
        <v>#VALUE!</v>
      </c>
      <c r="T108" t="e">
        <f>'All regions'!H2688+"n/&gt;!&amp;PH"</f>
        <v>#VALUE!</v>
      </c>
      <c r="U108" t="e">
        <f>'All regions'!I2688+"n/&gt;!&amp;PI"</f>
        <v>#VALUE!</v>
      </c>
      <c r="V108" t="e">
        <f>'All regions'!J2688+"n/&gt;!&amp;PJ"</f>
        <v>#VALUE!</v>
      </c>
      <c r="W108" t="e">
        <f>'All regions'!A2689+"n/&gt;!&amp;PK"</f>
        <v>#VALUE!</v>
      </c>
      <c r="X108" t="e">
        <f>'All regions'!B2689+"n/&gt;!&amp;PL"</f>
        <v>#VALUE!</v>
      </c>
      <c r="Y108" t="e">
        <f>'All regions'!C2689+"n/&gt;!&amp;PM"</f>
        <v>#VALUE!</v>
      </c>
      <c r="Z108" t="e">
        <f>'All regions'!D2689+"n/&gt;!&amp;PN"</f>
        <v>#VALUE!</v>
      </c>
      <c r="AA108" t="e">
        <f>'All regions'!E2689+"n/&gt;!&amp;PO"</f>
        <v>#VALUE!</v>
      </c>
      <c r="AB108" t="e">
        <f>'All regions'!F2689+"n/&gt;!&amp;PP"</f>
        <v>#VALUE!</v>
      </c>
      <c r="AC108" t="e">
        <f>'All regions'!G2689+"n/&gt;!&amp;PQ"</f>
        <v>#VALUE!</v>
      </c>
      <c r="AD108" t="e">
        <f>'All regions'!H2689+"n/&gt;!&amp;PR"</f>
        <v>#VALUE!</v>
      </c>
      <c r="AE108" t="e">
        <f>'All regions'!I2689+"n/&gt;!&amp;PS"</f>
        <v>#VALUE!</v>
      </c>
      <c r="AF108" t="e">
        <f>'All regions'!J2689+"n/&gt;!&amp;PT"</f>
        <v>#VALUE!</v>
      </c>
      <c r="AG108" t="e">
        <f>'All regions'!A2690+"n/&gt;!&amp;PU"</f>
        <v>#VALUE!</v>
      </c>
      <c r="AH108" t="e">
        <f>'All regions'!B2690+"n/&gt;!&amp;PV"</f>
        <v>#VALUE!</v>
      </c>
      <c r="AI108" t="e">
        <f>'All regions'!C2690+"n/&gt;!&amp;PW"</f>
        <v>#VALUE!</v>
      </c>
      <c r="AJ108" t="e">
        <f>'All regions'!D2690+"n/&gt;!&amp;PX"</f>
        <v>#VALUE!</v>
      </c>
      <c r="AK108" t="e">
        <f>'All regions'!E2690+"n/&gt;!&amp;PY"</f>
        <v>#VALUE!</v>
      </c>
      <c r="AL108" t="e">
        <f>'All regions'!F2690+"n/&gt;!&amp;PZ"</f>
        <v>#VALUE!</v>
      </c>
      <c r="AM108" t="e">
        <f>'All regions'!G2690+"n/&gt;!&amp;P["</f>
        <v>#VALUE!</v>
      </c>
      <c r="AN108" t="e">
        <f>'All regions'!H2690+"n/&gt;!&amp;P\"</f>
        <v>#VALUE!</v>
      </c>
      <c r="AO108" t="e">
        <f>'All regions'!I2690+"n/&gt;!&amp;P]"</f>
        <v>#VALUE!</v>
      </c>
      <c r="AP108" t="e">
        <f>'All regions'!J2690+"n/&gt;!&amp;P^"</f>
        <v>#VALUE!</v>
      </c>
      <c r="AQ108" t="e">
        <f>'All regions'!A2691+"n/&gt;!&amp;P_"</f>
        <v>#VALUE!</v>
      </c>
      <c r="AR108" t="e">
        <f>'All regions'!B2691+"n/&gt;!&amp;P`"</f>
        <v>#VALUE!</v>
      </c>
      <c r="AS108" t="e">
        <f>'All regions'!C2691+"n/&gt;!&amp;Pa"</f>
        <v>#VALUE!</v>
      </c>
      <c r="AT108" t="e">
        <f>'All regions'!D2691+"n/&gt;!&amp;Pb"</f>
        <v>#VALUE!</v>
      </c>
      <c r="AU108" t="e">
        <f>'All regions'!E2691+"n/&gt;!&amp;Pc"</f>
        <v>#VALUE!</v>
      </c>
      <c r="AV108" t="e">
        <f>'All regions'!F2691+"n/&gt;!&amp;Pd"</f>
        <v>#VALUE!</v>
      </c>
      <c r="AW108" t="e">
        <f>'All regions'!G2691+"n/&gt;!&amp;Pe"</f>
        <v>#VALUE!</v>
      </c>
      <c r="AX108" t="e">
        <f>'All regions'!H2691+"n/&gt;!&amp;Pf"</f>
        <v>#VALUE!</v>
      </c>
      <c r="AY108" t="e">
        <f>'All regions'!I2691+"n/&gt;!&amp;Pg"</f>
        <v>#VALUE!</v>
      </c>
      <c r="AZ108" t="e">
        <f>'All regions'!J2691+"n/&gt;!&amp;Ph"</f>
        <v>#VALUE!</v>
      </c>
      <c r="BA108" t="e">
        <f>'All regions'!A2692+"n/&gt;!&amp;Pi"</f>
        <v>#VALUE!</v>
      </c>
      <c r="BB108" t="e">
        <f>'All regions'!B2692+"n/&gt;!&amp;Pj"</f>
        <v>#VALUE!</v>
      </c>
      <c r="BC108" t="e">
        <f>'All regions'!C2692+"n/&gt;!&amp;Pk"</f>
        <v>#VALUE!</v>
      </c>
      <c r="BD108" t="e">
        <f>'All regions'!D2692+"n/&gt;!&amp;Pl"</f>
        <v>#VALUE!</v>
      </c>
      <c r="BE108" t="e">
        <f>'All regions'!E2692+"n/&gt;!&amp;Pm"</f>
        <v>#VALUE!</v>
      </c>
      <c r="BF108" t="e">
        <f>'All regions'!F2692+"n/&gt;!&amp;Pn"</f>
        <v>#VALUE!</v>
      </c>
      <c r="BG108" t="e">
        <f>'All regions'!G2692+"n/&gt;!&amp;Po"</f>
        <v>#VALUE!</v>
      </c>
      <c r="BH108" t="e">
        <f>'All regions'!H2692+"n/&gt;!&amp;Pp"</f>
        <v>#VALUE!</v>
      </c>
      <c r="BI108" t="e">
        <f>'All regions'!I2692+"n/&gt;!&amp;Pq"</f>
        <v>#VALUE!</v>
      </c>
      <c r="BJ108" t="e">
        <f>'All regions'!J2692+"n/&gt;!&amp;Pr"</f>
        <v>#VALUE!</v>
      </c>
      <c r="BK108" t="e">
        <f>'All regions'!A2693+"n/&gt;!&amp;Ps"</f>
        <v>#VALUE!</v>
      </c>
      <c r="BL108" t="e">
        <f>'All regions'!B2693+"n/&gt;!&amp;Pt"</f>
        <v>#VALUE!</v>
      </c>
      <c r="BM108" t="e">
        <f>'All regions'!C2693+"n/&gt;!&amp;Pu"</f>
        <v>#VALUE!</v>
      </c>
      <c r="BN108" t="e">
        <f>'All regions'!D2693+"n/&gt;!&amp;Pv"</f>
        <v>#VALUE!</v>
      </c>
      <c r="BO108" t="e">
        <f>'All regions'!E2693+"n/&gt;!&amp;Pw"</f>
        <v>#VALUE!</v>
      </c>
      <c r="BP108" t="e">
        <f>'All regions'!F2693+"n/&gt;!&amp;Px"</f>
        <v>#VALUE!</v>
      </c>
      <c r="BQ108" t="e">
        <f>'All regions'!G2693+"n/&gt;!&amp;Py"</f>
        <v>#VALUE!</v>
      </c>
      <c r="BR108" t="e">
        <f>'All regions'!H2693+"n/&gt;!&amp;Pz"</f>
        <v>#VALUE!</v>
      </c>
      <c r="BS108" t="e">
        <f>'All regions'!I2693+"n/&gt;!&amp;P{"</f>
        <v>#VALUE!</v>
      </c>
      <c r="BT108" t="e">
        <f>'All regions'!J2693+"n/&gt;!&amp;P|"</f>
        <v>#VALUE!</v>
      </c>
      <c r="BU108" t="e">
        <f>'All regions'!A2694+"n/&gt;!&amp;P}"</f>
        <v>#VALUE!</v>
      </c>
      <c r="BV108" t="e">
        <f>'All regions'!B2694+"n/&gt;!&amp;P~"</f>
        <v>#VALUE!</v>
      </c>
      <c r="BW108" t="e">
        <f>'All regions'!C2694+"n/&gt;!&amp;Q#"</f>
        <v>#VALUE!</v>
      </c>
      <c r="BX108" t="e">
        <f>'All regions'!D2694+"n/&gt;!&amp;Q$"</f>
        <v>#VALUE!</v>
      </c>
      <c r="BY108" t="e">
        <f>'All regions'!E2694+"n/&gt;!&amp;Q%"</f>
        <v>#VALUE!</v>
      </c>
      <c r="BZ108" t="e">
        <f>'All regions'!F2694+"n/&gt;!&amp;Q&amp;"</f>
        <v>#VALUE!</v>
      </c>
      <c r="CA108" t="e">
        <f>'All regions'!G2694+"n/&gt;!&amp;Q'"</f>
        <v>#VALUE!</v>
      </c>
      <c r="CB108" t="e">
        <f>'All regions'!H2694+"n/&gt;!&amp;Q("</f>
        <v>#VALUE!</v>
      </c>
      <c r="CC108" t="e">
        <f>'All regions'!I2694+"n/&gt;!&amp;Q)"</f>
        <v>#VALUE!</v>
      </c>
      <c r="CD108" t="e">
        <f>'All regions'!J2694+"n/&gt;!&amp;Q."</f>
        <v>#VALUE!</v>
      </c>
      <c r="CE108" t="e">
        <f>'All regions'!A2695+"n/&gt;!&amp;Q/"</f>
        <v>#VALUE!</v>
      </c>
      <c r="CF108" t="e">
        <f>'All regions'!B2695+"n/&gt;!&amp;Q0"</f>
        <v>#VALUE!</v>
      </c>
      <c r="CG108" t="e">
        <f>'All regions'!C2695+"n/&gt;!&amp;Q1"</f>
        <v>#VALUE!</v>
      </c>
      <c r="CH108" t="e">
        <f>'All regions'!D2695+"n/&gt;!&amp;Q2"</f>
        <v>#VALUE!</v>
      </c>
      <c r="CI108" t="e">
        <f>'All regions'!E2695+"n/&gt;!&amp;Q3"</f>
        <v>#VALUE!</v>
      </c>
      <c r="CJ108" t="e">
        <f>'All regions'!F2695+"n/&gt;!&amp;Q4"</f>
        <v>#VALUE!</v>
      </c>
      <c r="CK108" t="e">
        <f>'All regions'!G2695+"n/&gt;!&amp;Q5"</f>
        <v>#VALUE!</v>
      </c>
      <c r="CL108" t="e">
        <f>'All regions'!H2695+"n/&gt;!&amp;Q6"</f>
        <v>#VALUE!</v>
      </c>
      <c r="CM108" t="e">
        <f>'All regions'!I2695+"n/&gt;!&amp;Q7"</f>
        <v>#VALUE!</v>
      </c>
      <c r="CN108" t="e">
        <f>'All regions'!J2695+"n/&gt;!&amp;Q8"</f>
        <v>#VALUE!</v>
      </c>
      <c r="CO108" t="e">
        <f>'All regions'!A2696+"n/&gt;!&amp;Q9"</f>
        <v>#VALUE!</v>
      </c>
      <c r="CP108" t="e">
        <f>'All regions'!B2696+"n/&gt;!&amp;Q:"</f>
        <v>#VALUE!</v>
      </c>
      <c r="CQ108" t="e">
        <f>'All regions'!C2696+"n/&gt;!&amp;Q;"</f>
        <v>#VALUE!</v>
      </c>
      <c r="CR108" t="e">
        <f>'All regions'!D2696+"n/&gt;!&amp;Q&lt;"</f>
        <v>#VALUE!</v>
      </c>
      <c r="CS108" t="e">
        <f>'All regions'!E2696+"n/&gt;!&amp;Q="</f>
        <v>#VALUE!</v>
      </c>
      <c r="CT108" t="e">
        <f>'All regions'!F2696+"n/&gt;!&amp;Q&gt;"</f>
        <v>#VALUE!</v>
      </c>
      <c r="CU108" t="e">
        <f>'All regions'!G2696+"n/&gt;!&amp;Q?"</f>
        <v>#VALUE!</v>
      </c>
      <c r="CV108" t="e">
        <f>'All regions'!H2696+"n/&gt;!&amp;Q@"</f>
        <v>#VALUE!</v>
      </c>
      <c r="CW108" t="e">
        <f>'All regions'!I2696+"n/&gt;!&amp;QA"</f>
        <v>#VALUE!</v>
      </c>
      <c r="CX108" t="e">
        <f>'All regions'!J2696+"n/&gt;!&amp;QB"</f>
        <v>#VALUE!</v>
      </c>
      <c r="CY108" t="e">
        <f>'All regions'!A2697+"n/&gt;!&amp;QC"</f>
        <v>#VALUE!</v>
      </c>
      <c r="CZ108" t="e">
        <f>'All regions'!B2697+"n/&gt;!&amp;QD"</f>
        <v>#VALUE!</v>
      </c>
      <c r="DA108" t="e">
        <f>'All regions'!C2697+"n/&gt;!&amp;QE"</f>
        <v>#VALUE!</v>
      </c>
      <c r="DB108" t="e">
        <f>'All regions'!D2697+"n/&gt;!&amp;QF"</f>
        <v>#VALUE!</v>
      </c>
      <c r="DC108" t="e">
        <f>'All regions'!E2697+"n/&gt;!&amp;QG"</f>
        <v>#VALUE!</v>
      </c>
      <c r="DD108" t="e">
        <f>'All regions'!F2697+"n/&gt;!&amp;QH"</f>
        <v>#VALUE!</v>
      </c>
      <c r="DE108" t="e">
        <f>'All regions'!G2697+"n/&gt;!&amp;QI"</f>
        <v>#VALUE!</v>
      </c>
      <c r="DF108" t="e">
        <f>'All regions'!H2697+"n/&gt;!&amp;QJ"</f>
        <v>#VALUE!</v>
      </c>
      <c r="DG108" t="e">
        <f>'All regions'!I2697+"n/&gt;!&amp;QK"</f>
        <v>#VALUE!</v>
      </c>
      <c r="DH108" t="e">
        <f>'All regions'!J2697+"n/&gt;!&amp;QL"</f>
        <v>#VALUE!</v>
      </c>
      <c r="DI108" t="e">
        <f>'All regions'!A2698+"n/&gt;!&amp;QM"</f>
        <v>#VALUE!</v>
      </c>
      <c r="DJ108" t="e">
        <f>'All regions'!B2698+"n/&gt;!&amp;QN"</f>
        <v>#VALUE!</v>
      </c>
      <c r="DK108" t="e">
        <f>'All regions'!C2698+"n/&gt;!&amp;QO"</f>
        <v>#VALUE!</v>
      </c>
      <c r="DL108" t="e">
        <f>'All regions'!D2698+"n/&gt;!&amp;QP"</f>
        <v>#VALUE!</v>
      </c>
      <c r="DM108" t="e">
        <f>'All regions'!E2698+"n/&gt;!&amp;QQ"</f>
        <v>#VALUE!</v>
      </c>
      <c r="DN108" t="e">
        <f>'All regions'!F2698+"n/&gt;!&amp;QR"</f>
        <v>#VALUE!</v>
      </c>
      <c r="DO108" t="e">
        <f>'All regions'!G2698+"n/&gt;!&amp;QS"</f>
        <v>#VALUE!</v>
      </c>
      <c r="DP108" t="e">
        <f>'All regions'!H2698+"n/&gt;!&amp;QT"</f>
        <v>#VALUE!</v>
      </c>
      <c r="DQ108" t="e">
        <f>'All regions'!I2698+"n/&gt;!&amp;QU"</f>
        <v>#VALUE!</v>
      </c>
      <c r="DR108" t="e">
        <f>'All regions'!J2698+"n/&gt;!&amp;QV"</f>
        <v>#VALUE!</v>
      </c>
      <c r="DS108" t="e">
        <f>'All regions'!A2699+"n/&gt;!&amp;QW"</f>
        <v>#VALUE!</v>
      </c>
      <c r="DT108" t="e">
        <f>'All regions'!B2699+"n/&gt;!&amp;QX"</f>
        <v>#VALUE!</v>
      </c>
      <c r="DU108" t="e">
        <f>'All regions'!C2699+"n/&gt;!&amp;QY"</f>
        <v>#VALUE!</v>
      </c>
      <c r="DV108" t="e">
        <f>'All regions'!D2699+"n/&gt;!&amp;QZ"</f>
        <v>#VALUE!</v>
      </c>
      <c r="DW108" t="e">
        <f>'All regions'!E2699+"n/&gt;!&amp;Q["</f>
        <v>#VALUE!</v>
      </c>
      <c r="DX108" t="e">
        <f>'All regions'!F2699+"n/&gt;!&amp;Q\"</f>
        <v>#VALUE!</v>
      </c>
      <c r="DY108" t="e">
        <f>'All regions'!G2699+"n/&gt;!&amp;Q]"</f>
        <v>#VALUE!</v>
      </c>
      <c r="DZ108" t="e">
        <f>'All regions'!H2699+"n/&gt;!&amp;Q^"</f>
        <v>#VALUE!</v>
      </c>
      <c r="EA108" t="e">
        <f>'All regions'!I2699+"n/&gt;!&amp;Q_"</f>
        <v>#VALUE!</v>
      </c>
      <c r="EB108" t="e">
        <f>'All regions'!J2699+"n/&gt;!&amp;Q`"</f>
        <v>#VALUE!</v>
      </c>
      <c r="EC108" t="e">
        <f>'All regions'!A2700+"n/&gt;!&amp;Qa"</f>
        <v>#VALUE!</v>
      </c>
      <c r="ED108" t="e">
        <f>'All regions'!B2700+"n/&gt;!&amp;Qb"</f>
        <v>#VALUE!</v>
      </c>
      <c r="EE108" t="e">
        <f>'All regions'!C2700+"n/&gt;!&amp;Qc"</f>
        <v>#VALUE!</v>
      </c>
      <c r="EF108" t="e">
        <f>'All regions'!D2700+"n/&gt;!&amp;Qd"</f>
        <v>#VALUE!</v>
      </c>
      <c r="EG108" t="e">
        <f>'All regions'!E2700+"n/&gt;!&amp;Qe"</f>
        <v>#VALUE!</v>
      </c>
      <c r="EH108" t="e">
        <f>'All regions'!F2700+"n/&gt;!&amp;Qf"</f>
        <v>#VALUE!</v>
      </c>
      <c r="EI108" t="e">
        <f>'All regions'!G2700+"n/&gt;!&amp;Qg"</f>
        <v>#VALUE!</v>
      </c>
      <c r="EJ108" t="e">
        <f>'All regions'!H2700+"n/&gt;!&amp;Qh"</f>
        <v>#VALUE!</v>
      </c>
      <c r="EK108" t="e">
        <f>'All regions'!I2700+"n/&gt;!&amp;Qi"</f>
        <v>#VALUE!</v>
      </c>
      <c r="EL108" t="e">
        <f>'All regions'!J2700+"n/&gt;!&amp;Qj"</f>
        <v>#VALUE!</v>
      </c>
      <c r="EM108" t="e">
        <f>'All regions'!A2701+"n/&gt;!&amp;Qk"</f>
        <v>#VALUE!</v>
      </c>
      <c r="EN108" t="e">
        <f>'All regions'!B2701+"n/&gt;!&amp;Ql"</f>
        <v>#VALUE!</v>
      </c>
      <c r="EO108" t="e">
        <f>'All regions'!C2701+"n/&gt;!&amp;Qm"</f>
        <v>#VALUE!</v>
      </c>
      <c r="EP108" t="e">
        <f>'All regions'!D2701+"n/&gt;!&amp;Qn"</f>
        <v>#VALUE!</v>
      </c>
      <c r="EQ108" t="e">
        <f>'All regions'!E2701+"n/&gt;!&amp;Qo"</f>
        <v>#VALUE!</v>
      </c>
      <c r="ER108" t="e">
        <f>'All regions'!F2701+"n/&gt;!&amp;Qp"</f>
        <v>#VALUE!</v>
      </c>
      <c r="ES108" t="e">
        <f>'All regions'!G2701+"n/&gt;!&amp;Qq"</f>
        <v>#VALUE!</v>
      </c>
      <c r="ET108" t="e">
        <f>'All regions'!H2701+"n/&gt;!&amp;Qr"</f>
        <v>#VALUE!</v>
      </c>
      <c r="EU108" t="e">
        <f>'All regions'!I2701+"n/&gt;!&amp;Qs"</f>
        <v>#VALUE!</v>
      </c>
      <c r="EV108" t="e">
        <f>'All regions'!J2701+"n/&gt;!&amp;Qt"</f>
        <v>#VALUE!</v>
      </c>
      <c r="EW108" t="e">
        <f>'All regions'!A2702+"n/&gt;!&amp;Qu"</f>
        <v>#VALUE!</v>
      </c>
      <c r="EX108" t="e">
        <f>'All regions'!B2702+"n/&gt;!&amp;Qv"</f>
        <v>#VALUE!</v>
      </c>
      <c r="EY108" t="e">
        <f>'All regions'!C2702+"n/&gt;!&amp;Qw"</f>
        <v>#VALUE!</v>
      </c>
      <c r="EZ108" t="e">
        <f>'All regions'!D2702+"n/&gt;!&amp;Qx"</f>
        <v>#VALUE!</v>
      </c>
      <c r="FA108" t="e">
        <f>'All regions'!E2702+"n/&gt;!&amp;Qy"</f>
        <v>#VALUE!</v>
      </c>
      <c r="FB108" t="e">
        <f>'All regions'!F2702+"n/&gt;!&amp;Qz"</f>
        <v>#VALUE!</v>
      </c>
      <c r="FC108" t="e">
        <f>'All regions'!G2702+"n/&gt;!&amp;Q{"</f>
        <v>#VALUE!</v>
      </c>
      <c r="FD108" t="e">
        <f>'All regions'!H2702+"n/&gt;!&amp;Q|"</f>
        <v>#VALUE!</v>
      </c>
      <c r="FE108" t="e">
        <f>'All regions'!I2702+"n/&gt;!&amp;Q}"</f>
        <v>#VALUE!</v>
      </c>
      <c r="FF108" t="e">
        <f>'All regions'!J2702+"n/&gt;!&amp;Q~"</f>
        <v>#VALUE!</v>
      </c>
      <c r="FG108" t="e">
        <f>'All regions'!A2703+"n/&gt;!&amp;R#"</f>
        <v>#VALUE!</v>
      </c>
      <c r="FH108" t="e">
        <f>'All regions'!B2703+"n/&gt;!&amp;R$"</f>
        <v>#VALUE!</v>
      </c>
      <c r="FI108" t="e">
        <f>'All regions'!C2703+"n/&gt;!&amp;R%"</f>
        <v>#VALUE!</v>
      </c>
      <c r="FJ108" t="e">
        <f>'All regions'!D2703+"n/&gt;!&amp;R&amp;"</f>
        <v>#VALUE!</v>
      </c>
      <c r="FK108" t="e">
        <f>'All regions'!E2703+"n/&gt;!&amp;R'"</f>
        <v>#VALUE!</v>
      </c>
      <c r="FL108" t="e">
        <f>'All regions'!F2703+"n/&gt;!&amp;R("</f>
        <v>#VALUE!</v>
      </c>
      <c r="FM108" t="e">
        <f>'All regions'!G2703+"n/&gt;!&amp;R)"</f>
        <v>#VALUE!</v>
      </c>
      <c r="FN108" t="e">
        <f>'All regions'!H2703+"n/&gt;!&amp;R."</f>
        <v>#VALUE!</v>
      </c>
      <c r="FO108" t="e">
        <f>'All regions'!I2703+"n/&gt;!&amp;R/"</f>
        <v>#VALUE!</v>
      </c>
      <c r="FP108" t="e">
        <f>'All regions'!J2703+"n/&gt;!&amp;R0"</f>
        <v>#VALUE!</v>
      </c>
      <c r="FQ108" t="e">
        <f>'All regions'!A2704+"n/&gt;!&amp;R1"</f>
        <v>#VALUE!</v>
      </c>
      <c r="FR108" t="e">
        <f>'All regions'!B2704+"n/&gt;!&amp;R2"</f>
        <v>#VALUE!</v>
      </c>
      <c r="FS108" t="e">
        <f>'All regions'!C2704+"n/&gt;!&amp;R3"</f>
        <v>#VALUE!</v>
      </c>
      <c r="FT108" t="e">
        <f>'All regions'!D2704+"n/&gt;!&amp;R4"</f>
        <v>#VALUE!</v>
      </c>
      <c r="FU108" t="e">
        <f>'All regions'!E2704+"n/&gt;!&amp;R5"</f>
        <v>#VALUE!</v>
      </c>
      <c r="FV108" t="e">
        <f>'All regions'!F2704+"n/&gt;!&amp;R6"</f>
        <v>#VALUE!</v>
      </c>
      <c r="FW108" t="e">
        <f>'All regions'!G2704+"n/&gt;!&amp;R7"</f>
        <v>#VALUE!</v>
      </c>
      <c r="FX108" t="e">
        <f>'All regions'!H2704+"n/&gt;!&amp;R8"</f>
        <v>#VALUE!</v>
      </c>
      <c r="FY108" t="e">
        <f>'All regions'!I2704+"n/&gt;!&amp;R9"</f>
        <v>#VALUE!</v>
      </c>
      <c r="FZ108" t="e">
        <f>'All regions'!J2704+"n/&gt;!&amp;R:"</f>
        <v>#VALUE!</v>
      </c>
      <c r="GA108" t="e">
        <f>'All regions'!A2705+"n/&gt;!&amp;R;"</f>
        <v>#VALUE!</v>
      </c>
      <c r="GB108" t="e">
        <f>'All regions'!B2705+"n/&gt;!&amp;R&lt;"</f>
        <v>#VALUE!</v>
      </c>
      <c r="GC108" t="e">
        <f>'All regions'!C2705+"n/&gt;!&amp;R="</f>
        <v>#VALUE!</v>
      </c>
      <c r="GD108" t="e">
        <f>'All regions'!D2705+"n/&gt;!&amp;R&gt;"</f>
        <v>#VALUE!</v>
      </c>
      <c r="GE108" t="e">
        <f>'All regions'!E2705+"n/&gt;!&amp;R?"</f>
        <v>#VALUE!</v>
      </c>
      <c r="GF108" t="e">
        <f>'All regions'!F2705+"n/&gt;!&amp;R@"</f>
        <v>#VALUE!</v>
      </c>
      <c r="GG108" t="e">
        <f>'All regions'!G2705+"n/&gt;!&amp;RA"</f>
        <v>#VALUE!</v>
      </c>
      <c r="GH108" t="e">
        <f>'All regions'!H2705+"n/&gt;!&amp;RB"</f>
        <v>#VALUE!</v>
      </c>
      <c r="GI108" t="e">
        <f>'All regions'!I2705+"n/&gt;!&amp;RC"</f>
        <v>#VALUE!</v>
      </c>
      <c r="GJ108" t="e">
        <f>'All regions'!J2705+"n/&gt;!&amp;RD"</f>
        <v>#VALUE!</v>
      </c>
      <c r="GK108" t="e">
        <f>'All regions'!A2706+"n/&gt;!&amp;RE"</f>
        <v>#VALUE!</v>
      </c>
      <c r="GL108" t="e">
        <f>'All regions'!B2706+"n/&gt;!&amp;RF"</f>
        <v>#VALUE!</v>
      </c>
      <c r="GM108" t="e">
        <f>'All regions'!C2706+"n/&gt;!&amp;RG"</f>
        <v>#VALUE!</v>
      </c>
      <c r="GN108" t="e">
        <f>'All regions'!D2706+"n/&gt;!&amp;RH"</f>
        <v>#VALUE!</v>
      </c>
      <c r="GO108" t="e">
        <f>'All regions'!E2706+"n/&gt;!&amp;RI"</f>
        <v>#VALUE!</v>
      </c>
      <c r="GP108" t="e">
        <f>'All regions'!F2706+"n/&gt;!&amp;RJ"</f>
        <v>#VALUE!</v>
      </c>
      <c r="GQ108" t="e">
        <f>'All regions'!G2706+"n/&gt;!&amp;RK"</f>
        <v>#VALUE!</v>
      </c>
      <c r="GR108" t="e">
        <f>'All regions'!H2706+"n/&gt;!&amp;RL"</f>
        <v>#VALUE!</v>
      </c>
      <c r="GS108" t="e">
        <f>'All regions'!I2706+"n/&gt;!&amp;RM"</f>
        <v>#VALUE!</v>
      </c>
      <c r="GT108" t="e">
        <f>'All regions'!J2706+"n/&gt;!&amp;RN"</f>
        <v>#VALUE!</v>
      </c>
      <c r="GU108" t="e">
        <f>'All regions'!A2707+"n/&gt;!&amp;RO"</f>
        <v>#VALUE!</v>
      </c>
      <c r="GV108" t="e">
        <f>'All regions'!B2707+"n/&gt;!&amp;RP"</f>
        <v>#VALUE!</v>
      </c>
      <c r="GW108" t="e">
        <f>'All regions'!C2707+"n/&gt;!&amp;RQ"</f>
        <v>#VALUE!</v>
      </c>
      <c r="GX108" t="e">
        <f>'All regions'!D2707+"n/&gt;!&amp;RR"</f>
        <v>#VALUE!</v>
      </c>
      <c r="GY108" t="e">
        <f>'All regions'!E2707+"n/&gt;!&amp;RS"</f>
        <v>#VALUE!</v>
      </c>
      <c r="GZ108" t="e">
        <f>'All regions'!F2707+"n/&gt;!&amp;RT"</f>
        <v>#VALUE!</v>
      </c>
      <c r="HA108" t="e">
        <f>'All regions'!G2707+"n/&gt;!&amp;RU"</f>
        <v>#VALUE!</v>
      </c>
      <c r="HB108" t="e">
        <f>'All regions'!H2707+"n/&gt;!&amp;RV"</f>
        <v>#VALUE!</v>
      </c>
      <c r="HC108" t="e">
        <f>'All regions'!I2707+"n/&gt;!&amp;RW"</f>
        <v>#VALUE!</v>
      </c>
      <c r="HD108" t="e">
        <f>'All regions'!J2707+"n/&gt;!&amp;RX"</f>
        <v>#VALUE!</v>
      </c>
      <c r="HE108" t="e">
        <f>'All regions'!A2708+"n/&gt;!&amp;RY"</f>
        <v>#VALUE!</v>
      </c>
      <c r="HF108" t="e">
        <f>'All regions'!B2708+"n/&gt;!&amp;RZ"</f>
        <v>#VALUE!</v>
      </c>
      <c r="HG108" t="e">
        <f>'All regions'!C2708+"n/&gt;!&amp;R["</f>
        <v>#VALUE!</v>
      </c>
      <c r="HH108" t="e">
        <f>'All regions'!D2708+"n/&gt;!&amp;R\"</f>
        <v>#VALUE!</v>
      </c>
      <c r="HI108" t="e">
        <f>'All regions'!E2708+"n/&gt;!&amp;R]"</f>
        <v>#VALUE!</v>
      </c>
      <c r="HJ108" t="e">
        <f>'All regions'!F2708+"n/&gt;!&amp;R^"</f>
        <v>#VALUE!</v>
      </c>
      <c r="HK108" t="e">
        <f>'All regions'!G2708+"n/&gt;!&amp;R_"</f>
        <v>#VALUE!</v>
      </c>
      <c r="HL108" t="e">
        <f>'All regions'!H2708+"n/&gt;!&amp;R`"</f>
        <v>#VALUE!</v>
      </c>
      <c r="HM108" t="e">
        <f>'All regions'!I2708+"n/&gt;!&amp;Ra"</f>
        <v>#VALUE!</v>
      </c>
      <c r="HN108" t="e">
        <f>'All regions'!J2708+"n/&gt;!&amp;Rb"</f>
        <v>#VALUE!</v>
      </c>
      <c r="HO108" t="e">
        <f>'All regions'!A2709+"n/&gt;!&amp;Rc"</f>
        <v>#VALUE!</v>
      </c>
      <c r="HP108" t="e">
        <f>'All regions'!B2709+"n/&gt;!&amp;Rd"</f>
        <v>#VALUE!</v>
      </c>
      <c r="HQ108" t="e">
        <f>'All regions'!C2709+"n/&gt;!&amp;Re"</f>
        <v>#VALUE!</v>
      </c>
      <c r="HR108" t="e">
        <f>'All regions'!D2709+"n/&gt;!&amp;Rf"</f>
        <v>#VALUE!</v>
      </c>
      <c r="HS108" t="e">
        <f>'All regions'!E2709+"n/&gt;!&amp;Rg"</f>
        <v>#VALUE!</v>
      </c>
      <c r="HT108" t="e">
        <f>'All regions'!F2709+"n/&gt;!&amp;Rh"</f>
        <v>#VALUE!</v>
      </c>
      <c r="HU108" t="e">
        <f>'All regions'!G2709+"n/&gt;!&amp;Ri"</f>
        <v>#VALUE!</v>
      </c>
      <c r="HV108" t="e">
        <f>'All regions'!H2709+"n/&gt;!&amp;Rj"</f>
        <v>#VALUE!</v>
      </c>
      <c r="HW108" t="e">
        <f>'All regions'!I2709+"n/&gt;!&amp;Rk"</f>
        <v>#VALUE!</v>
      </c>
      <c r="HX108" t="e">
        <f>'All regions'!J2709+"n/&gt;!&amp;Rl"</f>
        <v>#VALUE!</v>
      </c>
      <c r="HY108" t="e">
        <f>'All regions'!A2710+"n/&gt;!&amp;Rm"</f>
        <v>#VALUE!</v>
      </c>
      <c r="HZ108" t="e">
        <f>'All regions'!B2710+"n/&gt;!&amp;Rn"</f>
        <v>#VALUE!</v>
      </c>
      <c r="IA108" t="e">
        <f>'All regions'!C2710+"n/&gt;!&amp;Ro"</f>
        <v>#VALUE!</v>
      </c>
      <c r="IB108" t="e">
        <f>'All regions'!D2710+"n/&gt;!&amp;Rp"</f>
        <v>#VALUE!</v>
      </c>
      <c r="IC108" t="e">
        <f>'All regions'!E2710+"n/&gt;!&amp;Rq"</f>
        <v>#VALUE!</v>
      </c>
      <c r="ID108" t="e">
        <f>'All regions'!F2710+"n/&gt;!&amp;Rr"</f>
        <v>#VALUE!</v>
      </c>
      <c r="IE108" t="e">
        <f>'All regions'!G2710+"n/&gt;!&amp;Rs"</f>
        <v>#VALUE!</v>
      </c>
      <c r="IF108" t="e">
        <f>'All regions'!H2710+"n/&gt;!&amp;Rt"</f>
        <v>#VALUE!</v>
      </c>
      <c r="IG108" t="e">
        <f>'All regions'!I2710+"n/&gt;!&amp;Ru"</f>
        <v>#VALUE!</v>
      </c>
      <c r="IH108" t="e">
        <f>'All regions'!J2710+"n/&gt;!&amp;Rv"</f>
        <v>#VALUE!</v>
      </c>
      <c r="II108" t="e">
        <f>'All regions'!A2711+"n/&gt;!&amp;Rw"</f>
        <v>#VALUE!</v>
      </c>
      <c r="IJ108" t="e">
        <f>'All regions'!B2711+"n/&gt;!&amp;Rx"</f>
        <v>#VALUE!</v>
      </c>
      <c r="IK108" t="e">
        <f>'All regions'!C2711+"n/&gt;!&amp;Ry"</f>
        <v>#VALUE!</v>
      </c>
      <c r="IL108" t="e">
        <f>'All regions'!D2711+"n/&gt;!&amp;Rz"</f>
        <v>#VALUE!</v>
      </c>
      <c r="IM108" t="e">
        <f>'All regions'!E2711+"n/&gt;!&amp;R{"</f>
        <v>#VALUE!</v>
      </c>
      <c r="IN108" t="e">
        <f>'All regions'!F2711+"n/&gt;!&amp;R|"</f>
        <v>#VALUE!</v>
      </c>
      <c r="IO108" t="e">
        <f>'All regions'!G2711+"n/&gt;!&amp;R}"</f>
        <v>#VALUE!</v>
      </c>
      <c r="IP108" t="e">
        <f>'All regions'!H2711+"n/&gt;!&amp;R~"</f>
        <v>#VALUE!</v>
      </c>
      <c r="IQ108" t="e">
        <f>'All regions'!I2711+"n/&gt;!&amp;S#"</f>
        <v>#VALUE!</v>
      </c>
      <c r="IR108" t="e">
        <f>'All regions'!J2711+"n/&gt;!&amp;S$"</f>
        <v>#VALUE!</v>
      </c>
      <c r="IS108" t="e">
        <f>'All regions'!A2712+"n/&gt;!&amp;S%"</f>
        <v>#VALUE!</v>
      </c>
      <c r="IT108" t="e">
        <f>'All regions'!B2712+"n/&gt;!&amp;S&amp;"</f>
        <v>#VALUE!</v>
      </c>
      <c r="IU108" t="e">
        <f>'All regions'!C2712+"n/&gt;!&amp;S'"</f>
        <v>#VALUE!</v>
      </c>
      <c r="IV108" t="e">
        <f>'All regions'!D2712+"n/&gt;!&amp;S("</f>
        <v>#VALUE!</v>
      </c>
    </row>
    <row r="109" spans="6:256" x14ac:dyDescent="0.35">
      <c r="F109" t="e">
        <f>'All regions'!E2712+"n/&gt;!&amp;S)"</f>
        <v>#VALUE!</v>
      </c>
      <c r="G109" t="e">
        <f>'All regions'!F2712+"n/&gt;!&amp;S."</f>
        <v>#VALUE!</v>
      </c>
      <c r="H109" t="e">
        <f>'All regions'!G2712+"n/&gt;!&amp;S/"</f>
        <v>#VALUE!</v>
      </c>
      <c r="I109" t="e">
        <f>'All regions'!H2712+"n/&gt;!&amp;S0"</f>
        <v>#VALUE!</v>
      </c>
      <c r="J109" t="e">
        <f>'All regions'!I2712+"n/&gt;!&amp;S1"</f>
        <v>#VALUE!</v>
      </c>
      <c r="K109" t="e">
        <f>'All regions'!J2712+"n/&gt;!&amp;S2"</f>
        <v>#VALUE!</v>
      </c>
      <c r="L109" t="e">
        <f>'All regions'!A2713+"n/&gt;!&amp;S3"</f>
        <v>#VALUE!</v>
      </c>
      <c r="M109" t="e">
        <f>'All regions'!B2713+"n/&gt;!&amp;S4"</f>
        <v>#VALUE!</v>
      </c>
      <c r="N109" t="e">
        <f>'All regions'!C2713+"n/&gt;!&amp;S5"</f>
        <v>#VALUE!</v>
      </c>
      <c r="O109" t="e">
        <f>'All regions'!D2713+"n/&gt;!&amp;S6"</f>
        <v>#VALUE!</v>
      </c>
      <c r="P109" t="e">
        <f>'All regions'!E2713+"n/&gt;!&amp;S7"</f>
        <v>#VALUE!</v>
      </c>
      <c r="Q109" t="e">
        <f>'All regions'!F2713+"n/&gt;!&amp;S8"</f>
        <v>#VALUE!</v>
      </c>
      <c r="R109" t="e">
        <f>'All regions'!G2713+"n/&gt;!&amp;S9"</f>
        <v>#VALUE!</v>
      </c>
      <c r="S109" t="e">
        <f>'All regions'!H2713+"n/&gt;!&amp;S:"</f>
        <v>#VALUE!</v>
      </c>
      <c r="T109" t="e">
        <f>'All regions'!I2713+"n/&gt;!&amp;S;"</f>
        <v>#VALUE!</v>
      </c>
      <c r="U109" t="e">
        <f>'All regions'!J2713+"n/&gt;!&amp;S&lt;"</f>
        <v>#VALUE!</v>
      </c>
      <c r="V109" t="e">
        <f>'All regions'!A2714+"n/&gt;!&amp;S="</f>
        <v>#VALUE!</v>
      </c>
      <c r="W109" t="e">
        <f>'All regions'!B2714+"n/&gt;!&amp;S&gt;"</f>
        <v>#VALUE!</v>
      </c>
      <c r="X109" t="e">
        <f>'All regions'!C2714+"n/&gt;!&amp;S?"</f>
        <v>#VALUE!</v>
      </c>
      <c r="Y109" t="e">
        <f>'All regions'!D2714+"n/&gt;!&amp;S@"</f>
        <v>#VALUE!</v>
      </c>
      <c r="Z109" t="e">
        <f>'All regions'!E2714+"n/&gt;!&amp;SA"</f>
        <v>#VALUE!</v>
      </c>
      <c r="AA109" t="e">
        <f>'All regions'!F2714+"n/&gt;!&amp;SB"</f>
        <v>#VALUE!</v>
      </c>
      <c r="AB109" t="e">
        <f>'All regions'!G2714+"n/&gt;!&amp;SC"</f>
        <v>#VALUE!</v>
      </c>
      <c r="AC109" t="e">
        <f>'All regions'!H2714+"n/&gt;!&amp;SD"</f>
        <v>#VALUE!</v>
      </c>
      <c r="AD109" t="e">
        <f>'All regions'!I2714+"n/&gt;!&amp;SE"</f>
        <v>#VALUE!</v>
      </c>
      <c r="AE109" t="e">
        <f>'All regions'!A2715+"n/&gt;!&amp;SF"</f>
        <v>#VALUE!</v>
      </c>
      <c r="AF109" t="e">
        <f>'All regions'!B2715+"n/&gt;!&amp;SG"</f>
        <v>#VALUE!</v>
      </c>
      <c r="AG109" t="e">
        <f>'All regions'!C2715+"n/&gt;!&amp;SH"</f>
        <v>#VALUE!</v>
      </c>
      <c r="AH109" t="e">
        <f>'All regions'!D2715+"n/&gt;!&amp;SI"</f>
        <v>#VALUE!</v>
      </c>
      <c r="AI109" t="e">
        <f>'All regions'!E2715+"n/&gt;!&amp;SJ"</f>
        <v>#VALUE!</v>
      </c>
      <c r="AJ109" t="e">
        <f>'All regions'!F2715+"n/&gt;!&amp;SK"</f>
        <v>#VALUE!</v>
      </c>
      <c r="AK109" t="e">
        <f>'All regions'!G2715+"n/&gt;!&amp;SL"</f>
        <v>#VALUE!</v>
      </c>
      <c r="AL109" t="e">
        <f>'All regions'!H2715+"n/&gt;!&amp;SM"</f>
        <v>#VALUE!</v>
      </c>
      <c r="AM109" t="e">
        <f>'All regions'!I2715+"n/&gt;!&amp;SN"</f>
        <v>#VALUE!</v>
      </c>
      <c r="AN109" t="e">
        <f>'All regions'!A2716+"n/&gt;!&amp;SO"</f>
        <v>#VALUE!</v>
      </c>
      <c r="AO109" t="e">
        <f>'All regions'!B2716+"n/&gt;!&amp;SP"</f>
        <v>#VALUE!</v>
      </c>
      <c r="AP109" t="e">
        <f>'All regions'!C2716+"n/&gt;!&amp;SQ"</f>
        <v>#VALUE!</v>
      </c>
      <c r="AQ109" t="e">
        <f>'All regions'!D2716+"n/&gt;!&amp;SR"</f>
        <v>#VALUE!</v>
      </c>
      <c r="AR109" t="e">
        <f>'All regions'!E2716+"n/&gt;!&amp;SS"</f>
        <v>#VALUE!</v>
      </c>
      <c r="AS109" t="e">
        <f>'All regions'!F2716+"n/&gt;!&amp;ST"</f>
        <v>#VALUE!</v>
      </c>
      <c r="AT109" t="e">
        <f>'All regions'!G2716+"n/&gt;!&amp;SU"</f>
        <v>#VALUE!</v>
      </c>
      <c r="AU109" t="e">
        <f>'All regions'!H2716+"n/&gt;!&amp;SV"</f>
        <v>#VALUE!</v>
      </c>
      <c r="AV109" t="e">
        <f>'All regions'!I2716+"n/&gt;!&amp;SW"</f>
        <v>#VALUE!</v>
      </c>
      <c r="AW109" t="e">
        <f>'All regions'!J2716+"n/&gt;!&amp;SX"</f>
        <v>#VALUE!</v>
      </c>
      <c r="AX109" t="e">
        <f>'All regions'!A2717+"n/&gt;!&amp;SY"</f>
        <v>#VALUE!</v>
      </c>
      <c r="AY109" t="e">
        <f>'All regions'!B2717+"n/&gt;!&amp;SZ"</f>
        <v>#VALUE!</v>
      </c>
      <c r="AZ109" t="e">
        <f>'All regions'!C2717+"n/&gt;!&amp;S["</f>
        <v>#VALUE!</v>
      </c>
      <c r="BA109" t="e">
        <f>'All regions'!D2717+"n/&gt;!&amp;S\"</f>
        <v>#VALUE!</v>
      </c>
      <c r="BB109" t="e">
        <f>'All regions'!E2717+"n/&gt;!&amp;S]"</f>
        <v>#VALUE!</v>
      </c>
      <c r="BC109" t="e">
        <f>'All regions'!F2717+"n/&gt;!&amp;S^"</f>
        <v>#VALUE!</v>
      </c>
      <c r="BD109" t="e">
        <f>'All regions'!G2717+"n/&gt;!&amp;S_"</f>
        <v>#VALUE!</v>
      </c>
      <c r="BE109" t="e">
        <f>'All regions'!H2717+"n/&gt;!&amp;S`"</f>
        <v>#VALUE!</v>
      </c>
      <c r="BF109" t="e">
        <f>'All regions'!I2717+"n/&gt;!&amp;Sa"</f>
        <v>#VALUE!</v>
      </c>
      <c r="BG109" t="e">
        <f>'All regions'!J2717+"n/&gt;!&amp;Sb"</f>
        <v>#VALUE!</v>
      </c>
      <c r="BH109" t="e">
        <f>'All regions'!A2718+"n/&gt;!&amp;Sc"</f>
        <v>#VALUE!</v>
      </c>
      <c r="BI109" t="e">
        <f>'All regions'!B2718+"n/&gt;!&amp;Sd"</f>
        <v>#VALUE!</v>
      </c>
      <c r="BJ109" t="e">
        <f>'All regions'!C2718+"n/&gt;!&amp;Se"</f>
        <v>#VALUE!</v>
      </c>
      <c r="BK109" t="e">
        <f>'All regions'!D2718+"n/&gt;!&amp;Sf"</f>
        <v>#VALUE!</v>
      </c>
      <c r="BL109" t="e">
        <f>'All regions'!E2718+"n/&gt;!&amp;Sg"</f>
        <v>#VALUE!</v>
      </c>
      <c r="BM109" t="e">
        <f>'All regions'!F2718+"n/&gt;!&amp;Sh"</f>
        <v>#VALUE!</v>
      </c>
      <c r="BN109" t="e">
        <f>'All regions'!G2718+"n/&gt;!&amp;Si"</f>
        <v>#VALUE!</v>
      </c>
      <c r="BO109" t="e">
        <f>'All regions'!H2718+"n/&gt;!&amp;Sj"</f>
        <v>#VALUE!</v>
      </c>
      <c r="BP109" t="e">
        <f>'All regions'!I2718+"n/&gt;!&amp;Sk"</f>
        <v>#VALUE!</v>
      </c>
      <c r="BQ109" t="e">
        <f>'All regions'!J2718+"n/&gt;!&amp;Sl"</f>
        <v>#VALUE!</v>
      </c>
      <c r="BR109" t="e">
        <f>'All regions'!A2719+"n/&gt;!&amp;Sm"</f>
        <v>#VALUE!</v>
      </c>
      <c r="BS109" t="e">
        <f>'All regions'!B2719+"n/&gt;!&amp;Sn"</f>
        <v>#VALUE!</v>
      </c>
      <c r="BT109" t="e">
        <f>'All regions'!C2719+"n/&gt;!&amp;So"</f>
        <v>#VALUE!</v>
      </c>
      <c r="BU109" t="e">
        <f>'All regions'!D2719+"n/&gt;!&amp;Sp"</f>
        <v>#VALUE!</v>
      </c>
      <c r="BV109" t="e">
        <f>'All regions'!E2719+"n/&gt;!&amp;Sq"</f>
        <v>#VALUE!</v>
      </c>
      <c r="BW109" t="e">
        <f>'All regions'!F2719+"n/&gt;!&amp;Sr"</f>
        <v>#VALUE!</v>
      </c>
      <c r="BX109" t="e">
        <f>'All regions'!G2719+"n/&gt;!&amp;Ss"</f>
        <v>#VALUE!</v>
      </c>
      <c r="BY109" t="e">
        <f>'All regions'!H2719+"n/&gt;!&amp;St"</f>
        <v>#VALUE!</v>
      </c>
      <c r="BZ109" t="e">
        <f>'All regions'!I2719+"n/&gt;!&amp;Su"</f>
        <v>#VALUE!</v>
      </c>
      <c r="CA109" t="e">
        <f>'All regions'!J2719+"n/&gt;!&amp;Sv"</f>
        <v>#VALUE!</v>
      </c>
      <c r="CB109" t="e">
        <f>'All regions'!A2720+"n/&gt;!&amp;Sw"</f>
        <v>#VALUE!</v>
      </c>
      <c r="CC109" t="e">
        <f>'All regions'!B2720+"n/&gt;!&amp;Sx"</f>
        <v>#VALUE!</v>
      </c>
      <c r="CD109" t="e">
        <f>'All regions'!C2720+"n/&gt;!&amp;Sy"</f>
        <v>#VALUE!</v>
      </c>
      <c r="CE109" t="e">
        <f>'All regions'!D2720+"n/&gt;!&amp;Sz"</f>
        <v>#VALUE!</v>
      </c>
      <c r="CF109" t="e">
        <f>'All regions'!E2720+"n/&gt;!&amp;S{"</f>
        <v>#VALUE!</v>
      </c>
      <c r="CG109" t="e">
        <f>'All regions'!F2720+"n/&gt;!&amp;S|"</f>
        <v>#VALUE!</v>
      </c>
      <c r="CH109" t="e">
        <f>'All regions'!G2720+"n/&gt;!&amp;S}"</f>
        <v>#VALUE!</v>
      </c>
      <c r="CI109" t="e">
        <f>'All regions'!H2720+"n/&gt;!&amp;S~"</f>
        <v>#VALUE!</v>
      </c>
      <c r="CJ109" t="e">
        <f>'All regions'!I2720+"n/&gt;!&amp;T#"</f>
        <v>#VALUE!</v>
      </c>
      <c r="CK109" t="e">
        <f>'All regions'!J2720+"n/&gt;!&amp;T$"</f>
        <v>#VALUE!</v>
      </c>
      <c r="CL109" t="e">
        <f>'All regions'!A2721+"n/&gt;!&amp;T%"</f>
        <v>#VALUE!</v>
      </c>
      <c r="CM109" t="e">
        <f>'All regions'!B2721+"n/&gt;!&amp;T&amp;"</f>
        <v>#VALUE!</v>
      </c>
      <c r="CN109" t="e">
        <f>'All regions'!C2721+"n/&gt;!&amp;T'"</f>
        <v>#VALUE!</v>
      </c>
      <c r="CO109" t="e">
        <f>'All regions'!D2721+"n/&gt;!&amp;T("</f>
        <v>#VALUE!</v>
      </c>
      <c r="CP109" t="e">
        <f>'All regions'!E2721+"n/&gt;!&amp;T)"</f>
        <v>#VALUE!</v>
      </c>
      <c r="CQ109" t="e">
        <f>'All regions'!F2721+"n/&gt;!&amp;T."</f>
        <v>#VALUE!</v>
      </c>
      <c r="CR109" t="e">
        <f>'All regions'!G2721+"n/&gt;!&amp;T/"</f>
        <v>#VALUE!</v>
      </c>
      <c r="CS109" t="e">
        <f>'All regions'!H2721+"n/&gt;!&amp;T0"</f>
        <v>#VALUE!</v>
      </c>
      <c r="CT109" t="e">
        <f>'All regions'!I2721+"n/&gt;!&amp;T1"</f>
        <v>#VALUE!</v>
      </c>
      <c r="CU109" t="e">
        <f>'All regions'!J2721+"n/&gt;!&amp;T2"</f>
        <v>#VALUE!</v>
      </c>
      <c r="CV109" t="e">
        <f>'All regions'!A2722+"n/&gt;!&amp;T3"</f>
        <v>#VALUE!</v>
      </c>
      <c r="CW109" t="e">
        <f>'All regions'!B2722+"n/&gt;!&amp;T4"</f>
        <v>#VALUE!</v>
      </c>
      <c r="CX109" t="e">
        <f>'All regions'!C2722+"n/&gt;!&amp;T5"</f>
        <v>#VALUE!</v>
      </c>
      <c r="CY109" t="e">
        <f>'All regions'!D2722+"n/&gt;!&amp;T6"</f>
        <v>#VALUE!</v>
      </c>
      <c r="CZ109" t="e">
        <f>'All regions'!E2722+"n/&gt;!&amp;T7"</f>
        <v>#VALUE!</v>
      </c>
      <c r="DA109" t="e">
        <f>'All regions'!F2722+"n/&gt;!&amp;T8"</f>
        <v>#VALUE!</v>
      </c>
      <c r="DB109" t="e">
        <f>'All regions'!G2722+"n/&gt;!&amp;T9"</f>
        <v>#VALUE!</v>
      </c>
      <c r="DC109" t="e">
        <f>'All regions'!H2722+"n/&gt;!&amp;T:"</f>
        <v>#VALUE!</v>
      </c>
      <c r="DD109" t="e">
        <f>'All regions'!I2722+"n/&gt;!&amp;T;"</f>
        <v>#VALUE!</v>
      </c>
      <c r="DE109" t="e">
        <f>'All regions'!J2722+"n/&gt;!&amp;T&lt;"</f>
        <v>#VALUE!</v>
      </c>
      <c r="DF109" t="e">
        <f>'All regions'!A2723+"n/&gt;!&amp;T="</f>
        <v>#VALUE!</v>
      </c>
      <c r="DG109" t="e">
        <f>'All regions'!B2723+"n/&gt;!&amp;T&gt;"</f>
        <v>#VALUE!</v>
      </c>
      <c r="DH109" t="e">
        <f>'All regions'!C2723+"n/&gt;!&amp;T?"</f>
        <v>#VALUE!</v>
      </c>
      <c r="DI109" t="e">
        <f>'All regions'!D2723+"n/&gt;!&amp;T@"</f>
        <v>#VALUE!</v>
      </c>
      <c r="DJ109" t="e">
        <f>'All regions'!E2723+"n/&gt;!&amp;TA"</f>
        <v>#VALUE!</v>
      </c>
      <c r="DK109" t="e">
        <f>'All regions'!F2723+"n/&gt;!&amp;TB"</f>
        <v>#VALUE!</v>
      </c>
      <c r="DL109" t="e">
        <f>'All regions'!G2723+"n/&gt;!&amp;TC"</f>
        <v>#VALUE!</v>
      </c>
      <c r="DM109" t="e">
        <f>'All regions'!H2723+"n/&gt;!&amp;TD"</f>
        <v>#VALUE!</v>
      </c>
      <c r="DN109" t="e">
        <f>'All regions'!I2723+"n/&gt;!&amp;TE"</f>
        <v>#VALUE!</v>
      </c>
      <c r="DO109" t="e">
        <f>'All regions'!J2723+"n/&gt;!&amp;TF"</f>
        <v>#VALUE!</v>
      </c>
      <c r="DP109" t="e">
        <f>'All regions'!A2724+"n/&gt;!&amp;TG"</f>
        <v>#VALUE!</v>
      </c>
      <c r="DQ109" t="e">
        <f>'All regions'!B2724+"n/&gt;!&amp;TH"</f>
        <v>#VALUE!</v>
      </c>
      <c r="DR109" t="e">
        <f>'All regions'!C2724+"n/&gt;!&amp;TI"</f>
        <v>#VALUE!</v>
      </c>
      <c r="DS109" t="e">
        <f>'All regions'!D2724+"n/&gt;!&amp;TJ"</f>
        <v>#VALUE!</v>
      </c>
      <c r="DT109" t="e">
        <f>'All regions'!E2724+"n/&gt;!&amp;TK"</f>
        <v>#VALUE!</v>
      </c>
      <c r="DU109" t="e">
        <f>'All regions'!F2724+"n/&gt;!&amp;TL"</f>
        <v>#VALUE!</v>
      </c>
      <c r="DV109" t="e">
        <f>'All regions'!G2724+"n/&gt;!&amp;TM"</f>
        <v>#VALUE!</v>
      </c>
      <c r="DW109" t="e">
        <f>'All regions'!H2724+"n/&gt;!&amp;TN"</f>
        <v>#VALUE!</v>
      </c>
      <c r="DX109" t="e">
        <f>'All regions'!I2724+"n/&gt;!&amp;TO"</f>
        <v>#VALUE!</v>
      </c>
      <c r="DY109" t="e">
        <f>'All regions'!J2724+"n/&gt;!&amp;TP"</f>
        <v>#VALUE!</v>
      </c>
      <c r="DZ109" t="e">
        <f>'All regions'!A2725+"n/&gt;!&amp;TQ"</f>
        <v>#VALUE!</v>
      </c>
      <c r="EA109" t="e">
        <f>'All regions'!B2725+"n/&gt;!&amp;TR"</f>
        <v>#VALUE!</v>
      </c>
      <c r="EB109" t="e">
        <f>'All regions'!C2725+"n/&gt;!&amp;TS"</f>
        <v>#VALUE!</v>
      </c>
      <c r="EC109" t="e">
        <f>'All regions'!D2725+"n/&gt;!&amp;TT"</f>
        <v>#VALUE!</v>
      </c>
      <c r="ED109" t="e">
        <f>'All regions'!E2725+"n/&gt;!&amp;TU"</f>
        <v>#VALUE!</v>
      </c>
      <c r="EE109" t="e">
        <f>'All regions'!F2725+"n/&gt;!&amp;TV"</f>
        <v>#VALUE!</v>
      </c>
      <c r="EF109" t="e">
        <f>'All regions'!G2725+"n/&gt;!&amp;TW"</f>
        <v>#VALUE!</v>
      </c>
      <c r="EG109" t="e">
        <f>'All regions'!H2725+"n/&gt;!&amp;TX"</f>
        <v>#VALUE!</v>
      </c>
      <c r="EH109" t="e">
        <f>'All regions'!I2725+"n/&gt;!&amp;TY"</f>
        <v>#VALUE!</v>
      </c>
      <c r="EI109" t="e">
        <f>'All regions'!J2725+"n/&gt;!&amp;TZ"</f>
        <v>#VALUE!</v>
      </c>
      <c r="EJ109" t="e">
        <f>'All regions'!A2726+"n/&gt;!&amp;T["</f>
        <v>#VALUE!</v>
      </c>
      <c r="EK109" t="e">
        <f>'All regions'!B2726+"n/&gt;!&amp;T\"</f>
        <v>#VALUE!</v>
      </c>
      <c r="EL109" t="e">
        <f>'All regions'!C2726+"n/&gt;!&amp;T]"</f>
        <v>#VALUE!</v>
      </c>
      <c r="EM109" t="e">
        <f>'All regions'!D2726+"n/&gt;!&amp;T^"</f>
        <v>#VALUE!</v>
      </c>
      <c r="EN109" t="e">
        <f>'All regions'!E2726+"n/&gt;!&amp;T_"</f>
        <v>#VALUE!</v>
      </c>
      <c r="EO109" t="e">
        <f>'All regions'!F2726+"n/&gt;!&amp;T`"</f>
        <v>#VALUE!</v>
      </c>
      <c r="EP109" t="e">
        <f>'All regions'!G2726+"n/&gt;!&amp;Ta"</f>
        <v>#VALUE!</v>
      </c>
      <c r="EQ109" t="e">
        <f>'All regions'!H2726+"n/&gt;!&amp;Tb"</f>
        <v>#VALUE!</v>
      </c>
      <c r="ER109" t="e">
        <f>'All regions'!I2726+"n/&gt;!&amp;Tc"</f>
        <v>#VALUE!</v>
      </c>
      <c r="ES109" t="e">
        <f>'All regions'!J2726+"n/&gt;!&amp;Td"</f>
        <v>#VALUE!</v>
      </c>
      <c r="ET109" t="e">
        <f>'All regions'!A2727+"n/&gt;!&amp;Te"</f>
        <v>#VALUE!</v>
      </c>
      <c r="EU109" t="e">
        <f>'All regions'!B2727+"n/&gt;!&amp;Tf"</f>
        <v>#VALUE!</v>
      </c>
      <c r="EV109" t="e">
        <f>'All regions'!C2727+"n/&gt;!&amp;Tg"</f>
        <v>#VALUE!</v>
      </c>
      <c r="EW109" t="e">
        <f>'All regions'!D2727+"n/&gt;!&amp;Th"</f>
        <v>#VALUE!</v>
      </c>
      <c r="EX109" t="e">
        <f>'All regions'!E2727+"n/&gt;!&amp;Ti"</f>
        <v>#VALUE!</v>
      </c>
      <c r="EY109" t="e">
        <f>'All regions'!F2727+"n/&gt;!&amp;Tj"</f>
        <v>#VALUE!</v>
      </c>
      <c r="EZ109" t="e">
        <f>'All regions'!G2727+"n/&gt;!&amp;Tk"</f>
        <v>#VALUE!</v>
      </c>
      <c r="FA109" t="e">
        <f>'All regions'!H2727+"n/&gt;!&amp;Tl"</f>
        <v>#VALUE!</v>
      </c>
      <c r="FB109" t="e">
        <f>'All regions'!I2727+"n/&gt;!&amp;Tm"</f>
        <v>#VALUE!</v>
      </c>
      <c r="FC109" t="e">
        <f>'All regions'!J2727+"n/&gt;!&amp;Tn"</f>
        <v>#VALUE!</v>
      </c>
      <c r="FD109" t="e">
        <f>'All regions'!A2728+"n/&gt;!&amp;To"</f>
        <v>#VALUE!</v>
      </c>
      <c r="FE109" t="e">
        <f>'All regions'!B2728+"n/&gt;!&amp;Tp"</f>
        <v>#VALUE!</v>
      </c>
      <c r="FF109" t="e">
        <f>'All regions'!C2728+"n/&gt;!&amp;Tq"</f>
        <v>#VALUE!</v>
      </c>
      <c r="FG109" t="e">
        <f>'All regions'!D2728+"n/&gt;!&amp;Tr"</f>
        <v>#VALUE!</v>
      </c>
      <c r="FH109" t="e">
        <f>'All regions'!E2728+"n/&gt;!&amp;Ts"</f>
        <v>#VALUE!</v>
      </c>
      <c r="FI109" t="e">
        <f>'All regions'!F2728+"n/&gt;!&amp;Tt"</f>
        <v>#VALUE!</v>
      </c>
      <c r="FJ109" t="e">
        <f>'All regions'!G2728+"n/&gt;!&amp;Tu"</f>
        <v>#VALUE!</v>
      </c>
      <c r="FK109" t="e">
        <f>'All regions'!H2728+"n/&gt;!&amp;Tv"</f>
        <v>#VALUE!</v>
      </c>
      <c r="FL109" t="e">
        <f>'All regions'!I2728+"n/&gt;!&amp;Tw"</f>
        <v>#VALUE!</v>
      </c>
      <c r="FM109" t="e">
        <f>'All regions'!J2728+"n/&gt;!&amp;Tx"</f>
        <v>#VALUE!</v>
      </c>
      <c r="FN109" t="e">
        <f>'All regions'!A2729+"n/&gt;!&amp;Ty"</f>
        <v>#VALUE!</v>
      </c>
      <c r="FO109" t="e">
        <f>'All regions'!B2729+"n/&gt;!&amp;Tz"</f>
        <v>#VALUE!</v>
      </c>
      <c r="FP109" t="e">
        <f>'All regions'!C2729+"n/&gt;!&amp;T{"</f>
        <v>#VALUE!</v>
      </c>
      <c r="FQ109" t="e">
        <f>'All regions'!D2729+"n/&gt;!&amp;T|"</f>
        <v>#VALUE!</v>
      </c>
      <c r="FR109" t="e">
        <f>'All regions'!E2729+"n/&gt;!&amp;T}"</f>
        <v>#VALUE!</v>
      </c>
      <c r="FS109" t="e">
        <f>'All regions'!F2729+"n/&gt;!&amp;T~"</f>
        <v>#VALUE!</v>
      </c>
      <c r="FT109" t="e">
        <f>'All regions'!G2729+"n/&gt;!&amp;U#"</f>
        <v>#VALUE!</v>
      </c>
      <c r="FU109" t="e">
        <f>'All regions'!H2729+"n/&gt;!&amp;U$"</f>
        <v>#VALUE!</v>
      </c>
      <c r="FV109" t="e">
        <f>'All regions'!I2729+"n/&gt;!&amp;U%"</f>
        <v>#VALUE!</v>
      </c>
      <c r="FW109" t="e">
        <f>'All regions'!J2729+"n/&gt;!&amp;U&amp;"</f>
        <v>#VALUE!</v>
      </c>
      <c r="FX109" t="e">
        <f>'All regions'!A2730+"n/&gt;!&amp;U'"</f>
        <v>#VALUE!</v>
      </c>
      <c r="FY109" t="e">
        <f>'All regions'!B2730+"n/&gt;!&amp;U("</f>
        <v>#VALUE!</v>
      </c>
      <c r="FZ109" t="e">
        <f>'All regions'!C2730+"n/&gt;!&amp;U)"</f>
        <v>#VALUE!</v>
      </c>
      <c r="GA109" t="e">
        <f>'All regions'!D2730+"n/&gt;!&amp;U."</f>
        <v>#VALUE!</v>
      </c>
      <c r="GB109" t="e">
        <f>'All regions'!E2730+"n/&gt;!&amp;U/"</f>
        <v>#VALUE!</v>
      </c>
      <c r="GC109" t="e">
        <f>'All regions'!F2730+"n/&gt;!&amp;U0"</f>
        <v>#VALUE!</v>
      </c>
      <c r="GD109" t="e">
        <f>'All regions'!G2730+"n/&gt;!&amp;U1"</f>
        <v>#VALUE!</v>
      </c>
      <c r="GE109" t="e">
        <f>'All regions'!H2730+"n/&gt;!&amp;U2"</f>
        <v>#VALUE!</v>
      </c>
      <c r="GF109" t="e">
        <f>'All regions'!I2730+"n/&gt;!&amp;U3"</f>
        <v>#VALUE!</v>
      </c>
      <c r="GG109" t="e">
        <f>'All regions'!J2730+"n/&gt;!&amp;U4"</f>
        <v>#VALUE!</v>
      </c>
      <c r="GH109" t="e">
        <f>'All regions'!A2731+"n/&gt;!&amp;U5"</f>
        <v>#VALUE!</v>
      </c>
      <c r="GI109" t="e">
        <f>'All regions'!B2731+"n/&gt;!&amp;U6"</f>
        <v>#VALUE!</v>
      </c>
      <c r="GJ109" t="e">
        <f>'All regions'!C2731+"n/&gt;!&amp;U7"</f>
        <v>#VALUE!</v>
      </c>
      <c r="GK109" t="e">
        <f>'All regions'!D2731+"n/&gt;!&amp;U8"</f>
        <v>#VALUE!</v>
      </c>
      <c r="GL109" t="e">
        <f>'All regions'!E2731+"n/&gt;!&amp;U9"</f>
        <v>#VALUE!</v>
      </c>
      <c r="GM109" t="e">
        <f>'All regions'!F2731+"n/&gt;!&amp;U:"</f>
        <v>#VALUE!</v>
      </c>
      <c r="GN109" t="e">
        <f>'All regions'!G2731+"n/&gt;!&amp;U;"</f>
        <v>#VALUE!</v>
      </c>
      <c r="GO109" t="e">
        <f>'All regions'!H2731+"n/&gt;!&amp;U&lt;"</f>
        <v>#VALUE!</v>
      </c>
      <c r="GP109" t="e">
        <f>'All regions'!I2731+"n/&gt;!&amp;U="</f>
        <v>#VALUE!</v>
      </c>
      <c r="GQ109" t="e">
        <f>'All regions'!J2731+"n/&gt;!&amp;U&gt;"</f>
        <v>#VALUE!</v>
      </c>
      <c r="GR109" t="e">
        <f>'All regions'!A2732+"n/&gt;!&amp;U?"</f>
        <v>#VALUE!</v>
      </c>
      <c r="GS109" t="e">
        <f>'All regions'!B2732+"n/&gt;!&amp;U@"</f>
        <v>#VALUE!</v>
      </c>
      <c r="GT109" t="e">
        <f>'All regions'!C2732+"n/&gt;!&amp;UA"</f>
        <v>#VALUE!</v>
      </c>
      <c r="GU109" t="e">
        <f>'All regions'!D2732+"n/&gt;!&amp;UB"</f>
        <v>#VALUE!</v>
      </c>
      <c r="GV109" t="e">
        <f>'All regions'!E2732+"n/&gt;!&amp;UC"</f>
        <v>#VALUE!</v>
      </c>
      <c r="GW109" t="e">
        <f>'All regions'!F2732+"n/&gt;!&amp;UD"</f>
        <v>#VALUE!</v>
      </c>
      <c r="GX109" t="e">
        <f>'All regions'!G2732+"n/&gt;!&amp;UE"</f>
        <v>#VALUE!</v>
      </c>
      <c r="GY109" t="e">
        <f>'All regions'!H2732+"n/&gt;!&amp;UF"</f>
        <v>#VALUE!</v>
      </c>
      <c r="GZ109" t="e">
        <f>'All regions'!I2732+"n/&gt;!&amp;UG"</f>
        <v>#VALUE!</v>
      </c>
      <c r="HA109" t="e">
        <f>'All regions'!J2732+"n/&gt;!&amp;UH"</f>
        <v>#VALUE!</v>
      </c>
      <c r="HB109" t="e">
        <f>'All regions'!A2733+"n/&gt;!&amp;UI"</f>
        <v>#VALUE!</v>
      </c>
      <c r="HC109" t="e">
        <f>'All regions'!B2733+"n/&gt;!&amp;UJ"</f>
        <v>#VALUE!</v>
      </c>
      <c r="HD109" t="e">
        <f>'All regions'!C2733+"n/&gt;!&amp;UK"</f>
        <v>#VALUE!</v>
      </c>
      <c r="HE109" t="e">
        <f>'All regions'!D2733+"n/&gt;!&amp;UL"</f>
        <v>#VALUE!</v>
      </c>
      <c r="HF109" t="e">
        <f>'All regions'!E2733+"n/&gt;!&amp;UM"</f>
        <v>#VALUE!</v>
      </c>
      <c r="HG109" t="e">
        <f>'All regions'!F2733+"n/&gt;!&amp;UN"</f>
        <v>#VALUE!</v>
      </c>
      <c r="HH109" t="e">
        <f>'All regions'!G2733+"n/&gt;!&amp;UO"</f>
        <v>#VALUE!</v>
      </c>
      <c r="HI109" t="e">
        <f>'All regions'!H2733+"n/&gt;!&amp;UP"</f>
        <v>#VALUE!</v>
      </c>
      <c r="HJ109" t="e">
        <f>'All regions'!I2733+"n/&gt;!&amp;UQ"</f>
        <v>#VALUE!</v>
      </c>
      <c r="HK109" t="e">
        <f>'All regions'!J2733+"n/&gt;!&amp;UR"</f>
        <v>#VALUE!</v>
      </c>
      <c r="HL109" t="e">
        <f>'All regions'!A2734+"n/&gt;!&amp;US"</f>
        <v>#VALUE!</v>
      </c>
      <c r="HM109" t="e">
        <f>'All regions'!B2734+"n/&gt;!&amp;UT"</f>
        <v>#VALUE!</v>
      </c>
      <c r="HN109" t="e">
        <f>'All regions'!C2734+"n/&gt;!&amp;UU"</f>
        <v>#VALUE!</v>
      </c>
      <c r="HO109" t="e">
        <f>'All regions'!D2734+"n/&gt;!&amp;UV"</f>
        <v>#VALUE!</v>
      </c>
      <c r="HP109" t="e">
        <f>'All regions'!E2734+"n/&gt;!&amp;UW"</f>
        <v>#VALUE!</v>
      </c>
      <c r="HQ109" t="e">
        <f>'All regions'!F2734+"n/&gt;!&amp;UX"</f>
        <v>#VALUE!</v>
      </c>
      <c r="HR109" t="e">
        <f>'All regions'!G2734+"n/&gt;!&amp;UY"</f>
        <v>#VALUE!</v>
      </c>
      <c r="HS109" t="e">
        <f>'All regions'!H2734+"n/&gt;!&amp;UZ"</f>
        <v>#VALUE!</v>
      </c>
      <c r="HT109" t="e">
        <f>'All regions'!I2734+"n/&gt;!&amp;U["</f>
        <v>#VALUE!</v>
      </c>
      <c r="HU109" t="e">
        <f>'All regions'!J2734+"n/&gt;!&amp;U\"</f>
        <v>#VALUE!</v>
      </c>
      <c r="HV109" t="e">
        <f>'All regions'!A2735+"n/&gt;!&amp;U]"</f>
        <v>#VALUE!</v>
      </c>
      <c r="HW109" t="e">
        <f>'All regions'!B2735+"n/&gt;!&amp;U^"</f>
        <v>#VALUE!</v>
      </c>
      <c r="HX109" t="e">
        <f>'All regions'!C2735+"n/&gt;!&amp;U_"</f>
        <v>#VALUE!</v>
      </c>
      <c r="HY109" t="e">
        <f>'All regions'!D2735+"n/&gt;!&amp;U`"</f>
        <v>#VALUE!</v>
      </c>
      <c r="HZ109" t="e">
        <f>'All regions'!E2735+"n/&gt;!&amp;Ua"</f>
        <v>#VALUE!</v>
      </c>
      <c r="IA109" t="e">
        <f>'All regions'!F2735+"n/&gt;!&amp;Ub"</f>
        <v>#VALUE!</v>
      </c>
      <c r="IB109" t="e">
        <f>'All regions'!G2735+"n/&gt;!&amp;Uc"</f>
        <v>#VALUE!</v>
      </c>
      <c r="IC109" t="e">
        <f>'All regions'!H2735+"n/&gt;!&amp;Ud"</f>
        <v>#VALUE!</v>
      </c>
      <c r="ID109" t="e">
        <f>'All regions'!I2735+"n/&gt;!&amp;Ue"</f>
        <v>#VALUE!</v>
      </c>
      <c r="IE109" t="e">
        <f>'All regions'!J2735+"n/&gt;!&amp;Uf"</f>
        <v>#VALUE!</v>
      </c>
      <c r="IF109" t="e">
        <f>'All regions'!A2736+"n/&gt;!&amp;Ug"</f>
        <v>#VALUE!</v>
      </c>
      <c r="IG109" t="e">
        <f>'All regions'!B2736+"n/&gt;!&amp;Uh"</f>
        <v>#VALUE!</v>
      </c>
      <c r="IH109" t="e">
        <f>'All regions'!C2736+"n/&gt;!&amp;Ui"</f>
        <v>#VALUE!</v>
      </c>
      <c r="II109" t="e">
        <f>'All regions'!D2736+"n/&gt;!&amp;Uj"</f>
        <v>#VALUE!</v>
      </c>
      <c r="IJ109" t="e">
        <f>'All regions'!E2736+"n/&gt;!&amp;Uk"</f>
        <v>#VALUE!</v>
      </c>
      <c r="IK109" t="e">
        <f>'All regions'!F2736+"n/&gt;!&amp;Ul"</f>
        <v>#VALUE!</v>
      </c>
      <c r="IL109" t="e">
        <f>'All regions'!G2736+"n/&gt;!&amp;Um"</f>
        <v>#VALUE!</v>
      </c>
      <c r="IM109" t="e">
        <f>'All regions'!H2736+"n/&gt;!&amp;Un"</f>
        <v>#VALUE!</v>
      </c>
      <c r="IN109" t="e">
        <f>'All regions'!I2736+"n/&gt;!&amp;Uo"</f>
        <v>#VALUE!</v>
      </c>
      <c r="IO109" t="e">
        <f>'All regions'!J2736+"n/&gt;!&amp;Up"</f>
        <v>#VALUE!</v>
      </c>
      <c r="IP109" t="e">
        <f>'All regions'!A2737+"n/&gt;!&amp;Uq"</f>
        <v>#VALUE!</v>
      </c>
      <c r="IQ109" t="e">
        <f>'All regions'!B2737+"n/&gt;!&amp;Ur"</f>
        <v>#VALUE!</v>
      </c>
      <c r="IR109" t="e">
        <f>'All regions'!C2737+"n/&gt;!&amp;Us"</f>
        <v>#VALUE!</v>
      </c>
      <c r="IS109" t="e">
        <f>'All regions'!D2737+"n/&gt;!&amp;Ut"</f>
        <v>#VALUE!</v>
      </c>
      <c r="IT109" t="e">
        <f>'All regions'!E2737+"n/&gt;!&amp;Uu"</f>
        <v>#VALUE!</v>
      </c>
      <c r="IU109" t="e">
        <f>'All regions'!F2737+"n/&gt;!&amp;Uv"</f>
        <v>#VALUE!</v>
      </c>
      <c r="IV109" t="e">
        <f>'All regions'!G2737+"n/&gt;!&amp;Uw"</f>
        <v>#VALUE!</v>
      </c>
    </row>
    <row r="110" spans="6:256" x14ac:dyDescent="0.35">
      <c r="F110" t="e">
        <f>'All regions'!H2737+"n/&gt;!&amp;Ux"</f>
        <v>#VALUE!</v>
      </c>
      <c r="G110" t="e">
        <f>'All regions'!I2737+"n/&gt;!&amp;Uy"</f>
        <v>#VALUE!</v>
      </c>
      <c r="H110" t="e">
        <f>'All regions'!J2737+"n/&gt;!&amp;Uz"</f>
        <v>#VALUE!</v>
      </c>
      <c r="I110" t="e">
        <f>'All regions'!A2738+"n/&gt;!&amp;U{"</f>
        <v>#VALUE!</v>
      </c>
      <c r="J110" t="e">
        <f>'All regions'!B2738+"n/&gt;!&amp;U|"</f>
        <v>#VALUE!</v>
      </c>
      <c r="K110" t="e">
        <f>'All regions'!C2738+"n/&gt;!&amp;U}"</f>
        <v>#VALUE!</v>
      </c>
      <c r="L110" t="e">
        <f>'All regions'!D2738+"n/&gt;!&amp;U~"</f>
        <v>#VALUE!</v>
      </c>
      <c r="M110" t="e">
        <f>'All regions'!E2738+"n/&gt;!&amp;V#"</f>
        <v>#VALUE!</v>
      </c>
      <c r="N110" t="e">
        <f>'All regions'!F2738+"n/&gt;!&amp;V$"</f>
        <v>#VALUE!</v>
      </c>
      <c r="O110" t="e">
        <f>'All regions'!G2738+"n/&gt;!&amp;V%"</f>
        <v>#VALUE!</v>
      </c>
      <c r="P110" t="e">
        <f>'All regions'!H2738+"n/&gt;!&amp;V&amp;"</f>
        <v>#VALUE!</v>
      </c>
      <c r="Q110" t="e">
        <f>'All regions'!I2738+"n/&gt;!&amp;V'"</f>
        <v>#VALUE!</v>
      </c>
      <c r="R110" t="e">
        <f>'All regions'!J2738+"n/&gt;!&amp;V("</f>
        <v>#VALUE!</v>
      </c>
      <c r="S110" t="e">
        <f>'All regions'!A2739+"n/&gt;!&amp;V)"</f>
        <v>#VALUE!</v>
      </c>
      <c r="T110" t="e">
        <f>'All regions'!B2739+"n/&gt;!&amp;V."</f>
        <v>#VALUE!</v>
      </c>
      <c r="U110" t="e">
        <f>'All regions'!C2739+"n/&gt;!&amp;V/"</f>
        <v>#VALUE!</v>
      </c>
      <c r="V110" t="e">
        <f>'All regions'!D2739+"n/&gt;!&amp;V0"</f>
        <v>#VALUE!</v>
      </c>
      <c r="W110" t="e">
        <f>'All regions'!E2739+"n/&gt;!&amp;V1"</f>
        <v>#VALUE!</v>
      </c>
      <c r="X110" t="e">
        <f>'All regions'!F2739+"n/&gt;!&amp;V2"</f>
        <v>#VALUE!</v>
      </c>
      <c r="Y110" t="e">
        <f>'All regions'!G2739+"n/&gt;!&amp;V3"</f>
        <v>#VALUE!</v>
      </c>
      <c r="Z110" t="e">
        <f>'All regions'!H2739+"n/&gt;!&amp;V4"</f>
        <v>#VALUE!</v>
      </c>
      <c r="AA110" t="e">
        <f>'All regions'!I2739+"n/&gt;!&amp;V5"</f>
        <v>#VALUE!</v>
      </c>
      <c r="AB110" t="e">
        <f>'All regions'!J2739+"n/&gt;!&amp;V6"</f>
        <v>#VALUE!</v>
      </c>
      <c r="AC110" t="e">
        <f>'All regions'!A2740+"n/&gt;!&amp;V7"</f>
        <v>#VALUE!</v>
      </c>
      <c r="AD110" t="e">
        <f>'All regions'!B2740+"n/&gt;!&amp;V8"</f>
        <v>#VALUE!</v>
      </c>
      <c r="AE110" t="e">
        <f>'All regions'!C2740+"n/&gt;!&amp;V9"</f>
        <v>#VALUE!</v>
      </c>
      <c r="AF110" t="e">
        <f>'All regions'!D2740+"n/&gt;!&amp;V:"</f>
        <v>#VALUE!</v>
      </c>
      <c r="AG110" t="e">
        <f>'All regions'!E2740+"n/&gt;!&amp;V;"</f>
        <v>#VALUE!</v>
      </c>
      <c r="AH110" t="e">
        <f>'All regions'!F2740+"n/&gt;!&amp;V&lt;"</f>
        <v>#VALUE!</v>
      </c>
      <c r="AI110" t="e">
        <f>'All regions'!G2740+"n/&gt;!&amp;V="</f>
        <v>#VALUE!</v>
      </c>
      <c r="AJ110" t="e">
        <f>'All regions'!H2740+"n/&gt;!&amp;V&gt;"</f>
        <v>#VALUE!</v>
      </c>
      <c r="AK110" t="e">
        <f>'All regions'!I2740+"n/&gt;!&amp;V?"</f>
        <v>#VALUE!</v>
      </c>
      <c r="AL110" t="e">
        <f>'All regions'!J2740+"n/&gt;!&amp;V@"</f>
        <v>#VALUE!</v>
      </c>
      <c r="AM110" t="e">
        <f>'All regions'!A2741+"n/&gt;!&amp;VA"</f>
        <v>#VALUE!</v>
      </c>
      <c r="AN110" t="e">
        <f>'All regions'!B2741+"n/&gt;!&amp;VB"</f>
        <v>#VALUE!</v>
      </c>
      <c r="AO110" t="e">
        <f>'All regions'!C2741+"n/&gt;!&amp;VC"</f>
        <v>#VALUE!</v>
      </c>
      <c r="AP110" t="e">
        <f>'All regions'!D2741+"n/&gt;!&amp;VD"</f>
        <v>#VALUE!</v>
      </c>
      <c r="AQ110" t="e">
        <f>'All regions'!E2741+"n/&gt;!&amp;VE"</f>
        <v>#VALUE!</v>
      </c>
      <c r="AR110" t="e">
        <f>'All regions'!F2741+"n/&gt;!&amp;VF"</f>
        <v>#VALUE!</v>
      </c>
      <c r="AS110" t="e">
        <f>'All regions'!G2741+"n/&gt;!&amp;VG"</f>
        <v>#VALUE!</v>
      </c>
      <c r="AT110" t="e">
        <f>'All regions'!H2741+"n/&gt;!&amp;VH"</f>
        <v>#VALUE!</v>
      </c>
      <c r="AU110" t="e">
        <f>'All regions'!I2741+"n/&gt;!&amp;VI"</f>
        <v>#VALUE!</v>
      </c>
      <c r="AV110" t="e">
        <f>'All regions'!J2741+"n/&gt;!&amp;VJ"</f>
        <v>#VALUE!</v>
      </c>
      <c r="AW110" t="e">
        <f>'All regions'!A2742+"n/&gt;!&amp;VK"</f>
        <v>#VALUE!</v>
      </c>
      <c r="AX110" t="e">
        <f>'All regions'!B2742+"n/&gt;!&amp;VL"</f>
        <v>#VALUE!</v>
      </c>
      <c r="AY110" t="e">
        <f>'All regions'!C2742+"n/&gt;!&amp;VM"</f>
        <v>#VALUE!</v>
      </c>
      <c r="AZ110" t="e">
        <f>'All regions'!D2742+"n/&gt;!&amp;VN"</f>
        <v>#VALUE!</v>
      </c>
      <c r="BA110" t="e">
        <f>'All regions'!E2742+"n/&gt;!&amp;VO"</f>
        <v>#VALUE!</v>
      </c>
      <c r="BB110" t="e">
        <f>'All regions'!F2742+"n/&gt;!&amp;VP"</f>
        <v>#VALUE!</v>
      </c>
      <c r="BC110" t="e">
        <f>'All regions'!G2742+"n/&gt;!&amp;VQ"</f>
        <v>#VALUE!</v>
      </c>
      <c r="BD110" t="e">
        <f>'All regions'!H2742+"n/&gt;!&amp;VR"</f>
        <v>#VALUE!</v>
      </c>
      <c r="BE110" t="e">
        <f>'All regions'!I2742+"n/&gt;!&amp;VS"</f>
        <v>#VALUE!</v>
      </c>
      <c r="BF110" t="e">
        <f>'All regions'!J2742+"n/&gt;!&amp;VT"</f>
        <v>#VALUE!</v>
      </c>
      <c r="BG110" t="e">
        <f>'All regions'!A2743+"n/&gt;!&amp;VU"</f>
        <v>#VALUE!</v>
      </c>
      <c r="BH110" t="e">
        <f>'All regions'!B2743+"n/&gt;!&amp;VV"</f>
        <v>#VALUE!</v>
      </c>
      <c r="BI110" t="e">
        <f>'All regions'!C2743+"n/&gt;!&amp;VW"</f>
        <v>#VALUE!</v>
      </c>
      <c r="BJ110" t="e">
        <f>'All regions'!D2743+"n/&gt;!&amp;VX"</f>
        <v>#VALUE!</v>
      </c>
      <c r="BK110" t="e">
        <f>'All regions'!E2743+"n/&gt;!&amp;VY"</f>
        <v>#VALUE!</v>
      </c>
      <c r="BL110" t="e">
        <f>'All regions'!F2743+"n/&gt;!&amp;VZ"</f>
        <v>#VALUE!</v>
      </c>
      <c r="BM110" t="e">
        <f>'All regions'!G2743+"n/&gt;!&amp;V["</f>
        <v>#VALUE!</v>
      </c>
      <c r="BN110" t="e">
        <f>'All regions'!H2743+"n/&gt;!&amp;V\"</f>
        <v>#VALUE!</v>
      </c>
      <c r="BO110" t="e">
        <f>'All regions'!I2743+"n/&gt;!&amp;V]"</f>
        <v>#VALUE!</v>
      </c>
      <c r="BP110" t="e">
        <f>'All regions'!J2743+"n/&gt;!&amp;V^"</f>
        <v>#VALUE!</v>
      </c>
      <c r="BQ110" t="e">
        <f>'All regions'!A2744+"n/&gt;!&amp;V_"</f>
        <v>#VALUE!</v>
      </c>
      <c r="BR110" t="e">
        <f>'All regions'!B2744+"n/&gt;!&amp;V`"</f>
        <v>#VALUE!</v>
      </c>
      <c r="BS110" t="e">
        <f>'All regions'!C2744+"n/&gt;!&amp;Va"</f>
        <v>#VALUE!</v>
      </c>
      <c r="BT110" t="e">
        <f>'All regions'!D2744+"n/&gt;!&amp;Vb"</f>
        <v>#VALUE!</v>
      </c>
      <c r="BU110" t="e">
        <f>'All regions'!E2744+"n/&gt;!&amp;Vc"</f>
        <v>#VALUE!</v>
      </c>
      <c r="BV110" t="e">
        <f>'All regions'!F2744+"n/&gt;!&amp;Vd"</f>
        <v>#VALUE!</v>
      </c>
      <c r="BW110" t="e">
        <f>'All regions'!G2744+"n/&gt;!&amp;Ve"</f>
        <v>#VALUE!</v>
      </c>
      <c r="BX110" t="e">
        <f>'All regions'!H2744+"n/&gt;!&amp;Vf"</f>
        <v>#VALUE!</v>
      </c>
      <c r="BY110" t="e">
        <f>'All regions'!I2744+"n/&gt;!&amp;Vg"</f>
        <v>#VALUE!</v>
      </c>
      <c r="BZ110" t="e">
        <f>'All regions'!J2744+"n/&gt;!&amp;Vh"</f>
        <v>#VALUE!</v>
      </c>
      <c r="CA110" t="e">
        <f>'All regions'!A2745+"n/&gt;!&amp;Vi"</f>
        <v>#VALUE!</v>
      </c>
      <c r="CB110" t="e">
        <f>'All regions'!B2745+"n/&gt;!&amp;Vj"</f>
        <v>#VALUE!</v>
      </c>
      <c r="CC110" t="e">
        <f>'All regions'!C2745+"n/&gt;!&amp;Vk"</f>
        <v>#VALUE!</v>
      </c>
      <c r="CD110" t="e">
        <f>'All regions'!D2745+"n/&gt;!&amp;Vl"</f>
        <v>#VALUE!</v>
      </c>
      <c r="CE110" t="e">
        <f>'All regions'!E2745+"n/&gt;!&amp;Vm"</f>
        <v>#VALUE!</v>
      </c>
      <c r="CF110" t="e">
        <f>'All regions'!F2745+"n/&gt;!&amp;Vn"</f>
        <v>#VALUE!</v>
      </c>
      <c r="CG110" t="e">
        <f>'All regions'!G2745+"n/&gt;!&amp;Vo"</f>
        <v>#VALUE!</v>
      </c>
      <c r="CH110" t="e">
        <f>'All regions'!H2745+"n/&gt;!&amp;Vp"</f>
        <v>#VALUE!</v>
      </c>
      <c r="CI110" t="e">
        <f>'All regions'!I2745+"n/&gt;!&amp;Vq"</f>
        <v>#VALUE!</v>
      </c>
      <c r="CJ110" t="e">
        <f>'All regions'!J2745+"n/&gt;!&amp;Vr"</f>
        <v>#VALUE!</v>
      </c>
      <c r="CK110" t="e">
        <f>'All regions'!A2746+"n/&gt;!&amp;Vs"</f>
        <v>#VALUE!</v>
      </c>
      <c r="CL110" t="e">
        <f>'All regions'!B2746+"n/&gt;!&amp;Vt"</f>
        <v>#VALUE!</v>
      </c>
      <c r="CM110" t="e">
        <f>'All regions'!C2746+"n/&gt;!&amp;Vu"</f>
        <v>#VALUE!</v>
      </c>
      <c r="CN110" t="e">
        <f>'All regions'!D2746+"n/&gt;!&amp;Vv"</f>
        <v>#VALUE!</v>
      </c>
      <c r="CO110" t="e">
        <f>'All regions'!E2746+"n/&gt;!&amp;Vw"</f>
        <v>#VALUE!</v>
      </c>
      <c r="CP110" t="e">
        <f>'All regions'!F2746+"n/&gt;!&amp;Vx"</f>
        <v>#VALUE!</v>
      </c>
      <c r="CQ110" t="e">
        <f>'All regions'!G2746+"n/&gt;!&amp;Vy"</f>
        <v>#VALUE!</v>
      </c>
      <c r="CR110" t="e">
        <f>'All regions'!H2746+"n/&gt;!&amp;Vz"</f>
        <v>#VALUE!</v>
      </c>
      <c r="CS110" t="e">
        <f>'All regions'!I2746+"n/&gt;!&amp;V{"</f>
        <v>#VALUE!</v>
      </c>
      <c r="CT110" t="e">
        <f>'All regions'!J2746+"n/&gt;!&amp;V|"</f>
        <v>#VALUE!</v>
      </c>
      <c r="CU110" t="e">
        <f>'All regions'!A2747+"n/&gt;!&amp;V}"</f>
        <v>#VALUE!</v>
      </c>
      <c r="CV110" t="e">
        <f>'All regions'!B2747+"n/&gt;!&amp;V~"</f>
        <v>#VALUE!</v>
      </c>
      <c r="CW110" t="e">
        <f>'All regions'!C2747+"n/&gt;!&amp;W#"</f>
        <v>#VALUE!</v>
      </c>
      <c r="CX110" t="e">
        <f>'All regions'!D2747+"n/&gt;!&amp;W$"</f>
        <v>#VALUE!</v>
      </c>
      <c r="CY110" t="e">
        <f>'All regions'!E2747+"n/&gt;!&amp;W%"</f>
        <v>#VALUE!</v>
      </c>
      <c r="CZ110" t="e">
        <f>'All regions'!F2747+"n/&gt;!&amp;W&amp;"</f>
        <v>#VALUE!</v>
      </c>
      <c r="DA110" t="e">
        <f>'All regions'!G2747+"n/&gt;!&amp;W'"</f>
        <v>#VALUE!</v>
      </c>
      <c r="DB110" t="e">
        <f>'All regions'!H2747+"n/&gt;!&amp;W("</f>
        <v>#VALUE!</v>
      </c>
      <c r="DC110" t="e">
        <f>'All regions'!I2747+"n/&gt;!&amp;W)"</f>
        <v>#VALUE!</v>
      </c>
      <c r="DD110" t="e">
        <f>'All regions'!J2747+"n/&gt;!&amp;W."</f>
        <v>#VALUE!</v>
      </c>
      <c r="DE110" t="e">
        <f>'All regions'!A2748+"n/&gt;!&amp;W/"</f>
        <v>#VALUE!</v>
      </c>
      <c r="DF110" t="e">
        <f>'All regions'!B2748+"n/&gt;!&amp;W0"</f>
        <v>#VALUE!</v>
      </c>
      <c r="DG110" t="e">
        <f>'All regions'!C2748+"n/&gt;!&amp;W1"</f>
        <v>#VALUE!</v>
      </c>
      <c r="DH110" t="e">
        <f>'All regions'!D2748+"n/&gt;!&amp;W2"</f>
        <v>#VALUE!</v>
      </c>
      <c r="DI110" t="e">
        <f>'All regions'!E2748+"n/&gt;!&amp;W3"</f>
        <v>#VALUE!</v>
      </c>
      <c r="DJ110" t="e">
        <f>'All regions'!F2748+"n/&gt;!&amp;W4"</f>
        <v>#VALUE!</v>
      </c>
      <c r="DK110" t="e">
        <f>'All regions'!G2748+"n/&gt;!&amp;W5"</f>
        <v>#VALUE!</v>
      </c>
      <c r="DL110" t="e">
        <f>'All regions'!H2748+"n/&gt;!&amp;W6"</f>
        <v>#VALUE!</v>
      </c>
      <c r="DM110" t="e">
        <f>'All regions'!I2748+"n/&gt;!&amp;W7"</f>
        <v>#VALUE!</v>
      </c>
      <c r="DN110" t="e">
        <f>'All regions'!J2748+"n/&gt;!&amp;W8"</f>
        <v>#VALUE!</v>
      </c>
      <c r="DO110" t="e">
        <f>'All regions'!A2749+"n/&gt;!&amp;W9"</f>
        <v>#VALUE!</v>
      </c>
      <c r="DP110" t="e">
        <f>'All regions'!B2749+"n/&gt;!&amp;W:"</f>
        <v>#VALUE!</v>
      </c>
      <c r="DQ110" t="e">
        <f>'All regions'!C2749+"n/&gt;!&amp;W;"</f>
        <v>#VALUE!</v>
      </c>
      <c r="DR110" t="e">
        <f>'All regions'!D2749+"n/&gt;!&amp;W&lt;"</f>
        <v>#VALUE!</v>
      </c>
      <c r="DS110" t="e">
        <f>'All regions'!E2749+"n/&gt;!&amp;W="</f>
        <v>#VALUE!</v>
      </c>
      <c r="DT110" t="e">
        <f>'All regions'!F2749+"n/&gt;!&amp;W&gt;"</f>
        <v>#VALUE!</v>
      </c>
      <c r="DU110" t="e">
        <f>'All regions'!G2749+"n/&gt;!&amp;W?"</f>
        <v>#VALUE!</v>
      </c>
      <c r="DV110" t="e">
        <f>'All regions'!H2749+"n/&gt;!&amp;W@"</f>
        <v>#VALUE!</v>
      </c>
      <c r="DW110" t="e">
        <f>'All regions'!I2749+"n/&gt;!&amp;WA"</f>
        <v>#VALUE!</v>
      </c>
      <c r="DX110" t="e">
        <f>'All regions'!J2749+"n/&gt;!&amp;WB"</f>
        <v>#VALUE!</v>
      </c>
      <c r="DY110" t="e">
        <f>'All regions'!A2750+"n/&gt;!&amp;WC"</f>
        <v>#VALUE!</v>
      </c>
      <c r="DZ110" t="e">
        <f>'All regions'!B2750+"n/&gt;!&amp;WD"</f>
        <v>#VALUE!</v>
      </c>
      <c r="EA110" t="e">
        <f>'All regions'!C2750+"n/&gt;!&amp;WE"</f>
        <v>#VALUE!</v>
      </c>
      <c r="EB110" t="e">
        <f>'All regions'!D2750+"n/&gt;!&amp;WF"</f>
        <v>#VALUE!</v>
      </c>
      <c r="EC110" t="e">
        <f>'All regions'!E2750+"n/&gt;!&amp;WG"</f>
        <v>#VALUE!</v>
      </c>
      <c r="ED110" t="e">
        <f>'All regions'!F2750+"n/&gt;!&amp;WH"</f>
        <v>#VALUE!</v>
      </c>
      <c r="EE110" t="e">
        <f>'All regions'!G2750+"n/&gt;!&amp;WI"</f>
        <v>#VALUE!</v>
      </c>
      <c r="EF110" t="e">
        <f>'All regions'!H2750+"n/&gt;!&amp;WJ"</f>
        <v>#VALUE!</v>
      </c>
      <c r="EG110" t="e">
        <f>'All regions'!I2750+"n/&gt;!&amp;WK"</f>
        <v>#VALUE!</v>
      </c>
      <c r="EH110" t="e">
        <f>'All regions'!J2750+"n/&gt;!&amp;WL"</f>
        <v>#VALUE!</v>
      </c>
      <c r="EI110" t="e">
        <f>'All regions'!A2751+"n/&gt;!&amp;WM"</f>
        <v>#VALUE!</v>
      </c>
      <c r="EJ110" t="e">
        <f>'All regions'!B2751+"n/&gt;!&amp;WN"</f>
        <v>#VALUE!</v>
      </c>
      <c r="EK110" t="e">
        <f>'All regions'!C2751+"n/&gt;!&amp;WO"</f>
        <v>#VALUE!</v>
      </c>
      <c r="EL110" t="e">
        <f>'All regions'!D2751+"n/&gt;!&amp;WP"</f>
        <v>#VALUE!</v>
      </c>
      <c r="EM110" t="e">
        <f>'All regions'!E2751+"n/&gt;!&amp;WQ"</f>
        <v>#VALUE!</v>
      </c>
      <c r="EN110" t="e">
        <f>'All regions'!F2751+"n/&gt;!&amp;WR"</f>
        <v>#VALUE!</v>
      </c>
      <c r="EO110" t="e">
        <f>'All regions'!G2751+"n/&gt;!&amp;WS"</f>
        <v>#VALUE!</v>
      </c>
      <c r="EP110" t="e">
        <f>'All regions'!H2751+"n/&gt;!&amp;WT"</f>
        <v>#VALUE!</v>
      </c>
      <c r="EQ110" t="e">
        <f>'All regions'!I2751+"n/&gt;!&amp;WU"</f>
        <v>#VALUE!</v>
      </c>
      <c r="ER110" t="e">
        <f>'All regions'!J2751+"n/&gt;!&amp;WV"</f>
        <v>#VALUE!</v>
      </c>
      <c r="ES110" t="e">
        <f>'All regions'!A2752+"n/&gt;!&amp;WW"</f>
        <v>#VALUE!</v>
      </c>
      <c r="ET110" t="e">
        <f>'All regions'!B2752+"n/&gt;!&amp;WX"</f>
        <v>#VALUE!</v>
      </c>
      <c r="EU110" t="e">
        <f>'All regions'!C2752+"n/&gt;!&amp;WY"</f>
        <v>#VALUE!</v>
      </c>
      <c r="EV110" t="e">
        <f>'All regions'!D2752+"n/&gt;!&amp;WZ"</f>
        <v>#VALUE!</v>
      </c>
      <c r="EW110" t="e">
        <f>'All regions'!E2752+"n/&gt;!&amp;W["</f>
        <v>#VALUE!</v>
      </c>
      <c r="EX110" t="e">
        <f>'All regions'!F2752+"n/&gt;!&amp;W\"</f>
        <v>#VALUE!</v>
      </c>
      <c r="EY110" t="e">
        <f>'All regions'!G2752+"n/&gt;!&amp;W]"</f>
        <v>#VALUE!</v>
      </c>
      <c r="EZ110" t="e">
        <f>'All regions'!H2752+"n/&gt;!&amp;W^"</f>
        <v>#VALUE!</v>
      </c>
      <c r="FA110" t="e">
        <f>'All regions'!I2752+"n/&gt;!&amp;W_"</f>
        <v>#VALUE!</v>
      </c>
      <c r="FB110" t="e">
        <f>'All regions'!J2752+"n/&gt;!&amp;W`"</f>
        <v>#VALUE!</v>
      </c>
      <c r="FC110" t="e">
        <f>'All regions'!A2753+"n/&gt;!&amp;Wa"</f>
        <v>#VALUE!</v>
      </c>
      <c r="FD110" t="e">
        <f>'All regions'!B2753+"n/&gt;!&amp;Wb"</f>
        <v>#VALUE!</v>
      </c>
      <c r="FE110" t="e">
        <f>'All regions'!C2753+"n/&gt;!&amp;Wc"</f>
        <v>#VALUE!</v>
      </c>
      <c r="FF110" t="e">
        <f>'All regions'!D2753+"n/&gt;!&amp;Wd"</f>
        <v>#VALUE!</v>
      </c>
      <c r="FG110" t="e">
        <f>'All regions'!E2753+"n/&gt;!&amp;We"</f>
        <v>#VALUE!</v>
      </c>
      <c r="FH110" t="e">
        <f>'All regions'!F2753+"n/&gt;!&amp;Wf"</f>
        <v>#VALUE!</v>
      </c>
      <c r="FI110" t="e">
        <f>'All regions'!G2753+"n/&gt;!&amp;Wg"</f>
        <v>#VALUE!</v>
      </c>
      <c r="FJ110" t="e">
        <f>'All regions'!H2753+"n/&gt;!&amp;Wh"</f>
        <v>#VALUE!</v>
      </c>
      <c r="FK110" t="e">
        <f>'All regions'!I2753+"n/&gt;!&amp;Wi"</f>
        <v>#VALUE!</v>
      </c>
      <c r="FL110" t="e">
        <f>'All regions'!J2753+"n/&gt;!&amp;Wj"</f>
        <v>#VALUE!</v>
      </c>
      <c r="FM110" t="e">
        <f>'All regions'!A2754+"n/&gt;!&amp;Wk"</f>
        <v>#VALUE!</v>
      </c>
      <c r="FN110" t="e">
        <f>'All regions'!B2754+"n/&gt;!&amp;Wl"</f>
        <v>#VALUE!</v>
      </c>
      <c r="FO110" t="e">
        <f>'All regions'!C2754+"n/&gt;!&amp;Wm"</f>
        <v>#VALUE!</v>
      </c>
      <c r="FP110" t="e">
        <f>'All regions'!D2754+"n/&gt;!&amp;Wn"</f>
        <v>#VALUE!</v>
      </c>
      <c r="FQ110" t="e">
        <f>'All regions'!E2754+"n/&gt;!&amp;Wo"</f>
        <v>#VALUE!</v>
      </c>
      <c r="FR110" t="e">
        <f>'All regions'!F2754+"n/&gt;!&amp;Wp"</f>
        <v>#VALUE!</v>
      </c>
      <c r="FS110" t="e">
        <f>'All regions'!G2754+"n/&gt;!&amp;Wq"</f>
        <v>#VALUE!</v>
      </c>
      <c r="FT110" t="e">
        <f>'All regions'!H2754+"n/&gt;!&amp;Wr"</f>
        <v>#VALUE!</v>
      </c>
      <c r="FU110" t="e">
        <f>'All regions'!I2754+"n/&gt;!&amp;Ws"</f>
        <v>#VALUE!</v>
      </c>
      <c r="FV110" t="e">
        <f>'All regions'!J2754+"n/&gt;!&amp;Wt"</f>
        <v>#VALUE!</v>
      </c>
      <c r="FW110" t="e">
        <f>'All regions'!A2755+"n/&gt;!&amp;Wu"</f>
        <v>#VALUE!</v>
      </c>
      <c r="FX110" t="e">
        <f>'All regions'!B2755+"n/&gt;!&amp;Wv"</f>
        <v>#VALUE!</v>
      </c>
      <c r="FY110" t="e">
        <f>'All regions'!C2755+"n/&gt;!&amp;Ww"</f>
        <v>#VALUE!</v>
      </c>
      <c r="FZ110" t="e">
        <f>'All regions'!D2755+"n/&gt;!&amp;Wx"</f>
        <v>#VALUE!</v>
      </c>
      <c r="GA110" t="e">
        <f>'All regions'!E2755+"n/&gt;!&amp;Wy"</f>
        <v>#VALUE!</v>
      </c>
      <c r="GB110" t="e">
        <f>'All regions'!F2755+"n/&gt;!&amp;Wz"</f>
        <v>#VALUE!</v>
      </c>
      <c r="GC110" t="e">
        <f>'All regions'!G2755+"n/&gt;!&amp;W{"</f>
        <v>#VALUE!</v>
      </c>
      <c r="GD110" t="e">
        <f>'All regions'!H2755+"n/&gt;!&amp;W|"</f>
        <v>#VALUE!</v>
      </c>
      <c r="GE110" t="e">
        <f>'All regions'!I2755+"n/&gt;!&amp;W}"</f>
        <v>#VALUE!</v>
      </c>
      <c r="GF110" t="e">
        <f>'All regions'!J2755+"n/&gt;!&amp;W~"</f>
        <v>#VALUE!</v>
      </c>
      <c r="GG110" t="e">
        <f>'All regions'!A2756+"n/&gt;!&amp;X#"</f>
        <v>#VALUE!</v>
      </c>
      <c r="GH110" t="e">
        <f>'All regions'!B2756+"n/&gt;!&amp;X$"</f>
        <v>#VALUE!</v>
      </c>
      <c r="GI110" t="e">
        <f>'All regions'!C2756+"n/&gt;!&amp;X%"</f>
        <v>#VALUE!</v>
      </c>
      <c r="GJ110" t="e">
        <f>'All regions'!D2756+"n/&gt;!&amp;X&amp;"</f>
        <v>#VALUE!</v>
      </c>
      <c r="GK110" t="e">
        <f>'All regions'!E2756+"n/&gt;!&amp;X'"</f>
        <v>#VALUE!</v>
      </c>
      <c r="GL110" t="e">
        <f>'All regions'!F2756+"n/&gt;!&amp;X("</f>
        <v>#VALUE!</v>
      </c>
      <c r="GM110" t="e">
        <f>'All regions'!G2756+"n/&gt;!&amp;X)"</f>
        <v>#VALUE!</v>
      </c>
      <c r="GN110" t="e">
        <f>'All regions'!H2756+"n/&gt;!&amp;X."</f>
        <v>#VALUE!</v>
      </c>
      <c r="GO110" t="e">
        <f>'All regions'!I2756+"n/&gt;!&amp;X/"</f>
        <v>#VALUE!</v>
      </c>
      <c r="GP110" t="e">
        <f>'All regions'!J2756+"n/&gt;!&amp;X0"</f>
        <v>#VALUE!</v>
      </c>
      <c r="GQ110" t="e">
        <f>'All regions'!A2757+"n/&gt;!&amp;X1"</f>
        <v>#VALUE!</v>
      </c>
      <c r="GR110" t="e">
        <f>'All regions'!B2757+"n/&gt;!&amp;X2"</f>
        <v>#VALUE!</v>
      </c>
      <c r="GS110" t="e">
        <f>'All regions'!C2757+"n/&gt;!&amp;X3"</f>
        <v>#VALUE!</v>
      </c>
      <c r="GT110" t="e">
        <f>'All regions'!D2757+"n/&gt;!&amp;X4"</f>
        <v>#VALUE!</v>
      </c>
      <c r="GU110" t="e">
        <f>'All regions'!E2757+"n/&gt;!&amp;X5"</f>
        <v>#VALUE!</v>
      </c>
      <c r="GV110" t="e">
        <f>'All regions'!F2757+"n/&gt;!&amp;X6"</f>
        <v>#VALUE!</v>
      </c>
      <c r="GW110" t="e">
        <f>'All regions'!G2757+"n/&gt;!&amp;X7"</f>
        <v>#VALUE!</v>
      </c>
      <c r="GX110" t="e">
        <f>'All regions'!H2757+"n/&gt;!&amp;X8"</f>
        <v>#VALUE!</v>
      </c>
      <c r="GY110" t="e">
        <f>'All regions'!I2757+"n/&gt;!&amp;X9"</f>
        <v>#VALUE!</v>
      </c>
      <c r="GZ110" t="e">
        <f>'All regions'!J2757+"n/&gt;!&amp;X:"</f>
        <v>#VALUE!</v>
      </c>
      <c r="HA110" t="e">
        <f>'All regions'!A2758+"n/&gt;!&amp;X;"</f>
        <v>#VALUE!</v>
      </c>
      <c r="HB110" t="e">
        <f>'All regions'!B2758+"n/&gt;!&amp;X&lt;"</f>
        <v>#VALUE!</v>
      </c>
      <c r="HC110" t="e">
        <f>'All regions'!C2758+"n/&gt;!&amp;X="</f>
        <v>#VALUE!</v>
      </c>
      <c r="HD110" t="e">
        <f>'All regions'!D2758+"n/&gt;!&amp;X&gt;"</f>
        <v>#VALUE!</v>
      </c>
      <c r="HE110" t="e">
        <f>'All regions'!E2758+"n/&gt;!&amp;X?"</f>
        <v>#VALUE!</v>
      </c>
      <c r="HF110" t="e">
        <f>'All regions'!F2758+"n/&gt;!&amp;X@"</f>
        <v>#VALUE!</v>
      </c>
      <c r="HG110" t="e">
        <f>'All regions'!G2758+"n/&gt;!&amp;XA"</f>
        <v>#VALUE!</v>
      </c>
      <c r="HH110" t="e">
        <f>'All regions'!H2758+"n/&gt;!&amp;XB"</f>
        <v>#VALUE!</v>
      </c>
      <c r="HI110" t="e">
        <f>'All regions'!I2758+"n/&gt;!&amp;XC"</f>
        <v>#VALUE!</v>
      </c>
      <c r="HJ110" t="e">
        <f>'All regions'!J2758+"n/&gt;!&amp;XD"</f>
        <v>#VALUE!</v>
      </c>
      <c r="HK110" t="e">
        <f>'All regions'!A2759+"n/&gt;!&amp;XE"</f>
        <v>#VALUE!</v>
      </c>
      <c r="HL110" t="e">
        <f>'All regions'!B2759+"n/&gt;!&amp;XF"</f>
        <v>#VALUE!</v>
      </c>
      <c r="HM110" t="e">
        <f>'All regions'!C2759+"n/&gt;!&amp;XG"</f>
        <v>#VALUE!</v>
      </c>
      <c r="HN110" t="e">
        <f>'All regions'!D2759+"n/&gt;!&amp;XH"</f>
        <v>#VALUE!</v>
      </c>
      <c r="HO110" t="e">
        <f>'All regions'!E2759+"n/&gt;!&amp;XI"</f>
        <v>#VALUE!</v>
      </c>
      <c r="HP110" t="e">
        <f>'All regions'!F2759+"n/&gt;!&amp;XJ"</f>
        <v>#VALUE!</v>
      </c>
      <c r="HQ110" t="e">
        <f>'All regions'!G2759+"n/&gt;!&amp;XK"</f>
        <v>#VALUE!</v>
      </c>
      <c r="HR110" t="e">
        <f>'All regions'!H2759+"n/&gt;!&amp;XL"</f>
        <v>#VALUE!</v>
      </c>
      <c r="HS110" t="e">
        <f>'All regions'!I2759+"n/&gt;!&amp;XM"</f>
        <v>#VALUE!</v>
      </c>
      <c r="HT110" t="e">
        <f>'All regions'!J2759+"n/&gt;!&amp;XN"</f>
        <v>#VALUE!</v>
      </c>
      <c r="HU110" t="e">
        <f>'All regions'!A2760+"n/&gt;!&amp;XO"</f>
        <v>#VALUE!</v>
      </c>
      <c r="HV110" t="e">
        <f>'All regions'!B2760+"n/&gt;!&amp;XP"</f>
        <v>#VALUE!</v>
      </c>
      <c r="HW110" t="e">
        <f>'All regions'!C2760+"n/&gt;!&amp;XQ"</f>
        <v>#VALUE!</v>
      </c>
      <c r="HX110" t="e">
        <f>'All regions'!D2760+"n/&gt;!&amp;XR"</f>
        <v>#VALUE!</v>
      </c>
      <c r="HY110" t="e">
        <f>'All regions'!E2760+"n/&gt;!&amp;XS"</f>
        <v>#VALUE!</v>
      </c>
      <c r="HZ110" t="e">
        <f>'All regions'!F2760+"n/&gt;!&amp;XT"</f>
        <v>#VALUE!</v>
      </c>
      <c r="IA110" t="e">
        <f>'All regions'!G2760+"n/&gt;!&amp;XU"</f>
        <v>#VALUE!</v>
      </c>
      <c r="IB110" t="e">
        <f>'All regions'!H2760+"n/&gt;!&amp;XV"</f>
        <v>#VALUE!</v>
      </c>
      <c r="IC110" t="e">
        <f>'All regions'!I2760+"n/&gt;!&amp;XW"</f>
        <v>#VALUE!</v>
      </c>
      <c r="ID110" t="e">
        <f>'All regions'!J2760+"n/&gt;!&amp;XX"</f>
        <v>#VALUE!</v>
      </c>
      <c r="IE110" t="e">
        <f>'All regions'!A2761+"n/&gt;!&amp;XY"</f>
        <v>#VALUE!</v>
      </c>
      <c r="IF110" t="e">
        <f>'All regions'!B2761+"n/&gt;!&amp;XZ"</f>
        <v>#VALUE!</v>
      </c>
      <c r="IG110" t="e">
        <f>'All regions'!C2761+"n/&gt;!&amp;X["</f>
        <v>#VALUE!</v>
      </c>
      <c r="IH110" t="e">
        <f>'All regions'!D2761+"n/&gt;!&amp;X\"</f>
        <v>#VALUE!</v>
      </c>
      <c r="II110" t="e">
        <f>'All regions'!E2761+"n/&gt;!&amp;X]"</f>
        <v>#VALUE!</v>
      </c>
      <c r="IJ110" t="e">
        <f>'All regions'!F2761+"n/&gt;!&amp;X^"</f>
        <v>#VALUE!</v>
      </c>
      <c r="IK110" t="e">
        <f>'All regions'!G2761+"n/&gt;!&amp;X_"</f>
        <v>#VALUE!</v>
      </c>
      <c r="IL110" t="e">
        <f>'All regions'!H2761+"n/&gt;!&amp;X`"</f>
        <v>#VALUE!</v>
      </c>
      <c r="IM110" t="e">
        <f>'All regions'!I2761+"n/&gt;!&amp;Xa"</f>
        <v>#VALUE!</v>
      </c>
      <c r="IN110" t="e">
        <f>'All regions'!J2761+"n/&gt;!&amp;Xb"</f>
        <v>#VALUE!</v>
      </c>
      <c r="IO110" t="e">
        <f>'All regions'!A2762+"n/&gt;!&amp;Xc"</f>
        <v>#VALUE!</v>
      </c>
      <c r="IP110" t="e">
        <f>'All regions'!B2762+"n/&gt;!&amp;Xd"</f>
        <v>#VALUE!</v>
      </c>
      <c r="IQ110" t="e">
        <f>'All regions'!C2762+"n/&gt;!&amp;Xe"</f>
        <v>#VALUE!</v>
      </c>
      <c r="IR110" t="e">
        <f>'All regions'!D2762+"n/&gt;!&amp;Xf"</f>
        <v>#VALUE!</v>
      </c>
      <c r="IS110" t="e">
        <f>'All regions'!E2762+"n/&gt;!&amp;Xg"</f>
        <v>#VALUE!</v>
      </c>
      <c r="IT110" t="e">
        <f>'All regions'!F2762+"n/&gt;!&amp;Xh"</f>
        <v>#VALUE!</v>
      </c>
      <c r="IU110" t="e">
        <f>'All regions'!G2762+"n/&gt;!&amp;Xi"</f>
        <v>#VALUE!</v>
      </c>
      <c r="IV110" t="e">
        <f>'All regions'!H2762+"n/&gt;!&amp;Xj"</f>
        <v>#VALUE!</v>
      </c>
    </row>
    <row r="111" spans="6:256" x14ac:dyDescent="0.35">
      <c r="F111" t="e">
        <f>'All regions'!I2762+"n/&gt;!&amp;Xk"</f>
        <v>#VALUE!</v>
      </c>
      <c r="G111" t="e">
        <f>'All regions'!J2762+"n/&gt;!&amp;Xl"</f>
        <v>#VALUE!</v>
      </c>
      <c r="H111" t="e">
        <f>'All regions'!A2763+"n/&gt;!&amp;Xm"</f>
        <v>#VALUE!</v>
      </c>
      <c r="I111" t="e">
        <f>'All regions'!B2763+"n/&gt;!&amp;Xn"</f>
        <v>#VALUE!</v>
      </c>
      <c r="J111" t="e">
        <f>'All regions'!C2763+"n/&gt;!&amp;Xo"</f>
        <v>#VALUE!</v>
      </c>
      <c r="K111" t="e">
        <f>'All regions'!D2763+"n/&gt;!&amp;Xp"</f>
        <v>#VALUE!</v>
      </c>
      <c r="L111" t="e">
        <f>'All regions'!E2763+"n/&gt;!&amp;Xq"</f>
        <v>#VALUE!</v>
      </c>
      <c r="M111" t="e">
        <f>'All regions'!F2763+"n/&gt;!&amp;Xr"</f>
        <v>#VALUE!</v>
      </c>
      <c r="N111" t="e">
        <f>'All regions'!G2763+"n/&gt;!&amp;Xs"</f>
        <v>#VALUE!</v>
      </c>
      <c r="O111" t="e">
        <f>'All regions'!H2763+"n/&gt;!&amp;Xt"</f>
        <v>#VALUE!</v>
      </c>
      <c r="P111" t="e">
        <f>'All regions'!I2763+"n/&gt;!&amp;Xu"</f>
        <v>#VALUE!</v>
      </c>
      <c r="Q111" t="e">
        <f>'All regions'!J2763+"n/&gt;!&amp;Xv"</f>
        <v>#VALUE!</v>
      </c>
      <c r="R111" t="e">
        <f>'All regions'!A2764+"n/&gt;!&amp;Xw"</f>
        <v>#VALUE!</v>
      </c>
      <c r="S111" t="e">
        <f>'All regions'!B2764+"n/&gt;!&amp;Xx"</f>
        <v>#VALUE!</v>
      </c>
      <c r="T111" t="e">
        <f>'All regions'!C2764+"n/&gt;!&amp;Xy"</f>
        <v>#VALUE!</v>
      </c>
      <c r="U111" t="e">
        <f>'All regions'!D2764+"n/&gt;!&amp;Xz"</f>
        <v>#VALUE!</v>
      </c>
      <c r="V111" t="e">
        <f>'All regions'!E2764+"n/&gt;!&amp;X{"</f>
        <v>#VALUE!</v>
      </c>
      <c r="W111" t="e">
        <f>'All regions'!F2764+"n/&gt;!&amp;X|"</f>
        <v>#VALUE!</v>
      </c>
      <c r="X111" t="e">
        <f>'All regions'!G2764+"n/&gt;!&amp;X}"</f>
        <v>#VALUE!</v>
      </c>
      <c r="Y111" t="e">
        <f>'All regions'!H2764+"n/&gt;!&amp;X~"</f>
        <v>#VALUE!</v>
      </c>
      <c r="Z111" t="e">
        <f>'All regions'!I2764+"n/&gt;!&amp;Y#"</f>
        <v>#VALUE!</v>
      </c>
      <c r="AA111" t="e">
        <f>'All regions'!J2764+"n/&gt;!&amp;Y$"</f>
        <v>#VALUE!</v>
      </c>
      <c r="AB111" t="e">
        <f>'All regions'!A2765+"n/&gt;!&amp;Y%"</f>
        <v>#VALUE!</v>
      </c>
      <c r="AC111" t="e">
        <f>'All regions'!B2765+"n/&gt;!&amp;Y&amp;"</f>
        <v>#VALUE!</v>
      </c>
      <c r="AD111" t="e">
        <f>'All regions'!C2765+"n/&gt;!&amp;Y'"</f>
        <v>#VALUE!</v>
      </c>
      <c r="AE111" t="e">
        <f>'All regions'!D2765+"n/&gt;!&amp;Y("</f>
        <v>#VALUE!</v>
      </c>
      <c r="AF111" t="e">
        <f>'All regions'!E2765+"n/&gt;!&amp;Y)"</f>
        <v>#VALUE!</v>
      </c>
      <c r="AG111" t="e">
        <f>'All regions'!F2765+"n/&gt;!&amp;Y."</f>
        <v>#VALUE!</v>
      </c>
      <c r="AH111" t="e">
        <f>'All regions'!G2765+"n/&gt;!&amp;Y/"</f>
        <v>#VALUE!</v>
      </c>
      <c r="AI111" t="e">
        <f>'All regions'!H2765+"n/&gt;!&amp;Y0"</f>
        <v>#VALUE!</v>
      </c>
      <c r="AJ111" t="e">
        <f>'All regions'!I2765+"n/&gt;!&amp;Y1"</f>
        <v>#VALUE!</v>
      </c>
      <c r="AK111" t="e">
        <f>'All regions'!J2765+"n/&gt;!&amp;Y2"</f>
        <v>#VALUE!</v>
      </c>
      <c r="AL111" t="e">
        <f>'All regions'!A2766+"n/&gt;!&amp;Y3"</f>
        <v>#VALUE!</v>
      </c>
      <c r="AM111" t="e">
        <f>'All regions'!B2766+"n/&gt;!&amp;Y4"</f>
        <v>#VALUE!</v>
      </c>
      <c r="AN111" t="e">
        <f>'All regions'!C2766+"n/&gt;!&amp;Y5"</f>
        <v>#VALUE!</v>
      </c>
      <c r="AO111" t="e">
        <f>'All regions'!D2766+"n/&gt;!&amp;Y6"</f>
        <v>#VALUE!</v>
      </c>
      <c r="AP111" t="e">
        <f>'All regions'!E2766+"n/&gt;!&amp;Y7"</f>
        <v>#VALUE!</v>
      </c>
      <c r="AQ111" t="e">
        <f>'All regions'!F2766+"n/&gt;!&amp;Y8"</f>
        <v>#VALUE!</v>
      </c>
      <c r="AR111" t="e">
        <f>'All regions'!G2766+"n/&gt;!&amp;Y9"</f>
        <v>#VALUE!</v>
      </c>
      <c r="AS111" t="e">
        <f>'All regions'!H2766+"n/&gt;!&amp;Y:"</f>
        <v>#VALUE!</v>
      </c>
      <c r="AT111" t="e">
        <f>'All regions'!I2766+"n/&gt;!&amp;Y;"</f>
        <v>#VALUE!</v>
      </c>
      <c r="AU111" t="e">
        <f>'All regions'!J2766+"n/&gt;!&amp;Y&lt;"</f>
        <v>#VALUE!</v>
      </c>
      <c r="AV111" t="e">
        <f>'All regions'!A2767+"n/&gt;!&amp;Y="</f>
        <v>#VALUE!</v>
      </c>
      <c r="AW111" t="e">
        <f>'All regions'!B2767+"n/&gt;!&amp;Y&gt;"</f>
        <v>#VALUE!</v>
      </c>
      <c r="AX111" t="e">
        <f>'All regions'!C2767+"n/&gt;!&amp;Y?"</f>
        <v>#VALUE!</v>
      </c>
      <c r="AY111" t="e">
        <f>'All regions'!D2767+"n/&gt;!&amp;Y@"</f>
        <v>#VALUE!</v>
      </c>
      <c r="AZ111" t="e">
        <f>'All regions'!E2767+"n/&gt;!&amp;YA"</f>
        <v>#VALUE!</v>
      </c>
      <c r="BA111" t="e">
        <f>'All regions'!F2767+"n/&gt;!&amp;YB"</f>
        <v>#VALUE!</v>
      </c>
      <c r="BB111" t="e">
        <f>'All regions'!G2767+"n/&gt;!&amp;YC"</f>
        <v>#VALUE!</v>
      </c>
      <c r="BC111" t="e">
        <f>'All regions'!H2767+"n/&gt;!&amp;YD"</f>
        <v>#VALUE!</v>
      </c>
      <c r="BD111" t="e">
        <f>'All regions'!I2767+"n/&gt;!&amp;YE"</f>
        <v>#VALUE!</v>
      </c>
      <c r="BE111" t="e">
        <f>'All regions'!J2767+"n/&gt;!&amp;YF"</f>
        <v>#VALUE!</v>
      </c>
      <c r="BF111" t="e">
        <f>'All regions'!A2768+"n/&gt;!&amp;YG"</f>
        <v>#VALUE!</v>
      </c>
      <c r="BG111" t="e">
        <f>'All regions'!B2768+"n/&gt;!&amp;YH"</f>
        <v>#VALUE!</v>
      </c>
      <c r="BH111" t="e">
        <f>'All regions'!C2768+"n/&gt;!&amp;YI"</f>
        <v>#VALUE!</v>
      </c>
      <c r="BI111" t="e">
        <f>'All regions'!D2768+"n/&gt;!&amp;YJ"</f>
        <v>#VALUE!</v>
      </c>
      <c r="BJ111" t="e">
        <f>'All regions'!E2768+"n/&gt;!&amp;YK"</f>
        <v>#VALUE!</v>
      </c>
      <c r="BK111" t="e">
        <f>'All regions'!F2768+"n/&gt;!&amp;YL"</f>
        <v>#VALUE!</v>
      </c>
      <c r="BL111" t="e">
        <f>'All regions'!G2768+"n/&gt;!&amp;YM"</f>
        <v>#VALUE!</v>
      </c>
      <c r="BM111" t="e">
        <f>'All regions'!H2768+"n/&gt;!&amp;YN"</f>
        <v>#VALUE!</v>
      </c>
      <c r="BN111" t="e">
        <f>'All regions'!I2768+"n/&gt;!&amp;YO"</f>
        <v>#VALUE!</v>
      </c>
      <c r="BO111" t="e">
        <f>'All regions'!J2768+"n/&gt;!&amp;YP"</f>
        <v>#VALUE!</v>
      </c>
      <c r="BP111" t="e">
        <f>'All regions'!A2769+"n/&gt;!&amp;YQ"</f>
        <v>#VALUE!</v>
      </c>
      <c r="BQ111" t="e">
        <f>'All regions'!B2769+"n/&gt;!&amp;YR"</f>
        <v>#VALUE!</v>
      </c>
      <c r="BR111" t="e">
        <f>'All regions'!C2769+"n/&gt;!&amp;YS"</f>
        <v>#VALUE!</v>
      </c>
      <c r="BS111" t="e">
        <f>'All regions'!D2769+"n/&gt;!&amp;YT"</f>
        <v>#VALUE!</v>
      </c>
      <c r="BT111" t="e">
        <f>'All regions'!E2769+"n/&gt;!&amp;YU"</f>
        <v>#VALUE!</v>
      </c>
      <c r="BU111" t="e">
        <f>'All regions'!F2769+"n/&gt;!&amp;YV"</f>
        <v>#VALUE!</v>
      </c>
      <c r="BV111" t="e">
        <f>'All regions'!G2769+"n/&gt;!&amp;YW"</f>
        <v>#VALUE!</v>
      </c>
      <c r="BW111" t="e">
        <f>'All regions'!H2769+"n/&gt;!&amp;YX"</f>
        <v>#VALUE!</v>
      </c>
      <c r="BX111" t="e">
        <f>'All regions'!I2769+"n/&gt;!&amp;YY"</f>
        <v>#VALUE!</v>
      </c>
      <c r="BY111" t="e">
        <f>'All regions'!J2769+"n/&gt;!&amp;YZ"</f>
        <v>#VALUE!</v>
      </c>
      <c r="BZ111" t="e">
        <f>'All regions'!A2770+"n/&gt;!&amp;Y["</f>
        <v>#VALUE!</v>
      </c>
      <c r="CA111" t="e">
        <f>'All regions'!B2770+"n/&gt;!&amp;Y\"</f>
        <v>#VALUE!</v>
      </c>
      <c r="CB111" t="e">
        <f>'All regions'!C2770+"n/&gt;!&amp;Y]"</f>
        <v>#VALUE!</v>
      </c>
      <c r="CC111" t="e">
        <f>'All regions'!D2770+"n/&gt;!&amp;Y^"</f>
        <v>#VALUE!</v>
      </c>
      <c r="CD111" t="e">
        <f>'All regions'!E2770+"n/&gt;!&amp;Y_"</f>
        <v>#VALUE!</v>
      </c>
      <c r="CE111" t="e">
        <f>'All regions'!F2770+"n/&gt;!&amp;Y`"</f>
        <v>#VALUE!</v>
      </c>
      <c r="CF111" t="e">
        <f>'All regions'!G2770+"n/&gt;!&amp;Ya"</f>
        <v>#VALUE!</v>
      </c>
      <c r="CG111" t="e">
        <f>'All regions'!H2770+"n/&gt;!&amp;Yb"</f>
        <v>#VALUE!</v>
      </c>
      <c r="CH111" t="e">
        <f>'All regions'!I2770+"n/&gt;!&amp;Yc"</f>
        <v>#VALUE!</v>
      </c>
      <c r="CI111" t="e">
        <f>'All regions'!J2770+"n/&gt;!&amp;Yd"</f>
        <v>#VALUE!</v>
      </c>
      <c r="CJ111" t="e">
        <f>'All regions'!A2771+"n/&gt;!&amp;Ye"</f>
        <v>#VALUE!</v>
      </c>
      <c r="CK111" t="e">
        <f>'All regions'!B2771+"n/&gt;!&amp;Yf"</f>
        <v>#VALUE!</v>
      </c>
      <c r="CL111" t="e">
        <f>'All regions'!C2771+"n/&gt;!&amp;Yg"</f>
        <v>#VALUE!</v>
      </c>
      <c r="CM111" t="e">
        <f>'All regions'!D2771+"n/&gt;!&amp;Yh"</f>
        <v>#VALUE!</v>
      </c>
      <c r="CN111" t="e">
        <f>'All regions'!E2771+"n/&gt;!&amp;Yi"</f>
        <v>#VALUE!</v>
      </c>
      <c r="CO111" t="e">
        <f>'All regions'!F2771+"n/&gt;!&amp;Yj"</f>
        <v>#VALUE!</v>
      </c>
      <c r="CP111" t="e">
        <f>'All regions'!G2771+"n/&gt;!&amp;Yk"</f>
        <v>#VALUE!</v>
      </c>
      <c r="CQ111" t="e">
        <f>'All regions'!H2771+"n/&gt;!&amp;Yl"</f>
        <v>#VALUE!</v>
      </c>
      <c r="CR111" t="e">
        <f>'All regions'!I2771+"n/&gt;!&amp;Ym"</f>
        <v>#VALUE!</v>
      </c>
      <c r="CS111" t="e">
        <f>'All regions'!J2771+"n/&gt;!&amp;Yn"</f>
        <v>#VALUE!</v>
      </c>
      <c r="CT111" t="e">
        <f>'All regions'!A2772+"n/&gt;!&amp;Yo"</f>
        <v>#VALUE!</v>
      </c>
      <c r="CU111" t="e">
        <f>'All regions'!B2772+"n/&gt;!&amp;Yp"</f>
        <v>#VALUE!</v>
      </c>
      <c r="CV111" t="e">
        <f>'All regions'!C2772+"n/&gt;!&amp;Yq"</f>
        <v>#VALUE!</v>
      </c>
      <c r="CW111" t="e">
        <f>'All regions'!D2772+"n/&gt;!&amp;Yr"</f>
        <v>#VALUE!</v>
      </c>
      <c r="CX111" t="e">
        <f>'All regions'!E2772+"n/&gt;!&amp;Ys"</f>
        <v>#VALUE!</v>
      </c>
      <c r="CY111" t="e">
        <f>'All regions'!F2772+"n/&gt;!&amp;Yt"</f>
        <v>#VALUE!</v>
      </c>
      <c r="CZ111" t="e">
        <f>'All regions'!G2772+"n/&gt;!&amp;Yu"</f>
        <v>#VALUE!</v>
      </c>
      <c r="DA111" t="e">
        <f>'All regions'!H2772+"n/&gt;!&amp;Yv"</f>
        <v>#VALUE!</v>
      </c>
      <c r="DB111" t="e">
        <f>'All regions'!I2772+"n/&gt;!&amp;Yw"</f>
        <v>#VALUE!</v>
      </c>
      <c r="DC111" t="e">
        <f>'All regions'!J2772+"n/&gt;!&amp;Yx"</f>
        <v>#VALUE!</v>
      </c>
      <c r="DD111" t="e">
        <f>'All regions'!A2773+"n/&gt;!&amp;Yy"</f>
        <v>#VALUE!</v>
      </c>
      <c r="DE111" t="e">
        <f>'All regions'!B2773+"n/&gt;!&amp;Yz"</f>
        <v>#VALUE!</v>
      </c>
      <c r="DF111" t="e">
        <f>'All regions'!C2773+"n/&gt;!&amp;Y{"</f>
        <v>#VALUE!</v>
      </c>
      <c r="DG111" t="e">
        <f>'All regions'!D2773+"n/&gt;!&amp;Y|"</f>
        <v>#VALUE!</v>
      </c>
      <c r="DH111" t="e">
        <f>'All regions'!E2773+"n/&gt;!&amp;Y}"</f>
        <v>#VALUE!</v>
      </c>
      <c r="DI111" t="e">
        <f>'All regions'!F2773+"n/&gt;!&amp;Y~"</f>
        <v>#VALUE!</v>
      </c>
      <c r="DJ111" t="e">
        <f>'All regions'!G2773+"n/&gt;!&amp;Z#"</f>
        <v>#VALUE!</v>
      </c>
      <c r="DK111" t="e">
        <f>'All regions'!H2773+"n/&gt;!&amp;Z$"</f>
        <v>#VALUE!</v>
      </c>
      <c r="DL111" t="e">
        <f>'All regions'!I2773+"n/&gt;!&amp;Z%"</f>
        <v>#VALUE!</v>
      </c>
      <c r="DM111" t="e">
        <f>'All regions'!J2773+"n/&gt;!&amp;Z&amp;"</f>
        <v>#VALUE!</v>
      </c>
      <c r="DN111" t="e">
        <f>'All regions'!A2774+"n/&gt;!&amp;Z'"</f>
        <v>#VALUE!</v>
      </c>
      <c r="DO111" t="e">
        <f>'All regions'!B2774+"n/&gt;!&amp;Z("</f>
        <v>#VALUE!</v>
      </c>
      <c r="DP111" t="e">
        <f>'All regions'!C2774+"n/&gt;!&amp;Z)"</f>
        <v>#VALUE!</v>
      </c>
      <c r="DQ111" t="e">
        <f>'All regions'!D2774+"n/&gt;!&amp;Z."</f>
        <v>#VALUE!</v>
      </c>
      <c r="DR111" t="e">
        <f>'All regions'!E2774+"n/&gt;!&amp;Z/"</f>
        <v>#VALUE!</v>
      </c>
      <c r="DS111" t="e">
        <f>'All regions'!F2774+"n/&gt;!&amp;Z0"</f>
        <v>#VALUE!</v>
      </c>
      <c r="DT111" t="e">
        <f>'All regions'!G2774+"n/&gt;!&amp;Z1"</f>
        <v>#VALUE!</v>
      </c>
      <c r="DU111" t="e">
        <f>'All regions'!H2774+"n/&gt;!&amp;Z2"</f>
        <v>#VALUE!</v>
      </c>
      <c r="DV111" t="e">
        <f>'All regions'!I2774+"n/&gt;!&amp;Z3"</f>
        <v>#VALUE!</v>
      </c>
      <c r="DW111" t="e">
        <f>'All regions'!J2774+"n/&gt;!&amp;Z4"</f>
        <v>#VALUE!</v>
      </c>
      <c r="DX111" t="e">
        <f>'All regions'!A2775+"n/&gt;!&amp;Z5"</f>
        <v>#VALUE!</v>
      </c>
      <c r="DY111" t="e">
        <f>'All regions'!B2775+"n/&gt;!&amp;Z6"</f>
        <v>#VALUE!</v>
      </c>
      <c r="DZ111" t="e">
        <f>'All regions'!C2775+"n/&gt;!&amp;Z7"</f>
        <v>#VALUE!</v>
      </c>
      <c r="EA111" t="e">
        <f>'All regions'!D2775+"n/&gt;!&amp;Z8"</f>
        <v>#VALUE!</v>
      </c>
      <c r="EB111" t="e">
        <f>'All regions'!E2775+"n/&gt;!&amp;Z9"</f>
        <v>#VALUE!</v>
      </c>
      <c r="EC111" t="e">
        <f>'All regions'!F2775+"n/&gt;!&amp;Z:"</f>
        <v>#VALUE!</v>
      </c>
      <c r="ED111" t="e">
        <f>'All regions'!G2775+"n/&gt;!&amp;Z;"</f>
        <v>#VALUE!</v>
      </c>
      <c r="EE111" t="e">
        <f>'All regions'!H2775+"n/&gt;!&amp;Z&lt;"</f>
        <v>#VALUE!</v>
      </c>
      <c r="EF111" t="e">
        <f>'All regions'!I2775+"n/&gt;!&amp;Z="</f>
        <v>#VALUE!</v>
      </c>
      <c r="EG111" t="e">
        <f>'All regions'!J2775+"n/&gt;!&amp;Z&gt;"</f>
        <v>#VALUE!</v>
      </c>
      <c r="EH111" t="e">
        <f>'All regions'!A2776+"n/&gt;!&amp;Z?"</f>
        <v>#VALUE!</v>
      </c>
      <c r="EI111" t="e">
        <f>'All regions'!B2776+"n/&gt;!&amp;Z@"</f>
        <v>#VALUE!</v>
      </c>
      <c r="EJ111" t="e">
        <f>'All regions'!C2776+"n/&gt;!&amp;ZA"</f>
        <v>#VALUE!</v>
      </c>
      <c r="EK111" t="e">
        <f>'All regions'!D2776+"n/&gt;!&amp;ZB"</f>
        <v>#VALUE!</v>
      </c>
      <c r="EL111" t="e">
        <f>'All regions'!E2776+"n/&gt;!&amp;ZC"</f>
        <v>#VALUE!</v>
      </c>
      <c r="EM111" t="e">
        <f>'All regions'!F2776+"n/&gt;!&amp;ZD"</f>
        <v>#VALUE!</v>
      </c>
      <c r="EN111" t="e">
        <f>'All regions'!G2776+"n/&gt;!&amp;ZE"</f>
        <v>#VALUE!</v>
      </c>
      <c r="EO111" t="e">
        <f>'All regions'!H2776+"n/&gt;!&amp;ZF"</f>
        <v>#VALUE!</v>
      </c>
      <c r="EP111" t="e">
        <f>'All regions'!I2776+"n/&gt;!&amp;ZG"</f>
        <v>#VALUE!</v>
      </c>
      <c r="EQ111" t="e">
        <f>'All regions'!J2776+"n/&gt;!&amp;ZH"</f>
        <v>#VALUE!</v>
      </c>
      <c r="ER111" t="e">
        <f>'All regions'!A2777+"n/&gt;!&amp;ZI"</f>
        <v>#VALUE!</v>
      </c>
      <c r="ES111" t="e">
        <f>'All regions'!B2777+"n/&gt;!&amp;ZJ"</f>
        <v>#VALUE!</v>
      </c>
      <c r="ET111" t="e">
        <f>'All regions'!C2777+"n/&gt;!&amp;ZK"</f>
        <v>#VALUE!</v>
      </c>
      <c r="EU111" t="e">
        <f>'All regions'!D2777+"n/&gt;!&amp;ZL"</f>
        <v>#VALUE!</v>
      </c>
      <c r="EV111" t="e">
        <f>'All regions'!E2777+"n/&gt;!&amp;ZM"</f>
        <v>#VALUE!</v>
      </c>
      <c r="EW111" t="e">
        <f>'All regions'!F2777+"n/&gt;!&amp;ZN"</f>
        <v>#VALUE!</v>
      </c>
      <c r="EX111" t="e">
        <f>'All regions'!G2777+"n/&gt;!&amp;ZO"</f>
        <v>#VALUE!</v>
      </c>
      <c r="EY111" t="e">
        <f>'All regions'!H2777+"n/&gt;!&amp;ZP"</f>
        <v>#VALUE!</v>
      </c>
      <c r="EZ111" t="e">
        <f>'All regions'!I2777+"n/&gt;!&amp;ZQ"</f>
        <v>#VALUE!</v>
      </c>
      <c r="FA111" t="e">
        <f>'All regions'!J2777+"n/&gt;!&amp;ZR"</f>
        <v>#VALUE!</v>
      </c>
      <c r="FB111" t="e">
        <f>'All regions'!A2778+"n/&gt;!&amp;ZS"</f>
        <v>#VALUE!</v>
      </c>
      <c r="FC111" t="e">
        <f>'All regions'!B2778+"n/&gt;!&amp;ZT"</f>
        <v>#VALUE!</v>
      </c>
      <c r="FD111" t="e">
        <f>'All regions'!C2778+"n/&gt;!&amp;ZU"</f>
        <v>#VALUE!</v>
      </c>
      <c r="FE111" t="e">
        <f>'All regions'!D2778+"n/&gt;!&amp;ZV"</f>
        <v>#VALUE!</v>
      </c>
      <c r="FF111" t="e">
        <f>'All regions'!E2778+"n/&gt;!&amp;ZW"</f>
        <v>#VALUE!</v>
      </c>
      <c r="FG111" t="e">
        <f>'All regions'!F2778+"n/&gt;!&amp;ZX"</f>
        <v>#VALUE!</v>
      </c>
      <c r="FH111" t="e">
        <f>'All regions'!G2778+"n/&gt;!&amp;ZY"</f>
        <v>#VALUE!</v>
      </c>
      <c r="FI111" t="e">
        <f>'All regions'!H2778+"n/&gt;!&amp;ZZ"</f>
        <v>#VALUE!</v>
      </c>
      <c r="FJ111" t="e">
        <f>'All regions'!I2778+"n/&gt;!&amp;Z["</f>
        <v>#VALUE!</v>
      </c>
      <c r="FK111" t="e">
        <f>'All regions'!J2778+"n/&gt;!&amp;Z\"</f>
        <v>#VALUE!</v>
      </c>
      <c r="FL111" t="e">
        <f>'All regions'!A2779+"n/&gt;!&amp;Z]"</f>
        <v>#VALUE!</v>
      </c>
      <c r="FM111" t="e">
        <f>'All regions'!B2779+"n/&gt;!&amp;Z^"</f>
        <v>#VALUE!</v>
      </c>
      <c r="FN111" t="e">
        <f>'All regions'!C2779+"n/&gt;!&amp;Z_"</f>
        <v>#VALUE!</v>
      </c>
      <c r="FO111" t="e">
        <f>'All regions'!D2779+"n/&gt;!&amp;Z`"</f>
        <v>#VALUE!</v>
      </c>
      <c r="FP111" t="e">
        <f>'All regions'!E2779+"n/&gt;!&amp;Za"</f>
        <v>#VALUE!</v>
      </c>
      <c r="FQ111" t="e">
        <f>'All regions'!F2779+"n/&gt;!&amp;Zb"</f>
        <v>#VALUE!</v>
      </c>
      <c r="FR111" t="e">
        <f>'All regions'!G2779+"n/&gt;!&amp;Zc"</f>
        <v>#VALUE!</v>
      </c>
      <c r="FS111" t="e">
        <f>'All regions'!H2779+"n/&gt;!&amp;Zd"</f>
        <v>#VALUE!</v>
      </c>
      <c r="FT111" t="e">
        <f>'All regions'!I2779+"n/&gt;!&amp;Ze"</f>
        <v>#VALUE!</v>
      </c>
      <c r="FU111" t="e">
        <f>'All regions'!J2779+"n/&gt;!&amp;Zf"</f>
        <v>#VALUE!</v>
      </c>
      <c r="FV111" t="e">
        <f>'All regions'!A2780+"n/&gt;!&amp;Zg"</f>
        <v>#VALUE!</v>
      </c>
      <c r="FW111" t="e">
        <f>'All regions'!B2780+"n/&gt;!&amp;Zh"</f>
        <v>#VALUE!</v>
      </c>
      <c r="FX111" t="e">
        <f>'All regions'!C2780+"n/&gt;!&amp;Zi"</f>
        <v>#VALUE!</v>
      </c>
      <c r="FY111" t="e">
        <f>'All regions'!D2780+"n/&gt;!&amp;Zj"</f>
        <v>#VALUE!</v>
      </c>
      <c r="FZ111" t="e">
        <f>'All regions'!E2780+"n/&gt;!&amp;Zk"</f>
        <v>#VALUE!</v>
      </c>
      <c r="GA111" t="e">
        <f>'All regions'!F2780+"n/&gt;!&amp;Zl"</f>
        <v>#VALUE!</v>
      </c>
      <c r="GB111" t="e">
        <f>'All regions'!G2780+"n/&gt;!&amp;Zm"</f>
        <v>#VALUE!</v>
      </c>
      <c r="GC111" t="e">
        <f>'All regions'!H2780+"n/&gt;!&amp;Zn"</f>
        <v>#VALUE!</v>
      </c>
      <c r="GD111" t="e">
        <f>'All regions'!I2780+"n/&gt;!&amp;Zo"</f>
        <v>#VALUE!</v>
      </c>
      <c r="GE111" t="e">
        <f>'All regions'!J2780+"n/&gt;!&amp;Zp"</f>
        <v>#VALUE!</v>
      </c>
      <c r="GF111" t="e">
        <f>'All regions'!A2781+"n/&gt;!&amp;Zq"</f>
        <v>#VALUE!</v>
      </c>
      <c r="GG111" t="e">
        <f>'All regions'!B2781+"n/&gt;!&amp;Zr"</f>
        <v>#VALUE!</v>
      </c>
      <c r="GH111" t="e">
        <f>'All regions'!C2781+"n/&gt;!&amp;Zs"</f>
        <v>#VALUE!</v>
      </c>
      <c r="GI111" t="e">
        <f>'All regions'!D2781+"n/&gt;!&amp;Zt"</f>
        <v>#VALUE!</v>
      </c>
      <c r="GJ111" t="e">
        <f>'All regions'!E2781+"n/&gt;!&amp;Zu"</f>
        <v>#VALUE!</v>
      </c>
      <c r="GK111" t="e">
        <f>'All regions'!F2781+"n/&gt;!&amp;Zv"</f>
        <v>#VALUE!</v>
      </c>
      <c r="GL111" t="e">
        <f>'All regions'!G2781+"n/&gt;!&amp;Zw"</f>
        <v>#VALUE!</v>
      </c>
      <c r="GM111" t="e">
        <f>'All regions'!H2781+"n/&gt;!&amp;Zx"</f>
        <v>#VALUE!</v>
      </c>
      <c r="GN111" t="e">
        <f>'All regions'!I2781+"n/&gt;!&amp;Zy"</f>
        <v>#VALUE!</v>
      </c>
      <c r="GO111" t="e">
        <f>'All regions'!J2781+"n/&gt;!&amp;Zz"</f>
        <v>#VALUE!</v>
      </c>
      <c r="GP111" t="e">
        <f>'All regions'!A2782+"n/&gt;!&amp;Z{"</f>
        <v>#VALUE!</v>
      </c>
      <c r="GQ111" t="e">
        <f>'All regions'!B2782+"n/&gt;!&amp;Z|"</f>
        <v>#VALUE!</v>
      </c>
      <c r="GR111" t="e">
        <f>'All regions'!C2782+"n/&gt;!&amp;Z}"</f>
        <v>#VALUE!</v>
      </c>
      <c r="GS111" t="e">
        <f>'All regions'!D2782+"n/&gt;!&amp;Z~"</f>
        <v>#VALUE!</v>
      </c>
      <c r="GT111" t="e">
        <f>'All regions'!E2782+"n/&gt;!&amp;[#"</f>
        <v>#VALUE!</v>
      </c>
      <c r="GU111" t="e">
        <f>'All regions'!F2782+"n/&gt;!&amp;[$"</f>
        <v>#VALUE!</v>
      </c>
      <c r="GV111" t="e">
        <f>'All regions'!G2782+"n/&gt;!&amp;[%"</f>
        <v>#VALUE!</v>
      </c>
      <c r="GW111" t="e">
        <f>'All regions'!H2782+"n/&gt;!&amp;[&amp;"</f>
        <v>#VALUE!</v>
      </c>
      <c r="GX111" t="e">
        <f>'All regions'!I2782+"n/&gt;!&amp;['"</f>
        <v>#VALUE!</v>
      </c>
      <c r="GY111" t="e">
        <f>'All regions'!J2782+"n/&gt;!&amp;[("</f>
        <v>#VALUE!</v>
      </c>
      <c r="GZ111" t="e">
        <f>'All regions'!A2783+"n/&gt;!&amp;[)"</f>
        <v>#VALUE!</v>
      </c>
      <c r="HA111" t="e">
        <f>'All regions'!B2783+"n/&gt;!&amp;[."</f>
        <v>#VALUE!</v>
      </c>
      <c r="HB111" t="e">
        <f>'All regions'!C2783+"n/&gt;!&amp;[/"</f>
        <v>#VALUE!</v>
      </c>
      <c r="HC111" t="e">
        <f>'All regions'!D2783+"n/&gt;!&amp;[0"</f>
        <v>#VALUE!</v>
      </c>
      <c r="HD111" t="e">
        <f>'All regions'!E2783+"n/&gt;!&amp;[1"</f>
        <v>#VALUE!</v>
      </c>
      <c r="HE111" t="e">
        <f>'All regions'!F2783+"n/&gt;!&amp;[2"</f>
        <v>#VALUE!</v>
      </c>
      <c r="HF111" t="e">
        <f>'All regions'!G2783+"n/&gt;!&amp;[3"</f>
        <v>#VALUE!</v>
      </c>
      <c r="HG111" t="e">
        <f>'All regions'!H2783+"n/&gt;!&amp;[4"</f>
        <v>#VALUE!</v>
      </c>
      <c r="HH111" t="e">
        <f>'All regions'!I2783+"n/&gt;!&amp;[5"</f>
        <v>#VALUE!</v>
      </c>
      <c r="HI111" t="e">
        <f>'All regions'!J2783+"n/&gt;!&amp;[6"</f>
        <v>#VALUE!</v>
      </c>
      <c r="HJ111" t="e">
        <f>'All regions'!A2784+"n/&gt;!&amp;[7"</f>
        <v>#VALUE!</v>
      </c>
      <c r="HK111" t="e">
        <f>'All regions'!B2784+"n/&gt;!&amp;[8"</f>
        <v>#VALUE!</v>
      </c>
      <c r="HL111" t="e">
        <f>'All regions'!C2784+"n/&gt;!&amp;[9"</f>
        <v>#VALUE!</v>
      </c>
      <c r="HM111" t="e">
        <f>'All regions'!D2784+"n/&gt;!&amp;[:"</f>
        <v>#VALUE!</v>
      </c>
      <c r="HN111" t="e">
        <f>'All regions'!E2784+"n/&gt;!&amp;[;"</f>
        <v>#VALUE!</v>
      </c>
      <c r="HO111" t="e">
        <f>'All regions'!F2784+"n/&gt;!&amp;[&lt;"</f>
        <v>#VALUE!</v>
      </c>
      <c r="HP111" t="e">
        <f>'All regions'!G2784+"n/&gt;!&amp;[="</f>
        <v>#VALUE!</v>
      </c>
      <c r="HQ111" t="e">
        <f>'All regions'!H2784+"n/&gt;!&amp;[&gt;"</f>
        <v>#VALUE!</v>
      </c>
      <c r="HR111" t="e">
        <f>'All regions'!I2784+"n/&gt;!&amp;[?"</f>
        <v>#VALUE!</v>
      </c>
      <c r="HS111" t="e">
        <f>'All regions'!J2784+"n/&gt;!&amp;[@"</f>
        <v>#VALUE!</v>
      </c>
      <c r="HT111" t="e">
        <f>'All regions'!A2785+"n/&gt;!&amp;[A"</f>
        <v>#VALUE!</v>
      </c>
      <c r="HU111" t="e">
        <f>'All regions'!B2785+"n/&gt;!&amp;[B"</f>
        <v>#VALUE!</v>
      </c>
      <c r="HV111" t="e">
        <f>'All regions'!C2785+"n/&gt;!&amp;[C"</f>
        <v>#VALUE!</v>
      </c>
      <c r="HW111" t="e">
        <f>'All regions'!D2785+"n/&gt;!&amp;[D"</f>
        <v>#VALUE!</v>
      </c>
      <c r="HX111" t="e">
        <f>'All regions'!E2785+"n/&gt;!&amp;[E"</f>
        <v>#VALUE!</v>
      </c>
      <c r="HY111" t="e">
        <f>'All regions'!F2785+"n/&gt;!&amp;[F"</f>
        <v>#VALUE!</v>
      </c>
      <c r="HZ111" t="e">
        <f>'All regions'!G2785+"n/&gt;!&amp;[G"</f>
        <v>#VALUE!</v>
      </c>
      <c r="IA111" t="e">
        <f>'All regions'!H2785+"n/&gt;!&amp;[H"</f>
        <v>#VALUE!</v>
      </c>
      <c r="IB111" t="e">
        <f>'All regions'!I2785+"n/&gt;!&amp;[I"</f>
        <v>#VALUE!</v>
      </c>
      <c r="IC111" t="e">
        <f>'All regions'!J2785+"n/&gt;!&amp;[J"</f>
        <v>#VALUE!</v>
      </c>
      <c r="ID111" t="e">
        <f>'All regions'!A2786+"n/&gt;!&amp;[K"</f>
        <v>#VALUE!</v>
      </c>
      <c r="IE111" t="e">
        <f>'All regions'!B2786+"n/&gt;!&amp;[L"</f>
        <v>#VALUE!</v>
      </c>
      <c r="IF111" t="e">
        <f>'All regions'!C2786+"n/&gt;!&amp;[M"</f>
        <v>#VALUE!</v>
      </c>
      <c r="IG111" t="e">
        <f>'All regions'!D2786+"n/&gt;!&amp;[N"</f>
        <v>#VALUE!</v>
      </c>
      <c r="IH111" t="e">
        <f>'All regions'!E2786+"n/&gt;!&amp;[O"</f>
        <v>#VALUE!</v>
      </c>
      <c r="II111" t="e">
        <f>'All regions'!F2786+"n/&gt;!&amp;[P"</f>
        <v>#VALUE!</v>
      </c>
      <c r="IJ111" t="e">
        <f>'All regions'!G2786+"n/&gt;!&amp;[Q"</f>
        <v>#VALUE!</v>
      </c>
      <c r="IK111" t="e">
        <f>'All regions'!H2786+"n/&gt;!&amp;[R"</f>
        <v>#VALUE!</v>
      </c>
      <c r="IL111" t="e">
        <f>'All regions'!I2786+"n/&gt;!&amp;[S"</f>
        <v>#VALUE!</v>
      </c>
      <c r="IM111" t="e">
        <f>'All regions'!J2786+"n/&gt;!&amp;[T"</f>
        <v>#VALUE!</v>
      </c>
      <c r="IN111" t="e">
        <f>'All regions'!A2787+"n/&gt;!&amp;[U"</f>
        <v>#VALUE!</v>
      </c>
      <c r="IO111" t="e">
        <f>'All regions'!B2787+"n/&gt;!&amp;[V"</f>
        <v>#VALUE!</v>
      </c>
      <c r="IP111" t="e">
        <f>'All regions'!C2787+"n/&gt;!&amp;[W"</f>
        <v>#VALUE!</v>
      </c>
      <c r="IQ111" t="e">
        <f>'All regions'!D2787+"n/&gt;!&amp;[X"</f>
        <v>#VALUE!</v>
      </c>
      <c r="IR111" t="e">
        <f>'All regions'!E2787+"n/&gt;!&amp;[Y"</f>
        <v>#VALUE!</v>
      </c>
      <c r="IS111" t="e">
        <f>'All regions'!F2787+"n/&gt;!&amp;[Z"</f>
        <v>#VALUE!</v>
      </c>
      <c r="IT111" t="e">
        <f>'All regions'!G2787+"n/&gt;!&amp;[["</f>
        <v>#VALUE!</v>
      </c>
      <c r="IU111" t="e">
        <f>'All regions'!H2787+"n/&gt;!&amp;[\"</f>
        <v>#VALUE!</v>
      </c>
      <c r="IV111" t="e">
        <f>'All regions'!I2787+"n/&gt;!&amp;[]"</f>
        <v>#VALUE!</v>
      </c>
    </row>
    <row r="112" spans="6:256" x14ac:dyDescent="0.35">
      <c r="F112" t="e">
        <f>'All regions'!J2787+"n/&gt;!&amp;[^"</f>
        <v>#VALUE!</v>
      </c>
      <c r="G112" t="e">
        <f>'All regions'!A2788+"n/&gt;!&amp;[_"</f>
        <v>#VALUE!</v>
      </c>
      <c r="H112" t="e">
        <f>'All regions'!B2788+"n/&gt;!&amp;[`"</f>
        <v>#VALUE!</v>
      </c>
      <c r="I112" t="e">
        <f>'All regions'!C2788+"n/&gt;!&amp;[a"</f>
        <v>#VALUE!</v>
      </c>
      <c r="J112" t="e">
        <f>'All regions'!D2788+"n/&gt;!&amp;[b"</f>
        <v>#VALUE!</v>
      </c>
      <c r="K112" t="e">
        <f>'All regions'!E2788+"n/&gt;!&amp;[c"</f>
        <v>#VALUE!</v>
      </c>
      <c r="L112" t="e">
        <f>'All regions'!F2788+"n/&gt;!&amp;[d"</f>
        <v>#VALUE!</v>
      </c>
      <c r="M112" t="e">
        <f>'All regions'!G2788+"n/&gt;!&amp;[e"</f>
        <v>#VALUE!</v>
      </c>
      <c r="N112" t="e">
        <f>'All regions'!H2788+"n/&gt;!&amp;[f"</f>
        <v>#VALUE!</v>
      </c>
      <c r="O112" t="e">
        <f>'All regions'!I2788+"n/&gt;!&amp;[g"</f>
        <v>#VALUE!</v>
      </c>
      <c r="P112" t="e">
        <f>'All regions'!J2788+"n/&gt;!&amp;[h"</f>
        <v>#VALUE!</v>
      </c>
      <c r="Q112" t="e">
        <f>'All regions'!A2789+"n/&gt;!&amp;[i"</f>
        <v>#VALUE!</v>
      </c>
      <c r="R112" t="e">
        <f>'All regions'!B2789+"n/&gt;!&amp;[j"</f>
        <v>#VALUE!</v>
      </c>
      <c r="S112" t="e">
        <f>'All regions'!C2789+"n/&gt;!&amp;[k"</f>
        <v>#VALUE!</v>
      </c>
      <c r="T112" t="e">
        <f>'All regions'!D2789+"n/&gt;!&amp;[l"</f>
        <v>#VALUE!</v>
      </c>
      <c r="U112" t="e">
        <f>'All regions'!E2789+"n/&gt;!&amp;[m"</f>
        <v>#VALUE!</v>
      </c>
      <c r="V112" t="e">
        <f>'All regions'!F2789+"n/&gt;!&amp;[n"</f>
        <v>#VALUE!</v>
      </c>
      <c r="W112" t="e">
        <f>'All regions'!G2789+"n/&gt;!&amp;[o"</f>
        <v>#VALUE!</v>
      </c>
      <c r="X112" t="e">
        <f>'All regions'!H2789+"n/&gt;!&amp;[p"</f>
        <v>#VALUE!</v>
      </c>
      <c r="Y112" t="e">
        <f>'All regions'!I2789+"n/&gt;!&amp;[q"</f>
        <v>#VALUE!</v>
      </c>
      <c r="Z112" t="e">
        <f>'All regions'!J2789+"n/&gt;!&amp;[r"</f>
        <v>#VALUE!</v>
      </c>
      <c r="AA112" t="e">
        <f>'All regions'!A2790+"n/&gt;!&amp;[s"</f>
        <v>#VALUE!</v>
      </c>
      <c r="AB112" t="e">
        <f>'All regions'!B2790+"n/&gt;!&amp;[t"</f>
        <v>#VALUE!</v>
      </c>
      <c r="AC112" t="e">
        <f>'All regions'!C2790+"n/&gt;!&amp;[u"</f>
        <v>#VALUE!</v>
      </c>
      <c r="AD112" t="e">
        <f>'All regions'!D2790+"n/&gt;!&amp;[v"</f>
        <v>#VALUE!</v>
      </c>
      <c r="AE112" t="e">
        <f>'All regions'!E2790+"n/&gt;!&amp;[w"</f>
        <v>#VALUE!</v>
      </c>
      <c r="AF112" t="e">
        <f>'All regions'!F2790+"n/&gt;!&amp;[x"</f>
        <v>#VALUE!</v>
      </c>
      <c r="AG112" t="e">
        <f>'All regions'!G2790+"n/&gt;!&amp;[y"</f>
        <v>#VALUE!</v>
      </c>
      <c r="AH112" t="e">
        <f>'All regions'!H2790+"n/&gt;!&amp;[z"</f>
        <v>#VALUE!</v>
      </c>
      <c r="AI112" t="e">
        <f>'All regions'!I2790+"n/&gt;!&amp;[{"</f>
        <v>#VALUE!</v>
      </c>
      <c r="AJ112" t="e">
        <f>'All regions'!J2790+"n/&gt;!&amp;[|"</f>
        <v>#VALUE!</v>
      </c>
      <c r="AK112" t="e">
        <f>'All regions'!A2791+"n/&gt;!&amp;[}"</f>
        <v>#VALUE!</v>
      </c>
      <c r="AL112" t="e">
        <f>'All regions'!B2791+"n/&gt;!&amp;[~"</f>
        <v>#VALUE!</v>
      </c>
      <c r="AM112" t="e">
        <f>'All regions'!C2791+"n/&gt;!&amp;\#"</f>
        <v>#VALUE!</v>
      </c>
      <c r="AN112" t="e">
        <f>'All regions'!D2791+"n/&gt;!&amp;\$"</f>
        <v>#VALUE!</v>
      </c>
      <c r="AO112" t="e">
        <f>'All regions'!E2791+"n/&gt;!&amp;\%"</f>
        <v>#VALUE!</v>
      </c>
      <c r="AP112" t="e">
        <f>'All regions'!F2791+"n/&gt;!&amp;\&amp;"</f>
        <v>#VALUE!</v>
      </c>
      <c r="AQ112" t="e">
        <f>'All regions'!G2791+"n/&gt;!&amp;\'"</f>
        <v>#VALUE!</v>
      </c>
      <c r="AR112" t="e">
        <f>'All regions'!H2791+"n/&gt;!&amp;\("</f>
        <v>#VALUE!</v>
      </c>
      <c r="AS112" t="e">
        <f>'All regions'!I2791+"n/&gt;!&amp;\)"</f>
        <v>#VALUE!</v>
      </c>
      <c r="AT112" t="e">
        <f>'All regions'!J2791+"n/&gt;!&amp;\."</f>
        <v>#VALUE!</v>
      </c>
      <c r="AU112" t="e">
        <f>'All regions'!A2792+"n/&gt;!&amp;\/"</f>
        <v>#VALUE!</v>
      </c>
      <c r="AV112" t="e">
        <f>'All regions'!B2792+"n/&gt;!&amp;\0"</f>
        <v>#VALUE!</v>
      </c>
      <c r="AW112" t="e">
        <f>'All regions'!C2792+"n/&gt;!&amp;\1"</f>
        <v>#VALUE!</v>
      </c>
      <c r="AX112" t="e">
        <f>'All regions'!D2792+"n/&gt;!&amp;\2"</f>
        <v>#VALUE!</v>
      </c>
      <c r="AY112" t="e">
        <f>'All regions'!E2792+"n/&gt;!&amp;\3"</f>
        <v>#VALUE!</v>
      </c>
      <c r="AZ112" t="e">
        <f>'All regions'!F2792+"n/&gt;!&amp;\4"</f>
        <v>#VALUE!</v>
      </c>
      <c r="BA112" t="e">
        <f>'All regions'!G2792+"n/&gt;!&amp;\5"</f>
        <v>#VALUE!</v>
      </c>
      <c r="BB112" t="e">
        <f>'All regions'!H2792+"n/&gt;!&amp;\6"</f>
        <v>#VALUE!</v>
      </c>
      <c r="BC112" t="e">
        <f>'All regions'!I2792+"n/&gt;!&amp;\7"</f>
        <v>#VALUE!</v>
      </c>
      <c r="BD112" t="e">
        <f>'All regions'!J2792+"n/&gt;!&amp;\8"</f>
        <v>#VALUE!</v>
      </c>
      <c r="BE112" t="e">
        <f>'All regions'!A2793+"n/&gt;!&amp;\9"</f>
        <v>#VALUE!</v>
      </c>
      <c r="BF112" t="e">
        <f>'All regions'!B2793+"n/&gt;!&amp;\:"</f>
        <v>#VALUE!</v>
      </c>
      <c r="BG112" t="e">
        <f>'All regions'!C2793+"n/&gt;!&amp;\;"</f>
        <v>#VALUE!</v>
      </c>
      <c r="BH112" t="e">
        <f>'All regions'!D2793+"n/&gt;!&amp;\&lt;"</f>
        <v>#VALUE!</v>
      </c>
      <c r="BI112" t="e">
        <f>'All regions'!E2793+"n/&gt;!&amp;\="</f>
        <v>#VALUE!</v>
      </c>
      <c r="BJ112" t="e">
        <f>'All regions'!F2793+"n/&gt;!&amp;\&gt;"</f>
        <v>#VALUE!</v>
      </c>
      <c r="BK112" t="e">
        <f>'All regions'!G2793+"n/&gt;!&amp;\?"</f>
        <v>#VALUE!</v>
      </c>
      <c r="BL112" t="e">
        <f>'All regions'!H2793+"n/&gt;!&amp;\@"</f>
        <v>#VALUE!</v>
      </c>
      <c r="BM112" t="e">
        <f>'All regions'!I2793+"n/&gt;!&amp;\A"</f>
        <v>#VALUE!</v>
      </c>
      <c r="BN112" t="e">
        <f>'All regions'!J2793+"n/&gt;!&amp;\B"</f>
        <v>#VALUE!</v>
      </c>
      <c r="BO112" t="e">
        <f>'All regions'!A2794+"n/&gt;!&amp;\C"</f>
        <v>#VALUE!</v>
      </c>
      <c r="BP112" t="e">
        <f>'All regions'!B2794+"n/&gt;!&amp;\D"</f>
        <v>#VALUE!</v>
      </c>
      <c r="BQ112" t="e">
        <f>'All regions'!C2794+"n/&gt;!&amp;\E"</f>
        <v>#VALUE!</v>
      </c>
      <c r="BR112" t="e">
        <f>'All regions'!D2794+"n/&gt;!&amp;\F"</f>
        <v>#VALUE!</v>
      </c>
      <c r="BS112" t="e">
        <f>'All regions'!E2794+"n/&gt;!&amp;\G"</f>
        <v>#VALUE!</v>
      </c>
      <c r="BT112" t="e">
        <f>'All regions'!F2794+"n/&gt;!&amp;\H"</f>
        <v>#VALUE!</v>
      </c>
      <c r="BU112" t="e">
        <f>'All regions'!G2794+"n/&gt;!&amp;\I"</f>
        <v>#VALUE!</v>
      </c>
      <c r="BV112" t="e">
        <f>'All regions'!H2794+"n/&gt;!&amp;\J"</f>
        <v>#VALUE!</v>
      </c>
      <c r="BW112" t="e">
        <f>'All regions'!I2794+"n/&gt;!&amp;\K"</f>
        <v>#VALUE!</v>
      </c>
      <c r="BX112" t="e">
        <f>'All regions'!J2794+"n/&gt;!&amp;\L"</f>
        <v>#VALUE!</v>
      </c>
      <c r="BY112" t="e">
        <f>'All regions'!A2795+"n/&gt;!&amp;\M"</f>
        <v>#VALUE!</v>
      </c>
      <c r="BZ112" t="e">
        <f>'All regions'!B2795+"n/&gt;!&amp;\N"</f>
        <v>#VALUE!</v>
      </c>
      <c r="CA112" t="e">
        <f>'All regions'!C2795+"n/&gt;!&amp;\O"</f>
        <v>#VALUE!</v>
      </c>
      <c r="CB112" t="e">
        <f>'All regions'!D2795+"n/&gt;!&amp;\P"</f>
        <v>#VALUE!</v>
      </c>
      <c r="CC112" t="e">
        <f>'All regions'!E2795+"n/&gt;!&amp;\Q"</f>
        <v>#VALUE!</v>
      </c>
      <c r="CD112" t="e">
        <f>'All regions'!F2795+"n/&gt;!&amp;\R"</f>
        <v>#VALUE!</v>
      </c>
      <c r="CE112" t="e">
        <f>'All regions'!G2795+"n/&gt;!&amp;\S"</f>
        <v>#VALUE!</v>
      </c>
      <c r="CF112" t="e">
        <f>'All regions'!H2795+"n/&gt;!&amp;\T"</f>
        <v>#VALUE!</v>
      </c>
      <c r="CG112" t="e">
        <f>'All regions'!I2795+"n/&gt;!&amp;\U"</f>
        <v>#VALUE!</v>
      </c>
      <c r="CH112" t="e">
        <f>'All regions'!J2795+"n/&gt;!&amp;\V"</f>
        <v>#VALUE!</v>
      </c>
      <c r="CI112" t="e">
        <f>'All regions'!A2796+"n/&gt;!&amp;\W"</f>
        <v>#VALUE!</v>
      </c>
      <c r="CJ112" t="e">
        <f>'All regions'!B2796+"n/&gt;!&amp;\X"</f>
        <v>#VALUE!</v>
      </c>
      <c r="CK112" t="e">
        <f>'All regions'!C2796+"n/&gt;!&amp;\Y"</f>
        <v>#VALUE!</v>
      </c>
      <c r="CL112" t="e">
        <f>'All regions'!D2796+"n/&gt;!&amp;\Z"</f>
        <v>#VALUE!</v>
      </c>
      <c r="CM112" t="e">
        <f>'All regions'!E2796+"n/&gt;!&amp;\["</f>
        <v>#VALUE!</v>
      </c>
      <c r="CN112" t="e">
        <f>'All regions'!F2796+"n/&gt;!&amp;\\"</f>
        <v>#VALUE!</v>
      </c>
      <c r="CO112" t="e">
        <f>'All regions'!G2796+"n/&gt;!&amp;\]"</f>
        <v>#VALUE!</v>
      </c>
      <c r="CP112" t="e">
        <f>'All regions'!H2796+"n/&gt;!&amp;\^"</f>
        <v>#VALUE!</v>
      </c>
      <c r="CQ112" t="e">
        <f>'All regions'!I2796+"n/&gt;!&amp;\_"</f>
        <v>#VALUE!</v>
      </c>
      <c r="CR112" t="e">
        <f>'All regions'!J2796+"n/&gt;!&amp;\`"</f>
        <v>#VALUE!</v>
      </c>
      <c r="CS112" t="e">
        <f>'All regions'!A2797+"n/&gt;!&amp;\a"</f>
        <v>#VALUE!</v>
      </c>
      <c r="CT112" t="e">
        <f>'All regions'!B2797+"n/&gt;!&amp;\b"</f>
        <v>#VALUE!</v>
      </c>
      <c r="CU112" t="e">
        <f>'All regions'!C2797+"n/&gt;!&amp;\c"</f>
        <v>#VALUE!</v>
      </c>
      <c r="CV112" t="e">
        <f>'All regions'!D2797+"n/&gt;!&amp;\d"</f>
        <v>#VALUE!</v>
      </c>
      <c r="CW112" t="e">
        <f>'All regions'!E2797+"n/&gt;!&amp;\e"</f>
        <v>#VALUE!</v>
      </c>
      <c r="CX112" t="e">
        <f>'All regions'!F2797+"n/&gt;!&amp;\f"</f>
        <v>#VALUE!</v>
      </c>
      <c r="CY112" t="e">
        <f>'All regions'!G2797+"n/&gt;!&amp;\g"</f>
        <v>#VALUE!</v>
      </c>
      <c r="CZ112" t="e">
        <f>'All regions'!H2797+"n/&gt;!&amp;\h"</f>
        <v>#VALUE!</v>
      </c>
      <c r="DA112" t="e">
        <f>'All regions'!I2797+"n/&gt;!&amp;\i"</f>
        <v>#VALUE!</v>
      </c>
      <c r="DB112" t="e">
        <f>'All regions'!J2797+"n/&gt;!&amp;\j"</f>
        <v>#VALUE!</v>
      </c>
      <c r="DC112" t="e">
        <f>'All regions'!A2798+"n/&gt;!&amp;\k"</f>
        <v>#VALUE!</v>
      </c>
      <c r="DD112" t="e">
        <f>'All regions'!B2798+"n/&gt;!&amp;\l"</f>
        <v>#VALUE!</v>
      </c>
      <c r="DE112" t="e">
        <f>'All regions'!C2798+"n/&gt;!&amp;\m"</f>
        <v>#VALUE!</v>
      </c>
      <c r="DF112" t="e">
        <f>'All regions'!D2798+"n/&gt;!&amp;\n"</f>
        <v>#VALUE!</v>
      </c>
      <c r="DG112" t="e">
        <f>'All regions'!E2798+"n/&gt;!&amp;\o"</f>
        <v>#VALUE!</v>
      </c>
      <c r="DH112" t="e">
        <f>'All regions'!F2798+"n/&gt;!&amp;\p"</f>
        <v>#VALUE!</v>
      </c>
      <c r="DI112" t="e">
        <f>'All regions'!G2798+"n/&gt;!&amp;\q"</f>
        <v>#VALUE!</v>
      </c>
      <c r="DJ112" t="e">
        <f>'All regions'!H2798+"n/&gt;!&amp;\r"</f>
        <v>#VALUE!</v>
      </c>
      <c r="DK112" t="e">
        <f>'All regions'!I2798+"n/&gt;!&amp;\s"</f>
        <v>#VALUE!</v>
      </c>
      <c r="DL112" t="e">
        <f>'All regions'!J2798+"n/&gt;!&amp;\t"</f>
        <v>#VALUE!</v>
      </c>
      <c r="DM112" t="e">
        <f>'All regions'!A2799+"n/&gt;!&amp;\u"</f>
        <v>#VALUE!</v>
      </c>
      <c r="DN112" t="e">
        <f>'All regions'!B2799+"n/&gt;!&amp;\v"</f>
        <v>#VALUE!</v>
      </c>
      <c r="DO112" t="e">
        <f>'All regions'!C2799+"n/&gt;!&amp;\w"</f>
        <v>#VALUE!</v>
      </c>
      <c r="DP112" t="e">
        <f>'All regions'!D2799+"n/&gt;!&amp;\x"</f>
        <v>#VALUE!</v>
      </c>
      <c r="DQ112" t="e">
        <f>'All regions'!E2799+"n/&gt;!&amp;\y"</f>
        <v>#VALUE!</v>
      </c>
      <c r="DR112" t="e">
        <f>'All regions'!F2799+"n/&gt;!&amp;\z"</f>
        <v>#VALUE!</v>
      </c>
      <c r="DS112" t="e">
        <f>'All regions'!G2799+"n/&gt;!&amp;\{"</f>
        <v>#VALUE!</v>
      </c>
      <c r="DT112" t="e">
        <f>'All regions'!H2799+"n/&gt;!&amp;\|"</f>
        <v>#VALUE!</v>
      </c>
      <c r="DU112" t="e">
        <f>'All regions'!I2799+"n/&gt;!&amp;\}"</f>
        <v>#VALUE!</v>
      </c>
      <c r="DV112" t="e">
        <f>'All regions'!J2799+"n/&gt;!&amp;\~"</f>
        <v>#VALUE!</v>
      </c>
      <c r="DW112" t="e">
        <f>'All regions'!A2800+"n/&gt;!&amp;]#"</f>
        <v>#VALUE!</v>
      </c>
      <c r="DX112" t="e">
        <f>'All regions'!B2800+"n/&gt;!&amp;]$"</f>
        <v>#VALUE!</v>
      </c>
      <c r="DY112" t="e">
        <f>'All regions'!C2800+"n/&gt;!&amp;]%"</f>
        <v>#VALUE!</v>
      </c>
      <c r="DZ112" t="e">
        <f>'All regions'!D2800+"n/&gt;!&amp;]&amp;"</f>
        <v>#VALUE!</v>
      </c>
      <c r="EA112" t="e">
        <f>'All regions'!E2800+"n/&gt;!&amp;]'"</f>
        <v>#VALUE!</v>
      </c>
      <c r="EB112" t="e">
        <f>'All regions'!F2800+"n/&gt;!&amp;]("</f>
        <v>#VALUE!</v>
      </c>
      <c r="EC112" t="e">
        <f>'All regions'!G2800+"n/&gt;!&amp;])"</f>
        <v>#VALUE!</v>
      </c>
      <c r="ED112" t="e">
        <f>'All regions'!H2800+"n/&gt;!&amp;]."</f>
        <v>#VALUE!</v>
      </c>
      <c r="EE112" t="e">
        <f>'All regions'!I2800+"n/&gt;!&amp;]/"</f>
        <v>#VALUE!</v>
      </c>
      <c r="EF112" t="e">
        <f>'All regions'!J2800+"n/&gt;!&amp;]0"</f>
        <v>#VALUE!</v>
      </c>
      <c r="EG112" t="e">
        <f>'All regions'!A2801+"n/&gt;!&amp;]1"</f>
        <v>#VALUE!</v>
      </c>
      <c r="EH112" t="e">
        <f>'All regions'!B2801+"n/&gt;!&amp;]2"</f>
        <v>#VALUE!</v>
      </c>
      <c r="EI112" t="e">
        <f>'All regions'!C2801+"n/&gt;!&amp;]3"</f>
        <v>#VALUE!</v>
      </c>
      <c r="EJ112" t="e">
        <f>'All regions'!D2801+"n/&gt;!&amp;]4"</f>
        <v>#VALUE!</v>
      </c>
      <c r="EK112" t="e">
        <f>'All regions'!E2801+"n/&gt;!&amp;]5"</f>
        <v>#VALUE!</v>
      </c>
      <c r="EL112" t="e">
        <f>'All regions'!F2801+"n/&gt;!&amp;]6"</f>
        <v>#VALUE!</v>
      </c>
      <c r="EM112" t="e">
        <f>'All regions'!G2801+"n/&gt;!&amp;]7"</f>
        <v>#VALUE!</v>
      </c>
      <c r="EN112" t="e">
        <f>'All regions'!H2801+"n/&gt;!&amp;]8"</f>
        <v>#VALUE!</v>
      </c>
      <c r="EO112" t="e">
        <f>'All regions'!I2801+"n/&gt;!&amp;]9"</f>
        <v>#VALUE!</v>
      </c>
      <c r="EP112" t="e">
        <f>'All regions'!J2801+"n/&gt;!&amp;]:"</f>
        <v>#VALUE!</v>
      </c>
      <c r="EQ112" t="e">
        <f>'All regions'!A2802+"n/&gt;!&amp;];"</f>
        <v>#VALUE!</v>
      </c>
      <c r="ER112" t="e">
        <f>'All regions'!B2802+"n/&gt;!&amp;]&lt;"</f>
        <v>#VALUE!</v>
      </c>
      <c r="ES112" t="e">
        <f>'All regions'!C2802+"n/&gt;!&amp;]="</f>
        <v>#VALUE!</v>
      </c>
      <c r="ET112" t="e">
        <f>'All regions'!D2802+"n/&gt;!&amp;]&gt;"</f>
        <v>#VALUE!</v>
      </c>
      <c r="EU112" t="e">
        <f>'All regions'!E2802+"n/&gt;!&amp;]?"</f>
        <v>#VALUE!</v>
      </c>
      <c r="EV112" t="e">
        <f>'All regions'!F2802+"n/&gt;!&amp;]@"</f>
        <v>#VALUE!</v>
      </c>
      <c r="EW112" t="e">
        <f>'All regions'!G2802+"n/&gt;!&amp;]A"</f>
        <v>#VALUE!</v>
      </c>
      <c r="EX112" t="e">
        <f>'All regions'!H2802+"n/&gt;!&amp;]B"</f>
        <v>#VALUE!</v>
      </c>
      <c r="EY112" t="e">
        <f>'All regions'!I2802+"n/&gt;!&amp;]C"</f>
        <v>#VALUE!</v>
      </c>
      <c r="EZ112" t="e">
        <f>'All regions'!J2802+"n/&gt;!&amp;]D"</f>
        <v>#VALUE!</v>
      </c>
      <c r="FA112" t="e">
        <f>'All regions'!A2803+"n/&gt;!&amp;]E"</f>
        <v>#VALUE!</v>
      </c>
      <c r="FB112" t="e">
        <f>'All regions'!B2803+"n/&gt;!&amp;]F"</f>
        <v>#VALUE!</v>
      </c>
      <c r="FC112" t="e">
        <f>'All regions'!C2803+"n/&gt;!&amp;]G"</f>
        <v>#VALUE!</v>
      </c>
      <c r="FD112" t="e">
        <f>'All regions'!D2803+"n/&gt;!&amp;]H"</f>
        <v>#VALUE!</v>
      </c>
      <c r="FE112" t="e">
        <f>'All regions'!E2803+"n/&gt;!&amp;]I"</f>
        <v>#VALUE!</v>
      </c>
      <c r="FF112" t="e">
        <f>'All regions'!F2803+"n/&gt;!&amp;]J"</f>
        <v>#VALUE!</v>
      </c>
      <c r="FG112" t="e">
        <f>'All regions'!G2803+"n/&gt;!&amp;]K"</f>
        <v>#VALUE!</v>
      </c>
      <c r="FH112" t="e">
        <f>'All regions'!H2803+"n/&gt;!&amp;]L"</f>
        <v>#VALUE!</v>
      </c>
      <c r="FI112" t="e">
        <f>'All regions'!I2803+"n/&gt;!&amp;]M"</f>
        <v>#VALUE!</v>
      </c>
      <c r="FJ112" t="e">
        <f>'All regions'!J2803+"n/&gt;!&amp;]N"</f>
        <v>#VALUE!</v>
      </c>
      <c r="FK112" t="e">
        <f>'All regions'!A2804+"n/&gt;!&amp;]O"</f>
        <v>#VALUE!</v>
      </c>
      <c r="FL112" t="e">
        <f>'All regions'!B2804+"n/&gt;!&amp;]P"</f>
        <v>#VALUE!</v>
      </c>
      <c r="FM112" t="e">
        <f>'All regions'!C2804+"n/&gt;!&amp;]Q"</f>
        <v>#VALUE!</v>
      </c>
      <c r="FN112" t="e">
        <f>'All regions'!D2804+"n/&gt;!&amp;]R"</f>
        <v>#VALUE!</v>
      </c>
      <c r="FO112" t="e">
        <f>'All regions'!E2804+"n/&gt;!&amp;]S"</f>
        <v>#VALUE!</v>
      </c>
      <c r="FP112" t="e">
        <f>'All regions'!F2804+"n/&gt;!&amp;]T"</f>
        <v>#VALUE!</v>
      </c>
      <c r="FQ112" t="e">
        <f>'All regions'!G2804+"n/&gt;!&amp;]U"</f>
        <v>#VALUE!</v>
      </c>
      <c r="FR112" t="e">
        <f>'All regions'!H2804+"n/&gt;!&amp;]V"</f>
        <v>#VALUE!</v>
      </c>
      <c r="FS112" t="e">
        <f>'All regions'!I2804+"n/&gt;!&amp;]W"</f>
        <v>#VALUE!</v>
      </c>
      <c r="FT112" t="e">
        <f>'All regions'!J2804+"n/&gt;!&amp;]X"</f>
        <v>#VALUE!</v>
      </c>
      <c r="FU112" t="e">
        <f>'All regions'!A2805+"n/&gt;!&amp;]Y"</f>
        <v>#VALUE!</v>
      </c>
      <c r="FV112" t="e">
        <f>'All regions'!B2805+"n/&gt;!&amp;]Z"</f>
        <v>#VALUE!</v>
      </c>
      <c r="FW112" t="e">
        <f>'All regions'!C2805+"n/&gt;!&amp;]["</f>
        <v>#VALUE!</v>
      </c>
      <c r="FX112" t="e">
        <f>'All regions'!D2805+"n/&gt;!&amp;]\"</f>
        <v>#VALUE!</v>
      </c>
      <c r="FY112" t="e">
        <f>'All regions'!E2805+"n/&gt;!&amp;]]"</f>
        <v>#VALUE!</v>
      </c>
      <c r="FZ112" t="e">
        <f>'All regions'!F2805+"n/&gt;!&amp;]^"</f>
        <v>#VALUE!</v>
      </c>
      <c r="GA112" t="e">
        <f>'All regions'!G2805+"n/&gt;!&amp;]_"</f>
        <v>#VALUE!</v>
      </c>
      <c r="GB112" t="e">
        <f>'All regions'!H2805+"n/&gt;!&amp;]`"</f>
        <v>#VALUE!</v>
      </c>
      <c r="GC112" t="e">
        <f>'All regions'!I2805+"n/&gt;!&amp;]a"</f>
        <v>#VALUE!</v>
      </c>
      <c r="GD112" t="e">
        <f>'All regions'!J2805+"n/&gt;!&amp;]b"</f>
        <v>#VALUE!</v>
      </c>
      <c r="GE112" t="e">
        <f>'All regions'!A2806+"n/&gt;!&amp;]c"</f>
        <v>#VALUE!</v>
      </c>
      <c r="GF112" t="e">
        <f>'All regions'!B2806+"n/&gt;!&amp;]d"</f>
        <v>#VALUE!</v>
      </c>
      <c r="GG112" t="e">
        <f>'All regions'!C2806+"n/&gt;!&amp;]e"</f>
        <v>#VALUE!</v>
      </c>
      <c r="GH112" t="e">
        <f>'All regions'!D2806+"n/&gt;!&amp;]f"</f>
        <v>#VALUE!</v>
      </c>
      <c r="GI112" t="e">
        <f>'All regions'!E2806+"n/&gt;!&amp;]g"</f>
        <v>#VALUE!</v>
      </c>
      <c r="GJ112" t="e">
        <f>'All regions'!F2806+"n/&gt;!&amp;]h"</f>
        <v>#VALUE!</v>
      </c>
      <c r="GK112" t="e">
        <f>'All regions'!G2806+"n/&gt;!&amp;]i"</f>
        <v>#VALUE!</v>
      </c>
      <c r="GL112" t="e">
        <f>'All regions'!H2806+"n/&gt;!&amp;]j"</f>
        <v>#VALUE!</v>
      </c>
      <c r="GM112" t="e">
        <f>'All regions'!I2806+"n/&gt;!&amp;]k"</f>
        <v>#VALUE!</v>
      </c>
      <c r="GN112" t="e">
        <f>'All regions'!J2806+"n/&gt;!&amp;]l"</f>
        <v>#VALUE!</v>
      </c>
      <c r="GO112" t="e">
        <f>'All regions'!A2807+"n/&gt;!&amp;]m"</f>
        <v>#VALUE!</v>
      </c>
      <c r="GP112" t="e">
        <f>'All regions'!B2807+"n/&gt;!&amp;]n"</f>
        <v>#VALUE!</v>
      </c>
      <c r="GQ112" t="e">
        <f>'All regions'!C2807+"n/&gt;!&amp;]o"</f>
        <v>#VALUE!</v>
      </c>
      <c r="GR112" t="e">
        <f>'All regions'!D2807+"n/&gt;!&amp;]p"</f>
        <v>#VALUE!</v>
      </c>
      <c r="GS112" t="e">
        <f>'All regions'!E2807+"n/&gt;!&amp;]q"</f>
        <v>#VALUE!</v>
      </c>
      <c r="GT112" t="e">
        <f>'All regions'!F2807+"n/&gt;!&amp;]r"</f>
        <v>#VALUE!</v>
      </c>
      <c r="GU112" t="e">
        <f>'All regions'!G2807+"n/&gt;!&amp;]s"</f>
        <v>#VALUE!</v>
      </c>
      <c r="GV112" t="e">
        <f>'All regions'!H2807+"n/&gt;!&amp;]t"</f>
        <v>#VALUE!</v>
      </c>
      <c r="GW112" t="e">
        <f>'All regions'!I2807+"n/&gt;!&amp;]u"</f>
        <v>#VALUE!</v>
      </c>
      <c r="GX112" t="e">
        <f>'All regions'!J2807+"n/&gt;!&amp;]v"</f>
        <v>#VALUE!</v>
      </c>
      <c r="GY112" t="e">
        <f>'All regions'!A2808+"n/&gt;!&amp;]w"</f>
        <v>#VALUE!</v>
      </c>
      <c r="GZ112" t="e">
        <f>'All regions'!B2808+"n/&gt;!&amp;]x"</f>
        <v>#VALUE!</v>
      </c>
      <c r="HA112" t="e">
        <f>'All regions'!C2808+"n/&gt;!&amp;]y"</f>
        <v>#VALUE!</v>
      </c>
      <c r="HB112" t="e">
        <f>'All regions'!D2808+"n/&gt;!&amp;]z"</f>
        <v>#VALUE!</v>
      </c>
      <c r="HC112" t="e">
        <f>'All regions'!E2808+"n/&gt;!&amp;]{"</f>
        <v>#VALUE!</v>
      </c>
      <c r="HD112" t="e">
        <f>'All regions'!F2808+"n/&gt;!&amp;]|"</f>
        <v>#VALUE!</v>
      </c>
      <c r="HE112" t="e">
        <f>'All regions'!G2808+"n/&gt;!&amp;]}"</f>
        <v>#VALUE!</v>
      </c>
      <c r="HF112" t="e">
        <f>'All regions'!H2808+"n/&gt;!&amp;]~"</f>
        <v>#VALUE!</v>
      </c>
      <c r="HG112" t="e">
        <f>'All regions'!I2808+"n/&gt;!&amp;^#"</f>
        <v>#VALUE!</v>
      </c>
      <c r="HH112" t="e">
        <f>'All regions'!J2808+"n/&gt;!&amp;^$"</f>
        <v>#VALUE!</v>
      </c>
      <c r="HI112" t="e">
        <f>'All regions'!A2809+"n/&gt;!&amp;^%"</f>
        <v>#VALUE!</v>
      </c>
      <c r="HJ112" t="e">
        <f>'All regions'!B2809+"n/&gt;!&amp;^&amp;"</f>
        <v>#VALUE!</v>
      </c>
      <c r="HK112" t="e">
        <f>'All regions'!C2809+"n/&gt;!&amp;^'"</f>
        <v>#VALUE!</v>
      </c>
      <c r="HL112" t="e">
        <f>'All regions'!D2809+"n/&gt;!&amp;^("</f>
        <v>#VALUE!</v>
      </c>
      <c r="HM112" t="e">
        <f>'All regions'!E2809+"n/&gt;!&amp;^)"</f>
        <v>#VALUE!</v>
      </c>
      <c r="HN112" t="e">
        <f>'All regions'!F2809+"n/&gt;!&amp;^."</f>
        <v>#VALUE!</v>
      </c>
      <c r="HO112" t="e">
        <f>'All regions'!G2809+"n/&gt;!&amp;^/"</f>
        <v>#VALUE!</v>
      </c>
      <c r="HP112" t="e">
        <f>'All regions'!H2809+"n/&gt;!&amp;^0"</f>
        <v>#VALUE!</v>
      </c>
      <c r="HQ112" t="e">
        <f>'All regions'!I2809+"n/&gt;!&amp;^1"</f>
        <v>#VALUE!</v>
      </c>
      <c r="HR112" t="e">
        <f>'All regions'!J2809+"n/&gt;!&amp;^2"</f>
        <v>#VALUE!</v>
      </c>
      <c r="HS112" t="e">
        <f>'All regions'!A2810+"n/&gt;!&amp;^3"</f>
        <v>#VALUE!</v>
      </c>
      <c r="HT112" t="e">
        <f>'All regions'!B2810+"n/&gt;!&amp;^4"</f>
        <v>#VALUE!</v>
      </c>
      <c r="HU112" t="e">
        <f>'All regions'!C2810+"n/&gt;!&amp;^5"</f>
        <v>#VALUE!</v>
      </c>
      <c r="HV112" t="e">
        <f>'All regions'!D2810+"n/&gt;!&amp;^6"</f>
        <v>#VALUE!</v>
      </c>
      <c r="HW112" t="e">
        <f>'All regions'!E2810+"n/&gt;!&amp;^7"</f>
        <v>#VALUE!</v>
      </c>
      <c r="HX112" t="e">
        <f>'All regions'!F2810+"n/&gt;!&amp;^8"</f>
        <v>#VALUE!</v>
      </c>
      <c r="HY112" t="e">
        <f>'All regions'!G2810+"n/&gt;!&amp;^9"</f>
        <v>#VALUE!</v>
      </c>
      <c r="HZ112" t="e">
        <f>'All regions'!H2810+"n/&gt;!&amp;^:"</f>
        <v>#VALUE!</v>
      </c>
      <c r="IA112" t="e">
        <f>'All regions'!I2810+"n/&gt;!&amp;^;"</f>
        <v>#VALUE!</v>
      </c>
      <c r="IB112" t="e">
        <f>'All regions'!J2810+"n/&gt;!&amp;^&lt;"</f>
        <v>#VALUE!</v>
      </c>
      <c r="IC112" t="e">
        <f>'All regions'!A2811+"n/&gt;!&amp;^="</f>
        <v>#VALUE!</v>
      </c>
      <c r="ID112" t="e">
        <f>'All regions'!B2811+"n/&gt;!&amp;^&gt;"</f>
        <v>#VALUE!</v>
      </c>
      <c r="IE112" t="e">
        <f>'All regions'!C2811+"n/&gt;!&amp;^?"</f>
        <v>#VALUE!</v>
      </c>
      <c r="IF112" t="e">
        <f>'All regions'!D2811+"n/&gt;!&amp;^@"</f>
        <v>#VALUE!</v>
      </c>
      <c r="IG112" t="e">
        <f>'All regions'!E2811+"n/&gt;!&amp;^A"</f>
        <v>#VALUE!</v>
      </c>
      <c r="IH112" t="e">
        <f>'All regions'!F2811+"n/&gt;!&amp;^B"</f>
        <v>#VALUE!</v>
      </c>
      <c r="II112" t="e">
        <f>'All regions'!G2811+"n/&gt;!&amp;^C"</f>
        <v>#VALUE!</v>
      </c>
      <c r="IJ112" t="e">
        <f>'All regions'!H2811+"n/&gt;!&amp;^D"</f>
        <v>#VALUE!</v>
      </c>
      <c r="IK112" t="e">
        <f>'All regions'!I2811+"n/&gt;!&amp;^E"</f>
        <v>#VALUE!</v>
      </c>
      <c r="IL112" t="e">
        <f>'All regions'!J2811+"n/&gt;!&amp;^F"</f>
        <v>#VALUE!</v>
      </c>
      <c r="IM112" t="e">
        <f>'All regions'!A2812+"n/&gt;!&amp;^G"</f>
        <v>#VALUE!</v>
      </c>
      <c r="IN112" t="e">
        <f>'All regions'!B2812+"n/&gt;!&amp;^H"</f>
        <v>#VALUE!</v>
      </c>
      <c r="IO112" t="e">
        <f>'All regions'!C2812+"n/&gt;!&amp;^I"</f>
        <v>#VALUE!</v>
      </c>
      <c r="IP112" t="e">
        <f>'All regions'!D2812+"n/&gt;!&amp;^J"</f>
        <v>#VALUE!</v>
      </c>
      <c r="IQ112" t="e">
        <f>'All regions'!E2812+"n/&gt;!&amp;^K"</f>
        <v>#VALUE!</v>
      </c>
      <c r="IR112" t="e">
        <f>'All regions'!F2812+"n/&gt;!&amp;^L"</f>
        <v>#VALUE!</v>
      </c>
      <c r="IS112" t="e">
        <f>'All regions'!G2812+"n/&gt;!&amp;^M"</f>
        <v>#VALUE!</v>
      </c>
      <c r="IT112" t="e">
        <f>'All regions'!H2812+"n/&gt;!&amp;^N"</f>
        <v>#VALUE!</v>
      </c>
      <c r="IU112" t="e">
        <f>'All regions'!I2812+"n/&gt;!&amp;^O"</f>
        <v>#VALUE!</v>
      </c>
      <c r="IV112" t="e">
        <f>'All regions'!J2812+"n/&gt;!&amp;^P"</f>
        <v>#VALUE!</v>
      </c>
    </row>
    <row r="113" spans="6:256" x14ac:dyDescent="0.35">
      <c r="F113" t="e">
        <f>'All regions'!A2813+"n/&gt;!&amp;^Q"</f>
        <v>#VALUE!</v>
      </c>
      <c r="G113" t="e">
        <f>'All regions'!B2813+"n/&gt;!&amp;^R"</f>
        <v>#VALUE!</v>
      </c>
      <c r="H113" t="e">
        <f>'All regions'!C2813+"n/&gt;!&amp;^S"</f>
        <v>#VALUE!</v>
      </c>
      <c r="I113" t="e">
        <f>'All regions'!D2813+"n/&gt;!&amp;^T"</f>
        <v>#VALUE!</v>
      </c>
      <c r="J113" t="e">
        <f>'All regions'!E2813+"n/&gt;!&amp;^U"</f>
        <v>#VALUE!</v>
      </c>
      <c r="K113" t="e">
        <f>'All regions'!F2813+"n/&gt;!&amp;^V"</f>
        <v>#VALUE!</v>
      </c>
      <c r="L113" t="e">
        <f>'All regions'!G2813+"n/&gt;!&amp;^W"</f>
        <v>#VALUE!</v>
      </c>
      <c r="M113" t="e">
        <f>'All regions'!H2813+"n/&gt;!&amp;^X"</f>
        <v>#VALUE!</v>
      </c>
      <c r="N113" t="e">
        <f>'All regions'!I2813+"n/&gt;!&amp;^Y"</f>
        <v>#VALUE!</v>
      </c>
      <c r="O113" t="e">
        <f>'All regions'!J2813+"n/&gt;!&amp;^Z"</f>
        <v>#VALUE!</v>
      </c>
      <c r="P113" t="e">
        <f>'All regions'!A2814+"n/&gt;!&amp;^["</f>
        <v>#VALUE!</v>
      </c>
      <c r="Q113" t="e">
        <f>'All regions'!B2814+"n/&gt;!&amp;^\"</f>
        <v>#VALUE!</v>
      </c>
      <c r="R113" t="e">
        <f>'All regions'!C2814+"n/&gt;!&amp;^]"</f>
        <v>#VALUE!</v>
      </c>
      <c r="S113" t="e">
        <f>'All regions'!D2814+"n/&gt;!&amp;^^"</f>
        <v>#VALUE!</v>
      </c>
      <c r="T113" t="e">
        <f>'All regions'!E2814+"n/&gt;!&amp;^_"</f>
        <v>#VALUE!</v>
      </c>
      <c r="U113" t="e">
        <f>'All regions'!F2814+"n/&gt;!&amp;^`"</f>
        <v>#VALUE!</v>
      </c>
      <c r="V113" t="e">
        <f>'All regions'!G2814+"n/&gt;!&amp;^a"</f>
        <v>#VALUE!</v>
      </c>
      <c r="W113" t="e">
        <f>'All regions'!H2814+"n/&gt;!&amp;^b"</f>
        <v>#VALUE!</v>
      </c>
      <c r="X113" t="e">
        <f>'All regions'!I2814+"n/&gt;!&amp;^c"</f>
        <v>#VALUE!</v>
      </c>
      <c r="Y113" t="e">
        <f>'All regions'!J2814+"n/&gt;!&amp;^d"</f>
        <v>#VALUE!</v>
      </c>
      <c r="Z113" t="e">
        <f>'All regions'!A2815+"n/&gt;!&amp;^e"</f>
        <v>#VALUE!</v>
      </c>
      <c r="AA113" t="e">
        <f>'All regions'!B2815+"n/&gt;!&amp;^f"</f>
        <v>#VALUE!</v>
      </c>
      <c r="AB113" t="e">
        <f>'All regions'!C2815+"n/&gt;!&amp;^g"</f>
        <v>#VALUE!</v>
      </c>
      <c r="AC113" t="e">
        <f>'All regions'!D2815+"n/&gt;!&amp;^h"</f>
        <v>#VALUE!</v>
      </c>
      <c r="AD113" t="e">
        <f>'All regions'!E2815+"n/&gt;!&amp;^i"</f>
        <v>#VALUE!</v>
      </c>
      <c r="AE113" t="e">
        <f>'All regions'!F2815+"n/&gt;!&amp;^j"</f>
        <v>#VALUE!</v>
      </c>
      <c r="AF113" t="e">
        <f>'All regions'!G2815+"n/&gt;!&amp;^k"</f>
        <v>#VALUE!</v>
      </c>
      <c r="AG113" t="e">
        <f>'All regions'!H2815+"n/&gt;!&amp;^l"</f>
        <v>#VALUE!</v>
      </c>
      <c r="AH113" t="e">
        <f>'All regions'!I2815+"n/&gt;!&amp;^m"</f>
        <v>#VALUE!</v>
      </c>
      <c r="AI113" t="e">
        <f>'All regions'!J2815+"n/&gt;!&amp;^n"</f>
        <v>#VALUE!</v>
      </c>
      <c r="AJ113" t="e">
        <f>'All regions'!A2816+"n/&gt;!&amp;^o"</f>
        <v>#VALUE!</v>
      </c>
      <c r="AK113" t="e">
        <f>'All regions'!B2816+"n/&gt;!&amp;^p"</f>
        <v>#VALUE!</v>
      </c>
      <c r="AL113" t="e">
        <f>'All regions'!C2816+"n/&gt;!&amp;^q"</f>
        <v>#VALUE!</v>
      </c>
      <c r="AM113" t="e">
        <f>'All regions'!D2816+"n/&gt;!&amp;^r"</f>
        <v>#VALUE!</v>
      </c>
      <c r="AN113" t="e">
        <f>'All regions'!E2816+"n/&gt;!&amp;^s"</f>
        <v>#VALUE!</v>
      </c>
      <c r="AO113" t="e">
        <f>'All regions'!F2816+"n/&gt;!&amp;^t"</f>
        <v>#VALUE!</v>
      </c>
      <c r="AP113" t="e">
        <f>'All regions'!G2816+"n/&gt;!&amp;^u"</f>
        <v>#VALUE!</v>
      </c>
      <c r="AQ113" t="e">
        <f>'All regions'!H2816+"n/&gt;!&amp;^v"</f>
        <v>#VALUE!</v>
      </c>
      <c r="AR113" t="e">
        <f>'All regions'!I2816+"n/&gt;!&amp;^w"</f>
        <v>#VALUE!</v>
      </c>
      <c r="AS113" t="e">
        <f>'All regions'!J2816+"n/&gt;!&amp;^x"</f>
        <v>#VALUE!</v>
      </c>
      <c r="AT113" t="e">
        <f>'All regions'!A2817+"n/&gt;!&amp;^y"</f>
        <v>#VALUE!</v>
      </c>
      <c r="AU113" t="e">
        <f>'All regions'!B2817+"n/&gt;!&amp;^z"</f>
        <v>#VALUE!</v>
      </c>
      <c r="AV113" t="e">
        <f>'All regions'!C2817+"n/&gt;!&amp;^{"</f>
        <v>#VALUE!</v>
      </c>
      <c r="AW113" t="e">
        <f>'All regions'!D2817+"n/&gt;!&amp;^|"</f>
        <v>#VALUE!</v>
      </c>
      <c r="AX113" t="e">
        <f>'All regions'!E2817+"n/&gt;!&amp;^}"</f>
        <v>#VALUE!</v>
      </c>
      <c r="AY113" t="e">
        <f>'All regions'!F2817+"n/&gt;!&amp;^~"</f>
        <v>#VALUE!</v>
      </c>
      <c r="AZ113" t="e">
        <f>'All regions'!G2817+"n/&gt;!&amp;_#"</f>
        <v>#VALUE!</v>
      </c>
      <c r="BA113" t="e">
        <f>'All regions'!H2817+"n/&gt;!&amp;_$"</f>
        <v>#VALUE!</v>
      </c>
      <c r="BB113" t="e">
        <f>'All regions'!I2817+"n/&gt;!&amp;_%"</f>
        <v>#VALUE!</v>
      </c>
      <c r="BC113" t="e">
        <f>'All regions'!J2817+"n/&gt;!&amp;_&amp;"</f>
        <v>#VALUE!</v>
      </c>
      <c r="BD113" t="e">
        <f>'All regions'!A2818+"n/&gt;!&amp;_'"</f>
        <v>#VALUE!</v>
      </c>
      <c r="BE113" t="e">
        <f>'All regions'!B2818+"n/&gt;!&amp;_("</f>
        <v>#VALUE!</v>
      </c>
      <c r="BF113" t="e">
        <f>'All regions'!C2818+"n/&gt;!&amp;_)"</f>
        <v>#VALUE!</v>
      </c>
      <c r="BG113" t="e">
        <f>'All regions'!D2818+"n/&gt;!&amp;_."</f>
        <v>#VALUE!</v>
      </c>
      <c r="BH113" t="e">
        <f>'All regions'!E2818+"n/&gt;!&amp;_/"</f>
        <v>#VALUE!</v>
      </c>
      <c r="BI113" t="e">
        <f>'All regions'!F2818+"n/&gt;!&amp;_0"</f>
        <v>#VALUE!</v>
      </c>
      <c r="BJ113" t="e">
        <f>'All regions'!G2818+"n/&gt;!&amp;_1"</f>
        <v>#VALUE!</v>
      </c>
      <c r="BK113" t="e">
        <f>'All regions'!H2818+"n/&gt;!&amp;_2"</f>
        <v>#VALUE!</v>
      </c>
      <c r="BL113" t="e">
        <f>'All regions'!I2818+"n/&gt;!&amp;_3"</f>
        <v>#VALUE!</v>
      </c>
      <c r="BM113" t="e">
        <f>'All regions'!J2818+"n/&gt;!&amp;_4"</f>
        <v>#VALUE!</v>
      </c>
      <c r="BN113" t="e">
        <f>'All regions'!A2819+"n/&gt;!&amp;_5"</f>
        <v>#VALUE!</v>
      </c>
      <c r="BO113" t="e">
        <f>'All regions'!B2819+"n/&gt;!&amp;_6"</f>
        <v>#VALUE!</v>
      </c>
      <c r="BP113" t="e">
        <f>'All regions'!C2819+"n/&gt;!&amp;_7"</f>
        <v>#VALUE!</v>
      </c>
      <c r="BQ113" t="e">
        <f>'All regions'!D2819+"n/&gt;!&amp;_8"</f>
        <v>#VALUE!</v>
      </c>
      <c r="BR113" t="e">
        <f>'All regions'!E2819+"n/&gt;!&amp;_9"</f>
        <v>#VALUE!</v>
      </c>
      <c r="BS113" t="e">
        <f>'All regions'!F2819+"n/&gt;!&amp;_:"</f>
        <v>#VALUE!</v>
      </c>
      <c r="BT113" t="e">
        <f>'All regions'!G2819+"n/&gt;!&amp;_;"</f>
        <v>#VALUE!</v>
      </c>
      <c r="BU113" t="e">
        <f>'All regions'!H2819+"n/&gt;!&amp;_&lt;"</f>
        <v>#VALUE!</v>
      </c>
      <c r="BV113" t="e">
        <f>'All regions'!I2819+"n/&gt;!&amp;_="</f>
        <v>#VALUE!</v>
      </c>
      <c r="BW113" t="e">
        <f>'All regions'!J2819+"n/&gt;!&amp;_&gt;"</f>
        <v>#VALUE!</v>
      </c>
      <c r="BX113" t="e">
        <f>'All regions'!A2820+"n/&gt;!&amp;_?"</f>
        <v>#VALUE!</v>
      </c>
      <c r="BY113" t="e">
        <f>'All regions'!B2820+"n/&gt;!&amp;_@"</f>
        <v>#VALUE!</v>
      </c>
      <c r="BZ113" t="e">
        <f>'All regions'!C2820+"n/&gt;!&amp;_A"</f>
        <v>#VALUE!</v>
      </c>
      <c r="CA113" t="e">
        <f>'All regions'!D2820+"n/&gt;!&amp;_B"</f>
        <v>#VALUE!</v>
      </c>
      <c r="CB113" t="e">
        <f>'All regions'!E2820+"n/&gt;!&amp;_C"</f>
        <v>#VALUE!</v>
      </c>
      <c r="CC113" t="e">
        <f>'All regions'!F2820+"n/&gt;!&amp;_D"</f>
        <v>#VALUE!</v>
      </c>
      <c r="CD113" t="e">
        <f>'All regions'!G2820+"n/&gt;!&amp;_E"</f>
        <v>#VALUE!</v>
      </c>
      <c r="CE113" t="e">
        <f>'All regions'!H2820+"n/&gt;!&amp;_F"</f>
        <v>#VALUE!</v>
      </c>
      <c r="CF113" t="e">
        <f>'All regions'!I2820+"n/&gt;!&amp;_G"</f>
        <v>#VALUE!</v>
      </c>
      <c r="CG113" t="e">
        <f>'All regions'!J2820+"n/&gt;!&amp;_H"</f>
        <v>#VALUE!</v>
      </c>
      <c r="CH113" t="e">
        <f>'All regions'!A2821+"n/&gt;!&amp;_I"</f>
        <v>#VALUE!</v>
      </c>
      <c r="CI113" t="e">
        <f>'All regions'!B2821+"n/&gt;!&amp;_J"</f>
        <v>#VALUE!</v>
      </c>
      <c r="CJ113" t="e">
        <f>'All regions'!C2821+"n/&gt;!&amp;_K"</f>
        <v>#VALUE!</v>
      </c>
      <c r="CK113" t="e">
        <f>'All regions'!D2821+"n/&gt;!&amp;_L"</f>
        <v>#VALUE!</v>
      </c>
      <c r="CL113" t="e">
        <f>'All regions'!E2821+"n/&gt;!&amp;_M"</f>
        <v>#VALUE!</v>
      </c>
      <c r="CM113" t="e">
        <f>'All regions'!F2821+"n/&gt;!&amp;_N"</f>
        <v>#VALUE!</v>
      </c>
      <c r="CN113" t="e">
        <f>'All regions'!G2821+"n/&gt;!&amp;_O"</f>
        <v>#VALUE!</v>
      </c>
      <c r="CO113" t="e">
        <f>'All regions'!H2821+"n/&gt;!&amp;_P"</f>
        <v>#VALUE!</v>
      </c>
      <c r="CP113" t="e">
        <f>'All regions'!I2821+"n/&gt;!&amp;_Q"</f>
        <v>#VALUE!</v>
      </c>
      <c r="CQ113" t="e">
        <f>'All regions'!J2821+"n/&gt;!&amp;_R"</f>
        <v>#VALUE!</v>
      </c>
      <c r="CR113" t="e">
        <f>'All regions'!A2822+"n/&gt;!&amp;_S"</f>
        <v>#VALUE!</v>
      </c>
      <c r="CS113" t="e">
        <f>'All regions'!B2822+"n/&gt;!&amp;_T"</f>
        <v>#VALUE!</v>
      </c>
      <c r="CT113" t="e">
        <f>'All regions'!C2822+"n/&gt;!&amp;_U"</f>
        <v>#VALUE!</v>
      </c>
      <c r="CU113" t="e">
        <f>'All regions'!D2822+"n/&gt;!&amp;_V"</f>
        <v>#VALUE!</v>
      </c>
      <c r="CV113" t="e">
        <f>'All regions'!E2822+"n/&gt;!&amp;_W"</f>
        <v>#VALUE!</v>
      </c>
      <c r="CW113" t="e">
        <f>'All regions'!F2822+"n/&gt;!&amp;_X"</f>
        <v>#VALUE!</v>
      </c>
      <c r="CX113" t="e">
        <f>'All regions'!G2822+"n/&gt;!&amp;_Y"</f>
        <v>#VALUE!</v>
      </c>
      <c r="CY113" t="e">
        <f>'All regions'!H2822+"n/&gt;!&amp;_Z"</f>
        <v>#VALUE!</v>
      </c>
      <c r="CZ113" t="e">
        <f>'All regions'!I2822+"n/&gt;!&amp;_["</f>
        <v>#VALUE!</v>
      </c>
      <c r="DA113" t="e">
        <f>'All regions'!J2822+"n/&gt;!&amp;_\"</f>
        <v>#VALUE!</v>
      </c>
      <c r="DB113" t="e">
        <f>'All regions'!A2823+"n/&gt;!&amp;_]"</f>
        <v>#VALUE!</v>
      </c>
      <c r="DC113" t="e">
        <f>'All regions'!B2823+"n/&gt;!&amp;_^"</f>
        <v>#VALUE!</v>
      </c>
      <c r="DD113" t="e">
        <f>'All regions'!C2823+"n/&gt;!&amp;__"</f>
        <v>#VALUE!</v>
      </c>
      <c r="DE113" t="e">
        <f>'All regions'!D2823+"n/&gt;!&amp;_`"</f>
        <v>#VALUE!</v>
      </c>
      <c r="DF113" t="e">
        <f>'All regions'!E2823+"n/&gt;!&amp;_a"</f>
        <v>#VALUE!</v>
      </c>
      <c r="DG113" t="e">
        <f>'All regions'!F2823+"n/&gt;!&amp;_b"</f>
        <v>#VALUE!</v>
      </c>
      <c r="DH113" t="e">
        <f>'All regions'!I2823+"n/&gt;!&amp;_c"</f>
        <v>#VALUE!</v>
      </c>
      <c r="DI113" t="e">
        <f>'All regions'!J2823+"n/&gt;!&amp;_d"</f>
        <v>#VALUE!</v>
      </c>
      <c r="DJ113" t="e">
        <f>'All regions'!A2824+"n/&gt;!&amp;_e"</f>
        <v>#VALUE!</v>
      </c>
      <c r="DK113" t="e">
        <f>'All regions'!B2824+"n/&gt;!&amp;_f"</f>
        <v>#VALUE!</v>
      </c>
      <c r="DL113" t="e">
        <f>'All regions'!C2824+"n/&gt;!&amp;_g"</f>
        <v>#VALUE!</v>
      </c>
      <c r="DM113" t="e">
        <f>'All regions'!D2824+"n/&gt;!&amp;_h"</f>
        <v>#VALUE!</v>
      </c>
      <c r="DN113" t="e">
        <f>'All regions'!E2824+"n/&gt;!&amp;_i"</f>
        <v>#VALUE!</v>
      </c>
      <c r="DO113" t="e">
        <f>'All regions'!F2824+"n/&gt;!&amp;_j"</f>
        <v>#VALUE!</v>
      </c>
      <c r="DP113" t="e">
        <f>'All regions'!G2824+"n/&gt;!&amp;_k"</f>
        <v>#VALUE!</v>
      </c>
      <c r="DQ113" t="e">
        <f>'All regions'!H2824+"n/&gt;!&amp;_l"</f>
        <v>#VALUE!</v>
      </c>
      <c r="DR113" t="e">
        <f>'All regions'!I2824+"n/&gt;!&amp;_m"</f>
        <v>#VALUE!</v>
      </c>
      <c r="DS113" t="e">
        <f>'All regions'!J2824+"n/&gt;!&amp;_n"</f>
        <v>#VALUE!</v>
      </c>
      <c r="DT113" t="e">
        <f>'All regions'!A2825+"n/&gt;!&amp;_o"</f>
        <v>#VALUE!</v>
      </c>
      <c r="DU113" t="e">
        <f>'All regions'!B2825+"n/&gt;!&amp;_p"</f>
        <v>#VALUE!</v>
      </c>
      <c r="DV113" t="e">
        <f>'All regions'!C2825+"n/&gt;!&amp;_q"</f>
        <v>#VALUE!</v>
      </c>
      <c r="DW113" t="e">
        <f>'All regions'!D2825+"n/&gt;!&amp;_r"</f>
        <v>#VALUE!</v>
      </c>
      <c r="DX113" t="e">
        <f>'All regions'!E2825+"n/&gt;!&amp;_s"</f>
        <v>#VALUE!</v>
      </c>
      <c r="DY113" t="e">
        <f>'All regions'!F2825+"n/&gt;!&amp;_t"</f>
        <v>#VALUE!</v>
      </c>
      <c r="DZ113" t="e">
        <f>'All regions'!G2825+"n/&gt;!&amp;_u"</f>
        <v>#VALUE!</v>
      </c>
      <c r="EA113" t="e">
        <f>'All regions'!H2825+"n/&gt;!&amp;_v"</f>
        <v>#VALUE!</v>
      </c>
      <c r="EB113" t="e">
        <f>'All regions'!I2825+"n/&gt;!&amp;_w"</f>
        <v>#VALUE!</v>
      </c>
      <c r="EC113" t="e">
        <f>'All regions'!J2825+"n/&gt;!&amp;_x"</f>
        <v>#VALUE!</v>
      </c>
      <c r="ED113" t="e">
        <f>'All regions'!A2826+"n/&gt;!&amp;_y"</f>
        <v>#VALUE!</v>
      </c>
      <c r="EE113" t="e">
        <f>'All regions'!B2826+"n/&gt;!&amp;_z"</f>
        <v>#VALUE!</v>
      </c>
      <c r="EF113" t="e">
        <f>'All regions'!C2826+"n/&gt;!&amp;_{"</f>
        <v>#VALUE!</v>
      </c>
      <c r="EG113" t="e">
        <f>'All regions'!D2826+"n/&gt;!&amp;_|"</f>
        <v>#VALUE!</v>
      </c>
      <c r="EH113" t="e">
        <f>'All regions'!E2826+"n/&gt;!&amp;_}"</f>
        <v>#VALUE!</v>
      </c>
      <c r="EI113" t="e">
        <f>'All regions'!F2826+"n/&gt;!&amp;_~"</f>
        <v>#VALUE!</v>
      </c>
      <c r="EJ113" t="e">
        <f>'All regions'!G2826+"n/&gt;!&amp;`#"</f>
        <v>#VALUE!</v>
      </c>
      <c r="EK113" t="e">
        <f>'All regions'!H2826+"n/&gt;!&amp;`$"</f>
        <v>#VALUE!</v>
      </c>
      <c r="EL113" t="e">
        <f>'All regions'!I2826+"n/&gt;!&amp;`%"</f>
        <v>#VALUE!</v>
      </c>
      <c r="EM113" t="e">
        <f>'All regions'!J2826+"n/&gt;!&amp;`&amp;"</f>
        <v>#VALUE!</v>
      </c>
      <c r="EN113" t="e">
        <f>'All regions'!A2827+"n/&gt;!&amp;`'"</f>
        <v>#VALUE!</v>
      </c>
      <c r="EO113" t="e">
        <f>'All regions'!B2827+"n/&gt;!&amp;`("</f>
        <v>#VALUE!</v>
      </c>
      <c r="EP113" t="e">
        <f>'All regions'!C2827+"n/&gt;!&amp;`)"</f>
        <v>#VALUE!</v>
      </c>
      <c r="EQ113" t="e">
        <f>'All regions'!D2827+"n/&gt;!&amp;`."</f>
        <v>#VALUE!</v>
      </c>
      <c r="ER113" t="e">
        <f>'All regions'!E2827+"n/&gt;!&amp;`/"</f>
        <v>#VALUE!</v>
      </c>
      <c r="ES113" t="e">
        <f>'All regions'!F2827+"n/&gt;!&amp;`0"</f>
        <v>#VALUE!</v>
      </c>
      <c r="ET113" t="e">
        <f>'All regions'!G2827+"n/&gt;!&amp;`1"</f>
        <v>#VALUE!</v>
      </c>
      <c r="EU113" t="e">
        <f>'All regions'!H2827+"n/&gt;!&amp;`2"</f>
        <v>#VALUE!</v>
      </c>
      <c r="EV113" t="e">
        <f>'All regions'!I2827+"n/&gt;!&amp;`3"</f>
        <v>#VALUE!</v>
      </c>
      <c r="EW113" t="e">
        <f>'All regions'!J2827+"n/&gt;!&amp;`4"</f>
        <v>#VALUE!</v>
      </c>
      <c r="EX113" t="e">
        <f>'All regions'!A2828+"n/&gt;!&amp;`5"</f>
        <v>#VALUE!</v>
      </c>
      <c r="EY113" t="e">
        <f>'All regions'!B2828+"n/&gt;!&amp;`6"</f>
        <v>#VALUE!</v>
      </c>
      <c r="EZ113" t="e">
        <f>'All regions'!C2828+"n/&gt;!&amp;`7"</f>
        <v>#VALUE!</v>
      </c>
      <c r="FA113" t="e">
        <f>'All regions'!D2828+"n/&gt;!&amp;`8"</f>
        <v>#VALUE!</v>
      </c>
      <c r="FB113" t="e">
        <f>'All regions'!E2828+"n/&gt;!&amp;`9"</f>
        <v>#VALUE!</v>
      </c>
      <c r="FC113" t="e">
        <f>'All regions'!F2828+"n/&gt;!&amp;`:"</f>
        <v>#VALUE!</v>
      </c>
      <c r="FD113" t="e">
        <f>'All regions'!G2828+"n/&gt;!&amp;`;"</f>
        <v>#VALUE!</v>
      </c>
      <c r="FE113" t="e">
        <f>'All regions'!H2828+"n/&gt;!&amp;`&lt;"</f>
        <v>#VALUE!</v>
      </c>
      <c r="FF113" t="e">
        <f>'All regions'!I2828+"n/&gt;!&amp;`="</f>
        <v>#VALUE!</v>
      </c>
      <c r="FG113" t="e">
        <f>'All regions'!J2828+"n/&gt;!&amp;`&gt;"</f>
        <v>#VALUE!</v>
      </c>
      <c r="FH113" t="e">
        <f>'All regions'!A2829+"n/&gt;!&amp;`?"</f>
        <v>#VALUE!</v>
      </c>
      <c r="FI113" t="e">
        <f>'All regions'!B2829+"n/&gt;!&amp;`@"</f>
        <v>#VALUE!</v>
      </c>
      <c r="FJ113" t="e">
        <f>'All regions'!C2829+"n/&gt;!&amp;`A"</f>
        <v>#VALUE!</v>
      </c>
      <c r="FK113" t="e">
        <f>'All regions'!D2829+"n/&gt;!&amp;`B"</f>
        <v>#VALUE!</v>
      </c>
      <c r="FL113" t="e">
        <f>'All regions'!E2829+"n/&gt;!&amp;`C"</f>
        <v>#VALUE!</v>
      </c>
      <c r="FM113" t="e">
        <f>'All regions'!F2829+"n/&gt;!&amp;`D"</f>
        <v>#VALUE!</v>
      </c>
      <c r="FN113" t="e">
        <f>'All regions'!G2829+"n/&gt;!&amp;`E"</f>
        <v>#VALUE!</v>
      </c>
      <c r="FO113" t="e">
        <f>'All regions'!H2829+"n/&gt;!&amp;`F"</f>
        <v>#VALUE!</v>
      </c>
      <c r="FP113" t="e">
        <f>'All regions'!I2829+"n/&gt;!&amp;`G"</f>
        <v>#VALUE!</v>
      </c>
      <c r="FQ113" t="e">
        <f>'All regions'!J2829+"n/&gt;!&amp;`H"</f>
        <v>#VALUE!</v>
      </c>
      <c r="FR113" t="e">
        <f>'All regions'!A2830+"n/&gt;!&amp;`I"</f>
        <v>#VALUE!</v>
      </c>
      <c r="FS113" t="e">
        <f>'All regions'!B2830+"n/&gt;!&amp;`J"</f>
        <v>#VALUE!</v>
      </c>
      <c r="FT113" t="e">
        <f>'All regions'!C2830+"n/&gt;!&amp;`K"</f>
        <v>#VALUE!</v>
      </c>
      <c r="FU113" t="e">
        <f>'All regions'!D2830+"n/&gt;!&amp;`L"</f>
        <v>#VALUE!</v>
      </c>
      <c r="FV113" t="e">
        <f>'All regions'!E2830+"n/&gt;!&amp;`M"</f>
        <v>#VALUE!</v>
      </c>
      <c r="FW113" t="e">
        <f>'All regions'!F2830+"n/&gt;!&amp;`N"</f>
        <v>#VALUE!</v>
      </c>
      <c r="FX113" t="e">
        <f>'All regions'!G2830+"n/&gt;!&amp;`O"</f>
        <v>#VALUE!</v>
      </c>
      <c r="FY113" t="e">
        <f>'All regions'!H2830+"n/&gt;!&amp;`P"</f>
        <v>#VALUE!</v>
      </c>
      <c r="FZ113" t="e">
        <f>'All regions'!I2830+"n/&gt;!&amp;`Q"</f>
        <v>#VALUE!</v>
      </c>
      <c r="GA113" t="e">
        <f>'All regions'!J2830+"n/&gt;!&amp;`R"</f>
        <v>#VALUE!</v>
      </c>
      <c r="GB113" t="e">
        <f>'All regions'!A2831+"n/&gt;!&amp;`S"</f>
        <v>#VALUE!</v>
      </c>
      <c r="GC113" t="e">
        <f>'All regions'!B2831+"n/&gt;!&amp;`T"</f>
        <v>#VALUE!</v>
      </c>
      <c r="GD113" t="e">
        <f>'All regions'!C2831+"n/&gt;!&amp;`U"</f>
        <v>#VALUE!</v>
      </c>
      <c r="GE113" t="e">
        <f>'All regions'!D2831+"n/&gt;!&amp;`V"</f>
        <v>#VALUE!</v>
      </c>
      <c r="GF113" t="e">
        <f>'All regions'!E2831+"n/&gt;!&amp;`W"</f>
        <v>#VALUE!</v>
      </c>
      <c r="GG113" t="e">
        <f>'All regions'!F2831+"n/&gt;!&amp;`X"</f>
        <v>#VALUE!</v>
      </c>
      <c r="GH113" t="e">
        <f>'All regions'!G2831+"n/&gt;!&amp;`Y"</f>
        <v>#VALUE!</v>
      </c>
      <c r="GI113" t="e">
        <f>'All regions'!H2831+"n/&gt;!&amp;`Z"</f>
        <v>#VALUE!</v>
      </c>
      <c r="GJ113" t="e">
        <f>'All regions'!I2831+"n/&gt;!&amp;`["</f>
        <v>#VALUE!</v>
      </c>
      <c r="GK113" t="e">
        <f>'All regions'!J2831+"n/&gt;!&amp;`\"</f>
        <v>#VALUE!</v>
      </c>
      <c r="GL113" t="e">
        <f>'All regions'!A2832+"n/&gt;!&amp;`]"</f>
        <v>#VALUE!</v>
      </c>
      <c r="GM113" t="e">
        <f>'All regions'!B2832+"n/&gt;!&amp;`^"</f>
        <v>#VALUE!</v>
      </c>
      <c r="GN113" t="e">
        <f>'All regions'!C2832+"n/&gt;!&amp;`_"</f>
        <v>#VALUE!</v>
      </c>
      <c r="GO113" t="e">
        <f>'All regions'!D2832+"n/&gt;!&amp;``"</f>
        <v>#VALUE!</v>
      </c>
      <c r="GP113" t="e">
        <f>'All regions'!E2832+"n/&gt;!&amp;`a"</f>
        <v>#VALUE!</v>
      </c>
      <c r="GQ113" t="e">
        <f>'All regions'!F2832+"n/&gt;!&amp;`b"</f>
        <v>#VALUE!</v>
      </c>
      <c r="GR113" t="e">
        <f>'All regions'!G2832+"n/&gt;!&amp;`c"</f>
        <v>#VALUE!</v>
      </c>
      <c r="GS113" t="e">
        <f>'All regions'!H2832+"n/&gt;!&amp;`d"</f>
        <v>#VALUE!</v>
      </c>
      <c r="GT113" t="e">
        <f>'All regions'!I2832+"n/&gt;!&amp;`e"</f>
        <v>#VALUE!</v>
      </c>
      <c r="GU113" t="e">
        <f>'All regions'!J2832+"n/&gt;!&amp;`f"</f>
        <v>#VALUE!</v>
      </c>
      <c r="GV113" t="e">
        <f>'All regions'!A2833+"n/&gt;!&amp;`g"</f>
        <v>#VALUE!</v>
      </c>
      <c r="GW113" t="e">
        <f>'All regions'!B2833+"n/&gt;!&amp;`h"</f>
        <v>#VALUE!</v>
      </c>
      <c r="GX113" t="e">
        <f>'All regions'!C2833+"n/&gt;!&amp;`i"</f>
        <v>#VALUE!</v>
      </c>
      <c r="GY113" t="e">
        <f>'All regions'!D2833+"n/&gt;!&amp;`j"</f>
        <v>#VALUE!</v>
      </c>
      <c r="GZ113" t="e">
        <f>'All regions'!E2833+"n/&gt;!&amp;`k"</f>
        <v>#VALUE!</v>
      </c>
      <c r="HA113" t="e">
        <f>'All regions'!F2833+"n/&gt;!&amp;`l"</f>
        <v>#VALUE!</v>
      </c>
      <c r="HB113" t="e">
        <f>'All regions'!G2833+"n/&gt;!&amp;`m"</f>
        <v>#VALUE!</v>
      </c>
      <c r="HC113" t="e">
        <f>'All regions'!H2833+"n/&gt;!&amp;`n"</f>
        <v>#VALUE!</v>
      </c>
      <c r="HD113" t="e">
        <f>'All regions'!I2833+"n/&gt;!&amp;`o"</f>
        <v>#VALUE!</v>
      </c>
      <c r="HE113" t="e">
        <f>'All regions'!J2833+"n/&gt;!&amp;`p"</f>
        <v>#VALUE!</v>
      </c>
      <c r="HF113" t="e">
        <f>'All regions'!A2834+"n/&gt;!&amp;`q"</f>
        <v>#VALUE!</v>
      </c>
      <c r="HG113" t="e">
        <f>'All regions'!B2834+"n/&gt;!&amp;`r"</f>
        <v>#VALUE!</v>
      </c>
      <c r="HH113" t="e">
        <f>'All regions'!C2834+"n/&gt;!&amp;`s"</f>
        <v>#VALUE!</v>
      </c>
      <c r="HI113" t="e">
        <f>'All regions'!D2834+"n/&gt;!&amp;`t"</f>
        <v>#VALUE!</v>
      </c>
      <c r="HJ113" t="e">
        <f>'All regions'!E2834+"n/&gt;!&amp;`u"</f>
        <v>#VALUE!</v>
      </c>
      <c r="HK113" t="e">
        <f>'All regions'!F2834+"n/&gt;!&amp;`v"</f>
        <v>#VALUE!</v>
      </c>
      <c r="HL113" t="e">
        <f>'All regions'!G2834+"n/&gt;!&amp;`w"</f>
        <v>#VALUE!</v>
      </c>
      <c r="HM113" t="e">
        <f>'All regions'!H2834+"n/&gt;!&amp;`x"</f>
        <v>#VALUE!</v>
      </c>
      <c r="HN113" t="e">
        <f>'All regions'!I2834+"n/&gt;!&amp;`y"</f>
        <v>#VALUE!</v>
      </c>
      <c r="HO113" t="e">
        <f>'All regions'!J2834+"n/&gt;!&amp;`z"</f>
        <v>#VALUE!</v>
      </c>
      <c r="HP113" t="e">
        <f>'All regions'!A2835+"n/&gt;!&amp;`{"</f>
        <v>#VALUE!</v>
      </c>
      <c r="HQ113" t="e">
        <f>'All regions'!B2835+"n/&gt;!&amp;`|"</f>
        <v>#VALUE!</v>
      </c>
      <c r="HR113" t="e">
        <f>'All regions'!C2835+"n/&gt;!&amp;`}"</f>
        <v>#VALUE!</v>
      </c>
      <c r="HS113" t="e">
        <f>'All regions'!D2835+"n/&gt;!&amp;`~"</f>
        <v>#VALUE!</v>
      </c>
      <c r="HT113" t="e">
        <f>'All regions'!E2835+"n/&gt;!&amp;a#"</f>
        <v>#VALUE!</v>
      </c>
      <c r="HU113" t="e">
        <f>'All regions'!F2835+"n/&gt;!&amp;a$"</f>
        <v>#VALUE!</v>
      </c>
      <c r="HV113" t="e">
        <f>'All regions'!G2835+"n/&gt;!&amp;a%"</f>
        <v>#VALUE!</v>
      </c>
      <c r="HW113" t="e">
        <f>'All regions'!H2835+"n/&gt;!&amp;a&amp;"</f>
        <v>#VALUE!</v>
      </c>
      <c r="HX113" t="e">
        <f>'All regions'!I2835+"n/&gt;!&amp;a'"</f>
        <v>#VALUE!</v>
      </c>
      <c r="HY113" t="e">
        <f>'All regions'!J2835+"n/&gt;!&amp;a("</f>
        <v>#VALUE!</v>
      </c>
      <c r="HZ113" t="e">
        <f>'All regions'!A2836+"n/&gt;!&amp;a)"</f>
        <v>#VALUE!</v>
      </c>
      <c r="IA113" t="e">
        <f>'All regions'!B2836+"n/&gt;!&amp;a."</f>
        <v>#VALUE!</v>
      </c>
      <c r="IB113" t="e">
        <f>'All regions'!C2836+"n/&gt;!&amp;a/"</f>
        <v>#VALUE!</v>
      </c>
      <c r="IC113" t="e">
        <f>'All regions'!D2836+"n/&gt;!&amp;a0"</f>
        <v>#VALUE!</v>
      </c>
      <c r="ID113" t="e">
        <f>'All regions'!E2836+"n/&gt;!&amp;a1"</f>
        <v>#VALUE!</v>
      </c>
      <c r="IE113" t="e">
        <f>'All regions'!F2836+"n/&gt;!&amp;a2"</f>
        <v>#VALUE!</v>
      </c>
      <c r="IF113" t="e">
        <f>'All regions'!G2836+"n/&gt;!&amp;a3"</f>
        <v>#VALUE!</v>
      </c>
      <c r="IG113" t="e">
        <f>'All regions'!H2836+"n/&gt;!&amp;a4"</f>
        <v>#VALUE!</v>
      </c>
      <c r="IH113" t="e">
        <f>'All regions'!I2836+"n/&gt;!&amp;a5"</f>
        <v>#VALUE!</v>
      </c>
      <c r="II113" t="e">
        <f>'All regions'!J2836+"n/&gt;!&amp;a6"</f>
        <v>#VALUE!</v>
      </c>
      <c r="IJ113" t="e">
        <f>'All regions'!A2837+"n/&gt;!&amp;a7"</f>
        <v>#VALUE!</v>
      </c>
      <c r="IK113" t="e">
        <f>'All regions'!B2837+"n/&gt;!&amp;a8"</f>
        <v>#VALUE!</v>
      </c>
      <c r="IL113" t="e">
        <f>'All regions'!C2837+"n/&gt;!&amp;a9"</f>
        <v>#VALUE!</v>
      </c>
      <c r="IM113" t="e">
        <f>'All regions'!D2837+"n/&gt;!&amp;a:"</f>
        <v>#VALUE!</v>
      </c>
      <c r="IN113" t="e">
        <f>'All regions'!E2837+"n/&gt;!&amp;a;"</f>
        <v>#VALUE!</v>
      </c>
      <c r="IO113" t="e">
        <f>'All regions'!F2837+"n/&gt;!&amp;a&lt;"</f>
        <v>#VALUE!</v>
      </c>
      <c r="IP113" t="e">
        <f>'All regions'!G2837+"n/&gt;!&amp;a="</f>
        <v>#VALUE!</v>
      </c>
      <c r="IQ113" t="e">
        <f>'All regions'!H2837+"n/&gt;!&amp;a&gt;"</f>
        <v>#VALUE!</v>
      </c>
      <c r="IR113" t="e">
        <f>'All regions'!I2837+"n/&gt;!&amp;a?"</f>
        <v>#VALUE!</v>
      </c>
      <c r="IS113" t="e">
        <f>'All regions'!J2837+"n/&gt;!&amp;a@"</f>
        <v>#VALUE!</v>
      </c>
      <c r="IT113" t="e">
        <f>'All regions'!A2838+"n/&gt;!&amp;aA"</f>
        <v>#VALUE!</v>
      </c>
      <c r="IU113" t="e">
        <f>'All regions'!B2838+"n/&gt;!&amp;aB"</f>
        <v>#VALUE!</v>
      </c>
      <c r="IV113" t="e">
        <f>'All regions'!C2838+"n/&gt;!&amp;aC"</f>
        <v>#VALUE!</v>
      </c>
    </row>
    <row r="114" spans="6:256" x14ac:dyDescent="0.35">
      <c r="F114" t="e">
        <f>'All regions'!D2838+"n/&gt;!&amp;aD"</f>
        <v>#VALUE!</v>
      </c>
      <c r="G114" t="e">
        <f>'All regions'!E2838+"n/&gt;!&amp;aE"</f>
        <v>#VALUE!</v>
      </c>
      <c r="H114" t="e">
        <f>'All regions'!F2838+"n/&gt;!&amp;aF"</f>
        <v>#VALUE!</v>
      </c>
      <c r="I114" t="e">
        <f>'All regions'!G2838+"n/&gt;!&amp;aG"</f>
        <v>#VALUE!</v>
      </c>
      <c r="J114" t="e">
        <f>'All regions'!H2838+"n/&gt;!&amp;aH"</f>
        <v>#VALUE!</v>
      </c>
      <c r="K114" t="e">
        <f>'All regions'!I2838+"n/&gt;!&amp;aI"</f>
        <v>#VALUE!</v>
      </c>
      <c r="L114" t="e">
        <f>'All regions'!J2838+"n/&gt;!&amp;aJ"</f>
        <v>#VALUE!</v>
      </c>
      <c r="M114" t="e">
        <f>'All regions'!A2839+"n/&gt;!&amp;aK"</f>
        <v>#VALUE!</v>
      </c>
      <c r="N114" t="e">
        <f>'All regions'!B2839+"n/&gt;!&amp;aL"</f>
        <v>#VALUE!</v>
      </c>
      <c r="O114" t="e">
        <f>'All regions'!C2839+"n/&gt;!&amp;aM"</f>
        <v>#VALUE!</v>
      </c>
      <c r="P114" t="e">
        <f>'All regions'!D2839+"n/&gt;!&amp;aN"</f>
        <v>#VALUE!</v>
      </c>
      <c r="Q114" t="e">
        <f>'All regions'!E2839+"n/&gt;!&amp;aO"</f>
        <v>#VALUE!</v>
      </c>
      <c r="R114" t="e">
        <f>'All regions'!F2839+"n/&gt;!&amp;aP"</f>
        <v>#VALUE!</v>
      </c>
      <c r="S114" t="e">
        <f>'All regions'!G2839+"n/&gt;!&amp;aQ"</f>
        <v>#VALUE!</v>
      </c>
      <c r="T114" t="e">
        <f>'All regions'!H2839+"n/&gt;!&amp;aR"</f>
        <v>#VALUE!</v>
      </c>
      <c r="U114" t="e">
        <f>'All regions'!I2839+"n/&gt;!&amp;aS"</f>
        <v>#VALUE!</v>
      </c>
      <c r="V114" t="e">
        <f>'All regions'!J2839+"n/&gt;!&amp;aT"</f>
        <v>#VALUE!</v>
      </c>
      <c r="W114" t="e">
        <f>'All regions'!A2840+"n/&gt;!&amp;aU"</f>
        <v>#VALUE!</v>
      </c>
      <c r="X114" t="e">
        <f>'All regions'!B2840+"n/&gt;!&amp;aV"</f>
        <v>#VALUE!</v>
      </c>
      <c r="Y114" t="e">
        <f>'All regions'!C2840+"n/&gt;!&amp;aW"</f>
        <v>#VALUE!</v>
      </c>
      <c r="Z114" t="e">
        <f>'All regions'!D2840+"n/&gt;!&amp;aX"</f>
        <v>#VALUE!</v>
      </c>
      <c r="AA114" t="e">
        <f>'All regions'!E2840+"n/&gt;!&amp;aY"</f>
        <v>#VALUE!</v>
      </c>
      <c r="AB114" t="e">
        <f>'All regions'!F2840+"n/&gt;!&amp;aZ"</f>
        <v>#VALUE!</v>
      </c>
      <c r="AC114" t="e">
        <f>'All regions'!G2840+"n/&gt;!&amp;a["</f>
        <v>#VALUE!</v>
      </c>
      <c r="AD114" t="e">
        <f>'All regions'!H2840+"n/&gt;!&amp;a\"</f>
        <v>#VALUE!</v>
      </c>
      <c r="AE114" t="e">
        <f>'All regions'!I2840+"n/&gt;!&amp;a]"</f>
        <v>#VALUE!</v>
      </c>
      <c r="AF114" t="e">
        <f>'All regions'!J2840+"n/&gt;!&amp;a^"</f>
        <v>#VALUE!</v>
      </c>
      <c r="AG114" t="e">
        <f>'All regions'!A2841+"n/&gt;!&amp;a_"</f>
        <v>#VALUE!</v>
      </c>
      <c r="AH114" t="e">
        <f>'All regions'!B2841+"n/&gt;!&amp;a`"</f>
        <v>#VALUE!</v>
      </c>
      <c r="AI114" t="e">
        <f>'All regions'!C2841+"n/&gt;!&amp;aa"</f>
        <v>#VALUE!</v>
      </c>
      <c r="AJ114" t="e">
        <f>'All regions'!D2841+"n/&gt;!&amp;ab"</f>
        <v>#VALUE!</v>
      </c>
      <c r="AK114" t="e">
        <f>'All regions'!E2841+"n/&gt;!&amp;ac"</f>
        <v>#VALUE!</v>
      </c>
      <c r="AL114" t="e">
        <f>'All regions'!F2841+"n/&gt;!&amp;ad"</f>
        <v>#VALUE!</v>
      </c>
      <c r="AM114" t="e">
        <f>'All regions'!G2841+"n/&gt;!&amp;ae"</f>
        <v>#VALUE!</v>
      </c>
      <c r="AN114" t="e">
        <f>'All regions'!H2841+"n/&gt;!&amp;af"</f>
        <v>#VALUE!</v>
      </c>
      <c r="AO114" t="e">
        <f>'All regions'!I2841+"n/&gt;!&amp;ag"</f>
        <v>#VALUE!</v>
      </c>
      <c r="AP114" t="e">
        <f>'All regions'!J2841+"n/&gt;!&amp;ah"</f>
        <v>#VALUE!</v>
      </c>
      <c r="AQ114" t="e">
        <f>'All regions'!A2842+"n/&gt;!&amp;ai"</f>
        <v>#VALUE!</v>
      </c>
      <c r="AR114" t="e">
        <f>'All regions'!B2842+"n/&gt;!&amp;aj"</f>
        <v>#VALUE!</v>
      </c>
      <c r="AS114" t="e">
        <f>'All regions'!C2842+"n/&gt;!&amp;ak"</f>
        <v>#VALUE!</v>
      </c>
      <c r="AT114" t="e">
        <f>'All regions'!D2842+"n/&gt;!&amp;al"</f>
        <v>#VALUE!</v>
      </c>
      <c r="AU114" t="e">
        <f>'All regions'!E2842+"n/&gt;!&amp;am"</f>
        <v>#VALUE!</v>
      </c>
      <c r="AV114" t="e">
        <f>'All regions'!F2842+"n/&gt;!&amp;an"</f>
        <v>#VALUE!</v>
      </c>
      <c r="AW114" t="e">
        <f>'All regions'!G2842+"n/&gt;!&amp;ao"</f>
        <v>#VALUE!</v>
      </c>
      <c r="AX114" t="e">
        <f>'All regions'!H2842+"n/&gt;!&amp;ap"</f>
        <v>#VALUE!</v>
      </c>
      <c r="AY114" t="e">
        <f>'All regions'!I2842+"n/&gt;!&amp;aq"</f>
        <v>#VALUE!</v>
      </c>
      <c r="AZ114" t="e">
        <f>'All regions'!J2842+"n/&gt;!&amp;ar"</f>
        <v>#VALUE!</v>
      </c>
      <c r="BA114" t="e">
        <f>'All regions'!A2843+"n/&gt;!&amp;as"</f>
        <v>#VALUE!</v>
      </c>
      <c r="BB114" t="e">
        <f>'All regions'!B2843+"n/&gt;!&amp;at"</f>
        <v>#VALUE!</v>
      </c>
      <c r="BC114" t="e">
        <f>'All regions'!C2843+"n/&gt;!&amp;au"</f>
        <v>#VALUE!</v>
      </c>
      <c r="BD114" t="e">
        <f>'All regions'!D2843+"n/&gt;!&amp;av"</f>
        <v>#VALUE!</v>
      </c>
      <c r="BE114" t="e">
        <f>'All regions'!E2843+"n/&gt;!&amp;aw"</f>
        <v>#VALUE!</v>
      </c>
      <c r="BF114" t="e">
        <f>'All regions'!F2843+"n/&gt;!&amp;ax"</f>
        <v>#VALUE!</v>
      </c>
      <c r="BG114" t="e">
        <f>'All regions'!G2843+"n/&gt;!&amp;ay"</f>
        <v>#VALUE!</v>
      </c>
      <c r="BH114" t="e">
        <f>'All regions'!H2843+"n/&gt;!&amp;az"</f>
        <v>#VALUE!</v>
      </c>
      <c r="BI114" t="e">
        <f>'All regions'!I2843+"n/&gt;!&amp;a{"</f>
        <v>#VALUE!</v>
      </c>
      <c r="BJ114" t="e">
        <f>'All regions'!J2843+"n/&gt;!&amp;a|"</f>
        <v>#VALUE!</v>
      </c>
      <c r="BK114" t="e">
        <f>'All regions'!A2844+"n/&gt;!&amp;a}"</f>
        <v>#VALUE!</v>
      </c>
      <c r="BL114" t="e">
        <f>'All regions'!B2844+"n/&gt;!&amp;a~"</f>
        <v>#VALUE!</v>
      </c>
      <c r="BM114" t="e">
        <f>'All regions'!C2844+"n/&gt;!&amp;b#"</f>
        <v>#VALUE!</v>
      </c>
      <c r="BN114" t="e">
        <f>'All regions'!D2844+"n/&gt;!&amp;b$"</f>
        <v>#VALUE!</v>
      </c>
      <c r="BO114" t="e">
        <f>'All regions'!E2844+"n/&gt;!&amp;b%"</f>
        <v>#VALUE!</v>
      </c>
      <c r="BP114" t="e">
        <f>'All regions'!F2844+"n/&gt;!&amp;b&amp;"</f>
        <v>#VALUE!</v>
      </c>
      <c r="BQ114" t="e">
        <f>'All regions'!G2844+"n/&gt;!&amp;b'"</f>
        <v>#VALUE!</v>
      </c>
      <c r="BR114" t="e">
        <f>'All regions'!H2844+"n/&gt;!&amp;b("</f>
        <v>#VALUE!</v>
      </c>
      <c r="BS114" t="e">
        <f>'All regions'!I2844+"n/&gt;!&amp;b)"</f>
        <v>#VALUE!</v>
      </c>
      <c r="BT114" t="e">
        <f>'All regions'!J2844+"n/&gt;!&amp;b."</f>
        <v>#VALUE!</v>
      </c>
      <c r="BU114" t="e">
        <f>'All regions'!A2845+"n/&gt;!&amp;b/"</f>
        <v>#VALUE!</v>
      </c>
      <c r="BV114" t="e">
        <f>'All regions'!B2845+"n/&gt;!&amp;b0"</f>
        <v>#VALUE!</v>
      </c>
      <c r="BW114" t="e">
        <f>'All regions'!C2845+"n/&gt;!&amp;b1"</f>
        <v>#VALUE!</v>
      </c>
      <c r="BX114" t="e">
        <f>'All regions'!D2845+"n/&gt;!&amp;b2"</f>
        <v>#VALUE!</v>
      </c>
      <c r="BY114" t="e">
        <f>'All regions'!E2845+"n/&gt;!&amp;b3"</f>
        <v>#VALUE!</v>
      </c>
      <c r="BZ114" t="e">
        <f>'All regions'!F2845+"n/&gt;!&amp;b4"</f>
        <v>#VALUE!</v>
      </c>
      <c r="CA114" t="e">
        <f>'All regions'!G2845+"n/&gt;!&amp;b5"</f>
        <v>#VALUE!</v>
      </c>
      <c r="CB114" t="e">
        <f>'All regions'!H2845+"n/&gt;!&amp;b6"</f>
        <v>#VALUE!</v>
      </c>
      <c r="CC114" t="e">
        <f>'All regions'!I2845+"n/&gt;!&amp;b7"</f>
        <v>#VALUE!</v>
      </c>
      <c r="CD114" t="e">
        <f>'All regions'!J2845+"n/&gt;!&amp;b8"</f>
        <v>#VALUE!</v>
      </c>
      <c r="CE114" t="e">
        <f>'All regions'!A2846+"n/&gt;!&amp;b9"</f>
        <v>#VALUE!</v>
      </c>
      <c r="CF114" t="e">
        <f>'All regions'!B2846+"n/&gt;!&amp;b:"</f>
        <v>#VALUE!</v>
      </c>
      <c r="CG114" t="e">
        <f>'All regions'!C2846+"n/&gt;!&amp;b;"</f>
        <v>#VALUE!</v>
      </c>
      <c r="CH114" t="e">
        <f>'All regions'!D2846+"n/&gt;!&amp;b&lt;"</f>
        <v>#VALUE!</v>
      </c>
      <c r="CI114" t="e">
        <f>'All regions'!E2846+"n/&gt;!&amp;b="</f>
        <v>#VALUE!</v>
      </c>
      <c r="CJ114" t="e">
        <f>'All regions'!F2846+"n/&gt;!&amp;b&gt;"</f>
        <v>#VALUE!</v>
      </c>
      <c r="CK114" t="e">
        <f>'All regions'!G2846+"n/&gt;!&amp;b?"</f>
        <v>#VALUE!</v>
      </c>
      <c r="CL114" t="e">
        <f>'All regions'!H2846+"n/&gt;!&amp;b@"</f>
        <v>#VALUE!</v>
      </c>
      <c r="CM114" t="e">
        <f>'All regions'!I2846+"n/&gt;!&amp;bA"</f>
        <v>#VALUE!</v>
      </c>
      <c r="CN114" t="e">
        <f>'All regions'!J2846+"n/&gt;!&amp;bB"</f>
        <v>#VALUE!</v>
      </c>
      <c r="CO114" t="e">
        <f>'All regions'!A2847+"n/&gt;!&amp;bC"</f>
        <v>#VALUE!</v>
      </c>
      <c r="CP114" t="e">
        <f>'All regions'!B2847+"n/&gt;!&amp;bD"</f>
        <v>#VALUE!</v>
      </c>
      <c r="CQ114" t="e">
        <f>'All regions'!C2847+"n/&gt;!&amp;bE"</f>
        <v>#VALUE!</v>
      </c>
      <c r="CR114" t="e">
        <f>'All regions'!D2847+"n/&gt;!&amp;bF"</f>
        <v>#VALUE!</v>
      </c>
      <c r="CS114" t="e">
        <f>'All regions'!E2847+"n/&gt;!&amp;bG"</f>
        <v>#VALUE!</v>
      </c>
      <c r="CT114" t="e">
        <f>'All regions'!F2847+"n/&gt;!&amp;bH"</f>
        <v>#VALUE!</v>
      </c>
      <c r="CU114" t="e">
        <f>'All regions'!G2847+"n/&gt;!&amp;bI"</f>
        <v>#VALUE!</v>
      </c>
      <c r="CV114" t="e">
        <f>'All regions'!H2847+"n/&gt;!&amp;bJ"</f>
        <v>#VALUE!</v>
      </c>
      <c r="CW114" t="e">
        <f>'All regions'!I2847+"n/&gt;!&amp;bK"</f>
        <v>#VALUE!</v>
      </c>
      <c r="CX114" t="e">
        <f>'All regions'!J2847+"n/&gt;!&amp;bL"</f>
        <v>#VALUE!</v>
      </c>
      <c r="CY114" t="e">
        <f>'All regions'!A2848+"n/&gt;!&amp;bM"</f>
        <v>#VALUE!</v>
      </c>
      <c r="CZ114" t="e">
        <f>'All regions'!B2848+"n/&gt;!&amp;bN"</f>
        <v>#VALUE!</v>
      </c>
      <c r="DA114" t="e">
        <f>'All regions'!C2848+"n/&gt;!&amp;bO"</f>
        <v>#VALUE!</v>
      </c>
      <c r="DB114" t="e">
        <f>'All regions'!D2848+"n/&gt;!&amp;bP"</f>
        <v>#VALUE!</v>
      </c>
      <c r="DC114" t="e">
        <f>'All regions'!E2848+"n/&gt;!&amp;bQ"</f>
        <v>#VALUE!</v>
      </c>
      <c r="DD114" t="e">
        <f>'All regions'!F2848+"n/&gt;!&amp;bR"</f>
        <v>#VALUE!</v>
      </c>
      <c r="DE114" t="e">
        <f>'All regions'!G2848+"n/&gt;!&amp;bS"</f>
        <v>#VALUE!</v>
      </c>
      <c r="DF114" t="e">
        <f>'All regions'!H2848+"n/&gt;!&amp;bT"</f>
        <v>#VALUE!</v>
      </c>
      <c r="DG114" t="e">
        <f>'All regions'!I2848+"n/&gt;!&amp;bU"</f>
        <v>#VALUE!</v>
      </c>
      <c r="DH114" t="e">
        <f>'All regions'!J2848+"n/&gt;!&amp;bV"</f>
        <v>#VALUE!</v>
      </c>
      <c r="DI114" t="e">
        <f>'All regions'!A2849+"n/&gt;!&amp;bW"</f>
        <v>#VALUE!</v>
      </c>
      <c r="DJ114" t="e">
        <f>'All regions'!B2849+"n/&gt;!&amp;bX"</f>
        <v>#VALUE!</v>
      </c>
      <c r="DK114" t="e">
        <f>'All regions'!C2849+"n/&gt;!&amp;bY"</f>
        <v>#VALUE!</v>
      </c>
      <c r="DL114" t="e">
        <f>'All regions'!D2849+"n/&gt;!&amp;bZ"</f>
        <v>#VALUE!</v>
      </c>
      <c r="DM114" t="e">
        <f>'All regions'!E2849+"n/&gt;!&amp;b["</f>
        <v>#VALUE!</v>
      </c>
      <c r="DN114" t="e">
        <f>'All regions'!F2849+"n/&gt;!&amp;b\"</f>
        <v>#VALUE!</v>
      </c>
      <c r="DO114" t="e">
        <f>'All regions'!G2849+"n/&gt;!&amp;b]"</f>
        <v>#VALUE!</v>
      </c>
      <c r="DP114" t="e">
        <f>'All regions'!H2849+"n/&gt;!&amp;b^"</f>
        <v>#VALUE!</v>
      </c>
      <c r="DQ114" t="e">
        <f>'All regions'!I2849+"n/&gt;!&amp;b_"</f>
        <v>#VALUE!</v>
      </c>
      <c r="DR114" t="e">
        <f>'All regions'!J2849+"n/&gt;!&amp;b`"</f>
        <v>#VALUE!</v>
      </c>
      <c r="DS114" t="e">
        <f>'All regions'!A2850+"n/&gt;!&amp;ba"</f>
        <v>#VALUE!</v>
      </c>
      <c r="DT114" t="e">
        <f>'All regions'!B2850+"n/&gt;!&amp;bb"</f>
        <v>#VALUE!</v>
      </c>
      <c r="DU114" t="e">
        <f>'All regions'!C2850+"n/&gt;!&amp;bc"</f>
        <v>#VALUE!</v>
      </c>
      <c r="DV114" t="e">
        <f>'All regions'!D2850+"n/&gt;!&amp;bd"</f>
        <v>#VALUE!</v>
      </c>
      <c r="DW114" t="e">
        <f>'All regions'!E2850+"n/&gt;!&amp;be"</f>
        <v>#VALUE!</v>
      </c>
      <c r="DX114" t="e">
        <f>'All regions'!F2850+"n/&gt;!&amp;bf"</f>
        <v>#VALUE!</v>
      </c>
      <c r="DY114" t="e">
        <f>'All regions'!G2850+"n/&gt;!&amp;bg"</f>
        <v>#VALUE!</v>
      </c>
      <c r="DZ114" t="e">
        <f>'All regions'!H2850+"n/&gt;!&amp;bh"</f>
        <v>#VALUE!</v>
      </c>
      <c r="EA114" t="e">
        <f>'All regions'!I2850+"n/&gt;!&amp;bi"</f>
        <v>#VALUE!</v>
      </c>
      <c r="EB114" t="e">
        <f>'All regions'!J2850+"n/&gt;!&amp;bj"</f>
        <v>#VALUE!</v>
      </c>
      <c r="EC114" t="e">
        <f>'All regions'!A2851+"n/&gt;!&amp;bk"</f>
        <v>#VALUE!</v>
      </c>
      <c r="ED114" t="e">
        <f>'All regions'!B2851+"n/&gt;!&amp;bl"</f>
        <v>#VALUE!</v>
      </c>
      <c r="EE114" t="e">
        <f>'All regions'!C2851+"n/&gt;!&amp;bm"</f>
        <v>#VALUE!</v>
      </c>
      <c r="EF114" t="e">
        <f>'All regions'!D2851+"n/&gt;!&amp;bn"</f>
        <v>#VALUE!</v>
      </c>
      <c r="EG114" t="e">
        <f>'All regions'!E2851+"n/&gt;!&amp;bo"</f>
        <v>#VALUE!</v>
      </c>
      <c r="EH114" t="e">
        <f>'All regions'!F2851+"n/&gt;!&amp;bp"</f>
        <v>#VALUE!</v>
      </c>
      <c r="EI114" t="e">
        <f>'All regions'!G2851+"n/&gt;!&amp;bq"</f>
        <v>#VALUE!</v>
      </c>
      <c r="EJ114" t="e">
        <f>'All regions'!H2851+"n/&gt;!&amp;br"</f>
        <v>#VALUE!</v>
      </c>
      <c r="EK114" t="e">
        <f>'All regions'!I2851+"n/&gt;!&amp;bs"</f>
        <v>#VALUE!</v>
      </c>
      <c r="EL114" t="e">
        <f>'All regions'!J2851+"n/&gt;!&amp;bt"</f>
        <v>#VALUE!</v>
      </c>
      <c r="EM114" t="e">
        <f>'All regions'!A2852+"n/&gt;!&amp;bu"</f>
        <v>#VALUE!</v>
      </c>
      <c r="EN114" t="e">
        <f>'All regions'!B2852+"n/&gt;!&amp;bv"</f>
        <v>#VALUE!</v>
      </c>
      <c r="EO114" t="e">
        <f>'All regions'!C2852+"n/&gt;!&amp;bw"</f>
        <v>#VALUE!</v>
      </c>
      <c r="EP114" t="e">
        <f>'All regions'!D2852+"n/&gt;!&amp;bx"</f>
        <v>#VALUE!</v>
      </c>
      <c r="EQ114" t="e">
        <f>'All regions'!E2852+"n/&gt;!&amp;by"</f>
        <v>#VALUE!</v>
      </c>
      <c r="ER114" t="e">
        <f>'All regions'!F2852+"n/&gt;!&amp;bz"</f>
        <v>#VALUE!</v>
      </c>
      <c r="ES114" t="e">
        <f>'All regions'!G2852+"n/&gt;!&amp;b{"</f>
        <v>#VALUE!</v>
      </c>
      <c r="ET114" t="e">
        <f>'All regions'!H2852+"n/&gt;!&amp;b|"</f>
        <v>#VALUE!</v>
      </c>
      <c r="EU114" t="e">
        <f>'All regions'!I2852+"n/&gt;!&amp;b}"</f>
        <v>#VALUE!</v>
      </c>
      <c r="EV114" t="e">
        <f>'All regions'!J2852+"n/&gt;!&amp;b~"</f>
        <v>#VALUE!</v>
      </c>
      <c r="EW114" t="e">
        <f>'All regions'!A2853+"n/&gt;!&amp;c#"</f>
        <v>#VALUE!</v>
      </c>
      <c r="EX114" t="e">
        <f>'All regions'!B2853+"n/&gt;!&amp;c$"</f>
        <v>#VALUE!</v>
      </c>
      <c r="EY114" t="e">
        <f>'All regions'!C2853+"n/&gt;!&amp;c%"</f>
        <v>#VALUE!</v>
      </c>
      <c r="EZ114" t="e">
        <f>'All regions'!D2853+"n/&gt;!&amp;c&amp;"</f>
        <v>#VALUE!</v>
      </c>
      <c r="FA114" t="e">
        <f>'All regions'!E2853+"n/&gt;!&amp;c'"</f>
        <v>#VALUE!</v>
      </c>
      <c r="FB114" t="e">
        <f>'All regions'!F2853+"n/&gt;!&amp;c("</f>
        <v>#VALUE!</v>
      </c>
      <c r="FC114" t="e">
        <f>'All regions'!G2853+"n/&gt;!&amp;c)"</f>
        <v>#VALUE!</v>
      </c>
      <c r="FD114" t="e">
        <f>'All regions'!H2853+"n/&gt;!&amp;c."</f>
        <v>#VALUE!</v>
      </c>
      <c r="FE114" t="e">
        <f>'All regions'!I2853+"n/&gt;!&amp;c/"</f>
        <v>#VALUE!</v>
      </c>
      <c r="FF114" t="e">
        <f>'All regions'!J2853+"n/&gt;!&amp;c0"</f>
        <v>#VALUE!</v>
      </c>
      <c r="FG114" t="e">
        <f>'All regions'!A2854+"n/&gt;!&amp;c1"</f>
        <v>#VALUE!</v>
      </c>
      <c r="FH114" t="e">
        <f>'All regions'!B2854+"n/&gt;!&amp;c2"</f>
        <v>#VALUE!</v>
      </c>
      <c r="FI114" t="e">
        <f>'All regions'!C2854+"n/&gt;!&amp;c3"</f>
        <v>#VALUE!</v>
      </c>
      <c r="FJ114" t="e">
        <f>'All regions'!D2854+"n/&gt;!&amp;c4"</f>
        <v>#VALUE!</v>
      </c>
      <c r="FK114" t="e">
        <f>'All regions'!E2854+"n/&gt;!&amp;c5"</f>
        <v>#VALUE!</v>
      </c>
      <c r="FL114" t="e">
        <f>'All regions'!F2854+"n/&gt;!&amp;c6"</f>
        <v>#VALUE!</v>
      </c>
      <c r="FM114" t="e">
        <f>'All regions'!G2854+"n/&gt;!&amp;c7"</f>
        <v>#VALUE!</v>
      </c>
      <c r="FN114" t="e">
        <f>'All regions'!H2854+"n/&gt;!&amp;c8"</f>
        <v>#VALUE!</v>
      </c>
      <c r="FO114" t="e">
        <f>'All regions'!I2854+"n/&gt;!&amp;c9"</f>
        <v>#VALUE!</v>
      </c>
      <c r="FP114" t="e">
        <f>'All regions'!J2854+"n/&gt;!&amp;c:"</f>
        <v>#VALUE!</v>
      </c>
      <c r="FQ114" t="e">
        <f>'All regions'!A2855+"n/&gt;!&amp;c;"</f>
        <v>#VALUE!</v>
      </c>
      <c r="FR114" t="e">
        <f>'All regions'!B2855+"n/&gt;!&amp;c&lt;"</f>
        <v>#VALUE!</v>
      </c>
      <c r="FS114" t="e">
        <f>'All regions'!C2855+"n/&gt;!&amp;c="</f>
        <v>#VALUE!</v>
      </c>
      <c r="FT114" t="e">
        <f>'All regions'!D2855+"n/&gt;!&amp;c&gt;"</f>
        <v>#VALUE!</v>
      </c>
      <c r="FU114" t="e">
        <f>'All regions'!E2855+"n/&gt;!&amp;c?"</f>
        <v>#VALUE!</v>
      </c>
      <c r="FV114" t="e">
        <f>'All regions'!F2855+"n/&gt;!&amp;c@"</f>
        <v>#VALUE!</v>
      </c>
      <c r="FW114" t="e">
        <f>'All regions'!G2855+"n/&gt;!&amp;cA"</f>
        <v>#VALUE!</v>
      </c>
      <c r="FX114" t="e">
        <f>'All regions'!H2855+"n/&gt;!&amp;cB"</f>
        <v>#VALUE!</v>
      </c>
      <c r="FY114" t="e">
        <f>'All regions'!I2855+"n/&gt;!&amp;cC"</f>
        <v>#VALUE!</v>
      </c>
      <c r="FZ114" t="e">
        <f>'All regions'!J2855+"n/&gt;!&amp;cD"</f>
        <v>#VALUE!</v>
      </c>
      <c r="GA114" t="e">
        <f>'All regions'!A2856+"n/&gt;!&amp;cE"</f>
        <v>#VALUE!</v>
      </c>
      <c r="GB114" t="e">
        <f>'All regions'!B2856+"n/&gt;!&amp;cF"</f>
        <v>#VALUE!</v>
      </c>
      <c r="GC114" t="e">
        <f>'All regions'!C2856+"n/&gt;!&amp;cG"</f>
        <v>#VALUE!</v>
      </c>
      <c r="GD114" t="e">
        <f>'All regions'!D2856+"n/&gt;!&amp;cH"</f>
        <v>#VALUE!</v>
      </c>
      <c r="GE114" t="e">
        <f>'All regions'!E2856+"n/&gt;!&amp;cI"</f>
        <v>#VALUE!</v>
      </c>
      <c r="GF114" t="e">
        <f>'All regions'!F2856+"n/&gt;!&amp;cJ"</f>
        <v>#VALUE!</v>
      </c>
      <c r="GG114" t="e">
        <f>'All regions'!G2856+"n/&gt;!&amp;cK"</f>
        <v>#VALUE!</v>
      </c>
      <c r="GH114" t="e">
        <f>'All regions'!H2856+"n/&gt;!&amp;cL"</f>
        <v>#VALUE!</v>
      </c>
      <c r="GI114" t="e">
        <f>'All regions'!I2856+"n/&gt;!&amp;cM"</f>
        <v>#VALUE!</v>
      </c>
      <c r="GJ114" t="e">
        <f>'All regions'!J2856+"n/&gt;!&amp;cN"</f>
        <v>#VALUE!</v>
      </c>
      <c r="GK114" t="e">
        <f>'All regions'!A2857+"n/&gt;!&amp;cO"</f>
        <v>#VALUE!</v>
      </c>
      <c r="GL114" t="e">
        <f>'All regions'!B2857+"n/&gt;!&amp;cP"</f>
        <v>#VALUE!</v>
      </c>
      <c r="GM114" t="e">
        <f>'All regions'!C2857+"n/&gt;!&amp;cQ"</f>
        <v>#VALUE!</v>
      </c>
      <c r="GN114" t="e">
        <f>'All regions'!D2857+"n/&gt;!&amp;cR"</f>
        <v>#VALUE!</v>
      </c>
      <c r="GO114" t="e">
        <f>'All regions'!E2857+"n/&gt;!&amp;cS"</f>
        <v>#VALUE!</v>
      </c>
      <c r="GP114" t="e">
        <f>'All regions'!F2857+"n/&gt;!&amp;cT"</f>
        <v>#VALUE!</v>
      </c>
      <c r="GQ114" t="e">
        <f>'All regions'!G2857+"n/&gt;!&amp;cU"</f>
        <v>#VALUE!</v>
      </c>
      <c r="GR114" t="e">
        <f>'All regions'!H2857+"n/&gt;!&amp;cV"</f>
        <v>#VALUE!</v>
      </c>
      <c r="GS114" t="e">
        <f>'All regions'!I2857+"n/&gt;!&amp;cW"</f>
        <v>#VALUE!</v>
      </c>
      <c r="GT114" t="e">
        <f>'All regions'!J2857+"n/&gt;!&amp;cX"</f>
        <v>#VALUE!</v>
      </c>
      <c r="GU114" t="e">
        <f>'All regions'!A2858+"n/&gt;!&amp;cY"</f>
        <v>#VALUE!</v>
      </c>
      <c r="GV114" t="e">
        <f>'All regions'!B2858+"n/&gt;!&amp;cZ"</f>
        <v>#VALUE!</v>
      </c>
      <c r="GW114" t="e">
        <f>'All regions'!C2858+"n/&gt;!&amp;c["</f>
        <v>#VALUE!</v>
      </c>
      <c r="GX114" t="e">
        <f>'All regions'!D2858+"n/&gt;!&amp;c\"</f>
        <v>#VALUE!</v>
      </c>
      <c r="GY114" t="e">
        <f>'All regions'!E2858+"n/&gt;!&amp;c]"</f>
        <v>#VALUE!</v>
      </c>
      <c r="GZ114" t="e">
        <f>'All regions'!F2858+"n/&gt;!&amp;c^"</f>
        <v>#VALUE!</v>
      </c>
      <c r="HA114" t="e">
        <f>'All regions'!G2858+"n/&gt;!&amp;c_"</f>
        <v>#VALUE!</v>
      </c>
      <c r="HB114" t="e">
        <f>'All regions'!H2858+"n/&gt;!&amp;c`"</f>
        <v>#VALUE!</v>
      </c>
      <c r="HC114" t="e">
        <f>'All regions'!I2858+"n/&gt;!&amp;ca"</f>
        <v>#VALUE!</v>
      </c>
      <c r="HD114" t="e">
        <f>'All regions'!J2858+"n/&gt;!&amp;cb"</f>
        <v>#VALUE!</v>
      </c>
      <c r="HE114" t="e">
        <f>'All regions'!A2859+"n/&gt;!&amp;cc"</f>
        <v>#VALUE!</v>
      </c>
      <c r="HF114" t="e">
        <f>'All regions'!B2859+"n/&gt;!&amp;cd"</f>
        <v>#VALUE!</v>
      </c>
      <c r="HG114" t="e">
        <f>'All regions'!C2859+"n/&gt;!&amp;ce"</f>
        <v>#VALUE!</v>
      </c>
      <c r="HH114" t="e">
        <f>'All regions'!D2859+"n/&gt;!&amp;cf"</f>
        <v>#VALUE!</v>
      </c>
      <c r="HI114" t="e">
        <f>'All regions'!E2859+"n/&gt;!&amp;cg"</f>
        <v>#VALUE!</v>
      </c>
      <c r="HJ114" t="e">
        <f>'All regions'!F2859+"n/&gt;!&amp;ch"</f>
        <v>#VALUE!</v>
      </c>
      <c r="HK114" t="e">
        <f>'All regions'!G2859+"n/&gt;!&amp;ci"</f>
        <v>#VALUE!</v>
      </c>
      <c r="HL114" t="e">
        <f>'All regions'!H2859+"n/&gt;!&amp;cj"</f>
        <v>#VALUE!</v>
      </c>
      <c r="HM114" t="e">
        <f>'All regions'!I2859+"n/&gt;!&amp;ck"</f>
        <v>#VALUE!</v>
      </c>
      <c r="HN114" t="e">
        <f>'All regions'!J2859+"n/&gt;!&amp;cl"</f>
        <v>#VALUE!</v>
      </c>
      <c r="HO114" t="e">
        <f>'All regions'!A2860+"n/&gt;!&amp;cm"</f>
        <v>#VALUE!</v>
      </c>
      <c r="HP114" t="e">
        <f>'All regions'!B2860+"n/&gt;!&amp;cn"</f>
        <v>#VALUE!</v>
      </c>
      <c r="HQ114" t="e">
        <f>'All regions'!C2860+"n/&gt;!&amp;co"</f>
        <v>#VALUE!</v>
      </c>
      <c r="HR114" t="e">
        <f>'All regions'!D2860+"n/&gt;!&amp;cp"</f>
        <v>#VALUE!</v>
      </c>
      <c r="HS114" t="e">
        <f>'All regions'!E2860+"n/&gt;!&amp;cq"</f>
        <v>#VALUE!</v>
      </c>
      <c r="HT114" t="e">
        <f>'All regions'!F2860+"n/&gt;!&amp;cr"</f>
        <v>#VALUE!</v>
      </c>
      <c r="HU114" t="e">
        <f>'All regions'!G2860+"n/&gt;!&amp;cs"</f>
        <v>#VALUE!</v>
      </c>
      <c r="HV114" t="e">
        <f>'All regions'!H2860+"n/&gt;!&amp;ct"</f>
        <v>#VALUE!</v>
      </c>
      <c r="HW114" t="e">
        <f>'All regions'!I2860+"n/&gt;!&amp;cu"</f>
        <v>#VALUE!</v>
      </c>
      <c r="HX114" t="e">
        <f>'All regions'!J2860+"n/&gt;!&amp;cv"</f>
        <v>#VALUE!</v>
      </c>
      <c r="HY114" t="e">
        <f>'All regions'!A2861+"n/&gt;!&amp;cw"</f>
        <v>#VALUE!</v>
      </c>
      <c r="HZ114" t="e">
        <f>'All regions'!B2861+"n/&gt;!&amp;cx"</f>
        <v>#VALUE!</v>
      </c>
      <c r="IA114" t="e">
        <f>'All regions'!C2861+"n/&gt;!&amp;cy"</f>
        <v>#VALUE!</v>
      </c>
      <c r="IB114" t="e">
        <f>'All regions'!D2861+"n/&gt;!&amp;cz"</f>
        <v>#VALUE!</v>
      </c>
      <c r="IC114" t="e">
        <f>'All regions'!E2861+"n/&gt;!&amp;c{"</f>
        <v>#VALUE!</v>
      </c>
      <c r="ID114" t="e">
        <f>'All regions'!F2861+"n/&gt;!&amp;c|"</f>
        <v>#VALUE!</v>
      </c>
      <c r="IE114" t="e">
        <f>'All regions'!G2861+"n/&gt;!&amp;c}"</f>
        <v>#VALUE!</v>
      </c>
      <c r="IF114" t="e">
        <f>'All regions'!H2861+"n/&gt;!&amp;c~"</f>
        <v>#VALUE!</v>
      </c>
      <c r="IG114" t="e">
        <f>'All regions'!I2861+"n/&gt;!&amp;d#"</f>
        <v>#VALUE!</v>
      </c>
      <c r="IH114" t="e">
        <f>'All regions'!J2861+"n/&gt;!&amp;d$"</f>
        <v>#VALUE!</v>
      </c>
      <c r="II114" t="e">
        <f>'All regions'!A2862+"n/&gt;!&amp;d%"</f>
        <v>#VALUE!</v>
      </c>
      <c r="IJ114" t="e">
        <f>'All regions'!B2862+"n/&gt;!&amp;d&amp;"</f>
        <v>#VALUE!</v>
      </c>
      <c r="IK114" t="e">
        <f>'All regions'!C2862+"n/&gt;!&amp;d'"</f>
        <v>#VALUE!</v>
      </c>
      <c r="IL114" t="e">
        <f>'All regions'!D2862+"n/&gt;!&amp;d("</f>
        <v>#VALUE!</v>
      </c>
      <c r="IM114" t="e">
        <f>'All regions'!E2862+"n/&gt;!&amp;d)"</f>
        <v>#VALUE!</v>
      </c>
      <c r="IN114" t="e">
        <f>'All regions'!F2862+"n/&gt;!&amp;d."</f>
        <v>#VALUE!</v>
      </c>
      <c r="IO114" t="e">
        <f>'All regions'!G2862+"n/&gt;!&amp;d/"</f>
        <v>#VALUE!</v>
      </c>
      <c r="IP114" t="e">
        <f>'All regions'!H2862+"n/&gt;!&amp;d0"</f>
        <v>#VALUE!</v>
      </c>
      <c r="IQ114" t="e">
        <f>'All regions'!I2862+"n/&gt;!&amp;d1"</f>
        <v>#VALUE!</v>
      </c>
      <c r="IR114" t="e">
        <f>'All regions'!J2862+"n/&gt;!&amp;d2"</f>
        <v>#VALUE!</v>
      </c>
      <c r="IS114" t="e">
        <f>'All regions'!A2863+"n/&gt;!&amp;d3"</f>
        <v>#VALUE!</v>
      </c>
      <c r="IT114" t="e">
        <f>'All regions'!B2863+"n/&gt;!&amp;d4"</f>
        <v>#VALUE!</v>
      </c>
      <c r="IU114" t="e">
        <f>'All regions'!C2863+"n/&gt;!&amp;d5"</f>
        <v>#VALUE!</v>
      </c>
      <c r="IV114" t="e">
        <f>'All regions'!D2863+"n/&gt;!&amp;d6"</f>
        <v>#VALUE!</v>
      </c>
    </row>
    <row r="115" spans="6:256" x14ac:dyDescent="0.35">
      <c r="F115" t="e">
        <f>'All regions'!E2863+"n/&gt;!&amp;d7"</f>
        <v>#VALUE!</v>
      </c>
      <c r="G115" t="e">
        <f>'All regions'!F2863+"n/&gt;!&amp;d8"</f>
        <v>#VALUE!</v>
      </c>
      <c r="H115" t="e">
        <f>'All regions'!G2863+"n/&gt;!&amp;d9"</f>
        <v>#VALUE!</v>
      </c>
      <c r="I115" t="e">
        <f>'All regions'!H2863+"n/&gt;!&amp;d:"</f>
        <v>#VALUE!</v>
      </c>
      <c r="J115" t="e">
        <f>'All regions'!I2863+"n/&gt;!&amp;d;"</f>
        <v>#VALUE!</v>
      </c>
      <c r="K115" t="e">
        <f>'All regions'!J2863+"n/&gt;!&amp;d&lt;"</f>
        <v>#VALUE!</v>
      </c>
      <c r="L115" t="e">
        <f>'All regions'!A2864+"n/&gt;!&amp;d="</f>
        <v>#VALUE!</v>
      </c>
      <c r="M115" t="e">
        <f>'All regions'!B2864+"n/&gt;!&amp;d&gt;"</f>
        <v>#VALUE!</v>
      </c>
      <c r="N115" t="e">
        <f>'All regions'!C2864+"n/&gt;!&amp;d?"</f>
        <v>#VALUE!</v>
      </c>
      <c r="O115" t="e">
        <f>'All regions'!D2864+"n/&gt;!&amp;d@"</f>
        <v>#VALUE!</v>
      </c>
      <c r="P115" t="e">
        <f>'All regions'!E2864+"n/&gt;!&amp;dA"</f>
        <v>#VALUE!</v>
      </c>
      <c r="Q115" t="e">
        <f>'All regions'!F2864+"n/&gt;!&amp;dB"</f>
        <v>#VALUE!</v>
      </c>
      <c r="R115" t="e">
        <f>'All regions'!G2864+"n/&gt;!&amp;dC"</f>
        <v>#VALUE!</v>
      </c>
      <c r="S115" t="e">
        <f>'All regions'!H2864+"n/&gt;!&amp;dD"</f>
        <v>#VALUE!</v>
      </c>
      <c r="T115" t="e">
        <f>'All regions'!I2864+"n/&gt;!&amp;dE"</f>
        <v>#VALUE!</v>
      </c>
      <c r="U115" t="e">
        <f>'All regions'!J2864+"n/&gt;!&amp;dF"</f>
        <v>#VALUE!</v>
      </c>
      <c r="V115" t="e">
        <f>'All regions'!A2865+"n/&gt;!&amp;dG"</f>
        <v>#VALUE!</v>
      </c>
      <c r="W115" t="e">
        <f>'All regions'!B2865+"n/&gt;!&amp;dH"</f>
        <v>#VALUE!</v>
      </c>
      <c r="X115" t="e">
        <f>'All regions'!C2865+"n/&gt;!&amp;dI"</f>
        <v>#VALUE!</v>
      </c>
      <c r="Y115" t="e">
        <f>'All regions'!D2865+"n/&gt;!&amp;dJ"</f>
        <v>#VALUE!</v>
      </c>
      <c r="Z115" t="e">
        <f>'All regions'!E2865+"n/&gt;!&amp;dK"</f>
        <v>#VALUE!</v>
      </c>
      <c r="AA115" t="e">
        <f>'All regions'!F2865+"n/&gt;!&amp;dL"</f>
        <v>#VALUE!</v>
      </c>
      <c r="AB115" t="e">
        <f>'All regions'!G2865+"n/&gt;!&amp;dM"</f>
        <v>#VALUE!</v>
      </c>
      <c r="AC115" t="e">
        <f>'All regions'!H2865+"n/&gt;!&amp;dN"</f>
        <v>#VALUE!</v>
      </c>
      <c r="AD115" t="e">
        <f>'All regions'!I2865+"n/&gt;!&amp;dO"</f>
        <v>#VALUE!</v>
      </c>
      <c r="AE115" t="e">
        <f>'All regions'!J2865+"n/&gt;!&amp;dP"</f>
        <v>#VALUE!</v>
      </c>
      <c r="AF115" t="e">
        <f>'All regions'!A2866+"n/&gt;!&amp;dQ"</f>
        <v>#VALUE!</v>
      </c>
      <c r="AG115" t="e">
        <f>'All regions'!B2866+"n/&gt;!&amp;dR"</f>
        <v>#VALUE!</v>
      </c>
      <c r="AH115" t="e">
        <f>'All regions'!C2866+"n/&gt;!&amp;dS"</f>
        <v>#VALUE!</v>
      </c>
      <c r="AI115" t="e">
        <f>'All regions'!D2866+"n/&gt;!&amp;dT"</f>
        <v>#VALUE!</v>
      </c>
      <c r="AJ115" t="e">
        <f>'All regions'!E2866+"n/&gt;!&amp;dU"</f>
        <v>#VALUE!</v>
      </c>
      <c r="AK115" t="e">
        <f>'All regions'!F2866+"n/&gt;!&amp;dV"</f>
        <v>#VALUE!</v>
      </c>
      <c r="AL115" t="e">
        <f>'All regions'!G2866+"n/&gt;!&amp;dW"</f>
        <v>#VALUE!</v>
      </c>
      <c r="AM115" t="e">
        <f>'All regions'!H2866+"n/&gt;!&amp;dX"</f>
        <v>#VALUE!</v>
      </c>
      <c r="AN115" t="e">
        <f>'All regions'!I2866+"n/&gt;!&amp;dY"</f>
        <v>#VALUE!</v>
      </c>
      <c r="AO115" t="e">
        <f>'All regions'!J2866+"n/&gt;!&amp;dZ"</f>
        <v>#VALUE!</v>
      </c>
      <c r="AP115" t="e">
        <f>'All regions'!A2867+"n/&gt;!&amp;d["</f>
        <v>#VALUE!</v>
      </c>
      <c r="AQ115" t="e">
        <f>'All regions'!B2867+"n/&gt;!&amp;d\"</f>
        <v>#VALUE!</v>
      </c>
      <c r="AR115" t="e">
        <f>'All regions'!C2867+"n/&gt;!&amp;d]"</f>
        <v>#VALUE!</v>
      </c>
      <c r="AS115" t="e">
        <f>'All regions'!D2867+"n/&gt;!&amp;d^"</f>
        <v>#VALUE!</v>
      </c>
      <c r="AT115" t="e">
        <f>'All regions'!E2867+"n/&gt;!&amp;d_"</f>
        <v>#VALUE!</v>
      </c>
      <c r="AU115" t="e">
        <f>'All regions'!F2867+"n/&gt;!&amp;d`"</f>
        <v>#VALUE!</v>
      </c>
      <c r="AV115" t="e">
        <f>'All regions'!G2867+"n/&gt;!&amp;da"</f>
        <v>#VALUE!</v>
      </c>
      <c r="AW115" t="e">
        <f>'All regions'!H2867+"n/&gt;!&amp;db"</f>
        <v>#VALUE!</v>
      </c>
      <c r="AX115" t="e">
        <f>'All regions'!I2867+"n/&gt;!&amp;dc"</f>
        <v>#VALUE!</v>
      </c>
      <c r="AY115" t="e">
        <f>'All regions'!J2867+"n/&gt;!&amp;dd"</f>
        <v>#VALUE!</v>
      </c>
      <c r="AZ115" t="e">
        <f>'All regions'!A2868+"n/&gt;!&amp;de"</f>
        <v>#VALUE!</v>
      </c>
      <c r="BA115" t="e">
        <f>'All regions'!B2868+"n/&gt;!&amp;df"</f>
        <v>#VALUE!</v>
      </c>
      <c r="BB115" t="e">
        <f>'All regions'!C2868+"n/&gt;!&amp;dg"</f>
        <v>#VALUE!</v>
      </c>
      <c r="BC115" t="e">
        <f>'All regions'!D2868+"n/&gt;!&amp;dh"</f>
        <v>#VALUE!</v>
      </c>
      <c r="BD115" t="e">
        <f>'All regions'!E2868+"n/&gt;!&amp;di"</f>
        <v>#VALUE!</v>
      </c>
      <c r="BE115" t="e">
        <f>'All regions'!F2868+"n/&gt;!&amp;dj"</f>
        <v>#VALUE!</v>
      </c>
      <c r="BF115" t="e">
        <f>'All regions'!G2868+"n/&gt;!&amp;dk"</f>
        <v>#VALUE!</v>
      </c>
      <c r="BG115" t="e">
        <f>'All regions'!H2868+"n/&gt;!&amp;dl"</f>
        <v>#VALUE!</v>
      </c>
      <c r="BH115" t="e">
        <f>'All regions'!I2868+"n/&gt;!&amp;dm"</f>
        <v>#VALUE!</v>
      </c>
      <c r="BI115" t="e">
        <f>'All regions'!J2868+"n/&gt;!&amp;dn"</f>
        <v>#VALUE!</v>
      </c>
      <c r="BJ115" t="e">
        <f>'All regions'!A2869+"n/&gt;!&amp;do"</f>
        <v>#VALUE!</v>
      </c>
      <c r="BK115" t="e">
        <f>'All regions'!B2869+"n/&gt;!&amp;dp"</f>
        <v>#VALUE!</v>
      </c>
      <c r="BL115" t="e">
        <f>'All regions'!C2869+"n/&gt;!&amp;dq"</f>
        <v>#VALUE!</v>
      </c>
      <c r="BM115" t="e">
        <f>'All regions'!D2869+"n/&gt;!&amp;dr"</f>
        <v>#VALUE!</v>
      </c>
      <c r="BN115" t="e">
        <f>'All regions'!E2869+"n/&gt;!&amp;ds"</f>
        <v>#VALUE!</v>
      </c>
      <c r="BO115" t="e">
        <f>'All regions'!F2869+"n/&gt;!&amp;dt"</f>
        <v>#VALUE!</v>
      </c>
      <c r="BP115" t="e">
        <f>'All regions'!G2869+"n/&gt;!&amp;du"</f>
        <v>#VALUE!</v>
      </c>
      <c r="BQ115" t="e">
        <f>'All regions'!H2869+"n/&gt;!&amp;dv"</f>
        <v>#VALUE!</v>
      </c>
      <c r="BR115" t="e">
        <f>'All regions'!I2869+"n/&gt;!&amp;dw"</f>
        <v>#VALUE!</v>
      </c>
      <c r="BS115" t="e">
        <f>'All regions'!J2869+"n/&gt;!&amp;dx"</f>
        <v>#VALUE!</v>
      </c>
      <c r="BT115" t="e">
        <f>'All regions'!A2870+"n/&gt;!&amp;dy"</f>
        <v>#VALUE!</v>
      </c>
      <c r="BU115" t="e">
        <f>'All regions'!B2870+"n/&gt;!&amp;dz"</f>
        <v>#VALUE!</v>
      </c>
      <c r="BV115" t="e">
        <f>'All regions'!C2870+"n/&gt;!&amp;d{"</f>
        <v>#VALUE!</v>
      </c>
      <c r="BW115" t="e">
        <f>'All regions'!D2870+"n/&gt;!&amp;d|"</f>
        <v>#VALUE!</v>
      </c>
      <c r="BX115" t="e">
        <f>'All regions'!E2870+"n/&gt;!&amp;d}"</f>
        <v>#VALUE!</v>
      </c>
      <c r="BY115" t="e">
        <f>'All regions'!F2870+"n/&gt;!&amp;d~"</f>
        <v>#VALUE!</v>
      </c>
      <c r="BZ115" t="e">
        <f>'All regions'!G2870+"n/&gt;!&amp;e#"</f>
        <v>#VALUE!</v>
      </c>
      <c r="CA115" t="e">
        <f>'All regions'!H2870+"n/&gt;!&amp;e$"</f>
        <v>#VALUE!</v>
      </c>
      <c r="CB115" t="e">
        <f>'All regions'!I2870+"n/&gt;!&amp;e%"</f>
        <v>#VALUE!</v>
      </c>
      <c r="CC115" t="e">
        <f>'All regions'!J2870+"n/&gt;!&amp;e&amp;"</f>
        <v>#VALUE!</v>
      </c>
      <c r="CD115" t="e">
        <f>'All regions'!A2871+"n/&gt;!&amp;e'"</f>
        <v>#VALUE!</v>
      </c>
      <c r="CE115" t="e">
        <f>'All regions'!B2871+"n/&gt;!&amp;e("</f>
        <v>#VALUE!</v>
      </c>
      <c r="CF115" t="e">
        <f>'All regions'!C2871+"n/&gt;!&amp;e)"</f>
        <v>#VALUE!</v>
      </c>
      <c r="CG115" t="e">
        <f>'All regions'!D2871+"n/&gt;!&amp;e."</f>
        <v>#VALUE!</v>
      </c>
      <c r="CH115" t="e">
        <f>'All regions'!E2871+"n/&gt;!&amp;e/"</f>
        <v>#VALUE!</v>
      </c>
      <c r="CI115" t="e">
        <f>'All regions'!F2871+"n/&gt;!&amp;e0"</f>
        <v>#VALUE!</v>
      </c>
      <c r="CJ115" t="e">
        <f>'All regions'!G2871+"n/&gt;!&amp;e1"</f>
        <v>#VALUE!</v>
      </c>
      <c r="CK115" t="e">
        <f>'All regions'!H2871+"n/&gt;!&amp;e2"</f>
        <v>#VALUE!</v>
      </c>
      <c r="CL115" t="e">
        <f>'All regions'!I2871+"n/&gt;!&amp;e3"</f>
        <v>#VALUE!</v>
      </c>
      <c r="CM115" t="e">
        <f>'All regions'!J2871+"n/&gt;!&amp;e4"</f>
        <v>#VALUE!</v>
      </c>
      <c r="CN115" t="e">
        <f>'All regions'!A2872+"n/&gt;!&amp;e5"</f>
        <v>#VALUE!</v>
      </c>
      <c r="CO115" t="e">
        <f>'All regions'!B2872+"n/&gt;!&amp;e6"</f>
        <v>#VALUE!</v>
      </c>
      <c r="CP115" t="e">
        <f>'All regions'!C2872+"n/&gt;!&amp;e7"</f>
        <v>#VALUE!</v>
      </c>
      <c r="CQ115" t="e">
        <f>'All regions'!D2872+"n/&gt;!&amp;e8"</f>
        <v>#VALUE!</v>
      </c>
      <c r="CR115" t="e">
        <f>'All regions'!E2872+"n/&gt;!&amp;e9"</f>
        <v>#VALUE!</v>
      </c>
      <c r="CS115" t="e">
        <f>'All regions'!F2872+"n/&gt;!&amp;e:"</f>
        <v>#VALUE!</v>
      </c>
      <c r="CT115" t="e">
        <f>'All regions'!G2872+"n/&gt;!&amp;e;"</f>
        <v>#VALUE!</v>
      </c>
      <c r="CU115" t="e">
        <f>'All regions'!H2872+"n/&gt;!&amp;e&lt;"</f>
        <v>#VALUE!</v>
      </c>
      <c r="CV115" t="e">
        <f>'All regions'!I2872+"n/&gt;!&amp;e="</f>
        <v>#VALUE!</v>
      </c>
      <c r="CW115" t="e">
        <f>'All regions'!J2872+"n/&gt;!&amp;e&gt;"</f>
        <v>#VALUE!</v>
      </c>
      <c r="CX115" t="e">
        <f>'All regions'!A2873+"n/&gt;!&amp;e?"</f>
        <v>#VALUE!</v>
      </c>
      <c r="CY115" t="e">
        <f>'All regions'!B2873+"n/&gt;!&amp;e@"</f>
        <v>#VALUE!</v>
      </c>
      <c r="CZ115" t="e">
        <f>'All regions'!C2873+"n/&gt;!&amp;eA"</f>
        <v>#VALUE!</v>
      </c>
      <c r="DA115" t="e">
        <f>'All regions'!D2873+"n/&gt;!&amp;eB"</f>
        <v>#VALUE!</v>
      </c>
      <c r="DB115" t="e">
        <f>'All regions'!E2873+"n/&gt;!&amp;eC"</f>
        <v>#VALUE!</v>
      </c>
      <c r="DC115" t="e">
        <f>'All regions'!F2873+"n/&gt;!&amp;eD"</f>
        <v>#VALUE!</v>
      </c>
      <c r="DD115" t="e">
        <f>'All regions'!G2873+"n/&gt;!&amp;eE"</f>
        <v>#VALUE!</v>
      </c>
      <c r="DE115" t="e">
        <f>'All regions'!H2873+"n/&gt;!&amp;eF"</f>
        <v>#VALUE!</v>
      </c>
      <c r="DF115" t="e">
        <f>'All regions'!I2873+"n/&gt;!&amp;eG"</f>
        <v>#VALUE!</v>
      </c>
      <c r="DG115" t="e">
        <f>'All regions'!J2873+"n/&gt;!&amp;eH"</f>
        <v>#VALUE!</v>
      </c>
      <c r="DH115" t="e">
        <f>'All regions'!A2874+"n/&gt;!&amp;eI"</f>
        <v>#VALUE!</v>
      </c>
      <c r="DI115" t="e">
        <f>'All regions'!B2874+"n/&gt;!&amp;eJ"</f>
        <v>#VALUE!</v>
      </c>
      <c r="DJ115" t="e">
        <f>'All regions'!C2874+"n/&gt;!&amp;eK"</f>
        <v>#VALUE!</v>
      </c>
      <c r="DK115" t="e">
        <f>'All regions'!D2874+"n/&gt;!&amp;eL"</f>
        <v>#VALUE!</v>
      </c>
      <c r="DL115" t="e">
        <f>'All regions'!E2874+"n/&gt;!&amp;eM"</f>
        <v>#VALUE!</v>
      </c>
      <c r="DM115" t="e">
        <f>'All regions'!F2874+"n/&gt;!&amp;eN"</f>
        <v>#VALUE!</v>
      </c>
      <c r="DN115" t="e">
        <f>'All regions'!G2874+"n/&gt;!&amp;eO"</f>
        <v>#VALUE!</v>
      </c>
      <c r="DO115" t="e">
        <f>'All regions'!H2874+"n/&gt;!&amp;eP"</f>
        <v>#VALUE!</v>
      </c>
      <c r="DP115" t="e">
        <f>'All regions'!I2874+"n/&gt;!&amp;eQ"</f>
        <v>#VALUE!</v>
      </c>
      <c r="DQ115" t="e">
        <f>'All regions'!J2874+"n/&gt;!&amp;eR"</f>
        <v>#VALUE!</v>
      </c>
      <c r="DR115" t="e">
        <f>'All regions'!A2875+"n/&gt;!&amp;eS"</f>
        <v>#VALUE!</v>
      </c>
      <c r="DS115" t="e">
        <f>'All regions'!B2875+"n/&gt;!&amp;eT"</f>
        <v>#VALUE!</v>
      </c>
      <c r="DT115" t="e">
        <f>'All regions'!C2875+"n/&gt;!&amp;eU"</f>
        <v>#VALUE!</v>
      </c>
      <c r="DU115" t="e">
        <f>'All regions'!D2875+"n/&gt;!&amp;eV"</f>
        <v>#VALUE!</v>
      </c>
      <c r="DV115" t="e">
        <f>'All regions'!E2875+"n/&gt;!&amp;eW"</f>
        <v>#VALUE!</v>
      </c>
      <c r="DW115" t="e">
        <f>'All regions'!F2875+"n/&gt;!&amp;eX"</f>
        <v>#VALUE!</v>
      </c>
      <c r="DX115" t="e">
        <f>'All regions'!G2875+"n/&gt;!&amp;eY"</f>
        <v>#VALUE!</v>
      </c>
      <c r="DY115" t="e">
        <f>'All regions'!H2875+"n/&gt;!&amp;eZ"</f>
        <v>#VALUE!</v>
      </c>
      <c r="DZ115" t="e">
        <f>'All regions'!I2875+"n/&gt;!&amp;e["</f>
        <v>#VALUE!</v>
      </c>
      <c r="EA115" t="e">
        <f>'All regions'!J2875+"n/&gt;!&amp;e\"</f>
        <v>#VALUE!</v>
      </c>
      <c r="EB115" t="e">
        <f>'All regions'!A2876+"n/&gt;!&amp;e]"</f>
        <v>#VALUE!</v>
      </c>
      <c r="EC115" t="e">
        <f>'All regions'!B2876+"n/&gt;!&amp;e^"</f>
        <v>#VALUE!</v>
      </c>
      <c r="ED115" t="e">
        <f>'All regions'!C2876+"n/&gt;!&amp;e_"</f>
        <v>#VALUE!</v>
      </c>
      <c r="EE115" t="e">
        <f>'All regions'!D2876+"n/&gt;!&amp;e`"</f>
        <v>#VALUE!</v>
      </c>
      <c r="EF115" t="e">
        <f>'All regions'!E2876+"n/&gt;!&amp;ea"</f>
        <v>#VALUE!</v>
      </c>
      <c r="EG115" t="e">
        <f>'All regions'!F2876+"n/&gt;!&amp;eb"</f>
        <v>#VALUE!</v>
      </c>
      <c r="EH115" t="e">
        <f>'All regions'!G2876+"n/&gt;!&amp;ec"</f>
        <v>#VALUE!</v>
      </c>
      <c r="EI115" t="e">
        <f>'All regions'!H2876+"n/&gt;!&amp;ed"</f>
        <v>#VALUE!</v>
      </c>
      <c r="EJ115" t="e">
        <f>'All regions'!I2876+"n/&gt;!&amp;ee"</f>
        <v>#VALUE!</v>
      </c>
      <c r="EK115" t="e">
        <f>'All regions'!J2876+"n/&gt;!&amp;ef"</f>
        <v>#VALUE!</v>
      </c>
      <c r="EL115" t="e">
        <f>'All regions'!A2877+"n/&gt;!&amp;eg"</f>
        <v>#VALUE!</v>
      </c>
      <c r="EM115" t="e">
        <f>'All regions'!B2877+"n/&gt;!&amp;eh"</f>
        <v>#VALUE!</v>
      </c>
      <c r="EN115" t="e">
        <f>'All regions'!C2877+"n/&gt;!&amp;ei"</f>
        <v>#VALUE!</v>
      </c>
      <c r="EO115" t="e">
        <f>'All regions'!D2877+"n/&gt;!&amp;ej"</f>
        <v>#VALUE!</v>
      </c>
      <c r="EP115" t="e">
        <f>'All regions'!E2877+"n/&gt;!&amp;ek"</f>
        <v>#VALUE!</v>
      </c>
      <c r="EQ115" t="e">
        <f>'All regions'!F2877+"n/&gt;!&amp;el"</f>
        <v>#VALUE!</v>
      </c>
      <c r="ER115" t="e">
        <f>'All regions'!G2877+"n/&gt;!&amp;em"</f>
        <v>#VALUE!</v>
      </c>
      <c r="ES115" t="e">
        <f>'All regions'!H2877+"n/&gt;!&amp;en"</f>
        <v>#VALUE!</v>
      </c>
      <c r="ET115" t="e">
        <f>'All regions'!I2877+"n/&gt;!&amp;eo"</f>
        <v>#VALUE!</v>
      </c>
      <c r="EU115" t="e">
        <f>'All regions'!J2877+"n/&gt;!&amp;ep"</f>
        <v>#VALUE!</v>
      </c>
      <c r="EV115" t="e">
        <f>'All regions'!A2878+"n/&gt;!&amp;eq"</f>
        <v>#VALUE!</v>
      </c>
      <c r="EW115" t="e">
        <f>'All regions'!B2878+"n/&gt;!&amp;er"</f>
        <v>#VALUE!</v>
      </c>
      <c r="EX115" t="e">
        <f>'All regions'!C2878+"n/&gt;!&amp;es"</f>
        <v>#VALUE!</v>
      </c>
      <c r="EY115" t="e">
        <f>'All regions'!D2878+"n/&gt;!&amp;et"</f>
        <v>#VALUE!</v>
      </c>
      <c r="EZ115" t="e">
        <f>'All regions'!E2878+"n/&gt;!&amp;eu"</f>
        <v>#VALUE!</v>
      </c>
      <c r="FA115" t="e">
        <f>'All regions'!F2878+"n/&gt;!&amp;ev"</f>
        <v>#VALUE!</v>
      </c>
      <c r="FB115" t="e">
        <f>'All regions'!G2878+"n/&gt;!&amp;ew"</f>
        <v>#VALUE!</v>
      </c>
      <c r="FC115" t="e">
        <f>'All regions'!H2878+"n/&gt;!&amp;ex"</f>
        <v>#VALUE!</v>
      </c>
      <c r="FD115" t="e">
        <f>'All regions'!I2878+"n/&gt;!&amp;ey"</f>
        <v>#VALUE!</v>
      </c>
      <c r="FE115" t="e">
        <f>'All regions'!J2878+"n/&gt;!&amp;ez"</f>
        <v>#VALUE!</v>
      </c>
      <c r="FF115" t="e">
        <f>'All regions'!A2879+"n/&gt;!&amp;e{"</f>
        <v>#VALUE!</v>
      </c>
      <c r="FG115" t="e">
        <f>'All regions'!B2879+"n/&gt;!&amp;e|"</f>
        <v>#VALUE!</v>
      </c>
      <c r="FH115" t="e">
        <f>'All regions'!C2879+"n/&gt;!&amp;e}"</f>
        <v>#VALUE!</v>
      </c>
      <c r="FI115" t="e">
        <f>'All regions'!D2879+"n/&gt;!&amp;e~"</f>
        <v>#VALUE!</v>
      </c>
      <c r="FJ115" t="e">
        <f>'All regions'!E2879+"n/&gt;!&amp;f#"</f>
        <v>#VALUE!</v>
      </c>
      <c r="FK115" t="e">
        <f>'All regions'!F2879+"n/&gt;!&amp;f$"</f>
        <v>#VALUE!</v>
      </c>
      <c r="FL115" t="e">
        <f>'All regions'!G2879+"n/&gt;!&amp;f%"</f>
        <v>#VALUE!</v>
      </c>
      <c r="FM115" t="e">
        <f>'All regions'!H2879+"n/&gt;!&amp;f&amp;"</f>
        <v>#VALUE!</v>
      </c>
      <c r="FN115" t="e">
        <f>'All regions'!I2879+"n/&gt;!&amp;f'"</f>
        <v>#VALUE!</v>
      </c>
      <c r="FO115" t="e">
        <f>'All regions'!J2879+"n/&gt;!&amp;f("</f>
        <v>#VALUE!</v>
      </c>
      <c r="FP115" t="e">
        <f>'All regions'!A2880+"n/&gt;!&amp;f)"</f>
        <v>#VALUE!</v>
      </c>
      <c r="FQ115" t="e">
        <f>'All regions'!B2880+"n/&gt;!&amp;f."</f>
        <v>#VALUE!</v>
      </c>
      <c r="FR115" t="e">
        <f>'All regions'!C2880+"n/&gt;!&amp;f/"</f>
        <v>#VALUE!</v>
      </c>
      <c r="FS115" t="e">
        <f>'All regions'!D2880+"n/&gt;!&amp;f0"</f>
        <v>#VALUE!</v>
      </c>
      <c r="FT115" t="e">
        <f>'All regions'!E2880+"n/&gt;!&amp;f1"</f>
        <v>#VALUE!</v>
      </c>
      <c r="FU115" t="e">
        <f>'All regions'!F2880+"n/&gt;!&amp;f2"</f>
        <v>#VALUE!</v>
      </c>
      <c r="FV115" t="e">
        <f>'All regions'!G2880+"n/&gt;!&amp;f3"</f>
        <v>#VALUE!</v>
      </c>
      <c r="FW115" t="e">
        <f>'All regions'!H2880+"n/&gt;!&amp;f4"</f>
        <v>#VALUE!</v>
      </c>
      <c r="FX115" t="e">
        <f>'All regions'!I2880+"n/&gt;!&amp;f5"</f>
        <v>#VALUE!</v>
      </c>
      <c r="FY115" t="e">
        <f>'All regions'!J2880+"n/&gt;!&amp;f6"</f>
        <v>#VALUE!</v>
      </c>
      <c r="FZ115" t="e">
        <f>'All regions'!A2881+"n/&gt;!&amp;f7"</f>
        <v>#VALUE!</v>
      </c>
      <c r="GA115" t="e">
        <f>'All regions'!B2881+"n/&gt;!&amp;f8"</f>
        <v>#VALUE!</v>
      </c>
      <c r="GB115" t="e">
        <f>'All regions'!C2881+"n/&gt;!&amp;f9"</f>
        <v>#VALUE!</v>
      </c>
      <c r="GC115" t="e">
        <f>'All regions'!D2881+"n/&gt;!&amp;f:"</f>
        <v>#VALUE!</v>
      </c>
      <c r="GD115" t="e">
        <f>'All regions'!E2881+"n/&gt;!&amp;f;"</f>
        <v>#VALUE!</v>
      </c>
      <c r="GE115" t="e">
        <f>'All regions'!F2881+"n/&gt;!&amp;f&lt;"</f>
        <v>#VALUE!</v>
      </c>
      <c r="GF115" t="e">
        <f>'All regions'!G2881+"n/&gt;!&amp;f="</f>
        <v>#VALUE!</v>
      </c>
      <c r="GG115" t="e">
        <f>'All regions'!H2881+"n/&gt;!&amp;f&gt;"</f>
        <v>#VALUE!</v>
      </c>
      <c r="GH115" t="e">
        <f>'All regions'!I2881+"n/&gt;!&amp;f?"</f>
        <v>#VALUE!</v>
      </c>
      <c r="GI115" t="e">
        <f>'All regions'!J2881+"n/&gt;!&amp;f@"</f>
        <v>#VALUE!</v>
      </c>
      <c r="GJ115" t="e">
        <f>'All regions'!A2882+"n/&gt;!&amp;fA"</f>
        <v>#VALUE!</v>
      </c>
      <c r="GK115" t="e">
        <f>'All regions'!B2882+"n/&gt;!&amp;fB"</f>
        <v>#VALUE!</v>
      </c>
      <c r="GL115" t="e">
        <f>'All regions'!C2882+"n/&gt;!&amp;fC"</f>
        <v>#VALUE!</v>
      </c>
      <c r="GM115" t="e">
        <f>'All regions'!D2882+"n/&gt;!&amp;fD"</f>
        <v>#VALUE!</v>
      </c>
      <c r="GN115" t="e">
        <f>'All regions'!E2882+"n/&gt;!&amp;fE"</f>
        <v>#VALUE!</v>
      </c>
      <c r="GO115" t="e">
        <f>'All regions'!F2882+"n/&gt;!&amp;fF"</f>
        <v>#VALUE!</v>
      </c>
      <c r="GP115" t="e">
        <f>'All regions'!G2882+"n/&gt;!&amp;fG"</f>
        <v>#VALUE!</v>
      </c>
      <c r="GQ115" t="e">
        <f>'All regions'!H2882+"n/&gt;!&amp;fH"</f>
        <v>#VALUE!</v>
      </c>
      <c r="GR115" t="e">
        <f>'All regions'!I2882+"n/&gt;!&amp;fI"</f>
        <v>#VALUE!</v>
      </c>
      <c r="GS115" t="e">
        <f>'All regions'!J2882+"n/&gt;!&amp;fJ"</f>
        <v>#VALUE!</v>
      </c>
      <c r="GT115" t="e">
        <f>'All regions'!A2883+"n/&gt;!&amp;fK"</f>
        <v>#VALUE!</v>
      </c>
      <c r="GU115" t="e">
        <f>'All regions'!B2883+"n/&gt;!&amp;fL"</f>
        <v>#VALUE!</v>
      </c>
      <c r="GV115" t="e">
        <f>'All regions'!C2883+"n/&gt;!&amp;fM"</f>
        <v>#VALUE!</v>
      </c>
      <c r="GW115" t="e">
        <f>'All regions'!D2883+"n/&gt;!&amp;fN"</f>
        <v>#VALUE!</v>
      </c>
      <c r="GX115" t="e">
        <f>'All regions'!E2883+"n/&gt;!&amp;fO"</f>
        <v>#VALUE!</v>
      </c>
      <c r="GY115" t="e">
        <f>'All regions'!F2883+"n/&gt;!&amp;fP"</f>
        <v>#VALUE!</v>
      </c>
      <c r="GZ115" t="e">
        <f>'All regions'!G2883+"n/&gt;!&amp;fQ"</f>
        <v>#VALUE!</v>
      </c>
      <c r="HA115" t="e">
        <f>'All regions'!H2883+"n/&gt;!&amp;fR"</f>
        <v>#VALUE!</v>
      </c>
      <c r="HB115" t="e">
        <f>'All regions'!I2883+"n/&gt;!&amp;fS"</f>
        <v>#VALUE!</v>
      </c>
      <c r="HC115" t="e">
        <f>'All regions'!J2883+"n/&gt;!&amp;fT"</f>
        <v>#VALUE!</v>
      </c>
      <c r="HD115" t="e">
        <f>'All regions'!A2884+"n/&gt;!&amp;fU"</f>
        <v>#VALUE!</v>
      </c>
      <c r="HE115" t="e">
        <f>'All regions'!B2884+"n/&gt;!&amp;fV"</f>
        <v>#VALUE!</v>
      </c>
      <c r="HF115" t="e">
        <f>'All regions'!C2884+"n/&gt;!&amp;fW"</f>
        <v>#VALUE!</v>
      </c>
      <c r="HG115" t="e">
        <f>'All regions'!D2884+"n/&gt;!&amp;fX"</f>
        <v>#VALUE!</v>
      </c>
      <c r="HH115" t="e">
        <f>'All regions'!E2884+"n/&gt;!&amp;fY"</f>
        <v>#VALUE!</v>
      </c>
      <c r="HI115" t="e">
        <f>'All regions'!F2884+"n/&gt;!&amp;fZ"</f>
        <v>#VALUE!</v>
      </c>
      <c r="HJ115" t="e">
        <f>'All regions'!G2884+"n/&gt;!&amp;f["</f>
        <v>#VALUE!</v>
      </c>
      <c r="HK115" t="e">
        <f>'All regions'!H2884+"n/&gt;!&amp;f\"</f>
        <v>#VALUE!</v>
      </c>
      <c r="HL115" t="e">
        <f>'All regions'!I2884+"n/&gt;!&amp;f]"</f>
        <v>#VALUE!</v>
      </c>
      <c r="HM115" t="e">
        <f>'All regions'!J2884+"n/&gt;!&amp;f^"</f>
        <v>#VALUE!</v>
      </c>
      <c r="HN115" t="e">
        <f>'All regions'!A2885+"n/&gt;!&amp;f_"</f>
        <v>#VALUE!</v>
      </c>
      <c r="HO115" t="e">
        <f>'All regions'!B2885+"n/&gt;!&amp;f`"</f>
        <v>#VALUE!</v>
      </c>
      <c r="HP115" t="e">
        <f>'All regions'!C2885+"n/&gt;!&amp;fa"</f>
        <v>#VALUE!</v>
      </c>
      <c r="HQ115" t="e">
        <f>'All regions'!D2885+"n/&gt;!&amp;fb"</f>
        <v>#VALUE!</v>
      </c>
      <c r="HR115" t="e">
        <f>'All regions'!E2885+"n/&gt;!&amp;fc"</f>
        <v>#VALUE!</v>
      </c>
      <c r="HS115" t="e">
        <f>'All regions'!F2885+"n/&gt;!&amp;fd"</f>
        <v>#VALUE!</v>
      </c>
      <c r="HT115" t="e">
        <f>'All regions'!G2885+"n/&gt;!&amp;fe"</f>
        <v>#VALUE!</v>
      </c>
      <c r="HU115" t="e">
        <f>'All regions'!H2885+"n/&gt;!&amp;ff"</f>
        <v>#VALUE!</v>
      </c>
      <c r="HV115" t="e">
        <f>'All regions'!I2885+"n/&gt;!&amp;fg"</f>
        <v>#VALUE!</v>
      </c>
      <c r="HW115" t="e">
        <f>'All regions'!J2885+"n/&gt;!&amp;fh"</f>
        <v>#VALUE!</v>
      </c>
      <c r="HX115" t="e">
        <f>'All regions'!A2886+"n/&gt;!&amp;fi"</f>
        <v>#VALUE!</v>
      </c>
      <c r="HY115" t="e">
        <f>'All regions'!B2886+"n/&gt;!&amp;fj"</f>
        <v>#VALUE!</v>
      </c>
      <c r="HZ115" t="e">
        <f>'All regions'!C2886+"n/&gt;!&amp;fk"</f>
        <v>#VALUE!</v>
      </c>
      <c r="IA115" t="e">
        <f>'All regions'!D2886+"n/&gt;!&amp;fl"</f>
        <v>#VALUE!</v>
      </c>
      <c r="IB115" t="e">
        <f>'All regions'!E2886+"n/&gt;!&amp;fm"</f>
        <v>#VALUE!</v>
      </c>
      <c r="IC115" t="e">
        <f>'All regions'!F2886+"n/&gt;!&amp;fn"</f>
        <v>#VALUE!</v>
      </c>
      <c r="ID115" t="e">
        <f>'All regions'!G2886+"n/&gt;!&amp;fo"</f>
        <v>#VALUE!</v>
      </c>
      <c r="IE115" t="e">
        <f>'All regions'!H2886+"n/&gt;!&amp;fp"</f>
        <v>#VALUE!</v>
      </c>
      <c r="IF115" t="e">
        <f>'All regions'!I2886+"n/&gt;!&amp;fq"</f>
        <v>#VALUE!</v>
      </c>
      <c r="IG115" t="e">
        <f>'All regions'!J2886+"n/&gt;!&amp;fr"</f>
        <v>#VALUE!</v>
      </c>
      <c r="IH115" t="e">
        <f>'All regions'!A2887+"n/&gt;!&amp;fs"</f>
        <v>#VALUE!</v>
      </c>
      <c r="II115" t="e">
        <f>'All regions'!B2887+"n/&gt;!&amp;ft"</f>
        <v>#VALUE!</v>
      </c>
      <c r="IJ115" t="e">
        <f>'All regions'!C2887+"n/&gt;!&amp;fu"</f>
        <v>#VALUE!</v>
      </c>
      <c r="IK115" t="e">
        <f>'All regions'!D2887+"n/&gt;!&amp;fv"</f>
        <v>#VALUE!</v>
      </c>
      <c r="IL115" t="e">
        <f>'All regions'!E2887+"n/&gt;!&amp;fw"</f>
        <v>#VALUE!</v>
      </c>
      <c r="IM115" t="e">
        <f>'All regions'!F2887+"n/&gt;!&amp;fx"</f>
        <v>#VALUE!</v>
      </c>
      <c r="IN115" t="e">
        <f>'All regions'!G2887+"n/&gt;!&amp;fy"</f>
        <v>#VALUE!</v>
      </c>
      <c r="IO115" t="e">
        <f>'All regions'!H2887+"n/&gt;!&amp;fz"</f>
        <v>#VALUE!</v>
      </c>
      <c r="IP115" t="e">
        <f>'All regions'!I2887+"n/&gt;!&amp;f{"</f>
        <v>#VALUE!</v>
      </c>
      <c r="IQ115" t="e">
        <f>'All regions'!J2887+"n/&gt;!&amp;f|"</f>
        <v>#VALUE!</v>
      </c>
      <c r="IR115" t="e">
        <f>'All regions'!A2888+"n/&gt;!&amp;f}"</f>
        <v>#VALUE!</v>
      </c>
      <c r="IS115" t="e">
        <f>'All regions'!B2888+"n/&gt;!&amp;f~"</f>
        <v>#VALUE!</v>
      </c>
      <c r="IT115" t="e">
        <f>'All regions'!C2888+"n/&gt;!&amp;g#"</f>
        <v>#VALUE!</v>
      </c>
      <c r="IU115" t="e">
        <f>'All regions'!D2888+"n/&gt;!&amp;g$"</f>
        <v>#VALUE!</v>
      </c>
      <c r="IV115" t="e">
        <f>'All regions'!E2888+"n/&gt;!&amp;g%"</f>
        <v>#VALUE!</v>
      </c>
    </row>
    <row r="116" spans="6:256" x14ac:dyDescent="0.35">
      <c r="F116" t="e">
        <f>'All regions'!F2888+"n/&gt;!&amp;g&amp;"</f>
        <v>#VALUE!</v>
      </c>
      <c r="G116" t="e">
        <f>'All regions'!G2888+"n/&gt;!&amp;g'"</f>
        <v>#VALUE!</v>
      </c>
      <c r="H116" t="e">
        <f>'All regions'!H2888+"n/&gt;!&amp;g("</f>
        <v>#VALUE!</v>
      </c>
      <c r="I116" t="e">
        <f>'All regions'!I2888+"n/&gt;!&amp;g)"</f>
        <v>#VALUE!</v>
      </c>
      <c r="J116" t="e">
        <f>'All regions'!J2888+"n/&gt;!&amp;g."</f>
        <v>#VALUE!</v>
      </c>
      <c r="K116" t="e">
        <f>'All regions'!A2889+"n/&gt;!&amp;g/"</f>
        <v>#VALUE!</v>
      </c>
      <c r="L116" t="e">
        <f>'All regions'!B2889+"n/&gt;!&amp;g0"</f>
        <v>#VALUE!</v>
      </c>
      <c r="M116" t="e">
        <f>'All regions'!C2889+"n/&gt;!&amp;g1"</f>
        <v>#VALUE!</v>
      </c>
      <c r="N116" t="e">
        <f>'All regions'!D2889+"n/&gt;!&amp;g2"</f>
        <v>#VALUE!</v>
      </c>
      <c r="O116" t="e">
        <f>'All regions'!E2889+"n/&gt;!&amp;g3"</f>
        <v>#VALUE!</v>
      </c>
      <c r="P116" t="e">
        <f>'All regions'!F2889+"n/&gt;!&amp;g4"</f>
        <v>#VALUE!</v>
      </c>
      <c r="Q116" t="e">
        <f>'All regions'!G2889+"n/&gt;!&amp;g5"</f>
        <v>#VALUE!</v>
      </c>
      <c r="R116" t="e">
        <f>'All regions'!H2889+"n/&gt;!&amp;g6"</f>
        <v>#VALUE!</v>
      </c>
      <c r="S116" t="e">
        <f>'All regions'!I2889+"n/&gt;!&amp;g7"</f>
        <v>#VALUE!</v>
      </c>
      <c r="T116" t="e">
        <f>'All regions'!J2889+"n/&gt;!&amp;g8"</f>
        <v>#VALUE!</v>
      </c>
      <c r="U116" t="e">
        <f>'All regions'!A2890+"n/&gt;!&amp;g9"</f>
        <v>#VALUE!</v>
      </c>
      <c r="V116" t="e">
        <f>'All regions'!B2890+"n/&gt;!&amp;g:"</f>
        <v>#VALUE!</v>
      </c>
      <c r="W116" t="e">
        <f>'All regions'!C2890+"n/&gt;!&amp;g;"</f>
        <v>#VALUE!</v>
      </c>
      <c r="X116" t="e">
        <f>'All regions'!D2890+"n/&gt;!&amp;g&lt;"</f>
        <v>#VALUE!</v>
      </c>
      <c r="Y116" t="e">
        <f>'All regions'!E2890+"n/&gt;!&amp;g="</f>
        <v>#VALUE!</v>
      </c>
      <c r="Z116" t="e">
        <f>'All regions'!F2890+"n/&gt;!&amp;g&gt;"</f>
        <v>#VALUE!</v>
      </c>
      <c r="AA116" t="e">
        <f>'All regions'!G2890+"n/&gt;!&amp;g?"</f>
        <v>#VALUE!</v>
      </c>
      <c r="AB116" t="e">
        <f>'All regions'!H2890+"n/&gt;!&amp;g@"</f>
        <v>#VALUE!</v>
      </c>
      <c r="AC116" t="e">
        <f>'All regions'!I2890+"n/&gt;!&amp;gA"</f>
        <v>#VALUE!</v>
      </c>
      <c r="AD116" t="e">
        <f>'All regions'!J2890+"n/&gt;!&amp;gB"</f>
        <v>#VALUE!</v>
      </c>
      <c r="AE116" t="e">
        <f>'All regions'!A2891+"n/&gt;!&amp;gC"</f>
        <v>#VALUE!</v>
      </c>
      <c r="AF116" t="e">
        <f>'All regions'!B2891+"n/&gt;!&amp;gD"</f>
        <v>#VALUE!</v>
      </c>
      <c r="AG116" t="e">
        <f>'All regions'!C2891+"n/&gt;!&amp;gE"</f>
        <v>#VALUE!</v>
      </c>
      <c r="AH116" t="e">
        <f>'All regions'!D2891+"n/&gt;!&amp;gF"</f>
        <v>#VALUE!</v>
      </c>
      <c r="AI116" t="e">
        <f>'All regions'!E2891+"n/&gt;!&amp;gG"</f>
        <v>#VALUE!</v>
      </c>
      <c r="AJ116" t="e">
        <f>'All regions'!F2891+"n/&gt;!&amp;gH"</f>
        <v>#VALUE!</v>
      </c>
      <c r="AK116" t="e">
        <f>'All regions'!G2891+"n/&gt;!&amp;gI"</f>
        <v>#VALUE!</v>
      </c>
      <c r="AL116" t="e">
        <f>'All regions'!H2891+"n/&gt;!&amp;gJ"</f>
        <v>#VALUE!</v>
      </c>
      <c r="AM116" t="e">
        <f>'All regions'!I2891+"n/&gt;!&amp;gK"</f>
        <v>#VALUE!</v>
      </c>
      <c r="AN116" t="e">
        <f>'All regions'!J2891+"n/&gt;!&amp;gL"</f>
        <v>#VALUE!</v>
      </c>
      <c r="AO116" t="e">
        <f>'All regions'!A2892+"n/&gt;!&amp;gM"</f>
        <v>#VALUE!</v>
      </c>
      <c r="AP116" t="e">
        <f>'All regions'!B2892+"n/&gt;!&amp;gN"</f>
        <v>#VALUE!</v>
      </c>
      <c r="AQ116" t="e">
        <f>'All regions'!C2892+"n/&gt;!&amp;gO"</f>
        <v>#VALUE!</v>
      </c>
      <c r="AR116" t="e">
        <f>'All regions'!D2892+"n/&gt;!&amp;gP"</f>
        <v>#VALUE!</v>
      </c>
      <c r="AS116" t="e">
        <f>'All regions'!E2892+"n/&gt;!&amp;gQ"</f>
        <v>#VALUE!</v>
      </c>
      <c r="AT116" t="e">
        <f>'All regions'!F2892+"n/&gt;!&amp;gR"</f>
        <v>#VALUE!</v>
      </c>
      <c r="AU116" t="e">
        <f>'All regions'!G2892+"n/&gt;!&amp;gS"</f>
        <v>#VALUE!</v>
      </c>
      <c r="AV116" t="e">
        <f>'All regions'!H2892+"n/&gt;!&amp;gT"</f>
        <v>#VALUE!</v>
      </c>
      <c r="AW116" t="e">
        <f>'All regions'!I2892+"n/&gt;!&amp;gU"</f>
        <v>#VALUE!</v>
      </c>
      <c r="AX116" t="e">
        <f>'All regions'!J2892+"n/&gt;!&amp;gV"</f>
        <v>#VALUE!</v>
      </c>
      <c r="AY116" t="e">
        <f>'All regions'!A2893+"n/&gt;!&amp;gW"</f>
        <v>#VALUE!</v>
      </c>
      <c r="AZ116" t="e">
        <f>'All regions'!B2893+"n/&gt;!&amp;gX"</f>
        <v>#VALUE!</v>
      </c>
      <c r="BA116" t="e">
        <f>'All regions'!C2893+"n/&gt;!&amp;gY"</f>
        <v>#VALUE!</v>
      </c>
      <c r="BB116" t="e">
        <f>'All regions'!D2893+"n/&gt;!&amp;gZ"</f>
        <v>#VALUE!</v>
      </c>
      <c r="BC116" t="e">
        <f>'All regions'!E2893+"n/&gt;!&amp;g["</f>
        <v>#VALUE!</v>
      </c>
      <c r="BD116" t="e">
        <f>'All regions'!F2893+"n/&gt;!&amp;g\"</f>
        <v>#VALUE!</v>
      </c>
      <c r="BE116" t="e">
        <f>'All regions'!G2893+"n/&gt;!&amp;g]"</f>
        <v>#VALUE!</v>
      </c>
      <c r="BF116" t="e">
        <f>'All regions'!H2893+"n/&gt;!&amp;g^"</f>
        <v>#VALUE!</v>
      </c>
      <c r="BG116" t="e">
        <f>'All regions'!I2893+"n/&gt;!&amp;g_"</f>
        <v>#VALUE!</v>
      </c>
      <c r="BH116" t="e">
        <f>'All regions'!J2893+"n/&gt;!&amp;g`"</f>
        <v>#VALUE!</v>
      </c>
      <c r="BI116" t="e">
        <f>'All regions'!A2894+"n/&gt;!&amp;ga"</f>
        <v>#VALUE!</v>
      </c>
      <c r="BJ116" t="e">
        <f>'All regions'!B2894+"n/&gt;!&amp;gb"</f>
        <v>#VALUE!</v>
      </c>
      <c r="BK116" t="e">
        <f>'All regions'!C2894+"n/&gt;!&amp;gc"</f>
        <v>#VALUE!</v>
      </c>
      <c r="BL116" t="e">
        <f>'All regions'!D2894+"n/&gt;!&amp;gd"</f>
        <v>#VALUE!</v>
      </c>
      <c r="BM116" t="e">
        <f>'All regions'!E2894+"n/&gt;!&amp;ge"</f>
        <v>#VALUE!</v>
      </c>
      <c r="BN116" t="e">
        <f>'All regions'!F2894+"n/&gt;!&amp;gf"</f>
        <v>#VALUE!</v>
      </c>
      <c r="BO116" t="e">
        <f>'All regions'!G2894+"n/&gt;!&amp;gg"</f>
        <v>#VALUE!</v>
      </c>
      <c r="BP116" t="e">
        <f>'All regions'!H2894+"n/&gt;!&amp;gh"</f>
        <v>#VALUE!</v>
      </c>
      <c r="BQ116" t="e">
        <f>'All regions'!I2894+"n/&gt;!&amp;gi"</f>
        <v>#VALUE!</v>
      </c>
      <c r="BR116" t="e">
        <f>'All regions'!J2894+"n/&gt;!&amp;gj"</f>
        <v>#VALUE!</v>
      </c>
      <c r="BS116" t="e">
        <f>'All regions'!A2895+"n/&gt;!&amp;gk"</f>
        <v>#VALUE!</v>
      </c>
      <c r="BT116" t="e">
        <f>'All regions'!B2895+"n/&gt;!&amp;gl"</f>
        <v>#VALUE!</v>
      </c>
      <c r="BU116" t="e">
        <f>'All regions'!C2895+"n/&gt;!&amp;gm"</f>
        <v>#VALUE!</v>
      </c>
      <c r="BV116" t="e">
        <f>'All regions'!D2895+"n/&gt;!&amp;gn"</f>
        <v>#VALUE!</v>
      </c>
      <c r="BW116" t="e">
        <f>'All regions'!E2895+"n/&gt;!&amp;go"</f>
        <v>#VALUE!</v>
      </c>
      <c r="BX116" t="e">
        <f>'All regions'!F2895+"n/&gt;!&amp;gp"</f>
        <v>#VALUE!</v>
      </c>
      <c r="BY116" t="e">
        <f>'All regions'!G2895+"n/&gt;!&amp;gq"</f>
        <v>#VALUE!</v>
      </c>
      <c r="BZ116" t="e">
        <f>'All regions'!H2895+"n/&gt;!&amp;gr"</f>
        <v>#VALUE!</v>
      </c>
      <c r="CA116" t="e">
        <f>'All regions'!I2895+"n/&gt;!&amp;gs"</f>
        <v>#VALUE!</v>
      </c>
      <c r="CB116" t="e">
        <f>'All regions'!J2895+"n/&gt;!&amp;gt"</f>
        <v>#VALUE!</v>
      </c>
      <c r="CC116" t="e">
        <f>'All regions'!A2896+"n/&gt;!&amp;gu"</f>
        <v>#VALUE!</v>
      </c>
      <c r="CD116" t="e">
        <f>'All regions'!B2896+"n/&gt;!&amp;gv"</f>
        <v>#VALUE!</v>
      </c>
      <c r="CE116" t="e">
        <f>'All regions'!C2896+"n/&gt;!&amp;gw"</f>
        <v>#VALUE!</v>
      </c>
      <c r="CF116" t="e">
        <f>'All regions'!D2896+"n/&gt;!&amp;gx"</f>
        <v>#VALUE!</v>
      </c>
      <c r="CG116" t="e">
        <f>'All regions'!E2896+"n/&gt;!&amp;gy"</f>
        <v>#VALUE!</v>
      </c>
      <c r="CH116" t="e">
        <f>'All regions'!F2896+"n/&gt;!&amp;gz"</f>
        <v>#VALUE!</v>
      </c>
      <c r="CI116" t="e">
        <f>'All regions'!G2896+"n/&gt;!&amp;g{"</f>
        <v>#VALUE!</v>
      </c>
      <c r="CJ116" t="e">
        <f>'All regions'!H2896+"n/&gt;!&amp;g|"</f>
        <v>#VALUE!</v>
      </c>
      <c r="CK116" t="e">
        <f>'All regions'!I2896+"n/&gt;!&amp;g}"</f>
        <v>#VALUE!</v>
      </c>
      <c r="CL116" t="e">
        <f>'All regions'!J2896+"n/&gt;!&amp;g~"</f>
        <v>#VALUE!</v>
      </c>
      <c r="CM116" t="e">
        <f>'All regions'!A2897+"n/&gt;!&amp;h#"</f>
        <v>#VALUE!</v>
      </c>
      <c r="CN116" t="e">
        <f>'All regions'!B2897+"n/&gt;!&amp;h$"</f>
        <v>#VALUE!</v>
      </c>
      <c r="CO116" t="e">
        <f>'All regions'!C2897+"n/&gt;!&amp;h%"</f>
        <v>#VALUE!</v>
      </c>
      <c r="CP116" t="e">
        <f>'All regions'!D2897+"n/&gt;!&amp;h&amp;"</f>
        <v>#VALUE!</v>
      </c>
      <c r="CQ116" t="e">
        <f>'All regions'!E2897+"n/&gt;!&amp;h'"</f>
        <v>#VALUE!</v>
      </c>
      <c r="CR116" t="e">
        <f>'All regions'!F2897+"n/&gt;!&amp;h("</f>
        <v>#VALUE!</v>
      </c>
      <c r="CS116" t="e">
        <f>'All regions'!G2897+"n/&gt;!&amp;h)"</f>
        <v>#VALUE!</v>
      </c>
      <c r="CT116" t="e">
        <f>'All regions'!H2897+"n/&gt;!&amp;h."</f>
        <v>#VALUE!</v>
      </c>
      <c r="CU116" t="e">
        <f>'All regions'!I2897+"n/&gt;!&amp;h/"</f>
        <v>#VALUE!</v>
      </c>
      <c r="CV116" t="e">
        <f>'All regions'!J2897+"n/&gt;!&amp;h0"</f>
        <v>#VALUE!</v>
      </c>
      <c r="CW116" t="e">
        <f>'All regions'!A2898+"n/&gt;!&amp;h1"</f>
        <v>#VALUE!</v>
      </c>
      <c r="CX116" t="e">
        <f>'All regions'!B2898+"n/&gt;!&amp;h2"</f>
        <v>#VALUE!</v>
      </c>
      <c r="CY116" t="e">
        <f>'All regions'!C2898+"n/&gt;!&amp;h3"</f>
        <v>#VALUE!</v>
      </c>
      <c r="CZ116" t="e">
        <f>'All regions'!D2898+"n/&gt;!&amp;h4"</f>
        <v>#VALUE!</v>
      </c>
      <c r="DA116" t="e">
        <f>'All regions'!E2898+"n/&gt;!&amp;h5"</f>
        <v>#VALUE!</v>
      </c>
      <c r="DB116" t="e">
        <f>'All regions'!F2898+"n/&gt;!&amp;h6"</f>
        <v>#VALUE!</v>
      </c>
      <c r="DC116" t="e">
        <f>'All regions'!G2898+"n/&gt;!&amp;h7"</f>
        <v>#VALUE!</v>
      </c>
      <c r="DD116" t="e">
        <f>'All regions'!H2898+"n/&gt;!&amp;h8"</f>
        <v>#VALUE!</v>
      </c>
      <c r="DE116" t="e">
        <f>'All regions'!I2898+"n/&gt;!&amp;h9"</f>
        <v>#VALUE!</v>
      </c>
      <c r="DF116" t="e">
        <f>'All regions'!J2898+"n/&gt;!&amp;h:"</f>
        <v>#VALUE!</v>
      </c>
      <c r="DG116" t="e">
        <f>'All regions'!A2899+"n/&gt;!&amp;h;"</f>
        <v>#VALUE!</v>
      </c>
      <c r="DH116" t="e">
        <f>'All regions'!B2899+"n/&gt;!&amp;h&lt;"</f>
        <v>#VALUE!</v>
      </c>
      <c r="DI116" t="e">
        <f>'All regions'!C2899+"n/&gt;!&amp;h="</f>
        <v>#VALUE!</v>
      </c>
      <c r="DJ116" t="e">
        <f>'All regions'!D2899+"n/&gt;!&amp;h&gt;"</f>
        <v>#VALUE!</v>
      </c>
      <c r="DK116" t="e">
        <f>'All regions'!E2899+"n/&gt;!&amp;h?"</f>
        <v>#VALUE!</v>
      </c>
      <c r="DL116" t="e">
        <f>'All regions'!F2899+"n/&gt;!&amp;h@"</f>
        <v>#VALUE!</v>
      </c>
      <c r="DM116" t="e">
        <f>'All regions'!G2899+"n/&gt;!&amp;hA"</f>
        <v>#VALUE!</v>
      </c>
      <c r="DN116" t="e">
        <f>'All regions'!H2899+"n/&gt;!&amp;hB"</f>
        <v>#VALUE!</v>
      </c>
      <c r="DO116" t="e">
        <f>'All regions'!I2899+"n/&gt;!&amp;hC"</f>
        <v>#VALUE!</v>
      </c>
      <c r="DP116" t="e">
        <f>'All regions'!J2899+"n/&gt;!&amp;hD"</f>
        <v>#VALUE!</v>
      </c>
      <c r="DQ116" t="e">
        <f>'All regions'!A2900+"n/&gt;!&amp;hE"</f>
        <v>#VALUE!</v>
      </c>
      <c r="DR116" t="e">
        <f>'All regions'!B2900+"n/&gt;!&amp;hF"</f>
        <v>#VALUE!</v>
      </c>
      <c r="DS116" t="e">
        <f>'All regions'!C2900+"n/&gt;!&amp;hG"</f>
        <v>#VALUE!</v>
      </c>
      <c r="DT116" t="e">
        <f>'All regions'!D2900+"n/&gt;!&amp;hH"</f>
        <v>#VALUE!</v>
      </c>
      <c r="DU116" t="e">
        <f>'All regions'!E2900+"n/&gt;!&amp;hI"</f>
        <v>#VALUE!</v>
      </c>
      <c r="DV116" t="e">
        <f>'All regions'!F2900+"n/&gt;!&amp;hJ"</f>
        <v>#VALUE!</v>
      </c>
      <c r="DW116" t="e">
        <f>'All regions'!G2900+"n/&gt;!&amp;hK"</f>
        <v>#VALUE!</v>
      </c>
      <c r="DX116" t="e">
        <f>'All regions'!H2900+"n/&gt;!&amp;hL"</f>
        <v>#VALUE!</v>
      </c>
      <c r="DY116" t="e">
        <f>'All regions'!I2900+"n/&gt;!&amp;hM"</f>
        <v>#VALUE!</v>
      </c>
      <c r="DZ116" t="e">
        <f>'All regions'!J2900+"n/&gt;!&amp;hN"</f>
        <v>#VALUE!</v>
      </c>
      <c r="EA116" t="e">
        <f>'All regions'!A2901+"n/&gt;!&amp;hO"</f>
        <v>#VALUE!</v>
      </c>
      <c r="EB116" t="e">
        <f>'All regions'!B2901+"n/&gt;!&amp;hP"</f>
        <v>#VALUE!</v>
      </c>
      <c r="EC116" t="e">
        <f>'All regions'!C2901+"n/&gt;!&amp;hQ"</f>
        <v>#VALUE!</v>
      </c>
      <c r="ED116" t="e">
        <f>'All regions'!D2901+"n/&gt;!&amp;hR"</f>
        <v>#VALUE!</v>
      </c>
      <c r="EE116" t="e">
        <f>'All regions'!E2901+"n/&gt;!&amp;hS"</f>
        <v>#VALUE!</v>
      </c>
      <c r="EF116" t="e">
        <f>'All regions'!F2901+"n/&gt;!&amp;hT"</f>
        <v>#VALUE!</v>
      </c>
      <c r="EG116" t="e">
        <f>'All regions'!G2901+"n/&gt;!&amp;hU"</f>
        <v>#VALUE!</v>
      </c>
      <c r="EH116" t="e">
        <f>'All regions'!H2901+"n/&gt;!&amp;hV"</f>
        <v>#VALUE!</v>
      </c>
      <c r="EI116" t="e">
        <f>'All regions'!I2901+"n/&gt;!&amp;hW"</f>
        <v>#VALUE!</v>
      </c>
      <c r="EJ116" t="e">
        <f>'All regions'!J2901+"n/&gt;!&amp;hX"</f>
        <v>#VALUE!</v>
      </c>
      <c r="EK116" t="e">
        <f>'All regions'!A2902+"n/&gt;!&amp;hY"</f>
        <v>#VALUE!</v>
      </c>
      <c r="EL116" t="e">
        <f>'All regions'!B2902+"n/&gt;!&amp;hZ"</f>
        <v>#VALUE!</v>
      </c>
      <c r="EM116" t="e">
        <f>'All regions'!C2902+"n/&gt;!&amp;h["</f>
        <v>#VALUE!</v>
      </c>
      <c r="EN116" t="e">
        <f>'All regions'!D2902+"n/&gt;!&amp;h\"</f>
        <v>#VALUE!</v>
      </c>
      <c r="EO116" t="e">
        <f>'All regions'!E2902+"n/&gt;!&amp;h]"</f>
        <v>#VALUE!</v>
      </c>
      <c r="EP116" t="e">
        <f>'All regions'!F2902+"n/&gt;!&amp;h^"</f>
        <v>#VALUE!</v>
      </c>
      <c r="EQ116" t="e">
        <f>'All regions'!G2902+"n/&gt;!&amp;h_"</f>
        <v>#VALUE!</v>
      </c>
      <c r="ER116" t="e">
        <f>'All regions'!H2902+"n/&gt;!&amp;h`"</f>
        <v>#VALUE!</v>
      </c>
      <c r="ES116" t="e">
        <f>'All regions'!I2902+"n/&gt;!&amp;ha"</f>
        <v>#VALUE!</v>
      </c>
      <c r="ET116" t="e">
        <f>'All regions'!J2902+"n/&gt;!&amp;hb"</f>
        <v>#VALUE!</v>
      </c>
      <c r="EU116" t="e">
        <f>'All regions'!A2903+"n/&gt;!&amp;hc"</f>
        <v>#VALUE!</v>
      </c>
      <c r="EV116" t="e">
        <f>'All regions'!B2903+"n/&gt;!&amp;hd"</f>
        <v>#VALUE!</v>
      </c>
      <c r="EW116" t="e">
        <f>'All regions'!C2903+"n/&gt;!&amp;he"</f>
        <v>#VALUE!</v>
      </c>
      <c r="EX116" t="e">
        <f>'All regions'!D2903+"n/&gt;!&amp;hf"</f>
        <v>#VALUE!</v>
      </c>
      <c r="EY116" t="e">
        <f>'All regions'!E2903+"n/&gt;!&amp;hg"</f>
        <v>#VALUE!</v>
      </c>
      <c r="EZ116" t="e">
        <f>'All regions'!F2903+"n/&gt;!&amp;hh"</f>
        <v>#VALUE!</v>
      </c>
      <c r="FA116" t="e">
        <f>'All regions'!G2903+"n/&gt;!&amp;hi"</f>
        <v>#VALUE!</v>
      </c>
      <c r="FB116" t="e">
        <f>'All regions'!H2903+"n/&gt;!&amp;hj"</f>
        <v>#VALUE!</v>
      </c>
      <c r="FC116" t="e">
        <f>'All regions'!I2903+"n/&gt;!&amp;hk"</f>
        <v>#VALUE!</v>
      </c>
      <c r="FD116" t="e">
        <f>'All regions'!J2903+"n/&gt;!&amp;hl"</f>
        <v>#VALUE!</v>
      </c>
      <c r="FE116" t="e">
        <f>'All regions'!A2904+"n/&gt;!&amp;hm"</f>
        <v>#VALUE!</v>
      </c>
      <c r="FF116" t="e">
        <f>'All regions'!B2904+"n/&gt;!&amp;hn"</f>
        <v>#VALUE!</v>
      </c>
      <c r="FG116" t="e">
        <f>'All regions'!C2904+"n/&gt;!&amp;ho"</f>
        <v>#VALUE!</v>
      </c>
      <c r="FH116" t="e">
        <f>'All regions'!D2904+"n/&gt;!&amp;hp"</f>
        <v>#VALUE!</v>
      </c>
      <c r="FI116" t="e">
        <f>'All regions'!E2904+"n/&gt;!&amp;hq"</f>
        <v>#VALUE!</v>
      </c>
      <c r="FJ116" t="e">
        <f>'All regions'!F2904+"n/&gt;!&amp;hr"</f>
        <v>#VALUE!</v>
      </c>
      <c r="FK116" t="e">
        <f>'All regions'!G2904+"n/&gt;!&amp;hs"</f>
        <v>#VALUE!</v>
      </c>
      <c r="FL116" t="e">
        <f>'All regions'!H2904+"n/&gt;!&amp;ht"</f>
        <v>#VALUE!</v>
      </c>
      <c r="FM116" t="e">
        <f>'All regions'!I2904+"n/&gt;!&amp;hu"</f>
        <v>#VALUE!</v>
      </c>
      <c r="FN116" t="e">
        <f>'All regions'!J2904+"n/&gt;!&amp;hv"</f>
        <v>#VALUE!</v>
      </c>
      <c r="FO116" t="e">
        <f>'All regions'!A2905+"n/&gt;!&amp;hw"</f>
        <v>#VALUE!</v>
      </c>
      <c r="FP116" t="e">
        <f>'All regions'!B2905+"n/&gt;!&amp;hx"</f>
        <v>#VALUE!</v>
      </c>
      <c r="FQ116" t="e">
        <f>'All regions'!C2905+"n/&gt;!&amp;hy"</f>
        <v>#VALUE!</v>
      </c>
      <c r="FR116" t="e">
        <f>'All regions'!D2905+"n/&gt;!&amp;hz"</f>
        <v>#VALUE!</v>
      </c>
      <c r="FS116" t="e">
        <f>'All regions'!E2905+"n/&gt;!&amp;h{"</f>
        <v>#VALUE!</v>
      </c>
      <c r="FT116" t="e">
        <f>'All regions'!F2905+"n/&gt;!&amp;h|"</f>
        <v>#VALUE!</v>
      </c>
      <c r="FU116" t="e">
        <f>'All regions'!G2905+"n/&gt;!&amp;h}"</f>
        <v>#VALUE!</v>
      </c>
      <c r="FV116" t="e">
        <f>'All regions'!H2905+"n/&gt;!&amp;h~"</f>
        <v>#VALUE!</v>
      </c>
      <c r="FW116" t="e">
        <f>'All regions'!I2905+"n/&gt;!&amp;i#"</f>
        <v>#VALUE!</v>
      </c>
      <c r="FX116" t="e">
        <f>'All regions'!J2905+"n/&gt;!&amp;i$"</f>
        <v>#VALUE!</v>
      </c>
      <c r="FY116" t="e">
        <f>'All regions'!A2906+"n/&gt;!&amp;i%"</f>
        <v>#VALUE!</v>
      </c>
      <c r="FZ116" t="e">
        <f>'All regions'!B2906+"n/&gt;!&amp;i&amp;"</f>
        <v>#VALUE!</v>
      </c>
      <c r="GA116" t="e">
        <f>'All regions'!C2906+"n/&gt;!&amp;i'"</f>
        <v>#VALUE!</v>
      </c>
      <c r="GB116" t="e">
        <f>'All regions'!D2906+"n/&gt;!&amp;i("</f>
        <v>#VALUE!</v>
      </c>
      <c r="GC116" t="e">
        <f>'All regions'!E2906+"n/&gt;!&amp;i)"</f>
        <v>#VALUE!</v>
      </c>
      <c r="GD116" t="e">
        <f>'All regions'!F2906+"n/&gt;!&amp;i."</f>
        <v>#VALUE!</v>
      </c>
      <c r="GE116" t="e">
        <f>'All regions'!G2906+"n/&gt;!&amp;i/"</f>
        <v>#VALUE!</v>
      </c>
      <c r="GF116" t="e">
        <f>'All regions'!H2906+"n/&gt;!&amp;i0"</f>
        <v>#VALUE!</v>
      </c>
      <c r="GG116" t="e">
        <f>'All regions'!I2906+"n/&gt;!&amp;i1"</f>
        <v>#VALUE!</v>
      </c>
      <c r="GH116" t="e">
        <f>'All regions'!J2906+"n/&gt;!&amp;i2"</f>
        <v>#VALUE!</v>
      </c>
      <c r="GI116" t="e">
        <f>'All regions'!A2907+"n/&gt;!&amp;i3"</f>
        <v>#VALUE!</v>
      </c>
      <c r="GJ116" t="e">
        <f>'All regions'!B2907+"n/&gt;!&amp;i4"</f>
        <v>#VALUE!</v>
      </c>
      <c r="GK116" t="e">
        <f>'All regions'!C2907+"n/&gt;!&amp;i5"</f>
        <v>#VALUE!</v>
      </c>
      <c r="GL116" t="e">
        <f>'All regions'!D2907+"n/&gt;!&amp;i6"</f>
        <v>#VALUE!</v>
      </c>
      <c r="GM116" t="e">
        <f>'All regions'!E2907+"n/&gt;!&amp;i7"</f>
        <v>#VALUE!</v>
      </c>
      <c r="GN116" t="e">
        <f>'All regions'!F2907+"n/&gt;!&amp;i8"</f>
        <v>#VALUE!</v>
      </c>
      <c r="GO116" t="e">
        <f>'All regions'!G2907+"n/&gt;!&amp;i9"</f>
        <v>#VALUE!</v>
      </c>
      <c r="GP116" t="e">
        <f>'All regions'!H2907+"n/&gt;!&amp;i:"</f>
        <v>#VALUE!</v>
      </c>
      <c r="GQ116" t="e">
        <f>'All regions'!I2907+"n/&gt;!&amp;i;"</f>
        <v>#VALUE!</v>
      </c>
      <c r="GR116" t="e">
        <f>'All regions'!J2907+"n/&gt;!&amp;i&lt;"</f>
        <v>#VALUE!</v>
      </c>
      <c r="GS116" t="e">
        <f>'All regions'!A2908+"n/&gt;!&amp;i="</f>
        <v>#VALUE!</v>
      </c>
      <c r="GT116" t="e">
        <f>'All regions'!B2908+"n/&gt;!&amp;i&gt;"</f>
        <v>#VALUE!</v>
      </c>
      <c r="GU116" t="e">
        <f>'All regions'!C2908+"n/&gt;!&amp;i?"</f>
        <v>#VALUE!</v>
      </c>
      <c r="GV116" t="e">
        <f>'All regions'!D2908+"n/&gt;!&amp;i@"</f>
        <v>#VALUE!</v>
      </c>
      <c r="GW116" t="e">
        <f>'All regions'!E2908+"n/&gt;!&amp;iA"</f>
        <v>#VALUE!</v>
      </c>
      <c r="GX116" t="e">
        <f>'All regions'!F2908+"n/&gt;!&amp;iB"</f>
        <v>#VALUE!</v>
      </c>
      <c r="GY116" t="e">
        <f>'All regions'!G2908+"n/&gt;!&amp;iC"</f>
        <v>#VALUE!</v>
      </c>
      <c r="GZ116" t="e">
        <f>'All regions'!H2908+"n/&gt;!&amp;iD"</f>
        <v>#VALUE!</v>
      </c>
      <c r="HA116" t="e">
        <f>'All regions'!I2908+"n/&gt;!&amp;iE"</f>
        <v>#VALUE!</v>
      </c>
      <c r="HB116" t="e">
        <f>'All regions'!J2908+"n/&gt;!&amp;iF"</f>
        <v>#VALUE!</v>
      </c>
      <c r="HC116" t="e">
        <f>'All regions'!A2909+"n/&gt;!&amp;iG"</f>
        <v>#VALUE!</v>
      </c>
      <c r="HD116" t="e">
        <f>'All regions'!B2909+"n/&gt;!&amp;iH"</f>
        <v>#VALUE!</v>
      </c>
      <c r="HE116" t="e">
        <f>'All regions'!C2909+"n/&gt;!&amp;iI"</f>
        <v>#VALUE!</v>
      </c>
      <c r="HF116" t="e">
        <f>'All regions'!D2909+"n/&gt;!&amp;iJ"</f>
        <v>#VALUE!</v>
      </c>
      <c r="HG116" t="e">
        <f>'All regions'!E2909+"n/&gt;!&amp;iK"</f>
        <v>#VALUE!</v>
      </c>
      <c r="HH116" t="e">
        <f>'All regions'!F2909+"n/&gt;!&amp;iL"</f>
        <v>#VALUE!</v>
      </c>
      <c r="HI116" t="e">
        <f>'All regions'!G2909+"n/&gt;!&amp;iM"</f>
        <v>#VALUE!</v>
      </c>
      <c r="HJ116" t="e">
        <f>'All regions'!H2909+"n/&gt;!&amp;iN"</f>
        <v>#VALUE!</v>
      </c>
      <c r="HK116" t="e">
        <f>'All regions'!I2909+"n/&gt;!&amp;iO"</f>
        <v>#VALUE!</v>
      </c>
      <c r="HL116" t="e">
        <f>'All regions'!J2909+"n/&gt;!&amp;iP"</f>
        <v>#VALUE!</v>
      </c>
      <c r="HM116" t="e">
        <f>'All regions'!A2910+"n/&gt;!&amp;iQ"</f>
        <v>#VALUE!</v>
      </c>
      <c r="HN116" t="e">
        <f>'All regions'!B2910+"n/&gt;!&amp;iR"</f>
        <v>#VALUE!</v>
      </c>
      <c r="HO116" t="e">
        <f>'All regions'!C2910+"n/&gt;!&amp;iS"</f>
        <v>#VALUE!</v>
      </c>
      <c r="HP116" t="e">
        <f>'All regions'!D2910+"n/&gt;!&amp;iT"</f>
        <v>#VALUE!</v>
      </c>
      <c r="HQ116" t="e">
        <f>'All regions'!E2910+"n/&gt;!&amp;iU"</f>
        <v>#VALUE!</v>
      </c>
      <c r="HR116" t="e">
        <f>'All regions'!F2910+"n/&gt;!&amp;iV"</f>
        <v>#VALUE!</v>
      </c>
      <c r="HS116" t="e">
        <f>'All regions'!G2910+"n/&gt;!&amp;iW"</f>
        <v>#VALUE!</v>
      </c>
      <c r="HT116" t="e">
        <f>'All regions'!H2910+"n/&gt;!&amp;iX"</f>
        <v>#VALUE!</v>
      </c>
      <c r="HU116" t="e">
        <f>'All regions'!I2910+"n/&gt;!&amp;iY"</f>
        <v>#VALUE!</v>
      </c>
      <c r="HV116" t="e">
        <f>'All regions'!J2910+"n/&gt;!&amp;iZ"</f>
        <v>#VALUE!</v>
      </c>
      <c r="HW116" t="e">
        <f>'All regions'!A2911+"n/&gt;!&amp;i["</f>
        <v>#VALUE!</v>
      </c>
      <c r="HX116" t="e">
        <f>'All regions'!B2911+"n/&gt;!&amp;i\"</f>
        <v>#VALUE!</v>
      </c>
      <c r="HY116" t="e">
        <f>'All regions'!C2911+"n/&gt;!&amp;i]"</f>
        <v>#VALUE!</v>
      </c>
      <c r="HZ116" t="e">
        <f>'All regions'!D2911+"n/&gt;!&amp;i^"</f>
        <v>#VALUE!</v>
      </c>
      <c r="IA116" t="e">
        <f>'All regions'!E2911+"n/&gt;!&amp;i_"</f>
        <v>#VALUE!</v>
      </c>
      <c r="IB116" t="e">
        <f>'All regions'!F2911+"n/&gt;!&amp;i`"</f>
        <v>#VALUE!</v>
      </c>
      <c r="IC116" t="e">
        <f>'All regions'!G2911+"n/&gt;!&amp;ia"</f>
        <v>#VALUE!</v>
      </c>
      <c r="ID116" t="e">
        <f>'All regions'!H2911+"n/&gt;!&amp;ib"</f>
        <v>#VALUE!</v>
      </c>
      <c r="IE116" t="e">
        <f>'All regions'!I2911+"n/&gt;!&amp;ic"</f>
        <v>#VALUE!</v>
      </c>
      <c r="IF116" t="e">
        <f>'All regions'!J2911+"n/&gt;!&amp;id"</f>
        <v>#VALUE!</v>
      </c>
      <c r="IG116" t="e">
        <f>'All regions'!A2912+"n/&gt;!&amp;ie"</f>
        <v>#VALUE!</v>
      </c>
      <c r="IH116" t="e">
        <f>'All regions'!B2912+"n/&gt;!&amp;if"</f>
        <v>#VALUE!</v>
      </c>
      <c r="II116" t="e">
        <f>'All regions'!C2912+"n/&gt;!&amp;ig"</f>
        <v>#VALUE!</v>
      </c>
      <c r="IJ116" t="e">
        <f>'All regions'!D2912+"n/&gt;!&amp;ih"</f>
        <v>#VALUE!</v>
      </c>
      <c r="IK116" t="e">
        <f>'All regions'!E2912+"n/&gt;!&amp;ii"</f>
        <v>#VALUE!</v>
      </c>
      <c r="IL116" t="e">
        <f>'All regions'!F2912+"n/&gt;!&amp;ij"</f>
        <v>#VALUE!</v>
      </c>
      <c r="IM116" t="e">
        <f>'All regions'!G2912+"n/&gt;!&amp;ik"</f>
        <v>#VALUE!</v>
      </c>
      <c r="IN116" t="e">
        <f>'All regions'!H2912+"n/&gt;!&amp;il"</f>
        <v>#VALUE!</v>
      </c>
      <c r="IO116" t="e">
        <f>'All regions'!I2912+"n/&gt;!&amp;im"</f>
        <v>#VALUE!</v>
      </c>
      <c r="IP116" t="e">
        <f>'All regions'!J2912+"n/&gt;!&amp;in"</f>
        <v>#VALUE!</v>
      </c>
      <c r="IQ116" t="e">
        <f>'All regions'!A2913+"n/&gt;!&amp;io"</f>
        <v>#VALUE!</v>
      </c>
      <c r="IR116" t="e">
        <f>'All regions'!B2913+"n/&gt;!&amp;ip"</f>
        <v>#VALUE!</v>
      </c>
      <c r="IS116" t="e">
        <f>'All regions'!C2913+"n/&gt;!&amp;iq"</f>
        <v>#VALUE!</v>
      </c>
      <c r="IT116" t="e">
        <f>'All regions'!D2913+"n/&gt;!&amp;ir"</f>
        <v>#VALUE!</v>
      </c>
      <c r="IU116" t="e">
        <f>'All regions'!E2913+"n/&gt;!&amp;is"</f>
        <v>#VALUE!</v>
      </c>
      <c r="IV116" t="e">
        <f>'All regions'!F2913+"n/&gt;!&amp;it"</f>
        <v>#VALUE!</v>
      </c>
    </row>
    <row r="117" spans="6:256" x14ac:dyDescent="0.35">
      <c r="F117" t="e">
        <f>'All regions'!G2913+"n/&gt;!&amp;iu"</f>
        <v>#VALUE!</v>
      </c>
      <c r="G117" t="e">
        <f>'All regions'!H2913+"n/&gt;!&amp;iv"</f>
        <v>#VALUE!</v>
      </c>
      <c r="H117" t="e">
        <f>'All regions'!I2913+"n/&gt;!&amp;iw"</f>
        <v>#VALUE!</v>
      </c>
      <c r="I117" t="e">
        <f>'All regions'!J2913+"n/&gt;!&amp;ix"</f>
        <v>#VALUE!</v>
      </c>
      <c r="J117" t="e">
        <f>'All regions'!A2914+"n/&gt;!&amp;iy"</f>
        <v>#VALUE!</v>
      </c>
      <c r="K117" t="e">
        <f>'All regions'!B2914+"n/&gt;!&amp;iz"</f>
        <v>#VALUE!</v>
      </c>
      <c r="L117" t="e">
        <f>'All regions'!C2914+"n/&gt;!&amp;i{"</f>
        <v>#VALUE!</v>
      </c>
      <c r="M117" t="e">
        <f>'All regions'!D2914+"n/&gt;!&amp;i|"</f>
        <v>#VALUE!</v>
      </c>
      <c r="N117" t="e">
        <f>'All regions'!E2914+"n/&gt;!&amp;i}"</f>
        <v>#VALUE!</v>
      </c>
      <c r="O117" t="e">
        <f>'All regions'!F2914+"n/&gt;!&amp;i~"</f>
        <v>#VALUE!</v>
      </c>
      <c r="P117" t="e">
        <f>'All regions'!G2914+"n/&gt;!&amp;j#"</f>
        <v>#VALUE!</v>
      </c>
      <c r="Q117" t="e">
        <f>'All regions'!H2914+"n/&gt;!&amp;j$"</f>
        <v>#VALUE!</v>
      </c>
      <c r="R117" t="e">
        <f>'All regions'!I2914+"n/&gt;!&amp;j%"</f>
        <v>#VALUE!</v>
      </c>
      <c r="S117" t="e">
        <f>'All regions'!J2914+"n/&gt;!&amp;j&amp;"</f>
        <v>#VALUE!</v>
      </c>
      <c r="T117" t="e">
        <f>'All regions'!A2915+"n/&gt;!&amp;j'"</f>
        <v>#VALUE!</v>
      </c>
      <c r="U117" t="e">
        <f>'All regions'!B2915+"n/&gt;!&amp;j("</f>
        <v>#VALUE!</v>
      </c>
      <c r="V117" t="e">
        <f>'All regions'!C2915+"n/&gt;!&amp;j)"</f>
        <v>#VALUE!</v>
      </c>
      <c r="W117" t="e">
        <f>'All regions'!D2915+"n/&gt;!&amp;j."</f>
        <v>#VALUE!</v>
      </c>
      <c r="X117" t="e">
        <f>'All regions'!E2915+"n/&gt;!&amp;j/"</f>
        <v>#VALUE!</v>
      </c>
      <c r="Y117" t="e">
        <f>'All regions'!F2915+"n/&gt;!&amp;j0"</f>
        <v>#VALUE!</v>
      </c>
      <c r="Z117" t="e">
        <f>'All regions'!G2915+"n/&gt;!&amp;j1"</f>
        <v>#VALUE!</v>
      </c>
      <c r="AA117" t="e">
        <f>'All regions'!H2915+"n/&gt;!&amp;j2"</f>
        <v>#VALUE!</v>
      </c>
      <c r="AB117" t="e">
        <f>'All regions'!I2915+"n/&gt;!&amp;j3"</f>
        <v>#VALUE!</v>
      </c>
      <c r="AC117" t="e">
        <f>'All regions'!J2915+"n/&gt;!&amp;j4"</f>
        <v>#VALUE!</v>
      </c>
      <c r="AD117" t="e">
        <f>'All regions'!A2916+"n/&gt;!&amp;j5"</f>
        <v>#VALUE!</v>
      </c>
      <c r="AE117" t="e">
        <f>'All regions'!B2916+"n/&gt;!&amp;j6"</f>
        <v>#VALUE!</v>
      </c>
      <c r="AF117" t="e">
        <f>'All regions'!C2916+"n/&gt;!&amp;j7"</f>
        <v>#VALUE!</v>
      </c>
      <c r="AG117" t="e">
        <f>'All regions'!D2916+"n/&gt;!&amp;j8"</f>
        <v>#VALUE!</v>
      </c>
      <c r="AH117" t="e">
        <f>'All regions'!E2916+"n/&gt;!&amp;j9"</f>
        <v>#VALUE!</v>
      </c>
      <c r="AI117" t="e">
        <f>'All regions'!F2916+"n/&gt;!&amp;j:"</f>
        <v>#VALUE!</v>
      </c>
      <c r="AJ117" t="e">
        <f>'All regions'!G2916+"n/&gt;!&amp;j;"</f>
        <v>#VALUE!</v>
      </c>
      <c r="AK117" t="e">
        <f>'All regions'!H2916+"n/&gt;!&amp;j&lt;"</f>
        <v>#VALUE!</v>
      </c>
      <c r="AL117" t="e">
        <f>'All regions'!I2916+"n/&gt;!&amp;j="</f>
        <v>#VALUE!</v>
      </c>
      <c r="AM117" t="e">
        <f>'All regions'!J2916+"n/&gt;!&amp;j&gt;"</f>
        <v>#VALUE!</v>
      </c>
      <c r="AN117" t="e">
        <f>'All regions'!A2917+"n/&gt;!&amp;j?"</f>
        <v>#VALUE!</v>
      </c>
      <c r="AO117" t="e">
        <f>'All regions'!B2917+"n/&gt;!&amp;j@"</f>
        <v>#VALUE!</v>
      </c>
      <c r="AP117" t="e">
        <f>'All regions'!C2917+"n/&gt;!&amp;jA"</f>
        <v>#VALUE!</v>
      </c>
      <c r="AQ117" t="e">
        <f>'All regions'!D2917+"n/&gt;!&amp;jB"</f>
        <v>#VALUE!</v>
      </c>
      <c r="AR117" t="e">
        <f>'All regions'!E2917+"n/&gt;!&amp;jC"</f>
        <v>#VALUE!</v>
      </c>
      <c r="AS117" t="e">
        <f>'All regions'!F2917+"n/&gt;!&amp;jD"</f>
        <v>#VALUE!</v>
      </c>
      <c r="AT117" t="e">
        <f>'All regions'!G2917+"n/&gt;!&amp;jE"</f>
        <v>#VALUE!</v>
      </c>
      <c r="AU117" t="e">
        <f>'All regions'!H2917+"n/&gt;!&amp;jF"</f>
        <v>#VALUE!</v>
      </c>
      <c r="AV117" t="e">
        <f>'All regions'!I2917+"n/&gt;!&amp;jG"</f>
        <v>#VALUE!</v>
      </c>
      <c r="AW117" t="e">
        <f>'All regions'!J2917+"n/&gt;!&amp;jH"</f>
        <v>#VALUE!</v>
      </c>
      <c r="AX117" t="e">
        <f>'All regions'!A2918+"n/&gt;!&amp;jI"</f>
        <v>#VALUE!</v>
      </c>
      <c r="AY117" t="e">
        <f>'All regions'!B2918+"n/&gt;!&amp;jJ"</f>
        <v>#VALUE!</v>
      </c>
      <c r="AZ117" t="e">
        <f>'All regions'!C2918+"n/&gt;!&amp;jK"</f>
        <v>#VALUE!</v>
      </c>
      <c r="BA117" t="e">
        <f>'All regions'!D2918+"n/&gt;!&amp;jL"</f>
        <v>#VALUE!</v>
      </c>
      <c r="BB117" t="e">
        <f>'All regions'!E2918+"n/&gt;!&amp;jM"</f>
        <v>#VALUE!</v>
      </c>
      <c r="BC117" t="e">
        <f>'All regions'!F2918+"n/&gt;!&amp;jN"</f>
        <v>#VALUE!</v>
      </c>
      <c r="BD117" t="e">
        <f>'All regions'!G2918+"n/&gt;!&amp;jO"</f>
        <v>#VALUE!</v>
      </c>
      <c r="BE117" t="e">
        <f>'All regions'!H2918+"n/&gt;!&amp;jP"</f>
        <v>#VALUE!</v>
      </c>
      <c r="BF117" t="e">
        <f>'All regions'!I2918+"n/&gt;!&amp;jQ"</f>
        <v>#VALUE!</v>
      </c>
      <c r="BG117" t="e">
        <f>'All regions'!J2918+"n/&gt;!&amp;jR"</f>
        <v>#VALUE!</v>
      </c>
      <c r="BH117" t="e">
        <f>'All regions'!A2919+"n/&gt;!&amp;jS"</f>
        <v>#VALUE!</v>
      </c>
      <c r="BI117" t="e">
        <f>'All regions'!B2919+"n/&gt;!&amp;jT"</f>
        <v>#VALUE!</v>
      </c>
      <c r="BJ117" t="e">
        <f>'All regions'!C2919+"n/&gt;!&amp;jU"</f>
        <v>#VALUE!</v>
      </c>
      <c r="BK117" t="e">
        <f>'All regions'!D2919+"n/&gt;!&amp;jV"</f>
        <v>#VALUE!</v>
      </c>
      <c r="BL117" t="e">
        <f>'All regions'!E2919+"n/&gt;!&amp;jW"</f>
        <v>#VALUE!</v>
      </c>
      <c r="BM117" t="e">
        <f>'All regions'!F2919+"n/&gt;!&amp;jX"</f>
        <v>#VALUE!</v>
      </c>
      <c r="BN117" t="e">
        <f>'All regions'!G2919+"n/&gt;!&amp;jY"</f>
        <v>#VALUE!</v>
      </c>
      <c r="BO117" t="e">
        <f>'All regions'!H2919+"n/&gt;!&amp;jZ"</f>
        <v>#VALUE!</v>
      </c>
      <c r="BP117" t="e">
        <f>'All regions'!I2919+"n/&gt;!&amp;j["</f>
        <v>#VALUE!</v>
      </c>
      <c r="BQ117" t="e">
        <f>'All regions'!J2919+"n/&gt;!&amp;j\"</f>
        <v>#VALUE!</v>
      </c>
      <c r="BR117" t="e">
        <f>'All regions'!A2920+"n/&gt;!&amp;j]"</f>
        <v>#VALUE!</v>
      </c>
      <c r="BS117" t="e">
        <f>'All regions'!B2920+"n/&gt;!&amp;j^"</f>
        <v>#VALUE!</v>
      </c>
      <c r="BT117" t="e">
        <f>'All regions'!C2920+"n/&gt;!&amp;j_"</f>
        <v>#VALUE!</v>
      </c>
      <c r="BU117" t="e">
        <f>'All regions'!D2920+"n/&gt;!&amp;j`"</f>
        <v>#VALUE!</v>
      </c>
      <c r="BV117" t="e">
        <f>'All regions'!E2920+"n/&gt;!&amp;ja"</f>
        <v>#VALUE!</v>
      </c>
      <c r="BW117" t="e">
        <f>'All regions'!F2920+"n/&gt;!&amp;jb"</f>
        <v>#VALUE!</v>
      </c>
      <c r="BX117" t="e">
        <f>'All regions'!G2920+"n/&gt;!&amp;jc"</f>
        <v>#VALUE!</v>
      </c>
      <c r="BY117" t="e">
        <f>'All regions'!H2920+"n/&gt;!&amp;jd"</f>
        <v>#VALUE!</v>
      </c>
      <c r="BZ117" t="e">
        <f>'All regions'!I2920+"n/&gt;!&amp;je"</f>
        <v>#VALUE!</v>
      </c>
      <c r="CA117" t="e">
        <f>'All regions'!J2920+"n/&gt;!&amp;jf"</f>
        <v>#VALUE!</v>
      </c>
      <c r="CB117" t="e">
        <f>'All regions'!A2921+"n/&gt;!&amp;jg"</f>
        <v>#VALUE!</v>
      </c>
      <c r="CC117" t="e">
        <f>'All regions'!B2921+"n/&gt;!&amp;jh"</f>
        <v>#VALUE!</v>
      </c>
      <c r="CD117" t="e">
        <f>'All regions'!C2921+"n/&gt;!&amp;ji"</f>
        <v>#VALUE!</v>
      </c>
      <c r="CE117" t="e">
        <f>'All regions'!D2921+"n/&gt;!&amp;jj"</f>
        <v>#VALUE!</v>
      </c>
      <c r="CF117" t="e">
        <f>'All regions'!E2921+"n/&gt;!&amp;jk"</f>
        <v>#VALUE!</v>
      </c>
      <c r="CG117" t="e">
        <f>'All regions'!F2921+"n/&gt;!&amp;jl"</f>
        <v>#VALUE!</v>
      </c>
      <c r="CH117" t="e">
        <f>'All regions'!G2921+"n/&gt;!&amp;jm"</f>
        <v>#VALUE!</v>
      </c>
      <c r="CI117" t="e">
        <f>'All regions'!H2921+"n/&gt;!&amp;jn"</f>
        <v>#VALUE!</v>
      </c>
      <c r="CJ117" t="e">
        <f>'All regions'!I2921+"n/&gt;!&amp;jo"</f>
        <v>#VALUE!</v>
      </c>
      <c r="CK117" t="e">
        <f>'All regions'!J2921+"n/&gt;!&amp;jp"</f>
        <v>#VALUE!</v>
      </c>
      <c r="CL117" t="e">
        <f>'All regions'!A2922+"n/&gt;!&amp;jq"</f>
        <v>#VALUE!</v>
      </c>
      <c r="CM117" t="e">
        <f>'All regions'!B2922+"n/&gt;!&amp;jr"</f>
        <v>#VALUE!</v>
      </c>
      <c r="CN117" t="e">
        <f>'All regions'!C2922+"n/&gt;!&amp;js"</f>
        <v>#VALUE!</v>
      </c>
      <c r="CO117" t="e">
        <f>'All regions'!D2922+"n/&gt;!&amp;jt"</f>
        <v>#VALUE!</v>
      </c>
      <c r="CP117" t="e">
        <f>'All regions'!E2922+"n/&gt;!&amp;ju"</f>
        <v>#VALUE!</v>
      </c>
      <c r="CQ117" t="e">
        <f>'All regions'!F2922+"n/&gt;!&amp;jv"</f>
        <v>#VALUE!</v>
      </c>
      <c r="CR117" t="e">
        <f>'All regions'!G2922+"n/&gt;!&amp;jw"</f>
        <v>#VALUE!</v>
      </c>
      <c r="CS117" t="e">
        <f>'All regions'!H2922+"n/&gt;!&amp;jx"</f>
        <v>#VALUE!</v>
      </c>
      <c r="CT117" t="e">
        <f>'All regions'!I2922+"n/&gt;!&amp;jy"</f>
        <v>#VALUE!</v>
      </c>
      <c r="CU117" t="e">
        <f>'All regions'!J2922+"n/&gt;!&amp;jz"</f>
        <v>#VALUE!</v>
      </c>
      <c r="CV117" t="e">
        <f>'All regions'!A2923+"n/&gt;!&amp;j{"</f>
        <v>#VALUE!</v>
      </c>
      <c r="CW117" t="e">
        <f>'All regions'!B2923+"n/&gt;!&amp;j|"</f>
        <v>#VALUE!</v>
      </c>
      <c r="CX117" t="e">
        <f>'All regions'!C2923+"n/&gt;!&amp;j}"</f>
        <v>#VALUE!</v>
      </c>
      <c r="CY117" t="e">
        <f>'All regions'!D2923+"n/&gt;!&amp;j~"</f>
        <v>#VALUE!</v>
      </c>
      <c r="CZ117" t="e">
        <f>'All regions'!E2923+"n/&gt;!&amp;k#"</f>
        <v>#VALUE!</v>
      </c>
      <c r="DA117" t="e">
        <f>'All regions'!F2923+"n/&gt;!&amp;k$"</f>
        <v>#VALUE!</v>
      </c>
      <c r="DB117" t="e">
        <f>'All regions'!G2923+"n/&gt;!&amp;k%"</f>
        <v>#VALUE!</v>
      </c>
      <c r="DC117" t="e">
        <f>'All regions'!H2923+"n/&gt;!&amp;k&amp;"</f>
        <v>#VALUE!</v>
      </c>
      <c r="DD117" t="e">
        <f>'All regions'!I2923+"n/&gt;!&amp;k'"</f>
        <v>#VALUE!</v>
      </c>
      <c r="DE117" t="e">
        <f>'All regions'!J2923+"n/&gt;!&amp;k("</f>
        <v>#VALUE!</v>
      </c>
      <c r="DF117" t="e">
        <f>'All regions'!A2924+"n/&gt;!&amp;k)"</f>
        <v>#VALUE!</v>
      </c>
      <c r="DG117" t="e">
        <f>'All regions'!B2924+"n/&gt;!&amp;k."</f>
        <v>#VALUE!</v>
      </c>
      <c r="DH117" t="e">
        <f>'All regions'!C2924+"n/&gt;!&amp;k/"</f>
        <v>#VALUE!</v>
      </c>
      <c r="DI117" t="e">
        <f>'All regions'!D2924+"n/&gt;!&amp;k0"</f>
        <v>#VALUE!</v>
      </c>
      <c r="DJ117" t="e">
        <f>'All regions'!E2924+"n/&gt;!&amp;k1"</f>
        <v>#VALUE!</v>
      </c>
      <c r="DK117" t="e">
        <f>'All regions'!F2924+"n/&gt;!&amp;k2"</f>
        <v>#VALUE!</v>
      </c>
      <c r="DL117" t="e">
        <f>'All regions'!G2924+"n/&gt;!&amp;k3"</f>
        <v>#VALUE!</v>
      </c>
      <c r="DM117" t="e">
        <f>'All regions'!H2924+"n/&gt;!&amp;k4"</f>
        <v>#VALUE!</v>
      </c>
      <c r="DN117" t="e">
        <f>'All regions'!I2924+"n/&gt;!&amp;k5"</f>
        <v>#VALUE!</v>
      </c>
      <c r="DO117" t="e">
        <f>'All regions'!J2924+"n/&gt;!&amp;k6"</f>
        <v>#VALUE!</v>
      </c>
      <c r="DP117" t="e">
        <f>'All regions'!A2925+"n/&gt;!&amp;k7"</f>
        <v>#VALUE!</v>
      </c>
      <c r="DQ117" t="e">
        <f>'All regions'!B2925+"n/&gt;!&amp;k8"</f>
        <v>#VALUE!</v>
      </c>
      <c r="DR117" t="e">
        <f>'All regions'!C2925+"n/&gt;!&amp;k9"</f>
        <v>#VALUE!</v>
      </c>
      <c r="DS117" t="e">
        <f>'All regions'!D2925+"n/&gt;!&amp;k:"</f>
        <v>#VALUE!</v>
      </c>
      <c r="DT117" t="e">
        <f>'All regions'!E2925+"n/&gt;!&amp;k;"</f>
        <v>#VALUE!</v>
      </c>
      <c r="DU117" t="e">
        <f>'All regions'!F2925+"n/&gt;!&amp;k&lt;"</f>
        <v>#VALUE!</v>
      </c>
      <c r="DV117" t="e">
        <f>'All regions'!G2925+"n/&gt;!&amp;k="</f>
        <v>#VALUE!</v>
      </c>
      <c r="DW117" t="e">
        <f>'All regions'!H2925+"n/&gt;!&amp;k&gt;"</f>
        <v>#VALUE!</v>
      </c>
      <c r="DX117" t="e">
        <f>'All regions'!I2925+"n/&gt;!&amp;k?"</f>
        <v>#VALUE!</v>
      </c>
      <c r="DY117" t="e">
        <f>'All regions'!J2925+"n/&gt;!&amp;k@"</f>
        <v>#VALUE!</v>
      </c>
      <c r="DZ117" t="e">
        <f>'All regions'!A2926+"n/&gt;!&amp;kA"</f>
        <v>#VALUE!</v>
      </c>
      <c r="EA117" t="e">
        <f>'All regions'!B2926+"n/&gt;!&amp;kB"</f>
        <v>#VALUE!</v>
      </c>
      <c r="EB117" t="e">
        <f>'All regions'!C2926+"n/&gt;!&amp;kC"</f>
        <v>#VALUE!</v>
      </c>
      <c r="EC117" t="e">
        <f>'All regions'!D2926+"n/&gt;!&amp;kD"</f>
        <v>#VALUE!</v>
      </c>
      <c r="ED117" t="e">
        <f>'All regions'!E2926+"n/&gt;!&amp;kE"</f>
        <v>#VALUE!</v>
      </c>
      <c r="EE117" t="e">
        <f>'All regions'!F2926+"n/&gt;!&amp;kF"</f>
        <v>#VALUE!</v>
      </c>
      <c r="EF117" t="e">
        <f>'All regions'!G2926+"n/&gt;!&amp;kG"</f>
        <v>#VALUE!</v>
      </c>
      <c r="EG117" t="e">
        <f>'All regions'!H2926+"n/&gt;!&amp;kH"</f>
        <v>#VALUE!</v>
      </c>
      <c r="EH117" t="e">
        <f>'All regions'!I2926+"n/&gt;!&amp;kI"</f>
        <v>#VALUE!</v>
      </c>
      <c r="EI117" t="e">
        <f>'All regions'!J2926+"n/&gt;!&amp;kJ"</f>
        <v>#VALUE!</v>
      </c>
      <c r="EJ117" t="e">
        <f>'All regions'!A2927+"n/&gt;!&amp;kK"</f>
        <v>#VALUE!</v>
      </c>
      <c r="EK117" t="e">
        <f>'All regions'!B2927+"n/&gt;!&amp;kL"</f>
        <v>#VALUE!</v>
      </c>
      <c r="EL117" t="e">
        <f>'All regions'!C2927+"n/&gt;!&amp;kM"</f>
        <v>#VALUE!</v>
      </c>
      <c r="EM117" t="e">
        <f>'All regions'!D2927+"n/&gt;!&amp;kN"</f>
        <v>#VALUE!</v>
      </c>
      <c r="EN117" t="e">
        <f>'All regions'!E2927+"n/&gt;!&amp;kO"</f>
        <v>#VALUE!</v>
      </c>
      <c r="EO117" t="e">
        <f>'All regions'!F2927+"n/&gt;!&amp;kP"</f>
        <v>#VALUE!</v>
      </c>
      <c r="EP117" t="e">
        <f>'All regions'!G2927+"n/&gt;!&amp;kQ"</f>
        <v>#VALUE!</v>
      </c>
      <c r="EQ117" t="e">
        <f>'All regions'!H2927+"n/&gt;!&amp;kR"</f>
        <v>#VALUE!</v>
      </c>
      <c r="ER117" t="e">
        <f>'All regions'!I2927+"n/&gt;!&amp;kS"</f>
        <v>#VALUE!</v>
      </c>
      <c r="ES117" t="e">
        <f>'All regions'!J2927+"n/&gt;!&amp;kT"</f>
        <v>#VALUE!</v>
      </c>
      <c r="ET117" t="e">
        <f>'All regions'!A2928+"n/&gt;!&amp;kU"</f>
        <v>#VALUE!</v>
      </c>
      <c r="EU117" t="e">
        <f>'All regions'!B2928+"n/&gt;!&amp;kV"</f>
        <v>#VALUE!</v>
      </c>
      <c r="EV117" t="e">
        <f>'All regions'!C2928+"n/&gt;!&amp;kW"</f>
        <v>#VALUE!</v>
      </c>
      <c r="EW117" t="e">
        <f>'All regions'!D2928+"n/&gt;!&amp;kX"</f>
        <v>#VALUE!</v>
      </c>
      <c r="EX117" t="e">
        <f>'All regions'!E2928+"n/&gt;!&amp;kY"</f>
        <v>#VALUE!</v>
      </c>
      <c r="EY117" t="e">
        <f>'All regions'!F2928+"n/&gt;!&amp;kZ"</f>
        <v>#VALUE!</v>
      </c>
      <c r="EZ117" t="e">
        <f>'All regions'!G2928+"n/&gt;!&amp;k["</f>
        <v>#VALUE!</v>
      </c>
      <c r="FA117" t="e">
        <f>'All regions'!H2928+"n/&gt;!&amp;k\"</f>
        <v>#VALUE!</v>
      </c>
      <c r="FB117" t="e">
        <f>'All regions'!I2928+"n/&gt;!&amp;k]"</f>
        <v>#VALUE!</v>
      </c>
      <c r="FC117" t="e">
        <f>'All regions'!J2928+"n/&gt;!&amp;k^"</f>
        <v>#VALUE!</v>
      </c>
      <c r="FD117" t="e">
        <f>'All regions'!A2929+"n/&gt;!&amp;k_"</f>
        <v>#VALUE!</v>
      </c>
      <c r="FE117" t="e">
        <f>'All regions'!B2929+"n/&gt;!&amp;k`"</f>
        <v>#VALUE!</v>
      </c>
      <c r="FF117" t="e">
        <f>'All regions'!C2929+"n/&gt;!&amp;ka"</f>
        <v>#VALUE!</v>
      </c>
      <c r="FG117" t="e">
        <f>'All regions'!D2929+"n/&gt;!&amp;kb"</f>
        <v>#VALUE!</v>
      </c>
      <c r="FH117" t="e">
        <f>'All regions'!E2929+"n/&gt;!&amp;kc"</f>
        <v>#VALUE!</v>
      </c>
      <c r="FI117" t="e">
        <f>'All regions'!F2929+"n/&gt;!&amp;kd"</f>
        <v>#VALUE!</v>
      </c>
      <c r="FJ117" t="e">
        <f>'All regions'!G2929+"n/&gt;!&amp;ke"</f>
        <v>#VALUE!</v>
      </c>
      <c r="FK117" t="e">
        <f>'All regions'!H2929+"n/&gt;!&amp;kf"</f>
        <v>#VALUE!</v>
      </c>
      <c r="FL117" t="e">
        <f>'All regions'!I2929+"n/&gt;!&amp;kg"</f>
        <v>#VALUE!</v>
      </c>
      <c r="FM117" t="e">
        <f>'All regions'!J2929+"n/&gt;!&amp;kh"</f>
        <v>#VALUE!</v>
      </c>
      <c r="FN117" t="e">
        <f>'All regions'!A2930+"n/&gt;!&amp;ki"</f>
        <v>#VALUE!</v>
      </c>
      <c r="FO117" t="e">
        <f>'All regions'!B2930+"n/&gt;!&amp;kj"</f>
        <v>#VALUE!</v>
      </c>
      <c r="FP117" t="e">
        <f>'All regions'!C2930+"n/&gt;!&amp;kk"</f>
        <v>#VALUE!</v>
      </c>
      <c r="FQ117" t="e">
        <f>'All regions'!D2930+"n/&gt;!&amp;kl"</f>
        <v>#VALUE!</v>
      </c>
      <c r="FR117" t="e">
        <f>'All regions'!E2930+"n/&gt;!&amp;km"</f>
        <v>#VALUE!</v>
      </c>
      <c r="FS117" t="e">
        <f>'All regions'!F2930+"n/&gt;!&amp;kn"</f>
        <v>#VALUE!</v>
      </c>
      <c r="FT117" t="e">
        <f>'All regions'!G2930+"n/&gt;!&amp;ko"</f>
        <v>#VALUE!</v>
      </c>
      <c r="FU117" t="e">
        <f>'All regions'!H2930+"n/&gt;!&amp;kp"</f>
        <v>#VALUE!</v>
      </c>
      <c r="FV117" t="e">
        <f>'All regions'!I2930+"n/&gt;!&amp;kq"</f>
        <v>#VALUE!</v>
      </c>
      <c r="FW117" t="e">
        <f>'All regions'!J2930+"n/&gt;!&amp;kr"</f>
        <v>#VALUE!</v>
      </c>
      <c r="FX117" t="e">
        <f>'All regions'!A2931+"n/&gt;!&amp;ks"</f>
        <v>#VALUE!</v>
      </c>
      <c r="FY117" t="e">
        <f>'All regions'!B2931+"n/&gt;!&amp;kt"</f>
        <v>#VALUE!</v>
      </c>
      <c r="FZ117" t="e">
        <f>'All regions'!C2931+"n/&gt;!&amp;ku"</f>
        <v>#VALUE!</v>
      </c>
      <c r="GA117" t="e">
        <f>'All regions'!D2931+"n/&gt;!&amp;kv"</f>
        <v>#VALUE!</v>
      </c>
      <c r="GB117" t="e">
        <f>'All regions'!E2931+"n/&gt;!&amp;kw"</f>
        <v>#VALUE!</v>
      </c>
      <c r="GC117" t="e">
        <f>'All regions'!F2931+"n/&gt;!&amp;kx"</f>
        <v>#VALUE!</v>
      </c>
      <c r="GD117" t="e">
        <f>'All regions'!G2931+"n/&gt;!&amp;ky"</f>
        <v>#VALUE!</v>
      </c>
      <c r="GE117" t="e">
        <f>'All regions'!H2931+"n/&gt;!&amp;kz"</f>
        <v>#VALUE!</v>
      </c>
      <c r="GF117" t="e">
        <f>'All regions'!I2931+"n/&gt;!&amp;k{"</f>
        <v>#VALUE!</v>
      </c>
      <c r="GG117" t="e">
        <f>'All regions'!J2931+"n/&gt;!&amp;k|"</f>
        <v>#VALUE!</v>
      </c>
      <c r="GH117" t="e">
        <f>'All regions'!A2932+"n/&gt;!&amp;k}"</f>
        <v>#VALUE!</v>
      </c>
      <c r="GI117" t="e">
        <f>'All regions'!B2932+"n/&gt;!&amp;k~"</f>
        <v>#VALUE!</v>
      </c>
      <c r="GJ117" t="e">
        <f>'All regions'!C2932+"n/&gt;!&amp;l#"</f>
        <v>#VALUE!</v>
      </c>
      <c r="GK117" t="e">
        <f>'All regions'!D2932+"n/&gt;!&amp;l$"</f>
        <v>#VALUE!</v>
      </c>
      <c r="GL117" t="e">
        <f>'All regions'!E2932+"n/&gt;!&amp;l%"</f>
        <v>#VALUE!</v>
      </c>
      <c r="GM117" t="e">
        <f>'All regions'!F2932+"n/&gt;!&amp;l&amp;"</f>
        <v>#VALUE!</v>
      </c>
      <c r="GN117" t="e">
        <f>'All regions'!G2932+"n/&gt;!&amp;l'"</f>
        <v>#VALUE!</v>
      </c>
      <c r="GO117" t="e">
        <f>'All regions'!H2932+"n/&gt;!&amp;l("</f>
        <v>#VALUE!</v>
      </c>
      <c r="GP117" t="e">
        <f>'All regions'!I2932+"n/&gt;!&amp;l)"</f>
        <v>#VALUE!</v>
      </c>
      <c r="GQ117" t="e">
        <f>'All regions'!J2932+"n/&gt;!&amp;l."</f>
        <v>#VALUE!</v>
      </c>
      <c r="GR117" t="e">
        <f>'All regions'!A2933+"n/&gt;!&amp;l/"</f>
        <v>#VALUE!</v>
      </c>
      <c r="GS117" t="e">
        <f>'All regions'!B2933+"n/&gt;!&amp;l0"</f>
        <v>#VALUE!</v>
      </c>
      <c r="GT117" t="e">
        <f>'All regions'!C2933+"n/&gt;!&amp;l1"</f>
        <v>#VALUE!</v>
      </c>
      <c r="GU117" t="e">
        <f>'All regions'!D2933+"n/&gt;!&amp;l2"</f>
        <v>#VALUE!</v>
      </c>
      <c r="GV117" t="e">
        <f>'All regions'!E2933+"n/&gt;!&amp;l3"</f>
        <v>#VALUE!</v>
      </c>
      <c r="GW117" t="e">
        <f>'All regions'!F2933+"n/&gt;!&amp;l4"</f>
        <v>#VALUE!</v>
      </c>
      <c r="GX117" t="e">
        <f>'All regions'!G2933+"n/&gt;!&amp;l5"</f>
        <v>#VALUE!</v>
      </c>
      <c r="GY117" t="e">
        <f>'All regions'!H2933+"n/&gt;!&amp;l6"</f>
        <v>#VALUE!</v>
      </c>
      <c r="GZ117" t="e">
        <f>'All regions'!I2933+"n/&gt;!&amp;l7"</f>
        <v>#VALUE!</v>
      </c>
      <c r="HA117" t="e">
        <f>'All regions'!J2933+"n/&gt;!&amp;l8"</f>
        <v>#VALUE!</v>
      </c>
      <c r="HB117" t="e">
        <f>'All regions'!A2934+"n/&gt;!&amp;l9"</f>
        <v>#VALUE!</v>
      </c>
      <c r="HC117" t="e">
        <f>'All regions'!B2934+"n/&gt;!&amp;l:"</f>
        <v>#VALUE!</v>
      </c>
      <c r="HD117" t="e">
        <f>'All regions'!C2934+"n/&gt;!&amp;l;"</f>
        <v>#VALUE!</v>
      </c>
      <c r="HE117" t="e">
        <f>'All regions'!D2934+"n/&gt;!&amp;l&lt;"</f>
        <v>#VALUE!</v>
      </c>
      <c r="HF117" t="e">
        <f>'All regions'!E2934+"n/&gt;!&amp;l="</f>
        <v>#VALUE!</v>
      </c>
      <c r="HG117" t="e">
        <f>'All regions'!F2934+"n/&gt;!&amp;l&gt;"</f>
        <v>#VALUE!</v>
      </c>
      <c r="HH117" t="e">
        <f>'All regions'!G2934+"n/&gt;!&amp;l?"</f>
        <v>#VALUE!</v>
      </c>
      <c r="HI117" t="e">
        <f>'All regions'!H2934+"n/&gt;!&amp;l@"</f>
        <v>#VALUE!</v>
      </c>
      <c r="HJ117" t="e">
        <f>'All regions'!I2934+"n/&gt;!&amp;lA"</f>
        <v>#VALUE!</v>
      </c>
      <c r="HK117" t="e">
        <f>'All regions'!J2934+"n/&gt;!&amp;lB"</f>
        <v>#VALUE!</v>
      </c>
      <c r="HL117" t="e">
        <f>'All regions'!A2935+"n/&gt;!&amp;lC"</f>
        <v>#VALUE!</v>
      </c>
      <c r="HM117" t="e">
        <f>'All regions'!B2935+"n/&gt;!&amp;lD"</f>
        <v>#VALUE!</v>
      </c>
      <c r="HN117" t="e">
        <f>'All regions'!C2935+"n/&gt;!&amp;lE"</f>
        <v>#VALUE!</v>
      </c>
      <c r="HO117" t="e">
        <f>'All regions'!D2935+"n/&gt;!&amp;lF"</f>
        <v>#VALUE!</v>
      </c>
      <c r="HP117" t="e">
        <f>'All regions'!E2935+"n/&gt;!&amp;lG"</f>
        <v>#VALUE!</v>
      </c>
      <c r="HQ117" t="e">
        <f>'All regions'!F2935+"n/&gt;!&amp;lH"</f>
        <v>#VALUE!</v>
      </c>
      <c r="HR117" t="e">
        <f>'All regions'!G2935+"n/&gt;!&amp;lI"</f>
        <v>#VALUE!</v>
      </c>
      <c r="HS117" t="e">
        <f>'All regions'!H2935+"n/&gt;!&amp;lJ"</f>
        <v>#VALUE!</v>
      </c>
      <c r="HT117" t="e">
        <f>'All regions'!I2935+"n/&gt;!&amp;lK"</f>
        <v>#VALUE!</v>
      </c>
      <c r="HU117" t="e">
        <f>'All regions'!J2935+"n/&gt;!&amp;lL"</f>
        <v>#VALUE!</v>
      </c>
      <c r="HV117" t="e">
        <f>'All regions'!A2936+"n/&gt;!&amp;lM"</f>
        <v>#VALUE!</v>
      </c>
      <c r="HW117" t="e">
        <f>'All regions'!B2936+"n/&gt;!&amp;lN"</f>
        <v>#VALUE!</v>
      </c>
      <c r="HX117" t="e">
        <f>'All regions'!C2936+"n/&gt;!&amp;lO"</f>
        <v>#VALUE!</v>
      </c>
      <c r="HY117" t="e">
        <f>'All regions'!D2936+"n/&gt;!&amp;lP"</f>
        <v>#VALUE!</v>
      </c>
      <c r="HZ117" t="e">
        <f>'All regions'!E2936+"n/&gt;!&amp;lQ"</f>
        <v>#VALUE!</v>
      </c>
      <c r="IA117" t="e">
        <f>'All regions'!F2936+"n/&gt;!&amp;lR"</f>
        <v>#VALUE!</v>
      </c>
      <c r="IB117" t="e">
        <f>'All regions'!G2936+"n/&gt;!&amp;lS"</f>
        <v>#VALUE!</v>
      </c>
      <c r="IC117" t="e">
        <f>'All regions'!H2936+"n/&gt;!&amp;lT"</f>
        <v>#VALUE!</v>
      </c>
      <c r="ID117" t="e">
        <f>'All regions'!I2936+"n/&gt;!&amp;lU"</f>
        <v>#VALUE!</v>
      </c>
      <c r="IE117" t="e">
        <f>'All regions'!J2936+"n/&gt;!&amp;lV"</f>
        <v>#VALUE!</v>
      </c>
      <c r="IF117" t="e">
        <f>'All regions'!A2937+"n/&gt;!&amp;lW"</f>
        <v>#VALUE!</v>
      </c>
      <c r="IG117" t="e">
        <f>'All regions'!B2937+"n/&gt;!&amp;lX"</f>
        <v>#VALUE!</v>
      </c>
      <c r="IH117" t="e">
        <f>'All regions'!C2937+"n/&gt;!&amp;lY"</f>
        <v>#VALUE!</v>
      </c>
      <c r="II117" t="e">
        <f>'All regions'!D2937+"n/&gt;!&amp;lZ"</f>
        <v>#VALUE!</v>
      </c>
      <c r="IJ117" t="e">
        <f>'All regions'!E2937+"n/&gt;!&amp;l["</f>
        <v>#VALUE!</v>
      </c>
      <c r="IK117" t="e">
        <f>'All regions'!F2937+"n/&gt;!&amp;l\"</f>
        <v>#VALUE!</v>
      </c>
      <c r="IL117" t="e">
        <f>'All regions'!G2937+"n/&gt;!&amp;l]"</f>
        <v>#VALUE!</v>
      </c>
      <c r="IM117" t="e">
        <f>'All regions'!H2937+"n/&gt;!&amp;l^"</f>
        <v>#VALUE!</v>
      </c>
      <c r="IN117" t="e">
        <f>'All regions'!I2937+"n/&gt;!&amp;l_"</f>
        <v>#VALUE!</v>
      </c>
      <c r="IO117" t="e">
        <f>'All regions'!J2937+"n/&gt;!&amp;l`"</f>
        <v>#VALUE!</v>
      </c>
      <c r="IP117" t="e">
        <f>'All regions'!A2938+"n/&gt;!&amp;la"</f>
        <v>#VALUE!</v>
      </c>
      <c r="IQ117" t="e">
        <f>'All regions'!B2938+"n/&gt;!&amp;lb"</f>
        <v>#VALUE!</v>
      </c>
      <c r="IR117" t="e">
        <f>'All regions'!C2938+"n/&gt;!&amp;lc"</f>
        <v>#VALUE!</v>
      </c>
      <c r="IS117" t="e">
        <f>'All regions'!D2938+"n/&gt;!&amp;ld"</f>
        <v>#VALUE!</v>
      </c>
      <c r="IT117" t="e">
        <f>'All regions'!E2938+"n/&gt;!&amp;le"</f>
        <v>#VALUE!</v>
      </c>
      <c r="IU117" t="e">
        <f>'All regions'!F2938+"n/&gt;!&amp;lf"</f>
        <v>#VALUE!</v>
      </c>
      <c r="IV117" t="e">
        <f>'All regions'!G2938+"n/&gt;!&amp;lg"</f>
        <v>#VALUE!</v>
      </c>
    </row>
    <row r="118" spans="6:256" x14ac:dyDescent="0.35">
      <c r="F118" t="e">
        <f>'All regions'!H2938+"n/&gt;!&amp;lh"</f>
        <v>#VALUE!</v>
      </c>
      <c r="G118" t="e">
        <f>'All regions'!I2938+"n/&gt;!&amp;li"</f>
        <v>#VALUE!</v>
      </c>
      <c r="H118" t="e">
        <f>'All regions'!J2938+"n/&gt;!&amp;lj"</f>
        <v>#VALUE!</v>
      </c>
      <c r="I118" t="e">
        <f>'All regions'!A2939+"n/&gt;!&amp;lk"</f>
        <v>#VALUE!</v>
      </c>
      <c r="J118" t="e">
        <f>'All regions'!B2939+"n/&gt;!&amp;ll"</f>
        <v>#VALUE!</v>
      </c>
      <c r="K118" t="e">
        <f>'All regions'!C2939+"n/&gt;!&amp;lm"</f>
        <v>#VALUE!</v>
      </c>
      <c r="L118" t="e">
        <f>'All regions'!D2939+"n/&gt;!&amp;ln"</f>
        <v>#VALUE!</v>
      </c>
      <c r="M118" t="e">
        <f>'All regions'!E2939+"n/&gt;!&amp;lo"</f>
        <v>#VALUE!</v>
      </c>
      <c r="N118" t="e">
        <f>'All regions'!F2939+"n/&gt;!&amp;lp"</f>
        <v>#VALUE!</v>
      </c>
      <c r="O118" t="e">
        <f>'All regions'!G2939+"n/&gt;!&amp;lq"</f>
        <v>#VALUE!</v>
      </c>
      <c r="P118" t="e">
        <f>'All regions'!H2939+"n/&gt;!&amp;lr"</f>
        <v>#VALUE!</v>
      </c>
      <c r="Q118" t="e">
        <f>'All regions'!I2939+"n/&gt;!&amp;ls"</f>
        <v>#VALUE!</v>
      </c>
      <c r="R118" t="e">
        <f>'All regions'!J2939+"n/&gt;!&amp;lt"</f>
        <v>#VALUE!</v>
      </c>
      <c r="S118" t="e">
        <f>'All regions'!A2940+"n/&gt;!&amp;lu"</f>
        <v>#VALUE!</v>
      </c>
      <c r="T118" t="e">
        <f>'All regions'!B2940+"n/&gt;!&amp;lv"</f>
        <v>#VALUE!</v>
      </c>
      <c r="U118" t="e">
        <f>'All regions'!C2940+"n/&gt;!&amp;lw"</f>
        <v>#VALUE!</v>
      </c>
      <c r="V118" t="e">
        <f>'All regions'!D2940+"n/&gt;!&amp;lx"</f>
        <v>#VALUE!</v>
      </c>
      <c r="W118" t="e">
        <f>'All regions'!E2940+"n/&gt;!&amp;ly"</f>
        <v>#VALUE!</v>
      </c>
      <c r="X118" t="e">
        <f>'All regions'!F2940+"n/&gt;!&amp;lz"</f>
        <v>#VALUE!</v>
      </c>
      <c r="Y118" t="e">
        <f>'All regions'!G2940+"n/&gt;!&amp;l{"</f>
        <v>#VALUE!</v>
      </c>
      <c r="Z118" t="e">
        <f>'All regions'!H2940+"n/&gt;!&amp;l|"</f>
        <v>#VALUE!</v>
      </c>
      <c r="AA118" t="e">
        <f>'All regions'!I2940+"n/&gt;!&amp;l}"</f>
        <v>#VALUE!</v>
      </c>
      <c r="AB118" t="e">
        <f>'All regions'!J2940+"n/&gt;!&amp;l~"</f>
        <v>#VALUE!</v>
      </c>
      <c r="AC118" t="e">
        <f>'All regions'!A2941+"n/&gt;!&amp;m#"</f>
        <v>#VALUE!</v>
      </c>
      <c r="AD118" t="e">
        <f>'All regions'!B2941+"n/&gt;!&amp;m$"</f>
        <v>#VALUE!</v>
      </c>
      <c r="AE118" t="e">
        <f>'All regions'!C2941+"n/&gt;!&amp;m%"</f>
        <v>#VALUE!</v>
      </c>
      <c r="AF118" t="e">
        <f>'All regions'!D2941+"n/&gt;!&amp;m&amp;"</f>
        <v>#VALUE!</v>
      </c>
      <c r="AG118" t="e">
        <f>'All regions'!E2941+"n/&gt;!&amp;m'"</f>
        <v>#VALUE!</v>
      </c>
      <c r="AH118" t="e">
        <f>'All regions'!F2941+"n/&gt;!&amp;m("</f>
        <v>#VALUE!</v>
      </c>
      <c r="AI118" t="e">
        <f>'All regions'!G2941+"n/&gt;!&amp;m)"</f>
        <v>#VALUE!</v>
      </c>
      <c r="AJ118" t="e">
        <f>'All regions'!H2941+"n/&gt;!&amp;m."</f>
        <v>#VALUE!</v>
      </c>
      <c r="AK118" t="e">
        <f>'All regions'!I2941+"n/&gt;!&amp;m/"</f>
        <v>#VALUE!</v>
      </c>
      <c r="AL118" t="e">
        <f>'All regions'!J2941+"n/&gt;!&amp;m0"</f>
        <v>#VALUE!</v>
      </c>
      <c r="AM118" t="e">
        <f>'All regions'!A2942+"n/&gt;!&amp;m1"</f>
        <v>#VALUE!</v>
      </c>
      <c r="AN118" t="e">
        <f>'All regions'!B2942+"n/&gt;!&amp;m2"</f>
        <v>#VALUE!</v>
      </c>
      <c r="AO118" t="e">
        <f>'All regions'!C2942+"n/&gt;!&amp;m3"</f>
        <v>#VALUE!</v>
      </c>
      <c r="AP118" t="e">
        <f>'All regions'!D2942+"n/&gt;!&amp;m4"</f>
        <v>#VALUE!</v>
      </c>
      <c r="AQ118" t="e">
        <f>'All regions'!E2942+"n/&gt;!&amp;m5"</f>
        <v>#VALUE!</v>
      </c>
      <c r="AR118" t="e">
        <f>'All regions'!F2942+"n/&gt;!&amp;m6"</f>
        <v>#VALUE!</v>
      </c>
      <c r="AS118" t="e">
        <f>'All regions'!G2942+"n/&gt;!&amp;m7"</f>
        <v>#VALUE!</v>
      </c>
      <c r="AT118" t="e">
        <f>'All regions'!H2942+"n/&gt;!&amp;m8"</f>
        <v>#VALUE!</v>
      </c>
      <c r="AU118" t="e">
        <f>'All regions'!I2942+"n/&gt;!&amp;m9"</f>
        <v>#VALUE!</v>
      </c>
      <c r="AV118" t="e">
        <f>'All regions'!J2942+"n/&gt;!&amp;m:"</f>
        <v>#VALUE!</v>
      </c>
      <c r="AW118" t="e">
        <f>'All regions'!A2943+"n/&gt;!&amp;m;"</f>
        <v>#VALUE!</v>
      </c>
      <c r="AX118" t="e">
        <f>'All regions'!B2943+"n/&gt;!&amp;m&lt;"</f>
        <v>#VALUE!</v>
      </c>
      <c r="AY118" t="e">
        <f>'All regions'!C2943+"n/&gt;!&amp;m="</f>
        <v>#VALUE!</v>
      </c>
      <c r="AZ118" t="e">
        <f>'All regions'!D2943+"n/&gt;!&amp;m&gt;"</f>
        <v>#VALUE!</v>
      </c>
      <c r="BA118" t="e">
        <f>'All regions'!E2943+"n/&gt;!&amp;m?"</f>
        <v>#VALUE!</v>
      </c>
      <c r="BB118" t="e">
        <f>'All regions'!F2943+"n/&gt;!&amp;m@"</f>
        <v>#VALUE!</v>
      </c>
      <c r="BC118" t="e">
        <f>'All regions'!G2943+"n/&gt;!&amp;mA"</f>
        <v>#VALUE!</v>
      </c>
      <c r="BD118" t="e">
        <f>'All regions'!H2943+"n/&gt;!&amp;mB"</f>
        <v>#VALUE!</v>
      </c>
      <c r="BE118" t="e">
        <f>'All regions'!I2943+"n/&gt;!&amp;mC"</f>
        <v>#VALUE!</v>
      </c>
      <c r="BF118" t="e">
        <f>'All regions'!J2943+"n/&gt;!&amp;mD"</f>
        <v>#VALUE!</v>
      </c>
      <c r="BG118" t="e">
        <f>'All regions'!A2944+"n/&gt;!&amp;mE"</f>
        <v>#VALUE!</v>
      </c>
      <c r="BH118" t="e">
        <f>'All regions'!B2944+"n/&gt;!&amp;mF"</f>
        <v>#VALUE!</v>
      </c>
      <c r="BI118" t="e">
        <f>'All regions'!C2944+"n/&gt;!&amp;mG"</f>
        <v>#VALUE!</v>
      </c>
      <c r="BJ118" t="e">
        <f>'All regions'!D2944+"n/&gt;!&amp;mH"</f>
        <v>#VALUE!</v>
      </c>
      <c r="BK118" t="e">
        <f>'All regions'!E2944+"n/&gt;!&amp;mI"</f>
        <v>#VALUE!</v>
      </c>
      <c r="BL118" t="e">
        <f>'All regions'!F2944+"n/&gt;!&amp;mJ"</f>
        <v>#VALUE!</v>
      </c>
      <c r="BM118" t="e">
        <f>'All regions'!G2944+"n/&gt;!&amp;mK"</f>
        <v>#VALUE!</v>
      </c>
      <c r="BN118" t="e">
        <f>'All regions'!H2944+"n/&gt;!&amp;mL"</f>
        <v>#VALUE!</v>
      </c>
      <c r="BO118" t="e">
        <f>'All regions'!I2944+"n/&gt;!&amp;mM"</f>
        <v>#VALUE!</v>
      </c>
      <c r="BP118" t="e">
        <f>'All regions'!J2944+"n/&gt;!&amp;mN"</f>
        <v>#VALUE!</v>
      </c>
      <c r="BQ118" t="e">
        <f>'All regions'!A2945+"n/&gt;!&amp;mO"</f>
        <v>#VALUE!</v>
      </c>
      <c r="BR118" t="e">
        <f>'All regions'!B2945+"n/&gt;!&amp;mP"</f>
        <v>#VALUE!</v>
      </c>
      <c r="BS118" t="e">
        <f>'All regions'!C2945+"n/&gt;!&amp;mQ"</f>
        <v>#VALUE!</v>
      </c>
      <c r="BT118" t="e">
        <f>'All regions'!D2945+"n/&gt;!&amp;mR"</f>
        <v>#VALUE!</v>
      </c>
      <c r="BU118" t="e">
        <f>'All regions'!E2945+"n/&gt;!&amp;mS"</f>
        <v>#VALUE!</v>
      </c>
      <c r="BV118" t="e">
        <f>'All regions'!F2945+"n/&gt;!&amp;mT"</f>
        <v>#VALUE!</v>
      </c>
      <c r="BW118" t="e">
        <f>'All regions'!G2945+"n/&gt;!&amp;mU"</f>
        <v>#VALUE!</v>
      </c>
      <c r="BX118" t="e">
        <f>'All regions'!H2945+"n/&gt;!&amp;mV"</f>
        <v>#VALUE!</v>
      </c>
      <c r="BY118" t="e">
        <f>'All regions'!I2945+"n/&gt;!&amp;mW"</f>
        <v>#VALUE!</v>
      </c>
      <c r="BZ118" t="e">
        <f>'All regions'!J2945+"n/&gt;!&amp;mX"</f>
        <v>#VALUE!</v>
      </c>
      <c r="CA118" t="e">
        <f>'All regions'!A2946+"n/&gt;!&amp;mY"</f>
        <v>#VALUE!</v>
      </c>
      <c r="CB118" t="e">
        <f>'All regions'!B2946+"n/&gt;!&amp;mZ"</f>
        <v>#VALUE!</v>
      </c>
      <c r="CC118" t="e">
        <f>'All regions'!C2946+"n/&gt;!&amp;m["</f>
        <v>#VALUE!</v>
      </c>
      <c r="CD118" t="e">
        <f>'All regions'!D2946+"n/&gt;!&amp;m\"</f>
        <v>#VALUE!</v>
      </c>
      <c r="CE118" t="e">
        <f>'All regions'!E2946+"n/&gt;!&amp;m]"</f>
        <v>#VALUE!</v>
      </c>
      <c r="CF118" t="e">
        <f>'All regions'!F2946+"n/&gt;!&amp;m^"</f>
        <v>#VALUE!</v>
      </c>
      <c r="CG118" t="e">
        <f>'All regions'!G2946+"n/&gt;!&amp;m_"</f>
        <v>#VALUE!</v>
      </c>
      <c r="CH118" t="e">
        <f>'All regions'!H2946+"n/&gt;!&amp;m`"</f>
        <v>#VALUE!</v>
      </c>
      <c r="CI118" t="e">
        <f>'All regions'!I2946+"n/&gt;!&amp;ma"</f>
        <v>#VALUE!</v>
      </c>
      <c r="CJ118" t="e">
        <f>'All regions'!J2946+"n/&gt;!&amp;mb"</f>
        <v>#VALUE!</v>
      </c>
      <c r="CK118" t="e">
        <f>'All regions'!A2947+"n/&gt;!&amp;mc"</f>
        <v>#VALUE!</v>
      </c>
      <c r="CL118" t="e">
        <f>'All regions'!B2947+"n/&gt;!&amp;md"</f>
        <v>#VALUE!</v>
      </c>
      <c r="CM118" t="e">
        <f>'All regions'!C2947+"n/&gt;!&amp;me"</f>
        <v>#VALUE!</v>
      </c>
      <c r="CN118" t="e">
        <f>'All regions'!D2947+"n/&gt;!&amp;mf"</f>
        <v>#VALUE!</v>
      </c>
      <c r="CO118" t="e">
        <f>'All regions'!E2947+"n/&gt;!&amp;mg"</f>
        <v>#VALUE!</v>
      </c>
      <c r="CP118" t="e">
        <f>'All regions'!F2947+"n/&gt;!&amp;mh"</f>
        <v>#VALUE!</v>
      </c>
      <c r="CQ118" t="e">
        <f>'All regions'!G2947+"n/&gt;!&amp;mi"</f>
        <v>#VALUE!</v>
      </c>
      <c r="CR118" t="e">
        <f>'All regions'!H2947+"n/&gt;!&amp;mj"</f>
        <v>#VALUE!</v>
      </c>
      <c r="CS118" t="e">
        <f>'All regions'!I2947+"n/&gt;!&amp;mk"</f>
        <v>#VALUE!</v>
      </c>
      <c r="CT118" t="e">
        <f>'All regions'!J2947+"n/&gt;!&amp;ml"</f>
        <v>#VALUE!</v>
      </c>
      <c r="CU118" t="e">
        <f>'All regions'!A2948+"n/&gt;!&amp;mm"</f>
        <v>#VALUE!</v>
      </c>
      <c r="CV118" t="e">
        <f>'All regions'!B2948+"n/&gt;!&amp;mn"</f>
        <v>#VALUE!</v>
      </c>
      <c r="CW118" t="e">
        <f>'All regions'!C2948+"n/&gt;!&amp;mo"</f>
        <v>#VALUE!</v>
      </c>
      <c r="CX118" t="e">
        <f>'All regions'!D2948+"n/&gt;!&amp;mp"</f>
        <v>#VALUE!</v>
      </c>
      <c r="CY118" t="e">
        <f>'All regions'!E2948+"n/&gt;!&amp;mq"</f>
        <v>#VALUE!</v>
      </c>
      <c r="CZ118" t="e">
        <f>'All regions'!F2948+"n/&gt;!&amp;mr"</f>
        <v>#VALUE!</v>
      </c>
      <c r="DA118" t="e">
        <f>'All regions'!G2948+"n/&gt;!&amp;ms"</f>
        <v>#VALUE!</v>
      </c>
      <c r="DB118" t="e">
        <f>'All regions'!H2948+"n/&gt;!&amp;mt"</f>
        <v>#VALUE!</v>
      </c>
      <c r="DC118" t="e">
        <f>'All regions'!I2948+"n/&gt;!&amp;mu"</f>
        <v>#VALUE!</v>
      </c>
      <c r="DD118" t="e">
        <f>'All regions'!J2948+"n/&gt;!&amp;mv"</f>
        <v>#VALUE!</v>
      </c>
      <c r="DE118" t="e">
        <f>'All regions'!A2949+"n/&gt;!&amp;mw"</f>
        <v>#VALUE!</v>
      </c>
      <c r="DF118" t="e">
        <f>'All regions'!B2949+"n/&gt;!&amp;mx"</f>
        <v>#VALUE!</v>
      </c>
      <c r="DG118" t="e">
        <f>'All regions'!C2949+"n/&gt;!&amp;my"</f>
        <v>#VALUE!</v>
      </c>
      <c r="DH118" t="e">
        <f>'All regions'!D2949+"n/&gt;!&amp;mz"</f>
        <v>#VALUE!</v>
      </c>
      <c r="DI118" t="e">
        <f>'All regions'!E2949+"n/&gt;!&amp;m{"</f>
        <v>#VALUE!</v>
      </c>
      <c r="DJ118" t="e">
        <f>'All regions'!F2949+"n/&gt;!&amp;m|"</f>
        <v>#VALUE!</v>
      </c>
      <c r="DK118" t="e">
        <f>'All regions'!G2949+"n/&gt;!&amp;m}"</f>
        <v>#VALUE!</v>
      </c>
      <c r="DL118" t="e">
        <f>'All regions'!H2949+"n/&gt;!&amp;m~"</f>
        <v>#VALUE!</v>
      </c>
      <c r="DM118" t="e">
        <f>'All regions'!I2949+"n/&gt;!&amp;n#"</f>
        <v>#VALUE!</v>
      </c>
      <c r="DN118" t="e">
        <f>'All regions'!J2949+"n/&gt;!&amp;n$"</f>
        <v>#VALUE!</v>
      </c>
      <c r="DO118" t="e">
        <f>'All regions'!A2950+"n/&gt;!&amp;n%"</f>
        <v>#VALUE!</v>
      </c>
      <c r="DP118" t="e">
        <f>'All regions'!B2950+"n/&gt;!&amp;n&amp;"</f>
        <v>#VALUE!</v>
      </c>
      <c r="DQ118" t="e">
        <f>'All regions'!C2950+"n/&gt;!&amp;n'"</f>
        <v>#VALUE!</v>
      </c>
      <c r="DR118" t="e">
        <f>'All regions'!D2950+"n/&gt;!&amp;n("</f>
        <v>#VALUE!</v>
      </c>
      <c r="DS118" t="e">
        <f>'All regions'!E2950+"n/&gt;!&amp;n)"</f>
        <v>#VALUE!</v>
      </c>
      <c r="DT118" t="e">
        <f>'All regions'!F2950+"n/&gt;!&amp;n."</f>
        <v>#VALUE!</v>
      </c>
      <c r="DU118" t="e">
        <f>'All regions'!G2950+"n/&gt;!&amp;n/"</f>
        <v>#VALUE!</v>
      </c>
      <c r="DV118" t="e">
        <f>'All regions'!H2950+"n/&gt;!&amp;n0"</f>
        <v>#VALUE!</v>
      </c>
      <c r="DW118" t="e">
        <f>'All regions'!I2950+"n/&gt;!&amp;n1"</f>
        <v>#VALUE!</v>
      </c>
      <c r="DX118" t="e">
        <f>'All regions'!J2950+"n/&gt;!&amp;n2"</f>
        <v>#VALUE!</v>
      </c>
      <c r="DY118" t="e">
        <f>'All regions'!A2951+"n/&gt;!&amp;n3"</f>
        <v>#VALUE!</v>
      </c>
      <c r="DZ118" t="e">
        <f>'All regions'!B2951+"n/&gt;!&amp;n4"</f>
        <v>#VALUE!</v>
      </c>
      <c r="EA118" t="e">
        <f>'All regions'!C2951+"n/&gt;!&amp;n5"</f>
        <v>#VALUE!</v>
      </c>
      <c r="EB118" t="e">
        <f>'All regions'!D2951+"n/&gt;!&amp;n6"</f>
        <v>#VALUE!</v>
      </c>
      <c r="EC118" t="e">
        <f>'All regions'!E2951+"n/&gt;!&amp;n7"</f>
        <v>#VALUE!</v>
      </c>
      <c r="ED118" t="e">
        <f>'All regions'!F2951+"n/&gt;!&amp;n8"</f>
        <v>#VALUE!</v>
      </c>
      <c r="EE118" t="e">
        <f>'All regions'!G2951+"n/&gt;!&amp;n9"</f>
        <v>#VALUE!</v>
      </c>
      <c r="EF118" t="e">
        <f>'All regions'!H2951+"n/&gt;!&amp;n:"</f>
        <v>#VALUE!</v>
      </c>
      <c r="EG118" t="e">
        <f>'All regions'!I2951+"n/&gt;!&amp;n;"</f>
        <v>#VALUE!</v>
      </c>
      <c r="EH118" t="e">
        <f>'All regions'!J2951+"n/&gt;!&amp;n&lt;"</f>
        <v>#VALUE!</v>
      </c>
      <c r="EI118" t="e">
        <f>'All regions'!A2952+"n/&gt;!&amp;n="</f>
        <v>#VALUE!</v>
      </c>
      <c r="EJ118" t="e">
        <f>'All regions'!B2952+"n/&gt;!&amp;n&gt;"</f>
        <v>#VALUE!</v>
      </c>
      <c r="EK118" t="e">
        <f>'All regions'!C2952+"n/&gt;!&amp;n?"</f>
        <v>#VALUE!</v>
      </c>
      <c r="EL118" t="e">
        <f>'All regions'!D2952+"n/&gt;!&amp;n@"</f>
        <v>#VALUE!</v>
      </c>
      <c r="EM118" t="e">
        <f>'All regions'!E2952+"n/&gt;!&amp;nA"</f>
        <v>#VALUE!</v>
      </c>
      <c r="EN118" t="e">
        <f>'All regions'!F2952+"n/&gt;!&amp;nB"</f>
        <v>#VALUE!</v>
      </c>
      <c r="EO118" t="e">
        <f>'All regions'!G2952+"n/&gt;!&amp;nC"</f>
        <v>#VALUE!</v>
      </c>
      <c r="EP118" t="e">
        <f>'All regions'!H2952+"n/&gt;!&amp;nD"</f>
        <v>#VALUE!</v>
      </c>
      <c r="EQ118" t="e">
        <f>'All regions'!I2952+"n/&gt;!&amp;nE"</f>
        <v>#VALUE!</v>
      </c>
      <c r="ER118" t="e">
        <f>'All regions'!J2952+"n/&gt;!&amp;nF"</f>
        <v>#VALUE!</v>
      </c>
      <c r="ES118" t="e">
        <f>'All regions'!A2953+"n/&gt;!&amp;nG"</f>
        <v>#VALUE!</v>
      </c>
      <c r="ET118" t="e">
        <f>'All regions'!B2953+"n/&gt;!&amp;nH"</f>
        <v>#VALUE!</v>
      </c>
      <c r="EU118" t="e">
        <f>'All regions'!C2953+"n/&gt;!&amp;nI"</f>
        <v>#VALUE!</v>
      </c>
      <c r="EV118" t="e">
        <f>'All regions'!D2953+"n/&gt;!&amp;nJ"</f>
        <v>#VALUE!</v>
      </c>
      <c r="EW118" t="e">
        <f>'All regions'!E2953+"n/&gt;!&amp;nK"</f>
        <v>#VALUE!</v>
      </c>
      <c r="EX118" t="e">
        <f>'All regions'!F2953+"n/&gt;!&amp;nL"</f>
        <v>#VALUE!</v>
      </c>
      <c r="EY118" t="e">
        <f>'All regions'!G2953+"n/&gt;!&amp;nM"</f>
        <v>#VALUE!</v>
      </c>
      <c r="EZ118" t="e">
        <f>'All regions'!H2953+"n/&gt;!&amp;nN"</f>
        <v>#VALUE!</v>
      </c>
      <c r="FA118" t="e">
        <f>'All regions'!I2953+"n/&gt;!&amp;nO"</f>
        <v>#VALUE!</v>
      </c>
      <c r="FB118" t="e">
        <f>'All regions'!J2953+"n/&gt;!&amp;nP"</f>
        <v>#VALUE!</v>
      </c>
      <c r="FC118" t="e">
        <f>'All regions'!A2954+"n/&gt;!&amp;nQ"</f>
        <v>#VALUE!</v>
      </c>
      <c r="FD118" t="e">
        <f>'All regions'!B2954+"n/&gt;!&amp;nR"</f>
        <v>#VALUE!</v>
      </c>
      <c r="FE118" t="e">
        <f>'All regions'!C2954+"n/&gt;!&amp;nS"</f>
        <v>#VALUE!</v>
      </c>
      <c r="FF118" t="e">
        <f>'All regions'!D2954+"n/&gt;!&amp;nT"</f>
        <v>#VALUE!</v>
      </c>
      <c r="FG118" t="e">
        <f>'All regions'!E2954+"n/&gt;!&amp;nU"</f>
        <v>#VALUE!</v>
      </c>
      <c r="FH118" t="e">
        <f>'All regions'!F2954+"n/&gt;!&amp;nV"</f>
        <v>#VALUE!</v>
      </c>
      <c r="FI118" t="e">
        <f>'All regions'!G2954+"n/&gt;!&amp;nW"</f>
        <v>#VALUE!</v>
      </c>
      <c r="FJ118" t="e">
        <f>'All regions'!H2954+"n/&gt;!&amp;nX"</f>
        <v>#VALUE!</v>
      </c>
      <c r="FK118" t="e">
        <f>'All regions'!I2954+"n/&gt;!&amp;nY"</f>
        <v>#VALUE!</v>
      </c>
      <c r="FL118" t="e">
        <f>'All regions'!J2954+"n/&gt;!&amp;nZ"</f>
        <v>#VALUE!</v>
      </c>
      <c r="FM118" t="e">
        <f>'All regions'!A2955+"n/&gt;!&amp;n["</f>
        <v>#VALUE!</v>
      </c>
      <c r="FN118" t="e">
        <f>'All regions'!B2955+"n/&gt;!&amp;n\"</f>
        <v>#VALUE!</v>
      </c>
      <c r="FO118" t="e">
        <f>'All regions'!C2955+"n/&gt;!&amp;n]"</f>
        <v>#VALUE!</v>
      </c>
      <c r="FP118" t="e">
        <f>'All regions'!D2955+"n/&gt;!&amp;n^"</f>
        <v>#VALUE!</v>
      </c>
      <c r="FQ118" t="e">
        <f>'All regions'!E2955+"n/&gt;!&amp;n_"</f>
        <v>#VALUE!</v>
      </c>
      <c r="FR118" t="e">
        <f>'All regions'!F2955+"n/&gt;!&amp;n`"</f>
        <v>#VALUE!</v>
      </c>
      <c r="FS118" t="e">
        <f>'All regions'!G2955+"n/&gt;!&amp;na"</f>
        <v>#VALUE!</v>
      </c>
      <c r="FT118" t="e">
        <f>'All regions'!H2955+"n/&gt;!&amp;nb"</f>
        <v>#VALUE!</v>
      </c>
      <c r="FU118" t="e">
        <f>'All regions'!I2955+"n/&gt;!&amp;nc"</f>
        <v>#VALUE!</v>
      </c>
      <c r="FV118" t="e">
        <f>'All regions'!J2955+"n/&gt;!&amp;nd"</f>
        <v>#VALUE!</v>
      </c>
      <c r="FW118" t="e">
        <f>'All regions'!A2956+"n/&gt;!&amp;ne"</f>
        <v>#VALUE!</v>
      </c>
      <c r="FX118" t="e">
        <f>'All regions'!B2956+"n/&gt;!&amp;nf"</f>
        <v>#VALUE!</v>
      </c>
      <c r="FY118" t="e">
        <f>'All regions'!C2956+"n/&gt;!&amp;ng"</f>
        <v>#VALUE!</v>
      </c>
      <c r="FZ118" t="e">
        <f>'All regions'!D2956+"n/&gt;!&amp;nh"</f>
        <v>#VALUE!</v>
      </c>
      <c r="GA118" t="e">
        <f>'All regions'!E2956+"n/&gt;!&amp;ni"</f>
        <v>#VALUE!</v>
      </c>
      <c r="GB118" t="e">
        <f>'All regions'!F2956+"n/&gt;!&amp;nj"</f>
        <v>#VALUE!</v>
      </c>
      <c r="GC118" t="e">
        <f>'All regions'!G2956+"n/&gt;!&amp;nk"</f>
        <v>#VALUE!</v>
      </c>
      <c r="GD118" t="e">
        <f>'All regions'!H2956+"n/&gt;!&amp;nl"</f>
        <v>#VALUE!</v>
      </c>
      <c r="GE118" t="e">
        <f>'All regions'!I2956+"n/&gt;!&amp;nm"</f>
        <v>#VALUE!</v>
      </c>
      <c r="GF118" t="e">
        <f>'All regions'!J2956+"n/&gt;!&amp;nn"</f>
        <v>#VALUE!</v>
      </c>
      <c r="GG118" t="e">
        <f>'All regions'!A2957+"n/&gt;!&amp;no"</f>
        <v>#VALUE!</v>
      </c>
      <c r="GH118" t="e">
        <f>'All regions'!B2957+"n/&gt;!&amp;np"</f>
        <v>#VALUE!</v>
      </c>
      <c r="GI118" t="e">
        <f>'All regions'!C2957+"n/&gt;!&amp;nq"</f>
        <v>#VALUE!</v>
      </c>
      <c r="GJ118" t="e">
        <f>'All regions'!D2957+"n/&gt;!&amp;nr"</f>
        <v>#VALUE!</v>
      </c>
      <c r="GK118" t="e">
        <f>'All regions'!E2957+"n/&gt;!&amp;ns"</f>
        <v>#VALUE!</v>
      </c>
      <c r="GL118" t="e">
        <f>'All regions'!F2957+"n/&gt;!&amp;nt"</f>
        <v>#VALUE!</v>
      </c>
      <c r="GM118" t="e">
        <f>'All regions'!G2957+"n/&gt;!&amp;nu"</f>
        <v>#VALUE!</v>
      </c>
      <c r="GN118" t="e">
        <f>'All regions'!H2957+"n/&gt;!&amp;nv"</f>
        <v>#VALUE!</v>
      </c>
      <c r="GO118" t="e">
        <f>'All regions'!I2957+"n/&gt;!&amp;nw"</f>
        <v>#VALUE!</v>
      </c>
      <c r="GP118" t="e">
        <f>'All regions'!J2957+"n/&gt;!&amp;nx"</f>
        <v>#VALUE!</v>
      </c>
      <c r="GQ118" t="e">
        <f>'All regions'!A2958+"n/&gt;!&amp;ny"</f>
        <v>#VALUE!</v>
      </c>
      <c r="GR118" t="e">
        <f>'All regions'!B2958+"n/&gt;!&amp;nz"</f>
        <v>#VALUE!</v>
      </c>
      <c r="GS118" t="e">
        <f>'All regions'!C2958+"n/&gt;!&amp;n{"</f>
        <v>#VALUE!</v>
      </c>
      <c r="GT118" t="e">
        <f>'All regions'!D2958+"n/&gt;!&amp;n|"</f>
        <v>#VALUE!</v>
      </c>
      <c r="GU118" t="e">
        <f>'All regions'!E2958+"n/&gt;!&amp;n}"</f>
        <v>#VALUE!</v>
      </c>
      <c r="GV118" t="e">
        <f>'All regions'!F2958+"n/&gt;!&amp;n~"</f>
        <v>#VALUE!</v>
      </c>
      <c r="GW118" t="e">
        <f>'All regions'!G2958+"n/&gt;!&amp;o#"</f>
        <v>#VALUE!</v>
      </c>
      <c r="GX118" t="e">
        <f>'All regions'!H2958+"n/&gt;!&amp;o$"</f>
        <v>#VALUE!</v>
      </c>
      <c r="GY118" t="e">
        <f>'All regions'!I2958+"n/&gt;!&amp;o%"</f>
        <v>#VALUE!</v>
      </c>
      <c r="GZ118" t="e">
        <f>'All regions'!J2958+"n/&gt;!&amp;o&amp;"</f>
        <v>#VALUE!</v>
      </c>
      <c r="HA118" t="e">
        <f>'All regions'!A2959+"n/&gt;!&amp;o'"</f>
        <v>#VALUE!</v>
      </c>
      <c r="HB118" t="e">
        <f>'All regions'!B2959+"n/&gt;!&amp;o("</f>
        <v>#VALUE!</v>
      </c>
      <c r="HC118" t="e">
        <f>'All regions'!C2959+"n/&gt;!&amp;o)"</f>
        <v>#VALUE!</v>
      </c>
      <c r="HD118" t="e">
        <f>'All regions'!D2959+"n/&gt;!&amp;o."</f>
        <v>#VALUE!</v>
      </c>
      <c r="HE118" t="e">
        <f>'All regions'!E2959+"n/&gt;!&amp;o/"</f>
        <v>#VALUE!</v>
      </c>
      <c r="HF118" t="e">
        <f>'All regions'!F2959+"n/&gt;!&amp;o0"</f>
        <v>#VALUE!</v>
      </c>
      <c r="HG118" t="e">
        <f>'All regions'!G2959+"n/&gt;!&amp;o1"</f>
        <v>#VALUE!</v>
      </c>
      <c r="HH118" t="e">
        <f>'All regions'!H2959+"n/&gt;!&amp;o2"</f>
        <v>#VALUE!</v>
      </c>
      <c r="HI118" t="e">
        <f>'All regions'!I2959+"n/&gt;!&amp;o3"</f>
        <v>#VALUE!</v>
      </c>
      <c r="HJ118" t="e">
        <f>'All regions'!J2959+"n/&gt;!&amp;o4"</f>
        <v>#VALUE!</v>
      </c>
      <c r="HK118" t="e">
        <f>'All regions'!A2960+"n/&gt;!&amp;o5"</f>
        <v>#VALUE!</v>
      </c>
      <c r="HL118" t="e">
        <f>'All regions'!B2960+"n/&gt;!&amp;o6"</f>
        <v>#VALUE!</v>
      </c>
      <c r="HM118" t="e">
        <f>'All regions'!C2960+"n/&gt;!&amp;o7"</f>
        <v>#VALUE!</v>
      </c>
      <c r="HN118" t="e">
        <f>'All regions'!D2960+"n/&gt;!&amp;o8"</f>
        <v>#VALUE!</v>
      </c>
      <c r="HO118" t="e">
        <f>'All regions'!E2960+"n/&gt;!&amp;o9"</f>
        <v>#VALUE!</v>
      </c>
      <c r="HP118" t="e">
        <f>'All regions'!F2960+"n/&gt;!&amp;o:"</f>
        <v>#VALUE!</v>
      </c>
      <c r="HQ118" t="e">
        <f>'All regions'!G2960+"n/&gt;!&amp;o;"</f>
        <v>#VALUE!</v>
      </c>
      <c r="HR118" t="e">
        <f>'All regions'!H2960+"n/&gt;!&amp;o&lt;"</f>
        <v>#VALUE!</v>
      </c>
      <c r="HS118" t="e">
        <f>'All regions'!I2960+"n/&gt;!&amp;o="</f>
        <v>#VALUE!</v>
      </c>
      <c r="HT118" t="e">
        <f>'All regions'!J2960+"n/&gt;!&amp;o&gt;"</f>
        <v>#VALUE!</v>
      </c>
      <c r="HU118" t="e">
        <f>'All regions'!A2961+"n/&gt;!&amp;o?"</f>
        <v>#VALUE!</v>
      </c>
      <c r="HV118" t="e">
        <f>'All regions'!B2961+"n/&gt;!&amp;o@"</f>
        <v>#VALUE!</v>
      </c>
      <c r="HW118" t="e">
        <f>'All regions'!C2961+"n/&gt;!&amp;oA"</f>
        <v>#VALUE!</v>
      </c>
      <c r="HX118" t="e">
        <f>'All regions'!D2961+"n/&gt;!&amp;oB"</f>
        <v>#VALUE!</v>
      </c>
      <c r="HY118" t="e">
        <f>'All regions'!E2961+"n/&gt;!&amp;oC"</f>
        <v>#VALUE!</v>
      </c>
      <c r="HZ118" t="e">
        <f>'All regions'!F2961+"n/&gt;!&amp;oD"</f>
        <v>#VALUE!</v>
      </c>
      <c r="IA118" t="e">
        <f>'All regions'!G2961+"n/&gt;!&amp;oE"</f>
        <v>#VALUE!</v>
      </c>
      <c r="IB118" t="e">
        <f>'All regions'!H2961+"n/&gt;!&amp;oF"</f>
        <v>#VALUE!</v>
      </c>
      <c r="IC118" t="e">
        <f>'All regions'!I2961+"n/&gt;!&amp;oG"</f>
        <v>#VALUE!</v>
      </c>
      <c r="ID118" t="e">
        <f>'All regions'!J2961+"n/&gt;!&amp;oH"</f>
        <v>#VALUE!</v>
      </c>
      <c r="IE118" t="e">
        <f>'All regions'!A2962+"n/&gt;!&amp;oI"</f>
        <v>#VALUE!</v>
      </c>
      <c r="IF118" t="e">
        <f>'All regions'!B2962+"n/&gt;!&amp;oJ"</f>
        <v>#VALUE!</v>
      </c>
      <c r="IG118" t="e">
        <f>'All regions'!C2962+"n/&gt;!&amp;oK"</f>
        <v>#VALUE!</v>
      </c>
      <c r="IH118" t="e">
        <f>'All regions'!D2962+"n/&gt;!&amp;oL"</f>
        <v>#VALUE!</v>
      </c>
      <c r="II118" t="e">
        <f>'All regions'!E2962+"n/&gt;!&amp;oM"</f>
        <v>#VALUE!</v>
      </c>
      <c r="IJ118" t="e">
        <f>'All regions'!F2962+"n/&gt;!&amp;oN"</f>
        <v>#VALUE!</v>
      </c>
      <c r="IK118" t="e">
        <f>'All regions'!G2962+"n/&gt;!&amp;oO"</f>
        <v>#VALUE!</v>
      </c>
      <c r="IL118" t="e">
        <f>'All regions'!H2962+"n/&gt;!&amp;oP"</f>
        <v>#VALUE!</v>
      </c>
      <c r="IM118" t="e">
        <f>'All regions'!I2962+"n/&gt;!&amp;oQ"</f>
        <v>#VALUE!</v>
      </c>
      <c r="IN118" t="e">
        <f>'All regions'!J2962+"n/&gt;!&amp;oR"</f>
        <v>#VALUE!</v>
      </c>
      <c r="IO118" t="e">
        <f>'All regions'!A2963+"n/&gt;!&amp;oS"</f>
        <v>#VALUE!</v>
      </c>
      <c r="IP118" t="e">
        <f>'All regions'!B2963+"n/&gt;!&amp;oT"</f>
        <v>#VALUE!</v>
      </c>
      <c r="IQ118" t="e">
        <f>'All regions'!C2963+"n/&gt;!&amp;oU"</f>
        <v>#VALUE!</v>
      </c>
      <c r="IR118" t="e">
        <f>'All regions'!D2963+"n/&gt;!&amp;oV"</f>
        <v>#VALUE!</v>
      </c>
      <c r="IS118" t="e">
        <f>'All regions'!E2963+"n/&gt;!&amp;oW"</f>
        <v>#VALUE!</v>
      </c>
      <c r="IT118" t="e">
        <f>'All regions'!F2963+"n/&gt;!&amp;oX"</f>
        <v>#VALUE!</v>
      </c>
      <c r="IU118" t="e">
        <f>'All regions'!G2963+"n/&gt;!&amp;oY"</f>
        <v>#VALUE!</v>
      </c>
      <c r="IV118" t="e">
        <f>'All regions'!H2963+"n/&gt;!&amp;oZ"</f>
        <v>#VALUE!</v>
      </c>
    </row>
    <row r="119" spans="6:256" x14ac:dyDescent="0.35">
      <c r="F119" t="e">
        <f>'All regions'!I2963+"n/&gt;!&amp;o["</f>
        <v>#VALUE!</v>
      </c>
      <c r="G119" t="e">
        <f>'All regions'!J2963+"n/&gt;!&amp;o\"</f>
        <v>#VALUE!</v>
      </c>
      <c r="H119" t="e">
        <f>'All regions'!A2964+"n/&gt;!&amp;o]"</f>
        <v>#VALUE!</v>
      </c>
      <c r="I119" t="e">
        <f>'All regions'!B2964+"n/&gt;!&amp;o^"</f>
        <v>#VALUE!</v>
      </c>
      <c r="J119" t="e">
        <f>'All regions'!C2964+"n/&gt;!&amp;o_"</f>
        <v>#VALUE!</v>
      </c>
      <c r="K119" t="e">
        <f>'All regions'!D2964+"n/&gt;!&amp;o`"</f>
        <v>#VALUE!</v>
      </c>
      <c r="L119" t="e">
        <f>'All regions'!E2964+"n/&gt;!&amp;oa"</f>
        <v>#VALUE!</v>
      </c>
      <c r="M119" t="e">
        <f>'All regions'!F2964+"n/&gt;!&amp;ob"</f>
        <v>#VALUE!</v>
      </c>
      <c r="N119" t="e">
        <f>'All regions'!G2964+"n/&gt;!&amp;oc"</f>
        <v>#VALUE!</v>
      </c>
      <c r="O119" t="e">
        <f>'All regions'!H2964+"n/&gt;!&amp;od"</f>
        <v>#VALUE!</v>
      </c>
      <c r="P119" t="e">
        <f>'All regions'!I2964+"n/&gt;!&amp;oe"</f>
        <v>#VALUE!</v>
      </c>
      <c r="Q119" t="e">
        <f>'All regions'!J2964+"n/&gt;!&amp;of"</f>
        <v>#VALUE!</v>
      </c>
      <c r="R119" t="e">
        <f>'All regions'!A2965+"n/&gt;!&amp;og"</f>
        <v>#VALUE!</v>
      </c>
      <c r="S119" t="e">
        <f>'All regions'!B2965+"n/&gt;!&amp;oh"</f>
        <v>#VALUE!</v>
      </c>
      <c r="T119" t="e">
        <f>'All regions'!C2965+"n/&gt;!&amp;oi"</f>
        <v>#VALUE!</v>
      </c>
      <c r="U119" t="e">
        <f>'All regions'!D2965+"n/&gt;!&amp;oj"</f>
        <v>#VALUE!</v>
      </c>
      <c r="V119" t="e">
        <f>'All regions'!E2965+"n/&gt;!&amp;ok"</f>
        <v>#VALUE!</v>
      </c>
      <c r="W119" t="e">
        <f>'All regions'!F2965+"n/&gt;!&amp;ol"</f>
        <v>#VALUE!</v>
      </c>
      <c r="X119" t="e">
        <f>'All regions'!G2965+"n/&gt;!&amp;om"</f>
        <v>#VALUE!</v>
      </c>
      <c r="Y119" t="e">
        <f>'All regions'!H2965+"n/&gt;!&amp;on"</f>
        <v>#VALUE!</v>
      </c>
      <c r="Z119" t="e">
        <f>'All regions'!I2965+"n/&gt;!&amp;oo"</f>
        <v>#VALUE!</v>
      </c>
      <c r="AA119" t="e">
        <f>'All regions'!J2965+"n/&gt;!&amp;op"</f>
        <v>#VALUE!</v>
      </c>
      <c r="AB119" t="e">
        <f>'All regions'!A2966+"n/&gt;!&amp;oq"</f>
        <v>#VALUE!</v>
      </c>
      <c r="AC119" t="e">
        <f>'All regions'!B2966+"n/&gt;!&amp;or"</f>
        <v>#VALUE!</v>
      </c>
      <c r="AD119" t="e">
        <f>'All regions'!C2966+"n/&gt;!&amp;os"</f>
        <v>#VALUE!</v>
      </c>
      <c r="AE119" t="e">
        <f>'All regions'!D2966+"n/&gt;!&amp;ot"</f>
        <v>#VALUE!</v>
      </c>
      <c r="AF119" t="e">
        <f>'All regions'!E2966+"n/&gt;!&amp;ou"</f>
        <v>#VALUE!</v>
      </c>
      <c r="AG119" t="e">
        <f>'All regions'!F2966+"n/&gt;!&amp;ov"</f>
        <v>#VALUE!</v>
      </c>
      <c r="AH119" t="e">
        <f>'All regions'!G2966+"n/&gt;!&amp;ow"</f>
        <v>#VALUE!</v>
      </c>
      <c r="AI119" t="e">
        <f>'All regions'!H2966+"n/&gt;!&amp;ox"</f>
        <v>#VALUE!</v>
      </c>
      <c r="AJ119" t="e">
        <f>'All regions'!I2966+"n/&gt;!&amp;oy"</f>
        <v>#VALUE!</v>
      </c>
      <c r="AK119" t="e">
        <f>'All regions'!J2966+"n/&gt;!&amp;oz"</f>
        <v>#VALUE!</v>
      </c>
      <c r="AL119" t="e">
        <f>'All regions'!A2967+"n/&gt;!&amp;o{"</f>
        <v>#VALUE!</v>
      </c>
      <c r="AM119" t="e">
        <f>'All regions'!B2967+"n/&gt;!&amp;o|"</f>
        <v>#VALUE!</v>
      </c>
      <c r="AN119" t="e">
        <f>'All regions'!C2967+"n/&gt;!&amp;o}"</f>
        <v>#VALUE!</v>
      </c>
      <c r="AO119" t="e">
        <f>'All regions'!D2967+"n/&gt;!&amp;o~"</f>
        <v>#VALUE!</v>
      </c>
      <c r="AP119" t="e">
        <f>'All regions'!E2967+"n/&gt;!&amp;p#"</f>
        <v>#VALUE!</v>
      </c>
      <c r="AQ119" t="e">
        <f>'All regions'!F2967+"n/&gt;!&amp;p$"</f>
        <v>#VALUE!</v>
      </c>
      <c r="AR119" t="e">
        <f>'All regions'!G2967+"n/&gt;!&amp;p%"</f>
        <v>#VALUE!</v>
      </c>
      <c r="AS119" t="e">
        <f>'All regions'!H2967+"n/&gt;!&amp;p&amp;"</f>
        <v>#VALUE!</v>
      </c>
      <c r="AT119" t="e">
        <f>'All regions'!I2967+"n/&gt;!&amp;p'"</f>
        <v>#VALUE!</v>
      </c>
      <c r="AU119" t="e">
        <f>'All regions'!J2967+"n/&gt;!&amp;p("</f>
        <v>#VALUE!</v>
      </c>
      <c r="AV119" t="e">
        <f>'All regions'!A2968+"n/&gt;!&amp;p)"</f>
        <v>#VALUE!</v>
      </c>
      <c r="AW119" t="e">
        <f>'All regions'!B2968+"n/&gt;!&amp;p."</f>
        <v>#VALUE!</v>
      </c>
      <c r="AX119" t="e">
        <f>'All regions'!C2968+"n/&gt;!&amp;p/"</f>
        <v>#VALUE!</v>
      </c>
      <c r="AY119" t="e">
        <f>'All regions'!D2968+"n/&gt;!&amp;p0"</f>
        <v>#VALUE!</v>
      </c>
      <c r="AZ119" t="e">
        <f>'All regions'!E2968+"n/&gt;!&amp;p1"</f>
        <v>#VALUE!</v>
      </c>
      <c r="BA119" t="e">
        <f>'All regions'!F2968+"n/&gt;!&amp;p2"</f>
        <v>#VALUE!</v>
      </c>
      <c r="BB119" t="e">
        <f>'All regions'!G2968+"n/&gt;!&amp;p3"</f>
        <v>#VALUE!</v>
      </c>
      <c r="BC119" t="e">
        <f>'All regions'!H2968+"n/&gt;!&amp;p4"</f>
        <v>#VALUE!</v>
      </c>
      <c r="BD119" t="e">
        <f>'All regions'!I2968+"n/&gt;!&amp;p5"</f>
        <v>#VALUE!</v>
      </c>
      <c r="BE119" t="e">
        <f>'All regions'!J2968+"n/&gt;!&amp;p6"</f>
        <v>#VALUE!</v>
      </c>
      <c r="BF119" t="e">
        <f>'All regions'!A2969+"n/&gt;!&amp;p7"</f>
        <v>#VALUE!</v>
      </c>
      <c r="BG119" t="e">
        <f>'All regions'!B2969+"n/&gt;!&amp;p8"</f>
        <v>#VALUE!</v>
      </c>
      <c r="BH119" t="e">
        <f>'All regions'!C2969+"n/&gt;!&amp;p9"</f>
        <v>#VALUE!</v>
      </c>
      <c r="BI119" t="e">
        <f>'All regions'!D2969+"n/&gt;!&amp;p:"</f>
        <v>#VALUE!</v>
      </c>
      <c r="BJ119" t="e">
        <f>'All regions'!E2969+"n/&gt;!&amp;p;"</f>
        <v>#VALUE!</v>
      </c>
      <c r="BK119" t="e">
        <f>'All regions'!F2969+"n/&gt;!&amp;p&lt;"</f>
        <v>#VALUE!</v>
      </c>
      <c r="BL119" t="e">
        <f>'All regions'!G2969+"n/&gt;!&amp;p="</f>
        <v>#VALUE!</v>
      </c>
      <c r="BM119" t="e">
        <f>'All regions'!H2969+"n/&gt;!&amp;p&gt;"</f>
        <v>#VALUE!</v>
      </c>
      <c r="BN119" t="e">
        <f>'All regions'!I2969+"n/&gt;!&amp;p?"</f>
        <v>#VALUE!</v>
      </c>
      <c r="BO119" t="e">
        <f>'All regions'!J2969+"n/&gt;!&amp;p@"</f>
        <v>#VALUE!</v>
      </c>
      <c r="BP119" t="e">
        <f>'All regions'!A2970+"n/&gt;!&amp;pA"</f>
        <v>#VALUE!</v>
      </c>
      <c r="BQ119" t="e">
        <f>'All regions'!B2970+"n/&gt;!&amp;pB"</f>
        <v>#VALUE!</v>
      </c>
      <c r="BR119" t="e">
        <f>'All regions'!C2970+"n/&gt;!&amp;pC"</f>
        <v>#VALUE!</v>
      </c>
      <c r="BS119" t="e">
        <f>'All regions'!D2970+"n/&gt;!&amp;pD"</f>
        <v>#VALUE!</v>
      </c>
      <c r="BT119" t="e">
        <f>'All regions'!E2970+"n/&gt;!&amp;pE"</f>
        <v>#VALUE!</v>
      </c>
      <c r="BU119" t="e">
        <f>'All regions'!F2970+"n/&gt;!&amp;pF"</f>
        <v>#VALUE!</v>
      </c>
      <c r="BV119" t="e">
        <f>'All regions'!G2970+"n/&gt;!&amp;pG"</f>
        <v>#VALUE!</v>
      </c>
      <c r="BW119" t="e">
        <f>'All regions'!H2970+"n/&gt;!&amp;pH"</f>
        <v>#VALUE!</v>
      </c>
      <c r="BX119" t="e">
        <f>'All regions'!I2970+"n/&gt;!&amp;pI"</f>
        <v>#VALUE!</v>
      </c>
      <c r="BY119" t="e">
        <f>'All regions'!J2970+"n/&gt;!&amp;pJ"</f>
        <v>#VALUE!</v>
      </c>
      <c r="BZ119" t="e">
        <f>'All regions'!A2971+"n/&gt;!&amp;pK"</f>
        <v>#VALUE!</v>
      </c>
      <c r="CA119" t="e">
        <f>'All regions'!B2971+"n/&gt;!&amp;pL"</f>
        <v>#VALUE!</v>
      </c>
      <c r="CB119" t="e">
        <f>'All regions'!C2971+"n/&gt;!&amp;pM"</f>
        <v>#VALUE!</v>
      </c>
      <c r="CC119" t="e">
        <f>'All regions'!D2971+"n/&gt;!&amp;pN"</f>
        <v>#VALUE!</v>
      </c>
      <c r="CD119" t="e">
        <f>'All regions'!E2971+"n/&gt;!&amp;pO"</f>
        <v>#VALUE!</v>
      </c>
      <c r="CE119" t="e">
        <f>'All regions'!F2971+"n/&gt;!&amp;pP"</f>
        <v>#VALUE!</v>
      </c>
      <c r="CF119" t="e">
        <f>'All regions'!G2971+"n/&gt;!&amp;pQ"</f>
        <v>#VALUE!</v>
      </c>
      <c r="CG119" t="e">
        <f>'All regions'!H2971+"n/&gt;!&amp;pR"</f>
        <v>#VALUE!</v>
      </c>
      <c r="CH119" t="e">
        <f>'All regions'!I2971+"n/&gt;!&amp;pS"</f>
        <v>#VALUE!</v>
      </c>
      <c r="CI119" t="e">
        <f>'All regions'!J2971+"n/&gt;!&amp;pT"</f>
        <v>#VALUE!</v>
      </c>
      <c r="CJ119" t="e">
        <f>'All regions'!A2972+"n/&gt;!&amp;pU"</f>
        <v>#VALUE!</v>
      </c>
      <c r="CK119" t="e">
        <f>'All regions'!B2972+"n/&gt;!&amp;pV"</f>
        <v>#VALUE!</v>
      </c>
      <c r="CL119" t="e">
        <f>'All regions'!C2972+"n/&gt;!&amp;pW"</f>
        <v>#VALUE!</v>
      </c>
      <c r="CM119" t="e">
        <f>'All regions'!D2972+"n/&gt;!&amp;pX"</f>
        <v>#VALUE!</v>
      </c>
      <c r="CN119" t="e">
        <f>'All regions'!E2972+"n/&gt;!&amp;pY"</f>
        <v>#VALUE!</v>
      </c>
      <c r="CO119" t="e">
        <f>'All regions'!F2972+"n/&gt;!&amp;pZ"</f>
        <v>#VALUE!</v>
      </c>
      <c r="CP119" t="e">
        <f>'All regions'!G2972+"n/&gt;!&amp;p["</f>
        <v>#VALUE!</v>
      </c>
      <c r="CQ119" t="e">
        <f>'All regions'!H2972+"n/&gt;!&amp;p\"</f>
        <v>#VALUE!</v>
      </c>
      <c r="CR119" t="e">
        <f>'All regions'!I2972+"n/&gt;!&amp;p]"</f>
        <v>#VALUE!</v>
      </c>
      <c r="CS119" t="e">
        <f>'All regions'!J2972+"n/&gt;!&amp;p^"</f>
        <v>#VALUE!</v>
      </c>
      <c r="CT119" t="e">
        <f>'All regions'!A2973+"n/&gt;!&amp;p_"</f>
        <v>#VALUE!</v>
      </c>
      <c r="CU119" t="e">
        <f>'All regions'!B2973+"n/&gt;!&amp;p`"</f>
        <v>#VALUE!</v>
      </c>
      <c r="CV119" t="e">
        <f>'All regions'!C2973+"n/&gt;!&amp;pa"</f>
        <v>#VALUE!</v>
      </c>
      <c r="CW119" t="e">
        <f>'All regions'!D2973+"n/&gt;!&amp;pb"</f>
        <v>#VALUE!</v>
      </c>
      <c r="CX119" t="e">
        <f>'All regions'!E2973+"n/&gt;!&amp;pc"</f>
        <v>#VALUE!</v>
      </c>
      <c r="CY119" t="e">
        <f>'All regions'!F2973+"n/&gt;!&amp;pd"</f>
        <v>#VALUE!</v>
      </c>
      <c r="CZ119" t="e">
        <f>'All regions'!G2973+"n/&gt;!&amp;pe"</f>
        <v>#VALUE!</v>
      </c>
      <c r="DA119" t="e">
        <f>'All regions'!H2973+"n/&gt;!&amp;pf"</f>
        <v>#VALUE!</v>
      </c>
      <c r="DB119" t="e">
        <f>'All regions'!I2973+"n/&gt;!&amp;pg"</f>
        <v>#VALUE!</v>
      </c>
      <c r="DC119" t="e">
        <f>'All regions'!J2973+"n/&gt;!&amp;ph"</f>
        <v>#VALUE!</v>
      </c>
      <c r="DD119" t="e">
        <f>'All regions'!A2974+"n/&gt;!&amp;pi"</f>
        <v>#VALUE!</v>
      </c>
      <c r="DE119" t="e">
        <f>'All regions'!B2974+"n/&gt;!&amp;pj"</f>
        <v>#VALUE!</v>
      </c>
      <c r="DF119" t="e">
        <f>'All regions'!C2974+"n/&gt;!&amp;pk"</f>
        <v>#VALUE!</v>
      </c>
      <c r="DG119" t="e">
        <f>'All regions'!D2974+"n/&gt;!&amp;pl"</f>
        <v>#VALUE!</v>
      </c>
      <c r="DH119" t="e">
        <f>'All regions'!E2974+"n/&gt;!&amp;pm"</f>
        <v>#VALUE!</v>
      </c>
      <c r="DI119" t="e">
        <f>'All regions'!F2974+"n/&gt;!&amp;pn"</f>
        <v>#VALUE!</v>
      </c>
      <c r="DJ119" t="e">
        <f>'All regions'!G2974+"n/&gt;!&amp;po"</f>
        <v>#VALUE!</v>
      </c>
      <c r="DK119" t="e">
        <f>'All regions'!H2974+"n/&gt;!&amp;pp"</f>
        <v>#VALUE!</v>
      </c>
      <c r="DL119" t="e">
        <f>'All regions'!I2974+"n/&gt;!&amp;pq"</f>
        <v>#VALUE!</v>
      </c>
      <c r="DM119" t="e">
        <f>'All regions'!J2974+"n/&gt;!&amp;pr"</f>
        <v>#VALUE!</v>
      </c>
      <c r="DN119" t="e">
        <f>'All regions'!A2975+"n/&gt;!&amp;ps"</f>
        <v>#VALUE!</v>
      </c>
      <c r="DO119" t="e">
        <f>'All regions'!B2975+"n/&gt;!&amp;pt"</f>
        <v>#VALUE!</v>
      </c>
      <c r="DP119" t="e">
        <f>'All regions'!C2975+"n/&gt;!&amp;pu"</f>
        <v>#VALUE!</v>
      </c>
      <c r="DQ119" t="e">
        <f>'All regions'!D2975+"n/&gt;!&amp;pv"</f>
        <v>#VALUE!</v>
      </c>
      <c r="DR119" t="e">
        <f>'All regions'!E2975+"n/&gt;!&amp;pw"</f>
        <v>#VALUE!</v>
      </c>
      <c r="DS119" t="e">
        <f>'All regions'!F2975+"n/&gt;!&amp;px"</f>
        <v>#VALUE!</v>
      </c>
      <c r="DT119" t="e">
        <f>'All regions'!G2975+"n/&gt;!&amp;py"</f>
        <v>#VALUE!</v>
      </c>
      <c r="DU119" t="e">
        <f>'All regions'!H2975+"n/&gt;!&amp;pz"</f>
        <v>#VALUE!</v>
      </c>
      <c r="DV119" t="e">
        <f>'All regions'!I2975+"n/&gt;!&amp;p{"</f>
        <v>#VALUE!</v>
      </c>
      <c r="DW119" t="e">
        <f>'All regions'!J2975+"n/&gt;!&amp;p|"</f>
        <v>#VALUE!</v>
      </c>
      <c r="DX119" t="e">
        <f>'All regions'!A2976+"n/&gt;!&amp;p}"</f>
        <v>#VALUE!</v>
      </c>
      <c r="DY119" t="e">
        <f>'All regions'!B2976+"n/&gt;!&amp;p~"</f>
        <v>#VALUE!</v>
      </c>
      <c r="DZ119" t="e">
        <f>'All regions'!C2976+"n/&gt;!&amp;q#"</f>
        <v>#VALUE!</v>
      </c>
      <c r="EA119" t="e">
        <f>'All regions'!D2976+"n/&gt;!&amp;q$"</f>
        <v>#VALUE!</v>
      </c>
      <c r="EB119" t="e">
        <f>'All regions'!E2976+"n/&gt;!&amp;q%"</f>
        <v>#VALUE!</v>
      </c>
      <c r="EC119" t="e">
        <f>'All regions'!F2976+"n/&gt;!&amp;q&amp;"</f>
        <v>#VALUE!</v>
      </c>
      <c r="ED119" t="e">
        <f>'All regions'!G2976+"n/&gt;!&amp;q'"</f>
        <v>#VALUE!</v>
      </c>
      <c r="EE119" t="e">
        <f>'All regions'!H2976+"n/&gt;!&amp;q("</f>
        <v>#VALUE!</v>
      </c>
      <c r="EF119" t="e">
        <f>'All regions'!I2976+"n/&gt;!&amp;q)"</f>
        <v>#VALUE!</v>
      </c>
      <c r="EG119" t="e">
        <f>'All regions'!J2976+"n/&gt;!&amp;q."</f>
        <v>#VALUE!</v>
      </c>
      <c r="EH119" t="e">
        <f>'All regions'!A2977+"n/&gt;!&amp;q/"</f>
        <v>#VALUE!</v>
      </c>
      <c r="EI119" t="e">
        <f>'All regions'!B2977+"n/&gt;!&amp;q0"</f>
        <v>#VALUE!</v>
      </c>
      <c r="EJ119" t="e">
        <f>'All regions'!C2977+"n/&gt;!&amp;q1"</f>
        <v>#VALUE!</v>
      </c>
      <c r="EK119" t="e">
        <f>'All regions'!D2977+"n/&gt;!&amp;q2"</f>
        <v>#VALUE!</v>
      </c>
      <c r="EL119" t="e">
        <f>'All regions'!E2977+"n/&gt;!&amp;q3"</f>
        <v>#VALUE!</v>
      </c>
      <c r="EM119" t="e">
        <f>'All regions'!F2977+"n/&gt;!&amp;q4"</f>
        <v>#VALUE!</v>
      </c>
      <c r="EN119" t="e">
        <f>'All regions'!G2977+"n/&gt;!&amp;q5"</f>
        <v>#VALUE!</v>
      </c>
      <c r="EO119" t="e">
        <f>'All regions'!H2977+"n/&gt;!&amp;q6"</f>
        <v>#VALUE!</v>
      </c>
      <c r="EP119" t="e">
        <f>'All regions'!I2977+"n/&gt;!&amp;q7"</f>
        <v>#VALUE!</v>
      </c>
      <c r="EQ119" t="e">
        <f>'All regions'!J2977+"n/&gt;!&amp;q8"</f>
        <v>#VALUE!</v>
      </c>
      <c r="ER119" t="e">
        <f>'All regions'!A2978+"n/&gt;!&amp;q9"</f>
        <v>#VALUE!</v>
      </c>
      <c r="ES119" t="e">
        <f>'All regions'!B2978+"n/&gt;!&amp;q:"</f>
        <v>#VALUE!</v>
      </c>
      <c r="ET119" t="e">
        <f>'All regions'!C2978+"n/&gt;!&amp;q;"</f>
        <v>#VALUE!</v>
      </c>
      <c r="EU119" t="e">
        <f>'All regions'!D2978+"n/&gt;!&amp;q&lt;"</f>
        <v>#VALUE!</v>
      </c>
      <c r="EV119" t="e">
        <f>'All regions'!E2978+"n/&gt;!&amp;q="</f>
        <v>#VALUE!</v>
      </c>
      <c r="EW119" t="e">
        <f>'All regions'!F2978+"n/&gt;!&amp;q&gt;"</f>
        <v>#VALUE!</v>
      </c>
      <c r="EX119" t="e">
        <f>'All regions'!G2978+"n/&gt;!&amp;q?"</f>
        <v>#VALUE!</v>
      </c>
      <c r="EY119" t="e">
        <f>'All regions'!H2978+"n/&gt;!&amp;q@"</f>
        <v>#VALUE!</v>
      </c>
      <c r="EZ119" t="e">
        <f>'All regions'!I2978+"n/&gt;!&amp;qA"</f>
        <v>#VALUE!</v>
      </c>
      <c r="FA119" t="e">
        <f>'All regions'!J2978+"n/&gt;!&amp;qB"</f>
        <v>#VALUE!</v>
      </c>
      <c r="FB119" t="e">
        <f>'All regions'!A2979+"n/&gt;!&amp;qC"</f>
        <v>#VALUE!</v>
      </c>
      <c r="FC119" t="e">
        <f>'All regions'!B2979+"n/&gt;!&amp;qD"</f>
        <v>#VALUE!</v>
      </c>
      <c r="FD119" t="e">
        <f>'All regions'!C2979+"n/&gt;!&amp;qE"</f>
        <v>#VALUE!</v>
      </c>
      <c r="FE119" t="e">
        <f>'All regions'!D2979+"n/&gt;!&amp;qF"</f>
        <v>#VALUE!</v>
      </c>
      <c r="FF119" t="e">
        <f>'All regions'!E2979+"n/&gt;!&amp;qG"</f>
        <v>#VALUE!</v>
      </c>
      <c r="FG119" t="e">
        <f>'All regions'!F2979+"n/&gt;!&amp;qH"</f>
        <v>#VALUE!</v>
      </c>
      <c r="FH119" t="e">
        <f>'All regions'!G2979+"n/&gt;!&amp;qI"</f>
        <v>#VALUE!</v>
      </c>
      <c r="FI119" t="e">
        <f>'All regions'!H2979+"n/&gt;!&amp;qJ"</f>
        <v>#VALUE!</v>
      </c>
      <c r="FJ119" t="e">
        <f>'All regions'!I2979+"n/&gt;!&amp;qK"</f>
        <v>#VALUE!</v>
      </c>
      <c r="FK119" t="e">
        <f>'All regions'!J2979+"n/&gt;!&amp;qL"</f>
        <v>#VALUE!</v>
      </c>
      <c r="FL119" t="e">
        <f>'All regions'!A2980+"n/&gt;!&amp;qM"</f>
        <v>#VALUE!</v>
      </c>
      <c r="FM119" t="e">
        <f>'All regions'!B2980+"n/&gt;!&amp;qN"</f>
        <v>#VALUE!</v>
      </c>
      <c r="FN119" t="e">
        <f>'All regions'!C2980+"n/&gt;!&amp;qO"</f>
        <v>#VALUE!</v>
      </c>
      <c r="FO119" t="e">
        <f>'All regions'!D2980+"n/&gt;!&amp;qP"</f>
        <v>#VALUE!</v>
      </c>
      <c r="FP119" t="e">
        <f>'All regions'!E2980+"n/&gt;!&amp;qQ"</f>
        <v>#VALUE!</v>
      </c>
      <c r="FQ119" t="e">
        <f>'All regions'!F2980+"n/&gt;!&amp;qR"</f>
        <v>#VALUE!</v>
      </c>
      <c r="FR119" t="e">
        <f>'All regions'!G2980+"n/&gt;!&amp;qS"</f>
        <v>#VALUE!</v>
      </c>
      <c r="FS119" t="e">
        <f>'All regions'!H2980+"n/&gt;!&amp;qT"</f>
        <v>#VALUE!</v>
      </c>
      <c r="FT119" t="e">
        <f>'All regions'!I2980+"n/&gt;!&amp;qU"</f>
        <v>#VALUE!</v>
      </c>
      <c r="FU119" t="e">
        <f>'All regions'!J2980+"n/&gt;!&amp;qV"</f>
        <v>#VALUE!</v>
      </c>
      <c r="FV119" t="e">
        <f>'All regions'!A2981+"n/&gt;!&amp;qW"</f>
        <v>#VALUE!</v>
      </c>
      <c r="FW119" t="e">
        <f>'All regions'!B2981+"n/&gt;!&amp;qX"</f>
        <v>#VALUE!</v>
      </c>
      <c r="FX119" t="e">
        <f>'All regions'!C2981+"n/&gt;!&amp;qY"</f>
        <v>#VALUE!</v>
      </c>
      <c r="FY119" t="e">
        <f>'All regions'!D2981+"n/&gt;!&amp;qZ"</f>
        <v>#VALUE!</v>
      </c>
      <c r="FZ119" t="e">
        <f>'All regions'!E2981+"n/&gt;!&amp;q["</f>
        <v>#VALUE!</v>
      </c>
      <c r="GA119" t="e">
        <f>'All regions'!F2981+"n/&gt;!&amp;q\"</f>
        <v>#VALUE!</v>
      </c>
      <c r="GB119" t="e">
        <f>'All regions'!G2981+"n/&gt;!&amp;q]"</f>
        <v>#VALUE!</v>
      </c>
      <c r="GC119" t="e">
        <f>'All regions'!H2981+"n/&gt;!&amp;q^"</f>
        <v>#VALUE!</v>
      </c>
      <c r="GD119" t="e">
        <f>'All regions'!I2981+"n/&gt;!&amp;q_"</f>
        <v>#VALUE!</v>
      </c>
      <c r="GE119" t="e">
        <f>'All regions'!J2981+"n/&gt;!&amp;q`"</f>
        <v>#VALUE!</v>
      </c>
      <c r="GF119" t="e">
        <f>'All regions'!A2982+"n/&gt;!&amp;qa"</f>
        <v>#VALUE!</v>
      </c>
      <c r="GG119" t="e">
        <f>'All regions'!B2982+"n/&gt;!&amp;qb"</f>
        <v>#VALUE!</v>
      </c>
      <c r="GH119" t="e">
        <f>'All regions'!C2982+"n/&gt;!&amp;qc"</f>
        <v>#VALUE!</v>
      </c>
      <c r="GI119" t="e">
        <f>'All regions'!D2982+"n/&gt;!&amp;qd"</f>
        <v>#VALUE!</v>
      </c>
      <c r="GJ119" t="e">
        <f>'All regions'!E2982+"n/&gt;!&amp;qe"</f>
        <v>#VALUE!</v>
      </c>
      <c r="GK119" t="e">
        <f>'All regions'!F2982+"n/&gt;!&amp;qf"</f>
        <v>#VALUE!</v>
      </c>
      <c r="GL119" t="e">
        <f>'All regions'!G2982+"n/&gt;!&amp;qg"</f>
        <v>#VALUE!</v>
      </c>
      <c r="GM119" t="e">
        <f>'All regions'!H2982+"n/&gt;!&amp;qh"</f>
        <v>#VALUE!</v>
      </c>
      <c r="GN119" t="e">
        <f>'All regions'!I2982+"n/&gt;!&amp;qi"</f>
        <v>#VALUE!</v>
      </c>
      <c r="GO119" t="e">
        <f>'All regions'!J2982+"n/&gt;!&amp;qj"</f>
        <v>#VALUE!</v>
      </c>
      <c r="GP119" t="e">
        <f>'All regions'!A2983+"n/&gt;!&amp;qk"</f>
        <v>#VALUE!</v>
      </c>
      <c r="GQ119" t="e">
        <f>'All regions'!B2983+"n/&gt;!&amp;ql"</f>
        <v>#VALUE!</v>
      </c>
      <c r="GR119" t="e">
        <f>'All regions'!C2983+"n/&gt;!&amp;qm"</f>
        <v>#VALUE!</v>
      </c>
      <c r="GS119" t="e">
        <f>'All regions'!D2983+"n/&gt;!&amp;qn"</f>
        <v>#VALUE!</v>
      </c>
      <c r="GT119" t="e">
        <f>'All regions'!E2983+"n/&gt;!&amp;qo"</f>
        <v>#VALUE!</v>
      </c>
      <c r="GU119" t="e">
        <f>'All regions'!F2983+"n/&gt;!&amp;qp"</f>
        <v>#VALUE!</v>
      </c>
      <c r="GV119" t="e">
        <f>'All regions'!G2983+"n/&gt;!&amp;qq"</f>
        <v>#VALUE!</v>
      </c>
      <c r="GW119" t="e">
        <f>'All regions'!H2983+"n/&gt;!&amp;qr"</f>
        <v>#VALUE!</v>
      </c>
      <c r="GX119" t="e">
        <f>'All regions'!I2983+"n/&gt;!&amp;qs"</f>
        <v>#VALUE!</v>
      </c>
      <c r="GY119" t="e">
        <f>'All regions'!J2983+"n/&gt;!&amp;qt"</f>
        <v>#VALUE!</v>
      </c>
      <c r="GZ119" t="e">
        <f>'All regions'!A2984+"n/&gt;!&amp;qu"</f>
        <v>#VALUE!</v>
      </c>
      <c r="HA119" t="e">
        <f>'All regions'!B2984+"n/&gt;!&amp;qv"</f>
        <v>#VALUE!</v>
      </c>
      <c r="HB119" t="e">
        <f>'All regions'!C2984+"n/&gt;!&amp;qw"</f>
        <v>#VALUE!</v>
      </c>
      <c r="HC119" t="e">
        <f>'All regions'!D2984+"n/&gt;!&amp;qx"</f>
        <v>#VALUE!</v>
      </c>
      <c r="HD119" t="e">
        <f>'All regions'!E2984+"n/&gt;!&amp;qy"</f>
        <v>#VALUE!</v>
      </c>
      <c r="HE119" t="e">
        <f>'All regions'!F2984+"n/&gt;!&amp;qz"</f>
        <v>#VALUE!</v>
      </c>
      <c r="HF119" t="e">
        <f>'All regions'!G2984+"n/&gt;!&amp;q{"</f>
        <v>#VALUE!</v>
      </c>
      <c r="HG119" t="e">
        <f>'All regions'!H2984+"n/&gt;!&amp;q|"</f>
        <v>#VALUE!</v>
      </c>
      <c r="HH119" t="e">
        <f>'All regions'!I2984+"n/&gt;!&amp;q}"</f>
        <v>#VALUE!</v>
      </c>
      <c r="HI119" t="e">
        <f>'All regions'!J2984+"n/&gt;!&amp;q~"</f>
        <v>#VALUE!</v>
      </c>
      <c r="HJ119" t="e">
        <f>'All regions'!A2985+"n/&gt;!&amp;r#"</f>
        <v>#VALUE!</v>
      </c>
      <c r="HK119" t="e">
        <f>'All regions'!B2985+"n/&gt;!&amp;r$"</f>
        <v>#VALUE!</v>
      </c>
      <c r="HL119" t="e">
        <f>'All regions'!C2985+"n/&gt;!&amp;r%"</f>
        <v>#VALUE!</v>
      </c>
      <c r="HM119" t="e">
        <f>'All regions'!D2985+"n/&gt;!&amp;r&amp;"</f>
        <v>#VALUE!</v>
      </c>
      <c r="HN119" t="e">
        <f>'All regions'!E2985+"n/&gt;!&amp;r'"</f>
        <v>#VALUE!</v>
      </c>
      <c r="HO119" t="e">
        <f>'All regions'!F2985+"n/&gt;!&amp;r("</f>
        <v>#VALUE!</v>
      </c>
      <c r="HP119" t="e">
        <f>'All regions'!G2985+"n/&gt;!&amp;r)"</f>
        <v>#VALUE!</v>
      </c>
      <c r="HQ119" t="e">
        <f>'All regions'!H2985+"n/&gt;!&amp;r."</f>
        <v>#VALUE!</v>
      </c>
      <c r="HR119" t="e">
        <f>'All regions'!I2985+"n/&gt;!&amp;r/"</f>
        <v>#VALUE!</v>
      </c>
      <c r="HS119" t="e">
        <f>'All regions'!J2985+"n/&gt;!&amp;r0"</f>
        <v>#VALUE!</v>
      </c>
      <c r="HT119" t="e">
        <f>'All regions'!A2986+"n/&gt;!&amp;r1"</f>
        <v>#VALUE!</v>
      </c>
      <c r="HU119" t="e">
        <f>'All regions'!B2986+"n/&gt;!&amp;r2"</f>
        <v>#VALUE!</v>
      </c>
      <c r="HV119" t="e">
        <f>'All regions'!C2986+"n/&gt;!&amp;r3"</f>
        <v>#VALUE!</v>
      </c>
      <c r="HW119" t="e">
        <f>'All regions'!D2986+"n/&gt;!&amp;r4"</f>
        <v>#VALUE!</v>
      </c>
      <c r="HX119" t="e">
        <f>'All regions'!E2986+"n/&gt;!&amp;r5"</f>
        <v>#VALUE!</v>
      </c>
      <c r="HY119" t="e">
        <f>'All regions'!F2986+"n/&gt;!&amp;r6"</f>
        <v>#VALUE!</v>
      </c>
      <c r="HZ119" t="e">
        <f>'All regions'!G2986+"n/&gt;!&amp;r7"</f>
        <v>#VALUE!</v>
      </c>
      <c r="IA119" t="e">
        <f>'All regions'!H2986+"n/&gt;!&amp;r8"</f>
        <v>#VALUE!</v>
      </c>
      <c r="IB119" t="e">
        <f>'All regions'!I2986+"n/&gt;!&amp;r9"</f>
        <v>#VALUE!</v>
      </c>
      <c r="IC119" t="e">
        <f>'All regions'!J2986+"n/&gt;!&amp;r:"</f>
        <v>#VALUE!</v>
      </c>
      <c r="ID119" t="e">
        <f>'All regions'!A2987+"n/&gt;!&amp;r;"</f>
        <v>#VALUE!</v>
      </c>
      <c r="IE119" t="e">
        <f>'All regions'!B2987+"n/&gt;!&amp;r&lt;"</f>
        <v>#VALUE!</v>
      </c>
      <c r="IF119" t="e">
        <f>'All regions'!C2987+"n/&gt;!&amp;r="</f>
        <v>#VALUE!</v>
      </c>
      <c r="IG119" t="e">
        <f>'All regions'!D2987+"n/&gt;!&amp;r&gt;"</f>
        <v>#VALUE!</v>
      </c>
      <c r="IH119" t="e">
        <f>'All regions'!E2987+"n/&gt;!&amp;r?"</f>
        <v>#VALUE!</v>
      </c>
      <c r="II119" t="e">
        <f>'All regions'!F2987+"n/&gt;!&amp;r@"</f>
        <v>#VALUE!</v>
      </c>
      <c r="IJ119" t="e">
        <f>'All regions'!G2987+"n/&gt;!&amp;rA"</f>
        <v>#VALUE!</v>
      </c>
      <c r="IK119" t="e">
        <f>'All regions'!H2987+"n/&gt;!&amp;rB"</f>
        <v>#VALUE!</v>
      </c>
      <c r="IL119" t="e">
        <f>'All regions'!I2987+"n/&gt;!&amp;rC"</f>
        <v>#VALUE!</v>
      </c>
      <c r="IM119" t="e">
        <f>'All regions'!J2987+"n/&gt;!&amp;rD"</f>
        <v>#VALUE!</v>
      </c>
      <c r="IN119" t="e">
        <f>'All regions'!A2988+"n/&gt;!&amp;rE"</f>
        <v>#VALUE!</v>
      </c>
      <c r="IO119" t="e">
        <f>'All regions'!B2988+"n/&gt;!&amp;rF"</f>
        <v>#VALUE!</v>
      </c>
      <c r="IP119" t="e">
        <f>'All regions'!C2988+"n/&gt;!&amp;rG"</f>
        <v>#VALUE!</v>
      </c>
      <c r="IQ119" t="e">
        <f>'All regions'!D2988+"n/&gt;!&amp;rH"</f>
        <v>#VALUE!</v>
      </c>
      <c r="IR119" t="e">
        <f>'All regions'!E2988+"n/&gt;!&amp;rI"</f>
        <v>#VALUE!</v>
      </c>
      <c r="IS119" t="e">
        <f>'All regions'!F2988+"n/&gt;!&amp;rJ"</f>
        <v>#VALUE!</v>
      </c>
      <c r="IT119" t="e">
        <f>'All regions'!G2988+"n/&gt;!&amp;rK"</f>
        <v>#VALUE!</v>
      </c>
      <c r="IU119" t="e">
        <f>'All regions'!H2988+"n/&gt;!&amp;rL"</f>
        <v>#VALUE!</v>
      </c>
      <c r="IV119" t="e">
        <f>'All regions'!I2988+"n/&gt;!&amp;rM"</f>
        <v>#VALUE!</v>
      </c>
    </row>
    <row r="120" spans="6:256" x14ac:dyDescent="0.35">
      <c r="F120" t="e">
        <f>'All regions'!J2988+"n/&gt;!&amp;rN"</f>
        <v>#VALUE!</v>
      </c>
      <c r="G120" t="e">
        <f>'All regions'!A2989+"n/&gt;!&amp;rO"</f>
        <v>#VALUE!</v>
      </c>
      <c r="H120" t="e">
        <f>'All regions'!B2989+"n/&gt;!&amp;rP"</f>
        <v>#VALUE!</v>
      </c>
      <c r="I120" t="e">
        <f>'All regions'!C2989+"n/&gt;!&amp;rQ"</f>
        <v>#VALUE!</v>
      </c>
      <c r="J120" t="e">
        <f>'All regions'!D2989+"n/&gt;!&amp;rR"</f>
        <v>#VALUE!</v>
      </c>
      <c r="K120" t="e">
        <f>'All regions'!E2989+"n/&gt;!&amp;rS"</f>
        <v>#VALUE!</v>
      </c>
      <c r="L120" t="e">
        <f>'All regions'!F2989+"n/&gt;!&amp;rT"</f>
        <v>#VALUE!</v>
      </c>
      <c r="M120" t="e">
        <f>'All regions'!G2989+"n/&gt;!&amp;rU"</f>
        <v>#VALUE!</v>
      </c>
      <c r="N120" t="e">
        <f>'All regions'!H2989+"n/&gt;!&amp;rV"</f>
        <v>#VALUE!</v>
      </c>
      <c r="O120" t="e">
        <f>'All regions'!I2989+"n/&gt;!&amp;rW"</f>
        <v>#VALUE!</v>
      </c>
      <c r="P120" t="e">
        <f>'All regions'!J2989+"n/&gt;!&amp;rX"</f>
        <v>#VALUE!</v>
      </c>
      <c r="Q120" t="e">
        <f>'All regions'!A2990+"n/&gt;!&amp;rY"</f>
        <v>#VALUE!</v>
      </c>
      <c r="R120" t="e">
        <f>'All regions'!B2990+"n/&gt;!&amp;rZ"</f>
        <v>#VALUE!</v>
      </c>
      <c r="S120" t="e">
        <f>'All regions'!C2990+"n/&gt;!&amp;r["</f>
        <v>#VALUE!</v>
      </c>
      <c r="T120" t="e">
        <f>'All regions'!D2990+"n/&gt;!&amp;r\"</f>
        <v>#VALUE!</v>
      </c>
      <c r="U120" t="e">
        <f>'All regions'!E2990+"n/&gt;!&amp;r]"</f>
        <v>#VALUE!</v>
      </c>
      <c r="V120" t="e">
        <f>'All regions'!F2990+"n/&gt;!&amp;r^"</f>
        <v>#VALUE!</v>
      </c>
      <c r="W120" t="e">
        <f>'All regions'!G2990+"n/&gt;!&amp;r_"</f>
        <v>#VALUE!</v>
      </c>
      <c r="X120" t="e">
        <f>'All regions'!H2990+"n/&gt;!&amp;r`"</f>
        <v>#VALUE!</v>
      </c>
      <c r="Y120" t="e">
        <f>'All regions'!I2990+"n/&gt;!&amp;ra"</f>
        <v>#VALUE!</v>
      </c>
      <c r="Z120" t="e">
        <f>'All regions'!J2990+"n/&gt;!&amp;rb"</f>
        <v>#VALUE!</v>
      </c>
      <c r="AA120" t="e">
        <f>'All regions'!A2991+"n/&gt;!&amp;rc"</f>
        <v>#VALUE!</v>
      </c>
      <c r="AB120" t="e">
        <f>'All regions'!B2991+"n/&gt;!&amp;rd"</f>
        <v>#VALUE!</v>
      </c>
      <c r="AC120" t="e">
        <f>'All regions'!C2991+"n/&gt;!&amp;re"</f>
        <v>#VALUE!</v>
      </c>
      <c r="AD120" t="e">
        <f>'All regions'!D2991+"n/&gt;!&amp;rf"</f>
        <v>#VALUE!</v>
      </c>
      <c r="AE120" t="e">
        <f>'All regions'!E2991+"n/&gt;!&amp;rg"</f>
        <v>#VALUE!</v>
      </c>
      <c r="AF120" t="e">
        <f>'All regions'!F2991+"n/&gt;!&amp;rh"</f>
        <v>#VALUE!</v>
      </c>
      <c r="AG120" t="e">
        <f>'All regions'!G2991+"n/&gt;!&amp;ri"</f>
        <v>#VALUE!</v>
      </c>
      <c r="AH120" t="e">
        <f>'All regions'!H2991+"n/&gt;!&amp;rj"</f>
        <v>#VALUE!</v>
      </c>
      <c r="AI120" t="e">
        <f>'All regions'!I2991+"n/&gt;!&amp;rk"</f>
        <v>#VALUE!</v>
      </c>
      <c r="AJ120" t="e">
        <f>'All regions'!J2991+"n/&gt;!&amp;rl"</f>
        <v>#VALUE!</v>
      </c>
      <c r="AK120" t="e">
        <f>'All regions'!A2992+"n/&gt;!&amp;rm"</f>
        <v>#VALUE!</v>
      </c>
      <c r="AL120" t="e">
        <f>'All regions'!B2992+"n/&gt;!&amp;rn"</f>
        <v>#VALUE!</v>
      </c>
      <c r="AM120" t="e">
        <f>'All regions'!C2992+"n/&gt;!&amp;ro"</f>
        <v>#VALUE!</v>
      </c>
      <c r="AN120" t="e">
        <f>'All regions'!D2992+"n/&gt;!&amp;rp"</f>
        <v>#VALUE!</v>
      </c>
      <c r="AO120" t="e">
        <f>'All regions'!E2992+"n/&gt;!&amp;rq"</f>
        <v>#VALUE!</v>
      </c>
      <c r="AP120" t="e">
        <f>'All regions'!F2992+"n/&gt;!&amp;rr"</f>
        <v>#VALUE!</v>
      </c>
      <c r="AQ120" t="e">
        <f>'All regions'!G2992+"n/&gt;!&amp;rs"</f>
        <v>#VALUE!</v>
      </c>
      <c r="AR120" t="e">
        <f>'All regions'!H2992+"n/&gt;!&amp;rt"</f>
        <v>#VALUE!</v>
      </c>
      <c r="AS120" t="e">
        <f>'All regions'!I2992+"n/&gt;!&amp;ru"</f>
        <v>#VALUE!</v>
      </c>
      <c r="AT120" t="e">
        <f>'All regions'!J2992+"n/&gt;!&amp;rv"</f>
        <v>#VALUE!</v>
      </c>
      <c r="AU120" t="e">
        <f>'All regions'!A2993+"n/&gt;!&amp;rw"</f>
        <v>#VALUE!</v>
      </c>
      <c r="AV120" t="e">
        <f>'All regions'!B2993+"n/&gt;!&amp;rx"</f>
        <v>#VALUE!</v>
      </c>
      <c r="AW120" t="e">
        <f>'All regions'!C2993+"n/&gt;!&amp;ry"</f>
        <v>#VALUE!</v>
      </c>
      <c r="AX120" t="e">
        <f>'All regions'!D2993+"n/&gt;!&amp;rz"</f>
        <v>#VALUE!</v>
      </c>
      <c r="AY120" t="e">
        <f>'All regions'!E2993+"n/&gt;!&amp;r{"</f>
        <v>#VALUE!</v>
      </c>
      <c r="AZ120" t="e">
        <f>'All regions'!F2993+"n/&gt;!&amp;r|"</f>
        <v>#VALUE!</v>
      </c>
      <c r="BA120" t="e">
        <f>'All regions'!G2993+"n/&gt;!&amp;r}"</f>
        <v>#VALUE!</v>
      </c>
      <c r="BB120" t="e">
        <f>'All regions'!H2993+"n/&gt;!&amp;r~"</f>
        <v>#VALUE!</v>
      </c>
      <c r="BC120" t="e">
        <f>'All regions'!I2993+"n/&gt;!&amp;s#"</f>
        <v>#VALUE!</v>
      </c>
      <c r="BD120" t="e">
        <f>'All regions'!J2993+"n/&gt;!&amp;s$"</f>
        <v>#VALUE!</v>
      </c>
      <c r="BE120" t="e">
        <f>'All regions'!A2994+"n/&gt;!&amp;s%"</f>
        <v>#VALUE!</v>
      </c>
      <c r="BF120" t="e">
        <f>'All regions'!B2994+"n/&gt;!&amp;s&amp;"</f>
        <v>#VALUE!</v>
      </c>
      <c r="BG120" t="e">
        <f>'All regions'!C2994+"n/&gt;!&amp;s'"</f>
        <v>#VALUE!</v>
      </c>
      <c r="BH120" t="e">
        <f>'All regions'!D2994+"n/&gt;!&amp;s("</f>
        <v>#VALUE!</v>
      </c>
      <c r="BI120" t="e">
        <f>'All regions'!E2994+"n/&gt;!&amp;s)"</f>
        <v>#VALUE!</v>
      </c>
      <c r="BJ120" t="e">
        <f>'All regions'!F2994+"n/&gt;!&amp;s."</f>
        <v>#VALUE!</v>
      </c>
      <c r="BK120" t="e">
        <f>'All regions'!G2994+"n/&gt;!&amp;s/"</f>
        <v>#VALUE!</v>
      </c>
      <c r="BL120" t="e">
        <f>'All regions'!H2994+"n/&gt;!&amp;s0"</f>
        <v>#VALUE!</v>
      </c>
      <c r="BM120" t="e">
        <f>'All regions'!I2994+"n/&gt;!&amp;s1"</f>
        <v>#VALUE!</v>
      </c>
      <c r="BN120" t="e">
        <f>'All regions'!J2994+"n/&gt;!&amp;s2"</f>
        <v>#VALUE!</v>
      </c>
      <c r="BO120" t="e">
        <f>'All regions'!A2995+"n/&gt;!&amp;s3"</f>
        <v>#VALUE!</v>
      </c>
      <c r="BP120" t="e">
        <f>'All regions'!B2995+"n/&gt;!&amp;s4"</f>
        <v>#VALUE!</v>
      </c>
      <c r="BQ120" t="e">
        <f>'All regions'!C2995+"n/&gt;!&amp;s5"</f>
        <v>#VALUE!</v>
      </c>
      <c r="BR120" t="e">
        <f>'All regions'!D2995+"n/&gt;!&amp;s6"</f>
        <v>#VALUE!</v>
      </c>
      <c r="BS120" t="e">
        <f>'All regions'!E2995+"n/&gt;!&amp;s7"</f>
        <v>#VALUE!</v>
      </c>
      <c r="BT120" t="e">
        <f>'All regions'!F2995+"n/&gt;!&amp;s8"</f>
        <v>#VALUE!</v>
      </c>
      <c r="BU120" t="e">
        <f>'All regions'!G2995+"n/&gt;!&amp;s9"</f>
        <v>#VALUE!</v>
      </c>
      <c r="BV120" t="e">
        <f>'All regions'!H2995+"n/&gt;!&amp;s:"</f>
        <v>#VALUE!</v>
      </c>
      <c r="BW120" t="e">
        <f>'All regions'!I2995+"n/&gt;!&amp;s;"</f>
        <v>#VALUE!</v>
      </c>
      <c r="BX120" t="e">
        <f>'All regions'!J2995+"n/&gt;!&amp;s&lt;"</f>
        <v>#VALUE!</v>
      </c>
      <c r="BY120" t="e">
        <f>'All regions'!A2996+"n/&gt;!&amp;s="</f>
        <v>#VALUE!</v>
      </c>
      <c r="BZ120" t="e">
        <f>'All regions'!B2996+"n/&gt;!&amp;s&gt;"</f>
        <v>#VALUE!</v>
      </c>
      <c r="CA120" t="e">
        <f>'All regions'!C2996+"n/&gt;!&amp;s?"</f>
        <v>#VALUE!</v>
      </c>
      <c r="CB120" t="e">
        <f>'All regions'!D2996+"n/&gt;!&amp;s@"</f>
        <v>#VALUE!</v>
      </c>
      <c r="CC120" t="e">
        <f>'All regions'!E2996+"n/&gt;!&amp;sA"</f>
        <v>#VALUE!</v>
      </c>
      <c r="CD120" t="e">
        <f>'All regions'!F2996+"n/&gt;!&amp;sB"</f>
        <v>#VALUE!</v>
      </c>
      <c r="CE120" t="e">
        <f>'All regions'!G2996+"n/&gt;!&amp;sC"</f>
        <v>#VALUE!</v>
      </c>
      <c r="CF120" t="e">
        <f>'All regions'!H2996+"n/&gt;!&amp;sD"</f>
        <v>#VALUE!</v>
      </c>
      <c r="CG120" t="e">
        <f>'All regions'!I2996+"n/&gt;!&amp;sE"</f>
        <v>#VALUE!</v>
      </c>
      <c r="CH120" t="e">
        <f>'All regions'!J2996+"n/&gt;!&amp;sF"</f>
        <v>#VALUE!</v>
      </c>
      <c r="CI120" t="e">
        <f>'All regions'!A2997+"n/&gt;!&amp;sG"</f>
        <v>#VALUE!</v>
      </c>
      <c r="CJ120" t="e">
        <f>'All regions'!B2997+"n/&gt;!&amp;sH"</f>
        <v>#VALUE!</v>
      </c>
      <c r="CK120" t="e">
        <f>'All regions'!C2997+"n/&gt;!&amp;sI"</f>
        <v>#VALUE!</v>
      </c>
      <c r="CL120" t="e">
        <f>'All regions'!D2997+"n/&gt;!&amp;sJ"</f>
        <v>#VALUE!</v>
      </c>
      <c r="CM120" t="e">
        <f>'All regions'!E2997+"n/&gt;!&amp;sK"</f>
        <v>#VALUE!</v>
      </c>
      <c r="CN120" t="e">
        <f>'All regions'!F2997+"n/&gt;!&amp;sL"</f>
        <v>#VALUE!</v>
      </c>
      <c r="CO120" t="e">
        <f>'All regions'!G2997+"n/&gt;!&amp;sM"</f>
        <v>#VALUE!</v>
      </c>
      <c r="CP120" t="e">
        <f>'All regions'!H2997+"n/&gt;!&amp;sN"</f>
        <v>#VALUE!</v>
      </c>
      <c r="CQ120" t="e">
        <f>'All regions'!I2997+"n/&gt;!&amp;sO"</f>
        <v>#VALUE!</v>
      </c>
      <c r="CR120" t="e">
        <f>'All regions'!J2997+"n/&gt;!&amp;sP"</f>
        <v>#VALUE!</v>
      </c>
      <c r="CS120" t="e">
        <f>'All regions'!A2998+"n/&gt;!&amp;sQ"</f>
        <v>#VALUE!</v>
      </c>
      <c r="CT120" t="e">
        <f>'All regions'!B2998+"n/&gt;!&amp;sR"</f>
        <v>#VALUE!</v>
      </c>
      <c r="CU120" t="e">
        <f>'All regions'!C2998+"n/&gt;!&amp;sS"</f>
        <v>#VALUE!</v>
      </c>
      <c r="CV120" t="e">
        <f>'All regions'!D2998+"n/&gt;!&amp;sT"</f>
        <v>#VALUE!</v>
      </c>
      <c r="CW120" t="e">
        <f>'All regions'!E2998+"n/&gt;!&amp;sU"</f>
        <v>#VALUE!</v>
      </c>
      <c r="CX120" t="e">
        <f>'All regions'!F2998+"n/&gt;!&amp;sV"</f>
        <v>#VALUE!</v>
      </c>
      <c r="CY120" t="e">
        <f>'All regions'!G2998+"n/&gt;!&amp;sW"</f>
        <v>#VALUE!</v>
      </c>
      <c r="CZ120" t="e">
        <f>'All regions'!H2998+"n/&gt;!&amp;sX"</f>
        <v>#VALUE!</v>
      </c>
      <c r="DA120" t="e">
        <f>'All regions'!I2998+"n/&gt;!&amp;sY"</f>
        <v>#VALUE!</v>
      </c>
      <c r="DB120" t="e">
        <f>'All regions'!J2998+"n/&gt;!&amp;sZ"</f>
        <v>#VALUE!</v>
      </c>
      <c r="DC120" t="e">
        <f>'All regions'!A2999+"n/&gt;!&amp;s["</f>
        <v>#VALUE!</v>
      </c>
      <c r="DD120" t="e">
        <f>'All regions'!B2999+"n/&gt;!&amp;s\"</f>
        <v>#VALUE!</v>
      </c>
      <c r="DE120" t="e">
        <f>'All regions'!C2999+"n/&gt;!&amp;s]"</f>
        <v>#VALUE!</v>
      </c>
      <c r="DF120" t="e">
        <f>'All regions'!D2999+"n/&gt;!&amp;s^"</f>
        <v>#VALUE!</v>
      </c>
      <c r="DG120" t="e">
        <f>'All regions'!E2999+"n/&gt;!&amp;s_"</f>
        <v>#VALUE!</v>
      </c>
      <c r="DH120" t="e">
        <f>'All regions'!F2999+"n/&gt;!&amp;s`"</f>
        <v>#VALUE!</v>
      </c>
      <c r="DI120" t="e">
        <f>'All regions'!G2999+"n/&gt;!&amp;sa"</f>
        <v>#VALUE!</v>
      </c>
      <c r="DJ120" t="e">
        <f>'All regions'!H2999+"n/&gt;!&amp;sb"</f>
        <v>#VALUE!</v>
      </c>
      <c r="DK120" t="e">
        <f>'All regions'!I2999+"n/&gt;!&amp;sc"</f>
        <v>#VALUE!</v>
      </c>
      <c r="DL120" t="e">
        <f>'All regions'!J2999+"n/&gt;!&amp;sd"</f>
        <v>#VALUE!</v>
      </c>
      <c r="DM120" t="e">
        <f>'All regions'!A3000+"n/&gt;!&amp;se"</f>
        <v>#VALUE!</v>
      </c>
      <c r="DN120" t="e">
        <f>'All regions'!B3000+"n/&gt;!&amp;sf"</f>
        <v>#VALUE!</v>
      </c>
      <c r="DO120" t="e">
        <f>'All regions'!C3000+"n/&gt;!&amp;sg"</f>
        <v>#VALUE!</v>
      </c>
      <c r="DP120" t="e">
        <f>'All regions'!D3000+"n/&gt;!&amp;sh"</f>
        <v>#VALUE!</v>
      </c>
      <c r="DQ120" t="e">
        <f>'All regions'!E3000+"n/&gt;!&amp;si"</f>
        <v>#VALUE!</v>
      </c>
      <c r="DR120" t="e">
        <f>'All regions'!F3000+"n/&gt;!&amp;sj"</f>
        <v>#VALUE!</v>
      </c>
      <c r="DS120" t="e">
        <f>'All regions'!G3000+"n/&gt;!&amp;sk"</f>
        <v>#VALUE!</v>
      </c>
      <c r="DT120" t="e">
        <f>'All regions'!H3000+"n/&gt;!&amp;sl"</f>
        <v>#VALUE!</v>
      </c>
      <c r="DU120" t="e">
        <f>'All regions'!I3000+"n/&gt;!&amp;sm"</f>
        <v>#VALUE!</v>
      </c>
      <c r="DV120" t="e">
        <f>'All regions'!J3000+"n/&gt;!&amp;sn"</f>
        <v>#VALUE!</v>
      </c>
      <c r="DW120" t="e">
        <f>'All regions'!A3001+"n/&gt;!&amp;so"</f>
        <v>#VALUE!</v>
      </c>
      <c r="DX120" t="e">
        <f>'All regions'!B3001+"n/&gt;!&amp;sp"</f>
        <v>#VALUE!</v>
      </c>
      <c r="DY120" t="e">
        <f>'All regions'!C3001+"n/&gt;!&amp;sq"</f>
        <v>#VALUE!</v>
      </c>
      <c r="DZ120" t="e">
        <f>'All regions'!D3001+"n/&gt;!&amp;sr"</f>
        <v>#VALUE!</v>
      </c>
      <c r="EA120" t="e">
        <f>'All regions'!E3001+"n/&gt;!&amp;ss"</f>
        <v>#VALUE!</v>
      </c>
      <c r="EB120" t="e">
        <f>'All regions'!F3001+"n/&gt;!&amp;st"</f>
        <v>#VALUE!</v>
      </c>
      <c r="EC120" t="e">
        <f>'All regions'!G3001+"n/&gt;!&amp;su"</f>
        <v>#VALUE!</v>
      </c>
      <c r="ED120" t="e">
        <f>'All regions'!H3001+"n/&gt;!&amp;sv"</f>
        <v>#VALUE!</v>
      </c>
      <c r="EE120" t="e">
        <f>'All regions'!I3001+"n/&gt;!&amp;sw"</f>
        <v>#VALUE!</v>
      </c>
      <c r="EF120" t="e">
        <f>'All regions'!J3001+"n/&gt;!&amp;sx"</f>
        <v>#VALUE!</v>
      </c>
      <c r="EG120" t="e">
        <f>'All regions'!A3002+"n/&gt;!&amp;sy"</f>
        <v>#VALUE!</v>
      </c>
      <c r="EH120" t="e">
        <f>'All regions'!B3002+"n/&gt;!&amp;sz"</f>
        <v>#VALUE!</v>
      </c>
      <c r="EI120" t="e">
        <f>'All regions'!C3002+"n/&gt;!&amp;s{"</f>
        <v>#VALUE!</v>
      </c>
      <c r="EJ120" t="e">
        <f>'All regions'!D3002+"n/&gt;!&amp;s|"</f>
        <v>#VALUE!</v>
      </c>
      <c r="EK120" t="e">
        <f>'All regions'!E3002+"n/&gt;!&amp;s}"</f>
        <v>#VALUE!</v>
      </c>
      <c r="EL120" t="e">
        <f>'All regions'!F3002+"n/&gt;!&amp;s~"</f>
        <v>#VALUE!</v>
      </c>
      <c r="EM120" t="e">
        <f>'All regions'!G3002+"n/&gt;!&amp;t#"</f>
        <v>#VALUE!</v>
      </c>
      <c r="EN120" t="e">
        <f>'All regions'!H3002+"n/&gt;!&amp;t$"</f>
        <v>#VALUE!</v>
      </c>
      <c r="EO120" t="e">
        <f>'All regions'!I3002+"n/&gt;!&amp;t%"</f>
        <v>#VALUE!</v>
      </c>
      <c r="EP120" t="e">
        <f>'All regions'!J3002+"n/&gt;!&amp;t&amp;"</f>
        <v>#VALUE!</v>
      </c>
      <c r="EQ120" t="e">
        <f>'All regions'!A3003+"n/&gt;!&amp;t'"</f>
        <v>#VALUE!</v>
      </c>
      <c r="ER120" t="e">
        <f>'All regions'!B3003+"n/&gt;!&amp;t("</f>
        <v>#VALUE!</v>
      </c>
      <c r="ES120" t="e">
        <f>'All regions'!C3003+"n/&gt;!&amp;t)"</f>
        <v>#VALUE!</v>
      </c>
      <c r="ET120" t="e">
        <f>'All regions'!D3003+"n/&gt;!&amp;t."</f>
        <v>#VALUE!</v>
      </c>
      <c r="EU120" t="e">
        <f>'All regions'!E3003+"n/&gt;!&amp;t/"</f>
        <v>#VALUE!</v>
      </c>
      <c r="EV120" t="e">
        <f>'All regions'!F3003+"n/&gt;!&amp;t0"</f>
        <v>#VALUE!</v>
      </c>
      <c r="EW120" t="e">
        <f>'All regions'!G3003+"n/&gt;!&amp;t1"</f>
        <v>#VALUE!</v>
      </c>
      <c r="EX120" t="e">
        <f>'All regions'!H3003+"n/&gt;!&amp;t2"</f>
        <v>#VALUE!</v>
      </c>
      <c r="EY120" t="e">
        <f>'All regions'!I3003+"n/&gt;!&amp;t3"</f>
        <v>#VALUE!</v>
      </c>
      <c r="EZ120" t="e">
        <f>'All regions'!J3003+"n/&gt;!&amp;t4"</f>
        <v>#VALUE!</v>
      </c>
      <c r="FA120" t="e">
        <f>'All regions'!A3004+"n/&gt;!&amp;t5"</f>
        <v>#VALUE!</v>
      </c>
      <c r="FB120" t="e">
        <f>'All regions'!B3004+"n/&gt;!&amp;t6"</f>
        <v>#VALUE!</v>
      </c>
      <c r="FC120" t="e">
        <f>'All regions'!C3004+"n/&gt;!&amp;t7"</f>
        <v>#VALUE!</v>
      </c>
      <c r="FD120" t="e">
        <f>'All regions'!D3004+"n/&gt;!&amp;t8"</f>
        <v>#VALUE!</v>
      </c>
      <c r="FE120" t="e">
        <f>'All regions'!E3004+"n/&gt;!&amp;t9"</f>
        <v>#VALUE!</v>
      </c>
      <c r="FF120" t="e">
        <f>'All regions'!F3004+"n/&gt;!&amp;t:"</f>
        <v>#VALUE!</v>
      </c>
      <c r="FG120" t="e">
        <f>'All regions'!G3004+"n/&gt;!&amp;t;"</f>
        <v>#VALUE!</v>
      </c>
      <c r="FH120" t="e">
        <f>'All regions'!H3004+"n/&gt;!&amp;t&lt;"</f>
        <v>#VALUE!</v>
      </c>
      <c r="FI120" t="e">
        <f>'All regions'!I3004+"n/&gt;!&amp;t="</f>
        <v>#VALUE!</v>
      </c>
      <c r="FJ120" t="e">
        <f>'All regions'!J3004+"n/&gt;!&amp;t&gt;"</f>
        <v>#VALUE!</v>
      </c>
      <c r="FK120" t="e">
        <f>'All regions'!A3005+"n/&gt;!&amp;t?"</f>
        <v>#VALUE!</v>
      </c>
      <c r="FL120" t="e">
        <f>'All regions'!B3005+"n/&gt;!&amp;t@"</f>
        <v>#VALUE!</v>
      </c>
      <c r="FM120" t="e">
        <f>'All regions'!C3005+"n/&gt;!&amp;tA"</f>
        <v>#VALUE!</v>
      </c>
      <c r="FN120" t="e">
        <f>'All regions'!D3005+"n/&gt;!&amp;tB"</f>
        <v>#VALUE!</v>
      </c>
      <c r="FO120" t="e">
        <f>'All regions'!E3005+"n/&gt;!&amp;tC"</f>
        <v>#VALUE!</v>
      </c>
      <c r="FP120" t="e">
        <f>'All regions'!F3005+"n/&gt;!&amp;tD"</f>
        <v>#VALUE!</v>
      </c>
      <c r="FQ120" t="e">
        <f>'All regions'!G3005+"n/&gt;!&amp;tE"</f>
        <v>#VALUE!</v>
      </c>
      <c r="FR120" t="e">
        <f>'All regions'!H3005+"n/&gt;!&amp;tF"</f>
        <v>#VALUE!</v>
      </c>
      <c r="FS120" t="e">
        <f>'All regions'!I3005+"n/&gt;!&amp;tG"</f>
        <v>#VALUE!</v>
      </c>
      <c r="FT120" t="e">
        <f>'All regions'!J3005+"n/&gt;!&amp;tH"</f>
        <v>#VALUE!</v>
      </c>
      <c r="FU120" t="e">
        <f>'All regions'!A3006+"n/&gt;!&amp;tI"</f>
        <v>#VALUE!</v>
      </c>
      <c r="FV120" t="e">
        <f>'All regions'!B3006+"n/&gt;!&amp;tJ"</f>
        <v>#VALUE!</v>
      </c>
      <c r="FW120" t="e">
        <f>'All regions'!C3006+"n/&gt;!&amp;tK"</f>
        <v>#VALUE!</v>
      </c>
      <c r="FX120" t="e">
        <f>'All regions'!D3006+"n/&gt;!&amp;tL"</f>
        <v>#VALUE!</v>
      </c>
      <c r="FY120" t="e">
        <f>'All regions'!E3006+"n/&gt;!&amp;tM"</f>
        <v>#VALUE!</v>
      </c>
      <c r="FZ120" t="e">
        <f>'All regions'!F3006+"n/&gt;!&amp;tN"</f>
        <v>#VALUE!</v>
      </c>
      <c r="GA120" t="e">
        <f>'All regions'!G3006+"n/&gt;!&amp;tO"</f>
        <v>#VALUE!</v>
      </c>
      <c r="GB120" t="e">
        <f>'All regions'!H3006+"n/&gt;!&amp;tP"</f>
        <v>#VALUE!</v>
      </c>
      <c r="GC120" t="e">
        <f>'All regions'!I3006+"n/&gt;!&amp;tQ"</f>
        <v>#VALUE!</v>
      </c>
      <c r="GD120" t="e">
        <f>'All regions'!J3006+"n/&gt;!&amp;tR"</f>
        <v>#VALUE!</v>
      </c>
      <c r="GE120" t="e">
        <f>'All regions'!A3007+"n/&gt;!&amp;tS"</f>
        <v>#VALUE!</v>
      </c>
      <c r="GF120" t="e">
        <f>'All regions'!B3007+"n/&gt;!&amp;tT"</f>
        <v>#VALUE!</v>
      </c>
      <c r="GG120" t="e">
        <f>'All regions'!C3007+"n/&gt;!&amp;tU"</f>
        <v>#VALUE!</v>
      </c>
      <c r="GH120" t="e">
        <f>'All regions'!D3007+"n/&gt;!&amp;tV"</f>
        <v>#VALUE!</v>
      </c>
      <c r="GI120" t="e">
        <f>'All regions'!E3007+"n/&gt;!&amp;tW"</f>
        <v>#VALUE!</v>
      </c>
      <c r="GJ120" t="e">
        <f>'All regions'!F3007+"n/&gt;!&amp;tX"</f>
        <v>#VALUE!</v>
      </c>
      <c r="GK120" t="e">
        <f>'All regions'!G3007+"n/&gt;!&amp;tY"</f>
        <v>#VALUE!</v>
      </c>
      <c r="GL120" t="e">
        <f>'All regions'!H3007+"n/&gt;!&amp;tZ"</f>
        <v>#VALUE!</v>
      </c>
      <c r="GM120" t="e">
        <f>'All regions'!I3007+"n/&gt;!&amp;t["</f>
        <v>#VALUE!</v>
      </c>
      <c r="GN120" t="e">
        <f>'All regions'!J3007+"n/&gt;!&amp;t\"</f>
        <v>#VALUE!</v>
      </c>
      <c r="GO120" t="e">
        <f>'All regions'!A3008+"n/&gt;!&amp;t]"</f>
        <v>#VALUE!</v>
      </c>
      <c r="GP120" t="e">
        <f>'All regions'!B3008+"n/&gt;!&amp;t^"</f>
        <v>#VALUE!</v>
      </c>
      <c r="GQ120" t="e">
        <f>'All regions'!C3008+"n/&gt;!&amp;t_"</f>
        <v>#VALUE!</v>
      </c>
      <c r="GR120" t="e">
        <f>'All regions'!D3008+"n/&gt;!&amp;t`"</f>
        <v>#VALUE!</v>
      </c>
      <c r="GS120" t="e">
        <f>'All regions'!E3008+"n/&gt;!&amp;ta"</f>
        <v>#VALUE!</v>
      </c>
      <c r="GT120" t="e">
        <f>'All regions'!F3008+"n/&gt;!&amp;tb"</f>
        <v>#VALUE!</v>
      </c>
      <c r="GU120" t="e">
        <f>'All regions'!G3008+"n/&gt;!&amp;tc"</f>
        <v>#VALUE!</v>
      </c>
      <c r="GV120" t="e">
        <f>'All regions'!H3008+"n/&gt;!&amp;td"</f>
        <v>#VALUE!</v>
      </c>
      <c r="GW120" t="e">
        <f>'All regions'!I3008+"n/&gt;!&amp;te"</f>
        <v>#VALUE!</v>
      </c>
      <c r="GX120" t="e">
        <f>'All regions'!J3008+"n/&gt;!&amp;tf"</f>
        <v>#VALUE!</v>
      </c>
      <c r="GY120" t="e">
        <f>'All regions'!A3009+"n/&gt;!&amp;tg"</f>
        <v>#VALUE!</v>
      </c>
      <c r="GZ120" t="e">
        <f>'All regions'!B3009+"n/&gt;!&amp;th"</f>
        <v>#VALUE!</v>
      </c>
      <c r="HA120" t="e">
        <f>'All regions'!C3009+"n/&gt;!&amp;ti"</f>
        <v>#VALUE!</v>
      </c>
      <c r="HB120" t="e">
        <f>'All regions'!D3009+"n/&gt;!&amp;tj"</f>
        <v>#VALUE!</v>
      </c>
      <c r="HC120" t="e">
        <f>'All regions'!E3009+"n/&gt;!&amp;tk"</f>
        <v>#VALUE!</v>
      </c>
      <c r="HD120" t="e">
        <f>'All regions'!F3009+"n/&gt;!&amp;tl"</f>
        <v>#VALUE!</v>
      </c>
      <c r="HE120" t="e">
        <f>'All regions'!G3009+"n/&gt;!&amp;tm"</f>
        <v>#VALUE!</v>
      </c>
      <c r="HF120" t="e">
        <f>'All regions'!H3009+"n/&gt;!&amp;tn"</f>
        <v>#VALUE!</v>
      </c>
      <c r="HG120" t="e">
        <f>'All regions'!I3009+"n/&gt;!&amp;to"</f>
        <v>#VALUE!</v>
      </c>
      <c r="HH120" t="e">
        <f>'All regions'!J3009+"n/&gt;!&amp;tp"</f>
        <v>#VALUE!</v>
      </c>
      <c r="HI120" t="e">
        <f>'All regions'!A3010+"n/&gt;!&amp;tq"</f>
        <v>#VALUE!</v>
      </c>
      <c r="HJ120" t="e">
        <f>'All regions'!B3010+"n/&gt;!&amp;tr"</f>
        <v>#VALUE!</v>
      </c>
      <c r="HK120" t="e">
        <f>'All regions'!C3010+"n/&gt;!&amp;ts"</f>
        <v>#VALUE!</v>
      </c>
      <c r="HL120" t="e">
        <f>'All regions'!D3010+"n/&gt;!&amp;tt"</f>
        <v>#VALUE!</v>
      </c>
      <c r="HM120" t="e">
        <f>'All regions'!E3010+"n/&gt;!&amp;tu"</f>
        <v>#VALUE!</v>
      </c>
      <c r="HN120" t="e">
        <f>'All regions'!F3010+"n/&gt;!&amp;tv"</f>
        <v>#VALUE!</v>
      </c>
      <c r="HO120" t="e">
        <f>'All regions'!G3010+"n/&gt;!&amp;tw"</f>
        <v>#VALUE!</v>
      </c>
      <c r="HP120" t="e">
        <f>'All regions'!H3010+"n/&gt;!&amp;tx"</f>
        <v>#VALUE!</v>
      </c>
      <c r="HQ120" t="e">
        <f>'All regions'!I3010+"n/&gt;!&amp;ty"</f>
        <v>#VALUE!</v>
      </c>
      <c r="HR120" t="e">
        <f>'All regions'!J3010+"n/&gt;!&amp;tz"</f>
        <v>#VALUE!</v>
      </c>
      <c r="HS120" t="e">
        <f>'All regions'!A3011+"n/&gt;!&amp;t{"</f>
        <v>#VALUE!</v>
      </c>
      <c r="HT120" t="e">
        <f>'All regions'!B3011+"n/&gt;!&amp;t|"</f>
        <v>#VALUE!</v>
      </c>
      <c r="HU120" t="e">
        <f>'All regions'!C3011+"n/&gt;!&amp;t}"</f>
        <v>#VALUE!</v>
      </c>
      <c r="HV120" t="e">
        <f>'All regions'!D3011+"n/&gt;!&amp;t~"</f>
        <v>#VALUE!</v>
      </c>
      <c r="HW120" t="e">
        <f>'All regions'!E3011+"n/&gt;!&amp;u#"</f>
        <v>#VALUE!</v>
      </c>
      <c r="HX120" t="e">
        <f>'All regions'!F3011+"n/&gt;!&amp;u$"</f>
        <v>#VALUE!</v>
      </c>
      <c r="HY120" t="e">
        <f>'All regions'!G3011+"n/&gt;!&amp;u%"</f>
        <v>#VALUE!</v>
      </c>
      <c r="HZ120" t="e">
        <f>'All regions'!H3011+"n/&gt;!&amp;u&amp;"</f>
        <v>#VALUE!</v>
      </c>
      <c r="IA120" t="e">
        <f>'All regions'!I3011+"n/&gt;!&amp;u'"</f>
        <v>#VALUE!</v>
      </c>
      <c r="IB120" t="e">
        <f>'All regions'!J3011+"n/&gt;!&amp;u("</f>
        <v>#VALUE!</v>
      </c>
      <c r="IC120" t="e">
        <f>'All regions'!A3012+"n/&gt;!&amp;u)"</f>
        <v>#VALUE!</v>
      </c>
      <c r="ID120" t="e">
        <f>'All regions'!B3012+"n/&gt;!&amp;u."</f>
        <v>#VALUE!</v>
      </c>
      <c r="IE120" t="e">
        <f>'All regions'!C3012+"n/&gt;!&amp;u/"</f>
        <v>#VALUE!</v>
      </c>
      <c r="IF120" t="e">
        <f>'All regions'!D3012+"n/&gt;!&amp;u0"</f>
        <v>#VALUE!</v>
      </c>
      <c r="IG120" t="e">
        <f>'All regions'!E3012+"n/&gt;!&amp;u1"</f>
        <v>#VALUE!</v>
      </c>
      <c r="IH120" t="e">
        <f>'All regions'!F3012+"n/&gt;!&amp;u2"</f>
        <v>#VALUE!</v>
      </c>
      <c r="II120" t="e">
        <f>'All regions'!G3012+"n/&gt;!&amp;u3"</f>
        <v>#VALUE!</v>
      </c>
      <c r="IJ120" t="e">
        <f>'All regions'!H3012+"n/&gt;!&amp;u4"</f>
        <v>#VALUE!</v>
      </c>
      <c r="IK120" t="e">
        <f>'All regions'!I3012+"n/&gt;!&amp;u5"</f>
        <v>#VALUE!</v>
      </c>
      <c r="IL120" t="e">
        <f>'All regions'!J3012+"n/&gt;!&amp;u6"</f>
        <v>#VALUE!</v>
      </c>
      <c r="IM120" t="e">
        <f>'All regions'!A3013+"n/&gt;!&amp;u7"</f>
        <v>#VALUE!</v>
      </c>
      <c r="IN120" t="e">
        <f>'All regions'!B3013+"n/&gt;!&amp;u8"</f>
        <v>#VALUE!</v>
      </c>
      <c r="IO120" t="e">
        <f>'All regions'!C3013+"n/&gt;!&amp;u9"</f>
        <v>#VALUE!</v>
      </c>
      <c r="IP120" t="e">
        <f>'All regions'!D3013+"n/&gt;!&amp;u:"</f>
        <v>#VALUE!</v>
      </c>
      <c r="IQ120" t="e">
        <f>'All regions'!E3013+"n/&gt;!&amp;u;"</f>
        <v>#VALUE!</v>
      </c>
      <c r="IR120" t="e">
        <f>'All regions'!F3013+"n/&gt;!&amp;u&lt;"</f>
        <v>#VALUE!</v>
      </c>
      <c r="IS120" t="e">
        <f>'All regions'!G3013+"n/&gt;!&amp;u="</f>
        <v>#VALUE!</v>
      </c>
      <c r="IT120" t="e">
        <f>'All regions'!H3013+"n/&gt;!&amp;u&gt;"</f>
        <v>#VALUE!</v>
      </c>
      <c r="IU120" t="e">
        <f>'All regions'!I3013+"n/&gt;!&amp;u?"</f>
        <v>#VALUE!</v>
      </c>
      <c r="IV120" t="e">
        <f>'All regions'!J3013+"n/&gt;!&amp;u@"</f>
        <v>#VALUE!</v>
      </c>
    </row>
    <row r="121" spans="6:256" x14ac:dyDescent="0.35">
      <c r="F121" t="e">
        <f>'All regions'!A3014+"n/&gt;!&amp;uA"</f>
        <v>#VALUE!</v>
      </c>
      <c r="G121" t="e">
        <f>'All regions'!B3014+"n/&gt;!&amp;uB"</f>
        <v>#VALUE!</v>
      </c>
      <c r="H121" t="e">
        <f>'All regions'!C3014+"n/&gt;!&amp;uC"</f>
        <v>#VALUE!</v>
      </c>
      <c r="I121" t="e">
        <f>'All regions'!D3014+"n/&gt;!&amp;uD"</f>
        <v>#VALUE!</v>
      </c>
      <c r="J121" t="e">
        <f>'All regions'!E3014+"n/&gt;!&amp;uE"</f>
        <v>#VALUE!</v>
      </c>
      <c r="K121" t="e">
        <f>'All regions'!F3014+"n/&gt;!&amp;uF"</f>
        <v>#VALUE!</v>
      </c>
      <c r="L121" t="e">
        <f>'All regions'!G3014+"n/&gt;!&amp;uG"</f>
        <v>#VALUE!</v>
      </c>
      <c r="M121" t="e">
        <f>'All regions'!H3014+"n/&gt;!&amp;uH"</f>
        <v>#VALUE!</v>
      </c>
      <c r="N121" t="e">
        <f>'All regions'!I3014+"n/&gt;!&amp;uI"</f>
        <v>#VALUE!</v>
      </c>
      <c r="O121" t="e">
        <f>'All regions'!J3014+"n/&gt;!&amp;uJ"</f>
        <v>#VALUE!</v>
      </c>
      <c r="P121" t="e">
        <f>'All regions'!A3015+"n/&gt;!&amp;uK"</f>
        <v>#VALUE!</v>
      </c>
      <c r="Q121" t="e">
        <f>'All regions'!B3015+"n/&gt;!&amp;uL"</f>
        <v>#VALUE!</v>
      </c>
      <c r="R121" t="e">
        <f>'All regions'!C3015+"n/&gt;!&amp;uM"</f>
        <v>#VALUE!</v>
      </c>
      <c r="S121" t="e">
        <f>'All regions'!D3015+"n/&gt;!&amp;uN"</f>
        <v>#VALUE!</v>
      </c>
      <c r="T121" t="e">
        <f>'All regions'!E3015+"n/&gt;!&amp;uO"</f>
        <v>#VALUE!</v>
      </c>
      <c r="U121" t="e">
        <f>'All regions'!F3015+"n/&gt;!&amp;uP"</f>
        <v>#VALUE!</v>
      </c>
      <c r="V121" t="e">
        <f>'All regions'!G3015+"n/&gt;!&amp;uQ"</f>
        <v>#VALUE!</v>
      </c>
      <c r="W121" t="e">
        <f>'All regions'!H3015+"n/&gt;!&amp;uR"</f>
        <v>#VALUE!</v>
      </c>
      <c r="X121" t="e">
        <f>'All regions'!I3015+"n/&gt;!&amp;uS"</f>
        <v>#VALUE!</v>
      </c>
      <c r="Y121" t="e">
        <f>'All regions'!J3015+"n/&gt;!&amp;uT"</f>
        <v>#VALUE!</v>
      </c>
      <c r="Z121" t="e">
        <f>'All regions'!A3016+"n/&gt;!&amp;uU"</f>
        <v>#VALUE!</v>
      </c>
      <c r="AA121" t="e">
        <f>'All regions'!B3016+"n/&gt;!&amp;uV"</f>
        <v>#VALUE!</v>
      </c>
      <c r="AB121" t="e">
        <f>'All regions'!C3016+"n/&gt;!&amp;uW"</f>
        <v>#VALUE!</v>
      </c>
      <c r="AC121" t="e">
        <f>'All regions'!D3016+"n/&gt;!&amp;uX"</f>
        <v>#VALUE!</v>
      </c>
      <c r="AD121" t="e">
        <f>'All regions'!E3016+"n/&gt;!&amp;uY"</f>
        <v>#VALUE!</v>
      </c>
      <c r="AE121" t="e">
        <f>'All regions'!F3016+"n/&gt;!&amp;uZ"</f>
        <v>#VALUE!</v>
      </c>
      <c r="AF121" t="e">
        <f>'All regions'!G3016+"n/&gt;!&amp;u["</f>
        <v>#VALUE!</v>
      </c>
      <c r="AG121" t="e">
        <f>'All regions'!H3016+"n/&gt;!&amp;u\"</f>
        <v>#VALUE!</v>
      </c>
      <c r="AH121" t="e">
        <f>'All regions'!I3016+"n/&gt;!&amp;u]"</f>
        <v>#VALUE!</v>
      </c>
      <c r="AI121" t="e">
        <f>'All regions'!J3016+"n/&gt;!&amp;u^"</f>
        <v>#VALUE!</v>
      </c>
      <c r="AJ121" t="e">
        <f>'All regions'!A3017+"n/&gt;!&amp;u_"</f>
        <v>#VALUE!</v>
      </c>
      <c r="AK121" t="e">
        <f>'All regions'!B3017+"n/&gt;!&amp;u`"</f>
        <v>#VALUE!</v>
      </c>
      <c r="AL121" t="e">
        <f>'All regions'!C3017+"n/&gt;!&amp;ua"</f>
        <v>#VALUE!</v>
      </c>
      <c r="AM121" t="e">
        <f>'All regions'!D3017+"n/&gt;!&amp;ub"</f>
        <v>#VALUE!</v>
      </c>
      <c r="AN121" t="e">
        <f>'All regions'!E3017+"n/&gt;!&amp;uc"</f>
        <v>#VALUE!</v>
      </c>
      <c r="AO121" t="e">
        <f>'All regions'!F3017+"n/&gt;!&amp;ud"</f>
        <v>#VALUE!</v>
      </c>
      <c r="AP121" t="e">
        <f>'All regions'!G3017+"n/&gt;!&amp;ue"</f>
        <v>#VALUE!</v>
      </c>
      <c r="AQ121" t="e">
        <f>'All regions'!H3017+"n/&gt;!&amp;uf"</f>
        <v>#VALUE!</v>
      </c>
      <c r="AR121" t="e">
        <f>'All regions'!I3017+"n/&gt;!&amp;ug"</f>
        <v>#VALUE!</v>
      </c>
      <c r="AS121" t="e">
        <f>'All regions'!J3017+"n/&gt;!&amp;uh"</f>
        <v>#VALUE!</v>
      </c>
      <c r="AT121" t="e">
        <f>'All regions'!A3018+"n/&gt;!&amp;ui"</f>
        <v>#VALUE!</v>
      </c>
      <c r="AU121" t="e">
        <f>'All regions'!B3018+"n/&gt;!&amp;uj"</f>
        <v>#VALUE!</v>
      </c>
      <c r="AV121" t="e">
        <f>'All regions'!C3018+"n/&gt;!&amp;uk"</f>
        <v>#VALUE!</v>
      </c>
      <c r="AW121" t="e">
        <f>'All regions'!D3018+"n/&gt;!&amp;ul"</f>
        <v>#VALUE!</v>
      </c>
      <c r="AX121" t="e">
        <f>'All regions'!E3018+"n/&gt;!&amp;um"</f>
        <v>#VALUE!</v>
      </c>
      <c r="AY121" t="e">
        <f>'All regions'!F3018+"n/&gt;!&amp;un"</f>
        <v>#VALUE!</v>
      </c>
      <c r="AZ121" t="e">
        <f>'All regions'!G3018+"n/&gt;!&amp;uo"</f>
        <v>#VALUE!</v>
      </c>
      <c r="BA121" t="e">
        <f>'All regions'!H3018+"n/&gt;!&amp;up"</f>
        <v>#VALUE!</v>
      </c>
      <c r="BB121" t="e">
        <f>'All regions'!I3018+"n/&gt;!&amp;uq"</f>
        <v>#VALUE!</v>
      </c>
      <c r="BC121" t="e">
        <f>'All regions'!J3018+"n/&gt;!&amp;ur"</f>
        <v>#VALUE!</v>
      </c>
      <c r="BD121" t="e">
        <f>'All regions'!A3019+"n/&gt;!&amp;us"</f>
        <v>#VALUE!</v>
      </c>
      <c r="BE121" t="e">
        <f>'All regions'!B3019+"n/&gt;!&amp;ut"</f>
        <v>#VALUE!</v>
      </c>
      <c r="BF121" t="e">
        <f>'All regions'!C3019+"n/&gt;!&amp;uu"</f>
        <v>#VALUE!</v>
      </c>
      <c r="BG121" t="e">
        <f>'All regions'!D3019+"n/&gt;!&amp;uv"</f>
        <v>#VALUE!</v>
      </c>
      <c r="BH121" t="e">
        <f>'All regions'!E3019+"n/&gt;!&amp;uw"</f>
        <v>#VALUE!</v>
      </c>
      <c r="BI121" t="e">
        <f>'All regions'!F3019+"n/&gt;!&amp;ux"</f>
        <v>#VALUE!</v>
      </c>
      <c r="BJ121" t="e">
        <f>'All regions'!G3019+"n/&gt;!&amp;uy"</f>
        <v>#VALUE!</v>
      </c>
      <c r="BK121" t="e">
        <f>'All regions'!H3019+"n/&gt;!&amp;uz"</f>
        <v>#VALUE!</v>
      </c>
      <c r="BL121" t="e">
        <f>'All regions'!I3019+"n/&gt;!&amp;u{"</f>
        <v>#VALUE!</v>
      </c>
      <c r="BM121" t="e">
        <f>'All regions'!J3019+"n/&gt;!&amp;u|"</f>
        <v>#VALUE!</v>
      </c>
      <c r="BN121" t="e">
        <f>'All regions'!A3020+"n/&gt;!&amp;u}"</f>
        <v>#VALUE!</v>
      </c>
      <c r="BO121" t="e">
        <f>'All regions'!B3020+"n/&gt;!&amp;u~"</f>
        <v>#VALUE!</v>
      </c>
      <c r="BP121" t="e">
        <f>'All regions'!C3020+"n/&gt;!&amp;v#"</f>
        <v>#VALUE!</v>
      </c>
      <c r="BQ121" t="e">
        <f>'All regions'!D3020+"n/&gt;!&amp;v$"</f>
        <v>#VALUE!</v>
      </c>
      <c r="BR121" t="e">
        <f>'All regions'!E3020+"n/&gt;!&amp;v%"</f>
        <v>#VALUE!</v>
      </c>
      <c r="BS121" t="e">
        <f>'All regions'!F3020+"n/&gt;!&amp;v&amp;"</f>
        <v>#VALUE!</v>
      </c>
      <c r="BT121" t="e">
        <f>'All regions'!G3020+"n/&gt;!&amp;v'"</f>
        <v>#VALUE!</v>
      </c>
      <c r="BU121" t="e">
        <f>'All regions'!H3020+"n/&gt;!&amp;v("</f>
        <v>#VALUE!</v>
      </c>
      <c r="BV121" t="e">
        <f>'All regions'!I3020+"n/&gt;!&amp;v)"</f>
        <v>#VALUE!</v>
      </c>
      <c r="BW121" t="e">
        <f>'All regions'!J3020+"n/&gt;!&amp;v."</f>
        <v>#VALUE!</v>
      </c>
      <c r="BX121" t="e">
        <f>'All regions'!A3021+"n/&gt;!&amp;v/"</f>
        <v>#VALUE!</v>
      </c>
      <c r="BY121" t="e">
        <f>'All regions'!B3021+"n/&gt;!&amp;v0"</f>
        <v>#VALUE!</v>
      </c>
      <c r="BZ121" t="e">
        <f>'All regions'!C3021+"n/&gt;!&amp;v1"</f>
        <v>#VALUE!</v>
      </c>
      <c r="CA121" t="e">
        <f>'All regions'!D3021+"n/&gt;!&amp;v2"</f>
        <v>#VALUE!</v>
      </c>
      <c r="CB121" t="e">
        <f>'All regions'!E3021+"n/&gt;!&amp;v3"</f>
        <v>#VALUE!</v>
      </c>
      <c r="CC121" t="e">
        <f>'All regions'!F3021+"n/&gt;!&amp;v4"</f>
        <v>#VALUE!</v>
      </c>
      <c r="CD121" t="e">
        <f>'All regions'!G3021+"n/&gt;!&amp;v5"</f>
        <v>#VALUE!</v>
      </c>
      <c r="CE121" t="e">
        <f>'All regions'!H3021+"n/&gt;!&amp;v6"</f>
        <v>#VALUE!</v>
      </c>
      <c r="CF121" t="e">
        <f>'All regions'!I3021+"n/&gt;!&amp;v7"</f>
        <v>#VALUE!</v>
      </c>
      <c r="CG121" t="e">
        <f>'All regions'!J3021+"n/&gt;!&amp;v8"</f>
        <v>#VALUE!</v>
      </c>
      <c r="CH121" t="e">
        <f>'All regions'!A3022+"n/&gt;!&amp;v9"</f>
        <v>#VALUE!</v>
      </c>
      <c r="CI121" t="e">
        <f>'All regions'!B3022+"n/&gt;!&amp;v:"</f>
        <v>#VALUE!</v>
      </c>
      <c r="CJ121" t="e">
        <f>'All regions'!C3022+"n/&gt;!&amp;v;"</f>
        <v>#VALUE!</v>
      </c>
      <c r="CK121" t="e">
        <f>'All regions'!D3022+"n/&gt;!&amp;v&lt;"</f>
        <v>#VALUE!</v>
      </c>
      <c r="CL121" t="e">
        <f>'All regions'!E3022+"n/&gt;!&amp;v="</f>
        <v>#VALUE!</v>
      </c>
      <c r="CM121" t="e">
        <f>'All regions'!F3022+"n/&gt;!&amp;v&gt;"</f>
        <v>#VALUE!</v>
      </c>
      <c r="CN121" t="e">
        <f>'All regions'!G3022+"n/&gt;!&amp;v?"</f>
        <v>#VALUE!</v>
      </c>
      <c r="CO121" t="e">
        <f>'All regions'!H3022+"n/&gt;!&amp;v@"</f>
        <v>#VALUE!</v>
      </c>
      <c r="CP121" t="e">
        <f>'All regions'!I3022+"n/&gt;!&amp;vA"</f>
        <v>#VALUE!</v>
      </c>
      <c r="CQ121" t="e">
        <f>'All regions'!J3022+"n/&gt;!&amp;vB"</f>
        <v>#VALUE!</v>
      </c>
      <c r="CR121" t="e">
        <f>'All regions'!A3023+"n/&gt;!&amp;vC"</f>
        <v>#VALUE!</v>
      </c>
      <c r="CS121" t="e">
        <f>'All regions'!B3023+"n/&gt;!&amp;vD"</f>
        <v>#VALUE!</v>
      </c>
      <c r="CT121" t="e">
        <f>'All regions'!C3023+"n/&gt;!&amp;vE"</f>
        <v>#VALUE!</v>
      </c>
      <c r="CU121" t="e">
        <f>'All regions'!D3023+"n/&gt;!&amp;vF"</f>
        <v>#VALUE!</v>
      </c>
      <c r="CV121" t="e">
        <f>'All regions'!E3023+"n/&gt;!&amp;vG"</f>
        <v>#VALUE!</v>
      </c>
      <c r="CW121" t="e">
        <f>'All regions'!F3023+"n/&gt;!&amp;vH"</f>
        <v>#VALUE!</v>
      </c>
      <c r="CX121" t="e">
        <f>'All regions'!G3023+"n/&gt;!&amp;vI"</f>
        <v>#VALUE!</v>
      </c>
      <c r="CY121" t="e">
        <f>'All regions'!H3023+"n/&gt;!&amp;vJ"</f>
        <v>#VALUE!</v>
      </c>
      <c r="CZ121" t="e">
        <f>'All regions'!I3023+"n/&gt;!&amp;vK"</f>
        <v>#VALUE!</v>
      </c>
      <c r="DA121" t="e">
        <f>'All regions'!J3023+"n/&gt;!&amp;vL"</f>
        <v>#VALUE!</v>
      </c>
      <c r="DB121" t="e">
        <f>'All regions'!A3024+"n/&gt;!&amp;vM"</f>
        <v>#VALUE!</v>
      </c>
      <c r="DC121" t="e">
        <f>'All regions'!B3024+"n/&gt;!&amp;vN"</f>
        <v>#VALUE!</v>
      </c>
      <c r="DD121" t="e">
        <f>'All regions'!C3024+"n/&gt;!&amp;vO"</f>
        <v>#VALUE!</v>
      </c>
      <c r="DE121" t="e">
        <f>'All regions'!D3024+"n/&gt;!&amp;vP"</f>
        <v>#VALUE!</v>
      </c>
      <c r="DF121" t="e">
        <f>'All regions'!E3024+"n/&gt;!&amp;vQ"</f>
        <v>#VALUE!</v>
      </c>
      <c r="DG121" t="e">
        <f>'All regions'!F3024+"n/&gt;!&amp;vR"</f>
        <v>#VALUE!</v>
      </c>
      <c r="DH121" t="e">
        <f>'All regions'!G3024+"n/&gt;!&amp;vS"</f>
        <v>#VALUE!</v>
      </c>
      <c r="DI121" t="e">
        <f>'All regions'!H3024+"n/&gt;!&amp;vT"</f>
        <v>#VALUE!</v>
      </c>
      <c r="DJ121" t="e">
        <f>'All regions'!I3024+"n/&gt;!&amp;vU"</f>
        <v>#VALUE!</v>
      </c>
      <c r="DK121" t="e">
        <f>'All regions'!J3024+"n/&gt;!&amp;vV"</f>
        <v>#VALUE!</v>
      </c>
      <c r="DL121" t="e">
        <f>'All regions'!A3025+"n/&gt;!&amp;vW"</f>
        <v>#VALUE!</v>
      </c>
      <c r="DM121" t="e">
        <f>'All regions'!B3025+"n/&gt;!&amp;vX"</f>
        <v>#VALUE!</v>
      </c>
      <c r="DN121" t="e">
        <f>'All regions'!C3025+"n/&gt;!&amp;vY"</f>
        <v>#VALUE!</v>
      </c>
      <c r="DO121" t="e">
        <f>'All regions'!D3025+"n/&gt;!&amp;vZ"</f>
        <v>#VALUE!</v>
      </c>
      <c r="DP121" t="e">
        <f>'All regions'!E3025+"n/&gt;!&amp;v["</f>
        <v>#VALUE!</v>
      </c>
      <c r="DQ121" t="e">
        <f>'All regions'!F3025+"n/&gt;!&amp;v\"</f>
        <v>#VALUE!</v>
      </c>
      <c r="DR121" t="e">
        <f>'All regions'!G3025+"n/&gt;!&amp;v]"</f>
        <v>#VALUE!</v>
      </c>
      <c r="DS121" t="e">
        <f>'All regions'!H3025+"n/&gt;!&amp;v^"</f>
        <v>#VALUE!</v>
      </c>
      <c r="DT121" t="e">
        <f>'All regions'!I3025+"n/&gt;!&amp;v_"</f>
        <v>#VALUE!</v>
      </c>
      <c r="DU121" t="e">
        <f>'All regions'!J3025+"n/&gt;!&amp;v`"</f>
        <v>#VALUE!</v>
      </c>
      <c r="DV121" t="e">
        <f>'All regions'!A3026+"n/&gt;!&amp;va"</f>
        <v>#VALUE!</v>
      </c>
      <c r="DW121" t="e">
        <f>'All regions'!B3026+"n/&gt;!&amp;vb"</f>
        <v>#VALUE!</v>
      </c>
      <c r="DX121" t="e">
        <f>'All regions'!C3026+"n/&gt;!&amp;vc"</f>
        <v>#VALUE!</v>
      </c>
      <c r="DY121" t="e">
        <f>'All regions'!D3026+"n/&gt;!&amp;vd"</f>
        <v>#VALUE!</v>
      </c>
      <c r="DZ121" t="e">
        <f>'All regions'!E3026+"n/&gt;!&amp;ve"</f>
        <v>#VALUE!</v>
      </c>
      <c r="EA121" t="e">
        <f>'All regions'!F3026+"n/&gt;!&amp;vf"</f>
        <v>#VALUE!</v>
      </c>
      <c r="EB121" t="e">
        <f>'All regions'!G3026+"n/&gt;!&amp;vg"</f>
        <v>#VALUE!</v>
      </c>
      <c r="EC121" t="e">
        <f>'All regions'!H3026+"n/&gt;!&amp;vh"</f>
        <v>#VALUE!</v>
      </c>
      <c r="ED121" t="e">
        <f>'All regions'!I3026+"n/&gt;!&amp;vi"</f>
        <v>#VALUE!</v>
      </c>
      <c r="EE121" t="e">
        <f>'All regions'!J3026+"n/&gt;!&amp;vj"</f>
        <v>#VALUE!</v>
      </c>
      <c r="EF121" t="e">
        <f>'All regions'!A3027+"n/&gt;!&amp;vk"</f>
        <v>#VALUE!</v>
      </c>
      <c r="EG121" t="e">
        <f>'All regions'!B3027+"n/&gt;!&amp;vl"</f>
        <v>#VALUE!</v>
      </c>
      <c r="EH121" t="e">
        <f>'All regions'!C3027+"n/&gt;!&amp;vm"</f>
        <v>#VALUE!</v>
      </c>
      <c r="EI121" t="e">
        <f>'All regions'!D3027+"n/&gt;!&amp;vn"</f>
        <v>#VALUE!</v>
      </c>
      <c r="EJ121" t="e">
        <f>'All regions'!E3027+"n/&gt;!&amp;vo"</f>
        <v>#VALUE!</v>
      </c>
      <c r="EK121" t="e">
        <f>'All regions'!F3027+"n/&gt;!&amp;vp"</f>
        <v>#VALUE!</v>
      </c>
      <c r="EL121" t="e">
        <f>'All regions'!G3027+"n/&gt;!&amp;vq"</f>
        <v>#VALUE!</v>
      </c>
      <c r="EM121" t="e">
        <f>'All regions'!H3027+"n/&gt;!&amp;vr"</f>
        <v>#VALUE!</v>
      </c>
      <c r="EN121" t="e">
        <f>'All regions'!I3027+"n/&gt;!&amp;vs"</f>
        <v>#VALUE!</v>
      </c>
      <c r="EO121" t="e">
        <f>'All regions'!J3027+"n/&gt;!&amp;vt"</f>
        <v>#VALUE!</v>
      </c>
      <c r="EP121" t="e">
        <f>'All regions'!A3028+"n/&gt;!&amp;vu"</f>
        <v>#VALUE!</v>
      </c>
      <c r="EQ121" t="e">
        <f>'All regions'!B3028+"n/&gt;!&amp;vv"</f>
        <v>#VALUE!</v>
      </c>
      <c r="ER121" t="e">
        <f>'All regions'!C3028+"n/&gt;!&amp;vw"</f>
        <v>#VALUE!</v>
      </c>
      <c r="ES121" t="e">
        <f>'All regions'!D3028+"n/&gt;!&amp;vx"</f>
        <v>#VALUE!</v>
      </c>
      <c r="ET121" t="e">
        <f>'All regions'!E3028+"n/&gt;!&amp;vy"</f>
        <v>#VALUE!</v>
      </c>
      <c r="EU121" t="e">
        <f>'All regions'!F3028+"n/&gt;!&amp;vz"</f>
        <v>#VALUE!</v>
      </c>
      <c r="EV121" t="e">
        <f>'All regions'!G3028+"n/&gt;!&amp;v{"</f>
        <v>#VALUE!</v>
      </c>
      <c r="EW121" t="e">
        <f>'All regions'!H3028+"n/&gt;!&amp;v|"</f>
        <v>#VALUE!</v>
      </c>
      <c r="EX121" t="e">
        <f>'All regions'!I3028+"n/&gt;!&amp;v}"</f>
        <v>#VALUE!</v>
      </c>
      <c r="EY121" t="e">
        <f>'All regions'!J3028+"n/&gt;!&amp;v~"</f>
        <v>#VALUE!</v>
      </c>
      <c r="EZ121" t="e">
        <f>'All regions'!A3029+"n/&gt;!&amp;w#"</f>
        <v>#VALUE!</v>
      </c>
      <c r="FA121" t="e">
        <f>'All regions'!B3029+"n/&gt;!&amp;w$"</f>
        <v>#VALUE!</v>
      </c>
      <c r="FB121" t="e">
        <f>'All regions'!C3029+"n/&gt;!&amp;w%"</f>
        <v>#VALUE!</v>
      </c>
      <c r="FC121" t="e">
        <f>'All regions'!D3029+"n/&gt;!&amp;w&amp;"</f>
        <v>#VALUE!</v>
      </c>
      <c r="FD121" t="e">
        <f>'All regions'!E3029+"n/&gt;!&amp;w'"</f>
        <v>#VALUE!</v>
      </c>
      <c r="FE121" t="e">
        <f>'All regions'!F3029+"n/&gt;!&amp;w("</f>
        <v>#VALUE!</v>
      </c>
      <c r="FF121" t="e">
        <f>'All regions'!G3029+"n/&gt;!&amp;w)"</f>
        <v>#VALUE!</v>
      </c>
      <c r="FG121" t="e">
        <f>'All regions'!H3029+"n/&gt;!&amp;w."</f>
        <v>#VALUE!</v>
      </c>
      <c r="FH121" t="e">
        <f>'All regions'!I3029+"n/&gt;!&amp;w/"</f>
        <v>#VALUE!</v>
      </c>
      <c r="FI121" t="e">
        <f>'All regions'!J3029+"n/&gt;!&amp;w0"</f>
        <v>#VALUE!</v>
      </c>
      <c r="FJ121" t="e">
        <f>'All regions'!A3030+"n/&gt;!&amp;w1"</f>
        <v>#VALUE!</v>
      </c>
      <c r="FK121" t="e">
        <f>'All regions'!B3030+"n/&gt;!&amp;w2"</f>
        <v>#VALUE!</v>
      </c>
      <c r="FL121" t="e">
        <f>'All regions'!C3030+"n/&gt;!&amp;w3"</f>
        <v>#VALUE!</v>
      </c>
      <c r="FM121" t="e">
        <f>'All regions'!D3030+"n/&gt;!&amp;w4"</f>
        <v>#VALUE!</v>
      </c>
      <c r="FN121" t="e">
        <f>'All regions'!E3030+"n/&gt;!&amp;w5"</f>
        <v>#VALUE!</v>
      </c>
      <c r="FO121" t="e">
        <f>'All regions'!F3030+"n/&gt;!&amp;w6"</f>
        <v>#VALUE!</v>
      </c>
      <c r="FP121" t="e">
        <f>'All regions'!G3030+"n/&gt;!&amp;w7"</f>
        <v>#VALUE!</v>
      </c>
      <c r="FQ121" t="e">
        <f>'All regions'!H3030+"n/&gt;!&amp;w8"</f>
        <v>#VALUE!</v>
      </c>
      <c r="FR121" t="e">
        <f>'All regions'!I3030+"n/&gt;!&amp;w9"</f>
        <v>#VALUE!</v>
      </c>
      <c r="FS121" t="e">
        <f>'All regions'!J3030+"n/&gt;!&amp;w:"</f>
        <v>#VALUE!</v>
      </c>
      <c r="FT121" t="e">
        <f>'All regions'!A3031+"n/&gt;!&amp;w;"</f>
        <v>#VALUE!</v>
      </c>
      <c r="FU121" t="e">
        <f>'All regions'!B3031+"n/&gt;!&amp;w&lt;"</f>
        <v>#VALUE!</v>
      </c>
      <c r="FV121" t="e">
        <f>'All regions'!C3031+"n/&gt;!&amp;w="</f>
        <v>#VALUE!</v>
      </c>
      <c r="FW121" t="e">
        <f>'All regions'!D3031+"n/&gt;!&amp;w&gt;"</f>
        <v>#VALUE!</v>
      </c>
      <c r="FX121" t="e">
        <f>'All regions'!E3031+"n/&gt;!&amp;w?"</f>
        <v>#VALUE!</v>
      </c>
      <c r="FY121" t="e">
        <f>'All regions'!F3031+"n/&gt;!&amp;w@"</f>
        <v>#VALUE!</v>
      </c>
      <c r="FZ121" t="e">
        <f>'All regions'!G3031+"n/&gt;!&amp;wA"</f>
        <v>#VALUE!</v>
      </c>
      <c r="GA121" t="e">
        <f>'All regions'!H3031+"n/&gt;!&amp;wB"</f>
        <v>#VALUE!</v>
      </c>
      <c r="GB121" t="e">
        <f>'All regions'!I3031+"n/&gt;!&amp;wC"</f>
        <v>#VALUE!</v>
      </c>
      <c r="GC121" t="e">
        <f>'All regions'!J3031+"n/&gt;!&amp;wD"</f>
        <v>#VALUE!</v>
      </c>
      <c r="GD121" t="e">
        <f>'All regions'!A3032+"n/&gt;!&amp;wE"</f>
        <v>#VALUE!</v>
      </c>
      <c r="GE121" t="e">
        <f>'All regions'!B3032+"n/&gt;!&amp;wF"</f>
        <v>#VALUE!</v>
      </c>
      <c r="GF121" t="e">
        <f>'All regions'!C3032+"n/&gt;!&amp;wG"</f>
        <v>#VALUE!</v>
      </c>
      <c r="GG121" t="e">
        <f>'All regions'!D3032+"n/&gt;!&amp;wH"</f>
        <v>#VALUE!</v>
      </c>
      <c r="GH121" t="e">
        <f>'All regions'!E3032+"n/&gt;!&amp;wI"</f>
        <v>#VALUE!</v>
      </c>
      <c r="GI121" t="e">
        <f>'All regions'!F3032+"n/&gt;!&amp;wJ"</f>
        <v>#VALUE!</v>
      </c>
      <c r="GJ121" t="e">
        <f>'All regions'!G3032+"n/&gt;!&amp;wK"</f>
        <v>#VALUE!</v>
      </c>
      <c r="GK121" t="e">
        <f>'All regions'!H3032+"n/&gt;!&amp;wL"</f>
        <v>#VALUE!</v>
      </c>
      <c r="GL121" t="e">
        <f>'All regions'!I3032+"n/&gt;!&amp;wM"</f>
        <v>#VALUE!</v>
      </c>
      <c r="GM121" t="e">
        <f>'All regions'!J3032+"n/&gt;!&amp;wN"</f>
        <v>#VALUE!</v>
      </c>
      <c r="GN121" t="e">
        <f>'All regions'!A3033+"n/&gt;!&amp;wO"</f>
        <v>#VALUE!</v>
      </c>
      <c r="GO121" t="e">
        <f>'All regions'!B3033+"n/&gt;!&amp;wP"</f>
        <v>#VALUE!</v>
      </c>
      <c r="GP121" t="e">
        <f>'All regions'!C3033+"n/&gt;!&amp;wQ"</f>
        <v>#VALUE!</v>
      </c>
      <c r="GQ121" t="e">
        <f>'All regions'!D3033+"n/&gt;!&amp;wR"</f>
        <v>#VALUE!</v>
      </c>
      <c r="GR121" t="e">
        <f>'All regions'!E3033+"n/&gt;!&amp;wS"</f>
        <v>#VALUE!</v>
      </c>
      <c r="GS121" t="e">
        <f>'All regions'!F3033+"n/&gt;!&amp;wT"</f>
        <v>#VALUE!</v>
      </c>
      <c r="GT121" t="e">
        <f>'All regions'!G3033+"n/&gt;!&amp;wU"</f>
        <v>#VALUE!</v>
      </c>
      <c r="GU121" t="e">
        <f>'All regions'!H3033+"n/&gt;!&amp;wV"</f>
        <v>#VALUE!</v>
      </c>
      <c r="GV121" t="e">
        <f>'All regions'!I3033+"n/&gt;!&amp;wW"</f>
        <v>#VALUE!</v>
      </c>
      <c r="GW121" t="e">
        <f>'All regions'!J3033+"n/&gt;!&amp;wX"</f>
        <v>#VALUE!</v>
      </c>
      <c r="GX121" t="e">
        <f>'All regions'!A3034+"n/&gt;!&amp;wY"</f>
        <v>#VALUE!</v>
      </c>
      <c r="GY121" t="e">
        <f>'All regions'!B3034+"n/&gt;!&amp;wZ"</f>
        <v>#VALUE!</v>
      </c>
      <c r="GZ121" t="e">
        <f>'All regions'!C3034+"n/&gt;!&amp;w["</f>
        <v>#VALUE!</v>
      </c>
      <c r="HA121" t="e">
        <f>'All regions'!D3034+"n/&gt;!&amp;w\"</f>
        <v>#VALUE!</v>
      </c>
      <c r="HB121" t="e">
        <f>'All regions'!E3034+"n/&gt;!&amp;w]"</f>
        <v>#VALUE!</v>
      </c>
      <c r="HC121" t="e">
        <f>'All regions'!F3034+"n/&gt;!&amp;w^"</f>
        <v>#VALUE!</v>
      </c>
      <c r="HD121" t="e">
        <f>'All regions'!G3034+"n/&gt;!&amp;w_"</f>
        <v>#VALUE!</v>
      </c>
      <c r="HE121" t="e">
        <f>'All regions'!H3034+"n/&gt;!&amp;w`"</f>
        <v>#VALUE!</v>
      </c>
      <c r="HF121" t="e">
        <f>'All regions'!I3034+"n/&gt;!&amp;wa"</f>
        <v>#VALUE!</v>
      </c>
      <c r="HG121" t="e">
        <f>'All regions'!J3034+"n/&gt;!&amp;wb"</f>
        <v>#VALUE!</v>
      </c>
      <c r="HH121" t="e">
        <f>'All regions'!A3035+"n/&gt;!&amp;wc"</f>
        <v>#VALUE!</v>
      </c>
      <c r="HI121" t="e">
        <f>'All regions'!B3035+"n/&gt;!&amp;wd"</f>
        <v>#VALUE!</v>
      </c>
      <c r="HJ121" t="e">
        <f>'All regions'!C3035+"n/&gt;!&amp;we"</f>
        <v>#VALUE!</v>
      </c>
      <c r="HK121" t="e">
        <f>'All regions'!D3035+"n/&gt;!&amp;wf"</f>
        <v>#VALUE!</v>
      </c>
      <c r="HL121" t="e">
        <f>'All regions'!E3035+"n/&gt;!&amp;wg"</f>
        <v>#VALUE!</v>
      </c>
      <c r="HM121" t="e">
        <f>'All regions'!F3035+"n/&gt;!&amp;wh"</f>
        <v>#VALUE!</v>
      </c>
      <c r="HN121" t="e">
        <f>'All regions'!G3035+"n/&gt;!&amp;wi"</f>
        <v>#VALUE!</v>
      </c>
      <c r="HO121" t="e">
        <f>'All regions'!H3035+"n/&gt;!&amp;wj"</f>
        <v>#VALUE!</v>
      </c>
      <c r="HP121" t="e">
        <f>'All regions'!I3035+"n/&gt;!&amp;wk"</f>
        <v>#VALUE!</v>
      </c>
      <c r="HQ121" t="e">
        <f>'All regions'!J3035+"n/&gt;!&amp;wl"</f>
        <v>#VALUE!</v>
      </c>
      <c r="HR121" t="e">
        <f>'All regions'!A3036+"n/&gt;!&amp;wm"</f>
        <v>#VALUE!</v>
      </c>
      <c r="HS121" t="e">
        <f>'All regions'!B3036+"n/&gt;!&amp;wn"</f>
        <v>#VALUE!</v>
      </c>
      <c r="HT121" t="e">
        <f>'All regions'!C3036+"n/&gt;!&amp;wo"</f>
        <v>#VALUE!</v>
      </c>
      <c r="HU121" t="e">
        <f>'All regions'!D3036+"n/&gt;!&amp;wp"</f>
        <v>#VALUE!</v>
      </c>
      <c r="HV121" t="e">
        <f>'All regions'!E3036+"n/&gt;!&amp;wq"</f>
        <v>#VALUE!</v>
      </c>
      <c r="HW121" t="e">
        <f>'All regions'!F3036+"n/&gt;!&amp;wr"</f>
        <v>#VALUE!</v>
      </c>
      <c r="HX121" t="e">
        <f>'All regions'!G3036+"n/&gt;!&amp;ws"</f>
        <v>#VALUE!</v>
      </c>
      <c r="HY121" t="e">
        <f>'All regions'!H3036+"n/&gt;!&amp;wt"</f>
        <v>#VALUE!</v>
      </c>
      <c r="HZ121" t="e">
        <f>'All regions'!I3036+"n/&gt;!&amp;wu"</f>
        <v>#VALUE!</v>
      </c>
      <c r="IA121" t="e">
        <f>'All regions'!J3036+"n/&gt;!&amp;wv"</f>
        <v>#VALUE!</v>
      </c>
      <c r="IB121" t="e">
        <f>'All regions'!A3037+"n/&gt;!&amp;ww"</f>
        <v>#VALUE!</v>
      </c>
      <c r="IC121" t="e">
        <f>'All regions'!B3037+"n/&gt;!&amp;wx"</f>
        <v>#VALUE!</v>
      </c>
      <c r="ID121" t="e">
        <f>'All regions'!C3037+"n/&gt;!&amp;wy"</f>
        <v>#VALUE!</v>
      </c>
      <c r="IE121" t="e">
        <f>'All regions'!D3037+"n/&gt;!&amp;wz"</f>
        <v>#VALUE!</v>
      </c>
      <c r="IF121" t="e">
        <f>'All regions'!E3037+"n/&gt;!&amp;w{"</f>
        <v>#VALUE!</v>
      </c>
      <c r="IG121" t="e">
        <f>'All regions'!F3037+"n/&gt;!&amp;w|"</f>
        <v>#VALUE!</v>
      </c>
      <c r="IH121" t="e">
        <f>'All regions'!G3037+"n/&gt;!&amp;w}"</f>
        <v>#VALUE!</v>
      </c>
      <c r="II121" t="e">
        <f>'All regions'!H3037+"n/&gt;!&amp;w~"</f>
        <v>#VALUE!</v>
      </c>
      <c r="IJ121" t="e">
        <f>'All regions'!I3037+"n/&gt;!&amp;x#"</f>
        <v>#VALUE!</v>
      </c>
      <c r="IK121" t="e">
        <f>'All regions'!J3037+"n/&gt;!&amp;x$"</f>
        <v>#VALUE!</v>
      </c>
      <c r="IL121" t="e">
        <f>'All regions'!A3038+"n/&gt;!&amp;x%"</f>
        <v>#VALUE!</v>
      </c>
      <c r="IM121" t="e">
        <f>'All regions'!B3038+"n/&gt;!&amp;x&amp;"</f>
        <v>#VALUE!</v>
      </c>
      <c r="IN121" t="e">
        <f>'All regions'!C3038+"n/&gt;!&amp;x'"</f>
        <v>#VALUE!</v>
      </c>
      <c r="IO121" t="e">
        <f>'All regions'!D3038+"n/&gt;!&amp;x("</f>
        <v>#VALUE!</v>
      </c>
      <c r="IP121" t="e">
        <f>'All regions'!E3038+"n/&gt;!&amp;x)"</f>
        <v>#VALUE!</v>
      </c>
      <c r="IQ121" t="e">
        <f>'All regions'!F3038+"n/&gt;!&amp;x."</f>
        <v>#VALUE!</v>
      </c>
      <c r="IR121" t="e">
        <f>'All regions'!G3038+"n/&gt;!&amp;x/"</f>
        <v>#VALUE!</v>
      </c>
      <c r="IS121" t="e">
        <f>'All regions'!H3038+"n/&gt;!&amp;x0"</f>
        <v>#VALUE!</v>
      </c>
      <c r="IT121" t="e">
        <f>'All regions'!I3038+"n/&gt;!&amp;x1"</f>
        <v>#VALUE!</v>
      </c>
      <c r="IU121" t="e">
        <f>'All regions'!J3038+"n/&gt;!&amp;x2"</f>
        <v>#VALUE!</v>
      </c>
      <c r="IV121" t="e">
        <f>'All regions'!A3039+"n/&gt;!&amp;x3"</f>
        <v>#VALUE!</v>
      </c>
    </row>
    <row r="122" spans="6:256" x14ac:dyDescent="0.35">
      <c r="F122" t="e">
        <f>'All regions'!B3039+"n/&gt;!&amp;x4"</f>
        <v>#VALUE!</v>
      </c>
      <c r="G122" t="e">
        <f>'All regions'!C3039+"n/&gt;!&amp;x5"</f>
        <v>#VALUE!</v>
      </c>
      <c r="H122" t="e">
        <f>'All regions'!D3039+"n/&gt;!&amp;x6"</f>
        <v>#VALUE!</v>
      </c>
      <c r="I122" t="e">
        <f>'All regions'!E3039+"n/&gt;!&amp;x7"</f>
        <v>#VALUE!</v>
      </c>
      <c r="J122" t="e">
        <f>'All regions'!F3039+"n/&gt;!&amp;x8"</f>
        <v>#VALUE!</v>
      </c>
      <c r="K122" t="e">
        <f>'All regions'!G3039+"n/&gt;!&amp;x9"</f>
        <v>#VALUE!</v>
      </c>
      <c r="L122" t="e">
        <f>'All regions'!H3039+"n/&gt;!&amp;x:"</f>
        <v>#VALUE!</v>
      </c>
      <c r="M122" t="e">
        <f>'All regions'!I3039+"n/&gt;!&amp;x;"</f>
        <v>#VALUE!</v>
      </c>
      <c r="N122" t="e">
        <f>'All regions'!J3039+"n/&gt;!&amp;x&lt;"</f>
        <v>#VALUE!</v>
      </c>
      <c r="O122" t="e">
        <f>'All regions'!A3040+"n/&gt;!&amp;x="</f>
        <v>#VALUE!</v>
      </c>
      <c r="P122" t="e">
        <f>'All regions'!B3040+"n/&gt;!&amp;x&gt;"</f>
        <v>#VALUE!</v>
      </c>
      <c r="Q122" t="e">
        <f>'All regions'!C3040+"n/&gt;!&amp;x?"</f>
        <v>#VALUE!</v>
      </c>
      <c r="R122" t="e">
        <f>'All regions'!D3040+"n/&gt;!&amp;x@"</f>
        <v>#VALUE!</v>
      </c>
      <c r="S122" t="e">
        <f>'All regions'!E3040+"n/&gt;!&amp;xA"</f>
        <v>#VALUE!</v>
      </c>
      <c r="T122" t="e">
        <f>'All regions'!F3040+"n/&gt;!&amp;xB"</f>
        <v>#VALUE!</v>
      </c>
      <c r="U122" t="e">
        <f>'All regions'!G3040+"n/&gt;!&amp;xC"</f>
        <v>#VALUE!</v>
      </c>
      <c r="V122" t="e">
        <f>'All regions'!H3040+"n/&gt;!&amp;xD"</f>
        <v>#VALUE!</v>
      </c>
      <c r="W122" t="e">
        <f>'All regions'!I3040+"n/&gt;!&amp;xE"</f>
        <v>#VALUE!</v>
      </c>
      <c r="X122" t="e">
        <f>'All regions'!J3040+"n/&gt;!&amp;xF"</f>
        <v>#VALUE!</v>
      </c>
      <c r="Y122" t="e">
        <f>'All regions'!A3041+"n/&gt;!&amp;xG"</f>
        <v>#VALUE!</v>
      </c>
      <c r="Z122" t="e">
        <f>'All regions'!B3041+"n/&gt;!&amp;xH"</f>
        <v>#VALUE!</v>
      </c>
      <c r="AA122" t="e">
        <f>'All regions'!C3041+"n/&gt;!&amp;xI"</f>
        <v>#VALUE!</v>
      </c>
      <c r="AB122" t="e">
        <f>'All regions'!D3041+"n/&gt;!&amp;xJ"</f>
        <v>#VALUE!</v>
      </c>
      <c r="AC122" t="e">
        <f>'All regions'!E3041+"n/&gt;!&amp;xK"</f>
        <v>#VALUE!</v>
      </c>
      <c r="AD122" t="e">
        <f>'All regions'!F3041+"n/&gt;!&amp;xL"</f>
        <v>#VALUE!</v>
      </c>
      <c r="AE122" t="e">
        <f>'All regions'!G3041+"n/&gt;!&amp;xM"</f>
        <v>#VALUE!</v>
      </c>
      <c r="AF122" t="e">
        <f>'All regions'!H3041+"n/&gt;!&amp;xN"</f>
        <v>#VALUE!</v>
      </c>
      <c r="AG122" t="e">
        <f>'All regions'!I3041+"n/&gt;!&amp;xO"</f>
        <v>#VALUE!</v>
      </c>
      <c r="AH122" t="e">
        <f>'All regions'!J3041+"n/&gt;!&amp;xP"</f>
        <v>#VALUE!</v>
      </c>
      <c r="AI122" t="e">
        <f>'All regions'!A3042+"n/&gt;!&amp;xQ"</f>
        <v>#VALUE!</v>
      </c>
      <c r="AJ122" t="e">
        <f>'All regions'!B3042+"n/&gt;!&amp;xR"</f>
        <v>#VALUE!</v>
      </c>
      <c r="AK122" t="e">
        <f>'All regions'!C3042+"n/&gt;!&amp;xS"</f>
        <v>#VALUE!</v>
      </c>
      <c r="AL122" t="e">
        <f>'All regions'!D3042+"n/&gt;!&amp;xT"</f>
        <v>#VALUE!</v>
      </c>
      <c r="AM122" t="e">
        <f>'All regions'!E3042+"n/&gt;!&amp;xU"</f>
        <v>#VALUE!</v>
      </c>
      <c r="AN122" t="e">
        <f>'All regions'!F3042+"n/&gt;!&amp;xV"</f>
        <v>#VALUE!</v>
      </c>
      <c r="AO122" t="e">
        <f>'All regions'!G3042+"n/&gt;!&amp;xW"</f>
        <v>#VALUE!</v>
      </c>
      <c r="AP122" t="e">
        <f>'All regions'!H3042+"n/&gt;!&amp;xX"</f>
        <v>#VALUE!</v>
      </c>
      <c r="AQ122" t="e">
        <f>'All regions'!I3042+"n/&gt;!&amp;xY"</f>
        <v>#VALUE!</v>
      </c>
      <c r="AR122" t="e">
        <f>'All regions'!J3042+"n/&gt;!&amp;xZ"</f>
        <v>#VALUE!</v>
      </c>
      <c r="AS122" t="e">
        <f>'All regions'!A3043+"n/&gt;!&amp;x["</f>
        <v>#VALUE!</v>
      </c>
      <c r="AT122" t="e">
        <f>'All regions'!B3043+"n/&gt;!&amp;x\"</f>
        <v>#VALUE!</v>
      </c>
      <c r="AU122" t="e">
        <f>'All regions'!C3043+"n/&gt;!&amp;x]"</f>
        <v>#VALUE!</v>
      </c>
      <c r="AV122" t="e">
        <f>'All regions'!D3043+"n/&gt;!&amp;x^"</f>
        <v>#VALUE!</v>
      </c>
      <c r="AW122" t="e">
        <f>'All regions'!E3043+"n/&gt;!&amp;x_"</f>
        <v>#VALUE!</v>
      </c>
      <c r="AX122" t="e">
        <f>'All regions'!F3043+"n/&gt;!&amp;x`"</f>
        <v>#VALUE!</v>
      </c>
      <c r="AY122" t="e">
        <f>'All regions'!G3043+"n/&gt;!&amp;xa"</f>
        <v>#VALUE!</v>
      </c>
      <c r="AZ122" t="e">
        <f>'All regions'!H3043+"n/&gt;!&amp;xb"</f>
        <v>#VALUE!</v>
      </c>
      <c r="BA122" t="e">
        <f>'All regions'!I3043+"n/&gt;!&amp;xc"</f>
        <v>#VALUE!</v>
      </c>
      <c r="BB122" t="e">
        <f>'All regions'!J3043+"n/&gt;!&amp;xd"</f>
        <v>#VALUE!</v>
      </c>
      <c r="BC122" t="e">
        <f>'All regions'!A3044+"n/&gt;!&amp;xe"</f>
        <v>#VALUE!</v>
      </c>
      <c r="BD122" t="e">
        <f>'All regions'!B3044+"n/&gt;!&amp;xf"</f>
        <v>#VALUE!</v>
      </c>
      <c r="BE122" t="e">
        <f>'All regions'!C3044+"n/&gt;!&amp;xg"</f>
        <v>#VALUE!</v>
      </c>
      <c r="BF122" t="e">
        <f>'All regions'!D3044+"n/&gt;!&amp;xh"</f>
        <v>#VALUE!</v>
      </c>
      <c r="BG122" t="e">
        <f>'All regions'!E3044+"n/&gt;!&amp;xi"</f>
        <v>#VALUE!</v>
      </c>
      <c r="BH122" t="e">
        <f>'All regions'!F3044+"n/&gt;!&amp;xj"</f>
        <v>#VALUE!</v>
      </c>
      <c r="BI122" t="e">
        <f>'All regions'!G3044+"n/&gt;!&amp;xk"</f>
        <v>#VALUE!</v>
      </c>
      <c r="BJ122" t="e">
        <f>'All regions'!H3044+"n/&gt;!&amp;xl"</f>
        <v>#VALUE!</v>
      </c>
      <c r="BK122" t="e">
        <f>'All regions'!I3044+"n/&gt;!&amp;xm"</f>
        <v>#VALUE!</v>
      </c>
      <c r="BL122" t="e">
        <f>'All regions'!J3044+"n/&gt;!&amp;xn"</f>
        <v>#VALUE!</v>
      </c>
      <c r="BM122" t="e">
        <f>'All regions'!A3045+"n/&gt;!&amp;xo"</f>
        <v>#VALUE!</v>
      </c>
      <c r="BN122" t="e">
        <f>'All regions'!B3045+"n/&gt;!&amp;xp"</f>
        <v>#VALUE!</v>
      </c>
      <c r="BO122" t="e">
        <f>'All regions'!C3045+"n/&gt;!&amp;xq"</f>
        <v>#VALUE!</v>
      </c>
      <c r="BP122" t="e">
        <f>'All regions'!D3045+"n/&gt;!&amp;xr"</f>
        <v>#VALUE!</v>
      </c>
      <c r="BQ122" t="e">
        <f>'All regions'!E3045+"n/&gt;!&amp;xs"</f>
        <v>#VALUE!</v>
      </c>
      <c r="BR122" t="e">
        <f>'All regions'!F3045+"n/&gt;!&amp;xt"</f>
        <v>#VALUE!</v>
      </c>
      <c r="BS122" t="e">
        <f>'All regions'!G3045+"n/&gt;!&amp;xu"</f>
        <v>#VALUE!</v>
      </c>
      <c r="BT122" t="e">
        <f>'All regions'!H3045+"n/&gt;!&amp;xv"</f>
        <v>#VALUE!</v>
      </c>
      <c r="BU122" t="e">
        <f>'All regions'!I3045+"n/&gt;!&amp;xw"</f>
        <v>#VALUE!</v>
      </c>
      <c r="BV122" t="e">
        <f>'All regions'!J3045+"n/&gt;!&amp;xx"</f>
        <v>#VALUE!</v>
      </c>
      <c r="BW122" t="e">
        <f>'All regions'!A3046+"n/&gt;!&amp;xy"</f>
        <v>#VALUE!</v>
      </c>
      <c r="BX122" t="e">
        <f>'All regions'!B3046+"n/&gt;!&amp;xz"</f>
        <v>#VALUE!</v>
      </c>
      <c r="BY122" t="e">
        <f>'All regions'!C3046+"n/&gt;!&amp;x{"</f>
        <v>#VALUE!</v>
      </c>
      <c r="BZ122" t="e">
        <f>'All regions'!D3046+"n/&gt;!&amp;x|"</f>
        <v>#VALUE!</v>
      </c>
      <c r="CA122" t="e">
        <f>'All regions'!E3046+"n/&gt;!&amp;x}"</f>
        <v>#VALUE!</v>
      </c>
      <c r="CB122" t="e">
        <f>'All regions'!F3046+"n/&gt;!&amp;x~"</f>
        <v>#VALUE!</v>
      </c>
      <c r="CC122" t="e">
        <f>'All regions'!G3046+"n/&gt;!&amp;y#"</f>
        <v>#VALUE!</v>
      </c>
      <c r="CD122" t="e">
        <f>'All regions'!H3046+"n/&gt;!&amp;y$"</f>
        <v>#VALUE!</v>
      </c>
      <c r="CE122" t="e">
        <f>'All regions'!I3046+"n/&gt;!&amp;y%"</f>
        <v>#VALUE!</v>
      </c>
      <c r="CF122" t="e">
        <f>'All regions'!J3046+"n/&gt;!&amp;y&amp;"</f>
        <v>#VALUE!</v>
      </c>
      <c r="CG122" t="e">
        <f>'All regions'!A3047+"n/&gt;!&amp;y'"</f>
        <v>#VALUE!</v>
      </c>
      <c r="CH122" t="e">
        <f>'All regions'!B3047+"n/&gt;!&amp;y("</f>
        <v>#VALUE!</v>
      </c>
      <c r="CI122" t="e">
        <f>'All regions'!C3047+"n/&gt;!&amp;y)"</f>
        <v>#VALUE!</v>
      </c>
      <c r="CJ122" t="e">
        <f>'All regions'!D3047+"n/&gt;!&amp;y."</f>
        <v>#VALUE!</v>
      </c>
      <c r="CK122" t="e">
        <f>'All regions'!E3047+"n/&gt;!&amp;y/"</f>
        <v>#VALUE!</v>
      </c>
      <c r="CL122" t="e">
        <f>'All regions'!F3047+"n/&gt;!&amp;y0"</f>
        <v>#VALUE!</v>
      </c>
      <c r="CM122" t="e">
        <f>'All regions'!G3047+"n/&gt;!&amp;y1"</f>
        <v>#VALUE!</v>
      </c>
      <c r="CN122" t="e">
        <f>'All regions'!H3047+"n/&gt;!&amp;y2"</f>
        <v>#VALUE!</v>
      </c>
      <c r="CO122" t="e">
        <f>'All regions'!I3047+"n/&gt;!&amp;y3"</f>
        <v>#VALUE!</v>
      </c>
      <c r="CP122" t="e">
        <f>'All regions'!J3047+"n/&gt;!&amp;y4"</f>
        <v>#VALUE!</v>
      </c>
      <c r="CQ122" t="e">
        <f>'All regions'!A3048+"n/&gt;!&amp;y5"</f>
        <v>#VALUE!</v>
      </c>
      <c r="CR122" t="e">
        <f>'All regions'!B3048+"n/&gt;!&amp;y6"</f>
        <v>#VALUE!</v>
      </c>
      <c r="CS122" t="e">
        <f>'All regions'!C3048+"n/&gt;!&amp;y7"</f>
        <v>#VALUE!</v>
      </c>
      <c r="CT122" t="e">
        <f>'All regions'!D3048+"n/&gt;!&amp;y8"</f>
        <v>#VALUE!</v>
      </c>
      <c r="CU122" t="e">
        <f>'All regions'!E3048+"n/&gt;!&amp;y9"</f>
        <v>#VALUE!</v>
      </c>
      <c r="CV122" t="e">
        <f>'All regions'!F3048+"n/&gt;!&amp;y:"</f>
        <v>#VALUE!</v>
      </c>
      <c r="CW122" t="e">
        <f>'All regions'!G3048+"n/&gt;!&amp;y;"</f>
        <v>#VALUE!</v>
      </c>
      <c r="CX122" t="e">
        <f>'All regions'!H3048+"n/&gt;!&amp;y&lt;"</f>
        <v>#VALUE!</v>
      </c>
      <c r="CY122" t="e">
        <f>'All regions'!I3048+"n/&gt;!&amp;y="</f>
        <v>#VALUE!</v>
      </c>
      <c r="CZ122" t="e">
        <f>'All regions'!J3048+"n/&gt;!&amp;y&gt;"</f>
        <v>#VALUE!</v>
      </c>
      <c r="DA122" t="e">
        <f>'All regions'!A3049+"n/&gt;!&amp;y?"</f>
        <v>#VALUE!</v>
      </c>
      <c r="DB122" t="e">
        <f>'All regions'!B3049+"n/&gt;!&amp;y@"</f>
        <v>#VALUE!</v>
      </c>
      <c r="DC122" t="e">
        <f>'All regions'!C3049+"n/&gt;!&amp;yA"</f>
        <v>#VALUE!</v>
      </c>
      <c r="DD122" t="e">
        <f>'All regions'!D3049+"n/&gt;!&amp;yB"</f>
        <v>#VALUE!</v>
      </c>
      <c r="DE122" t="e">
        <f>'All regions'!E3049+"n/&gt;!&amp;yC"</f>
        <v>#VALUE!</v>
      </c>
      <c r="DF122" t="e">
        <f>'All regions'!F3049+"n/&gt;!&amp;yD"</f>
        <v>#VALUE!</v>
      </c>
      <c r="DG122" t="e">
        <f>'All regions'!G3049+"n/&gt;!&amp;yE"</f>
        <v>#VALUE!</v>
      </c>
      <c r="DH122" t="e">
        <f>'All regions'!H3049+"n/&gt;!&amp;yF"</f>
        <v>#VALUE!</v>
      </c>
      <c r="DI122" t="e">
        <f>'All regions'!I3049+"n/&gt;!&amp;yG"</f>
        <v>#VALUE!</v>
      </c>
      <c r="DJ122" t="e">
        <f>'All regions'!J3049+"n/&gt;!&amp;yH"</f>
        <v>#VALUE!</v>
      </c>
      <c r="DK122" t="e">
        <f>'All regions'!A3050+"n/&gt;!&amp;yI"</f>
        <v>#VALUE!</v>
      </c>
      <c r="DL122" t="e">
        <f>'All regions'!B3050+"n/&gt;!&amp;yJ"</f>
        <v>#VALUE!</v>
      </c>
      <c r="DM122" t="e">
        <f>'All regions'!C3050+"n/&gt;!&amp;yK"</f>
        <v>#VALUE!</v>
      </c>
      <c r="DN122" t="e">
        <f>'All regions'!D3050+"n/&gt;!&amp;yL"</f>
        <v>#VALUE!</v>
      </c>
      <c r="DO122" t="e">
        <f>'All regions'!E3050+"n/&gt;!&amp;yM"</f>
        <v>#VALUE!</v>
      </c>
      <c r="DP122" t="e">
        <f>'All regions'!F3050+"n/&gt;!&amp;yN"</f>
        <v>#VALUE!</v>
      </c>
      <c r="DQ122" t="e">
        <f>'All regions'!G3050+"n/&gt;!&amp;yO"</f>
        <v>#VALUE!</v>
      </c>
      <c r="DR122" t="e">
        <f>'All regions'!H3050+"n/&gt;!&amp;yP"</f>
        <v>#VALUE!</v>
      </c>
      <c r="DS122" t="e">
        <f>'All regions'!I3050+"n/&gt;!&amp;yQ"</f>
        <v>#VALUE!</v>
      </c>
      <c r="DT122" t="e">
        <f>'All regions'!J3050+"n/&gt;!&amp;yR"</f>
        <v>#VALUE!</v>
      </c>
      <c r="DU122" t="e">
        <f>'All regions'!A3051+"n/&gt;!&amp;yS"</f>
        <v>#VALUE!</v>
      </c>
      <c r="DV122" t="e">
        <f>'All regions'!B3051+"n/&gt;!&amp;yT"</f>
        <v>#VALUE!</v>
      </c>
      <c r="DW122" t="e">
        <f>'All regions'!C3051+"n/&gt;!&amp;yU"</f>
        <v>#VALUE!</v>
      </c>
      <c r="DX122" t="e">
        <f>'All regions'!D3051+"n/&gt;!&amp;yV"</f>
        <v>#VALUE!</v>
      </c>
      <c r="DY122" t="e">
        <f>'All regions'!E3051+"n/&gt;!&amp;yW"</f>
        <v>#VALUE!</v>
      </c>
      <c r="DZ122" t="e">
        <f>'All regions'!F3051+"n/&gt;!&amp;yX"</f>
        <v>#VALUE!</v>
      </c>
      <c r="EA122" t="e">
        <f>'All regions'!G3051+"n/&gt;!&amp;yY"</f>
        <v>#VALUE!</v>
      </c>
      <c r="EB122" t="e">
        <f>'All regions'!H3051+"n/&gt;!&amp;yZ"</f>
        <v>#VALUE!</v>
      </c>
      <c r="EC122" t="e">
        <f>'All regions'!I3051+"n/&gt;!&amp;y["</f>
        <v>#VALUE!</v>
      </c>
      <c r="ED122" t="e">
        <f>'All regions'!J3051+"n/&gt;!&amp;y\"</f>
        <v>#VALUE!</v>
      </c>
      <c r="EE122" t="e">
        <f>'All regions'!A3052+"n/&gt;!&amp;y]"</f>
        <v>#VALUE!</v>
      </c>
      <c r="EF122" t="e">
        <f>'All regions'!B3052+"n/&gt;!&amp;y^"</f>
        <v>#VALUE!</v>
      </c>
      <c r="EG122" t="e">
        <f>'All regions'!C3052+"n/&gt;!&amp;y_"</f>
        <v>#VALUE!</v>
      </c>
      <c r="EH122" t="e">
        <f>'All regions'!D3052+"n/&gt;!&amp;y`"</f>
        <v>#VALUE!</v>
      </c>
      <c r="EI122" t="e">
        <f>'All regions'!E3052+"n/&gt;!&amp;ya"</f>
        <v>#VALUE!</v>
      </c>
      <c r="EJ122" t="e">
        <f>'All regions'!F3052+"n/&gt;!&amp;yb"</f>
        <v>#VALUE!</v>
      </c>
      <c r="EK122" t="e">
        <f>'All regions'!G3052+"n/&gt;!&amp;yc"</f>
        <v>#VALUE!</v>
      </c>
      <c r="EL122" t="e">
        <f>'All regions'!H3052+"n/&gt;!&amp;yd"</f>
        <v>#VALUE!</v>
      </c>
      <c r="EM122" t="e">
        <f>'All regions'!I3052+"n/&gt;!&amp;ye"</f>
        <v>#VALUE!</v>
      </c>
      <c r="EN122" t="e">
        <f>'All regions'!J3052+"n/&gt;!&amp;yf"</f>
        <v>#VALUE!</v>
      </c>
      <c r="EO122" t="e">
        <f>'All regions'!A3053+"n/&gt;!&amp;yg"</f>
        <v>#VALUE!</v>
      </c>
      <c r="EP122" t="e">
        <f>'All regions'!B3053+"n/&gt;!&amp;yh"</f>
        <v>#VALUE!</v>
      </c>
      <c r="EQ122" t="e">
        <f>'All regions'!C3053+"n/&gt;!&amp;yi"</f>
        <v>#VALUE!</v>
      </c>
      <c r="ER122" t="e">
        <f>'All regions'!D3053+"n/&gt;!&amp;yj"</f>
        <v>#VALUE!</v>
      </c>
      <c r="ES122" t="e">
        <f>'All regions'!E3053+"n/&gt;!&amp;yk"</f>
        <v>#VALUE!</v>
      </c>
      <c r="ET122" t="e">
        <f>'All regions'!F3053+"n/&gt;!&amp;yl"</f>
        <v>#VALUE!</v>
      </c>
      <c r="EU122" t="e">
        <f>'All regions'!G3053+"n/&gt;!&amp;ym"</f>
        <v>#VALUE!</v>
      </c>
      <c r="EV122" t="e">
        <f>'All regions'!H3053+"n/&gt;!&amp;yn"</f>
        <v>#VALUE!</v>
      </c>
      <c r="EW122" t="e">
        <f>'All regions'!I3053+"n/&gt;!&amp;yo"</f>
        <v>#VALUE!</v>
      </c>
      <c r="EX122" t="e">
        <f>'All regions'!J3053+"n/&gt;!&amp;yp"</f>
        <v>#VALUE!</v>
      </c>
      <c r="EY122" t="e">
        <f>'All regions'!A3054+"n/&gt;!&amp;yq"</f>
        <v>#VALUE!</v>
      </c>
      <c r="EZ122" t="e">
        <f>'All regions'!B3054+"n/&gt;!&amp;yr"</f>
        <v>#VALUE!</v>
      </c>
      <c r="FA122" t="e">
        <f>'All regions'!C3054+"n/&gt;!&amp;ys"</f>
        <v>#VALUE!</v>
      </c>
      <c r="FB122" t="e">
        <f>'All regions'!D3054+"n/&gt;!&amp;yt"</f>
        <v>#VALUE!</v>
      </c>
      <c r="FC122" t="e">
        <f>'All regions'!E3054+"n/&gt;!&amp;yu"</f>
        <v>#VALUE!</v>
      </c>
      <c r="FD122" t="e">
        <f>'All regions'!F3054+"n/&gt;!&amp;yv"</f>
        <v>#VALUE!</v>
      </c>
      <c r="FE122" t="e">
        <f>'All regions'!G3054+"n/&gt;!&amp;yw"</f>
        <v>#VALUE!</v>
      </c>
      <c r="FF122" t="e">
        <f>'All regions'!H3054+"n/&gt;!&amp;yx"</f>
        <v>#VALUE!</v>
      </c>
      <c r="FG122" t="e">
        <f>'All regions'!I3054+"n/&gt;!&amp;yy"</f>
        <v>#VALUE!</v>
      </c>
      <c r="FH122" t="e">
        <f>'All regions'!J3054+"n/&gt;!&amp;yz"</f>
        <v>#VALUE!</v>
      </c>
      <c r="FI122" t="e">
        <f>'All regions'!A3055+"n/&gt;!&amp;y{"</f>
        <v>#VALUE!</v>
      </c>
      <c r="FJ122" t="e">
        <f>'All regions'!B3055+"n/&gt;!&amp;y|"</f>
        <v>#VALUE!</v>
      </c>
      <c r="FK122" t="e">
        <f>'All regions'!C3055+"n/&gt;!&amp;y}"</f>
        <v>#VALUE!</v>
      </c>
      <c r="FL122" t="e">
        <f>'All regions'!D3055+"n/&gt;!&amp;y~"</f>
        <v>#VALUE!</v>
      </c>
      <c r="FM122" t="e">
        <f>'All regions'!E3055+"n/&gt;!&amp;z#"</f>
        <v>#VALUE!</v>
      </c>
      <c r="FN122" t="e">
        <f>'All regions'!F3055+"n/&gt;!&amp;z$"</f>
        <v>#VALUE!</v>
      </c>
      <c r="FO122" t="e">
        <f>'All regions'!G3055+"n/&gt;!&amp;z%"</f>
        <v>#VALUE!</v>
      </c>
      <c r="FP122" t="e">
        <f>'All regions'!H3055+"n/&gt;!&amp;z&amp;"</f>
        <v>#VALUE!</v>
      </c>
      <c r="FQ122" t="e">
        <f>'All regions'!I3055+"n/&gt;!&amp;z'"</f>
        <v>#VALUE!</v>
      </c>
      <c r="FR122" t="e">
        <f>'All regions'!J3055+"n/&gt;!&amp;z("</f>
        <v>#VALUE!</v>
      </c>
      <c r="FS122" t="e">
        <f>'All regions'!A3056+"n/&gt;!&amp;z)"</f>
        <v>#VALUE!</v>
      </c>
      <c r="FT122" t="e">
        <f>'All regions'!B3056+"n/&gt;!&amp;z."</f>
        <v>#VALUE!</v>
      </c>
      <c r="FU122" t="e">
        <f>'All regions'!C3056+"n/&gt;!&amp;z/"</f>
        <v>#VALUE!</v>
      </c>
      <c r="FV122" t="e">
        <f>'All regions'!D3056+"n/&gt;!&amp;z0"</f>
        <v>#VALUE!</v>
      </c>
      <c r="FW122" t="e">
        <f>'All regions'!E3056+"n/&gt;!&amp;z1"</f>
        <v>#VALUE!</v>
      </c>
      <c r="FX122" t="e">
        <f>'All regions'!F3056+"n/&gt;!&amp;z2"</f>
        <v>#VALUE!</v>
      </c>
      <c r="FY122" t="e">
        <f>'All regions'!G3056+"n/&gt;!&amp;z3"</f>
        <v>#VALUE!</v>
      </c>
      <c r="FZ122" t="e">
        <f>'All regions'!H3056+"n/&gt;!&amp;z4"</f>
        <v>#VALUE!</v>
      </c>
      <c r="GA122" t="e">
        <f>'All regions'!I3056+"n/&gt;!&amp;z5"</f>
        <v>#VALUE!</v>
      </c>
      <c r="GB122" t="e">
        <f>'All regions'!J3056+"n/&gt;!&amp;z6"</f>
        <v>#VALUE!</v>
      </c>
      <c r="GC122" t="e">
        <f>'All regions'!A3057+"n/&gt;!&amp;z7"</f>
        <v>#VALUE!</v>
      </c>
      <c r="GD122" t="e">
        <f>'All regions'!B3057+"n/&gt;!&amp;z8"</f>
        <v>#VALUE!</v>
      </c>
      <c r="GE122" t="e">
        <f>'All regions'!C3057+"n/&gt;!&amp;z9"</f>
        <v>#VALUE!</v>
      </c>
      <c r="GF122" t="e">
        <f>'All regions'!D3057+"n/&gt;!&amp;z:"</f>
        <v>#VALUE!</v>
      </c>
      <c r="GG122" t="e">
        <f>'All regions'!E3057+"n/&gt;!&amp;z;"</f>
        <v>#VALUE!</v>
      </c>
      <c r="GH122" t="e">
        <f>'All regions'!F3057+"n/&gt;!&amp;z&lt;"</f>
        <v>#VALUE!</v>
      </c>
      <c r="GI122" t="e">
        <f>'All regions'!G3057+"n/&gt;!&amp;z="</f>
        <v>#VALUE!</v>
      </c>
      <c r="GJ122" t="e">
        <f>'All regions'!H3057+"n/&gt;!&amp;z&gt;"</f>
        <v>#VALUE!</v>
      </c>
      <c r="GK122" t="e">
        <f>'All regions'!I3057+"n/&gt;!&amp;z?"</f>
        <v>#VALUE!</v>
      </c>
      <c r="GL122" t="e">
        <f>'All regions'!J3057+"n/&gt;!&amp;z@"</f>
        <v>#VALUE!</v>
      </c>
      <c r="GM122" t="e">
        <f>'All regions'!A3058+"n/&gt;!&amp;zA"</f>
        <v>#VALUE!</v>
      </c>
      <c r="GN122" t="e">
        <f>'All regions'!B3058+"n/&gt;!&amp;zB"</f>
        <v>#VALUE!</v>
      </c>
      <c r="GO122" t="e">
        <f>'All regions'!C3058+"n/&gt;!&amp;zC"</f>
        <v>#VALUE!</v>
      </c>
      <c r="GP122" t="e">
        <f>'All regions'!D3058+"n/&gt;!&amp;zD"</f>
        <v>#VALUE!</v>
      </c>
      <c r="GQ122" t="e">
        <f>'All regions'!E3058+"n/&gt;!&amp;zE"</f>
        <v>#VALUE!</v>
      </c>
      <c r="GR122" t="e">
        <f>'All regions'!F3058+"n/&gt;!&amp;zF"</f>
        <v>#VALUE!</v>
      </c>
      <c r="GS122" t="e">
        <f>'All regions'!G3058+"n/&gt;!&amp;zG"</f>
        <v>#VALUE!</v>
      </c>
      <c r="GT122" t="e">
        <f>'All regions'!H3058+"n/&gt;!&amp;zH"</f>
        <v>#VALUE!</v>
      </c>
      <c r="GU122" t="e">
        <f>'All regions'!I3058+"n/&gt;!&amp;zI"</f>
        <v>#VALUE!</v>
      </c>
      <c r="GV122" t="e">
        <f>'All regions'!J3058+"n/&gt;!&amp;zJ"</f>
        <v>#VALUE!</v>
      </c>
      <c r="GW122" t="e">
        <f>'All regions'!A3059+"n/&gt;!&amp;zK"</f>
        <v>#VALUE!</v>
      </c>
      <c r="GX122" t="e">
        <f>'All regions'!B3059+"n/&gt;!&amp;zL"</f>
        <v>#VALUE!</v>
      </c>
      <c r="GY122" t="e">
        <f>'All regions'!C3059+"n/&gt;!&amp;zM"</f>
        <v>#VALUE!</v>
      </c>
      <c r="GZ122" t="e">
        <f>'All regions'!D3059+"n/&gt;!&amp;zN"</f>
        <v>#VALUE!</v>
      </c>
      <c r="HA122" t="e">
        <f>'All regions'!E3059+"n/&gt;!&amp;zO"</f>
        <v>#VALUE!</v>
      </c>
      <c r="HB122" t="e">
        <f>'All regions'!F3059+"n/&gt;!&amp;zP"</f>
        <v>#VALUE!</v>
      </c>
      <c r="HC122" t="e">
        <f>'All regions'!G3059+"n/&gt;!&amp;zQ"</f>
        <v>#VALUE!</v>
      </c>
      <c r="HD122" t="e">
        <f>'All regions'!H3059+"n/&gt;!&amp;zR"</f>
        <v>#VALUE!</v>
      </c>
      <c r="HE122" t="e">
        <f>'All regions'!I3059+"n/&gt;!&amp;zS"</f>
        <v>#VALUE!</v>
      </c>
      <c r="HF122" t="e">
        <f>'All regions'!J3059+"n/&gt;!&amp;zT"</f>
        <v>#VALUE!</v>
      </c>
      <c r="HG122" t="e">
        <f>'All regions'!A3060+"n/&gt;!&amp;zU"</f>
        <v>#VALUE!</v>
      </c>
      <c r="HH122" t="e">
        <f>'All regions'!B3060+"n/&gt;!&amp;zV"</f>
        <v>#VALUE!</v>
      </c>
      <c r="HI122" t="e">
        <f>'All regions'!C3060+"n/&gt;!&amp;zW"</f>
        <v>#VALUE!</v>
      </c>
      <c r="HJ122" t="e">
        <f>'All regions'!D3060+"n/&gt;!&amp;zX"</f>
        <v>#VALUE!</v>
      </c>
      <c r="HK122" t="e">
        <f>'All regions'!E3060+"n/&gt;!&amp;zY"</f>
        <v>#VALUE!</v>
      </c>
      <c r="HL122" t="e">
        <f>'All regions'!F3060+"n/&gt;!&amp;zZ"</f>
        <v>#VALUE!</v>
      </c>
      <c r="HM122" t="e">
        <f>'All regions'!G3060+"n/&gt;!&amp;z["</f>
        <v>#VALUE!</v>
      </c>
      <c r="HN122" t="e">
        <f>'All regions'!H3060+"n/&gt;!&amp;z\"</f>
        <v>#VALUE!</v>
      </c>
      <c r="HO122" t="e">
        <f>'All regions'!I3060+"n/&gt;!&amp;z]"</f>
        <v>#VALUE!</v>
      </c>
      <c r="HP122" t="e">
        <f>'All regions'!J3060+"n/&gt;!&amp;z^"</f>
        <v>#VALUE!</v>
      </c>
      <c r="HQ122" t="e">
        <f>'All regions'!A3061+"n/&gt;!&amp;z_"</f>
        <v>#VALUE!</v>
      </c>
      <c r="HR122" t="e">
        <f>'All regions'!B3061+"n/&gt;!&amp;z`"</f>
        <v>#VALUE!</v>
      </c>
      <c r="HS122" t="e">
        <f>'All regions'!C3061+"n/&gt;!&amp;za"</f>
        <v>#VALUE!</v>
      </c>
      <c r="HT122" t="e">
        <f>'All regions'!D3061+"n/&gt;!&amp;zb"</f>
        <v>#VALUE!</v>
      </c>
      <c r="HU122" t="e">
        <f>'All regions'!E3061+"n/&gt;!&amp;zc"</f>
        <v>#VALUE!</v>
      </c>
      <c r="HV122" t="e">
        <f>'All regions'!F3061+"n/&gt;!&amp;zd"</f>
        <v>#VALUE!</v>
      </c>
      <c r="HW122" t="e">
        <f>'All regions'!G3061+"n/&gt;!&amp;ze"</f>
        <v>#VALUE!</v>
      </c>
      <c r="HX122" t="e">
        <f>'All regions'!H3061+"n/&gt;!&amp;zf"</f>
        <v>#VALUE!</v>
      </c>
      <c r="HY122" t="e">
        <f>'All regions'!I3061+"n/&gt;!&amp;zg"</f>
        <v>#VALUE!</v>
      </c>
      <c r="HZ122" t="e">
        <f>'All regions'!J3061+"n/&gt;!&amp;zh"</f>
        <v>#VALUE!</v>
      </c>
      <c r="IA122" t="e">
        <f>'All regions'!A3062+"n/&gt;!&amp;zi"</f>
        <v>#VALUE!</v>
      </c>
      <c r="IB122" t="e">
        <f>'All regions'!B3062+"n/&gt;!&amp;zj"</f>
        <v>#VALUE!</v>
      </c>
      <c r="IC122" t="e">
        <f>'All regions'!C3062+"n/&gt;!&amp;zk"</f>
        <v>#VALUE!</v>
      </c>
      <c r="ID122" t="e">
        <f>'All regions'!D3062+"n/&gt;!&amp;zl"</f>
        <v>#VALUE!</v>
      </c>
      <c r="IE122" t="e">
        <f>'All regions'!E3062+"n/&gt;!&amp;zm"</f>
        <v>#VALUE!</v>
      </c>
      <c r="IF122" t="e">
        <f>'All regions'!F3062+"n/&gt;!&amp;zn"</f>
        <v>#VALUE!</v>
      </c>
      <c r="IG122" t="e">
        <f>'All regions'!G3062+"n/&gt;!&amp;zo"</f>
        <v>#VALUE!</v>
      </c>
      <c r="IH122" t="e">
        <f>'All regions'!H3062+"n/&gt;!&amp;zp"</f>
        <v>#VALUE!</v>
      </c>
      <c r="II122" t="e">
        <f>'All regions'!I3062+"n/&gt;!&amp;zq"</f>
        <v>#VALUE!</v>
      </c>
      <c r="IJ122" t="e">
        <f>'All regions'!J3062+"n/&gt;!&amp;zr"</f>
        <v>#VALUE!</v>
      </c>
      <c r="IK122" t="e">
        <f>'All regions'!A3063+"n/&gt;!&amp;zs"</f>
        <v>#VALUE!</v>
      </c>
      <c r="IL122" t="e">
        <f>'All regions'!B3063+"n/&gt;!&amp;zt"</f>
        <v>#VALUE!</v>
      </c>
      <c r="IM122" t="e">
        <f>'All regions'!C3063+"n/&gt;!&amp;zu"</f>
        <v>#VALUE!</v>
      </c>
      <c r="IN122" t="e">
        <f>'All regions'!D3063+"n/&gt;!&amp;zv"</f>
        <v>#VALUE!</v>
      </c>
      <c r="IO122" t="e">
        <f>'All regions'!E3063+"n/&gt;!&amp;zw"</f>
        <v>#VALUE!</v>
      </c>
      <c r="IP122" t="e">
        <f>'All regions'!F3063+"n/&gt;!&amp;zx"</f>
        <v>#VALUE!</v>
      </c>
      <c r="IQ122" t="e">
        <f>'All regions'!G3063+"n/&gt;!&amp;zy"</f>
        <v>#VALUE!</v>
      </c>
      <c r="IR122" t="e">
        <f>'All regions'!H3063+"n/&gt;!&amp;zz"</f>
        <v>#VALUE!</v>
      </c>
      <c r="IS122" t="e">
        <f>'All regions'!I3063+"n/&gt;!&amp;z{"</f>
        <v>#VALUE!</v>
      </c>
      <c r="IT122" t="e">
        <f>'All regions'!J3063+"n/&gt;!&amp;z|"</f>
        <v>#VALUE!</v>
      </c>
      <c r="IU122" t="e">
        <f>'All regions'!A3064+"n/&gt;!&amp;z}"</f>
        <v>#VALUE!</v>
      </c>
      <c r="IV122" t="e">
        <f>'All regions'!B3064+"n/&gt;!&amp;z~"</f>
        <v>#VALUE!</v>
      </c>
    </row>
    <row r="123" spans="6:256" x14ac:dyDescent="0.35">
      <c r="F123" t="e">
        <f>'All regions'!C3064+"n/&gt;!&amp;{#"</f>
        <v>#VALUE!</v>
      </c>
      <c r="G123" t="e">
        <f>'All regions'!D3064+"n/&gt;!&amp;{$"</f>
        <v>#VALUE!</v>
      </c>
      <c r="H123" t="e">
        <f>'All regions'!E3064+"n/&gt;!&amp;{%"</f>
        <v>#VALUE!</v>
      </c>
      <c r="I123" t="e">
        <f>'All regions'!F3064+"n/&gt;!&amp;{&amp;"</f>
        <v>#VALUE!</v>
      </c>
      <c r="J123" t="e">
        <f>'All regions'!G3064+"n/&gt;!&amp;{'"</f>
        <v>#VALUE!</v>
      </c>
      <c r="K123" t="e">
        <f>'All regions'!H3064+"n/&gt;!&amp;{("</f>
        <v>#VALUE!</v>
      </c>
      <c r="L123" t="e">
        <f>'All regions'!I3064+"n/&gt;!&amp;{)"</f>
        <v>#VALUE!</v>
      </c>
      <c r="M123" t="e">
        <f>'All regions'!J3064+"n/&gt;!&amp;{."</f>
        <v>#VALUE!</v>
      </c>
      <c r="N123" t="e">
        <f>'All regions'!A3065+"n/&gt;!&amp;{/"</f>
        <v>#VALUE!</v>
      </c>
      <c r="O123" t="e">
        <f>'All regions'!B3065+"n/&gt;!&amp;{0"</f>
        <v>#VALUE!</v>
      </c>
      <c r="P123" t="e">
        <f>'All regions'!C3065+"n/&gt;!&amp;{1"</f>
        <v>#VALUE!</v>
      </c>
      <c r="Q123" t="e">
        <f>'All regions'!D3065+"n/&gt;!&amp;{2"</f>
        <v>#VALUE!</v>
      </c>
      <c r="R123" t="e">
        <f>'All regions'!E3065+"n/&gt;!&amp;{3"</f>
        <v>#VALUE!</v>
      </c>
      <c r="S123" t="e">
        <f>'All regions'!F3065+"n/&gt;!&amp;{4"</f>
        <v>#VALUE!</v>
      </c>
      <c r="T123" t="e">
        <f>'All regions'!G3065+"n/&gt;!&amp;{5"</f>
        <v>#VALUE!</v>
      </c>
      <c r="U123" t="e">
        <f>'All regions'!H3065+"n/&gt;!&amp;{6"</f>
        <v>#VALUE!</v>
      </c>
      <c r="V123" t="e">
        <f>'All regions'!I3065+"n/&gt;!&amp;{7"</f>
        <v>#VALUE!</v>
      </c>
      <c r="W123" t="e">
        <f>'All regions'!J3065+"n/&gt;!&amp;{8"</f>
        <v>#VALUE!</v>
      </c>
      <c r="X123" t="e">
        <f>'All regions'!A3066+"n/&gt;!&amp;{9"</f>
        <v>#VALUE!</v>
      </c>
      <c r="Y123" t="e">
        <f>'All regions'!B3066+"n/&gt;!&amp;{:"</f>
        <v>#VALUE!</v>
      </c>
      <c r="Z123" t="e">
        <f>'All regions'!C3066+"n/&gt;!&amp;{;"</f>
        <v>#VALUE!</v>
      </c>
      <c r="AA123" t="e">
        <f>'All regions'!D3066+"n/&gt;!&amp;{&lt;"</f>
        <v>#VALUE!</v>
      </c>
      <c r="AB123" t="e">
        <f>'All regions'!E3066+"n/&gt;!&amp;{="</f>
        <v>#VALUE!</v>
      </c>
      <c r="AC123" t="e">
        <f>'All regions'!F3066+"n/&gt;!&amp;{&gt;"</f>
        <v>#VALUE!</v>
      </c>
      <c r="AD123" t="e">
        <f>'All regions'!G3066+"n/&gt;!&amp;{?"</f>
        <v>#VALUE!</v>
      </c>
      <c r="AE123" t="e">
        <f>'All regions'!H3066+"n/&gt;!&amp;{@"</f>
        <v>#VALUE!</v>
      </c>
      <c r="AF123" t="e">
        <f>'All regions'!I3066+"n/&gt;!&amp;{A"</f>
        <v>#VALUE!</v>
      </c>
      <c r="AG123" t="e">
        <f>'All regions'!J3066+"n/&gt;!&amp;{B"</f>
        <v>#VALUE!</v>
      </c>
      <c r="AH123" t="e">
        <f>'All regions'!A3067+"n/&gt;!&amp;{C"</f>
        <v>#VALUE!</v>
      </c>
      <c r="AI123" t="e">
        <f>'All regions'!B3067+"n/&gt;!&amp;{D"</f>
        <v>#VALUE!</v>
      </c>
      <c r="AJ123" t="e">
        <f>'All regions'!C3067+"n/&gt;!&amp;{E"</f>
        <v>#VALUE!</v>
      </c>
      <c r="AK123" t="e">
        <f>'All regions'!D3067+"n/&gt;!&amp;{F"</f>
        <v>#VALUE!</v>
      </c>
      <c r="AL123" t="e">
        <f>'All regions'!E3067+"n/&gt;!&amp;{G"</f>
        <v>#VALUE!</v>
      </c>
      <c r="AM123" t="e">
        <f>'All regions'!F3067+"n/&gt;!&amp;{H"</f>
        <v>#VALUE!</v>
      </c>
      <c r="AN123" t="e">
        <f>'All regions'!G3067+"n/&gt;!&amp;{I"</f>
        <v>#VALUE!</v>
      </c>
      <c r="AO123" t="e">
        <f>'All regions'!H3067+"n/&gt;!&amp;{J"</f>
        <v>#VALUE!</v>
      </c>
      <c r="AP123" t="e">
        <f>'All regions'!I3067+"n/&gt;!&amp;{K"</f>
        <v>#VALUE!</v>
      </c>
      <c r="AQ123" t="e">
        <f>'All regions'!J3067+"n/&gt;!&amp;{L"</f>
        <v>#VALUE!</v>
      </c>
      <c r="AR123" t="e">
        <f>'All regions'!A3068+"n/&gt;!&amp;{M"</f>
        <v>#VALUE!</v>
      </c>
      <c r="AS123" t="e">
        <f>'All regions'!B3068+"n/&gt;!&amp;{N"</f>
        <v>#VALUE!</v>
      </c>
      <c r="AT123" t="e">
        <f>'All regions'!C3068+"n/&gt;!&amp;{O"</f>
        <v>#VALUE!</v>
      </c>
      <c r="AU123" t="e">
        <f>'All regions'!D3068+"n/&gt;!&amp;{P"</f>
        <v>#VALUE!</v>
      </c>
      <c r="AV123" t="e">
        <f>'All regions'!E3068+"n/&gt;!&amp;{Q"</f>
        <v>#VALUE!</v>
      </c>
      <c r="AW123" t="e">
        <f>'All regions'!F3068+"n/&gt;!&amp;{R"</f>
        <v>#VALUE!</v>
      </c>
      <c r="AX123" t="e">
        <f>'All regions'!G3068+"n/&gt;!&amp;{S"</f>
        <v>#VALUE!</v>
      </c>
      <c r="AY123" t="e">
        <f>'All regions'!H3068+"n/&gt;!&amp;{T"</f>
        <v>#VALUE!</v>
      </c>
      <c r="AZ123" t="e">
        <f>'All regions'!I3068+"n/&gt;!&amp;{U"</f>
        <v>#VALUE!</v>
      </c>
      <c r="BA123" t="e">
        <f>'All regions'!J3068+"n/&gt;!&amp;{V"</f>
        <v>#VALUE!</v>
      </c>
      <c r="BB123" t="e">
        <f>'All regions'!A3069+"n/&gt;!&amp;{W"</f>
        <v>#VALUE!</v>
      </c>
      <c r="BC123" t="e">
        <f>'All regions'!B3069+"n/&gt;!&amp;{X"</f>
        <v>#VALUE!</v>
      </c>
      <c r="BD123" t="e">
        <f>'All regions'!C3069+"n/&gt;!&amp;{Y"</f>
        <v>#VALUE!</v>
      </c>
      <c r="BE123" t="e">
        <f>'All regions'!D3069+"n/&gt;!&amp;{Z"</f>
        <v>#VALUE!</v>
      </c>
      <c r="BF123" t="e">
        <f>'All regions'!E3069+"n/&gt;!&amp;{["</f>
        <v>#VALUE!</v>
      </c>
      <c r="BG123" t="e">
        <f>'All regions'!F3069+"n/&gt;!&amp;{\"</f>
        <v>#VALUE!</v>
      </c>
      <c r="BH123" t="e">
        <f>'All regions'!G3069+"n/&gt;!&amp;{]"</f>
        <v>#VALUE!</v>
      </c>
      <c r="BI123" t="e">
        <f>'All regions'!H3069+"n/&gt;!&amp;{^"</f>
        <v>#VALUE!</v>
      </c>
      <c r="BJ123" t="e">
        <f>'All regions'!I3069+"n/&gt;!&amp;{_"</f>
        <v>#VALUE!</v>
      </c>
      <c r="BK123" t="e">
        <f>'All regions'!J3069+"n/&gt;!&amp;{`"</f>
        <v>#VALUE!</v>
      </c>
      <c r="BL123" t="e">
        <f>'All regions'!A3070+"n/&gt;!&amp;{a"</f>
        <v>#VALUE!</v>
      </c>
      <c r="BM123" t="e">
        <f>'All regions'!B3070+"n/&gt;!&amp;{b"</f>
        <v>#VALUE!</v>
      </c>
      <c r="BN123" t="e">
        <f>'All regions'!C3070+"n/&gt;!&amp;{c"</f>
        <v>#VALUE!</v>
      </c>
      <c r="BO123" t="e">
        <f>'All regions'!D3070+"n/&gt;!&amp;{d"</f>
        <v>#VALUE!</v>
      </c>
      <c r="BP123" t="e">
        <f>'All regions'!E3070+"n/&gt;!&amp;{e"</f>
        <v>#VALUE!</v>
      </c>
      <c r="BQ123" t="e">
        <f>'All regions'!F3070+"n/&gt;!&amp;{f"</f>
        <v>#VALUE!</v>
      </c>
      <c r="BR123" t="e">
        <f>'All regions'!G3070+"n/&gt;!&amp;{g"</f>
        <v>#VALUE!</v>
      </c>
      <c r="BS123" t="e">
        <f>'All regions'!H3070+"n/&gt;!&amp;{h"</f>
        <v>#VALUE!</v>
      </c>
      <c r="BT123" t="e">
        <f>'All regions'!I3070+"n/&gt;!&amp;{i"</f>
        <v>#VALUE!</v>
      </c>
      <c r="BU123" t="e">
        <f>'All regions'!J3070+"n/&gt;!&amp;{j"</f>
        <v>#VALUE!</v>
      </c>
      <c r="BV123" t="e">
        <f>'All regions'!A3071+"n/&gt;!&amp;{k"</f>
        <v>#VALUE!</v>
      </c>
      <c r="BW123" t="e">
        <f>'All regions'!B3071+"n/&gt;!&amp;{l"</f>
        <v>#VALUE!</v>
      </c>
      <c r="BX123" t="e">
        <f>'All regions'!C3071+"n/&gt;!&amp;{m"</f>
        <v>#VALUE!</v>
      </c>
      <c r="BY123" t="e">
        <f>'All regions'!D3071+"n/&gt;!&amp;{n"</f>
        <v>#VALUE!</v>
      </c>
      <c r="BZ123" t="e">
        <f>'All regions'!E3071+"n/&gt;!&amp;{o"</f>
        <v>#VALUE!</v>
      </c>
      <c r="CA123" t="e">
        <f>'All regions'!F3071+"n/&gt;!&amp;{p"</f>
        <v>#VALUE!</v>
      </c>
      <c r="CB123" t="e">
        <f>'All regions'!G3071+"n/&gt;!&amp;{q"</f>
        <v>#VALUE!</v>
      </c>
      <c r="CC123" t="e">
        <f>'All regions'!H3071+"n/&gt;!&amp;{r"</f>
        <v>#VALUE!</v>
      </c>
      <c r="CD123" t="e">
        <f>'All regions'!I3071+"n/&gt;!&amp;{s"</f>
        <v>#VALUE!</v>
      </c>
      <c r="CE123" t="e">
        <f>'All regions'!J3071+"n/&gt;!&amp;{t"</f>
        <v>#VALUE!</v>
      </c>
      <c r="CF123" t="e">
        <f>'All regions'!A3072+"n/&gt;!&amp;{u"</f>
        <v>#VALUE!</v>
      </c>
      <c r="CG123" t="e">
        <f>'All regions'!B3072+"n/&gt;!&amp;{v"</f>
        <v>#VALUE!</v>
      </c>
      <c r="CH123" t="e">
        <f>'All regions'!C3072+"n/&gt;!&amp;{w"</f>
        <v>#VALUE!</v>
      </c>
      <c r="CI123" t="e">
        <f>'All regions'!D3072+"n/&gt;!&amp;{x"</f>
        <v>#VALUE!</v>
      </c>
      <c r="CJ123" t="e">
        <f>'All regions'!E3072+"n/&gt;!&amp;{y"</f>
        <v>#VALUE!</v>
      </c>
      <c r="CK123" t="e">
        <f>'All regions'!F3072+"n/&gt;!&amp;{z"</f>
        <v>#VALUE!</v>
      </c>
      <c r="CL123" t="e">
        <f>'All regions'!G3072+"n/&gt;!&amp;{{"</f>
        <v>#VALUE!</v>
      </c>
      <c r="CM123" t="e">
        <f>'All regions'!H3072+"n/&gt;!&amp;{|"</f>
        <v>#VALUE!</v>
      </c>
      <c r="CN123" t="e">
        <f>'All regions'!I3072+"n/&gt;!&amp;{}"</f>
        <v>#VALUE!</v>
      </c>
      <c r="CO123" t="e">
        <f>'All regions'!J3072+"n/&gt;!&amp;{~"</f>
        <v>#VALUE!</v>
      </c>
      <c r="CP123" t="e">
        <f>'All regions'!A3073+"n/&gt;!&amp;|#"</f>
        <v>#VALUE!</v>
      </c>
      <c r="CQ123" t="e">
        <f>'All regions'!B3073+"n/&gt;!&amp;|$"</f>
        <v>#VALUE!</v>
      </c>
      <c r="CR123" t="e">
        <f>'All regions'!C3073+"n/&gt;!&amp;|%"</f>
        <v>#VALUE!</v>
      </c>
      <c r="CS123" t="e">
        <f>'All regions'!D3073+"n/&gt;!&amp;|&amp;"</f>
        <v>#VALUE!</v>
      </c>
      <c r="CT123" t="e">
        <f>'All regions'!E3073+"n/&gt;!&amp;|'"</f>
        <v>#VALUE!</v>
      </c>
      <c r="CU123" t="e">
        <f>'All regions'!F3073+"n/&gt;!&amp;|("</f>
        <v>#VALUE!</v>
      </c>
      <c r="CV123" t="e">
        <f>'All regions'!G3073+"n/&gt;!&amp;|)"</f>
        <v>#VALUE!</v>
      </c>
      <c r="CW123" t="e">
        <f>'All regions'!H3073+"n/&gt;!&amp;|."</f>
        <v>#VALUE!</v>
      </c>
      <c r="CX123" t="e">
        <f>'All regions'!I3073+"n/&gt;!&amp;|/"</f>
        <v>#VALUE!</v>
      </c>
      <c r="CY123" t="e">
        <f>'All regions'!J3073+"n/&gt;!&amp;|0"</f>
        <v>#VALUE!</v>
      </c>
      <c r="CZ123" t="e">
        <f>'All regions'!A3074+"n/&gt;!&amp;|1"</f>
        <v>#VALUE!</v>
      </c>
      <c r="DA123" t="e">
        <f>'All regions'!B3074+"n/&gt;!&amp;|2"</f>
        <v>#VALUE!</v>
      </c>
      <c r="DB123" t="e">
        <f>'All regions'!C3074+"n/&gt;!&amp;|3"</f>
        <v>#VALUE!</v>
      </c>
      <c r="DC123" t="e">
        <f>'All regions'!D3074+"n/&gt;!&amp;|4"</f>
        <v>#VALUE!</v>
      </c>
      <c r="DD123" t="e">
        <f>'All regions'!E3074+"n/&gt;!&amp;|5"</f>
        <v>#VALUE!</v>
      </c>
      <c r="DE123" t="e">
        <f>'All regions'!F3074+"n/&gt;!&amp;|6"</f>
        <v>#VALUE!</v>
      </c>
      <c r="DF123" t="e">
        <f>'All regions'!G3074+"n/&gt;!&amp;|7"</f>
        <v>#VALUE!</v>
      </c>
      <c r="DG123" t="e">
        <f>'All regions'!H3074+"n/&gt;!&amp;|8"</f>
        <v>#VALUE!</v>
      </c>
      <c r="DH123" t="e">
        <f>'All regions'!I3074+"n/&gt;!&amp;|9"</f>
        <v>#VALUE!</v>
      </c>
      <c r="DI123" t="e">
        <f>'All regions'!J3074+"n/&gt;!&amp;|:"</f>
        <v>#VALUE!</v>
      </c>
      <c r="DJ123" t="e">
        <f>'All regions'!A3075+"n/&gt;!&amp;|;"</f>
        <v>#VALUE!</v>
      </c>
      <c r="DK123" t="e">
        <f>'All regions'!B3075+"n/&gt;!&amp;|&lt;"</f>
        <v>#VALUE!</v>
      </c>
      <c r="DL123" t="e">
        <f>'All regions'!C3075+"n/&gt;!&amp;|="</f>
        <v>#VALUE!</v>
      </c>
      <c r="DM123" t="e">
        <f>'All regions'!D3075+"n/&gt;!&amp;|&gt;"</f>
        <v>#VALUE!</v>
      </c>
      <c r="DN123" t="e">
        <f>'All regions'!E3075+"n/&gt;!&amp;|?"</f>
        <v>#VALUE!</v>
      </c>
      <c r="DO123" t="e">
        <f>'All regions'!F3075+"n/&gt;!&amp;|@"</f>
        <v>#VALUE!</v>
      </c>
      <c r="DP123" t="e">
        <f>'All regions'!G3075+"n/&gt;!&amp;|A"</f>
        <v>#VALUE!</v>
      </c>
      <c r="DQ123" t="e">
        <f>'All regions'!H3075+"n/&gt;!&amp;|B"</f>
        <v>#VALUE!</v>
      </c>
      <c r="DR123" t="e">
        <f>'All regions'!I3075+"n/&gt;!&amp;|C"</f>
        <v>#VALUE!</v>
      </c>
      <c r="DS123" t="e">
        <f>'All regions'!J3075+"n/&gt;!&amp;|D"</f>
        <v>#VALUE!</v>
      </c>
      <c r="DT123" t="e">
        <f>'All regions'!A3076+"n/&gt;!&amp;|E"</f>
        <v>#VALUE!</v>
      </c>
      <c r="DU123" t="e">
        <f>'All regions'!B3076+"n/&gt;!&amp;|F"</f>
        <v>#VALUE!</v>
      </c>
      <c r="DV123" t="e">
        <f>'All regions'!C3076+"n/&gt;!&amp;|G"</f>
        <v>#VALUE!</v>
      </c>
      <c r="DW123" t="e">
        <f>'All regions'!D3076+"n/&gt;!&amp;|H"</f>
        <v>#VALUE!</v>
      </c>
      <c r="DX123" t="e">
        <f>'All regions'!E3076+"n/&gt;!&amp;|I"</f>
        <v>#VALUE!</v>
      </c>
      <c r="DY123" t="e">
        <f>'All regions'!F3076+"n/&gt;!&amp;|J"</f>
        <v>#VALUE!</v>
      </c>
      <c r="DZ123" t="e">
        <f>'All regions'!G3076+"n/&gt;!&amp;|K"</f>
        <v>#VALUE!</v>
      </c>
      <c r="EA123" t="e">
        <f>'All regions'!H3076+"n/&gt;!&amp;|L"</f>
        <v>#VALUE!</v>
      </c>
      <c r="EB123" t="e">
        <f>'All regions'!I3076+"n/&gt;!&amp;|M"</f>
        <v>#VALUE!</v>
      </c>
      <c r="EC123" t="e">
        <f>'All regions'!J3076+"n/&gt;!&amp;|N"</f>
        <v>#VALUE!</v>
      </c>
      <c r="ED123" t="e">
        <f>'All regions'!A3077+"n/&gt;!&amp;|O"</f>
        <v>#VALUE!</v>
      </c>
      <c r="EE123" t="e">
        <f>'All regions'!B3077+"n/&gt;!&amp;|P"</f>
        <v>#VALUE!</v>
      </c>
      <c r="EF123" t="e">
        <f>'All regions'!C3077+"n/&gt;!&amp;|Q"</f>
        <v>#VALUE!</v>
      </c>
      <c r="EG123" t="e">
        <f>'All regions'!D3077+"n/&gt;!&amp;|R"</f>
        <v>#VALUE!</v>
      </c>
      <c r="EH123" t="e">
        <f>'All regions'!E3077+"n/&gt;!&amp;|S"</f>
        <v>#VALUE!</v>
      </c>
      <c r="EI123" t="e">
        <f>'All regions'!F3077+"n/&gt;!&amp;|T"</f>
        <v>#VALUE!</v>
      </c>
      <c r="EJ123" t="e">
        <f>'All regions'!G3077+"n/&gt;!&amp;|U"</f>
        <v>#VALUE!</v>
      </c>
      <c r="EK123" t="e">
        <f>'All regions'!H3077+"n/&gt;!&amp;|V"</f>
        <v>#VALUE!</v>
      </c>
      <c r="EL123" t="e">
        <f>'All regions'!I3077+"n/&gt;!&amp;|W"</f>
        <v>#VALUE!</v>
      </c>
      <c r="EM123" t="e">
        <f>'All regions'!J3077+"n/&gt;!&amp;|X"</f>
        <v>#VALUE!</v>
      </c>
      <c r="EN123" t="e">
        <f>'All regions'!A3078+"n/&gt;!&amp;|Y"</f>
        <v>#VALUE!</v>
      </c>
      <c r="EO123" t="e">
        <f>'All regions'!B3078+"n/&gt;!&amp;|Z"</f>
        <v>#VALUE!</v>
      </c>
      <c r="EP123" t="e">
        <f>'All regions'!C3078+"n/&gt;!&amp;|["</f>
        <v>#VALUE!</v>
      </c>
      <c r="EQ123" t="e">
        <f>'All regions'!D3078+"n/&gt;!&amp;|\"</f>
        <v>#VALUE!</v>
      </c>
      <c r="ER123" t="e">
        <f>'All regions'!E3078+"n/&gt;!&amp;|]"</f>
        <v>#VALUE!</v>
      </c>
      <c r="ES123" t="e">
        <f>'All regions'!F3078+"n/&gt;!&amp;|^"</f>
        <v>#VALUE!</v>
      </c>
      <c r="ET123" t="e">
        <f>'All regions'!G3078+"n/&gt;!&amp;|_"</f>
        <v>#VALUE!</v>
      </c>
      <c r="EU123" t="e">
        <f>'All regions'!H3078+"n/&gt;!&amp;|`"</f>
        <v>#VALUE!</v>
      </c>
      <c r="EV123" t="e">
        <f>'All regions'!I3078+"n/&gt;!&amp;|a"</f>
        <v>#VALUE!</v>
      </c>
      <c r="EW123" t="e">
        <f>'All regions'!J3078+"n/&gt;!&amp;|b"</f>
        <v>#VALUE!</v>
      </c>
      <c r="EX123" t="e">
        <f>'All regions'!A3079+"n/&gt;!&amp;|c"</f>
        <v>#VALUE!</v>
      </c>
      <c r="EY123" t="e">
        <f>'All regions'!B3079+"n/&gt;!&amp;|d"</f>
        <v>#VALUE!</v>
      </c>
      <c r="EZ123" t="e">
        <f>'All regions'!C3079+"n/&gt;!&amp;|e"</f>
        <v>#VALUE!</v>
      </c>
      <c r="FA123" t="e">
        <f>'All regions'!D3079+"n/&gt;!&amp;|f"</f>
        <v>#VALUE!</v>
      </c>
      <c r="FB123" t="e">
        <f>'All regions'!E3079+"n/&gt;!&amp;|g"</f>
        <v>#VALUE!</v>
      </c>
      <c r="FC123" t="e">
        <f>'All regions'!F3079+"n/&gt;!&amp;|h"</f>
        <v>#VALUE!</v>
      </c>
      <c r="FD123" t="e">
        <f>'All regions'!G3079+"n/&gt;!&amp;|i"</f>
        <v>#VALUE!</v>
      </c>
      <c r="FE123" t="e">
        <f>'All regions'!H3079+"n/&gt;!&amp;|j"</f>
        <v>#VALUE!</v>
      </c>
      <c r="FF123" t="e">
        <f>'All regions'!I3079+"n/&gt;!&amp;|k"</f>
        <v>#VALUE!</v>
      </c>
      <c r="FG123" t="e">
        <f>'All regions'!J3079+"n/&gt;!&amp;|l"</f>
        <v>#VALUE!</v>
      </c>
      <c r="FH123" t="e">
        <f>'All regions'!A3080+"n/&gt;!&amp;|m"</f>
        <v>#VALUE!</v>
      </c>
      <c r="FI123" t="e">
        <f>'All regions'!B3080+"n/&gt;!&amp;|n"</f>
        <v>#VALUE!</v>
      </c>
      <c r="FJ123" t="e">
        <f>'All regions'!C3080+"n/&gt;!&amp;|o"</f>
        <v>#VALUE!</v>
      </c>
      <c r="FK123" t="e">
        <f>'All regions'!D3080+"n/&gt;!&amp;|p"</f>
        <v>#VALUE!</v>
      </c>
      <c r="FL123" t="e">
        <f>'All regions'!E3080+"n/&gt;!&amp;|q"</f>
        <v>#VALUE!</v>
      </c>
      <c r="FM123" t="e">
        <f>'All regions'!F3080+"n/&gt;!&amp;|r"</f>
        <v>#VALUE!</v>
      </c>
      <c r="FN123" t="e">
        <f>'All regions'!G3080+"n/&gt;!&amp;|s"</f>
        <v>#VALUE!</v>
      </c>
      <c r="FO123" t="e">
        <f>'All regions'!H3080+"n/&gt;!&amp;|t"</f>
        <v>#VALUE!</v>
      </c>
      <c r="FP123" t="e">
        <f>'All regions'!I3080+"n/&gt;!&amp;|u"</f>
        <v>#VALUE!</v>
      </c>
      <c r="FQ123" t="e">
        <f>'All regions'!J3080+"n/&gt;!&amp;|v"</f>
        <v>#VALUE!</v>
      </c>
      <c r="FR123" t="e">
        <f>'All regions'!A3081+"n/&gt;!&amp;|w"</f>
        <v>#VALUE!</v>
      </c>
      <c r="FS123" t="e">
        <f>'All regions'!B3081+"n/&gt;!&amp;|x"</f>
        <v>#VALUE!</v>
      </c>
      <c r="FT123" t="e">
        <f>'All regions'!C3081+"n/&gt;!&amp;|y"</f>
        <v>#VALUE!</v>
      </c>
      <c r="FU123" t="e">
        <f>'All regions'!D3081+"n/&gt;!&amp;|z"</f>
        <v>#VALUE!</v>
      </c>
      <c r="FV123" t="e">
        <f>'All regions'!E3081+"n/&gt;!&amp;|{"</f>
        <v>#VALUE!</v>
      </c>
      <c r="FW123" t="e">
        <f>'All regions'!F3081+"n/&gt;!&amp;||"</f>
        <v>#VALUE!</v>
      </c>
      <c r="FX123" t="e">
        <f>'All regions'!G3081+"n/&gt;!&amp;|}"</f>
        <v>#VALUE!</v>
      </c>
      <c r="FY123" t="e">
        <f>'All regions'!H3081+"n/&gt;!&amp;|~"</f>
        <v>#VALUE!</v>
      </c>
      <c r="FZ123" t="e">
        <f>'All regions'!I3081+"n/&gt;!&amp;}#"</f>
        <v>#VALUE!</v>
      </c>
      <c r="GA123" t="e">
        <f>'All regions'!J3081+"n/&gt;!&amp;}$"</f>
        <v>#VALUE!</v>
      </c>
      <c r="GB123" t="e">
        <f>'All regions'!A3082+"n/&gt;!&amp;}%"</f>
        <v>#VALUE!</v>
      </c>
      <c r="GC123" t="e">
        <f>'All regions'!B3082+"n/&gt;!&amp;}&amp;"</f>
        <v>#VALUE!</v>
      </c>
      <c r="GD123" t="e">
        <f>'All regions'!C3082+"n/&gt;!&amp;}'"</f>
        <v>#VALUE!</v>
      </c>
      <c r="GE123" t="e">
        <f>'All regions'!D3082+"n/&gt;!&amp;}("</f>
        <v>#VALUE!</v>
      </c>
      <c r="GF123" t="e">
        <f>'All regions'!E3082+"n/&gt;!&amp;})"</f>
        <v>#VALUE!</v>
      </c>
      <c r="GG123" t="e">
        <f>'All regions'!F3082+"n/&gt;!&amp;}."</f>
        <v>#VALUE!</v>
      </c>
      <c r="GH123" t="e">
        <f>'All regions'!G3082+"n/&gt;!&amp;}/"</f>
        <v>#VALUE!</v>
      </c>
      <c r="GI123" t="e">
        <f>'All regions'!H3082+"n/&gt;!&amp;}0"</f>
        <v>#VALUE!</v>
      </c>
      <c r="GJ123" t="e">
        <f>'All regions'!I3082+"n/&gt;!&amp;}1"</f>
        <v>#VALUE!</v>
      </c>
      <c r="GK123" t="e">
        <f>'All regions'!J3082+"n/&gt;!&amp;}2"</f>
        <v>#VALUE!</v>
      </c>
      <c r="GL123" t="e">
        <f>'All regions'!A3083+"n/&gt;!&amp;}3"</f>
        <v>#VALUE!</v>
      </c>
      <c r="GM123" t="e">
        <f>'All regions'!B3083+"n/&gt;!&amp;}4"</f>
        <v>#VALUE!</v>
      </c>
      <c r="GN123" t="e">
        <f>'All regions'!C3083+"n/&gt;!&amp;}5"</f>
        <v>#VALUE!</v>
      </c>
      <c r="GO123" t="e">
        <f>'All regions'!D3083+"n/&gt;!&amp;}6"</f>
        <v>#VALUE!</v>
      </c>
      <c r="GP123" t="e">
        <f>'All regions'!E3083+"n/&gt;!&amp;}7"</f>
        <v>#VALUE!</v>
      </c>
      <c r="GQ123" t="e">
        <f>'All regions'!F3083+"n/&gt;!&amp;}8"</f>
        <v>#VALUE!</v>
      </c>
      <c r="GR123" t="e">
        <f>'All regions'!G3083+"n/&gt;!&amp;}9"</f>
        <v>#VALUE!</v>
      </c>
      <c r="GS123" t="e">
        <f>'All regions'!H3083+"n/&gt;!&amp;}:"</f>
        <v>#VALUE!</v>
      </c>
      <c r="GT123" t="e">
        <f>'All regions'!I3083+"n/&gt;!&amp;};"</f>
        <v>#VALUE!</v>
      </c>
      <c r="GU123" t="e">
        <f>'All regions'!J3083+"n/&gt;!&amp;}&lt;"</f>
        <v>#VALUE!</v>
      </c>
      <c r="GV123" t="e">
        <f>'All regions'!A3084+"n/&gt;!&amp;}="</f>
        <v>#VALUE!</v>
      </c>
      <c r="GW123" t="e">
        <f>'All regions'!B3084+"n/&gt;!&amp;}&gt;"</f>
        <v>#VALUE!</v>
      </c>
      <c r="GX123" t="e">
        <f>'All regions'!C3084+"n/&gt;!&amp;}?"</f>
        <v>#VALUE!</v>
      </c>
      <c r="GY123" t="e">
        <f>'All regions'!D3084+"n/&gt;!&amp;}@"</f>
        <v>#VALUE!</v>
      </c>
      <c r="GZ123" t="e">
        <f>'All regions'!E3084+"n/&gt;!&amp;}A"</f>
        <v>#VALUE!</v>
      </c>
      <c r="HA123" t="e">
        <f>'All regions'!F3084+"n/&gt;!&amp;}B"</f>
        <v>#VALUE!</v>
      </c>
      <c r="HB123" t="e">
        <f>'All regions'!G3084+"n/&gt;!&amp;}C"</f>
        <v>#VALUE!</v>
      </c>
      <c r="HC123" t="e">
        <f>'All regions'!H3084+"n/&gt;!&amp;}D"</f>
        <v>#VALUE!</v>
      </c>
      <c r="HD123" t="e">
        <f>'All regions'!I3084+"n/&gt;!&amp;}E"</f>
        <v>#VALUE!</v>
      </c>
      <c r="HE123" t="e">
        <f>'All regions'!J3084+"n/&gt;!&amp;}F"</f>
        <v>#VALUE!</v>
      </c>
      <c r="HF123" t="e">
        <f>'All regions'!A3085+"n/&gt;!&amp;}G"</f>
        <v>#VALUE!</v>
      </c>
      <c r="HG123" t="e">
        <f>'All regions'!B3085+"n/&gt;!&amp;}H"</f>
        <v>#VALUE!</v>
      </c>
      <c r="HH123" t="e">
        <f>'All regions'!C3085+"n/&gt;!&amp;}I"</f>
        <v>#VALUE!</v>
      </c>
      <c r="HI123" t="e">
        <f>'All regions'!D3085+"n/&gt;!&amp;}J"</f>
        <v>#VALUE!</v>
      </c>
      <c r="HJ123" t="e">
        <f>'All regions'!E3085+"n/&gt;!&amp;}K"</f>
        <v>#VALUE!</v>
      </c>
      <c r="HK123" t="e">
        <f>'All regions'!F3085+"n/&gt;!&amp;}L"</f>
        <v>#VALUE!</v>
      </c>
      <c r="HL123" t="e">
        <f>'All regions'!G3085+"n/&gt;!&amp;}M"</f>
        <v>#VALUE!</v>
      </c>
      <c r="HM123" t="e">
        <f>'All regions'!H3085+"n/&gt;!&amp;}N"</f>
        <v>#VALUE!</v>
      </c>
      <c r="HN123" t="e">
        <f>'All regions'!I3085+"n/&gt;!&amp;}O"</f>
        <v>#VALUE!</v>
      </c>
      <c r="HO123" t="e">
        <f>'All regions'!J3085+"n/&gt;!&amp;}P"</f>
        <v>#VALUE!</v>
      </c>
      <c r="HP123" t="e">
        <f>'All regions'!A3086+"n/&gt;!&amp;}Q"</f>
        <v>#VALUE!</v>
      </c>
      <c r="HQ123" t="e">
        <f>'All regions'!B3086+"n/&gt;!&amp;}R"</f>
        <v>#VALUE!</v>
      </c>
      <c r="HR123" t="e">
        <f>'All regions'!C3086+"n/&gt;!&amp;}S"</f>
        <v>#VALUE!</v>
      </c>
      <c r="HS123" t="e">
        <f>'All regions'!D3086+"n/&gt;!&amp;}T"</f>
        <v>#VALUE!</v>
      </c>
      <c r="HT123" t="e">
        <f>'All regions'!E3086+"n/&gt;!&amp;}U"</f>
        <v>#VALUE!</v>
      </c>
      <c r="HU123" t="e">
        <f>'All regions'!F3086+"n/&gt;!&amp;}V"</f>
        <v>#VALUE!</v>
      </c>
      <c r="HV123" t="e">
        <f>'All regions'!G3086+"n/&gt;!&amp;}W"</f>
        <v>#VALUE!</v>
      </c>
      <c r="HW123" t="e">
        <f>'All regions'!H3086+"n/&gt;!&amp;}X"</f>
        <v>#VALUE!</v>
      </c>
      <c r="HX123" t="e">
        <f>'All regions'!I3086+"n/&gt;!&amp;}Y"</f>
        <v>#VALUE!</v>
      </c>
      <c r="HY123" t="e">
        <f>'All regions'!J3086+"n/&gt;!&amp;}Z"</f>
        <v>#VALUE!</v>
      </c>
      <c r="HZ123" t="e">
        <f>'All regions'!A3087+"n/&gt;!&amp;}["</f>
        <v>#VALUE!</v>
      </c>
      <c r="IA123" t="e">
        <f>'All regions'!B3087+"n/&gt;!&amp;}\"</f>
        <v>#VALUE!</v>
      </c>
      <c r="IB123" t="e">
        <f>'All regions'!C3087+"n/&gt;!&amp;}]"</f>
        <v>#VALUE!</v>
      </c>
      <c r="IC123" t="e">
        <f>'All regions'!D3087+"n/&gt;!&amp;}^"</f>
        <v>#VALUE!</v>
      </c>
      <c r="ID123" t="e">
        <f>'All regions'!E3087+"n/&gt;!&amp;}_"</f>
        <v>#VALUE!</v>
      </c>
      <c r="IE123" t="e">
        <f>'All regions'!F3087+"n/&gt;!&amp;}`"</f>
        <v>#VALUE!</v>
      </c>
      <c r="IF123" t="e">
        <f>'All regions'!G3087+"n/&gt;!&amp;}a"</f>
        <v>#VALUE!</v>
      </c>
      <c r="IG123" t="e">
        <f>'All regions'!H3087+"n/&gt;!&amp;}b"</f>
        <v>#VALUE!</v>
      </c>
      <c r="IH123" t="e">
        <f>'All regions'!I3087+"n/&gt;!&amp;}c"</f>
        <v>#VALUE!</v>
      </c>
      <c r="II123" t="e">
        <f>'All regions'!J3087+"n/&gt;!&amp;}d"</f>
        <v>#VALUE!</v>
      </c>
      <c r="IJ123" t="e">
        <f>'All regions'!A3088+"n/&gt;!&amp;}e"</f>
        <v>#VALUE!</v>
      </c>
      <c r="IK123" t="e">
        <f>'All regions'!B3088+"n/&gt;!&amp;}f"</f>
        <v>#VALUE!</v>
      </c>
      <c r="IL123" t="e">
        <f>'All regions'!C3088+"n/&gt;!&amp;}g"</f>
        <v>#VALUE!</v>
      </c>
      <c r="IM123" t="e">
        <f>'All regions'!D3088+"n/&gt;!&amp;}h"</f>
        <v>#VALUE!</v>
      </c>
      <c r="IN123" t="e">
        <f>'All regions'!E3088+"n/&gt;!&amp;}i"</f>
        <v>#VALUE!</v>
      </c>
      <c r="IO123" t="e">
        <f>'All regions'!F3088+"n/&gt;!&amp;}j"</f>
        <v>#VALUE!</v>
      </c>
      <c r="IP123" t="e">
        <f>'All regions'!G3088+"n/&gt;!&amp;}k"</f>
        <v>#VALUE!</v>
      </c>
      <c r="IQ123" t="e">
        <f>'All regions'!H3088+"n/&gt;!&amp;}l"</f>
        <v>#VALUE!</v>
      </c>
      <c r="IR123" t="e">
        <f>'All regions'!I3088+"n/&gt;!&amp;}m"</f>
        <v>#VALUE!</v>
      </c>
      <c r="IS123" t="e">
        <f>'All regions'!J3088+"n/&gt;!&amp;}n"</f>
        <v>#VALUE!</v>
      </c>
      <c r="IT123" t="e">
        <f>'All regions'!A3089+"n/&gt;!&amp;}o"</f>
        <v>#VALUE!</v>
      </c>
      <c r="IU123" t="e">
        <f>'All regions'!B3089+"n/&gt;!&amp;}p"</f>
        <v>#VALUE!</v>
      </c>
      <c r="IV123" t="e">
        <f>'All regions'!C3089+"n/&gt;!&amp;}q"</f>
        <v>#VALUE!</v>
      </c>
    </row>
    <row r="124" spans="6:256" x14ac:dyDescent="0.35">
      <c r="F124" t="e">
        <f>'All regions'!D3089+"n/&gt;!&amp;}r"</f>
        <v>#VALUE!</v>
      </c>
      <c r="G124" t="e">
        <f>'All regions'!E3089+"n/&gt;!&amp;}s"</f>
        <v>#VALUE!</v>
      </c>
      <c r="H124" t="e">
        <f>'All regions'!F3089+"n/&gt;!&amp;}t"</f>
        <v>#VALUE!</v>
      </c>
      <c r="I124" t="e">
        <f>'All regions'!G3089+"n/&gt;!&amp;}u"</f>
        <v>#VALUE!</v>
      </c>
      <c r="J124" t="e">
        <f>'All regions'!H3089+"n/&gt;!&amp;}v"</f>
        <v>#VALUE!</v>
      </c>
      <c r="K124" t="e">
        <f>'All regions'!I3089+"n/&gt;!&amp;}w"</f>
        <v>#VALUE!</v>
      </c>
      <c r="L124" t="e">
        <f>'All regions'!J3089+"n/&gt;!&amp;}x"</f>
        <v>#VALUE!</v>
      </c>
      <c r="M124" t="e">
        <f>'All regions'!A3090+"n/&gt;!&amp;}y"</f>
        <v>#VALUE!</v>
      </c>
      <c r="N124" t="e">
        <f>'All regions'!B3090+"n/&gt;!&amp;}z"</f>
        <v>#VALUE!</v>
      </c>
      <c r="O124" t="e">
        <f>'All regions'!C3090+"n/&gt;!&amp;}{"</f>
        <v>#VALUE!</v>
      </c>
      <c r="P124" t="e">
        <f>'All regions'!D3090+"n/&gt;!&amp;}|"</f>
        <v>#VALUE!</v>
      </c>
      <c r="Q124" t="e">
        <f>'All regions'!E3090+"n/&gt;!&amp;}}"</f>
        <v>#VALUE!</v>
      </c>
      <c r="R124" t="e">
        <f>'All regions'!F3090+"n/&gt;!&amp;}~"</f>
        <v>#VALUE!</v>
      </c>
      <c r="S124" t="e">
        <f>'All regions'!G3090+"n/&gt;!&amp;~#"</f>
        <v>#VALUE!</v>
      </c>
      <c r="T124" t="e">
        <f>'All regions'!H3090+"n/&gt;!&amp;~$"</f>
        <v>#VALUE!</v>
      </c>
      <c r="U124" t="e">
        <f>'All regions'!I3090+"n/&gt;!&amp;~%"</f>
        <v>#VALUE!</v>
      </c>
      <c r="V124" t="e">
        <f>'All regions'!J3090+"n/&gt;!&amp;~&amp;"</f>
        <v>#VALUE!</v>
      </c>
      <c r="W124" t="e">
        <f>'All regions'!A3091+"n/&gt;!&amp;~'"</f>
        <v>#VALUE!</v>
      </c>
      <c r="X124" t="e">
        <f>'All regions'!B3091+"n/&gt;!&amp;~("</f>
        <v>#VALUE!</v>
      </c>
      <c r="Y124" t="e">
        <f>'All regions'!C3091+"n/&gt;!&amp;~)"</f>
        <v>#VALUE!</v>
      </c>
      <c r="Z124" t="e">
        <f>'All regions'!D3091+"n/&gt;!&amp;~."</f>
        <v>#VALUE!</v>
      </c>
      <c r="AA124" t="e">
        <f>'All regions'!E3091+"n/&gt;!&amp;~/"</f>
        <v>#VALUE!</v>
      </c>
      <c r="AB124" t="e">
        <f>'All regions'!F3091+"n/&gt;!&amp;~0"</f>
        <v>#VALUE!</v>
      </c>
      <c r="AC124" t="e">
        <f>'All regions'!G3091+"n/&gt;!&amp;~1"</f>
        <v>#VALUE!</v>
      </c>
      <c r="AD124" t="e">
        <f>'All regions'!H3091+"n/&gt;!&amp;~2"</f>
        <v>#VALUE!</v>
      </c>
      <c r="AE124" t="e">
        <f>'All regions'!I3091+"n/&gt;!&amp;~3"</f>
        <v>#VALUE!</v>
      </c>
      <c r="AF124" t="e">
        <f>'All regions'!J3091+"n/&gt;!&amp;~4"</f>
        <v>#VALUE!</v>
      </c>
      <c r="AG124" t="e">
        <f>'All regions'!A3092+"n/&gt;!&amp;~5"</f>
        <v>#VALUE!</v>
      </c>
      <c r="AH124" t="e">
        <f>'All regions'!B3092+"n/&gt;!&amp;~6"</f>
        <v>#VALUE!</v>
      </c>
      <c r="AI124" t="e">
        <f>'All regions'!C3092+"n/&gt;!&amp;~7"</f>
        <v>#VALUE!</v>
      </c>
      <c r="AJ124" t="e">
        <f>'All regions'!D3092+"n/&gt;!&amp;~8"</f>
        <v>#VALUE!</v>
      </c>
      <c r="AK124" t="e">
        <f>'All regions'!E3092+"n/&gt;!&amp;~9"</f>
        <v>#VALUE!</v>
      </c>
      <c r="AL124" t="e">
        <f>'All regions'!F3092+"n/&gt;!&amp;~:"</f>
        <v>#VALUE!</v>
      </c>
      <c r="AM124" t="e">
        <f>'All regions'!G3092+"n/&gt;!&amp;~;"</f>
        <v>#VALUE!</v>
      </c>
      <c r="AN124" t="e">
        <f>'All regions'!H3092+"n/&gt;!&amp;~&lt;"</f>
        <v>#VALUE!</v>
      </c>
      <c r="AO124" t="e">
        <f>'All regions'!I3092+"n/&gt;!&amp;~="</f>
        <v>#VALUE!</v>
      </c>
      <c r="AP124" t="e">
        <f>'All regions'!J3092+"n/&gt;!&amp;~&gt;"</f>
        <v>#VALUE!</v>
      </c>
      <c r="AQ124" t="e">
        <f>'All regions'!A3093+"n/&gt;!&amp;~?"</f>
        <v>#VALUE!</v>
      </c>
      <c r="AR124" t="e">
        <f>'All regions'!B3093+"n/&gt;!&amp;~@"</f>
        <v>#VALUE!</v>
      </c>
      <c r="AS124" t="e">
        <f>'All regions'!C3093+"n/&gt;!&amp;~A"</f>
        <v>#VALUE!</v>
      </c>
      <c r="AT124" t="e">
        <f>'All regions'!D3093+"n/&gt;!&amp;~B"</f>
        <v>#VALUE!</v>
      </c>
      <c r="AU124" t="e">
        <f>'All regions'!E3093+"n/&gt;!&amp;~C"</f>
        <v>#VALUE!</v>
      </c>
      <c r="AV124" t="e">
        <f>'All regions'!F3093+"n/&gt;!&amp;~D"</f>
        <v>#VALUE!</v>
      </c>
      <c r="AW124" t="e">
        <f>'All regions'!G3093+"n/&gt;!&amp;~E"</f>
        <v>#VALUE!</v>
      </c>
      <c r="AX124" t="e">
        <f>'All regions'!H3093+"n/&gt;!&amp;~F"</f>
        <v>#VALUE!</v>
      </c>
      <c r="AY124" t="e">
        <f>'All regions'!I3093+"n/&gt;!&amp;~G"</f>
        <v>#VALUE!</v>
      </c>
      <c r="AZ124" t="e">
        <f>'All regions'!J3093+"n/&gt;!&amp;~H"</f>
        <v>#VALUE!</v>
      </c>
      <c r="BA124" t="e">
        <f>'All regions'!A3094+"n/&gt;!&amp;~I"</f>
        <v>#VALUE!</v>
      </c>
      <c r="BB124" t="e">
        <f>'All regions'!B3094+"n/&gt;!&amp;~J"</f>
        <v>#VALUE!</v>
      </c>
      <c r="BC124" t="e">
        <f>'All regions'!C3094+"n/&gt;!&amp;~K"</f>
        <v>#VALUE!</v>
      </c>
      <c r="BD124" t="e">
        <f>'All regions'!D3094+"n/&gt;!&amp;~L"</f>
        <v>#VALUE!</v>
      </c>
      <c r="BE124" t="e">
        <f>'All regions'!E3094+"n/&gt;!&amp;~M"</f>
        <v>#VALUE!</v>
      </c>
      <c r="BF124" t="e">
        <f>'All regions'!F3094+"n/&gt;!&amp;~N"</f>
        <v>#VALUE!</v>
      </c>
      <c r="BG124" t="e">
        <f>'All regions'!G3094+"n/&gt;!&amp;~O"</f>
        <v>#VALUE!</v>
      </c>
      <c r="BH124" t="e">
        <f>'All regions'!H3094+"n/&gt;!&amp;~P"</f>
        <v>#VALUE!</v>
      </c>
      <c r="BI124" t="e">
        <f>'All regions'!I3094+"n/&gt;!&amp;~Q"</f>
        <v>#VALUE!</v>
      </c>
      <c r="BJ124" t="e">
        <f>'All regions'!J3094+"n/&gt;!&amp;~R"</f>
        <v>#VALUE!</v>
      </c>
      <c r="BK124" t="e">
        <f>'All regions'!A3095+"n/&gt;!&amp;~S"</f>
        <v>#VALUE!</v>
      </c>
      <c r="BL124" t="e">
        <f>'All regions'!B3095+"n/&gt;!&amp;~T"</f>
        <v>#VALUE!</v>
      </c>
      <c r="BM124" t="e">
        <f>'All regions'!C3095+"n/&gt;!&amp;~U"</f>
        <v>#VALUE!</v>
      </c>
      <c r="BN124" t="e">
        <f>'All regions'!D3095+"n/&gt;!&amp;~V"</f>
        <v>#VALUE!</v>
      </c>
      <c r="BO124" t="e">
        <f>'All regions'!E3095+"n/&gt;!&amp;~W"</f>
        <v>#VALUE!</v>
      </c>
      <c r="BP124" t="e">
        <f>'All regions'!F3095+"n/&gt;!&amp;~X"</f>
        <v>#VALUE!</v>
      </c>
      <c r="BQ124" t="e">
        <f>'All regions'!G3095+"n/&gt;!&amp;~Y"</f>
        <v>#VALUE!</v>
      </c>
      <c r="BR124" t="e">
        <f>'All regions'!H3095+"n/&gt;!&amp;~Z"</f>
        <v>#VALUE!</v>
      </c>
      <c r="BS124" t="e">
        <f>'All regions'!I3095+"n/&gt;!&amp;~["</f>
        <v>#VALUE!</v>
      </c>
      <c r="BT124" t="e">
        <f>'All regions'!J3095+"n/&gt;!&amp;~\"</f>
        <v>#VALUE!</v>
      </c>
      <c r="BU124" t="e">
        <f>'All regions'!A3096+"n/&gt;!&amp;~]"</f>
        <v>#VALUE!</v>
      </c>
      <c r="BV124" t="e">
        <f>'All regions'!B3096+"n/&gt;!&amp;~^"</f>
        <v>#VALUE!</v>
      </c>
      <c r="BW124" t="e">
        <f>'All regions'!C3096+"n/&gt;!&amp;~_"</f>
        <v>#VALUE!</v>
      </c>
      <c r="BX124" t="e">
        <f>'All regions'!D3096+"n/&gt;!&amp;~`"</f>
        <v>#VALUE!</v>
      </c>
      <c r="BY124" t="e">
        <f>'All regions'!E3096+"n/&gt;!&amp;~a"</f>
        <v>#VALUE!</v>
      </c>
      <c r="BZ124" t="e">
        <f>'All regions'!F3096+"n/&gt;!&amp;~b"</f>
        <v>#VALUE!</v>
      </c>
      <c r="CA124" t="e">
        <f>'All regions'!G3096+"n/&gt;!&amp;~c"</f>
        <v>#VALUE!</v>
      </c>
      <c r="CB124" t="e">
        <f>'All regions'!H3096+"n/&gt;!&amp;~d"</f>
        <v>#VALUE!</v>
      </c>
      <c r="CC124" t="e">
        <f>'All regions'!I3096+"n/&gt;!&amp;~e"</f>
        <v>#VALUE!</v>
      </c>
      <c r="CD124" t="e">
        <f>'All regions'!J3096+"n/&gt;!&amp;~f"</f>
        <v>#VALUE!</v>
      </c>
      <c r="CE124" t="e">
        <f>'All regions'!A3097+"n/&gt;!&amp;~g"</f>
        <v>#VALUE!</v>
      </c>
      <c r="CF124" t="e">
        <f>'All regions'!B3097+"n/&gt;!&amp;~h"</f>
        <v>#VALUE!</v>
      </c>
      <c r="CG124" t="e">
        <f>'All regions'!C3097+"n/&gt;!&amp;~i"</f>
        <v>#VALUE!</v>
      </c>
      <c r="CH124" t="e">
        <f>'All regions'!D3097+"n/&gt;!&amp;~j"</f>
        <v>#VALUE!</v>
      </c>
      <c r="CI124" t="e">
        <f>'All regions'!E3097+"n/&gt;!&amp;~k"</f>
        <v>#VALUE!</v>
      </c>
      <c r="CJ124" t="e">
        <f>'All regions'!F3097+"n/&gt;!&amp;~l"</f>
        <v>#VALUE!</v>
      </c>
      <c r="CK124" t="e">
        <f>'All regions'!G3097+"n/&gt;!&amp;~m"</f>
        <v>#VALUE!</v>
      </c>
      <c r="CL124" t="e">
        <f>'All regions'!H3097+"n/&gt;!&amp;~n"</f>
        <v>#VALUE!</v>
      </c>
      <c r="CM124" t="e">
        <f>'All regions'!I3097+"n/&gt;!&amp;~o"</f>
        <v>#VALUE!</v>
      </c>
      <c r="CN124" t="e">
        <f>'All regions'!J3097+"n/&gt;!&amp;~p"</f>
        <v>#VALUE!</v>
      </c>
      <c r="CO124" t="e">
        <f>'All regions'!A3098+"n/&gt;!&amp;~q"</f>
        <v>#VALUE!</v>
      </c>
      <c r="CP124" t="e">
        <f>'All regions'!B3098+"n/&gt;!&amp;~r"</f>
        <v>#VALUE!</v>
      </c>
      <c r="CQ124" t="e">
        <f>'All regions'!C3098+"n/&gt;!&amp;~s"</f>
        <v>#VALUE!</v>
      </c>
      <c r="CR124" t="e">
        <f>'All regions'!D3098+"n/&gt;!&amp;~t"</f>
        <v>#VALUE!</v>
      </c>
      <c r="CS124" t="e">
        <f>'All regions'!E3098+"n/&gt;!&amp;~u"</f>
        <v>#VALUE!</v>
      </c>
      <c r="CT124" t="e">
        <f>'All regions'!F3098+"n/&gt;!&amp;~v"</f>
        <v>#VALUE!</v>
      </c>
      <c r="CU124" t="e">
        <f>'All regions'!G3098+"n/&gt;!&amp;~w"</f>
        <v>#VALUE!</v>
      </c>
      <c r="CV124" t="e">
        <f>'All regions'!H3098+"n/&gt;!&amp;~x"</f>
        <v>#VALUE!</v>
      </c>
      <c r="CW124" t="e">
        <f>'All regions'!I3098+"n/&gt;!&amp;~y"</f>
        <v>#VALUE!</v>
      </c>
      <c r="CX124" t="e">
        <f>'All regions'!J3098+"n/&gt;!&amp;~z"</f>
        <v>#VALUE!</v>
      </c>
      <c r="CY124" t="e">
        <f>'All regions'!A3099+"n/&gt;!&amp;~{"</f>
        <v>#VALUE!</v>
      </c>
      <c r="CZ124" t="e">
        <f>'All regions'!B3099+"n/&gt;!&amp;~|"</f>
        <v>#VALUE!</v>
      </c>
      <c r="DA124" t="e">
        <f>'All regions'!C3099+"n/&gt;!&amp;~}"</f>
        <v>#VALUE!</v>
      </c>
      <c r="DB124" t="e">
        <f>'All regions'!D3099+"n/&gt;!&amp;~~"</f>
        <v>#VALUE!</v>
      </c>
      <c r="DC124" t="e">
        <f>'All regions'!E3099+"n/&gt;!'##"</f>
        <v>#VALUE!</v>
      </c>
      <c r="DD124" t="e">
        <f>'All regions'!F3099+"n/&gt;!'#$"</f>
        <v>#VALUE!</v>
      </c>
      <c r="DE124" t="e">
        <f>'All regions'!G3099+"n/&gt;!'#%"</f>
        <v>#VALUE!</v>
      </c>
      <c r="DF124" t="e">
        <f>'All regions'!H3099+"n/&gt;!'#&amp;"</f>
        <v>#VALUE!</v>
      </c>
      <c r="DG124" t="e">
        <f>'All regions'!I3099+"n/&gt;!'#'"</f>
        <v>#VALUE!</v>
      </c>
      <c r="DH124" t="e">
        <f>'All regions'!J3099+"n/&gt;!'#("</f>
        <v>#VALUE!</v>
      </c>
      <c r="DI124" t="e">
        <f>'All regions'!A3100+"n/&gt;!'#)"</f>
        <v>#VALUE!</v>
      </c>
      <c r="DJ124" t="e">
        <f>'All regions'!B3100+"n/&gt;!'#."</f>
        <v>#VALUE!</v>
      </c>
      <c r="DK124" t="e">
        <f>'All regions'!C3100+"n/&gt;!'#/"</f>
        <v>#VALUE!</v>
      </c>
      <c r="DL124" t="e">
        <f>'All regions'!D3100+"n/&gt;!'#0"</f>
        <v>#VALUE!</v>
      </c>
      <c r="DM124" t="e">
        <f>'All regions'!E3100+"n/&gt;!'#1"</f>
        <v>#VALUE!</v>
      </c>
      <c r="DN124" t="e">
        <f>'All regions'!F3100+"n/&gt;!'#2"</f>
        <v>#VALUE!</v>
      </c>
      <c r="DO124" t="e">
        <f>'All regions'!G3100+"n/&gt;!'#3"</f>
        <v>#VALUE!</v>
      </c>
      <c r="DP124" t="e">
        <f>'All regions'!H3100+"n/&gt;!'#4"</f>
        <v>#VALUE!</v>
      </c>
      <c r="DQ124" t="e">
        <f>'All regions'!I3100+"n/&gt;!'#5"</f>
        <v>#VALUE!</v>
      </c>
      <c r="DR124" t="e">
        <f>'All regions'!J3100+"n/&gt;!'#6"</f>
        <v>#VALUE!</v>
      </c>
      <c r="DS124" t="e">
        <f>'All regions'!A3101+"n/&gt;!'#7"</f>
        <v>#VALUE!</v>
      </c>
      <c r="DT124" t="e">
        <f>'All regions'!B3101+"n/&gt;!'#8"</f>
        <v>#VALUE!</v>
      </c>
      <c r="DU124" t="e">
        <f>'All regions'!C3101+"n/&gt;!'#9"</f>
        <v>#VALUE!</v>
      </c>
      <c r="DV124" t="e">
        <f>'All regions'!D3101+"n/&gt;!'#:"</f>
        <v>#VALUE!</v>
      </c>
      <c r="DW124" t="e">
        <f>'All regions'!E3101+"n/&gt;!'#;"</f>
        <v>#VALUE!</v>
      </c>
      <c r="DX124" t="e">
        <f>'All regions'!F3101+"n/&gt;!'#&lt;"</f>
        <v>#VALUE!</v>
      </c>
      <c r="DY124" t="e">
        <f>'All regions'!G3101+"n/&gt;!'#="</f>
        <v>#VALUE!</v>
      </c>
      <c r="DZ124" t="e">
        <f>'All regions'!H3101+"n/&gt;!'#&gt;"</f>
        <v>#VALUE!</v>
      </c>
      <c r="EA124" t="e">
        <f>'All regions'!I3101+"n/&gt;!'#?"</f>
        <v>#VALUE!</v>
      </c>
      <c r="EB124" t="e">
        <f>'All regions'!J3101+"n/&gt;!'#@"</f>
        <v>#VALUE!</v>
      </c>
      <c r="EC124" t="e">
        <f>'All regions'!A3102+"n/&gt;!'#A"</f>
        <v>#VALUE!</v>
      </c>
      <c r="ED124" t="e">
        <f>'All regions'!B3102+"n/&gt;!'#B"</f>
        <v>#VALUE!</v>
      </c>
      <c r="EE124" t="e">
        <f>'All regions'!C3102+"n/&gt;!'#C"</f>
        <v>#VALUE!</v>
      </c>
      <c r="EF124" t="e">
        <f>'All regions'!D3102+"n/&gt;!'#D"</f>
        <v>#VALUE!</v>
      </c>
      <c r="EG124" t="e">
        <f>'All regions'!E3102+"n/&gt;!'#E"</f>
        <v>#VALUE!</v>
      </c>
      <c r="EH124" t="e">
        <f>'All regions'!F3102+"n/&gt;!'#F"</f>
        <v>#VALUE!</v>
      </c>
      <c r="EI124" t="e">
        <f>'All regions'!G3102+"n/&gt;!'#G"</f>
        <v>#VALUE!</v>
      </c>
      <c r="EJ124" t="e">
        <f>'All regions'!H3102+"n/&gt;!'#H"</f>
        <v>#VALUE!</v>
      </c>
      <c r="EK124" t="e">
        <f>'All regions'!I3102+"n/&gt;!'#I"</f>
        <v>#VALUE!</v>
      </c>
      <c r="EL124" t="e">
        <f>'All regions'!J3102+"n/&gt;!'#J"</f>
        <v>#VALUE!</v>
      </c>
      <c r="EM124" t="e">
        <f>'All regions'!A3103+"n/&gt;!'#K"</f>
        <v>#VALUE!</v>
      </c>
      <c r="EN124" t="e">
        <f>'All regions'!B3103+"n/&gt;!'#L"</f>
        <v>#VALUE!</v>
      </c>
      <c r="EO124" t="e">
        <f>'All regions'!C3103+"n/&gt;!'#M"</f>
        <v>#VALUE!</v>
      </c>
      <c r="EP124" t="e">
        <f>'All regions'!D3103+"n/&gt;!'#N"</f>
        <v>#VALUE!</v>
      </c>
      <c r="EQ124" t="e">
        <f>'All regions'!E3103+"n/&gt;!'#O"</f>
        <v>#VALUE!</v>
      </c>
      <c r="ER124" t="e">
        <f>'All regions'!F3103+"n/&gt;!'#P"</f>
        <v>#VALUE!</v>
      </c>
      <c r="ES124" t="e">
        <f>'All regions'!G3103+"n/&gt;!'#Q"</f>
        <v>#VALUE!</v>
      </c>
      <c r="ET124" t="e">
        <f>'All regions'!H3103+"n/&gt;!'#R"</f>
        <v>#VALUE!</v>
      </c>
      <c r="EU124" t="e">
        <f>'All regions'!I3103+"n/&gt;!'#S"</f>
        <v>#VALUE!</v>
      </c>
      <c r="EV124" t="e">
        <f>'All regions'!J3103+"n/&gt;!'#T"</f>
        <v>#VALUE!</v>
      </c>
      <c r="EW124" t="e">
        <f>'All regions'!A3104+"n/&gt;!'#U"</f>
        <v>#VALUE!</v>
      </c>
      <c r="EX124" t="e">
        <f>'All regions'!B3104+"n/&gt;!'#V"</f>
        <v>#VALUE!</v>
      </c>
      <c r="EY124" t="e">
        <f>'All regions'!C3104+"n/&gt;!'#W"</f>
        <v>#VALUE!</v>
      </c>
      <c r="EZ124" t="e">
        <f>'All regions'!D3104+"n/&gt;!'#X"</f>
        <v>#VALUE!</v>
      </c>
      <c r="FA124" t="e">
        <f>'All regions'!E3104+"n/&gt;!'#Y"</f>
        <v>#VALUE!</v>
      </c>
      <c r="FB124" t="e">
        <f>'All regions'!F3104+"n/&gt;!'#Z"</f>
        <v>#VALUE!</v>
      </c>
      <c r="FC124" t="e">
        <f>'All regions'!G3104+"n/&gt;!'#["</f>
        <v>#VALUE!</v>
      </c>
      <c r="FD124" t="e">
        <f>'All regions'!H3104+"n/&gt;!'#\"</f>
        <v>#VALUE!</v>
      </c>
      <c r="FE124" t="e">
        <f>'All regions'!I3104+"n/&gt;!'#]"</f>
        <v>#VALUE!</v>
      </c>
      <c r="FF124" t="e">
        <f>'All regions'!J3104+"n/&gt;!'#^"</f>
        <v>#VALUE!</v>
      </c>
      <c r="FG124" t="e">
        <f>'All regions'!A3105+"n/&gt;!'#_"</f>
        <v>#VALUE!</v>
      </c>
      <c r="FH124" t="e">
        <f>'All regions'!B3105+"n/&gt;!'#`"</f>
        <v>#VALUE!</v>
      </c>
      <c r="FI124" t="e">
        <f>'All regions'!C3105+"n/&gt;!'#a"</f>
        <v>#VALUE!</v>
      </c>
      <c r="FJ124" t="e">
        <f>'All regions'!D3105+"n/&gt;!'#b"</f>
        <v>#VALUE!</v>
      </c>
      <c r="FK124" t="e">
        <f>'All regions'!E3105+"n/&gt;!'#c"</f>
        <v>#VALUE!</v>
      </c>
      <c r="FL124" t="e">
        <f>'All regions'!F3105+"n/&gt;!'#d"</f>
        <v>#VALUE!</v>
      </c>
      <c r="FM124" t="e">
        <f>'All regions'!G3105+"n/&gt;!'#e"</f>
        <v>#VALUE!</v>
      </c>
      <c r="FN124" t="e">
        <f>'All regions'!H3105+"n/&gt;!'#f"</f>
        <v>#VALUE!</v>
      </c>
      <c r="FO124" t="e">
        <f>'All regions'!I3105+"n/&gt;!'#g"</f>
        <v>#VALUE!</v>
      </c>
      <c r="FP124" t="e">
        <f>'All regions'!J3105+"n/&gt;!'#h"</f>
        <v>#VALUE!</v>
      </c>
      <c r="FQ124" t="e">
        <f>'All regions'!A3106+"n/&gt;!'#i"</f>
        <v>#VALUE!</v>
      </c>
      <c r="FR124" t="e">
        <f>'All regions'!B3106+"n/&gt;!'#j"</f>
        <v>#VALUE!</v>
      </c>
      <c r="FS124" t="e">
        <f>'All regions'!C3106+"n/&gt;!'#k"</f>
        <v>#VALUE!</v>
      </c>
      <c r="FT124" t="e">
        <f>'All regions'!D3106+"n/&gt;!'#l"</f>
        <v>#VALUE!</v>
      </c>
      <c r="FU124" t="e">
        <f>'All regions'!E3106+"n/&gt;!'#m"</f>
        <v>#VALUE!</v>
      </c>
      <c r="FV124" t="e">
        <f>'All regions'!F3106+"n/&gt;!'#n"</f>
        <v>#VALUE!</v>
      </c>
      <c r="FW124" t="e">
        <f>'All regions'!G3106+"n/&gt;!'#o"</f>
        <v>#VALUE!</v>
      </c>
      <c r="FX124" t="e">
        <f>'All regions'!H3106+"n/&gt;!'#p"</f>
        <v>#VALUE!</v>
      </c>
      <c r="FY124" t="e">
        <f>'All regions'!I3106+"n/&gt;!'#q"</f>
        <v>#VALUE!</v>
      </c>
      <c r="FZ124" t="e">
        <f>'All regions'!J3106+"n/&gt;!'#r"</f>
        <v>#VALUE!</v>
      </c>
      <c r="GA124" t="e">
        <f>'All regions'!A3107+"n/&gt;!'#s"</f>
        <v>#VALUE!</v>
      </c>
      <c r="GB124" t="e">
        <f>'All regions'!B3107+"n/&gt;!'#t"</f>
        <v>#VALUE!</v>
      </c>
      <c r="GC124" t="e">
        <f>'All regions'!C3107+"n/&gt;!'#u"</f>
        <v>#VALUE!</v>
      </c>
      <c r="GD124" t="e">
        <f>'All regions'!D3107+"n/&gt;!'#v"</f>
        <v>#VALUE!</v>
      </c>
      <c r="GE124" t="e">
        <f>'All regions'!E3107+"n/&gt;!'#w"</f>
        <v>#VALUE!</v>
      </c>
      <c r="GF124" t="e">
        <f>'All regions'!F3107+"n/&gt;!'#x"</f>
        <v>#VALUE!</v>
      </c>
      <c r="GG124" t="e">
        <f>'All regions'!G3107+"n/&gt;!'#y"</f>
        <v>#VALUE!</v>
      </c>
      <c r="GH124" t="e">
        <f>'All regions'!H3107+"n/&gt;!'#z"</f>
        <v>#VALUE!</v>
      </c>
      <c r="GI124" t="e">
        <f>'All regions'!I3107+"n/&gt;!'#{"</f>
        <v>#VALUE!</v>
      </c>
      <c r="GJ124" t="e">
        <f>'All regions'!J3107+"n/&gt;!'#|"</f>
        <v>#VALUE!</v>
      </c>
      <c r="GK124" t="e">
        <f>'All regions'!A3108+"n/&gt;!'#}"</f>
        <v>#VALUE!</v>
      </c>
      <c r="GL124" t="e">
        <f>'All regions'!B3108+"n/&gt;!'#~"</f>
        <v>#VALUE!</v>
      </c>
      <c r="GM124" t="e">
        <f>'All regions'!C3108+"n/&gt;!'$#"</f>
        <v>#VALUE!</v>
      </c>
      <c r="GN124" t="e">
        <f>'All regions'!D3108+"n/&gt;!'$$"</f>
        <v>#VALUE!</v>
      </c>
      <c r="GO124" t="e">
        <f>'All regions'!E3108+"n/&gt;!'$%"</f>
        <v>#VALUE!</v>
      </c>
      <c r="GP124" t="e">
        <f>'All regions'!F3108+"n/&gt;!'$&amp;"</f>
        <v>#VALUE!</v>
      </c>
      <c r="GQ124" t="e">
        <f>'All regions'!G3108+"n/&gt;!'$'"</f>
        <v>#VALUE!</v>
      </c>
      <c r="GR124" t="e">
        <f>'All regions'!H3108+"n/&gt;!'$("</f>
        <v>#VALUE!</v>
      </c>
      <c r="GS124" t="e">
        <f>'All regions'!I3108+"n/&gt;!'$)"</f>
        <v>#VALUE!</v>
      </c>
      <c r="GT124" t="e">
        <f>'All regions'!J3108+"n/&gt;!'$."</f>
        <v>#VALUE!</v>
      </c>
      <c r="GU124" t="e">
        <f>'All regions'!A3109+"n/&gt;!'$/"</f>
        <v>#VALUE!</v>
      </c>
      <c r="GV124" t="e">
        <f>'All regions'!B3109+"n/&gt;!'$0"</f>
        <v>#VALUE!</v>
      </c>
      <c r="GW124" t="e">
        <f>'All regions'!C3109+"n/&gt;!'$1"</f>
        <v>#VALUE!</v>
      </c>
      <c r="GX124" t="e">
        <f>'All regions'!D3109+"n/&gt;!'$2"</f>
        <v>#VALUE!</v>
      </c>
      <c r="GY124" t="e">
        <f>'All regions'!E3109+"n/&gt;!'$3"</f>
        <v>#VALUE!</v>
      </c>
      <c r="GZ124" t="e">
        <f>'All regions'!F3109+"n/&gt;!'$4"</f>
        <v>#VALUE!</v>
      </c>
      <c r="HA124" t="e">
        <f>'All regions'!G3109+"n/&gt;!'$5"</f>
        <v>#VALUE!</v>
      </c>
      <c r="HB124" t="e">
        <f>'All regions'!H3109+"n/&gt;!'$6"</f>
        <v>#VALUE!</v>
      </c>
      <c r="HC124" t="e">
        <f>'All regions'!I3109+"n/&gt;!'$7"</f>
        <v>#VALUE!</v>
      </c>
      <c r="HD124" t="e">
        <f>'All regions'!J3109+"n/&gt;!'$8"</f>
        <v>#VALUE!</v>
      </c>
      <c r="HE124" t="e">
        <f>'All regions'!A3110+"n/&gt;!'$9"</f>
        <v>#VALUE!</v>
      </c>
      <c r="HF124" t="e">
        <f>'All regions'!B3110+"n/&gt;!'$:"</f>
        <v>#VALUE!</v>
      </c>
      <c r="HG124" t="e">
        <f>'All regions'!C3110+"n/&gt;!'$;"</f>
        <v>#VALUE!</v>
      </c>
      <c r="HH124" t="e">
        <f>'All regions'!D3110+"n/&gt;!'$&lt;"</f>
        <v>#VALUE!</v>
      </c>
      <c r="HI124" t="e">
        <f>'All regions'!E3110+"n/&gt;!'$="</f>
        <v>#VALUE!</v>
      </c>
      <c r="HJ124" t="e">
        <f>'All regions'!F3110+"n/&gt;!'$&gt;"</f>
        <v>#VALUE!</v>
      </c>
      <c r="HK124" t="e">
        <f>'All regions'!G3110+"n/&gt;!'$?"</f>
        <v>#VALUE!</v>
      </c>
      <c r="HL124" t="e">
        <f>'All regions'!H3110+"n/&gt;!'$@"</f>
        <v>#VALUE!</v>
      </c>
      <c r="HM124" t="e">
        <f>'All regions'!I3110+"n/&gt;!'$A"</f>
        <v>#VALUE!</v>
      </c>
      <c r="HN124" t="e">
        <f>'All regions'!J3110+"n/&gt;!'$B"</f>
        <v>#VALUE!</v>
      </c>
      <c r="HO124" t="e">
        <f>'All regions'!A3111+"n/&gt;!'$C"</f>
        <v>#VALUE!</v>
      </c>
      <c r="HP124" t="e">
        <f>'All regions'!B3111+"n/&gt;!'$D"</f>
        <v>#VALUE!</v>
      </c>
      <c r="HQ124" t="e">
        <f>'All regions'!C3111+"n/&gt;!'$E"</f>
        <v>#VALUE!</v>
      </c>
      <c r="HR124" t="e">
        <f>'All regions'!D3111+"n/&gt;!'$F"</f>
        <v>#VALUE!</v>
      </c>
      <c r="HS124" t="e">
        <f>'All regions'!E3111+"n/&gt;!'$G"</f>
        <v>#VALUE!</v>
      </c>
      <c r="HT124" t="e">
        <f>'All regions'!F3111+"n/&gt;!'$H"</f>
        <v>#VALUE!</v>
      </c>
      <c r="HU124" t="e">
        <f>'All regions'!G3111+"n/&gt;!'$I"</f>
        <v>#VALUE!</v>
      </c>
      <c r="HV124" t="e">
        <f>'All regions'!H3111+"n/&gt;!'$J"</f>
        <v>#VALUE!</v>
      </c>
      <c r="HW124" t="e">
        <f>'All regions'!I3111+"n/&gt;!'$K"</f>
        <v>#VALUE!</v>
      </c>
      <c r="HX124" t="e">
        <f>'All regions'!J3111+"n/&gt;!'$L"</f>
        <v>#VALUE!</v>
      </c>
      <c r="HY124" t="e">
        <f>'All regions'!A3112+"n/&gt;!'$M"</f>
        <v>#VALUE!</v>
      </c>
      <c r="HZ124" t="e">
        <f>'All regions'!B3112+"n/&gt;!'$N"</f>
        <v>#VALUE!</v>
      </c>
      <c r="IA124" t="e">
        <f>'All regions'!C3112+"n/&gt;!'$O"</f>
        <v>#VALUE!</v>
      </c>
      <c r="IB124" t="e">
        <f>'All regions'!D3112+"n/&gt;!'$P"</f>
        <v>#VALUE!</v>
      </c>
      <c r="IC124" t="e">
        <f>'All regions'!E3112+"n/&gt;!'$Q"</f>
        <v>#VALUE!</v>
      </c>
      <c r="ID124" t="e">
        <f>'All regions'!F3112+"n/&gt;!'$R"</f>
        <v>#VALUE!</v>
      </c>
      <c r="IE124" t="e">
        <f>'All regions'!G3112+"n/&gt;!'$S"</f>
        <v>#VALUE!</v>
      </c>
      <c r="IF124" t="e">
        <f>'All regions'!H3112+"n/&gt;!'$T"</f>
        <v>#VALUE!</v>
      </c>
      <c r="IG124" t="e">
        <f>'All regions'!I3112+"n/&gt;!'$U"</f>
        <v>#VALUE!</v>
      </c>
      <c r="IH124" t="e">
        <f>'All regions'!J3112+"n/&gt;!'$V"</f>
        <v>#VALUE!</v>
      </c>
      <c r="II124" t="e">
        <f>'All regions'!A3113+"n/&gt;!'$W"</f>
        <v>#VALUE!</v>
      </c>
      <c r="IJ124" t="e">
        <f>'All regions'!B3113+"n/&gt;!'$X"</f>
        <v>#VALUE!</v>
      </c>
      <c r="IK124" t="e">
        <f>'All regions'!C3113+"n/&gt;!'$Y"</f>
        <v>#VALUE!</v>
      </c>
      <c r="IL124" t="e">
        <f>'All regions'!D3113+"n/&gt;!'$Z"</f>
        <v>#VALUE!</v>
      </c>
      <c r="IM124" t="e">
        <f>'All regions'!E3113+"n/&gt;!'$["</f>
        <v>#VALUE!</v>
      </c>
      <c r="IN124" t="e">
        <f>'All regions'!F3113+"n/&gt;!'$\"</f>
        <v>#VALUE!</v>
      </c>
      <c r="IO124" t="e">
        <f>'All regions'!G3113+"n/&gt;!'$]"</f>
        <v>#VALUE!</v>
      </c>
      <c r="IP124" t="e">
        <f>'All regions'!H3113+"n/&gt;!'$^"</f>
        <v>#VALUE!</v>
      </c>
      <c r="IQ124" t="e">
        <f>'All regions'!I3113+"n/&gt;!'$_"</f>
        <v>#VALUE!</v>
      </c>
      <c r="IR124" t="e">
        <f>'All regions'!J3113+"n/&gt;!'$`"</f>
        <v>#VALUE!</v>
      </c>
      <c r="IS124" t="e">
        <f>'All regions'!A3114+"n/&gt;!'$a"</f>
        <v>#VALUE!</v>
      </c>
      <c r="IT124" t="e">
        <f>'All regions'!B3114+"n/&gt;!'$b"</f>
        <v>#VALUE!</v>
      </c>
      <c r="IU124" t="e">
        <f>'All regions'!C3114+"n/&gt;!'$c"</f>
        <v>#VALUE!</v>
      </c>
      <c r="IV124" t="e">
        <f>'All regions'!D3114+"n/&gt;!'$d"</f>
        <v>#VALUE!</v>
      </c>
    </row>
    <row r="125" spans="6:256" x14ac:dyDescent="0.35">
      <c r="F125" t="e">
        <f>'All regions'!E3114+"n/&gt;!'$e"</f>
        <v>#VALUE!</v>
      </c>
      <c r="G125" t="e">
        <f>'All regions'!F3114+"n/&gt;!'$f"</f>
        <v>#VALUE!</v>
      </c>
      <c r="H125" t="e">
        <f>'All regions'!G3114+"n/&gt;!'$g"</f>
        <v>#VALUE!</v>
      </c>
      <c r="I125" t="e">
        <f>'All regions'!H3114+"n/&gt;!'$h"</f>
        <v>#VALUE!</v>
      </c>
      <c r="J125" t="e">
        <f>'All regions'!I3114+"n/&gt;!'$i"</f>
        <v>#VALUE!</v>
      </c>
      <c r="K125" t="e">
        <f>'All regions'!J3114+"n/&gt;!'$j"</f>
        <v>#VALUE!</v>
      </c>
      <c r="L125" t="e">
        <f>'All regions'!A3115+"n/&gt;!'$k"</f>
        <v>#VALUE!</v>
      </c>
      <c r="M125" t="e">
        <f>'All regions'!B3115+"n/&gt;!'$l"</f>
        <v>#VALUE!</v>
      </c>
      <c r="N125" t="e">
        <f>'All regions'!C3115+"n/&gt;!'$m"</f>
        <v>#VALUE!</v>
      </c>
      <c r="O125" t="e">
        <f>'All regions'!D3115+"n/&gt;!'$n"</f>
        <v>#VALUE!</v>
      </c>
      <c r="P125" t="e">
        <f>'All regions'!E3115+"n/&gt;!'$o"</f>
        <v>#VALUE!</v>
      </c>
      <c r="Q125" t="e">
        <f>'All regions'!F3115+"n/&gt;!'$p"</f>
        <v>#VALUE!</v>
      </c>
      <c r="R125" t="e">
        <f>'All regions'!G3115+"n/&gt;!'$q"</f>
        <v>#VALUE!</v>
      </c>
      <c r="S125" t="e">
        <f>'All regions'!H3115+"n/&gt;!'$r"</f>
        <v>#VALUE!</v>
      </c>
      <c r="T125" t="e">
        <f>'All regions'!I3115+"n/&gt;!'$s"</f>
        <v>#VALUE!</v>
      </c>
      <c r="U125" t="e">
        <f>'All regions'!J3115+"n/&gt;!'$t"</f>
        <v>#VALUE!</v>
      </c>
      <c r="V125" t="e">
        <f>'All regions'!A3116+"n/&gt;!'$u"</f>
        <v>#VALUE!</v>
      </c>
      <c r="W125" t="e">
        <f>'All regions'!B3116+"n/&gt;!'$v"</f>
        <v>#VALUE!</v>
      </c>
      <c r="X125" t="e">
        <f>'All regions'!C3116+"n/&gt;!'$w"</f>
        <v>#VALUE!</v>
      </c>
      <c r="Y125" t="e">
        <f>'All regions'!D3116+"n/&gt;!'$x"</f>
        <v>#VALUE!</v>
      </c>
      <c r="Z125" t="e">
        <f>'All regions'!E3116+"n/&gt;!'$y"</f>
        <v>#VALUE!</v>
      </c>
      <c r="AA125" t="e">
        <f>'All regions'!F3116+"n/&gt;!'$z"</f>
        <v>#VALUE!</v>
      </c>
      <c r="AB125" t="e">
        <f>'All regions'!G3116+"n/&gt;!'${"</f>
        <v>#VALUE!</v>
      </c>
      <c r="AC125" t="e">
        <f>'All regions'!H3116+"n/&gt;!'$|"</f>
        <v>#VALUE!</v>
      </c>
      <c r="AD125" t="e">
        <f>'All regions'!I3116+"n/&gt;!'$}"</f>
        <v>#VALUE!</v>
      </c>
      <c r="AE125" t="e">
        <f>'All regions'!J3116+"n/&gt;!'$~"</f>
        <v>#VALUE!</v>
      </c>
      <c r="AF125" t="e">
        <f>'All regions'!A3117+"n/&gt;!'%#"</f>
        <v>#VALUE!</v>
      </c>
      <c r="AG125" t="e">
        <f>'All regions'!B3117+"n/&gt;!'%$"</f>
        <v>#VALUE!</v>
      </c>
      <c r="AH125" t="e">
        <f>'All regions'!C3117+"n/&gt;!'%%"</f>
        <v>#VALUE!</v>
      </c>
      <c r="AI125" t="e">
        <f>'All regions'!D3117+"n/&gt;!'%&amp;"</f>
        <v>#VALUE!</v>
      </c>
      <c r="AJ125" t="e">
        <f>'All regions'!E3117+"n/&gt;!'%'"</f>
        <v>#VALUE!</v>
      </c>
      <c r="AK125" t="e">
        <f>'All regions'!F3117+"n/&gt;!'%("</f>
        <v>#VALUE!</v>
      </c>
      <c r="AL125" t="e">
        <f>'All regions'!G3117+"n/&gt;!'%)"</f>
        <v>#VALUE!</v>
      </c>
      <c r="AM125" t="e">
        <f>'All regions'!H3117+"n/&gt;!'%."</f>
        <v>#VALUE!</v>
      </c>
      <c r="AN125" t="e">
        <f>'All regions'!I3117+"n/&gt;!'%/"</f>
        <v>#VALUE!</v>
      </c>
      <c r="AO125" t="e">
        <f>'All regions'!J3117+"n/&gt;!'%0"</f>
        <v>#VALUE!</v>
      </c>
      <c r="AP125" t="e">
        <f>'All regions'!A3118+"n/&gt;!'%1"</f>
        <v>#VALUE!</v>
      </c>
      <c r="AQ125" t="e">
        <f>'All regions'!B3118+"n/&gt;!'%2"</f>
        <v>#VALUE!</v>
      </c>
      <c r="AR125" t="e">
        <f>'All regions'!C3118+"n/&gt;!'%3"</f>
        <v>#VALUE!</v>
      </c>
      <c r="AS125" t="e">
        <f>'All regions'!D3118+"n/&gt;!'%4"</f>
        <v>#VALUE!</v>
      </c>
      <c r="AT125" t="e">
        <f>'All regions'!E3118+"n/&gt;!'%5"</f>
        <v>#VALUE!</v>
      </c>
      <c r="AU125" t="e">
        <f>'All regions'!F3118+"n/&gt;!'%6"</f>
        <v>#VALUE!</v>
      </c>
      <c r="AV125" t="e">
        <f>'All regions'!G3118+"n/&gt;!'%7"</f>
        <v>#VALUE!</v>
      </c>
      <c r="AW125" t="e">
        <f>'All regions'!H3118+"n/&gt;!'%8"</f>
        <v>#VALUE!</v>
      </c>
      <c r="AX125" t="e">
        <f>'All regions'!I3118+"n/&gt;!'%9"</f>
        <v>#VALUE!</v>
      </c>
      <c r="AY125" t="e">
        <f>'All regions'!J3118+"n/&gt;!'%:"</f>
        <v>#VALUE!</v>
      </c>
      <c r="AZ125" t="e">
        <f>'All regions'!A3119+"n/&gt;!'%;"</f>
        <v>#VALUE!</v>
      </c>
      <c r="BA125" t="e">
        <f>'All regions'!B3119+"n/&gt;!'%&lt;"</f>
        <v>#VALUE!</v>
      </c>
      <c r="BB125" t="e">
        <f>'All regions'!C3119+"n/&gt;!'%="</f>
        <v>#VALUE!</v>
      </c>
      <c r="BC125" t="e">
        <f>'All regions'!D3119+"n/&gt;!'%&gt;"</f>
        <v>#VALUE!</v>
      </c>
      <c r="BD125" t="e">
        <f>'All regions'!E3119+"n/&gt;!'%?"</f>
        <v>#VALUE!</v>
      </c>
      <c r="BE125" t="e">
        <f>'All regions'!F3119+"n/&gt;!'%@"</f>
        <v>#VALUE!</v>
      </c>
      <c r="BF125" t="e">
        <f>'All regions'!G3119+"n/&gt;!'%A"</f>
        <v>#VALUE!</v>
      </c>
      <c r="BG125" t="e">
        <f>'All regions'!H3119+"n/&gt;!'%B"</f>
        <v>#VALUE!</v>
      </c>
      <c r="BH125" t="e">
        <f>'All regions'!I3119+"n/&gt;!'%C"</f>
        <v>#VALUE!</v>
      </c>
      <c r="BI125" t="e">
        <f>'All regions'!J3119+"n/&gt;!'%D"</f>
        <v>#VALUE!</v>
      </c>
      <c r="BJ125" t="e">
        <f>'All regions'!A3120+"n/&gt;!'%E"</f>
        <v>#VALUE!</v>
      </c>
      <c r="BK125" t="e">
        <f>'All regions'!B3120+"n/&gt;!'%F"</f>
        <v>#VALUE!</v>
      </c>
      <c r="BL125" t="e">
        <f>'All regions'!C3120+"n/&gt;!'%G"</f>
        <v>#VALUE!</v>
      </c>
      <c r="BM125" t="e">
        <f>'All regions'!D3120+"n/&gt;!'%H"</f>
        <v>#VALUE!</v>
      </c>
      <c r="BN125" t="e">
        <f>'All regions'!E3120+"n/&gt;!'%I"</f>
        <v>#VALUE!</v>
      </c>
      <c r="BO125" t="e">
        <f>'All regions'!F3120+"n/&gt;!'%J"</f>
        <v>#VALUE!</v>
      </c>
      <c r="BP125" t="e">
        <f>'All regions'!G3120+"n/&gt;!'%K"</f>
        <v>#VALUE!</v>
      </c>
      <c r="BQ125" t="e">
        <f>'All regions'!H3120+"n/&gt;!'%L"</f>
        <v>#VALUE!</v>
      </c>
      <c r="BR125" t="e">
        <f>'All regions'!I3120+"n/&gt;!'%M"</f>
        <v>#VALUE!</v>
      </c>
      <c r="BS125" t="e">
        <f>'All regions'!J3120+"n/&gt;!'%N"</f>
        <v>#VALUE!</v>
      </c>
      <c r="BT125" t="e">
        <f>'All regions'!A3121+"n/&gt;!'%O"</f>
        <v>#VALUE!</v>
      </c>
      <c r="BU125" t="e">
        <f>'All regions'!B3121+"n/&gt;!'%P"</f>
        <v>#VALUE!</v>
      </c>
      <c r="BV125" t="e">
        <f>'All regions'!C3121+"n/&gt;!'%Q"</f>
        <v>#VALUE!</v>
      </c>
      <c r="BW125" t="e">
        <f>'All regions'!D3121+"n/&gt;!'%R"</f>
        <v>#VALUE!</v>
      </c>
      <c r="BX125" t="e">
        <f>'All regions'!E3121+"n/&gt;!'%S"</f>
        <v>#VALUE!</v>
      </c>
      <c r="BY125" t="e">
        <f>'All regions'!F3121+"n/&gt;!'%T"</f>
        <v>#VALUE!</v>
      </c>
      <c r="BZ125" t="e">
        <f>'All regions'!G3121+"n/&gt;!'%U"</f>
        <v>#VALUE!</v>
      </c>
      <c r="CA125" t="e">
        <f>'All regions'!H3121+"n/&gt;!'%V"</f>
        <v>#VALUE!</v>
      </c>
      <c r="CB125" t="e">
        <f>'All regions'!I3121+"n/&gt;!'%W"</f>
        <v>#VALUE!</v>
      </c>
      <c r="CC125" t="e">
        <f>'All regions'!J3121+"n/&gt;!'%X"</f>
        <v>#VALUE!</v>
      </c>
      <c r="CD125" t="e">
        <f>'All regions'!A3122+"n/&gt;!'%Y"</f>
        <v>#VALUE!</v>
      </c>
      <c r="CE125" t="e">
        <f>'All regions'!B3122+"n/&gt;!'%Z"</f>
        <v>#VALUE!</v>
      </c>
      <c r="CF125" t="e">
        <f>'All regions'!C3122+"n/&gt;!'%["</f>
        <v>#VALUE!</v>
      </c>
      <c r="CG125" t="e">
        <f>'All regions'!D3122+"n/&gt;!'%\"</f>
        <v>#VALUE!</v>
      </c>
      <c r="CH125" t="e">
        <f>'All regions'!E3122+"n/&gt;!'%]"</f>
        <v>#VALUE!</v>
      </c>
      <c r="CI125" t="e">
        <f>'All regions'!F3122+"n/&gt;!'%^"</f>
        <v>#VALUE!</v>
      </c>
      <c r="CJ125" t="e">
        <f>'All regions'!G3122+"n/&gt;!'%_"</f>
        <v>#VALUE!</v>
      </c>
      <c r="CK125" t="e">
        <f>'All regions'!H3122+"n/&gt;!'%`"</f>
        <v>#VALUE!</v>
      </c>
      <c r="CL125" t="e">
        <f>'All regions'!I3122+"n/&gt;!'%a"</f>
        <v>#VALUE!</v>
      </c>
      <c r="CM125" t="e">
        <f>'All regions'!J3122+"n/&gt;!'%b"</f>
        <v>#VALUE!</v>
      </c>
      <c r="CN125" t="e">
        <f>'All regions'!A3123+"n/&gt;!'%c"</f>
        <v>#VALUE!</v>
      </c>
      <c r="CO125" t="e">
        <f>'All regions'!B3123+"n/&gt;!'%d"</f>
        <v>#VALUE!</v>
      </c>
      <c r="CP125" t="e">
        <f>'All regions'!C3123+"n/&gt;!'%e"</f>
        <v>#VALUE!</v>
      </c>
      <c r="CQ125" t="e">
        <f>'All regions'!D3123+"n/&gt;!'%f"</f>
        <v>#VALUE!</v>
      </c>
      <c r="CR125" t="e">
        <f>'All regions'!E3123+"n/&gt;!'%g"</f>
        <v>#VALUE!</v>
      </c>
      <c r="CS125" t="e">
        <f>'All regions'!F3123+"n/&gt;!'%h"</f>
        <v>#VALUE!</v>
      </c>
      <c r="CT125" t="e">
        <f>'All regions'!G3123+"n/&gt;!'%i"</f>
        <v>#VALUE!</v>
      </c>
      <c r="CU125" t="e">
        <f>'All regions'!H3123+"n/&gt;!'%j"</f>
        <v>#VALUE!</v>
      </c>
      <c r="CV125" t="e">
        <f>'All regions'!I3123+"n/&gt;!'%k"</f>
        <v>#VALUE!</v>
      </c>
      <c r="CW125" t="e">
        <f>'All regions'!J3123+"n/&gt;!'%l"</f>
        <v>#VALUE!</v>
      </c>
      <c r="CX125" t="e">
        <f>'All regions'!A3124+"n/&gt;!'%m"</f>
        <v>#VALUE!</v>
      </c>
      <c r="CY125" t="e">
        <f>'All regions'!B3124+"n/&gt;!'%n"</f>
        <v>#VALUE!</v>
      </c>
      <c r="CZ125" t="e">
        <f>'All regions'!C3124+"n/&gt;!'%o"</f>
        <v>#VALUE!</v>
      </c>
      <c r="DA125" t="e">
        <f>'All regions'!D3124+"n/&gt;!'%p"</f>
        <v>#VALUE!</v>
      </c>
      <c r="DB125" t="e">
        <f>'All regions'!E3124+"n/&gt;!'%q"</f>
        <v>#VALUE!</v>
      </c>
      <c r="DC125" t="e">
        <f>'All regions'!F3124+"n/&gt;!'%r"</f>
        <v>#VALUE!</v>
      </c>
      <c r="DD125" t="e">
        <f>'All regions'!G3124+"n/&gt;!'%s"</f>
        <v>#VALUE!</v>
      </c>
      <c r="DE125" t="e">
        <f>'All regions'!H3124+"n/&gt;!'%t"</f>
        <v>#VALUE!</v>
      </c>
      <c r="DF125" t="e">
        <f>'All regions'!I3124+"n/&gt;!'%u"</f>
        <v>#VALUE!</v>
      </c>
      <c r="DG125" t="e">
        <f>'All regions'!J3124+"n/&gt;!'%v"</f>
        <v>#VALUE!</v>
      </c>
      <c r="DH125" t="e">
        <f>'All regions'!A3125+"n/&gt;!'%w"</f>
        <v>#VALUE!</v>
      </c>
      <c r="DI125" t="e">
        <f>'All regions'!B3125+"n/&gt;!'%x"</f>
        <v>#VALUE!</v>
      </c>
      <c r="DJ125" t="e">
        <f>'All regions'!C3125+"n/&gt;!'%y"</f>
        <v>#VALUE!</v>
      </c>
      <c r="DK125" t="e">
        <f>'All regions'!D3125+"n/&gt;!'%z"</f>
        <v>#VALUE!</v>
      </c>
      <c r="DL125" t="e">
        <f>'All regions'!E3125+"n/&gt;!'%{"</f>
        <v>#VALUE!</v>
      </c>
      <c r="DM125" t="e">
        <f>'All regions'!F3125+"n/&gt;!'%|"</f>
        <v>#VALUE!</v>
      </c>
      <c r="DN125" t="e">
        <f>'All regions'!G3125+"n/&gt;!'%}"</f>
        <v>#VALUE!</v>
      </c>
      <c r="DO125" t="e">
        <f>'All regions'!H3125+"n/&gt;!'%~"</f>
        <v>#VALUE!</v>
      </c>
      <c r="DP125" t="e">
        <f>'All regions'!I3125+"n/&gt;!'&amp;#"</f>
        <v>#VALUE!</v>
      </c>
      <c r="DQ125" t="e">
        <f>'All regions'!J3125+"n/&gt;!'&amp;$"</f>
        <v>#VALUE!</v>
      </c>
      <c r="DR125" t="e">
        <f>'All regions'!A3126+"n/&gt;!'&amp;%"</f>
        <v>#VALUE!</v>
      </c>
      <c r="DS125" t="e">
        <f>'All regions'!B3126+"n/&gt;!'&amp;&amp;"</f>
        <v>#VALUE!</v>
      </c>
      <c r="DT125" t="e">
        <f>'All regions'!C3126+"n/&gt;!'&amp;'"</f>
        <v>#VALUE!</v>
      </c>
      <c r="DU125" t="e">
        <f>'All regions'!D3126+"n/&gt;!'&amp;("</f>
        <v>#VALUE!</v>
      </c>
      <c r="DV125" t="e">
        <f>'All regions'!E3126+"n/&gt;!'&amp;)"</f>
        <v>#VALUE!</v>
      </c>
      <c r="DW125" t="e">
        <f>'All regions'!F3126+"n/&gt;!'&amp;."</f>
        <v>#VALUE!</v>
      </c>
      <c r="DX125" t="e">
        <f>'All regions'!G3126+"n/&gt;!'&amp;/"</f>
        <v>#VALUE!</v>
      </c>
      <c r="DY125" t="e">
        <f>'All regions'!H3126+"n/&gt;!'&amp;0"</f>
        <v>#VALUE!</v>
      </c>
      <c r="DZ125" t="e">
        <f>'All regions'!I3126+"n/&gt;!'&amp;1"</f>
        <v>#VALUE!</v>
      </c>
      <c r="EA125" t="e">
        <f>'All regions'!J3126+"n/&gt;!'&amp;2"</f>
        <v>#VALUE!</v>
      </c>
      <c r="EB125" t="e">
        <f>'All regions'!A3127+"n/&gt;!'&amp;3"</f>
        <v>#VALUE!</v>
      </c>
      <c r="EC125" t="e">
        <f>'All regions'!B3127+"n/&gt;!'&amp;4"</f>
        <v>#VALUE!</v>
      </c>
      <c r="ED125" t="e">
        <f>'All regions'!C3127+"n/&gt;!'&amp;5"</f>
        <v>#VALUE!</v>
      </c>
      <c r="EE125" t="e">
        <f>'All regions'!D3127+"n/&gt;!'&amp;6"</f>
        <v>#VALUE!</v>
      </c>
      <c r="EF125" t="e">
        <f>'All regions'!E3127+"n/&gt;!'&amp;7"</f>
        <v>#VALUE!</v>
      </c>
      <c r="EG125" t="e">
        <f>'All regions'!F3127+"n/&gt;!'&amp;8"</f>
        <v>#VALUE!</v>
      </c>
      <c r="EH125" t="e">
        <f>'All regions'!G3127+"n/&gt;!'&amp;9"</f>
        <v>#VALUE!</v>
      </c>
      <c r="EI125" t="e">
        <f>'All regions'!H3127+"n/&gt;!'&amp;:"</f>
        <v>#VALUE!</v>
      </c>
      <c r="EJ125" t="e">
        <f>'All regions'!I3127+"n/&gt;!'&amp;;"</f>
        <v>#VALUE!</v>
      </c>
      <c r="EK125" t="e">
        <f>'All regions'!J3127+"n/&gt;!'&amp;&lt;"</f>
        <v>#VALUE!</v>
      </c>
      <c r="EL125" t="e">
        <f>'All regions'!A3128+"n/&gt;!'&amp;="</f>
        <v>#VALUE!</v>
      </c>
      <c r="EM125" t="e">
        <f>'All regions'!B3128+"n/&gt;!'&amp;&gt;"</f>
        <v>#VALUE!</v>
      </c>
      <c r="EN125" t="e">
        <f>'All regions'!C3128+"n/&gt;!'&amp;?"</f>
        <v>#VALUE!</v>
      </c>
      <c r="EO125" t="e">
        <f>'All regions'!D3128+"n/&gt;!'&amp;@"</f>
        <v>#VALUE!</v>
      </c>
      <c r="EP125" t="e">
        <f>'All regions'!E3128+"n/&gt;!'&amp;A"</f>
        <v>#VALUE!</v>
      </c>
      <c r="EQ125" t="e">
        <f>'All regions'!F3128+"n/&gt;!'&amp;B"</f>
        <v>#VALUE!</v>
      </c>
      <c r="ER125" t="e">
        <f>'All regions'!G3128+"n/&gt;!'&amp;C"</f>
        <v>#VALUE!</v>
      </c>
      <c r="ES125" t="e">
        <f>'All regions'!H3128+"n/&gt;!'&amp;D"</f>
        <v>#VALUE!</v>
      </c>
      <c r="ET125" t="e">
        <f>'All regions'!I3128+"n/&gt;!'&amp;E"</f>
        <v>#VALUE!</v>
      </c>
      <c r="EU125" t="e">
        <f>'All regions'!J3128+"n/&gt;!'&amp;F"</f>
        <v>#VALUE!</v>
      </c>
      <c r="EV125" t="e">
        <f>'All regions'!A3129+"n/&gt;!'&amp;G"</f>
        <v>#VALUE!</v>
      </c>
      <c r="EW125" t="e">
        <f>'All regions'!B3129+"n/&gt;!'&amp;H"</f>
        <v>#VALUE!</v>
      </c>
      <c r="EX125" t="e">
        <f>'All regions'!C3129+"n/&gt;!'&amp;I"</f>
        <v>#VALUE!</v>
      </c>
      <c r="EY125" t="e">
        <f>'All regions'!D3129+"n/&gt;!'&amp;J"</f>
        <v>#VALUE!</v>
      </c>
      <c r="EZ125" t="e">
        <f>'All regions'!E3129+"n/&gt;!'&amp;K"</f>
        <v>#VALUE!</v>
      </c>
      <c r="FA125" t="e">
        <f>'All regions'!F3129+"n/&gt;!'&amp;L"</f>
        <v>#VALUE!</v>
      </c>
      <c r="FB125" t="e">
        <f>'All regions'!G3129+"n/&gt;!'&amp;M"</f>
        <v>#VALUE!</v>
      </c>
      <c r="FC125" t="e">
        <f>'All regions'!H3129+"n/&gt;!'&amp;N"</f>
        <v>#VALUE!</v>
      </c>
      <c r="FD125" t="e">
        <f>'All regions'!I3129+"n/&gt;!'&amp;O"</f>
        <v>#VALUE!</v>
      </c>
      <c r="FE125" t="e">
        <f>'All regions'!J3129+"n/&gt;!'&amp;P"</f>
        <v>#VALUE!</v>
      </c>
      <c r="FF125" t="e">
        <f>'All regions'!A3130+"n/&gt;!'&amp;Q"</f>
        <v>#VALUE!</v>
      </c>
      <c r="FG125" t="e">
        <f>'All regions'!B3130+"n/&gt;!'&amp;R"</f>
        <v>#VALUE!</v>
      </c>
      <c r="FH125" t="e">
        <f>'All regions'!C3130+"n/&gt;!'&amp;S"</f>
        <v>#VALUE!</v>
      </c>
      <c r="FI125" t="e">
        <f>'All regions'!D3130+"n/&gt;!'&amp;T"</f>
        <v>#VALUE!</v>
      </c>
      <c r="FJ125" t="e">
        <f>'All regions'!E3130+"n/&gt;!'&amp;U"</f>
        <v>#VALUE!</v>
      </c>
      <c r="FK125" t="e">
        <f>'All regions'!F3130+"n/&gt;!'&amp;V"</f>
        <v>#VALUE!</v>
      </c>
      <c r="FL125" t="e">
        <f>'All regions'!G3130+"n/&gt;!'&amp;W"</f>
        <v>#VALUE!</v>
      </c>
      <c r="FM125" t="e">
        <f>'All regions'!H3130+"n/&gt;!'&amp;X"</f>
        <v>#VALUE!</v>
      </c>
      <c r="FN125" t="e">
        <f>'All regions'!I3130+"n/&gt;!'&amp;Y"</f>
        <v>#VALUE!</v>
      </c>
      <c r="FO125" t="e">
        <f>'All regions'!J3130+"n/&gt;!'&amp;Z"</f>
        <v>#VALUE!</v>
      </c>
      <c r="FP125" t="e">
        <f>'All regions'!A3131+"n/&gt;!'&amp;["</f>
        <v>#VALUE!</v>
      </c>
      <c r="FQ125" t="e">
        <f>'All regions'!B3131+"n/&gt;!'&amp;\"</f>
        <v>#VALUE!</v>
      </c>
      <c r="FR125" t="e">
        <f>'All regions'!C3131+"n/&gt;!'&amp;]"</f>
        <v>#VALUE!</v>
      </c>
      <c r="FS125" t="e">
        <f>'All regions'!D3131+"n/&gt;!'&amp;^"</f>
        <v>#VALUE!</v>
      </c>
      <c r="FT125" t="e">
        <f>'All regions'!E3131+"n/&gt;!'&amp;_"</f>
        <v>#VALUE!</v>
      </c>
      <c r="FU125" t="e">
        <f>'All regions'!F3131+"n/&gt;!'&amp;`"</f>
        <v>#VALUE!</v>
      </c>
      <c r="FV125" t="e">
        <f>'All regions'!G3131+"n/&gt;!'&amp;a"</f>
        <v>#VALUE!</v>
      </c>
      <c r="FW125" t="e">
        <f>'All regions'!H3131+"n/&gt;!'&amp;b"</f>
        <v>#VALUE!</v>
      </c>
      <c r="FX125" t="e">
        <f>'All regions'!I3131+"n/&gt;!'&amp;c"</f>
        <v>#VALUE!</v>
      </c>
      <c r="FY125" t="e">
        <f>'All regions'!J3131+"n/&gt;!'&amp;d"</f>
        <v>#VALUE!</v>
      </c>
      <c r="FZ125" t="e">
        <f>'All regions'!A3132+"n/&gt;!'&amp;e"</f>
        <v>#VALUE!</v>
      </c>
      <c r="GA125" t="e">
        <f>'All regions'!B3132+"n/&gt;!'&amp;f"</f>
        <v>#VALUE!</v>
      </c>
      <c r="GB125" t="e">
        <f>'All regions'!C3132+"n/&gt;!'&amp;g"</f>
        <v>#VALUE!</v>
      </c>
      <c r="GC125" t="e">
        <f>'All regions'!D3132+"n/&gt;!'&amp;h"</f>
        <v>#VALUE!</v>
      </c>
      <c r="GD125" t="e">
        <f>'All regions'!E3132+"n/&gt;!'&amp;i"</f>
        <v>#VALUE!</v>
      </c>
      <c r="GE125" t="e">
        <f>'All regions'!F3132+"n/&gt;!'&amp;j"</f>
        <v>#VALUE!</v>
      </c>
      <c r="GF125" t="e">
        <f>'All regions'!G3132+"n/&gt;!'&amp;k"</f>
        <v>#VALUE!</v>
      </c>
      <c r="GG125" t="e">
        <f>'All regions'!H3132+"n/&gt;!'&amp;l"</f>
        <v>#VALUE!</v>
      </c>
      <c r="GH125" t="e">
        <f>'All regions'!I3132+"n/&gt;!'&amp;m"</f>
        <v>#VALUE!</v>
      </c>
      <c r="GI125" t="e">
        <f>'All regions'!J3132+"n/&gt;!'&amp;n"</f>
        <v>#VALUE!</v>
      </c>
      <c r="GJ125" t="e">
        <f>'All regions'!A3133+"n/&gt;!'&amp;o"</f>
        <v>#VALUE!</v>
      </c>
      <c r="GK125" t="e">
        <f>'All regions'!B3133+"n/&gt;!'&amp;p"</f>
        <v>#VALUE!</v>
      </c>
      <c r="GL125" t="e">
        <f>'All regions'!C3133+"n/&gt;!'&amp;q"</f>
        <v>#VALUE!</v>
      </c>
      <c r="GM125" t="e">
        <f>'All regions'!D3133+"n/&gt;!'&amp;r"</f>
        <v>#VALUE!</v>
      </c>
      <c r="GN125" t="e">
        <f>'All regions'!E3133+"n/&gt;!'&amp;s"</f>
        <v>#VALUE!</v>
      </c>
      <c r="GO125" t="e">
        <f>'All regions'!F3133+"n/&gt;!'&amp;t"</f>
        <v>#VALUE!</v>
      </c>
      <c r="GP125" t="e">
        <f>'All regions'!G3133+"n/&gt;!'&amp;u"</f>
        <v>#VALUE!</v>
      </c>
      <c r="GQ125" t="e">
        <f>'All regions'!H3133+"n/&gt;!'&amp;v"</f>
        <v>#VALUE!</v>
      </c>
      <c r="GR125" t="e">
        <f>'All regions'!I3133+"n/&gt;!'&amp;w"</f>
        <v>#VALUE!</v>
      </c>
      <c r="GS125" t="e">
        <f>'All regions'!J3133+"n/&gt;!'&amp;x"</f>
        <v>#VALUE!</v>
      </c>
      <c r="GT125" t="e">
        <f>'All regions'!A3134+"n/&gt;!'&amp;y"</f>
        <v>#VALUE!</v>
      </c>
      <c r="GU125" t="e">
        <f>'All regions'!B3134+"n/&gt;!'&amp;z"</f>
        <v>#VALUE!</v>
      </c>
      <c r="GV125" t="e">
        <f>'All regions'!C3134+"n/&gt;!'&amp;{"</f>
        <v>#VALUE!</v>
      </c>
      <c r="GW125" t="e">
        <f>'All regions'!D3134+"n/&gt;!'&amp;|"</f>
        <v>#VALUE!</v>
      </c>
      <c r="GX125" t="e">
        <f>'All regions'!E3134+"n/&gt;!'&amp;}"</f>
        <v>#VALUE!</v>
      </c>
      <c r="GY125" t="e">
        <f>'All regions'!F3134+"n/&gt;!'&amp;~"</f>
        <v>#VALUE!</v>
      </c>
      <c r="GZ125" t="e">
        <f>'All regions'!G3134+"n/&gt;!''#"</f>
        <v>#VALUE!</v>
      </c>
      <c r="HA125" t="e">
        <f>'All regions'!H3134+"n/&gt;!''$"</f>
        <v>#VALUE!</v>
      </c>
      <c r="HB125" t="e">
        <f>'All regions'!I3134+"n/&gt;!''%"</f>
        <v>#VALUE!</v>
      </c>
      <c r="HC125" t="e">
        <f>'All regions'!J3134+"n/&gt;!''&amp;"</f>
        <v>#VALUE!</v>
      </c>
      <c r="HD125" t="e">
        <f>'All regions'!A3135+"n/&gt;!'''"</f>
        <v>#VALUE!</v>
      </c>
      <c r="HE125" t="e">
        <f>'All regions'!B3135+"n/&gt;!''("</f>
        <v>#VALUE!</v>
      </c>
      <c r="HF125" t="e">
        <f>'All regions'!C3135+"n/&gt;!'')"</f>
        <v>#VALUE!</v>
      </c>
      <c r="HG125" t="e">
        <f>'All regions'!D3135+"n/&gt;!''."</f>
        <v>#VALUE!</v>
      </c>
      <c r="HH125" t="e">
        <f>'All regions'!E3135+"n/&gt;!''/"</f>
        <v>#VALUE!</v>
      </c>
      <c r="HI125" t="e">
        <f>'All regions'!F3135+"n/&gt;!''0"</f>
        <v>#VALUE!</v>
      </c>
      <c r="HJ125" t="e">
        <f>'All regions'!G3135+"n/&gt;!''1"</f>
        <v>#VALUE!</v>
      </c>
      <c r="HK125" t="e">
        <f>'All regions'!H3135+"n/&gt;!''2"</f>
        <v>#VALUE!</v>
      </c>
      <c r="HL125" t="e">
        <f>'All regions'!I3135+"n/&gt;!''3"</f>
        <v>#VALUE!</v>
      </c>
      <c r="HM125" t="e">
        <f>'All regions'!J3135+"n/&gt;!''4"</f>
        <v>#VALUE!</v>
      </c>
      <c r="HN125" t="e">
        <f>'All regions'!A3136+"n/&gt;!''5"</f>
        <v>#VALUE!</v>
      </c>
      <c r="HO125" t="e">
        <f>'All regions'!B3136+"n/&gt;!''6"</f>
        <v>#VALUE!</v>
      </c>
      <c r="HP125" t="e">
        <f>'All regions'!C3136+"n/&gt;!''7"</f>
        <v>#VALUE!</v>
      </c>
      <c r="HQ125" t="e">
        <f>'All regions'!D3136+"n/&gt;!''8"</f>
        <v>#VALUE!</v>
      </c>
      <c r="HR125" t="e">
        <f>'All regions'!E3136+"n/&gt;!''9"</f>
        <v>#VALUE!</v>
      </c>
      <c r="HS125" t="e">
        <f>'All regions'!F3136+"n/&gt;!'':"</f>
        <v>#VALUE!</v>
      </c>
      <c r="HT125" t="e">
        <f>'All regions'!G3136+"n/&gt;!'';"</f>
        <v>#VALUE!</v>
      </c>
      <c r="HU125" t="e">
        <f>'All regions'!H3136+"n/&gt;!''&lt;"</f>
        <v>#VALUE!</v>
      </c>
      <c r="HV125" t="e">
        <f>'All regions'!I3136+"n/&gt;!''="</f>
        <v>#VALUE!</v>
      </c>
      <c r="HW125" t="e">
        <f>'All regions'!J3136+"n/&gt;!''&gt;"</f>
        <v>#VALUE!</v>
      </c>
      <c r="HX125" t="e">
        <f>'All regions'!A3137+"n/&gt;!''?"</f>
        <v>#VALUE!</v>
      </c>
      <c r="HY125" t="e">
        <f>'All regions'!B3137+"n/&gt;!''@"</f>
        <v>#VALUE!</v>
      </c>
      <c r="HZ125" t="e">
        <f>'All regions'!C3137+"n/&gt;!''A"</f>
        <v>#VALUE!</v>
      </c>
      <c r="IA125" t="e">
        <f>'All regions'!D3137+"n/&gt;!''B"</f>
        <v>#VALUE!</v>
      </c>
      <c r="IB125" t="e">
        <f>'All regions'!E3137+"n/&gt;!''C"</f>
        <v>#VALUE!</v>
      </c>
      <c r="IC125" t="e">
        <f>'All regions'!F3137+"n/&gt;!''D"</f>
        <v>#VALUE!</v>
      </c>
      <c r="ID125" t="e">
        <f>'All regions'!G3137+"n/&gt;!''E"</f>
        <v>#VALUE!</v>
      </c>
      <c r="IE125" t="e">
        <f>'All regions'!H3137+"n/&gt;!''F"</f>
        <v>#VALUE!</v>
      </c>
      <c r="IF125" t="e">
        <f>'All regions'!I3137+"n/&gt;!''G"</f>
        <v>#VALUE!</v>
      </c>
      <c r="IG125" t="e">
        <f>'All regions'!J3137+"n/&gt;!''H"</f>
        <v>#VALUE!</v>
      </c>
      <c r="IH125" t="e">
        <f>'All regions'!A3138+"n/&gt;!''I"</f>
        <v>#VALUE!</v>
      </c>
      <c r="II125" t="e">
        <f>'All regions'!B3138+"n/&gt;!''J"</f>
        <v>#VALUE!</v>
      </c>
      <c r="IJ125" t="e">
        <f>'All regions'!C3138+"n/&gt;!''K"</f>
        <v>#VALUE!</v>
      </c>
      <c r="IK125" t="e">
        <f>'All regions'!D3138+"n/&gt;!''L"</f>
        <v>#VALUE!</v>
      </c>
      <c r="IL125" t="e">
        <f>'All regions'!E3138+"n/&gt;!''M"</f>
        <v>#VALUE!</v>
      </c>
      <c r="IM125" t="e">
        <f>'All regions'!F3138+"n/&gt;!''N"</f>
        <v>#VALUE!</v>
      </c>
      <c r="IN125" t="e">
        <f>'All regions'!G3138+"n/&gt;!''O"</f>
        <v>#VALUE!</v>
      </c>
      <c r="IO125" t="e">
        <f>'All regions'!H3138+"n/&gt;!''P"</f>
        <v>#VALUE!</v>
      </c>
      <c r="IP125" t="e">
        <f>'All regions'!I3138+"n/&gt;!''Q"</f>
        <v>#VALUE!</v>
      </c>
      <c r="IQ125" t="e">
        <f>'All regions'!J3138+"n/&gt;!''R"</f>
        <v>#VALUE!</v>
      </c>
      <c r="IR125" t="e">
        <f>'All regions'!A3139+"n/&gt;!''S"</f>
        <v>#VALUE!</v>
      </c>
      <c r="IS125" t="e">
        <f>'All regions'!B3139+"n/&gt;!''T"</f>
        <v>#VALUE!</v>
      </c>
      <c r="IT125" t="e">
        <f>'All regions'!C3139+"n/&gt;!''U"</f>
        <v>#VALUE!</v>
      </c>
      <c r="IU125" t="e">
        <f>'All regions'!D3139+"n/&gt;!''V"</f>
        <v>#VALUE!</v>
      </c>
      <c r="IV125" t="e">
        <f>'All regions'!E3139+"n/&gt;!''W"</f>
        <v>#VALUE!</v>
      </c>
    </row>
    <row r="126" spans="6:256" x14ac:dyDescent="0.35">
      <c r="F126" t="e">
        <f>'All regions'!F3139+"n/&gt;!''X"</f>
        <v>#VALUE!</v>
      </c>
      <c r="G126" t="e">
        <f>'All regions'!G3139+"n/&gt;!''Y"</f>
        <v>#VALUE!</v>
      </c>
      <c r="H126" t="e">
        <f>'All regions'!H3139+"n/&gt;!''Z"</f>
        <v>#VALUE!</v>
      </c>
      <c r="I126" t="e">
        <f>'All regions'!I3139+"n/&gt;!''["</f>
        <v>#VALUE!</v>
      </c>
      <c r="J126" t="e">
        <f>'All regions'!J3139+"n/&gt;!''\"</f>
        <v>#VALUE!</v>
      </c>
      <c r="K126" t="e">
        <f>'All regions'!A3140+"n/&gt;!'']"</f>
        <v>#VALUE!</v>
      </c>
      <c r="L126" t="e">
        <f>'All regions'!B3140+"n/&gt;!''^"</f>
        <v>#VALUE!</v>
      </c>
      <c r="M126" t="e">
        <f>'All regions'!C3140+"n/&gt;!''_"</f>
        <v>#VALUE!</v>
      </c>
      <c r="N126" t="e">
        <f>'All regions'!D3140+"n/&gt;!''`"</f>
        <v>#VALUE!</v>
      </c>
      <c r="O126" t="e">
        <f>'All regions'!E3140+"n/&gt;!''a"</f>
        <v>#VALUE!</v>
      </c>
      <c r="P126" t="e">
        <f>'All regions'!F3140+"n/&gt;!''b"</f>
        <v>#VALUE!</v>
      </c>
      <c r="Q126" t="e">
        <f>'All regions'!G3140+"n/&gt;!''c"</f>
        <v>#VALUE!</v>
      </c>
      <c r="R126" t="e">
        <f>'All regions'!H3140+"n/&gt;!''d"</f>
        <v>#VALUE!</v>
      </c>
      <c r="S126" t="e">
        <f>'All regions'!I3140+"n/&gt;!''e"</f>
        <v>#VALUE!</v>
      </c>
      <c r="T126" t="e">
        <f>'All regions'!J3140+"n/&gt;!''f"</f>
        <v>#VALUE!</v>
      </c>
      <c r="U126" t="e">
        <f>'All regions'!A3141+"n/&gt;!''g"</f>
        <v>#VALUE!</v>
      </c>
      <c r="V126" t="e">
        <f>'All regions'!B3141+"n/&gt;!''h"</f>
        <v>#VALUE!</v>
      </c>
      <c r="W126" t="e">
        <f>'All regions'!C3141+"n/&gt;!''i"</f>
        <v>#VALUE!</v>
      </c>
      <c r="X126" t="e">
        <f>'All regions'!D3141+"n/&gt;!''j"</f>
        <v>#VALUE!</v>
      </c>
      <c r="Y126" t="e">
        <f>'All regions'!E3141+"n/&gt;!''k"</f>
        <v>#VALUE!</v>
      </c>
      <c r="Z126" t="e">
        <f>'All regions'!F3141+"n/&gt;!''l"</f>
        <v>#VALUE!</v>
      </c>
      <c r="AA126" t="e">
        <f>'All regions'!G3141+"n/&gt;!''m"</f>
        <v>#VALUE!</v>
      </c>
      <c r="AB126" t="e">
        <f>'All regions'!H3141+"n/&gt;!''n"</f>
        <v>#VALUE!</v>
      </c>
      <c r="AC126" t="e">
        <f>'All regions'!I3141+"n/&gt;!''o"</f>
        <v>#VALUE!</v>
      </c>
      <c r="AD126" t="e">
        <f>'All regions'!J3141+"n/&gt;!''p"</f>
        <v>#VALUE!</v>
      </c>
      <c r="AE126" t="e">
        <f>'All regions'!A3142+"n/&gt;!''q"</f>
        <v>#VALUE!</v>
      </c>
      <c r="AF126" t="e">
        <f>'All regions'!B3142+"n/&gt;!''r"</f>
        <v>#VALUE!</v>
      </c>
      <c r="AG126" t="e">
        <f>'All regions'!C3142+"n/&gt;!''s"</f>
        <v>#VALUE!</v>
      </c>
      <c r="AH126" t="e">
        <f>'All regions'!D3142+"n/&gt;!''t"</f>
        <v>#VALUE!</v>
      </c>
      <c r="AI126" t="e">
        <f>'All regions'!E3142+"n/&gt;!''u"</f>
        <v>#VALUE!</v>
      </c>
      <c r="AJ126" t="e">
        <f>'All regions'!F3142+"n/&gt;!''v"</f>
        <v>#VALUE!</v>
      </c>
      <c r="AK126" t="e">
        <f>'All regions'!G3142+"n/&gt;!''w"</f>
        <v>#VALUE!</v>
      </c>
      <c r="AL126" t="e">
        <f>'All regions'!H3142+"n/&gt;!''x"</f>
        <v>#VALUE!</v>
      </c>
      <c r="AM126" t="e">
        <f>'All regions'!I3142+"n/&gt;!''y"</f>
        <v>#VALUE!</v>
      </c>
      <c r="AN126" t="e">
        <f>'All regions'!J3142+"n/&gt;!''z"</f>
        <v>#VALUE!</v>
      </c>
      <c r="AO126" t="e">
        <f>'All regions'!A3143+"n/&gt;!''{"</f>
        <v>#VALUE!</v>
      </c>
      <c r="AP126" t="e">
        <f>'All regions'!B3143+"n/&gt;!''|"</f>
        <v>#VALUE!</v>
      </c>
      <c r="AQ126" t="e">
        <f>'All regions'!C3143+"n/&gt;!''}"</f>
        <v>#VALUE!</v>
      </c>
      <c r="AR126" t="e">
        <f>'All regions'!D3143+"n/&gt;!''~"</f>
        <v>#VALUE!</v>
      </c>
      <c r="AS126" t="e">
        <f>'All regions'!E3143+"n/&gt;!'(#"</f>
        <v>#VALUE!</v>
      </c>
      <c r="AT126" t="e">
        <f>'All regions'!F3143+"n/&gt;!'($"</f>
        <v>#VALUE!</v>
      </c>
      <c r="AU126" t="e">
        <f>'All regions'!G3143+"n/&gt;!'(%"</f>
        <v>#VALUE!</v>
      </c>
      <c r="AV126" t="e">
        <f>'All regions'!H3143+"n/&gt;!'(&amp;"</f>
        <v>#VALUE!</v>
      </c>
      <c r="AW126" t="e">
        <f>'All regions'!I3143+"n/&gt;!'('"</f>
        <v>#VALUE!</v>
      </c>
      <c r="AX126" t="e">
        <f>'All regions'!J3143+"n/&gt;!'(("</f>
        <v>#VALUE!</v>
      </c>
      <c r="AY126" t="e">
        <f>'All regions'!A3144+"n/&gt;!'()"</f>
        <v>#VALUE!</v>
      </c>
      <c r="AZ126" t="e">
        <f>'All regions'!B3144+"n/&gt;!'(."</f>
        <v>#VALUE!</v>
      </c>
      <c r="BA126" t="e">
        <f>'All regions'!C3144+"n/&gt;!'(/"</f>
        <v>#VALUE!</v>
      </c>
      <c r="BB126" t="e">
        <f>'All regions'!D3144+"n/&gt;!'(0"</f>
        <v>#VALUE!</v>
      </c>
      <c r="BC126" t="e">
        <f>'All regions'!E3144+"n/&gt;!'(1"</f>
        <v>#VALUE!</v>
      </c>
      <c r="BD126" t="e">
        <f>'All regions'!F3144+"n/&gt;!'(2"</f>
        <v>#VALUE!</v>
      </c>
      <c r="BE126" t="e">
        <f>'All regions'!G3144+"n/&gt;!'(3"</f>
        <v>#VALUE!</v>
      </c>
      <c r="BF126" t="e">
        <f>'All regions'!H3144+"n/&gt;!'(4"</f>
        <v>#VALUE!</v>
      </c>
      <c r="BG126" t="e">
        <f>'All regions'!I3144+"n/&gt;!'(5"</f>
        <v>#VALUE!</v>
      </c>
      <c r="BH126" t="e">
        <f>'All regions'!J3144+"n/&gt;!'(6"</f>
        <v>#VALUE!</v>
      </c>
      <c r="BI126" t="e">
        <f>'All regions'!A3145+"n/&gt;!'(7"</f>
        <v>#VALUE!</v>
      </c>
      <c r="BJ126" t="e">
        <f>'All regions'!B3145+"n/&gt;!'(8"</f>
        <v>#VALUE!</v>
      </c>
      <c r="BK126" t="e">
        <f>'All regions'!C3145+"n/&gt;!'(9"</f>
        <v>#VALUE!</v>
      </c>
      <c r="BL126" t="e">
        <f>'All regions'!D3145+"n/&gt;!'(:"</f>
        <v>#VALUE!</v>
      </c>
      <c r="BM126" t="e">
        <f>'All regions'!E3145+"n/&gt;!'(;"</f>
        <v>#VALUE!</v>
      </c>
      <c r="BN126" t="e">
        <f>'All regions'!F3145+"n/&gt;!'(&lt;"</f>
        <v>#VALUE!</v>
      </c>
      <c r="BO126" t="e">
        <f>'All regions'!G3145+"n/&gt;!'(="</f>
        <v>#VALUE!</v>
      </c>
      <c r="BP126" t="e">
        <f>'All regions'!H3145+"n/&gt;!'(&gt;"</f>
        <v>#VALUE!</v>
      </c>
      <c r="BQ126" t="e">
        <f>'All regions'!I3145+"n/&gt;!'(?"</f>
        <v>#VALUE!</v>
      </c>
      <c r="BR126" t="e">
        <f>'All regions'!J3145+"n/&gt;!'(@"</f>
        <v>#VALUE!</v>
      </c>
      <c r="BS126" t="e">
        <f>'All regions'!A3146+"n/&gt;!'(A"</f>
        <v>#VALUE!</v>
      </c>
      <c r="BT126" t="e">
        <f>'All regions'!B3146+"n/&gt;!'(B"</f>
        <v>#VALUE!</v>
      </c>
      <c r="BU126" t="e">
        <f>'All regions'!C3146+"n/&gt;!'(C"</f>
        <v>#VALUE!</v>
      </c>
      <c r="BV126" t="e">
        <f>'All regions'!D3146+"n/&gt;!'(D"</f>
        <v>#VALUE!</v>
      </c>
      <c r="BW126" t="e">
        <f>'All regions'!E3146+"n/&gt;!'(E"</f>
        <v>#VALUE!</v>
      </c>
      <c r="BX126" t="e">
        <f>'All regions'!F3146+"n/&gt;!'(F"</f>
        <v>#VALUE!</v>
      </c>
      <c r="BY126" t="e">
        <f>'All regions'!G3146+"n/&gt;!'(G"</f>
        <v>#VALUE!</v>
      </c>
      <c r="BZ126" t="e">
        <f>'All regions'!H3146+"n/&gt;!'(H"</f>
        <v>#VALUE!</v>
      </c>
      <c r="CA126" t="e">
        <f>'All regions'!I3146+"n/&gt;!'(I"</f>
        <v>#VALUE!</v>
      </c>
      <c r="CB126" t="e">
        <f>'All regions'!J3146+"n/&gt;!'(J"</f>
        <v>#VALUE!</v>
      </c>
      <c r="CC126" t="e">
        <f>'All regions'!A3147+"n/&gt;!'(K"</f>
        <v>#VALUE!</v>
      </c>
      <c r="CD126" t="e">
        <f>'All regions'!B3147+"n/&gt;!'(L"</f>
        <v>#VALUE!</v>
      </c>
      <c r="CE126" t="e">
        <f>'All regions'!C3147+"n/&gt;!'(M"</f>
        <v>#VALUE!</v>
      </c>
      <c r="CF126" t="e">
        <f>'All regions'!D3147+"n/&gt;!'(N"</f>
        <v>#VALUE!</v>
      </c>
      <c r="CG126" t="e">
        <f>'All regions'!E3147+"n/&gt;!'(O"</f>
        <v>#VALUE!</v>
      </c>
      <c r="CH126" t="e">
        <f>'All regions'!F3147+"n/&gt;!'(P"</f>
        <v>#VALUE!</v>
      </c>
      <c r="CI126" t="e">
        <f>'All regions'!G3147+"n/&gt;!'(Q"</f>
        <v>#VALUE!</v>
      </c>
      <c r="CJ126" t="e">
        <f>'All regions'!H3147+"n/&gt;!'(R"</f>
        <v>#VALUE!</v>
      </c>
      <c r="CK126" t="e">
        <f>'All regions'!I3147+"n/&gt;!'(S"</f>
        <v>#VALUE!</v>
      </c>
      <c r="CL126" t="e">
        <f>'All regions'!J3147+"n/&gt;!'(T"</f>
        <v>#VALUE!</v>
      </c>
      <c r="CM126" t="e">
        <f>'All regions'!A3148+"n/&gt;!'(U"</f>
        <v>#VALUE!</v>
      </c>
      <c r="CN126" t="e">
        <f>'All regions'!B3148+"n/&gt;!'(V"</f>
        <v>#VALUE!</v>
      </c>
      <c r="CO126" t="e">
        <f>'All regions'!C3148+"n/&gt;!'(W"</f>
        <v>#VALUE!</v>
      </c>
      <c r="CP126" t="e">
        <f>'All regions'!D3148+"n/&gt;!'(X"</f>
        <v>#VALUE!</v>
      </c>
      <c r="CQ126" t="e">
        <f>'All regions'!E3148+"n/&gt;!'(Y"</f>
        <v>#VALUE!</v>
      </c>
      <c r="CR126" t="e">
        <f>'All regions'!F3148+"n/&gt;!'(Z"</f>
        <v>#VALUE!</v>
      </c>
      <c r="CS126" t="e">
        <f>'All regions'!G3148+"n/&gt;!'(["</f>
        <v>#VALUE!</v>
      </c>
      <c r="CT126" t="e">
        <f>'All regions'!H3148+"n/&gt;!'(\"</f>
        <v>#VALUE!</v>
      </c>
      <c r="CU126" t="e">
        <f>'All regions'!I3148+"n/&gt;!'(]"</f>
        <v>#VALUE!</v>
      </c>
      <c r="CV126" t="e">
        <f>'All regions'!J3148+"n/&gt;!'(^"</f>
        <v>#VALUE!</v>
      </c>
      <c r="CW126" t="e">
        <f>'All regions'!A3149+"n/&gt;!'(_"</f>
        <v>#VALUE!</v>
      </c>
      <c r="CX126" t="e">
        <f>'All regions'!B3149+"n/&gt;!'(`"</f>
        <v>#VALUE!</v>
      </c>
      <c r="CY126" t="e">
        <f>'All regions'!C3149+"n/&gt;!'(a"</f>
        <v>#VALUE!</v>
      </c>
      <c r="CZ126" t="e">
        <f>'All regions'!D3149+"n/&gt;!'(b"</f>
        <v>#VALUE!</v>
      </c>
      <c r="DA126" t="e">
        <f>'All regions'!E3149+"n/&gt;!'(c"</f>
        <v>#VALUE!</v>
      </c>
      <c r="DB126" t="e">
        <f>'All regions'!F3149+"n/&gt;!'(d"</f>
        <v>#VALUE!</v>
      </c>
      <c r="DC126" t="e">
        <f>'All regions'!G3149+"n/&gt;!'(e"</f>
        <v>#VALUE!</v>
      </c>
      <c r="DD126" t="e">
        <f>'All regions'!H3149+"n/&gt;!'(f"</f>
        <v>#VALUE!</v>
      </c>
      <c r="DE126" t="e">
        <f>'All regions'!I3149+"n/&gt;!'(g"</f>
        <v>#VALUE!</v>
      </c>
      <c r="DF126" t="e">
        <f>'All regions'!J3149+"n/&gt;!'(h"</f>
        <v>#VALUE!</v>
      </c>
      <c r="DG126" t="e">
        <f>'All regions'!A3150+"n/&gt;!'(i"</f>
        <v>#VALUE!</v>
      </c>
      <c r="DH126" t="e">
        <f>'All regions'!B3150+"n/&gt;!'(j"</f>
        <v>#VALUE!</v>
      </c>
      <c r="DI126" t="e">
        <f>'All regions'!C3150+"n/&gt;!'(k"</f>
        <v>#VALUE!</v>
      </c>
      <c r="DJ126" t="e">
        <f>'All regions'!D3150+"n/&gt;!'(l"</f>
        <v>#VALUE!</v>
      </c>
      <c r="DK126" t="e">
        <f>'All regions'!E3150+"n/&gt;!'(m"</f>
        <v>#VALUE!</v>
      </c>
      <c r="DL126" t="e">
        <f>'All regions'!F3150+"n/&gt;!'(n"</f>
        <v>#VALUE!</v>
      </c>
      <c r="DM126" t="e">
        <f>'All regions'!G3150+"n/&gt;!'(o"</f>
        <v>#VALUE!</v>
      </c>
      <c r="DN126" t="e">
        <f>'All regions'!H3150+"n/&gt;!'(p"</f>
        <v>#VALUE!</v>
      </c>
      <c r="DO126" t="e">
        <f>'All regions'!I3150+"n/&gt;!'(q"</f>
        <v>#VALUE!</v>
      </c>
      <c r="DP126" t="e">
        <f>'All regions'!J3150+"n/&gt;!'(r"</f>
        <v>#VALUE!</v>
      </c>
      <c r="DQ126" t="e">
        <f>'All regions'!A3151+"n/&gt;!'(s"</f>
        <v>#VALUE!</v>
      </c>
      <c r="DR126" t="e">
        <f>'All regions'!B3151+"n/&gt;!'(t"</f>
        <v>#VALUE!</v>
      </c>
      <c r="DS126" t="e">
        <f>'All regions'!C3151+"n/&gt;!'(u"</f>
        <v>#VALUE!</v>
      </c>
      <c r="DT126" t="e">
        <f>'All regions'!D3151+"n/&gt;!'(v"</f>
        <v>#VALUE!</v>
      </c>
      <c r="DU126" t="e">
        <f>'All regions'!E3151+"n/&gt;!'(w"</f>
        <v>#VALUE!</v>
      </c>
      <c r="DV126" t="e">
        <f>'All regions'!F3151+"n/&gt;!'(x"</f>
        <v>#VALUE!</v>
      </c>
      <c r="DW126" t="e">
        <f>'All regions'!G3151+"n/&gt;!'(y"</f>
        <v>#VALUE!</v>
      </c>
      <c r="DX126" t="e">
        <f>'All regions'!H3151+"n/&gt;!'(z"</f>
        <v>#VALUE!</v>
      </c>
      <c r="DY126" t="e">
        <f>'All regions'!I3151+"n/&gt;!'({"</f>
        <v>#VALUE!</v>
      </c>
      <c r="DZ126" t="e">
        <f>'All regions'!J3151+"n/&gt;!'(|"</f>
        <v>#VALUE!</v>
      </c>
      <c r="EA126" t="e">
        <f>'All regions'!A3152+"n/&gt;!'(}"</f>
        <v>#VALUE!</v>
      </c>
      <c r="EB126" t="e">
        <f>'All regions'!B3152+"n/&gt;!'(~"</f>
        <v>#VALUE!</v>
      </c>
      <c r="EC126" t="e">
        <f>'All regions'!C3152+"n/&gt;!')#"</f>
        <v>#VALUE!</v>
      </c>
      <c r="ED126" t="e">
        <f>'All regions'!D3152+"n/&gt;!')$"</f>
        <v>#VALUE!</v>
      </c>
      <c r="EE126" t="e">
        <f>'All regions'!E3152+"n/&gt;!')%"</f>
        <v>#VALUE!</v>
      </c>
      <c r="EF126" t="e">
        <f>'All regions'!F3152+"n/&gt;!')&amp;"</f>
        <v>#VALUE!</v>
      </c>
      <c r="EG126" t="e">
        <f>'All regions'!G3152+"n/&gt;!')'"</f>
        <v>#VALUE!</v>
      </c>
      <c r="EH126" t="e">
        <f>'All regions'!H3152+"n/&gt;!')("</f>
        <v>#VALUE!</v>
      </c>
      <c r="EI126" t="e">
        <f>'All regions'!I3152+"n/&gt;!'))"</f>
        <v>#VALUE!</v>
      </c>
      <c r="EJ126" t="e">
        <f>'All regions'!J3152+"n/&gt;!')."</f>
        <v>#VALUE!</v>
      </c>
      <c r="EK126" t="e">
        <f>'All regions'!A3153+"n/&gt;!')/"</f>
        <v>#VALUE!</v>
      </c>
      <c r="EL126" t="e">
        <f>'All regions'!B3153+"n/&gt;!')0"</f>
        <v>#VALUE!</v>
      </c>
      <c r="EM126" t="e">
        <f>'All regions'!C3153+"n/&gt;!')1"</f>
        <v>#VALUE!</v>
      </c>
      <c r="EN126" t="e">
        <f>'All regions'!D3153+"n/&gt;!')2"</f>
        <v>#VALUE!</v>
      </c>
      <c r="EO126" t="e">
        <f>'All regions'!E3153+"n/&gt;!')3"</f>
        <v>#VALUE!</v>
      </c>
      <c r="EP126" t="e">
        <f>'All regions'!F3153+"n/&gt;!')4"</f>
        <v>#VALUE!</v>
      </c>
      <c r="EQ126" t="e">
        <f>'All regions'!G3153+"n/&gt;!')5"</f>
        <v>#VALUE!</v>
      </c>
      <c r="ER126" t="e">
        <f>'All regions'!H3153+"n/&gt;!')6"</f>
        <v>#VALUE!</v>
      </c>
      <c r="ES126" t="e">
        <f>'All regions'!I3153+"n/&gt;!')7"</f>
        <v>#VALUE!</v>
      </c>
      <c r="ET126" t="e">
        <f>'All regions'!J3153+"n/&gt;!')8"</f>
        <v>#VALUE!</v>
      </c>
      <c r="EU126" t="e">
        <f>'All regions'!A3154+"n/&gt;!')9"</f>
        <v>#VALUE!</v>
      </c>
      <c r="EV126" t="e">
        <f>'All regions'!B3154+"n/&gt;!'):"</f>
        <v>#VALUE!</v>
      </c>
      <c r="EW126" t="e">
        <f>'All regions'!C3154+"n/&gt;!');"</f>
        <v>#VALUE!</v>
      </c>
      <c r="EX126" t="e">
        <f>'All regions'!D3154+"n/&gt;!')&lt;"</f>
        <v>#VALUE!</v>
      </c>
      <c r="EY126" t="e">
        <f>'All regions'!E3154+"n/&gt;!')="</f>
        <v>#VALUE!</v>
      </c>
      <c r="EZ126" t="e">
        <f>'All regions'!F3154+"n/&gt;!')&gt;"</f>
        <v>#VALUE!</v>
      </c>
      <c r="FA126" t="e">
        <f>'All regions'!G3154+"n/&gt;!')?"</f>
        <v>#VALUE!</v>
      </c>
      <c r="FB126" t="e">
        <f>'All regions'!H3154+"n/&gt;!')@"</f>
        <v>#VALUE!</v>
      </c>
      <c r="FC126" t="e">
        <f>'All regions'!I3154+"n/&gt;!')A"</f>
        <v>#VALUE!</v>
      </c>
      <c r="FD126" t="e">
        <f>'All regions'!J3154+"n/&gt;!')B"</f>
        <v>#VALUE!</v>
      </c>
      <c r="FE126" t="e">
        <f>'All regions'!A3155+"n/&gt;!')C"</f>
        <v>#VALUE!</v>
      </c>
      <c r="FF126" t="e">
        <f>'All regions'!B3155+"n/&gt;!')D"</f>
        <v>#VALUE!</v>
      </c>
      <c r="FG126" t="e">
        <f>'All regions'!C3155+"n/&gt;!')E"</f>
        <v>#VALUE!</v>
      </c>
      <c r="FH126" t="e">
        <f>'All regions'!D3155+"n/&gt;!')F"</f>
        <v>#VALUE!</v>
      </c>
      <c r="FI126" t="e">
        <f>'All regions'!E3155+"n/&gt;!')G"</f>
        <v>#VALUE!</v>
      </c>
      <c r="FJ126" t="e">
        <f>'All regions'!F3155+"n/&gt;!')H"</f>
        <v>#VALUE!</v>
      </c>
      <c r="FK126" t="e">
        <f>'All regions'!G3155+"n/&gt;!')I"</f>
        <v>#VALUE!</v>
      </c>
      <c r="FL126" t="e">
        <f>'All regions'!H3155+"n/&gt;!')J"</f>
        <v>#VALUE!</v>
      </c>
      <c r="FM126" t="e">
        <f>'All regions'!I3155+"n/&gt;!')K"</f>
        <v>#VALUE!</v>
      </c>
      <c r="FN126" t="e">
        <f>'All regions'!J3155+"n/&gt;!')L"</f>
        <v>#VALUE!</v>
      </c>
      <c r="FO126" t="e">
        <f>'All regions'!A3156+"n/&gt;!')M"</f>
        <v>#VALUE!</v>
      </c>
      <c r="FP126" t="e">
        <f>'All regions'!B3156+"n/&gt;!')N"</f>
        <v>#VALUE!</v>
      </c>
      <c r="FQ126" t="e">
        <f>'All regions'!C3156+"n/&gt;!')O"</f>
        <v>#VALUE!</v>
      </c>
      <c r="FR126" t="e">
        <f>'All regions'!D3156+"n/&gt;!')P"</f>
        <v>#VALUE!</v>
      </c>
      <c r="FS126" t="e">
        <f>'All regions'!E3156+"n/&gt;!')Q"</f>
        <v>#VALUE!</v>
      </c>
      <c r="FT126" t="e">
        <f>'All regions'!F3156+"n/&gt;!')R"</f>
        <v>#VALUE!</v>
      </c>
      <c r="FU126" t="e">
        <f>'All regions'!G3156+"n/&gt;!')S"</f>
        <v>#VALUE!</v>
      </c>
      <c r="FV126" t="e">
        <f>'All regions'!H3156+"n/&gt;!')T"</f>
        <v>#VALUE!</v>
      </c>
      <c r="FW126" t="e">
        <f>'All regions'!I3156+"n/&gt;!')U"</f>
        <v>#VALUE!</v>
      </c>
      <c r="FX126" t="e">
        <f>'All regions'!J3156+"n/&gt;!')V"</f>
        <v>#VALUE!</v>
      </c>
      <c r="FY126" t="e">
        <f>'All regions'!A3157+"n/&gt;!')W"</f>
        <v>#VALUE!</v>
      </c>
      <c r="FZ126" t="e">
        <f>'All regions'!B3157+"n/&gt;!')X"</f>
        <v>#VALUE!</v>
      </c>
      <c r="GA126" t="e">
        <f>'All regions'!C3157+"n/&gt;!')Y"</f>
        <v>#VALUE!</v>
      </c>
      <c r="GB126" t="e">
        <f>'All regions'!D3157+"n/&gt;!')Z"</f>
        <v>#VALUE!</v>
      </c>
      <c r="GC126" t="e">
        <f>'All regions'!E3157+"n/&gt;!')["</f>
        <v>#VALUE!</v>
      </c>
      <c r="GD126" t="e">
        <f>'All regions'!F3157+"n/&gt;!')\"</f>
        <v>#VALUE!</v>
      </c>
      <c r="GE126" t="e">
        <f>'All regions'!G3157+"n/&gt;!')]"</f>
        <v>#VALUE!</v>
      </c>
      <c r="GF126" t="e">
        <f>'All regions'!H3157+"n/&gt;!')^"</f>
        <v>#VALUE!</v>
      </c>
      <c r="GG126" t="e">
        <f>'All regions'!I3157+"n/&gt;!')_"</f>
        <v>#VALUE!</v>
      </c>
      <c r="GH126" t="e">
        <f>'All regions'!J3157+"n/&gt;!')`"</f>
        <v>#VALUE!</v>
      </c>
      <c r="GI126" t="e">
        <f>'All regions'!A3158+"n/&gt;!')a"</f>
        <v>#VALUE!</v>
      </c>
      <c r="GJ126" t="e">
        <f>'All regions'!B3158+"n/&gt;!')b"</f>
        <v>#VALUE!</v>
      </c>
      <c r="GK126" t="e">
        <f>'All regions'!C3158+"n/&gt;!')c"</f>
        <v>#VALUE!</v>
      </c>
      <c r="GL126" t="e">
        <f>'All regions'!D3158+"n/&gt;!')d"</f>
        <v>#VALUE!</v>
      </c>
      <c r="GM126" t="e">
        <f>'All regions'!E3158+"n/&gt;!')e"</f>
        <v>#VALUE!</v>
      </c>
      <c r="GN126" t="e">
        <f>'All regions'!F3158+"n/&gt;!')f"</f>
        <v>#VALUE!</v>
      </c>
      <c r="GO126" t="e">
        <f>'All regions'!G3158+"n/&gt;!')g"</f>
        <v>#VALUE!</v>
      </c>
      <c r="GP126" t="e">
        <f>'All regions'!H3158+"n/&gt;!')h"</f>
        <v>#VALUE!</v>
      </c>
      <c r="GQ126" t="e">
        <f>'All regions'!I3158+"n/&gt;!')i"</f>
        <v>#VALUE!</v>
      </c>
      <c r="GR126" t="e">
        <f>'All regions'!J3158+"n/&gt;!')j"</f>
        <v>#VALUE!</v>
      </c>
      <c r="GS126" t="e">
        <f>'All regions'!A3159+"n/&gt;!')k"</f>
        <v>#VALUE!</v>
      </c>
      <c r="GT126" t="e">
        <f>'All regions'!B3159+"n/&gt;!')l"</f>
        <v>#VALUE!</v>
      </c>
      <c r="GU126" t="e">
        <f>'All regions'!C3159+"n/&gt;!')m"</f>
        <v>#VALUE!</v>
      </c>
      <c r="GV126" t="e">
        <f>'All regions'!D3159+"n/&gt;!')n"</f>
        <v>#VALUE!</v>
      </c>
      <c r="GW126" t="e">
        <f>'All regions'!E3159+"n/&gt;!')o"</f>
        <v>#VALUE!</v>
      </c>
      <c r="GX126" t="e">
        <f>'All regions'!F3159+"n/&gt;!')p"</f>
        <v>#VALUE!</v>
      </c>
      <c r="GY126" t="e">
        <f>'All regions'!G3159+"n/&gt;!')q"</f>
        <v>#VALUE!</v>
      </c>
      <c r="GZ126" t="e">
        <f>'All regions'!H3159+"n/&gt;!')r"</f>
        <v>#VALUE!</v>
      </c>
      <c r="HA126" t="e">
        <f>'All regions'!I3159+"n/&gt;!')s"</f>
        <v>#VALUE!</v>
      </c>
      <c r="HB126" t="e">
        <f>'All regions'!J3159+"n/&gt;!')t"</f>
        <v>#VALUE!</v>
      </c>
      <c r="HC126" t="e">
        <f>'All regions'!A3160+"n/&gt;!')u"</f>
        <v>#VALUE!</v>
      </c>
      <c r="HD126" t="e">
        <f>'All regions'!B3160+"n/&gt;!')v"</f>
        <v>#VALUE!</v>
      </c>
      <c r="HE126" t="e">
        <f>'All regions'!C3160+"n/&gt;!')w"</f>
        <v>#VALUE!</v>
      </c>
      <c r="HF126" t="e">
        <f>'All regions'!D3160+"n/&gt;!')x"</f>
        <v>#VALUE!</v>
      </c>
      <c r="HG126" t="e">
        <f>'All regions'!E3160+"n/&gt;!')y"</f>
        <v>#VALUE!</v>
      </c>
      <c r="HH126" t="e">
        <f>'All regions'!F3160+"n/&gt;!')z"</f>
        <v>#VALUE!</v>
      </c>
      <c r="HI126" t="e">
        <f>'All regions'!G3160+"n/&gt;!'){"</f>
        <v>#VALUE!</v>
      </c>
      <c r="HJ126" t="e">
        <f>'All regions'!H3160+"n/&gt;!')|"</f>
        <v>#VALUE!</v>
      </c>
      <c r="HK126" t="e">
        <f>'All regions'!I3160+"n/&gt;!')}"</f>
        <v>#VALUE!</v>
      </c>
      <c r="HL126" t="e">
        <f>'All regions'!J3160+"n/&gt;!')~"</f>
        <v>#VALUE!</v>
      </c>
      <c r="HM126" t="e">
        <f>'All regions'!A3161+"n/&gt;!'.#"</f>
        <v>#VALUE!</v>
      </c>
      <c r="HN126" t="e">
        <f>'All regions'!B3161+"n/&gt;!'.$"</f>
        <v>#VALUE!</v>
      </c>
      <c r="HO126" t="e">
        <f>'All regions'!C3161+"n/&gt;!'.%"</f>
        <v>#VALUE!</v>
      </c>
      <c r="HP126" t="e">
        <f>'All regions'!D3161+"n/&gt;!'.&amp;"</f>
        <v>#VALUE!</v>
      </c>
      <c r="HQ126" t="e">
        <f>'All regions'!E3161+"n/&gt;!'.'"</f>
        <v>#VALUE!</v>
      </c>
      <c r="HR126" t="e">
        <f>'All regions'!F3161+"n/&gt;!'.("</f>
        <v>#VALUE!</v>
      </c>
      <c r="HS126" t="e">
        <f>'All regions'!G3161+"n/&gt;!'.)"</f>
        <v>#VALUE!</v>
      </c>
      <c r="HT126" t="e">
        <f>'All regions'!H3161+"n/&gt;!'.."</f>
        <v>#VALUE!</v>
      </c>
      <c r="HU126" t="e">
        <f>'All regions'!I3161+"n/&gt;!'./"</f>
        <v>#VALUE!</v>
      </c>
      <c r="HV126" t="e">
        <f>'All regions'!J3161+"n/&gt;!'.0"</f>
        <v>#VALUE!</v>
      </c>
      <c r="HW126" t="e">
        <f>'All regions'!A3162+"n/&gt;!'.1"</f>
        <v>#VALUE!</v>
      </c>
      <c r="HX126" t="e">
        <f>'All regions'!B3162+"n/&gt;!'.2"</f>
        <v>#VALUE!</v>
      </c>
      <c r="HY126" t="e">
        <f>'All regions'!C3162+"n/&gt;!'.3"</f>
        <v>#VALUE!</v>
      </c>
      <c r="HZ126" t="e">
        <f>'All regions'!D3162+"n/&gt;!'.4"</f>
        <v>#VALUE!</v>
      </c>
      <c r="IA126" t="e">
        <f>'All regions'!E3162+"n/&gt;!'.5"</f>
        <v>#VALUE!</v>
      </c>
      <c r="IB126" t="e">
        <f>'All regions'!F3162+"n/&gt;!'.6"</f>
        <v>#VALUE!</v>
      </c>
      <c r="IC126" t="e">
        <f>'All regions'!G3162+"n/&gt;!'.7"</f>
        <v>#VALUE!</v>
      </c>
      <c r="ID126" t="e">
        <f>'All regions'!H3162+"n/&gt;!'.8"</f>
        <v>#VALUE!</v>
      </c>
      <c r="IE126" t="e">
        <f>'All regions'!I3162+"n/&gt;!'.9"</f>
        <v>#VALUE!</v>
      </c>
      <c r="IF126" t="e">
        <f>'All regions'!J3162+"n/&gt;!'.:"</f>
        <v>#VALUE!</v>
      </c>
      <c r="IG126" t="e">
        <f>'All regions'!A3163+"n/&gt;!'.;"</f>
        <v>#VALUE!</v>
      </c>
      <c r="IH126" t="e">
        <f>'All regions'!B3163+"n/&gt;!'.&lt;"</f>
        <v>#VALUE!</v>
      </c>
      <c r="II126" t="e">
        <f>'All regions'!C3163+"n/&gt;!'.="</f>
        <v>#VALUE!</v>
      </c>
      <c r="IJ126" t="e">
        <f>'All regions'!D3163+"n/&gt;!'.&gt;"</f>
        <v>#VALUE!</v>
      </c>
      <c r="IK126" t="e">
        <f>'All regions'!E3163+"n/&gt;!'.?"</f>
        <v>#VALUE!</v>
      </c>
      <c r="IL126" t="e">
        <f>'All regions'!F3163+"n/&gt;!'.@"</f>
        <v>#VALUE!</v>
      </c>
      <c r="IM126" t="e">
        <f>'All regions'!G3163+"n/&gt;!'.A"</f>
        <v>#VALUE!</v>
      </c>
      <c r="IN126" t="e">
        <f>'All regions'!H3163+"n/&gt;!'.B"</f>
        <v>#VALUE!</v>
      </c>
      <c r="IO126" t="e">
        <f>'All regions'!I3163+"n/&gt;!'.C"</f>
        <v>#VALUE!</v>
      </c>
      <c r="IP126" t="e">
        <f>'All regions'!J3163+"n/&gt;!'.D"</f>
        <v>#VALUE!</v>
      </c>
      <c r="IQ126" t="e">
        <f>'All regions'!A3164+"n/&gt;!'.E"</f>
        <v>#VALUE!</v>
      </c>
      <c r="IR126" t="e">
        <f>'All regions'!B3164+"n/&gt;!'.F"</f>
        <v>#VALUE!</v>
      </c>
      <c r="IS126" t="e">
        <f>'All regions'!C3164+"n/&gt;!'.G"</f>
        <v>#VALUE!</v>
      </c>
      <c r="IT126" t="e">
        <f>'All regions'!D3164+"n/&gt;!'.H"</f>
        <v>#VALUE!</v>
      </c>
      <c r="IU126" t="e">
        <f>'All regions'!E3164+"n/&gt;!'.I"</f>
        <v>#VALUE!</v>
      </c>
      <c r="IV126" t="e">
        <f>'All regions'!F3164+"n/&gt;!'.J"</f>
        <v>#VALUE!</v>
      </c>
    </row>
    <row r="127" spans="6:256" x14ac:dyDescent="0.35">
      <c r="F127" t="e">
        <f>'All regions'!G3164+"n/&gt;!'.K"</f>
        <v>#VALUE!</v>
      </c>
      <c r="G127" t="e">
        <f>'All regions'!H3164+"n/&gt;!'.L"</f>
        <v>#VALUE!</v>
      </c>
      <c r="H127" t="e">
        <f>'All regions'!I3164+"n/&gt;!'.M"</f>
        <v>#VALUE!</v>
      </c>
      <c r="I127" t="e">
        <f>'All regions'!J3164+"n/&gt;!'.N"</f>
        <v>#VALUE!</v>
      </c>
      <c r="J127" t="e">
        <f>'All regions'!A3165+"n/&gt;!'.O"</f>
        <v>#VALUE!</v>
      </c>
      <c r="K127" t="e">
        <f>'All regions'!B3165+"n/&gt;!'.P"</f>
        <v>#VALUE!</v>
      </c>
      <c r="L127" t="e">
        <f>'All regions'!C3165+"n/&gt;!'.Q"</f>
        <v>#VALUE!</v>
      </c>
      <c r="M127" t="e">
        <f>'All regions'!D3165+"n/&gt;!'.R"</f>
        <v>#VALUE!</v>
      </c>
      <c r="N127" t="e">
        <f>'All regions'!E3165+"n/&gt;!'.S"</f>
        <v>#VALUE!</v>
      </c>
      <c r="O127" t="e">
        <f>'All regions'!F3165+"n/&gt;!'.T"</f>
        <v>#VALUE!</v>
      </c>
      <c r="P127" t="e">
        <f>'All regions'!G3165+"n/&gt;!'.U"</f>
        <v>#VALUE!</v>
      </c>
      <c r="Q127" t="e">
        <f>'All regions'!H3165+"n/&gt;!'.V"</f>
        <v>#VALUE!</v>
      </c>
      <c r="R127" t="e">
        <f>'All regions'!I3165+"n/&gt;!'.W"</f>
        <v>#VALUE!</v>
      </c>
      <c r="S127" t="e">
        <f>'All regions'!J3165+"n/&gt;!'.X"</f>
        <v>#VALUE!</v>
      </c>
      <c r="T127" t="e">
        <f>'All regions'!A3166+"n/&gt;!'.Y"</f>
        <v>#VALUE!</v>
      </c>
      <c r="U127" t="e">
        <f>'All regions'!B3166+"n/&gt;!'.Z"</f>
        <v>#VALUE!</v>
      </c>
      <c r="V127" t="e">
        <f>'All regions'!C3166+"n/&gt;!'.["</f>
        <v>#VALUE!</v>
      </c>
      <c r="W127" t="e">
        <f>'All regions'!D3166+"n/&gt;!'.\"</f>
        <v>#VALUE!</v>
      </c>
      <c r="X127" t="e">
        <f>'All regions'!E3166+"n/&gt;!'.]"</f>
        <v>#VALUE!</v>
      </c>
      <c r="Y127" t="e">
        <f>'All regions'!F3166+"n/&gt;!'.^"</f>
        <v>#VALUE!</v>
      </c>
      <c r="Z127" t="e">
        <f>'All regions'!G3166+"n/&gt;!'._"</f>
        <v>#VALUE!</v>
      </c>
      <c r="AA127" t="e">
        <f>'All regions'!H3166+"n/&gt;!'.`"</f>
        <v>#VALUE!</v>
      </c>
      <c r="AB127" t="e">
        <f>'All regions'!I3166+"n/&gt;!'.a"</f>
        <v>#VALUE!</v>
      </c>
      <c r="AC127" t="e">
        <f>'All regions'!J3166+"n/&gt;!'.b"</f>
        <v>#VALUE!</v>
      </c>
      <c r="AD127" t="e">
        <f>'All regions'!A3167+"n/&gt;!'.c"</f>
        <v>#VALUE!</v>
      </c>
      <c r="AE127" t="e">
        <f>'All regions'!B3167+"n/&gt;!'.d"</f>
        <v>#VALUE!</v>
      </c>
      <c r="AF127" t="e">
        <f>'All regions'!C3167+"n/&gt;!'.e"</f>
        <v>#VALUE!</v>
      </c>
      <c r="AG127" t="e">
        <f>'All regions'!D3167+"n/&gt;!'.f"</f>
        <v>#VALUE!</v>
      </c>
      <c r="AH127" t="e">
        <f>'All regions'!E3167+"n/&gt;!'.g"</f>
        <v>#VALUE!</v>
      </c>
      <c r="AI127" t="e">
        <f>'All regions'!F3167+"n/&gt;!'.h"</f>
        <v>#VALUE!</v>
      </c>
      <c r="AJ127" t="e">
        <f>'All regions'!G3167+"n/&gt;!'.i"</f>
        <v>#VALUE!</v>
      </c>
      <c r="AK127" t="e">
        <f>'All regions'!H3167+"n/&gt;!'.j"</f>
        <v>#VALUE!</v>
      </c>
      <c r="AL127" t="e">
        <f>'All regions'!I3167+"n/&gt;!'.k"</f>
        <v>#VALUE!</v>
      </c>
      <c r="AM127" t="e">
        <f>'All regions'!J3167+"n/&gt;!'.l"</f>
        <v>#VALUE!</v>
      </c>
      <c r="AN127" t="e">
        <f>'All regions'!A3168+"n/&gt;!'.m"</f>
        <v>#VALUE!</v>
      </c>
      <c r="AO127" t="e">
        <f>'All regions'!B3168+"n/&gt;!'.n"</f>
        <v>#VALUE!</v>
      </c>
      <c r="AP127" t="e">
        <f>'All regions'!C3168+"n/&gt;!'.o"</f>
        <v>#VALUE!</v>
      </c>
      <c r="AQ127" t="e">
        <f>'All regions'!D3168+"n/&gt;!'.p"</f>
        <v>#VALUE!</v>
      </c>
      <c r="AR127" t="e">
        <f>'All regions'!E3168+"n/&gt;!'.q"</f>
        <v>#VALUE!</v>
      </c>
      <c r="AS127" t="e">
        <f>'All regions'!F3168+"n/&gt;!'.r"</f>
        <v>#VALUE!</v>
      </c>
      <c r="AT127" t="e">
        <f>'All regions'!G3168+"n/&gt;!'.s"</f>
        <v>#VALUE!</v>
      </c>
      <c r="AU127" t="e">
        <f>'All regions'!H3168+"n/&gt;!'.t"</f>
        <v>#VALUE!</v>
      </c>
      <c r="AV127" t="e">
        <f>'All regions'!I3168+"n/&gt;!'.u"</f>
        <v>#VALUE!</v>
      </c>
      <c r="AW127" t="e">
        <f>'All regions'!J3168+"n/&gt;!'.v"</f>
        <v>#VALUE!</v>
      </c>
      <c r="AX127" t="e">
        <f>'All regions'!A3169+"n/&gt;!'.w"</f>
        <v>#VALUE!</v>
      </c>
      <c r="AY127" t="e">
        <f>'All regions'!B3169+"n/&gt;!'.x"</f>
        <v>#VALUE!</v>
      </c>
      <c r="AZ127" t="e">
        <f>'All regions'!C3169+"n/&gt;!'.y"</f>
        <v>#VALUE!</v>
      </c>
      <c r="BA127" t="e">
        <f>'All regions'!D3169+"n/&gt;!'.z"</f>
        <v>#VALUE!</v>
      </c>
      <c r="BB127" t="e">
        <f>'All regions'!E3169+"n/&gt;!'.{"</f>
        <v>#VALUE!</v>
      </c>
      <c r="BC127" t="e">
        <f>'All regions'!F3169+"n/&gt;!'.|"</f>
        <v>#VALUE!</v>
      </c>
      <c r="BD127" t="e">
        <f>'All regions'!G3169+"n/&gt;!'.}"</f>
        <v>#VALUE!</v>
      </c>
      <c r="BE127" t="e">
        <f>'All regions'!H3169+"n/&gt;!'.~"</f>
        <v>#VALUE!</v>
      </c>
      <c r="BF127" t="e">
        <f>'All regions'!I3169+"n/&gt;!'/#"</f>
        <v>#VALUE!</v>
      </c>
      <c r="BG127" t="e">
        <f>'All regions'!J3169+"n/&gt;!'/$"</f>
        <v>#VALUE!</v>
      </c>
      <c r="BH127" t="e">
        <f>'All regions'!A3170+"n/&gt;!'/%"</f>
        <v>#VALUE!</v>
      </c>
      <c r="BI127" t="e">
        <f>'All regions'!B3170+"n/&gt;!'/&amp;"</f>
        <v>#VALUE!</v>
      </c>
      <c r="BJ127" t="e">
        <f>'All regions'!C3170+"n/&gt;!'/'"</f>
        <v>#VALUE!</v>
      </c>
      <c r="BK127" t="e">
        <f>'All regions'!D3170+"n/&gt;!'/("</f>
        <v>#VALUE!</v>
      </c>
      <c r="BL127" t="e">
        <f>'All regions'!E3170+"n/&gt;!'/)"</f>
        <v>#VALUE!</v>
      </c>
      <c r="BM127" t="e">
        <f>'All regions'!F3170+"n/&gt;!'/."</f>
        <v>#VALUE!</v>
      </c>
      <c r="BN127" t="e">
        <f>'All regions'!G3170+"n/&gt;!'//"</f>
        <v>#VALUE!</v>
      </c>
      <c r="BO127" t="e">
        <f>'All regions'!H3170+"n/&gt;!'/0"</f>
        <v>#VALUE!</v>
      </c>
      <c r="BP127" t="e">
        <f>'All regions'!I3170+"n/&gt;!'/1"</f>
        <v>#VALUE!</v>
      </c>
      <c r="BQ127" t="e">
        <f>'All regions'!J3170+"n/&gt;!'/2"</f>
        <v>#VALUE!</v>
      </c>
      <c r="BR127" t="e">
        <f>'All regions'!A3171+"n/&gt;!'/3"</f>
        <v>#VALUE!</v>
      </c>
      <c r="BS127" t="e">
        <f>'All regions'!B3171+"n/&gt;!'/4"</f>
        <v>#VALUE!</v>
      </c>
      <c r="BT127" t="e">
        <f>'All regions'!C3171+"n/&gt;!'/5"</f>
        <v>#VALUE!</v>
      </c>
      <c r="BU127" t="e">
        <f>'All regions'!D3171+"n/&gt;!'/6"</f>
        <v>#VALUE!</v>
      </c>
      <c r="BV127" t="e">
        <f>'All regions'!E3171+"n/&gt;!'/7"</f>
        <v>#VALUE!</v>
      </c>
      <c r="BW127" t="e">
        <f>'All regions'!F3171+"n/&gt;!'/8"</f>
        <v>#VALUE!</v>
      </c>
      <c r="BX127" t="e">
        <f>'All regions'!G3171+"n/&gt;!'/9"</f>
        <v>#VALUE!</v>
      </c>
      <c r="BY127" t="e">
        <f>'All regions'!H3171+"n/&gt;!'/:"</f>
        <v>#VALUE!</v>
      </c>
      <c r="BZ127" t="e">
        <f>'All regions'!I3171+"n/&gt;!'/;"</f>
        <v>#VALUE!</v>
      </c>
      <c r="CA127" t="e">
        <f>'All regions'!J3171+"n/&gt;!'/&lt;"</f>
        <v>#VALUE!</v>
      </c>
      <c r="CB127" t="e">
        <f>'All regions'!A3172+"n/&gt;!'/="</f>
        <v>#VALUE!</v>
      </c>
      <c r="CC127" t="e">
        <f>'All regions'!B3172+"n/&gt;!'/&gt;"</f>
        <v>#VALUE!</v>
      </c>
      <c r="CD127" t="e">
        <f>'All regions'!C3172+"n/&gt;!'/?"</f>
        <v>#VALUE!</v>
      </c>
      <c r="CE127" t="e">
        <f>'All regions'!D3172+"n/&gt;!'/@"</f>
        <v>#VALUE!</v>
      </c>
      <c r="CF127" t="e">
        <f>'All regions'!E3172+"n/&gt;!'/A"</f>
        <v>#VALUE!</v>
      </c>
      <c r="CG127" t="e">
        <f>'All regions'!F3172+"n/&gt;!'/B"</f>
        <v>#VALUE!</v>
      </c>
      <c r="CH127" t="e">
        <f>'All regions'!G3172+"n/&gt;!'/C"</f>
        <v>#VALUE!</v>
      </c>
      <c r="CI127" t="e">
        <f>'All regions'!H3172+"n/&gt;!'/D"</f>
        <v>#VALUE!</v>
      </c>
      <c r="CJ127" t="e">
        <f>'All regions'!I3172+"n/&gt;!'/E"</f>
        <v>#VALUE!</v>
      </c>
      <c r="CK127" t="e">
        <f>'All regions'!J3172+"n/&gt;!'/F"</f>
        <v>#VALUE!</v>
      </c>
      <c r="CL127" t="e">
        <f>'All regions'!A3173+"n/&gt;!'/G"</f>
        <v>#VALUE!</v>
      </c>
      <c r="CM127" t="e">
        <f>'All regions'!B3173+"n/&gt;!'/H"</f>
        <v>#VALUE!</v>
      </c>
      <c r="CN127" t="e">
        <f>'All regions'!C3173+"n/&gt;!'/I"</f>
        <v>#VALUE!</v>
      </c>
      <c r="CO127" t="e">
        <f>'All regions'!D3173+"n/&gt;!'/J"</f>
        <v>#VALUE!</v>
      </c>
      <c r="CP127" t="e">
        <f>'All regions'!E3173+"n/&gt;!'/K"</f>
        <v>#VALUE!</v>
      </c>
      <c r="CQ127" t="e">
        <f>'All regions'!F3173+"n/&gt;!'/L"</f>
        <v>#VALUE!</v>
      </c>
      <c r="CR127" t="e">
        <f>'All regions'!G3173+"n/&gt;!'/M"</f>
        <v>#VALUE!</v>
      </c>
      <c r="CS127" t="e">
        <f>'All regions'!H3173+"n/&gt;!'/N"</f>
        <v>#VALUE!</v>
      </c>
      <c r="CT127" t="e">
        <f>'All regions'!I3173+"n/&gt;!'/O"</f>
        <v>#VALUE!</v>
      </c>
      <c r="CU127" t="e">
        <f>'All regions'!J3173+"n/&gt;!'/P"</f>
        <v>#VALUE!</v>
      </c>
      <c r="CV127" t="e">
        <f>'All regions'!A3174+"n/&gt;!'/Q"</f>
        <v>#VALUE!</v>
      </c>
      <c r="CW127" t="e">
        <f>'All regions'!B3174+"n/&gt;!'/R"</f>
        <v>#VALUE!</v>
      </c>
      <c r="CX127" t="e">
        <f>'All regions'!C3174+"n/&gt;!'/S"</f>
        <v>#VALUE!</v>
      </c>
      <c r="CY127" t="e">
        <f>'All regions'!D3174+"n/&gt;!'/T"</f>
        <v>#VALUE!</v>
      </c>
      <c r="CZ127" t="e">
        <f>'All regions'!E3174+"n/&gt;!'/U"</f>
        <v>#VALUE!</v>
      </c>
      <c r="DA127" t="e">
        <f>'All regions'!F3174+"n/&gt;!'/V"</f>
        <v>#VALUE!</v>
      </c>
      <c r="DB127" t="e">
        <f>'All regions'!G3174+"n/&gt;!'/W"</f>
        <v>#VALUE!</v>
      </c>
      <c r="DC127" t="e">
        <f>'All regions'!H3174+"n/&gt;!'/X"</f>
        <v>#VALUE!</v>
      </c>
      <c r="DD127" t="e">
        <f>'All regions'!I3174+"n/&gt;!'/Y"</f>
        <v>#VALUE!</v>
      </c>
      <c r="DE127" t="e">
        <f>'All regions'!J3174+"n/&gt;!'/Z"</f>
        <v>#VALUE!</v>
      </c>
      <c r="DF127" t="e">
        <f>'All regions'!A3175+"n/&gt;!'/["</f>
        <v>#VALUE!</v>
      </c>
      <c r="DG127" t="e">
        <f>'All regions'!B3175+"n/&gt;!'/\"</f>
        <v>#VALUE!</v>
      </c>
      <c r="DH127" t="e">
        <f>'All regions'!C3175+"n/&gt;!'/]"</f>
        <v>#VALUE!</v>
      </c>
      <c r="DI127" t="e">
        <f>'All regions'!D3175+"n/&gt;!'/^"</f>
        <v>#VALUE!</v>
      </c>
      <c r="DJ127" t="e">
        <f>'All regions'!E3175+"n/&gt;!'/_"</f>
        <v>#VALUE!</v>
      </c>
      <c r="DK127" t="e">
        <f>'All regions'!F3175+"n/&gt;!'/`"</f>
        <v>#VALUE!</v>
      </c>
      <c r="DL127" t="e">
        <f>'All regions'!G3175+"n/&gt;!'/a"</f>
        <v>#VALUE!</v>
      </c>
      <c r="DM127" t="e">
        <f>'All regions'!H3175+"n/&gt;!'/b"</f>
        <v>#VALUE!</v>
      </c>
      <c r="DN127" t="e">
        <f>'All regions'!I3175+"n/&gt;!'/c"</f>
        <v>#VALUE!</v>
      </c>
      <c r="DO127" t="e">
        <f>'All regions'!J3175+"n/&gt;!'/d"</f>
        <v>#VALUE!</v>
      </c>
      <c r="DP127" t="e">
        <f>'All regions'!A3176+"n/&gt;!'/e"</f>
        <v>#VALUE!</v>
      </c>
      <c r="DQ127" t="e">
        <f>'All regions'!B3176+"n/&gt;!'/f"</f>
        <v>#VALUE!</v>
      </c>
      <c r="DR127" t="e">
        <f>'All regions'!C3176+"n/&gt;!'/g"</f>
        <v>#VALUE!</v>
      </c>
      <c r="DS127" t="e">
        <f>'All regions'!D3176+"n/&gt;!'/h"</f>
        <v>#VALUE!</v>
      </c>
      <c r="DT127" t="e">
        <f>'All regions'!E3176+"n/&gt;!'/i"</f>
        <v>#VALUE!</v>
      </c>
      <c r="DU127" t="e">
        <f>'All regions'!F3176+"n/&gt;!'/j"</f>
        <v>#VALUE!</v>
      </c>
      <c r="DV127" t="e">
        <f>'All regions'!G3176+"n/&gt;!'/k"</f>
        <v>#VALUE!</v>
      </c>
      <c r="DW127" t="e">
        <f>'All regions'!H3176+"n/&gt;!'/l"</f>
        <v>#VALUE!</v>
      </c>
      <c r="DX127" t="e">
        <f>'All regions'!I3176+"n/&gt;!'/m"</f>
        <v>#VALUE!</v>
      </c>
      <c r="DY127" t="e">
        <f>'All regions'!J3176+"n/&gt;!'/n"</f>
        <v>#VALUE!</v>
      </c>
      <c r="DZ127" t="e">
        <f>'All regions'!A3177+"n/&gt;!'/o"</f>
        <v>#VALUE!</v>
      </c>
      <c r="EA127" t="e">
        <f>'All regions'!B3177+"n/&gt;!'/p"</f>
        <v>#VALUE!</v>
      </c>
      <c r="EB127" t="e">
        <f>'All regions'!C3177+"n/&gt;!'/q"</f>
        <v>#VALUE!</v>
      </c>
      <c r="EC127" t="e">
        <f>'All regions'!D3177+"n/&gt;!'/r"</f>
        <v>#VALUE!</v>
      </c>
      <c r="ED127" t="e">
        <f>'All regions'!E3177+"n/&gt;!'/s"</f>
        <v>#VALUE!</v>
      </c>
      <c r="EE127" t="e">
        <f>'All regions'!F3177+"n/&gt;!'/t"</f>
        <v>#VALUE!</v>
      </c>
      <c r="EF127" t="e">
        <f>'All regions'!G3177+"n/&gt;!'/u"</f>
        <v>#VALUE!</v>
      </c>
      <c r="EG127" t="e">
        <f>'All regions'!H3177+"n/&gt;!'/v"</f>
        <v>#VALUE!</v>
      </c>
      <c r="EH127" t="e">
        <f>'All regions'!I3177+"n/&gt;!'/w"</f>
        <v>#VALUE!</v>
      </c>
      <c r="EI127" t="e">
        <f>'All regions'!J3177+"n/&gt;!'/x"</f>
        <v>#VALUE!</v>
      </c>
      <c r="EJ127" t="e">
        <f>'All regions'!A3178+"n/&gt;!'/y"</f>
        <v>#VALUE!</v>
      </c>
      <c r="EK127" t="e">
        <f>'All regions'!B3178+"n/&gt;!'/z"</f>
        <v>#VALUE!</v>
      </c>
      <c r="EL127" t="e">
        <f>'All regions'!C3178+"n/&gt;!'/{"</f>
        <v>#VALUE!</v>
      </c>
      <c r="EM127" t="e">
        <f>'All regions'!D3178+"n/&gt;!'/|"</f>
        <v>#VALUE!</v>
      </c>
      <c r="EN127" t="e">
        <f>'All regions'!E3178+"n/&gt;!'/}"</f>
        <v>#VALUE!</v>
      </c>
      <c r="EO127" t="e">
        <f>'All regions'!F3178+"n/&gt;!'/~"</f>
        <v>#VALUE!</v>
      </c>
      <c r="EP127" t="e">
        <f>'All regions'!G3178+"n/&gt;!'0#"</f>
        <v>#VALUE!</v>
      </c>
      <c r="EQ127" t="e">
        <f>'All regions'!H3178+"n/&gt;!'0$"</f>
        <v>#VALUE!</v>
      </c>
      <c r="ER127" t="e">
        <f>'All regions'!I3178+"n/&gt;!'0%"</f>
        <v>#VALUE!</v>
      </c>
      <c r="ES127" t="e">
        <f>'All regions'!J3178+"n/&gt;!'0&amp;"</f>
        <v>#VALUE!</v>
      </c>
      <c r="ET127" t="e">
        <f>'All regions'!A3179+"n/&gt;!'0'"</f>
        <v>#VALUE!</v>
      </c>
      <c r="EU127" t="e">
        <f>'All regions'!B3179+"n/&gt;!'0("</f>
        <v>#VALUE!</v>
      </c>
      <c r="EV127" t="e">
        <f>'All regions'!C3179+"n/&gt;!'0)"</f>
        <v>#VALUE!</v>
      </c>
      <c r="EW127" t="e">
        <f>'All regions'!D3179+"n/&gt;!'0."</f>
        <v>#VALUE!</v>
      </c>
      <c r="EX127" t="e">
        <f>'All regions'!E3179+"n/&gt;!'0/"</f>
        <v>#VALUE!</v>
      </c>
      <c r="EY127" t="e">
        <f>'All regions'!F3179+"n/&gt;!'00"</f>
        <v>#VALUE!</v>
      </c>
      <c r="EZ127" t="e">
        <f>'All regions'!G3179+"n/&gt;!'01"</f>
        <v>#VALUE!</v>
      </c>
      <c r="FA127" t="e">
        <f>'All regions'!H3179+"n/&gt;!'02"</f>
        <v>#VALUE!</v>
      </c>
      <c r="FB127" t="e">
        <f>'All regions'!I3179+"n/&gt;!'03"</f>
        <v>#VALUE!</v>
      </c>
      <c r="FC127" t="e">
        <f>'All regions'!J3179+"n/&gt;!'04"</f>
        <v>#VALUE!</v>
      </c>
      <c r="FD127" t="e">
        <f>'All regions'!A3180+"n/&gt;!'05"</f>
        <v>#VALUE!</v>
      </c>
      <c r="FE127" t="e">
        <f>'All regions'!B3180+"n/&gt;!'06"</f>
        <v>#VALUE!</v>
      </c>
      <c r="FF127" t="e">
        <f>'All regions'!C3180+"n/&gt;!'07"</f>
        <v>#VALUE!</v>
      </c>
      <c r="FG127" t="e">
        <f>'All regions'!D3180+"n/&gt;!'08"</f>
        <v>#VALUE!</v>
      </c>
      <c r="FH127" t="e">
        <f>'All regions'!E3180+"n/&gt;!'09"</f>
        <v>#VALUE!</v>
      </c>
      <c r="FI127" t="e">
        <f>'All regions'!F3180+"n/&gt;!'0:"</f>
        <v>#VALUE!</v>
      </c>
      <c r="FJ127" t="e">
        <f>'All regions'!G3180+"n/&gt;!'0;"</f>
        <v>#VALUE!</v>
      </c>
      <c r="FK127" t="e">
        <f>'All regions'!H3180+"n/&gt;!'0&lt;"</f>
        <v>#VALUE!</v>
      </c>
      <c r="FL127" t="e">
        <f>'All regions'!I3180+"n/&gt;!'0="</f>
        <v>#VALUE!</v>
      </c>
      <c r="FM127" t="e">
        <f>'All regions'!J3180+"n/&gt;!'0&gt;"</f>
        <v>#VALUE!</v>
      </c>
      <c r="FN127" t="e">
        <f>'All regions'!A3181+"n/&gt;!'0?"</f>
        <v>#VALUE!</v>
      </c>
      <c r="FO127" t="e">
        <f>'All regions'!B3181+"n/&gt;!'0@"</f>
        <v>#VALUE!</v>
      </c>
      <c r="FP127" t="e">
        <f>'All regions'!C3181+"n/&gt;!'0A"</f>
        <v>#VALUE!</v>
      </c>
      <c r="FQ127" t="e">
        <f>'All regions'!D3181+"n/&gt;!'0B"</f>
        <v>#VALUE!</v>
      </c>
      <c r="FR127" t="e">
        <f>'All regions'!E3181+"n/&gt;!'0C"</f>
        <v>#VALUE!</v>
      </c>
      <c r="FS127" t="e">
        <f>'All regions'!F3181+"n/&gt;!'0D"</f>
        <v>#VALUE!</v>
      </c>
      <c r="FT127" t="e">
        <f>'All regions'!G3181+"n/&gt;!'0E"</f>
        <v>#VALUE!</v>
      </c>
      <c r="FU127" t="e">
        <f>'All regions'!H3181+"n/&gt;!'0F"</f>
        <v>#VALUE!</v>
      </c>
      <c r="FV127" t="e">
        <f>'All regions'!I3181+"n/&gt;!'0G"</f>
        <v>#VALUE!</v>
      </c>
      <c r="FW127" t="e">
        <f>'All regions'!J3181+"n/&gt;!'0H"</f>
        <v>#VALUE!</v>
      </c>
      <c r="FX127" t="e">
        <f>'All regions'!A3182+"n/&gt;!'0I"</f>
        <v>#VALUE!</v>
      </c>
      <c r="FY127" t="e">
        <f>'All regions'!B3182+"n/&gt;!'0J"</f>
        <v>#VALUE!</v>
      </c>
      <c r="FZ127" t="e">
        <f>'All regions'!C3182+"n/&gt;!'0K"</f>
        <v>#VALUE!</v>
      </c>
      <c r="GA127" t="e">
        <f>'All regions'!D3182+"n/&gt;!'0L"</f>
        <v>#VALUE!</v>
      </c>
      <c r="GB127" t="e">
        <f>'All regions'!E3182+"n/&gt;!'0M"</f>
        <v>#VALUE!</v>
      </c>
      <c r="GC127" t="e">
        <f>'All regions'!F3182+"n/&gt;!'0N"</f>
        <v>#VALUE!</v>
      </c>
      <c r="GD127" t="e">
        <f>'All regions'!G3182+"n/&gt;!'0O"</f>
        <v>#VALUE!</v>
      </c>
      <c r="GE127" t="e">
        <f>'All regions'!H3182+"n/&gt;!'0P"</f>
        <v>#VALUE!</v>
      </c>
      <c r="GF127" t="e">
        <f>'All regions'!I3182+"n/&gt;!'0Q"</f>
        <v>#VALUE!</v>
      </c>
      <c r="GG127" t="e">
        <f>'All regions'!J3182+"n/&gt;!'0R"</f>
        <v>#VALUE!</v>
      </c>
      <c r="GH127" t="e">
        <f>'All regions'!A3183+"n/&gt;!'0S"</f>
        <v>#VALUE!</v>
      </c>
      <c r="GI127" t="e">
        <f>'All regions'!B3183+"n/&gt;!'0T"</f>
        <v>#VALUE!</v>
      </c>
      <c r="GJ127" t="e">
        <f>'All regions'!C3183+"n/&gt;!'0U"</f>
        <v>#VALUE!</v>
      </c>
      <c r="GK127" t="e">
        <f>'All regions'!D3183+"n/&gt;!'0V"</f>
        <v>#VALUE!</v>
      </c>
      <c r="GL127" t="e">
        <f>'All regions'!E3183+"n/&gt;!'0W"</f>
        <v>#VALUE!</v>
      </c>
      <c r="GM127" t="e">
        <f>'All regions'!F3183+"n/&gt;!'0X"</f>
        <v>#VALUE!</v>
      </c>
      <c r="GN127" t="e">
        <f>'All regions'!G3183+"n/&gt;!'0Y"</f>
        <v>#VALUE!</v>
      </c>
      <c r="GO127" t="e">
        <f>'All regions'!H3183+"n/&gt;!'0Z"</f>
        <v>#VALUE!</v>
      </c>
      <c r="GP127" t="e">
        <f>'All regions'!I3183+"n/&gt;!'0["</f>
        <v>#VALUE!</v>
      </c>
      <c r="GQ127" t="e">
        <f>'All regions'!J3183+"n/&gt;!'0\"</f>
        <v>#VALUE!</v>
      </c>
      <c r="GR127" t="e">
        <f>'All regions'!A3184+"n/&gt;!'0]"</f>
        <v>#VALUE!</v>
      </c>
      <c r="GS127" t="e">
        <f>'All regions'!B3184+"n/&gt;!'0^"</f>
        <v>#VALUE!</v>
      </c>
      <c r="GT127" t="e">
        <f>'All regions'!C3184+"n/&gt;!'0_"</f>
        <v>#VALUE!</v>
      </c>
      <c r="GU127" t="e">
        <f>'All regions'!D3184+"n/&gt;!'0`"</f>
        <v>#VALUE!</v>
      </c>
      <c r="GV127" t="e">
        <f>'All regions'!E3184+"n/&gt;!'0a"</f>
        <v>#VALUE!</v>
      </c>
      <c r="GW127" t="e">
        <f>'All regions'!F3184+"n/&gt;!'0b"</f>
        <v>#VALUE!</v>
      </c>
      <c r="GX127" t="e">
        <f>'All regions'!G3184+"n/&gt;!'0c"</f>
        <v>#VALUE!</v>
      </c>
      <c r="GY127" t="e">
        <f>'All regions'!H3184+"n/&gt;!'0d"</f>
        <v>#VALUE!</v>
      </c>
      <c r="GZ127" t="e">
        <f>'All regions'!I3184+"n/&gt;!'0e"</f>
        <v>#VALUE!</v>
      </c>
      <c r="HA127" t="e">
        <f>'All regions'!J3184+"n/&gt;!'0f"</f>
        <v>#VALUE!</v>
      </c>
      <c r="HB127" t="e">
        <f>'All regions'!A3185+"n/&gt;!'0g"</f>
        <v>#VALUE!</v>
      </c>
      <c r="HC127" t="e">
        <f>'All regions'!B3185+"n/&gt;!'0h"</f>
        <v>#VALUE!</v>
      </c>
      <c r="HD127" t="e">
        <f>'All regions'!C3185+"n/&gt;!'0i"</f>
        <v>#VALUE!</v>
      </c>
      <c r="HE127" t="e">
        <f>'All regions'!D3185+"n/&gt;!'0j"</f>
        <v>#VALUE!</v>
      </c>
      <c r="HF127" t="e">
        <f>'All regions'!E3185+"n/&gt;!'0k"</f>
        <v>#VALUE!</v>
      </c>
      <c r="HG127" t="e">
        <f>'All regions'!F3185+"n/&gt;!'0l"</f>
        <v>#VALUE!</v>
      </c>
      <c r="HH127" t="e">
        <f>'All regions'!G3185+"n/&gt;!'0m"</f>
        <v>#VALUE!</v>
      </c>
      <c r="HI127" t="e">
        <f>'All regions'!H3185+"n/&gt;!'0n"</f>
        <v>#VALUE!</v>
      </c>
      <c r="HJ127" t="e">
        <f>'All regions'!I3185+"n/&gt;!'0o"</f>
        <v>#VALUE!</v>
      </c>
      <c r="HK127" t="e">
        <f>'All regions'!J3185+"n/&gt;!'0p"</f>
        <v>#VALUE!</v>
      </c>
      <c r="HL127" t="e">
        <f>'All regions'!A3186+"n/&gt;!'0q"</f>
        <v>#VALUE!</v>
      </c>
      <c r="HM127" t="e">
        <f>'All regions'!B3186+"n/&gt;!'0r"</f>
        <v>#VALUE!</v>
      </c>
      <c r="HN127" t="e">
        <f>'All regions'!C3186+"n/&gt;!'0s"</f>
        <v>#VALUE!</v>
      </c>
      <c r="HO127" t="e">
        <f>'All regions'!D3186+"n/&gt;!'0t"</f>
        <v>#VALUE!</v>
      </c>
      <c r="HP127" t="e">
        <f>'All regions'!E3186+"n/&gt;!'0u"</f>
        <v>#VALUE!</v>
      </c>
      <c r="HQ127" t="e">
        <f>'All regions'!F3186+"n/&gt;!'0v"</f>
        <v>#VALUE!</v>
      </c>
      <c r="HR127" t="e">
        <f>'All regions'!G3186+"n/&gt;!'0w"</f>
        <v>#VALUE!</v>
      </c>
      <c r="HS127" t="e">
        <f>'All regions'!H3186+"n/&gt;!'0x"</f>
        <v>#VALUE!</v>
      </c>
      <c r="HT127" t="e">
        <f>'All regions'!I3186+"n/&gt;!'0y"</f>
        <v>#VALUE!</v>
      </c>
      <c r="HU127" t="e">
        <f>'All regions'!J3186+"n/&gt;!'0z"</f>
        <v>#VALUE!</v>
      </c>
      <c r="HV127" t="e">
        <f>'All regions'!A3187+"n/&gt;!'0{"</f>
        <v>#VALUE!</v>
      </c>
      <c r="HW127" t="e">
        <f>'All regions'!B3187+"n/&gt;!'0|"</f>
        <v>#VALUE!</v>
      </c>
      <c r="HX127" t="e">
        <f>'All regions'!C3187+"n/&gt;!'0}"</f>
        <v>#VALUE!</v>
      </c>
      <c r="HY127" t="e">
        <f>'All regions'!D3187+"n/&gt;!'0~"</f>
        <v>#VALUE!</v>
      </c>
      <c r="HZ127" t="e">
        <f>'All regions'!E3187+"n/&gt;!'1#"</f>
        <v>#VALUE!</v>
      </c>
      <c r="IA127" t="e">
        <f>'All regions'!F3187+"n/&gt;!'1$"</f>
        <v>#VALUE!</v>
      </c>
      <c r="IB127" t="e">
        <f>'All regions'!G3187+"n/&gt;!'1%"</f>
        <v>#VALUE!</v>
      </c>
      <c r="IC127" t="e">
        <f>'All regions'!H3187+"n/&gt;!'1&amp;"</f>
        <v>#VALUE!</v>
      </c>
      <c r="ID127" t="e">
        <f>'All regions'!I3187+"n/&gt;!'1'"</f>
        <v>#VALUE!</v>
      </c>
      <c r="IE127" t="e">
        <f>'All regions'!J3187+"n/&gt;!'1("</f>
        <v>#VALUE!</v>
      </c>
      <c r="IF127" t="e">
        <f>'All regions'!A3188+"n/&gt;!'1)"</f>
        <v>#VALUE!</v>
      </c>
      <c r="IG127" t="e">
        <f>'All regions'!B3188+"n/&gt;!'1."</f>
        <v>#VALUE!</v>
      </c>
      <c r="IH127" t="e">
        <f>'All regions'!C3188+"n/&gt;!'1/"</f>
        <v>#VALUE!</v>
      </c>
      <c r="II127" t="e">
        <f>'All regions'!D3188+"n/&gt;!'10"</f>
        <v>#VALUE!</v>
      </c>
      <c r="IJ127" t="e">
        <f>'All regions'!E3188+"n/&gt;!'11"</f>
        <v>#VALUE!</v>
      </c>
      <c r="IK127" t="e">
        <f>'All regions'!F3188+"n/&gt;!'12"</f>
        <v>#VALUE!</v>
      </c>
      <c r="IL127" t="e">
        <f>'All regions'!G3188+"n/&gt;!'13"</f>
        <v>#VALUE!</v>
      </c>
      <c r="IM127" t="e">
        <f>'All regions'!H3188+"n/&gt;!'14"</f>
        <v>#VALUE!</v>
      </c>
      <c r="IN127" t="e">
        <f>'All regions'!I3188+"n/&gt;!'15"</f>
        <v>#VALUE!</v>
      </c>
      <c r="IO127" t="e">
        <f>'All regions'!J3188+"n/&gt;!'16"</f>
        <v>#VALUE!</v>
      </c>
      <c r="IP127" t="e">
        <f>'All regions'!A3189+"n/&gt;!'17"</f>
        <v>#VALUE!</v>
      </c>
      <c r="IQ127" t="e">
        <f>'All regions'!B3189+"n/&gt;!'18"</f>
        <v>#VALUE!</v>
      </c>
      <c r="IR127" t="e">
        <f>'All regions'!C3189+"n/&gt;!'19"</f>
        <v>#VALUE!</v>
      </c>
      <c r="IS127" t="e">
        <f>'All regions'!D3189+"n/&gt;!'1:"</f>
        <v>#VALUE!</v>
      </c>
      <c r="IT127" t="e">
        <f>'All regions'!E3189+"n/&gt;!'1;"</f>
        <v>#VALUE!</v>
      </c>
      <c r="IU127" t="e">
        <f>'All regions'!F3189+"n/&gt;!'1&lt;"</f>
        <v>#VALUE!</v>
      </c>
      <c r="IV127" t="e">
        <f>'All regions'!G3189+"n/&gt;!'1="</f>
        <v>#VALUE!</v>
      </c>
    </row>
    <row r="128" spans="6:256" x14ac:dyDescent="0.35">
      <c r="F128" t="e">
        <f>'All regions'!H3189+"n/&gt;!'1&gt;"</f>
        <v>#VALUE!</v>
      </c>
      <c r="G128" t="e">
        <f>'All regions'!I3189+"n/&gt;!'1?"</f>
        <v>#VALUE!</v>
      </c>
      <c r="H128" t="e">
        <f>'All regions'!J3189+"n/&gt;!'1@"</f>
        <v>#VALUE!</v>
      </c>
      <c r="I128" t="e">
        <f>'All regions'!A3190+"n/&gt;!'1A"</f>
        <v>#VALUE!</v>
      </c>
      <c r="J128" t="e">
        <f>'All regions'!B3190+"n/&gt;!'1B"</f>
        <v>#VALUE!</v>
      </c>
      <c r="K128" t="e">
        <f>'All regions'!C3190+"n/&gt;!'1C"</f>
        <v>#VALUE!</v>
      </c>
      <c r="L128" t="e">
        <f>'All regions'!D3190+"n/&gt;!'1D"</f>
        <v>#VALUE!</v>
      </c>
      <c r="M128" t="e">
        <f>'All regions'!E3190+"n/&gt;!'1E"</f>
        <v>#VALUE!</v>
      </c>
      <c r="N128" t="e">
        <f>'All regions'!F3190+"n/&gt;!'1F"</f>
        <v>#VALUE!</v>
      </c>
      <c r="O128" t="e">
        <f>'All regions'!G3190+"n/&gt;!'1G"</f>
        <v>#VALUE!</v>
      </c>
      <c r="P128" t="e">
        <f>'All regions'!H3190+"n/&gt;!'1H"</f>
        <v>#VALUE!</v>
      </c>
      <c r="Q128" t="e">
        <f>'All regions'!I3190+"n/&gt;!'1I"</f>
        <v>#VALUE!</v>
      </c>
      <c r="R128" t="e">
        <f>'All regions'!J3190+"n/&gt;!'1J"</f>
        <v>#VALUE!</v>
      </c>
      <c r="S128" t="e">
        <f>'All regions'!A3191+"n/&gt;!'1K"</f>
        <v>#VALUE!</v>
      </c>
      <c r="T128" t="e">
        <f>'All regions'!B3191+"n/&gt;!'1L"</f>
        <v>#VALUE!</v>
      </c>
      <c r="U128" t="e">
        <f>'All regions'!C3191+"n/&gt;!'1M"</f>
        <v>#VALUE!</v>
      </c>
      <c r="V128" t="e">
        <f>'All regions'!D3191+"n/&gt;!'1N"</f>
        <v>#VALUE!</v>
      </c>
      <c r="W128" t="e">
        <f>'All regions'!E3191+"n/&gt;!'1O"</f>
        <v>#VALUE!</v>
      </c>
      <c r="X128" t="e">
        <f>'All regions'!F3191+"n/&gt;!'1P"</f>
        <v>#VALUE!</v>
      </c>
      <c r="Y128" t="e">
        <f>'All regions'!G3191+"n/&gt;!'1Q"</f>
        <v>#VALUE!</v>
      </c>
      <c r="Z128" t="e">
        <f>'All regions'!H3191+"n/&gt;!'1R"</f>
        <v>#VALUE!</v>
      </c>
      <c r="AA128" t="e">
        <f>'All regions'!I3191+"n/&gt;!'1S"</f>
        <v>#VALUE!</v>
      </c>
      <c r="AB128" t="e">
        <f>'All regions'!J3191+"n/&gt;!'1T"</f>
        <v>#VALUE!</v>
      </c>
      <c r="AC128" t="e">
        <f>'All regions'!A3192+"n/&gt;!'1U"</f>
        <v>#VALUE!</v>
      </c>
      <c r="AD128" t="e">
        <f>'All regions'!B3192+"n/&gt;!'1V"</f>
        <v>#VALUE!</v>
      </c>
      <c r="AE128" t="e">
        <f>'All regions'!C3192+"n/&gt;!'1W"</f>
        <v>#VALUE!</v>
      </c>
      <c r="AF128" t="e">
        <f>'All regions'!D3192+"n/&gt;!'1X"</f>
        <v>#VALUE!</v>
      </c>
      <c r="AG128" t="e">
        <f>'All regions'!E3192+"n/&gt;!'1Y"</f>
        <v>#VALUE!</v>
      </c>
      <c r="AH128" t="e">
        <f>'All regions'!F3192+"n/&gt;!'1Z"</f>
        <v>#VALUE!</v>
      </c>
      <c r="AI128" t="e">
        <f>'All regions'!G3192+"n/&gt;!'1["</f>
        <v>#VALUE!</v>
      </c>
      <c r="AJ128" t="e">
        <f>'All regions'!H3192+"n/&gt;!'1\"</f>
        <v>#VALUE!</v>
      </c>
      <c r="AK128" t="e">
        <f>'All regions'!I3192+"n/&gt;!'1]"</f>
        <v>#VALUE!</v>
      </c>
      <c r="AL128" t="e">
        <f>'All regions'!J3192+"n/&gt;!'1^"</f>
        <v>#VALUE!</v>
      </c>
      <c r="AM128" t="e">
        <f>'All regions'!A3193+"n/&gt;!'1_"</f>
        <v>#VALUE!</v>
      </c>
      <c r="AN128" t="e">
        <f>'All regions'!B3193+"n/&gt;!'1`"</f>
        <v>#VALUE!</v>
      </c>
      <c r="AO128" t="e">
        <f>'All regions'!C3193+"n/&gt;!'1a"</f>
        <v>#VALUE!</v>
      </c>
      <c r="AP128" t="e">
        <f>'All regions'!D3193+"n/&gt;!'1b"</f>
        <v>#VALUE!</v>
      </c>
      <c r="AQ128" t="e">
        <f>'All regions'!E3193+"n/&gt;!'1c"</f>
        <v>#VALUE!</v>
      </c>
      <c r="AR128" t="e">
        <f>'All regions'!F3193+"n/&gt;!'1d"</f>
        <v>#VALUE!</v>
      </c>
      <c r="AS128" t="e">
        <f>'All regions'!G3193+"n/&gt;!'1e"</f>
        <v>#VALUE!</v>
      </c>
      <c r="AT128" t="e">
        <f>'All regions'!H3193+"n/&gt;!'1f"</f>
        <v>#VALUE!</v>
      </c>
      <c r="AU128" t="e">
        <f>'All regions'!I3193+"n/&gt;!'1g"</f>
        <v>#VALUE!</v>
      </c>
      <c r="AV128" t="e">
        <f>'All regions'!J3193+"n/&gt;!'1h"</f>
        <v>#VALUE!</v>
      </c>
      <c r="AW128" t="e">
        <f>'All regions'!A3194+"n/&gt;!'1i"</f>
        <v>#VALUE!</v>
      </c>
      <c r="AX128" t="e">
        <f>'All regions'!B3194+"n/&gt;!'1j"</f>
        <v>#VALUE!</v>
      </c>
      <c r="AY128" t="e">
        <f>'All regions'!C3194+"n/&gt;!'1k"</f>
        <v>#VALUE!</v>
      </c>
      <c r="AZ128" t="e">
        <f>'All regions'!D3194+"n/&gt;!'1l"</f>
        <v>#VALUE!</v>
      </c>
      <c r="BA128" t="e">
        <f>'All regions'!E3194+"n/&gt;!'1m"</f>
        <v>#VALUE!</v>
      </c>
      <c r="BB128" t="e">
        <f>'All regions'!F3194+"n/&gt;!'1n"</f>
        <v>#VALUE!</v>
      </c>
      <c r="BC128" t="e">
        <f>'All regions'!G3194+"n/&gt;!'1o"</f>
        <v>#VALUE!</v>
      </c>
      <c r="BD128" t="e">
        <f>'All regions'!H3194+"n/&gt;!'1p"</f>
        <v>#VALUE!</v>
      </c>
      <c r="BE128" t="e">
        <f>'All regions'!I3194+"n/&gt;!'1q"</f>
        <v>#VALUE!</v>
      </c>
      <c r="BF128" t="e">
        <f>'All regions'!J3194+"n/&gt;!'1r"</f>
        <v>#VALUE!</v>
      </c>
      <c r="BG128" t="e">
        <f>'All regions'!A3195+"n/&gt;!'1s"</f>
        <v>#VALUE!</v>
      </c>
      <c r="BH128" t="e">
        <f>'All regions'!B3195+"n/&gt;!'1t"</f>
        <v>#VALUE!</v>
      </c>
      <c r="BI128" t="e">
        <f>'All regions'!C3195+"n/&gt;!'1u"</f>
        <v>#VALUE!</v>
      </c>
      <c r="BJ128" t="e">
        <f>'All regions'!D3195+"n/&gt;!'1v"</f>
        <v>#VALUE!</v>
      </c>
      <c r="BK128" t="e">
        <f>'All regions'!E3195+"n/&gt;!'1w"</f>
        <v>#VALUE!</v>
      </c>
      <c r="BL128" t="e">
        <f>'All regions'!F3195+"n/&gt;!'1x"</f>
        <v>#VALUE!</v>
      </c>
      <c r="BM128" t="e">
        <f>'All regions'!G3195+"n/&gt;!'1y"</f>
        <v>#VALUE!</v>
      </c>
      <c r="BN128" t="e">
        <f>'All regions'!H3195+"n/&gt;!'1z"</f>
        <v>#VALUE!</v>
      </c>
      <c r="BO128" t="e">
        <f>'All regions'!I3195+"n/&gt;!'1{"</f>
        <v>#VALUE!</v>
      </c>
      <c r="BP128" t="e">
        <f>'All regions'!J3195+"n/&gt;!'1|"</f>
        <v>#VALUE!</v>
      </c>
      <c r="BQ128" t="e">
        <f>'All regions'!A3196+"n/&gt;!'1}"</f>
        <v>#VALUE!</v>
      </c>
      <c r="BR128" t="e">
        <f>'All regions'!B3196+"n/&gt;!'1~"</f>
        <v>#VALUE!</v>
      </c>
      <c r="BS128" t="e">
        <f>'All regions'!C3196+"n/&gt;!'2#"</f>
        <v>#VALUE!</v>
      </c>
      <c r="BT128" t="e">
        <f>'All regions'!D3196+"n/&gt;!'2$"</f>
        <v>#VALUE!</v>
      </c>
      <c r="BU128" t="e">
        <f>'All regions'!E3196+"n/&gt;!'2%"</f>
        <v>#VALUE!</v>
      </c>
      <c r="BV128" t="e">
        <f>'All regions'!F3196+"n/&gt;!'2&amp;"</f>
        <v>#VALUE!</v>
      </c>
      <c r="BW128" t="e">
        <f>'All regions'!G3196+"n/&gt;!'2'"</f>
        <v>#VALUE!</v>
      </c>
      <c r="BX128" t="e">
        <f>'All regions'!H3196+"n/&gt;!'2("</f>
        <v>#VALUE!</v>
      </c>
      <c r="BY128" t="e">
        <f>'All regions'!I3196+"n/&gt;!'2)"</f>
        <v>#VALUE!</v>
      </c>
      <c r="BZ128" t="e">
        <f>'All regions'!J3196+"n/&gt;!'2."</f>
        <v>#VALUE!</v>
      </c>
      <c r="CA128" t="e">
        <f>'All regions'!A3197+"n/&gt;!'2/"</f>
        <v>#VALUE!</v>
      </c>
      <c r="CB128" t="e">
        <f>'All regions'!B3197+"n/&gt;!'20"</f>
        <v>#VALUE!</v>
      </c>
      <c r="CC128" t="e">
        <f>'All regions'!C3197+"n/&gt;!'21"</f>
        <v>#VALUE!</v>
      </c>
      <c r="CD128" t="e">
        <f>'All regions'!D3197+"n/&gt;!'22"</f>
        <v>#VALUE!</v>
      </c>
      <c r="CE128" t="e">
        <f>'All regions'!E3197+"n/&gt;!'23"</f>
        <v>#VALUE!</v>
      </c>
      <c r="CF128" t="e">
        <f>'All regions'!F3197+"n/&gt;!'24"</f>
        <v>#VALUE!</v>
      </c>
      <c r="CG128" t="e">
        <f>'All regions'!G3197+"n/&gt;!'25"</f>
        <v>#VALUE!</v>
      </c>
      <c r="CH128" t="e">
        <f>'All regions'!H3197+"n/&gt;!'26"</f>
        <v>#VALUE!</v>
      </c>
      <c r="CI128" t="e">
        <f>'All regions'!I3197+"n/&gt;!'27"</f>
        <v>#VALUE!</v>
      </c>
      <c r="CJ128" t="e">
        <f>'All regions'!J3197+"n/&gt;!'28"</f>
        <v>#VALUE!</v>
      </c>
      <c r="CK128" t="e">
        <f>'All regions'!A3198+"n/&gt;!'29"</f>
        <v>#VALUE!</v>
      </c>
      <c r="CL128" t="e">
        <f>'All regions'!B3198+"n/&gt;!'2:"</f>
        <v>#VALUE!</v>
      </c>
      <c r="CM128" t="e">
        <f>'All regions'!C3198+"n/&gt;!'2;"</f>
        <v>#VALUE!</v>
      </c>
      <c r="CN128" t="e">
        <f>'All regions'!D3198+"n/&gt;!'2&lt;"</f>
        <v>#VALUE!</v>
      </c>
      <c r="CO128" t="e">
        <f>'All regions'!E3198+"n/&gt;!'2="</f>
        <v>#VALUE!</v>
      </c>
      <c r="CP128" t="e">
        <f>'All regions'!F3198+"n/&gt;!'2&gt;"</f>
        <v>#VALUE!</v>
      </c>
      <c r="CQ128" t="e">
        <f>'All regions'!G3198+"n/&gt;!'2?"</f>
        <v>#VALUE!</v>
      </c>
      <c r="CR128" t="e">
        <f>'All regions'!H3198+"n/&gt;!'2@"</f>
        <v>#VALUE!</v>
      </c>
      <c r="CS128" t="e">
        <f>'All regions'!I3198+"n/&gt;!'2A"</f>
        <v>#VALUE!</v>
      </c>
      <c r="CT128" t="e">
        <f>'All regions'!J3198+"n/&gt;!'2B"</f>
        <v>#VALUE!</v>
      </c>
      <c r="CU128" t="e">
        <f>'All regions'!A3199+"n/&gt;!'2C"</f>
        <v>#VALUE!</v>
      </c>
      <c r="CV128" t="e">
        <f>'All regions'!B3199+"n/&gt;!'2D"</f>
        <v>#VALUE!</v>
      </c>
      <c r="CW128" t="e">
        <f>'All regions'!C3199+"n/&gt;!'2E"</f>
        <v>#VALUE!</v>
      </c>
      <c r="CX128" t="e">
        <f>'All regions'!D3199+"n/&gt;!'2F"</f>
        <v>#VALUE!</v>
      </c>
      <c r="CY128" t="e">
        <f>'All regions'!E3199+"n/&gt;!'2G"</f>
        <v>#VALUE!</v>
      </c>
      <c r="CZ128" t="e">
        <f>'All regions'!F3199+"n/&gt;!'2H"</f>
        <v>#VALUE!</v>
      </c>
      <c r="DA128" t="e">
        <f>'All regions'!G3199+"n/&gt;!'2I"</f>
        <v>#VALUE!</v>
      </c>
      <c r="DB128" t="e">
        <f>'All regions'!H3199+"n/&gt;!'2J"</f>
        <v>#VALUE!</v>
      </c>
      <c r="DC128" t="e">
        <f>'All regions'!I3199+"n/&gt;!'2K"</f>
        <v>#VALUE!</v>
      </c>
      <c r="DD128" t="e">
        <f>'All regions'!J3199+"n/&gt;!'2L"</f>
        <v>#VALUE!</v>
      </c>
      <c r="DE128" t="e">
        <f>'All regions'!A3200+"n/&gt;!'2M"</f>
        <v>#VALUE!</v>
      </c>
      <c r="DF128" t="e">
        <f>'All regions'!B3200+"n/&gt;!'2N"</f>
        <v>#VALUE!</v>
      </c>
      <c r="DG128" t="e">
        <f>'All regions'!C3200+"n/&gt;!'2O"</f>
        <v>#VALUE!</v>
      </c>
      <c r="DH128" t="e">
        <f>'All regions'!D3200+"n/&gt;!'2P"</f>
        <v>#VALUE!</v>
      </c>
      <c r="DI128" t="e">
        <f>'All regions'!E3200+"n/&gt;!'2Q"</f>
        <v>#VALUE!</v>
      </c>
      <c r="DJ128" t="e">
        <f>'All regions'!F3200+"n/&gt;!'2R"</f>
        <v>#VALUE!</v>
      </c>
      <c r="DK128" t="e">
        <f>'All regions'!G3200+"n/&gt;!'2S"</f>
        <v>#VALUE!</v>
      </c>
      <c r="DL128" t="e">
        <f>'All regions'!H3200+"n/&gt;!'2T"</f>
        <v>#VALUE!</v>
      </c>
      <c r="DM128" t="e">
        <f>'All regions'!I3200+"n/&gt;!'2U"</f>
        <v>#VALUE!</v>
      </c>
      <c r="DN128" t="e">
        <f>'All regions'!J3200+"n/&gt;!'2V"</f>
        <v>#VALUE!</v>
      </c>
      <c r="DO128" t="e">
        <f>'All regions'!A3201+"n/&gt;!'2W"</f>
        <v>#VALUE!</v>
      </c>
      <c r="DP128" t="e">
        <f>'All regions'!B3201+"n/&gt;!'2X"</f>
        <v>#VALUE!</v>
      </c>
      <c r="DQ128" t="e">
        <f>'All regions'!C3201+"n/&gt;!'2Y"</f>
        <v>#VALUE!</v>
      </c>
      <c r="DR128" t="e">
        <f>'All regions'!D3201+"n/&gt;!'2Z"</f>
        <v>#VALUE!</v>
      </c>
      <c r="DS128" t="e">
        <f>'All regions'!E3201+"n/&gt;!'2["</f>
        <v>#VALUE!</v>
      </c>
      <c r="DT128" t="e">
        <f>'All regions'!F3201+"n/&gt;!'2\"</f>
        <v>#VALUE!</v>
      </c>
      <c r="DU128" t="e">
        <f>'All regions'!G3201+"n/&gt;!'2]"</f>
        <v>#VALUE!</v>
      </c>
      <c r="DV128" t="e">
        <f>'All regions'!H3201+"n/&gt;!'2^"</f>
        <v>#VALUE!</v>
      </c>
      <c r="DW128" t="e">
        <f>'All regions'!I3201+"n/&gt;!'2_"</f>
        <v>#VALUE!</v>
      </c>
      <c r="DX128" t="e">
        <f>'All regions'!J3201+"n/&gt;!'2`"</f>
        <v>#VALUE!</v>
      </c>
      <c r="DY128" t="e">
        <f>'All regions'!A3202+"n/&gt;!'2a"</f>
        <v>#VALUE!</v>
      </c>
      <c r="DZ128" t="e">
        <f>'All regions'!B3202+"n/&gt;!'2b"</f>
        <v>#VALUE!</v>
      </c>
      <c r="EA128" t="e">
        <f>'All regions'!C3202+"n/&gt;!'2c"</f>
        <v>#VALUE!</v>
      </c>
      <c r="EB128" t="e">
        <f>'All regions'!D3202+"n/&gt;!'2d"</f>
        <v>#VALUE!</v>
      </c>
      <c r="EC128" t="e">
        <f>'All regions'!E3202+"n/&gt;!'2e"</f>
        <v>#VALUE!</v>
      </c>
      <c r="ED128" t="e">
        <f>'All regions'!F3202+"n/&gt;!'2f"</f>
        <v>#VALUE!</v>
      </c>
      <c r="EE128" t="e">
        <f>'All regions'!G3202+"n/&gt;!'2g"</f>
        <v>#VALUE!</v>
      </c>
      <c r="EF128" t="e">
        <f>'All regions'!H3202+"n/&gt;!'2h"</f>
        <v>#VALUE!</v>
      </c>
      <c r="EG128" t="e">
        <f>'All regions'!I3202+"n/&gt;!'2i"</f>
        <v>#VALUE!</v>
      </c>
      <c r="EH128" t="e">
        <f>'All regions'!J3202+"n/&gt;!'2j"</f>
        <v>#VALUE!</v>
      </c>
      <c r="EI128" t="e">
        <f>'All regions'!A3203+"n/&gt;!'2k"</f>
        <v>#VALUE!</v>
      </c>
      <c r="EJ128" t="e">
        <f>'All regions'!B3203+"n/&gt;!'2l"</f>
        <v>#VALUE!</v>
      </c>
      <c r="EK128" t="e">
        <f>'All regions'!C3203+"n/&gt;!'2m"</f>
        <v>#VALUE!</v>
      </c>
      <c r="EL128" t="e">
        <f>'All regions'!D3203+"n/&gt;!'2n"</f>
        <v>#VALUE!</v>
      </c>
      <c r="EM128" t="e">
        <f>'All regions'!E3203+"n/&gt;!'2o"</f>
        <v>#VALUE!</v>
      </c>
      <c r="EN128" t="e">
        <f>'All regions'!F3203+"n/&gt;!'2p"</f>
        <v>#VALUE!</v>
      </c>
      <c r="EO128" t="e">
        <f>'All regions'!G3203+"n/&gt;!'2q"</f>
        <v>#VALUE!</v>
      </c>
      <c r="EP128" t="e">
        <f>'All regions'!H3203+"n/&gt;!'2r"</f>
        <v>#VALUE!</v>
      </c>
      <c r="EQ128" t="e">
        <f>'All regions'!I3203+"n/&gt;!'2s"</f>
        <v>#VALUE!</v>
      </c>
      <c r="ER128" t="e">
        <f>'All regions'!J3203+"n/&gt;!'2t"</f>
        <v>#VALUE!</v>
      </c>
      <c r="ES128" t="e">
        <f>'All regions'!A3204+"n/&gt;!'2u"</f>
        <v>#VALUE!</v>
      </c>
      <c r="ET128" t="e">
        <f>'All regions'!B3204+"n/&gt;!'2v"</f>
        <v>#VALUE!</v>
      </c>
      <c r="EU128" t="e">
        <f>'All regions'!C3204+"n/&gt;!'2w"</f>
        <v>#VALUE!</v>
      </c>
      <c r="EV128" t="e">
        <f>'All regions'!D3204+"n/&gt;!'2x"</f>
        <v>#VALUE!</v>
      </c>
      <c r="EW128" t="e">
        <f>'All regions'!E3204+"n/&gt;!'2y"</f>
        <v>#VALUE!</v>
      </c>
      <c r="EX128" t="e">
        <f>'All regions'!F3204+"n/&gt;!'2z"</f>
        <v>#VALUE!</v>
      </c>
      <c r="EY128" t="e">
        <f>'All regions'!G3204+"n/&gt;!'2{"</f>
        <v>#VALUE!</v>
      </c>
      <c r="EZ128" t="e">
        <f>'All regions'!H3204+"n/&gt;!'2|"</f>
        <v>#VALUE!</v>
      </c>
      <c r="FA128" t="e">
        <f>'All regions'!I3204+"n/&gt;!'2}"</f>
        <v>#VALUE!</v>
      </c>
      <c r="FB128" t="e">
        <f>'All regions'!J3204+"n/&gt;!'2~"</f>
        <v>#VALUE!</v>
      </c>
      <c r="FC128" t="e">
        <f>'All regions'!A3205+"n/&gt;!'3#"</f>
        <v>#VALUE!</v>
      </c>
      <c r="FD128" t="e">
        <f>'All regions'!B3205+"n/&gt;!'3$"</f>
        <v>#VALUE!</v>
      </c>
      <c r="FE128" t="e">
        <f>'All regions'!C3205+"n/&gt;!'3%"</f>
        <v>#VALUE!</v>
      </c>
      <c r="FF128" t="e">
        <f>'All regions'!D3205+"n/&gt;!'3&amp;"</f>
        <v>#VALUE!</v>
      </c>
      <c r="FG128" t="e">
        <f>'All regions'!E3205+"n/&gt;!'3'"</f>
        <v>#VALUE!</v>
      </c>
      <c r="FH128" t="e">
        <f>'All regions'!F3205+"n/&gt;!'3("</f>
        <v>#VALUE!</v>
      </c>
      <c r="FI128" t="e">
        <f>'All regions'!G3205+"n/&gt;!'3)"</f>
        <v>#VALUE!</v>
      </c>
      <c r="FJ128" t="e">
        <f>'All regions'!H3205+"n/&gt;!'3."</f>
        <v>#VALUE!</v>
      </c>
      <c r="FK128" t="e">
        <f>'All regions'!I3205+"n/&gt;!'3/"</f>
        <v>#VALUE!</v>
      </c>
      <c r="FL128" t="e">
        <f>'All regions'!J3205+"n/&gt;!'30"</f>
        <v>#VALUE!</v>
      </c>
      <c r="FM128" t="e">
        <f>'All regions'!A3206+"n/&gt;!'31"</f>
        <v>#VALUE!</v>
      </c>
      <c r="FN128" t="e">
        <f>'All regions'!B3206+"n/&gt;!'32"</f>
        <v>#VALUE!</v>
      </c>
      <c r="FO128" t="e">
        <f>'All regions'!C3206+"n/&gt;!'33"</f>
        <v>#VALUE!</v>
      </c>
      <c r="FP128" t="e">
        <f>'All regions'!D3206+"n/&gt;!'34"</f>
        <v>#VALUE!</v>
      </c>
      <c r="FQ128" t="e">
        <f>'All regions'!E3206+"n/&gt;!'35"</f>
        <v>#VALUE!</v>
      </c>
      <c r="FR128" t="e">
        <f>'All regions'!F3206+"n/&gt;!'36"</f>
        <v>#VALUE!</v>
      </c>
      <c r="FS128" t="e">
        <f>'All regions'!G3206+"n/&gt;!'37"</f>
        <v>#VALUE!</v>
      </c>
      <c r="FT128" t="e">
        <f>'All regions'!H3206+"n/&gt;!'38"</f>
        <v>#VALUE!</v>
      </c>
      <c r="FU128" t="e">
        <f>'All regions'!I3206+"n/&gt;!'39"</f>
        <v>#VALUE!</v>
      </c>
      <c r="FV128" t="e">
        <f>'All regions'!J3206+"n/&gt;!'3:"</f>
        <v>#VALUE!</v>
      </c>
      <c r="FW128" t="e">
        <f>'All regions'!A3207+"n/&gt;!'3;"</f>
        <v>#VALUE!</v>
      </c>
      <c r="FX128" t="e">
        <f>'All regions'!B3207+"n/&gt;!'3&lt;"</f>
        <v>#VALUE!</v>
      </c>
      <c r="FY128" t="e">
        <f>'All regions'!C3207+"n/&gt;!'3="</f>
        <v>#VALUE!</v>
      </c>
      <c r="FZ128" t="e">
        <f>'All regions'!D3207+"n/&gt;!'3&gt;"</f>
        <v>#VALUE!</v>
      </c>
      <c r="GA128" t="e">
        <f>'All regions'!E3207+"n/&gt;!'3?"</f>
        <v>#VALUE!</v>
      </c>
      <c r="GB128" t="e">
        <f>'All regions'!F3207+"n/&gt;!'3@"</f>
        <v>#VALUE!</v>
      </c>
      <c r="GC128" t="e">
        <f>'All regions'!G3207+"n/&gt;!'3A"</f>
        <v>#VALUE!</v>
      </c>
      <c r="GD128" t="e">
        <f>'All regions'!H3207+"n/&gt;!'3B"</f>
        <v>#VALUE!</v>
      </c>
      <c r="GE128" t="e">
        <f>'All regions'!I3207+"n/&gt;!'3C"</f>
        <v>#VALUE!</v>
      </c>
      <c r="GF128" t="e">
        <f>'All regions'!J3207+"n/&gt;!'3D"</f>
        <v>#VALUE!</v>
      </c>
      <c r="GG128" t="e">
        <f>'All regions'!A3208+"n/&gt;!'3E"</f>
        <v>#VALUE!</v>
      </c>
      <c r="GH128" t="e">
        <f>'All regions'!B3208+"n/&gt;!'3F"</f>
        <v>#VALUE!</v>
      </c>
      <c r="GI128" t="e">
        <f>'All regions'!C3208+"n/&gt;!'3G"</f>
        <v>#VALUE!</v>
      </c>
      <c r="GJ128" t="e">
        <f>'All regions'!D3208+"n/&gt;!'3H"</f>
        <v>#VALUE!</v>
      </c>
      <c r="GK128" t="e">
        <f>'All regions'!E3208+"n/&gt;!'3I"</f>
        <v>#VALUE!</v>
      </c>
      <c r="GL128" t="e">
        <f>'All regions'!F3208+"n/&gt;!'3J"</f>
        <v>#VALUE!</v>
      </c>
      <c r="GM128" t="e">
        <f>'All regions'!G3208+"n/&gt;!'3K"</f>
        <v>#VALUE!</v>
      </c>
      <c r="GN128" t="e">
        <f>'All regions'!H3208+"n/&gt;!'3L"</f>
        <v>#VALUE!</v>
      </c>
      <c r="GO128" t="e">
        <f>'All regions'!I3208+"n/&gt;!'3M"</f>
        <v>#VALUE!</v>
      </c>
      <c r="GP128" t="e">
        <f>'All regions'!J3208+"n/&gt;!'3N"</f>
        <v>#VALUE!</v>
      </c>
      <c r="GQ128" t="e">
        <f>'All regions'!A3209+"n/&gt;!'3O"</f>
        <v>#VALUE!</v>
      </c>
      <c r="GR128" t="e">
        <f>'All regions'!B3209+"n/&gt;!'3P"</f>
        <v>#VALUE!</v>
      </c>
      <c r="GS128" t="e">
        <f>'All regions'!C3209+"n/&gt;!'3Q"</f>
        <v>#VALUE!</v>
      </c>
      <c r="GT128" t="e">
        <f>'All regions'!D3209+"n/&gt;!'3R"</f>
        <v>#VALUE!</v>
      </c>
      <c r="GU128" t="e">
        <f>'All regions'!E3209+"n/&gt;!'3S"</f>
        <v>#VALUE!</v>
      </c>
      <c r="GV128" t="e">
        <f>'All regions'!F3209+"n/&gt;!'3T"</f>
        <v>#VALUE!</v>
      </c>
      <c r="GW128" t="e">
        <f>'All regions'!G3209+"n/&gt;!'3U"</f>
        <v>#VALUE!</v>
      </c>
      <c r="GX128" t="e">
        <f>'All regions'!H3209+"n/&gt;!'3V"</f>
        <v>#VALUE!</v>
      </c>
      <c r="GY128" t="e">
        <f>'All regions'!I3209+"n/&gt;!'3W"</f>
        <v>#VALUE!</v>
      </c>
      <c r="GZ128" t="e">
        <f>'All regions'!J3209+"n/&gt;!'3X"</f>
        <v>#VALUE!</v>
      </c>
      <c r="HA128" t="e">
        <f>'All regions'!A3210+"n/&gt;!'3Y"</f>
        <v>#VALUE!</v>
      </c>
      <c r="HB128" t="e">
        <f>'All regions'!B3210+"n/&gt;!'3Z"</f>
        <v>#VALUE!</v>
      </c>
      <c r="HC128" t="e">
        <f>'All regions'!C3210+"n/&gt;!'3["</f>
        <v>#VALUE!</v>
      </c>
      <c r="HD128" t="e">
        <f>'All regions'!D3210+"n/&gt;!'3\"</f>
        <v>#VALUE!</v>
      </c>
      <c r="HE128" t="e">
        <f>'All regions'!E3210+"n/&gt;!'3]"</f>
        <v>#VALUE!</v>
      </c>
      <c r="HF128" t="e">
        <f>'All regions'!F3210+"n/&gt;!'3^"</f>
        <v>#VALUE!</v>
      </c>
      <c r="HG128" t="e">
        <f>'All regions'!G3210+"n/&gt;!'3_"</f>
        <v>#VALUE!</v>
      </c>
      <c r="HH128" t="e">
        <f>'All regions'!H3210+"n/&gt;!'3`"</f>
        <v>#VALUE!</v>
      </c>
      <c r="HI128" t="e">
        <f>'All regions'!I3210+"n/&gt;!'3a"</f>
        <v>#VALUE!</v>
      </c>
      <c r="HJ128" t="e">
        <f>'All regions'!J3210+"n/&gt;!'3b"</f>
        <v>#VALUE!</v>
      </c>
      <c r="HK128" t="e">
        <f>'All regions'!A3211+"n/&gt;!'3c"</f>
        <v>#VALUE!</v>
      </c>
      <c r="HL128" t="e">
        <f>'All regions'!B3211+"n/&gt;!'3d"</f>
        <v>#VALUE!</v>
      </c>
      <c r="HM128" t="e">
        <f>'All regions'!C3211+"n/&gt;!'3e"</f>
        <v>#VALUE!</v>
      </c>
      <c r="HN128" t="e">
        <f>'All regions'!D3211+"n/&gt;!'3f"</f>
        <v>#VALUE!</v>
      </c>
      <c r="HO128" t="e">
        <f>'All regions'!E3211+"n/&gt;!'3g"</f>
        <v>#VALUE!</v>
      </c>
      <c r="HP128" t="e">
        <f>'All regions'!F3211+"n/&gt;!'3h"</f>
        <v>#VALUE!</v>
      </c>
      <c r="HQ128" t="e">
        <f>'All regions'!G3211+"n/&gt;!'3i"</f>
        <v>#VALUE!</v>
      </c>
      <c r="HR128" t="e">
        <f>'All regions'!H3211+"n/&gt;!'3j"</f>
        <v>#VALUE!</v>
      </c>
      <c r="HS128" t="e">
        <f>'All regions'!I3211+"n/&gt;!'3k"</f>
        <v>#VALUE!</v>
      </c>
      <c r="HT128" t="e">
        <f>'All regions'!J3211+"n/&gt;!'3l"</f>
        <v>#VALUE!</v>
      </c>
      <c r="HU128" t="e">
        <f>'All regions'!A3212+"n/&gt;!'3m"</f>
        <v>#VALUE!</v>
      </c>
      <c r="HV128" t="e">
        <f>'All regions'!B3212+"n/&gt;!'3n"</f>
        <v>#VALUE!</v>
      </c>
      <c r="HW128" t="e">
        <f>'All regions'!C3212+"n/&gt;!'3o"</f>
        <v>#VALUE!</v>
      </c>
      <c r="HX128" t="e">
        <f>'All regions'!D3212+"n/&gt;!'3p"</f>
        <v>#VALUE!</v>
      </c>
      <c r="HY128" t="e">
        <f>'All regions'!E3212+"n/&gt;!'3q"</f>
        <v>#VALUE!</v>
      </c>
      <c r="HZ128" t="e">
        <f>'All regions'!F3212+"n/&gt;!'3r"</f>
        <v>#VALUE!</v>
      </c>
      <c r="IA128" t="e">
        <f>'All regions'!G3212+"n/&gt;!'3s"</f>
        <v>#VALUE!</v>
      </c>
      <c r="IB128" t="e">
        <f>'All regions'!H3212+"n/&gt;!'3t"</f>
        <v>#VALUE!</v>
      </c>
      <c r="IC128" t="e">
        <f>'All regions'!I3212+"n/&gt;!'3u"</f>
        <v>#VALUE!</v>
      </c>
      <c r="ID128" t="e">
        <f>'All regions'!J3212+"n/&gt;!'3v"</f>
        <v>#VALUE!</v>
      </c>
      <c r="IE128" t="e">
        <f>'All regions'!A3213+"n/&gt;!'3w"</f>
        <v>#VALUE!</v>
      </c>
      <c r="IF128" t="e">
        <f>'All regions'!B3213+"n/&gt;!'3x"</f>
        <v>#VALUE!</v>
      </c>
      <c r="IG128" t="e">
        <f>'All regions'!C3213+"n/&gt;!'3y"</f>
        <v>#VALUE!</v>
      </c>
      <c r="IH128" t="e">
        <f>'All regions'!D3213+"n/&gt;!'3z"</f>
        <v>#VALUE!</v>
      </c>
      <c r="II128" t="e">
        <f>'All regions'!E3213+"n/&gt;!'3{"</f>
        <v>#VALUE!</v>
      </c>
      <c r="IJ128" t="e">
        <f>'All regions'!F3213+"n/&gt;!'3|"</f>
        <v>#VALUE!</v>
      </c>
      <c r="IK128" t="e">
        <f>'All regions'!G3213+"n/&gt;!'3}"</f>
        <v>#VALUE!</v>
      </c>
      <c r="IL128" t="e">
        <f>'All regions'!H3213+"n/&gt;!'3~"</f>
        <v>#VALUE!</v>
      </c>
      <c r="IM128" t="e">
        <f>'All regions'!I3213+"n/&gt;!'4#"</f>
        <v>#VALUE!</v>
      </c>
      <c r="IN128" t="e">
        <f>'All regions'!J3213+"n/&gt;!'4$"</f>
        <v>#VALUE!</v>
      </c>
      <c r="IO128" t="e">
        <f>'All regions'!A3214+"n/&gt;!'4%"</f>
        <v>#VALUE!</v>
      </c>
      <c r="IP128" t="e">
        <f>'All regions'!B3214+"n/&gt;!'4&amp;"</f>
        <v>#VALUE!</v>
      </c>
      <c r="IQ128" t="e">
        <f>'All regions'!C3214+"n/&gt;!'4'"</f>
        <v>#VALUE!</v>
      </c>
      <c r="IR128" t="e">
        <f>'All regions'!D3214+"n/&gt;!'4("</f>
        <v>#VALUE!</v>
      </c>
      <c r="IS128" t="e">
        <f>'All regions'!E3214+"n/&gt;!'4)"</f>
        <v>#VALUE!</v>
      </c>
      <c r="IT128" t="e">
        <f>'All regions'!F3214+"n/&gt;!'4."</f>
        <v>#VALUE!</v>
      </c>
      <c r="IU128" t="e">
        <f>'All regions'!G3214+"n/&gt;!'4/"</f>
        <v>#VALUE!</v>
      </c>
      <c r="IV128" t="e">
        <f>'All regions'!H3214+"n/&gt;!'40"</f>
        <v>#VALUE!</v>
      </c>
    </row>
    <row r="129" spans="6:256" x14ac:dyDescent="0.35">
      <c r="F129" t="e">
        <f>'All regions'!I3214+"n/&gt;!'41"</f>
        <v>#VALUE!</v>
      </c>
      <c r="G129" t="e">
        <f>'All regions'!J3214+"n/&gt;!'42"</f>
        <v>#VALUE!</v>
      </c>
      <c r="H129" t="e">
        <f>'All regions'!A3215+"n/&gt;!'43"</f>
        <v>#VALUE!</v>
      </c>
      <c r="I129" t="e">
        <f>'All regions'!B3215+"n/&gt;!'44"</f>
        <v>#VALUE!</v>
      </c>
      <c r="J129" t="e">
        <f>'All regions'!C3215+"n/&gt;!'45"</f>
        <v>#VALUE!</v>
      </c>
      <c r="K129" t="e">
        <f>'All regions'!D3215+"n/&gt;!'46"</f>
        <v>#VALUE!</v>
      </c>
      <c r="L129" t="e">
        <f>'All regions'!E3215+"n/&gt;!'47"</f>
        <v>#VALUE!</v>
      </c>
      <c r="M129" t="e">
        <f>'All regions'!F3215+"n/&gt;!'48"</f>
        <v>#VALUE!</v>
      </c>
      <c r="N129" t="e">
        <f>'All regions'!G3215+"n/&gt;!'49"</f>
        <v>#VALUE!</v>
      </c>
      <c r="O129" t="e">
        <f>'All regions'!H3215+"n/&gt;!'4:"</f>
        <v>#VALUE!</v>
      </c>
      <c r="P129" t="e">
        <f>'All regions'!I3215+"n/&gt;!'4;"</f>
        <v>#VALUE!</v>
      </c>
      <c r="Q129" t="e">
        <f>'All regions'!J3215+"n/&gt;!'4&lt;"</f>
        <v>#VALUE!</v>
      </c>
      <c r="R129" t="e">
        <f>'All regions'!A3216+"n/&gt;!'4="</f>
        <v>#VALUE!</v>
      </c>
      <c r="S129" t="e">
        <f>'All regions'!B3216+"n/&gt;!'4&gt;"</f>
        <v>#VALUE!</v>
      </c>
      <c r="T129" t="e">
        <f>'All regions'!C3216+"n/&gt;!'4?"</f>
        <v>#VALUE!</v>
      </c>
      <c r="U129" t="e">
        <f>'All regions'!D3216+"n/&gt;!'4@"</f>
        <v>#VALUE!</v>
      </c>
      <c r="V129" t="e">
        <f>'All regions'!E3216+"n/&gt;!'4A"</f>
        <v>#VALUE!</v>
      </c>
      <c r="W129" t="e">
        <f>'All regions'!F3216+"n/&gt;!'4B"</f>
        <v>#VALUE!</v>
      </c>
      <c r="X129" t="e">
        <f>'All regions'!G3216+"n/&gt;!'4C"</f>
        <v>#VALUE!</v>
      </c>
      <c r="Y129" t="e">
        <f>'All regions'!H3216+"n/&gt;!'4D"</f>
        <v>#VALUE!</v>
      </c>
      <c r="Z129" t="e">
        <f>'All regions'!I3216+"n/&gt;!'4E"</f>
        <v>#VALUE!</v>
      </c>
      <c r="AA129" t="e">
        <f>'All regions'!J3216+"n/&gt;!'4F"</f>
        <v>#VALUE!</v>
      </c>
      <c r="AB129" t="e">
        <f>'All regions'!A3217+"n/&gt;!'4G"</f>
        <v>#VALUE!</v>
      </c>
      <c r="AC129" t="e">
        <f>'All regions'!B3217+"n/&gt;!'4H"</f>
        <v>#VALUE!</v>
      </c>
      <c r="AD129" t="e">
        <f>'All regions'!C3217+"n/&gt;!'4I"</f>
        <v>#VALUE!</v>
      </c>
      <c r="AE129" t="e">
        <f>'All regions'!D3217+"n/&gt;!'4J"</f>
        <v>#VALUE!</v>
      </c>
      <c r="AF129" t="e">
        <f>'All regions'!E3217+"n/&gt;!'4K"</f>
        <v>#VALUE!</v>
      </c>
      <c r="AG129" t="e">
        <f>'All regions'!F3217+"n/&gt;!'4L"</f>
        <v>#VALUE!</v>
      </c>
      <c r="AH129" t="e">
        <f>'All regions'!G3217+"n/&gt;!'4M"</f>
        <v>#VALUE!</v>
      </c>
      <c r="AI129" t="e">
        <f>'All regions'!H3217+"n/&gt;!'4N"</f>
        <v>#VALUE!</v>
      </c>
      <c r="AJ129" t="e">
        <f>'All regions'!I3217+"n/&gt;!'4O"</f>
        <v>#VALUE!</v>
      </c>
      <c r="AK129" t="e">
        <f>'All regions'!J3217+"n/&gt;!'4P"</f>
        <v>#VALUE!</v>
      </c>
      <c r="AL129" t="e">
        <f>'All regions'!A3218+"n/&gt;!'4Q"</f>
        <v>#VALUE!</v>
      </c>
      <c r="AM129" t="e">
        <f>'All regions'!B3218+"n/&gt;!'4R"</f>
        <v>#VALUE!</v>
      </c>
      <c r="AN129" t="e">
        <f>'All regions'!C3218+"n/&gt;!'4S"</f>
        <v>#VALUE!</v>
      </c>
      <c r="AO129" t="e">
        <f>'All regions'!D3218+"n/&gt;!'4T"</f>
        <v>#VALUE!</v>
      </c>
      <c r="AP129" t="e">
        <f>'All regions'!E3218+"n/&gt;!'4U"</f>
        <v>#VALUE!</v>
      </c>
      <c r="AQ129" t="e">
        <f>'All regions'!F3218+"n/&gt;!'4V"</f>
        <v>#VALUE!</v>
      </c>
      <c r="AR129" t="e">
        <f>'All regions'!G3218+"n/&gt;!'4W"</f>
        <v>#VALUE!</v>
      </c>
      <c r="AS129" t="e">
        <f>'All regions'!H3218+"n/&gt;!'4X"</f>
        <v>#VALUE!</v>
      </c>
      <c r="AT129" t="e">
        <f>'All regions'!I3218+"n/&gt;!'4Y"</f>
        <v>#VALUE!</v>
      </c>
      <c r="AU129" t="e">
        <f>'All regions'!J3218+"n/&gt;!'4Z"</f>
        <v>#VALUE!</v>
      </c>
      <c r="AV129" t="e">
        <f>'All regions'!A3219+"n/&gt;!'4["</f>
        <v>#VALUE!</v>
      </c>
      <c r="AW129" t="e">
        <f>'All regions'!B3219+"n/&gt;!'4\"</f>
        <v>#VALUE!</v>
      </c>
      <c r="AX129" t="e">
        <f>'All regions'!C3219+"n/&gt;!'4]"</f>
        <v>#VALUE!</v>
      </c>
      <c r="AY129" t="e">
        <f>'All regions'!D3219+"n/&gt;!'4^"</f>
        <v>#VALUE!</v>
      </c>
      <c r="AZ129" t="e">
        <f>'All regions'!E3219+"n/&gt;!'4_"</f>
        <v>#VALUE!</v>
      </c>
      <c r="BA129" t="e">
        <f>'All regions'!F3219+"n/&gt;!'4`"</f>
        <v>#VALUE!</v>
      </c>
      <c r="BB129" t="e">
        <f>'All regions'!G3219+"n/&gt;!'4a"</f>
        <v>#VALUE!</v>
      </c>
      <c r="BC129" t="e">
        <f>'All regions'!H3219+"n/&gt;!'4b"</f>
        <v>#VALUE!</v>
      </c>
      <c r="BD129" t="e">
        <f>'All regions'!I3219+"n/&gt;!'4c"</f>
        <v>#VALUE!</v>
      </c>
      <c r="BE129" t="e">
        <f>'All regions'!J3219+"n/&gt;!'4d"</f>
        <v>#VALUE!</v>
      </c>
      <c r="BF129" t="e">
        <f>'All regions'!A3220+"n/&gt;!'4e"</f>
        <v>#VALUE!</v>
      </c>
      <c r="BG129" t="e">
        <f>'All regions'!B3220+"n/&gt;!'4f"</f>
        <v>#VALUE!</v>
      </c>
      <c r="BH129" t="e">
        <f>'All regions'!C3220+"n/&gt;!'4g"</f>
        <v>#VALUE!</v>
      </c>
      <c r="BI129" t="e">
        <f>'All regions'!D3220+"n/&gt;!'4h"</f>
        <v>#VALUE!</v>
      </c>
      <c r="BJ129" t="e">
        <f>'All regions'!E3220+"n/&gt;!'4i"</f>
        <v>#VALUE!</v>
      </c>
      <c r="BK129" t="e">
        <f>'All regions'!F3220+"n/&gt;!'4j"</f>
        <v>#VALUE!</v>
      </c>
      <c r="BL129" t="e">
        <f>'All regions'!G3220+"n/&gt;!'4k"</f>
        <v>#VALUE!</v>
      </c>
      <c r="BM129" t="e">
        <f>'All regions'!H3220+"n/&gt;!'4l"</f>
        <v>#VALUE!</v>
      </c>
      <c r="BN129" t="e">
        <f>'All regions'!I3220+"n/&gt;!'4m"</f>
        <v>#VALUE!</v>
      </c>
      <c r="BO129" t="e">
        <f>'All regions'!J3220+"n/&gt;!'4n"</f>
        <v>#VALUE!</v>
      </c>
      <c r="BP129" t="e">
        <f>'All regions'!A3221+"n/&gt;!'4o"</f>
        <v>#VALUE!</v>
      </c>
      <c r="BQ129" t="e">
        <f>'All regions'!B3221+"n/&gt;!'4p"</f>
        <v>#VALUE!</v>
      </c>
      <c r="BR129" t="e">
        <f>'All regions'!C3221+"n/&gt;!'4q"</f>
        <v>#VALUE!</v>
      </c>
      <c r="BS129" t="e">
        <f>'All regions'!D3221+"n/&gt;!'4r"</f>
        <v>#VALUE!</v>
      </c>
      <c r="BT129" t="e">
        <f>'All regions'!E3221+"n/&gt;!'4s"</f>
        <v>#VALUE!</v>
      </c>
      <c r="BU129" t="e">
        <f>'All regions'!F3221+"n/&gt;!'4t"</f>
        <v>#VALUE!</v>
      </c>
      <c r="BV129" t="e">
        <f>'All regions'!G3221+"n/&gt;!'4u"</f>
        <v>#VALUE!</v>
      </c>
      <c r="BW129" t="e">
        <f>'All regions'!H3221+"n/&gt;!'4v"</f>
        <v>#VALUE!</v>
      </c>
      <c r="BX129" t="e">
        <f>'All regions'!I3221+"n/&gt;!'4w"</f>
        <v>#VALUE!</v>
      </c>
      <c r="BY129" t="e">
        <f>'All regions'!J3221+"n/&gt;!'4x"</f>
        <v>#VALUE!</v>
      </c>
      <c r="BZ129" t="e">
        <f>'All regions'!A3222+"n/&gt;!'4y"</f>
        <v>#VALUE!</v>
      </c>
      <c r="CA129" t="e">
        <f>'All regions'!B3222+"n/&gt;!'4z"</f>
        <v>#VALUE!</v>
      </c>
      <c r="CB129" t="e">
        <f>'All regions'!C3222+"n/&gt;!'4{"</f>
        <v>#VALUE!</v>
      </c>
      <c r="CC129" t="e">
        <f>'All regions'!D3222+"n/&gt;!'4|"</f>
        <v>#VALUE!</v>
      </c>
      <c r="CD129" t="e">
        <f>'All regions'!E3222+"n/&gt;!'4}"</f>
        <v>#VALUE!</v>
      </c>
      <c r="CE129" t="e">
        <f>'All regions'!F3222+"n/&gt;!'4~"</f>
        <v>#VALUE!</v>
      </c>
      <c r="CF129" t="e">
        <f>'All regions'!G3222+"n/&gt;!'5#"</f>
        <v>#VALUE!</v>
      </c>
      <c r="CG129" t="e">
        <f>'All regions'!H3222+"n/&gt;!'5$"</f>
        <v>#VALUE!</v>
      </c>
      <c r="CH129" t="e">
        <f>'All regions'!I3222+"n/&gt;!'5%"</f>
        <v>#VALUE!</v>
      </c>
      <c r="CI129" t="e">
        <f>'All regions'!J3222+"n/&gt;!'5&amp;"</f>
        <v>#VALUE!</v>
      </c>
      <c r="CJ129" t="e">
        <f>'All regions'!A3223+"n/&gt;!'5'"</f>
        <v>#VALUE!</v>
      </c>
      <c r="CK129" t="e">
        <f>'All regions'!B3223+"n/&gt;!'5("</f>
        <v>#VALUE!</v>
      </c>
      <c r="CL129" t="e">
        <f>'All regions'!C3223+"n/&gt;!'5)"</f>
        <v>#VALUE!</v>
      </c>
      <c r="CM129" t="e">
        <f>'All regions'!D3223+"n/&gt;!'5."</f>
        <v>#VALUE!</v>
      </c>
      <c r="CN129" t="e">
        <f>'All regions'!E3223+"n/&gt;!'5/"</f>
        <v>#VALUE!</v>
      </c>
      <c r="CO129" t="e">
        <f>'All regions'!F3223+"n/&gt;!'50"</f>
        <v>#VALUE!</v>
      </c>
      <c r="CP129" t="e">
        <f>'All regions'!G3223+"n/&gt;!'51"</f>
        <v>#VALUE!</v>
      </c>
      <c r="CQ129" t="e">
        <f>'All regions'!H3223+"n/&gt;!'52"</f>
        <v>#VALUE!</v>
      </c>
      <c r="CR129" t="e">
        <f>'All regions'!I3223+"n/&gt;!'53"</f>
        <v>#VALUE!</v>
      </c>
      <c r="CS129" t="e">
        <f>'All regions'!J3223+"n/&gt;!'54"</f>
        <v>#VALUE!</v>
      </c>
      <c r="CT129" t="e">
        <f>'All regions'!A3224+"n/&gt;!'55"</f>
        <v>#VALUE!</v>
      </c>
      <c r="CU129" t="e">
        <f>'All regions'!B3224+"n/&gt;!'56"</f>
        <v>#VALUE!</v>
      </c>
      <c r="CV129" t="e">
        <f>'All regions'!C3224+"n/&gt;!'57"</f>
        <v>#VALUE!</v>
      </c>
      <c r="CW129" t="e">
        <f>'All regions'!D3224+"n/&gt;!'58"</f>
        <v>#VALUE!</v>
      </c>
      <c r="CX129" t="e">
        <f>'All regions'!E3224+"n/&gt;!'59"</f>
        <v>#VALUE!</v>
      </c>
      <c r="CY129" t="e">
        <f>'All regions'!F3224+"n/&gt;!'5:"</f>
        <v>#VALUE!</v>
      </c>
      <c r="CZ129" t="e">
        <f>'All regions'!G3224+"n/&gt;!'5;"</f>
        <v>#VALUE!</v>
      </c>
      <c r="DA129" t="e">
        <f>'All regions'!H3224+"n/&gt;!'5&lt;"</f>
        <v>#VALUE!</v>
      </c>
      <c r="DB129" t="e">
        <f>'All regions'!I3224+"n/&gt;!'5="</f>
        <v>#VALUE!</v>
      </c>
      <c r="DC129" t="e">
        <f>'All regions'!J3224+"n/&gt;!'5&gt;"</f>
        <v>#VALUE!</v>
      </c>
      <c r="DD129" t="e">
        <f>'All regions'!A3225+"n/&gt;!'5?"</f>
        <v>#VALUE!</v>
      </c>
      <c r="DE129" t="e">
        <f>'All regions'!B3225+"n/&gt;!'5@"</f>
        <v>#VALUE!</v>
      </c>
      <c r="DF129" t="e">
        <f>'All regions'!C3225+"n/&gt;!'5A"</f>
        <v>#VALUE!</v>
      </c>
      <c r="DG129" t="e">
        <f>'All regions'!D3225+"n/&gt;!'5B"</f>
        <v>#VALUE!</v>
      </c>
      <c r="DH129" t="e">
        <f>'All regions'!E3225+"n/&gt;!'5C"</f>
        <v>#VALUE!</v>
      </c>
      <c r="DI129" t="e">
        <f>'All regions'!F3225+"n/&gt;!'5D"</f>
        <v>#VALUE!</v>
      </c>
      <c r="DJ129" t="e">
        <f>'All regions'!G3225+"n/&gt;!'5E"</f>
        <v>#VALUE!</v>
      </c>
      <c r="DK129" t="e">
        <f>'All regions'!H3225+"n/&gt;!'5F"</f>
        <v>#VALUE!</v>
      </c>
      <c r="DL129" t="e">
        <f>'All regions'!I3225+"n/&gt;!'5G"</f>
        <v>#VALUE!</v>
      </c>
      <c r="DM129" t="e">
        <f>'All regions'!J3225+"n/&gt;!'5H"</f>
        <v>#VALUE!</v>
      </c>
      <c r="DN129" t="e">
        <f>'All regions'!A3226+"n/&gt;!'5I"</f>
        <v>#VALUE!</v>
      </c>
      <c r="DO129" t="e">
        <f>'All regions'!B3226+"n/&gt;!'5J"</f>
        <v>#VALUE!</v>
      </c>
      <c r="DP129" t="e">
        <f>'All regions'!C3226+"n/&gt;!'5K"</f>
        <v>#VALUE!</v>
      </c>
      <c r="DQ129" t="e">
        <f>'All regions'!D3226+"n/&gt;!'5L"</f>
        <v>#VALUE!</v>
      </c>
      <c r="DR129" t="e">
        <f>'All regions'!E3226+"n/&gt;!'5M"</f>
        <v>#VALUE!</v>
      </c>
      <c r="DS129" t="e">
        <f>'All regions'!F3226+"n/&gt;!'5N"</f>
        <v>#VALUE!</v>
      </c>
      <c r="DT129" t="e">
        <f>'All regions'!G3226+"n/&gt;!'5O"</f>
        <v>#VALUE!</v>
      </c>
      <c r="DU129" t="e">
        <f>'All regions'!H3226+"n/&gt;!'5P"</f>
        <v>#VALUE!</v>
      </c>
      <c r="DV129" t="e">
        <f>'All regions'!I3226+"n/&gt;!'5Q"</f>
        <v>#VALUE!</v>
      </c>
      <c r="DW129" t="e">
        <f>'All regions'!J3226+"n/&gt;!'5R"</f>
        <v>#VALUE!</v>
      </c>
      <c r="DX129" t="e">
        <f>'All regions'!A3227+"n/&gt;!'5S"</f>
        <v>#VALUE!</v>
      </c>
      <c r="DY129" t="e">
        <f>'All regions'!B3227+"n/&gt;!'5T"</f>
        <v>#VALUE!</v>
      </c>
      <c r="DZ129" t="e">
        <f>'All regions'!C3227+"n/&gt;!'5U"</f>
        <v>#VALUE!</v>
      </c>
      <c r="EA129" t="e">
        <f>'All regions'!D3227+"n/&gt;!'5V"</f>
        <v>#VALUE!</v>
      </c>
      <c r="EB129" t="e">
        <f>'All regions'!E3227+"n/&gt;!'5W"</f>
        <v>#VALUE!</v>
      </c>
      <c r="EC129" t="e">
        <f>'All regions'!F3227+"n/&gt;!'5X"</f>
        <v>#VALUE!</v>
      </c>
      <c r="ED129" t="e">
        <f>'All regions'!G3227+"n/&gt;!'5Y"</f>
        <v>#VALUE!</v>
      </c>
      <c r="EE129" t="e">
        <f>'All regions'!H3227+"n/&gt;!'5Z"</f>
        <v>#VALUE!</v>
      </c>
      <c r="EF129" t="e">
        <f>'All regions'!I3227+"n/&gt;!'5["</f>
        <v>#VALUE!</v>
      </c>
      <c r="EG129" t="e">
        <f>'All regions'!J3227+"n/&gt;!'5\"</f>
        <v>#VALUE!</v>
      </c>
      <c r="EH129" t="e">
        <f>'All regions'!A3228+"n/&gt;!'5]"</f>
        <v>#VALUE!</v>
      </c>
      <c r="EI129" t="e">
        <f>'All regions'!B3228+"n/&gt;!'5^"</f>
        <v>#VALUE!</v>
      </c>
      <c r="EJ129" t="e">
        <f>'All regions'!C3228+"n/&gt;!'5_"</f>
        <v>#VALUE!</v>
      </c>
      <c r="EK129" t="e">
        <f>'All regions'!D3228+"n/&gt;!'5`"</f>
        <v>#VALUE!</v>
      </c>
      <c r="EL129" t="e">
        <f>'All regions'!E3228+"n/&gt;!'5a"</f>
        <v>#VALUE!</v>
      </c>
      <c r="EM129" t="e">
        <f>'All regions'!F3228+"n/&gt;!'5b"</f>
        <v>#VALUE!</v>
      </c>
      <c r="EN129" t="e">
        <f>'All regions'!G3228+"n/&gt;!'5c"</f>
        <v>#VALUE!</v>
      </c>
      <c r="EO129" t="e">
        <f>'All regions'!H3228+"n/&gt;!'5d"</f>
        <v>#VALUE!</v>
      </c>
      <c r="EP129" t="e">
        <f>'All regions'!I3228+"n/&gt;!'5e"</f>
        <v>#VALUE!</v>
      </c>
      <c r="EQ129" t="e">
        <f>'All regions'!J3228+"n/&gt;!'5f"</f>
        <v>#VALUE!</v>
      </c>
      <c r="ER129" t="e">
        <f>'All regions'!A3229+"n/&gt;!'5g"</f>
        <v>#VALUE!</v>
      </c>
      <c r="ES129" t="e">
        <f>'All regions'!B3229+"n/&gt;!'5h"</f>
        <v>#VALUE!</v>
      </c>
      <c r="ET129" t="e">
        <f>'All regions'!C3229+"n/&gt;!'5i"</f>
        <v>#VALUE!</v>
      </c>
      <c r="EU129" t="e">
        <f>'All regions'!D3229+"n/&gt;!'5j"</f>
        <v>#VALUE!</v>
      </c>
      <c r="EV129" t="e">
        <f>'All regions'!E3229+"n/&gt;!'5k"</f>
        <v>#VALUE!</v>
      </c>
      <c r="EW129" t="e">
        <f>'All regions'!F3229+"n/&gt;!'5l"</f>
        <v>#VALUE!</v>
      </c>
      <c r="EX129" t="e">
        <f>'All regions'!G3229+"n/&gt;!'5m"</f>
        <v>#VALUE!</v>
      </c>
      <c r="EY129" t="e">
        <f>'All regions'!H3229+"n/&gt;!'5n"</f>
        <v>#VALUE!</v>
      </c>
      <c r="EZ129" t="e">
        <f>'All regions'!I3229+"n/&gt;!'5o"</f>
        <v>#VALUE!</v>
      </c>
      <c r="FA129" t="e">
        <f>'All regions'!J3229+"n/&gt;!'5p"</f>
        <v>#VALUE!</v>
      </c>
      <c r="FB129" t="e">
        <f>'All regions'!A3230+"n/&gt;!'5q"</f>
        <v>#VALUE!</v>
      </c>
      <c r="FC129" t="e">
        <f>'All regions'!B3230+"n/&gt;!'5r"</f>
        <v>#VALUE!</v>
      </c>
      <c r="FD129" t="e">
        <f>'All regions'!C3230+"n/&gt;!'5s"</f>
        <v>#VALUE!</v>
      </c>
      <c r="FE129" t="e">
        <f>'All regions'!D3230+"n/&gt;!'5t"</f>
        <v>#VALUE!</v>
      </c>
      <c r="FF129" t="e">
        <f>'All regions'!E3230+"n/&gt;!'5u"</f>
        <v>#VALUE!</v>
      </c>
      <c r="FG129" t="e">
        <f>'All regions'!F3230+"n/&gt;!'5v"</f>
        <v>#VALUE!</v>
      </c>
      <c r="FH129" t="e">
        <f>'All regions'!G3230+"n/&gt;!'5w"</f>
        <v>#VALUE!</v>
      </c>
      <c r="FI129" t="e">
        <f>'All regions'!H3230+"n/&gt;!'5x"</f>
        <v>#VALUE!</v>
      </c>
      <c r="FJ129" t="e">
        <f>'All regions'!I3230+"n/&gt;!'5y"</f>
        <v>#VALUE!</v>
      </c>
      <c r="FK129" t="e">
        <f>'All regions'!J3230+"n/&gt;!'5z"</f>
        <v>#VALUE!</v>
      </c>
      <c r="FL129" t="e">
        <f>'All regions'!A3231+"n/&gt;!'5{"</f>
        <v>#VALUE!</v>
      </c>
      <c r="FM129" t="e">
        <f>'All regions'!B3231+"n/&gt;!'5|"</f>
        <v>#VALUE!</v>
      </c>
      <c r="FN129" t="e">
        <f>'All regions'!C3231+"n/&gt;!'5}"</f>
        <v>#VALUE!</v>
      </c>
      <c r="FO129" t="e">
        <f>'All regions'!D3231+"n/&gt;!'5~"</f>
        <v>#VALUE!</v>
      </c>
      <c r="FP129" t="e">
        <f>'All regions'!E3231+"n/&gt;!'6#"</f>
        <v>#VALUE!</v>
      </c>
      <c r="FQ129" t="e">
        <f>'All regions'!F3231+"n/&gt;!'6$"</f>
        <v>#VALUE!</v>
      </c>
      <c r="FR129" t="e">
        <f>'All regions'!G3231+"n/&gt;!'6%"</f>
        <v>#VALUE!</v>
      </c>
      <c r="FS129" t="e">
        <f>'All regions'!H3231+"n/&gt;!'6&amp;"</f>
        <v>#VALUE!</v>
      </c>
      <c r="FT129" t="e">
        <f>'All regions'!I3231+"n/&gt;!'6'"</f>
        <v>#VALUE!</v>
      </c>
      <c r="FU129" t="e">
        <f>'All regions'!J3231+"n/&gt;!'6("</f>
        <v>#VALUE!</v>
      </c>
      <c r="FV129" t="e">
        <f>'All regions'!A3232+"n/&gt;!'6)"</f>
        <v>#VALUE!</v>
      </c>
      <c r="FW129" t="e">
        <f>'All regions'!B3232+"n/&gt;!'6."</f>
        <v>#VALUE!</v>
      </c>
      <c r="FX129" t="e">
        <f>'All regions'!C3232+"n/&gt;!'6/"</f>
        <v>#VALUE!</v>
      </c>
      <c r="FY129" t="e">
        <f>'All regions'!D3232+"n/&gt;!'60"</f>
        <v>#VALUE!</v>
      </c>
      <c r="FZ129" t="e">
        <f>'All regions'!E3232+"n/&gt;!'61"</f>
        <v>#VALUE!</v>
      </c>
      <c r="GA129" t="e">
        <f>'All regions'!F3232+"n/&gt;!'62"</f>
        <v>#VALUE!</v>
      </c>
      <c r="GB129" t="e">
        <f>'All regions'!G3232+"n/&gt;!'63"</f>
        <v>#VALUE!</v>
      </c>
      <c r="GC129" t="e">
        <f>'All regions'!H3232+"n/&gt;!'64"</f>
        <v>#VALUE!</v>
      </c>
      <c r="GD129" t="e">
        <f>'All regions'!I3232+"n/&gt;!'65"</f>
        <v>#VALUE!</v>
      </c>
      <c r="GE129" t="e">
        <f>'All regions'!J3232+"n/&gt;!'66"</f>
        <v>#VALUE!</v>
      </c>
      <c r="GF129" t="e">
        <f>'All regions'!A3233+"n/&gt;!'67"</f>
        <v>#VALUE!</v>
      </c>
      <c r="GG129" t="e">
        <f>'All regions'!B3233+"n/&gt;!'68"</f>
        <v>#VALUE!</v>
      </c>
      <c r="GH129" t="e">
        <f>'All regions'!C3233+"n/&gt;!'69"</f>
        <v>#VALUE!</v>
      </c>
      <c r="GI129" t="e">
        <f>'All regions'!D3233+"n/&gt;!'6:"</f>
        <v>#VALUE!</v>
      </c>
      <c r="GJ129" t="e">
        <f>'All regions'!E3233+"n/&gt;!'6;"</f>
        <v>#VALUE!</v>
      </c>
      <c r="GK129" t="e">
        <f>'All regions'!F3233+"n/&gt;!'6&lt;"</f>
        <v>#VALUE!</v>
      </c>
      <c r="GL129" t="e">
        <f>'All regions'!G3233+"n/&gt;!'6="</f>
        <v>#VALUE!</v>
      </c>
      <c r="GM129" t="e">
        <f>'All regions'!H3233+"n/&gt;!'6&gt;"</f>
        <v>#VALUE!</v>
      </c>
      <c r="GN129" t="e">
        <f>'All regions'!I3233+"n/&gt;!'6?"</f>
        <v>#VALUE!</v>
      </c>
      <c r="GO129" t="e">
        <f>'All regions'!J3233+"n/&gt;!'6@"</f>
        <v>#VALUE!</v>
      </c>
      <c r="GP129" t="e">
        <f>'All regions'!A3234+"n/&gt;!'6A"</f>
        <v>#VALUE!</v>
      </c>
      <c r="GQ129" t="e">
        <f>'All regions'!B3234+"n/&gt;!'6B"</f>
        <v>#VALUE!</v>
      </c>
      <c r="GR129" t="e">
        <f>'All regions'!C3234+"n/&gt;!'6C"</f>
        <v>#VALUE!</v>
      </c>
      <c r="GS129" t="e">
        <f>'All regions'!D3234+"n/&gt;!'6D"</f>
        <v>#VALUE!</v>
      </c>
      <c r="GT129" t="e">
        <f>'All regions'!E3234+"n/&gt;!'6E"</f>
        <v>#VALUE!</v>
      </c>
      <c r="GU129" t="e">
        <f>'All regions'!F3234+"n/&gt;!'6F"</f>
        <v>#VALUE!</v>
      </c>
      <c r="GV129" t="e">
        <f>'All regions'!G3234+"n/&gt;!'6G"</f>
        <v>#VALUE!</v>
      </c>
      <c r="GW129" t="e">
        <f>'All regions'!H3234+"n/&gt;!'6H"</f>
        <v>#VALUE!</v>
      </c>
      <c r="GX129" t="e">
        <f>'All regions'!I3234+"n/&gt;!'6I"</f>
        <v>#VALUE!</v>
      </c>
      <c r="GY129" t="e">
        <f>'All regions'!J3234+"n/&gt;!'6J"</f>
        <v>#VALUE!</v>
      </c>
      <c r="GZ129" t="e">
        <f>'All regions'!A3235+"n/&gt;!'6K"</f>
        <v>#VALUE!</v>
      </c>
      <c r="HA129" t="e">
        <f>'All regions'!B3235+"n/&gt;!'6L"</f>
        <v>#VALUE!</v>
      </c>
      <c r="HB129" t="e">
        <f>'All regions'!C3235+"n/&gt;!'6M"</f>
        <v>#VALUE!</v>
      </c>
      <c r="HC129" t="e">
        <f>'All regions'!D3235+"n/&gt;!'6N"</f>
        <v>#VALUE!</v>
      </c>
      <c r="HD129" t="e">
        <f>'All regions'!E3235+"n/&gt;!'6O"</f>
        <v>#VALUE!</v>
      </c>
      <c r="HE129" t="e">
        <f>'All regions'!F3235+"n/&gt;!'6P"</f>
        <v>#VALUE!</v>
      </c>
      <c r="HF129" t="e">
        <f>'All regions'!G3235+"n/&gt;!'6Q"</f>
        <v>#VALUE!</v>
      </c>
      <c r="HG129" t="e">
        <f>'All regions'!H3235+"n/&gt;!'6R"</f>
        <v>#VALUE!</v>
      </c>
      <c r="HH129" t="e">
        <f>'All regions'!I3235+"n/&gt;!'6S"</f>
        <v>#VALUE!</v>
      </c>
      <c r="HI129" t="e">
        <f>'All regions'!J3235+"n/&gt;!'6T"</f>
        <v>#VALUE!</v>
      </c>
      <c r="HJ129" t="e">
        <f>'All regions'!A3236+"n/&gt;!'6U"</f>
        <v>#VALUE!</v>
      </c>
      <c r="HK129" t="e">
        <f>'All regions'!B3236+"n/&gt;!'6V"</f>
        <v>#VALUE!</v>
      </c>
      <c r="HL129" t="e">
        <f>'All regions'!C3236+"n/&gt;!'6W"</f>
        <v>#VALUE!</v>
      </c>
      <c r="HM129" t="e">
        <f>'All regions'!D3236+"n/&gt;!'6X"</f>
        <v>#VALUE!</v>
      </c>
      <c r="HN129" t="e">
        <f>'All regions'!E3236+"n/&gt;!'6Y"</f>
        <v>#VALUE!</v>
      </c>
      <c r="HO129" t="e">
        <f>'All regions'!F3236+"n/&gt;!'6Z"</f>
        <v>#VALUE!</v>
      </c>
      <c r="HP129" t="e">
        <f>'All regions'!G3236+"n/&gt;!'6["</f>
        <v>#VALUE!</v>
      </c>
      <c r="HQ129" t="e">
        <f>'All regions'!H3236+"n/&gt;!'6\"</f>
        <v>#VALUE!</v>
      </c>
      <c r="HR129" t="e">
        <f>'All regions'!I3236+"n/&gt;!'6]"</f>
        <v>#VALUE!</v>
      </c>
      <c r="HS129" t="e">
        <f>'All regions'!J3236+"n/&gt;!'6^"</f>
        <v>#VALUE!</v>
      </c>
      <c r="HT129" t="e">
        <f>'All regions'!A3237+"n/&gt;!'6_"</f>
        <v>#VALUE!</v>
      </c>
      <c r="HU129" t="e">
        <f>'All regions'!B3237+"n/&gt;!'6`"</f>
        <v>#VALUE!</v>
      </c>
      <c r="HV129" t="e">
        <f>'All regions'!C3237+"n/&gt;!'6a"</f>
        <v>#VALUE!</v>
      </c>
      <c r="HW129" t="e">
        <f>'All regions'!D3237+"n/&gt;!'6b"</f>
        <v>#VALUE!</v>
      </c>
      <c r="HX129" t="e">
        <f>'All regions'!E3237+"n/&gt;!'6c"</f>
        <v>#VALUE!</v>
      </c>
      <c r="HY129" t="e">
        <f>'All regions'!F3237+"n/&gt;!'6d"</f>
        <v>#VALUE!</v>
      </c>
      <c r="HZ129" t="e">
        <f>'All regions'!G3237+"n/&gt;!'6e"</f>
        <v>#VALUE!</v>
      </c>
      <c r="IA129" t="e">
        <f>'All regions'!H3237+"n/&gt;!'6f"</f>
        <v>#VALUE!</v>
      </c>
      <c r="IB129" t="e">
        <f>'All regions'!I3237+"n/&gt;!'6g"</f>
        <v>#VALUE!</v>
      </c>
      <c r="IC129" t="e">
        <f>'All regions'!J3237+"n/&gt;!'6h"</f>
        <v>#VALUE!</v>
      </c>
      <c r="ID129" t="e">
        <f>'All regions'!A3238+"n/&gt;!'6i"</f>
        <v>#VALUE!</v>
      </c>
      <c r="IE129" t="e">
        <f>'All regions'!B3238+"n/&gt;!'6j"</f>
        <v>#VALUE!</v>
      </c>
      <c r="IF129" t="e">
        <f>'All regions'!C3238+"n/&gt;!'6k"</f>
        <v>#VALUE!</v>
      </c>
      <c r="IG129" t="e">
        <f>'All regions'!D3238+"n/&gt;!'6l"</f>
        <v>#VALUE!</v>
      </c>
      <c r="IH129" t="e">
        <f>'All regions'!E3238+"n/&gt;!'6m"</f>
        <v>#VALUE!</v>
      </c>
      <c r="II129" t="e">
        <f>'All regions'!F3238+"n/&gt;!'6n"</f>
        <v>#VALUE!</v>
      </c>
      <c r="IJ129" t="e">
        <f>'All regions'!G3238+"n/&gt;!'6o"</f>
        <v>#VALUE!</v>
      </c>
      <c r="IK129" t="e">
        <f>'All regions'!H3238+"n/&gt;!'6p"</f>
        <v>#VALUE!</v>
      </c>
      <c r="IL129" t="e">
        <f>'All regions'!I3238+"n/&gt;!'6q"</f>
        <v>#VALUE!</v>
      </c>
      <c r="IM129" t="e">
        <f>'All regions'!J3238+"n/&gt;!'6r"</f>
        <v>#VALUE!</v>
      </c>
      <c r="IN129" t="e">
        <f>'All regions'!A3239+"n/&gt;!'6s"</f>
        <v>#VALUE!</v>
      </c>
      <c r="IO129" t="e">
        <f>'All regions'!B3239+"n/&gt;!'6t"</f>
        <v>#VALUE!</v>
      </c>
      <c r="IP129" t="e">
        <f>'All regions'!C3239+"n/&gt;!'6u"</f>
        <v>#VALUE!</v>
      </c>
      <c r="IQ129" t="e">
        <f>'All regions'!D3239+"n/&gt;!'6v"</f>
        <v>#VALUE!</v>
      </c>
      <c r="IR129" t="e">
        <f>'All regions'!E3239+"n/&gt;!'6w"</f>
        <v>#VALUE!</v>
      </c>
      <c r="IS129" t="e">
        <f>'All regions'!F3239+"n/&gt;!'6x"</f>
        <v>#VALUE!</v>
      </c>
      <c r="IT129" t="e">
        <f>'All regions'!G3239+"n/&gt;!'6y"</f>
        <v>#VALUE!</v>
      </c>
      <c r="IU129" t="e">
        <f>'All regions'!H3239+"n/&gt;!'6z"</f>
        <v>#VALUE!</v>
      </c>
      <c r="IV129" t="e">
        <f>'All regions'!I3239+"n/&gt;!'6{"</f>
        <v>#VALUE!</v>
      </c>
    </row>
    <row r="130" spans="6:256" x14ac:dyDescent="0.35">
      <c r="F130" t="e">
        <f>'All regions'!J3239+"n/&gt;!'6|"</f>
        <v>#VALUE!</v>
      </c>
      <c r="G130" t="e">
        <f>'All regions'!A3240+"n/&gt;!'6}"</f>
        <v>#VALUE!</v>
      </c>
      <c r="H130" t="e">
        <f>'All regions'!B3240+"n/&gt;!'6~"</f>
        <v>#VALUE!</v>
      </c>
      <c r="I130" t="e">
        <f>'All regions'!C3240+"n/&gt;!'7#"</f>
        <v>#VALUE!</v>
      </c>
      <c r="J130" t="e">
        <f>'All regions'!D3240+"n/&gt;!'7$"</f>
        <v>#VALUE!</v>
      </c>
      <c r="K130" t="e">
        <f>'All regions'!E3240+"n/&gt;!'7%"</f>
        <v>#VALUE!</v>
      </c>
      <c r="L130" t="e">
        <f>'All regions'!F3240+"n/&gt;!'7&amp;"</f>
        <v>#VALUE!</v>
      </c>
      <c r="M130" t="e">
        <f>'All regions'!G3240+"n/&gt;!'7'"</f>
        <v>#VALUE!</v>
      </c>
      <c r="N130" t="e">
        <f>'All regions'!H3240+"n/&gt;!'7("</f>
        <v>#VALUE!</v>
      </c>
      <c r="O130" t="e">
        <f>'All regions'!I3240+"n/&gt;!'7)"</f>
        <v>#VALUE!</v>
      </c>
      <c r="P130" t="e">
        <f>'All regions'!J3240+"n/&gt;!'7."</f>
        <v>#VALUE!</v>
      </c>
      <c r="Q130" t="e">
        <f>'All regions'!A3241+"n/&gt;!'7/"</f>
        <v>#VALUE!</v>
      </c>
      <c r="R130" t="e">
        <f>'All regions'!B3241+"n/&gt;!'70"</f>
        <v>#VALUE!</v>
      </c>
      <c r="S130" t="e">
        <f>'All regions'!C3241+"n/&gt;!'71"</f>
        <v>#VALUE!</v>
      </c>
      <c r="T130" t="e">
        <f>'All regions'!D3241+"n/&gt;!'72"</f>
        <v>#VALUE!</v>
      </c>
      <c r="U130" t="e">
        <f>'All regions'!E3241+"n/&gt;!'73"</f>
        <v>#VALUE!</v>
      </c>
      <c r="V130" t="e">
        <f>'All regions'!F3241+"n/&gt;!'74"</f>
        <v>#VALUE!</v>
      </c>
      <c r="W130" t="e">
        <f>'All regions'!G3241+"n/&gt;!'75"</f>
        <v>#VALUE!</v>
      </c>
      <c r="X130" t="e">
        <f>'All regions'!H3241+"n/&gt;!'76"</f>
        <v>#VALUE!</v>
      </c>
      <c r="Y130" t="e">
        <f>'All regions'!I3241+"n/&gt;!'77"</f>
        <v>#VALUE!</v>
      </c>
      <c r="Z130" t="e">
        <f>'All regions'!J3241+"n/&gt;!'78"</f>
        <v>#VALUE!</v>
      </c>
      <c r="AA130" t="e">
        <f>'All regions'!A3242+"n/&gt;!'79"</f>
        <v>#VALUE!</v>
      </c>
      <c r="AB130" t="e">
        <f>'All regions'!B3242+"n/&gt;!'7:"</f>
        <v>#VALUE!</v>
      </c>
      <c r="AC130" t="e">
        <f>'All regions'!C3242+"n/&gt;!'7;"</f>
        <v>#VALUE!</v>
      </c>
      <c r="AD130" t="e">
        <f>'All regions'!D3242+"n/&gt;!'7&lt;"</f>
        <v>#VALUE!</v>
      </c>
      <c r="AE130" t="e">
        <f>'All regions'!E3242+"n/&gt;!'7="</f>
        <v>#VALUE!</v>
      </c>
      <c r="AF130" t="e">
        <f>'All regions'!F3242+"n/&gt;!'7&gt;"</f>
        <v>#VALUE!</v>
      </c>
      <c r="AG130" t="e">
        <f>'All regions'!G3242+"n/&gt;!'7?"</f>
        <v>#VALUE!</v>
      </c>
      <c r="AH130" t="e">
        <f>'All regions'!H3242+"n/&gt;!'7@"</f>
        <v>#VALUE!</v>
      </c>
      <c r="AI130" t="e">
        <f>'All regions'!I3242+"n/&gt;!'7A"</f>
        <v>#VALUE!</v>
      </c>
      <c r="AJ130" t="e">
        <f>'All regions'!J3242+"n/&gt;!'7B"</f>
        <v>#VALUE!</v>
      </c>
      <c r="AK130" t="e">
        <f>'All regions'!A3243+"n/&gt;!'7C"</f>
        <v>#VALUE!</v>
      </c>
      <c r="AL130" t="e">
        <f>'All regions'!B3243+"n/&gt;!'7D"</f>
        <v>#VALUE!</v>
      </c>
      <c r="AM130" t="e">
        <f>'All regions'!C3243+"n/&gt;!'7E"</f>
        <v>#VALUE!</v>
      </c>
      <c r="AN130" t="e">
        <f>'All regions'!D3243+"n/&gt;!'7F"</f>
        <v>#VALUE!</v>
      </c>
      <c r="AO130" t="e">
        <f>'All regions'!E3243+"n/&gt;!'7G"</f>
        <v>#VALUE!</v>
      </c>
      <c r="AP130" t="e">
        <f>'All regions'!F3243+"n/&gt;!'7H"</f>
        <v>#VALUE!</v>
      </c>
      <c r="AQ130" t="e">
        <f>'All regions'!G3243+"n/&gt;!'7I"</f>
        <v>#VALUE!</v>
      </c>
      <c r="AR130" t="e">
        <f>'All regions'!H3243+"n/&gt;!'7J"</f>
        <v>#VALUE!</v>
      </c>
      <c r="AS130" t="e">
        <f>'All regions'!I3243+"n/&gt;!'7K"</f>
        <v>#VALUE!</v>
      </c>
      <c r="AT130" t="e">
        <f>'All regions'!J3243+"n/&gt;!'7L"</f>
        <v>#VALUE!</v>
      </c>
      <c r="AU130" t="e">
        <f>'All regions'!A3244+"n/&gt;!'7M"</f>
        <v>#VALUE!</v>
      </c>
      <c r="AV130" t="e">
        <f>'All regions'!B3244+"n/&gt;!'7N"</f>
        <v>#VALUE!</v>
      </c>
      <c r="AW130" t="e">
        <f>'All regions'!C3244+"n/&gt;!'7O"</f>
        <v>#VALUE!</v>
      </c>
      <c r="AX130" t="e">
        <f>'All regions'!D3244+"n/&gt;!'7P"</f>
        <v>#VALUE!</v>
      </c>
      <c r="AY130" t="e">
        <f>'All regions'!E3244+"n/&gt;!'7Q"</f>
        <v>#VALUE!</v>
      </c>
      <c r="AZ130" t="e">
        <f>'All regions'!F3244+"n/&gt;!'7R"</f>
        <v>#VALUE!</v>
      </c>
      <c r="BA130" t="e">
        <f>'All regions'!G3244+"n/&gt;!'7S"</f>
        <v>#VALUE!</v>
      </c>
      <c r="BB130" t="e">
        <f>'All regions'!H3244+"n/&gt;!'7T"</f>
        <v>#VALUE!</v>
      </c>
      <c r="BC130" t="e">
        <f>'All regions'!I3244+"n/&gt;!'7U"</f>
        <v>#VALUE!</v>
      </c>
      <c r="BD130" t="e">
        <f>'All regions'!J3244+"n/&gt;!'7V"</f>
        <v>#VALUE!</v>
      </c>
      <c r="BE130" t="e">
        <f>'All regions'!A3245+"n/&gt;!'7W"</f>
        <v>#VALUE!</v>
      </c>
      <c r="BF130" t="e">
        <f>'All regions'!B3245+"n/&gt;!'7X"</f>
        <v>#VALUE!</v>
      </c>
      <c r="BG130" t="e">
        <f>'All regions'!C3245+"n/&gt;!'7Y"</f>
        <v>#VALUE!</v>
      </c>
      <c r="BH130" t="e">
        <f>'All regions'!D3245+"n/&gt;!'7Z"</f>
        <v>#VALUE!</v>
      </c>
      <c r="BI130" t="e">
        <f>'All regions'!E3245+"n/&gt;!'7["</f>
        <v>#VALUE!</v>
      </c>
      <c r="BJ130" t="e">
        <f>'All regions'!F3245+"n/&gt;!'7\"</f>
        <v>#VALUE!</v>
      </c>
      <c r="BK130" t="e">
        <f>'All regions'!G3245+"n/&gt;!'7]"</f>
        <v>#VALUE!</v>
      </c>
      <c r="BL130" t="e">
        <f>'All regions'!H3245+"n/&gt;!'7^"</f>
        <v>#VALUE!</v>
      </c>
      <c r="BM130" t="e">
        <f>'All regions'!I3245+"n/&gt;!'7_"</f>
        <v>#VALUE!</v>
      </c>
      <c r="BN130" t="e">
        <f>'All regions'!J3245+"n/&gt;!'7`"</f>
        <v>#VALUE!</v>
      </c>
      <c r="BO130" t="e">
        <f>'All regions'!A3246+"n/&gt;!'7a"</f>
        <v>#VALUE!</v>
      </c>
      <c r="BP130" t="e">
        <f>'All regions'!B3246+"n/&gt;!'7b"</f>
        <v>#VALUE!</v>
      </c>
      <c r="BQ130" t="e">
        <f>'All regions'!C3246+"n/&gt;!'7c"</f>
        <v>#VALUE!</v>
      </c>
      <c r="BR130" t="e">
        <f>'All regions'!D3246+"n/&gt;!'7d"</f>
        <v>#VALUE!</v>
      </c>
      <c r="BS130" t="e">
        <f>'All regions'!E3246+"n/&gt;!'7e"</f>
        <v>#VALUE!</v>
      </c>
      <c r="BT130" t="e">
        <f>'All regions'!F3246+"n/&gt;!'7f"</f>
        <v>#VALUE!</v>
      </c>
      <c r="BU130" t="e">
        <f>'All regions'!G3246+"n/&gt;!'7g"</f>
        <v>#VALUE!</v>
      </c>
      <c r="BV130" t="e">
        <f>'All regions'!H3246+"n/&gt;!'7h"</f>
        <v>#VALUE!</v>
      </c>
      <c r="BW130" t="e">
        <f>'All regions'!I3246+"n/&gt;!'7i"</f>
        <v>#VALUE!</v>
      </c>
      <c r="BX130" t="e">
        <f>'All regions'!J3246+"n/&gt;!'7j"</f>
        <v>#VALUE!</v>
      </c>
      <c r="BY130" t="e">
        <f>'All regions'!A3247+"n/&gt;!'7k"</f>
        <v>#VALUE!</v>
      </c>
      <c r="BZ130" t="e">
        <f>'All regions'!B3247+"n/&gt;!'7l"</f>
        <v>#VALUE!</v>
      </c>
      <c r="CA130" t="e">
        <f>'All regions'!C3247+"n/&gt;!'7m"</f>
        <v>#VALUE!</v>
      </c>
      <c r="CB130" t="e">
        <f>'All regions'!D3247+"n/&gt;!'7n"</f>
        <v>#VALUE!</v>
      </c>
      <c r="CC130" t="e">
        <f>'All regions'!E3247+"n/&gt;!'7o"</f>
        <v>#VALUE!</v>
      </c>
      <c r="CD130" t="e">
        <f>'All regions'!F3247+"n/&gt;!'7p"</f>
        <v>#VALUE!</v>
      </c>
      <c r="CE130" t="e">
        <f>'All regions'!G3247+"n/&gt;!'7q"</f>
        <v>#VALUE!</v>
      </c>
      <c r="CF130" t="e">
        <f>'All regions'!H3247+"n/&gt;!'7r"</f>
        <v>#VALUE!</v>
      </c>
      <c r="CG130" t="e">
        <f>'All regions'!I3247+"n/&gt;!'7s"</f>
        <v>#VALUE!</v>
      </c>
      <c r="CH130" t="e">
        <f>'All regions'!J3247+"n/&gt;!'7t"</f>
        <v>#VALUE!</v>
      </c>
      <c r="CI130" t="e">
        <f>'All regions'!A3248+"n/&gt;!'7u"</f>
        <v>#VALUE!</v>
      </c>
      <c r="CJ130" t="e">
        <f>'All regions'!B3248+"n/&gt;!'7v"</f>
        <v>#VALUE!</v>
      </c>
      <c r="CK130" t="e">
        <f>'All regions'!C3248+"n/&gt;!'7w"</f>
        <v>#VALUE!</v>
      </c>
      <c r="CL130" t="e">
        <f>'All regions'!D3248+"n/&gt;!'7x"</f>
        <v>#VALUE!</v>
      </c>
      <c r="CM130" t="e">
        <f>'All regions'!E3248+"n/&gt;!'7y"</f>
        <v>#VALUE!</v>
      </c>
      <c r="CN130" t="e">
        <f>'All regions'!F3248+"n/&gt;!'7z"</f>
        <v>#VALUE!</v>
      </c>
      <c r="CO130" t="e">
        <f>'All regions'!G3248+"n/&gt;!'7{"</f>
        <v>#VALUE!</v>
      </c>
      <c r="CP130" t="e">
        <f>'All regions'!H3248+"n/&gt;!'7|"</f>
        <v>#VALUE!</v>
      </c>
      <c r="CQ130" t="e">
        <f>'All regions'!I3248+"n/&gt;!'7}"</f>
        <v>#VALUE!</v>
      </c>
      <c r="CR130" t="e">
        <f>'All regions'!J3248+"n/&gt;!'7~"</f>
        <v>#VALUE!</v>
      </c>
      <c r="CS130" t="e">
        <f>'All regions'!A3249+"n/&gt;!'8#"</f>
        <v>#VALUE!</v>
      </c>
      <c r="CT130" t="e">
        <f>'All regions'!B3249+"n/&gt;!'8$"</f>
        <v>#VALUE!</v>
      </c>
      <c r="CU130" t="e">
        <f>'All regions'!C3249+"n/&gt;!'8%"</f>
        <v>#VALUE!</v>
      </c>
      <c r="CV130" t="e">
        <f>'All regions'!D3249+"n/&gt;!'8&amp;"</f>
        <v>#VALUE!</v>
      </c>
      <c r="CW130" t="e">
        <f>'All regions'!E3249+"n/&gt;!'8'"</f>
        <v>#VALUE!</v>
      </c>
      <c r="CX130" t="e">
        <f>'All regions'!F3249+"n/&gt;!'8("</f>
        <v>#VALUE!</v>
      </c>
      <c r="CY130" t="e">
        <f>'All regions'!G3249+"n/&gt;!'8)"</f>
        <v>#VALUE!</v>
      </c>
      <c r="CZ130" t="e">
        <f>'All regions'!H3249+"n/&gt;!'8."</f>
        <v>#VALUE!</v>
      </c>
      <c r="DA130" t="e">
        <f>'All regions'!I3249+"n/&gt;!'8/"</f>
        <v>#VALUE!</v>
      </c>
      <c r="DB130" t="e">
        <f>'All regions'!J3249+"n/&gt;!'80"</f>
        <v>#VALUE!</v>
      </c>
      <c r="DC130" t="e">
        <f>'All regions'!A3250+"n/&gt;!'81"</f>
        <v>#VALUE!</v>
      </c>
      <c r="DD130" t="e">
        <f>'All regions'!B3250+"n/&gt;!'82"</f>
        <v>#VALUE!</v>
      </c>
      <c r="DE130" t="e">
        <f>'All regions'!C3250+"n/&gt;!'83"</f>
        <v>#VALUE!</v>
      </c>
      <c r="DF130" t="e">
        <f>'All regions'!D3250+"n/&gt;!'84"</f>
        <v>#VALUE!</v>
      </c>
      <c r="DG130" t="e">
        <f>'All regions'!E3250+"n/&gt;!'85"</f>
        <v>#VALUE!</v>
      </c>
      <c r="DH130" t="e">
        <f>'All regions'!F3250+"n/&gt;!'86"</f>
        <v>#VALUE!</v>
      </c>
      <c r="DI130" t="e">
        <f>'All regions'!G3250+"n/&gt;!'87"</f>
        <v>#VALUE!</v>
      </c>
      <c r="DJ130" t="e">
        <f>'All regions'!H3250+"n/&gt;!'88"</f>
        <v>#VALUE!</v>
      </c>
      <c r="DK130" t="e">
        <f>'All regions'!I3250+"n/&gt;!'89"</f>
        <v>#VALUE!</v>
      </c>
      <c r="DL130" t="e">
        <f>'All regions'!J3250+"n/&gt;!'8:"</f>
        <v>#VALUE!</v>
      </c>
      <c r="DM130" t="e">
        <f>'All regions'!A3251+"n/&gt;!'8;"</f>
        <v>#VALUE!</v>
      </c>
      <c r="DN130" t="e">
        <f>'All regions'!B3251+"n/&gt;!'8&lt;"</f>
        <v>#VALUE!</v>
      </c>
      <c r="DO130" t="e">
        <f>'All regions'!C3251+"n/&gt;!'8="</f>
        <v>#VALUE!</v>
      </c>
      <c r="DP130" t="e">
        <f>'All regions'!D3251+"n/&gt;!'8&gt;"</f>
        <v>#VALUE!</v>
      </c>
      <c r="DQ130" t="e">
        <f>'All regions'!E3251+"n/&gt;!'8?"</f>
        <v>#VALUE!</v>
      </c>
      <c r="DR130" t="e">
        <f>'All regions'!F3251+"n/&gt;!'8@"</f>
        <v>#VALUE!</v>
      </c>
      <c r="DS130" t="e">
        <f>'All regions'!G3251+"n/&gt;!'8A"</f>
        <v>#VALUE!</v>
      </c>
      <c r="DT130" t="e">
        <f>'All regions'!H3251+"n/&gt;!'8B"</f>
        <v>#VALUE!</v>
      </c>
      <c r="DU130" t="e">
        <f>'All regions'!I3251+"n/&gt;!'8C"</f>
        <v>#VALUE!</v>
      </c>
      <c r="DV130" t="e">
        <f>'All regions'!J3251+"n/&gt;!'8D"</f>
        <v>#VALUE!</v>
      </c>
      <c r="DW130" t="e">
        <f>'All regions'!A3252+"n/&gt;!'8E"</f>
        <v>#VALUE!</v>
      </c>
      <c r="DX130" t="e">
        <f>'All regions'!B3252+"n/&gt;!'8F"</f>
        <v>#VALUE!</v>
      </c>
      <c r="DY130" t="e">
        <f>'All regions'!C3252+"n/&gt;!'8G"</f>
        <v>#VALUE!</v>
      </c>
      <c r="DZ130" t="e">
        <f>'All regions'!D3252+"n/&gt;!'8H"</f>
        <v>#VALUE!</v>
      </c>
      <c r="EA130" t="e">
        <f>'All regions'!E3252+"n/&gt;!'8I"</f>
        <v>#VALUE!</v>
      </c>
      <c r="EB130" t="e">
        <f>'All regions'!F3252+"n/&gt;!'8J"</f>
        <v>#VALUE!</v>
      </c>
      <c r="EC130" t="e">
        <f>'All regions'!G3252+"n/&gt;!'8K"</f>
        <v>#VALUE!</v>
      </c>
      <c r="ED130" t="e">
        <f>'All regions'!H3252+"n/&gt;!'8L"</f>
        <v>#VALUE!</v>
      </c>
      <c r="EE130" t="e">
        <f>'All regions'!I3252+"n/&gt;!'8M"</f>
        <v>#VALUE!</v>
      </c>
      <c r="EF130" t="e">
        <f>'All regions'!J3252+"n/&gt;!'8N"</f>
        <v>#VALUE!</v>
      </c>
      <c r="EG130" t="e">
        <f>'All regions'!A3253+"n/&gt;!'8O"</f>
        <v>#VALUE!</v>
      </c>
      <c r="EH130" t="e">
        <f>'All regions'!B3253+"n/&gt;!'8P"</f>
        <v>#VALUE!</v>
      </c>
      <c r="EI130" t="e">
        <f>'All regions'!C3253+"n/&gt;!'8Q"</f>
        <v>#VALUE!</v>
      </c>
      <c r="EJ130" t="e">
        <f>'All regions'!D3253+"n/&gt;!'8R"</f>
        <v>#VALUE!</v>
      </c>
      <c r="EK130" t="e">
        <f>'All regions'!E3253+"n/&gt;!'8S"</f>
        <v>#VALUE!</v>
      </c>
      <c r="EL130" t="e">
        <f>'All regions'!F3253+"n/&gt;!'8T"</f>
        <v>#VALUE!</v>
      </c>
      <c r="EM130" t="e">
        <f>'All regions'!G3253+"n/&gt;!'8U"</f>
        <v>#VALUE!</v>
      </c>
      <c r="EN130" t="e">
        <f>'All regions'!H3253+"n/&gt;!'8V"</f>
        <v>#VALUE!</v>
      </c>
      <c r="EO130" t="e">
        <f>'All regions'!I3253+"n/&gt;!'8W"</f>
        <v>#VALUE!</v>
      </c>
      <c r="EP130" t="e">
        <f>'All regions'!J3253+"n/&gt;!'8X"</f>
        <v>#VALUE!</v>
      </c>
      <c r="EQ130" t="e">
        <f>'All regions'!A3254+"n/&gt;!'8Y"</f>
        <v>#VALUE!</v>
      </c>
      <c r="ER130" t="e">
        <f>'All regions'!B3254+"n/&gt;!'8Z"</f>
        <v>#VALUE!</v>
      </c>
      <c r="ES130" t="e">
        <f>'All regions'!C3254+"n/&gt;!'8["</f>
        <v>#VALUE!</v>
      </c>
      <c r="ET130" t="e">
        <f>'All regions'!D3254+"n/&gt;!'8\"</f>
        <v>#VALUE!</v>
      </c>
      <c r="EU130" t="e">
        <f>'All regions'!E3254+"n/&gt;!'8]"</f>
        <v>#VALUE!</v>
      </c>
      <c r="EV130" t="e">
        <f>'All regions'!F3254+"n/&gt;!'8^"</f>
        <v>#VALUE!</v>
      </c>
      <c r="EW130" t="e">
        <f>'All regions'!G3254+"n/&gt;!'8_"</f>
        <v>#VALUE!</v>
      </c>
      <c r="EX130" t="e">
        <f>'All regions'!H3254+"n/&gt;!'8`"</f>
        <v>#VALUE!</v>
      </c>
      <c r="EY130" t="e">
        <f>'All regions'!I3254+"n/&gt;!'8a"</f>
        <v>#VALUE!</v>
      </c>
      <c r="EZ130" t="e">
        <f>'All regions'!J3254+"n/&gt;!'8b"</f>
        <v>#VALUE!</v>
      </c>
      <c r="FA130" t="e">
        <f>'All regions'!A3255+"n/&gt;!'8c"</f>
        <v>#VALUE!</v>
      </c>
      <c r="FB130" t="e">
        <f>'All regions'!B3255+"n/&gt;!'8d"</f>
        <v>#VALUE!</v>
      </c>
      <c r="FC130" t="e">
        <f>'All regions'!C3255+"n/&gt;!'8e"</f>
        <v>#VALUE!</v>
      </c>
      <c r="FD130" t="e">
        <f>'All regions'!D3255+"n/&gt;!'8f"</f>
        <v>#VALUE!</v>
      </c>
      <c r="FE130" t="e">
        <f>'All regions'!E3255+"n/&gt;!'8g"</f>
        <v>#VALUE!</v>
      </c>
      <c r="FF130" t="e">
        <f>'All regions'!F3255+"n/&gt;!'8h"</f>
        <v>#VALUE!</v>
      </c>
      <c r="FG130" t="e">
        <f>'All regions'!G3255+"n/&gt;!'8i"</f>
        <v>#VALUE!</v>
      </c>
      <c r="FH130" t="e">
        <f>'All regions'!H3255+"n/&gt;!'8j"</f>
        <v>#VALUE!</v>
      </c>
      <c r="FI130" t="e">
        <f>'All regions'!I3255+"n/&gt;!'8k"</f>
        <v>#VALUE!</v>
      </c>
      <c r="FJ130" t="e">
        <f>'All regions'!J3255+"n/&gt;!'8l"</f>
        <v>#VALUE!</v>
      </c>
      <c r="FK130" t="e">
        <f>'All regions'!A3256+"n/&gt;!'8m"</f>
        <v>#VALUE!</v>
      </c>
      <c r="FL130" t="e">
        <f>'All regions'!B3256+"n/&gt;!'8n"</f>
        <v>#VALUE!</v>
      </c>
      <c r="FM130" t="e">
        <f>'All regions'!C3256+"n/&gt;!'8o"</f>
        <v>#VALUE!</v>
      </c>
      <c r="FN130" t="e">
        <f>'All regions'!D3256+"n/&gt;!'8p"</f>
        <v>#VALUE!</v>
      </c>
      <c r="FO130" t="e">
        <f>'All regions'!E3256+"n/&gt;!'8q"</f>
        <v>#VALUE!</v>
      </c>
      <c r="FP130" t="e">
        <f>'All regions'!F3256+"n/&gt;!'8r"</f>
        <v>#VALUE!</v>
      </c>
      <c r="FQ130" t="e">
        <f>'All regions'!G3256+"n/&gt;!'8s"</f>
        <v>#VALUE!</v>
      </c>
      <c r="FR130" t="e">
        <f>'All regions'!H3256+"n/&gt;!'8t"</f>
        <v>#VALUE!</v>
      </c>
      <c r="FS130" t="e">
        <f>'All regions'!I3256+"n/&gt;!'8u"</f>
        <v>#VALUE!</v>
      </c>
      <c r="FT130" t="e">
        <f>'All regions'!J3256+"n/&gt;!'8v"</f>
        <v>#VALUE!</v>
      </c>
      <c r="FU130" t="e">
        <f>'All regions'!A3257+"n/&gt;!'8w"</f>
        <v>#VALUE!</v>
      </c>
      <c r="FV130" t="e">
        <f>'All regions'!B3257+"n/&gt;!'8x"</f>
        <v>#VALUE!</v>
      </c>
      <c r="FW130" t="e">
        <f>'All regions'!C3257+"n/&gt;!'8y"</f>
        <v>#VALUE!</v>
      </c>
      <c r="FX130" t="e">
        <f>'All regions'!D3257+"n/&gt;!'8z"</f>
        <v>#VALUE!</v>
      </c>
      <c r="FY130" t="e">
        <f>'All regions'!E3257+"n/&gt;!'8{"</f>
        <v>#VALUE!</v>
      </c>
      <c r="FZ130" t="e">
        <f>'All regions'!F3257+"n/&gt;!'8|"</f>
        <v>#VALUE!</v>
      </c>
      <c r="GA130" t="e">
        <f>'All regions'!G3257+"n/&gt;!'8}"</f>
        <v>#VALUE!</v>
      </c>
      <c r="GB130" t="e">
        <f>'All regions'!H3257+"n/&gt;!'8~"</f>
        <v>#VALUE!</v>
      </c>
      <c r="GC130" t="e">
        <f>'All regions'!I3257+"n/&gt;!'9#"</f>
        <v>#VALUE!</v>
      </c>
      <c r="GD130" t="e">
        <f>'All regions'!J3257+"n/&gt;!'9$"</f>
        <v>#VALUE!</v>
      </c>
      <c r="GE130" t="e">
        <f>'All regions'!A3258+"n/&gt;!'9%"</f>
        <v>#VALUE!</v>
      </c>
      <c r="GF130" t="e">
        <f>'All regions'!B3258+"n/&gt;!'9&amp;"</f>
        <v>#VALUE!</v>
      </c>
      <c r="GG130" t="e">
        <f>'All regions'!C3258+"n/&gt;!'9'"</f>
        <v>#VALUE!</v>
      </c>
      <c r="GH130" t="e">
        <f>'All regions'!D3258+"n/&gt;!'9("</f>
        <v>#VALUE!</v>
      </c>
      <c r="GI130" t="e">
        <f>'All regions'!E3258+"n/&gt;!'9)"</f>
        <v>#VALUE!</v>
      </c>
      <c r="GJ130" t="e">
        <f>'All regions'!F3258+"n/&gt;!'9."</f>
        <v>#VALUE!</v>
      </c>
      <c r="GK130" t="e">
        <f>'All regions'!G3258+"n/&gt;!'9/"</f>
        <v>#VALUE!</v>
      </c>
      <c r="GL130" t="e">
        <f>'All regions'!H3258+"n/&gt;!'90"</f>
        <v>#VALUE!</v>
      </c>
      <c r="GM130" t="e">
        <f>'All regions'!I3258+"n/&gt;!'91"</f>
        <v>#VALUE!</v>
      </c>
      <c r="GN130" t="e">
        <f>'All regions'!J3258+"n/&gt;!'92"</f>
        <v>#VALUE!</v>
      </c>
      <c r="GO130" t="e">
        <f>'All regions'!A3259+"n/&gt;!'93"</f>
        <v>#VALUE!</v>
      </c>
      <c r="GP130" t="e">
        <f>'All regions'!B3259+"n/&gt;!'94"</f>
        <v>#VALUE!</v>
      </c>
      <c r="GQ130" t="e">
        <f>'All regions'!C3259+"n/&gt;!'95"</f>
        <v>#VALUE!</v>
      </c>
      <c r="GR130" t="e">
        <f>'All regions'!D3259+"n/&gt;!'96"</f>
        <v>#VALUE!</v>
      </c>
      <c r="GS130" t="e">
        <f>'All regions'!E3259+"n/&gt;!'97"</f>
        <v>#VALUE!</v>
      </c>
      <c r="GT130" t="e">
        <f>'All regions'!F3259+"n/&gt;!'98"</f>
        <v>#VALUE!</v>
      </c>
      <c r="GU130" t="e">
        <f>'All regions'!G3259+"n/&gt;!'99"</f>
        <v>#VALUE!</v>
      </c>
      <c r="GV130" t="e">
        <f>'All regions'!H3259+"n/&gt;!'9:"</f>
        <v>#VALUE!</v>
      </c>
      <c r="GW130" t="e">
        <f>'All regions'!I3259+"n/&gt;!'9;"</f>
        <v>#VALUE!</v>
      </c>
      <c r="GX130" t="e">
        <f>'All regions'!J3259+"n/&gt;!'9&lt;"</f>
        <v>#VALUE!</v>
      </c>
      <c r="GY130" t="e">
        <f>'All regions'!A3260+"n/&gt;!'9="</f>
        <v>#VALUE!</v>
      </c>
      <c r="GZ130" t="e">
        <f>'All regions'!B3260+"n/&gt;!'9&gt;"</f>
        <v>#VALUE!</v>
      </c>
      <c r="HA130" t="e">
        <f>'All regions'!C3260+"n/&gt;!'9?"</f>
        <v>#VALUE!</v>
      </c>
      <c r="HB130" t="e">
        <f>'All regions'!D3260+"n/&gt;!'9@"</f>
        <v>#VALUE!</v>
      </c>
      <c r="HC130" t="e">
        <f>'All regions'!E3260+"n/&gt;!'9A"</f>
        <v>#VALUE!</v>
      </c>
      <c r="HD130" t="e">
        <f>'All regions'!F3260+"n/&gt;!'9B"</f>
        <v>#VALUE!</v>
      </c>
      <c r="HE130" t="e">
        <f>'All regions'!G3260+"n/&gt;!'9C"</f>
        <v>#VALUE!</v>
      </c>
      <c r="HF130" t="e">
        <f>'All regions'!H3260+"n/&gt;!'9D"</f>
        <v>#VALUE!</v>
      </c>
      <c r="HG130" t="e">
        <f>'All regions'!I3260+"n/&gt;!'9E"</f>
        <v>#VALUE!</v>
      </c>
      <c r="HH130" t="e">
        <f>'All regions'!J3260+"n/&gt;!'9F"</f>
        <v>#VALUE!</v>
      </c>
      <c r="HI130" t="e">
        <f>'All regions'!A3261+"n/&gt;!'9G"</f>
        <v>#VALUE!</v>
      </c>
      <c r="HJ130" t="e">
        <f>'All regions'!B3261+"n/&gt;!'9H"</f>
        <v>#VALUE!</v>
      </c>
      <c r="HK130" t="e">
        <f>'All regions'!C3261+"n/&gt;!'9I"</f>
        <v>#VALUE!</v>
      </c>
      <c r="HL130" t="e">
        <f>'All regions'!D3261+"n/&gt;!'9J"</f>
        <v>#VALUE!</v>
      </c>
      <c r="HM130" t="e">
        <f>'All regions'!E3261+"n/&gt;!'9K"</f>
        <v>#VALUE!</v>
      </c>
      <c r="HN130" t="e">
        <f>'All regions'!F3261+"n/&gt;!'9L"</f>
        <v>#VALUE!</v>
      </c>
      <c r="HO130" t="e">
        <f>'All regions'!G3261+"n/&gt;!'9M"</f>
        <v>#VALUE!</v>
      </c>
      <c r="HP130" t="e">
        <f>'All regions'!H3261+"n/&gt;!'9N"</f>
        <v>#VALUE!</v>
      </c>
      <c r="HQ130" t="e">
        <f>'All regions'!I3261+"n/&gt;!'9O"</f>
        <v>#VALUE!</v>
      </c>
      <c r="HR130" t="e">
        <f>'All regions'!J3261+"n/&gt;!'9P"</f>
        <v>#VALUE!</v>
      </c>
      <c r="HS130" t="e">
        <f>'All regions'!A3262+"n/&gt;!'9Q"</f>
        <v>#VALUE!</v>
      </c>
      <c r="HT130" t="e">
        <f>'All regions'!B3262+"n/&gt;!'9R"</f>
        <v>#VALUE!</v>
      </c>
      <c r="HU130" t="e">
        <f>'All regions'!C3262+"n/&gt;!'9S"</f>
        <v>#VALUE!</v>
      </c>
      <c r="HV130" t="e">
        <f>'All regions'!D3262+"n/&gt;!'9T"</f>
        <v>#VALUE!</v>
      </c>
      <c r="HW130" t="e">
        <f>'All regions'!E3262+"n/&gt;!'9U"</f>
        <v>#VALUE!</v>
      </c>
      <c r="HX130" t="e">
        <f>'All regions'!F3262+"n/&gt;!'9V"</f>
        <v>#VALUE!</v>
      </c>
      <c r="HY130" t="e">
        <f>'All regions'!G3262+"n/&gt;!'9W"</f>
        <v>#VALUE!</v>
      </c>
      <c r="HZ130" t="e">
        <f>'All regions'!H3262+"n/&gt;!'9X"</f>
        <v>#VALUE!</v>
      </c>
      <c r="IA130" t="e">
        <f>'All regions'!I3262+"n/&gt;!'9Y"</f>
        <v>#VALUE!</v>
      </c>
      <c r="IB130" t="e">
        <f>'All regions'!J3262+"n/&gt;!'9Z"</f>
        <v>#VALUE!</v>
      </c>
      <c r="IC130" t="e">
        <f>'All regions'!A3263+"n/&gt;!'9["</f>
        <v>#VALUE!</v>
      </c>
      <c r="ID130" t="e">
        <f>'All regions'!B3263+"n/&gt;!'9\"</f>
        <v>#VALUE!</v>
      </c>
      <c r="IE130" t="e">
        <f>'All regions'!C3263+"n/&gt;!'9]"</f>
        <v>#VALUE!</v>
      </c>
      <c r="IF130" t="e">
        <f>'All regions'!D3263+"n/&gt;!'9^"</f>
        <v>#VALUE!</v>
      </c>
      <c r="IG130" t="e">
        <f>'All regions'!E3263+"n/&gt;!'9_"</f>
        <v>#VALUE!</v>
      </c>
      <c r="IH130" t="e">
        <f>'All regions'!F3263+"n/&gt;!'9`"</f>
        <v>#VALUE!</v>
      </c>
      <c r="II130" t="e">
        <f>'All regions'!G3263+"n/&gt;!'9a"</f>
        <v>#VALUE!</v>
      </c>
      <c r="IJ130" t="e">
        <f>'All regions'!H3263+"n/&gt;!'9b"</f>
        <v>#VALUE!</v>
      </c>
      <c r="IK130" t="e">
        <f>'All regions'!I3263+"n/&gt;!'9c"</f>
        <v>#VALUE!</v>
      </c>
      <c r="IL130" t="e">
        <f>'All regions'!J3263+"n/&gt;!'9d"</f>
        <v>#VALUE!</v>
      </c>
      <c r="IM130" t="e">
        <f>'All regions'!A3264+"n/&gt;!'9e"</f>
        <v>#VALUE!</v>
      </c>
      <c r="IN130" t="e">
        <f>'All regions'!B3264+"n/&gt;!'9f"</f>
        <v>#VALUE!</v>
      </c>
      <c r="IO130" t="e">
        <f>'All regions'!C3264+"n/&gt;!'9g"</f>
        <v>#VALUE!</v>
      </c>
      <c r="IP130" t="e">
        <f>'All regions'!D3264+"n/&gt;!'9h"</f>
        <v>#VALUE!</v>
      </c>
      <c r="IQ130" t="e">
        <f>'All regions'!E3264+"n/&gt;!'9i"</f>
        <v>#VALUE!</v>
      </c>
      <c r="IR130" t="e">
        <f>'All regions'!F3264+"n/&gt;!'9j"</f>
        <v>#VALUE!</v>
      </c>
      <c r="IS130" t="e">
        <f>'All regions'!G3264+"n/&gt;!'9k"</f>
        <v>#VALUE!</v>
      </c>
      <c r="IT130" t="e">
        <f>'All regions'!H3264+"n/&gt;!'9l"</f>
        <v>#VALUE!</v>
      </c>
      <c r="IU130" t="e">
        <f>'All regions'!I3264+"n/&gt;!'9m"</f>
        <v>#VALUE!</v>
      </c>
      <c r="IV130" t="e">
        <f>'All regions'!J3264+"n/&gt;!'9n"</f>
        <v>#VALUE!</v>
      </c>
    </row>
    <row r="131" spans="6:256" x14ac:dyDescent="0.35">
      <c r="F131" t="e">
        <f>'All regions'!A3265+"n/&gt;!'9o"</f>
        <v>#VALUE!</v>
      </c>
      <c r="G131" t="e">
        <f>'All regions'!B3265+"n/&gt;!'9p"</f>
        <v>#VALUE!</v>
      </c>
      <c r="H131" t="e">
        <f>'All regions'!C3265+"n/&gt;!'9q"</f>
        <v>#VALUE!</v>
      </c>
      <c r="I131" t="e">
        <f>'All regions'!D3265+"n/&gt;!'9r"</f>
        <v>#VALUE!</v>
      </c>
      <c r="J131" t="e">
        <f>'All regions'!E3265+"n/&gt;!'9s"</f>
        <v>#VALUE!</v>
      </c>
      <c r="K131" t="e">
        <f>'All regions'!F3265+"n/&gt;!'9t"</f>
        <v>#VALUE!</v>
      </c>
      <c r="L131" t="e">
        <f>'All regions'!G3265+"n/&gt;!'9u"</f>
        <v>#VALUE!</v>
      </c>
      <c r="M131" t="e">
        <f>'All regions'!H3265+"n/&gt;!'9v"</f>
        <v>#VALUE!</v>
      </c>
      <c r="N131" t="e">
        <f>'All regions'!I3265+"n/&gt;!'9w"</f>
        <v>#VALUE!</v>
      </c>
      <c r="O131" t="e">
        <f>'All regions'!J3265+"n/&gt;!'9x"</f>
        <v>#VALUE!</v>
      </c>
      <c r="P131" t="e">
        <f>'All regions'!A3266+"n/&gt;!'9y"</f>
        <v>#VALUE!</v>
      </c>
      <c r="Q131" t="e">
        <f>'All regions'!B3266+"n/&gt;!'9z"</f>
        <v>#VALUE!</v>
      </c>
      <c r="R131" t="e">
        <f>'All regions'!C3266+"n/&gt;!'9{"</f>
        <v>#VALUE!</v>
      </c>
      <c r="S131" t="e">
        <f>'All regions'!D3266+"n/&gt;!'9|"</f>
        <v>#VALUE!</v>
      </c>
      <c r="T131" t="e">
        <f>'All regions'!E3266+"n/&gt;!'9}"</f>
        <v>#VALUE!</v>
      </c>
      <c r="U131" t="e">
        <f>'All regions'!F3266+"n/&gt;!'9~"</f>
        <v>#VALUE!</v>
      </c>
      <c r="V131" t="e">
        <f>'All regions'!G3266+"n/&gt;!':#"</f>
        <v>#VALUE!</v>
      </c>
      <c r="W131" t="e">
        <f>'All regions'!H3266+"n/&gt;!':$"</f>
        <v>#VALUE!</v>
      </c>
      <c r="X131" t="e">
        <f>'All regions'!I3266+"n/&gt;!':%"</f>
        <v>#VALUE!</v>
      </c>
      <c r="Y131" t="e">
        <f>'All regions'!J3266+"n/&gt;!':&amp;"</f>
        <v>#VALUE!</v>
      </c>
      <c r="Z131" t="e">
        <f>'All regions'!A3267+"n/&gt;!':'"</f>
        <v>#VALUE!</v>
      </c>
      <c r="AA131" t="e">
        <f>'All regions'!B3267+"n/&gt;!':("</f>
        <v>#VALUE!</v>
      </c>
      <c r="AB131" t="e">
        <f>'All regions'!C3267+"n/&gt;!':)"</f>
        <v>#VALUE!</v>
      </c>
      <c r="AC131" t="e">
        <f>'All regions'!D3267+"n/&gt;!':."</f>
        <v>#VALUE!</v>
      </c>
      <c r="AD131" t="e">
        <f>'All regions'!E3267+"n/&gt;!':/"</f>
        <v>#VALUE!</v>
      </c>
      <c r="AE131" t="e">
        <f>'All regions'!F3267+"n/&gt;!':0"</f>
        <v>#VALUE!</v>
      </c>
      <c r="AF131" t="e">
        <f>'All regions'!G3267+"n/&gt;!':1"</f>
        <v>#VALUE!</v>
      </c>
      <c r="AG131" t="e">
        <f>'All regions'!H3267+"n/&gt;!':2"</f>
        <v>#VALUE!</v>
      </c>
      <c r="AH131" t="e">
        <f>'All regions'!I3267+"n/&gt;!':3"</f>
        <v>#VALUE!</v>
      </c>
      <c r="AI131" t="e">
        <f>'All regions'!J3267+"n/&gt;!':4"</f>
        <v>#VALUE!</v>
      </c>
      <c r="AJ131" t="e">
        <f>'All regions'!A3268+"n/&gt;!':5"</f>
        <v>#VALUE!</v>
      </c>
      <c r="AK131" t="e">
        <f>'All regions'!B3268+"n/&gt;!':6"</f>
        <v>#VALUE!</v>
      </c>
      <c r="AL131" t="e">
        <f>'All regions'!C3268+"n/&gt;!':7"</f>
        <v>#VALUE!</v>
      </c>
      <c r="AM131" t="e">
        <f>'All regions'!D3268+"n/&gt;!':8"</f>
        <v>#VALUE!</v>
      </c>
      <c r="AN131" t="e">
        <f>'All regions'!E3268+"n/&gt;!':9"</f>
        <v>#VALUE!</v>
      </c>
      <c r="AO131" t="e">
        <f>'All regions'!F3268+"n/&gt;!'::"</f>
        <v>#VALUE!</v>
      </c>
      <c r="AP131" t="e">
        <f>'All regions'!G3268+"n/&gt;!':;"</f>
        <v>#VALUE!</v>
      </c>
      <c r="AQ131" t="e">
        <f>'All regions'!H3268+"n/&gt;!':&lt;"</f>
        <v>#VALUE!</v>
      </c>
      <c r="AR131" t="e">
        <f>'All regions'!I3268+"n/&gt;!':="</f>
        <v>#VALUE!</v>
      </c>
      <c r="AS131" t="e">
        <f>'All regions'!J3268+"n/&gt;!':&gt;"</f>
        <v>#VALUE!</v>
      </c>
      <c r="AT131" t="e">
        <f>'All regions'!A3269+"n/&gt;!':?"</f>
        <v>#VALUE!</v>
      </c>
      <c r="AU131" t="e">
        <f>'All regions'!B3269+"n/&gt;!':@"</f>
        <v>#VALUE!</v>
      </c>
      <c r="AV131" t="e">
        <f>'All regions'!C3269+"n/&gt;!':A"</f>
        <v>#VALUE!</v>
      </c>
      <c r="AW131" t="e">
        <f>'All regions'!D3269+"n/&gt;!':B"</f>
        <v>#VALUE!</v>
      </c>
      <c r="AX131" t="e">
        <f>'All regions'!E3269+"n/&gt;!':C"</f>
        <v>#VALUE!</v>
      </c>
      <c r="AY131" t="e">
        <f>'All regions'!F3269+"n/&gt;!':D"</f>
        <v>#VALUE!</v>
      </c>
      <c r="AZ131" t="e">
        <f>'All regions'!G3269+"n/&gt;!':E"</f>
        <v>#VALUE!</v>
      </c>
      <c r="BA131" t="e">
        <f>'All regions'!H3269+"n/&gt;!':F"</f>
        <v>#VALUE!</v>
      </c>
      <c r="BB131" t="e">
        <f>'All regions'!I3269+"n/&gt;!':G"</f>
        <v>#VALUE!</v>
      </c>
      <c r="BC131" t="e">
        <f>'All regions'!J3269+"n/&gt;!':H"</f>
        <v>#VALUE!</v>
      </c>
      <c r="BD131" t="e">
        <f>'All regions'!A3270+"n/&gt;!':I"</f>
        <v>#VALUE!</v>
      </c>
      <c r="BE131" t="e">
        <f>'All regions'!B3270+"n/&gt;!':J"</f>
        <v>#VALUE!</v>
      </c>
      <c r="BF131" t="e">
        <f>'All regions'!C3270+"n/&gt;!':K"</f>
        <v>#VALUE!</v>
      </c>
      <c r="BG131" t="e">
        <f>'All regions'!D3270+"n/&gt;!':L"</f>
        <v>#VALUE!</v>
      </c>
      <c r="BH131" t="e">
        <f>'All regions'!E3270+"n/&gt;!':M"</f>
        <v>#VALUE!</v>
      </c>
      <c r="BI131" t="e">
        <f>'All regions'!F3270+"n/&gt;!':N"</f>
        <v>#VALUE!</v>
      </c>
      <c r="BJ131" t="e">
        <f>'All regions'!G3270+"n/&gt;!':O"</f>
        <v>#VALUE!</v>
      </c>
      <c r="BK131" t="e">
        <f>'All regions'!H3270+"n/&gt;!':P"</f>
        <v>#VALUE!</v>
      </c>
      <c r="BL131" t="e">
        <f>'All regions'!I3270+"n/&gt;!':Q"</f>
        <v>#VALUE!</v>
      </c>
      <c r="BM131" t="e">
        <f>'All regions'!J3270+"n/&gt;!':R"</f>
        <v>#VALUE!</v>
      </c>
      <c r="BN131" t="e">
        <f>'All regions'!A3271+"n/&gt;!':S"</f>
        <v>#VALUE!</v>
      </c>
      <c r="BO131" t="e">
        <f>'All regions'!B3271+"n/&gt;!':T"</f>
        <v>#VALUE!</v>
      </c>
      <c r="BP131" t="e">
        <f>'All regions'!C3271+"n/&gt;!':U"</f>
        <v>#VALUE!</v>
      </c>
      <c r="BQ131" t="e">
        <f>'All regions'!D3271+"n/&gt;!':V"</f>
        <v>#VALUE!</v>
      </c>
      <c r="BR131" t="e">
        <f>'All regions'!E3271+"n/&gt;!':W"</f>
        <v>#VALUE!</v>
      </c>
      <c r="BS131" t="e">
        <f>'All regions'!F3271+"n/&gt;!':X"</f>
        <v>#VALUE!</v>
      </c>
      <c r="BT131" t="e">
        <f>'All regions'!G3271+"n/&gt;!':Y"</f>
        <v>#VALUE!</v>
      </c>
      <c r="BU131" t="e">
        <f>'All regions'!H3271+"n/&gt;!':Z"</f>
        <v>#VALUE!</v>
      </c>
      <c r="BV131" t="e">
        <f>'All regions'!I3271+"n/&gt;!':["</f>
        <v>#VALUE!</v>
      </c>
      <c r="BW131" t="e">
        <f>'All regions'!J3271+"n/&gt;!':\"</f>
        <v>#VALUE!</v>
      </c>
      <c r="BX131" t="e">
        <f>'All regions'!A3272+"n/&gt;!':]"</f>
        <v>#VALUE!</v>
      </c>
      <c r="BY131" t="e">
        <f>'All regions'!B3272+"n/&gt;!':^"</f>
        <v>#VALUE!</v>
      </c>
      <c r="BZ131" t="e">
        <f>'All regions'!C3272+"n/&gt;!':_"</f>
        <v>#VALUE!</v>
      </c>
      <c r="CA131" t="e">
        <f>'All regions'!D3272+"n/&gt;!':`"</f>
        <v>#VALUE!</v>
      </c>
      <c r="CB131" t="e">
        <f>'All regions'!E3272+"n/&gt;!':a"</f>
        <v>#VALUE!</v>
      </c>
      <c r="CC131" t="e">
        <f>'All regions'!F3272+"n/&gt;!':b"</f>
        <v>#VALUE!</v>
      </c>
      <c r="CD131" t="e">
        <f>'All regions'!G3272+"n/&gt;!':c"</f>
        <v>#VALUE!</v>
      </c>
      <c r="CE131" t="e">
        <f>'All regions'!H3272+"n/&gt;!':d"</f>
        <v>#VALUE!</v>
      </c>
      <c r="CF131" t="e">
        <f>'All regions'!I3272+"n/&gt;!':e"</f>
        <v>#VALUE!</v>
      </c>
      <c r="CG131" t="e">
        <f>'All regions'!J3272+"n/&gt;!':f"</f>
        <v>#VALUE!</v>
      </c>
      <c r="CH131" t="e">
        <f>'All regions'!A3273+"n/&gt;!':g"</f>
        <v>#VALUE!</v>
      </c>
      <c r="CI131" t="e">
        <f>'All regions'!B3273+"n/&gt;!':h"</f>
        <v>#VALUE!</v>
      </c>
      <c r="CJ131" t="e">
        <f>'All regions'!C3273+"n/&gt;!':i"</f>
        <v>#VALUE!</v>
      </c>
      <c r="CK131" t="e">
        <f>'All regions'!D3273+"n/&gt;!':j"</f>
        <v>#VALUE!</v>
      </c>
      <c r="CL131" t="e">
        <f>'All regions'!E3273+"n/&gt;!':k"</f>
        <v>#VALUE!</v>
      </c>
      <c r="CM131" t="e">
        <f>'All regions'!F3273+"n/&gt;!':l"</f>
        <v>#VALUE!</v>
      </c>
      <c r="CN131" t="e">
        <f>'All regions'!G3273+"n/&gt;!':m"</f>
        <v>#VALUE!</v>
      </c>
      <c r="CO131" t="e">
        <f>'All regions'!H3273+"n/&gt;!':n"</f>
        <v>#VALUE!</v>
      </c>
      <c r="CP131" t="e">
        <f>'All regions'!I3273+"n/&gt;!':o"</f>
        <v>#VALUE!</v>
      </c>
      <c r="CQ131" t="e">
        <f>'All regions'!J3273+"n/&gt;!':p"</f>
        <v>#VALUE!</v>
      </c>
      <c r="CR131" t="e">
        <f>'All regions'!A3274+"n/&gt;!':q"</f>
        <v>#VALUE!</v>
      </c>
      <c r="CS131" t="e">
        <f>'All regions'!B3274+"n/&gt;!':r"</f>
        <v>#VALUE!</v>
      </c>
      <c r="CT131" t="e">
        <f>'All regions'!C3274+"n/&gt;!':s"</f>
        <v>#VALUE!</v>
      </c>
      <c r="CU131" t="e">
        <f>'All regions'!D3274+"n/&gt;!':t"</f>
        <v>#VALUE!</v>
      </c>
      <c r="CV131" t="e">
        <f>'All regions'!E3274+"n/&gt;!':u"</f>
        <v>#VALUE!</v>
      </c>
      <c r="CW131" t="e">
        <f>'All regions'!F3274+"n/&gt;!':v"</f>
        <v>#VALUE!</v>
      </c>
      <c r="CX131" t="e">
        <f>'All regions'!G3274+"n/&gt;!':w"</f>
        <v>#VALUE!</v>
      </c>
      <c r="CY131" t="e">
        <f>'All regions'!H3274+"n/&gt;!':x"</f>
        <v>#VALUE!</v>
      </c>
      <c r="CZ131" t="e">
        <f>'All regions'!I3274+"n/&gt;!':y"</f>
        <v>#VALUE!</v>
      </c>
      <c r="DA131" t="e">
        <f>'All regions'!J3274+"n/&gt;!':z"</f>
        <v>#VALUE!</v>
      </c>
      <c r="DB131" t="e">
        <f>'All regions'!A3275+"n/&gt;!':{"</f>
        <v>#VALUE!</v>
      </c>
      <c r="DC131" t="e">
        <f>'All regions'!B3275+"n/&gt;!':|"</f>
        <v>#VALUE!</v>
      </c>
      <c r="DD131" t="e">
        <f>'All regions'!C3275+"n/&gt;!':}"</f>
        <v>#VALUE!</v>
      </c>
      <c r="DE131" t="e">
        <f>'All regions'!D3275+"n/&gt;!':~"</f>
        <v>#VALUE!</v>
      </c>
      <c r="DF131" t="e">
        <f>'All regions'!E3275+"n/&gt;!';#"</f>
        <v>#VALUE!</v>
      </c>
      <c r="DG131" t="e">
        <f>'All regions'!F3275+"n/&gt;!';$"</f>
        <v>#VALUE!</v>
      </c>
      <c r="DH131" t="e">
        <f>'All regions'!G3275+"n/&gt;!';%"</f>
        <v>#VALUE!</v>
      </c>
      <c r="DI131" t="e">
        <f>'All regions'!H3275+"n/&gt;!';&amp;"</f>
        <v>#VALUE!</v>
      </c>
      <c r="DJ131" t="e">
        <f>'All regions'!I3275+"n/&gt;!';'"</f>
        <v>#VALUE!</v>
      </c>
      <c r="DK131" t="e">
        <f>'All regions'!J3275+"n/&gt;!';("</f>
        <v>#VALUE!</v>
      </c>
      <c r="DL131" t="e">
        <f>'All regions'!A3276+"n/&gt;!';)"</f>
        <v>#VALUE!</v>
      </c>
      <c r="DM131" t="e">
        <f>'All regions'!B3276+"n/&gt;!';."</f>
        <v>#VALUE!</v>
      </c>
      <c r="DN131" t="e">
        <f>'All regions'!C3276+"n/&gt;!';/"</f>
        <v>#VALUE!</v>
      </c>
      <c r="DO131" t="e">
        <f>'All regions'!D3276+"n/&gt;!';0"</f>
        <v>#VALUE!</v>
      </c>
      <c r="DP131" t="e">
        <f>'All regions'!E3276+"n/&gt;!';1"</f>
        <v>#VALUE!</v>
      </c>
      <c r="DQ131" t="e">
        <f>'All regions'!F3276+"n/&gt;!';2"</f>
        <v>#VALUE!</v>
      </c>
      <c r="DR131" t="e">
        <f>'All regions'!G3276+"n/&gt;!';3"</f>
        <v>#VALUE!</v>
      </c>
      <c r="DS131" t="e">
        <f>'All regions'!H3276+"n/&gt;!';4"</f>
        <v>#VALUE!</v>
      </c>
      <c r="DT131" t="e">
        <f>'All regions'!I3276+"n/&gt;!';5"</f>
        <v>#VALUE!</v>
      </c>
      <c r="DU131" t="e">
        <f>'All regions'!J3276+"n/&gt;!';6"</f>
        <v>#VALUE!</v>
      </c>
      <c r="DV131" t="e">
        <f>'All regions'!A3277+"n/&gt;!';7"</f>
        <v>#VALUE!</v>
      </c>
      <c r="DW131" t="e">
        <f>'All regions'!B3277+"n/&gt;!';8"</f>
        <v>#VALUE!</v>
      </c>
      <c r="DX131" t="e">
        <f>'All regions'!C3277+"n/&gt;!';9"</f>
        <v>#VALUE!</v>
      </c>
      <c r="DY131" t="e">
        <f>'All regions'!D3277+"n/&gt;!';:"</f>
        <v>#VALUE!</v>
      </c>
      <c r="DZ131" t="e">
        <f>'All regions'!E3277+"n/&gt;!';;"</f>
        <v>#VALUE!</v>
      </c>
      <c r="EA131" t="e">
        <f>'All regions'!F3277+"n/&gt;!';&lt;"</f>
        <v>#VALUE!</v>
      </c>
      <c r="EB131" t="e">
        <f>'All regions'!G3277+"n/&gt;!';="</f>
        <v>#VALUE!</v>
      </c>
      <c r="EC131" t="e">
        <f>'All regions'!H3277+"n/&gt;!';&gt;"</f>
        <v>#VALUE!</v>
      </c>
      <c r="ED131" t="e">
        <f>'All regions'!I3277+"n/&gt;!';?"</f>
        <v>#VALUE!</v>
      </c>
      <c r="EE131" t="e">
        <f>'All regions'!J3277+"n/&gt;!';@"</f>
        <v>#VALUE!</v>
      </c>
      <c r="EF131" t="e">
        <f>'All regions'!A3278+"n/&gt;!';A"</f>
        <v>#VALUE!</v>
      </c>
      <c r="EG131" t="e">
        <f>'All regions'!B3278+"n/&gt;!';B"</f>
        <v>#VALUE!</v>
      </c>
      <c r="EH131" t="e">
        <f>'All regions'!C3278+"n/&gt;!';C"</f>
        <v>#VALUE!</v>
      </c>
      <c r="EI131" t="e">
        <f>'All regions'!D3278+"n/&gt;!';D"</f>
        <v>#VALUE!</v>
      </c>
      <c r="EJ131" t="e">
        <f>'All regions'!E3278+"n/&gt;!';E"</f>
        <v>#VALUE!</v>
      </c>
      <c r="EK131" t="e">
        <f>'All regions'!F3278+"n/&gt;!';F"</f>
        <v>#VALUE!</v>
      </c>
      <c r="EL131" t="e">
        <f>'All regions'!G3278+"n/&gt;!';G"</f>
        <v>#VALUE!</v>
      </c>
      <c r="EM131" t="e">
        <f>'All regions'!H3278+"n/&gt;!';H"</f>
        <v>#VALUE!</v>
      </c>
      <c r="EN131" t="e">
        <f>'All regions'!I3278+"n/&gt;!';I"</f>
        <v>#VALUE!</v>
      </c>
      <c r="EO131" t="e">
        <f>'All regions'!J3278+"n/&gt;!';J"</f>
        <v>#VALUE!</v>
      </c>
      <c r="EP131" t="e">
        <f>'All regions'!A3279+"n/&gt;!';K"</f>
        <v>#VALUE!</v>
      </c>
      <c r="EQ131" t="e">
        <f>'All regions'!B3279+"n/&gt;!';L"</f>
        <v>#VALUE!</v>
      </c>
      <c r="ER131" t="e">
        <f>'All regions'!C3279+"n/&gt;!';M"</f>
        <v>#VALUE!</v>
      </c>
      <c r="ES131" t="e">
        <f>'All regions'!D3279+"n/&gt;!';N"</f>
        <v>#VALUE!</v>
      </c>
      <c r="ET131" t="e">
        <f>'All regions'!E3279+"n/&gt;!';O"</f>
        <v>#VALUE!</v>
      </c>
      <c r="EU131" t="e">
        <f>'All regions'!F3279+"n/&gt;!';P"</f>
        <v>#VALUE!</v>
      </c>
      <c r="EV131" t="e">
        <f>'All regions'!G3279+"n/&gt;!';Q"</f>
        <v>#VALUE!</v>
      </c>
      <c r="EW131" t="e">
        <f>'All regions'!H3279+"n/&gt;!';R"</f>
        <v>#VALUE!</v>
      </c>
      <c r="EX131" t="e">
        <f>'All regions'!I3279+"n/&gt;!';S"</f>
        <v>#VALUE!</v>
      </c>
      <c r="EY131" t="e">
        <f>'All regions'!J3279+"n/&gt;!';T"</f>
        <v>#VALUE!</v>
      </c>
      <c r="EZ131" t="e">
        <f>'All regions'!A3280+"n/&gt;!';U"</f>
        <v>#VALUE!</v>
      </c>
      <c r="FA131" t="e">
        <f>'All regions'!B3280+"n/&gt;!';V"</f>
        <v>#VALUE!</v>
      </c>
      <c r="FB131" t="e">
        <f>'All regions'!C3280+"n/&gt;!';W"</f>
        <v>#VALUE!</v>
      </c>
      <c r="FC131" t="e">
        <f>'All regions'!D3280+"n/&gt;!';X"</f>
        <v>#VALUE!</v>
      </c>
      <c r="FD131" t="e">
        <f>'All regions'!E3280+"n/&gt;!';Y"</f>
        <v>#VALUE!</v>
      </c>
      <c r="FE131" t="e">
        <f>'All regions'!F3280+"n/&gt;!';Z"</f>
        <v>#VALUE!</v>
      </c>
      <c r="FF131" t="e">
        <f>'All regions'!G3280+"n/&gt;!';["</f>
        <v>#VALUE!</v>
      </c>
      <c r="FG131" t="e">
        <f>'All regions'!H3280+"n/&gt;!';\"</f>
        <v>#VALUE!</v>
      </c>
      <c r="FH131" t="e">
        <f>'All regions'!I3280+"n/&gt;!';]"</f>
        <v>#VALUE!</v>
      </c>
      <c r="FI131" t="e">
        <f>'All regions'!J3280+"n/&gt;!';^"</f>
        <v>#VALUE!</v>
      </c>
      <c r="FJ131" t="e">
        <f>'All regions'!A3281+"n/&gt;!';_"</f>
        <v>#VALUE!</v>
      </c>
      <c r="FK131" t="e">
        <f>'All regions'!B3281+"n/&gt;!';`"</f>
        <v>#VALUE!</v>
      </c>
      <c r="FL131" t="e">
        <f>'All regions'!C3281+"n/&gt;!';a"</f>
        <v>#VALUE!</v>
      </c>
      <c r="FM131" t="e">
        <f>'All regions'!D3281+"n/&gt;!';b"</f>
        <v>#VALUE!</v>
      </c>
      <c r="FN131" t="e">
        <f>'All regions'!E3281+"n/&gt;!';c"</f>
        <v>#VALUE!</v>
      </c>
      <c r="FO131" t="e">
        <f>'All regions'!F3281+"n/&gt;!';d"</f>
        <v>#VALUE!</v>
      </c>
      <c r="FP131" t="e">
        <f>'All regions'!G3281+"n/&gt;!';e"</f>
        <v>#VALUE!</v>
      </c>
      <c r="FQ131" t="e">
        <f>'All regions'!H3281+"n/&gt;!';f"</f>
        <v>#VALUE!</v>
      </c>
      <c r="FR131" t="e">
        <f>'All regions'!I3281+"n/&gt;!';g"</f>
        <v>#VALUE!</v>
      </c>
      <c r="FS131" t="e">
        <f>'All regions'!J3281+"n/&gt;!';h"</f>
        <v>#VALUE!</v>
      </c>
      <c r="FT131" t="e">
        <f>'All regions'!A3282+"n/&gt;!';i"</f>
        <v>#VALUE!</v>
      </c>
      <c r="FU131" t="e">
        <f>'All regions'!B3282+"n/&gt;!';j"</f>
        <v>#VALUE!</v>
      </c>
      <c r="FV131" t="e">
        <f>'All regions'!C3282+"n/&gt;!';k"</f>
        <v>#VALUE!</v>
      </c>
      <c r="FW131" t="e">
        <f>'All regions'!D3282+"n/&gt;!';l"</f>
        <v>#VALUE!</v>
      </c>
      <c r="FX131" t="e">
        <f>'All regions'!E3282+"n/&gt;!';m"</f>
        <v>#VALUE!</v>
      </c>
      <c r="FY131" t="e">
        <f>'All regions'!F3282+"n/&gt;!';n"</f>
        <v>#VALUE!</v>
      </c>
      <c r="FZ131" t="e">
        <f>'All regions'!G3282+"n/&gt;!';o"</f>
        <v>#VALUE!</v>
      </c>
      <c r="GA131" t="e">
        <f>'All regions'!H3282+"n/&gt;!';p"</f>
        <v>#VALUE!</v>
      </c>
      <c r="GB131" t="e">
        <f>'All regions'!I3282+"n/&gt;!';q"</f>
        <v>#VALUE!</v>
      </c>
      <c r="GC131" t="e">
        <f>'All regions'!J3282+"n/&gt;!';r"</f>
        <v>#VALUE!</v>
      </c>
      <c r="GD131" t="e">
        <f>'All regions'!A3283+"n/&gt;!';s"</f>
        <v>#VALUE!</v>
      </c>
      <c r="GE131" t="e">
        <f>'All regions'!B3283+"n/&gt;!';t"</f>
        <v>#VALUE!</v>
      </c>
      <c r="GF131" t="e">
        <f>'All regions'!C3283+"n/&gt;!';u"</f>
        <v>#VALUE!</v>
      </c>
      <c r="GG131" t="e">
        <f>'All regions'!D3283+"n/&gt;!';v"</f>
        <v>#VALUE!</v>
      </c>
      <c r="GH131" t="e">
        <f>'All regions'!E3283+"n/&gt;!';w"</f>
        <v>#VALUE!</v>
      </c>
      <c r="GI131" t="e">
        <f>'All regions'!F3283+"n/&gt;!';x"</f>
        <v>#VALUE!</v>
      </c>
      <c r="GJ131" t="e">
        <f>'All regions'!G3283+"n/&gt;!';y"</f>
        <v>#VALUE!</v>
      </c>
      <c r="GK131" t="e">
        <f>'All regions'!H3283+"n/&gt;!';z"</f>
        <v>#VALUE!</v>
      </c>
      <c r="GL131" t="e">
        <f>'All regions'!I3283+"n/&gt;!';{"</f>
        <v>#VALUE!</v>
      </c>
      <c r="GM131" t="e">
        <f>'All regions'!J3283+"n/&gt;!';|"</f>
        <v>#VALUE!</v>
      </c>
      <c r="GN131" t="e">
        <f>'All regions'!A3284+"n/&gt;!';}"</f>
        <v>#VALUE!</v>
      </c>
      <c r="GO131" t="e">
        <f>'All regions'!B3284+"n/&gt;!';~"</f>
        <v>#VALUE!</v>
      </c>
      <c r="GP131" t="e">
        <f>'All regions'!C3284+"n/&gt;!'&lt;#"</f>
        <v>#VALUE!</v>
      </c>
      <c r="GQ131" t="e">
        <f>'All regions'!D3284+"n/&gt;!'&lt;$"</f>
        <v>#VALUE!</v>
      </c>
      <c r="GR131" t="e">
        <f>'All regions'!E3284+"n/&gt;!'&lt;%"</f>
        <v>#VALUE!</v>
      </c>
      <c r="GS131" t="e">
        <f>'All regions'!F3284+"n/&gt;!'&lt;&amp;"</f>
        <v>#VALUE!</v>
      </c>
      <c r="GT131" t="e">
        <f>'All regions'!G3284+"n/&gt;!'&lt;'"</f>
        <v>#VALUE!</v>
      </c>
      <c r="GU131" t="e">
        <f>'All regions'!H3284+"n/&gt;!'&lt;("</f>
        <v>#VALUE!</v>
      </c>
      <c r="GV131" t="e">
        <f>'All regions'!I3284+"n/&gt;!'&lt;)"</f>
        <v>#VALUE!</v>
      </c>
      <c r="GW131" t="e">
        <f>'All regions'!J3284+"n/&gt;!'&lt;."</f>
        <v>#VALUE!</v>
      </c>
      <c r="GX131" t="e">
        <f>'All regions'!A3285+"n/&gt;!'&lt;/"</f>
        <v>#VALUE!</v>
      </c>
      <c r="GY131" t="e">
        <f>'All regions'!B3285+"n/&gt;!'&lt;0"</f>
        <v>#VALUE!</v>
      </c>
      <c r="GZ131" t="e">
        <f>'All regions'!C3285+"n/&gt;!'&lt;1"</f>
        <v>#VALUE!</v>
      </c>
      <c r="HA131" t="e">
        <f>'All regions'!D3285+"n/&gt;!'&lt;2"</f>
        <v>#VALUE!</v>
      </c>
      <c r="HB131" t="e">
        <f>'All regions'!E3285+"n/&gt;!'&lt;3"</f>
        <v>#VALUE!</v>
      </c>
      <c r="HC131" t="e">
        <f>'All regions'!F3285+"n/&gt;!'&lt;4"</f>
        <v>#VALUE!</v>
      </c>
      <c r="HD131" t="e">
        <f>'All regions'!G3285+"n/&gt;!'&lt;5"</f>
        <v>#VALUE!</v>
      </c>
      <c r="HE131" t="e">
        <f>'All regions'!H3285+"n/&gt;!'&lt;6"</f>
        <v>#VALUE!</v>
      </c>
      <c r="HF131" t="e">
        <f>'All regions'!I3285+"n/&gt;!'&lt;7"</f>
        <v>#VALUE!</v>
      </c>
      <c r="HG131" t="e">
        <f>'All regions'!J3285+"n/&gt;!'&lt;8"</f>
        <v>#VALUE!</v>
      </c>
      <c r="HH131" t="e">
        <f>'All regions'!A3286+"n/&gt;!'&lt;9"</f>
        <v>#VALUE!</v>
      </c>
      <c r="HI131" t="e">
        <f>'All regions'!B3286+"n/&gt;!'&lt;:"</f>
        <v>#VALUE!</v>
      </c>
      <c r="HJ131" t="e">
        <f>'All regions'!C3286+"n/&gt;!'&lt;;"</f>
        <v>#VALUE!</v>
      </c>
      <c r="HK131" t="e">
        <f>'All regions'!D3286+"n/&gt;!'&lt;&lt;"</f>
        <v>#VALUE!</v>
      </c>
      <c r="HL131" t="e">
        <f>'All regions'!E3286+"n/&gt;!'&lt;="</f>
        <v>#VALUE!</v>
      </c>
      <c r="HM131" t="e">
        <f>'All regions'!F3286+"n/&gt;!'&lt;&gt;"</f>
        <v>#VALUE!</v>
      </c>
      <c r="HN131" t="e">
        <f>'All regions'!G3286+"n/&gt;!'&lt;?"</f>
        <v>#VALUE!</v>
      </c>
      <c r="HO131" t="e">
        <f>'All regions'!H3286+"n/&gt;!'&lt;@"</f>
        <v>#VALUE!</v>
      </c>
      <c r="HP131" t="e">
        <f>'All regions'!I3286+"n/&gt;!'&lt;A"</f>
        <v>#VALUE!</v>
      </c>
      <c r="HQ131" t="e">
        <f>'All regions'!J3286+"n/&gt;!'&lt;B"</f>
        <v>#VALUE!</v>
      </c>
      <c r="HR131" t="e">
        <f>'All regions'!A3287+"n/&gt;!'&lt;C"</f>
        <v>#VALUE!</v>
      </c>
      <c r="HS131" t="e">
        <f>'All regions'!B3287+"n/&gt;!'&lt;D"</f>
        <v>#VALUE!</v>
      </c>
      <c r="HT131" t="e">
        <f>'All regions'!C3287+"n/&gt;!'&lt;E"</f>
        <v>#VALUE!</v>
      </c>
      <c r="HU131" t="e">
        <f>'All regions'!D3287+"n/&gt;!'&lt;F"</f>
        <v>#VALUE!</v>
      </c>
      <c r="HV131" t="e">
        <f>'All regions'!E3287+"n/&gt;!'&lt;G"</f>
        <v>#VALUE!</v>
      </c>
      <c r="HW131" t="e">
        <f>'All regions'!F3287+"n/&gt;!'&lt;H"</f>
        <v>#VALUE!</v>
      </c>
      <c r="HX131" t="e">
        <f>'All regions'!G3287+"n/&gt;!'&lt;I"</f>
        <v>#VALUE!</v>
      </c>
      <c r="HY131" t="e">
        <f>'All regions'!H3287+"n/&gt;!'&lt;J"</f>
        <v>#VALUE!</v>
      </c>
      <c r="HZ131" t="e">
        <f>'All regions'!I3287+"n/&gt;!'&lt;K"</f>
        <v>#VALUE!</v>
      </c>
      <c r="IA131" t="e">
        <f>'All regions'!J3287+"n/&gt;!'&lt;L"</f>
        <v>#VALUE!</v>
      </c>
      <c r="IB131" t="e">
        <f>'All regions'!A3288+"n/&gt;!'&lt;M"</f>
        <v>#VALUE!</v>
      </c>
      <c r="IC131" t="e">
        <f>'All regions'!B3288+"n/&gt;!'&lt;N"</f>
        <v>#VALUE!</v>
      </c>
      <c r="ID131" t="e">
        <f>'All regions'!C3288+"n/&gt;!'&lt;O"</f>
        <v>#VALUE!</v>
      </c>
      <c r="IE131" t="e">
        <f>'All regions'!D3288+"n/&gt;!'&lt;P"</f>
        <v>#VALUE!</v>
      </c>
      <c r="IF131" t="e">
        <f>'All regions'!E3288+"n/&gt;!'&lt;Q"</f>
        <v>#VALUE!</v>
      </c>
      <c r="IG131" t="e">
        <f>'All regions'!F3288+"n/&gt;!'&lt;R"</f>
        <v>#VALUE!</v>
      </c>
      <c r="IH131" t="e">
        <f>'All regions'!G3288+"n/&gt;!'&lt;S"</f>
        <v>#VALUE!</v>
      </c>
      <c r="II131" t="e">
        <f>'All regions'!H3288+"n/&gt;!'&lt;T"</f>
        <v>#VALUE!</v>
      </c>
      <c r="IJ131" t="e">
        <f>'All regions'!I3288+"n/&gt;!'&lt;U"</f>
        <v>#VALUE!</v>
      </c>
      <c r="IK131" t="e">
        <f>'All regions'!J3288+"n/&gt;!'&lt;V"</f>
        <v>#VALUE!</v>
      </c>
      <c r="IL131" t="e">
        <f>'All regions'!A3289+"n/&gt;!'&lt;W"</f>
        <v>#VALUE!</v>
      </c>
      <c r="IM131" t="e">
        <f>'All regions'!B3289+"n/&gt;!'&lt;X"</f>
        <v>#VALUE!</v>
      </c>
      <c r="IN131" t="e">
        <f>'All regions'!C3289+"n/&gt;!'&lt;Y"</f>
        <v>#VALUE!</v>
      </c>
      <c r="IO131" t="e">
        <f>'All regions'!D3289+"n/&gt;!'&lt;Z"</f>
        <v>#VALUE!</v>
      </c>
      <c r="IP131" t="e">
        <f>'All regions'!E3289+"n/&gt;!'&lt;["</f>
        <v>#VALUE!</v>
      </c>
      <c r="IQ131" t="e">
        <f>'All regions'!F3289+"n/&gt;!'&lt;\"</f>
        <v>#VALUE!</v>
      </c>
      <c r="IR131" t="e">
        <f>'All regions'!G3289+"n/&gt;!'&lt;]"</f>
        <v>#VALUE!</v>
      </c>
      <c r="IS131" t="e">
        <f>'All regions'!H3289+"n/&gt;!'&lt;^"</f>
        <v>#VALUE!</v>
      </c>
      <c r="IT131" t="e">
        <f>'All regions'!I3289+"n/&gt;!'&lt;_"</f>
        <v>#VALUE!</v>
      </c>
      <c r="IU131" t="e">
        <f>'All regions'!J3289+"n/&gt;!'&lt;`"</f>
        <v>#VALUE!</v>
      </c>
      <c r="IV131" t="e">
        <f>'All regions'!A3290+"n/&gt;!'&lt;a"</f>
        <v>#VALUE!</v>
      </c>
    </row>
    <row r="132" spans="6:256" x14ac:dyDescent="0.35">
      <c r="F132" t="e">
        <f>'All regions'!B3290+"n/&gt;!'&lt;b"</f>
        <v>#VALUE!</v>
      </c>
      <c r="G132" t="e">
        <f>'All regions'!C3290+"n/&gt;!'&lt;c"</f>
        <v>#VALUE!</v>
      </c>
      <c r="H132" t="e">
        <f>'All regions'!D3290+"n/&gt;!'&lt;d"</f>
        <v>#VALUE!</v>
      </c>
      <c r="I132" t="e">
        <f>'All regions'!E3290+"n/&gt;!'&lt;e"</f>
        <v>#VALUE!</v>
      </c>
      <c r="J132" t="e">
        <f>'All regions'!F3290+"n/&gt;!'&lt;f"</f>
        <v>#VALUE!</v>
      </c>
      <c r="K132" t="e">
        <f>'All regions'!G3290+"n/&gt;!'&lt;g"</f>
        <v>#VALUE!</v>
      </c>
      <c r="L132" t="e">
        <f>'All regions'!H3290+"n/&gt;!'&lt;h"</f>
        <v>#VALUE!</v>
      </c>
      <c r="M132" t="e">
        <f>'All regions'!I3290+"n/&gt;!'&lt;i"</f>
        <v>#VALUE!</v>
      </c>
      <c r="N132" t="e">
        <f>'All regions'!J3290+"n/&gt;!'&lt;j"</f>
        <v>#VALUE!</v>
      </c>
      <c r="O132" t="e">
        <f>'All regions'!A3291+"n/&gt;!'&lt;k"</f>
        <v>#VALUE!</v>
      </c>
      <c r="P132" t="e">
        <f>'All regions'!B3291+"n/&gt;!'&lt;l"</f>
        <v>#VALUE!</v>
      </c>
      <c r="Q132" t="e">
        <f>'All regions'!C3291+"n/&gt;!'&lt;m"</f>
        <v>#VALUE!</v>
      </c>
      <c r="R132" t="e">
        <f>'All regions'!D3291+"n/&gt;!'&lt;n"</f>
        <v>#VALUE!</v>
      </c>
      <c r="S132" t="e">
        <f>'All regions'!E3291+"n/&gt;!'&lt;o"</f>
        <v>#VALUE!</v>
      </c>
      <c r="T132" t="e">
        <f>'All regions'!F3291+"n/&gt;!'&lt;p"</f>
        <v>#VALUE!</v>
      </c>
      <c r="U132" t="e">
        <f>'All regions'!G3291+"n/&gt;!'&lt;q"</f>
        <v>#VALUE!</v>
      </c>
      <c r="V132" t="e">
        <f>'All regions'!H3291+"n/&gt;!'&lt;r"</f>
        <v>#VALUE!</v>
      </c>
      <c r="W132" t="e">
        <f>'All regions'!I3291+"n/&gt;!'&lt;s"</f>
        <v>#VALUE!</v>
      </c>
      <c r="X132" t="e">
        <f>'All regions'!J3291+"n/&gt;!'&lt;t"</f>
        <v>#VALUE!</v>
      </c>
      <c r="Y132" t="e">
        <f>'All regions'!A3292+"n/&gt;!'&lt;u"</f>
        <v>#VALUE!</v>
      </c>
      <c r="Z132" t="e">
        <f>'All regions'!B3292+"n/&gt;!'&lt;v"</f>
        <v>#VALUE!</v>
      </c>
      <c r="AA132" t="e">
        <f>'All regions'!C3292+"n/&gt;!'&lt;w"</f>
        <v>#VALUE!</v>
      </c>
      <c r="AB132" t="e">
        <f>'All regions'!D3292+"n/&gt;!'&lt;x"</f>
        <v>#VALUE!</v>
      </c>
      <c r="AC132" t="e">
        <f>'All regions'!E3292+"n/&gt;!'&lt;y"</f>
        <v>#VALUE!</v>
      </c>
      <c r="AD132" t="e">
        <f>'All regions'!F3292+"n/&gt;!'&lt;z"</f>
        <v>#VALUE!</v>
      </c>
      <c r="AE132" t="e">
        <f>'All regions'!G3292+"n/&gt;!'&lt;{"</f>
        <v>#VALUE!</v>
      </c>
      <c r="AF132" t="e">
        <f>'All regions'!H3292+"n/&gt;!'&lt;|"</f>
        <v>#VALUE!</v>
      </c>
      <c r="AG132" t="e">
        <f>'All regions'!I3292+"n/&gt;!'&lt;}"</f>
        <v>#VALUE!</v>
      </c>
      <c r="AH132" t="e">
        <f>'All regions'!J3292+"n/&gt;!'&lt;~"</f>
        <v>#VALUE!</v>
      </c>
      <c r="AI132" t="e">
        <f>'All regions'!A3293+"n/&gt;!'=#"</f>
        <v>#VALUE!</v>
      </c>
      <c r="AJ132" t="e">
        <f>'All regions'!B3293+"n/&gt;!'=$"</f>
        <v>#VALUE!</v>
      </c>
      <c r="AK132" t="e">
        <f>'All regions'!C3293+"n/&gt;!'=%"</f>
        <v>#VALUE!</v>
      </c>
      <c r="AL132" t="e">
        <f>'All regions'!D3293+"n/&gt;!'=&amp;"</f>
        <v>#VALUE!</v>
      </c>
      <c r="AM132" t="e">
        <f>'All regions'!E3293+"n/&gt;!'='"</f>
        <v>#VALUE!</v>
      </c>
      <c r="AN132" t="e">
        <f>'All regions'!F3293+"n/&gt;!'=("</f>
        <v>#VALUE!</v>
      </c>
      <c r="AO132" t="e">
        <f>'All regions'!G3293+"n/&gt;!'=)"</f>
        <v>#VALUE!</v>
      </c>
      <c r="AP132" t="e">
        <f>'All regions'!H3293+"n/&gt;!'=."</f>
        <v>#VALUE!</v>
      </c>
      <c r="AQ132" t="e">
        <f>'All regions'!I3293+"n/&gt;!'=/"</f>
        <v>#VALUE!</v>
      </c>
      <c r="AR132" t="e">
        <f>'All regions'!J3293+"n/&gt;!'=0"</f>
        <v>#VALUE!</v>
      </c>
      <c r="AS132" t="e">
        <f>'All regions'!A3294+"n/&gt;!'=1"</f>
        <v>#VALUE!</v>
      </c>
      <c r="AT132" t="e">
        <f>'All regions'!B3294+"n/&gt;!'=2"</f>
        <v>#VALUE!</v>
      </c>
      <c r="AU132" t="e">
        <f>'All regions'!C3294+"n/&gt;!'=3"</f>
        <v>#VALUE!</v>
      </c>
      <c r="AV132" t="e">
        <f>'All regions'!D3294+"n/&gt;!'=4"</f>
        <v>#VALUE!</v>
      </c>
      <c r="AW132" t="e">
        <f>'All regions'!E3294+"n/&gt;!'=5"</f>
        <v>#VALUE!</v>
      </c>
      <c r="AX132" t="e">
        <f>'All regions'!F3294+"n/&gt;!'=6"</f>
        <v>#VALUE!</v>
      </c>
      <c r="AY132" t="e">
        <f>'All regions'!G3294+"n/&gt;!'=7"</f>
        <v>#VALUE!</v>
      </c>
      <c r="AZ132" t="e">
        <f>'All regions'!H3294+"n/&gt;!'=8"</f>
        <v>#VALUE!</v>
      </c>
      <c r="BA132" t="e">
        <f>'All regions'!I3294+"n/&gt;!'=9"</f>
        <v>#VALUE!</v>
      </c>
      <c r="BB132" t="e">
        <f>'All regions'!J3294+"n/&gt;!'=:"</f>
        <v>#VALUE!</v>
      </c>
      <c r="BC132" t="e">
        <f>'All regions'!A3295+"n/&gt;!'=;"</f>
        <v>#VALUE!</v>
      </c>
      <c r="BD132" t="e">
        <f>'All regions'!B3295+"n/&gt;!'=&lt;"</f>
        <v>#VALUE!</v>
      </c>
      <c r="BE132" t="e">
        <f>'All regions'!C3295+"n/&gt;!'=="</f>
        <v>#VALUE!</v>
      </c>
      <c r="BF132" t="e">
        <f>'All regions'!D3295+"n/&gt;!'=&gt;"</f>
        <v>#VALUE!</v>
      </c>
      <c r="BG132" t="e">
        <f>'All regions'!E3295+"n/&gt;!'=?"</f>
        <v>#VALUE!</v>
      </c>
      <c r="BH132" t="e">
        <f>'All regions'!F3295+"n/&gt;!'=@"</f>
        <v>#VALUE!</v>
      </c>
      <c r="BI132" t="e">
        <f>'All regions'!G3295+"n/&gt;!'=A"</f>
        <v>#VALUE!</v>
      </c>
      <c r="BJ132" t="e">
        <f>'All regions'!H3295+"n/&gt;!'=B"</f>
        <v>#VALUE!</v>
      </c>
      <c r="BK132" t="e">
        <f>'All regions'!I3295+"n/&gt;!'=C"</f>
        <v>#VALUE!</v>
      </c>
      <c r="BL132" t="e">
        <f>'All regions'!J3295+"n/&gt;!'=D"</f>
        <v>#VALUE!</v>
      </c>
      <c r="BM132" t="e">
        <f>'All regions'!A3296+"n/&gt;!'=E"</f>
        <v>#VALUE!</v>
      </c>
      <c r="BN132" t="e">
        <f>'All regions'!B3296+"n/&gt;!'=F"</f>
        <v>#VALUE!</v>
      </c>
      <c r="BO132" t="e">
        <f>'All regions'!C3296+"n/&gt;!'=G"</f>
        <v>#VALUE!</v>
      </c>
      <c r="BP132" t="e">
        <f>'All regions'!D3296+"n/&gt;!'=H"</f>
        <v>#VALUE!</v>
      </c>
      <c r="BQ132" t="e">
        <f>'All regions'!E3296+"n/&gt;!'=I"</f>
        <v>#VALUE!</v>
      </c>
      <c r="BR132" t="e">
        <f>'All regions'!F3296+"n/&gt;!'=J"</f>
        <v>#VALUE!</v>
      </c>
      <c r="BS132" t="e">
        <f>'All regions'!G3296+"n/&gt;!'=K"</f>
        <v>#VALUE!</v>
      </c>
      <c r="BT132" t="e">
        <f>'All regions'!H3296+"n/&gt;!'=L"</f>
        <v>#VALUE!</v>
      </c>
      <c r="BU132" t="e">
        <f>'All regions'!I3296+"n/&gt;!'=M"</f>
        <v>#VALUE!</v>
      </c>
      <c r="BV132" t="e">
        <f>'All regions'!J3296+"n/&gt;!'=N"</f>
        <v>#VALUE!</v>
      </c>
      <c r="BW132" t="e">
        <f>'All regions'!A3297+"n/&gt;!'=O"</f>
        <v>#VALUE!</v>
      </c>
      <c r="BX132" t="e">
        <f>'All regions'!B3297+"n/&gt;!'=P"</f>
        <v>#VALUE!</v>
      </c>
      <c r="BY132" t="e">
        <f>'All regions'!C3297+"n/&gt;!'=Q"</f>
        <v>#VALUE!</v>
      </c>
      <c r="BZ132" t="e">
        <f>'All regions'!D3297+"n/&gt;!'=R"</f>
        <v>#VALUE!</v>
      </c>
      <c r="CA132" t="e">
        <f>'All regions'!E3297+"n/&gt;!'=S"</f>
        <v>#VALUE!</v>
      </c>
      <c r="CB132" t="e">
        <f>'All regions'!F3297+"n/&gt;!'=T"</f>
        <v>#VALUE!</v>
      </c>
      <c r="CC132" t="e">
        <f>'All regions'!G3297+"n/&gt;!'=U"</f>
        <v>#VALUE!</v>
      </c>
      <c r="CD132" t="e">
        <f>'All regions'!H3297+"n/&gt;!'=V"</f>
        <v>#VALUE!</v>
      </c>
      <c r="CE132" t="e">
        <f>'All regions'!I3297+"n/&gt;!'=W"</f>
        <v>#VALUE!</v>
      </c>
      <c r="CF132" t="e">
        <f>'All regions'!J3297+"n/&gt;!'=X"</f>
        <v>#VALUE!</v>
      </c>
      <c r="CG132" t="e">
        <f>'All regions'!A3298+"n/&gt;!'=Y"</f>
        <v>#VALUE!</v>
      </c>
      <c r="CH132" t="e">
        <f>'All regions'!B3298+"n/&gt;!'=Z"</f>
        <v>#VALUE!</v>
      </c>
      <c r="CI132" t="e">
        <f>'All regions'!C3298+"n/&gt;!'=["</f>
        <v>#VALUE!</v>
      </c>
      <c r="CJ132" t="e">
        <f>'All regions'!D3298+"n/&gt;!'=\"</f>
        <v>#VALUE!</v>
      </c>
      <c r="CK132" t="e">
        <f>'All regions'!E3298+"n/&gt;!'=]"</f>
        <v>#VALUE!</v>
      </c>
      <c r="CL132" t="e">
        <f>'All regions'!F3298+"n/&gt;!'=^"</f>
        <v>#VALUE!</v>
      </c>
      <c r="CM132" t="e">
        <f>'All regions'!G3298+"n/&gt;!'=_"</f>
        <v>#VALUE!</v>
      </c>
      <c r="CN132" t="e">
        <f>'All regions'!H3298+"n/&gt;!'=`"</f>
        <v>#VALUE!</v>
      </c>
      <c r="CO132" t="e">
        <f>'All regions'!I3298+"n/&gt;!'=a"</f>
        <v>#VALUE!</v>
      </c>
      <c r="CP132" t="e">
        <f>'All regions'!J3298+"n/&gt;!'=b"</f>
        <v>#VALUE!</v>
      </c>
      <c r="CQ132" t="e">
        <f>'All regions'!A3299+"n/&gt;!'=c"</f>
        <v>#VALUE!</v>
      </c>
      <c r="CR132" t="e">
        <f>'All regions'!B3299+"n/&gt;!'=d"</f>
        <v>#VALUE!</v>
      </c>
      <c r="CS132" t="e">
        <f>'All regions'!C3299+"n/&gt;!'=e"</f>
        <v>#VALUE!</v>
      </c>
      <c r="CT132" t="e">
        <f>'All regions'!D3299+"n/&gt;!'=f"</f>
        <v>#VALUE!</v>
      </c>
      <c r="CU132" t="e">
        <f>'All regions'!E3299+"n/&gt;!'=g"</f>
        <v>#VALUE!</v>
      </c>
      <c r="CV132" t="e">
        <f>'All regions'!F3299+"n/&gt;!'=h"</f>
        <v>#VALUE!</v>
      </c>
      <c r="CW132" t="e">
        <f>'All regions'!G3299+"n/&gt;!'=i"</f>
        <v>#VALUE!</v>
      </c>
      <c r="CX132" t="e">
        <f>'All regions'!H3299+"n/&gt;!'=j"</f>
        <v>#VALUE!</v>
      </c>
      <c r="CY132" t="e">
        <f>'All regions'!I3299+"n/&gt;!'=k"</f>
        <v>#VALUE!</v>
      </c>
      <c r="CZ132" t="e">
        <f>'All regions'!J3299+"n/&gt;!'=l"</f>
        <v>#VALUE!</v>
      </c>
      <c r="DA132" t="e">
        <f>'All regions'!A3300+"n/&gt;!'=m"</f>
        <v>#VALUE!</v>
      </c>
      <c r="DB132" t="e">
        <f>'All regions'!B3300+"n/&gt;!'=n"</f>
        <v>#VALUE!</v>
      </c>
      <c r="DC132" t="e">
        <f>'All regions'!C3300+"n/&gt;!'=o"</f>
        <v>#VALUE!</v>
      </c>
      <c r="DD132" t="e">
        <f>'All regions'!D3300+"n/&gt;!'=p"</f>
        <v>#VALUE!</v>
      </c>
      <c r="DE132" t="e">
        <f>'All regions'!E3300+"n/&gt;!'=q"</f>
        <v>#VALUE!</v>
      </c>
      <c r="DF132" t="e">
        <f>'All regions'!F3300+"n/&gt;!'=r"</f>
        <v>#VALUE!</v>
      </c>
      <c r="DG132" t="e">
        <f>'All regions'!G3300+"n/&gt;!'=s"</f>
        <v>#VALUE!</v>
      </c>
      <c r="DH132" t="e">
        <f>'All regions'!H3300+"n/&gt;!'=t"</f>
        <v>#VALUE!</v>
      </c>
      <c r="DI132" t="e">
        <f>'All regions'!I3300+"n/&gt;!'=u"</f>
        <v>#VALUE!</v>
      </c>
      <c r="DJ132" t="e">
        <f>'All regions'!J3300+"n/&gt;!'=v"</f>
        <v>#VALUE!</v>
      </c>
      <c r="DK132" t="e">
        <f>'All regions'!A3301+"n/&gt;!'=w"</f>
        <v>#VALUE!</v>
      </c>
      <c r="DL132" t="e">
        <f>'All regions'!B3301+"n/&gt;!'=x"</f>
        <v>#VALUE!</v>
      </c>
      <c r="DM132" t="e">
        <f>'All regions'!C3301+"n/&gt;!'=y"</f>
        <v>#VALUE!</v>
      </c>
      <c r="DN132" t="e">
        <f>'All regions'!D3301+"n/&gt;!'=z"</f>
        <v>#VALUE!</v>
      </c>
      <c r="DO132" t="e">
        <f>'All regions'!E3301+"n/&gt;!'={"</f>
        <v>#VALUE!</v>
      </c>
      <c r="DP132" t="e">
        <f>'All regions'!F3301+"n/&gt;!'=|"</f>
        <v>#VALUE!</v>
      </c>
      <c r="DQ132" t="e">
        <f>'All regions'!G3301+"n/&gt;!'=}"</f>
        <v>#VALUE!</v>
      </c>
      <c r="DR132" t="e">
        <f>'All regions'!H3301+"n/&gt;!'=~"</f>
        <v>#VALUE!</v>
      </c>
      <c r="DS132" t="e">
        <f>'All regions'!I3301+"n/&gt;!'&gt;#"</f>
        <v>#VALUE!</v>
      </c>
      <c r="DT132" t="e">
        <f>'All regions'!J3301+"n/&gt;!'&gt;$"</f>
        <v>#VALUE!</v>
      </c>
      <c r="DU132" t="e">
        <f>'All regions'!A3302+"n/&gt;!'&gt;%"</f>
        <v>#VALUE!</v>
      </c>
      <c r="DV132" t="e">
        <f>'All regions'!B3302+"n/&gt;!'&gt;&amp;"</f>
        <v>#VALUE!</v>
      </c>
      <c r="DW132" t="e">
        <f>'All regions'!C3302+"n/&gt;!'&gt;'"</f>
        <v>#VALUE!</v>
      </c>
      <c r="DX132" t="e">
        <f>'All regions'!D3302+"n/&gt;!'&gt;("</f>
        <v>#VALUE!</v>
      </c>
      <c r="DY132" t="e">
        <f>'All regions'!E3302+"n/&gt;!'&gt;)"</f>
        <v>#VALUE!</v>
      </c>
      <c r="DZ132" t="e">
        <f>'All regions'!F3302+"n/&gt;!'&gt;."</f>
        <v>#VALUE!</v>
      </c>
      <c r="EA132" t="e">
        <f>'All regions'!G3302+"n/&gt;!'&gt;/"</f>
        <v>#VALUE!</v>
      </c>
      <c r="EB132" t="e">
        <f>'All regions'!H3302+"n/&gt;!'&gt;0"</f>
        <v>#VALUE!</v>
      </c>
      <c r="EC132" t="e">
        <f>'All regions'!I3302+"n/&gt;!'&gt;1"</f>
        <v>#VALUE!</v>
      </c>
      <c r="ED132" t="e">
        <f>'All regions'!J3302+"n/&gt;!'&gt;2"</f>
        <v>#VALUE!</v>
      </c>
      <c r="EE132" t="e">
        <f>'All regions'!A3303+"n/&gt;!'&gt;3"</f>
        <v>#VALUE!</v>
      </c>
      <c r="EF132" t="e">
        <f>'All regions'!B3303+"n/&gt;!'&gt;4"</f>
        <v>#VALUE!</v>
      </c>
      <c r="EG132" t="e">
        <f>'All regions'!C3303+"n/&gt;!'&gt;5"</f>
        <v>#VALUE!</v>
      </c>
      <c r="EH132" t="e">
        <f>'All regions'!D3303+"n/&gt;!'&gt;6"</f>
        <v>#VALUE!</v>
      </c>
      <c r="EI132" t="e">
        <f>'All regions'!E3303+"n/&gt;!'&gt;7"</f>
        <v>#VALUE!</v>
      </c>
      <c r="EJ132" t="e">
        <f>'All regions'!F3303+"n/&gt;!'&gt;8"</f>
        <v>#VALUE!</v>
      </c>
      <c r="EK132" t="e">
        <f>'All regions'!G3303+"n/&gt;!'&gt;9"</f>
        <v>#VALUE!</v>
      </c>
      <c r="EL132" t="e">
        <f>'All regions'!H3303+"n/&gt;!'&gt;:"</f>
        <v>#VALUE!</v>
      </c>
      <c r="EM132" t="e">
        <f>'All regions'!I3303+"n/&gt;!'&gt;;"</f>
        <v>#VALUE!</v>
      </c>
      <c r="EN132" t="e">
        <f>'All regions'!J3303+"n/&gt;!'&gt;&lt;"</f>
        <v>#VALUE!</v>
      </c>
      <c r="EO132" t="e">
        <f>'All regions'!A3304+"n/&gt;!'&gt;="</f>
        <v>#VALUE!</v>
      </c>
      <c r="EP132" t="e">
        <f>'All regions'!B3304+"n/&gt;!'&gt;&gt;"</f>
        <v>#VALUE!</v>
      </c>
      <c r="EQ132" t="e">
        <f>'All regions'!C3304+"n/&gt;!'&gt;?"</f>
        <v>#VALUE!</v>
      </c>
      <c r="ER132" t="e">
        <f>'All regions'!D3304+"n/&gt;!'&gt;@"</f>
        <v>#VALUE!</v>
      </c>
      <c r="ES132" t="e">
        <f>'All regions'!E3304+"n/&gt;!'&gt;A"</f>
        <v>#VALUE!</v>
      </c>
      <c r="ET132" t="e">
        <f>'All regions'!F3304+"n/&gt;!'&gt;B"</f>
        <v>#VALUE!</v>
      </c>
      <c r="EU132" t="e">
        <f>'All regions'!G3304+"n/&gt;!'&gt;C"</f>
        <v>#VALUE!</v>
      </c>
      <c r="EV132" t="e">
        <f>'All regions'!H3304+"n/&gt;!'&gt;D"</f>
        <v>#VALUE!</v>
      </c>
      <c r="EW132" t="e">
        <f>'All regions'!I3304+"n/&gt;!'&gt;E"</f>
        <v>#VALUE!</v>
      </c>
      <c r="EX132" t="e">
        <f>'All regions'!J3304+"n/&gt;!'&gt;F"</f>
        <v>#VALUE!</v>
      </c>
      <c r="EY132" t="e">
        <f>'All regions'!A3305+"n/&gt;!'&gt;G"</f>
        <v>#VALUE!</v>
      </c>
      <c r="EZ132" t="e">
        <f>'All regions'!B3305+"n/&gt;!'&gt;H"</f>
        <v>#VALUE!</v>
      </c>
      <c r="FA132" t="e">
        <f>'All regions'!C3305+"n/&gt;!'&gt;I"</f>
        <v>#VALUE!</v>
      </c>
      <c r="FB132" t="e">
        <f>'All regions'!D3305+"n/&gt;!'&gt;J"</f>
        <v>#VALUE!</v>
      </c>
      <c r="FC132" t="e">
        <f>'All regions'!E3305+"n/&gt;!'&gt;K"</f>
        <v>#VALUE!</v>
      </c>
      <c r="FD132" t="e">
        <f>'All regions'!F3305+"n/&gt;!'&gt;L"</f>
        <v>#VALUE!</v>
      </c>
      <c r="FE132" t="e">
        <f>'All regions'!G3305+"n/&gt;!'&gt;M"</f>
        <v>#VALUE!</v>
      </c>
      <c r="FF132" t="e">
        <f>'All regions'!H3305+"n/&gt;!'&gt;N"</f>
        <v>#VALUE!</v>
      </c>
      <c r="FG132" t="e">
        <f>'All regions'!I3305+"n/&gt;!'&gt;O"</f>
        <v>#VALUE!</v>
      </c>
      <c r="FH132" t="e">
        <f>'All regions'!J3305+"n/&gt;!'&gt;P"</f>
        <v>#VALUE!</v>
      </c>
      <c r="FI132" t="e">
        <f>'All regions'!A3306+"n/&gt;!'&gt;Q"</f>
        <v>#VALUE!</v>
      </c>
      <c r="FJ132" t="e">
        <f>'All regions'!B3306+"n/&gt;!'&gt;R"</f>
        <v>#VALUE!</v>
      </c>
      <c r="FK132" t="e">
        <f>'All regions'!C3306+"n/&gt;!'&gt;S"</f>
        <v>#VALUE!</v>
      </c>
      <c r="FL132" t="e">
        <f>'All regions'!D3306+"n/&gt;!'&gt;T"</f>
        <v>#VALUE!</v>
      </c>
      <c r="FM132" t="e">
        <f>'All regions'!E3306+"n/&gt;!'&gt;U"</f>
        <v>#VALUE!</v>
      </c>
      <c r="FN132" t="e">
        <f>'All regions'!F3306+"n/&gt;!'&gt;V"</f>
        <v>#VALUE!</v>
      </c>
      <c r="FO132" t="e">
        <f>'All regions'!G3306+"n/&gt;!'&gt;W"</f>
        <v>#VALUE!</v>
      </c>
      <c r="FP132" t="e">
        <f>'All regions'!H3306+"n/&gt;!'&gt;X"</f>
        <v>#VALUE!</v>
      </c>
      <c r="FQ132" t="e">
        <f>'All regions'!I3306+"n/&gt;!'&gt;Y"</f>
        <v>#VALUE!</v>
      </c>
      <c r="FR132" t="e">
        <f>'All regions'!J3306+"n/&gt;!'&gt;Z"</f>
        <v>#VALUE!</v>
      </c>
      <c r="FS132" t="e">
        <f>'All regions'!A3307+"n/&gt;!'&gt;["</f>
        <v>#VALUE!</v>
      </c>
      <c r="FT132" t="e">
        <f>'All regions'!B3307+"n/&gt;!'&gt;\"</f>
        <v>#VALUE!</v>
      </c>
      <c r="FU132" t="e">
        <f>'All regions'!C3307+"n/&gt;!'&gt;]"</f>
        <v>#VALUE!</v>
      </c>
      <c r="FV132" t="e">
        <f>'All regions'!D3307+"n/&gt;!'&gt;^"</f>
        <v>#VALUE!</v>
      </c>
      <c r="FW132" t="e">
        <f>'All regions'!E3307+"n/&gt;!'&gt;_"</f>
        <v>#VALUE!</v>
      </c>
      <c r="FX132" t="e">
        <f>'All regions'!F3307+"n/&gt;!'&gt;`"</f>
        <v>#VALUE!</v>
      </c>
      <c r="FY132" t="e">
        <f>'All regions'!G3307+"n/&gt;!'&gt;a"</f>
        <v>#VALUE!</v>
      </c>
      <c r="FZ132" t="e">
        <f>'All regions'!H3307+"n/&gt;!'&gt;b"</f>
        <v>#VALUE!</v>
      </c>
      <c r="GA132" t="e">
        <f>'All regions'!I3307+"n/&gt;!'&gt;c"</f>
        <v>#VALUE!</v>
      </c>
      <c r="GB132" t="e">
        <f>'All regions'!J3307+"n/&gt;!'&gt;d"</f>
        <v>#VALUE!</v>
      </c>
      <c r="GC132" t="e">
        <f>'All regions'!A3308+"n/&gt;!'&gt;e"</f>
        <v>#VALUE!</v>
      </c>
      <c r="GD132" t="e">
        <f>'All regions'!B3308+"n/&gt;!'&gt;f"</f>
        <v>#VALUE!</v>
      </c>
      <c r="GE132" t="e">
        <f>'All regions'!C3308+"n/&gt;!'&gt;g"</f>
        <v>#VALUE!</v>
      </c>
      <c r="GF132" t="e">
        <f>'All regions'!D3308+"n/&gt;!'&gt;h"</f>
        <v>#VALUE!</v>
      </c>
      <c r="GG132" t="e">
        <f>'All regions'!E3308+"n/&gt;!'&gt;i"</f>
        <v>#VALUE!</v>
      </c>
      <c r="GH132" t="e">
        <f>'All regions'!F3308+"n/&gt;!'&gt;j"</f>
        <v>#VALUE!</v>
      </c>
      <c r="GI132" t="e">
        <f>'All regions'!G3308+"n/&gt;!'&gt;k"</f>
        <v>#VALUE!</v>
      </c>
      <c r="GJ132" t="e">
        <f>'All regions'!H3308+"n/&gt;!'&gt;l"</f>
        <v>#VALUE!</v>
      </c>
      <c r="GK132" t="e">
        <f>'All regions'!I3308+"n/&gt;!'&gt;m"</f>
        <v>#VALUE!</v>
      </c>
      <c r="GL132" t="e">
        <f>'All regions'!J3308+"n/&gt;!'&gt;n"</f>
        <v>#VALUE!</v>
      </c>
      <c r="GM132" t="e">
        <f>'All regions'!A3309+"n/&gt;!'&gt;o"</f>
        <v>#VALUE!</v>
      </c>
      <c r="GN132" t="e">
        <f>'All regions'!B3309+"n/&gt;!'&gt;p"</f>
        <v>#VALUE!</v>
      </c>
      <c r="GO132" t="e">
        <f>'All regions'!C3309+"n/&gt;!'&gt;q"</f>
        <v>#VALUE!</v>
      </c>
      <c r="GP132" t="e">
        <f>'All regions'!D3309+"n/&gt;!'&gt;r"</f>
        <v>#VALUE!</v>
      </c>
      <c r="GQ132" t="e">
        <f>'All regions'!E3309+"n/&gt;!'&gt;s"</f>
        <v>#VALUE!</v>
      </c>
      <c r="GR132" t="e">
        <f>'All regions'!F3309+"n/&gt;!'&gt;t"</f>
        <v>#VALUE!</v>
      </c>
      <c r="GS132" t="e">
        <f>'All regions'!G3309+"n/&gt;!'&gt;u"</f>
        <v>#VALUE!</v>
      </c>
      <c r="GT132" t="e">
        <f>'All regions'!H3309+"n/&gt;!'&gt;v"</f>
        <v>#VALUE!</v>
      </c>
      <c r="GU132" t="e">
        <f>'All regions'!I3309+"n/&gt;!'&gt;w"</f>
        <v>#VALUE!</v>
      </c>
      <c r="GV132" t="e">
        <f>'All regions'!J3309+"n/&gt;!'&gt;x"</f>
        <v>#VALUE!</v>
      </c>
      <c r="GW132" t="e">
        <f>'All regions'!A3310+"n/&gt;!'&gt;y"</f>
        <v>#VALUE!</v>
      </c>
      <c r="GX132" t="e">
        <f>'All regions'!B3310+"n/&gt;!'&gt;z"</f>
        <v>#VALUE!</v>
      </c>
      <c r="GY132" t="e">
        <f>'All regions'!C3310+"n/&gt;!'&gt;{"</f>
        <v>#VALUE!</v>
      </c>
      <c r="GZ132" t="e">
        <f>'All regions'!D3310+"n/&gt;!'&gt;|"</f>
        <v>#VALUE!</v>
      </c>
      <c r="HA132" t="e">
        <f>'All regions'!E3310+"n/&gt;!'&gt;}"</f>
        <v>#VALUE!</v>
      </c>
      <c r="HB132" t="e">
        <f>'All regions'!F3310+"n/&gt;!'&gt;~"</f>
        <v>#VALUE!</v>
      </c>
      <c r="HC132" t="e">
        <f>'All regions'!G3310+"n/&gt;!'?#"</f>
        <v>#VALUE!</v>
      </c>
      <c r="HD132" t="e">
        <f>'All regions'!H3310+"n/&gt;!'?$"</f>
        <v>#VALUE!</v>
      </c>
      <c r="HE132" t="e">
        <f>'All regions'!I3310+"n/&gt;!'?%"</f>
        <v>#VALUE!</v>
      </c>
      <c r="HF132" t="e">
        <f>'All regions'!J3310+"n/&gt;!'?&amp;"</f>
        <v>#VALUE!</v>
      </c>
      <c r="HG132" t="e">
        <f>'All regions'!A3311+"n/&gt;!'?'"</f>
        <v>#VALUE!</v>
      </c>
      <c r="HH132" t="e">
        <f>'All regions'!B3311+"n/&gt;!'?("</f>
        <v>#VALUE!</v>
      </c>
      <c r="HI132" t="e">
        <f>'All regions'!C3311+"n/&gt;!'?)"</f>
        <v>#VALUE!</v>
      </c>
      <c r="HJ132" t="e">
        <f>'All regions'!D3311+"n/&gt;!'?."</f>
        <v>#VALUE!</v>
      </c>
      <c r="HK132" t="e">
        <f>'All regions'!E3311+"n/&gt;!'?/"</f>
        <v>#VALUE!</v>
      </c>
      <c r="HL132" t="e">
        <f>'All regions'!F3311+"n/&gt;!'?0"</f>
        <v>#VALUE!</v>
      </c>
      <c r="HM132" t="e">
        <f>'All regions'!G3311+"n/&gt;!'?1"</f>
        <v>#VALUE!</v>
      </c>
      <c r="HN132" t="e">
        <f>'All regions'!H3311+"n/&gt;!'?2"</f>
        <v>#VALUE!</v>
      </c>
      <c r="HO132" t="e">
        <f>'All regions'!I3311+"n/&gt;!'?3"</f>
        <v>#VALUE!</v>
      </c>
      <c r="HP132" t="e">
        <f>'All regions'!J3311+"n/&gt;!'?4"</f>
        <v>#VALUE!</v>
      </c>
      <c r="HQ132" t="e">
        <f>'All regions'!A3312+"n/&gt;!'?5"</f>
        <v>#VALUE!</v>
      </c>
      <c r="HR132" t="e">
        <f>'All regions'!B3312+"n/&gt;!'?6"</f>
        <v>#VALUE!</v>
      </c>
      <c r="HS132" t="e">
        <f>'All regions'!C3312+"n/&gt;!'?7"</f>
        <v>#VALUE!</v>
      </c>
      <c r="HT132" t="e">
        <f>'All regions'!D3312+"n/&gt;!'?8"</f>
        <v>#VALUE!</v>
      </c>
      <c r="HU132" t="e">
        <f>'All regions'!E3312+"n/&gt;!'?9"</f>
        <v>#VALUE!</v>
      </c>
      <c r="HV132" t="e">
        <f>'All regions'!F3312+"n/&gt;!'?:"</f>
        <v>#VALUE!</v>
      </c>
      <c r="HW132" t="e">
        <f>'All regions'!G3312+"n/&gt;!'?;"</f>
        <v>#VALUE!</v>
      </c>
      <c r="HX132" t="e">
        <f>'All regions'!H3312+"n/&gt;!'?&lt;"</f>
        <v>#VALUE!</v>
      </c>
      <c r="HY132" t="e">
        <f>'All regions'!I3312+"n/&gt;!'?="</f>
        <v>#VALUE!</v>
      </c>
      <c r="HZ132" t="e">
        <f>'All regions'!J3312+"n/&gt;!'?&gt;"</f>
        <v>#VALUE!</v>
      </c>
      <c r="IA132" t="e">
        <f>'All regions'!A3313+"n/&gt;!'??"</f>
        <v>#VALUE!</v>
      </c>
      <c r="IB132" t="e">
        <f>'All regions'!B3313+"n/&gt;!'?@"</f>
        <v>#VALUE!</v>
      </c>
      <c r="IC132" t="e">
        <f>'All regions'!C3313+"n/&gt;!'?A"</f>
        <v>#VALUE!</v>
      </c>
      <c r="ID132" t="e">
        <f>'All regions'!D3313+"n/&gt;!'?B"</f>
        <v>#VALUE!</v>
      </c>
      <c r="IE132" t="e">
        <f>'All regions'!E3313+"n/&gt;!'?C"</f>
        <v>#VALUE!</v>
      </c>
      <c r="IF132" t="e">
        <f>'All regions'!F3313+"n/&gt;!'?D"</f>
        <v>#VALUE!</v>
      </c>
      <c r="IG132" t="e">
        <f>'All regions'!G3313+"n/&gt;!'?E"</f>
        <v>#VALUE!</v>
      </c>
      <c r="IH132" t="e">
        <f>'All regions'!H3313+"n/&gt;!'?F"</f>
        <v>#VALUE!</v>
      </c>
      <c r="II132" t="e">
        <f>'All regions'!I3313+"n/&gt;!'?G"</f>
        <v>#VALUE!</v>
      </c>
      <c r="IJ132" t="e">
        <f>'All regions'!J3313+"n/&gt;!'?H"</f>
        <v>#VALUE!</v>
      </c>
      <c r="IK132" t="e">
        <f>'All regions'!A3314+"n/&gt;!'?I"</f>
        <v>#VALUE!</v>
      </c>
      <c r="IL132" t="e">
        <f>'All regions'!B3314+"n/&gt;!'?J"</f>
        <v>#VALUE!</v>
      </c>
      <c r="IM132" t="e">
        <f>'All regions'!C3314+"n/&gt;!'?K"</f>
        <v>#VALUE!</v>
      </c>
      <c r="IN132" t="e">
        <f>'All regions'!D3314+"n/&gt;!'?L"</f>
        <v>#VALUE!</v>
      </c>
      <c r="IO132" t="e">
        <f>'All regions'!E3314+"n/&gt;!'?M"</f>
        <v>#VALUE!</v>
      </c>
      <c r="IP132" t="e">
        <f>'All regions'!F3314+"n/&gt;!'?N"</f>
        <v>#VALUE!</v>
      </c>
      <c r="IQ132" t="e">
        <f>'All regions'!G3314+"n/&gt;!'?O"</f>
        <v>#VALUE!</v>
      </c>
      <c r="IR132" t="e">
        <f>'All regions'!H3314+"n/&gt;!'?P"</f>
        <v>#VALUE!</v>
      </c>
      <c r="IS132" t="e">
        <f>'All regions'!I3314+"n/&gt;!'?Q"</f>
        <v>#VALUE!</v>
      </c>
      <c r="IT132" t="e">
        <f>'All regions'!J3314+"n/&gt;!'?R"</f>
        <v>#VALUE!</v>
      </c>
      <c r="IU132" t="e">
        <f>'All regions'!A3315+"n/&gt;!'?S"</f>
        <v>#VALUE!</v>
      </c>
      <c r="IV132" t="e">
        <f>'All regions'!B3315+"n/&gt;!'?T"</f>
        <v>#VALUE!</v>
      </c>
    </row>
    <row r="133" spans="6:256" x14ac:dyDescent="0.35">
      <c r="F133" t="e">
        <f>'All regions'!C3315+"n/&gt;!'?U"</f>
        <v>#VALUE!</v>
      </c>
      <c r="G133" t="e">
        <f>'All regions'!D3315+"n/&gt;!'?V"</f>
        <v>#VALUE!</v>
      </c>
      <c r="H133" t="e">
        <f>'All regions'!E3315+"n/&gt;!'?W"</f>
        <v>#VALUE!</v>
      </c>
      <c r="I133" t="e">
        <f>'All regions'!F3315+"n/&gt;!'?X"</f>
        <v>#VALUE!</v>
      </c>
      <c r="J133" t="e">
        <f>'All regions'!G3315+"n/&gt;!'?Y"</f>
        <v>#VALUE!</v>
      </c>
      <c r="K133" t="e">
        <f>'All regions'!H3315+"n/&gt;!'?Z"</f>
        <v>#VALUE!</v>
      </c>
      <c r="L133" t="e">
        <f>'All regions'!I3315+"n/&gt;!'?["</f>
        <v>#VALUE!</v>
      </c>
      <c r="M133" t="e">
        <f>'All regions'!J3315+"n/&gt;!'?\"</f>
        <v>#VALUE!</v>
      </c>
      <c r="N133" t="e">
        <f>'All regions'!A3316+"n/&gt;!'?]"</f>
        <v>#VALUE!</v>
      </c>
      <c r="O133" t="e">
        <f>'All regions'!B3316+"n/&gt;!'?^"</f>
        <v>#VALUE!</v>
      </c>
      <c r="P133" t="e">
        <f>'All regions'!C3316+"n/&gt;!'?_"</f>
        <v>#VALUE!</v>
      </c>
      <c r="Q133" t="e">
        <f>'All regions'!D3316+"n/&gt;!'?`"</f>
        <v>#VALUE!</v>
      </c>
      <c r="R133" t="e">
        <f>'All regions'!E3316+"n/&gt;!'?a"</f>
        <v>#VALUE!</v>
      </c>
      <c r="S133" t="e">
        <f>'All regions'!F3316+"n/&gt;!'?b"</f>
        <v>#VALUE!</v>
      </c>
      <c r="T133" t="e">
        <f>'All regions'!G3316+"n/&gt;!'?c"</f>
        <v>#VALUE!</v>
      </c>
      <c r="U133" t="e">
        <f>'All regions'!H3316+"n/&gt;!'?d"</f>
        <v>#VALUE!</v>
      </c>
      <c r="V133" t="e">
        <f>'All regions'!I3316+"n/&gt;!'?e"</f>
        <v>#VALUE!</v>
      </c>
      <c r="W133" t="e">
        <f>'All regions'!J3316+"n/&gt;!'?f"</f>
        <v>#VALUE!</v>
      </c>
      <c r="X133" t="e">
        <f>'All regions'!A3317+"n/&gt;!'?g"</f>
        <v>#VALUE!</v>
      </c>
      <c r="Y133" t="e">
        <f>'All regions'!B3317+"n/&gt;!'?h"</f>
        <v>#VALUE!</v>
      </c>
      <c r="Z133" t="e">
        <f>'All regions'!C3317+"n/&gt;!'?i"</f>
        <v>#VALUE!</v>
      </c>
      <c r="AA133" t="e">
        <f>'All regions'!D3317+"n/&gt;!'?j"</f>
        <v>#VALUE!</v>
      </c>
      <c r="AB133" t="e">
        <f>'All regions'!E3317+"n/&gt;!'?k"</f>
        <v>#VALUE!</v>
      </c>
      <c r="AC133" t="e">
        <f>'All regions'!F3317+"n/&gt;!'?l"</f>
        <v>#VALUE!</v>
      </c>
      <c r="AD133" t="e">
        <f>'All regions'!G3317+"n/&gt;!'?m"</f>
        <v>#VALUE!</v>
      </c>
      <c r="AE133" t="e">
        <f>'All regions'!H3317+"n/&gt;!'?n"</f>
        <v>#VALUE!</v>
      </c>
      <c r="AF133" t="e">
        <f>'All regions'!I3317+"n/&gt;!'?o"</f>
        <v>#VALUE!</v>
      </c>
      <c r="AG133" t="e">
        <f>'All regions'!J3317+"n/&gt;!'?p"</f>
        <v>#VALUE!</v>
      </c>
      <c r="AH133" t="e">
        <f>'All regions'!A3318+"n/&gt;!'?q"</f>
        <v>#VALUE!</v>
      </c>
      <c r="AI133" t="e">
        <f>'All regions'!B3318+"n/&gt;!'?r"</f>
        <v>#VALUE!</v>
      </c>
      <c r="AJ133" t="e">
        <f>'All regions'!C3318+"n/&gt;!'?s"</f>
        <v>#VALUE!</v>
      </c>
      <c r="AK133" t="e">
        <f>'All regions'!D3318+"n/&gt;!'?t"</f>
        <v>#VALUE!</v>
      </c>
      <c r="AL133" t="e">
        <f>'All regions'!E3318+"n/&gt;!'?u"</f>
        <v>#VALUE!</v>
      </c>
      <c r="AM133" t="e">
        <f>'All regions'!F3318+"n/&gt;!'?v"</f>
        <v>#VALUE!</v>
      </c>
      <c r="AN133" t="e">
        <f>'All regions'!G3318+"n/&gt;!'?w"</f>
        <v>#VALUE!</v>
      </c>
      <c r="AO133" t="e">
        <f>'All regions'!H3318+"n/&gt;!'?x"</f>
        <v>#VALUE!</v>
      </c>
      <c r="AP133" t="e">
        <f>'All regions'!I3318+"n/&gt;!'?y"</f>
        <v>#VALUE!</v>
      </c>
      <c r="AQ133" t="e">
        <f>'All regions'!J3318+"n/&gt;!'?z"</f>
        <v>#VALUE!</v>
      </c>
      <c r="AR133" t="e">
        <f>'All regions'!A3319+"n/&gt;!'?{"</f>
        <v>#VALUE!</v>
      </c>
      <c r="AS133" t="e">
        <f>'All regions'!B3319+"n/&gt;!'?|"</f>
        <v>#VALUE!</v>
      </c>
      <c r="AT133" t="e">
        <f>'All regions'!C3319+"n/&gt;!'?}"</f>
        <v>#VALUE!</v>
      </c>
      <c r="AU133" t="e">
        <f>'All regions'!D3319+"n/&gt;!'?~"</f>
        <v>#VALUE!</v>
      </c>
      <c r="AV133" t="e">
        <f>'All regions'!E3319+"n/&gt;!'@#"</f>
        <v>#VALUE!</v>
      </c>
      <c r="AW133" t="e">
        <f>'All regions'!F3319+"n/&gt;!'@$"</f>
        <v>#VALUE!</v>
      </c>
      <c r="AX133" t="e">
        <f>'All regions'!G3319+"n/&gt;!'@%"</f>
        <v>#VALUE!</v>
      </c>
      <c r="AY133" t="e">
        <f>'All regions'!H3319+"n/&gt;!'@&amp;"</f>
        <v>#VALUE!</v>
      </c>
      <c r="AZ133" t="e">
        <f>'All regions'!I3319+"n/&gt;!'@'"</f>
        <v>#VALUE!</v>
      </c>
      <c r="BA133" t="e">
        <f>'All regions'!J3319+"n/&gt;!'@("</f>
        <v>#VALUE!</v>
      </c>
      <c r="BB133" t="e">
        <f>'All regions'!A3320+"n/&gt;!'@)"</f>
        <v>#VALUE!</v>
      </c>
      <c r="BC133" t="e">
        <f>'All regions'!B3320+"n/&gt;!'@."</f>
        <v>#VALUE!</v>
      </c>
      <c r="BD133" t="e">
        <f>'All regions'!C3320+"n/&gt;!'@/"</f>
        <v>#VALUE!</v>
      </c>
      <c r="BE133" t="e">
        <f>'All regions'!D3320+"n/&gt;!'@0"</f>
        <v>#VALUE!</v>
      </c>
      <c r="BF133" t="e">
        <f>'All regions'!E3320+"n/&gt;!'@1"</f>
        <v>#VALUE!</v>
      </c>
      <c r="BG133" t="e">
        <f>'All regions'!F3320+"n/&gt;!'@2"</f>
        <v>#VALUE!</v>
      </c>
      <c r="BH133" t="e">
        <f>'All regions'!G3320+"n/&gt;!'@3"</f>
        <v>#VALUE!</v>
      </c>
      <c r="BI133" t="e">
        <f>'All regions'!H3320+"n/&gt;!'@4"</f>
        <v>#VALUE!</v>
      </c>
      <c r="BJ133" t="e">
        <f>'All regions'!I3320+"n/&gt;!'@5"</f>
        <v>#VALUE!</v>
      </c>
      <c r="BK133" t="e">
        <f>'All regions'!J3320+"n/&gt;!'@6"</f>
        <v>#VALUE!</v>
      </c>
      <c r="BL133" t="e">
        <f>'All regions'!A3321+"n/&gt;!'@7"</f>
        <v>#VALUE!</v>
      </c>
      <c r="BM133" t="e">
        <f>'All regions'!B3321+"n/&gt;!'@8"</f>
        <v>#VALUE!</v>
      </c>
      <c r="BN133" t="e">
        <f>'All regions'!C3321+"n/&gt;!'@9"</f>
        <v>#VALUE!</v>
      </c>
      <c r="BO133" t="e">
        <f>'All regions'!D3321+"n/&gt;!'@:"</f>
        <v>#VALUE!</v>
      </c>
      <c r="BP133" t="e">
        <f>'All regions'!E3321+"n/&gt;!'@;"</f>
        <v>#VALUE!</v>
      </c>
      <c r="BQ133" t="e">
        <f>'All regions'!F3321+"n/&gt;!'@&lt;"</f>
        <v>#VALUE!</v>
      </c>
      <c r="BR133" t="e">
        <f>'All regions'!G3321+"n/&gt;!'@="</f>
        <v>#VALUE!</v>
      </c>
      <c r="BS133" t="e">
        <f>'All regions'!H3321+"n/&gt;!'@&gt;"</f>
        <v>#VALUE!</v>
      </c>
      <c r="BT133" t="e">
        <f>'All regions'!I3321+"n/&gt;!'@?"</f>
        <v>#VALUE!</v>
      </c>
      <c r="BU133" t="e">
        <f>'All regions'!J3321+"n/&gt;!'@@"</f>
        <v>#VALUE!</v>
      </c>
      <c r="BV133" t="e">
        <f>'All regions'!A3322+"n/&gt;!'@A"</f>
        <v>#VALUE!</v>
      </c>
      <c r="BW133" t="e">
        <f>'All regions'!B3322+"n/&gt;!'@B"</f>
        <v>#VALUE!</v>
      </c>
      <c r="BX133" t="e">
        <f>'All regions'!C3322+"n/&gt;!'@C"</f>
        <v>#VALUE!</v>
      </c>
      <c r="BY133" t="e">
        <f>'All regions'!D3322+"n/&gt;!'@D"</f>
        <v>#VALUE!</v>
      </c>
      <c r="BZ133" t="e">
        <f>'All regions'!E3322+"n/&gt;!'@E"</f>
        <v>#VALUE!</v>
      </c>
      <c r="CA133" t="e">
        <f>'All regions'!F3322+"n/&gt;!'@F"</f>
        <v>#VALUE!</v>
      </c>
      <c r="CB133" t="e">
        <f>'All regions'!G3322+"n/&gt;!'@G"</f>
        <v>#VALUE!</v>
      </c>
      <c r="CC133" t="e">
        <f>'All regions'!H3322+"n/&gt;!'@H"</f>
        <v>#VALUE!</v>
      </c>
      <c r="CD133" t="e">
        <f>'All regions'!I3322+"n/&gt;!'@I"</f>
        <v>#VALUE!</v>
      </c>
      <c r="CE133" t="e">
        <f>'All regions'!J3322+"n/&gt;!'@J"</f>
        <v>#VALUE!</v>
      </c>
      <c r="CF133" t="e">
        <f>'All regions'!A3323+"n/&gt;!'@K"</f>
        <v>#VALUE!</v>
      </c>
      <c r="CG133" t="e">
        <f>'All regions'!B3323+"n/&gt;!'@L"</f>
        <v>#VALUE!</v>
      </c>
      <c r="CH133" t="e">
        <f>'All regions'!C3323+"n/&gt;!'@M"</f>
        <v>#VALUE!</v>
      </c>
      <c r="CI133" t="e">
        <f>'All regions'!D3323+"n/&gt;!'@N"</f>
        <v>#VALUE!</v>
      </c>
      <c r="CJ133" t="e">
        <f>'All regions'!E3323+"n/&gt;!'@O"</f>
        <v>#VALUE!</v>
      </c>
      <c r="CK133" t="e">
        <f>'All regions'!F3323+"n/&gt;!'@P"</f>
        <v>#VALUE!</v>
      </c>
      <c r="CL133" t="e">
        <f>'All regions'!G3323+"n/&gt;!'@Q"</f>
        <v>#VALUE!</v>
      </c>
      <c r="CM133" t="e">
        <f>'All regions'!H3323+"n/&gt;!'@R"</f>
        <v>#VALUE!</v>
      </c>
      <c r="CN133" t="e">
        <f>'All regions'!I3323+"n/&gt;!'@S"</f>
        <v>#VALUE!</v>
      </c>
      <c r="CO133" t="e">
        <f>'All regions'!J3323+"n/&gt;!'@T"</f>
        <v>#VALUE!</v>
      </c>
      <c r="CP133" t="e">
        <f>'All regions'!A3324+"n/&gt;!'@U"</f>
        <v>#VALUE!</v>
      </c>
      <c r="CQ133" t="e">
        <f>'All regions'!B3324+"n/&gt;!'@V"</f>
        <v>#VALUE!</v>
      </c>
      <c r="CR133" t="e">
        <f>'All regions'!C3324+"n/&gt;!'@W"</f>
        <v>#VALUE!</v>
      </c>
      <c r="CS133" t="e">
        <f>'All regions'!D3324+"n/&gt;!'@X"</f>
        <v>#VALUE!</v>
      </c>
      <c r="CT133" t="e">
        <f>'All regions'!E3324+"n/&gt;!'@Y"</f>
        <v>#VALUE!</v>
      </c>
      <c r="CU133" t="e">
        <f>'All regions'!F3324+"n/&gt;!'@Z"</f>
        <v>#VALUE!</v>
      </c>
      <c r="CV133" t="e">
        <f>'All regions'!G3324+"n/&gt;!'@["</f>
        <v>#VALUE!</v>
      </c>
      <c r="CW133" t="e">
        <f>'All regions'!H3324+"n/&gt;!'@\"</f>
        <v>#VALUE!</v>
      </c>
      <c r="CX133" t="e">
        <f>'All regions'!I3324+"n/&gt;!'@]"</f>
        <v>#VALUE!</v>
      </c>
      <c r="CY133" t="e">
        <f>'All regions'!J3324+"n/&gt;!'@^"</f>
        <v>#VALUE!</v>
      </c>
      <c r="CZ133" t="e">
        <f>'All regions'!A3325+"n/&gt;!'@_"</f>
        <v>#VALUE!</v>
      </c>
      <c r="DA133" t="e">
        <f>'All regions'!B3325+"n/&gt;!'@`"</f>
        <v>#VALUE!</v>
      </c>
      <c r="DB133" t="e">
        <f>'All regions'!C3325+"n/&gt;!'@a"</f>
        <v>#VALUE!</v>
      </c>
      <c r="DC133" t="e">
        <f>'All regions'!D3325+"n/&gt;!'@b"</f>
        <v>#VALUE!</v>
      </c>
      <c r="DD133" t="e">
        <f>'All regions'!E3325+"n/&gt;!'@c"</f>
        <v>#VALUE!</v>
      </c>
      <c r="DE133" t="e">
        <f>'All regions'!F3325+"n/&gt;!'@d"</f>
        <v>#VALUE!</v>
      </c>
      <c r="DF133" t="e">
        <f>'All regions'!G3325+"n/&gt;!'@e"</f>
        <v>#VALUE!</v>
      </c>
      <c r="DG133" t="e">
        <f>'All regions'!H3325+"n/&gt;!'@f"</f>
        <v>#VALUE!</v>
      </c>
      <c r="DH133" t="e">
        <f>'All regions'!I3325+"n/&gt;!'@g"</f>
        <v>#VALUE!</v>
      </c>
      <c r="DI133" t="e">
        <f>'All regions'!J3325+"n/&gt;!'@h"</f>
        <v>#VALUE!</v>
      </c>
      <c r="DJ133" t="e">
        <f>'All regions'!A3326+"n/&gt;!'@i"</f>
        <v>#VALUE!</v>
      </c>
      <c r="DK133" t="e">
        <f>'All regions'!B3326+"n/&gt;!'@j"</f>
        <v>#VALUE!</v>
      </c>
      <c r="DL133" t="e">
        <f>'All regions'!C3326+"n/&gt;!'@k"</f>
        <v>#VALUE!</v>
      </c>
      <c r="DM133" t="e">
        <f>'All regions'!D3326+"n/&gt;!'@l"</f>
        <v>#VALUE!</v>
      </c>
      <c r="DN133" t="e">
        <f>'All regions'!E3326+"n/&gt;!'@m"</f>
        <v>#VALUE!</v>
      </c>
      <c r="DO133" t="e">
        <f>'All regions'!F3326+"n/&gt;!'@n"</f>
        <v>#VALUE!</v>
      </c>
      <c r="DP133" t="e">
        <f>'All regions'!G3326+"n/&gt;!'@o"</f>
        <v>#VALUE!</v>
      </c>
      <c r="DQ133" t="e">
        <f>'All regions'!H3326+"n/&gt;!'@p"</f>
        <v>#VALUE!</v>
      </c>
      <c r="DR133" t="e">
        <f>'All regions'!I3326+"n/&gt;!'@q"</f>
        <v>#VALUE!</v>
      </c>
      <c r="DS133" t="e">
        <f>'All regions'!J3326+"n/&gt;!'@r"</f>
        <v>#VALUE!</v>
      </c>
      <c r="DT133" t="e">
        <f>'All regions'!A3327+"n/&gt;!'@s"</f>
        <v>#VALUE!</v>
      </c>
      <c r="DU133" t="e">
        <f>'All regions'!B3327+"n/&gt;!'@t"</f>
        <v>#VALUE!</v>
      </c>
      <c r="DV133" t="e">
        <f>'All regions'!C3327+"n/&gt;!'@u"</f>
        <v>#VALUE!</v>
      </c>
      <c r="DW133" t="e">
        <f>'All regions'!D3327+"n/&gt;!'@v"</f>
        <v>#VALUE!</v>
      </c>
      <c r="DX133" t="e">
        <f>'All regions'!E3327+"n/&gt;!'@w"</f>
        <v>#VALUE!</v>
      </c>
      <c r="DY133" t="e">
        <f>'All regions'!F3327+"n/&gt;!'@x"</f>
        <v>#VALUE!</v>
      </c>
      <c r="DZ133" t="e">
        <f>'All regions'!G3327+"n/&gt;!'@y"</f>
        <v>#VALUE!</v>
      </c>
      <c r="EA133" t="e">
        <f>'All regions'!H3327+"n/&gt;!'@z"</f>
        <v>#VALUE!</v>
      </c>
      <c r="EB133" t="e">
        <f>'All regions'!I3327+"n/&gt;!'@{"</f>
        <v>#VALUE!</v>
      </c>
      <c r="EC133" t="e">
        <f>'All regions'!J3327+"n/&gt;!'@|"</f>
        <v>#VALUE!</v>
      </c>
      <c r="ED133" t="e">
        <f>'All regions'!A3328+"n/&gt;!'@}"</f>
        <v>#VALUE!</v>
      </c>
      <c r="EE133" t="e">
        <f>'All regions'!B3328+"n/&gt;!'@~"</f>
        <v>#VALUE!</v>
      </c>
      <c r="EF133" t="e">
        <f>'All regions'!C3328+"n/&gt;!'A#"</f>
        <v>#VALUE!</v>
      </c>
      <c r="EG133" t="e">
        <f>'All regions'!D3328+"n/&gt;!'A$"</f>
        <v>#VALUE!</v>
      </c>
      <c r="EH133" t="e">
        <f>'All regions'!E3328+"n/&gt;!'A%"</f>
        <v>#VALUE!</v>
      </c>
      <c r="EI133" t="e">
        <f>'All regions'!F3328+"n/&gt;!'A&amp;"</f>
        <v>#VALUE!</v>
      </c>
      <c r="EJ133" t="e">
        <f>'All regions'!G3328+"n/&gt;!'A'"</f>
        <v>#VALUE!</v>
      </c>
      <c r="EK133" t="e">
        <f>'All regions'!H3328+"n/&gt;!'A("</f>
        <v>#VALUE!</v>
      </c>
      <c r="EL133" t="e">
        <f>'All regions'!I3328+"n/&gt;!'A)"</f>
        <v>#VALUE!</v>
      </c>
      <c r="EM133" t="e">
        <f>'All regions'!J3328+"n/&gt;!'A."</f>
        <v>#VALUE!</v>
      </c>
      <c r="EN133" t="e">
        <f>'All regions'!A3329+"n/&gt;!'A/"</f>
        <v>#VALUE!</v>
      </c>
      <c r="EO133" t="e">
        <f>'All regions'!B3329+"n/&gt;!'A0"</f>
        <v>#VALUE!</v>
      </c>
      <c r="EP133" t="e">
        <f>'All regions'!C3329+"n/&gt;!'A1"</f>
        <v>#VALUE!</v>
      </c>
      <c r="EQ133" t="e">
        <f>'All regions'!D3329+"n/&gt;!'A2"</f>
        <v>#VALUE!</v>
      </c>
      <c r="ER133" t="e">
        <f>'All regions'!E3329+"n/&gt;!'A3"</f>
        <v>#VALUE!</v>
      </c>
      <c r="ES133" t="e">
        <f>'All regions'!F3329+"n/&gt;!'A4"</f>
        <v>#VALUE!</v>
      </c>
      <c r="ET133" t="e">
        <f>'All regions'!G3329+"n/&gt;!'A5"</f>
        <v>#VALUE!</v>
      </c>
      <c r="EU133" t="e">
        <f>'All regions'!H3329+"n/&gt;!'A6"</f>
        <v>#VALUE!</v>
      </c>
      <c r="EV133" t="e">
        <f>'All regions'!I3329+"n/&gt;!'A7"</f>
        <v>#VALUE!</v>
      </c>
      <c r="EW133" t="e">
        <f>'All regions'!J3329+"n/&gt;!'A8"</f>
        <v>#VALUE!</v>
      </c>
      <c r="EX133" t="e">
        <f>'All regions'!A3330+"n/&gt;!'A9"</f>
        <v>#VALUE!</v>
      </c>
      <c r="EY133" t="e">
        <f>'All regions'!B3330+"n/&gt;!'A:"</f>
        <v>#VALUE!</v>
      </c>
      <c r="EZ133" t="e">
        <f>'All regions'!C3330+"n/&gt;!'A;"</f>
        <v>#VALUE!</v>
      </c>
      <c r="FA133" t="e">
        <f>'All regions'!D3330+"n/&gt;!'A&lt;"</f>
        <v>#VALUE!</v>
      </c>
      <c r="FB133" t="e">
        <f>'All regions'!E3330+"n/&gt;!'A="</f>
        <v>#VALUE!</v>
      </c>
      <c r="FC133" t="e">
        <f>'All regions'!F3330+"n/&gt;!'A&gt;"</f>
        <v>#VALUE!</v>
      </c>
      <c r="FD133" t="e">
        <f>'All regions'!G3330+"n/&gt;!'A?"</f>
        <v>#VALUE!</v>
      </c>
      <c r="FE133" t="e">
        <f>'All regions'!H3330+"n/&gt;!'A@"</f>
        <v>#VALUE!</v>
      </c>
      <c r="FF133" t="e">
        <f>'All regions'!I3330+"n/&gt;!'AA"</f>
        <v>#VALUE!</v>
      </c>
      <c r="FG133" t="e">
        <f>'All regions'!J3330+"n/&gt;!'AB"</f>
        <v>#VALUE!</v>
      </c>
      <c r="FH133" t="e">
        <f>'All regions'!A3331+"n/&gt;!'AC"</f>
        <v>#VALUE!</v>
      </c>
      <c r="FI133" t="e">
        <f>'All regions'!B3331+"n/&gt;!'AD"</f>
        <v>#VALUE!</v>
      </c>
      <c r="FJ133" t="e">
        <f>'All regions'!C3331+"n/&gt;!'AE"</f>
        <v>#VALUE!</v>
      </c>
      <c r="FK133" t="e">
        <f>'All regions'!D3331+"n/&gt;!'AF"</f>
        <v>#VALUE!</v>
      </c>
      <c r="FL133" t="e">
        <f>'All regions'!E3331+"n/&gt;!'AG"</f>
        <v>#VALUE!</v>
      </c>
      <c r="FM133" t="e">
        <f>'All regions'!F3331+"n/&gt;!'AH"</f>
        <v>#VALUE!</v>
      </c>
      <c r="FN133" t="e">
        <f>'All regions'!G3331+"n/&gt;!'AI"</f>
        <v>#VALUE!</v>
      </c>
      <c r="FO133" t="e">
        <f>'All regions'!H3331+"n/&gt;!'AJ"</f>
        <v>#VALUE!</v>
      </c>
      <c r="FP133" t="e">
        <f>'All regions'!I3331+"n/&gt;!'AK"</f>
        <v>#VALUE!</v>
      </c>
      <c r="FQ133" t="e">
        <f>'All regions'!J3331+"n/&gt;!'AL"</f>
        <v>#VALUE!</v>
      </c>
      <c r="FR133" t="e">
        <f>'All regions'!A3332+"n/&gt;!'AM"</f>
        <v>#VALUE!</v>
      </c>
      <c r="FS133" t="e">
        <f>'All regions'!B3332+"n/&gt;!'AN"</f>
        <v>#VALUE!</v>
      </c>
      <c r="FT133" t="e">
        <f>'All regions'!C3332+"n/&gt;!'AO"</f>
        <v>#VALUE!</v>
      </c>
      <c r="FU133" t="e">
        <f>'All regions'!D3332+"n/&gt;!'AP"</f>
        <v>#VALUE!</v>
      </c>
      <c r="FV133" t="e">
        <f>'All regions'!E3332+"n/&gt;!'AQ"</f>
        <v>#VALUE!</v>
      </c>
      <c r="FW133" t="e">
        <f>'All regions'!F3332+"n/&gt;!'AR"</f>
        <v>#VALUE!</v>
      </c>
      <c r="FX133" t="e">
        <f>'All regions'!G3332+"n/&gt;!'AS"</f>
        <v>#VALUE!</v>
      </c>
      <c r="FY133" t="e">
        <f>'All regions'!H3332+"n/&gt;!'AT"</f>
        <v>#VALUE!</v>
      </c>
      <c r="FZ133" t="e">
        <f>'All regions'!I3332+"n/&gt;!'AU"</f>
        <v>#VALUE!</v>
      </c>
      <c r="GA133" t="e">
        <f>'All regions'!J3332+"n/&gt;!'AV"</f>
        <v>#VALUE!</v>
      </c>
      <c r="GB133" t="e">
        <f>'All regions'!A3333+"n/&gt;!'AW"</f>
        <v>#VALUE!</v>
      </c>
      <c r="GC133" t="e">
        <f>'All regions'!B3333+"n/&gt;!'AX"</f>
        <v>#VALUE!</v>
      </c>
      <c r="GD133" t="e">
        <f>'All regions'!C3333+"n/&gt;!'AY"</f>
        <v>#VALUE!</v>
      </c>
      <c r="GE133" t="e">
        <f>'All regions'!D3333+"n/&gt;!'AZ"</f>
        <v>#VALUE!</v>
      </c>
      <c r="GF133" t="e">
        <f>'All regions'!E3333+"n/&gt;!'A["</f>
        <v>#VALUE!</v>
      </c>
      <c r="GG133" t="e">
        <f>'All regions'!F3333+"n/&gt;!'A\"</f>
        <v>#VALUE!</v>
      </c>
      <c r="GH133" t="e">
        <f>'All regions'!G3333+"n/&gt;!'A]"</f>
        <v>#VALUE!</v>
      </c>
      <c r="GI133" t="e">
        <f>'All regions'!H3333+"n/&gt;!'A^"</f>
        <v>#VALUE!</v>
      </c>
      <c r="GJ133" t="e">
        <f>'All regions'!I3333+"n/&gt;!'A_"</f>
        <v>#VALUE!</v>
      </c>
      <c r="GK133" t="e">
        <f>'All regions'!J3333+"n/&gt;!'A`"</f>
        <v>#VALUE!</v>
      </c>
      <c r="GL133" t="e">
        <f>'All regions'!A3334+"n/&gt;!'Aa"</f>
        <v>#VALUE!</v>
      </c>
      <c r="GM133" t="e">
        <f>'All regions'!B3334+"n/&gt;!'Ab"</f>
        <v>#VALUE!</v>
      </c>
      <c r="GN133" t="e">
        <f>'All regions'!C3334+"n/&gt;!'Ac"</f>
        <v>#VALUE!</v>
      </c>
      <c r="GO133" t="e">
        <f>'All regions'!D3334+"n/&gt;!'Ad"</f>
        <v>#VALUE!</v>
      </c>
      <c r="GP133" t="e">
        <f>'All regions'!E3334+"n/&gt;!'Ae"</f>
        <v>#VALUE!</v>
      </c>
      <c r="GQ133" t="e">
        <f>'All regions'!F3334+"n/&gt;!'Af"</f>
        <v>#VALUE!</v>
      </c>
      <c r="GR133" t="e">
        <f>'All regions'!G3334+"n/&gt;!'Ag"</f>
        <v>#VALUE!</v>
      </c>
      <c r="GS133" t="e">
        <f>'All regions'!H3334+"n/&gt;!'Ah"</f>
        <v>#VALUE!</v>
      </c>
      <c r="GT133" t="e">
        <f>'All regions'!I3334+"n/&gt;!'Ai"</f>
        <v>#VALUE!</v>
      </c>
      <c r="GU133" t="e">
        <f>'All regions'!J3334+"n/&gt;!'Aj"</f>
        <v>#VALUE!</v>
      </c>
      <c r="GV133" t="e">
        <f>'All regions'!A3335+"n/&gt;!'Ak"</f>
        <v>#VALUE!</v>
      </c>
      <c r="GW133" t="e">
        <f>'All regions'!B3335+"n/&gt;!'Al"</f>
        <v>#VALUE!</v>
      </c>
      <c r="GX133" t="e">
        <f>'All regions'!C3335+"n/&gt;!'Am"</f>
        <v>#VALUE!</v>
      </c>
      <c r="GY133" t="e">
        <f>'All regions'!D3335+"n/&gt;!'An"</f>
        <v>#VALUE!</v>
      </c>
      <c r="GZ133" t="e">
        <f>'All regions'!E3335+"n/&gt;!'Ao"</f>
        <v>#VALUE!</v>
      </c>
      <c r="HA133" t="e">
        <f>'All regions'!F3335+"n/&gt;!'Ap"</f>
        <v>#VALUE!</v>
      </c>
      <c r="HB133" t="e">
        <f>'All regions'!G3335+"n/&gt;!'Aq"</f>
        <v>#VALUE!</v>
      </c>
      <c r="HC133" t="e">
        <f>'All regions'!H3335+"n/&gt;!'Ar"</f>
        <v>#VALUE!</v>
      </c>
      <c r="HD133" t="e">
        <f>'All regions'!I3335+"n/&gt;!'As"</f>
        <v>#VALUE!</v>
      </c>
      <c r="HE133" t="e">
        <f>'All regions'!J3335+"n/&gt;!'At"</f>
        <v>#VALUE!</v>
      </c>
      <c r="HF133" t="e">
        <f>'All regions'!A3336+"n/&gt;!'Au"</f>
        <v>#VALUE!</v>
      </c>
      <c r="HG133" t="e">
        <f>'All regions'!B3336+"n/&gt;!'Av"</f>
        <v>#VALUE!</v>
      </c>
      <c r="HH133" t="e">
        <f>'All regions'!C3336+"n/&gt;!'Aw"</f>
        <v>#VALUE!</v>
      </c>
      <c r="HI133" t="e">
        <f>'All regions'!D3336+"n/&gt;!'Ax"</f>
        <v>#VALUE!</v>
      </c>
      <c r="HJ133" t="e">
        <f>'All regions'!E3336+"n/&gt;!'Ay"</f>
        <v>#VALUE!</v>
      </c>
      <c r="HK133" t="e">
        <f>'All regions'!F3336+"n/&gt;!'Az"</f>
        <v>#VALUE!</v>
      </c>
      <c r="HL133" t="e">
        <f>'All regions'!G3336+"n/&gt;!'A{"</f>
        <v>#VALUE!</v>
      </c>
      <c r="HM133" t="e">
        <f>'All regions'!H3336+"n/&gt;!'A|"</f>
        <v>#VALUE!</v>
      </c>
      <c r="HN133" t="e">
        <f>'All regions'!I3336+"n/&gt;!'A}"</f>
        <v>#VALUE!</v>
      </c>
      <c r="HO133" t="e">
        <f>'All regions'!J3336+"n/&gt;!'A~"</f>
        <v>#VALUE!</v>
      </c>
      <c r="HP133" t="e">
        <f>'All regions'!A3337+"n/&gt;!'B#"</f>
        <v>#VALUE!</v>
      </c>
      <c r="HQ133" t="e">
        <f>'All regions'!B3337+"n/&gt;!'B$"</f>
        <v>#VALUE!</v>
      </c>
      <c r="HR133" t="e">
        <f>'All regions'!C3337+"n/&gt;!'B%"</f>
        <v>#VALUE!</v>
      </c>
      <c r="HS133" t="e">
        <f>'All regions'!D3337+"n/&gt;!'B&amp;"</f>
        <v>#VALUE!</v>
      </c>
      <c r="HT133" t="e">
        <f>'All regions'!E3337+"n/&gt;!'B'"</f>
        <v>#VALUE!</v>
      </c>
      <c r="HU133" t="e">
        <f>'All regions'!F3337+"n/&gt;!'B("</f>
        <v>#VALUE!</v>
      </c>
      <c r="HV133" t="e">
        <f>'All regions'!G3337+"n/&gt;!'B)"</f>
        <v>#VALUE!</v>
      </c>
      <c r="HW133" t="e">
        <f>'All regions'!H3337+"n/&gt;!'B."</f>
        <v>#VALUE!</v>
      </c>
      <c r="HX133" t="e">
        <f>'All regions'!I3337+"n/&gt;!'B/"</f>
        <v>#VALUE!</v>
      </c>
      <c r="HY133" t="e">
        <f>'All regions'!J3337+"n/&gt;!'B0"</f>
        <v>#VALUE!</v>
      </c>
      <c r="HZ133" t="e">
        <f>'All regions'!A3338+"n/&gt;!'B1"</f>
        <v>#VALUE!</v>
      </c>
      <c r="IA133" t="e">
        <f>'All regions'!B3338+"n/&gt;!'B2"</f>
        <v>#VALUE!</v>
      </c>
      <c r="IB133" t="e">
        <f>'All regions'!C3338+"n/&gt;!'B3"</f>
        <v>#VALUE!</v>
      </c>
      <c r="IC133" t="e">
        <f>'All regions'!D3338+"n/&gt;!'B4"</f>
        <v>#VALUE!</v>
      </c>
      <c r="ID133" t="e">
        <f>'All regions'!E3338+"n/&gt;!'B5"</f>
        <v>#VALUE!</v>
      </c>
      <c r="IE133" t="e">
        <f>'All regions'!F3338+"n/&gt;!'B6"</f>
        <v>#VALUE!</v>
      </c>
      <c r="IF133" t="e">
        <f>'All regions'!G3338+"n/&gt;!'B7"</f>
        <v>#VALUE!</v>
      </c>
      <c r="IG133" t="e">
        <f>'All regions'!H3338+"n/&gt;!'B8"</f>
        <v>#VALUE!</v>
      </c>
      <c r="IH133" t="e">
        <f>'All regions'!I3338+"n/&gt;!'B9"</f>
        <v>#VALUE!</v>
      </c>
      <c r="II133" t="e">
        <f>'All regions'!J3338+"n/&gt;!'B:"</f>
        <v>#VALUE!</v>
      </c>
      <c r="IJ133" t="e">
        <f>'All regions'!A3339+"n/&gt;!'B;"</f>
        <v>#VALUE!</v>
      </c>
      <c r="IK133" t="e">
        <f>'All regions'!B3339+"n/&gt;!'B&lt;"</f>
        <v>#VALUE!</v>
      </c>
      <c r="IL133" t="e">
        <f>'All regions'!C3339+"n/&gt;!'B="</f>
        <v>#VALUE!</v>
      </c>
      <c r="IM133" t="e">
        <f>'All regions'!D3339+"n/&gt;!'B&gt;"</f>
        <v>#VALUE!</v>
      </c>
      <c r="IN133" t="e">
        <f>'All regions'!E3339+"n/&gt;!'B?"</f>
        <v>#VALUE!</v>
      </c>
      <c r="IO133" t="e">
        <f>'All regions'!F3339+"n/&gt;!'B@"</f>
        <v>#VALUE!</v>
      </c>
      <c r="IP133" t="e">
        <f>'All regions'!G3339+"n/&gt;!'BA"</f>
        <v>#VALUE!</v>
      </c>
      <c r="IQ133" t="e">
        <f>'All regions'!H3339+"n/&gt;!'BB"</f>
        <v>#VALUE!</v>
      </c>
      <c r="IR133" t="e">
        <f>'All regions'!I3339+"n/&gt;!'BC"</f>
        <v>#VALUE!</v>
      </c>
      <c r="IS133" t="e">
        <f>'All regions'!J3339+"n/&gt;!'BD"</f>
        <v>#VALUE!</v>
      </c>
      <c r="IT133" t="e">
        <f>'All regions'!A3340+"n/&gt;!'BE"</f>
        <v>#VALUE!</v>
      </c>
      <c r="IU133" t="e">
        <f>'All regions'!B3340+"n/&gt;!'BF"</f>
        <v>#VALUE!</v>
      </c>
      <c r="IV133" t="e">
        <f>'All regions'!C3340+"n/&gt;!'BG"</f>
        <v>#VALUE!</v>
      </c>
    </row>
    <row r="134" spans="6:256" x14ac:dyDescent="0.35">
      <c r="F134" t="e">
        <f>'All regions'!D3340+"n/&gt;!'BH"</f>
        <v>#VALUE!</v>
      </c>
      <c r="G134" t="e">
        <f>'All regions'!E3340+"n/&gt;!'BI"</f>
        <v>#VALUE!</v>
      </c>
      <c r="H134" t="e">
        <f>'All regions'!F3340+"n/&gt;!'BJ"</f>
        <v>#VALUE!</v>
      </c>
      <c r="I134" t="e">
        <f>'All regions'!G3340+"n/&gt;!'BK"</f>
        <v>#VALUE!</v>
      </c>
      <c r="J134" t="e">
        <f>'All regions'!H3340+"n/&gt;!'BL"</f>
        <v>#VALUE!</v>
      </c>
      <c r="K134" t="e">
        <f>'All regions'!I3340+"n/&gt;!'BM"</f>
        <v>#VALUE!</v>
      </c>
      <c r="L134" t="e">
        <f>'All regions'!J3340+"n/&gt;!'BN"</f>
        <v>#VALUE!</v>
      </c>
      <c r="M134" t="e">
        <f>'All regions'!A3341+"n/&gt;!'BO"</f>
        <v>#VALUE!</v>
      </c>
      <c r="N134" t="e">
        <f>'All regions'!B3341+"n/&gt;!'BP"</f>
        <v>#VALUE!</v>
      </c>
      <c r="O134" t="e">
        <f>'All regions'!C3341+"n/&gt;!'BQ"</f>
        <v>#VALUE!</v>
      </c>
      <c r="P134" t="e">
        <f>'All regions'!D3341+"n/&gt;!'BR"</f>
        <v>#VALUE!</v>
      </c>
      <c r="Q134" t="e">
        <f>'All regions'!E3341+"n/&gt;!'BS"</f>
        <v>#VALUE!</v>
      </c>
      <c r="R134" t="e">
        <f>'All regions'!F3341+"n/&gt;!'BT"</f>
        <v>#VALUE!</v>
      </c>
      <c r="S134" t="e">
        <f>'All regions'!G3341+"n/&gt;!'BU"</f>
        <v>#VALUE!</v>
      </c>
      <c r="T134" t="e">
        <f>'All regions'!H3341+"n/&gt;!'BV"</f>
        <v>#VALUE!</v>
      </c>
      <c r="U134" t="e">
        <f>'All regions'!I3341+"n/&gt;!'BW"</f>
        <v>#VALUE!</v>
      </c>
      <c r="V134" t="e">
        <f>'All regions'!J3341+"n/&gt;!'BX"</f>
        <v>#VALUE!</v>
      </c>
      <c r="W134" t="e">
        <f>'All regions'!A3342+"n/&gt;!'BY"</f>
        <v>#VALUE!</v>
      </c>
      <c r="X134" t="e">
        <f>'All regions'!B3342+"n/&gt;!'BZ"</f>
        <v>#VALUE!</v>
      </c>
      <c r="Y134" t="e">
        <f>'All regions'!C3342+"n/&gt;!'B["</f>
        <v>#VALUE!</v>
      </c>
      <c r="Z134" t="e">
        <f>'All regions'!D3342+"n/&gt;!'B\"</f>
        <v>#VALUE!</v>
      </c>
      <c r="AA134" t="e">
        <f>'All regions'!E3342+"n/&gt;!'B]"</f>
        <v>#VALUE!</v>
      </c>
      <c r="AB134" t="e">
        <f>'All regions'!F3342+"n/&gt;!'B^"</f>
        <v>#VALUE!</v>
      </c>
      <c r="AC134" t="e">
        <f>'All regions'!G3342+"n/&gt;!'B_"</f>
        <v>#VALUE!</v>
      </c>
      <c r="AD134" t="e">
        <f>'All regions'!H3342+"n/&gt;!'B`"</f>
        <v>#VALUE!</v>
      </c>
      <c r="AE134" t="e">
        <f>'All regions'!I3342+"n/&gt;!'Ba"</f>
        <v>#VALUE!</v>
      </c>
      <c r="AF134" t="e">
        <f>'All regions'!J3342+"n/&gt;!'Bb"</f>
        <v>#VALUE!</v>
      </c>
      <c r="AG134" t="e">
        <f>'All regions'!A3343+"n/&gt;!'Bc"</f>
        <v>#VALUE!</v>
      </c>
      <c r="AH134" t="e">
        <f>'All regions'!B3343+"n/&gt;!'Bd"</f>
        <v>#VALUE!</v>
      </c>
      <c r="AI134" t="e">
        <f>'All regions'!C3343+"n/&gt;!'Be"</f>
        <v>#VALUE!</v>
      </c>
      <c r="AJ134" t="e">
        <f>'All regions'!D3343+"n/&gt;!'Bf"</f>
        <v>#VALUE!</v>
      </c>
      <c r="AK134" t="e">
        <f>'All regions'!E3343+"n/&gt;!'Bg"</f>
        <v>#VALUE!</v>
      </c>
      <c r="AL134" t="e">
        <f>'All regions'!F3343+"n/&gt;!'Bh"</f>
        <v>#VALUE!</v>
      </c>
      <c r="AM134" t="e">
        <f>'All regions'!G3343+"n/&gt;!'Bi"</f>
        <v>#VALUE!</v>
      </c>
      <c r="AN134" t="e">
        <f>'All regions'!H3343+"n/&gt;!'Bj"</f>
        <v>#VALUE!</v>
      </c>
      <c r="AO134" t="e">
        <f>'All regions'!I3343+"n/&gt;!'Bk"</f>
        <v>#VALUE!</v>
      </c>
      <c r="AP134" t="e">
        <f>'All regions'!J3343+"n/&gt;!'Bl"</f>
        <v>#VALUE!</v>
      </c>
      <c r="AQ134" t="e">
        <f>'All regions'!A3344+"n/&gt;!'Bm"</f>
        <v>#VALUE!</v>
      </c>
      <c r="AR134" t="e">
        <f>'All regions'!B3344+"n/&gt;!'Bn"</f>
        <v>#VALUE!</v>
      </c>
      <c r="AS134" t="e">
        <f>'All regions'!C3344+"n/&gt;!'Bo"</f>
        <v>#VALUE!</v>
      </c>
      <c r="AT134" t="e">
        <f>'All regions'!D3344+"n/&gt;!'Bp"</f>
        <v>#VALUE!</v>
      </c>
      <c r="AU134" t="e">
        <f>'All regions'!E3344+"n/&gt;!'Bq"</f>
        <v>#VALUE!</v>
      </c>
      <c r="AV134" t="e">
        <f>'All regions'!F3344+"n/&gt;!'Br"</f>
        <v>#VALUE!</v>
      </c>
      <c r="AW134" t="e">
        <f>'All regions'!G3344+"n/&gt;!'Bs"</f>
        <v>#VALUE!</v>
      </c>
      <c r="AX134" t="e">
        <f>'All regions'!H3344+"n/&gt;!'Bt"</f>
        <v>#VALUE!</v>
      </c>
      <c r="AY134" t="e">
        <f>'All regions'!I3344+"n/&gt;!'Bu"</f>
        <v>#VALUE!</v>
      </c>
      <c r="AZ134" t="e">
        <f>'All regions'!J3344+"n/&gt;!'Bv"</f>
        <v>#VALUE!</v>
      </c>
      <c r="BA134" t="e">
        <f>'All regions'!A3345+"n/&gt;!'Bw"</f>
        <v>#VALUE!</v>
      </c>
      <c r="BB134" t="e">
        <f>'All regions'!B3345+"n/&gt;!'Bx"</f>
        <v>#VALUE!</v>
      </c>
      <c r="BC134" t="e">
        <f>'All regions'!C3345+"n/&gt;!'By"</f>
        <v>#VALUE!</v>
      </c>
      <c r="BD134" t="e">
        <f>'All regions'!D3345+"n/&gt;!'Bz"</f>
        <v>#VALUE!</v>
      </c>
      <c r="BE134" t="e">
        <f>'All regions'!E3345+"n/&gt;!'B{"</f>
        <v>#VALUE!</v>
      </c>
      <c r="BF134" t="e">
        <f>'All regions'!F3345+"n/&gt;!'B|"</f>
        <v>#VALUE!</v>
      </c>
      <c r="BG134" t="e">
        <f>'All regions'!G3345+"n/&gt;!'B}"</f>
        <v>#VALUE!</v>
      </c>
      <c r="BH134" t="e">
        <f>'All regions'!H3345+"n/&gt;!'B~"</f>
        <v>#VALUE!</v>
      </c>
      <c r="BI134" t="e">
        <f>'All regions'!I3345+"n/&gt;!'C#"</f>
        <v>#VALUE!</v>
      </c>
      <c r="BJ134" t="e">
        <f>'All regions'!J3345+"n/&gt;!'C$"</f>
        <v>#VALUE!</v>
      </c>
      <c r="BK134" t="e">
        <f>'All regions'!A3346+"n/&gt;!'C%"</f>
        <v>#VALUE!</v>
      </c>
      <c r="BL134" t="e">
        <f>'All regions'!B3346+"n/&gt;!'C&amp;"</f>
        <v>#VALUE!</v>
      </c>
      <c r="BM134" t="e">
        <f>'All regions'!C3346+"n/&gt;!'C'"</f>
        <v>#VALUE!</v>
      </c>
      <c r="BN134" t="e">
        <f>'All regions'!D3346+"n/&gt;!'C("</f>
        <v>#VALUE!</v>
      </c>
      <c r="BO134" t="e">
        <f>'All regions'!E3346+"n/&gt;!'C)"</f>
        <v>#VALUE!</v>
      </c>
      <c r="BP134" t="e">
        <f>'All regions'!F3346+"n/&gt;!'C."</f>
        <v>#VALUE!</v>
      </c>
      <c r="BQ134" t="e">
        <f>'All regions'!G3346+"n/&gt;!'C/"</f>
        <v>#VALUE!</v>
      </c>
      <c r="BR134" t="e">
        <f>'All regions'!H3346+"n/&gt;!'C0"</f>
        <v>#VALUE!</v>
      </c>
      <c r="BS134" t="e">
        <f>'All regions'!I3346+"n/&gt;!'C1"</f>
        <v>#VALUE!</v>
      </c>
      <c r="BT134" t="e">
        <f>'All regions'!J3346+"n/&gt;!'C2"</f>
        <v>#VALUE!</v>
      </c>
      <c r="BU134" t="e">
        <f>'All regions'!A3347+"n/&gt;!'C3"</f>
        <v>#VALUE!</v>
      </c>
      <c r="BV134" t="e">
        <f>'All regions'!B3347+"n/&gt;!'C4"</f>
        <v>#VALUE!</v>
      </c>
      <c r="BW134" t="e">
        <f>'All regions'!C3347+"n/&gt;!'C5"</f>
        <v>#VALUE!</v>
      </c>
      <c r="BX134" t="e">
        <f>'All regions'!D3347+"n/&gt;!'C6"</f>
        <v>#VALUE!</v>
      </c>
      <c r="BY134" t="e">
        <f>'All regions'!E3347+"n/&gt;!'C7"</f>
        <v>#VALUE!</v>
      </c>
      <c r="BZ134" t="e">
        <f>'All regions'!F3347+"n/&gt;!'C8"</f>
        <v>#VALUE!</v>
      </c>
      <c r="CA134" t="e">
        <f>'All regions'!G3347+"n/&gt;!'C9"</f>
        <v>#VALUE!</v>
      </c>
      <c r="CB134" t="e">
        <f>'All regions'!H3347+"n/&gt;!'C:"</f>
        <v>#VALUE!</v>
      </c>
      <c r="CC134" t="e">
        <f>'All regions'!I3347+"n/&gt;!'C;"</f>
        <v>#VALUE!</v>
      </c>
      <c r="CD134" t="e">
        <f>'All regions'!J3347+"n/&gt;!'C&lt;"</f>
        <v>#VALUE!</v>
      </c>
      <c r="CE134" t="e">
        <f>'All regions'!A3348+"n/&gt;!'C="</f>
        <v>#VALUE!</v>
      </c>
      <c r="CF134" t="e">
        <f>'All regions'!B3348+"n/&gt;!'C&gt;"</f>
        <v>#VALUE!</v>
      </c>
      <c r="CG134" t="e">
        <f>'All regions'!C3348+"n/&gt;!'C?"</f>
        <v>#VALUE!</v>
      </c>
      <c r="CH134" t="e">
        <f>'All regions'!D3348+"n/&gt;!'C@"</f>
        <v>#VALUE!</v>
      </c>
      <c r="CI134" t="e">
        <f>'All regions'!E3348+"n/&gt;!'CA"</f>
        <v>#VALUE!</v>
      </c>
      <c r="CJ134" t="e">
        <f>'All regions'!F3348+"n/&gt;!'CB"</f>
        <v>#VALUE!</v>
      </c>
      <c r="CK134" t="e">
        <f>'All regions'!G3348+"n/&gt;!'CC"</f>
        <v>#VALUE!</v>
      </c>
      <c r="CL134" t="e">
        <f>'All regions'!H3348+"n/&gt;!'CD"</f>
        <v>#VALUE!</v>
      </c>
      <c r="CM134" t="e">
        <f>'All regions'!I3348+"n/&gt;!'CE"</f>
        <v>#VALUE!</v>
      </c>
      <c r="CN134" t="e">
        <f>'All regions'!J3348+"n/&gt;!'CF"</f>
        <v>#VALUE!</v>
      </c>
      <c r="CO134" t="e">
        <f>'All regions'!A3349+"n/&gt;!'CG"</f>
        <v>#VALUE!</v>
      </c>
      <c r="CP134" t="e">
        <f>'All regions'!B3349+"n/&gt;!'CH"</f>
        <v>#VALUE!</v>
      </c>
      <c r="CQ134" t="e">
        <f>'All regions'!C3349+"n/&gt;!'CI"</f>
        <v>#VALUE!</v>
      </c>
      <c r="CR134" t="e">
        <f>'All regions'!D3349+"n/&gt;!'CJ"</f>
        <v>#VALUE!</v>
      </c>
      <c r="CS134" t="e">
        <f>'All regions'!E3349+"n/&gt;!'CK"</f>
        <v>#VALUE!</v>
      </c>
      <c r="CT134" t="e">
        <f>'All regions'!F3349+"n/&gt;!'CL"</f>
        <v>#VALUE!</v>
      </c>
      <c r="CU134" t="e">
        <f>'All regions'!G3349+"n/&gt;!'CM"</f>
        <v>#VALUE!</v>
      </c>
      <c r="CV134" t="e">
        <f>'All regions'!H3349+"n/&gt;!'CN"</f>
        <v>#VALUE!</v>
      </c>
      <c r="CW134" t="e">
        <f>'All regions'!I3349+"n/&gt;!'CO"</f>
        <v>#VALUE!</v>
      </c>
      <c r="CX134" t="e">
        <f>'All regions'!J3349+"n/&gt;!'CP"</f>
        <v>#VALUE!</v>
      </c>
      <c r="CY134" t="e">
        <f>'All regions'!A3350+"n/&gt;!'CQ"</f>
        <v>#VALUE!</v>
      </c>
      <c r="CZ134" t="e">
        <f>'All regions'!B3350+"n/&gt;!'CR"</f>
        <v>#VALUE!</v>
      </c>
      <c r="DA134" t="e">
        <f>'All regions'!C3350+"n/&gt;!'CS"</f>
        <v>#VALUE!</v>
      </c>
      <c r="DB134" t="e">
        <f>'All regions'!D3350+"n/&gt;!'CT"</f>
        <v>#VALUE!</v>
      </c>
      <c r="DC134" t="e">
        <f>'All regions'!E3350+"n/&gt;!'CU"</f>
        <v>#VALUE!</v>
      </c>
      <c r="DD134" t="e">
        <f>'All regions'!F3350+"n/&gt;!'CV"</f>
        <v>#VALUE!</v>
      </c>
      <c r="DE134" t="e">
        <f>'All regions'!G3350+"n/&gt;!'CW"</f>
        <v>#VALUE!</v>
      </c>
      <c r="DF134" t="e">
        <f>'All regions'!H3350+"n/&gt;!'CX"</f>
        <v>#VALUE!</v>
      </c>
      <c r="DG134" t="e">
        <f>'All regions'!I3350+"n/&gt;!'CY"</f>
        <v>#VALUE!</v>
      </c>
      <c r="DH134" t="e">
        <f>'All regions'!J3350+"n/&gt;!'CZ"</f>
        <v>#VALUE!</v>
      </c>
      <c r="DI134" t="e">
        <f>'All regions'!A3351+"n/&gt;!'C["</f>
        <v>#VALUE!</v>
      </c>
      <c r="DJ134" t="e">
        <f>'All regions'!B3351+"n/&gt;!'C\"</f>
        <v>#VALUE!</v>
      </c>
      <c r="DK134" t="e">
        <f>'All regions'!C3351+"n/&gt;!'C]"</f>
        <v>#VALUE!</v>
      </c>
      <c r="DL134" t="e">
        <f>'All regions'!D3351+"n/&gt;!'C^"</f>
        <v>#VALUE!</v>
      </c>
      <c r="DM134" t="e">
        <f>'All regions'!E3351+"n/&gt;!'C_"</f>
        <v>#VALUE!</v>
      </c>
      <c r="DN134" t="e">
        <f>'All regions'!F3351+"n/&gt;!'C`"</f>
        <v>#VALUE!</v>
      </c>
      <c r="DO134" t="e">
        <f>'All regions'!G3351+"n/&gt;!'Ca"</f>
        <v>#VALUE!</v>
      </c>
      <c r="DP134" t="e">
        <f>'All regions'!H3351+"n/&gt;!'Cb"</f>
        <v>#VALUE!</v>
      </c>
      <c r="DQ134" t="e">
        <f>'All regions'!I3351+"n/&gt;!'Cc"</f>
        <v>#VALUE!</v>
      </c>
      <c r="DR134" t="e">
        <f>'All regions'!J3351+"n/&gt;!'Cd"</f>
        <v>#VALUE!</v>
      </c>
      <c r="DS134" t="e">
        <f>'All regions'!A3352+"n/&gt;!'Ce"</f>
        <v>#VALUE!</v>
      </c>
      <c r="DT134" t="e">
        <f>'All regions'!B3352+"n/&gt;!'Cf"</f>
        <v>#VALUE!</v>
      </c>
      <c r="DU134" t="e">
        <f>'All regions'!C3352+"n/&gt;!'Cg"</f>
        <v>#VALUE!</v>
      </c>
      <c r="DV134" t="e">
        <f>'All regions'!D3352+"n/&gt;!'Ch"</f>
        <v>#VALUE!</v>
      </c>
      <c r="DW134" t="e">
        <f>'All regions'!E3352+"n/&gt;!'Ci"</f>
        <v>#VALUE!</v>
      </c>
      <c r="DX134" t="e">
        <f>'All regions'!F3352+"n/&gt;!'Cj"</f>
        <v>#VALUE!</v>
      </c>
      <c r="DY134" t="e">
        <f>'All regions'!G3352+"n/&gt;!'Ck"</f>
        <v>#VALUE!</v>
      </c>
      <c r="DZ134" t="e">
        <f>'All regions'!H3352+"n/&gt;!'Cl"</f>
        <v>#VALUE!</v>
      </c>
      <c r="EA134" t="e">
        <f>'All regions'!I3352+"n/&gt;!'Cm"</f>
        <v>#VALUE!</v>
      </c>
      <c r="EB134" t="e">
        <f>'All regions'!J3352+"n/&gt;!'Cn"</f>
        <v>#VALUE!</v>
      </c>
      <c r="EC134" t="e">
        <f>'All regions'!A3353+"n/&gt;!'Co"</f>
        <v>#VALUE!</v>
      </c>
      <c r="ED134" t="e">
        <f>'All regions'!B3353+"n/&gt;!'Cp"</f>
        <v>#VALUE!</v>
      </c>
      <c r="EE134" t="e">
        <f>'All regions'!C3353+"n/&gt;!'Cq"</f>
        <v>#VALUE!</v>
      </c>
      <c r="EF134" t="e">
        <f>'All regions'!D3353+"n/&gt;!'Cr"</f>
        <v>#VALUE!</v>
      </c>
      <c r="EG134" t="e">
        <f>'All regions'!E3353+"n/&gt;!'Cs"</f>
        <v>#VALUE!</v>
      </c>
      <c r="EH134" t="e">
        <f>'All regions'!F3353+"n/&gt;!'Ct"</f>
        <v>#VALUE!</v>
      </c>
      <c r="EI134" t="e">
        <f>'All regions'!G3353+"n/&gt;!'Cu"</f>
        <v>#VALUE!</v>
      </c>
      <c r="EJ134" t="e">
        <f>'All regions'!H3353+"n/&gt;!'Cv"</f>
        <v>#VALUE!</v>
      </c>
      <c r="EK134" t="e">
        <f>'All regions'!I3353+"n/&gt;!'Cw"</f>
        <v>#VALUE!</v>
      </c>
      <c r="EL134" t="e">
        <f>'All regions'!J3353+"n/&gt;!'Cx"</f>
        <v>#VALUE!</v>
      </c>
      <c r="EM134" t="e">
        <f>'All regions'!A3354+"n/&gt;!'Cy"</f>
        <v>#VALUE!</v>
      </c>
      <c r="EN134" t="e">
        <f>'All regions'!B3354+"n/&gt;!'Cz"</f>
        <v>#VALUE!</v>
      </c>
      <c r="EO134" t="e">
        <f>'All regions'!C3354+"n/&gt;!'C{"</f>
        <v>#VALUE!</v>
      </c>
      <c r="EP134" t="e">
        <f>'All regions'!D3354+"n/&gt;!'C|"</f>
        <v>#VALUE!</v>
      </c>
      <c r="EQ134" t="e">
        <f>'All regions'!E3354+"n/&gt;!'C}"</f>
        <v>#VALUE!</v>
      </c>
      <c r="ER134" t="e">
        <f>'All regions'!F3354+"n/&gt;!'C~"</f>
        <v>#VALUE!</v>
      </c>
      <c r="ES134" t="e">
        <f>'All regions'!G3354+"n/&gt;!'D#"</f>
        <v>#VALUE!</v>
      </c>
      <c r="ET134" t="e">
        <f>'All regions'!H3354+"n/&gt;!'D$"</f>
        <v>#VALUE!</v>
      </c>
      <c r="EU134" t="e">
        <f>'All regions'!I3354+"n/&gt;!'D%"</f>
        <v>#VALUE!</v>
      </c>
      <c r="EV134" t="e">
        <f>'All regions'!J3354+"n/&gt;!'D&amp;"</f>
        <v>#VALUE!</v>
      </c>
      <c r="EW134" t="e">
        <f>'All regions'!A3355+"n/&gt;!'D'"</f>
        <v>#VALUE!</v>
      </c>
      <c r="EX134" t="e">
        <f>'All regions'!B3355+"n/&gt;!'D("</f>
        <v>#VALUE!</v>
      </c>
      <c r="EY134" t="e">
        <f>'All regions'!C3355+"n/&gt;!'D)"</f>
        <v>#VALUE!</v>
      </c>
      <c r="EZ134" t="e">
        <f>'All regions'!D3355+"n/&gt;!'D."</f>
        <v>#VALUE!</v>
      </c>
      <c r="FA134" t="e">
        <f>'All regions'!E3355+"n/&gt;!'D/"</f>
        <v>#VALUE!</v>
      </c>
      <c r="FB134" t="e">
        <f>'All regions'!F3355+"n/&gt;!'D0"</f>
        <v>#VALUE!</v>
      </c>
      <c r="FC134" t="e">
        <f>'All regions'!G3355+"n/&gt;!'D1"</f>
        <v>#VALUE!</v>
      </c>
      <c r="FD134" t="e">
        <f>'All regions'!H3355+"n/&gt;!'D2"</f>
        <v>#VALUE!</v>
      </c>
      <c r="FE134" t="e">
        <f>'All regions'!I3355+"n/&gt;!'D3"</f>
        <v>#VALUE!</v>
      </c>
      <c r="FF134" t="e">
        <f>'All regions'!J3355+"n/&gt;!'D4"</f>
        <v>#VALUE!</v>
      </c>
      <c r="FG134" t="e">
        <f>'All regions'!A3356+"n/&gt;!'D5"</f>
        <v>#VALUE!</v>
      </c>
      <c r="FH134" t="e">
        <f>'All regions'!B3356+"n/&gt;!'D6"</f>
        <v>#VALUE!</v>
      </c>
      <c r="FI134" t="e">
        <f>'All regions'!C3356+"n/&gt;!'D7"</f>
        <v>#VALUE!</v>
      </c>
      <c r="FJ134" t="e">
        <f>'All regions'!D3356+"n/&gt;!'D8"</f>
        <v>#VALUE!</v>
      </c>
      <c r="FK134" t="e">
        <f>'All regions'!E3356+"n/&gt;!'D9"</f>
        <v>#VALUE!</v>
      </c>
      <c r="FL134" t="e">
        <f>'All regions'!F3356+"n/&gt;!'D:"</f>
        <v>#VALUE!</v>
      </c>
      <c r="FM134" t="e">
        <f>'All regions'!G3356+"n/&gt;!'D;"</f>
        <v>#VALUE!</v>
      </c>
      <c r="FN134" t="e">
        <f>'All regions'!H3356+"n/&gt;!'D&lt;"</f>
        <v>#VALUE!</v>
      </c>
      <c r="FO134" t="e">
        <f>'All regions'!I3356+"n/&gt;!'D="</f>
        <v>#VALUE!</v>
      </c>
      <c r="FP134" t="e">
        <f>'All regions'!J3356+"n/&gt;!'D&gt;"</f>
        <v>#VALUE!</v>
      </c>
      <c r="FQ134" t="e">
        <f>'All regions'!A3357+"n/&gt;!'D?"</f>
        <v>#VALUE!</v>
      </c>
      <c r="FR134" t="e">
        <f>'All regions'!B3357+"n/&gt;!'D@"</f>
        <v>#VALUE!</v>
      </c>
      <c r="FS134" t="e">
        <f>'All regions'!C3357+"n/&gt;!'DA"</f>
        <v>#VALUE!</v>
      </c>
      <c r="FT134" t="e">
        <f>'All regions'!D3357+"n/&gt;!'DB"</f>
        <v>#VALUE!</v>
      </c>
      <c r="FU134" t="e">
        <f>'All regions'!E3357+"n/&gt;!'DC"</f>
        <v>#VALUE!</v>
      </c>
      <c r="FV134" t="e">
        <f>'All regions'!F3357+"n/&gt;!'DD"</f>
        <v>#VALUE!</v>
      </c>
      <c r="FW134" t="e">
        <f>'All regions'!G3357+"n/&gt;!'DE"</f>
        <v>#VALUE!</v>
      </c>
      <c r="FX134" t="e">
        <f>'All regions'!H3357+"n/&gt;!'DF"</f>
        <v>#VALUE!</v>
      </c>
      <c r="FY134" t="e">
        <f>'All regions'!I3357+"n/&gt;!'DG"</f>
        <v>#VALUE!</v>
      </c>
      <c r="FZ134" t="e">
        <f>'All regions'!J3357+"n/&gt;!'DH"</f>
        <v>#VALUE!</v>
      </c>
      <c r="GA134" t="e">
        <f>'All regions'!A3358+"n/&gt;!'DI"</f>
        <v>#VALUE!</v>
      </c>
      <c r="GB134" t="e">
        <f>'All regions'!B3358+"n/&gt;!'DJ"</f>
        <v>#VALUE!</v>
      </c>
      <c r="GC134" t="e">
        <f>'All regions'!C3358+"n/&gt;!'DK"</f>
        <v>#VALUE!</v>
      </c>
      <c r="GD134" t="e">
        <f>'All regions'!D3358+"n/&gt;!'DL"</f>
        <v>#VALUE!</v>
      </c>
      <c r="GE134" t="e">
        <f>'All regions'!E3358+"n/&gt;!'DM"</f>
        <v>#VALUE!</v>
      </c>
      <c r="GF134" t="e">
        <f>'All regions'!F3358+"n/&gt;!'DN"</f>
        <v>#VALUE!</v>
      </c>
      <c r="GG134" t="e">
        <f>'All regions'!G3358+"n/&gt;!'DO"</f>
        <v>#VALUE!</v>
      </c>
      <c r="GH134" t="e">
        <f>'All regions'!H3358+"n/&gt;!'DP"</f>
        <v>#VALUE!</v>
      </c>
      <c r="GI134" t="e">
        <f>'All regions'!I3358+"n/&gt;!'DQ"</f>
        <v>#VALUE!</v>
      </c>
      <c r="GJ134" t="e">
        <f>'All regions'!J3358+"n/&gt;!'DR"</f>
        <v>#VALUE!</v>
      </c>
      <c r="GK134" t="e">
        <f>'All regions'!A3359+"n/&gt;!'DS"</f>
        <v>#VALUE!</v>
      </c>
      <c r="GL134" t="e">
        <f>'All regions'!B3359+"n/&gt;!'DT"</f>
        <v>#VALUE!</v>
      </c>
      <c r="GM134" t="e">
        <f>'All regions'!C3359+"n/&gt;!'DU"</f>
        <v>#VALUE!</v>
      </c>
      <c r="GN134" t="e">
        <f>'All regions'!D3359+"n/&gt;!'DV"</f>
        <v>#VALUE!</v>
      </c>
      <c r="GO134" t="e">
        <f>'All regions'!E3359+"n/&gt;!'DW"</f>
        <v>#VALUE!</v>
      </c>
      <c r="GP134" t="e">
        <f>'All regions'!F3359+"n/&gt;!'DX"</f>
        <v>#VALUE!</v>
      </c>
      <c r="GQ134" t="e">
        <f>'All regions'!G3359+"n/&gt;!'DY"</f>
        <v>#VALUE!</v>
      </c>
      <c r="GR134" t="e">
        <f>'All regions'!H3359+"n/&gt;!'DZ"</f>
        <v>#VALUE!</v>
      </c>
      <c r="GS134" t="e">
        <f>'All regions'!I3359+"n/&gt;!'D["</f>
        <v>#VALUE!</v>
      </c>
      <c r="GT134" t="e">
        <f>'All regions'!J3359+"n/&gt;!'D\"</f>
        <v>#VALUE!</v>
      </c>
      <c r="GU134" t="e">
        <f>'All regions'!A3360+"n/&gt;!'D]"</f>
        <v>#VALUE!</v>
      </c>
      <c r="GV134" t="e">
        <f>'All regions'!B3360+"n/&gt;!'D^"</f>
        <v>#VALUE!</v>
      </c>
      <c r="GW134" t="e">
        <f>'All regions'!C3360+"n/&gt;!'D_"</f>
        <v>#VALUE!</v>
      </c>
      <c r="GX134" t="e">
        <f>'All regions'!D3360+"n/&gt;!'D`"</f>
        <v>#VALUE!</v>
      </c>
      <c r="GY134" t="e">
        <f>'All regions'!E3360+"n/&gt;!'Da"</f>
        <v>#VALUE!</v>
      </c>
      <c r="GZ134" t="e">
        <f>'All regions'!F3360+"n/&gt;!'Db"</f>
        <v>#VALUE!</v>
      </c>
      <c r="HA134" t="e">
        <f>'All regions'!G3360+"n/&gt;!'Dc"</f>
        <v>#VALUE!</v>
      </c>
      <c r="HB134" t="e">
        <f>'All regions'!H3360+"n/&gt;!'Dd"</f>
        <v>#VALUE!</v>
      </c>
      <c r="HC134" t="e">
        <f>'All regions'!I3360+"n/&gt;!'De"</f>
        <v>#VALUE!</v>
      </c>
      <c r="HD134" t="e">
        <f>'All regions'!J3360+"n/&gt;!'Df"</f>
        <v>#VALUE!</v>
      </c>
      <c r="HE134" t="e">
        <f>'All regions'!A3361+"n/&gt;!'Dg"</f>
        <v>#VALUE!</v>
      </c>
      <c r="HF134" t="e">
        <f>'All regions'!B3361+"n/&gt;!'Dh"</f>
        <v>#VALUE!</v>
      </c>
      <c r="HG134" t="e">
        <f>'All regions'!C3361+"n/&gt;!'Di"</f>
        <v>#VALUE!</v>
      </c>
      <c r="HH134" t="e">
        <f>'All regions'!D3361+"n/&gt;!'Dj"</f>
        <v>#VALUE!</v>
      </c>
      <c r="HI134" t="e">
        <f>'All regions'!E3361+"n/&gt;!'Dk"</f>
        <v>#VALUE!</v>
      </c>
      <c r="HJ134" t="e">
        <f>'All regions'!F3361+"n/&gt;!'Dl"</f>
        <v>#VALUE!</v>
      </c>
      <c r="HK134" t="e">
        <f>'All regions'!G3361+"n/&gt;!'Dm"</f>
        <v>#VALUE!</v>
      </c>
      <c r="HL134" t="e">
        <f>'All regions'!H3361+"n/&gt;!'Dn"</f>
        <v>#VALUE!</v>
      </c>
      <c r="HM134" t="e">
        <f>'All regions'!I3361+"n/&gt;!'Do"</f>
        <v>#VALUE!</v>
      </c>
      <c r="HN134" t="e">
        <f>'All regions'!J3361+"n/&gt;!'Dp"</f>
        <v>#VALUE!</v>
      </c>
      <c r="HO134" t="e">
        <f>'All regions'!A3362+"n/&gt;!'Dq"</f>
        <v>#VALUE!</v>
      </c>
      <c r="HP134" t="e">
        <f>'All regions'!B3362+"n/&gt;!'Dr"</f>
        <v>#VALUE!</v>
      </c>
      <c r="HQ134" t="e">
        <f>'All regions'!C3362+"n/&gt;!'Ds"</f>
        <v>#VALUE!</v>
      </c>
      <c r="HR134" t="e">
        <f>'All regions'!D3362+"n/&gt;!'Dt"</f>
        <v>#VALUE!</v>
      </c>
      <c r="HS134" t="e">
        <f>'All regions'!E3362+"n/&gt;!'Du"</f>
        <v>#VALUE!</v>
      </c>
      <c r="HT134" t="e">
        <f>'All regions'!F3362+"n/&gt;!'Dv"</f>
        <v>#VALUE!</v>
      </c>
      <c r="HU134" t="e">
        <f>'All regions'!G3362+"n/&gt;!'Dw"</f>
        <v>#VALUE!</v>
      </c>
      <c r="HV134" t="e">
        <f>'All regions'!H3362+"n/&gt;!'Dx"</f>
        <v>#VALUE!</v>
      </c>
      <c r="HW134" t="e">
        <f>'All regions'!I3362+"n/&gt;!'Dy"</f>
        <v>#VALUE!</v>
      </c>
      <c r="HX134" t="e">
        <f>'All regions'!J3362+"n/&gt;!'Dz"</f>
        <v>#VALUE!</v>
      </c>
      <c r="HY134" t="e">
        <f>'All regions'!A3363+"n/&gt;!'D{"</f>
        <v>#VALUE!</v>
      </c>
      <c r="HZ134" t="e">
        <f>'All regions'!B3363+"n/&gt;!'D|"</f>
        <v>#VALUE!</v>
      </c>
      <c r="IA134" t="e">
        <f>'All regions'!C3363+"n/&gt;!'D}"</f>
        <v>#VALUE!</v>
      </c>
      <c r="IB134" t="e">
        <f>'All regions'!D3363+"n/&gt;!'D~"</f>
        <v>#VALUE!</v>
      </c>
      <c r="IC134" t="e">
        <f>'All regions'!E3363+"n/&gt;!'E#"</f>
        <v>#VALUE!</v>
      </c>
      <c r="ID134" t="e">
        <f>'All regions'!F3363+"n/&gt;!'E$"</f>
        <v>#VALUE!</v>
      </c>
      <c r="IE134" t="e">
        <f>'All regions'!G3363+"n/&gt;!'E%"</f>
        <v>#VALUE!</v>
      </c>
      <c r="IF134" t="e">
        <f>'All regions'!H3363+"n/&gt;!'E&amp;"</f>
        <v>#VALUE!</v>
      </c>
      <c r="IG134" t="e">
        <f>'All regions'!I3363+"n/&gt;!'E'"</f>
        <v>#VALUE!</v>
      </c>
      <c r="IH134" t="e">
        <f>'All regions'!J3363+"n/&gt;!'E("</f>
        <v>#VALUE!</v>
      </c>
      <c r="II134" t="e">
        <f>'All regions'!A3364+"n/&gt;!'E)"</f>
        <v>#VALUE!</v>
      </c>
      <c r="IJ134" t="e">
        <f>'All regions'!B3364+"n/&gt;!'E."</f>
        <v>#VALUE!</v>
      </c>
      <c r="IK134" t="e">
        <f>'All regions'!C3364+"n/&gt;!'E/"</f>
        <v>#VALUE!</v>
      </c>
      <c r="IL134" t="e">
        <f>'All regions'!D3364+"n/&gt;!'E0"</f>
        <v>#VALUE!</v>
      </c>
      <c r="IM134" t="e">
        <f>'All regions'!E3364+"n/&gt;!'E1"</f>
        <v>#VALUE!</v>
      </c>
      <c r="IN134" t="e">
        <f>'All regions'!F3364+"n/&gt;!'E2"</f>
        <v>#VALUE!</v>
      </c>
      <c r="IO134" t="e">
        <f>'All regions'!G3364+"n/&gt;!'E3"</f>
        <v>#VALUE!</v>
      </c>
      <c r="IP134" t="e">
        <f>'All regions'!H3364+"n/&gt;!'E4"</f>
        <v>#VALUE!</v>
      </c>
      <c r="IQ134" t="e">
        <f>'All regions'!I3364+"n/&gt;!'E5"</f>
        <v>#VALUE!</v>
      </c>
      <c r="IR134" t="e">
        <f>'All regions'!J3364+"n/&gt;!'E6"</f>
        <v>#VALUE!</v>
      </c>
      <c r="IS134" t="e">
        <f>'All regions'!A3365+"n/&gt;!'E7"</f>
        <v>#VALUE!</v>
      </c>
      <c r="IT134" t="e">
        <f>'All regions'!B3365+"n/&gt;!'E8"</f>
        <v>#VALUE!</v>
      </c>
      <c r="IU134" t="e">
        <f>'All regions'!C3365+"n/&gt;!'E9"</f>
        <v>#VALUE!</v>
      </c>
      <c r="IV134" t="e">
        <f>'All regions'!D3365+"n/&gt;!'E:"</f>
        <v>#VALUE!</v>
      </c>
    </row>
    <row r="135" spans="6:256" x14ac:dyDescent="0.35">
      <c r="F135" t="e">
        <f>'All regions'!E3365+"n/&gt;!'E;"</f>
        <v>#VALUE!</v>
      </c>
      <c r="G135" t="e">
        <f>'All regions'!F3365+"n/&gt;!'E&lt;"</f>
        <v>#VALUE!</v>
      </c>
      <c r="H135" t="e">
        <f>'All regions'!G3365+"n/&gt;!'E="</f>
        <v>#VALUE!</v>
      </c>
      <c r="I135" t="e">
        <f>'All regions'!H3365+"n/&gt;!'E&gt;"</f>
        <v>#VALUE!</v>
      </c>
      <c r="J135" t="e">
        <f>'All regions'!I3365+"n/&gt;!'E?"</f>
        <v>#VALUE!</v>
      </c>
      <c r="K135" t="e">
        <f>'All regions'!J3365+"n/&gt;!'E@"</f>
        <v>#VALUE!</v>
      </c>
      <c r="L135" t="e">
        <f>'All regions'!A3366+"n/&gt;!'EA"</f>
        <v>#VALUE!</v>
      </c>
      <c r="M135" t="e">
        <f>'All regions'!B3366+"n/&gt;!'EB"</f>
        <v>#VALUE!</v>
      </c>
      <c r="N135" t="e">
        <f>'All regions'!C3366+"n/&gt;!'EC"</f>
        <v>#VALUE!</v>
      </c>
      <c r="O135" t="e">
        <f>'All regions'!D3366+"n/&gt;!'ED"</f>
        <v>#VALUE!</v>
      </c>
      <c r="P135" t="e">
        <f>'All regions'!E3366+"n/&gt;!'EE"</f>
        <v>#VALUE!</v>
      </c>
      <c r="Q135" t="e">
        <f>'All regions'!F3366+"n/&gt;!'EF"</f>
        <v>#VALUE!</v>
      </c>
      <c r="R135" t="e">
        <f>'All regions'!G3366+"n/&gt;!'EG"</f>
        <v>#VALUE!</v>
      </c>
      <c r="S135" t="e">
        <f>'All regions'!H3366+"n/&gt;!'EH"</f>
        <v>#VALUE!</v>
      </c>
      <c r="T135" t="e">
        <f>'All regions'!I3366+"n/&gt;!'EI"</f>
        <v>#VALUE!</v>
      </c>
      <c r="U135" t="e">
        <f>'All regions'!J3366+"n/&gt;!'EJ"</f>
        <v>#VALUE!</v>
      </c>
      <c r="V135" t="e">
        <f>'All regions'!A3367+"n/&gt;!'EK"</f>
        <v>#VALUE!</v>
      </c>
      <c r="W135" t="e">
        <f>'All regions'!B3367+"n/&gt;!'EL"</f>
        <v>#VALUE!</v>
      </c>
      <c r="X135" t="e">
        <f>'All regions'!C3367+"n/&gt;!'EM"</f>
        <v>#VALUE!</v>
      </c>
      <c r="Y135" t="e">
        <f>'All regions'!D3367+"n/&gt;!'EN"</f>
        <v>#VALUE!</v>
      </c>
      <c r="Z135" t="e">
        <f>'All regions'!E3367+"n/&gt;!'EO"</f>
        <v>#VALUE!</v>
      </c>
      <c r="AA135" t="e">
        <f>'All regions'!F3367+"n/&gt;!'EP"</f>
        <v>#VALUE!</v>
      </c>
      <c r="AB135" t="e">
        <f>'All regions'!G3367+"n/&gt;!'EQ"</f>
        <v>#VALUE!</v>
      </c>
      <c r="AC135" t="e">
        <f>'All regions'!H3367+"n/&gt;!'ER"</f>
        <v>#VALUE!</v>
      </c>
      <c r="AD135" t="e">
        <f>'All regions'!I3367+"n/&gt;!'ES"</f>
        <v>#VALUE!</v>
      </c>
      <c r="AE135" t="e">
        <f>'All regions'!J3367+"n/&gt;!'ET"</f>
        <v>#VALUE!</v>
      </c>
      <c r="AF135" t="e">
        <f>'All regions'!A3368+"n/&gt;!'EU"</f>
        <v>#VALUE!</v>
      </c>
      <c r="AG135" t="e">
        <f>'All regions'!B3368+"n/&gt;!'EV"</f>
        <v>#VALUE!</v>
      </c>
      <c r="AH135" t="e">
        <f>'All regions'!C3368+"n/&gt;!'EW"</f>
        <v>#VALUE!</v>
      </c>
      <c r="AI135" t="e">
        <f>'All regions'!D3368+"n/&gt;!'EX"</f>
        <v>#VALUE!</v>
      </c>
      <c r="AJ135" t="e">
        <f>'All regions'!E3368+"n/&gt;!'EY"</f>
        <v>#VALUE!</v>
      </c>
      <c r="AK135" t="e">
        <f>'All regions'!F3368+"n/&gt;!'EZ"</f>
        <v>#VALUE!</v>
      </c>
      <c r="AL135" t="e">
        <f>'All regions'!G3368+"n/&gt;!'E["</f>
        <v>#VALUE!</v>
      </c>
      <c r="AM135" t="e">
        <f>'All regions'!H3368+"n/&gt;!'E\"</f>
        <v>#VALUE!</v>
      </c>
      <c r="AN135" t="e">
        <f>'All regions'!I3368+"n/&gt;!'E]"</f>
        <v>#VALUE!</v>
      </c>
      <c r="AO135" t="e">
        <f>'All regions'!J3368+"n/&gt;!'E^"</f>
        <v>#VALUE!</v>
      </c>
      <c r="AP135" t="e">
        <f>'All regions'!A3369+"n/&gt;!'E_"</f>
        <v>#VALUE!</v>
      </c>
      <c r="AQ135" t="e">
        <f>'All regions'!B3369+"n/&gt;!'E`"</f>
        <v>#VALUE!</v>
      </c>
      <c r="AR135" t="e">
        <f>'All regions'!C3369+"n/&gt;!'Ea"</f>
        <v>#VALUE!</v>
      </c>
      <c r="AS135" t="e">
        <f>'All regions'!D3369+"n/&gt;!'Eb"</f>
        <v>#VALUE!</v>
      </c>
      <c r="AT135" t="e">
        <f>'All regions'!E3369+"n/&gt;!'Ec"</f>
        <v>#VALUE!</v>
      </c>
      <c r="AU135" t="e">
        <f>'All regions'!F3369+"n/&gt;!'Ed"</f>
        <v>#VALUE!</v>
      </c>
      <c r="AV135" t="e">
        <f>'All regions'!G3369+"n/&gt;!'Ee"</f>
        <v>#VALUE!</v>
      </c>
      <c r="AW135" t="e">
        <f>'All regions'!H3369+"n/&gt;!'Ef"</f>
        <v>#VALUE!</v>
      </c>
      <c r="AX135" t="e">
        <f>'All regions'!I3369+"n/&gt;!'Eg"</f>
        <v>#VALUE!</v>
      </c>
      <c r="AY135" t="e">
        <f>'All regions'!J3369+"n/&gt;!'Eh"</f>
        <v>#VALUE!</v>
      </c>
      <c r="AZ135" t="e">
        <f>'All regions'!A3370+"n/&gt;!'Ei"</f>
        <v>#VALUE!</v>
      </c>
      <c r="BA135" t="e">
        <f>'All regions'!B3370+"n/&gt;!'Ej"</f>
        <v>#VALUE!</v>
      </c>
      <c r="BB135" t="e">
        <f>'All regions'!C3370+"n/&gt;!'Ek"</f>
        <v>#VALUE!</v>
      </c>
      <c r="BC135" t="e">
        <f>'All regions'!D3370+"n/&gt;!'El"</f>
        <v>#VALUE!</v>
      </c>
      <c r="BD135" t="e">
        <f>'All regions'!E3370+"n/&gt;!'Em"</f>
        <v>#VALUE!</v>
      </c>
      <c r="BE135" t="e">
        <f>'All regions'!F3370+"n/&gt;!'En"</f>
        <v>#VALUE!</v>
      </c>
      <c r="BF135" t="e">
        <f>'All regions'!G3370+"n/&gt;!'Eo"</f>
        <v>#VALUE!</v>
      </c>
      <c r="BG135" t="e">
        <f>'All regions'!H3370+"n/&gt;!'Ep"</f>
        <v>#VALUE!</v>
      </c>
      <c r="BH135" t="e">
        <f>'All regions'!I3370+"n/&gt;!'Eq"</f>
        <v>#VALUE!</v>
      </c>
      <c r="BI135" t="e">
        <f>'All regions'!J3370+"n/&gt;!'Er"</f>
        <v>#VALUE!</v>
      </c>
      <c r="BJ135" t="e">
        <f>'All regions'!A3371+"n/&gt;!'Es"</f>
        <v>#VALUE!</v>
      </c>
      <c r="BK135" t="e">
        <f>'All regions'!B3371+"n/&gt;!'Et"</f>
        <v>#VALUE!</v>
      </c>
      <c r="BL135" t="e">
        <f>'All regions'!C3371+"n/&gt;!'Eu"</f>
        <v>#VALUE!</v>
      </c>
      <c r="BM135" t="e">
        <f>'All regions'!D3371+"n/&gt;!'Ev"</f>
        <v>#VALUE!</v>
      </c>
      <c r="BN135" t="e">
        <f>'All regions'!E3371+"n/&gt;!'Ew"</f>
        <v>#VALUE!</v>
      </c>
      <c r="BO135" t="e">
        <f>'All regions'!F3371+"n/&gt;!'Ex"</f>
        <v>#VALUE!</v>
      </c>
      <c r="BP135" t="e">
        <f>'All regions'!G3371+"n/&gt;!'Ey"</f>
        <v>#VALUE!</v>
      </c>
      <c r="BQ135" t="e">
        <f>'All regions'!H3371+"n/&gt;!'Ez"</f>
        <v>#VALUE!</v>
      </c>
      <c r="BR135" t="e">
        <f>'All regions'!I3371+"n/&gt;!'E{"</f>
        <v>#VALUE!</v>
      </c>
      <c r="BS135" t="e">
        <f>'All regions'!J3371+"n/&gt;!'E|"</f>
        <v>#VALUE!</v>
      </c>
      <c r="BT135" t="e">
        <f>'All regions'!A3372+"n/&gt;!'E}"</f>
        <v>#VALUE!</v>
      </c>
      <c r="BU135" t="e">
        <f>'All regions'!B3372+"n/&gt;!'E~"</f>
        <v>#VALUE!</v>
      </c>
      <c r="BV135" t="e">
        <f>'All regions'!C3372+"n/&gt;!'F#"</f>
        <v>#VALUE!</v>
      </c>
      <c r="BW135" t="e">
        <f>'All regions'!D3372+"n/&gt;!'F$"</f>
        <v>#VALUE!</v>
      </c>
      <c r="BX135" t="e">
        <f>'All regions'!E3372+"n/&gt;!'F%"</f>
        <v>#VALUE!</v>
      </c>
      <c r="BY135" t="e">
        <f>'All regions'!F3372+"n/&gt;!'F&amp;"</f>
        <v>#VALUE!</v>
      </c>
      <c r="BZ135" t="e">
        <f>'All regions'!G3372+"n/&gt;!'F'"</f>
        <v>#VALUE!</v>
      </c>
      <c r="CA135" t="e">
        <f>'All regions'!H3372+"n/&gt;!'F("</f>
        <v>#VALUE!</v>
      </c>
      <c r="CB135" t="e">
        <f>'All regions'!I3372+"n/&gt;!'F)"</f>
        <v>#VALUE!</v>
      </c>
      <c r="CC135" t="e">
        <f>'All regions'!J3372+"n/&gt;!'F."</f>
        <v>#VALUE!</v>
      </c>
      <c r="CD135" t="e">
        <f>'All regions'!A3373+"n/&gt;!'F/"</f>
        <v>#VALUE!</v>
      </c>
      <c r="CE135" t="e">
        <f>'All regions'!B3373+"n/&gt;!'F0"</f>
        <v>#VALUE!</v>
      </c>
      <c r="CF135" t="e">
        <f>'All regions'!C3373+"n/&gt;!'F1"</f>
        <v>#VALUE!</v>
      </c>
      <c r="CG135" t="e">
        <f>'All regions'!D3373+"n/&gt;!'F2"</f>
        <v>#VALUE!</v>
      </c>
      <c r="CH135" t="e">
        <f>'All regions'!E3373+"n/&gt;!'F3"</f>
        <v>#VALUE!</v>
      </c>
      <c r="CI135" t="e">
        <f>'All regions'!F3373+"n/&gt;!'F4"</f>
        <v>#VALUE!</v>
      </c>
      <c r="CJ135" t="e">
        <f>'All regions'!G3373+"n/&gt;!'F5"</f>
        <v>#VALUE!</v>
      </c>
      <c r="CK135" t="e">
        <f>'All regions'!H3373+"n/&gt;!'F6"</f>
        <v>#VALUE!</v>
      </c>
      <c r="CL135" t="e">
        <f>'All regions'!I3373+"n/&gt;!'F7"</f>
        <v>#VALUE!</v>
      </c>
      <c r="CM135" t="e">
        <f>'All regions'!J3373+"n/&gt;!'F8"</f>
        <v>#VALUE!</v>
      </c>
      <c r="CN135" t="e">
        <f>'All regions'!A3374+"n/&gt;!'F9"</f>
        <v>#VALUE!</v>
      </c>
      <c r="CO135" t="e">
        <f>'All regions'!B3374+"n/&gt;!'F:"</f>
        <v>#VALUE!</v>
      </c>
      <c r="CP135" t="e">
        <f>'All regions'!C3374+"n/&gt;!'F;"</f>
        <v>#VALUE!</v>
      </c>
      <c r="CQ135" t="e">
        <f>'All regions'!D3374+"n/&gt;!'F&lt;"</f>
        <v>#VALUE!</v>
      </c>
      <c r="CR135" t="e">
        <f>'All regions'!E3374+"n/&gt;!'F="</f>
        <v>#VALUE!</v>
      </c>
      <c r="CS135" t="e">
        <f>'All regions'!F3374+"n/&gt;!'F&gt;"</f>
        <v>#VALUE!</v>
      </c>
      <c r="CT135" t="e">
        <f>'All regions'!G3374+"n/&gt;!'F?"</f>
        <v>#VALUE!</v>
      </c>
      <c r="CU135" t="e">
        <f>'All regions'!H3374+"n/&gt;!'F@"</f>
        <v>#VALUE!</v>
      </c>
      <c r="CV135" t="e">
        <f>'All regions'!I3374+"n/&gt;!'FA"</f>
        <v>#VALUE!</v>
      </c>
      <c r="CW135" t="e">
        <f>'All regions'!J3374+"n/&gt;!'FB"</f>
        <v>#VALUE!</v>
      </c>
      <c r="CX135" t="e">
        <f>'All regions'!A3375+"n/&gt;!'FC"</f>
        <v>#VALUE!</v>
      </c>
      <c r="CY135" t="e">
        <f>'All regions'!B3375+"n/&gt;!'FD"</f>
        <v>#VALUE!</v>
      </c>
      <c r="CZ135" t="e">
        <f>'All regions'!C3375+"n/&gt;!'FE"</f>
        <v>#VALUE!</v>
      </c>
      <c r="DA135" t="e">
        <f>'All regions'!D3375+"n/&gt;!'FF"</f>
        <v>#VALUE!</v>
      </c>
      <c r="DB135" t="e">
        <f>'All regions'!E3375+"n/&gt;!'FG"</f>
        <v>#VALUE!</v>
      </c>
      <c r="DC135" t="e">
        <f>'All regions'!F3375+"n/&gt;!'FH"</f>
        <v>#VALUE!</v>
      </c>
      <c r="DD135" t="e">
        <f>'All regions'!G3375+"n/&gt;!'FI"</f>
        <v>#VALUE!</v>
      </c>
      <c r="DE135" t="e">
        <f>'All regions'!H3375+"n/&gt;!'FJ"</f>
        <v>#VALUE!</v>
      </c>
      <c r="DF135" t="e">
        <f>'All regions'!I3375+"n/&gt;!'FK"</f>
        <v>#VALUE!</v>
      </c>
      <c r="DG135" t="e">
        <f>'All regions'!J3375+"n/&gt;!'FL"</f>
        <v>#VALUE!</v>
      </c>
      <c r="DH135" t="e">
        <f>'All regions'!A3376+"n/&gt;!'FM"</f>
        <v>#VALUE!</v>
      </c>
      <c r="DI135" t="e">
        <f>'All regions'!B3376+"n/&gt;!'FN"</f>
        <v>#VALUE!</v>
      </c>
      <c r="DJ135" t="e">
        <f>'All regions'!C3376+"n/&gt;!'FO"</f>
        <v>#VALUE!</v>
      </c>
      <c r="DK135" t="e">
        <f>'All regions'!D3376+"n/&gt;!'FP"</f>
        <v>#VALUE!</v>
      </c>
      <c r="DL135" t="e">
        <f>'All regions'!E3376+"n/&gt;!'FQ"</f>
        <v>#VALUE!</v>
      </c>
      <c r="DM135" t="e">
        <f>'All regions'!F3376+"n/&gt;!'FR"</f>
        <v>#VALUE!</v>
      </c>
      <c r="DN135" t="e">
        <f>'All regions'!G3376+"n/&gt;!'FS"</f>
        <v>#VALUE!</v>
      </c>
      <c r="DO135" t="e">
        <f>'All regions'!H3376+"n/&gt;!'FT"</f>
        <v>#VALUE!</v>
      </c>
      <c r="DP135" t="e">
        <f>'All regions'!I3376+"n/&gt;!'FU"</f>
        <v>#VALUE!</v>
      </c>
      <c r="DQ135" t="e">
        <f>'All regions'!J3376+"n/&gt;!'FV"</f>
        <v>#VALUE!</v>
      </c>
      <c r="DR135" t="e">
        <f>'All regions'!A3377+"n/&gt;!'FW"</f>
        <v>#VALUE!</v>
      </c>
      <c r="DS135" t="e">
        <f>'All regions'!B3377+"n/&gt;!'FX"</f>
        <v>#VALUE!</v>
      </c>
      <c r="DT135" t="e">
        <f>'All regions'!C3377+"n/&gt;!'FY"</f>
        <v>#VALUE!</v>
      </c>
      <c r="DU135" t="e">
        <f>'All regions'!D3377+"n/&gt;!'FZ"</f>
        <v>#VALUE!</v>
      </c>
      <c r="DV135" t="e">
        <f>'All regions'!E3377+"n/&gt;!'F["</f>
        <v>#VALUE!</v>
      </c>
      <c r="DW135" t="e">
        <f>'All regions'!F3377+"n/&gt;!'F\"</f>
        <v>#VALUE!</v>
      </c>
      <c r="DX135" t="e">
        <f>'All regions'!G3377+"n/&gt;!'F]"</f>
        <v>#VALUE!</v>
      </c>
      <c r="DY135" t="e">
        <f>'All regions'!H3377+"n/&gt;!'F^"</f>
        <v>#VALUE!</v>
      </c>
      <c r="DZ135" t="e">
        <f>'All regions'!I3377+"n/&gt;!'F_"</f>
        <v>#VALUE!</v>
      </c>
      <c r="EA135" t="e">
        <f>'All regions'!J3377+"n/&gt;!'F`"</f>
        <v>#VALUE!</v>
      </c>
      <c r="EB135" t="e">
        <f>'All regions'!A3378+"n/&gt;!'Fa"</f>
        <v>#VALUE!</v>
      </c>
      <c r="EC135" t="e">
        <f>'All regions'!B3378+"n/&gt;!'Fb"</f>
        <v>#VALUE!</v>
      </c>
      <c r="ED135" t="e">
        <f>'All regions'!C3378+"n/&gt;!'Fc"</f>
        <v>#VALUE!</v>
      </c>
      <c r="EE135" t="e">
        <f>'All regions'!D3378+"n/&gt;!'Fd"</f>
        <v>#VALUE!</v>
      </c>
      <c r="EF135" t="e">
        <f>'All regions'!E3378+"n/&gt;!'Fe"</f>
        <v>#VALUE!</v>
      </c>
      <c r="EG135" t="e">
        <f>'All regions'!F3378+"n/&gt;!'Ff"</f>
        <v>#VALUE!</v>
      </c>
      <c r="EH135" t="e">
        <f>'All regions'!G3378+"n/&gt;!'Fg"</f>
        <v>#VALUE!</v>
      </c>
      <c r="EI135" t="e">
        <f>'All regions'!H3378+"n/&gt;!'Fh"</f>
        <v>#VALUE!</v>
      </c>
      <c r="EJ135" t="e">
        <f>'All regions'!I3378+"n/&gt;!'Fi"</f>
        <v>#VALUE!</v>
      </c>
      <c r="EK135" t="e">
        <f>'All regions'!J3378+"n/&gt;!'Fj"</f>
        <v>#VALUE!</v>
      </c>
      <c r="EL135" t="e">
        <f>'All regions'!A3379+"n/&gt;!'Fk"</f>
        <v>#VALUE!</v>
      </c>
      <c r="EM135" t="e">
        <f>'All regions'!B3379+"n/&gt;!'Fl"</f>
        <v>#VALUE!</v>
      </c>
      <c r="EN135" t="e">
        <f>'All regions'!C3379+"n/&gt;!'Fm"</f>
        <v>#VALUE!</v>
      </c>
      <c r="EO135" t="e">
        <f>'All regions'!D3379+"n/&gt;!'Fn"</f>
        <v>#VALUE!</v>
      </c>
      <c r="EP135" t="e">
        <f>'All regions'!E3379+"n/&gt;!'Fo"</f>
        <v>#VALUE!</v>
      </c>
      <c r="EQ135" t="e">
        <f>'All regions'!F3379+"n/&gt;!'Fp"</f>
        <v>#VALUE!</v>
      </c>
      <c r="ER135" t="e">
        <f>'All regions'!G3379+"n/&gt;!'Fq"</f>
        <v>#VALUE!</v>
      </c>
      <c r="ES135" t="e">
        <f>'All regions'!H3379+"n/&gt;!'Fr"</f>
        <v>#VALUE!</v>
      </c>
      <c r="ET135" t="e">
        <f>'All regions'!I3379+"n/&gt;!'Fs"</f>
        <v>#VALUE!</v>
      </c>
      <c r="EU135" t="e">
        <f>'All regions'!J3379+"n/&gt;!'Ft"</f>
        <v>#VALUE!</v>
      </c>
      <c r="EV135" t="e">
        <f>'All regions'!A3380+"n/&gt;!'Fu"</f>
        <v>#VALUE!</v>
      </c>
      <c r="EW135" t="e">
        <f>'All regions'!B3380+"n/&gt;!'Fv"</f>
        <v>#VALUE!</v>
      </c>
      <c r="EX135" t="e">
        <f>'All regions'!C3380+"n/&gt;!'Fw"</f>
        <v>#VALUE!</v>
      </c>
      <c r="EY135" t="e">
        <f>'All regions'!D3380+"n/&gt;!'Fx"</f>
        <v>#VALUE!</v>
      </c>
      <c r="EZ135" t="e">
        <f>'All regions'!E3380+"n/&gt;!'Fy"</f>
        <v>#VALUE!</v>
      </c>
      <c r="FA135" t="e">
        <f>'All regions'!F3380+"n/&gt;!'Fz"</f>
        <v>#VALUE!</v>
      </c>
      <c r="FB135" t="e">
        <f>'All regions'!G3380+"n/&gt;!'F{"</f>
        <v>#VALUE!</v>
      </c>
      <c r="FC135" t="e">
        <f>'All regions'!H3380+"n/&gt;!'F|"</f>
        <v>#VALUE!</v>
      </c>
      <c r="FD135" t="e">
        <f>'All regions'!I3380+"n/&gt;!'F}"</f>
        <v>#VALUE!</v>
      </c>
      <c r="FE135" t="e">
        <f>'All regions'!J3380+"n/&gt;!'F~"</f>
        <v>#VALUE!</v>
      </c>
      <c r="FF135" t="e">
        <f>'All regions'!A3381+"n/&gt;!'G#"</f>
        <v>#VALUE!</v>
      </c>
      <c r="FG135" t="e">
        <f>'All regions'!B3381+"n/&gt;!'G$"</f>
        <v>#VALUE!</v>
      </c>
      <c r="FH135" t="e">
        <f>'All regions'!C3381+"n/&gt;!'G%"</f>
        <v>#VALUE!</v>
      </c>
      <c r="FI135" t="e">
        <f>'All regions'!D3381+"n/&gt;!'G&amp;"</f>
        <v>#VALUE!</v>
      </c>
      <c r="FJ135" t="e">
        <f>'All regions'!E3381+"n/&gt;!'G'"</f>
        <v>#VALUE!</v>
      </c>
      <c r="FK135" t="e">
        <f>'All regions'!F3381+"n/&gt;!'G("</f>
        <v>#VALUE!</v>
      </c>
      <c r="FL135" t="e">
        <f>'All regions'!G3381+"n/&gt;!'G)"</f>
        <v>#VALUE!</v>
      </c>
      <c r="FM135" t="e">
        <f>'All regions'!H3381+"n/&gt;!'G."</f>
        <v>#VALUE!</v>
      </c>
      <c r="FN135" t="e">
        <f>'All regions'!I3381+"n/&gt;!'G/"</f>
        <v>#VALUE!</v>
      </c>
      <c r="FO135" t="e">
        <f>'All regions'!J3381+"n/&gt;!'G0"</f>
        <v>#VALUE!</v>
      </c>
      <c r="FP135" t="e">
        <f>'All regions'!A3382+"n/&gt;!'G1"</f>
        <v>#VALUE!</v>
      </c>
      <c r="FQ135" t="e">
        <f>'All regions'!B3382+"n/&gt;!'G2"</f>
        <v>#VALUE!</v>
      </c>
      <c r="FR135" t="e">
        <f>'All regions'!C3382+"n/&gt;!'G3"</f>
        <v>#VALUE!</v>
      </c>
      <c r="FS135" t="e">
        <f>'All regions'!D3382+"n/&gt;!'G4"</f>
        <v>#VALUE!</v>
      </c>
      <c r="FT135" t="e">
        <f>'All regions'!E3382+"n/&gt;!'G5"</f>
        <v>#VALUE!</v>
      </c>
      <c r="FU135" t="e">
        <f>'All regions'!F3382+"n/&gt;!'G6"</f>
        <v>#VALUE!</v>
      </c>
      <c r="FV135" t="e">
        <f>'All regions'!G3382+"n/&gt;!'G7"</f>
        <v>#VALUE!</v>
      </c>
      <c r="FW135" t="e">
        <f>'All regions'!H3382+"n/&gt;!'G8"</f>
        <v>#VALUE!</v>
      </c>
      <c r="FX135" t="e">
        <f>'All regions'!I3382+"n/&gt;!'G9"</f>
        <v>#VALUE!</v>
      </c>
      <c r="FY135" t="e">
        <f>'All regions'!J3382+"n/&gt;!'G:"</f>
        <v>#VALUE!</v>
      </c>
      <c r="FZ135" t="e">
        <f>'All regions'!A3383+"n/&gt;!'G;"</f>
        <v>#VALUE!</v>
      </c>
      <c r="GA135" t="e">
        <f>'All regions'!B3383+"n/&gt;!'G&lt;"</f>
        <v>#VALUE!</v>
      </c>
      <c r="GB135" t="e">
        <f>'All regions'!C3383+"n/&gt;!'G="</f>
        <v>#VALUE!</v>
      </c>
      <c r="GC135" t="e">
        <f>'All regions'!D3383+"n/&gt;!'G&gt;"</f>
        <v>#VALUE!</v>
      </c>
      <c r="GD135" t="e">
        <f>'All regions'!E3383+"n/&gt;!'G?"</f>
        <v>#VALUE!</v>
      </c>
      <c r="GE135" t="e">
        <f>'All regions'!F3383+"n/&gt;!'G@"</f>
        <v>#VALUE!</v>
      </c>
      <c r="GF135" t="e">
        <f>'All regions'!G3383+"n/&gt;!'GA"</f>
        <v>#VALUE!</v>
      </c>
      <c r="GG135" t="e">
        <f>'All regions'!H3383+"n/&gt;!'GB"</f>
        <v>#VALUE!</v>
      </c>
      <c r="GH135" t="e">
        <f>'All regions'!I3383+"n/&gt;!'GC"</f>
        <v>#VALUE!</v>
      </c>
      <c r="GI135" t="e">
        <f>'All regions'!J3383+"n/&gt;!'GD"</f>
        <v>#VALUE!</v>
      </c>
      <c r="GJ135" t="e">
        <f>'All regions'!A3384+"n/&gt;!'GE"</f>
        <v>#VALUE!</v>
      </c>
      <c r="GK135" t="e">
        <f>'All regions'!B3384+"n/&gt;!'GF"</f>
        <v>#VALUE!</v>
      </c>
      <c r="GL135" t="e">
        <f>'All regions'!C3384+"n/&gt;!'GG"</f>
        <v>#VALUE!</v>
      </c>
      <c r="GM135" t="e">
        <f>'All regions'!D3384+"n/&gt;!'GH"</f>
        <v>#VALUE!</v>
      </c>
      <c r="GN135" t="e">
        <f>'All regions'!E3384+"n/&gt;!'GI"</f>
        <v>#VALUE!</v>
      </c>
      <c r="GO135" t="e">
        <f>'All regions'!F3384+"n/&gt;!'GJ"</f>
        <v>#VALUE!</v>
      </c>
      <c r="GP135" t="e">
        <f>'All regions'!G3384+"n/&gt;!'GK"</f>
        <v>#VALUE!</v>
      </c>
      <c r="GQ135" t="e">
        <f>'All regions'!H3384+"n/&gt;!'GL"</f>
        <v>#VALUE!</v>
      </c>
      <c r="GR135" t="e">
        <f>'All regions'!I3384+"n/&gt;!'GM"</f>
        <v>#VALUE!</v>
      </c>
      <c r="GS135" t="e">
        <f>'All regions'!J3384+"n/&gt;!'GN"</f>
        <v>#VALUE!</v>
      </c>
      <c r="GT135" t="e">
        <f>'All regions'!A3385+"n/&gt;!'GO"</f>
        <v>#VALUE!</v>
      </c>
      <c r="GU135" t="e">
        <f>'All regions'!B3385+"n/&gt;!'GP"</f>
        <v>#VALUE!</v>
      </c>
      <c r="GV135" t="e">
        <f>'All regions'!C3385+"n/&gt;!'GQ"</f>
        <v>#VALUE!</v>
      </c>
      <c r="GW135" t="e">
        <f>'All regions'!D3385+"n/&gt;!'GR"</f>
        <v>#VALUE!</v>
      </c>
      <c r="GX135" t="e">
        <f>'All regions'!E3385+"n/&gt;!'GS"</f>
        <v>#VALUE!</v>
      </c>
      <c r="GY135" t="e">
        <f>'All regions'!F3385+"n/&gt;!'GT"</f>
        <v>#VALUE!</v>
      </c>
      <c r="GZ135" t="e">
        <f>'All regions'!G3385+"n/&gt;!'GU"</f>
        <v>#VALUE!</v>
      </c>
      <c r="HA135" t="e">
        <f>'All regions'!H3385+"n/&gt;!'GV"</f>
        <v>#VALUE!</v>
      </c>
      <c r="HB135" t="e">
        <f>'All regions'!I3385+"n/&gt;!'GW"</f>
        <v>#VALUE!</v>
      </c>
      <c r="HC135" t="e">
        <f>'All regions'!J3385+"n/&gt;!'GX"</f>
        <v>#VALUE!</v>
      </c>
      <c r="HD135" t="e">
        <f>'All regions'!A3386+"n/&gt;!'GY"</f>
        <v>#VALUE!</v>
      </c>
      <c r="HE135" t="e">
        <f>'All regions'!B3386+"n/&gt;!'GZ"</f>
        <v>#VALUE!</v>
      </c>
      <c r="HF135" t="e">
        <f>'All regions'!C3386+"n/&gt;!'G["</f>
        <v>#VALUE!</v>
      </c>
      <c r="HG135" t="e">
        <f>'All regions'!D3386+"n/&gt;!'G\"</f>
        <v>#VALUE!</v>
      </c>
      <c r="HH135" t="e">
        <f>'All regions'!E3386+"n/&gt;!'G]"</f>
        <v>#VALUE!</v>
      </c>
      <c r="HI135" t="e">
        <f>'All regions'!F3386+"n/&gt;!'G^"</f>
        <v>#VALUE!</v>
      </c>
      <c r="HJ135" t="e">
        <f>'All regions'!G3386+"n/&gt;!'G_"</f>
        <v>#VALUE!</v>
      </c>
      <c r="HK135" t="e">
        <f>'All regions'!H3386+"n/&gt;!'G`"</f>
        <v>#VALUE!</v>
      </c>
      <c r="HL135" t="e">
        <f>'All regions'!I3386+"n/&gt;!'Ga"</f>
        <v>#VALUE!</v>
      </c>
      <c r="HM135" t="e">
        <f>'All regions'!J3386+"n/&gt;!'Gb"</f>
        <v>#VALUE!</v>
      </c>
      <c r="HN135" t="e">
        <f>'All regions'!A3387+"n/&gt;!'Gc"</f>
        <v>#VALUE!</v>
      </c>
      <c r="HO135" t="e">
        <f>'All regions'!B3387+"n/&gt;!'Gd"</f>
        <v>#VALUE!</v>
      </c>
      <c r="HP135" t="e">
        <f>'All regions'!C3387+"n/&gt;!'Ge"</f>
        <v>#VALUE!</v>
      </c>
      <c r="HQ135" t="e">
        <f>'All regions'!D3387+"n/&gt;!'Gf"</f>
        <v>#VALUE!</v>
      </c>
      <c r="HR135" t="e">
        <f>'All regions'!E3387+"n/&gt;!'Gg"</f>
        <v>#VALUE!</v>
      </c>
      <c r="HS135" t="e">
        <f>'All regions'!F3387+"n/&gt;!'Gh"</f>
        <v>#VALUE!</v>
      </c>
      <c r="HT135" t="e">
        <f>'All regions'!G3387+"n/&gt;!'Gi"</f>
        <v>#VALUE!</v>
      </c>
      <c r="HU135" t="e">
        <f>'All regions'!H3387+"n/&gt;!'Gj"</f>
        <v>#VALUE!</v>
      </c>
      <c r="HV135" t="e">
        <f>'All regions'!I3387+"n/&gt;!'Gk"</f>
        <v>#VALUE!</v>
      </c>
      <c r="HW135" t="e">
        <f>'All regions'!J3387+"n/&gt;!'Gl"</f>
        <v>#VALUE!</v>
      </c>
      <c r="HX135" t="e">
        <f>'All regions'!A3388+"n/&gt;!'Gm"</f>
        <v>#VALUE!</v>
      </c>
      <c r="HY135" t="e">
        <f>'All regions'!B3388+"n/&gt;!'Gn"</f>
        <v>#VALUE!</v>
      </c>
      <c r="HZ135" t="e">
        <f>'All regions'!C3388+"n/&gt;!'Go"</f>
        <v>#VALUE!</v>
      </c>
      <c r="IA135" t="e">
        <f>'All regions'!D3388+"n/&gt;!'Gp"</f>
        <v>#VALUE!</v>
      </c>
      <c r="IB135" t="e">
        <f>'All regions'!E3388+"n/&gt;!'Gq"</f>
        <v>#VALUE!</v>
      </c>
      <c r="IC135" t="e">
        <f>'All regions'!F3388+"n/&gt;!'Gr"</f>
        <v>#VALUE!</v>
      </c>
      <c r="ID135" t="e">
        <f>'All regions'!G3388+"n/&gt;!'Gs"</f>
        <v>#VALUE!</v>
      </c>
      <c r="IE135" t="e">
        <f>'All regions'!H3388+"n/&gt;!'Gt"</f>
        <v>#VALUE!</v>
      </c>
      <c r="IF135" t="e">
        <f>'All regions'!I3388+"n/&gt;!'Gu"</f>
        <v>#VALUE!</v>
      </c>
      <c r="IG135" t="e">
        <f>'All regions'!J3388+"n/&gt;!'Gv"</f>
        <v>#VALUE!</v>
      </c>
      <c r="IH135" t="e">
        <f>'All regions'!A3389+"n/&gt;!'Gw"</f>
        <v>#VALUE!</v>
      </c>
      <c r="II135" t="e">
        <f>'All regions'!B3389+"n/&gt;!'Gx"</f>
        <v>#VALUE!</v>
      </c>
      <c r="IJ135" t="e">
        <f>'All regions'!C3389+"n/&gt;!'Gy"</f>
        <v>#VALUE!</v>
      </c>
      <c r="IK135" t="e">
        <f>'All regions'!D3389+"n/&gt;!'Gz"</f>
        <v>#VALUE!</v>
      </c>
      <c r="IL135" t="e">
        <f>'All regions'!E3389+"n/&gt;!'G{"</f>
        <v>#VALUE!</v>
      </c>
      <c r="IM135" t="e">
        <f>'All regions'!F3389+"n/&gt;!'G|"</f>
        <v>#VALUE!</v>
      </c>
      <c r="IN135" t="e">
        <f>'All regions'!G3389+"n/&gt;!'G}"</f>
        <v>#VALUE!</v>
      </c>
      <c r="IO135" t="e">
        <f>'All regions'!H3389+"n/&gt;!'G~"</f>
        <v>#VALUE!</v>
      </c>
      <c r="IP135" t="e">
        <f>'All regions'!I3389+"n/&gt;!'H#"</f>
        <v>#VALUE!</v>
      </c>
      <c r="IQ135" t="e">
        <f>'All regions'!J3389+"n/&gt;!'H$"</f>
        <v>#VALUE!</v>
      </c>
      <c r="IR135" t="e">
        <f>'All regions'!A3390+"n/&gt;!'H%"</f>
        <v>#VALUE!</v>
      </c>
      <c r="IS135" t="e">
        <f>'All regions'!B3390+"n/&gt;!'H&amp;"</f>
        <v>#VALUE!</v>
      </c>
      <c r="IT135" t="e">
        <f>'All regions'!C3390+"n/&gt;!'H'"</f>
        <v>#VALUE!</v>
      </c>
      <c r="IU135" t="e">
        <f>'All regions'!D3390+"n/&gt;!'H("</f>
        <v>#VALUE!</v>
      </c>
      <c r="IV135" t="e">
        <f>'All regions'!E3390+"n/&gt;!'H)"</f>
        <v>#VALUE!</v>
      </c>
    </row>
    <row r="136" spans="6:256" x14ac:dyDescent="0.35">
      <c r="F136" t="e">
        <f>'All regions'!F3390+"n/&gt;!'H."</f>
        <v>#VALUE!</v>
      </c>
      <c r="G136" t="e">
        <f>'All regions'!G3390+"n/&gt;!'H/"</f>
        <v>#VALUE!</v>
      </c>
      <c r="H136" t="e">
        <f>'All regions'!H3390+"n/&gt;!'H0"</f>
        <v>#VALUE!</v>
      </c>
      <c r="I136" t="e">
        <f>'All regions'!I3390+"n/&gt;!'H1"</f>
        <v>#VALUE!</v>
      </c>
      <c r="J136" t="e">
        <f>'All regions'!J3390+"n/&gt;!'H2"</f>
        <v>#VALUE!</v>
      </c>
      <c r="K136" t="e">
        <f>'All regions'!A3391+"n/&gt;!'H3"</f>
        <v>#VALUE!</v>
      </c>
      <c r="L136" t="e">
        <f>'All regions'!B3391+"n/&gt;!'H4"</f>
        <v>#VALUE!</v>
      </c>
      <c r="M136" t="e">
        <f>'All regions'!C3391+"n/&gt;!'H5"</f>
        <v>#VALUE!</v>
      </c>
      <c r="N136" t="e">
        <f>'All regions'!D3391+"n/&gt;!'H6"</f>
        <v>#VALUE!</v>
      </c>
      <c r="O136" t="e">
        <f>'All regions'!E3391+"n/&gt;!'H7"</f>
        <v>#VALUE!</v>
      </c>
      <c r="P136" t="e">
        <f>'All regions'!F3391+"n/&gt;!'H8"</f>
        <v>#VALUE!</v>
      </c>
      <c r="Q136" t="e">
        <f>'All regions'!G3391+"n/&gt;!'H9"</f>
        <v>#VALUE!</v>
      </c>
      <c r="R136" t="e">
        <f>'All regions'!H3391+"n/&gt;!'H:"</f>
        <v>#VALUE!</v>
      </c>
      <c r="S136" t="e">
        <f>'All regions'!I3391+"n/&gt;!'H;"</f>
        <v>#VALUE!</v>
      </c>
      <c r="T136" t="e">
        <f>'All regions'!J3391+"n/&gt;!'H&lt;"</f>
        <v>#VALUE!</v>
      </c>
      <c r="U136" t="e">
        <f>'All regions'!A3392+"n/&gt;!'H="</f>
        <v>#VALUE!</v>
      </c>
      <c r="V136" t="e">
        <f>'All regions'!B3392+"n/&gt;!'H&gt;"</f>
        <v>#VALUE!</v>
      </c>
      <c r="W136" t="e">
        <f>'All regions'!C3392+"n/&gt;!'H?"</f>
        <v>#VALUE!</v>
      </c>
      <c r="X136" t="e">
        <f>'All regions'!D3392+"n/&gt;!'H@"</f>
        <v>#VALUE!</v>
      </c>
      <c r="Y136" t="e">
        <f>'All regions'!E3392+"n/&gt;!'HA"</f>
        <v>#VALUE!</v>
      </c>
      <c r="Z136" t="e">
        <f>'All regions'!F3392+"n/&gt;!'HB"</f>
        <v>#VALUE!</v>
      </c>
      <c r="AA136" t="e">
        <f>'All regions'!G3392+"n/&gt;!'HC"</f>
        <v>#VALUE!</v>
      </c>
      <c r="AB136" t="e">
        <f>'All regions'!H3392+"n/&gt;!'HD"</f>
        <v>#VALUE!</v>
      </c>
      <c r="AC136" t="e">
        <f>'All regions'!I3392+"n/&gt;!'HE"</f>
        <v>#VALUE!</v>
      </c>
      <c r="AD136" t="e">
        <f>'All regions'!J3392+"n/&gt;!'HF"</f>
        <v>#VALUE!</v>
      </c>
      <c r="AE136" t="e">
        <f>'All regions'!A3393+"n/&gt;!'HG"</f>
        <v>#VALUE!</v>
      </c>
      <c r="AF136" t="e">
        <f>'All regions'!B3393+"n/&gt;!'HH"</f>
        <v>#VALUE!</v>
      </c>
      <c r="AG136" t="e">
        <f>'All regions'!C3393+"n/&gt;!'HI"</f>
        <v>#VALUE!</v>
      </c>
      <c r="AH136" t="e">
        <f>'All regions'!D3393+"n/&gt;!'HJ"</f>
        <v>#VALUE!</v>
      </c>
      <c r="AI136" t="e">
        <f>'All regions'!E3393+"n/&gt;!'HK"</f>
        <v>#VALUE!</v>
      </c>
      <c r="AJ136" t="e">
        <f>'All regions'!F3393+"n/&gt;!'HL"</f>
        <v>#VALUE!</v>
      </c>
      <c r="AK136" t="e">
        <f>'All regions'!G3393+"n/&gt;!'HM"</f>
        <v>#VALUE!</v>
      </c>
      <c r="AL136" t="e">
        <f>'All regions'!H3393+"n/&gt;!'HN"</f>
        <v>#VALUE!</v>
      </c>
      <c r="AM136" t="e">
        <f>'All regions'!I3393+"n/&gt;!'HO"</f>
        <v>#VALUE!</v>
      </c>
      <c r="AN136" t="e">
        <f>'All regions'!J3393+"n/&gt;!'HP"</f>
        <v>#VALUE!</v>
      </c>
      <c r="AO136" t="e">
        <f>'All regions'!A3394+"n/&gt;!'HQ"</f>
        <v>#VALUE!</v>
      </c>
      <c r="AP136" t="e">
        <f>'All regions'!B3394+"n/&gt;!'HR"</f>
        <v>#VALUE!</v>
      </c>
      <c r="AQ136" t="e">
        <f>'All regions'!C3394+"n/&gt;!'HS"</f>
        <v>#VALUE!</v>
      </c>
      <c r="AR136" t="e">
        <f>'All regions'!D3394+"n/&gt;!'HT"</f>
        <v>#VALUE!</v>
      </c>
      <c r="AS136" t="e">
        <f>'All regions'!E3394+"n/&gt;!'HU"</f>
        <v>#VALUE!</v>
      </c>
      <c r="AT136" t="e">
        <f>'All regions'!F3394+"n/&gt;!'HV"</f>
        <v>#VALUE!</v>
      </c>
      <c r="AU136" t="e">
        <f>'All regions'!G3394+"n/&gt;!'HW"</f>
        <v>#VALUE!</v>
      </c>
      <c r="AV136" t="e">
        <f>'All regions'!H3394+"n/&gt;!'HX"</f>
        <v>#VALUE!</v>
      </c>
      <c r="AW136" t="e">
        <f>'All regions'!I3394+"n/&gt;!'HY"</f>
        <v>#VALUE!</v>
      </c>
      <c r="AX136" t="e">
        <f>'All regions'!J3394+"n/&gt;!'HZ"</f>
        <v>#VALUE!</v>
      </c>
      <c r="AY136" t="e">
        <f>'All regions'!A3395+"n/&gt;!'H["</f>
        <v>#VALUE!</v>
      </c>
      <c r="AZ136" t="e">
        <f>'All regions'!B3395+"n/&gt;!'H\"</f>
        <v>#VALUE!</v>
      </c>
      <c r="BA136" t="e">
        <f>'All regions'!C3395+"n/&gt;!'H]"</f>
        <v>#VALUE!</v>
      </c>
      <c r="BB136" t="e">
        <f>'All regions'!D3395+"n/&gt;!'H^"</f>
        <v>#VALUE!</v>
      </c>
      <c r="BC136" t="e">
        <f>'All regions'!E3395+"n/&gt;!'H_"</f>
        <v>#VALUE!</v>
      </c>
      <c r="BD136" t="e">
        <f>'All regions'!F3395+"n/&gt;!'H`"</f>
        <v>#VALUE!</v>
      </c>
      <c r="BE136" t="e">
        <f>'All regions'!G3395+"n/&gt;!'Ha"</f>
        <v>#VALUE!</v>
      </c>
      <c r="BF136" t="e">
        <f>'All regions'!H3395+"n/&gt;!'Hb"</f>
        <v>#VALUE!</v>
      </c>
      <c r="BG136" t="e">
        <f>'All regions'!I3395+"n/&gt;!'Hc"</f>
        <v>#VALUE!</v>
      </c>
      <c r="BH136" t="e">
        <f>'All regions'!J3395+"n/&gt;!'Hd"</f>
        <v>#VALUE!</v>
      </c>
      <c r="BI136" t="e">
        <f>'All regions'!A3396+"n/&gt;!'He"</f>
        <v>#VALUE!</v>
      </c>
      <c r="BJ136" t="e">
        <f>'All regions'!B3396+"n/&gt;!'Hf"</f>
        <v>#VALUE!</v>
      </c>
      <c r="BK136" t="e">
        <f>'All regions'!C3396+"n/&gt;!'Hg"</f>
        <v>#VALUE!</v>
      </c>
      <c r="BL136" t="e">
        <f>'All regions'!D3396+"n/&gt;!'Hh"</f>
        <v>#VALUE!</v>
      </c>
      <c r="BM136" t="e">
        <f>'All regions'!E3396+"n/&gt;!'Hi"</f>
        <v>#VALUE!</v>
      </c>
      <c r="BN136" t="e">
        <f>'All regions'!F3396+"n/&gt;!'Hj"</f>
        <v>#VALUE!</v>
      </c>
      <c r="BO136" t="e">
        <f>'All regions'!G3396+"n/&gt;!'Hk"</f>
        <v>#VALUE!</v>
      </c>
      <c r="BP136" t="e">
        <f>'All regions'!H3396+"n/&gt;!'Hl"</f>
        <v>#VALUE!</v>
      </c>
      <c r="BQ136" t="e">
        <f>'All regions'!I3396+"n/&gt;!'Hm"</f>
        <v>#VALUE!</v>
      </c>
      <c r="BR136" t="e">
        <f>'All regions'!J3396+"n/&gt;!'Hn"</f>
        <v>#VALUE!</v>
      </c>
      <c r="BS136" t="e">
        <f>'All regions'!A3397+"n/&gt;!'Ho"</f>
        <v>#VALUE!</v>
      </c>
      <c r="BT136" t="e">
        <f>'All regions'!B3397+"n/&gt;!'Hp"</f>
        <v>#VALUE!</v>
      </c>
      <c r="BU136" t="e">
        <f>'All regions'!C3397+"n/&gt;!'Hq"</f>
        <v>#VALUE!</v>
      </c>
      <c r="BV136" t="e">
        <f>'All regions'!D3397+"n/&gt;!'Hr"</f>
        <v>#VALUE!</v>
      </c>
      <c r="BW136" t="e">
        <f>'All regions'!E3397+"n/&gt;!'Hs"</f>
        <v>#VALUE!</v>
      </c>
      <c r="BX136" t="e">
        <f>'All regions'!F3397+"n/&gt;!'Ht"</f>
        <v>#VALUE!</v>
      </c>
      <c r="BY136" t="e">
        <f>'All regions'!G3397+"n/&gt;!'Hu"</f>
        <v>#VALUE!</v>
      </c>
      <c r="BZ136" t="e">
        <f>'All regions'!H3397+"n/&gt;!'Hv"</f>
        <v>#VALUE!</v>
      </c>
      <c r="CA136" t="e">
        <f>'All regions'!I3397+"n/&gt;!'Hw"</f>
        <v>#VALUE!</v>
      </c>
      <c r="CB136" t="e">
        <f>'All regions'!J3397+"n/&gt;!'Hx"</f>
        <v>#VALUE!</v>
      </c>
      <c r="CC136" t="e">
        <f>'All regions'!A3398+"n/&gt;!'Hy"</f>
        <v>#VALUE!</v>
      </c>
      <c r="CD136" t="e">
        <f>'All regions'!B3398+"n/&gt;!'Hz"</f>
        <v>#VALUE!</v>
      </c>
      <c r="CE136" t="e">
        <f>'All regions'!C3398+"n/&gt;!'H{"</f>
        <v>#VALUE!</v>
      </c>
      <c r="CF136" t="e">
        <f>'All regions'!D3398+"n/&gt;!'H|"</f>
        <v>#VALUE!</v>
      </c>
      <c r="CG136" t="e">
        <f>'All regions'!E3398+"n/&gt;!'H}"</f>
        <v>#VALUE!</v>
      </c>
      <c r="CH136" t="e">
        <f>'All regions'!F3398+"n/&gt;!'H~"</f>
        <v>#VALUE!</v>
      </c>
      <c r="CI136" t="e">
        <f>'All regions'!G3398+"n/&gt;!'I#"</f>
        <v>#VALUE!</v>
      </c>
      <c r="CJ136" t="e">
        <f>'All regions'!H3398+"n/&gt;!'I$"</f>
        <v>#VALUE!</v>
      </c>
      <c r="CK136" t="e">
        <f>'All regions'!I3398+"n/&gt;!'I%"</f>
        <v>#VALUE!</v>
      </c>
      <c r="CL136" t="e">
        <f>'All regions'!J3398+"n/&gt;!'I&amp;"</f>
        <v>#VALUE!</v>
      </c>
      <c r="CM136" t="e">
        <f>'All regions'!A3399+"n/&gt;!'I'"</f>
        <v>#VALUE!</v>
      </c>
      <c r="CN136" t="e">
        <f>'All regions'!B3399+"n/&gt;!'I("</f>
        <v>#VALUE!</v>
      </c>
      <c r="CO136" t="e">
        <f>'All regions'!C3399+"n/&gt;!'I)"</f>
        <v>#VALUE!</v>
      </c>
      <c r="CP136" t="e">
        <f>'All regions'!D3399+"n/&gt;!'I."</f>
        <v>#VALUE!</v>
      </c>
      <c r="CQ136" t="e">
        <f>'All regions'!E3399+"n/&gt;!'I/"</f>
        <v>#VALUE!</v>
      </c>
      <c r="CR136" t="e">
        <f>'All regions'!F3399+"n/&gt;!'I0"</f>
        <v>#VALUE!</v>
      </c>
      <c r="CS136" t="e">
        <f>'All regions'!G3399+"n/&gt;!'I1"</f>
        <v>#VALUE!</v>
      </c>
      <c r="CT136" t="e">
        <f>'All regions'!H3399+"n/&gt;!'I2"</f>
        <v>#VALUE!</v>
      </c>
      <c r="CU136" t="e">
        <f>'All regions'!I3399+"n/&gt;!'I3"</f>
        <v>#VALUE!</v>
      </c>
      <c r="CV136" t="e">
        <f>'All regions'!J3399+"n/&gt;!'I4"</f>
        <v>#VALUE!</v>
      </c>
      <c r="CW136" t="e">
        <f>'All regions'!A3400+"n/&gt;!'I5"</f>
        <v>#VALUE!</v>
      </c>
      <c r="CX136" t="e">
        <f>'All regions'!B3400+"n/&gt;!'I6"</f>
        <v>#VALUE!</v>
      </c>
      <c r="CY136" t="e">
        <f>'All regions'!C3400+"n/&gt;!'I7"</f>
        <v>#VALUE!</v>
      </c>
      <c r="CZ136" t="e">
        <f>'All regions'!D3400+"n/&gt;!'I8"</f>
        <v>#VALUE!</v>
      </c>
      <c r="DA136" t="e">
        <f>'All regions'!E3400+"n/&gt;!'I9"</f>
        <v>#VALUE!</v>
      </c>
      <c r="DB136" t="e">
        <f>'All regions'!F3400+"n/&gt;!'I:"</f>
        <v>#VALUE!</v>
      </c>
      <c r="DC136" t="e">
        <f>'All regions'!G3400+"n/&gt;!'I;"</f>
        <v>#VALUE!</v>
      </c>
      <c r="DD136" t="e">
        <f>'All regions'!H3400+"n/&gt;!'I&lt;"</f>
        <v>#VALUE!</v>
      </c>
      <c r="DE136" t="e">
        <f>'All regions'!I3400+"n/&gt;!'I="</f>
        <v>#VALUE!</v>
      </c>
      <c r="DF136" t="e">
        <f>'All regions'!J3400+"n/&gt;!'I&gt;"</f>
        <v>#VALUE!</v>
      </c>
      <c r="DG136" t="e">
        <f>'All regions'!A3401+"n/&gt;!'I?"</f>
        <v>#VALUE!</v>
      </c>
      <c r="DH136" t="e">
        <f>'All regions'!B3401+"n/&gt;!'I@"</f>
        <v>#VALUE!</v>
      </c>
      <c r="DI136" t="e">
        <f>'All regions'!C3401+"n/&gt;!'IA"</f>
        <v>#VALUE!</v>
      </c>
      <c r="DJ136" t="e">
        <f>'All regions'!D3401+"n/&gt;!'IB"</f>
        <v>#VALUE!</v>
      </c>
      <c r="DK136" t="e">
        <f>'All regions'!E3401+"n/&gt;!'IC"</f>
        <v>#VALUE!</v>
      </c>
      <c r="DL136" t="e">
        <f>'All regions'!F3401+"n/&gt;!'ID"</f>
        <v>#VALUE!</v>
      </c>
      <c r="DM136" t="e">
        <f>'All regions'!G3401+"n/&gt;!'IE"</f>
        <v>#VALUE!</v>
      </c>
      <c r="DN136" t="e">
        <f>'All regions'!H3401+"n/&gt;!'IF"</f>
        <v>#VALUE!</v>
      </c>
      <c r="DO136" t="e">
        <f>'All regions'!I3401+"n/&gt;!'IG"</f>
        <v>#VALUE!</v>
      </c>
      <c r="DP136" t="e">
        <f>'All regions'!J3401+"n/&gt;!'IH"</f>
        <v>#VALUE!</v>
      </c>
      <c r="DQ136" t="e">
        <f>'All regions'!A3402+"n/&gt;!'II"</f>
        <v>#VALUE!</v>
      </c>
      <c r="DR136" t="e">
        <f>'All regions'!B3402+"n/&gt;!'IJ"</f>
        <v>#VALUE!</v>
      </c>
      <c r="DS136" t="e">
        <f>'All regions'!C3402+"n/&gt;!'IK"</f>
        <v>#VALUE!</v>
      </c>
      <c r="DT136" t="e">
        <f>'All regions'!D3402+"n/&gt;!'IL"</f>
        <v>#VALUE!</v>
      </c>
      <c r="DU136" t="e">
        <f>'All regions'!E3402+"n/&gt;!'IM"</f>
        <v>#VALUE!</v>
      </c>
      <c r="DV136" t="e">
        <f>'All regions'!F3402+"n/&gt;!'IN"</f>
        <v>#VALUE!</v>
      </c>
      <c r="DW136" t="e">
        <f>'All regions'!G3402+"n/&gt;!'IO"</f>
        <v>#VALUE!</v>
      </c>
      <c r="DX136" t="e">
        <f>'All regions'!H3402+"n/&gt;!'IP"</f>
        <v>#VALUE!</v>
      </c>
      <c r="DY136" t="e">
        <f>'All regions'!I3402+"n/&gt;!'IQ"</f>
        <v>#VALUE!</v>
      </c>
      <c r="DZ136" t="e">
        <f>'All regions'!J3402+"n/&gt;!'IR"</f>
        <v>#VALUE!</v>
      </c>
      <c r="EA136" t="e">
        <f>'All regions'!A3403+"n/&gt;!'IS"</f>
        <v>#VALUE!</v>
      </c>
      <c r="EB136" t="e">
        <f>'All regions'!B3403+"n/&gt;!'IT"</f>
        <v>#VALUE!</v>
      </c>
      <c r="EC136" t="e">
        <f>'All regions'!C3403+"n/&gt;!'IU"</f>
        <v>#VALUE!</v>
      </c>
      <c r="ED136" t="e">
        <f>'All regions'!D3403+"n/&gt;!'IV"</f>
        <v>#VALUE!</v>
      </c>
      <c r="EE136" t="e">
        <f>'All regions'!E3403+"n/&gt;!'IW"</f>
        <v>#VALUE!</v>
      </c>
      <c r="EF136" t="e">
        <f>'All regions'!F3403+"n/&gt;!'IX"</f>
        <v>#VALUE!</v>
      </c>
      <c r="EG136" t="e">
        <f>'All regions'!G3403+"n/&gt;!'IY"</f>
        <v>#VALUE!</v>
      </c>
      <c r="EH136" t="e">
        <f>'All regions'!H3403+"n/&gt;!'IZ"</f>
        <v>#VALUE!</v>
      </c>
      <c r="EI136" t="e">
        <f>'All regions'!I3403+"n/&gt;!'I["</f>
        <v>#VALUE!</v>
      </c>
      <c r="EJ136" t="e">
        <f>'All regions'!J3403+"n/&gt;!'I\"</f>
        <v>#VALUE!</v>
      </c>
      <c r="EK136" t="e">
        <f>'All regions'!A3404+"n/&gt;!'I]"</f>
        <v>#VALUE!</v>
      </c>
      <c r="EL136" t="e">
        <f>'All regions'!B3404+"n/&gt;!'I^"</f>
        <v>#VALUE!</v>
      </c>
      <c r="EM136" t="e">
        <f>'All regions'!C3404+"n/&gt;!'I_"</f>
        <v>#VALUE!</v>
      </c>
      <c r="EN136" t="e">
        <f>'All regions'!D3404+"n/&gt;!'I`"</f>
        <v>#VALUE!</v>
      </c>
      <c r="EO136" t="e">
        <f>'All regions'!E3404+"n/&gt;!'Ia"</f>
        <v>#VALUE!</v>
      </c>
      <c r="EP136" t="e">
        <f>'All regions'!F3404+"n/&gt;!'Ib"</f>
        <v>#VALUE!</v>
      </c>
      <c r="EQ136" t="e">
        <f>'All regions'!G3404+"n/&gt;!'Ic"</f>
        <v>#VALUE!</v>
      </c>
      <c r="ER136" t="e">
        <f>'All regions'!H3404+"n/&gt;!'Id"</f>
        <v>#VALUE!</v>
      </c>
      <c r="ES136" t="e">
        <f>'All regions'!I3404+"n/&gt;!'Ie"</f>
        <v>#VALUE!</v>
      </c>
      <c r="ET136" t="e">
        <f>'All regions'!J3404+"n/&gt;!'If"</f>
        <v>#VALUE!</v>
      </c>
      <c r="EU136" t="e">
        <f>'All regions'!A3405+"n/&gt;!'Ig"</f>
        <v>#VALUE!</v>
      </c>
      <c r="EV136" t="e">
        <f>'All regions'!B3405+"n/&gt;!'Ih"</f>
        <v>#VALUE!</v>
      </c>
      <c r="EW136" t="e">
        <f>'All regions'!C3405+"n/&gt;!'Ii"</f>
        <v>#VALUE!</v>
      </c>
      <c r="EX136" t="e">
        <f>'All regions'!D3405+"n/&gt;!'Ij"</f>
        <v>#VALUE!</v>
      </c>
      <c r="EY136" t="e">
        <f>'All regions'!E3405+"n/&gt;!'Ik"</f>
        <v>#VALUE!</v>
      </c>
      <c r="EZ136" t="e">
        <f>'All regions'!F3405+"n/&gt;!'Il"</f>
        <v>#VALUE!</v>
      </c>
      <c r="FA136" t="e">
        <f>'All regions'!G3405+"n/&gt;!'Im"</f>
        <v>#VALUE!</v>
      </c>
      <c r="FB136" t="e">
        <f>'All regions'!H3405+"n/&gt;!'In"</f>
        <v>#VALUE!</v>
      </c>
      <c r="FC136" t="e">
        <f>'All regions'!I3405+"n/&gt;!'Io"</f>
        <v>#VALUE!</v>
      </c>
      <c r="FD136" t="e">
        <f>'All regions'!J3405+"n/&gt;!'Ip"</f>
        <v>#VALUE!</v>
      </c>
      <c r="FE136" t="e">
        <f>'All regions'!A3406+"n/&gt;!'Iq"</f>
        <v>#VALUE!</v>
      </c>
      <c r="FF136" t="e">
        <f>'All regions'!B3406+"n/&gt;!'Ir"</f>
        <v>#VALUE!</v>
      </c>
      <c r="FG136" t="e">
        <f>'All regions'!C3406+"n/&gt;!'Is"</f>
        <v>#VALUE!</v>
      </c>
      <c r="FH136" t="e">
        <f>'All regions'!D3406+"n/&gt;!'It"</f>
        <v>#VALUE!</v>
      </c>
      <c r="FI136" t="e">
        <f>'All regions'!E3406+"n/&gt;!'Iu"</f>
        <v>#VALUE!</v>
      </c>
      <c r="FJ136" t="e">
        <f>'All regions'!F3406+"n/&gt;!'Iv"</f>
        <v>#VALUE!</v>
      </c>
      <c r="FK136" t="e">
        <f>'All regions'!G3406+"n/&gt;!'Iw"</f>
        <v>#VALUE!</v>
      </c>
      <c r="FL136" t="e">
        <f>'All regions'!H3406+"n/&gt;!'Ix"</f>
        <v>#VALUE!</v>
      </c>
      <c r="FM136" t="e">
        <f>'All regions'!I3406+"n/&gt;!'Iy"</f>
        <v>#VALUE!</v>
      </c>
      <c r="FN136" t="e">
        <f>'All regions'!J3406+"n/&gt;!'Iz"</f>
        <v>#VALUE!</v>
      </c>
      <c r="FO136" t="e">
        <f>'All regions'!A3407+"n/&gt;!'I{"</f>
        <v>#VALUE!</v>
      </c>
      <c r="FP136" t="e">
        <f>'All regions'!B3407+"n/&gt;!'I|"</f>
        <v>#VALUE!</v>
      </c>
      <c r="FQ136" t="e">
        <f>'All regions'!C3407+"n/&gt;!'I}"</f>
        <v>#VALUE!</v>
      </c>
      <c r="FR136" t="e">
        <f>'All regions'!D3407+"n/&gt;!'I~"</f>
        <v>#VALUE!</v>
      </c>
      <c r="FS136" t="e">
        <f>'All regions'!E3407+"n/&gt;!'J#"</f>
        <v>#VALUE!</v>
      </c>
      <c r="FT136" t="e">
        <f>'All regions'!F3407+"n/&gt;!'J$"</f>
        <v>#VALUE!</v>
      </c>
      <c r="FU136" t="e">
        <f>'All regions'!G3407+"n/&gt;!'J%"</f>
        <v>#VALUE!</v>
      </c>
      <c r="FV136" t="e">
        <f>'All regions'!H3407+"n/&gt;!'J&amp;"</f>
        <v>#VALUE!</v>
      </c>
      <c r="FW136" t="e">
        <f>'All regions'!I3407+"n/&gt;!'J'"</f>
        <v>#VALUE!</v>
      </c>
      <c r="FX136" t="e">
        <f>'All regions'!J3407+"n/&gt;!'J("</f>
        <v>#VALUE!</v>
      </c>
      <c r="FY136" t="e">
        <f>'All regions'!A3408+"n/&gt;!'J)"</f>
        <v>#VALUE!</v>
      </c>
      <c r="FZ136" t="e">
        <f>'All regions'!B3408+"n/&gt;!'J."</f>
        <v>#VALUE!</v>
      </c>
      <c r="GA136" t="e">
        <f>'All regions'!C3408+"n/&gt;!'J/"</f>
        <v>#VALUE!</v>
      </c>
      <c r="GB136" t="e">
        <f>'All regions'!D3408+"n/&gt;!'J0"</f>
        <v>#VALUE!</v>
      </c>
      <c r="GC136" t="e">
        <f>'All regions'!E3408+"n/&gt;!'J1"</f>
        <v>#VALUE!</v>
      </c>
      <c r="GD136" t="e">
        <f>'All regions'!F3408+"n/&gt;!'J2"</f>
        <v>#VALUE!</v>
      </c>
      <c r="GE136" t="e">
        <f>'All regions'!G3408+"n/&gt;!'J3"</f>
        <v>#VALUE!</v>
      </c>
      <c r="GF136" t="e">
        <f>'All regions'!H3408+"n/&gt;!'J4"</f>
        <v>#VALUE!</v>
      </c>
      <c r="GG136" t="e">
        <f>'All regions'!I3408+"n/&gt;!'J5"</f>
        <v>#VALUE!</v>
      </c>
      <c r="GH136" t="e">
        <f>'All regions'!J3408+"n/&gt;!'J6"</f>
        <v>#VALUE!</v>
      </c>
      <c r="GI136" t="e">
        <f>'All regions'!A3409+"n/&gt;!'J7"</f>
        <v>#VALUE!</v>
      </c>
      <c r="GJ136" t="e">
        <f>'All regions'!B3409+"n/&gt;!'J8"</f>
        <v>#VALUE!</v>
      </c>
      <c r="GK136" t="e">
        <f>'All regions'!C3409+"n/&gt;!'J9"</f>
        <v>#VALUE!</v>
      </c>
      <c r="GL136" t="e">
        <f>'All regions'!D3409+"n/&gt;!'J:"</f>
        <v>#VALUE!</v>
      </c>
      <c r="GM136" t="e">
        <f>'All regions'!E3409+"n/&gt;!'J;"</f>
        <v>#VALUE!</v>
      </c>
      <c r="GN136" t="e">
        <f>'All regions'!F3409+"n/&gt;!'J&lt;"</f>
        <v>#VALUE!</v>
      </c>
      <c r="GO136" t="e">
        <f>'All regions'!G3409+"n/&gt;!'J="</f>
        <v>#VALUE!</v>
      </c>
      <c r="GP136" t="e">
        <f>'All regions'!H3409+"n/&gt;!'J&gt;"</f>
        <v>#VALUE!</v>
      </c>
      <c r="GQ136" t="e">
        <f>'All regions'!I3409+"n/&gt;!'J?"</f>
        <v>#VALUE!</v>
      </c>
      <c r="GR136" t="e">
        <f>'All regions'!J3409+"n/&gt;!'J@"</f>
        <v>#VALUE!</v>
      </c>
      <c r="GS136" t="e">
        <f>'All regions'!A3410+"n/&gt;!'JA"</f>
        <v>#VALUE!</v>
      </c>
      <c r="GT136" t="e">
        <f>'All regions'!B3410+"n/&gt;!'JB"</f>
        <v>#VALUE!</v>
      </c>
      <c r="GU136" t="e">
        <f>'All regions'!C3410+"n/&gt;!'JC"</f>
        <v>#VALUE!</v>
      </c>
      <c r="GV136" t="e">
        <f>'All regions'!D3410+"n/&gt;!'JD"</f>
        <v>#VALUE!</v>
      </c>
      <c r="GW136" t="e">
        <f>'All regions'!E3410+"n/&gt;!'JE"</f>
        <v>#VALUE!</v>
      </c>
      <c r="GX136" t="e">
        <f>'All regions'!F3410+"n/&gt;!'JF"</f>
        <v>#VALUE!</v>
      </c>
      <c r="GY136" t="e">
        <f>'All regions'!G3410+"n/&gt;!'JG"</f>
        <v>#VALUE!</v>
      </c>
      <c r="GZ136" t="e">
        <f>'All regions'!H3410+"n/&gt;!'JH"</f>
        <v>#VALUE!</v>
      </c>
      <c r="HA136" t="e">
        <f>'All regions'!I3410+"n/&gt;!'JI"</f>
        <v>#VALUE!</v>
      </c>
      <c r="HB136" t="e">
        <f>'All regions'!J3410+"n/&gt;!'JJ"</f>
        <v>#VALUE!</v>
      </c>
      <c r="HC136" t="e">
        <f>'All regions'!A3411+"n/&gt;!'JK"</f>
        <v>#VALUE!</v>
      </c>
      <c r="HD136" t="e">
        <f>'All regions'!B3411+"n/&gt;!'JL"</f>
        <v>#VALUE!</v>
      </c>
      <c r="HE136" t="e">
        <f>'All regions'!C3411+"n/&gt;!'JM"</f>
        <v>#VALUE!</v>
      </c>
      <c r="HF136" t="e">
        <f>'All regions'!D3411+"n/&gt;!'JN"</f>
        <v>#VALUE!</v>
      </c>
      <c r="HG136" t="e">
        <f>'All regions'!E3411+"n/&gt;!'JO"</f>
        <v>#VALUE!</v>
      </c>
      <c r="HH136" t="e">
        <f>'All regions'!F3411+"n/&gt;!'JP"</f>
        <v>#VALUE!</v>
      </c>
      <c r="HI136" t="e">
        <f>'All regions'!G3411+"n/&gt;!'JQ"</f>
        <v>#VALUE!</v>
      </c>
      <c r="HJ136" t="e">
        <f>'All regions'!H3411+"n/&gt;!'JR"</f>
        <v>#VALUE!</v>
      </c>
      <c r="HK136" t="e">
        <f>'All regions'!I3411+"n/&gt;!'JS"</f>
        <v>#VALUE!</v>
      </c>
      <c r="HL136" t="e">
        <f>'All regions'!J3411+"n/&gt;!'JT"</f>
        <v>#VALUE!</v>
      </c>
      <c r="HM136" t="e">
        <f>'All regions'!A3412+"n/&gt;!'JU"</f>
        <v>#VALUE!</v>
      </c>
      <c r="HN136" t="e">
        <f>'All regions'!B3412+"n/&gt;!'JV"</f>
        <v>#VALUE!</v>
      </c>
      <c r="HO136" t="e">
        <f>'All regions'!C3412+"n/&gt;!'JW"</f>
        <v>#VALUE!</v>
      </c>
      <c r="HP136" t="e">
        <f>'All regions'!D3412+"n/&gt;!'JX"</f>
        <v>#VALUE!</v>
      </c>
      <c r="HQ136" t="e">
        <f>'All regions'!E3412+"n/&gt;!'JY"</f>
        <v>#VALUE!</v>
      </c>
      <c r="HR136" t="e">
        <f>'All regions'!F3412+"n/&gt;!'JZ"</f>
        <v>#VALUE!</v>
      </c>
      <c r="HS136" t="e">
        <f>'All regions'!G3412+"n/&gt;!'J["</f>
        <v>#VALUE!</v>
      </c>
      <c r="HT136" t="e">
        <f>'All regions'!H3412+"n/&gt;!'J\"</f>
        <v>#VALUE!</v>
      </c>
      <c r="HU136" t="e">
        <f>'All regions'!I3412+"n/&gt;!'J]"</f>
        <v>#VALUE!</v>
      </c>
      <c r="HV136" t="e">
        <f>'All regions'!J3412+"n/&gt;!'J^"</f>
        <v>#VALUE!</v>
      </c>
      <c r="HW136" t="e">
        <f>'All regions'!A3413+"n/&gt;!'J_"</f>
        <v>#VALUE!</v>
      </c>
      <c r="HX136" t="e">
        <f>'All regions'!B3413+"n/&gt;!'J`"</f>
        <v>#VALUE!</v>
      </c>
      <c r="HY136" t="e">
        <f>'All regions'!C3413+"n/&gt;!'Ja"</f>
        <v>#VALUE!</v>
      </c>
      <c r="HZ136" t="e">
        <f>'All regions'!D3413+"n/&gt;!'Jb"</f>
        <v>#VALUE!</v>
      </c>
      <c r="IA136" t="e">
        <f>'All regions'!E3413+"n/&gt;!'Jc"</f>
        <v>#VALUE!</v>
      </c>
      <c r="IB136" t="e">
        <f>'All regions'!F3413+"n/&gt;!'Jd"</f>
        <v>#VALUE!</v>
      </c>
      <c r="IC136" t="e">
        <f>'All regions'!G3413+"n/&gt;!'Je"</f>
        <v>#VALUE!</v>
      </c>
      <c r="ID136" t="e">
        <f>'All regions'!H3413+"n/&gt;!'Jf"</f>
        <v>#VALUE!</v>
      </c>
      <c r="IE136" t="e">
        <f>'All regions'!I3413+"n/&gt;!'Jg"</f>
        <v>#VALUE!</v>
      </c>
      <c r="IF136" t="e">
        <f>'All regions'!J3413+"n/&gt;!'Jh"</f>
        <v>#VALUE!</v>
      </c>
      <c r="IG136" t="e">
        <f>'All regions'!A3414+"n/&gt;!'Ji"</f>
        <v>#VALUE!</v>
      </c>
      <c r="IH136" t="e">
        <f>'All regions'!B3414+"n/&gt;!'Jj"</f>
        <v>#VALUE!</v>
      </c>
      <c r="II136" t="e">
        <f>'All regions'!C3414+"n/&gt;!'Jk"</f>
        <v>#VALUE!</v>
      </c>
      <c r="IJ136" t="e">
        <f>'All regions'!D3414+"n/&gt;!'Jl"</f>
        <v>#VALUE!</v>
      </c>
      <c r="IK136" t="e">
        <f>'All regions'!E3414+"n/&gt;!'Jm"</f>
        <v>#VALUE!</v>
      </c>
      <c r="IL136" t="e">
        <f>'All regions'!F3414+"n/&gt;!'Jn"</f>
        <v>#VALUE!</v>
      </c>
      <c r="IM136" t="e">
        <f>'All regions'!G3414+"n/&gt;!'Jo"</f>
        <v>#VALUE!</v>
      </c>
      <c r="IN136" t="e">
        <f>'All regions'!H3414+"n/&gt;!'Jp"</f>
        <v>#VALUE!</v>
      </c>
      <c r="IO136" t="e">
        <f>'All regions'!I3414+"n/&gt;!'Jq"</f>
        <v>#VALUE!</v>
      </c>
      <c r="IP136" t="e">
        <f>'All regions'!J3414+"n/&gt;!'Jr"</f>
        <v>#VALUE!</v>
      </c>
      <c r="IQ136" t="e">
        <f>'All regions'!A3415+"n/&gt;!'Js"</f>
        <v>#VALUE!</v>
      </c>
      <c r="IR136" t="e">
        <f>'All regions'!B3415+"n/&gt;!'Jt"</f>
        <v>#VALUE!</v>
      </c>
      <c r="IS136" t="e">
        <f>'All regions'!C3415+"n/&gt;!'Ju"</f>
        <v>#VALUE!</v>
      </c>
      <c r="IT136" t="e">
        <f>'All regions'!D3415+"n/&gt;!'Jv"</f>
        <v>#VALUE!</v>
      </c>
      <c r="IU136" t="e">
        <f>'All regions'!E3415+"n/&gt;!'Jw"</f>
        <v>#VALUE!</v>
      </c>
      <c r="IV136" t="e">
        <f>'All regions'!F3415+"n/&gt;!'Jx"</f>
        <v>#VALUE!</v>
      </c>
    </row>
    <row r="137" spans="6:256" x14ac:dyDescent="0.35">
      <c r="F137" t="e">
        <f>'All regions'!G3415+"n/&gt;!'Jy"</f>
        <v>#VALUE!</v>
      </c>
      <c r="G137" t="e">
        <f>'All regions'!H3415+"n/&gt;!'Jz"</f>
        <v>#VALUE!</v>
      </c>
      <c r="H137" t="e">
        <f>'All regions'!I3415+"n/&gt;!'J{"</f>
        <v>#VALUE!</v>
      </c>
      <c r="I137" t="e">
        <f>'All regions'!J3415+"n/&gt;!'J|"</f>
        <v>#VALUE!</v>
      </c>
      <c r="J137" t="e">
        <f>'All regions'!A3416+"n/&gt;!'J}"</f>
        <v>#VALUE!</v>
      </c>
      <c r="K137" t="e">
        <f>'All regions'!B3416+"n/&gt;!'J~"</f>
        <v>#VALUE!</v>
      </c>
      <c r="L137" t="e">
        <f>'All regions'!C3416+"n/&gt;!'K#"</f>
        <v>#VALUE!</v>
      </c>
      <c r="M137" t="e">
        <f>'All regions'!D3416+"n/&gt;!'K$"</f>
        <v>#VALUE!</v>
      </c>
      <c r="N137" t="e">
        <f>'All regions'!E3416+"n/&gt;!'K%"</f>
        <v>#VALUE!</v>
      </c>
      <c r="O137" t="e">
        <f>'All regions'!F3416+"n/&gt;!'K&amp;"</f>
        <v>#VALUE!</v>
      </c>
      <c r="P137" t="e">
        <f>'All regions'!G3416+"n/&gt;!'K'"</f>
        <v>#VALUE!</v>
      </c>
      <c r="Q137" t="e">
        <f>'All regions'!H3416+"n/&gt;!'K("</f>
        <v>#VALUE!</v>
      </c>
      <c r="R137" t="e">
        <f>'All regions'!I3416+"n/&gt;!'K)"</f>
        <v>#VALUE!</v>
      </c>
      <c r="S137" t="e">
        <f>'All regions'!J3416+"n/&gt;!'K."</f>
        <v>#VALUE!</v>
      </c>
      <c r="T137" t="e">
        <f>'All regions'!A3417+"n/&gt;!'K/"</f>
        <v>#VALUE!</v>
      </c>
      <c r="U137" t="e">
        <f>'All regions'!B3417+"n/&gt;!'K0"</f>
        <v>#VALUE!</v>
      </c>
      <c r="V137" t="e">
        <f>'All regions'!C3417+"n/&gt;!'K1"</f>
        <v>#VALUE!</v>
      </c>
      <c r="W137" t="e">
        <f>'All regions'!D3417+"n/&gt;!'K2"</f>
        <v>#VALUE!</v>
      </c>
      <c r="X137" t="e">
        <f>'All regions'!E3417+"n/&gt;!'K3"</f>
        <v>#VALUE!</v>
      </c>
      <c r="Y137" t="e">
        <f>'All regions'!F3417+"n/&gt;!'K4"</f>
        <v>#VALUE!</v>
      </c>
      <c r="Z137" t="e">
        <f>'All regions'!G3417+"n/&gt;!'K5"</f>
        <v>#VALUE!</v>
      </c>
      <c r="AA137" t="e">
        <f>'All regions'!H3417+"n/&gt;!'K6"</f>
        <v>#VALUE!</v>
      </c>
      <c r="AB137" t="e">
        <f>'All regions'!I3417+"n/&gt;!'K7"</f>
        <v>#VALUE!</v>
      </c>
      <c r="AC137" t="e">
        <f>'All regions'!J3417+"n/&gt;!'K8"</f>
        <v>#VALUE!</v>
      </c>
      <c r="AD137" t="e">
        <f>'All regions'!A3418+"n/&gt;!'K9"</f>
        <v>#VALUE!</v>
      </c>
      <c r="AE137" t="e">
        <f>'All regions'!B3418+"n/&gt;!'K:"</f>
        <v>#VALUE!</v>
      </c>
      <c r="AF137" t="e">
        <f>'All regions'!C3418+"n/&gt;!'K;"</f>
        <v>#VALUE!</v>
      </c>
      <c r="AG137" t="e">
        <f>'All regions'!D3418+"n/&gt;!'K&lt;"</f>
        <v>#VALUE!</v>
      </c>
      <c r="AH137" t="e">
        <f>'All regions'!E3418+"n/&gt;!'K="</f>
        <v>#VALUE!</v>
      </c>
      <c r="AI137" t="e">
        <f>'All regions'!F3418+"n/&gt;!'K&gt;"</f>
        <v>#VALUE!</v>
      </c>
      <c r="AJ137" t="e">
        <f>'All regions'!G3418+"n/&gt;!'K?"</f>
        <v>#VALUE!</v>
      </c>
      <c r="AK137" t="e">
        <f>'All regions'!H3418+"n/&gt;!'K@"</f>
        <v>#VALUE!</v>
      </c>
      <c r="AL137" t="e">
        <f>'All regions'!I3418+"n/&gt;!'KA"</f>
        <v>#VALUE!</v>
      </c>
      <c r="AM137" t="e">
        <f>'All regions'!J3418+"n/&gt;!'KB"</f>
        <v>#VALUE!</v>
      </c>
      <c r="AN137" t="e">
        <f>'All regions'!A3419+"n/&gt;!'KC"</f>
        <v>#VALUE!</v>
      </c>
      <c r="AO137" t="e">
        <f>'All regions'!B3419+"n/&gt;!'KD"</f>
        <v>#VALUE!</v>
      </c>
      <c r="AP137" t="e">
        <f>'All regions'!C3419+"n/&gt;!'KE"</f>
        <v>#VALUE!</v>
      </c>
      <c r="AQ137" t="e">
        <f>'All regions'!D3419+"n/&gt;!'KF"</f>
        <v>#VALUE!</v>
      </c>
      <c r="AR137" t="e">
        <f>'All regions'!E3419+"n/&gt;!'KG"</f>
        <v>#VALUE!</v>
      </c>
      <c r="AS137" t="e">
        <f>'All regions'!F3419+"n/&gt;!'KH"</f>
        <v>#VALUE!</v>
      </c>
      <c r="AT137" t="e">
        <f>'All regions'!G3419+"n/&gt;!'KI"</f>
        <v>#VALUE!</v>
      </c>
      <c r="AU137" t="e">
        <f>'All regions'!H3419+"n/&gt;!'KJ"</f>
        <v>#VALUE!</v>
      </c>
      <c r="AV137" t="e">
        <f>'All regions'!I3419+"n/&gt;!'KK"</f>
        <v>#VALUE!</v>
      </c>
      <c r="AW137" t="e">
        <f>'All regions'!J3419+"n/&gt;!'KL"</f>
        <v>#VALUE!</v>
      </c>
      <c r="AX137" t="e">
        <f>'All regions'!A3420+"n/&gt;!'KM"</f>
        <v>#VALUE!</v>
      </c>
      <c r="AY137" t="e">
        <f>'All regions'!B3420+"n/&gt;!'KN"</f>
        <v>#VALUE!</v>
      </c>
      <c r="AZ137" t="e">
        <f>'All regions'!C3420+"n/&gt;!'KO"</f>
        <v>#VALUE!</v>
      </c>
      <c r="BA137" t="e">
        <f>'All regions'!D3420+"n/&gt;!'KP"</f>
        <v>#VALUE!</v>
      </c>
      <c r="BB137" t="e">
        <f>'All regions'!E3420+"n/&gt;!'KQ"</f>
        <v>#VALUE!</v>
      </c>
      <c r="BC137" t="e">
        <f>'All regions'!F3420+"n/&gt;!'KR"</f>
        <v>#VALUE!</v>
      </c>
      <c r="BD137" t="e">
        <f>'All regions'!G3420+"n/&gt;!'KS"</f>
        <v>#VALUE!</v>
      </c>
      <c r="BE137" t="e">
        <f>'All regions'!H3420+"n/&gt;!'KT"</f>
        <v>#VALUE!</v>
      </c>
      <c r="BF137" t="e">
        <f>'All regions'!I3420+"n/&gt;!'KU"</f>
        <v>#VALUE!</v>
      </c>
      <c r="BG137" t="e">
        <f>'All regions'!J3420+"n/&gt;!'KV"</f>
        <v>#VALUE!</v>
      </c>
      <c r="BH137" t="e">
        <f>'All regions'!A3421+"n/&gt;!'KW"</f>
        <v>#VALUE!</v>
      </c>
      <c r="BI137" t="e">
        <f>'All regions'!B3421+"n/&gt;!'KX"</f>
        <v>#VALUE!</v>
      </c>
      <c r="BJ137" t="e">
        <f>'All regions'!C3421+"n/&gt;!'KY"</f>
        <v>#VALUE!</v>
      </c>
      <c r="BK137" t="e">
        <f>'All regions'!D3421+"n/&gt;!'KZ"</f>
        <v>#VALUE!</v>
      </c>
      <c r="BL137" t="e">
        <f>'All regions'!E3421+"n/&gt;!'K["</f>
        <v>#VALUE!</v>
      </c>
      <c r="BM137" t="e">
        <f>'All regions'!F3421+"n/&gt;!'K\"</f>
        <v>#VALUE!</v>
      </c>
      <c r="BN137" t="e">
        <f>'All regions'!G3421+"n/&gt;!'K]"</f>
        <v>#VALUE!</v>
      </c>
      <c r="BO137" t="e">
        <f>'All regions'!H3421+"n/&gt;!'K^"</f>
        <v>#VALUE!</v>
      </c>
      <c r="BP137" t="e">
        <f>'All regions'!I3421+"n/&gt;!'K_"</f>
        <v>#VALUE!</v>
      </c>
      <c r="BQ137" t="e">
        <f>'All regions'!J3421+"n/&gt;!'K`"</f>
        <v>#VALUE!</v>
      </c>
      <c r="BR137" t="e">
        <f>'All regions'!A3422+"n/&gt;!'Ka"</f>
        <v>#VALUE!</v>
      </c>
      <c r="BS137" t="e">
        <f>'All regions'!B3422+"n/&gt;!'Kb"</f>
        <v>#VALUE!</v>
      </c>
      <c r="BT137" t="e">
        <f>'All regions'!C3422+"n/&gt;!'Kc"</f>
        <v>#VALUE!</v>
      </c>
      <c r="BU137" t="e">
        <f>'All regions'!D3422+"n/&gt;!'Kd"</f>
        <v>#VALUE!</v>
      </c>
      <c r="BV137" t="e">
        <f>'All regions'!E3422+"n/&gt;!'Ke"</f>
        <v>#VALUE!</v>
      </c>
      <c r="BW137" t="e">
        <f>'All regions'!F3422+"n/&gt;!'Kf"</f>
        <v>#VALUE!</v>
      </c>
      <c r="BX137" t="e">
        <f>'All regions'!G3422+"n/&gt;!'Kg"</f>
        <v>#VALUE!</v>
      </c>
      <c r="BY137" t="e">
        <f>'All regions'!H3422+"n/&gt;!'Kh"</f>
        <v>#VALUE!</v>
      </c>
      <c r="BZ137" t="e">
        <f>'All regions'!I3422+"n/&gt;!'Ki"</f>
        <v>#VALUE!</v>
      </c>
      <c r="CA137" t="e">
        <f>'All regions'!J3422+"n/&gt;!'Kj"</f>
        <v>#VALUE!</v>
      </c>
      <c r="CB137" t="e">
        <f>'All regions'!A3423+"n/&gt;!'Kk"</f>
        <v>#VALUE!</v>
      </c>
      <c r="CC137" t="e">
        <f>'All regions'!B3423+"n/&gt;!'Kl"</f>
        <v>#VALUE!</v>
      </c>
      <c r="CD137" t="e">
        <f>'All regions'!C3423+"n/&gt;!'Km"</f>
        <v>#VALUE!</v>
      </c>
      <c r="CE137" t="e">
        <f>'All regions'!D3423+"n/&gt;!'Kn"</f>
        <v>#VALUE!</v>
      </c>
      <c r="CF137" t="e">
        <f>'All regions'!E3423+"n/&gt;!'Ko"</f>
        <v>#VALUE!</v>
      </c>
      <c r="CG137" t="e">
        <f>'All regions'!F3423+"n/&gt;!'Kp"</f>
        <v>#VALUE!</v>
      </c>
      <c r="CH137" t="e">
        <f>'All regions'!G3423+"n/&gt;!'Kq"</f>
        <v>#VALUE!</v>
      </c>
      <c r="CI137" t="e">
        <f>'All regions'!H3423+"n/&gt;!'Kr"</f>
        <v>#VALUE!</v>
      </c>
      <c r="CJ137" t="e">
        <f>'All regions'!I3423+"n/&gt;!'Ks"</f>
        <v>#VALUE!</v>
      </c>
      <c r="CK137" t="e">
        <f>'All regions'!J3423+"n/&gt;!'Kt"</f>
        <v>#VALUE!</v>
      </c>
      <c r="CL137" t="e">
        <f>'All regions'!A3424+"n/&gt;!'Ku"</f>
        <v>#VALUE!</v>
      </c>
      <c r="CM137" t="e">
        <f>'All regions'!B3424+"n/&gt;!'Kv"</f>
        <v>#VALUE!</v>
      </c>
      <c r="CN137" t="e">
        <f>'All regions'!C3424+"n/&gt;!'Kw"</f>
        <v>#VALUE!</v>
      </c>
      <c r="CO137" t="e">
        <f>'All regions'!D3424+"n/&gt;!'Kx"</f>
        <v>#VALUE!</v>
      </c>
      <c r="CP137" t="e">
        <f>'All regions'!E3424+"n/&gt;!'Ky"</f>
        <v>#VALUE!</v>
      </c>
      <c r="CQ137" t="e">
        <f>'All regions'!F3424+"n/&gt;!'Kz"</f>
        <v>#VALUE!</v>
      </c>
      <c r="CR137" t="e">
        <f>'All regions'!G3424+"n/&gt;!'K{"</f>
        <v>#VALUE!</v>
      </c>
      <c r="CS137" t="e">
        <f>'All regions'!H3424+"n/&gt;!'K|"</f>
        <v>#VALUE!</v>
      </c>
      <c r="CT137" t="e">
        <f>'All regions'!I3424+"n/&gt;!'K}"</f>
        <v>#VALUE!</v>
      </c>
      <c r="CU137" t="e">
        <f>'All regions'!J3424+"n/&gt;!'K~"</f>
        <v>#VALUE!</v>
      </c>
      <c r="CV137" t="e">
        <f>'All regions'!A3425+"n/&gt;!'L#"</f>
        <v>#VALUE!</v>
      </c>
      <c r="CW137" t="e">
        <f>'All regions'!B3425+"n/&gt;!'L$"</f>
        <v>#VALUE!</v>
      </c>
      <c r="CX137" t="e">
        <f>'All regions'!C3425+"n/&gt;!'L%"</f>
        <v>#VALUE!</v>
      </c>
      <c r="CY137" t="e">
        <f>'All regions'!D3425+"n/&gt;!'L&amp;"</f>
        <v>#VALUE!</v>
      </c>
      <c r="CZ137" t="e">
        <f>'All regions'!E3425+"n/&gt;!'L'"</f>
        <v>#VALUE!</v>
      </c>
      <c r="DA137" t="e">
        <f>'All regions'!F3425+"n/&gt;!'L("</f>
        <v>#VALUE!</v>
      </c>
      <c r="DB137" t="e">
        <f>'All regions'!G3425+"n/&gt;!'L)"</f>
        <v>#VALUE!</v>
      </c>
      <c r="DC137" t="e">
        <f>'All regions'!H3425+"n/&gt;!'L."</f>
        <v>#VALUE!</v>
      </c>
      <c r="DD137" t="e">
        <f>'All regions'!I3425+"n/&gt;!'L/"</f>
        <v>#VALUE!</v>
      </c>
      <c r="DE137" t="e">
        <f>'All regions'!J3425+"n/&gt;!'L0"</f>
        <v>#VALUE!</v>
      </c>
      <c r="DF137" t="e">
        <f>'All regions'!A3426+"n/&gt;!'L1"</f>
        <v>#VALUE!</v>
      </c>
      <c r="DG137" t="e">
        <f>'All regions'!B3426+"n/&gt;!'L2"</f>
        <v>#VALUE!</v>
      </c>
      <c r="DH137" t="e">
        <f>'All regions'!C3426+"n/&gt;!'L3"</f>
        <v>#VALUE!</v>
      </c>
      <c r="DI137" t="e">
        <f>'All regions'!D3426+"n/&gt;!'L4"</f>
        <v>#VALUE!</v>
      </c>
      <c r="DJ137" t="e">
        <f>'All regions'!E3426+"n/&gt;!'L5"</f>
        <v>#VALUE!</v>
      </c>
      <c r="DK137" t="e">
        <f>'All regions'!F3426+"n/&gt;!'L6"</f>
        <v>#VALUE!</v>
      </c>
      <c r="DL137" t="e">
        <f>'All regions'!G3426+"n/&gt;!'L7"</f>
        <v>#VALUE!</v>
      </c>
      <c r="DM137" t="e">
        <f>'All regions'!H3426+"n/&gt;!'L8"</f>
        <v>#VALUE!</v>
      </c>
      <c r="DN137" t="e">
        <f>'All regions'!I3426+"n/&gt;!'L9"</f>
        <v>#VALUE!</v>
      </c>
      <c r="DO137" t="e">
        <f>'All regions'!J3426+"n/&gt;!'L:"</f>
        <v>#VALUE!</v>
      </c>
      <c r="DP137" t="e">
        <f>'All regions'!A3427+"n/&gt;!'L;"</f>
        <v>#VALUE!</v>
      </c>
      <c r="DQ137" t="e">
        <f>'All regions'!B3427+"n/&gt;!'L&lt;"</f>
        <v>#VALUE!</v>
      </c>
      <c r="DR137" t="e">
        <f>'All regions'!C3427+"n/&gt;!'L="</f>
        <v>#VALUE!</v>
      </c>
      <c r="DS137" t="e">
        <f>'All regions'!D3427+"n/&gt;!'L&gt;"</f>
        <v>#VALUE!</v>
      </c>
      <c r="DT137" t="e">
        <f>'All regions'!E3427+"n/&gt;!'L?"</f>
        <v>#VALUE!</v>
      </c>
      <c r="DU137" t="e">
        <f>'All regions'!F3427+"n/&gt;!'L@"</f>
        <v>#VALUE!</v>
      </c>
      <c r="DV137" t="e">
        <f>'All regions'!G3427+"n/&gt;!'LA"</f>
        <v>#VALUE!</v>
      </c>
      <c r="DW137" t="e">
        <f>'All regions'!H3427+"n/&gt;!'LB"</f>
        <v>#VALUE!</v>
      </c>
      <c r="DX137" t="e">
        <f>'All regions'!I3427+"n/&gt;!'LC"</f>
        <v>#VALUE!</v>
      </c>
      <c r="DY137" t="e">
        <f>'All regions'!J3427+"n/&gt;!'LD"</f>
        <v>#VALUE!</v>
      </c>
      <c r="DZ137" t="e">
        <f>'All regions'!A3428+"n/&gt;!'LE"</f>
        <v>#VALUE!</v>
      </c>
      <c r="EA137" t="e">
        <f>'All regions'!B3428+"n/&gt;!'LF"</f>
        <v>#VALUE!</v>
      </c>
      <c r="EB137" t="e">
        <f>'All regions'!C3428+"n/&gt;!'LG"</f>
        <v>#VALUE!</v>
      </c>
      <c r="EC137" t="e">
        <f>'All regions'!D3428+"n/&gt;!'LH"</f>
        <v>#VALUE!</v>
      </c>
      <c r="ED137" t="e">
        <f>'All regions'!E3428+"n/&gt;!'LI"</f>
        <v>#VALUE!</v>
      </c>
      <c r="EE137" t="e">
        <f>'All regions'!F3428+"n/&gt;!'LJ"</f>
        <v>#VALUE!</v>
      </c>
      <c r="EF137" t="e">
        <f>'All regions'!G3428+"n/&gt;!'LK"</f>
        <v>#VALUE!</v>
      </c>
      <c r="EG137" t="e">
        <f>'All regions'!H3428+"n/&gt;!'LL"</f>
        <v>#VALUE!</v>
      </c>
      <c r="EH137" t="e">
        <f>'All regions'!I3428+"n/&gt;!'LM"</f>
        <v>#VALUE!</v>
      </c>
      <c r="EI137" t="e">
        <f>'All regions'!J3428+"n/&gt;!'LN"</f>
        <v>#VALUE!</v>
      </c>
      <c r="EJ137" t="e">
        <f>'All regions'!A3429+"n/&gt;!'LO"</f>
        <v>#VALUE!</v>
      </c>
      <c r="EK137" t="e">
        <f>'All regions'!B3429+"n/&gt;!'LP"</f>
        <v>#VALUE!</v>
      </c>
      <c r="EL137" t="e">
        <f>'All regions'!C3429+"n/&gt;!'LQ"</f>
        <v>#VALUE!</v>
      </c>
      <c r="EM137" t="e">
        <f>'All regions'!D3429+"n/&gt;!'LR"</f>
        <v>#VALUE!</v>
      </c>
      <c r="EN137" t="e">
        <f>'All regions'!E3429+"n/&gt;!'LS"</f>
        <v>#VALUE!</v>
      </c>
      <c r="EO137" t="e">
        <f>'All regions'!F3429+"n/&gt;!'LT"</f>
        <v>#VALUE!</v>
      </c>
      <c r="EP137" t="e">
        <f>'All regions'!G3429+"n/&gt;!'LU"</f>
        <v>#VALUE!</v>
      </c>
      <c r="EQ137" t="e">
        <f>'All regions'!H3429+"n/&gt;!'LV"</f>
        <v>#VALUE!</v>
      </c>
      <c r="ER137" t="e">
        <f>'All regions'!I3429+"n/&gt;!'LW"</f>
        <v>#VALUE!</v>
      </c>
      <c r="ES137" t="e">
        <f>'All regions'!J3429+"n/&gt;!'LX"</f>
        <v>#VALUE!</v>
      </c>
      <c r="ET137" t="e">
        <f>'All regions'!A3430+"n/&gt;!'LY"</f>
        <v>#VALUE!</v>
      </c>
      <c r="EU137" t="e">
        <f>'All regions'!B3430+"n/&gt;!'LZ"</f>
        <v>#VALUE!</v>
      </c>
      <c r="EV137" t="e">
        <f>'All regions'!C3430+"n/&gt;!'L["</f>
        <v>#VALUE!</v>
      </c>
      <c r="EW137" t="e">
        <f>'All regions'!D3430+"n/&gt;!'L\"</f>
        <v>#VALUE!</v>
      </c>
      <c r="EX137" t="e">
        <f>'All regions'!E3430+"n/&gt;!'L]"</f>
        <v>#VALUE!</v>
      </c>
      <c r="EY137" t="e">
        <f>'All regions'!F3430+"n/&gt;!'L^"</f>
        <v>#VALUE!</v>
      </c>
      <c r="EZ137" t="e">
        <f>'All regions'!G3430+"n/&gt;!'L_"</f>
        <v>#VALUE!</v>
      </c>
      <c r="FA137" t="e">
        <f>'All regions'!H3430+"n/&gt;!'L`"</f>
        <v>#VALUE!</v>
      </c>
      <c r="FB137" t="e">
        <f>'All regions'!I3430+"n/&gt;!'La"</f>
        <v>#VALUE!</v>
      </c>
      <c r="FC137" t="e">
        <f>'All regions'!J3430+"n/&gt;!'Lb"</f>
        <v>#VALUE!</v>
      </c>
      <c r="FD137" t="e">
        <f>'All regions'!A3431+"n/&gt;!'Lc"</f>
        <v>#VALUE!</v>
      </c>
      <c r="FE137" t="e">
        <f>'All regions'!B3431+"n/&gt;!'Ld"</f>
        <v>#VALUE!</v>
      </c>
      <c r="FF137" t="e">
        <f>'All regions'!C3431+"n/&gt;!'Le"</f>
        <v>#VALUE!</v>
      </c>
      <c r="FG137" t="e">
        <f>'All regions'!D3431+"n/&gt;!'Lf"</f>
        <v>#VALUE!</v>
      </c>
      <c r="FH137" t="e">
        <f>'All regions'!E3431+"n/&gt;!'Lg"</f>
        <v>#VALUE!</v>
      </c>
      <c r="FI137" t="e">
        <f>'All regions'!F3431+"n/&gt;!'Lh"</f>
        <v>#VALUE!</v>
      </c>
      <c r="FJ137" t="e">
        <f>'All regions'!G3431+"n/&gt;!'Li"</f>
        <v>#VALUE!</v>
      </c>
      <c r="FK137" t="e">
        <f>'All regions'!H3431+"n/&gt;!'Lj"</f>
        <v>#VALUE!</v>
      </c>
      <c r="FL137" t="e">
        <f>'All regions'!I3431+"n/&gt;!'Lk"</f>
        <v>#VALUE!</v>
      </c>
      <c r="FM137" t="e">
        <f>'All regions'!J3431+"n/&gt;!'Ll"</f>
        <v>#VALUE!</v>
      </c>
      <c r="FN137" t="e">
        <f>'All regions'!A3432+"n/&gt;!'Lm"</f>
        <v>#VALUE!</v>
      </c>
      <c r="FO137" t="e">
        <f>'All regions'!B3432+"n/&gt;!'Ln"</f>
        <v>#VALUE!</v>
      </c>
      <c r="FP137" t="e">
        <f>'All regions'!C3432+"n/&gt;!'Lo"</f>
        <v>#VALUE!</v>
      </c>
      <c r="FQ137" t="e">
        <f>'All regions'!D3432+"n/&gt;!'Lp"</f>
        <v>#VALUE!</v>
      </c>
      <c r="FR137" t="e">
        <f>'All regions'!E3432+"n/&gt;!'Lq"</f>
        <v>#VALUE!</v>
      </c>
      <c r="FS137" t="e">
        <f>'All regions'!F3432+"n/&gt;!'Lr"</f>
        <v>#VALUE!</v>
      </c>
      <c r="FT137" t="e">
        <f>'All regions'!G3432+"n/&gt;!'Ls"</f>
        <v>#VALUE!</v>
      </c>
      <c r="FU137" t="e">
        <f>'All regions'!H3432+"n/&gt;!'Lt"</f>
        <v>#VALUE!</v>
      </c>
      <c r="FV137" t="e">
        <f>'All regions'!I3432+"n/&gt;!'Lu"</f>
        <v>#VALUE!</v>
      </c>
      <c r="FW137" t="e">
        <f>'All regions'!J3432+"n/&gt;!'Lv"</f>
        <v>#VALUE!</v>
      </c>
      <c r="FX137" t="e">
        <f>'All regions'!A3433+"n/&gt;!'Lw"</f>
        <v>#VALUE!</v>
      </c>
      <c r="FY137" t="e">
        <f>'All regions'!B3433+"n/&gt;!'Lx"</f>
        <v>#VALUE!</v>
      </c>
      <c r="FZ137" t="e">
        <f>'All regions'!C3433+"n/&gt;!'Ly"</f>
        <v>#VALUE!</v>
      </c>
      <c r="GA137" t="e">
        <f>'All regions'!D3433+"n/&gt;!'Lz"</f>
        <v>#VALUE!</v>
      </c>
      <c r="GB137" t="e">
        <f>'All regions'!E3433+"n/&gt;!'L{"</f>
        <v>#VALUE!</v>
      </c>
      <c r="GC137" t="e">
        <f>'All regions'!F3433+"n/&gt;!'L|"</f>
        <v>#VALUE!</v>
      </c>
      <c r="GD137" t="e">
        <f>'All regions'!G3433+"n/&gt;!'L}"</f>
        <v>#VALUE!</v>
      </c>
      <c r="GE137" t="e">
        <f>'All regions'!H3433+"n/&gt;!'L~"</f>
        <v>#VALUE!</v>
      </c>
      <c r="GF137" t="e">
        <f>'All regions'!I3433+"n/&gt;!'M#"</f>
        <v>#VALUE!</v>
      </c>
      <c r="GG137" t="e">
        <f>'All regions'!J3433+"n/&gt;!'M$"</f>
        <v>#VALUE!</v>
      </c>
      <c r="GH137" t="e">
        <f>'All regions'!A3434+"n/&gt;!'M%"</f>
        <v>#VALUE!</v>
      </c>
      <c r="GI137" t="e">
        <f>'All regions'!B3434+"n/&gt;!'M&amp;"</f>
        <v>#VALUE!</v>
      </c>
      <c r="GJ137" t="e">
        <f>'All regions'!C3434+"n/&gt;!'M'"</f>
        <v>#VALUE!</v>
      </c>
      <c r="GK137" t="e">
        <f>'All regions'!D3434+"n/&gt;!'M("</f>
        <v>#VALUE!</v>
      </c>
      <c r="GL137" t="e">
        <f>'All regions'!E3434+"n/&gt;!'M)"</f>
        <v>#VALUE!</v>
      </c>
      <c r="GM137" t="e">
        <f>'All regions'!F3434+"n/&gt;!'M."</f>
        <v>#VALUE!</v>
      </c>
      <c r="GN137" t="e">
        <f>'All regions'!G3434+"n/&gt;!'M/"</f>
        <v>#VALUE!</v>
      </c>
      <c r="GO137" t="e">
        <f>'All regions'!H3434+"n/&gt;!'M0"</f>
        <v>#VALUE!</v>
      </c>
      <c r="GP137" t="e">
        <f>'All regions'!I3434+"n/&gt;!'M1"</f>
        <v>#VALUE!</v>
      </c>
      <c r="GQ137" t="e">
        <f>'All regions'!J3434+"n/&gt;!'M2"</f>
        <v>#VALUE!</v>
      </c>
      <c r="GR137" t="e">
        <f>'All regions'!A3435+"n/&gt;!'M3"</f>
        <v>#VALUE!</v>
      </c>
      <c r="GS137" t="e">
        <f>'All regions'!B3435+"n/&gt;!'M4"</f>
        <v>#VALUE!</v>
      </c>
      <c r="GT137" t="e">
        <f>'All regions'!C3435+"n/&gt;!'M5"</f>
        <v>#VALUE!</v>
      </c>
      <c r="GU137" t="e">
        <f>'All regions'!D3435+"n/&gt;!'M6"</f>
        <v>#VALUE!</v>
      </c>
      <c r="GV137" t="e">
        <f>'All regions'!E3435+"n/&gt;!'M7"</f>
        <v>#VALUE!</v>
      </c>
      <c r="GW137" t="e">
        <f>'All regions'!F3435+"n/&gt;!'M8"</f>
        <v>#VALUE!</v>
      </c>
      <c r="GX137" t="e">
        <f>'All regions'!G3435+"n/&gt;!'M9"</f>
        <v>#VALUE!</v>
      </c>
      <c r="GY137" t="e">
        <f>'All regions'!H3435+"n/&gt;!'M:"</f>
        <v>#VALUE!</v>
      </c>
      <c r="GZ137" t="e">
        <f>'All regions'!I3435+"n/&gt;!'M;"</f>
        <v>#VALUE!</v>
      </c>
      <c r="HA137" t="e">
        <f>'All regions'!J3435+"n/&gt;!'M&lt;"</f>
        <v>#VALUE!</v>
      </c>
      <c r="HB137" t="e">
        <f>'All regions'!A3436+"n/&gt;!'M="</f>
        <v>#VALUE!</v>
      </c>
      <c r="HC137" t="e">
        <f>'All regions'!B3436+"n/&gt;!'M&gt;"</f>
        <v>#VALUE!</v>
      </c>
      <c r="HD137" t="e">
        <f>'All regions'!C3436+"n/&gt;!'M?"</f>
        <v>#VALUE!</v>
      </c>
      <c r="HE137" t="e">
        <f>'All regions'!D3436+"n/&gt;!'M@"</f>
        <v>#VALUE!</v>
      </c>
      <c r="HF137" t="e">
        <f>'All regions'!E3436+"n/&gt;!'MA"</f>
        <v>#VALUE!</v>
      </c>
      <c r="HG137" t="e">
        <f>'All regions'!F3436+"n/&gt;!'MB"</f>
        <v>#VALUE!</v>
      </c>
      <c r="HH137" t="e">
        <f>'All regions'!G3436+"n/&gt;!'MC"</f>
        <v>#VALUE!</v>
      </c>
      <c r="HI137" t="e">
        <f>'All regions'!H3436+"n/&gt;!'MD"</f>
        <v>#VALUE!</v>
      </c>
      <c r="HJ137" t="e">
        <f>'All regions'!I3436+"n/&gt;!'ME"</f>
        <v>#VALUE!</v>
      </c>
      <c r="HK137" t="e">
        <f>'All regions'!J3436+"n/&gt;!'MF"</f>
        <v>#VALUE!</v>
      </c>
      <c r="HL137" t="e">
        <f>'All regions'!A3437+"n/&gt;!'MG"</f>
        <v>#VALUE!</v>
      </c>
      <c r="HM137" t="e">
        <f>'All regions'!B3437+"n/&gt;!'MH"</f>
        <v>#VALUE!</v>
      </c>
      <c r="HN137" t="e">
        <f>'All regions'!C3437+"n/&gt;!'MI"</f>
        <v>#VALUE!</v>
      </c>
      <c r="HO137" t="e">
        <f>'All regions'!D3437+"n/&gt;!'MJ"</f>
        <v>#VALUE!</v>
      </c>
      <c r="HP137" t="e">
        <f>'All regions'!E3437+"n/&gt;!'MK"</f>
        <v>#VALUE!</v>
      </c>
      <c r="HQ137" t="e">
        <f>'All regions'!F3437+"n/&gt;!'ML"</f>
        <v>#VALUE!</v>
      </c>
      <c r="HR137" t="e">
        <f>'All regions'!G3437+"n/&gt;!'MM"</f>
        <v>#VALUE!</v>
      </c>
      <c r="HS137" t="e">
        <f>'All regions'!H3437+"n/&gt;!'MN"</f>
        <v>#VALUE!</v>
      </c>
      <c r="HT137" t="e">
        <f>'All regions'!I3437+"n/&gt;!'MO"</f>
        <v>#VALUE!</v>
      </c>
      <c r="HU137" t="e">
        <f>'All regions'!J3437+"n/&gt;!'MP"</f>
        <v>#VALUE!</v>
      </c>
      <c r="HV137" t="e">
        <f>'All regions'!A3438+"n/&gt;!'MQ"</f>
        <v>#VALUE!</v>
      </c>
      <c r="HW137" t="e">
        <f>'All regions'!B3438+"n/&gt;!'MR"</f>
        <v>#VALUE!</v>
      </c>
      <c r="HX137" t="e">
        <f>'All regions'!C3438+"n/&gt;!'MS"</f>
        <v>#VALUE!</v>
      </c>
      <c r="HY137" t="e">
        <f>'All regions'!D3438+"n/&gt;!'MT"</f>
        <v>#VALUE!</v>
      </c>
      <c r="HZ137" t="e">
        <f>'All regions'!E3438+"n/&gt;!'MU"</f>
        <v>#VALUE!</v>
      </c>
      <c r="IA137" t="e">
        <f>'All regions'!F3438+"n/&gt;!'MV"</f>
        <v>#VALUE!</v>
      </c>
      <c r="IB137" t="e">
        <f>'All regions'!G3438+"n/&gt;!'MW"</f>
        <v>#VALUE!</v>
      </c>
      <c r="IC137" t="e">
        <f>'All regions'!H3438+"n/&gt;!'MX"</f>
        <v>#VALUE!</v>
      </c>
      <c r="ID137" t="e">
        <f>'All regions'!I3438+"n/&gt;!'MY"</f>
        <v>#VALUE!</v>
      </c>
      <c r="IE137" t="e">
        <f>'All regions'!J3438+"n/&gt;!'MZ"</f>
        <v>#VALUE!</v>
      </c>
      <c r="IF137" t="e">
        <f>'All regions'!A3439+"n/&gt;!'M["</f>
        <v>#VALUE!</v>
      </c>
      <c r="IG137" t="e">
        <f>'All regions'!B3439+"n/&gt;!'M\"</f>
        <v>#VALUE!</v>
      </c>
      <c r="IH137" t="e">
        <f>'All regions'!C3439+"n/&gt;!'M]"</f>
        <v>#VALUE!</v>
      </c>
      <c r="II137" t="e">
        <f>'All regions'!D3439+"n/&gt;!'M^"</f>
        <v>#VALUE!</v>
      </c>
      <c r="IJ137" t="e">
        <f>'All regions'!E3439+"n/&gt;!'M_"</f>
        <v>#VALUE!</v>
      </c>
      <c r="IK137" t="e">
        <f>'All regions'!F3439+"n/&gt;!'M`"</f>
        <v>#VALUE!</v>
      </c>
      <c r="IL137" t="e">
        <f>'All regions'!G3439+"n/&gt;!'Ma"</f>
        <v>#VALUE!</v>
      </c>
      <c r="IM137" t="e">
        <f>'All regions'!H3439+"n/&gt;!'Mb"</f>
        <v>#VALUE!</v>
      </c>
      <c r="IN137" t="e">
        <f>'All regions'!I3439+"n/&gt;!'Mc"</f>
        <v>#VALUE!</v>
      </c>
      <c r="IO137" t="e">
        <f>'All regions'!J3439+"n/&gt;!'Md"</f>
        <v>#VALUE!</v>
      </c>
      <c r="IP137" t="e">
        <f>'All regions'!A3440+"n/&gt;!'Me"</f>
        <v>#VALUE!</v>
      </c>
      <c r="IQ137" t="e">
        <f>'All regions'!B3440+"n/&gt;!'Mf"</f>
        <v>#VALUE!</v>
      </c>
      <c r="IR137" t="e">
        <f>'All regions'!C3440+"n/&gt;!'Mg"</f>
        <v>#VALUE!</v>
      </c>
      <c r="IS137" t="e">
        <f>'All regions'!D3440+"n/&gt;!'Mh"</f>
        <v>#VALUE!</v>
      </c>
      <c r="IT137" t="e">
        <f>'All regions'!E3440+"n/&gt;!'Mi"</f>
        <v>#VALUE!</v>
      </c>
      <c r="IU137" t="e">
        <f>'All regions'!F3440+"n/&gt;!'Mj"</f>
        <v>#VALUE!</v>
      </c>
      <c r="IV137" t="e">
        <f>'All regions'!G3440+"n/&gt;!'Mk"</f>
        <v>#VALUE!</v>
      </c>
    </row>
    <row r="138" spans="6:256" x14ac:dyDescent="0.35">
      <c r="F138" t="e">
        <f>'All regions'!H3440+"n/&gt;!'Ml"</f>
        <v>#VALUE!</v>
      </c>
      <c r="G138" t="e">
        <f>'All regions'!I3440+"n/&gt;!'Mm"</f>
        <v>#VALUE!</v>
      </c>
      <c r="H138" t="e">
        <f>'All regions'!J3440+"n/&gt;!'Mn"</f>
        <v>#VALUE!</v>
      </c>
      <c r="I138" t="e">
        <f>'All regions'!A3441+"n/&gt;!'Mo"</f>
        <v>#VALUE!</v>
      </c>
      <c r="J138" t="e">
        <f>'All regions'!B3441+"n/&gt;!'Mp"</f>
        <v>#VALUE!</v>
      </c>
      <c r="K138" t="e">
        <f>'All regions'!C3441+"n/&gt;!'Mq"</f>
        <v>#VALUE!</v>
      </c>
      <c r="L138" t="e">
        <f>'All regions'!D3441+"n/&gt;!'Mr"</f>
        <v>#VALUE!</v>
      </c>
      <c r="M138" t="e">
        <f>'All regions'!E3441+"n/&gt;!'Ms"</f>
        <v>#VALUE!</v>
      </c>
      <c r="N138" t="e">
        <f>'All regions'!F3441+"n/&gt;!'Mt"</f>
        <v>#VALUE!</v>
      </c>
      <c r="O138" t="e">
        <f>'All regions'!G3441+"n/&gt;!'Mu"</f>
        <v>#VALUE!</v>
      </c>
      <c r="P138" t="e">
        <f>'All regions'!H3441+"n/&gt;!'Mv"</f>
        <v>#VALUE!</v>
      </c>
      <c r="Q138" t="e">
        <f>'All regions'!I3441+"n/&gt;!'Mw"</f>
        <v>#VALUE!</v>
      </c>
      <c r="R138" t="e">
        <f>'All regions'!J3441+"n/&gt;!'Mx"</f>
        <v>#VALUE!</v>
      </c>
      <c r="S138" t="e">
        <f>'All regions'!A3442+"n/&gt;!'My"</f>
        <v>#VALUE!</v>
      </c>
      <c r="T138" t="e">
        <f>'All regions'!B3442+"n/&gt;!'Mz"</f>
        <v>#VALUE!</v>
      </c>
      <c r="U138" t="e">
        <f>'All regions'!C3442+"n/&gt;!'M{"</f>
        <v>#VALUE!</v>
      </c>
      <c r="V138" t="e">
        <f>'All regions'!D3442+"n/&gt;!'M|"</f>
        <v>#VALUE!</v>
      </c>
      <c r="W138" t="e">
        <f>'All regions'!E3442+"n/&gt;!'M}"</f>
        <v>#VALUE!</v>
      </c>
      <c r="X138" t="e">
        <f>'All regions'!F3442+"n/&gt;!'M~"</f>
        <v>#VALUE!</v>
      </c>
      <c r="Y138" t="e">
        <f>'All regions'!G3442+"n/&gt;!'N#"</f>
        <v>#VALUE!</v>
      </c>
      <c r="Z138" t="e">
        <f>'All regions'!H3442+"n/&gt;!'N$"</f>
        <v>#VALUE!</v>
      </c>
      <c r="AA138" t="e">
        <f>'All regions'!I3442+"n/&gt;!'N%"</f>
        <v>#VALUE!</v>
      </c>
      <c r="AB138" t="e">
        <f>'All regions'!J3442+"n/&gt;!'N&amp;"</f>
        <v>#VALUE!</v>
      </c>
      <c r="AC138" t="e">
        <f>'All regions'!A3443+"n/&gt;!'N'"</f>
        <v>#VALUE!</v>
      </c>
      <c r="AD138" t="e">
        <f>'All regions'!B3443+"n/&gt;!'N("</f>
        <v>#VALUE!</v>
      </c>
      <c r="AE138" t="e">
        <f>'All regions'!C3443+"n/&gt;!'N)"</f>
        <v>#VALUE!</v>
      </c>
      <c r="AF138" t="e">
        <f>'All regions'!D3443+"n/&gt;!'N."</f>
        <v>#VALUE!</v>
      </c>
      <c r="AG138" t="e">
        <f>'All regions'!E3443+"n/&gt;!'N/"</f>
        <v>#VALUE!</v>
      </c>
      <c r="AH138" t="e">
        <f>'All regions'!F3443+"n/&gt;!'N0"</f>
        <v>#VALUE!</v>
      </c>
      <c r="AI138" t="e">
        <f>'All regions'!G3443+"n/&gt;!'N1"</f>
        <v>#VALUE!</v>
      </c>
      <c r="AJ138" t="e">
        <f>'All regions'!H3443+"n/&gt;!'N2"</f>
        <v>#VALUE!</v>
      </c>
      <c r="AK138" t="e">
        <f>'All regions'!I3443+"n/&gt;!'N3"</f>
        <v>#VALUE!</v>
      </c>
      <c r="AL138" t="e">
        <f>'All regions'!J3443+"n/&gt;!'N4"</f>
        <v>#VALUE!</v>
      </c>
      <c r="AM138" t="e">
        <f>'All regions'!A3444+"n/&gt;!'N5"</f>
        <v>#VALUE!</v>
      </c>
      <c r="AN138" t="e">
        <f>'All regions'!B3444+"n/&gt;!'N6"</f>
        <v>#VALUE!</v>
      </c>
      <c r="AO138" t="e">
        <f>'All regions'!C3444+"n/&gt;!'N7"</f>
        <v>#VALUE!</v>
      </c>
      <c r="AP138" t="e">
        <f>'All regions'!D3444+"n/&gt;!'N8"</f>
        <v>#VALUE!</v>
      </c>
      <c r="AQ138" t="e">
        <f>'All regions'!E3444+"n/&gt;!'N9"</f>
        <v>#VALUE!</v>
      </c>
      <c r="AR138" t="e">
        <f>'All regions'!F3444+"n/&gt;!'N:"</f>
        <v>#VALUE!</v>
      </c>
      <c r="AS138" t="e">
        <f>'All regions'!G3444+"n/&gt;!'N;"</f>
        <v>#VALUE!</v>
      </c>
      <c r="AT138" t="e">
        <f>'All regions'!H3444+"n/&gt;!'N&lt;"</f>
        <v>#VALUE!</v>
      </c>
      <c r="AU138" t="e">
        <f>'All regions'!I3444+"n/&gt;!'N="</f>
        <v>#VALUE!</v>
      </c>
      <c r="AV138" t="e">
        <f>'All regions'!J3444+"n/&gt;!'N&gt;"</f>
        <v>#VALUE!</v>
      </c>
      <c r="AW138" t="e">
        <f>'All regions'!A3445+"n/&gt;!'N?"</f>
        <v>#VALUE!</v>
      </c>
      <c r="AX138" t="e">
        <f>'All regions'!B3445+"n/&gt;!'N@"</f>
        <v>#VALUE!</v>
      </c>
      <c r="AY138" t="e">
        <f>'All regions'!C3445+"n/&gt;!'NA"</f>
        <v>#VALUE!</v>
      </c>
      <c r="AZ138" t="e">
        <f>'All regions'!D3445+"n/&gt;!'NB"</f>
        <v>#VALUE!</v>
      </c>
      <c r="BA138" t="e">
        <f>'All regions'!E3445+"n/&gt;!'NC"</f>
        <v>#VALUE!</v>
      </c>
      <c r="BB138" t="e">
        <f>'All regions'!F3445+"n/&gt;!'ND"</f>
        <v>#VALUE!</v>
      </c>
      <c r="BC138" t="e">
        <f>'All regions'!G3445+"n/&gt;!'NE"</f>
        <v>#VALUE!</v>
      </c>
      <c r="BD138" t="e">
        <f>'All regions'!H3445+"n/&gt;!'NF"</f>
        <v>#VALUE!</v>
      </c>
      <c r="BE138" t="e">
        <f>'All regions'!I3445+"n/&gt;!'NG"</f>
        <v>#VALUE!</v>
      </c>
      <c r="BF138" t="e">
        <f>'All regions'!J3445+"n/&gt;!'NH"</f>
        <v>#VALUE!</v>
      </c>
      <c r="BG138" t="e">
        <f>'All regions'!A3446+"n/&gt;!'NI"</f>
        <v>#VALUE!</v>
      </c>
      <c r="BH138" t="e">
        <f>'All regions'!B3446+"n/&gt;!'NJ"</f>
        <v>#VALUE!</v>
      </c>
      <c r="BI138" t="e">
        <f>'All regions'!C3446+"n/&gt;!'NK"</f>
        <v>#VALUE!</v>
      </c>
      <c r="BJ138" t="e">
        <f>'All regions'!D3446+"n/&gt;!'NL"</f>
        <v>#VALUE!</v>
      </c>
      <c r="BK138" t="e">
        <f>'All regions'!E3446+"n/&gt;!'NM"</f>
        <v>#VALUE!</v>
      </c>
      <c r="BL138" t="e">
        <f>'All regions'!F3446+"n/&gt;!'NN"</f>
        <v>#VALUE!</v>
      </c>
      <c r="BM138" t="e">
        <f>'All regions'!G3446+"n/&gt;!'NO"</f>
        <v>#VALUE!</v>
      </c>
      <c r="BN138" t="e">
        <f>'All regions'!H3446+"n/&gt;!'NP"</f>
        <v>#VALUE!</v>
      </c>
      <c r="BO138" t="e">
        <f>'All regions'!I3446+"n/&gt;!'NQ"</f>
        <v>#VALUE!</v>
      </c>
      <c r="BP138" t="e">
        <f>'All regions'!J3446+"n/&gt;!'NR"</f>
        <v>#VALUE!</v>
      </c>
      <c r="BQ138" t="e">
        <f>'All regions'!A3447+"n/&gt;!'NS"</f>
        <v>#VALUE!</v>
      </c>
      <c r="BR138" t="e">
        <f>'All regions'!B3447+"n/&gt;!'NT"</f>
        <v>#VALUE!</v>
      </c>
      <c r="BS138" t="e">
        <f>'All regions'!C3447+"n/&gt;!'NU"</f>
        <v>#VALUE!</v>
      </c>
      <c r="BT138" t="e">
        <f>'All regions'!D3447+"n/&gt;!'NV"</f>
        <v>#VALUE!</v>
      </c>
      <c r="BU138" t="e">
        <f>'All regions'!E3447+"n/&gt;!'NW"</f>
        <v>#VALUE!</v>
      </c>
      <c r="BV138" t="e">
        <f>'All regions'!F3447+"n/&gt;!'NX"</f>
        <v>#VALUE!</v>
      </c>
      <c r="BW138" t="e">
        <f>'All regions'!G3447+"n/&gt;!'NY"</f>
        <v>#VALUE!</v>
      </c>
      <c r="BX138" t="e">
        <f>'All regions'!H3447+"n/&gt;!'NZ"</f>
        <v>#VALUE!</v>
      </c>
      <c r="BY138" t="e">
        <f>'All regions'!I3447+"n/&gt;!'N["</f>
        <v>#VALUE!</v>
      </c>
      <c r="BZ138" t="e">
        <f>'All regions'!J3447+"n/&gt;!'N\"</f>
        <v>#VALUE!</v>
      </c>
      <c r="CA138" t="e">
        <f>'All regions'!A3448+"n/&gt;!'N]"</f>
        <v>#VALUE!</v>
      </c>
      <c r="CB138" t="e">
        <f>'All regions'!B3448+"n/&gt;!'N^"</f>
        <v>#VALUE!</v>
      </c>
      <c r="CC138" t="e">
        <f>'All regions'!C3448+"n/&gt;!'N_"</f>
        <v>#VALUE!</v>
      </c>
      <c r="CD138" t="e">
        <f>'All regions'!D3448+"n/&gt;!'N`"</f>
        <v>#VALUE!</v>
      </c>
      <c r="CE138" t="e">
        <f>'All regions'!E3448+"n/&gt;!'Na"</f>
        <v>#VALUE!</v>
      </c>
      <c r="CF138" t="e">
        <f>'All regions'!F3448+"n/&gt;!'Nb"</f>
        <v>#VALUE!</v>
      </c>
      <c r="CG138" t="e">
        <f>'All regions'!G3448+"n/&gt;!'Nc"</f>
        <v>#VALUE!</v>
      </c>
      <c r="CH138" t="e">
        <f>'All regions'!H3448+"n/&gt;!'Nd"</f>
        <v>#VALUE!</v>
      </c>
      <c r="CI138" t="e">
        <f>'All regions'!I3448+"n/&gt;!'Ne"</f>
        <v>#VALUE!</v>
      </c>
      <c r="CJ138" t="e">
        <f>'All regions'!J3448+"n/&gt;!'Nf"</f>
        <v>#VALUE!</v>
      </c>
      <c r="CK138" t="e">
        <f>'All regions'!A3449+"n/&gt;!'Ng"</f>
        <v>#VALUE!</v>
      </c>
      <c r="CL138" t="e">
        <f>'All regions'!B3449+"n/&gt;!'Nh"</f>
        <v>#VALUE!</v>
      </c>
      <c r="CM138" t="e">
        <f>'All regions'!C3449+"n/&gt;!'Ni"</f>
        <v>#VALUE!</v>
      </c>
      <c r="CN138" t="e">
        <f>'All regions'!D3449+"n/&gt;!'Nj"</f>
        <v>#VALUE!</v>
      </c>
      <c r="CO138" t="e">
        <f>'All regions'!E3449+"n/&gt;!'Nk"</f>
        <v>#VALUE!</v>
      </c>
      <c r="CP138" t="e">
        <f>'All regions'!F3449+"n/&gt;!'Nl"</f>
        <v>#VALUE!</v>
      </c>
      <c r="CQ138" t="e">
        <f>'All regions'!G3449+"n/&gt;!'Nm"</f>
        <v>#VALUE!</v>
      </c>
      <c r="CR138" t="e">
        <f>'All regions'!H3449+"n/&gt;!'Nn"</f>
        <v>#VALUE!</v>
      </c>
      <c r="CS138" t="e">
        <f>'All regions'!I3449+"n/&gt;!'No"</f>
        <v>#VALUE!</v>
      </c>
      <c r="CT138" t="e">
        <f>'All regions'!J3449+"n/&gt;!'Np"</f>
        <v>#VALUE!</v>
      </c>
      <c r="CU138" t="e">
        <f>'All regions'!A3450+"n/&gt;!'Nq"</f>
        <v>#VALUE!</v>
      </c>
      <c r="CV138" t="e">
        <f>'All regions'!B3450+"n/&gt;!'Nr"</f>
        <v>#VALUE!</v>
      </c>
      <c r="CW138" t="e">
        <f>'All regions'!C3450+"n/&gt;!'Ns"</f>
        <v>#VALUE!</v>
      </c>
      <c r="CX138" t="e">
        <f>'All regions'!D3450+"n/&gt;!'Nt"</f>
        <v>#VALUE!</v>
      </c>
      <c r="CY138" t="e">
        <f>'All regions'!E3450+"n/&gt;!'Nu"</f>
        <v>#VALUE!</v>
      </c>
      <c r="CZ138" t="e">
        <f>'All regions'!F3450+"n/&gt;!'Nv"</f>
        <v>#VALUE!</v>
      </c>
      <c r="DA138" t="e">
        <f>'All regions'!G3450+"n/&gt;!'Nw"</f>
        <v>#VALUE!</v>
      </c>
      <c r="DB138" t="e">
        <f>'All regions'!H3450+"n/&gt;!'Nx"</f>
        <v>#VALUE!</v>
      </c>
      <c r="DC138" t="e">
        <f>'All regions'!I3450+"n/&gt;!'Ny"</f>
        <v>#VALUE!</v>
      </c>
      <c r="DD138" t="e">
        <f>'All regions'!J3450+"n/&gt;!'Nz"</f>
        <v>#VALUE!</v>
      </c>
      <c r="DE138" t="e">
        <f>'All regions'!A3451+"n/&gt;!'N{"</f>
        <v>#VALUE!</v>
      </c>
      <c r="DF138" t="e">
        <f>'All regions'!B3451+"n/&gt;!'N|"</f>
        <v>#VALUE!</v>
      </c>
      <c r="DG138" t="e">
        <f>'All regions'!C3451+"n/&gt;!'N}"</f>
        <v>#VALUE!</v>
      </c>
      <c r="DH138" t="e">
        <f>'All regions'!D3451+"n/&gt;!'N~"</f>
        <v>#VALUE!</v>
      </c>
      <c r="DI138" t="e">
        <f>'All regions'!E3451+"n/&gt;!'O#"</f>
        <v>#VALUE!</v>
      </c>
      <c r="DJ138" t="e">
        <f>'All regions'!F3451+"n/&gt;!'O$"</f>
        <v>#VALUE!</v>
      </c>
      <c r="DK138" t="e">
        <f>'All regions'!G3451+"n/&gt;!'O%"</f>
        <v>#VALUE!</v>
      </c>
      <c r="DL138" t="e">
        <f>'All regions'!H3451+"n/&gt;!'O&amp;"</f>
        <v>#VALUE!</v>
      </c>
      <c r="DM138" t="e">
        <f>'All regions'!I3451+"n/&gt;!'O'"</f>
        <v>#VALUE!</v>
      </c>
      <c r="DN138" t="e">
        <f>'All regions'!J3451+"n/&gt;!'O("</f>
        <v>#VALUE!</v>
      </c>
      <c r="DO138" t="e">
        <f>'All regions'!A3452+"n/&gt;!'O)"</f>
        <v>#VALUE!</v>
      </c>
      <c r="DP138" t="e">
        <f>'All regions'!B3452+"n/&gt;!'O."</f>
        <v>#VALUE!</v>
      </c>
      <c r="DQ138" t="e">
        <f>'All regions'!C3452+"n/&gt;!'O/"</f>
        <v>#VALUE!</v>
      </c>
      <c r="DR138" t="e">
        <f>'All regions'!D3452+"n/&gt;!'O0"</f>
        <v>#VALUE!</v>
      </c>
      <c r="DS138" t="e">
        <f>'All regions'!E3452+"n/&gt;!'O1"</f>
        <v>#VALUE!</v>
      </c>
      <c r="DT138" t="e">
        <f>'All regions'!F3452+"n/&gt;!'O2"</f>
        <v>#VALUE!</v>
      </c>
      <c r="DU138" t="e">
        <f>'All regions'!G3452+"n/&gt;!'O3"</f>
        <v>#VALUE!</v>
      </c>
      <c r="DV138" t="e">
        <f>'All regions'!H3452+"n/&gt;!'O4"</f>
        <v>#VALUE!</v>
      </c>
      <c r="DW138" t="e">
        <f>'All regions'!I3452+"n/&gt;!'O5"</f>
        <v>#VALUE!</v>
      </c>
      <c r="DX138" t="e">
        <f>'All regions'!J3452+"n/&gt;!'O6"</f>
        <v>#VALUE!</v>
      </c>
      <c r="DY138" t="e">
        <f>'All regions'!A3453+"n/&gt;!'O7"</f>
        <v>#VALUE!</v>
      </c>
      <c r="DZ138" t="e">
        <f>'All regions'!B3453+"n/&gt;!'O8"</f>
        <v>#VALUE!</v>
      </c>
      <c r="EA138" t="e">
        <f>'All regions'!C3453+"n/&gt;!'O9"</f>
        <v>#VALUE!</v>
      </c>
      <c r="EB138" t="e">
        <f>'All regions'!D3453+"n/&gt;!'O:"</f>
        <v>#VALUE!</v>
      </c>
      <c r="EC138" t="e">
        <f>'All regions'!E3453+"n/&gt;!'O;"</f>
        <v>#VALUE!</v>
      </c>
      <c r="ED138" t="e">
        <f>'All regions'!F3453+"n/&gt;!'O&lt;"</f>
        <v>#VALUE!</v>
      </c>
      <c r="EE138" t="e">
        <f>'All regions'!G3453+"n/&gt;!'O="</f>
        <v>#VALUE!</v>
      </c>
      <c r="EF138" t="e">
        <f>'All regions'!H3453+"n/&gt;!'O&gt;"</f>
        <v>#VALUE!</v>
      </c>
      <c r="EG138" t="e">
        <f>'All regions'!I3453+"n/&gt;!'O?"</f>
        <v>#VALUE!</v>
      </c>
      <c r="EH138" t="e">
        <f>'All regions'!J3453+"n/&gt;!'O@"</f>
        <v>#VALUE!</v>
      </c>
      <c r="EI138" t="e">
        <f>'All regions'!A3454+"n/&gt;!'OA"</f>
        <v>#VALUE!</v>
      </c>
      <c r="EJ138" t="e">
        <f>'All regions'!B3454+"n/&gt;!'OB"</f>
        <v>#VALUE!</v>
      </c>
      <c r="EK138" t="e">
        <f>'All regions'!C3454+"n/&gt;!'OC"</f>
        <v>#VALUE!</v>
      </c>
      <c r="EL138" t="e">
        <f>'All regions'!D3454+"n/&gt;!'OD"</f>
        <v>#VALUE!</v>
      </c>
      <c r="EM138" t="e">
        <f>'All regions'!E3454+"n/&gt;!'OE"</f>
        <v>#VALUE!</v>
      </c>
      <c r="EN138" t="e">
        <f>'All regions'!F3454+"n/&gt;!'OF"</f>
        <v>#VALUE!</v>
      </c>
      <c r="EO138" t="e">
        <f>'All regions'!G3454+"n/&gt;!'OG"</f>
        <v>#VALUE!</v>
      </c>
      <c r="EP138" t="e">
        <f>'All regions'!H3454+"n/&gt;!'OH"</f>
        <v>#VALUE!</v>
      </c>
      <c r="EQ138" t="e">
        <f>'All regions'!I3454+"n/&gt;!'OI"</f>
        <v>#VALUE!</v>
      </c>
      <c r="ER138" t="e">
        <f>'All regions'!J3454+"n/&gt;!'OJ"</f>
        <v>#VALUE!</v>
      </c>
      <c r="ES138" t="e">
        <f>'All regions'!A3455+"n/&gt;!'OK"</f>
        <v>#VALUE!</v>
      </c>
      <c r="ET138" t="e">
        <f>'All regions'!B3455+"n/&gt;!'OL"</f>
        <v>#VALUE!</v>
      </c>
      <c r="EU138" t="e">
        <f>'All regions'!C3455+"n/&gt;!'OM"</f>
        <v>#VALUE!</v>
      </c>
      <c r="EV138" t="e">
        <f>'All regions'!D3455+"n/&gt;!'ON"</f>
        <v>#VALUE!</v>
      </c>
      <c r="EW138" t="e">
        <f>'All regions'!E3455+"n/&gt;!'OO"</f>
        <v>#VALUE!</v>
      </c>
      <c r="EX138" t="e">
        <f>'All regions'!F3455+"n/&gt;!'OP"</f>
        <v>#VALUE!</v>
      </c>
      <c r="EY138" t="e">
        <f>'All regions'!G3455+"n/&gt;!'OQ"</f>
        <v>#VALUE!</v>
      </c>
      <c r="EZ138" t="e">
        <f>'All regions'!H3455+"n/&gt;!'OR"</f>
        <v>#VALUE!</v>
      </c>
      <c r="FA138" t="e">
        <f>'All regions'!I3455+"n/&gt;!'OS"</f>
        <v>#VALUE!</v>
      </c>
      <c r="FB138" t="e">
        <f>'All regions'!J3455+"n/&gt;!'OT"</f>
        <v>#VALUE!</v>
      </c>
      <c r="FC138" t="e">
        <f>'All regions'!A3456+"n/&gt;!'OU"</f>
        <v>#VALUE!</v>
      </c>
      <c r="FD138" t="e">
        <f>'All regions'!B3456+"n/&gt;!'OV"</f>
        <v>#VALUE!</v>
      </c>
      <c r="FE138" t="e">
        <f>'All regions'!C3456+"n/&gt;!'OW"</f>
        <v>#VALUE!</v>
      </c>
      <c r="FF138" t="e">
        <f>'All regions'!D3456+"n/&gt;!'OX"</f>
        <v>#VALUE!</v>
      </c>
      <c r="FG138" t="e">
        <f>'All regions'!E3456+"n/&gt;!'OY"</f>
        <v>#VALUE!</v>
      </c>
      <c r="FH138" t="e">
        <f>'All regions'!F3456+"n/&gt;!'OZ"</f>
        <v>#VALUE!</v>
      </c>
      <c r="FI138" t="e">
        <f>'All regions'!G3456+"n/&gt;!'O["</f>
        <v>#VALUE!</v>
      </c>
      <c r="FJ138" t="e">
        <f>'All regions'!H3456+"n/&gt;!'O\"</f>
        <v>#VALUE!</v>
      </c>
      <c r="FK138" t="e">
        <f>'All regions'!I3456+"n/&gt;!'O]"</f>
        <v>#VALUE!</v>
      </c>
      <c r="FL138" t="e">
        <f>'All regions'!J3456+"n/&gt;!'O^"</f>
        <v>#VALUE!</v>
      </c>
      <c r="FM138" t="e">
        <f>'All regions'!A3457+"n/&gt;!'O_"</f>
        <v>#VALUE!</v>
      </c>
      <c r="FN138" t="e">
        <f>'All regions'!B3457+"n/&gt;!'O`"</f>
        <v>#VALUE!</v>
      </c>
      <c r="FO138" t="e">
        <f>'All regions'!C3457+"n/&gt;!'Oa"</f>
        <v>#VALUE!</v>
      </c>
      <c r="FP138" t="e">
        <f>'All regions'!D3457+"n/&gt;!'Ob"</f>
        <v>#VALUE!</v>
      </c>
      <c r="FQ138" t="e">
        <f>'All regions'!E3457+"n/&gt;!'Oc"</f>
        <v>#VALUE!</v>
      </c>
      <c r="FR138" t="e">
        <f>'All regions'!F3457+"n/&gt;!'Od"</f>
        <v>#VALUE!</v>
      </c>
      <c r="FS138" t="e">
        <f>'All regions'!G3457+"n/&gt;!'Oe"</f>
        <v>#VALUE!</v>
      </c>
      <c r="FT138" t="e">
        <f>'All regions'!H3457+"n/&gt;!'Of"</f>
        <v>#VALUE!</v>
      </c>
      <c r="FU138" t="e">
        <f>'All regions'!I3457+"n/&gt;!'Og"</f>
        <v>#VALUE!</v>
      </c>
      <c r="FV138" t="e">
        <f>'All regions'!J3457+"n/&gt;!'Oh"</f>
        <v>#VALUE!</v>
      </c>
      <c r="FW138" t="e">
        <f>'All regions'!A3458+"n/&gt;!'Oi"</f>
        <v>#VALUE!</v>
      </c>
      <c r="FX138" t="e">
        <f>'All regions'!B3458+"n/&gt;!'Oj"</f>
        <v>#VALUE!</v>
      </c>
      <c r="FY138" t="e">
        <f>'All regions'!C3458+"n/&gt;!'Ok"</f>
        <v>#VALUE!</v>
      </c>
      <c r="FZ138" t="e">
        <f>'All regions'!D3458+"n/&gt;!'Ol"</f>
        <v>#VALUE!</v>
      </c>
      <c r="GA138" t="e">
        <f>'All regions'!E3458+"n/&gt;!'Om"</f>
        <v>#VALUE!</v>
      </c>
      <c r="GB138" t="e">
        <f>'All regions'!F3458+"n/&gt;!'On"</f>
        <v>#VALUE!</v>
      </c>
      <c r="GC138" t="e">
        <f>'All regions'!G3458+"n/&gt;!'Oo"</f>
        <v>#VALUE!</v>
      </c>
      <c r="GD138" t="e">
        <f>'All regions'!H3458+"n/&gt;!'Op"</f>
        <v>#VALUE!</v>
      </c>
      <c r="GE138" t="e">
        <f>'All regions'!I3458+"n/&gt;!'Oq"</f>
        <v>#VALUE!</v>
      </c>
      <c r="GF138" t="e">
        <f>'All regions'!J3458+"n/&gt;!'Or"</f>
        <v>#VALUE!</v>
      </c>
      <c r="GG138" t="e">
        <f>'All regions'!A3459+"n/&gt;!'Os"</f>
        <v>#VALUE!</v>
      </c>
      <c r="GH138" t="e">
        <f>'All regions'!B3459+"n/&gt;!'Ot"</f>
        <v>#VALUE!</v>
      </c>
      <c r="GI138" t="e">
        <f>'All regions'!C3459+"n/&gt;!'Ou"</f>
        <v>#VALUE!</v>
      </c>
      <c r="GJ138" t="e">
        <f>'All regions'!D3459+"n/&gt;!'Ov"</f>
        <v>#VALUE!</v>
      </c>
      <c r="GK138" t="e">
        <f>'All regions'!E3459+"n/&gt;!'Ow"</f>
        <v>#VALUE!</v>
      </c>
      <c r="GL138" t="e">
        <f>'All regions'!F3459+"n/&gt;!'Ox"</f>
        <v>#VALUE!</v>
      </c>
      <c r="GM138" t="e">
        <f>'All regions'!G3459+"n/&gt;!'Oy"</f>
        <v>#VALUE!</v>
      </c>
      <c r="GN138" t="e">
        <f>'All regions'!H3459+"n/&gt;!'Oz"</f>
        <v>#VALUE!</v>
      </c>
      <c r="GO138" t="e">
        <f>'All regions'!I3459+"n/&gt;!'O{"</f>
        <v>#VALUE!</v>
      </c>
      <c r="GP138" t="e">
        <f>'All regions'!J3459+"n/&gt;!'O|"</f>
        <v>#VALUE!</v>
      </c>
      <c r="GQ138" t="e">
        <f>'All regions'!A3460+"n/&gt;!'O}"</f>
        <v>#VALUE!</v>
      </c>
      <c r="GR138" t="e">
        <f>'All regions'!B3460+"n/&gt;!'O~"</f>
        <v>#VALUE!</v>
      </c>
      <c r="GS138" t="e">
        <f>'All regions'!C3460+"n/&gt;!'P#"</f>
        <v>#VALUE!</v>
      </c>
      <c r="GT138" t="e">
        <f>'All regions'!D3460+"n/&gt;!'P$"</f>
        <v>#VALUE!</v>
      </c>
      <c r="GU138" t="e">
        <f>'All regions'!E3460+"n/&gt;!'P%"</f>
        <v>#VALUE!</v>
      </c>
      <c r="GV138" t="e">
        <f>'All regions'!F3460+"n/&gt;!'P&amp;"</f>
        <v>#VALUE!</v>
      </c>
      <c r="GW138" t="e">
        <f>'All regions'!G3460+"n/&gt;!'P'"</f>
        <v>#VALUE!</v>
      </c>
      <c r="GX138" t="e">
        <f>'All regions'!H3460+"n/&gt;!'P("</f>
        <v>#VALUE!</v>
      </c>
      <c r="GY138" t="e">
        <f>'All regions'!I3460+"n/&gt;!'P)"</f>
        <v>#VALUE!</v>
      </c>
      <c r="GZ138" t="e">
        <f>'All regions'!J3460+"n/&gt;!'P."</f>
        <v>#VALUE!</v>
      </c>
      <c r="HA138" t="e">
        <f>'All regions'!A3461+"n/&gt;!'P/"</f>
        <v>#VALUE!</v>
      </c>
      <c r="HB138" t="e">
        <f>'All regions'!B3461+"n/&gt;!'P0"</f>
        <v>#VALUE!</v>
      </c>
      <c r="HC138" t="e">
        <f>'All regions'!C3461+"n/&gt;!'P1"</f>
        <v>#VALUE!</v>
      </c>
      <c r="HD138" t="e">
        <f>'All regions'!D3461+"n/&gt;!'P2"</f>
        <v>#VALUE!</v>
      </c>
      <c r="HE138" t="e">
        <f>'All regions'!E3461+"n/&gt;!'P3"</f>
        <v>#VALUE!</v>
      </c>
      <c r="HF138" t="e">
        <f>'All regions'!F3461+"n/&gt;!'P4"</f>
        <v>#VALUE!</v>
      </c>
      <c r="HG138" t="e">
        <f>'All regions'!G3461+"n/&gt;!'P5"</f>
        <v>#VALUE!</v>
      </c>
      <c r="HH138" t="e">
        <f>'All regions'!H3461+"n/&gt;!'P6"</f>
        <v>#VALUE!</v>
      </c>
      <c r="HI138" t="e">
        <f>'All regions'!I3461+"n/&gt;!'P7"</f>
        <v>#VALUE!</v>
      </c>
      <c r="HJ138" t="e">
        <f>'All regions'!J3461+"n/&gt;!'P8"</f>
        <v>#VALUE!</v>
      </c>
      <c r="HK138" t="e">
        <f>'All regions'!A3462+"n/&gt;!'P9"</f>
        <v>#VALUE!</v>
      </c>
      <c r="HL138" t="e">
        <f>'All regions'!B3462+"n/&gt;!'P:"</f>
        <v>#VALUE!</v>
      </c>
      <c r="HM138" t="e">
        <f>'All regions'!C3462+"n/&gt;!'P;"</f>
        <v>#VALUE!</v>
      </c>
      <c r="HN138" t="e">
        <f>'All regions'!D3462+"n/&gt;!'P&lt;"</f>
        <v>#VALUE!</v>
      </c>
      <c r="HO138" t="e">
        <f>'All regions'!E3462+"n/&gt;!'P="</f>
        <v>#VALUE!</v>
      </c>
      <c r="HP138" t="e">
        <f>'All regions'!F3462+"n/&gt;!'P&gt;"</f>
        <v>#VALUE!</v>
      </c>
      <c r="HQ138" t="e">
        <f>'All regions'!G3462+"n/&gt;!'P?"</f>
        <v>#VALUE!</v>
      </c>
      <c r="HR138" t="e">
        <f>'All regions'!H3462+"n/&gt;!'P@"</f>
        <v>#VALUE!</v>
      </c>
      <c r="HS138" t="e">
        <f>'All regions'!I3462+"n/&gt;!'PA"</f>
        <v>#VALUE!</v>
      </c>
      <c r="HT138" t="e">
        <f>'All regions'!J3462+"n/&gt;!'PB"</f>
        <v>#VALUE!</v>
      </c>
      <c r="HU138" t="e">
        <f>'All regions'!A3463+"n/&gt;!'PC"</f>
        <v>#VALUE!</v>
      </c>
      <c r="HV138" t="e">
        <f>'All regions'!B3463+"n/&gt;!'PD"</f>
        <v>#VALUE!</v>
      </c>
      <c r="HW138" t="e">
        <f>'All regions'!C3463+"n/&gt;!'PE"</f>
        <v>#VALUE!</v>
      </c>
      <c r="HX138" t="e">
        <f>'All regions'!D3463+"n/&gt;!'PF"</f>
        <v>#VALUE!</v>
      </c>
      <c r="HY138" t="e">
        <f>'All regions'!E3463+"n/&gt;!'PG"</f>
        <v>#VALUE!</v>
      </c>
      <c r="HZ138" t="e">
        <f>'All regions'!F3463+"n/&gt;!'PH"</f>
        <v>#VALUE!</v>
      </c>
      <c r="IA138" t="e">
        <f>'All regions'!G3463+"n/&gt;!'PI"</f>
        <v>#VALUE!</v>
      </c>
      <c r="IB138" t="e">
        <f>'All regions'!H3463+"n/&gt;!'PJ"</f>
        <v>#VALUE!</v>
      </c>
      <c r="IC138" t="e">
        <f>'All regions'!I3463+"n/&gt;!'PK"</f>
        <v>#VALUE!</v>
      </c>
      <c r="ID138" t="e">
        <f>'All regions'!J3463+"n/&gt;!'PL"</f>
        <v>#VALUE!</v>
      </c>
      <c r="IE138" t="e">
        <f>'All regions'!A3464+"n/&gt;!'PM"</f>
        <v>#VALUE!</v>
      </c>
      <c r="IF138" t="e">
        <f>'All regions'!B3464+"n/&gt;!'PN"</f>
        <v>#VALUE!</v>
      </c>
      <c r="IG138" t="e">
        <f>'All regions'!C3464+"n/&gt;!'PO"</f>
        <v>#VALUE!</v>
      </c>
      <c r="IH138" t="e">
        <f>'All regions'!D3464+"n/&gt;!'PP"</f>
        <v>#VALUE!</v>
      </c>
      <c r="II138" t="e">
        <f>'All regions'!E3464+"n/&gt;!'PQ"</f>
        <v>#VALUE!</v>
      </c>
      <c r="IJ138" t="e">
        <f>'All regions'!F3464+"n/&gt;!'PR"</f>
        <v>#VALUE!</v>
      </c>
      <c r="IK138" t="e">
        <f>'All regions'!G3464+"n/&gt;!'PS"</f>
        <v>#VALUE!</v>
      </c>
      <c r="IL138" t="e">
        <f>'All regions'!H3464+"n/&gt;!'PT"</f>
        <v>#VALUE!</v>
      </c>
      <c r="IM138" t="e">
        <f>'All regions'!I3464+"n/&gt;!'PU"</f>
        <v>#VALUE!</v>
      </c>
      <c r="IN138" t="e">
        <f>'All regions'!J3464+"n/&gt;!'PV"</f>
        <v>#VALUE!</v>
      </c>
      <c r="IO138" t="e">
        <f>'All regions'!A3465+"n/&gt;!'PW"</f>
        <v>#VALUE!</v>
      </c>
      <c r="IP138" t="e">
        <f>'All regions'!B3465+"n/&gt;!'PX"</f>
        <v>#VALUE!</v>
      </c>
      <c r="IQ138" t="e">
        <f>'All regions'!C3465+"n/&gt;!'PY"</f>
        <v>#VALUE!</v>
      </c>
      <c r="IR138" t="e">
        <f>'All regions'!D3465+"n/&gt;!'PZ"</f>
        <v>#VALUE!</v>
      </c>
      <c r="IS138" t="e">
        <f>'All regions'!E3465+"n/&gt;!'P["</f>
        <v>#VALUE!</v>
      </c>
      <c r="IT138" t="e">
        <f>'All regions'!F3465+"n/&gt;!'P\"</f>
        <v>#VALUE!</v>
      </c>
      <c r="IU138" t="e">
        <f>'All regions'!G3465+"n/&gt;!'P]"</f>
        <v>#VALUE!</v>
      </c>
      <c r="IV138" t="e">
        <f>'All regions'!H3465+"n/&gt;!'P^"</f>
        <v>#VALUE!</v>
      </c>
    </row>
    <row r="139" spans="6:256" x14ac:dyDescent="0.35">
      <c r="F139" t="e">
        <f>'All regions'!I3465+"n/&gt;!'P_"</f>
        <v>#VALUE!</v>
      </c>
      <c r="G139" t="e">
        <f>'All regions'!J3465+"n/&gt;!'P`"</f>
        <v>#VALUE!</v>
      </c>
      <c r="H139" t="e">
        <f>'All regions'!A3466+"n/&gt;!'Pa"</f>
        <v>#VALUE!</v>
      </c>
      <c r="I139" t="e">
        <f>'All regions'!B3466+"n/&gt;!'Pb"</f>
        <v>#VALUE!</v>
      </c>
      <c r="J139" t="e">
        <f>'All regions'!C3466+"n/&gt;!'Pc"</f>
        <v>#VALUE!</v>
      </c>
      <c r="K139" t="e">
        <f>'All regions'!D3466+"n/&gt;!'Pd"</f>
        <v>#VALUE!</v>
      </c>
      <c r="L139" t="e">
        <f>'All regions'!E3466+"n/&gt;!'Pe"</f>
        <v>#VALUE!</v>
      </c>
      <c r="M139" t="e">
        <f>'All regions'!F3466+"n/&gt;!'Pf"</f>
        <v>#VALUE!</v>
      </c>
      <c r="N139" t="e">
        <f>'All regions'!G3466+"n/&gt;!'Pg"</f>
        <v>#VALUE!</v>
      </c>
      <c r="O139" t="e">
        <f>'All regions'!H3466+"n/&gt;!'Ph"</f>
        <v>#VALUE!</v>
      </c>
      <c r="P139" t="e">
        <f>'All regions'!I3466+"n/&gt;!'Pi"</f>
        <v>#VALUE!</v>
      </c>
      <c r="Q139" t="e">
        <f>'All regions'!J3466+"n/&gt;!'Pj"</f>
        <v>#VALUE!</v>
      </c>
      <c r="R139" t="e">
        <f>'All regions'!A3467+"n/&gt;!'Pk"</f>
        <v>#VALUE!</v>
      </c>
      <c r="S139" t="e">
        <f>'All regions'!B3467+"n/&gt;!'Pl"</f>
        <v>#VALUE!</v>
      </c>
      <c r="T139" t="e">
        <f>'All regions'!C3467+"n/&gt;!'Pm"</f>
        <v>#VALUE!</v>
      </c>
      <c r="U139" t="e">
        <f>'All regions'!D3467+"n/&gt;!'Pn"</f>
        <v>#VALUE!</v>
      </c>
      <c r="V139" t="e">
        <f>'All regions'!E3467+"n/&gt;!'Po"</f>
        <v>#VALUE!</v>
      </c>
      <c r="W139" t="e">
        <f>'All regions'!F3467+"n/&gt;!'Pp"</f>
        <v>#VALUE!</v>
      </c>
      <c r="X139" t="e">
        <f>'All regions'!G3467+"n/&gt;!'Pq"</f>
        <v>#VALUE!</v>
      </c>
      <c r="Y139" t="e">
        <f>'All regions'!H3467+"n/&gt;!'Pr"</f>
        <v>#VALUE!</v>
      </c>
      <c r="Z139" t="e">
        <f>'All regions'!I3467+"n/&gt;!'Ps"</f>
        <v>#VALUE!</v>
      </c>
      <c r="AA139" t="e">
        <f>'All regions'!J3467+"n/&gt;!'Pt"</f>
        <v>#VALUE!</v>
      </c>
      <c r="AB139" t="e">
        <f>'All regions'!A3468+"n/&gt;!'Pu"</f>
        <v>#VALUE!</v>
      </c>
      <c r="AC139" t="e">
        <f>'All regions'!B3468+"n/&gt;!'Pv"</f>
        <v>#VALUE!</v>
      </c>
      <c r="AD139" t="e">
        <f>'All regions'!C3468+"n/&gt;!'Pw"</f>
        <v>#VALUE!</v>
      </c>
      <c r="AE139" t="e">
        <f>'All regions'!D3468+"n/&gt;!'Px"</f>
        <v>#VALUE!</v>
      </c>
      <c r="AF139" t="e">
        <f>'All regions'!E3468+"n/&gt;!'Py"</f>
        <v>#VALUE!</v>
      </c>
      <c r="AG139" t="e">
        <f>'All regions'!F3468+"n/&gt;!'Pz"</f>
        <v>#VALUE!</v>
      </c>
      <c r="AH139" t="e">
        <f>'All regions'!G3468+"n/&gt;!'P{"</f>
        <v>#VALUE!</v>
      </c>
      <c r="AI139" t="e">
        <f>'All regions'!H3468+"n/&gt;!'P|"</f>
        <v>#VALUE!</v>
      </c>
      <c r="AJ139" t="e">
        <f>'All regions'!I3468+"n/&gt;!'P}"</f>
        <v>#VALUE!</v>
      </c>
      <c r="AK139" t="e">
        <f>'All regions'!J3468+"n/&gt;!'P~"</f>
        <v>#VALUE!</v>
      </c>
      <c r="AL139" t="e">
        <f>'All regions'!A3469+"n/&gt;!'Q#"</f>
        <v>#VALUE!</v>
      </c>
      <c r="AM139" t="e">
        <f>'All regions'!B3469+"n/&gt;!'Q$"</f>
        <v>#VALUE!</v>
      </c>
      <c r="AN139" t="e">
        <f>'All regions'!C3469+"n/&gt;!'Q%"</f>
        <v>#VALUE!</v>
      </c>
      <c r="AO139" t="e">
        <f>'All regions'!D3469+"n/&gt;!'Q&amp;"</f>
        <v>#VALUE!</v>
      </c>
      <c r="AP139" t="e">
        <f>'All regions'!E3469+"n/&gt;!'Q'"</f>
        <v>#VALUE!</v>
      </c>
      <c r="AQ139" t="e">
        <f>'All regions'!F3469+"n/&gt;!'Q("</f>
        <v>#VALUE!</v>
      </c>
      <c r="AR139" t="e">
        <f>'All regions'!G3469+"n/&gt;!'Q)"</f>
        <v>#VALUE!</v>
      </c>
      <c r="AS139" t="e">
        <f>'All regions'!H3469+"n/&gt;!'Q."</f>
        <v>#VALUE!</v>
      </c>
      <c r="AT139" t="e">
        <f>'All regions'!I3469+"n/&gt;!'Q/"</f>
        <v>#VALUE!</v>
      </c>
      <c r="AU139" t="e">
        <f>'All regions'!J3469+"n/&gt;!'Q0"</f>
        <v>#VALUE!</v>
      </c>
      <c r="AV139" t="e">
        <f>'All regions'!A3470+"n/&gt;!'Q1"</f>
        <v>#VALUE!</v>
      </c>
      <c r="AW139" t="e">
        <f>'All regions'!B3470+"n/&gt;!'Q2"</f>
        <v>#VALUE!</v>
      </c>
      <c r="AX139" t="e">
        <f>'All regions'!C3470+"n/&gt;!'Q3"</f>
        <v>#VALUE!</v>
      </c>
      <c r="AY139" t="e">
        <f>'All regions'!D3470+"n/&gt;!'Q4"</f>
        <v>#VALUE!</v>
      </c>
      <c r="AZ139" t="e">
        <f>'All regions'!E3470+"n/&gt;!'Q5"</f>
        <v>#VALUE!</v>
      </c>
      <c r="BA139" t="e">
        <f>'All regions'!F3470+"n/&gt;!'Q6"</f>
        <v>#VALUE!</v>
      </c>
      <c r="BB139" t="e">
        <f>'All regions'!G3470+"n/&gt;!'Q7"</f>
        <v>#VALUE!</v>
      </c>
      <c r="BC139" t="e">
        <f>'All regions'!H3470+"n/&gt;!'Q8"</f>
        <v>#VALUE!</v>
      </c>
      <c r="BD139" t="e">
        <f>'All regions'!I3470+"n/&gt;!'Q9"</f>
        <v>#VALUE!</v>
      </c>
      <c r="BE139" t="e">
        <f>'All regions'!J3470+"n/&gt;!'Q:"</f>
        <v>#VALUE!</v>
      </c>
      <c r="BF139" t="e">
        <f>'All regions'!A3471+"n/&gt;!'Q;"</f>
        <v>#VALUE!</v>
      </c>
      <c r="BG139" t="e">
        <f>'All regions'!B3471+"n/&gt;!'Q&lt;"</f>
        <v>#VALUE!</v>
      </c>
      <c r="BH139" t="e">
        <f>'All regions'!C3471+"n/&gt;!'Q="</f>
        <v>#VALUE!</v>
      </c>
      <c r="BI139" t="e">
        <f>'All regions'!D3471+"n/&gt;!'Q&gt;"</f>
        <v>#VALUE!</v>
      </c>
      <c r="BJ139" t="e">
        <f>'All regions'!E3471+"n/&gt;!'Q?"</f>
        <v>#VALUE!</v>
      </c>
      <c r="BK139" t="e">
        <f>'All regions'!F3471+"n/&gt;!'Q@"</f>
        <v>#VALUE!</v>
      </c>
      <c r="BL139" t="e">
        <f>'All regions'!G3471+"n/&gt;!'QA"</f>
        <v>#VALUE!</v>
      </c>
      <c r="BM139" t="e">
        <f>'All regions'!H3471+"n/&gt;!'QB"</f>
        <v>#VALUE!</v>
      </c>
      <c r="BN139" t="e">
        <f>'All regions'!I3471+"n/&gt;!'QC"</f>
        <v>#VALUE!</v>
      </c>
      <c r="BO139" t="e">
        <f>'All regions'!J3471+"n/&gt;!'QD"</f>
        <v>#VALUE!</v>
      </c>
      <c r="BP139" t="e">
        <f>'All regions'!A3472+"n/&gt;!'QE"</f>
        <v>#VALUE!</v>
      </c>
      <c r="BQ139" t="e">
        <f>'All regions'!B3472+"n/&gt;!'QF"</f>
        <v>#VALUE!</v>
      </c>
      <c r="BR139" t="e">
        <f>'All regions'!C3472+"n/&gt;!'QG"</f>
        <v>#VALUE!</v>
      </c>
      <c r="BS139" t="e">
        <f>'All regions'!D3472+"n/&gt;!'QH"</f>
        <v>#VALUE!</v>
      </c>
      <c r="BT139" t="e">
        <f>'All regions'!E3472+"n/&gt;!'QI"</f>
        <v>#VALUE!</v>
      </c>
      <c r="BU139" t="e">
        <f>'All regions'!F3472+"n/&gt;!'QJ"</f>
        <v>#VALUE!</v>
      </c>
      <c r="BV139" t="e">
        <f>'All regions'!G3472+"n/&gt;!'QK"</f>
        <v>#VALUE!</v>
      </c>
      <c r="BW139" t="e">
        <f>'All regions'!H3472+"n/&gt;!'QL"</f>
        <v>#VALUE!</v>
      </c>
      <c r="BX139" t="e">
        <f>'All regions'!I3472+"n/&gt;!'QM"</f>
        <v>#VALUE!</v>
      </c>
      <c r="BY139" t="e">
        <f>'All regions'!J3472+"n/&gt;!'QN"</f>
        <v>#VALUE!</v>
      </c>
      <c r="BZ139" t="e">
        <f>'All regions'!A3473+"n/&gt;!'QO"</f>
        <v>#VALUE!</v>
      </c>
      <c r="CA139" t="e">
        <f>'All regions'!B3473+"n/&gt;!'QP"</f>
        <v>#VALUE!</v>
      </c>
      <c r="CB139" t="e">
        <f>'All regions'!C3473+"n/&gt;!'QQ"</f>
        <v>#VALUE!</v>
      </c>
      <c r="CC139" t="e">
        <f>'All regions'!D3473+"n/&gt;!'QR"</f>
        <v>#VALUE!</v>
      </c>
      <c r="CD139" t="e">
        <f>'All regions'!E3473+"n/&gt;!'QS"</f>
        <v>#VALUE!</v>
      </c>
      <c r="CE139" t="e">
        <f>'All regions'!F3473+"n/&gt;!'QT"</f>
        <v>#VALUE!</v>
      </c>
      <c r="CF139" t="e">
        <f>'All regions'!G3473+"n/&gt;!'QU"</f>
        <v>#VALUE!</v>
      </c>
      <c r="CG139" t="e">
        <f>'All regions'!H3473+"n/&gt;!'QV"</f>
        <v>#VALUE!</v>
      </c>
      <c r="CH139" t="e">
        <f>'All regions'!I3473+"n/&gt;!'QW"</f>
        <v>#VALUE!</v>
      </c>
      <c r="CI139" t="e">
        <f>'All regions'!J3473+"n/&gt;!'QX"</f>
        <v>#VALUE!</v>
      </c>
      <c r="CJ139" t="e">
        <f>'All regions'!A3474+"n/&gt;!'QY"</f>
        <v>#VALUE!</v>
      </c>
      <c r="CK139" t="e">
        <f>'All regions'!B3474+"n/&gt;!'QZ"</f>
        <v>#VALUE!</v>
      </c>
      <c r="CL139" t="e">
        <f>'All regions'!C3474+"n/&gt;!'Q["</f>
        <v>#VALUE!</v>
      </c>
      <c r="CM139" t="e">
        <f>'All regions'!D3474+"n/&gt;!'Q\"</f>
        <v>#VALUE!</v>
      </c>
      <c r="CN139" t="e">
        <f>'All regions'!E3474+"n/&gt;!'Q]"</f>
        <v>#VALUE!</v>
      </c>
      <c r="CO139" t="e">
        <f>'All regions'!F3474+"n/&gt;!'Q^"</f>
        <v>#VALUE!</v>
      </c>
      <c r="CP139" t="e">
        <f>'All regions'!G3474+"n/&gt;!'Q_"</f>
        <v>#VALUE!</v>
      </c>
      <c r="CQ139" t="e">
        <f>'All regions'!H3474+"n/&gt;!'Q`"</f>
        <v>#VALUE!</v>
      </c>
      <c r="CR139" t="e">
        <f>'All regions'!I3474+"n/&gt;!'Qa"</f>
        <v>#VALUE!</v>
      </c>
      <c r="CS139" t="e">
        <f>'All regions'!J3474+"n/&gt;!'Qb"</f>
        <v>#VALUE!</v>
      </c>
      <c r="CT139" t="e">
        <f>'All regions'!A3475+"n/&gt;!'Qc"</f>
        <v>#VALUE!</v>
      </c>
      <c r="CU139" t="e">
        <f>'All regions'!B3475+"n/&gt;!'Qd"</f>
        <v>#VALUE!</v>
      </c>
      <c r="CV139" t="e">
        <f>'All regions'!C3475+"n/&gt;!'Qe"</f>
        <v>#VALUE!</v>
      </c>
      <c r="CW139" t="e">
        <f>'All regions'!D3475+"n/&gt;!'Qf"</f>
        <v>#VALUE!</v>
      </c>
      <c r="CX139" t="e">
        <f>'All regions'!E3475+"n/&gt;!'Qg"</f>
        <v>#VALUE!</v>
      </c>
      <c r="CY139" t="e">
        <f>'All regions'!F3475+"n/&gt;!'Qh"</f>
        <v>#VALUE!</v>
      </c>
      <c r="CZ139" t="e">
        <f>'All regions'!G3475+"n/&gt;!'Qi"</f>
        <v>#VALUE!</v>
      </c>
      <c r="DA139" t="e">
        <f>'All regions'!H3475+"n/&gt;!'Qj"</f>
        <v>#VALUE!</v>
      </c>
      <c r="DB139" t="e">
        <f>'All regions'!I3475+"n/&gt;!'Qk"</f>
        <v>#VALUE!</v>
      </c>
      <c r="DC139" t="e">
        <f>'All regions'!J3475+"n/&gt;!'Ql"</f>
        <v>#VALUE!</v>
      </c>
      <c r="DD139" t="e">
        <f>'All regions'!A3476+"n/&gt;!'Qm"</f>
        <v>#VALUE!</v>
      </c>
      <c r="DE139" t="e">
        <f>'All regions'!B3476+"n/&gt;!'Qn"</f>
        <v>#VALUE!</v>
      </c>
      <c r="DF139" t="e">
        <f>'All regions'!C3476+"n/&gt;!'Qo"</f>
        <v>#VALUE!</v>
      </c>
      <c r="DG139" t="e">
        <f>'All regions'!D3476+"n/&gt;!'Qp"</f>
        <v>#VALUE!</v>
      </c>
      <c r="DH139" t="e">
        <f>'All regions'!E3476+"n/&gt;!'Qq"</f>
        <v>#VALUE!</v>
      </c>
      <c r="DI139" t="e">
        <f>'All regions'!F3476+"n/&gt;!'Qr"</f>
        <v>#VALUE!</v>
      </c>
      <c r="DJ139" t="e">
        <f>'All regions'!G3476+"n/&gt;!'Qs"</f>
        <v>#VALUE!</v>
      </c>
      <c r="DK139" t="e">
        <f>'All regions'!H3476+"n/&gt;!'Qt"</f>
        <v>#VALUE!</v>
      </c>
      <c r="DL139" t="e">
        <f>'All regions'!I3476+"n/&gt;!'Qu"</f>
        <v>#VALUE!</v>
      </c>
      <c r="DM139" t="e">
        <f>'All regions'!J3476+"n/&gt;!'Qv"</f>
        <v>#VALUE!</v>
      </c>
      <c r="DN139" t="e">
        <f>'All regions'!A3477+"n/&gt;!'Qw"</f>
        <v>#VALUE!</v>
      </c>
      <c r="DO139" t="e">
        <f>'All regions'!B3477+"n/&gt;!'Qx"</f>
        <v>#VALUE!</v>
      </c>
      <c r="DP139" t="e">
        <f>'All regions'!C3477+"n/&gt;!'Qy"</f>
        <v>#VALUE!</v>
      </c>
      <c r="DQ139" t="e">
        <f>'All regions'!D3477+"n/&gt;!'Qz"</f>
        <v>#VALUE!</v>
      </c>
      <c r="DR139" t="e">
        <f>'All regions'!E3477+"n/&gt;!'Q{"</f>
        <v>#VALUE!</v>
      </c>
      <c r="DS139" t="e">
        <f>'All regions'!F3477+"n/&gt;!'Q|"</f>
        <v>#VALUE!</v>
      </c>
      <c r="DT139" t="e">
        <f>'All regions'!G3477+"n/&gt;!'Q}"</f>
        <v>#VALUE!</v>
      </c>
      <c r="DU139" t="e">
        <f>'All regions'!H3477+"n/&gt;!'Q~"</f>
        <v>#VALUE!</v>
      </c>
      <c r="DV139" t="e">
        <f>'All regions'!I3477+"n/&gt;!'R#"</f>
        <v>#VALUE!</v>
      </c>
      <c r="DW139" t="e">
        <f>'All regions'!J3477+"n/&gt;!'R$"</f>
        <v>#VALUE!</v>
      </c>
      <c r="DX139" t="e">
        <f>'All regions'!A3478+"n/&gt;!'R%"</f>
        <v>#VALUE!</v>
      </c>
      <c r="DY139" t="e">
        <f>'All regions'!B3478+"n/&gt;!'R&amp;"</f>
        <v>#VALUE!</v>
      </c>
      <c r="DZ139" t="e">
        <f>'All regions'!C3478+"n/&gt;!'R'"</f>
        <v>#VALUE!</v>
      </c>
      <c r="EA139" t="e">
        <f>'All regions'!D3478+"n/&gt;!'R("</f>
        <v>#VALUE!</v>
      </c>
      <c r="EB139" t="e">
        <f>'All regions'!E3478+"n/&gt;!'R)"</f>
        <v>#VALUE!</v>
      </c>
      <c r="EC139" t="e">
        <f>'All regions'!F3478+"n/&gt;!'R."</f>
        <v>#VALUE!</v>
      </c>
      <c r="ED139" t="e">
        <f>'All regions'!G3478+"n/&gt;!'R/"</f>
        <v>#VALUE!</v>
      </c>
      <c r="EE139" t="e">
        <f>'All regions'!H3478+"n/&gt;!'R0"</f>
        <v>#VALUE!</v>
      </c>
      <c r="EF139" t="e">
        <f>'All regions'!I3478+"n/&gt;!'R1"</f>
        <v>#VALUE!</v>
      </c>
      <c r="EG139" t="e">
        <f>'All regions'!J3478+"n/&gt;!'R2"</f>
        <v>#VALUE!</v>
      </c>
      <c r="EH139" t="e">
        <f>'All regions'!A3479+"n/&gt;!'R3"</f>
        <v>#VALUE!</v>
      </c>
      <c r="EI139" t="e">
        <f>'All regions'!B3479+"n/&gt;!'R4"</f>
        <v>#VALUE!</v>
      </c>
      <c r="EJ139" t="e">
        <f>'All regions'!C3479+"n/&gt;!'R5"</f>
        <v>#VALUE!</v>
      </c>
      <c r="EK139" t="e">
        <f>'All regions'!D3479+"n/&gt;!'R6"</f>
        <v>#VALUE!</v>
      </c>
      <c r="EL139" t="e">
        <f>'All regions'!E3479+"n/&gt;!'R7"</f>
        <v>#VALUE!</v>
      </c>
      <c r="EM139" t="e">
        <f>'All regions'!F3479+"n/&gt;!'R8"</f>
        <v>#VALUE!</v>
      </c>
      <c r="EN139" t="e">
        <f>'All regions'!G3479+"n/&gt;!'R9"</f>
        <v>#VALUE!</v>
      </c>
      <c r="EO139" t="e">
        <f>'All regions'!H3479+"n/&gt;!'R:"</f>
        <v>#VALUE!</v>
      </c>
      <c r="EP139" t="e">
        <f>'All regions'!I3479+"n/&gt;!'R;"</f>
        <v>#VALUE!</v>
      </c>
      <c r="EQ139" t="e">
        <f>'All regions'!J3479+"n/&gt;!'R&lt;"</f>
        <v>#VALUE!</v>
      </c>
      <c r="ER139" t="e">
        <f>'All regions'!A3480+"n/&gt;!'R="</f>
        <v>#VALUE!</v>
      </c>
      <c r="ES139" t="e">
        <f>'All regions'!B3480+"n/&gt;!'R&gt;"</f>
        <v>#VALUE!</v>
      </c>
      <c r="ET139" t="e">
        <f>'All regions'!C3480+"n/&gt;!'R?"</f>
        <v>#VALUE!</v>
      </c>
      <c r="EU139" t="e">
        <f>'All regions'!D3480+"n/&gt;!'R@"</f>
        <v>#VALUE!</v>
      </c>
      <c r="EV139" t="e">
        <f>'All regions'!E3480+"n/&gt;!'RA"</f>
        <v>#VALUE!</v>
      </c>
      <c r="EW139" t="e">
        <f>'All regions'!F3480+"n/&gt;!'RB"</f>
        <v>#VALUE!</v>
      </c>
      <c r="EX139" t="e">
        <f>'All regions'!G3480+"n/&gt;!'RC"</f>
        <v>#VALUE!</v>
      </c>
      <c r="EY139" t="e">
        <f>'All regions'!H3480+"n/&gt;!'RD"</f>
        <v>#VALUE!</v>
      </c>
      <c r="EZ139" t="e">
        <f>'All regions'!I3480+"n/&gt;!'RE"</f>
        <v>#VALUE!</v>
      </c>
      <c r="FA139" t="e">
        <f>'All regions'!J3480+"n/&gt;!'RF"</f>
        <v>#VALUE!</v>
      </c>
      <c r="FB139" t="e">
        <f>'All regions'!A3481+"n/&gt;!'RG"</f>
        <v>#VALUE!</v>
      </c>
      <c r="FC139" t="e">
        <f>'All regions'!B3481+"n/&gt;!'RH"</f>
        <v>#VALUE!</v>
      </c>
      <c r="FD139" t="e">
        <f>'All regions'!C3481+"n/&gt;!'RI"</f>
        <v>#VALUE!</v>
      </c>
      <c r="FE139" t="e">
        <f>'All regions'!D3481+"n/&gt;!'RJ"</f>
        <v>#VALUE!</v>
      </c>
      <c r="FF139" t="e">
        <f>'All regions'!E3481+"n/&gt;!'RK"</f>
        <v>#VALUE!</v>
      </c>
      <c r="FG139" t="e">
        <f>'All regions'!F3481+"n/&gt;!'RL"</f>
        <v>#VALUE!</v>
      </c>
      <c r="FH139" t="e">
        <f>'All regions'!G3481+"n/&gt;!'RM"</f>
        <v>#VALUE!</v>
      </c>
      <c r="FI139" t="e">
        <f>'All regions'!H3481+"n/&gt;!'RN"</f>
        <v>#VALUE!</v>
      </c>
      <c r="FJ139" t="e">
        <f>'All regions'!I3481+"n/&gt;!'RO"</f>
        <v>#VALUE!</v>
      </c>
      <c r="FK139" t="e">
        <f>'All regions'!J3481+"n/&gt;!'RP"</f>
        <v>#VALUE!</v>
      </c>
      <c r="FL139" t="e">
        <f>'All regions'!A3482+"n/&gt;!'RQ"</f>
        <v>#VALUE!</v>
      </c>
      <c r="FM139" t="e">
        <f>'All regions'!B3482+"n/&gt;!'RR"</f>
        <v>#VALUE!</v>
      </c>
      <c r="FN139" t="e">
        <f>'All regions'!C3482+"n/&gt;!'RS"</f>
        <v>#VALUE!</v>
      </c>
      <c r="FO139" t="e">
        <f>'All regions'!D3482+"n/&gt;!'RT"</f>
        <v>#VALUE!</v>
      </c>
      <c r="FP139" t="e">
        <f>'All regions'!E3482+"n/&gt;!'RU"</f>
        <v>#VALUE!</v>
      </c>
      <c r="FQ139" t="e">
        <f>'All regions'!F3482+"n/&gt;!'RV"</f>
        <v>#VALUE!</v>
      </c>
      <c r="FR139" t="e">
        <f>'All regions'!G3482+"n/&gt;!'RW"</f>
        <v>#VALUE!</v>
      </c>
      <c r="FS139" t="e">
        <f>'All regions'!H3482+"n/&gt;!'RX"</f>
        <v>#VALUE!</v>
      </c>
      <c r="FT139" t="e">
        <f>'All regions'!I3482+"n/&gt;!'RY"</f>
        <v>#VALUE!</v>
      </c>
      <c r="FU139" t="e">
        <f>'All regions'!J3482+"n/&gt;!'RZ"</f>
        <v>#VALUE!</v>
      </c>
      <c r="FV139" t="e">
        <f>'All regions'!A3483+"n/&gt;!'R["</f>
        <v>#VALUE!</v>
      </c>
      <c r="FW139" t="e">
        <f>'All regions'!B3483+"n/&gt;!'R\"</f>
        <v>#VALUE!</v>
      </c>
      <c r="FX139" t="e">
        <f>'All regions'!C3483+"n/&gt;!'R]"</f>
        <v>#VALUE!</v>
      </c>
      <c r="FY139" t="e">
        <f>'All regions'!D3483+"n/&gt;!'R^"</f>
        <v>#VALUE!</v>
      </c>
      <c r="FZ139" t="e">
        <f>'All regions'!E3483+"n/&gt;!'R_"</f>
        <v>#VALUE!</v>
      </c>
      <c r="GA139" t="e">
        <f>'All regions'!F3483+"n/&gt;!'R`"</f>
        <v>#VALUE!</v>
      </c>
      <c r="GB139" t="e">
        <f>'All regions'!G3483+"n/&gt;!'Ra"</f>
        <v>#VALUE!</v>
      </c>
      <c r="GC139" t="e">
        <f>'All regions'!H3483+"n/&gt;!'Rb"</f>
        <v>#VALUE!</v>
      </c>
      <c r="GD139" t="e">
        <f>'All regions'!I3483+"n/&gt;!'Rc"</f>
        <v>#VALUE!</v>
      </c>
      <c r="GE139" t="e">
        <f>'All regions'!J3483+"n/&gt;!'Rd"</f>
        <v>#VALUE!</v>
      </c>
      <c r="GF139" t="e">
        <f>'All regions'!A3484+"n/&gt;!'Re"</f>
        <v>#VALUE!</v>
      </c>
      <c r="GG139" t="e">
        <f>'All regions'!B3484+"n/&gt;!'Rf"</f>
        <v>#VALUE!</v>
      </c>
      <c r="GH139" t="e">
        <f>'All regions'!C3484+"n/&gt;!'Rg"</f>
        <v>#VALUE!</v>
      </c>
      <c r="GI139" t="e">
        <f>'All regions'!D3484+"n/&gt;!'Rh"</f>
        <v>#VALUE!</v>
      </c>
      <c r="GJ139" t="e">
        <f>'All regions'!E3484+"n/&gt;!'Ri"</f>
        <v>#VALUE!</v>
      </c>
      <c r="GK139" t="e">
        <f>'All regions'!F3484+"n/&gt;!'Rj"</f>
        <v>#VALUE!</v>
      </c>
      <c r="GL139" t="e">
        <f>'All regions'!G3484+"n/&gt;!'Rk"</f>
        <v>#VALUE!</v>
      </c>
      <c r="GM139" t="e">
        <f>'All regions'!H3484+"n/&gt;!'Rl"</f>
        <v>#VALUE!</v>
      </c>
      <c r="GN139" t="e">
        <f>'All regions'!I3484+"n/&gt;!'Rm"</f>
        <v>#VALUE!</v>
      </c>
      <c r="GO139" t="e">
        <f>'All regions'!J3484+"n/&gt;!'Rn"</f>
        <v>#VALUE!</v>
      </c>
      <c r="GP139" t="e">
        <f>'All regions'!A3485+"n/&gt;!'Ro"</f>
        <v>#VALUE!</v>
      </c>
      <c r="GQ139" t="e">
        <f>'All regions'!B3485+"n/&gt;!'Rp"</f>
        <v>#VALUE!</v>
      </c>
      <c r="GR139" t="e">
        <f>'All regions'!C3485+"n/&gt;!'Rq"</f>
        <v>#VALUE!</v>
      </c>
      <c r="GS139" t="e">
        <f>'All regions'!D3485+"n/&gt;!'Rr"</f>
        <v>#VALUE!</v>
      </c>
      <c r="GT139" t="e">
        <f>'All regions'!E3485+"n/&gt;!'Rs"</f>
        <v>#VALUE!</v>
      </c>
      <c r="GU139" t="e">
        <f>'All regions'!F3485+"n/&gt;!'Rt"</f>
        <v>#VALUE!</v>
      </c>
      <c r="GV139" t="e">
        <f>'All regions'!G3485+"n/&gt;!'Ru"</f>
        <v>#VALUE!</v>
      </c>
      <c r="GW139" t="e">
        <f>'All regions'!H3485+"n/&gt;!'Rv"</f>
        <v>#VALUE!</v>
      </c>
      <c r="GX139" t="e">
        <f>'All regions'!I3485+"n/&gt;!'Rw"</f>
        <v>#VALUE!</v>
      </c>
      <c r="GY139" t="e">
        <f>'All regions'!J3485+"n/&gt;!'Rx"</f>
        <v>#VALUE!</v>
      </c>
      <c r="GZ139" t="e">
        <f>'All regions'!A3486+"n/&gt;!'Ry"</f>
        <v>#VALUE!</v>
      </c>
      <c r="HA139" t="e">
        <f>'All regions'!B3486+"n/&gt;!'Rz"</f>
        <v>#VALUE!</v>
      </c>
      <c r="HB139" t="e">
        <f>'All regions'!C3486+"n/&gt;!'R{"</f>
        <v>#VALUE!</v>
      </c>
      <c r="HC139" t="e">
        <f>'All regions'!D3486+"n/&gt;!'R|"</f>
        <v>#VALUE!</v>
      </c>
      <c r="HD139" t="e">
        <f>'All regions'!E3486+"n/&gt;!'R}"</f>
        <v>#VALUE!</v>
      </c>
      <c r="HE139" t="e">
        <f>'All regions'!F3486+"n/&gt;!'R~"</f>
        <v>#VALUE!</v>
      </c>
      <c r="HF139" t="e">
        <f>'All regions'!G3486+"n/&gt;!'S#"</f>
        <v>#VALUE!</v>
      </c>
      <c r="HG139" t="e">
        <f>'All regions'!H3486+"n/&gt;!'S$"</f>
        <v>#VALUE!</v>
      </c>
      <c r="HH139" t="e">
        <f>'All regions'!I3486+"n/&gt;!'S%"</f>
        <v>#VALUE!</v>
      </c>
      <c r="HI139" t="e">
        <f>'All regions'!J3486+"n/&gt;!'S&amp;"</f>
        <v>#VALUE!</v>
      </c>
      <c r="HJ139" t="e">
        <f>'All regions'!A3487+"n/&gt;!'S'"</f>
        <v>#VALUE!</v>
      </c>
      <c r="HK139" t="e">
        <f>'All regions'!B3487+"n/&gt;!'S("</f>
        <v>#VALUE!</v>
      </c>
      <c r="HL139" t="e">
        <f>'All regions'!C3487+"n/&gt;!'S)"</f>
        <v>#VALUE!</v>
      </c>
      <c r="HM139" t="e">
        <f>'All regions'!D3487+"n/&gt;!'S."</f>
        <v>#VALUE!</v>
      </c>
      <c r="HN139" t="e">
        <f>'All regions'!E3487+"n/&gt;!'S/"</f>
        <v>#VALUE!</v>
      </c>
      <c r="HO139" t="e">
        <f>'All regions'!F3487+"n/&gt;!'S0"</f>
        <v>#VALUE!</v>
      </c>
      <c r="HP139" t="e">
        <f>'All regions'!G3487+"n/&gt;!'S1"</f>
        <v>#VALUE!</v>
      </c>
      <c r="HQ139" t="e">
        <f>'All regions'!H3487+"n/&gt;!'S2"</f>
        <v>#VALUE!</v>
      </c>
      <c r="HR139" t="e">
        <f>'All regions'!I3487+"n/&gt;!'S3"</f>
        <v>#VALUE!</v>
      </c>
      <c r="HS139" t="e">
        <f>'All regions'!J3487+"n/&gt;!'S4"</f>
        <v>#VALUE!</v>
      </c>
      <c r="HT139" t="e">
        <f>'All regions'!A3488+"n/&gt;!'S5"</f>
        <v>#VALUE!</v>
      </c>
      <c r="HU139" t="e">
        <f>'All regions'!B3488+"n/&gt;!'S6"</f>
        <v>#VALUE!</v>
      </c>
      <c r="HV139" t="e">
        <f>'All regions'!C3488+"n/&gt;!'S7"</f>
        <v>#VALUE!</v>
      </c>
      <c r="HW139" t="e">
        <f>'All regions'!D3488+"n/&gt;!'S8"</f>
        <v>#VALUE!</v>
      </c>
      <c r="HX139" t="e">
        <f>'All regions'!E3488+"n/&gt;!'S9"</f>
        <v>#VALUE!</v>
      </c>
      <c r="HY139" t="e">
        <f>'All regions'!F3488+"n/&gt;!'S:"</f>
        <v>#VALUE!</v>
      </c>
      <c r="HZ139" t="e">
        <f>'All regions'!G3488+"n/&gt;!'S;"</f>
        <v>#VALUE!</v>
      </c>
      <c r="IA139" t="e">
        <f>'All regions'!H3488+"n/&gt;!'S&lt;"</f>
        <v>#VALUE!</v>
      </c>
      <c r="IB139" t="e">
        <f>'All regions'!I3488+"n/&gt;!'S="</f>
        <v>#VALUE!</v>
      </c>
      <c r="IC139" t="e">
        <f>'All regions'!J3488+"n/&gt;!'S&gt;"</f>
        <v>#VALUE!</v>
      </c>
      <c r="ID139" t="e">
        <f>'All regions'!A3489+"n/&gt;!'S?"</f>
        <v>#VALUE!</v>
      </c>
      <c r="IE139" t="e">
        <f>'All regions'!B3489+"n/&gt;!'S@"</f>
        <v>#VALUE!</v>
      </c>
      <c r="IF139" t="e">
        <f>'All regions'!C3489+"n/&gt;!'SA"</f>
        <v>#VALUE!</v>
      </c>
      <c r="IG139" t="e">
        <f>'All regions'!D3489+"n/&gt;!'SB"</f>
        <v>#VALUE!</v>
      </c>
      <c r="IH139" t="e">
        <f>'All regions'!E3489+"n/&gt;!'SC"</f>
        <v>#VALUE!</v>
      </c>
      <c r="II139" t="e">
        <f>'All regions'!F3489+"n/&gt;!'SD"</f>
        <v>#VALUE!</v>
      </c>
      <c r="IJ139" t="e">
        <f>'All regions'!G3489+"n/&gt;!'SE"</f>
        <v>#VALUE!</v>
      </c>
      <c r="IK139" t="e">
        <f>'All regions'!H3489+"n/&gt;!'SF"</f>
        <v>#VALUE!</v>
      </c>
      <c r="IL139" t="e">
        <f>'All regions'!I3489+"n/&gt;!'SG"</f>
        <v>#VALUE!</v>
      </c>
      <c r="IM139" t="e">
        <f>'All regions'!J3489+"n/&gt;!'SH"</f>
        <v>#VALUE!</v>
      </c>
      <c r="IN139" t="e">
        <f>'All regions'!A3490+"n/&gt;!'SI"</f>
        <v>#VALUE!</v>
      </c>
      <c r="IO139" t="e">
        <f>'All regions'!B3490+"n/&gt;!'SJ"</f>
        <v>#VALUE!</v>
      </c>
      <c r="IP139" t="e">
        <f>'All regions'!C3490+"n/&gt;!'SK"</f>
        <v>#VALUE!</v>
      </c>
      <c r="IQ139" t="e">
        <f>'All regions'!D3490+"n/&gt;!'SL"</f>
        <v>#VALUE!</v>
      </c>
      <c r="IR139" t="e">
        <f>'All regions'!E3490+"n/&gt;!'SM"</f>
        <v>#VALUE!</v>
      </c>
      <c r="IS139" t="e">
        <f>'All regions'!F3490+"n/&gt;!'SN"</f>
        <v>#VALUE!</v>
      </c>
      <c r="IT139" t="e">
        <f>'All regions'!G3490+"n/&gt;!'SO"</f>
        <v>#VALUE!</v>
      </c>
      <c r="IU139" t="e">
        <f>'All regions'!H3490+"n/&gt;!'SP"</f>
        <v>#VALUE!</v>
      </c>
      <c r="IV139" t="e">
        <f>'All regions'!I3490+"n/&gt;!'SQ"</f>
        <v>#VALUE!</v>
      </c>
    </row>
    <row r="140" spans="6:256" x14ac:dyDescent="0.35">
      <c r="F140" t="e">
        <f>'All regions'!J3490+"n/&gt;!'SR"</f>
        <v>#VALUE!</v>
      </c>
      <c r="G140" t="e">
        <f>'All regions'!A3491+"n/&gt;!'SS"</f>
        <v>#VALUE!</v>
      </c>
      <c r="H140" t="e">
        <f>'All regions'!B3491+"n/&gt;!'ST"</f>
        <v>#VALUE!</v>
      </c>
      <c r="I140" t="e">
        <f>'All regions'!C3491+"n/&gt;!'SU"</f>
        <v>#VALUE!</v>
      </c>
      <c r="J140" t="e">
        <f>'All regions'!D3491+"n/&gt;!'SV"</f>
        <v>#VALUE!</v>
      </c>
      <c r="K140" t="e">
        <f>'All regions'!E3491+"n/&gt;!'SW"</f>
        <v>#VALUE!</v>
      </c>
      <c r="L140" t="e">
        <f>'All regions'!F3491+"n/&gt;!'SX"</f>
        <v>#VALUE!</v>
      </c>
      <c r="M140" t="e">
        <f>'All regions'!G3491+"n/&gt;!'SY"</f>
        <v>#VALUE!</v>
      </c>
      <c r="N140" t="e">
        <f>'All regions'!H3491+"n/&gt;!'SZ"</f>
        <v>#VALUE!</v>
      </c>
      <c r="O140" t="e">
        <f>'All regions'!I3491+"n/&gt;!'S["</f>
        <v>#VALUE!</v>
      </c>
      <c r="P140" t="e">
        <f>'All regions'!J3491+"n/&gt;!'S\"</f>
        <v>#VALUE!</v>
      </c>
      <c r="Q140" t="e">
        <f>'All regions'!A3492+"n/&gt;!'S]"</f>
        <v>#VALUE!</v>
      </c>
      <c r="R140" t="e">
        <f>'All regions'!B3492+"n/&gt;!'S^"</f>
        <v>#VALUE!</v>
      </c>
      <c r="S140" t="e">
        <f>'All regions'!C3492+"n/&gt;!'S_"</f>
        <v>#VALUE!</v>
      </c>
      <c r="T140" t="e">
        <f>'All regions'!D3492+"n/&gt;!'S`"</f>
        <v>#VALUE!</v>
      </c>
      <c r="U140" t="e">
        <f>'All regions'!E3492+"n/&gt;!'Sa"</f>
        <v>#VALUE!</v>
      </c>
      <c r="V140" t="e">
        <f>'All regions'!F3492+"n/&gt;!'Sb"</f>
        <v>#VALUE!</v>
      </c>
      <c r="W140" t="e">
        <f>'All regions'!G3492+"n/&gt;!'Sc"</f>
        <v>#VALUE!</v>
      </c>
      <c r="X140" t="e">
        <f>'All regions'!H3492+"n/&gt;!'Sd"</f>
        <v>#VALUE!</v>
      </c>
      <c r="Y140" t="e">
        <f>'All regions'!I3492+"n/&gt;!'Se"</f>
        <v>#VALUE!</v>
      </c>
      <c r="Z140" t="e">
        <f>'All regions'!J3492+"n/&gt;!'Sf"</f>
        <v>#VALUE!</v>
      </c>
      <c r="AA140" t="e">
        <f>'All regions'!A3493+"n/&gt;!'Sg"</f>
        <v>#VALUE!</v>
      </c>
      <c r="AB140" t="e">
        <f>'All regions'!B3493+"n/&gt;!'Sh"</f>
        <v>#VALUE!</v>
      </c>
      <c r="AC140" t="e">
        <f>'All regions'!C3493+"n/&gt;!'Si"</f>
        <v>#VALUE!</v>
      </c>
      <c r="AD140" t="e">
        <f>'All regions'!D3493+"n/&gt;!'Sj"</f>
        <v>#VALUE!</v>
      </c>
      <c r="AE140" t="e">
        <f>'All regions'!E3493+"n/&gt;!'Sk"</f>
        <v>#VALUE!</v>
      </c>
      <c r="AF140" t="e">
        <f>'All regions'!F3493+"n/&gt;!'Sl"</f>
        <v>#VALUE!</v>
      </c>
      <c r="AG140" t="e">
        <f>'All regions'!G3493+"n/&gt;!'Sm"</f>
        <v>#VALUE!</v>
      </c>
      <c r="AH140" t="e">
        <f>'All regions'!H3493+"n/&gt;!'Sn"</f>
        <v>#VALUE!</v>
      </c>
      <c r="AI140" t="e">
        <f>'All regions'!I3493+"n/&gt;!'So"</f>
        <v>#VALUE!</v>
      </c>
      <c r="AJ140" t="e">
        <f>'All regions'!J3493+"n/&gt;!'Sp"</f>
        <v>#VALUE!</v>
      </c>
      <c r="AK140" t="e">
        <f>'All regions'!A3494+"n/&gt;!'Sq"</f>
        <v>#VALUE!</v>
      </c>
      <c r="AL140" t="e">
        <f>'All regions'!B3494+"n/&gt;!'Sr"</f>
        <v>#VALUE!</v>
      </c>
      <c r="AM140" t="e">
        <f>'All regions'!C3494+"n/&gt;!'Ss"</f>
        <v>#VALUE!</v>
      </c>
      <c r="AN140" t="e">
        <f>'All regions'!D3494+"n/&gt;!'St"</f>
        <v>#VALUE!</v>
      </c>
      <c r="AO140" t="e">
        <f>'All regions'!E3494+"n/&gt;!'Su"</f>
        <v>#VALUE!</v>
      </c>
      <c r="AP140" t="e">
        <f>'All regions'!F3494+"n/&gt;!'Sv"</f>
        <v>#VALUE!</v>
      </c>
      <c r="AQ140" t="e">
        <f>'All regions'!G3494+"n/&gt;!'Sw"</f>
        <v>#VALUE!</v>
      </c>
      <c r="AR140" t="e">
        <f>'All regions'!H3494+"n/&gt;!'Sx"</f>
        <v>#VALUE!</v>
      </c>
      <c r="AS140" t="e">
        <f>'All regions'!I3494+"n/&gt;!'Sy"</f>
        <v>#VALUE!</v>
      </c>
      <c r="AT140" t="e">
        <f>'All regions'!J3494+"n/&gt;!'Sz"</f>
        <v>#VALUE!</v>
      </c>
      <c r="AU140" t="e">
        <f>'All regions'!A3495+"n/&gt;!'S{"</f>
        <v>#VALUE!</v>
      </c>
      <c r="AV140" t="e">
        <f>'All regions'!B3495+"n/&gt;!'S|"</f>
        <v>#VALUE!</v>
      </c>
      <c r="AW140" t="e">
        <f>'All regions'!C3495+"n/&gt;!'S}"</f>
        <v>#VALUE!</v>
      </c>
      <c r="AX140" t="e">
        <f>'All regions'!D3495+"n/&gt;!'S~"</f>
        <v>#VALUE!</v>
      </c>
      <c r="AY140" t="e">
        <f>'All regions'!E3495+"n/&gt;!'T#"</f>
        <v>#VALUE!</v>
      </c>
      <c r="AZ140" t="e">
        <f>'All regions'!F3495+"n/&gt;!'T$"</f>
        <v>#VALUE!</v>
      </c>
      <c r="BA140" t="e">
        <f>'All regions'!G3495+"n/&gt;!'T%"</f>
        <v>#VALUE!</v>
      </c>
      <c r="BB140" t="e">
        <f>'All regions'!H3495+"n/&gt;!'T&amp;"</f>
        <v>#VALUE!</v>
      </c>
      <c r="BC140" t="e">
        <f>'All regions'!I3495+"n/&gt;!'T'"</f>
        <v>#VALUE!</v>
      </c>
      <c r="BD140" t="e">
        <f>'All regions'!J3495+"n/&gt;!'T("</f>
        <v>#VALUE!</v>
      </c>
      <c r="BE140" t="e">
        <f>'All regions'!A3496+"n/&gt;!'T)"</f>
        <v>#VALUE!</v>
      </c>
      <c r="BF140" t="e">
        <f>'All regions'!B3496+"n/&gt;!'T."</f>
        <v>#VALUE!</v>
      </c>
      <c r="BG140" t="e">
        <f>'All regions'!C3496+"n/&gt;!'T/"</f>
        <v>#VALUE!</v>
      </c>
      <c r="BH140" t="e">
        <f>'All regions'!D3496+"n/&gt;!'T0"</f>
        <v>#VALUE!</v>
      </c>
      <c r="BI140" t="e">
        <f>'All regions'!E3496+"n/&gt;!'T1"</f>
        <v>#VALUE!</v>
      </c>
      <c r="BJ140" t="e">
        <f>'All regions'!F3496+"n/&gt;!'T2"</f>
        <v>#VALUE!</v>
      </c>
      <c r="BK140" t="e">
        <f>'All regions'!G3496+"n/&gt;!'T3"</f>
        <v>#VALUE!</v>
      </c>
      <c r="BL140" t="e">
        <f>'All regions'!H3496+"n/&gt;!'T4"</f>
        <v>#VALUE!</v>
      </c>
      <c r="BM140" t="e">
        <f>'All regions'!I3496+"n/&gt;!'T5"</f>
        <v>#VALUE!</v>
      </c>
      <c r="BN140" t="e">
        <f>'All regions'!J3496+"n/&gt;!'T6"</f>
        <v>#VALUE!</v>
      </c>
      <c r="BO140" t="e">
        <f>'All regions'!A3497+"n/&gt;!'T7"</f>
        <v>#VALUE!</v>
      </c>
      <c r="BP140" t="e">
        <f>'All regions'!B3497+"n/&gt;!'T8"</f>
        <v>#VALUE!</v>
      </c>
      <c r="BQ140" t="e">
        <f>'All regions'!C3497+"n/&gt;!'T9"</f>
        <v>#VALUE!</v>
      </c>
      <c r="BR140" t="e">
        <f>'All regions'!D3497+"n/&gt;!'T:"</f>
        <v>#VALUE!</v>
      </c>
      <c r="BS140" t="e">
        <f>'All regions'!E3497+"n/&gt;!'T;"</f>
        <v>#VALUE!</v>
      </c>
      <c r="BT140" t="e">
        <f>'All regions'!F3497+"n/&gt;!'T&lt;"</f>
        <v>#VALUE!</v>
      </c>
      <c r="BU140" t="e">
        <f>'All regions'!G3497+"n/&gt;!'T="</f>
        <v>#VALUE!</v>
      </c>
      <c r="BV140" t="e">
        <f>'All regions'!H3497+"n/&gt;!'T&gt;"</f>
        <v>#VALUE!</v>
      </c>
      <c r="BW140" t="e">
        <f>'All regions'!I3497+"n/&gt;!'T?"</f>
        <v>#VALUE!</v>
      </c>
      <c r="BX140" t="e">
        <f>'All regions'!J3497+"n/&gt;!'T@"</f>
        <v>#VALUE!</v>
      </c>
      <c r="BY140" t="e">
        <f>'All regions'!A3498+"n/&gt;!'TA"</f>
        <v>#VALUE!</v>
      </c>
      <c r="BZ140" t="e">
        <f>'All regions'!B3498+"n/&gt;!'TB"</f>
        <v>#VALUE!</v>
      </c>
      <c r="CA140" t="e">
        <f>'All regions'!C3498+"n/&gt;!'TC"</f>
        <v>#VALUE!</v>
      </c>
      <c r="CB140" t="e">
        <f>'All regions'!D3498+"n/&gt;!'TD"</f>
        <v>#VALUE!</v>
      </c>
      <c r="CC140" t="e">
        <f>'All regions'!E3498+"n/&gt;!'TE"</f>
        <v>#VALUE!</v>
      </c>
      <c r="CD140" t="e">
        <f>'All regions'!F3498+"n/&gt;!'TF"</f>
        <v>#VALUE!</v>
      </c>
      <c r="CE140" t="e">
        <f>'All regions'!G3498+"n/&gt;!'TG"</f>
        <v>#VALUE!</v>
      </c>
      <c r="CF140" t="e">
        <f>'All regions'!H3498+"n/&gt;!'TH"</f>
        <v>#VALUE!</v>
      </c>
      <c r="CG140" t="e">
        <f>'All regions'!I3498+"n/&gt;!'TI"</f>
        <v>#VALUE!</v>
      </c>
      <c r="CH140" t="e">
        <f>'All regions'!J3498+"n/&gt;!'TJ"</f>
        <v>#VALUE!</v>
      </c>
      <c r="CI140" t="e">
        <f>'All regions'!A3499+"n/&gt;!'TK"</f>
        <v>#VALUE!</v>
      </c>
      <c r="CJ140" t="e">
        <f>'All regions'!B3499+"n/&gt;!'TL"</f>
        <v>#VALUE!</v>
      </c>
      <c r="CK140" t="e">
        <f>'All regions'!C3499+"n/&gt;!'TM"</f>
        <v>#VALUE!</v>
      </c>
      <c r="CL140" t="e">
        <f>'All regions'!D3499+"n/&gt;!'TN"</f>
        <v>#VALUE!</v>
      </c>
      <c r="CM140" t="e">
        <f>'All regions'!E3499+"n/&gt;!'TO"</f>
        <v>#VALUE!</v>
      </c>
      <c r="CN140" t="e">
        <f>'All regions'!F3499+"n/&gt;!'TP"</f>
        <v>#VALUE!</v>
      </c>
      <c r="CO140" t="e">
        <f>'All regions'!G3499+"n/&gt;!'TQ"</f>
        <v>#VALUE!</v>
      </c>
      <c r="CP140" t="e">
        <f>'All regions'!H3499+"n/&gt;!'TR"</f>
        <v>#VALUE!</v>
      </c>
      <c r="CQ140" t="e">
        <f>'All regions'!I3499+"n/&gt;!'TS"</f>
        <v>#VALUE!</v>
      </c>
      <c r="CR140" t="e">
        <f>'All regions'!J3499+"n/&gt;!'TT"</f>
        <v>#VALUE!</v>
      </c>
      <c r="CS140" t="e">
        <f>'All regions'!A3500+"n/&gt;!'TU"</f>
        <v>#VALUE!</v>
      </c>
      <c r="CT140" t="e">
        <f>'All regions'!B3500+"n/&gt;!'TV"</f>
        <v>#VALUE!</v>
      </c>
      <c r="CU140" t="e">
        <f>'All regions'!C3500+"n/&gt;!'TW"</f>
        <v>#VALUE!</v>
      </c>
      <c r="CV140" t="e">
        <f>'All regions'!D3500+"n/&gt;!'TX"</f>
        <v>#VALUE!</v>
      </c>
      <c r="CW140" t="e">
        <f>'All regions'!E3500+"n/&gt;!'TY"</f>
        <v>#VALUE!</v>
      </c>
      <c r="CX140" t="e">
        <f>'All regions'!F3500+"n/&gt;!'TZ"</f>
        <v>#VALUE!</v>
      </c>
      <c r="CY140" t="e">
        <f>'All regions'!G3500+"n/&gt;!'T["</f>
        <v>#VALUE!</v>
      </c>
      <c r="CZ140" t="e">
        <f>'All regions'!H3500+"n/&gt;!'T\"</f>
        <v>#VALUE!</v>
      </c>
      <c r="DA140" t="e">
        <f>'All regions'!I3500+"n/&gt;!'T]"</f>
        <v>#VALUE!</v>
      </c>
      <c r="DB140" t="e">
        <f>'All regions'!J3500+"n/&gt;!'T^"</f>
        <v>#VALUE!</v>
      </c>
      <c r="DC140" t="e">
        <f>'All regions'!A3501+"n/&gt;!'T_"</f>
        <v>#VALUE!</v>
      </c>
      <c r="DD140" t="e">
        <f>'All regions'!B3501+"n/&gt;!'T`"</f>
        <v>#VALUE!</v>
      </c>
      <c r="DE140" t="e">
        <f>'All regions'!C3501+"n/&gt;!'Ta"</f>
        <v>#VALUE!</v>
      </c>
      <c r="DF140" t="e">
        <f>'All regions'!D3501+"n/&gt;!'Tb"</f>
        <v>#VALUE!</v>
      </c>
      <c r="DG140" t="e">
        <f>'All regions'!E3501+"n/&gt;!'Tc"</f>
        <v>#VALUE!</v>
      </c>
      <c r="DH140" t="e">
        <f>'All regions'!F3501+"n/&gt;!'Td"</f>
        <v>#VALUE!</v>
      </c>
      <c r="DI140" t="e">
        <f>'All regions'!G3501+"n/&gt;!'Te"</f>
        <v>#VALUE!</v>
      </c>
      <c r="DJ140" t="e">
        <f>'All regions'!H3501+"n/&gt;!'Tf"</f>
        <v>#VALUE!</v>
      </c>
      <c r="DK140" t="e">
        <f>'All regions'!I3501+"n/&gt;!'Tg"</f>
        <v>#VALUE!</v>
      </c>
      <c r="DL140" t="e">
        <f>'All regions'!J3501+"n/&gt;!'Th"</f>
        <v>#VALUE!</v>
      </c>
      <c r="DM140" t="e">
        <f>'All regions'!A3502+"n/&gt;!'Ti"</f>
        <v>#VALUE!</v>
      </c>
      <c r="DN140" t="e">
        <f>'All regions'!B3502+"n/&gt;!'Tj"</f>
        <v>#VALUE!</v>
      </c>
      <c r="DO140" t="e">
        <f>'All regions'!C3502+"n/&gt;!'Tk"</f>
        <v>#VALUE!</v>
      </c>
      <c r="DP140" t="e">
        <f>'All regions'!D3502+"n/&gt;!'Tl"</f>
        <v>#VALUE!</v>
      </c>
      <c r="DQ140" t="e">
        <f>'All regions'!E3502+"n/&gt;!'Tm"</f>
        <v>#VALUE!</v>
      </c>
      <c r="DR140" t="e">
        <f>'All regions'!F3502+"n/&gt;!'Tn"</f>
        <v>#VALUE!</v>
      </c>
      <c r="DS140" t="e">
        <f>'All regions'!G3502+"n/&gt;!'To"</f>
        <v>#VALUE!</v>
      </c>
      <c r="DT140" t="e">
        <f>'All regions'!H3502+"n/&gt;!'Tp"</f>
        <v>#VALUE!</v>
      </c>
      <c r="DU140" t="e">
        <f>'All regions'!I3502+"n/&gt;!'Tq"</f>
        <v>#VALUE!</v>
      </c>
      <c r="DV140" t="e">
        <f>'All regions'!J3502+"n/&gt;!'Tr"</f>
        <v>#VALUE!</v>
      </c>
      <c r="DW140" t="e">
        <f>'All regions'!A3503+"n/&gt;!'Ts"</f>
        <v>#VALUE!</v>
      </c>
      <c r="DX140" t="e">
        <f>'All regions'!B3503+"n/&gt;!'Tt"</f>
        <v>#VALUE!</v>
      </c>
      <c r="DY140" t="e">
        <f>'All regions'!C3503+"n/&gt;!'Tu"</f>
        <v>#VALUE!</v>
      </c>
      <c r="DZ140" t="e">
        <f>'All regions'!D3503+"n/&gt;!'Tv"</f>
        <v>#VALUE!</v>
      </c>
      <c r="EA140" t="e">
        <f>'All regions'!E3503+"n/&gt;!'Tw"</f>
        <v>#VALUE!</v>
      </c>
      <c r="EB140" t="e">
        <f>'All regions'!F3503+"n/&gt;!'Tx"</f>
        <v>#VALUE!</v>
      </c>
      <c r="EC140" t="e">
        <f>'All regions'!G3503+"n/&gt;!'Ty"</f>
        <v>#VALUE!</v>
      </c>
      <c r="ED140" t="e">
        <f>'All regions'!H3503+"n/&gt;!'Tz"</f>
        <v>#VALUE!</v>
      </c>
      <c r="EE140" t="e">
        <f>'All regions'!I3503+"n/&gt;!'T{"</f>
        <v>#VALUE!</v>
      </c>
      <c r="EF140" t="e">
        <f>'All regions'!J3503+"n/&gt;!'T|"</f>
        <v>#VALUE!</v>
      </c>
      <c r="EG140" t="e">
        <f>'All regions'!A3504+"n/&gt;!'T}"</f>
        <v>#VALUE!</v>
      </c>
      <c r="EH140" t="e">
        <f>'All regions'!B3504+"n/&gt;!'T~"</f>
        <v>#VALUE!</v>
      </c>
      <c r="EI140" t="e">
        <f>'All regions'!C3504+"n/&gt;!'U#"</f>
        <v>#VALUE!</v>
      </c>
      <c r="EJ140" t="e">
        <f>'All regions'!D3504+"n/&gt;!'U$"</f>
        <v>#VALUE!</v>
      </c>
      <c r="EK140" t="e">
        <f>'All regions'!E3504+"n/&gt;!'U%"</f>
        <v>#VALUE!</v>
      </c>
      <c r="EL140" t="e">
        <f>'All regions'!F3504+"n/&gt;!'U&amp;"</f>
        <v>#VALUE!</v>
      </c>
      <c r="EM140" t="e">
        <f>'All regions'!G3504+"n/&gt;!'U'"</f>
        <v>#VALUE!</v>
      </c>
      <c r="EN140" t="e">
        <f>'All regions'!H3504+"n/&gt;!'U("</f>
        <v>#VALUE!</v>
      </c>
      <c r="EO140" t="e">
        <f>'All regions'!I3504+"n/&gt;!'U)"</f>
        <v>#VALUE!</v>
      </c>
      <c r="EP140" t="e">
        <f>'All regions'!J3504+"n/&gt;!'U."</f>
        <v>#VALUE!</v>
      </c>
      <c r="EQ140" t="e">
        <f>'All regions'!A3505+"n/&gt;!'U/"</f>
        <v>#VALUE!</v>
      </c>
      <c r="ER140" t="e">
        <f>'All regions'!B3505+"n/&gt;!'U0"</f>
        <v>#VALUE!</v>
      </c>
      <c r="ES140" t="e">
        <f>'All regions'!C3505+"n/&gt;!'U1"</f>
        <v>#VALUE!</v>
      </c>
      <c r="ET140" t="e">
        <f>'All regions'!D3505+"n/&gt;!'U2"</f>
        <v>#VALUE!</v>
      </c>
      <c r="EU140" t="e">
        <f>'All regions'!E3505+"n/&gt;!'U3"</f>
        <v>#VALUE!</v>
      </c>
      <c r="EV140" t="e">
        <f>'All regions'!F3505+"n/&gt;!'U4"</f>
        <v>#VALUE!</v>
      </c>
      <c r="EW140" t="e">
        <f>'All regions'!G3505+"n/&gt;!'U5"</f>
        <v>#VALUE!</v>
      </c>
      <c r="EX140" t="e">
        <f>'All regions'!H3505+"n/&gt;!'U6"</f>
        <v>#VALUE!</v>
      </c>
      <c r="EY140" t="e">
        <f>'All regions'!I3505+"n/&gt;!'U7"</f>
        <v>#VALUE!</v>
      </c>
      <c r="EZ140" t="e">
        <f>'All regions'!J3505+"n/&gt;!'U8"</f>
        <v>#VALUE!</v>
      </c>
      <c r="FA140" t="e">
        <f>'All regions'!A3506+"n/&gt;!'U9"</f>
        <v>#VALUE!</v>
      </c>
      <c r="FB140" t="e">
        <f>'All regions'!B3506+"n/&gt;!'U:"</f>
        <v>#VALUE!</v>
      </c>
      <c r="FC140" t="e">
        <f>'All regions'!C3506+"n/&gt;!'U;"</f>
        <v>#VALUE!</v>
      </c>
      <c r="FD140" t="e">
        <f>'All regions'!D3506+"n/&gt;!'U&lt;"</f>
        <v>#VALUE!</v>
      </c>
      <c r="FE140" t="e">
        <f>'All regions'!E3506+"n/&gt;!'U="</f>
        <v>#VALUE!</v>
      </c>
      <c r="FF140" t="e">
        <f>'All regions'!F3506+"n/&gt;!'U&gt;"</f>
        <v>#VALUE!</v>
      </c>
      <c r="FG140" t="e">
        <f>'All regions'!G3506+"n/&gt;!'U?"</f>
        <v>#VALUE!</v>
      </c>
      <c r="FH140" t="e">
        <f>'All regions'!H3506+"n/&gt;!'U@"</f>
        <v>#VALUE!</v>
      </c>
      <c r="FI140" t="e">
        <f>'All regions'!I3506+"n/&gt;!'UA"</f>
        <v>#VALUE!</v>
      </c>
      <c r="FJ140" t="e">
        <f>'All regions'!J3506+"n/&gt;!'UB"</f>
        <v>#VALUE!</v>
      </c>
      <c r="FK140" t="e">
        <f>'All regions'!A3507+"n/&gt;!'UC"</f>
        <v>#VALUE!</v>
      </c>
      <c r="FL140" t="e">
        <f>'All regions'!B3507+"n/&gt;!'UD"</f>
        <v>#VALUE!</v>
      </c>
      <c r="FM140" t="e">
        <f>'All regions'!C3507+"n/&gt;!'UE"</f>
        <v>#VALUE!</v>
      </c>
      <c r="FN140" t="e">
        <f>'All regions'!D3507+"n/&gt;!'UF"</f>
        <v>#VALUE!</v>
      </c>
      <c r="FO140" t="e">
        <f>'All regions'!E3507+"n/&gt;!'UG"</f>
        <v>#VALUE!</v>
      </c>
      <c r="FP140" t="e">
        <f>'All regions'!F3507+"n/&gt;!'UH"</f>
        <v>#VALUE!</v>
      </c>
      <c r="FQ140" t="e">
        <f>'All regions'!G3507+"n/&gt;!'UI"</f>
        <v>#VALUE!</v>
      </c>
      <c r="FR140" t="e">
        <f>'All regions'!H3507+"n/&gt;!'UJ"</f>
        <v>#VALUE!</v>
      </c>
      <c r="FS140" t="e">
        <f>'All regions'!I3507+"n/&gt;!'UK"</f>
        <v>#VALUE!</v>
      </c>
      <c r="FT140" t="e">
        <f>'All regions'!J3507+"n/&gt;!'UL"</f>
        <v>#VALUE!</v>
      </c>
      <c r="FU140" t="e">
        <f>'All regions'!A3508+"n/&gt;!'UM"</f>
        <v>#VALUE!</v>
      </c>
      <c r="FV140" t="e">
        <f>'All regions'!B3508+"n/&gt;!'UN"</f>
        <v>#VALUE!</v>
      </c>
      <c r="FW140" t="e">
        <f>'All regions'!C3508+"n/&gt;!'UO"</f>
        <v>#VALUE!</v>
      </c>
      <c r="FX140" t="e">
        <f>'All regions'!D3508+"n/&gt;!'UP"</f>
        <v>#VALUE!</v>
      </c>
      <c r="FY140" t="e">
        <f>'All regions'!E3508+"n/&gt;!'UQ"</f>
        <v>#VALUE!</v>
      </c>
      <c r="FZ140" t="e">
        <f>'All regions'!F3508+"n/&gt;!'UR"</f>
        <v>#VALUE!</v>
      </c>
      <c r="GA140" t="e">
        <f>'All regions'!G3508+"n/&gt;!'US"</f>
        <v>#VALUE!</v>
      </c>
      <c r="GB140" t="e">
        <f>'All regions'!H3508+"n/&gt;!'UT"</f>
        <v>#VALUE!</v>
      </c>
      <c r="GC140" t="e">
        <f>'All regions'!I3508+"n/&gt;!'UU"</f>
        <v>#VALUE!</v>
      </c>
      <c r="GD140" t="e">
        <f>'All regions'!J3508+"n/&gt;!'UV"</f>
        <v>#VALUE!</v>
      </c>
      <c r="GE140" t="e">
        <f>'All regions'!A3509+"n/&gt;!'UW"</f>
        <v>#VALUE!</v>
      </c>
      <c r="GF140" t="e">
        <f>'All regions'!B3509+"n/&gt;!'UX"</f>
        <v>#VALUE!</v>
      </c>
      <c r="GG140" t="e">
        <f>'All regions'!C3509+"n/&gt;!'UY"</f>
        <v>#VALUE!</v>
      </c>
      <c r="GH140" t="e">
        <f>'All regions'!D3509+"n/&gt;!'UZ"</f>
        <v>#VALUE!</v>
      </c>
      <c r="GI140" t="e">
        <f>'All regions'!E3509+"n/&gt;!'U["</f>
        <v>#VALUE!</v>
      </c>
      <c r="GJ140" t="e">
        <f>'All regions'!F3509+"n/&gt;!'U\"</f>
        <v>#VALUE!</v>
      </c>
      <c r="GK140" t="e">
        <f>'All regions'!G3509+"n/&gt;!'U]"</f>
        <v>#VALUE!</v>
      </c>
      <c r="GL140" t="e">
        <f>'All regions'!H3509+"n/&gt;!'U^"</f>
        <v>#VALUE!</v>
      </c>
      <c r="GM140" t="e">
        <f>'All regions'!I3509+"n/&gt;!'U_"</f>
        <v>#VALUE!</v>
      </c>
      <c r="GN140" t="e">
        <f>'All regions'!J3509+"n/&gt;!'U`"</f>
        <v>#VALUE!</v>
      </c>
      <c r="GO140" t="e">
        <f>'All regions'!A3510+"n/&gt;!'Ua"</f>
        <v>#VALUE!</v>
      </c>
      <c r="GP140" t="e">
        <f>'All regions'!B3510+"n/&gt;!'Ub"</f>
        <v>#VALUE!</v>
      </c>
      <c r="GQ140" t="e">
        <f>'All regions'!C3510+"n/&gt;!'Uc"</f>
        <v>#VALUE!</v>
      </c>
      <c r="GR140" t="e">
        <f>'All regions'!D3510+"n/&gt;!'Ud"</f>
        <v>#VALUE!</v>
      </c>
      <c r="GS140" t="e">
        <f>'All regions'!E3510+"n/&gt;!'Ue"</f>
        <v>#VALUE!</v>
      </c>
      <c r="GT140" t="e">
        <f>'All regions'!F3510+"n/&gt;!'Uf"</f>
        <v>#VALUE!</v>
      </c>
      <c r="GU140" t="e">
        <f>'All regions'!G3510+"n/&gt;!'Ug"</f>
        <v>#VALUE!</v>
      </c>
      <c r="GV140" t="e">
        <f>'All regions'!H3510+"n/&gt;!'Uh"</f>
        <v>#VALUE!</v>
      </c>
      <c r="GW140" t="e">
        <f>'All regions'!I3510+"n/&gt;!'Ui"</f>
        <v>#VALUE!</v>
      </c>
      <c r="GX140" t="e">
        <f>'All regions'!J3510+"n/&gt;!'Uj"</f>
        <v>#VALUE!</v>
      </c>
      <c r="GY140" t="e">
        <f>'All regions'!A3511+"n/&gt;!'Uk"</f>
        <v>#VALUE!</v>
      </c>
      <c r="GZ140" t="e">
        <f>'All regions'!B3511+"n/&gt;!'Ul"</f>
        <v>#VALUE!</v>
      </c>
      <c r="HA140" t="e">
        <f>'All regions'!C3511+"n/&gt;!'Um"</f>
        <v>#VALUE!</v>
      </c>
      <c r="HB140" t="e">
        <f>'All regions'!D3511+"n/&gt;!'Un"</f>
        <v>#VALUE!</v>
      </c>
      <c r="HC140" t="e">
        <f>'All regions'!E3511+"n/&gt;!'Uo"</f>
        <v>#VALUE!</v>
      </c>
      <c r="HD140" t="e">
        <f>'All regions'!F3511+"n/&gt;!'Up"</f>
        <v>#VALUE!</v>
      </c>
      <c r="HE140" t="e">
        <f>'All regions'!G3511+"n/&gt;!'Uq"</f>
        <v>#VALUE!</v>
      </c>
      <c r="HF140" t="e">
        <f>'All regions'!H3511+"n/&gt;!'Ur"</f>
        <v>#VALUE!</v>
      </c>
      <c r="HG140" t="e">
        <f>'All regions'!I3511+"n/&gt;!'Us"</f>
        <v>#VALUE!</v>
      </c>
      <c r="HH140" t="e">
        <f>'All regions'!J3511+"n/&gt;!'Ut"</f>
        <v>#VALUE!</v>
      </c>
      <c r="HI140" t="e">
        <f>'All regions'!A3512+"n/&gt;!'Uu"</f>
        <v>#VALUE!</v>
      </c>
      <c r="HJ140" t="e">
        <f>'All regions'!B3512+"n/&gt;!'Uv"</f>
        <v>#VALUE!</v>
      </c>
      <c r="HK140" t="e">
        <f>'All regions'!C3512+"n/&gt;!'Uw"</f>
        <v>#VALUE!</v>
      </c>
      <c r="HL140" t="e">
        <f>'All regions'!D3512+"n/&gt;!'Ux"</f>
        <v>#VALUE!</v>
      </c>
      <c r="HM140" t="e">
        <f>'All regions'!E3512+"n/&gt;!'Uy"</f>
        <v>#VALUE!</v>
      </c>
      <c r="HN140" t="e">
        <f>'All regions'!F3512+"n/&gt;!'Uz"</f>
        <v>#VALUE!</v>
      </c>
      <c r="HO140" t="e">
        <f>'All regions'!G3512+"n/&gt;!'U{"</f>
        <v>#VALUE!</v>
      </c>
      <c r="HP140" t="e">
        <f>'All regions'!H3512+"n/&gt;!'U|"</f>
        <v>#VALUE!</v>
      </c>
      <c r="HQ140" t="e">
        <f>'All regions'!I3512+"n/&gt;!'U}"</f>
        <v>#VALUE!</v>
      </c>
      <c r="HR140" t="e">
        <f>'All regions'!J3512+"n/&gt;!'U~"</f>
        <v>#VALUE!</v>
      </c>
      <c r="HS140" t="e">
        <f>'All regions'!A3513+"n/&gt;!'V#"</f>
        <v>#VALUE!</v>
      </c>
      <c r="HT140" t="e">
        <f>'All regions'!B3513+"n/&gt;!'V$"</f>
        <v>#VALUE!</v>
      </c>
      <c r="HU140" t="e">
        <f>'All regions'!C3513+"n/&gt;!'V%"</f>
        <v>#VALUE!</v>
      </c>
      <c r="HV140" t="e">
        <f>'All regions'!D3513+"n/&gt;!'V&amp;"</f>
        <v>#VALUE!</v>
      </c>
      <c r="HW140" t="e">
        <f>'All regions'!E3513+"n/&gt;!'V'"</f>
        <v>#VALUE!</v>
      </c>
      <c r="HX140" t="e">
        <f>'All regions'!F3513+"n/&gt;!'V("</f>
        <v>#VALUE!</v>
      </c>
      <c r="HY140" t="e">
        <f>'All regions'!G3513+"n/&gt;!'V)"</f>
        <v>#VALUE!</v>
      </c>
      <c r="HZ140" t="e">
        <f>'All regions'!H3513+"n/&gt;!'V."</f>
        <v>#VALUE!</v>
      </c>
      <c r="IA140" t="e">
        <f>'All regions'!I3513+"n/&gt;!'V/"</f>
        <v>#VALUE!</v>
      </c>
      <c r="IB140" t="e">
        <f>'All regions'!J3513+"n/&gt;!'V0"</f>
        <v>#VALUE!</v>
      </c>
      <c r="IC140" t="e">
        <f>'All regions'!A3514+"n/&gt;!'V1"</f>
        <v>#VALUE!</v>
      </c>
      <c r="ID140" t="e">
        <f>'All regions'!B3514+"n/&gt;!'V2"</f>
        <v>#VALUE!</v>
      </c>
      <c r="IE140" t="e">
        <f>'All regions'!C3514+"n/&gt;!'V3"</f>
        <v>#VALUE!</v>
      </c>
      <c r="IF140" t="e">
        <f>'All regions'!D3514+"n/&gt;!'V4"</f>
        <v>#VALUE!</v>
      </c>
      <c r="IG140" t="e">
        <f>'All regions'!E3514+"n/&gt;!'V5"</f>
        <v>#VALUE!</v>
      </c>
      <c r="IH140" t="e">
        <f>'All regions'!F3514+"n/&gt;!'V6"</f>
        <v>#VALUE!</v>
      </c>
      <c r="II140" t="e">
        <f>'All regions'!G3514+"n/&gt;!'V7"</f>
        <v>#VALUE!</v>
      </c>
      <c r="IJ140" t="e">
        <f>'All regions'!H3514+"n/&gt;!'V8"</f>
        <v>#VALUE!</v>
      </c>
      <c r="IK140" t="e">
        <f>'All regions'!I3514+"n/&gt;!'V9"</f>
        <v>#VALUE!</v>
      </c>
      <c r="IL140" t="e">
        <f>'All regions'!J3514+"n/&gt;!'V:"</f>
        <v>#VALUE!</v>
      </c>
      <c r="IM140" t="e">
        <f>'All regions'!A3515+"n/&gt;!'V;"</f>
        <v>#VALUE!</v>
      </c>
      <c r="IN140" t="e">
        <f>'All regions'!B3515+"n/&gt;!'V&lt;"</f>
        <v>#VALUE!</v>
      </c>
      <c r="IO140" t="e">
        <f>'All regions'!C3515+"n/&gt;!'V="</f>
        <v>#VALUE!</v>
      </c>
      <c r="IP140" t="e">
        <f>'All regions'!D3515+"n/&gt;!'V&gt;"</f>
        <v>#VALUE!</v>
      </c>
      <c r="IQ140" t="e">
        <f>'All regions'!E3515+"n/&gt;!'V?"</f>
        <v>#VALUE!</v>
      </c>
      <c r="IR140" t="e">
        <f>'All regions'!F3515+"n/&gt;!'V@"</f>
        <v>#VALUE!</v>
      </c>
      <c r="IS140" t="e">
        <f>'All regions'!G3515+"n/&gt;!'VA"</f>
        <v>#VALUE!</v>
      </c>
      <c r="IT140" t="e">
        <f>'All regions'!H3515+"n/&gt;!'VB"</f>
        <v>#VALUE!</v>
      </c>
      <c r="IU140" t="e">
        <f>'All regions'!I3515+"n/&gt;!'VC"</f>
        <v>#VALUE!</v>
      </c>
      <c r="IV140" t="e">
        <f>'All regions'!J3515+"n/&gt;!'VD"</f>
        <v>#VALUE!</v>
      </c>
    </row>
    <row r="141" spans="6:256" x14ac:dyDescent="0.35">
      <c r="F141" t="e">
        <f>'All regions'!A3516+"n/&gt;!'VE"</f>
        <v>#VALUE!</v>
      </c>
      <c r="G141" t="e">
        <f>'All regions'!B3516+"n/&gt;!'VF"</f>
        <v>#VALUE!</v>
      </c>
      <c r="H141" t="e">
        <f>'All regions'!C3516+"n/&gt;!'VG"</f>
        <v>#VALUE!</v>
      </c>
      <c r="I141" t="e">
        <f>'All regions'!D3516+"n/&gt;!'VH"</f>
        <v>#VALUE!</v>
      </c>
      <c r="J141" t="e">
        <f>'All regions'!E3516+"n/&gt;!'VI"</f>
        <v>#VALUE!</v>
      </c>
      <c r="K141" t="e">
        <f>'All regions'!F3516+"n/&gt;!'VJ"</f>
        <v>#VALUE!</v>
      </c>
      <c r="L141" t="e">
        <f>'All regions'!G3516+"n/&gt;!'VK"</f>
        <v>#VALUE!</v>
      </c>
      <c r="M141" t="e">
        <f>'All regions'!H3516+"n/&gt;!'VL"</f>
        <v>#VALUE!</v>
      </c>
      <c r="N141" t="e">
        <f>'All regions'!I3516+"n/&gt;!'VM"</f>
        <v>#VALUE!</v>
      </c>
      <c r="O141" t="e">
        <f>'All regions'!J3516+"n/&gt;!'VN"</f>
        <v>#VALUE!</v>
      </c>
      <c r="P141" t="e">
        <f>'All regions'!A3517+"n/&gt;!'VO"</f>
        <v>#VALUE!</v>
      </c>
      <c r="Q141" t="e">
        <f>'All regions'!B3517+"n/&gt;!'VP"</f>
        <v>#VALUE!</v>
      </c>
      <c r="R141" t="e">
        <f>'All regions'!C3517+"n/&gt;!'VQ"</f>
        <v>#VALUE!</v>
      </c>
      <c r="S141" t="e">
        <f>'All regions'!D3517+"n/&gt;!'VR"</f>
        <v>#VALUE!</v>
      </c>
      <c r="T141" t="e">
        <f>'All regions'!E3517+"n/&gt;!'VS"</f>
        <v>#VALUE!</v>
      </c>
      <c r="U141" t="e">
        <f>'All regions'!F3517+"n/&gt;!'VT"</f>
        <v>#VALUE!</v>
      </c>
      <c r="V141" t="e">
        <f>'All regions'!G3517+"n/&gt;!'VU"</f>
        <v>#VALUE!</v>
      </c>
      <c r="W141" t="e">
        <f>'All regions'!H3517+"n/&gt;!'VV"</f>
        <v>#VALUE!</v>
      </c>
      <c r="X141" t="e">
        <f>'All regions'!I3517+"n/&gt;!'VW"</f>
        <v>#VALUE!</v>
      </c>
      <c r="Y141" t="e">
        <f>'All regions'!J3517+"n/&gt;!'VX"</f>
        <v>#VALUE!</v>
      </c>
      <c r="Z141" t="e">
        <f>'All regions'!A3518+"n/&gt;!'VY"</f>
        <v>#VALUE!</v>
      </c>
      <c r="AA141" t="e">
        <f>'All regions'!B3518+"n/&gt;!'VZ"</f>
        <v>#VALUE!</v>
      </c>
      <c r="AB141" t="e">
        <f>'All regions'!C3518+"n/&gt;!'V["</f>
        <v>#VALUE!</v>
      </c>
      <c r="AC141" t="e">
        <f>'All regions'!D3518+"n/&gt;!'V\"</f>
        <v>#VALUE!</v>
      </c>
      <c r="AD141" t="e">
        <f>'All regions'!E3518+"n/&gt;!'V]"</f>
        <v>#VALUE!</v>
      </c>
      <c r="AE141" t="e">
        <f>'All regions'!F3518+"n/&gt;!'V^"</f>
        <v>#VALUE!</v>
      </c>
      <c r="AF141" t="e">
        <f>'All regions'!G3518+"n/&gt;!'V_"</f>
        <v>#VALUE!</v>
      </c>
      <c r="AG141" t="e">
        <f>'All regions'!H3518+"n/&gt;!'V`"</f>
        <v>#VALUE!</v>
      </c>
      <c r="AH141" t="e">
        <f>'All regions'!I3518+"n/&gt;!'Va"</f>
        <v>#VALUE!</v>
      </c>
      <c r="AI141" t="e">
        <f>'All regions'!J3518+"n/&gt;!'Vb"</f>
        <v>#VALUE!</v>
      </c>
      <c r="AJ141" t="e">
        <f>'All regions'!A3519+"n/&gt;!'Vc"</f>
        <v>#VALUE!</v>
      </c>
      <c r="AK141" t="e">
        <f>'All regions'!B3519+"n/&gt;!'Vd"</f>
        <v>#VALUE!</v>
      </c>
      <c r="AL141" t="e">
        <f>'All regions'!C3519+"n/&gt;!'Ve"</f>
        <v>#VALUE!</v>
      </c>
      <c r="AM141" t="e">
        <f>'All regions'!D3519+"n/&gt;!'Vf"</f>
        <v>#VALUE!</v>
      </c>
      <c r="AN141" t="e">
        <f>'All regions'!E3519+"n/&gt;!'Vg"</f>
        <v>#VALUE!</v>
      </c>
      <c r="AO141" t="e">
        <f>'All regions'!F3519+"n/&gt;!'Vh"</f>
        <v>#VALUE!</v>
      </c>
      <c r="AP141" t="e">
        <f>'All regions'!G3519+"n/&gt;!'Vi"</f>
        <v>#VALUE!</v>
      </c>
      <c r="AQ141" t="e">
        <f>'All regions'!H3519+"n/&gt;!'Vj"</f>
        <v>#VALUE!</v>
      </c>
      <c r="AR141" t="e">
        <f>'All regions'!I3519+"n/&gt;!'Vk"</f>
        <v>#VALUE!</v>
      </c>
      <c r="AS141" t="e">
        <f>'All regions'!J3519+"n/&gt;!'Vl"</f>
        <v>#VALUE!</v>
      </c>
      <c r="AT141" t="e">
        <f>'All regions'!A3520+"n/&gt;!'Vm"</f>
        <v>#VALUE!</v>
      </c>
      <c r="AU141" t="e">
        <f>'All regions'!B3520+"n/&gt;!'Vn"</f>
        <v>#VALUE!</v>
      </c>
      <c r="AV141" t="e">
        <f>'All regions'!C3520+"n/&gt;!'Vo"</f>
        <v>#VALUE!</v>
      </c>
      <c r="AW141" t="e">
        <f>'All regions'!D3520+"n/&gt;!'Vp"</f>
        <v>#VALUE!</v>
      </c>
      <c r="AX141" t="e">
        <f>'All regions'!E3520+"n/&gt;!'Vq"</f>
        <v>#VALUE!</v>
      </c>
      <c r="AY141" t="e">
        <f>'All regions'!F3520+"n/&gt;!'Vr"</f>
        <v>#VALUE!</v>
      </c>
      <c r="AZ141" t="e">
        <f>'All regions'!G3520+"n/&gt;!'Vs"</f>
        <v>#VALUE!</v>
      </c>
      <c r="BA141" t="e">
        <f>'All regions'!H3520+"n/&gt;!'Vt"</f>
        <v>#VALUE!</v>
      </c>
      <c r="BB141" t="e">
        <f>'All regions'!I3520+"n/&gt;!'Vu"</f>
        <v>#VALUE!</v>
      </c>
      <c r="BC141" t="e">
        <f>'All regions'!J3520+"n/&gt;!'Vv"</f>
        <v>#VALUE!</v>
      </c>
      <c r="BD141" t="e">
        <f>'All regions'!A3521+"n/&gt;!'Vw"</f>
        <v>#VALUE!</v>
      </c>
      <c r="BE141" t="e">
        <f>'All regions'!B3521+"n/&gt;!'Vx"</f>
        <v>#VALUE!</v>
      </c>
      <c r="BF141" t="e">
        <f>'All regions'!C3521+"n/&gt;!'Vy"</f>
        <v>#VALUE!</v>
      </c>
      <c r="BG141" t="e">
        <f>'All regions'!D3521+"n/&gt;!'Vz"</f>
        <v>#VALUE!</v>
      </c>
      <c r="BH141" t="e">
        <f>'All regions'!E3521+"n/&gt;!'V{"</f>
        <v>#VALUE!</v>
      </c>
      <c r="BI141" t="e">
        <f>'All regions'!F3521+"n/&gt;!'V|"</f>
        <v>#VALUE!</v>
      </c>
      <c r="BJ141" t="e">
        <f>'All regions'!G3521+"n/&gt;!'V}"</f>
        <v>#VALUE!</v>
      </c>
      <c r="BK141" t="e">
        <f>'All regions'!H3521+"n/&gt;!'V~"</f>
        <v>#VALUE!</v>
      </c>
      <c r="BL141" t="e">
        <f>'All regions'!I3521+"n/&gt;!'W#"</f>
        <v>#VALUE!</v>
      </c>
      <c r="BM141" t="e">
        <f>'All regions'!J3521+"n/&gt;!'W$"</f>
        <v>#VALUE!</v>
      </c>
      <c r="BN141" t="e">
        <f>'All regions'!A3522+"n/&gt;!'W%"</f>
        <v>#VALUE!</v>
      </c>
      <c r="BO141" t="e">
        <f>'All regions'!B3522+"n/&gt;!'W&amp;"</f>
        <v>#VALUE!</v>
      </c>
      <c r="BP141" t="e">
        <f>'All regions'!C3522+"n/&gt;!'W'"</f>
        <v>#VALUE!</v>
      </c>
      <c r="BQ141" t="e">
        <f>'All regions'!D3522+"n/&gt;!'W("</f>
        <v>#VALUE!</v>
      </c>
      <c r="BR141" t="e">
        <f>'All regions'!E3522+"n/&gt;!'W)"</f>
        <v>#VALUE!</v>
      </c>
      <c r="BS141" t="e">
        <f>'All regions'!F3522+"n/&gt;!'W."</f>
        <v>#VALUE!</v>
      </c>
      <c r="BT141" t="e">
        <f>'All regions'!G3522+"n/&gt;!'W/"</f>
        <v>#VALUE!</v>
      </c>
      <c r="BU141" t="e">
        <f>'All regions'!H3522+"n/&gt;!'W0"</f>
        <v>#VALUE!</v>
      </c>
      <c r="BV141" t="e">
        <f>'All regions'!I3522+"n/&gt;!'W1"</f>
        <v>#VALUE!</v>
      </c>
      <c r="BW141" t="e">
        <f>'All regions'!J3522+"n/&gt;!'W2"</f>
        <v>#VALUE!</v>
      </c>
      <c r="BX141" t="e">
        <f>'All regions'!A3523+"n/&gt;!'W3"</f>
        <v>#VALUE!</v>
      </c>
      <c r="BY141" t="e">
        <f>'All regions'!B3523+"n/&gt;!'W4"</f>
        <v>#VALUE!</v>
      </c>
      <c r="BZ141" t="e">
        <f>'All regions'!C3523+"n/&gt;!'W5"</f>
        <v>#VALUE!</v>
      </c>
      <c r="CA141" t="e">
        <f>'All regions'!D3523+"n/&gt;!'W6"</f>
        <v>#VALUE!</v>
      </c>
      <c r="CB141" t="e">
        <f>'All regions'!E3523+"n/&gt;!'W7"</f>
        <v>#VALUE!</v>
      </c>
      <c r="CC141" t="e">
        <f>'All regions'!F3523+"n/&gt;!'W8"</f>
        <v>#VALUE!</v>
      </c>
      <c r="CD141" t="e">
        <f>'All regions'!G3523+"n/&gt;!'W9"</f>
        <v>#VALUE!</v>
      </c>
      <c r="CE141" t="e">
        <f>'All regions'!H3523+"n/&gt;!'W:"</f>
        <v>#VALUE!</v>
      </c>
      <c r="CF141" t="e">
        <f>'All regions'!I3523+"n/&gt;!'W;"</f>
        <v>#VALUE!</v>
      </c>
      <c r="CG141" t="e">
        <f>'All regions'!J3523+"n/&gt;!'W&lt;"</f>
        <v>#VALUE!</v>
      </c>
      <c r="CH141" t="e">
        <f>'All regions'!A3524+"n/&gt;!'W="</f>
        <v>#VALUE!</v>
      </c>
      <c r="CI141" t="e">
        <f>'All regions'!B3524+"n/&gt;!'W&gt;"</f>
        <v>#VALUE!</v>
      </c>
      <c r="CJ141" t="e">
        <f>'All regions'!C3524+"n/&gt;!'W?"</f>
        <v>#VALUE!</v>
      </c>
      <c r="CK141" t="e">
        <f>'All regions'!D3524+"n/&gt;!'W@"</f>
        <v>#VALUE!</v>
      </c>
      <c r="CL141" t="e">
        <f>'All regions'!E3524+"n/&gt;!'WA"</f>
        <v>#VALUE!</v>
      </c>
      <c r="CM141" t="e">
        <f>'All regions'!F3524+"n/&gt;!'WB"</f>
        <v>#VALUE!</v>
      </c>
      <c r="CN141" t="e">
        <f>'All regions'!G3524+"n/&gt;!'WC"</f>
        <v>#VALUE!</v>
      </c>
      <c r="CO141" t="e">
        <f>'All regions'!H3524+"n/&gt;!'WD"</f>
        <v>#VALUE!</v>
      </c>
      <c r="CP141" t="e">
        <f>'All regions'!I3524+"n/&gt;!'WE"</f>
        <v>#VALUE!</v>
      </c>
      <c r="CQ141" t="e">
        <f>'All regions'!J3524+"n/&gt;!'WF"</f>
        <v>#VALUE!</v>
      </c>
      <c r="CR141" t="e">
        <f>'All regions'!A3525+"n/&gt;!'WG"</f>
        <v>#VALUE!</v>
      </c>
      <c r="CS141" t="e">
        <f>'All regions'!B3525+"n/&gt;!'WH"</f>
        <v>#VALUE!</v>
      </c>
      <c r="CT141" t="e">
        <f>'All regions'!C3525+"n/&gt;!'WI"</f>
        <v>#VALUE!</v>
      </c>
      <c r="CU141" t="e">
        <f>'All regions'!D3525+"n/&gt;!'WJ"</f>
        <v>#VALUE!</v>
      </c>
      <c r="CV141" t="e">
        <f>'All regions'!E3525+"n/&gt;!'WK"</f>
        <v>#VALUE!</v>
      </c>
      <c r="CW141" t="e">
        <f>'All regions'!F3525+"n/&gt;!'WL"</f>
        <v>#VALUE!</v>
      </c>
      <c r="CX141" t="e">
        <f>'All regions'!G3525+"n/&gt;!'WM"</f>
        <v>#VALUE!</v>
      </c>
      <c r="CY141" t="e">
        <f>'All regions'!H3525+"n/&gt;!'WN"</f>
        <v>#VALUE!</v>
      </c>
      <c r="CZ141" t="e">
        <f>'All regions'!I3525+"n/&gt;!'WO"</f>
        <v>#VALUE!</v>
      </c>
      <c r="DA141" t="e">
        <f>'All regions'!J3525+"n/&gt;!'WP"</f>
        <v>#VALUE!</v>
      </c>
      <c r="DB141" t="e">
        <f>'All regions'!A3526+"n/&gt;!'WQ"</f>
        <v>#VALUE!</v>
      </c>
      <c r="DC141" t="e">
        <f>'All regions'!B3526+"n/&gt;!'WR"</f>
        <v>#VALUE!</v>
      </c>
      <c r="DD141" t="e">
        <f>'All regions'!C3526+"n/&gt;!'WS"</f>
        <v>#VALUE!</v>
      </c>
      <c r="DE141" t="e">
        <f>'All regions'!D3526+"n/&gt;!'WT"</f>
        <v>#VALUE!</v>
      </c>
      <c r="DF141" t="e">
        <f>'All regions'!E3526+"n/&gt;!'WU"</f>
        <v>#VALUE!</v>
      </c>
      <c r="DG141" t="e">
        <f>'All regions'!F3526+"n/&gt;!'WV"</f>
        <v>#VALUE!</v>
      </c>
      <c r="DH141" t="e">
        <f>'All regions'!G3526+"n/&gt;!'WW"</f>
        <v>#VALUE!</v>
      </c>
      <c r="DI141" t="e">
        <f>'All regions'!H3526+"n/&gt;!'WX"</f>
        <v>#VALUE!</v>
      </c>
      <c r="DJ141" t="e">
        <f>'All regions'!I3526+"n/&gt;!'WY"</f>
        <v>#VALUE!</v>
      </c>
      <c r="DK141" t="e">
        <f>'All regions'!J3526+"n/&gt;!'WZ"</f>
        <v>#VALUE!</v>
      </c>
      <c r="DL141" t="e">
        <f>'All regions'!A3527+"n/&gt;!'W["</f>
        <v>#VALUE!</v>
      </c>
      <c r="DM141" t="e">
        <f>'All regions'!B3527+"n/&gt;!'W\"</f>
        <v>#VALUE!</v>
      </c>
      <c r="DN141" t="e">
        <f>'All regions'!C3527+"n/&gt;!'W]"</f>
        <v>#VALUE!</v>
      </c>
      <c r="DO141" t="e">
        <f>'All regions'!D3527+"n/&gt;!'W^"</f>
        <v>#VALUE!</v>
      </c>
      <c r="DP141" t="e">
        <f>'All regions'!E3527+"n/&gt;!'W_"</f>
        <v>#VALUE!</v>
      </c>
      <c r="DQ141" t="e">
        <f>'All regions'!F3527+"n/&gt;!'W`"</f>
        <v>#VALUE!</v>
      </c>
      <c r="DR141" t="e">
        <f>'All regions'!G3527+"n/&gt;!'Wa"</f>
        <v>#VALUE!</v>
      </c>
      <c r="DS141" t="e">
        <f>'All regions'!H3527+"n/&gt;!'Wb"</f>
        <v>#VALUE!</v>
      </c>
      <c r="DT141" t="e">
        <f>'All regions'!I3527+"n/&gt;!'Wc"</f>
        <v>#VALUE!</v>
      </c>
      <c r="DU141" t="e">
        <f>'All regions'!J3527+"n/&gt;!'Wd"</f>
        <v>#VALUE!</v>
      </c>
      <c r="DV141" t="e">
        <f>'All regions'!A3528+"n/&gt;!'We"</f>
        <v>#VALUE!</v>
      </c>
      <c r="DW141" t="e">
        <f>'All regions'!B3528+"n/&gt;!'Wf"</f>
        <v>#VALUE!</v>
      </c>
      <c r="DX141" t="e">
        <f>'All regions'!C3528+"n/&gt;!'Wg"</f>
        <v>#VALUE!</v>
      </c>
      <c r="DY141" t="e">
        <f>'All regions'!D3528+"n/&gt;!'Wh"</f>
        <v>#VALUE!</v>
      </c>
      <c r="DZ141" t="e">
        <f>'All regions'!E3528+"n/&gt;!'Wi"</f>
        <v>#VALUE!</v>
      </c>
      <c r="EA141" t="e">
        <f>'All regions'!F3528+"n/&gt;!'Wj"</f>
        <v>#VALUE!</v>
      </c>
      <c r="EB141" t="e">
        <f>'All regions'!G3528+"n/&gt;!'Wk"</f>
        <v>#VALUE!</v>
      </c>
      <c r="EC141" t="e">
        <f>'All regions'!H3528+"n/&gt;!'Wl"</f>
        <v>#VALUE!</v>
      </c>
      <c r="ED141" t="e">
        <f>'All regions'!I3528+"n/&gt;!'Wm"</f>
        <v>#VALUE!</v>
      </c>
      <c r="EE141" t="e">
        <f>'All regions'!J3528+"n/&gt;!'Wn"</f>
        <v>#VALUE!</v>
      </c>
      <c r="EF141" t="e">
        <f>'All regions'!A3529+"n/&gt;!'Wo"</f>
        <v>#VALUE!</v>
      </c>
      <c r="EG141" t="e">
        <f>'All regions'!B3529+"n/&gt;!'Wp"</f>
        <v>#VALUE!</v>
      </c>
      <c r="EH141" t="e">
        <f>'All regions'!C3529+"n/&gt;!'Wq"</f>
        <v>#VALUE!</v>
      </c>
      <c r="EI141" t="e">
        <f>'All regions'!D3529+"n/&gt;!'Wr"</f>
        <v>#VALUE!</v>
      </c>
      <c r="EJ141" t="e">
        <f>'All regions'!E3529+"n/&gt;!'Ws"</f>
        <v>#VALUE!</v>
      </c>
      <c r="EK141" t="e">
        <f>'All regions'!F3529+"n/&gt;!'Wt"</f>
        <v>#VALUE!</v>
      </c>
      <c r="EL141" t="e">
        <f>'All regions'!G3529+"n/&gt;!'Wu"</f>
        <v>#VALUE!</v>
      </c>
      <c r="EM141" t="e">
        <f>'All regions'!H3529+"n/&gt;!'Wv"</f>
        <v>#VALUE!</v>
      </c>
      <c r="EN141" t="e">
        <f>'All regions'!I3529+"n/&gt;!'Ww"</f>
        <v>#VALUE!</v>
      </c>
      <c r="EO141" t="e">
        <f>'All regions'!J3529+"n/&gt;!'Wx"</f>
        <v>#VALUE!</v>
      </c>
      <c r="EP141" t="e">
        <f>'All regions'!A3530+"n/&gt;!'Wy"</f>
        <v>#VALUE!</v>
      </c>
      <c r="EQ141" t="e">
        <f>'All regions'!B3530+"n/&gt;!'Wz"</f>
        <v>#VALUE!</v>
      </c>
      <c r="ER141" t="e">
        <f>'All regions'!C3530+"n/&gt;!'W{"</f>
        <v>#VALUE!</v>
      </c>
      <c r="ES141" t="e">
        <f>'All regions'!D3530+"n/&gt;!'W|"</f>
        <v>#VALUE!</v>
      </c>
      <c r="ET141" t="e">
        <f>'All regions'!E3530+"n/&gt;!'W}"</f>
        <v>#VALUE!</v>
      </c>
      <c r="EU141" t="e">
        <f>'All regions'!F3530+"n/&gt;!'W~"</f>
        <v>#VALUE!</v>
      </c>
      <c r="EV141" t="e">
        <f>'All regions'!G3530+"n/&gt;!'X#"</f>
        <v>#VALUE!</v>
      </c>
      <c r="EW141" t="e">
        <f>'All regions'!H3530+"n/&gt;!'X$"</f>
        <v>#VALUE!</v>
      </c>
      <c r="EX141" t="e">
        <f>'All regions'!I3530+"n/&gt;!'X%"</f>
        <v>#VALUE!</v>
      </c>
      <c r="EY141" t="e">
        <f>'All regions'!J3530+"n/&gt;!'X&amp;"</f>
        <v>#VALUE!</v>
      </c>
      <c r="EZ141" t="e">
        <f>'All regions'!A3531+"n/&gt;!'X'"</f>
        <v>#VALUE!</v>
      </c>
      <c r="FA141" t="e">
        <f>'All regions'!B3531+"n/&gt;!'X("</f>
        <v>#VALUE!</v>
      </c>
      <c r="FB141" t="e">
        <f>'All regions'!C3531+"n/&gt;!'X)"</f>
        <v>#VALUE!</v>
      </c>
      <c r="FC141" t="e">
        <f>'All regions'!D3531+"n/&gt;!'X."</f>
        <v>#VALUE!</v>
      </c>
      <c r="FD141" t="e">
        <f>'All regions'!E3531+"n/&gt;!'X/"</f>
        <v>#VALUE!</v>
      </c>
      <c r="FE141" t="e">
        <f>'All regions'!F3531+"n/&gt;!'X0"</f>
        <v>#VALUE!</v>
      </c>
      <c r="FF141" t="e">
        <f>'All regions'!G3531+"n/&gt;!'X1"</f>
        <v>#VALUE!</v>
      </c>
      <c r="FG141" t="e">
        <f>'All regions'!H3531+"n/&gt;!'X2"</f>
        <v>#VALUE!</v>
      </c>
      <c r="FH141" t="e">
        <f>'All regions'!I3531+"n/&gt;!'X3"</f>
        <v>#VALUE!</v>
      </c>
      <c r="FI141" t="e">
        <f>'All regions'!J3531+"n/&gt;!'X4"</f>
        <v>#VALUE!</v>
      </c>
      <c r="FJ141" t="e">
        <f>'All regions'!A3532+"n/&gt;!'X5"</f>
        <v>#VALUE!</v>
      </c>
      <c r="FK141" t="e">
        <f>'All regions'!B3532+"n/&gt;!'X6"</f>
        <v>#VALUE!</v>
      </c>
      <c r="FL141" t="e">
        <f>'All regions'!C3532+"n/&gt;!'X7"</f>
        <v>#VALUE!</v>
      </c>
      <c r="FM141" t="e">
        <f>'All regions'!D3532+"n/&gt;!'X8"</f>
        <v>#VALUE!</v>
      </c>
      <c r="FN141" t="e">
        <f>'All regions'!E3532+"n/&gt;!'X9"</f>
        <v>#VALUE!</v>
      </c>
      <c r="FO141" t="e">
        <f>'All regions'!F3532+"n/&gt;!'X:"</f>
        <v>#VALUE!</v>
      </c>
      <c r="FP141" t="e">
        <f>'All regions'!G3532+"n/&gt;!'X;"</f>
        <v>#VALUE!</v>
      </c>
      <c r="FQ141" t="e">
        <f>'All regions'!H3532+"n/&gt;!'X&lt;"</f>
        <v>#VALUE!</v>
      </c>
      <c r="FR141" t="e">
        <f>'All regions'!I3532+"n/&gt;!'X="</f>
        <v>#VALUE!</v>
      </c>
      <c r="FS141" t="e">
        <f>'All regions'!J3532+"n/&gt;!'X&gt;"</f>
        <v>#VALUE!</v>
      </c>
      <c r="FT141" t="e">
        <f>'All regions'!A3533+"n/&gt;!'X?"</f>
        <v>#VALUE!</v>
      </c>
      <c r="FU141" t="e">
        <f>'All regions'!B3533+"n/&gt;!'X@"</f>
        <v>#VALUE!</v>
      </c>
      <c r="FV141" t="e">
        <f>'All regions'!C3533+"n/&gt;!'XA"</f>
        <v>#VALUE!</v>
      </c>
      <c r="FW141" t="e">
        <f>'All regions'!D3533+"n/&gt;!'XB"</f>
        <v>#VALUE!</v>
      </c>
      <c r="FX141" t="e">
        <f>'All regions'!E3533+"n/&gt;!'XC"</f>
        <v>#VALUE!</v>
      </c>
      <c r="FY141" t="e">
        <f>'All regions'!F3533+"n/&gt;!'XD"</f>
        <v>#VALUE!</v>
      </c>
      <c r="FZ141" t="e">
        <f>'All regions'!G3533+"n/&gt;!'XE"</f>
        <v>#VALUE!</v>
      </c>
      <c r="GA141" t="e">
        <f>'All regions'!H3533+"n/&gt;!'XF"</f>
        <v>#VALUE!</v>
      </c>
      <c r="GB141" t="e">
        <f>'All regions'!I3533+"n/&gt;!'XG"</f>
        <v>#VALUE!</v>
      </c>
      <c r="GC141" t="e">
        <f>'All regions'!J3533+"n/&gt;!'XH"</f>
        <v>#VALUE!</v>
      </c>
      <c r="GD141" t="e">
        <f>'All regions'!A3534+"n/&gt;!'XI"</f>
        <v>#VALUE!</v>
      </c>
      <c r="GE141" t="e">
        <f>'All regions'!B3534+"n/&gt;!'XJ"</f>
        <v>#VALUE!</v>
      </c>
      <c r="GF141" t="e">
        <f>'All regions'!C3534+"n/&gt;!'XK"</f>
        <v>#VALUE!</v>
      </c>
      <c r="GG141" t="e">
        <f>'All regions'!D3534+"n/&gt;!'XL"</f>
        <v>#VALUE!</v>
      </c>
      <c r="GH141" t="e">
        <f>'All regions'!E3534+"n/&gt;!'XM"</f>
        <v>#VALUE!</v>
      </c>
      <c r="GI141" t="e">
        <f>'All regions'!F3534+"n/&gt;!'XN"</f>
        <v>#VALUE!</v>
      </c>
      <c r="GJ141" t="e">
        <f>'All regions'!G3534+"n/&gt;!'XO"</f>
        <v>#VALUE!</v>
      </c>
      <c r="GK141" t="e">
        <f>'All regions'!H3534+"n/&gt;!'XP"</f>
        <v>#VALUE!</v>
      </c>
      <c r="GL141" t="e">
        <f>'All regions'!I3534+"n/&gt;!'XQ"</f>
        <v>#VALUE!</v>
      </c>
      <c r="GM141" t="e">
        <f>'All regions'!J3534+"n/&gt;!'XR"</f>
        <v>#VALUE!</v>
      </c>
      <c r="GN141" t="e">
        <f>'All regions'!A3535+"n/&gt;!'XS"</f>
        <v>#VALUE!</v>
      </c>
      <c r="GO141" t="e">
        <f>'All regions'!B3535+"n/&gt;!'XT"</f>
        <v>#VALUE!</v>
      </c>
      <c r="GP141" t="e">
        <f>'All regions'!C3535+"n/&gt;!'XU"</f>
        <v>#VALUE!</v>
      </c>
      <c r="GQ141" t="e">
        <f>'All regions'!D3535+"n/&gt;!'XV"</f>
        <v>#VALUE!</v>
      </c>
      <c r="GR141" t="e">
        <f>'All regions'!E3535+"n/&gt;!'XW"</f>
        <v>#VALUE!</v>
      </c>
      <c r="GS141" t="e">
        <f>'All regions'!F3535+"n/&gt;!'XX"</f>
        <v>#VALUE!</v>
      </c>
      <c r="GT141" t="e">
        <f>'All regions'!G3535+"n/&gt;!'XY"</f>
        <v>#VALUE!</v>
      </c>
      <c r="GU141" t="e">
        <f>'All regions'!H3535+"n/&gt;!'XZ"</f>
        <v>#VALUE!</v>
      </c>
      <c r="GV141" t="e">
        <f>'All regions'!I3535+"n/&gt;!'X["</f>
        <v>#VALUE!</v>
      </c>
      <c r="GW141" t="e">
        <f>'All regions'!J3535+"n/&gt;!'X\"</f>
        <v>#VALUE!</v>
      </c>
      <c r="GX141" t="e">
        <f>'All regions'!A3536+"n/&gt;!'X]"</f>
        <v>#VALUE!</v>
      </c>
      <c r="GY141" t="e">
        <f>'All regions'!B3536+"n/&gt;!'X^"</f>
        <v>#VALUE!</v>
      </c>
      <c r="GZ141" t="e">
        <f>'All regions'!C3536+"n/&gt;!'X_"</f>
        <v>#VALUE!</v>
      </c>
      <c r="HA141" t="e">
        <f>'All regions'!D3536+"n/&gt;!'X`"</f>
        <v>#VALUE!</v>
      </c>
      <c r="HB141" t="e">
        <f>'All regions'!E3536+"n/&gt;!'Xa"</f>
        <v>#VALUE!</v>
      </c>
      <c r="HC141" t="e">
        <f>'All regions'!F3536+"n/&gt;!'Xb"</f>
        <v>#VALUE!</v>
      </c>
      <c r="HD141" t="e">
        <f>'All regions'!G3536+"n/&gt;!'Xc"</f>
        <v>#VALUE!</v>
      </c>
      <c r="HE141" t="e">
        <f>'All regions'!H3536+"n/&gt;!'Xd"</f>
        <v>#VALUE!</v>
      </c>
      <c r="HF141" t="e">
        <f>'All regions'!I3536+"n/&gt;!'Xe"</f>
        <v>#VALUE!</v>
      </c>
      <c r="HG141" t="e">
        <f>'All regions'!J3536+"n/&gt;!'Xf"</f>
        <v>#VALUE!</v>
      </c>
      <c r="HH141" t="e">
        <f>'All regions'!A3537+"n/&gt;!'Xg"</f>
        <v>#VALUE!</v>
      </c>
      <c r="HI141" t="e">
        <f>'All regions'!B3537+"n/&gt;!'Xh"</f>
        <v>#VALUE!</v>
      </c>
      <c r="HJ141" t="e">
        <f>'All regions'!C3537+"n/&gt;!'Xi"</f>
        <v>#VALUE!</v>
      </c>
      <c r="HK141" t="e">
        <f>'All regions'!D3537+"n/&gt;!'Xj"</f>
        <v>#VALUE!</v>
      </c>
      <c r="HL141" t="e">
        <f>'All regions'!E3537+"n/&gt;!'Xk"</f>
        <v>#VALUE!</v>
      </c>
      <c r="HM141" t="e">
        <f>'All regions'!F3537+"n/&gt;!'Xl"</f>
        <v>#VALUE!</v>
      </c>
      <c r="HN141" t="e">
        <f>'All regions'!G3537+"n/&gt;!'Xm"</f>
        <v>#VALUE!</v>
      </c>
      <c r="HO141" t="e">
        <f>'All regions'!H3537+"n/&gt;!'Xn"</f>
        <v>#VALUE!</v>
      </c>
      <c r="HP141" t="e">
        <f>'All regions'!I3537+"n/&gt;!'Xo"</f>
        <v>#VALUE!</v>
      </c>
      <c r="HQ141" t="e">
        <f>'All regions'!J3537+"n/&gt;!'Xp"</f>
        <v>#VALUE!</v>
      </c>
      <c r="HR141" t="e">
        <f>'All regions'!A3538+"n/&gt;!'Xq"</f>
        <v>#VALUE!</v>
      </c>
      <c r="HS141" t="e">
        <f>'All regions'!B3538+"n/&gt;!'Xr"</f>
        <v>#VALUE!</v>
      </c>
      <c r="HT141" t="e">
        <f>'All regions'!C3538+"n/&gt;!'Xs"</f>
        <v>#VALUE!</v>
      </c>
      <c r="HU141" t="e">
        <f>'All regions'!D3538+"n/&gt;!'Xt"</f>
        <v>#VALUE!</v>
      </c>
      <c r="HV141" t="e">
        <f>'All regions'!E3538+"n/&gt;!'Xu"</f>
        <v>#VALUE!</v>
      </c>
      <c r="HW141" t="e">
        <f>'All regions'!F3538+"n/&gt;!'Xv"</f>
        <v>#VALUE!</v>
      </c>
      <c r="HX141" t="e">
        <f>'All regions'!G3538+"n/&gt;!'Xw"</f>
        <v>#VALUE!</v>
      </c>
      <c r="HY141" t="e">
        <f>'All regions'!H3538+"n/&gt;!'Xx"</f>
        <v>#VALUE!</v>
      </c>
      <c r="HZ141" t="e">
        <f>'All regions'!I3538+"n/&gt;!'Xy"</f>
        <v>#VALUE!</v>
      </c>
      <c r="IA141" t="e">
        <f>'All regions'!J3538+"n/&gt;!'Xz"</f>
        <v>#VALUE!</v>
      </c>
      <c r="IB141" t="e">
        <f>'All regions'!A3539+"n/&gt;!'X{"</f>
        <v>#VALUE!</v>
      </c>
      <c r="IC141" t="e">
        <f>'All regions'!B3539+"n/&gt;!'X|"</f>
        <v>#VALUE!</v>
      </c>
      <c r="ID141" t="e">
        <f>'All regions'!C3539+"n/&gt;!'X}"</f>
        <v>#VALUE!</v>
      </c>
      <c r="IE141" t="e">
        <f>'All regions'!D3539+"n/&gt;!'X~"</f>
        <v>#VALUE!</v>
      </c>
      <c r="IF141" t="e">
        <f>'All regions'!E3539+"n/&gt;!'Y#"</f>
        <v>#VALUE!</v>
      </c>
      <c r="IG141" t="e">
        <f>'All regions'!F3539+"n/&gt;!'Y$"</f>
        <v>#VALUE!</v>
      </c>
      <c r="IH141" t="e">
        <f>'All regions'!G3539+"n/&gt;!'Y%"</f>
        <v>#VALUE!</v>
      </c>
      <c r="II141" t="e">
        <f>'All regions'!H3539+"n/&gt;!'Y&amp;"</f>
        <v>#VALUE!</v>
      </c>
      <c r="IJ141" t="e">
        <f>'All regions'!I3539+"n/&gt;!'Y'"</f>
        <v>#VALUE!</v>
      </c>
      <c r="IK141" t="e">
        <f>'All regions'!J3539+"n/&gt;!'Y("</f>
        <v>#VALUE!</v>
      </c>
      <c r="IL141" t="e">
        <f>'All regions'!A3540+"n/&gt;!'Y)"</f>
        <v>#VALUE!</v>
      </c>
      <c r="IM141" t="e">
        <f>'All regions'!B3540+"n/&gt;!'Y."</f>
        <v>#VALUE!</v>
      </c>
      <c r="IN141" t="e">
        <f>'All regions'!C3540+"n/&gt;!'Y/"</f>
        <v>#VALUE!</v>
      </c>
      <c r="IO141" t="e">
        <f>'All regions'!D3540+"n/&gt;!'Y0"</f>
        <v>#VALUE!</v>
      </c>
      <c r="IP141" t="e">
        <f>'All regions'!E3540+"n/&gt;!'Y1"</f>
        <v>#VALUE!</v>
      </c>
      <c r="IQ141" t="e">
        <f>'All regions'!F3540+"n/&gt;!'Y2"</f>
        <v>#VALUE!</v>
      </c>
      <c r="IR141" t="e">
        <f>'All regions'!G3540+"n/&gt;!'Y3"</f>
        <v>#VALUE!</v>
      </c>
      <c r="IS141" t="e">
        <f>'All regions'!H3540+"n/&gt;!'Y4"</f>
        <v>#VALUE!</v>
      </c>
      <c r="IT141" t="e">
        <f>'All regions'!I3540+"n/&gt;!'Y5"</f>
        <v>#VALUE!</v>
      </c>
      <c r="IU141" t="e">
        <f>'All regions'!J3540+"n/&gt;!'Y6"</f>
        <v>#VALUE!</v>
      </c>
      <c r="IV141" t="e">
        <f>'All regions'!A3541+"n/&gt;!'Y7"</f>
        <v>#VALUE!</v>
      </c>
    </row>
    <row r="142" spans="6:256" x14ac:dyDescent="0.35">
      <c r="F142" t="e">
        <f>'All regions'!B3541+"n/&gt;!'Y8"</f>
        <v>#VALUE!</v>
      </c>
      <c r="G142" t="e">
        <f>'All regions'!C3541+"n/&gt;!'Y9"</f>
        <v>#VALUE!</v>
      </c>
      <c r="H142" t="e">
        <f>'All regions'!D3541+"n/&gt;!'Y:"</f>
        <v>#VALUE!</v>
      </c>
      <c r="I142" t="e">
        <f>'All regions'!E3541+"n/&gt;!'Y;"</f>
        <v>#VALUE!</v>
      </c>
      <c r="J142" t="e">
        <f>'All regions'!F3541+"n/&gt;!'Y&lt;"</f>
        <v>#VALUE!</v>
      </c>
      <c r="K142" t="e">
        <f>'All regions'!G3541+"n/&gt;!'Y="</f>
        <v>#VALUE!</v>
      </c>
      <c r="L142" t="e">
        <f>'All regions'!H3541+"n/&gt;!'Y&gt;"</f>
        <v>#VALUE!</v>
      </c>
      <c r="M142" t="e">
        <f>'All regions'!I3541+"n/&gt;!'Y?"</f>
        <v>#VALUE!</v>
      </c>
      <c r="N142" t="e">
        <f>'All regions'!J3541+"n/&gt;!'Y@"</f>
        <v>#VALUE!</v>
      </c>
      <c r="O142" t="e">
        <f>'All regions'!A3542+"n/&gt;!'YA"</f>
        <v>#VALUE!</v>
      </c>
      <c r="P142" t="e">
        <f>'All regions'!B3542+"n/&gt;!'YB"</f>
        <v>#VALUE!</v>
      </c>
      <c r="Q142" t="e">
        <f>'All regions'!C3542+"n/&gt;!'YC"</f>
        <v>#VALUE!</v>
      </c>
      <c r="R142" t="e">
        <f>'All regions'!D3542+"n/&gt;!'YD"</f>
        <v>#VALUE!</v>
      </c>
      <c r="S142" t="e">
        <f>'All regions'!E3542+"n/&gt;!'YE"</f>
        <v>#VALUE!</v>
      </c>
      <c r="T142" t="e">
        <f>'All regions'!F3542+"n/&gt;!'YF"</f>
        <v>#VALUE!</v>
      </c>
      <c r="U142" t="e">
        <f>'All regions'!G3542+"n/&gt;!'YG"</f>
        <v>#VALUE!</v>
      </c>
      <c r="V142" t="e">
        <f>'All regions'!H3542+"n/&gt;!'YH"</f>
        <v>#VALUE!</v>
      </c>
      <c r="W142" t="e">
        <f>'All regions'!I3542+"n/&gt;!'YI"</f>
        <v>#VALUE!</v>
      </c>
      <c r="X142" t="e">
        <f>'All regions'!J3542+"n/&gt;!'YJ"</f>
        <v>#VALUE!</v>
      </c>
      <c r="Y142" t="e">
        <f>'All regions'!A3543+"n/&gt;!'YK"</f>
        <v>#VALUE!</v>
      </c>
      <c r="Z142" t="e">
        <f>'All regions'!B3543+"n/&gt;!'YL"</f>
        <v>#VALUE!</v>
      </c>
      <c r="AA142" t="e">
        <f>'All regions'!C3543+"n/&gt;!'YM"</f>
        <v>#VALUE!</v>
      </c>
      <c r="AB142" t="e">
        <f>'All regions'!D3543+"n/&gt;!'YN"</f>
        <v>#VALUE!</v>
      </c>
      <c r="AC142" t="e">
        <f>'All regions'!E3543+"n/&gt;!'YO"</f>
        <v>#VALUE!</v>
      </c>
      <c r="AD142" t="e">
        <f>'All regions'!F3543+"n/&gt;!'YP"</f>
        <v>#VALUE!</v>
      </c>
      <c r="AE142" t="e">
        <f>'All regions'!G3543+"n/&gt;!'YQ"</f>
        <v>#VALUE!</v>
      </c>
      <c r="AF142" t="e">
        <f>'All regions'!H3543+"n/&gt;!'YR"</f>
        <v>#VALUE!</v>
      </c>
      <c r="AG142" t="e">
        <f>'All regions'!I3543+"n/&gt;!'YS"</f>
        <v>#VALUE!</v>
      </c>
      <c r="AH142" t="e">
        <f>'All regions'!J3543+"n/&gt;!'YT"</f>
        <v>#VALUE!</v>
      </c>
      <c r="AI142" t="e">
        <f>'All regions'!A3544+"n/&gt;!'YU"</f>
        <v>#VALUE!</v>
      </c>
      <c r="AJ142" t="e">
        <f>'All regions'!B3544+"n/&gt;!'YV"</f>
        <v>#VALUE!</v>
      </c>
      <c r="AK142" t="e">
        <f>'All regions'!C3544+"n/&gt;!'YW"</f>
        <v>#VALUE!</v>
      </c>
      <c r="AL142" t="e">
        <f>'All regions'!D3544+"n/&gt;!'YX"</f>
        <v>#VALUE!</v>
      </c>
      <c r="AM142" t="e">
        <f>'All regions'!E3544+"n/&gt;!'YY"</f>
        <v>#VALUE!</v>
      </c>
      <c r="AN142" t="e">
        <f>'All regions'!F3544+"n/&gt;!'YZ"</f>
        <v>#VALUE!</v>
      </c>
      <c r="AO142" t="e">
        <f>'All regions'!G3544+"n/&gt;!'Y["</f>
        <v>#VALUE!</v>
      </c>
      <c r="AP142" t="e">
        <f>'All regions'!H3544+"n/&gt;!'Y\"</f>
        <v>#VALUE!</v>
      </c>
      <c r="AQ142" t="e">
        <f>'All regions'!I3544+"n/&gt;!'Y]"</f>
        <v>#VALUE!</v>
      </c>
      <c r="AR142" t="e">
        <f>'All regions'!J3544+"n/&gt;!'Y^"</f>
        <v>#VALUE!</v>
      </c>
      <c r="AS142" t="e">
        <f>'All regions'!A3545+"n/&gt;!'Y_"</f>
        <v>#VALUE!</v>
      </c>
      <c r="AT142" t="e">
        <f>'All regions'!B3545+"n/&gt;!'Y`"</f>
        <v>#VALUE!</v>
      </c>
      <c r="AU142" t="e">
        <f>'All regions'!C3545+"n/&gt;!'Ya"</f>
        <v>#VALUE!</v>
      </c>
      <c r="AV142" t="e">
        <f>'All regions'!D3545+"n/&gt;!'Yb"</f>
        <v>#VALUE!</v>
      </c>
      <c r="AW142" t="e">
        <f>'All regions'!E3545+"n/&gt;!'Yc"</f>
        <v>#VALUE!</v>
      </c>
      <c r="AX142" t="e">
        <f>'All regions'!F3545+"n/&gt;!'Yd"</f>
        <v>#VALUE!</v>
      </c>
      <c r="AY142" t="e">
        <f>'All regions'!G3545+"n/&gt;!'Ye"</f>
        <v>#VALUE!</v>
      </c>
      <c r="AZ142" t="e">
        <f>'All regions'!H3545+"n/&gt;!'Yf"</f>
        <v>#VALUE!</v>
      </c>
      <c r="BA142" t="e">
        <f>'All regions'!I3545+"n/&gt;!'Yg"</f>
        <v>#VALUE!</v>
      </c>
      <c r="BB142" t="e">
        <f>'All regions'!J3545+"n/&gt;!'Yh"</f>
        <v>#VALUE!</v>
      </c>
      <c r="BC142" t="e">
        <f>'All regions'!A3546+"n/&gt;!'Yi"</f>
        <v>#VALUE!</v>
      </c>
      <c r="BD142" t="e">
        <f>'All regions'!B3546+"n/&gt;!'Yj"</f>
        <v>#VALUE!</v>
      </c>
      <c r="BE142" t="e">
        <f>'All regions'!C3546+"n/&gt;!'Yk"</f>
        <v>#VALUE!</v>
      </c>
      <c r="BF142" t="e">
        <f>'All regions'!D3546+"n/&gt;!'Yl"</f>
        <v>#VALUE!</v>
      </c>
      <c r="BG142" t="e">
        <f>'All regions'!E3546+"n/&gt;!'Ym"</f>
        <v>#VALUE!</v>
      </c>
      <c r="BH142" t="e">
        <f>'All regions'!F3546+"n/&gt;!'Yn"</f>
        <v>#VALUE!</v>
      </c>
      <c r="BI142" t="e">
        <f>'All regions'!G3546+"n/&gt;!'Yo"</f>
        <v>#VALUE!</v>
      </c>
      <c r="BJ142" t="e">
        <f>'All regions'!H3546+"n/&gt;!'Yp"</f>
        <v>#VALUE!</v>
      </c>
      <c r="BK142" t="e">
        <f>'All regions'!I3546+"n/&gt;!'Yq"</f>
        <v>#VALUE!</v>
      </c>
      <c r="BL142" t="e">
        <f>'All regions'!J3546+"n/&gt;!'Yr"</f>
        <v>#VALUE!</v>
      </c>
      <c r="BM142" t="e">
        <f>'All regions'!A3547+"n/&gt;!'Ys"</f>
        <v>#VALUE!</v>
      </c>
      <c r="BN142" t="e">
        <f>'All regions'!B3547+"n/&gt;!'Yt"</f>
        <v>#VALUE!</v>
      </c>
      <c r="BO142" t="e">
        <f>'All regions'!C3547+"n/&gt;!'Yu"</f>
        <v>#VALUE!</v>
      </c>
      <c r="BP142" t="e">
        <f>'All regions'!D3547+"n/&gt;!'Yv"</f>
        <v>#VALUE!</v>
      </c>
      <c r="BQ142" t="e">
        <f>'All regions'!E3547+"n/&gt;!'Yw"</f>
        <v>#VALUE!</v>
      </c>
      <c r="BR142" t="e">
        <f>'All regions'!F3547+"n/&gt;!'Yx"</f>
        <v>#VALUE!</v>
      </c>
      <c r="BS142" t="e">
        <f>'All regions'!G3547+"n/&gt;!'Yy"</f>
        <v>#VALUE!</v>
      </c>
      <c r="BT142" t="e">
        <f>'All regions'!H3547+"n/&gt;!'Yz"</f>
        <v>#VALUE!</v>
      </c>
      <c r="BU142" t="e">
        <f>'All regions'!I3547+"n/&gt;!'Y{"</f>
        <v>#VALUE!</v>
      </c>
      <c r="BV142" t="e">
        <f>'All regions'!J3547+"n/&gt;!'Y|"</f>
        <v>#VALUE!</v>
      </c>
      <c r="BW142" t="e">
        <f>'All regions'!A3548+"n/&gt;!'Y}"</f>
        <v>#VALUE!</v>
      </c>
      <c r="BX142" t="e">
        <f>'All regions'!B3548+"n/&gt;!'Y~"</f>
        <v>#VALUE!</v>
      </c>
      <c r="BY142" t="e">
        <f>'All regions'!C3548+"n/&gt;!'Z#"</f>
        <v>#VALUE!</v>
      </c>
      <c r="BZ142" t="e">
        <f>'All regions'!D3548+"n/&gt;!'Z$"</f>
        <v>#VALUE!</v>
      </c>
      <c r="CA142" t="e">
        <f>'All regions'!E3548+"n/&gt;!'Z%"</f>
        <v>#VALUE!</v>
      </c>
      <c r="CB142" t="e">
        <f>'All regions'!F3548+"n/&gt;!'Z&amp;"</f>
        <v>#VALUE!</v>
      </c>
      <c r="CC142" t="e">
        <f>'All regions'!G3548+"n/&gt;!'Z'"</f>
        <v>#VALUE!</v>
      </c>
      <c r="CD142" t="e">
        <f>'All regions'!H3548+"n/&gt;!'Z("</f>
        <v>#VALUE!</v>
      </c>
      <c r="CE142" t="e">
        <f>'All regions'!I3548+"n/&gt;!'Z)"</f>
        <v>#VALUE!</v>
      </c>
      <c r="CF142" t="e">
        <f>'All regions'!J3548+"n/&gt;!'Z."</f>
        <v>#VALUE!</v>
      </c>
      <c r="CG142" t="e">
        <f>'All regions'!A3549+"n/&gt;!'Z/"</f>
        <v>#VALUE!</v>
      </c>
      <c r="CH142" t="e">
        <f>'All regions'!B3549+"n/&gt;!'Z0"</f>
        <v>#VALUE!</v>
      </c>
      <c r="CI142" t="e">
        <f>'All regions'!C3549+"n/&gt;!'Z1"</f>
        <v>#VALUE!</v>
      </c>
      <c r="CJ142" t="e">
        <f>'All regions'!D3549+"n/&gt;!'Z2"</f>
        <v>#VALUE!</v>
      </c>
      <c r="CK142" t="e">
        <f>'All regions'!E3549+"n/&gt;!'Z3"</f>
        <v>#VALUE!</v>
      </c>
      <c r="CL142" t="e">
        <f>'All regions'!F3549+"n/&gt;!'Z4"</f>
        <v>#VALUE!</v>
      </c>
      <c r="CM142" t="e">
        <f>'All regions'!G3549+"n/&gt;!'Z5"</f>
        <v>#VALUE!</v>
      </c>
      <c r="CN142" t="e">
        <f>'All regions'!H3549+"n/&gt;!'Z6"</f>
        <v>#VALUE!</v>
      </c>
      <c r="CO142" t="e">
        <f>'All regions'!I3549+"n/&gt;!'Z7"</f>
        <v>#VALUE!</v>
      </c>
      <c r="CP142" t="e">
        <f>'All regions'!J3549+"n/&gt;!'Z8"</f>
        <v>#VALUE!</v>
      </c>
      <c r="CQ142" t="e">
        <f>'All regions'!A3550+"n/&gt;!'Z9"</f>
        <v>#VALUE!</v>
      </c>
      <c r="CR142" t="e">
        <f>'All regions'!B3550+"n/&gt;!'Z:"</f>
        <v>#VALUE!</v>
      </c>
      <c r="CS142" t="e">
        <f>'All regions'!C3550+"n/&gt;!'Z;"</f>
        <v>#VALUE!</v>
      </c>
      <c r="CT142" t="e">
        <f>'All regions'!D3550+"n/&gt;!'Z&lt;"</f>
        <v>#VALUE!</v>
      </c>
      <c r="CU142" t="e">
        <f>'All regions'!E3550+"n/&gt;!'Z="</f>
        <v>#VALUE!</v>
      </c>
      <c r="CV142" t="e">
        <f>'All regions'!F3550+"n/&gt;!'Z&gt;"</f>
        <v>#VALUE!</v>
      </c>
      <c r="CW142" t="e">
        <f>'All regions'!G3550+"n/&gt;!'Z?"</f>
        <v>#VALUE!</v>
      </c>
      <c r="CX142" t="e">
        <f>'All regions'!H3550+"n/&gt;!'Z@"</f>
        <v>#VALUE!</v>
      </c>
      <c r="CY142" t="e">
        <f>'All regions'!I3550+"n/&gt;!'ZA"</f>
        <v>#VALUE!</v>
      </c>
      <c r="CZ142" t="e">
        <f>'All regions'!J3550+"n/&gt;!'ZB"</f>
        <v>#VALUE!</v>
      </c>
      <c r="DA142" t="e">
        <f>'All regions'!A3551+"n/&gt;!'ZC"</f>
        <v>#VALUE!</v>
      </c>
      <c r="DB142" t="e">
        <f>'All regions'!B3551+"n/&gt;!'ZD"</f>
        <v>#VALUE!</v>
      </c>
      <c r="DC142" t="e">
        <f>'All regions'!C3551+"n/&gt;!'ZE"</f>
        <v>#VALUE!</v>
      </c>
      <c r="DD142" t="e">
        <f>'All regions'!D3551+"n/&gt;!'ZF"</f>
        <v>#VALUE!</v>
      </c>
      <c r="DE142" t="e">
        <f>'All regions'!E3551+"n/&gt;!'ZG"</f>
        <v>#VALUE!</v>
      </c>
      <c r="DF142" t="e">
        <f>'All regions'!F3551+"n/&gt;!'ZH"</f>
        <v>#VALUE!</v>
      </c>
      <c r="DG142" t="e">
        <f>'All regions'!G3551+"n/&gt;!'ZI"</f>
        <v>#VALUE!</v>
      </c>
      <c r="DH142" t="e">
        <f>'All regions'!H3551+"n/&gt;!'ZJ"</f>
        <v>#VALUE!</v>
      </c>
      <c r="DI142" t="e">
        <f>'All regions'!I3551+"n/&gt;!'ZK"</f>
        <v>#VALUE!</v>
      </c>
      <c r="DJ142" t="e">
        <f>'All regions'!J3551+"n/&gt;!'ZL"</f>
        <v>#VALUE!</v>
      </c>
      <c r="DK142" t="e">
        <f>'All regions'!A3552+"n/&gt;!'ZM"</f>
        <v>#VALUE!</v>
      </c>
      <c r="DL142" t="e">
        <f>'All regions'!B3552+"n/&gt;!'ZN"</f>
        <v>#VALUE!</v>
      </c>
      <c r="DM142" t="e">
        <f>'All regions'!C3552+"n/&gt;!'ZO"</f>
        <v>#VALUE!</v>
      </c>
      <c r="DN142" t="e">
        <f>'All regions'!D3552+"n/&gt;!'ZP"</f>
        <v>#VALUE!</v>
      </c>
      <c r="DO142" t="e">
        <f>'All regions'!E3552+"n/&gt;!'ZQ"</f>
        <v>#VALUE!</v>
      </c>
      <c r="DP142" t="e">
        <f>'All regions'!F3552+"n/&gt;!'ZR"</f>
        <v>#VALUE!</v>
      </c>
      <c r="DQ142" t="e">
        <f>'All regions'!G3552+"n/&gt;!'ZS"</f>
        <v>#VALUE!</v>
      </c>
      <c r="DR142" t="e">
        <f>'All regions'!H3552+"n/&gt;!'ZT"</f>
        <v>#VALUE!</v>
      </c>
      <c r="DS142" t="e">
        <f>'All regions'!I3552+"n/&gt;!'ZU"</f>
        <v>#VALUE!</v>
      </c>
      <c r="DT142" t="e">
        <f>'All regions'!J3552+"n/&gt;!'ZV"</f>
        <v>#VALUE!</v>
      </c>
      <c r="DU142" t="e">
        <f>'All regions'!A3553+"n/&gt;!'ZW"</f>
        <v>#VALUE!</v>
      </c>
      <c r="DV142" t="e">
        <f>'All regions'!B3553+"n/&gt;!'ZX"</f>
        <v>#VALUE!</v>
      </c>
      <c r="DW142" t="e">
        <f>'All regions'!C3553+"n/&gt;!'ZY"</f>
        <v>#VALUE!</v>
      </c>
      <c r="DX142" t="e">
        <f>'All regions'!D3553+"n/&gt;!'ZZ"</f>
        <v>#VALUE!</v>
      </c>
      <c r="DY142" t="e">
        <f>'All regions'!E3553+"n/&gt;!'Z["</f>
        <v>#VALUE!</v>
      </c>
      <c r="DZ142" t="e">
        <f>'All regions'!F3553+"n/&gt;!'Z\"</f>
        <v>#VALUE!</v>
      </c>
      <c r="EA142" t="e">
        <f>'All regions'!G3553+"n/&gt;!'Z]"</f>
        <v>#VALUE!</v>
      </c>
      <c r="EB142" t="e">
        <f>'All regions'!H3553+"n/&gt;!'Z^"</f>
        <v>#VALUE!</v>
      </c>
      <c r="EC142" t="e">
        <f>'All regions'!I3553+"n/&gt;!'Z_"</f>
        <v>#VALUE!</v>
      </c>
      <c r="ED142" t="e">
        <f>'All regions'!J3553+"n/&gt;!'Z`"</f>
        <v>#VALUE!</v>
      </c>
      <c r="EE142" t="e">
        <f>'All regions'!A3554+"n/&gt;!'Za"</f>
        <v>#VALUE!</v>
      </c>
      <c r="EF142" t="e">
        <f>'All regions'!B3554+"n/&gt;!'Zb"</f>
        <v>#VALUE!</v>
      </c>
      <c r="EG142" t="e">
        <f>'All regions'!C3554+"n/&gt;!'Zc"</f>
        <v>#VALUE!</v>
      </c>
      <c r="EH142" t="e">
        <f>'All regions'!D3554+"n/&gt;!'Zd"</f>
        <v>#VALUE!</v>
      </c>
      <c r="EI142" t="e">
        <f>'All regions'!E3554+"n/&gt;!'Ze"</f>
        <v>#VALUE!</v>
      </c>
      <c r="EJ142" t="e">
        <f>'All regions'!F3554+"n/&gt;!'Zf"</f>
        <v>#VALUE!</v>
      </c>
      <c r="EK142" t="e">
        <f>'All regions'!G3554+"n/&gt;!'Zg"</f>
        <v>#VALUE!</v>
      </c>
      <c r="EL142" t="e">
        <f>'All regions'!H3554+"n/&gt;!'Zh"</f>
        <v>#VALUE!</v>
      </c>
      <c r="EM142" t="e">
        <f>'All regions'!I3554+"n/&gt;!'Zi"</f>
        <v>#VALUE!</v>
      </c>
      <c r="EN142" t="e">
        <f>'All regions'!J3554+"n/&gt;!'Zj"</f>
        <v>#VALUE!</v>
      </c>
      <c r="EO142" t="e">
        <f>'All regions'!A3555+"n/&gt;!'Zk"</f>
        <v>#VALUE!</v>
      </c>
      <c r="EP142" t="e">
        <f>'All regions'!B3555+"n/&gt;!'Zl"</f>
        <v>#VALUE!</v>
      </c>
      <c r="EQ142" t="e">
        <f>'All regions'!C3555+"n/&gt;!'Zm"</f>
        <v>#VALUE!</v>
      </c>
      <c r="ER142" t="e">
        <f>'All regions'!D3555+"n/&gt;!'Zn"</f>
        <v>#VALUE!</v>
      </c>
      <c r="ES142" t="e">
        <f>'All regions'!E3555+"n/&gt;!'Zo"</f>
        <v>#VALUE!</v>
      </c>
      <c r="ET142" t="e">
        <f>'All regions'!F3555+"n/&gt;!'Zp"</f>
        <v>#VALUE!</v>
      </c>
      <c r="EU142" t="e">
        <f>'All regions'!G3555+"n/&gt;!'Zq"</f>
        <v>#VALUE!</v>
      </c>
      <c r="EV142" t="e">
        <f>'All regions'!H3555+"n/&gt;!'Zr"</f>
        <v>#VALUE!</v>
      </c>
      <c r="EW142" t="e">
        <f>'All regions'!I3555+"n/&gt;!'Zs"</f>
        <v>#VALUE!</v>
      </c>
      <c r="EX142" t="e">
        <f>'All regions'!J3555+"n/&gt;!'Zt"</f>
        <v>#VALUE!</v>
      </c>
      <c r="EY142" t="e">
        <f>'All regions'!A3556+"n/&gt;!'Zu"</f>
        <v>#VALUE!</v>
      </c>
      <c r="EZ142" t="e">
        <f>'All regions'!B3556+"n/&gt;!'Zv"</f>
        <v>#VALUE!</v>
      </c>
      <c r="FA142" t="e">
        <f>'All regions'!C3556+"n/&gt;!'Zw"</f>
        <v>#VALUE!</v>
      </c>
      <c r="FB142" t="e">
        <f>'All regions'!D3556+"n/&gt;!'Zx"</f>
        <v>#VALUE!</v>
      </c>
      <c r="FC142" t="e">
        <f>'All regions'!E3556+"n/&gt;!'Zy"</f>
        <v>#VALUE!</v>
      </c>
      <c r="FD142" t="e">
        <f>'All regions'!F3556+"n/&gt;!'Zz"</f>
        <v>#VALUE!</v>
      </c>
      <c r="FE142" t="e">
        <f>'All regions'!G3556+"n/&gt;!'Z{"</f>
        <v>#VALUE!</v>
      </c>
      <c r="FF142" t="e">
        <f>'All regions'!H3556+"n/&gt;!'Z|"</f>
        <v>#VALUE!</v>
      </c>
      <c r="FG142" t="e">
        <f>'All regions'!I3556+"n/&gt;!'Z}"</f>
        <v>#VALUE!</v>
      </c>
      <c r="FH142" t="e">
        <f>'All regions'!J3556+"n/&gt;!'Z~"</f>
        <v>#VALUE!</v>
      </c>
      <c r="FI142" t="e">
        <f>'All regions'!A3557+"n/&gt;!'[#"</f>
        <v>#VALUE!</v>
      </c>
      <c r="FJ142" t="e">
        <f>'All regions'!B3557+"n/&gt;!'[$"</f>
        <v>#VALUE!</v>
      </c>
      <c r="FK142" t="e">
        <f>'All regions'!C3557+"n/&gt;!'[%"</f>
        <v>#VALUE!</v>
      </c>
      <c r="FL142" t="e">
        <f>'All regions'!D3557+"n/&gt;!'[&amp;"</f>
        <v>#VALUE!</v>
      </c>
      <c r="FM142" t="e">
        <f>'All regions'!E3557+"n/&gt;!'['"</f>
        <v>#VALUE!</v>
      </c>
      <c r="FN142" t="e">
        <f>'All regions'!F3557+"n/&gt;!'[("</f>
        <v>#VALUE!</v>
      </c>
      <c r="FO142" t="e">
        <f>'All regions'!G3557+"n/&gt;!'[)"</f>
        <v>#VALUE!</v>
      </c>
      <c r="FP142" t="e">
        <f>'All regions'!H3557+"n/&gt;!'[."</f>
        <v>#VALUE!</v>
      </c>
      <c r="FQ142" t="e">
        <f>'All regions'!I3557+"n/&gt;!'[/"</f>
        <v>#VALUE!</v>
      </c>
      <c r="FR142" t="e">
        <f>'All regions'!J3557+"n/&gt;!'[0"</f>
        <v>#VALUE!</v>
      </c>
      <c r="FS142" t="e">
        <f>'All regions'!A3558+"n/&gt;!'[1"</f>
        <v>#VALUE!</v>
      </c>
      <c r="FT142" t="e">
        <f>'All regions'!B3558+"n/&gt;!'[2"</f>
        <v>#VALUE!</v>
      </c>
      <c r="FU142" t="e">
        <f>'All regions'!C3558+"n/&gt;!'[3"</f>
        <v>#VALUE!</v>
      </c>
      <c r="FV142" t="e">
        <f>'All regions'!D3558+"n/&gt;!'[4"</f>
        <v>#VALUE!</v>
      </c>
      <c r="FW142" t="e">
        <f>'All regions'!E3558+"n/&gt;!'[5"</f>
        <v>#VALUE!</v>
      </c>
      <c r="FX142" t="e">
        <f>'All regions'!F3558+"n/&gt;!'[6"</f>
        <v>#VALUE!</v>
      </c>
      <c r="FY142" t="e">
        <f>'All regions'!G3558+"n/&gt;!'[7"</f>
        <v>#VALUE!</v>
      </c>
      <c r="FZ142" t="e">
        <f>'All regions'!H3558+"n/&gt;!'[8"</f>
        <v>#VALUE!</v>
      </c>
      <c r="GA142" t="e">
        <f>'All regions'!I3558+"n/&gt;!'[9"</f>
        <v>#VALUE!</v>
      </c>
      <c r="GB142" t="e">
        <f>'All regions'!J3558+"n/&gt;!'[:"</f>
        <v>#VALUE!</v>
      </c>
      <c r="GC142" t="e">
        <f>'All regions'!A3559+"n/&gt;!'[;"</f>
        <v>#VALUE!</v>
      </c>
      <c r="GD142" t="e">
        <f>'All regions'!B3559+"n/&gt;!'[&lt;"</f>
        <v>#VALUE!</v>
      </c>
      <c r="GE142" t="e">
        <f>'All regions'!C3559+"n/&gt;!'[="</f>
        <v>#VALUE!</v>
      </c>
      <c r="GF142" t="e">
        <f>'All regions'!D3559+"n/&gt;!'[&gt;"</f>
        <v>#VALUE!</v>
      </c>
      <c r="GG142" t="e">
        <f>'All regions'!E3559+"n/&gt;!'[?"</f>
        <v>#VALUE!</v>
      </c>
      <c r="GH142" t="e">
        <f>'All regions'!F3559+"n/&gt;!'[@"</f>
        <v>#VALUE!</v>
      </c>
      <c r="GI142" t="e">
        <f>'All regions'!G3559+"n/&gt;!'[A"</f>
        <v>#VALUE!</v>
      </c>
      <c r="GJ142" t="e">
        <f>'All regions'!H3559+"n/&gt;!'[B"</f>
        <v>#VALUE!</v>
      </c>
      <c r="GK142" t="e">
        <f>'All regions'!I3559+"n/&gt;!'[C"</f>
        <v>#VALUE!</v>
      </c>
      <c r="GL142" t="e">
        <f>'All regions'!J3559+"n/&gt;!'[D"</f>
        <v>#VALUE!</v>
      </c>
      <c r="GM142" t="e">
        <f>'All regions'!A3560+"n/&gt;!'[E"</f>
        <v>#VALUE!</v>
      </c>
      <c r="GN142" t="e">
        <f>'All regions'!B3560+"n/&gt;!'[F"</f>
        <v>#VALUE!</v>
      </c>
      <c r="GO142" t="e">
        <f>'All regions'!C3560+"n/&gt;!'[G"</f>
        <v>#VALUE!</v>
      </c>
      <c r="GP142" t="e">
        <f>'All regions'!D3560+"n/&gt;!'[H"</f>
        <v>#VALUE!</v>
      </c>
      <c r="GQ142" t="e">
        <f>'All regions'!E3560+"n/&gt;!'[I"</f>
        <v>#VALUE!</v>
      </c>
      <c r="GR142" t="e">
        <f>'All regions'!F3560+"n/&gt;!'[J"</f>
        <v>#VALUE!</v>
      </c>
      <c r="GS142" t="e">
        <f>'All regions'!G3560+"n/&gt;!'[K"</f>
        <v>#VALUE!</v>
      </c>
      <c r="GT142" t="e">
        <f>'All regions'!H3560+"n/&gt;!'[L"</f>
        <v>#VALUE!</v>
      </c>
      <c r="GU142" t="e">
        <f>'All regions'!I3560+"n/&gt;!'[M"</f>
        <v>#VALUE!</v>
      </c>
      <c r="GV142" t="e">
        <f>'All regions'!J3560+"n/&gt;!'[N"</f>
        <v>#VALUE!</v>
      </c>
      <c r="GW142" t="e">
        <f>'All regions'!A3561+"n/&gt;!'[O"</f>
        <v>#VALUE!</v>
      </c>
      <c r="GX142" t="e">
        <f>'All regions'!B3561+"n/&gt;!'[P"</f>
        <v>#VALUE!</v>
      </c>
      <c r="GY142" t="e">
        <f>'All regions'!C3561+"n/&gt;!'[Q"</f>
        <v>#VALUE!</v>
      </c>
      <c r="GZ142" t="e">
        <f>'All regions'!D3561+"n/&gt;!'[R"</f>
        <v>#VALUE!</v>
      </c>
      <c r="HA142" t="e">
        <f>'All regions'!E3561+"n/&gt;!'[S"</f>
        <v>#VALUE!</v>
      </c>
      <c r="HB142" t="e">
        <f>'All regions'!F3561+"n/&gt;!'[T"</f>
        <v>#VALUE!</v>
      </c>
      <c r="HC142" t="e">
        <f>'All regions'!G3561+"n/&gt;!'[U"</f>
        <v>#VALUE!</v>
      </c>
      <c r="HD142" t="e">
        <f>'All regions'!H3561+"n/&gt;!'[V"</f>
        <v>#VALUE!</v>
      </c>
      <c r="HE142" t="e">
        <f>'All regions'!I3561+"n/&gt;!'[W"</f>
        <v>#VALUE!</v>
      </c>
      <c r="HF142" t="e">
        <f>'All regions'!J3561+"n/&gt;!'[X"</f>
        <v>#VALUE!</v>
      </c>
      <c r="HG142" t="e">
        <f>'All regions'!A3562+"n/&gt;!'[Y"</f>
        <v>#VALUE!</v>
      </c>
      <c r="HH142" t="e">
        <f>'All regions'!B3562+"n/&gt;!'[Z"</f>
        <v>#VALUE!</v>
      </c>
      <c r="HI142" t="e">
        <f>'All regions'!C3562+"n/&gt;!'[["</f>
        <v>#VALUE!</v>
      </c>
      <c r="HJ142" t="e">
        <f>'All regions'!D3562+"n/&gt;!'[\"</f>
        <v>#VALUE!</v>
      </c>
      <c r="HK142" t="e">
        <f>'All regions'!E3562+"n/&gt;!'[]"</f>
        <v>#VALUE!</v>
      </c>
      <c r="HL142" t="e">
        <f>'All regions'!F3562+"n/&gt;!'[^"</f>
        <v>#VALUE!</v>
      </c>
      <c r="HM142" t="e">
        <f>'All regions'!G3562+"n/&gt;!'[_"</f>
        <v>#VALUE!</v>
      </c>
      <c r="HN142" t="e">
        <f>'All regions'!H3562+"n/&gt;!'[`"</f>
        <v>#VALUE!</v>
      </c>
      <c r="HO142" t="e">
        <f>'All regions'!I3562+"n/&gt;!'[a"</f>
        <v>#VALUE!</v>
      </c>
      <c r="HP142" t="e">
        <f>'All regions'!J3562+"n/&gt;!'[b"</f>
        <v>#VALUE!</v>
      </c>
      <c r="HQ142" t="e">
        <f>'All regions'!A3563+"n/&gt;!'[c"</f>
        <v>#VALUE!</v>
      </c>
      <c r="HR142" t="e">
        <f>'All regions'!B3563+"n/&gt;!'[d"</f>
        <v>#VALUE!</v>
      </c>
      <c r="HS142" t="e">
        <f>'All regions'!C3563+"n/&gt;!'[e"</f>
        <v>#VALUE!</v>
      </c>
      <c r="HT142" t="e">
        <f>'All regions'!D3563+"n/&gt;!'[f"</f>
        <v>#VALUE!</v>
      </c>
      <c r="HU142" t="e">
        <f>'All regions'!E3563+"n/&gt;!'[g"</f>
        <v>#VALUE!</v>
      </c>
      <c r="HV142" t="e">
        <f>'All regions'!F3563+"n/&gt;!'[h"</f>
        <v>#VALUE!</v>
      </c>
      <c r="HW142" t="e">
        <f>'All regions'!G3563+"n/&gt;!'[i"</f>
        <v>#VALUE!</v>
      </c>
      <c r="HX142" t="e">
        <f>'All regions'!H3563+"n/&gt;!'[j"</f>
        <v>#VALUE!</v>
      </c>
      <c r="HY142" t="e">
        <f>'All regions'!I3563+"n/&gt;!'[k"</f>
        <v>#VALUE!</v>
      </c>
      <c r="HZ142" t="e">
        <f>'All regions'!J3563+"n/&gt;!'[l"</f>
        <v>#VALUE!</v>
      </c>
      <c r="IA142" t="e">
        <f>'All regions'!A3564+"n/&gt;!'[m"</f>
        <v>#VALUE!</v>
      </c>
      <c r="IB142" t="e">
        <f>'All regions'!B3564+"n/&gt;!'[n"</f>
        <v>#VALUE!</v>
      </c>
      <c r="IC142" t="e">
        <f>'All regions'!C3564+"n/&gt;!'[o"</f>
        <v>#VALUE!</v>
      </c>
      <c r="ID142" t="e">
        <f>'All regions'!D3564+"n/&gt;!'[p"</f>
        <v>#VALUE!</v>
      </c>
      <c r="IE142" t="e">
        <f>'All regions'!E3564+"n/&gt;!'[q"</f>
        <v>#VALUE!</v>
      </c>
      <c r="IF142" t="e">
        <f>'All regions'!F3564+"n/&gt;!'[r"</f>
        <v>#VALUE!</v>
      </c>
      <c r="IG142" t="e">
        <f>'All regions'!G3564+"n/&gt;!'[s"</f>
        <v>#VALUE!</v>
      </c>
      <c r="IH142" t="e">
        <f>'All regions'!H3564+"n/&gt;!'[t"</f>
        <v>#VALUE!</v>
      </c>
      <c r="II142" t="e">
        <f>'All regions'!I3564+"n/&gt;!'[u"</f>
        <v>#VALUE!</v>
      </c>
      <c r="IJ142" t="e">
        <f>'All regions'!J3564+"n/&gt;!'[v"</f>
        <v>#VALUE!</v>
      </c>
      <c r="IK142" t="e">
        <f>'All regions'!A3565+"n/&gt;!'[w"</f>
        <v>#VALUE!</v>
      </c>
      <c r="IL142" t="e">
        <f>'All regions'!B3565+"n/&gt;!'[x"</f>
        <v>#VALUE!</v>
      </c>
      <c r="IM142" t="e">
        <f>'All regions'!C3565+"n/&gt;!'[y"</f>
        <v>#VALUE!</v>
      </c>
      <c r="IN142" t="e">
        <f>'All regions'!D3565+"n/&gt;!'[z"</f>
        <v>#VALUE!</v>
      </c>
      <c r="IO142" t="e">
        <f>'All regions'!E3565+"n/&gt;!'[{"</f>
        <v>#VALUE!</v>
      </c>
      <c r="IP142" t="e">
        <f>'All regions'!F3565+"n/&gt;!'[|"</f>
        <v>#VALUE!</v>
      </c>
      <c r="IQ142" t="e">
        <f>'All regions'!G3565+"n/&gt;!'[}"</f>
        <v>#VALUE!</v>
      </c>
      <c r="IR142" t="e">
        <f>'All regions'!H3565+"n/&gt;!'[~"</f>
        <v>#VALUE!</v>
      </c>
      <c r="IS142" t="e">
        <f>'All regions'!I3565+"n/&gt;!'\#"</f>
        <v>#VALUE!</v>
      </c>
      <c r="IT142" t="e">
        <f>'All regions'!J3565+"n/&gt;!'\$"</f>
        <v>#VALUE!</v>
      </c>
      <c r="IU142" t="e">
        <f>'All regions'!A3566+"n/&gt;!'\%"</f>
        <v>#VALUE!</v>
      </c>
      <c r="IV142" t="e">
        <f>'All regions'!B3566+"n/&gt;!'\&amp;"</f>
        <v>#VALUE!</v>
      </c>
    </row>
    <row r="143" spans="6:256" x14ac:dyDescent="0.35">
      <c r="F143" t="e">
        <f>'All regions'!C3566+"n/&gt;!'\'"</f>
        <v>#VALUE!</v>
      </c>
      <c r="G143" t="e">
        <f>'All regions'!D3566+"n/&gt;!'\("</f>
        <v>#VALUE!</v>
      </c>
      <c r="H143" t="e">
        <f>'All regions'!E3566+"n/&gt;!'\)"</f>
        <v>#VALUE!</v>
      </c>
      <c r="I143" t="e">
        <f>'All regions'!F3566+"n/&gt;!'\."</f>
        <v>#VALUE!</v>
      </c>
      <c r="J143" t="e">
        <f>'All regions'!G3566+"n/&gt;!'\/"</f>
        <v>#VALUE!</v>
      </c>
      <c r="K143" t="e">
        <f>'All regions'!H3566+"n/&gt;!'\0"</f>
        <v>#VALUE!</v>
      </c>
      <c r="L143" t="e">
        <f>'All regions'!I3566+"n/&gt;!'\1"</f>
        <v>#VALUE!</v>
      </c>
      <c r="M143" t="e">
        <f>'All regions'!J3566+"n/&gt;!'\2"</f>
        <v>#VALUE!</v>
      </c>
      <c r="N143" t="e">
        <f>'All regions'!A3567+"n/&gt;!'\3"</f>
        <v>#VALUE!</v>
      </c>
      <c r="O143" t="e">
        <f>'All regions'!B3567+"n/&gt;!'\4"</f>
        <v>#VALUE!</v>
      </c>
      <c r="P143" t="e">
        <f>'All regions'!C3567+"n/&gt;!'\5"</f>
        <v>#VALUE!</v>
      </c>
      <c r="Q143" t="e">
        <f>'All regions'!D3567+"n/&gt;!'\6"</f>
        <v>#VALUE!</v>
      </c>
      <c r="R143" t="e">
        <f>'All regions'!E3567+"n/&gt;!'\7"</f>
        <v>#VALUE!</v>
      </c>
      <c r="S143" t="e">
        <f>'All regions'!F3567+"n/&gt;!'\8"</f>
        <v>#VALUE!</v>
      </c>
      <c r="T143" t="e">
        <f>'All regions'!G3567+"n/&gt;!'\9"</f>
        <v>#VALUE!</v>
      </c>
      <c r="U143" t="e">
        <f>'All regions'!H3567+"n/&gt;!'\:"</f>
        <v>#VALUE!</v>
      </c>
      <c r="V143" t="e">
        <f>'All regions'!I3567+"n/&gt;!'\;"</f>
        <v>#VALUE!</v>
      </c>
      <c r="W143" t="e">
        <f>'All regions'!J3567+"n/&gt;!'\&lt;"</f>
        <v>#VALUE!</v>
      </c>
      <c r="X143" t="e">
        <f>'All regions'!A3568+"n/&gt;!'\="</f>
        <v>#VALUE!</v>
      </c>
      <c r="Y143" t="e">
        <f>'All regions'!B3568+"n/&gt;!'\&gt;"</f>
        <v>#VALUE!</v>
      </c>
      <c r="Z143" t="e">
        <f>'All regions'!C3568+"n/&gt;!'\?"</f>
        <v>#VALUE!</v>
      </c>
      <c r="AA143" t="e">
        <f>'All regions'!D3568+"n/&gt;!'\@"</f>
        <v>#VALUE!</v>
      </c>
      <c r="AB143" t="e">
        <f>'All regions'!E3568+"n/&gt;!'\A"</f>
        <v>#VALUE!</v>
      </c>
      <c r="AC143" t="e">
        <f>'All regions'!F3568+"n/&gt;!'\B"</f>
        <v>#VALUE!</v>
      </c>
      <c r="AD143" t="e">
        <f>'All regions'!G3568+"n/&gt;!'\C"</f>
        <v>#VALUE!</v>
      </c>
      <c r="AE143" t="e">
        <f>'All regions'!H3568+"n/&gt;!'\D"</f>
        <v>#VALUE!</v>
      </c>
      <c r="AF143" t="e">
        <f>'All regions'!I3568+"n/&gt;!'\E"</f>
        <v>#VALUE!</v>
      </c>
      <c r="AG143" t="e">
        <f>'All regions'!J3568+"n/&gt;!'\F"</f>
        <v>#VALUE!</v>
      </c>
      <c r="AH143" t="e">
        <f>'All regions'!A3569+"n/&gt;!'\G"</f>
        <v>#VALUE!</v>
      </c>
      <c r="AI143" t="e">
        <f>'All regions'!B3569+"n/&gt;!'\H"</f>
        <v>#VALUE!</v>
      </c>
      <c r="AJ143" t="e">
        <f>'All regions'!C3569+"n/&gt;!'\I"</f>
        <v>#VALUE!</v>
      </c>
      <c r="AK143" t="e">
        <f>'All regions'!D3569+"n/&gt;!'\J"</f>
        <v>#VALUE!</v>
      </c>
      <c r="AL143" t="e">
        <f>'All regions'!E3569+"n/&gt;!'\K"</f>
        <v>#VALUE!</v>
      </c>
      <c r="AM143" t="e">
        <f>'All regions'!F3569+"n/&gt;!'\L"</f>
        <v>#VALUE!</v>
      </c>
      <c r="AN143" t="e">
        <f>'All regions'!G3569+"n/&gt;!'\M"</f>
        <v>#VALUE!</v>
      </c>
      <c r="AO143" t="e">
        <f>'All regions'!H3569+"n/&gt;!'\N"</f>
        <v>#VALUE!</v>
      </c>
      <c r="AP143" t="e">
        <f>'All regions'!I3569+"n/&gt;!'\O"</f>
        <v>#VALUE!</v>
      </c>
      <c r="AQ143" t="e">
        <f>'All regions'!J3569+"n/&gt;!'\P"</f>
        <v>#VALUE!</v>
      </c>
      <c r="AR143" t="e">
        <f>'All regions'!A3570+"n/&gt;!'\Q"</f>
        <v>#VALUE!</v>
      </c>
      <c r="AS143" t="e">
        <f>'All regions'!B3570+"n/&gt;!'\R"</f>
        <v>#VALUE!</v>
      </c>
      <c r="AT143" t="e">
        <f>'All regions'!C3570+"n/&gt;!'\S"</f>
        <v>#VALUE!</v>
      </c>
      <c r="AU143" t="e">
        <f>'All regions'!D3570+"n/&gt;!'\T"</f>
        <v>#VALUE!</v>
      </c>
      <c r="AV143" t="e">
        <f>'All regions'!E3570+"n/&gt;!'\U"</f>
        <v>#VALUE!</v>
      </c>
      <c r="AW143" t="e">
        <f>'All regions'!F3570+"n/&gt;!'\V"</f>
        <v>#VALUE!</v>
      </c>
      <c r="AX143" t="e">
        <f>'All regions'!G3570+"n/&gt;!'\W"</f>
        <v>#VALUE!</v>
      </c>
      <c r="AY143" t="e">
        <f>'All regions'!H3570+"n/&gt;!'\X"</f>
        <v>#VALUE!</v>
      </c>
      <c r="AZ143" t="e">
        <f>'All regions'!I3570+"n/&gt;!'\Y"</f>
        <v>#VALUE!</v>
      </c>
      <c r="BA143" t="e">
        <f>'All regions'!J3570+"n/&gt;!'\Z"</f>
        <v>#VALUE!</v>
      </c>
      <c r="BB143" t="e">
        <f>'All regions'!A3571+"n/&gt;!'\["</f>
        <v>#VALUE!</v>
      </c>
      <c r="BC143" t="e">
        <f>'All regions'!B3571+"n/&gt;!'\\"</f>
        <v>#VALUE!</v>
      </c>
      <c r="BD143" t="e">
        <f>'All regions'!C3571+"n/&gt;!'\]"</f>
        <v>#VALUE!</v>
      </c>
      <c r="BE143" t="e">
        <f>'All regions'!D3571+"n/&gt;!'\^"</f>
        <v>#VALUE!</v>
      </c>
      <c r="BF143" t="e">
        <f>'All regions'!E3571+"n/&gt;!'\_"</f>
        <v>#VALUE!</v>
      </c>
      <c r="BG143" t="e">
        <f>'All regions'!F3571+"n/&gt;!'\`"</f>
        <v>#VALUE!</v>
      </c>
      <c r="BH143" t="e">
        <f>'All regions'!G3571+"n/&gt;!'\a"</f>
        <v>#VALUE!</v>
      </c>
      <c r="BI143" t="e">
        <f>'All regions'!H3571+"n/&gt;!'\b"</f>
        <v>#VALUE!</v>
      </c>
      <c r="BJ143" t="e">
        <f>'All regions'!I3571+"n/&gt;!'\c"</f>
        <v>#VALUE!</v>
      </c>
      <c r="BK143" t="e">
        <f>'All regions'!J3571+"n/&gt;!'\d"</f>
        <v>#VALUE!</v>
      </c>
      <c r="BL143" t="e">
        <f>'All regions'!A3572+"n/&gt;!'\e"</f>
        <v>#VALUE!</v>
      </c>
      <c r="BM143" t="e">
        <f>'All regions'!B3572+"n/&gt;!'\f"</f>
        <v>#VALUE!</v>
      </c>
      <c r="BN143" t="e">
        <f>'All regions'!C3572+"n/&gt;!'\g"</f>
        <v>#VALUE!</v>
      </c>
      <c r="BO143" t="e">
        <f>'All regions'!D3572+"n/&gt;!'\h"</f>
        <v>#VALUE!</v>
      </c>
      <c r="BP143" t="e">
        <f>'All regions'!E3572+"n/&gt;!'\i"</f>
        <v>#VALUE!</v>
      </c>
      <c r="BQ143" t="e">
        <f>'All regions'!F3572+"n/&gt;!'\j"</f>
        <v>#VALUE!</v>
      </c>
      <c r="BR143" t="e">
        <f>'All regions'!G3572+"n/&gt;!'\k"</f>
        <v>#VALUE!</v>
      </c>
      <c r="BS143" t="e">
        <f>'All regions'!H3572+"n/&gt;!'\l"</f>
        <v>#VALUE!</v>
      </c>
      <c r="BT143" t="e">
        <f>'All regions'!I3572+"n/&gt;!'\m"</f>
        <v>#VALUE!</v>
      </c>
      <c r="BU143" t="e">
        <f>'All regions'!J3572+"n/&gt;!'\n"</f>
        <v>#VALUE!</v>
      </c>
      <c r="BV143" t="e">
        <f>'All regions'!A3573+"n/&gt;!'\o"</f>
        <v>#VALUE!</v>
      </c>
      <c r="BW143" t="e">
        <f>'All regions'!B3573+"n/&gt;!'\p"</f>
        <v>#VALUE!</v>
      </c>
      <c r="BX143" t="e">
        <f>'All regions'!C3573+"n/&gt;!'\q"</f>
        <v>#VALUE!</v>
      </c>
      <c r="BY143" t="e">
        <f>'All regions'!D3573+"n/&gt;!'\r"</f>
        <v>#VALUE!</v>
      </c>
      <c r="BZ143" t="e">
        <f>'All regions'!E3573+"n/&gt;!'\s"</f>
        <v>#VALUE!</v>
      </c>
      <c r="CA143" t="e">
        <f>'All regions'!F3573+"n/&gt;!'\t"</f>
        <v>#VALUE!</v>
      </c>
      <c r="CB143" t="e">
        <f>'All regions'!G3573+"n/&gt;!'\u"</f>
        <v>#VALUE!</v>
      </c>
      <c r="CC143" t="e">
        <f>'All regions'!H3573+"n/&gt;!'\v"</f>
        <v>#VALUE!</v>
      </c>
      <c r="CD143" t="e">
        <f>'All regions'!I3573+"n/&gt;!'\w"</f>
        <v>#VALUE!</v>
      </c>
      <c r="CE143" t="e">
        <f>'All regions'!J3573+"n/&gt;!'\x"</f>
        <v>#VALUE!</v>
      </c>
      <c r="CF143" t="e">
        <f>'All regions'!A3574+"n/&gt;!'\y"</f>
        <v>#VALUE!</v>
      </c>
      <c r="CG143" t="e">
        <f>'All regions'!B3574+"n/&gt;!'\z"</f>
        <v>#VALUE!</v>
      </c>
      <c r="CH143" t="e">
        <f>'All regions'!C3574+"n/&gt;!'\{"</f>
        <v>#VALUE!</v>
      </c>
      <c r="CI143" t="e">
        <f>'All regions'!D3574+"n/&gt;!'\|"</f>
        <v>#VALUE!</v>
      </c>
      <c r="CJ143" t="e">
        <f>'All regions'!E3574+"n/&gt;!'\}"</f>
        <v>#VALUE!</v>
      </c>
      <c r="CK143" t="e">
        <f>'All regions'!F3574+"n/&gt;!'\~"</f>
        <v>#VALUE!</v>
      </c>
      <c r="CL143" t="e">
        <f>'All regions'!G3574+"n/&gt;!']#"</f>
        <v>#VALUE!</v>
      </c>
      <c r="CM143" t="e">
        <f>'All regions'!H3574+"n/&gt;!']$"</f>
        <v>#VALUE!</v>
      </c>
      <c r="CN143" t="e">
        <f>'All regions'!I3574+"n/&gt;!']%"</f>
        <v>#VALUE!</v>
      </c>
      <c r="CO143" t="e">
        <f>'All regions'!J3574+"n/&gt;!']&amp;"</f>
        <v>#VALUE!</v>
      </c>
      <c r="CP143" t="e">
        <f>'All regions'!A3575+"n/&gt;!']'"</f>
        <v>#VALUE!</v>
      </c>
      <c r="CQ143" t="e">
        <f>'All regions'!B3575+"n/&gt;!']("</f>
        <v>#VALUE!</v>
      </c>
      <c r="CR143" t="e">
        <f>'All regions'!C3575+"n/&gt;!'])"</f>
        <v>#VALUE!</v>
      </c>
      <c r="CS143" t="e">
        <f>'All regions'!D3575+"n/&gt;!']."</f>
        <v>#VALUE!</v>
      </c>
      <c r="CT143" t="e">
        <f>'All regions'!E3575+"n/&gt;!']/"</f>
        <v>#VALUE!</v>
      </c>
      <c r="CU143" t="e">
        <f>'All regions'!F3575+"n/&gt;!']0"</f>
        <v>#VALUE!</v>
      </c>
      <c r="CV143" t="e">
        <f>'All regions'!G3575+"n/&gt;!']1"</f>
        <v>#VALUE!</v>
      </c>
      <c r="CW143" t="e">
        <f>'All regions'!H3575+"n/&gt;!']2"</f>
        <v>#VALUE!</v>
      </c>
      <c r="CX143" t="e">
        <f>'All regions'!I3575+"n/&gt;!']3"</f>
        <v>#VALUE!</v>
      </c>
      <c r="CY143" t="e">
        <f>'All regions'!J3575+"n/&gt;!']4"</f>
        <v>#VALUE!</v>
      </c>
      <c r="CZ143" t="e">
        <f>'All regions'!A3576+"n/&gt;!']5"</f>
        <v>#VALUE!</v>
      </c>
      <c r="DA143" t="e">
        <f>'All regions'!B3576+"n/&gt;!']6"</f>
        <v>#VALUE!</v>
      </c>
      <c r="DB143" t="e">
        <f>'All regions'!C3576+"n/&gt;!']7"</f>
        <v>#VALUE!</v>
      </c>
      <c r="DC143" t="e">
        <f>'All regions'!D3576+"n/&gt;!']8"</f>
        <v>#VALUE!</v>
      </c>
      <c r="DD143" t="e">
        <f>'All regions'!E3576+"n/&gt;!']9"</f>
        <v>#VALUE!</v>
      </c>
      <c r="DE143" t="e">
        <f>'All regions'!F3576+"n/&gt;!']:"</f>
        <v>#VALUE!</v>
      </c>
      <c r="DF143" t="e">
        <f>'All regions'!G3576+"n/&gt;!'];"</f>
        <v>#VALUE!</v>
      </c>
      <c r="DG143" t="e">
        <f>'All regions'!H3576+"n/&gt;!']&lt;"</f>
        <v>#VALUE!</v>
      </c>
      <c r="DH143" t="e">
        <f>'All regions'!I3576+"n/&gt;!']="</f>
        <v>#VALUE!</v>
      </c>
      <c r="DI143" t="e">
        <f>'All regions'!J3576+"n/&gt;!']&gt;"</f>
        <v>#VALUE!</v>
      </c>
      <c r="DJ143" t="e">
        <f>'All regions'!A3577+"n/&gt;!']?"</f>
        <v>#VALUE!</v>
      </c>
      <c r="DK143" t="e">
        <f>'All regions'!B3577+"n/&gt;!']@"</f>
        <v>#VALUE!</v>
      </c>
      <c r="DL143" t="e">
        <f>'All regions'!C3577+"n/&gt;!']A"</f>
        <v>#VALUE!</v>
      </c>
      <c r="DM143" t="e">
        <f>'All regions'!D3577+"n/&gt;!']B"</f>
        <v>#VALUE!</v>
      </c>
      <c r="DN143" t="e">
        <f>'All regions'!E3577+"n/&gt;!']C"</f>
        <v>#VALUE!</v>
      </c>
      <c r="DO143" t="e">
        <f>'All regions'!F3577+"n/&gt;!']D"</f>
        <v>#VALUE!</v>
      </c>
      <c r="DP143" t="e">
        <f>'All regions'!G3577+"n/&gt;!']E"</f>
        <v>#VALUE!</v>
      </c>
      <c r="DQ143" t="e">
        <f>'All regions'!H3577+"n/&gt;!']F"</f>
        <v>#VALUE!</v>
      </c>
      <c r="DR143" t="e">
        <f>'All regions'!I3577+"n/&gt;!']G"</f>
        <v>#VALUE!</v>
      </c>
      <c r="DS143" t="e">
        <f>'All regions'!J3577+"n/&gt;!']H"</f>
        <v>#VALUE!</v>
      </c>
      <c r="DT143" t="e">
        <f>'All regions'!A3578+"n/&gt;!']I"</f>
        <v>#VALUE!</v>
      </c>
      <c r="DU143" t="e">
        <f>'All regions'!B3578+"n/&gt;!']J"</f>
        <v>#VALUE!</v>
      </c>
      <c r="DV143" t="e">
        <f>'All regions'!C3578+"n/&gt;!']K"</f>
        <v>#VALUE!</v>
      </c>
      <c r="DW143" t="e">
        <f>'All regions'!D3578+"n/&gt;!']L"</f>
        <v>#VALUE!</v>
      </c>
      <c r="DX143" t="e">
        <f>'All regions'!E3578+"n/&gt;!']M"</f>
        <v>#VALUE!</v>
      </c>
      <c r="DY143" t="e">
        <f>'All regions'!F3578+"n/&gt;!']N"</f>
        <v>#VALUE!</v>
      </c>
      <c r="DZ143" t="e">
        <f>'All regions'!G3578+"n/&gt;!']O"</f>
        <v>#VALUE!</v>
      </c>
      <c r="EA143" t="e">
        <f>'All regions'!H3578+"n/&gt;!']P"</f>
        <v>#VALUE!</v>
      </c>
      <c r="EB143" t="e">
        <f>'All regions'!I3578+"n/&gt;!']Q"</f>
        <v>#VALUE!</v>
      </c>
      <c r="EC143" t="e">
        <f>'All regions'!J3578+"n/&gt;!']R"</f>
        <v>#VALUE!</v>
      </c>
      <c r="ED143" t="e">
        <f>'All regions'!A3579+"n/&gt;!']S"</f>
        <v>#VALUE!</v>
      </c>
      <c r="EE143" t="e">
        <f>'All regions'!B3579+"n/&gt;!']T"</f>
        <v>#VALUE!</v>
      </c>
      <c r="EF143" t="e">
        <f>'All regions'!C3579+"n/&gt;!']U"</f>
        <v>#VALUE!</v>
      </c>
      <c r="EG143" t="e">
        <f>'All regions'!D3579+"n/&gt;!']V"</f>
        <v>#VALUE!</v>
      </c>
      <c r="EH143" t="e">
        <f>'All regions'!E3579+"n/&gt;!']W"</f>
        <v>#VALUE!</v>
      </c>
      <c r="EI143" t="e">
        <f>'All regions'!F3579+"n/&gt;!']X"</f>
        <v>#VALUE!</v>
      </c>
      <c r="EJ143" t="e">
        <f>'All regions'!G3579+"n/&gt;!']Y"</f>
        <v>#VALUE!</v>
      </c>
      <c r="EK143" t="e">
        <f>'All regions'!H3579+"n/&gt;!']Z"</f>
        <v>#VALUE!</v>
      </c>
      <c r="EL143" t="e">
        <f>'All regions'!I3579+"n/&gt;!']["</f>
        <v>#VALUE!</v>
      </c>
      <c r="EM143" t="e">
        <f>'All regions'!J3579+"n/&gt;!']\"</f>
        <v>#VALUE!</v>
      </c>
      <c r="EN143" t="e">
        <f>'All regions'!A3580+"n/&gt;!']]"</f>
        <v>#VALUE!</v>
      </c>
      <c r="EO143" t="e">
        <f>'All regions'!B3580+"n/&gt;!']^"</f>
        <v>#VALUE!</v>
      </c>
      <c r="EP143" t="e">
        <f>'All regions'!C3580+"n/&gt;!']_"</f>
        <v>#VALUE!</v>
      </c>
      <c r="EQ143" t="e">
        <f>'All regions'!D3580+"n/&gt;!']`"</f>
        <v>#VALUE!</v>
      </c>
      <c r="ER143" t="e">
        <f>'All regions'!E3580+"n/&gt;!']a"</f>
        <v>#VALUE!</v>
      </c>
      <c r="ES143" t="e">
        <f>'All regions'!F3580+"n/&gt;!']b"</f>
        <v>#VALUE!</v>
      </c>
      <c r="ET143" t="e">
        <f>'All regions'!G3580+"n/&gt;!']c"</f>
        <v>#VALUE!</v>
      </c>
      <c r="EU143" t="e">
        <f>'All regions'!H3580+"n/&gt;!']d"</f>
        <v>#VALUE!</v>
      </c>
      <c r="EV143" t="e">
        <f>'All regions'!I3580+"n/&gt;!']e"</f>
        <v>#VALUE!</v>
      </c>
      <c r="EW143" t="e">
        <f>'All regions'!J3580+"n/&gt;!']f"</f>
        <v>#VALUE!</v>
      </c>
      <c r="EX143" t="e">
        <f>'All regions'!A3581+"n/&gt;!']g"</f>
        <v>#VALUE!</v>
      </c>
      <c r="EY143" t="e">
        <f>'All regions'!B3581+"n/&gt;!']h"</f>
        <v>#VALUE!</v>
      </c>
      <c r="EZ143" t="e">
        <f>'All regions'!C3581+"n/&gt;!']i"</f>
        <v>#VALUE!</v>
      </c>
      <c r="FA143" t="e">
        <f>'All regions'!D3581+"n/&gt;!']j"</f>
        <v>#VALUE!</v>
      </c>
      <c r="FB143" t="e">
        <f>'All regions'!E3581+"n/&gt;!']k"</f>
        <v>#VALUE!</v>
      </c>
      <c r="FC143" t="e">
        <f>'All regions'!F3581+"n/&gt;!']l"</f>
        <v>#VALUE!</v>
      </c>
      <c r="FD143" t="e">
        <f>'All regions'!G3581+"n/&gt;!']m"</f>
        <v>#VALUE!</v>
      </c>
      <c r="FE143" t="e">
        <f>'All regions'!H3581+"n/&gt;!']n"</f>
        <v>#VALUE!</v>
      </c>
      <c r="FF143" t="e">
        <f>'All regions'!I3581+"n/&gt;!']o"</f>
        <v>#VALUE!</v>
      </c>
      <c r="FG143" t="e">
        <f>'All regions'!J3581+"n/&gt;!']p"</f>
        <v>#VALUE!</v>
      </c>
      <c r="FH143" t="e">
        <f>'All regions'!A3582+"n/&gt;!']q"</f>
        <v>#VALUE!</v>
      </c>
      <c r="FI143" t="e">
        <f>'All regions'!B3582+"n/&gt;!']r"</f>
        <v>#VALUE!</v>
      </c>
      <c r="FJ143" t="e">
        <f>'All regions'!C3582+"n/&gt;!']s"</f>
        <v>#VALUE!</v>
      </c>
      <c r="FK143" t="e">
        <f>'All regions'!D3582+"n/&gt;!']t"</f>
        <v>#VALUE!</v>
      </c>
      <c r="FL143" t="e">
        <f>'All regions'!E3582+"n/&gt;!']u"</f>
        <v>#VALUE!</v>
      </c>
      <c r="FM143" t="e">
        <f>'All regions'!F3582+"n/&gt;!']v"</f>
        <v>#VALUE!</v>
      </c>
      <c r="FN143" t="e">
        <f>'All regions'!G3582+"n/&gt;!']w"</f>
        <v>#VALUE!</v>
      </c>
      <c r="FO143" t="e">
        <f>'All regions'!H3582+"n/&gt;!']x"</f>
        <v>#VALUE!</v>
      </c>
      <c r="FP143" t="e">
        <f>'All regions'!I3582+"n/&gt;!']y"</f>
        <v>#VALUE!</v>
      </c>
      <c r="FQ143" t="e">
        <f>'All regions'!J3582+"n/&gt;!']z"</f>
        <v>#VALUE!</v>
      </c>
      <c r="FR143" t="e">
        <f>'All regions'!A3583+"n/&gt;!']{"</f>
        <v>#VALUE!</v>
      </c>
      <c r="FS143" t="e">
        <f>'All regions'!B3583+"n/&gt;!']|"</f>
        <v>#VALUE!</v>
      </c>
      <c r="FT143" t="e">
        <f>'All regions'!C3583+"n/&gt;!']}"</f>
        <v>#VALUE!</v>
      </c>
      <c r="FU143" t="e">
        <f>'All regions'!D3583+"n/&gt;!']~"</f>
        <v>#VALUE!</v>
      </c>
      <c r="FV143" t="e">
        <f>'All regions'!E3583+"n/&gt;!'^#"</f>
        <v>#VALUE!</v>
      </c>
      <c r="FW143" t="e">
        <f>'All regions'!F3583+"n/&gt;!'^$"</f>
        <v>#VALUE!</v>
      </c>
      <c r="FX143" t="e">
        <f>'All regions'!G3583+"n/&gt;!'^%"</f>
        <v>#VALUE!</v>
      </c>
      <c r="FY143" t="e">
        <f>'All regions'!H3583+"n/&gt;!'^&amp;"</f>
        <v>#VALUE!</v>
      </c>
      <c r="FZ143" t="e">
        <f>'All regions'!I3583+"n/&gt;!'^'"</f>
        <v>#VALUE!</v>
      </c>
      <c r="GA143" t="e">
        <f>'All regions'!J3583+"n/&gt;!'^("</f>
        <v>#VALUE!</v>
      </c>
      <c r="GB143" t="e">
        <f>'All regions'!A3584+"n/&gt;!'^)"</f>
        <v>#VALUE!</v>
      </c>
      <c r="GC143" t="e">
        <f>'All regions'!B3584+"n/&gt;!'^."</f>
        <v>#VALUE!</v>
      </c>
      <c r="GD143" t="e">
        <f>'All regions'!C3584+"n/&gt;!'^/"</f>
        <v>#VALUE!</v>
      </c>
      <c r="GE143" t="e">
        <f>'All regions'!D3584+"n/&gt;!'^0"</f>
        <v>#VALUE!</v>
      </c>
      <c r="GF143" t="e">
        <f>'All regions'!E3584+"n/&gt;!'^1"</f>
        <v>#VALUE!</v>
      </c>
      <c r="GG143" t="e">
        <f>'All regions'!F3584+"n/&gt;!'^2"</f>
        <v>#VALUE!</v>
      </c>
      <c r="GH143" t="e">
        <f>'All regions'!G3584+"n/&gt;!'^3"</f>
        <v>#VALUE!</v>
      </c>
      <c r="GI143" t="e">
        <f>'All regions'!H3584+"n/&gt;!'^4"</f>
        <v>#VALUE!</v>
      </c>
      <c r="GJ143" t="e">
        <f>'All regions'!I3584+"n/&gt;!'^5"</f>
        <v>#VALUE!</v>
      </c>
      <c r="GK143" t="e">
        <f>'All regions'!J3584+"n/&gt;!'^6"</f>
        <v>#VALUE!</v>
      </c>
      <c r="GL143" t="e">
        <f>'All regions'!A3585+"n/&gt;!'^7"</f>
        <v>#VALUE!</v>
      </c>
      <c r="GM143" t="e">
        <f>'All regions'!B3585+"n/&gt;!'^8"</f>
        <v>#VALUE!</v>
      </c>
      <c r="GN143" t="e">
        <f>'All regions'!C3585+"n/&gt;!'^9"</f>
        <v>#VALUE!</v>
      </c>
      <c r="GO143" t="e">
        <f>'All regions'!D3585+"n/&gt;!'^:"</f>
        <v>#VALUE!</v>
      </c>
      <c r="GP143" t="e">
        <f>'All regions'!E3585+"n/&gt;!'^;"</f>
        <v>#VALUE!</v>
      </c>
      <c r="GQ143" t="e">
        <f>'All regions'!F3585+"n/&gt;!'^&lt;"</f>
        <v>#VALUE!</v>
      </c>
      <c r="GR143" t="e">
        <f>'All regions'!G3585+"n/&gt;!'^="</f>
        <v>#VALUE!</v>
      </c>
      <c r="GS143" t="e">
        <f>'All regions'!H3585+"n/&gt;!'^&gt;"</f>
        <v>#VALUE!</v>
      </c>
      <c r="GT143" t="e">
        <f>'All regions'!I3585+"n/&gt;!'^?"</f>
        <v>#VALUE!</v>
      </c>
      <c r="GU143" t="e">
        <f>'All regions'!J3585+"n/&gt;!'^@"</f>
        <v>#VALUE!</v>
      </c>
      <c r="GV143" t="e">
        <f>'All regions'!A3586+"n/&gt;!'^A"</f>
        <v>#VALUE!</v>
      </c>
      <c r="GW143" t="e">
        <f>'All regions'!B3586+"n/&gt;!'^B"</f>
        <v>#VALUE!</v>
      </c>
      <c r="GX143" t="e">
        <f>'All regions'!C3586+"n/&gt;!'^C"</f>
        <v>#VALUE!</v>
      </c>
      <c r="GY143" t="e">
        <f>'All regions'!D3586+"n/&gt;!'^D"</f>
        <v>#VALUE!</v>
      </c>
      <c r="GZ143" t="e">
        <f>'All regions'!E3586+"n/&gt;!'^E"</f>
        <v>#VALUE!</v>
      </c>
      <c r="HA143" t="e">
        <f>'All regions'!F3586+"n/&gt;!'^F"</f>
        <v>#VALUE!</v>
      </c>
      <c r="HB143" t="e">
        <f>'All regions'!G3586+"n/&gt;!'^G"</f>
        <v>#VALUE!</v>
      </c>
      <c r="HC143" t="e">
        <f>'All regions'!H3586+"n/&gt;!'^H"</f>
        <v>#VALUE!</v>
      </c>
      <c r="HD143" t="e">
        <f>'All regions'!I3586+"n/&gt;!'^I"</f>
        <v>#VALUE!</v>
      </c>
      <c r="HE143" t="e">
        <f>'All regions'!J3586+"n/&gt;!'^J"</f>
        <v>#VALUE!</v>
      </c>
      <c r="HF143" t="e">
        <f>'All regions'!A3587+"n/&gt;!'^K"</f>
        <v>#VALUE!</v>
      </c>
      <c r="HG143" t="e">
        <f>'All regions'!B3587+"n/&gt;!'^L"</f>
        <v>#VALUE!</v>
      </c>
      <c r="HH143" t="e">
        <f>'All regions'!C3587+"n/&gt;!'^M"</f>
        <v>#VALUE!</v>
      </c>
      <c r="HI143" t="e">
        <f>'All regions'!D3587+"n/&gt;!'^N"</f>
        <v>#VALUE!</v>
      </c>
      <c r="HJ143" t="e">
        <f>'All regions'!E3587+"n/&gt;!'^O"</f>
        <v>#VALUE!</v>
      </c>
      <c r="HK143" t="e">
        <f>'All regions'!F3587+"n/&gt;!'^P"</f>
        <v>#VALUE!</v>
      </c>
      <c r="HL143" t="e">
        <f>'All regions'!G3587+"n/&gt;!'^Q"</f>
        <v>#VALUE!</v>
      </c>
      <c r="HM143" t="e">
        <f>'All regions'!H3587+"n/&gt;!'^R"</f>
        <v>#VALUE!</v>
      </c>
      <c r="HN143" t="e">
        <f>'All regions'!I3587+"n/&gt;!'^S"</f>
        <v>#VALUE!</v>
      </c>
      <c r="HO143" t="e">
        <f>'All regions'!J3587+"n/&gt;!'^T"</f>
        <v>#VALUE!</v>
      </c>
      <c r="HP143" t="e">
        <f>'All regions'!A3588+"n/&gt;!'^U"</f>
        <v>#VALUE!</v>
      </c>
      <c r="HQ143" t="e">
        <f>'All regions'!B3588+"n/&gt;!'^V"</f>
        <v>#VALUE!</v>
      </c>
      <c r="HR143" t="e">
        <f>'All regions'!C3588+"n/&gt;!'^W"</f>
        <v>#VALUE!</v>
      </c>
      <c r="HS143" t="e">
        <f>'All regions'!D3588+"n/&gt;!'^X"</f>
        <v>#VALUE!</v>
      </c>
      <c r="HT143" t="e">
        <f>'All regions'!E3588+"n/&gt;!'^Y"</f>
        <v>#VALUE!</v>
      </c>
      <c r="HU143" t="e">
        <f>'All regions'!F3588+"n/&gt;!'^Z"</f>
        <v>#VALUE!</v>
      </c>
      <c r="HV143" t="e">
        <f>'All regions'!G3588+"n/&gt;!'^["</f>
        <v>#VALUE!</v>
      </c>
      <c r="HW143" t="e">
        <f>'All regions'!H3588+"n/&gt;!'^\"</f>
        <v>#VALUE!</v>
      </c>
      <c r="HX143" t="e">
        <f>'All regions'!I3588+"n/&gt;!'^]"</f>
        <v>#VALUE!</v>
      </c>
      <c r="HY143" t="e">
        <f>'All regions'!J3588+"n/&gt;!'^^"</f>
        <v>#VALUE!</v>
      </c>
      <c r="HZ143" t="e">
        <f>'All regions'!A3589+"n/&gt;!'^_"</f>
        <v>#VALUE!</v>
      </c>
      <c r="IA143" t="e">
        <f>'All regions'!B3589+"n/&gt;!'^`"</f>
        <v>#VALUE!</v>
      </c>
      <c r="IB143" t="e">
        <f>'All regions'!C3589+"n/&gt;!'^a"</f>
        <v>#VALUE!</v>
      </c>
      <c r="IC143" t="e">
        <f>'All regions'!D3589+"n/&gt;!'^b"</f>
        <v>#VALUE!</v>
      </c>
      <c r="ID143" t="e">
        <f>'All regions'!E3589+"n/&gt;!'^c"</f>
        <v>#VALUE!</v>
      </c>
      <c r="IE143" t="e">
        <f>'All regions'!F3589+"n/&gt;!'^d"</f>
        <v>#VALUE!</v>
      </c>
      <c r="IF143" t="e">
        <f>'All regions'!G3589+"n/&gt;!'^e"</f>
        <v>#VALUE!</v>
      </c>
      <c r="IG143" t="e">
        <f>'All regions'!H3589+"n/&gt;!'^f"</f>
        <v>#VALUE!</v>
      </c>
      <c r="IH143" t="e">
        <f>'All regions'!I3589+"n/&gt;!'^g"</f>
        <v>#VALUE!</v>
      </c>
      <c r="II143" t="e">
        <f>'All regions'!J3589+"n/&gt;!'^h"</f>
        <v>#VALUE!</v>
      </c>
      <c r="IJ143" t="e">
        <f>'All regions'!A3590+"n/&gt;!'^i"</f>
        <v>#VALUE!</v>
      </c>
      <c r="IK143" t="e">
        <f>'All regions'!B3590+"n/&gt;!'^j"</f>
        <v>#VALUE!</v>
      </c>
      <c r="IL143" t="e">
        <f>'All regions'!C3590+"n/&gt;!'^k"</f>
        <v>#VALUE!</v>
      </c>
      <c r="IM143" t="e">
        <f>'All regions'!D3590+"n/&gt;!'^l"</f>
        <v>#VALUE!</v>
      </c>
      <c r="IN143" t="e">
        <f>'All regions'!E3590+"n/&gt;!'^m"</f>
        <v>#VALUE!</v>
      </c>
      <c r="IO143" t="e">
        <f>'All regions'!F3590+"n/&gt;!'^n"</f>
        <v>#VALUE!</v>
      </c>
      <c r="IP143" t="e">
        <f>'All regions'!G3590+"n/&gt;!'^o"</f>
        <v>#VALUE!</v>
      </c>
      <c r="IQ143" t="e">
        <f>'All regions'!H3590+"n/&gt;!'^p"</f>
        <v>#VALUE!</v>
      </c>
      <c r="IR143" t="e">
        <f>'All regions'!I3590+"n/&gt;!'^q"</f>
        <v>#VALUE!</v>
      </c>
      <c r="IS143" t="e">
        <f>'All regions'!J3590+"n/&gt;!'^r"</f>
        <v>#VALUE!</v>
      </c>
      <c r="IT143" t="e">
        <f>'All regions'!A3591+"n/&gt;!'^s"</f>
        <v>#VALUE!</v>
      </c>
      <c r="IU143" t="e">
        <f>'All regions'!B3591+"n/&gt;!'^t"</f>
        <v>#VALUE!</v>
      </c>
      <c r="IV143" t="e">
        <f>'All regions'!C3591+"n/&gt;!'^u"</f>
        <v>#VALUE!</v>
      </c>
    </row>
    <row r="144" spans="6:256" x14ac:dyDescent="0.35">
      <c r="F144" t="e">
        <f>'All regions'!D3591+"n/&gt;!'^v"</f>
        <v>#VALUE!</v>
      </c>
      <c r="G144" t="e">
        <f>'All regions'!E3591+"n/&gt;!'^w"</f>
        <v>#VALUE!</v>
      </c>
      <c r="H144" t="e">
        <f>'All regions'!F3591+"n/&gt;!'^x"</f>
        <v>#VALUE!</v>
      </c>
      <c r="I144" t="e">
        <f>'All regions'!G3591+"n/&gt;!'^y"</f>
        <v>#VALUE!</v>
      </c>
      <c r="J144" t="e">
        <f>'All regions'!H3591+"n/&gt;!'^z"</f>
        <v>#VALUE!</v>
      </c>
      <c r="K144" t="e">
        <f>'All regions'!I3591+"n/&gt;!'^{"</f>
        <v>#VALUE!</v>
      </c>
      <c r="L144" t="e">
        <f>'All regions'!J3591+"n/&gt;!'^|"</f>
        <v>#VALUE!</v>
      </c>
      <c r="M144" t="e">
        <f>'All regions'!A3592+"n/&gt;!'^}"</f>
        <v>#VALUE!</v>
      </c>
      <c r="N144" t="e">
        <f>'All regions'!B3592+"n/&gt;!'^~"</f>
        <v>#VALUE!</v>
      </c>
      <c r="O144" t="e">
        <f>'All regions'!C3592+"n/&gt;!'_#"</f>
        <v>#VALUE!</v>
      </c>
      <c r="P144" t="e">
        <f>'All regions'!D3592+"n/&gt;!'_$"</f>
        <v>#VALUE!</v>
      </c>
      <c r="Q144" t="e">
        <f>'All regions'!E3592+"n/&gt;!'_%"</f>
        <v>#VALUE!</v>
      </c>
      <c r="R144" t="e">
        <f>'All regions'!F3592+"n/&gt;!'_&amp;"</f>
        <v>#VALUE!</v>
      </c>
      <c r="S144" t="e">
        <f>'All regions'!G3592+"n/&gt;!'_'"</f>
        <v>#VALUE!</v>
      </c>
      <c r="T144" t="e">
        <f>'All regions'!H3592+"n/&gt;!'_("</f>
        <v>#VALUE!</v>
      </c>
      <c r="U144" t="e">
        <f>'All regions'!I3592+"n/&gt;!'_)"</f>
        <v>#VALUE!</v>
      </c>
      <c r="V144" t="e">
        <f>'All regions'!J3592+"n/&gt;!'_."</f>
        <v>#VALUE!</v>
      </c>
      <c r="W144" t="e">
        <f>'All regions'!A3593+"n/&gt;!'_/"</f>
        <v>#VALUE!</v>
      </c>
      <c r="X144" t="e">
        <f>'All regions'!B3593+"n/&gt;!'_0"</f>
        <v>#VALUE!</v>
      </c>
      <c r="Y144" t="e">
        <f>'All regions'!C3593+"n/&gt;!'_1"</f>
        <v>#VALUE!</v>
      </c>
      <c r="Z144" t="e">
        <f>'All regions'!D3593+"n/&gt;!'_2"</f>
        <v>#VALUE!</v>
      </c>
      <c r="AA144" t="e">
        <f>'All regions'!E3593+"n/&gt;!'_3"</f>
        <v>#VALUE!</v>
      </c>
      <c r="AB144" t="e">
        <f>'All regions'!F3593+"n/&gt;!'_4"</f>
        <v>#VALUE!</v>
      </c>
      <c r="AC144" t="e">
        <f>'All regions'!G3593+"n/&gt;!'_5"</f>
        <v>#VALUE!</v>
      </c>
      <c r="AD144" t="e">
        <f>'All regions'!H3593+"n/&gt;!'_6"</f>
        <v>#VALUE!</v>
      </c>
      <c r="AE144" t="e">
        <f>'All regions'!I3593+"n/&gt;!'_7"</f>
        <v>#VALUE!</v>
      </c>
      <c r="AF144" t="e">
        <f>'All regions'!J3593+"n/&gt;!'_8"</f>
        <v>#VALUE!</v>
      </c>
      <c r="AG144" t="e">
        <f>'All regions'!A3594+"n/&gt;!'_9"</f>
        <v>#VALUE!</v>
      </c>
      <c r="AH144" t="e">
        <f>'All regions'!B3594+"n/&gt;!'_:"</f>
        <v>#VALUE!</v>
      </c>
      <c r="AI144" t="e">
        <f>'All regions'!C3594+"n/&gt;!'_;"</f>
        <v>#VALUE!</v>
      </c>
      <c r="AJ144" t="e">
        <f>'All regions'!D3594+"n/&gt;!'_&lt;"</f>
        <v>#VALUE!</v>
      </c>
      <c r="AK144" t="e">
        <f>'All regions'!E3594+"n/&gt;!'_="</f>
        <v>#VALUE!</v>
      </c>
      <c r="AL144" t="e">
        <f>'All regions'!F3594+"n/&gt;!'_&gt;"</f>
        <v>#VALUE!</v>
      </c>
      <c r="AM144" t="e">
        <f>'All regions'!G3594+"n/&gt;!'_?"</f>
        <v>#VALUE!</v>
      </c>
      <c r="AN144" t="e">
        <f>'All regions'!H3594+"n/&gt;!'_@"</f>
        <v>#VALUE!</v>
      </c>
      <c r="AO144" t="e">
        <f>'All regions'!I3594+"n/&gt;!'_A"</f>
        <v>#VALUE!</v>
      </c>
      <c r="AP144" t="e">
        <f>'All regions'!J3594+"n/&gt;!'_B"</f>
        <v>#VALUE!</v>
      </c>
      <c r="AQ144" t="e">
        <f>'All regions'!A3595+"n/&gt;!'_C"</f>
        <v>#VALUE!</v>
      </c>
      <c r="AR144" t="e">
        <f>'All regions'!B3595+"n/&gt;!'_D"</f>
        <v>#VALUE!</v>
      </c>
      <c r="AS144" t="e">
        <f>'All regions'!C3595+"n/&gt;!'_E"</f>
        <v>#VALUE!</v>
      </c>
      <c r="AT144" t="e">
        <f>'All regions'!D3595+"n/&gt;!'_F"</f>
        <v>#VALUE!</v>
      </c>
      <c r="AU144" t="e">
        <f>'All regions'!E3595+"n/&gt;!'_G"</f>
        <v>#VALUE!</v>
      </c>
      <c r="AV144" t="e">
        <f>'All regions'!F3595+"n/&gt;!'_H"</f>
        <v>#VALUE!</v>
      </c>
      <c r="AW144" t="e">
        <f>'All regions'!G3595+"n/&gt;!'_I"</f>
        <v>#VALUE!</v>
      </c>
      <c r="AX144" t="e">
        <f>'All regions'!H3595+"n/&gt;!'_J"</f>
        <v>#VALUE!</v>
      </c>
      <c r="AY144" t="e">
        <f>'All regions'!I3595+"n/&gt;!'_K"</f>
        <v>#VALUE!</v>
      </c>
      <c r="AZ144" t="e">
        <f>'All regions'!J3595+"n/&gt;!'_L"</f>
        <v>#VALUE!</v>
      </c>
      <c r="BA144" t="e">
        <f>'All regions'!A3596+"n/&gt;!'_M"</f>
        <v>#VALUE!</v>
      </c>
      <c r="BB144" t="e">
        <f>'All regions'!B3596+"n/&gt;!'_N"</f>
        <v>#VALUE!</v>
      </c>
      <c r="BC144" t="e">
        <f>'All regions'!C3596+"n/&gt;!'_O"</f>
        <v>#VALUE!</v>
      </c>
      <c r="BD144" t="e">
        <f>'All regions'!D3596+"n/&gt;!'_P"</f>
        <v>#VALUE!</v>
      </c>
      <c r="BE144" t="e">
        <f>'All regions'!E3596+"n/&gt;!'_Q"</f>
        <v>#VALUE!</v>
      </c>
      <c r="BF144" t="e">
        <f>'All regions'!F3596+"n/&gt;!'_R"</f>
        <v>#VALUE!</v>
      </c>
      <c r="BG144" t="e">
        <f>'All regions'!G3596+"n/&gt;!'_S"</f>
        <v>#VALUE!</v>
      </c>
      <c r="BH144" t="e">
        <f>'All regions'!H3596+"n/&gt;!'_T"</f>
        <v>#VALUE!</v>
      </c>
      <c r="BI144" t="e">
        <f>'All regions'!I3596+"n/&gt;!'_U"</f>
        <v>#VALUE!</v>
      </c>
      <c r="BJ144" t="e">
        <f>'All regions'!J3596+"n/&gt;!'_V"</f>
        <v>#VALUE!</v>
      </c>
      <c r="BK144" t="e">
        <f>'All regions'!A3597+"n/&gt;!'_W"</f>
        <v>#VALUE!</v>
      </c>
      <c r="BL144" t="e">
        <f>'All regions'!B3597+"n/&gt;!'_X"</f>
        <v>#VALUE!</v>
      </c>
      <c r="BM144" t="e">
        <f>'All regions'!C3597+"n/&gt;!'_Y"</f>
        <v>#VALUE!</v>
      </c>
      <c r="BN144" t="e">
        <f>'All regions'!D3597+"n/&gt;!'_Z"</f>
        <v>#VALUE!</v>
      </c>
      <c r="BO144" t="e">
        <f>'All regions'!E3597+"n/&gt;!'_["</f>
        <v>#VALUE!</v>
      </c>
      <c r="BP144" t="e">
        <f>'All regions'!F3597+"n/&gt;!'_\"</f>
        <v>#VALUE!</v>
      </c>
      <c r="BQ144" t="e">
        <f>'All regions'!G3597+"n/&gt;!'_]"</f>
        <v>#VALUE!</v>
      </c>
      <c r="BR144" t="e">
        <f>'All regions'!H3597+"n/&gt;!'_^"</f>
        <v>#VALUE!</v>
      </c>
      <c r="BS144" t="e">
        <f>'All regions'!I3597+"n/&gt;!'__"</f>
        <v>#VALUE!</v>
      </c>
      <c r="BT144" t="e">
        <f>'All regions'!J3597+"n/&gt;!'_`"</f>
        <v>#VALUE!</v>
      </c>
      <c r="BU144" t="e">
        <f>'All regions'!A3598+"n/&gt;!'_a"</f>
        <v>#VALUE!</v>
      </c>
      <c r="BV144" t="e">
        <f>'All regions'!B3598+"n/&gt;!'_b"</f>
        <v>#VALUE!</v>
      </c>
      <c r="BW144" t="e">
        <f>'All regions'!C3598+"n/&gt;!'_c"</f>
        <v>#VALUE!</v>
      </c>
      <c r="BX144" t="e">
        <f>'All regions'!D3598+"n/&gt;!'_d"</f>
        <v>#VALUE!</v>
      </c>
      <c r="BY144" t="e">
        <f>'All regions'!E3598+"n/&gt;!'_e"</f>
        <v>#VALUE!</v>
      </c>
      <c r="BZ144" t="e">
        <f>'All regions'!F3598+"n/&gt;!'_f"</f>
        <v>#VALUE!</v>
      </c>
      <c r="CA144" t="e">
        <f>'All regions'!G3598+"n/&gt;!'_g"</f>
        <v>#VALUE!</v>
      </c>
      <c r="CB144" t="e">
        <f>'All regions'!H3598+"n/&gt;!'_h"</f>
        <v>#VALUE!</v>
      </c>
      <c r="CC144" t="e">
        <f>'All regions'!I3598+"n/&gt;!'_i"</f>
        <v>#VALUE!</v>
      </c>
      <c r="CD144" t="e">
        <f>'All regions'!J3598+"n/&gt;!'_j"</f>
        <v>#VALUE!</v>
      </c>
      <c r="CE144" t="e">
        <f>'All regions'!A3599+"n/&gt;!'_k"</f>
        <v>#VALUE!</v>
      </c>
      <c r="CF144" t="e">
        <f>'All regions'!B3599+"n/&gt;!'_l"</f>
        <v>#VALUE!</v>
      </c>
      <c r="CG144" t="e">
        <f>'All regions'!C3599+"n/&gt;!'_m"</f>
        <v>#VALUE!</v>
      </c>
      <c r="CH144" t="e">
        <f>'All regions'!D3599+"n/&gt;!'_n"</f>
        <v>#VALUE!</v>
      </c>
      <c r="CI144" t="e">
        <f>'All regions'!E3599+"n/&gt;!'_o"</f>
        <v>#VALUE!</v>
      </c>
      <c r="CJ144" t="e">
        <f>'All regions'!F3599+"n/&gt;!'_p"</f>
        <v>#VALUE!</v>
      </c>
      <c r="CK144" t="e">
        <f>'All regions'!G3599+"n/&gt;!'_q"</f>
        <v>#VALUE!</v>
      </c>
      <c r="CL144" t="e">
        <f>'All regions'!H3599+"n/&gt;!'_r"</f>
        <v>#VALUE!</v>
      </c>
      <c r="CM144" t="e">
        <f>'All regions'!I3599+"n/&gt;!'_s"</f>
        <v>#VALUE!</v>
      </c>
      <c r="CN144" t="e">
        <f>'All regions'!J3599+"n/&gt;!'_t"</f>
        <v>#VALUE!</v>
      </c>
      <c r="CO144" t="e">
        <f>'All regions'!A3600+"n/&gt;!'_u"</f>
        <v>#VALUE!</v>
      </c>
      <c r="CP144" t="e">
        <f>'All regions'!B3600+"n/&gt;!'_v"</f>
        <v>#VALUE!</v>
      </c>
      <c r="CQ144" t="e">
        <f>'All regions'!C3600+"n/&gt;!'_w"</f>
        <v>#VALUE!</v>
      </c>
      <c r="CR144" t="e">
        <f>'All regions'!D3600+"n/&gt;!'_x"</f>
        <v>#VALUE!</v>
      </c>
      <c r="CS144" t="e">
        <f>'All regions'!E3600+"n/&gt;!'_y"</f>
        <v>#VALUE!</v>
      </c>
      <c r="CT144" t="e">
        <f>'All regions'!F3600+"n/&gt;!'_z"</f>
        <v>#VALUE!</v>
      </c>
      <c r="CU144" t="e">
        <f>'All regions'!G3600+"n/&gt;!'_{"</f>
        <v>#VALUE!</v>
      </c>
      <c r="CV144" t="e">
        <f>'All regions'!H3600+"n/&gt;!'_|"</f>
        <v>#VALUE!</v>
      </c>
      <c r="CW144" t="e">
        <f>'All regions'!I3600+"n/&gt;!'_}"</f>
        <v>#VALUE!</v>
      </c>
      <c r="CX144" t="e">
        <f>'All regions'!J3600+"n/&gt;!'_~"</f>
        <v>#VALUE!</v>
      </c>
      <c r="CY144" t="e">
        <f>'All regions'!A3601+"n/&gt;!'`#"</f>
        <v>#VALUE!</v>
      </c>
      <c r="CZ144" t="e">
        <f>'All regions'!B3601+"n/&gt;!'`$"</f>
        <v>#VALUE!</v>
      </c>
      <c r="DA144" t="e">
        <f>'All regions'!C3601+"n/&gt;!'`%"</f>
        <v>#VALUE!</v>
      </c>
      <c r="DB144" t="e">
        <f>'All regions'!D3601+"n/&gt;!'`&amp;"</f>
        <v>#VALUE!</v>
      </c>
      <c r="DC144" t="e">
        <f>'All regions'!E3601+"n/&gt;!'`'"</f>
        <v>#VALUE!</v>
      </c>
      <c r="DD144" t="e">
        <f>'All regions'!F3601+"n/&gt;!'`("</f>
        <v>#VALUE!</v>
      </c>
      <c r="DE144" t="e">
        <f>'All regions'!G3601+"n/&gt;!'`)"</f>
        <v>#VALUE!</v>
      </c>
      <c r="DF144" t="e">
        <f>'All regions'!H3601+"n/&gt;!'`."</f>
        <v>#VALUE!</v>
      </c>
      <c r="DG144" t="e">
        <f>'All regions'!I3601+"n/&gt;!'`/"</f>
        <v>#VALUE!</v>
      </c>
      <c r="DH144" t="e">
        <f>'All regions'!J3601+"n/&gt;!'`0"</f>
        <v>#VALUE!</v>
      </c>
      <c r="DI144" t="e">
        <f>'All regions'!A3602+"n/&gt;!'`1"</f>
        <v>#VALUE!</v>
      </c>
      <c r="DJ144" t="e">
        <f>'All regions'!B3602+"n/&gt;!'`2"</f>
        <v>#VALUE!</v>
      </c>
      <c r="DK144" t="e">
        <f>'All regions'!C3602+"n/&gt;!'`3"</f>
        <v>#VALUE!</v>
      </c>
      <c r="DL144" t="e">
        <f>'All regions'!D3602+"n/&gt;!'`4"</f>
        <v>#VALUE!</v>
      </c>
      <c r="DM144" t="e">
        <f>'All regions'!E3602+"n/&gt;!'`5"</f>
        <v>#VALUE!</v>
      </c>
      <c r="DN144" t="e">
        <f>'All regions'!F3602+"n/&gt;!'`6"</f>
        <v>#VALUE!</v>
      </c>
      <c r="DO144" t="e">
        <f>'All regions'!G3602+"n/&gt;!'`7"</f>
        <v>#VALUE!</v>
      </c>
      <c r="DP144" t="e">
        <f>'All regions'!H3602+"n/&gt;!'`8"</f>
        <v>#VALUE!</v>
      </c>
      <c r="DQ144" t="e">
        <f>'All regions'!I3602+"n/&gt;!'`9"</f>
        <v>#VALUE!</v>
      </c>
      <c r="DR144" t="e">
        <f>'All regions'!J3602+"n/&gt;!'`:"</f>
        <v>#VALUE!</v>
      </c>
      <c r="DS144" t="e">
        <f>'All regions'!A3603+"n/&gt;!'`;"</f>
        <v>#VALUE!</v>
      </c>
      <c r="DT144" t="e">
        <f>'All regions'!B3603+"n/&gt;!'`&lt;"</f>
        <v>#VALUE!</v>
      </c>
      <c r="DU144" t="e">
        <f>'All regions'!C3603+"n/&gt;!'`="</f>
        <v>#VALUE!</v>
      </c>
      <c r="DV144" t="e">
        <f>'All regions'!D3603+"n/&gt;!'`&gt;"</f>
        <v>#VALUE!</v>
      </c>
      <c r="DW144" t="e">
        <f>'All regions'!E3603+"n/&gt;!'`?"</f>
        <v>#VALUE!</v>
      </c>
      <c r="DX144" t="e">
        <f>'All regions'!F3603+"n/&gt;!'`@"</f>
        <v>#VALUE!</v>
      </c>
      <c r="DY144" t="e">
        <f>'All regions'!G3603+"n/&gt;!'`A"</f>
        <v>#VALUE!</v>
      </c>
      <c r="DZ144" t="e">
        <f>'All regions'!H3603+"n/&gt;!'`B"</f>
        <v>#VALUE!</v>
      </c>
      <c r="EA144" t="e">
        <f>'All regions'!I3603+"n/&gt;!'`C"</f>
        <v>#VALUE!</v>
      </c>
      <c r="EB144" t="e">
        <f>'All regions'!J3603+"n/&gt;!'`D"</f>
        <v>#VALUE!</v>
      </c>
      <c r="EC144" t="e">
        <f>'All regions'!A3604+"n/&gt;!'`E"</f>
        <v>#VALUE!</v>
      </c>
      <c r="ED144" t="e">
        <f>'All regions'!B3604+"n/&gt;!'`F"</f>
        <v>#VALUE!</v>
      </c>
      <c r="EE144" t="e">
        <f>'All regions'!C3604+"n/&gt;!'`G"</f>
        <v>#VALUE!</v>
      </c>
      <c r="EF144" t="e">
        <f>'All regions'!D3604+"n/&gt;!'`H"</f>
        <v>#VALUE!</v>
      </c>
      <c r="EG144" t="e">
        <f>'All regions'!E3604+"n/&gt;!'`I"</f>
        <v>#VALUE!</v>
      </c>
      <c r="EH144" t="e">
        <f>'All regions'!F3604+"n/&gt;!'`J"</f>
        <v>#VALUE!</v>
      </c>
      <c r="EI144" t="e">
        <f>'All regions'!G3604+"n/&gt;!'`K"</f>
        <v>#VALUE!</v>
      </c>
      <c r="EJ144" t="e">
        <f>'All regions'!H3604+"n/&gt;!'`L"</f>
        <v>#VALUE!</v>
      </c>
      <c r="EK144" t="e">
        <f>'All regions'!I3604+"n/&gt;!'`M"</f>
        <v>#VALUE!</v>
      </c>
      <c r="EL144" t="e">
        <f>'All regions'!J3604+"n/&gt;!'`N"</f>
        <v>#VALUE!</v>
      </c>
      <c r="EM144" t="e">
        <f>'All regions'!A3605+"n/&gt;!'`O"</f>
        <v>#VALUE!</v>
      </c>
      <c r="EN144" t="e">
        <f>'All regions'!B3605+"n/&gt;!'`P"</f>
        <v>#VALUE!</v>
      </c>
      <c r="EO144" t="e">
        <f>'All regions'!C3605+"n/&gt;!'`Q"</f>
        <v>#VALUE!</v>
      </c>
      <c r="EP144" t="e">
        <f>'All regions'!D3605+"n/&gt;!'`R"</f>
        <v>#VALUE!</v>
      </c>
      <c r="EQ144" t="e">
        <f>'All regions'!E3605+"n/&gt;!'`S"</f>
        <v>#VALUE!</v>
      </c>
      <c r="ER144" t="e">
        <f>'All regions'!F3605+"n/&gt;!'`T"</f>
        <v>#VALUE!</v>
      </c>
      <c r="ES144" t="e">
        <f>'All regions'!G3605+"n/&gt;!'`U"</f>
        <v>#VALUE!</v>
      </c>
      <c r="ET144" t="e">
        <f>'All regions'!H3605+"n/&gt;!'`V"</f>
        <v>#VALUE!</v>
      </c>
      <c r="EU144" t="e">
        <f>'All regions'!I3605+"n/&gt;!'`W"</f>
        <v>#VALUE!</v>
      </c>
      <c r="EV144" t="e">
        <f>'All regions'!J3605+"n/&gt;!'`X"</f>
        <v>#VALUE!</v>
      </c>
      <c r="EW144" t="e">
        <f>'All regions'!A3606+"n/&gt;!'`Y"</f>
        <v>#VALUE!</v>
      </c>
      <c r="EX144" t="e">
        <f>'All regions'!B3606+"n/&gt;!'`Z"</f>
        <v>#VALUE!</v>
      </c>
      <c r="EY144" t="e">
        <f>'All regions'!C3606+"n/&gt;!'`["</f>
        <v>#VALUE!</v>
      </c>
      <c r="EZ144" t="e">
        <f>'All regions'!D3606+"n/&gt;!'`\"</f>
        <v>#VALUE!</v>
      </c>
      <c r="FA144" t="e">
        <f>'All regions'!E3606+"n/&gt;!'`]"</f>
        <v>#VALUE!</v>
      </c>
      <c r="FB144" t="e">
        <f>'All regions'!F3606+"n/&gt;!'`^"</f>
        <v>#VALUE!</v>
      </c>
      <c r="FC144" t="e">
        <f>'All regions'!G3606+"n/&gt;!'`_"</f>
        <v>#VALUE!</v>
      </c>
      <c r="FD144" t="e">
        <f>'All regions'!H3606+"n/&gt;!'``"</f>
        <v>#VALUE!</v>
      </c>
      <c r="FE144" t="e">
        <f>'All regions'!I3606+"n/&gt;!'`a"</f>
        <v>#VALUE!</v>
      </c>
      <c r="FF144" t="e">
        <f>'All regions'!J3606+"n/&gt;!'`b"</f>
        <v>#VALUE!</v>
      </c>
      <c r="FG144" t="e">
        <f>'All regions'!A3607+"n/&gt;!'`c"</f>
        <v>#VALUE!</v>
      </c>
      <c r="FH144" t="e">
        <f>'All regions'!B3607+"n/&gt;!'`d"</f>
        <v>#VALUE!</v>
      </c>
      <c r="FI144" t="e">
        <f>'All regions'!C3607+"n/&gt;!'`e"</f>
        <v>#VALUE!</v>
      </c>
      <c r="FJ144" t="e">
        <f>'All regions'!D3607+"n/&gt;!'`f"</f>
        <v>#VALUE!</v>
      </c>
      <c r="FK144" t="e">
        <f>'All regions'!E3607+"n/&gt;!'`g"</f>
        <v>#VALUE!</v>
      </c>
      <c r="FL144" t="e">
        <f>'All regions'!F3607+"n/&gt;!'`h"</f>
        <v>#VALUE!</v>
      </c>
      <c r="FM144" t="e">
        <f>'All regions'!G3607+"n/&gt;!'`i"</f>
        <v>#VALUE!</v>
      </c>
      <c r="FN144" t="e">
        <f>'All regions'!H3607+"n/&gt;!'`j"</f>
        <v>#VALUE!</v>
      </c>
      <c r="FO144" t="e">
        <f>'All regions'!I3607+"n/&gt;!'`k"</f>
        <v>#VALUE!</v>
      </c>
      <c r="FP144" t="e">
        <f>'All regions'!J3607+"n/&gt;!'`l"</f>
        <v>#VALUE!</v>
      </c>
      <c r="FQ144" t="e">
        <f>'All regions'!A3608+"n/&gt;!'`m"</f>
        <v>#VALUE!</v>
      </c>
      <c r="FR144" t="e">
        <f>'All regions'!B3608+"n/&gt;!'`n"</f>
        <v>#VALUE!</v>
      </c>
      <c r="FS144" t="e">
        <f>'All regions'!C3608+"n/&gt;!'`o"</f>
        <v>#VALUE!</v>
      </c>
      <c r="FT144" t="e">
        <f>'All regions'!D3608+"n/&gt;!'`p"</f>
        <v>#VALUE!</v>
      </c>
      <c r="FU144" t="e">
        <f>'All regions'!E3608+"n/&gt;!'`q"</f>
        <v>#VALUE!</v>
      </c>
      <c r="FV144" t="e">
        <f>'All regions'!F3608+"n/&gt;!'`r"</f>
        <v>#VALUE!</v>
      </c>
      <c r="FW144" t="e">
        <f>'All regions'!G3608+"n/&gt;!'`s"</f>
        <v>#VALUE!</v>
      </c>
      <c r="FX144" t="e">
        <f>'All regions'!H3608+"n/&gt;!'`t"</f>
        <v>#VALUE!</v>
      </c>
      <c r="FY144" t="e">
        <f>'All regions'!I3608+"n/&gt;!'`u"</f>
        <v>#VALUE!</v>
      </c>
      <c r="FZ144" t="e">
        <f>'All regions'!J3608+"n/&gt;!'`v"</f>
        <v>#VALUE!</v>
      </c>
      <c r="GA144" t="e">
        <f>'All regions'!A3609+"n/&gt;!'`w"</f>
        <v>#VALUE!</v>
      </c>
      <c r="GB144" t="e">
        <f>'All regions'!B3609+"n/&gt;!'`x"</f>
        <v>#VALUE!</v>
      </c>
      <c r="GC144" t="e">
        <f>'All regions'!C3609+"n/&gt;!'`y"</f>
        <v>#VALUE!</v>
      </c>
      <c r="GD144" t="e">
        <f>'All regions'!D3609+"n/&gt;!'`z"</f>
        <v>#VALUE!</v>
      </c>
      <c r="GE144" t="e">
        <f>'All regions'!E3609+"n/&gt;!'`{"</f>
        <v>#VALUE!</v>
      </c>
      <c r="GF144" t="e">
        <f>'All regions'!F3609+"n/&gt;!'`|"</f>
        <v>#VALUE!</v>
      </c>
      <c r="GG144" t="e">
        <f>'All regions'!G3609+"n/&gt;!'`}"</f>
        <v>#VALUE!</v>
      </c>
      <c r="GH144" t="e">
        <f>'All regions'!H3609+"n/&gt;!'`~"</f>
        <v>#VALUE!</v>
      </c>
      <c r="GI144" t="e">
        <f>'All regions'!I3609+"n/&gt;!'a#"</f>
        <v>#VALUE!</v>
      </c>
      <c r="GJ144" t="e">
        <f>'All regions'!J3609+"n/&gt;!'a$"</f>
        <v>#VALUE!</v>
      </c>
      <c r="GK144" t="e">
        <f>'All regions'!A3610+"n/&gt;!'a%"</f>
        <v>#VALUE!</v>
      </c>
      <c r="GL144" t="e">
        <f>'All regions'!B3610+"n/&gt;!'a&amp;"</f>
        <v>#VALUE!</v>
      </c>
      <c r="GM144" t="e">
        <f>'All regions'!C3610+"n/&gt;!'a'"</f>
        <v>#VALUE!</v>
      </c>
      <c r="GN144" t="e">
        <f>'All regions'!D3610+"n/&gt;!'a("</f>
        <v>#VALUE!</v>
      </c>
      <c r="GO144" t="e">
        <f>'All regions'!E3610+"n/&gt;!'a)"</f>
        <v>#VALUE!</v>
      </c>
      <c r="GP144" t="e">
        <f>'All regions'!F3610+"n/&gt;!'a."</f>
        <v>#VALUE!</v>
      </c>
      <c r="GQ144" t="e">
        <f>'All regions'!G3610+"n/&gt;!'a/"</f>
        <v>#VALUE!</v>
      </c>
      <c r="GR144" t="e">
        <f>'All regions'!H3610+"n/&gt;!'a0"</f>
        <v>#VALUE!</v>
      </c>
      <c r="GS144" t="e">
        <f>'All regions'!I3610+"n/&gt;!'a1"</f>
        <v>#VALUE!</v>
      </c>
      <c r="GT144" t="e">
        <f>'All regions'!J3610+"n/&gt;!'a2"</f>
        <v>#VALUE!</v>
      </c>
      <c r="GU144" t="e">
        <f>'All regions'!A3611+"n/&gt;!'a3"</f>
        <v>#VALUE!</v>
      </c>
      <c r="GV144" t="e">
        <f>'All regions'!B3611+"n/&gt;!'a4"</f>
        <v>#VALUE!</v>
      </c>
      <c r="GW144" t="e">
        <f>'All regions'!C3611+"n/&gt;!'a5"</f>
        <v>#VALUE!</v>
      </c>
      <c r="GX144" t="e">
        <f>'All regions'!D3611+"n/&gt;!'a6"</f>
        <v>#VALUE!</v>
      </c>
      <c r="GY144" t="e">
        <f>'All regions'!E3611+"n/&gt;!'a7"</f>
        <v>#VALUE!</v>
      </c>
      <c r="GZ144" t="e">
        <f>'All regions'!F3611+"n/&gt;!'a8"</f>
        <v>#VALUE!</v>
      </c>
      <c r="HA144" t="e">
        <f>'All regions'!G3611+"n/&gt;!'a9"</f>
        <v>#VALUE!</v>
      </c>
      <c r="HB144" t="e">
        <f>'All regions'!H3611+"n/&gt;!'a:"</f>
        <v>#VALUE!</v>
      </c>
      <c r="HC144" t="e">
        <f>'All regions'!I3611+"n/&gt;!'a;"</f>
        <v>#VALUE!</v>
      </c>
      <c r="HD144" t="e">
        <f>'All regions'!J3611+"n/&gt;!'a&lt;"</f>
        <v>#VALUE!</v>
      </c>
      <c r="HE144" t="e">
        <f>'All regions'!A3612+"n/&gt;!'a="</f>
        <v>#VALUE!</v>
      </c>
      <c r="HF144" t="e">
        <f>'All regions'!B3612+"n/&gt;!'a&gt;"</f>
        <v>#VALUE!</v>
      </c>
      <c r="HG144" t="e">
        <f>'All regions'!C3612+"n/&gt;!'a?"</f>
        <v>#VALUE!</v>
      </c>
      <c r="HH144" t="e">
        <f>'All regions'!D3612+"n/&gt;!'a@"</f>
        <v>#VALUE!</v>
      </c>
      <c r="HI144" t="e">
        <f>'All regions'!E3612+"n/&gt;!'aA"</f>
        <v>#VALUE!</v>
      </c>
      <c r="HJ144" t="e">
        <f>'All regions'!F3612+"n/&gt;!'aB"</f>
        <v>#VALUE!</v>
      </c>
      <c r="HK144" t="e">
        <f>'All regions'!G3612+"n/&gt;!'aC"</f>
        <v>#VALUE!</v>
      </c>
      <c r="HL144" t="e">
        <f>'All regions'!H3612+"n/&gt;!'aD"</f>
        <v>#VALUE!</v>
      </c>
      <c r="HM144" t="e">
        <f>'All regions'!I3612+"n/&gt;!'aE"</f>
        <v>#VALUE!</v>
      </c>
      <c r="HN144" t="e">
        <f>'All regions'!J3612+"n/&gt;!'aF"</f>
        <v>#VALUE!</v>
      </c>
      <c r="HO144" t="e">
        <f>'All regions'!A3613+"n/&gt;!'aG"</f>
        <v>#VALUE!</v>
      </c>
      <c r="HP144" t="e">
        <f>'All regions'!B3613+"n/&gt;!'aH"</f>
        <v>#VALUE!</v>
      </c>
      <c r="HQ144" t="e">
        <f>'All regions'!C3613+"n/&gt;!'aI"</f>
        <v>#VALUE!</v>
      </c>
      <c r="HR144" t="e">
        <f>'All regions'!D3613+"n/&gt;!'aJ"</f>
        <v>#VALUE!</v>
      </c>
      <c r="HS144" t="e">
        <f>'All regions'!E3613+"n/&gt;!'aK"</f>
        <v>#VALUE!</v>
      </c>
      <c r="HT144" t="e">
        <f>'All regions'!F3613+"n/&gt;!'aL"</f>
        <v>#VALUE!</v>
      </c>
      <c r="HU144" t="e">
        <f>'All regions'!G3613+"n/&gt;!'aM"</f>
        <v>#VALUE!</v>
      </c>
      <c r="HV144" t="e">
        <f>'All regions'!H3613+"n/&gt;!'aN"</f>
        <v>#VALUE!</v>
      </c>
      <c r="HW144" t="e">
        <f>'All regions'!I3613+"n/&gt;!'aO"</f>
        <v>#VALUE!</v>
      </c>
      <c r="HX144" t="e">
        <f>'All regions'!J3613+"n/&gt;!'aP"</f>
        <v>#VALUE!</v>
      </c>
      <c r="HY144" t="e">
        <f>'All regions'!A3614+"n/&gt;!'aQ"</f>
        <v>#VALUE!</v>
      </c>
      <c r="HZ144" t="e">
        <f>'All regions'!B3614+"n/&gt;!'aR"</f>
        <v>#VALUE!</v>
      </c>
      <c r="IA144" t="e">
        <f>'All regions'!C3614+"n/&gt;!'aS"</f>
        <v>#VALUE!</v>
      </c>
      <c r="IB144" t="e">
        <f>'All regions'!D3614+"n/&gt;!'aT"</f>
        <v>#VALUE!</v>
      </c>
      <c r="IC144" t="e">
        <f>'All regions'!E3614+"n/&gt;!'aU"</f>
        <v>#VALUE!</v>
      </c>
      <c r="ID144" t="e">
        <f>'All regions'!F3614+"n/&gt;!'aV"</f>
        <v>#VALUE!</v>
      </c>
      <c r="IE144" t="e">
        <f>'All regions'!G3614+"n/&gt;!'aW"</f>
        <v>#VALUE!</v>
      </c>
      <c r="IF144" t="e">
        <f>'All regions'!H3614+"n/&gt;!'aX"</f>
        <v>#VALUE!</v>
      </c>
      <c r="IG144" t="e">
        <f>'All regions'!I3614+"n/&gt;!'aY"</f>
        <v>#VALUE!</v>
      </c>
      <c r="IH144" t="e">
        <f>'All regions'!J3614+"n/&gt;!'aZ"</f>
        <v>#VALUE!</v>
      </c>
      <c r="II144" t="e">
        <f>'All regions'!A3615+"n/&gt;!'a["</f>
        <v>#VALUE!</v>
      </c>
      <c r="IJ144" t="e">
        <f>'All regions'!B3615+"n/&gt;!'a\"</f>
        <v>#VALUE!</v>
      </c>
      <c r="IK144" t="e">
        <f>'All regions'!C3615+"n/&gt;!'a]"</f>
        <v>#VALUE!</v>
      </c>
      <c r="IL144" t="e">
        <f>'All regions'!D3615+"n/&gt;!'a^"</f>
        <v>#VALUE!</v>
      </c>
      <c r="IM144" t="e">
        <f>'All regions'!E3615+"n/&gt;!'a_"</f>
        <v>#VALUE!</v>
      </c>
      <c r="IN144" t="e">
        <f>'All regions'!F3615+"n/&gt;!'a`"</f>
        <v>#VALUE!</v>
      </c>
      <c r="IO144" t="e">
        <f>'All regions'!G3615+"n/&gt;!'aa"</f>
        <v>#VALUE!</v>
      </c>
      <c r="IP144" t="e">
        <f>'All regions'!H3615+"n/&gt;!'ab"</f>
        <v>#VALUE!</v>
      </c>
      <c r="IQ144" t="e">
        <f>'All regions'!I3615+"n/&gt;!'ac"</f>
        <v>#VALUE!</v>
      </c>
      <c r="IR144" t="e">
        <f>'All regions'!J3615+"n/&gt;!'ad"</f>
        <v>#VALUE!</v>
      </c>
      <c r="IS144" t="e">
        <f>'All regions'!A3616+"n/&gt;!'ae"</f>
        <v>#VALUE!</v>
      </c>
      <c r="IT144" t="e">
        <f>'All regions'!B3616+"n/&gt;!'af"</f>
        <v>#VALUE!</v>
      </c>
      <c r="IU144" t="e">
        <f>'All regions'!C3616+"n/&gt;!'ag"</f>
        <v>#VALUE!</v>
      </c>
      <c r="IV144" t="e">
        <f>'All regions'!D3616+"n/&gt;!'ah"</f>
        <v>#VALUE!</v>
      </c>
    </row>
    <row r="145" spans="6:256" x14ac:dyDescent="0.35">
      <c r="F145" t="e">
        <f>'All regions'!E3616+"n/&gt;!'ai"</f>
        <v>#VALUE!</v>
      </c>
      <c r="G145" t="e">
        <f>'All regions'!F3616+"n/&gt;!'aj"</f>
        <v>#VALUE!</v>
      </c>
      <c r="H145" t="e">
        <f>'All regions'!G3616+"n/&gt;!'ak"</f>
        <v>#VALUE!</v>
      </c>
      <c r="I145" t="e">
        <f>'All regions'!H3616+"n/&gt;!'al"</f>
        <v>#VALUE!</v>
      </c>
      <c r="J145" t="e">
        <f>'All regions'!I3616+"n/&gt;!'am"</f>
        <v>#VALUE!</v>
      </c>
      <c r="K145" t="e">
        <f>'All regions'!J3616+"n/&gt;!'an"</f>
        <v>#VALUE!</v>
      </c>
      <c r="L145" t="e">
        <f>'All regions'!A3617+"n/&gt;!'ao"</f>
        <v>#VALUE!</v>
      </c>
      <c r="M145" t="e">
        <f>'All regions'!B3617+"n/&gt;!'ap"</f>
        <v>#VALUE!</v>
      </c>
      <c r="N145" t="e">
        <f>'All regions'!C3617+"n/&gt;!'aq"</f>
        <v>#VALUE!</v>
      </c>
      <c r="O145" t="e">
        <f>'All regions'!D3617+"n/&gt;!'ar"</f>
        <v>#VALUE!</v>
      </c>
      <c r="P145" t="e">
        <f>'All regions'!E3617+"n/&gt;!'as"</f>
        <v>#VALUE!</v>
      </c>
      <c r="Q145" t="e">
        <f>'All regions'!F3617+"n/&gt;!'at"</f>
        <v>#VALUE!</v>
      </c>
      <c r="R145" t="e">
        <f>'All regions'!G3617+"n/&gt;!'au"</f>
        <v>#VALUE!</v>
      </c>
      <c r="S145" t="e">
        <f>'All regions'!H3617+"n/&gt;!'av"</f>
        <v>#VALUE!</v>
      </c>
      <c r="T145" t="e">
        <f>'All regions'!I3617+"n/&gt;!'aw"</f>
        <v>#VALUE!</v>
      </c>
      <c r="U145" t="e">
        <f>'All regions'!J3617+"n/&gt;!'ax"</f>
        <v>#VALUE!</v>
      </c>
      <c r="V145" t="e">
        <f>'All regions'!A3618+"n/&gt;!'ay"</f>
        <v>#VALUE!</v>
      </c>
      <c r="W145" t="e">
        <f>'All regions'!B3618+"n/&gt;!'az"</f>
        <v>#VALUE!</v>
      </c>
      <c r="X145" t="e">
        <f>'All regions'!C3618+"n/&gt;!'a{"</f>
        <v>#VALUE!</v>
      </c>
      <c r="Y145" t="e">
        <f>'All regions'!D3618+"n/&gt;!'a|"</f>
        <v>#VALUE!</v>
      </c>
      <c r="Z145" t="e">
        <f>'All regions'!E3618+"n/&gt;!'a}"</f>
        <v>#VALUE!</v>
      </c>
      <c r="AA145" t="e">
        <f>'All regions'!F3618+"n/&gt;!'a~"</f>
        <v>#VALUE!</v>
      </c>
      <c r="AB145" t="e">
        <f>'All regions'!G3618+"n/&gt;!'b#"</f>
        <v>#VALUE!</v>
      </c>
      <c r="AC145" t="e">
        <f>'All regions'!H3618+"n/&gt;!'b$"</f>
        <v>#VALUE!</v>
      </c>
      <c r="AD145" t="e">
        <f>'All regions'!I3618+"n/&gt;!'b%"</f>
        <v>#VALUE!</v>
      </c>
      <c r="AE145" t="e">
        <f>'All regions'!J3618+"n/&gt;!'b&amp;"</f>
        <v>#VALUE!</v>
      </c>
      <c r="AF145" t="e">
        <f>'All regions'!A3619+"n/&gt;!'b'"</f>
        <v>#VALUE!</v>
      </c>
      <c r="AG145" t="e">
        <f>'All regions'!B3619+"n/&gt;!'b("</f>
        <v>#VALUE!</v>
      </c>
      <c r="AH145" t="e">
        <f>'All regions'!C3619+"n/&gt;!'b)"</f>
        <v>#VALUE!</v>
      </c>
      <c r="AI145" t="e">
        <f>'All regions'!D3619+"n/&gt;!'b."</f>
        <v>#VALUE!</v>
      </c>
      <c r="AJ145" t="e">
        <f>'All regions'!E3619+"n/&gt;!'b/"</f>
        <v>#VALUE!</v>
      </c>
      <c r="AK145" t="e">
        <f>'All regions'!F3619+"n/&gt;!'b0"</f>
        <v>#VALUE!</v>
      </c>
      <c r="AL145" t="e">
        <f>'All regions'!G3619+"n/&gt;!'b1"</f>
        <v>#VALUE!</v>
      </c>
      <c r="AM145" t="e">
        <f>'All regions'!H3619+"n/&gt;!'b2"</f>
        <v>#VALUE!</v>
      </c>
      <c r="AN145" t="e">
        <f>'All regions'!I3619+"n/&gt;!'b3"</f>
        <v>#VALUE!</v>
      </c>
      <c r="AO145" t="e">
        <f>'All regions'!J3619+"n/&gt;!'b4"</f>
        <v>#VALUE!</v>
      </c>
      <c r="AP145" t="e">
        <f>'All regions'!A3620+"n/&gt;!'b5"</f>
        <v>#VALUE!</v>
      </c>
      <c r="AQ145" t="e">
        <f>'All regions'!B3620+"n/&gt;!'b6"</f>
        <v>#VALUE!</v>
      </c>
      <c r="AR145" t="e">
        <f>'All regions'!C3620+"n/&gt;!'b7"</f>
        <v>#VALUE!</v>
      </c>
      <c r="AS145" t="e">
        <f>'All regions'!D3620+"n/&gt;!'b8"</f>
        <v>#VALUE!</v>
      </c>
      <c r="AT145" t="e">
        <f>'All regions'!E3620+"n/&gt;!'b9"</f>
        <v>#VALUE!</v>
      </c>
      <c r="AU145" t="e">
        <f>'All regions'!F3620+"n/&gt;!'b:"</f>
        <v>#VALUE!</v>
      </c>
      <c r="AV145" t="e">
        <f>'All regions'!G3620+"n/&gt;!'b;"</f>
        <v>#VALUE!</v>
      </c>
      <c r="AW145" t="e">
        <f>'All regions'!H3620+"n/&gt;!'b&lt;"</f>
        <v>#VALUE!</v>
      </c>
      <c r="AX145" t="e">
        <f>'All regions'!I3620+"n/&gt;!'b="</f>
        <v>#VALUE!</v>
      </c>
      <c r="AY145" t="e">
        <f>'All regions'!J3620+"n/&gt;!'b&gt;"</f>
        <v>#VALUE!</v>
      </c>
      <c r="AZ145" t="e">
        <f>'All regions'!A3621+"n/&gt;!'b?"</f>
        <v>#VALUE!</v>
      </c>
      <c r="BA145" t="e">
        <f>'All regions'!B3621+"n/&gt;!'b@"</f>
        <v>#VALUE!</v>
      </c>
      <c r="BB145" t="e">
        <f>'All regions'!C3621+"n/&gt;!'bA"</f>
        <v>#VALUE!</v>
      </c>
      <c r="BC145" t="e">
        <f>'All regions'!D3621+"n/&gt;!'bB"</f>
        <v>#VALUE!</v>
      </c>
      <c r="BD145" t="e">
        <f>'All regions'!E3621+"n/&gt;!'bC"</f>
        <v>#VALUE!</v>
      </c>
      <c r="BE145" t="e">
        <f>'All regions'!F3621+"n/&gt;!'bD"</f>
        <v>#VALUE!</v>
      </c>
      <c r="BF145" t="e">
        <f>'All regions'!G3621+"n/&gt;!'bE"</f>
        <v>#VALUE!</v>
      </c>
      <c r="BG145" t="e">
        <f>'All regions'!H3621+"n/&gt;!'bF"</f>
        <v>#VALUE!</v>
      </c>
      <c r="BH145" t="e">
        <f>'All regions'!I3621+"n/&gt;!'bG"</f>
        <v>#VALUE!</v>
      </c>
      <c r="BI145" t="e">
        <f>'All regions'!J3621+"n/&gt;!'bH"</f>
        <v>#VALUE!</v>
      </c>
      <c r="BJ145" t="e">
        <f>'All regions'!A3622+"n/&gt;!'bI"</f>
        <v>#VALUE!</v>
      </c>
      <c r="BK145" t="e">
        <f>'All regions'!B3622+"n/&gt;!'bJ"</f>
        <v>#VALUE!</v>
      </c>
      <c r="BL145" t="e">
        <f>'All regions'!C3622+"n/&gt;!'bK"</f>
        <v>#VALUE!</v>
      </c>
      <c r="BM145" t="e">
        <f>'All regions'!D3622+"n/&gt;!'bL"</f>
        <v>#VALUE!</v>
      </c>
      <c r="BN145" t="e">
        <f>'All regions'!E3622+"n/&gt;!'bM"</f>
        <v>#VALUE!</v>
      </c>
      <c r="BO145" t="e">
        <f>'All regions'!F3622+"n/&gt;!'bN"</f>
        <v>#VALUE!</v>
      </c>
      <c r="BP145" t="e">
        <f>'All regions'!G3622+"n/&gt;!'bO"</f>
        <v>#VALUE!</v>
      </c>
      <c r="BQ145" t="e">
        <f>'All regions'!H3622+"n/&gt;!'bP"</f>
        <v>#VALUE!</v>
      </c>
      <c r="BR145" t="e">
        <f>'All regions'!I3622+"n/&gt;!'bQ"</f>
        <v>#VALUE!</v>
      </c>
      <c r="BS145" t="e">
        <f>'All regions'!J3622+"n/&gt;!'bR"</f>
        <v>#VALUE!</v>
      </c>
      <c r="BT145" t="e">
        <f>'All regions'!A3623+"n/&gt;!'bS"</f>
        <v>#VALUE!</v>
      </c>
      <c r="BU145" t="e">
        <f>'All regions'!B3623+"n/&gt;!'bT"</f>
        <v>#VALUE!</v>
      </c>
      <c r="BV145" t="e">
        <f>'All regions'!C3623+"n/&gt;!'bU"</f>
        <v>#VALUE!</v>
      </c>
      <c r="BW145" t="e">
        <f>'All regions'!D3623+"n/&gt;!'bV"</f>
        <v>#VALUE!</v>
      </c>
      <c r="BX145" t="e">
        <f>'All regions'!E3623+"n/&gt;!'bW"</f>
        <v>#VALUE!</v>
      </c>
      <c r="BY145" t="e">
        <f>'All regions'!F3623+"n/&gt;!'bX"</f>
        <v>#VALUE!</v>
      </c>
      <c r="BZ145" t="e">
        <f>'All regions'!G3623+"n/&gt;!'bY"</f>
        <v>#VALUE!</v>
      </c>
      <c r="CA145" t="e">
        <f>'All regions'!H3623+"n/&gt;!'bZ"</f>
        <v>#VALUE!</v>
      </c>
      <c r="CB145" t="e">
        <f>'All regions'!I3623+"n/&gt;!'b["</f>
        <v>#VALUE!</v>
      </c>
      <c r="CC145" t="e">
        <f>'All regions'!J3623+"n/&gt;!'b\"</f>
        <v>#VALUE!</v>
      </c>
      <c r="CD145" t="e">
        <f>'All regions'!A3624+"n/&gt;!'b]"</f>
        <v>#VALUE!</v>
      </c>
      <c r="CE145" t="e">
        <f>'All regions'!B3624+"n/&gt;!'b^"</f>
        <v>#VALUE!</v>
      </c>
      <c r="CF145" t="e">
        <f>'All regions'!C3624+"n/&gt;!'b_"</f>
        <v>#VALUE!</v>
      </c>
      <c r="CG145" t="e">
        <f>'All regions'!D3624+"n/&gt;!'b`"</f>
        <v>#VALUE!</v>
      </c>
      <c r="CH145" t="e">
        <f>'All regions'!E3624+"n/&gt;!'ba"</f>
        <v>#VALUE!</v>
      </c>
      <c r="CI145" t="e">
        <f>'All regions'!F3624+"n/&gt;!'bb"</f>
        <v>#VALUE!</v>
      </c>
      <c r="CJ145" t="e">
        <f>'All regions'!G3624+"n/&gt;!'bc"</f>
        <v>#VALUE!</v>
      </c>
      <c r="CK145" t="e">
        <f>'All regions'!H3624+"n/&gt;!'bd"</f>
        <v>#VALUE!</v>
      </c>
      <c r="CL145" t="e">
        <f>'All regions'!I3624+"n/&gt;!'be"</f>
        <v>#VALUE!</v>
      </c>
      <c r="CM145" t="e">
        <f>'All regions'!J3624+"n/&gt;!'bf"</f>
        <v>#VALUE!</v>
      </c>
      <c r="CN145" t="e">
        <f>'All regions'!A3625+"n/&gt;!'bg"</f>
        <v>#VALUE!</v>
      </c>
      <c r="CO145" t="e">
        <f>'All regions'!B3625+"n/&gt;!'bh"</f>
        <v>#VALUE!</v>
      </c>
      <c r="CP145" t="e">
        <f>'All regions'!C3625+"n/&gt;!'bi"</f>
        <v>#VALUE!</v>
      </c>
      <c r="CQ145" t="e">
        <f>'All regions'!D3625+"n/&gt;!'bj"</f>
        <v>#VALUE!</v>
      </c>
      <c r="CR145" t="e">
        <f>'All regions'!E3625+"n/&gt;!'bk"</f>
        <v>#VALUE!</v>
      </c>
      <c r="CS145" t="e">
        <f>'All regions'!F3625+"n/&gt;!'bl"</f>
        <v>#VALUE!</v>
      </c>
      <c r="CT145" t="e">
        <f>'All regions'!G3625+"n/&gt;!'bm"</f>
        <v>#VALUE!</v>
      </c>
      <c r="CU145" t="e">
        <f>'All regions'!H3625+"n/&gt;!'bn"</f>
        <v>#VALUE!</v>
      </c>
      <c r="CV145" t="e">
        <f>'All regions'!I3625+"n/&gt;!'bo"</f>
        <v>#VALUE!</v>
      </c>
      <c r="CW145" t="e">
        <f>'All regions'!J3625+"n/&gt;!'bp"</f>
        <v>#VALUE!</v>
      </c>
      <c r="CX145" t="e">
        <f>'All regions'!A3626+"n/&gt;!'bq"</f>
        <v>#VALUE!</v>
      </c>
      <c r="CY145" t="e">
        <f>'All regions'!B3626+"n/&gt;!'br"</f>
        <v>#VALUE!</v>
      </c>
      <c r="CZ145" t="e">
        <f>'All regions'!C3626+"n/&gt;!'bs"</f>
        <v>#VALUE!</v>
      </c>
      <c r="DA145" t="e">
        <f>'All regions'!D3626+"n/&gt;!'bt"</f>
        <v>#VALUE!</v>
      </c>
      <c r="DB145" t="e">
        <f>'All regions'!E3626+"n/&gt;!'bu"</f>
        <v>#VALUE!</v>
      </c>
      <c r="DC145" t="e">
        <f>'All regions'!F3626+"n/&gt;!'bv"</f>
        <v>#VALUE!</v>
      </c>
      <c r="DD145" t="e">
        <f>'All regions'!G3626+"n/&gt;!'bw"</f>
        <v>#VALUE!</v>
      </c>
      <c r="DE145" t="e">
        <f>'All regions'!H3626+"n/&gt;!'bx"</f>
        <v>#VALUE!</v>
      </c>
      <c r="DF145" t="e">
        <f>'All regions'!I3626+"n/&gt;!'by"</f>
        <v>#VALUE!</v>
      </c>
      <c r="DG145" t="e">
        <f>'All regions'!J3626+"n/&gt;!'bz"</f>
        <v>#VALUE!</v>
      </c>
      <c r="DH145" t="e">
        <f>'All regions'!A3627+"n/&gt;!'b{"</f>
        <v>#VALUE!</v>
      </c>
      <c r="DI145" t="e">
        <f>'All regions'!B3627+"n/&gt;!'b|"</f>
        <v>#VALUE!</v>
      </c>
      <c r="DJ145" t="e">
        <f>'All regions'!C3627+"n/&gt;!'b}"</f>
        <v>#VALUE!</v>
      </c>
      <c r="DK145" t="e">
        <f>'All regions'!D3627+"n/&gt;!'b~"</f>
        <v>#VALUE!</v>
      </c>
      <c r="DL145" t="e">
        <f>'All regions'!E3627+"n/&gt;!'c#"</f>
        <v>#VALUE!</v>
      </c>
      <c r="DM145" t="e">
        <f>'All regions'!F3627+"n/&gt;!'c$"</f>
        <v>#VALUE!</v>
      </c>
      <c r="DN145" t="e">
        <f>'All regions'!G3627+"n/&gt;!'c%"</f>
        <v>#VALUE!</v>
      </c>
      <c r="DO145" t="e">
        <f>'All regions'!H3627+"n/&gt;!'c&amp;"</f>
        <v>#VALUE!</v>
      </c>
      <c r="DP145" t="e">
        <f>'All regions'!I3627+"n/&gt;!'c'"</f>
        <v>#VALUE!</v>
      </c>
      <c r="DQ145" t="e">
        <f>'All regions'!J3627+"n/&gt;!'c("</f>
        <v>#VALUE!</v>
      </c>
      <c r="DR145" t="e">
        <f>'All regions'!A3628+"n/&gt;!'c)"</f>
        <v>#VALUE!</v>
      </c>
      <c r="DS145" t="e">
        <f>'All regions'!B3628+"n/&gt;!'c."</f>
        <v>#VALUE!</v>
      </c>
      <c r="DT145" t="e">
        <f>'All regions'!C3628+"n/&gt;!'c/"</f>
        <v>#VALUE!</v>
      </c>
      <c r="DU145" t="e">
        <f>'All regions'!D3628+"n/&gt;!'c0"</f>
        <v>#VALUE!</v>
      </c>
      <c r="DV145" t="e">
        <f>'All regions'!E3628+"n/&gt;!'c1"</f>
        <v>#VALUE!</v>
      </c>
      <c r="DW145" t="e">
        <f>'All regions'!F3628+"n/&gt;!'c2"</f>
        <v>#VALUE!</v>
      </c>
      <c r="DX145" t="e">
        <f>'All regions'!G3628+"n/&gt;!'c3"</f>
        <v>#VALUE!</v>
      </c>
      <c r="DY145" t="e">
        <f>'All regions'!H3628+"n/&gt;!'c4"</f>
        <v>#VALUE!</v>
      </c>
      <c r="DZ145" t="e">
        <f>'All regions'!I3628+"n/&gt;!'c5"</f>
        <v>#VALUE!</v>
      </c>
      <c r="EA145" t="e">
        <f>'All regions'!J3628+"n/&gt;!'c6"</f>
        <v>#VALUE!</v>
      </c>
      <c r="EB145" t="e">
        <f>'All regions'!A3629+"n/&gt;!'c7"</f>
        <v>#VALUE!</v>
      </c>
      <c r="EC145" t="e">
        <f>'All regions'!B3629+"n/&gt;!'c8"</f>
        <v>#VALUE!</v>
      </c>
      <c r="ED145" t="e">
        <f>'All regions'!C3629+"n/&gt;!'c9"</f>
        <v>#VALUE!</v>
      </c>
      <c r="EE145" t="e">
        <f>'All regions'!D3629+"n/&gt;!'c:"</f>
        <v>#VALUE!</v>
      </c>
      <c r="EF145" t="e">
        <f>'All regions'!E3629+"n/&gt;!'c;"</f>
        <v>#VALUE!</v>
      </c>
      <c r="EG145" t="e">
        <f>'All regions'!F3629+"n/&gt;!'c&lt;"</f>
        <v>#VALUE!</v>
      </c>
      <c r="EH145" t="e">
        <f>'All regions'!G3629+"n/&gt;!'c="</f>
        <v>#VALUE!</v>
      </c>
      <c r="EI145" t="e">
        <f>'All regions'!H3629+"n/&gt;!'c&gt;"</f>
        <v>#VALUE!</v>
      </c>
      <c r="EJ145" t="e">
        <f>'All regions'!I3629+"n/&gt;!'c?"</f>
        <v>#VALUE!</v>
      </c>
      <c r="EK145" t="e">
        <f>'All regions'!J3629+"n/&gt;!'c@"</f>
        <v>#VALUE!</v>
      </c>
      <c r="EL145" t="e">
        <f>'All regions'!A3630+"n/&gt;!'cA"</f>
        <v>#VALUE!</v>
      </c>
      <c r="EM145" t="e">
        <f>'All regions'!B3630+"n/&gt;!'cB"</f>
        <v>#VALUE!</v>
      </c>
      <c r="EN145" t="e">
        <f>'All regions'!C3630+"n/&gt;!'cC"</f>
        <v>#VALUE!</v>
      </c>
      <c r="EO145" t="e">
        <f>'All regions'!D3630+"n/&gt;!'cD"</f>
        <v>#VALUE!</v>
      </c>
      <c r="EP145" t="e">
        <f>'All regions'!E3630+"n/&gt;!'cE"</f>
        <v>#VALUE!</v>
      </c>
      <c r="EQ145" t="e">
        <f>'All regions'!F3630+"n/&gt;!'cF"</f>
        <v>#VALUE!</v>
      </c>
      <c r="ER145" t="e">
        <f>'All regions'!G3630+"n/&gt;!'cG"</f>
        <v>#VALUE!</v>
      </c>
      <c r="ES145" t="e">
        <f>'All regions'!H3630+"n/&gt;!'cH"</f>
        <v>#VALUE!</v>
      </c>
      <c r="ET145" t="e">
        <f>'All regions'!I3630+"n/&gt;!'cI"</f>
        <v>#VALUE!</v>
      </c>
      <c r="EU145" t="e">
        <f>'All regions'!J3630+"n/&gt;!'cJ"</f>
        <v>#VALUE!</v>
      </c>
      <c r="EV145" t="e">
        <f>'All regions'!A3631+"n/&gt;!'cK"</f>
        <v>#VALUE!</v>
      </c>
      <c r="EW145" t="e">
        <f>'All regions'!B3631+"n/&gt;!'cL"</f>
        <v>#VALUE!</v>
      </c>
      <c r="EX145" t="e">
        <f>'All regions'!C3631+"n/&gt;!'cM"</f>
        <v>#VALUE!</v>
      </c>
      <c r="EY145" t="e">
        <f>'All regions'!D3631+"n/&gt;!'cN"</f>
        <v>#VALUE!</v>
      </c>
      <c r="EZ145" t="e">
        <f>'All regions'!E3631+"n/&gt;!'cO"</f>
        <v>#VALUE!</v>
      </c>
      <c r="FA145" t="e">
        <f>'All regions'!F3631+"n/&gt;!'cP"</f>
        <v>#VALUE!</v>
      </c>
      <c r="FB145" t="e">
        <f>'All regions'!G3631+"n/&gt;!'cQ"</f>
        <v>#VALUE!</v>
      </c>
      <c r="FC145" t="e">
        <f>'All regions'!H3631+"n/&gt;!'cR"</f>
        <v>#VALUE!</v>
      </c>
      <c r="FD145" t="e">
        <f>'All regions'!I3631+"n/&gt;!'cS"</f>
        <v>#VALUE!</v>
      </c>
      <c r="FE145" t="e">
        <f>'All regions'!J3631+"n/&gt;!'cT"</f>
        <v>#VALUE!</v>
      </c>
      <c r="FF145" t="e">
        <f>'All regions'!A3632+"n/&gt;!'cU"</f>
        <v>#VALUE!</v>
      </c>
      <c r="FG145" t="e">
        <f>'All regions'!B3632+"n/&gt;!'cV"</f>
        <v>#VALUE!</v>
      </c>
      <c r="FH145" t="e">
        <f>'All regions'!C3632+"n/&gt;!'cW"</f>
        <v>#VALUE!</v>
      </c>
      <c r="FI145" t="e">
        <f>'All regions'!D3632+"n/&gt;!'cX"</f>
        <v>#VALUE!</v>
      </c>
      <c r="FJ145" t="e">
        <f>'All regions'!E3632+"n/&gt;!'cY"</f>
        <v>#VALUE!</v>
      </c>
      <c r="FK145" t="e">
        <f>'All regions'!F3632+"n/&gt;!'cZ"</f>
        <v>#VALUE!</v>
      </c>
      <c r="FL145" t="e">
        <f>'All regions'!G3632+"n/&gt;!'c["</f>
        <v>#VALUE!</v>
      </c>
      <c r="FM145" t="e">
        <f>'All regions'!H3632+"n/&gt;!'c\"</f>
        <v>#VALUE!</v>
      </c>
      <c r="FN145" t="e">
        <f>'All regions'!I3632+"n/&gt;!'c]"</f>
        <v>#VALUE!</v>
      </c>
      <c r="FO145" t="e">
        <f>'All regions'!J3632+"n/&gt;!'c^"</f>
        <v>#VALUE!</v>
      </c>
      <c r="FP145" t="e">
        <f>'All regions'!A3633+"n/&gt;!'c_"</f>
        <v>#VALUE!</v>
      </c>
      <c r="FQ145" t="e">
        <f>'All regions'!B3633+"n/&gt;!'c`"</f>
        <v>#VALUE!</v>
      </c>
      <c r="FR145" t="e">
        <f>'All regions'!C3633+"n/&gt;!'ca"</f>
        <v>#VALUE!</v>
      </c>
      <c r="FS145" t="e">
        <f>'All regions'!D3633+"n/&gt;!'cb"</f>
        <v>#VALUE!</v>
      </c>
      <c r="FT145" t="e">
        <f>'All regions'!E3633+"n/&gt;!'cc"</f>
        <v>#VALUE!</v>
      </c>
      <c r="FU145" t="e">
        <f>'All regions'!F3633+"n/&gt;!'cd"</f>
        <v>#VALUE!</v>
      </c>
      <c r="FV145" t="e">
        <f>'All regions'!G3633+"n/&gt;!'ce"</f>
        <v>#VALUE!</v>
      </c>
      <c r="FW145" t="e">
        <f>'All regions'!H3633+"n/&gt;!'cf"</f>
        <v>#VALUE!</v>
      </c>
      <c r="FX145" t="e">
        <f>'All regions'!I3633+"n/&gt;!'cg"</f>
        <v>#VALUE!</v>
      </c>
      <c r="FY145" t="e">
        <f>'All regions'!J3633+"n/&gt;!'ch"</f>
        <v>#VALUE!</v>
      </c>
      <c r="FZ145" t="e">
        <f>'All regions'!A3634+"n/&gt;!'ci"</f>
        <v>#VALUE!</v>
      </c>
      <c r="GA145" t="e">
        <f>'All regions'!B3634+"n/&gt;!'cj"</f>
        <v>#VALUE!</v>
      </c>
      <c r="GB145" t="e">
        <f>'All regions'!C3634+"n/&gt;!'ck"</f>
        <v>#VALUE!</v>
      </c>
      <c r="GC145" t="e">
        <f>'All regions'!D3634+"n/&gt;!'cl"</f>
        <v>#VALUE!</v>
      </c>
      <c r="GD145" t="e">
        <f>'All regions'!E3634+"n/&gt;!'cm"</f>
        <v>#VALUE!</v>
      </c>
      <c r="GE145" t="e">
        <f>'All regions'!F3634+"n/&gt;!'cn"</f>
        <v>#VALUE!</v>
      </c>
      <c r="GF145" t="e">
        <f>'All regions'!G3634+"n/&gt;!'co"</f>
        <v>#VALUE!</v>
      </c>
      <c r="GG145" t="e">
        <f>'All regions'!H3634+"n/&gt;!'cp"</f>
        <v>#VALUE!</v>
      </c>
      <c r="GH145" t="e">
        <f>'All regions'!I3634+"n/&gt;!'cq"</f>
        <v>#VALUE!</v>
      </c>
      <c r="GI145" t="e">
        <f>'All regions'!J3634+"n/&gt;!'cr"</f>
        <v>#VALUE!</v>
      </c>
      <c r="GJ145" t="e">
        <f>'All regions'!A3635+"n/&gt;!'cs"</f>
        <v>#VALUE!</v>
      </c>
      <c r="GK145" t="e">
        <f>'All regions'!B3635+"n/&gt;!'ct"</f>
        <v>#VALUE!</v>
      </c>
      <c r="GL145" t="e">
        <f>'All regions'!C3635+"n/&gt;!'cu"</f>
        <v>#VALUE!</v>
      </c>
      <c r="GM145" t="e">
        <f>'All regions'!D3635+"n/&gt;!'cv"</f>
        <v>#VALUE!</v>
      </c>
      <c r="GN145" t="e">
        <f>'All regions'!E3635+"n/&gt;!'cw"</f>
        <v>#VALUE!</v>
      </c>
      <c r="GO145" t="e">
        <f>'All regions'!F3635+"n/&gt;!'cx"</f>
        <v>#VALUE!</v>
      </c>
      <c r="GP145" t="e">
        <f>'All regions'!G3635+"n/&gt;!'cy"</f>
        <v>#VALUE!</v>
      </c>
      <c r="GQ145" t="e">
        <f>'All regions'!H3635+"n/&gt;!'cz"</f>
        <v>#VALUE!</v>
      </c>
      <c r="GR145" t="e">
        <f>'All regions'!I3635+"n/&gt;!'c{"</f>
        <v>#VALUE!</v>
      </c>
      <c r="GS145" t="e">
        <f>'All regions'!J3635+"n/&gt;!'c|"</f>
        <v>#VALUE!</v>
      </c>
      <c r="GT145" t="e">
        <f>'All regions'!A3636+"n/&gt;!'c}"</f>
        <v>#VALUE!</v>
      </c>
      <c r="GU145" t="e">
        <f>'All regions'!B3636+"n/&gt;!'c~"</f>
        <v>#VALUE!</v>
      </c>
      <c r="GV145" t="e">
        <f>'All regions'!C3636+"n/&gt;!'d#"</f>
        <v>#VALUE!</v>
      </c>
      <c r="GW145" t="e">
        <f>'All regions'!D3636+"n/&gt;!'d$"</f>
        <v>#VALUE!</v>
      </c>
      <c r="GX145" t="e">
        <f>'All regions'!E3636+"n/&gt;!'d%"</f>
        <v>#VALUE!</v>
      </c>
      <c r="GY145" t="e">
        <f>'All regions'!F3636+"n/&gt;!'d&amp;"</f>
        <v>#VALUE!</v>
      </c>
      <c r="GZ145" t="e">
        <f>'All regions'!G3636+"n/&gt;!'d'"</f>
        <v>#VALUE!</v>
      </c>
      <c r="HA145" t="e">
        <f>'All regions'!H3636+"n/&gt;!'d("</f>
        <v>#VALUE!</v>
      </c>
      <c r="HB145" t="e">
        <f>'All regions'!I3636+"n/&gt;!'d)"</f>
        <v>#VALUE!</v>
      </c>
      <c r="HC145" t="e">
        <f>'All regions'!J3636+"n/&gt;!'d."</f>
        <v>#VALUE!</v>
      </c>
      <c r="HD145" t="e">
        <f>'All regions'!A3637+"n/&gt;!'d/"</f>
        <v>#VALUE!</v>
      </c>
      <c r="HE145" t="e">
        <f>'All regions'!B3637+"n/&gt;!'d0"</f>
        <v>#VALUE!</v>
      </c>
      <c r="HF145" t="e">
        <f>'All regions'!C3637+"n/&gt;!'d1"</f>
        <v>#VALUE!</v>
      </c>
      <c r="HG145" t="e">
        <f>'All regions'!D3637+"n/&gt;!'d2"</f>
        <v>#VALUE!</v>
      </c>
      <c r="HH145" t="e">
        <f>'All regions'!E3637+"n/&gt;!'d3"</f>
        <v>#VALUE!</v>
      </c>
      <c r="HI145" t="e">
        <f>'All regions'!F3637+"n/&gt;!'d4"</f>
        <v>#VALUE!</v>
      </c>
      <c r="HJ145" t="e">
        <f>'All regions'!G3637+"n/&gt;!'d5"</f>
        <v>#VALUE!</v>
      </c>
      <c r="HK145" t="e">
        <f>'All regions'!H3637+"n/&gt;!'d6"</f>
        <v>#VALUE!</v>
      </c>
      <c r="HL145" t="e">
        <f>'All regions'!I3637+"n/&gt;!'d7"</f>
        <v>#VALUE!</v>
      </c>
      <c r="HM145" t="e">
        <f>'All regions'!J3637+"n/&gt;!'d8"</f>
        <v>#VALUE!</v>
      </c>
      <c r="HN145" t="e">
        <f>'All regions'!A3638+"n/&gt;!'d9"</f>
        <v>#VALUE!</v>
      </c>
      <c r="HO145" t="e">
        <f>'All regions'!B3638+"n/&gt;!'d:"</f>
        <v>#VALUE!</v>
      </c>
      <c r="HP145" t="e">
        <f>'All regions'!C3638+"n/&gt;!'d;"</f>
        <v>#VALUE!</v>
      </c>
      <c r="HQ145" t="e">
        <f>'All regions'!D3638+"n/&gt;!'d&lt;"</f>
        <v>#VALUE!</v>
      </c>
      <c r="HR145" t="e">
        <f>'All regions'!E3638+"n/&gt;!'d="</f>
        <v>#VALUE!</v>
      </c>
      <c r="HS145" t="e">
        <f>'All regions'!F3638+"n/&gt;!'d&gt;"</f>
        <v>#VALUE!</v>
      </c>
      <c r="HT145" t="e">
        <f>'All regions'!G3638+"n/&gt;!'d?"</f>
        <v>#VALUE!</v>
      </c>
      <c r="HU145" t="e">
        <f>'All regions'!H3638+"n/&gt;!'d@"</f>
        <v>#VALUE!</v>
      </c>
      <c r="HV145" t="e">
        <f>'All regions'!I3638+"n/&gt;!'dA"</f>
        <v>#VALUE!</v>
      </c>
      <c r="HW145" t="e">
        <f>'All regions'!J3638+"n/&gt;!'dB"</f>
        <v>#VALUE!</v>
      </c>
      <c r="HX145" t="e">
        <f>'All regions'!A3639+"n/&gt;!'dC"</f>
        <v>#VALUE!</v>
      </c>
      <c r="HY145" t="e">
        <f>'All regions'!B3639+"n/&gt;!'dD"</f>
        <v>#VALUE!</v>
      </c>
      <c r="HZ145" t="e">
        <f>'All regions'!C3639+"n/&gt;!'dE"</f>
        <v>#VALUE!</v>
      </c>
      <c r="IA145" t="e">
        <f>'All regions'!D3639+"n/&gt;!'dF"</f>
        <v>#VALUE!</v>
      </c>
      <c r="IB145" t="e">
        <f>'All regions'!E3639+"n/&gt;!'dG"</f>
        <v>#VALUE!</v>
      </c>
      <c r="IC145" t="e">
        <f>'All regions'!F3639+"n/&gt;!'dH"</f>
        <v>#VALUE!</v>
      </c>
      <c r="ID145" t="e">
        <f>'All regions'!G3639+"n/&gt;!'dI"</f>
        <v>#VALUE!</v>
      </c>
      <c r="IE145" t="e">
        <f>'All regions'!H3639+"n/&gt;!'dJ"</f>
        <v>#VALUE!</v>
      </c>
      <c r="IF145" t="e">
        <f>'All regions'!I3639+"n/&gt;!'dK"</f>
        <v>#VALUE!</v>
      </c>
      <c r="IG145" t="e">
        <f>'All regions'!J3639+"n/&gt;!'dL"</f>
        <v>#VALUE!</v>
      </c>
      <c r="IH145" t="e">
        <f>'All regions'!A3640+"n/&gt;!'dM"</f>
        <v>#VALUE!</v>
      </c>
      <c r="II145" t="e">
        <f>'All regions'!B3640+"n/&gt;!'dN"</f>
        <v>#VALUE!</v>
      </c>
      <c r="IJ145" t="e">
        <f>'All regions'!C3640+"n/&gt;!'dO"</f>
        <v>#VALUE!</v>
      </c>
      <c r="IK145" t="e">
        <f>'All regions'!D3640+"n/&gt;!'dP"</f>
        <v>#VALUE!</v>
      </c>
      <c r="IL145" t="e">
        <f>'All regions'!E3640+"n/&gt;!'dQ"</f>
        <v>#VALUE!</v>
      </c>
      <c r="IM145" t="e">
        <f>'All regions'!F3640+"n/&gt;!'dR"</f>
        <v>#VALUE!</v>
      </c>
      <c r="IN145" t="e">
        <f>'All regions'!G3640+"n/&gt;!'dS"</f>
        <v>#VALUE!</v>
      </c>
      <c r="IO145" t="e">
        <f>'All regions'!H3640+"n/&gt;!'dT"</f>
        <v>#VALUE!</v>
      </c>
      <c r="IP145" t="e">
        <f>'All regions'!I3640+"n/&gt;!'dU"</f>
        <v>#VALUE!</v>
      </c>
      <c r="IQ145" t="e">
        <f>'All regions'!J3640+"n/&gt;!'dV"</f>
        <v>#VALUE!</v>
      </c>
      <c r="IR145" t="e">
        <f>'All regions'!A3641+"n/&gt;!'dW"</f>
        <v>#VALUE!</v>
      </c>
      <c r="IS145" t="e">
        <f>'All regions'!B3641+"n/&gt;!'dX"</f>
        <v>#VALUE!</v>
      </c>
      <c r="IT145" t="e">
        <f>'All regions'!C3641+"n/&gt;!'dY"</f>
        <v>#VALUE!</v>
      </c>
      <c r="IU145" t="e">
        <f>'All regions'!D3641+"n/&gt;!'dZ"</f>
        <v>#VALUE!</v>
      </c>
      <c r="IV145" t="e">
        <f>'All regions'!E3641+"n/&gt;!'d["</f>
        <v>#VALUE!</v>
      </c>
    </row>
    <row r="146" spans="6:256" x14ac:dyDescent="0.35">
      <c r="F146" t="e">
        <f>'All regions'!F3641+"n/&gt;!'d\"</f>
        <v>#VALUE!</v>
      </c>
      <c r="G146" t="e">
        <f>'All regions'!G3641+"n/&gt;!'d]"</f>
        <v>#VALUE!</v>
      </c>
      <c r="H146" t="e">
        <f>'All regions'!H3641+"n/&gt;!'d^"</f>
        <v>#VALUE!</v>
      </c>
      <c r="I146" t="e">
        <f>'All regions'!I3641+"n/&gt;!'d_"</f>
        <v>#VALUE!</v>
      </c>
      <c r="J146" t="e">
        <f>'All regions'!J3641+"n/&gt;!'d`"</f>
        <v>#VALUE!</v>
      </c>
      <c r="K146" t="e">
        <f>'All regions'!A3642+"n/&gt;!'da"</f>
        <v>#VALUE!</v>
      </c>
      <c r="L146" t="e">
        <f>'All regions'!B3642+"n/&gt;!'db"</f>
        <v>#VALUE!</v>
      </c>
      <c r="M146" t="e">
        <f>'All regions'!C3642+"n/&gt;!'dc"</f>
        <v>#VALUE!</v>
      </c>
      <c r="N146" t="e">
        <f>'All regions'!D3642+"n/&gt;!'dd"</f>
        <v>#VALUE!</v>
      </c>
      <c r="O146" t="e">
        <f>'All regions'!E3642+"n/&gt;!'de"</f>
        <v>#VALUE!</v>
      </c>
      <c r="P146" t="e">
        <f>'All regions'!F3642+"n/&gt;!'df"</f>
        <v>#VALUE!</v>
      </c>
      <c r="Q146" t="e">
        <f>'All regions'!G3642+"n/&gt;!'dg"</f>
        <v>#VALUE!</v>
      </c>
      <c r="R146" t="e">
        <f>'All regions'!H3642+"n/&gt;!'dh"</f>
        <v>#VALUE!</v>
      </c>
      <c r="S146" t="e">
        <f>'All regions'!I3642+"n/&gt;!'di"</f>
        <v>#VALUE!</v>
      </c>
      <c r="T146" t="e">
        <f>'All regions'!J3642+"n/&gt;!'dj"</f>
        <v>#VALUE!</v>
      </c>
      <c r="U146" t="e">
        <f>'All regions'!A3643+"n/&gt;!'dk"</f>
        <v>#VALUE!</v>
      </c>
      <c r="V146" t="e">
        <f>'All regions'!B3643+"n/&gt;!'dl"</f>
        <v>#VALUE!</v>
      </c>
      <c r="W146" t="e">
        <f>'All regions'!C3643+"n/&gt;!'dm"</f>
        <v>#VALUE!</v>
      </c>
      <c r="X146" t="e">
        <f>'All regions'!D3643+"n/&gt;!'dn"</f>
        <v>#VALUE!</v>
      </c>
      <c r="Y146" t="e">
        <f>'All regions'!E3643+"n/&gt;!'do"</f>
        <v>#VALUE!</v>
      </c>
      <c r="Z146" t="e">
        <f>'All regions'!F3643+"n/&gt;!'dp"</f>
        <v>#VALUE!</v>
      </c>
      <c r="AA146" t="e">
        <f>'All regions'!G3643+"n/&gt;!'dq"</f>
        <v>#VALUE!</v>
      </c>
      <c r="AB146" t="e">
        <f>'All regions'!H3643+"n/&gt;!'dr"</f>
        <v>#VALUE!</v>
      </c>
      <c r="AC146" t="e">
        <f>'All regions'!I3643+"n/&gt;!'ds"</f>
        <v>#VALUE!</v>
      </c>
      <c r="AD146" t="e">
        <f>'All regions'!J3643+"n/&gt;!'dt"</f>
        <v>#VALUE!</v>
      </c>
      <c r="AE146" t="e">
        <f>'All regions'!A3644+"n/&gt;!'du"</f>
        <v>#VALUE!</v>
      </c>
      <c r="AF146" t="e">
        <f>'All regions'!B3644+"n/&gt;!'dv"</f>
        <v>#VALUE!</v>
      </c>
      <c r="AG146" t="e">
        <f>'All regions'!C3644+"n/&gt;!'dw"</f>
        <v>#VALUE!</v>
      </c>
      <c r="AH146" t="e">
        <f>'All regions'!D3644+"n/&gt;!'dx"</f>
        <v>#VALUE!</v>
      </c>
      <c r="AI146" t="e">
        <f>'All regions'!E3644+"n/&gt;!'dy"</f>
        <v>#VALUE!</v>
      </c>
      <c r="AJ146" t="e">
        <f>'All regions'!F3644+"n/&gt;!'dz"</f>
        <v>#VALUE!</v>
      </c>
      <c r="AK146" t="e">
        <f>'All regions'!G3644+"n/&gt;!'d{"</f>
        <v>#VALUE!</v>
      </c>
      <c r="AL146" t="e">
        <f>'All regions'!H3644+"n/&gt;!'d|"</f>
        <v>#VALUE!</v>
      </c>
      <c r="AM146" t="e">
        <f>'All regions'!I3644+"n/&gt;!'d}"</f>
        <v>#VALUE!</v>
      </c>
      <c r="AN146" t="e">
        <f>'All regions'!J3644+"n/&gt;!'d~"</f>
        <v>#VALUE!</v>
      </c>
      <c r="AO146" t="e">
        <f>'All regions'!A3645+"n/&gt;!'e#"</f>
        <v>#VALUE!</v>
      </c>
      <c r="AP146" t="e">
        <f>'All regions'!B3645+"n/&gt;!'e$"</f>
        <v>#VALUE!</v>
      </c>
      <c r="AQ146" t="e">
        <f>'All regions'!C3645+"n/&gt;!'e%"</f>
        <v>#VALUE!</v>
      </c>
      <c r="AR146" t="e">
        <f>'All regions'!D3645+"n/&gt;!'e&amp;"</f>
        <v>#VALUE!</v>
      </c>
      <c r="AS146" t="e">
        <f>'All regions'!E3645+"n/&gt;!'e'"</f>
        <v>#VALUE!</v>
      </c>
      <c r="AT146" t="e">
        <f>'All regions'!F3645+"n/&gt;!'e("</f>
        <v>#VALUE!</v>
      </c>
      <c r="AU146" t="e">
        <f>'All regions'!G3645+"n/&gt;!'e)"</f>
        <v>#VALUE!</v>
      </c>
      <c r="AV146" t="e">
        <f>'All regions'!H3645+"n/&gt;!'e."</f>
        <v>#VALUE!</v>
      </c>
      <c r="AW146" t="e">
        <f>'All regions'!I3645+"n/&gt;!'e/"</f>
        <v>#VALUE!</v>
      </c>
      <c r="AX146" t="e">
        <f>'All regions'!J3645+"n/&gt;!'e0"</f>
        <v>#VALUE!</v>
      </c>
      <c r="AY146" t="e">
        <f>'All regions'!A3646+"n/&gt;!'e1"</f>
        <v>#VALUE!</v>
      </c>
      <c r="AZ146" t="e">
        <f>'All regions'!B3646+"n/&gt;!'e2"</f>
        <v>#VALUE!</v>
      </c>
      <c r="BA146" t="e">
        <f>'All regions'!C3646+"n/&gt;!'e3"</f>
        <v>#VALUE!</v>
      </c>
      <c r="BB146" t="e">
        <f>'All regions'!D3646+"n/&gt;!'e4"</f>
        <v>#VALUE!</v>
      </c>
      <c r="BC146" t="e">
        <f>'All regions'!E3646+"n/&gt;!'e5"</f>
        <v>#VALUE!</v>
      </c>
      <c r="BD146" t="e">
        <f>'All regions'!F3646+"n/&gt;!'e6"</f>
        <v>#VALUE!</v>
      </c>
      <c r="BE146" t="e">
        <f>'All regions'!G3646+"n/&gt;!'e7"</f>
        <v>#VALUE!</v>
      </c>
      <c r="BF146" t="e">
        <f>'All regions'!H3646+"n/&gt;!'e8"</f>
        <v>#VALUE!</v>
      </c>
      <c r="BG146" t="e">
        <f>'All regions'!I3646+"n/&gt;!'e9"</f>
        <v>#VALUE!</v>
      </c>
      <c r="BH146" t="e">
        <f>'All regions'!J3646+"n/&gt;!'e:"</f>
        <v>#VALUE!</v>
      </c>
      <c r="BI146" t="e">
        <f>'All regions'!A3647+"n/&gt;!'e;"</f>
        <v>#VALUE!</v>
      </c>
      <c r="BJ146" t="e">
        <f>'All regions'!B3647+"n/&gt;!'e&lt;"</f>
        <v>#VALUE!</v>
      </c>
      <c r="BK146" t="e">
        <f>'All regions'!C3647+"n/&gt;!'e="</f>
        <v>#VALUE!</v>
      </c>
      <c r="BL146" t="e">
        <f>'All regions'!D3647+"n/&gt;!'e&gt;"</f>
        <v>#VALUE!</v>
      </c>
      <c r="BM146" t="e">
        <f>'All regions'!E3647+"n/&gt;!'e?"</f>
        <v>#VALUE!</v>
      </c>
      <c r="BN146" t="e">
        <f>'All regions'!F3647+"n/&gt;!'e@"</f>
        <v>#VALUE!</v>
      </c>
      <c r="BO146" t="e">
        <f>'All regions'!G3647+"n/&gt;!'eA"</f>
        <v>#VALUE!</v>
      </c>
      <c r="BP146" t="e">
        <f>'All regions'!H3647+"n/&gt;!'eB"</f>
        <v>#VALUE!</v>
      </c>
      <c r="BQ146" t="e">
        <f>'All regions'!I3647+"n/&gt;!'eC"</f>
        <v>#VALUE!</v>
      </c>
      <c r="BR146" t="e">
        <f>'All regions'!J3647+"n/&gt;!'eD"</f>
        <v>#VALUE!</v>
      </c>
      <c r="BS146" t="e">
        <f>'All regions'!A3648+"n/&gt;!'eE"</f>
        <v>#VALUE!</v>
      </c>
      <c r="BT146" t="e">
        <f>'All regions'!B3648+"n/&gt;!'eF"</f>
        <v>#VALUE!</v>
      </c>
      <c r="BU146" t="e">
        <f>'All regions'!C3648+"n/&gt;!'eG"</f>
        <v>#VALUE!</v>
      </c>
      <c r="BV146" t="e">
        <f>'All regions'!D3648+"n/&gt;!'eH"</f>
        <v>#VALUE!</v>
      </c>
      <c r="BW146" t="e">
        <f>'All regions'!E3648+"n/&gt;!'eI"</f>
        <v>#VALUE!</v>
      </c>
      <c r="BX146" t="e">
        <f>'All regions'!F3648+"n/&gt;!'eJ"</f>
        <v>#VALUE!</v>
      </c>
      <c r="BY146" t="e">
        <f>'All regions'!G3648+"n/&gt;!'eK"</f>
        <v>#VALUE!</v>
      </c>
      <c r="BZ146" t="e">
        <f>'All regions'!H3648+"n/&gt;!'eL"</f>
        <v>#VALUE!</v>
      </c>
      <c r="CA146" t="e">
        <f>'All regions'!I3648+"n/&gt;!'eM"</f>
        <v>#VALUE!</v>
      </c>
      <c r="CB146" t="e">
        <f>'All regions'!J3648+"n/&gt;!'eN"</f>
        <v>#VALUE!</v>
      </c>
      <c r="CC146" t="e">
        <f>'All regions'!A3649+"n/&gt;!'eO"</f>
        <v>#VALUE!</v>
      </c>
      <c r="CD146" t="e">
        <f>'All regions'!B3649+"n/&gt;!'eP"</f>
        <v>#VALUE!</v>
      </c>
      <c r="CE146" t="e">
        <f>'All regions'!C3649+"n/&gt;!'eQ"</f>
        <v>#VALUE!</v>
      </c>
      <c r="CF146" t="e">
        <f>'All regions'!D3649+"n/&gt;!'eR"</f>
        <v>#VALUE!</v>
      </c>
      <c r="CG146" t="e">
        <f>'All regions'!E3649+"n/&gt;!'eS"</f>
        <v>#VALUE!</v>
      </c>
      <c r="CH146" t="e">
        <f>'All regions'!F3649+"n/&gt;!'eT"</f>
        <v>#VALUE!</v>
      </c>
      <c r="CI146" t="e">
        <f>'All regions'!G3649+"n/&gt;!'eU"</f>
        <v>#VALUE!</v>
      </c>
      <c r="CJ146" t="e">
        <f>'All regions'!H3649+"n/&gt;!'eV"</f>
        <v>#VALUE!</v>
      </c>
      <c r="CK146" t="e">
        <f>'All regions'!I3649+"n/&gt;!'eW"</f>
        <v>#VALUE!</v>
      </c>
      <c r="CL146" t="e">
        <f>'All regions'!J3649+"n/&gt;!'eX"</f>
        <v>#VALUE!</v>
      </c>
      <c r="CM146" t="e">
        <f>'All regions'!A3650+"n/&gt;!'eY"</f>
        <v>#VALUE!</v>
      </c>
      <c r="CN146" t="e">
        <f>'All regions'!B3650+"n/&gt;!'eZ"</f>
        <v>#VALUE!</v>
      </c>
      <c r="CO146" t="e">
        <f>'All regions'!C3650+"n/&gt;!'e["</f>
        <v>#VALUE!</v>
      </c>
      <c r="CP146" t="e">
        <f>'All regions'!D3650+"n/&gt;!'e\"</f>
        <v>#VALUE!</v>
      </c>
      <c r="CQ146" t="e">
        <f>'All regions'!E3650+"n/&gt;!'e]"</f>
        <v>#VALUE!</v>
      </c>
      <c r="CR146" t="e">
        <f>'All regions'!F3650+"n/&gt;!'e^"</f>
        <v>#VALUE!</v>
      </c>
      <c r="CS146" t="e">
        <f>'All regions'!G3650+"n/&gt;!'e_"</f>
        <v>#VALUE!</v>
      </c>
      <c r="CT146" t="e">
        <f>'All regions'!H3650+"n/&gt;!'e`"</f>
        <v>#VALUE!</v>
      </c>
      <c r="CU146" t="e">
        <f>'All regions'!I3650+"n/&gt;!'ea"</f>
        <v>#VALUE!</v>
      </c>
      <c r="CV146" t="e">
        <f>'All regions'!J3650+"n/&gt;!'eb"</f>
        <v>#VALUE!</v>
      </c>
      <c r="CW146" t="e">
        <f>'All regions'!A3651+"n/&gt;!'ec"</f>
        <v>#VALUE!</v>
      </c>
      <c r="CX146" t="e">
        <f>'All regions'!B3651+"n/&gt;!'ed"</f>
        <v>#VALUE!</v>
      </c>
      <c r="CY146" t="e">
        <f>'All regions'!C3651+"n/&gt;!'ee"</f>
        <v>#VALUE!</v>
      </c>
      <c r="CZ146" t="e">
        <f>'All regions'!D3651+"n/&gt;!'ef"</f>
        <v>#VALUE!</v>
      </c>
      <c r="DA146" t="e">
        <f>'All regions'!E3651+"n/&gt;!'eg"</f>
        <v>#VALUE!</v>
      </c>
      <c r="DB146" t="e">
        <f>'All regions'!F3651+"n/&gt;!'eh"</f>
        <v>#VALUE!</v>
      </c>
      <c r="DC146" t="e">
        <f>'All regions'!G3651+"n/&gt;!'ei"</f>
        <v>#VALUE!</v>
      </c>
      <c r="DD146" t="e">
        <f>'All regions'!H3651+"n/&gt;!'ej"</f>
        <v>#VALUE!</v>
      </c>
      <c r="DE146" t="e">
        <f>'All regions'!I3651+"n/&gt;!'ek"</f>
        <v>#VALUE!</v>
      </c>
      <c r="DF146" t="e">
        <f>'All regions'!J3651+"n/&gt;!'el"</f>
        <v>#VALUE!</v>
      </c>
      <c r="DG146" t="e">
        <f>'All regions'!A3652+"n/&gt;!'em"</f>
        <v>#VALUE!</v>
      </c>
      <c r="DH146" t="e">
        <f>'All regions'!B3652+"n/&gt;!'en"</f>
        <v>#VALUE!</v>
      </c>
      <c r="DI146" t="e">
        <f>'All regions'!C3652+"n/&gt;!'eo"</f>
        <v>#VALUE!</v>
      </c>
      <c r="DJ146" t="e">
        <f>'All regions'!D3652+"n/&gt;!'ep"</f>
        <v>#VALUE!</v>
      </c>
      <c r="DK146" t="e">
        <f>'All regions'!E3652+"n/&gt;!'eq"</f>
        <v>#VALUE!</v>
      </c>
      <c r="DL146" t="e">
        <f>'All regions'!F3652+"n/&gt;!'er"</f>
        <v>#VALUE!</v>
      </c>
      <c r="DM146" t="e">
        <f>'All regions'!G3652+"n/&gt;!'es"</f>
        <v>#VALUE!</v>
      </c>
      <c r="DN146" t="e">
        <f>'All regions'!H3652+"n/&gt;!'et"</f>
        <v>#VALUE!</v>
      </c>
      <c r="DO146" t="e">
        <f>'All regions'!I3652+"n/&gt;!'eu"</f>
        <v>#VALUE!</v>
      </c>
      <c r="DP146" t="e">
        <f>'All regions'!J3652+"n/&gt;!'ev"</f>
        <v>#VALUE!</v>
      </c>
      <c r="DQ146" t="e">
        <f>'All regions'!A3653+"n/&gt;!'ew"</f>
        <v>#VALUE!</v>
      </c>
      <c r="DR146" t="e">
        <f>'All regions'!B3653+"n/&gt;!'ex"</f>
        <v>#VALUE!</v>
      </c>
      <c r="DS146" t="e">
        <f>'All regions'!C3653+"n/&gt;!'ey"</f>
        <v>#VALUE!</v>
      </c>
      <c r="DT146" t="e">
        <f>'All regions'!D3653+"n/&gt;!'ez"</f>
        <v>#VALUE!</v>
      </c>
      <c r="DU146" t="e">
        <f>'All regions'!E3653+"n/&gt;!'e{"</f>
        <v>#VALUE!</v>
      </c>
      <c r="DV146" t="e">
        <f>'All regions'!F3653+"n/&gt;!'e|"</f>
        <v>#VALUE!</v>
      </c>
      <c r="DW146" t="e">
        <f>'All regions'!G3653+"n/&gt;!'e}"</f>
        <v>#VALUE!</v>
      </c>
      <c r="DX146" t="e">
        <f>'All regions'!H3653+"n/&gt;!'e~"</f>
        <v>#VALUE!</v>
      </c>
      <c r="DY146" t="e">
        <f>'All regions'!I3653+"n/&gt;!'f#"</f>
        <v>#VALUE!</v>
      </c>
      <c r="DZ146" t="e">
        <f>'All regions'!J3653+"n/&gt;!'f$"</f>
        <v>#VALUE!</v>
      </c>
      <c r="EA146" t="e">
        <f>'All regions'!A3654+"n/&gt;!'f%"</f>
        <v>#VALUE!</v>
      </c>
      <c r="EB146" t="e">
        <f>'All regions'!B3654+"n/&gt;!'f&amp;"</f>
        <v>#VALUE!</v>
      </c>
      <c r="EC146" t="e">
        <f>'All regions'!C3654+"n/&gt;!'f'"</f>
        <v>#VALUE!</v>
      </c>
      <c r="ED146" t="e">
        <f>'All regions'!D3654+"n/&gt;!'f("</f>
        <v>#VALUE!</v>
      </c>
      <c r="EE146" t="e">
        <f>'All regions'!E3654+"n/&gt;!'f)"</f>
        <v>#VALUE!</v>
      </c>
      <c r="EF146" t="e">
        <f>'All regions'!F3654+"n/&gt;!'f."</f>
        <v>#VALUE!</v>
      </c>
      <c r="EG146" t="e">
        <f>'All regions'!G3654+"n/&gt;!'f/"</f>
        <v>#VALUE!</v>
      </c>
      <c r="EH146" t="e">
        <f>'All regions'!H3654+"n/&gt;!'f0"</f>
        <v>#VALUE!</v>
      </c>
      <c r="EI146" t="e">
        <f>'All regions'!I3654+"n/&gt;!'f1"</f>
        <v>#VALUE!</v>
      </c>
      <c r="EJ146" t="e">
        <f>'All regions'!J3654+"n/&gt;!'f2"</f>
        <v>#VALUE!</v>
      </c>
      <c r="EK146" t="e">
        <f>'All regions'!A3655+"n/&gt;!'f3"</f>
        <v>#VALUE!</v>
      </c>
      <c r="EL146" t="e">
        <f>'All regions'!B3655+"n/&gt;!'f4"</f>
        <v>#VALUE!</v>
      </c>
      <c r="EM146" t="e">
        <f>'All regions'!C3655+"n/&gt;!'f5"</f>
        <v>#VALUE!</v>
      </c>
      <c r="EN146" t="e">
        <f>'All regions'!D3655+"n/&gt;!'f6"</f>
        <v>#VALUE!</v>
      </c>
      <c r="EO146" t="e">
        <f>'All regions'!E3655+"n/&gt;!'f7"</f>
        <v>#VALUE!</v>
      </c>
      <c r="EP146" t="e">
        <f>'All regions'!F3655+"n/&gt;!'f8"</f>
        <v>#VALUE!</v>
      </c>
      <c r="EQ146" t="e">
        <f>'All regions'!G3655+"n/&gt;!'f9"</f>
        <v>#VALUE!</v>
      </c>
      <c r="ER146" t="e">
        <f>'All regions'!H3655+"n/&gt;!'f:"</f>
        <v>#VALUE!</v>
      </c>
      <c r="ES146" t="e">
        <f>'All regions'!I3655+"n/&gt;!'f;"</f>
        <v>#VALUE!</v>
      </c>
      <c r="ET146" t="e">
        <f>'All regions'!J3655+"n/&gt;!'f&lt;"</f>
        <v>#VALUE!</v>
      </c>
      <c r="EU146" t="e">
        <f>'All regions'!A3656+"n/&gt;!'f="</f>
        <v>#VALUE!</v>
      </c>
      <c r="EV146" t="e">
        <f>'All regions'!B3656+"n/&gt;!'f&gt;"</f>
        <v>#VALUE!</v>
      </c>
      <c r="EW146" t="e">
        <f>'All regions'!C3656+"n/&gt;!'f?"</f>
        <v>#VALUE!</v>
      </c>
      <c r="EX146" t="e">
        <f>'All regions'!D3656+"n/&gt;!'f@"</f>
        <v>#VALUE!</v>
      </c>
      <c r="EY146" t="e">
        <f>'All regions'!E3656+"n/&gt;!'fA"</f>
        <v>#VALUE!</v>
      </c>
      <c r="EZ146" t="e">
        <f>'All regions'!F3656+"n/&gt;!'fB"</f>
        <v>#VALUE!</v>
      </c>
      <c r="FA146" t="e">
        <f>'All regions'!G3656+"n/&gt;!'fC"</f>
        <v>#VALUE!</v>
      </c>
      <c r="FB146" t="e">
        <f>'All regions'!H3656+"n/&gt;!'fD"</f>
        <v>#VALUE!</v>
      </c>
      <c r="FC146" t="e">
        <f>'All regions'!I3656+"n/&gt;!'fE"</f>
        <v>#VALUE!</v>
      </c>
      <c r="FD146" t="e">
        <f>'All regions'!J3656+"n/&gt;!'fF"</f>
        <v>#VALUE!</v>
      </c>
      <c r="FE146" t="e">
        <f>'All regions'!A3657+"n/&gt;!'fG"</f>
        <v>#VALUE!</v>
      </c>
      <c r="FF146" t="e">
        <f>'All regions'!B3657+"n/&gt;!'fH"</f>
        <v>#VALUE!</v>
      </c>
      <c r="FG146" t="e">
        <f>'All regions'!C3657+"n/&gt;!'fI"</f>
        <v>#VALUE!</v>
      </c>
      <c r="FH146" t="e">
        <f>'All regions'!D3657+"n/&gt;!'fJ"</f>
        <v>#VALUE!</v>
      </c>
      <c r="FI146" t="e">
        <f>'All regions'!E3657+"n/&gt;!'fK"</f>
        <v>#VALUE!</v>
      </c>
      <c r="FJ146" t="e">
        <f>'All regions'!F3657+"n/&gt;!'fL"</f>
        <v>#VALUE!</v>
      </c>
      <c r="FK146" t="e">
        <f>'All regions'!G3657+"n/&gt;!'fM"</f>
        <v>#VALUE!</v>
      </c>
      <c r="FL146" t="e">
        <f>'All regions'!H3657+"n/&gt;!'fN"</f>
        <v>#VALUE!</v>
      </c>
      <c r="FM146" t="e">
        <f>'All regions'!I3657+"n/&gt;!'fO"</f>
        <v>#VALUE!</v>
      </c>
      <c r="FN146" t="e">
        <f>'All regions'!J3657+"n/&gt;!'fP"</f>
        <v>#VALUE!</v>
      </c>
      <c r="FO146" t="e">
        <f>'All regions'!A3658+"n/&gt;!'fQ"</f>
        <v>#VALUE!</v>
      </c>
      <c r="FP146" t="e">
        <f>'All regions'!B3658+"n/&gt;!'fR"</f>
        <v>#VALUE!</v>
      </c>
      <c r="FQ146" t="e">
        <f>'All regions'!C3658+"n/&gt;!'fS"</f>
        <v>#VALUE!</v>
      </c>
      <c r="FR146" t="e">
        <f>'All regions'!D3658+"n/&gt;!'fT"</f>
        <v>#VALUE!</v>
      </c>
      <c r="FS146" t="e">
        <f>'All regions'!E3658+"n/&gt;!'fU"</f>
        <v>#VALUE!</v>
      </c>
      <c r="FT146" t="e">
        <f>'All regions'!F3658+"n/&gt;!'fV"</f>
        <v>#VALUE!</v>
      </c>
      <c r="FU146" t="e">
        <f>'All regions'!G3658+"n/&gt;!'fW"</f>
        <v>#VALUE!</v>
      </c>
      <c r="FV146" t="e">
        <f>'All regions'!H3658+"n/&gt;!'fX"</f>
        <v>#VALUE!</v>
      </c>
      <c r="FW146" t="e">
        <f>'All regions'!I3658+"n/&gt;!'fY"</f>
        <v>#VALUE!</v>
      </c>
      <c r="FX146" t="e">
        <f>'All regions'!J3658+"n/&gt;!'fZ"</f>
        <v>#VALUE!</v>
      </c>
      <c r="FY146" t="e">
        <f>'All regions'!A3659+"n/&gt;!'f["</f>
        <v>#VALUE!</v>
      </c>
      <c r="FZ146" t="e">
        <f>'All regions'!B3659+"n/&gt;!'f\"</f>
        <v>#VALUE!</v>
      </c>
      <c r="GA146" t="e">
        <f>'All regions'!C3659+"n/&gt;!'f]"</f>
        <v>#VALUE!</v>
      </c>
      <c r="GB146" t="e">
        <f>'All regions'!D3659+"n/&gt;!'f^"</f>
        <v>#VALUE!</v>
      </c>
      <c r="GC146" t="e">
        <f>'All regions'!E3659+"n/&gt;!'f_"</f>
        <v>#VALUE!</v>
      </c>
      <c r="GD146" t="e">
        <f>'All regions'!F3659+"n/&gt;!'f`"</f>
        <v>#VALUE!</v>
      </c>
      <c r="GE146" t="e">
        <f>'All regions'!G3659+"n/&gt;!'fa"</f>
        <v>#VALUE!</v>
      </c>
      <c r="GF146" t="e">
        <f>'All regions'!H3659+"n/&gt;!'fb"</f>
        <v>#VALUE!</v>
      </c>
      <c r="GG146" t="e">
        <f>'All regions'!I3659+"n/&gt;!'fc"</f>
        <v>#VALUE!</v>
      </c>
      <c r="GH146" t="e">
        <f>'All regions'!J3659+"n/&gt;!'fd"</f>
        <v>#VALUE!</v>
      </c>
      <c r="GI146" t="e">
        <f>'All regions'!A3660+"n/&gt;!'fe"</f>
        <v>#VALUE!</v>
      </c>
      <c r="GJ146" t="e">
        <f>'All regions'!B3660+"n/&gt;!'ff"</f>
        <v>#VALUE!</v>
      </c>
      <c r="GK146" t="e">
        <f>'All regions'!C3660+"n/&gt;!'fg"</f>
        <v>#VALUE!</v>
      </c>
      <c r="GL146" t="e">
        <f>'All regions'!D3660+"n/&gt;!'fh"</f>
        <v>#VALUE!</v>
      </c>
      <c r="GM146" t="e">
        <f>'All regions'!E3660+"n/&gt;!'fi"</f>
        <v>#VALUE!</v>
      </c>
      <c r="GN146" t="e">
        <f>'All regions'!F3660+"n/&gt;!'fj"</f>
        <v>#VALUE!</v>
      </c>
      <c r="GO146" t="e">
        <f>'All regions'!G3660+"n/&gt;!'fk"</f>
        <v>#VALUE!</v>
      </c>
      <c r="GP146" t="e">
        <f>'All regions'!H3660+"n/&gt;!'fl"</f>
        <v>#VALUE!</v>
      </c>
      <c r="GQ146" t="e">
        <f>'All regions'!I3660+"n/&gt;!'fm"</f>
        <v>#VALUE!</v>
      </c>
      <c r="GR146" t="e">
        <f>'All regions'!J3660+"n/&gt;!'fn"</f>
        <v>#VALUE!</v>
      </c>
      <c r="GS146" t="e">
        <f>'All regions'!A3661+"n/&gt;!'fo"</f>
        <v>#VALUE!</v>
      </c>
      <c r="GT146" t="e">
        <f>'All regions'!B3661+"n/&gt;!'fp"</f>
        <v>#VALUE!</v>
      </c>
      <c r="GU146" t="e">
        <f>'All regions'!C3661+"n/&gt;!'fq"</f>
        <v>#VALUE!</v>
      </c>
      <c r="GV146" t="e">
        <f>'All regions'!D3661+"n/&gt;!'fr"</f>
        <v>#VALUE!</v>
      </c>
      <c r="GW146" t="e">
        <f>'All regions'!E3661+"n/&gt;!'fs"</f>
        <v>#VALUE!</v>
      </c>
      <c r="GX146" t="e">
        <f>'All regions'!F3661+"n/&gt;!'ft"</f>
        <v>#VALUE!</v>
      </c>
      <c r="GY146" t="e">
        <f>'All regions'!G3661+"n/&gt;!'fu"</f>
        <v>#VALUE!</v>
      </c>
      <c r="GZ146" t="e">
        <f>'All regions'!H3661+"n/&gt;!'fv"</f>
        <v>#VALUE!</v>
      </c>
      <c r="HA146" t="e">
        <f>'All regions'!I3661+"n/&gt;!'fw"</f>
        <v>#VALUE!</v>
      </c>
      <c r="HB146" t="e">
        <f>'All regions'!J3661+"n/&gt;!'fx"</f>
        <v>#VALUE!</v>
      </c>
      <c r="HC146" t="e">
        <f>'All regions'!A3662+"n/&gt;!'fy"</f>
        <v>#VALUE!</v>
      </c>
      <c r="HD146" t="e">
        <f>'All regions'!B3662+"n/&gt;!'fz"</f>
        <v>#VALUE!</v>
      </c>
      <c r="HE146" t="e">
        <f>'All regions'!C3662+"n/&gt;!'f{"</f>
        <v>#VALUE!</v>
      </c>
      <c r="HF146" t="e">
        <f>'All regions'!D3662+"n/&gt;!'f|"</f>
        <v>#VALUE!</v>
      </c>
      <c r="HG146" t="e">
        <f>'All regions'!E3662+"n/&gt;!'f}"</f>
        <v>#VALUE!</v>
      </c>
      <c r="HH146" t="e">
        <f>'All regions'!F3662+"n/&gt;!'f~"</f>
        <v>#VALUE!</v>
      </c>
      <c r="HI146" t="e">
        <f>'All regions'!G3662+"n/&gt;!'g#"</f>
        <v>#VALUE!</v>
      </c>
      <c r="HJ146" t="e">
        <f>'All regions'!H3662+"n/&gt;!'g$"</f>
        <v>#VALUE!</v>
      </c>
      <c r="HK146" t="e">
        <f>'All regions'!I3662+"n/&gt;!'g%"</f>
        <v>#VALUE!</v>
      </c>
      <c r="HL146" t="e">
        <f>'All regions'!J3662+"n/&gt;!'g&amp;"</f>
        <v>#VALUE!</v>
      </c>
      <c r="HM146" t="e">
        <f>'All regions'!A3663+"n/&gt;!'g'"</f>
        <v>#VALUE!</v>
      </c>
      <c r="HN146" t="e">
        <f>'All regions'!B3663+"n/&gt;!'g("</f>
        <v>#VALUE!</v>
      </c>
      <c r="HO146" t="e">
        <f>'All regions'!C3663+"n/&gt;!'g)"</f>
        <v>#VALUE!</v>
      </c>
      <c r="HP146" t="e">
        <f>'All regions'!D3663+"n/&gt;!'g."</f>
        <v>#VALUE!</v>
      </c>
      <c r="HQ146" t="e">
        <f>'All regions'!E3663+"n/&gt;!'g/"</f>
        <v>#VALUE!</v>
      </c>
      <c r="HR146" t="e">
        <f>'All regions'!F3663+"n/&gt;!'g0"</f>
        <v>#VALUE!</v>
      </c>
      <c r="HS146" t="e">
        <f>'All regions'!G3663+"n/&gt;!'g1"</f>
        <v>#VALUE!</v>
      </c>
      <c r="HT146" t="e">
        <f>'All regions'!H3663+"n/&gt;!'g2"</f>
        <v>#VALUE!</v>
      </c>
      <c r="HU146" t="e">
        <f>'All regions'!I3663+"n/&gt;!'g3"</f>
        <v>#VALUE!</v>
      </c>
      <c r="HV146" t="e">
        <f>'All regions'!J3663+"n/&gt;!'g4"</f>
        <v>#VALUE!</v>
      </c>
      <c r="HW146" t="e">
        <f>'All regions'!A3664+"n/&gt;!'g5"</f>
        <v>#VALUE!</v>
      </c>
      <c r="HX146" t="e">
        <f>'All regions'!B3664+"n/&gt;!'g6"</f>
        <v>#VALUE!</v>
      </c>
      <c r="HY146" t="e">
        <f>'All regions'!C3664+"n/&gt;!'g7"</f>
        <v>#VALUE!</v>
      </c>
      <c r="HZ146" t="e">
        <f>'All regions'!D3664+"n/&gt;!'g8"</f>
        <v>#VALUE!</v>
      </c>
      <c r="IA146" t="e">
        <f>'All regions'!E3664+"n/&gt;!'g9"</f>
        <v>#VALUE!</v>
      </c>
      <c r="IB146" t="e">
        <f>'All regions'!F3664+"n/&gt;!'g:"</f>
        <v>#VALUE!</v>
      </c>
      <c r="IC146" t="e">
        <f>'All regions'!G3664+"n/&gt;!'g;"</f>
        <v>#VALUE!</v>
      </c>
      <c r="ID146" t="e">
        <f>'All regions'!H3664+"n/&gt;!'g&lt;"</f>
        <v>#VALUE!</v>
      </c>
      <c r="IE146" t="e">
        <f>'All regions'!I3664+"n/&gt;!'g="</f>
        <v>#VALUE!</v>
      </c>
      <c r="IF146" t="e">
        <f>'All regions'!J3664+"n/&gt;!'g&gt;"</f>
        <v>#VALUE!</v>
      </c>
      <c r="IG146" t="e">
        <f>'All regions'!A3665+"n/&gt;!'g?"</f>
        <v>#VALUE!</v>
      </c>
      <c r="IH146" t="e">
        <f>'All regions'!B3665+"n/&gt;!'g@"</f>
        <v>#VALUE!</v>
      </c>
      <c r="II146" t="e">
        <f>'All regions'!C3665+"n/&gt;!'gA"</f>
        <v>#VALUE!</v>
      </c>
      <c r="IJ146" t="e">
        <f>'All regions'!D3665+"n/&gt;!'gB"</f>
        <v>#VALUE!</v>
      </c>
      <c r="IK146" t="e">
        <f>'All regions'!E3665+"n/&gt;!'gC"</f>
        <v>#VALUE!</v>
      </c>
      <c r="IL146" t="e">
        <f>'All regions'!F3665+"n/&gt;!'gD"</f>
        <v>#VALUE!</v>
      </c>
      <c r="IM146" t="e">
        <f>'All regions'!G3665+"n/&gt;!'gE"</f>
        <v>#VALUE!</v>
      </c>
      <c r="IN146" t="e">
        <f>'All regions'!H3665+"n/&gt;!'gF"</f>
        <v>#VALUE!</v>
      </c>
      <c r="IO146" t="e">
        <f>'All regions'!I3665+"n/&gt;!'gG"</f>
        <v>#VALUE!</v>
      </c>
      <c r="IP146" t="e">
        <f>'All regions'!J3665+"n/&gt;!'gH"</f>
        <v>#VALUE!</v>
      </c>
      <c r="IQ146" t="e">
        <f>'All regions'!A3666+"n/&gt;!'gI"</f>
        <v>#VALUE!</v>
      </c>
      <c r="IR146" t="e">
        <f>'All regions'!B3666+"n/&gt;!'gJ"</f>
        <v>#VALUE!</v>
      </c>
      <c r="IS146" t="e">
        <f>'All regions'!C3666+"n/&gt;!'gK"</f>
        <v>#VALUE!</v>
      </c>
      <c r="IT146" t="e">
        <f>'All regions'!D3666+"n/&gt;!'gL"</f>
        <v>#VALUE!</v>
      </c>
      <c r="IU146" t="e">
        <f>'All regions'!E3666+"n/&gt;!'gM"</f>
        <v>#VALUE!</v>
      </c>
      <c r="IV146" t="e">
        <f>'All regions'!F3666+"n/&gt;!'gN"</f>
        <v>#VALUE!</v>
      </c>
    </row>
    <row r="147" spans="6:256" x14ac:dyDescent="0.35">
      <c r="F147" t="e">
        <f>'All regions'!G3666+"n/&gt;!'gO"</f>
        <v>#VALUE!</v>
      </c>
      <c r="G147" t="e">
        <f>'All regions'!H3666+"n/&gt;!'gP"</f>
        <v>#VALUE!</v>
      </c>
      <c r="H147" t="e">
        <f>'All regions'!I3666+"n/&gt;!'gQ"</f>
        <v>#VALUE!</v>
      </c>
      <c r="I147" t="e">
        <f>'All regions'!J3666+"n/&gt;!'gR"</f>
        <v>#VALUE!</v>
      </c>
      <c r="J147" t="e">
        <f>'All regions'!A3667+"n/&gt;!'gS"</f>
        <v>#VALUE!</v>
      </c>
      <c r="K147" t="e">
        <f>'All regions'!B3667+"n/&gt;!'gT"</f>
        <v>#VALUE!</v>
      </c>
      <c r="L147" t="e">
        <f>'All regions'!C3667+"n/&gt;!'gU"</f>
        <v>#VALUE!</v>
      </c>
      <c r="M147" t="e">
        <f>'All regions'!D3667+"n/&gt;!'gV"</f>
        <v>#VALUE!</v>
      </c>
      <c r="N147" t="e">
        <f>'All regions'!E3667+"n/&gt;!'gW"</f>
        <v>#VALUE!</v>
      </c>
      <c r="O147" t="e">
        <f>'All regions'!F3667+"n/&gt;!'gX"</f>
        <v>#VALUE!</v>
      </c>
      <c r="P147" t="e">
        <f>'All regions'!G3667+"n/&gt;!'gY"</f>
        <v>#VALUE!</v>
      </c>
      <c r="Q147" t="e">
        <f>'All regions'!H3667+"n/&gt;!'gZ"</f>
        <v>#VALUE!</v>
      </c>
      <c r="R147" t="e">
        <f>'All regions'!I3667+"n/&gt;!'g["</f>
        <v>#VALUE!</v>
      </c>
      <c r="S147" t="e">
        <f>'All regions'!J3667+"n/&gt;!'g\"</f>
        <v>#VALUE!</v>
      </c>
      <c r="T147" t="e">
        <f>'All regions'!A3668+"n/&gt;!'g]"</f>
        <v>#VALUE!</v>
      </c>
      <c r="U147" t="e">
        <f>'All regions'!B3668+"n/&gt;!'g^"</f>
        <v>#VALUE!</v>
      </c>
      <c r="V147" t="e">
        <f>'All regions'!C3668+"n/&gt;!'g_"</f>
        <v>#VALUE!</v>
      </c>
      <c r="W147" t="e">
        <f>'All regions'!D3668+"n/&gt;!'g`"</f>
        <v>#VALUE!</v>
      </c>
      <c r="X147" t="e">
        <f>'All regions'!E3668+"n/&gt;!'ga"</f>
        <v>#VALUE!</v>
      </c>
      <c r="Y147" t="e">
        <f>'All regions'!F3668+"n/&gt;!'gb"</f>
        <v>#VALUE!</v>
      </c>
      <c r="Z147" t="e">
        <f>'All regions'!G3668+"n/&gt;!'gc"</f>
        <v>#VALUE!</v>
      </c>
      <c r="AA147" t="e">
        <f>'All regions'!H3668+"n/&gt;!'gd"</f>
        <v>#VALUE!</v>
      </c>
      <c r="AB147" t="e">
        <f>'All regions'!I3668+"n/&gt;!'ge"</f>
        <v>#VALUE!</v>
      </c>
      <c r="AC147" t="e">
        <f>'All regions'!J3668+"n/&gt;!'gf"</f>
        <v>#VALUE!</v>
      </c>
      <c r="AD147" t="e">
        <f>'All regions'!A3669+"n/&gt;!'gg"</f>
        <v>#VALUE!</v>
      </c>
      <c r="AE147" t="e">
        <f>'All regions'!B3669+"n/&gt;!'gh"</f>
        <v>#VALUE!</v>
      </c>
      <c r="AF147" t="e">
        <f>'All regions'!C3669+"n/&gt;!'gi"</f>
        <v>#VALUE!</v>
      </c>
      <c r="AG147" t="e">
        <f>'All regions'!D3669+"n/&gt;!'gj"</f>
        <v>#VALUE!</v>
      </c>
      <c r="AH147" t="e">
        <f>'All regions'!E3669+"n/&gt;!'gk"</f>
        <v>#VALUE!</v>
      </c>
      <c r="AI147" t="e">
        <f>'All regions'!F3669+"n/&gt;!'gl"</f>
        <v>#VALUE!</v>
      </c>
      <c r="AJ147" t="e">
        <f>'All regions'!G3669+"n/&gt;!'gm"</f>
        <v>#VALUE!</v>
      </c>
      <c r="AK147" t="e">
        <f>'All regions'!H3669+"n/&gt;!'gn"</f>
        <v>#VALUE!</v>
      </c>
      <c r="AL147" t="e">
        <f>'All regions'!I3669+"n/&gt;!'go"</f>
        <v>#VALUE!</v>
      </c>
      <c r="AM147" t="e">
        <f>'All regions'!J3669+"n/&gt;!'gp"</f>
        <v>#VALUE!</v>
      </c>
      <c r="AN147" t="e">
        <f>'All regions'!A3670+"n/&gt;!'gq"</f>
        <v>#VALUE!</v>
      </c>
      <c r="AO147" t="e">
        <f>'All regions'!B3670+"n/&gt;!'gr"</f>
        <v>#VALUE!</v>
      </c>
      <c r="AP147" t="e">
        <f>'All regions'!C3670+"n/&gt;!'gs"</f>
        <v>#VALUE!</v>
      </c>
      <c r="AQ147" t="e">
        <f>'All regions'!D3670+"n/&gt;!'gt"</f>
        <v>#VALUE!</v>
      </c>
      <c r="AR147" t="e">
        <f>'All regions'!E3670+"n/&gt;!'gu"</f>
        <v>#VALUE!</v>
      </c>
      <c r="AS147" t="e">
        <f>'All regions'!F3670+"n/&gt;!'gv"</f>
        <v>#VALUE!</v>
      </c>
      <c r="AT147" t="e">
        <f>'All regions'!G3670+"n/&gt;!'gw"</f>
        <v>#VALUE!</v>
      </c>
      <c r="AU147" t="e">
        <f>'All regions'!H3670+"n/&gt;!'gx"</f>
        <v>#VALUE!</v>
      </c>
      <c r="AV147" t="e">
        <f>'All regions'!I3670+"n/&gt;!'gy"</f>
        <v>#VALUE!</v>
      </c>
      <c r="AW147" t="e">
        <f>'All regions'!J3670+"n/&gt;!'gz"</f>
        <v>#VALUE!</v>
      </c>
      <c r="AX147" t="e">
        <f>'All regions'!A3671+"n/&gt;!'g{"</f>
        <v>#VALUE!</v>
      </c>
      <c r="AY147" t="e">
        <f>'All regions'!B3671+"n/&gt;!'g|"</f>
        <v>#VALUE!</v>
      </c>
      <c r="AZ147" t="e">
        <f>'All regions'!C3671+"n/&gt;!'g}"</f>
        <v>#VALUE!</v>
      </c>
      <c r="BA147" t="e">
        <f>'All regions'!D3671+"n/&gt;!'g~"</f>
        <v>#VALUE!</v>
      </c>
      <c r="BB147" t="e">
        <f>'All regions'!E3671+"n/&gt;!'h#"</f>
        <v>#VALUE!</v>
      </c>
      <c r="BC147" t="e">
        <f>'All regions'!F3671+"n/&gt;!'h$"</f>
        <v>#VALUE!</v>
      </c>
      <c r="BD147" t="e">
        <f>'All regions'!G3671+"n/&gt;!'h%"</f>
        <v>#VALUE!</v>
      </c>
      <c r="BE147" t="e">
        <f>'All regions'!H3671+"n/&gt;!'h&amp;"</f>
        <v>#VALUE!</v>
      </c>
      <c r="BF147" t="e">
        <f>'All regions'!I3671+"n/&gt;!'h'"</f>
        <v>#VALUE!</v>
      </c>
      <c r="BG147" t="e">
        <f>'All regions'!J3671+"n/&gt;!'h("</f>
        <v>#VALUE!</v>
      </c>
      <c r="BH147" t="e">
        <f>'All regions'!A3672+"n/&gt;!'h)"</f>
        <v>#VALUE!</v>
      </c>
      <c r="BI147" t="e">
        <f>'All regions'!B3672+"n/&gt;!'h."</f>
        <v>#VALUE!</v>
      </c>
      <c r="BJ147" t="e">
        <f>'All regions'!C3672+"n/&gt;!'h/"</f>
        <v>#VALUE!</v>
      </c>
      <c r="BK147" t="e">
        <f>'All regions'!D3672+"n/&gt;!'h0"</f>
        <v>#VALUE!</v>
      </c>
      <c r="BL147" t="e">
        <f>'All regions'!E3672+"n/&gt;!'h1"</f>
        <v>#VALUE!</v>
      </c>
      <c r="BM147" t="e">
        <f>'All regions'!F3672+"n/&gt;!'h2"</f>
        <v>#VALUE!</v>
      </c>
      <c r="BN147" t="e">
        <f>'All regions'!G3672+"n/&gt;!'h3"</f>
        <v>#VALUE!</v>
      </c>
      <c r="BO147" t="e">
        <f>'All regions'!H3672+"n/&gt;!'h4"</f>
        <v>#VALUE!</v>
      </c>
      <c r="BP147" t="e">
        <f>'All regions'!I3672+"n/&gt;!'h5"</f>
        <v>#VALUE!</v>
      </c>
      <c r="BQ147" t="e">
        <f>'All regions'!J3672+"n/&gt;!'h6"</f>
        <v>#VALUE!</v>
      </c>
      <c r="BR147" t="e">
        <f>'All regions'!A3673+"n/&gt;!'h7"</f>
        <v>#VALUE!</v>
      </c>
      <c r="BS147" t="e">
        <f>'All regions'!B3673+"n/&gt;!'h8"</f>
        <v>#VALUE!</v>
      </c>
      <c r="BT147" t="e">
        <f>'All regions'!C3673+"n/&gt;!'h9"</f>
        <v>#VALUE!</v>
      </c>
      <c r="BU147" t="e">
        <f>'All regions'!D3673+"n/&gt;!'h:"</f>
        <v>#VALUE!</v>
      </c>
      <c r="BV147" t="e">
        <f>'All regions'!E3673+"n/&gt;!'h;"</f>
        <v>#VALUE!</v>
      </c>
      <c r="BW147" t="e">
        <f>'All regions'!F3673+"n/&gt;!'h&lt;"</f>
        <v>#VALUE!</v>
      </c>
      <c r="BX147" t="e">
        <f>'All regions'!G3673+"n/&gt;!'h="</f>
        <v>#VALUE!</v>
      </c>
      <c r="BY147" t="e">
        <f>'All regions'!H3673+"n/&gt;!'h&gt;"</f>
        <v>#VALUE!</v>
      </c>
      <c r="BZ147" t="e">
        <f>'All regions'!I3673+"n/&gt;!'h?"</f>
        <v>#VALUE!</v>
      </c>
      <c r="CA147" t="e">
        <f>'All regions'!J3673+"n/&gt;!'h@"</f>
        <v>#VALUE!</v>
      </c>
      <c r="CB147" t="e">
        <f>'All regions'!A3674+"n/&gt;!'hA"</f>
        <v>#VALUE!</v>
      </c>
      <c r="CC147" t="e">
        <f>'All regions'!B3674+"n/&gt;!'hB"</f>
        <v>#VALUE!</v>
      </c>
      <c r="CD147" t="e">
        <f>'All regions'!C3674+"n/&gt;!'hC"</f>
        <v>#VALUE!</v>
      </c>
      <c r="CE147" t="e">
        <f>'All regions'!D3674+"n/&gt;!'hD"</f>
        <v>#VALUE!</v>
      </c>
      <c r="CF147" t="e">
        <f>'All regions'!E3674+"n/&gt;!'hE"</f>
        <v>#VALUE!</v>
      </c>
      <c r="CG147" t="e">
        <f>'All regions'!F3674+"n/&gt;!'hF"</f>
        <v>#VALUE!</v>
      </c>
      <c r="CH147" t="e">
        <f>'All regions'!G3674+"n/&gt;!'hG"</f>
        <v>#VALUE!</v>
      </c>
      <c r="CI147" t="e">
        <f>'All regions'!H3674+"n/&gt;!'hH"</f>
        <v>#VALUE!</v>
      </c>
      <c r="CJ147" t="e">
        <f>'All regions'!I3674+"n/&gt;!'hI"</f>
        <v>#VALUE!</v>
      </c>
      <c r="CK147" t="e">
        <f>'All regions'!J3674+"n/&gt;!'hJ"</f>
        <v>#VALUE!</v>
      </c>
      <c r="CL147" t="e">
        <f>'All regions'!A3675+"n/&gt;!'hK"</f>
        <v>#VALUE!</v>
      </c>
      <c r="CM147" t="e">
        <f>'All regions'!B3675+"n/&gt;!'hL"</f>
        <v>#VALUE!</v>
      </c>
      <c r="CN147" t="e">
        <f>'All regions'!C3675+"n/&gt;!'hM"</f>
        <v>#VALUE!</v>
      </c>
      <c r="CO147" t="e">
        <f>'All regions'!D3675+"n/&gt;!'hN"</f>
        <v>#VALUE!</v>
      </c>
      <c r="CP147" t="e">
        <f>'All regions'!E3675+"n/&gt;!'hO"</f>
        <v>#VALUE!</v>
      </c>
      <c r="CQ147" t="e">
        <f>'All regions'!F3675+"n/&gt;!'hP"</f>
        <v>#VALUE!</v>
      </c>
      <c r="CR147" t="e">
        <f>'All regions'!G3675+"n/&gt;!'hQ"</f>
        <v>#VALUE!</v>
      </c>
      <c r="CS147" t="e">
        <f>'All regions'!H3675+"n/&gt;!'hR"</f>
        <v>#VALUE!</v>
      </c>
      <c r="CT147" t="e">
        <f>'All regions'!I3675+"n/&gt;!'hS"</f>
        <v>#VALUE!</v>
      </c>
      <c r="CU147" t="e">
        <f>'All regions'!J3675+"n/&gt;!'hT"</f>
        <v>#VALUE!</v>
      </c>
      <c r="CV147" t="e">
        <f>'All regions'!A3676+"n/&gt;!'hU"</f>
        <v>#VALUE!</v>
      </c>
      <c r="CW147" t="e">
        <f>'All regions'!B3676+"n/&gt;!'hV"</f>
        <v>#VALUE!</v>
      </c>
      <c r="CX147" t="e">
        <f>'All regions'!C3676+"n/&gt;!'hW"</f>
        <v>#VALUE!</v>
      </c>
      <c r="CY147" t="e">
        <f>'All regions'!D3676+"n/&gt;!'hX"</f>
        <v>#VALUE!</v>
      </c>
      <c r="CZ147" t="e">
        <f>'All regions'!E3676+"n/&gt;!'hY"</f>
        <v>#VALUE!</v>
      </c>
      <c r="DA147" t="e">
        <f>'All regions'!F3676+"n/&gt;!'hZ"</f>
        <v>#VALUE!</v>
      </c>
      <c r="DB147" t="e">
        <f>'All regions'!G3676+"n/&gt;!'h["</f>
        <v>#VALUE!</v>
      </c>
      <c r="DC147" t="e">
        <f>'All regions'!H3676+"n/&gt;!'h\"</f>
        <v>#VALUE!</v>
      </c>
      <c r="DD147" t="e">
        <f>'All regions'!I3676+"n/&gt;!'h]"</f>
        <v>#VALUE!</v>
      </c>
      <c r="DE147" t="e">
        <f>'All regions'!J3676+"n/&gt;!'h^"</f>
        <v>#VALUE!</v>
      </c>
      <c r="DF147" t="e">
        <f>'All regions'!A3677+"n/&gt;!'h_"</f>
        <v>#VALUE!</v>
      </c>
      <c r="DG147" t="e">
        <f>'All regions'!B3677+"n/&gt;!'h`"</f>
        <v>#VALUE!</v>
      </c>
      <c r="DH147" t="e">
        <f>'All regions'!C3677+"n/&gt;!'ha"</f>
        <v>#VALUE!</v>
      </c>
      <c r="DI147" t="e">
        <f>'All regions'!D3677+"n/&gt;!'hb"</f>
        <v>#VALUE!</v>
      </c>
      <c r="DJ147" t="e">
        <f>'All regions'!E3677+"n/&gt;!'hc"</f>
        <v>#VALUE!</v>
      </c>
      <c r="DK147" t="e">
        <f>'All regions'!F3677+"n/&gt;!'hd"</f>
        <v>#VALUE!</v>
      </c>
      <c r="DL147" t="e">
        <f>'All regions'!G3677+"n/&gt;!'he"</f>
        <v>#VALUE!</v>
      </c>
      <c r="DM147" t="e">
        <f>'All regions'!H3677+"n/&gt;!'hf"</f>
        <v>#VALUE!</v>
      </c>
      <c r="DN147" t="e">
        <f>'All regions'!I3677+"n/&gt;!'hg"</f>
        <v>#VALUE!</v>
      </c>
      <c r="DO147" t="e">
        <f>'All regions'!J3677+"n/&gt;!'hh"</f>
        <v>#VALUE!</v>
      </c>
      <c r="DP147" t="e">
        <f>'All regions'!A3678+"n/&gt;!'hi"</f>
        <v>#VALUE!</v>
      </c>
      <c r="DQ147" t="e">
        <f>'All regions'!B3678+"n/&gt;!'hj"</f>
        <v>#VALUE!</v>
      </c>
      <c r="DR147" t="e">
        <f>'All regions'!C3678+"n/&gt;!'hk"</f>
        <v>#VALUE!</v>
      </c>
      <c r="DS147" t="e">
        <f>'All regions'!D3678+"n/&gt;!'hl"</f>
        <v>#VALUE!</v>
      </c>
      <c r="DT147" t="e">
        <f>'All regions'!E3678+"n/&gt;!'hm"</f>
        <v>#VALUE!</v>
      </c>
      <c r="DU147" t="e">
        <f>'All regions'!F3678+"n/&gt;!'hn"</f>
        <v>#VALUE!</v>
      </c>
      <c r="DV147" t="e">
        <f>'All regions'!G3678+"n/&gt;!'ho"</f>
        <v>#VALUE!</v>
      </c>
      <c r="DW147" t="e">
        <f>'All regions'!H3678+"n/&gt;!'hp"</f>
        <v>#VALUE!</v>
      </c>
      <c r="DX147" t="e">
        <f>'All regions'!I3678+"n/&gt;!'hq"</f>
        <v>#VALUE!</v>
      </c>
      <c r="DY147" t="e">
        <f>'All regions'!J3678+"n/&gt;!'hr"</f>
        <v>#VALUE!</v>
      </c>
      <c r="DZ147" t="e">
        <f>'All regions'!A3679+"n/&gt;!'hs"</f>
        <v>#VALUE!</v>
      </c>
      <c r="EA147" t="e">
        <f>'All regions'!B3679+"n/&gt;!'ht"</f>
        <v>#VALUE!</v>
      </c>
      <c r="EB147" t="e">
        <f>'All regions'!C3679+"n/&gt;!'hu"</f>
        <v>#VALUE!</v>
      </c>
      <c r="EC147" t="e">
        <f>'All regions'!D3679+"n/&gt;!'hv"</f>
        <v>#VALUE!</v>
      </c>
      <c r="ED147" t="e">
        <f>'All regions'!E3679+"n/&gt;!'hw"</f>
        <v>#VALUE!</v>
      </c>
      <c r="EE147" t="e">
        <f>'All regions'!F3679+"n/&gt;!'hx"</f>
        <v>#VALUE!</v>
      </c>
      <c r="EF147" t="e">
        <f>'All regions'!G3679+"n/&gt;!'hy"</f>
        <v>#VALUE!</v>
      </c>
      <c r="EG147" t="e">
        <f>'All regions'!H3679+"n/&gt;!'hz"</f>
        <v>#VALUE!</v>
      </c>
      <c r="EH147" t="e">
        <f>'All regions'!I3679+"n/&gt;!'h{"</f>
        <v>#VALUE!</v>
      </c>
      <c r="EI147" t="e">
        <f>'All regions'!J3679+"n/&gt;!'h|"</f>
        <v>#VALUE!</v>
      </c>
      <c r="EJ147" t="e">
        <f>'All regions'!A3680+"n/&gt;!'h}"</f>
        <v>#VALUE!</v>
      </c>
      <c r="EK147" t="e">
        <f>'All regions'!B3680+"n/&gt;!'h~"</f>
        <v>#VALUE!</v>
      </c>
      <c r="EL147" t="e">
        <f>'All regions'!C3680+"n/&gt;!'i#"</f>
        <v>#VALUE!</v>
      </c>
      <c r="EM147" t="e">
        <f>'All regions'!D3680+"n/&gt;!'i$"</f>
        <v>#VALUE!</v>
      </c>
      <c r="EN147" t="e">
        <f>'All regions'!E3680+"n/&gt;!'i%"</f>
        <v>#VALUE!</v>
      </c>
      <c r="EO147" t="e">
        <f>'All regions'!F3680+"n/&gt;!'i&amp;"</f>
        <v>#VALUE!</v>
      </c>
      <c r="EP147" t="e">
        <f>'All regions'!G3680+"n/&gt;!'i'"</f>
        <v>#VALUE!</v>
      </c>
      <c r="EQ147" t="e">
        <f>'All regions'!H3680+"n/&gt;!'i("</f>
        <v>#VALUE!</v>
      </c>
      <c r="ER147" t="e">
        <f>'All regions'!I3680+"n/&gt;!'i)"</f>
        <v>#VALUE!</v>
      </c>
      <c r="ES147" t="e">
        <f>'All regions'!J3680+"n/&gt;!'i."</f>
        <v>#VALUE!</v>
      </c>
      <c r="ET147" t="e">
        <f>'All regions'!A3681+"n/&gt;!'i/"</f>
        <v>#VALUE!</v>
      </c>
      <c r="EU147" t="e">
        <f>'All regions'!B3681+"n/&gt;!'i0"</f>
        <v>#VALUE!</v>
      </c>
      <c r="EV147" t="e">
        <f>'All regions'!C3681+"n/&gt;!'i1"</f>
        <v>#VALUE!</v>
      </c>
      <c r="EW147" t="e">
        <f>'All regions'!D3681+"n/&gt;!'i2"</f>
        <v>#VALUE!</v>
      </c>
      <c r="EX147" t="e">
        <f>'All regions'!E3681+"n/&gt;!'i3"</f>
        <v>#VALUE!</v>
      </c>
      <c r="EY147" t="e">
        <f>'All regions'!F3681+"n/&gt;!'i4"</f>
        <v>#VALUE!</v>
      </c>
      <c r="EZ147" t="e">
        <f>'All regions'!G3681+"n/&gt;!'i5"</f>
        <v>#VALUE!</v>
      </c>
      <c r="FA147" t="e">
        <f>'All regions'!H3681+"n/&gt;!'i6"</f>
        <v>#VALUE!</v>
      </c>
      <c r="FB147" t="e">
        <f>'All regions'!I3681+"n/&gt;!'i7"</f>
        <v>#VALUE!</v>
      </c>
      <c r="FC147" t="e">
        <f>'All regions'!J3681+"n/&gt;!'i8"</f>
        <v>#VALUE!</v>
      </c>
      <c r="FD147" t="e">
        <f>'All regions'!A3682+"n/&gt;!'i9"</f>
        <v>#VALUE!</v>
      </c>
      <c r="FE147" t="e">
        <f>'All regions'!B3682+"n/&gt;!'i:"</f>
        <v>#VALUE!</v>
      </c>
      <c r="FF147" t="e">
        <f>'All regions'!C3682+"n/&gt;!'i;"</f>
        <v>#VALUE!</v>
      </c>
      <c r="FG147" t="e">
        <f>'All regions'!D3682+"n/&gt;!'i&lt;"</f>
        <v>#VALUE!</v>
      </c>
      <c r="FH147" t="e">
        <f>'All regions'!E3682+"n/&gt;!'i="</f>
        <v>#VALUE!</v>
      </c>
      <c r="FI147" t="e">
        <f>'All regions'!F3682+"n/&gt;!'i&gt;"</f>
        <v>#VALUE!</v>
      </c>
      <c r="FJ147" t="e">
        <f>'All regions'!G3682+"n/&gt;!'i?"</f>
        <v>#VALUE!</v>
      </c>
      <c r="FK147" t="e">
        <f>'All regions'!H3682+"n/&gt;!'i@"</f>
        <v>#VALUE!</v>
      </c>
      <c r="FL147" t="e">
        <f>'All regions'!I3682+"n/&gt;!'iA"</f>
        <v>#VALUE!</v>
      </c>
      <c r="FM147" t="e">
        <f>'All regions'!J3682+"n/&gt;!'iB"</f>
        <v>#VALUE!</v>
      </c>
      <c r="FN147" t="e">
        <f>'All regions'!A3683+"n/&gt;!'iC"</f>
        <v>#VALUE!</v>
      </c>
      <c r="FO147" t="e">
        <f>'All regions'!B3683+"n/&gt;!'iD"</f>
        <v>#VALUE!</v>
      </c>
      <c r="FP147" t="e">
        <f>'All regions'!C3683+"n/&gt;!'iE"</f>
        <v>#VALUE!</v>
      </c>
      <c r="FQ147" t="e">
        <f>'All regions'!D3683+"n/&gt;!'iF"</f>
        <v>#VALUE!</v>
      </c>
      <c r="FR147" t="e">
        <f>'All regions'!E3683+"n/&gt;!'iG"</f>
        <v>#VALUE!</v>
      </c>
      <c r="FS147" t="e">
        <f>'All regions'!F3683+"n/&gt;!'iH"</f>
        <v>#VALUE!</v>
      </c>
      <c r="FT147" t="e">
        <f>'All regions'!G3683+"n/&gt;!'iI"</f>
        <v>#VALUE!</v>
      </c>
      <c r="FU147" t="e">
        <f>'All regions'!H3683+"n/&gt;!'iJ"</f>
        <v>#VALUE!</v>
      </c>
      <c r="FV147" t="e">
        <f>'All regions'!I3683+"n/&gt;!'iK"</f>
        <v>#VALUE!</v>
      </c>
      <c r="FW147" t="e">
        <f>'All regions'!J3683+"n/&gt;!'iL"</f>
        <v>#VALUE!</v>
      </c>
      <c r="FX147" t="e">
        <f>'All regions'!A3684+"n/&gt;!'iM"</f>
        <v>#VALUE!</v>
      </c>
      <c r="FY147" t="e">
        <f>'All regions'!B3684+"n/&gt;!'iN"</f>
        <v>#VALUE!</v>
      </c>
      <c r="FZ147" t="e">
        <f>'All regions'!C3684+"n/&gt;!'iO"</f>
        <v>#VALUE!</v>
      </c>
      <c r="GA147" t="e">
        <f>'All regions'!D3684+"n/&gt;!'iP"</f>
        <v>#VALUE!</v>
      </c>
      <c r="GB147" t="e">
        <f>'All regions'!E3684+"n/&gt;!'iQ"</f>
        <v>#VALUE!</v>
      </c>
      <c r="GC147" t="e">
        <f>'All regions'!F3684+"n/&gt;!'iR"</f>
        <v>#VALUE!</v>
      </c>
      <c r="GD147" t="e">
        <f>'All regions'!G3684+"n/&gt;!'iS"</f>
        <v>#VALUE!</v>
      </c>
      <c r="GE147" t="e">
        <f>'All regions'!H3684+"n/&gt;!'iT"</f>
        <v>#VALUE!</v>
      </c>
      <c r="GF147" t="e">
        <f>'All regions'!I3684+"n/&gt;!'iU"</f>
        <v>#VALUE!</v>
      </c>
      <c r="GG147" t="e">
        <f>'All regions'!J3684+"n/&gt;!'iV"</f>
        <v>#VALUE!</v>
      </c>
      <c r="GH147" t="e">
        <f>'All regions'!A3685+"n/&gt;!'iW"</f>
        <v>#VALUE!</v>
      </c>
      <c r="GI147" t="e">
        <f>'All regions'!B3685+"n/&gt;!'iX"</f>
        <v>#VALUE!</v>
      </c>
      <c r="GJ147" t="e">
        <f>'All regions'!C3685+"n/&gt;!'iY"</f>
        <v>#VALUE!</v>
      </c>
      <c r="GK147" t="e">
        <f>'All regions'!D3685+"n/&gt;!'iZ"</f>
        <v>#VALUE!</v>
      </c>
      <c r="GL147" t="e">
        <f>'All regions'!E3685+"n/&gt;!'i["</f>
        <v>#VALUE!</v>
      </c>
      <c r="GM147" t="e">
        <f>'All regions'!F3685+"n/&gt;!'i\"</f>
        <v>#VALUE!</v>
      </c>
      <c r="GN147" t="e">
        <f>'All regions'!G3685+"n/&gt;!'i]"</f>
        <v>#VALUE!</v>
      </c>
      <c r="GO147" t="e">
        <f>'All regions'!H3685+"n/&gt;!'i^"</f>
        <v>#VALUE!</v>
      </c>
      <c r="GP147" t="e">
        <f>'All regions'!I3685+"n/&gt;!'i_"</f>
        <v>#VALUE!</v>
      </c>
      <c r="GQ147" t="e">
        <f>'All regions'!J3685+"n/&gt;!'i`"</f>
        <v>#VALUE!</v>
      </c>
      <c r="GR147" t="e">
        <f>'All regions'!A3686+"n/&gt;!'ia"</f>
        <v>#VALUE!</v>
      </c>
      <c r="GS147" t="e">
        <f>'All regions'!B3686+"n/&gt;!'ib"</f>
        <v>#VALUE!</v>
      </c>
      <c r="GT147" t="e">
        <f>'All regions'!C3686+"n/&gt;!'ic"</f>
        <v>#VALUE!</v>
      </c>
      <c r="GU147" t="e">
        <f>'All regions'!D3686+"n/&gt;!'id"</f>
        <v>#VALUE!</v>
      </c>
      <c r="GV147" t="e">
        <f>'All regions'!E3686+"n/&gt;!'ie"</f>
        <v>#VALUE!</v>
      </c>
      <c r="GW147" t="e">
        <f>'All regions'!F3686+"n/&gt;!'if"</f>
        <v>#VALUE!</v>
      </c>
      <c r="GX147" t="e">
        <f>'All regions'!G3686+"n/&gt;!'ig"</f>
        <v>#VALUE!</v>
      </c>
      <c r="GY147" t="e">
        <f>'All regions'!H3686+"n/&gt;!'ih"</f>
        <v>#VALUE!</v>
      </c>
      <c r="GZ147" t="e">
        <f>'All regions'!I3686+"n/&gt;!'ii"</f>
        <v>#VALUE!</v>
      </c>
      <c r="HA147" t="e">
        <f>'All regions'!J3686+"n/&gt;!'ij"</f>
        <v>#VALUE!</v>
      </c>
      <c r="HB147" t="e">
        <f>'All regions'!A3687+"n/&gt;!'ik"</f>
        <v>#VALUE!</v>
      </c>
      <c r="HC147" t="e">
        <f>'All regions'!B3687+"n/&gt;!'il"</f>
        <v>#VALUE!</v>
      </c>
      <c r="HD147" t="e">
        <f>'All regions'!C3687+"n/&gt;!'im"</f>
        <v>#VALUE!</v>
      </c>
      <c r="HE147" t="e">
        <f>'All regions'!D3687+"n/&gt;!'in"</f>
        <v>#VALUE!</v>
      </c>
      <c r="HF147" t="e">
        <f>'All regions'!E3687+"n/&gt;!'io"</f>
        <v>#VALUE!</v>
      </c>
      <c r="HG147" t="e">
        <f>'All regions'!F3687+"n/&gt;!'ip"</f>
        <v>#VALUE!</v>
      </c>
      <c r="HH147" t="e">
        <f>'All regions'!G3687+"n/&gt;!'iq"</f>
        <v>#VALUE!</v>
      </c>
      <c r="HI147" t="e">
        <f>'All regions'!H3687+"n/&gt;!'ir"</f>
        <v>#VALUE!</v>
      </c>
      <c r="HJ147" t="e">
        <f>'All regions'!I3687+"n/&gt;!'is"</f>
        <v>#VALUE!</v>
      </c>
      <c r="HK147" t="e">
        <f>'All regions'!J3687+"n/&gt;!'it"</f>
        <v>#VALUE!</v>
      </c>
      <c r="HL147" t="e">
        <f>'All regions'!A3688+"n/&gt;!'iu"</f>
        <v>#VALUE!</v>
      </c>
      <c r="HM147" t="e">
        <f>'All regions'!B3688+"n/&gt;!'iv"</f>
        <v>#VALUE!</v>
      </c>
      <c r="HN147" t="e">
        <f>'All regions'!C3688+"n/&gt;!'iw"</f>
        <v>#VALUE!</v>
      </c>
      <c r="HO147" t="e">
        <f>'All regions'!D3688+"n/&gt;!'ix"</f>
        <v>#VALUE!</v>
      </c>
      <c r="HP147" t="e">
        <f>'All regions'!E3688+"n/&gt;!'iy"</f>
        <v>#VALUE!</v>
      </c>
      <c r="HQ147" t="e">
        <f>'All regions'!F3688+"n/&gt;!'iz"</f>
        <v>#VALUE!</v>
      </c>
      <c r="HR147" t="e">
        <f>'All regions'!G3688+"n/&gt;!'i{"</f>
        <v>#VALUE!</v>
      </c>
      <c r="HS147" t="e">
        <f>'All regions'!H3688+"n/&gt;!'i|"</f>
        <v>#VALUE!</v>
      </c>
      <c r="HT147" t="e">
        <f>'All regions'!I3688+"n/&gt;!'i}"</f>
        <v>#VALUE!</v>
      </c>
      <c r="HU147" t="e">
        <f>'All regions'!J3688+"n/&gt;!'i~"</f>
        <v>#VALUE!</v>
      </c>
      <c r="HV147" t="e">
        <f>'All regions'!A3689+"n/&gt;!'j#"</f>
        <v>#VALUE!</v>
      </c>
      <c r="HW147" t="e">
        <f>'All regions'!B3689+"n/&gt;!'j$"</f>
        <v>#VALUE!</v>
      </c>
      <c r="HX147" t="e">
        <f>'All regions'!C3689+"n/&gt;!'j%"</f>
        <v>#VALUE!</v>
      </c>
      <c r="HY147" t="e">
        <f>'All regions'!D3689+"n/&gt;!'j&amp;"</f>
        <v>#VALUE!</v>
      </c>
      <c r="HZ147" t="e">
        <f>'All regions'!E3689+"n/&gt;!'j'"</f>
        <v>#VALUE!</v>
      </c>
      <c r="IA147" t="e">
        <f>'All regions'!F3689+"n/&gt;!'j("</f>
        <v>#VALUE!</v>
      </c>
      <c r="IB147" t="e">
        <f>'All regions'!G3689+"n/&gt;!'j)"</f>
        <v>#VALUE!</v>
      </c>
      <c r="IC147" t="e">
        <f>'All regions'!H3689+"n/&gt;!'j."</f>
        <v>#VALUE!</v>
      </c>
      <c r="ID147" t="e">
        <f>'All regions'!I3689+"n/&gt;!'j/"</f>
        <v>#VALUE!</v>
      </c>
      <c r="IE147" t="e">
        <f>'All regions'!J3689+"n/&gt;!'j0"</f>
        <v>#VALUE!</v>
      </c>
      <c r="IF147" t="e">
        <f>'All regions'!A3690+"n/&gt;!'j1"</f>
        <v>#VALUE!</v>
      </c>
      <c r="IG147" t="e">
        <f>'All regions'!B3690+"n/&gt;!'j2"</f>
        <v>#VALUE!</v>
      </c>
      <c r="IH147" t="e">
        <f>'All regions'!C3690+"n/&gt;!'j3"</f>
        <v>#VALUE!</v>
      </c>
      <c r="II147" t="e">
        <f>'All regions'!D3690+"n/&gt;!'j4"</f>
        <v>#VALUE!</v>
      </c>
      <c r="IJ147" t="e">
        <f>'All regions'!E3690+"n/&gt;!'j5"</f>
        <v>#VALUE!</v>
      </c>
      <c r="IK147" t="e">
        <f>'All regions'!F3690+"n/&gt;!'j6"</f>
        <v>#VALUE!</v>
      </c>
      <c r="IL147" t="e">
        <f>'All regions'!G3690+"n/&gt;!'j7"</f>
        <v>#VALUE!</v>
      </c>
      <c r="IM147" t="e">
        <f>'All regions'!H3690+"n/&gt;!'j8"</f>
        <v>#VALUE!</v>
      </c>
      <c r="IN147" t="e">
        <f>'All regions'!I3690+"n/&gt;!'j9"</f>
        <v>#VALUE!</v>
      </c>
      <c r="IO147" t="e">
        <f>'All regions'!J3690+"n/&gt;!'j:"</f>
        <v>#VALUE!</v>
      </c>
      <c r="IP147" t="e">
        <f>'All regions'!A3691+"n/&gt;!'j;"</f>
        <v>#VALUE!</v>
      </c>
      <c r="IQ147" t="e">
        <f>'All regions'!B3691+"n/&gt;!'j&lt;"</f>
        <v>#VALUE!</v>
      </c>
      <c r="IR147" t="e">
        <f>'All regions'!C3691+"n/&gt;!'j="</f>
        <v>#VALUE!</v>
      </c>
      <c r="IS147" t="e">
        <f>'All regions'!D3691+"n/&gt;!'j&gt;"</f>
        <v>#VALUE!</v>
      </c>
      <c r="IT147" t="e">
        <f>'All regions'!E3691+"n/&gt;!'j?"</f>
        <v>#VALUE!</v>
      </c>
      <c r="IU147" t="e">
        <f>'All regions'!F3691+"n/&gt;!'j@"</f>
        <v>#VALUE!</v>
      </c>
      <c r="IV147" t="e">
        <f>'All regions'!G3691+"n/&gt;!'jA"</f>
        <v>#VALUE!</v>
      </c>
    </row>
    <row r="148" spans="6:256" x14ac:dyDescent="0.35">
      <c r="F148" t="e">
        <f>'All regions'!H3691+"n/&gt;!'jB"</f>
        <v>#VALUE!</v>
      </c>
      <c r="G148" t="e">
        <f>'All regions'!I3691+"n/&gt;!'jC"</f>
        <v>#VALUE!</v>
      </c>
      <c r="H148" t="e">
        <f>'All regions'!J3691+"n/&gt;!'jD"</f>
        <v>#VALUE!</v>
      </c>
      <c r="I148" t="e">
        <f>'All regions'!A3692+"n/&gt;!'jE"</f>
        <v>#VALUE!</v>
      </c>
      <c r="J148" t="e">
        <f>'All regions'!B3692+"n/&gt;!'jF"</f>
        <v>#VALUE!</v>
      </c>
      <c r="K148" t="e">
        <f>'All regions'!C3692+"n/&gt;!'jG"</f>
        <v>#VALUE!</v>
      </c>
      <c r="L148" t="e">
        <f>'All regions'!D3692+"n/&gt;!'jH"</f>
        <v>#VALUE!</v>
      </c>
      <c r="M148" t="e">
        <f>'All regions'!E3692+"n/&gt;!'jI"</f>
        <v>#VALUE!</v>
      </c>
      <c r="N148" t="e">
        <f>'All regions'!F3692+"n/&gt;!'jJ"</f>
        <v>#VALUE!</v>
      </c>
      <c r="O148" t="e">
        <f>'All regions'!G3692+"n/&gt;!'jK"</f>
        <v>#VALUE!</v>
      </c>
      <c r="P148" t="e">
        <f>'All regions'!H3692+"n/&gt;!'jL"</f>
        <v>#VALUE!</v>
      </c>
      <c r="Q148" t="e">
        <f>'All regions'!I3692+"n/&gt;!'jM"</f>
        <v>#VALUE!</v>
      </c>
      <c r="R148" t="e">
        <f>'All regions'!J3692+"n/&gt;!'jN"</f>
        <v>#VALUE!</v>
      </c>
      <c r="S148" t="e">
        <f>'All regions'!A3693+"n/&gt;!'jO"</f>
        <v>#VALUE!</v>
      </c>
      <c r="T148" t="e">
        <f>'All regions'!B3693+"n/&gt;!'jP"</f>
        <v>#VALUE!</v>
      </c>
      <c r="U148" t="e">
        <f>'All regions'!C3693+"n/&gt;!'jQ"</f>
        <v>#VALUE!</v>
      </c>
      <c r="V148" t="e">
        <f>'All regions'!D3693+"n/&gt;!'jR"</f>
        <v>#VALUE!</v>
      </c>
      <c r="W148" t="e">
        <f>'All regions'!E3693+"n/&gt;!'jS"</f>
        <v>#VALUE!</v>
      </c>
      <c r="X148" t="e">
        <f>'All regions'!F3693+"n/&gt;!'jT"</f>
        <v>#VALUE!</v>
      </c>
      <c r="Y148" t="e">
        <f>'All regions'!G3693+"n/&gt;!'jU"</f>
        <v>#VALUE!</v>
      </c>
      <c r="Z148" t="e">
        <f>'All regions'!H3693+"n/&gt;!'jV"</f>
        <v>#VALUE!</v>
      </c>
      <c r="AA148" t="e">
        <f>'All regions'!I3693+"n/&gt;!'jW"</f>
        <v>#VALUE!</v>
      </c>
      <c r="AB148" t="e">
        <f>'All regions'!J3693+"n/&gt;!'jX"</f>
        <v>#VALUE!</v>
      </c>
      <c r="AC148" t="e">
        <f>'All regions'!A3694+"n/&gt;!'jY"</f>
        <v>#VALUE!</v>
      </c>
      <c r="AD148" t="e">
        <f>'All regions'!B3694+"n/&gt;!'jZ"</f>
        <v>#VALUE!</v>
      </c>
      <c r="AE148" t="e">
        <f>'All regions'!C3694+"n/&gt;!'j["</f>
        <v>#VALUE!</v>
      </c>
      <c r="AF148" t="e">
        <f>'All regions'!D3694+"n/&gt;!'j\"</f>
        <v>#VALUE!</v>
      </c>
      <c r="AG148" t="e">
        <f>'All regions'!E3694+"n/&gt;!'j]"</f>
        <v>#VALUE!</v>
      </c>
      <c r="AH148" t="e">
        <f>'All regions'!F3694+"n/&gt;!'j^"</f>
        <v>#VALUE!</v>
      </c>
      <c r="AI148" t="e">
        <f>'All regions'!G3694+"n/&gt;!'j_"</f>
        <v>#VALUE!</v>
      </c>
      <c r="AJ148" t="e">
        <f>'All regions'!H3694+"n/&gt;!'j`"</f>
        <v>#VALUE!</v>
      </c>
      <c r="AK148" t="e">
        <f>'All regions'!I3694+"n/&gt;!'ja"</f>
        <v>#VALUE!</v>
      </c>
      <c r="AL148" t="e">
        <f>'All regions'!J3694+"n/&gt;!'jb"</f>
        <v>#VALUE!</v>
      </c>
      <c r="AM148" t="e">
        <f>'All regions'!A3695+"n/&gt;!'jc"</f>
        <v>#VALUE!</v>
      </c>
      <c r="AN148" t="e">
        <f>'All regions'!B3695+"n/&gt;!'jd"</f>
        <v>#VALUE!</v>
      </c>
      <c r="AO148" t="e">
        <f>'All regions'!C3695+"n/&gt;!'je"</f>
        <v>#VALUE!</v>
      </c>
      <c r="AP148" t="e">
        <f>'All regions'!D3695+"n/&gt;!'jf"</f>
        <v>#VALUE!</v>
      </c>
      <c r="AQ148" t="e">
        <f>'All regions'!E3695+"n/&gt;!'jg"</f>
        <v>#VALUE!</v>
      </c>
      <c r="AR148" t="e">
        <f>'All regions'!F3695+"n/&gt;!'jh"</f>
        <v>#VALUE!</v>
      </c>
      <c r="AS148" t="e">
        <f>'All regions'!G3695+"n/&gt;!'ji"</f>
        <v>#VALUE!</v>
      </c>
      <c r="AT148" t="e">
        <f>'All regions'!H3695+"n/&gt;!'jj"</f>
        <v>#VALUE!</v>
      </c>
      <c r="AU148" t="e">
        <f>'All regions'!I3695+"n/&gt;!'jk"</f>
        <v>#VALUE!</v>
      </c>
      <c r="AV148" t="e">
        <f>'All regions'!J3695+"n/&gt;!'jl"</f>
        <v>#VALUE!</v>
      </c>
      <c r="AW148" t="e">
        <f>'All regions'!A3696+"n/&gt;!'jm"</f>
        <v>#VALUE!</v>
      </c>
      <c r="AX148" t="e">
        <f>'All regions'!B3696+"n/&gt;!'jn"</f>
        <v>#VALUE!</v>
      </c>
      <c r="AY148" t="e">
        <f>'All regions'!C3696+"n/&gt;!'jo"</f>
        <v>#VALUE!</v>
      </c>
      <c r="AZ148" t="e">
        <f>'All regions'!D3696+"n/&gt;!'jp"</f>
        <v>#VALUE!</v>
      </c>
      <c r="BA148" t="e">
        <f>'All regions'!E3696+"n/&gt;!'jq"</f>
        <v>#VALUE!</v>
      </c>
      <c r="BB148" t="e">
        <f>'All regions'!F3696+"n/&gt;!'jr"</f>
        <v>#VALUE!</v>
      </c>
      <c r="BC148" t="e">
        <f>'All regions'!G3696+"n/&gt;!'js"</f>
        <v>#VALUE!</v>
      </c>
      <c r="BD148" t="e">
        <f>'All regions'!H3696+"n/&gt;!'jt"</f>
        <v>#VALUE!</v>
      </c>
      <c r="BE148" t="e">
        <f>'All regions'!I3696+"n/&gt;!'ju"</f>
        <v>#VALUE!</v>
      </c>
      <c r="BF148" t="e">
        <f>'All regions'!J3696+"n/&gt;!'jv"</f>
        <v>#VALUE!</v>
      </c>
      <c r="BG148" t="e">
        <f>'All regions'!A3697+"n/&gt;!'jw"</f>
        <v>#VALUE!</v>
      </c>
      <c r="BH148" t="e">
        <f>'All regions'!B3697+"n/&gt;!'jx"</f>
        <v>#VALUE!</v>
      </c>
      <c r="BI148" t="e">
        <f>'All regions'!C3697+"n/&gt;!'jy"</f>
        <v>#VALUE!</v>
      </c>
      <c r="BJ148" t="e">
        <f>'All regions'!D3697+"n/&gt;!'jz"</f>
        <v>#VALUE!</v>
      </c>
      <c r="BK148" t="e">
        <f>'All regions'!E3697+"n/&gt;!'j{"</f>
        <v>#VALUE!</v>
      </c>
      <c r="BL148" t="e">
        <f>'All regions'!F3697+"n/&gt;!'j|"</f>
        <v>#VALUE!</v>
      </c>
      <c r="BM148" t="e">
        <f>'All regions'!G3697+"n/&gt;!'j}"</f>
        <v>#VALUE!</v>
      </c>
      <c r="BN148" t="e">
        <f>'All regions'!H3697+"n/&gt;!'j~"</f>
        <v>#VALUE!</v>
      </c>
      <c r="BO148" t="e">
        <f>'All regions'!I3697+"n/&gt;!'k#"</f>
        <v>#VALUE!</v>
      </c>
      <c r="BP148" t="e">
        <f>'All regions'!J3697+"n/&gt;!'k$"</f>
        <v>#VALUE!</v>
      </c>
      <c r="BQ148" t="e">
        <f>'All regions'!A3698+"n/&gt;!'k%"</f>
        <v>#VALUE!</v>
      </c>
      <c r="BR148" t="e">
        <f>'All regions'!B3698+"n/&gt;!'k&amp;"</f>
        <v>#VALUE!</v>
      </c>
      <c r="BS148" t="e">
        <f>'All regions'!C3698+"n/&gt;!'k'"</f>
        <v>#VALUE!</v>
      </c>
      <c r="BT148" t="e">
        <f>'All regions'!D3698+"n/&gt;!'k("</f>
        <v>#VALUE!</v>
      </c>
      <c r="BU148" t="e">
        <f>'All regions'!E3698+"n/&gt;!'k)"</f>
        <v>#VALUE!</v>
      </c>
      <c r="BV148" t="e">
        <f>'All regions'!F3698+"n/&gt;!'k."</f>
        <v>#VALUE!</v>
      </c>
      <c r="BW148" t="e">
        <f>'All regions'!G3698+"n/&gt;!'k/"</f>
        <v>#VALUE!</v>
      </c>
      <c r="BX148" t="e">
        <f>'All regions'!H3698+"n/&gt;!'k0"</f>
        <v>#VALUE!</v>
      </c>
      <c r="BY148" t="e">
        <f>'All regions'!I3698+"n/&gt;!'k1"</f>
        <v>#VALUE!</v>
      </c>
      <c r="BZ148" t="e">
        <f>'All regions'!J3698+"n/&gt;!'k2"</f>
        <v>#VALUE!</v>
      </c>
      <c r="CA148" t="e">
        <f>'All regions'!A3699+"n/&gt;!'k3"</f>
        <v>#VALUE!</v>
      </c>
      <c r="CB148" t="e">
        <f>'All regions'!B3699+"n/&gt;!'k4"</f>
        <v>#VALUE!</v>
      </c>
      <c r="CC148" t="e">
        <f>'All regions'!C3699+"n/&gt;!'k5"</f>
        <v>#VALUE!</v>
      </c>
      <c r="CD148" t="e">
        <f>'All regions'!D3699+"n/&gt;!'k6"</f>
        <v>#VALUE!</v>
      </c>
      <c r="CE148" t="e">
        <f>'All regions'!E3699+"n/&gt;!'k7"</f>
        <v>#VALUE!</v>
      </c>
      <c r="CF148" t="e">
        <f>'All regions'!F3699+"n/&gt;!'k8"</f>
        <v>#VALUE!</v>
      </c>
      <c r="CG148" t="e">
        <f>'All regions'!G3699+"n/&gt;!'k9"</f>
        <v>#VALUE!</v>
      </c>
      <c r="CH148" t="e">
        <f>'All regions'!H3699+"n/&gt;!'k:"</f>
        <v>#VALUE!</v>
      </c>
      <c r="CI148" t="e">
        <f>'All regions'!I3699+"n/&gt;!'k;"</f>
        <v>#VALUE!</v>
      </c>
      <c r="CJ148" t="e">
        <f>'All regions'!J3699+"n/&gt;!'k&lt;"</f>
        <v>#VALUE!</v>
      </c>
      <c r="CK148" t="e">
        <f>'All regions'!A3700+"n/&gt;!'k="</f>
        <v>#VALUE!</v>
      </c>
      <c r="CL148" t="e">
        <f>'All regions'!B3700+"n/&gt;!'k&gt;"</f>
        <v>#VALUE!</v>
      </c>
      <c r="CM148" t="e">
        <f>'All regions'!C3700+"n/&gt;!'k?"</f>
        <v>#VALUE!</v>
      </c>
      <c r="CN148" t="e">
        <f>'All regions'!D3700+"n/&gt;!'k@"</f>
        <v>#VALUE!</v>
      </c>
      <c r="CO148" t="e">
        <f>'All regions'!E3700+"n/&gt;!'kA"</f>
        <v>#VALUE!</v>
      </c>
      <c r="CP148" t="e">
        <f>'All regions'!F3700+"n/&gt;!'kB"</f>
        <v>#VALUE!</v>
      </c>
      <c r="CQ148" t="e">
        <f>'All regions'!G3700+"n/&gt;!'kC"</f>
        <v>#VALUE!</v>
      </c>
      <c r="CR148" t="e">
        <f>'All regions'!H3700+"n/&gt;!'kD"</f>
        <v>#VALUE!</v>
      </c>
      <c r="CS148" t="e">
        <f>'All regions'!I3700+"n/&gt;!'kE"</f>
        <v>#VALUE!</v>
      </c>
      <c r="CT148" t="e">
        <f>'All regions'!J3700+"n/&gt;!'kF"</f>
        <v>#VALUE!</v>
      </c>
      <c r="CU148" t="e">
        <f>'All regions'!A3701+"n/&gt;!'kG"</f>
        <v>#VALUE!</v>
      </c>
      <c r="CV148" t="e">
        <f>'All regions'!B3701+"n/&gt;!'kH"</f>
        <v>#VALUE!</v>
      </c>
      <c r="CW148" t="e">
        <f>'All regions'!C3701+"n/&gt;!'kI"</f>
        <v>#VALUE!</v>
      </c>
      <c r="CX148" t="e">
        <f>'All regions'!D3701+"n/&gt;!'kJ"</f>
        <v>#VALUE!</v>
      </c>
      <c r="CY148" t="e">
        <f>'All regions'!E3701+"n/&gt;!'kK"</f>
        <v>#VALUE!</v>
      </c>
      <c r="CZ148" t="e">
        <f>'All regions'!F3701+"n/&gt;!'kL"</f>
        <v>#VALUE!</v>
      </c>
      <c r="DA148" t="e">
        <f>'All regions'!G3701+"n/&gt;!'kM"</f>
        <v>#VALUE!</v>
      </c>
      <c r="DB148" t="e">
        <f>'All regions'!H3701+"n/&gt;!'kN"</f>
        <v>#VALUE!</v>
      </c>
      <c r="DC148" t="e">
        <f>'All regions'!I3701+"n/&gt;!'kO"</f>
        <v>#VALUE!</v>
      </c>
      <c r="DD148" t="e">
        <f>'All regions'!J3701+"n/&gt;!'kP"</f>
        <v>#VALUE!</v>
      </c>
      <c r="DE148" t="e">
        <f>'All regions'!A3702+"n/&gt;!'kQ"</f>
        <v>#VALUE!</v>
      </c>
      <c r="DF148" t="e">
        <f>'All regions'!B3702+"n/&gt;!'kR"</f>
        <v>#VALUE!</v>
      </c>
      <c r="DG148" t="e">
        <f>'All regions'!C3702+"n/&gt;!'kS"</f>
        <v>#VALUE!</v>
      </c>
      <c r="DH148" t="e">
        <f>'All regions'!D3702+"n/&gt;!'kT"</f>
        <v>#VALUE!</v>
      </c>
      <c r="DI148" t="e">
        <f>'All regions'!E3702+"n/&gt;!'kU"</f>
        <v>#VALUE!</v>
      </c>
      <c r="DJ148" t="e">
        <f>'All regions'!F3702+"n/&gt;!'kV"</f>
        <v>#VALUE!</v>
      </c>
      <c r="DK148" t="e">
        <f>'All regions'!G3702+"n/&gt;!'kW"</f>
        <v>#VALUE!</v>
      </c>
      <c r="DL148" t="e">
        <f>'All regions'!H3702+"n/&gt;!'kX"</f>
        <v>#VALUE!</v>
      </c>
      <c r="DM148" t="e">
        <f>'All regions'!I3702+"n/&gt;!'kY"</f>
        <v>#VALUE!</v>
      </c>
      <c r="DN148" t="e">
        <f>'All regions'!J3702+"n/&gt;!'kZ"</f>
        <v>#VALUE!</v>
      </c>
      <c r="DO148" t="e">
        <f>'All regions'!A3703+"n/&gt;!'k["</f>
        <v>#VALUE!</v>
      </c>
      <c r="DP148" t="e">
        <f>'All regions'!B3703+"n/&gt;!'k\"</f>
        <v>#VALUE!</v>
      </c>
      <c r="DQ148" t="e">
        <f>'All regions'!C3703+"n/&gt;!'k]"</f>
        <v>#VALUE!</v>
      </c>
      <c r="DR148" t="e">
        <f>'All regions'!D3703+"n/&gt;!'k^"</f>
        <v>#VALUE!</v>
      </c>
      <c r="DS148" t="e">
        <f>'All regions'!E3703+"n/&gt;!'k_"</f>
        <v>#VALUE!</v>
      </c>
      <c r="DT148" t="e">
        <f>'All regions'!F3703+"n/&gt;!'k`"</f>
        <v>#VALUE!</v>
      </c>
      <c r="DU148" t="e">
        <f>'All regions'!G3703+"n/&gt;!'ka"</f>
        <v>#VALUE!</v>
      </c>
      <c r="DV148" t="e">
        <f>'All regions'!H3703+"n/&gt;!'kb"</f>
        <v>#VALUE!</v>
      </c>
      <c r="DW148" t="e">
        <f>'All regions'!I3703+"n/&gt;!'kc"</f>
        <v>#VALUE!</v>
      </c>
      <c r="DX148" t="e">
        <f>'All regions'!J3703+"n/&gt;!'kd"</f>
        <v>#VALUE!</v>
      </c>
      <c r="DY148" t="e">
        <f>'All regions'!A3704+"n/&gt;!'ke"</f>
        <v>#VALUE!</v>
      </c>
      <c r="DZ148" t="e">
        <f>'All regions'!B3704+"n/&gt;!'kf"</f>
        <v>#VALUE!</v>
      </c>
      <c r="EA148" t="e">
        <f>'All regions'!C3704+"n/&gt;!'kg"</f>
        <v>#VALUE!</v>
      </c>
      <c r="EB148" t="e">
        <f>'All regions'!D3704+"n/&gt;!'kh"</f>
        <v>#VALUE!</v>
      </c>
      <c r="EC148" t="e">
        <f>'All regions'!E3704+"n/&gt;!'ki"</f>
        <v>#VALUE!</v>
      </c>
      <c r="ED148" t="e">
        <f>'All regions'!F3704+"n/&gt;!'kj"</f>
        <v>#VALUE!</v>
      </c>
      <c r="EE148" t="e">
        <f>'All regions'!G3704+"n/&gt;!'kk"</f>
        <v>#VALUE!</v>
      </c>
      <c r="EF148" t="e">
        <f>'All regions'!H3704+"n/&gt;!'kl"</f>
        <v>#VALUE!</v>
      </c>
      <c r="EG148" t="e">
        <f>'All regions'!I3704+"n/&gt;!'km"</f>
        <v>#VALUE!</v>
      </c>
      <c r="EH148" t="e">
        <f>'All regions'!J3704+"n/&gt;!'kn"</f>
        <v>#VALUE!</v>
      </c>
      <c r="EI148" t="e">
        <f>'All regions'!A3705+"n/&gt;!'ko"</f>
        <v>#VALUE!</v>
      </c>
      <c r="EJ148" t="e">
        <f>'All regions'!B3705+"n/&gt;!'kp"</f>
        <v>#VALUE!</v>
      </c>
      <c r="EK148" t="e">
        <f>'All regions'!C3705+"n/&gt;!'kq"</f>
        <v>#VALUE!</v>
      </c>
      <c r="EL148" t="e">
        <f>'All regions'!D3705+"n/&gt;!'kr"</f>
        <v>#VALUE!</v>
      </c>
      <c r="EM148" t="e">
        <f>'All regions'!E3705+"n/&gt;!'ks"</f>
        <v>#VALUE!</v>
      </c>
      <c r="EN148" t="e">
        <f>'All regions'!F3705+"n/&gt;!'kt"</f>
        <v>#VALUE!</v>
      </c>
      <c r="EO148" t="e">
        <f>'All regions'!G3705+"n/&gt;!'ku"</f>
        <v>#VALUE!</v>
      </c>
      <c r="EP148" t="e">
        <f>'All regions'!H3705+"n/&gt;!'kv"</f>
        <v>#VALUE!</v>
      </c>
      <c r="EQ148" t="e">
        <f>'All regions'!I3705+"n/&gt;!'kw"</f>
        <v>#VALUE!</v>
      </c>
      <c r="ER148" t="e">
        <f>'All regions'!J3705+"n/&gt;!'kx"</f>
        <v>#VALUE!</v>
      </c>
      <c r="ES148" t="e">
        <f>'All regions'!A3706+"n/&gt;!'ky"</f>
        <v>#VALUE!</v>
      </c>
      <c r="ET148" t="e">
        <f>'All regions'!B3706+"n/&gt;!'kz"</f>
        <v>#VALUE!</v>
      </c>
      <c r="EU148" t="e">
        <f>'All regions'!C3706+"n/&gt;!'k{"</f>
        <v>#VALUE!</v>
      </c>
      <c r="EV148" t="e">
        <f>'All regions'!D3706+"n/&gt;!'k|"</f>
        <v>#VALUE!</v>
      </c>
      <c r="EW148" t="e">
        <f>'All regions'!E3706+"n/&gt;!'k}"</f>
        <v>#VALUE!</v>
      </c>
      <c r="EX148" t="e">
        <f>'All regions'!F3706+"n/&gt;!'k~"</f>
        <v>#VALUE!</v>
      </c>
      <c r="EY148" t="e">
        <f>'All regions'!G3706+"n/&gt;!'l#"</f>
        <v>#VALUE!</v>
      </c>
      <c r="EZ148" t="e">
        <f>'All regions'!H3706+"n/&gt;!'l$"</f>
        <v>#VALUE!</v>
      </c>
      <c r="FA148" t="e">
        <f>'All regions'!I3706+"n/&gt;!'l%"</f>
        <v>#VALUE!</v>
      </c>
      <c r="FB148" t="e">
        <f>'All regions'!J3706+"n/&gt;!'l&amp;"</f>
        <v>#VALUE!</v>
      </c>
      <c r="FC148" t="e">
        <f>'All regions'!A3707+"n/&gt;!'l'"</f>
        <v>#VALUE!</v>
      </c>
      <c r="FD148" t="e">
        <f>'All regions'!B3707+"n/&gt;!'l("</f>
        <v>#VALUE!</v>
      </c>
      <c r="FE148" t="e">
        <f>'All regions'!C3707+"n/&gt;!'l)"</f>
        <v>#VALUE!</v>
      </c>
      <c r="FF148" t="e">
        <f>'All regions'!D3707+"n/&gt;!'l."</f>
        <v>#VALUE!</v>
      </c>
      <c r="FG148" t="e">
        <f>'All regions'!E3707+"n/&gt;!'l/"</f>
        <v>#VALUE!</v>
      </c>
      <c r="FH148" t="e">
        <f>'All regions'!F3707+"n/&gt;!'l0"</f>
        <v>#VALUE!</v>
      </c>
      <c r="FI148" t="e">
        <f>'All regions'!G3707+"n/&gt;!'l1"</f>
        <v>#VALUE!</v>
      </c>
      <c r="FJ148" t="e">
        <f>'All regions'!H3707+"n/&gt;!'l2"</f>
        <v>#VALUE!</v>
      </c>
      <c r="FK148" t="e">
        <f>'All regions'!I3707+"n/&gt;!'l3"</f>
        <v>#VALUE!</v>
      </c>
      <c r="FL148" t="e">
        <f>'All regions'!J3707+"n/&gt;!'l4"</f>
        <v>#VALUE!</v>
      </c>
      <c r="FM148" t="e">
        <f>'All regions'!A3708+"n/&gt;!'l5"</f>
        <v>#VALUE!</v>
      </c>
      <c r="FN148" t="e">
        <f>'All regions'!B3708+"n/&gt;!'l6"</f>
        <v>#VALUE!</v>
      </c>
      <c r="FO148" t="e">
        <f>'All regions'!C3708+"n/&gt;!'l7"</f>
        <v>#VALUE!</v>
      </c>
      <c r="FP148" t="e">
        <f>'All regions'!D3708+"n/&gt;!'l8"</f>
        <v>#VALUE!</v>
      </c>
      <c r="FQ148" t="e">
        <f>'All regions'!E3708+"n/&gt;!'l9"</f>
        <v>#VALUE!</v>
      </c>
      <c r="FR148" t="e">
        <f>'All regions'!F3708+"n/&gt;!'l:"</f>
        <v>#VALUE!</v>
      </c>
      <c r="FS148" t="e">
        <f>'All regions'!G3708+"n/&gt;!'l;"</f>
        <v>#VALUE!</v>
      </c>
      <c r="FT148" t="e">
        <f>'All regions'!H3708+"n/&gt;!'l&lt;"</f>
        <v>#VALUE!</v>
      </c>
      <c r="FU148" t="e">
        <f>'All regions'!I3708+"n/&gt;!'l="</f>
        <v>#VALUE!</v>
      </c>
      <c r="FV148" t="e">
        <f>'All regions'!J3708+"n/&gt;!'l&gt;"</f>
        <v>#VALUE!</v>
      </c>
      <c r="FW148" t="e">
        <f>'All regions'!A3709+"n/&gt;!'l?"</f>
        <v>#VALUE!</v>
      </c>
      <c r="FX148" t="e">
        <f>'All regions'!B3709+"n/&gt;!'l@"</f>
        <v>#VALUE!</v>
      </c>
      <c r="FY148" t="e">
        <f>'All regions'!C3709+"n/&gt;!'lA"</f>
        <v>#VALUE!</v>
      </c>
      <c r="FZ148" t="e">
        <f>'All regions'!D3709+"n/&gt;!'lB"</f>
        <v>#VALUE!</v>
      </c>
      <c r="GA148" t="e">
        <f>'All regions'!E3709+"n/&gt;!'lC"</f>
        <v>#VALUE!</v>
      </c>
      <c r="GB148" t="e">
        <f>'All regions'!F3709+"n/&gt;!'lD"</f>
        <v>#VALUE!</v>
      </c>
      <c r="GC148" t="e">
        <f>'All regions'!G3709+"n/&gt;!'lE"</f>
        <v>#VALUE!</v>
      </c>
      <c r="GD148" t="e">
        <f>'All regions'!H3709+"n/&gt;!'lF"</f>
        <v>#VALUE!</v>
      </c>
      <c r="GE148" t="e">
        <f>'All regions'!I3709+"n/&gt;!'lG"</f>
        <v>#VALUE!</v>
      </c>
      <c r="GF148" t="e">
        <f>'All regions'!J3709+"n/&gt;!'lH"</f>
        <v>#VALUE!</v>
      </c>
      <c r="GG148" t="e">
        <f>'All regions'!A3710+"n/&gt;!'lI"</f>
        <v>#VALUE!</v>
      </c>
      <c r="GH148" t="e">
        <f>'All regions'!B3710+"n/&gt;!'lJ"</f>
        <v>#VALUE!</v>
      </c>
      <c r="GI148" t="e">
        <f>'All regions'!C3710+"n/&gt;!'lK"</f>
        <v>#VALUE!</v>
      </c>
      <c r="GJ148" t="e">
        <f>'All regions'!D3710+"n/&gt;!'lL"</f>
        <v>#VALUE!</v>
      </c>
      <c r="GK148" t="e">
        <f>'All regions'!E3710+"n/&gt;!'lM"</f>
        <v>#VALUE!</v>
      </c>
      <c r="GL148" t="e">
        <f>'All regions'!F3710+"n/&gt;!'lN"</f>
        <v>#VALUE!</v>
      </c>
      <c r="GM148" t="e">
        <f>'All regions'!G3710+"n/&gt;!'lO"</f>
        <v>#VALUE!</v>
      </c>
      <c r="GN148" t="e">
        <f>'All regions'!H3710+"n/&gt;!'lP"</f>
        <v>#VALUE!</v>
      </c>
      <c r="GO148" t="e">
        <f>'All regions'!I3710+"n/&gt;!'lQ"</f>
        <v>#VALUE!</v>
      </c>
      <c r="GP148" t="e">
        <f>'All regions'!J3710+"n/&gt;!'lR"</f>
        <v>#VALUE!</v>
      </c>
      <c r="GQ148" t="e">
        <f>'All regions'!A3711+"n/&gt;!'lS"</f>
        <v>#VALUE!</v>
      </c>
      <c r="GR148" t="e">
        <f>'All regions'!B3711+"n/&gt;!'lT"</f>
        <v>#VALUE!</v>
      </c>
      <c r="GS148" t="e">
        <f>'All regions'!C3711+"n/&gt;!'lU"</f>
        <v>#VALUE!</v>
      </c>
      <c r="GT148" t="e">
        <f>'All regions'!D3711+"n/&gt;!'lV"</f>
        <v>#VALUE!</v>
      </c>
      <c r="GU148" t="e">
        <f>'All regions'!E3711+"n/&gt;!'lW"</f>
        <v>#VALUE!</v>
      </c>
      <c r="GV148" t="e">
        <f>'All regions'!F3711+"n/&gt;!'lX"</f>
        <v>#VALUE!</v>
      </c>
      <c r="GW148" t="e">
        <f>'All regions'!G3711+"n/&gt;!'lY"</f>
        <v>#VALUE!</v>
      </c>
      <c r="GX148" t="e">
        <f>'All regions'!H3711+"n/&gt;!'lZ"</f>
        <v>#VALUE!</v>
      </c>
      <c r="GY148" t="e">
        <f>'All regions'!I3711+"n/&gt;!'l["</f>
        <v>#VALUE!</v>
      </c>
      <c r="GZ148" t="e">
        <f>'All regions'!J3711+"n/&gt;!'l\"</f>
        <v>#VALUE!</v>
      </c>
      <c r="HA148" t="e">
        <f>'All regions'!A3712+"n/&gt;!'l]"</f>
        <v>#VALUE!</v>
      </c>
      <c r="HB148" t="e">
        <f>'All regions'!B3712+"n/&gt;!'l^"</f>
        <v>#VALUE!</v>
      </c>
      <c r="HC148" t="e">
        <f>'All regions'!C3712+"n/&gt;!'l_"</f>
        <v>#VALUE!</v>
      </c>
      <c r="HD148" t="e">
        <f>'All regions'!D3712+"n/&gt;!'l`"</f>
        <v>#VALUE!</v>
      </c>
      <c r="HE148" t="e">
        <f>'All regions'!E3712+"n/&gt;!'la"</f>
        <v>#VALUE!</v>
      </c>
      <c r="HF148" t="e">
        <f>'All regions'!F3712+"n/&gt;!'lb"</f>
        <v>#VALUE!</v>
      </c>
      <c r="HG148" t="e">
        <f>'All regions'!G3712+"n/&gt;!'lc"</f>
        <v>#VALUE!</v>
      </c>
      <c r="HH148" t="e">
        <f>'All regions'!H3712+"n/&gt;!'ld"</f>
        <v>#VALUE!</v>
      </c>
      <c r="HI148" t="e">
        <f>'All regions'!I3712+"n/&gt;!'le"</f>
        <v>#VALUE!</v>
      </c>
      <c r="HJ148" t="e">
        <f>'All regions'!J3712+"n/&gt;!'lf"</f>
        <v>#VALUE!</v>
      </c>
      <c r="HK148" t="e">
        <f>'All regions'!A3713+"n/&gt;!'lg"</f>
        <v>#VALUE!</v>
      </c>
      <c r="HL148" t="e">
        <f>'All regions'!B3713+"n/&gt;!'lh"</f>
        <v>#VALUE!</v>
      </c>
      <c r="HM148" t="e">
        <f>'All regions'!C3713+"n/&gt;!'li"</f>
        <v>#VALUE!</v>
      </c>
      <c r="HN148" t="e">
        <f>'All regions'!D3713+"n/&gt;!'lj"</f>
        <v>#VALUE!</v>
      </c>
      <c r="HO148" t="e">
        <f>'All regions'!E3713+"n/&gt;!'lk"</f>
        <v>#VALUE!</v>
      </c>
      <c r="HP148" t="e">
        <f>'All regions'!F3713+"n/&gt;!'ll"</f>
        <v>#VALUE!</v>
      </c>
      <c r="HQ148" t="e">
        <f>'All regions'!G3713+"n/&gt;!'lm"</f>
        <v>#VALUE!</v>
      </c>
      <c r="HR148" t="e">
        <f>'All regions'!H3713+"n/&gt;!'ln"</f>
        <v>#VALUE!</v>
      </c>
      <c r="HS148" t="e">
        <f>'All regions'!I3713+"n/&gt;!'lo"</f>
        <v>#VALUE!</v>
      </c>
      <c r="HT148" t="e">
        <f>'All regions'!J3713+"n/&gt;!'lp"</f>
        <v>#VALUE!</v>
      </c>
      <c r="HU148" t="e">
        <f>'All regions'!A3714+"n/&gt;!'lq"</f>
        <v>#VALUE!</v>
      </c>
      <c r="HV148" t="e">
        <f>'All regions'!B3714+"n/&gt;!'lr"</f>
        <v>#VALUE!</v>
      </c>
      <c r="HW148" t="e">
        <f>'All regions'!C3714+"n/&gt;!'ls"</f>
        <v>#VALUE!</v>
      </c>
      <c r="HX148" t="e">
        <f>'All regions'!D3714+"n/&gt;!'lt"</f>
        <v>#VALUE!</v>
      </c>
      <c r="HY148" t="e">
        <f>'All regions'!E3714+"n/&gt;!'lu"</f>
        <v>#VALUE!</v>
      </c>
      <c r="HZ148" t="e">
        <f>'All regions'!F3714+"n/&gt;!'lv"</f>
        <v>#VALUE!</v>
      </c>
      <c r="IA148" t="e">
        <f>'All regions'!G3714+"n/&gt;!'lw"</f>
        <v>#VALUE!</v>
      </c>
      <c r="IB148" t="e">
        <f>'All regions'!H3714+"n/&gt;!'lx"</f>
        <v>#VALUE!</v>
      </c>
      <c r="IC148" t="e">
        <f>'All regions'!I3714+"n/&gt;!'ly"</f>
        <v>#VALUE!</v>
      </c>
      <c r="ID148" t="e">
        <f>'All regions'!J3714+"n/&gt;!'lz"</f>
        <v>#VALUE!</v>
      </c>
      <c r="IE148" t="e">
        <f>'All regions'!A3715+"n/&gt;!'l{"</f>
        <v>#VALUE!</v>
      </c>
      <c r="IF148" t="e">
        <f>'All regions'!B3715+"n/&gt;!'l|"</f>
        <v>#VALUE!</v>
      </c>
      <c r="IG148" t="e">
        <f>'All regions'!C3715+"n/&gt;!'l}"</f>
        <v>#VALUE!</v>
      </c>
      <c r="IH148" t="e">
        <f>'All regions'!D3715+"n/&gt;!'l~"</f>
        <v>#VALUE!</v>
      </c>
      <c r="II148" t="e">
        <f>'All regions'!E3715+"n/&gt;!'m#"</f>
        <v>#VALUE!</v>
      </c>
      <c r="IJ148" t="e">
        <f>'All regions'!F3715+"n/&gt;!'m$"</f>
        <v>#VALUE!</v>
      </c>
      <c r="IK148" t="e">
        <f>'All regions'!G3715+"n/&gt;!'m%"</f>
        <v>#VALUE!</v>
      </c>
      <c r="IL148" t="e">
        <f>'All regions'!H3715+"n/&gt;!'m&amp;"</f>
        <v>#VALUE!</v>
      </c>
      <c r="IM148" t="e">
        <f>'All regions'!I3715+"n/&gt;!'m'"</f>
        <v>#VALUE!</v>
      </c>
      <c r="IN148" t="e">
        <f>'All regions'!J3715+"n/&gt;!'m("</f>
        <v>#VALUE!</v>
      </c>
      <c r="IO148" t="e">
        <f>'All regions'!A3716+"n/&gt;!'m)"</f>
        <v>#VALUE!</v>
      </c>
      <c r="IP148" t="e">
        <f>'All regions'!B3716+"n/&gt;!'m."</f>
        <v>#VALUE!</v>
      </c>
      <c r="IQ148" t="e">
        <f>'All regions'!C3716+"n/&gt;!'m/"</f>
        <v>#VALUE!</v>
      </c>
      <c r="IR148" t="e">
        <f>'All regions'!D3716+"n/&gt;!'m0"</f>
        <v>#VALUE!</v>
      </c>
      <c r="IS148" t="e">
        <f>'All regions'!E3716+"n/&gt;!'m1"</f>
        <v>#VALUE!</v>
      </c>
      <c r="IT148" t="e">
        <f>'All regions'!F3716+"n/&gt;!'m2"</f>
        <v>#VALUE!</v>
      </c>
      <c r="IU148" t="e">
        <f>'All regions'!G3716+"n/&gt;!'m3"</f>
        <v>#VALUE!</v>
      </c>
      <c r="IV148" t="e">
        <f>'All regions'!H3716+"n/&gt;!'m4"</f>
        <v>#VALUE!</v>
      </c>
    </row>
    <row r="149" spans="6:256" x14ac:dyDescent="0.35">
      <c r="F149" t="e">
        <f>'All regions'!I3716+"n/&gt;!'m5"</f>
        <v>#VALUE!</v>
      </c>
      <c r="G149" t="e">
        <f>'All regions'!J3716+"n/&gt;!'m6"</f>
        <v>#VALUE!</v>
      </c>
      <c r="H149" t="e">
        <f>'All regions'!A3717+"n/&gt;!'m7"</f>
        <v>#VALUE!</v>
      </c>
      <c r="I149" t="e">
        <f>'All regions'!B3717+"n/&gt;!'m8"</f>
        <v>#VALUE!</v>
      </c>
      <c r="J149" t="e">
        <f>'All regions'!C3717+"n/&gt;!'m9"</f>
        <v>#VALUE!</v>
      </c>
      <c r="K149" t="e">
        <f>'All regions'!D3717+"n/&gt;!'m:"</f>
        <v>#VALUE!</v>
      </c>
      <c r="L149" t="e">
        <f>'All regions'!E3717+"n/&gt;!'m;"</f>
        <v>#VALUE!</v>
      </c>
      <c r="M149" t="e">
        <f>'All regions'!F3717+"n/&gt;!'m&lt;"</f>
        <v>#VALUE!</v>
      </c>
      <c r="N149" t="e">
        <f>'All regions'!G3717+"n/&gt;!'m="</f>
        <v>#VALUE!</v>
      </c>
      <c r="O149" t="e">
        <f>'All regions'!H3717+"n/&gt;!'m&gt;"</f>
        <v>#VALUE!</v>
      </c>
      <c r="P149" t="e">
        <f>'All regions'!I3717+"n/&gt;!'m?"</f>
        <v>#VALUE!</v>
      </c>
      <c r="Q149" t="e">
        <f>'All regions'!J3717+"n/&gt;!'m@"</f>
        <v>#VALUE!</v>
      </c>
      <c r="R149" t="e">
        <f>'All regions'!A3718+"n/&gt;!'mA"</f>
        <v>#VALUE!</v>
      </c>
      <c r="S149" t="e">
        <f>'All regions'!B3718+"n/&gt;!'mB"</f>
        <v>#VALUE!</v>
      </c>
      <c r="T149" t="e">
        <f>'All regions'!C3718+"n/&gt;!'mC"</f>
        <v>#VALUE!</v>
      </c>
      <c r="U149" t="e">
        <f>'All regions'!D3718+"n/&gt;!'mD"</f>
        <v>#VALUE!</v>
      </c>
      <c r="V149" t="e">
        <f>'All regions'!E3718+"n/&gt;!'mE"</f>
        <v>#VALUE!</v>
      </c>
      <c r="W149" t="e">
        <f>'All regions'!F3718+"n/&gt;!'mF"</f>
        <v>#VALUE!</v>
      </c>
      <c r="X149" t="e">
        <f>'All regions'!G3718+"n/&gt;!'mG"</f>
        <v>#VALUE!</v>
      </c>
      <c r="Y149" t="e">
        <f>'All regions'!H3718+"n/&gt;!'mH"</f>
        <v>#VALUE!</v>
      </c>
      <c r="Z149" t="e">
        <f>'All regions'!I3718+"n/&gt;!'mI"</f>
        <v>#VALUE!</v>
      </c>
      <c r="AA149" t="e">
        <f>'All regions'!J3718+"n/&gt;!'mJ"</f>
        <v>#VALUE!</v>
      </c>
      <c r="AB149" t="e">
        <f>'All regions'!A3719+"n/&gt;!'mK"</f>
        <v>#VALUE!</v>
      </c>
      <c r="AC149" t="e">
        <f>'All regions'!B3719+"n/&gt;!'mL"</f>
        <v>#VALUE!</v>
      </c>
      <c r="AD149" t="e">
        <f>'All regions'!C3719+"n/&gt;!'mM"</f>
        <v>#VALUE!</v>
      </c>
      <c r="AE149" t="e">
        <f>'All regions'!D3719+"n/&gt;!'mN"</f>
        <v>#VALUE!</v>
      </c>
      <c r="AF149" t="e">
        <f>'All regions'!E3719+"n/&gt;!'mO"</f>
        <v>#VALUE!</v>
      </c>
      <c r="AG149" t="e">
        <f>'All regions'!F3719+"n/&gt;!'mP"</f>
        <v>#VALUE!</v>
      </c>
      <c r="AH149" t="e">
        <f>'All regions'!G3719+"n/&gt;!'mQ"</f>
        <v>#VALUE!</v>
      </c>
      <c r="AI149" t="e">
        <f>'All regions'!H3719+"n/&gt;!'mR"</f>
        <v>#VALUE!</v>
      </c>
      <c r="AJ149" t="e">
        <f>'All regions'!I3719+"n/&gt;!'mS"</f>
        <v>#VALUE!</v>
      </c>
      <c r="AK149" t="e">
        <f>'All regions'!J3719+"n/&gt;!'mT"</f>
        <v>#VALUE!</v>
      </c>
      <c r="AL149" t="e">
        <f>'All regions'!A3720+"n/&gt;!'mU"</f>
        <v>#VALUE!</v>
      </c>
      <c r="AM149" t="e">
        <f>'All regions'!B3720+"n/&gt;!'mV"</f>
        <v>#VALUE!</v>
      </c>
      <c r="AN149" t="e">
        <f>'All regions'!C3720+"n/&gt;!'mW"</f>
        <v>#VALUE!</v>
      </c>
      <c r="AO149" t="e">
        <f>'All regions'!D3720+"n/&gt;!'mX"</f>
        <v>#VALUE!</v>
      </c>
      <c r="AP149" t="e">
        <f>'All regions'!E3720+"n/&gt;!'mY"</f>
        <v>#VALUE!</v>
      </c>
      <c r="AQ149" t="e">
        <f>'All regions'!F3720+"n/&gt;!'mZ"</f>
        <v>#VALUE!</v>
      </c>
      <c r="AR149" t="e">
        <f>'All regions'!G3720+"n/&gt;!'m["</f>
        <v>#VALUE!</v>
      </c>
      <c r="AS149" t="e">
        <f>'All regions'!H3720+"n/&gt;!'m\"</f>
        <v>#VALUE!</v>
      </c>
      <c r="AT149" t="e">
        <f>'All regions'!I3720+"n/&gt;!'m]"</f>
        <v>#VALUE!</v>
      </c>
      <c r="AU149" t="e">
        <f>'All regions'!J3720+"n/&gt;!'m^"</f>
        <v>#VALUE!</v>
      </c>
      <c r="AV149" t="e">
        <f>'All regions'!A3721+"n/&gt;!'m_"</f>
        <v>#VALUE!</v>
      </c>
      <c r="AW149" t="e">
        <f>'All regions'!B3721+"n/&gt;!'m`"</f>
        <v>#VALUE!</v>
      </c>
      <c r="AX149" t="e">
        <f>'All regions'!C3721+"n/&gt;!'ma"</f>
        <v>#VALUE!</v>
      </c>
      <c r="AY149" t="e">
        <f>'All regions'!D3721+"n/&gt;!'mb"</f>
        <v>#VALUE!</v>
      </c>
      <c r="AZ149" t="e">
        <f>'All regions'!E3721+"n/&gt;!'mc"</f>
        <v>#VALUE!</v>
      </c>
      <c r="BA149" t="e">
        <f>'All regions'!F3721+"n/&gt;!'md"</f>
        <v>#VALUE!</v>
      </c>
      <c r="BB149" t="e">
        <f>'All regions'!G3721+"n/&gt;!'me"</f>
        <v>#VALUE!</v>
      </c>
      <c r="BC149" t="e">
        <f>'All regions'!H3721+"n/&gt;!'mf"</f>
        <v>#VALUE!</v>
      </c>
      <c r="BD149" t="e">
        <f>'All regions'!I3721+"n/&gt;!'mg"</f>
        <v>#VALUE!</v>
      </c>
      <c r="BE149" t="e">
        <f>'All regions'!J3721+"n/&gt;!'mh"</f>
        <v>#VALUE!</v>
      </c>
      <c r="BF149" t="e">
        <f>'All regions'!A3722+"n/&gt;!'mi"</f>
        <v>#VALUE!</v>
      </c>
      <c r="BG149" t="e">
        <f>'All regions'!B3722+"n/&gt;!'mj"</f>
        <v>#VALUE!</v>
      </c>
      <c r="BH149" t="e">
        <f>'All regions'!C3722+"n/&gt;!'mk"</f>
        <v>#VALUE!</v>
      </c>
      <c r="BI149" t="e">
        <f>'All regions'!D3722+"n/&gt;!'ml"</f>
        <v>#VALUE!</v>
      </c>
      <c r="BJ149" t="e">
        <f>'All regions'!E3722+"n/&gt;!'mm"</f>
        <v>#VALUE!</v>
      </c>
      <c r="BK149" t="e">
        <f>'All regions'!F3722+"n/&gt;!'mn"</f>
        <v>#VALUE!</v>
      </c>
      <c r="BL149" t="e">
        <f>'All regions'!G3722+"n/&gt;!'mo"</f>
        <v>#VALUE!</v>
      </c>
      <c r="BM149" t="e">
        <f>'All regions'!H3722+"n/&gt;!'mp"</f>
        <v>#VALUE!</v>
      </c>
      <c r="BN149" t="e">
        <f>'All regions'!I3722+"n/&gt;!'mq"</f>
        <v>#VALUE!</v>
      </c>
      <c r="BO149" t="e">
        <f>'All regions'!J3722+"n/&gt;!'mr"</f>
        <v>#VALUE!</v>
      </c>
      <c r="BP149" t="e">
        <f>'All regions'!A3723+"n/&gt;!'ms"</f>
        <v>#VALUE!</v>
      </c>
      <c r="BQ149" t="e">
        <f>'All regions'!B3723+"n/&gt;!'mt"</f>
        <v>#VALUE!</v>
      </c>
      <c r="BR149" t="e">
        <f>'All regions'!C3723+"n/&gt;!'mu"</f>
        <v>#VALUE!</v>
      </c>
      <c r="BS149" t="e">
        <f>'All regions'!D3723+"n/&gt;!'mv"</f>
        <v>#VALUE!</v>
      </c>
      <c r="BT149" t="e">
        <f>'All regions'!E3723+"n/&gt;!'mw"</f>
        <v>#VALUE!</v>
      </c>
      <c r="BU149" t="e">
        <f>'All regions'!F3723+"n/&gt;!'mx"</f>
        <v>#VALUE!</v>
      </c>
      <c r="BV149" t="e">
        <f>'All regions'!G3723+"n/&gt;!'my"</f>
        <v>#VALUE!</v>
      </c>
      <c r="BW149" t="e">
        <f>'All regions'!H3723+"n/&gt;!'mz"</f>
        <v>#VALUE!</v>
      </c>
      <c r="BX149" t="e">
        <f>'All regions'!I3723+"n/&gt;!'m{"</f>
        <v>#VALUE!</v>
      </c>
      <c r="BY149" t="e">
        <f>'All regions'!J3723+"n/&gt;!'m|"</f>
        <v>#VALUE!</v>
      </c>
      <c r="BZ149" t="e">
        <f>'All regions'!A3724+"n/&gt;!'m}"</f>
        <v>#VALUE!</v>
      </c>
      <c r="CA149" t="e">
        <f>'All regions'!B3724+"n/&gt;!'m~"</f>
        <v>#VALUE!</v>
      </c>
      <c r="CB149" t="e">
        <f>'All regions'!C3724+"n/&gt;!'n#"</f>
        <v>#VALUE!</v>
      </c>
      <c r="CC149" t="e">
        <f>'All regions'!D3724+"n/&gt;!'n$"</f>
        <v>#VALUE!</v>
      </c>
      <c r="CD149" t="e">
        <f>'All regions'!E3724+"n/&gt;!'n%"</f>
        <v>#VALUE!</v>
      </c>
      <c r="CE149" t="e">
        <f>'All regions'!F3724+"n/&gt;!'n&amp;"</f>
        <v>#VALUE!</v>
      </c>
      <c r="CF149" t="e">
        <f>'All regions'!G3724+"n/&gt;!'n'"</f>
        <v>#VALUE!</v>
      </c>
      <c r="CG149" t="e">
        <f>'All regions'!H3724+"n/&gt;!'n("</f>
        <v>#VALUE!</v>
      </c>
      <c r="CH149" t="e">
        <f>'All regions'!I3724+"n/&gt;!'n)"</f>
        <v>#VALUE!</v>
      </c>
      <c r="CI149" t="e">
        <f>'All regions'!J3724+"n/&gt;!'n."</f>
        <v>#VALUE!</v>
      </c>
      <c r="CJ149" t="e">
        <f>'All regions'!A3725+"n/&gt;!'n/"</f>
        <v>#VALUE!</v>
      </c>
      <c r="CK149" t="e">
        <f>'All regions'!B3725+"n/&gt;!'n0"</f>
        <v>#VALUE!</v>
      </c>
      <c r="CL149" t="e">
        <f>'All regions'!C3725+"n/&gt;!'n1"</f>
        <v>#VALUE!</v>
      </c>
      <c r="CM149" t="e">
        <f>'All regions'!D3725+"n/&gt;!'n2"</f>
        <v>#VALUE!</v>
      </c>
      <c r="CN149" t="e">
        <f>'All regions'!E3725+"n/&gt;!'n3"</f>
        <v>#VALUE!</v>
      </c>
      <c r="CO149" t="e">
        <f>'All regions'!F3725+"n/&gt;!'n4"</f>
        <v>#VALUE!</v>
      </c>
      <c r="CP149" t="e">
        <f>'All regions'!G3725+"n/&gt;!'n5"</f>
        <v>#VALUE!</v>
      </c>
      <c r="CQ149" t="e">
        <f>'All regions'!H3725+"n/&gt;!'n6"</f>
        <v>#VALUE!</v>
      </c>
      <c r="CR149" t="e">
        <f>'All regions'!I3725+"n/&gt;!'n7"</f>
        <v>#VALUE!</v>
      </c>
      <c r="CS149" t="e">
        <f>'All regions'!J3725+"n/&gt;!'n8"</f>
        <v>#VALUE!</v>
      </c>
      <c r="CT149" t="e">
        <f>'All regions'!A3726+"n/&gt;!'n9"</f>
        <v>#VALUE!</v>
      </c>
      <c r="CU149" t="e">
        <f>'All regions'!B3726+"n/&gt;!'n:"</f>
        <v>#VALUE!</v>
      </c>
      <c r="CV149" t="e">
        <f>'All regions'!C3726+"n/&gt;!'n;"</f>
        <v>#VALUE!</v>
      </c>
      <c r="CW149" t="e">
        <f>'All regions'!D3726+"n/&gt;!'n&lt;"</f>
        <v>#VALUE!</v>
      </c>
      <c r="CX149" t="e">
        <f>'All regions'!E3726+"n/&gt;!'n="</f>
        <v>#VALUE!</v>
      </c>
      <c r="CY149" t="e">
        <f>'All regions'!F3726+"n/&gt;!'n&gt;"</f>
        <v>#VALUE!</v>
      </c>
      <c r="CZ149" t="e">
        <f>'All regions'!G3726+"n/&gt;!'n?"</f>
        <v>#VALUE!</v>
      </c>
      <c r="DA149" t="e">
        <f>'All regions'!H3726+"n/&gt;!'n@"</f>
        <v>#VALUE!</v>
      </c>
      <c r="DB149" t="e">
        <f>'All regions'!I3726+"n/&gt;!'nA"</f>
        <v>#VALUE!</v>
      </c>
      <c r="DC149" t="e">
        <f>'All regions'!J3726+"n/&gt;!'nB"</f>
        <v>#VALUE!</v>
      </c>
      <c r="DD149" t="e">
        <f>'All regions'!A3727+"n/&gt;!'nC"</f>
        <v>#VALUE!</v>
      </c>
      <c r="DE149" t="e">
        <f>'All regions'!B3727+"n/&gt;!'nD"</f>
        <v>#VALUE!</v>
      </c>
      <c r="DF149" t="e">
        <f>'All regions'!C3727+"n/&gt;!'nE"</f>
        <v>#VALUE!</v>
      </c>
      <c r="DG149" t="e">
        <f>'All regions'!D3727+"n/&gt;!'nF"</f>
        <v>#VALUE!</v>
      </c>
      <c r="DH149" t="e">
        <f>'All regions'!E3727+"n/&gt;!'nG"</f>
        <v>#VALUE!</v>
      </c>
      <c r="DI149" t="e">
        <f>'All regions'!F3727+"n/&gt;!'nH"</f>
        <v>#VALUE!</v>
      </c>
      <c r="DJ149" t="e">
        <f>'All regions'!G3727+"n/&gt;!'nI"</f>
        <v>#VALUE!</v>
      </c>
      <c r="DK149" t="e">
        <f>'All regions'!H3727+"n/&gt;!'nJ"</f>
        <v>#VALUE!</v>
      </c>
      <c r="DL149" t="e">
        <f>'All regions'!I3727+"n/&gt;!'nK"</f>
        <v>#VALUE!</v>
      </c>
      <c r="DM149" t="e">
        <f>'All regions'!J3727+"n/&gt;!'nL"</f>
        <v>#VALUE!</v>
      </c>
      <c r="DN149" t="e">
        <f>'All regions'!A3728+"n/&gt;!'nM"</f>
        <v>#VALUE!</v>
      </c>
      <c r="DO149" t="e">
        <f>'All regions'!B3728+"n/&gt;!'nN"</f>
        <v>#VALUE!</v>
      </c>
      <c r="DP149" t="e">
        <f>'All regions'!C3728+"n/&gt;!'nO"</f>
        <v>#VALUE!</v>
      </c>
      <c r="DQ149" t="e">
        <f>'All regions'!D3728+"n/&gt;!'nP"</f>
        <v>#VALUE!</v>
      </c>
      <c r="DR149" t="e">
        <f>'All regions'!E3728+"n/&gt;!'nQ"</f>
        <v>#VALUE!</v>
      </c>
      <c r="DS149" t="e">
        <f>'All regions'!F3728+"n/&gt;!'nR"</f>
        <v>#VALUE!</v>
      </c>
      <c r="DT149" t="e">
        <f>'All regions'!G3728+"n/&gt;!'nS"</f>
        <v>#VALUE!</v>
      </c>
      <c r="DU149" t="e">
        <f>'All regions'!H3728+"n/&gt;!'nT"</f>
        <v>#VALUE!</v>
      </c>
      <c r="DV149" t="e">
        <f>'All regions'!I3728+"n/&gt;!'nU"</f>
        <v>#VALUE!</v>
      </c>
      <c r="DW149" t="e">
        <f>'All regions'!J3728+"n/&gt;!'nV"</f>
        <v>#VALUE!</v>
      </c>
      <c r="DX149" t="e">
        <f>'All regions'!A3729+"n/&gt;!'nW"</f>
        <v>#VALUE!</v>
      </c>
      <c r="DY149" t="e">
        <f>'All regions'!B3729+"n/&gt;!'nX"</f>
        <v>#VALUE!</v>
      </c>
      <c r="DZ149" t="e">
        <f>'All regions'!C3729+"n/&gt;!'nY"</f>
        <v>#VALUE!</v>
      </c>
      <c r="EA149" t="e">
        <f>'All regions'!D3729+"n/&gt;!'nZ"</f>
        <v>#VALUE!</v>
      </c>
      <c r="EB149" t="e">
        <f>'All regions'!E3729+"n/&gt;!'n["</f>
        <v>#VALUE!</v>
      </c>
      <c r="EC149" t="e">
        <f>'All regions'!F3729+"n/&gt;!'n\"</f>
        <v>#VALUE!</v>
      </c>
      <c r="ED149" t="e">
        <f>'All regions'!G3729+"n/&gt;!'n]"</f>
        <v>#VALUE!</v>
      </c>
      <c r="EE149" t="e">
        <f>'All regions'!H3729+"n/&gt;!'n^"</f>
        <v>#VALUE!</v>
      </c>
      <c r="EF149" t="e">
        <f>'All regions'!I3729+"n/&gt;!'n_"</f>
        <v>#VALUE!</v>
      </c>
      <c r="EG149" t="e">
        <f>'All regions'!J3729+"n/&gt;!'n`"</f>
        <v>#VALUE!</v>
      </c>
      <c r="EH149" t="e">
        <f>'All regions'!A3730+"n/&gt;!'na"</f>
        <v>#VALUE!</v>
      </c>
      <c r="EI149" t="e">
        <f>'All regions'!B3730+"n/&gt;!'nb"</f>
        <v>#VALUE!</v>
      </c>
      <c r="EJ149" t="e">
        <f>'All regions'!C3730+"n/&gt;!'nc"</f>
        <v>#VALUE!</v>
      </c>
      <c r="EK149" t="e">
        <f>'All regions'!D3730+"n/&gt;!'nd"</f>
        <v>#VALUE!</v>
      </c>
      <c r="EL149" t="e">
        <f>'All regions'!E3730+"n/&gt;!'ne"</f>
        <v>#VALUE!</v>
      </c>
      <c r="EM149" t="e">
        <f>'All regions'!F3730+"n/&gt;!'nf"</f>
        <v>#VALUE!</v>
      </c>
      <c r="EN149" t="e">
        <f>'All regions'!G3730+"n/&gt;!'ng"</f>
        <v>#VALUE!</v>
      </c>
      <c r="EO149" t="e">
        <f>'All regions'!H3730+"n/&gt;!'nh"</f>
        <v>#VALUE!</v>
      </c>
      <c r="EP149" t="e">
        <f>'All regions'!I3730+"n/&gt;!'ni"</f>
        <v>#VALUE!</v>
      </c>
      <c r="EQ149" t="e">
        <f>'All regions'!J3730+"n/&gt;!'nj"</f>
        <v>#VALUE!</v>
      </c>
      <c r="ER149" t="e">
        <f>'All regions'!A3731+"n/&gt;!'nk"</f>
        <v>#VALUE!</v>
      </c>
      <c r="ES149" t="e">
        <f>'All regions'!B3731+"n/&gt;!'nl"</f>
        <v>#VALUE!</v>
      </c>
      <c r="ET149" t="e">
        <f>'All regions'!C3731+"n/&gt;!'nm"</f>
        <v>#VALUE!</v>
      </c>
      <c r="EU149" t="e">
        <f>'All regions'!D3731+"n/&gt;!'nn"</f>
        <v>#VALUE!</v>
      </c>
      <c r="EV149" t="e">
        <f>'All regions'!E3731+"n/&gt;!'no"</f>
        <v>#VALUE!</v>
      </c>
      <c r="EW149" t="e">
        <f>'All regions'!F3731+"n/&gt;!'np"</f>
        <v>#VALUE!</v>
      </c>
      <c r="EX149" t="e">
        <f>'All regions'!G3731+"n/&gt;!'nq"</f>
        <v>#VALUE!</v>
      </c>
      <c r="EY149" t="e">
        <f>'All regions'!H3731+"n/&gt;!'nr"</f>
        <v>#VALUE!</v>
      </c>
      <c r="EZ149" t="e">
        <f>'All regions'!I3731+"n/&gt;!'ns"</f>
        <v>#VALUE!</v>
      </c>
      <c r="FA149" t="e">
        <f>'All regions'!J3731+"n/&gt;!'nt"</f>
        <v>#VALUE!</v>
      </c>
      <c r="FB149" t="e">
        <f>'All regions'!A3732+"n/&gt;!'nu"</f>
        <v>#VALUE!</v>
      </c>
      <c r="FC149" t="e">
        <f>'All regions'!B3732+"n/&gt;!'nv"</f>
        <v>#VALUE!</v>
      </c>
      <c r="FD149" t="e">
        <f>'All regions'!C3732+"n/&gt;!'nw"</f>
        <v>#VALUE!</v>
      </c>
      <c r="FE149" t="e">
        <f>'All regions'!D3732+"n/&gt;!'nx"</f>
        <v>#VALUE!</v>
      </c>
      <c r="FF149" t="e">
        <f>'All regions'!E3732+"n/&gt;!'ny"</f>
        <v>#VALUE!</v>
      </c>
      <c r="FG149" t="e">
        <f>'All regions'!F3732+"n/&gt;!'nz"</f>
        <v>#VALUE!</v>
      </c>
      <c r="FH149" t="e">
        <f>'All regions'!G3732+"n/&gt;!'n{"</f>
        <v>#VALUE!</v>
      </c>
      <c r="FI149" t="e">
        <f>'All regions'!H3732+"n/&gt;!'n|"</f>
        <v>#VALUE!</v>
      </c>
      <c r="FJ149" t="e">
        <f>'All regions'!I3732+"n/&gt;!'n}"</f>
        <v>#VALUE!</v>
      </c>
      <c r="FK149" t="e">
        <f>'All regions'!J3732+"n/&gt;!'n~"</f>
        <v>#VALUE!</v>
      </c>
      <c r="FL149" t="e">
        <f>'All regions'!A3733+"n/&gt;!'o#"</f>
        <v>#VALUE!</v>
      </c>
      <c r="FM149" t="e">
        <f>'All regions'!B3733+"n/&gt;!'o$"</f>
        <v>#VALUE!</v>
      </c>
      <c r="FN149" t="e">
        <f>'All regions'!C3733+"n/&gt;!'o%"</f>
        <v>#VALUE!</v>
      </c>
      <c r="FO149" t="e">
        <f>'All regions'!D3733+"n/&gt;!'o&amp;"</f>
        <v>#VALUE!</v>
      </c>
      <c r="FP149" t="e">
        <f>'All regions'!E3733+"n/&gt;!'o'"</f>
        <v>#VALUE!</v>
      </c>
      <c r="FQ149" t="e">
        <f>'All regions'!F3733+"n/&gt;!'o("</f>
        <v>#VALUE!</v>
      </c>
      <c r="FR149" t="e">
        <f>'All regions'!G3733+"n/&gt;!'o)"</f>
        <v>#VALUE!</v>
      </c>
      <c r="FS149" t="e">
        <f>'All regions'!H3733+"n/&gt;!'o."</f>
        <v>#VALUE!</v>
      </c>
      <c r="FT149" t="e">
        <f>'All regions'!I3733+"n/&gt;!'o/"</f>
        <v>#VALUE!</v>
      </c>
      <c r="FU149" t="e">
        <f>'All regions'!J3733+"n/&gt;!'o0"</f>
        <v>#VALUE!</v>
      </c>
      <c r="FV149" t="e">
        <f>'All regions'!A3734+"n/&gt;!'o1"</f>
        <v>#VALUE!</v>
      </c>
      <c r="FW149" t="e">
        <f>'All regions'!B3734+"n/&gt;!'o2"</f>
        <v>#VALUE!</v>
      </c>
      <c r="FX149" t="e">
        <f>'All regions'!C3734+"n/&gt;!'o3"</f>
        <v>#VALUE!</v>
      </c>
      <c r="FY149" t="e">
        <f>'All regions'!D3734+"n/&gt;!'o4"</f>
        <v>#VALUE!</v>
      </c>
      <c r="FZ149" t="e">
        <f>'All regions'!E3734+"n/&gt;!'o5"</f>
        <v>#VALUE!</v>
      </c>
      <c r="GA149" t="e">
        <f>'All regions'!F3734+"n/&gt;!'o6"</f>
        <v>#VALUE!</v>
      </c>
      <c r="GB149" t="e">
        <f>'All regions'!G3734+"n/&gt;!'o7"</f>
        <v>#VALUE!</v>
      </c>
      <c r="GC149" t="e">
        <f>'All regions'!H3734+"n/&gt;!'o8"</f>
        <v>#VALUE!</v>
      </c>
      <c r="GD149" t="e">
        <f>'All regions'!I3734+"n/&gt;!'o9"</f>
        <v>#VALUE!</v>
      </c>
      <c r="GE149" t="e">
        <f>'All regions'!J3734+"n/&gt;!'o:"</f>
        <v>#VALUE!</v>
      </c>
      <c r="GF149" t="e">
        <f>'All regions'!A3735+"n/&gt;!'o;"</f>
        <v>#VALUE!</v>
      </c>
      <c r="GG149" t="e">
        <f>'All regions'!B3735+"n/&gt;!'o&lt;"</f>
        <v>#VALUE!</v>
      </c>
      <c r="GH149" t="e">
        <f>'All regions'!C3735+"n/&gt;!'o="</f>
        <v>#VALUE!</v>
      </c>
      <c r="GI149" t="e">
        <f>'All regions'!D3735+"n/&gt;!'o&gt;"</f>
        <v>#VALUE!</v>
      </c>
      <c r="GJ149" t="e">
        <f>'All regions'!E3735+"n/&gt;!'o?"</f>
        <v>#VALUE!</v>
      </c>
      <c r="GK149" t="e">
        <f>'All regions'!F3735+"n/&gt;!'o@"</f>
        <v>#VALUE!</v>
      </c>
      <c r="GL149" t="e">
        <f>'All regions'!G3735+"n/&gt;!'oA"</f>
        <v>#VALUE!</v>
      </c>
      <c r="GM149" t="e">
        <f>'All regions'!H3735+"n/&gt;!'oB"</f>
        <v>#VALUE!</v>
      </c>
      <c r="GN149" t="e">
        <f>'All regions'!I3735+"n/&gt;!'oC"</f>
        <v>#VALUE!</v>
      </c>
      <c r="GO149" t="e">
        <f>'All regions'!J3735+"n/&gt;!'oD"</f>
        <v>#VALUE!</v>
      </c>
      <c r="GP149" t="e">
        <f>'All regions'!A3736+"n/&gt;!'oE"</f>
        <v>#VALUE!</v>
      </c>
      <c r="GQ149" t="e">
        <f>'All regions'!B3736+"n/&gt;!'oF"</f>
        <v>#VALUE!</v>
      </c>
      <c r="GR149" t="e">
        <f>'All regions'!C3736+"n/&gt;!'oG"</f>
        <v>#VALUE!</v>
      </c>
      <c r="GS149" t="e">
        <f>'All regions'!D3736+"n/&gt;!'oH"</f>
        <v>#VALUE!</v>
      </c>
      <c r="GT149" t="e">
        <f>'All regions'!E3736+"n/&gt;!'oI"</f>
        <v>#VALUE!</v>
      </c>
      <c r="GU149" t="e">
        <f>'All regions'!F3736+"n/&gt;!'oJ"</f>
        <v>#VALUE!</v>
      </c>
      <c r="GV149" t="e">
        <f>'All regions'!G3736+"n/&gt;!'oK"</f>
        <v>#VALUE!</v>
      </c>
      <c r="GW149" t="e">
        <f>'All regions'!H3736+"n/&gt;!'oL"</f>
        <v>#VALUE!</v>
      </c>
      <c r="GX149" t="e">
        <f>'All regions'!I3736+"n/&gt;!'oM"</f>
        <v>#VALUE!</v>
      </c>
      <c r="GY149" t="e">
        <f>'All regions'!J3736+"n/&gt;!'oN"</f>
        <v>#VALUE!</v>
      </c>
      <c r="GZ149" t="e">
        <f>'All regions'!A3737+"n/&gt;!'oO"</f>
        <v>#VALUE!</v>
      </c>
      <c r="HA149" t="e">
        <f>'All regions'!B3737+"n/&gt;!'oP"</f>
        <v>#VALUE!</v>
      </c>
      <c r="HB149" t="e">
        <f>'All regions'!C3737+"n/&gt;!'oQ"</f>
        <v>#VALUE!</v>
      </c>
      <c r="HC149" t="e">
        <f>'All regions'!D3737+"n/&gt;!'oR"</f>
        <v>#VALUE!</v>
      </c>
      <c r="HD149" t="e">
        <f>'All regions'!E3737+"n/&gt;!'oS"</f>
        <v>#VALUE!</v>
      </c>
      <c r="HE149" t="e">
        <f>'All regions'!F3737+"n/&gt;!'oT"</f>
        <v>#VALUE!</v>
      </c>
      <c r="HF149" t="e">
        <f>'All regions'!G3737+"n/&gt;!'oU"</f>
        <v>#VALUE!</v>
      </c>
      <c r="HG149" t="e">
        <f>'All regions'!H3737+"n/&gt;!'oV"</f>
        <v>#VALUE!</v>
      </c>
      <c r="HH149" t="e">
        <f>'All regions'!I3737+"n/&gt;!'oW"</f>
        <v>#VALUE!</v>
      </c>
      <c r="HI149" t="e">
        <f>'All regions'!J3737+"n/&gt;!'oX"</f>
        <v>#VALUE!</v>
      </c>
      <c r="HJ149" t="e">
        <f>'All regions'!A3738+"n/&gt;!'oY"</f>
        <v>#VALUE!</v>
      </c>
      <c r="HK149" t="e">
        <f>'All regions'!B3738+"n/&gt;!'oZ"</f>
        <v>#VALUE!</v>
      </c>
      <c r="HL149" t="e">
        <f>'All regions'!C3738+"n/&gt;!'o["</f>
        <v>#VALUE!</v>
      </c>
      <c r="HM149" t="e">
        <f>'All regions'!D3738+"n/&gt;!'o\"</f>
        <v>#VALUE!</v>
      </c>
      <c r="HN149" t="e">
        <f>'All regions'!E3738+"n/&gt;!'o]"</f>
        <v>#VALUE!</v>
      </c>
      <c r="HO149" t="e">
        <f>'All regions'!F3738+"n/&gt;!'o^"</f>
        <v>#VALUE!</v>
      </c>
      <c r="HP149" t="e">
        <f>'All regions'!G3738+"n/&gt;!'o_"</f>
        <v>#VALUE!</v>
      </c>
      <c r="HQ149" t="e">
        <f>'All regions'!H3738+"n/&gt;!'o`"</f>
        <v>#VALUE!</v>
      </c>
      <c r="HR149" t="e">
        <f>'All regions'!I3738+"n/&gt;!'oa"</f>
        <v>#VALUE!</v>
      </c>
      <c r="HS149" t="e">
        <f>'All regions'!J3738+"n/&gt;!'ob"</f>
        <v>#VALUE!</v>
      </c>
      <c r="HT149" t="e">
        <f>'All regions'!A3739+"n/&gt;!'oc"</f>
        <v>#VALUE!</v>
      </c>
      <c r="HU149" t="e">
        <f>'All regions'!B3739+"n/&gt;!'od"</f>
        <v>#VALUE!</v>
      </c>
      <c r="HV149" t="e">
        <f>'All regions'!C3739+"n/&gt;!'oe"</f>
        <v>#VALUE!</v>
      </c>
      <c r="HW149" t="e">
        <f>'All regions'!D3739+"n/&gt;!'of"</f>
        <v>#VALUE!</v>
      </c>
      <c r="HX149" t="e">
        <f>'All regions'!E3739+"n/&gt;!'og"</f>
        <v>#VALUE!</v>
      </c>
      <c r="HY149" t="e">
        <f>'All regions'!F3739+"n/&gt;!'oh"</f>
        <v>#VALUE!</v>
      </c>
      <c r="HZ149" t="e">
        <f>'All regions'!G3739+"n/&gt;!'oi"</f>
        <v>#VALUE!</v>
      </c>
      <c r="IA149" t="e">
        <f>'All regions'!H3739+"n/&gt;!'oj"</f>
        <v>#VALUE!</v>
      </c>
      <c r="IB149" t="e">
        <f>'All regions'!I3739+"n/&gt;!'ok"</f>
        <v>#VALUE!</v>
      </c>
      <c r="IC149" t="e">
        <f>'All regions'!J3739+"n/&gt;!'ol"</f>
        <v>#VALUE!</v>
      </c>
      <c r="ID149" t="e">
        <f>'All regions'!A3740+"n/&gt;!'om"</f>
        <v>#VALUE!</v>
      </c>
      <c r="IE149" t="e">
        <f>'All regions'!B3740+"n/&gt;!'on"</f>
        <v>#VALUE!</v>
      </c>
      <c r="IF149" t="e">
        <f>'All regions'!C3740+"n/&gt;!'oo"</f>
        <v>#VALUE!</v>
      </c>
      <c r="IG149" t="e">
        <f>'All regions'!D3740+"n/&gt;!'op"</f>
        <v>#VALUE!</v>
      </c>
      <c r="IH149" t="e">
        <f>'All regions'!E3740+"n/&gt;!'oq"</f>
        <v>#VALUE!</v>
      </c>
      <c r="II149" t="e">
        <f>'All regions'!F3740+"n/&gt;!'or"</f>
        <v>#VALUE!</v>
      </c>
      <c r="IJ149" t="e">
        <f>'All regions'!G3740+"n/&gt;!'os"</f>
        <v>#VALUE!</v>
      </c>
      <c r="IK149" t="e">
        <f>'All regions'!H3740+"n/&gt;!'ot"</f>
        <v>#VALUE!</v>
      </c>
      <c r="IL149" t="e">
        <f>'All regions'!I3740+"n/&gt;!'ou"</f>
        <v>#VALUE!</v>
      </c>
      <c r="IM149" t="e">
        <f>'All regions'!J3740+"n/&gt;!'ov"</f>
        <v>#VALUE!</v>
      </c>
      <c r="IN149" t="e">
        <f>'All regions'!A3741+"n/&gt;!'ow"</f>
        <v>#VALUE!</v>
      </c>
      <c r="IO149" t="e">
        <f>'All regions'!B3741+"n/&gt;!'ox"</f>
        <v>#VALUE!</v>
      </c>
      <c r="IP149" t="e">
        <f>'All regions'!C3741+"n/&gt;!'oy"</f>
        <v>#VALUE!</v>
      </c>
      <c r="IQ149" t="e">
        <f>'All regions'!D3741+"n/&gt;!'oz"</f>
        <v>#VALUE!</v>
      </c>
      <c r="IR149" t="e">
        <f>'All regions'!E3741+"n/&gt;!'o{"</f>
        <v>#VALUE!</v>
      </c>
      <c r="IS149" t="e">
        <f>'All regions'!F3741+"n/&gt;!'o|"</f>
        <v>#VALUE!</v>
      </c>
      <c r="IT149" t="e">
        <f>'All regions'!G3741+"n/&gt;!'o}"</f>
        <v>#VALUE!</v>
      </c>
      <c r="IU149" t="e">
        <f>'All regions'!H3741+"n/&gt;!'o~"</f>
        <v>#VALUE!</v>
      </c>
      <c r="IV149" t="e">
        <f>'All regions'!I3741+"n/&gt;!'p#"</f>
        <v>#VALUE!</v>
      </c>
    </row>
    <row r="150" spans="6:256" x14ac:dyDescent="0.35">
      <c r="F150" t="e">
        <f>'All regions'!J3741+"n/&gt;!'p$"</f>
        <v>#VALUE!</v>
      </c>
      <c r="G150" t="e">
        <f>'All regions'!A3742+"n/&gt;!'p%"</f>
        <v>#VALUE!</v>
      </c>
      <c r="H150" t="e">
        <f>'All regions'!B3742+"n/&gt;!'p&amp;"</f>
        <v>#VALUE!</v>
      </c>
      <c r="I150" t="e">
        <f>'All regions'!C3742+"n/&gt;!'p'"</f>
        <v>#VALUE!</v>
      </c>
      <c r="J150" t="e">
        <f>'All regions'!D3742+"n/&gt;!'p("</f>
        <v>#VALUE!</v>
      </c>
      <c r="K150" t="e">
        <f>'All regions'!E3742+"n/&gt;!'p)"</f>
        <v>#VALUE!</v>
      </c>
      <c r="L150" t="e">
        <f>'All regions'!F3742+"n/&gt;!'p."</f>
        <v>#VALUE!</v>
      </c>
      <c r="M150" t="e">
        <f>'All regions'!G3742+"n/&gt;!'p/"</f>
        <v>#VALUE!</v>
      </c>
      <c r="N150" t="e">
        <f>'All regions'!H3742+"n/&gt;!'p0"</f>
        <v>#VALUE!</v>
      </c>
      <c r="O150" t="e">
        <f>'All regions'!I3742+"n/&gt;!'p1"</f>
        <v>#VALUE!</v>
      </c>
      <c r="P150" t="e">
        <f>'All regions'!J3742+"n/&gt;!'p2"</f>
        <v>#VALUE!</v>
      </c>
      <c r="Q150" t="e">
        <f>'All regions'!A3743+"n/&gt;!'p3"</f>
        <v>#VALUE!</v>
      </c>
      <c r="R150" t="e">
        <f>'All regions'!B3743+"n/&gt;!'p4"</f>
        <v>#VALUE!</v>
      </c>
      <c r="S150" t="e">
        <f>'All regions'!C3743+"n/&gt;!'p5"</f>
        <v>#VALUE!</v>
      </c>
      <c r="T150" t="e">
        <f>'All regions'!D3743+"n/&gt;!'p6"</f>
        <v>#VALUE!</v>
      </c>
      <c r="U150" t="e">
        <f>'All regions'!E3743+"n/&gt;!'p7"</f>
        <v>#VALUE!</v>
      </c>
      <c r="V150" t="e">
        <f>'All regions'!F3743+"n/&gt;!'p8"</f>
        <v>#VALUE!</v>
      </c>
      <c r="W150" t="e">
        <f>'All regions'!G3743+"n/&gt;!'p9"</f>
        <v>#VALUE!</v>
      </c>
      <c r="X150" t="e">
        <f>'All regions'!H3743+"n/&gt;!'p:"</f>
        <v>#VALUE!</v>
      </c>
      <c r="Y150" t="e">
        <f>'All regions'!I3743+"n/&gt;!'p;"</f>
        <v>#VALUE!</v>
      </c>
      <c r="Z150" t="e">
        <f>'All regions'!J3743+"n/&gt;!'p&lt;"</f>
        <v>#VALUE!</v>
      </c>
      <c r="AA150" t="e">
        <f>'All regions'!A3744+"n/&gt;!'p="</f>
        <v>#VALUE!</v>
      </c>
      <c r="AB150" t="e">
        <f>'All regions'!B3744+"n/&gt;!'p&gt;"</f>
        <v>#VALUE!</v>
      </c>
      <c r="AC150" t="e">
        <f>'All regions'!C3744+"n/&gt;!'p?"</f>
        <v>#VALUE!</v>
      </c>
      <c r="AD150" t="e">
        <f>'All regions'!D3744+"n/&gt;!'p@"</f>
        <v>#VALUE!</v>
      </c>
      <c r="AE150" t="e">
        <f>'All regions'!E3744+"n/&gt;!'pA"</f>
        <v>#VALUE!</v>
      </c>
      <c r="AF150" t="e">
        <f>'All regions'!F3744+"n/&gt;!'pB"</f>
        <v>#VALUE!</v>
      </c>
      <c r="AG150" t="e">
        <f>'All regions'!G3744+"n/&gt;!'pC"</f>
        <v>#VALUE!</v>
      </c>
      <c r="AH150" t="e">
        <f>'All regions'!H3744+"n/&gt;!'pD"</f>
        <v>#VALUE!</v>
      </c>
      <c r="AI150" t="e">
        <f>'All regions'!I3744+"n/&gt;!'pE"</f>
        <v>#VALUE!</v>
      </c>
      <c r="AJ150" t="e">
        <f>'All regions'!J3744+"n/&gt;!'pF"</f>
        <v>#VALUE!</v>
      </c>
      <c r="AK150" t="e">
        <f>'All regions'!A3745+"n/&gt;!'pG"</f>
        <v>#VALUE!</v>
      </c>
      <c r="AL150" t="e">
        <f>'All regions'!B3745+"n/&gt;!'pH"</f>
        <v>#VALUE!</v>
      </c>
      <c r="AM150" t="e">
        <f>'All regions'!C3745+"n/&gt;!'pI"</f>
        <v>#VALUE!</v>
      </c>
      <c r="AN150" t="e">
        <f>'All regions'!D3745+"n/&gt;!'pJ"</f>
        <v>#VALUE!</v>
      </c>
      <c r="AO150" t="e">
        <f>'All regions'!E3745+"n/&gt;!'pK"</f>
        <v>#VALUE!</v>
      </c>
      <c r="AP150" t="e">
        <f>'All regions'!F3745+"n/&gt;!'pL"</f>
        <v>#VALUE!</v>
      </c>
      <c r="AQ150" t="e">
        <f>'All regions'!G3745+"n/&gt;!'pM"</f>
        <v>#VALUE!</v>
      </c>
      <c r="AR150" t="e">
        <f>'All regions'!H3745+"n/&gt;!'pN"</f>
        <v>#VALUE!</v>
      </c>
      <c r="AS150" t="e">
        <f>'All regions'!I3745+"n/&gt;!'pO"</f>
        <v>#VALUE!</v>
      </c>
      <c r="AT150" t="e">
        <f>'All regions'!J3745+"n/&gt;!'pP"</f>
        <v>#VALUE!</v>
      </c>
      <c r="AU150" t="e">
        <f>'All regions'!A3746+"n/&gt;!'pQ"</f>
        <v>#VALUE!</v>
      </c>
      <c r="AV150" t="e">
        <f>'All regions'!B3746+"n/&gt;!'pR"</f>
        <v>#VALUE!</v>
      </c>
      <c r="AW150" t="e">
        <f>'All regions'!C3746+"n/&gt;!'pS"</f>
        <v>#VALUE!</v>
      </c>
      <c r="AX150" t="e">
        <f>'All regions'!D3746+"n/&gt;!'pT"</f>
        <v>#VALUE!</v>
      </c>
      <c r="AY150" t="e">
        <f>'All regions'!E3746+"n/&gt;!'pU"</f>
        <v>#VALUE!</v>
      </c>
      <c r="AZ150" t="e">
        <f>'All regions'!F3746+"n/&gt;!'pV"</f>
        <v>#VALUE!</v>
      </c>
      <c r="BA150" t="e">
        <f>'All regions'!G3746+"n/&gt;!'pW"</f>
        <v>#VALUE!</v>
      </c>
      <c r="BB150" t="e">
        <f>'All regions'!H3746+"n/&gt;!'pX"</f>
        <v>#VALUE!</v>
      </c>
      <c r="BC150" t="e">
        <f>'All regions'!I3746+"n/&gt;!'pY"</f>
        <v>#VALUE!</v>
      </c>
      <c r="BD150" t="e">
        <f>'All regions'!J3746+"n/&gt;!'pZ"</f>
        <v>#VALUE!</v>
      </c>
      <c r="BE150" t="e">
        <f>'All regions'!A3747+"n/&gt;!'p["</f>
        <v>#VALUE!</v>
      </c>
      <c r="BF150" t="e">
        <f>'All regions'!B3747+"n/&gt;!'p\"</f>
        <v>#VALUE!</v>
      </c>
      <c r="BG150" t="e">
        <f>'All regions'!C3747+"n/&gt;!'p]"</f>
        <v>#VALUE!</v>
      </c>
      <c r="BH150" t="e">
        <f>'All regions'!D3747+"n/&gt;!'p^"</f>
        <v>#VALUE!</v>
      </c>
      <c r="BI150" t="e">
        <f>'All regions'!E3747+"n/&gt;!'p_"</f>
        <v>#VALUE!</v>
      </c>
      <c r="BJ150" t="e">
        <f>'All regions'!F3747+"n/&gt;!'p`"</f>
        <v>#VALUE!</v>
      </c>
      <c r="BK150" t="e">
        <f>'All regions'!G3747+"n/&gt;!'pa"</f>
        <v>#VALUE!</v>
      </c>
      <c r="BL150" t="e">
        <f>'All regions'!H3747+"n/&gt;!'pb"</f>
        <v>#VALUE!</v>
      </c>
      <c r="BM150" t="e">
        <f>'All regions'!I3747+"n/&gt;!'pc"</f>
        <v>#VALUE!</v>
      </c>
      <c r="BN150" t="e">
        <f>'All regions'!J3747+"n/&gt;!'pd"</f>
        <v>#VALUE!</v>
      </c>
      <c r="BO150" t="e">
        <f>'All regions'!A3748+"n/&gt;!'pe"</f>
        <v>#VALUE!</v>
      </c>
      <c r="BP150" t="e">
        <f>'All regions'!B3748+"n/&gt;!'pf"</f>
        <v>#VALUE!</v>
      </c>
      <c r="BQ150" t="e">
        <f>'All regions'!C3748+"n/&gt;!'pg"</f>
        <v>#VALUE!</v>
      </c>
      <c r="BR150" t="e">
        <f>'All regions'!D3748+"n/&gt;!'ph"</f>
        <v>#VALUE!</v>
      </c>
      <c r="BS150" t="e">
        <f>'All regions'!E3748+"n/&gt;!'pi"</f>
        <v>#VALUE!</v>
      </c>
      <c r="BT150" t="e">
        <f>'All regions'!F3748+"n/&gt;!'pj"</f>
        <v>#VALUE!</v>
      </c>
      <c r="BU150" t="e">
        <f>'All regions'!G3748+"n/&gt;!'pk"</f>
        <v>#VALUE!</v>
      </c>
      <c r="BV150" t="e">
        <f>'All regions'!H3748+"n/&gt;!'pl"</f>
        <v>#VALUE!</v>
      </c>
      <c r="BW150" t="e">
        <f>'All regions'!I3748+"n/&gt;!'pm"</f>
        <v>#VALUE!</v>
      </c>
      <c r="BX150" t="e">
        <f>'All regions'!J3748+"n/&gt;!'pn"</f>
        <v>#VALUE!</v>
      </c>
      <c r="BY150" t="e">
        <f>'All regions'!A3749+"n/&gt;!'po"</f>
        <v>#VALUE!</v>
      </c>
      <c r="BZ150" t="e">
        <f>'All regions'!B3749+"n/&gt;!'pp"</f>
        <v>#VALUE!</v>
      </c>
      <c r="CA150" t="e">
        <f>'All regions'!C3749+"n/&gt;!'pq"</f>
        <v>#VALUE!</v>
      </c>
      <c r="CB150" t="e">
        <f>'All regions'!D3749+"n/&gt;!'pr"</f>
        <v>#VALUE!</v>
      </c>
      <c r="CC150" t="e">
        <f>'All regions'!E3749+"n/&gt;!'ps"</f>
        <v>#VALUE!</v>
      </c>
      <c r="CD150" t="e">
        <f>'All regions'!F3749+"n/&gt;!'pt"</f>
        <v>#VALUE!</v>
      </c>
      <c r="CE150" t="e">
        <f>'All regions'!G3749+"n/&gt;!'pu"</f>
        <v>#VALUE!</v>
      </c>
      <c r="CF150" t="e">
        <f>'All regions'!H3749+"n/&gt;!'pv"</f>
        <v>#VALUE!</v>
      </c>
      <c r="CG150" t="e">
        <f>'All regions'!I3749+"n/&gt;!'pw"</f>
        <v>#VALUE!</v>
      </c>
      <c r="CH150" t="e">
        <f>'All regions'!J3749+"n/&gt;!'px"</f>
        <v>#VALUE!</v>
      </c>
      <c r="CI150" t="e">
        <f>'All regions'!A3750+"n/&gt;!'py"</f>
        <v>#VALUE!</v>
      </c>
      <c r="CJ150" t="e">
        <f>'All regions'!B3750+"n/&gt;!'pz"</f>
        <v>#VALUE!</v>
      </c>
      <c r="CK150" t="e">
        <f>'All regions'!C3750+"n/&gt;!'p{"</f>
        <v>#VALUE!</v>
      </c>
      <c r="CL150" t="e">
        <f>'All regions'!D3750+"n/&gt;!'p|"</f>
        <v>#VALUE!</v>
      </c>
      <c r="CM150" t="e">
        <f>'All regions'!E3750+"n/&gt;!'p}"</f>
        <v>#VALUE!</v>
      </c>
      <c r="CN150" t="e">
        <f>'All regions'!F3750+"n/&gt;!'p~"</f>
        <v>#VALUE!</v>
      </c>
      <c r="CO150" t="e">
        <f>'All regions'!G3750+"n/&gt;!'q#"</f>
        <v>#VALUE!</v>
      </c>
      <c r="CP150" t="e">
        <f>'All regions'!H3750+"n/&gt;!'q$"</f>
        <v>#VALUE!</v>
      </c>
      <c r="CQ150" t="e">
        <f>'All regions'!I3750+"n/&gt;!'q%"</f>
        <v>#VALUE!</v>
      </c>
      <c r="CR150" t="e">
        <f>'All regions'!J3750+"n/&gt;!'q&amp;"</f>
        <v>#VALUE!</v>
      </c>
      <c r="CS150" t="e">
        <f>'All regions'!A3751+"n/&gt;!'q'"</f>
        <v>#VALUE!</v>
      </c>
      <c r="CT150" t="e">
        <f>'All regions'!B3751+"n/&gt;!'q("</f>
        <v>#VALUE!</v>
      </c>
      <c r="CU150" t="e">
        <f>'All regions'!C3751+"n/&gt;!'q)"</f>
        <v>#VALUE!</v>
      </c>
      <c r="CV150" t="e">
        <f>'All regions'!D3751+"n/&gt;!'q."</f>
        <v>#VALUE!</v>
      </c>
      <c r="CW150" t="e">
        <f>'All regions'!E3751+"n/&gt;!'q/"</f>
        <v>#VALUE!</v>
      </c>
      <c r="CX150" t="e">
        <f>'All regions'!F3751+"n/&gt;!'q0"</f>
        <v>#VALUE!</v>
      </c>
      <c r="CY150" t="e">
        <f>'All regions'!G3751+"n/&gt;!'q1"</f>
        <v>#VALUE!</v>
      </c>
      <c r="CZ150" t="e">
        <f>'All regions'!H3751+"n/&gt;!'q2"</f>
        <v>#VALUE!</v>
      </c>
      <c r="DA150" t="e">
        <f>'All regions'!I3751+"n/&gt;!'q3"</f>
        <v>#VALUE!</v>
      </c>
      <c r="DB150" t="e">
        <f>'All regions'!J3751+"n/&gt;!'q4"</f>
        <v>#VALUE!</v>
      </c>
      <c r="DC150" t="e">
        <f>'All regions'!A3752+"n/&gt;!'q5"</f>
        <v>#VALUE!</v>
      </c>
      <c r="DD150" t="e">
        <f>'All regions'!B3752+"n/&gt;!'q6"</f>
        <v>#VALUE!</v>
      </c>
      <c r="DE150" t="e">
        <f>'All regions'!C3752+"n/&gt;!'q7"</f>
        <v>#VALUE!</v>
      </c>
      <c r="DF150" t="e">
        <f>'All regions'!D3752+"n/&gt;!'q8"</f>
        <v>#VALUE!</v>
      </c>
      <c r="DG150" t="e">
        <f>'All regions'!E3752+"n/&gt;!'q9"</f>
        <v>#VALUE!</v>
      </c>
      <c r="DH150" t="e">
        <f>'All regions'!F3752+"n/&gt;!'q:"</f>
        <v>#VALUE!</v>
      </c>
      <c r="DI150" t="e">
        <f>'All regions'!G3752+"n/&gt;!'q;"</f>
        <v>#VALUE!</v>
      </c>
      <c r="DJ150" t="e">
        <f>'All regions'!H3752+"n/&gt;!'q&lt;"</f>
        <v>#VALUE!</v>
      </c>
      <c r="DK150" t="e">
        <f>'All regions'!I3752+"n/&gt;!'q="</f>
        <v>#VALUE!</v>
      </c>
      <c r="DL150" t="e">
        <f>'All regions'!J3752+"n/&gt;!'q&gt;"</f>
        <v>#VALUE!</v>
      </c>
      <c r="DM150" t="e">
        <f>'All regions'!A3753+"n/&gt;!'q?"</f>
        <v>#VALUE!</v>
      </c>
      <c r="DN150" t="e">
        <f>'All regions'!B3753+"n/&gt;!'q@"</f>
        <v>#VALUE!</v>
      </c>
      <c r="DO150" t="e">
        <f>'All regions'!C3753+"n/&gt;!'qA"</f>
        <v>#VALUE!</v>
      </c>
      <c r="DP150" t="e">
        <f>'All regions'!D3753+"n/&gt;!'qB"</f>
        <v>#VALUE!</v>
      </c>
      <c r="DQ150" t="e">
        <f>'All regions'!E3753+"n/&gt;!'qC"</f>
        <v>#VALUE!</v>
      </c>
      <c r="DR150" t="e">
        <f>'All regions'!F3753+"n/&gt;!'qD"</f>
        <v>#VALUE!</v>
      </c>
      <c r="DS150" t="e">
        <f>'All regions'!G3753+"n/&gt;!'qE"</f>
        <v>#VALUE!</v>
      </c>
      <c r="DT150" t="e">
        <f>'All regions'!H3753+"n/&gt;!'qF"</f>
        <v>#VALUE!</v>
      </c>
      <c r="DU150" t="e">
        <f>'All regions'!I3753+"n/&gt;!'qG"</f>
        <v>#VALUE!</v>
      </c>
      <c r="DV150" t="e">
        <f>'All regions'!J3753+"n/&gt;!'qH"</f>
        <v>#VALUE!</v>
      </c>
      <c r="DW150" t="e">
        <f>'All regions'!A3754+"n/&gt;!'qI"</f>
        <v>#VALUE!</v>
      </c>
      <c r="DX150" t="e">
        <f>'All regions'!B3754+"n/&gt;!'qJ"</f>
        <v>#VALUE!</v>
      </c>
      <c r="DY150" t="e">
        <f>'All regions'!C3754+"n/&gt;!'qK"</f>
        <v>#VALUE!</v>
      </c>
      <c r="DZ150" t="e">
        <f>'All regions'!D3754+"n/&gt;!'qL"</f>
        <v>#VALUE!</v>
      </c>
      <c r="EA150" t="e">
        <f>'All regions'!E3754+"n/&gt;!'qM"</f>
        <v>#VALUE!</v>
      </c>
      <c r="EB150" t="e">
        <f>'All regions'!F3754+"n/&gt;!'qN"</f>
        <v>#VALUE!</v>
      </c>
      <c r="EC150" t="e">
        <f>'All regions'!G3754+"n/&gt;!'qO"</f>
        <v>#VALUE!</v>
      </c>
      <c r="ED150" t="e">
        <f>'All regions'!H3754+"n/&gt;!'qP"</f>
        <v>#VALUE!</v>
      </c>
      <c r="EE150" t="e">
        <f>'All regions'!I3754+"n/&gt;!'qQ"</f>
        <v>#VALUE!</v>
      </c>
      <c r="EF150" t="e">
        <f>'All regions'!J3754+"n/&gt;!'qR"</f>
        <v>#VALUE!</v>
      </c>
      <c r="EG150" t="e">
        <f>'All regions'!A3755+"n/&gt;!'qS"</f>
        <v>#VALUE!</v>
      </c>
      <c r="EH150" t="e">
        <f>'All regions'!B3755+"n/&gt;!'qT"</f>
        <v>#VALUE!</v>
      </c>
      <c r="EI150" t="e">
        <f>'All regions'!C3755+"n/&gt;!'qU"</f>
        <v>#VALUE!</v>
      </c>
      <c r="EJ150" t="e">
        <f>'All regions'!D3755+"n/&gt;!'qV"</f>
        <v>#VALUE!</v>
      </c>
      <c r="EK150" t="e">
        <f>'All regions'!E3755+"n/&gt;!'qW"</f>
        <v>#VALUE!</v>
      </c>
      <c r="EL150" t="e">
        <f>'All regions'!F3755+"n/&gt;!'qX"</f>
        <v>#VALUE!</v>
      </c>
      <c r="EM150" t="e">
        <f>'All regions'!G3755+"n/&gt;!'qY"</f>
        <v>#VALUE!</v>
      </c>
      <c r="EN150" t="e">
        <f>'All regions'!H3755+"n/&gt;!'qZ"</f>
        <v>#VALUE!</v>
      </c>
      <c r="EO150" t="e">
        <f>'All regions'!I3755+"n/&gt;!'q["</f>
        <v>#VALUE!</v>
      </c>
      <c r="EP150" t="e">
        <f>'All regions'!J3755+"n/&gt;!'q\"</f>
        <v>#VALUE!</v>
      </c>
      <c r="EQ150" t="e">
        <f>'All regions'!A3756+"n/&gt;!'q]"</f>
        <v>#VALUE!</v>
      </c>
      <c r="ER150" t="e">
        <f>'All regions'!B3756+"n/&gt;!'q^"</f>
        <v>#VALUE!</v>
      </c>
      <c r="ES150" t="e">
        <f>'All regions'!C3756+"n/&gt;!'q_"</f>
        <v>#VALUE!</v>
      </c>
      <c r="ET150" t="e">
        <f>'All regions'!D3756+"n/&gt;!'q`"</f>
        <v>#VALUE!</v>
      </c>
      <c r="EU150" t="e">
        <f>'All regions'!E3756+"n/&gt;!'qa"</f>
        <v>#VALUE!</v>
      </c>
      <c r="EV150" t="e">
        <f>'All regions'!F3756+"n/&gt;!'qb"</f>
        <v>#VALUE!</v>
      </c>
      <c r="EW150" t="e">
        <f>'All regions'!G3756+"n/&gt;!'qc"</f>
        <v>#VALUE!</v>
      </c>
      <c r="EX150" t="e">
        <f>'All regions'!H3756+"n/&gt;!'qd"</f>
        <v>#VALUE!</v>
      </c>
      <c r="EY150" t="e">
        <f>'All regions'!I3756+"n/&gt;!'qe"</f>
        <v>#VALUE!</v>
      </c>
      <c r="EZ150" t="e">
        <f>'All regions'!J3756+"n/&gt;!'qf"</f>
        <v>#VALUE!</v>
      </c>
      <c r="FA150" t="e">
        <f>'All regions'!A3757+"n/&gt;!'qg"</f>
        <v>#VALUE!</v>
      </c>
      <c r="FB150" t="e">
        <f>'All regions'!B3757+"n/&gt;!'qh"</f>
        <v>#VALUE!</v>
      </c>
      <c r="FC150" t="e">
        <f>'All regions'!C3757+"n/&gt;!'qi"</f>
        <v>#VALUE!</v>
      </c>
      <c r="FD150" t="e">
        <f>'All regions'!D3757+"n/&gt;!'qj"</f>
        <v>#VALUE!</v>
      </c>
      <c r="FE150" t="e">
        <f>'All regions'!E3757+"n/&gt;!'qk"</f>
        <v>#VALUE!</v>
      </c>
      <c r="FF150" t="e">
        <f>'All regions'!F3757+"n/&gt;!'ql"</f>
        <v>#VALUE!</v>
      </c>
      <c r="FG150" t="e">
        <f>'All regions'!G3757+"n/&gt;!'qm"</f>
        <v>#VALUE!</v>
      </c>
      <c r="FH150" t="e">
        <f>'All regions'!H3757+"n/&gt;!'qn"</f>
        <v>#VALUE!</v>
      </c>
      <c r="FI150" t="e">
        <f>'All regions'!I3757+"n/&gt;!'qo"</f>
        <v>#VALUE!</v>
      </c>
      <c r="FJ150" t="e">
        <f>'All regions'!J3757+"n/&gt;!'qp"</f>
        <v>#VALUE!</v>
      </c>
      <c r="FK150" t="e">
        <f>'All regions'!A3758+"n/&gt;!'qq"</f>
        <v>#VALUE!</v>
      </c>
      <c r="FL150" t="e">
        <f>'All regions'!B3758+"n/&gt;!'qr"</f>
        <v>#VALUE!</v>
      </c>
      <c r="FM150" t="e">
        <f>'All regions'!C3758+"n/&gt;!'qs"</f>
        <v>#VALUE!</v>
      </c>
      <c r="FN150" t="e">
        <f>'All regions'!D3758+"n/&gt;!'qt"</f>
        <v>#VALUE!</v>
      </c>
      <c r="FO150" t="e">
        <f>'All regions'!E3758+"n/&gt;!'qu"</f>
        <v>#VALUE!</v>
      </c>
      <c r="FP150" t="e">
        <f>'All regions'!F3758+"n/&gt;!'qv"</f>
        <v>#VALUE!</v>
      </c>
      <c r="FQ150" t="e">
        <f>'All regions'!G3758+"n/&gt;!'qw"</f>
        <v>#VALUE!</v>
      </c>
      <c r="FR150" t="e">
        <f>'All regions'!H3758+"n/&gt;!'qx"</f>
        <v>#VALUE!</v>
      </c>
      <c r="FS150" t="e">
        <f>'All regions'!I3758+"n/&gt;!'qy"</f>
        <v>#VALUE!</v>
      </c>
      <c r="FT150" t="e">
        <f>'All regions'!J3758+"n/&gt;!'qz"</f>
        <v>#VALUE!</v>
      </c>
      <c r="FU150" t="e">
        <f>'All regions'!A3759+"n/&gt;!'q{"</f>
        <v>#VALUE!</v>
      </c>
      <c r="FV150" t="e">
        <f>'All regions'!B3759+"n/&gt;!'q|"</f>
        <v>#VALUE!</v>
      </c>
      <c r="FW150" t="e">
        <f>'All regions'!C3759+"n/&gt;!'q}"</f>
        <v>#VALUE!</v>
      </c>
      <c r="FX150" t="e">
        <f>'All regions'!D3759+"n/&gt;!'q~"</f>
        <v>#VALUE!</v>
      </c>
      <c r="FY150" t="e">
        <f>'All regions'!E3759+"n/&gt;!'r#"</f>
        <v>#VALUE!</v>
      </c>
      <c r="FZ150" t="e">
        <f>'All regions'!F3759+"n/&gt;!'r$"</f>
        <v>#VALUE!</v>
      </c>
      <c r="GA150" t="e">
        <f>'All regions'!G3759+"n/&gt;!'r%"</f>
        <v>#VALUE!</v>
      </c>
      <c r="GB150" t="e">
        <f>'All regions'!H3759+"n/&gt;!'r&amp;"</f>
        <v>#VALUE!</v>
      </c>
      <c r="GC150" t="e">
        <f>'All regions'!I3759+"n/&gt;!'r'"</f>
        <v>#VALUE!</v>
      </c>
      <c r="GD150" t="e">
        <f>'All regions'!J3759+"n/&gt;!'r("</f>
        <v>#VALUE!</v>
      </c>
      <c r="GE150" t="e">
        <f>'All regions'!A3760+"n/&gt;!'r)"</f>
        <v>#VALUE!</v>
      </c>
      <c r="GF150" t="e">
        <f>'All regions'!B3760+"n/&gt;!'r."</f>
        <v>#VALUE!</v>
      </c>
      <c r="GG150" t="e">
        <f>'All regions'!C3760+"n/&gt;!'r/"</f>
        <v>#VALUE!</v>
      </c>
      <c r="GH150" t="e">
        <f>'All regions'!D3760+"n/&gt;!'r0"</f>
        <v>#VALUE!</v>
      </c>
      <c r="GI150" t="e">
        <f>'All regions'!E3760+"n/&gt;!'r1"</f>
        <v>#VALUE!</v>
      </c>
      <c r="GJ150" t="e">
        <f>'All regions'!F3760+"n/&gt;!'r2"</f>
        <v>#VALUE!</v>
      </c>
      <c r="GK150" t="e">
        <f>'All regions'!G3760+"n/&gt;!'r3"</f>
        <v>#VALUE!</v>
      </c>
      <c r="GL150" t="e">
        <f>'All regions'!H3760+"n/&gt;!'r4"</f>
        <v>#VALUE!</v>
      </c>
      <c r="GM150" t="e">
        <f>'All regions'!I3760+"n/&gt;!'r5"</f>
        <v>#VALUE!</v>
      </c>
      <c r="GN150" t="e">
        <f>'All regions'!J3760+"n/&gt;!'r6"</f>
        <v>#VALUE!</v>
      </c>
      <c r="GO150" t="e">
        <f>'All regions'!A3761+"n/&gt;!'r7"</f>
        <v>#VALUE!</v>
      </c>
      <c r="GP150" t="e">
        <f>'All regions'!B3761+"n/&gt;!'r8"</f>
        <v>#VALUE!</v>
      </c>
      <c r="GQ150" t="e">
        <f>'All regions'!C3761+"n/&gt;!'r9"</f>
        <v>#VALUE!</v>
      </c>
      <c r="GR150" t="e">
        <f>'All regions'!D3761+"n/&gt;!'r:"</f>
        <v>#VALUE!</v>
      </c>
      <c r="GS150" t="e">
        <f>'All regions'!E3761+"n/&gt;!'r;"</f>
        <v>#VALUE!</v>
      </c>
      <c r="GT150" t="e">
        <f>'All regions'!F3761+"n/&gt;!'r&lt;"</f>
        <v>#VALUE!</v>
      </c>
      <c r="GU150" t="e">
        <f>'All regions'!G3761+"n/&gt;!'r="</f>
        <v>#VALUE!</v>
      </c>
      <c r="GV150" t="e">
        <f>'All regions'!H3761+"n/&gt;!'r&gt;"</f>
        <v>#VALUE!</v>
      </c>
      <c r="GW150" t="e">
        <f>'All regions'!I3761+"n/&gt;!'r?"</f>
        <v>#VALUE!</v>
      </c>
      <c r="GX150" t="e">
        <f>'All regions'!J3761+"n/&gt;!'r@"</f>
        <v>#VALUE!</v>
      </c>
      <c r="GY150" t="e">
        <f>'All regions'!A3762+"n/&gt;!'rA"</f>
        <v>#VALUE!</v>
      </c>
      <c r="GZ150" t="e">
        <f>'All regions'!B3762+"n/&gt;!'rB"</f>
        <v>#VALUE!</v>
      </c>
      <c r="HA150" t="e">
        <f>'All regions'!C3762+"n/&gt;!'rC"</f>
        <v>#VALUE!</v>
      </c>
      <c r="HB150" t="e">
        <f>'All regions'!D3762+"n/&gt;!'rD"</f>
        <v>#VALUE!</v>
      </c>
      <c r="HC150" t="e">
        <f>'All regions'!E3762+"n/&gt;!'rE"</f>
        <v>#VALUE!</v>
      </c>
      <c r="HD150" t="e">
        <f>'All regions'!F3762+"n/&gt;!'rF"</f>
        <v>#VALUE!</v>
      </c>
      <c r="HE150" t="e">
        <f>'All regions'!G3762+"n/&gt;!'rG"</f>
        <v>#VALUE!</v>
      </c>
      <c r="HF150" t="e">
        <f>'All regions'!H3762+"n/&gt;!'rH"</f>
        <v>#VALUE!</v>
      </c>
      <c r="HG150" t="e">
        <f>'All regions'!I3762+"n/&gt;!'rI"</f>
        <v>#VALUE!</v>
      </c>
      <c r="HH150" t="e">
        <f>'All regions'!J3762+"n/&gt;!'rJ"</f>
        <v>#VALUE!</v>
      </c>
      <c r="HI150" t="e">
        <f>'All regions'!A3763+"n/&gt;!'rK"</f>
        <v>#VALUE!</v>
      </c>
      <c r="HJ150" t="e">
        <f>'All regions'!B3763+"n/&gt;!'rL"</f>
        <v>#VALUE!</v>
      </c>
      <c r="HK150" t="e">
        <f>'All regions'!C3763+"n/&gt;!'rM"</f>
        <v>#VALUE!</v>
      </c>
      <c r="HL150" t="e">
        <f>'All regions'!D3763+"n/&gt;!'rN"</f>
        <v>#VALUE!</v>
      </c>
      <c r="HM150" t="e">
        <f>'All regions'!E3763+"n/&gt;!'rO"</f>
        <v>#VALUE!</v>
      </c>
      <c r="HN150" t="e">
        <f>'All regions'!F3763+"n/&gt;!'rP"</f>
        <v>#VALUE!</v>
      </c>
      <c r="HO150" t="e">
        <f>'All regions'!G3763+"n/&gt;!'rQ"</f>
        <v>#VALUE!</v>
      </c>
      <c r="HP150" t="e">
        <f>'All regions'!H3763+"n/&gt;!'rR"</f>
        <v>#VALUE!</v>
      </c>
      <c r="HQ150" t="e">
        <f>'All regions'!I3763+"n/&gt;!'rS"</f>
        <v>#VALUE!</v>
      </c>
      <c r="HR150" t="e">
        <f>'All regions'!J3763+"n/&gt;!'rT"</f>
        <v>#VALUE!</v>
      </c>
      <c r="HS150" t="e">
        <f>'All regions'!A3764+"n/&gt;!'rU"</f>
        <v>#VALUE!</v>
      </c>
      <c r="HT150" t="e">
        <f>'All regions'!B3764+"n/&gt;!'rV"</f>
        <v>#VALUE!</v>
      </c>
      <c r="HU150" t="e">
        <f>'All regions'!C3764+"n/&gt;!'rW"</f>
        <v>#VALUE!</v>
      </c>
      <c r="HV150" t="e">
        <f>'All regions'!D3764+"n/&gt;!'rX"</f>
        <v>#VALUE!</v>
      </c>
      <c r="HW150" t="e">
        <f>'All regions'!E3764+"n/&gt;!'rY"</f>
        <v>#VALUE!</v>
      </c>
      <c r="HX150" t="e">
        <f>'All regions'!F3764+"n/&gt;!'rZ"</f>
        <v>#VALUE!</v>
      </c>
      <c r="HY150" t="e">
        <f>'All regions'!G3764+"n/&gt;!'r["</f>
        <v>#VALUE!</v>
      </c>
      <c r="HZ150" t="e">
        <f>'All regions'!H3764+"n/&gt;!'r\"</f>
        <v>#VALUE!</v>
      </c>
      <c r="IA150" t="e">
        <f>'All regions'!I3764+"n/&gt;!'r]"</f>
        <v>#VALUE!</v>
      </c>
      <c r="IB150" t="e">
        <f>'All regions'!J3764+"n/&gt;!'r^"</f>
        <v>#VALUE!</v>
      </c>
      <c r="IC150" t="e">
        <f>'All regions'!A3765+"n/&gt;!'r_"</f>
        <v>#VALUE!</v>
      </c>
      <c r="ID150" t="e">
        <f>'All regions'!B3765+"n/&gt;!'r`"</f>
        <v>#VALUE!</v>
      </c>
      <c r="IE150" t="e">
        <f>'All regions'!C3765+"n/&gt;!'ra"</f>
        <v>#VALUE!</v>
      </c>
      <c r="IF150" t="e">
        <f>'All regions'!D3765+"n/&gt;!'rb"</f>
        <v>#VALUE!</v>
      </c>
      <c r="IG150" t="e">
        <f>'All regions'!E3765+"n/&gt;!'rc"</f>
        <v>#VALUE!</v>
      </c>
      <c r="IH150" t="e">
        <f>'All regions'!F3765+"n/&gt;!'rd"</f>
        <v>#VALUE!</v>
      </c>
      <c r="II150" t="e">
        <f>'All regions'!G3765+"n/&gt;!'re"</f>
        <v>#VALUE!</v>
      </c>
      <c r="IJ150" t="e">
        <f>'All regions'!H3765+"n/&gt;!'rf"</f>
        <v>#VALUE!</v>
      </c>
      <c r="IK150" t="e">
        <f>'All regions'!I3765+"n/&gt;!'rg"</f>
        <v>#VALUE!</v>
      </c>
      <c r="IL150" t="e">
        <f>'All regions'!J3765+"n/&gt;!'rh"</f>
        <v>#VALUE!</v>
      </c>
      <c r="IM150" t="e">
        <f>'All regions'!A3766+"n/&gt;!'ri"</f>
        <v>#VALUE!</v>
      </c>
      <c r="IN150" t="e">
        <f>'All regions'!B3766+"n/&gt;!'rj"</f>
        <v>#VALUE!</v>
      </c>
      <c r="IO150" t="e">
        <f>'All regions'!C3766+"n/&gt;!'rk"</f>
        <v>#VALUE!</v>
      </c>
      <c r="IP150" t="e">
        <f>'All regions'!D3766+"n/&gt;!'rl"</f>
        <v>#VALUE!</v>
      </c>
      <c r="IQ150" t="e">
        <f>'All regions'!E3766+"n/&gt;!'rm"</f>
        <v>#VALUE!</v>
      </c>
      <c r="IR150" t="e">
        <f>'All regions'!F3766+"n/&gt;!'rn"</f>
        <v>#VALUE!</v>
      </c>
      <c r="IS150" t="e">
        <f>'All regions'!G3766+"n/&gt;!'ro"</f>
        <v>#VALUE!</v>
      </c>
      <c r="IT150" t="e">
        <f>'All regions'!H3766+"n/&gt;!'rp"</f>
        <v>#VALUE!</v>
      </c>
      <c r="IU150" t="e">
        <f>'All regions'!I3766+"n/&gt;!'rq"</f>
        <v>#VALUE!</v>
      </c>
      <c r="IV150" t="e">
        <f>'All regions'!J3766+"n/&gt;!'rr"</f>
        <v>#VALUE!</v>
      </c>
    </row>
    <row r="151" spans="6:256" x14ac:dyDescent="0.35">
      <c r="F151" t="e">
        <f>'All regions'!A3767+"n/&gt;!'rs"</f>
        <v>#VALUE!</v>
      </c>
      <c r="G151" t="e">
        <f>'All regions'!B3767+"n/&gt;!'rt"</f>
        <v>#VALUE!</v>
      </c>
      <c r="H151" t="e">
        <f>'All regions'!C3767+"n/&gt;!'ru"</f>
        <v>#VALUE!</v>
      </c>
      <c r="I151" t="e">
        <f>'All regions'!D3767+"n/&gt;!'rv"</f>
        <v>#VALUE!</v>
      </c>
      <c r="J151" t="e">
        <f>'All regions'!E3767+"n/&gt;!'rw"</f>
        <v>#VALUE!</v>
      </c>
      <c r="K151" t="e">
        <f>'All regions'!F3767+"n/&gt;!'rx"</f>
        <v>#VALUE!</v>
      </c>
      <c r="L151" t="e">
        <f>'All regions'!G3767+"n/&gt;!'ry"</f>
        <v>#VALUE!</v>
      </c>
      <c r="M151" t="e">
        <f>'All regions'!H3767+"n/&gt;!'rz"</f>
        <v>#VALUE!</v>
      </c>
      <c r="N151" t="e">
        <f>'All regions'!I3767+"n/&gt;!'r{"</f>
        <v>#VALUE!</v>
      </c>
      <c r="O151" t="e">
        <f>'All regions'!J3767+"n/&gt;!'r|"</f>
        <v>#VALUE!</v>
      </c>
      <c r="P151" t="e">
        <f>'All regions'!A3768+"n/&gt;!'r}"</f>
        <v>#VALUE!</v>
      </c>
      <c r="Q151" t="e">
        <f>'All regions'!B3768+"n/&gt;!'r~"</f>
        <v>#VALUE!</v>
      </c>
      <c r="R151" t="e">
        <f>'All regions'!C3768+"n/&gt;!'s#"</f>
        <v>#VALUE!</v>
      </c>
      <c r="S151" t="e">
        <f>'All regions'!D3768+"n/&gt;!'s$"</f>
        <v>#VALUE!</v>
      </c>
      <c r="T151" t="e">
        <f>'All regions'!E3768+"n/&gt;!'s%"</f>
        <v>#VALUE!</v>
      </c>
      <c r="U151" t="e">
        <f>'All regions'!F3768+"n/&gt;!'s&amp;"</f>
        <v>#VALUE!</v>
      </c>
      <c r="V151" t="e">
        <f>'All regions'!G3768+"n/&gt;!'s'"</f>
        <v>#VALUE!</v>
      </c>
      <c r="W151" t="e">
        <f>'All regions'!H3768+"n/&gt;!'s("</f>
        <v>#VALUE!</v>
      </c>
      <c r="X151" t="e">
        <f>'All regions'!I3768+"n/&gt;!'s)"</f>
        <v>#VALUE!</v>
      </c>
      <c r="Y151" t="e">
        <f>'All regions'!J3768+"n/&gt;!'s."</f>
        <v>#VALUE!</v>
      </c>
      <c r="Z151" t="e">
        <f>'All regions'!A3769+"n/&gt;!'s/"</f>
        <v>#VALUE!</v>
      </c>
      <c r="AA151" t="e">
        <f>'All regions'!B3769+"n/&gt;!'s0"</f>
        <v>#VALUE!</v>
      </c>
      <c r="AB151" t="e">
        <f>'All regions'!C3769+"n/&gt;!'s1"</f>
        <v>#VALUE!</v>
      </c>
      <c r="AC151" t="e">
        <f>'All regions'!D3769+"n/&gt;!'s2"</f>
        <v>#VALUE!</v>
      </c>
      <c r="AD151" t="e">
        <f>'All regions'!E3769+"n/&gt;!'s3"</f>
        <v>#VALUE!</v>
      </c>
      <c r="AE151" t="e">
        <f>'All regions'!F3769+"n/&gt;!'s4"</f>
        <v>#VALUE!</v>
      </c>
      <c r="AF151" t="e">
        <f>'All regions'!G3769+"n/&gt;!'s5"</f>
        <v>#VALUE!</v>
      </c>
      <c r="AG151" t="e">
        <f>'All regions'!H3769+"n/&gt;!'s6"</f>
        <v>#VALUE!</v>
      </c>
      <c r="AH151" t="e">
        <f>'All regions'!I3769+"n/&gt;!'s7"</f>
        <v>#VALUE!</v>
      </c>
      <c r="AI151" t="e">
        <f>'All regions'!J3769+"n/&gt;!'s8"</f>
        <v>#VALUE!</v>
      </c>
      <c r="AJ151" t="e">
        <f>'All regions'!A3770+"n/&gt;!'s9"</f>
        <v>#VALUE!</v>
      </c>
      <c r="AK151" t="e">
        <f>'All regions'!B3770+"n/&gt;!'s:"</f>
        <v>#VALUE!</v>
      </c>
      <c r="AL151" t="e">
        <f>'All regions'!C3770+"n/&gt;!'s;"</f>
        <v>#VALUE!</v>
      </c>
      <c r="AM151" t="e">
        <f>'All regions'!D3770+"n/&gt;!'s&lt;"</f>
        <v>#VALUE!</v>
      </c>
      <c r="AN151" t="e">
        <f>'All regions'!E3770+"n/&gt;!'s="</f>
        <v>#VALUE!</v>
      </c>
      <c r="AO151" t="e">
        <f>'All regions'!F3770+"n/&gt;!'s&gt;"</f>
        <v>#VALUE!</v>
      </c>
      <c r="AP151" t="e">
        <f>'All regions'!G3770+"n/&gt;!'s?"</f>
        <v>#VALUE!</v>
      </c>
      <c r="AQ151" t="e">
        <f>'All regions'!H3770+"n/&gt;!'s@"</f>
        <v>#VALUE!</v>
      </c>
      <c r="AR151" t="e">
        <f>'All regions'!I3770+"n/&gt;!'sA"</f>
        <v>#VALUE!</v>
      </c>
      <c r="AS151" t="e">
        <f>'All regions'!J3770+"n/&gt;!'sB"</f>
        <v>#VALUE!</v>
      </c>
      <c r="AT151" t="e">
        <f>'All regions'!A3771+"n/&gt;!'sC"</f>
        <v>#VALUE!</v>
      </c>
      <c r="AU151" t="e">
        <f>'All regions'!B3771+"n/&gt;!'sD"</f>
        <v>#VALUE!</v>
      </c>
      <c r="AV151" t="e">
        <f>'All regions'!C3771+"n/&gt;!'sE"</f>
        <v>#VALUE!</v>
      </c>
      <c r="AW151" t="e">
        <f>'All regions'!D3771+"n/&gt;!'sF"</f>
        <v>#VALUE!</v>
      </c>
      <c r="AX151" t="e">
        <f>'All regions'!E3771+"n/&gt;!'sG"</f>
        <v>#VALUE!</v>
      </c>
      <c r="AY151" t="e">
        <f>'All regions'!F3771+"n/&gt;!'sH"</f>
        <v>#VALUE!</v>
      </c>
      <c r="AZ151" t="e">
        <f>'All regions'!G3771+"n/&gt;!'sI"</f>
        <v>#VALUE!</v>
      </c>
      <c r="BA151" t="e">
        <f>'All regions'!H3771+"n/&gt;!'sJ"</f>
        <v>#VALUE!</v>
      </c>
      <c r="BB151" t="e">
        <f>'All regions'!I3771+"n/&gt;!'sK"</f>
        <v>#VALUE!</v>
      </c>
      <c r="BC151" t="e">
        <f>'All regions'!J3771+"n/&gt;!'sL"</f>
        <v>#VALUE!</v>
      </c>
      <c r="BD151" t="e">
        <f>'All regions'!A3772+"n/&gt;!'sM"</f>
        <v>#VALUE!</v>
      </c>
      <c r="BE151" t="e">
        <f>'All regions'!B3772+"n/&gt;!'sN"</f>
        <v>#VALUE!</v>
      </c>
      <c r="BF151" t="e">
        <f>'All regions'!C3772+"n/&gt;!'sO"</f>
        <v>#VALUE!</v>
      </c>
      <c r="BG151" t="e">
        <f>'All regions'!D3772+"n/&gt;!'sP"</f>
        <v>#VALUE!</v>
      </c>
      <c r="BH151" t="e">
        <f>'All regions'!E3772+"n/&gt;!'sQ"</f>
        <v>#VALUE!</v>
      </c>
      <c r="BI151" t="e">
        <f>'All regions'!F3772+"n/&gt;!'sR"</f>
        <v>#VALUE!</v>
      </c>
      <c r="BJ151" t="e">
        <f>'All regions'!G3772+"n/&gt;!'sS"</f>
        <v>#VALUE!</v>
      </c>
      <c r="BK151" t="e">
        <f>'All regions'!H3772+"n/&gt;!'sT"</f>
        <v>#VALUE!</v>
      </c>
      <c r="BL151" t="e">
        <f>'All regions'!I3772+"n/&gt;!'sU"</f>
        <v>#VALUE!</v>
      </c>
      <c r="BM151" t="e">
        <f>'All regions'!J3772+"n/&gt;!'sV"</f>
        <v>#VALUE!</v>
      </c>
      <c r="BN151" t="e">
        <f>'All regions'!A3773+"n/&gt;!'sW"</f>
        <v>#VALUE!</v>
      </c>
      <c r="BO151" t="e">
        <f>'All regions'!B3773+"n/&gt;!'sX"</f>
        <v>#VALUE!</v>
      </c>
      <c r="BP151" t="e">
        <f>'All regions'!C3773+"n/&gt;!'sY"</f>
        <v>#VALUE!</v>
      </c>
      <c r="BQ151" t="e">
        <f>'All regions'!D3773+"n/&gt;!'sZ"</f>
        <v>#VALUE!</v>
      </c>
      <c r="BR151" t="e">
        <f>'All regions'!E3773+"n/&gt;!'s["</f>
        <v>#VALUE!</v>
      </c>
      <c r="BS151" t="e">
        <f>'All regions'!F3773+"n/&gt;!'s\"</f>
        <v>#VALUE!</v>
      </c>
      <c r="BT151" t="e">
        <f>'All regions'!G3773+"n/&gt;!'s]"</f>
        <v>#VALUE!</v>
      </c>
      <c r="BU151" t="e">
        <f>'All regions'!H3773+"n/&gt;!'s^"</f>
        <v>#VALUE!</v>
      </c>
      <c r="BV151" t="e">
        <f>'All regions'!I3773+"n/&gt;!'s_"</f>
        <v>#VALUE!</v>
      </c>
      <c r="BW151" t="e">
        <f>'All regions'!J3773+"n/&gt;!'s`"</f>
        <v>#VALUE!</v>
      </c>
      <c r="BX151" t="e">
        <f>'All regions'!A3774+"n/&gt;!'sa"</f>
        <v>#VALUE!</v>
      </c>
      <c r="BY151" t="e">
        <f>'All regions'!B3774+"n/&gt;!'sb"</f>
        <v>#VALUE!</v>
      </c>
      <c r="BZ151" t="e">
        <f>'All regions'!C3774+"n/&gt;!'sc"</f>
        <v>#VALUE!</v>
      </c>
      <c r="CA151" t="e">
        <f>'All regions'!D3774+"n/&gt;!'sd"</f>
        <v>#VALUE!</v>
      </c>
      <c r="CB151" t="e">
        <f>'All regions'!E3774+"n/&gt;!'se"</f>
        <v>#VALUE!</v>
      </c>
      <c r="CC151" t="e">
        <f>'All regions'!F3774+"n/&gt;!'sf"</f>
        <v>#VALUE!</v>
      </c>
      <c r="CD151" t="e">
        <f>'All regions'!G3774+"n/&gt;!'sg"</f>
        <v>#VALUE!</v>
      </c>
      <c r="CE151" t="e">
        <f>'All regions'!H3774+"n/&gt;!'sh"</f>
        <v>#VALUE!</v>
      </c>
      <c r="CF151" t="e">
        <f>'All regions'!I3774+"n/&gt;!'si"</f>
        <v>#VALUE!</v>
      </c>
      <c r="CG151" t="e">
        <f>'All regions'!J3774+"n/&gt;!'sj"</f>
        <v>#VALUE!</v>
      </c>
      <c r="CH151" t="e">
        <f>'All regions'!A3775+"n/&gt;!'sk"</f>
        <v>#VALUE!</v>
      </c>
      <c r="CI151" t="e">
        <f>'All regions'!B3775+"n/&gt;!'sl"</f>
        <v>#VALUE!</v>
      </c>
      <c r="CJ151" t="e">
        <f>'All regions'!C3775+"n/&gt;!'sm"</f>
        <v>#VALUE!</v>
      </c>
      <c r="CK151" t="e">
        <f>'All regions'!D3775+"n/&gt;!'sn"</f>
        <v>#VALUE!</v>
      </c>
      <c r="CL151" t="e">
        <f>'All regions'!E3775+"n/&gt;!'so"</f>
        <v>#VALUE!</v>
      </c>
      <c r="CM151" t="e">
        <f>'All regions'!F3775+"n/&gt;!'sp"</f>
        <v>#VALUE!</v>
      </c>
      <c r="CN151" t="e">
        <f>'All regions'!G3775+"n/&gt;!'sq"</f>
        <v>#VALUE!</v>
      </c>
      <c r="CO151" t="e">
        <f>'All regions'!H3775+"n/&gt;!'sr"</f>
        <v>#VALUE!</v>
      </c>
      <c r="CP151" t="e">
        <f>'All regions'!I3775+"n/&gt;!'ss"</f>
        <v>#VALUE!</v>
      </c>
      <c r="CQ151" t="e">
        <f>'All regions'!J3775+"n/&gt;!'st"</f>
        <v>#VALUE!</v>
      </c>
      <c r="CR151" t="e">
        <f>'All regions'!A3776+"n/&gt;!'su"</f>
        <v>#VALUE!</v>
      </c>
      <c r="CS151" t="e">
        <f>'All regions'!B3776+"n/&gt;!'sv"</f>
        <v>#VALUE!</v>
      </c>
      <c r="CT151" t="e">
        <f>'All regions'!C3776+"n/&gt;!'sw"</f>
        <v>#VALUE!</v>
      </c>
      <c r="CU151" t="e">
        <f>'All regions'!D3776+"n/&gt;!'sx"</f>
        <v>#VALUE!</v>
      </c>
      <c r="CV151" t="e">
        <f>'All regions'!E3776+"n/&gt;!'sy"</f>
        <v>#VALUE!</v>
      </c>
      <c r="CW151" t="e">
        <f>'All regions'!F3776+"n/&gt;!'sz"</f>
        <v>#VALUE!</v>
      </c>
      <c r="CX151" t="e">
        <f>'All regions'!G3776+"n/&gt;!'s{"</f>
        <v>#VALUE!</v>
      </c>
      <c r="CY151" t="e">
        <f>'All regions'!H3776+"n/&gt;!'s|"</f>
        <v>#VALUE!</v>
      </c>
      <c r="CZ151" t="e">
        <f>'All regions'!I3776+"n/&gt;!'s}"</f>
        <v>#VALUE!</v>
      </c>
      <c r="DA151" t="e">
        <f>'All regions'!J3776+"n/&gt;!'s~"</f>
        <v>#VALUE!</v>
      </c>
      <c r="DB151" t="e">
        <f>'All regions'!A3777+"n/&gt;!'t#"</f>
        <v>#VALUE!</v>
      </c>
      <c r="DC151" t="e">
        <f>'All regions'!B3777+"n/&gt;!'t$"</f>
        <v>#VALUE!</v>
      </c>
      <c r="DD151" t="e">
        <f>'All regions'!C3777+"n/&gt;!'t%"</f>
        <v>#VALUE!</v>
      </c>
      <c r="DE151" t="e">
        <f>'All regions'!D3777+"n/&gt;!'t&amp;"</f>
        <v>#VALUE!</v>
      </c>
      <c r="DF151" t="e">
        <f>'All regions'!E3777+"n/&gt;!'t'"</f>
        <v>#VALUE!</v>
      </c>
      <c r="DG151" t="e">
        <f>'All regions'!F3777+"n/&gt;!'t("</f>
        <v>#VALUE!</v>
      </c>
      <c r="DH151" t="e">
        <f>'All regions'!G3777+"n/&gt;!'t)"</f>
        <v>#VALUE!</v>
      </c>
      <c r="DI151" t="e">
        <f>'All regions'!H3777+"n/&gt;!'t."</f>
        <v>#VALUE!</v>
      </c>
      <c r="DJ151" t="e">
        <f>'All regions'!I3777+"n/&gt;!'t/"</f>
        <v>#VALUE!</v>
      </c>
      <c r="DK151" t="e">
        <f>'All regions'!J3777+"n/&gt;!'t0"</f>
        <v>#VALUE!</v>
      </c>
      <c r="DL151" t="e">
        <f>'All regions'!A3778+"n/&gt;!'t1"</f>
        <v>#VALUE!</v>
      </c>
      <c r="DM151" t="e">
        <f>'All regions'!B3778+"n/&gt;!'t2"</f>
        <v>#VALUE!</v>
      </c>
      <c r="DN151" t="e">
        <f>'All regions'!C3778+"n/&gt;!'t3"</f>
        <v>#VALUE!</v>
      </c>
      <c r="DO151" t="e">
        <f>'All regions'!D3778+"n/&gt;!'t4"</f>
        <v>#VALUE!</v>
      </c>
      <c r="DP151" t="e">
        <f>'All regions'!E3778+"n/&gt;!'t5"</f>
        <v>#VALUE!</v>
      </c>
      <c r="DQ151" t="e">
        <f>'All regions'!F3778+"n/&gt;!'t6"</f>
        <v>#VALUE!</v>
      </c>
      <c r="DR151" t="e">
        <f>'All regions'!G3778+"n/&gt;!'t7"</f>
        <v>#VALUE!</v>
      </c>
      <c r="DS151" t="e">
        <f>'All regions'!H3778+"n/&gt;!'t8"</f>
        <v>#VALUE!</v>
      </c>
      <c r="DT151" t="e">
        <f>'All regions'!I3778+"n/&gt;!'t9"</f>
        <v>#VALUE!</v>
      </c>
      <c r="DU151" t="e">
        <f>'All regions'!J3778+"n/&gt;!'t:"</f>
        <v>#VALUE!</v>
      </c>
      <c r="DV151" t="e">
        <f>'All regions'!A3779+"n/&gt;!'t;"</f>
        <v>#VALUE!</v>
      </c>
      <c r="DW151" t="e">
        <f>'All regions'!B3779+"n/&gt;!'t&lt;"</f>
        <v>#VALUE!</v>
      </c>
      <c r="DX151" t="e">
        <f>'All regions'!C3779+"n/&gt;!'t="</f>
        <v>#VALUE!</v>
      </c>
      <c r="DY151" t="e">
        <f>'All regions'!D3779+"n/&gt;!'t&gt;"</f>
        <v>#VALUE!</v>
      </c>
      <c r="DZ151" t="e">
        <f>'All regions'!E3779+"n/&gt;!'t?"</f>
        <v>#VALUE!</v>
      </c>
      <c r="EA151" t="e">
        <f>'All regions'!F3779+"n/&gt;!'t@"</f>
        <v>#VALUE!</v>
      </c>
      <c r="EB151" t="e">
        <f>'All regions'!G3779+"n/&gt;!'tA"</f>
        <v>#VALUE!</v>
      </c>
      <c r="EC151" t="e">
        <f>'All regions'!H3779+"n/&gt;!'tB"</f>
        <v>#VALUE!</v>
      </c>
      <c r="ED151" t="e">
        <f>'All regions'!I3779+"n/&gt;!'tC"</f>
        <v>#VALUE!</v>
      </c>
      <c r="EE151" t="e">
        <f>'All regions'!J3779+"n/&gt;!'tD"</f>
        <v>#VALUE!</v>
      </c>
      <c r="EF151" t="e">
        <f>'All regions'!A3780+"n/&gt;!'tE"</f>
        <v>#VALUE!</v>
      </c>
      <c r="EG151" t="e">
        <f>'All regions'!B3780+"n/&gt;!'tF"</f>
        <v>#VALUE!</v>
      </c>
      <c r="EH151" t="e">
        <f>'All regions'!C3780+"n/&gt;!'tG"</f>
        <v>#VALUE!</v>
      </c>
      <c r="EI151" t="e">
        <f>'All regions'!D3780+"n/&gt;!'tH"</f>
        <v>#VALUE!</v>
      </c>
      <c r="EJ151" t="e">
        <f>'All regions'!E3780+"n/&gt;!'tI"</f>
        <v>#VALUE!</v>
      </c>
      <c r="EK151" t="e">
        <f>'All regions'!F3780+"n/&gt;!'tJ"</f>
        <v>#VALUE!</v>
      </c>
      <c r="EL151" t="e">
        <f>'All regions'!G3780+"n/&gt;!'tK"</f>
        <v>#VALUE!</v>
      </c>
      <c r="EM151" t="e">
        <f>'All regions'!H3780+"n/&gt;!'tL"</f>
        <v>#VALUE!</v>
      </c>
      <c r="EN151" t="e">
        <f>'All regions'!I3780+"n/&gt;!'tM"</f>
        <v>#VALUE!</v>
      </c>
      <c r="EO151" t="e">
        <f>'All regions'!J3780+"n/&gt;!'tN"</f>
        <v>#VALUE!</v>
      </c>
      <c r="EP151" t="e">
        <f>'All regions'!A3781+"n/&gt;!'tO"</f>
        <v>#VALUE!</v>
      </c>
      <c r="EQ151" t="e">
        <f>'All regions'!B3781+"n/&gt;!'tP"</f>
        <v>#VALUE!</v>
      </c>
      <c r="ER151" t="e">
        <f>'All regions'!C3781+"n/&gt;!'tQ"</f>
        <v>#VALUE!</v>
      </c>
      <c r="ES151" t="e">
        <f>'All regions'!D3781+"n/&gt;!'tR"</f>
        <v>#VALUE!</v>
      </c>
      <c r="ET151" t="e">
        <f>'All regions'!E3781+"n/&gt;!'tS"</f>
        <v>#VALUE!</v>
      </c>
      <c r="EU151" t="e">
        <f>'All regions'!F3781+"n/&gt;!'tT"</f>
        <v>#VALUE!</v>
      </c>
      <c r="EV151" t="e">
        <f>'All regions'!G3781+"n/&gt;!'tU"</f>
        <v>#VALUE!</v>
      </c>
      <c r="EW151" t="e">
        <f>'All regions'!H3781+"n/&gt;!'tV"</f>
        <v>#VALUE!</v>
      </c>
      <c r="EX151" t="e">
        <f>'All regions'!I3781+"n/&gt;!'tW"</f>
        <v>#VALUE!</v>
      </c>
      <c r="EY151" t="e">
        <f>'All regions'!J3781+"n/&gt;!'tX"</f>
        <v>#VALUE!</v>
      </c>
      <c r="EZ151" t="e">
        <f>'All regions'!A3782+"n/&gt;!'tY"</f>
        <v>#VALUE!</v>
      </c>
      <c r="FA151" t="e">
        <f>'All regions'!B3782+"n/&gt;!'tZ"</f>
        <v>#VALUE!</v>
      </c>
      <c r="FB151" t="e">
        <f>'All regions'!C3782+"n/&gt;!'t["</f>
        <v>#VALUE!</v>
      </c>
      <c r="FC151" t="e">
        <f>'All regions'!D3782+"n/&gt;!'t\"</f>
        <v>#VALUE!</v>
      </c>
      <c r="FD151" t="e">
        <f>'All regions'!E3782+"n/&gt;!'t]"</f>
        <v>#VALUE!</v>
      </c>
      <c r="FE151" t="e">
        <f>'All regions'!F3782+"n/&gt;!'t^"</f>
        <v>#VALUE!</v>
      </c>
      <c r="FF151" t="e">
        <f>'All regions'!G3782+"n/&gt;!'t_"</f>
        <v>#VALUE!</v>
      </c>
      <c r="FG151" t="e">
        <f>'All regions'!H3782+"n/&gt;!'t`"</f>
        <v>#VALUE!</v>
      </c>
      <c r="FH151" t="e">
        <f>'All regions'!I3782+"n/&gt;!'ta"</f>
        <v>#VALUE!</v>
      </c>
      <c r="FI151" t="e">
        <f>'All regions'!J3782+"n/&gt;!'tb"</f>
        <v>#VALUE!</v>
      </c>
      <c r="FJ151" t="e">
        <f>'All regions'!A3783+"n/&gt;!'tc"</f>
        <v>#VALUE!</v>
      </c>
      <c r="FK151" t="e">
        <f>'All regions'!B3783+"n/&gt;!'td"</f>
        <v>#VALUE!</v>
      </c>
      <c r="FL151" t="e">
        <f>'All regions'!C3783+"n/&gt;!'te"</f>
        <v>#VALUE!</v>
      </c>
      <c r="FM151" t="e">
        <f>'All regions'!D3783+"n/&gt;!'tf"</f>
        <v>#VALUE!</v>
      </c>
      <c r="FN151" t="e">
        <f>'All regions'!E3783+"n/&gt;!'tg"</f>
        <v>#VALUE!</v>
      </c>
      <c r="FO151" t="e">
        <f>'All regions'!F3783+"n/&gt;!'th"</f>
        <v>#VALUE!</v>
      </c>
      <c r="FP151" t="e">
        <f>'All regions'!G3783+"n/&gt;!'ti"</f>
        <v>#VALUE!</v>
      </c>
      <c r="FQ151" t="e">
        <f>'All regions'!H3783+"n/&gt;!'tj"</f>
        <v>#VALUE!</v>
      </c>
      <c r="FR151" t="e">
        <f>'All regions'!I3783+"n/&gt;!'tk"</f>
        <v>#VALUE!</v>
      </c>
      <c r="FS151" t="e">
        <f>'All regions'!J3783+"n/&gt;!'tl"</f>
        <v>#VALUE!</v>
      </c>
      <c r="FT151" t="e">
        <f>'All regions'!A3784+"n/&gt;!'tm"</f>
        <v>#VALUE!</v>
      </c>
      <c r="FU151" t="e">
        <f>'All regions'!B3784+"n/&gt;!'tn"</f>
        <v>#VALUE!</v>
      </c>
      <c r="FV151" t="e">
        <f>'All regions'!C3784+"n/&gt;!'to"</f>
        <v>#VALUE!</v>
      </c>
      <c r="FW151" t="e">
        <f>'All regions'!D3784+"n/&gt;!'tp"</f>
        <v>#VALUE!</v>
      </c>
      <c r="FX151" t="e">
        <f>'All regions'!E3784+"n/&gt;!'tq"</f>
        <v>#VALUE!</v>
      </c>
      <c r="FY151" t="e">
        <f>'All regions'!F3784+"n/&gt;!'tr"</f>
        <v>#VALUE!</v>
      </c>
      <c r="FZ151" t="e">
        <f>'All regions'!G3784+"n/&gt;!'ts"</f>
        <v>#VALUE!</v>
      </c>
      <c r="GA151" t="e">
        <f>'All regions'!H3784+"n/&gt;!'tt"</f>
        <v>#VALUE!</v>
      </c>
      <c r="GB151" t="e">
        <f>'All regions'!I3784+"n/&gt;!'tu"</f>
        <v>#VALUE!</v>
      </c>
      <c r="GC151" t="e">
        <f>'All regions'!J3784+"n/&gt;!'tv"</f>
        <v>#VALUE!</v>
      </c>
      <c r="GD151" t="e">
        <f>'All regions'!A3785+"n/&gt;!'tw"</f>
        <v>#VALUE!</v>
      </c>
      <c r="GE151" t="e">
        <f>'All regions'!B3785+"n/&gt;!'tx"</f>
        <v>#VALUE!</v>
      </c>
      <c r="GF151" t="e">
        <f>'All regions'!C3785+"n/&gt;!'ty"</f>
        <v>#VALUE!</v>
      </c>
      <c r="GG151" t="e">
        <f>'All regions'!D3785+"n/&gt;!'tz"</f>
        <v>#VALUE!</v>
      </c>
      <c r="GH151" t="e">
        <f>'All regions'!E3785+"n/&gt;!'t{"</f>
        <v>#VALUE!</v>
      </c>
      <c r="GI151" t="e">
        <f>'All regions'!F3785+"n/&gt;!'t|"</f>
        <v>#VALUE!</v>
      </c>
      <c r="GJ151" t="e">
        <f>'All regions'!G3785+"n/&gt;!'t}"</f>
        <v>#VALUE!</v>
      </c>
      <c r="GK151" t="e">
        <f>'All regions'!H3785+"n/&gt;!'t~"</f>
        <v>#VALUE!</v>
      </c>
      <c r="GL151" t="e">
        <f>'All regions'!I3785+"n/&gt;!'u#"</f>
        <v>#VALUE!</v>
      </c>
      <c r="GM151" t="e">
        <f>'All regions'!J3785+"n/&gt;!'u$"</f>
        <v>#VALUE!</v>
      </c>
      <c r="GN151" t="e">
        <f>'All regions'!A3786+"n/&gt;!'u%"</f>
        <v>#VALUE!</v>
      </c>
      <c r="GO151" t="e">
        <f>'All regions'!B3786+"n/&gt;!'u&amp;"</f>
        <v>#VALUE!</v>
      </c>
      <c r="GP151" t="e">
        <f>'All regions'!C3786+"n/&gt;!'u'"</f>
        <v>#VALUE!</v>
      </c>
      <c r="GQ151" t="e">
        <f>'All regions'!D3786+"n/&gt;!'u("</f>
        <v>#VALUE!</v>
      </c>
      <c r="GR151" t="e">
        <f>'All regions'!E3786+"n/&gt;!'u)"</f>
        <v>#VALUE!</v>
      </c>
      <c r="GS151" t="e">
        <f>'All regions'!F3786+"n/&gt;!'u."</f>
        <v>#VALUE!</v>
      </c>
      <c r="GT151" t="e">
        <f>'All regions'!G3786+"n/&gt;!'u/"</f>
        <v>#VALUE!</v>
      </c>
      <c r="GU151" t="e">
        <f>'All regions'!H3786+"n/&gt;!'u0"</f>
        <v>#VALUE!</v>
      </c>
      <c r="GV151" t="e">
        <f>'All regions'!I3786+"n/&gt;!'u1"</f>
        <v>#VALUE!</v>
      </c>
      <c r="GW151" t="e">
        <f>'All regions'!J3786+"n/&gt;!'u2"</f>
        <v>#VALUE!</v>
      </c>
      <c r="GX151" t="e">
        <f>'All regions'!A3787+"n/&gt;!'u3"</f>
        <v>#VALUE!</v>
      </c>
      <c r="GY151" t="e">
        <f>'All regions'!B3787+"n/&gt;!'u4"</f>
        <v>#VALUE!</v>
      </c>
      <c r="GZ151" t="e">
        <f>'All regions'!C3787+"n/&gt;!'u5"</f>
        <v>#VALUE!</v>
      </c>
      <c r="HA151" t="e">
        <f>'All regions'!D3787+"n/&gt;!'u6"</f>
        <v>#VALUE!</v>
      </c>
      <c r="HB151" t="e">
        <f>'All regions'!E3787+"n/&gt;!'u7"</f>
        <v>#VALUE!</v>
      </c>
      <c r="HC151" t="e">
        <f>'All regions'!F3787+"n/&gt;!'u8"</f>
        <v>#VALUE!</v>
      </c>
      <c r="HD151" t="e">
        <f>'All regions'!G3787+"n/&gt;!'u9"</f>
        <v>#VALUE!</v>
      </c>
      <c r="HE151" t="e">
        <f>'All regions'!H3787+"n/&gt;!'u:"</f>
        <v>#VALUE!</v>
      </c>
      <c r="HF151" t="e">
        <f>'All regions'!I3787+"n/&gt;!'u;"</f>
        <v>#VALUE!</v>
      </c>
      <c r="HG151" t="e">
        <f>'All regions'!J3787+"n/&gt;!'u&lt;"</f>
        <v>#VALUE!</v>
      </c>
      <c r="HH151" t="e">
        <f>'All regions'!A3788+"n/&gt;!'u="</f>
        <v>#VALUE!</v>
      </c>
      <c r="HI151" t="e">
        <f>'All regions'!B3788+"n/&gt;!'u&gt;"</f>
        <v>#VALUE!</v>
      </c>
      <c r="HJ151" t="e">
        <f>'All regions'!C3788+"n/&gt;!'u?"</f>
        <v>#VALUE!</v>
      </c>
      <c r="HK151" t="e">
        <f>'All regions'!D3788+"n/&gt;!'u@"</f>
        <v>#VALUE!</v>
      </c>
      <c r="HL151" t="e">
        <f>'All regions'!E3788+"n/&gt;!'uA"</f>
        <v>#VALUE!</v>
      </c>
      <c r="HM151" t="e">
        <f>'All regions'!F3788+"n/&gt;!'uB"</f>
        <v>#VALUE!</v>
      </c>
      <c r="HN151" t="e">
        <f>'All regions'!G3788+"n/&gt;!'uC"</f>
        <v>#VALUE!</v>
      </c>
      <c r="HO151" t="e">
        <f>'All regions'!H3788+"n/&gt;!'uD"</f>
        <v>#VALUE!</v>
      </c>
      <c r="HP151" t="e">
        <f>'All regions'!I3788+"n/&gt;!'uE"</f>
        <v>#VALUE!</v>
      </c>
      <c r="HQ151" t="e">
        <f>'All regions'!J3788+"n/&gt;!'uF"</f>
        <v>#VALUE!</v>
      </c>
      <c r="HR151" t="e">
        <f>'All regions'!A3789+"n/&gt;!'uG"</f>
        <v>#VALUE!</v>
      </c>
      <c r="HS151" t="e">
        <f>'All regions'!B3789+"n/&gt;!'uH"</f>
        <v>#VALUE!</v>
      </c>
      <c r="HT151" t="e">
        <f>'All regions'!C3789+"n/&gt;!'uI"</f>
        <v>#VALUE!</v>
      </c>
      <c r="HU151" t="e">
        <f>'All regions'!D3789+"n/&gt;!'uJ"</f>
        <v>#VALUE!</v>
      </c>
      <c r="HV151" t="e">
        <f>'All regions'!E3789+"n/&gt;!'uK"</f>
        <v>#VALUE!</v>
      </c>
      <c r="HW151" t="e">
        <f>'All regions'!F3789+"n/&gt;!'uL"</f>
        <v>#VALUE!</v>
      </c>
      <c r="HX151" t="e">
        <f>'All regions'!G3789+"n/&gt;!'uM"</f>
        <v>#VALUE!</v>
      </c>
      <c r="HY151" t="e">
        <f>'All regions'!H3789+"n/&gt;!'uN"</f>
        <v>#VALUE!</v>
      </c>
      <c r="HZ151" t="e">
        <f>'All regions'!I3789+"n/&gt;!'uO"</f>
        <v>#VALUE!</v>
      </c>
      <c r="IA151" t="e">
        <f>'All regions'!J3789+"n/&gt;!'uP"</f>
        <v>#VALUE!</v>
      </c>
      <c r="IB151" t="e">
        <f>'All regions'!A3790+"n/&gt;!'uQ"</f>
        <v>#VALUE!</v>
      </c>
      <c r="IC151" t="e">
        <f>'All regions'!B3790+"n/&gt;!'uR"</f>
        <v>#VALUE!</v>
      </c>
      <c r="ID151" t="e">
        <f>'All regions'!C3790+"n/&gt;!'uS"</f>
        <v>#VALUE!</v>
      </c>
      <c r="IE151" t="e">
        <f>'All regions'!D3790+"n/&gt;!'uT"</f>
        <v>#VALUE!</v>
      </c>
      <c r="IF151" t="e">
        <f>'All regions'!E3790+"n/&gt;!'uU"</f>
        <v>#VALUE!</v>
      </c>
      <c r="IG151" t="e">
        <f>'All regions'!F3790+"n/&gt;!'uV"</f>
        <v>#VALUE!</v>
      </c>
      <c r="IH151" t="e">
        <f>'All regions'!G3790+"n/&gt;!'uW"</f>
        <v>#VALUE!</v>
      </c>
      <c r="II151" t="e">
        <f>'All regions'!H3790+"n/&gt;!'uX"</f>
        <v>#VALUE!</v>
      </c>
      <c r="IJ151" t="e">
        <f>'All regions'!I3790+"n/&gt;!'uY"</f>
        <v>#VALUE!</v>
      </c>
      <c r="IK151" t="e">
        <f>'All regions'!J3790+"n/&gt;!'uZ"</f>
        <v>#VALUE!</v>
      </c>
      <c r="IL151" t="e">
        <f>'All regions'!A3791+"n/&gt;!'u["</f>
        <v>#VALUE!</v>
      </c>
      <c r="IM151" t="e">
        <f>'All regions'!B3791+"n/&gt;!'u\"</f>
        <v>#VALUE!</v>
      </c>
      <c r="IN151" t="e">
        <f>'All regions'!C3791+"n/&gt;!'u]"</f>
        <v>#VALUE!</v>
      </c>
      <c r="IO151" t="e">
        <f>'All regions'!D3791+"n/&gt;!'u^"</f>
        <v>#VALUE!</v>
      </c>
      <c r="IP151" t="e">
        <f>'All regions'!E3791+"n/&gt;!'u_"</f>
        <v>#VALUE!</v>
      </c>
      <c r="IQ151" t="e">
        <f>'All regions'!F3791+"n/&gt;!'u`"</f>
        <v>#VALUE!</v>
      </c>
      <c r="IR151" t="e">
        <f>'All regions'!G3791+"n/&gt;!'ua"</f>
        <v>#VALUE!</v>
      </c>
      <c r="IS151" t="e">
        <f>'All regions'!H3791+"n/&gt;!'ub"</f>
        <v>#VALUE!</v>
      </c>
      <c r="IT151" t="e">
        <f>'All regions'!I3791+"n/&gt;!'uc"</f>
        <v>#VALUE!</v>
      </c>
      <c r="IU151" t="e">
        <f>'All regions'!J3791+"n/&gt;!'ud"</f>
        <v>#VALUE!</v>
      </c>
      <c r="IV151" t="e">
        <f>'All regions'!A3792+"n/&gt;!'ue"</f>
        <v>#VALUE!</v>
      </c>
    </row>
    <row r="152" spans="6:256" x14ac:dyDescent="0.35">
      <c r="F152" t="e">
        <f>'All regions'!B3792+"n/&gt;!'uf"</f>
        <v>#VALUE!</v>
      </c>
      <c r="G152" t="e">
        <f>'All regions'!C3792+"n/&gt;!'ug"</f>
        <v>#VALUE!</v>
      </c>
      <c r="H152" t="e">
        <f>'All regions'!D3792+"n/&gt;!'uh"</f>
        <v>#VALUE!</v>
      </c>
      <c r="I152" t="e">
        <f>'All regions'!E3792+"n/&gt;!'ui"</f>
        <v>#VALUE!</v>
      </c>
      <c r="J152" t="e">
        <f>'All regions'!F3792+"n/&gt;!'uj"</f>
        <v>#VALUE!</v>
      </c>
      <c r="K152" t="e">
        <f>'All regions'!G3792+"n/&gt;!'uk"</f>
        <v>#VALUE!</v>
      </c>
      <c r="L152" t="e">
        <f>'All regions'!H3792+"n/&gt;!'ul"</f>
        <v>#VALUE!</v>
      </c>
      <c r="M152" t="e">
        <f>'All regions'!I3792+"n/&gt;!'um"</f>
        <v>#VALUE!</v>
      </c>
      <c r="N152" t="e">
        <f>'All regions'!J3792+"n/&gt;!'un"</f>
        <v>#VALUE!</v>
      </c>
      <c r="O152" t="e">
        <f>'All regions'!A3793+"n/&gt;!'uo"</f>
        <v>#VALUE!</v>
      </c>
      <c r="P152" t="e">
        <f>'All regions'!B3793+"n/&gt;!'up"</f>
        <v>#VALUE!</v>
      </c>
      <c r="Q152" t="e">
        <f>'All regions'!C3793+"n/&gt;!'uq"</f>
        <v>#VALUE!</v>
      </c>
      <c r="R152" t="e">
        <f>'All regions'!D3793+"n/&gt;!'ur"</f>
        <v>#VALUE!</v>
      </c>
      <c r="S152" t="e">
        <f>'All regions'!E3793+"n/&gt;!'us"</f>
        <v>#VALUE!</v>
      </c>
      <c r="T152" t="e">
        <f>'All regions'!F3793+"n/&gt;!'ut"</f>
        <v>#VALUE!</v>
      </c>
      <c r="U152" t="e">
        <f>'All regions'!G3793+"n/&gt;!'uu"</f>
        <v>#VALUE!</v>
      </c>
      <c r="V152" t="e">
        <f>'All regions'!H3793+"n/&gt;!'uv"</f>
        <v>#VALUE!</v>
      </c>
      <c r="W152" t="e">
        <f>'All regions'!I3793+"n/&gt;!'uw"</f>
        <v>#VALUE!</v>
      </c>
      <c r="X152" t="e">
        <f>'All regions'!J3793+"n/&gt;!'ux"</f>
        <v>#VALUE!</v>
      </c>
      <c r="Y152" t="e">
        <f>'All regions'!A3794+"n/&gt;!'uy"</f>
        <v>#VALUE!</v>
      </c>
      <c r="Z152" t="e">
        <f>'All regions'!B3794+"n/&gt;!'uz"</f>
        <v>#VALUE!</v>
      </c>
      <c r="AA152" t="e">
        <f>'All regions'!C3794+"n/&gt;!'u{"</f>
        <v>#VALUE!</v>
      </c>
      <c r="AB152" t="e">
        <f>'All regions'!D3794+"n/&gt;!'u|"</f>
        <v>#VALUE!</v>
      </c>
      <c r="AC152" t="e">
        <f>'All regions'!E3794+"n/&gt;!'u}"</f>
        <v>#VALUE!</v>
      </c>
      <c r="AD152" t="e">
        <f>'All regions'!F3794+"n/&gt;!'u~"</f>
        <v>#VALUE!</v>
      </c>
      <c r="AE152" t="e">
        <f>'All regions'!G3794+"n/&gt;!'v#"</f>
        <v>#VALUE!</v>
      </c>
      <c r="AF152" t="e">
        <f>'All regions'!H3794+"n/&gt;!'v$"</f>
        <v>#VALUE!</v>
      </c>
      <c r="AG152" t="e">
        <f>'All regions'!I3794+"n/&gt;!'v%"</f>
        <v>#VALUE!</v>
      </c>
      <c r="AH152" t="e">
        <f>'All regions'!J3794+"n/&gt;!'v&amp;"</f>
        <v>#VALUE!</v>
      </c>
      <c r="AI152" t="e">
        <f>'All regions'!A3795+"n/&gt;!'v'"</f>
        <v>#VALUE!</v>
      </c>
      <c r="AJ152" t="e">
        <f>'All regions'!B3795+"n/&gt;!'v("</f>
        <v>#VALUE!</v>
      </c>
      <c r="AK152" t="e">
        <f>'All regions'!C3795+"n/&gt;!'v)"</f>
        <v>#VALUE!</v>
      </c>
      <c r="AL152" t="e">
        <f>'All regions'!D3795+"n/&gt;!'v."</f>
        <v>#VALUE!</v>
      </c>
      <c r="AM152" t="e">
        <f>'All regions'!E3795+"n/&gt;!'v/"</f>
        <v>#VALUE!</v>
      </c>
      <c r="AN152" t="e">
        <f>'All regions'!F3795+"n/&gt;!'v0"</f>
        <v>#VALUE!</v>
      </c>
      <c r="AO152" t="e">
        <f>'All regions'!G3795+"n/&gt;!'v1"</f>
        <v>#VALUE!</v>
      </c>
      <c r="AP152" t="e">
        <f>'All regions'!H3795+"n/&gt;!'v2"</f>
        <v>#VALUE!</v>
      </c>
      <c r="AQ152" t="e">
        <f>'All regions'!I3795+"n/&gt;!'v3"</f>
        <v>#VALUE!</v>
      </c>
      <c r="AR152" t="e">
        <f>'All regions'!J3795+"n/&gt;!'v4"</f>
        <v>#VALUE!</v>
      </c>
      <c r="AS152" t="e">
        <f>'All regions'!A3796+"n/&gt;!'v5"</f>
        <v>#VALUE!</v>
      </c>
      <c r="AT152" t="e">
        <f>'All regions'!B3796+"n/&gt;!'v6"</f>
        <v>#VALUE!</v>
      </c>
      <c r="AU152" t="e">
        <f>'All regions'!C3796+"n/&gt;!'v7"</f>
        <v>#VALUE!</v>
      </c>
      <c r="AV152" t="e">
        <f>'All regions'!D3796+"n/&gt;!'v8"</f>
        <v>#VALUE!</v>
      </c>
      <c r="AW152" t="e">
        <f>'All regions'!E3796+"n/&gt;!'v9"</f>
        <v>#VALUE!</v>
      </c>
      <c r="AX152" t="e">
        <f>'All regions'!F3796+"n/&gt;!'v:"</f>
        <v>#VALUE!</v>
      </c>
      <c r="AY152" t="e">
        <f>'All regions'!G3796+"n/&gt;!'v;"</f>
        <v>#VALUE!</v>
      </c>
      <c r="AZ152" t="e">
        <f>'All regions'!H3796+"n/&gt;!'v&lt;"</f>
        <v>#VALUE!</v>
      </c>
      <c r="BA152" t="e">
        <f>'All regions'!I3796+"n/&gt;!'v="</f>
        <v>#VALUE!</v>
      </c>
      <c r="BB152" t="e">
        <f>'All regions'!J3796+"n/&gt;!'v&gt;"</f>
        <v>#VALUE!</v>
      </c>
      <c r="BC152" t="e">
        <f>'All regions'!A3797+"n/&gt;!'v?"</f>
        <v>#VALUE!</v>
      </c>
      <c r="BD152" t="e">
        <f>'All regions'!B3797+"n/&gt;!'v@"</f>
        <v>#VALUE!</v>
      </c>
      <c r="BE152" t="e">
        <f>'All regions'!C3797+"n/&gt;!'vA"</f>
        <v>#VALUE!</v>
      </c>
      <c r="BF152" t="e">
        <f>'All regions'!D3797+"n/&gt;!'vB"</f>
        <v>#VALUE!</v>
      </c>
      <c r="BG152" t="e">
        <f>'All regions'!E3797+"n/&gt;!'vC"</f>
        <v>#VALUE!</v>
      </c>
      <c r="BH152" t="e">
        <f>'All regions'!F3797+"n/&gt;!'vD"</f>
        <v>#VALUE!</v>
      </c>
      <c r="BI152" t="e">
        <f>'All regions'!G3797+"n/&gt;!'vE"</f>
        <v>#VALUE!</v>
      </c>
      <c r="BJ152" t="e">
        <f>'All regions'!H3797+"n/&gt;!'vF"</f>
        <v>#VALUE!</v>
      </c>
      <c r="BK152" t="e">
        <f>'All regions'!I3797+"n/&gt;!'vG"</f>
        <v>#VALUE!</v>
      </c>
      <c r="BL152" t="e">
        <f>'All regions'!J3797+"n/&gt;!'vH"</f>
        <v>#VALUE!</v>
      </c>
      <c r="BM152" t="e">
        <f>'All regions'!A3798+"n/&gt;!'vI"</f>
        <v>#VALUE!</v>
      </c>
      <c r="BN152" t="e">
        <f>'All regions'!B3798+"n/&gt;!'vJ"</f>
        <v>#VALUE!</v>
      </c>
      <c r="BO152" t="e">
        <f>'All regions'!C3798+"n/&gt;!'vK"</f>
        <v>#VALUE!</v>
      </c>
      <c r="BP152" t="e">
        <f>'All regions'!D3798+"n/&gt;!'vL"</f>
        <v>#VALUE!</v>
      </c>
      <c r="BQ152" t="e">
        <f>'All regions'!E3798+"n/&gt;!'vM"</f>
        <v>#VALUE!</v>
      </c>
      <c r="BR152" t="e">
        <f>'All regions'!F3798+"n/&gt;!'vN"</f>
        <v>#VALUE!</v>
      </c>
      <c r="BS152" t="e">
        <f>'All regions'!G3798+"n/&gt;!'vO"</f>
        <v>#VALUE!</v>
      </c>
      <c r="BT152" t="e">
        <f>'All regions'!H3798+"n/&gt;!'vP"</f>
        <v>#VALUE!</v>
      </c>
      <c r="BU152" t="e">
        <f>'All regions'!I3798+"n/&gt;!'vQ"</f>
        <v>#VALUE!</v>
      </c>
      <c r="BV152" t="e">
        <f>'All regions'!J3798+"n/&gt;!'vR"</f>
        <v>#VALUE!</v>
      </c>
      <c r="BW152" t="e">
        <f>'All regions'!A3799+"n/&gt;!'vS"</f>
        <v>#VALUE!</v>
      </c>
      <c r="BX152" t="e">
        <f>'All regions'!B3799+"n/&gt;!'vT"</f>
        <v>#VALUE!</v>
      </c>
      <c r="BY152" t="e">
        <f>'All regions'!C3799+"n/&gt;!'vU"</f>
        <v>#VALUE!</v>
      </c>
      <c r="BZ152" t="e">
        <f>'All regions'!D3799+"n/&gt;!'vV"</f>
        <v>#VALUE!</v>
      </c>
      <c r="CA152" t="e">
        <f>'All regions'!E3799+"n/&gt;!'vW"</f>
        <v>#VALUE!</v>
      </c>
      <c r="CB152" t="e">
        <f>'All regions'!F3799+"n/&gt;!'vX"</f>
        <v>#VALUE!</v>
      </c>
      <c r="CC152" t="e">
        <f>'All regions'!G3799+"n/&gt;!'vY"</f>
        <v>#VALUE!</v>
      </c>
      <c r="CD152" t="e">
        <f>'All regions'!H3799+"n/&gt;!'vZ"</f>
        <v>#VALUE!</v>
      </c>
      <c r="CE152" t="e">
        <f>'All regions'!I3799+"n/&gt;!'v["</f>
        <v>#VALUE!</v>
      </c>
      <c r="CF152" t="e">
        <f>'All regions'!J3799+"n/&gt;!'v\"</f>
        <v>#VALUE!</v>
      </c>
      <c r="CG152" t="e">
        <f>'All regions'!A3800+"n/&gt;!'v]"</f>
        <v>#VALUE!</v>
      </c>
      <c r="CH152" t="e">
        <f>'All regions'!B3800+"n/&gt;!'v^"</f>
        <v>#VALUE!</v>
      </c>
      <c r="CI152" t="e">
        <f>'All regions'!C3800+"n/&gt;!'v_"</f>
        <v>#VALUE!</v>
      </c>
      <c r="CJ152" t="e">
        <f>'All regions'!D3800+"n/&gt;!'v`"</f>
        <v>#VALUE!</v>
      </c>
      <c r="CK152" t="e">
        <f>'All regions'!E3800+"n/&gt;!'va"</f>
        <v>#VALUE!</v>
      </c>
      <c r="CL152" t="e">
        <f>'All regions'!F3800+"n/&gt;!'vb"</f>
        <v>#VALUE!</v>
      </c>
      <c r="CM152" t="e">
        <f>'All regions'!G3800+"n/&gt;!'vc"</f>
        <v>#VALUE!</v>
      </c>
      <c r="CN152" t="e">
        <f>'All regions'!H3800+"n/&gt;!'vd"</f>
        <v>#VALUE!</v>
      </c>
      <c r="CO152" t="e">
        <f>'All regions'!I3800+"n/&gt;!'ve"</f>
        <v>#VALUE!</v>
      </c>
      <c r="CP152" t="e">
        <f>'All regions'!J3800+"n/&gt;!'vf"</f>
        <v>#VALUE!</v>
      </c>
      <c r="CQ152" t="e">
        <f>'All regions'!A3801+"n/&gt;!'vg"</f>
        <v>#VALUE!</v>
      </c>
      <c r="CR152" t="e">
        <f>'All regions'!B3801+"n/&gt;!'vh"</f>
        <v>#VALUE!</v>
      </c>
      <c r="CS152" t="e">
        <f>'All regions'!C3801+"n/&gt;!'vi"</f>
        <v>#VALUE!</v>
      </c>
      <c r="CT152" t="e">
        <f>'All regions'!D3801+"n/&gt;!'vj"</f>
        <v>#VALUE!</v>
      </c>
      <c r="CU152" t="e">
        <f>'All regions'!E3801+"n/&gt;!'vk"</f>
        <v>#VALUE!</v>
      </c>
      <c r="CV152" t="e">
        <f>'All regions'!F3801+"n/&gt;!'vl"</f>
        <v>#VALUE!</v>
      </c>
      <c r="CW152" t="e">
        <f>'All regions'!G3801+"n/&gt;!'vm"</f>
        <v>#VALUE!</v>
      </c>
      <c r="CX152" t="e">
        <f>'All regions'!H3801+"n/&gt;!'vn"</f>
        <v>#VALUE!</v>
      </c>
      <c r="CY152" t="e">
        <f>'All regions'!I3801+"n/&gt;!'vo"</f>
        <v>#VALUE!</v>
      </c>
      <c r="CZ152" t="e">
        <f>'All regions'!J3801+"n/&gt;!'vp"</f>
        <v>#VALUE!</v>
      </c>
      <c r="DA152" t="e">
        <f>'All regions'!A3802+"n/&gt;!'vq"</f>
        <v>#VALUE!</v>
      </c>
      <c r="DB152" t="e">
        <f>'All regions'!B3802+"n/&gt;!'vr"</f>
        <v>#VALUE!</v>
      </c>
      <c r="DC152" t="e">
        <f>'All regions'!C3802+"n/&gt;!'vs"</f>
        <v>#VALUE!</v>
      </c>
      <c r="DD152" t="e">
        <f>'All regions'!D3802+"n/&gt;!'vt"</f>
        <v>#VALUE!</v>
      </c>
      <c r="DE152" t="e">
        <f>'All regions'!E3802+"n/&gt;!'vu"</f>
        <v>#VALUE!</v>
      </c>
      <c r="DF152" t="e">
        <f>'All regions'!F3802+"n/&gt;!'vv"</f>
        <v>#VALUE!</v>
      </c>
      <c r="DG152" t="e">
        <f>'All regions'!G3802+"n/&gt;!'vw"</f>
        <v>#VALUE!</v>
      </c>
      <c r="DH152" t="e">
        <f>'All regions'!H3802+"n/&gt;!'vx"</f>
        <v>#VALUE!</v>
      </c>
      <c r="DI152" t="e">
        <f>'All regions'!I3802+"n/&gt;!'vy"</f>
        <v>#VALUE!</v>
      </c>
      <c r="DJ152" t="e">
        <f>'All regions'!J3802+"n/&gt;!'vz"</f>
        <v>#VALUE!</v>
      </c>
      <c r="DK152" t="e">
        <f>'All regions'!A3803+"n/&gt;!'v{"</f>
        <v>#VALUE!</v>
      </c>
      <c r="DL152" t="e">
        <f>'All regions'!B3803+"n/&gt;!'v|"</f>
        <v>#VALUE!</v>
      </c>
      <c r="DM152" t="e">
        <f>'All regions'!C3803+"n/&gt;!'v}"</f>
        <v>#VALUE!</v>
      </c>
      <c r="DN152" t="e">
        <f>'All regions'!D3803+"n/&gt;!'v~"</f>
        <v>#VALUE!</v>
      </c>
      <c r="DO152" t="e">
        <f>'All regions'!E3803+"n/&gt;!'w#"</f>
        <v>#VALUE!</v>
      </c>
      <c r="DP152" t="e">
        <f>'All regions'!F3803+"n/&gt;!'w$"</f>
        <v>#VALUE!</v>
      </c>
      <c r="DQ152" t="e">
        <f>'All regions'!G3803+"n/&gt;!'w%"</f>
        <v>#VALUE!</v>
      </c>
      <c r="DR152" t="e">
        <f>'All regions'!H3803+"n/&gt;!'w&amp;"</f>
        <v>#VALUE!</v>
      </c>
      <c r="DS152" t="e">
        <f>'All regions'!I3803+"n/&gt;!'w'"</f>
        <v>#VALUE!</v>
      </c>
      <c r="DT152" t="e">
        <f>'All regions'!J3803+"n/&gt;!'w("</f>
        <v>#VALUE!</v>
      </c>
      <c r="DU152" t="e">
        <f>'All regions'!A3804+"n/&gt;!'w)"</f>
        <v>#VALUE!</v>
      </c>
      <c r="DV152" t="e">
        <f>'All regions'!B3804+"n/&gt;!'w."</f>
        <v>#VALUE!</v>
      </c>
      <c r="DW152" t="e">
        <f>'All regions'!C3804+"n/&gt;!'w/"</f>
        <v>#VALUE!</v>
      </c>
      <c r="DX152" t="e">
        <f>'All regions'!D3804+"n/&gt;!'w0"</f>
        <v>#VALUE!</v>
      </c>
      <c r="DY152" t="e">
        <f>'All regions'!E3804+"n/&gt;!'w1"</f>
        <v>#VALUE!</v>
      </c>
      <c r="DZ152" t="e">
        <f>'All regions'!F3804+"n/&gt;!'w2"</f>
        <v>#VALUE!</v>
      </c>
      <c r="EA152" t="e">
        <f>'All regions'!G3804+"n/&gt;!'w3"</f>
        <v>#VALUE!</v>
      </c>
      <c r="EB152" t="e">
        <f>'All regions'!H3804+"n/&gt;!'w4"</f>
        <v>#VALUE!</v>
      </c>
      <c r="EC152" t="e">
        <f>'All regions'!I3804+"n/&gt;!'w5"</f>
        <v>#VALUE!</v>
      </c>
      <c r="ED152" t="e">
        <f>'All regions'!J3804+"n/&gt;!'w6"</f>
        <v>#VALUE!</v>
      </c>
      <c r="EE152" t="e">
        <f>'All regions'!A3805+"n/&gt;!'w7"</f>
        <v>#VALUE!</v>
      </c>
      <c r="EF152" t="e">
        <f>'All regions'!B3805+"n/&gt;!'w8"</f>
        <v>#VALUE!</v>
      </c>
      <c r="EG152" t="e">
        <f>'All regions'!C3805+"n/&gt;!'w9"</f>
        <v>#VALUE!</v>
      </c>
      <c r="EH152" t="e">
        <f>'All regions'!D3805+"n/&gt;!'w:"</f>
        <v>#VALUE!</v>
      </c>
      <c r="EI152" t="e">
        <f>'All regions'!E3805+"n/&gt;!'w;"</f>
        <v>#VALUE!</v>
      </c>
      <c r="EJ152" t="e">
        <f>'All regions'!F3805+"n/&gt;!'w&lt;"</f>
        <v>#VALUE!</v>
      </c>
      <c r="EK152" t="e">
        <f>'All regions'!G3805+"n/&gt;!'w="</f>
        <v>#VALUE!</v>
      </c>
      <c r="EL152" t="e">
        <f>'All regions'!H3805+"n/&gt;!'w&gt;"</f>
        <v>#VALUE!</v>
      </c>
      <c r="EM152" t="e">
        <f>'All regions'!I3805+"n/&gt;!'w?"</f>
        <v>#VALUE!</v>
      </c>
      <c r="EN152" t="e">
        <f>'All regions'!J3805+"n/&gt;!'w@"</f>
        <v>#VALUE!</v>
      </c>
      <c r="EO152" t="e">
        <f>'All regions'!A3806+"n/&gt;!'wA"</f>
        <v>#VALUE!</v>
      </c>
      <c r="EP152" t="e">
        <f>'All regions'!B3806+"n/&gt;!'wB"</f>
        <v>#VALUE!</v>
      </c>
      <c r="EQ152" t="e">
        <f>'All regions'!C3806+"n/&gt;!'wC"</f>
        <v>#VALUE!</v>
      </c>
      <c r="ER152" t="e">
        <f>'All regions'!D3806+"n/&gt;!'wD"</f>
        <v>#VALUE!</v>
      </c>
      <c r="ES152" t="e">
        <f>'All regions'!E3806+"n/&gt;!'wE"</f>
        <v>#VALUE!</v>
      </c>
      <c r="ET152" t="e">
        <f>'All regions'!F3806+"n/&gt;!'wF"</f>
        <v>#VALUE!</v>
      </c>
      <c r="EU152" t="e">
        <f>'All regions'!G3806+"n/&gt;!'wG"</f>
        <v>#VALUE!</v>
      </c>
      <c r="EV152" t="e">
        <f>'All regions'!H3806+"n/&gt;!'wH"</f>
        <v>#VALUE!</v>
      </c>
      <c r="EW152" t="e">
        <f>'All regions'!I3806+"n/&gt;!'wI"</f>
        <v>#VALUE!</v>
      </c>
      <c r="EX152" t="e">
        <f>'All regions'!J3806+"n/&gt;!'wJ"</f>
        <v>#VALUE!</v>
      </c>
      <c r="EY152" t="e">
        <f>'All regions'!A3807+"n/&gt;!'wK"</f>
        <v>#VALUE!</v>
      </c>
      <c r="EZ152" t="e">
        <f>'All regions'!B3807+"n/&gt;!'wL"</f>
        <v>#VALUE!</v>
      </c>
      <c r="FA152" t="e">
        <f>'All regions'!C3807+"n/&gt;!'wM"</f>
        <v>#VALUE!</v>
      </c>
      <c r="FB152" t="e">
        <f>'All regions'!D3807+"n/&gt;!'wN"</f>
        <v>#VALUE!</v>
      </c>
      <c r="FC152" t="e">
        <f>'All regions'!E3807+"n/&gt;!'wO"</f>
        <v>#VALUE!</v>
      </c>
      <c r="FD152" t="e">
        <f>'All regions'!F3807+"n/&gt;!'wP"</f>
        <v>#VALUE!</v>
      </c>
      <c r="FE152" t="e">
        <f>'All regions'!G3807+"n/&gt;!'wQ"</f>
        <v>#VALUE!</v>
      </c>
      <c r="FF152" t="e">
        <f>'All regions'!H3807+"n/&gt;!'wR"</f>
        <v>#VALUE!</v>
      </c>
      <c r="FG152" t="e">
        <f>'All regions'!I3807+"n/&gt;!'wS"</f>
        <v>#VALUE!</v>
      </c>
      <c r="FH152" t="e">
        <f>'All regions'!J3807+"n/&gt;!'wT"</f>
        <v>#VALUE!</v>
      </c>
      <c r="FI152" t="e">
        <f>'All regions'!A3808+"n/&gt;!'wU"</f>
        <v>#VALUE!</v>
      </c>
      <c r="FJ152" t="e">
        <f>'All regions'!B3808+"n/&gt;!'wV"</f>
        <v>#VALUE!</v>
      </c>
      <c r="FK152" t="e">
        <f>'All regions'!C3808+"n/&gt;!'wW"</f>
        <v>#VALUE!</v>
      </c>
      <c r="FL152" t="e">
        <f>'All regions'!D3808+"n/&gt;!'wX"</f>
        <v>#VALUE!</v>
      </c>
      <c r="FM152" t="e">
        <f>'All regions'!E3808+"n/&gt;!'wY"</f>
        <v>#VALUE!</v>
      </c>
      <c r="FN152" t="e">
        <f>'All regions'!F3808+"n/&gt;!'wZ"</f>
        <v>#VALUE!</v>
      </c>
      <c r="FO152" t="e">
        <f>'All regions'!G3808+"n/&gt;!'w["</f>
        <v>#VALUE!</v>
      </c>
      <c r="FP152" t="e">
        <f>'All regions'!H3808+"n/&gt;!'w\"</f>
        <v>#VALUE!</v>
      </c>
      <c r="FQ152" t="e">
        <f>'All regions'!I3808+"n/&gt;!'w]"</f>
        <v>#VALUE!</v>
      </c>
      <c r="FR152" t="e">
        <f>'All regions'!J3808+"n/&gt;!'w^"</f>
        <v>#VALUE!</v>
      </c>
      <c r="FS152" t="e">
        <f>'All regions'!A3809+"n/&gt;!'w_"</f>
        <v>#VALUE!</v>
      </c>
      <c r="FT152" t="e">
        <f>'All regions'!B3809+"n/&gt;!'w`"</f>
        <v>#VALUE!</v>
      </c>
      <c r="FU152" t="e">
        <f>'All regions'!C3809+"n/&gt;!'wa"</f>
        <v>#VALUE!</v>
      </c>
      <c r="FV152" t="e">
        <f>'All regions'!D3809+"n/&gt;!'wb"</f>
        <v>#VALUE!</v>
      </c>
      <c r="FW152" t="e">
        <f>'All regions'!E3809+"n/&gt;!'wc"</f>
        <v>#VALUE!</v>
      </c>
      <c r="FX152" t="e">
        <f>'All regions'!F3809+"n/&gt;!'wd"</f>
        <v>#VALUE!</v>
      </c>
      <c r="FY152" t="e">
        <f>'All regions'!G3809+"n/&gt;!'we"</f>
        <v>#VALUE!</v>
      </c>
      <c r="FZ152" t="e">
        <f>'All regions'!H3809+"n/&gt;!'wf"</f>
        <v>#VALUE!</v>
      </c>
      <c r="GA152" t="e">
        <f>'All regions'!I3809+"n/&gt;!'wg"</f>
        <v>#VALUE!</v>
      </c>
      <c r="GB152" t="e">
        <f>'All regions'!J3809+"n/&gt;!'wh"</f>
        <v>#VALUE!</v>
      </c>
      <c r="GC152" t="e">
        <f>'All regions'!A3810+"n/&gt;!'wi"</f>
        <v>#VALUE!</v>
      </c>
      <c r="GD152" t="e">
        <f>'All regions'!B3810+"n/&gt;!'wj"</f>
        <v>#VALUE!</v>
      </c>
      <c r="GE152" t="e">
        <f>'All regions'!C3810+"n/&gt;!'wk"</f>
        <v>#VALUE!</v>
      </c>
      <c r="GF152" t="e">
        <f>'All regions'!D3810+"n/&gt;!'wl"</f>
        <v>#VALUE!</v>
      </c>
      <c r="GG152" t="e">
        <f>'All regions'!E3810+"n/&gt;!'wm"</f>
        <v>#VALUE!</v>
      </c>
      <c r="GH152" t="e">
        <f>'All regions'!F3810+"n/&gt;!'wn"</f>
        <v>#VALUE!</v>
      </c>
      <c r="GI152" t="e">
        <f>'All regions'!G3810+"n/&gt;!'wo"</f>
        <v>#VALUE!</v>
      </c>
      <c r="GJ152" t="e">
        <f>'All regions'!H3810+"n/&gt;!'wp"</f>
        <v>#VALUE!</v>
      </c>
      <c r="GK152" t="e">
        <f>'All regions'!I3810+"n/&gt;!'wq"</f>
        <v>#VALUE!</v>
      </c>
      <c r="GL152" t="e">
        <f>'All regions'!J3810+"n/&gt;!'wr"</f>
        <v>#VALUE!</v>
      </c>
      <c r="GM152" t="e">
        <f>'All regions'!A3811+"n/&gt;!'ws"</f>
        <v>#VALUE!</v>
      </c>
      <c r="GN152" t="e">
        <f>'All regions'!B3811+"n/&gt;!'wt"</f>
        <v>#VALUE!</v>
      </c>
      <c r="GO152" t="e">
        <f>'All regions'!C3811+"n/&gt;!'wu"</f>
        <v>#VALUE!</v>
      </c>
      <c r="GP152" t="e">
        <f>'All regions'!D3811+"n/&gt;!'wv"</f>
        <v>#VALUE!</v>
      </c>
      <c r="GQ152" t="e">
        <f>'All regions'!E3811+"n/&gt;!'ww"</f>
        <v>#VALUE!</v>
      </c>
      <c r="GR152" t="e">
        <f>'All regions'!F3811+"n/&gt;!'wx"</f>
        <v>#VALUE!</v>
      </c>
      <c r="GS152" t="e">
        <f>'All regions'!G3811+"n/&gt;!'wy"</f>
        <v>#VALUE!</v>
      </c>
      <c r="GT152" t="e">
        <f>'All regions'!H3811+"n/&gt;!'wz"</f>
        <v>#VALUE!</v>
      </c>
      <c r="GU152" t="e">
        <f>'All regions'!I3811+"n/&gt;!'w{"</f>
        <v>#VALUE!</v>
      </c>
      <c r="GV152" t="e">
        <f>'All regions'!J3811+"n/&gt;!'w|"</f>
        <v>#VALUE!</v>
      </c>
      <c r="GW152" t="e">
        <f>'All regions'!A3812+"n/&gt;!'w}"</f>
        <v>#VALUE!</v>
      </c>
      <c r="GX152" t="e">
        <f>'All regions'!B3812+"n/&gt;!'w~"</f>
        <v>#VALUE!</v>
      </c>
      <c r="GY152" t="e">
        <f>'All regions'!C3812+"n/&gt;!'x#"</f>
        <v>#VALUE!</v>
      </c>
      <c r="GZ152" t="e">
        <f>'All regions'!D3812+"n/&gt;!'x$"</f>
        <v>#VALUE!</v>
      </c>
      <c r="HA152" t="e">
        <f>'All regions'!E3812+"n/&gt;!'x%"</f>
        <v>#VALUE!</v>
      </c>
      <c r="HB152" t="e">
        <f>'All regions'!F3812+"n/&gt;!'x&amp;"</f>
        <v>#VALUE!</v>
      </c>
      <c r="HC152" t="e">
        <f>'All regions'!G3812+"n/&gt;!'x'"</f>
        <v>#VALUE!</v>
      </c>
      <c r="HD152" t="e">
        <f>'All regions'!H3812+"n/&gt;!'x("</f>
        <v>#VALUE!</v>
      </c>
      <c r="HE152" t="e">
        <f>'All regions'!I3812+"n/&gt;!'x)"</f>
        <v>#VALUE!</v>
      </c>
      <c r="HF152" t="e">
        <f>'All regions'!J3812+"n/&gt;!'x."</f>
        <v>#VALUE!</v>
      </c>
      <c r="HG152" t="e">
        <f>'All regions'!A3813+"n/&gt;!'x/"</f>
        <v>#VALUE!</v>
      </c>
      <c r="HH152" t="e">
        <f>'All regions'!B3813+"n/&gt;!'x0"</f>
        <v>#VALUE!</v>
      </c>
      <c r="HI152" t="e">
        <f>'All regions'!C3813+"n/&gt;!'x1"</f>
        <v>#VALUE!</v>
      </c>
      <c r="HJ152" t="e">
        <f>'All regions'!D3813+"n/&gt;!'x2"</f>
        <v>#VALUE!</v>
      </c>
      <c r="HK152" t="e">
        <f>'All regions'!E3813+"n/&gt;!'x3"</f>
        <v>#VALUE!</v>
      </c>
      <c r="HL152" t="e">
        <f>'All regions'!F3813+"n/&gt;!'x4"</f>
        <v>#VALUE!</v>
      </c>
      <c r="HM152" t="e">
        <f>'All regions'!G3813+"n/&gt;!'x5"</f>
        <v>#VALUE!</v>
      </c>
      <c r="HN152" t="e">
        <f>'All regions'!H3813+"n/&gt;!'x6"</f>
        <v>#VALUE!</v>
      </c>
      <c r="HO152" t="e">
        <f>'All regions'!I3813+"n/&gt;!'x7"</f>
        <v>#VALUE!</v>
      </c>
      <c r="HP152" t="e">
        <f>'All regions'!J3813+"n/&gt;!'x8"</f>
        <v>#VALUE!</v>
      </c>
      <c r="HQ152" t="e">
        <f>'All regions'!A3814+"n/&gt;!'x9"</f>
        <v>#VALUE!</v>
      </c>
      <c r="HR152" t="e">
        <f>'All regions'!B3814+"n/&gt;!'x:"</f>
        <v>#VALUE!</v>
      </c>
      <c r="HS152" t="e">
        <f>'All regions'!C3814+"n/&gt;!'x;"</f>
        <v>#VALUE!</v>
      </c>
      <c r="HT152" t="e">
        <f>'All regions'!D3814+"n/&gt;!'x&lt;"</f>
        <v>#VALUE!</v>
      </c>
      <c r="HU152" t="e">
        <f>'All regions'!E3814+"n/&gt;!'x="</f>
        <v>#VALUE!</v>
      </c>
      <c r="HV152" t="e">
        <f>'All regions'!F3814+"n/&gt;!'x&gt;"</f>
        <v>#VALUE!</v>
      </c>
      <c r="HW152" t="e">
        <f>'All regions'!G3814+"n/&gt;!'x?"</f>
        <v>#VALUE!</v>
      </c>
      <c r="HX152" t="e">
        <f>'All regions'!H3814+"n/&gt;!'x@"</f>
        <v>#VALUE!</v>
      </c>
      <c r="HY152" t="e">
        <f>'All regions'!I3814+"n/&gt;!'xA"</f>
        <v>#VALUE!</v>
      </c>
      <c r="HZ152" t="e">
        <f>'All regions'!J3814+"n/&gt;!'xB"</f>
        <v>#VALUE!</v>
      </c>
      <c r="IA152" t="e">
        <f>'All regions'!A3815+"n/&gt;!'xC"</f>
        <v>#VALUE!</v>
      </c>
      <c r="IB152" t="e">
        <f>'All regions'!B3815+"n/&gt;!'xD"</f>
        <v>#VALUE!</v>
      </c>
      <c r="IC152" t="e">
        <f>'All regions'!C3815+"n/&gt;!'xE"</f>
        <v>#VALUE!</v>
      </c>
      <c r="ID152" t="e">
        <f>'All regions'!D3815+"n/&gt;!'xF"</f>
        <v>#VALUE!</v>
      </c>
      <c r="IE152" t="e">
        <f>'All regions'!E3815+"n/&gt;!'xG"</f>
        <v>#VALUE!</v>
      </c>
      <c r="IF152" t="e">
        <f>'All regions'!F3815+"n/&gt;!'xH"</f>
        <v>#VALUE!</v>
      </c>
      <c r="IG152" t="e">
        <f>'All regions'!G3815+"n/&gt;!'xI"</f>
        <v>#VALUE!</v>
      </c>
      <c r="IH152" t="e">
        <f>'All regions'!H3815+"n/&gt;!'xJ"</f>
        <v>#VALUE!</v>
      </c>
      <c r="II152" t="e">
        <f>'All regions'!I3815+"n/&gt;!'xK"</f>
        <v>#VALUE!</v>
      </c>
      <c r="IJ152" t="e">
        <f>'All regions'!J3815+"n/&gt;!'xL"</f>
        <v>#VALUE!</v>
      </c>
      <c r="IK152" t="e">
        <f>'All regions'!A3816+"n/&gt;!'xM"</f>
        <v>#VALUE!</v>
      </c>
      <c r="IL152" t="e">
        <f>'All regions'!B3816+"n/&gt;!'xN"</f>
        <v>#VALUE!</v>
      </c>
      <c r="IM152" t="e">
        <f>'All regions'!C3816+"n/&gt;!'xO"</f>
        <v>#VALUE!</v>
      </c>
      <c r="IN152" t="e">
        <f>'All regions'!D3816+"n/&gt;!'xP"</f>
        <v>#VALUE!</v>
      </c>
      <c r="IO152" t="e">
        <f>'All regions'!E3816+"n/&gt;!'xQ"</f>
        <v>#VALUE!</v>
      </c>
      <c r="IP152" t="e">
        <f>'All regions'!F3816+"n/&gt;!'xR"</f>
        <v>#VALUE!</v>
      </c>
      <c r="IQ152" t="e">
        <f>'All regions'!G3816+"n/&gt;!'xS"</f>
        <v>#VALUE!</v>
      </c>
      <c r="IR152" t="e">
        <f>'All regions'!H3816+"n/&gt;!'xT"</f>
        <v>#VALUE!</v>
      </c>
      <c r="IS152" t="e">
        <f>'All regions'!I3816+"n/&gt;!'xU"</f>
        <v>#VALUE!</v>
      </c>
      <c r="IT152" t="e">
        <f>'All regions'!J3816+"n/&gt;!'xV"</f>
        <v>#VALUE!</v>
      </c>
      <c r="IU152" t="e">
        <f>'All regions'!A3817+"n/&gt;!'xW"</f>
        <v>#VALUE!</v>
      </c>
      <c r="IV152" t="e">
        <f>'All regions'!B3817+"n/&gt;!'xX"</f>
        <v>#VALUE!</v>
      </c>
    </row>
    <row r="153" spans="6:256" x14ac:dyDescent="0.35">
      <c r="F153" t="e">
        <f>'All regions'!C3817+"n/&gt;!'xY"</f>
        <v>#VALUE!</v>
      </c>
      <c r="G153" t="e">
        <f>'All regions'!D3817+"n/&gt;!'xZ"</f>
        <v>#VALUE!</v>
      </c>
      <c r="H153" t="e">
        <f>'All regions'!E3817+"n/&gt;!'x["</f>
        <v>#VALUE!</v>
      </c>
      <c r="I153" t="e">
        <f>'All regions'!F3817+"n/&gt;!'x\"</f>
        <v>#VALUE!</v>
      </c>
      <c r="J153" t="e">
        <f>'All regions'!G3817+"n/&gt;!'x]"</f>
        <v>#VALUE!</v>
      </c>
      <c r="K153" t="e">
        <f>'All regions'!H3817+"n/&gt;!'x^"</f>
        <v>#VALUE!</v>
      </c>
      <c r="L153" t="e">
        <f>'All regions'!I3817+"n/&gt;!'x_"</f>
        <v>#VALUE!</v>
      </c>
      <c r="M153" t="e">
        <f>'All regions'!J3817+"n/&gt;!'x`"</f>
        <v>#VALUE!</v>
      </c>
      <c r="N153" t="e">
        <f>'All regions'!A3818+"n/&gt;!'xa"</f>
        <v>#VALUE!</v>
      </c>
      <c r="O153" t="e">
        <f>'All regions'!B3818+"n/&gt;!'xb"</f>
        <v>#VALUE!</v>
      </c>
      <c r="P153" t="e">
        <f>'All regions'!C3818+"n/&gt;!'xc"</f>
        <v>#VALUE!</v>
      </c>
      <c r="Q153" t="e">
        <f>'All regions'!D3818+"n/&gt;!'xd"</f>
        <v>#VALUE!</v>
      </c>
      <c r="R153" t="e">
        <f>'All regions'!E3818+"n/&gt;!'xe"</f>
        <v>#VALUE!</v>
      </c>
      <c r="S153" t="e">
        <f>'All regions'!F3818+"n/&gt;!'xf"</f>
        <v>#VALUE!</v>
      </c>
      <c r="T153" t="e">
        <f>'All regions'!G3818+"n/&gt;!'xg"</f>
        <v>#VALUE!</v>
      </c>
      <c r="U153" t="e">
        <f>'All regions'!H3818+"n/&gt;!'xh"</f>
        <v>#VALUE!</v>
      </c>
      <c r="V153" t="e">
        <f>'All regions'!I3818+"n/&gt;!'xi"</f>
        <v>#VALUE!</v>
      </c>
      <c r="W153" t="e">
        <f>'All regions'!J3818+"n/&gt;!'xj"</f>
        <v>#VALUE!</v>
      </c>
      <c r="X153" t="e">
        <f>'All regions'!A3819+"n/&gt;!'xk"</f>
        <v>#VALUE!</v>
      </c>
      <c r="Y153" t="e">
        <f>'All regions'!B3819+"n/&gt;!'xl"</f>
        <v>#VALUE!</v>
      </c>
      <c r="Z153" t="e">
        <f>'All regions'!C3819+"n/&gt;!'xm"</f>
        <v>#VALUE!</v>
      </c>
      <c r="AA153" t="e">
        <f>'All regions'!D3819+"n/&gt;!'xn"</f>
        <v>#VALUE!</v>
      </c>
      <c r="AB153" t="e">
        <f>'All regions'!E3819+"n/&gt;!'xo"</f>
        <v>#VALUE!</v>
      </c>
      <c r="AC153" t="e">
        <f>'All regions'!F3819+"n/&gt;!'xp"</f>
        <v>#VALUE!</v>
      </c>
      <c r="AD153" t="e">
        <f>'All regions'!G3819+"n/&gt;!'xq"</f>
        <v>#VALUE!</v>
      </c>
      <c r="AE153" t="e">
        <f>'All regions'!H3819+"n/&gt;!'xr"</f>
        <v>#VALUE!</v>
      </c>
      <c r="AF153" t="e">
        <f>'All regions'!I3819+"n/&gt;!'xs"</f>
        <v>#VALUE!</v>
      </c>
      <c r="AG153" t="e">
        <f>'All regions'!J3819+"n/&gt;!'xt"</f>
        <v>#VALUE!</v>
      </c>
      <c r="AH153" t="e">
        <f>'All regions'!A3820+"n/&gt;!'xu"</f>
        <v>#VALUE!</v>
      </c>
      <c r="AI153" t="e">
        <f>'All regions'!B3820+"n/&gt;!'xv"</f>
        <v>#VALUE!</v>
      </c>
      <c r="AJ153" t="e">
        <f>'All regions'!C3820+"n/&gt;!'xw"</f>
        <v>#VALUE!</v>
      </c>
      <c r="AK153" t="e">
        <f>'All regions'!D3820+"n/&gt;!'xx"</f>
        <v>#VALUE!</v>
      </c>
      <c r="AL153" t="e">
        <f>'All regions'!E3820+"n/&gt;!'xy"</f>
        <v>#VALUE!</v>
      </c>
      <c r="AM153" t="e">
        <f>'All regions'!F3820+"n/&gt;!'xz"</f>
        <v>#VALUE!</v>
      </c>
      <c r="AN153" t="e">
        <f>'All regions'!G3820+"n/&gt;!'x{"</f>
        <v>#VALUE!</v>
      </c>
      <c r="AO153" t="e">
        <f>'All regions'!H3820+"n/&gt;!'x|"</f>
        <v>#VALUE!</v>
      </c>
      <c r="AP153" t="e">
        <f>'All regions'!I3820+"n/&gt;!'x}"</f>
        <v>#VALUE!</v>
      </c>
      <c r="AQ153" t="e">
        <f>'All regions'!J3820+"n/&gt;!'x~"</f>
        <v>#VALUE!</v>
      </c>
      <c r="AR153" t="e">
        <f>'All regions'!A3821+"n/&gt;!'y#"</f>
        <v>#VALUE!</v>
      </c>
      <c r="AS153" t="e">
        <f>'All regions'!B3821+"n/&gt;!'y$"</f>
        <v>#VALUE!</v>
      </c>
      <c r="AT153" t="e">
        <f>'All regions'!C3821+"n/&gt;!'y%"</f>
        <v>#VALUE!</v>
      </c>
      <c r="AU153" t="e">
        <f>'All regions'!D3821+"n/&gt;!'y&amp;"</f>
        <v>#VALUE!</v>
      </c>
      <c r="AV153" t="e">
        <f>'All regions'!E3821+"n/&gt;!'y'"</f>
        <v>#VALUE!</v>
      </c>
      <c r="AW153" t="e">
        <f>'All regions'!F3821+"n/&gt;!'y("</f>
        <v>#VALUE!</v>
      </c>
      <c r="AX153" t="e">
        <f>'All regions'!G3821+"n/&gt;!'y)"</f>
        <v>#VALUE!</v>
      </c>
      <c r="AY153" t="e">
        <f>'All regions'!H3821+"n/&gt;!'y."</f>
        <v>#VALUE!</v>
      </c>
      <c r="AZ153" t="e">
        <f>'All regions'!I3821+"n/&gt;!'y/"</f>
        <v>#VALUE!</v>
      </c>
      <c r="BA153" t="e">
        <f>'All regions'!J3821+"n/&gt;!'y0"</f>
        <v>#VALUE!</v>
      </c>
      <c r="BB153" t="e">
        <f>'All regions'!A3822+"n/&gt;!'y1"</f>
        <v>#VALUE!</v>
      </c>
      <c r="BC153" t="e">
        <f>'All regions'!B3822+"n/&gt;!'y2"</f>
        <v>#VALUE!</v>
      </c>
      <c r="BD153" t="e">
        <f>'All regions'!C3822+"n/&gt;!'y3"</f>
        <v>#VALUE!</v>
      </c>
      <c r="BE153" t="e">
        <f>'All regions'!D3822+"n/&gt;!'y4"</f>
        <v>#VALUE!</v>
      </c>
      <c r="BF153" t="e">
        <f>'All regions'!E3822+"n/&gt;!'y5"</f>
        <v>#VALUE!</v>
      </c>
      <c r="BG153" t="e">
        <f>'All regions'!F3822+"n/&gt;!'y6"</f>
        <v>#VALUE!</v>
      </c>
      <c r="BH153" t="e">
        <f>'All regions'!G3822+"n/&gt;!'y7"</f>
        <v>#VALUE!</v>
      </c>
      <c r="BI153" t="e">
        <f>'All regions'!H3822+"n/&gt;!'y8"</f>
        <v>#VALUE!</v>
      </c>
      <c r="BJ153" t="e">
        <f>'All regions'!I3822+"n/&gt;!'y9"</f>
        <v>#VALUE!</v>
      </c>
      <c r="BK153" t="e">
        <f>'All regions'!J3822+"n/&gt;!'y:"</f>
        <v>#VALUE!</v>
      </c>
      <c r="BL153" t="e">
        <f>'All regions'!A3823+"n/&gt;!'y;"</f>
        <v>#VALUE!</v>
      </c>
      <c r="BM153" t="e">
        <f>'All regions'!B3823+"n/&gt;!'y&lt;"</f>
        <v>#VALUE!</v>
      </c>
      <c r="BN153" t="e">
        <f>'All regions'!C3823+"n/&gt;!'y="</f>
        <v>#VALUE!</v>
      </c>
      <c r="BO153" t="e">
        <f>'All regions'!D3823+"n/&gt;!'y&gt;"</f>
        <v>#VALUE!</v>
      </c>
      <c r="BP153" t="e">
        <f>'All regions'!E3823+"n/&gt;!'y?"</f>
        <v>#VALUE!</v>
      </c>
      <c r="BQ153" t="e">
        <f>'All regions'!F3823+"n/&gt;!'y@"</f>
        <v>#VALUE!</v>
      </c>
      <c r="BR153" t="e">
        <f>'All regions'!G3823+"n/&gt;!'yA"</f>
        <v>#VALUE!</v>
      </c>
      <c r="BS153" t="e">
        <f>'All regions'!H3823+"n/&gt;!'yB"</f>
        <v>#VALUE!</v>
      </c>
      <c r="BT153" t="e">
        <f>'All regions'!I3823+"n/&gt;!'yC"</f>
        <v>#VALUE!</v>
      </c>
      <c r="BU153" t="e">
        <f>'All regions'!J3823+"n/&gt;!'yD"</f>
        <v>#VALUE!</v>
      </c>
      <c r="BV153" t="e">
        <f>'All regions'!A3824+"n/&gt;!'yE"</f>
        <v>#VALUE!</v>
      </c>
      <c r="BW153" t="e">
        <f>'All regions'!B3824+"n/&gt;!'yF"</f>
        <v>#VALUE!</v>
      </c>
      <c r="BX153" t="e">
        <f>'All regions'!C3824+"n/&gt;!'yG"</f>
        <v>#VALUE!</v>
      </c>
      <c r="BY153" t="e">
        <f>'All regions'!D3824+"n/&gt;!'yH"</f>
        <v>#VALUE!</v>
      </c>
      <c r="BZ153" t="e">
        <f>'All regions'!E3824+"n/&gt;!'yI"</f>
        <v>#VALUE!</v>
      </c>
      <c r="CA153" t="e">
        <f>'All regions'!F3824+"n/&gt;!'yJ"</f>
        <v>#VALUE!</v>
      </c>
      <c r="CB153" t="e">
        <f>'All regions'!G3824+"n/&gt;!'yK"</f>
        <v>#VALUE!</v>
      </c>
      <c r="CC153" t="e">
        <f>'All regions'!H3824+"n/&gt;!'yL"</f>
        <v>#VALUE!</v>
      </c>
      <c r="CD153" t="e">
        <f>'All regions'!I3824+"n/&gt;!'yM"</f>
        <v>#VALUE!</v>
      </c>
      <c r="CE153" t="e">
        <f>'All regions'!J3824+"n/&gt;!'yN"</f>
        <v>#VALUE!</v>
      </c>
      <c r="CF153" t="e">
        <f>'All regions'!A3825+"n/&gt;!'yO"</f>
        <v>#VALUE!</v>
      </c>
      <c r="CG153" t="e">
        <f>'All regions'!B3825+"n/&gt;!'yP"</f>
        <v>#VALUE!</v>
      </c>
      <c r="CH153" t="e">
        <f>'All regions'!C3825+"n/&gt;!'yQ"</f>
        <v>#VALUE!</v>
      </c>
      <c r="CI153" t="e">
        <f>'All regions'!D3825+"n/&gt;!'yR"</f>
        <v>#VALUE!</v>
      </c>
      <c r="CJ153" t="e">
        <f>'All regions'!E3825+"n/&gt;!'yS"</f>
        <v>#VALUE!</v>
      </c>
      <c r="CK153" t="e">
        <f>'All regions'!F3825+"n/&gt;!'yT"</f>
        <v>#VALUE!</v>
      </c>
      <c r="CL153" t="e">
        <f>'All regions'!G3825+"n/&gt;!'yU"</f>
        <v>#VALUE!</v>
      </c>
      <c r="CM153" t="e">
        <f>'All regions'!H3825+"n/&gt;!'yV"</f>
        <v>#VALUE!</v>
      </c>
      <c r="CN153" t="e">
        <f>'All regions'!I3825+"n/&gt;!'yW"</f>
        <v>#VALUE!</v>
      </c>
      <c r="CO153" t="e">
        <f>'All regions'!J3825+"n/&gt;!'yX"</f>
        <v>#VALUE!</v>
      </c>
      <c r="CP153" t="e">
        <f>'All regions'!A3826+"n/&gt;!'yY"</f>
        <v>#VALUE!</v>
      </c>
      <c r="CQ153" t="e">
        <f>'All regions'!B3826+"n/&gt;!'yZ"</f>
        <v>#VALUE!</v>
      </c>
      <c r="CR153" t="e">
        <f>'All regions'!C3826+"n/&gt;!'y["</f>
        <v>#VALUE!</v>
      </c>
      <c r="CS153" t="e">
        <f>'All regions'!D3826+"n/&gt;!'y\"</f>
        <v>#VALUE!</v>
      </c>
      <c r="CT153" t="e">
        <f>'All regions'!E3826+"n/&gt;!'y]"</f>
        <v>#VALUE!</v>
      </c>
      <c r="CU153" t="e">
        <f>'All regions'!F3826+"n/&gt;!'y^"</f>
        <v>#VALUE!</v>
      </c>
      <c r="CV153" t="e">
        <f>'All regions'!G3826+"n/&gt;!'y_"</f>
        <v>#VALUE!</v>
      </c>
      <c r="CW153" t="e">
        <f>'All regions'!H3826+"n/&gt;!'y`"</f>
        <v>#VALUE!</v>
      </c>
      <c r="CX153" t="e">
        <f>'All regions'!I3826+"n/&gt;!'ya"</f>
        <v>#VALUE!</v>
      </c>
      <c r="CY153" t="e">
        <f>'All regions'!J3826+"n/&gt;!'yb"</f>
        <v>#VALUE!</v>
      </c>
      <c r="CZ153" t="e">
        <f>'All regions'!A3827+"n/&gt;!'yc"</f>
        <v>#VALUE!</v>
      </c>
      <c r="DA153" t="e">
        <f>'All regions'!B3827+"n/&gt;!'yd"</f>
        <v>#VALUE!</v>
      </c>
      <c r="DB153" t="e">
        <f>'All regions'!C3827+"n/&gt;!'ye"</f>
        <v>#VALUE!</v>
      </c>
      <c r="DC153" t="e">
        <f>'All regions'!D3827+"n/&gt;!'yf"</f>
        <v>#VALUE!</v>
      </c>
      <c r="DD153" t="e">
        <f>'All regions'!E3827+"n/&gt;!'yg"</f>
        <v>#VALUE!</v>
      </c>
      <c r="DE153" t="e">
        <f>'All regions'!F3827+"n/&gt;!'yh"</f>
        <v>#VALUE!</v>
      </c>
      <c r="DF153" t="e">
        <f>'All regions'!G3827+"n/&gt;!'yi"</f>
        <v>#VALUE!</v>
      </c>
      <c r="DG153" t="e">
        <f>'All regions'!H3827+"n/&gt;!'yj"</f>
        <v>#VALUE!</v>
      </c>
      <c r="DH153" t="e">
        <f>'All regions'!I3827+"n/&gt;!'yk"</f>
        <v>#VALUE!</v>
      </c>
      <c r="DI153" t="e">
        <f>'All regions'!J3827+"n/&gt;!'yl"</f>
        <v>#VALUE!</v>
      </c>
      <c r="DJ153" t="e">
        <f>'All regions'!A3828+"n/&gt;!'ym"</f>
        <v>#VALUE!</v>
      </c>
      <c r="DK153" t="e">
        <f>'All regions'!B3828+"n/&gt;!'yn"</f>
        <v>#VALUE!</v>
      </c>
      <c r="DL153" t="e">
        <f>'All regions'!C3828+"n/&gt;!'yo"</f>
        <v>#VALUE!</v>
      </c>
      <c r="DM153" t="e">
        <f>'All regions'!D3828+"n/&gt;!'yp"</f>
        <v>#VALUE!</v>
      </c>
      <c r="DN153" t="e">
        <f>'All regions'!E3828+"n/&gt;!'yq"</f>
        <v>#VALUE!</v>
      </c>
      <c r="DO153" t="e">
        <f>'All regions'!F3828+"n/&gt;!'yr"</f>
        <v>#VALUE!</v>
      </c>
      <c r="DP153" t="e">
        <f>'All regions'!G3828+"n/&gt;!'ys"</f>
        <v>#VALUE!</v>
      </c>
      <c r="DQ153" t="e">
        <f>'All regions'!H3828+"n/&gt;!'yt"</f>
        <v>#VALUE!</v>
      </c>
      <c r="DR153" t="e">
        <f>'All regions'!I3828+"n/&gt;!'yu"</f>
        <v>#VALUE!</v>
      </c>
      <c r="DS153" t="e">
        <f>'All regions'!J3828+"n/&gt;!'yv"</f>
        <v>#VALUE!</v>
      </c>
      <c r="DT153" t="e">
        <f>'All regions'!A3829+"n/&gt;!'yw"</f>
        <v>#VALUE!</v>
      </c>
      <c r="DU153" t="e">
        <f>'All regions'!B3829+"n/&gt;!'yx"</f>
        <v>#VALUE!</v>
      </c>
      <c r="DV153" t="e">
        <f>'All regions'!C3829+"n/&gt;!'yy"</f>
        <v>#VALUE!</v>
      </c>
      <c r="DW153" t="e">
        <f>'All regions'!D3829+"n/&gt;!'yz"</f>
        <v>#VALUE!</v>
      </c>
      <c r="DX153" t="e">
        <f>'All regions'!E3829+"n/&gt;!'y{"</f>
        <v>#VALUE!</v>
      </c>
      <c r="DY153" t="e">
        <f>'All regions'!F3829+"n/&gt;!'y|"</f>
        <v>#VALUE!</v>
      </c>
      <c r="DZ153" t="e">
        <f>'All regions'!G3829+"n/&gt;!'y}"</f>
        <v>#VALUE!</v>
      </c>
      <c r="EA153" t="e">
        <f>'All regions'!H3829+"n/&gt;!'y~"</f>
        <v>#VALUE!</v>
      </c>
      <c r="EB153" t="e">
        <f>'All regions'!I3829+"n/&gt;!'z#"</f>
        <v>#VALUE!</v>
      </c>
      <c r="EC153" t="e">
        <f>'All regions'!J3829+"n/&gt;!'z$"</f>
        <v>#VALUE!</v>
      </c>
      <c r="ED153" t="e">
        <f>'All regions'!A3830+"n/&gt;!'z%"</f>
        <v>#VALUE!</v>
      </c>
      <c r="EE153" t="e">
        <f>'All regions'!B3830+"n/&gt;!'z&amp;"</f>
        <v>#VALUE!</v>
      </c>
      <c r="EF153" t="e">
        <f>'All regions'!C3830+"n/&gt;!'z'"</f>
        <v>#VALUE!</v>
      </c>
      <c r="EG153" t="e">
        <f>'All regions'!D3830+"n/&gt;!'z("</f>
        <v>#VALUE!</v>
      </c>
      <c r="EH153" t="e">
        <f>'All regions'!E3830+"n/&gt;!'z)"</f>
        <v>#VALUE!</v>
      </c>
      <c r="EI153" t="e">
        <f>'All regions'!F3830+"n/&gt;!'z."</f>
        <v>#VALUE!</v>
      </c>
      <c r="EJ153" t="e">
        <f>'All regions'!G3830+"n/&gt;!'z/"</f>
        <v>#VALUE!</v>
      </c>
      <c r="EK153" t="e">
        <f>'All regions'!H3830+"n/&gt;!'z0"</f>
        <v>#VALUE!</v>
      </c>
      <c r="EL153" t="e">
        <f>'All regions'!I3830+"n/&gt;!'z1"</f>
        <v>#VALUE!</v>
      </c>
      <c r="EM153" t="e">
        <f>'All regions'!J3830+"n/&gt;!'z2"</f>
        <v>#VALUE!</v>
      </c>
      <c r="EN153" t="e">
        <f>'All regions'!A3831+"n/&gt;!'z3"</f>
        <v>#VALUE!</v>
      </c>
      <c r="EO153" t="e">
        <f>'All regions'!B3831+"n/&gt;!'z4"</f>
        <v>#VALUE!</v>
      </c>
      <c r="EP153" t="e">
        <f>'All regions'!C3831+"n/&gt;!'z5"</f>
        <v>#VALUE!</v>
      </c>
      <c r="EQ153" t="e">
        <f>'All regions'!D3831+"n/&gt;!'z6"</f>
        <v>#VALUE!</v>
      </c>
      <c r="ER153" t="e">
        <f>'All regions'!E3831+"n/&gt;!'z7"</f>
        <v>#VALUE!</v>
      </c>
      <c r="ES153" t="e">
        <f>'All regions'!F3831+"n/&gt;!'z8"</f>
        <v>#VALUE!</v>
      </c>
      <c r="ET153" t="e">
        <f>'All regions'!G3831+"n/&gt;!'z9"</f>
        <v>#VALUE!</v>
      </c>
      <c r="EU153" t="e">
        <f>'All regions'!H3831+"n/&gt;!'z:"</f>
        <v>#VALUE!</v>
      </c>
      <c r="EV153" t="e">
        <f>'All regions'!I3831+"n/&gt;!'z;"</f>
        <v>#VALUE!</v>
      </c>
      <c r="EW153" t="e">
        <f>'All regions'!J3831+"n/&gt;!'z&lt;"</f>
        <v>#VALUE!</v>
      </c>
      <c r="EX153" t="e">
        <f>'All regions'!A3832+"n/&gt;!'z="</f>
        <v>#VALUE!</v>
      </c>
      <c r="EY153" t="e">
        <f>'All regions'!B3832+"n/&gt;!'z&gt;"</f>
        <v>#VALUE!</v>
      </c>
      <c r="EZ153" t="e">
        <f>'All regions'!C3832+"n/&gt;!'z?"</f>
        <v>#VALUE!</v>
      </c>
      <c r="FA153" t="e">
        <f>'All regions'!D3832+"n/&gt;!'z@"</f>
        <v>#VALUE!</v>
      </c>
      <c r="FB153" t="e">
        <f>'All regions'!E3832+"n/&gt;!'zA"</f>
        <v>#VALUE!</v>
      </c>
      <c r="FC153" t="e">
        <f>'All regions'!F3832+"n/&gt;!'zB"</f>
        <v>#VALUE!</v>
      </c>
      <c r="FD153" t="e">
        <f>'All regions'!G3832+"n/&gt;!'zC"</f>
        <v>#VALUE!</v>
      </c>
      <c r="FE153" t="e">
        <f>'All regions'!H3832+"n/&gt;!'zD"</f>
        <v>#VALUE!</v>
      </c>
      <c r="FF153" t="e">
        <f>'All regions'!I3832+"n/&gt;!'zE"</f>
        <v>#VALUE!</v>
      </c>
      <c r="FG153" t="e">
        <f>'All regions'!J3832+"n/&gt;!'zF"</f>
        <v>#VALUE!</v>
      </c>
      <c r="FH153" t="e">
        <f>'All regions'!A3833+"n/&gt;!'zG"</f>
        <v>#VALUE!</v>
      </c>
      <c r="FI153" t="e">
        <f>'All regions'!B3833+"n/&gt;!'zH"</f>
        <v>#VALUE!</v>
      </c>
      <c r="FJ153" t="e">
        <f>'All regions'!C3833+"n/&gt;!'zI"</f>
        <v>#VALUE!</v>
      </c>
      <c r="FK153" t="e">
        <f>'All regions'!D3833+"n/&gt;!'zJ"</f>
        <v>#VALUE!</v>
      </c>
      <c r="FL153" t="e">
        <f>'All regions'!E3833+"n/&gt;!'zK"</f>
        <v>#VALUE!</v>
      </c>
      <c r="FM153" t="e">
        <f>'All regions'!F3833+"n/&gt;!'zL"</f>
        <v>#VALUE!</v>
      </c>
      <c r="FN153" t="e">
        <f>'All regions'!G3833+"n/&gt;!'zM"</f>
        <v>#VALUE!</v>
      </c>
      <c r="FO153" t="e">
        <f>'All regions'!H3833+"n/&gt;!'zN"</f>
        <v>#VALUE!</v>
      </c>
      <c r="FP153" t="e">
        <f>'All regions'!I3833+"n/&gt;!'zO"</f>
        <v>#VALUE!</v>
      </c>
      <c r="FQ153" t="e">
        <f>'All regions'!J3833+"n/&gt;!'zP"</f>
        <v>#VALUE!</v>
      </c>
      <c r="FR153" t="e">
        <f>'All regions'!A3834+"n/&gt;!'zQ"</f>
        <v>#VALUE!</v>
      </c>
      <c r="FS153" t="e">
        <f>'All regions'!B3834+"n/&gt;!'zR"</f>
        <v>#VALUE!</v>
      </c>
      <c r="FT153" t="e">
        <f>'All regions'!C3834+"n/&gt;!'zS"</f>
        <v>#VALUE!</v>
      </c>
      <c r="FU153" t="e">
        <f>'All regions'!D3834+"n/&gt;!'zT"</f>
        <v>#VALUE!</v>
      </c>
      <c r="FV153" t="e">
        <f>'All regions'!E3834+"n/&gt;!'zU"</f>
        <v>#VALUE!</v>
      </c>
      <c r="FW153" t="e">
        <f>'All regions'!F3834+"n/&gt;!'zV"</f>
        <v>#VALUE!</v>
      </c>
      <c r="FX153" t="e">
        <f>'All regions'!G3834+"n/&gt;!'zW"</f>
        <v>#VALUE!</v>
      </c>
      <c r="FY153" t="e">
        <f>'All regions'!H3834+"n/&gt;!'zX"</f>
        <v>#VALUE!</v>
      </c>
      <c r="FZ153" t="e">
        <f>'All regions'!I3834+"n/&gt;!'zY"</f>
        <v>#VALUE!</v>
      </c>
      <c r="GA153" t="e">
        <f>'All regions'!J3834+"n/&gt;!'zZ"</f>
        <v>#VALUE!</v>
      </c>
      <c r="GB153" t="e">
        <f>'All regions'!A3835+"n/&gt;!'z["</f>
        <v>#VALUE!</v>
      </c>
      <c r="GC153" t="e">
        <f>'All regions'!B3835+"n/&gt;!'z\"</f>
        <v>#VALUE!</v>
      </c>
      <c r="GD153" t="e">
        <f>'All regions'!C3835+"n/&gt;!'z]"</f>
        <v>#VALUE!</v>
      </c>
      <c r="GE153" t="e">
        <f>'All regions'!D3835+"n/&gt;!'z^"</f>
        <v>#VALUE!</v>
      </c>
      <c r="GF153" t="e">
        <f>'All regions'!E3835+"n/&gt;!'z_"</f>
        <v>#VALUE!</v>
      </c>
      <c r="GG153" t="e">
        <f>'All regions'!F3835+"n/&gt;!'z`"</f>
        <v>#VALUE!</v>
      </c>
      <c r="GH153" t="e">
        <f>'All regions'!G3835+"n/&gt;!'za"</f>
        <v>#VALUE!</v>
      </c>
      <c r="GI153" t="e">
        <f>'All regions'!H3835+"n/&gt;!'zb"</f>
        <v>#VALUE!</v>
      </c>
      <c r="GJ153" t="e">
        <f>'All regions'!I3835+"n/&gt;!'zc"</f>
        <v>#VALUE!</v>
      </c>
      <c r="GK153" t="e">
        <f>'All regions'!J3835+"n/&gt;!'zd"</f>
        <v>#VALUE!</v>
      </c>
      <c r="GL153" t="e">
        <f>'All regions'!A3836+"n/&gt;!'ze"</f>
        <v>#VALUE!</v>
      </c>
      <c r="GM153" t="e">
        <f>'All regions'!B3836+"n/&gt;!'zf"</f>
        <v>#VALUE!</v>
      </c>
      <c r="GN153" t="e">
        <f>'All regions'!C3836+"n/&gt;!'zg"</f>
        <v>#VALUE!</v>
      </c>
      <c r="GO153" t="e">
        <f>'All regions'!D3836+"n/&gt;!'zh"</f>
        <v>#VALUE!</v>
      </c>
      <c r="GP153" t="e">
        <f>'All regions'!E3836+"n/&gt;!'zi"</f>
        <v>#VALUE!</v>
      </c>
      <c r="GQ153" t="e">
        <f>'All regions'!F3836+"n/&gt;!'zj"</f>
        <v>#VALUE!</v>
      </c>
      <c r="GR153" t="e">
        <f>'All regions'!G3836+"n/&gt;!'zk"</f>
        <v>#VALUE!</v>
      </c>
      <c r="GS153" t="e">
        <f>'All regions'!H3836+"n/&gt;!'zl"</f>
        <v>#VALUE!</v>
      </c>
      <c r="GT153" t="e">
        <f>'All regions'!I3836+"n/&gt;!'zm"</f>
        <v>#VALUE!</v>
      </c>
      <c r="GU153" t="e">
        <f>'All regions'!J3836+"n/&gt;!'zn"</f>
        <v>#VALUE!</v>
      </c>
      <c r="GV153" t="e">
        <f>'All regions'!A3837+"n/&gt;!'zo"</f>
        <v>#VALUE!</v>
      </c>
      <c r="GW153" t="e">
        <f>'All regions'!B3837+"n/&gt;!'zp"</f>
        <v>#VALUE!</v>
      </c>
      <c r="GX153" t="e">
        <f>'All regions'!C3837+"n/&gt;!'zq"</f>
        <v>#VALUE!</v>
      </c>
      <c r="GY153" t="e">
        <f>'All regions'!D3837+"n/&gt;!'zr"</f>
        <v>#VALUE!</v>
      </c>
      <c r="GZ153" t="e">
        <f>'All regions'!E3837+"n/&gt;!'zs"</f>
        <v>#VALUE!</v>
      </c>
      <c r="HA153" t="e">
        <f>'All regions'!F3837+"n/&gt;!'zt"</f>
        <v>#VALUE!</v>
      </c>
      <c r="HB153" t="e">
        <f>'All regions'!G3837+"n/&gt;!'zu"</f>
        <v>#VALUE!</v>
      </c>
      <c r="HC153" t="e">
        <f>'All regions'!H3837+"n/&gt;!'zv"</f>
        <v>#VALUE!</v>
      </c>
      <c r="HD153" t="e">
        <f>'All regions'!I3837+"n/&gt;!'zw"</f>
        <v>#VALUE!</v>
      </c>
      <c r="HE153" t="e">
        <f>'All regions'!J3837+"n/&gt;!'zx"</f>
        <v>#VALUE!</v>
      </c>
      <c r="HF153" t="e">
        <f>'All regions'!A3838+"n/&gt;!'zy"</f>
        <v>#VALUE!</v>
      </c>
      <c r="HG153" t="e">
        <f>'All regions'!B3838+"n/&gt;!'zz"</f>
        <v>#VALUE!</v>
      </c>
      <c r="HH153" t="e">
        <f>'All regions'!C3838+"n/&gt;!'z{"</f>
        <v>#VALUE!</v>
      </c>
      <c r="HI153" t="e">
        <f>'All regions'!D3838+"n/&gt;!'z|"</f>
        <v>#VALUE!</v>
      </c>
      <c r="HJ153" t="e">
        <f>'All regions'!E3838+"n/&gt;!'z}"</f>
        <v>#VALUE!</v>
      </c>
      <c r="HK153" t="e">
        <f>'All regions'!F3838+"n/&gt;!'z~"</f>
        <v>#VALUE!</v>
      </c>
      <c r="HL153" t="e">
        <f>'All regions'!G3838+"n/&gt;!'{#"</f>
        <v>#VALUE!</v>
      </c>
      <c r="HM153" t="e">
        <f>'All regions'!H3838+"n/&gt;!'{$"</f>
        <v>#VALUE!</v>
      </c>
      <c r="HN153" t="e">
        <f>'All regions'!I3838+"n/&gt;!'{%"</f>
        <v>#VALUE!</v>
      </c>
      <c r="HO153" t="e">
        <f>'All regions'!J3838+"n/&gt;!'{&amp;"</f>
        <v>#VALUE!</v>
      </c>
      <c r="HP153" t="e">
        <f>'All regions'!A3839+"n/&gt;!'{'"</f>
        <v>#VALUE!</v>
      </c>
      <c r="HQ153" t="e">
        <f>'All regions'!B3839+"n/&gt;!'{("</f>
        <v>#VALUE!</v>
      </c>
      <c r="HR153" t="e">
        <f>'All regions'!C3839+"n/&gt;!'{)"</f>
        <v>#VALUE!</v>
      </c>
      <c r="HS153" t="e">
        <f>'All regions'!D3839+"n/&gt;!'{."</f>
        <v>#VALUE!</v>
      </c>
      <c r="HT153" t="e">
        <f>'All regions'!E3839+"n/&gt;!'{/"</f>
        <v>#VALUE!</v>
      </c>
      <c r="HU153" t="e">
        <f>'All regions'!F3839+"n/&gt;!'{0"</f>
        <v>#VALUE!</v>
      </c>
      <c r="HV153" t="e">
        <f>'All regions'!G3839+"n/&gt;!'{1"</f>
        <v>#VALUE!</v>
      </c>
      <c r="HW153" t="e">
        <f>'All regions'!H3839+"n/&gt;!'{2"</f>
        <v>#VALUE!</v>
      </c>
      <c r="HX153" t="e">
        <f>'All regions'!I3839+"n/&gt;!'{3"</f>
        <v>#VALUE!</v>
      </c>
      <c r="HY153" t="e">
        <f>'All regions'!J3839+"n/&gt;!'{4"</f>
        <v>#VALUE!</v>
      </c>
      <c r="HZ153" t="e">
        <f>'All regions'!A3840+"n/&gt;!'{5"</f>
        <v>#VALUE!</v>
      </c>
      <c r="IA153" t="e">
        <f>'All regions'!B3840+"n/&gt;!'{6"</f>
        <v>#VALUE!</v>
      </c>
      <c r="IB153" t="e">
        <f>'All regions'!C3840+"n/&gt;!'{7"</f>
        <v>#VALUE!</v>
      </c>
      <c r="IC153" t="e">
        <f>'All regions'!D3840+"n/&gt;!'{8"</f>
        <v>#VALUE!</v>
      </c>
      <c r="ID153" t="e">
        <f>'All regions'!E3840+"n/&gt;!'{9"</f>
        <v>#VALUE!</v>
      </c>
      <c r="IE153" t="e">
        <f>'All regions'!F3840+"n/&gt;!'{:"</f>
        <v>#VALUE!</v>
      </c>
      <c r="IF153" t="e">
        <f>'All regions'!G3840+"n/&gt;!'{;"</f>
        <v>#VALUE!</v>
      </c>
      <c r="IG153" t="e">
        <f>'All regions'!H3840+"n/&gt;!'{&lt;"</f>
        <v>#VALUE!</v>
      </c>
      <c r="IH153" t="e">
        <f>'All regions'!I3840+"n/&gt;!'{="</f>
        <v>#VALUE!</v>
      </c>
      <c r="II153" t="e">
        <f>'All regions'!J3840+"n/&gt;!'{&gt;"</f>
        <v>#VALUE!</v>
      </c>
      <c r="IJ153" t="e">
        <f>'All regions'!A3841+"n/&gt;!'{?"</f>
        <v>#VALUE!</v>
      </c>
      <c r="IK153" t="e">
        <f>'All regions'!B3841+"n/&gt;!'{@"</f>
        <v>#VALUE!</v>
      </c>
      <c r="IL153" t="e">
        <f>'All regions'!C3841+"n/&gt;!'{A"</f>
        <v>#VALUE!</v>
      </c>
      <c r="IM153" t="e">
        <f>'All regions'!D3841+"n/&gt;!'{B"</f>
        <v>#VALUE!</v>
      </c>
      <c r="IN153" t="e">
        <f>'All regions'!E3841+"n/&gt;!'{C"</f>
        <v>#VALUE!</v>
      </c>
      <c r="IO153" t="e">
        <f>'All regions'!F3841+"n/&gt;!'{D"</f>
        <v>#VALUE!</v>
      </c>
      <c r="IP153" t="e">
        <f>'All regions'!G3841+"n/&gt;!'{E"</f>
        <v>#VALUE!</v>
      </c>
      <c r="IQ153" t="e">
        <f>'All regions'!H3841+"n/&gt;!'{F"</f>
        <v>#VALUE!</v>
      </c>
      <c r="IR153" t="e">
        <f>'All regions'!I3841+"n/&gt;!'{G"</f>
        <v>#VALUE!</v>
      </c>
      <c r="IS153" t="e">
        <f>'All regions'!J3841+"n/&gt;!'{H"</f>
        <v>#VALUE!</v>
      </c>
      <c r="IT153" t="e">
        <f>'All regions'!A3842+"n/&gt;!'{I"</f>
        <v>#VALUE!</v>
      </c>
      <c r="IU153" t="e">
        <f>'All regions'!B3842+"n/&gt;!'{J"</f>
        <v>#VALUE!</v>
      </c>
      <c r="IV153" t="e">
        <f>'All regions'!C3842+"n/&gt;!'{K"</f>
        <v>#VALUE!</v>
      </c>
    </row>
    <row r="154" spans="6:256" x14ac:dyDescent="0.35">
      <c r="F154" t="e">
        <f>'All regions'!D3842+"n/&gt;!'{L"</f>
        <v>#VALUE!</v>
      </c>
      <c r="G154" t="e">
        <f>'All regions'!E3842+"n/&gt;!'{M"</f>
        <v>#VALUE!</v>
      </c>
      <c r="H154" t="e">
        <f>'All regions'!F3842+"n/&gt;!'{N"</f>
        <v>#VALUE!</v>
      </c>
      <c r="I154" t="e">
        <f>'All regions'!G3842+"n/&gt;!'{O"</f>
        <v>#VALUE!</v>
      </c>
      <c r="J154" t="e">
        <f>'All regions'!H3842+"n/&gt;!'{P"</f>
        <v>#VALUE!</v>
      </c>
      <c r="K154" t="e">
        <f>'All regions'!I3842+"n/&gt;!'{Q"</f>
        <v>#VALUE!</v>
      </c>
      <c r="L154" t="e">
        <f>'All regions'!J3842+"n/&gt;!'{R"</f>
        <v>#VALUE!</v>
      </c>
      <c r="M154" t="e">
        <f>'All regions'!A3843+"n/&gt;!'{S"</f>
        <v>#VALUE!</v>
      </c>
      <c r="N154" t="e">
        <f>'All regions'!B3843+"n/&gt;!'{T"</f>
        <v>#VALUE!</v>
      </c>
      <c r="O154" t="e">
        <f>'All regions'!C3843+"n/&gt;!'{U"</f>
        <v>#VALUE!</v>
      </c>
      <c r="P154" t="e">
        <f>'All regions'!D3843+"n/&gt;!'{V"</f>
        <v>#VALUE!</v>
      </c>
      <c r="Q154" t="e">
        <f>'All regions'!E3843+"n/&gt;!'{W"</f>
        <v>#VALUE!</v>
      </c>
      <c r="R154" t="e">
        <f>'All regions'!F3843+"n/&gt;!'{X"</f>
        <v>#VALUE!</v>
      </c>
      <c r="S154" t="e">
        <f>'All regions'!G3843+"n/&gt;!'{Y"</f>
        <v>#VALUE!</v>
      </c>
      <c r="T154" t="e">
        <f>'All regions'!H3843+"n/&gt;!'{Z"</f>
        <v>#VALUE!</v>
      </c>
      <c r="U154" t="e">
        <f>'All regions'!I3843+"n/&gt;!'{["</f>
        <v>#VALUE!</v>
      </c>
      <c r="V154" t="e">
        <f>'All regions'!J3843+"n/&gt;!'{\"</f>
        <v>#VALUE!</v>
      </c>
      <c r="W154" t="e">
        <f>'All regions'!A3844+"n/&gt;!'{]"</f>
        <v>#VALUE!</v>
      </c>
      <c r="X154" t="e">
        <f>'All regions'!B3844+"n/&gt;!'{^"</f>
        <v>#VALUE!</v>
      </c>
      <c r="Y154" t="e">
        <f>'All regions'!C3844+"n/&gt;!'{_"</f>
        <v>#VALUE!</v>
      </c>
      <c r="Z154" t="e">
        <f>'All regions'!D3844+"n/&gt;!'{`"</f>
        <v>#VALUE!</v>
      </c>
      <c r="AA154" t="e">
        <f>'All regions'!E3844+"n/&gt;!'{a"</f>
        <v>#VALUE!</v>
      </c>
      <c r="AB154" t="e">
        <f>'All regions'!F3844+"n/&gt;!'{b"</f>
        <v>#VALUE!</v>
      </c>
      <c r="AC154" t="e">
        <f>'All regions'!G3844+"n/&gt;!'{c"</f>
        <v>#VALUE!</v>
      </c>
      <c r="AD154" t="e">
        <f>'All regions'!H3844+"n/&gt;!'{d"</f>
        <v>#VALUE!</v>
      </c>
      <c r="AE154" t="e">
        <f>'All regions'!I3844+"n/&gt;!'{e"</f>
        <v>#VALUE!</v>
      </c>
      <c r="AF154" t="e">
        <f>'All regions'!J3844+"n/&gt;!'{f"</f>
        <v>#VALUE!</v>
      </c>
      <c r="AG154" t="e">
        <f>'All regions'!A3845+"n/&gt;!'{g"</f>
        <v>#VALUE!</v>
      </c>
      <c r="AH154" t="e">
        <f>'All regions'!B3845+"n/&gt;!'{h"</f>
        <v>#VALUE!</v>
      </c>
      <c r="AI154" t="e">
        <f>'All regions'!C3845+"n/&gt;!'{i"</f>
        <v>#VALUE!</v>
      </c>
      <c r="AJ154" t="e">
        <f>'All regions'!D3845+"n/&gt;!'{j"</f>
        <v>#VALUE!</v>
      </c>
      <c r="AK154" t="e">
        <f>'All regions'!E3845+"n/&gt;!'{k"</f>
        <v>#VALUE!</v>
      </c>
      <c r="AL154" t="e">
        <f>'All regions'!F3845+"n/&gt;!'{l"</f>
        <v>#VALUE!</v>
      </c>
      <c r="AM154" t="e">
        <f>'All regions'!G3845+"n/&gt;!'{m"</f>
        <v>#VALUE!</v>
      </c>
      <c r="AN154" t="e">
        <f>'All regions'!H3845+"n/&gt;!'{n"</f>
        <v>#VALUE!</v>
      </c>
      <c r="AO154" t="e">
        <f>'All regions'!I3845+"n/&gt;!'{o"</f>
        <v>#VALUE!</v>
      </c>
      <c r="AP154" t="e">
        <f>'All regions'!J3845+"n/&gt;!'{p"</f>
        <v>#VALUE!</v>
      </c>
      <c r="AQ154" t="e">
        <f>'All regions'!A3846+"n/&gt;!'{q"</f>
        <v>#VALUE!</v>
      </c>
      <c r="AR154" t="e">
        <f>'All regions'!B3846+"n/&gt;!'{r"</f>
        <v>#VALUE!</v>
      </c>
      <c r="AS154" t="e">
        <f>'All regions'!C3846+"n/&gt;!'{s"</f>
        <v>#VALUE!</v>
      </c>
      <c r="AT154" t="e">
        <f>'All regions'!D3846+"n/&gt;!'{t"</f>
        <v>#VALUE!</v>
      </c>
      <c r="AU154" t="e">
        <f>'All regions'!E3846+"n/&gt;!'{u"</f>
        <v>#VALUE!</v>
      </c>
      <c r="AV154" t="e">
        <f>'All regions'!F3846+"n/&gt;!'{v"</f>
        <v>#VALUE!</v>
      </c>
      <c r="AW154" t="e">
        <f>'All regions'!G3846+"n/&gt;!'{w"</f>
        <v>#VALUE!</v>
      </c>
      <c r="AX154" t="e">
        <f>'All regions'!H3846+"n/&gt;!'{x"</f>
        <v>#VALUE!</v>
      </c>
      <c r="AY154" t="e">
        <f>'All regions'!I3846+"n/&gt;!'{y"</f>
        <v>#VALUE!</v>
      </c>
      <c r="AZ154" t="e">
        <f>'All regions'!J3846+"n/&gt;!'{z"</f>
        <v>#VALUE!</v>
      </c>
      <c r="BA154" t="e">
        <f>'All regions'!A3847+"n/&gt;!'{{"</f>
        <v>#VALUE!</v>
      </c>
      <c r="BB154" t="e">
        <f>'All regions'!B3847+"n/&gt;!'{|"</f>
        <v>#VALUE!</v>
      </c>
      <c r="BC154" t="e">
        <f>'All regions'!C3847+"n/&gt;!'{}"</f>
        <v>#VALUE!</v>
      </c>
      <c r="BD154" t="e">
        <f>'All regions'!D3847+"n/&gt;!'{~"</f>
        <v>#VALUE!</v>
      </c>
      <c r="BE154" t="e">
        <f>'All regions'!E3847+"n/&gt;!'|#"</f>
        <v>#VALUE!</v>
      </c>
      <c r="BF154" t="e">
        <f>'All regions'!F3847+"n/&gt;!'|$"</f>
        <v>#VALUE!</v>
      </c>
      <c r="BG154" t="e">
        <f>'All regions'!G3847+"n/&gt;!'|%"</f>
        <v>#VALUE!</v>
      </c>
      <c r="BH154" t="e">
        <f>'All regions'!H3847+"n/&gt;!'|&amp;"</f>
        <v>#VALUE!</v>
      </c>
      <c r="BI154" t="e">
        <f>'All regions'!I3847+"n/&gt;!'|'"</f>
        <v>#VALUE!</v>
      </c>
      <c r="BJ154" t="e">
        <f>'All regions'!J3847+"n/&gt;!'|("</f>
        <v>#VALUE!</v>
      </c>
      <c r="BK154" t="e">
        <f>'All regions'!A3848+"n/&gt;!'|)"</f>
        <v>#VALUE!</v>
      </c>
      <c r="BL154" t="e">
        <f>'All regions'!B3848+"n/&gt;!'|."</f>
        <v>#VALUE!</v>
      </c>
      <c r="BM154" t="e">
        <f>'All regions'!C3848+"n/&gt;!'|/"</f>
        <v>#VALUE!</v>
      </c>
      <c r="BN154" t="e">
        <f>'All regions'!D3848+"n/&gt;!'|0"</f>
        <v>#VALUE!</v>
      </c>
      <c r="BO154" t="e">
        <f>'All regions'!E3848+"n/&gt;!'|1"</f>
        <v>#VALUE!</v>
      </c>
      <c r="BP154" t="e">
        <f>'All regions'!F3848+"n/&gt;!'|2"</f>
        <v>#VALUE!</v>
      </c>
      <c r="BQ154" t="e">
        <f>'All regions'!G3848+"n/&gt;!'|3"</f>
        <v>#VALUE!</v>
      </c>
      <c r="BR154" t="e">
        <f>'All regions'!H3848+"n/&gt;!'|4"</f>
        <v>#VALUE!</v>
      </c>
      <c r="BS154" t="e">
        <f>'All regions'!I3848+"n/&gt;!'|5"</f>
        <v>#VALUE!</v>
      </c>
      <c r="BT154" t="e">
        <f>'All regions'!J3848+"n/&gt;!'|6"</f>
        <v>#VALUE!</v>
      </c>
      <c r="BU154" t="e">
        <f>'All regions'!A3849+"n/&gt;!'|7"</f>
        <v>#VALUE!</v>
      </c>
      <c r="BV154" t="e">
        <f>'All regions'!B3849+"n/&gt;!'|8"</f>
        <v>#VALUE!</v>
      </c>
      <c r="BW154" t="e">
        <f>'All regions'!C3849+"n/&gt;!'|9"</f>
        <v>#VALUE!</v>
      </c>
      <c r="BX154" t="e">
        <f>'All regions'!D3849+"n/&gt;!'|:"</f>
        <v>#VALUE!</v>
      </c>
      <c r="BY154" t="e">
        <f>'All regions'!E3849+"n/&gt;!'|;"</f>
        <v>#VALUE!</v>
      </c>
      <c r="BZ154" t="e">
        <f>'All regions'!F3849+"n/&gt;!'|&lt;"</f>
        <v>#VALUE!</v>
      </c>
      <c r="CA154" t="e">
        <f>'All regions'!G3849+"n/&gt;!'|="</f>
        <v>#VALUE!</v>
      </c>
      <c r="CB154" t="e">
        <f>'All regions'!H3849+"n/&gt;!'|&gt;"</f>
        <v>#VALUE!</v>
      </c>
      <c r="CC154" t="e">
        <f>'All regions'!I3849+"n/&gt;!'|?"</f>
        <v>#VALUE!</v>
      </c>
      <c r="CD154" t="e">
        <f>'All regions'!J3849+"n/&gt;!'|@"</f>
        <v>#VALUE!</v>
      </c>
      <c r="CE154" t="e">
        <f>'All regions'!A3850+"n/&gt;!'|A"</f>
        <v>#VALUE!</v>
      </c>
      <c r="CF154" t="e">
        <f>'All regions'!B3850+"n/&gt;!'|B"</f>
        <v>#VALUE!</v>
      </c>
      <c r="CG154" t="e">
        <f>'All regions'!C3850+"n/&gt;!'|C"</f>
        <v>#VALUE!</v>
      </c>
      <c r="CH154" t="e">
        <f>'All regions'!D3850+"n/&gt;!'|D"</f>
        <v>#VALUE!</v>
      </c>
      <c r="CI154" t="e">
        <f>'All regions'!E3850+"n/&gt;!'|E"</f>
        <v>#VALUE!</v>
      </c>
      <c r="CJ154" t="e">
        <f>'All regions'!F3850+"n/&gt;!'|F"</f>
        <v>#VALUE!</v>
      </c>
      <c r="CK154" t="e">
        <f>'All regions'!G3850+"n/&gt;!'|G"</f>
        <v>#VALUE!</v>
      </c>
      <c r="CL154" t="e">
        <f>'All regions'!H3850+"n/&gt;!'|H"</f>
        <v>#VALUE!</v>
      </c>
      <c r="CM154" t="e">
        <f>'All regions'!I3850+"n/&gt;!'|I"</f>
        <v>#VALUE!</v>
      </c>
      <c r="CN154" t="e">
        <f>'All regions'!J3850+"n/&gt;!'|J"</f>
        <v>#VALUE!</v>
      </c>
      <c r="CO154" t="e">
        <f>'All regions'!A3851+"n/&gt;!'|K"</f>
        <v>#VALUE!</v>
      </c>
      <c r="CP154" t="e">
        <f>'All regions'!B3851+"n/&gt;!'|L"</f>
        <v>#VALUE!</v>
      </c>
      <c r="CQ154" t="e">
        <f>'All regions'!C3851+"n/&gt;!'|M"</f>
        <v>#VALUE!</v>
      </c>
      <c r="CR154" t="e">
        <f>'All regions'!D3851+"n/&gt;!'|N"</f>
        <v>#VALUE!</v>
      </c>
      <c r="CS154" t="e">
        <f>'All regions'!E3851+"n/&gt;!'|O"</f>
        <v>#VALUE!</v>
      </c>
      <c r="CT154" t="e">
        <f>'All regions'!F3851+"n/&gt;!'|P"</f>
        <v>#VALUE!</v>
      </c>
      <c r="CU154" t="e">
        <f>'All regions'!G3851+"n/&gt;!'|Q"</f>
        <v>#VALUE!</v>
      </c>
      <c r="CV154" t="e">
        <f>'All regions'!H3851+"n/&gt;!'|R"</f>
        <v>#VALUE!</v>
      </c>
      <c r="CW154" t="e">
        <f>'All regions'!I3851+"n/&gt;!'|S"</f>
        <v>#VALUE!</v>
      </c>
      <c r="CX154" t="e">
        <f>'All regions'!J3851+"n/&gt;!'|T"</f>
        <v>#VALUE!</v>
      </c>
      <c r="CY154" t="e">
        <f>'All regions'!A3852+"n/&gt;!'|U"</f>
        <v>#VALUE!</v>
      </c>
      <c r="CZ154" t="e">
        <f>'All regions'!B3852+"n/&gt;!'|V"</f>
        <v>#VALUE!</v>
      </c>
      <c r="DA154" t="e">
        <f>'All regions'!C3852+"n/&gt;!'|W"</f>
        <v>#VALUE!</v>
      </c>
      <c r="DB154" t="e">
        <f>'All regions'!D3852+"n/&gt;!'|X"</f>
        <v>#VALUE!</v>
      </c>
      <c r="DC154" t="e">
        <f>'All regions'!E3852+"n/&gt;!'|Y"</f>
        <v>#VALUE!</v>
      </c>
      <c r="DD154" t="e">
        <f>'All regions'!F3852+"n/&gt;!'|Z"</f>
        <v>#VALUE!</v>
      </c>
      <c r="DE154" t="e">
        <f>'All regions'!G3852+"n/&gt;!'|["</f>
        <v>#VALUE!</v>
      </c>
      <c r="DF154" t="e">
        <f>'All regions'!H3852+"n/&gt;!'|\"</f>
        <v>#VALUE!</v>
      </c>
      <c r="DG154" t="e">
        <f>'All regions'!I3852+"n/&gt;!'|]"</f>
        <v>#VALUE!</v>
      </c>
      <c r="DH154" t="e">
        <f>'All regions'!J3852+"n/&gt;!'|^"</f>
        <v>#VALUE!</v>
      </c>
      <c r="DI154" t="e">
        <f>'All regions'!A3853+"n/&gt;!'|_"</f>
        <v>#VALUE!</v>
      </c>
      <c r="DJ154" t="e">
        <f>'All regions'!B3853+"n/&gt;!'|`"</f>
        <v>#VALUE!</v>
      </c>
      <c r="DK154" t="e">
        <f>'All regions'!C3853+"n/&gt;!'|a"</f>
        <v>#VALUE!</v>
      </c>
      <c r="DL154" t="e">
        <f>'All regions'!D3853+"n/&gt;!'|b"</f>
        <v>#VALUE!</v>
      </c>
      <c r="DM154" t="e">
        <f>'All regions'!E3853+"n/&gt;!'|c"</f>
        <v>#VALUE!</v>
      </c>
      <c r="DN154" t="e">
        <f>'All regions'!F3853+"n/&gt;!'|d"</f>
        <v>#VALUE!</v>
      </c>
      <c r="DO154" t="e">
        <f>'All regions'!G3853+"n/&gt;!'|e"</f>
        <v>#VALUE!</v>
      </c>
      <c r="DP154" t="e">
        <f>'All regions'!H3853+"n/&gt;!'|f"</f>
        <v>#VALUE!</v>
      </c>
      <c r="DQ154" t="e">
        <f>'All regions'!I3853+"n/&gt;!'|g"</f>
        <v>#VALUE!</v>
      </c>
      <c r="DR154" t="e">
        <f>'All regions'!J3853+"n/&gt;!'|h"</f>
        <v>#VALUE!</v>
      </c>
      <c r="DS154" t="e">
        <f>'All regions'!A3854+"n/&gt;!'|i"</f>
        <v>#VALUE!</v>
      </c>
      <c r="DT154" t="e">
        <f>'All regions'!B3854+"n/&gt;!'|j"</f>
        <v>#VALUE!</v>
      </c>
      <c r="DU154" t="e">
        <f>'All regions'!C3854+"n/&gt;!'|k"</f>
        <v>#VALUE!</v>
      </c>
      <c r="DV154" t="e">
        <f>'All regions'!D3854+"n/&gt;!'|l"</f>
        <v>#VALUE!</v>
      </c>
      <c r="DW154" t="e">
        <f>'All regions'!E3854+"n/&gt;!'|m"</f>
        <v>#VALUE!</v>
      </c>
      <c r="DX154" t="e">
        <f>'All regions'!F3854+"n/&gt;!'|n"</f>
        <v>#VALUE!</v>
      </c>
      <c r="DY154" t="e">
        <f>'All regions'!G3854+"n/&gt;!'|o"</f>
        <v>#VALUE!</v>
      </c>
      <c r="DZ154" t="e">
        <f>'All regions'!H3854+"n/&gt;!'|p"</f>
        <v>#VALUE!</v>
      </c>
      <c r="EA154" t="e">
        <f>'All regions'!I3854+"n/&gt;!'|q"</f>
        <v>#VALUE!</v>
      </c>
      <c r="EB154" t="e">
        <f>'All regions'!J3854+"n/&gt;!'|r"</f>
        <v>#VALUE!</v>
      </c>
      <c r="EC154" t="e">
        <f>'All regions'!A3855+"n/&gt;!'|s"</f>
        <v>#VALUE!</v>
      </c>
      <c r="ED154" t="e">
        <f>'All regions'!B3855+"n/&gt;!'|t"</f>
        <v>#VALUE!</v>
      </c>
      <c r="EE154" t="e">
        <f>'All regions'!C3855+"n/&gt;!'|u"</f>
        <v>#VALUE!</v>
      </c>
      <c r="EF154" t="e">
        <f>'All regions'!D3855+"n/&gt;!'|v"</f>
        <v>#VALUE!</v>
      </c>
      <c r="EG154" t="e">
        <f>'All regions'!E3855+"n/&gt;!'|w"</f>
        <v>#VALUE!</v>
      </c>
      <c r="EH154" t="e">
        <f>'All regions'!F3855+"n/&gt;!'|x"</f>
        <v>#VALUE!</v>
      </c>
      <c r="EI154" t="e">
        <f>'All regions'!G3855+"n/&gt;!'|y"</f>
        <v>#VALUE!</v>
      </c>
      <c r="EJ154" t="e">
        <f>'All regions'!H3855+"n/&gt;!'|z"</f>
        <v>#VALUE!</v>
      </c>
      <c r="EK154" t="e">
        <f>'All regions'!I3855+"n/&gt;!'|{"</f>
        <v>#VALUE!</v>
      </c>
      <c r="EL154" t="e">
        <f>'All regions'!J3855+"n/&gt;!'||"</f>
        <v>#VALUE!</v>
      </c>
      <c r="EM154" t="e">
        <f>'All regions'!A3856+"n/&gt;!'|}"</f>
        <v>#VALUE!</v>
      </c>
      <c r="EN154" t="e">
        <f>'All regions'!B3856+"n/&gt;!'|~"</f>
        <v>#VALUE!</v>
      </c>
      <c r="EO154" t="e">
        <f>'All regions'!C3856+"n/&gt;!'}#"</f>
        <v>#VALUE!</v>
      </c>
      <c r="EP154" t="e">
        <f>'All regions'!D3856+"n/&gt;!'}$"</f>
        <v>#VALUE!</v>
      </c>
      <c r="EQ154" t="e">
        <f>'All regions'!E3856+"n/&gt;!'}%"</f>
        <v>#VALUE!</v>
      </c>
      <c r="ER154" t="e">
        <f>'All regions'!F3856+"n/&gt;!'}&amp;"</f>
        <v>#VALUE!</v>
      </c>
      <c r="ES154" t="e">
        <f>'All regions'!G3856+"n/&gt;!'}'"</f>
        <v>#VALUE!</v>
      </c>
      <c r="ET154" t="e">
        <f>'All regions'!H3856+"n/&gt;!'}("</f>
        <v>#VALUE!</v>
      </c>
      <c r="EU154" t="e">
        <f>'All regions'!I3856+"n/&gt;!'})"</f>
        <v>#VALUE!</v>
      </c>
      <c r="EV154" t="e">
        <f>'All regions'!J3856+"n/&gt;!'}."</f>
        <v>#VALUE!</v>
      </c>
      <c r="EW154" t="e">
        <f>'All regions'!A3857+"n/&gt;!'}/"</f>
        <v>#VALUE!</v>
      </c>
      <c r="EX154" t="e">
        <f>'All regions'!B3857+"n/&gt;!'}0"</f>
        <v>#VALUE!</v>
      </c>
      <c r="EY154" t="e">
        <f>'All regions'!C3857+"n/&gt;!'}1"</f>
        <v>#VALUE!</v>
      </c>
      <c r="EZ154" t="e">
        <f>'All regions'!D3857+"n/&gt;!'}2"</f>
        <v>#VALUE!</v>
      </c>
      <c r="FA154" t="e">
        <f>'All regions'!E3857+"n/&gt;!'}3"</f>
        <v>#VALUE!</v>
      </c>
      <c r="FB154" t="e">
        <f>'All regions'!F3857+"n/&gt;!'}4"</f>
        <v>#VALUE!</v>
      </c>
      <c r="FC154" t="e">
        <f>'All regions'!G3857+"n/&gt;!'}5"</f>
        <v>#VALUE!</v>
      </c>
      <c r="FD154" t="e">
        <f>'All regions'!H3857+"n/&gt;!'}6"</f>
        <v>#VALUE!</v>
      </c>
      <c r="FE154" t="e">
        <f>'All regions'!I3857+"n/&gt;!'}7"</f>
        <v>#VALUE!</v>
      </c>
      <c r="FF154" t="e">
        <f>'All regions'!J3857+"n/&gt;!'}8"</f>
        <v>#VALUE!</v>
      </c>
      <c r="FG154" t="e">
        <f>'All regions'!A3858+"n/&gt;!'}9"</f>
        <v>#VALUE!</v>
      </c>
      <c r="FH154" t="e">
        <f>'All regions'!B3858+"n/&gt;!'}:"</f>
        <v>#VALUE!</v>
      </c>
      <c r="FI154" t="e">
        <f>'All regions'!C3858+"n/&gt;!'};"</f>
        <v>#VALUE!</v>
      </c>
      <c r="FJ154" t="e">
        <f>'All regions'!D3858+"n/&gt;!'}&lt;"</f>
        <v>#VALUE!</v>
      </c>
      <c r="FK154" t="e">
        <f>'All regions'!E3858+"n/&gt;!'}="</f>
        <v>#VALUE!</v>
      </c>
      <c r="FL154" t="e">
        <f>'All regions'!F3858+"n/&gt;!'}&gt;"</f>
        <v>#VALUE!</v>
      </c>
      <c r="FM154" t="e">
        <f>'All regions'!G3858+"n/&gt;!'}?"</f>
        <v>#VALUE!</v>
      </c>
      <c r="FN154" t="e">
        <f>'All regions'!H3858+"n/&gt;!'}@"</f>
        <v>#VALUE!</v>
      </c>
      <c r="FO154" t="e">
        <f>'All regions'!I3858+"n/&gt;!'}A"</f>
        <v>#VALUE!</v>
      </c>
      <c r="FP154" t="e">
        <f>'All regions'!J3858+"n/&gt;!'}B"</f>
        <v>#VALUE!</v>
      </c>
      <c r="FQ154" t="e">
        <f>'All regions'!A3859+"n/&gt;!'}C"</f>
        <v>#VALUE!</v>
      </c>
      <c r="FR154" t="e">
        <f>'All regions'!B3859+"n/&gt;!'}D"</f>
        <v>#VALUE!</v>
      </c>
      <c r="FS154" t="e">
        <f>'All regions'!C3859+"n/&gt;!'}E"</f>
        <v>#VALUE!</v>
      </c>
      <c r="FT154" t="e">
        <f>'All regions'!D3859+"n/&gt;!'}F"</f>
        <v>#VALUE!</v>
      </c>
      <c r="FU154" t="e">
        <f>'All regions'!E3859+"n/&gt;!'}G"</f>
        <v>#VALUE!</v>
      </c>
      <c r="FV154" t="e">
        <f>'All regions'!F3859+"n/&gt;!'}H"</f>
        <v>#VALUE!</v>
      </c>
      <c r="FW154" t="e">
        <f>'All regions'!G3859+"n/&gt;!'}I"</f>
        <v>#VALUE!</v>
      </c>
      <c r="FX154" t="e">
        <f>'All regions'!H3859+"n/&gt;!'}J"</f>
        <v>#VALUE!</v>
      </c>
      <c r="FY154" t="e">
        <f>'All regions'!I3859+"n/&gt;!'}K"</f>
        <v>#VALUE!</v>
      </c>
      <c r="FZ154" t="e">
        <f>'All regions'!J3859+"n/&gt;!'}L"</f>
        <v>#VALUE!</v>
      </c>
      <c r="GA154" t="e">
        <f>'All regions'!A3860+"n/&gt;!'}M"</f>
        <v>#VALUE!</v>
      </c>
      <c r="GB154" t="e">
        <f>'All regions'!B3860+"n/&gt;!'}N"</f>
        <v>#VALUE!</v>
      </c>
      <c r="GC154" t="e">
        <f>'All regions'!C3860+"n/&gt;!'}O"</f>
        <v>#VALUE!</v>
      </c>
      <c r="GD154" t="e">
        <f>'All regions'!D3860+"n/&gt;!'}P"</f>
        <v>#VALUE!</v>
      </c>
      <c r="GE154" t="e">
        <f>'All regions'!E3860+"n/&gt;!'}Q"</f>
        <v>#VALUE!</v>
      </c>
      <c r="GF154" t="e">
        <f>'All regions'!F3860+"n/&gt;!'}R"</f>
        <v>#VALUE!</v>
      </c>
      <c r="GG154" t="e">
        <f>'All regions'!G3860+"n/&gt;!'}S"</f>
        <v>#VALUE!</v>
      </c>
      <c r="GH154" t="e">
        <f>'All regions'!H3860+"n/&gt;!'}T"</f>
        <v>#VALUE!</v>
      </c>
      <c r="GI154" t="e">
        <f>'All regions'!I3860+"n/&gt;!'}U"</f>
        <v>#VALUE!</v>
      </c>
      <c r="GJ154" t="e">
        <f>'All regions'!J3860+"n/&gt;!'}V"</f>
        <v>#VALUE!</v>
      </c>
      <c r="GK154" t="e">
        <f>'All regions'!A3861+"n/&gt;!'}W"</f>
        <v>#VALUE!</v>
      </c>
      <c r="GL154" t="e">
        <f>'All regions'!B3861+"n/&gt;!'}X"</f>
        <v>#VALUE!</v>
      </c>
      <c r="GM154" t="e">
        <f>'All regions'!C3861+"n/&gt;!'}Y"</f>
        <v>#VALUE!</v>
      </c>
      <c r="GN154" t="e">
        <f>'All regions'!D3861+"n/&gt;!'}Z"</f>
        <v>#VALUE!</v>
      </c>
      <c r="GO154" t="e">
        <f>'All regions'!E3861+"n/&gt;!'}["</f>
        <v>#VALUE!</v>
      </c>
      <c r="GP154" t="e">
        <f>'All regions'!F3861+"n/&gt;!'}\"</f>
        <v>#VALUE!</v>
      </c>
      <c r="GQ154" t="e">
        <f>'All regions'!G3861+"n/&gt;!'}]"</f>
        <v>#VALUE!</v>
      </c>
      <c r="GR154" t="e">
        <f>'All regions'!H3861+"n/&gt;!'}^"</f>
        <v>#VALUE!</v>
      </c>
      <c r="GS154" t="e">
        <f>'All regions'!I3861+"n/&gt;!'}_"</f>
        <v>#VALUE!</v>
      </c>
      <c r="GT154" t="e">
        <f>'All regions'!J3861+"n/&gt;!'}`"</f>
        <v>#VALUE!</v>
      </c>
      <c r="GU154" t="e">
        <f>'All regions'!A3862+"n/&gt;!'}a"</f>
        <v>#VALUE!</v>
      </c>
      <c r="GV154" t="e">
        <f>'All regions'!B3862+"n/&gt;!'}b"</f>
        <v>#VALUE!</v>
      </c>
      <c r="GW154" t="e">
        <f>'All regions'!C3862+"n/&gt;!'}c"</f>
        <v>#VALUE!</v>
      </c>
      <c r="GX154" t="e">
        <f>'All regions'!D3862+"n/&gt;!'}d"</f>
        <v>#VALUE!</v>
      </c>
      <c r="GY154" t="e">
        <f>'All regions'!E3862+"n/&gt;!'}e"</f>
        <v>#VALUE!</v>
      </c>
      <c r="GZ154" t="e">
        <f>'All regions'!F3862+"n/&gt;!'}f"</f>
        <v>#VALUE!</v>
      </c>
      <c r="HA154" t="e">
        <f>'All regions'!G3862+"n/&gt;!'}g"</f>
        <v>#VALUE!</v>
      </c>
      <c r="HB154" t="e">
        <f>'All regions'!H3862+"n/&gt;!'}h"</f>
        <v>#VALUE!</v>
      </c>
      <c r="HC154" t="e">
        <f>'All regions'!I3862+"n/&gt;!'}i"</f>
        <v>#VALUE!</v>
      </c>
      <c r="HD154" t="e">
        <f>'All regions'!J3862+"n/&gt;!'}j"</f>
        <v>#VALUE!</v>
      </c>
      <c r="HE154" t="e">
        <f>'All regions'!A3863+"n/&gt;!'}k"</f>
        <v>#VALUE!</v>
      </c>
      <c r="HF154" t="e">
        <f>'All regions'!B3863+"n/&gt;!'}l"</f>
        <v>#VALUE!</v>
      </c>
      <c r="HG154" t="e">
        <f>'All regions'!C3863+"n/&gt;!'}m"</f>
        <v>#VALUE!</v>
      </c>
      <c r="HH154" t="e">
        <f>'All regions'!D3863+"n/&gt;!'}n"</f>
        <v>#VALUE!</v>
      </c>
      <c r="HI154" t="e">
        <f>'All regions'!E3863+"n/&gt;!'}o"</f>
        <v>#VALUE!</v>
      </c>
      <c r="HJ154" t="e">
        <f>'All regions'!F3863+"n/&gt;!'}p"</f>
        <v>#VALUE!</v>
      </c>
      <c r="HK154" t="e">
        <f>'All regions'!G3863+"n/&gt;!'}q"</f>
        <v>#VALUE!</v>
      </c>
      <c r="HL154" t="e">
        <f>'All regions'!H3863+"n/&gt;!'}r"</f>
        <v>#VALUE!</v>
      </c>
      <c r="HM154" t="e">
        <f>'All regions'!I3863+"n/&gt;!'}s"</f>
        <v>#VALUE!</v>
      </c>
      <c r="HN154" t="e">
        <f>'All regions'!J3863+"n/&gt;!'}t"</f>
        <v>#VALUE!</v>
      </c>
      <c r="HO154" t="e">
        <f>'All regions'!A3864+"n/&gt;!'}u"</f>
        <v>#VALUE!</v>
      </c>
      <c r="HP154" t="e">
        <f>'All regions'!B3864+"n/&gt;!'}v"</f>
        <v>#VALUE!</v>
      </c>
      <c r="HQ154" t="e">
        <f>'All regions'!C3864+"n/&gt;!'}w"</f>
        <v>#VALUE!</v>
      </c>
      <c r="HR154" t="e">
        <f>'All regions'!D3864+"n/&gt;!'}x"</f>
        <v>#VALUE!</v>
      </c>
      <c r="HS154" t="e">
        <f>'All regions'!E3864+"n/&gt;!'}y"</f>
        <v>#VALUE!</v>
      </c>
      <c r="HT154" t="e">
        <f>'All regions'!F3864+"n/&gt;!'}z"</f>
        <v>#VALUE!</v>
      </c>
      <c r="HU154" t="e">
        <f>'All regions'!G3864+"n/&gt;!'}{"</f>
        <v>#VALUE!</v>
      </c>
      <c r="HV154" t="e">
        <f>'All regions'!H3864+"n/&gt;!'}|"</f>
        <v>#VALUE!</v>
      </c>
      <c r="HW154" t="e">
        <f>'All regions'!I3864+"n/&gt;!'}}"</f>
        <v>#VALUE!</v>
      </c>
      <c r="HX154" t="e">
        <f>'All regions'!J3864+"n/&gt;!'}~"</f>
        <v>#VALUE!</v>
      </c>
      <c r="HY154" t="e">
        <f>'All regions'!A3865+"n/&gt;!'~#"</f>
        <v>#VALUE!</v>
      </c>
      <c r="HZ154" t="e">
        <f>'All regions'!B3865+"n/&gt;!'~$"</f>
        <v>#VALUE!</v>
      </c>
      <c r="IA154" t="e">
        <f>'All regions'!C3865+"n/&gt;!'~%"</f>
        <v>#VALUE!</v>
      </c>
      <c r="IB154" t="e">
        <f>'All regions'!D3865+"n/&gt;!'~&amp;"</f>
        <v>#VALUE!</v>
      </c>
      <c r="IC154" t="e">
        <f>'All regions'!E3865+"n/&gt;!'~'"</f>
        <v>#VALUE!</v>
      </c>
      <c r="ID154" t="e">
        <f>'All regions'!F3865+"n/&gt;!'~("</f>
        <v>#VALUE!</v>
      </c>
      <c r="IE154" t="e">
        <f>'All regions'!G3865+"n/&gt;!'~)"</f>
        <v>#VALUE!</v>
      </c>
      <c r="IF154" t="e">
        <f>'All regions'!H3865+"n/&gt;!'~."</f>
        <v>#VALUE!</v>
      </c>
      <c r="IG154" t="e">
        <f>'All regions'!I3865+"n/&gt;!'~/"</f>
        <v>#VALUE!</v>
      </c>
      <c r="IH154" t="e">
        <f>'All regions'!J3865+"n/&gt;!'~0"</f>
        <v>#VALUE!</v>
      </c>
      <c r="II154" t="e">
        <f>'All regions'!A3866+"n/&gt;!'~1"</f>
        <v>#VALUE!</v>
      </c>
      <c r="IJ154" t="e">
        <f>'All regions'!B3866+"n/&gt;!'~2"</f>
        <v>#VALUE!</v>
      </c>
      <c r="IK154" t="e">
        <f>'All regions'!C3866+"n/&gt;!'~3"</f>
        <v>#VALUE!</v>
      </c>
      <c r="IL154" t="e">
        <f>'All regions'!D3866+"n/&gt;!'~4"</f>
        <v>#VALUE!</v>
      </c>
      <c r="IM154" t="e">
        <f>'All regions'!E3866+"n/&gt;!'~5"</f>
        <v>#VALUE!</v>
      </c>
      <c r="IN154" t="e">
        <f>'All regions'!F3866+"n/&gt;!'~6"</f>
        <v>#VALUE!</v>
      </c>
      <c r="IO154" t="e">
        <f>'All regions'!G3866+"n/&gt;!'~7"</f>
        <v>#VALUE!</v>
      </c>
      <c r="IP154" t="e">
        <f>'All regions'!H3866+"n/&gt;!'~8"</f>
        <v>#VALUE!</v>
      </c>
      <c r="IQ154" t="e">
        <f>'All regions'!I3866+"n/&gt;!'~9"</f>
        <v>#VALUE!</v>
      </c>
      <c r="IR154" t="e">
        <f>'All regions'!J3866+"n/&gt;!'~:"</f>
        <v>#VALUE!</v>
      </c>
      <c r="IS154" t="e">
        <f>'All regions'!A3867+"n/&gt;!'~;"</f>
        <v>#VALUE!</v>
      </c>
      <c r="IT154" t="e">
        <f>'All regions'!B3867+"n/&gt;!'~&lt;"</f>
        <v>#VALUE!</v>
      </c>
      <c r="IU154" t="e">
        <f>'All regions'!C3867+"n/&gt;!'~="</f>
        <v>#VALUE!</v>
      </c>
      <c r="IV154" t="e">
        <f>'All regions'!D3867+"n/&gt;!'~&gt;"</f>
        <v>#VALUE!</v>
      </c>
    </row>
    <row r="155" spans="6:256" x14ac:dyDescent="0.35">
      <c r="F155" t="e">
        <f>'All regions'!E3867+"n/&gt;!'~?"</f>
        <v>#VALUE!</v>
      </c>
      <c r="G155" t="e">
        <f>'All regions'!F3867+"n/&gt;!'~@"</f>
        <v>#VALUE!</v>
      </c>
      <c r="H155" t="e">
        <f>'All regions'!G3867+"n/&gt;!'~A"</f>
        <v>#VALUE!</v>
      </c>
      <c r="I155" t="e">
        <f>'All regions'!H3867+"n/&gt;!'~B"</f>
        <v>#VALUE!</v>
      </c>
      <c r="J155" t="e">
        <f>'All regions'!I3867+"n/&gt;!'~C"</f>
        <v>#VALUE!</v>
      </c>
      <c r="K155" t="e">
        <f>'All regions'!J3867+"n/&gt;!'~D"</f>
        <v>#VALUE!</v>
      </c>
      <c r="L155" t="e">
        <f>'All regions'!A3868+"n/&gt;!'~E"</f>
        <v>#VALUE!</v>
      </c>
      <c r="M155" t="e">
        <f>'All regions'!B3868+"n/&gt;!'~F"</f>
        <v>#VALUE!</v>
      </c>
      <c r="N155" t="e">
        <f>'All regions'!C3868+"n/&gt;!'~G"</f>
        <v>#VALUE!</v>
      </c>
      <c r="O155" t="e">
        <f>'All regions'!D3868+"n/&gt;!'~H"</f>
        <v>#VALUE!</v>
      </c>
      <c r="P155" t="e">
        <f>'All regions'!E3868+"n/&gt;!'~I"</f>
        <v>#VALUE!</v>
      </c>
      <c r="Q155" t="e">
        <f>'All regions'!F3868+"n/&gt;!'~J"</f>
        <v>#VALUE!</v>
      </c>
      <c r="R155" t="e">
        <f>'All regions'!G3868+"n/&gt;!'~K"</f>
        <v>#VALUE!</v>
      </c>
      <c r="S155" t="e">
        <f>'All regions'!H3868+"n/&gt;!'~L"</f>
        <v>#VALUE!</v>
      </c>
      <c r="T155" t="e">
        <f>'All regions'!I3868+"n/&gt;!'~M"</f>
        <v>#VALUE!</v>
      </c>
      <c r="U155" t="e">
        <f>'All regions'!J3868+"n/&gt;!'~N"</f>
        <v>#VALUE!</v>
      </c>
      <c r="V155" t="e">
        <f>'All regions'!A3869+"n/&gt;!'~O"</f>
        <v>#VALUE!</v>
      </c>
      <c r="W155" t="e">
        <f>'All regions'!B3869+"n/&gt;!'~P"</f>
        <v>#VALUE!</v>
      </c>
      <c r="X155" t="e">
        <f>'All regions'!C3869+"n/&gt;!'~Q"</f>
        <v>#VALUE!</v>
      </c>
      <c r="Y155" t="e">
        <f>'All regions'!D3869+"n/&gt;!'~R"</f>
        <v>#VALUE!</v>
      </c>
      <c r="Z155" t="e">
        <f>'All regions'!E3869+"n/&gt;!'~S"</f>
        <v>#VALUE!</v>
      </c>
      <c r="AA155" t="e">
        <f>'All regions'!F3869+"n/&gt;!'~T"</f>
        <v>#VALUE!</v>
      </c>
      <c r="AB155" t="e">
        <f>'All regions'!G3869+"n/&gt;!'~U"</f>
        <v>#VALUE!</v>
      </c>
      <c r="AC155" t="e">
        <f>'All regions'!H3869+"n/&gt;!'~V"</f>
        <v>#VALUE!</v>
      </c>
      <c r="AD155" t="e">
        <f>'All regions'!I3869+"n/&gt;!'~W"</f>
        <v>#VALUE!</v>
      </c>
      <c r="AE155" t="e">
        <f>'All regions'!J3869+"n/&gt;!'~X"</f>
        <v>#VALUE!</v>
      </c>
      <c r="AF155" t="e">
        <f>'All regions'!A3870+"n/&gt;!'~Y"</f>
        <v>#VALUE!</v>
      </c>
      <c r="AG155" t="e">
        <f>'All regions'!B3870+"n/&gt;!'~Z"</f>
        <v>#VALUE!</v>
      </c>
      <c r="AH155" t="e">
        <f>'All regions'!C3870+"n/&gt;!'~["</f>
        <v>#VALUE!</v>
      </c>
      <c r="AI155" t="e">
        <f>'All regions'!D3870+"n/&gt;!'~\"</f>
        <v>#VALUE!</v>
      </c>
      <c r="AJ155" t="e">
        <f>'All regions'!E3870+"n/&gt;!'~]"</f>
        <v>#VALUE!</v>
      </c>
      <c r="AK155" t="e">
        <f>'All regions'!F3870+"n/&gt;!'~^"</f>
        <v>#VALUE!</v>
      </c>
      <c r="AL155" t="e">
        <f>'All regions'!G3870+"n/&gt;!'~_"</f>
        <v>#VALUE!</v>
      </c>
      <c r="AM155" t="e">
        <f>'All regions'!H3870+"n/&gt;!'~`"</f>
        <v>#VALUE!</v>
      </c>
      <c r="AN155" t="e">
        <f>'All regions'!I3870+"n/&gt;!'~a"</f>
        <v>#VALUE!</v>
      </c>
      <c r="AO155" t="e">
        <f>'All regions'!J3870+"n/&gt;!'~b"</f>
        <v>#VALUE!</v>
      </c>
      <c r="AP155" t="e">
        <f>'All regions'!A3871+"n/&gt;!'~c"</f>
        <v>#VALUE!</v>
      </c>
      <c r="AQ155" t="e">
        <f>'All regions'!B3871+"n/&gt;!'~d"</f>
        <v>#VALUE!</v>
      </c>
      <c r="AR155" t="e">
        <f>'All regions'!C3871+"n/&gt;!'~e"</f>
        <v>#VALUE!</v>
      </c>
      <c r="AS155" t="e">
        <f>'All regions'!D3871+"n/&gt;!'~f"</f>
        <v>#VALUE!</v>
      </c>
      <c r="AT155" t="e">
        <f>'All regions'!E3871+"n/&gt;!'~g"</f>
        <v>#VALUE!</v>
      </c>
      <c r="AU155" t="e">
        <f>'All regions'!F3871+"n/&gt;!'~h"</f>
        <v>#VALUE!</v>
      </c>
      <c r="AV155" t="e">
        <f>'All regions'!G3871+"n/&gt;!'~i"</f>
        <v>#VALUE!</v>
      </c>
      <c r="AW155" t="e">
        <f>'All regions'!H3871+"n/&gt;!'~j"</f>
        <v>#VALUE!</v>
      </c>
      <c r="AX155" t="e">
        <f>'All regions'!I3871+"n/&gt;!'~k"</f>
        <v>#VALUE!</v>
      </c>
      <c r="AY155" t="e">
        <f>'All regions'!J3871+"n/&gt;!'~l"</f>
        <v>#VALUE!</v>
      </c>
      <c r="AZ155" t="e">
        <f>'All regions'!A3872+"n/&gt;!'~m"</f>
        <v>#VALUE!</v>
      </c>
      <c r="BA155" t="e">
        <f>'All regions'!B3872+"n/&gt;!'~n"</f>
        <v>#VALUE!</v>
      </c>
      <c r="BB155" t="e">
        <f>'All regions'!C3872+"n/&gt;!'~o"</f>
        <v>#VALUE!</v>
      </c>
      <c r="BC155" t="e">
        <f>'All regions'!D3872+"n/&gt;!'~p"</f>
        <v>#VALUE!</v>
      </c>
      <c r="BD155" t="e">
        <f>'All regions'!E3872+"n/&gt;!'~q"</f>
        <v>#VALUE!</v>
      </c>
      <c r="BE155" t="e">
        <f>'All regions'!F3872+"n/&gt;!'~r"</f>
        <v>#VALUE!</v>
      </c>
      <c r="BF155" t="e">
        <f>'All regions'!G3872+"n/&gt;!'~s"</f>
        <v>#VALUE!</v>
      </c>
      <c r="BG155" t="e">
        <f>'All regions'!H3872+"n/&gt;!'~t"</f>
        <v>#VALUE!</v>
      </c>
      <c r="BH155" t="e">
        <f>'All regions'!I3872+"n/&gt;!'~u"</f>
        <v>#VALUE!</v>
      </c>
      <c r="BI155" t="e">
        <f>'All regions'!J3872+"n/&gt;!'~v"</f>
        <v>#VALUE!</v>
      </c>
      <c r="BJ155" t="e">
        <f>'All regions'!A3873+"n/&gt;!'~w"</f>
        <v>#VALUE!</v>
      </c>
      <c r="BK155" t="e">
        <f>'All regions'!B3873+"n/&gt;!'~x"</f>
        <v>#VALUE!</v>
      </c>
      <c r="BL155" t="e">
        <f>'All regions'!C3873+"n/&gt;!'~y"</f>
        <v>#VALUE!</v>
      </c>
      <c r="BM155" t="e">
        <f>'All regions'!D3873+"n/&gt;!'~z"</f>
        <v>#VALUE!</v>
      </c>
      <c r="BN155" t="e">
        <f>'All regions'!E3873+"n/&gt;!'~{"</f>
        <v>#VALUE!</v>
      </c>
      <c r="BO155" t="e">
        <f>'All regions'!F3873+"n/&gt;!'~|"</f>
        <v>#VALUE!</v>
      </c>
      <c r="BP155" t="e">
        <f>'All regions'!G3873+"n/&gt;!'~}"</f>
        <v>#VALUE!</v>
      </c>
      <c r="BQ155" t="e">
        <f>'All regions'!H3873+"n/&gt;!'~~"</f>
        <v>#VALUE!</v>
      </c>
      <c r="BR155" t="e">
        <f>'All regions'!I3873+"n/&gt;!(##"</f>
        <v>#VALUE!</v>
      </c>
      <c r="BS155" t="e">
        <f>'All regions'!J3873+"n/&gt;!(#$"</f>
        <v>#VALUE!</v>
      </c>
      <c r="BT155" t="e">
        <f>'All regions'!A3874+"n/&gt;!(#%"</f>
        <v>#VALUE!</v>
      </c>
      <c r="BU155" t="e">
        <f>'All regions'!B3874+"n/&gt;!(#&amp;"</f>
        <v>#VALUE!</v>
      </c>
      <c r="BV155" t="e">
        <f>'All regions'!C3874+"n/&gt;!(#'"</f>
        <v>#VALUE!</v>
      </c>
      <c r="BW155" t="e">
        <f>'All regions'!D3874+"n/&gt;!(#("</f>
        <v>#VALUE!</v>
      </c>
      <c r="BX155" t="e">
        <f>'All regions'!E3874+"n/&gt;!(#)"</f>
        <v>#VALUE!</v>
      </c>
      <c r="BY155" t="e">
        <f>'All regions'!F3874+"n/&gt;!(#."</f>
        <v>#VALUE!</v>
      </c>
      <c r="BZ155" t="e">
        <f>'All regions'!G3874+"n/&gt;!(#/"</f>
        <v>#VALUE!</v>
      </c>
      <c r="CA155" t="e">
        <f>'All regions'!H3874+"n/&gt;!(#0"</f>
        <v>#VALUE!</v>
      </c>
      <c r="CB155" t="e">
        <f>'All regions'!I3874+"n/&gt;!(#1"</f>
        <v>#VALUE!</v>
      </c>
      <c r="CC155" t="e">
        <f>'All regions'!J3874+"n/&gt;!(#2"</f>
        <v>#VALUE!</v>
      </c>
      <c r="CD155" t="e">
        <f>'All regions'!A3875+"n/&gt;!(#3"</f>
        <v>#VALUE!</v>
      </c>
      <c r="CE155" t="e">
        <f>'All regions'!B3875+"n/&gt;!(#4"</f>
        <v>#VALUE!</v>
      </c>
      <c r="CF155" t="e">
        <f>'All regions'!C3875+"n/&gt;!(#5"</f>
        <v>#VALUE!</v>
      </c>
      <c r="CG155" t="e">
        <f>'All regions'!D3875+"n/&gt;!(#6"</f>
        <v>#VALUE!</v>
      </c>
      <c r="CH155" t="e">
        <f>'All regions'!E3875+"n/&gt;!(#7"</f>
        <v>#VALUE!</v>
      </c>
      <c r="CI155" t="e">
        <f>'All regions'!F3875+"n/&gt;!(#8"</f>
        <v>#VALUE!</v>
      </c>
      <c r="CJ155" t="e">
        <f>'All regions'!G3875+"n/&gt;!(#9"</f>
        <v>#VALUE!</v>
      </c>
      <c r="CK155" t="e">
        <f>'All regions'!H3875+"n/&gt;!(#:"</f>
        <v>#VALUE!</v>
      </c>
      <c r="CL155" t="e">
        <f>'All regions'!I3875+"n/&gt;!(#;"</f>
        <v>#VALUE!</v>
      </c>
      <c r="CM155" t="e">
        <f>'All regions'!J3875+"n/&gt;!(#&lt;"</f>
        <v>#VALUE!</v>
      </c>
      <c r="CN155" t="e">
        <f>'All regions'!A3876+"n/&gt;!(#="</f>
        <v>#VALUE!</v>
      </c>
      <c r="CO155" t="e">
        <f>'All regions'!B3876+"n/&gt;!(#&gt;"</f>
        <v>#VALUE!</v>
      </c>
      <c r="CP155" t="e">
        <f>'All regions'!C3876+"n/&gt;!(#?"</f>
        <v>#VALUE!</v>
      </c>
      <c r="CQ155" t="e">
        <f>'All regions'!D3876+"n/&gt;!(#@"</f>
        <v>#VALUE!</v>
      </c>
      <c r="CR155" t="e">
        <f>'All regions'!E3876+"n/&gt;!(#A"</f>
        <v>#VALUE!</v>
      </c>
      <c r="CS155" t="e">
        <f>'All regions'!F3876+"n/&gt;!(#B"</f>
        <v>#VALUE!</v>
      </c>
      <c r="CT155" t="e">
        <f>'All regions'!G3876+"n/&gt;!(#C"</f>
        <v>#VALUE!</v>
      </c>
      <c r="CU155" t="e">
        <f>'All regions'!H3876+"n/&gt;!(#D"</f>
        <v>#VALUE!</v>
      </c>
      <c r="CV155" t="e">
        <f>'All regions'!I3876+"n/&gt;!(#E"</f>
        <v>#VALUE!</v>
      </c>
      <c r="CW155" t="e">
        <f>'All regions'!J3876+"n/&gt;!(#F"</f>
        <v>#VALUE!</v>
      </c>
      <c r="CX155" t="e">
        <f>'All regions'!A3877+"n/&gt;!(#G"</f>
        <v>#VALUE!</v>
      </c>
      <c r="CY155" t="e">
        <f>'All regions'!B3877+"n/&gt;!(#H"</f>
        <v>#VALUE!</v>
      </c>
      <c r="CZ155" t="e">
        <f>'All regions'!C3877+"n/&gt;!(#I"</f>
        <v>#VALUE!</v>
      </c>
      <c r="DA155" t="e">
        <f>'All regions'!D3877+"n/&gt;!(#J"</f>
        <v>#VALUE!</v>
      </c>
      <c r="DB155" t="e">
        <f>'All regions'!E3877+"n/&gt;!(#K"</f>
        <v>#VALUE!</v>
      </c>
      <c r="DC155" t="e">
        <f>'All regions'!F3877+"n/&gt;!(#L"</f>
        <v>#VALUE!</v>
      </c>
      <c r="DD155" t="e">
        <f>'All regions'!G3877+"n/&gt;!(#M"</f>
        <v>#VALUE!</v>
      </c>
      <c r="DE155" t="e">
        <f>'All regions'!H3877+"n/&gt;!(#N"</f>
        <v>#VALUE!</v>
      </c>
      <c r="DF155" t="e">
        <f>'All regions'!I3877+"n/&gt;!(#O"</f>
        <v>#VALUE!</v>
      </c>
      <c r="DG155" t="e">
        <f>'All regions'!J3877+"n/&gt;!(#P"</f>
        <v>#VALUE!</v>
      </c>
      <c r="DH155" t="e">
        <f>'All regions'!A3878+"n/&gt;!(#Q"</f>
        <v>#VALUE!</v>
      </c>
      <c r="DI155" t="e">
        <f>'All regions'!B3878+"n/&gt;!(#R"</f>
        <v>#VALUE!</v>
      </c>
      <c r="DJ155" t="e">
        <f>'All regions'!C3878+"n/&gt;!(#S"</f>
        <v>#VALUE!</v>
      </c>
      <c r="DK155" t="e">
        <f>'All regions'!D3878+"n/&gt;!(#T"</f>
        <v>#VALUE!</v>
      </c>
      <c r="DL155" t="e">
        <f>'All regions'!E3878+"n/&gt;!(#U"</f>
        <v>#VALUE!</v>
      </c>
      <c r="DM155" t="e">
        <f>'All regions'!F3878+"n/&gt;!(#V"</f>
        <v>#VALUE!</v>
      </c>
      <c r="DN155" t="e">
        <f>'All regions'!G3878+"n/&gt;!(#W"</f>
        <v>#VALUE!</v>
      </c>
      <c r="DO155" t="e">
        <f>'All regions'!H3878+"n/&gt;!(#X"</f>
        <v>#VALUE!</v>
      </c>
      <c r="DP155" t="e">
        <f>'All regions'!I3878+"n/&gt;!(#Y"</f>
        <v>#VALUE!</v>
      </c>
      <c r="DQ155" t="e">
        <f>'All regions'!J3878+"n/&gt;!(#Z"</f>
        <v>#VALUE!</v>
      </c>
      <c r="DR155" t="e">
        <f>'All regions'!A3879+"n/&gt;!(#["</f>
        <v>#VALUE!</v>
      </c>
      <c r="DS155" t="e">
        <f>'All regions'!B3879+"n/&gt;!(#\"</f>
        <v>#VALUE!</v>
      </c>
      <c r="DT155" t="e">
        <f>'All regions'!C3879+"n/&gt;!(#]"</f>
        <v>#VALUE!</v>
      </c>
      <c r="DU155" t="e">
        <f>'All regions'!D3879+"n/&gt;!(#^"</f>
        <v>#VALUE!</v>
      </c>
      <c r="DV155" t="e">
        <f>'All regions'!E3879+"n/&gt;!(#_"</f>
        <v>#VALUE!</v>
      </c>
      <c r="DW155" t="e">
        <f>'All regions'!F3879+"n/&gt;!(#`"</f>
        <v>#VALUE!</v>
      </c>
      <c r="DX155" t="e">
        <f>'All regions'!G3879+"n/&gt;!(#a"</f>
        <v>#VALUE!</v>
      </c>
      <c r="DY155" t="e">
        <f>'All regions'!H3879+"n/&gt;!(#b"</f>
        <v>#VALUE!</v>
      </c>
      <c r="DZ155" t="e">
        <f>'All regions'!I3879+"n/&gt;!(#c"</f>
        <v>#VALUE!</v>
      </c>
      <c r="EA155" t="e">
        <f>'All regions'!J3879+"n/&gt;!(#d"</f>
        <v>#VALUE!</v>
      </c>
      <c r="EB155" t="e">
        <f>'All regions'!A3880+"n/&gt;!(#e"</f>
        <v>#VALUE!</v>
      </c>
      <c r="EC155" t="e">
        <f>'All regions'!B3880+"n/&gt;!(#f"</f>
        <v>#VALUE!</v>
      </c>
      <c r="ED155" t="e">
        <f>'All regions'!C3880+"n/&gt;!(#g"</f>
        <v>#VALUE!</v>
      </c>
      <c r="EE155" t="e">
        <f>'All regions'!D3880+"n/&gt;!(#h"</f>
        <v>#VALUE!</v>
      </c>
      <c r="EF155" t="e">
        <f>'All regions'!E3880+"n/&gt;!(#i"</f>
        <v>#VALUE!</v>
      </c>
      <c r="EG155" t="e">
        <f>'All regions'!F3880+"n/&gt;!(#j"</f>
        <v>#VALUE!</v>
      </c>
      <c r="EH155" t="e">
        <f>'All regions'!G3880+"n/&gt;!(#k"</f>
        <v>#VALUE!</v>
      </c>
      <c r="EI155" t="e">
        <f>'All regions'!H3880+"n/&gt;!(#l"</f>
        <v>#VALUE!</v>
      </c>
      <c r="EJ155" t="e">
        <f>'All regions'!I3880+"n/&gt;!(#m"</f>
        <v>#VALUE!</v>
      </c>
      <c r="EK155" t="e">
        <f>'All regions'!J3880+"n/&gt;!(#n"</f>
        <v>#VALUE!</v>
      </c>
      <c r="EL155" t="e">
        <f>'All regions'!A3881+"n/&gt;!(#o"</f>
        <v>#VALUE!</v>
      </c>
      <c r="EM155" t="e">
        <f>'All regions'!B3881+"n/&gt;!(#p"</f>
        <v>#VALUE!</v>
      </c>
      <c r="EN155" t="e">
        <f>'All regions'!C3881+"n/&gt;!(#q"</f>
        <v>#VALUE!</v>
      </c>
      <c r="EO155" t="e">
        <f>'All regions'!D3881+"n/&gt;!(#r"</f>
        <v>#VALUE!</v>
      </c>
      <c r="EP155" t="e">
        <f>'All regions'!E3881+"n/&gt;!(#s"</f>
        <v>#VALUE!</v>
      </c>
      <c r="EQ155" t="e">
        <f>'All regions'!F3881+"n/&gt;!(#t"</f>
        <v>#VALUE!</v>
      </c>
      <c r="ER155" t="e">
        <f>'All regions'!G3881+"n/&gt;!(#u"</f>
        <v>#VALUE!</v>
      </c>
      <c r="ES155" t="e">
        <f>'All regions'!H3881+"n/&gt;!(#v"</f>
        <v>#VALUE!</v>
      </c>
      <c r="ET155" t="e">
        <f>'All regions'!I3881+"n/&gt;!(#w"</f>
        <v>#VALUE!</v>
      </c>
      <c r="EU155" t="e">
        <f>'All regions'!J3881+"n/&gt;!(#x"</f>
        <v>#VALUE!</v>
      </c>
      <c r="EV155" t="e">
        <f>'All regions'!A3882+"n/&gt;!(#y"</f>
        <v>#VALUE!</v>
      </c>
      <c r="EW155" t="e">
        <f>'All regions'!B3882+"n/&gt;!(#z"</f>
        <v>#VALUE!</v>
      </c>
      <c r="EX155" t="e">
        <f>'All regions'!C3882+"n/&gt;!(#{"</f>
        <v>#VALUE!</v>
      </c>
      <c r="EY155" t="e">
        <f>'All regions'!D3882+"n/&gt;!(#|"</f>
        <v>#VALUE!</v>
      </c>
      <c r="EZ155" t="e">
        <f>'All regions'!E3882+"n/&gt;!(#}"</f>
        <v>#VALUE!</v>
      </c>
      <c r="FA155" t="e">
        <f>'All regions'!F3882+"n/&gt;!(#~"</f>
        <v>#VALUE!</v>
      </c>
      <c r="FB155" t="e">
        <f>'All regions'!G3882+"n/&gt;!($#"</f>
        <v>#VALUE!</v>
      </c>
      <c r="FC155" t="e">
        <f>'All regions'!H3882+"n/&gt;!($$"</f>
        <v>#VALUE!</v>
      </c>
      <c r="FD155" t="e">
        <f>'All regions'!I3882+"n/&gt;!($%"</f>
        <v>#VALUE!</v>
      </c>
      <c r="FE155" t="e">
        <f>'All regions'!J3882+"n/&gt;!($&amp;"</f>
        <v>#VALUE!</v>
      </c>
      <c r="FF155" t="e">
        <f>'All regions'!A3883+"n/&gt;!($'"</f>
        <v>#VALUE!</v>
      </c>
      <c r="FG155" t="e">
        <f>'All regions'!B3883+"n/&gt;!($("</f>
        <v>#VALUE!</v>
      </c>
      <c r="FH155" t="e">
        <f>'All regions'!C3883+"n/&gt;!($)"</f>
        <v>#VALUE!</v>
      </c>
      <c r="FI155" t="e">
        <f>'All regions'!D3883+"n/&gt;!($."</f>
        <v>#VALUE!</v>
      </c>
      <c r="FJ155" t="e">
        <f>'All regions'!E3883+"n/&gt;!($/"</f>
        <v>#VALUE!</v>
      </c>
      <c r="FK155" t="e">
        <f>'All regions'!F3883+"n/&gt;!($0"</f>
        <v>#VALUE!</v>
      </c>
      <c r="FL155" t="e">
        <f>'All regions'!G3883+"n/&gt;!($1"</f>
        <v>#VALUE!</v>
      </c>
      <c r="FM155" t="e">
        <f>'All regions'!H3883+"n/&gt;!($2"</f>
        <v>#VALUE!</v>
      </c>
      <c r="FN155" t="e">
        <f>'All regions'!I3883+"n/&gt;!($3"</f>
        <v>#VALUE!</v>
      </c>
      <c r="FO155" t="e">
        <f>'All regions'!J3883+"n/&gt;!($4"</f>
        <v>#VALUE!</v>
      </c>
      <c r="FP155" t="e">
        <f>'All regions'!A3884+"n/&gt;!($5"</f>
        <v>#VALUE!</v>
      </c>
      <c r="FQ155" t="e">
        <f>'All regions'!B3884+"n/&gt;!($6"</f>
        <v>#VALUE!</v>
      </c>
      <c r="FR155" t="e">
        <f>'All regions'!C3884+"n/&gt;!($7"</f>
        <v>#VALUE!</v>
      </c>
      <c r="FS155" t="e">
        <f>'All regions'!D3884+"n/&gt;!($8"</f>
        <v>#VALUE!</v>
      </c>
      <c r="FT155" t="e">
        <f>'All regions'!E3884+"n/&gt;!($9"</f>
        <v>#VALUE!</v>
      </c>
      <c r="FU155" t="e">
        <f>'All regions'!F3884+"n/&gt;!($:"</f>
        <v>#VALUE!</v>
      </c>
      <c r="FV155" t="e">
        <f>'All regions'!G3884+"n/&gt;!($;"</f>
        <v>#VALUE!</v>
      </c>
      <c r="FW155" t="e">
        <f>'All regions'!H3884+"n/&gt;!($&lt;"</f>
        <v>#VALUE!</v>
      </c>
      <c r="FX155" t="e">
        <f>'All regions'!I3884+"n/&gt;!($="</f>
        <v>#VALUE!</v>
      </c>
      <c r="FY155" t="e">
        <f>'All regions'!J3884+"n/&gt;!($&gt;"</f>
        <v>#VALUE!</v>
      </c>
      <c r="FZ155" t="e">
        <f>'All regions'!A3885+"n/&gt;!($?"</f>
        <v>#VALUE!</v>
      </c>
      <c r="GA155" t="e">
        <f>'All regions'!B3885+"n/&gt;!($@"</f>
        <v>#VALUE!</v>
      </c>
      <c r="GB155" t="e">
        <f>'All regions'!C3885+"n/&gt;!($A"</f>
        <v>#VALUE!</v>
      </c>
      <c r="GC155" t="e">
        <f>'All regions'!D3885+"n/&gt;!($B"</f>
        <v>#VALUE!</v>
      </c>
      <c r="GD155" t="e">
        <f>'All regions'!E3885+"n/&gt;!($C"</f>
        <v>#VALUE!</v>
      </c>
      <c r="GE155" t="e">
        <f>'All regions'!F3885+"n/&gt;!($D"</f>
        <v>#VALUE!</v>
      </c>
      <c r="GF155" t="e">
        <f>'All regions'!G3885+"n/&gt;!($E"</f>
        <v>#VALUE!</v>
      </c>
      <c r="GG155" t="e">
        <f>'All regions'!H3885+"n/&gt;!($F"</f>
        <v>#VALUE!</v>
      </c>
      <c r="GH155" t="e">
        <f>'All regions'!I3885+"n/&gt;!($G"</f>
        <v>#VALUE!</v>
      </c>
      <c r="GI155" t="e">
        <f>'All regions'!J3885+"n/&gt;!($H"</f>
        <v>#VALUE!</v>
      </c>
      <c r="GJ155" t="e">
        <f>'All regions'!A3886+"n/&gt;!($I"</f>
        <v>#VALUE!</v>
      </c>
      <c r="GK155" t="e">
        <f>'All regions'!B3886+"n/&gt;!($J"</f>
        <v>#VALUE!</v>
      </c>
      <c r="GL155" t="e">
        <f>'All regions'!C3886+"n/&gt;!($K"</f>
        <v>#VALUE!</v>
      </c>
      <c r="GM155" t="e">
        <f>'All regions'!D3886+"n/&gt;!($L"</f>
        <v>#VALUE!</v>
      </c>
      <c r="GN155" t="e">
        <f>'All regions'!E3886+"n/&gt;!($M"</f>
        <v>#VALUE!</v>
      </c>
      <c r="GO155" t="e">
        <f>'All regions'!F3886+"n/&gt;!($N"</f>
        <v>#VALUE!</v>
      </c>
      <c r="GP155" t="e">
        <f>'All regions'!G3886+"n/&gt;!($O"</f>
        <v>#VALUE!</v>
      </c>
      <c r="GQ155" t="e">
        <f>'All regions'!H3886+"n/&gt;!($P"</f>
        <v>#VALUE!</v>
      </c>
      <c r="GR155" t="e">
        <f>'All regions'!I3886+"n/&gt;!($Q"</f>
        <v>#VALUE!</v>
      </c>
      <c r="GS155" t="e">
        <f>'All regions'!J3886+"n/&gt;!($R"</f>
        <v>#VALUE!</v>
      </c>
      <c r="GT155" t="e">
        <f>'All regions'!A3887+"n/&gt;!($S"</f>
        <v>#VALUE!</v>
      </c>
      <c r="GU155" t="e">
        <f>'All regions'!B3887+"n/&gt;!($T"</f>
        <v>#VALUE!</v>
      </c>
      <c r="GV155" t="e">
        <f>'All regions'!C3887+"n/&gt;!($U"</f>
        <v>#VALUE!</v>
      </c>
      <c r="GW155" t="e">
        <f>'All regions'!D3887+"n/&gt;!($V"</f>
        <v>#VALUE!</v>
      </c>
      <c r="GX155" t="e">
        <f>'All regions'!E3887+"n/&gt;!($W"</f>
        <v>#VALUE!</v>
      </c>
      <c r="GY155" t="e">
        <f>'All regions'!F3887+"n/&gt;!($X"</f>
        <v>#VALUE!</v>
      </c>
      <c r="GZ155" t="e">
        <f>'All regions'!G3887+"n/&gt;!($Y"</f>
        <v>#VALUE!</v>
      </c>
      <c r="HA155" t="e">
        <f>'All regions'!H3887+"n/&gt;!($Z"</f>
        <v>#VALUE!</v>
      </c>
      <c r="HB155" t="e">
        <f>'All regions'!I3887+"n/&gt;!($["</f>
        <v>#VALUE!</v>
      </c>
      <c r="HC155" t="e">
        <f>'All regions'!J3887+"n/&gt;!($\"</f>
        <v>#VALUE!</v>
      </c>
      <c r="HD155" t="e">
        <f>'All regions'!A3888+"n/&gt;!($]"</f>
        <v>#VALUE!</v>
      </c>
      <c r="HE155" t="e">
        <f>'All regions'!B3888+"n/&gt;!($^"</f>
        <v>#VALUE!</v>
      </c>
      <c r="HF155" t="e">
        <f>'All regions'!C3888+"n/&gt;!($_"</f>
        <v>#VALUE!</v>
      </c>
      <c r="HG155" t="e">
        <f>'All regions'!D3888+"n/&gt;!($`"</f>
        <v>#VALUE!</v>
      </c>
      <c r="HH155" t="e">
        <f>'All regions'!E3888+"n/&gt;!($a"</f>
        <v>#VALUE!</v>
      </c>
      <c r="HI155" t="e">
        <f>'All regions'!F3888+"n/&gt;!($b"</f>
        <v>#VALUE!</v>
      </c>
      <c r="HJ155" t="e">
        <f>'All regions'!G3888+"n/&gt;!($c"</f>
        <v>#VALUE!</v>
      </c>
      <c r="HK155" t="e">
        <f>'All regions'!H3888+"n/&gt;!($d"</f>
        <v>#VALUE!</v>
      </c>
      <c r="HL155" t="e">
        <f>'All regions'!I3888+"n/&gt;!($e"</f>
        <v>#VALUE!</v>
      </c>
      <c r="HM155" t="e">
        <f>'All regions'!J3888+"n/&gt;!($f"</f>
        <v>#VALUE!</v>
      </c>
      <c r="HN155" t="e">
        <f>'All regions'!A3889+"n/&gt;!($g"</f>
        <v>#VALUE!</v>
      </c>
      <c r="HO155" t="e">
        <f>'All regions'!B3889+"n/&gt;!($h"</f>
        <v>#VALUE!</v>
      </c>
      <c r="HP155" t="e">
        <f>'All regions'!C3889+"n/&gt;!($i"</f>
        <v>#VALUE!</v>
      </c>
      <c r="HQ155" t="e">
        <f>'All regions'!D3889+"n/&gt;!($j"</f>
        <v>#VALUE!</v>
      </c>
      <c r="HR155" t="e">
        <f>'All regions'!E3889+"n/&gt;!($k"</f>
        <v>#VALUE!</v>
      </c>
      <c r="HS155" t="e">
        <f>'All regions'!F3889+"n/&gt;!($l"</f>
        <v>#VALUE!</v>
      </c>
      <c r="HT155" t="e">
        <f>'All regions'!G3889+"n/&gt;!($m"</f>
        <v>#VALUE!</v>
      </c>
      <c r="HU155" t="e">
        <f>'All regions'!H3889+"n/&gt;!($n"</f>
        <v>#VALUE!</v>
      </c>
      <c r="HV155" t="e">
        <f>'All regions'!I3889+"n/&gt;!($o"</f>
        <v>#VALUE!</v>
      </c>
      <c r="HW155" t="e">
        <f>'All regions'!J3889+"n/&gt;!($p"</f>
        <v>#VALUE!</v>
      </c>
      <c r="HX155" t="e">
        <f>'All regions'!A3890+"n/&gt;!($q"</f>
        <v>#VALUE!</v>
      </c>
      <c r="HY155" t="e">
        <f>'All regions'!B3890+"n/&gt;!($r"</f>
        <v>#VALUE!</v>
      </c>
      <c r="HZ155" t="e">
        <f>'All regions'!C3890+"n/&gt;!($s"</f>
        <v>#VALUE!</v>
      </c>
      <c r="IA155" t="e">
        <f>'All regions'!D3890+"n/&gt;!($t"</f>
        <v>#VALUE!</v>
      </c>
      <c r="IB155" t="e">
        <f>'All regions'!E3890+"n/&gt;!($u"</f>
        <v>#VALUE!</v>
      </c>
      <c r="IC155" t="e">
        <f>'All regions'!F3890+"n/&gt;!($v"</f>
        <v>#VALUE!</v>
      </c>
      <c r="ID155" t="e">
        <f>'All regions'!G3890+"n/&gt;!($w"</f>
        <v>#VALUE!</v>
      </c>
      <c r="IE155" t="e">
        <f>'All regions'!H3890+"n/&gt;!($x"</f>
        <v>#VALUE!</v>
      </c>
      <c r="IF155" t="e">
        <f>'All regions'!I3890+"n/&gt;!($y"</f>
        <v>#VALUE!</v>
      </c>
      <c r="IG155" t="e">
        <f>'All regions'!J3890+"n/&gt;!($z"</f>
        <v>#VALUE!</v>
      </c>
      <c r="IH155" t="e">
        <f>'All regions'!A3891+"n/&gt;!(${"</f>
        <v>#VALUE!</v>
      </c>
      <c r="II155" t="e">
        <f>'All regions'!B3891+"n/&gt;!($|"</f>
        <v>#VALUE!</v>
      </c>
      <c r="IJ155" t="e">
        <f>'All regions'!C3891+"n/&gt;!($}"</f>
        <v>#VALUE!</v>
      </c>
      <c r="IK155" t="e">
        <f>'All regions'!D3891+"n/&gt;!($~"</f>
        <v>#VALUE!</v>
      </c>
      <c r="IL155" t="e">
        <f>'All regions'!E3891+"n/&gt;!(%#"</f>
        <v>#VALUE!</v>
      </c>
      <c r="IM155" t="e">
        <f>'All regions'!F3891+"n/&gt;!(%$"</f>
        <v>#VALUE!</v>
      </c>
      <c r="IN155" t="e">
        <f>'All regions'!G3891+"n/&gt;!(%%"</f>
        <v>#VALUE!</v>
      </c>
      <c r="IO155" t="e">
        <f>'All regions'!H3891+"n/&gt;!(%&amp;"</f>
        <v>#VALUE!</v>
      </c>
      <c r="IP155" t="e">
        <f>'All regions'!I3891+"n/&gt;!(%'"</f>
        <v>#VALUE!</v>
      </c>
      <c r="IQ155" t="e">
        <f>'All regions'!J3891+"n/&gt;!(%("</f>
        <v>#VALUE!</v>
      </c>
      <c r="IR155" t="e">
        <f>'All regions'!A3892+"n/&gt;!(%)"</f>
        <v>#VALUE!</v>
      </c>
      <c r="IS155" t="e">
        <f>'All regions'!B3892+"n/&gt;!(%."</f>
        <v>#VALUE!</v>
      </c>
      <c r="IT155" t="e">
        <f>'All regions'!C3892+"n/&gt;!(%/"</f>
        <v>#VALUE!</v>
      </c>
      <c r="IU155" t="e">
        <f>'All regions'!D3892+"n/&gt;!(%0"</f>
        <v>#VALUE!</v>
      </c>
      <c r="IV155" t="e">
        <f>'All regions'!E3892+"n/&gt;!(%1"</f>
        <v>#VALUE!</v>
      </c>
    </row>
    <row r="156" spans="6:256" x14ac:dyDescent="0.35">
      <c r="F156" t="e">
        <f>'All regions'!F3892+"n/&gt;!(%2"</f>
        <v>#VALUE!</v>
      </c>
      <c r="G156" t="e">
        <f>'All regions'!G3892+"n/&gt;!(%3"</f>
        <v>#VALUE!</v>
      </c>
      <c r="H156" t="e">
        <f>'All regions'!H3892+"n/&gt;!(%4"</f>
        <v>#VALUE!</v>
      </c>
      <c r="I156" t="e">
        <f>'All regions'!I3892+"n/&gt;!(%5"</f>
        <v>#VALUE!</v>
      </c>
      <c r="J156" t="e">
        <f>'All regions'!J3892+"n/&gt;!(%6"</f>
        <v>#VALUE!</v>
      </c>
      <c r="K156" t="e">
        <f>'All regions'!A3893+"n/&gt;!(%7"</f>
        <v>#VALUE!</v>
      </c>
      <c r="L156" t="e">
        <f>'All regions'!B3893+"n/&gt;!(%8"</f>
        <v>#VALUE!</v>
      </c>
      <c r="M156" t="e">
        <f>'All regions'!C3893+"n/&gt;!(%9"</f>
        <v>#VALUE!</v>
      </c>
      <c r="N156" t="e">
        <f>'All regions'!D3893+"n/&gt;!(%:"</f>
        <v>#VALUE!</v>
      </c>
      <c r="O156" t="e">
        <f>'All regions'!E3893+"n/&gt;!(%;"</f>
        <v>#VALUE!</v>
      </c>
      <c r="P156" t="e">
        <f>'All regions'!F3893+"n/&gt;!(%&lt;"</f>
        <v>#VALUE!</v>
      </c>
      <c r="Q156" t="e">
        <f>'All regions'!G3893+"n/&gt;!(%="</f>
        <v>#VALUE!</v>
      </c>
      <c r="R156" t="e">
        <f>'All regions'!H3893+"n/&gt;!(%&gt;"</f>
        <v>#VALUE!</v>
      </c>
      <c r="S156" t="e">
        <f>'All regions'!I3893+"n/&gt;!(%?"</f>
        <v>#VALUE!</v>
      </c>
      <c r="T156" t="e">
        <f>'All regions'!J3893+"n/&gt;!(%@"</f>
        <v>#VALUE!</v>
      </c>
      <c r="U156" t="e">
        <f>'All regions'!A3894+"n/&gt;!(%A"</f>
        <v>#VALUE!</v>
      </c>
      <c r="V156" t="e">
        <f>'All regions'!B3894+"n/&gt;!(%B"</f>
        <v>#VALUE!</v>
      </c>
      <c r="W156" t="e">
        <f>'All regions'!C3894+"n/&gt;!(%C"</f>
        <v>#VALUE!</v>
      </c>
      <c r="X156" t="e">
        <f>'All regions'!D3894+"n/&gt;!(%D"</f>
        <v>#VALUE!</v>
      </c>
      <c r="Y156" t="e">
        <f>'All regions'!E3894+"n/&gt;!(%E"</f>
        <v>#VALUE!</v>
      </c>
      <c r="Z156" t="e">
        <f>'All regions'!F3894+"n/&gt;!(%F"</f>
        <v>#VALUE!</v>
      </c>
      <c r="AA156" t="e">
        <f>'All regions'!G3894+"n/&gt;!(%G"</f>
        <v>#VALUE!</v>
      </c>
      <c r="AB156" t="e">
        <f>'All regions'!H3894+"n/&gt;!(%H"</f>
        <v>#VALUE!</v>
      </c>
      <c r="AC156" t="e">
        <f>'All regions'!I3894+"n/&gt;!(%I"</f>
        <v>#VALUE!</v>
      </c>
      <c r="AD156" t="e">
        <f>'All regions'!J3894+"n/&gt;!(%J"</f>
        <v>#VALUE!</v>
      </c>
      <c r="AE156" t="e">
        <f>'All regions'!A3895+"n/&gt;!(%K"</f>
        <v>#VALUE!</v>
      </c>
      <c r="AF156" t="e">
        <f>'All regions'!B3895+"n/&gt;!(%L"</f>
        <v>#VALUE!</v>
      </c>
      <c r="AG156" t="e">
        <f>'All regions'!C3895+"n/&gt;!(%M"</f>
        <v>#VALUE!</v>
      </c>
      <c r="AH156" t="e">
        <f>'All regions'!D3895+"n/&gt;!(%N"</f>
        <v>#VALUE!</v>
      </c>
      <c r="AI156" t="e">
        <f>'All regions'!E3895+"n/&gt;!(%O"</f>
        <v>#VALUE!</v>
      </c>
      <c r="AJ156" t="e">
        <f>'All regions'!F3895+"n/&gt;!(%P"</f>
        <v>#VALUE!</v>
      </c>
      <c r="AK156" t="e">
        <f>'All regions'!G3895+"n/&gt;!(%Q"</f>
        <v>#VALUE!</v>
      </c>
      <c r="AL156" t="e">
        <f>'All regions'!H3895+"n/&gt;!(%R"</f>
        <v>#VALUE!</v>
      </c>
      <c r="AM156" t="e">
        <f>'All regions'!I3895+"n/&gt;!(%S"</f>
        <v>#VALUE!</v>
      </c>
      <c r="AN156" t="e">
        <f>'All regions'!J3895+"n/&gt;!(%T"</f>
        <v>#VALUE!</v>
      </c>
      <c r="AO156" t="e">
        <f>'All regions'!A3896+"n/&gt;!(%U"</f>
        <v>#VALUE!</v>
      </c>
      <c r="AP156" t="e">
        <f>'All regions'!B3896+"n/&gt;!(%V"</f>
        <v>#VALUE!</v>
      </c>
      <c r="AQ156" t="e">
        <f>'All regions'!C3896+"n/&gt;!(%W"</f>
        <v>#VALUE!</v>
      </c>
      <c r="AR156" t="e">
        <f>'All regions'!D3896+"n/&gt;!(%X"</f>
        <v>#VALUE!</v>
      </c>
      <c r="AS156" t="e">
        <f>'All regions'!E3896+"n/&gt;!(%Y"</f>
        <v>#VALUE!</v>
      </c>
      <c r="AT156" t="e">
        <f>'All regions'!F3896+"n/&gt;!(%Z"</f>
        <v>#VALUE!</v>
      </c>
      <c r="AU156" t="e">
        <f>'All regions'!G3896+"n/&gt;!(%["</f>
        <v>#VALUE!</v>
      </c>
      <c r="AV156" t="e">
        <f>'All regions'!H3896+"n/&gt;!(%\"</f>
        <v>#VALUE!</v>
      </c>
      <c r="AW156" t="e">
        <f>'All regions'!I3896+"n/&gt;!(%]"</f>
        <v>#VALUE!</v>
      </c>
      <c r="AX156" t="e">
        <f>'All regions'!J3896+"n/&gt;!(%^"</f>
        <v>#VALUE!</v>
      </c>
      <c r="AY156" t="e">
        <f>'All regions'!A3897+"n/&gt;!(%_"</f>
        <v>#VALUE!</v>
      </c>
      <c r="AZ156" t="e">
        <f>'All regions'!B3897+"n/&gt;!(%`"</f>
        <v>#VALUE!</v>
      </c>
      <c r="BA156" t="e">
        <f>'All regions'!C3897+"n/&gt;!(%a"</f>
        <v>#VALUE!</v>
      </c>
      <c r="BB156" t="e">
        <f>'All regions'!D3897+"n/&gt;!(%b"</f>
        <v>#VALUE!</v>
      </c>
      <c r="BC156" t="e">
        <f>'All regions'!E3897+"n/&gt;!(%c"</f>
        <v>#VALUE!</v>
      </c>
      <c r="BD156" t="e">
        <f>'All regions'!F3897+"n/&gt;!(%d"</f>
        <v>#VALUE!</v>
      </c>
      <c r="BE156" t="e">
        <f>'All regions'!G3897+"n/&gt;!(%e"</f>
        <v>#VALUE!</v>
      </c>
      <c r="BF156" t="e">
        <f>'All regions'!H3897+"n/&gt;!(%f"</f>
        <v>#VALUE!</v>
      </c>
      <c r="BG156" t="e">
        <f>'All regions'!I3897+"n/&gt;!(%g"</f>
        <v>#VALUE!</v>
      </c>
      <c r="BH156" t="e">
        <f>'All regions'!J3897+"n/&gt;!(%h"</f>
        <v>#VALUE!</v>
      </c>
      <c r="BI156" t="e">
        <f>'All regions'!A3898+"n/&gt;!(%i"</f>
        <v>#VALUE!</v>
      </c>
      <c r="BJ156" t="e">
        <f>'All regions'!B3898+"n/&gt;!(%j"</f>
        <v>#VALUE!</v>
      </c>
      <c r="BK156" t="e">
        <f>'All regions'!C3898+"n/&gt;!(%k"</f>
        <v>#VALUE!</v>
      </c>
      <c r="BL156" t="e">
        <f>'All regions'!D3898+"n/&gt;!(%l"</f>
        <v>#VALUE!</v>
      </c>
      <c r="BM156" t="e">
        <f>'All regions'!E3898+"n/&gt;!(%m"</f>
        <v>#VALUE!</v>
      </c>
      <c r="BN156" t="e">
        <f>'All regions'!F3898+"n/&gt;!(%n"</f>
        <v>#VALUE!</v>
      </c>
      <c r="BO156" t="e">
        <f>'All regions'!G3898+"n/&gt;!(%o"</f>
        <v>#VALUE!</v>
      </c>
      <c r="BP156" t="e">
        <f>'All regions'!H3898+"n/&gt;!(%p"</f>
        <v>#VALUE!</v>
      </c>
      <c r="BQ156" t="e">
        <f>'All regions'!I3898+"n/&gt;!(%q"</f>
        <v>#VALUE!</v>
      </c>
      <c r="BR156" t="e">
        <f>'All regions'!J3898+"n/&gt;!(%r"</f>
        <v>#VALUE!</v>
      </c>
      <c r="BS156" t="e">
        <f>'All regions'!A3899+"n/&gt;!(%s"</f>
        <v>#VALUE!</v>
      </c>
      <c r="BT156" t="e">
        <f>'All regions'!B3899+"n/&gt;!(%t"</f>
        <v>#VALUE!</v>
      </c>
      <c r="BU156" t="e">
        <f>'All regions'!C3899+"n/&gt;!(%u"</f>
        <v>#VALUE!</v>
      </c>
      <c r="BV156" t="e">
        <f>'All regions'!D3899+"n/&gt;!(%v"</f>
        <v>#VALUE!</v>
      </c>
      <c r="BW156" t="e">
        <f>'All regions'!E3899+"n/&gt;!(%w"</f>
        <v>#VALUE!</v>
      </c>
      <c r="BX156" t="e">
        <f>'All regions'!F3899+"n/&gt;!(%x"</f>
        <v>#VALUE!</v>
      </c>
      <c r="BY156" t="e">
        <f>'All regions'!G3899+"n/&gt;!(%y"</f>
        <v>#VALUE!</v>
      </c>
      <c r="BZ156" t="e">
        <f>'All regions'!H3899+"n/&gt;!(%z"</f>
        <v>#VALUE!</v>
      </c>
      <c r="CA156" t="e">
        <f>'All regions'!I3899+"n/&gt;!(%{"</f>
        <v>#VALUE!</v>
      </c>
      <c r="CB156" t="e">
        <f>'All regions'!J3899+"n/&gt;!(%|"</f>
        <v>#VALUE!</v>
      </c>
      <c r="CC156" t="e">
        <f>'All regions'!A3900+"n/&gt;!(%}"</f>
        <v>#VALUE!</v>
      </c>
      <c r="CD156" t="e">
        <f>'All regions'!B3900+"n/&gt;!(%~"</f>
        <v>#VALUE!</v>
      </c>
      <c r="CE156" t="e">
        <f>'All regions'!C3900+"n/&gt;!(&amp;#"</f>
        <v>#VALUE!</v>
      </c>
      <c r="CF156" t="e">
        <f>'All regions'!D3900+"n/&gt;!(&amp;$"</f>
        <v>#VALUE!</v>
      </c>
      <c r="CG156" t="e">
        <f>'All regions'!E3900+"n/&gt;!(&amp;%"</f>
        <v>#VALUE!</v>
      </c>
      <c r="CH156" t="e">
        <f>'All regions'!F3900+"n/&gt;!(&amp;&amp;"</f>
        <v>#VALUE!</v>
      </c>
      <c r="CI156" t="e">
        <f>'All regions'!G3900+"n/&gt;!(&amp;'"</f>
        <v>#VALUE!</v>
      </c>
      <c r="CJ156" t="e">
        <f>'All regions'!H3900+"n/&gt;!(&amp;("</f>
        <v>#VALUE!</v>
      </c>
      <c r="CK156" t="e">
        <f>'All regions'!I3900+"n/&gt;!(&amp;)"</f>
        <v>#VALUE!</v>
      </c>
      <c r="CL156" t="e">
        <f>'All regions'!J3900+"n/&gt;!(&amp;."</f>
        <v>#VALUE!</v>
      </c>
      <c r="CM156" t="e">
        <f>'All regions'!A3901+"n/&gt;!(&amp;/"</f>
        <v>#VALUE!</v>
      </c>
      <c r="CN156" t="e">
        <f>'All regions'!B3901+"n/&gt;!(&amp;0"</f>
        <v>#VALUE!</v>
      </c>
      <c r="CO156" t="e">
        <f>'All regions'!C3901+"n/&gt;!(&amp;1"</f>
        <v>#VALUE!</v>
      </c>
      <c r="CP156" t="e">
        <f>'All regions'!D3901+"n/&gt;!(&amp;2"</f>
        <v>#VALUE!</v>
      </c>
      <c r="CQ156" t="e">
        <f>'All regions'!E3901+"n/&gt;!(&amp;3"</f>
        <v>#VALUE!</v>
      </c>
      <c r="CR156" t="e">
        <f>'All regions'!F3901+"n/&gt;!(&amp;4"</f>
        <v>#VALUE!</v>
      </c>
      <c r="CS156" t="e">
        <f>'All regions'!G3901+"n/&gt;!(&amp;5"</f>
        <v>#VALUE!</v>
      </c>
      <c r="CT156" t="e">
        <f>'All regions'!H3901+"n/&gt;!(&amp;6"</f>
        <v>#VALUE!</v>
      </c>
      <c r="CU156" t="e">
        <f>'All regions'!I3901+"n/&gt;!(&amp;7"</f>
        <v>#VALUE!</v>
      </c>
      <c r="CV156" t="e">
        <f>'All regions'!J3901+"n/&gt;!(&amp;8"</f>
        <v>#VALUE!</v>
      </c>
      <c r="CW156" t="e">
        <f>'All regions'!A3902+"n/&gt;!(&amp;9"</f>
        <v>#VALUE!</v>
      </c>
      <c r="CX156" t="e">
        <f>'All regions'!B3902+"n/&gt;!(&amp;:"</f>
        <v>#VALUE!</v>
      </c>
      <c r="CY156" t="e">
        <f>'All regions'!C3902+"n/&gt;!(&amp;;"</f>
        <v>#VALUE!</v>
      </c>
      <c r="CZ156" t="e">
        <f>'All regions'!D3902+"n/&gt;!(&amp;&lt;"</f>
        <v>#VALUE!</v>
      </c>
      <c r="DA156" t="e">
        <f>'All regions'!E3902+"n/&gt;!(&amp;="</f>
        <v>#VALUE!</v>
      </c>
      <c r="DB156" t="e">
        <f>'All regions'!F3902+"n/&gt;!(&amp;&gt;"</f>
        <v>#VALUE!</v>
      </c>
      <c r="DC156" t="e">
        <f>'All regions'!G3902+"n/&gt;!(&amp;?"</f>
        <v>#VALUE!</v>
      </c>
      <c r="DD156" t="e">
        <f>'All regions'!H3902+"n/&gt;!(&amp;@"</f>
        <v>#VALUE!</v>
      </c>
      <c r="DE156" t="e">
        <f>'All regions'!I3902+"n/&gt;!(&amp;A"</f>
        <v>#VALUE!</v>
      </c>
      <c r="DF156" t="e">
        <f>'All regions'!J3902+"n/&gt;!(&amp;B"</f>
        <v>#VALUE!</v>
      </c>
      <c r="DG156" t="e">
        <f>'All regions'!A3903+"n/&gt;!(&amp;C"</f>
        <v>#VALUE!</v>
      </c>
      <c r="DH156" t="e">
        <f>'All regions'!B3903+"n/&gt;!(&amp;D"</f>
        <v>#VALUE!</v>
      </c>
      <c r="DI156" t="e">
        <f>'All regions'!C3903+"n/&gt;!(&amp;E"</f>
        <v>#VALUE!</v>
      </c>
      <c r="DJ156" t="e">
        <f>'All regions'!D3903+"n/&gt;!(&amp;F"</f>
        <v>#VALUE!</v>
      </c>
      <c r="DK156" t="e">
        <f>'All regions'!E3903+"n/&gt;!(&amp;G"</f>
        <v>#VALUE!</v>
      </c>
      <c r="DL156" t="e">
        <f>'All regions'!F3903+"n/&gt;!(&amp;H"</f>
        <v>#VALUE!</v>
      </c>
      <c r="DM156" t="e">
        <f>'All regions'!G3903+"n/&gt;!(&amp;I"</f>
        <v>#VALUE!</v>
      </c>
      <c r="DN156" t="e">
        <f>'All regions'!H3903+"n/&gt;!(&amp;J"</f>
        <v>#VALUE!</v>
      </c>
      <c r="DO156" t="e">
        <f>'All regions'!I3903+"n/&gt;!(&amp;K"</f>
        <v>#VALUE!</v>
      </c>
      <c r="DP156" t="e">
        <f>'All regions'!J3903+"n/&gt;!(&amp;L"</f>
        <v>#VALUE!</v>
      </c>
      <c r="DQ156" t="e">
        <f>'All regions'!A3904+"n/&gt;!(&amp;M"</f>
        <v>#VALUE!</v>
      </c>
      <c r="DR156" t="e">
        <f>'All regions'!B3904+"n/&gt;!(&amp;N"</f>
        <v>#VALUE!</v>
      </c>
      <c r="DS156" t="e">
        <f>'All regions'!C3904+"n/&gt;!(&amp;O"</f>
        <v>#VALUE!</v>
      </c>
      <c r="DT156" t="e">
        <f>'All regions'!D3904+"n/&gt;!(&amp;P"</f>
        <v>#VALUE!</v>
      </c>
      <c r="DU156" t="e">
        <f>'All regions'!E3904+"n/&gt;!(&amp;Q"</f>
        <v>#VALUE!</v>
      </c>
      <c r="DV156" t="e">
        <f>'All regions'!F3904+"n/&gt;!(&amp;R"</f>
        <v>#VALUE!</v>
      </c>
      <c r="DW156" t="e">
        <f>'All regions'!G3904+"n/&gt;!(&amp;S"</f>
        <v>#VALUE!</v>
      </c>
      <c r="DX156" t="e">
        <f>'All regions'!H3904+"n/&gt;!(&amp;T"</f>
        <v>#VALUE!</v>
      </c>
      <c r="DY156" t="e">
        <f>'All regions'!I3904+"n/&gt;!(&amp;U"</f>
        <v>#VALUE!</v>
      </c>
      <c r="DZ156" t="e">
        <f>'All regions'!J3904+"n/&gt;!(&amp;V"</f>
        <v>#VALUE!</v>
      </c>
      <c r="EA156" t="e">
        <f>'All regions'!A3905+"n/&gt;!(&amp;W"</f>
        <v>#VALUE!</v>
      </c>
      <c r="EB156" t="e">
        <f>'All regions'!B3905+"n/&gt;!(&amp;X"</f>
        <v>#VALUE!</v>
      </c>
      <c r="EC156" t="e">
        <f>'All regions'!C3905+"n/&gt;!(&amp;Y"</f>
        <v>#VALUE!</v>
      </c>
      <c r="ED156" t="e">
        <f>'All regions'!D3905+"n/&gt;!(&amp;Z"</f>
        <v>#VALUE!</v>
      </c>
      <c r="EE156" t="e">
        <f>'All regions'!E3905+"n/&gt;!(&amp;["</f>
        <v>#VALUE!</v>
      </c>
      <c r="EF156" t="e">
        <f>'All regions'!F3905+"n/&gt;!(&amp;\"</f>
        <v>#VALUE!</v>
      </c>
      <c r="EG156" t="e">
        <f>'All regions'!G3905+"n/&gt;!(&amp;]"</f>
        <v>#VALUE!</v>
      </c>
      <c r="EH156" t="e">
        <f>'All regions'!H3905+"n/&gt;!(&amp;^"</f>
        <v>#VALUE!</v>
      </c>
      <c r="EI156" t="e">
        <f>'All regions'!I3905+"n/&gt;!(&amp;_"</f>
        <v>#VALUE!</v>
      </c>
      <c r="EJ156" t="e">
        <f>'All regions'!J3905+"n/&gt;!(&amp;`"</f>
        <v>#VALUE!</v>
      </c>
      <c r="EK156" t="e">
        <f>'All regions'!A3906+"n/&gt;!(&amp;a"</f>
        <v>#VALUE!</v>
      </c>
      <c r="EL156" t="e">
        <f>'All regions'!B3906+"n/&gt;!(&amp;b"</f>
        <v>#VALUE!</v>
      </c>
      <c r="EM156" t="e">
        <f>'All regions'!C3906+"n/&gt;!(&amp;c"</f>
        <v>#VALUE!</v>
      </c>
      <c r="EN156" t="e">
        <f>'All regions'!D3906+"n/&gt;!(&amp;d"</f>
        <v>#VALUE!</v>
      </c>
      <c r="EO156" t="e">
        <f>'All regions'!E3906+"n/&gt;!(&amp;e"</f>
        <v>#VALUE!</v>
      </c>
      <c r="EP156" t="e">
        <f>'All regions'!F3906+"n/&gt;!(&amp;f"</f>
        <v>#VALUE!</v>
      </c>
      <c r="EQ156" t="e">
        <f>'All regions'!G3906+"n/&gt;!(&amp;g"</f>
        <v>#VALUE!</v>
      </c>
      <c r="ER156" t="e">
        <f>'All regions'!H3906+"n/&gt;!(&amp;h"</f>
        <v>#VALUE!</v>
      </c>
      <c r="ES156" t="e">
        <f>'All regions'!I3906+"n/&gt;!(&amp;i"</f>
        <v>#VALUE!</v>
      </c>
      <c r="ET156" t="e">
        <f>'All regions'!J3906+"n/&gt;!(&amp;j"</f>
        <v>#VALUE!</v>
      </c>
      <c r="EU156" t="e">
        <f>'All regions'!A3907+"n/&gt;!(&amp;k"</f>
        <v>#VALUE!</v>
      </c>
      <c r="EV156" t="e">
        <f>'All regions'!B3907+"n/&gt;!(&amp;l"</f>
        <v>#VALUE!</v>
      </c>
      <c r="EW156" t="e">
        <f>'All regions'!C3907+"n/&gt;!(&amp;m"</f>
        <v>#VALUE!</v>
      </c>
      <c r="EX156" t="e">
        <f>'All regions'!D3907+"n/&gt;!(&amp;n"</f>
        <v>#VALUE!</v>
      </c>
      <c r="EY156" t="e">
        <f>'All regions'!E3907+"n/&gt;!(&amp;o"</f>
        <v>#VALUE!</v>
      </c>
      <c r="EZ156" t="e">
        <f>'All regions'!F3907+"n/&gt;!(&amp;p"</f>
        <v>#VALUE!</v>
      </c>
      <c r="FA156" t="e">
        <f>'All regions'!G3907+"n/&gt;!(&amp;q"</f>
        <v>#VALUE!</v>
      </c>
      <c r="FB156" t="e">
        <f>'All regions'!H3907+"n/&gt;!(&amp;r"</f>
        <v>#VALUE!</v>
      </c>
      <c r="FC156" t="e">
        <f>'All regions'!I3907+"n/&gt;!(&amp;s"</f>
        <v>#VALUE!</v>
      </c>
      <c r="FD156" t="e">
        <f>'All regions'!J3907+"n/&gt;!(&amp;t"</f>
        <v>#VALUE!</v>
      </c>
      <c r="FE156" t="e">
        <f>'All regions'!A3908+"n/&gt;!(&amp;u"</f>
        <v>#VALUE!</v>
      </c>
      <c r="FF156" t="e">
        <f>'All regions'!B3908+"n/&gt;!(&amp;v"</f>
        <v>#VALUE!</v>
      </c>
      <c r="FG156" t="e">
        <f>'All regions'!C3908+"n/&gt;!(&amp;w"</f>
        <v>#VALUE!</v>
      </c>
      <c r="FH156" t="e">
        <f>'All regions'!D3908+"n/&gt;!(&amp;x"</f>
        <v>#VALUE!</v>
      </c>
      <c r="FI156" t="e">
        <f>'All regions'!E3908+"n/&gt;!(&amp;y"</f>
        <v>#VALUE!</v>
      </c>
      <c r="FJ156" t="e">
        <f>'All regions'!F3908+"n/&gt;!(&amp;z"</f>
        <v>#VALUE!</v>
      </c>
      <c r="FK156" t="e">
        <f>'All regions'!G3908+"n/&gt;!(&amp;{"</f>
        <v>#VALUE!</v>
      </c>
      <c r="FL156" t="e">
        <f>'All regions'!H3908+"n/&gt;!(&amp;|"</f>
        <v>#VALUE!</v>
      </c>
      <c r="FM156" t="e">
        <f>'All regions'!I3908+"n/&gt;!(&amp;}"</f>
        <v>#VALUE!</v>
      </c>
      <c r="FN156" t="e">
        <f>'All regions'!J3908+"n/&gt;!(&amp;~"</f>
        <v>#VALUE!</v>
      </c>
      <c r="FO156" t="e">
        <f>'All regions'!A3909+"n/&gt;!('#"</f>
        <v>#VALUE!</v>
      </c>
      <c r="FP156" t="e">
        <f>'All regions'!B3909+"n/&gt;!('$"</f>
        <v>#VALUE!</v>
      </c>
      <c r="FQ156" t="e">
        <f>'All regions'!C3909+"n/&gt;!('%"</f>
        <v>#VALUE!</v>
      </c>
      <c r="FR156" t="e">
        <f>'All regions'!D3909+"n/&gt;!('&amp;"</f>
        <v>#VALUE!</v>
      </c>
      <c r="FS156" t="e">
        <f>'All regions'!E3909+"n/&gt;!(''"</f>
        <v>#VALUE!</v>
      </c>
      <c r="FT156" t="e">
        <f>'All regions'!F3909+"n/&gt;!('("</f>
        <v>#VALUE!</v>
      </c>
      <c r="FU156" t="e">
        <f>'All regions'!G3909+"n/&gt;!(')"</f>
        <v>#VALUE!</v>
      </c>
      <c r="FV156" t="e">
        <f>'All regions'!H3909+"n/&gt;!('."</f>
        <v>#VALUE!</v>
      </c>
      <c r="FW156" t="e">
        <f>'All regions'!I3909+"n/&gt;!('/"</f>
        <v>#VALUE!</v>
      </c>
      <c r="FX156" t="e">
        <f>'All regions'!J3909+"n/&gt;!('0"</f>
        <v>#VALUE!</v>
      </c>
      <c r="FY156" t="e">
        <f>'All regions'!A3910+"n/&gt;!('1"</f>
        <v>#VALUE!</v>
      </c>
      <c r="FZ156" t="e">
        <f>'All regions'!B3910+"n/&gt;!('2"</f>
        <v>#VALUE!</v>
      </c>
      <c r="GA156" t="e">
        <f>'All regions'!C3910+"n/&gt;!('3"</f>
        <v>#VALUE!</v>
      </c>
      <c r="GB156" t="e">
        <f>'All regions'!D3910+"n/&gt;!('4"</f>
        <v>#VALUE!</v>
      </c>
      <c r="GC156" t="e">
        <f>'All regions'!E3910+"n/&gt;!('5"</f>
        <v>#VALUE!</v>
      </c>
      <c r="GD156" t="e">
        <f>'All regions'!F3910+"n/&gt;!('6"</f>
        <v>#VALUE!</v>
      </c>
      <c r="GE156" t="e">
        <f>'All regions'!G3910+"n/&gt;!('7"</f>
        <v>#VALUE!</v>
      </c>
      <c r="GF156" t="e">
        <f>'All regions'!H3910+"n/&gt;!('8"</f>
        <v>#VALUE!</v>
      </c>
      <c r="GG156" t="e">
        <f>'All regions'!I3910+"n/&gt;!('9"</f>
        <v>#VALUE!</v>
      </c>
      <c r="GH156" t="e">
        <f>'All regions'!J3910+"n/&gt;!(':"</f>
        <v>#VALUE!</v>
      </c>
      <c r="GI156" t="e">
        <f>'All regions'!A3911+"n/&gt;!(';"</f>
        <v>#VALUE!</v>
      </c>
      <c r="GJ156" t="e">
        <f>'All regions'!B3911+"n/&gt;!('&lt;"</f>
        <v>#VALUE!</v>
      </c>
      <c r="GK156" t="e">
        <f>'All regions'!C3911+"n/&gt;!('="</f>
        <v>#VALUE!</v>
      </c>
      <c r="GL156" t="e">
        <f>'All regions'!D3911+"n/&gt;!('&gt;"</f>
        <v>#VALUE!</v>
      </c>
      <c r="GM156" t="e">
        <f>'All regions'!E3911+"n/&gt;!('?"</f>
        <v>#VALUE!</v>
      </c>
      <c r="GN156" t="e">
        <f>'All regions'!F3911+"n/&gt;!('@"</f>
        <v>#VALUE!</v>
      </c>
      <c r="GO156" t="e">
        <f>'All regions'!G3911+"n/&gt;!('A"</f>
        <v>#VALUE!</v>
      </c>
      <c r="GP156" t="e">
        <f>'All regions'!H3911+"n/&gt;!('B"</f>
        <v>#VALUE!</v>
      </c>
      <c r="GQ156" t="e">
        <f>'All regions'!I3911+"n/&gt;!('C"</f>
        <v>#VALUE!</v>
      </c>
      <c r="GR156" t="e">
        <f>'All regions'!J3911+"n/&gt;!('D"</f>
        <v>#VALUE!</v>
      </c>
      <c r="GS156" t="e">
        <f>'All regions'!A3912+"n/&gt;!('E"</f>
        <v>#VALUE!</v>
      </c>
      <c r="GT156" t="e">
        <f>'All regions'!B3912+"n/&gt;!('F"</f>
        <v>#VALUE!</v>
      </c>
      <c r="GU156" t="e">
        <f>'All regions'!C3912+"n/&gt;!('G"</f>
        <v>#VALUE!</v>
      </c>
      <c r="GV156" t="e">
        <f>'All regions'!D3912+"n/&gt;!('H"</f>
        <v>#VALUE!</v>
      </c>
      <c r="GW156" t="e">
        <f>'All regions'!E3912+"n/&gt;!('I"</f>
        <v>#VALUE!</v>
      </c>
      <c r="GX156" t="e">
        <f>'All regions'!F3912+"n/&gt;!('J"</f>
        <v>#VALUE!</v>
      </c>
      <c r="GY156" t="e">
        <f>'All regions'!G3912+"n/&gt;!('K"</f>
        <v>#VALUE!</v>
      </c>
      <c r="GZ156" t="e">
        <f>'All regions'!H3912+"n/&gt;!('L"</f>
        <v>#VALUE!</v>
      </c>
      <c r="HA156" t="e">
        <f>'All regions'!I3912+"n/&gt;!('M"</f>
        <v>#VALUE!</v>
      </c>
      <c r="HB156" t="e">
        <f>'All regions'!J3912+"n/&gt;!('N"</f>
        <v>#VALUE!</v>
      </c>
      <c r="HC156" t="e">
        <f>'All regions'!A3913+"n/&gt;!('O"</f>
        <v>#VALUE!</v>
      </c>
      <c r="HD156" t="e">
        <f>'All regions'!B3913+"n/&gt;!('P"</f>
        <v>#VALUE!</v>
      </c>
      <c r="HE156" t="e">
        <f>'All regions'!C3913+"n/&gt;!('Q"</f>
        <v>#VALUE!</v>
      </c>
      <c r="HF156" t="e">
        <f>'All regions'!D3913+"n/&gt;!('R"</f>
        <v>#VALUE!</v>
      </c>
      <c r="HG156" t="e">
        <f>'All regions'!E3913+"n/&gt;!('S"</f>
        <v>#VALUE!</v>
      </c>
      <c r="HH156" t="e">
        <f>'All regions'!F3913+"n/&gt;!('T"</f>
        <v>#VALUE!</v>
      </c>
      <c r="HI156" t="e">
        <f>'All regions'!G3913+"n/&gt;!('U"</f>
        <v>#VALUE!</v>
      </c>
      <c r="HJ156" t="e">
        <f>'All regions'!H3913+"n/&gt;!('V"</f>
        <v>#VALUE!</v>
      </c>
      <c r="HK156" t="e">
        <f>'All regions'!I3913+"n/&gt;!('W"</f>
        <v>#VALUE!</v>
      </c>
      <c r="HL156" t="e">
        <f>'All regions'!J3913+"n/&gt;!('X"</f>
        <v>#VALUE!</v>
      </c>
      <c r="HM156" t="e">
        <f>'All regions'!A3914+"n/&gt;!('Y"</f>
        <v>#VALUE!</v>
      </c>
      <c r="HN156" t="e">
        <f>'All regions'!B3914+"n/&gt;!('Z"</f>
        <v>#VALUE!</v>
      </c>
      <c r="HO156" t="e">
        <f>'All regions'!C3914+"n/&gt;!('["</f>
        <v>#VALUE!</v>
      </c>
      <c r="HP156" t="e">
        <f>'All regions'!D3914+"n/&gt;!('\"</f>
        <v>#VALUE!</v>
      </c>
      <c r="HQ156" t="e">
        <f>'All regions'!E3914+"n/&gt;!(']"</f>
        <v>#VALUE!</v>
      </c>
      <c r="HR156" t="e">
        <f>'All regions'!F3914+"n/&gt;!('^"</f>
        <v>#VALUE!</v>
      </c>
      <c r="HS156" t="e">
        <f>'All regions'!G3914+"n/&gt;!('_"</f>
        <v>#VALUE!</v>
      </c>
      <c r="HT156" t="e">
        <f>'All regions'!H3914+"n/&gt;!('`"</f>
        <v>#VALUE!</v>
      </c>
      <c r="HU156" t="e">
        <f>'All regions'!I3914+"n/&gt;!('a"</f>
        <v>#VALUE!</v>
      </c>
      <c r="HV156" t="e">
        <f>'All regions'!J3914+"n/&gt;!('b"</f>
        <v>#VALUE!</v>
      </c>
      <c r="HW156" t="e">
        <f>'All regions'!A3915+"n/&gt;!('c"</f>
        <v>#VALUE!</v>
      </c>
      <c r="HX156" t="e">
        <f>'All regions'!B3915+"n/&gt;!('d"</f>
        <v>#VALUE!</v>
      </c>
      <c r="HY156" t="e">
        <f>'All regions'!C3915+"n/&gt;!('e"</f>
        <v>#VALUE!</v>
      </c>
      <c r="HZ156" t="e">
        <f>'All regions'!D3915+"n/&gt;!('f"</f>
        <v>#VALUE!</v>
      </c>
      <c r="IA156" t="e">
        <f>'All regions'!E3915+"n/&gt;!('g"</f>
        <v>#VALUE!</v>
      </c>
      <c r="IB156" t="e">
        <f>'All regions'!F3915+"n/&gt;!('h"</f>
        <v>#VALUE!</v>
      </c>
      <c r="IC156" t="e">
        <f>'All regions'!G3915+"n/&gt;!('i"</f>
        <v>#VALUE!</v>
      </c>
      <c r="ID156" t="e">
        <f>'All regions'!H3915+"n/&gt;!('j"</f>
        <v>#VALUE!</v>
      </c>
      <c r="IE156" t="e">
        <f>'All regions'!I3915+"n/&gt;!('k"</f>
        <v>#VALUE!</v>
      </c>
      <c r="IF156" t="e">
        <f>'All regions'!J3915+"n/&gt;!('l"</f>
        <v>#VALUE!</v>
      </c>
      <c r="IG156" t="e">
        <f>'All regions'!A3916+"n/&gt;!('m"</f>
        <v>#VALUE!</v>
      </c>
      <c r="IH156" t="e">
        <f>'All regions'!B3916+"n/&gt;!('n"</f>
        <v>#VALUE!</v>
      </c>
      <c r="II156" t="e">
        <f>'All regions'!C3916+"n/&gt;!('o"</f>
        <v>#VALUE!</v>
      </c>
      <c r="IJ156" t="e">
        <f>'All regions'!D3916+"n/&gt;!('p"</f>
        <v>#VALUE!</v>
      </c>
      <c r="IK156" t="e">
        <f>'All regions'!E3916+"n/&gt;!('q"</f>
        <v>#VALUE!</v>
      </c>
      <c r="IL156" t="e">
        <f>'All regions'!F3916+"n/&gt;!('r"</f>
        <v>#VALUE!</v>
      </c>
      <c r="IM156" t="e">
        <f>'All regions'!G3916+"n/&gt;!('s"</f>
        <v>#VALUE!</v>
      </c>
      <c r="IN156" t="e">
        <f>'All regions'!H3916+"n/&gt;!('t"</f>
        <v>#VALUE!</v>
      </c>
      <c r="IO156" t="e">
        <f>'All regions'!I3916+"n/&gt;!('u"</f>
        <v>#VALUE!</v>
      </c>
      <c r="IP156" t="e">
        <f>'All regions'!J3916+"n/&gt;!('v"</f>
        <v>#VALUE!</v>
      </c>
      <c r="IQ156" t="e">
        <f>'All regions'!A3917+"n/&gt;!('w"</f>
        <v>#VALUE!</v>
      </c>
      <c r="IR156" t="e">
        <f>'All regions'!B3917+"n/&gt;!('x"</f>
        <v>#VALUE!</v>
      </c>
      <c r="IS156" t="e">
        <f>'All regions'!C3917+"n/&gt;!('y"</f>
        <v>#VALUE!</v>
      </c>
      <c r="IT156" t="e">
        <f>'All regions'!D3917+"n/&gt;!('z"</f>
        <v>#VALUE!</v>
      </c>
      <c r="IU156" t="e">
        <f>'All regions'!E3917+"n/&gt;!('{"</f>
        <v>#VALUE!</v>
      </c>
      <c r="IV156" t="e">
        <f>'All regions'!F3917+"n/&gt;!('|"</f>
        <v>#VALUE!</v>
      </c>
    </row>
    <row r="157" spans="6:256" x14ac:dyDescent="0.35">
      <c r="F157" t="e">
        <f>'All regions'!G3917+"n/&gt;!('}"</f>
        <v>#VALUE!</v>
      </c>
      <c r="G157" t="e">
        <f>'All regions'!H3917+"n/&gt;!('~"</f>
        <v>#VALUE!</v>
      </c>
      <c r="H157" t="e">
        <f>'All regions'!I3917+"n/&gt;!((#"</f>
        <v>#VALUE!</v>
      </c>
      <c r="I157" t="e">
        <f>'All regions'!J3917+"n/&gt;!(($"</f>
        <v>#VALUE!</v>
      </c>
      <c r="J157" t="e">
        <f>'All regions'!A3918+"n/&gt;!((%"</f>
        <v>#VALUE!</v>
      </c>
      <c r="K157" t="e">
        <f>'All regions'!B3918+"n/&gt;!((&amp;"</f>
        <v>#VALUE!</v>
      </c>
      <c r="L157" t="e">
        <f>'All regions'!C3918+"n/&gt;!(('"</f>
        <v>#VALUE!</v>
      </c>
      <c r="M157" t="e">
        <f>'All regions'!D3918+"n/&gt;!((("</f>
        <v>#VALUE!</v>
      </c>
      <c r="N157" t="e">
        <f>'All regions'!E3918+"n/&gt;!(()"</f>
        <v>#VALUE!</v>
      </c>
      <c r="O157" t="e">
        <f>'All regions'!F3918+"n/&gt;!((."</f>
        <v>#VALUE!</v>
      </c>
      <c r="P157" t="e">
        <f>'All regions'!G3918+"n/&gt;!((/"</f>
        <v>#VALUE!</v>
      </c>
      <c r="Q157" t="e">
        <f>'All regions'!H3918+"n/&gt;!((0"</f>
        <v>#VALUE!</v>
      </c>
      <c r="R157" t="e">
        <f>'All regions'!I3918+"n/&gt;!((1"</f>
        <v>#VALUE!</v>
      </c>
      <c r="S157" t="e">
        <f>'All regions'!J3918+"n/&gt;!((2"</f>
        <v>#VALUE!</v>
      </c>
      <c r="T157" t="e">
        <f>'All regions'!A3919+"n/&gt;!((3"</f>
        <v>#VALUE!</v>
      </c>
      <c r="U157" t="e">
        <f>'All regions'!B3919+"n/&gt;!((4"</f>
        <v>#VALUE!</v>
      </c>
      <c r="V157" t="e">
        <f>'All regions'!C3919+"n/&gt;!((5"</f>
        <v>#VALUE!</v>
      </c>
      <c r="W157" t="e">
        <f>'All regions'!D3919+"n/&gt;!((6"</f>
        <v>#VALUE!</v>
      </c>
      <c r="X157" t="e">
        <f>'All regions'!E3919+"n/&gt;!((7"</f>
        <v>#VALUE!</v>
      </c>
      <c r="Y157" t="e">
        <f>'All regions'!F3919+"n/&gt;!((8"</f>
        <v>#VALUE!</v>
      </c>
      <c r="Z157" t="e">
        <f>'All regions'!G3919+"n/&gt;!((9"</f>
        <v>#VALUE!</v>
      </c>
      <c r="AA157" t="e">
        <f>'All regions'!H3919+"n/&gt;!((:"</f>
        <v>#VALUE!</v>
      </c>
      <c r="AB157" t="e">
        <f>'All regions'!I3919+"n/&gt;!((;"</f>
        <v>#VALUE!</v>
      </c>
      <c r="AC157" t="e">
        <f>'All regions'!J3919+"n/&gt;!((&lt;"</f>
        <v>#VALUE!</v>
      </c>
      <c r="AD157" t="e">
        <f>'All regions'!A3920+"n/&gt;!((="</f>
        <v>#VALUE!</v>
      </c>
      <c r="AE157" t="e">
        <f>'All regions'!B3920+"n/&gt;!((&gt;"</f>
        <v>#VALUE!</v>
      </c>
      <c r="AF157" t="e">
        <f>'All regions'!C3920+"n/&gt;!((?"</f>
        <v>#VALUE!</v>
      </c>
      <c r="AG157" t="e">
        <f>'All regions'!D3920+"n/&gt;!((@"</f>
        <v>#VALUE!</v>
      </c>
      <c r="AH157" t="e">
        <f>'All regions'!E3920+"n/&gt;!((A"</f>
        <v>#VALUE!</v>
      </c>
      <c r="AI157" t="e">
        <f>'All regions'!F3920+"n/&gt;!((B"</f>
        <v>#VALUE!</v>
      </c>
      <c r="AJ157" t="e">
        <f>'All regions'!G3920+"n/&gt;!((C"</f>
        <v>#VALUE!</v>
      </c>
      <c r="AK157" t="e">
        <f>'All regions'!H3920+"n/&gt;!((D"</f>
        <v>#VALUE!</v>
      </c>
      <c r="AL157" t="e">
        <f>'All regions'!I3920+"n/&gt;!((E"</f>
        <v>#VALUE!</v>
      </c>
      <c r="AM157" t="e">
        <f>'All regions'!J3920+"n/&gt;!((F"</f>
        <v>#VALUE!</v>
      </c>
      <c r="AN157" t="e">
        <f>'All regions'!A3921+"n/&gt;!((G"</f>
        <v>#VALUE!</v>
      </c>
      <c r="AO157" t="e">
        <f>'All regions'!B3921+"n/&gt;!((H"</f>
        <v>#VALUE!</v>
      </c>
      <c r="AP157" t="e">
        <f>'All regions'!C3921+"n/&gt;!((I"</f>
        <v>#VALUE!</v>
      </c>
      <c r="AQ157" t="e">
        <f>'All regions'!D3921+"n/&gt;!((J"</f>
        <v>#VALUE!</v>
      </c>
      <c r="AR157" t="e">
        <f>'All regions'!E3921+"n/&gt;!((K"</f>
        <v>#VALUE!</v>
      </c>
      <c r="AS157" t="e">
        <f>'All regions'!F3921+"n/&gt;!((L"</f>
        <v>#VALUE!</v>
      </c>
      <c r="AT157" t="e">
        <f>'All regions'!G3921+"n/&gt;!((M"</f>
        <v>#VALUE!</v>
      </c>
      <c r="AU157" t="e">
        <f>'All regions'!H3921+"n/&gt;!((N"</f>
        <v>#VALUE!</v>
      </c>
      <c r="AV157" t="e">
        <f>'All regions'!I3921+"n/&gt;!((O"</f>
        <v>#VALUE!</v>
      </c>
      <c r="AW157" t="e">
        <f>'All regions'!J3921+"n/&gt;!((P"</f>
        <v>#VALUE!</v>
      </c>
      <c r="AX157" t="e">
        <f>'All regions'!A3922+"n/&gt;!((Q"</f>
        <v>#VALUE!</v>
      </c>
      <c r="AY157" t="e">
        <f>'All regions'!B3922+"n/&gt;!((R"</f>
        <v>#VALUE!</v>
      </c>
      <c r="AZ157" t="e">
        <f>'All regions'!C3922+"n/&gt;!((S"</f>
        <v>#VALUE!</v>
      </c>
      <c r="BA157" t="e">
        <f>'All regions'!D3922+"n/&gt;!((T"</f>
        <v>#VALUE!</v>
      </c>
      <c r="BB157" t="e">
        <f>'All regions'!E3922+"n/&gt;!((U"</f>
        <v>#VALUE!</v>
      </c>
      <c r="BC157" t="e">
        <f>'All regions'!F3922+"n/&gt;!((V"</f>
        <v>#VALUE!</v>
      </c>
      <c r="BD157" t="e">
        <f>'All regions'!G3922+"n/&gt;!((W"</f>
        <v>#VALUE!</v>
      </c>
      <c r="BE157" t="e">
        <f>'All regions'!H3922+"n/&gt;!((X"</f>
        <v>#VALUE!</v>
      </c>
      <c r="BF157" t="e">
        <f>'All regions'!I3922+"n/&gt;!((Y"</f>
        <v>#VALUE!</v>
      </c>
      <c r="BG157" t="e">
        <f>'All regions'!J3922+"n/&gt;!((Z"</f>
        <v>#VALUE!</v>
      </c>
      <c r="BH157" t="e">
        <f>'All regions'!A3923+"n/&gt;!((["</f>
        <v>#VALUE!</v>
      </c>
      <c r="BI157" t="e">
        <f>'All regions'!B3923+"n/&gt;!((\"</f>
        <v>#VALUE!</v>
      </c>
      <c r="BJ157" t="e">
        <f>'All regions'!C3923+"n/&gt;!((]"</f>
        <v>#VALUE!</v>
      </c>
      <c r="BK157" t="e">
        <f>'All regions'!D3923+"n/&gt;!((^"</f>
        <v>#VALUE!</v>
      </c>
      <c r="BL157" t="e">
        <f>'All regions'!E3923+"n/&gt;!((_"</f>
        <v>#VALUE!</v>
      </c>
      <c r="BM157" t="e">
        <f>'All regions'!F3923+"n/&gt;!((`"</f>
        <v>#VALUE!</v>
      </c>
      <c r="BN157" t="e">
        <f>'All regions'!G3923+"n/&gt;!((a"</f>
        <v>#VALUE!</v>
      </c>
      <c r="BO157" t="e">
        <f>'All regions'!H3923+"n/&gt;!((b"</f>
        <v>#VALUE!</v>
      </c>
      <c r="BP157" t="e">
        <f>'All regions'!I3923+"n/&gt;!((c"</f>
        <v>#VALUE!</v>
      </c>
      <c r="BQ157" t="e">
        <f>'All regions'!J3923+"n/&gt;!((d"</f>
        <v>#VALUE!</v>
      </c>
      <c r="BR157" t="e">
        <f>'All regions'!A3924+"n/&gt;!((e"</f>
        <v>#VALUE!</v>
      </c>
      <c r="BS157" t="e">
        <f>'All regions'!B3924+"n/&gt;!((f"</f>
        <v>#VALUE!</v>
      </c>
      <c r="BT157" t="e">
        <f>'All regions'!C3924+"n/&gt;!((g"</f>
        <v>#VALUE!</v>
      </c>
      <c r="BU157" t="e">
        <f>'All regions'!D3924+"n/&gt;!((h"</f>
        <v>#VALUE!</v>
      </c>
      <c r="BV157" t="e">
        <f>'All regions'!E3924+"n/&gt;!((i"</f>
        <v>#VALUE!</v>
      </c>
      <c r="BW157" t="e">
        <f>'All regions'!F3924+"n/&gt;!((j"</f>
        <v>#VALUE!</v>
      </c>
      <c r="BX157" t="e">
        <f>'All regions'!G3924+"n/&gt;!((k"</f>
        <v>#VALUE!</v>
      </c>
      <c r="BY157" t="e">
        <f>'All regions'!H3924+"n/&gt;!((l"</f>
        <v>#VALUE!</v>
      </c>
      <c r="BZ157" t="e">
        <f>'All regions'!I3924+"n/&gt;!((m"</f>
        <v>#VALUE!</v>
      </c>
      <c r="CA157" t="e">
        <f>'All regions'!J3924+"n/&gt;!((n"</f>
        <v>#VALUE!</v>
      </c>
      <c r="CB157" t="e">
        <f>'All regions'!A3925+"n/&gt;!((o"</f>
        <v>#VALUE!</v>
      </c>
      <c r="CC157" t="e">
        <f>'All regions'!B3925+"n/&gt;!((p"</f>
        <v>#VALUE!</v>
      </c>
      <c r="CD157" t="e">
        <f>'All regions'!C3925+"n/&gt;!((q"</f>
        <v>#VALUE!</v>
      </c>
      <c r="CE157" t="e">
        <f>'All regions'!D3925+"n/&gt;!((r"</f>
        <v>#VALUE!</v>
      </c>
      <c r="CF157" t="e">
        <f>'All regions'!E3925+"n/&gt;!((s"</f>
        <v>#VALUE!</v>
      </c>
      <c r="CG157" t="e">
        <f>'All regions'!F3925+"n/&gt;!((t"</f>
        <v>#VALUE!</v>
      </c>
      <c r="CH157" t="e">
        <f>'All regions'!G3925+"n/&gt;!((u"</f>
        <v>#VALUE!</v>
      </c>
      <c r="CI157" t="e">
        <f>'All regions'!H3925+"n/&gt;!((v"</f>
        <v>#VALUE!</v>
      </c>
      <c r="CJ157" t="e">
        <f>'All regions'!I3925+"n/&gt;!((w"</f>
        <v>#VALUE!</v>
      </c>
      <c r="CK157" t="e">
        <f>'All regions'!J3925+"n/&gt;!((x"</f>
        <v>#VALUE!</v>
      </c>
      <c r="CL157" t="e">
        <f>'All regions'!A3926+"n/&gt;!((y"</f>
        <v>#VALUE!</v>
      </c>
      <c r="CM157" t="e">
        <f>'All regions'!B3926+"n/&gt;!((z"</f>
        <v>#VALUE!</v>
      </c>
      <c r="CN157" t="e">
        <f>'All regions'!C3926+"n/&gt;!(({"</f>
        <v>#VALUE!</v>
      </c>
      <c r="CO157" t="e">
        <f>'All regions'!D3926+"n/&gt;!((|"</f>
        <v>#VALUE!</v>
      </c>
      <c r="CP157" t="e">
        <f>'All regions'!E3926+"n/&gt;!((}"</f>
        <v>#VALUE!</v>
      </c>
      <c r="CQ157" t="e">
        <f>'All regions'!F3926+"n/&gt;!((~"</f>
        <v>#VALUE!</v>
      </c>
      <c r="CR157" t="e">
        <f>'All regions'!G3926+"n/&gt;!()#"</f>
        <v>#VALUE!</v>
      </c>
      <c r="CS157" t="e">
        <f>'All regions'!H3926+"n/&gt;!()$"</f>
        <v>#VALUE!</v>
      </c>
      <c r="CT157" t="e">
        <f>'All regions'!I3926+"n/&gt;!()%"</f>
        <v>#VALUE!</v>
      </c>
      <c r="CU157" t="e">
        <f>'All regions'!J3926+"n/&gt;!()&amp;"</f>
        <v>#VALUE!</v>
      </c>
      <c r="CV157" t="e">
        <f>'All regions'!A3927+"n/&gt;!()'"</f>
        <v>#VALUE!</v>
      </c>
      <c r="CW157" t="e">
        <f>'All regions'!B3927+"n/&gt;!()("</f>
        <v>#VALUE!</v>
      </c>
      <c r="CX157" t="e">
        <f>'All regions'!C3927+"n/&gt;!())"</f>
        <v>#VALUE!</v>
      </c>
      <c r="CY157" t="e">
        <f>'All regions'!D3927+"n/&gt;!()."</f>
        <v>#VALUE!</v>
      </c>
      <c r="CZ157" t="e">
        <f>'All regions'!E3927+"n/&gt;!()/"</f>
        <v>#VALUE!</v>
      </c>
      <c r="DA157" t="e">
        <f>'All regions'!F3927+"n/&gt;!()0"</f>
        <v>#VALUE!</v>
      </c>
      <c r="DB157" t="e">
        <f>'All regions'!G3927+"n/&gt;!()1"</f>
        <v>#VALUE!</v>
      </c>
      <c r="DC157" t="e">
        <f>'All regions'!H3927+"n/&gt;!()2"</f>
        <v>#VALUE!</v>
      </c>
      <c r="DD157" t="e">
        <f>'All regions'!I3927+"n/&gt;!()3"</f>
        <v>#VALUE!</v>
      </c>
      <c r="DE157" t="e">
        <f>'All regions'!J3927+"n/&gt;!()4"</f>
        <v>#VALUE!</v>
      </c>
      <c r="DF157" t="e">
        <f>'All regions'!A3928+"n/&gt;!()5"</f>
        <v>#VALUE!</v>
      </c>
      <c r="DG157" t="e">
        <f>'All regions'!B3928+"n/&gt;!()6"</f>
        <v>#VALUE!</v>
      </c>
      <c r="DH157" t="e">
        <f>'All regions'!C3928+"n/&gt;!()7"</f>
        <v>#VALUE!</v>
      </c>
      <c r="DI157" t="e">
        <f>'All regions'!D3928+"n/&gt;!()8"</f>
        <v>#VALUE!</v>
      </c>
      <c r="DJ157" t="e">
        <f>'All regions'!E3928+"n/&gt;!()9"</f>
        <v>#VALUE!</v>
      </c>
      <c r="DK157" t="e">
        <f>'All regions'!F3928+"n/&gt;!():"</f>
        <v>#VALUE!</v>
      </c>
      <c r="DL157" t="e">
        <f>'All regions'!G3928+"n/&gt;!();"</f>
        <v>#VALUE!</v>
      </c>
      <c r="DM157" t="e">
        <f>'All regions'!H3928+"n/&gt;!()&lt;"</f>
        <v>#VALUE!</v>
      </c>
      <c r="DN157" t="e">
        <f>'All regions'!I3928+"n/&gt;!()="</f>
        <v>#VALUE!</v>
      </c>
      <c r="DO157" t="e">
        <f>'All regions'!J3928+"n/&gt;!()&gt;"</f>
        <v>#VALUE!</v>
      </c>
      <c r="DP157" t="e">
        <f>'All regions'!A3929+"n/&gt;!()?"</f>
        <v>#VALUE!</v>
      </c>
      <c r="DQ157" t="e">
        <f>'All regions'!B3929+"n/&gt;!()@"</f>
        <v>#VALUE!</v>
      </c>
      <c r="DR157" t="e">
        <f>'All regions'!C3929+"n/&gt;!()A"</f>
        <v>#VALUE!</v>
      </c>
      <c r="DS157" t="e">
        <f>'All regions'!D3929+"n/&gt;!()B"</f>
        <v>#VALUE!</v>
      </c>
      <c r="DT157" t="e">
        <f>'All regions'!E3929+"n/&gt;!()C"</f>
        <v>#VALUE!</v>
      </c>
      <c r="DU157" t="e">
        <f>'All regions'!F3929+"n/&gt;!()D"</f>
        <v>#VALUE!</v>
      </c>
      <c r="DV157" t="e">
        <f>'All regions'!G3929+"n/&gt;!()E"</f>
        <v>#VALUE!</v>
      </c>
      <c r="DW157" t="e">
        <f>'All regions'!H3929+"n/&gt;!()F"</f>
        <v>#VALUE!</v>
      </c>
      <c r="DX157" t="e">
        <f>'All regions'!I3929+"n/&gt;!()G"</f>
        <v>#VALUE!</v>
      </c>
      <c r="DY157" t="e">
        <f>'All regions'!J3929+"n/&gt;!()H"</f>
        <v>#VALUE!</v>
      </c>
      <c r="DZ157" t="e">
        <f>'All regions'!A3930+"n/&gt;!()I"</f>
        <v>#VALUE!</v>
      </c>
      <c r="EA157" t="e">
        <f>'All regions'!B3930+"n/&gt;!()J"</f>
        <v>#VALUE!</v>
      </c>
      <c r="EB157" t="e">
        <f>'All regions'!C3930+"n/&gt;!()K"</f>
        <v>#VALUE!</v>
      </c>
      <c r="EC157" t="e">
        <f>'All regions'!D3930+"n/&gt;!()L"</f>
        <v>#VALUE!</v>
      </c>
      <c r="ED157" t="e">
        <f>'All regions'!E3930+"n/&gt;!()M"</f>
        <v>#VALUE!</v>
      </c>
      <c r="EE157" t="e">
        <f>'All regions'!F3930+"n/&gt;!()N"</f>
        <v>#VALUE!</v>
      </c>
      <c r="EF157" t="e">
        <f>'All regions'!G3930+"n/&gt;!()O"</f>
        <v>#VALUE!</v>
      </c>
      <c r="EG157" t="e">
        <f>'All regions'!H3930+"n/&gt;!()P"</f>
        <v>#VALUE!</v>
      </c>
      <c r="EH157" t="e">
        <f>'All regions'!I3930+"n/&gt;!()Q"</f>
        <v>#VALUE!</v>
      </c>
      <c r="EI157" t="e">
        <f>'All regions'!J3930+"n/&gt;!()R"</f>
        <v>#VALUE!</v>
      </c>
      <c r="EJ157" t="e">
        <f>'All regions'!A3931+"n/&gt;!()S"</f>
        <v>#VALUE!</v>
      </c>
      <c r="EK157" t="e">
        <f>'All regions'!B3931+"n/&gt;!()T"</f>
        <v>#VALUE!</v>
      </c>
      <c r="EL157" t="e">
        <f>'All regions'!C3931+"n/&gt;!()U"</f>
        <v>#VALUE!</v>
      </c>
      <c r="EM157" t="e">
        <f>'All regions'!D3931+"n/&gt;!()V"</f>
        <v>#VALUE!</v>
      </c>
      <c r="EN157" t="e">
        <f>'All regions'!E3931+"n/&gt;!()W"</f>
        <v>#VALUE!</v>
      </c>
      <c r="EO157" t="e">
        <f>'All regions'!F3931+"n/&gt;!()X"</f>
        <v>#VALUE!</v>
      </c>
      <c r="EP157" t="e">
        <f>'All regions'!G3931+"n/&gt;!()Y"</f>
        <v>#VALUE!</v>
      </c>
      <c r="EQ157" t="e">
        <f>'All regions'!H3931+"n/&gt;!()Z"</f>
        <v>#VALUE!</v>
      </c>
      <c r="ER157" t="e">
        <f>'All regions'!I3931+"n/&gt;!()["</f>
        <v>#VALUE!</v>
      </c>
      <c r="ES157" t="e">
        <f>'All regions'!J3931+"n/&gt;!()\"</f>
        <v>#VALUE!</v>
      </c>
      <c r="ET157" t="e">
        <f>'All regions'!A3932+"n/&gt;!()]"</f>
        <v>#VALUE!</v>
      </c>
      <c r="EU157" t="e">
        <f>'All regions'!B3932+"n/&gt;!()^"</f>
        <v>#VALUE!</v>
      </c>
      <c r="EV157" t="e">
        <f>'All regions'!C3932+"n/&gt;!()_"</f>
        <v>#VALUE!</v>
      </c>
      <c r="EW157" t="e">
        <f>'All regions'!D3932+"n/&gt;!()`"</f>
        <v>#VALUE!</v>
      </c>
      <c r="EX157" t="e">
        <f>'All regions'!E3932+"n/&gt;!()a"</f>
        <v>#VALUE!</v>
      </c>
      <c r="EY157" t="e">
        <f>'All regions'!F3932+"n/&gt;!()b"</f>
        <v>#VALUE!</v>
      </c>
      <c r="EZ157" t="e">
        <f>'All regions'!G3932+"n/&gt;!()c"</f>
        <v>#VALUE!</v>
      </c>
      <c r="FA157" t="e">
        <f>'All regions'!H3932+"n/&gt;!()d"</f>
        <v>#VALUE!</v>
      </c>
      <c r="FB157" t="e">
        <f>'All regions'!I3932+"n/&gt;!()e"</f>
        <v>#VALUE!</v>
      </c>
      <c r="FC157" t="e">
        <f>'All regions'!J3932+"n/&gt;!()f"</f>
        <v>#VALUE!</v>
      </c>
      <c r="FD157" t="e">
        <f>'All regions'!A3933+"n/&gt;!()g"</f>
        <v>#VALUE!</v>
      </c>
      <c r="FE157" t="e">
        <f>'All regions'!B3933+"n/&gt;!()h"</f>
        <v>#VALUE!</v>
      </c>
      <c r="FF157" t="e">
        <f>'All regions'!C3933+"n/&gt;!()i"</f>
        <v>#VALUE!</v>
      </c>
      <c r="FG157" t="e">
        <f>'All regions'!D3933+"n/&gt;!()j"</f>
        <v>#VALUE!</v>
      </c>
      <c r="FH157" t="e">
        <f>'All regions'!E3933+"n/&gt;!()k"</f>
        <v>#VALUE!</v>
      </c>
      <c r="FI157" t="e">
        <f>'All regions'!F3933+"n/&gt;!()l"</f>
        <v>#VALUE!</v>
      </c>
      <c r="FJ157" t="e">
        <f>'All regions'!G3933+"n/&gt;!()m"</f>
        <v>#VALUE!</v>
      </c>
      <c r="FK157" t="e">
        <f>'All regions'!H3933+"n/&gt;!()n"</f>
        <v>#VALUE!</v>
      </c>
      <c r="FL157" t="e">
        <f>'All regions'!I3933+"n/&gt;!()o"</f>
        <v>#VALUE!</v>
      </c>
      <c r="FM157" t="e">
        <f>'All regions'!J3933+"n/&gt;!()p"</f>
        <v>#VALUE!</v>
      </c>
      <c r="FN157" t="e">
        <f>'All regions'!A3934+"n/&gt;!()q"</f>
        <v>#VALUE!</v>
      </c>
      <c r="FO157" t="e">
        <f>'All regions'!B3934+"n/&gt;!()r"</f>
        <v>#VALUE!</v>
      </c>
      <c r="FP157" t="e">
        <f>'All regions'!C3934+"n/&gt;!()s"</f>
        <v>#VALUE!</v>
      </c>
      <c r="FQ157" t="e">
        <f>'All regions'!D3934+"n/&gt;!()t"</f>
        <v>#VALUE!</v>
      </c>
      <c r="FR157" t="e">
        <f>'All regions'!E3934+"n/&gt;!()u"</f>
        <v>#VALUE!</v>
      </c>
      <c r="FS157" t="e">
        <f>'All regions'!F3934+"n/&gt;!()v"</f>
        <v>#VALUE!</v>
      </c>
      <c r="FT157" t="e">
        <f>'All regions'!G3934+"n/&gt;!()w"</f>
        <v>#VALUE!</v>
      </c>
      <c r="FU157" t="e">
        <f>'All regions'!H3934+"n/&gt;!()x"</f>
        <v>#VALUE!</v>
      </c>
      <c r="FV157" t="e">
        <f>'All regions'!I3934+"n/&gt;!()y"</f>
        <v>#VALUE!</v>
      </c>
      <c r="FW157" t="e">
        <f>'All regions'!J3934+"n/&gt;!()z"</f>
        <v>#VALUE!</v>
      </c>
      <c r="FX157" t="e">
        <f>'All regions'!A3935+"n/&gt;!(){"</f>
        <v>#VALUE!</v>
      </c>
      <c r="FY157" t="e">
        <f>'All regions'!B3935+"n/&gt;!()|"</f>
        <v>#VALUE!</v>
      </c>
      <c r="FZ157" t="e">
        <f>'All regions'!C3935+"n/&gt;!()}"</f>
        <v>#VALUE!</v>
      </c>
      <c r="GA157" t="e">
        <f>'All regions'!D3935+"n/&gt;!()~"</f>
        <v>#VALUE!</v>
      </c>
      <c r="GB157" t="e">
        <f>'All regions'!E3935+"n/&gt;!(.#"</f>
        <v>#VALUE!</v>
      </c>
      <c r="GC157" t="e">
        <f>'All regions'!F3935+"n/&gt;!(.$"</f>
        <v>#VALUE!</v>
      </c>
      <c r="GD157" t="e">
        <f>'All regions'!G3935+"n/&gt;!(.%"</f>
        <v>#VALUE!</v>
      </c>
      <c r="GE157" t="e">
        <f>'All regions'!H3935+"n/&gt;!(.&amp;"</f>
        <v>#VALUE!</v>
      </c>
      <c r="GF157" t="e">
        <f>'All regions'!I3935+"n/&gt;!(.'"</f>
        <v>#VALUE!</v>
      </c>
      <c r="GG157" t="e">
        <f>'All regions'!J3935+"n/&gt;!(.("</f>
        <v>#VALUE!</v>
      </c>
      <c r="GH157" t="e">
        <f>'All regions'!A3936+"n/&gt;!(.)"</f>
        <v>#VALUE!</v>
      </c>
      <c r="GI157" t="e">
        <f>'All regions'!B3936+"n/&gt;!(.."</f>
        <v>#VALUE!</v>
      </c>
      <c r="GJ157" t="e">
        <f>'All regions'!C3936+"n/&gt;!(./"</f>
        <v>#VALUE!</v>
      </c>
      <c r="GK157" t="e">
        <f>'All regions'!D3936+"n/&gt;!(.0"</f>
        <v>#VALUE!</v>
      </c>
      <c r="GL157" t="e">
        <f>'All regions'!E3936+"n/&gt;!(.1"</f>
        <v>#VALUE!</v>
      </c>
      <c r="GM157" t="e">
        <f>'All regions'!F3936+"n/&gt;!(.2"</f>
        <v>#VALUE!</v>
      </c>
      <c r="GN157" t="e">
        <f>'All regions'!G3936+"n/&gt;!(.3"</f>
        <v>#VALUE!</v>
      </c>
      <c r="GO157" t="e">
        <f>'All regions'!H3936+"n/&gt;!(.4"</f>
        <v>#VALUE!</v>
      </c>
      <c r="GP157" t="e">
        <f>'All regions'!I3936+"n/&gt;!(.5"</f>
        <v>#VALUE!</v>
      </c>
      <c r="GQ157" t="e">
        <f>'All regions'!J3936+"n/&gt;!(.6"</f>
        <v>#VALUE!</v>
      </c>
      <c r="GR157" t="e">
        <f>'All regions'!A3937+"n/&gt;!(.7"</f>
        <v>#VALUE!</v>
      </c>
      <c r="GS157" t="e">
        <f>'All regions'!B3937+"n/&gt;!(.8"</f>
        <v>#VALUE!</v>
      </c>
      <c r="GT157" t="e">
        <f>'All regions'!C3937+"n/&gt;!(.9"</f>
        <v>#VALUE!</v>
      </c>
      <c r="GU157" t="e">
        <f>'All regions'!D3937+"n/&gt;!(.:"</f>
        <v>#VALUE!</v>
      </c>
      <c r="GV157" t="e">
        <f>'All regions'!E3937+"n/&gt;!(.;"</f>
        <v>#VALUE!</v>
      </c>
      <c r="GW157" t="e">
        <f>'All regions'!F3937+"n/&gt;!(.&lt;"</f>
        <v>#VALUE!</v>
      </c>
      <c r="GX157" t="e">
        <f>'All regions'!G3937+"n/&gt;!(.="</f>
        <v>#VALUE!</v>
      </c>
      <c r="GY157" t="e">
        <f>'All regions'!H3937+"n/&gt;!(.&gt;"</f>
        <v>#VALUE!</v>
      </c>
      <c r="GZ157" t="e">
        <f>'All regions'!I3937+"n/&gt;!(.?"</f>
        <v>#VALUE!</v>
      </c>
      <c r="HA157" t="e">
        <f>'All regions'!J3937+"n/&gt;!(.@"</f>
        <v>#VALUE!</v>
      </c>
      <c r="HB157" t="e">
        <f>'All regions'!A3938+"n/&gt;!(.A"</f>
        <v>#VALUE!</v>
      </c>
      <c r="HC157" t="e">
        <f>'All regions'!B3938+"n/&gt;!(.B"</f>
        <v>#VALUE!</v>
      </c>
      <c r="HD157" t="e">
        <f>'All regions'!C3938+"n/&gt;!(.C"</f>
        <v>#VALUE!</v>
      </c>
      <c r="HE157" t="e">
        <f>'All regions'!D3938+"n/&gt;!(.D"</f>
        <v>#VALUE!</v>
      </c>
      <c r="HF157" t="e">
        <f>'All regions'!E3938+"n/&gt;!(.E"</f>
        <v>#VALUE!</v>
      </c>
      <c r="HG157" t="e">
        <f>'All regions'!F3938+"n/&gt;!(.F"</f>
        <v>#VALUE!</v>
      </c>
      <c r="HH157" t="e">
        <f>'All regions'!G3938+"n/&gt;!(.G"</f>
        <v>#VALUE!</v>
      </c>
      <c r="HI157" t="e">
        <f>'All regions'!H3938+"n/&gt;!(.H"</f>
        <v>#VALUE!</v>
      </c>
      <c r="HJ157" t="e">
        <f>'All regions'!I3938+"n/&gt;!(.I"</f>
        <v>#VALUE!</v>
      </c>
      <c r="HK157" t="e">
        <f>'All regions'!J3938+"n/&gt;!(.J"</f>
        <v>#VALUE!</v>
      </c>
      <c r="HL157" t="e">
        <f>'All regions'!A3939+"n/&gt;!(.K"</f>
        <v>#VALUE!</v>
      </c>
      <c r="HM157" t="e">
        <f>'All regions'!B3939+"n/&gt;!(.L"</f>
        <v>#VALUE!</v>
      </c>
      <c r="HN157" t="e">
        <f>'All regions'!C3939+"n/&gt;!(.M"</f>
        <v>#VALUE!</v>
      </c>
      <c r="HO157" t="e">
        <f>'All regions'!D3939+"n/&gt;!(.N"</f>
        <v>#VALUE!</v>
      </c>
      <c r="HP157" t="e">
        <f>'All regions'!E3939+"n/&gt;!(.O"</f>
        <v>#VALUE!</v>
      </c>
      <c r="HQ157" t="e">
        <f>'All regions'!F3939+"n/&gt;!(.P"</f>
        <v>#VALUE!</v>
      </c>
      <c r="HR157" t="e">
        <f>'All regions'!G3939+"n/&gt;!(.Q"</f>
        <v>#VALUE!</v>
      </c>
      <c r="HS157" t="e">
        <f>'All regions'!H3939+"n/&gt;!(.R"</f>
        <v>#VALUE!</v>
      </c>
      <c r="HT157" t="e">
        <f>'All regions'!I3939+"n/&gt;!(.S"</f>
        <v>#VALUE!</v>
      </c>
      <c r="HU157" t="e">
        <f>'All regions'!J3939+"n/&gt;!(.T"</f>
        <v>#VALUE!</v>
      </c>
      <c r="HV157" t="e">
        <f>'All regions'!A3940+"n/&gt;!(.U"</f>
        <v>#VALUE!</v>
      </c>
      <c r="HW157" t="e">
        <f>'All regions'!B3940+"n/&gt;!(.V"</f>
        <v>#VALUE!</v>
      </c>
      <c r="HX157" t="e">
        <f>'All regions'!C3940+"n/&gt;!(.W"</f>
        <v>#VALUE!</v>
      </c>
      <c r="HY157" t="e">
        <f>'All regions'!D3940+"n/&gt;!(.X"</f>
        <v>#VALUE!</v>
      </c>
      <c r="HZ157" t="e">
        <f>'All regions'!E3940+"n/&gt;!(.Y"</f>
        <v>#VALUE!</v>
      </c>
      <c r="IA157" t="e">
        <f>'All regions'!F3940+"n/&gt;!(.Z"</f>
        <v>#VALUE!</v>
      </c>
      <c r="IB157" t="e">
        <f>'All regions'!G3940+"n/&gt;!(.["</f>
        <v>#VALUE!</v>
      </c>
      <c r="IC157" t="e">
        <f>'All regions'!H3940+"n/&gt;!(.\"</f>
        <v>#VALUE!</v>
      </c>
      <c r="ID157" t="e">
        <f>'All regions'!I3940+"n/&gt;!(.]"</f>
        <v>#VALUE!</v>
      </c>
      <c r="IE157" t="e">
        <f>'All regions'!J3940+"n/&gt;!(.^"</f>
        <v>#VALUE!</v>
      </c>
      <c r="IF157" t="e">
        <f>'All regions'!A3941+"n/&gt;!(._"</f>
        <v>#VALUE!</v>
      </c>
      <c r="IG157" t="e">
        <f>'All regions'!B3941+"n/&gt;!(.`"</f>
        <v>#VALUE!</v>
      </c>
      <c r="IH157" t="e">
        <f>'All regions'!C3941+"n/&gt;!(.a"</f>
        <v>#VALUE!</v>
      </c>
      <c r="II157" t="e">
        <f>'All regions'!D3941+"n/&gt;!(.b"</f>
        <v>#VALUE!</v>
      </c>
      <c r="IJ157" t="e">
        <f>'All regions'!E3941+"n/&gt;!(.c"</f>
        <v>#VALUE!</v>
      </c>
      <c r="IK157" t="e">
        <f>'All regions'!F3941+"n/&gt;!(.d"</f>
        <v>#VALUE!</v>
      </c>
      <c r="IL157" t="e">
        <f>'All regions'!G3941+"n/&gt;!(.e"</f>
        <v>#VALUE!</v>
      </c>
      <c r="IM157" t="e">
        <f>'All regions'!H3941+"n/&gt;!(.f"</f>
        <v>#VALUE!</v>
      </c>
      <c r="IN157" t="e">
        <f>'All regions'!I3941+"n/&gt;!(.g"</f>
        <v>#VALUE!</v>
      </c>
      <c r="IO157" t="e">
        <f>'All regions'!J3941+"n/&gt;!(.h"</f>
        <v>#VALUE!</v>
      </c>
      <c r="IP157" t="e">
        <f>'All regions'!A3942+"n/&gt;!(.i"</f>
        <v>#VALUE!</v>
      </c>
      <c r="IQ157" t="e">
        <f>'All regions'!B3942+"n/&gt;!(.j"</f>
        <v>#VALUE!</v>
      </c>
      <c r="IR157" t="e">
        <f>'All regions'!C3942+"n/&gt;!(.k"</f>
        <v>#VALUE!</v>
      </c>
      <c r="IS157" t="e">
        <f>'All regions'!D3942+"n/&gt;!(.l"</f>
        <v>#VALUE!</v>
      </c>
      <c r="IT157" t="e">
        <f>'All regions'!E3942+"n/&gt;!(.m"</f>
        <v>#VALUE!</v>
      </c>
      <c r="IU157" t="e">
        <f>'All regions'!F3942+"n/&gt;!(.n"</f>
        <v>#VALUE!</v>
      </c>
      <c r="IV157" t="e">
        <f>'All regions'!G3942+"n/&gt;!(.o"</f>
        <v>#VALUE!</v>
      </c>
    </row>
    <row r="158" spans="6:256" x14ac:dyDescent="0.35">
      <c r="F158" t="e">
        <f>'All regions'!H3942+"n/&gt;!(.p"</f>
        <v>#VALUE!</v>
      </c>
      <c r="G158" t="e">
        <f>'All regions'!I3942+"n/&gt;!(.q"</f>
        <v>#VALUE!</v>
      </c>
      <c r="H158" t="e">
        <f>'All regions'!J3942+"n/&gt;!(.r"</f>
        <v>#VALUE!</v>
      </c>
      <c r="I158" t="e">
        <f>'All regions'!A3943+"n/&gt;!(.s"</f>
        <v>#VALUE!</v>
      </c>
      <c r="J158" t="e">
        <f>'All regions'!B3943+"n/&gt;!(.t"</f>
        <v>#VALUE!</v>
      </c>
      <c r="K158" t="e">
        <f>'All regions'!C3943+"n/&gt;!(.u"</f>
        <v>#VALUE!</v>
      </c>
      <c r="L158" t="e">
        <f>'All regions'!D3943+"n/&gt;!(.v"</f>
        <v>#VALUE!</v>
      </c>
      <c r="M158" t="e">
        <f>'All regions'!E3943+"n/&gt;!(.w"</f>
        <v>#VALUE!</v>
      </c>
      <c r="N158" t="e">
        <f>'All regions'!F3943+"n/&gt;!(.x"</f>
        <v>#VALUE!</v>
      </c>
      <c r="O158" t="e">
        <f>'All regions'!G3943+"n/&gt;!(.y"</f>
        <v>#VALUE!</v>
      </c>
      <c r="P158" t="e">
        <f>'All regions'!H3943+"n/&gt;!(.z"</f>
        <v>#VALUE!</v>
      </c>
      <c r="Q158" t="e">
        <f>'All regions'!I3943+"n/&gt;!(.{"</f>
        <v>#VALUE!</v>
      </c>
      <c r="R158" t="e">
        <f>'All regions'!J3943+"n/&gt;!(.|"</f>
        <v>#VALUE!</v>
      </c>
      <c r="S158" t="e">
        <f>'All regions'!A3944+"n/&gt;!(.}"</f>
        <v>#VALUE!</v>
      </c>
      <c r="T158" t="e">
        <f>'All regions'!B3944+"n/&gt;!(.~"</f>
        <v>#VALUE!</v>
      </c>
      <c r="U158" t="e">
        <f>'All regions'!C3944+"n/&gt;!(/#"</f>
        <v>#VALUE!</v>
      </c>
      <c r="V158" t="e">
        <f>'All regions'!D3944+"n/&gt;!(/$"</f>
        <v>#VALUE!</v>
      </c>
      <c r="W158" t="e">
        <f>'All regions'!E3944+"n/&gt;!(/%"</f>
        <v>#VALUE!</v>
      </c>
      <c r="X158" t="e">
        <f>'All regions'!F3944+"n/&gt;!(/&amp;"</f>
        <v>#VALUE!</v>
      </c>
      <c r="Y158" t="e">
        <f>'All regions'!G3944+"n/&gt;!(/'"</f>
        <v>#VALUE!</v>
      </c>
      <c r="Z158" t="e">
        <f>'All regions'!H3944+"n/&gt;!(/("</f>
        <v>#VALUE!</v>
      </c>
      <c r="AA158" t="e">
        <f>'All regions'!I3944+"n/&gt;!(/)"</f>
        <v>#VALUE!</v>
      </c>
      <c r="AB158" t="e">
        <f>'All regions'!J3944+"n/&gt;!(/."</f>
        <v>#VALUE!</v>
      </c>
      <c r="AC158" t="e">
        <f>'All regions'!A3945+"n/&gt;!(//"</f>
        <v>#VALUE!</v>
      </c>
      <c r="AD158" t="e">
        <f>'All regions'!B3945+"n/&gt;!(/0"</f>
        <v>#VALUE!</v>
      </c>
      <c r="AE158" t="e">
        <f>'All regions'!C3945+"n/&gt;!(/1"</f>
        <v>#VALUE!</v>
      </c>
      <c r="AF158" t="e">
        <f>'All regions'!D3945+"n/&gt;!(/2"</f>
        <v>#VALUE!</v>
      </c>
      <c r="AG158" t="e">
        <f>'All regions'!E3945+"n/&gt;!(/3"</f>
        <v>#VALUE!</v>
      </c>
      <c r="AH158" t="e">
        <f>'All regions'!F3945+"n/&gt;!(/4"</f>
        <v>#VALUE!</v>
      </c>
      <c r="AI158" t="e">
        <f>'All regions'!G3945+"n/&gt;!(/5"</f>
        <v>#VALUE!</v>
      </c>
      <c r="AJ158" t="e">
        <f>'All regions'!H3945+"n/&gt;!(/6"</f>
        <v>#VALUE!</v>
      </c>
      <c r="AK158" t="e">
        <f>'All regions'!I3945+"n/&gt;!(/7"</f>
        <v>#VALUE!</v>
      </c>
      <c r="AL158" t="e">
        <f>'All regions'!J3945+"n/&gt;!(/8"</f>
        <v>#VALUE!</v>
      </c>
      <c r="AM158" t="e">
        <f>'All regions'!A3946+"n/&gt;!(/9"</f>
        <v>#VALUE!</v>
      </c>
      <c r="AN158" t="e">
        <f>'All regions'!B3946+"n/&gt;!(/:"</f>
        <v>#VALUE!</v>
      </c>
      <c r="AO158" t="e">
        <f>'All regions'!C3946+"n/&gt;!(/;"</f>
        <v>#VALUE!</v>
      </c>
      <c r="AP158" t="e">
        <f>'All regions'!D3946+"n/&gt;!(/&lt;"</f>
        <v>#VALUE!</v>
      </c>
      <c r="AQ158" t="e">
        <f>'All regions'!E3946+"n/&gt;!(/="</f>
        <v>#VALUE!</v>
      </c>
      <c r="AR158" t="e">
        <f>'All regions'!F3946+"n/&gt;!(/&gt;"</f>
        <v>#VALUE!</v>
      </c>
      <c r="AS158" t="e">
        <f>'All regions'!G3946+"n/&gt;!(/?"</f>
        <v>#VALUE!</v>
      </c>
      <c r="AT158" t="e">
        <f>'All regions'!H3946+"n/&gt;!(/@"</f>
        <v>#VALUE!</v>
      </c>
      <c r="AU158" t="e">
        <f>'All regions'!I3946+"n/&gt;!(/A"</f>
        <v>#VALUE!</v>
      </c>
      <c r="AV158" t="e">
        <f>'All regions'!J3946+"n/&gt;!(/B"</f>
        <v>#VALUE!</v>
      </c>
      <c r="AW158" t="e">
        <f>'All regions'!A3947+"n/&gt;!(/C"</f>
        <v>#VALUE!</v>
      </c>
      <c r="AX158" t="e">
        <f>'All regions'!B3947+"n/&gt;!(/D"</f>
        <v>#VALUE!</v>
      </c>
      <c r="AY158" t="e">
        <f>'All regions'!C3947+"n/&gt;!(/E"</f>
        <v>#VALUE!</v>
      </c>
      <c r="AZ158" t="e">
        <f>'All regions'!D3947+"n/&gt;!(/F"</f>
        <v>#VALUE!</v>
      </c>
      <c r="BA158" t="e">
        <f>'All regions'!E3947+"n/&gt;!(/G"</f>
        <v>#VALUE!</v>
      </c>
      <c r="BB158" t="e">
        <f>'All regions'!F3947+"n/&gt;!(/H"</f>
        <v>#VALUE!</v>
      </c>
      <c r="BC158" t="e">
        <f>'All regions'!G3947+"n/&gt;!(/I"</f>
        <v>#VALUE!</v>
      </c>
      <c r="BD158" t="e">
        <f>'All regions'!H3947+"n/&gt;!(/J"</f>
        <v>#VALUE!</v>
      </c>
      <c r="BE158" t="e">
        <f>'All regions'!I3947+"n/&gt;!(/K"</f>
        <v>#VALUE!</v>
      </c>
      <c r="BF158" t="e">
        <f>'All regions'!J3947+"n/&gt;!(/L"</f>
        <v>#VALUE!</v>
      </c>
      <c r="BG158" t="e">
        <f>'All regions'!A3948+"n/&gt;!(/M"</f>
        <v>#VALUE!</v>
      </c>
      <c r="BH158" t="e">
        <f>'All regions'!B3948+"n/&gt;!(/N"</f>
        <v>#VALUE!</v>
      </c>
      <c r="BI158" t="e">
        <f>'All regions'!C3948+"n/&gt;!(/O"</f>
        <v>#VALUE!</v>
      </c>
      <c r="BJ158" t="e">
        <f>'All regions'!D3948+"n/&gt;!(/P"</f>
        <v>#VALUE!</v>
      </c>
      <c r="BK158" t="e">
        <f>'All regions'!E3948+"n/&gt;!(/Q"</f>
        <v>#VALUE!</v>
      </c>
      <c r="BL158" t="e">
        <f>'All regions'!F3948+"n/&gt;!(/R"</f>
        <v>#VALUE!</v>
      </c>
      <c r="BM158" t="e">
        <f>'All regions'!G3948+"n/&gt;!(/S"</f>
        <v>#VALUE!</v>
      </c>
      <c r="BN158" t="e">
        <f>'All regions'!H3948+"n/&gt;!(/T"</f>
        <v>#VALUE!</v>
      </c>
      <c r="BO158" t="e">
        <f>'All regions'!I3948+"n/&gt;!(/U"</f>
        <v>#VALUE!</v>
      </c>
      <c r="BP158" t="e">
        <f>'All regions'!J3948+"n/&gt;!(/V"</f>
        <v>#VALUE!</v>
      </c>
      <c r="BQ158" t="e">
        <f>'All regions'!A3949+"n/&gt;!(/W"</f>
        <v>#VALUE!</v>
      </c>
      <c r="BR158" t="e">
        <f>'All regions'!B3949+"n/&gt;!(/X"</f>
        <v>#VALUE!</v>
      </c>
      <c r="BS158" t="e">
        <f>'All regions'!C3949+"n/&gt;!(/Y"</f>
        <v>#VALUE!</v>
      </c>
      <c r="BT158" t="e">
        <f>'All regions'!D3949+"n/&gt;!(/Z"</f>
        <v>#VALUE!</v>
      </c>
      <c r="BU158" t="e">
        <f>'All regions'!E3949+"n/&gt;!(/["</f>
        <v>#VALUE!</v>
      </c>
      <c r="BV158" t="e">
        <f>'All regions'!F3949+"n/&gt;!(/\"</f>
        <v>#VALUE!</v>
      </c>
      <c r="BW158" t="e">
        <f>'All regions'!G3949+"n/&gt;!(/]"</f>
        <v>#VALUE!</v>
      </c>
      <c r="BX158" t="e">
        <f>'All regions'!H3949+"n/&gt;!(/^"</f>
        <v>#VALUE!</v>
      </c>
      <c r="BY158" t="e">
        <f>'All regions'!I3949+"n/&gt;!(/_"</f>
        <v>#VALUE!</v>
      </c>
      <c r="BZ158" t="e">
        <f>'All regions'!J3949+"n/&gt;!(/`"</f>
        <v>#VALUE!</v>
      </c>
      <c r="CA158" t="e">
        <f>'All regions'!A3950+"n/&gt;!(/a"</f>
        <v>#VALUE!</v>
      </c>
      <c r="CB158" t="e">
        <f>'All regions'!B3950+"n/&gt;!(/b"</f>
        <v>#VALUE!</v>
      </c>
      <c r="CC158" t="e">
        <f>'All regions'!C3950+"n/&gt;!(/c"</f>
        <v>#VALUE!</v>
      </c>
      <c r="CD158" t="e">
        <f>'All regions'!D3950+"n/&gt;!(/d"</f>
        <v>#VALUE!</v>
      </c>
      <c r="CE158" t="e">
        <f>'All regions'!E3950+"n/&gt;!(/e"</f>
        <v>#VALUE!</v>
      </c>
      <c r="CF158" t="e">
        <f>'All regions'!F3950+"n/&gt;!(/f"</f>
        <v>#VALUE!</v>
      </c>
      <c r="CG158" t="e">
        <f>'All regions'!G3950+"n/&gt;!(/g"</f>
        <v>#VALUE!</v>
      </c>
      <c r="CH158" t="e">
        <f>'All regions'!H3950+"n/&gt;!(/h"</f>
        <v>#VALUE!</v>
      </c>
      <c r="CI158" t="e">
        <f>'All regions'!I3950+"n/&gt;!(/i"</f>
        <v>#VALUE!</v>
      </c>
      <c r="CJ158" t="e">
        <f>'All regions'!J3950+"n/&gt;!(/j"</f>
        <v>#VALUE!</v>
      </c>
      <c r="CK158" t="e">
        <f>'All regions'!A3951+"n/&gt;!(/k"</f>
        <v>#VALUE!</v>
      </c>
      <c r="CL158" t="e">
        <f>'All regions'!B3951+"n/&gt;!(/l"</f>
        <v>#VALUE!</v>
      </c>
      <c r="CM158" t="e">
        <f>'All regions'!C3951+"n/&gt;!(/m"</f>
        <v>#VALUE!</v>
      </c>
      <c r="CN158" t="e">
        <f>'All regions'!D3951+"n/&gt;!(/n"</f>
        <v>#VALUE!</v>
      </c>
      <c r="CO158" t="e">
        <f>'All regions'!E3951+"n/&gt;!(/o"</f>
        <v>#VALUE!</v>
      </c>
      <c r="CP158" t="e">
        <f>'All regions'!F3951+"n/&gt;!(/p"</f>
        <v>#VALUE!</v>
      </c>
      <c r="CQ158" t="e">
        <f>'All regions'!G3951+"n/&gt;!(/q"</f>
        <v>#VALUE!</v>
      </c>
      <c r="CR158" t="e">
        <f>'All regions'!H3951+"n/&gt;!(/r"</f>
        <v>#VALUE!</v>
      </c>
      <c r="CS158" t="e">
        <f>'All regions'!I3951+"n/&gt;!(/s"</f>
        <v>#VALUE!</v>
      </c>
      <c r="CT158" t="e">
        <f>'All regions'!J3951+"n/&gt;!(/t"</f>
        <v>#VALUE!</v>
      </c>
      <c r="CU158" t="e">
        <f>'All regions'!A3952+"n/&gt;!(/u"</f>
        <v>#VALUE!</v>
      </c>
      <c r="CV158" t="e">
        <f>'All regions'!B3952+"n/&gt;!(/v"</f>
        <v>#VALUE!</v>
      </c>
      <c r="CW158" t="e">
        <f>'All regions'!C3952+"n/&gt;!(/w"</f>
        <v>#VALUE!</v>
      </c>
      <c r="CX158" t="e">
        <f>'All regions'!D3952+"n/&gt;!(/x"</f>
        <v>#VALUE!</v>
      </c>
      <c r="CY158" t="e">
        <f>'All regions'!E3952+"n/&gt;!(/y"</f>
        <v>#VALUE!</v>
      </c>
      <c r="CZ158" t="e">
        <f>'All regions'!F3952+"n/&gt;!(/z"</f>
        <v>#VALUE!</v>
      </c>
      <c r="DA158" t="e">
        <f>'All regions'!G3952+"n/&gt;!(/{"</f>
        <v>#VALUE!</v>
      </c>
      <c r="DB158" t="e">
        <f>'All regions'!H3952+"n/&gt;!(/|"</f>
        <v>#VALUE!</v>
      </c>
      <c r="DC158" t="e">
        <f>'All regions'!I3952+"n/&gt;!(/}"</f>
        <v>#VALUE!</v>
      </c>
      <c r="DD158" t="e">
        <f>'All regions'!J3952+"n/&gt;!(/~"</f>
        <v>#VALUE!</v>
      </c>
      <c r="DE158" t="e">
        <f>'All regions'!A3953+"n/&gt;!(0#"</f>
        <v>#VALUE!</v>
      </c>
      <c r="DF158" t="e">
        <f>'All regions'!B3953+"n/&gt;!(0$"</f>
        <v>#VALUE!</v>
      </c>
      <c r="DG158" t="e">
        <f>'All regions'!C3953+"n/&gt;!(0%"</f>
        <v>#VALUE!</v>
      </c>
      <c r="DH158" t="e">
        <f>'All regions'!D3953+"n/&gt;!(0&amp;"</f>
        <v>#VALUE!</v>
      </c>
      <c r="DI158" t="e">
        <f>'All regions'!E3953+"n/&gt;!(0'"</f>
        <v>#VALUE!</v>
      </c>
      <c r="DJ158" t="e">
        <f>'All regions'!F3953+"n/&gt;!(0("</f>
        <v>#VALUE!</v>
      </c>
      <c r="DK158" t="e">
        <f>'All regions'!G3953+"n/&gt;!(0)"</f>
        <v>#VALUE!</v>
      </c>
      <c r="DL158" t="e">
        <f>'All regions'!H3953+"n/&gt;!(0."</f>
        <v>#VALUE!</v>
      </c>
      <c r="DM158" t="e">
        <f>'All regions'!I3953+"n/&gt;!(0/"</f>
        <v>#VALUE!</v>
      </c>
      <c r="DN158" t="e">
        <f>'All regions'!J3953+"n/&gt;!(00"</f>
        <v>#VALUE!</v>
      </c>
      <c r="DO158" t="e">
        <f>'All regions'!A3954+"n/&gt;!(01"</f>
        <v>#VALUE!</v>
      </c>
      <c r="DP158" t="e">
        <f>'All regions'!B3954+"n/&gt;!(02"</f>
        <v>#VALUE!</v>
      </c>
      <c r="DQ158" t="e">
        <f>'All regions'!C3954+"n/&gt;!(03"</f>
        <v>#VALUE!</v>
      </c>
      <c r="DR158" t="e">
        <f>'All regions'!D3954+"n/&gt;!(04"</f>
        <v>#VALUE!</v>
      </c>
      <c r="DS158" t="e">
        <f>'All regions'!E3954+"n/&gt;!(05"</f>
        <v>#VALUE!</v>
      </c>
      <c r="DT158" t="e">
        <f>'All regions'!F3954+"n/&gt;!(06"</f>
        <v>#VALUE!</v>
      </c>
      <c r="DU158" t="e">
        <f>'All regions'!G3954+"n/&gt;!(07"</f>
        <v>#VALUE!</v>
      </c>
      <c r="DV158" t="e">
        <f>'All regions'!H3954+"n/&gt;!(08"</f>
        <v>#VALUE!</v>
      </c>
      <c r="DW158" t="e">
        <f>'All regions'!I3954+"n/&gt;!(09"</f>
        <v>#VALUE!</v>
      </c>
      <c r="DX158" t="e">
        <f>'All regions'!J3954+"n/&gt;!(0:"</f>
        <v>#VALUE!</v>
      </c>
      <c r="DY158" t="e">
        <f>'All regions'!A3955+"n/&gt;!(0;"</f>
        <v>#VALUE!</v>
      </c>
      <c r="DZ158" t="e">
        <f>'All regions'!B3955+"n/&gt;!(0&lt;"</f>
        <v>#VALUE!</v>
      </c>
      <c r="EA158" t="e">
        <f>'All regions'!C3955+"n/&gt;!(0="</f>
        <v>#VALUE!</v>
      </c>
      <c r="EB158" t="e">
        <f>'All regions'!D3955+"n/&gt;!(0&gt;"</f>
        <v>#VALUE!</v>
      </c>
      <c r="EC158" t="e">
        <f>'All regions'!E3955+"n/&gt;!(0?"</f>
        <v>#VALUE!</v>
      </c>
      <c r="ED158" t="e">
        <f>'All regions'!F3955+"n/&gt;!(0@"</f>
        <v>#VALUE!</v>
      </c>
      <c r="EE158" t="e">
        <f>'All regions'!G3955+"n/&gt;!(0A"</f>
        <v>#VALUE!</v>
      </c>
      <c r="EF158" t="e">
        <f>'All regions'!H3955+"n/&gt;!(0B"</f>
        <v>#VALUE!</v>
      </c>
      <c r="EG158" t="e">
        <f>'All regions'!I3955+"n/&gt;!(0C"</f>
        <v>#VALUE!</v>
      </c>
      <c r="EH158" t="e">
        <f>'All regions'!J3955+"n/&gt;!(0D"</f>
        <v>#VALUE!</v>
      </c>
      <c r="EI158" t="e">
        <f>'All regions'!A3956+"n/&gt;!(0E"</f>
        <v>#VALUE!</v>
      </c>
      <c r="EJ158" t="e">
        <f>'All regions'!B3956+"n/&gt;!(0F"</f>
        <v>#VALUE!</v>
      </c>
      <c r="EK158" t="e">
        <f>'All regions'!C3956+"n/&gt;!(0G"</f>
        <v>#VALUE!</v>
      </c>
      <c r="EL158" t="e">
        <f>'All regions'!D3956+"n/&gt;!(0H"</f>
        <v>#VALUE!</v>
      </c>
      <c r="EM158" t="e">
        <f>'All regions'!E3956+"n/&gt;!(0I"</f>
        <v>#VALUE!</v>
      </c>
      <c r="EN158" t="e">
        <f>'All regions'!F3956+"n/&gt;!(0J"</f>
        <v>#VALUE!</v>
      </c>
      <c r="EO158" t="e">
        <f>'All regions'!G3956+"n/&gt;!(0K"</f>
        <v>#VALUE!</v>
      </c>
      <c r="EP158" t="e">
        <f>'All regions'!H3956+"n/&gt;!(0L"</f>
        <v>#VALUE!</v>
      </c>
      <c r="EQ158" t="e">
        <f>'All regions'!I3956+"n/&gt;!(0M"</f>
        <v>#VALUE!</v>
      </c>
      <c r="ER158" t="e">
        <f>'All regions'!J3956+"n/&gt;!(0N"</f>
        <v>#VALUE!</v>
      </c>
      <c r="ES158" t="e">
        <f>'All regions'!A3957+"n/&gt;!(0O"</f>
        <v>#VALUE!</v>
      </c>
      <c r="ET158" t="e">
        <f>'All regions'!B3957+"n/&gt;!(0P"</f>
        <v>#VALUE!</v>
      </c>
      <c r="EU158" t="e">
        <f>'All regions'!C3957+"n/&gt;!(0Q"</f>
        <v>#VALUE!</v>
      </c>
      <c r="EV158" t="e">
        <f>'All regions'!D3957+"n/&gt;!(0R"</f>
        <v>#VALUE!</v>
      </c>
      <c r="EW158" t="e">
        <f>'All regions'!E3957+"n/&gt;!(0S"</f>
        <v>#VALUE!</v>
      </c>
      <c r="EX158" t="e">
        <f>'All regions'!F3957+"n/&gt;!(0T"</f>
        <v>#VALUE!</v>
      </c>
      <c r="EY158" t="e">
        <f>'All regions'!G3957+"n/&gt;!(0U"</f>
        <v>#VALUE!</v>
      </c>
      <c r="EZ158" t="e">
        <f>'All regions'!H3957+"n/&gt;!(0V"</f>
        <v>#VALUE!</v>
      </c>
      <c r="FA158" t="e">
        <f>'All regions'!I3957+"n/&gt;!(0W"</f>
        <v>#VALUE!</v>
      </c>
      <c r="FB158" t="e">
        <f>'All regions'!J3957+"n/&gt;!(0X"</f>
        <v>#VALUE!</v>
      </c>
      <c r="FC158" t="e">
        <f>'All regions'!A3958+"n/&gt;!(0Y"</f>
        <v>#VALUE!</v>
      </c>
      <c r="FD158" t="e">
        <f>'All regions'!B3958+"n/&gt;!(0Z"</f>
        <v>#VALUE!</v>
      </c>
      <c r="FE158" t="e">
        <f>'All regions'!C3958+"n/&gt;!(0["</f>
        <v>#VALUE!</v>
      </c>
      <c r="FF158" t="e">
        <f>'All regions'!D3958+"n/&gt;!(0\"</f>
        <v>#VALUE!</v>
      </c>
      <c r="FG158" t="e">
        <f>'All regions'!E3958+"n/&gt;!(0]"</f>
        <v>#VALUE!</v>
      </c>
      <c r="FH158" t="e">
        <f>'All regions'!F3958+"n/&gt;!(0^"</f>
        <v>#VALUE!</v>
      </c>
      <c r="FI158" t="e">
        <f>'All regions'!G3958+"n/&gt;!(0_"</f>
        <v>#VALUE!</v>
      </c>
      <c r="FJ158" t="e">
        <f>'All regions'!H3958+"n/&gt;!(0`"</f>
        <v>#VALUE!</v>
      </c>
      <c r="FK158" t="e">
        <f>'All regions'!I3958+"n/&gt;!(0a"</f>
        <v>#VALUE!</v>
      </c>
      <c r="FL158" t="e">
        <f>'All regions'!J3958+"n/&gt;!(0b"</f>
        <v>#VALUE!</v>
      </c>
      <c r="FM158" t="e">
        <f>'All regions'!A3959+"n/&gt;!(0c"</f>
        <v>#VALUE!</v>
      </c>
      <c r="FN158" t="e">
        <f>'All regions'!B3959+"n/&gt;!(0d"</f>
        <v>#VALUE!</v>
      </c>
      <c r="FO158" t="e">
        <f>'All regions'!C3959+"n/&gt;!(0e"</f>
        <v>#VALUE!</v>
      </c>
      <c r="FP158" t="e">
        <f>'All regions'!D3959+"n/&gt;!(0f"</f>
        <v>#VALUE!</v>
      </c>
      <c r="FQ158" t="e">
        <f>'All regions'!E3959+"n/&gt;!(0g"</f>
        <v>#VALUE!</v>
      </c>
      <c r="FR158" t="e">
        <f>'All regions'!F3959+"n/&gt;!(0h"</f>
        <v>#VALUE!</v>
      </c>
      <c r="FS158" t="e">
        <f>'All regions'!G3959+"n/&gt;!(0i"</f>
        <v>#VALUE!</v>
      </c>
      <c r="FT158" t="e">
        <f>'All regions'!H3959+"n/&gt;!(0j"</f>
        <v>#VALUE!</v>
      </c>
      <c r="FU158" t="e">
        <f>'All regions'!I3959+"n/&gt;!(0k"</f>
        <v>#VALUE!</v>
      </c>
      <c r="FV158" t="e">
        <f>'All regions'!J3959+"n/&gt;!(0l"</f>
        <v>#VALUE!</v>
      </c>
      <c r="FW158" t="e">
        <f>'All regions'!A3960+"n/&gt;!(0m"</f>
        <v>#VALUE!</v>
      </c>
      <c r="FX158" t="e">
        <f>'All regions'!B3960+"n/&gt;!(0n"</f>
        <v>#VALUE!</v>
      </c>
      <c r="FY158" t="e">
        <f>'All regions'!C3960+"n/&gt;!(0o"</f>
        <v>#VALUE!</v>
      </c>
      <c r="FZ158" t="e">
        <f>'All regions'!D3960+"n/&gt;!(0p"</f>
        <v>#VALUE!</v>
      </c>
      <c r="GA158" t="e">
        <f>'All regions'!E3960+"n/&gt;!(0q"</f>
        <v>#VALUE!</v>
      </c>
      <c r="GB158" t="e">
        <f>'All regions'!F3960+"n/&gt;!(0r"</f>
        <v>#VALUE!</v>
      </c>
      <c r="GC158" t="e">
        <f>'All regions'!G3960+"n/&gt;!(0s"</f>
        <v>#VALUE!</v>
      </c>
      <c r="GD158" t="e">
        <f>'All regions'!H3960+"n/&gt;!(0t"</f>
        <v>#VALUE!</v>
      </c>
      <c r="GE158" t="e">
        <f>'All regions'!I3960+"n/&gt;!(0u"</f>
        <v>#VALUE!</v>
      </c>
      <c r="GF158" t="e">
        <f>'All regions'!J3960+"n/&gt;!(0v"</f>
        <v>#VALUE!</v>
      </c>
      <c r="GG158" t="e">
        <f>'All regions'!A3961+"n/&gt;!(0w"</f>
        <v>#VALUE!</v>
      </c>
      <c r="GH158" t="e">
        <f>'All regions'!B3961+"n/&gt;!(0x"</f>
        <v>#VALUE!</v>
      </c>
      <c r="GI158" t="e">
        <f>'All regions'!C3961+"n/&gt;!(0y"</f>
        <v>#VALUE!</v>
      </c>
      <c r="GJ158" t="e">
        <f>'All regions'!D3961+"n/&gt;!(0z"</f>
        <v>#VALUE!</v>
      </c>
      <c r="GK158" t="e">
        <f>'All regions'!E3961+"n/&gt;!(0{"</f>
        <v>#VALUE!</v>
      </c>
      <c r="GL158" t="e">
        <f>'All regions'!F3961+"n/&gt;!(0|"</f>
        <v>#VALUE!</v>
      </c>
      <c r="GM158" t="e">
        <f>'All regions'!G3961+"n/&gt;!(0}"</f>
        <v>#VALUE!</v>
      </c>
      <c r="GN158" t="e">
        <f>'All regions'!H3961+"n/&gt;!(0~"</f>
        <v>#VALUE!</v>
      </c>
      <c r="GO158" t="e">
        <f>'All regions'!I3961+"n/&gt;!(1#"</f>
        <v>#VALUE!</v>
      </c>
      <c r="GP158" t="e">
        <f>'All regions'!J3961+"n/&gt;!(1$"</f>
        <v>#VALUE!</v>
      </c>
      <c r="GQ158" t="e">
        <f>'All regions'!A3962+"n/&gt;!(1%"</f>
        <v>#VALUE!</v>
      </c>
      <c r="GR158" t="e">
        <f>'All regions'!B3962+"n/&gt;!(1&amp;"</f>
        <v>#VALUE!</v>
      </c>
      <c r="GS158" t="e">
        <f>'All regions'!C3962+"n/&gt;!(1'"</f>
        <v>#VALUE!</v>
      </c>
      <c r="GT158" t="e">
        <f>'All regions'!D3962+"n/&gt;!(1("</f>
        <v>#VALUE!</v>
      </c>
      <c r="GU158" t="e">
        <f>'All regions'!E3962+"n/&gt;!(1)"</f>
        <v>#VALUE!</v>
      </c>
      <c r="GV158" t="e">
        <f>'All regions'!F3962+"n/&gt;!(1."</f>
        <v>#VALUE!</v>
      </c>
      <c r="GW158" t="e">
        <f>'All regions'!G3962+"n/&gt;!(1/"</f>
        <v>#VALUE!</v>
      </c>
      <c r="GX158" t="e">
        <f>'All regions'!H3962+"n/&gt;!(10"</f>
        <v>#VALUE!</v>
      </c>
      <c r="GY158" t="e">
        <f>'All regions'!I3962+"n/&gt;!(11"</f>
        <v>#VALUE!</v>
      </c>
      <c r="GZ158" t="e">
        <f>'All regions'!J3962+"n/&gt;!(12"</f>
        <v>#VALUE!</v>
      </c>
      <c r="HA158" t="e">
        <f>'All regions'!A3963+"n/&gt;!(13"</f>
        <v>#VALUE!</v>
      </c>
      <c r="HB158" t="e">
        <f>'All regions'!B3963+"n/&gt;!(14"</f>
        <v>#VALUE!</v>
      </c>
      <c r="HC158" t="e">
        <f>'All regions'!C3963+"n/&gt;!(15"</f>
        <v>#VALUE!</v>
      </c>
      <c r="HD158" t="e">
        <f>'All regions'!D3963+"n/&gt;!(16"</f>
        <v>#VALUE!</v>
      </c>
      <c r="HE158" t="e">
        <f>'All regions'!E3963+"n/&gt;!(17"</f>
        <v>#VALUE!</v>
      </c>
      <c r="HF158" t="e">
        <f>'All regions'!F3963+"n/&gt;!(18"</f>
        <v>#VALUE!</v>
      </c>
      <c r="HG158" t="e">
        <f>'All regions'!G3963+"n/&gt;!(19"</f>
        <v>#VALUE!</v>
      </c>
      <c r="HH158" t="e">
        <f>'All regions'!H3963+"n/&gt;!(1:"</f>
        <v>#VALUE!</v>
      </c>
      <c r="HI158" t="e">
        <f>'All regions'!I3963+"n/&gt;!(1;"</f>
        <v>#VALUE!</v>
      </c>
      <c r="HJ158" t="e">
        <f>'All regions'!J3963+"n/&gt;!(1&lt;"</f>
        <v>#VALUE!</v>
      </c>
      <c r="HK158" t="e">
        <f>'All regions'!A3964+"n/&gt;!(1="</f>
        <v>#VALUE!</v>
      </c>
      <c r="HL158" t="e">
        <f>'All regions'!B3964+"n/&gt;!(1&gt;"</f>
        <v>#VALUE!</v>
      </c>
      <c r="HM158" t="e">
        <f>'All regions'!C3964+"n/&gt;!(1?"</f>
        <v>#VALUE!</v>
      </c>
      <c r="HN158" t="e">
        <f>'All regions'!D3964+"n/&gt;!(1@"</f>
        <v>#VALUE!</v>
      </c>
      <c r="HO158" t="e">
        <f>'All regions'!E3964+"n/&gt;!(1A"</f>
        <v>#VALUE!</v>
      </c>
      <c r="HP158" t="e">
        <f>'All regions'!F3964+"n/&gt;!(1B"</f>
        <v>#VALUE!</v>
      </c>
      <c r="HQ158" t="e">
        <f>'All regions'!G3964+"n/&gt;!(1C"</f>
        <v>#VALUE!</v>
      </c>
      <c r="HR158" t="e">
        <f>'All regions'!H3964+"n/&gt;!(1D"</f>
        <v>#VALUE!</v>
      </c>
      <c r="HS158" t="e">
        <f>'All regions'!I3964+"n/&gt;!(1E"</f>
        <v>#VALUE!</v>
      </c>
      <c r="HT158" t="e">
        <f>'All regions'!J3964+"n/&gt;!(1F"</f>
        <v>#VALUE!</v>
      </c>
      <c r="HU158" t="e">
        <f>'All regions'!A3965+"n/&gt;!(1G"</f>
        <v>#VALUE!</v>
      </c>
      <c r="HV158" t="e">
        <f>'All regions'!B3965+"n/&gt;!(1H"</f>
        <v>#VALUE!</v>
      </c>
      <c r="HW158" t="e">
        <f>'All regions'!C3965+"n/&gt;!(1I"</f>
        <v>#VALUE!</v>
      </c>
      <c r="HX158" t="e">
        <f>'All regions'!D3965+"n/&gt;!(1J"</f>
        <v>#VALUE!</v>
      </c>
      <c r="HY158" t="e">
        <f>'All regions'!E3965+"n/&gt;!(1K"</f>
        <v>#VALUE!</v>
      </c>
      <c r="HZ158" t="e">
        <f>'All regions'!F3965+"n/&gt;!(1L"</f>
        <v>#VALUE!</v>
      </c>
      <c r="IA158" t="e">
        <f>'All regions'!G3965+"n/&gt;!(1M"</f>
        <v>#VALUE!</v>
      </c>
      <c r="IB158" t="e">
        <f>'All regions'!H3965+"n/&gt;!(1N"</f>
        <v>#VALUE!</v>
      </c>
      <c r="IC158" t="e">
        <f>'All regions'!I3965+"n/&gt;!(1O"</f>
        <v>#VALUE!</v>
      </c>
      <c r="ID158" t="e">
        <f>'All regions'!J3965+"n/&gt;!(1P"</f>
        <v>#VALUE!</v>
      </c>
      <c r="IE158" t="e">
        <f>'All regions'!A3966+"n/&gt;!(1Q"</f>
        <v>#VALUE!</v>
      </c>
      <c r="IF158" t="e">
        <f>'All regions'!B3966+"n/&gt;!(1R"</f>
        <v>#VALUE!</v>
      </c>
      <c r="IG158" t="e">
        <f>'All regions'!C3966+"n/&gt;!(1S"</f>
        <v>#VALUE!</v>
      </c>
      <c r="IH158" t="e">
        <f>'All regions'!D3966+"n/&gt;!(1T"</f>
        <v>#VALUE!</v>
      </c>
      <c r="II158" t="e">
        <f>'All regions'!E3966+"n/&gt;!(1U"</f>
        <v>#VALUE!</v>
      </c>
      <c r="IJ158" t="e">
        <f>'All regions'!F3966+"n/&gt;!(1V"</f>
        <v>#VALUE!</v>
      </c>
      <c r="IK158" t="e">
        <f>'All regions'!G3966+"n/&gt;!(1W"</f>
        <v>#VALUE!</v>
      </c>
      <c r="IL158" t="e">
        <f>'All regions'!H3966+"n/&gt;!(1X"</f>
        <v>#VALUE!</v>
      </c>
      <c r="IM158" t="e">
        <f>'All regions'!I3966+"n/&gt;!(1Y"</f>
        <v>#VALUE!</v>
      </c>
      <c r="IN158" t="e">
        <f>'All regions'!J3966+"n/&gt;!(1Z"</f>
        <v>#VALUE!</v>
      </c>
      <c r="IO158" t="e">
        <f>'All regions'!A3967+"n/&gt;!(1["</f>
        <v>#VALUE!</v>
      </c>
      <c r="IP158" t="e">
        <f>'All regions'!B3967+"n/&gt;!(1\"</f>
        <v>#VALUE!</v>
      </c>
      <c r="IQ158" t="e">
        <f>'All regions'!C3967+"n/&gt;!(1]"</f>
        <v>#VALUE!</v>
      </c>
      <c r="IR158" t="e">
        <f>'All regions'!D3967+"n/&gt;!(1^"</f>
        <v>#VALUE!</v>
      </c>
      <c r="IS158" t="e">
        <f>'All regions'!E3967+"n/&gt;!(1_"</f>
        <v>#VALUE!</v>
      </c>
      <c r="IT158" t="e">
        <f>'All regions'!F3967+"n/&gt;!(1`"</f>
        <v>#VALUE!</v>
      </c>
      <c r="IU158" t="e">
        <f>'All regions'!G3967+"n/&gt;!(1a"</f>
        <v>#VALUE!</v>
      </c>
      <c r="IV158" t="e">
        <f>'All regions'!H3967+"n/&gt;!(1b"</f>
        <v>#VALUE!</v>
      </c>
    </row>
    <row r="159" spans="6:256" x14ac:dyDescent="0.35">
      <c r="F159" t="e">
        <f>'All regions'!I3967+"n/&gt;!(1c"</f>
        <v>#VALUE!</v>
      </c>
      <c r="G159" t="e">
        <f>'All regions'!J3967+"n/&gt;!(1d"</f>
        <v>#VALUE!</v>
      </c>
      <c r="H159" t="e">
        <f>'All regions'!A3968+"n/&gt;!(1e"</f>
        <v>#VALUE!</v>
      </c>
      <c r="I159" t="e">
        <f>'All regions'!B3968+"n/&gt;!(1f"</f>
        <v>#VALUE!</v>
      </c>
      <c r="J159" t="e">
        <f>'All regions'!C3968+"n/&gt;!(1g"</f>
        <v>#VALUE!</v>
      </c>
      <c r="K159" t="e">
        <f>'All regions'!D3968+"n/&gt;!(1h"</f>
        <v>#VALUE!</v>
      </c>
      <c r="L159" t="e">
        <f>'All regions'!E3968+"n/&gt;!(1i"</f>
        <v>#VALUE!</v>
      </c>
      <c r="M159" t="e">
        <f>'All regions'!F3968+"n/&gt;!(1j"</f>
        <v>#VALUE!</v>
      </c>
      <c r="N159" t="e">
        <f>'All regions'!G3968+"n/&gt;!(1k"</f>
        <v>#VALUE!</v>
      </c>
      <c r="O159" t="e">
        <f>'All regions'!H3968+"n/&gt;!(1l"</f>
        <v>#VALUE!</v>
      </c>
      <c r="P159" t="e">
        <f>'All regions'!I3968+"n/&gt;!(1m"</f>
        <v>#VALUE!</v>
      </c>
      <c r="Q159" t="e">
        <f>'All regions'!J3968+"n/&gt;!(1n"</f>
        <v>#VALUE!</v>
      </c>
      <c r="R159" t="e">
        <f>'All regions'!A3969+"n/&gt;!(1o"</f>
        <v>#VALUE!</v>
      </c>
      <c r="S159" t="e">
        <f>'All regions'!B3969+"n/&gt;!(1p"</f>
        <v>#VALUE!</v>
      </c>
      <c r="T159" t="e">
        <f>'All regions'!C3969+"n/&gt;!(1q"</f>
        <v>#VALUE!</v>
      </c>
      <c r="U159" t="e">
        <f>'All regions'!D3969+"n/&gt;!(1r"</f>
        <v>#VALUE!</v>
      </c>
      <c r="V159" t="e">
        <f>'All regions'!E3969+"n/&gt;!(1s"</f>
        <v>#VALUE!</v>
      </c>
      <c r="W159" t="e">
        <f>'All regions'!F3969+"n/&gt;!(1t"</f>
        <v>#VALUE!</v>
      </c>
      <c r="X159" t="e">
        <f>'All regions'!G3969+"n/&gt;!(1u"</f>
        <v>#VALUE!</v>
      </c>
      <c r="Y159" t="e">
        <f>'All regions'!H3969+"n/&gt;!(1v"</f>
        <v>#VALUE!</v>
      </c>
      <c r="Z159" t="e">
        <f>'All regions'!I3969+"n/&gt;!(1w"</f>
        <v>#VALUE!</v>
      </c>
      <c r="AA159" t="e">
        <f>'All regions'!J3969+"n/&gt;!(1x"</f>
        <v>#VALUE!</v>
      </c>
      <c r="AB159" t="e">
        <f>'All regions'!A3970+"n/&gt;!(1y"</f>
        <v>#VALUE!</v>
      </c>
      <c r="AC159" t="e">
        <f>'All regions'!B3970+"n/&gt;!(1z"</f>
        <v>#VALUE!</v>
      </c>
      <c r="AD159" t="e">
        <f>'All regions'!C3970+"n/&gt;!(1{"</f>
        <v>#VALUE!</v>
      </c>
      <c r="AE159" t="e">
        <f>'All regions'!D3970+"n/&gt;!(1|"</f>
        <v>#VALUE!</v>
      </c>
      <c r="AF159" t="e">
        <f>'All regions'!E3970+"n/&gt;!(1}"</f>
        <v>#VALUE!</v>
      </c>
      <c r="AG159" t="e">
        <f>'All regions'!F3970+"n/&gt;!(1~"</f>
        <v>#VALUE!</v>
      </c>
      <c r="AH159" t="e">
        <f>'All regions'!G3970+"n/&gt;!(2#"</f>
        <v>#VALUE!</v>
      </c>
      <c r="AI159" t="e">
        <f>'All regions'!H3970+"n/&gt;!(2$"</f>
        <v>#VALUE!</v>
      </c>
      <c r="AJ159" t="e">
        <f>'All regions'!I3970+"n/&gt;!(2%"</f>
        <v>#VALUE!</v>
      </c>
      <c r="AK159" t="e">
        <f>'All regions'!J3970+"n/&gt;!(2&amp;"</f>
        <v>#VALUE!</v>
      </c>
      <c r="AL159" t="e">
        <f>'All regions'!A3971+"n/&gt;!(2'"</f>
        <v>#VALUE!</v>
      </c>
      <c r="AM159" t="e">
        <f>'All regions'!B3971+"n/&gt;!(2("</f>
        <v>#VALUE!</v>
      </c>
      <c r="AN159" t="e">
        <f>'All regions'!C3971+"n/&gt;!(2)"</f>
        <v>#VALUE!</v>
      </c>
      <c r="AO159" t="e">
        <f>'All regions'!D3971+"n/&gt;!(2."</f>
        <v>#VALUE!</v>
      </c>
      <c r="AP159" t="e">
        <f>'All regions'!E3971+"n/&gt;!(2/"</f>
        <v>#VALUE!</v>
      </c>
      <c r="AQ159" t="e">
        <f>'All regions'!F3971+"n/&gt;!(20"</f>
        <v>#VALUE!</v>
      </c>
      <c r="AR159" t="e">
        <f>'All regions'!G3971+"n/&gt;!(21"</f>
        <v>#VALUE!</v>
      </c>
      <c r="AS159" t="e">
        <f>'All regions'!H3971+"n/&gt;!(22"</f>
        <v>#VALUE!</v>
      </c>
      <c r="AT159" t="e">
        <f>'All regions'!I3971+"n/&gt;!(23"</f>
        <v>#VALUE!</v>
      </c>
      <c r="AU159" t="e">
        <f>'All regions'!J3971+"n/&gt;!(24"</f>
        <v>#VALUE!</v>
      </c>
      <c r="AV159" t="e">
        <f>'All regions'!A3972+"n/&gt;!(25"</f>
        <v>#VALUE!</v>
      </c>
      <c r="AW159" t="e">
        <f>'All regions'!B3972+"n/&gt;!(26"</f>
        <v>#VALUE!</v>
      </c>
      <c r="AX159" t="e">
        <f>'All regions'!C3972+"n/&gt;!(27"</f>
        <v>#VALUE!</v>
      </c>
      <c r="AY159" t="e">
        <f>'All regions'!D3972+"n/&gt;!(28"</f>
        <v>#VALUE!</v>
      </c>
      <c r="AZ159" t="e">
        <f>'All regions'!E3972+"n/&gt;!(29"</f>
        <v>#VALUE!</v>
      </c>
      <c r="BA159" t="e">
        <f>'All regions'!F3972+"n/&gt;!(2:"</f>
        <v>#VALUE!</v>
      </c>
      <c r="BB159" t="e">
        <f>'All regions'!G3972+"n/&gt;!(2;"</f>
        <v>#VALUE!</v>
      </c>
      <c r="BC159" t="e">
        <f>'All regions'!H3972+"n/&gt;!(2&lt;"</f>
        <v>#VALUE!</v>
      </c>
      <c r="BD159" t="e">
        <f>'All regions'!I3972+"n/&gt;!(2="</f>
        <v>#VALUE!</v>
      </c>
      <c r="BE159" t="e">
        <f>'All regions'!J3972+"n/&gt;!(2&gt;"</f>
        <v>#VALUE!</v>
      </c>
      <c r="BF159" t="e">
        <f>'All regions'!A3973+"n/&gt;!(2?"</f>
        <v>#VALUE!</v>
      </c>
      <c r="BG159" t="e">
        <f>'All regions'!B3973+"n/&gt;!(2@"</f>
        <v>#VALUE!</v>
      </c>
      <c r="BH159" t="e">
        <f>'All regions'!C3973+"n/&gt;!(2A"</f>
        <v>#VALUE!</v>
      </c>
      <c r="BI159" t="e">
        <f>'All regions'!D3973+"n/&gt;!(2B"</f>
        <v>#VALUE!</v>
      </c>
      <c r="BJ159" t="e">
        <f>'All regions'!E3973+"n/&gt;!(2C"</f>
        <v>#VALUE!</v>
      </c>
      <c r="BK159" t="e">
        <f>'All regions'!F3973+"n/&gt;!(2D"</f>
        <v>#VALUE!</v>
      </c>
      <c r="BL159" t="e">
        <f>'All regions'!G3973+"n/&gt;!(2E"</f>
        <v>#VALUE!</v>
      </c>
      <c r="BM159" t="e">
        <f>'All regions'!H3973+"n/&gt;!(2F"</f>
        <v>#VALUE!</v>
      </c>
      <c r="BN159" t="e">
        <f>'All regions'!I3973+"n/&gt;!(2G"</f>
        <v>#VALUE!</v>
      </c>
      <c r="BO159" t="e">
        <f>'All regions'!J3973+"n/&gt;!(2H"</f>
        <v>#VALUE!</v>
      </c>
      <c r="BP159" t="e">
        <f>'All regions'!A3974+"n/&gt;!(2I"</f>
        <v>#VALUE!</v>
      </c>
      <c r="BQ159" t="e">
        <f>'All regions'!B3974+"n/&gt;!(2J"</f>
        <v>#VALUE!</v>
      </c>
      <c r="BR159" t="e">
        <f>'All regions'!C3974+"n/&gt;!(2K"</f>
        <v>#VALUE!</v>
      </c>
      <c r="BS159" t="e">
        <f>'All regions'!D3974+"n/&gt;!(2L"</f>
        <v>#VALUE!</v>
      </c>
      <c r="BT159" t="e">
        <f>'All regions'!E3974+"n/&gt;!(2M"</f>
        <v>#VALUE!</v>
      </c>
      <c r="BU159" t="e">
        <f>'All regions'!F3974+"n/&gt;!(2N"</f>
        <v>#VALUE!</v>
      </c>
      <c r="BV159" t="e">
        <f>'All regions'!G3974+"n/&gt;!(2O"</f>
        <v>#VALUE!</v>
      </c>
      <c r="BW159" t="e">
        <f>'All regions'!H3974+"n/&gt;!(2P"</f>
        <v>#VALUE!</v>
      </c>
      <c r="BX159" t="e">
        <f>'All regions'!I3974+"n/&gt;!(2Q"</f>
        <v>#VALUE!</v>
      </c>
      <c r="BY159" t="e">
        <f>'All regions'!J3974+"n/&gt;!(2R"</f>
        <v>#VALUE!</v>
      </c>
      <c r="BZ159" t="e">
        <f>'All regions'!A3975+"n/&gt;!(2S"</f>
        <v>#VALUE!</v>
      </c>
      <c r="CA159" t="e">
        <f>'All regions'!B3975+"n/&gt;!(2T"</f>
        <v>#VALUE!</v>
      </c>
      <c r="CB159" t="e">
        <f>'All regions'!C3975+"n/&gt;!(2U"</f>
        <v>#VALUE!</v>
      </c>
      <c r="CC159" t="e">
        <f>'All regions'!D3975+"n/&gt;!(2V"</f>
        <v>#VALUE!</v>
      </c>
      <c r="CD159" t="e">
        <f>'All regions'!E3975+"n/&gt;!(2W"</f>
        <v>#VALUE!</v>
      </c>
      <c r="CE159" t="e">
        <f>'All regions'!F3975+"n/&gt;!(2X"</f>
        <v>#VALUE!</v>
      </c>
      <c r="CF159" t="e">
        <f>'All regions'!G3975+"n/&gt;!(2Y"</f>
        <v>#VALUE!</v>
      </c>
      <c r="CG159" t="e">
        <f>'All regions'!H3975+"n/&gt;!(2Z"</f>
        <v>#VALUE!</v>
      </c>
      <c r="CH159" t="e">
        <f>'All regions'!I3975+"n/&gt;!(2["</f>
        <v>#VALUE!</v>
      </c>
      <c r="CI159" t="e">
        <f>'All regions'!J3975+"n/&gt;!(2\"</f>
        <v>#VALUE!</v>
      </c>
      <c r="CJ159" t="e">
        <f>'All regions'!A3976+"n/&gt;!(2]"</f>
        <v>#VALUE!</v>
      </c>
      <c r="CK159" t="e">
        <f>'All regions'!B3976+"n/&gt;!(2^"</f>
        <v>#VALUE!</v>
      </c>
      <c r="CL159" t="e">
        <f>'All regions'!C3976+"n/&gt;!(2_"</f>
        <v>#VALUE!</v>
      </c>
      <c r="CM159" t="e">
        <f>'All regions'!D3976+"n/&gt;!(2`"</f>
        <v>#VALUE!</v>
      </c>
      <c r="CN159" t="e">
        <f>'All regions'!E3976+"n/&gt;!(2a"</f>
        <v>#VALUE!</v>
      </c>
      <c r="CO159" t="e">
        <f>'All regions'!F3976+"n/&gt;!(2b"</f>
        <v>#VALUE!</v>
      </c>
      <c r="CP159" t="e">
        <f>'All regions'!G3976+"n/&gt;!(2c"</f>
        <v>#VALUE!</v>
      </c>
      <c r="CQ159" t="e">
        <f>'All regions'!H3976+"n/&gt;!(2d"</f>
        <v>#VALUE!</v>
      </c>
      <c r="CR159" t="e">
        <f>'All regions'!I3976+"n/&gt;!(2e"</f>
        <v>#VALUE!</v>
      </c>
      <c r="CS159" t="e">
        <f>'All regions'!J3976+"n/&gt;!(2f"</f>
        <v>#VALUE!</v>
      </c>
      <c r="CT159" t="e">
        <f>'All regions'!A3977+"n/&gt;!(2g"</f>
        <v>#VALUE!</v>
      </c>
      <c r="CU159" t="e">
        <f>'All regions'!B3977+"n/&gt;!(2h"</f>
        <v>#VALUE!</v>
      </c>
      <c r="CV159" t="e">
        <f>'All regions'!C3977+"n/&gt;!(2i"</f>
        <v>#VALUE!</v>
      </c>
      <c r="CW159" t="e">
        <f>'All regions'!D3977+"n/&gt;!(2j"</f>
        <v>#VALUE!</v>
      </c>
      <c r="CX159" t="e">
        <f>'All regions'!E3977+"n/&gt;!(2k"</f>
        <v>#VALUE!</v>
      </c>
      <c r="CY159" t="e">
        <f>'All regions'!F3977+"n/&gt;!(2l"</f>
        <v>#VALUE!</v>
      </c>
      <c r="CZ159" t="e">
        <f>'All regions'!G3977+"n/&gt;!(2m"</f>
        <v>#VALUE!</v>
      </c>
      <c r="DA159" t="e">
        <f>'All regions'!H3977+"n/&gt;!(2n"</f>
        <v>#VALUE!</v>
      </c>
      <c r="DB159" t="e">
        <f>'All regions'!I3977+"n/&gt;!(2o"</f>
        <v>#VALUE!</v>
      </c>
      <c r="DC159" t="e">
        <f>'All regions'!J3977+"n/&gt;!(2p"</f>
        <v>#VALUE!</v>
      </c>
      <c r="DD159" t="e">
        <f>'All regions'!A3978+"n/&gt;!(2q"</f>
        <v>#VALUE!</v>
      </c>
      <c r="DE159" t="e">
        <f>'All regions'!B3978+"n/&gt;!(2r"</f>
        <v>#VALUE!</v>
      </c>
      <c r="DF159" t="e">
        <f>'All regions'!C3978+"n/&gt;!(2s"</f>
        <v>#VALUE!</v>
      </c>
      <c r="DG159" t="e">
        <f>'All regions'!D3978+"n/&gt;!(2t"</f>
        <v>#VALUE!</v>
      </c>
      <c r="DH159" t="e">
        <f>'All regions'!E3978+"n/&gt;!(2u"</f>
        <v>#VALUE!</v>
      </c>
      <c r="DI159" t="e">
        <f>'All regions'!F3978+"n/&gt;!(2v"</f>
        <v>#VALUE!</v>
      </c>
      <c r="DJ159" t="e">
        <f>'All regions'!G3978+"n/&gt;!(2w"</f>
        <v>#VALUE!</v>
      </c>
      <c r="DK159" t="e">
        <f>'All regions'!H3978+"n/&gt;!(2x"</f>
        <v>#VALUE!</v>
      </c>
      <c r="DL159" t="e">
        <f>'All regions'!I3978+"n/&gt;!(2y"</f>
        <v>#VALUE!</v>
      </c>
      <c r="DM159" t="e">
        <f>'All regions'!J3978+"n/&gt;!(2z"</f>
        <v>#VALUE!</v>
      </c>
      <c r="DN159" t="e">
        <f>'All regions'!A3979+"n/&gt;!(2{"</f>
        <v>#VALUE!</v>
      </c>
      <c r="DO159" t="e">
        <f>'All regions'!B3979+"n/&gt;!(2|"</f>
        <v>#VALUE!</v>
      </c>
      <c r="DP159" t="e">
        <f>'All regions'!C3979+"n/&gt;!(2}"</f>
        <v>#VALUE!</v>
      </c>
      <c r="DQ159" t="e">
        <f>'All regions'!D3979+"n/&gt;!(2~"</f>
        <v>#VALUE!</v>
      </c>
      <c r="DR159" t="e">
        <f>'All regions'!E3979+"n/&gt;!(3#"</f>
        <v>#VALUE!</v>
      </c>
      <c r="DS159" t="e">
        <f>'All regions'!F3979+"n/&gt;!(3$"</f>
        <v>#VALUE!</v>
      </c>
      <c r="DT159" t="e">
        <f>'All regions'!G3979+"n/&gt;!(3%"</f>
        <v>#VALUE!</v>
      </c>
      <c r="DU159" t="e">
        <f>'All regions'!H3979+"n/&gt;!(3&amp;"</f>
        <v>#VALUE!</v>
      </c>
      <c r="DV159" t="e">
        <f>'All regions'!I3979+"n/&gt;!(3'"</f>
        <v>#VALUE!</v>
      </c>
      <c r="DW159" t="e">
        <f>'All regions'!J3979+"n/&gt;!(3("</f>
        <v>#VALUE!</v>
      </c>
      <c r="DX159" t="e">
        <f>'All regions'!A3980+"n/&gt;!(3)"</f>
        <v>#VALUE!</v>
      </c>
      <c r="DY159" t="e">
        <f>'All regions'!B3980+"n/&gt;!(3."</f>
        <v>#VALUE!</v>
      </c>
      <c r="DZ159" t="e">
        <f>'All regions'!C3980+"n/&gt;!(3/"</f>
        <v>#VALUE!</v>
      </c>
      <c r="EA159" t="e">
        <f>'All regions'!D3980+"n/&gt;!(30"</f>
        <v>#VALUE!</v>
      </c>
      <c r="EB159" t="e">
        <f>'All regions'!E3980+"n/&gt;!(31"</f>
        <v>#VALUE!</v>
      </c>
      <c r="EC159" t="e">
        <f>'All regions'!F3980+"n/&gt;!(32"</f>
        <v>#VALUE!</v>
      </c>
      <c r="ED159" t="e">
        <f>'All regions'!G3980+"n/&gt;!(33"</f>
        <v>#VALUE!</v>
      </c>
      <c r="EE159" t="e">
        <f>'All regions'!H3980+"n/&gt;!(34"</f>
        <v>#VALUE!</v>
      </c>
      <c r="EF159" t="e">
        <f>'All regions'!I3980+"n/&gt;!(35"</f>
        <v>#VALUE!</v>
      </c>
      <c r="EG159" t="e">
        <f>'All regions'!J3980+"n/&gt;!(36"</f>
        <v>#VALUE!</v>
      </c>
      <c r="EH159" t="e">
        <f>'All regions'!A3981+"n/&gt;!(37"</f>
        <v>#VALUE!</v>
      </c>
      <c r="EI159" t="e">
        <f>'All regions'!B3981+"n/&gt;!(38"</f>
        <v>#VALUE!</v>
      </c>
      <c r="EJ159" t="e">
        <f>'All regions'!C3981+"n/&gt;!(39"</f>
        <v>#VALUE!</v>
      </c>
      <c r="EK159" t="e">
        <f>'All regions'!D3981+"n/&gt;!(3:"</f>
        <v>#VALUE!</v>
      </c>
      <c r="EL159" t="e">
        <f>'All regions'!E3981+"n/&gt;!(3;"</f>
        <v>#VALUE!</v>
      </c>
      <c r="EM159" t="e">
        <f>'All regions'!F3981+"n/&gt;!(3&lt;"</f>
        <v>#VALUE!</v>
      </c>
      <c r="EN159" t="e">
        <f>'All regions'!G3981+"n/&gt;!(3="</f>
        <v>#VALUE!</v>
      </c>
      <c r="EO159" t="e">
        <f>'All regions'!H3981+"n/&gt;!(3&gt;"</f>
        <v>#VALUE!</v>
      </c>
      <c r="EP159" t="e">
        <f>'All regions'!I3981+"n/&gt;!(3?"</f>
        <v>#VALUE!</v>
      </c>
      <c r="EQ159" t="e">
        <f>'All regions'!J3981+"n/&gt;!(3@"</f>
        <v>#VALUE!</v>
      </c>
      <c r="ER159" t="e">
        <f>'All regions'!A3982+"n/&gt;!(3A"</f>
        <v>#VALUE!</v>
      </c>
      <c r="ES159" t="e">
        <f>'All regions'!B3982+"n/&gt;!(3B"</f>
        <v>#VALUE!</v>
      </c>
      <c r="ET159" t="e">
        <f>'All regions'!C3982+"n/&gt;!(3C"</f>
        <v>#VALUE!</v>
      </c>
      <c r="EU159" t="e">
        <f>'All regions'!D3982+"n/&gt;!(3D"</f>
        <v>#VALUE!</v>
      </c>
      <c r="EV159" t="e">
        <f>'All regions'!E3982+"n/&gt;!(3E"</f>
        <v>#VALUE!</v>
      </c>
      <c r="EW159" t="e">
        <f>'All regions'!F3982+"n/&gt;!(3F"</f>
        <v>#VALUE!</v>
      </c>
      <c r="EX159" t="e">
        <f>'All regions'!G3982+"n/&gt;!(3G"</f>
        <v>#VALUE!</v>
      </c>
      <c r="EY159" t="e">
        <f>'All regions'!H3982+"n/&gt;!(3H"</f>
        <v>#VALUE!</v>
      </c>
      <c r="EZ159" t="e">
        <f>'All regions'!I3982+"n/&gt;!(3I"</f>
        <v>#VALUE!</v>
      </c>
      <c r="FA159" t="e">
        <f>'All regions'!J3982+"n/&gt;!(3J"</f>
        <v>#VALUE!</v>
      </c>
      <c r="FB159" t="e">
        <f>'All regions'!A3983+"n/&gt;!(3K"</f>
        <v>#VALUE!</v>
      </c>
      <c r="FC159" t="e">
        <f>'All regions'!B3983+"n/&gt;!(3L"</f>
        <v>#VALUE!</v>
      </c>
      <c r="FD159" t="e">
        <f>'All regions'!C3983+"n/&gt;!(3M"</f>
        <v>#VALUE!</v>
      </c>
      <c r="FE159" t="e">
        <f>'All regions'!D3983+"n/&gt;!(3N"</f>
        <v>#VALUE!</v>
      </c>
      <c r="FF159" t="e">
        <f>'All regions'!E3983+"n/&gt;!(3O"</f>
        <v>#VALUE!</v>
      </c>
      <c r="FG159" t="e">
        <f>'All regions'!F3983+"n/&gt;!(3P"</f>
        <v>#VALUE!</v>
      </c>
      <c r="FH159" t="e">
        <f>'All regions'!G3983+"n/&gt;!(3Q"</f>
        <v>#VALUE!</v>
      </c>
      <c r="FI159" t="e">
        <f>'All regions'!H3983+"n/&gt;!(3R"</f>
        <v>#VALUE!</v>
      </c>
      <c r="FJ159" t="e">
        <f>'All regions'!I3983+"n/&gt;!(3S"</f>
        <v>#VALUE!</v>
      </c>
      <c r="FK159" t="e">
        <f>'All regions'!J3983+"n/&gt;!(3T"</f>
        <v>#VALUE!</v>
      </c>
      <c r="FL159" t="e">
        <f>'All regions'!A3984+"n/&gt;!(3U"</f>
        <v>#VALUE!</v>
      </c>
      <c r="FM159" t="e">
        <f>'All regions'!B3984+"n/&gt;!(3V"</f>
        <v>#VALUE!</v>
      </c>
      <c r="FN159" t="e">
        <f>'All regions'!C3984+"n/&gt;!(3W"</f>
        <v>#VALUE!</v>
      </c>
      <c r="FO159" t="e">
        <f>'All regions'!D3984+"n/&gt;!(3X"</f>
        <v>#VALUE!</v>
      </c>
      <c r="FP159" t="e">
        <f>'All regions'!E3984+"n/&gt;!(3Y"</f>
        <v>#VALUE!</v>
      </c>
      <c r="FQ159" t="e">
        <f>'All regions'!F3984+"n/&gt;!(3Z"</f>
        <v>#VALUE!</v>
      </c>
      <c r="FR159" t="e">
        <f>'All regions'!G3984+"n/&gt;!(3["</f>
        <v>#VALUE!</v>
      </c>
      <c r="FS159" t="e">
        <f>'All regions'!H3984+"n/&gt;!(3\"</f>
        <v>#VALUE!</v>
      </c>
      <c r="FT159" t="e">
        <f>'All regions'!I3984+"n/&gt;!(3]"</f>
        <v>#VALUE!</v>
      </c>
      <c r="FU159" t="e">
        <f>'All regions'!J3984+"n/&gt;!(3^"</f>
        <v>#VALUE!</v>
      </c>
      <c r="FV159" t="e">
        <f>'All regions'!A3985+"n/&gt;!(3_"</f>
        <v>#VALUE!</v>
      </c>
      <c r="FW159" t="e">
        <f>'All regions'!B3985+"n/&gt;!(3`"</f>
        <v>#VALUE!</v>
      </c>
      <c r="FX159" t="e">
        <f>'All regions'!C3985+"n/&gt;!(3a"</f>
        <v>#VALUE!</v>
      </c>
      <c r="FY159" t="e">
        <f>'All regions'!D3985+"n/&gt;!(3b"</f>
        <v>#VALUE!</v>
      </c>
      <c r="FZ159" t="e">
        <f>'All regions'!E3985+"n/&gt;!(3c"</f>
        <v>#VALUE!</v>
      </c>
      <c r="GA159" t="e">
        <f>'All regions'!F3985+"n/&gt;!(3d"</f>
        <v>#VALUE!</v>
      </c>
      <c r="GB159" t="e">
        <f>'All regions'!G3985+"n/&gt;!(3e"</f>
        <v>#VALUE!</v>
      </c>
      <c r="GC159" t="e">
        <f>'All regions'!H3985+"n/&gt;!(3f"</f>
        <v>#VALUE!</v>
      </c>
      <c r="GD159" t="e">
        <f>'All regions'!I3985+"n/&gt;!(3g"</f>
        <v>#VALUE!</v>
      </c>
      <c r="GE159" t="e">
        <f>'All regions'!J3985+"n/&gt;!(3h"</f>
        <v>#VALUE!</v>
      </c>
      <c r="GF159" t="e">
        <f>'All regions'!A3986+"n/&gt;!(3i"</f>
        <v>#VALUE!</v>
      </c>
      <c r="GG159" t="e">
        <f>'All regions'!B3986+"n/&gt;!(3j"</f>
        <v>#VALUE!</v>
      </c>
      <c r="GH159" t="e">
        <f>'All regions'!C3986+"n/&gt;!(3k"</f>
        <v>#VALUE!</v>
      </c>
      <c r="GI159" t="e">
        <f>'All regions'!D3986+"n/&gt;!(3l"</f>
        <v>#VALUE!</v>
      </c>
      <c r="GJ159" t="e">
        <f>'All regions'!E3986+"n/&gt;!(3m"</f>
        <v>#VALUE!</v>
      </c>
      <c r="GK159" t="e">
        <f>'All regions'!F3986+"n/&gt;!(3n"</f>
        <v>#VALUE!</v>
      </c>
      <c r="GL159" t="e">
        <f>'All regions'!G3986+"n/&gt;!(3o"</f>
        <v>#VALUE!</v>
      </c>
      <c r="GM159" t="e">
        <f>'All regions'!H3986+"n/&gt;!(3p"</f>
        <v>#VALUE!</v>
      </c>
      <c r="GN159" t="e">
        <f>'All regions'!I3986+"n/&gt;!(3q"</f>
        <v>#VALUE!</v>
      </c>
      <c r="GO159" t="e">
        <f>'All regions'!J3986+"n/&gt;!(3r"</f>
        <v>#VALUE!</v>
      </c>
      <c r="GP159" t="e">
        <f>'All regions'!A3987+"n/&gt;!(3s"</f>
        <v>#VALUE!</v>
      </c>
      <c r="GQ159" t="e">
        <f>'All regions'!B3987+"n/&gt;!(3t"</f>
        <v>#VALUE!</v>
      </c>
      <c r="GR159" t="e">
        <f>'All regions'!C3987+"n/&gt;!(3u"</f>
        <v>#VALUE!</v>
      </c>
      <c r="GS159" t="e">
        <f>'All regions'!D3987+"n/&gt;!(3v"</f>
        <v>#VALUE!</v>
      </c>
      <c r="GT159" t="e">
        <f>'All regions'!E3987+"n/&gt;!(3w"</f>
        <v>#VALUE!</v>
      </c>
      <c r="GU159" t="e">
        <f>'All regions'!F3987+"n/&gt;!(3x"</f>
        <v>#VALUE!</v>
      </c>
      <c r="GV159" t="e">
        <f>'All regions'!G3987+"n/&gt;!(3y"</f>
        <v>#VALUE!</v>
      </c>
      <c r="GW159" t="e">
        <f>'All regions'!H3987+"n/&gt;!(3z"</f>
        <v>#VALUE!</v>
      </c>
      <c r="GX159" t="e">
        <f>'All regions'!I3987+"n/&gt;!(3{"</f>
        <v>#VALUE!</v>
      </c>
      <c r="GY159" t="e">
        <f>'All regions'!J3987+"n/&gt;!(3|"</f>
        <v>#VALUE!</v>
      </c>
      <c r="GZ159" t="e">
        <f>'All regions'!A3988+"n/&gt;!(3}"</f>
        <v>#VALUE!</v>
      </c>
      <c r="HA159" t="e">
        <f>'All regions'!B3988+"n/&gt;!(3~"</f>
        <v>#VALUE!</v>
      </c>
      <c r="HB159" t="e">
        <f>'All regions'!C3988+"n/&gt;!(4#"</f>
        <v>#VALUE!</v>
      </c>
      <c r="HC159" t="e">
        <f>'All regions'!D3988+"n/&gt;!(4$"</f>
        <v>#VALUE!</v>
      </c>
      <c r="HD159" t="e">
        <f>'All regions'!E3988+"n/&gt;!(4%"</f>
        <v>#VALUE!</v>
      </c>
      <c r="HE159" t="e">
        <f>'All regions'!F3988+"n/&gt;!(4&amp;"</f>
        <v>#VALUE!</v>
      </c>
      <c r="HF159" t="e">
        <f>'All regions'!G3988+"n/&gt;!(4'"</f>
        <v>#VALUE!</v>
      </c>
      <c r="HG159" t="e">
        <f>'All regions'!H3988+"n/&gt;!(4("</f>
        <v>#VALUE!</v>
      </c>
      <c r="HH159" t="e">
        <f>'All regions'!I3988+"n/&gt;!(4)"</f>
        <v>#VALUE!</v>
      </c>
      <c r="HI159" t="e">
        <f>'All regions'!J3988+"n/&gt;!(4."</f>
        <v>#VALUE!</v>
      </c>
      <c r="HJ159" t="e">
        <f>'All regions'!A3989+"n/&gt;!(4/"</f>
        <v>#VALUE!</v>
      </c>
      <c r="HK159" t="e">
        <f>'All regions'!B3989+"n/&gt;!(40"</f>
        <v>#VALUE!</v>
      </c>
      <c r="HL159" t="e">
        <f>'All regions'!C3989+"n/&gt;!(41"</f>
        <v>#VALUE!</v>
      </c>
      <c r="HM159" t="e">
        <f>'All regions'!D3989+"n/&gt;!(42"</f>
        <v>#VALUE!</v>
      </c>
      <c r="HN159" t="e">
        <f>'All regions'!E3989+"n/&gt;!(43"</f>
        <v>#VALUE!</v>
      </c>
      <c r="HO159" t="e">
        <f>'All regions'!F3989+"n/&gt;!(44"</f>
        <v>#VALUE!</v>
      </c>
      <c r="HP159" t="e">
        <f>'All regions'!G3989+"n/&gt;!(45"</f>
        <v>#VALUE!</v>
      </c>
      <c r="HQ159" t="e">
        <f>'All regions'!H3989+"n/&gt;!(46"</f>
        <v>#VALUE!</v>
      </c>
      <c r="HR159" t="e">
        <f>'All regions'!I3989+"n/&gt;!(47"</f>
        <v>#VALUE!</v>
      </c>
      <c r="HS159" t="e">
        <f>'All regions'!J3989+"n/&gt;!(48"</f>
        <v>#VALUE!</v>
      </c>
      <c r="HT159" t="e">
        <f>'All regions'!A3990+"n/&gt;!(49"</f>
        <v>#VALUE!</v>
      </c>
      <c r="HU159" t="e">
        <f>'All regions'!B3990+"n/&gt;!(4:"</f>
        <v>#VALUE!</v>
      </c>
      <c r="HV159" t="e">
        <f>'All regions'!C3990+"n/&gt;!(4;"</f>
        <v>#VALUE!</v>
      </c>
      <c r="HW159" t="e">
        <f>'All regions'!D3990+"n/&gt;!(4&lt;"</f>
        <v>#VALUE!</v>
      </c>
      <c r="HX159" t="e">
        <f>'All regions'!E3990+"n/&gt;!(4="</f>
        <v>#VALUE!</v>
      </c>
      <c r="HY159" t="e">
        <f>'All regions'!F3990+"n/&gt;!(4&gt;"</f>
        <v>#VALUE!</v>
      </c>
      <c r="HZ159" t="e">
        <f>'All regions'!G3990+"n/&gt;!(4?"</f>
        <v>#VALUE!</v>
      </c>
      <c r="IA159" t="e">
        <f>'All regions'!H3990+"n/&gt;!(4@"</f>
        <v>#VALUE!</v>
      </c>
      <c r="IB159" t="e">
        <f>'All regions'!I3990+"n/&gt;!(4A"</f>
        <v>#VALUE!</v>
      </c>
      <c r="IC159" t="e">
        <f>'All regions'!J3990+"n/&gt;!(4B"</f>
        <v>#VALUE!</v>
      </c>
      <c r="ID159" t="e">
        <f>'All regions'!A3991+"n/&gt;!(4C"</f>
        <v>#VALUE!</v>
      </c>
      <c r="IE159" t="e">
        <f>'All regions'!B3991+"n/&gt;!(4D"</f>
        <v>#VALUE!</v>
      </c>
      <c r="IF159" t="e">
        <f>'All regions'!C3991+"n/&gt;!(4E"</f>
        <v>#VALUE!</v>
      </c>
      <c r="IG159" t="e">
        <f>'All regions'!D3991+"n/&gt;!(4F"</f>
        <v>#VALUE!</v>
      </c>
      <c r="IH159" t="e">
        <f>'All regions'!E3991+"n/&gt;!(4G"</f>
        <v>#VALUE!</v>
      </c>
      <c r="II159" t="e">
        <f>'All regions'!F3991+"n/&gt;!(4H"</f>
        <v>#VALUE!</v>
      </c>
      <c r="IJ159" t="e">
        <f>'All regions'!G3991+"n/&gt;!(4I"</f>
        <v>#VALUE!</v>
      </c>
      <c r="IK159" t="e">
        <f>'All regions'!H3991+"n/&gt;!(4J"</f>
        <v>#VALUE!</v>
      </c>
      <c r="IL159" t="e">
        <f>'All regions'!I3991+"n/&gt;!(4K"</f>
        <v>#VALUE!</v>
      </c>
      <c r="IM159" t="e">
        <f>'All regions'!J3991+"n/&gt;!(4L"</f>
        <v>#VALUE!</v>
      </c>
      <c r="IN159" t="e">
        <f>'All regions'!A3992+"n/&gt;!(4M"</f>
        <v>#VALUE!</v>
      </c>
      <c r="IO159" t="e">
        <f>'All regions'!B3992+"n/&gt;!(4N"</f>
        <v>#VALUE!</v>
      </c>
      <c r="IP159" t="e">
        <f>'All regions'!C3992+"n/&gt;!(4O"</f>
        <v>#VALUE!</v>
      </c>
      <c r="IQ159" t="e">
        <f>'All regions'!D3992+"n/&gt;!(4P"</f>
        <v>#VALUE!</v>
      </c>
      <c r="IR159" t="e">
        <f>'All regions'!E3992+"n/&gt;!(4Q"</f>
        <v>#VALUE!</v>
      </c>
      <c r="IS159" t="e">
        <f>'All regions'!F3992+"n/&gt;!(4R"</f>
        <v>#VALUE!</v>
      </c>
      <c r="IT159" t="e">
        <f>'All regions'!G3992+"n/&gt;!(4S"</f>
        <v>#VALUE!</v>
      </c>
      <c r="IU159" t="e">
        <f>'All regions'!H3992+"n/&gt;!(4T"</f>
        <v>#VALUE!</v>
      </c>
      <c r="IV159" t="e">
        <f>'All regions'!I3992+"n/&gt;!(4U"</f>
        <v>#VALUE!</v>
      </c>
    </row>
    <row r="160" spans="6:256" x14ac:dyDescent="0.35">
      <c r="F160" t="e">
        <f>'All regions'!J3992+"n/&gt;!(4V"</f>
        <v>#VALUE!</v>
      </c>
      <c r="G160" t="e">
        <f>'All regions'!A3993+"n/&gt;!(4W"</f>
        <v>#VALUE!</v>
      </c>
      <c r="H160" t="e">
        <f>'All regions'!B3993+"n/&gt;!(4X"</f>
        <v>#VALUE!</v>
      </c>
      <c r="I160" t="e">
        <f>'All regions'!C3993+"n/&gt;!(4Y"</f>
        <v>#VALUE!</v>
      </c>
      <c r="J160" t="e">
        <f>'All regions'!D3993+"n/&gt;!(4Z"</f>
        <v>#VALUE!</v>
      </c>
      <c r="K160" t="e">
        <f>'All regions'!E3993+"n/&gt;!(4["</f>
        <v>#VALUE!</v>
      </c>
      <c r="L160" t="e">
        <f>'All regions'!F3993+"n/&gt;!(4\"</f>
        <v>#VALUE!</v>
      </c>
      <c r="M160" t="e">
        <f>'All regions'!G3993+"n/&gt;!(4]"</f>
        <v>#VALUE!</v>
      </c>
      <c r="N160" t="e">
        <f>'All regions'!H3993+"n/&gt;!(4^"</f>
        <v>#VALUE!</v>
      </c>
      <c r="O160" t="e">
        <f>'All regions'!I3993+"n/&gt;!(4_"</f>
        <v>#VALUE!</v>
      </c>
      <c r="P160" t="e">
        <f>'All regions'!J3993+"n/&gt;!(4`"</f>
        <v>#VALUE!</v>
      </c>
      <c r="Q160" t="e">
        <f>'All regions'!A3994+"n/&gt;!(4a"</f>
        <v>#VALUE!</v>
      </c>
      <c r="R160" t="e">
        <f>'All regions'!B3994+"n/&gt;!(4b"</f>
        <v>#VALUE!</v>
      </c>
      <c r="S160" t="e">
        <f>'All regions'!C3994+"n/&gt;!(4c"</f>
        <v>#VALUE!</v>
      </c>
      <c r="T160" t="e">
        <f>'All regions'!D3994+"n/&gt;!(4d"</f>
        <v>#VALUE!</v>
      </c>
      <c r="U160" t="e">
        <f>'All regions'!E3994+"n/&gt;!(4e"</f>
        <v>#VALUE!</v>
      </c>
      <c r="V160" t="e">
        <f>'All regions'!F3994+"n/&gt;!(4f"</f>
        <v>#VALUE!</v>
      </c>
      <c r="W160" t="e">
        <f>'All regions'!G3994+"n/&gt;!(4g"</f>
        <v>#VALUE!</v>
      </c>
      <c r="X160" t="e">
        <f>'All regions'!H3994+"n/&gt;!(4h"</f>
        <v>#VALUE!</v>
      </c>
      <c r="Y160" t="e">
        <f>'All regions'!I3994+"n/&gt;!(4i"</f>
        <v>#VALUE!</v>
      </c>
      <c r="Z160" t="e">
        <f>'All regions'!J3994+"n/&gt;!(4j"</f>
        <v>#VALUE!</v>
      </c>
      <c r="AA160" t="e">
        <f>'All regions'!A3995+"n/&gt;!(4k"</f>
        <v>#VALUE!</v>
      </c>
      <c r="AB160" t="e">
        <f>'All regions'!B3995+"n/&gt;!(4l"</f>
        <v>#VALUE!</v>
      </c>
      <c r="AC160" t="e">
        <f>'All regions'!C3995+"n/&gt;!(4m"</f>
        <v>#VALUE!</v>
      </c>
      <c r="AD160" t="e">
        <f>'All regions'!D3995+"n/&gt;!(4n"</f>
        <v>#VALUE!</v>
      </c>
      <c r="AE160" t="e">
        <f>'All regions'!E3995+"n/&gt;!(4o"</f>
        <v>#VALUE!</v>
      </c>
      <c r="AF160" t="e">
        <f>'All regions'!F3995+"n/&gt;!(4p"</f>
        <v>#VALUE!</v>
      </c>
      <c r="AG160" t="e">
        <f>'All regions'!G3995+"n/&gt;!(4q"</f>
        <v>#VALUE!</v>
      </c>
      <c r="AH160" t="e">
        <f>'All regions'!H3995+"n/&gt;!(4r"</f>
        <v>#VALUE!</v>
      </c>
      <c r="AI160" t="e">
        <f>'All regions'!I3995+"n/&gt;!(4s"</f>
        <v>#VALUE!</v>
      </c>
      <c r="AJ160" t="e">
        <f>'All regions'!J3995+"n/&gt;!(4t"</f>
        <v>#VALUE!</v>
      </c>
      <c r="AK160" t="e">
        <f>'All regions'!A3996+"n/&gt;!(4u"</f>
        <v>#VALUE!</v>
      </c>
      <c r="AL160" t="e">
        <f>'All regions'!B3996+"n/&gt;!(4v"</f>
        <v>#VALUE!</v>
      </c>
      <c r="AM160" t="e">
        <f>'All regions'!C3996+"n/&gt;!(4w"</f>
        <v>#VALUE!</v>
      </c>
      <c r="AN160" t="e">
        <f>'All regions'!D3996+"n/&gt;!(4x"</f>
        <v>#VALUE!</v>
      </c>
      <c r="AO160" t="e">
        <f>'All regions'!E3996+"n/&gt;!(4y"</f>
        <v>#VALUE!</v>
      </c>
      <c r="AP160" t="e">
        <f>'All regions'!F3996+"n/&gt;!(4z"</f>
        <v>#VALUE!</v>
      </c>
      <c r="AQ160" t="e">
        <f>'All regions'!G3996+"n/&gt;!(4{"</f>
        <v>#VALUE!</v>
      </c>
      <c r="AR160" t="e">
        <f>'All regions'!H3996+"n/&gt;!(4|"</f>
        <v>#VALUE!</v>
      </c>
      <c r="AS160" t="e">
        <f>'All regions'!I3996+"n/&gt;!(4}"</f>
        <v>#VALUE!</v>
      </c>
      <c r="AT160" t="e">
        <f>'All regions'!J3996+"n/&gt;!(4~"</f>
        <v>#VALUE!</v>
      </c>
      <c r="AU160" t="e">
        <f>'All regions'!A3997+"n/&gt;!(5#"</f>
        <v>#VALUE!</v>
      </c>
      <c r="AV160" t="e">
        <f>'All regions'!B3997+"n/&gt;!(5$"</f>
        <v>#VALUE!</v>
      </c>
      <c r="AW160" t="e">
        <f>'All regions'!C3997+"n/&gt;!(5%"</f>
        <v>#VALUE!</v>
      </c>
      <c r="AX160" t="e">
        <f>'All regions'!D3997+"n/&gt;!(5&amp;"</f>
        <v>#VALUE!</v>
      </c>
      <c r="AY160" t="e">
        <f>'All regions'!E3997+"n/&gt;!(5'"</f>
        <v>#VALUE!</v>
      </c>
      <c r="AZ160" t="e">
        <f>'All regions'!F3997+"n/&gt;!(5("</f>
        <v>#VALUE!</v>
      </c>
      <c r="BA160" t="e">
        <f>'All regions'!G3997+"n/&gt;!(5)"</f>
        <v>#VALUE!</v>
      </c>
      <c r="BB160" t="e">
        <f>'All regions'!H3997+"n/&gt;!(5."</f>
        <v>#VALUE!</v>
      </c>
      <c r="BC160" t="e">
        <f>'All regions'!I3997+"n/&gt;!(5/"</f>
        <v>#VALUE!</v>
      </c>
      <c r="BD160" t="e">
        <f>'All regions'!J3997+"n/&gt;!(50"</f>
        <v>#VALUE!</v>
      </c>
      <c r="BE160" t="e">
        <f>'All regions'!A3998+"n/&gt;!(51"</f>
        <v>#VALUE!</v>
      </c>
      <c r="BF160" t="e">
        <f>'All regions'!B3998+"n/&gt;!(52"</f>
        <v>#VALUE!</v>
      </c>
      <c r="BG160" t="e">
        <f>'All regions'!C3998+"n/&gt;!(53"</f>
        <v>#VALUE!</v>
      </c>
      <c r="BH160" t="e">
        <f>'All regions'!D3998+"n/&gt;!(54"</f>
        <v>#VALUE!</v>
      </c>
      <c r="BI160" t="e">
        <f>'All regions'!E3998+"n/&gt;!(55"</f>
        <v>#VALUE!</v>
      </c>
      <c r="BJ160" t="e">
        <f>'All regions'!F3998+"n/&gt;!(56"</f>
        <v>#VALUE!</v>
      </c>
      <c r="BK160" t="e">
        <f>'All regions'!G3998+"n/&gt;!(57"</f>
        <v>#VALUE!</v>
      </c>
      <c r="BL160" t="e">
        <f>'All regions'!H3998+"n/&gt;!(58"</f>
        <v>#VALUE!</v>
      </c>
      <c r="BM160" t="e">
        <f>'All regions'!I3998+"n/&gt;!(59"</f>
        <v>#VALUE!</v>
      </c>
      <c r="BN160" t="e">
        <f>'All regions'!J3998+"n/&gt;!(5:"</f>
        <v>#VALUE!</v>
      </c>
      <c r="BO160" t="e">
        <f>'All regions'!A3999+"n/&gt;!(5;"</f>
        <v>#VALUE!</v>
      </c>
      <c r="BP160" t="e">
        <f>'All regions'!B3999+"n/&gt;!(5&lt;"</f>
        <v>#VALUE!</v>
      </c>
      <c r="BQ160" t="e">
        <f>'All regions'!C3999+"n/&gt;!(5="</f>
        <v>#VALUE!</v>
      </c>
      <c r="BR160" t="e">
        <f>'All regions'!D3999+"n/&gt;!(5&gt;"</f>
        <v>#VALUE!</v>
      </c>
      <c r="BS160" t="e">
        <f>'All regions'!E3999+"n/&gt;!(5?"</f>
        <v>#VALUE!</v>
      </c>
      <c r="BT160" t="e">
        <f>'All regions'!F3999+"n/&gt;!(5@"</f>
        <v>#VALUE!</v>
      </c>
      <c r="BU160" t="e">
        <f>'All regions'!G3999+"n/&gt;!(5A"</f>
        <v>#VALUE!</v>
      </c>
      <c r="BV160" t="e">
        <f>'All regions'!H3999+"n/&gt;!(5B"</f>
        <v>#VALUE!</v>
      </c>
      <c r="BW160" t="e">
        <f>'All regions'!I3999+"n/&gt;!(5C"</f>
        <v>#VALUE!</v>
      </c>
      <c r="BX160" t="e">
        <f>'All regions'!J3999+"n/&gt;!(5D"</f>
        <v>#VALUE!</v>
      </c>
      <c r="BY160" t="e">
        <f>'All regions'!A4000+"n/&gt;!(5E"</f>
        <v>#VALUE!</v>
      </c>
      <c r="BZ160" t="e">
        <f>'All regions'!B4000+"n/&gt;!(5F"</f>
        <v>#VALUE!</v>
      </c>
      <c r="CA160" t="e">
        <f>'All regions'!C4000+"n/&gt;!(5G"</f>
        <v>#VALUE!</v>
      </c>
      <c r="CB160" t="e">
        <f>'All regions'!D4000+"n/&gt;!(5H"</f>
        <v>#VALUE!</v>
      </c>
      <c r="CC160" t="e">
        <f>'All regions'!E4000+"n/&gt;!(5I"</f>
        <v>#VALUE!</v>
      </c>
      <c r="CD160" t="e">
        <f>'All regions'!F4000+"n/&gt;!(5J"</f>
        <v>#VALUE!</v>
      </c>
      <c r="CE160" t="e">
        <f>'All regions'!G4000+"n/&gt;!(5K"</f>
        <v>#VALUE!</v>
      </c>
      <c r="CF160" t="e">
        <f>'All regions'!H4000+"n/&gt;!(5L"</f>
        <v>#VALUE!</v>
      </c>
      <c r="CG160" t="e">
        <f>'All regions'!I4000+"n/&gt;!(5M"</f>
        <v>#VALUE!</v>
      </c>
      <c r="CH160" t="e">
        <f>'All regions'!J4000+"n/&gt;!(5N"</f>
        <v>#VALUE!</v>
      </c>
      <c r="CI160" t="e">
        <f>'All regions'!A4001+"n/&gt;!(5O"</f>
        <v>#VALUE!</v>
      </c>
      <c r="CJ160" t="e">
        <f>'All regions'!B4001+"n/&gt;!(5P"</f>
        <v>#VALUE!</v>
      </c>
      <c r="CK160" t="e">
        <f>'All regions'!C4001+"n/&gt;!(5Q"</f>
        <v>#VALUE!</v>
      </c>
      <c r="CL160" t="e">
        <f>'All regions'!D4001+"n/&gt;!(5R"</f>
        <v>#VALUE!</v>
      </c>
      <c r="CM160" t="e">
        <f>'All regions'!E4001+"n/&gt;!(5S"</f>
        <v>#VALUE!</v>
      </c>
      <c r="CN160" t="e">
        <f>'All regions'!F4001+"n/&gt;!(5T"</f>
        <v>#VALUE!</v>
      </c>
      <c r="CO160" t="e">
        <f>'All regions'!G4001+"n/&gt;!(5U"</f>
        <v>#VALUE!</v>
      </c>
      <c r="CP160" t="e">
        <f>'All regions'!H4001+"n/&gt;!(5V"</f>
        <v>#VALUE!</v>
      </c>
      <c r="CQ160" t="e">
        <f>'All regions'!I4001+"n/&gt;!(5W"</f>
        <v>#VALUE!</v>
      </c>
      <c r="CR160" t="e">
        <f>'All regions'!J4001+"n/&gt;!(5X"</f>
        <v>#VALUE!</v>
      </c>
      <c r="CS160" t="e">
        <f>'All regions'!A4002+"n/&gt;!(5Y"</f>
        <v>#VALUE!</v>
      </c>
      <c r="CT160" t="e">
        <f>'All regions'!B4002+"n/&gt;!(5Z"</f>
        <v>#VALUE!</v>
      </c>
      <c r="CU160" t="e">
        <f>'All regions'!C4002+"n/&gt;!(5["</f>
        <v>#VALUE!</v>
      </c>
      <c r="CV160" t="e">
        <f>'All regions'!D4002+"n/&gt;!(5\"</f>
        <v>#VALUE!</v>
      </c>
      <c r="CW160" t="e">
        <f>'All regions'!E4002+"n/&gt;!(5]"</f>
        <v>#VALUE!</v>
      </c>
      <c r="CX160" t="e">
        <f>'All regions'!F4002+"n/&gt;!(5^"</f>
        <v>#VALUE!</v>
      </c>
      <c r="CY160" t="e">
        <f>'All regions'!G4002+"n/&gt;!(5_"</f>
        <v>#VALUE!</v>
      </c>
      <c r="CZ160" t="e">
        <f>'All regions'!H4002+"n/&gt;!(5`"</f>
        <v>#VALUE!</v>
      </c>
      <c r="DA160" t="e">
        <f>'All regions'!I4002+"n/&gt;!(5a"</f>
        <v>#VALUE!</v>
      </c>
      <c r="DB160" t="e">
        <f>'All regions'!J4002+"n/&gt;!(5b"</f>
        <v>#VALUE!</v>
      </c>
      <c r="DC160" t="e">
        <f>'All regions'!A4003+"n/&gt;!(5c"</f>
        <v>#VALUE!</v>
      </c>
      <c r="DD160" t="e">
        <f>'All regions'!B4003+"n/&gt;!(5d"</f>
        <v>#VALUE!</v>
      </c>
      <c r="DE160" t="e">
        <f>'All regions'!C4003+"n/&gt;!(5e"</f>
        <v>#VALUE!</v>
      </c>
      <c r="DF160" t="e">
        <f>'All regions'!D4003+"n/&gt;!(5f"</f>
        <v>#VALUE!</v>
      </c>
      <c r="DG160" t="e">
        <f>'All regions'!E4003+"n/&gt;!(5g"</f>
        <v>#VALUE!</v>
      </c>
      <c r="DH160" t="e">
        <f>'All regions'!F4003+"n/&gt;!(5h"</f>
        <v>#VALUE!</v>
      </c>
      <c r="DI160" t="e">
        <f>'All regions'!G4003+"n/&gt;!(5i"</f>
        <v>#VALUE!</v>
      </c>
      <c r="DJ160" t="e">
        <f>'All regions'!H4003+"n/&gt;!(5j"</f>
        <v>#VALUE!</v>
      </c>
      <c r="DK160" t="e">
        <f>'All regions'!I4003+"n/&gt;!(5k"</f>
        <v>#VALUE!</v>
      </c>
      <c r="DL160" t="e">
        <f>'All regions'!J4003+"n/&gt;!(5l"</f>
        <v>#VALUE!</v>
      </c>
      <c r="DM160" t="e">
        <f>'All regions'!A4004+"n/&gt;!(5m"</f>
        <v>#VALUE!</v>
      </c>
      <c r="DN160" t="e">
        <f>'All regions'!B4004+"n/&gt;!(5n"</f>
        <v>#VALUE!</v>
      </c>
      <c r="DO160" t="e">
        <f>'All regions'!C4004+"n/&gt;!(5o"</f>
        <v>#VALUE!</v>
      </c>
      <c r="DP160" t="e">
        <f>'All regions'!D4004+"n/&gt;!(5p"</f>
        <v>#VALUE!</v>
      </c>
      <c r="DQ160" t="e">
        <f>'All regions'!E4004+"n/&gt;!(5q"</f>
        <v>#VALUE!</v>
      </c>
      <c r="DR160" t="e">
        <f>'All regions'!F4004+"n/&gt;!(5r"</f>
        <v>#VALUE!</v>
      </c>
      <c r="DS160" t="e">
        <f>'All regions'!G4004+"n/&gt;!(5s"</f>
        <v>#VALUE!</v>
      </c>
      <c r="DT160" t="e">
        <f>'All regions'!H4004+"n/&gt;!(5t"</f>
        <v>#VALUE!</v>
      </c>
      <c r="DU160" t="e">
        <f>'All regions'!I4004+"n/&gt;!(5u"</f>
        <v>#VALUE!</v>
      </c>
      <c r="DV160" t="e">
        <f>'All regions'!J4004+"n/&gt;!(5v"</f>
        <v>#VALUE!</v>
      </c>
      <c r="DW160" t="e">
        <f>'All regions'!A4005+"n/&gt;!(5w"</f>
        <v>#VALUE!</v>
      </c>
      <c r="DX160" t="e">
        <f>'All regions'!B4005+"n/&gt;!(5x"</f>
        <v>#VALUE!</v>
      </c>
      <c r="DY160" t="e">
        <f>'All regions'!C4005+"n/&gt;!(5y"</f>
        <v>#VALUE!</v>
      </c>
      <c r="DZ160" t="e">
        <f>'All regions'!D4005+"n/&gt;!(5z"</f>
        <v>#VALUE!</v>
      </c>
      <c r="EA160" t="e">
        <f>'All regions'!E4005+"n/&gt;!(5{"</f>
        <v>#VALUE!</v>
      </c>
      <c r="EB160" t="e">
        <f>'All regions'!F4005+"n/&gt;!(5|"</f>
        <v>#VALUE!</v>
      </c>
      <c r="EC160" t="e">
        <f>'All regions'!G4005+"n/&gt;!(5}"</f>
        <v>#VALUE!</v>
      </c>
      <c r="ED160" t="e">
        <f>'All regions'!H4005+"n/&gt;!(5~"</f>
        <v>#VALUE!</v>
      </c>
      <c r="EE160" t="e">
        <f>'All regions'!I4005+"n/&gt;!(6#"</f>
        <v>#VALUE!</v>
      </c>
      <c r="EF160" t="e">
        <f>'All regions'!J4005+"n/&gt;!(6$"</f>
        <v>#VALUE!</v>
      </c>
      <c r="EG160" t="e">
        <f>'All regions'!A4006+"n/&gt;!(6%"</f>
        <v>#VALUE!</v>
      </c>
      <c r="EH160" t="e">
        <f>'All regions'!B4006+"n/&gt;!(6&amp;"</f>
        <v>#VALUE!</v>
      </c>
      <c r="EI160" t="e">
        <f>'All regions'!C4006+"n/&gt;!(6'"</f>
        <v>#VALUE!</v>
      </c>
      <c r="EJ160" t="e">
        <f>'All regions'!D4006+"n/&gt;!(6("</f>
        <v>#VALUE!</v>
      </c>
      <c r="EK160" t="e">
        <f>'All regions'!E4006+"n/&gt;!(6)"</f>
        <v>#VALUE!</v>
      </c>
      <c r="EL160" t="e">
        <f>'All regions'!F4006+"n/&gt;!(6."</f>
        <v>#VALUE!</v>
      </c>
      <c r="EM160" t="e">
        <f>'All regions'!G4006+"n/&gt;!(6/"</f>
        <v>#VALUE!</v>
      </c>
      <c r="EN160" t="e">
        <f>'All regions'!H4006+"n/&gt;!(60"</f>
        <v>#VALUE!</v>
      </c>
      <c r="EO160" t="e">
        <f>'All regions'!I4006+"n/&gt;!(61"</f>
        <v>#VALUE!</v>
      </c>
      <c r="EP160" t="e">
        <f>'All regions'!J4006+"n/&gt;!(62"</f>
        <v>#VALUE!</v>
      </c>
      <c r="EQ160" t="e">
        <f>'All regions'!A4007+"n/&gt;!(63"</f>
        <v>#VALUE!</v>
      </c>
      <c r="ER160" t="e">
        <f>'All regions'!B4007+"n/&gt;!(64"</f>
        <v>#VALUE!</v>
      </c>
      <c r="ES160" t="e">
        <f>'All regions'!C4007+"n/&gt;!(65"</f>
        <v>#VALUE!</v>
      </c>
      <c r="ET160" t="e">
        <f>'All regions'!D4007+"n/&gt;!(66"</f>
        <v>#VALUE!</v>
      </c>
      <c r="EU160" t="e">
        <f>'All regions'!E4007+"n/&gt;!(67"</f>
        <v>#VALUE!</v>
      </c>
      <c r="EV160" t="e">
        <f>'All regions'!F4007+"n/&gt;!(68"</f>
        <v>#VALUE!</v>
      </c>
      <c r="EW160" t="e">
        <f>'All regions'!G4007+"n/&gt;!(69"</f>
        <v>#VALUE!</v>
      </c>
      <c r="EX160" t="e">
        <f>'All regions'!H4007+"n/&gt;!(6:"</f>
        <v>#VALUE!</v>
      </c>
      <c r="EY160" t="e">
        <f>'All regions'!I4007+"n/&gt;!(6;"</f>
        <v>#VALUE!</v>
      </c>
      <c r="EZ160" t="e">
        <f>'All regions'!J4007+"n/&gt;!(6&lt;"</f>
        <v>#VALUE!</v>
      </c>
      <c r="FA160" t="e">
        <f>'All regions'!A4008+"n/&gt;!(6="</f>
        <v>#VALUE!</v>
      </c>
      <c r="FB160" t="e">
        <f>'All regions'!B4008+"n/&gt;!(6&gt;"</f>
        <v>#VALUE!</v>
      </c>
      <c r="FC160" t="e">
        <f>'All regions'!C4008+"n/&gt;!(6?"</f>
        <v>#VALUE!</v>
      </c>
      <c r="FD160" t="e">
        <f>'All regions'!D4008+"n/&gt;!(6@"</f>
        <v>#VALUE!</v>
      </c>
      <c r="FE160" t="e">
        <f>'All regions'!E4008+"n/&gt;!(6A"</f>
        <v>#VALUE!</v>
      </c>
      <c r="FF160" t="e">
        <f>'All regions'!F4008+"n/&gt;!(6B"</f>
        <v>#VALUE!</v>
      </c>
      <c r="FG160" t="e">
        <f>'All regions'!G4008+"n/&gt;!(6C"</f>
        <v>#VALUE!</v>
      </c>
      <c r="FH160" t="e">
        <f>'All regions'!H4008+"n/&gt;!(6D"</f>
        <v>#VALUE!</v>
      </c>
      <c r="FI160" t="e">
        <f>'All regions'!I4008+"n/&gt;!(6E"</f>
        <v>#VALUE!</v>
      </c>
      <c r="FJ160" t="e">
        <f>'All regions'!J4008+"n/&gt;!(6F"</f>
        <v>#VALUE!</v>
      </c>
      <c r="FK160" t="e">
        <f>'All regions'!A4009+"n/&gt;!(6G"</f>
        <v>#VALUE!</v>
      </c>
      <c r="FL160" t="e">
        <f>'All regions'!B4009+"n/&gt;!(6H"</f>
        <v>#VALUE!</v>
      </c>
      <c r="FM160" t="e">
        <f>'All regions'!C4009+"n/&gt;!(6I"</f>
        <v>#VALUE!</v>
      </c>
      <c r="FN160" t="e">
        <f>'All regions'!D4009+"n/&gt;!(6J"</f>
        <v>#VALUE!</v>
      </c>
      <c r="FO160" t="e">
        <f>'All regions'!E4009+"n/&gt;!(6K"</f>
        <v>#VALUE!</v>
      </c>
      <c r="FP160" t="e">
        <f>'All regions'!F4009+"n/&gt;!(6L"</f>
        <v>#VALUE!</v>
      </c>
      <c r="FQ160" t="e">
        <f>'All regions'!G4009+"n/&gt;!(6M"</f>
        <v>#VALUE!</v>
      </c>
      <c r="FR160" t="e">
        <f>'All regions'!H4009+"n/&gt;!(6N"</f>
        <v>#VALUE!</v>
      </c>
      <c r="FS160" t="e">
        <f>'All regions'!I4009+"n/&gt;!(6O"</f>
        <v>#VALUE!</v>
      </c>
      <c r="FT160" t="e">
        <f>'All regions'!J4009+"n/&gt;!(6P"</f>
        <v>#VALUE!</v>
      </c>
      <c r="FU160" t="e">
        <f>'All regions'!A4010+"n/&gt;!(6Q"</f>
        <v>#VALUE!</v>
      </c>
      <c r="FV160" t="e">
        <f>'All regions'!B4010+"n/&gt;!(6R"</f>
        <v>#VALUE!</v>
      </c>
      <c r="FW160" t="e">
        <f>'All regions'!C4010+"n/&gt;!(6S"</f>
        <v>#VALUE!</v>
      </c>
      <c r="FX160" t="e">
        <f>'All regions'!D4010+"n/&gt;!(6T"</f>
        <v>#VALUE!</v>
      </c>
      <c r="FY160" t="e">
        <f>'All regions'!E4010+"n/&gt;!(6U"</f>
        <v>#VALUE!</v>
      </c>
      <c r="FZ160" t="e">
        <f>'All regions'!F4010+"n/&gt;!(6V"</f>
        <v>#VALUE!</v>
      </c>
      <c r="GA160" t="e">
        <f>'All regions'!G4010+"n/&gt;!(6W"</f>
        <v>#VALUE!</v>
      </c>
      <c r="GB160" t="e">
        <f>'All regions'!H4010+"n/&gt;!(6X"</f>
        <v>#VALUE!</v>
      </c>
      <c r="GC160" t="e">
        <f>'All regions'!I4010+"n/&gt;!(6Y"</f>
        <v>#VALUE!</v>
      </c>
      <c r="GD160" t="e">
        <f>'All regions'!J4010+"n/&gt;!(6Z"</f>
        <v>#VALUE!</v>
      </c>
      <c r="GE160" t="e">
        <f>'All regions'!A4011+"n/&gt;!(6["</f>
        <v>#VALUE!</v>
      </c>
      <c r="GF160" t="e">
        <f>'All regions'!B4011+"n/&gt;!(6\"</f>
        <v>#VALUE!</v>
      </c>
      <c r="GG160" t="e">
        <f>'All regions'!C4011+"n/&gt;!(6]"</f>
        <v>#VALUE!</v>
      </c>
      <c r="GH160" t="e">
        <f>'All regions'!D4011+"n/&gt;!(6^"</f>
        <v>#VALUE!</v>
      </c>
      <c r="GI160" t="e">
        <f>'All regions'!E4011+"n/&gt;!(6_"</f>
        <v>#VALUE!</v>
      </c>
      <c r="GJ160" t="e">
        <f>'All regions'!F4011+"n/&gt;!(6`"</f>
        <v>#VALUE!</v>
      </c>
      <c r="GK160" t="e">
        <f>'All regions'!G4011+"n/&gt;!(6a"</f>
        <v>#VALUE!</v>
      </c>
      <c r="GL160" t="e">
        <f>'All regions'!H4011+"n/&gt;!(6b"</f>
        <v>#VALUE!</v>
      </c>
      <c r="GM160" t="e">
        <f>'All regions'!I4011+"n/&gt;!(6c"</f>
        <v>#VALUE!</v>
      </c>
      <c r="GN160" t="e">
        <f>'All regions'!J4011+"n/&gt;!(6d"</f>
        <v>#VALUE!</v>
      </c>
      <c r="GO160" t="e">
        <f>'All regions'!A4012+"n/&gt;!(6e"</f>
        <v>#VALUE!</v>
      </c>
      <c r="GP160" t="e">
        <f>'All regions'!B4012+"n/&gt;!(6f"</f>
        <v>#VALUE!</v>
      </c>
      <c r="GQ160" t="e">
        <f>'All regions'!C4012+"n/&gt;!(6g"</f>
        <v>#VALUE!</v>
      </c>
      <c r="GR160" t="e">
        <f>'All regions'!D4012+"n/&gt;!(6h"</f>
        <v>#VALUE!</v>
      </c>
      <c r="GS160" t="e">
        <f>'All regions'!E4012+"n/&gt;!(6i"</f>
        <v>#VALUE!</v>
      </c>
      <c r="GT160" t="e">
        <f>'All regions'!F4012+"n/&gt;!(6j"</f>
        <v>#VALUE!</v>
      </c>
      <c r="GU160" t="e">
        <f>'All regions'!G4012+"n/&gt;!(6k"</f>
        <v>#VALUE!</v>
      </c>
      <c r="GV160" t="e">
        <f>'All regions'!H4012+"n/&gt;!(6l"</f>
        <v>#VALUE!</v>
      </c>
      <c r="GW160" t="e">
        <f>'All regions'!I4012+"n/&gt;!(6m"</f>
        <v>#VALUE!</v>
      </c>
      <c r="GX160" t="e">
        <f>'All regions'!J4012+"n/&gt;!(6n"</f>
        <v>#VALUE!</v>
      </c>
      <c r="GY160" t="e">
        <f>'All regions'!A4013+"n/&gt;!(6o"</f>
        <v>#VALUE!</v>
      </c>
      <c r="GZ160" t="e">
        <f>'All regions'!B4013+"n/&gt;!(6p"</f>
        <v>#VALUE!</v>
      </c>
      <c r="HA160" t="e">
        <f>'All regions'!C4013+"n/&gt;!(6q"</f>
        <v>#VALUE!</v>
      </c>
      <c r="HB160" t="e">
        <f>'All regions'!D4013+"n/&gt;!(6r"</f>
        <v>#VALUE!</v>
      </c>
      <c r="HC160" t="e">
        <f>'All regions'!E4013+"n/&gt;!(6s"</f>
        <v>#VALUE!</v>
      </c>
      <c r="HD160" t="e">
        <f>'All regions'!F4013+"n/&gt;!(6t"</f>
        <v>#VALUE!</v>
      </c>
      <c r="HE160" t="e">
        <f>'All regions'!G4013+"n/&gt;!(6u"</f>
        <v>#VALUE!</v>
      </c>
      <c r="HF160" t="e">
        <f>'All regions'!H4013+"n/&gt;!(6v"</f>
        <v>#VALUE!</v>
      </c>
      <c r="HG160" t="e">
        <f>'All regions'!I4013+"n/&gt;!(6w"</f>
        <v>#VALUE!</v>
      </c>
      <c r="HH160" t="e">
        <f>'All regions'!J4013+"n/&gt;!(6x"</f>
        <v>#VALUE!</v>
      </c>
      <c r="HI160" t="e">
        <f>'All regions'!A4014+"n/&gt;!(6y"</f>
        <v>#VALUE!</v>
      </c>
      <c r="HJ160" t="e">
        <f>'All regions'!B4014+"n/&gt;!(6z"</f>
        <v>#VALUE!</v>
      </c>
      <c r="HK160" t="e">
        <f>'All regions'!C4014+"n/&gt;!(6{"</f>
        <v>#VALUE!</v>
      </c>
      <c r="HL160" t="e">
        <f>'All regions'!D4014+"n/&gt;!(6|"</f>
        <v>#VALUE!</v>
      </c>
      <c r="HM160" t="e">
        <f>'All regions'!E4014+"n/&gt;!(6}"</f>
        <v>#VALUE!</v>
      </c>
      <c r="HN160" t="e">
        <f>'All regions'!F4014+"n/&gt;!(6~"</f>
        <v>#VALUE!</v>
      </c>
      <c r="HO160" t="e">
        <f>'All regions'!G4014+"n/&gt;!(7#"</f>
        <v>#VALUE!</v>
      </c>
      <c r="HP160" t="e">
        <f>'All regions'!H4014+"n/&gt;!(7$"</f>
        <v>#VALUE!</v>
      </c>
      <c r="HQ160" t="e">
        <f>'All regions'!I4014+"n/&gt;!(7%"</f>
        <v>#VALUE!</v>
      </c>
      <c r="HR160" t="e">
        <f>'All regions'!J4014+"n/&gt;!(7&amp;"</f>
        <v>#VALUE!</v>
      </c>
      <c r="HS160" t="e">
        <f>'All regions'!A4015+"n/&gt;!(7'"</f>
        <v>#VALUE!</v>
      </c>
      <c r="HT160" t="e">
        <f>'All regions'!B4015+"n/&gt;!(7("</f>
        <v>#VALUE!</v>
      </c>
      <c r="HU160" t="e">
        <f>'All regions'!C4015+"n/&gt;!(7)"</f>
        <v>#VALUE!</v>
      </c>
      <c r="HV160" t="e">
        <f>'All regions'!D4015+"n/&gt;!(7."</f>
        <v>#VALUE!</v>
      </c>
      <c r="HW160" t="e">
        <f>'All regions'!E4015+"n/&gt;!(7/"</f>
        <v>#VALUE!</v>
      </c>
      <c r="HX160" t="e">
        <f>'All regions'!F4015+"n/&gt;!(70"</f>
        <v>#VALUE!</v>
      </c>
      <c r="HY160" t="e">
        <f>'All regions'!G4015+"n/&gt;!(71"</f>
        <v>#VALUE!</v>
      </c>
      <c r="HZ160" t="e">
        <f>'All regions'!H4015+"n/&gt;!(72"</f>
        <v>#VALUE!</v>
      </c>
      <c r="IA160" t="e">
        <f>'All regions'!I4015+"n/&gt;!(73"</f>
        <v>#VALUE!</v>
      </c>
      <c r="IB160" t="e">
        <f>'All regions'!J4015+"n/&gt;!(74"</f>
        <v>#VALUE!</v>
      </c>
      <c r="IC160" t="e">
        <f>'All regions'!A4016+"n/&gt;!(75"</f>
        <v>#VALUE!</v>
      </c>
      <c r="ID160" t="e">
        <f>'All regions'!B4016+"n/&gt;!(76"</f>
        <v>#VALUE!</v>
      </c>
      <c r="IE160" t="e">
        <f>'All regions'!C4016+"n/&gt;!(77"</f>
        <v>#VALUE!</v>
      </c>
      <c r="IF160" t="e">
        <f>'All regions'!D4016+"n/&gt;!(78"</f>
        <v>#VALUE!</v>
      </c>
      <c r="IG160" t="e">
        <f>'All regions'!E4016+"n/&gt;!(79"</f>
        <v>#VALUE!</v>
      </c>
      <c r="IH160" t="e">
        <f>'All regions'!F4016+"n/&gt;!(7:"</f>
        <v>#VALUE!</v>
      </c>
      <c r="II160" t="e">
        <f>'All regions'!G4016+"n/&gt;!(7;"</f>
        <v>#VALUE!</v>
      </c>
      <c r="IJ160" t="e">
        <f>'All regions'!H4016+"n/&gt;!(7&lt;"</f>
        <v>#VALUE!</v>
      </c>
      <c r="IK160" t="e">
        <f>'All regions'!I4016+"n/&gt;!(7="</f>
        <v>#VALUE!</v>
      </c>
      <c r="IL160" t="e">
        <f>'All regions'!J4016+"n/&gt;!(7&gt;"</f>
        <v>#VALUE!</v>
      </c>
      <c r="IM160" t="e">
        <f>'All regions'!A4017+"n/&gt;!(7?"</f>
        <v>#VALUE!</v>
      </c>
      <c r="IN160" t="e">
        <f>'All regions'!B4017+"n/&gt;!(7@"</f>
        <v>#VALUE!</v>
      </c>
      <c r="IO160" t="e">
        <f>'All regions'!C4017+"n/&gt;!(7A"</f>
        <v>#VALUE!</v>
      </c>
      <c r="IP160" t="e">
        <f>'All regions'!D4017+"n/&gt;!(7B"</f>
        <v>#VALUE!</v>
      </c>
      <c r="IQ160" t="e">
        <f>'All regions'!E4017+"n/&gt;!(7C"</f>
        <v>#VALUE!</v>
      </c>
      <c r="IR160" t="e">
        <f>'All regions'!F4017+"n/&gt;!(7D"</f>
        <v>#VALUE!</v>
      </c>
      <c r="IS160" t="e">
        <f>'All regions'!G4017+"n/&gt;!(7E"</f>
        <v>#VALUE!</v>
      </c>
      <c r="IT160" t="e">
        <f>'All regions'!H4017+"n/&gt;!(7F"</f>
        <v>#VALUE!</v>
      </c>
      <c r="IU160" t="e">
        <f>'All regions'!I4017+"n/&gt;!(7G"</f>
        <v>#VALUE!</v>
      </c>
      <c r="IV160" t="e">
        <f>'All regions'!J4017+"n/&gt;!(7H"</f>
        <v>#VALUE!</v>
      </c>
    </row>
    <row r="161" spans="6:256" x14ac:dyDescent="0.35">
      <c r="F161" t="e">
        <f>'All regions'!A4018+"n/&gt;!(7I"</f>
        <v>#VALUE!</v>
      </c>
      <c r="G161" t="e">
        <f>'All regions'!B4018+"n/&gt;!(7J"</f>
        <v>#VALUE!</v>
      </c>
      <c r="H161" t="e">
        <f>'All regions'!C4018+"n/&gt;!(7K"</f>
        <v>#VALUE!</v>
      </c>
      <c r="I161" t="e">
        <f>'All regions'!D4018+"n/&gt;!(7L"</f>
        <v>#VALUE!</v>
      </c>
      <c r="J161" t="e">
        <f>'All regions'!E4018+"n/&gt;!(7M"</f>
        <v>#VALUE!</v>
      </c>
      <c r="K161" t="e">
        <f>'All regions'!F4018+"n/&gt;!(7N"</f>
        <v>#VALUE!</v>
      </c>
      <c r="L161" t="e">
        <f>'All regions'!G4018+"n/&gt;!(7O"</f>
        <v>#VALUE!</v>
      </c>
      <c r="M161" t="e">
        <f>'All regions'!H4018+"n/&gt;!(7P"</f>
        <v>#VALUE!</v>
      </c>
      <c r="N161" t="e">
        <f>'All regions'!I4018+"n/&gt;!(7Q"</f>
        <v>#VALUE!</v>
      </c>
      <c r="O161" t="e">
        <f>'All regions'!J4018+"n/&gt;!(7R"</f>
        <v>#VALUE!</v>
      </c>
      <c r="P161" t="e">
        <f>'All regions'!A4019+"n/&gt;!(7S"</f>
        <v>#VALUE!</v>
      </c>
      <c r="Q161" t="e">
        <f>'All regions'!B4019+"n/&gt;!(7T"</f>
        <v>#VALUE!</v>
      </c>
      <c r="R161" t="e">
        <f>'All regions'!C4019+"n/&gt;!(7U"</f>
        <v>#VALUE!</v>
      </c>
      <c r="S161" t="e">
        <f>'All regions'!D4019+"n/&gt;!(7V"</f>
        <v>#VALUE!</v>
      </c>
      <c r="T161" t="e">
        <f>'All regions'!E4019+"n/&gt;!(7W"</f>
        <v>#VALUE!</v>
      </c>
      <c r="U161" t="e">
        <f>'All regions'!F4019+"n/&gt;!(7X"</f>
        <v>#VALUE!</v>
      </c>
      <c r="V161" t="e">
        <f>'All regions'!G4019+"n/&gt;!(7Y"</f>
        <v>#VALUE!</v>
      </c>
      <c r="W161" t="e">
        <f>'All regions'!H4019+"n/&gt;!(7Z"</f>
        <v>#VALUE!</v>
      </c>
      <c r="X161" t="e">
        <f>'All regions'!I4019+"n/&gt;!(7["</f>
        <v>#VALUE!</v>
      </c>
      <c r="Y161" t="e">
        <f>'All regions'!J4019+"n/&gt;!(7\"</f>
        <v>#VALUE!</v>
      </c>
      <c r="Z161" t="e">
        <f>'All regions'!A4020+"n/&gt;!(7]"</f>
        <v>#VALUE!</v>
      </c>
      <c r="AA161" t="e">
        <f>'All regions'!B4020+"n/&gt;!(7^"</f>
        <v>#VALUE!</v>
      </c>
      <c r="AB161" t="e">
        <f>'All regions'!C4020+"n/&gt;!(7_"</f>
        <v>#VALUE!</v>
      </c>
      <c r="AC161" t="e">
        <f>'All regions'!D4020+"n/&gt;!(7`"</f>
        <v>#VALUE!</v>
      </c>
      <c r="AD161" t="e">
        <f>'All regions'!E4020+"n/&gt;!(7a"</f>
        <v>#VALUE!</v>
      </c>
      <c r="AE161" t="e">
        <f>'All regions'!F4020+"n/&gt;!(7b"</f>
        <v>#VALUE!</v>
      </c>
      <c r="AF161" t="e">
        <f>'All regions'!G4020+"n/&gt;!(7c"</f>
        <v>#VALUE!</v>
      </c>
      <c r="AG161" t="e">
        <f>'All regions'!H4020+"n/&gt;!(7d"</f>
        <v>#VALUE!</v>
      </c>
      <c r="AH161" t="e">
        <f>'All regions'!I4020+"n/&gt;!(7e"</f>
        <v>#VALUE!</v>
      </c>
      <c r="AI161" t="e">
        <f>'All regions'!J4020+"n/&gt;!(7f"</f>
        <v>#VALUE!</v>
      </c>
      <c r="AJ161" t="e">
        <f>'All regions'!A4021+"n/&gt;!(7g"</f>
        <v>#VALUE!</v>
      </c>
      <c r="AK161" t="e">
        <f>'All regions'!B4021+"n/&gt;!(7h"</f>
        <v>#VALUE!</v>
      </c>
      <c r="AL161" t="e">
        <f>'All regions'!C4021+"n/&gt;!(7i"</f>
        <v>#VALUE!</v>
      </c>
      <c r="AM161" t="e">
        <f>'All regions'!D4021+"n/&gt;!(7j"</f>
        <v>#VALUE!</v>
      </c>
      <c r="AN161" t="e">
        <f>'All regions'!E4021+"n/&gt;!(7k"</f>
        <v>#VALUE!</v>
      </c>
      <c r="AO161" t="e">
        <f>'All regions'!F4021+"n/&gt;!(7l"</f>
        <v>#VALUE!</v>
      </c>
      <c r="AP161" t="e">
        <f>'All regions'!G4021+"n/&gt;!(7m"</f>
        <v>#VALUE!</v>
      </c>
      <c r="AQ161" t="e">
        <f>'All regions'!H4021+"n/&gt;!(7n"</f>
        <v>#VALUE!</v>
      </c>
      <c r="AR161" t="e">
        <f>'All regions'!I4021+"n/&gt;!(7o"</f>
        <v>#VALUE!</v>
      </c>
      <c r="AS161" t="e">
        <f>'All regions'!J4021+"n/&gt;!(7p"</f>
        <v>#VALUE!</v>
      </c>
      <c r="AT161" t="e">
        <f>'All regions'!A4022+"n/&gt;!(7q"</f>
        <v>#VALUE!</v>
      </c>
      <c r="AU161" t="e">
        <f>'All regions'!B4022+"n/&gt;!(7r"</f>
        <v>#VALUE!</v>
      </c>
      <c r="AV161" t="e">
        <f>'All regions'!C4022+"n/&gt;!(7s"</f>
        <v>#VALUE!</v>
      </c>
      <c r="AW161" t="e">
        <f>'All regions'!D4022+"n/&gt;!(7t"</f>
        <v>#VALUE!</v>
      </c>
      <c r="AX161" t="e">
        <f>'All regions'!E4022+"n/&gt;!(7u"</f>
        <v>#VALUE!</v>
      </c>
      <c r="AY161" t="e">
        <f>'All regions'!F4022+"n/&gt;!(7v"</f>
        <v>#VALUE!</v>
      </c>
      <c r="AZ161" t="e">
        <f>'All regions'!G4022+"n/&gt;!(7w"</f>
        <v>#VALUE!</v>
      </c>
      <c r="BA161" t="e">
        <f>'All regions'!H4022+"n/&gt;!(7x"</f>
        <v>#VALUE!</v>
      </c>
      <c r="BB161" t="e">
        <f>'All regions'!I4022+"n/&gt;!(7y"</f>
        <v>#VALUE!</v>
      </c>
      <c r="BC161" t="e">
        <f>'All regions'!J4022+"n/&gt;!(7z"</f>
        <v>#VALUE!</v>
      </c>
      <c r="BD161" t="e">
        <f>'All regions'!A4023+"n/&gt;!(7{"</f>
        <v>#VALUE!</v>
      </c>
      <c r="BE161" t="e">
        <f>'All regions'!B4023+"n/&gt;!(7|"</f>
        <v>#VALUE!</v>
      </c>
      <c r="BF161" t="e">
        <f>'All regions'!C4023+"n/&gt;!(7}"</f>
        <v>#VALUE!</v>
      </c>
      <c r="BG161" t="e">
        <f>'All regions'!D4023+"n/&gt;!(7~"</f>
        <v>#VALUE!</v>
      </c>
      <c r="BH161" t="e">
        <f>'All regions'!E4023+"n/&gt;!(8#"</f>
        <v>#VALUE!</v>
      </c>
      <c r="BI161" t="e">
        <f>'All regions'!F4023+"n/&gt;!(8$"</f>
        <v>#VALUE!</v>
      </c>
      <c r="BJ161" t="e">
        <f>'All regions'!G4023+"n/&gt;!(8%"</f>
        <v>#VALUE!</v>
      </c>
      <c r="BK161" t="e">
        <f>'All regions'!H4023+"n/&gt;!(8&amp;"</f>
        <v>#VALUE!</v>
      </c>
      <c r="BL161" t="e">
        <f>'All regions'!I4023+"n/&gt;!(8'"</f>
        <v>#VALUE!</v>
      </c>
      <c r="BM161" t="e">
        <f>'All regions'!J4023+"n/&gt;!(8("</f>
        <v>#VALUE!</v>
      </c>
      <c r="BN161" t="e">
        <f>'All regions'!A4024+"n/&gt;!(8)"</f>
        <v>#VALUE!</v>
      </c>
      <c r="BO161" t="e">
        <f>'All regions'!B4024+"n/&gt;!(8."</f>
        <v>#VALUE!</v>
      </c>
      <c r="BP161" t="e">
        <f>'All regions'!C4024+"n/&gt;!(8/"</f>
        <v>#VALUE!</v>
      </c>
      <c r="BQ161" t="e">
        <f>'All regions'!D4024+"n/&gt;!(80"</f>
        <v>#VALUE!</v>
      </c>
      <c r="BR161" t="e">
        <f>'All regions'!E4024+"n/&gt;!(81"</f>
        <v>#VALUE!</v>
      </c>
      <c r="BS161" t="e">
        <f>'All regions'!F4024+"n/&gt;!(82"</f>
        <v>#VALUE!</v>
      </c>
      <c r="BT161" t="e">
        <f>'All regions'!G4024+"n/&gt;!(83"</f>
        <v>#VALUE!</v>
      </c>
      <c r="BU161" t="e">
        <f>'All regions'!H4024+"n/&gt;!(84"</f>
        <v>#VALUE!</v>
      </c>
      <c r="BV161" t="e">
        <f>'All regions'!I4024+"n/&gt;!(85"</f>
        <v>#VALUE!</v>
      </c>
      <c r="BW161" t="e">
        <f>'All regions'!J4024+"n/&gt;!(86"</f>
        <v>#VALUE!</v>
      </c>
      <c r="BX161" t="e">
        <f>'All regions'!A4025+"n/&gt;!(87"</f>
        <v>#VALUE!</v>
      </c>
      <c r="BY161" t="e">
        <f>'All regions'!B4025+"n/&gt;!(88"</f>
        <v>#VALUE!</v>
      </c>
      <c r="BZ161" t="e">
        <f>'All regions'!C4025+"n/&gt;!(89"</f>
        <v>#VALUE!</v>
      </c>
      <c r="CA161" t="e">
        <f>'All regions'!D4025+"n/&gt;!(8:"</f>
        <v>#VALUE!</v>
      </c>
      <c r="CB161" t="e">
        <f>'All regions'!E4025+"n/&gt;!(8;"</f>
        <v>#VALUE!</v>
      </c>
      <c r="CC161" t="e">
        <f>'All regions'!F4025+"n/&gt;!(8&lt;"</f>
        <v>#VALUE!</v>
      </c>
      <c r="CD161" t="e">
        <f>'All regions'!G4025+"n/&gt;!(8="</f>
        <v>#VALUE!</v>
      </c>
      <c r="CE161" t="e">
        <f>'All regions'!H4025+"n/&gt;!(8&gt;"</f>
        <v>#VALUE!</v>
      </c>
      <c r="CF161" t="e">
        <f>'All regions'!I4025+"n/&gt;!(8?"</f>
        <v>#VALUE!</v>
      </c>
      <c r="CG161" t="e">
        <f>'All regions'!J4025+"n/&gt;!(8@"</f>
        <v>#VALUE!</v>
      </c>
      <c r="CH161" t="e">
        <f>'All regions'!A4026+"n/&gt;!(8A"</f>
        <v>#VALUE!</v>
      </c>
      <c r="CI161" t="e">
        <f>'All regions'!B4026+"n/&gt;!(8B"</f>
        <v>#VALUE!</v>
      </c>
      <c r="CJ161" t="e">
        <f>'All regions'!C4026+"n/&gt;!(8C"</f>
        <v>#VALUE!</v>
      </c>
      <c r="CK161" t="e">
        <f>'All regions'!D4026+"n/&gt;!(8D"</f>
        <v>#VALUE!</v>
      </c>
      <c r="CL161" t="e">
        <f>'All regions'!E4026+"n/&gt;!(8E"</f>
        <v>#VALUE!</v>
      </c>
      <c r="CM161" t="e">
        <f>'All regions'!F4026+"n/&gt;!(8F"</f>
        <v>#VALUE!</v>
      </c>
      <c r="CN161" t="e">
        <f>'All regions'!G4026+"n/&gt;!(8G"</f>
        <v>#VALUE!</v>
      </c>
      <c r="CO161" t="e">
        <f>'All regions'!H4026+"n/&gt;!(8H"</f>
        <v>#VALUE!</v>
      </c>
      <c r="CP161" t="e">
        <f>'All regions'!I4026+"n/&gt;!(8I"</f>
        <v>#VALUE!</v>
      </c>
      <c r="CQ161" t="e">
        <f>'All regions'!J4026+"n/&gt;!(8J"</f>
        <v>#VALUE!</v>
      </c>
      <c r="CR161" t="e">
        <f>'All regions'!A4027+"n/&gt;!(8K"</f>
        <v>#VALUE!</v>
      </c>
      <c r="CS161" t="e">
        <f>'All regions'!B4027+"n/&gt;!(8L"</f>
        <v>#VALUE!</v>
      </c>
      <c r="CT161" t="e">
        <f>'All regions'!C4027+"n/&gt;!(8M"</f>
        <v>#VALUE!</v>
      </c>
      <c r="CU161" t="e">
        <f>'All regions'!D4027+"n/&gt;!(8N"</f>
        <v>#VALUE!</v>
      </c>
      <c r="CV161" t="e">
        <f>'All regions'!E4027+"n/&gt;!(8O"</f>
        <v>#VALUE!</v>
      </c>
      <c r="CW161" t="e">
        <f>'All regions'!F4027+"n/&gt;!(8P"</f>
        <v>#VALUE!</v>
      </c>
      <c r="CX161" t="e">
        <f>'All regions'!G4027+"n/&gt;!(8Q"</f>
        <v>#VALUE!</v>
      </c>
      <c r="CY161" t="e">
        <f>'All regions'!H4027+"n/&gt;!(8R"</f>
        <v>#VALUE!</v>
      </c>
      <c r="CZ161" t="e">
        <f>'All regions'!I4027+"n/&gt;!(8S"</f>
        <v>#VALUE!</v>
      </c>
      <c r="DA161" t="e">
        <f>'All regions'!J4027+"n/&gt;!(8T"</f>
        <v>#VALUE!</v>
      </c>
      <c r="DB161" t="e">
        <f>'All regions'!A4028+"n/&gt;!(8U"</f>
        <v>#VALUE!</v>
      </c>
      <c r="DC161" t="e">
        <f>'All regions'!B4028+"n/&gt;!(8V"</f>
        <v>#VALUE!</v>
      </c>
      <c r="DD161" t="e">
        <f>'All regions'!C4028+"n/&gt;!(8W"</f>
        <v>#VALUE!</v>
      </c>
      <c r="DE161" t="e">
        <f>'All regions'!D4028+"n/&gt;!(8X"</f>
        <v>#VALUE!</v>
      </c>
      <c r="DF161" t="e">
        <f>'All regions'!E4028+"n/&gt;!(8Y"</f>
        <v>#VALUE!</v>
      </c>
      <c r="DG161" t="e">
        <f>'All regions'!F4028+"n/&gt;!(8Z"</f>
        <v>#VALUE!</v>
      </c>
      <c r="DH161" t="e">
        <f>'All regions'!G4028+"n/&gt;!(8["</f>
        <v>#VALUE!</v>
      </c>
      <c r="DI161" t="e">
        <f>'All regions'!H4028+"n/&gt;!(8\"</f>
        <v>#VALUE!</v>
      </c>
      <c r="DJ161" t="e">
        <f>'All regions'!I4028+"n/&gt;!(8]"</f>
        <v>#VALUE!</v>
      </c>
      <c r="DK161" t="e">
        <f>'All regions'!J4028+"n/&gt;!(8^"</f>
        <v>#VALUE!</v>
      </c>
      <c r="DL161" t="e">
        <f>'All regions'!A4029+"n/&gt;!(8_"</f>
        <v>#VALUE!</v>
      </c>
      <c r="DM161" t="e">
        <f>'All regions'!B4029+"n/&gt;!(8`"</f>
        <v>#VALUE!</v>
      </c>
      <c r="DN161" t="e">
        <f>'All regions'!C4029+"n/&gt;!(8a"</f>
        <v>#VALUE!</v>
      </c>
      <c r="DO161" t="e">
        <f>'All regions'!D4029+"n/&gt;!(8b"</f>
        <v>#VALUE!</v>
      </c>
      <c r="DP161" t="e">
        <f>'All regions'!E4029+"n/&gt;!(8c"</f>
        <v>#VALUE!</v>
      </c>
      <c r="DQ161" t="e">
        <f>'All regions'!F4029+"n/&gt;!(8d"</f>
        <v>#VALUE!</v>
      </c>
      <c r="DR161" t="e">
        <f>'All regions'!G4029+"n/&gt;!(8e"</f>
        <v>#VALUE!</v>
      </c>
      <c r="DS161" t="e">
        <f>'All regions'!H4029+"n/&gt;!(8f"</f>
        <v>#VALUE!</v>
      </c>
      <c r="DT161" t="e">
        <f>'All regions'!I4029+"n/&gt;!(8g"</f>
        <v>#VALUE!</v>
      </c>
      <c r="DU161" t="e">
        <f>'All regions'!J4029+"n/&gt;!(8h"</f>
        <v>#VALUE!</v>
      </c>
      <c r="DV161" t="e">
        <f>'All regions'!A4030+"n/&gt;!(8i"</f>
        <v>#VALUE!</v>
      </c>
      <c r="DW161" t="e">
        <f>'All regions'!B4030+"n/&gt;!(8j"</f>
        <v>#VALUE!</v>
      </c>
      <c r="DX161" t="e">
        <f>'All regions'!C4030+"n/&gt;!(8k"</f>
        <v>#VALUE!</v>
      </c>
      <c r="DY161" t="e">
        <f>'All regions'!D4030+"n/&gt;!(8l"</f>
        <v>#VALUE!</v>
      </c>
      <c r="DZ161" t="e">
        <f>'All regions'!E4030+"n/&gt;!(8m"</f>
        <v>#VALUE!</v>
      </c>
      <c r="EA161" t="e">
        <f>'All regions'!F4030+"n/&gt;!(8n"</f>
        <v>#VALUE!</v>
      </c>
      <c r="EB161" t="e">
        <f>'All regions'!G4030+"n/&gt;!(8o"</f>
        <v>#VALUE!</v>
      </c>
      <c r="EC161" t="e">
        <f>'All regions'!H4030+"n/&gt;!(8p"</f>
        <v>#VALUE!</v>
      </c>
      <c r="ED161" t="e">
        <f>'All regions'!I4030+"n/&gt;!(8q"</f>
        <v>#VALUE!</v>
      </c>
      <c r="EE161" t="e">
        <f>'All regions'!J4030+"n/&gt;!(8r"</f>
        <v>#VALUE!</v>
      </c>
      <c r="EF161" t="e">
        <f>'All regions'!A4031+"n/&gt;!(8s"</f>
        <v>#VALUE!</v>
      </c>
      <c r="EG161" t="e">
        <f>'All regions'!B4031+"n/&gt;!(8t"</f>
        <v>#VALUE!</v>
      </c>
      <c r="EH161" t="e">
        <f>'All regions'!C4031+"n/&gt;!(8u"</f>
        <v>#VALUE!</v>
      </c>
      <c r="EI161" t="e">
        <f>'All regions'!D4031+"n/&gt;!(8v"</f>
        <v>#VALUE!</v>
      </c>
      <c r="EJ161" t="e">
        <f>'All regions'!E4031+"n/&gt;!(8w"</f>
        <v>#VALUE!</v>
      </c>
      <c r="EK161" t="e">
        <f>'All regions'!F4031+"n/&gt;!(8x"</f>
        <v>#VALUE!</v>
      </c>
      <c r="EL161" t="e">
        <f>'All regions'!G4031+"n/&gt;!(8y"</f>
        <v>#VALUE!</v>
      </c>
      <c r="EM161" t="e">
        <f>'All regions'!H4031+"n/&gt;!(8z"</f>
        <v>#VALUE!</v>
      </c>
      <c r="EN161" t="e">
        <f>'All regions'!I4031+"n/&gt;!(8{"</f>
        <v>#VALUE!</v>
      </c>
      <c r="EO161" t="e">
        <f>'All regions'!J4031+"n/&gt;!(8|"</f>
        <v>#VALUE!</v>
      </c>
      <c r="EP161" t="e">
        <f>'All regions'!A4032+"n/&gt;!(8}"</f>
        <v>#VALUE!</v>
      </c>
      <c r="EQ161" t="e">
        <f>'All regions'!B4032+"n/&gt;!(8~"</f>
        <v>#VALUE!</v>
      </c>
      <c r="ER161" t="e">
        <f>'All regions'!C4032+"n/&gt;!(9#"</f>
        <v>#VALUE!</v>
      </c>
      <c r="ES161" t="e">
        <f>'All regions'!D4032+"n/&gt;!(9$"</f>
        <v>#VALUE!</v>
      </c>
      <c r="ET161" t="e">
        <f>'All regions'!E4032+"n/&gt;!(9%"</f>
        <v>#VALUE!</v>
      </c>
      <c r="EU161" t="e">
        <f>'All regions'!F4032+"n/&gt;!(9&amp;"</f>
        <v>#VALUE!</v>
      </c>
      <c r="EV161" t="e">
        <f>'All regions'!G4032+"n/&gt;!(9'"</f>
        <v>#VALUE!</v>
      </c>
      <c r="EW161" t="e">
        <f>'All regions'!H4032+"n/&gt;!(9("</f>
        <v>#VALUE!</v>
      </c>
      <c r="EX161" t="e">
        <f>'All regions'!I4032+"n/&gt;!(9)"</f>
        <v>#VALUE!</v>
      </c>
      <c r="EY161" t="e">
        <f>'All regions'!J4032+"n/&gt;!(9."</f>
        <v>#VALUE!</v>
      </c>
      <c r="EZ161" t="e">
        <f>'All regions'!A4033+"n/&gt;!(9/"</f>
        <v>#VALUE!</v>
      </c>
      <c r="FA161" t="e">
        <f>'All regions'!B4033+"n/&gt;!(90"</f>
        <v>#VALUE!</v>
      </c>
      <c r="FB161" t="e">
        <f>'All regions'!C4033+"n/&gt;!(91"</f>
        <v>#VALUE!</v>
      </c>
      <c r="FC161" t="e">
        <f>'All regions'!D4033+"n/&gt;!(92"</f>
        <v>#VALUE!</v>
      </c>
      <c r="FD161" t="e">
        <f>'All regions'!E4033+"n/&gt;!(93"</f>
        <v>#VALUE!</v>
      </c>
      <c r="FE161" t="e">
        <f>'All regions'!F4033+"n/&gt;!(94"</f>
        <v>#VALUE!</v>
      </c>
      <c r="FF161" t="e">
        <f>'All regions'!G4033+"n/&gt;!(95"</f>
        <v>#VALUE!</v>
      </c>
      <c r="FG161" t="e">
        <f>'All regions'!H4033+"n/&gt;!(96"</f>
        <v>#VALUE!</v>
      </c>
      <c r="FH161" t="e">
        <f>'All regions'!I4033+"n/&gt;!(97"</f>
        <v>#VALUE!</v>
      </c>
      <c r="FI161" t="e">
        <f>'All regions'!J4033+"n/&gt;!(98"</f>
        <v>#VALUE!</v>
      </c>
      <c r="FJ161" t="e">
        <f>'All regions'!A4034+"n/&gt;!(99"</f>
        <v>#VALUE!</v>
      </c>
      <c r="FK161" t="e">
        <f>'All regions'!B4034+"n/&gt;!(9:"</f>
        <v>#VALUE!</v>
      </c>
      <c r="FL161" t="e">
        <f>'All regions'!C4034+"n/&gt;!(9;"</f>
        <v>#VALUE!</v>
      </c>
      <c r="FM161" t="e">
        <f>'All regions'!D4034+"n/&gt;!(9&lt;"</f>
        <v>#VALUE!</v>
      </c>
      <c r="FN161" t="e">
        <f>'All regions'!E4034+"n/&gt;!(9="</f>
        <v>#VALUE!</v>
      </c>
      <c r="FO161" t="e">
        <f>'All regions'!F4034+"n/&gt;!(9&gt;"</f>
        <v>#VALUE!</v>
      </c>
      <c r="FP161" t="e">
        <f>'All regions'!G4034+"n/&gt;!(9?"</f>
        <v>#VALUE!</v>
      </c>
      <c r="FQ161" t="e">
        <f>'All regions'!H4034+"n/&gt;!(9@"</f>
        <v>#VALUE!</v>
      </c>
      <c r="FR161" t="e">
        <f>'All regions'!I4034+"n/&gt;!(9A"</f>
        <v>#VALUE!</v>
      </c>
      <c r="FS161" t="e">
        <f>'All regions'!J4034+"n/&gt;!(9B"</f>
        <v>#VALUE!</v>
      </c>
      <c r="FT161" t="e">
        <f>'All regions'!A4035+"n/&gt;!(9C"</f>
        <v>#VALUE!</v>
      </c>
      <c r="FU161" t="e">
        <f>'All regions'!B4035+"n/&gt;!(9D"</f>
        <v>#VALUE!</v>
      </c>
      <c r="FV161" t="e">
        <f>'All regions'!C4035+"n/&gt;!(9E"</f>
        <v>#VALUE!</v>
      </c>
      <c r="FW161" t="e">
        <f>'All regions'!D4035+"n/&gt;!(9F"</f>
        <v>#VALUE!</v>
      </c>
      <c r="FX161" t="e">
        <f>'All regions'!E4035+"n/&gt;!(9G"</f>
        <v>#VALUE!</v>
      </c>
      <c r="FY161" t="e">
        <f>'All regions'!F4035+"n/&gt;!(9H"</f>
        <v>#VALUE!</v>
      </c>
      <c r="FZ161" t="e">
        <f>'All regions'!G4035+"n/&gt;!(9I"</f>
        <v>#VALUE!</v>
      </c>
      <c r="GA161" t="e">
        <f>'All regions'!H4035+"n/&gt;!(9J"</f>
        <v>#VALUE!</v>
      </c>
      <c r="GB161" t="e">
        <f>'All regions'!I4035+"n/&gt;!(9K"</f>
        <v>#VALUE!</v>
      </c>
      <c r="GC161" t="e">
        <f>'All regions'!J4035+"n/&gt;!(9L"</f>
        <v>#VALUE!</v>
      </c>
      <c r="GD161" t="e">
        <f>'All regions'!A4036+"n/&gt;!(9M"</f>
        <v>#VALUE!</v>
      </c>
      <c r="GE161" t="e">
        <f>'All regions'!B4036+"n/&gt;!(9N"</f>
        <v>#VALUE!</v>
      </c>
      <c r="GF161" t="e">
        <f>'All regions'!C4036+"n/&gt;!(9O"</f>
        <v>#VALUE!</v>
      </c>
      <c r="GG161" t="e">
        <f>'All regions'!D4036+"n/&gt;!(9P"</f>
        <v>#VALUE!</v>
      </c>
      <c r="GH161" t="e">
        <f>'All regions'!E4036+"n/&gt;!(9Q"</f>
        <v>#VALUE!</v>
      </c>
      <c r="GI161" t="e">
        <f>'All regions'!F4036+"n/&gt;!(9R"</f>
        <v>#VALUE!</v>
      </c>
      <c r="GJ161" t="e">
        <f>'All regions'!G4036+"n/&gt;!(9S"</f>
        <v>#VALUE!</v>
      </c>
      <c r="GK161" t="e">
        <f>'All regions'!H4036+"n/&gt;!(9T"</f>
        <v>#VALUE!</v>
      </c>
      <c r="GL161" t="e">
        <f>'All regions'!I4036+"n/&gt;!(9U"</f>
        <v>#VALUE!</v>
      </c>
      <c r="GM161" t="e">
        <f>'All regions'!J4036+"n/&gt;!(9V"</f>
        <v>#VALUE!</v>
      </c>
      <c r="GN161" t="e">
        <f>'All regions'!A4037+"n/&gt;!(9W"</f>
        <v>#VALUE!</v>
      </c>
      <c r="GO161" t="e">
        <f>'All regions'!B4037+"n/&gt;!(9X"</f>
        <v>#VALUE!</v>
      </c>
      <c r="GP161" t="e">
        <f>'All regions'!C4037+"n/&gt;!(9Y"</f>
        <v>#VALUE!</v>
      </c>
      <c r="GQ161" t="e">
        <f>'All regions'!D4037+"n/&gt;!(9Z"</f>
        <v>#VALUE!</v>
      </c>
      <c r="GR161" t="e">
        <f>'All regions'!E4037+"n/&gt;!(9["</f>
        <v>#VALUE!</v>
      </c>
      <c r="GS161" t="e">
        <f>'All regions'!F4037+"n/&gt;!(9\"</f>
        <v>#VALUE!</v>
      </c>
      <c r="GT161" t="e">
        <f>'All regions'!G4037+"n/&gt;!(9]"</f>
        <v>#VALUE!</v>
      </c>
      <c r="GU161" t="e">
        <f>'All regions'!H4037+"n/&gt;!(9^"</f>
        <v>#VALUE!</v>
      </c>
      <c r="GV161" t="e">
        <f>'All regions'!I4037+"n/&gt;!(9_"</f>
        <v>#VALUE!</v>
      </c>
      <c r="GW161" t="e">
        <f>'All regions'!J4037+"n/&gt;!(9`"</f>
        <v>#VALUE!</v>
      </c>
      <c r="GX161" t="e">
        <f>'All regions'!A4038+"n/&gt;!(9a"</f>
        <v>#VALUE!</v>
      </c>
      <c r="GY161" t="e">
        <f>'All regions'!B4038+"n/&gt;!(9b"</f>
        <v>#VALUE!</v>
      </c>
      <c r="GZ161" t="e">
        <f>'All regions'!C4038+"n/&gt;!(9c"</f>
        <v>#VALUE!</v>
      </c>
      <c r="HA161" t="e">
        <f>'All regions'!D4038+"n/&gt;!(9d"</f>
        <v>#VALUE!</v>
      </c>
      <c r="HB161" t="e">
        <f>'All regions'!E4038+"n/&gt;!(9e"</f>
        <v>#VALUE!</v>
      </c>
      <c r="HC161" t="e">
        <f>'All regions'!F4038+"n/&gt;!(9f"</f>
        <v>#VALUE!</v>
      </c>
      <c r="HD161" t="e">
        <f>'All regions'!G4038+"n/&gt;!(9g"</f>
        <v>#VALUE!</v>
      </c>
      <c r="HE161" t="e">
        <f>'All regions'!H4038+"n/&gt;!(9h"</f>
        <v>#VALUE!</v>
      </c>
      <c r="HF161" t="e">
        <f>'All regions'!I4038+"n/&gt;!(9i"</f>
        <v>#VALUE!</v>
      </c>
      <c r="HG161" t="e">
        <f>'All regions'!J4038+"n/&gt;!(9j"</f>
        <v>#VALUE!</v>
      </c>
      <c r="HH161" t="e">
        <f>'All regions'!A4039+"n/&gt;!(9k"</f>
        <v>#VALUE!</v>
      </c>
      <c r="HI161" t="e">
        <f>'All regions'!B4039+"n/&gt;!(9l"</f>
        <v>#VALUE!</v>
      </c>
      <c r="HJ161" t="e">
        <f>'All regions'!C4039+"n/&gt;!(9m"</f>
        <v>#VALUE!</v>
      </c>
      <c r="HK161" t="e">
        <f>'All regions'!D4039+"n/&gt;!(9n"</f>
        <v>#VALUE!</v>
      </c>
      <c r="HL161" t="e">
        <f>'All regions'!E4039+"n/&gt;!(9o"</f>
        <v>#VALUE!</v>
      </c>
      <c r="HM161" t="e">
        <f>'All regions'!F4039+"n/&gt;!(9p"</f>
        <v>#VALUE!</v>
      </c>
      <c r="HN161" t="e">
        <f>'All regions'!G4039+"n/&gt;!(9q"</f>
        <v>#VALUE!</v>
      </c>
      <c r="HO161" t="e">
        <f>'All regions'!H4039+"n/&gt;!(9r"</f>
        <v>#VALUE!</v>
      </c>
      <c r="HP161" t="e">
        <f>'All regions'!I4039+"n/&gt;!(9s"</f>
        <v>#VALUE!</v>
      </c>
      <c r="HQ161" t="e">
        <f>'All regions'!J4039+"n/&gt;!(9t"</f>
        <v>#VALUE!</v>
      </c>
      <c r="HR161" t="e">
        <f>'All regions'!A4040+"n/&gt;!(9u"</f>
        <v>#VALUE!</v>
      </c>
      <c r="HS161" t="e">
        <f>'All regions'!B4040+"n/&gt;!(9v"</f>
        <v>#VALUE!</v>
      </c>
      <c r="HT161" t="e">
        <f>'All regions'!C4040+"n/&gt;!(9w"</f>
        <v>#VALUE!</v>
      </c>
      <c r="HU161" t="e">
        <f>'All regions'!D4040+"n/&gt;!(9x"</f>
        <v>#VALUE!</v>
      </c>
      <c r="HV161" t="e">
        <f>'All regions'!E4040+"n/&gt;!(9y"</f>
        <v>#VALUE!</v>
      </c>
      <c r="HW161" t="e">
        <f>'All regions'!F4040+"n/&gt;!(9z"</f>
        <v>#VALUE!</v>
      </c>
      <c r="HX161" t="e">
        <f>'All regions'!G4040+"n/&gt;!(9{"</f>
        <v>#VALUE!</v>
      </c>
      <c r="HY161" t="e">
        <f>'All regions'!H4040+"n/&gt;!(9|"</f>
        <v>#VALUE!</v>
      </c>
      <c r="HZ161" t="e">
        <f>'All regions'!I4040+"n/&gt;!(9}"</f>
        <v>#VALUE!</v>
      </c>
      <c r="IA161" t="e">
        <f>'All regions'!J4040+"n/&gt;!(9~"</f>
        <v>#VALUE!</v>
      </c>
      <c r="IB161" t="e">
        <f>'All regions'!A4041+"n/&gt;!(:#"</f>
        <v>#VALUE!</v>
      </c>
      <c r="IC161" t="e">
        <f>'All regions'!B4041+"n/&gt;!(:$"</f>
        <v>#VALUE!</v>
      </c>
      <c r="ID161" t="e">
        <f>'All regions'!C4041+"n/&gt;!(:%"</f>
        <v>#VALUE!</v>
      </c>
      <c r="IE161" t="e">
        <f>'All regions'!D4041+"n/&gt;!(:&amp;"</f>
        <v>#VALUE!</v>
      </c>
      <c r="IF161" t="e">
        <f>'All regions'!E4041+"n/&gt;!(:'"</f>
        <v>#VALUE!</v>
      </c>
      <c r="IG161" t="e">
        <f>'All regions'!F4041+"n/&gt;!(:("</f>
        <v>#VALUE!</v>
      </c>
      <c r="IH161" t="e">
        <f>'All regions'!G4041+"n/&gt;!(:)"</f>
        <v>#VALUE!</v>
      </c>
      <c r="II161" t="e">
        <f>'All regions'!H4041+"n/&gt;!(:."</f>
        <v>#VALUE!</v>
      </c>
      <c r="IJ161" t="e">
        <f>'All regions'!I4041+"n/&gt;!(:/"</f>
        <v>#VALUE!</v>
      </c>
      <c r="IK161" t="e">
        <f>'All regions'!J4041+"n/&gt;!(:0"</f>
        <v>#VALUE!</v>
      </c>
      <c r="IL161" t="e">
        <f>'All regions'!A4042+"n/&gt;!(:1"</f>
        <v>#VALUE!</v>
      </c>
      <c r="IM161" t="e">
        <f>'All regions'!B4042+"n/&gt;!(:2"</f>
        <v>#VALUE!</v>
      </c>
      <c r="IN161" t="e">
        <f>'All regions'!C4042+"n/&gt;!(:3"</f>
        <v>#VALUE!</v>
      </c>
      <c r="IO161" t="e">
        <f>'All regions'!D4042+"n/&gt;!(:4"</f>
        <v>#VALUE!</v>
      </c>
      <c r="IP161" t="e">
        <f>'All regions'!E4042+"n/&gt;!(:5"</f>
        <v>#VALUE!</v>
      </c>
      <c r="IQ161" t="e">
        <f>'All regions'!F4042+"n/&gt;!(:6"</f>
        <v>#VALUE!</v>
      </c>
      <c r="IR161" t="e">
        <f>'All regions'!G4042+"n/&gt;!(:7"</f>
        <v>#VALUE!</v>
      </c>
      <c r="IS161" t="e">
        <f>'All regions'!H4042+"n/&gt;!(:8"</f>
        <v>#VALUE!</v>
      </c>
      <c r="IT161" t="e">
        <f>'All regions'!I4042+"n/&gt;!(:9"</f>
        <v>#VALUE!</v>
      </c>
      <c r="IU161" t="e">
        <f>'All regions'!J4042+"n/&gt;!(::"</f>
        <v>#VALUE!</v>
      </c>
      <c r="IV161" t="e">
        <f>'All regions'!A4043+"n/&gt;!(:;"</f>
        <v>#VALUE!</v>
      </c>
    </row>
    <row r="162" spans="6:256" x14ac:dyDescent="0.35">
      <c r="F162" t="e">
        <f>'All regions'!B4043+"n/&gt;!(:&lt;"</f>
        <v>#VALUE!</v>
      </c>
      <c r="G162" t="e">
        <f>'All regions'!C4043+"n/&gt;!(:="</f>
        <v>#VALUE!</v>
      </c>
      <c r="H162" t="e">
        <f>'All regions'!D4043+"n/&gt;!(:&gt;"</f>
        <v>#VALUE!</v>
      </c>
      <c r="I162" t="e">
        <f>'All regions'!E4043+"n/&gt;!(:?"</f>
        <v>#VALUE!</v>
      </c>
      <c r="J162" t="e">
        <f>'All regions'!F4043+"n/&gt;!(:@"</f>
        <v>#VALUE!</v>
      </c>
      <c r="K162" t="e">
        <f>'All regions'!G4043+"n/&gt;!(:A"</f>
        <v>#VALUE!</v>
      </c>
      <c r="L162" t="e">
        <f>'All regions'!H4043+"n/&gt;!(:B"</f>
        <v>#VALUE!</v>
      </c>
      <c r="M162" t="e">
        <f>'All regions'!I4043+"n/&gt;!(:C"</f>
        <v>#VALUE!</v>
      </c>
      <c r="N162" t="e">
        <f>'All regions'!J4043+"n/&gt;!(:D"</f>
        <v>#VALUE!</v>
      </c>
      <c r="O162" t="e">
        <f>'All regions'!A4044+"n/&gt;!(:E"</f>
        <v>#VALUE!</v>
      </c>
      <c r="P162" t="e">
        <f>'All regions'!B4044+"n/&gt;!(:F"</f>
        <v>#VALUE!</v>
      </c>
      <c r="Q162" t="e">
        <f>'All regions'!C4044+"n/&gt;!(:G"</f>
        <v>#VALUE!</v>
      </c>
      <c r="R162" t="e">
        <f>'All regions'!D4044+"n/&gt;!(:H"</f>
        <v>#VALUE!</v>
      </c>
      <c r="S162" t="e">
        <f>'All regions'!E4044+"n/&gt;!(:I"</f>
        <v>#VALUE!</v>
      </c>
      <c r="T162" t="e">
        <f>'All regions'!F4044+"n/&gt;!(:J"</f>
        <v>#VALUE!</v>
      </c>
      <c r="U162" t="e">
        <f>'All regions'!G4044+"n/&gt;!(:K"</f>
        <v>#VALUE!</v>
      </c>
      <c r="V162" t="e">
        <f>'All regions'!H4044+"n/&gt;!(:L"</f>
        <v>#VALUE!</v>
      </c>
      <c r="W162" t="e">
        <f>'All regions'!I4044+"n/&gt;!(:M"</f>
        <v>#VALUE!</v>
      </c>
      <c r="X162" t="e">
        <f>'All regions'!J4044+"n/&gt;!(:N"</f>
        <v>#VALUE!</v>
      </c>
      <c r="Y162" t="e">
        <f>'All regions'!A4045+"n/&gt;!(:O"</f>
        <v>#VALUE!</v>
      </c>
      <c r="Z162" t="e">
        <f>'All regions'!B4045+"n/&gt;!(:P"</f>
        <v>#VALUE!</v>
      </c>
      <c r="AA162" t="e">
        <f>'All regions'!C4045+"n/&gt;!(:Q"</f>
        <v>#VALUE!</v>
      </c>
      <c r="AB162" t="e">
        <f>'All regions'!D4045+"n/&gt;!(:R"</f>
        <v>#VALUE!</v>
      </c>
      <c r="AC162" t="e">
        <f>'All regions'!E4045+"n/&gt;!(:S"</f>
        <v>#VALUE!</v>
      </c>
      <c r="AD162" t="e">
        <f>'All regions'!F4045+"n/&gt;!(:T"</f>
        <v>#VALUE!</v>
      </c>
      <c r="AE162" t="e">
        <f>'All regions'!G4045+"n/&gt;!(:U"</f>
        <v>#VALUE!</v>
      </c>
      <c r="AF162" t="e">
        <f>'All regions'!H4045+"n/&gt;!(:V"</f>
        <v>#VALUE!</v>
      </c>
      <c r="AG162" t="e">
        <f>'All regions'!I4045+"n/&gt;!(:W"</f>
        <v>#VALUE!</v>
      </c>
      <c r="AH162" t="e">
        <f>'All regions'!J4045+"n/&gt;!(:X"</f>
        <v>#VALUE!</v>
      </c>
      <c r="AI162" t="e">
        <f>'All regions'!A4046+"n/&gt;!(:Y"</f>
        <v>#VALUE!</v>
      </c>
      <c r="AJ162" t="e">
        <f>'All regions'!B4046+"n/&gt;!(:Z"</f>
        <v>#VALUE!</v>
      </c>
      <c r="AK162" t="e">
        <f>'All regions'!C4046+"n/&gt;!(:["</f>
        <v>#VALUE!</v>
      </c>
      <c r="AL162" t="e">
        <f>'All regions'!D4046+"n/&gt;!(:\"</f>
        <v>#VALUE!</v>
      </c>
      <c r="AM162" t="e">
        <f>'All regions'!E4046+"n/&gt;!(:]"</f>
        <v>#VALUE!</v>
      </c>
      <c r="AN162" t="e">
        <f>'All regions'!F4046+"n/&gt;!(:^"</f>
        <v>#VALUE!</v>
      </c>
      <c r="AO162" t="e">
        <f>'All regions'!G4046+"n/&gt;!(:_"</f>
        <v>#VALUE!</v>
      </c>
      <c r="AP162" t="e">
        <f>'All regions'!H4046+"n/&gt;!(:`"</f>
        <v>#VALUE!</v>
      </c>
      <c r="AQ162" t="e">
        <f>'All regions'!I4046+"n/&gt;!(:a"</f>
        <v>#VALUE!</v>
      </c>
      <c r="AR162" t="e">
        <f>'All regions'!J4046+"n/&gt;!(:b"</f>
        <v>#VALUE!</v>
      </c>
      <c r="AS162" t="e">
        <f>'All regions'!A4047+"n/&gt;!(:c"</f>
        <v>#VALUE!</v>
      </c>
      <c r="AT162" t="e">
        <f>'All regions'!B4047+"n/&gt;!(:d"</f>
        <v>#VALUE!</v>
      </c>
      <c r="AU162" t="e">
        <f>'All regions'!C4047+"n/&gt;!(:e"</f>
        <v>#VALUE!</v>
      </c>
      <c r="AV162" t="e">
        <f>'All regions'!D4047+"n/&gt;!(:f"</f>
        <v>#VALUE!</v>
      </c>
      <c r="AW162" t="e">
        <f>'All regions'!E4047+"n/&gt;!(:g"</f>
        <v>#VALUE!</v>
      </c>
      <c r="AX162" t="e">
        <f>'All regions'!F4047+"n/&gt;!(:h"</f>
        <v>#VALUE!</v>
      </c>
      <c r="AY162" t="e">
        <f>'All regions'!G4047+"n/&gt;!(:i"</f>
        <v>#VALUE!</v>
      </c>
      <c r="AZ162" t="e">
        <f>'All regions'!H4047+"n/&gt;!(:j"</f>
        <v>#VALUE!</v>
      </c>
      <c r="BA162" t="e">
        <f>'All regions'!I4047+"n/&gt;!(:k"</f>
        <v>#VALUE!</v>
      </c>
      <c r="BB162" t="e">
        <f>'All regions'!J4047+"n/&gt;!(:l"</f>
        <v>#VALUE!</v>
      </c>
      <c r="BC162" t="e">
        <f>'All regions'!A4048+"n/&gt;!(:m"</f>
        <v>#VALUE!</v>
      </c>
      <c r="BD162" t="e">
        <f>'All regions'!B4048+"n/&gt;!(:n"</f>
        <v>#VALUE!</v>
      </c>
      <c r="BE162" t="e">
        <f>'All regions'!C4048+"n/&gt;!(:o"</f>
        <v>#VALUE!</v>
      </c>
      <c r="BF162" t="e">
        <f>'All regions'!D4048+"n/&gt;!(:p"</f>
        <v>#VALUE!</v>
      </c>
      <c r="BG162" t="e">
        <f>'All regions'!E4048+"n/&gt;!(:q"</f>
        <v>#VALUE!</v>
      </c>
      <c r="BH162" t="e">
        <f>'All regions'!F4048+"n/&gt;!(:r"</f>
        <v>#VALUE!</v>
      </c>
      <c r="BI162" t="e">
        <f>'All regions'!G4048+"n/&gt;!(:s"</f>
        <v>#VALUE!</v>
      </c>
      <c r="BJ162" t="e">
        <f>'All regions'!H4048+"n/&gt;!(:t"</f>
        <v>#VALUE!</v>
      </c>
      <c r="BK162" t="e">
        <f>'All regions'!I4048+"n/&gt;!(:u"</f>
        <v>#VALUE!</v>
      </c>
      <c r="BL162" t="e">
        <f>'All regions'!J4048+"n/&gt;!(:v"</f>
        <v>#VALUE!</v>
      </c>
      <c r="BM162" t="e">
        <f>'All regions'!A4049+"n/&gt;!(:w"</f>
        <v>#VALUE!</v>
      </c>
      <c r="BN162" t="e">
        <f>'All regions'!B4049+"n/&gt;!(:x"</f>
        <v>#VALUE!</v>
      </c>
      <c r="BO162" t="e">
        <f>'All regions'!C4049+"n/&gt;!(:y"</f>
        <v>#VALUE!</v>
      </c>
      <c r="BP162" t="e">
        <f>'All regions'!D4049+"n/&gt;!(:z"</f>
        <v>#VALUE!</v>
      </c>
      <c r="BQ162" t="e">
        <f>'All regions'!E4049+"n/&gt;!(:{"</f>
        <v>#VALUE!</v>
      </c>
      <c r="BR162" t="e">
        <f>'All regions'!F4049+"n/&gt;!(:|"</f>
        <v>#VALUE!</v>
      </c>
      <c r="BS162" t="e">
        <f>'All regions'!G4049+"n/&gt;!(:}"</f>
        <v>#VALUE!</v>
      </c>
      <c r="BT162" t="e">
        <f>'All regions'!H4049+"n/&gt;!(:~"</f>
        <v>#VALUE!</v>
      </c>
      <c r="BU162" t="e">
        <f>'All regions'!I4049+"n/&gt;!(;#"</f>
        <v>#VALUE!</v>
      </c>
      <c r="BV162" t="e">
        <f>'All regions'!J4049+"n/&gt;!(;$"</f>
        <v>#VALUE!</v>
      </c>
      <c r="BW162" t="e">
        <f>'All regions'!A4050+"n/&gt;!(;%"</f>
        <v>#VALUE!</v>
      </c>
      <c r="BX162" t="e">
        <f>'All regions'!B4050+"n/&gt;!(;&amp;"</f>
        <v>#VALUE!</v>
      </c>
      <c r="BY162" t="e">
        <f>'All regions'!C4050+"n/&gt;!(;'"</f>
        <v>#VALUE!</v>
      </c>
      <c r="BZ162" t="e">
        <f>'All regions'!D4050+"n/&gt;!(;("</f>
        <v>#VALUE!</v>
      </c>
      <c r="CA162" t="e">
        <f>'All regions'!E4050+"n/&gt;!(;)"</f>
        <v>#VALUE!</v>
      </c>
      <c r="CB162" t="e">
        <f>'All regions'!F4050+"n/&gt;!(;."</f>
        <v>#VALUE!</v>
      </c>
      <c r="CC162" t="e">
        <f>'All regions'!G4050+"n/&gt;!(;/"</f>
        <v>#VALUE!</v>
      </c>
      <c r="CD162" t="e">
        <f>'All regions'!H4050+"n/&gt;!(;0"</f>
        <v>#VALUE!</v>
      </c>
      <c r="CE162" t="e">
        <f>'All regions'!I4050+"n/&gt;!(;1"</f>
        <v>#VALUE!</v>
      </c>
      <c r="CF162" t="e">
        <f>'All regions'!J4050+"n/&gt;!(;2"</f>
        <v>#VALUE!</v>
      </c>
      <c r="CG162" t="e">
        <f>'All regions'!A4051+"n/&gt;!(;3"</f>
        <v>#VALUE!</v>
      </c>
      <c r="CH162" t="e">
        <f>'All regions'!B4051+"n/&gt;!(;4"</f>
        <v>#VALUE!</v>
      </c>
      <c r="CI162" t="e">
        <f>'All regions'!C4051+"n/&gt;!(;5"</f>
        <v>#VALUE!</v>
      </c>
      <c r="CJ162" t="e">
        <f>'All regions'!D4051+"n/&gt;!(;6"</f>
        <v>#VALUE!</v>
      </c>
      <c r="CK162" t="e">
        <f>'All regions'!E4051+"n/&gt;!(;7"</f>
        <v>#VALUE!</v>
      </c>
      <c r="CL162" t="e">
        <f>'All regions'!F4051+"n/&gt;!(;8"</f>
        <v>#VALUE!</v>
      </c>
      <c r="CM162" t="e">
        <f>'All regions'!G4051+"n/&gt;!(;9"</f>
        <v>#VALUE!</v>
      </c>
      <c r="CN162" t="e">
        <f>'All regions'!H4051+"n/&gt;!(;:"</f>
        <v>#VALUE!</v>
      </c>
      <c r="CO162" t="e">
        <f>'All regions'!I4051+"n/&gt;!(;;"</f>
        <v>#VALUE!</v>
      </c>
      <c r="CP162" t="e">
        <f>'All regions'!J4051+"n/&gt;!(;&lt;"</f>
        <v>#VALUE!</v>
      </c>
      <c r="CQ162" t="e">
        <f>'All regions'!A4052+"n/&gt;!(;="</f>
        <v>#VALUE!</v>
      </c>
      <c r="CR162" t="e">
        <f>'All regions'!B4052+"n/&gt;!(;&gt;"</f>
        <v>#VALUE!</v>
      </c>
      <c r="CS162" t="e">
        <f>'All regions'!C4052+"n/&gt;!(;?"</f>
        <v>#VALUE!</v>
      </c>
      <c r="CT162" t="e">
        <f>'All regions'!D4052+"n/&gt;!(;@"</f>
        <v>#VALUE!</v>
      </c>
      <c r="CU162" t="e">
        <f>'All regions'!E4052+"n/&gt;!(;A"</f>
        <v>#VALUE!</v>
      </c>
      <c r="CV162" t="e">
        <f>'All regions'!F4052+"n/&gt;!(;B"</f>
        <v>#VALUE!</v>
      </c>
      <c r="CW162" t="e">
        <f>'All regions'!G4052+"n/&gt;!(;C"</f>
        <v>#VALUE!</v>
      </c>
      <c r="CX162" t="e">
        <f>'All regions'!H4052+"n/&gt;!(;D"</f>
        <v>#VALUE!</v>
      </c>
      <c r="CY162" t="e">
        <f>'All regions'!I4052+"n/&gt;!(;E"</f>
        <v>#VALUE!</v>
      </c>
      <c r="CZ162" t="e">
        <f>'All regions'!J4052+"n/&gt;!(;F"</f>
        <v>#VALUE!</v>
      </c>
      <c r="DA162" t="e">
        <f>'All regions'!A4053+"n/&gt;!(;G"</f>
        <v>#VALUE!</v>
      </c>
      <c r="DB162" t="e">
        <f>'All regions'!B4053+"n/&gt;!(;H"</f>
        <v>#VALUE!</v>
      </c>
      <c r="DC162" t="e">
        <f>'All regions'!C4053+"n/&gt;!(;I"</f>
        <v>#VALUE!</v>
      </c>
      <c r="DD162" t="e">
        <f>'All regions'!D4053+"n/&gt;!(;J"</f>
        <v>#VALUE!</v>
      </c>
      <c r="DE162" t="e">
        <f>'All regions'!E4053+"n/&gt;!(;K"</f>
        <v>#VALUE!</v>
      </c>
      <c r="DF162" t="e">
        <f>'All regions'!F4053+"n/&gt;!(;L"</f>
        <v>#VALUE!</v>
      </c>
      <c r="DG162" t="e">
        <f>'All regions'!G4053+"n/&gt;!(;M"</f>
        <v>#VALUE!</v>
      </c>
      <c r="DH162" t="e">
        <f>'All regions'!H4053+"n/&gt;!(;N"</f>
        <v>#VALUE!</v>
      </c>
      <c r="DI162" t="e">
        <f>'All regions'!I4053+"n/&gt;!(;O"</f>
        <v>#VALUE!</v>
      </c>
      <c r="DJ162" t="e">
        <f>'All regions'!J4053+"n/&gt;!(;P"</f>
        <v>#VALUE!</v>
      </c>
      <c r="DK162" t="e">
        <f>'All regions'!A4054+"n/&gt;!(;Q"</f>
        <v>#VALUE!</v>
      </c>
      <c r="DL162" t="e">
        <f>'All regions'!B4054+"n/&gt;!(;R"</f>
        <v>#VALUE!</v>
      </c>
      <c r="DM162" t="e">
        <f>'All regions'!C4054+"n/&gt;!(;S"</f>
        <v>#VALUE!</v>
      </c>
      <c r="DN162" t="e">
        <f>'All regions'!D4054+"n/&gt;!(;T"</f>
        <v>#VALUE!</v>
      </c>
      <c r="DO162" t="e">
        <f>'All regions'!E4054+"n/&gt;!(;U"</f>
        <v>#VALUE!</v>
      </c>
      <c r="DP162" t="e">
        <f>'All regions'!F4054+"n/&gt;!(;V"</f>
        <v>#VALUE!</v>
      </c>
      <c r="DQ162" t="e">
        <f>'All regions'!G4054+"n/&gt;!(;W"</f>
        <v>#VALUE!</v>
      </c>
      <c r="DR162" t="e">
        <f>'All regions'!H4054+"n/&gt;!(;X"</f>
        <v>#VALUE!</v>
      </c>
      <c r="DS162" t="e">
        <f>'All regions'!I4054+"n/&gt;!(;Y"</f>
        <v>#VALUE!</v>
      </c>
      <c r="DT162" t="e">
        <f>'All regions'!J4054+"n/&gt;!(;Z"</f>
        <v>#VALUE!</v>
      </c>
      <c r="DU162" t="e">
        <f>'All regions'!A4055+"n/&gt;!(;["</f>
        <v>#VALUE!</v>
      </c>
      <c r="DV162" t="e">
        <f>'All regions'!B4055+"n/&gt;!(;\"</f>
        <v>#VALUE!</v>
      </c>
      <c r="DW162" t="e">
        <f>'All regions'!C4055+"n/&gt;!(;]"</f>
        <v>#VALUE!</v>
      </c>
      <c r="DX162" t="e">
        <f>'All regions'!D4055+"n/&gt;!(;^"</f>
        <v>#VALUE!</v>
      </c>
      <c r="DY162" t="e">
        <f>'All regions'!E4055+"n/&gt;!(;_"</f>
        <v>#VALUE!</v>
      </c>
      <c r="DZ162" t="e">
        <f>'All regions'!F4055+"n/&gt;!(;`"</f>
        <v>#VALUE!</v>
      </c>
      <c r="EA162" t="e">
        <f>'All regions'!G4055+"n/&gt;!(;a"</f>
        <v>#VALUE!</v>
      </c>
      <c r="EB162" t="e">
        <f>'All regions'!H4055+"n/&gt;!(;b"</f>
        <v>#VALUE!</v>
      </c>
      <c r="EC162" t="e">
        <f>'All regions'!I4055+"n/&gt;!(;c"</f>
        <v>#VALUE!</v>
      </c>
      <c r="ED162" t="e">
        <f>'All regions'!J4055+"n/&gt;!(;d"</f>
        <v>#VALUE!</v>
      </c>
      <c r="EE162" t="e">
        <f>'All regions'!A4056+"n/&gt;!(;e"</f>
        <v>#VALUE!</v>
      </c>
      <c r="EF162" t="e">
        <f>'All regions'!B4056+"n/&gt;!(;f"</f>
        <v>#VALUE!</v>
      </c>
      <c r="EG162" t="e">
        <f>'All regions'!C4056+"n/&gt;!(;g"</f>
        <v>#VALUE!</v>
      </c>
      <c r="EH162" t="e">
        <f>'All regions'!D4056+"n/&gt;!(;h"</f>
        <v>#VALUE!</v>
      </c>
      <c r="EI162" t="e">
        <f>'All regions'!E4056+"n/&gt;!(;i"</f>
        <v>#VALUE!</v>
      </c>
      <c r="EJ162" t="e">
        <f>'All regions'!F4056+"n/&gt;!(;j"</f>
        <v>#VALUE!</v>
      </c>
      <c r="EK162" t="e">
        <f>'All regions'!G4056+"n/&gt;!(;k"</f>
        <v>#VALUE!</v>
      </c>
      <c r="EL162" t="e">
        <f>'All regions'!H4056+"n/&gt;!(;l"</f>
        <v>#VALUE!</v>
      </c>
      <c r="EM162" t="e">
        <f>'All regions'!I4056+"n/&gt;!(;m"</f>
        <v>#VALUE!</v>
      </c>
      <c r="EN162" t="e">
        <f>'All regions'!J4056+"n/&gt;!(;n"</f>
        <v>#VALUE!</v>
      </c>
      <c r="EO162" t="e">
        <f>'All regions'!A4057+"n/&gt;!(;o"</f>
        <v>#VALUE!</v>
      </c>
      <c r="EP162" t="e">
        <f>'All regions'!B4057+"n/&gt;!(;p"</f>
        <v>#VALUE!</v>
      </c>
      <c r="EQ162" t="e">
        <f>'All regions'!C4057+"n/&gt;!(;q"</f>
        <v>#VALUE!</v>
      </c>
      <c r="ER162" t="e">
        <f>'All regions'!D4057+"n/&gt;!(;r"</f>
        <v>#VALUE!</v>
      </c>
      <c r="ES162" t="e">
        <f>'All regions'!E4057+"n/&gt;!(;s"</f>
        <v>#VALUE!</v>
      </c>
      <c r="ET162" t="e">
        <f>'All regions'!F4057+"n/&gt;!(;t"</f>
        <v>#VALUE!</v>
      </c>
      <c r="EU162" t="e">
        <f>'All regions'!G4057+"n/&gt;!(;u"</f>
        <v>#VALUE!</v>
      </c>
      <c r="EV162" t="e">
        <f>'All regions'!H4057+"n/&gt;!(;v"</f>
        <v>#VALUE!</v>
      </c>
      <c r="EW162" t="e">
        <f>'All regions'!I4057+"n/&gt;!(;w"</f>
        <v>#VALUE!</v>
      </c>
      <c r="EX162" t="e">
        <f>'All regions'!J4057+"n/&gt;!(;x"</f>
        <v>#VALUE!</v>
      </c>
      <c r="EY162" t="e">
        <f>'All regions'!A4058+"n/&gt;!(;y"</f>
        <v>#VALUE!</v>
      </c>
      <c r="EZ162" t="e">
        <f>'All regions'!B4058+"n/&gt;!(;z"</f>
        <v>#VALUE!</v>
      </c>
      <c r="FA162" t="e">
        <f>'All regions'!C4058+"n/&gt;!(;{"</f>
        <v>#VALUE!</v>
      </c>
      <c r="FB162" t="e">
        <f>'All regions'!D4058+"n/&gt;!(;|"</f>
        <v>#VALUE!</v>
      </c>
      <c r="FC162" t="e">
        <f>'All regions'!E4058+"n/&gt;!(;}"</f>
        <v>#VALUE!</v>
      </c>
      <c r="FD162" t="e">
        <f>'All regions'!F4058+"n/&gt;!(;~"</f>
        <v>#VALUE!</v>
      </c>
      <c r="FE162" t="e">
        <f>'All regions'!G4058+"n/&gt;!(&lt;#"</f>
        <v>#VALUE!</v>
      </c>
      <c r="FF162" t="e">
        <f>'All regions'!H4058+"n/&gt;!(&lt;$"</f>
        <v>#VALUE!</v>
      </c>
      <c r="FG162" t="e">
        <f>'All regions'!I4058+"n/&gt;!(&lt;%"</f>
        <v>#VALUE!</v>
      </c>
      <c r="FH162" t="e">
        <f>'All regions'!J4058+"n/&gt;!(&lt;&amp;"</f>
        <v>#VALUE!</v>
      </c>
      <c r="FI162" t="e">
        <f>'All regions'!A4059+"n/&gt;!(&lt;'"</f>
        <v>#VALUE!</v>
      </c>
      <c r="FJ162" t="e">
        <f>'All regions'!B4059+"n/&gt;!(&lt;("</f>
        <v>#VALUE!</v>
      </c>
      <c r="FK162" t="e">
        <f>'All regions'!C4059+"n/&gt;!(&lt;)"</f>
        <v>#VALUE!</v>
      </c>
      <c r="FL162" t="e">
        <f>'All regions'!D4059+"n/&gt;!(&lt;."</f>
        <v>#VALUE!</v>
      </c>
      <c r="FM162" t="e">
        <f>'All regions'!E4059+"n/&gt;!(&lt;/"</f>
        <v>#VALUE!</v>
      </c>
      <c r="FN162" t="e">
        <f>'All regions'!F4059+"n/&gt;!(&lt;0"</f>
        <v>#VALUE!</v>
      </c>
      <c r="FO162" t="e">
        <f>'All regions'!G4059+"n/&gt;!(&lt;1"</f>
        <v>#VALUE!</v>
      </c>
      <c r="FP162" t="e">
        <f>'All regions'!H4059+"n/&gt;!(&lt;2"</f>
        <v>#VALUE!</v>
      </c>
      <c r="FQ162" t="e">
        <f>'All regions'!I4059+"n/&gt;!(&lt;3"</f>
        <v>#VALUE!</v>
      </c>
      <c r="FR162" t="e">
        <f>'All regions'!J4059+"n/&gt;!(&lt;4"</f>
        <v>#VALUE!</v>
      </c>
      <c r="FS162" t="e">
        <f>'All regions'!A4060+"n/&gt;!(&lt;5"</f>
        <v>#VALUE!</v>
      </c>
      <c r="FT162" t="e">
        <f>'All regions'!B4060+"n/&gt;!(&lt;6"</f>
        <v>#VALUE!</v>
      </c>
      <c r="FU162" t="e">
        <f>'All regions'!C4060+"n/&gt;!(&lt;7"</f>
        <v>#VALUE!</v>
      </c>
      <c r="FV162" t="e">
        <f>'All regions'!D4060+"n/&gt;!(&lt;8"</f>
        <v>#VALUE!</v>
      </c>
      <c r="FW162" t="e">
        <f>'All regions'!E4060+"n/&gt;!(&lt;9"</f>
        <v>#VALUE!</v>
      </c>
      <c r="FX162" t="e">
        <f>'All regions'!F4060+"n/&gt;!(&lt;:"</f>
        <v>#VALUE!</v>
      </c>
      <c r="FY162" t="e">
        <f>'All regions'!G4060+"n/&gt;!(&lt;;"</f>
        <v>#VALUE!</v>
      </c>
      <c r="FZ162" t="e">
        <f>'All regions'!H4060+"n/&gt;!(&lt;&lt;"</f>
        <v>#VALUE!</v>
      </c>
      <c r="GA162" t="e">
        <f>'All regions'!I4060+"n/&gt;!(&lt;="</f>
        <v>#VALUE!</v>
      </c>
      <c r="GB162" t="e">
        <f>'All regions'!J4060+"n/&gt;!(&lt;&gt;"</f>
        <v>#VALUE!</v>
      </c>
      <c r="GC162" t="e">
        <f>'All regions'!A4061+"n/&gt;!(&lt;?"</f>
        <v>#VALUE!</v>
      </c>
      <c r="GD162" t="e">
        <f>'All regions'!B4061+"n/&gt;!(&lt;@"</f>
        <v>#VALUE!</v>
      </c>
      <c r="GE162" t="e">
        <f>'All regions'!C4061+"n/&gt;!(&lt;A"</f>
        <v>#VALUE!</v>
      </c>
      <c r="GF162" t="e">
        <f>'All regions'!D4061+"n/&gt;!(&lt;B"</f>
        <v>#VALUE!</v>
      </c>
      <c r="GG162" t="e">
        <f>'All regions'!E4061+"n/&gt;!(&lt;C"</f>
        <v>#VALUE!</v>
      </c>
      <c r="GH162" t="e">
        <f>'All regions'!F4061+"n/&gt;!(&lt;D"</f>
        <v>#VALUE!</v>
      </c>
      <c r="GI162" t="e">
        <f>'All regions'!G4061+"n/&gt;!(&lt;E"</f>
        <v>#VALUE!</v>
      </c>
      <c r="GJ162" t="e">
        <f>'All regions'!H4061+"n/&gt;!(&lt;F"</f>
        <v>#VALUE!</v>
      </c>
      <c r="GK162" t="e">
        <f>'All regions'!I4061+"n/&gt;!(&lt;G"</f>
        <v>#VALUE!</v>
      </c>
      <c r="GL162" t="e">
        <f>'All regions'!J4061+"n/&gt;!(&lt;H"</f>
        <v>#VALUE!</v>
      </c>
      <c r="GM162" t="e">
        <f>'All regions'!A4062+"n/&gt;!(&lt;I"</f>
        <v>#VALUE!</v>
      </c>
      <c r="GN162" t="e">
        <f>'All regions'!B4062+"n/&gt;!(&lt;J"</f>
        <v>#VALUE!</v>
      </c>
      <c r="GO162" t="e">
        <f>'All regions'!C4062+"n/&gt;!(&lt;K"</f>
        <v>#VALUE!</v>
      </c>
      <c r="GP162" t="e">
        <f>'All regions'!D4062+"n/&gt;!(&lt;L"</f>
        <v>#VALUE!</v>
      </c>
      <c r="GQ162" t="e">
        <f>'All regions'!E4062+"n/&gt;!(&lt;M"</f>
        <v>#VALUE!</v>
      </c>
      <c r="GR162" t="e">
        <f>'All regions'!F4062+"n/&gt;!(&lt;N"</f>
        <v>#VALUE!</v>
      </c>
      <c r="GS162" t="e">
        <f>'All regions'!G4062+"n/&gt;!(&lt;O"</f>
        <v>#VALUE!</v>
      </c>
      <c r="GT162" t="e">
        <f>'All regions'!H4062+"n/&gt;!(&lt;P"</f>
        <v>#VALUE!</v>
      </c>
      <c r="GU162" t="e">
        <f>'All regions'!I4062+"n/&gt;!(&lt;Q"</f>
        <v>#VALUE!</v>
      </c>
      <c r="GV162" t="e">
        <f>'All regions'!J4062+"n/&gt;!(&lt;R"</f>
        <v>#VALUE!</v>
      </c>
      <c r="GW162" t="e">
        <f>'All regions'!A4063+"n/&gt;!(&lt;S"</f>
        <v>#VALUE!</v>
      </c>
      <c r="GX162" t="e">
        <f>'All regions'!B4063+"n/&gt;!(&lt;T"</f>
        <v>#VALUE!</v>
      </c>
      <c r="GY162" t="e">
        <f>'All regions'!C4063+"n/&gt;!(&lt;U"</f>
        <v>#VALUE!</v>
      </c>
      <c r="GZ162" t="e">
        <f>'All regions'!D4063+"n/&gt;!(&lt;V"</f>
        <v>#VALUE!</v>
      </c>
      <c r="HA162" t="e">
        <f>'All regions'!E4063+"n/&gt;!(&lt;W"</f>
        <v>#VALUE!</v>
      </c>
      <c r="HB162" t="e">
        <f>'All regions'!F4063+"n/&gt;!(&lt;X"</f>
        <v>#VALUE!</v>
      </c>
      <c r="HC162" t="e">
        <f>'All regions'!G4063+"n/&gt;!(&lt;Y"</f>
        <v>#VALUE!</v>
      </c>
      <c r="HD162" t="e">
        <f>'All regions'!H4063+"n/&gt;!(&lt;Z"</f>
        <v>#VALUE!</v>
      </c>
      <c r="HE162" t="e">
        <f>'All regions'!I4063+"n/&gt;!(&lt;["</f>
        <v>#VALUE!</v>
      </c>
      <c r="HF162" t="e">
        <f>'All regions'!J4063+"n/&gt;!(&lt;\"</f>
        <v>#VALUE!</v>
      </c>
      <c r="HG162" t="e">
        <f>'All regions'!A4064+"n/&gt;!(&lt;]"</f>
        <v>#VALUE!</v>
      </c>
      <c r="HH162" t="e">
        <f>'All regions'!B4064+"n/&gt;!(&lt;^"</f>
        <v>#VALUE!</v>
      </c>
      <c r="HI162" t="e">
        <f>'All regions'!C4064+"n/&gt;!(&lt;_"</f>
        <v>#VALUE!</v>
      </c>
      <c r="HJ162" t="e">
        <f>'All regions'!D4064+"n/&gt;!(&lt;`"</f>
        <v>#VALUE!</v>
      </c>
      <c r="HK162" t="e">
        <f>'All regions'!E4064+"n/&gt;!(&lt;a"</f>
        <v>#VALUE!</v>
      </c>
      <c r="HL162" t="e">
        <f>'All regions'!F4064+"n/&gt;!(&lt;b"</f>
        <v>#VALUE!</v>
      </c>
      <c r="HM162" t="e">
        <f>'All regions'!G4064+"n/&gt;!(&lt;c"</f>
        <v>#VALUE!</v>
      </c>
      <c r="HN162" t="e">
        <f>'All regions'!H4064+"n/&gt;!(&lt;d"</f>
        <v>#VALUE!</v>
      </c>
      <c r="HO162" t="e">
        <f>'All regions'!I4064+"n/&gt;!(&lt;e"</f>
        <v>#VALUE!</v>
      </c>
      <c r="HP162" t="e">
        <f>'All regions'!J4064+"n/&gt;!(&lt;f"</f>
        <v>#VALUE!</v>
      </c>
      <c r="HQ162" t="e">
        <f>'All regions'!A4065+"n/&gt;!(&lt;g"</f>
        <v>#VALUE!</v>
      </c>
      <c r="HR162" t="e">
        <f>'All regions'!B4065+"n/&gt;!(&lt;h"</f>
        <v>#VALUE!</v>
      </c>
      <c r="HS162" t="e">
        <f>'All regions'!C4065+"n/&gt;!(&lt;i"</f>
        <v>#VALUE!</v>
      </c>
      <c r="HT162" t="e">
        <f>'All regions'!D4065+"n/&gt;!(&lt;j"</f>
        <v>#VALUE!</v>
      </c>
      <c r="HU162" t="e">
        <f>'All regions'!E4065+"n/&gt;!(&lt;k"</f>
        <v>#VALUE!</v>
      </c>
      <c r="HV162" t="e">
        <f>'All regions'!F4065+"n/&gt;!(&lt;l"</f>
        <v>#VALUE!</v>
      </c>
      <c r="HW162" t="e">
        <f>'All regions'!G4065+"n/&gt;!(&lt;m"</f>
        <v>#VALUE!</v>
      </c>
      <c r="HX162" t="e">
        <f>'All regions'!H4065+"n/&gt;!(&lt;n"</f>
        <v>#VALUE!</v>
      </c>
      <c r="HY162" t="e">
        <f>'All regions'!I4065+"n/&gt;!(&lt;o"</f>
        <v>#VALUE!</v>
      </c>
      <c r="HZ162" t="e">
        <f>'All regions'!J4065+"n/&gt;!(&lt;p"</f>
        <v>#VALUE!</v>
      </c>
      <c r="IA162" t="e">
        <f>'All regions'!A4066+"n/&gt;!(&lt;q"</f>
        <v>#VALUE!</v>
      </c>
      <c r="IB162" t="e">
        <f>'All regions'!B4066+"n/&gt;!(&lt;r"</f>
        <v>#VALUE!</v>
      </c>
      <c r="IC162" t="e">
        <f>'All regions'!C4066+"n/&gt;!(&lt;s"</f>
        <v>#VALUE!</v>
      </c>
      <c r="ID162" t="e">
        <f>'All regions'!D4066+"n/&gt;!(&lt;t"</f>
        <v>#VALUE!</v>
      </c>
      <c r="IE162" t="e">
        <f>'All regions'!E4066+"n/&gt;!(&lt;u"</f>
        <v>#VALUE!</v>
      </c>
      <c r="IF162" t="e">
        <f>'All regions'!F4066+"n/&gt;!(&lt;v"</f>
        <v>#VALUE!</v>
      </c>
      <c r="IG162" t="e">
        <f>'All regions'!G4066+"n/&gt;!(&lt;w"</f>
        <v>#VALUE!</v>
      </c>
      <c r="IH162" t="e">
        <f>'All regions'!H4066+"n/&gt;!(&lt;x"</f>
        <v>#VALUE!</v>
      </c>
      <c r="II162" t="e">
        <f>'All regions'!I4066+"n/&gt;!(&lt;y"</f>
        <v>#VALUE!</v>
      </c>
      <c r="IJ162" t="e">
        <f>'All regions'!J4066+"n/&gt;!(&lt;z"</f>
        <v>#VALUE!</v>
      </c>
      <c r="IK162" t="e">
        <f>'All regions'!A4067+"n/&gt;!(&lt;{"</f>
        <v>#VALUE!</v>
      </c>
      <c r="IL162" t="e">
        <f>'All regions'!B4067+"n/&gt;!(&lt;|"</f>
        <v>#VALUE!</v>
      </c>
      <c r="IM162" t="e">
        <f>'All regions'!C4067+"n/&gt;!(&lt;}"</f>
        <v>#VALUE!</v>
      </c>
      <c r="IN162" t="e">
        <f>'All regions'!D4067+"n/&gt;!(&lt;~"</f>
        <v>#VALUE!</v>
      </c>
      <c r="IO162" t="e">
        <f>'All regions'!E4067+"n/&gt;!(=#"</f>
        <v>#VALUE!</v>
      </c>
      <c r="IP162" t="e">
        <f>'All regions'!F4067+"n/&gt;!(=$"</f>
        <v>#VALUE!</v>
      </c>
      <c r="IQ162" t="e">
        <f>'All regions'!G4067+"n/&gt;!(=%"</f>
        <v>#VALUE!</v>
      </c>
      <c r="IR162" t="e">
        <f>'All regions'!H4067+"n/&gt;!(=&amp;"</f>
        <v>#VALUE!</v>
      </c>
      <c r="IS162" t="e">
        <f>'All regions'!I4067+"n/&gt;!(='"</f>
        <v>#VALUE!</v>
      </c>
      <c r="IT162" t="e">
        <f>'All regions'!J4067+"n/&gt;!(=("</f>
        <v>#VALUE!</v>
      </c>
      <c r="IU162" t="e">
        <f>'All regions'!A4068+"n/&gt;!(=)"</f>
        <v>#VALUE!</v>
      </c>
      <c r="IV162" t="e">
        <f>'All regions'!B4068+"n/&gt;!(=."</f>
        <v>#VALUE!</v>
      </c>
    </row>
    <row r="163" spans="6:256" x14ac:dyDescent="0.35">
      <c r="F163" t="e">
        <f>'All regions'!C4068+"n/&gt;!(=/"</f>
        <v>#VALUE!</v>
      </c>
      <c r="G163" t="e">
        <f>'All regions'!D4068+"n/&gt;!(=0"</f>
        <v>#VALUE!</v>
      </c>
      <c r="H163" t="e">
        <f>'All regions'!E4068+"n/&gt;!(=1"</f>
        <v>#VALUE!</v>
      </c>
      <c r="I163" t="e">
        <f>'All regions'!F4068+"n/&gt;!(=2"</f>
        <v>#VALUE!</v>
      </c>
      <c r="J163" t="e">
        <f>'All regions'!G4068+"n/&gt;!(=3"</f>
        <v>#VALUE!</v>
      </c>
      <c r="K163" t="e">
        <f>'All regions'!H4068+"n/&gt;!(=4"</f>
        <v>#VALUE!</v>
      </c>
      <c r="L163" t="e">
        <f>'All regions'!I4068+"n/&gt;!(=5"</f>
        <v>#VALUE!</v>
      </c>
      <c r="M163" t="e">
        <f>'All regions'!J4068+"n/&gt;!(=6"</f>
        <v>#VALUE!</v>
      </c>
      <c r="N163" t="e">
        <f>'All regions'!A4069+"n/&gt;!(=7"</f>
        <v>#VALUE!</v>
      </c>
      <c r="O163" t="e">
        <f>'All regions'!B4069+"n/&gt;!(=8"</f>
        <v>#VALUE!</v>
      </c>
      <c r="P163" t="e">
        <f>'All regions'!C4069+"n/&gt;!(=9"</f>
        <v>#VALUE!</v>
      </c>
      <c r="Q163" t="e">
        <f>'All regions'!D4069+"n/&gt;!(=:"</f>
        <v>#VALUE!</v>
      </c>
      <c r="R163" t="e">
        <f>'All regions'!E4069+"n/&gt;!(=;"</f>
        <v>#VALUE!</v>
      </c>
      <c r="S163" t="e">
        <f>'All regions'!F4069+"n/&gt;!(=&lt;"</f>
        <v>#VALUE!</v>
      </c>
      <c r="T163" t="e">
        <f>'All regions'!G4069+"n/&gt;!(=="</f>
        <v>#VALUE!</v>
      </c>
      <c r="U163" t="e">
        <f>'All regions'!H4069+"n/&gt;!(=&gt;"</f>
        <v>#VALUE!</v>
      </c>
      <c r="V163" t="e">
        <f>'All regions'!I4069+"n/&gt;!(=?"</f>
        <v>#VALUE!</v>
      </c>
      <c r="W163" t="e">
        <f>'All regions'!J4069+"n/&gt;!(=@"</f>
        <v>#VALUE!</v>
      </c>
      <c r="X163" t="e">
        <f>'All regions'!A4070+"n/&gt;!(=A"</f>
        <v>#VALUE!</v>
      </c>
      <c r="Y163" t="e">
        <f>'All regions'!B4070+"n/&gt;!(=B"</f>
        <v>#VALUE!</v>
      </c>
      <c r="Z163" t="e">
        <f>'All regions'!C4070+"n/&gt;!(=C"</f>
        <v>#VALUE!</v>
      </c>
      <c r="AA163" t="e">
        <f>'All regions'!D4070+"n/&gt;!(=D"</f>
        <v>#VALUE!</v>
      </c>
      <c r="AB163" t="e">
        <f>'All regions'!E4070+"n/&gt;!(=E"</f>
        <v>#VALUE!</v>
      </c>
      <c r="AC163" t="e">
        <f>'All regions'!F4070+"n/&gt;!(=F"</f>
        <v>#VALUE!</v>
      </c>
      <c r="AD163" t="e">
        <f>'All regions'!G4070+"n/&gt;!(=G"</f>
        <v>#VALUE!</v>
      </c>
      <c r="AE163" t="e">
        <f>'All regions'!H4070+"n/&gt;!(=H"</f>
        <v>#VALUE!</v>
      </c>
      <c r="AF163" t="e">
        <f>'All regions'!I4070+"n/&gt;!(=I"</f>
        <v>#VALUE!</v>
      </c>
      <c r="AG163" t="e">
        <f>'All regions'!J4070+"n/&gt;!(=J"</f>
        <v>#VALUE!</v>
      </c>
      <c r="AH163" t="e">
        <f>'All regions'!A4071+"n/&gt;!(=K"</f>
        <v>#VALUE!</v>
      </c>
      <c r="AI163" t="e">
        <f>'All regions'!B4071+"n/&gt;!(=L"</f>
        <v>#VALUE!</v>
      </c>
      <c r="AJ163" t="e">
        <f>'All regions'!C4071+"n/&gt;!(=M"</f>
        <v>#VALUE!</v>
      </c>
      <c r="AK163" t="e">
        <f>'All regions'!D4071+"n/&gt;!(=N"</f>
        <v>#VALUE!</v>
      </c>
      <c r="AL163" t="e">
        <f>'All regions'!E4071+"n/&gt;!(=O"</f>
        <v>#VALUE!</v>
      </c>
      <c r="AM163" t="e">
        <f>'All regions'!F4071+"n/&gt;!(=P"</f>
        <v>#VALUE!</v>
      </c>
      <c r="AN163" t="e">
        <f>'All regions'!G4071+"n/&gt;!(=Q"</f>
        <v>#VALUE!</v>
      </c>
      <c r="AO163" t="e">
        <f>'All regions'!H4071+"n/&gt;!(=R"</f>
        <v>#VALUE!</v>
      </c>
      <c r="AP163" t="e">
        <f>'All regions'!I4071+"n/&gt;!(=S"</f>
        <v>#VALUE!</v>
      </c>
      <c r="AQ163" t="e">
        <f>'All regions'!J4071+"n/&gt;!(=T"</f>
        <v>#VALUE!</v>
      </c>
      <c r="AR163" t="e">
        <f>'All regions'!A4072+"n/&gt;!(=U"</f>
        <v>#VALUE!</v>
      </c>
      <c r="AS163" t="e">
        <f>'All regions'!B4072+"n/&gt;!(=V"</f>
        <v>#VALUE!</v>
      </c>
      <c r="AT163" t="e">
        <f>'All regions'!C4072+"n/&gt;!(=W"</f>
        <v>#VALUE!</v>
      </c>
      <c r="AU163" t="e">
        <f>'All regions'!D4072+"n/&gt;!(=X"</f>
        <v>#VALUE!</v>
      </c>
      <c r="AV163" t="e">
        <f>'All regions'!E4072+"n/&gt;!(=Y"</f>
        <v>#VALUE!</v>
      </c>
      <c r="AW163" t="e">
        <f>'All regions'!F4072+"n/&gt;!(=Z"</f>
        <v>#VALUE!</v>
      </c>
      <c r="AX163" t="e">
        <f>'All regions'!G4072+"n/&gt;!(=["</f>
        <v>#VALUE!</v>
      </c>
      <c r="AY163" t="e">
        <f>'All regions'!H4072+"n/&gt;!(=\"</f>
        <v>#VALUE!</v>
      </c>
      <c r="AZ163" t="e">
        <f>'All regions'!I4072+"n/&gt;!(=]"</f>
        <v>#VALUE!</v>
      </c>
      <c r="BA163" t="e">
        <f>'All regions'!J4072+"n/&gt;!(=^"</f>
        <v>#VALUE!</v>
      </c>
      <c r="BB163" t="e">
        <f>'All regions'!A4073+"n/&gt;!(=_"</f>
        <v>#VALUE!</v>
      </c>
      <c r="BC163" t="e">
        <f>'All regions'!B4073+"n/&gt;!(=`"</f>
        <v>#VALUE!</v>
      </c>
      <c r="BD163" t="e">
        <f>'All regions'!C4073+"n/&gt;!(=a"</f>
        <v>#VALUE!</v>
      </c>
      <c r="BE163" t="e">
        <f>'All regions'!D4073+"n/&gt;!(=b"</f>
        <v>#VALUE!</v>
      </c>
      <c r="BF163" t="e">
        <f>'All regions'!E4073+"n/&gt;!(=c"</f>
        <v>#VALUE!</v>
      </c>
      <c r="BG163" t="e">
        <f>'All regions'!F4073+"n/&gt;!(=d"</f>
        <v>#VALUE!</v>
      </c>
      <c r="BH163" t="e">
        <f>'All regions'!G4073+"n/&gt;!(=e"</f>
        <v>#VALUE!</v>
      </c>
      <c r="BI163" t="e">
        <f>'All regions'!H4073+"n/&gt;!(=f"</f>
        <v>#VALUE!</v>
      </c>
      <c r="BJ163" t="e">
        <f>'All regions'!I4073+"n/&gt;!(=g"</f>
        <v>#VALUE!</v>
      </c>
      <c r="BK163" t="e">
        <f>'All regions'!J4073+"n/&gt;!(=h"</f>
        <v>#VALUE!</v>
      </c>
      <c r="BL163" t="e">
        <f>'All regions'!A4074+"n/&gt;!(=i"</f>
        <v>#VALUE!</v>
      </c>
      <c r="BM163" t="e">
        <f>'All regions'!B4074+"n/&gt;!(=j"</f>
        <v>#VALUE!</v>
      </c>
      <c r="BN163" t="e">
        <f>'All regions'!C4074+"n/&gt;!(=k"</f>
        <v>#VALUE!</v>
      </c>
      <c r="BO163" t="e">
        <f>'All regions'!D4074+"n/&gt;!(=l"</f>
        <v>#VALUE!</v>
      </c>
      <c r="BP163" t="e">
        <f>'All regions'!E4074+"n/&gt;!(=m"</f>
        <v>#VALUE!</v>
      </c>
      <c r="BQ163" t="e">
        <f>'All regions'!F4074+"n/&gt;!(=n"</f>
        <v>#VALUE!</v>
      </c>
      <c r="BR163" t="e">
        <f>'All regions'!G4074+"n/&gt;!(=o"</f>
        <v>#VALUE!</v>
      </c>
      <c r="BS163" t="e">
        <f>'All regions'!H4074+"n/&gt;!(=p"</f>
        <v>#VALUE!</v>
      </c>
      <c r="BT163" t="e">
        <f>'All regions'!I4074+"n/&gt;!(=q"</f>
        <v>#VALUE!</v>
      </c>
      <c r="BU163" t="e">
        <f>'All regions'!J4074+"n/&gt;!(=r"</f>
        <v>#VALUE!</v>
      </c>
      <c r="BV163" t="e">
        <f>'All regions'!A4075+"n/&gt;!(=s"</f>
        <v>#VALUE!</v>
      </c>
      <c r="BW163" t="e">
        <f>'All regions'!B4075+"n/&gt;!(=t"</f>
        <v>#VALUE!</v>
      </c>
      <c r="BX163" t="e">
        <f>'All regions'!C4075+"n/&gt;!(=u"</f>
        <v>#VALUE!</v>
      </c>
      <c r="BY163" t="e">
        <f>'All regions'!D4075+"n/&gt;!(=v"</f>
        <v>#VALUE!</v>
      </c>
      <c r="BZ163" t="e">
        <f>'All regions'!E4075+"n/&gt;!(=w"</f>
        <v>#VALUE!</v>
      </c>
      <c r="CA163" t="e">
        <f>'All regions'!F4075+"n/&gt;!(=x"</f>
        <v>#VALUE!</v>
      </c>
      <c r="CB163" t="e">
        <f>'All regions'!G4075+"n/&gt;!(=y"</f>
        <v>#VALUE!</v>
      </c>
      <c r="CC163" t="e">
        <f>'All regions'!H4075+"n/&gt;!(=z"</f>
        <v>#VALUE!</v>
      </c>
      <c r="CD163" t="e">
        <f>'All regions'!I4075+"n/&gt;!(={"</f>
        <v>#VALUE!</v>
      </c>
      <c r="CE163" t="e">
        <f>'All regions'!J4075+"n/&gt;!(=|"</f>
        <v>#VALUE!</v>
      </c>
      <c r="CF163" t="e">
        <f>'All regions'!A4076+"n/&gt;!(=}"</f>
        <v>#VALUE!</v>
      </c>
      <c r="CG163" t="e">
        <f>'All regions'!B4076+"n/&gt;!(=~"</f>
        <v>#VALUE!</v>
      </c>
      <c r="CH163" t="e">
        <f>'All regions'!C4076+"n/&gt;!(&gt;#"</f>
        <v>#VALUE!</v>
      </c>
      <c r="CI163" t="e">
        <f>'All regions'!D4076+"n/&gt;!(&gt;$"</f>
        <v>#VALUE!</v>
      </c>
      <c r="CJ163" t="e">
        <f>'All regions'!E4076+"n/&gt;!(&gt;%"</f>
        <v>#VALUE!</v>
      </c>
      <c r="CK163" t="e">
        <f>'All regions'!F4076+"n/&gt;!(&gt;&amp;"</f>
        <v>#VALUE!</v>
      </c>
      <c r="CL163" t="e">
        <f>'All regions'!G4076+"n/&gt;!(&gt;'"</f>
        <v>#VALUE!</v>
      </c>
      <c r="CM163" t="e">
        <f>'All regions'!H4076+"n/&gt;!(&gt;("</f>
        <v>#VALUE!</v>
      </c>
      <c r="CN163" t="e">
        <f>'All regions'!I4076+"n/&gt;!(&gt;)"</f>
        <v>#VALUE!</v>
      </c>
      <c r="CO163" t="e">
        <f>'All regions'!J4076+"n/&gt;!(&gt;."</f>
        <v>#VALUE!</v>
      </c>
      <c r="CP163" t="e">
        <f>'All regions'!A4077+"n/&gt;!(&gt;/"</f>
        <v>#VALUE!</v>
      </c>
      <c r="CQ163" t="e">
        <f>'All regions'!B4077+"n/&gt;!(&gt;0"</f>
        <v>#VALUE!</v>
      </c>
      <c r="CR163" t="e">
        <f>'All regions'!C4077+"n/&gt;!(&gt;1"</f>
        <v>#VALUE!</v>
      </c>
      <c r="CS163" t="e">
        <f>'All regions'!D4077+"n/&gt;!(&gt;2"</f>
        <v>#VALUE!</v>
      </c>
      <c r="CT163" t="e">
        <f>'All regions'!E4077+"n/&gt;!(&gt;3"</f>
        <v>#VALUE!</v>
      </c>
      <c r="CU163" t="e">
        <f>'All regions'!F4077+"n/&gt;!(&gt;4"</f>
        <v>#VALUE!</v>
      </c>
      <c r="CV163" t="e">
        <f>'All regions'!G4077+"n/&gt;!(&gt;5"</f>
        <v>#VALUE!</v>
      </c>
      <c r="CW163" t="e">
        <f>'All regions'!H4077+"n/&gt;!(&gt;6"</f>
        <v>#VALUE!</v>
      </c>
      <c r="CX163" t="e">
        <f>'All regions'!I4077+"n/&gt;!(&gt;7"</f>
        <v>#VALUE!</v>
      </c>
      <c r="CY163" t="e">
        <f>'All regions'!J4077+"n/&gt;!(&gt;8"</f>
        <v>#VALUE!</v>
      </c>
      <c r="CZ163" t="e">
        <f>'All regions'!A4078+"n/&gt;!(&gt;9"</f>
        <v>#VALUE!</v>
      </c>
      <c r="DA163" t="e">
        <f>'All regions'!B4078+"n/&gt;!(&gt;:"</f>
        <v>#VALUE!</v>
      </c>
      <c r="DB163" t="e">
        <f>'All regions'!C4078+"n/&gt;!(&gt;;"</f>
        <v>#VALUE!</v>
      </c>
      <c r="DC163" t="e">
        <f>'All regions'!D4078+"n/&gt;!(&gt;&lt;"</f>
        <v>#VALUE!</v>
      </c>
      <c r="DD163" t="e">
        <f>'All regions'!E4078+"n/&gt;!(&gt;="</f>
        <v>#VALUE!</v>
      </c>
      <c r="DE163" t="e">
        <f>'All regions'!F4078+"n/&gt;!(&gt;&gt;"</f>
        <v>#VALUE!</v>
      </c>
      <c r="DF163" t="e">
        <f>'All regions'!G4078+"n/&gt;!(&gt;?"</f>
        <v>#VALUE!</v>
      </c>
      <c r="DG163" t="e">
        <f>'All regions'!H4078+"n/&gt;!(&gt;@"</f>
        <v>#VALUE!</v>
      </c>
      <c r="DH163" t="e">
        <f>'All regions'!I4078+"n/&gt;!(&gt;A"</f>
        <v>#VALUE!</v>
      </c>
      <c r="DI163" t="e">
        <f>'All regions'!J4078+"n/&gt;!(&gt;B"</f>
        <v>#VALUE!</v>
      </c>
      <c r="DJ163" t="e">
        <f>'All regions'!A4079+"n/&gt;!(&gt;C"</f>
        <v>#VALUE!</v>
      </c>
      <c r="DK163" t="e">
        <f>'All regions'!B4079+"n/&gt;!(&gt;D"</f>
        <v>#VALUE!</v>
      </c>
      <c r="DL163" t="e">
        <f>'All regions'!C4079+"n/&gt;!(&gt;E"</f>
        <v>#VALUE!</v>
      </c>
      <c r="DM163" t="e">
        <f>'All regions'!D4079+"n/&gt;!(&gt;F"</f>
        <v>#VALUE!</v>
      </c>
      <c r="DN163" t="e">
        <f>'All regions'!E4079+"n/&gt;!(&gt;G"</f>
        <v>#VALUE!</v>
      </c>
      <c r="DO163" t="e">
        <f>'All regions'!F4079+"n/&gt;!(&gt;H"</f>
        <v>#VALUE!</v>
      </c>
      <c r="DP163" t="e">
        <f>'All regions'!G4079+"n/&gt;!(&gt;I"</f>
        <v>#VALUE!</v>
      </c>
      <c r="DQ163" t="e">
        <f>'All regions'!H4079+"n/&gt;!(&gt;J"</f>
        <v>#VALUE!</v>
      </c>
      <c r="DR163" t="e">
        <f>'All regions'!I4079+"n/&gt;!(&gt;K"</f>
        <v>#VALUE!</v>
      </c>
      <c r="DS163" t="e">
        <f>'All regions'!J4079+"n/&gt;!(&gt;L"</f>
        <v>#VALUE!</v>
      </c>
      <c r="DT163" t="e">
        <f>'All regions'!A4080+"n/&gt;!(&gt;M"</f>
        <v>#VALUE!</v>
      </c>
      <c r="DU163" t="e">
        <f>'All regions'!B4080+"n/&gt;!(&gt;N"</f>
        <v>#VALUE!</v>
      </c>
      <c r="DV163" t="e">
        <f>'All regions'!C4080+"n/&gt;!(&gt;O"</f>
        <v>#VALUE!</v>
      </c>
      <c r="DW163" t="e">
        <f>'All regions'!D4080+"n/&gt;!(&gt;P"</f>
        <v>#VALUE!</v>
      </c>
      <c r="DX163" t="e">
        <f>'All regions'!E4080+"n/&gt;!(&gt;Q"</f>
        <v>#VALUE!</v>
      </c>
      <c r="DY163" t="e">
        <f>'All regions'!F4080+"n/&gt;!(&gt;R"</f>
        <v>#VALUE!</v>
      </c>
      <c r="DZ163" t="e">
        <f>'All regions'!G4080+"n/&gt;!(&gt;S"</f>
        <v>#VALUE!</v>
      </c>
      <c r="EA163" t="e">
        <f>'All regions'!H4080+"n/&gt;!(&gt;T"</f>
        <v>#VALUE!</v>
      </c>
      <c r="EB163" t="e">
        <f>'All regions'!I4080+"n/&gt;!(&gt;U"</f>
        <v>#VALUE!</v>
      </c>
      <c r="EC163" t="e">
        <f>'All regions'!J4080+"n/&gt;!(&gt;V"</f>
        <v>#VALUE!</v>
      </c>
      <c r="ED163" t="e">
        <f>'All regions'!A4081+"n/&gt;!(&gt;W"</f>
        <v>#VALUE!</v>
      </c>
      <c r="EE163" t="e">
        <f>'All regions'!B4081+"n/&gt;!(&gt;X"</f>
        <v>#VALUE!</v>
      </c>
      <c r="EF163" t="e">
        <f>'All regions'!C4081+"n/&gt;!(&gt;Y"</f>
        <v>#VALUE!</v>
      </c>
      <c r="EG163" t="e">
        <f>'All regions'!D4081+"n/&gt;!(&gt;Z"</f>
        <v>#VALUE!</v>
      </c>
      <c r="EH163" t="e">
        <f>'All regions'!E4081+"n/&gt;!(&gt;["</f>
        <v>#VALUE!</v>
      </c>
      <c r="EI163" t="e">
        <f>'All regions'!F4081+"n/&gt;!(&gt;\"</f>
        <v>#VALUE!</v>
      </c>
      <c r="EJ163" t="e">
        <f>'All regions'!G4081+"n/&gt;!(&gt;]"</f>
        <v>#VALUE!</v>
      </c>
      <c r="EK163" t="e">
        <f>'All regions'!H4081+"n/&gt;!(&gt;^"</f>
        <v>#VALUE!</v>
      </c>
      <c r="EL163" t="e">
        <f>'All regions'!I4081+"n/&gt;!(&gt;_"</f>
        <v>#VALUE!</v>
      </c>
      <c r="EM163" t="e">
        <f>'All regions'!J4081+"n/&gt;!(&gt;`"</f>
        <v>#VALUE!</v>
      </c>
      <c r="EN163" t="e">
        <f>'All regions'!A4082+"n/&gt;!(&gt;a"</f>
        <v>#VALUE!</v>
      </c>
      <c r="EO163" t="e">
        <f>'All regions'!B4082+"n/&gt;!(&gt;b"</f>
        <v>#VALUE!</v>
      </c>
      <c r="EP163" t="e">
        <f>'All regions'!C4082+"n/&gt;!(&gt;c"</f>
        <v>#VALUE!</v>
      </c>
      <c r="EQ163" t="e">
        <f>'All regions'!D4082+"n/&gt;!(&gt;d"</f>
        <v>#VALUE!</v>
      </c>
      <c r="ER163" t="e">
        <f>'All regions'!E4082+"n/&gt;!(&gt;e"</f>
        <v>#VALUE!</v>
      </c>
      <c r="ES163" t="e">
        <f>'All regions'!F4082+"n/&gt;!(&gt;f"</f>
        <v>#VALUE!</v>
      </c>
      <c r="ET163" t="e">
        <f>'All regions'!G4082+"n/&gt;!(&gt;g"</f>
        <v>#VALUE!</v>
      </c>
      <c r="EU163" t="e">
        <f>'All regions'!H4082+"n/&gt;!(&gt;h"</f>
        <v>#VALUE!</v>
      </c>
      <c r="EV163" t="e">
        <f>'All regions'!I4082+"n/&gt;!(&gt;i"</f>
        <v>#VALUE!</v>
      </c>
      <c r="EW163" t="e">
        <f>'All regions'!J4082+"n/&gt;!(&gt;j"</f>
        <v>#VALUE!</v>
      </c>
      <c r="EX163" t="e">
        <f>'All regions'!A4083+"n/&gt;!(&gt;k"</f>
        <v>#VALUE!</v>
      </c>
      <c r="EY163" t="e">
        <f>'All regions'!B4083+"n/&gt;!(&gt;l"</f>
        <v>#VALUE!</v>
      </c>
      <c r="EZ163" t="e">
        <f>'All regions'!C4083+"n/&gt;!(&gt;m"</f>
        <v>#VALUE!</v>
      </c>
      <c r="FA163" t="e">
        <f>'All regions'!D4083+"n/&gt;!(&gt;n"</f>
        <v>#VALUE!</v>
      </c>
      <c r="FB163" t="e">
        <f>'All regions'!E4083+"n/&gt;!(&gt;o"</f>
        <v>#VALUE!</v>
      </c>
      <c r="FC163" t="e">
        <f>'All regions'!F4083+"n/&gt;!(&gt;p"</f>
        <v>#VALUE!</v>
      </c>
      <c r="FD163" t="e">
        <f>'All regions'!G4083+"n/&gt;!(&gt;q"</f>
        <v>#VALUE!</v>
      </c>
      <c r="FE163" t="e">
        <f>'All regions'!H4083+"n/&gt;!(&gt;r"</f>
        <v>#VALUE!</v>
      </c>
      <c r="FF163" t="e">
        <f>'All regions'!I4083+"n/&gt;!(&gt;s"</f>
        <v>#VALUE!</v>
      </c>
      <c r="FG163" t="e">
        <f>'All regions'!J4083+"n/&gt;!(&gt;t"</f>
        <v>#VALUE!</v>
      </c>
      <c r="FH163" t="e">
        <f>'All regions'!A4084+"n/&gt;!(&gt;u"</f>
        <v>#VALUE!</v>
      </c>
      <c r="FI163" t="e">
        <f>'All regions'!B4084+"n/&gt;!(&gt;v"</f>
        <v>#VALUE!</v>
      </c>
      <c r="FJ163" t="e">
        <f>'All regions'!C4084+"n/&gt;!(&gt;w"</f>
        <v>#VALUE!</v>
      </c>
      <c r="FK163" t="e">
        <f>'All regions'!D4084+"n/&gt;!(&gt;x"</f>
        <v>#VALUE!</v>
      </c>
      <c r="FL163" t="e">
        <f>'All regions'!E4084+"n/&gt;!(&gt;y"</f>
        <v>#VALUE!</v>
      </c>
      <c r="FM163" t="e">
        <f>'All regions'!F4084+"n/&gt;!(&gt;z"</f>
        <v>#VALUE!</v>
      </c>
      <c r="FN163" t="e">
        <f>'All regions'!G4084+"n/&gt;!(&gt;{"</f>
        <v>#VALUE!</v>
      </c>
      <c r="FO163" t="e">
        <f>'All regions'!H4084+"n/&gt;!(&gt;|"</f>
        <v>#VALUE!</v>
      </c>
      <c r="FP163" t="e">
        <f>'All regions'!I4084+"n/&gt;!(&gt;}"</f>
        <v>#VALUE!</v>
      </c>
      <c r="FQ163" t="e">
        <f>'All regions'!J4084+"n/&gt;!(&gt;~"</f>
        <v>#VALUE!</v>
      </c>
      <c r="FR163" t="e">
        <f>'All regions'!A4085+"n/&gt;!(?#"</f>
        <v>#VALUE!</v>
      </c>
      <c r="FS163" t="e">
        <f>'All regions'!B4085+"n/&gt;!(?$"</f>
        <v>#VALUE!</v>
      </c>
      <c r="FT163" t="e">
        <f>'All regions'!C4085+"n/&gt;!(?%"</f>
        <v>#VALUE!</v>
      </c>
      <c r="FU163" t="e">
        <f>'All regions'!D4085+"n/&gt;!(?&amp;"</f>
        <v>#VALUE!</v>
      </c>
      <c r="FV163" t="e">
        <f>'All regions'!E4085+"n/&gt;!(?'"</f>
        <v>#VALUE!</v>
      </c>
      <c r="FW163" t="e">
        <f>'All regions'!F4085+"n/&gt;!(?("</f>
        <v>#VALUE!</v>
      </c>
      <c r="FX163" t="e">
        <f>'All regions'!G4085+"n/&gt;!(?)"</f>
        <v>#VALUE!</v>
      </c>
      <c r="FY163" t="e">
        <f>'All regions'!H4085+"n/&gt;!(?."</f>
        <v>#VALUE!</v>
      </c>
      <c r="FZ163" t="e">
        <f>'All regions'!I4085+"n/&gt;!(?/"</f>
        <v>#VALUE!</v>
      </c>
      <c r="GA163" t="e">
        <f>'All regions'!J4085+"n/&gt;!(?0"</f>
        <v>#VALUE!</v>
      </c>
      <c r="GB163" t="e">
        <f>'All regions'!A4086+"n/&gt;!(?1"</f>
        <v>#VALUE!</v>
      </c>
      <c r="GC163" t="e">
        <f>'All regions'!B4086+"n/&gt;!(?2"</f>
        <v>#VALUE!</v>
      </c>
      <c r="GD163" t="e">
        <f>'All regions'!C4086+"n/&gt;!(?3"</f>
        <v>#VALUE!</v>
      </c>
      <c r="GE163" t="e">
        <f>'All regions'!D4086+"n/&gt;!(?4"</f>
        <v>#VALUE!</v>
      </c>
      <c r="GF163" t="e">
        <f>'All regions'!E4086+"n/&gt;!(?5"</f>
        <v>#VALUE!</v>
      </c>
      <c r="GG163" t="e">
        <f>'All regions'!F4086+"n/&gt;!(?6"</f>
        <v>#VALUE!</v>
      </c>
      <c r="GH163" t="e">
        <f>'All regions'!G4086+"n/&gt;!(?7"</f>
        <v>#VALUE!</v>
      </c>
      <c r="GI163" t="e">
        <f>'All regions'!H4086+"n/&gt;!(?8"</f>
        <v>#VALUE!</v>
      </c>
      <c r="GJ163" t="e">
        <f>'All regions'!I4086+"n/&gt;!(?9"</f>
        <v>#VALUE!</v>
      </c>
      <c r="GK163" t="e">
        <f>'All regions'!J4086+"n/&gt;!(?:"</f>
        <v>#VALUE!</v>
      </c>
      <c r="GL163" t="e">
        <f>'All regions'!A4087+"n/&gt;!(?;"</f>
        <v>#VALUE!</v>
      </c>
      <c r="GM163" t="e">
        <f>'All regions'!B4087+"n/&gt;!(?&lt;"</f>
        <v>#VALUE!</v>
      </c>
      <c r="GN163" t="e">
        <f>'All regions'!C4087+"n/&gt;!(?="</f>
        <v>#VALUE!</v>
      </c>
      <c r="GO163" t="e">
        <f>'All regions'!D4087+"n/&gt;!(?&gt;"</f>
        <v>#VALUE!</v>
      </c>
      <c r="GP163" t="e">
        <f>'All regions'!E4087+"n/&gt;!(??"</f>
        <v>#VALUE!</v>
      </c>
      <c r="GQ163" t="e">
        <f>'All regions'!F4087+"n/&gt;!(?@"</f>
        <v>#VALUE!</v>
      </c>
      <c r="GR163" t="e">
        <f>'All regions'!G4087+"n/&gt;!(?A"</f>
        <v>#VALUE!</v>
      </c>
      <c r="GS163" t="e">
        <f>'All regions'!H4087+"n/&gt;!(?B"</f>
        <v>#VALUE!</v>
      </c>
      <c r="GT163" t="e">
        <f>'All regions'!I4087+"n/&gt;!(?C"</f>
        <v>#VALUE!</v>
      </c>
      <c r="GU163" t="e">
        <f>'All regions'!J4087+"n/&gt;!(?D"</f>
        <v>#VALUE!</v>
      </c>
      <c r="GV163" t="e">
        <f>'All regions'!A4088+"n/&gt;!(?E"</f>
        <v>#VALUE!</v>
      </c>
      <c r="GW163" t="e">
        <f>'All regions'!B4088+"n/&gt;!(?F"</f>
        <v>#VALUE!</v>
      </c>
      <c r="GX163" t="e">
        <f>'All regions'!C4088+"n/&gt;!(?G"</f>
        <v>#VALUE!</v>
      </c>
      <c r="GY163" t="e">
        <f>'All regions'!D4088+"n/&gt;!(?H"</f>
        <v>#VALUE!</v>
      </c>
      <c r="GZ163" t="e">
        <f>'All regions'!E4088+"n/&gt;!(?I"</f>
        <v>#VALUE!</v>
      </c>
      <c r="HA163" t="e">
        <f>'All regions'!F4088+"n/&gt;!(?J"</f>
        <v>#VALUE!</v>
      </c>
      <c r="HB163" t="e">
        <f>'All regions'!G4088+"n/&gt;!(?K"</f>
        <v>#VALUE!</v>
      </c>
      <c r="HC163" t="e">
        <f>'All regions'!H4088+"n/&gt;!(?L"</f>
        <v>#VALUE!</v>
      </c>
      <c r="HD163" t="e">
        <f>'All regions'!I4088+"n/&gt;!(?M"</f>
        <v>#VALUE!</v>
      </c>
      <c r="HE163" t="e">
        <f>'All regions'!J4088+"n/&gt;!(?N"</f>
        <v>#VALUE!</v>
      </c>
      <c r="HF163" t="e">
        <f>'All regions'!A4089+"n/&gt;!(?O"</f>
        <v>#VALUE!</v>
      </c>
      <c r="HG163" t="e">
        <f>'All regions'!B4089+"n/&gt;!(?P"</f>
        <v>#VALUE!</v>
      </c>
      <c r="HH163" t="e">
        <f>'All regions'!C4089+"n/&gt;!(?Q"</f>
        <v>#VALUE!</v>
      </c>
      <c r="HI163" t="e">
        <f>'All regions'!D4089+"n/&gt;!(?R"</f>
        <v>#VALUE!</v>
      </c>
      <c r="HJ163" t="e">
        <f>'All regions'!E4089+"n/&gt;!(?S"</f>
        <v>#VALUE!</v>
      </c>
      <c r="HK163" t="e">
        <f>'All regions'!F4089+"n/&gt;!(?T"</f>
        <v>#VALUE!</v>
      </c>
      <c r="HL163" t="e">
        <f>'All regions'!G4089+"n/&gt;!(?U"</f>
        <v>#VALUE!</v>
      </c>
      <c r="HM163" t="e">
        <f>'All regions'!H4089+"n/&gt;!(?V"</f>
        <v>#VALUE!</v>
      </c>
      <c r="HN163" t="e">
        <f>'All regions'!I4089+"n/&gt;!(?W"</f>
        <v>#VALUE!</v>
      </c>
      <c r="HO163" t="e">
        <f>'All regions'!J4089+"n/&gt;!(?X"</f>
        <v>#VALUE!</v>
      </c>
      <c r="HP163" t="e">
        <f>'All regions'!A4090+"n/&gt;!(?Y"</f>
        <v>#VALUE!</v>
      </c>
      <c r="HQ163" t="e">
        <f>'All regions'!B4090+"n/&gt;!(?Z"</f>
        <v>#VALUE!</v>
      </c>
      <c r="HR163" t="e">
        <f>'All regions'!C4090+"n/&gt;!(?["</f>
        <v>#VALUE!</v>
      </c>
      <c r="HS163" t="e">
        <f>'All regions'!D4090+"n/&gt;!(?\"</f>
        <v>#VALUE!</v>
      </c>
      <c r="HT163" t="e">
        <f>'All regions'!E4090+"n/&gt;!(?]"</f>
        <v>#VALUE!</v>
      </c>
      <c r="HU163" t="e">
        <f>'All regions'!F4090+"n/&gt;!(?^"</f>
        <v>#VALUE!</v>
      </c>
      <c r="HV163" t="e">
        <f>'All regions'!G4090+"n/&gt;!(?_"</f>
        <v>#VALUE!</v>
      </c>
      <c r="HW163" t="e">
        <f>'All regions'!H4090+"n/&gt;!(?`"</f>
        <v>#VALUE!</v>
      </c>
      <c r="HX163" t="e">
        <f>'All regions'!I4090+"n/&gt;!(?a"</f>
        <v>#VALUE!</v>
      </c>
      <c r="HY163" t="e">
        <f>'All regions'!J4090+"n/&gt;!(?b"</f>
        <v>#VALUE!</v>
      </c>
      <c r="HZ163" t="e">
        <f>'All regions'!A4091+"n/&gt;!(?c"</f>
        <v>#VALUE!</v>
      </c>
      <c r="IA163" t="e">
        <f>'All regions'!B4091+"n/&gt;!(?d"</f>
        <v>#VALUE!</v>
      </c>
      <c r="IB163" t="e">
        <f>'All regions'!C4091+"n/&gt;!(?e"</f>
        <v>#VALUE!</v>
      </c>
      <c r="IC163" t="e">
        <f>'All regions'!D4091+"n/&gt;!(?f"</f>
        <v>#VALUE!</v>
      </c>
      <c r="ID163" t="e">
        <f>'All regions'!E4091+"n/&gt;!(?g"</f>
        <v>#VALUE!</v>
      </c>
      <c r="IE163" t="e">
        <f>'All regions'!F4091+"n/&gt;!(?h"</f>
        <v>#VALUE!</v>
      </c>
      <c r="IF163" t="e">
        <f>'All regions'!G4091+"n/&gt;!(?i"</f>
        <v>#VALUE!</v>
      </c>
      <c r="IG163" t="e">
        <f>'All regions'!H4091+"n/&gt;!(?j"</f>
        <v>#VALUE!</v>
      </c>
      <c r="IH163" t="e">
        <f>'All regions'!I4091+"n/&gt;!(?k"</f>
        <v>#VALUE!</v>
      </c>
      <c r="II163" t="e">
        <f>'All regions'!J4091+"n/&gt;!(?l"</f>
        <v>#VALUE!</v>
      </c>
      <c r="IJ163" t="e">
        <f>'All regions'!A4092+"n/&gt;!(?m"</f>
        <v>#VALUE!</v>
      </c>
      <c r="IK163" t="e">
        <f>'All regions'!B4092+"n/&gt;!(?n"</f>
        <v>#VALUE!</v>
      </c>
      <c r="IL163" t="e">
        <f>'All regions'!C4092+"n/&gt;!(?o"</f>
        <v>#VALUE!</v>
      </c>
      <c r="IM163" t="e">
        <f>'All regions'!D4092+"n/&gt;!(?p"</f>
        <v>#VALUE!</v>
      </c>
      <c r="IN163" t="e">
        <f>'All regions'!E4092+"n/&gt;!(?q"</f>
        <v>#VALUE!</v>
      </c>
      <c r="IO163" t="e">
        <f>'All regions'!F4092+"n/&gt;!(?r"</f>
        <v>#VALUE!</v>
      </c>
      <c r="IP163" t="e">
        <f>'All regions'!G4092+"n/&gt;!(?s"</f>
        <v>#VALUE!</v>
      </c>
      <c r="IQ163" t="e">
        <f>'All regions'!H4092+"n/&gt;!(?t"</f>
        <v>#VALUE!</v>
      </c>
      <c r="IR163" t="e">
        <f>'All regions'!I4092+"n/&gt;!(?u"</f>
        <v>#VALUE!</v>
      </c>
      <c r="IS163" t="e">
        <f>'All regions'!J4092+"n/&gt;!(?v"</f>
        <v>#VALUE!</v>
      </c>
      <c r="IT163" t="e">
        <f>'All regions'!A4093+"n/&gt;!(?w"</f>
        <v>#VALUE!</v>
      </c>
      <c r="IU163" t="e">
        <f>'All regions'!B4093+"n/&gt;!(?x"</f>
        <v>#VALUE!</v>
      </c>
      <c r="IV163" t="e">
        <f>'All regions'!C4093+"n/&gt;!(?y"</f>
        <v>#VALUE!</v>
      </c>
    </row>
    <row r="164" spans="6:256" x14ac:dyDescent="0.35">
      <c r="F164" t="e">
        <f>'All regions'!D4093+"n/&gt;!(?z"</f>
        <v>#VALUE!</v>
      </c>
      <c r="G164" t="e">
        <f>'All regions'!E4093+"n/&gt;!(?{"</f>
        <v>#VALUE!</v>
      </c>
      <c r="H164" t="e">
        <f>'All regions'!F4093+"n/&gt;!(?|"</f>
        <v>#VALUE!</v>
      </c>
      <c r="I164" t="e">
        <f>'All regions'!G4093+"n/&gt;!(?}"</f>
        <v>#VALUE!</v>
      </c>
      <c r="J164" t="e">
        <f>'All regions'!H4093+"n/&gt;!(?~"</f>
        <v>#VALUE!</v>
      </c>
      <c r="K164" t="e">
        <f>'All regions'!I4093+"n/&gt;!(@#"</f>
        <v>#VALUE!</v>
      </c>
      <c r="L164" t="e">
        <f>'All regions'!J4093+"n/&gt;!(@$"</f>
        <v>#VALUE!</v>
      </c>
      <c r="M164" t="e">
        <f>'All regions'!A4094+"n/&gt;!(@%"</f>
        <v>#VALUE!</v>
      </c>
      <c r="N164" t="e">
        <f>'All regions'!B4094+"n/&gt;!(@&amp;"</f>
        <v>#VALUE!</v>
      </c>
      <c r="O164" t="e">
        <f>'All regions'!C4094+"n/&gt;!(@'"</f>
        <v>#VALUE!</v>
      </c>
      <c r="P164" t="e">
        <f>'All regions'!D4094+"n/&gt;!(@("</f>
        <v>#VALUE!</v>
      </c>
      <c r="Q164" t="e">
        <f>'All regions'!E4094+"n/&gt;!(@)"</f>
        <v>#VALUE!</v>
      </c>
      <c r="R164" t="e">
        <f>'All regions'!F4094+"n/&gt;!(@."</f>
        <v>#VALUE!</v>
      </c>
      <c r="S164" t="e">
        <f>'All regions'!G4094+"n/&gt;!(@/"</f>
        <v>#VALUE!</v>
      </c>
      <c r="T164" t="e">
        <f>'All regions'!H4094+"n/&gt;!(@0"</f>
        <v>#VALUE!</v>
      </c>
      <c r="U164" t="e">
        <f>'All regions'!I4094+"n/&gt;!(@1"</f>
        <v>#VALUE!</v>
      </c>
      <c r="V164" t="e">
        <f>'All regions'!J4094+"n/&gt;!(@2"</f>
        <v>#VALUE!</v>
      </c>
      <c r="W164" t="e">
        <f>'All regions'!A4095+"n/&gt;!(@3"</f>
        <v>#VALUE!</v>
      </c>
      <c r="X164" t="e">
        <f>'All regions'!B4095+"n/&gt;!(@4"</f>
        <v>#VALUE!</v>
      </c>
      <c r="Y164" t="e">
        <f>'All regions'!C4095+"n/&gt;!(@5"</f>
        <v>#VALUE!</v>
      </c>
      <c r="Z164" t="e">
        <f>'All regions'!D4095+"n/&gt;!(@6"</f>
        <v>#VALUE!</v>
      </c>
      <c r="AA164" t="e">
        <f>'All regions'!E4095+"n/&gt;!(@7"</f>
        <v>#VALUE!</v>
      </c>
      <c r="AB164" t="e">
        <f>'All regions'!F4095+"n/&gt;!(@8"</f>
        <v>#VALUE!</v>
      </c>
      <c r="AC164" t="e">
        <f>'All regions'!G4095+"n/&gt;!(@9"</f>
        <v>#VALUE!</v>
      </c>
      <c r="AD164" t="e">
        <f>'All regions'!H4095+"n/&gt;!(@:"</f>
        <v>#VALUE!</v>
      </c>
      <c r="AE164" t="e">
        <f>'All regions'!I4095+"n/&gt;!(@;"</f>
        <v>#VALUE!</v>
      </c>
      <c r="AF164" t="e">
        <f>'All regions'!J4095+"n/&gt;!(@&lt;"</f>
        <v>#VALUE!</v>
      </c>
      <c r="AG164" t="e">
        <f>'All regions'!A4096+"n/&gt;!(@="</f>
        <v>#VALUE!</v>
      </c>
      <c r="AH164" t="e">
        <f>'All regions'!B4096+"n/&gt;!(@&gt;"</f>
        <v>#VALUE!</v>
      </c>
      <c r="AI164" t="e">
        <f>'All regions'!C4096+"n/&gt;!(@?"</f>
        <v>#VALUE!</v>
      </c>
      <c r="AJ164" t="e">
        <f>'All regions'!D4096+"n/&gt;!(@@"</f>
        <v>#VALUE!</v>
      </c>
      <c r="AK164" t="e">
        <f>'All regions'!E4096+"n/&gt;!(@A"</f>
        <v>#VALUE!</v>
      </c>
      <c r="AL164" t="e">
        <f>'All regions'!F4096+"n/&gt;!(@B"</f>
        <v>#VALUE!</v>
      </c>
      <c r="AM164" t="e">
        <f>'All regions'!G4096+"n/&gt;!(@C"</f>
        <v>#VALUE!</v>
      </c>
      <c r="AN164" t="e">
        <f>'All regions'!H4096+"n/&gt;!(@D"</f>
        <v>#VALUE!</v>
      </c>
      <c r="AO164" t="e">
        <f>'All regions'!I4096+"n/&gt;!(@E"</f>
        <v>#VALUE!</v>
      </c>
      <c r="AP164" t="e">
        <f>'All regions'!J4096+"n/&gt;!(@F"</f>
        <v>#VALUE!</v>
      </c>
      <c r="AQ164" t="e">
        <f>'All regions'!A4097+"n/&gt;!(@G"</f>
        <v>#VALUE!</v>
      </c>
      <c r="AR164" t="e">
        <f>'All regions'!B4097+"n/&gt;!(@H"</f>
        <v>#VALUE!</v>
      </c>
      <c r="AS164" t="e">
        <f>'All regions'!C4097+"n/&gt;!(@I"</f>
        <v>#VALUE!</v>
      </c>
      <c r="AT164" t="e">
        <f>'All regions'!D4097+"n/&gt;!(@J"</f>
        <v>#VALUE!</v>
      </c>
      <c r="AU164" t="e">
        <f>'All regions'!E4097+"n/&gt;!(@K"</f>
        <v>#VALUE!</v>
      </c>
      <c r="AV164" t="e">
        <f>'All regions'!F4097+"n/&gt;!(@L"</f>
        <v>#VALUE!</v>
      </c>
      <c r="AW164" t="e">
        <f>'All regions'!G4097+"n/&gt;!(@M"</f>
        <v>#VALUE!</v>
      </c>
      <c r="AX164" t="e">
        <f>'All regions'!H4097+"n/&gt;!(@N"</f>
        <v>#VALUE!</v>
      </c>
      <c r="AY164" t="e">
        <f>'All regions'!I4097+"n/&gt;!(@O"</f>
        <v>#VALUE!</v>
      </c>
      <c r="AZ164" t="e">
        <f>'All regions'!J4097+"n/&gt;!(@P"</f>
        <v>#VALUE!</v>
      </c>
      <c r="BA164" t="e">
        <f>'All regions'!A4098+"n/&gt;!(@Q"</f>
        <v>#VALUE!</v>
      </c>
      <c r="BB164" t="e">
        <f>'All regions'!B4098+"n/&gt;!(@R"</f>
        <v>#VALUE!</v>
      </c>
      <c r="BC164" t="e">
        <f>'All regions'!C4098+"n/&gt;!(@S"</f>
        <v>#VALUE!</v>
      </c>
      <c r="BD164" t="e">
        <f>'All regions'!D4098+"n/&gt;!(@T"</f>
        <v>#VALUE!</v>
      </c>
      <c r="BE164" t="e">
        <f>'All regions'!E4098+"n/&gt;!(@U"</f>
        <v>#VALUE!</v>
      </c>
      <c r="BF164" t="e">
        <f>'All regions'!F4098+"n/&gt;!(@V"</f>
        <v>#VALUE!</v>
      </c>
      <c r="BG164" t="e">
        <f>'All regions'!G4098+"n/&gt;!(@W"</f>
        <v>#VALUE!</v>
      </c>
      <c r="BH164" t="e">
        <f>'All regions'!H4098+"n/&gt;!(@X"</f>
        <v>#VALUE!</v>
      </c>
      <c r="BI164" t="e">
        <f>'All regions'!I4098+"n/&gt;!(@Y"</f>
        <v>#VALUE!</v>
      </c>
      <c r="BJ164" t="e">
        <f>'All regions'!J4098+"n/&gt;!(@Z"</f>
        <v>#VALUE!</v>
      </c>
      <c r="BK164" t="e">
        <f>'All regions'!A4099+"n/&gt;!(@["</f>
        <v>#VALUE!</v>
      </c>
      <c r="BL164" t="e">
        <f>'All regions'!B4099+"n/&gt;!(@\"</f>
        <v>#VALUE!</v>
      </c>
      <c r="BM164" t="e">
        <f>'All regions'!C4099+"n/&gt;!(@]"</f>
        <v>#VALUE!</v>
      </c>
      <c r="BN164" t="e">
        <f>'All regions'!D4099+"n/&gt;!(@^"</f>
        <v>#VALUE!</v>
      </c>
      <c r="BO164" t="e">
        <f>'All regions'!E4099+"n/&gt;!(@_"</f>
        <v>#VALUE!</v>
      </c>
      <c r="BP164" t="e">
        <f>'All regions'!F4099+"n/&gt;!(@`"</f>
        <v>#VALUE!</v>
      </c>
      <c r="BQ164" t="e">
        <f>'All regions'!G4099+"n/&gt;!(@a"</f>
        <v>#VALUE!</v>
      </c>
      <c r="BR164" t="e">
        <f>'All regions'!H4099+"n/&gt;!(@b"</f>
        <v>#VALUE!</v>
      </c>
      <c r="BS164" t="e">
        <f>'All regions'!I4099+"n/&gt;!(@c"</f>
        <v>#VALUE!</v>
      </c>
      <c r="BT164" t="e">
        <f>'All regions'!J4099+"n/&gt;!(@d"</f>
        <v>#VALUE!</v>
      </c>
      <c r="BU164" t="e">
        <f>'All regions'!A4100+"n/&gt;!(@e"</f>
        <v>#VALUE!</v>
      </c>
      <c r="BV164" t="e">
        <f>'All regions'!B4100+"n/&gt;!(@f"</f>
        <v>#VALUE!</v>
      </c>
      <c r="BW164" t="e">
        <f>'All regions'!C4100+"n/&gt;!(@g"</f>
        <v>#VALUE!</v>
      </c>
      <c r="BX164" t="e">
        <f>'All regions'!D4100+"n/&gt;!(@h"</f>
        <v>#VALUE!</v>
      </c>
      <c r="BY164" t="e">
        <f>'All regions'!E4100+"n/&gt;!(@i"</f>
        <v>#VALUE!</v>
      </c>
      <c r="BZ164" t="e">
        <f>'All regions'!F4100+"n/&gt;!(@j"</f>
        <v>#VALUE!</v>
      </c>
      <c r="CA164" t="e">
        <f>'All regions'!G4100+"n/&gt;!(@k"</f>
        <v>#VALUE!</v>
      </c>
      <c r="CB164" t="e">
        <f>'All regions'!H4100+"n/&gt;!(@l"</f>
        <v>#VALUE!</v>
      </c>
      <c r="CC164" t="e">
        <f>'All regions'!I4100+"n/&gt;!(@m"</f>
        <v>#VALUE!</v>
      </c>
      <c r="CD164" t="e">
        <f>'All regions'!J4100+"n/&gt;!(@n"</f>
        <v>#VALUE!</v>
      </c>
      <c r="CE164" t="e">
        <f>'All regions'!A4101+"n/&gt;!(@o"</f>
        <v>#VALUE!</v>
      </c>
      <c r="CF164" t="e">
        <f>'All regions'!B4101+"n/&gt;!(@p"</f>
        <v>#VALUE!</v>
      </c>
      <c r="CG164" t="e">
        <f>'All regions'!C4101+"n/&gt;!(@q"</f>
        <v>#VALUE!</v>
      </c>
      <c r="CH164" t="e">
        <f>'All regions'!D4101+"n/&gt;!(@r"</f>
        <v>#VALUE!</v>
      </c>
      <c r="CI164" t="e">
        <f>'All regions'!E4101+"n/&gt;!(@s"</f>
        <v>#VALUE!</v>
      </c>
      <c r="CJ164" t="e">
        <f>'All regions'!F4101+"n/&gt;!(@t"</f>
        <v>#VALUE!</v>
      </c>
      <c r="CK164" t="e">
        <f>'All regions'!G4101+"n/&gt;!(@u"</f>
        <v>#VALUE!</v>
      </c>
      <c r="CL164" t="e">
        <f>'All regions'!H4101+"n/&gt;!(@v"</f>
        <v>#VALUE!</v>
      </c>
      <c r="CM164" t="e">
        <f>'All regions'!I4101+"n/&gt;!(@w"</f>
        <v>#VALUE!</v>
      </c>
      <c r="CN164" t="e">
        <f>'All regions'!J4101+"n/&gt;!(@x"</f>
        <v>#VALUE!</v>
      </c>
      <c r="CO164" t="e">
        <f>'All regions'!A4102+"n/&gt;!(@y"</f>
        <v>#VALUE!</v>
      </c>
      <c r="CP164" t="e">
        <f>'All regions'!B4102+"n/&gt;!(@z"</f>
        <v>#VALUE!</v>
      </c>
      <c r="CQ164" t="e">
        <f>'All regions'!C4102+"n/&gt;!(@{"</f>
        <v>#VALUE!</v>
      </c>
      <c r="CR164" t="e">
        <f>'All regions'!D4102+"n/&gt;!(@|"</f>
        <v>#VALUE!</v>
      </c>
      <c r="CS164" t="e">
        <f>'All regions'!E4102+"n/&gt;!(@}"</f>
        <v>#VALUE!</v>
      </c>
      <c r="CT164" t="e">
        <f>'All regions'!F4102+"n/&gt;!(@~"</f>
        <v>#VALUE!</v>
      </c>
      <c r="CU164" t="e">
        <f>'All regions'!G4102+"n/&gt;!(A#"</f>
        <v>#VALUE!</v>
      </c>
      <c r="CV164" t="e">
        <f>'All regions'!H4102+"n/&gt;!(A$"</f>
        <v>#VALUE!</v>
      </c>
      <c r="CW164" t="e">
        <f>'All regions'!I4102+"n/&gt;!(A%"</f>
        <v>#VALUE!</v>
      </c>
      <c r="CX164" t="e">
        <f>'All regions'!J4102+"n/&gt;!(A&amp;"</f>
        <v>#VALUE!</v>
      </c>
      <c r="CY164" t="e">
        <f>'All regions'!A4103+"n/&gt;!(A'"</f>
        <v>#VALUE!</v>
      </c>
      <c r="CZ164" t="e">
        <f>'All regions'!B4103+"n/&gt;!(A("</f>
        <v>#VALUE!</v>
      </c>
      <c r="DA164" t="e">
        <f>'All regions'!C4103+"n/&gt;!(A)"</f>
        <v>#VALUE!</v>
      </c>
      <c r="DB164" t="e">
        <f>'All regions'!D4103+"n/&gt;!(A."</f>
        <v>#VALUE!</v>
      </c>
      <c r="DC164" t="e">
        <f>'All regions'!E4103+"n/&gt;!(A/"</f>
        <v>#VALUE!</v>
      </c>
      <c r="DD164" t="e">
        <f>'All regions'!F4103+"n/&gt;!(A0"</f>
        <v>#VALUE!</v>
      </c>
      <c r="DE164" t="e">
        <f>'All regions'!G4103+"n/&gt;!(A1"</f>
        <v>#VALUE!</v>
      </c>
      <c r="DF164" t="e">
        <f>'All regions'!H4103+"n/&gt;!(A2"</f>
        <v>#VALUE!</v>
      </c>
      <c r="DG164" t="e">
        <f>'All regions'!I4103+"n/&gt;!(A3"</f>
        <v>#VALUE!</v>
      </c>
      <c r="DH164" t="e">
        <f>'All regions'!J4103+"n/&gt;!(A4"</f>
        <v>#VALUE!</v>
      </c>
      <c r="DI164" t="e">
        <f>'All regions'!A4104+"n/&gt;!(A5"</f>
        <v>#VALUE!</v>
      </c>
      <c r="DJ164" t="e">
        <f>'All regions'!B4104+"n/&gt;!(A6"</f>
        <v>#VALUE!</v>
      </c>
      <c r="DK164" t="e">
        <f>'All regions'!C4104+"n/&gt;!(A7"</f>
        <v>#VALUE!</v>
      </c>
      <c r="DL164" t="e">
        <f>'All regions'!D4104+"n/&gt;!(A8"</f>
        <v>#VALUE!</v>
      </c>
      <c r="DM164" t="e">
        <f>'All regions'!E4104+"n/&gt;!(A9"</f>
        <v>#VALUE!</v>
      </c>
      <c r="DN164" t="e">
        <f>'All regions'!F4104+"n/&gt;!(A:"</f>
        <v>#VALUE!</v>
      </c>
      <c r="DO164" t="e">
        <f>'All regions'!G4104+"n/&gt;!(A;"</f>
        <v>#VALUE!</v>
      </c>
      <c r="DP164" t="e">
        <f>'All regions'!H4104+"n/&gt;!(A&lt;"</f>
        <v>#VALUE!</v>
      </c>
      <c r="DQ164" t="e">
        <f>'All regions'!I4104+"n/&gt;!(A="</f>
        <v>#VALUE!</v>
      </c>
      <c r="DR164" t="e">
        <f>'All regions'!J4104+"n/&gt;!(A&gt;"</f>
        <v>#VALUE!</v>
      </c>
      <c r="DS164" t="e">
        <f>'All regions'!A4105+"n/&gt;!(A?"</f>
        <v>#VALUE!</v>
      </c>
      <c r="DT164" t="e">
        <f>'All regions'!B4105+"n/&gt;!(A@"</f>
        <v>#VALUE!</v>
      </c>
      <c r="DU164" t="e">
        <f>'All regions'!C4105+"n/&gt;!(AA"</f>
        <v>#VALUE!</v>
      </c>
      <c r="DV164" t="e">
        <f>'All regions'!D4105+"n/&gt;!(AB"</f>
        <v>#VALUE!</v>
      </c>
      <c r="DW164" t="e">
        <f>'All regions'!E4105+"n/&gt;!(AC"</f>
        <v>#VALUE!</v>
      </c>
      <c r="DX164" t="e">
        <f>'All regions'!F4105+"n/&gt;!(AD"</f>
        <v>#VALUE!</v>
      </c>
      <c r="DY164" t="e">
        <f>'All regions'!G4105+"n/&gt;!(AE"</f>
        <v>#VALUE!</v>
      </c>
      <c r="DZ164" t="e">
        <f>'All regions'!H4105+"n/&gt;!(AF"</f>
        <v>#VALUE!</v>
      </c>
      <c r="EA164" t="e">
        <f>'All regions'!I4105+"n/&gt;!(AG"</f>
        <v>#VALUE!</v>
      </c>
      <c r="EB164" t="e">
        <f>'All regions'!J4105+"n/&gt;!(AH"</f>
        <v>#VALUE!</v>
      </c>
      <c r="EC164" t="e">
        <f>'All regions'!A4106+"n/&gt;!(AI"</f>
        <v>#VALUE!</v>
      </c>
      <c r="ED164" t="e">
        <f>'All regions'!B4106+"n/&gt;!(AJ"</f>
        <v>#VALUE!</v>
      </c>
      <c r="EE164" t="e">
        <f>'All regions'!C4106+"n/&gt;!(AK"</f>
        <v>#VALUE!</v>
      </c>
      <c r="EF164" t="e">
        <f>'All regions'!D4106+"n/&gt;!(AL"</f>
        <v>#VALUE!</v>
      </c>
      <c r="EG164" t="e">
        <f>'All regions'!E4106+"n/&gt;!(AM"</f>
        <v>#VALUE!</v>
      </c>
      <c r="EH164" t="e">
        <f>'All regions'!F4106+"n/&gt;!(AN"</f>
        <v>#VALUE!</v>
      </c>
      <c r="EI164" t="e">
        <f>'All regions'!G4106+"n/&gt;!(AO"</f>
        <v>#VALUE!</v>
      </c>
      <c r="EJ164" t="e">
        <f>'All regions'!H4106+"n/&gt;!(AP"</f>
        <v>#VALUE!</v>
      </c>
      <c r="EK164" t="e">
        <f>'All regions'!I4106+"n/&gt;!(AQ"</f>
        <v>#VALUE!</v>
      </c>
      <c r="EL164" t="e">
        <f>'All regions'!J4106+"n/&gt;!(AR"</f>
        <v>#VALUE!</v>
      </c>
      <c r="EM164" t="e">
        <f>'All regions'!A4107+"n/&gt;!(AS"</f>
        <v>#VALUE!</v>
      </c>
      <c r="EN164" t="e">
        <f>'All regions'!B4107+"n/&gt;!(AT"</f>
        <v>#VALUE!</v>
      </c>
      <c r="EO164" t="e">
        <f>'All regions'!C4107+"n/&gt;!(AU"</f>
        <v>#VALUE!</v>
      </c>
      <c r="EP164" t="e">
        <f>'All regions'!D4107+"n/&gt;!(AV"</f>
        <v>#VALUE!</v>
      </c>
      <c r="EQ164" t="e">
        <f>'All regions'!E4107+"n/&gt;!(AW"</f>
        <v>#VALUE!</v>
      </c>
      <c r="ER164" t="e">
        <f>'All regions'!F4107+"n/&gt;!(AX"</f>
        <v>#VALUE!</v>
      </c>
      <c r="ES164" t="e">
        <f>'All regions'!G4107+"n/&gt;!(AY"</f>
        <v>#VALUE!</v>
      </c>
      <c r="ET164" t="e">
        <f>'All regions'!H4107+"n/&gt;!(AZ"</f>
        <v>#VALUE!</v>
      </c>
      <c r="EU164" t="e">
        <f>'All regions'!I4107+"n/&gt;!(A["</f>
        <v>#VALUE!</v>
      </c>
      <c r="EV164" t="e">
        <f>'All regions'!J4107+"n/&gt;!(A\"</f>
        <v>#VALUE!</v>
      </c>
      <c r="EW164" t="e">
        <f>'All regions'!A4108+"n/&gt;!(A]"</f>
        <v>#VALUE!</v>
      </c>
      <c r="EX164" t="e">
        <f>'All regions'!B4108+"n/&gt;!(A^"</f>
        <v>#VALUE!</v>
      </c>
      <c r="EY164" t="e">
        <f>'All regions'!C4108+"n/&gt;!(A_"</f>
        <v>#VALUE!</v>
      </c>
      <c r="EZ164" t="e">
        <f>'All regions'!D4108+"n/&gt;!(A`"</f>
        <v>#VALUE!</v>
      </c>
      <c r="FA164" t="e">
        <f>'All regions'!E4108+"n/&gt;!(Aa"</f>
        <v>#VALUE!</v>
      </c>
      <c r="FB164" t="e">
        <f>'All regions'!F4108+"n/&gt;!(Ab"</f>
        <v>#VALUE!</v>
      </c>
      <c r="FC164" t="e">
        <f>'All regions'!G4108+"n/&gt;!(Ac"</f>
        <v>#VALUE!</v>
      </c>
      <c r="FD164" t="e">
        <f>'All regions'!H4108+"n/&gt;!(Ad"</f>
        <v>#VALUE!</v>
      </c>
      <c r="FE164" t="e">
        <f>'All regions'!I4108+"n/&gt;!(Ae"</f>
        <v>#VALUE!</v>
      </c>
      <c r="FF164" t="e">
        <f>'All regions'!J4108+"n/&gt;!(Af"</f>
        <v>#VALUE!</v>
      </c>
      <c r="FG164" t="e">
        <f>'All regions'!A4109+"n/&gt;!(Ag"</f>
        <v>#VALUE!</v>
      </c>
      <c r="FH164" t="e">
        <f>'All regions'!B4109+"n/&gt;!(Ah"</f>
        <v>#VALUE!</v>
      </c>
      <c r="FI164" t="e">
        <f>'All regions'!C4109+"n/&gt;!(Ai"</f>
        <v>#VALUE!</v>
      </c>
      <c r="FJ164" t="e">
        <f>'All regions'!D4109+"n/&gt;!(Aj"</f>
        <v>#VALUE!</v>
      </c>
      <c r="FK164" t="e">
        <f>'All regions'!E4109+"n/&gt;!(Ak"</f>
        <v>#VALUE!</v>
      </c>
      <c r="FL164" t="e">
        <f>'All regions'!F4109+"n/&gt;!(Al"</f>
        <v>#VALUE!</v>
      </c>
      <c r="FM164" t="e">
        <f>'All regions'!G4109+"n/&gt;!(Am"</f>
        <v>#VALUE!</v>
      </c>
      <c r="FN164" t="e">
        <f>'All regions'!H4109+"n/&gt;!(An"</f>
        <v>#VALUE!</v>
      </c>
      <c r="FO164" t="e">
        <f>'All regions'!I4109+"n/&gt;!(Ao"</f>
        <v>#VALUE!</v>
      </c>
      <c r="FP164" t="e">
        <f>'All regions'!J4109+"n/&gt;!(Ap"</f>
        <v>#VALUE!</v>
      </c>
      <c r="FQ164" t="e">
        <f>'All regions'!A4110+"n/&gt;!(Aq"</f>
        <v>#VALUE!</v>
      </c>
      <c r="FR164" t="e">
        <f>'All regions'!B4110+"n/&gt;!(Ar"</f>
        <v>#VALUE!</v>
      </c>
      <c r="FS164" t="e">
        <f>'All regions'!C4110+"n/&gt;!(As"</f>
        <v>#VALUE!</v>
      </c>
      <c r="FT164" t="e">
        <f>'All regions'!D4110+"n/&gt;!(At"</f>
        <v>#VALUE!</v>
      </c>
      <c r="FU164" t="e">
        <f>'All regions'!E4110+"n/&gt;!(Au"</f>
        <v>#VALUE!</v>
      </c>
      <c r="FV164" t="e">
        <f>'All regions'!F4110+"n/&gt;!(Av"</f>
        <v>#VALUE!</v>
      </c>
      <c r="FW164" t="e">
        <f>'All regions'!G4110+"n/&gt;!(Aw"</f>
        <v>#VALUE!</v>
      </c>
      <c r="FX164" t="e">
        <f>'All regions'!H4110+"n/&gt;!(Ax"</f>
        <v>#VALUE!</v>
      </c>
      <c r="FY164" t="e">
        <f>'All regions'!I4110+"n/&gt;!(Ay"</f>
        <v>#VALUE!</v>
      </c>
      <c r="FZ164" t="e">
        <f>'All regions'!J4110+"n/&gt;!(Az"</f>
        <v>#VALUE!</v>
      </c>
      <c r="GA164" t="e">
        <f>'All regions'!A4111+"n/&gt;!(A{"</f>
        <v>#VALUE!</v>
      </c>
      <c r="GB164" t="e">
        <f>'All regions'!B4111+"n/&gt;!(A|"</f>
        <v>#VALUE!</v>
      </c>
      <c r="GC164" t="e">
        <f>'All regions'!C4111+"n/&gt;!(A}"</f>
        <v>#VALUE!</v>
      </c>
      <c r="GD164" t="e">
        <f>'All regions'!D4111+"n/&gt;!(A~"</f>
        <v>#VALUE!</v>
      </c>
      <c r="GE164" t="e">
        <f>'All regions'!E4111+"n/&gt;!(B#"</f>
        <v>#VALUE!</v>
      </c>
      <c r="GF164" t="e">
        <f>'All regions'!F4111+"n/&gt;!(B$"</f>
        <v>#VALUE!</v>
      </c>
      <c r="GG164" t="e">
        <f>'All regions'!G4111+"n/&gt;!(B%"</f>
        <v>#VALUE!</v>
      </c>
      <c r="GH164" t="e">
        <f>'All regions'!H4111+"n/&gt;!(B&amp;"</f>
        <v>#VALUE!</v>
      </c>
      <c r="GI164" t="e">
        <f>'All regions'!I4111+"n/&gt;!(B'"</f>
        <v>#VALUE!</v>
      </c>
      <c r="GJ164" t="e">
        <f>'All regions'!J4111+"n/&gt;!(B("</f>
        <v>#VALUE!</v>
      </c>
      <c r="GK164" t="e">
        <f>'All regions'!A4112+"n/&gt;!(B)"</f>
        <v>#VALUE!</v>
      </c>
      <c r="GL164" t="e">
        <f>'All regions'!B4112+"n/&gt;!(B."</f>
        <v>#VALUE!</v>
      </c>
      <c r="GM164" t="e">
        <f>'All regions'!C4112+"n/&gt;!(B/"</f>
        <v>#VALUE!</v>
      </c>
      <c r="GN164" t="e">
        <f>'All regions'!D4112+"n/&gt;!(B0"</f>
        <v>#VALUE!</v>
      </c>
      <c r="GO164" t="e">
        <f>'All regions'!E4112+"n/&gt;!(B1"</f>
        <v>#VALUE!</v>
      </c>
      <c r="GP164" t="e">
        <f>'All regions'!F4112+"n/&gt;!(B2"</f>
        <v>#VALUE!</v>
      </c>
      <c r="GQ164" t="e">
        <f>'All regions'!G4112+"n/&gt;!(B3"</f>
        <v>#VALUE!</v>
      </c>
      <c r="GR164" t="e">
        <f>'All regions'!H4112+"n/&gt;!(B4"</f>
        <v>#VALUE!</v>
      </c>
      <c r="GS164" t="e">
        <f>'All regions'!I4112+"n/&gt;!(B5"</f>
        <v>#VALUE!</v>
      </c>
      <c r="GT164" t="e">
        <f>'All regions'!J4112+"n/&gt;!(B6"</f>
        <v>#VALUE!</v>
      </c>
      <c r="GU164" t="e">
        <f>'All regions'!A4113+"n/&gt;!(B7"</f>
        <v>#VALUE!</v>
      </c>
      <c r="GV164" t="e">
        <f>'All regions'!B4113+"n/&gt;!(B8"</f>
        <v>#VALUE!</v>
      </c>
      <c r="GW164" t="e">
        <f>'All regions'!C4113+"n/&gt;!(B9"</f>
        <v>#VALUE!</v>
      </c>
      <c r="GX164" t="e">
        <f>'All regions'!D4113+"n/&gt;!(B:"</f>
        <v>#VALUE!</v>
      </c>
      <c r="GY164" t="e">
        <f>'All regions'!E4113+"n/&gt;!(B;"</f>
        <v>#VALUE!</v>
      </c>
      <c r="GZ164" t="e">
        <f>'All regions'!F4113+"n/&gt;!(B&lt;"</f>
        <v>#VALUE!</v>
      </c>
      <c r="HA164" t="e">
        <f>'All regions'!G4113+"n/&gt;!(B="</f>
        <v>#VALUE!</v>
      </c>
      <c r="HB164" t="e">
        <f>'All regions'!H4113+"n/&gt;!(B&gt;"</f>
        <v>#VALUE!</v>
      </c>
      <c r="HC164" t="e">
        <f>'All regions'!I4113+"n/&gt;!(B?"</f>
        <v>#VALUE!</v>
      </c>
      <c r="HD164" t="e">
        <f>'All regions'!J4113+"n/&gt;!(B@"</f>
        <v>#VALUE!</v>
      </c>
      <c r="HE164" t="e">
        <f>'All regions'!A4114+"n/&gt;!(BA"</f>
        <v>#VALUE!</v>
      </c>
      <c r="HF164" t="e">
        <f>'All regions'!B4114+"n/&gt;!(BB"</f>
        <v>#VALUE!</v>
      </c>
      <c r="HG164" t="e">
        <f>'All regions'!C4114+"n/&gt;!(BC"</f>
        <v>#VALUE!</v>
      </c>
      <c r="HH164" t="e">
        <f>'All regions'!D4114+"n/&gt;!(BD"</f>
        <v>#VALUE!</v>
      </c>
      <c r="HI164" t="e">
        <f>'All regions'!E4114+"n/&gt;!(BE"</f>
        <v>#VALUE!</v>
      </c>
      <c r="HJ164" t="e">
        <f>'All regions'!F4114+"n/&gt;!(BF"</f>
        <v>#VALUE!</v>
      </c>
      <c r="HK164" t="e">
        <f>'All regions'!G4114+"n/&gt;!(BG"</f>
        <v>#VALUE!</v>
      </c>
      <c r="HL164" t="e">
        <f>'All regions'!H4114+"n/&gt;!(BH"</f>
        <v>#VALUE!</v>
      </c>
      <c r="HM164" t="e">
        <f>'All regions'!I4114+"n/&gt;!(BI"</f>
        <v>#VALUE!</v>
      </c>
      <c r="HN164" t="e">
        <f>'All regions'!J4114+"n/&gt;!(BJ"</f>
        <v>#VALUE!</v>
      </c>
      <c r="HO164" t="e">
        <f>'All regions'!A4115+"n/&gt;!(BK"</f>
        <v>#VALUE!</v>
      </c>
      <c r="HP164" t="e">
        <f>'All regions'!B4115+"n/&gt;!(BL"</f>
        <v>#VALUE!</v>
      </c>
      <c r="HQ164" t="e">
        <f>'All regions'!C4115+"n/&gt;!(BM"</f>
        <v>#VALUE!</v>
      </c>
      <c r="HR164" t="e">
        <f>'All regions'!D4115+"n/&gt;!(BN"</f>
        <v>#VALUE!</v>
      </c>
      <c r="HS164" t="e">
        <f>'All regions'!E4115+"n/&gt;!(BO"</f>
        <v>#VALUE!</v>
      </c>
      <c r="HT164" t="e">
        <f>'All regions'!F4115+"n/&gt;!(BP"</f>
        <v>#VALUE!</v>
      </c>
      <c r="HU164" t="e">
        <f>'All regions'!G4115+"n/&gt;!(BQ"</f>
        <v>#VALUE!</v>
      </c>
      <c r="HV164" t="e">
        <f>'All regions'!H4115+"n/&gt;!(BR"</f>
        <v>#VALUE!</v>
      </c>
      <c r="HW164" t="e">
        <f>'All regions'!I4115+"n/&gt;!(BS"</f>
        <v>#VALUE!</v>
      </c>
      <c r="HX164" t="e">
        <f>'All regions'!J4115+"n/&gt;!(BT"</f>
        <v>#VALUE!</v>
      </c>
      <c r="HY164" t="e">
        <f>'All regions'!A4116+"n/&gt;!(BU"</f>
        <v>#VALUE!</v>
      </c>
      <c r="HZ164" t="e">
        <f>'All regions'!B4116+"n/&gt;!(BV"</f>
        <v>#VALUE!</v>
      </c>
      <c r="IA164" t="e">
        <f>'All regions'!C4116+"n/&gt;!(BW"</f>
        <v>#VALUE!</v>
      </c>
      <c r="IB164" t="e">
        <f>'All regions'!D4116+"n/&gt;!(BX"</f>
        <v>#VALUE!</v>
      </c>
      <c r="IC164" t="e">
        <f>'All regions'!E4116+"n/&gt;!(BY"</f>
        <v>#VALUE!</v>
      </c>
      <c r="ID164" t="e">
        <f>'All regions'!F4116+"n/&gt;!(BZ"</f>
        <v>#VALUE!</v>
      </c>
      <c r="IE164" t="e">
        <f>'All regions'!G4116+"n/&gt;!(B["</f>
        <v>#VALUE!</v>
      </c>
      <c r="IF164" t="e">
        <f>'All regions'!H4116+"n/&gt;!(B\"</f>
        <v>#VALUE!</v>
      </c>
      <c r="IG164" t="e">
        <f>'All regions'!I4116+"n/&gt;!(B]"</f>
        <v>#VALUE!</v>
      </c>
      <c r="IH164" t="e">
        <f>'All regions'!J4116+"n/&gt;!(B^"</f>
        <v>#VALUE!</v>
      </c>
      <c r="II164" t="e">
        <f>'All regions'!A4117+"n/&gt;!(B_"</f>
        <v>#VALUE!</v>
      </c>
      <c r="IJ164" t="e">
        <f>'All regions'!B4117+"n/&gt;!(B`"</f>
        <v>#VALUE!</v>
      </c>
      <c r="IK164" t="e">
        <f>'All regions'!C4117+"n/&gt;!(Ba"</f>
        <v>#VALUE!</v>
      </c>
      <c r="IL164" t="e">
        <f>'All regions'!D4117+"n/&gt;!(Bb"</f>
        <v>#VALUE!</v>
      </c>
      <c r="IM164" t="e">
        <f>'All regions'!E4117+"n/&gt;!(Bc"</f>
        <v>#VALUE!</v>
      </c>
      <c r="IN164" t="e">
        <f>'All regions'!F4117+"n/&gt;!(Bd"</f>
        <v>#VALUE!</v>
      </c>
      <c r="IO164" t="e">
        <f>'All regions'!G4117+"n/&gt;!(Be"</f>
        <v>#VALUE!</v>
      </c>
      <c r="IP164" t="e">
        <f>'All regions'!H4117+"n/&gt;!(Bf"</f>
        <v>#VALUE!</v>
      </c>
      <c r="IQ164" t="e">
        <f>'All regions'!I4117+"n/&gt;!(Bg"</f>
        <v>#VALUE!</v>
      </c>
      <c r="IR164" t="e">
        <f>'All regions'!J4117+"n/&gt;!(Bh"</f>
        <v>#VALUE!</v>
      </c>
      <c r="IS164" t="e">
        <f>'All regions'!A4118+"n/&gt;!(Bi"</f>
        <v>#VALUE!</v>
      </c>
      <c r="IT164" t="e">
        <f>'All regions'!B4118+"n/&gt;!(Bj"</f>
        <v>#VALUE!</v>
      </c>
      <c r="IU164" t="e">
        <f>'All regions'!C4118+"n/&gt;!(Bk"</f>
        <v>#VALUE!</v>
      </c>
      <c r="IV164" t="e">
        <f>'All regions'!D4118+"n/&gt;!(Bl"</f>
        <v>#VALUE!</v>
      </c>
    </row>
    <row r="165" spans="6:256" x14ac:dyDescent="0.35">
      <c r="F165" t="e">
        <f>'All regions'!E4118+"n/&gt;!(Bm"</f>
        <v>#VALUE!</v>
      </c>
      <c r="G165" t="e">
        <f>'All regions'!F4118+"n/&gt;!(Bn"</f>
        <v>#VALUE!</v>
      </c>
      <c r="H165" t="e">
        <f>'All regions'!G4118+"n/&gt;!(Bo"</f>
        <v>#VALUE!</v>
      </c>
      <c r="I165" t="e">
        <f>'All regions'!H4118+"n/&gt;!(Bp"</f>
        <v>#VALUE!</v>
      </c>
      <c r="J165" t="e">
        <f>'All regions'!I4118+"n/&gt;!(Bq"</f>
        <v>#VALUE!</v>
      </c>
      <c r="K165" t="e">
        <f>'All regions'!J4118+"n/&gt;!(Br"</f>
        <v>#VALUE!</v>
      </c>
      <c r="L165" t="e">
        <f>'All regions'!A4119+"n/&gt;!(Bs"</f>
        <v>#VALUE!</v>
      </c>
      <c r="M165" t="e">
        <f>'All regions'!B4119+"n/&gt;!(Bt"</f>
        <v>#VALUE!</v>
      </c>
      <c r="N165" t="e">
        <f>'All regions'!C4119+"n/&gt;!(Bu"</f>
        <v>#VALUE!</v>
      </c>
      <c r="O165" t="e">
        <f>'All regions'!D4119+"n/&gt;!(Bv"</f>
        <v>#VALUE!</v>
      </c>
      <c r="P165" t="e">
        <f>'All regions'!E4119+"n/&gt;!(Bw"</f>
        <v>#VALUE!</v>
      </c>
      <c r="Q165" t="e">
        <f>'All regions'!F4119+"n/&gt;!(Bx"</f>
        <v>#VALUE!</v>
      </c>
      <c r="R165" t="e">
        <f>'All regions'!G4119+"n/&gt;!(By"</f>
        <v>#VALUE!</v>
      </c>
      <c r="S165" t="e">
        <f>'All regions'!H4119+"n/&gt;!(Bz"</f>
        <v>#VALUE!</v>
      </c>
      <c r="T165" t="e">
        <f>'All regions'!I4119+"n/&gt;!(B{"</f>
        <v>#VALUE!</v>
      </c>
      <c r="U165" t="e">
        <f>'All regions'!J4119+"n/&gt;!(B|"</f>
        <v>#VALUE!</v>
      </c>
      <c r="V165" t="e">
        <f>'All regions'!A4120+"n/&gt;!(B}"</f>
        <v>#VALUE!</v>
      </c>
      <c r="W165" t="e">
        <f>'All regions'!B4120+"n/&gt;!(B~"</f>
        <v>#VALUE!</v>
      </c>
      <c r="X165" t="e">
        <f>'All regions'!C4120+"n/&gt;!(C#"</f>
        <v>#VALUE!</v>
      </c>
      <c r="Y165" t="e">
        <f>'All regions'!D4120+"n/&gt;!(C$"</f>
        <v>#VALUE!</v>
      </c>
      <c r="Z165" t="e">
        <f>'All regions'!E4120+"n/&gt;!(C%"</f>
        <v>#VALUE!</v>
      </c>
      <c r="AA165" t="e">
        <f>'All regions'!F4120+"n/&gt;!(C&amp;"</f>
        <v>#VALUE!</v>
      </c>
      <c r="AB165" t="e">
        <f>'All regions'!G4120+"n/&gt;!(C'"</f>
        <v>#VALUE!</v>
      </c>
      <c r="AC165" t="e">
        <f>'All regions'!H4120+"n/&gt;!(C("</f>
        <v>#VALUE!</v>
      </c>
      <c r="AD165" t="e">
        <f>'All regions'!I4120+"n/&gt;!(C)"</f>
        <v>#VALUE!</v>
      </c>
      <c r="AE165" t="e">
        <f>'All regions'!J4120+"n/&gt;!(C."</f>
        <v>#VALUE!</v>
      </c>
      <c r="AF165" t="e">
        <f>'All regions'!A4121+"n/&gt;!(C/"</f>
        <v>#VALUE!</v>
      </c>
      <c r="AG165" t="e">
        <f>'All regions'!B4121+"n/&gt;!(C0"</f>
        <v>#VALUE!</v>
      </c>
      <c r="AH165" t="e">
        <f>'All regions'!C4121+"n/&gt;!(C1"</f>
        <v>#VALUE!</v>
      </c>
      <c r="AI165" t="e">
        <f>'All regions'!D4121+"n/&gt;!(C2"</f>
        <v>#VALUE!</v>
      </c>
      <c r="AJ165" t="e">
        <f>'All regions'!E4121+"n/&gt;!(C3"</f>
        <v>#VALUE!</v>
      </c>
      <c r="AK165" t="e">
        <f>'All regions'!F4121+"n/&gt;!(C4"</f>
        <v>#VALUE!</v>
      </c>
      <c r="AL165" t="e">
        <f>'All regions'!G4121+"n/&gt;!(C5"</f>
        <v>#VALUE!</v>
      </c>
      <c r="AM165" t="e">
        <f>'All regions'!H4121+"n/&gt;!(C6"</f>
        <v>#VALUE!</v>
      </c>
      <c r="AN165" t="e">
        <f>'All regions'!I4121+"n/&gt;!(C7"</f>
        <v>#VALUE!</v>
      </c>
      <c r="AO165" t="e">
        <f>'All regions'!J4121+"n/&gt;!(C8"</f>
        <v>#VALUE!</v>
      </c>
      <c r="AP165" t="e">
        <f>'All regions'!A4122+"n/&gt;!(C9"</f>
        <v>#VALUE!</v>
      </c>
      <c r="AQ165" t="e">
        <f>'All regions'!B4122+"n/&gt;!(C:"</f>
        <v>#VALUE!</v>
      </c>
      <c r="AR165" t="e">
        <f>'All regions'!C4122+"n/&gt;!(C;"</f>
        <v>#VALUE!</v>
      </c>
      <c r="AS165" t="e">
        <f>'All regions'!D4122+"n/&gt;!(C&lt;"</f>
        <v>#VALUE!</v>
      </c>
      <c r="AT165" t="e">
        <f>'All regions'!E4122+"n/&gt;!(C="</f>
        <v>#VALUE!</v>
      </c>
      <c r="AU165" t="e">
        <f>'All regions'!F4122+"n/&gt;!(C&gt;"</f>
        <v>#VALUE!</v>
      </c>
      <c r="AV165" t="e">
        <f>'All regions'!G4122+"n/&gt;!(C?"</f>
        <v>#VALUE!</v>
      </c>
      <c r="AW165" t="e">
        <f>'All regions'!H4122+"n/&gt;!(C@"</f>
        <v>#VALUE!</v>
      </c>
      <c r="AX165" t="e">
        <f>'All regions'!I4122+"n/&gt;!(CA"</f>
        <v>#VALUE!</v>
      </c>
      <c r="AY165" t="e">
        <f>'All regions'!J4122+"n/&gt;!(CB"</f>
        <v>#VALUE!</v>
      </c>
      <c r="AZ165" t="e">
        <f>'All regions'!A4123+"n/&gt;!(CC"</f>
        <v>#VALUE!</v>
      </c>
      <c r="BA165" t="e">
        <f>'All regions'!B4123+"n/&gt;!(CD"</f>
        <v>#VALUE!</v>
      </c>
      <c r="BB165" t="e">
        <f>'All regions'!C4123+"n/&gt;!(CE"</f>
        <v>#VALUE!</v>
      </c>
      <c r="BC165" t="e">
        <f>'All regions'!D4123+"n/&gt;!(CF"</f>
        <v>#VALUE!</v>
      </c>
      <c r="BD165" t="e">
        <f>'All regions'!E4123+"n/&gt;!(CG"</f>
        <v>#VALUE!</v>
      </c>
      <c r="BE165" t="e">
        <f>'All regions'!F4123+"n/&gt;!(CH"</f>
        <v>#VALUE!</v>
      </c>
      <c r="BF165" t="e">
        <f>'All regions'!G4123+"n/&gt;!(CI"</f>
        <v>#VALUE!</v>
      </c>
      <c r="BG165" t="e">
        <f>'All regions'!H4123+"n/&gt;!(CJ"</f>
        <v>#VALUE!</v>
      </c>
      <c r="BH165" t="e">
        <f>'All regions'!I4123+"n/&gt;!(CK"</f>
        <v>#VALUE!</v>
      </c>
      <c r="BI165" t="e">
        <f>'All regions'!J4123+"n/&gt;!(CL"</f>
        <v>#VALUE!</v>
      </c>
      <c r="BJ165" t="e">
        <f>'All regions'!A4124+"n/&gt;!(CM"</f>
        <v>#VALUE!</v>
      </c>
      <c r="BK165" t="e">
        <f>'All regions'!B4124+"n/&gt;!(CN"</f>
        <v>#VALUE!</v>
      </c>
      <c r="BL165" t="e">
        <f>'All regions'!C4124+"n/&gt;!(CO"</f>
        <v>#VALUE!</v>
      </c>
      <c r="BM165" t="e">
        <f>'All regions'!D4124+"n/&gt;!(CP"</f>
        <v>#VALUE!</v>
      </c>
      <c r="BN165" t="e">
        <f>'All regions'!E4124+"n/&gt;!(CQ"</f>
        <v>#VALUE!</v>
      </c>
      <c r="BO165" t="e">
        <f>'All regions'!F4124+"n/&gt;!(CR"</f>
        <v>#VALUE!</v>
      </c>
      <c r="BP165" t="e">
        <f>'All regions'!G4124+"n/&gt;!(CS"</f>
        <v>#VALUE!</v>
      </c>
      <c r="BQ165" t="e">
        <f>'All regions'!H4124+"n/&gt;!(CT"</f>
        <v>#VALUE!</v>
      </c>
      <c r="BR165" t="e">
        <f>'All regions'!I4124+"n/&gt;!(CU"</f>
        <v>#VALUE!</v>
      </c>
      <c r="BS165" t="e">
        <f>'All regions'!J4124+"n/&gt;!(CV"</f>
        <v>#VALUE!</v>
      </c>
      <c r="BT165" t="e">
        <f>'All regions'!A4125+"n/&gt;!(CW"</f>
        <v>#VALUE!</v>
      </c>
      <c r="BU165" t="e">
        <f>'All regions'!B4125+"n/&gt;!(CX"</f>
        <v>#VALUE!</v>
      </c>
      <c r="BV165" t="e">
        <f>'All regions'!C4125+"n/&gt;!(CY"</f>
        <v>#VALUE!</v>
      </c>
      <c r="BW165" t="e">
        <f>'All regions'!D4125+"n/&gt;!(CZ"</f>
        <v>#VALUE!</v>
      </c>
      <c r="BX165" t="e">
        <f>'All regions'!E4125+"n/&gt;!(C["</f>
        <v>#VALUE!</v>
      </c>
      <c r="BY165" t="e">
        <f>'All regions'!F4125+"n/&gt;!(C\"</f>
        <v>#VALUE!</v>
      </c>
      <c r="BZ165" t="e">
        <f>'All regions'!G4125+"n/&gt;!(C]"</f>
        <v>#VALUE!</v>
      </c>
      <c r="CA165" t="e">
        <f>'All regions'!H4125+"n/&gt;!(C^"</f>
        <v>#VALUE!</v>
      </c>
      <c r="CB165" t="e">
        <f>'All regions'!I4125+"n/&gt;!(C_"</f>
        <v>#VALUE!</v>
      </c>
      <c r="CC165" t="e">
        <f>'All regions'!J4125+"n/&gt;!(C`"</f>
        <v>#VALUE!</v>
      </c>
      <c r="CD165" t="e">
        <f>'All regions'!A4126+"n/&gt;!(Ca"</f>
        <v>#VALUE!</v>
      </c>
      <c r="CE165" t="e">
        <f>'All regions'!B4126+"n/&gt;!(Cb"</f>
        <v>#VALUE!</v>
      </c>
      <c r="CF165" t="e">
        <f>'All regions'!C4126+"n/&gt;!(Cc"</f>
        <v>#VALUE!</v>
      </c>
      <c r="CG165" t="e">
        <f>'All regions'!D4126+"n/&gt;!(Cd"</f>
        <v>#VALUE!</v>
      </c>
      <c r="CH165" t="e">
        <f>'All regions'!E4126+"n/&gt;!(Ce"</f>
        <v>#VALUE!</v>
      </c>
      <c r="CI165" t="e">
        <f>'All regions'!F4126+"n/&gt;!(Cf"</f>
        <v>#VALUE!</v>
      </c>
      <c r="CJ165" t="e">
        <f>'All regions'!G4126+"n/&gt;!(Cg"</f>
        <v>#VALUE!</v>
      </c>
      <c r="CK165" t="e">
        <f>'All regions'!H4126+"n/&gt;!(Ch"</f>
        <v>#VALUE!</v>
      </c>
      <c r="CL165" t="e">
        <f>'All regions'!I4126+"n/&gt;!(Ci"</f>
        <v>#VALUE!</v>
      </c>
      <c r="CM165" t="e">
        <f>'All regions'!J4126+"n/&gt;!(Cj"</f>
        <v>#VALUE!</v>
      </c>
      <c r="CN165" t="e">
        <f>'All regions'!A4127+"n/&gt;!(Ck"</f>
        <v>#VALUE!</v>
      </c>
      <c r="CO165" t="e">
        <f>'All regions'!B4127+"n/&gt;!(Cl"</f>
        <v>#VALUE!</v>
      </c>
      <c r="CP165" t="e">
        <f>'All regions'!C4127+"n/&gt;!(Cm"</f>
        <v>#VALUE!</v>
      </c>
      <c r="CQ165" t="e">
        <f>'All regions'!D4127+"n/&gt;!(Cn"</f>
        <v>#VALUE!</v>
      </c>
      <c r="CR165" t="e">
        <f>'All regions'!E4127+"n/&gt;!(Co"</f>
        <v>#VALUE!</v>
      </c>
      <c r="CS165" t="e">
        <f>'All regions'!F4127+"n/&gt;!(Cp"</f>
        <v>#VALUE!</v>
      </c>
      <c r="CT165" t="e">
        <f>'All regions'!G4127+"n/&gt;!(Cq"</f>
        <v>#VALUE!</v>
      </c>
      <c r="CU165" t="e">
        <f>'All regions'!H4127+"n/&gt;!(Cr"</f>
        <v>#VALUE!</v>
      </c>
      <c r="CV165" t="e">
        <f>'All regions'!I4127+"n/&gt;!(Cs"</f>
        <v>#VALUE!</v>
      </c>
      <c r="CW165" t="e">
        <f>'All regions'!J4127+"n/&gt;!(Ct"</f>
        <v>#VALUE!</v>
      </c>
      <c r="CX165" t="e">
        <f>'All regions'!A4128+"n/&gt;!(Cu"</f>
        <v>#VALUE!</v>
      </c>
      <c r="CY165" t="e">
        <f>'All regions'!B4128+"n/&gt;!(Cv"</f>
        <v>#VALUE!</v>
      </c>
      <c r="CZ165" t="e">
        <f>'All regions'!C4128+"n/&gt;!(Cw"</f>
        <v>#VALUE!</v>
      </c>
      <c r="DA165" t="e">
        <f>'All regions'!D4128+"n/&gt;!(Cx"</f>
        <v>#VALUE!</v>
      </c>
      <c r="DB165" t="e">
        <f>'All regions'!E4128+"n/&gt;!(Cy"</f>
        <v>#VALUE!</v>
      </c>
      <c r="DC165" t="e">
        <f>'All regions'!F4128+"n/&gt;!(Cz"</f>
        <v>#VALUE!</v>
      </c>
      <c r="DD165" t="e">
        <f>'All regions'!G4128+"n/&gt;!(C{"</f>
        <v>#VALUE!</v>
      </c>
      <c r="DE165" t="e">
        <f>'All regions'!H4128+"n/&gt;!(C|"</f>
        <v>#VALUE!</v>
      </c>
      <c r="DF165" t="e">
        <f>'All regions'!I4128+"n/&gt;!(C}"</f>
        <v>#VALUE!</v>
      </c>
      <c r="DG165" t="e">
        <f>'All regions'!J4128+"n/&gt;!(C~"</f>
        <v>#VALUE!</v>
      </c>
      <c r="DH165" t="e">
        <f>'All regions'!A4129+"n/&gt;!(D#"</f>
        <v>#VALUE!</v>
      </c>
      <c r="DI165" t="e">
        <f>'All regions'!B4129+"n/&gt;!(D$"</f>
        <v>#VALUE!</v>
      </c>
      <c r="DJ165" t="e">
        <f>'All regions'!C4129+"n/&gt;!(D%"</f>
        <v>#VALUE!</v>
      </c>
      <c r="DK165" t="e">
        <f>'All regions'!D4129+"n/&gt;!(D&amp;"</f>
        <v>#VALUE!</v>
      </c>
      <c r="DL165" t="e">
        <f>'All regions'!E4129+"n/&gt;!(D'"</f>
        <v>#VALUE!</v>
      </c>
      <c r="DM165" t="e">
        <f>'All regions'!F4129+"n/&gt;!(D("</f>
        <v>#VALUE!</v>
      </c>
      <c r="DN165" t="e">
        <f>'All regions'!G4129+"n/&gt;!(D)"</f>
        <v>#VALUE!</v>
      </c>
      <c r="DO165" t="e">
        <f>'All regions'!H4129+"n/&gt;!(D."</f>
        <v>#VALUE!</v>
      </c>
      <c r="DP165" t="e">
        <f>'All regions'!I4129+"n/&gt;!(D/"</f>
        <v>#VALUE!</v>
      </c>
      <c r="DQ165" t="e">
        <f>'All regions'!J4129+"n/&gt;!(D0"</f>
        <v>#VALUE!</v>
      </c>
      <c r="DR165" t="e">
        <f>'All regions'!A4130+"n/&gt;!(D1"</f>
        <v>#VALUE!</v>
      </c>
      <c r="DS165" t="e">
        <f>'All regions'!B4130+"n/&gt;!(D2"</f>
        <v>#VALUE!</v>
      </c>
      <c r="DT165" t="e">
        <f>'All regions'!C4130+"n/&gt;!(D3"</f>
        <v>#VALUE!</v>
      </c>
      <c r="DU165" t="e">
        <f>'All regions'!D4130+"n/&gt;!(D4"</f>
        <v>#VALUE!</v>
      </c>
      <c r="DV165" t="e">
        <f>'All regions'!E4130+"n/&gt;!(D5"</f>
        <v>#VALUE!</v>
      </c>
      <c r="DW165" t="e">
        <f>'All regions'!F4130+"n/&gt;!(D6"</f>
        <v>#VALUE!</v>
      </c>
      <c r="DX165" t="e">
        <f>'All regions'!G4130+"n/&gt;!(D7"</f>
        <v>#VALUE!</v>
      </c>
      <c r="DY165" t="e">
        <f>'All regions'!H4130+"n/&gt;!(D8"</f>
        <v>#VALUE!</v>
      </c>
      <c r="DZ165" t="e">
        <f>'All regions'!I4130+"n/&gt;!(D9"</f>
        <v>#VALUE!</v>
      </c>
      <c r="EA165" t="e">
        <f>'All regions'!J4130+"n/&gt;!(D:"</f>
        <v>#VALUE!</v>
      </c>
      <c r="EB165" t="e">
        <f>'All regions'!A4131+"n/&gt;!(D;"</f>
        <v>#VALUE!</v>
      </c>
      <c r="EC165" t="e">
        <f>'All regions'!B4131+"n/&gt;!(D&lt;"</f>
        <v>#VALUE!</v>
      </c>
      <c r="ED165" t="e">
        <f>'All regions'!C4131+"n/&gt;!(D="</f>
        <v>#VALUE!</v>
      </c>
      <c r="EE165" t="e">
        <f>'All regions'!D4131+"n/&gt;!(D&gt;"</f>
        <v>#VALUE!</v>
      </c>
      <c r="EF165" t="e">
        <f>'All regions'!E4131+"n/&gt;!(D?"</f>
        <v>#VALUE!</v>
      </c>
      <c r="EG165" t="e">
        <f>'All regions'!F4131+"n/&gt;!(D@"</f>
        <v>#VALUE!</v>
      </c>
      <c r="EH165" t="e">
        <f>'All regions'!G4131+"n/&gt;!(DA"</f>
        <v>#VALUE!</v>
      </c>
      <c r="EI165" t="e">
        <f>'All regions'!H4131+"n/&gt;!(DB"</f>
        <v>#VALUE!</v>
      </c>
      <c r="EJ165" t="e">
        <f>'All regions'!I4131+"n/&gt;!(DC"</f>
        <v>#VALUE!</v>
      </c>
      <c r="EK165" t="e">
        <f>'All regions'!J4131+"n/&gt;!(DD"</f>
        <v>#VALUE!</v>
      </c>
      <c r="EL165" t="e">
        <f>'All regions'!A4132+"n/&gt;!(DE"</f>
        <v>#VALUE!</v>
      </c>
      <c r="EM165" t="e">
        <f>'All regions'!B4132+"n/&gt;!(DF"</f>
        <v>#VALUE!</v>
      </c>
      <c r="EN165" t="e">
        <f>'All regions'!C4132+"n/&gt;!(DG"</f>
        <v>#VALUE!</v>
      </c>
      <c r="EO165" t="e">
        <f>'All regions'!D4132+"n/&gt;!(DH"</f>
        <v>#VALUE!</v>
      </c>
      <c r="EP165" t="e">
        <f>'All regions'!E4132+"n/&gt;!(DI"</f>
        <v>#VALUE!</v>
      </c>
      <c r="EQ165" t="e">
        <f>'All regions'!F4132+"n/&gt;!(DJ"</f>
        <v>#VALUE!</v>
      </c>
      <c r="ER165" t="e">
        <f>'All regions'!G4132+"n/&gt;!(DK"</f>
        <v>#VALUE!</v>
      </c>
      <c r="ES165" t="e">
        <f>'All regions'!H4132+"n/&gt;!(DL"</f>
        <v>#VALUE!</v>
      </c>
      <c r="ET165" t="e">
        <f>'All regions'!I4132+"n/&gt;!(DM"</f>
        <v>#VALUE!</v>
      </c>
      <c r="EU165" t="e">
        <f>'All regions'!J4132+"n/&gt;!(DN"</f>
        <v>#VALUE!</v>
      </c>
      <c r="EV165" t="e">
        <f>'All regions'!A4133+"n/&gt;!(DO"</f>
        <v>#VALUE!</v>
      </c>
      <c r="EW165" t="e">
        <f>'All regions'!B4133+"n/&gt;!(DP"</f>
        <v>#VALUE!</v>
      </c>
      <c r="EX165" t="e">
        <f>'All regions'!C4133+"n/&gt;!(DQ"</f>
        <v>#VALUE!</v>
      </c>
      <c r="EY165" t="e">
        <f>'All regions'!D4133+"n/&gt;!(DR"</f>
        <v>#VALUE!</v>
      </c>
      <c r="EZ165" t="e">
        <f>'All regions'!E4133+"n/&gt;!(DS"</f>
        <v>#VALUE!</v>
      </c>
      <c r="FA165" t="e">
        <f>'All regions'!F4133+"n/&gt;!(DT"</f>
        <v>#VALUE!</v>
      </c>
      <c r="FB165" t="e">
        <f>'All regions'!G4133+"n/&gt;!(DU"</f>
        <v>#VALUE!</v>
      </c>
      <c r="FC165" t="e">
        <f>'All regions'!H4133+"n/&gt;!(DV"</f>
        <v>#VALUE!</v>
      </c>
      <c r="FD165" t="e">
        <f>'All regions'!I4133+"n/&gt;!(DW"</f>
        <v>#VALUE!</v>
      </c>
      <c r="FE165" t="e">
        <f>'All regions'!J4133+"n/&gt;!(DX"</f>
        <v>#VALUE!</v>
      </c>
      <c r="FF165" t="e">
        <f>'All regions'!A4134+"n/&gt;!(DY"</f>
        <v>#VALUE!</v>
      </c>
      <c r="FG165" t="e">
        <f>'All regions'!B4134+"n/&gt;!(DZ"</f>
        <v>#VALUE!</v>
      </c>
      <c r="FH165" t="e">
        <f>'All regions'!C4134+"n/&gt;!(D["</f>
        <v>#VALUE!</v>
      </c>
      <c r="FI165" t="e">
        <f>'All regions'!D4134+"n/&gt;!(D\"</f>
        <v>#VALUE!</v>
      </c>
      <c r="FJ165" t="e">
        <f>'All regions'!E4134+"n/&gt;!(D]"</f>
        <v>#VALUE!</v>
      </c>
      <c r="FK165" t="e">
        <f>'All regions'!F4134+"n/&gt;!(D^"</f>
        <v>#VALUE!</v>
      </c>
      <c r="FL165" t="e">
        <f>'All regions'!G4134+"n/&gt;!(D_"</f>
        <v>#VALUE!</v>
      </c>
      <c r="FM165" t="e">
        <f>'All regions'!H4134+"n/&gt;!(D`"</f>
        <v>#VALUE!</v>
      </c>
      <c r="FN165" t="e">
        <f>'All regions'!I4134+"n/&gt;!(Da"</f>
        <v>#VALUE!</v>
      </c>
      <c r="FO165" t="e">
        <f>'All regions'!J4134+"n/&gt;!(Db"</f>
        <v>#VALUE!</v>
      </c>
      <c r="FP165" t="e">
        <f>'All regions'!A4135+"n/&gt;!(Dc"</f>
        <v>#VALUE!</v>
      </c>
      <c r="FQ165" t="e">
        <f>'All regions'!B4135+"n/&gt;!(Dd"</f>
        <v>#VALUE!</v>
      </c>
      <c r="FR165" t="e">
        <f>'All regions'!C4135+"n/&gt;!(De"</f>
        <v>#VALUE!</v>
      </c>
      <c r="FS165" t="e">
        <f>'All regions'!D4135+"n/&gt;!(Df"</f>
        <v>#VALUE!</v>
      </c>
      <c r="FT165" t="e">
        <f>'All regions'!E4135+"n/&gt;!(Dg"</f>
        <v>#VALUE!</v>
      </c>
      <c r="FU165" t="e">
        <f>'All regions'!F4135+"n/&gt;!(Dh"</f>
        <v>#VALUE!</v>
      </c>
      <c r="FV165" t="e">
        <f>'All regions'!G4135+"n/&gt;!(Di"</f>
        <v>#VALUE!</v>
      </c>
      <c r="FW165" t="e">
        <f>'All regions'!H4135+"n/&gt;!(Dj"</f>
        <v>#VALUE!</v>
      </c>
      <c r="FX165" t="e">
        <f>'All regions'!I4135+"n/&gt;!(Dk"</f>
        <v>#VALUE!</v>
      </c>
      <c r="FY165" t="e">
        <f>'All regions'!J4135+"n/&gt;!(Dl"</f>
        <v>#VALUE!</v>
      </c>
      <c r="FZ165" t="e">
        <f>'All regions'!A4136+"n/&gt;!(Dm"</f>
        <v>#VALUE!</v>
      </c>
      <c r="GA165" t="e">
        <f>'All regions'!B4136+"n/&gt;!(Dn"</f>
        <v>#VALUE!</v>
      </c>
      <c r="GB165" t="e">
        <f>'All regions'!C4136+"n/&gt;!(Do"</f>
        <v>#VALUE!</v>
      </c>
      <c r="GC165" t="e">
        <f>'All regions'!D4136+"n/&gt;!(Dp"</f>
        <v>#VALUE!</v>
      </c>
      <c r="GD165" t="e">
        <f>'All regions'!E4136+"n/&gt;!(Dq"</f>
        <v>#VALUE!</v>
      </c>
      <c r="GE165" t="e">
        <f>'All regions'!F4136+"n/&gt;!(Dr"</f>
        <v>#VALUE!</v>
      </c>
      <c r="GF165" t="e">
        <f>'All regions'!G4136+"n/&gt;!(Ds"</f>
        <v>#VALUE!</v>
      </c>
      <c r="GG165" t="e">
        <f>'All regions'!H4136+"n/&gt;!(Dt"</f>
        <v>#VALUE!</v>
      </c>
      <c r="GH165" t="e">
        <f>'All regions'!I4136+"n/&gt;!(Du"</f>
        <v>#VALUE!</v>
      </c>
      <c r="GI165" t="e">
        <f>'All regions'!J4136+"n/&gt;!(Dv"</f>
        <v>#VALUE!</v>
      </c>
      <c r="GJ165" t="e">
        <f>'All regions'!A4137+"n/&gt;!(Dw"</f>
        <v>#VALUE!</v>
      </c>
      <c r="GK165" t="e">
        <f>'All regions'!B4137+"n/&gt;!(Dx"</f>
        <v>#VALUE!</v>
      </c>
      <c r="GL165" t="e">
        <f>'All regions'!C4137+"n/&gt;!(Dy"</f>
        <v>#VALUE!</v>
      </c>
      <c r="GM165" t="e">
        <f>'All regions'!D4137+"n/&gt;!(Dz"</f>
        <v>#VALUE!</v>
      </c>
      <c r="GN165" t="e">
        <f>'All regions'!E4137+"n/&gt;!(D{"</f>
        <v>#VALUE!</v>
      </c>
      <c r="GO165" t="e">
        <f>'All regions'!F4137+"n/&gt;!(D|"</f>
        <v>#VALUE!</v>
      </c>
      <c r="GP165" t="e">
        <f>'All regions'!G4137+"n/&gt;!(D}"</f>
        <v>#VALUE!</v>
      </c>
      <c r="GQ165" t="e">
        <f>'All regions'!H4137+"n/&gt;!(D~"</f>
        <v>#VALUE!</v>
      </c>
      <c r="GR165" t="e">
        <f>'All regions'!I4137+"n/&gt;!(E#"</f>
        <v>#VALUE!</v>
      </c>
      <c r="GS165" t="e">
        <f>'All regions'!J4137+"n/&gt;!(E$"</f>
        <v>#VALUE!</v>
      </c>
      <c r="GT165" t="e">
        <f>'All regions'!A4138+"n/&gt;!(E%"</f>
        <v>#VALUE!</v>
      </c>
      <c r="GU165" t="e">
        <f>'All regions'!B4138+"n/&gt;!(E&amp;"</f>
        <v>#VALUE!</v>
      </c>
      <c r="GV165" t="e">
        <f>'All regions'!C4138+"n/&gt;!(E'"</f>
        <v>#VALUE!</v>
      </c>
      <c r="GW165" t="e">
        <f>'All regions'!D4138+"n/&gt;!(E("</f>
        <v>#VALUE!</v>
      </c>
      <c r="GX165" t="e">
        <f>'All regions'!E4138+"n/&gt;!(E)"</f>
        <v>#VALUE!</v>
      </c>
      <c r="GY165" t="e">
        <f>'All regions'!F4138+"n/&gt;!(E."</f>
        <v>#VALUE!</v>
      </c>
      <c r="GZ165" t="e">
        <f>'All regions'!G4138+"n/&gt;!(E/"</f>
        <v>#VALUE!</v>
      </c>
      <c r="HA165" t="e">
        <f>'All regions'!H4138+"n/&gt;!(E0"</f>
        <v>#VALUE!</v>
      </c>
      <c r="HB165" t="e">
        <f>'All regions'!I4138+"n/&gt;!(E1"</f>
        <v>#VALUE!</v>
      </c>
      <c r="HC165" t="e">
        <f>'All regions'!J4138+"n/&gt;!(E2"</f>
        <v>#VALUE!</v>
      </c>
      <c r="HD165" t="e">
        <f>'All regions'!A4139+"n/&gt;!(E3"</f>
        <v>#VALUE!</v>
      </c>
      <c r="HE165" t="e">
        <f>'All regions'!B4139+"n/&gt;!(E4"</f>
        <v>#VALUE!</v>
      </c>
      <c r="HF165" t="e">
        <f>'All regions'!C4139+"n/&gt;!(E5"</f>
        <v>#VALUE!</v>
      </c>
      <c r="HG165" t="e">
        <f>'All regions'!D4139+"n/&gt;!(E6"</f>
        <v>#VALUE!</v>
      </c>
      <c r="HH165" t="e">
        <f>'All regions'!E4139+"n/&gt;!(E7"</f>
        <v>#VALUE!</v>
      </c>
      <c r="HI165" t="e">
        <f>'All regions'!F4139+"n/&gt;!(E8"</f>
        <v>#VALUE!</v>
      </c>
      <c r="HJ165" t="e">
        <f>'All regions'!G4139+"n/&gt;!(E9"</f>
        <v>#VALUE!</v>
      </c>
      <c r="HK165" t="e">
        <f>'All regions'!H4139+"n/&gt;!(E:"</f>
        <v>#VALUE!</v>
      </c>
      <c r="HL165" t="e">
        <f>'All regions'!I4139+"n/&gt;!(E;"</f>
        <v>#VALUE!</v>
      </c>
      <c r="HM165" t="e">
        <f>'All regions'!J4139+"n/&gt;!(E&lt;"</f>
        <v>#VALUE!</v>
      </c>
      <c r="HN165" t="e">
        <f>'All regions'!A4140+"n/&gt;!(E="</f>
        <v>#VALUE!</v>
      </c>
      <c r="HO165" t="e">
        <f>'All regions'!B4140+"n/&gt;!(E&gt;"</f>
        <v>#VALUE!</v>
      </c>
      <c r="HP165" t="e">
        <f>'All regions'!C4140+"n/&gt;!(E?"</f>
        <v>#VALUE!</v>
      </c>
      <c r="HQ165" t="e">
        <f>'All regions'!D4140+"n/&gt;!(E@"</f>
        <v>#VALUE!</v>
      </c>
      <c r="HR165" t="e">
        <f>'All regions'!E4140+"n/&gt;!(EA"</f>
        <v>#VALUE!</v>
      </c>
      <c r="HS165" t="e">
        <f>'All regions'!F4140+"n/&gt;!(EB"</f>
        <v>#VALUE!</v>
      </c>
      <c r="HT165" t="e">
        <f>'All regions'!G4140+"n/&gt;!(EC"</f>
        <v>#VALUE!</v>
      </c>
      <c r="HU165" t="e">
        <f>'All regions'!H4140+"n/&gt;!(ED"</f>
        <v>#VALUE!</v>
      </c>
      <c r="HV165" t="e">
        <f>'All regions'!I4140+"n/&gt;!(EE"</f>
        <v>#VALUE!</v>
      </c>
      <c r="HW165" t="e">
        <f>'All regions'!J4140+"n/&gt;!(EF"</f>
        <v>#VALUE!</v>
      </c>
      <c r="HX165" t="e">
        <f>'All regions'!A4141+"n/&gt;!(EG"</f>
        <v>#VALUE!</v>
      </c>
      <c r="HY165" t="e">
        <f>'All regions'!B4141+"n/&gt;!(EH"</f>
        <v>#VALUE!</v>
      </c>
      <c r="HZ165" t="e">
        <f>'All regions'!C4141+"n/&gt;!(EI"</f>
        <v>#VALUE!</v>
      </c>
      <c r="IA165" t="e">
        <f>'All regions'!D4141+"n/&gt;!(EJ"</f>
        <v>#VALUE!</v>
      </c>
      <c r="IB165" t="e">
        <f>'All regions'!E4141+"n/&gt;!(EK"</f>
        <v>#VALUE!</v>
      </c>
      <c r="IC165" t="e">
        <f>'All regions'!F4141+"n/&gt;!(EL"</f>
        <v>#VALUE!</v>
      </c>
      <c r="ID165" t="e">
        <f>'All regions'!G4141+"n/&gt;!(EM"</f>
        <v>#VALUE!</v>
      </c>
      <c r="IE165" t="e">
        <f>'All regions'!H4141+"n/&gt;!(EN"</f>
        <v>#VALUE!</v>
      </c>
      <c r="IF165" t="e">
        <f>'All regions'!I4141+"n/&gt;!(EO"</f>
        <v>#VALUE!</v>
      </c>
      <c r="IG165" t="e">
        <f>'All regions'!J4141+"n/&gt;!(EP"</f>
        <v>#VALUE!</v>
      </c>
      <c r="IH165" t="e">
        <f>'All regions'!A4142+"n/&gt;!(EQ"</f>
        <v>#VALUE!</v>
      </c>
      <c r="II165" t="e">
        <f>'All regions'!B4142+"n/&gt;!(ER"</f>
        <v>#VALUE!</v>
      </c>
      <c r="IJ165" t="e">
        <f>'All regions'!C4142+"n/&gt;!(ES"</f>
        <v>#VALUE!</v>
      </c>
      <c r="IK165" t="e">
        <f>'All regions'!D4142+"n/&gt;!(ET"</f>
        <v>#VALUE!</v>
      </c>
      <c r="IL165" t="e">
        <f>'All regions'!E4142+"n/&gt;!(EU"</f>
        <v>#VALUE!</v>
      </c>
      <c r="IM165" t="e">
        <f>'All regions'!F4142+"n/&gt;!(EV"</f>
        <v>#VALUE!</v>
      </c>
      <c r="IN165" t="e">
        <f>'All regions'!G4142+"n/&gt;!(EW"</f>
        <v>#VALUE!</v>
      </c>
      <c r="IO165" t="e">
        <f>'All regions'!H4142+"n/&gt;!(EX"</f>
        <v>#VALUE!</v>
      </c>
      <c r="IP165" t="e">
        <f>'All regions'!I4142+"n/&gt;!(EY"</f>
        <v>#VALUE!</v>
      </c>
      <c r="IQ165" t="e">
        <f>'All regions'!J4142+"n/&gt;!(EZ"</f>
        <v>#VALUE!</v>
      </c>
      <c r="IR165" t="e">
        <f>'All regions'!A4143+"n/&gt;!(E["</f>
        <v>#VALUE!</v>
      </c>
      <c r="IS165" t="e">
        <f>'All regions'!B4143+"n/&gt;!(E\"</f>
        <v>#VALUE!</v>
      </c>
      <c r="IT165" t="e">
        <f>'All regions'!C4143+"n/&gt;!(E]"</f>
        <v>#VALUE!</v>
      </c>
      <c r="IU165" t="e">
        <f>'All regions'!D4143+"n/&gt;!(E^"</f>
        <v>#VALUE!</v>
      </c>
      <c r="IV165" t="e">
        <f>'All regions'!E4143+"n/&gt;!(E_"</f>
        <v>#VALUE!</v>
      </c>
    </row>
    <row r="166" spans="6:256" x14ac:dyDescent="0.35">
      <c r="F166" t="e">
        <f>'All regions'!F4143+"n/&gt;!(E`"</f>
        <v>#VALUE!</v>
      </c>
      <c r="G166" t="e">
        <f>'All regions'!G4143+"n/&gt;!(Ea"</f>
        <v>#VALUE!</v>
      </c>
      <c r="H166" t="e">
        <f>'All regions'!H4143+"n/&gt;!(Eb"</f>
        <v>#VALUE!</v>
      </c>
      <c r="I166" t="e">
        <f>'All regions'!I4143+"n/&gt;!(Ec"</f>
        <v>#VALUE!</v>
      </c>
      <c r="J166" t="e">
        <f>'All regions'!J4143+"n/&gt;!(Ed"</f>
        <v>#VALUE!</v>
      </c>
      <c r="K166" t="e">
        <f>'All regions'!A4144+"n/&gt;!(Ee"</f>
        <v>#VALUE!</v>
      </c>
      <c r="L166" t="e">
        <f>'All regions'!B4144+"n/&gt;!(Ef"</f>
        <v>#VALUE!</v>
      </c>
      <c r="M166" t="e">
        <f>'All regions'!C4144+"n/&gt;!(Eg"</f>
        <v>#VALUE!</v>
      </c>
      <c r="N166" t="e">
        <f>'All regions'!D4144+"n/&gt;!(Eh"</f>
        <v>#VALUE!</v>
      </c>
      <c r="O166" t="e">
        <f>'All regions'!E4144+"n/&gt;!(Ei"</f>
        <v>#VALUE!</v>
      </c>
      <c r="P166" t="e">
        <f>'All regions'!F4144+"n/&gt;!(Ej"</f>
        <v>#VALUE!</v>
      </c>
      <c r="Q166" t="e">
        <f>'All regions'!G4144+"n/&gt;!(Ek"</f>
        <v>#VALUE!</v>
      </c>
      <c r="R166" t="e">
        <f>'All regions'!H4144+"n/&gt;!(El"</f>
        <v>#VALUE!</v>
      </c>
      <c r="S166" t="e">
        <f>'All regions'!I4144+"n/&gt;!(Em"</f>
        <v>#VALUE!</v>
      </c>
      <c r="T166" t="e">
        <f>'All regions'!J4144+"n/&gt;!(En"</f>
        <v>#VALUE!</v>
      </c>
      <c r="U166" t="e">
        <f>'All regions'!A4145+"n/&gt;!(Eo"</f>
        <v>#VALUE!</v>
      </c>
      <c r="V166" t="e">
        <f>'All regions'!B4145+"n/&gt;!(Ep"</f>
        <v>#VALUE!</v>
      </c>
      <c r="W166" t="e">
        <f>'All regions'!C4145+"n/&gt;!(Eq"</f>
        <v>#VALUE!</v>
      </c>
      <c r="X166" t="e">
        <f>'All regions'!D4145+"n/&gt;!(Er"</f>
        <v>#VALUE!</v>
      </c>
      <c r="Y166" t="e">
        <f>'All regions'!E4145+"n/&gt;!(Es"</f>
        <v>#VALUE!</v>
      </c>
      <c r="Z166" t="e">
        <f>'All regions'!F4145+"n/&gt;!(Et"</f>
        <v>#VALUE!</v>
      </c>
      <c r="AA166" t="e">
        <f>'All regions'!G4145+"n/&gt;!(Eu"</f>
        <v>#VALUE!</v>
      </c>
      <c r="AB166" t="e">
        <f>'All regions'!H4145+"n/&gt;!(Ev"</f>
        <v>#VALUE!</v>
      </c>
      <c r="AC166" t="e">
        <f>'All regions'!I4145+"n/&gt;!(Ew"</f>
        <v>#VALUE!</v>
      </c>
      <c r="AD166" t="e">
        <f>'All regions'!J4145+"n/&gt;!(Ex"</f>
        <v>#VALUE!</v>
      </c>
      <c r="AE166" t="e">
        <f>'All regions'!A4146+"n/&gt;!(Ey"</f>
        <v>#VALUE!</v>
      </c>
      <c r="AF166" t="e">
        <f>'All regions'!B4146+"n/&gt;!(Ez"</f>
        <v>#VALUE!</v>
      </c>
      <c r="AG166" t="e">
        <f>'All regions'!C4146+"n/&gt;!(E{"</f>
        <v>#VALUE!</v>
      </c>
      <c r="AH166" t="e">
        <f>'All regions'!D4146+"n/&gt;!(E|"</f>
        <v>#VALUE!</v>
      </c>
      <c r="AI166" t="e">
        <f>'All regions'!E4146+"n/&gt;!(E}"</f>
        <v>#VALUE!</v>
      </c>
      <c r="AJ166" t="e">
        <f>'All regions'!F4146+"n/&gt;!(E~"</f>
        <v>#VALUE!</v>
      </c>
      <c r="AK166" t="e">
        <f>'All regions'!G4146+"n/&gt;!(F#"</f>
        <v>#VALUE!</v>
      </c>
      <c r="AL166" t="e">
        <f>'All regions'!H4146+"n/&gt;!(F$"</f>
        <v>#VALUE!</v>
      </c>
      <c r="AM166" t="e">
        <f>'All regions'!I4146+"n/&gt;!(F%"</f>
        <v>#VALUE!</v>
      </c>
      <c r="AN166" t="e">
        <f>'All regions'!J4146+"n/&gt;!(F&amp;"</f>
        <v>#VALUE!</v>
      </c>
      <c r="AO166" t="e">
        <f>'All regions'!A4147+"n/&gt;!(F'"</f>
        <v>#VALUE!</v>
      </c>
      <c r="AP166" t="e">
        <f>'All regions'!B4147+"n/&gt;!(F("</f>
        <v>#VALUE!</v>
      </c>
      <c r="AQ166" t="e">
        <f>'All regions'!C4147+"n/&gt;!(F)"</f>
        <v>#VALUE!</v>
      </c>
      <c r="AR166" t="e">
        <f>'All regions'!D4147+"n/&gt;!(F."</f>
        <v>#VALUE!</v>
      </c>
      <c r="AS166" t="e">
        <f>'All regions'!E4147+"n/&gt;!(F/"</f>
        <v>#VALUE!</v>
      </c>
      <c r="AT166" t="e">
        <f>'All regions'!F4147+"n/&gt;!(F0"</f>
        <v>#VALUE!</v>
      </c>
      <c r="AU166" t="e">
        <f>'All regions'!G4147+"n/&gt;!(F1"</f>
        <v>#VALUE!</v>
      </c>
      <c r="AV166" t="e">
        <f>'All regions'!H4147+"n/&gt;!(F2"</f>
        <v>#VALUE!</v>
      </c>
      <c r="AW166" t="e">
        <f>'All regions'!I4147+"n/&gt;!(F3"</f>
        <v>#VALUE!</v>
      </c>
      <c r="AX166" t="e">
        <f>'All regions'!J4147+"n/&gt;!(F4"</f>
        <v>#VALUE!</v>
      </c>
      <c r="AY166" t="e">
        <f>'All regions'!A4148+"n/&gt;!(F5"</f>
        <v>#VALUE!</v>
      </c>
      <c r="AZ166" t="e">
        <f>'All regions'!B4148+"n/&gt;!(F6"</f>
        <v>#VALUE!</v>
      </c>
      <c r="BA166" t="e">
        <f>'All regions'!C4148+"n/&gt;!(F7"</f>
        <v>#VALUE!</v>
      </c>
      <c r="BB166" t="e">
        <f>'All regions'!D4148+"n/&gt;!(F8"</f>
        <v>#VALUE!</v>
      </c>
      <c r="BC166" t="e">
        <f>'All regions'!E4148+"n/&gt;!(F9"</f>
        <v>#VALUE!</v>
      </c>
      <c r="BD166" t="e">
        <f>'All regions'!F4148+"n/&gt;!(F:"</f>
        <v>#VALUE!</v>
      </c>
      <c r="BE166" t="e">
        <f>'All regions'!G4148+"n/&gt;!(F;"</f>
        <v>#VALUE!</v>
      </c>
      <c r="BF166" t="e">
        <f>'All regions'!H4148+"n/&gt;!(F&lt;"</f>
        <v>#VALUE!</v>
      </c>
      <c r="BG166" t="e">
        <f>'All regions'!I4148+"n/&gt;!(F="</f>
        <v>#VALUE!</v>
      </c>
      <c r="BH166" t="e">
        <f>'All regions'!J4148+"n/&gt;!(F&gt;"</f>
        <v>#VALUE!</v>
      </c>
      <c r="BI166" t="e">
        <f>'All regions'!A4149+"n/&gt;!(F?"</f>
        <v>#VALUE!</v>
      </c>
      <c r="BJ166" t="e">
        <f>'All regions'!B4149+"n/&gt;!(F@"</f>
        <v>#VALUE!</v>
      </c>
      <c r="BK166" t="e">
        <f>'All regions'!C4149+"n/&gt;!(FA"</f>
        <v>#VALUE!</v>
      </c>
      <c r="BL166" t="e">
        <f>'All regions'!D4149+"n/&gt;!(FB"</f>
        <v>#VALUE!</v>
      </c>
      <c r="BM166" t="e">
        <f>'All regions'!E4149+"n/&gt;!(FC"</f>
        <v>#VALUE!</v>
      </c>
      <c r="BN166" t="e">
        <f>'All regions'!F4149+"n/&gt;!(FD"</f>
        <v>#VALUE!</v>
      </c>
      <c r="BO166" t="e">
        <f>'All regions'!G4149+"n/&gt;!(FE"</f>
        <v>#VALUE!</v>
      </c>
      <c r="BP166" t="e">
        <f>'All regions'!H4149+"n/&gt;!(FF"</f>
        <v>#VALUE!</v>
      </c>
      <c r="BQ166" t="e">
        <f>'All regions'!I4149+"n/&gt;!(FG"</f>
        <v>#VALUE!</v>
      </c>
      <c r="BR166" t="e">
        <f>'All regions'!J4149+"n/&gt;!(FH"</f>
        <v>#VALUE!</v>
      </c>
      <c r="BS166" t="e">
        <f>'All regions'!A4150+"n/&gt;!(FI"</f>
        <v>#VALUE!</v>
      </c>
      <c r="BT166" t="e">
        <f>'All regions'!B4150+"n/&gt;!(FJ"</f>
        <v>#VALUE!</v>
      </c>
      <c r="BU166" t="e">
        <f>'All regions'!C4150+"n/&gt;!(FK"</f>
        <v>#VALUE!</v>
      </c>
      <c r="BV166" t="e">
        <f>'All regions'!D4150+"n/&gt;!(FL"</f>
        <v>#VALUE!</v>
      </c>
      <c r="BW166" t="e">
        <f>'All regions'!E4150+"n/&gt;!(FM"</f>
        <v>#VALUE!</v>
      </c>
      <c r="BX166" t="e">
        <f>'All regions'!F4150+"n/&gt;!(FN"</f>
        <v>#VALUE!</v>
      </c>
      <c r="BY166" t="e">
        <f>'All regions'!G4150+"n/&gt;!(FO"</f>
        <v>#VALUE!</v>
      </c>
      <c r="BZ166" t="e">
        <f>'All regions'!H4150+"n/&gt;!(FP"</f>
        <v>#VALUE!</v>
      </c>
      <c r="CA166" t="e">
        <f>'All regions'!I4150+"n/&gt;!(FQ"</f>
        <v>#VALUE!</v>
      </c>
      <c r="CB166" t="e">
        <f>'All regions'!J4150+"n/&gt;!(FR"</f>
        <v>#VALUE!</v>
      </c>
      <c r="CC166" t="e">
        <f>'All regions'!A4151+"n/&gt;!(FS"</f>
        <v>#VALUE!</v>
      </c>
      <c r="CD166" t="e">
        <f>'All regions'!B4151+"n/&gt;!(FT"</f>
        <v>#VALUE!</v>
      </c>
      <c r="CE166" t="e">
        <f>'All regions'!C4151+"n/&gt;!(FU"</f>
        <v>#VALUE!</v>
      </c>
      <c r="CF166" t="e">
        <f>'All regions'!D4151+"n/&gt;!(FV"</f>
        <v>#VALUE!</v>
      </c>
      <c r="CG166" t="e">
        <f>'All regions'!E4151+"n/&gt;!(FW"</f>
        <v>#VALUE!</v>
      </c>
      <c r="CH166" t="e">
        <f>'All regions'!F4151+"n/&gt;!(FX"</f>
        <v>#VALUE!</v>
      </c>
      <c r="CI166" t="e">
        <f>'All regions'!G4151+"n/&gt;!(FY"</f>
        <v>#VALUE!</v>
      </c>
      <c r="CJ166" t="e">
        <f>'All regions'!H4151+"n/&gt;!(FZ"</f>
        <v>#VALUE!</v>
      </c>
      <c r="CK166" t="e">
        <f>'All regions'!I4151+"n/&gt;!(F["</f>
        <v>#VALUE!</v>
      </c>
      <c r="CL166" t="e">
        <f>'All regions'!J4151+"n/&gt;!(F\"</f>
        <v>#VALUE!</v>
      </c>
      <c r="CM166" t="e">
        <f>'All regions'!A4152+"n/&gt;!(F]"</f>
        <v>#VALUE!</v>
      </c>
      <c r="CN166" t="e">
        <f>'All regions'!B4152+"n/&gt;!(F^"</f>
        <v>#VALUE!</v>
      </c>
      <c r="CO166" t="e">
        <f>'All regions'!C4152+"n/&gt;!(F_"</f>
        <v>#VALUE!</v>
      </c>
      <c r="CP166" t="e">
        <f>'All regions'!D4152+"n/&gt;!(F`"</f>
        <v>#VALUE!</v>
      </c>
      <c r="CQ166" t="e">
        <f>'All regions'!E4152+"n/&gt;!(Fa"</f>
        <v>#VALUE!</v>
      </c>
      <c r="CR166" t="e">
        <f>'All regions'!F4152+"n/&gt;!(Fb"</f>
        <v>#VALUE!</v>
      </c>
      <c r="CS166" t="e">
        <f>'All regions'!G4152+"n/&gt;!(Fc"</f>
        <v>#VALUE!</v>
      </c>
      <c r="CT166" t="e">
        <f>'All regions'!H4152+"n/&gt;!(Fd"</f>
        <v>#VALUE!</v>
      </c>
      <c r="CU166" t="e">
        <f>'All regions'!I4152+"n/&gt;!(Fe"</f>
        <v>#VALUE!</v>
      </c>
      <c r="CV166" t="e">
        <f>'All regions'!J4152+"n/&gt;!(Ff"</f>
        <v>#VALUE!</v>
      </c>
      <c r="CW166" t="e">
        <f>'All regions'!A4153+"n/&gt;!(Fg"</f>
        <v>#VALUE!</v>
      </c>
      <c r="CX166" t="e">
        <f>'All regions'!B4153+"n/&gt;!(Fh"</f>
        <v>#VALUE!</v>
      </c>
      <c r="CY166" t="e">
        <f>'All regions'!C4153+"n/&gt;!(Fi"</f>
        <v>#VALUE!</v>
      </c>
      <c r="CZ166" t="e">
        <f>'All regions'!D4153+"n/&gt;!(Fj"</f>
        <v>#VALUE!</v>
      </c>
      <c r="DA166" t="e">
        <f>'All regions'!E4153+"n/&gt;!(Fk"</f>
        <v>#VALUE!</v>
      </c>
      <c r="DB166" t="e">
        <f>'All regions'!F4153+"n/&gt;!(Fl"</f>
        <v>#VALUE!</v>
      </c>
      <c r="DC166" t="e">
        <f>'All regions'!G4153+"n/&gt;!(Fm"</f>
        <v>#VALUE!</v>
      </c>
      <c r="DD166" t="e">
        <f>'All regions'!H4153+"n/&gt;!(Fn"</f>
        <v>#VALUE!</v>
      </c>
      <c r="DE166" t="e">
        <f>'All regions'!I4153+"n/&gt;!(Fo"</f>
        <v>#VALUE!</v>
      </c>
      <c r="DF166" t="e">
        <f>'All regions'!J4153+"n/&gt;!(Fp"</f>
        <v>#VALUE!</v>
      </c>
      <c r="DG166" t="e">
        <f>'All regions'!A4154+"n/&gt;!(Fq"</f>
        <v>#VALUE!</v>
      </c>
      <c r="DH166" t="e">
        <f>'All regions'!B4154+"n/&gt;!(Fr"</f>
        <v>#VALUE!</v>
      </c>
      <c r="DI166" t="e">
        <f>'All regions'!C4154+"n/&gt;!(Fs"</f>
        <v>#VALUE!</v>
      </c>
      <c r="DJ166" t="e">
        <f>'All regions'!D4154+"n/&gt;!(Ft"</f>
        <v>#VALUE!</v>
      </c>
      <c r="DK166" t="e">
        <f>'All regions'!E4154+"n/&gt;!(Fu"</f>
        <v>#VALUE!</v>
      </c>
      <c r="DL166" t="e">
        <f>'All regions'!F4154+"n/&gt;!(Fv"</f>
        <v>#VALUE!</v>
      </c>
      <c r="DM166" t="e">
        <f>'All regions'!G4154+"n/&gt;!(Fw"</f>
        <v>#VALUE!</v>
      </c>
      <c r="DN166" t="e">
        <f>'All regions'!H4154+"n/&gt;!(Fx"</f>
        <v>#VALUE!</v>
      </c>
      <c r="DO166" t="e">
        <f>'All regions'!I4154+"n/&gt;!(Fy"</f>
        <v>#VALUE!</v>
      </c>
      <c r="DP166" t="e">
        <f>'All regions'!J4154+"n/&gt;!(Fz"</f>
        <v>#VALUE!</v>
      </c>
      <c r="DQ166" t="e">
        <f>'All regions'!A4155+"n/&gt;!(F{"</f>
        <v>#VALUE!</v>
      </c>
      <c r="DR166" t="e">
        <f>'All regions'!B4155+"n/&gt;!(F|"</f>
        <v>#VALUE!</v>
      </c>
      <c r="DS166" t="e">
        <f>'All regions'!C4155+"n/&gt;!(F}"</f>
        <v>#VALUE!</v>
      </c>
      <c r="DT166" t="e">
        <f>'All regions'!D4155+"n/&gt;!(F~"</f>
        <v>#VALUE!</v>
      </c>
      <c r="DU166" t="e">
        <f>'All regions'!E4155+"n/&gt;!(G#"</f>
        <v>#VALUE!</v>
      </c>
      <c r="DV166" t="e">
        <f>'All regions'!F4155+"n/&gt;!(G$"</f>
        <v>#VALUE!</v>
      </c>
      <c r="DW166" t="e">
        <f>'All regions'!G4155+"n/&gt;!(G%"</f>
        <v>#VALUE!</v>
      </c>
      <c r="DX166" t="e">
        <f>'All regions'!H4155+"n/&gt;!(G&amp;"</f>
        <v>#VALUE!</v>
      </c>
      <c r="DY166" t="e">
        <f>'All regions'!I4155+"n/&gt;!(G'"</f>
        <v>#VALUE!</v>
      </c>
      <c r="DZ166" t="e">
        <f>'All regions'!J4155+"n/&gt;!(G("</f>
        <v>#VALUE!</v>
      </c>
      <c r="EA166" t="e">
        <f>'All regions'!A4156+"n/&gt;!(G)"</f>
        <v>#VALUE!</v>
      </c>
      <c r="EB166" t="e">
        <f>'All regions'!B4156+"n/&gt;!(G."</f>
        <v>#VALUE!</v>
      </c>
      <c r="EC166" t="e">
        <f>'All regions'!C4156+"n/&gt;!(G/"</f>
        <v>#VALUE!</v>
      </c>
      <c r="ED166" t="e">
        <f>'All regions'!D4156+"n/&gt;!(G0"</f>
        <v>#VALUE!</v>
      </c>
      <c r="EE166" t="e">
        <f>'All regions'!E4156+"n/&gt;!(G1"</f>
        <v>#VALUE!</v>
      </c>
      <c r="EF166" t="e">
        <f>'All regions'!F4156+"n/&gt;!(G2"</f>
        <v>#VALUE!</v>
      </c>
      <c r="EG166" t="e">
        <f>'All regions'!G4156+"n/&gt;!(G3"</f>
        <v>#VALUE!</v>
      </c>
      <c r="EH166" t="e">
        <f>'All regions'!H4156+"n/&gt;!(G4"</f>
        <v>#VALUE!</v>
      </c>
      <c r="EI166" t="e">
        <f>'All regions'!I4156+"n/&gt;!(G5"</f>
        <v>#VALUE!</v>
      </c>
      <c r="EJ166" t="e">
        <f>'All regions'!J4156+"n/&gt;!(G6"</f>
        <v>#VALUE!</v>
      </c>
      <c r="EK166" t="e">
        <f>'All regions'!A4157+"n/&gt;!(G7"</f>
        <v>#VALUE!</v>
      </c>
      <c r="EL166" t="e">
        <f>'All regions'!B4157+"n/&gt;!(G8"</f>
        <v>#VALUE!</v>
      </c>
      <c r="EM166" t="e">
        <f>'All regions'!C4157+"n/&gt;!(G9"</f>
        <v>#VALUE!</v>
      </c>
      <c r="EN166" t="e">
        <f>'All regions'!D4157+"n/&gt;!(G:"</f>
        <v>#VALUE!</v>
      </c>
      <c r="EO166" t="e">
        <f>'All regions'!E4157+"n/&gt;!(G;"</f>
        <v>#VALUE!</v>
      </c>
      <c r="EP166" t="e">
        <f>'All regions'!F4157+"n/&gt;!(G&lt;"</f>
        <v>#VALUE!</v>
      </c>
      <c r="EQ166" t="e">
        <f>'All regions'!G4157+"n/&gt;!(G="</f>
        <v>#VALUE!</v>
      </c>
      <c r="ER166" t="e">
        <f>'All regions'!H4157+"n/&gt;!(G&gt;"</f>
        <v>#VALUE!</v>
      </c>
      <c r="ES166" t="e">
        <f>'All regions'!I4157+"n/&gt;!(G?"</f>
        <v>#VALUE!</v>
      </c>
      <c r="ET166" t="e">
        <f>'All regions'!J4157+"n/&gt;!(G@"</f>
        <v>#VALUE!</v>
      </c>
      <c r="EU166" t="e">
        <f>'All regions'!A4158+"n/&gt;!(GA"</f>
        <v>#VALUE!</v>
      </c>
      <c r="EV166" t="e">
        <f>'All regions'!B4158+"n/&gt;!(GB"</f>
        <v>#VALUE!</v>
      </c>
      <c r="EW166" t="e">
        <f>'All regions'!C4158+"n/&gt;!(GC"</f>
        <v>#VALUE!</v>
      </c>
      <c r="EX166" t="e">
        <f>'All regions'!D4158+"n/&gt;!(GD"</f>
        <v>#VALUE!</v>
      </c>
      <c r="EY166" t="e">
        <f>'All regions'!E4158+"n/&gt;!(GE"</f>
        <v>#VALUE!</v>
      </c>
      <c r="EZ166" t="e">
        <f>'All regions'!F4158+"n/&gt;!(GF"</f>
        <v>#VALUE!</v>
      </c>
      <c r="FA166" t="e">
        <f>'All regions'!G4158+"n/&gt;!(GG"</f>
        <v>#VALUE!</v>
      </c>
      <c r="FB166" t="e">
        <f>'All regions'!H4158+"n/&gt;!(GH"</f>
        <v>#VALUE!</v>
      </c>
      <c r="FC166" t="e">
        <f>'All regions'!I4158+"n/&gt;!(GI"</f>
        <v>#VALUE!</v>
      </c>
      <c r="FD166" t="e">
        <f>'All regions'!J4158+"n/&gt;!(GJ"</f>
        <v>#VALUE!</v>
      </c>
      <c r="FE166" t="e">
        <f>'All regions'!A4159+"n/&gt;!(GK"</f>
        <v>#VALUE!</v>
      </c>
      <c r="FF166" t="e">
        <f>'All regions'!B4159+"n/&gt;!(GL"</f>
        <v>#VALUE!</v>
      </c>
      <c r="FG166" t="e">
        <f>'All regions'!C4159+"n/&gt;!(GM"</f>
        <v>#VALUE!</v>
      </c>
      <c r="FH166" t="e">
        <f>'All regions'!D4159+"n/&gt;!(GN"</f>
        <v>#VALUE!</v>
      </c>
      <c r="FI166" t="e">
        <f>'All regions'!E4159+"n/&gt;!(GO"</f>
        <v>#VALUE!</v>
      </c>
      <c r="FJ166" t="e">
        <f>'All regions'!F4159+"n/&gt;!(GP"</f>
        <v>#VALUE!</v>
      </c>
      <c r="FK166" t="e">
        <f>'All regions'!G4159+"n/&gt;!(GQ"</f>
        <v>#VALUE!</v>
      </c>
      <c r="FL166" t="e">
        <f>'All regions'!H4159+"n/&gt;!(GR"</f>
        <v>#VALUE!</v>
      </c>
      <c r="FM166" t="e">
        <f>'All regions'!I4159+"n/&gt;!(GS"</f>
        <v>#VALUE!</v>
      </c>
      <c r="FN166" t="e">
        <f>'All regions'!J4159+"n/&gt;!(GT"</f>
        <v>#VALUE!</v>
      </c>
      <c r="FO166" t="e">
        <f>'All regions'!A4160+"n/&gt;!(GU"</f>
        <v>#VALUE!</v>
      </c>
      <c r="FP166" t="e">
        <f>'All regions'!B4160+"n/&gt;!(GV"</f>
        <v>#VALUE!</v>
      </c>
      <c r="FQ166" t="e">
        <f>'All regions'!C4160+"n/&gt;!(GW"</f>
        <v>#VALUE!</v>
      </c>
      <c r="FR166" t="e">
        <f>'All regions'!D4160+"n/&gt;!(GX"</f>
        <v>#VALUE!</v>
      </c>
      <c r="FS166" t="e">
        <f>'All regions'!E4160+"n/&gt;!(GY"</f>
        <v>#VALUE!</v>
      </c>
      <c r="FT166" t="e">
        <f>'All regions'!F4160+"n/&gt;!(GZ"</f>
        <v>#VALUE!</v>
      </c>
      <c r="FU166" t="e">
        <f>'All regions'!G4160+"n/&gt;!(G["</f>
        <v>#VALUE!</v>
      </c>
      <c r="FV166" t="e">
        <f>'All regions'!H4160+"n/&gt;!(G\"</f>
        <v>#VALUE!</v>
      </c>
      <c r="FW166" t="e">
        <f>'All regions'!I4160+"n/&gt;!(G]"</f>
        <v>#VALUE!</v>
      </c>
      <c r="FX166" t="e">
        <f>'All regions'!J4160+"n/&gt;!(G^"</f>
        <v>#VALUE!</v>
      </c>
      <c r="FY166" t="e">
        <f>'All regions'!A4161+"n/&gt;!(G_"</f>
        <v>#VALUE!</v>
      </c>
      <c r="FZ166" t="e">
        <f>'All regions'!B4161+"n/&gt;!(G`"</f>
        <v>#VALUE!</v>
      </c>
      <c r="GA166" t="e">
        <f>'All regions'!C4161+"n/&gt;!(Ga"</f>
        <v>#VALUE!</v>
      </c>
      <c r="GB166" t="e">
        <f>'All regions'!D4161+"n/&gt;!(Gb"</f>
        <v>#VALUE!</v>
      </c>
      <c r="GC166" t="e">
        <f>'All regions'!E4161+"n/&gt;!(Gc"</f>
        <v>#VALUE!</v>
      </c>
      <c r="GD166" t="e">
        <f>'All regions'!F4161+"n/&gt;!(Gd"</f>
        <v>#VALUE!</v>
      </c>
      <c r="GE166" t="e">
        <f>'All regions'!G4161+"n/&gt;!(Ge"</f>
        <v>#VALUE!</v>
      </c>
      <c r="GF166" t="e">
        <f>'All regions'!H4161+"n/&gt;!(Gf"</f>
        <v>#VALUE!</v>
      </c>
      <c r="GG166" t="e">
        <f>'All regions'!I4161+"n/&gt;!(Gg"</f>
        <v>#VALUE!</v>
      </c>
      <c r="GH166" t="e">
        <f>'All regions'!J4161+"n/&gt;!(Gh"</f>
        <v>#VALUE!</v>
      </c>
      <c r="GI166" t="e">
        <f>'All regions'!A4162+"n/&gt;!(Gi"</f>
        <v>#VALUE!</v>
      </c>
      <c r="GJ166" t="e">
        <f>'All regions'!B4162+"n/&gt;!(Gj"</f>
        <v>#VALUE!</v>
      </c>
      <c r="GK166" t="e">
        <f>'All regions'!C4162+"n/&gt;!(Gk"</f>
        <v>#VALUE!</v>
      </c>
      <c r="GL166" t="e">
        <f>'All regions'!D4162+"n/&gt;!(Gl"</f>
        <v>#VALUE!</v>
      </c>
      <c r="GM166" t="e">
        <f>'All regions'!E4162+"n/&gt;!(Gm"</f>
        <v>#VALUE!</v>
      </c>
      <c r="GN166" t="e">
        <f>'All regions'!F4162+"n/&gt;!(Gn"</f>
        <v>#VALUE!</v>
      </c>
      <c r="GO166" t="e">
        <f>'All regions'!G4162+"n/&gt;!(Go"</f>
        <v>#VALUE!</v>
      </c>
      <c r="GP166" t="e">
        <f>'All regions'!H4162+"n/&gt;!(Gp"</f>
        <v>#VALUE!</v>
      </c>
      <c r="GQ166" t="e">
        <f>'All regions'!I4162+"n/&gt;!(Gq"</f>
        <v>#VALUE!</v>
      </c>
      <c r="GR166" t="e">
        <f>'All regions'!J4162+"n/&gt;!(Gr"</f>
        <v>#VALUE!</v>
      </c>
      <c r="GS166" t="e">
        <f>'All regions'!A4163+"n/&gt;!(Gs"</f>
        <v>#VALUE!</v>
      </c>
      <c r="GT166" t="e">
        <f>'All regions'!B4163+"n/&gt;!(Gt"</f>
        <v>#VALUE!</v>
      </c>
      <c r="GU166" t="e">
        <f>'All regions'!C4163+"n/&gt;!(Gu"</f>
        <v>#VALUE!</v>
      </c>
      <c r="GV166" t="e">
        <f>'All regions'!D4163+"n/&gt;!(Gv"</f>
        <v>#VALUE!</v>
      </c>
      <c r="GW166" t="e">
        <f>'All regions'!E4163+"n/&gt;!(Gw"</f>
        <v>#VALUE!</v>
      </c>
      <c r="GX166" t="e">
        <f>'All regions'!F4163+"n/&gt;!(Gx"</f>
        <v>#VALUE!</v>
      </c>
      <c r="GY166" t="e">
        <f>'All regions'!G4163+"n/&gt;!(Gy"</f>
        <v>#VALUE!</v>
      </c>
      <c r="GZ166" t="e">
        <f>'All regions'!H4163+"n/&gt;!(Gz"</f>
        <v>#VALUE!</v>
      </c>
      <c r="HA166" t="e">
        <f>'All regions'!I4163+"n/&gt;!(G{"</f>
        <v>#VALUE!</v>
      </c>
      <c r="HB166" t="e">
        <f>'All regions'!J4163+"n/&gt;!(G|"</f>
        <v>#VALUE!</v>
      </c>
      <c r="HC166" t="e">
        <f>'All regions'!A4164+"n/&gt;!(G}"</f>
        <v>#VALUE!</v>
      </c>
      <c r="HD166" t="e">
        <f>'All regions'!B4164+"n/&gt;!(G~"</f>
        <v>#VALUE!</v>
      </c>
      <c r="HE166" t="e">
        <f>'All regions'!C4164+"n/&gt;!(H#"</f>
        <v>#VALUE!</v>
      </c>
      <c r="HF166" t="e">
        <f>'All regions'!D4164+"n/&gt;!(H$"</f>
        <v>#VALUE!</v>
      </c>
      <c r="HG166" t="e">
        <f>'All regions'!E4164+"n/&gt;!(H%"</f>
        <v>#VALUE!</v>
      </c>
      <c r="HH166" t="e">
        <f>'All regions'!F4164+"n/&gt;!(H&amp;"</f>
        <v>#VALUE!</v>
      </c>
      <c r="HI166" t="e">
        <f>'All regions'!G4164+"n/&gt;!(H'"</f>
        <v>#VALUE!</v>
      </c>
      <c r="HJ166" t="e">
        <f>'All regions'!H4164+"n/&gt;!(H("</f>
        <v>#VALUE!</v>
      </c>
      <c r="HK166" t="e">
        <f>'All regions'!I4164+"n/&gt;!(H)"</f>
        <v>#VALUE!</v>
      </c>
      <c r="HL166" t="e">
        <f>'All regions'!J4164+"n/&gt;!(H."</f>
        <v>#VALUE!</v>
      </c>
      <c r="HM166" t="e">
        <f>'All regions'!A4165+"n/&gt;!(H/"</f>
        <v>#VALUE!</v>
      </c>
      <c r="HN166" t="e">
        <f>'All regions'!B4165+"n/&gt;!(H0"</f>
        <v>#VALUE!</v>
      </c>
      <c r="HO166" t="e">
        <f>'All regions'!C4165+"n/&gt;!(H1"</f>
        <v>#VALUE!</v>
      </c>
      <c r="HP166" t="e">
        <f>'All regions'!D4165+"n/&gt;!(H2"</f>
        <v>#VALUE!</v>
      </c>
      <c r="HQ166" t="e">
        <f>'All regions'!E4165+"n/&gt;!(H3"</f>
        <v>#VALUE!</v>
      </c>
      <c r="HR166" t="e">
        <f>'All regions'!F4165+"n/&gt;!(H4"</f>
        <v>#VALUE!</v>
      </c>
      <c r="HS166" t="e">
        <f>'All regions'!G4165+"n/&gt;!(H5"</f>
        <v>#VALUE!</v>
      </c>
      <c r="HT166" t="e">
        <f>'All regions'!H4165+"n/&gt;!(H6"</f>
        <v>#VALUE!</v>
      </c>
      <c r="HU166" t="e">
        <f>'All regions'!I4165+"n/&gt;!(H7"</f>
        <v>#VALUE!</v>
      </c>
      <c r="HV166" t="e">
        <f>'All regions'!J4165+"n/&gt;!(H8"</f>
        <v>#VALUE!</v>
      </c>
      <c r="HW166" t="e">
        <f>'All regions'!A4166+"n/&gt;!(H9"</f>
        <v>#VALUE!</v>
      </c>
      <c r="HX166" t="e">
        <f>'All regions'!B4166+"n/&gt;!(H:"</f>
        <v>#VALUE!</v>
      </c>
      <c r="HY166" t="e">
        <f>'All regions'!C4166+"n/&gt;!(H;"</f>
        <v>#VALUE!</v>
      </c>
      <c r="HZ166" t="e">
        <f>'All regions'!D4166+"n/&gt;!(H&lt;"</f>
        <v>#VALUE!</v>
      </c>
      <c r="IA166" t="e">
        <f>'All regions'!E4166+"n/&gt;!(H="</f>
        <v>#VALUE!</v>
      </c>
      <c r="IB166" t="e">
        <f>'All regions'!F4166+"n/&gt;!(H&gt;"</f>
        <v>#VALUE!</v>
      </c>
      <c r="IC166" t="e">
        <f>'All regions'!G4166+"n/&gt;!(H?"</f>
        <v>#VALUE!</v>
      </c>
      <c r="ID166" t="e">
        <f>'All regions'!H4166+"n/&gt;!(H@"</f>
        <v>#VALUE!</v>
      </c>
      <c r="IE166" t="e">
        <f>'All regions'!I4166+"n/&gt;!(HA"</f>
        <v>#VALUE!</v>
      </c>
      <c r="IF166" t="e">
        <f>'All regions'!J4166+"n/&gt;!(HB"</f>
        <v>#VALUE!</v>
      </c>
      <c r="IG166" t="e">
        <f>'All regions'!A4167+"n/&gt;!(HC"</f>
        <v>#VALUE!</v>
      </c>
      <c r="IH166" t="e">
        <f>'All regions'!B4167+"n/&gt;!(HD"</f>
        <v>#VALUE!</v>
      </c>
      <c r="II166" t="e">
        <f>'All regions'!C4167+"n/&gt;!(HE"</f>
        <v>#VALUE!</v>
      </c>
      <c r="IJ166" t="e">
        <f>'All regions'!D4167+"n/&gt;!(HF"</f>
        <v>#VALUE!</v>
      </c>
      <c r="IK166" t="e">
        <f>'All regions'!E4167+"n/&gt;!(HG"</f>
        <v>#VALUE!</v>
      </c>
      <c r="IL166" t="e">
        <f>'All regions'!F4167+"n/&gt;!(HH"</f>
        <v>#VALUE!</v>
      </c>
      <c r="IM166" t="e">
        <f>'All regions'!G4167+"n/&gt;!(HI"</f>
        <v>#VALUE!</v>
      </c>
      <c r="IN166" t="e">
        <f>'All regions'!H4167+"n/&gt;!(HJ"</f>
        <v>#VALUE!</v>
      </c>
      <c r="IO166" t="e">
        <f>'All regions'!I4167+"n/&gt;!(HK"</f>
        <v>#VALUE!</v>
      </c>
      <c r="IP166" t="e">
        <f>'All regions'!J4167+"n/&gt;!(HL"</f>
        <v>#VALUE!</v>
      </c>
      <c r="IQ166" t="e">
        <f>'All regions'!A4168+"n/&gt;!(HM"</f>
        <v>#VALUE!</v>
      </c>
      <c r="IR166" t="e">
        <f>'All regions'!B4168+"n/&gt;!(HN"</f>
        <v>#VALUE!</v>
      </c>
      <c r="IS166" t="e">
        <f>'All regions'!C4168+"n/&gt;!(HO"</f>
        <v>#VALUE!</v>
      </c>
      <c r="IT166" t="e">
        <f>'All regions'!D4168+"n/&gt;!(HP"</f>
        <v>#VALUE!</v>
      </c>
      <c r="IU166" t="e">
        <f>'All regions'!E4168+"n/&gt;!(HQ"</f>
        <v>#VALUE!</v>
      </c>
      <c r="IV166" t="e">
        <f>'All regions'!F4168+"n/&gt;!(HR"</f>
        <v>#VALUE!</v>
      </c>
    </row>
    <row r="167" spans="6:256" x14ac:dyDescent="0.35">
      <c r="F167" t="e">
        <f>'All regions'!G4168+"n/&gt;!(HS"</f>
        <v>#VALUE!</v>
      </c>
      <c r="G167" t="e">
        <f>'All regions'!H4168+"n/&gt;!(HT"</f>
        <v>#VALUE!</v>
      </c>
      <c r="H167" t="e">
        <f>'All regions'!I4168+"n/&gt;!(HU"</f>
        <v>#VALUE!</v>
      </c>
      <c r="I167" t="e">
        <f>'All regions'!J4168+"n/&gt;!(HV"</f>
        <v>#VALUE!</v>
      </c>
      <c r="J167" t="e">
        <f>'All regions'!A4169+"n/&gt;!(HW"</f>
        <v>#VALUE!</v>
      </c>
      <c r="K167" t="e">
        <f>'All regions'!B4169+"n/&gt;!(HX"</f>
        <v>#VALUE!</v>
      </c>
      <c r="L167" t="e">
        <f>'All regions'!C4169+"n/&gt;!(HY"</f>
        <v>#VALUE!</v>
      </c>
      <c r="M167" t="e">
        <f>'All regions'!D4169+"n/&gt;!(HZ"</f>
        <v>#VALUE!</v>
      </c>
      <c r="N167" t="e">
        <f>'All regions'!E4169+"n/&gt;!(H["</f>
        <v>#VALUE!</v>
      </c>
      <c r="O167" t="e">
        <f>'All regions'!F4169+"n/&gt;!(H\"</f>
        <v>#VALUE!</v>
      </c>
      <c r="P167" t="e">
        <f>'All regions'!G4169+"n/&gt;!(H]"</f>
        <v>#VALUE!</v>
      </c>
      <c r="Q167" t="e">
        <f>'All regions'!H4169+"n/&gt;!(H^"</f>
        <v>#VALUE!</v>
      </c>
      <c r="R167" t="e">
        <f>'All regions'!I4169+"n/&gt;!(H_"</f>
        <v>#VALUE!</v>
      </c>
      <c r="S167" t="e">
        <f>'All regions'!J4169+"n/&gt;!(H`"</f>
        <v>#VALUE!</v>
      </c>
      <c r="T167" t="e">
        <f>'All regions'!A4170+"n/&gt;!(Ha"</f>
        <v>#VALUE!</v>
      </c>
      <c r="U167" t="e">
        <f>'All regions'!B4170+"n/&gt;!(Hb"</f>
        <v>#VALUE!</v>
      </c>
      <c r="V167" t="e">
        <f>'All regions'!C4170+"n/&gt;!(Hc"</f>
        <v>#VALUE!</v>
      </c>
      <c r="W167" t="e">
        <f>'All regions'!D4170+"n/&gt;!(Hd"</f>
        <v>#VALUE!</v>
      </c>
      <c r="X167" t="e">
        <f>'All regions'!E4170+"n/&gt;!(He"</f>
        <v>#VALUE!</v>
      </c>
      <c r="Y167" t="e">
        <f>'All regions'!F4170+"n/&gt;!(Hf"</f>
        <v>#VALUE!</v>
      </c>
      <c r="Z167" t="e">
        <f>'All regions'!G4170+"n/&gt;!(Hg"</f>
        <v>#VALUE!</v>
      </c>
      <c r="AA167" t="e">
        <f>'All regions'!H4170+"n/&gt;!(Hh"</f>
        <v>#VALUE!</v>
      </c>
      <c r="AB167" t="e">
        <f>'All regions'!I4170+"n/&gt;!(Hi"</f>
        <v>#VALUE!</v>
      </c>
      <c r="AC167" t="e">
        <f>'All regions'!J4170+"n/&gt;!(Hj"</f>
        <v>#VALUE!</v>
      </c>
      <c r="AD167" t="e">
        <f>'All regions'!A4171+"n/&gt;!(Hk"</f>
        <v>#VALUE!</v>
      </c>
      <c r="AE167" t="e">
        <f>'All regions'!B4171+"n/&gt;!(Hl"</f>
        <v>#VALUE!</v>
      </c>
      <c r="AF167" t="e">
        <f>'All regions'!C4171+"n/&gt;!(Hm"</f>
        <v>#VALUE!</v>
      </c>
      <c r="AG167" t="e">
        <f>'All regions'!D4171+"n/&gt;!(Hn"</f>
        <v>#VALUE!</v>
      </c>
      <c r="AH167" t="e">
        <f>'All regions'!E4171+"n/&gt;!(Ho"</f>
        <v>#VALUE!</v>
      </c>
      <c r="AI167" t="e">
        <f>'All regions'!F4171+"n/&gt;!(Hp"</f>
        <v>#VALUE!</v>
      </c>
      <c r="AJ167" t="e">
        <f>'All regions'!G4171+"n/&gt;!(Hq"</f>
        <v>#VALUE!</v>
      </c>
      <c r="AK167" t="e">
        <f>'All regions'!H4171+"n/&gt;!(Hr"</f>
        <v>#VALUE!</v>
      </c>
      <c r="AL167" t="e">
        <f>'All regions'!I4171+"n/&gt;!(Hs"</f>
        <v>#VALUE!</v>
      </c>
      <c r="AM167" t="e">
        <f>'All regions'!J4171+"n/&gt;!(Ht"</f>
        <v>#VALUE!</v>
      </c>
      <c r="AN167" t="e">
        <f>'All regions'!A4172+"n/&gt;!(Hu"</f>
        <v>#VALUE!</v>
      </c>
      <c r="AO167" t="e">
        <f>'All regions'!B4172+"n/&gt;!(Hv"</f>
        <v>#VALUE!</v>
      </c>
      <c r="AP167" t="e">
        <f>'All regions'!C4172+"n/&gt;!(Hw"</f>
        <v>#VALUE!</v>
      </c>
      <c r="AQ167" t="e">
        <f>'All regions'!D4172+"n/&gt;!(Hx"</f>
        <v>#VALUE!</v>
      </c>
      <c r="AR167" t="e">
        <f>'All regions'!E4172+"n/&gt;!(Hy"</f>
        <v>#VALUE!</v>
      </c>
      <c r="AS167" t="e">
        <f>'All regions'!F4172+"n/&gt;!(Hz"</f>
        <v>#VALUE!</v>
      </c>
      <c r="AT167" t="e">
        <f>'All regions'!G4172+"n/&gt;!(H{"</f>
        <v>#VALUE!</v>
      </c>
      <c r="AU167" t="e">
        <f>'All regions'!H4172+"n/&gt;!(H|"</f>
        <v>#VALUE!</v>
      </c>
      <c r="AV167" t="e">
        <f>'All regions'!I4172+"n/&gt;!(H}"</f>
        <v>#VALUE!</v>
      </c>
      <c r="AW167" t="e">
        <f>'All regions'!J4172+"n/&gt;!(H~"</f>
        <v>#VALUE!</v>
      </c>
      <c r="AX167" t="e">
        <f>'All regions'!A4173+"n/&gt;!(I#"</f>
        <v>#VALUE!</v>
      </c>
      <c r="AY167" t="e">
        <f>'All regions'!B4173+"n/&gt;!(I$"</f>
        <v>#VALUE!</v>
      </c>
      <c r="AZ167" t="e">
        <f>'All regions'!C4173+"n/&gt;!(I%"</f>
        <v>#VALUE!</v>
      </c>
      <c r="BA167" t="e">
        <f>'All regions'!D4173+"n/&gt;!(I&amp;"</f>
        <v>#VALUE!</v>
      </c>
      <c r="BB167" t="e">
        <f>'All regions'!E4173+"n/&gt;!(I'"</f>
        <v>#VALUE!</v>
      </c>
      <c r="BC167" t="e">
        <f>'All regions'!F4173+"n/&gt;!(I("</f>
        <v>#VALUE!</v>
      </c>
      <c r="BD167" t="e">
        <f>'All regions'!G4173+"n/&gt;!(I)"</f>
        <v>#VALUE!</v>
      </c>
      <c r="BE167" t="e">
        <f>'All regions'!H4173+"n/&gt;!(I."</f>
        <v>#VALUE!</v>
      </c>
      <c r="BF167" t="e">
        <f>'All regions'!I4173+"n/&gt;!(I/"</f>
        <v>#VALUE!</v>
      </c>
      <c r="BG167" t="e">
        <f>'All regions'!J4173+"n/&gt;!(I0"</f>
        <v>#VALUE!</v>
      </c>
      <c r="BH167" t="e">
        <f>'All regions'!A4174+"n/&gt;!(I1"</f>
        <v>#VALUE!</v>
      </c>
      <c r="BI167" t="e">
        <f>'All regions'!B4174+"n/&gt;!(I2"</f>
        <v>#VALUE!</v>
      </c>
      <c r="BJ167" t="e">
        <f>'All regions'!C4174+"n/&gt;!(I3"</f>
        <v>#VALUE!</v>
      </c>
      <c r="BK167" t="e">
        <f>'All regions'!D4174+"n/&gt;!(I4"</f>
        <v>#VALUE!</v>
      </c>
      <c r="BL167" t="e">
        <f>'All regions'!E4174+"n/&gt;!(I5"</f>
        <v>#VALUE!</v>
      </c>
      <c r="BM167" t="e">
        <f>'All regions'!F4174+"n/&gt;!(I6"</f>
        <v>#VALUE!</v>
      </c>
      <c r="BN167" t="e">
        <f>'All regions'!G4174+"n/&gt;!(I7"</f>
        <v>#VALUE!</v>
      </c>
      <c r="BO167" t="e">
        <f>'All regions'!H4174+"n/&gt;!(I8"</f>
        <v>#VALUE!</v>
      </c>
      <c r="BP167" t="e">
        <f>'All regions'!I4174+"n/&gt;!(I9"</f>
        <v>#VALUE!</v>
      </c>
      <c r="BQ167" t="e">
        <f>'All regions'!J4174+"n/&gt;!(I:"</f>
        <v>#VALUE!</v>
      </c>
      <c r="BR167" t="e">
        <f>'All regions'!A4175+"n/&gt;!(I;"</f>
        <v>#VALUE!</v>
      </c>
      <c r="BS167" t="e">
        <f>'All regions'!B4175+"n/&gt;!(I&lt;"</f>
        <v>#VALUE!</v>
      </c>
      <c r="BT167" t="e">
        <f>'All regions'!C4175+"n/&gt;!(I="</f>
        <v>#VALUE!</v>
      </c>
      <c r="BU167" t="e">
        <f>'All regions'!D4175+"n/&gt;!(I&gt;"</f>
        <v>#VALUE!</v>
      </c>
      <c r="BV167" t="e">
        <f>'All regions'!E4175+"n/&gt;!(I?"</f>
        <v>#VALUE!</v>
      </c>
      <c r="BW167" t="e">
        <f>'All regions'!F4175+"n/&gt;!(I@"</f>
        <v>#VALUE!</v>
      </c>
      <c r="BX167" t="e">
        <f>'All regions'!G4175+"n/&gt;!(IA"</f>
        <v>#VALUE!</v>
      </c>
      <c r="BY167" t="e">
        <f>'All regions'!H4175+"n/&gt;!(IB"</f>
        <v>#VALUE!</v>
      </c>
      <c r="BZ167" t="e">
        <f>'All regions'!I4175+"n/&gt;!(IC"</f>
        <v>#VALUE!</v>
      </c>
      <c r="CA167" t="e">
        <f>'All regions'!J4175+"n/&gt;!(ID"</f>
        <v>#VALUE!</v>
      </c>
      <c r="CB167" t="e">
        <f>'All regions'!A4176+"n/&gt;!(IE"</f>
        <v>#VALUE!</v>
      </c>
      <c r="CC167" t="e">
        <f>'All regions'!B4176+"n/&gt;!(IF"</f>
        <v>#VALUE!</v>
      </c>
      <c r="CD167" t="e">
        <f>'All regions'!C4176+"n/&gt;!(IG"</f>
        <v>#VALUE!</v>
      </c>
      <c r="CE167" t="e">
        <f>'All regions'!D4176+"n/&gt;!(IH"</f>
        <v>#VALUE!</v>
      </c>
      <c r="CF167" t="e">
        <f>'All regions'!E4176+"n/&gt;!(II"</f>
        <v>#VALUE!</v>
      </c>
      <c r="CG167" t="e">
        <f>'All regions'!F4176+"n/&gt;!(IJ"</f>
        <v>#VALUE!</v>
      </c>
      <c r="CH167" t="e">
        <f>'All regions'!G4176+"n/&gt;!(IK"</f>
        <v>#VALUE!</v>
      </c>
      <c r="CI167" t="e">
        <f>'All regions'!H4176+"n/&gt;!(IL"</f>
        <v>#VALUE!</v>
      </c>
      <c r="CJ167" t="e">
        <f>'All regions'!I4176+"n/&gt;!(IM"</f>
        <v>#VALUE!</v>
      </c>
      <c r="CK167" t="e">
        <f>'All regions'!J4176+"n/&gt;!(IN"</f>
        <v>#VALUE!</v>
      </c>
      <c r="CL167" t="e">
        <f>'All regions'!A4177+"n/&gt;!(IO"</f>
        <v>#VALUE!</v>
      </c>
      <c r="CM167" t="e">
        <f>'All regions'!B4177+"n/&gt;!(IP"</f>
        <v>#VALUE!</v>
      </c>
      <c r="CN167" t="e">
        <f>'All regions'!C4177+"n/&gt;!(IQ"</f>
        <v>#VALUE!</v>
      </c>
      <c r="CO167" t="e">
        <f>'All regions'!D4177+"n/&gt;!(IR"</f>
        <v>#VALUE!</v>
      </c>
      <c r="CP167" t="e">
        <f>'All regions'!E4177+"n/&gt;!(IS"</f>
        <v>#VALUE!</v>
      </c>
      <c r="CQ167" t="e">
        <f>'All regions'!F4177+"n/&gt;!(IT"</f>
        <v>#VALUE!</v>
      </c>
      <c r="CR167" t="e">
        <f>'All regions'!G4177+"n/&gt;!(IU"</f>
        <v>#VALUE!</v>
      </c>
      <c r="CS167" t="e">
        <f>'All regions'!H4177+"n/&gt;!(IV"</f>
        <v>#VALUE!</v>
      </c>
      <c r="CT167" t="e">
        <f>'All regions'!I4177+"n/&gt;!(IW"</f>
        <v>#VALUE!</v>
      </c>
      <c r="CU167" t="e">
        <f>'All regions'!J4177+"n/&gt;!(IX"</f>
        <v>#VALUE!</v>
      </c>
      <c r="CV167" t="e">
        <f>'All regions'!A4178+"n/&gt;!(IY"</f>
        <v>#VALUE!</v>
      </c>
      <c r="CW167" t="e">
        <f>'All regions'!B4178+"n/&gt;!(IZ"</f>
        <v>#VALUE!</v>
      </c>
      <c r="CX167" t="e">
        <f>'All regions'!C4178+"n/&gt;!(I["</f>
        <v>#VALUE!</v>
      </c>
      <c r="CY167" t="e">
        <f>'All regions'!D4178+"n/&gt;!(I\"</f>
        <v>#VALUE!</v>
      </c>
      <c r="CZ167" t="e">
        <f>'All regions'!E4178+"n/&gt;!(I]"</f>
        <v>#VALUE!</v>
      </c>
      <c r="DA167" t="e">
        <f>'All regions'!F4178+"n/&gt;!(I^"</f>
        <v>#VALUE!</v>
      </c>
      <c r="DB167" t="e">
        <f>'All regions'!G4178+"n/&gt;!(I_"</f>
        <v>#VALUE!</v>
      </c>
      <c r="DC167" t="e">
        <f>'All regions'!H4178+"n/&gt;!(I`"</f>
        <v>#VALUE!</v>
      </c>
      <c r="DD167" t="e">
        <f>'All regions'!I4178+"n/&gt;!(Ia"</f>
        <v>#VALUE!</v>
      </c>
      <c r="DE167" t="e">
        <f>'All regions'!J4178+"n/&gt;!(Ib"</f>
        <v>#VALUE!</v>
      </c>
      <c r="DF167" t="e">
        <f>'All regions'!A4179+"n/&gt;!(Ic"</f>
        <v>#VALUE!</v>
      </c>
      <c r="DG167" t="e">
        <f>'All regions'!B4179+"n/&gt;!(Id"</f>
        <v>#VALUE!</v>
      </c>
      <c r="DH167" t="e">
        <f>'All regions'!C4179+"n/&gt;!(Ie"</f>
        <v>#VALUE!</v>
      </c>
      <c r="DI167" t="e">
        <f>'All regions'!D4179+"n/&gt;!(If"</f>
        <v>#VALUE!</v>
      </c>
      <c r="DJ167" t="e">
        <f>'All regions'!E4179+"n/&gt;!(Ig"</f>
        <v>#VALUE!</v>
      </c>
      <c r="DK167" t="e">
        <f>'All regions'!F4179+"n/&gt;!(Ih"</f>
        <v>#VALUE!</v>
      </c>
      <c r="DL167" t="e">
        <f>'All regions'!G4179+"n/&gt;!(Ii"</f>
        <v>#VALUE!</v>
      </c>
      <c r="DM167" t="e">
        <f>'All regions'!H4179+"n/&gt;!(Ij"</f>
        <v>#VALUE!</v>
      </c>
      <c r="DN167" t="e">
        <f>'All regions'!I4179+"n/&gt;!(Ik"</f>
        <v>#VALUE!</v>
      </c>
      <c r="DO167" t="e">
        <f>'All regions'!J4179+"n/&gt;!(Il"</f>
        <v>#VALUE!</v>
      </c>
      <c r="DP167" t="e">
        <f>'All regions'!A4180+"n/&gt;!(Im"</f>
        <v>#VALUE!</v>
      </c>
      <c r="DQ167" t="e">
        <f>'All regions'!B4180+"n/&gt;!(In"</f>
        <v>#VALUE!</v>
      </c>
      <c r="DR167" t="e">
        <f>'All regions'!C4180+"n/&gt;!(Io"</f>
        <v>#VALUE!</v>
      </c>
      <c r="DS167" t="e">
        <f>'All regions'!D4180+"n/&gt;!(Ip"</f>
        <v>#VALUE!</v>
      </c>
      <c r="DT167" t="e">
        <f>'All regions'!E4180+"n/&gt;!(Iq"</f>
        <v>#VALUE!</v>
      </c>
      <c r="DU167" t="e">
        <f>'All regions'!F4180+"n/&gt;!(Ir"</f>
        <v>#VALUE!</v>
      </c>
      <c r="DV167" t="e">
        <f>'All regions'!G4180+"n/&gt;!(Is"</f>
        <v>#VALUE!</v>
      </c>
      <c r="DW167" t="e">
        <f>'All regions'!H4180+"n/&gt;!(It"</f>
        <v>#VALUE!</v>
      </c>
      <c r="DX167" t="e">
        <f>'All regions'!I4180+"n/&gt;!(Iu"</f>
        <v>#VALUE!</v>
      </c>
      <c r="DY167" t="e">
        <f>'All regions'!J4180+"n/&gt;!(Iv"</f>
        <v>#VALUE!</v>
      </c>
      <c r="DZ167" t="e">
        <f>'All regions'!A4181+"n/&gt;!(Iw"</f>
        <v>#VALUE!</v>
      </c>
      <c r="EA167" t="e">
        <f>'All regions'!B4181+"n/&gt;!(Ix"</f>
        <v>#VALUE!</v>
      </c>
      <c r="EB167" t="e">
        <f>'All regions'!C4181+"n/&gt;!(Iy"</f>
        <v>#VALUE!</v>
      </c>
      <c r="EC167" t="e">
        <f>'All regions'!D4181+"n/&gt;!(Iz"</f>
        <v>#VALUE!</v>
      </c>
      <c r="ED167" t="e">
        <f>'All regions'!E4181+"n/&gt;!(I{"</f>
        <v>#VALUE!</v>
      </c>
      <c r="EE167" t="e">
        <f>'All regions'!F4181+"n/&gt;!(I|"</f>
        <v>#VALUE!</v>
      </c>
      <c r="EF167" t="e">
        <f>'All regions'!G4181+"n/&gt;!(I}"</f>
        <v>#VALUE!</v>
      </c>
      <c r="EG167" t="e">
        <f>'All regions'!H4181+"n/&gt;!(I~"</f>
        <v>#VALUE!</v>
      </c>
      <c r="EH167" t="e">
        <f>'All regions'!I4181+"n/&gt;!(J#"</f>
        <v>#VALUE!</v>
      </c>
      <c r="EI167" t="e">
        <f>'All regions'!J4181+"n/&gt;!(J$"</f>
        <v>#VALUE!</v>
      </c>
      <c r="EJ167" t="e">
        <f>'All regions'!A4182+"n/&gt;!(J%"</f>
        <v>#VALUE!</v>
      </c>
      <c r="EK167" t="e">
        <f>'All regions'!B4182+"n/&gt;!(J&amp;"</f>
        <v>#VALUE!</v>
      </c>
      <c r="EL167" t="e">
        <f>'All regions'!C4182+"n/&gt;!(J'"</f>
        <v>#VALUE!</v>
      </c>
      <c r="EM167" t="e">
        <f>'All regions'!D4182+"n/&gt;!(J("</f>
        <v>#VALUE!</v>
      </c>
      <c r="EN167" t="e">
        <f>'All regions'!E4182+"n/&gt;!(J)"</f>
        <v>#VALUE!</v>
      </c>
      <c r="EO167" t="e">
        <f>'All regions'!F4182+"n/&gt;!(J."</f>
        <v>#VALUE!</v>
      </c>
      <c r="EP167" t="e">
        <f>'All regions'!G4182+"n/&gt;!(J/"</f>
        <v>#VALUE!</v>
      </c>
      <c r="EQ167" t="e">
        <f>'All regions'!H4182+"n/&gt;!(J0"</f>
        <v>#VALUE!</v>
      </c>
      <c r="ER167" t="e">
        <f>'All regions'!I4182+"n/&gt;!(J1"</f>
        <v>#VALUE!</v>
      </c>
      <c r="ES167" t="e">
        <f>'All regions'!J4182+"n/&gt;!(J2"</f>
        <v>#VALUE!</v>
      </c>
      <c r="ET167" t="e">
        <f>'All regions'!A4183+"n/&gt;!(J3"</f>
        <v>#VALUE!</v>
      </c>
      <c r="EU167" t="e">
        <f>'All regions'!B4183+"n/&gt;!(J4"</f>
        <v>#VALUE!</v>
      </c>
      <c r="EV167" t="e">
        <f>'All regions'!C4183+"n/&gt;!(J5"</f>
        <v>#VALUE!</v>
      </c>
      <c r="EW167" t="e">
        <f>'All regions'!D4183+"n/&gt;!(J6"</f>
        <v>#VALUE!</v>
      </c>
      <c r="EX167" t="e">
        <f>'All regions'!E4183+"n/&gt;!(J7"</f>
        <v>#VALUE!</v>
      </c>
      <c r="EY167" t="e">
        <f>'All regions'!F4183+"n/&gt;!(J8"</f>
        <v>#VALUE!</v>
      </c>
      <c r="EZ167" t="e">
        <f>'All regions'!G4183+"n/&gt;!(J9"</f>
        <v>#VALUE!</v>
      </c>
      <c r="FA167" t="e">
        <f>'All regions'!H4183+"n/&gt;!(J:"</f>
        <v>#VALUE!</v>
      </c>
      <c r="FB167" t="e">
        <f>'All regions'!I4183+"n/&gt;!(J;"</f>
        <v>#VALUE!</v>
      </c>
      <c r="FC167" t="e">
        <f>'All regions'!J4183+"n/&gt;!(J&lt;"</f>
        <v>#VALUE!</v>
      </c>
      <c r="FD167" t="e">
        <f>'All regions'!A4184+"n/&gt;!(J="</f>
        <v>#VALUE!</v>
      </c>
      <c r="FE167" t="e">
        <f>'All regions'!B4184+"n/&gt;!(J&gt;"</f>
        <v>#VALUE!</v>
      </c>
      <c r="FF167" t="e">
        <f>'All regions'!C4184+"n/&gt;!(J?"</f>
        <v>#VALUE!</v>
      </c>
      <c r="FG167" t="e">
        <f>'All regions'!D4184+"n/&gt;!(J@"</f>
        <v>#VALUE!</v>
      </c>
      <c r="FH167" t="e">
        <f>'All regions'!E4184+"n/&gt;!(JA"</f>
        <v>#VALUE!</v>
      </c>
      <c r="FI167" t="e">
        <f>'All regions'!F4184+"n/&gt;!(JB"</f>
        <v>#VALUE!</v>
      </c>
      <c r="FJ167" t="e">
        <f>'All regions'!G4184+"n/&gt;!(JC"</f>
        <v>#VALUE!</v>
      </c>
      <c r="FK167" t="e">
        <f>'All regions'!H4184+"n/&gt;!(JD"</f>
        <v>#VALUE!</v>
      </c>
      <c r="FL167" t="e">
        <f>'All regions'!I4184+"n/&gt;!(JE"</f>
        <v>#VALUE!</v>
      </c>
      <c r="FM167" t="e">
        <f>'All regions'!J4184+"n/&gt;!(JF"</f>
        <v>#VALUE!</v>
      </c>
      <c r="FN167" t="e">
        <f>'All regions'!A4185+"n/&gt;!(JG"</f>
        <v>#VALUE!</v>
      </c>
      <c r="FO167" t="e">
        <f>'All regions'!B4185+"n/&gt;!(JH"</f>
        <v>#VALUE!</v>
      </c>
      <c r="FP167" t="e">
        <f>'All regions'!C4185+"n/&gt;!(JI"</f>
        <v>#VALUE!</v>
      </c>
      <c r="FQ167" t="e">
        <f>'All regions'!D4185+"n/&gt;!(JJ"</f>
        <v>#VALUE!</v>
      </c>
      <c r="FR167" t="e">
        <f>'All regions'!E4185+"n/&gt;!(JK"</f>
        <v>#VALUE!</v>
      </c>
      <c r="FS167" t="e">
        <f>'All regions'!F4185+"n/&gt;!(JL"</f>
        <v>#VALUE!</v>
      </c>
      <c r="FT167" t="e">
        <f>'All regions'!G4185+"n/&gt;!(JM"</f>
        <v>#VALUE!</v>
      </c>
      <c r="FU167" t="e">
        <f>'All regions'!H4185+"n/&gt;!(JN"</f>
        <v>#VALUE!</v>
      </c>
      <c r="FV167" t="e">
        <f>'All regions'!I4185+"n/&gt;!(JO"</f>
        <v>#VALUE!</v>
      </c>
      <c r="FW167" t="e">
        <f>'All regions'!J4185+"n/&gt;!(JP"</f>
        <v>#VALUE!</v>
      </c>
      <c r="FX167" t="e">
        <f>'All regions'!A4186+"n/&gt;!(JQ"</f>
        <v>#VALUE!</v>
      </c>
      <c r="FY167" t="e">
        <f>'All regions'!B4186+"n/&gt;!(JR"</f>
        <v>#VALUE!</v>
      </c>
      <c r="FZ167" t="e">
        <f>'All regions'!C4186+"n/&gt;!(JS"</f>
        <v>#VALUE!</v>
      </c>
      <c r="GA167" t="e">
        <f>'All regions'!D4186+"n/&gt;!(JT"</f>
        <v>#VALUE!</v>
      </c>
      <c r="GB167" t="e">
        <f>'All regions'!E4186+"n/&gt;!(JU"</f>
        <v>#VALUE!</v>
      </c>
      <c r="GC167" t="e">
        <f>'All regions'!F4186+"n/&gt;!(JV"</f>
        <v>#VALUE!</v>
      </c>
      <c r="GD167" t="e">
        <f>'All regions'!G4186+"n/&gt;!(JW"</f>
        <v>#VALUE!</v>
      </c>
      <c r="GE167" t="e">
        <f>'All regions'!H4186+"n/&gt;!(JX"</f>
        <v>#VALUE!</v>
      </c>
      <c r="GF167" t="e">
        <f>'All regions'!I4186+"n/&gt;!(JY"</f>
        <v>#VALUE!</v>
      </c>
      <c r="GG167" t="e">
        <f>'All regions'!J4186+"n/&gt;!(JZ"</f>
        <v>#VALUE!</v>
      </c>
      <c r="GH167" t="e">
        <f>'All regions'!A4187+"n/&gt;!(J["</f>
        <v>#VALUE!</v>
      </c>
      <c r="GI167" t="e">
        <f>'All regions'!B4187+"n/&gt;!(J\"</f>
        <v>#VALUE!</v>
      </c>
      <c r="GJ167" t="e">
        <f>'All regions'!C4187+"n/&gt;!(J]"</f>
        <v>#VALUE!</v>
      </c>
      <c r="GK167" t="e">
        <f>'All regions'!D4187+"n/&gt;!(J^"</f>
        <v>#VALUE!</v>
      </c>
      <c r="GL167" t="e">
        <f>'All regions'!E4187+"n/&gt;!(J_"</f>
        <v>#VALUE!</v>
      </c>
      <c r="GM167" t="e">
        <f>'All regions'!F4187+"n/&gt;!(J`"</f>
        <v>#VALUE!</v>
      </c>
      <c r="GN167" t="e">
        <f>'All regions'!G4187+"n/&gt;!(Ja"</f>
        <v>#VALUE!</v>
      </c>
      <c r="GO167" t="e">
        <f>'All regions'!H4187+"n/&gt;!(Jb"</f>
        <v>#VALUE!</v>
      </c>
      <c r="GP167" t="e">
        <f>'All regions'!I4187+"n/&gt;!(Jc"</f>
        <v>#VALUE!</v>
      </c>
      <c r="GQ167" t="e">
        <f>'All regions'!J4187+"n/&gt;!(Jd"</f>
        <v>#VALUE!</v>
      </c>
      <c r="GR167" t="e">
        <f>'All regions'!A4188+"n/&gt;!(Je"</f>
        <v>#VALUE!</v>
      </c>
      <c r="GS167" t="e">
        <f>'All regions'!B4188+"n/&gt;!(Jf"</f>
        <v>#VALUE!</v>
      </c>
      <c r="GT167" t="e">
        <f>'All regions'!C4188+"n/&gt;!(Jg"</f>
        <v>#VALUE!</v>
      </c>
      <c r="GU167" t="e">
        <f>'All regions'!D4188+"n/&gt;!(Jh"</f>
        <v>#VALUE!</v>
      </c>
      <c r="GV167" t="e">
        <f>'All regions'!E4188+"n/&gt;!(Ji"</f>
        <v>#VALUE!</v>
      </c>
      <c r="GW167" t="e">
        <f>'All regions'!F4188+"n/&gt;!(Jj"</f>
        <v>#VALUE!</v>
      </c>
      <c r="GX167" t="e">
        <f>'All regions'!G4188+"n/&gt;!(Jk"</f>
        <v>#VALUE!</v>
      </c>
      <c r="GY167" t="e">
        <f>'All regions'!H4188+"n/&gt;!(Jl"</f>
        <v>#VALUE!</v>
      </c>
      <c r="GZ167" t="e">
        <f>'All regions'!I4188+"n/&gt;!(Jm"</f>
        <v>#VALUE!</v>
      </c>
      <c r="HA167" t="e">
        <f>'All regions'!J4188+"n/&gt;!(Jn"</f>
        <v>#VALUE!</v>
      </c>
      <c r="HB167" t="e">
        <f>'All regions'!A4189+"n/&gt;!(Jo"</f>
        <v>#VALUE!</v>
      </c>
      <c r="HC167" t="e">
        <f>'All regions'!B4189+"n/&gt;!(Jp"</f>
        <v>#VALUE!</v>
      </c>
      <c r="HD167" t="e">
        <f>'All regions'!C4189+"n/&gt;!(Jq"</f>
        <v>#VALUE!</v>
      </c>
      <c r="HE167" t="e">
        <f>'All regions'!D4189+"n/&gt;!(Jr"</f>
        <v>#VALUE!</v>
      </c>
      <c r="HF167" t="e">
        <f>'All regions'!E4189+"n/&gt;!(Js"</f>
        <v>#VALUE!</v>
      </c>
      <c r="HG167" t="e">
        <f>'All regions'!F4189+"n/&gt;!(Jt"</f>
        <v>#VALUE!</v>
      </c>
      <c r="HH167" t="e">
        <f>'All regions'!G4189+"n/&gt;!(Ju"</f>
        <v>#VALUE!</v>
      </c>
      <c r="HI167" t="e">
        <f>'All regions'!H4189+"n/&gt;!(Jv"</f>
        <v>#VALUE!</v>
      </c>
      <c r="HJ167" t="e">
        <f>'All regions'!I4189+"n/&gt;!(Jw"</f>
        <v>#VALUE!</v>
      </c>
      <c r="HK167" t="e">
        <f>'All regions'!J4189+"n/&gt;!(Jx"</f>
        <v>#VALUE!</v>
      </c>
      <c r="HL167" t="e">
        <f>'All regions'!A4190+"n/&gt;!(Jy"</f>
        <v>#VALUE!</v>
      </c>
      <c r="HM167" t="e">
        <f>'All regions'!B4190+"n/&gt;!(Jz"</f>
        <v>#VALUE!</v>
      </c>
      <c r="HN167" t="e">
        <f>'All regions'!C4190+"n/&gt;!(J{"</f>
        <v>#VALUE!</v>
      </c>
      <c r="HO167" t="e">
        <f>'All regions'!D4190+"n/&gt;!(J|"</f>
        <v>#VALUE!</v>
      </c>
      <c r="HP167" t="e">
        <f>'All regions'!E4190+"n/&gt;!(J}"</f>
        <v>#VALUE!</v>
      </c>
      <c r="HQ167" t="e">
        <f>'All regions'!F4190+"n/&gt;!(J~"</f>
        <v>#VALUE!</v>
      </c>
      <c r="HR167" t="e">
        <f>'All regions'!G4190+"n/&gt;!(K#"</f>
        <v>#VALUE!</v>
      </c>
      <c r="HS167" t="e">
        <f>'All regions'!H4190+"n/&gt;!(K$"</f>
        <v>#VALUE!</v>
      </c>
      <c r="HT167" t="e">
        <f>'All regions'!I4190+"n/&gt;!(K%"</f>
        <v>#VALUE!</v>
      </c>
      <c r="HU167" t="e">
        <f>'All regions'!J4190+"n/&gt;!(K&amp;"</f>
        <v>#VALUE!</v>
      </c>
      <c r="HV167" t="e">
        <f>'All regions'!A4191+"n/&gt;!(K'"</f>
        <v>#VALUE!</v>
      </c>
      <c r="HW167" t="e">
        <f>'All regions'!B4191+"n/&gt;!(K("</f>
        <v>#VALUE!</v>
      </c>
      <c r="HX167" t="e">
        <f>'All regions'!C4191+"n/&gt;!(K)"</f>
        <v>#VALUE!</v>
      </c>
      <c r="HY167" t="e">
        <f>'All regions'!D4191+"n/&gt;!(K."</f>
        <v>#VALUE!</v>
      </c>
      <c r="HZ167" t="e">
        <f>'All regions'!E4191+"n/&gt;!(K/"</f>
        <v>#VALUE!</v>
      </c>
      <c r="IA167" t="e">
        <f>'All regions'!F4191+"n/&gt;!(K0"</f>
        <v>#VALUE!</v>
      </c>
      <c r="IB167" t="e">
        <f>'All regions'!G4191+"n/&gt;!(K1"</f>
        <v>#VALUE!</v>
      </c>
      <c r="IC167" t="e">
        <f>'All regions'!H4191+"n/&gt;!(K2"</f>
        <v>#VALUE!</v>
      </c>
      <c r="ID167" t="e">
        <f>'All regions'!I4191+"n/&gt;!(K3"</f>
        <v>#VALUE!</v>
      </c>
      <c r="IE167" t="e">
        <f>'All regions'!J4191+"n/&gt;!(K4"</f>
        <v>#VALUE!</v>
      </c>
      <c r="IF167" t="e">
        <f>'All regions'!A4192+"n/&gt;!(K5"</f>
        <v>#VALUE!</v>
      </c>
      <c r="IG167" t="e">
        <f>'All regions'!B4192+"n/&gt;!(K6"</f>
        <v>#VALUE!</v>
      </c>
      <c r="IH167" t="e">
        <f>'All regions'!C4192+"n/&gt;!(K7"</f>
        <v>#VALUE!</v>
      </c>
      <c r="II167" t="e">
        <f>'All regions'!D4192+"n/&gt;!(K8"</f>
        <v>#VALUE!</v>
      </c>
      <c r="IJ167" t="e">
        <f>'All regions'!E4192+"n/&gt;!(K9"</f>
        <v>#VALUE!</v>
      </c>
      <c r="IK167" t="e">
        <f>'All regions'!F4192+"n/&gt;!(K:"</f>
        <v>#VALUE!</v>
      </c>
      <c r="IL167" t="e">
        <f>'All regions'!G4192+"n/&gt;!(K;"</f>
        <v>#VALUE!</v>
      </c>
      <c r="IM167" t="e">
        <f>'All regions'!H4192+"n/&gt;!(K&lt;"</f>
        <v>#VALUE!</v>
      </c>
      <c r="IN167" t="e">
        <f>'All regions'!I4192+"n/&gt;!(K="</f>
        <v>#VALUE!</v>
      </c>
      <c r="IO167" t="e">
        <f>'All regions'!J4192+"n/&gt;!(K&gt;"</f>
        <v>#VALUE!</v>
      </c>
      <c r="IP167" t="e">
        <f>'All regions'!A4193+"n/&gt;!(K?"</f>
        <v>#VALUE!</v>
      </c>
      <c r="IQ167" t="e">
        <f>'All regions'!B4193+"n/&gt;!(K@"</f>
        <v>#VALUE!</v>
      </c>
      <c r="IR167" t="e">
        <f>'All regions'!C4193+"n/&gt;!(KA"</f>
        <v>#VALUE!</v>
      </c>
      <c r="IS167" t="e">
        <f>'All regions'!D4193+"n/&gt;!(KB"</f>
        <v>#VALUE!</v>
      </c>
      <c r="IT167" t="e">
        <f>'All regions'!E4193+"n/&gt;!(KC"</f>
        <v>#VALUE!</v>
      </c>
      <c r="IU167" t="e">
        <f>'All regions'!F4193+"n/&gt;!(KD"</f>
        <v>#VALUE!</v>
      </c>
      <c r="IV167" t="e">
        <f>'All regions'!G4193+"n/&gt;!(KE"</f>
        <v>#VALUE!</v>
      </c>
    </row>
    <row r="168" spans="6:256" x14ac:dyDescent="0.35">
      <c r="F168" t="e">
        <f>'All regions'!H4193+"n/&gt;!(KF"</f>
        <v>#VALUE!</v>
      </c>
      <c r="G168" t="e">
        <f>'All regions'!I4193+"n/&gt;!(KG"</f>
        <v>#VALUE!</v>
      </c>
      <c r="H168" t="e">
        <f>'All regions'!J4193+"n/&gt;!(KH"</f>
        <v>#VALUE!</v>
      </c>
      <c r="I168" t="e">
        <f>'All regions'!A4194+"n/&gt;!(KI"</f>
        <v>#VALUE!</v>
      </c>
      <c r="J168" t="e">
        <f>'All regions'!B4194+"n/&gt;!(KJ"</f>
        <v>#VALUE!</v>
      </c>
      <c r="K168" t="e">
        <f>'All regions'!C4194+"n/&gt;!(KK"</f>
        <v>#VALUE!</v>
      </c>
      <c r="L168" t="e">
        <f>'All regions'!D4194+"n/&gt;!(KL"</f>
        <v>#VALUE!</v>
      </c>
      <c r="M168" t="e">
        <f>'All regions'!E4194+"n/&gt;!(KM"</f>
        <v>#VALUE!</v>
      </c>
      <c r="N168" t="e">
        <f>'All regions'!F4194+"n/&gt;!(KN"</f>
        <v>#VALUE!</v>
      </c>
      <c r="O168" t="e">
        <f>'All regions'!G4194+"n/&gt;!(KO"</f>
        <v>#VALUE!</v>
      </c>
      <c r="P168" t="e">
        <f>'All regions'!H4194+"n/&gt;!(KP"</f>
        <v>#VALUE!</v>
      </c>
      <c r="Q168" t="e">
        <f>'All regions'!I4194+"n/&gt;!(KQ"</f>
        <v>#VALUE!</v>
      </c>
      <c r="R168" t="e">
        <f>'All regions'!J4194+"n/&gt;!(KR"</f>
        <v>#VALUE!</v>
      </c>
      <c r="S168" t="e">
        <f>'All regions'!A4195+"n/&gt;!(KS"</f>
        <v>#VALUE!</v>
      </c>
      <c r="T168" t="e">
        <f>'All regions'!B4195+"n/&gt;!(KT"</f>
        <v>#VALUE!</v>
      </c>
      <c r="U168" t="e">
        <f>'All regions'!C4195+"n/&gt;!(KU"</f>
        <v>#VALUE!</v>
      </c>
      <c r="V168" t="e">
        <f>'All regions'!D4195+"n/&gt;!(KV"</f>
        <v>#VALUE!</v>
      </c>
      <c r="W168" t="e">
        <f>'All regions'!E4195+"n/&gt;!(KW"</f>
        <v>#VALUE!</v>
      </c>
      <c r="X168" t="e">
        <f>'All regions'!F4195+"n/&gt;!(KX"</f>
        <v>#VALUE!</v>
      </c>
      <c r="Y168" t="e">
        <f>'All regions'!G4195+"n/&gt;!(KY"</f>
        <v>#VALUE!</v>
      </c>
      <c r="Z168" t="e">
        <f>'All regions'!H4195+"n/&gt;!(KZ"</f>
        <v>#VALUE!</v>
      </c>
      <c r="AA168" t="e">
        <f>'All regions'!I4195+"n/&gt;!(K["</f>
        <v>#VALUE!</v>
      </c>
      <c r="AB168" t="e">
        <f>'All regions'!J4195+"n/&gt;!(K\"</f>
        <v>#VALUE!</v>
      </c>
      <c r="AC168" t="e">
        <f>'All regions'!A4196+"n/&gt;!(K]"</f>
        <v>#VALUE!</v>
      </c>
      <c r="AD168" t="e">
        <f>'All regions'!B4196+"n/&gt;!(K^"</f>
        <v>#VALUE!</v>
      </c>
      <c r="AE168" t="e">
        <f>'All regions'!C4196+"n/&gt;!(K_"</f>
        <v>#VALUE!</v>
      </c>
      <c r="AF168" t="e">
        <f>'All regions'!D4196+"n/&gt;!(K`"</f>
        <v>#VALUE!</v>
      </c>
      <c r="AG168" t="e">
        <f>'All regions'!E4196+"n/&gt;!(Ka"</f>
        <v>#VALUE!</v>
      </c>
      <c r="AH168" t="e">
        <f>'All regions'!F4196+"n/&gt;!(Kb"</f>
        <v>#VALUE!</v>
      </c>
      <c r="AI168" t="e">
        <f>'All regions'!G4196+"n/&gt;!(Kc"</f>
        <v>#VALUE!</v>
      </c>
      <c r="AJ168" t="e">
        <f>'All regions'!H4196+"n/&gt;!(Kd"</f>
        <v>#VALUE!</v>
      </c>
      <c r="AK168" t="e">
        <f>'All regions'!I4196+"n/&gt;!(Ke"</f>
        <v>#VALUE!</v>
      </c>
      <c r="AL168" t="e">
        <f>'All regions'!J4196+"n/&gt;!(Kf"</f>
        <v>#VALUE!</v>
      </c>
      <c r="AM168" t="e">
        <f>'All regions'!A4197+"n/&gt;!(Kg"</f>
        <v>#VALUE!</v>
      </c>
      <c r="AN168" t="e">
        <f>'All regions'!B4197+"n/&gt;!(Kh"</f>
        <v>#VALUE!</v>
      </c>
      <c r="AO168" t="e">
        <f>'All regions'!C4197+"n/&gt;!(Ki"</f>
        <v>#VALUE!</v>
      </c>
      <c r="AP168" t="e">
        <f>'All regions'!D4197+"n/&gt;!(Kj"</f>
        <v>#VALUE!</v>
      </c>
      <c r="AQ168" t="e">
        <f>'All regions'!E4197+"n/&gt;!(Kk"</f>
        <v>#VALUE!</v>
      </c>
      <c r="AR168" t="e">
        <f>'All regions'!F4197+"n/&gt;!(Kl"</f>
        <v>#VALUE!</v>
      </c>
      <c r="AS168" t="e">
        <f>'All regions'!G4197+"n/&gt;!(Km"</f>
        <v>#VALUE!</v>
      </c>
      <c r="AT168" t="e">
        <f>'All regions'!H4197+"n/&gt;!(Kn"</f>
        <v>#VALUE!</v>
      </c>
      <c r="AU168" t="e">
        <f>'All regions'!I4197+"n/&gt;!(Ko"</f>
        <v>#VALUE!</v>
      </c>
      <c r="AV168" t="e">
        <f>'All regions'!J4197+"n/&gt;!(Kp"</f>
        <v>#VALUE!</v>
      </c>
      <c r="AW168" t="e">
        <f>'All regions'!A4198+"n/&gt;!(Kq"</f>
        <v>#VALUE!</v>
      </c>
      <c r="AX168" t="e">
        <f>'All regions'!B4198+"n/&gt;!(Kr"</f>
        <v>#VALUE!</v>
      </c>
      <c r="AY168" t="e">
        <f>'All regions'!C4198+"n/&gt;!(Ks"</f>
        <v>#VALUE!</v>
      </c>
      <c r="AZ168" t="e">
        <f>'All regions'!D4198+"n/&gt;!(Kt"</f>
        <v>#VALUE!</v>
      </c>
      <c r="BA168" t="e">
        <f>'All regions'!E4198+"n/&gt;!(Ku"</f>
        <v>#VALUE!</v>
      </c>
      <c r="BB168" t="e">
        <f>'All regions'!F4198+"n/&gt;!(Kv"</f>
        <v>#VALUE!</v>
      </c>
      <c r="BC168" t="e">
        <f>'All regions'!G4198+"n/&gt;!(Kw"</f>
        <v>#VALUE!</v>
      </c>
      <c r="BD168" t="e">
        <f>'All regions'!H4198+"n/&gt;!(Kx"</f>
        <v>#VALUE!</v>
      </c>
      <c r="BE168" t="e">
        <f>'All regions'!I4198+"n/&gt;!(Ky"</f>
        <v>#VALUE!</v>
      </c>
      <c r="BF168" t="e">
        <f>'All regions'!J4198+"n/&gt;!(Kz"</f>
        <v>#VALUE!</v>
      </c>
      <c r="BG168" t="e">
        <f>'All regions'!A4199+"n/&gt;!(K{"</f>
        <v>#VALUE!</v>
      </c>
      <c r="BH168" t="e">
        <f>'All regions'!B4199+"n/&gt;!(K|"</f>
        <v>#VALUE!</v>
      </c>
      <c r="BI168" t="e">
        <f>'All regions'!C4199+"n/&gt;!(K}"</f>
        <v>#VALUE!</v>
      </c>
      <c r="BJ168" t="e">
        <f>'All regions'!D4199+"n/&gt;!(K~"</f>
        <v>#VALUE!</v>
      </c>
      <c r="BK168" t="e">
        <f>'All regions'!E4199+"n/&gt;!(L#"</f>
        <v>#VALUE!</v>
      </c>
      <c r="BL168" t="e">
        <f>'All regions'!F4199+"n/&gt;!(L$"</f>
        <v>#VALUE!</v>
      </c>
      <c r="BM168" t="e">
        <f>'All regions'!G4199+"n/&gt;!(L%"</f>
        <v>#VALUE!</v>
      </c>
      <c r="BN168" t="e">
        <f>'All regions'!H4199+"n/&gt;!(L&amp;"</f>
        <v>#VALUE!</v>
      </c>
      <c r="BO168" t="e">
        <f>'All regions'!I4199+"n/&gt;!(L'"</f>
        <v>#VALUE!</v>
      </c>
      <c r="BP168" t="e">
        <f>'All regions'!J4199+"n/&gt;!(L("</f>
        <v>#VALUE!</v>
      </c>
      <c r="BQ168" t="e">
        <f>'All regions'!A4200+"n/&gt;!(L)"</f>
        <v>#VALUE!</v>
      </c>
      <c r="BR168" t="e">
        <f>'All regions'!B4200+"n/&gt;!(L."</f>
        <v>#VALUE!</v>
      </c>
      <c r="BS168" t="e">
        <f>'All regions'!C4200+"n/&gt;!(L/"</f>
        <v>#VALUE!</v>
      </c>
      <c r="BT168" t="e">
        <f>'All regions'!D4200+"n/&gt;!(L0"</f>
        <v>#VALUE!</v>
      </c>
      <c r="BU168" t="e">
        <f>'All regions'!E4200+"n/&gt;!(L1"</f>
        <v>#VALUE!</v>
      </c>
      <c r="BV168" t="e">
        <f>'All regions'!F4200+"n/&gt;!(L2"</f>
        <v>#VALUE!</v>
      </c>
      <c r="BW168" t="e">
        <f>'All regions'!G4200+"n/&gt;!(L3"</f>
        <v>#VALUE!</v>
      </c>
      <c r="BX168" t="e">
        <f>'All regions'!H4200+"n/&gt;!(L4"</f>
        <v>#VALUE!</v>
      </c>
      <c r="BY168" t="e">
        <f>'All regions'!I4200+"n/&gt;!(L5"</f>
        <v>#VALUE!</v>
      </c>
      <c r="BZ168" t="e">
        <f>'All regions'!J4200+"n/&gt;!(L6"</f>
        <v>#VALUE!</v>
      </c>
      <c r="CA168" t="e">
        <f>'All regions'!A4201+"n/&gt;!(L7"</f>
        <v>#VALUE!</v>
      </c>
      <c r="CB168" t="e">
        <f>'All regions'!B4201+"n/&gt;!(L8"</f>
        <v>#VALUE!</v>
      </c>
      <c r="CC168" t="e">
        <f>'All regions'!C4201+"n/&gt;!(L9"</f>
        <v>#VALUE!</v>
      </c>
      <c r="CD168" t="e">
        <f>'All regions'!D4201+"n/&gt;!(L:"</f>
        <v>#VALUE!</v>
      </c>
      <c r="CE168" t="e">
        <f>'All regions'!E4201+"n/&gt;!(L;"</f>
        <v>#VALUE!</v>
      </c>
      <c r="CF168" t="e">
        <f>'All regions'!F4201+"n/&gt;!(L&lt;"</f>
        <v>#VALUE!</v>
      </c>
      <c r="CG168" t="e">
        <f>'All regions'!G4201+"n/&gt;!(L="</f>
        <v>#VALUE!</v>
      </c>
      <c r="CH168" t="e">
        <f>'All regions'!H4201+"n/&gt;!(L&gt;"</f>
        <v>#VALUE!</v>
      </c>
      <c r="CI168" t="e">
        <f>'All regions'!I4201+"n/&gt;!(L?"</f>
        <v>#VALUE!</v>
      </c>
      <c r="CJ168" t="e">
        <f>'All regions'!J4201+"n/&gt;!(L@"</f>
        <v>#VALUE!</v>
      </c>
      <c r="CK168" t="e">
        <f>'All regions'!A4202+"n/&gt;!(LA"</f>
        <v>#VALUE!</v>
      </c>
      <c r="CL168" t="e">
        <f>'All regions'!B4202+"n/&gt;!(LB"</f>
        <v>#VALUE!</v>
      </c>
      <c r="CM168" t="e">
        <f>'All regions'!C4202+"n/&gt;!(LC"</f>
        <v>#VALUE!</v>
      </c>
      <c r="CN168" t="e">
        <f>'All regions'!D4202+"n/&gt;!(LD"</f>
        <v>#VALUE!</v>
      </c>
      <c r="CO168" t="e">
        <f>'All regions'!E4202+"n/&gt;!(LE"</f>
        <v>#VALUE!</v>
      </c>
      <c r="CP168" t="e">
        <f>'All regions'!F4202+"n/&gt;!(LF"</f>
        <v>#VALUE!</v>
      </c>
      <c r="CQ168" t="e">
        <f>'All regions'!G4202+"n/&gt;!(LG"</f>
        <v>#VALUE!</v>
      </c>
      <c r="CR168" t="e">
        <f>'All regions'!H4202+"n/&gt;!(LH"</f>
        <v>#VALUE!</v>
      </c>
      <c r="CS168" t="e">
        <f>'All regions'!I4202+"n/&gt;!(LI"</f>
        <v>#VALUE!</v>
      </c>
      <c r="CT168" t="e">
        <f>'All regions'!J4202+"n/&gt;!(LJ"</f>
        <v>#VALUE!</v>
      </c>
      <c r="CU168" t="e">
        <f>'All regions'!A4203+"n/&gt;!(LK"</f>
        <v>#VALUE!</v>
      </c>
      <c r="CV168" t="e">
        <f>'All regions'!B4203+"n/&gt;!(LL"</f>
        <v>#VALUE!</v>
      </c>
      <c r="CW168" t="e">
        <f>'All regions'!C4203+"n/&gt;!(LM"</f>
        <v>#VALUE!</v>
      </c>
      <c r="CX168" t="e">
        <f>'All regions'!D4203+"n/&gt;!(LN"</f>
        <v>#VALUE!</v>
      </c>
      <c r="CY168" t="e">
        <f>'All regions'!E4203+"n/&gt;!(LO"</f>
        <v>#VALUE!</v>
      </c>
      <c r="CZ168" t="e">
        <f>'All regions'!F4203+"n/&gt;!(LP"</f>
        <v>#VALUE!</v>
      </c>
      <c r="DA168" t="e">
        <f>'All regions'!G4203+"n/&gt;!(LQ"</f>
        <v>#VALUE!</v>
      </c>
      <c r="DB168" t="e">
        <f>'All regions'!H4203+"n/&gt;!(LR"</f>
        <v>#VALUE!</v>
      </c>
      <c r="DC168" t="e">
        <f>'All regions'!I4203+"n/&gt;!(LS"</f>
        <v>#VALUE!</v>
      </c>
      <c r="DD168" t="e">
        <f>'All regions'!J4203+"n/&gt;!(LT"</f>
        <v>#VALUE!</v>
      </c>
      <c r="DE168" t="e">
        <f>'All regions'!A4204+"n/&gt;!(LU"</f>
        <v>#VALUE!</v>
      </c>
      <c r="DF168" t="e">
        <f>'All regions'!B4204+"n/&gt;!(LV"</f>
        <v>#VALUE!</v>
      </c>
      <c r="DG168" t="e">
        <f>'All regions'!C4204+"n/&gt;!(LW"</f>
        <v>#VALUE!</v>
      </c>
      <c r="DH168" t="e">
        <f>'All regions'!D4204+"n/&gt;!(LX"</f>
        <v>#VALUE!</v>
      </c>
      <c r="DI168" t="e">
        <f>'All regions'!E4204+"n/&gt;!(LY"</f>
        <v>#VALUE!</v>
      </c>
      <c r="DJ168" t="e">
        <f>'All regions'!F4204+"n/&gt;!(LZ"</f>
        <v>#VALUE!</v>
      </c>
      <c r="DK168" t="e">
        <f>'All regions'!G4204+"n/&gt;!(L["</f>
        <v>#VALUE!</v>
      </c>
      <c r="DL168" t="e">
        <f>'All regions'!H4204+"n/&gt;!(L\"</f>
        <v>#VALUE!</v>
      </c>
      <c r="DM168" t="e">
        <f>'All regions'!I4204+"n/&gt;!(L]"</f>
        <v>#VALUE!</v>
      </c>
      <c r="DN168" t="e">
        <f>'All regions'!J4204+"n/&gt;!(L^"</f>
        <v>#VALUE!</v>
      </c>
      <c r="DO168" t="e">
        <f>'All regions'!A4205+"n/&gt;!(L_"</f>
        <v>#VALUE!</v>
      </c>
      <c r="DP168" t="e">
        <f>'All regions'!B4205+"n/&gt;!(L`"</f>
        <v>#VALUE!</v>
      </c>
      <c r="DQ168" t="e">
        <f>'All regions'!C4205+"n/&gt;!(La"</f>
        <v>#VALUE!</v>
      </c>
      <c r="DR168" t="e">
        <f>'All regions'!D4205+"n/&gt;!(Lb"</f>
        <v>#VALUE!</v>
      </c>
      <c r="DS168" t="e">
        <f>'All regions'!E4205+"n/&gt;!(Lc"</f>
        <v>#VALUE!</v>
      </c>
      <c r="DT168" t="e">
        <f>'All regions'!F4205+"n/&gt;!(Ld"</f>
        <v>#VALUE!</v>
      </c>
      <c r="DU168" t="e">
        <f>'All regions'!G4205+"n/&gt;!(Le"</f>
        <v>#VALUE!</v>
      </c>
      <c r="DV168" t="e">
        <f>'All regions'!H4205+"n/&gt;!(Lf"</f>
        <v>#VALUE!</v>
      </c>
      <c r="DW168" t="e">
        <f>'All regions'!I4205+"n/&gt;!(Lg"</f>
        <v>#VALUE!</v>
      </c>
      <c r="DX168" t="e">
        <f>'All regions'!J4205+"n/&gt;!(Lh"</f>
        <v>#VALUE!</v>
      </c>
      <c r="DY168" t="e">
        <f>'All regions'!A4206+"n/&gt;!(Li"</f>
        <v>#VALUE!</v>
      </c>
      <c r="DZ168" t="e">
        <f>'All regions'!B4206+"n/&gt;!(Lj"</f>
        <v>#VALUE!</v>
      </c>
      <c r="EA168" t="e">
        <f>'All regions'!C4206+"n/&gt;!(Lk"</f>
        <v>#VALUE!</v>
      </c>
      <c r="EB168" t="e">
        <f>'All regions'!D4206+"n/&gt;!(Ll"</f>
        <v>#VALUE!</v>
      </c>
      <c r="EC168" t="e">
        <f>'All regions'!E4206+"n/&gt;!(Lm"</f>
        <v>#VALUE!</v>
      </c>
      <c r="ED168" t="e">
        <f>'All regions'!F4206+"n/&gt;!(Ln"</f>
        <v>#VALUE!</v>
      </c>
      <c r="EE168" t="e">
        <f>'All regions'!G4206+"n/&gt;!(Lo"</f>
        <v>#VALUE!</v>
      </c>
      <c r="EF168" t="e">
        <f>'All regions'!H4206+"n/&gt;!(Lp"</f>
        <v>#VALUE!</v>
      </c>
      <c r="EG168" t="e">
        <f>'All regions'!I4206+"n/&gt;!(Lq"</f>
        <v>#VALUE!</v>
      </c>
      <c r="EH168" t="e">
        <f>'All regions'!J4206+"n/&gt;!(Lr"</f>
        <v>#VALUE!</v>
      </c>
      <c r="EI168" t="e">
        <f>'All regions'!A4207+"n/&gt;!(Ls"</f>
        <v>#VALUE!</v>
      </c>
      <c r="EJ168" t="e">
        <f>'All regions'!B4207+"n/&gt;!(Lt"</f>
        <v>#VALUE!</v>
      </c>
      <c r="EK168" t="e">
        <f>'All regions'!C4207+"n/&gt;!(Lu"</f>
        <v>#VALUE!</v>
      </c>
      <c r="EL168" t="e">
        <f>'All regions'!D4207+"n/&gt;!(Lv"</f>
        <v>#VALUE!</v>
      </c>
      <c r="EM168" t="e">
        <f>'All regions'!E4207+"n/&gt;!(Lw"</f>
        <v>#VALUE!</v>
      </c>
      <c r="EN168" t="e">
        <f>'All regions'!F4207+"n/&gt;!(Lx"</f>
        <v>#VALUE!</v>
      </c>
      <c r="EO168" t="e">
        <f>'All regions'!G4207+"n/&gt;!(Ly"</f>
        <v>#VALUE!</v>
      </c>
      <c r="EP168" t="e">
        <f>'All regions'!H4207+"n/&gt;!(Lz"</f>
        <v>#VALUE!</v>
      </c>
      <c r="EQ168" t="e">
        <f>'All regions'!I4207+"n/&gt;!(L{"</f>
        <v>#VALUE!</v>
      </c>
      <c r="ER168" t="e">
        <f>'All regions'!J4207+"n/&gt;!(L|"</f>
        <v>#VALUE!</v>
      </c>
      <c r="ES168" t="e">
        <f>'All regions'!A4208+"n/&gt;!(L}"</f>
        <v>#VALUE!</v>
      </c>
      <c r="ET168" t="e">
        <f>'All regions'!B4208+"n/&gt;!(L~"</f>
        <v>#VALUE!</v>
      </c>
      <c r="EU168" t="e">
        <f>'All regions'!C4208+"n/&gt;!(M#"</f>
        <v>#VALUE!</v>
      </c>
      <c r="EV168" t="e">
        <f>'All regions'!D4208+"n/&gt;!(M$"</f>
        <v>#VALUE!</v>
      </c>
      <c r="EW168" t="e">
        <f>'All regions'!E4208+"n/&gt;!(M%"</f>
        <v>#VALUE!</v>
      </c>
      <c r="EX168" t="e">
        <f>'All regions'!F4208+"n/&gt;!(M&amp;"</f>
        <v>#VALUE!</v>
      </c>
      <c r="EY168" t="e">
        <f>'All regions'!G4208+"n/&gt;!(M'"</f>
        <v>#VALUE!</v>
      </c>
      <c r="EZ168" t="e">
        <f>'All regions'!H4208+"n/&gt;!(M("</f>
        <v>#VALUE!</v>
      </c>
      <c r="FA168" t="e">
        <f>'All regions'!I4208+"n/&gt;!(M)"</f>
        <v>#VALUE!</v>
      </c>
      <c r="FB168" t="e">
        <f>'All regions'!J4208+"n/&gt;!(M."</f>
        <v>#VALUE!</v>
      </c>
      <c r="FC168" t="e">
        <f>'All regions'!A4209+"n/&gt;!(M/"</f>
        <v>#VALUE!</v>
      </c>
      <c r="FD168" t="e">
        <f>'All regions'!B4209+"n/&gt;!(M0"</f>
        <v>#VALUE!</v>
      </c>
      <c r="FE168" t="e">
        <f>'All regions'!C4209+"n/&gt;!(M1"</f>
        <v>#VALUE!</v>
      </c>
      <c r="FF168" t="e">
        <f>'All regions'!D4209+"n/&gt;!(M2"</f>
        <v>#VALUE!</v>
      </c>
      <c r="FG168" t="e">
        <f>'All regions'!E4209+"n/&gt;!(M3"</f>
        <v>#VALUE!</v>
      </c>
      <c r="FH168" t="e">
        <f>'All regions'!F4209+"n/&gt;!(M4"</f>
        <v>#VALUE!</v>
      </c>
      <c r="FI168" t="e">
        <f>'All regions'!G4209+"n/&gt;!(M5"</f>
        <v>#VALUE!</v>
      </c>
      <c r="FJ168" t="e">
        <f>'All regions'!H4209+"n/&gt;!(M6"</f>
        <v>#VALUE!</v>
      </c>
      <c r="FK168" t="e">
        <f>'All regions'!I4209+"n/&gt;!(M7"</f>
        <v>#VALUE!</v>
      </c>
      <c r="FL168" t="e">
        <f>'All regions'!J4209+"n/&gt;!(M8"</f>
        <v>#VALUE!</v>
      </c>
      <c r="FM168" t="e">
        <f>'All regions'!A4210+"n/&gt;!(M9"</f>
        <v>#VALUE!</v>
      </c>
      <c r="FN168" t="e">
        <f>'All regions'!B4210+"n/&gt;!(M:"</f>
        <v>#VALUE!</v>
      </c>
      <c r="FO168" t="e">
        <f>'All regions'!C4210+"n/&gt;!(M;"</f>
        <v>#VALUE!</v>
      </c>
      <c r="FP168" t="e">
        <f>'All regions'!D4210+"n/&gt;!(M&lt;"</f>
        <v>#VALUE!</v>
      </c>
      <c r="FQ168" t="e">
        <f>'All regions'!E4210+"n/&gt;!(M="</f>
        <v>#VALUE!</v>
      </c>
      <c r="FR168" t="e">
        <f>'All regions'!F4210+"n/&gt;!(M&gt;"</f>
        <v>#VALUE!</v>
      </c>
      <c r="FS168" t="e">
        <f>'All regions'!G4210+"n/&gt;!(M?"</f>
        <v>#VALUE!</v>
      </c>
      <c r="FT168" t="e">
        <f>'All regions'!H4210+"n/&gt;!(M@"</f>
        <v>#VALUE!</v>
      </c>
      <c r="FU168" t="e">
        <f>'All regions'!I4210+"n/&gt;!(MA"</f>
        <v>#VALUE!</v>
      </c>
      <c r="FV168" t="e">
        <f>'All regions'!J4210+"n/&gt;!(MB"</f>
        <v>#VALUE!</v>
      </c>
      <c r="FW168" t="e">
        <f>'All regions'!A4211+"n/&gt;!(MC"</f>
        <v>#VALUE!</v>
      </c>
      <c r="FX168" t="e">
        <f>'All regions'!B4211+"n/&gt;!(MD"</f>
        <v>#VALUE!</v>
      </c>
      <c r="FY168" t="e">
        <f>'All regions'!C4211+"n/&gt;!(ME"</f>
        <v>#VALUE!</v>
      </c>
      <c r="FZ168" t="e">
        <f>'All regions'!D4211+"n/&gt;!(MF"</f>
        <v>#VALUE!</v>
      </c>
      <c r="GA168" t="e">
        <f>'All regions'!E4211+"n/&gt;!(MG"</f>
        <v>#VALUE!</v>
      </c>
      <c r="GB168" t="e">
        <f>'All regions'!F4211+"n/&gt;!(MH"</f>
        <v>#VALUE!</v>
      </c>
      <c r="GC168" t="e">
        <f>'All regions'!G4211+"n/&gt;!(MI"</f>
        <v>#VALUE!</v>
      </c>
      <c r="GD168" t="e">
        <f>'All regions'!H4211+"n/&gt;!(MJ"</f>
        <v>#VALUE!</v>
      </c>
      <c r="GE168" t="e">
        <f>'All regions'!I4211+"n/&gt;!(MK"</f>
        <v>#VALUE!</v>
      </c>
      <c r="GF168" t="e">
        <f>'All regions'!J4211+"n/&gt;!(ML"</f>
        <v>#VALUE!</v>
      </c>
      <c r="GG168" t="e">
        <f>'All regions'!A4212+"n/&gt;!(MM"</f>
        <v>#VALUE!</v>
      </c>
      <c r="GH168" t="e">
        <f>'All regions'!B4212+"n/&gt;!(MN"</f>
        <v>#VALUE!</v>
      </c>
      <c r="GI168" t="e">
        <f>'All regions'!C4212+"n/&gt;!(MO"</f>
        <v>#VALUE!</v>
      </c>
      <c r="GJ168" t="e">
        <f>'All regions'!D4212+"n/&gt;!(MP"</f>
        <v>#VALUE!</v>
      </c>
      <c r="GK168" t="e">
        <f>'All regions'!E4212+"n/&gt;!(MQ"</f>
        <v>#VALUE!</v>
      </c>
      <c r="GL168" t="e">
        <f>'All regions'!F4212+"n/&gt;!(MR"</f>
        <v>#VALUE!</v>
      </c>
      <c r="GM168" t="e">
        <f>'All regions'!G4212+"n/&gt;!(MS"</f>
        <v>#VALUE!</v>
      </c>
      <c r="GN168" t="e">
        <f>'All regions'!H4212+"n/&gt;!(MT"</f>
        <v>#VALUE!</v>
      </c>
      <c r="GO168" t="e">
        <f>'All regions'!I4212+"n/&gt;!(MU"</f>
        <v>#VALUE!</v>
      </c>
      <c r="GP168" t="e">
        <f>'All regions'!J4212+"n/&gt;!(MV"</f>
        <v>#VALUE!</v>
      </c>
      <c r="GQ168" t="e">
        <f>'All regions'!A4213+"n/&gt;!(MW"</f>
        <v>#VALUE!</v>
      </c>
      <c r="GR168" t="e">
        <f>'All regions'!B4213+"n/&gt;!(MX"</f>
        <v>#VALUE!</v>
      </c>
      <c r="GS168" t="e">
        <f>'All regions'!C4213+"n/&gt;!(MY"</f>
        <v>#VALUE!</v>
      </c>
      <c r="GT168" t="e">
        <f>'All regions'!D4213+"n/&gt;!(MZ"</f>
        <v>#VALUE!</v>
      </c>
      <c r="GU168" t="e">
        <f>'All regions'!E4213+"n/&gt;!(M["</f>
        <v>#VALUE!</v>
      </c>
      <c r="GV168" t="e">
        <f>'All regions'!F4213+"n/&gt;!(M\"</f>
        <v>#VALUE!</v>
      </c>
      <c r="GW168" t="e">
        <f>'All regions'!G4213+"n/&gt;!(M]"</f>
        <v>#VALUE!</v>
      </c>
      <c r="GX168" t="e">
        <f>'All regions'!H4213+"n/&gt;!(M^"</f>
        <v>#VALUE!</v>
      </c>
      <c r="GY168" t="e">
        <f>'All regions'!I4213+"n/&gt;!(M_"</f>
        <v>#VALUE!</v>
      </c>
      <c r="GZ168" t="e">
        <f>'All regions'!J4213+"n/&gt;!(M`"</f>
        <v>#VALUE!</v>
      </c>
      <c r="HA168" t="e">
        <f>'All regions'!A4214+"n/&gt;!(Ma"</f>
        <v>#VALUE!</v>
      </c>
      <c r="HB168" t="e">
        <f>'All regions'!B4214+"n/&gt;!(Mb"</f>
        <v>#VALUE!</v>
      </c>
      <c r="HC168" t="e">
        <f>'All regions'!C4214+"n/&gt;!(Mc"</f>
        <v>#VALUE!</v>
      </c>
      <c r="HD168" t="e">
        <f>'All regions'!D4214+"n/&gt;!(Md"</f>
        <v>#VALUE!</v>
      </c>
      <c r="HE168" t="e">
        <f>'All regions'!E4214+"n/&gt;!(Me"</f>
        <v>#VALUE!</v>
      </c>
      <c r="HF168" t="e">
        <f>'All regions'!F4214+"n/&gt;!(Mf"</f>
        <v>#VALUE!</v>
      </c>
      <c r="HG168" t="e">
        <f>'All regions'!G4214+"n/&gt;!(Mg"</f>
        <v>#VALUE!</v>
      </c>
      <c r="HH168" t="e">
        <f>'All regions'!H4214+"n/&gt;!(Mh"</f>
        <v>#VALUE!</v>
      </c>
      <c r="HI168" t="e">
        <f>'All regions'!I4214+"n/&gt;!(Mi"</f>
        <v>#VALUE!</v>
      </c>
      <c r="HJ168" t="e">
        <f>'All regions'!J4214+"n/&gt;!(Mj"</f>
        <v>#VALUE!</v>
      </c>
      <c r="HK168" t="e">
        <f>'All regions'!A4215+"n/&gt;!(Mk"</f>
        <v>#VALUE!</v>
      </c>
      <c r="HL168" t="e">
        <f>'All regions'!B4215+"n/&gt;!(Ml"</f>
        <v>#VALUE!</v>
      </c>
      <c r="HM168" t="e">
        <f>'All regions'!C4215+"n/&gt;!(Mm"</f>
        <v>#VALUE!</v>
      </c>
      <c r="HN168" t="e">
        <f>'All regions'!D4215+"n/&gt;!(Mn"</f>
        <v>#VALUE!</v>
      </c>
      <c r="HO168" t="e">
        <f>'All regions'!E4215+"n/&gt;!(Mo"</f>
        <v>#VALUE!</v>
      </c>
      <c r="HP168" t="e">
        <f>'All regions'!F4215+"n/&gt;!(Mp"</f>
        <v>#VALUE!</v>
      </c>
      <c r="HQ168" t="e">
        <f>'All regions'!G4215+"n/&gt;!(Mq"</f>
        <v>#VALUE!</v>
      </c>
      <c r="HR168" t="e">
        <f>'All regions'!H4215+"n/&gt;!(Mr"</f>
        <v>#VALUE!</v>
      </c>
      <c r="HS168" t="e">
        <f>'All regions'!I4215+"n/&gt;!(Ms"</f>
        <v>#VALUE!</v>
      </c>
      <c r="HT168" t="e">
        <f>'All regions'!J4215+"n/&gt;!(Mt"</f>
        <v>#VALUE!</v>
      </c>
      <c r="HU168" t="e">
        <f>'All regions'!A4216+"n/&gt;!(Mu"</f>
        <v>#VALUE!</v>
      </c>
      <c r="HV168" t="e">
        <f>'All regions'!B4216+"n/&gt;!(Mv"</f>
        <v>#VALUE!</v>
      </c>
      <c r="HW168" t="e">
        <f>'All regions'!C4216+"n/&gt;!(Mw"</f>
        <v>#VALUE!</v>
      </c>
      <c r="HX168" t="e">
        <f>'All regions'!D4216+"n/&gt;!(Mx"</f>
        <v>#VALUE!</v>
      </c>
      <c r="HY168" t="e">
        <f>'All regions'!E4216+"n/&gt;!(My"</f>
        <v>#VALUE!</v>
      </c>
      <c r="HZ168" t="e">
        <f>'All regions'!F4216+"n/&gt;!(Mz"</f>
        <v>#VALUE!</v>
      </c>
      <c r="IA168" t="e">
        <f>'All regions'!G4216+"n/&gt;!(M{"</f>
        <v>#VALUE!</v>
      </c>
      <c r="IB168" t="e">
        <f>'All regions'!H4216+"n/&gt;!(M|"</f>
        <v>#VALUE!</v>
      </c>
      <c r="IC168" t="e">
        <f>'All regions'!I4216+"n/&gt;!(M}"</f>
        <v>#VALUE!</v>
      </c>
      <c r="ID168" t="e">
        <f>'All regions'!J4216+"n/&gt;!(M~"</f>
        <v>#VALUE!</v>
      </c>
      <c r="IE168" t="e">
        <f>'All regions'!A4217+"n/&gt;!(N#"</f>
        <v>#VALUE!</v>
      </c>
      <c r="IF168" t="e">
        <f>'All regions'!B4217+"n/&gt;!(N$"</f>
        <v>#VALUE!</v>
      </c>
      <c r="IG168" t="e">
        <f>'All regions'!C4217+"n/&gt;!(N%"</f>
        <v>#VALUE!</v>
      </c>
      <c r="IH168" t="e">
        <f>'All regions'!D4217+"n/&gt;!(N&amp;"</f>
        <v>#VALUE!</v>
      </c>
      <c r="II168" t="e">
        <f>'All regions'!E4217+"n/&gt;!(N'"</f>
        <v>#VALUE!</v>
      </c>
      <c r="IJ168" t="e">
        <f>'All regions'!F4217+"n/&gt;!(N("</f>
        <v>#VALUE!</v>
      </c>
      <c r="IK168" t="e">
        <f>'All regions'!G4217+"n/&gt;!(N)"</f>
        <v>#VALUE!</v>
      </c>
      <c r="IL168" t="e">
        <f>'All regions'!H4217+"n/&gt;!(N."</f>
        <v>#VALUE!</v>
      </c>
      <c r="IM168" t="e">
        <f>'All regions'!I4217+"n/&gt;!(N/"</f>
        <v>#VALUE!</v>
      </c>
      <c r="IN168" t="e">
        <f>'All regions'!J4217+"n/&gt;!(N0"</f>
        <v>#VALUE!</v>
      </c>
      <c r="IO168" t="e">
        <f>'All regions'!A4218+"n/&gt;!(N1"</f>
        <v>#VALUE!</v>
      </c>
      <c r="IP168" t="e">
        <f>'All regions'!B4218+"n/&gt;!(N2"</f>
        <v>#VALUE!</v>
      </c>
      <c r="IQ168" t="e">
        <f>'All regions'!C4218+"n/&gt;!(N3"</f>
        <v>#VALUE!</v>
      </c>
      <c r="IR168" t="e">
        <f>'All regions'!D4218+"n/&gt;!(N4"</f>
        <v>#VALUE!</v>
      </c>
      <c r="IS168" t="e">
        <f>'All regions'!E4218+"n/&gt;!(N5"</f>
        <v>#VALUE!</v>
      </c>
      <c r="IT168" t="e">
        <f>'All regions'!F4218+"n/&gt;!(N6"</f>
        <v>#VALUE!</v>
      </c>
      <c r="IU168" t="e">
        <f>'All regions'!G4218+"n/&gt;!(N7"</f>
        <v>#VALUE!</v>
      </c>
      <c r="IV168" t="e">
        <f>'All regions'!H4218+"n/&gt;!(N8"</f>
        <v>#VALUE!</v>
      </c>
    </row>
    <row r="169" spans="6:256" x14ac:dyDescent="0.35">
      <c r="F169" t="e">
        <f>'All regions'!I4218+"n/&gt;!(N9"</f>
        <v>#VALUE!</v>
      </c>
      <c r="G169" t="e">
        <f>'All regions'!J4218+"n/&gt;!(N:"</f>
        <v>#VALUE!</v>
      </c>
      <c r="H169" t="e">
        <f>'All regions'!A4219+"n/&gt;!(N;"</f>
        <v>#VALUE!</v>
      </c>
      <c r="I169" t="e">
        <f>'All regions'!B4219+"n/&gt;!(N&lt;"</f>
        <v>#VALUE!</v>
      </c>
      <c r="J169" t="e">
        <f>'All regions'!C4219+"n/&gt;!(N="</f>
        <v>#VALUE!</v>
      </c>
      <c r="K169" t="e">
        <f>'All regions'!D4219+"n/&gt;!(N&gt;"</f>
        <v>#VALUE!</v>
      </c>
      <c r="L169" t="e">
        <f>'All regions'!E4219+"n/&gt;!(N?"</f>
        <v>#VALUE!</v>
      </c>
      <c r="M169" t="e">
        <f>'All regions'!F4219+"n/&gt;!(N@"</f>
        <v>#VALUE!</v>
      </c>
      <c r="N169" t="e">
        <f>'All regions'!G4219+"n/&gt;!(NA"</f>
        <v>#VALUE!</v>
      </c>
      <c r="O169" t="e">
        <f>'All regions'!H4219+"n/&gt;!(NB"</f>
        <v>#VALUE!</v>
      </c>
      <c r="P169" t="e">
        <f>'All regions'!I4219+"n/&gt;!(NC"</f>
        <v>#VALUE!</v>
      </c>
      <c r="Q169" t="e">
        <f>'All regions'!J4219+"n/&gt;!(ND"</f>
        <v>#VALUE!</v>
      </c>
      <c r="R169" t="e">
        <f>'All regions'!A4220+"n/&gt;!(NE"</f>
        <v>#VALUE!</v>
      </c>
      <c r="S169" t="e">
        <f>'All regions'!B4220+"n/&gt;!(NF"</f>
        <v>#VALUE!</v>
      </c>
      <c r="T169" t="e">
        <f>'All regions'!C4220+"n/&gt;!(NG"</f>
        <v>#VALUE!</v>
      </c>
      <c r="U169" t="e">
        <f>'All regions'!D4220+"n/&gt;!(NH"</f>
        <v>#VALUE!</v>
      </c>
      <c r="V169" t="e">
        <f>'All regions'!E4220+"n/&gt;!(NI"</f>
        <v>#VALUE!</v>
      </c>
      <c r="W169" t="e">
        <f>'All regions'!F4220+"n/&gt;!(NJ"</f>
        <v>#VALUE!</v>
      </c>
      <c r="X169" t="e">
        <f>'All regions'!G4220+"n/&gt;!(NK"</f>
        <v>#VALUE!</v>
      </c>
      <c r="Y169" t="e">
        <f>'All regions'!H4220+"n/&gt;!(NL"</f>
        <v>#VALUE!</v>
      </c>
      <c r="Z169" t="e">
        <f>'All regions'!I4220+"n/&gt;!(NM"</f>
        <v>#VALUE!</v>
      </c>
      <c r="AA169" t="e">
        <f>'All regions'!J4220+"n/&gt;!(NN"</f>
        <v>#VALUE!</v>
      </c>
      <c r="AB169" t="e">
        <f>'All regions'!A4221+"n/&gt;!(NO"</f>
        <v>#VALUE!</v>
      </c>
      <c r="AC169" t="e">
        <f>'All regions'!B4221+"n/&gt;!(NP"</f>
        <v>#VALUE!</v>
      </c>
      <c r="AD169" t="e">
        <f>'All regions'!C4221+"n/&gt;!(NQ"</f>
        <v>#VALUE!</v>
      </c>
      <c r="AE169" t="e">
        <f>'All regions'!D4221+"n/&gt;!(NR"</f>
        <v>#VALUE!</v>
      </c>
      <c r="AF169" t="e">
        <f>'All regions'!E4221+"n/&gt;!(NS"</f>
        <v>#VALUE!</v>
      </c>
      <c r="AG169" t="e">
        <f>'All regions'!F4221+"n/&gt;!(NT"</f>
        <v>#VALUE!</v>
      </c>
      <c r="AH169" t="e">
        <f>'All regions'!G4221+"n/&gt;!(NU"</f>
        <v>#VALUE!</v>
      </c>
      <c r="AI169" t="e">
        <f>'All regions'!H4221+"n/&gt;!(NV"</f>
        <v>#VALUE!</v>
      </c>
      <c r="AJ169" t="e">
        <f>'All regions'!I4221+"n/&gt;!(NW"</f>
        <v>#VALUE!</v>
      </c>
      <c r="AK169" t="e">
        <f>'All regions'!J4221+"n/&gt;!(NX"</f>
        <v>#VALUE!</v>
      </c>
      <c r="AL169" t="e">
        <f>'All regions'!A4222+"n/&gt;!(NY"</f>
        <v>#VALUE!</v>
      </c>
      <c r="AM169" t="e">
        <f>'All regions'!B4222+"n/&gt;!(NZ"</f>
        <v>#VALUE!</v>
      </c>
      <c r="AN169" t="e">
        <f>'All regions'!C4222+"n/&gt;!(N["</f>
        <v>#VALUE!</v>
      </c>
      <c r="AO169" t="e">
        <f>'All regions'!D4222+"n/&gt;!(N\"</f>
        <v>#VALUE!</v>
      </c>
      <c r="AP169" t="e">
        <f>'All regions'!E4222+"n/&gt;!(N]"</f>
        <v>#VALUE!</v>
      </c>
      <c r="AQ169" t="e">
        <f>'All regions'!F4222+"n/&gt;!(N^"</f>
        <v>#VALUE!</v>
      </c>
      <c r="AR169" t="e">
        <f>'All regions'!G4222+"n/&gt;!(N_"</f>
        <v>#VALUE!</v>
      </c>
      <c r="AS169" t="e">
        <f>'All regions'!H4222+"n/&gt;!(N`"</f>
        <v>#VALUE!</v>
      </c>
      <c r="AT169" t="e">
        <f>'All regions'!I4222+"n/&gt;!(Na"</f>
        <v>#VALUE!</v>
      </c>
      <c r="AU169" t="e">
        <f>'All regions'!J4222+"n/&gt;!(Nb"</f>
        <v>#VALUE!</v>
      </c>
      <c r="AV169" t="e">
        <f>'All regions'!A4223+"n/&gt;!(Nc"</f>
        <v>#VALUE!</v>
      </c>
      <c r="AW169" t="e">
        <f>'All regions'!B4223+"n/&gt;!(Nd"</f>
        <v>#VALUE!</v>
      </c>
      <c r="AX169" t="e">
        <f>'All regions'!C4223+"n/&gt;!(Ne"</f>
        <v>#VALUE!</v>
      </c>
      <c r="AY169" t="e">
        <f>'All regions'!D4223+"n/&gt;!(Nf"</f>
        <v>#VALUE!</v>
      </c>
      <c r="AZ169" t="e">
        <f>'All regions'!E4223+"n/&gt;!(Ng"</f>
        <v>#VALUE!</v>
      </c>
      <c r="BA169" t="e">
        <f>'All regions'!F4223+"n/&gt;!(Nh"</f>
        <v>#VALUE!</v>
      </c>
      <c r="BB169" t="e">
        <f>'All regions'!G4223+"n/&gt;!(Ni"</f>
        <v>#VALUE!</v>
      </c>
      <c r="BC169" t="e">
        <f>'All regions'!H4223+"n/&gt;!(Nj"</f>
        <v>#VALUE!</v>
      </c>
      <c r="BD169" t="e">
        <f>'All regions'!I4223+"n/&gt;!(Nk"</f>
        <v>#VALUE!</v>
      </c>
      <c r="BE169" t="e">
        <f>'All regions'!J4223+"n/&gt;!(Nl"</f>
        <v>#VALUE!</v>
      </c>
      <c r="BF169" t="e">
        <f>'All regions'!A4224+"n/&gt;!(Nm"</f>
        <v>#VALUE!</v>
      </c>
      <c r="BG169" t="e">
        <f>'All regions'!B4224+"n/&gt;!(Nn"</f>
        <v>#VALUE!</v>
      </c>
      <c r="BH169" t="e">
        <f>'All regions'!C4224+"n/&gt;!(No"</f>
        <v>#VALUE!</v>
      </c>
      <c r="BI169" t="e">
        <f>'All regions'!D4224+"n/&gt;!(Np"</f>
        <v>#VALUE!</v>
      </c>
      <c r="BJ169" t="e">
        <f>'All regions'!E4224+"n/&gt;!(Nq"</f>
        <v>#VALUE!</v>
      </c>
      <c r="BK169" t="e">
        <f>'All regions'!F4224+"n/&gt;!(Nr"</f>
        <v>#VALUE!</v>
      </c>
      <c r="BL169" t="e">
        <f>'All regions'!G4224+"n/&gt;!(Ns"</f>
        <v>#VALUE!</v>
      </c>
      <c r="BM169" t="e">
        <f>'All regions'!H4224+"n/&gt;!(Nt"</f>
        <v>#VALUE!</v>
      </c>
      <c r="BN169" t="e">
        <f>'All regions'!I4224+"n/&gt;!(Nu"</f>
        <v>#VALUE!</v>
      </c>
      <c r="BO169" t="e">
        <f>'All regions'!J4224+"n/&gt;!(Nv"</f>
        <v>#VALUE!</v>
      </c>
      <c r="BP169" t="e">
        <f>'All regions'!A4225+"n/&gt;!(Nw"</f>
        <v>#VALUE!</v>
      </c>
      <c r="BQ169" t="e">
        <f>'All regions'!B4225+"n/&gt;!(Nx"</f>
        <v>#VALUE!</v>
      </c>
      <c r="BR169" t="e">
        <f>'All regions'!C4225+"n/&gt;!(Ny"</f>
        <v>#VALUE!</v>
      </c>
      <c r="BS169" t="e">
        <f>'All regions'!D4225+"n/&gt;!(Nz"</f>
        <v>#VALUE!</v>
      </c>
      <c r="BT169" t="e">
        <f>'All regions'!E4225+"n/&gt;!(N{"</f>
        <v>#VALUE!</v>
      </c>
      <c r="BU169" t="e">
        <f>'All regions'!F4225+"n/&gt;!(N|"</f>
        <v>#VALUE!</v>
      </c>
      <c r="BV169" t="e">
        <f>'All regions'!G4225+"n/&gt;!(N}"</f>
        <v>#VALUE!</v>
      </c>
      <c r="BW169" t="e">
        <f>'All regions'!H4225+"n/&gt;!(N~"</f>
        <v>#VALUE!</v>
      </c>
      <c r="BX169" t="e">
        <f>'All regions'!I4225+"n/&gt;!(O#"</f>
        <v>#VALUE!</v>
      </c>
      <c r="BY169" t="e">
        <f>'All regions'!J4225+"n/&gt;!(O$"</f>
        <v>#VALUE!</v>
      </c>
      <c r="BZ169" t="e">
        <f>'All regions'!A4226+"n/&gt;!(O%"</f>
        <v>#VALUE!</v>
      </c>
      <c r="CA169" t="e">
        <f>'All regions'!B4226+"n/&gt;!(O&amp;"</f>
        <v>#VALUE!</v>
      </c>
      <c r="CB169" t="e">
        <f>'All regions'!C4226+"n/&gt;!(O'"</f>
        <v>#VALUE!</v>
      </c>
      <c r="CC169" t="e">
        <f>'All regions'!D4226+"n/&gt;!(O("</f>
        <v>#VALUE!</v>
      </c>
      <c r="CD169" t="e">
        <f>'All regions'!E4226+"n/&gt;!(O)"</f>
        <v>#VALUE!</v>
      </c>
      <c r="CE169" t="e">
        <f>'All regions'!F4226+"n/&gt;!(O."</f>
        <v>#VALUE!</v>
      </c>
      <c r="CF169" t="e">
        <f>'All regions'!G4226+"n/&gt;!(O/"</f>
        <v>#VALUE!</v>
      </c>
      <c r="CG169" t="e">
        <f>'All regions'!H4226+"n/&gt;!(O0"</f>
        <v>#VALUE!</v>
      </c>
      <c r="CH169" t="e">
        <f>'All regions'!I4226+"n/&gt;!(O1"</f>
        <v>#VALUE!</v>
      </c>
      <c r="CI169" t="e">
        <f>'All regions'!J4226+"n/&gt;!(O2"</f>
        <v>#VALUE!</v>
      </c>
      <c r="CJ169" t="e">
        <f>'All regions'!A4227+"n/&gt;!(O3"</f>
        <v>#VALUE!</v>
      </c>
      <c r="CK169" t="e">
        <f>'All regions'!B4227+"n/&gt;!(O4"</f>
        <v>#VALUE!</v>
      </c>
      <c r="CL169" t="e">
        <f>'All regions'!C4227+"n/&gt;!(O5"</f>
        <v>#VALUE!</v>
      </c>
      <c r="CM169" t="e">
        <f>'All regions'!D4227+"n/&gt;!(O6"</f>
        <v>#VALUE!</v>
      </c>
      <c r="CN169" t="e">
        <f>'All regions'!E4227+"n/&gt;!(O7"</f>
        <v>#VALUE!</v>
      </c>
      <c r="CO169" t="e">
        <f>'All regions'!F4227+"n/&gt;!(O8"</f>
        <v>#VALUE!</v>
      </c>
      <c r="CP169" t="e">
        <f>'All regions'!G4227+"n/&gt;!(O9"</f>
        <v>#VALUE!</v>
      </c>
      <c r="CQ169" t="e">
        <f>'All regions'!H4227+"n/&gt;!(O:"</f>
        <v>#VALUE!</v>
      </c>
      <c r="CR169" t="e">
        <f>'All regions'!I4227+"n/&gt;!(O;"</f>
        <v>#VALUE!</v>
      </c>
      <c r="CS169" t="e">
        <f>'All regions'!J4227+"n/&gt;!(O&lt;"</f>
        <v>#VALUE!</v>
      </c>
      <c r="CT169" t="e">
        <f>'All regions'!A4228+"n/&gt;!(O="</f>
        <v>#VALUE!</v>
      </c>
      <c r="CU169" t="e">
        <f>'All regions'!B4228+"n/&gt;!(O&gt;"</f>
        <v>#VALUE!</v>
      </c>
      <c r="CV169" t="e">
        <f>'All regions'!C4228+"n/&gt;!(O?"</f>
        <v>#VALUE!</v>
      </c>
      <c r="CW169" t="e">
        <f>'All regions'!D4228+"n/&gt;!(O@"</f>
        <v>#VALUE!</v>
      </c>
      <c r="CX169" t="e">
        <f>'All regions'!E4228+"n/&gt;!(OA"</f>
        <v>#VALUE!</v>
      </c>
      <c r="CY169" t="e">
        <f>'All regions'!F4228+"n/&gt;!(OB"</f>
        <v>#VALUE!</v>
      </c>
      <c r="CZ169" t="e">
        <f>'All regions'!G4228+"n/&gt;!(OC"</f>
        <v>#VALUE!</v>
      </c>
      <c r="DA169" t="e">
        <f>'All regions'!H4228+"n/&gt;!(OD"</f>
        <v>#VALUE!</v>
      </c>
      <c r="DB169" t="e">
        <f>'All regions'!I4228+"n/&gt;!(OE"</f>
        <v>#VALUE!</v>
      </c>
      <c r="DC169" t="e">
        <f>'All regions'!J4228+"n/&gt;!(OF"</f>
        <v>#VALUE!</v>
      </c>
      <c r="DD169" t="e">
        <f>'All regions'!A4229+"n/&gt;!(OG"</f>
        <v>#VALUE!</v>
      </c>
      <c r="DE169" t="e">
        <f>'All regions'!B4229+"n/&gt;!(OH"</f>
        <v>#VALUE!</v>
      </c>
      <c r="DF169" t="e">
        <f>'All regions'!C4229+"n/&gt;!(OI"</f>
        <v>#VALUE!</v>
      </c>
      <c r="DG169" t="e">
        <f>'All regions'!D4229+"n/&gt;!(OJ"</f>
        <v>#VALUE!</v>
      </c>
      <c r="DH169" t="e">
        <f>'All regions'!E4229+"n/&gt;!(OK"</f>
        <v>#VALUE!</v>
      </c>
      <c r="DI169" t="e">
        <f>'All regions'!F4229+"n/&gt;!(OL"</f>
        <v>#VALUE!</v>
      </c>
      <c r="DJ169" t="e">
        <f>'All regions'!G4229+"n/&gt;!(OM"</f>
        <v>#VALUE!</v>
      </c>
      <c r="DK169" t="e">
        <f>'All regions'!H4229+"n/&gt;!(ON"</f>
        <v>#VALUE!</v>
      </c>
      <c r="DL169" t="e">
        <f>'All regions'!I4229+"n/&gt;!(OO"</f>
        <v>#VALUE!</v>
      </c>
      <c r="DM169" t="e">
        <f>'All regions'!J4229+"n/&gt;!(OP"</f>
        <v>#VALUE!</v>
      </c>
      <c r="DN169" t="e">
        <f>'All regions'!A4230+"n/&gt;!(OQ"</f>
        <v>#VALUE!</v>
      </c>
      <c r="DO169" t="e">
        <f>'All regions'!B4230+"n/&gt;!(OR"</f>
        <v>#VALUE!</v>
      </c>
      <c r="DP169" t="e">
        <f>'All regions'!C4230+"n/&gt;!(OS"</f>
        <v>#VALUE!</v>
      </c>
      <c r="DQ169" t="e">
        <f>'All regions'!D4230+"n/&gt;!(OT"</f>
        <v>#VALUE!</v>
      </c>
      <c r="DR169" t="e">
        <f>'All regions'!E4230+"n/&gt;!(OU"</f>
        <v>#VALUE!</v>
      </c>
      <c r="DS169" t="e">
        <f>'All regions'!F4230+"n/&gt;!(OV"</f>
        <v>#VALUE!</v>
      </c>
      <c r="DT169" t="e">
        <f>'All regions'!G4230+"n/&gt;!(OW"</f>
        <v>#VALUE!</v>
      </c>
      <c r="DU169" t="e">
        <f>'All regions'!H4230+"n/&gt;!(OX"</f>
        <v>#VALUE!</v>
      </c>
      <c r="DV169" t="e">
        <f>'All regions'!I4230+"n/&gt;!(OY"</f>
        <v>#VALUE!</v>
      </c>
      <c r="DW169" t="e">
        <f>'All regions'!J4230+"n/&gt;!(OZ"</f>
        <v>#VALUE!</v>
      </c>
      <c r="DX169" t="e">
        <f>'All regions'!A4231+"n/&gt;!(O["</f>
        <v>#VALUE!</v>
      </c>
      <c r="DY169" t="e">
        <f>'All regions'!B4231+"n/&gt;!(O\"</f>
        <v>#VALUE!</v>
      </c>
      <c r="DZ169" t="e">
        <f>'All regions'!C4231+"n/&gt;!(O]"</f>
        <v>#VALUE!</v>
      </c>
      <c r="EA169" t="e">
        <f>'All regions'!D4231+"n/&gt;!(O^"</f>
        <v>#VALUE!</v>
      </c>
      <c r="EB169" t="e">
        <f>'All regions'!E4231+"n/&gt;!(O_"</f>
        <v>#VALUE!</v>
      </c>
      <c r="EC169" t="e">
        <f>'All regions'!F4231+"n/&gt;!(O`"</f>
        <v>#VALUE!</v>
      </c>
      <c r="ED169" t="e">
        <f>'All regions'!G4231+"n/&gt;!(Oa"</f>
        <v>#VALUE!</v>
      </c>
      <c r="EE169" t="e">
        <f>'All regions'!H4231+"n/&gt;!(Ob"</f>
        <v>#VALUE!</v>
      </c>
      <c r="EF169" t="e">
        <f>'All regions'!I4231+"n/&gt;!(Oc"</f>
        <v>#VALUE!</v>
      </c>
      <c r="EG169" t="e">
        <f>'All regions'!J4231+"n/&gt;!(Od"</f>
        <v>#VALUE!</v>
      </c>
      <c r="EH169" t="e">
        <f>'All regions'!A4232+"n/&gt;!(Oe"</f>
        <v>#VALUE!</v>
      </c>
      <c r="EI169" t="e">
        <f>'All regions'!B4232+"n/&gt;!(Of"</f>
        <v>#VALUE!</v>
      </c>
      <c r="EJ169" t="e">
        <f>'All regions'!C4232+"n/&gt;!(Og"</f>
        <v>#VALUE!</v>
      </c>
      <c r="EK169" t="e">
        <f>'All regions'!D4232+"n/&gt;!(Oh"</f>
        <v>#VALUE!</v>
      </c>
      <c r="EL169" t="e">
        <f>'All regions'!E4232+"n/&gt;!(Oi"</f>
        <v>#VALUE!</v>
      </c>
      <c r="EM169" t="e">
        <f>'All regions'!F4232+"n/&gt;!(Oj"</f>
        <v>#VALUE!</v>
      </c>
      <c r="EN169" t="e">
        <f>'All regions'!G4232+"n/&gt;!(Ok"</f>
        <v>#VALUE!</v>
      </c>
      <c r="EO169" t="e">
        <f>'All regions'!H4232+"n/&gt;!(Ol"</f>
        <v>#VALUE!</v>
      </c>
      <c r="EP169" t="e">
        <f>'All regions'!I4232+"n/&gt;!(Om"</f>
        <v>#VALUE!</v>
      </c>
      <c r="EQ169" t="e">
        <f>'All regions'!J4232+"n/&gt;!(On"</f>
        <v>#VALUE!</v>
      </c>
      <c r="ER169" t="e">
        <f>'All regions'!A4233+"n/&gt;!(Oo"</f>
        <v>#VALUE!</v>
      </c>
      <c r="ES169" t="e">
        <f>'All regions'!B4233+"n/&gt;!(Op"</f>
        <v>#VALUE!</v>
      </c>
      <c r="ET169" t="e">
        <f>'All regions'!C4233+"n/&gt;!(Oq"</f>
        <v>#VALUE!</v>
      </c>
      <c r="EU169" t="e">
        <f>'All regions'!D4233+"n/&gt;!(Or"</f>
        <v>#VALUE!</v>
      </c>
      <c r="EV169" t="e">
        <f>'All regions'!E4233+"n/&gt;!(Os"</f>
        <v>#VALUE!</v>
      </c>
      <c r="EW169" t="e">
        <f>'All regions'!F4233+"n/&gt;!(Ot"</f>
        <v>#VALUE!</v>
      </c>
      <c r="EX169" t="e">
        <f>'All regions'!G4233+"n/&gt;!(Ou"</f>
        <v>#VALUE!</v>
      </c>
      <c r="EY169" t="e">
        <f>'All regions'!H4233+"n/&gt;!(Ov"</f>
        <v>#VALUE!</v>
      </c>
      <c r="EZ169" t="e">
        <f>'All regions'!I4233+"n/&gt;!(Ow"</f>
        <v>#VALUE!</v>
      </c>
      <c r="FA169" t="e">
        <f>'All regions'!J4233+"n/&gt;!(Ox"</f>
        <v>#VALUE!</v>
      </c>
      <c r="FB169" t="e">
        <f>'All regions'!A4234+"n/&gt;!(Oy"</f>
        <v>#VALUE!</v>
      </c>
      <c r="FC169" t="e">
        <f>'All regions'!B4234+"n/&gt;!(Oz"</f>
        <v>#VALUE!</v>
      </c>
      <c r="FD169" t="e">
        <f>'All regions'!C4234+"n/&gt;!(O{"</f>
        <v>#VALUE!</v>
      </c>
      <c r="FE169" t="e">
        <f>'All regions'!D4234+"n/&gt;!(O|"</f>
        <v>#VALUE!</v>
      </c>
      <c r="FF169" t="e">
        <f>'All regions'!E4234+"n/&gt;!(O}"</f>
        <v>#VALUE!</v>
      </c>
      <c r="FG169" t="e">
        <f>'All regions'!F4234+"n/&gt;!(O~"</f>
        <v>#VALUE!</v>
      </c>
      <c r="FH169" t="e">
        <f>'All regions'!G4234+"n/&gt;!(P#"</f>
        <v>#VALUE!</v>
      </c>
      <c r="FI169" t="e">
        <f>'All regions'!H4234+"n/&gt;!(P$"</f>
        <v>#VALUE!</v>
      </c>
      <c r="FJ169" t="e">
        <f>'All regions'!I4234+"n/&gt;!(P%"</f>
        <v>#VALUE!</v>
      </c>
      <c r="FK169" t="e">
        <f>'All regions'!J4234+"n/&gt;!(P&amp;"</f>
        <v>#VALUE!</v>
      </c>
      <c r="FL169" t="e">
        <f>'All regions'!A4235+"n/&gt;!(P'"</f>
        <v>#VALUE!</v>
      </c>
      <c r="FM169" t="e">
        <f>'All regions'!B4235+"n/&gt;!(P("</f>
        <v>#VALUE!</v>
      </c>
      <c r="FN169" t="e">
        <f>'All regions'!C4235+"n/&gt;!(P)"</f>
        <v>#VALUE!</v>
      </c>
      <c r="FO169" t="e">
        <f>'All regions'!D4235+"n/&gt;!(P."</f>
        <v>#VALUE!</v>
      </c>
      <c r="FP169" t="e">
        <f>'All regions'!E4235+"n/&gt;!(P/"</f>
        <v>#VALUE!</v>
      </c>
      <c r="FQ169" t="e">
        <f>'All regions'!F4235+"n/&gt;!(P0"</f>
        <v>#VALUE!</v>
      </c>
      <c r="FR169" t="e">
        <f>'All regions'!G4235+"n/&gt;!(P1"</f>
        <v>#VALUE!</v>
      </c>
      <c r="FS169" t="e">
        <f>'All regions'!H4235+"n/&gt;!(P2"</f>
        <v>#VALUE!</v>
      </c>
      <c r="FT169" t="e">
        <f>'All regions'!I4235+"n/&gt;!(P3"</f>
        <v>#VALUE!</v>
      </c>
      <c r="FU169" t="e">
        <f>'All regions'!J4235+"n/&gt;!(P4"</f>
        <v>#VALUE!</v>
      </c>
      <c r="FV169" t="e">
        <f>'All regions'!A4236+"n/&gt;!(P5"</f>
        <v>#VALUE!</v>
      </c>
      <c r="FW169" t="e">
        <f>'All regions'!B4236+"n/&gt;!(P6"</f>
        <v>#VALUE!</v>
      </c>
      <c r="FX169" t="e">
        <f>'All regions'!C4236+"n/&gt;!(P7"</f>
        <v>#VALUE!</v>
      </c>
      <c r="FY169" t="e">
        <f>'All regions'!D4236+"n/&gt;!(P8"</f>
        <v>#VALUE!</v>
      </c>
      <c r="FZ169" t="e">
        <f>'All regions'!E4236+"n/&gt;!(P9"</f>
        <v>#VALUE!</v>
      </c>
      <c r="GA169" t="e">
        <f>'All regions'!F4236+"n/&gt;!(P:"</f>
        <v>#VALUE!</v>
      </c>
      <c r="GB169" t="e">
        <f>'All regions'!G4236+"n/&gt;!(P;"</f>
        <v>#VALUE!</v>
      </c>
      <c r="GC169" t="e">
        <f>'All regions'!H4236+"n/&gt;!(P&lt;"</f>
        <v>#VALUE!</v>
      </c>
      <c r="GD169" t="e">
        <f>'All regions'!I4236+"n/&gt;!(P="</f>
        <v>#VALUE!</v>
      </c>
      <c r="GE169" t="e">
        <f>'All regions'!J4236+"n/&gt;!(P&gt;"</f>
        <v>#VALUE!</v>
      </c>
      <c r="GF169" t="e">
        <f>'All regions'!A4237+"n/&gt;!(P?"</f>
        <v>#VALUE!</v>
      </c>
      <c r="GG169" t="e">
        <f>'All regions'!B4237+"n/&gt;!(P@"</f>
        <v>#VALUE!</v>
      </c>
      <c r="GH169" t="e">
        <f>'All regions'!C4237+"n/&gt;!(PA"</f>
        <v>#VALUE!</v>
      </c>
      <c r="GI169" t="e">
        <f>'All regions'!D4237+"n/&gt;!(PB"</f>
        <v>#VALUE!</v>
      </c>
      <c r="GJ169" t="e">
        <f>'All regions'!E4237+"n/&gt;!(PC"</f>
        <v>#VALUE!</v>
      </c>
      <c r="GK169" t="e">
        <f>'All regions'!F4237+"n/&gt;!(PD"</f>
        <v>#VALUE!</v>
      </c>
      <c r="GL169" t="e">
        <f>'All regions'!G4237+"n/&gt;!(PE"</f>
        <v>#VALUE!</v>
      </c>
      <c r="GM169" t="e">
        <f>'All regions'!H4237+"n/&gt;!(PF"</f>
        <v>#VALUE!</v>
      </c>
      <c r="GN169" t="e">
        <f>'All regions'!I4237+"n/&gt;!(PG"</f>
        <v>#VALUE!</v>
      </c>
      <c r="GO169" t="e">
        <f>'All regions'!J4237+"n/&gt;!(PH"</f>
        <v>#VALUE!</v>
      </c>
      <c r="GP169" t="e">
        <f>'All regions'!A4238+"n/&gt;!(PI"</f>
        <v>#VALUE!</v>
      </c>
      <c r="GQ169" t="e">
        <f>'All regions'!B4238+"n/&gt;!(PJ"</f>
        <v>#VALUE!</v>
      </c>
      <c r="GR169" t="e">
        <f>'All regions'!C4238+"n/&gt;!(PK"</f>
        <v>#VALUE!</v>
      </c>
      <c r="GS169" t="e">
        <f>'All regions'!D4238+"n/&gt;!(PL"</f>
        <v>#VALUE!</v>
      </c>
      <c r="GT169" t="e">
        <f>'All regions'!E4238+"n/&gt;!(PM"</f>
        <v>#VALUE!</v>
      </c>
      <c r="GU169" t="e">
        <f>'All regions'!F4238+"n/&gt;!(PN"</f>
        <v>#VALUE!</v>
      </c>
      <c r="GV169" t="e">
        <f>'All regions'!G4238+"n/&gt;!(PO"</f>
        <v>#VALUE!</v>
      </c>
      <c r="GW169" t="e">
        <f>'All regions'!H4238+"n/&gt;!(PP"</f>
        <v>#VALUE!</v>
      </c>
      <c r="GX169" t="e">
        <f>'All regions'!I4238+"n/&gt;!(PQ"</f>
        <v>#VALUE!</v>
      </c>
      <c r="GY169" t="e">
        <f>'All regions'!J4238+"n/&gt;!(PR"</f>
        <v>#VALUE!</v>
      </c>
      <c r="GZ169" t="e">
        <f>'All regions'!A4239+"n/&gt;!(PS"</f>
        <v>#VALUE!</v>
      </c>
      <c r="HA169" t="e">
        <f>'All regions'!B4239+"n/&gt;!(PT"</f>
        <v>#VALUE!</v>
      </c>
      <c r="HB169" t="e">
        <f>'All regions'!C4239+"n/&gt;!(PU"</f>
        <v>#VALUE!</v>
      </c>
      <c r="HC169" t="e">
        <f>'All regions'!D4239+"n/&gt;!(PV"</f>
        <v>#VALUE!</v>
      </c>
      <c r="HD169" t="e">
        <f>'All regions'!E4239+"n/&gt;!(PW"</f>
        <v>#VALUE!</v>
      </c>
      <c r="HE169" t="e">
        <f>'All regions'!F4239+"n/&gt;!(PX"</f>
        <v>#VALUE!</v>
      </c>
      <c r="HF169" t="e">
        <f>'All regions'!G4239+"n/&gt;!(PY"</f>
        <v>#VALUE!</v>
      </c>
      <c r="HG169" t="e">
        <f>'All regions'!H4239+"n/&gt;!(PZ"</f>
        <v>#VALUE!</v>
      </c>
      <c r="HH169" t="e">
        <f>'All regions'!I4239+"n/&gt;!(P["</f>
        <v>#VALUE!</v>
      </c>
      <c r="HI169" t="e">
        <f>'All regions'!J4239+"n/&gt;!(P\"</f>
        <v>#VALUE!</v>
      </c>
      <c r="HJ169" t="e">
        <f>'All regions'!A4240+"n/&gt;!(P]"</f>
        <v>#VALUE!</v>
      </c>
      <c r="HK169" t="e">
        <f>'All regions'!B4240+"n/&gt;!(P^"</f>
        <v>#VALUE!</v>
      </c>
      <c r="HL169" t="e">
        <f>'All regions'!C4240+"n/&gt;!(P_"</f>
        <v>#VALUE!</v>
      </c>
      <c r="HM169" t="e">
        <f>'All regions'!D4240+"n/&gt;!(P`"</f>
        <v>#VALUE!</v>
      </c>
      <c r="HN169" t="e">
        <f>'All regions'!E4240+"n/&gt;!(Pa"</f>
        <v>#VALUE!</v>
      </c>
      <c r="HO169" t="e">
        <f>'All regions'!F4240+"n/&gt;!(Pb"</f>
        <v>#VALUE!</v>
      </c>
      <c r="HP169" t="e">
        <f>'All regions'!G4240+"n/&gt;!(Pc"</f>
        <v>#VALUE!</v>
      </c>
      <c r="HQ169" t="e">
        <f>'All regions'!H4240+"n/&gt;!(Pd"</f>
        <v>#VALUE!</v>
      </c>
      <c r="HR169" t="e">
        <f>'All regions'!I4240+"n/&gt;!(Pe"</f>
        <v>#VALUE!</v>
      </c>
      <c r="HS169" t="e">
        <f>'All regions'!J4240+"n/&gt;!(Pf"</f>
        <v>#VALUE!</v>
      </c>
      <c r="HT169" t="e">
        <f>'All regions'!A4241+"n/&gt;!(Pg"</f>
        <v>#VALUE!</v>
      </c>
      <c r="HU169" t="e">
        <f>'All regions'!B4241+"n/&gt;!(Ph"</f>
        <v>#VALUE!</v>
      </c>
      <c r="HV169" t="e">
        <f>'All regions'!C4241+"n/&gt;!(Pi"</f>
        <v>#VALUE!</v>
      </c>
      <c r="HW169" t="e">
        <f>'All regions'!D4241+"n/&gt;!(Pj"</f>
        <v>#VALUE!</v>
      </c>
      <c r="HX169" t="e">
        <f>'All regions'!E4241+"n/&gt;!(Pk"</f>
        <v>#VALUE!</v>
      </c>
      <c r="HY169" t="e">
        <f>'All regions'!F4241+"n/&gt;!(Pl"</f>
        <v>#VALUE!</v>
      </c>
      <c r="HZ169" t="e">
        <f>'All regions'!G4241+"n/&gt;!(Pm"</f>
        <v>#VALUE!</v>
      </c>
      <c r="IA169" t="e">
        <f>'All regions'!H4241+"n/&gt;!(Pn"</f>
        <v>#VALUE!</v>
      </c>
      <c r="IB169" t="e">
        <f>'All regions'!I4241+"n/&gt;!(Po"</f>
        <v>#VALUE!</v>
      </c>
      <c r="IC169" t="e">
        <f>'All regions'!J4241+"n/&gt;!(Pp"</f>
        <v>#VALUE!</v>
      </c>
      <c r="ID169" t="e">
        <f>'All regions'!A4242+"n/&gt;!(Pq"</f>
        <v>#VALUE!</v>
      </c>
      <c r="IE169" t="e">
        <f>'All regions'!B4242+"n/&gt;!(Pr"</f>
        <v>#VALUE!</v>
      </c>
      <c r="IF169" t="e">
        <f>'All regions'!C4242+"n/&gt;!(Ps"</f>
        <v>#VALUE!</v>
      </c>
      <c r="IG169" t="e">
        <f>'All regions'!D4242+"n/&gt;!(Pt"</f>
        <v>#VALUE!</v>
      </c>
      <c r="IH169" t="e">
        <f>'All regions'!E4242+"n/&gt;!(Pu"</f>
        <v>#VALUE!</v>
      </c>
      <c r="II169" t="e">
        <f>'All regions'!F4242+"n/&gt;!(Pv"</f>
        <v>#VALUE!</v>
      </c>
      <c r="IJ169" t="e">
        <f>'All regions'!G4242+"n/&gt;!(Pw"</f>
        <v>#VALUE!</v>
      </c>
      <c r="IK169" t="e">
        <f>'All regions'!H4242+"n/&gt;!(Px"</f>
        <v>#VALUE!</v>
      </c>
      <c r="IL169" t="e">
        <f>'All regions'!I4242+"n/&gt;!(Py"</f>
        <v>#VALUE!</v>
      </c>
      <c r="IM169" t="e">
        <f>'All regions'!J4242+"n/&gt;!(Pz"</f>
        <v>#VALUE!</v>
      </c>
      <c r="IN169" t="e">
        <f>'All regions'!A4243+"n/&gt;!(P{"</f>
        <v>#VALUE!</v>
      </c>
      <c r="IO169" t="e">
        <f>'All regions'!B4243+"n/&gt;!(P|"</f>
        <v>#VALUE!</v>
      </c>
      <c r="IP169" t="e">
        <f>'All regions'!C4243+"n/&gt;!(P}"</f>
        <v>#VALUE!</v>
      </c>
      <c r="IQ169" t="e">
        <f>'All regions'!D4243+"n/&gt;!(P~"</f>
        <v>#VALUE!</v>
      </c>
      <c r="IR169" t="e">
        <f>'All regions'!E4243+"n/&gt;!(Q#"</f>
        <v>#VALUE!</v>
      </c>
      <c r="IS169" t="e">
        <f>'All regions'!F4243+"n/&gt;!(Q$"</f>
        <v>#VALUE!</v>
      </c>
      <c r="IT169" t="e">
        <f>'All regions'!G4243+"n/&gt;!(Q%"</f>
        <v>#VALUE!</v>
      </c>
      <c r="IU169" t="e">
        <f>'All regions'!H4243+"n/&gt;!(Q&amp;"</f>
        <v>#VALUE!</v>
      </c>
      <c r="IV169" t="e">
        <f>'All regions'!I4243+"n/&gt;!(Q'"</f>
        <v>#VALUE!</v>
      </c>
    </row>
    <row r="170" spans="6:256" x14ac:dyDescent="0.35">
      <c r="F170" t="e">
        <f>'All regions'!J4243+"n/&gt;!(Q("</f>
        <v>#VALUE!</v>
      </c>
      <c r="G170" t="e">
        <f>'All regions'!A4244+"n/&gt;!(Q)"</f>
        <v>#VALUE!</v>
      </c>
      <c r="H170" t="e">
        <f>'All regions'!B4244+"n/&gt;!(Q."</f>
        <v>#VALUE!</v>
      </c>
      <c r="I170" t="e">
        <f>'All regions'!C4244+"n/&gt;!(Q/"</f>
        <v>#VALUE!</v>
      </c>
      <c r="J170" t="e">
        <f>'All regions'!D4244+"n/&gt;!(Q0"</f>
        <v>#VALUE!</v>
      </c>
      <c r="K170" t="e">
        <f>'All regions'!E4244+"n/&gt;!(Q1"</f>
        <v>#VALUE!</v>
      </c>
      <c r="L170" t="e">
        <f>'All regions'!F4244+"n/&gt;!(Q2"</f>
        <v>#VALUE!</v>
      </c>
      <c r="M170" t="e">
        <f>'All regions'!G4244+"n/&gt;!(Q3"</f>
        <v>#VALUE!</v>
      </c>
      <c r="N170" t="e">
        <f>'All regions'!H4244+"n/&gt;!(Q4"</f>
        <v>#VALUE!</v>
      </c>
      <c r="O170" t="e">
        <f>'All regions'!I4244+"n/&gt;!(Q5"</f>
        <v>#VALUE!</v>
      </c>
      <c r="P170" t="e">
        <f>'All regions'!J4244+"n/&gt;!(Q6"</f>
        <v>#VALUE!</v>
      </c>
      <c r="Q170" t="e">
        <f>'All regions'!A4245+"n/&gt;!(Q7"</f>
        <v>#VALUE!</v>
      </c>
      <c r="R170" t="e">
        <f>'All regions'!B4245+"n/&gt;!(Q8"</f>
        <v>#VALUE!</v>
      </c>
      <c r="S170" t="e">
        <f>'All regions'!C4245+"n/&gt;!(Q9"</f>
        <v>#VALUE!</v>
      </c>
      <c r="T170" t="e">
        <f>'All regions'!D4245+"n/&gt;!(Q:"</f>
        <v>#VALUE!</v>
      </c>
      <c r="U170" t="e">
        <f>'All regions'!E4245+"n/&gt;!(Q;"</f>
        <v>#VALUE!</v>
      </c>
      <c r="V170" t="e">
        <f>'All regions'!F4245+"n/&gt;!(Q&lt;"</f>
        <v>#VALUE!</v>
      </c>
      <c r="W170" t="e">
        <f>'All regions'!G4245+"n/&gt;!(Q="</f>
        <v>#VALUE!</v>
      </c>
      <c r="X170" t="e">
        <f>'All regions'!H4245+"n/&gt;!(Q&gt;"</f>
        <v>#VALUE!</v>
      </c>
      <c r="Y170" t="e">
        <f>'All regions'!I4245+"n/&gt;!(Q?"</f>
        <v>#VALUE!</v>
      </c>
      <c r="Z170" t="e">
        <f>'All regions'!J4245+"n/&gt;!(Q@"</f>
        <v>#VALUE!</v>
      </c>
      <c r="AA170" t="e">
        <f>'All regions'!A4246+"n/&gt;!(QA"</f>
        <v>#VALUE!</v>
      </c>
      <c r="AB170" t="e">
        <f>'All regions'!B4246+"n/&gt;!(QB"</f>
        <v>#VALUE!</v>
      </c>
      <c r="AC170" t="e">
        <f>'All regions'!C4246+"n/&gt;!(QC"</f>
        <v>#VALUE!</v>
      </c>
      <c r="AD170" t="e">
        <f>'All regions'!D4246+"n/&gt;!(QD"</f>
        <v>#VALUE!</v>
      </c>
      <c r="AE170" t="e">
        <f>'All regions'!E4246+"n/&gt;!(QE"</f>
        <v>#VALUE!</v>
      </c>
      <c r="AF170" t="e">
        <f>'All regions'!F4246+"n/&gt;!(QF"</f>
        <v>#VALUE!</v>
      </c>
      <c r="AG170" t="e">
        <f>'All regions'!G4246+"n/&gt;!(QG"</f>
        <v>#VALUE!</v>
      </c>
      <c r="AH170" t="e">
        <f>'All regions'!H4246+"n/&gt;!(QH"</f>
        <v>#VALUE!</v>
      </c>
      <c r="AI170" t="e">
        <f>'All regions'!I4246+"n/&gt;!(QI"</f>
        <v>#VALUE!</v>
      </c>
      <c r="AJ170" t="e">
        <f>'All regions'!J4246+"n/&gt;!(QJ"</f>
        <v>#VALUE!</v>
      </c>
      <c r="AK170" t="e">
        <f>'All regions'!A4247+"n/&gt;!(QK"</f>
        <v>#VALUE!</v>
      </c>
      <c r="AL170" t="e">
        <f>'All regions'!B4247+"n/&gt;!(QL"</f>
        <v>#VALUE!</v>
      </c>
      <c r="AM170" t="e">
        <f>'All regions'!C4247+"n/&gt;!(QM"</f>
        <v>#VALUE!</v>
      </c>
      <c r="AN170" t="e">
        <f>'All regions'!D4247+"n/&gt;!(QN"</f>
        <v>#VALUE!</v>
      </c>
      <c r="AO170" t="e">
        <f>'All regions'!E4247+"n/&gt;!(QO"</f>
        <v>#VALUE!</v>
      </c>
      <c r="AP170" t="e">
        <f>'All regions'!F4247+"n/&gt;!(QP"</f>
        <v>#VALUE!</v>
      </c>
      <c r="AQ170" t="e">
        <f>'All regions'!G4247+"n/&gt;!(QQ"</f>
        <v>#VALUE!</v>
      </c>
      <c r="AR170" t="e">
        <f>'All regions'!H4247+"n/&gt;!(QR"</f>
        <v>#VALUE!</v>
      </c>
      <c r="AS170" t="e">
        <f>'All regions'!I4247+"n/&gt;!(QS"</f>
        <v>#VALUE!</v>
      </c>
      <c r="AT170" t="e">
        <f>'All regions'!J4247+"n/&gt;!(QT"</f>
        <v>#VALUE!</v>
      </c>
      <c r="AU170" t="e">
        <f>'All regions'!A4248+"n/&gt;!(QU"</f>
        <v>#VALUE!</v>
      </c>
      <c r="AV170" t="e">
        <f>'All regions'!B4248+"n/&gt;!(QV"</f>
        <v>#VALUE!</v>
      </c>
      <c r="AW170" t="e">
        <f>'All regions'!C4248+"n/&gt;!(QW"</f>
        <v>#VALUE!</v>
      </c>
      <c r="AX170" t="e">
        <f>'All regions'!D4248+"n/&gt;!(QX"</f>
        <v>#VALUE!</v>
      </c>
      <c r="AY170" t="e">
        <f>'All regions'!E4248+"n/&gt;!(QY"</f>
        <v>#VALUE!</v>
      </c>
      <c r="AZ170" t="e">
        <f>'All regions'!F4248+"n/&gt;!(QZ"</f>
        <v>#VALUE!</v>
      </c>
      <c r="BA170" t="e">
        <f>'All regions'!G4248+"n/&gt;!(Q["</f>
        <v>#VALUE!</v>
      </c>
      <c r="BB170" t="e">
        <f>'All regions'!H4248+"n/&gt;!(Q\"</f>
        <v>#VALUE!</v>
      </c>
      <c r="BC170" t="e">
        <f>'All regions'!I4248+"n/&gt;!(Q]"</f>
        <v>#VALUE!</v>
      </c>
      <c r="BD170" t="e">
        <f>'All regions'!J4248+"n/&gt;!(Q^"</f>
        <v>#VALUE!</v>
      </c>
      <c r="BE170" t="e">
        <f>'All regions'!A4249+"n/&gt;!(Q_"</f>
        <v>#VALUE!</v>
      </c>
      <c r="BF170" t="e">
        <f>'All regions'!B4249+"n/&gt;!(Q`"</f>
        <v>#VALUE!</v>
      </c>
      <c r="BG170" t="e">
        <f>'All regions'!C4249+"n/&gt;!(Qa"</f>
        <v>#VALUE!</v>
      </c>
      <c r="BH170" t="e">
        <f>'All regions'!D4249+"n/&gt;!(Qb"</f>
        <v>#VALUE!</v>
      </c>
      <c r="BI170" t="e">
        <f>'All regions'!E4249+"n/&gt;!(Qc"</f>
        <v>#VALUE!</v>
      </c>
      <c r="BJ170" t="e">
        <f>'All regions'!F4249+"n/&gt;!(Qd"</f>
        <v>#VALUE!</v>
      </c>
      <c r="BK170" t="e">
        <f>'All regions'!G4249+"n/&gt;!(Qe"</f>
        <v>#VALUE!</v>
      </c>
      <c r="BL170" t="e">
        <f>'All regions'!H4249+"n/&gt;!(Qf"</f>
        <v>#VALUE!</v>
      </c>
      <c r="BM170" t="e">
        <f>'All regions'!I4249+"n/&gt;!(Qg"</f>
        <v>#VALUE!</v>
      </c>
      <c r="BN170" t="e">
        <f>'All regions'!J4249+"n/&gt;!(Qh"</f>
        <v>#VALUE!</v>
      </c>
      <c r="BO170" t="e">
        <f>'All regions'!A4250+"n/&gt;!(Qi"</f>
        <v>#VALUE!</v>
      </c>
      <c r="BP170" t="e">
        <f>'All regions'!B4250+"n/&gt;!(Qj"</f>
        <v>#VALUE!</v>
      </c>
      <c r="BQ170" t="e">
        <f>'All regions'!C4250+"n/&gt;!(Qk"</f>
        <v>#VALUE!</v>
      </c>
      <c r="BR170" t="e">
        <f>'All regions'!D4250+"n/&gt;!(Ql"</f>
        <v>#VALUE!</v>
      </c>
      <c r="BS170" t="e">
        <f>'All regions'!E4250+"n/&gt;!(Qm"</f>
        <v>#VALUE!</v>
      </c>
      <c r="BT170" t="e">
        <f>'All regions'!F4250+"n/&gt;!(Qn"</f>
        <v>#VALUE!</v>
      </c>
      <c r="BU170" t="e">
        <f>'All regions'!G4250+"n/&gt;!(Qo"</f>
        <v>#VALUE!</v>
      </c>
      <c r="BV170" t="e">
        <f>'All regions'!H4250+"n/&gt;!(Qp"</f>
        <v>#VALUE!</v>
      </c>
      <c r="BW170" t="e">
        <f>'All regions'!I4250+"n/&gt;!(Qq"</f>
        <v>#VALUE!</v>
      </c>
      <c r="BX170" t="e">
        <f>'All regions'!J4250+"n/&gt;!(Qr"</f>
        <v>#VALUE!</v>
      </c>
      <c r="BY170" t="e">
        <f>'All regions'!A4251+"n/&gt;!(Qs"</f>
        <v>#VALUE!</v>
      </c>
      <c r="BZ170" t="e">
        <f>'All regions'!B4251+"n/&gt;!(Qt"</f>
        <v>#VALUE!</v>
      </c>
      <c r="CA170" t="e">
        <f>'All regions'!C4251+"n/&gt;!(Qu"</f>
        <v>#VALUE!</v>
      </c>
      <c r="CB170" t="e">
        <f>'All regions'!D4251+"n/&gt;!(Qv"</f>
        <v>#VALUE!</v>
      </c>
      <c r="CC170" t="e">
        <f>'All regions'!E4251+"n/&gt;!(Qw"</f>
        <v>#VALUE!</v>
      </c>
      <c r="CD170" t="e">
        <f>'All regions'!F4251+"n/&gt;!(Qx"</f>
        <v>#VALUE!</v>
      </c>
      <c r="CE170" t="e">
        <f>'All regions'!G4251+"n/&gt;!(Qy"</f>
        <v>#VALUE!</v>
      </c>
      <c r="CF170" t="e">
        <f>'All regions'!H4251+"n/&gt;!(Qz"</f>
        <v>#VALUE!</v>
      </c>
      <c r="CG170" t="e">
        <f>'All regions'!I4251+"n/&gt;!(Q{"</f>
        <v>#VALUE!</v>
      </c>
      <c r="CH170" t="e">
        <f>'All regions'!J4251+"n/&gt;!(Q|"</f>
        <v>#VALUE!</v>
      </c>
      <c r="CI170" t="e">
        <f>'All regions'!A4252+"n/&gt;!(Q}"</f>
        <v>#VALUE!</v>
      </c>
      <c r="CJ170" t="e">
        <f>'All regions'!B4252+"n/&gt;!(Q~"</f>
        <v>#VALUE!</v>
      </c>
      <c r="CK170" t="e">
        <f>'All regions'!C4252+"n/&gt;!(R#"</f>
        <v>#VALUE!</v>
      </c>
      <c r="CL170" t="e">
        <f>'All regions'!D4252+"n/&gt;!(R$"</f>
        <v>#VALUE!</v>
      </c>
      <c r="CM170" t="e">
        <f>'All regions'!E4252+"n/&gt;!(R%"</f>
        <v>#VALUE!</v>
      </c>
      <c r="CN170" t="e">
        <f>'All regions'!F4252+"n/&gt;!(R&amp;"</f>
        <v>#VALUE!</v>
      </c>
      <c r="CO170" t="e">
        <f>'All regions'!G4252+"n/&gt;!(R'"</f>
        <v>#VALUE!</v>
      </c>
      <c r="CP170" t="e">
        <f>'All regions'!H4252+"n/&gt;!(R("</f>
        <v>#VALUE!</v>
      </c>
      <c r="CQ170" t="e">
        <f>'All regions'!I4252+"n/&gt;!(R)"</f>
        <v>#VALUE!</v>
      </c>
      <c r="CR170" t="e">
        <f>'All regions'!J4252+"n/&gt;!(R."</f>
        <v>#VALUE!</v>
      </c>
      <c r="CS170" t="e">
        <f>'All regions'!A4253+"n/&gt;!(R/"</f>
        <v>#VALUE!</v>
      </c>
      <c r="CT170" t="e">
        <f>'All regions'!B4253+"n/&gt;!(R0"</f>
        <v>#VALUE!</v>
      </c>
      <c r="CU170" t="e">
        <f>'All regions'!C4253+"n/&gt;!(R1"</f>
        <v>#VALUE!</v>
      </c>
      <c r="CV170" t="e">
        <f>'All regions'!D4253+"n/&gt;!(R2"</f>
        <v>#VALUE!</v>
      </c>
      <c r="CW170" t="e">
        <f>'All regions'!E4253+"n/&gt;!(R3"</f>
        <v>#VALUE!</v>
      </c>
      <c r="CX170" t="e">
        <f>'All regions'!F4253+"n/&gt;!(R4"</f>
        <v>#VALUE!</v>
      </c>
      <c r="CY170" t="e">
        <f>'All regions'!G4253+"n/&gt;!(R5"</f>
        <v>#VALUE!</v>
      </c>
      <c r="CZ170" t="e">
        <f>'All regions'!H4253+"n/&gt;!(R6"</f>
        <v>#VALUE!</v>
      </c>
      <c r="DA170" t="e">
        <f>'All regions'!I4253+"n/&gt;!(R7"</f>
        <v>#VALUE!</v>
      </c>
      <c r="DB170" t="e">
        <f>'All regions'!J4253+"n/&gt;!(R8"</f>
        <v>#VALUE!</v>
      </c>
      <c r="DC170" t="e">
        <f>'All regions'!A4254+"n/&gt;!(R9"</f>
        <v>#VALUE!</v>
      </c>
      <c r="DD170" t="e">
        <f>'All regions'!B4254+"n/&gt;!(R:"</f>
        <v>#VALUE!</v>
      </c>
      <c r="DE170" t="e">
        <f>'All regions'!C4254+"n/&gt;!(R;"</f>
        <v>#VALUE!</v>
      </c>
      <c r="DF170" t="e">
        <f>'All regions'!D4254+"n/&gt;!(R&lt;"</f>
        <v>#VALUE!</v>
      </c>
      <c r="DG170" t="e">
        <f>'All regions'!E4254+"n/&gt;!(R="</f>
        <v>#VALUE!</v>
      </c>
      <c r="DH170" t="e">
        <f>'All regions'!F4254+"n/&gt;!(R&gt;"</f>
        <v>#VALUE!</v>
      </c>
      <c r="DI170" t="e">
        <f>'All regions'!G4254+"n/&gt;!(R?"</f>
        <v>#VALUE!</v>
      </c>
      <c r="DJ170" t="e">
        <f>'All regions'!H4254+"n/&gt;!(R@"</f>
        <v>#VALUE!</v>
      </c>
      <c r="DK170" t="e">
        <f>'All regions'!I4254+"n/&gt;!(RA"</f>
        <v>#VALUE!</v>
      </c>
      <c r="DL170" t="e">
        <f>'All regions'!J4254+"n/&gt;!(RB"</f>
        <v>#VALUE!</v>
      </c>
      <c r="DM170" t="e">
        <f>'All regions'!A4255+"n/&gt;!(RC"</f>
        <v>#VALUE!</v>
      </c>
      <c r="DN170" t="e">
        <f>'All regions'!B4255+"n/&gt;!(RD"</f>
        <v>#VALUE!</v>
      </c>
      <c r="DO170" t="e">
        <f>'All regions'!C4255+"n/&gt;!(RE"</f>
        <v>#VALUE!</v>
      </c>
      <c r="DP170" t="e">
        <f>'All regions'!D4255+"n/&gt;!(RF"</f>
        <v>#VALUE!</v>
      </c>
      <c r="DQ170" t="e">
        <f>'All regions'!E4255+"n/&gt;!(RG"</f>
        <v>#VALUE!</v>
      </c>
      <c r="DR170" t="e">
        <f>'All regions'!F4255+"n/&gt;!(RH"</f>
        <v>#VALUE!</v>
      </c>
      <c r="DS170" t="e">
        <f>'All regions'!G4255+"n/&gt;!(RI"</f>
        <v>#VALUE!</v>
      </c>
      <c r="DT170" t="e">
        <f>'All regions'!H4255+"n/&gt;!(RJ"</f>
        <v>#VALUE!</v>
      </c>
      <c r="DU170" t="e">
        <f>'All regions'!I4255+"n/&gt;!(RK"</f>
        <v>#VALUE!</v>
      </c>
      <c r="DV170" t="e">
        <f>'All regions'!J4255+"n/&gt;!(RL"</f>
        <v>#VALUE!</v>
      </c>
      <c r="DW170" t="e">
        <f>'All regions'!A4256+"n/&gt;!(RM"</f>
        <v>#VALUE!</v>
      </c>
      <c r="DX170" t="e">
        <f>'All regions'!B4256+"n/&gt;!(RN"</f>
        <v>#VALUE!</v>
      </c>
      <c r="DY170" t="e">
        <f>'All regions'!C4256+"n/&gt;!(RO"</f>
        <v>#VALUE!</v>
      </c>
      <c r="DZ170" t="e">
        <f>'All regions'!D4256+"n/&gt;!(RP"</f>
        <v>#VALUE!</v>
      </c>
      <c r="EA170" t="e">
        <f>'All regions'!E4256+"n/&gt;!(RQ"</f>
        <v>#VALUE!</v>
      </c>
      <c r="EB170" t="e">
        <f>'All regions'!F4256+"n/&gt;!(RR"</f>
        <v>#VALUE!</v>
      </c>
      <c r="EC170" t="e">
        <f>'All regions'!G4256+"n/&gt;!(RS"</f>
        <v>#VALUE!</v>
      </c>
      <c r="ED170" t="e">
        <f>'All regions'!H4256+"n/&gt;!(RT"</f>
        <v>#VALUE!</v>
      </c>
      <c r="EE170" t="e">
        <f>'All regions'!I4256+"n/&gt;!(RU"</f>
        <v>#VALUE!</v>
      </c>
      <c r="EF170" t="e">
        <f>'All regions'!J4256+"n/&gt;!(RV"</f>
        <v>#VALUE!</v>
      </c>
      <c r="EG170" t="e">
        <f>'All regions'!A4257+"n/&gt;!(RW"</f>
        <v>#VALUE!</v>
      </c>
      <c r="EH170" t="e">
        <f>'All regions'!B4257+"n/&gt;!(RX"</f>
        <v>#VALUE!</v>
      </c>
      <c r="EI170" t="e">
        <f>'All regions'!C4257+"n/&gt;!(RY"</f>
        <v>#VALUE!</v>
      </c>
      <c r="EJ170" t="e">
        <f>'All regions'!D4257+"n/&gt;!(RZ"</f>
        <v>#VALUE!</v>
      </c>
      <c r="EK170" t="e">
        <f>'All regions'!E4257+"n/&gt;!(R["</f>
        <v>#VALUE!</v>
      </c>
      <c r="EL170" t="e">
        <f>'All regions'!F4257+"n/&gt;!(R\"</f>
        <v>#VALUE!</v>
      </c>
      <c r="EM170" t="e">
        <f>'All regions'!G4257+"n/&gt;!(R]"</f>
        <v>#VALUE!</v>
      </c>
      <c r="EN170" t="e">
        <f>'All regions'!H4257+"n/&gt;!(R^"</f>
        <v>#VALUE!</v>
      </c>
      <c r="EO170" t="e">
        <f>'All regions'!I4257+"n/&gt;!(R_"</f>
        <v>#VALUE!</v>
      </c>
      <c r="EP170" t="e">
        <f>'All regions'!J4257+"n/&gt;!(R`"</f>
        <v>#VALUE!</v>
      </c>
      <c r="EQ170" t="e">
        <f>'All regions'!A4258+"n/&gt;!(Ra"</f>
        <v>#VALUE!</v>
      </c>
      <c r="ER170" t="e">
        <f>'All regions'!B4258+"n/&gt;!(Rb"</f>
        <v>#VALUE!</v>
      </c>
      <c r="ES170" t="e">
        <f>'All regions'!C4258+"n/&gt;!(Rc"</f>
        <v>#VALUE!</v>
      </c>
      <c r="ET170" t="e">
        <f>'All regions'!D4258+"n/&gt;!(Rd"</f>
        <v>#VALUE!</v>
      </c>
      <c r="EU170" t="e">
        <f>'All regions'!E4258+"n/&gt;!(Re"</f>
        <v>#VALUE!</v>
      </c>
      <c r="EV170" t="e">
        <f>'All regions'!F4258+"n/&gt;!(Rf"</f>
        <v>#VALUE!</v>
      </c>
      <c r="EW170" t="e">
        <f>'All regions'!G4258+"n/&gt;!(Rg"</f>
        <v>#VALUE!</v>
      </c>
      <c r="EX170" t="e">
        <f>'All regions'!H4258+"n/&gt;!(Rh"</f>
        <v>#VALUE!</v>
      </c>
      <c r="EY170" t="e">
        <f>'All regions'!I4258+"n/&gt;!(Ri"</f>
        <v>#VALUE!</v>
      </c>
      <c r="EZ170" t="e">
        <f>'All regions'!J4258+"n/&gt;!(Rj"</f>
        <v>#VALUE!</v>
      </c>
      <c r="FA170" t="e">
        <f>'All regions'!A4259+"n/&gt;!(Rk"</f>
        <v>#VALUE!</v>
      </c>
      <c r="FB170" t="e">
        <f>'All regions'!B4259+"n/&gt;!(Rl"</f>
        <v>#VALUE!</v>
      </c>
      <c r="FC170" t="e">
        <f>'All regions'!C4259+"n/&gt;!(Rm"</f>
        <v>#VALUE!</v>
      </c>
      <c r="FD170" t="e">
        <f>'All regions'!D4259+"n/&gt;!(Rn"</f>
        <v>#VALUE!</v>
      </c>
      <c r="FE170" t="e">
        <f>'All regions'!E4259+"n/&gt;!(Ro"</f>
        <v>#VALUE!</v>
      </c>
      <c r="FF170" t="e">
        <f>'All regions'!F4259+"n/&gt;!(Rp"</f>
        <v>#VALUE!</v>
      </c>
      <c r="FG170" t="e">
        <f>'All regions'!G4259+"n/&gt;!(Rq"</f>
        <v>#VALUE!</v>
      </c>
      <c r="FH170" t="e">
        <f>'All regions'!H4259+"n/&gt;!(Rr"</f>
        <v>#VALUE!</v>
      </c>
      <c r="FI170" t="e">
        <f>'All regions'!I4259+"n/&gt;!(Rs"</f>
        <v>#VALUE!</v>
      </c>
      <c r="FJ170" t="e">
        <f>'All regions'!J4259+"n/&gt;!(Rt"</f>
        <v>#VALUE!</v>
      </c>
      <c r="FK170" t="e">
        <f>'All regions'!A4260+"n/&gt;!(Ru"</f>
        <v>#VALUE!</v>
      </c>
      <c r="FL170" t="e">
        <f>'All regions'!B4260+"n/&gt;!(Rv"</f>
        <v>#VALUE!</v>
      </c>
      <c r="FM170" t="e">
        <f>'All regions'!C4260+"n/&gt;!(Rw"</f>
        <v>#VALUE!</v>
      </c>
      <c r="FN170" t="e">
        <f>'All regions'!D4260+"n/&gt;!(Rx"</f>
        <v>#VALUE!</v>
      </c>
      <c r="FO170" t="e">
        <f>'All regions'!E4260+"n/&gt;!(Ry"</f>
        <v>#VALUE!</v>
      </c>
      <c r="FP170" t="e">
        <f>'All regions'!F4260+"n/&gt;!(Rz"</f>
        <v>#VALUE!</v>
      </c>
      <c r="FQ170" t="e">
        <f>'All regions'!G4260+"n/&gt;!(R{"</f>
        <v>#VALUE!</v>
      </c>
      <c r="FR170" t="e">
        <f>'All regions'!H4260+"n/&gt;!(R|"</f>
        <v>#VALUE!</v>
      </c>
      <c r="FS170" t="e">
        <f>'All regions'!I4260+"n/&gt;!(R}"</f>
        <v>#VALUE!</v>
      </c>
      <c r="FT170" t="e">
        <f>'All regions'!J4260+"n/&gt;!(R~"</f>
        <v>#VALUE!</v>
      </c>
      <c r="FU170" t="e">
        <f>'All regions'!A4261+"n/&gt;!(S#"</f>
        <v>#VALUE!</v>
      </c>
      <c r="FV170" t="e">
        <f>'All regions'!B4261+"n/&gt;!(S$"</f>
        <v>#VALUE!</v>
      </c>
      <c r="FW170" t="e">
        <f>'All regions'!C4261+"n/&gt;!(S%"</f>
        <v>#VALUE!</v>
      </c>
      <c r="FX170" t="e">
        <f>'All regions'!D4261+"n/&gt;!(S&amp;"</f>
        <v>#VALUE!</v>
      </c>
      <c r="FY170" t="e">
        <f>'All regions'!E4261+"n/&gt;!(S'"</f>
        <v>#VALUE!</v>
      </c>
      <c r="FZ170" t="e">
        <f>'All regions'!F4261+"n/&gt;!(S("</f>
        <v>#VALUE!</v>
      </c>
      <c r="GA170" t="e">
        <f>'All regions'!G4261+"n/&gt;!(S)"</f>
        <v>#VALUE!</v>
      </c>
      <c r="GB170" t="e">
        <f>'All regions'!H4261+"n/&gt;!(S."</f>
        <v>#VALUE!</v>
      </c>
      <c r="GC170" t="e">
        <f>'All regions'!I4261+"n/&gt;!(S/"</f>
        <v>#VALUE!</v>
      </c>
      <c r="GD170" t="e">
        <f>'All regions'!J4261+"n/&gt;!(S0"</f>
        <v>#VALUE!</v>
      </c>
      <c r="GE170" t="e">
        <f>'All regions'!A4262+"n/&gt;!(S1"</f>
        <v>#VALUE!</v>
      </c>
      <c r="GF170" t="e">
        <f>'All regions'!B4262+"n/&gt;!(S2"</f>
        <v>#VALUE!</v>
      </c>
      <c r="GG170" t="e">
        <f>'All regions'!C4262+"n/&gt;!(S3"</f>
        <v>#VALUE!</v>
      </c>
      <c r="GH170" t="e">
        <f>'All regions'!D4262+"n/&gt;!(S4"</f>
        <v>#VALUE!</v>
      </c>
      <c r="GI170" t="e">
        <f>'All regions'!E4262+"n/&gt;!(S5"</f>
        <v>#VALUE!</v>
      </c>
      <c r="GJ170" t="e">
        <f>'All regions'!F4262+"n/&gt;!(S6"</f>
        <v>#VALUE!</v>
      </c>
      <c r="GK170" t="e">
        <f>'All regions'!G4262+"n/&gt;!(S7"</f>
        <v>#VALUE!</v>
      </c>
      <c r="GL170" t="e">
        <f>'All regions'!H4262+"n/&gt;!(S8"</f>
        <v>#VALUE!</v>
      </c>
      <c r="GM170" t="e">
        <f>'All regions'!I4262+"n/&gt;!(S9"</f>
        <v>#VALUE!</v>
      </c>
      <c r="GN170" t="e">
        <f>'All regions'!J4262+"n/&gt;!(S:"</f>
        <v>#VALUE!</v>
      </c>
      <c r="GO170" t="e">
        <f>'All regions'!A4263+"n/&gt;!(S;"</f>
        <v>#VALUE!</v>
      </c>
      <c r="GP170" t="e">
        <f>'All regions'!B4263+"n/&gt;!(S&lt;"</f>
        <v>#VALUE!</v>
      </c>
      <c r="GQ170" t="e">
        <f>'All regions'!C4263+"n/&gt;!(S="</f>
        <v>#VALUE!</v>
      </c>
      <c r="GR170" t="e">
        <f>'All regions'!D4263+"n/&gt;!(S&gt;"</f>
        <v>#VALUE!</v>
      </c>
      <c r="GS170" t="e">
        <f>'All regions'!E4263+"n/&gt;!(S?"</f>
        <v>#VALUE!</v>
      </c>
      <c r="GT170" t="e">
        <f>'All regions'!F4263+"n/&gt;!(S@"</f>
        <v>#VALUE!</v>
      </c>
      <c r="GU170" t="e">
        <f>'All regions'!G4263+"n/&gt;!(SA"</f>
        <v>#VALUE!</v>
      </c>
      <c r="GV170" t="e">
        <f>'All regions'!H4263+"n/&gt;!(SB"</f>
        <v>#VALUE!</v>
      </c>
      <c r="GW170" t="e">
        <f>'All regions'!I4263+"n/&gt;!(SC"</f>
        <v>#VALUE!</v>
      </c>
      <c r="GX170" t="e">
        <f>'All regions'!J4263+"n/&gt;!(SD"</f>
        <v>#VALUE!</v>
      </c>
      <c r="GY170" t="e">
        <f>'All regions'!A4264+"n/&gt;!(SE"</f>
        <v>#VALUE!</v>
      </c>
      <c r="GZ170" t="e">
        <f>'All regions'!B4264+"n/&gt;!(SF"</f>
        <v>#VALUE!</v>
      </c>
      <c r="HA170" t="e">
        <f>'All regions'!C4264+"n/&gt;!(SG"</f>
        <v>#VALUE!</v>
      </c>
      <c r="HB170" t="e">
        <f>'All regions'!D4264+"n/&gt;!(SH"</f>
        <v>#VALUE!</v>
      </c>
      <c r="HC170" t="e">
        <f>'All regions'!E4264+"n/&gt;!(SI"</f>
        <v>#VALUE!</v>
      </c>
      <c r="HD170" t="e">
        <f>'All regions'!F4264+"n/&gt;!(SJ"</f>
        <v>#VALUE!</v>
      </c>
      <c r="HE170" t="e">
        <f>'All regions'!G4264+"n/&gt;!(SK"</f>
        <v>#VALUE!</v>
      </c>
      <c r="HF170" t="e">
        <f>'All regions'!H4264+"n/&gt;!(SL"</f>
        <v>#VALUE!</v>
      </c>
      <c r="HG170" t="e">
        <f>'All regions'!I4264+"n/&gt;!(SM"</f>
        <v>#VALUE!</v>
      </c>
      <c r="HH170" t="e">
        <f>'All regions'!J4264+"n/&gt;!(SN"</f>
        <v>#VALUE!</v>
      </c>
      <c r="HI170" t="e">
        <f>'All regions'!A4265+"n/&gt;!(SO"</f>
        <v>#VALUE!</v>
      </c>
      <c r="HJ170" t="e">
        <f>'All regions'!B4265+"n/&gt;!(SP"</f>
        <v>#VALUE!</v>
      </c>
      <c r="HK170" t="e">
        <f>'All regions'!C4265+"n/&gt;!(SQ"</f>
        <v>#VALUE!</v>
      </c>
      <c r="HL170" t="e">
        <f>'All regions'!D4265+"n/&gt;!(SR"</f>
        <v>#VALUE!</v>
      </c>
      <c r="HM170" t="e">
        <f>'All regions'!E4265+"n/&gt;!(SS"</f>
        <v>#VALUE!</v>
      </c>
      <c r="HN170" t="e">
        <f>'All regions'!F4265+"n/&gt;!(ST"</f>
        <v>#VALUE!</v>
      </c>
      <c r="HO170" t="e">
        <f>'All regions'!G4265+"n/&gt;!(SU"</f>
        <v>#VALUE!</v>
      </c>
      <c r="HP170" t="e">
        <f>'All regions'!H4265+"n/&gt;!(SV"</f>
        <v>#VALUE!</v>
      </c>
      <c r="HQ170" t="e">
        <f>'All regions'!I4265+"n/&gt;!(SW"</f>
        <v>#VALUE!</v>
      </c>
      <c r="HR170" t="e">
        <f>'All regions'!J4265+"n/&gt;!(SX"</f>
        <v>#VALUE!</v>
      </c>
      <c r="HS170" t="e">
        <f>'All regions'!A4266+"n/&gt;!(SY"</f>
        <v>#VALUE!</v>
      </c>
      <c r="HT170" t="e">
        <f>'All regions'!B4266+"n/&gt;!(SZ"</f>
        <v>#VALUE!</v>
      </c>
      <c r="HU170" t="e">
        <f>'All regions'!C4266+"n/&gt;!(S["</f>
        <v>#VALUE!</v>
      </c>
      <c r="HV170" t="e">
        <f>'All regions'!D4266+"n/&gt;!(S\"</f>
        <v>#VALUE!</v>
      </c>
      <c r="HW170" t="e">
        <f>'All regions'!E4266+"n/&gt;!(S]"</f>
        <v>#VALUE!</v>
      </c>
      <c r="HX170" t="e">
        <f>'All regions'!F4266+"n/&gt;!(S^"</f>
        <v>#VALUE!</v>
      </c>
      <c r="HY170" t="e">
        <f>'All regions'!G4266+"n/&gt;!(S_"</f>
        <v>#VALUE!</v>
      </c>
      <c r="HZ170" t="e">
        <f>'All regions'!H4266+"n/&gt;!(S`"</f>
        <v>#VALUE!</v>
      </c>
      <c r="IA170" t="e">
        <f>'All regions'!I4266+"n/&gt;!(Sa"</f>
        <v>#VALUE!</v>
      </c>
      <c r="IB170" t="e">
        <f>'All regions'!J4266+"n/&gt;!(Sb"</f>
        <v>#VALUE!</v>
      </c>
      <c r="IC170" t="e">
        <f>'All regions'!A4267+"n/&gt;!(Sc"</f>
        <v>#VALUE!</v>
      </c>
      <c r="ID170" t="e">
        <f>'All regions'!B4267+"n/&gt;!(Sd"</f>
        <v>#VALUE!</v>
      </c>
      <c r="IE170" t="e">
        <f>'All regions'!C4267+"n/&gt;!(Se"</f>
        <v>#VALUE!</v>
      </c>
      <c r="IF170" t="e">
        <f>'All regions'!D4267+"n/&gt;!(Sf"</f>
        <v>#VALUE!</v>
      </c>
      <c r="IG170" t="e">
        <f>'All regions'!E4267+"n/&gt;!(Sg"</f>
        <v>#VALUE!</v>
      </c>
      <c r="IH170" t="e">
        <f>'All regions'!F4267+"n/&gt;!(Sh"</f>
        <v>#VALUE!</v>
      </c>
      <c r="II170" t="e">
        <f>'All regions'!G4267+"n/&gt;!(Si"</f>
        <v>#VALUE!</v>
      </c>
      <c r="IJ170" t="e">
        <f>'All regions'!H4267+"n/&gt;!(Sj"</f>
        <v>#VALUE!</v>
      </c>
      <c r="IK170" t="e">
        <f>'All regions'!I4267+"n/&gt;!(Sk"</f>
        <v>#VALUE!</v>
      </c>
      <c r="IL170" t="e">
        <f>'All regions'!J4267+"n/&gt;!(Sl"</f>
        <v>#VALUE!</v>
      </c>
      <c r="IM170" t="e">
        <f>'All regions'!A4268+"n/&gt;!(Sm"</f>
        <v>#VALUE!</v>
      </c>
      <c r="IN170" t="e">
        <f>'All regions'!B4268+"n/&gt;!(Sn"</f>
        <v>#VALUE!</v>
      </c>
      <c r="IO170" t="e">
        <f>'All regions'!C4268+"n/&gt;!(So"</f>
        <v>#VALUE!</v>
      </c>
      <c r="IP170" t="e">
        <f>'All regions'!D4268+"n/&gt;!(Sp"</f>
        <v>#VALUE!</v>
      </c>
      <c r="IQ170" t="e">
        <f>'All regions'!E4268+"n/&gt;!(Sq"</f>
        <v>#VALUE!</v>
      </c>
      <c r="IR170" t="e">
        <f>'All regions'!F4268+"n/&gt;!(Sr"</f>
        <v>#VALUE!</v>
      </c>
      <c r="IS170" t="e">
        <f>'All regions'!G4268+"n/&gt;!(Ss"</f>
        <v>#VALUE!</v>
      </c>
      <c r="IT170" t="e">
        <f>'All regions'!H4268+"n/&gt;!(St"</f>
        <v>#VALUE!</v>
      </c>
      <c r="IU170" t="e">
        <f>'All regions'!I4268+"n/&gt;!(Su"</f>
        <v>#VALUE!</v>
      </c>
      <c r="IV170" t="e">
        <f>'All regions'!J4268+"n/&gt;!(Sv"</f>
        <v>#VALUE!</v>
      </c>
    </row>
    <row r="171" spans="6:256" x14ac:dyDescent="0.35">
      <c r="F171" t="e">
        <f>'All regions'!A4269+"n/&gt;!(Sw"</f>
        <v>#VALUE!</v>
      </c>
      <c r="G171" t="e">
        <f>'All regions'!B4269+"n/&gt;!(Sx"</f>
        <v>#VALUE!</v>
      </c>
      <c r="H171" t="e">
        <f>'All regions'!C4269+"n/&gt;!(Sy"</f>
        <v>#VALUE!</v>
      </c>
      <c r="I171" t="e">
        <f>'All regions'!D4269+"n/&gt;!(Sz"</f>
        <v>#VALUE!</v>
      </c>
      <c r="J171" t="e">
        <f>'All regions'!E4269+"n/&gt;!(S{"</f>
        <v>#VALUE!</v>
      </c>
      <c r="K171" t="e">
        <f>'All regions'!F4269+"n/&gt;!(S|"</f>
        <v>#VALUE!</v>
      </c>
      <c r="L171" t="e">
        <f>'All regions'!G4269+"n/&gt;!(S}"</f>
        <v>#VALUE!</v>
      </c>
      <c r="M171" t="e">
        <f>'All regions'!H4269+"n/&gt;!(S~"</f>
        <v>#VALUE!</v>
      </c>
      <c r="N171" t="e">
        <f>'All regions'!I4269+"n/&gt;!(T#"</f>
        <v>#VALUE!</v>
      </c>
      <c r="O171" t="e">
        <f>'All regions'!J4269+"n/&gt;!(T$"</f>
        <v>#VALUE!</v>
      </c>
      <c r="P171" t="e">
        <f>'All regions'!A4270+"n/&gt;!(T%"</f>
        <v>#VALUE!</v>
      </c>
      <c r="Q171" t="e">
        <f>'All regions'!B4270+"n/&gt;!(T&amp;"</f>
        <v>#VALUE!</v>
      </c>
      <c r="R171" t="e">
        <f>'All regions'!C4270+"n/&gt;!(T'"</f>
        <v>#VALUE!</v>
      </c>
      <c r="S171" t="e">
        <f>'All regions'!D4270+"n/&gt;!(T("</f>
        <v>#VALUE!</v>
      </c>
      <c r="T171" t="e">
        <f>'All regions'!E4270+"n/&gt;!(T)"</f>
        <v>#VALUE!</v>
      </c>
      <c r="U171" t="e">
        <f>'All regions'!F4270+"n/&gt;!(T."</f>
        <v>#VALUE!</v>
      </c>
      <c r="V171" t="e">
        <f>'All regions'!G4270+"n/&gt;!(T/"</f>
        <v>#VALUE!</v>
      </c>
      <c r="W171" t="e">
        <f>'All regions'!H4270+"n/&gt;!(T0"</f>
        <v>#VALUE!</v>
      </c>
      <c r="X171" t="e">
        <f>'All regions'!I4270+"n/&gt;!(T1"</f>
        <v>#VALUE!</v>
      </c>
      <c r="Y171" t="e">
        <f>'All regions'!J4270+"n/&gt;!(T2"</f>
        <v>#VALUE!</v>
      </c>
      <c r="Z171" t="e">
        <f>'All regions'!A4271+"n/&gt;!(T3"</f>
        <v>#VALUE!</v>
      </c>
      <c r="AA171" t="e">
        <f>'All regions'!B4271+"n/&gt;!(T4"</f>
        <v>#VALUE!</v>
      </c>
      <c r="AB171" t="e">
        <f>'All regions'!C4271+"n/&gt;!(T5"</f>
        <v>#VALUE!</v>
      </c>
      <c r="AC171" t="e">
        <f>'All regions'!D4271+"n/&gt;!(T6"</f>
        <v>#VALUE!</v>
      </c>
      <c r="AD171" t="e">
        <f>'All regions'!E4271+"n/&gt;!(T7"</f>
        <v>#VALUE!</v>
      </c>
      <c r="AE171" t="e">
        <f>'All regions'!F4271+"n/&gt;!(T8"</f>
        <v>#VALUE!</v>
      </c>
      <c r="AF171" t="e">
        <f>'All regions'!G4271+"n/&gt;!(T9"</f>
        <v>#VALUE!</v>
      </c>
      <c r="AG171" t="e">
        <f>'All regions'!H4271+"n/&gt;!(T:"</f>
        <v>#VALUE!</v>
      </c>
      <c r="AH171" t="e">
        <f>'All regions'!I4271+"n/&gt;!(T;"</f>
        <v>#VALUE!</v>
      </c>
      <c r="AI171" t="e">
        <f>'All regions'!J4271+"n/&gt;!(T&lt;"</f>
        <v>#VALUE!</v>
      </c>
      <c r="AJ171" t="e">
        <f>'All regions'!A4272+"n/&gt;!(T="</f>
        <v>#VALUE!</v>
      </c>
      <c r="AK171" t="e">
        <f>'All regions'!B4272+"n/&gt;!(T&gt;"</f>
        <v>#VALUE!</v>
      </c>
      <c r="AL171" t="e">
        <f>'All regions'!C4272+"n/&gt;!(T?"</f>
        <v>#VALUE!</v>
      </c>
      <c r="AM171" t="e">
        <f>'All regions'!D4272+"n/&gt;!(T@"</f>
        <v>#VALUE!</v>
      </c>
      <c r="AN171" t="e">
        <f>'All regions'!E4272+"n/&gt;!(TA"</f>
        <v>#VALUE!</v>
      </c>
      <c r="AO171" t="e">
        <f>'All regions'!F4272+"n/&gt;!(TB"</f>
        <v>#VALUE!</v>
      </c>
      <c r="AP171" t="e">
        <f>'All regions'!G4272+"n/&gt;!(TC"</f>
        <v>#VALUE!</v>
      </c>
      <c r="AQ171" t="e">
        <f>'All regions'!H4272+"n/&gt;!(TD"</f>
        <v>#VALUE!</v>
      </c>
      <c r="AR171" t="e">
        <f>'All regions'!I4272+"n/&gt;!(TE"</f>
        <v>#VALUE!</v>
      </c>
      <c r="AS171" t="e">
        <f>'All regions'!J4272+"n/&gt;!(TF"</f>
        <v>#VALUE!</v>
      </c>
      <c r="AT171" t="e">
        <f>'All regions'!A4273+"n/&gt;!(TG"</f>
        <v>#VALUE!</v>
      </c>
      <c r="AU171" t="e">
        <f>'All regions'!B4273+"n/&gt;!(TH"</f>
        <v>#VALUE!</v>
      </c>
      <c r="AV171" t="e">
        <f>'All regions'!C4273+"n/&gt;!(TI"</f>
        <v>#VALUE!</v>
      </c>
      <c r="AW171" t="e">
        <f>'All regions'!D4273+"n/&gt;!(TJ"</f>
        <v>#VALUE!</v>
      </c>
      <c r="AX171" t="e">
        <f>'All regions'!E4273+"n/&gt;!(TK"</f>
        <v>#VALUE!</v>
      </c>
      <c r="AY171" t="e">
        <f>'All regions'!F4273+"n/&gt;!(TL"</f>
        <v>#VALUE!</v>
      </c>
      <c r="AZ171" t="e">
        <f>'All regions'!G4273+"n/&gt;!(TM"</f>
        <v>#VALUE!</v>
      </c>
      <c r="BA171" t="e">
        <f>'All regions'!H4273+"n/&gt;!(TN"</f>
        <v>#VALUE!</v>
      </c>
      <c r="BB171" t="e">
        <f>'All regions'!I4273+"n/&gt;!(TO"</f>
        <v>#VALUE!</v>
      </c>
      <c r="BC171" t="e">
        <f>'All regions'!J4273+"n/&gt;!(TP"</f>
        <v>#VALUE!</v>
      </c>
      <c r="BD171" t="e">
        <f>'All regions'!A4274+"n/&gt;!(TQ"</f>
        <v>#VALUE!</v>
      </c>
      <c r="BE171" t="e">
        <f>'All regions'!B4274+"n/&gt;!(TR"</f>
        <v>#VALUE!</v>
      </c>
      <c r="BF171" t="e">
        <f>'All regions'!C4274+"n/&gt;!(TS"</f>
        <v>#VALUE!</v>
      </c>
      <c r="BG171" t="e">
        <f>'All regions'!D4274+"n/&gt;!(TT"</f>
        <v>#VALUE!</v>
      </c>
      <c r="BH171" t="e">
        <f>'All regions'!E4274+"n/&gt;!(TU"</f>
        <v>#VALUE!</v>
      </c>
      <c r="BI171" t="e">
        <f>'All regions'!F4274+"n/&gt;!(TV"</f>
        <v>#VALUE!</v>
      </c>
      <c r="BJ171" t="e">
        <f>'All regions'!G4274+"n/&gt;!(TW"</f>
        <v>#VALUE!</v>
      </c>
      <c r="BK171" t="e">
        <f>'All regions'!H4274+"n/&gt;!(TX"</f>
        <v>#VALUE!</v>
      </c>
      <c r="BL171" t="e">
        <f>'All regions'!I4274+"n/&gt;!(TY"</f>
        <v>#VALUE!</v>
      </c>
      <c r="BM171" t="e">
        <f>'All regions'!J4274+"n/&gt;!(TZ"</f>
        <v>#VALUE!</v>
      </c>
      <c r="BN171" t="e">
        <f>'All regions'!A4275+"n/&gt;!(T["</f>
        <v>#VALUE!</v>
      </c>
      <c r="BO171" t="e">
        <f>'All regions'!B4275+"n/&gt;!(T\"</f>
        <v>#VALUE!</v>
      </c>
      <c r="BP171" t="e">
        <f>'All regions'!C4275+"n/&gt;!(T]"</f>
        <v>#VALUE!</v>
      </c>
      <c r="BQ171" t="e">
        <f>'All regions'!D4275+"n/&gt;!(T^"</f>
        <v>#VALUE!</v>
      </c>
      <c r="BR171" t="e">
        <f>'All regions'!E4275+"n/&gt;!(T_"</f>
        <v>#VALUE!</v>
      </c>
      <c r="BS171" t="e">
        <f>'All regions'!F4275+"n/&gt;!(T`"</f>
        <v>#VALUE!</v>
      </c>
      <c r="BT171" t="e">
        <f>'All regions'!G4275+"n/&gt;!(Ta"</f>
        <v>#VALUE!</v>
      </c>
      <c r="BU171" t="e">
        <f>'All regions'!H4275+"n/&gt;!(Tb"</f>
        <v>#VALUE!</v>
      </c>
      <c r="BV171" t="e">
        <f>'All regions'!I4275+"n/&gt;!(Tc"</f>
        <v>#VALUE!</v>
      </c>
      <c r="BW171" t="e">
        <f>'All regions'!J4275+"n/&gt;!(Td"</f>
        <v>#VALUE!</v>
      </c>
      <c r="BX171" t="e">
        <f>'All regions'!A4276+"n/&gt;!(Te"</f>
        <v>#VALUE!</v>
      </c>
      <c r="BY171" t="e">
        <f>'All regions'!B4276+"n/&gt;!(Tf"</f>
        <v>#VALUE!</v>
      </c>
      <c r="BZ171" t="e">
        <f>'All regions'!C4276+"n/&gt;!(Tg"</f>
        <v>#VALUE!</v>
      </c>
      <c r="CA171" t="e">
        <f>'All regions'!D4276+"n/&gt;!(Th"</f>
        <v>#VALUE!</v>
      </c>
      <c r="CB171" t="e">
        <f>'All regions'!E4276+"n/&gt;!(Ti"</f>
        <v>#VALUE!</v>
      </c>
      <c r="CC171" t="e">
        <f>'All regions'!F4276+"n/&gt;!(Tj"</f>
        <v>#VALUE!</v>
      </c>
      <c r="CD171" t="e">
        <f>'All regions'!G4276+"n/&gt;!(Tk"</f>
        <v>#VALUE!</v>
      </c>
      <c r="CE171" t="e">
        <f>'All regions'!H4276+"n/&gt;!(Tl"</f>
        <v>#VALUE!</v>
      </c>
      <c r="CF171" t="e">
        <f>'All regions'!I4276+"n/&gt;!(Tm"</f>
        <v>#VALUE!</v>
      </c>
      <c r="CG171" t="e">
        <f>'All regions'!J4276+"n/&gt;!(Tn"</f>
        <v>#VALUE!</v>
      </c>
      <c r="CH171" t="e">
        <f>'All regions'!A4277+"n/&gt;!(To"</f>
        <v>#VALUE!</v>
      </c>
      <c r="CI171" t="e">
        <f>'All regions'!B4277+"n/&gt;!(Tp"</f>
        <v>#VALUE!</v>
      </c>
      <c r="CJ171" t="e">
        <f>'All regions'!C4277+"n/&gt;!(Tq"</f>
        <v>#VALUE!</v>
      </c>
      <c r="CK171" t="e">
        <f>'All regions'!D4277+"n/&gt;!(Tr"</f>
        <v>#VALUE!</v>
      </c>
      <c r="CL171" t="e">
        <f>'All regions'!E4277+"n/&gt;!(Ts"</f>
        <v>#VALUE!</v>
      </c>
      <c r="CM171" t="e">
        <f>'All regions'!F4277+"n/&gt;!(Tt"</f>
        <v>#VALUE!</v>
      </c>
      <c r="CN171" t="e">
        <f>'All regions'!G4277+"n/&gt;!(Tu"</f>
        <v>#VALUE!</v>
      </c>
      <c r="CO171" t="e">
        <f>'All regions'!H4277+"n/&gt;!(Tv"</f>
        <v>#VALUE!</v>
      </c>
      <c r="CP171" t="e">
        <f>'All regions'!I4277+"n/&gt;!(Tw"</f>
        <v>#VALUE!</v>
      </c>
      <c r="CQ171" t="e">
        <f>'All regions'!J4277+"n/&gt;!(Tx"</f>
        <v>#VALUE!</v>
      </c>
      <c r="CR171" t="e">
        <f>'All regions'!A4278+"n/&gt;!(Ty"</f>
        <v>#VALUE!</v>
      </c>
      <c r="CS171" t="e">
        <f>'All regions'!B4278+"n/&gt;!(Tz"</f>
        <v>#VALUE!</v>
      </c>
      <c r="CT171" t="e">
        <f>'All regions'!C4278+"n/&gt;!(T{"</f>
        <v>#VALUE!</v>
      </c>
      <c r="CU171" t="e">
        <f>'All regions'!D4278+"n/&gt;!(T|"</f>
        <v>#VALUE!</v>
      </c>
      <c r="CV171" t="e">
        <f>'All regions'!E4278+"n/&gt;!(T}"</f>
        <v>#VALUE!</v>
      </c>
      <c r="CW171" t="e">
        <f>'All regions'!F4278+"n/&gt;!(T~"</f>
        <v>#VALUE!</v>
      </c>
      <c r="CX171" t="e">
        <f>'All regions'!G4278+"n/&gt;!(U#"</f>
        <v>#VALUE!</v>
      </c>
      <c r="CY171" t="e">
        <f>'All regions'!H4278+"n/&gt;!(U$"</f>
        <v>#VALUE!</v>
      </c>
      <c r="CZ171" t="e">
        <f>'All regions'!I4278+"n/&gt;!(U%"</f>
        <v>#VALUE!</v>
      </c>
      <c r="DA171" t="e">
        <f>'All regions'!J4278+"n/&gt;!(U&amp;"</f>
        <v>#VALUE!</v>
      </c>
      <c r="DB171" t="e">
        <f>'All regions'!A4279+"n/&gt;!(U'"</f>
        <v>#VALUE!</v>
      </c>
      <c r="DC171" t="e">
        <f>'All regions'!B4279+"n/&gt;!(U("</f>
        <v>#VALUE!</v>
      </c>
      <c r="DD171" t="e">
        <f>'All regions'!C4279+"n/&gt;!(U)"</f>
        <v>#VALUE!</v>
      </c>
      <c r="DE171" t="e">
        <f>'All regions'!D4279+"n/&gt;!(U."</f>
        <v>#VALUE!</v>
      </c>
      <c r="DF171" t="e">
        <f>'All regions'!E4279+"n/&gt;!(U/"</f>
        <v>#VALUE!</v>
      </c>
      <c r="DG171" t="e">
        <f>'All regions'!F4279+"n/&gt;!(U0"</f>
        <v>#VALUE!</v>
      </c>
      <c r="DH171" t="e">
        <f>'All regions'!G4279+"n/&gt;!(U1"</f>
        <v>#VALUE!</v>
      </c>
      <c r="DI171" t="e">
        <f>'All regions'!H4279+"n/&gt;!(U2"</f>
        <v>#VALUE!</v>
      </c>
      <c r="DJ171" t="e">
        <f>'All regions'!I4279+"n/&gt;!(U3"</f>
        <v>#VALUE!</v>
      </c>
      <c r="DK171" t="e">
        <f>'All regions'!J4279+"n/&gt;!(U4"</f>
        <v>#VALUE!</v>
      </c>
      <c r="DL171" t="e">
        <f>'All regions'!A4280+"n/&gt;!(U5"</f>
        <v>#VALUE!</v>
      </c>
      <c r="DM171" t="e">
        <f>'All regions'!B4280+"n/&gt;!(U6"</f>
        <v>#VALUE!</v>
      </c>
      <c r="DN171" t="e">
        <f>'All regions'!C4280+"n/&gt;!(U7"</f>
        <v>#VALUE!</v>
      </c>
      <c r="DO171" t="e">
        <f>'All regions'!D4280+"n/&gt;!(U8"</f>
        <v>#VALUE!</v>
      </c>
      <c r="DP171" t="e">
        <f>'All regions'!E4280+"n/&gt;!(U9"</f>
        <v>#VALUE!</v>
      </c>
      <c r="DQ171" t="e">
        <f>'All regions'!F4280+"n/&gt;!(U:"</f>
        <v>#VALUE!</v>
      </c>
      <c r="DR171" t="e">
        <f>'All regions'!G4280+"n/&gt;!(U;"</f>
        <v>#VALUE!</v>
      </c>
      <c r="DS171" t="e">
        <f>'All regions'!H4280+"n/&gt;!(U&lt;"</f>
        <v>#VALUE!</v>
      </c>
      <c r="DT171" t="e">
        <f>'All regions'!I4280+"n/&gt;!(U="</f>
        <v>#VALUE!</v>
      </c>
      <c r="DU171" t="e">
        <f>'All regions'!J4280+"n/&gt;!(U&gt;"</f>
        <v>#VALUE!</v>
      </c>
      <c r="DV171" t="e">
        <f>'All regions'!A4281+"n/&gt;!(U?"</f>
        <v>#VALUE!</v>
      </c>
      <c r="DW171" t="e">
        <f>'All regions'!B4281+"n/&gt;!(U@"</f>
        <v>#VALUE!</v>
      </c>
      <c r="DX171" t="e">
        <f>'All regions'!C4281+"n/&gt;!(UA"</f>
        <v>#VALUE!</v>
      </c>
      <c r="DY171" t="e">
        <f>'All regions'!D4281+"n/&gt;!(UB"</f>
        <v>#VALUE!</v>
      </c>
      <c r="DZ171" t="e">
        <f>'All regions'!E4281+"n/&gt;!(UC"</f>
        <v>#VALUE!</v>
      </c>
      <c r="EA171" t="e">
        <f>'All regions'!F4281+"n/&gt;!(UD"</f>
        <v>#VALUE!</v>
      </c>
      <c r="EB171" t="e">
        <f>'All regions'!G4281+"n/&gt;!(UE"</f>
        <v>#VALUE!</v>
      </c>
      <c r="EC171" t="e">
        <f>'All regions'!H4281+"n/&gt;!(UF"</f>
        <v>#VALUE!</v>
      </c>
      <c r="ED171" t="e">
        <f>'All regions'!I4281+"n/&gt;!(UG"</f>
        <v>#VALUE!</v>
      </c>
      <c r="EE171" t="e">
        <f>'All regions'!J4281+"n/&gt;!(UH"</f>
        <v>#VALUE!</v>
      </c>
      <c r="EF171" t="e">
        <f>'All regions'!A4282+"n/&gt;!(UI"</f>
        <v>#VALUE!</v>
      </c>
      <c r="EG171" t="e">
        <f>'All regions'!B4282+"n/&gt;!(UJ"</f>
        <v>#VALUE!</v>
      </c>
      <c r="EH171" t="e">
        <f>'All regions'!C4282+"n/&gt;!(UK"</f>
        <v>#VALUE!</v>
      </c>
      <c r="EI171" t="e">
        <f>'All regions'!D4282+"n/&gt;!(UL"</f>
        <v>#VALUE!</v>
      </c>
      <c r="EJ171" t="e">
        <f>'All regions'!E4282+"n/&gt;!(UM"</f>
        <v>#VALUE!</v>
      </c>
      <c r="EK171" t="e">
        <f>'All regions'!F4282+"n/&gt;!(UN"</f>
        <v>#VALUE!</v>
      </c>
      <c r="EL171" t="e">
        <f>'All regions'!G4282+"n/&gt;!(UO"</f>
        <v>#VALUE!</v>
      </c>
      <c r="EM171" t="e">
        <f>'All regions'!H4282+"n/&gt;!(UP"</f>
        <v>#VALUE!</v>
      </c>
      <c r="EN171" t="e">
        <f>'All regions'!I4282+"n/&gt;!(UQ"</f>
        <v>#VALUE!</v>
      </c>
      <c r="EO171" t="e">
        <f>'All regions'!J4282+"n/&gt;!(UR"</f>
        <v>#VALUE!</v>
      </c>
      <c r="EP171" t="e">
        <f>'All regions'!A4283+"n/&gt;!(US"</f>
        <v>#VALUE!</v>
      </c>
      <c r="EQ171" t="e">
        <f>'All regions'!B4283+"n/&gt;!(UT"</f>
        <v>#VALUE!</v>
      </c>
      <c r="ER171" t="e">
        <f>'All regions'!C4283+"n/&gt;!(UU"</f>
        <v>#VALUE!</v>
      </c>
      <c r="ES171" t="e">
        <f>'All regions'!D4283+"n/&gt;!(UV"</f>
        <v>#VALUE!</v>
      </c>
      <c r="ET171" t="e">
        <f>'All regions'!E4283+"n/&gt;!(UW"</f>
        <v>#VALUE!</v>
      </c>
      <c r="EU171" t="e">
        <f>'All regions'!F4283+"n/&gt;!(UX"</f>
        <v>#VALUE!</v>
      </c>
      <c r="EV171" t="e">
        <f>'All regions'!G4283+"n/&gt;!(UY"</f>
        <v>#VALUE!</v>
      </c>
      <c r="EW171" t="e">
        <f>'All regions'!H4283+"n/&gt;!(UZ"</f>
        <v>#VALUE!</v>
      </c>
      <c r="EX171" t="e">
        <f>'All regions'!I4283+"n/&gt;!(U["</f>
        <v>#VALUE!</v>
      </c>
      <c r="EY171" t="e">
        <f>'All regions'!J4283+"n/&gt;!(U\"</f>
        <v>#VALUE!</v>
      </c>
      <c r="EZ171" t="e">
        <f>'All regions'!A4284+"n/&gt;!(U]"</f>
        <v>#VALUE!</v>
      </c>
      <c r="FA171" t="e">
        <f>'All regions'!B4284+"n/&gt;!(U^"</f>
        <v>#VALUE!</v>
      </c>
      <c r="FB171" t="e">
        <f>'All regions'!C4284+"n/&gt;!(U_"</f>
        <v>#VALUE!</v>
      </c>
      <c r="FC171" t="e">
        <f>'All regions'!D4284+"n/&gt;!(U`"</f>
        <v>#VALUE!</v>
      </c>
      <c r="FD171" t="e">
        <f>'All regions'!E4284+"n/&gt;!(Ua"</f>
        <v>#VALUE!</v>
      </c>
      <c r="FE171" t="e">
        <f>'All regions'!F4284+"n/&gt;!(Ub"</f>
        <v>#VALUE!</v>
      </c>
      <c r="FF171" t="e">
        <f>'All regions'!G4284+"n/&gt;!(Uc"</f>
        <v>#VALUE!</v>
      </c>
      <c r="FG171" t="e">
        <f>'All regions'!H4284+"n/&gt;!(Ud"</f>
        <v>#VALUE!</v>
      </c>
      <c r="FH171" t="e">
        <f>'All regions'!I4284+"n/&gt;!(Ue"</f>
        <v>#VALUE!</v>
      </c>
      <c r="FI171" t="e">
        <f>'All regions'!J4284+"n/&gt;!(Uf"</f>
        <v>#VALUE!</v>
      </c>
      <c r="FJ171" t="e">
        <f>'All regions'!A4285+"n/&gt;!(Ug"</f>
        <v>#VALUE!</v>
      </c>
      <c r="FK171" t="e">
        <f>'All regions'!B4285+"n/&gt;!(Uh"</f>
        <v>#VALUE!</v>
      </c>
      <c r="FL171" t="e">
        <f>'All regions'!C4285+"n/&gt;!(Ui"</f>
        <v>#VALUE!</v>
      </c>
      <c r="FM171" t="e">
        <f>'All regions'!D4285+"n/&gt;!(Uj"</f>
        <v>#VALUE!</v>
      </c>
      <c r="FN171" t="e">
        <f>'All regions'!E4285+"n/&gt;!(Uk"</f>
        <v>#VALUE!</v>
      </c>
      <c r="FO171" t="e">
        <f>'All regions'!F4285+"n/&gt;!(Ul"</f>
        <v>#VALUE!</v>
      </c>
      <c r="FP171" t="e">
        <f>'All regions'!G4285+"n/&gt;!(Um"</f>
        <v>#VALUE!</v>
      </c>
      <c r="FQ171" t="e">
        <f>'All regions'!H4285+"n/&gt;!(Un"</f>
        <v>#VALUE!</v>
      </c>
      <c r="FR171" t="e">
        <f>'All regions'!I4285+"n/&gt;!(Uo"</f>
        <v>#VALUE!</v>
      </c>
      <c r="FS171" t="e">
        <f>'All regions'!J4285+"n/&gt;!(Up"</f>
        <v>#VALUE!</v>
      </c>
      <c r="FT171" t="e">
        <f>'All regions'!A4286+"n/&gt;!(Uq"</f>
        <v>#VALUE!</v>
      </c>
      <c r="FU171" t="e">
        <f>'All regions'!B4286+"n/&gt;!(Ur"</f>
        <v>#VALUE!</v>
      </c>
      <c r="FV171" t="e">
        <f>'All regions'!C4286+"n/&gt;!(Us"</f>
        <v>#VALUE!</v>
      </c>
      <c r="FW171" t="e">
        <f>'All regions'!D4286+"n/&gt;!(Ut"</f>
        <v>#VALUE!</v>
      </c>
      <c r="FX171" t="e">
        <f>'All regions'!E4286+"n/&gt;!(Uu"</f>
        <v>#VALUE!</v>
      </c>
      <c r="FY171" t="e">
        <f>'All regions'!F4286+"n/&gt;!(Uv"</f>
        <v>#VALUE!</v>
      </c>
      <c r="FZ171" t="e">
        <f>'All regions'!G4286+"n/&gt;!(Uw"</f>
        <v>#VALUE!</v>
      </c>
      <c r="GA171" t="e">
        <f>'All regions'!H4286+"n/&gt;!(Ux"</f>
        <v>#VALUE!</v>
      </c>
      <c r="GB171" t="e">
        <f>'All regions'!I4286+"n/&gt;!(Uy"</f>
        <v>#VALUE!</v>
      </c>
      <c r="GC171" t="e">
        <f>'All regions'!J4286+"n/&gt;!(Uz"</f>
        <v>#VALUE!</v>
      </c>
      <c r="GD171" t="e">
        <f>'All regions'!A4287+"n/&gt;!(U{"</f>
        <v>#VALUE!</v>
      </c>
      <c r="GE171" t="e">
        <f>'All regions'!B4287+"n/&gt;!(U|"</f>
        <v>#VALUE!</v>
      </c>
      <c r="GF171" t="e">
        <f>'All regions'!C4287+"n/&gt;!(U}"</f>
        <v>#VALUE!</v>
      </c>
      <c r="GG171" t="e">
        <f>'All regions'!D4287+"n/&gt;!(U~"</f>
        <v>#VALUE!</v>
      </c>
      <c r="GH171" t="e">
        <f>'All regions'!E4287+"n/&gt;!(V#"</f>
        <v>#VALUE!</v>
      </c>
      <c r="GI171" t="e">
        <f>'All regions'!F4287+"n/&gt;!(V$"</f>
        <v>#VALUE!</v>
      </c>
      <c r="GJ171" t="e">
        <f>'All regions'!G4287+"n/&gt;!(V%"</f>
        <v>#VALUE!</v>
      </c>
      <c r="GK171" t="e">
        <f>'All regions'!H4287+"n/&gt;!(V&amp;"</f>
        <v>#VALUE!</v>
      </c>
      <c r="GL171" t="e">
        <f>'All regions'!I4287+"n/&gt;!(V'"</f>
        <v>#VALUE!</v>
      </c>
      <c r="GM171" t="e">
        <f>'All regions'!J4287+"n/&gt;!(V("</f>
        <v>#VALUE!</v>
      </c>
      <c r="GN171" t="e">
        <f>'All regions'!A4288+"n/&gt;!(V)"</f>
        <v>#VALUE!</v>
      </c>
      <c r="GO171" t="e">
        <f>'All regions'!B4288+"n/&gt;!(V."</f>
        <v>#VALUE!</v>
      </c>
      <c r="GP171" t="e">
        <f>'All regions'!C4288+"n/&gt;!(V/"</f>
        <v>#VALUE!</v>
      </c>
      <c r="GQ171" t="e">
        <f>'All regions'!D4288+"n/&gt;!(V0"</f>
        <v>#VALUE!</v>
      </c>
      <c r="GR171" t="e">
        <f>'All regions'!E4288+"n/&gt;!(V1"</f>
        <v>#VALUE!</v>
      </c>
      <c r="GS171" t="e">
        <f>'All regions'!F4288+"n/&gt;!(V2"</f>
        <v>#VALUE!</v>
      </c>
      <c r="GT171" t="e">
        <f>'All regions'!G4288+"n/&gt;!(V3"</f>
        <v>#VALUE!</v>
      </c>
      <c r="GU171" t="e">
        <f>'All regions'!H4288+"n/&gt;!(V4"</f>
        <v>#VALUE!</v>
      </c>
      <c r="GV171" t="e">
        <f>'All regions'!I4288+"n/&gt;!(V5"</f>
        <v>#VALUE!</v>
      </c>
      <c r="GW171" t="e">
        <f>'All regions'!J4288+"n/&gt;!(V6"</f>
        <v>#VALUE!</v>
      </c>
      <c r="GX171" t="e">
        <f>'All regions'!A4289+"n/&gt;!(V7"</f>
        <v>#VALUE!</v>
      </c>
      <c r="GY171" t="e">
        <f>'All regions'!B4289+"n/&gt;!(V8"</f>
        <v>#VALUE!</v>
      </c>
      <c r="GZ171" t="e">
        <f>'All regions'!C4289+"n/&gt;!(V9"</f>
        <v>#VALUE!</v>
      </c>
      <c r="HA171" t="e">
        <f>'All regions'!D4289+"n/&gt;!(V:"</f>
        <v>#VALUE!</v>
      </c>
      <c r="HB171" t="e">
        <f>'All regions'!E4289+"n/&gt;!(V;"</f>
        <v>#VALUE!</v>
      </c>
      <c r="HC171" t="e">
        <f>'All regions'!F4289+"n/&gt;!(V&lt;"</f>
        <v>#VALUE!</v>
      </c>
      <c r="HD171" t="e">
        <f>'All regions'!G4289+"n/&gt;!(V="</f>
        <v>#VALUE!</v>
      </c>
      <c r="HE171" t="e">
        <f>'All regions'!H4289+"n/&gt;!(V&gt;"</f>
        <v>#VALUE!</v>
      </c>
      <c r="HF171" t="e">
        <f>'All regions'!I4289+"n/&gt;!(V?"</f>
        <v>#VALUE!</v>
      </c>
      <c r="HG171" t="e">
        <f>'All regions'!J4289+"n/&gt;!(V@"</f>
        <v>#VALUE!</v>
      </c>
      <c r="HH171" t="e">
        <f>'All regions'!A4290+"n/&gt;!(VA"</f>
        <v>#VALUE!</v>
      </c>
      <c r="HI171" t="e">
        <f>'All regions'!B4290+"n/&gt;!(VB"</f>
        <v>#VALUE!</v>
      </c>
      <c r="HJ171" t="e">
        <f>'All regions'!C4290+"n/&gt;!(VC"</f>
        <v>#VALUE!</v>
      </c>
      <c r="HK171" t="e">
        <f>'All regions'!D4290+"n/&gt;!(VD"</f>
        <v>#VALUE!</v>
      </c>
      <c r="HL171" t="e">
        <f>'All regions'!E4290+"n/&gt;!(VE"</f>
        <v>#VALUE!</v>
      </c>
      <c r="HM171" t="e">
        <f>'All regions'!F4290+"n/&gt;!(VF"</f>
        <v>#VALUE!</v>
      </c>
      <c r="HN171" t="e">
        <f>'All regions'!G4290+"n/&gt;!(VG"</f>
        <v>#VALUE!</v>
      </c>
      <c r="HO171" t="e">
        <f>'All regions'!H4290+"n/&gt;!(VH"</f>
        <v>#VALUE!</v>
      </c>
      <c r="HP171" t="e">
        <f>'All regions'!I4290+"n/&gt;!(VI"</f>
        <v>#VALUE!</v>
      </c>
      <c r="HQ171" t="e">
        <f>'All regions'!J4290+"n/&gt;!(VJ"</f>
        <v>#VALUE!</v>
      </c>
      <c r="HR171" t="e">
        <f>'All regions'!A4291+"n/&gt;!(VK"</f>
        <v>#VALUE!</v>
      </c>
      <c r="HS171" t="e">
        <f>'All regions'!B4291+"n/&gt;!(VL"</f>
        <v>#VALUE!</v>
      </c>
      <c r="HT171" t="e">
        <f>'All regions'!C4291+"n/&gt;!(VM"</f>
        <v>#VALUE!</v>
      </c>
      <c r="HU171" t="e">
        <f>'All regions'!D4291+"n/&gt;!(VN"</f>
        <v>#VALUE!</v>
      </c>
      <c r="HV171" t="e">
        <f>'All regions'!E4291+"n/&gt;!(VO"</f>
        <v>#VALUE!</v>
      </c>
      <c r="HW171" t="e">
        <f>'All regions'!F4291+"n/&gt;!(VP"</f>
        <v>#VALUE!</v>
      </c>
      <c r="HX171" t="e">
        <f>'All regions'!G4291+"n/&gt;!(VQ"</f>
        <v>#VALUE!</v>
      </c>
      <c r="HY171" t="e">
        <f>'All regions'!H4291+"n/&gt;!(VR"</f>
        <v>#VALUE!</v>
      </c>
      <c r="HZ171" t="e">
        <f>'All regions'!I4291+"n/&gt;!(VS"</f>
        <v>#VALUE!</v>
      </c>
      <c r="IA171" t="e">
        <f>'All regions'!J4291+"n/&gt;!(VT"</f>
        <v>#VALUE!</v>
      </c>
      <c r="IB171" t="e">
        <f>'All regions'!A4292+"n/&gt;!(VU"</f>
        <v>#VALUE!</v>
      </c>
      <c r="IC171" t="e">
        <f>'All regions'!B4292+"n/&gt;!(VV"</f>
        <v>#VALUE!</v>
      </c>
      <c r="ID171" t="e">
        <f>'All regions'!C4292+"n/&gt;!(VW"</f>
        <v>#VALUE!</v>
      </c>
      <c r="IE171" t="e">
        <f>'All regions'!D4292+"n/&gt;!(VX"</f>
        <v>#VALUE!</v>
      </c>
      <c r="IF171" t="e">
        <f>'All regions'!E4292+"n/&gt;!(VY"</f>
        <v>#VALUE!</v>
      </c>
      <c r="IG171" t="e">
        <f>'All regions'!F4292+"n/&gt;!(VZ"</f>
        <v>#VALUE!</v>
      </c>
      <c r="IH171" t="e">
        <f>'All regions'!G4292+"n/&gt;!(V["</f>
        <v>#VALUE!</v>
      </c>
      <c r="II171" t="e">
        <f>'All regions'!H4292+"n/&gt;!(V\"</f>
        <v>#VALUE!</v>
      </c>
      <c r="IJ171" t="e">
        <f>'All regions'!I4292+"n/&gt;!(V]"</f>
        <v>#VALUE!</v>
      </c>
      <c r="IK171" t="e">
        <f>'All regions'!J4292+"n/&gt;!(V^"</f>
        <v>#VALUE!</v>
      </c>
      <c r="IL171" t="e">
        <f>'All regions'!A4293+"n/&gt;!(V_"</f>
        <v>#VALUE!</v>
      </c>
      <c r="IM171" t="e">
        <f>'All regions'!B4293+"n/&gt;!(V`"</f>
        <v>#VALUE!</v>
      </c>
      <c r="IN171" t="e">
        <f>'All regions'!C4293+"n/&gt;!(Va"</f>
        <v>#VALUE!</v>
      </c>
      <c r="IO171" t="e">
        <f>'All regions'!D4293+"n/&gt;!(Vb"</f>
        <v>#VALUE!</v>
      </c>
      <c r="IP171" t="e">
        <f>'All regions'!E4293+"n/&gt;!(Vc"</f>
        <v>#VALUE!</v>
      </c>
      <c r="IQ171" t="e">
        <f>'All regions'!F4293+"n/&gt;!(Vd"</f>
        <v>#VALUE!</v>
      </c>
      <c r="IR171" t="e">
        <f>'All regions'!G4293+"n/&gt;!(Ve"</f>
        <v>#VALUE!</v>
      </c>
      <c r="IS171" t="e">
        <f>'All regions'!H4293+"n/&gt;!(Vf"</f>
        <v>#VALUE!</v>
      </c>
      <c r="IT171" t="e">
        <f>'All regions'!I4293+"n/&gt;!(Vg"</f>
        <v>#VALUE!</v>
      </c>
      <c r="IU171" t="e">
        <f>'All regions'!J4293+"n/&gt;!(Vh"</f>
        <v>#VALUE!</v>
      </c>
      <c r="IV171" t="e">
        <f>'All regions'!A4294+"n/&gt;!(Vi"</f>
        <v>#VALUE!</v>
      </c>
    </row>
    <row r="172" spans="6:256" x14ac:dyDescent="0.35">
      <c r="F172" t="e">
        <f>'All regions'!B4294+"n/&gt;!(Vj"</f>
        <v>#VALUE!</v>
      </c>
      <c r="G172" t="e">
        <f>'All regions'!C4294+"n/&gt;!(Vk"</f>
        <v>#VALUE!</v>
      </c>
      <c r="H172" t="e">
        <f>'All regions'!D4294+"n/&gt;!(Vl"</f>
        <v>#VALUE!</v>
      </c>
      <c r="I172" t="e">
        <f>'All regions'!E4294+"n/&gt;!(Vm"</f>
        <v>#VALUE!</v>
      </c>
      <c r="J172" t="e">
        <f>'All regions'!F4294+"n/&gt;!(Vn"</f>
        <v>#VALUE!</v>
      </c>
      <c r="K172" t="e">
        <f>'All regions'!G4294+"n/&gt;!(Vo"</f>
        <v>#VALUE!</v>
      </c>
      <c r="L172" t="e">
        <f>'All regions'!H4294+"n/&gt;!(Vp"</f>
        <v>#VALUE!</v>
      </c>
      <c r="M172" t="e">
        <f>'All regions'!I4294+"n/&gt;!(Vq"</f>
        <v>#VALUE!</v>
      </c>
      <c r="N172" t="e">
        <f>'All regions'!J4294+"n/&gt;!(Vr"</f>
        <v>#VALUE!</v>
      </c>
      <c r="O172" t="e">
        <f>'All regions'!A4295+"n/&gt;!(Vs"</f>
        <v>#VALUE!</v>
      </c>
      <c r="P172" t="e">
        <f>'All regions'!B4295+"n/&gt;!(Vt"</f>
        <v>#VALUE!</v>
      </c>
      <c r="Q172" t="e">
        <f>'All regions'!C4295+"n/&gt;!(Vu"</f>
        <v>#VALUE!</v>
      </c>
      <c r="R172" t="e">
        <f>'All regions'!D4295+"n/&gt;!(Vv"</f>
        <v>#VALUE!</v>
      </c>
      <c r="S172" t="e">
        <f>'All regions'!E4295+"n/&gt;!(Vw"</f>
        <v>#VALUE!</v>
      </c>
      <c r="T172" t="e">
        <f>'All regions'!F4295+"n/&gt;!(Vx"</f>
        <v>#VALUE!</v>
      </c>
      <c r="U172" t="e">
        <f>'All regions'!G4295+"n/&gt;!(Vy"</f>
        <v>#VALUE!</v>
      </c>
      <c r="V172" t="e">
        <f>'All regions'!H4295+"n/&gt;!(Vz"</f>
        <v>#VALUE!</v>
      </c>
      <c r="W172" t="e">
        <f>'All regions'!I4295+"n/&gt;!(V{"</f>
        <v>#VALUE!</v>
      </c>
      <c r="X172" t="e">
        <f>'All regions'!J4295+"n/&gt;!(V|"</f>
        <v>#VALUE!</v>
      </c>
      <c r="Y172" t="e">
        <f>'All regions'!A4296+"n/&gt;!(V}"</f>
        <v>#VALUE!</v>
      </c>
      <c r="Z172" t="e">
        <f>'All regions'!B4296+"n/&gt;!(V~"</f>
        <v>#VALUE!</v>
      </c>
      <c r="AA172" t="e">
        <f>'All regions'!C4296+"n/&gt;!(W#"</f>
        <v>#VALUE!</v>
      </c>
      <c r="AB172" t="e">
        <f>'All regions'!D4296+"n/&gt;!(W$"</f>
        <v>#VALUE!</v>
      </c>
      <c r="AC172" t="e">
        <f>'All regions'!E4296+"n/&gt;!(W%"</f>
        <v>#VALUE!</v>
      </c>
      <c r="AD172" t="e">
        <f>'All regions'!F4296+"n/&gt;!(W&amp;"</f>
        <v>#VALUE!</v>
      </c>
      <c r="AE172" t="e">
        <f>'All regions'!G4296+"n/&gt;!(W'"</f>
        <v>#VALUE!</v>
      </c>
      <c r="AF172" t="e">
        <f>'All regions'!H4296+"n/&gt;!(W("</f>
        <v>#VALUE!</v>
      </c>
      <c r="AG172" t="e">
        <f>'All regions'!I4296+"n/&gt;!(W)"</f>
        <v>#VALUE!</v>
      </c>
      <c r="AH172" t="e">
        <f>'All regions'!J4296+"n/&gt;!(W."</f>
        <v>#VALUE!</v>
      </c>
      <c r="AI172" t="e">
        <f>'All regions'!A4297+"n/&gt;!(W/"</f>
        <v>#VALUE!</v>
      </c>
      <c r="AJ172" t="e">
        <f>'All regions'!B4297+"n/&gt;!(W0"</f>
        <v>#VALUE!</v>
      </c>
      <c r="AK172" t="e">
        <f>'All regions'!C4297+"n/&gt;!(W1"</f>
        <v>#VALUE!</v>
      </c>
      <c r="AL172" t="e">
        <f>'All regions'!D4297+"n/&gt;!(W2"</f>
        <v>#VALUE!</v>
      </c>
      <c r="AM172" t="e">
        <f>'All regions'!E4297+"n/&gt;!(W3"</f>
        <v>#VALUE!</v>
      </c>
      <c r="AN172" t="e">
        <f>'All regions'!F4297+"n/&gt;!(W4"</f>
        <v>#VALUE!</v>
      </c>
      <c r="AO172" t="e">
        <f>'All regions'!G4297+"n/&gt;!(W5"</f>
        <v>#VALUE!</v>
      </c>
      <c r="AP172" t="e">
        <f>'All regions'!H4297+"n/&gt;!(W6"</f>
        <v>#VALUE!</v>
      </c>
      <c r="AQ172" t="e">
        <f>'All regions'!I4297+"n/&gt;!(W7"</f>
        <v>#VALUE!</v>
      </c>
      <c r="AR172" t="e">
        <f>'All regions'!J4297+"n/&gt;!(W8"</f>
        <v>#VALUE!</v>
      </c>
      <c r="AS172" t="e">
        <f>'All regions'!A4298+"n/&gt;!(W9"</f>
        <v>#VALUE!</v>
      </c>
      <c r="AT172" t="e">
        <f>'All regions'!B4298+"n/&gt;!(W:"</f>
        <v>#VALUE!</v>
      </c>
      <c r="AU172" t="e">
        <f>'All regions'!C4298+"n/&gt;!(W;"</f>
        <v>#VALUE!</v>
      </c>
      <c r="AV172" t="e">
        <f>'All regions'!D4298+"n/&gt;!(W&lt;"</f>
        <v>#VALUE!</v>
      </c>
      <c r="AW172" t="e">
        <f>'All regions'!E4298+"n/&gt;!(W="</f>
        <v>#VALUE!</v>
      </c>
      <c r="AX172" t="e">
        <f>'All regions'!F4298+"n/&gt;!(W&gt;"</f>
        <v>#VALUE!</v>
      </c>
      <c r="AY172" t="e">
        <f>'All regions'!G4298+"n/&gt;!(W?"</f>
        <v>#VALUE!</v>
      </c>
      <c r="AZ172" t="e">
        <f>'All regions'!H4298+"n/&gt;!(W@"</f>
        <v>#VALUE!</v>
      </c>
      <c r="BA172" t="e">
        <f>'All regions'!I4298+"n/&gt;!(WA"</f>
        <v>#VALUE!</v>
      </c>
      <c r="BB172" t="e">
        <f>'All regions'!J4298+"n/&gt;!(WB"</f>
        <v>#VALUE!</v>
      </c>
      <c r="BC172" t="e">
        <f>'All regions'!A4299+"n/&gt;!(WC"</f>
        <v>#VALUE!</v>
      </c>
      <c r="BD172" t="e">
        <f>'All regions'!B4299+"n/&gt;!(WD"</f>
        <v>#VALUE!</v>
      </c>
      <c r="BE172" t="e">
        <f>'All regions'!C4299+"n/&gt;!(WE"</f>
        <v>#VALUE!</v>
      </c>
      <c r="BF172" t="e">
        <f>'All regions'!D4299+"n/&gt;!(WF"</f>
        <v>#VALUE!</v>
      </c>
      <c r="BG172" t="e">
        <f>'All regions'!E4299+"n/&gt;!(WG"</f>
        <v>#VALUE!</v>
      </c>
      <c r="BH172" t="e">
        <f>'All regions'!F4299+"n/&gt;!(WH"</f>
        <v>#VALUE!</v>
      </c>
      <c r="BI172" t="e">
        <f>'All regions'!G4299+"n/&gt;!(WI"</f>
        <v>#VALUE!</v>
      </c>
      <c r="BJ172" t="e">
        <f>'All regions'!H4299+"n/&gt;!(WJ"</f>
        <v>#VALUE!</v>
      </c>
      <c r="BK172" t="e">
        <f>'All regions'!I4299+"n/&gt;!(WK"</f>
        <v>#VALUE!</v>
      </c>
      <c r="BL172" t="e">
        <f>'All regions'!J4299+"n/&gt;!(WL"</f>
        <v>#VALUE!</v>
      </c>
      <c r="BM172" t="e">
        <f>'All regions'!A4300+"n/&gt;!(WM"</f>
        <v>#VALUE!</v>
      </c>
      <c r="BN172" t="e">
        <f>'All regions'!B4300+"n/&gt;!(WN"</f>
        <v>#VALUE!</v>
      </c>
      <c r="BO172" t="e">
        <f>'All regions'!C4300+"n/&gt;!(WO"</f>
        <v>#VALUE!</v>
      </c>
      <c r="BP172" t="e">
        <f>'All regions'!D4300+"n/&gt;!(WP"</f>
        <v>#VALUE!</v>
      </c>
      <c r="BQ172" t="e">
        <f>'All regions'!E4300+"n/&gt;!(WQ"</f>
        <v>#VALUE!</v>
      </c>
      <c r="BR172" t="e">
        <f>'All regions'!F4300+"n/&gt;!(WR"</f>
        <v>#VALUE!</v>
      </c>
      <c r="BS172" t="e">
        <f>'All regions'!G4300+"n/&gt;!(WS"</f>
        <v>#VALUE!</v>
      </c>
      <c r="BT172" t="e">
        <f>'All regions'!H4300+"n/&gt;!(WT"</f>
        <v>#VALUE!</v>
      </c>
      <c r="BU172" t="e">
        <f>'All regions'!I4300+"n/&gt;!(WU"</f>
        <v>#VALUE!</v>
      </c>
      <c r="BV172" t="e">
        <f>'All regions'!J4300+"n/&gt;!(WV"</f>
        <v>#VALUE!</v>
      </c>
      <c r="BW172" t="e">
        <f>'All regions'!A4301+"n/&gt;!(WW"</f>
        <v>#VALUE!</v>
      </c>
      <c r="BX172" t="e">
        <f>'All regions'!B4301+"n/&gt;!(WX"</f>
        <v>#VALUE!</v>
      </c>
      <c r="BY172" t="e">
        <f>'All regions'!C4301+"n/&gt;!(WY"</f>
        <v>#VALUE!</v>
      </c>
      <c r="BZ172" t="e">
        <f>'All regions'!D4301+"n/&gt;!(WZ"</f>
        <v>#VALUE!</v>
      </c>
      <c r="CA172" t="e">
        <f>'All regions'!E4301+"n/&gt;!(W["</f>
        <v>#VALUE!</v>
      </c>
      <c r="CB172" t="e">
        <f>'All regions'!F4301+"n/&gt;!(W\"</f>
        <v>#VALUE!</v>
      </c>
      <c r="CC172" t="e">
        <f>'All regions'!G4301+"n/&gt;!(W]"</f>
        <v>#VALUE!</v>
      </c>
      <c r="CD172" t="e">
        <f>'All regions'!H4301+"n/&gt;!(W^"</f>
        <v>#VALUE!</v>
      </c>
      <c r="CE172" t="e">
        <f>'All regions'!I4301+"n/&gt;!(W_"</f>
        <v>#VALUE!</v>
      </c>
      <c r="CF172" t="e">
        <f>'All regions'!J4301+"n/&gt;!(W`"</f>
        <v>#VALUE!</v>
      </c>
      <c r="CG172" t="e">
        <f>'All regions'!A4302+"n/&gt;!(Wa"</f>
        <v>#VALUE!</v>
      </c>
      <c r="CH172" t="e">
        <f>'All regions'!B4302+"n/&gt;!(Wb"</f>
        <v>#VALUE!</v>
      </c>
      <c r="CI172" t="e">
        <f>'All regions'!C4302+"n/&gt;!(Wc"</f>
        <v>#VALUE!</v>
      </c>
      <c r="CJ172" t="e">
        <f>'All regions'!D4302+"n/&gt;!(Wd"</f>
        <v>#VALUE!</v>
      </c>
      <c r="CK172" t="e">
        <f>'All regions'!E4302+"n/&gt;!(We"</f>
        <v>#VALUE!</v>
      </c>
      <c r="CL172" t="e">
        <f>'All regions'!F4302+"n/&gt;!(Wf"</f>
        <v>#VALUE!</v>
      </c>
      <c r="CM172" t="e">
        <f>'All regions'!G4302+"n/&gt;!(Wg"</f>
        <v>#VALUE!</v>
      </c>
      <c r="CN172" t="e">
        <f>'All regions'!H4302+"n/&gt;!(Wh"</f>
        <v>#VALUE!</v>
      </c>
      <c r="CO172" t="e">
        <f>'All regions'!I4302+"n/&gt;!(Wi"</f>
        <v>#VALUE!</v>
      </c>
      <c r="CP172" t="e">
        <f>'All regions'!J4302+"n/&gt;!(Wj"</f>
        <v>#VALUE!</v>
      </c>
      <c r="CQ172" t="e">
        <f>'All regions'!A4303+"n/&gt;!(Wk"</f>
        <v>#VALUE!</v>
      </c>
      <c r="CR172" t="e">
        <f>'All regions'!B4303+"n/&gt;!(Wl"</f>
        <v>#VALUE!</v>
      </c>
      <c r="CS172" t="e">
        <f>'All regions'!C4303+"n/&gt;!(Wm"</f>
        <v>#VALUE!</v>
      </c>
      <c r="CT172" t="e">
        <f>'All regions'!D4303+"n/&gt;!(Wn"</f>
        <v>#VALUE!</v>
      </c>
      <c r="CU172" t="e">
        <f>'All regions'!E4303+"n/&gt;!(Wo"</f>
        <v>#VALUE!</v>
      </c>
      <c r="CV172" t="e">
        <f>'All regions'!F4303+"n/&gt;!(Wp"</f>
        <v>#VALUE!</v>
      </c>
      <c r="CW172" t="e">
        <f>'All regions'!G4303+"n/&gt;!(Wq"</f>
        <v>#VALUE!</v>
      </c>
      <c r="CX172" t="e">
        <f>'All regions'!H4303+"n/&gt;!(Wr"</f>
        <v>#VALUE!</v>
      </c>
      <c r="CY172" t="e">
        <f>'All regions'!I4303+"n/&gt;!(Ws"</f>
        <v>#VALUE!</v>
      </c>
      <c r="CZ172" t="e">
        <f>'All regions'!J4303+"n/&gt;!(Wt"</f>
        <v>#VALUE!</v>
      </c>
      <c r="DA172" t="e">
        <f>'All regions'!A4304+"n/&gt;!(Wu"</f>
        <v>#VALUE!</v>
      </c>
      <c r="DB172" t="e">
        <f>'All regions'!B4304+"n/&gt;!(Wv"</f>
        <v>#VALUE!</v>
      </c>
      <c r="DC172" t="e">
        <f>'All regions'!C4304+"n/&gt;!(Ww"</f>
        <v>#VALUE!</v>
      </c>
      <c r="DD172" t="e">
        <f>'All regions'!D4304+"n/&gt;!(Wx"</f>
        <v>#VALUE!</v>
      </c>
      <c r="DE172" t="e">
        <f>'All regions'!E4304+"n/&gt;!(Wy"</f>
        <v>#VALUE!</v>
      </c>
      <c r="DF172" t="e">
        <f>'All regions'!F4304+"n/&gt;!(Wz"</f>
        <v>#VALUE!</v>
      </c>
      <c r="DG172" t="e">
        <f>'All regions'!G4304+"n/&gt;!(W{"</f>
        <v>#VALUE!</v>
      </c>
      <c r="DH172" t="e">
        <f>'All regions'!H4304+"n/&gt;!(W|"</f>
        <v>#VALUE!</v>
      </c>
      <c r="DI172" t="e">
        <f>'All regions'!I4304+"n/&gt;!(W}"</f>
        <v>#VALUE!</v>
      </c>
      <c r="DJ172" t="e">
        <f>'All regions'!J4304+"n/&gt;!(W~"</f>
        <v>#VALUE!</v>
      </c>
      <c r="DK172" t="e">
        <f>'All regions'!A4305+"n/&gt;!(X#"</f>
        <v>#VALUE!</v>
      </c>
      <c r="DL172" t="e">
        <f>'All regions'!B4305+"n/&gt;!(X$"</f>
        <v>#VALUE!</v>
      </c>
      <c r="DM172" t="e">
        <f>'All regions'!C4305+"n/&gt;!(X%"</f>
        <v>#VALUE!</v>
      </c>
      <c r="DN172" t="e">
        <f>'All regions'!D4305+"n/&gt;!(X&amp;"</f>
        <v>#VALUE!</v>
      </c>
      <c r="DO172" t="e">
        <f>'All regions'!E4305+"n/&gt;!(X'"</f>
        <v>#VALUE!</v>
      </c>
      <c r="DP172" t="e">
        <f>'All regions'!F4305+"n/&gt;!(X("</f>
        <v>#VALUE!</v>
      </c>
      <c r="DQ172" t="e">
        <f>'All regions'!G4305+"n/&gt;!(X)"</f>
        <v>#VALUE!</v>
      </c>
      <c r="DR172" t="e">
        <f>'All regions'!H4305+"n/&gt;!(X."</f>
        <v>#VALUE!</v>
      </c>
      <c r="DS172" t="e">
        <f>'All regions'!I4305+"n/&gt;!(X/"</f>
        <v>#VALUE!</v>
      </c>
      <c r="DT172" t="e">
        <f>'All regions'!J4305+"n/&gt;!(X0"</f>
        <v>#VALUE!</v>
      </c>
      <c r="DU172" t="e">
        <f>'All regions'!A4306+"n/&gt;!(X1"</f>
        <v>#VALUE!</v>
      </c>
      <c r="DV172" t="e">
        <f>'All regions'!B4306+"n/&gt;!(X2"</f>
        <v>#VALUE!</v>
      </c>
      <c r="DW172" t="e">
        <f>'All regions'!C4306+"n/&gt;!(X3"</f>
        <v>#VALUE!</v>
      </c>
      <c r="DX172" t="e">
        <f>'All regions'!D4306+"n/&gt;!(X4"</f>
        <v>#VALUE!</v>
      </c>
      <c r="DY172" t="e">
        <f>'All regions'!E4306+"n/&gt;!(X5"</f>
        <v>#VALUE!</v>
      </c>
      <c r="DZ172" t="e">
        <f>'All regions'!F4306+"n/&gt;!(X6"</f>
        <v>#VALUE!</v>
      </c>
      <c r="EA172" t="e">
        <f>'All regions'!G4306+"n/&gt;!(X7"</f>
        <v>#VALUE!</v>
      </c>
      <c r="EB172" t="e">
        <f>'All regions'!H4306+"n/&gt;!(X8"</f>
        <v>#VALUE!</v>
      </c>
      <c r="EC172" t="e">
        <f>'All regions'!I4306+"n/&gt;!(X9"</f>
        <v>#VALUE!</v>
      </c>
      <c r="ED172" t="e">
        <f>'All regions'!J4306+"n/&gt;!(X:"</f>
        <v>#VALUE!</v>
      </c>
      <c r="EE172" t="e">
        <f>'All regions'!A4307+"n/&gt;!(X;"</f>
        <v>#VALUE!</v>
      </c>
      <c r="EF172" t="e">
        <f>'All regions'!B4307+"n/&gt;!(X&lt;"</f>
        <v>#VALUE!</v>
      </c>
      <c r="EG172" t="e">
        <f>'All regions'!C4307+"n/&gt;!(X="</f>
        <v>#VALUE!</v>
      </c>
      <c r="EH172" t="e">
        <f>'All regions'!D4307+"n/&gt;!(X&gt;"</f>
        <v>#VALUE!</v>
      </c>
      <c r="EI172" t="e">
        <f>'All regions'!E4307+"n/&gt;!(X?"</f>
        <v>#VALUE!</v>
      </c>
      <c r="EJ172" t="e">
        <f>'All regions'!F4307+"n/&gt;!(X@"</f>
        <v>#VALUE!</v>
      </c>
      <c r="EK172" t="e">
        <f>'All regions'!G4307+"n/&gt;!(XA"</f>
        <v>#VALUE!</v>
      </c>
      <c r="EL172" t="e">
        <f>'All regions'!H4307+"n/&gt;!(XB"</f>
        <v>#VALUE!</v>
      </c>
      <c r="EM172" t="e">
        <f>'All regions'!I4307+"n/&gt;!(XC"</f>
        <v>#VALUE!</v>
      </c>
      <c r="EN172" t="e">
        <f>'All regions'!J4307+"n/&gt;!(XD"</f>
        <v>#VALUE!</v>
      </c>
      <c r="EO172" t="e">
        <f>'All regions'!A4308+"n/&gt;!(XE"</f>
        <v>#VALUE!</v>
      </c>
      <c r="EP172" t="e">
        <f>'All regions'!B4308+"n/&gt;!(XF"</f>
        <v>#VALUE!</v>
      </c>
      <c r="EQ172" t="e">
        <f>'All regions'!C4308+"n/&gt;!(XG"</f>
        <v>#VALUE!</v>
      </c>
      <c r="ER172" t="e">
        <f>'All regions'!D4308+"n/&gt;!(XH"</f>
        <v>#VALUE!</v>
      </c>
      <c r="ES172" t="e">
        <f>'All regions'!E4308+"n/&gt;!(XI"</f>
        <v>#VALUE!</v>
      </c>
      <c r="ET172" t="e">
        <f>'All regions'!F4308+"n/&gt;!(XJ"</f>
        <v>#VALUE!</v>
      </c>
      <c r="EU172" t="e">
        <f>'All regions'!G4308+"n/&gt;!(XK"</f>
        <v>#VALUE!</v>
      </c>
      <c r="EV172" t="e">
        <f>'All regions'!H4308+"n/&gt;!(XL"</f>
        <v>#VALUE!</v>
      </c>
      <c r="EW172" t="e">
        <f>'All regions'!I4308+"n/&gt;!(XM"</f>
        <v>#VALUE!</v>
      </c>
      <c r="EX172" t="e">
        <f>'All regions'!J4308+"n/&gt;!(XN"</f>
        <v>#VALUE!</v>
      </c>
      <c r="EY172" t="e">
        <f>'All regions'!A4309+"n/&gt;!(XO"</f>
        <v>#VALUE!</v>
      </c>
      <c r="EZ172" t="e">
        <f>'All regions'!B4309+"n/&gt;!(XP"</f>
        <v>#VALUE!</v>
      </c>
      <c r="FA172" t="e">
        <f>'All regions'!C4309+"n/&gt;!(XQ"</f>
        <v>#VALUE!</v>
      </c>
      <c r="FB172" t="e">
        <f>'All regions'!D4309+"n/&gt;!(XR"</f>
        <v>#VALUE!</v>
      </c>
      <c r="FC172" t="e">
        <f>'All regions'!E4309+"n/&gt;!(XS"</f>
        <v>#VALUE!</v>
      </c>
      <c r="FD172" t="e">
        <f>'All regions'!F4309+"n/&gt;!(XT"</f>
        <v>#VALUE!</v>
      </c>
      <c r="FE172" t="e">
        <f>'All regions'!G4309+"n/&gt;!(XU"</f>
        <v>#VALUE!</v>
      </c>
      <c r="FF172" t="e">
        <f>'All regions'!H4309+"n/&gt;!(XV"</f>
        <v>#VALUE!</v>
      </c>
      <c r="FG172" t="e">
        <f>'All regions'!I4309+"n/&gt;!(XW"</f>
        <v>#VALUE!</v>
      </c>
      <c r="FH172" t="e">
        <f>'All regions'!J4309+"n/&gt;!(XX"</f>
        <v>#VALUE!</v>
      </c>
      <c r="FI172" t="e">
        <f>'All regions'!A4310+"n/&gt;!(XY"</f>
        <v>#VALUE!</v>
      </c>
      <c r="FJ172" t="e">
        <f>'All regions'!B4310+"n/&gt;!(XZ"</f>
        <v>#VALUE!</v>
      </c>
      <c r="FK172" t="e">
        <f>'All regions'!C4310+"n/&gt;!(X["</f>
        <v>#VALUE!</v>
      </c>
      <c r="FL172" t="e">
        <f>'All regions'!D4310+"n/&gt;!(X\"</f>
        <v>#VALUE!</v>
      </c>
      <c r="FM172" t="e">
        <f>'All regions'!E4310+"n/&gt;!(X]"</f>
        <v>#VALUE!</v>
      </c>
      <c r="FN172" t="e">
        <f>'All regions'!F4310+"n/&gt;!(X^"</f>
        <v>#VALUE!</v>
      </c>
      <c r="FO172" t="e">
        <f>'All regions'!G4310+"n/&gt;!(X_"</f>
        <v>#VALUE!</v>
      </c>
      <c r="FP172" t="e">
        <f>'All regions'!H4310+"n/&gt;!(X`"</f>
        <v>#VALUE!</v>
      </c>
      <c r="FQ172" t="e">
        <f>'All regions'!I4310+"n/&gt;!(Xa"</f>
        <v>#VALUE!</v>
      </c>
      <c r="FR172" t="e">
        <f>'All regions'!J4310+"n/&gt;!(Xb"</f>
        <v>#VALUE!</v>
      </c>
      <c r="FS172" t="e">
        <f>'All regions'!A4311+"n/&gt;!(Xc"</f>
        <v>#VALUE!</v>
      </c>
      <c r="FT172" t="e">
        <f>'All regions'!B4311+"n/&gt;!(Xd"</f>
        <v>#VALUE!</v>
      </c>
      <c r="FU172" t="e">
        <f>'All regions'!C4311+"n/&gt;!(Xe"</f>
        <v>#VALUE!</v>
      </c>
      <c r="FV172" t="e">
        <f>'All regions'!D4311+"n/&gt;!(Xf"</f>
        <v>#VALUE!</v>
      </c>
      <c r="FW172" t="e">
        <f>'All regions'!E4311+"n/&gt;!(Xg"</f>
        <v>#VALUE!</v>
      </c>
      <c r="FX172" t="e">
        <f>'All regions'!F4311+"n/&gt;!(Xh"</f>
        <v>#VALUE!</v>
      </c>
      <c r="FY172" t="e">
        <f>'All regions'!G4311+"n/&gt;!(Xi"</f>
        <v>#VALUE!</v>
      </c>
      <c r="FZ172" t="e">
        <f>'All regions'!H4311+"n/&gt;!(Xj"</f>
        <v>#VALUE!</v>
      </c>
      <c r="GA172" t="e">
        <f>'All regions'!I4311+"n/&gt;!(Xk"</f>
        <v>#VALUE!</v>
      </c>
      <c r="GB172" t="e">
        <f>'All regions'!J4311+"n/&gt;!(Xl"</f>
        <v>#VALUE!</v>
      </c>
      <c r="GC172" t="e">
        <f>'All regions'!A4312+"n/&gt;!(Xm"</f>
        <v>#VALUE!</v>
      </c>
      <c r="GD172" t="e">
        <f>'All regions'!B4312+"n/&gt;!(Xn"</f>
        <v>#VALUE!</v>
      </c>
      <c r="GE172" t="e">
        <f>'All regions'!C4312+"n/&gt;!(Xo"</f>
        <v>#VALUE!</v>
      </c>
      <c r="GF172" t="e">
        <f>'All regions'!D4312+"n/&gt;!(Xp"</f>
        <v>#VALUE!</v>
      </c>
      <c r="GG172" t="e">
        <f>'All regions'!E4312+"n/&gt;!(Xq"</f>
        <v>#VALUE!</v>
      </c>
      <c r="GH172" t="e">
        <f>'All regions'!F4312+"n/&gt;!(Xr"</f>
        <v>#VALUE!</v>
      </c>
      <c r="GI172" t="e">
        <f>'All regions'!G4312+"n/&gt;!(Xs"</f>
        <v>#VALUE!</v>
      </c>
      <c r="GJ172" t="e">
        <f>'All regions'!H4312+"n/&gt;!(Xt"</f>
        <v>#VALUE!</v>
      </c>
      <c r="GK172" t="e">
        <f>'All regions'!I4312+"n/&gt;!(Xu"</f>
        <v>#VALUE!</v>
      </c>
      <c r="GL172" t="e">
        <f>'All regions'!J4312+"n/&gt;!(Xv"</f>
        <v>#VALUE!</v>
      </c>
      <c r="GM172" t="e">
        <f>'All regions'!A4313+"n/&gt;!(Xw"</f>
        <v>#VALUE!</v>
      </c>
      <c r="GN172" t="e">
        <f>'All regions'!B4313+"n/&gt;!(Xx"</f>
        <v>#VALUE!</v>
      </c>
      <c r="GO172" t="e">
        <f>'All regions'!C4313+"n/&gt;!(Xy"</f>
        <v>#VALUE!</v>
      </c>
      <c r="GP172" t="e">
        <f>'All regions'!D4313+"n/&gt;!(Xz"</f>
        <v>#VALUE!</v>
      </c>
      <c r="GQ172" t="e">
        <f>'All regions'!E4313+"n/&gt;!(X{"</f>
        <v>#VALUE!</v>
      </c>
      <c r="GR172" t="e">
        <f>'All regions'!F4313+"n/&gt;!(X|"</f>
        <v>#VALUE!</v>
      </c>
      <c r="GS172" t="e">
        <f>'All regions'!G4313+"n/&gt;!(X}"</f>
        <v>#VALUE!</v>
      </c>
      <c r="GT172" t="e">
        <f>'All regions'!H4313+"n/&gt;!(X~"</f>
        <v>#VALUE!</v>
      </c>
      <c r="GU172" t="e">
        <f>'All regions'!I4313+"n/&gt;!(Y#"</f>
        <v>#VALUE!</v>
      </c>
      <c r="GV172" t="e">
        <f>'All regions'!J4313+"n/&gt;!(Y$"</f>
        <v>#VALUE!</v>
      </c>
      <c r="GW172" t="e">
        <f>'All regions'!A4314+"n/&gt;!(Y%"</f>
        <v>#VALUE!</v>
      </c>
      <c r="GX172" t="e">
        <f>'All regions'!B4314+"n/&gt;!(Y&amp;"</f>
        <v>#VALUE!</v>
      </c>
      <c r="GY172" t="e">
        <f>'All regions'!C4314+"n/&gt;!(Y'"</f>
        <v>#VALUE!</v>
      </c>
      <c r="GZ172" t="e">
        <f>'All regions'!D4314+"n/&gt;!(Y("</f>
        <v>#VALUE!</v>
      </c>
      <c r="HA172" t="e">
        <f>'All regions'!E4314+"n/&gt;!(Y)"</f>
        <v>#VALUE!</v>
      </c>
      <c r="HB172" t="e">
        <f>'All regions'!F4314+"n/&gt;!(Y."</f>
        <v>#VALUE!</v>
      </c>
      <c r="HC172" t="e">
        <f>'All regions'!G4314+"n/&gt;!(Y/"</f>
        <v>#VALUE!</v>
      </c>
      <c r="HD172" t="e">
        <f>'All regions'!H4314+"n/&gt;!(Y0"</f>
        <v>#VALUE!</v>
      </c>
      <c r="HE172" t="e">
        <f>'All regions'!I4314+"n/&gt;!(Y1"</f>
        <v>#VALUE!</v>
      </c>
      <c r="HF172" t="e">
        <f>'All regions'!J4314+"n/&gt;!(Y2"</f>
        <v>#VALUE!</v>
      </c>
      <c r="HG172" t="e">
        <f>'All regions'!A4315+"n/&gt;!(Y3"</f>
        <v>#VALUE!</v>
      </c>
      <c r="HH172" t="e">
        <f>'All regions'!B4315+"n/&gt;!(Y4"</f>
        <v>#VALUE!</v>
      </c>
      <c r="HI172" t="e">
        <f>'All regions'!C4315+"n/&gt;!(Y5"</f>
        <v>#VALUE!</v>
      </c>
      <c r="HJ172" t="e">
        <f>'All regions'!D4315+"n/&gt;!(Y6"</f>
        <v>#VALUE!</v>
      </c>
      <c r="HK172" t="e">
        <f>'All regions'!E4315+"n/&gt;!(Y7"</f>
        <v>#VALUE!</v>
      </c>
      <c r="HL172" t="e">
        <f>'All regions'!F4315+"n/&gt;!(Y8"</f>
        <v>#VALUE!</v>
      </c>
      <c r="HM172" t="e">
        <f>'All regions'!G4315+"n/&gt;!(Y9"</f>
        <v>#VALUE!</v>
      </c>
      <c r="HN172" t="e">
        <f>'All regions'!H4315+"n/&gt;!(Y:"</f>
        <v>#VALUE!</v>
      </c>
      <c r="HO172" t="e">
        <f>'All regions'!I4315+"n/&gt;!(Y;"</f>
        <v>#VALUE!</v>
      </c>
      <c r="HP172" t="e">
        <f>'All regions'!J4315+"n/&gt;!(Y&lt;"</f>
        <v>#VALUE!</v>
      </c>
      <c r="HQ172" t="e">
        <f>'All regions'!A4316+"n/&gt;!(Y="</f>
        <v>#VALUE!</v>
      </c>
      <c r="HR172" t="e">
        <f>'All regions'!B4316+"n/&gt;!(Y&gt;"</f>
        <v>#VALUE!</v>
      </c>
      <c r="HS172" t="e">
        <f>'All regions'!C4316+"n/&gt;!(Y?"</f>
        <v>#VALUE!</v>
      </c>
      <c r="HT172" t="e">
        <f>'All regions'!D4316+"n/&gt;!(Y@"</f>
        <v>#VALUE!</v>
      </c>
      <c r="HU172" t="e">
        <f>'All regions'!E4316+"n/&gt;!(YA"</f>
        <v>#VALUE!</v>
      </c>
      <c r="HV172" t="e">
        <f>'All regions'!F4316+"n/&gt;!(YB"</f>
        <v>#VALUE!</v>
      </c>
      <c r="HW172" t="e">
        <f>'All regions'!G4316+"n/&gt;!(YC"</f>
        <v>#VALUE!</v>
      </c>
      <c r="HX172" t="e">
        <f>'All regions'!H4316+"n/&gt;!(YD"</f>
        <v>#VALUE!</v>
      </c>
      <c r="HY172" t="e">
        <f>'All regions'!I4316+"n/&gt;!(YE"</f>
        <v>#VALUE!</v>
      </c>
      <c r="HZ172" t="e">
        <f>'All regions'!J4316+"n/&gt;!(YF"</f>
        <v>#VALUE!</v>
      </c>
      <c r="IA172" t="e">
        <f>'All regions'!A4317+"n/&gt;!(YG"</f>
        <v>#VALUE!</v>
      </c>
      <c r="IB172" t="e">
        <f>'All regions'!B4317+"n/&gt;!(YH"</f>
        <v>#VALUE!</v>
      </c>
      <c r="IC172" t="e">
        <f>'All regions'!C4317+"n/&gt;!(YI"</f>
        <v>#VALUE!</v>
      </c>
      <c r="ID172" t="e">
        <f>'All regions'!D4317+"n/&gt;!(YJ"</f>
        <v>#VALUE!</v>
      </c>
      <c r="IE172" t="e">
        <f>'All regions'!E4317+"n/&gt;!(YK"</f>
        <v>#VALUE!</v>
      </c>
      <c r="IF172" t="e">
        <f>'All regions'!F4317+"n/&gt;!(YL"</f>
        <v>#VALUE!</v>
      </c>
      <c r="IG172" t="e">
        <f>'All regions'!G4317+"n/&gt;!(YM"</f>
        <v>#VALUE!</v>
      </c>
      <c r="IH172" t="e">
        <f>'All regions'!H4317+"n/&gt;!(YN"</f>
        <v>#VALUE!</v>
      </c>
      <c r="II172" t="e">
        <f>'All regions'!I4317+"n/&gt;!(YO"</f>
        <v>#VALUE!</v>
      </c>
      <c r="IJ172" t="e">
        <f>'All regions'!J4317+"n/&gt;!(YP"</f>
        <v>#VALUE!</v>
      </c>
      <c r="IK172" t="e">
        <f>'All regions'!A4318+"n/&gt;!(YQ"</f>
        <v>#VALUE!</v>
      </c>
      <c r="IL172" t="e">
        <f>'All regions'!B4318+"n/&gt;!(YR"</f>
        <v>#VALUE!</v>
      </c>
      <c r="IM172" t="e">
        <f>'All regions'!C4318+"n/&gt;!(YS"</f>
        <v>#VALUE!</v>
      </c>
      <c r="IN172" t="e">
        <f>'All regions'!D4318+"n/&gt;!(YT"</f>
        <v>#VALUE!</v>
      </c>
      <c r="IO172" t="e">
        <f>'All regions'!E4318+"n/&gt;!(YU"</f>
        <v>#VALUE!</v>
      </c>
      <c r="IP172" t="e">
        <f>'All regions'!F4318+"n/&gt;!(YV"</f>
        <v>#VALUE!</v>
      </c>
      <c r="IQ172" t="e">
        <f>'All regions'!G4318+"n/&gt;!(YW"</f>
        <v>#VALUE!</v>
      </c>
      <c r="IR172" t="e">
        <f>'All regions'!H4318+"n/&gt;!(YX"</f>
        <v>#VALUE!</v>
      </c>
      <c r="IS172" t="e">
        <f>'All regions'!I4318+"n/&gt;!(YY"</f>
        <v>#VALUE!</v>
      </c>
      <c r="IT172" t="e">
        <f>'All regions'!J4318+"n/&gt;!(YZ"</f>
        <v>#VALUE!</v>
      </c>
      <c r="IU172" t="e">
        <f>'All regions'!A4319+"n/&gt;!(Y["</f>
        <v>#VALUE!</v>
      </c>
      <c r="IV172" t="e">
        <f>'All regions'!B4319+"n/&gt;!(Y\"</f>
        <v>#VALUE!</v>
      </c>
    </row>
    <row r="173" spans="6:256" x14ac:dyDescent="0.35">
      <c r="F173" t="e">
        <f>'All regions'!C4319+"n/&gt;!(Y]"</f>
        <v>#VALUE!</v>
      </c>
      <c r="G173" t="e">
        <f>'All regions'!D4319+"n/&gt;!(Y^"</f>
        <v>#VALUE!</v>
      </c>
      <c r="H173" t="e">
        <f>'All regions'!E4319+"n/&gt;!(Y_"</f>
        <v>#VALUE!</v>
      </c>
      <c r="I173" t="e">
        <f>'All regions'!F4319+"n/&gt;!(Y`"</f>
        <v>#VALUE!</v>
      </c>
      <c r="J173" t="e">
        <f>'All regions'!G4319+"n/&gt;!(Ya"</f>
        <v>#VALUE!</v>
      </c>
      <c r="K173" t="e">
        <f>'All regions'!H4319+"n/&gt;!(Yb"</f>
        <v>#VALUE!</v>
      </c>
      <c r="L173" t="e">
        <f>'All regions'!I4319+"n/&gt;!(Yc"</f>
        <v>#VALUE!</v>
      </c>
      <c r="M173" t="e">
        <f>'All regions'!J4319+"n/&gt;!(Yd"</f>
        <v>#VALUE!</v>
      </c>
      <c r="N173" t="e">
        <f>'All regions'!A4320+"n/&gt;!(Ye"</f>
        <v>#VALUE!</v>
      </c>
      <c r="O173" t="e">
        <f>'All regions'!B4320+"n/&gt;!(Yf"</f>
        <v>#VALUE!</v>
      </c>
      <c r="P173" t="e">
        <f>'All regions'!C4320+"n/&gt;!(Yg"</f>
        <v>#VALUE!</v>
      </c>
      <c r="Q173" t="e">
        <f>'All regions'!D4320+"n/&gt;!(Yh"</f>
        <v>#VALUE!</v>
      </c>
      <c r="R173" t="e">
        <f>'All regions'!E4320+"n/&gt;!(Yi"</f>
        <v>#VALUE!</v>
      </c>
      <c r="S173" t="e">
        <f>'All regions'!F4320+"n/&gt;!(Yj"</f>
        <v>#VALUE!</v>
      </c>
      <c r="T173" t="e">
        <f>'All regions'!G4320+"n/&gt;!(Yk"</f>
        <v>#VALUE!</v>
      </c>
      <c r="U173" t="e">
        <f>'All regions'!H4320+"n/&gt;!(Yl"</f>
        <v>#VALUE!</v>
      </c>
      <c r="V173" t="e">
        <f>'All regions'!I4320+"n/&gt;!(Ym"</f>
        <v>#VALUE!</v>
      </c>
      <c r="W173" t="e">
        <f>'All regions'!J4320+"n/&gt;!(Yn"</f>
        <v>#VALUE!</v>
      </c>
      <c r="X173" t="e">
        <f>'All regions'!A4321+"n/&gt;!(Yo"</f>
        <v>#VALUE!</v>
      </c>
      <c r="Y173" t="e">
        <f>'All regions'!B4321+"n/&gt;!(Yp"</f>
        <v>#VALUE!</v>
      </c>
      <c r="Z173" t="e">
        <f>'All regions'!C4321+"n/&gt;!(Yq"</f>
        <v>#VALUE!</v>
      </c>
      <c r="AA173" t="e">
        <f>'All regions'!D4321+"n/&gt;!(Yr"</f>
        <v>#VALUE!</v>
      </c>
      <c r="AB173" t="e">
        <f>'All regions'!E4321+"n/&gt;!(Ys"</f>
        <v>#VALUE!</v>
      </c>
      <c r="AC173" t="e">
        <f>'All regions'!F4321+"n/&gt;!(Yt"</f>
        <v>#VALUE!</v>
      </c>
      <c r="AD173" t="e">
        <f>'All regions'!G4321+"n/&gt;!(Yu"</f>
        <v>#VALUE!</v>
      </c>
      <c r="AE173" t="e">
        <f>'All regions'!H4321+"n/&gt;!(Yv"</f>
        <v>#VALUE!</v>
      </c>
      <c r="AF173" t="e">
        <f>'All regions'!I4321+"n/&gt;!(Yw"</f>
        <v>#VALUE!</v>
      </c>
      <c r="AG173" t="e">
        <f>'All regions'!J4321+"n/&gt;!(Yx"</f>
        <v>#VALUE!</v>
      </c>
      <c r="AH173" t="e">
        <f>'All regions'!A4322+"n/&gt;!(Yy"</f>
        <v>#VALUE!</v>
      </c>
      <c r="AI173" t="e">
        <f>'All regions'!B4322+"n/&gt;!(Yz"</f>
        <v>#VALUE!</v>
      </c>
      <c r="AJ173" t="e">
        <f>'All regions'!C4322+"n/&gt;!(Y{"</f>
        <v>#VALUE!</v>
      </c>
      <c r="AK173" t="e">
        <f>'All regions'!D4322+"n/&gt;!(Y|"</f>
        <v>#VALUE!</v>
      </c>
      <c r="AL173" t="e">
        <f>'All regions'!E4322+"n/&gt;!(Y}"</f>
        <v>#VALUE!</v>
      </c>
      <c r="AM173" t="e">
        <f>'All regions'!F4322+"n/&gt;!(Y~"</f>
        <v>#VALUE!</v>
      </c>
      <c r="AN173" t="e">
        <f>'All regions'!G4322+"n/&gt;!(Z#"</f>
        <v>#VALUE!</v>
      </c>
      <c r="AO173" t="e">
        <f>'All regions'!H4322+"n/&gt;!(Z$"</f>
        <v>#VALUE!</v>
      </c>
      <c r="AP173" t="e">
        <f>'All regions'!I4322+"n/&gt;!(Z%"</f>
        <v>#VALUE!</v>
      </c>
      <c r="AQ173" t="e">
        <f>'All regions'!J4322+"n/&gt;!(Z&amp;"</f>
        <v>#VALUE!</v>
      </c>
      <c r="AR173" t="e">
        <f>'All regions'!A4323+"n/&gt;!(Z'"</f>
        <v>#VALUE!</v>
      </c>
      <c r="AS173" t="e">
        <f>'All regions'!B4323+"n/&gt;!(Z("</f>
        <v>#VALUE!</v>
      </c>
      <c r="AT173" t="e">
        <f>'All regions'!C4323+"n/&gt;!(Z)"</f>
        <v>#VALUE!</v>
      </c>
      <c r="AU173" t="e">
        <f>'All regions'!D4323+"n/&gt;!(Z."</f>
        <v>#VALUE!</v>
      </c>
      <c r="AV173" t="e">
        <f>'All regions'!E4323+"n/&gt;!(Z/"</f>
        <v>#VALUE!</v>
      </c>
      <c r="AW173" t="e">
        <f>'All regions'!F4323+"n/&gt;!(Z0"</f>
        <v>#VALUE!</v>
      </c>
      <c r="AX173" t="e">
        <f>'All regions'!G4323+"n/&gt;!(Z1"</f>
        <v>#VALUE!</v>
      </c>
      <c r="AY173" t="e">
        <f>'All regions'!H4323+"n/&gt;!(Z2"</f>
        <v>#VALUE!</v>
      </c>
      <c r="AZ173" t="e">
        <f>'All regions'!I4323+"n/&gt;!(Z3"</f>
        <v>#VALUE!</v>
      </c>
      <c r="BA173" t="e">
        <f>'All regions'!J4323+"n/&gt;!(Z4"</f>
        <v>#VALUE!</v>
      </c>
      <c r="BB173" t="e">
        <f>'All regions'!A4324+"n/&gt;!(Z5"</f>
        <v>#VALUE!</v>
      </c>
      <c r="BC173" t="e">
        <f>'All regions'!B4324+"n/&gt;!(Z6"</f>
        <v>#VALUE!</v>
      </c>
      <c r="BD173" t="e">
        <f>'All regions'!C4324+"n/&gt;!(Z7"</f>
        <v>#VALUE!</v>
      </c>
      <c r="BE173" t="e">
        <f>'All regions'!D4324+"n/&gt;!(Z8"</f>
        <v>#VALUE!</v>
      </c>
      <c r="BF173" t="e">
        <f>'All regions'!E4324+"n/&gt;!(Z9"</f>
        <v>#VALUE!</v>
      </c>
      <c r="BG173" t="e">
        <f>'All regions'!F4324+"n/&gt;!(Z:"</f>
        <v>#VALUE!</v>
      </c>
      <c r="BH173" t="e">
        <f>'All regions'!G4324+"n/&gt;!(Z;"</f>
        <v>#VALUE!</v>
      </c>
      <c r="BI173" t="e">
        <f>'All regions'!H4324+"n/&gt;!(Z&lt;"</f>
        <v>#VALUE!</v>
      </c>
      <c r="BJ173" t="e">
        <f>'All regions'!I4324+"n/&gt;!(Z="</f>
        <v>#VALUE!</v>
      </c>
      <c r="BK173" t="e">
        <f>'All regions'!J4324+"n/&gt;!(Z&gt;"</f>
        <v>#VALUE!</v>
      </c>
      <c r="BL173" t="e">
        <f>'All regions'!A4325+"n/&gt;!(Z?"</f>
        <v>#VALUE!</v>
      </c>
      <c r="BM173" t="e">
        <f>'All regions'!B4325+"n/&gt;!(Z@"</f>
        <v>#VALUE!</v>
      </c>
      <c r="BN173" t="e">
        <f>'All regions'!C4325+"n/&gt;!(ZA"</f>
        <v>#VALUE!</v>
      </c>
      <c r="BO173" t="e">
        <f>'All regions'!D4325+"n/&gt;!(ZB"</f>
        <v>#VALUE!</v>
      </c>
      <c r="BP173" t="e">
        <f>'All regions'!E4325+"n/&gt;!(ZC"</f>
        <v>#VALUE!</v>
      </c>
      <c r="BQ173" t="e">
        <f>'All regions'!F4325+"n/&gt;!(ZD"</f>
        <v>#VALUE!</v>
      </c>
      <c r="BR173" t="e">
        <f>'All regions'!G4325+"n/&gt;!(ZE"</f>
        <v>#VALUE!</v>
      </c>
      <c r="BS173" t="e">
        <f>'All regions'!H4325+"n/&gt;!(ZF"</f>
        <v>#VALUE!</v>
      </c>
      <c r="BT173" t="e">
        <f>'All regions'!I4325+"n/&gt;!(ZG"</f>
        <v>#VALUE!</v>
      </c>
      <c r="BU173" t="e">
        <f>'All regions'!J4325+"n/&gt;!(ZH"</f>
        <v>#VALUE!</v>
      </c>
      <c r="BV173" t="e">
        <f>'All regions'!A4326+"n/&gt;!(ZI"</f>
        <v>#VALUE!</v>
      </c>
      <c r="BW173" t="e">
        <f>'All regions'!B4326+"n/&gt;!(ZJ"</f>
        <v>#VALUE!</v>
      </c>
      <c r="BX173" t="e">
        <f>'All regions'!C4326+"n/&gt;!(ZK"</f>
        <v>#VALUE!</v>
      </c>
      <c r="BY173" t="e">
        <f>'All regions'!D4326+"n/&gt;!(ZL"</f>
        <v>#VALUE!</v>
      </c>
      <c r="BZ173" t="e">
        <f>'All regions'!E4326+"n/&gt;!(ZM"</f>
        <v>#VALUE!</v>
      </c>
      <c r="CA173" t="e">
        <f>'All regions'!F4326+"n/&gt;!(ZN"</f>
        <v>#VALUE!</v>
      </c>
      <c r="CB173" t="e">
        <f>'All regions'!G4326+"n/&gt;!(ZO"</f>
        <v>#VALUE!</v>
      </c>
      <c r="CC173" t="e">
        <f>'All regions'!H4326+"n/&gt;!(ZP"</f>
        <v>#VALUE!</v>
      </c>
      <c r="CD173" t="e">
        <f>'All regions'!I4326+"n/&gt;!(ZQ"</f>
        <v>#VALUE!</v>
      </c>
      <c r="CE173" t="e">
        <f>'All regions'!J4326+"n/&gt;!(ZR"</f>
        <v>#VALUE!</v>
      </c>
      <c r="CF173" t="e">
        <f>'All regions'!A4327+"n/&gt;!(ZS"</f>
        <v>#VALUE!</v>
      </c>
      <c r="CG173" t="e">
        <f>'All regions'!B4327+"n/&gt;!(ZT"</f>
        <v>#VALUE!</v>
      </c>
      <c r="CH173" t="e">
        <f>'All regions'!C4327+"n/&gt;!(ZU"</f>
        <v>#VALUE!</v>
      </c>
      <c r="CI173" t="e">
        <f>'All regions'!D4327+"n/&gt;!(ZV"</f>
        <v>#VALUE!</v>
      </c>
      <c r="CJ173" t="e">
        <f>'All regions'!E4327+"n/&gt;!(ZW"</f>
        <v>#VALUE!</v>
      </c>
      <c r="CK173" t="e">
        <f>'All regions'!F4327+"n/&gt;!(ZX"</f>
        <v>#VALUE!</v>
      </c>
      <c r="CL173" t="e">
        <f>'All regions'!G4327+"n/&gt;!(ZY"</f>
        <v>#VALUE!</v>
      </c>
      <c r="CM173" t="e">
        <f>'All regions'!H4327+"n/&gt;!(ZZ"</f>
        <v>#VALUE!</v>
      </c>
      <c r="CN173" t="e">
        <f>'All regions'!I4327+"n/&gt;!(Z["</f>
        <v>#VALUE!</v>
      </c>
      <c r="CO173" t="e">
        <f>'All regions'!J4327+"n/&gt;!(Z\"</f>
        <v>#VALUE!</v>
      </c>
      <c r="CP173" t="e">
        <f>'All regions'!A4328+"n/&gt;!(Z]"</f>
        <v>#VALUE!</v>
      </c>
      <c r="CQ173" t="e">
        <f>'All regions'!B4328+"n/&gt;!(Z^"</f>
        <v>#VALUE!</v>
      </c>
      <c r="CR173" t="e">
        <f>'All regions'!C4328+"n/&gt;!(Z_"</f>
        <v>#VALUE!</v>
      </c>
      <c r="CS173" t="e">
        <f>'All regions'!D4328+"n/&gt;!(Z`"</f>
        <v>#VALUE!</v>
      </c>
      <c r="CT173" t="e">
        <f>'All regions'!E4328+"n/&gt;!(Za"</f>
        <v>#VALUE!</v>
      </c>
      <c r="CU173" t="e">
        <f>'All regions'!F4328+"n/&gt;!(Zb"</f>
        <v>#VALUE!</v>
      </c>
      <c r="CV173" t="e">
        <f>'All regions'!G4328+"n/&gt;!(Zc"</f>
        <v>#VALUE!</v>
      </c>
      <c r="CW173" t="e">
        <f>'All regions'!H4328+"n/&gt;!(Zd"</f>
        <v>#VALUE!</v>
      </c>
      <c r="CX173" t="e">
        <f>'All regions'!I4328+"n/&gt;!(Ze"</f>
        <v>#VALUE!</v>
      </c>
      <c r="CY173" t="e">
        <f>'All regions'!J4328+"n/&gt;!(Zf"</f>
        <v>#VALUE!</v>
      </c>
      <c r="CZ173" t="e">
        <f>'All regions'!A4329+"n/&gt;!(Zg"</f>
        <v>#VALUE!</v>
      </c>
      <c r="DA173" t="e">
        <f>'All regions'!B4329+"n/&gt;!(Zh"</f>
        <v>#VALUE!</v>
      </c>
      <c r="DB173" t="e">
        <f>'All regions'!C4329+"n/&gt;!(Zi"</f>
        <v>#VALUE!</v>
      </c>
      <c r="DC173" t="e">
        <f>'All regions'!D4329+"n/&gt;!(Zj"</f>
        <v>#VALUE!</v>
      </c>
      <c r="DD173" t="e">
        <f>'All regions'!E4329+"n/&gt;!(Zk"</f>
        <v>#VALUE!</v>
      </c>
      <c r="DE173" t="e">
        <f>'All regions'!F4329+"n/&gt;!(Zl"</f>
        <v>#VALUE!</v>
      </c>
      <c r="DF173" t="e">
        <f>'All regions'!G4329+"n/&gt;!(Zm"</f>
        <v>#VALUE!</v>
      </c>
      <c r="DG173" t="e">
        <f>'All regions'!H4329+"n/&gt;!(Zn"</f>
        <v>#VALUE!</v>
      </c>
      <c r="DH173" t="e">
        <f>'All regions'!I4329+"n/&gt;!(Zo"</f>
        <v>#VALUE!</v>
      </c>
      <c r="DI173" t="e">
        <f>'All regions'!J4329+"n/&gt;!(Zp"</f>
        <v>#VALUE!</v>
      </c>
      <c r="DJ173" t="e">
        <f>'All regions'!A4330+"n/&gt;!(Zq"</f>
        <v>#VALUE!</v>
      </c>
      <c r="DK173" t="e">
        <f>'All regions'!B4330+"n/&gt;!(Zr"</f>
        <v>#VALUE!</v>
      </c>
      <c r="DL173" t="e">
        <f>'All regions'!C4330+"n/&gt;!(Zs"</f>
        <v>#VALUE!</v>
      </c>
      <c r="DM173" t="e">
        <f>'All regions'!D4330+"n/&gt;!(Zt"</f>
        <v>#VALUE!</v>
      </c>
      <c r="DN173" t="e">
        <f>'All regions'!E4330+"n/&gt;!(Zu"</f>
        <v>#VALUE!</v>
      </c>
      <c r="DO173" t="e">
        <f>'All regions'!F4330+"n/&gt;!(Zv"</f>
        <v>#VALUE!</v>
      </c>
      <c r="DP173" t="e">
        <f>'All regions'!G4330+"n/&gt;!(Zw"</f>
        <v>#VALUE!</v>
      </c>
      <c r="DQ173" t="e">
        <f>'All regions'!H4330+"n/&gt;!(Zx"</f>
        <v>#VALUE!</v>
      </c>
      <c r="DR173" t="e">
        <f>'All regions'!I4330+"n/&gt;!(Zy"</f>
        <v>#VALUE!</v>
      </c>
      <c r="DS173" t="e">
        <f>'All regions'!J4330+"n/&gt;!(Zz"</f>
        <v>#VALUE!</v>
      </c>
      <c r="DT173" t="e">
        <f>'All regions'!A4331+"n/&gt;!(Z{"</f>
        <v>#VALUE!</v>
      </c>
      <c r="DU173" t="e">
        <f>'All regions'!B4331+"n/&gt;!(Z|"</f>
        <v>#VALUE!</v>
      </c>
      <c r="DV173" t="e">
        <f>'All regions'!C4331+"n/&gt;!(Z}"</f>
        <v>#VALUE!</v>
      </c>
      <c r="DW173" t="e">
        <f>'All regions'!D4331+"n/&gt;!(Z~"</f>
        <v>#VALUE!</v>
      </c>
      <c r="DX173" t="e">
        <f>'All regions'!E4331+"n/&gt;!([#"</f>
        <v>#VALUE!</v>
      </c>
      <c r="DY173" t="e">
        <f>'All regions'!F4331+"n/&gt;!([$"</f>
        <v>#VALUE!</v>
      </c>
      <c r="DZ173" t="e">
        <f>'All regions'!G4331+"n/&gt;!([%"</f>
        <v>#VALUE!</v>
      </c>
      <c r="EA173" t="e">
        <f>'All regions'!H4331+"n/&gt;!([&amp;"</f>
        <v>#VALUE!</v>
      </c>
      <c r="EB173" t="e">
        <f>'All regions'!I4331+"n/&gt;!(['"</f>
        <v>#VALUE!</v>
      </c>
      <c r="EC173" t="e">
        <f>'All regions'!J4331+"n/&gt;!([("</f>
        <v>#VALUE!</v>
      </c>
      <c r="ED173" t="e">
        <f>'All regions'!A4332+"n/&gt;!([)"</f>
        <v>#VALUE!</v>
      </c>
      <c r="EE173" t="e">
        <f>'All regions'!B4332+"n/&gt;!([."</f>
        <v>#VALUE!</v>
      </c>
      <c r="EF173" t="e">
        <f>'All regions'!C4332+"n/&gt;!([/"</f>
        <v>#VALUE!</v>
      </c>
      <c r="EG173" t="e">
        <f>'All regions'!D4332+"n/&gt;!([0"</f>
        <v>#VALUE!</v>
      </c>
      <c r="EH173" t="e">
        <f>'All regions'!E4332+"n/&gt;!([1"</f>
        <v>#VALUE!</v>
      </c>
      <c r="EI173" t="e">
        <f>'All regions'!F4332+"n/&gt;!([2"</f>
        <v>#VALUE!</v>
      </c>
      <c r="EJ173" t="e">
        <f>'All regions'!G4332+"n/&gt;!([3"</f>
        <v>#VALUE!</v>
      </c>
      <c r="EK173" t="e">
        <f>'All regions'!H4332+"n/&gt;!([4"</f>
        <v>#VALUE!</v>
      </c>
      <c r="EL173" t="e">
        <f>'All regions'!I4332+"n/&gt;!([5"</f>
        <v>#VALUE!</v>
      </c>
      <c r="EM173" t="e">
        <f>'All regions'!J4332+"n/&gt;!([6"</f>
        <v>#VALUE!</v>
      </c>
      <c r="EN173" t="e">
        <f>'All regions'!A4333+"n/&gt;!([7"</f>
        <v>#VALUE!</v>
      </c>
      <c r="EO173" t="e">
        <f>'All regions'!B4333+"n/&gt;!([8"</f>
        <v>#VALUE!</v>
      </c>
      <c r="EP173" t="e">
        <f>'All regions'!C4333+"n/&gt;!([9"</f>
        <v>#VALUE!</v>
      </c>
      <c r="EQ173" t="e">
        <f>'All regions'!D4333+"n/&gt;!([:"</f>
        <v>#VALUE!</v>
      </c>
      <c r="ER173" t="e">
        <f>'All regions'!E4333+"n/&gt;!([;"</f>
        <v>#VALUE!</v>
      </c>
      <c r="ES173" t="e">
        <f>'All regions'!F4333+"n/&gt;!([&lt;"</f>
        <v>#VALUE!</v>
      </c>
      <c r="ET173" t="e">
        <f>'All regions'!G4333+"n/&gt;!([="</f>
        <v>#VALUE!</v>
      </c>
      <c r="EU173" t="e">
        <f>'All regions'!H4333+"n/&gt;!([&gt;"</f>
        <v>#VALUE!</v>
      </c>
      <c r="EV173" t="e">
        <f>'All regions'!I4333+"n/&gt;!([?"</f>
        <v>#VALUE!</v>
      </c>
      <c r="EW173" t="e">
        <f>'All regions'!J4333+"n/&gt;!([@"</f>
        <v>#VALUE!</v>
      </c>
      <c r="EX173" t="e">
        <f>'All regions'!A4334+"n/&gt;!([A"</f>
        <v>#VALUE!</v>
      </c>
      <c r="EY173" t="e">
        <f>'All regions'!B4334+"n/&gt;!([B"</f>
        <v>#VALUE!</v>
      </c>
      <c r="EZ173" t="e">
        <f>'All regions'!C4334+"n/&gt;!([C"</f>
        <v>#VALUE!</v>
      </c>
      <c r="FA173" t="e">
        <f>'All regions'!D4334+"n/&gt;!([D"</f>
        <v>#VALUE!</v>
      </c>
      <c r="FB173" t="e">
        <f>'All regions'!E4334+"n/&gt;!([E"</f>
        <v>#VALUE!</v>
      </c>
      <c r="FC173" t="e">
        <f>'All regions'!F4334+"n/&gt;!([F"</f>
        <v>#VALUE!</v>
      </c>
      <c r="FD173" t="e">
        <f>'All regions'!G4334+"n/&gt;!([G"</f>
        <v>#VALUE!</v>
      </c>
      <c r="FE173" t="e">
        <f>'All regions'!H4334+"n/&gt;!([H"</f>
        <v>#VALUE!</v>
      </c>
      <c r="FF173" t="e">
        <f>'All regions'!I4334+"n/&gt;!([I"</f>
        <v>#VALUE!</v>
      </c>
      <c r="FG173" t="e">
        <f>'All regions'!J4334+"n/&gt;!([J"</f>
        <v>#VALUE!</v>
      </c>
      <c r="FH173" t="e">
        <f>'All regions'!A4335+"n/&gt;!([K"</f>
        <v>#VALUE!</v>
      </c>
      <c r="FI173" t="e">
        <f>'All regions'!B4335+"n/&gt;!([L"</f>
        <v>#VALUE!</v>
      </c>
      <c r="FJ173" t="e">
        <f>'All regions'!C4335+"n/&gt;!([M"</f>
        <v>#VALUE!</v>
      </c>
      <c r="FK173" t="e">
        <f>'All regions'!D4335+"n/&gt;!([N"</f>
        <v>#VALUE!</v>
      </c>
      <c r="FL173" t="e">
        <f>'All regions'!E4335+"n/&gt;!([O"</f>
        <v>#VALUE!</v>
      </c>
      <c r="FM173" t="e">
        <f>'All regions'!F4335+"n/&gt;!([P"</f>
        <v>#VALUE!</v>
      </c>
      <c r="FN173" t="e">
        <f>'All regions'!G4335+"n/&gt;!([Q"</f>
        <v>#VALUE!</v>
      </c>
      <c r="FO173" t="e">
        <f>'All regions'!H4335+"n/&gt;!([R"</f>
        <v>#VALUE!</v>
      </c>
      <c r="FP173" t="e">
        <f>'All regions'!I4335+"n/&gt;!([S"</f>
        <v>#VALUE!</v>
      </c>
      <c r="FQ173" t="e">
        <f>'All regions'!J4335+"n/&gt;!([T"</f>
        <v>#VALUE!</v>
      </c>
      <c r="FR173" t="e">
        <f>'All regions'!A4336+"n/&gt;!([U"</f>
        <v>#VALUE!</v>
      </c>
      <c r="FS173" t="e">
        <f>'All regions'!B4336+"n/&gt;!([V"</f>
        <v>#VALUE!</v>
      </c>
      <c r="FT173" t="e">
        <f>'All regions'!C4336+"n/&gt;!([W"</f>
        <v>#VALUE!</v>
      </c>
      <c r="FU173" t="e">
        <f>'All regions'!D4336+"n/&gt;!([X"</f>
        <v>#VALUE!</v>
      </c>
      <c r="FV173" t="e">
        <f>'All regions'!E4336+"n/&gt;!([Y"</f>
        <v>#VALUE!</v>
      </c>
      <c r="FW173" t="e">
        <f>'All regions'!F4336+"n/&gt;!([Z"</f>
        <v>#VALUE!</v>
      </c>
      <c r="FX173" t="e">
        <f>'All regions'!G4336+"n/&gt;!([["</f>
        <v>#VALUE!</v>
      </c>
      <c r="FY173" t="e">
        <f>'All regions'!H4336+"n/&gt;!([\"</f>
        <v>#VALUE!</v>
      </c>
      <c r="FZ173" t="e">
        <f>'All regions'!I4336+"n/&gt;!([]"</f>
        <v>#VALUE!</v>
      </c>
      <c r="GA173" t="e">
        <f>'All regions'!J4336+"n/&gt;!([^"</f>
        <v>#VALUE!</v>
      </c>
      <c r="GB173" t="e">
        <f>'All regions'!A4337+"n/&gt;!([_"</f>
        <v>#VALUE!</v>
      </c>
      <c r="GC173" t="e">
        <f>'All regions'!B4337+"n/&gt;!([`"</f>
        <v>#VALUE!</v>
      </c>
      <c r="GD173" t="e">
        <f>'All regions'!C4337+"n/&gt;!([a"</f>
        <v>#VALUE!</v>
      </c>
      <c r="GE173" t="e">
        <f>'All regions'!D4337+"n/&gt;!([b"</f>
        <v>#VALUE!</v>
      </c>
      <c r="GF173" t="e">
        <f>'All regions'!E4337+"n/&gt;!([c"</f>
        <v>#VALUE!</v>
      </c>
      <c r="GG173" t="e">
        <f>'All regions'!F4337+"n/&gt;!([d"</f>
        <v>#VALUE!</v>
      </c>
      <c r="GH173" t="e">
        <f>'All regions'!G4337+"n/&gt;!([e"</f>
        <v>#VALUE!</v>
      </c>
      <c r="GI173" t="e">
        <f>'All regions'!H4337+"n/&gt;!([f"</f>
        <v>#VALUE!</v>
      </c>
      <c r="GJ173" t="e">
        <f>'All regions'!I4337+"n/&gt;!([g"</f>
        <v>#VALUE!</v>
      </c>
      <c r="GK173" t="e">
        <f>'All regions'!J4337+"n/&gt;!([h"</f>
        <v>#VALUE!</v>
      </c>
      <c r="GL173" t="e">
        <f>'All regions'!A4338+"n/&gt;!([i"</f>
        <v>#VALUE!</v>
      </c>
      <c r="GM173" t="e">
        <f>'All regions'!B4338+"n/&gt;!([j"</f>
        <v>#VALUE!</v>
      </c>
      <c r="GN173" t="e">
        <f>'All regions'!C4338+"n/&gt;!([k"</f>
        <v>#VALUE!</v>
      </c>
      <c r="GO173" t="e">
        <f>'All regions'!D4338+"n/&gt;!([l"</f>
        <v>#VALUE!</v>
      </c>
      <c r="GP173" t="e">
        <f>'All regions'!E4338+"n/&gt;!([m"</f>
        <v>#VALUE!</v>
      </c>
      <c r="GQ173" t="e">
        <f>'All regions'!F4338+"n/&gt;!([n"</f>
        <v>#VALUE!</v>
      </c>
      <c r="GR173" t="e">
        <f>'All regions'!G4338+"n/&gt;!([o"</f>
        <v>#VALUE!</v>
      </c>
      <c r="GS173" t="e">
        <f>'All regions'!H4338+"n/&gt;!([p"</f>
        <v>#VALUE!</v>
      </c>
      <c r="GT173" t="e">
        <f>'All regions'!I4338+"n/&gt;!([q"</f>
        <v>#VALUE!</v>
      </c>
      <c r="GU173" t="e">
        <f>'All regions'!J4338+"n/&gt;!([r"</f>
        <v>#VALUE!</v>
      </c>
      <c r="GV173" t="e">
        <f>'All regions'!A4339+"n/&gt;!([s"</f>
        <v>#VALUE!</v>
      </c>
      <c r="GW173" t="e">
        <f>'All regions'!B4339+"n/&gt;!([t"</f>
        <v>#VALUE!</v>
      </c>
      <c r="GX173" t="e">
        <f>'All regions'!C4339+"n/&gt;!([u"</f>
        <v>#VALUE!</v>
      </c>
      <c r="GY173" t="e">
        <f>'All regions'!D4339+"n/&gt;!([v"</f>
        <v>#VALUE!</v>
      </c>
      <c r="GZ173" t="e">
        <f>'All regions'!E4339+"n/&gt;!([w"</f>
        <v>#VALUE!</v>
      </c>
      <c r="HA173" t="e">
        <f>'All regions'!F4339+"n/&gt;!([x"</f>
        <v>#VALUE!</v>
      </c>
      <c r="HB173" t="e">
        <f>'All regions'!G4339+"n/&gt;!([y"</f>
        <v>#VALUE!</v>
      </c>
      <c r="HC173" t="e">
        <f>'All regions'!H4339+"n/&gt;!([z"</f>
        <v>#VALUE!</v>
      </c>
      <c r="HD173" t="e">
        <f>'All regions'!I4339+"n/&gt;!([{"</f>
        <v>#VALUE!</v>
      </c>
      <c r="HE173" t="e">
        <f>'All regions'!J4339+"n/&gt;!([|"</f>
        <v>#VALUE!</v>
      </c>
      <c r="HF173" t="e">
        <f>'All regions'!A4340+"n/&gt;!([}"</f>
        <v>#VALUE!</v>
      </c>
      <c r="HG173" t="e">
        <f>'All regions'!B4340+"n/&gt;!([~"</f>
        <v>#VALUE!</v>
      </c>
      <c r="HH173" t="e">
        <f>'All regions'!C4340+"n/&gt;!(\#"</f>
        <v>#VALUE!</v>
      </c>
      <c r="HI173" t="e">
        <f>'All regions'!D4340+"n/&gt;!(\$"</f>
        <v>#VALUE!</v>
      </c>
      <c r="HJ173" t="e">
        <f>'All regions'!E4340+"n/&gt;!(\%"</f>
        <v>#VALUE!</v>
      </c>
      <c r="HK173" t="e">
        <f>'All regions'!F4340+"n/&gt;!(\&amp;"</f>
        <v>#VALUE!</v>
      </c>
      <c r="HL173" t="e">
        <f>'All regions'!G4340+"n/&gt;!(\'"</f>
        <v>#VALUE!</v>
      </c>
      <c r="HM173" t="e">
        <f>'All regions'!H4340+"n/&gt;!(\("</f>
        <v>#VALUE!</v>
      </c>
      <c r="HN173" t="e">
        <f>'All regions'!I4340+"n/&gt;!(\)"</f>
        <v>#VALUE!</v>
      </c>
      <c r="HO173" t="e">
        <f>'All regions'!J4340+"n/&gt;!(\."</f>
        <v>#VALUE!</v>
      </c>
      <c r="HP173" t="e">
        <f>'All regions'!A4341+"n/&gt;!(\/"</f>
        <v>#VALUE!</v>
      </c>
      <c r="HQ173" t="e">
        <f>'All regions'!B4341+"n/&gt;!(\0"</f>
        <v>#VALUE!</v>
      </c>
      <c r="HR173" t="e">
        <f>'All regions'!C4341+"n/&gt;!(\1"</f>
        <v>#VALUE!</v>
      </c>
      <c r="HS173" t="e">
        <f>'All regions'!D4341+"n/&gt;!(\2"</f>
        <v>#VALUE!</v>
      </c>
      <c r="HT173" t="e">
        <f>'All regions'!E4341+"n/&gt;!(\3"</f>
        <v>#VALUE!</v>
      </c>
      <c r="HU173" t="e">
        <f>'All regions'!F4341+"n/&gt;!(\4"</f>
        <v>#VALUE!</v>
      </c>
      <c r="HV173" t="e">
        <f>'All regions'!G4341+"n/&gt;!(\5"</f>
        <v>#VALUE!</v>
      </c>
      <c r="HW173" t="e">
        <f>'All regions'!H4341+"n/&gt;!(\6"</f>
        <v>#VALUE!</v>
      </c>
      <c r="HX173" t="e">
        <f>'All regions'!I4341+"n/&gt;!(\7"</f>
        <v>#VALUE!</v>
      </c>
      <c r="HY173" t="e">
        <f>'All regions'!J4341+"n/&gt;!(\8"</f>
        <v>#VALUE!</v>
      </c>
      <c r="HZ173" t="e">
        <f>'All regions'!A4342+"n/&gt;!(\9"</f>
        <v>#VALUE!</v>
      </c>
      <c r="IA173" t="e">
        <f>'All regions'!B4342+"n/&gt;!(\:"</f>
        <v>#VALUE!</v>
      </c>
      <c r="IB173" t="e">
        <f>'All regions'!C4342+"n/&gt;!(\;"</f>
        <v>#VALUE!</v>
      </c>
      <c r="IC173" t="e">
        <f>'All regions'!D4342+"n/&gt;!(\&lt;"</f>
        <v>#VALUE!</v>
      </c>
      <c r="ID173" t="e">
        <f>'All regions'!E4342+"n/&gt;!(\="</f>
        <v>#VALUE!</v>
      </c>
      <c r="IE173" t="e">
        <f>'All regions'!F4342+"n/&gt;!(\&gt;"</f>
        <v>#VALUE!</v>
      </c>
      <c r="IF173" t="e">
        <f>'All regions'!G4342+"n/&gt;!(\?"</f>
        <v>#VALUE!</v>
      </c>
      <c r="IG173" t="e">
        <f>'All regions'!H4342+"n/&gt;!(\@"</f>
        <v>#VALUE!</v>
      </c>
      <c r="IH173" t="e">
        <f>'All regions'!I4342+"n/&gt;!(\A"</f>
        <v>#VALUE!</v>
      </c>
      <c r="II173" t="e">
        <f>'All regions'!J4342+"n/&gt;!(\B"</f>
        <v>#VALUE!</v>
      </c>
      <c r="IJ173" t="e">
        <f>'All regions'!A4343+"n/&gt;!(\C"</f>
        <v>#VALUE!</v>
      </c>
      <c r="IK173" t="e">
        <f>'All regions'!B4343+"n/&gt;!(\D"</f>
        <v>#VALUE!</v>
      </c>
      <c r="IL173" t="e">
        <f>'All regions'!C4343+"n/&gt;!(\E"</f>
        <v>#VALUE!</v>
      </c>
      <c r="IM173" t="e">
        <f>'All regions'!D4343+"n/&gt;!(\F"</f>
        <v>#VALUE!</v>
      </c>
      <c r="IN173" t="e">
        <f>'All regions'!E4343+"n/&gt;!(\G"</f>
        <v>#VALUE!</v>
      </c>
      <c r="IO173" t="e">
        <f>'All regions'!F4343+"n/&gt;!(\H"</f>
        <v>#VALUE!</v>
      </c>
      <c r="IP173" t="e">
        <f>'All regions'!G4343+"n/&gt;!(\I"</f>
        <v>#VALUE!</v>
      </c>
      <c r="IQ173" t="e">
        <f>'All regions'!H4343+"n/&gt;!(\J"</f>
        <v>#VALUE!</v>
      </c>
      <c r="IR173" t="e">
        <f>'All regions'!I4343+"n/&gt;!(\K"</f>
        <v>#VALUE!</v>
      </c>
      <c r="IS173" t="e">
        <f>'All regions'!J4343+"n/&gt;!(\L"</f>
        <v>#VALUE!</v>
      </c>
      <c r="IT173" t="e">
        <f>'All regions'!A4344+"n/&gt;!(\M"</f>
        <v>#VALUE!</v>
      </c>
      <c r="IU173" t="e">
        <f>'All regions'!B4344+"n/&gt;!(\N"</f>
        <v>#VALUE!</v>
      </c>
      <c r="IV173" t="e">
        <f>'All regions'!C4344+"n/&gt;!(\O"</f>
        <v>#VALUE!</v>
      </c>
    </row>
    <row r="174" spans="6:256" x14ac:dyDescent="0.35">
      <c r="F174" t="e">
        <f>'All regions'!D4344+"n/&gt;!(\P"</f>
        <v>#VALUE!</v>
      </c>
      <c r="G174" t="e">
        <f>'All regions'!E4344+"n/&gt;!(\Q"</f>
        <v>#VALUE!</v>
      </c>
      <c r="H174" t="e">
        <f>'All regions'!F4344+"n/&gt;!(\R"</f>
        <v>#VALUE!</v>
      </c>
      <c r="I174" t="e">
        <f>'All regions'!G4344+"n/&gt;!(\S"</f>
        <v>#VALUE!</v>
      </c>
      <c r="J174" t="e">
        <f>'All regions'!H4344+"n/&gt;!(\T"</f>
        <v>#VALUE!</v>
      </c>
      <c r="K174" t="e">
        <f>'All regions'!I4344+"n/&gt;!(\U"</f>
        <v>#VALUE!</v>
      </c>
      <c r="L174" t="e">
        <f>'All regions'!J4344+"n/&gt;!(\V"</f>
        <v>#VALUE!</v>
      </c>
      <c r="M174" t="e">
        <f>'All regions'!A4345+"n/&gt;!(\W"</f>
        <v>#VALUE!</v>
      </c>
      <c r="N174" t="e">
        <f>'All regions'!B4345+"n/&gt;!(\X"</f>
        <v>#VALUE!</v>
      </c>
      <c r="O174" t="e">
        <f>'All regions'!C4345+"n/&gt;!(\Y"</f>
        <v>#VALUE!</v>
      </c>
      <c r="P174" t="e">
        <f>'All regions'!D4345+"n/&gt;!(\Z"</f>
        <v>#VALUE!</v>
      </c>
      <c r="Q174" t="e">
        <f>'All regions'!E4345+"n/&gt;!(\["</f>
        <v>#VALUE!</v>
      </c>
      <c r="R174" t="e">
        <f>'All regions'!F4345+"n/&gt;!(\\"</f>
        <v>#VALUE!</v>
      </c>
      <c r="S174" t="e">
        <f>'All regions'!G4345+"n/&gt;!(\]"</f>
        <v>#VALUE!</v>
      </c>
      <c r="T174" t="e">
        <f>'All regions'!H4345+"n/&gt;!(\^"</f>
        <v>#VALUE!</v>
      </c>
      <c r="U174" t="e">
        <f>'All regions'!I4345+"n/&gt;!(\_"</f>
        <v>#VALUE!</v>
      </c>
      <c r="V174" t="e">
        <f>'All regions'!J4345+"n/&gt;!(\`"</f>
        <v>#VALUE!</v>
      </c>
      <c r="W174" t="e">
        <f>'All regions'!A4346+"n/&gt;!(\a"</f>
        <v>#VALUE!</v>
      </c>
      <c r="X174" t="e">
        <f>'All regions'!B4346+"n/&gt;!(\b"</f>
        <v>#VALUE!</v>
      </c>
      <c r="Y174" t="e">
        <f>'All regions'!C4346+"n/&gt;!(\c"</f>
        <v>#VALUE!</v>
      </c>
      <c r="Z174" t="e">
        <f>'All regions'!D4346+"n/&gt;!(\d"</f>
        <v>#VALUE!</v>
      </c>
      <c r="AA174" t="e">
        <f>'All regions'!E4346+"n/&gt;!(\e"</f>
        <v>#VALUE!</v>
      </c>
      <c r="AB174" t="e">
        <f>'All regions'!F4346+"n/&gt;!(\f"</f>
        <v>#VALUE!</v>
      </c>
      <c r="AC174" t="e">
        <f>'All regions'!G4346+"n/&gt;!(\g"</f>
        <v>#VALUE!</v>
      </c>
      <c r="AD174" t="e">
        <f>'All regions'!H4346+"n/&gt;!(\h"</f>
        <v>#VALUE!</v>
      </c>
      <c r="AE174" t="e">
        <f>'All regions'!I4346+"n/&gt;!(\i"</f>
        <v>#VALUE!</v>
      </c>
      <c r="AF174" t="e">
        <f>'All regions'!J4346+"n/&gt;!(\j"</f>
        <v>#VALUE!</v>
      </c>
      <c r="AG174" t="e">
        <f>'All regions'!A4347+"n/&gt;!(\k"</f>
        <v>#VALUE!</v>
      </c>
      <c r="AH174" t="e">
        <f>'All regions'!B4347+"n/&gt;!(\l"</f>
        <v>#VALUE!</v>
      </c>
      <c r="AI174" t="e">
        <f>'All regions'!C4347+"n/&gt;!(\m"</f>
        <v>#VALUE!</v>
      </c>
      <c r="AJ174" t="e">
        <f>'All regions'!D4347+"n/&gt;!(\n"</f>
        <v>#VALUE!</v>
      </c>
      <c r="AK174" t="e">
        <f>'All regions'!E4347+"n/&gt;!(\o"</f>
        <v>#VALUE!</v>
      </c>
      <c r="AL174" t="e">
        <f>'All regions'!F4347+"n/&gt;!(\p"</f>
        <v>#VALUE!</v>
      </c>
      <c r="AM174" t="e">
        <f>'All regions'!G4347+"n/&gt;!(\q"</f>
        <v>#VALUE!</v>
      </c>
      <c r="AN174" t="e">
        <f>'All regions'!H4347+"n/&gt;!(\r"</f>
        <v>#VALUE!</v>
      </c>
      <c r="AO174" t="e">
        <f>'All regions'!I4347+"n/&gt;!(\s"</f>
        <v>#VALUE!</v>
      </c>
      <c r="AP174" t="e">
        <f>'All regions'!J4347+"n/&gt;!(\t"</f>
        <v>#VALUE!</v>
      </c>
      <c r="AQ174" t="e">
        <f>'All regions'!A4348+"n/&gt;!(\u"</f>
        <v>#VALUE!</v>
      </c>
      <c r="AR174" t="e">
        <f>'All regions'!B4348+"n/&gt;!(\v"</f>
        <v>#VALUE!</v>
      </c>
      <c r="AS174" t="e">
        <f>'All regions'!C4348+"n/&gt;!(\w"</f>
        <v>#VALUE!</v>
      </c>
      <c r="AT174" t="e">
        <f>'All regions'!D4348+"n/&gt;!(\x"</f>
        <v>#VALUE!</v>
      </c>
      <c r="AU174" t="e">
        <f>'All regions'!E4348+"n/&gt;!(\y"</f>
        <v>#VALUE!</v>
      </c>
      <c r="AV174" t="e">
        <f>'All regions'!F4348+"n/&gt;!(\z"</f>
        <v>#VALUE!</v>
      </c>
      <c r="AW174" t="e">
        <f>'All regions'!G4348+"n/&gt;!(\{"</f>
        <v>#VALUE!</v>
      </c>
      <c r="AX174" t="e">
        <f>'All regions'!H4348+"n/&gt;!(\|"</f>
        <v>#VALUE!</v>
      </c>
      <c r="AY174" t="e">
        <f>'All regions'!I4348+"n/&gt;!(\}"</f>
        <v>#VALUE!</v>
      </c>
      <c r="AZ174" t="e">
        <f>'All regions'!J4348+"n/&gt;!(\~"</f>
        <v>#VALUE!</v>
      </c>
      <c r="BA174" t="e">
        <f>'All regions'!A4349+"n/&gt;!(]#"</f>
        <v>#VALUE!</v>
      </c>
      <c r="BB174" t="e">
        <f>'All regions'!B4349+"n/&gt;!(]$"</f>
        <v>#VALUE!</v>
      </c>
      <c r="BC174" t="e">
        <f>'All regions'!C4349+"n/&gt;!(]%"</f>
        <v>#VALUE!</v>
      </c>
      <c r="BD174" t="e">
        <f>'All regions'!D4349+"n/&gt;!(]&amp;"</f>
        <v>#VALUE!</v>
      </c>
      <c r="BE174" t="e">
        <f>'All regions'!E4349+"n/&gt;!(]'"</f>
        <v>#VALUE!</v>
      </c>
      <c r="BF174" t="e">
        <f>'All regions'!F4349+"n/&gt;!(]("</f>
        <v>#VALUE!</v>
      </c>
      <c r="BG174" t="e">
        <f>'All regions'!G4349+"n/&gt;!(])"</f>
        <v>#VALUE!</v>
      </c>
      <c r="BH174" t="e">
        <f>'All regions'!H4349+"n/&gt;!(]."</f>
        <v>#VALUE!</v>
      </c>
      <c r="BI174" t="e">
        <f>'All regions'!I4349+"n/&gt;!(]/"</f>
        <v>#VALUE!</v>
      </c>
      <c r="BJ174" t="e">
        <f>'All regions'!J4349+"n/&gt;!(]0"</f>
        <v>#VALUE!</v>
      </c>
      <c r="BK174" t="e">
        <f>'All regions'!A4350+"n/&gt;!(]1"</f>
        <v>#VALUE!</v>
      </c>
      <c r="BL174" t="e">
        <f>'All regions'!B4350+"n/&gt;!(]2"</f>
        <v>#VALUE!</v>
      </c>
      <c r="BM174" t="e">
        <f>'All regions'!C4350+"n/&gt;!(]3"</f>
        <v>#VALUE!</v>
      </c>
      <c r="BN174" t="e">
        <f>'All regions'!D4350+"n/&gt;!(]4"</f>
        <v>#VALUE!</v>
      </c>
      <c r="BO174" t="e">
        <f>'All regions'!E4350+"n/&gt;!(]5"</f>
        <v>#VALUE!</v>
      </c>
      <c r="BP174" t="e">
        <f>'All regions'!F4350+"n/&gt;!(]6"</f>
        <v>#VALUE!</v>
      </c>
      <c r="BQ174" t="e">
        <f>'All regions'!G4350+"n/&gt;!(]7"</f>
        <v>#VALUE!</v>
      </c>
      <c r="BR174" t="e">
        <f>'All regions'!H4350+"n/&gt;!(]8"</f>
        <v>#VALUE!</v>
      </c>
      <c r="BS174" t="e">
        <f>'All regions'!I4350+"n/&gt;!(]9"</f>
        <v>#VALUE!</v>
      </c>
      <c r="BT174" t="e">
        <f>'All regions'!J4350+"n/&gt;!(]:"</f>
        <v>#VALUE!</v>
      </c>
      <c r="BU174" t="e">
        <f>'All regions'!A4351+"n/&gt;!(];"</f>
        <v>#VALUE!</v>
      </c>
      <c r="BV174" t="e">
        <f>'All regions'!B4351+"n/&gt;!(]&lt;"</f>
        <v>#VALUE!</v>
      </c>
      <c r="BW174" t="e">
        <f>'All regions'!C4351+"n/&gt;!(]="</f>
        <v>#VALUE!</v>
      </c>
      <c r="BX174" t="e">
        <f>'All regions'!D4351+"n/&gt;!(]&gt;"</f>
        <v>#VALUE!</v>
      </c>
      <c r="BY174" t="e">
        <f>'All regions'!E4351+"n/&gt;!(]?"</f>
        <v>#VALUE!</v>
      </c>
      <c r="BZ174" t="e">
        <f>'All regions'!F4351+"n/&gt;!(]@"</f>
        <v>#VALUE!</v>
      </c>
      <c r="CA174" t="e">
        <f>'All regions'!G4351+"n/&gt;!(]A"</f>
        <v>#VALUE!</v>
      </c>
      <c r="CB174" t="e">
        <f>'All regions'!H4351+"n/&gt;!(]B"</f>
        <v>#VALUE!</v>
      </c>
      <c r="CC174" t="e">
        <f>'All regions'!I4351+"n/&gt;!(]C"</f>
        <v>#VALUE!</v>
      </c>
      <c r="CD174" t="e">
        <f>'All regions'!J4351+"n/&gt;!(]D"</f>
        <v>#VALUE!</v>
      </c>
      <c r="CE174" t="e">
        <f>'All regions'!A4352+"n/&gt;!(]E"</f>
        <v>#VALUE!</v>
      </c>
      <c r="CF174" t="e">
        <f>'All regions'!B4352+"n/&gt;!(]F"</f>
        <v>#VALUE!</v>
      </c>
      <c r="CG174" t="e">
        <f>'All regions'!C4352+"n/&gt;!(]G"</f>
        <v>#VALUE!</v>
      </c>
      <c r="CH174" t="e">
        <f>'All regions'!D4352+"n/&gt;!(]H"</f>
        <v>#VALUE!</v>
      </c>
      <c r="CI174" t="e">
        <f>'All regions'!E4352+"n/&gt;!(]I"</f>
        <v>#VALUE!</v>
      </c>
      <c r="CJ174" t="e">
        <f>'All regions'!F4352+"n/&gt;!(]J"</f>
        <v>#VALUE!</v>
      </c>
      <c r="CK174" t="e">
        <f>'All regions'!G4352+"n/&gt;!(]K"</f>
        <v>#VALUE!</v>
      </c>
      <c r="CL174" t="e">
        <f>'All regions'!H4352+"n/&gt;!(]L"</f>
        <v>#VALUE!</v>
      </c>
      <c r="CM174" t="e">
        <f>'All regions'!I4352+"n/&gt;!(]M"</f>
        <v>#VALUE!</v>
      </c>
      <c r="CN174" t="e">
        <f>'All regions'!J4352+"n/&gt;!(]N"</f>
        <v>#VALUE!</v>
      </c>
      <c r="CO174" t="e">
        <f>'All regions'!A4353+"n/&gt;!(]O"</f>
        <v>#VALUE!</v>
      </c>
      <c r="CP174" t="e">
        <f>'All regions'!B4353+"n/&gt;!(]P"</f>
        <v>#VALUE!</v>
      </c>
      <c r="CQ174" t="e">
        <f>'All regions'!C4353+"n/&gt;!(]Q"</f>
        <v>#VALUE!</v>
      </c>
      <c r="CR174" t="e">
        <f>'All regions'!D4353+"n/&gt;!(]R"</f>
        <v>#VALUE!</v>
      </c>
      <c r="CS174" t="e">
        <f>'All regions'!E4353+"n/&gt;!(]S"</f>
        <v>#VALUE!</v>
      </c>
      <c r="CT174" t="e">
        <f>'All regions'!F4353+"n/&gt;!(]T"</f>
        <v>#VALUE!</v>
      </c>
      <c r="CU174" t="e">
        <f>'All regions'!G4353+"n/&gt;!(]U"</f>
        <v>#VALUE!</v>
      </c>
      <c r="CV174" t="e">
        <f>'All regions'!H4353+"n/&gt;!(]V"</f>
        <v>#VALUE!</v>
      </c>
      <c r="CW174" t="e">
        <f>'All regions'!I4353+"n/&gt;!(]W"</f>
        <v>#VALUE!</v>
      </c>
      <c r="CX174" t="e">
        <f>'All regions'!J4353+"n/&gt;!(]X"</f>
        <v>#VALUE!</v>
      </c>
      <c r="CY174" t="e">
        <f>'All regions'!A4354+"n/&gt;!(]Y"</f>
        <v>#VALUE!</v>
      </c>
      <c r="CZ174" t="e">
        <f>'All regions'!B4354+"n/&gt;!(]Z"</f>
        <v>#VALUE!</v>
      </c>
      <c r="DA174" t="e">
        <f>'All regions'!C4354+"n/&gt;!(]["</f>
        <v>#VALUE!</v>
      </c>
      <c r="DB174" t="e">
        <f>'All regions'!D4354+"n/&gt;!(]\"</f>
        <v>#VALUE!</v>
      </c>
      <c r="DC174" t="e">
        <f>'All regions'!E4354+"n/&gt;!(]]"</f>
        <v>#VALUE!</v>
      </c>
      <c r="DD174" t="e">
        <f>'All regions'!F4354+"n/&gt;!(]^"</f>
        <v>#VALUE!</v>
      </c>
      <c r="DE174" t="e">
        <f>'All regions'!G4354+"n/&gt;!(]_"</f>
        <v>#VALUE!</v>
      </c>
      <c r="DF174" t="e">
        <f>'All regions'!H4354+"n/&gt;!(]`"</f>
        <v>#VALUE!</v>
      </c>
      <c r="DG174" t="e">
        <f>'All regions'!I4354+"n/&gt;!(]a"</f>
        <v>#VALUE!</v>
      </c>
      <c r="DH174" t="e">
        <f>'All regions'!J4354+"n/&gt;!(]b"</f>
        <v>#VALUE!</v>
      </c>
      <c r="DI174" t="e">
        <f>'All regions'!A4355+"n/&gt;!(]c"</f>
        <v>#VALUE!</v>
      </c>
      <c r="DJ174" t="e">
        <f>'All regions'!B4355+"n/&gt;!(]d"</f>
        <v>#VALUE!</v>
      </c>
      <c r="DK174" t="e">
        <f>'All regions'!C4355+"n/&gt;!(]e"</f>
        <v>#VALUE!</v>
      </c>
      <c r="DL174" t="e">
        <f>'All regions'!D4355+"n/&gt;!(]f"</f>
        <v>#VALUE!</v>
      </c>
      <c r="DM174" t="e">
        <f>'All regions'!E4355+"n/&gt;!(]g"</f>
        <v>#VALUE!</v>
      </c>
      <c r="DN174" t="e">
        <f>'All regions'!F4355+"n/&gt;!(]h"</f>
        <v>#VALUE!</v>
      </c>
      <c r="DO174" t="e">
        <f>'All regions'!G4355+"n/&gt;!(]i"</f>
        <v>#VALUE!</v>
      </c>
      <c r="DP174" t="e">
        <f>'All regions'!H4355+"n/&gt;!(]j"</f>
        <v>#VALUE!</v>
      </c>
      <c r="DQ174" t="e">
        <f>'All regions'!I4355+"n/&gt;!(]k"</f>
        <v>#VALUE!</v>
      </c>
      <c r="DR174" t="e">
        <f>'All regions'!J4355+"n/&gt;!(]l"</f>
        <v>#VALUE!</v>
      </c>
      <c r="DS174" t="e">
        <f>'All regions'!A4356+"n/&gt;!(]m"</f>
        <v>#VALUE!</v>
      </c>
      <c r="DT174" t="e">
        <f>'All regions'!B4356+"n/&gt;!(]n"</f>
        <v>#VALUE!</v>
      </c>
      <c r="DU174" t="e">
        <f>'All regions'!C4356+"n/&gt;!(]o"</f>
        <v>#VALUE!</v>
      </c>
      <c r="DV174" t="e">
        <f>'All regions'!D4356+"n/&gt;!(]p"</f>
        <v>#VALUE!</v>
      </c>
      <c r="DW174" t="e">
        <f>'All regions'!E4356+"n/&gt;!(]q"</f>
        <v>#VALUE!</v>
      </c>
      <c r="DX174" t="e">
        <f>'All regions'!F4356+"n/&gt;!(]r"</f>
        <v>#VALUE!</v>
      </c>
      <c r="DY174" t="e">
        <f>'All regions'!G4356+"n/&gt;!(]s"</f>
        <v>#VALUE!</v>
      </c>
      <c r="DZ174" t="e">
        <f>'All regions'!H4356+"n/&gt;!(]t"</f>
        <v>#VALUE!</v>
      </c>
      <c r="EA174" t="e">
        <f>'All regions'!I4356+"n/&gt;!(]u"</f>
        <v>#VALUE!</v>
      </c>
      <c r="EB174" t="e">
        <f>'All regions'!J4356+"n/&gt;!(]v"</f>
        <v>#VALUE!</v>
      </c>
      <c r="EC174" t="e">
        <f>'All regions'!A4357+"n/&gt;!(]w"</f>
        <v>#VALUE!</v>
      </c>
      <c r="ED174" t="e">
        <f>'All regions'!B4357+"n/&gt;!(]x"</f>
        <v>#VALUE!</v>
      </c>
      <c r="EE174" t="e">
        <f>'All regions'!C4357+"n/&gt;!(]y"</f>
        <v>#VALUE!</v>
      </c>
      <c r="EF174" t="e">
        <f>'All regions'!D4357+"n/&gt;!(]z"</f>
        <v>#VALUE!</v>
      </c>
      <c r="EG174" t="e">
        <f>'All regions'!E4357+"n/&gt;!(]{"</f>
        <v>#VALUE!</v>
      </c>
      <c r="EH174" t="e">
        <f>'All regions'!F4357+"n/&gt;!(]|"</f>
        <v>#VALUE!</v>
      </c>
      <c r="EI174" t="e">
        <f>'All regions'!G4357+"n/&gt;!(]}"</f>
        <v>#VALUE!</v>
      </c>
      <c r="EJ174" t="e">
        <f>'All regions'!H4357+"n/&gt;!(]~"</f>
        <v>#VALUE!</v>
      </c>
      <c r="EK174" t="e">
        <f>'All regions'!I4357+"n/&gt;!(^#"</f>
        <v>#VALUE!</v>
      </c>
      <c r="EL174" t="e">
        <f>'All regions'!J4357+"n/&gt;!(^$"</f>
        <v>#VALUE!</v>
      </c>
      <c r="EM174" t="e">
        <f>'All regions'!A4358+"n/&gt;!(^%"</f>
        <v>#VALUE!</v>
      </c>
      <c r="EN174" t="e">
        <f>'All regions'!B4358+"n/&gt;!(^&amp;"</f>
        <v>#VALUE!</v>
      </c>
      <c r="EO174" t="e">
        <f>'All regions'!C4358+"n/&gt;!(^'"</f>
        <v>#VALUE!</v>
      </c>
      <c r="EP174" t="e">
        <f>'All regions'!D4358+"n/&gt;!(^("</f>
        <v>#VALUE!</v>
      </c>
      <c r="EQ174" t="e">
        <f>'All regions'!E4358+"n/&gt;!(^)"</f>
        <v>#VALUE!</v>
      </c>
      <c r="ER174" t="e">
        <f>'All regions'!F4358+"n/&gt;!(^."</f>
        <v>#VALUE!</v>
      </c>
      <c r="ES174" t="e">
        <f>'All regions'!G4358+"n/&gt;!(^/"</f>
        <v>#VALUE!</v>
      </c>
      <c r="ET174" t="e">
        <f>'All regions'!H4358+"n/&gt;!(^0"</f>
        <v>#VALUE!</v>
      </c>
      <c r="EU174" t="e">
        <f>'All regions'!I4358+"n/&gt;!(^1"</f>
        <v>#VALUE!</v>
      </c>
      <c r="EV174" t="e">
        <f>'All regions'!J4358+"n/&gt;!(^2"</f>
        <v>#VALUE!</v>
      </c>
      <c r="EW174" t="e">
        <f>'All regions'!A4359+"n/&gt;!(^3"</f>
        <v>#VALUE!</v>
      </c>
      <c r="EX174" t="e">
        <f>'All regions'!B4359+"n/&gt;!(^4"</f>
        <v>#VALUE!</v>
      </c>
      <c r="EY174" t="e">
        <f>'All regions'!C4359+"n/&gt;!(^5"</f>
        <v>#VALUE!</v>
      </c>
      <c r="EZ174" t="e">
        <f>'All regions'!D4359+"n/&gt;!(^6"</f>
        <v>#VALUE!</v>
      </c>
      <c r="FA174" t="e">
        <f>'All regions'!E4359+"n/&gt;!(^7"</f>
        <v>#VALUE!</v>
      </c>
      <c r="FB174" t="e">
        <f>'All regions'!F4359+"n/&gt;!(^8"</f>
        <v>#VALUE!</v>
      </c>
      <c r="FC174" t="e">
        <f>'All regions'!G4359+"n/&gt;!(^9"</f>
        <v>#VALUE!</v>
      </c>
      <c r="FD174" t="e">
        <f>'All regions'!H4359+"n/&gt;!(^:"</f>
        <v>#VALUE!</v>
      </c>
      <c r="FE174" t="e">
        <f>'All regions'!I4359+"n/&gt;!(^;"</f>
        <v>#VALUE!</v>
      </c>
      <c r="FF174" t="e">
        <f>'All regions'!J4359+"n/&gt;!(^&lt;"</f>
        <v>#VALUE!</v>
      </c>
      <c r="FG174" t="e">
        <f>'All regions'!A4360+"n/&gt;!(^="</f>
        <v>#VALUE!</v>
      </c>
      <c r="FH174" t="e">
        <f>'All regions'!B4360+"n/&gt;!(^&gt;"</f>
        <v>#VALUE!</v>
      </c>
      <c r="FI174" t="e">
        <f>'All regions'!C4360+"n/&gt;!(^?"</f>
        <v>#VALUE!</v>
      </c>
      <c r="FJ174" t="e">
        <f>'All regions'!D4360+"n/&gt;!(^@"</f>
        <v>#VALUE!</v>
      </c>
      <c r="FK174" t="e">
        <f>'All regions'!E4360+"n/&gt;!(^A"</f>
        <v>#VALUE!</v>
      </c>
      <c r="FL174" t="e">
        <f>'All regions'!F4360+"n/&gt;!(^B"</f>
        <v>#VALUE!</v>
      </c>
      <c r="FM174" t="e">
        <f>'All regions'!G4360+"n/&gt;!(^C"</f>
        <v>#VALUE!</v>
      </c>
      <c r="FN174" t="e">
        <f>'All regions'!H4360+"n/&gt;!(^D"</f>
        <v>#VALUE!</v>
      </c>
      <c r="FO174" t="e">
        <f>'All regions'!I4360+"n/&gt;!(^E"</f>
        <v>#VALUE!</v>
      </c>
      <c r="FP174" t="e">
        <f>'All regions'!J4360+"n/&gt;!(^F"</f>
        <v>#VALUE!</v>
      </c>
      <c r="FQ174" t="e">
        <f>'All regions'!A4361+"n/&gt;!(^G"</f>
        <v>#VALUE!</v>
      </c>
      <c r="FR174" t="e">
        <f>'All regions'!B4361+"n/&gt;!(^H"</f>
        <v>#VALUE!</v>
      </c>
      <c r="FS174" t="e">
        <f>'All regions'!C4361+"n/&gt;!(^I"</f>
        <v>#VALUE!</v>
      </c>
      <c r="FT174" t="e">
        <f>'All regions'!D4361+"n/&gt;!(^J"</f>
        <v>#VALUE!</v>
      </c>
      <c r="FU174" t="e">
        <f>'All regions'!E4361+"n/&gt;!(^K"</f>
        <v>#VALUE!</v>
      </c>
      <c r="FV174" t="e">
        <f>'All regions'!F4361+"n/&gt;!(^L"</f>
        <v>#VALUE!</v>
      </c>
      <c r="FW174" t="e">
        <f>'All regions'!G4361+"n/&gt;!(^M"</f>
        <v>#VALUE!</v>
      </c>
      <c r="FX174" t="e">
        <f>'All regions'!H4361+"n/&gt;!(^N"</f>
        <v>#VALUE!</v>
      </c>
      <c r="FY174" t="e">
        <f>'All regions'!I4361+"n/&gt;!(^O"</f>
        <v>#VALUE!</v>
      </c>
      <c r="FZ174" t="e">
        <f>'All regions'!J4361+"n/&gt;!(^P"</f>
        <v>#VALUE!</v>
      </c>
      <c r="GA174" t="e">
        <f>'All regions'!A4362+"n/&gt;!(^Q"</f>
        <v>#VALUE!</v>
      </c>
      <c r="GB174" t="e">
        <f>'All regions'!B4362+"n/&gt;!(^R"</f>
        <v>#VALUE!</v>
      </c>
      <c r="GC174" t="e">
        <f>'All regions'!C4362+"n/&gt;!(^S"</f>
        <v>#VALUE!</v>
      </c>
      <c r="GD174" t="e">
        <f>'All regions'!D4362+"n/&gt;!(^T"</f>
        <v>#VALUE!</v>
      </c>
      <c r="GE174" t="e">
        <f>'All regions'!E4362+"n/&gt;!(^U"</f>
        <v>#VALUE!</v>
      </c>
      <c r="GF174" t="e">
        <f>'All regions'!F4362+"n/&gt;!(^V"</f>
        <v>#VALUE!</v>
      </c>
      <c r="GG174" t="e">
        <f>'All regions'!G4362+"n/&gt;!(^W"</f>
        <v>#VALUE!</v>
      </c>
      <c r="GH174" t="e">
        <f>'All regions'!H4362+"n/&gt;!(^X"</f>
        <v>#VALUE!</v>
      </c>
      <c r="GI174" t="e">
        <f>'All regions'!I4362+"n/&gt;!(^Y"</f>
        <v>#VALUE!</v>
      </c>
      <c r="GJ174" t="e">
        <f>'All regions'!J4362+"n/&gt;!(^Z"</f>
        <v>#VALUE!</v>
      </c>
      <c r="GK174" t="e">
        <f>'All regions'!A4363+"n/&gt;!(^["</f>
        <v>#VALUE!</v>
      </c>
      <c r="GL174" t="e">
        <f>'All regions'!B4363+"n/&gt;!(^\"</f>
        <v>#VALUE!</v>
      </c>
      <c r="GM174" t="e">
        <f>'All regions'!C4363+"n/&gt;!(^]"</f>
        <v>#VALUE!</v>
      </c>
      <c r="GN174" t="e">
        <f>'All regions'!D4363+"n/&gt;!(^^"</f>
        <v>#VALUE!</v>
      </c>
      <c r="GO174" t="e">
        <f>'All regions'!E4363+"n/&gt;!(^_"</f>
        <v>#VALUE!</v>
      </c>
      <c r="GP174" t="e">
        <f>'All regions'!F4363+"n/&gt;!(^`"</f>
        <v>#VALUE!</v>
      </c>
      <c r="GQ174" t="e">
        <f>'All regions'!G4363+"n/&gt;!(^a"</f>
        <v>#VALUE!</v>
      </c>
      <c r="GR174" t="e">
        <f>'All regions'!H4363+"n/&gt;!(^b"</f>
        <v>#VALUE!</v>
      </c>
      <c r="GS174" t="e">
        <f>'All regions'!I4363+"n/&gt;!(^c"</f>
        <v>#VALUE!</v>
      </c>
      <c r="GT174" t="e">
        <f>'All regions'!J4363+"n/&gt;!(^d"</f>
        <v>#VALUE!</v>
      </c>
      <c r="GU174" t="e">
        <f>'All regions'!A4364+"n/&gt;!(^e"</f>
        <v>#VALUE!</v>
      </c>
      <c r="GV174" t="e">
        <f>'All regions'!B4364+"n/&gt;!(^f"</f>
        <v>#VALUE!</v>
      </c>
      <c r="GW174" t="e">
        <f>'All regions'!C4364+"n/&gt;!(^g"</f>
        <v>#VALUE!</v>
      </c>
      <c r="GX174" t="e">
        <f>'All regions'!D4364+"n/&gt;!(^h"</f>
        <v>#VALUE!</v>
      </c>
      <c r="GY174" t="e">
        <f>'All regions'!E4364+"n/&gt;!(^i"</f>
        <v>#VALUE!</v>
      </c>
      <c r="GZ174" t="e">
        <f>'All regions'!F4364+"n/&gt;!(^j"</f>
        <v>#VALUE!</v>
      </c>
      <c r="HA174" t="e">
        <f>'All regions'!G4364+"n/&gt;!(^k"</f>
        <v>#VALUE!</v>
      </c>
      <c r="HB174" t="e">
        <f>'All regions'!H4364+"n/&gt;!(^l"</f>
        <v>#VALUE!</v>
      </c>
      <c r="HC174" t="e">
        <f>'All regions'!I4364+"n/&gt;!(^m"</f>
        <v>#VALUE!</v>
      </c>
      <c r="HD174" t="e">
        <f>'All regions'!J4364+"n/&gt;!(^n"</f>
        <v>#VALUE!</v>
      </c>
      <c r="HE174" t="e">
        <f>'All regions'!A4365+"n/&gt;!(^o"</f>
        <v>#VALUE!</v>
      </c>
      <c r="HF174" t="e">
        <f>'All regions'!B4365+"n/&gt;!(^p"</f>
        <v>#VALUE!</v>
      </c>
      <c r="HG174" t="e">
        <f>'All regions'!C4365+"n/&gt;!(^q"</f>
        <v>#VALUE!</v>
      </c>
      <c r="HH174" t="e">
        <f>'All regions'!D4365+"n/&gt;!(^r"</f>
        <v>#VALUE!</v>
      </c>
      <c r="HI174" t="e">
        <f>'All regions'!E4365+"n/&gt;!(^s"</f>
        <v>#VALUE!</v>
      </c>
      <c r="HJ174" t="e">
        <f>'All regions'!F4365+"n/&gt;!(^t"</f>
        <v>#VALUE!</v>
      </c>
      <c r="HK174" t="e">
        <f>'All regions'!G4365+"n/&gt;!(^u"</f>
        <v>#VALUE!</v>
      </c>
      <c r="HL174" t="e">
        <f>'All regions'!H4365+"n/&gt;!(^v"</f>
        <v>#VALUE!</v>
      </c>
      <c r="HM174" t="e">
        <f>'All regions'!I4365+"n/&gt;!(^w"</f>
        <v>#VALUE!</v>
      </c>
      <c r="HN174" t="e">
        <f>'All regions'!J4365+"n/&gt;!(^x"</f>
        <v>#VALUE!</v>
      </c>
      <c r="HO174" t="e">
        <f>'All regions'!A4366+"n/&gt;!(^y"</f>
        <v>#VALUE!</v>
      </c>
      <c r="HP174" t="e">
        <f>'All regions'!B4366+"n/&gt;!(^z"</f>
        <v>#VALUE!</v>
      </c>
      <c r="HQ174" t="e">
        <f>'All regions'!C4366+"n/&gt;!(^{"</f>
        <v>#VALUE!</v>
      </c>
      <c r="HR174" t="e">
        <f>'All regions'!D4366+"n/&gt;!(^|"</f>
        <v>#VALUE!</v>
      </c>
      <c r="HS174" t="e">
        <f>'All regions'!E4366+"n/&gt;!(^}"</f>
        <v>#VALUE!</v>
      </c>
      <c r="HT174" t="e">
        <f>'All regions'!F4366+"n/&gt;!(^~"</f>
        <v>#VALUE!</v>
      </c>
      <c r="HU174" t="e">
        <f>'All regions'!G4366+"n/&gt;!(_#"</f>
        <v>#VALUE!</v>
      </c>
      <c r="HV174" t="e">
        <f>'All regions'!H4366+"n/&gt;!(_$"</f>
        <v>#VALUE!</v>
      </c>
      <c r="HW174" t="e">
        <f>'All regions'!I4366+"n/&gt;!(_%"</f>
        <v>#VALUE!</v>
      </c>
      <c r="HX174" t="e">
        <f>'All regions'!J4366+"n/&gt;!(_&amp;"</f>
        <v>#VALUE!</v>
      </c>
      <c r="HY174" t="e">
        <f>'All regions'!A4367+"n/&gt;!(_'"</f>
        <v>#VALUE!</v>
      </c>
      <c r="HZ174" t="e">
        <f>'All regions'!B4367+"n/&gt;!(_("</f>
        <v>#VALUE!</v>
      </c>
      <c r="IA174" t="e">
        <f>'All regions'!C4367+"n/&gt;!(_)"</f>
        <v>#VALUE!</v>
      </c>
      <c r="IB174" t="e">
        <f>'All regions'!D4367+"n/&gt;!(_."</f>
        <v>#VALUE!</v>
      </c>
      <c r="IC174" t="e">
        <f>'All regions'!E4367+"n/&gt;!(_/"</f>
        <v>#VALUE!</v>
      </c>
      <c r="ID174" t="e">
        <f>'All regions'!F4367+"n/&gt;!(_0"</f>
        <v>#VALUE!</v>
      </c>
      <c r="IE174" t="e">
        <f>'All regions'!G4367+"n/&gt;!(_1"</f>
        <v>#VALUE!</v>
      </c>
      <c r="IF174" t="e">
        <f>'All regions'!H4367+"n/&gt;!(_2"</f>
        <v>#VALUE!</v>
      </c>
      <c r="IG174" t="e">
        <f>'All regions'!I4367+"n/&gt;!(_3"</f>
        <v>#VALUE!</v>
      </c>
      <c r="IH174" t="e">
        <f>'All regions'!J4367+"n/&gt;!(_4"</f>
        <v>#VALUE!</v>
      </c>
      <c r="II174" t="e">
        <f>'All regions'!A4368+"n/&gt;!(_5"</f>
        <v>#VALUE!</v>
      </c>
      <c r="IJ174" t="e">
        <f>'All regions'!B4368+"n/&gt;!(_6"</f>
        <v>#VALUE!</v>
      </c>
      <c r="IK174" t="e">
        <f>'All regions'!C4368+"n/&gt;!(_7"</f>
        <v>#VALUE!</v>
      </c>
      <c r="IL174" t="e">
        <f>'All regions'!D4368+"n/&gt;!(_8"</f>
        <v>#VALUE!</v>
      </c>
      <c r="IM174" t="e">
        <f>'All regions'!E4368+"n/&gt;!(_9"</f>
        <v>#VALUE!</v>
      </c>
      <c r="IN174" t="e">
        <f>'All regions'!F4368+"n/&gt;!(_:"</f>
        <v>#VALUE!</v>
      </c>
      <c r="IO174" t="e">
        <f>'All regions'!G4368+"n/&gt;!(_;"</f>
        <v>#VALUE!</v>
      </c>
      <c r="IP174" t="e">
        <f>'All regions'!H4368+"n/&gt;!(_&lt;"</f>
        <v>#VALUE!</v>
      </c>
      <c r="IQ174" t="e">
        <f>'All regions'!I4368+"n/&gt;!(_="</f>
        <v>#VALUE!</v>
      </c>
      <c r="IR174" t="e">
        <f>'All regions'!J4368+"n/&gt;!(_&gt;"</f>
        <v>#VALUE!</v>
      </c>
      <c r="IS174" t="e">
        <f>'All regions'!A4369+"n/&gt;!(_?"</f>
        <v>#VALUE!</v>
      </c>
      <c r="IT174" t="e">
        <f>'All regions'!B4369+"n/&gt;!(_@"</f>
        <v>#VALUE!</v>
      </c>
      <c r="IU174" t="e">
        <f>'All regions'!C4369+"n/&gt;!(_A"</f>
        <v>#VALUE!</v>
      </c>
      <c r="IV174" t="e">
        <f>'All regions'!D4369+"n/&gt;!(_B"</f>
        <v>#VALUE!</v>
      </c>
    </row>
    <row r="175" spans="6:256" x14ac:dyDescent="0.35">
      <c r="F175" t="e">
        <f>'All regions'!E4369+"n/&gt;!(_C"</f>
        <v>#VALUE!</v>
      </c>
      <c r="G175" t="e">
        <f>'All regions'!F4369+"n/&gt;!(_D"</f>
        <v>#VALUE!</v>
      </c>
      <c r="H175" t="e">
        <f>'All regions'!G4369+"n/&gt;!(_E"</f>
        <v>#VALUE!</v>
      </c>
      <c r="I175" t="e">
        <f>'All regions'!H4369+"n/&gt;!(_F"</f>
        <v>#VALUE!</v>
      </c>
      <c r="J175" t="e">
        <f>'All regions'!I4369+"n/&gt;!(_G"</f>
        <v>#VALUE!</v>
      </c>
      <c r="K175" t="e">
        <f>'All regions'!J4369+"n/&gt;!(_H"</f>
        <v>#VALUE!</v>
      </c>
      <c r="L175" t="e">
        <f>'All regions'!A4370+"n/&gt;!(_I"</f>
        <v>#VALUE!</v>
      </c>
      <c r="M175" t="e">
        <f>'All regions'!B4370+"n/&gt;!(_J"</f>
        <v>#VALUE!</v>
      </c>
      <c r="N175" t="e">
        <f>'All regions'!C4370+"n/&gt;!(_K"</f>
        <v>#VALUE!</v>
      </c>
      <c r="O175" t="e">
        <f>'All regions'!D4370+"n/&gt;!(_L"</f>
        <v>#VALUE!</v>
      </c>
      <c r="P175" t="e">
        <f>'All regions'!E4370+"n/&gt;!(_M"</f>
        <v>#VALUE!</v>
      </c>
      <c r="Q175" t="e">
        <f>'All regions'!F4370+"n/&gt;!(_N"</f>
        <v>#VALUE!</v>
      </c>
      <c r="R175" t="e">
        <f>'All regions'!G4370+"n/&gt;!(_O"</f>
        <v>#VALUE!</v>
      </c>
      <c r="S175" t="e">
        <f>'All regions'!H4370+"n/&gt;!(_P"</f>
        <v>#VALUE!</v>
      </c>
      <c r="T175" t="e">
        <f>'All regions'!I4370+"n/&gt;!(_Q"</f>
        <v>#VALUE!</v>
      </c>
      <c r="U175" t="e">
        <f>'All regions'!J4370+"n/&gt;!(_R"</f>
        <v>#VALUE!</v>
      </c>
      <c r="V175" t="e">
        <f>'All regions'!A4371+"n/&gt;!(_S"</f>
        <v>#VALUE!</v>
      </c>
      <c r="W175" t="e">
        <f>'All regions'!B4371+"n/&gt;!(_T"</f>
        <v>#VALUE!</v>
      </c>
      <c r="X175" t="e">
        <f>'All regions'!C4371+"n/&gt;!(_U"</f>
        <v>#VALUE!</v>
      </c>
      <c r="Y175" t="e">
        <f>'All regions'!D4371+"n/&gt;!(_V"</f>
        <v>#VALUE!</v>
      </c>
      <c r="Z175" t="e">
        <f>'All regions'!E4371+"n/&gt;!(_W"</f>
        <v>#VALUE!</v>
      </c>
      <c r="AA175" t="e">
        <f>'All regions'!F4371+"n/&gt;!(_X"</f>
        <v>#VALUE!</v>
      </c>
      <c r="AB175" t="e">
        <f>'All regions'!G4371+"n/&gt;!(_Y"</f>
        <v>#VALUE!</v>
      </c>
      <c r="AC175" t="e">
        <f>'All regions'!H4371+"n/&gt;!(_Z"</f>
        <v>#VALUE!</v>
      </c>
      <c r="AD175" t="e">
        <f>'All regions'!I4371+"n/&gt;!(_["</f>
        <v>#VALUE!</v>
      </c>
      <c r="AE175" t="e">
        <f>'All regions'!J4371+"n/&gt;!(_\"</f>
        <v>#VALUE!</v>
      </c>
      <c r="AF175" t="e">
        <f>'All regions'!A4372+"n/&gt;!(_]"</f>
        <v>#VALUE!</v>
      </c>
      <c r="AG175" t="e">
        <f>'All regions'!B4372+"n/&gt;!(_^"</f>
        <v>#VALUE!</v>
      </c>
      <c r="AH175" t="e">
        <f>'All regions'!C4372+"n/&gt;!(__"</f>
        <v>#VALUE!</v>
      </c>
      <c r="AI175" t="e">
        <f>'All regions'!D4372+"n/&gt;!(_`"</f>
        <v>#VALUE!</v>
      </c>
      <c r="AJ175" t="e">
        <f>'All regions'!E4372+"n/&gt;!(_a"</f>
        <v>#VALUE!</v>
      </c>
      <c r="AK175" t="e">
        <f>'All regions'!F4372+"n/&gt;!(_b"</f>
        <v>#VALUE!</v>
      </c>
      <c r="AL175" t="e">
        <f>'All regions'!G4372+"n/&gt;!(_c"</f>
        <v>#VALUE!</v>
      </c>
      <c r="AM175" t="e">
        <f>'All regions'!H4372+"n/&gt;!(_d"</f>
        <v>#VALUE!</v>
      </c>
      <c r="AN175" t="e">
        <f>'All regions'!I4372+"n/&gt;!(_e"</f>
        <v>#VALUE!</v>
      </c>
      <c r="AO175" t="e">
        <f>'All regions'!J4372+"n/&gt;!(_f"</f>
        <v>#VALUE!</v>
      </c>
      <c r="AP175" t="e">
        <f>'All regions'!A4373+"n/&gt;!(_g"</f>
        <v>#VALUE!</v>
      </c>
      <c r="AQ175" t="e">
        <f>'All regions'!B4373+"n/&gt;!(_h"</f>
        <v>#VALUE!</v>
      </c>
      <c r="AR175" t="e">
        <f>'All regions'!C4373+"n/&gt;!(_i"</f>
        <v>#VALUE!</v>
      </c>
      <c r="AS175" t="e">
        <f>'All regions'!D4373+"n/&gt;!(_j"</f>
        <v>#VALUE!</v>
      </c>
      <c r="AT175" t="e">
        <f>'All regions'!E4373+"n/&gt;!(_k"</f>
        <v>#VALUE!</v>
      </c>
      <c r="AU175" t="e">
        <f>'All regions'!F4373+"n/&gt;!(_l"</f>
        <v>#VALUE!</v>
      </c>
      <c r="AV175" t="e">
        <f>'All regions'!G4373+"n/&gt;!(_m"</f>
        <v>#VALUE!</v>
      </c>
      <c r="AW175" t="e">
        <f>'All regions'!H4373+"n/&gt;!(_n"</f>
        <v>#VALUE!</v>
      </c>
      <c r="AX175" t="e">
        <f>'All regions'!I4373+"n/&gt;!(_o"</f>
        <v>#VALUE!</v>
      </c>
      <c r="AY175" t="e">
        <f>'All regions'!J4373+"n/&gt;!(_p"</f>
        <v>#VALUE!</v>
      </c>
      <c r="AZ175" t="e">
        <f>'All regions'!A4374+"n/&gt;!(_q"</f>
        <v>#VALUE!</v>
      </c>
      <c r="BA175" t="e">
        <f>'All regions'!B4374+"n/&gt;!(_r"</f>
        <v>#VALUE!</v>
      </c>
      <c r="BB175" t="e">
        <f>'All regions'!C4374+"n/&gt;!(_s"</f>
        <v>#VALUE!</v>
      </c>
      <c r="BC175" t="e">
        <f>'All regions'!D4374+"n/&gt;!(_t"</f>
        <v>#VALUE!</v>
      </c>
      <c r="BD175" t="e">
        <f>'All regions'!E4374+"n/&gt;!(_u"</f>
        <v>#VALUE!</v>
      </c>
      <c r="BE175" t="e">
        <f>'All regions'!F4374+"n/&gt;!(_v"</f>
        <v>#VALUE!</v>
      </c>
      <c r="BF175" t="e">
        <f>'All regions'!G4374+"n/&gt;!(_w"</f>
        <v>#VALUE!</v>
      </c>
      <c r="BG175" t="e">
        <f>'All regions'!H4374+"n/&gt;!(_x"</f>
        <v>#VALUE!</v>
      </c>
      <c r="BH175" t="e">
        <f>'All regions'!I4374+"n/&gt;!(_y"</f>
        <v>#VALUE!</v>
      </c>
      <c r="BI175" t="e">
        <f>'All regions'!J4374+"n/&gt;!(_z"</f>
        <v>#VALUE!</v>
      </c>
      <c r="BJ175" t="e">
        <f>'All regions'!A4375+"n/&gt;!(_{"</f>
        <v>#VALUE!</v>
      </c>
      <c r="BK175" t="e">
        <f>'All regions'!B4375+"n/&gt;!(_|"</f>
        <v>#VALUE!</v>
      </c>
      <c r="BL175" t="e">
        <f>'All regions'!C4375+"n/&gt;!(_}"</f>
        <v>#VALUE!</v>
      </c>
      <c r="BM175" t="e">
        <f>'All regions'!D4375+"n/&gt;!(_~"</f>
        <v>#VALUE!</v>
      </c>
      <c r="BN175" t="e">
        <f>'All regions'!E4375+"n/&gt;!(`#"</f>
        <v>#VALUE!</v>
      </c>
      <c r="BO175" t="e">
        <f>'All regions'!F4375+"n/&gt;!(`$"</f>
        <v>#VALUE!</v>
      </c>
      <c r="BP175" t="e">
        <f>'All regions'!G4375+"n/&gt;!(`%"</f>
        <v>#VALUE!</v>
      </c>
      <c r="BQ175" t="e">
        <f>'All regions'!H4375+"n/&gt;!(`&amp;"</f>
        <v>#VALUE!</v>
      </c>
      <c r="BR175" t="e">
        <f>'All regions'!I4375+"n/&gt;!(`'"</f>
        <v>#VALUE!</v>
      </c>
      <c r="BS175" t="e">
        <f>'All regions'!J4375+"n/&gt;!(`("</f>
        <v>#VALUE!</v>
      </c>
      <c r="BT175" t="e">
        <f>'All regions'!A4376+"n/&gt;!(`)"</f>
        <v>#VALUE!</v>
      </c>
      <c r="BU175" t="e">
        <f>'All regions'!B4376+"n/&gt;!(`."</f>
        <v>#VALUE!</v>
      </c>
      <c r="BV175" t="e">
        <f>'All regions'!C4376+"n/&gt;!(`/"</f>
        <v>#VALUE!</v>
      </c>
      <c r="BW175" t="e">
        <f>'All regions'!D4376+"n/&gt;!(`0"</f>
        <v>#VALUE!</v>
      </c>
      <c r="BX175" t="e">
        <f>'All regions'!E4376+"n/&gt;!(`1"</f>
        <v>#VALUE!</v>
      </c>
      <c r="BY175" t="e">
        <f>'All regions'!F4376+"n/&gt;!(`2"</f>
        <v>#VALUE!</v>
      </c>
      <c r="BZ175" t="e">
        <f>'All regions'!G4376+"n/&gt;!(`3"</f>
        <v>#VALUE!</v>
      </c>
      <c r="CA175" t="e">
        <f>'All regions'!H4376+"n/&gt;!(`4"</f>
        <v>#VALUE!</v>
      </c>
      <c r="CB175" t="e">
        <f>'All regions'!I4376+"n/&gt;!(`5"</f>
        <v>#VALUE!</v>
      </c>
      <c r="CC175" t="e">
        <f>'All regions'!J4376+"n/&gt;!(`6"</f>
        <v>#VALUE!</v>
      </c>
      <c r="CD175" t="e">
        <f>'All regions'!A4377+"n/&gt;!(`7"</f>
        <v>#VALUE!</v>
      </c>
      <c r="CE175" t="e">
        <f>'All regions'!B4377+"n/&gt;!(`8"</f>
        <v>#VALUE!</v>
      </c>
      <c r="CF175" t="e">
        <f>'All regions'!C4377+"n/&gt;!(`9"</f>
        <v>#VALUE!</v>
      </c>
      <c r="CG175" t="e">
        <f>'All regions'!D4377+"n/&gt;!(`:"</f>
        <v>#VALUE!</v>
      </c>
      <c r="CH175" t="e">
        <f>'All regions'!E4377+"n/&gt;!(`;"</f>
        <v>#VALUE!</v>
      </c>
      <c r="CI175" t="e">
        <f>'All regions'!F4377+"n/&gt;!(`&lt;"</f>
        <v>#VALUE!</v>
      </c>
      <c r="CJ175" t="e">
        <f>'All regions'!G4377+"n/&gt;!(`="</f>
        <v>#VALUE!</v>
      </c>
      <c r="CK175" t="e">
        <f>'All regions'!H4377+"n/&gt;!(`&gt;"</f>
        <v>#VALUE!</v>
      </c>
      <c r="CL175" t="e">
        <f>'All regions'!I4377+"n/&gt;!(`?"</f>
        <v>#VALUE!</v>
      </c>
      <c r="CM175" t="e">
        <f>'All regions'!J4377+"n/&gt;!(`@"</f>
        <v>#VALUE!</v>
      </c>
      <c r="CN175" t="e">
        <f>'All regions'!A4378+"n/&gt;!(`A"</f>
        <v>#VALUE!</v>
      </c>
      <c r="CO175" t="e">
        <f>'All regions'!B4378+"n/&gt;!(`B"</f>
        <v>#VALUE!</v>
      </c>
      <c r="CP175" t="e">
        <f>'All regions'!C4378+"n/&gt;!(`C"</f>
        <v>#VALUE!</v>
      </c>
      <c r="CQ175" t="e">
        <f>'All regions'!D4378+"n/&gt;!(`D"</f>
        <v>#VALUE!</v>
      </c>
      <c r="CR175" t="e">
        <f>'All regions'!E4378+"n/&gt;!(`E"</f>
        <v>#VALUE!</v>
      </c>
      <c r="CS175" t="e">
        <f>'All regions'!F4378+"n/&gt;!(`F"</f>
        <v>#VALUE!</v>
      </c>
      <c r="CT175" t="e">
        <f>'All regions'!G4378+"n/&gt;!(`G"</f>
        <v>#VALUE!</v>
      </c>
      <c r="CU175" t="e">
        <f>'All regions'!H4378+"n/&gt;!(`H"</f>
        <v>#VALUE!</v>
      </c>
      <c r="CV175" t="e">
        <f>'All regions'!I4378+"n/&gt;!(`I"</f>
        <v>#VALUE!</v>
      </c>
      <c r="CW175" t="e">
        <f>'All regions'!J4378+"n/&gt;!(`J"</f>
        <v>#VALUE!</v>
      </c>
      <c r="CX175" t="e">
        <f>'All regions'!A4379+"n/&gt;!(`K"</f>
        <v>#VALUE!</v>
      </c>
      <c r="CY175" t="e">
        <f>'All regions'!B4379+"n/&gt;!(`L"</f>
        <v>#VALUE!</v>
      </c>
      <c r="CZ175" t="e">
        <f>'All regions'!C4379+"n/&gt;!(`M"</f>
        <v>#VALUE!</v>
      </c>
      <c r="DA175" t="e">
        <f>'All regions'!D4379+"n/&gt;!(`N"</f>
        <v>#VALUE!</v>
      </c>
      <c r="DB175" t="e">
        <f>'All regions'!E4379+"n/&gt;!(`O"</f>
        <v>#VALUE!</v>
      </c>
      <c r="DC175" t="e">
        <f>'All regions'!F4379+"n/&gt;!(`P"</f>
        <v>#VALUE!</v>
      </c>
      <c r="DD175" t="e">
        <f>'All regions'!G4379+"n/&gt;!(`Q"</f>
        <v>#VALUE!</v>
      </c>
      <c r="DE175" t="e">
        <f>'All regions'!H4379+"n/&gt;!(`R"</f>
        <v>#VALUE!</v>
      </c>
      <c r="DF175" t="e">
        <f>'All regions'!I4379+"n/&gt;!(`S"</f>
        <v>#VALUE!</v>
      </c>
      <c r="DG175" t="e">
        <f>'All regions'!J4379+"n/&gt;!(`T"</f>
        <v>#VALUE!</v>
      </c>
      <c r="DH175" t="e">
        <f>'All regions'!A4380+"n/&gt;!(`U"</f>
        <v>#VALUE!</v>
      </c>
      <c r="DI175" t="e">
        <f>'All regions'!B4380+"n/&gt;!(`V"</f>
        <v>#VALUE!</v>
      </c>
      <c r="DJ175" t="e">
        <f>'All regions'!C4380+"n/&gt;!(`W"</f>
        <v>#VALUE!</v>
      </c>
      <c r="DK175" t="e">
        <f>'All regions'!D4380+"n/&gt;!(`X"</f>
        <v>#VALUE!</v>
      </c>
      <c r="DL175" t="e">
        <f>'All regions'!E4380+"n/&gt;!(`Y"</f>
        <v>#VALUE!</v>
      </c>
      <c r="DM175" t="e">
        <f>'All regions'!F4380+"n/&gt;!(`Z"</f>
        <v>#VALUE!</v>
      </c>
      <c r="DN175" t="e">
        <f>'All regions'!G4380+"n/&gt;!(`["</f>
        <v>#VALUE!</v>
      </c>
      <c r="DO175" t="e">
        <f>'All regions'!H4380+"n/&gt;!(`\"</f>
        <v>#VALUE!</v>
      </c>
      <c r="DP175" t="e">
        <f>'All regions'!I4380+"n/&gt;!(`]"</f>
        <v>#VALUE!</v>
      </c>
      <c r="DQ175" t="e">
        <f>'All regions'!J4380+"n/&gt;!(`^"</f>
        <v>#VALUE!</v>
      </c>
      <c r="DR175" t="e">
        <f>'All regions'!A4381+"n/&gt;!(`_"</f>
        <v>#VALUE!</v>
      </c>
      <c r="DS175" t="e">
        <f>'All regions'!B4381+"n/&gt;!(``"</f>
        <v>#VALUE!</v>
      </c>
      <c r="DT175" t="e">
        <f>'All regions'!C4381+"n/&gt;!(`a"</f>
        <v>#VALUE!</v>
      </c>
      <c r="DU175" t="e">
        <f>'All regions'!D4381+"n/&gt;!(`b"</f>
        <v>#VALUE!</v>
      </c>
      <c r="DV175" t="e">
        <f>'All regions'!E4381+"n/&gt;!(`c"</f>
        <v>#VALUE!</v>
      </c>
      <c r="DW175" t="e">
        <f>'All regions'!F4381+"n/&gt;!(`d"</f>
        <v>#VALUE!</v>
      </c>
      <c r="DX175" t="e">
        <f>'All regions'!G4381+"n/&gt;!(`e"</f>
        <v>#VALUE!</v>
      </c>
      <c r="DY175" t="e">
        <f>'All regions'!H4381+"n/&gt;!(`f"</f>
        <v>#VALUE!</v>
      </c>
      <c r="DZ175" t="e">
        <f>'All regions'!I4381+"n/&gt;!(`g"</f>
        <v>#VALUE!</v>
      </c>
      <c r="EA175" t="e">
        <f>'All regions'!J4381+"n/&gt;!(`h"</f>
        <v>#VALUE!</v>
      </c>
      <c r="EB175" t="e">
        <f>'All regions'!A4382+"n/&gt;!(`i"</f>
        <v>#VALUE!</v>
      </c>
      <c r="EC175" t="e">
        <f>'All regions'!B4382+"n/&gt;!(`j"</f>
        <v>#VALUE!</v>
      </c>
      <c r="ED175" t="e">
        <f>'All regions'!C4382+"n/&gt;!(`k"</f>
        <v>#VALUE!</v>
      </c>
      <c r="EE175" t="e">
        <f>'All regions'!D4382+"n/&gt;!(`l"</f>
        <v>#VALUE!</v>
      </c>
      <c r="EF175" t="e">
        <f>'All regions'!E4382+"n/&gt;!(`m"</f>
        <v>#VALUE!</v>
      </c>
      <c r="EG175" t="e">
        <f>'All regions'!F4382+"n/&gt;!(`n"</f>
        <v>#VALUE!</v>
      </c>
      <c r="EH175" t="e">
        <f>'All regions'!G4382+"n/&gt;!(`o"</f>
        <v>#VALUE!</v>
      </c>
      <c r="EI175" t="e">
        <f>'All regions'!H4382+"n/&gt;!(`p"</f>
        <v>#VALUE!</v>
      </c>
      <c r="EJ175" t="e">
        <f>'All regions'!I4382+"n/&gt;!(`q"</f>
        <v>#VALUE!</v>
      </c>
      <c r="EK175" t="e">
        <f>'All regions'!J4382+"n/&gt;!(`r"</f>
        <v>#VALUE!</v>
      </c>
      <c r="EL175" t="e">
        <f>'All regions'!A4383+"n/&gt;!(`s"</f>
        <v>#VALUE!</v>
      </c>
      <c r="EM175" t="e">
        <f>'All regions'!B4383+"n/&gt;!(`t"</f>
        <v>#VALUE!</v>
      </c>
      <c r="EN175" t="e">
        <f>'All regions'!C4383+"n/&gt;!(`u"</f>
        <v>#VALUE!</v>
      </c>
      <c r="EO175" t="e">
        <f>'All regions'!D4383+"n/&gt;!(`v"</f>
        <v>#VALUE!</v>
      </c>
      <c r="EP175" t="e">
        <f>'All regions'!E4383+"n/&gt;!(`w"</f>
        <v>#VALUE!</v>
      </c>
      <c r="EQ175" t="e">
        <f>'All regions'!F4383+"n/&gt;!(`x"</f>
        <v>#VALUE!</v>
      </c>
      <c r="ER175" t="e">
        <f>'All regions'!G4383+"n/&gt;!(`y"</f>
        <v>#VALUE!</v>
      </c>
      <c r="ES175" t="e">
        <f>'All regions'!H4383+"n/&gt;!(`z"</f>
        <v>#VALUE!</v>
      </c>
      <c r="ET175" t="e">
        <f>'All regions'!I4383+"n/&gt;!(`{"</f>
        <v>#VALUE!</v>
      </c>
      <c r="EU175" t="e">
        <f>'All regions'!J4383+"n/&gt;!(`|"</f>
        <v>#VALUE!</v>
      </c>
      <c r="EV175" t="e">
        <f>'All regions'!A4384+"n/&gt;!(`}"</f>
        <v>#VALUE!</v>
      </c>
      <c r="EW175" t="e">
        <f>'All regions'!B4384+"n/&gt;!(`~"</f>
        <v>#VALUE!</v>
      </c>
      <c r="EX175" t="e">
        <f>'All regions'!C4384+"n/&gt;!(a#"</f>
        <v>#VALUE!</v>
      </c>
      <c r="EY175" t="e">
        <f>'All regions'!D4384+"n/&gt;!(a$"</f>
        <v>#VALUE!</v>
      </c>
      <c r="EZ175" t="e">
        <f>'All regions'!E4384+"n/&gt;!(a%"</f>
        <v>#VALUE!</v>
      </c>
      <c r="FA175" t="e">
        <f>'All regions'!F4384+"n/&gt;!(a&amp;"</f>
        <v>#VALUE!</v>
      </c>
      <c r="FB175" t="e">
        <f>'All regions'!G4384+"n/&gt;!(a'"</f>
        <v>#VALUE!</v>
      </c>
      <c r="FC175" t="e">
        <f>'All regions'!H4384+"n/&gt;!(a("</f>
        <v>#VALUE!</v>
      </c>
      <c r="FD175" t="e">
        <f>'All regions'!I4384+"n/&gt;!(a)"</f>
        <v>#VALUE!</v>
      </c>
      <c r="FE175" t="e">
        <f>'All regions'!J4384+"n/&gt;!(a."</f>
        <v>#VALUE!</v>
      </c>
      <c r="FF175" t="e">
        <f>'All regions'!A4385+"n/&gt;!(a/"</f>
        <v>#VALUE!</v>
      </c>
      <c r="FG175" t="e">
        <f>'All regions'!B4385+"n/&gt;!(a0"</f>
        <v>#VALUE!</v>
      </c>
      <c r="FH175" t="e">
        <f>'All regions'!C4385+"n/&gt;!(a1"</f>
        <v>#VALUE!</v>
      </c>
      <c r="FI175" t="e">
        <f>'All regions'!D4385+"n/&gt;!(a2"</f>
        <v>#VALUE!</v>
      </c>
      <c r="FJ175" t="e">
        <f>'All regions'!E4385+"n/&gt;!(a3"</f>
        <v>#VALUE!</v>
      </c>
      <c r="FK175" t="e">
        <f>'All regions'!F4385+"n/&gt;!(a4"</f>
        <v>#VALUE!</v>
      </c>
      <c r="FL175" t="e">
        <f>'All regions'!G4385+"n/&gt;!(a5"</f>
        <v>#VALUE!</v>
      </c>
      <c r="FM175" t="e">
        <f>'All regions'!H4385+"n/&gt;!(a6"</f>
        <v>#VALUE!</v>
      </c>
      <c r="FN175" t="e">
        <f>'All regions'!I4385+"n/&gt;!(a7"</f>
        <v>#VALUE!</v>
      </c>
      <c r="FO175" t="e">
        <f>'All regions'!J4385+"n/&gt;!(a8"</f>
        <v>#VALUE!</v>
      </c>
      <c r="FP175" t="e">
        <f>'All regions'!A4386+"n/&gt;!(a9"</f>
        <v>#VALUE!</v>
      </c>
      <c r="FQ175" t="e">
        <f>'All regions'!B4386+"n/&gt;!(a:"</f>
        <v>#VALUE!</v>
      </c>
      <c r="FR175" t="e">
        <f>'All regions'!C4386+"n/&gt;!(a;"</f>
        <v>#VALUE!</v>
      </c>
      <c r="FS175" t="e">
        <f>'All regions'!D4386+"n/&gt;!(a&lt;"</f>
        <v>#VALUE!</v>
      </c>
      <c r="FT175" t="e">
        <f>'All regions'!E4386+"n/&gt;!(a="</f>
        <v>#VALUE!</v>
      </c>
      <c r="FU175" t="e">
        <f>'All regions'!F4386+"n/&gt;!(a&gt;"</f>
        <v>#VALUE!</v>
      </c>
      <c r="FV175" t="e">
        <f>'All regions'!G4386+"n/&gt;!(a?"</f>
        <v>#VALUE!</v>
      </c>
      <c r="FW175" t="e">
        <f>'All regions'!H4386+"n/&gt;!(a@"</f>
        <v>#VALUE!</v>
      </c>
      <c r="FX175" t="e">
        <f>'All regions'!I4386+"n/&gt;!(aA"</f>
        <v>#VALUE!</v>
      </c>
      <c r="FY175" t="e">
        <f>'All regions'!J4386+"n/&gt;!(aB"</f>
        <v>#VALUE!</v>
      </c>
      <c r="FZ175" t="e">
        <f>'All regions'!A4387+"n/&gt;!(aC"</f>
        <v>#VALUE!</v>
      </c>
      <c r="GA175" t="e">
        <f>'All regions'!B4387+"n/&gt;!(aD"</f>
        <v>#VALUE!</v>
      </c>
      <c r="GB175" t="e">
        <f>'All regions'!C4387+"n/&gt;!(aE"</f>
        <v>#VALUE!</v>
      </c>
      <c r="GC175" t="e">
        <f>'All regions'!D4387+"n/&gt;!(aF"</f>
        <v>#VALUE!</v>
      </c>
      <c r="GD175" t="e">
        <f>'All regions'!E4387+"n/&gt;!(aG"</f>
        <v>#VALUE!</v>
      </c>
      <c r="GE175" t="e">
        <f>'All regions'!F4387+"n/&gt;!(aH"</f>
        <v>#VALUE!</v>
      </c>
      <c r="GF175" t="e">
        <f>'All regions'!G4387+"n/&gt;!(aI"</f>
        <v>#VALUE!</v>
      </c>
      <c r="GG175" t="e">
        <f>'All regions'!H4387+"n/&gt;!(aJ"</f>
        <v>#VALUE!</v>
      </c>
      <c r="GH175" t="e">
        <f>'All regions'!I4387+"n/&gt;!(aK"</f>
        <v>#VALUE!</v>
      </c>
      <c r="GI175" t="e">
        <f>'All regions'!J4387+"n/&gt;!(aL"</f>
        <v>#VALUE!</v>
      </c>
      <c r="GJ175" t="e">
        <f>'All regions'!A4388+"n/&gt;!(aM"</f>
        <v>#VALUE!</v>
      </c>
      <c r="GK175" t="e">
        <f>'All regions'!B4388+"n/&gt;!(aN"</f>
        <v>#VALUE!</v>
      </c>
      <c r="GL175" t="e">
        <f>'All regions'!C4388+"n/&gt;!(aO"</f>
        <v>#VALUE!</v>
      </c>
      <c r="GM175" t="e">
        <f>'All regions'!D4388+"n/&gt;!(aP"</f>
        <v>#VALUE!</v>
      </c>
      <c r="GN175" t="e">
        <f>'All regions'!E4388+"n/&gt;!(aQ"</f>
        <v>#VALUE!</v>
      </c>
      <c r="GO175" t="e">
        <f>'All regions'!F4388+"n/&gt;!(aR"</f>
        <v>#VALUE!</v>
      </c>
      <c r="GP175" t="e">
        <f>'All regions'!G4388+"n/&gt;!(aS"</f>
        <v>#VALUE!</v>
      </c>
      <c r="GQ175" t="e">
        <f>'All regions'!H4388+"n/&gt;!(aT"</f>
        <v>#VALUE!</v>
      </c>
      <c r="GR175" t="e">
        <f>'All regions'!I4388+"n/&gt;!(aU"</f>
        <v>#VALUE!</v>
      </c>
      <c r="GS175" t="e">
        <f>'All regions'!J4388+"n/&gt;!(aV"</f>
        <v>#VALUE!</v>
      </c>
      <c r="GT175" t="e">
        <f>'All regions'!A4389+"n/&gt;!(aW"</f>
        <v>#VALUE!</v>
      </c>
      <c r="GU175" t="e">
        <f>'All regions'!B4389+"n/&gt;!(aX"</f>
        <v>#VALUE!</v>
      </c>
      <c r="GV175" t="e">
        <f>'All regions'!C4389+"n/&gt;!(aY"</f>
        <v>#VALUE!</v>
      </c>
      <c r="GW175" t="e">
        <f>'All regions'!D4389+"n/&gt;!(aZ"</f>
        <v>#VALUE!</v>
      </c>
      <c r="GX175" t="e">
        <f>'All regions'!E4389+"n/&gt;!(a["</f>
        <v>#VALUE!</v>
      </c>
      <c r="GY175" t="e">
        <f>'All regions'!F4389+"n/&gt;!(a\"</f>
        <v>#VALUE!</v>
      </c>
      <c r="GZ175" t="e">
        <f>'All regions'!G4389+"n/&gt;!(a]"</f>
        <v>#VALUE!</v>
      </c>
      <c r="HA175" t="e">
        <f>'All regions'!H4389+"n/&gt;!(a^"</f>
        <v>#VALUE!</v>
      </c>
      <c r="HB175" t="e">
        <f>'All regions'!I4389+"n/&gt;!(a_"</f>
        <v>#VALUE!</v>
      </c>
      <c r="HC175" t="e">
        <f>'All regions'!J4389+"n/&gt;!(a`"</f>
        <v>#VALUE!</v>
      </c>
      <c r="HD175" t="e">
        <f>'All regions'!A4390+"n/&gt;!(aa"</f>
        <v>#VALUE!</v>
      </c>
      <c r="HE175" t="e">
        <f>'All regions'!B4390+"n/&gt;!(ab"</f>
        <v>#VALUE!</v>
      </c>
      <c r="HF175" t="e">
        <f>'All regions'!C4390+"n/&gt;!(ac"</f>
        <v>#VALUE!</v>
      </c>
      <c r="HG175" t="e">
        <f>'All regions'!D4390+"n/&gt;!(ad"</f>
        <v>#VALUE!</v>
      </c>
      <c r="HH175" t="e">
        <f>'All regions'!E4390+"n/&gt;!(ae"</f>
        <v>#VALUE!</v>
      </c>
      <c r="HI175" t="e">
        <f>'All regions'!F4390+"n/&gt;!(af"</f>
        <v>#VALUE!</v>
      </c>
      <c r="HJ175" t="e">
        <f>'All regions'!G4390+"n/&gt;!(ag"</f>
        <v>#VALUE!</v>
      </c>
      <c r="HK175" t="e">
        <f>'All regions'!H4390+"n/&gt;!(ah"</f>
        <v>#VALUE!</v>
      </c>
      <c r="HL175" t="e">
        <f>'All regions'!I4390+"n/&gt;!(ai"</f>
        <v>#VALUE!</v>
      </c>
      <c r="HM175" t="e">
        <f>'All regions'!J4390+"n/&gt;!(aj"</f>
        <v>#VALUE!</v>
      </c>
      <c r="HN175" t="e">
        <f>'All regions'!A4391+"n/&gt;!(ak"</f>
        <v>#VALUE!</v>
      </c>
      <c r="HO175" t="e">
        <f>'All regions'!B4391+"n/&gt;!(al"</f>
        <v>#VALUE!</v>
      </c>
      <c r="HP175" t="e">
        <f>'All regions'!C4391+"n/&gt;!(am"</f>
        <v>#VALUE!</v>
      </c>
      <c r="HQ175" t="e">
        <f>'All regions'!D4391+"n/&gt;!(an"</f>
        <v>#VALUE!</v>
      </c>
      <c r="HR175" t="e">
        <f>'All regions'!E4391+"n/&gt;!(ao"</f>
        <v>#VALUE!</v>
      </c>
      <c r="HS175" t="e">
        <f>'All regions'!F4391+"n/&gt;!(ap"</f>
        <v>#VALUE!</v>
      </c>
      <c r="HT175" t="e">
        <f>'All regions'!G4391+"n/&gt;!(aq"</f>
        <v>#VALUE!</v>
      </c>
      <c r="HU175" t="e">
        <f>'All regions'!H4391+"n/&gt;!(ar"</f>
        <v>#VALUE!</v>
      </c>
      <c r="HV175" t="e">
        <f>'All regions'!I4391+"n/&gt;!(as"</f>
        <v>#VALUE!</v>
      </c>
      <c r="HW175" t="e">
        <f>'All regions'!J4391+"n/&gt;!(at"</f>
        <v>#VALUE!</v>
      </c>
      <c r="HX175" t="e">
        <f>'All regions'!A4392+"n/&gt;!(au"</f>
        <v>#VALUE!</v>
      </c>
      <c r="HY175" t="e">
        <f>'All regions'!B4392+"n/&gt;!(av"</f>
        <v>#VALUE!</v>
      </c>
      <c r="HZ175" t="e">
        <f>'All regions'!C4392+"n/&gt;!(aw"</f>
        <v>#VALUE!</v>
      </c>
      <c r="IA175" t="e">
        <f>'All regions'!D4392+"n/&gt;!(ax"</f>
        <v>#VALUE!</v>
      </c>
      <c r="IB175" t="e">
        <f>'All regions'!E4392+"n/&gt;!(ay"</f>
        <v>#VALUE!</v>
      </c>
      <c r="IC175" t="e">
        <f>'All regions'!F4392+"n/&gt;!(az"</f>
        <v>#VALUE!</v>
      </c>
      <c r="ID175" t="e">
        <f>'All regions'!G4392+"n/&gt;!(a{"</f>
        <v>#VALUE!</v>
      </c>
      <c r="IE175" t="e">
        <f>'All regions'!H4392+"n/&gt;!(a|"</f>
        <v>#VALUE!</v>
      </c>
      <c r="IF175" t="e">
        <f>'All regions'!I4392+"n/&gt;!(a}"</f>
        <v>#VALUE!</v>
      </c>
      <c r="IG175" t="e">
        <f>'All regions'!J4392+"n/&gt;!(a~"</f>
        <v>#VALUE!</v>
      </c>
      <c r="IH175" t="e">
        <f>'All regions'!A4393+"n/&gt;!(b#"</f>
        <v>#VALUE!</v>
      </c>
      <c r="II175" t="e">
        <f>'All regions'!B4393+"n/&gt;!(b$"</f>
        <v>#VALUE!</v>
      </c>
      <c r="IJ175" t="e">
        <f>'All regions'!C4393+"n/&gt;!(b%"</f>
        <v>#VALUE!</v>
      </c>
      <c r="IK175" t="e">
        <f>'All regions'!D4393+"n/&gt;!(b&amp;"</f>
        <v>#VALUE!</v>
      </c>
      <c r="IL175" t="e">
        <f>'All regions'!E4393+"n/&gt;!(b'"</f>
        <v>#VALUE!</v>
      </c>
      <c r="IM175" t="e">
        <f>'All regions'!F4393+"n/&gt;!(b("</f>
        <v>#VALUE!</v>
      </c>
      <c r="IN175" t="e">
        <f>'All regions'!G4393+"n/&gt;!(b)"</f>
        <v>#VALUE!</v>
      </c>
      <c r="IO175" t="e">
        <f>'All regions'!H4393+"n/&gt;!(b."</f>
        <v>#VALUE!</v>
      </c>
      <c r="IP175" t="e">
        <f>'All regions'!I4393+"n/&gt;!(b/"</f>
        <v>#VALUE!</v>
      </c>
      <c r="IQ175" t="e">
        <f>'All regions'!J4393+"n/&gt;!(b0"</f>
        <v>#VALUE!</v>
      </c>
      <c r="IR175" t="e">
        <f>'All regions'!A4394+"n/&gt;!(b1"</f>
        <v>#VALUE!</v>
      </c>
      <c r="IS175" t="e">
        <f>'All regions'!B4394+"n/&gt;!(b2"</f>
        <v>#VALUE!</v>
      </c>
      <c r="IT175" t="e">
        <f>'All regions'!C4394+"n/&gt;!(b3"</f>
        <v>#VALUE!</v>
      </c>
      <c r="IU175" t="e">
        <f>'All regions'!D4394+"n/&gt;!(b4"</f>
        <v>#VALUE!</v>
      </c>
      <c r="IV175" t="e">
        <f>'All regions'!E4394+"n/&gt;!(b5"</f>
        <v>#VALUE!</v>
      </c>
    </row>
    <row r="176" spans="6:256" x14ac:dyDescent="0.35">
      <c r="F176" t="e">
        <f>'All regions'!F4394+"n/&gt;!(b6"</f>
        <v>#VALUE!</v>
      </c>
      <c r="G176" t="e">
        <f>'All regions'!G4394+"n/&gt;!(b7"</f>
        <v>#VALUE!</v>
      </c>
      <c r="H176" t="e">
        <f>'All regions'!H4394+"n/&gt;!(b8"</f>
        <v>#VALUE!</v>
      </c>
      <c r="I176" t="e">
        <f>'All regions'!I4394+"n/&gt;!(b9"</f>
        <v>#VALUE!</v>
      </c>
      <c r="J176" t="e">
        <f>'All regions'!J4394+"n/&gt;!(b:"</f>
        <v>#VALUE!</v>
      </c>
      <c r="K176" t="e">
        <f>'All regions'!A4395+"n/&gt;!(b;"</f>
        <v>#VALUE!</v>
      </c>
      <c r="L176" t="e">
        <f>'All regions'!B4395+"n/&gt;!(b&lt;"</f>
        <v>#VALUE!</v>
      </c>
      <c r="M176" t="e">
        <f>'All regions'!C4395+"n/&gt;!(b="</f>
        <v>#VALUE!</v>
      </c>
      <c r="N176" t="e">
        <f>'All regions'!D4395+"n/&gt;!(b&gt;"</f>
        <v>#VALUE!</v>
      </c>
      <c r="O176" t="e">
        <f>'All regions'!E4395+"n/&gt;!(b?"</f>
        <v>#VALUE!</v>
      </c>
      <c r="P176" t="e">
        <f>'All regions'!F4395+"n/&gt;!(b@"</f>
        <v>#VALUE!</v>
      </c>
      <c r="Q176" t="e">
        <f>'All regions'!G4395+"n/&gt;!(bA"</f>
        <v>#VALUE!</v>
      </c>
      <c r="R176" t="e">
        <f>'All regions'!H4395+"n/&gt;!(bB"</f>
        <v>#VALUE!</v>
      </c>
      <c r="S176" t="e">
        <f>'All regions'!I4395+"n/&gt;!(bC"</f>
        <v>#VALUE!</v>
      </c>
      <c r="T176" t="e">
        <f>'All regions'!J4395+"n/&gt;!(bD"</f>
        <v>#VALUE!</v>
      </c>
      <c r="U176" t="e">
        <f>'All regions'!A4396+"n/&gt;!(bE"</f>
        <v>#VALUE!</v>
      </c>
      <c r="V176" t="e">
        <f>'All regions'!B4396+"n/&gt;!(bF"</f>
        <v>#VALUE!</v>
      </c>
      <c r="W176" t="e">
        <f>'All regions'!C4396+"n/&gt;!(bG"</f>
        <v>#VALUE!</v>
      </c>
      <c r="X176" t="e">
        <f>'All regions'!D4396+"n/&gt;!(bH"</f>
        <v>#VALUE!</v>
      </c>
      <c r="Y176" t="e">
        <f>'All regions'!E4396+"n/&gt;!(bI"</f>
        <v>#VALUE!</v>
      </c>
      <c r="Z176" t="e">
        <f>'All regions'!F4396+"n/&gt;!(bJ"</f>
        <v>#VALUE!</v>
      </c>
      <c r="AA176" t="e">
        <f>'All regions'!G4396+"n/&gt;!(bK"</f>
        <v>#VALUE!</v>
      </c>
      <c r="AB176" t="e">
        <f>'All regions'!H4396+"n/&gt;!(bL"</f>
        <v>#VALUE!</v>
      </c>
      <c r="AC176" t="e">
        <f>'All regions'!I4396+"n/&gt;!(bM"</f>
        <v>#VALUE!</v>
      </c>
      <c r="AD176" t="e">
        <f>'All regions'!J4396+"n/&gt;!(bN"</f>
        <v>#VALUE!</v>
      </c>
      <c r="AE176" t="e">
        <f>'All regions'!A4397+"n/&gt;!(bO"</f>
        <v>#VALUE!</v>
      </c>
      <c r="AF176" t="e">
        <f>'All regions'!B4397+"n/&gt;!(bP"</f>
        <v>#VALUE!</v>
      </c>
      <c r="AG176" t="e">
        <f>'All regions'!C4397+"n/&gt;!(bQ"</f>
        <v>#VALUE!</v>
      </c>
      <c r="AH176" t="e">
        <f>'All regions'!D4397+"n/&gt;!(bR"</f>
        <v>#VALUE!</v>
      </c>
      <c r="AI176" t="e">
        <f>'All regions'!E4397+"n/&gt;!(bS"</f>
        <v>#VALUE!</v>
      </c>
      <c r="AJ176" t="e">
        <f>'All regions'!F4397+"n/&gt;!(bT"</f>
        <v>#VALUE!</v>
      </c>
      <c r="AK176" t="e">
        <f>'All regions'!G4397+"n/&gt;!(bU"</f>
        <v>#VALUE!</v>
      </c>
      <c r="AL176" t="e">
        <f>'All regions'!H4397+"n/&gt;!(bV"</f>
        <v>#VALUE!</v>
      </c>
      <c r="AM176" t="e">
        <f>'All regions'!I4397+"n/&gt;!(bW"</f>
        <v>#VALUE!</v>
      </c>
      <c r="AN176" t="e">
        <f>'All regions'!J4397+"n/&gt;!(bX"</f>
        <v>#VALUE!</v>
      </c>
      <c r="AO176" t="e">
        <f>'All regions'!A4398+"n/&gt;!(bY"</f>
        <v>#VALUE!</v>
      </c>
      <c r="AP176" t="e">
        <f>'All regions'!B4398+"n/&gt;!(bZ"</f>
        <v>#VALUE!</v>
      </c>
      <c r="AQ176" t="e">
        <f>'All regions'!C4398+"n/&gt;!(b["</f>
        <v>#VALUE!</v>
      </c>
      <c r="AR176" t="e">
        <f>'All regions'!D4398+"n/&gt;!(b\"</f>
        <v>#VALUE!</v>
      </c>
      <c r="AS176" t="e">
        <f>'All regions'!E4398+"n/&gt;!(b]"</f>
        <v>#VALUE!</v>
      </c>
      <c r="AT176" t="e">
        <f>'All regions'!F4398+"n/&gt;!(b^"</f>
        <v>#VALUE!</v>
      </c>
      <c r="AU176" t="e">
        <f>'All regions'!G4398+"n/&gt;!(b_"</f>
        <v>#VALUE!</v>
      </c>
      <c r="AV176" t="e">
        <f>'All regions'!H4398+"n/&gt;!(b`"</f>
        <v>#VALUE!</v>
      </c>
      <c r="AW176" t="e">
        <f>'All regions'!I4398+"n/&gt;!(ba"</f>
        <v>#VALUE!</v>
      </c>
      <c r="AX176" t="e">
        <f>'All regions'!J4398+"n/&gt;!(bb"</f>
        <v>#VALUE!</v>
      </c>
      <c r="AY176" t="e">
        <f>'All regions'!A4399+"n/&gt;!(bc"</f>
        <v>#VALUE!</v>
      </c>
      <c r="AZ176" t="e">
        <f>'All regions'!B4399+"n/&gt;!(bd"</f>
        <v>#VALUE!</v>
      </c>
      <c r="BA176" t="e">
        <f>'All regions'!C4399+"n/&gt;!(be"</f>
        <v>#VALUE!</v>
      </c>
      <c r="BB176" t="e">
        <f>'All regions'!D4399+"n/&gt;!(bf"</f>
        <v>#VALUE!</v>
      </c>
      <c r="BC176" t="e">
        <f>'All regions'!E4399+"n/&gt;!(bg"</f>
        <v>#VALUE!</v>
      </c>
      <c r="BD176" t="e">
        <f>'All regions'!F4399+"n/&gt;!(bh"</f>
        <v>#VALUE!</v>
      </c>
      <c r="BE176" t="e">
        <f>'All regions'!G4399+"n/&gt;!(bi"</f>
        <v>#VALUE!</v>
      </c>
      <c r="BF176" t="e">
        <f>'All regions'!H4399+"n/&gt;!(bj"</f>
        <v>#VALUE!</v>
      </c>
      <c r="BG176" t="e">
        <f>'All regions'!I4399+"n/&gt;!(bk"</f>
        <v>#VALUE!</v>
      </c>
      <c r="BH176" t="e">
        <f>'All regions'!J4399+"n/&gt;!(bl"</f>
        <v>#VALUE!</v>
      </c>
      <c r="BI176" t="e">
        <f>'All regions'!A4400+"n/&gt;!(bm"</f>
        <v>#VALUE!</v>
      </c>
      <c r="BJ176" t="e">
        <f>'All regions'!B4400+"n/&gt;!(bn"</f>
        <v>#VALUE!</v>
      </c>
      <c r="BK176" t="e">
        <f>'All regions'!C4400+"n/&gt;!(bo"</f>
        <v>#VALUE!</v>
      </c>
      <c r="BL176" t="e">
        <f>'All regions'!D4400+"n/&gt;!(bp"</f>
        <v>#VALUE!</v>
      </c>
      <c r="BM176" t="e">
        <f>'All regions'!E4400+"n/&gt;!(bq"</f>
        <v>#VALUE!</v>
      </c>
      <c r="BN176" t="e">
        <f>'All regions'!F4400+"n/&gt;!(br"</f>
        <v>#VALUE!</v>
      </c>
      <c r="BO176" t="e">
        <f>'All regions'!G4400+"n/&gt;!(bs"</f>
        <v>#VALUE!</v>
      </c>
      <c r="BP176" t="e">
        <f>'All regions'!H4400+"n/&gt;!(bt"</f>
        <v>#VALUE!</v>
      </c>
      <c r="BQ176" t="e">
        <f>'All regions'!I4400+"n/&gt;!(bu"</f>
        <v>#VALUE!</v>
      </c>
      <c r="BR176" t="e">
        <f>'All regions'!J4400+"n/&gt;!(bv"</f>
        <v>#VALUE!</v>
      </c>
      <c r="BS176" t="e">
        <f>'All regions'!A4401+"n/&gt;!(bw"</f>
        <v>#VALUE!</v>
      </c>
      <c r="BT176" t="e">
        <f>'All regions'!B4401+"n/&gt;!(bx"</f>
        <v>#VALUE!</v>
      </c>
      <c r="BU176" t="e">
        <f>'All regions'!C4401+"n/&gt;!(by"</f>
        <v>#VALUE!</v>
      </c>
      <c r="BV176" t="e">
        <f>'All regions'!D4401+"n/&gt;!(bz"</f>
        <v>#VALUE!</v>
      </c>
      <c r="BW176" t="e">
        <f>'All regions'!E4401+"n/&gt;!(b{"</f>
        <v>#VALUE!</v>
      </c>
      <c r="BX176" t="e">
        <f>'All regions'!F4401+"n/&gt;!(b|"</f>
        <v>#VALUE!</v>
      </c>
      <c r="BY176" t="e">
        <f>'All regions'!G4401+"n/&gt;!(b}"</f>
        <v>#VALUE!</v>
      </c>
      <c r="BZ176" t="e">
        <f>'All regions'!H4401+"n/&gt;!(b~"</f>
        <v>#VALUE!</v>
      </c>
      <c r="CA176" t="e">
        <f>'All regions'!I4401+"n/&gt;!(c#"</f>
        <v>#VALUE!</v>
      </c>
      <c r="CB176" t="e">
        <f>'All regions'!J4401+"n/&gt;!(c$"</f>
        <v>#VALUE!</v>
      </c>
      <c r="CC176" t="e">
        <f>'All regions'!A4402+"n/&gt;!(c%"</f>
        <v>#VALUE!</v>
      </c>
      <c r="CD176" t="e">
        <f>'All regions'!B4402+"n/&gt;!(c&amp;"</f>
        <v>#VALUE!</v>
      </c>
      <c r="CE176" t="e">
        <f>'All regions'!C4402+"n/&gt;!(c'"</f>
        <v>#VALUE!</v>
      </c>
      <c r="CF176" t="e">
        <f>'All regions'!D4402+"n/&gt;!(c("</f>
        <v>#VALUE!</v>
      </c>
      <c r="CG176" t="e">
        <f>'All regions'!E4402+"n/&gt;!(c)"</f>
        <v>#VALUE!</v>
      </c>
      <c r="CH176" t="e">
        <f>'All regions'!F4402+"n/&gt;!(c."</f>
        <v>#VALUE!</v>
      </c>
      <c r="CI176" t="e">
        <f>'All regions'!G4402+"n/&gt;!(c/"</f>
        <v>#VALUE!</v>
      </c>
      <c r="CJ176" t="e">
        <f>'All regions'!H4402+"n/&gt;!(c0"</f>
        <v>#VALUE!</v>
      </c>
      <c r="CK176" t="e">
        <f>'All regions'!I4402+"n/&gt;!(c1"</f>
        <v>#VALUE!</v>
      </c>
      <c r="CL176" t="e">
        <f>'All regions'!J4402+"n/&gt;!(c2"</f>
        <v>#VALUE!</v>
      </c>
      <c r="CM176" t="e">
        <f>'All regions'!A4403+"n/&gt;!(c3"</f>
        <v>#VALUE!</v>
      </c>
      <c r="CN176" t="e">
        <f>'All regions'!B4403+"n/&gt;!(c4"</f>
        <v>#VALUE!</v>
      </c>
      <c r="CO176" t="e">
        <f>'All regions'!C4403+"n/&gt;!(c5"</f>
        <v>#VALUE!</v>
      </c>
      <c r="CP176" t="e">
        <f>'All regions'!D4403+"n/&gt;!(c6"</f>
        <v>#VALUE!</v>
      </c>
      <c r="CQ176" t="e">
        <f>'All regions'!E4403+"n/&gt;!(c7"</f>
        <v>#VALUE!</v>
      </c>
      <c r="CR176" t="e">
        <f>'All regions'!F4403+"n/&gt;!(c8"</f>
        <v>#VALUE!</v>
      </c>
      <c r="CS176" t="e">
        <f>'All regions'!G4403+"n/&gt;!(c9"</f>
        <v>#VALUE!</v>
      </c>
      <c r="CT176" t="e">
        <f>'All regions'!H4403+"n/&gt;!(c:"</f>
        <v>#VALUE!</v>
      </c>
      <c r="CU176" t="e">
        <f>'All regions'!I4403+"n/&gt;!(c;"</f>
        <v>#VALUE!</v>
      </c>
      <c r="CV176" t="e">
        <f>'All regions'!J4403+"n/&gt;!(c&lt;"</f>
        <v>#VALUE!</v>
      </c>
      <c r="CW176" t="e">
        <f>'All regions'!A4404+"n/&gt;!(c="</f>
        <v>#VALUE!</v>
      </c>
      <c r="CX176" t="e">
        <f>'All regions'!B4404+"n/&gt;!(c&gt;"</f>
        <v>#VALUE!</v>
      </c>
      <c r="CY176" t="e">
        <f>'All regions'!C4404+"n/&gt;!(c?"</f>
        <v>#VALUE!</v>
      </c>
      <c r="CZ176" t="e">
        <f>'All regions'!D4404+"n/&gt;!(c@"</f>
        <v>#VALUE!</v>
      </c>
      <c r="DA176" t="e">
        <f>'All regions'!E4404+"n/&gt;!(cA"</f>
        <v>#VALUE!</v>
      </c>
      <c r="DB176" t="e">
        <f>'All regions'!F4404+"n/&gt;!(cB"</f>
        <v>#VALUE!</v>
      </c>
      <c r="DC176" t="e">
        <f>'All regions'!G4404+"n/&gt;!(cC"</f>
        <v>#VALUE!</v>
      </c>
      <c r="DD176" t="e">
        <f>'All regions'!H4404+"n/&gt;!(cD"</f>
        <v>#VALUE!</v>
      </c>
      <c r="DE176" t="e">
        <f>'All regions'!I4404+"n/&gt;!(cE"</f>
        <v>#VALUE!</v>
      </c>
      <c r="DF176" t="e">
        <f>'All regions'!J4404+"n/&gt;!(cF"</f>
        <v>#VALUE!</v>
      </c>
      <c r="DG176" t="e">
        <f>'All regions'!A4405+"n/&gt;!(cG"</f>
        <v>#VALUE!</v>
      </c>
      <c r="DH176" t="e">
        <f>'All regions'!B4405+"n/&gt;!(cH"</f>
        <v>#VALUE!</v>
      </c>
      <c r="DI176" t="e">
        <f>'All regions'!C4405+"n/&gt;!(cI"</f>
        <v>#VALUE!</v>
      </c>
      <c r="DJ176" t="e">
        <f>'All regions'!D4405+"n/&gt;!(cJ"</f>
        <v>#VALUE!</v>
      </c>
      <c r="DK176" t="e">
        <f>'All regions'!E4405+"n/&gt;!(cK"</f>
        <v>#VALUE!</v>
      </c>
      <c r="DL176" t="e">
        <f>'All regions'!F4405+"n/&gt;!(cL"</f>
        <v>#VALUE!</v>
      </c>
      <c r="DM176" t="e">
        <f>'All regions'!G4405+"n/&gt;!(cM"</f>
        <v>#VALUE!</v>
      </c>
      <c r="DN176" t="e">
        <f>'All regions'!H4405+"n/&gt;!(cN"</f>
        <v>#VALUE!</v>
      </c>
      <c r="DO176" t="e">
        <f>'All regions'!I4405+"n/&gt;!(cO"</f>
        <v>#VALUE!</v>
      </c>
      <c r="DP176" t="e">
        <f>'All regions'!J4405+"n/&gt;!(cP"</f>
        <v>#VALUE!</v>
      </c>
      <c r="DQ176" t="e">
        <f>'All regions'!A4406+"n/&gt;!(cQ"</f>
        <v>#VALUE!</v>
      </c>
      <c r="DR176" t="e">
        <f>'All regions'!B4406+"n/&gt;!(cR"</f>
        <v>#VALUE!</v>
      </c>
      <c r="DS176" t="e">
        <f>'All regions'!C4406+"n/&gt;!(cS"</f>
        <v>#VALUE!</v>
      </c>
      <c r="DT176" t="e">
        <f>'All regions'!D4406+"n/&gt;!(cT"</f>
        <v>#VALUE!</v>
      </c>
      <c r="DU176" t="e">
        <f>'All regions'!E4406+"n/&gt;!(cU"</f>
        <v>#VALUE!</v>
      </c>
      <c r="DV176" t="e">
        <f>'All regions'!F4406+"n/&gt;!(cV"</f>
        <v>#VALUE!</v>
      </c>
      <c r="DW176" t="e">
        <f>'All regions'!G4406+"n/&gt;!(cW"</f>
        <v>#VALUE!</v>
      </c>
      <c r="DX176" t="e">
        <f>'All regions'!H4406+"n/&gt;!(cX"</f>
        <v>#VALUE!</v>
      </c>
      <c r="DY176" t="e">
        <f>'All regions'!I4406+"n/&gt;!(cY"</f>
        <v>#VALUE!</v>
      </c>
      <c r="DZ176" t="e">
        <f>'All regions'!J4406+"n/&gt;!(cZ"</f>
        <v>#VALUE!</v>
      </c>
      <c r="EA176" t="e">
        <f>'All regions'!A4407+"n/&gt;!(c["</f>
        <v>#VALUE!</v>
      </c>
      <c r="EB176" t="e">
        <f>'All regions'!B4407+"n/&gt;!(c\"</f>
        <v>#VALUE!</v>
      </c>
      <c r="EC176" t="e">
        <f>'All regions'!C4407+"n/&gt;!(c]"</f>
        <v>#VALUE!</v>
      </c>
      <c r="ED176" t="e">
        <f>'All regions'!D4407+"n/&gt;!(c^"</f>
        <v>#VALUE!</v>
      </c>
      <c r="EE176" t="e">
        <f>'All regions'!E4407+"n/&gt;!(c_"</f>
        <v>#VALUE!</v>
      </c>
      <c r="EF176" t="e">
        <f>'All regions'!F4407+"n/&gt;!(c`"</f>
        <v>#VALUE!</v>
      </c>
      <c r="EG176" t="e">
        <f>'All regions'!G4407+"n/&gt;!(ca"</f>
        <v>#VALUE!</v>
      </c>
      <c r="EH176" t="e">
        <f>'All regions'!H4407+"n/&gt;!(cb"</f>
        <v>#VALUE!</v>
      </c>
      <c r="EI176" t="e">
        <f>'All regions'!I4407+"n/&gt;!(cc"</f>
        <v>#VALUE!</v>
      </c>
      <c r="EJ176" t="e">
        <f>'All regions'!J4407+"n/&gt;!(cd"</f>
        <v>#VALUE!</v>
      </c>
      <c r="EK176" t="e">
        <f>'All regions'!A4408+"n/&gt;!(ce"</f>
        <v>#VALUE!</v>
      </c>
      <c r="EL176" t="e">
        <f>'All regions'!B4408+"n/&gt;!(cf"</f>
        <v>#VALUE!</v>
      </c>
      <c r="EM176" t="e">
        <f>'All regions'!C4408+"n/&gt;!(cg"</f>
        <v>#VALUE!</v>
      </c>
      <c r="EN176" t="e">
        <f>'All regions'!D4408+"n/&gt;!(ch"</f>
        <v>#VALUE!</v>
      </c>
      <c r="EO176" t="e">
        <f>'All regions'!E4408+"n/&gt;!(ci"</f>
        <v>#VALUE!</v>
      </c>
      <c r="EP176" t="e">
        <f>'All regions'!F4408+"n/&gt;!(cj"</f>
        <v>#VALUE!</v>
      </c>
      <c r="EQ176" t="e">
        <f>'All regions'!G4408+"n/&gt;!(ck"</f>
        <v>#VALUE!</v>
      </c>
      <c r="ER176" t="e">
        <f>'All regions'!H4408+"n/&gt;!(cl"</f>
        <v>#VALUE!</v>
      </c>
      <c r="ES176" t="e">
        <f>'All regions'!I4408+"n/&gt;!(cm"</f>
        <v>#VALUE!</v>
      </c>
      <c r="ET176" t="e">
        <f>'All regions'!J4408+"n/&gt;!(cn"</f>
        <v>#VALUE!</v>
      </c>
      <c r="EU176" t="e">
        <f>'All regions'!A4409+"n/&gt;!(co"</f>
        <v>#VALUE!</v>
      </c>
      <c r="EV176" t="e">
        <f>'All regions'!B4409+"n/&gt;!(cp"</f>
        <v>#VALUE!</v>
      </c>
      <c r="EW176" t="e">
        <f>'All regions'!C4409+"n/&gt;!(cq"</f>
        <v>#VALUE!</v>
      </c>
      <c r="EX176" t="e">
        <f>'All regions'!D4409+"n/&gt;!(cr"</f>
        <v>#VALUE!</v>
      </c>
      <c r="EY176" t="e">
        <f>'All regions'!E4409+"n/&gt;!(cs"</f>
        <v>#VALUE!</v>
      </c>
      <c r="EZ176" t="e">
        <f>'All regions'!F4409+"n/&gt;!(ct"</f>
        <v>#VALUE!</v>
      </c>
      <c r="FA176" t="e">
        <f>'All regions'!G4409+"n/&gt;!(cu"</f>
        <v>#VALUE!</v>
      </c>
      <c r="FB176" t="e">
        <f>'All regions'!H4409+"n/&gt;!(cv"</f>
        <v>#VALUE!</v>
      </c>
      <c r="FC176" t="e">
        <f>'All regions'!I4409+"n/&gt;!(cw"</f>
        <v>#VALUE!</v>
      </c>
      <c r="FD176" t="e">
        <f>'All regions'!J4409+"n/&gt;!(cx"</f>
        <v>#VALUE!</v>
      </c>
      <c r="FE176" t="e">
        <f>'All regions'!A4410+"n/&gt;!(cy"</f>
        <v>#VALUE!</v>
      </c>
      <c r="FF176" t="e">
        <f>'All regions'!B4410+"n/&gt;!(cz"</f>
        <v>#VALUE!</v>
      </c>
      <c r="FG176" t="e">
        <f>'All regions'!C4410+"n/&gt;!(c{"</f>
        <v>#VALUE!</v>
      </c>
      <c r="FH176" t="e">
        <f>'All regions'!D4410+"n/&gt;!(c|"</f>
        <v>#VALUE!</v>
      </c>
      <c r="FI176" t="e">
        <f>'All regions'!E4410+"n/&gt;!(c}"</f>
        <v>#VALUE!</v>
      </c>
      <c r="FJ176" t="e">
        <f>'All regions'!F4410+"n/&gt;!(c~"</f>
        <v>#VALUE!</v>
      </c>
      <c r="FK176" t="e">
        <f>'All regions'!G4410+"n/&gt;!(d#"</f>
        <v>#VALUE!</v>
      </c>
      <c r="FL176" t="e">
        <f>'All regions'!H4410+"n/&gt;!(d$"</f>
        <v>#VALUE!</v>
      </c>
      <c r="FM176" t="e">
        <f>'All regions'!I4410+"n/&gt;!(d%"</f>
        <v>#VALUE!</v>
      </c>
      <c r="FN176" t="e">
        <f>'All regions'!J4410+"n/&gt;!(d&amp;"</f>
        <v>#VALUE!</v>
      </c>
      <c r="FO176" t="e">
        <f>'All regions'!A4411+"n/&gt;!(d'"</f>
        <v>#VALUE!</v>
      </c>
      <c r="FP176" t="e">
        <f>'All regions'!B4411+"n/&gt;!(d("</f>
        <v>#VALUE!</v>
      </c>
      <c r="FQ176" t="e">
        <f>'All regions'!C4411+"n/&gt;!(d)"</f>
        <v>#VALUE!</v>
      </c>
      <c r="FR176" t="e">
        <f>'All regions'!D4411+"n/&gt;!(d."</f>
        <v>#VALUE!</v>
      </c>
      <c r="FS176" t="e">
        <f>'All regions'!E4411+"n/&gt;!(d/"</f>
        <v>#VALUE!</v>
      </c>
      <c r="FT176" t="e">
        <f>'All regions'!F4411+"n/&gt;!(d0"</f>
        <v>#VALUE!</v>
      </c>
      <c r="FU176" t="e">
        <f>'All regions'!G4411+"n/&gt;!(d1"</f>
        <v>#VALUE!</v>
      </c>
      <c r="FV176" t="e">
        <f>'All regions'!H4411+"n/&gt;!(d2"</f>
        <v>#VALUE!</v>
      </c>
      <c r="FW176" t="e">
        <f>'All regions'!I4411+"n/&gt;!(d3"</f>
        <v>#VALUE!</v>
      </c>
      <c r="FX176" t="e">
        <f>'All regions'!J4411+"n/&gt;!(d4"</f>
        <v>#VALUE!</v>
      </c>
      <c r="FY176" t="e">
        <f>'All regions'!A4412+"n/&gt;!(d5"</f>
        <v>#VALUE!</v>
      </c>
      <c r="FZ176" t="e">
        <f>'All regions'!B4412+"n/&gt;!(d6"</f>
        <v>#VALUE!</v>
      </c>
      <c r="GA176" t="e">
        <f>'All regions'!C4412+"n/&gt;!(d7"</f>
        <v>#VALUE!</v>
      </c>
      <c r="GB176" t="e">
        <f>'All regions'!D4412+"n/&gt;!(d8"</f>
        <v>#VALUE!</v>
      </c>
      <c r="GC176" t="e">
        <f>'All regions'!E4412+"n/&gt;!(d9"</f>
        <v>#VALUE!</v>
      </c>
      <c r="GD176" t="e">
        <f>'All regions'!F4412+"n/&gt;!(d:"</f>
        <v>#VALUE!</v>
      </c>
      <c r="GE176" t="e">
        <f>'All regions'!G4412+"n/&gt;!(d;"</f>
        <v>#VALUE!</v>
      </c>
      <c r="GF176" t="e">
        <f>'All regions'!H4412+"n/&gt;!(d&lt;"</f>
        <v>#VALUE!</v>
      </c>
      <c r="GG176" t="e">
        <f>'All regions'!I4412+"n/&gt;!(d="</f>
        <v>#VALUE!</v>
      </c>
      <c r="GH176" t="e">
        <f>'All regions'!J4412+"n/&gt;!(d&gt;"</f>
        <v>#VALUE!</v>
      </c>
      <c r="GI176" t="e">
        <f>'All regions'!A4413+"n/&gt;!(d?"</f>
        <v>#VALUE!</v>
      </c>
      <c r="GJ176" t="e">
        <f>'All regions'!B4413+"n/&gt;!(d@"</f>
        <v>#VALUE!</v>
      </c>
      <c r="GK176" t="e">
        <f>'All regions'!C4413+"n/&gt;!(dA"</f>
        <v>#VALUE!</v>
      </c>
      <c r="GL176" t="e">
        <f>'All regions'!D4413+"n/&gt;!(dB"</f>
        <v>#VALUE!</v>
      </c>
      <c r="GM176" t="e">
        <f>'All regions'!E4413+"n/&gt;!(dC"</f>
        <v>#VALUE!</v>
      </c>
      <c r="GN176" t="e">
        <f>'All regions'!F4413+"n/&gt;!(dD"</f>
        <v>#VALUE!</v>
      </c>
      <c r="GO176" t="e">
        <f>'All regions'!G4413+"n/&gt;!(dE"</f>
        <v>#VALUE!</v>
      </c>
      <c r="GP176" t="e">
        <f>'All regions'!H4413+"n/&gt;!(dF"</f>
        <v>#VALUE!</v>
      </c>
      <c r="GQ176" t="e">
        <f>'All regions'!I4413+"n/&gt;!(dG"</f>
        <v>#VALUE!</v>
      </c>
      <c r="GR176" t="e">
        <f>'All regions'!J4413+"n/&gt;!(dH"</f>
        <v>#VALUE!</v>
      </c>
      <c r="GS176" t="e">
        <f>'All regions'!A4414+"n/&gt;!(dI"</f>
        <v>#VALUE!</v>
      </c>
      <c r="GT176" t="e">
        <f>'All regions'!B4414+"n/&gt;!(dJ"</f>
        <v>#VALUE!</v>
      </c>
      <c r="GU176" t="e">
        <f>'All regions'!C4414+"n/&gt;!(dK"</f>
        <v>#VALUE!</v>
      </c>
      <c r="GV176" t="e">
        <f>'All regions'!D4414+"n/&gt;!(dL"</f>
        <v>#VALUE!</v>
      </c>
      <c r="GW176" t="e">
        <f>'All regions'!E4414+"n/&gt;!(dM"</f>
        <v>#VALUE!</v>
      </c>
      <c r="GX176" t="e">
        <f>'All regions'!F4414+"n/&gt;!(dN"</f>
        <v>#VALUE!</v>
      </c>
      <c r="GY176" t="e">
        <f>'All regions'!G4414+"n/&gt;!(dO"</f>
        <v>#VALUE!</v>
      </c>
      <c r="GZ176" t="e">
        <f>'All regions'!H4414+"n/&gt;!(dP"</f>
        <v>#VALUE!</v>
      </c>
      <c r="HA176" t="e">
        <f>'All regions'!I4414+"n/&gt;!(dQ"</f>
        <v>#VALUE!</v>
      </c>
      <c r="HB176" t="e">
        <f>'All regions'!J4414+"n/&gt;!(dR"</f>
        <v>#VALUE!</v>
      </c>
      <c r="HC176" t="e">
        <f>'All regions'!A4415+"n/&gt;!(dS"</f>
        <v>#VALUE!</v>
      </c>
      <c r="HD176" t="e">
        <f>'All regions'!B4415+"n/&gt;!(dT"</f>
        <v>#VALUE!</v>
      </c>
      <c r="HE176" t="e">
        <f>'All regions'!C4415+"n/&gt;!(dU"</f>
        <v>#VALUE!</v>
      </c>
      <c r="HF176" t="e">
        <f>'All regions'!D4415+"n/&gt;!(dV"</f>
        <v>#VALUE!</v>
      </c>
      <c r="HG176" t="e">
        <f>'All regions'!E4415+"n/&gt;!(dW"</f>
        <v>#VALUE!</v>
      </c>
      <c r="HH176" t="e">
        <f>'All regions'!F4415+"n/&gt;!(dX"</f>
        <v>#VALUE!</v>
      </c>
      <c r="HI176" t="e">
        <f>'All regions'!G4415+"n/&gt;!(dY"</f>
        <v>#VALUE!</v>
      </c>
      <c r="HJ176" t="e">
        <f>'All regions'!H4415+"n/&gt;!(dZ"</f>
        <v>#VALUE!</v>
      </c>
      <c r="HK176" t="e">
        <f>'All regions'!I4415+"n/&gt;!(d["</f>
        <v>#VALUE!</v>
      </c>
      <c r="HL176" t="e">
        <f>'All regions'!J4415+"n/&gt;!(d\"</f>
        <v>#VALUE!</v>
      </c>
      <c r="HM176" t="e">
        <f>'All regions'!A4416+"n/&gt;!(d]"</f>
        <v>#VALUE!</v>
      </c>
      <c r="HN176" t="e">
        <f>'All regions'!B4416+"n/&gt;!(d^"</f>
        <v>#VALUE!</v>
      </c>
      <c r="HO176" t="e">
        <f>'All regions'!C4416+"n/&gt;!(d_"</f>
        <v>#VALUE!</v>
      </c>
      <c r="HP176" t="e">
        <f>'All regions'!D4416+"n/&gt;!(d`"</f>
        <v>#VALUE!</v>
      </c>
      <c r="HQ176" t="e">
        <f>'All regions'!E4416+"n/&gt;!(da"</f>
        <v>#VALUE!</v>
      </c>
      <c r="HR176" t="e">
        <f>'All regions'!F4416+"n/&gt;!(db"</f>
        <v>#VALUE!</v>
      </c>
      <c r="HS176" t="e">
        <f>'All regions'!G4416+"n/&gt;!(dc"</f>
        <v>#VALUE!</v>
      </c>
      <c r="HT176" t="e">
        <f>'All regions'!H4416+"n/&gt;!(dd"</f>
        <v>#VALUE!</v>
      </c>
      <c r="HU176" t="e">
        <f>'All regions'!I4416+"n/&gt;!(de"</f>
        <v>#VALUE!</v>
      </c>
      <c r="HV176" t="e">
        <f>'All regions'!J4416+"n/&gt;!(df"</f>
        <v>#VALUE!</v>
      </c>
      <c r="HW176" t="e">
        <f>'All regions'!A4417+"n/&gt;!(dg"</f>
        <v>#VALUE!</v>
      </c>
      <c r="HX176" t="e">
        <f>'All regions'!B4417+"n/&gt;!(dh"</f>
        <v>#VALUE!</v>
      </c>
      <c r="HY176" t="e">
        <f>'All regions'!C4417+"n/&gt;!(di"</f>
        <v>#VALUE!</v>
      </c>
      <c r="HZ176" t="e">
        <f>'All regions'!D4417+"n/&gt;!(dj"</f>
        <v>#VALUE!</v>
      </c>
      <c r="IA176" t="e">
        <f>'All regions'!E4417+"n/&gt;!(dk"</f>
        <v>#VALUE!</v>
      </c>
      <c r="IB176" t="e">
        <f>'All regions'!F4417+"n/&gt;!(dl"</f>
        <v>#VALUE!</v>
      </c>
      <c r="IC176" t="e">
        <f>'All regions'!G4417+"n/&gt;!(dm"</f>
        <v>#VALUE!</v>
      </c>
      <c r="ID176" t="e">
        <f>'All regions'!H4417+"n/&gt;!(dn"</f>
        <v>#VALUE!</v>
      </c>
      <c r="IE176" t="e">
        <f>'All regions'!I4417+"n/&gt;!(do"</f>
        <v>#VALUE!</v>
      </c>
      <c r="IF176" t="e">
        <f>'All regions'!J4417+"n/&gt;!(dp"</f>
        <v>#VALUE!</v>
      </c>
      <c r="IG176" t="e">
        <f>'All regions'!A4418+"n/&gt;!(dq"</f>
        <v>#VALUE!</v>
      </c>
      <c r="IH176" t="e">
        <f>'All regions'!B4418+"n/&gt;!(dr"</f>
        <v>#VALUE!</v>
      </c>
      <c r="II176" t="e">
        <f>'All regions'!C4418+"n/&gt;!(ds"</f>
        <v>#VALUE!</v>
      </c>
      <c r="IJ176" t="e">
        <f>'All regions'!D4418+"n/&gt;!(dt"</f>
        <v>#VALUE!</v>
      </c>
      <c r="IK176" t="e">
        <f>'All regions'!E4418+"n/&gt;!(du"</f>
        <v>#VALUE!</v>
      </c>
      <c r="IL176" t="e">
        <f>'All regions'!F4418+"n/&gt;!(dv"</f>
        <v>#VALUE!</v>
      </c>
      <c r="IM176" t="e">
        <f>'All regions'!G4418+"n/&gt;!(dw"</f>
        <v>#VALUE!</v>
      </c>
      <c r="IN176" t="e">
        <f>'All regions'!H4418+"n/&gt;!(dx"</f>
        <v>#VALUE!</v>
      </c>
      <c r="IO176" t="e">
        <f>'All regions'!I4418+"n/&gt;!(dy"</f>
        <v>#VALUE!</v>
      </c>
      <c r="IP176" t="e">
        <f>'All regions'!J4418+"n/&gt;!(dz"</f>
        <v>#VALUE!</v>
      </c>
      <c r="IQ176" t="e">
        <f>'All regions'!A4419+"n/&gt;!(d{"</f>
        <v>#VALUE!</v>
      </c>
      <c r="IR176" t="e">
        <f>'All regions'!B4419+"n/&gt;!(d|"</f>
        <v>#VALUE!</v>
      </c>
      <c r="IS176" t="e">
        <f>'All regions'!C4419+"n/&gt;!(d}"</f>
        <v>#VALUE!</v>
      </c>
      <c r="IT176" t="e">
        <f>'All regions'!D4419+"n/&gt;!(d~"</f>
        <v>#VALUE!</v>
      </c>
      <c r="IU176" t="e">
        <f>'All regions'!E4419+"n/&gt;!(e#"</f>
        <v>#VALUE!</v>
      </c>
      <c r="IV176" t="e">
        <f>'All regions'!F4419+"n/&gt;!(e$"</f>
        <v>#VALUE!</v>
      </c>
    </row>
    <row r="177" spans="6:256" x14ac:dyDescent="0.35">
      <c r="F177" t="e">
        <f>'All regions'!G4419+"n/&gt;!(e%"</f>
        <v>#VALUE!</v>
      </c>
      <c r="G177" t="e">
        <f>'All regions'!H4419+"n/&gt;!(e&amp;"</f>
        <v>#VALUE!</v>
      </c>
      <c r="H177" t="e">
        <f>'All regions'!I4419+"n/&gt;!(e'"</f>
        <v>#VALUE!</v>
      </c>
      <c r="I177" t="e">
        <f>'All regions'!J4419+"n/&gt;!(e("</f>
        <v>#VALUE!</v>
      </c>
      <c r="J177" t="e">
        <f>'All regions'!A4420+"n/&gt;!(e)"</f>
        <v>#VALUE!</v>
      </c>
      <c r="K177" t="e">
        <f>'All regions'!B4420+"n/&gt;!(e."</f>
        <v>#VALUE!</v>
      </c>
      <c r="L177" t="e">
        <f>'All regions'!C4420+"n/&gt;!(e/"</f>
        <v>#VALUE!</v>
      </c>
      <c r="M177" t="e">
        <f>'All regions'!D4420+"n/&gt;!(e0"</f>
        <v>#VALUE!</v>
      </c>
      <c r="N177" t="e">
        <f>'All regions'!E4420+"n/&gt;!(e1"</f>
        <v>#VALUE!</v>
      </c>
      <c r="O177" t="e">
        <f>'All regions'!F4420+"n/&gt;!(e2"</f>
        <v>#VALUE!</v>
      </c>
      <c r="P177" t="e">
        <f>'All regions'!G4420+"n/&gt;!(e3"</f>
        <v>#VALUE!</v>
      </c>
      <c r="Q177" t="e">
        <f>'All regions'!H4420+"n/&gt;!(e4"</f>
        <v>#VALUE!</v>
      </c>
      <c r="R177" t="e">
        <f>'All regions'!I4420+"n/&gt;!(e5"</f>
        <v>#VALUE!</v>
      </c>
      <c r="S177" t="e">
        <f>'All regions'!J4420+"n/&gt;!(e6"</f>
        <v>#VALUE!</v>
      </c>
      <c r="T177" t="e">
        <f>'All regions'!A4421+"n/&gt;!(e7"</f>
        <v>#VALUE!</v>
      </c>
      <c r="U177" t="e">
        <f>'All regions'!B4421+"n/&gt;!(e8"</f>
        <v>#VALUE!</v>
      </c>
      <c r="V177" t="e">
        <f>'All regions'!C4421+"n/&gt;!(e9"</f>
        <v>#VALUE!</v>
      </c>
      <c r="W177" t="e">
        <f>'All regions'!D4421+"n/&gt;!(e:"</f>
        <v>#VALUE!</v>
      </c>
      <c r="X177" t="e">
        <f>'All regions'!E4421+"n/&gt;!(e;"</f>
        <v>#VALUE!</v>
      </c>
      <c r="Y177" t="e">
        <f>'All regions'!F4421+"n/&gt;!(e&lt;"</f>
        <v>#VALUE!</v>
      </c>
      <c r="Z177" t="e">
        <f>'All regions'!G4421+"n/&gt;!(e="</f>
        <v>#VALUE!</v>
      </c>
      <c r="AA177" t="e">
        <f>'All regions'!H4421+"n/&gt;!(e&gt;"</f>
        <v>#VALUE!</v>
      </c>
      <c r="AB177" t="e">
        <f>'All regions'!I4421+"n/&gt;!(e?"</f>
        <v>#VALUE!</v>
      </c>
      <c r="AC177" t="e">
        <f>'All regions'!J4421+"n/&gt;!(e@"</f>
        <v>#VALUE!</v>
      </c>
      <c r="AD177" t="e">
        <f>'All regions'!A4422+"n/&gt;!(eA"</f>
        <v>#VALUE!</v>
      </c>
      <c r="AE177" t="e">
        <f>'All regions'!B4422+"n/&gt;!(eB"</f>
        <v>#VALUE!</v>
      </c>
      <c r="AF177" t="e">
        <f>'All regions'!C4422+"n/&gt;!(eC"</f>
        <v>#VALUE!</v>
      </c>
      <c r="AG177" t="e">
        <f>'All regions'!D4422+"n/&gt;!(eD"</f>
        <v>#VALUE!</v>
      </c>
      <c r="AH177" t="e">
        <f>'All regions'!E4422+"n/&gt;!(eE"</f>
        <v>#VALUE!</v>
      </c>
      <c r="AI177" t="e">
        <f>'All regions'!F4422+"n/&gt;!(eF"</f>
        <v>#VALUE!</v>
      </c>
      <c r="AJ177" t="e">
        <f>'All regions'!G4422+"n/&gt;!(eG"</f>
        <v>#VALUE!</v>
      </c>
      <c r="AK177" t="e">
        <f>'All regions'!H4422+"n/&gt;!(eH"</f>
        <v>#VALUE!</v>
      </c>
      <c r="AL177" t="e">
        <f>'All regions'!I4422+"n/&gt;!(eI"</f>
        <v>#VALUE!</v>
      </c>
      <c r="AM177" t="e">
        <f>'All regions'!J4422+"n/&gt;!(eJ"</f>
        <v>#VALUE!</v>
      </c>
      <c r="AN177" t="e">
        <f>'All regions'!A4423+"n/&gt;!(eK"</f>
        <v>#VALUE!</v>
      </c>
      <c r="AO177" t="e">
        <f>'All regions'!B4423+"n/&gt;!(eL"</f>
        <v>#VALUE!</v>
      </c>
      <c r="AP177" t="e">
        <f>'All regions'!C4423+"n/&gt;!(eM"</f>
        <v>#VALUE!</v>
      </c>
      <c r="AQ177" t="e">
        <f>'All regions'!D4423+"n/&gt;!(eN"</f>
        <v>#VALUE!</v>
      </c>
      <c r="AR177" t="e">
        <f>'All regions'!E4423+"n/&gt;!(eO"</f>
        <v>#VALUE!</v>
      </c>
      <c r="AS177" t="e">
        <f>'All regions'!F4423+"n/&gt;!(eP"</f>
        <v>#VALUE!</v>
      </c>
      <c r="AT177" t="e">
        <f>'All regions'!G4423+"n/&gt;!(eQ"</f>
        <v>#VALUE!</v>
      </c>
      <c r="AU177" t="e">
        <f>'All regions'!H4423+"n/&gt;!(eR"</f>
        <v>#VALUE!</v>
      </c>
      <c r="AV177" t="e">
        <f>'All regions'!I4423+"n/&gt;!(eS"</f>
        <v>#VALUE!</v>
      </c>
      <c r="AW177" t="e">
        <f>'All regions'!J4423+"n/&gt;!(eT"</f>
        <v>#VALUE!</v>
      </c>
      <c r="AX177" t="e">
        <f>'All regions'!A4424+"n/&gt;!(eU"</f>
        <v>#VALUE!</v>
      </c>
      <c r="AY177" t="e">
        <f>'All regions'!B4424+"n/&gt;!(eV"</f>
        <v>#VALUE!</v>
      </c>
      <c r="AZ177" t="e">
        <f>'All regions'!C4424+"n/&gt;!(eW"</f>
        <v>#VALUE!</v>
      </c>
      <c r="BA177" t="e">
        <f>'All regions'!D4424+"n/&gt;!(eX"</f>
        <v>#VALUE!</v>
      </c>
      <c r="BB177" t="e">
        <f>'All regions'!E4424+"n/&gt;!(eY"</f>
        <v>#VALUE!</v>
      </c>
      <c r="BC177" t="e">
        <f>'All regions'!F4424+"n/&gt;!(eZ"</f>
        <v>#VALUE!</v>
      </c>
      <c r="BD177" t="e">
        <f>'All regions'!G4424+"n/&gt;!(e["</f>
        <v>#VALUE!</v>
      </c>
      <c r="BE177" t="e">
        <f>'All regions'!H4424+"n/&gt;!(e\"</f>
        <v>#VALUE!</v>
      </c>
      <c r="BF177" t="e">
        <f>'All regions'!I4424+"n/&gt;!(e]"</f>
        <v>#VALUE!</v>
      </c>
      <c r="BG177" t="e">
        <f>'All regions'!J4424+"n/&gt;!(e^"</f>
        <v>#VALUE!</v>
      </c>
      <c r="BH177" t="e">
        <f>'All regions'!A4425+"n/&gt;!(e_"</f>
        <v>#VALUE!</v>
      </c>
      <c r="BI177" t="e">
        <f>'All regions'!B4425+"n/&gt;!(e`"</f>
        <v>#VALUE!</v>
      </c>
      <c r="BJ177" t="e">
        <f>'All regions'!C4425+"n/&gt;!(ea"</f>
        <v>#VALUE!</v>
      </c>
      <c r="BK177" t="e">
        <f>'All regions'!D4425+"n/&gt;!(eb"</f>
        <v>#VALUE!</v>
      </c>
      <c r="BL177" t="e">
        <f>'All regions'!E4425+"n/&gt;!(ec"</f>
        <v>#VALUE!</v>
      </c>
      <c r="BM177" t="e">
        <f>'All regions'!F4425+"n/&gt;!(ed"</f>
        <v>#VALUE!</v>
      </c>
      <c r="BN177" t="e">
        <f>'All regions'!G4425+"n/&gt;!(ee"</f>
        <v>#VALUE!</v>
      </c>
      <c r="BO177" t="e">
        <f>'All regions'!H4425+"n/&gt;!(ef"</f>
        <v>#VALUE!</v>
      </c>
      <c r="BP177" t="e">
        <f>'All regions'!I4425+"n/&gt;!(eg"</f>
        <v>#VALUE!</v>
      </c>
      <c r="BQ177" t="e">
        <f>'All regions'!J4425+"n/&gt;!(eh"</f>
        <v>#VALUE!</v>
      </c>
      <c r="BR177" t="e">
        <f>'All regions'!A4426+"n/&gt;!(ei"</f>
        <v>#VALUE!</v>
      </c>
      <c r="BS177" t="e">
        <f>'All regions'!B4426+"n/&gt;!(ej"</f>
        <v>#VALUE!</v>
      </c>
      <c r="BT177" t="e">
        <f>'All regions'!C4426+"n/&gt;!(ek"</f>
        <v>#VALUE!</v>
      </c>
      <c r="BU177" t="e">
        <f>'All regions'!D4426+"n/&gt;!(el"</f>
        <v>#VALUE!</v>
      </c>
      <c r="BV177" t="e">
        <f>'All regions'!E4426+"n/&gt;!(em"</f>
        <v>#VALUE!</v>
      </c>
      <c r="BW177" t="e">
        <f>'All regions'!F4426+"n/&gt;!(en"</f>
        <v>#VALUE!</v>
      </c>
      <c r="BX177" t="e">
        <f>'All regions'!G4426+"n/&gt;!(eo"</f>
        <v>#VALUE!</v>
      </c>
      <c r="BY177" t="e">
        <f>'All regions'!H4426+"n/&gt;!(ep"</f>
        <v>#VALUE!</v>
      </c>
      <c r="BZ177" t="e">
        <f>'All regions'!I4426+"n/&gt;!(eq"</f>
        <v>#VALUE!</v>
      </c>
      <c r="CA177" t="e">
        <f>'All regions'!J4426+"n/&gt;!(er"</f>
        <v>#VALUE!</v>
      </c>
      <c r="CB177" t="e">
        <f>'All regions'!A4427+"n/&gt;!(es"</f>
        <v>#VALUE!</v>
      </c>
      <c r="CC177" t="e">
        <f>'All regions'!B4427+"n/&gt;!(et"</f>
        <v>#VALUE!</v>
      </c>
      <c r="CD177" t="e">
        <f>'All regions'!C4427+"n/&gt;!(eu"</f>
        <v>#VALUE!</v>
      </c>
      <c r="CE177" t="e">
        <f>'All regions'!D4427+"n/&gt;!(ev"</f>
        <v>#VALUE!</v>
      </c>
      <c r="CF177" t="e">
        <f>'All regions'!E4427+"n/&gt;!(ew"</f>
        <v>#VALUE!</v>
      </c>
      <c r="CG177" t="e">
        <f>'All regions'!F4427+"n/&gt;!(ex"</f>
        <v>#VALUE!</v>
      </c>
      <c r="CH177" t="e">
        <f>'All regions'!G4427+"n/&gt;!(ey"</f>
        <v>#VALUE!</v>
      </c>
      <c r="CI177" t="e">
        <f>'All regions'!H4427+"n/&gt;!(ez"</f>
        <v>#VALUE!</v>
      </c>
      <c r="CJ177" t="e">
        <f>'All regions'!I4427+"n/&gt;!(e{"</f>
        <v>#VALUE!</v>
      </c>
      <c r="CK177" t="e">
        <f>'All regions'!J4427+"n/&gt;!(e|"</f>
        <v>#VALUE!</v>
      </c>
      <c r="CL177" t="e">
        <f>'All regions'!A4428+"n/&gt;!(e}"</f>
        <v>#VALUE!</v>
      </c>
      <c r="CM177" t="e">
        <f>'All regions'!B4428+"n/&gt;!(e~"</f>
        <v>#VALUE!</v>
      </c>
      <c r="CN177" t="e">
        <f>'All regions'!C4428+"n/&gt;!(f#"</f>
        <v>#VALUE!</v>
      </c>
      <c r="CO177" t="e">
        <f>'All regions'!D4428+"n/&gt;!(f$"</f>
        <v>#VALUE!</v>
      </c>
      <c r="CP177" t="e">
        <f>'All regions'!E4428+"n/&gt;!(f%"</f>
        <v>#VALUE!</v>
      </c>
      <c r="CQ177" t="e">
        <f>'All regions'!F4428+"n/&gt;!(f&amp;"</f>
        <v>#VALUE!</v>
      </c>
      <c r="CR177" t="e">
        <f>'All regions'!G4428+"n/&gt;!(f'"</f>
        <v>#VALUE!</v>
      </c>
      <c r="CS177" t="e">
        <f>'All regions'!H4428+"n/&gt;!(f("</f>
        <v>#VALUE!</v>
      </c>
      <c r="CT177" t="e">
        <f>'All regions'!I4428+"n/&gt;!(f)"</f>
        <v>#VALUE!</v>
      </c>
      <c r="CU177" t="e">
        <f>'All regions'!J4428+"n/&gt;!(f."</f>
        <v>#VALUE!</v>
      </c>
      <c r="CV177" t="e">
        <f>'All regions'!A4429+"n/&gt;!(f/"</f>
        <v>#VALUE!</v>
      </c>
      <c r="CW177" t="e">
        <f>'All regions'!B4429+"n/&gt;!(f0"</f>
        <v>#VALUE!</v>
      </c>
      <c r="CX177" t="e">
        <f>'All regions'!C4429+"n/&gt;!(f1"</f>
        <v>#VALUE!</v>
      </c>
      <c r="CY177" t="e">
        <f>'All regions'!D4429+"n/&gt;!(f2"</f>
        <v>#VALUE!</v>
      </c>
      <c r="CZ177" t="e">
        <f>'All regions'!E4429+"n/&gt;!(f3"</f>
        <v>#VALUE!</v>
      </c>
      <c r="DA177" t="e">
        <f>'All regions'!F4429+"n/&gt;!(f4"</f>
        <v>#VALUE!</v>
      </c>
      <c r="DB177" t="e">
        <f>'All regions'!G4429+"n/&gt;!(f5"</f>
        <v>#VALUE!</v>
      </c>
      <c r="DC177" t="e">
        <f>'All regions'!H4429+"n/&gt;!(f6"</f>
        <v>#VALUE!</v>
      </c>
      <c r="DD177" t="e">
        <f>'All regions'!I4429+"n/&gt;!(f7"</f>
        <v>#VALUE!</v>
      </c>
      <c r="DE177" t="e">
        <f>'All regions'!J4429+"n/&gt;!(f8"</f>
        <v>#VALUE!</v>
      </c>
      <c r="DF177" t="e">
        <f>'All regions'!A4430+"n/&gt;!(f9"</f>
        <v>#VALUE!</v>
      </c>
      <c r="DG177" t="e">
        <f>'All regions'!B4430+"n/&gt;!(f:"</f>
        <v>#VALUE!</v>
      </c>
      <c r="DH177" t="e">
        <f>'All regions'!C4430+"n/&gt;!(f;"</f>
        <v>#VALUE!</v>
      </c>
      <c r="DI177" t="e">
        <f>'All regions'!D4430+"n/&gt;!(f&lt;"</f>
        <v>#VALUE!</v>
      </c>
      <c r="DJ177" t="e">
        <f>'All regions'!E4430+"n/&gt;!(f="</f>
        <v>#VALUE!</v>
      </c>
      <c r="DK177" t="e">
        <f>'All regions'!F4430+"n/&gt;!(f&gt;"</f>
        <v>#VALUE!</v>
      </c>
      <c r="DL177" t="e">
        <f>'All regions'!G4430+"n/&gt;!(f?"</f>
        <v>#VALUE!</v>
      </c>
      <c r="DM177" t="e">
        <f>'All regions'!H4430+"n/&gt;!(f@"</f>
        <v>#VALUE!</v>
      </c>
      <c r="DN177" t="e">
        <f>'All regions'!I4430+"n/&gt;!(fA"</f>
        <v>#VALUE!</v>
      </c>
      <c r="DO177" t="e">
        <f>'All regions'!J4430+"n/&gt;!(fB"</f>
        <v>#VALUE!</v>
      </c>
      <c r="DP177" t="e">
        <f>'All regions'!A4431+"n/&gt;!(fC"</f>
        <v>#VALUE!</v>
      </c>
      <c r="DQ177" t="e">
        <f>'All regions'!B4431+"n/&gt;!(fD"</f>
        <v>#VALUE!</v>
      </c>
      <c r="DR177" t="e">
        <f>'All regions'!C4431+"n/&gt;!(fE"</f>
        <v>#VALUE!</v>
      </c>
      <c r="DS177" t="e">
        <f>'All regions'!D4431+"n/&gt;!(fF"</f>
        <v>#VALUE!</v>
      </c>
      <c r="DT177" t="e">
        <f>'All regions'!E4431+"n/&gt;!(fG"</f>
        <v>#VALUE!</v>
      </c>
      <c r="DU177" t="e">
        <f>'All regions'!F4431+"n/&gt;!(fH"</f>
        <v>#VALUE!</v>
      </c>
      <c r="DV177" t="e">
        <f>'All regions'!G4431+"n/&gt;!(fI"</f>
        <v>#VALUE!</v>
      </c>
      <c r="DW177" t="e">
        <f>'All regions'!H4431+"n/&gt;!(fJ"</f>
        <v>#VALUE!</v>
      </c>
      <c r="DX177" t="e">
        <f>'All regions'!I4431+"n/&gt;!(fK"</f>
        <v>#VALUE!</v>
      </c>
      <c r="DY177" t="e">
        <f>'All regions'!J4431+"n/&gt;!(fL"</f>
        <v>#VALUE!</v>
      </c>
      <c r="DZ177" t="e">
        <f>'All regions'!A4432+"n/&gt;!(fM"</f>
        <v>#VALUE!</v>
      </c>
      <c r="EA177" t="e">
        <f>'All regions'!B4432+"n/&gt;!(fN"</f>
        <v>#VALUE!</v>
      </c>
      <c r="EB177" t="e">
        <f>'All regions'!C4432+"n/&gt;!(fO"</f>
        <v>#VALUE!</v>
      </c>
      <c r="EC177" t="e">
        <f>'All regions'!D4432+"n/&gt;!(fP"</f>
        <v>#VALUE!</v>
      </c>
      <c r="ED177" t="e">
        <f>'All regions'!E4432+"n/&gt;!(fQ"</f>
        <v>#VALUE!</v>
      </c>
      <c r="EE177" t="e">
        <f>'All regions'!F4432+"n/&gt;!(fR"</f>
        <v>#VALUE!</v>
      </c>
      <c r="EF177" t="e">
        <f>'All regions'!G4432+"n/&gt;!(fS"</f>
        <v>#VALUE!</v>
      </c>
      <c r="EG177" t="e">
        <f>'All regions'!H4432+"n/&gt;!(fT"</f>
        <v>#VALUE!</v>
      </c>
      <c r="EH177" t="e">
        <f>'All regions'!I4432+"n/&gt;!(fU"</f>
        <v>#VALUE!</v>
      </c>
      <c r="EI177" t="e">
        <f>'All regions'!J4432+"n/&gt;!(fV"</f>
        <v>#VALUE!</v>
      </c>
      <c r="EJ177" t="e">
        <f>'All regions'!A4433+"n/&gt;!(fW"</f>
        <v>#VALUE!</v>
      </c>
      <c r="EK177" t="e">
        <f>'All regions'!B4433+"n/&gt;!(fX"</f>
        <v>#VALUE!</v>
      </c>
      <c r="EL177" t="e">
        <f>'All regions'!C4433+"n/&gt;!(fY"</f>
        <v>#VALUE!</v>
      </c>
      <c r="EM177" t="e">
        <f>'All regions'!D4433+"n/&gt;!(fZ"</f>
        <v>#VALUE!</v>
      </c>
      <c r="EN177" t="e">
        <f>'All regions'!E4433+"n/&gt;!(f["</f>
        <v>#VALUE!</v>
      </c>
      <c r="EO177" t="e">
        <f>'All regions'!F4433+"n/&gt;!(f\"</f>
        <v>#VALUE!</v>
      </c>
      <c r="EP177" t="e">
        <f>'All regions'!G4433+"n/&gt;!(f]"</f>
        <v>#VALUE!</v>
      </c>
      <c r="EQ177" t="e">
        <f>'All regions'!H4433+"n/&gt;!(f^"</f>
        <v>#VALUE!</v>
      </c>
      <c r="ER177" t="e">
        <f>'All regions'!I4433+"n/&gt;!(f_"</f>
        <v>#VALUE!</v>
      </c>
      <c r="ES177" t="e">
        <f>'All regions'!J4433+"n/&gt;!(f`"</f>
        <v>#VALUE!</v>
      </c>
      <c r="ET177" t="e">
        <f>'All regions'!A4434+"n/&gt;!(fa"</f>
        <v>#VALUE!</v>
      </c>
      <c r="EU177" t="e">
        <f>'All regions'!B4434+"n/&gt;!(fb"</f>
        <v>#VALUE!</v>
      </c>
      <c r="EV177" t="e">
        <f>'All regions'!C4434+"n/&gt;!(fc"</f>
        <v>#VALUE!</v>
      </c>
      <c r="EW177" t="e">
        <f>'All regions'!D4434+"n/&gt;!(fd"</f>
        <v>#VALUE!</v>
      </c>
      <c r="EX177" t="e">
        <f>'All regions'!E4434+"n/&gt;!(fe"</f>
        <v>#VALUE!</v>
      </c>
      <c r="EY177" t="e">
        <f>'All regions'!F4434+"n/&gt;!(ff"</f>
        <v>#VALUE!</v>
      </c>
      <c r="EZ177" t="e">
        <f>'All regions'!G4434+"n/&gt;!(fg"</f>
        <v>#VALUE!</v>
      </c>
      <c r="FA177" t="e">
        <f>'All regions'!H4434+"n/&gt;!(fh"</f>
        <v>#VALUE!</v>
      </c>
      <c r="FB177" t="e">
        <f>'All regions'!I4434+"n/&gt;!(fi"</f>
        <v>#VALUE!</v>
      </c>
      <c r="FC177" t="e">
        <f>'All regions'!J4434+"n/&gt;!(fj"</f>
        <v>#VALUE!</v>
      </c>
      <c r="FD177" t="e">
        <f>'All regions'!A4435+"n/&gt;!(fk"</f>
        <v>#VALUE!</v>
      </c>
      <c r="FE177" t="e">
        <f>'All regions'!B4435+"n/&gt;!(fl"</f>
        <v>#VALUE!</v>
      </c>
      <c r="FF177" t="e">
        <f>'All regions'!C4435+"n/&gt;!(fm"</f>
        <v>#VALUE!</v>
      </c>
      <c r="FG177" t="e">
        <f>'All regions'!D4435+"n/&gt;!(fn"</f>
        <v>#VALUE!</v>
      </c>
      <c r="FH177" t="e">
        <f>'All regions'!E4435+"n/&gt;!(fo"</f>
        <v>#VALUE!</v>
      </c>
      <c r="FI177" t="e">
        <f>'All regions'!F4435+"n/&gt;!(fp"</f>
        <v>#VALUE!</v>
      </c>
      <c r="FJ177" t="e">
        <f>'All regions'!G4435+"n/&gt;!(fq"</f>
        <v>#VALUE!</v>
      </c>
      <c r="FK177" t="e">
        <f>'All regions'!H4435+"n/&gt;!(fr"</f>
        <v>#VALUE!</v>
      </c>
      <c r="FL177" t="e">
        <f>'All regions'!I4435+"n/&gt;!(fs"</f>
        <v>#VALUE!</v>
      </c>
      <c r="FM177" t="e">
        <f>'All regions'!J4435+"n/&gt;!(ft"</f>
        <v>#VALUE!</v>
      </c>
      <c r="FN177" t="e">
        <f>'All regions'!A4436+"n/&gt;!(fu"</f>
        <v>#VALUE!</v>
      </c>
      <c r="FO177" t="e">
        <f>'All regions'!B4436+"n/&gt;!(fv"</f>
        <v>#VALUE!</v>
      </c>
      <c r="FP177" t="e">
        <f>'All regions'!C4436+"n/&gt;!(fw"</f>
        <v>#VALUE!</v>
      </c>
      <c r="FQ177" t="e">
        <f>'All regions'!D4436+"n/&gt;!(fx"</f>
        <v>#VALUE!</v>
      </c>
      <c r="FR177" t="e">
        <f>'All regions'!E4436+"n/&gt;!(fy"</f>
        <v>#VALUE!</v>
      </c>
      <c r="FS177" t="e">
        <f>'All regions'!F4436+"n/&gt;!(fz"</f>
        <v>#VALUE!</v>
      </c>
      <c r="FT177" t="e">
        <f>'All regions'!G4436+"n/&gt;!(f{"</f>
        <v>#VALUE!</v>
      </c>
      <c r="FU177" t="e">
        <f>'All regions'!H4436+"n/&gt;!(f|"</f>
        <v>#VALUE!</v>
      </c>
      <c r="FV177" t="e">
        <f>'All regions'!I4436+"n/&gt;!(f}"</f>
        <v>#VALUE!</v>
      </c>
      <c r="FW177" t="e">
        <f>'All regions'!J4436+"n/&gt;!(f~"</f>
        <v>#VALUE!</v>
      </c>
      <c r="FX177" t="e">
        <f>'All regions'!A4437+"n/&gt;!(g#"</f>
        <v>#VALUE!</v>
      </c>
      <c r="FY177" t="e">
        <f>'All regions'!B4437+"n/&gt;!(g$"</f>
        <v>#VALUE!</v>
      </c>
      <c r="FZ177" t="e">
        <f>'All regions'!C4437+"n/&gt;!(g%"</f>
        <v>#VALUE!</v>
      </c>
      <c r="GA177" t="e">
        <f>'All regions'!D4437+"n/&gt;!(g&amp;"</f>
        <v>#VALUE!</v>
      </c>
      <c r="GB177" t="e">
        <f>'All regions'!E4437+"n/&gt;!(g'"</f>
        <v>#VALUE!</v>
      </c>
      <c r="GC177" t="e">
        <f>'All regions'!F4437+"n/&gt;!(g("</f>
        <v>#VALUE!</v>
      </c>
      <c r="GD177" t="e">
        <f>'All regions'!G4437+"n/&gt;!(g)"</f>
        <v>#VALUE!</v>
      </c>
      <c r="GE177" t="e">
        <f>'All regions'!H4437+"n/&gt;!(g."</f>
        <v>#VALUE!</v>
      </c>
      <c r="GF177" t="e">
        <f>'All regions'!I4437+"n/&gt;!(g/"</f>
        <v>#VALUE!</v>
      </c>
      <c r="GG177" t="e">
        <f>'All regions'!J4437+"n/&gt;!(g0"</f>
        <v>#VALUE!</v>
      </c>
      <c r="GH177" t="e">
        <f>'All regions'!A4438+"n/&gt;!(g1"</f>
        <v>#VALUE!</v>
      </c>
      <c r="GI177" t="e">
        <f>'All regions'!B4438+"n/&gt;!(g2"</f>
        <v>#VALUE!</v>
      </c>
      <c r="GJ177" t="e">
        <f>'All regions'!C4438+"n/&gt;!(g3"</f>
        <v>#VALUE!</v>
      </c>
      <c r="GK177" t="e">
        <f>'All regions'!D4438+"n/&gt;!(g4"</f>
        <v>#VALUE!</v>
      </c>
      <c r="GL177" t="e">
        <f>'All regions'!E4438+"n/&gt;!(g5"</f>
        <v>#VALUE!</v>
      </c>
      <c r="GM177" t="e">
        <f>'All regions'!F4438+"n/&gt;!(g6"</f>
        <v>#VALUE!</v>
      </c>
      <c r="GN177" t="e">
        <f>'All regions'!G4438+"n/&gt;!(g7"</f>
        <v>#VALUE!</v>
      </c>
      <c r="GO177" t="e">
        <f>'All regions'!H4438+"n/&gt;!(g8"</f>
        <v>#VALUE!</v>
      </c>
      <c r="GP177" t="e">
        <f>'All regions'!I4438+"n/&gt;!(g9"</f>
        <v>#VALUE!</v>
      </c>
      <c r="GQ177" t="e">
        <f>'All regions'!J4438+"n/&gt;!(g:"</f>
        <v>#VALUE!</v>
      </c>
      <c r="GR177" t="e">
        <f>'All regions'!A4439+"n/&gt;!(g;"</f>
        <v>#VALUE!</v>
      </c>
      <c r="GS177" t="e">
        <f>'All regions'!B4439+"n/&gt;!(g&lt;"</f>
        <v>#VALUE!</v>
      </c>
      <c r="GT177" t="e">
        <f>'All regions'!C4439+"n/&gt;!(g="</f>
        <v>#VALUE!</v>
      </c>
      <c r="GU177" t="e">
        <f>'All regions'!D4439+"n/&gt;!(g&gt;"</f>
        <v>#VALUE!</v>
      </c>
      <c r="GV177" t="e">
        <f>'All regions'!E4439+"n/&gt;!(g?"</f>
        <v>#VALUE!</v>
      </c>
      <c r="GW177" t="e">
        <f>'All regions'!F4439+"n/&gt;!(g@"</f>
        <v>#VALUE!</v>
      </c>
      <c r="GX177" t="e">
        <f>'All regions'!G4439+"n/&gt;!(gA"</f>
        <v>#VALUE!</v>
      </c>
      <c r="GY177" t="e">
        <f>'All regions'!H4439+"n/&gt;!(gB"</f>
        <v>#VALUE!</v>
      </c>
      <c r="GZ177" t="e">
        <f>'All regions'!I4439+"n/&gt;!(gC"</f>
        <v>#VALUE!</v>
      </c>
      <c r="HA177" t="e">
        <f>'All regions'!J4439+"n/&gt;!(gD"</f>
        <v>#VALUE!</v>
      </c>
      <c r="HB177" t="e">
        <f>'All regions'!A4440+"n/&gt;!(gE"</f>
        <v>#VALUE!</v>
      </c>
      <c r="HC177" t="e">
        <f>'All regions'!B4440+"n/&gt;!(gF"</f>
        <v>#VALUE!</v>
      </c>
      <c r="HD177" t="e">
        <f>'All regions'!C4440+"n/&gt;!(gG"</f>
        <v>#VALUE!</v>
      </c>
      <c r="HE177" t="e">
        <f>'All regions'!D4440+"n/&gt;!(gH"</f>
        <v>#VALUE!</v>
      </c>
      <c r="HF177" t="e">
        <f>'All regions'!E4440+"n/&gt;!(gI"</f>
        <v>#VALUE!</v>
      </c>
      <c r="HG177" t="e">
        <f>'All regions'!F4440+"n/&gt;!(gJ"</f>
        <v>#VALUE!</v>
      </c>
      <c r="HH177" t="e">
        <f>'All regions'!G4440+"n/&gt;!(gK"</f>
        <v>#VALUE!</v>
      </c>
      <c r="HI177" t="e">
        <f>'All regions'!H4440+"n/&gt;!(gL"</f>
        <v>#VALUE!</v>
      </c>
      <c r="HJ177" t="e">
        <f>'All regions'!I4440+"n/&gt;!(gM"</f>
        <v>#VALUE!</v>
      </c>
      <c r="HK177" t="e">
        <f>'All regions'!J4440+"n/&gt;!(gN"</f>
        <v>#VALUE!</v>
      </c>
      <c r="HL177" t="e">
        <f>'All regions'!A4441+"n/&gt;!(gO"</f>
        <v>#VALUE!</v>
      </c>
      <c r="HM177" t="e">
        <f>'All regions'!B4441+"n/&gt;!(gP"</f>
        <v>#VALUE!</v>
      </c>
      <c r="HN177" t="e">
        <f>'All regions'!C4441+"n/&gt;!(gQ"</f>
        <v>#VALUE!</v>
      </c>
      <c r="HO177" t="e">
        <f>'All regions'!D4441+"n/&gt;!(gR"</f>
        <v>#VALUE!</v>
      </c>
      <c r="HP177" t="e">
        <f>'All regions'!E4441+"n/&gt;!(gS"</f>
        <v>#VALUE!</v>
      </c>
      <c r="HQ177" t="e">
        <f>'All regions'!F4441+"n/&gt;!(gT"</f>
        <v>#VALUE!</v>
      </c>
      <c r="HR177" t="e">
        <f>'All regions'!G4441+"n/&gt;!(gU"</f>
        <v>#VALUE!</v>
      </c>
      <c r="HS177" t="e">
        <f>'All regions'!H4441+"n/&gt;!(gV"</f>
        <v>#VALUE!</v>
      </c>
      <c r="HT177" t="e">
        <f>'All regions'!I4441+"n/&gt;!(gW"</f>
        <v>#VALUE!</v>
      </c>
      <c r="HU177" t="e">
        <f>'All regions'!J4441+"n/&gt;!(gX"</f>
        <v>#VALUE!</v>
      </c>
      <c r="HV177" t="e">
        <f>'All regions'!A4442+"n/&gt;!(gY"</f>
        <v>#VALUE!</v>
      </c>
      <c r="HW177" t="e">
        <f>'All regions'!B4442+"n/&gt;!(gZ"</f>
        <v>#VALUE!</v>
      </c>
      <c r="HX177" t="e">
        <f>'All regions'!C4442+"n/&gt;!(g["</f>
        <v>#VALUE!</v>
      </c>
      <c r="HY177" t="e">
        <f>'All regions'!D4442+"n/&gt;!(g\"</f>
        <v>#VALUE!</v>
      </c>
      <c r="HZ177" t="e">
        <f>'All regions'!E4442+"n/&gt;!(g]"</f>
        <v>#VALUE!</v>
      </c>
      <c r="IA177" t="e">
        <f>'All regions'!F4442+"n/&gt;!(g^"</f>
        <v>#VALUE!</v>
      </c>
      <c r="IB177" t="e">
        <f>'All regions'!G4442+"n/&gt;!(g_"</f>
        <v>#VALUE!</v>
      </c>
      <c r="IC177" t="e">
        <f>'All regions'!H4442+"n/&gt;!(g`"</f>
        <v>#VALUE!</v>
      </c>
      <c r="ID177" t="e">
        <f>'All regions'!I4442+"n/&gt;!(ga"</f>
        <v>#VALUE!</v>
      </c>
      <c r="IE177" t="e">
        <f>'All regions'!J4442+"n/&gt;!(gb"</f>
        <v>#VALUE!</v>
      </c>
      <c r="IF177" t="e">
        <f>'All regions'!A4443+"n/&gt;!(gc"</f>
        <v>#VALUE!</v>
      </c>
      <c r="IG177" t="e">
        <f>'All regions'!B4443+"n/&gt;!(gd"</f>
        <v>#VALUE!</v>
      </c>
      <c r="IH177" t="e">
        <f>'All regions'!C4443+"n/&gt;!(ge"</f>
        <v>#VALUE!</v>
      </c>
      <c r="II177" t="e">
        <f>'All regions'!D4443+"n/&gt;!(gf"</f>
        <v>#VALUE!</v>
      </c>
      <c r="IJ177" t="e">
        <f>'All regions'!E4443+"n/&gt;!(gg"</f>
        <v>#VALUE!</v>
      </c>
      <c r="IK177" t="e">
        <f>'All regions'!F4443+"n/&gt;!(gh"</f>
        <v>#VALUE!</v>
      </c>
      <c r="IL177" t="e">
        <f>'All regions'!G4443+"n/&gt;!(gi"</f>
        <v>#VALUE!</v>
      </c>
      <c r="IM177" t="e">
        <f>'All regions'!H4443+"n/&gt;!(gj"</f>
        <v>#VALUE!</v>
      </c>
      <c r="IN177" t="e">
        <f>'All regions'!I4443+"n/&gt;!(gk"</f>
        <v>#VALUE!</v>
      </c>
      <c r="IO177" t="e">
        <f>'All regions'!J4443+"n/&gt;!(gl"</f>
        <v>#VALUE!</v>
      </c>
      <c r="IP177" t="e">
        <f>'All regions'!A4444+"n/&gt;!(gm"</f>
        <v>#VALUE!</v>
      </c>
      <c r="IQ177" t="e">
        <f>'All regions'!B4444+"n/&gt;!(gn"</f>
        <v>#VALUE!</v>
      </c>
      <c r="IR177" t="e">
        <f>'All regions'!C4444+"n/&gt;!(go"</f>
        <v>#VALUE!</v>
      </c>
      <c r="IS177" t="e">
        <f>'All regions'!D4444+"n/&gt;!(gp"</f>
        <v>#VALUE!</v>
      </c>
      <c r="IT177" t="e">
        <f>'All regions'!E4444+"n/&gt;!(gq"</f>
        <v>#VALUE!</v>
      </c>
      <c r="IU177" t="e">
        <f>'All regions'!F4444+"n/&gt;!(gr"</f>
        <v>#VALUE!</v>
      </c>
      <c r="IV177" t="e">
        <f>'All regions'!G4444+"n/&gt;!(gs"</f>
        <v>#VALUE!</v>
      </c>
    </row>
    <row r="178" spans="6:256" x14ac:dyDescent="0.35">
      <c r="F178" t="e">
        <f>'All regions'!H4444+"n/&gt;!(gt"</f>
        <v>#VALUE!</v>
      </c>
      <c r="G178" t="e">
        <f>'All regions'!I4444+"n/&gt;!(gu"</f>
        <v>#VALUE!</v>
      </c>
      <c r="H178" t="e">
        <f>'All regions'!J4444+"n/&gt;!(gv"</f>
        <v>#VALUE!</v>
      </c>
      <c r="I178" t="e">
        <f>'All regions'!A4445+"n/&gt;!(gw"</f>
        <v>#VALUE!</v>
      </c>
      <c r="J178" t="e">
        <f>'All regions'!B4445+"n/&gt;!(gx"</f>
        <v>#VALUE!</v>
      </c>
      <c r="K178" t="e">
        <f>'All regions'!C4445+"n/&gt;!(gy"</f>
        <v>#VALUE!</v>
      </c>
      <c r="L178" t="e">
        <f>'All regions'!D4445+"n/&gt;!(gz"</f>
        <v>#VALUE!</v>
      </c>
      <c r="M178" t="e">
        <f>'All regions'!E4445+"n/&gt;!(g{"</f>
        <v>#VALUE!</v>
      </c>
      <c r="N178" t="e">
        <f>'All regions'!F4445+"n/&gt;!(g|"</f>
        <v>#VALUE!</v>
      </c>
      <c r="O178" t="e">
        <f>'All regions'!G4445+"n/&gt;!(g}"</f>
        <v>#VALUE!</v>
      </c>
      <c r="P178" t="e">
        <f>'All regions'!H4445+"n/&gt;!(g~"</f>
        <v>#VALUE!</v>
      </c>
      <c r="Q178" t="e">
        <f>'All regions'!I4445+"n/&gt;!(h#"</f>
        <v>#VALUE!</v>
      </c>
      <c r="R178" t="e">
        <f>'All regions'!J4445+"n/&gt;!(h$"</f>
        <v>#VALUE!</v>
      </c>
      <c r="S178" t="e">
        <f>'All regions'!A4446+"n/&gt;!(h%"</f>
        <v>#VALUE!</v>
      </c>
      <c r="T178" t="e">
        <f>'All regions'!B4446+"n/&gt;!(h&amp;"</f>
        <v>#VALUE!</v>
      </c>
      <c r="U178" t="e">
        <f>'All regions'!C4446+"n/&gt;!(h'"</f>
        <v>#VALUE!</v>
      </c>
      <c r="V178" t="e">
        <f>'All regions'!D4446+"n/&gt;!(h("</f>
        <v>#VALUE!</v>
      </c>
      <c r="W178" t="e">
        <f>'All regions'!E4446+"n/&gt;!(h)"</f>
        <v>#VALUE!</v>
      </c>
      <c r="X178" t="e">
        <f>'All regions'!F4446+"n/&gt;!(h."</f>
        <v>#VALUE!</v>
      </c>
      <c r="Y178" t="e">
        <f>'All regions'!G4446+"n/&gt;!(h/"</f>
        <v>#VALUE!</v>
      </c>
      <c r="Z178" t="e">
        <f>'All regions'!H4446+"n/&gt;!(h0"</f>
        <v>#VALUE!</v>
      </c>
      <c r="AA178" t="e">
        <f>'All regions'!I4446+"n/&gt;!(h1"</f>
        <v>#VALUE!</v>
      </c>
      <c r="AB178" t="e">
        <f>'All regions'!J4446+"n/&gt;!(h2"</f>
        <v>#VALUE!</v>
      </c>
      <c r="AC178" t="e">
        <f>'All regions'!A4447+"n/&gt;!(h3"</f>
        <v>#VALUE!</v>
      </c>
      <c r="AD178" t="e">
        <f>'All regions'!B4447+"n/&gt;!(h4"</f>
        <v>#VALUE!</v>
      </c>
      <c r="AE178" t="e">
        <f>'All regions'!C4447+"n/&gt;!(h5"</f>
        <v>#VALUE!</v>
      </c>
      <c r="AF178" t="e">
        <f>'All regions'!D4447+"n/&gt;!(h6"</f>
        <v>#VALUE!</v>
      </c>
      <c r="AG178" t="e">
        <f>'All regions'!E4447+"n/&gt;!(h7"</f>
        <v>#VALUE!</v>
      </c>
      <c r="AH178" t="e">
        <f>'All regions'!F4447+"n/&gt;!(h8"</f>
        <v>#VALUE!</v>
      </c>
      <c r="AI178" t="e">
        <f>'All regions'!G4447+"n/&gt;!(h9"</f>
        <v>#VALUE!</v>
      </c>
      <c r="AJ178" t="e">
        <f>'All regions'!H4447+"n/&gt;!(h:"</f>
        <v>#VALUE!</v>
      </c>
      <c r="AK178" t="e">
        <f>'All regions'!I4447+"n/&gt;!(h;"</f>
        <v>#VALUE!</v>
      </c>
      <c r="AL178" t="e">
        <f>'All regions'!J4447+"n/&gt;!(h&lt;"</f>
        <v>#VALUE!</v>
      </c>
      <c r="AM178" t="e">
        <f>'All regions'!A4448+"n/&gt;!(h="</f>
        <v>#VALUE!</v>
      </c>
      <c r="AN178" t="e">
        <f>'All regions'!B4448+"n/&gt;!(h&gt;"</f>
        <v>#VALUE!</v>
      </c>
      <c r="AO178" t="e">
        <f>'All regions'!C4448+"n/&gt;!(h?"</f>
        <v>#VALUE!</v>
      </c>
      <c r="AP178" t="e">
        <f>'All regions'!D4448+"n/&gt;!(h@"</f>
        <v>#VALUE!</v>
      </c>
      <c r="AQ178" t="e">
        <f>'All regions'!E4448+"n/&gt;!(hA"</f>
        <v>#VALUE!</v>
      </c>
      <c r="AR178" t="e">
        <f>'All regions'!F4448+"n/&gt;!(hB"</f>
        <v>#VALUE!</v>
      </c>
      <c r="AS178" t="e">
        <f>'All regions'!G4448+"n/&gt;!(hC"</f>
        <v>#VALUE!</v>
      </c>
      <c r="AT178" t="e">
        <f>'All regions'!H4448+"n/&gt;!(hD"</f>
        <v>#VALUE!</v>
      </c>
      <c r="AU178" t="e">
        <f>'All regions'!I4448+"n/&gt;!(hE"</f>
        <v>#VALUE!</v>
      </c>
      <c r="AV178" t="e">
        <f>'All regions'!J4448+"n/&gt;!(hF"</f>
        <v>#VALUE!</v>
      </c>
      <c r="AW178" t="e">
        <f>'All regions'!A4449+"n/&gt;!(hG"</f>
        <v>#VALUE!</v>
      </c>
      <c r="AX178" t="e">
        <f>'All regions'!B4449+"n/&gt;!(hH"</f>
        <v>#VALUE!</v>
      </c>
      <c r="AY178" t="e">
        <f>'All regions'!C4449+"n/&gt;!(hI"</f>
        <v>#VALUE!</v>
      </c>
      <c r="AZ178" t="e">
        <f>'All regions'!D4449+"n/&gt;!(hJ"</f>
        <v>#VALUE!</v>
      </c>
      <c r="BA178" t="e">
        <f>'All regions'!E4449+"n/&gt;!(hK"</f>
        <v>#VALUE!</v>
      </c>
      <c r="BB178" t="e">
        <f>'All regions'!F4449+"n/&gt;!(hL"</f>
        <v>#VALUE!</v>
      </c>
      <c r="BC178" t="e">
        <f>'All regions'!G4449+"n/&gt;!(hM"</f>
        <v>#VALUE!</v>
      </c>
      <c r="BD178" t="e">
        <f>'All regions'!H4449+"n/&gt;!(hN"</f>
        <v>#VALUE!</v>
      </c>
      <c r="BE178" t="e">
        <f>'All regions'!I4449+"n/&gt;!(hO"</f>
        <v>#VALUE!</v>
      </c>
      <c r="BF178" t="e">
        <f>'All regions'!J4449+"n/&gt;!(hP"</f>
        <v>#VALUE!</v>
      </c>
      <c r="BG178" t="e">
        <f>'All regions'!A4450+"n/&gt;!(hQ"</f>
        <v>#VALUE!</v>
      </c>
      <c r="BH178" t="e">
        <f>'All regions'!B4450+"n/&gt;!(hR"</f>
        <v>#VALUE!</v>
      </c>
      <c r="BI178" t="e">
        <f>'All regions'!C4450+"n/&gt;!(hS"</f>
        <v>#VALUE!</v>
      </c>
      <c r="BJ178" t="e">
        <f>'All regions'!D4450+"n/&gt;!(hT"</f>
        <v>#VALUE!</v>
      </c>
      <c r="BK178" t="e">
        <f>'All regions'!E4450+"n/&gt;!(hU"</f>
        <v>#VALUE!</v>
      </c>
      <c r="BL178" t="e">
        <f>'All regions'!F4450+"n/&gt;!(hV"</f>
        <v>#VALUE!</v>
      </c>
      <c r="BM178" t="e">
        <f>'All regions'!G4450+"n/&gt;!(hW"</f>
        <v>#VALUE!</v>
      </c>
      <c r="BN178" t="e">
        <f>'All regions'!H4450+"n/&gt;!(hX"</f>
        <v>#VALUE!</v>
      </c>
      <c r="BO178" t="e">
        <f>'All regions'!I4450+"n/&gt;!(hY"</f>
        <v>#VALUE!</v>
      </c>
      <c r="BP178" t="e">
        <f>'All regions'!J4450+"n/&gt;!(hZ"</f>
        <v>#VALUE!</v>
      </c>
      <c r="BQ178" t="e">
        <f>'All regions'!A4451+"n/&gt;!(h["</f>
        <v>#VALUE!</v>
      </c>
      <c r="BR178" t="e">
        <f>'All regions'!B4451+"n/&gt;!(h\"</f>
        <v>#VALUE!</v>
      </c>
      <c r="BS178" t="e">
        <f>'All regions'!C4451+"n/&gt;!(h]"</f>
        <v>#VALUE!</v>
      </c>
      <c r="BT178" t="e">
        <f>'All regions'!D4451+"n/&gt;!(h^"</f>
        <v>#VALUE!</v>
      </c>
      <c r="BU178" t="e">
        <f>'All regions'!E4451+"n/&gt;!(h_"</f>
        <v>#VALUE!</v>
      </c>
      <c r="BV178" t="e">
        <f>'All regions'!F4451+"n/&gt;!(h`"</f>
        <v>#VALUE!</v>
      </c>
      <c r="BW178" t="e">
        <f>'All regions'!G4451+"n/&gt;!(ha"</f>
        <v>#VALUE!</v>
      </c>
      <c r="BX178" t="e">
        <f>'All regions'!H4451+"n/&gt;!(hb"</f>
        <v>#VALUE!</v>
      </c>
      <c r="BY178" t="e">
        <f>'All regions'!I4451+"n/&gt;!(hc"</f>
        <v>#VALUE!</v>
      </c>
      <c r="BZ178" t="e">
        <f>'All regions'!J4451+"n/&gt;!(hd"</f>
        <v>#VALUE!</v>
      </c>
      <c r="CA178" t="e">
        <f>'All regions'!A4452+"n/&gt;!(he"</f>
        <v>#VALUE!</v>
      </c>
      <c r="CB178" t="e">
        <f>'All regions'!B4452+"n/&gt;!(hf"</f>
        <v>#VALUE!</v>
      </c>
      <c r="CC178" t="e">
        <f>'All regions'!C4452+"n/&gt;!(hg"</f>
        <v>#VALUE!</v>
      </c>
      <c r="CD178" t="e">
        <f>'All regions'!D4452+"n/&gt;!(hh"</f>
        <v>#VALUE!</v>
      </c>
      <c r="CE178" t="e">
        <f>'All regions'!E4452+"n/&gt;!(hi"</f>
        <v>#VALUE!</v>
      </c>
      <c r="CF178" t="e">
        <f>'All regions'!F4452+"n/&gt;!(hj"</f>
        <v>#VALUE!</v>
      </c>
      <c r="CG178" t="e">
        <f>'All regions'!G4452+"n/&gt;!(hk"</f>
        <v>#VALUE!</v>
      </c>
      <c r="CH178" t="e">
        <f>'All regions'!H4452+"n/&gt;!(hl"</f>
        <v>#VALUE!</v>
      </c>
      <c r="CI178" t="e">
        <f>'All regions'!I4452+"n/&gt;!(hm"</f>
        <v>#VALUE!</v>
      </c>
      <c r="CJ178" t="e">
        <f>'All regions'!J4452+"n/&gt;!(hn"</f>
        <v>#VALUE!</v>
      </c>
      <c r="CK178" t="e">
        <f>'All regions'!A4453+"n/&gt;!(ho"</f>
        <v>#VALUE!</v>
      </c>
      <c r="CL178" t="e">
        <f>'All regions'!B4453+"n/&gt;!(hp"</f>
        <v>#VALUE!</v>
      </c>
      <c r="CM178" t="e">
        <f>'All regions'!C4453+"n/&gt;!(hq"</f>
        <v>#VALUE!</v>
      </c>
      <c r="CN178" t="e">
        <f>'All regions'!D4453+"n/&gt;!(hr"</f>
        <v>#VALUE!</v>
      </c>
      <c r="CO178" t="e">
        <f>'All regions'!E4453+"n/&gt;!(hs"</f>
        <v>#VALUE!</v>
      </c>
      <c r="CP178" t="e">
        <f>'All regions'!F4453+"n/&gt;!(ht"</f>
        <v>#VALUE!</v>
      </c>
      <c r="CQ178" t="e">
        <f>'All regions'!G4453+"n/&gt;!(hu"</f>
        <v>#VALUE!</v>
      </c>
      <c r="CR178" t="e">
        <f>'All regions'!H4453+"n/&gt;!(hv"</f>
        <v>#VALUE!</v>
      </c>
      <c r="CS178" t="e">
        <f>'All regions'!I4453+"n/&gt;!(hw"</f>
        <v>#VALUE!</v>
      </c>
      <c r="CT178" t="e">
        <f>'All regions'!J4453+"n/&gt;!(hx"</f>
        <v>#VALUE!</v>
      </c>
      <c r="CU178" t="e">
        <f>'All regions'!A4454+"n/&gt;!(hy"</f>
        <v>#VALUE!</v>
      </c>
      <c r="CV178" t="e">
        <f>'All regions'!B4454+"n/&gt;!(hz"</f>
        <v>#VALUE!</v>
      </c>
      <c r="CW178" t="e">
        <f>'All regions'!C4454+"n/&gt;!(h{"</f>
        <v>#VALUE!</v>
      </c>
      <c r="CX178" t="e">
        <f>'All regions'!D4454+"n/&gt;!(h|"</f>
        <v>#VALUE!</v>
      </c>
      <c r="CY178" t="e">
        <f>'All regions'!E4454+"n/&gt;!(h}"</f>
        <v>#VALUE!</v>
      </c>
      <c r="CZ178" t="e">
        <f>'All regions'!F4454+"n/&gt;!(h~"</f>
        <v>#VALUE!</v>
      </c>
      <c r="DA178" t="e">
        <f>'All regions'!G4454+"n/&gt;!(i#"</f>
        <v>#VALUE!</v>
      </c>
      <c r="DB178" t="e">
        <f>'All regions'!H4454+"n/&gt;!(i$"</f>
        <v>#VALUE!</v>
      </c>
      <c r="DC178" t="e">
        <f>'All regions'!I4454+"n/&gt;!(i%"</f>
        <v>#VALUE!</v>
      </c>
      <c r="DD178" t="e">
        <f>'All regions'!J4454+"n/&gt;!(i&amp;"</f>
        <v>#VALUE!</v>
      </c>
      <c r="DE178" t="e">
        <f>'All regions'!A4455+"n/&gt;!(i'"</f>
        <v>#VALUE!</v>
      </c>
      <c r="DF178" t="e">
        <f>'All regions'!B4455+"n/&gt;!(i("</f>
        <v>#VALUE!</v>
      </c>
      <c r="DG178" t="e">
        <f>'All regions'!C4455+"n/&gt;!(i)"</f>
        <v>#VALUE!</v>
      </c>
      <c r="DH178" t="e">
        <f>'All regions'!D4455+"n/&gt;!(i."</f>
        <v>#VALUE!</v>
      </c>
      <c r="DI178" t="e">
        <f>'All regions'!E4455+"n/&gt;!(i/"</f>
        <v>#VALUE!</v>
      </c>
      <c r="DJ178" t="e">
        <f>'All regions'!F4455+"n/&gt;!(i0"</f>
        <v>#VALUE!</v>
      </c>
      <c r="DK178" t="e">
        <f>'All regions'!G4455+"n/&gt;!(i1"</f>
        <v>#VALUE!</v>
      </c>
      <c r="DL178" t="e">
        <f>'All regions'!H4455+"n/&gt;!(i2"</f>
        <v>#VALUE!</v>
      </c>
      <c r="DM178" t="e">
        <f>'All regions'!I4455+"n/&gt;!(i3"</f>
        <v>#VALUE!</v>
      </c>
      <c r="DN178" t="e">
        <f>'All regions'!J4455+"n/&gt;!(i4"</f>
        <v>#VALUE!</v>
      </c>
      <c r="DO178" t="e">
        <f>'All regions'!A4456+"n/&gt;!(i5"</f>
        <v>#VALUE!</v>
      </c>
      <c r="DP178" t="e">
        <f>'All regions'!B4456+"n/&gt;!(i6"</f>
        <v>#VALUE!</v>
      </c>
      <c r="DQ178" t="e">
        <f>'All regions'!C4456+"n/&gt;!(i7"</f>
        <v>#VALUE!</v>
      </c>
      <c r="DR178" t="e">
        <f>'All regions'!D4456+"n/&gt;!(i8"</f>
        <v>#VALUE!</v>
      </c>
      <c r="DS178" t="e">
        <f>'All regions'!E4456+"n/&gt;!(i9"</f>
        <v>#VALUE!</v>
      </c>
      <c r="DT178" t="e">
        <f>'All regions'!F4456+"n/&gt;!(i:"</f>
        <v>#VALUE!</v>
      </c>
      <c r="DU178" t="e">
        <f>'All regions'!G4456+"n/&gt;!(i;"</f>
        <v>#VALUE!</v>
      </c>
      <c r="DV178" t="e">
        <f>'All regions'!H4456+"n/&gt;!(i&lt;"</f>
        <v>#VALUE!</v>
      </c>
      <c r="DW178" t="e">
        <f>'All regions'!I4456+"n/&gt;!(i="</f>
        <v>#VALUE!</v>
      </c>
      <c r="DX178" t="e">
        <f>'All regions'!J4456+"n/&gt;!(i&gt;"</f>
        <v>#VALUE!</v>
      </c>
      <c r="DY178" t="e">
        <f>'All regions'!A4457+"n/&gt;!(i?"</f>
        <v>#VALUE!</v>
      </c>
      <c r="DZ178" t="e">
        <f>'All regions'!B4457+"n/&gt;!(i@"</f>
        <v>#VALUE!</v>
      </c>
      <c r="EA178" t="e">
        <f>'All regions'!C4457+"n/&gt;!(iA"</f>
        <v>#VALUE!</v>
      </c>
      <c r="EB178" t="e">
        <f>'All regions'!D4457+"n/&gt;!(iB"</f>
        <v>#VALUE!</v>
      </c>
      <c r="EC178" t="e">
        <f>'All regions'!E4457+"n/&gt;!(iC"</f>
        <v>#VALUE!</v>
      </c>
      <c r="ED178" t="e">
        <f>'All regions'!F4457+"n/&gt;!(iD"</f>
        <v>#VALUE!</v>
      </c>
      <c r="EE178" t="e">
        <f>'All regions'!G4457+"n/&gt;!(iE"</f>
        <v>#VALUE!</v>
      </c>
      <c r="EF178" t="e">
        <f>'All regions'!H4457+"n/&gt;!(iF"</f>
        <v>#VALUE!</v>
      </c>
      <c r="EG178" t="e">
        <f>'All regions'!I4457+"n/&gt;!(iG"</f>
        <v>#VALUE!</v>
      </c>
      <c r="EH178" t="e">
        <f>'All regions'!J4457+"n/&gt;!(iH"</f>
        <v>#VALUE!</v>
      </c>
      <c r="EI178" t="e">
        <f>'All regions'!A4458+"n/&gt;!(iI"</f>
        <v>#VALUE!</v>
      </c>
      <c r="EJ178" t="e">
        <f>'All regions'!B4458+"n/&gt;!(iJ"</f>
        <v>#VALUE!</v>
      </c>
      <c r="EK178" t="e">
        <f>'All regions'!C4458+"n/&gt;!(iK"</f>
        <v>#VALUE!</v>
      </c>
      <c r="EL178" t="e">
        <f>'All regions'!D4458+"n/&gt;!(iL"</f>
        <v>#VALUE!</v>
      </c>
      <c r="EM178" t="e">
        <f>'All regions'!E4458+"n/&gt;!(iM"</f>
        <v>#VALUE!</v>
      </c>
      <c r="EN178" t="e">
        <f>'All regions'!F4458+"n/&gt;!(iN"</f>
        <v>#VALUE!</v>
      </c>
      <c r="EO178" t="e">
        <f>'All regions'!G4458+"n/&gt;!(iO"</f>
        <v>#VALUE!</v>
      </c>
      <c r="EP178" t="e">
        <f>'All regions'!H4458+"n/&gt;!(iP"</f>
        <v>#VALUE!</v>
      </c>
      <c r="EQ178" t="e">
        <f>'All regions'!I4458+"n/&gt;!(iQ"</f>
        <v>#VALUE!</v>
      </c>
      <c r="ER178" t="e">
        <f>'All regions'!J4458+"n/&gt;!(iR"</f>
        <v>#VALUE!</v>
      </c>
      <c r="ES178" t="e">
        <f>'All regions'!A4459+"n/&gt;!(iS"</f>
        <v>#VALUE!</v>
      </c>
      <c r="ET178" t="e">
        <f>'All regions'!B4459+"n/&gt;!(iT"</f>
        <v>#VALUE!</v>
      </c>
      <c r="EU178" t="e">
        <f>'All regions'!C4459+"n/&gt;!(iU"</f>
        <v>#VALUE!</v>
      </c>
      <c r="EV178" t="e">
        <f>'All regions'!D4459+"n/&gt;!(iV"</f>
        <v>#VALUE!</v>
      </c>
      <c r="EW178" t="e">
        <f>'All regions'!E4459+"n/&gt;!(iW"</f>
        <v>#VALUE!</v>
      </c>
      <c r="EX178" t="e">
        <f>'All regions'!F4459+"n/&gt;!(iX"</f>
        <v>#VALUE!</v>
      </c>
      <c r="EY178" t="e">
        <f>'All regions'!G4459+"n/&gt;!(iY"</f>
        <v>#VALUE!</v>
      </c>
      <c r="EZ178" t="e">
        <f>'All regions'!H4459+"n/&gt;!(iZ"</f>
        <v>#VALUE!</v>
      </c>
      <c r="FA178" t="e">
        <f>'All regions'!I4459+"n/&gt;!(i["</f>
        <v>#VALUE!</v>
      </c>
      <c r="FB178" t="e">
        <f>'All regions'!J4459+"n/&gt;!(i\"</f>
        <v>#VALUE!</v>
      </c>
      <c r="FC178" t="e">
        <f>'All regions'!A4460+"n/&gt;!(i]"</f>
        <v>#VALUE!</v>
      </c>
      <c r="FD178" t="e">
        <f>'All regions'!B4460+"n/&gt;!(i^"</f>
        <v>#VALUE!</v>
      </c>
      <c r="FE178" t="e">
        <f>'All regions'!C4460+"n/&gt;!(i_"</f>
        <v>#VALUE!</v>
      </c>
      <c r="FF178" t="e">
        <f>'All regions'!D4460+"n/&gt;!(i`"</f>
        <v>#VALUE!</v>
      </c>
      <c r="FG178" t="e">
        <f>'All regions'!E4460+"n/&gt;!(ia"</f>
        <v>#VALUE!</v>
      </c>
      <c r="FH178" t="e">
        <f>'All regions'!F4460+"n/&gt;!(ib"</f>
        <v>#VALUE!</v>
      </c>
      <c r="FI178" t="e">
        <f>'All regions'!G4460+"n/&gt;!(ic"</f>
        <v>#VALUE!</v>
      </c>
      <c r="FJ178" t="e">
        <f>'All regions'!H4460+"n/&gt;!(id"</f>
        <v>#VALUE!</v>
      </c>
      <c r="FK178" t="e">
        <f>'All regions'!I4460+"n/&gt;!(ie"</f>
        <v>#VALUE!</v>
      </c>
      <c r="FL178" t="e">
        <f>'All regions'!J4460+"n/&gt;!(if"</f>
        <v>#VALUE!</v>
      </c>
      <c r="FM178" t="e">
        <f>'All regions'!A4461+"n/&gt;!(ig"</f>
        <v>#VALUE!</v>
      </c>
      <c r="FN178" t="e">
        <f>'All regions'!B4461+"n/&gt;!(ih"</f>
        <v>#VALUE!</v>
      </c>
      <c r="FO178" t="e">
        <f>'All regions'!C4461+"n/&gt;!(ii"</f>
        <v>#VALUE!</v>
      </c>
      <c r="FP178" t="e">
        <f>'All regions'!D4461+"n/&gt;!(ij"</f>
        <v>#VALUE!</v>
      </c>
      <c r="FQ178" t="e">
        <f>'All regions'!E4461+"n/&gt;!(ik"</f>
        <v>#VALUE!</v>
      </c>
      <c r="FR178" t="e">
        <f>'All regions'!F4461+"n/&gt;!(il"</f>
        <v>#VALUE!</v>
      </c>
      <c r="FS178" t="e">
        <f>'All regions'!G4461+"n/&gt;!(im"</f>
        <v>#VALUE!</v>
      </c>
      <c r="FT178" t="e">
        <f>'All regions'!H4461+"n/&gt;!(in"</f>
        <v>#VALUE!</v>
      </c>
      <c r="FU178" t="e">
        <f>'All regions'!I4461+"n/&gt;!(io"</f>
        <v>#VALUE!</v>
      </c>
      <c r="FV178" t="e">
        <f>'All regions'!J4461+"n/&gt;!(ip"</f>
        <v>#VALUE!</v>
      </c>
      <c r="FW178" t="e">
        <f>'All regions'!A4462+"n/&gt;!(iq"</f>
        <v>#VALUE!</v>
      </c>
      <c r="FX178" t="e">
        <f>'All regions'!B4462+"n/&gt;!(ir"</f>
        <v>#VALUE!</v>
      </c>
      <c r="FY178" t="e">
        <f>'All regions'!C4462+"n/&gt;!(is"</f>
        <v>#VALUE!</v>
      </c>
      <c r="FZ178" t="e">
        <f>'All regions'!D4462+"n/&gt;!(it"</f>
        <v>#VALUE!</v>
      </c>
      <c r="GA178" t="e">
        <f>'All regions'!E4462+"n/&gt;!(iu"</f>
        <v>#VALUE!</v>
      </c>
      <c r="GB178" t="e">
        <f>'All regions'!F4462+"n/&gt;!(iv"</f>
        <v>#VALUE!</v>
      </c>
      <c r="GC178" t="e">
        <f>'All regions'!G4462+"n/&gt;!(iw"</f>
        <v>#VALUE!</v>
      </c>
      <c r="GD178" t="e">
        <f>'All regions'!H4462+"n/&gt;!(ix"</f>
        <v>#VALUE!</v>
      </c>
      <c r="GE178" t="e">
        <f>'All regions'!I4462+"n/&gt;!(iy"</f>
        <v>#VALUE!</v>
      </c>
      <c r="GF178" t="e">
        <f>'All regions'!J4462+"n/&gt;!(iz"</f>
        <v>#VALUE!</v>
      </c>
      <c r="GG178" t="e">
        <f>'All regions'!A4463+"n/&gt;!(i{"</f>
        <v>#VALUE!</v>
      </c>
      <c r="GH178" t="e">
        <f>'All regions'!B4463+"n/&gt;!(i|"</f>
        <v>#VALUE!</v>
      </c>
      <c r="GI178" t="e">
        <f>'All regions'!C4463+"n/&gt;!(i}"</f>
        <v>#VALUE!</v>
      </c>
      <c r="GJ178" t="e">
        <f>'All regions'!D4463+"n/&gt;!(i~"</f>
        <v>#VALUE!</v>
      </c>
      <c r="GK178" t="e">
        <f>'All regions'!E4463+"n/&gt;!(j#"</f>
        <v>#VALUE!</v>
      </c>
      <c r="GL178" t="e">
        <f>'All regions'!F4463+"n/&gt;!(j$"</f>
        <v>#VALUE!</v>
      </c>
      <c r="GM178" t="e">
        <f>'All regions'!G4463+"n/&gt;!(j%"</f>
        <v>#VALUE!</v>
      </c>
      <c r="GN178" t="e">
        <f>'All regions'!H4463+"n/&gt;!(j&amp;"</f>
        <v>#VALUE!</v>
      </c>
      <c r="GO178" t="e">
        <f>'All regions'!I4463+"n/&gt;!(j'"</f>
        <v>#VALUE!</v>
      </c>
      <c r="GP178" t="e">
        <f>'All regions'!J4463+"n/&gt;!(j("</f>
        <v>#VALUE!</v>
      </c>
      <c r="GQ178" t="e">
        <f>'All regions'!A4464+"n/&gt;!(j)"</f>
        <v>#VALUE!</v>
      </c>
      <c r="GR178" t="e">
        <f>'All regions'!B4464+"n/&gt;!(j."</f>
        <v>#VALUE!</v>
      </c>
      <c r="GS178" t="e">
        <f>'All regions'!C4464+"n/&gt;!(j/"</f>
        <v>#VALUE!</v>
      </c>
      <c r="GT178" t="e">
        <f>'All regions'!D4464+"n/&gt;!(j0"</f>
        <v>#VALUE!</v>
      </c>
      <c r="GU178" t="e">
        <f>'All regions'!E4464+"n/&gt;!(j1"</f>
        <v>#VALUE!</v>
      </c>
      <c r="GV178" t="e">
        <f>'All regions'!F4464+"n/&gt;!(j2"</f>
        <v>#VALUE!</v>
      </c>
      <c r="GW178" t="e">
        <f>'All regions'!G4464+"n/&gt;!(j3"</f>
        <v>#VALUE!</v>
      </c>
      <c r="GX178" t="e">
        <f>'All regions'!H4464+"n/&gt;!(j4"</f>
        <v>#VALUE!</v>
      </c>
      <c r="GY178" t="e">
        <f>'All regions'!I4464+"n/&gt;!(j5"</f>
        <v>#VALUE!</v>
      </c>
      <c r="GZ178" t="e">
        <f>'All regions'!J4464+"n/&gt;!(j6"</f>
        <v>#VALUE!</v>
      </c>
      <c r="HA178" t="e">
        <f>'All regions'!A4465+"n/&gt;!(j7"</f>
        <v>#VALUE!</v>
      </c>
      <c r="HB178" t="e">
        <f>'All regions'!B4465+"n/&gt;!(j8"</f>
        <v>#VALUE!</v>
      </c>
      <c r="HC178" t="e">
        <f>'All regions'!C4465+"n/&gt;!(j9"</f>
        <v>#VALUE!</v>
      </c>
      <c r="HD178" t="e">
        <f>'All regions'!D4465+"n/&gt;!(j:"</f>
        <v>#VALUE!</v>
      </c>
      <c r="HE178" t="e">
        <f>'All regions'!E4465+"n/&gt;!(j;"</f>
        <v>#VALUE!</v>
      </c>
      <c r="HF178" t="e">
        <f>'All regions'!F4465+"n/&gt;!(j&lt;"</f>
        <v>#VALUE!</v>
      </c>
      <c r="HG178" t="e">
        <f>'All regions'!G4465+"n/&gt;!(j="</f>
        <v>#VALUE!</v>
      </c>
      <c r="HH178" t="e">
        <f>'All regions'!H4465+"n/&gt;!(j&gt;"</f>
        <v>#VALUE!</v>
      </c>
      <c r="HI178" t="e">
        <f>'All regions'!I4465+"n/&gt;!(j?"</f>
        <v>#VALUE!</v>
      </c>
      <c r="HJ178" t="e">
        <f>'All regions'!J4465+"n/&gt;!(j@"</f>
        <v>#VALUE!</v>
      </c>
      <c r="HK178" t="e">
        <f>'All regions'!A4466+"n/&gt;!(jA"</f>
        <v>#VALUE!</v>
      </c>
      <c r="HL178" t="e">
        <f>'All regions'!B4466+"n/&gt;!(jB"</f>
        <v>#VALUE!</v>
      </c>
      <c r="HM178" t="e">
        <f>'All regions'!C4466+"n/&gt;!(jC"</f>
        <v>#VALUE!</v>
      </c>
      <c r="HN178" t="e">
        <f>'All regions'!D4466+"n/&gt;!(jD"</f>
        <v>#VALUE!</v>
      </c>
      <c r="HO178" t="e">
        <f>'All regions'!E4466+"n/&gt;!(jE"</f>
        <v>#VALUE!</v>
      </c>
      <c r="HP178" t="e">
        <f>'All regions'!F4466+"n/&gt;!(jF"</f>
        <v>#VALUE!</v>
      </c>
      <c r="HQ178" t="e">
        <f>'All regions'!G4466+"n/&gt;!(jG"</f>
        <v>#VALUE!</v>
      </c>
      <c r="HR178" t="e">
        <f>'All regions'!H4466+"n/&gt;!(jH"</f>
        <v>#VALUE!</v>
      </c>
      <c r="HS178" t="e">
        <f>'All regions'!I4466+"n/&gt;!(jI"</f>
        <v>#VALUE!</v>
      </c>
      <c r="HT178" t="e">
        <f>'All regions'!J4466+"n/&gt;!(jJ"</f>
        <v>#VALUE!</v>
      </c>
      <c r="HU178" t="e">
        <f>'All regions'!A4467+"n/&gt;!(jK"</f>
        <v>#VALUE!</v>
      </c>
      <c r="HV178" t="e">
        <f>'All regions'!B4467+"n/&gt;!(jL"</f>
        <v>#VALUE!</v>
      </c>
      <c r="HW178" t="e">
        <f>'All regions'!C4467+"n/&gt;!(jM"</f>
        <v>#VALUE!</v>
      </c>
      <c r="HX178" t="e">
        <f>'All regions'!D4467+"n/&gt;!(jN"</f>
        <v>#VALUE!</v>
      </c>
      <c r="HY178" t="e">
        <f>'All regions'!E4467+"n/&gt;!(jO"</f>
        <v>#VALUE!</v>
      </c>
      <c r="HZ178" t="e">
        <f>'All regions'!F4467+"n/&gt;!(jP"</f>
        <v>#VALUE!</v>
      </c>
      <c r="IA178" t="e">
        <f>'All regions'!G4467+"n/&gt;!(jQ"</f>
        <v>#VALUE!</v>
      </c>
      <c r="IB178" t="e">
        <f>'All regions'!H4467+"n/&gt;!(jR"</f>
        <v>#VALUE!</v>
      </c>
      <c r="IC178" t="e">
        <f>'All regions'!I4467+"n/&gt;!(jS"</f>
        <v>#VALUE!</v>
      </c>
      <c r="ID178" t="e">
        <f>'All regions'!J4467+"n/&gt;!(jT"</f>
        <v>#VALUE!</v>
      </c>
      <c r="IE178" t="e">
        <f>'All regions'!A4468+"n/&gt;!(jU"</f>
        <v>#VALUE!</v>
      </c>
      <c r="IF178" t="e">
        <f>'All regions'!B4468+"n/&gt;!(jV"</f>
        <v>#VALUE!</v>
      </c>
      <c r="IG178" t="e">
        <f>'All regions'!C4468+"n/&gt;!(jW"</f>
        <v>#VALUE!</v>
      </c>
      <c r="IH178" t="e">
        <f>'All regions'!D4468+"n/&gt;!(jX"</f>
        <v>#VALUE!</v>
      </c>
      <c r="II178" t="e">
        <f>'All regions'!E4468+"n/&gt;!(jY"</f>
        <v>#VALUE!</v>
      </c>
      <c r="IJ178" t="e">
        <f>'All regions'!F4468+"n/&gt;!(jZ"</f>
        <v>#VALUE!</v>
      </c>
      <c r="IK178" t="e">
        <f>'All regions'!G4468+"n/&gt;!(j["</f>
        <v>#VALUE!</v>
      </c>
      <c r="IL178" t="e">
        <f>'All regions'!H4468+"n/&gt;!(j\"</f>
        <v>#VALUE!</v>
      </c>
      <c r="IM178" t="e">
        <f>'All regions'!I4468+"n/&gt;!(j]"</f>
        <v>#VALUE!</v>
      </c>
      <c r="IN178" t="e">
        <f>'All regions'!J4468+"n/&gt;!(j^"</f>
        <v>#VALUE!</v>
      </c>
      <c r="IO178" t="e">
        <f>'All regions'!A4469+"n/&gt;!(j_"</f>
        <v>#VALUE!</v>
      </c>
      <c r="IP178" t="e">
        <f>'All regions'!B4469+"n/&gt;!(j`"</f>
        <v>#VALUE!</v>
      </c>
      <c r="IQ178" t="e">
        <f>'All regions'!C4469+"n/&gt;!(ja"</f>
        <v>#VALUE!</v>
      </c>
      <c r="IR178" t="e">
        <f>'All regions'!D4469+"n/&gt;!(jb"</f>
        <v>#VALUE!</v>
      </c>
      <c r="IS178" t="e">
        <f>'All regions'!E4469+"n/&gt;!(jc"</f>
        <v>#VALUE!</v>
      </c>
      <c r="IT178" t="e">
        <f>'All regions'!F4469+"n/&gt;!(jd"</f>
        <v>#VALUE!</v>
      </c>
      <c r="IU178" t="e">
        <f>'All regions'!G4469+"n/&gt;!(je"</f>
        <v>#VALUE!</v>
      </c>
      <c r="IV178" t="e">
        <f>'All regions'!H4469+"n/&gt;!(jf"</f>
        <v>#VALUE!</v>
      </c>
    </row>
    <row r="179" spans="6:256" x14ac:dyDescent="0.35">
      <c r="F179" t="e">
        <f>'All regions'!I4469+"n/&gt;!(jg"</f>
        <v>#VALUE!</v>
      </c>
      <c r="G179" t="e">
        <f>'All regions'!J4469+"n/&gt;!(jh"</f>
        <v>#VALUE!</v>
      </c>
      <c r="H179" t="e">
        <f>'All regions'!A4470+"n/&gt;!(ji"</f>
        <v>#VALUE!</v>
      </c>
      <c r="I179" t="e">
        <f>'All regions'!B4470+"n/&gt;!(jj"</f>
        <v>#VALUE!</v>
      </c>
      <c r="J179" t="e">
        <f>'All regions'!C4470+"n/&gt;!(jk"</f>
        <v>#VALUE!</v>
      </c>
      <c r="K179" t="e">
        <f>'All regions'!D4470+"n/&gt;!(jl"</f>
        <v>#VALUE!</v>
      </c>
      <c r="L179" t="e">
        <f>'All regions'!E4470+"n/&gt;!(jm"</f>
        <v>#VALUE!</v>
      </c>
      <c r="M179" t="e">
        <f>'All regions'!F4470+"n/&gt;!(jn"</f>
        <v>#VALUE!</v>
      </c>
      <c r="N179" t="e">
        <f>'All regions'!G4470+"n/&gt;!(jo"</f>
        <v>#VALUE!</v>
      </c>
      <c r="O179" t="e">
        <f>'All regions'!H4470+"n/&gt;!(jp"</f>
        <v>#VALUE!</v>
      </c>
      <c r="P179" t="e">
        <f>'All regions'!I4470+"n/&gt;!(jq"</f>
        <v>#VALUE!</v>
      </c>
      <c r="Q179" t="e">
        <f>'All regions'!J4470+"n/&gt;!(jr"</f>
        <v>#VALUE!</v>
      </c>
      <c r="R179" t="e">
        <f>'All regions'!A4471+"n/&gt;!(js"</f>
        <v>#VALUE!</v>
      </c>
      <c r="S179" t="e">
        <f>'All regions'!B4471+"n/&gt;!(jt"</f>
        <v>#VALUE!</v>
      </c>
      <c r="T179" t="e">
        <f>'All regions'!C4471+"n/&gt;!(ju"</f>
        <v>#VALUE!</v>
      </c>
      <c r="U179" t="e">
        <f>'All regions'!D4471+"n/&gt;!(jv"</f>
        <v>#VALUE!</v>
      </c>
      <c r="V179" t="e">
        <f>'All regions'!E4471+"n/&gt;!(jw"</f>
        <v>#VALUE!</v>
      </c>
      <c r="W179" t="e">
        <f>'All regions'!F4471+"n/&gt;!(jx"</f>
        <v>#VALUE!</v>
      </c>
      <c r="X179" t="e">
        <f>'All regions'!G4471+"n/&gt;!(jy"</f>
        <v>#VALUE!</v>
      </c>
      <c r="Y179" t="e">
        <f>'All regions'!H4471+"n/&gt;!(jz"</f>
        <v>#VALUE!</v>
      </c>
      <c r="Z179" t="e">
        <f>'All regions'!I4471+"n/&gt;!(j{"</f>
        <v>#VALUE!</v>
      </c>
      <c r="AA179" t="e">
        <f>'All regions'!J4471+"n/&gt;!(j|"</f>
        <v>#VALUE!</v>
      </c>
      <c r="AB179" t="e">
        <f>'All regions'!A4472+"n/&gt;!(j}"</f>
        <v>#VALUE!</v>
      </c>
      <c r="AC179" t="e">
        <f>'All regions'!B4472+"n/&gt;!(j~"</f>
        <v>#VALUE!</v>
      </c>
      <c r="AD179" t="e">
        <f>'All regions'!C4472+"n/&gt;!(k#"</f>
        <v>#VALUE!</v>
      </c>
      <c r="AE179" t="e">
        <f>'All regions'!D4472+"n/&gt;!(k$"</f>
        <v>#VALUE!</v>
      </c>
      <c r="AF179" t="e">
        <f>'All regions'!E4472+"n/&gt;!(k%"</f>
        <v>#VALUE!</v>
      </c>
      <c r="AG179" t="e">
        <f>'All regions'!F4472+"n/&gt;!(k&amp;"</f>
        <v>#VALUE!</v>
      </c>
      <c r="AH179" t="e">
        <f>'All regions'!G4472+"n/&gt;!(k'"</f>
        <v>#VALUE!</v>
      </c>
      <c r="AI179" t="e">
        <f>'All regions'!H4472+"n/&gt;!(k("</f>
        <v>#VALUE!</v>
      </c>
      <c r="AJ179" t="e">
        <f>'All regions'!I4472+"n/&gt;!(k)"</f>
        <v>#VALUE!</v>
      </c>
      <c r="AK179" t="e">
        <f>'All regions'!J4472+"n/&gt;!(k."</f>
        <v>#VALUE!</v>
      </c>
      <c r="AL179" t="e">
        <f>'All regions'!A4473+"n/&gt;!(k/"</f>
        <v>#VALUE!</v>
      </c>
      <c r="AM179" t="e">
        <f>'All regions'!B4473+"n/&gt;!(k0"</f>
        <v>#VALUE!</v>
      </c>
      <c r="AN179" t="e">
        <f>'All regions'!C4473+"n/&gt;!(k1"</f>
        <v>#VALUE!</v>
      </c>
      <c r="AO179" t="e">
        <f>'All regions'!D4473+"n/&gt;!(k2"</f>
        <v>#VALUE!</v>
      </c>
      <c r="AP179" t="e">
        <f>'All regions'!E4473+"n/&gt;!(k3"</f>
        <v>#VALUE!</v>
      </c>
      <c r="AQ179" t="e">
        <f>'All regions'!F4473+"n/&gt;!(k4"</f>
        <v>#VALUE!</v>
      </c>
      <c r="AR179" t="e">
        <f>'All regions'!G4473+"n/&gt;!(k5"</f>
        <v>#VALUE!</v>
      </c>
      <c r="AS179" t="e">
        <f>'All regions'!H4473+"n/&gt;!(k6"</f>
        <v>#VALUE!</v>
      </c>
      <c r="AT179" t="e">
        <f>'All regions'!I4473+"n/&gt;!(k7"</f>
        <v>#VALUE!</v>
      </c>
      <c r="AU179" t="e">
        <f>'All regions'!J4473+"n/&gt;!(k8"</f>
        <v>#VALUE!</v>
      </c>
      <c r="AV179" t="e">
        <f>'All regions'!A4474+"n/&gt;!(k9"</f>
        <v>#VALUE!</v>
      </c>
      <c r="AW179" t="e">
        <f>'All regions'!B4474+"n/&gt;!(k:"</f>
        <v>#VALUE!</v>
      </c>
      <c r="AX179" t="e">
        <f>'All regions'!C4474+"n/&gt;!(k;"</f>
        <v>#VALUE!</v>
      </c>
      <c r="AY179" t="e">
        <f>'All regions'!D4474+"n/&gt;!(k&lt;"</f>
        <v>#VALUE!</v>
      </c>
      <c r="AZ179" t="e">
        <f>'All regions'!E4474+"n/&gt;!(k="</f>
        <v>#VALUE!</v>
      </c>
      <c r="BA179" t="e">
        <f>'All regions'!F4474+"n/&gt;!(k&gt;"</f>
        <v>#VALUE!</v>
      </c>
      <c r="BB179" t="e">
        <f>'All regions'!G4474+"n/&gt;!(k?"</f>
        <v>#VALUE!</v>
      </c>
      <c r="BC179" t="e">
        <f>'All regions'!H4474+"n/&gt;!(k@"</f>
        <v>#VALUE!</v>
      </c>
      <c r="BD179" t="e">
        <f>'All regions'!I4474+"n/&gt;!(kA"</f>
        <v>#VALUE!</v>
      </c>
      <c r="BE179" t="e">
        <f>'All regions'!J4474+"n/&gt;!(kB"</f>
        <v>#VALUE!</v>
      </c>
      <c r="BF179" t="e">
        <f>'All regions'!A4475+"n/&gt;!(kC"</f>
        <v>#VALUE!</v>
      </c>
      <c r="BG179" t="e">
        <f>'All regions'!B4475+"n/&gt;!(kD"</f>
        <v>#VALUE!</v>
      </c>
      <c r="BH179" t="e">
        <f>'All regions'!C4475+"n/&gt;!(kE"</f>
        <v>#VALUE!</v>
      </c>
      <c r="BI179" t="e">
        <f>'All regions'!D4475+"n/&gt;!(kF"</f>
        <v>#VALUE!</v>
      </c>
      <c r="BJ179" t="e">
        <f>'All regions'!E4475+"n/&gt;!(kG"</f>
        <v>#VALUE!</v>
      </c>
      <c r="BK179" t="e">
        <f>'All regions'!F4475+"n/&gt;!(kH"</f>
        <v>#VALUE!</v>
      </c>
      <c r="BL179" t="e">
        <f>'All regions'!G4475+"n/&gt;!(kI"</f>
        <v>#VALUE!</v>
      </c>
      <c r="BM179" t="e">
        <f>'All regions'!H4475+"n/&gt;!(kJ"</f>
        <v>#VALUE!</v>
      </c>
      <c r="BN179" t="e">
        <f>'All regions'!I4475+"n/&gt;!(kK"</f>
        <v>#VALUE!</v>
      </c>
      <c r="BO179" t="e">
        <f>'All regions'!J4475+"n/&gt;!(kL"</f>
        <v>#VALUE!</v>
      </c>
      <c r="BP179" t="e">
        <f>'All regions'!A4476+"n/&gt;!(kM"</f>
        <v>#VALUE!</v>
      </c>
      <c r="BQ179" t="e">
        <f>'All regions'!B4476+"n/&gt;!(kN"</f>
        <v>#VALUE!</v>
      </c>
      <c r="BR179" t="e">
        <f>'All regions'!C4476+"n/&gt;!(kO"</f>
        <v>#VALUE!</v>
      </c>
      <c r="BS179" t="e">
        <f>'All regions'!D4476+"n/&gt;!(kP"</f>
        <v>#VALUE!</v>
      </c>
      <c r="BT179" t="e">
        <f>'All regions'!E4476+"n/&gt;!(kQ"</f>
        <v>#VALUE!</v>
      </c>
      <c r="BU179" t="e">
        <f>'All regions'!F4476+"n/&gt;!(kR"</f>
        <v>#VALUE!</v>
      </c>
      <c r="BV179" t="e">
        <f>'All regions'!G4476+"n/&gt;!(kS"</f>
        <v>#VALUE!</v>
      </c>
      <c r="BW179" t="e">
        <f>'All regions'!H4476+"n/&gt;!(kT"</f>
        <v>#VALUE!</v>
      </c>
      <c r="BX179" t="e">
        <f>'All regions'!I4476+"n/&gt;!(kU"</f>
        <v>#VALUE!</v>
      </c>
      <c r="BY179" t="e">
        <f>'All regions'!J4476+"n/&gt;!(kV"</f>
        <v>#VALUE!</v>
      </c>
      <c r="BZ179" t="e">
        <f>'All regions'!A4477+"n/&gt;!(kW"</f>
        <v>#VALUE!</v>
      </c>
      <c r="CA179" t="e">
        <f>'All regions'!B4477+"n/&gt;!(kX"</f>
        <v>#VALUE!</v>
      </c>
      <c r="CB179" t="e">
        <f>'All regions'!C4477+"n/&gt;!(kY"</f>
        <v>#VALUE!</v>
      </c>
      <c r="CC179" t="e">
        <f>'All regions'!D4477+"n/&gt;!(kZ"</f>
        <v>#VALUE!</v>
      </c>
      <c r="CD179" t="e">
        <f>'All regions'!E4477+"n/&gt;!(k["</f>
        <v>#VALUE!</v>
      </c>
      <c r="CE179" t="e">
        <f>'All regions'!F4477+"n/&gt;!(k\"</f>
        <v>#VALUE!</v>
      </c>
      <c r="CF179" t="e">
        <f>'All regions'!G4477+"n/&gt;!(k]"</f>
        <v>#VALUE!</v>
      </c>
      <c r="CG179" t="e">
        <f>'All regions'!I4477+"n/&gt;!(k^"</f>
        <v>#VALUE!</v>
      </c>
      <c r="CH179" t="e">
        <f>'All regions'!J4477+"n/&gt;!(k_"</f>
        <v>#VALUE!</v>
      </c>
      <c r="CI179" t="e">
        <f>'All regions'!A4478+"n/&gt;!(k`"</f>
        <v>#VALUE!</v>
      </c>
      <c r="CJ179" t="e">
        <f>'All regions'!B4478+"n/&gt;!(ka"</f>
        <v>#VALUE!</v>
      </c>
      <c r="CK179" t="e">
        <f>'All regions'!C4478+"n/&gt;!(kb"</f>
        <v>#VALUE!</v>
      </c>
      <c r="CL179" t="e">
        <f>'All regions'!D4478+"n/&gt;!(kc"</f>
        <v>#VALUE!</v>
      </c>
      <c r="CM179" t="e">
        <f>'All regions'!E4478+"n/&gt;!(kd"</f>
        <v>#VALUE!</v>
      </c>
      <c r="CN179" t="e">
        <f>'All regions'!F4478+"n/&gt;!(ke"</f>
        <v>#VALUE!</v>
      </c>
      <c r="CO179" t="e">
        <f>'All regions'!G4478+"n/&gt;!(kf"</f>
        <v>#VALUE!</v>
      </c>
      <c r="CP179" t="e">
        <f>'All regions'!H4478+"n/&gt;!(kg"</f>
        <v>#VALUE!</v>
      </c>
      <c r="CQ179" t="e">
        <f>'All regions'!I4478+"n/&gt;!(kh"</f>
        <v>#VALUE!</v>
      </c>
      <c r="CR179" t="e">
        <f>'All regions'!J4478+"n/&gt;!(ki"</f>
        <v>#VALUE!</v>
      </c>
      <c r="CS179" t="e">
        <f>'All regions'!A4479+"n/&gt;!(kj"</f>
        <v>#VALUE!</v>
      </c>
      <c r="CT179" t="e">
        <f>'All regions'!B4479+"n/&gt;!(kk"</f>
        <v>#VALUE!</v>
      </c>
      <c r="CU179" t="e">
        <f>'All regions'!C4479+"n/&gt;!(kl"</f>
        <v>#VALUE!</v>
      </c>
      <c r="CV179" t="e">
        <f>'All regions'!D4479+"n/&gt;!(km"</f>
        <v>#VALUE!</v>
      </c>
      <c r="CW179" t="e">
        <f>'All regions'!E4479+"n/&gt;!(kn"</f>
        <v>#VALUE!</v>
      </c>
      <c r="CX179" t="e">
        <f>'All regions'!F4479+"n/&gt;!(ko"</f>
        <v>#VALUE!</v>
      </c>
      <c r="CY179" t="e">
        <f>'All regions'!G4479+"n/&gt;!(kp"</f>
        <v>#VALUE!</v>
      </c>
      <c r="CZ179" t="e">
        <f>'All regions'!H4479+"n/&gt;!(kq"</f>
        <v>#VALUE!</v>
      </c>
      <c r="DA179" t="e">
        <f>'All regions'!I4479+"n/&gt;!(kr"</f>
        <v>#VALUE!</v>
      </c>
      <c r="DB179" t="e">
        <f>'All regions'!J4479+"n/&gt;!(ks"</f>
        <v>#VALUE!</v>
      </c>
      <c r="DC179" t="e">
        <f>'All regions'!A4480+"n/&gt;!(kt"</f>
        <v>#VALUE!</v>
      </c>
      <c r="DD179" t="e">
        <f>'All regions'!B4480+"n/&gt;!(ku"</f>
        <v>#VALUE!</v>
      </c>
      <c r="DE179" t="e">
        <f>'All regions'!C4480+"n/&gt;!(kv"</f>
        <v>#VALUE!</v>
      </c>
      <c r="DF179" t="e">
        <f>'All regions'!D4480+"n/&gt;!(kw"</f>
        <v>#VALUE!</v>
      </c>
      <c r="DG179" t="e">
        <f>'All regions'!E4480+"n/&gt;!(kx"</f>
        <v>#VALUE!</v>
      </c>
      <c r="DH179" t="e">
        <f>'All regions'!F4480+"n/&gt;!(ky"</f>
        <v>#VALUE!</v>
      </c>
      <c r="DI179" t="e">
        <f>'All regions'!G4480+"n/&gt;!(kz"</f>
        <v>#VALUE!</v>
      </c>
      <c r="DJ179" t="e">
        <f>'All regions'!H4480+"n/&gt;!(k{"</f>
        <v>#VALUE!</v>
      </c>
      <c r="DK179" t="e">
        <f>'All regions'!I4480+"n/&gt;!(k|"</f>
        <v>#VALUE!</v>
      </c>
      <c r="DL179" t="e">
        <f>'All regions'!J4480+"n/&gt;!(k}"</f>
        <v>#VALUE!</v>
      </c>
      <c r="DM179" t="e">
        <f>'All regions'!A4481+"n/&gt;!(k~"</f>
        <v>#VALUE!</v>
      </c>
      <c r="DN179" t="e">
        <f>'All regions'!B4481+"n/&gt;!(l#"</f>
        <v>#VALUE!</v>
      </c>
      <c r="DO179" t="e">
        <f>'All regions'!C4481+"n/&gt;!(l$"</f>
        <v>#VALUE!</v>
      </c>
      <c r="DP179" t="e">
        <f>'All regions'!D4481+"n/&gt;!(l%"</f>
        <v>#VALUE!</v>
      </c>
      <c r="DQ179" t="e">
        <f>'All regions'!E4481+"n/&gt;!(l&amp;"</f>
        <v>#VALUE!</v>
      </c>
      <c r="DR179" t="e">
        <f>'All regions'!F4481+"n/&gt;!(l'"</f>
        <v>#VALUE!</v>
      </c>
      <c r="DS179" t="e">
        <f>'All regions'!G4481+"n/&gt;!(l("</f>
        <v>#VALUE!</v>
      </c>
      <c r="DT179" t="e">
        <f>'All regions'!H4481+"n/&gt;!(l)"</f>
        <v>#VALUE!</v>
      </c>
      <c r="DU179" t="e">
        <f>'All regions'!I4481+"n/&gt;!(l."</f>
        <v>#VALUE!</v>
      </c>
      <c r="DV179" t="e">
        <f>'All regions'!J4481+"n/&gt;!(l/"</f>
        <v>#VALUE!</v>
      </c>
      <c r="DW179" t="e">
        <f>'All regions'!A4482+"n/&gt;!(l0"</f>
        <v>#VALUE!</v>
      </c>
      <c r="DX179" t="e">
        <f>'All regions'!B4482+"n/&gt;!(l1"</f>
        <v>#VALUE!</v>
      </c>
      <c r="DY179" t="e">
        <f>'All regions'!C4482+"n/&gt;!(l2"</f>
        <v>#VALUE!</v>
      </c>
      <c r="DZ179" t="e">
        <f>'All regions'!D4482+"n/&gt;!(l3"</f>
        <v>#VALUE!</v>
      </c>
      <c r="EA179" t="e">
        <f>'All regions'!E4482+"n/&gt;!(l4"</f>
        <v>#VALUE!</v>
      </c>
      <c r="EB179" t="e">
        <f>'All regions'!F4482+"n/&gt;!(l5"</f>
        <v>#VALUE!</v>
      </c>
      <c r="EC179" t="e">
        <f>'All regions'!G4482+"n/&gt;!(l6"</f>
        <v>#VALUE!</v>
      </c>
      <c r="ED179" t="e">
        <f>'All regions'!H4482+"n/&gt;!(l7"</f>
        <v>#VALUE!</v>
      </c>
      <c r="EE179" t="e">
        <f>'All regions'!I4482+"n/&gt;!(l8"</f>
        <v>#VALUE!</v>
      </c>
      <c r="EF179" t="e">
        <f>'All regions'!J4482+"n/&gt;!(l9"</f>
        <v>#VALUE!</v>
      </c>
      <c r="EG179" t="e">
        <f>'All regions'!A4483+"n/&gt;!(l:"</f>
        <v>#VALUE!</v>
      </c>
      <c r="EH179" t="e">
        <f>'All regions'!B4483+"n/&gt;!(l;"</f>
        <v>#VALUE!</v>
      </c>
      <c r="EI179" t="e">
        <f>'All regions'!C4483+"n/&gt;!(l&lt;"</f>
        <v>#VALUE!</v>
      </c>
      <c r="EJ179" t="e">
        <f>'All regions'!D4483+"n/&gt;!(l="</f>
        <v>#VALUE!</v>
      </c>
      <c r="EK179" t="e">
        <f>'All regions'!E4483+"n/&gt;!(l&gt;"</f>
        <v>#VALUE!</v>
      </c>
      <c r="EL179" t="e">
        <f>'All regions'!F4483+"n/&gt;!(l?"</f>
        <v>#VALUE!</v>
      </c>
      <c r="EM179" t="e">
        <f>'All regions'!G4483+"n/&gt;!(l@"</f>
        <v>#VALUE!</v>
      </c>
      <c r="EN179" t="e">
        <f>'All regions'!H4483+"n/&gt;!(lA"</f>
        <v>#VALUE!</v>
      </c>
      <c r="EO179" t="e">
        <f>'All regions'!I4483+"n/&gt;!(lB"</f>
        <v>#VALUE!</v>
      </c>
      <c r="EP179" t="e">
        <f>'All regions'!J4483+"n/&gt;!(lC"</f>
        <v>#VALUE!</v>
      </c>
      <c r="EQ179" t="e">
        <f>'All regions'!A4484+"n/&gt;!(lD"</f>
        <v>#VALUE!</v>
      </c>
      <c r="ER179" t="e">
        <f>'All regions'!B4484+"n/&gt;!(lE"</f>
        <v>#VALUE!</v>
      </c>
      <c r="ES179" t="e">
        <f>'All regions'!C4484+"n/&gt;!(lF"</f>
        <v>#VALUE!</v>
      </c>
      <c r="ET179" t="e">
        <f>'All regions'!D4484+"n/&gt;!(lG"</f>
        <v>#VALUE!</v>
      </c>
      <c r="EU179" t="e">
        <f>'All regions'!E4484+"n/&gt;!(lH"</f>
        <v>#VALUE!</v>
      </c>
      <c r="EV179" t="e">
        <f>'All regions'!F4484+"n/&gt;!(lI"</f>
        <v>#VALUE!</v>
      </c>
      <c r="EW179" t="e">
        <f>'All regions'!G4484+"n/&gt;!(lJ"</f>
        <v>#VALUE!</v>
      </c>
      <c r="EX179" t="e">
        <f>'All regions'!H4484+"n/&gt;!(lK"</f>
        <v>#VALUE!</v>
      </c>
      <c r="EY179" t="e">
        <f>'All regions'!I4484+"n/&gt;!(lL"</f>
        <v>#VALUE!</v>
      </c>
      <c r="EZ179" t="e">
        <f>'All regions'!J4484+"n/&gt;!(lM"</f>
        <v>#VALUE!</v>
      </c>
      <c r="FA179" t="e">
        <f>'All regions'!A4485+"n/&gt;!(lN"</f>
        <v>#VALUE!</v>
      </c>
      <c r="FB179" t="e">
        <f>'All regions'!B4485+"n/&gt;!(lO"</f>
        <v>#VALUE!</v>
      </c>
      <c r="FC179" t="e">
        <f>'All regions'!C4485+"n/&gt;!(lP"</f>
        <v>#VALUE!</v>
      </c>
      <c r="FD179" t="e">
        <f>'All regions'!D4485+"n/&gt;!(lQ"</f>
        <v>#VALUE!</v>
      </c>
      <c r="FE179" t="e">
        <f>'All regions'!E4485+"n/&gt;!(lR"</f>
        <v>#VALUE!</v>
      </c>
      <c r="FF179" t="e">
        <f>'All regions'!F4485+"n/&gt;!(lS"</f>
        <v>#VALUE!</v>
      </c>
      <c r="FG179" t="e">
        <f>'All regions'!G4485+"n/&gt;!(lT"</f>
        <v>#VALUE!</v>
      </c>
      <c r="FH179" t="e">
        <f>'All regions'!H4485+"n/&gt;!(lU"</f>
        <v>#VALUE!</v>
      </c>
      <c r="FI179" t="e">
        <f>'All regions'!I4485+"n/&gt;!(lV"</f>
        <v>#VALUE!</v>
      </c>
      <c r="FJ179" t="e">
        <f>'All regions'!J4485+"n/&gt;!(lW"</f>
        <v>#VALUE!</v>
      </c>
      <c r="FK179" t="e">
        <f>'All regions'!A4486+"n/&gt;!(lX"</f>
        <v>#VALUE!</v>
      </c>
      <c r="FL179" t="e">
        <f>'All regions'!B4486+"n/&gt;!(lY"</f>
        <v>#VALUE!</v>
      </c>
      <c r="FM179" t="e">
        <f>'All regions'!C4486+"n/&gt;!(lZ"</f>
        <v>#VALUE!</v>
      </c>
      <c r="FN179" t="e">
        <f>'All regions'!D4486+"n/&gt;!(l["</f>
        <v>#VALUE!</v>
      </c>
      <c r="FO179" t="e">
        <f>'All regions'!E4486+"n/&gt;!(l\"</f>
        <v>#VALUE!</v>
      </c>
      <c r="FP179" t="e">
        <f>'All regions'!F4486+"n/&gt;!(l]"</f>
        <v>#VALUE!</v>
      </c>
      <c r="FQ179" t="e">
        <f>'All regions'!G4486+"n/&gt;!(l^"</f>
        <v>#VALUE!</v>
      </c>
      <c r="FR179" t="e">
        <f>'All regions'!H4486+"n/&gt;!(l_"</f>
        <v>#VALUE!</v>
      </c>
      <c r="FS179" t="e">
        <f>'All regions'!I4486+"n/&gt;!(l`"</f>
        <v>#VALUE!</v>
      </c>
      <c r="FT179" t="e">
        <f>'All regions'!J4486+"n/&gt;!(la"</f>
        <v>#VALUE!</v>
      </c>
      <c r="FU179" t="e">
        <f>'All regions'!A4487+"n/&gt;!(lb"</f>
        <v>#VALUE!</v>
      </c>
      <c r="FV179" t="e">
        <f>'All regions'!B4487+"n/&gt;!(lc"</f>
        <v>#VALUE!</v>
      </c>
      <c r="FW179" t="e">
        <f>'All regions'!C4487+"n/&gt;!(ld"</f>
        <v>#VALUE!</v>
      </c>
      <c r="FX179" t="e">
        <f>'All regions'!D4487+"n/&gt;!(le"</f>
        <v>#VALUE!</v>
      </c>
      <c r="FY179" t="e">
        <f>'All regions'!E4487+"n/&gt;!(lf"</f>
        <v>#VALUE!</v>
      </c>
      <c r="FZ179" t="e">
        <f>'All regions'!F4487+"n/&gt;!(lg"</f>
        <v>#VALUE!</v>
      </c>
      <c r="GA179" t="e">
        <f>'All regions'!G4487+"n/&gt;!(lh"</f>
        <v>#VALUE!</v>
      </c>
      <c r="GB179" t="e">
        <f>'All regions'!H4487+"n/&gt;!(li"</f>
        <v>#VALUE!</v>
      </c>
      <c r="GC179" t="e">
        <f>'All regions'!I4487+"n/&gt;!(lj"</f>
        <v>#VALUE!</v>
      </c>
      <c r="GD179" t="e">
        <f>'All regions'!J4487+"n/&gt;!(lk"</f>
        <v>#VALUE!</v>
      </c>
      <c r="GE179" t="e">
        <f>'All regions'!A4488+"n/&gt;!(ll"</f>
        <v>#VALUE!</v>
      </c>
      <c r="GF179" t="e">
        <f>'All regions'!B4488+"n/&gt;!(lm"</f>
        <v>#VALUE!</v>
      </c>
      <c r="GG179" t="e">
        <f>'All regions'!C4488+"n/&gt;!(ln"</f>
        <v>#VALUE!</v>
      </c>
      <c r="GH179" t="e">
        <f>'All regions'!D4488+"n/&gt;!(lo"</f>
        <v>#VALUE!</v>
      </c>
      <c r="GI179" t="e">
        <f>'All regions'!E4488+"n/&gt;!(lp"</f>
        <v>#VALUE!</v>
      </c>
      <c r="GJ179" t="e">
        <f>'All regions'!F4488+"n/&gt;!(lq"</f>
        <v>#VALUE!</v>
      </c>
      <c r="GK179" t="e">
        <f>'All regions'!G4488+"n/&gt;!(lr"</f>
        <v>#VALUE!</v>
      </c>
      <c r="GL179" t="e">
        <f>'All regions'!H4488+"n/&gt;!(ls"</f>
        <v>#VALUE!</v>
      </c>
      <c r="GM179" t="e">
        <f>'All regions'!I4488+"n/&gt;!(lt"</f>
        <v>#VALUE!</v>
      </c>
      <c r="GN179" t="e">
        <f>'All regions'!J4488+"n/&gt;!(lu"</f>
        <v>#VALUE!</v>
      </c>
      <c r="GO179" t="e">
        <f>'All regions'!A4489+"n/&gt;!(lv"</f>
        <v>#VALUE!</v>
      </c>
      <c r="GP179" t="e">
        <f>'All regions'!B4489+"n/&gt;!(lw"</f>
        <v>#VALUE!</v>
      </c>
      <c r="GQ179" t="e">
        <f>'All regions'!C4489+"n/&gt;!(lx"</f>
        <v>#VALUE!</v>
      </c>
      <c r="GR179" t="e">
        <f>'All regions'!D4489+"n/&gt;!(ly"</f>
        <v>#VALUE!</v>
      </c>
      <c r="GS179" t="e">
        <f>'All regions'!E4489+"n/&gt;!(lz"</f>
        <v>#VALUE!</v>
      </c>
      <c r="GT179" t="e">
        <f>'All regions'!F4489+"n/&gt;!(l{"</f>
        <v>#VALUE!</v>
      </c>
      <c r="GU179" t="e">
        <f>'All regions'!G4489+"n/&gt;!(l|"</f>
        <v>#VALUE!</v>
      </c>
      <c r="GV179" t="e">
        <f>'All regions'!H4489+"n/&gt;!(l}"</f>
        <v>#VALUE!</v>
      </c>
      <c r="GW179" t="e">
        <f>'All regions'!I4489+"n/&gt;!(l~"</f>
        <v>#VALUE!</v>
      </c>
      <c r="GX179" t="e">
        <f>'All regions'!J4489+"n/&gt;!(m#"</f>
        <v>#VALUE!</v>
      </c>
      <c r="GY179" t="e">
        <f>'All regions'!A4490+"n/&gt;!(m$"</f>
        <v>#VALUE!</v>
      </c>
      <c r="GZ179" t="e">
        <f>'All regions'!B4490+"n/&gt;!(m%"</f>
        <v>#VALUE!</v>
      </c>
      <c r="HA179" t="e">
        <f>'All regions'!C4490+"n/&gt;!(m&amp;"</f>
        <v>#VALUE!</v>
      </c>
      <c r="HB179" t="e">
        <f>'All regions'!D4490+"n/&gt;!(m'"</f>
        <v>#VALUE!</v>
      </c>
      <c r="HC179" t="e">
        <f>'All regions'!E4490+"n/&gt;!(m("</f>
        <v>#VALUE!</v>
      </c>
      <c r="HD179" t="e">
        <f>'All regions'!F4490+"n/&gt;!(m)"</f>
        <v>#VALUE!</v>
      </c>
      <c r="HE179" t="e">
        <f>'All regions'!G4490+"n/&gt;!(m."</f>
        <v>#VALUE!</v>
      </c>
      <c r="HF179" t="e">
        <f>'All regions'!H4490+"n/&gt;!(m/"</f>
        <v>#VALUE!</v>
      </c>
      <c r="HG179" t="e">
        <f>'All regions'!I4490+"n/&gt;!(m0"</f>
        <v>#VALUE!</v>
      </c>
      <c r="HH179" t="e">
        <f>'All regions'!J4490+"n/&gt;!(m1"</f>
        <v>#VALUE!</v>
      </c>
      <c r="HI179" t="e">
        <f>'All regions'!A4491+"n/&gt;!(m2"</f>
        <v>#VALUE!</v>
      </c>
      <c r="HJ179" t="e">
        <f>'All regions'!B4491+"n/&gt;!(m3"</f>
        <v>#VALUE!</v>
      </c>
      <c r="HK179" t="e">
        <f>'All regions'!C4491+"n/&gt;!(m4"</f>
        <v>#VALUE!</v>
      </c>
      <c r="HL179" t="e">
        <f>'All regions'!D4491+"n/&gt;!(m5"</f>
        <v>#VALUE!</v>
      </c>
      <c r="HM179" t="e">
        <f>'All regions'!E4491+"n/&gt;!(m6"</f>
        <v>#VALUE!</v>
      </c>
      <c r="HN179" t="e">
        <f>'All regions'!F4491+"n/&gt;!(m7"</f>
        <v>#VALUE!</v>
      </c>
      <c r="HO179" t="e">
        <f>'All regions'!G4491+"n/&gt;!(m8"</f>
        <v>#VALUE!</v>
      </c>
      <c r="HP179" t="e">
        <f>'All regions'!H4491+"n/&gt;!(m9"</f>
        <v>#VALUE!</v>
      </c>
      <c r="HQ179" t="e">
        <f>'All regions'!I4491+"n/&gt;!(m:"</f>
        <v>#VALUE!</v>
      </c>
      <c r="HR179" t="e">
        <f>'All regions'!J4491+"n/&gt;!(m;"</f>
        <v>#VALUE!</v>
      </c>
      <c r="HS179" t="e">
        <f>'All regions'!A4492+"n/&gt;!(m&lt;"</f>
        <v>#VALUE!</v>
      </c>
      <c r="HT179" t="e">
        <f>'All regions'!B4492+"n/&gt;!(m="</f>
        <v>#VALUE!</v>
      </c>
      <c r="HU179" t="e">
        <f>'All regions'!C4492+"n/&gt;!(m&gt;"</f>
        <v>#VALUE!</v>
      </c>
      <c r="HV179" t="e">
        <f>'All regions'!D4492+"n/&gt;!(m?"</f>
        <v>#VALUE!</v>
      </c>
      <c r="HW179" t="e">
        <f>'All regions'!E4492+"n/&gt;!(m@"</f>
        <v>#VALUE!</v>
      </c>
      <c r="HX179" t="e">
        <f>'All regions'!F4492+"n/&gt;!(mA"</f>
        <v>#VALUE!</v>
      </c>
      <c r="HY179" t="e">
        <f>'All regions'!G4492+"n/&gt;!(mB"</f>
        <v>#VALUE!</v>
      </c>
      <c r="HZ179" t="e">
        <f>'All regions'!H4492+"n/&gt;!(mC"</f>
        <v>#VALUE!</v>
      </c>
      <c r="IA179" t="e">
        <f>'All regions'!I4492+"n/&gt;!(mD"</f>
        <v>#VALUE!</v>
      </c>
      <c r="IB179" t="e">
        <f>'All regions'!J4492+"n/&gt;!(mE"</f>
        <v>#VALUE!</v>
      </c>
      <c r="IC179" t="e">
        <f>'All regions'!A4493+"n/&gt;!(mF"</f>
        <v>#VALUE!</v>
      </c>
      <c r="ID179" t="e">
        <f>'All regions'!B4493+"n/&gt;!(mG"</f>
        <v>#VALUE!</v>
      </c>
      <c r="IE179" t="e">
        <f>'All regions'!C4493+"n/&gt;!(mH"</f>
        <v>#VALUE!</v>
      </c>
      <c r="IF179" t="e">
        <f>'All regions'!D4493+"n/&gt;!(mI"</f>
        <v>#VALUE!</v>
      </c>
      <c r="IG179" t="e">
        <f>'All regions'!E4493+"n/&gt;!(mJ"</f>
        <v>#VALUE!</v>
      </c>
      <c r="IH179" t="e">
        <f>'All regions'!F4493+"n/&gt;!(mK"</f>
        <v>#VALUE!</v>
      </c>
      <c r="II179" t="e">
        <f>'All regions'!G4493+"n/&gt;!(mL"</f>
        <v>#VALUE!</v>
      </c>
      <c r="IJ179" t="e">
        <f>'All regions'!H4493+"n/&gt;!(mM"</f>
        <v>#VALUE!</v>
      </c>
      <c r="IK179" t="e">
        <f>'All regions'!I4493+"n/&gt;!(mN"</f>
        <v>#VALUE!</v>
      </c>
      <c r="IL179" t="e">
        <f>'All regions'!J4493+"n/&gt;!(mO"</f>
        <v>#VALUE!</v>
      </c>
      <c r="IM179" t="e">
        <f>'All regions'!A4494+"n/&gt;!(mP"</f>
        <v>#VALUE!</v>
      </c>
      <c r="IN179" t="e">
        <f>'All regions'!B4494+"n/&gt;!(mQ"</f>
        <v>#VALUE!</v>
      </c>
      <c r="IO179" t="e">
        <f>'All regions'!C4494+"n/&gt;!(mR"</f>
        <v>#VALUE!</v>
      </c>
      <c r="IP179" t="e">
        <f>'All regions'!D4494+"n/&gt;!(mS"</f>
        <v>#VALUE!</v>
      </c>
      <c r="IQ179" t="e">
        <f>'All regions'!E4494+"n/&gt;!(mT"</f>
        <v>#VALUE!</v>
      </c>
      <c r="IR179" t="e">
        <f>'All regions'!F4494+"n/&gt;!(mU"</f>
        <v>#VALUE!</v>
      </c>
      <c r="IS179" t="e">
        <f>'All regions'!G4494+"n/&gt;!(mV"</f>
        <v>#VALUE!</v>
      </c>
      <c r="IT179" t="e">
        <f>'All regions'!H4494+"n/&gt;!(mW"</f>
        <v>#VALUE!</v>
      </c>
      <c r="IU179" t="e">
        <f>'All regions'!I4494+"n/&gt;!(mX"</f>
        <v>#VALUE!</v>
      </c>
      <c r="IV179" t="e">
        <f>'All regions'!J4494+"n/&gt;!(mY"</f>
        <v>#VALUE!</v>
      </c>
    </row>
    <row r="180" spans="6:256" x14ac:dyDescent="0.35">
      <c r="F180" t="e">
        <f>'All regions'!A4495+"n/&gt;!(mZ"</f>
        <v>#VALUE!</v>
      </c>
      <c r="G180" t="e">
        <f>'All regions'!B4495+"n/&gt;!(m["</f>
        <v>#VALUE!</v>
      </c>
      <c r="H180" t="e">
        <f>'All regions'!C4495+"n/&gt;!(m\"</f>
        <v>#VALUE!</v>
      </c>
      <c r="I180" t="e">
        <f>'All regions'!D4495+"n/&gt;!(m]"</f>
        <v>#VALUE!</v>
      </c>
      <c r="J180" t="e">
        <f>'All regions'!E4495+"n/&gt;!(m^"</f>
        <v>#VALUE!</v>
      </c>
      <c r="K180" t="e">
        <f>'All regions'!F4495+"n/&gt;!(m_"</f>
        <v>#VALUE!</v>
      </c>
      <c r="L180" t="e">
        <f>'All regions'!G4495+"n/&gt;!(m`"</f>
        <v>#VALUE!</v>
      </c>
      <c r="M180" t="e">
        <f>'All regions'!H4495+"n/&gt;!(ma"</f>
        <v>#VALUE!</v>
      </c>
      <c r="N180" t="e">
        <f>'All regions'!I4495+"n/&gt;!(mb"</f>
        <v>#VALUE!</v>
      </c>
      <c r="O180" t="e">
        <f>'All regions'!J4495+"n/&gt;!(mc"</f>
        <v>#VALUE!</v>
      </c>
      <c r="P180" t="e">
        <f>'All regions'!A4496+"n/&gt;!(md"</f>
        <v>#VALUE!</v>
      </c>
      <c r="Q180" t="e">
        <f>'All regions'!B4496+"n/&gt;!(me"</f>
        <v>#VALUE!</v>
      </c>
      <c r="R180" t="e">
        <f>'All regions'!C4496+"n/&gt;!(mf"</f>
        <v>#VALUE!</v>
      </c>
      <c r="S180" t="e">
        <f>'All regions'!D4496+"n/&gt;!(mg"</f>
        <v>#VALUE!</v>
      </c>
      <c r="T180" t="e">
        <f>'All regions'!E4496+"n/&gt;!(mh"</f>
        <v>#VALUE!</v>
      </c>
      <c r="U180" t="e">
        <f>'All regions'!F4496+"n/&gt;!(mi"</f>
        <v>#VALUE!</v>
      </c>
      <c r="V180" t="e">
        <f>'All regions'!G4496+"n/&gt;!(mj"</f>
        <v>#VALUE!</v>
      </c>
      <c r="W180" t="e">
        <f>'All regions'!H4496+"n/&gt;!(mk"</f>
        <v>#VALUE!</v>
      </c>
      <c r="X180" t="e">
        <f>'All regions'!I4496+"n/&gt;!(ml"</f>
        <v>#VALUE!</v>
      </c>
      <c r="Y180" t="e">
        <f>'All regions'!J4496+"n/&gt;!(mm"</f>
        <v>#VALUE!</v>
      </c>
      <c r="Z180" t="e">
        <f>'All regions'!A4497+"n/&gt;!(mn"</f>
        <v>#VALUE!</v>
      </c>
      <c r="AA180" t="e">
        <f>'All regions'!B4497+"n/&gt;!(mo"</f>
        <v>#VALUE!</v>
      </c>
      <c r="AB180" t="e">
        <f>'All regions'!C4497+"n/&gt;!(mp"</f>
        <v>#VALUE!</v>
      </c>
      <c r="AC180" t="e">
        <f>'All regions'!D4497+"n/&gt;!(mq"</f>
        <v>#VALUE!</v>
      </c>
      <c r="AD180" t="e">
        <f>'All regions'!E4497+"n/&gt;!(mr"</f>
        <v>#VALUE!</v>
      </c>
      <c r="AE180" t="e">
        <f>'All regions'!F4497+"n/&gt;!(ms"</f>
        <v>#VALUE!</v>
      </c>
      <c r="AF180" t="e">
        <f>'All regions'!G4497+"n/&gt;!(mt"</f>
        <v>#VALUE!</v>
      </c>
      <c r="AG180" t="e">
        <f>'All regions'!H4497+"n/&gt;!(mu"</f>
        <v>#VALUE!</v>
      </c>
      <c r="AH180" t="e">
        <f>'All regions'!I4497+"n/&gt;!(mv"</f>
        <v>#VALUE!</v>
      </c>
      <c r="AI180" t="e">
        <f>'All regions'!J4497+"n/&gt;!(mw"</f>
        <v>#VALUE!</v>
      </c>
      <c r="AJ180" t="e">
        <f>'All regions'!A4498+"n/&gt;!(mx"</f>
        <v>#VALUE!</v>
      </c>
      <c r="AK180" t="e">
        <f>'All regions'!B4498+"n/&gt;!(my"</f>
        <v>#VALUE!</v>
      </c>
      <c r="AL180" t="e">
        <f>'All regions'!C4498+"n/&gt;!(mz"</f>
        <v>#VALUE!</v>
      </c>
      <c r="AM180" t="e">
        <f>'All regions'!D4498+"n/&gt;!(m{"</f>
        <v>#VALUE!</v>
      </c>
      <c r="AN180" t="e">
        <f>'All regions'!E4498+"n/&gt;!(m|"</f>
        <v>#VALUE!</v>
      </c>
      <c r="AO180" t="e">
        <f>'All regions'!F4498+"n/&gt;!(m}"</f>
        <v>#VALUE!</v>
      </c>
      <c r="AP180" t="e">
        <f>'All regions'!G4498+"n/&gt;!(m~"</f>
        <v>#VALUE!</v>
      </c>
      <c r="AQ180" t="e">
        <f>'All regions'!H4498+"n/&gt;!(n#"</f>
        <v>#VALUE!</v>
      </c>
      <c r="AR180" t="e">
        <f>'All regions'!I4498+"n/&gt;!(n$"</f>
        <v>#VALUE!</v>
      </c>
      <c r="AS180" t="e">
        <f>'All regions'!J4498+"n/&gt;!(n%"</f>
        <v>#VALUE!</v>
      </c>
      <c r="AT180" t="e">
        <f>'All regions'!A4499+"n/&gt;!(n&amp;"</f>
        <v>#VALUE!</v>
      </c>
      <c r="AU180" t="e">
        <f>'All regions'!B4499+"n/&gt;!(n'"</f>
        <v>#VALUE!</v>
      </c>
      <c r="AV180" t="e">
        <f>'All regions'!C4499+"n/&gt;!(n("</f>
        <v>#VALUE!</v>
      </c>
      <c r="AW180" t="e">
        <f>'All regions'!D4499+"n/&gt;!(n)"</f>
        <v>#VALUE!</v>
      </c>
      <c r="AX180" t="e">
        <f>'All regions'!E4499+"n/&gt;!(n."</f>
        <v>#VALUE!</v>
      </c>
      <c r="AY180" t="e">
        <f>'All regions'!F4499+"n/&gt;!(n/"</f>
        <v>#VALUE!</v>
      </c>
      <c r="AZ180" t="e">
        <f>'All regions'!G4499+"n/&gt;!(n0"</f>
        <v>#VALUE!</v>
      </c>
      <c r="BA180" t="e">
        <f>'All regions'!H4499+"n/&gt;!(n1"</f>
        <v>#VALUE!</v>
      </c>
      <c r="BB180" t="e">
        <f>'All regions'!I4499+"n/&gt;!(n2"</f>
        <v>#VALUE!</v>
      </c>
      <c r="BC180" t="e">
        <f>'All regions'!J4499+"n/&gt;!(n3"</f>
        <v>#VALUE!</v>
      </c>
      <c r="BD180" t="e">
        <f>'All regions'!A4500+"n/&gt;!(n4"</f>
        <v>#VALUE!</v>
      </c>
      <c r="BE180" t="e">
        <f>'All regions'!B4500+"n/&gt;!(n5"</f>
        <v>#VALUE!</v>
      </c>
      <c r="BF180" t="e">
        <f>'All regions'!C4500+"n/&gt;!(n6"</f>
        <v>#VALUE!</v>
      </c>
      <c r="BG180" t="e">
        <f>'All regions'!D4500+"n/&gt;!(n7"</f>
        <v>#VALUE!</v>
      </c>
      <c r="BH180" t="e">
        <f>'All regions'!E4500+"n/&gt;!(n8"</f>
        <v>#VALUE!</v>
      </c>
      <c r="BI180" t="e">
        <f>'All regions'!F4500+"n/&gt;!(n9"</f>
        <v>#VALUE!</v>
      </c>
      <c r="BJ180" t="e">
        <f>'All regions'!G4500+"n/&gt;!(n:"</f>
        <v>#VALUE!</v>
      </c>
      <c r="BK180" t="e">
        <f>'All regions'!H4500+"n/&gt;!(n;"</f>
        <v>#VALUE!</v>
      </c>
      <c r="BL180" t="e">
        <f>'All regions'!I4500+"n/&gt;!(n&lt;"</f>
        <v>#VALUE!</v>
      </c>
      <c r="BM180" t="e">
        <f>'All regions'!J4500+"n/&gt;!(n="</f>
        <v>#VALUE!</v>
      </c>
      <c r="BN180" t="e">
        <f>'All regions'!A4501+"n/&gt;!(n&gt;"</f>
        <v>#VALUE!</v>
      </c>
      <c r="BO180" t="e">
        <f>'All regions'!B4501+"n/&gt;!(n?"</f>
        <v>#VALUE!</v>
      </c>
      <c r="BP180" t="e">
        <f>'All regions'!C4501+"n/&gt;!(n@"</f>
        <v>#VALUE!</v>
      </c>
      <c r="BQ180" t="e">
        <f>'All regions'!D4501+"n/&gt;!(nA"</f>
        <v>#VALUE!</v>
      </c>
      <c r="BR180" t="e">
        <f>'All regions'!E4501+"n/&gt;!(nB"</f>
        <v>#VALUE!</v>
      </c>
      <c r="BS180" t="e">
        <f>'All regions'!F4501+"n/&gt;!(nC"</f>
        <v>#VALUE!</v>
      </c>
      <c r="BT180" t="e">
        <f>'All regions'!G4501+"n/&gt;!(nD"</f>
        <v>#VALUE!</v>
      </c>
      <c r="BU180" t="e">
        <f>'All regions'!H4501+"n/&gt;!(nE"</f>
        <v>#VALUE!</v>
      </c>
      <c r="BV180" t="e">
        <f>'All regions'!I4501+"n/&gt;!(nF"</f>
        <v>#VALUE!</v>
      </c>
      <c r="BW180" t="e">
        <f>'All regions'!J4501+"n/&gt;!(nG"</f>
        <v>#VALUE!</v>
      </c>
      <c r="BX180" t="e">
        <f>'All regions'!A4502+"n/&gt;!(nH"</f>
        <v>#VALUE!</v>
      </c>
      <c r="BY180" t="e">
        <f>'All regions'!B4502+"n/&gt;!(nI"</f>
        <v>#VALUE!</v>
      </c>
      <c r="BZ180" t="e">
        <f>'All regions'!C4502+"n/&gt;!(nJ"</f>
        <v>#VALUE!</v>
      </c>
      <c r="CA180" t="e">
        <f>'All regions'!D4502+"n/&gt;!(nK"</f>
        <v>#VALUE!</v>
      </c>
      <c r="CB180" t="e">
        <f>'All regions'!E4502+"n/&gt;!(nL"</f>
        <v>#VALUE!</v>
      </c>
      <c r="CC180" t="e">
        <f>'All regions'!F4502+"n/&gt;!(nM"</f>
        <v>#VALUE!</v>
      </c>
      <c r="CD180" t="e">
        <f>'All regions'!G4502+"n/&gt;!(nN"</f>
        <v>#VALUE!</v>
      </c>
      <c r="CE180" t="e">
        <f>'All regions'!H4502+"n/&gt;!(nO"</f>
        <v>#VALUE!</v>
      </c>
      <c r="CF180" t="e">
        <f>'All regions'!I4502+"n/&gt;!(nP"</f>
        <v>#VALUE!</v>
      </c>
      <c r="CG180" t="e">
        <f>'All regions'!J4502+"n/&gt;!(nQ"</f>
        <v>#VALUE!</v>
      </c>
      <c r="CH180" t="e">
        <f>'All regions'!A4503+"n/&gt;!(nR"</f>
        <v>#VALUE!</v>
      </c>
      <c r="CI180" t="e">
        <f>'All regions'!B4503+"n/&gt;!(nS"</f>
        <v>#VALUE!</v>
      </c>
      <c r="CJ180" t="e">
        <f>'All regions'!C4503+"n/&gt;!(nT"</f>
        <v>#VALUE!</v>
      </c>
      <c r="CK180" t="e">
        <f>'All regions'!D4503+"n/&gt;!(nU"</f>
        <v>#VALUE!</v>
      </c>
      <c r="CL180" t="e">
        <f>'All regions'!E4503+"n/&gt;!(nV"</f>
        <v>#VALUE!</v>
      </c>
      <c r="CM180" t="e">
        <f>'All regions'!F4503+"n/&gt;!(nW"</f>
        <v>#VALUE!</v>
      </c>
      <c r="CN180" t="e">
        <f>'All regions'!G4503+"n/&gt;!(nX"</f>
        <v>#VALUE!</v>
      </c>
      <c r="CO180" t="e">
        <f>'All regions'!H4503+"n/&gt;!(nY"</f>
        <v>#VALUE!</v>
      </c>
      <c r="CP180" t="e">
        <f>'All regions'!I4503+"n/&gt;!(nZ"</f>
        <v>#VALUE!</v>
      </c>
      <c r="CQ180" t="e">
        <f>'All regions'!J4503+"n/&gt;!(n["</f>
        <v>#VALUE!</v>
      </c>
      <c r="CR180" t="e">
        <f>'All regions'!A4504+"n/&gt;!(n\"</f>
        <v>#VALUE!</v>
      </c>
      <c r="CS180" t="e">
        <f>'All regions'!B4504+"n/&gt;!(n]"</f>
        <v>#VALUE!</v>
      </c>
      <c r="CT180" t="e">
        <f>'All regions'!C4504+"n/&gt;!(n^"</f>
        <v>#VALUE!</v>
      </c>
      <c r="CU180" t="e">
        <f>'All regions'!D4504+"n/&gt;!(n_"</f>
        <v>#VALUE!</v>
      </c>
      <c r="CV180" t="e">
        <f>'All regions'!E4504+"n/&gt;!(n`"</f>
        <v>#VALUE!</v>
      </c>
      <c r="CW180" t="e">
        <f>'All regions'!F4504+"n/&gt;!(na"</f>
        <v>#VALUE!</v>
      </c>
      <c r="CX180" t="e">
        <f>'All regions'!G4504+"n/&gt;!(nb"</f>
        <v>#VALUE!</v>
      </c>
      <c r="CY180" t="e">
        <f>'All regions'!H4504+"n/&gt;!(nc"</f>
        <v>#VALUE!</v>
      </c>
      <c r="CZ180" t="e">
        <f>'All regions'!I4504+"n/&gt;!(nd"</f>
        <v>#VALUE!</v>
      </c>
      <c r="DA180" t="e">
        <f>'All regions'!J4504+"n/&gt;!(ne"</f>
        <v>#VALUE!</v>
      </c>
      <c r="DB180" t="e">
        <f>'All regions'!A4505+"n/&gt;!(nf"</f>
        <v>#VALUE!</v>
      </c>
      <c r="DC180" t="e">
        <f>'All regions'!B4505+"n/&gt;!(ng"</f>
        <v>#VALUE!</v>
      </c>
      <c r="DD180" t="e">
        <f>'All regions'!C4505+"n/&gt;!(nh"</f>
        <v>#VALUE!</v>
      </c>
      <c r="DE180" t="e">
        <f>'All regions'!D4505+"n/&gt;!(ni"</f>
        <v>#VALUE!</v>
      </c>
      <c r="DF180" t="e">
        <f>'All regions'!E4505+"n/&gt;!(nj"</f>
        <v>#VALUE!</v>
      </c>
      <c r="DG180" t="e">
        <f>'All regions'!F4505+"n/&gt;!(nk"</f>
        <v>#VALUE!</v>
      </c>
      <c r="DH180" t="e">
        <f>'All regions'!G4505+"n/&gt;!(nl"</f>
        <v>#VALUE!</v>
      </c>
      <c r="DI180" t="e">
        <f>'All regions'!H4505+"n/&gt;!(nm"</f>
        <v>#VALUE!</v>
      </c>
      <c r="DJ180" t="e">
        <f>'All regions'!I4505+"n/&gt;!(nn"</f>
        <v>#VALUE!</v>
      </c>
      <c r="DK180" t="e">
        <f>'All regions'!J4505+"n/&gt;!(no"</f>
        <v>#VALUE!</v>
      </c>
      <c r="DL180" t="e">
        <f>'All regions'!A4506+"n/&gt;!(np"</f>
        <v>#VALUE!</v>
      </c>
      <c r="DM180" t="e">
        <f>'All regions'!B4506+"n/&gt;!(nq"</f>
        <v>#VALUE!</v>
      </c>
      <c r="DN180" t="e">
        <f>'All regions'!C4506+"n/&gt;!(nr"</f>
        <v>#VALUE!</v>
      </c>
      <c r="DO180" t="e">
        <f>'All regions'!D4506+"n/&gt;!(ns"</f>
        <v>#VALUE!</v>
      </c>
      <c r="DP180" t="e">
        <f>'All regions'!E4506+"n/&gt;!(nt"</f>
        <v>#VALUE!</v>
      </c>
      <c r="DQ180" t="e">
        <f>'All regions'!F4506+"n/&gt;!(nu"</f>
        <v>#VALUE!</v>
      </c>
      <c r="DR180" t="e">
        <f>'All regions'!G4506+"n/&gt;!(nv"</f>
        <v>#VALUE!</v>
      </c>
      <c r="DS180" t="e">
        <f>'All regions'!H4506+"n/&gt;!(nw"</f>
        <v>#VALUE!</v>
      </c>
      <c r="DT180" t="e">
        <f>'All regions'!I4506+"n/&gt;!(nx"</f>
        <v>#VALUE!</v>
      </c>
      <c r="DU180" t="e">
        <f>'All regions'!J4506+"n/&gt;!(ny"</f>
        <v>#VALUE!</v>
      </c>
      <c r="DV180" t="e">
        <f>'All regions'!A4507+"n/&gt;!(nz"</f>
        <v>#VALUE!</v>
      </c>
      <c r="DW180" t="e">
        <f>'All regions'!B4507+"n/&gt;!(n{"</f>
        <v>#VALUE!</v>
      </c>
      <c r="DX180" t="e">
        <f>'All regions'!C4507+"n/&gt;!(n|"</f>
        <v>#VALUE!</v>
      </c>
      <c r="DY180" t="e">
        <f>'All regions'!D4507+"n/&gt;!(n}"</f>
        <v>#VALUE!</v>
      </c>
      <c r="DZ180" t="e">
        <f>'All regions'!E4507+"n/&gt;!(n~"</f>
        <v>#VALUE!</v>
      </c>
      <c r="EA180" t="e">
        <f>'All regions'!F4507+"n/&gt;!(o#"</f>
        <v>#VALUE!</v>
      </c>
      <c r="EB180" t="e">
        <f>'All regions'!G4507+"n/&gt;!(o$"</f>
        <v>#VALUE!</v>
      </c>
      <c r="EC180" t="e">
        <f>'All regions'!H4507+"n/&gt;!(o%"</f>
        <v>#VALUE!</v>
      </c>
      <c r="ED180" t="e">
        <f>'All regions'!I4507+"n/&gt;!(o&amp;"</f>
        <v>#VALUE!</v>
      </c>
      <c r="EE180" t="e">
        <f>'All regions'!J4507+"n/&gt;!(o'"</f>
        <v>#VALUE!</v>
      </c>
      <c r="EF180" t="e">
        <f>'All regions'!A4508+"n/&gt;!(o("</f>
        <v>#VALUE!</v>
      </c>
      <c r="EG180" t="e">
        <f>'All regions'!B4508+"n/&gt;!(o)"</f>
        <v>#VALUE!</v>
      </c>
      <c r="EH180" t="e">
        <f>'All regions'!C4508+"n/&gt;!(o."</f>
        <v>#VALUE!</v>
      </c>
      <c r="EI180" t="e">
        <f>'All regions'!D4508+"n/&gt;!(o/"</f>
        <v>#VALUE!</v>
      </c>
      <c r="EJ180" t="e">
        <f>'All regions'!E4508+"n/&gt;!(o0"</f>
        <v>#VALUE!</v>
      </c>
      <c r="EK180" t="e">
        <f>'All regions'!F4508+"n/&gt;!(o1"</f>
        <v>#VALUE!</v>
      </c>
      <c r="EL180" t="e">
        <f>'All regions'!G4508+"n/&gt;!(o2"</f>
        <v>#VALUE!</v>
      </c>
      <c r="EM180" t="e">
        <f>'All regions'!H4508+"n/&gt;!(o3"</f>
        <v>#VALUE!</v>
      </c>
      <c r="EN180" t="e">
        <f>'All regions'!I4508+"n/&gt;!(o4"</f>
        <v>#VALUE!</v>
      </c>
      <c r="EO180" t="e">
        <f>'All regions'!J4508+"n/&gt;!(o5"</f>
        <v>#VALUE!</v>
      </c>
      <c r="EP180" t="e">
        <f>'All regions'!A4509+"n/&gt;!(o6"</f>
        <v>#VALUE!</v>
      </c>
      <c r="EQ180" t="e">
        <f>'All regions'!B4509+"n/&gt;!(o7"</f>
        <v>#VALUE!</v>
      </c>
      <c r="ER180" t="e">
        <f>'All regions'!C4509+"n/&gt;!(o8"</f>
        <v>#VALUE!</v>
      </c>
      <c r="ES180" t="e">
        <f>'All regions'!D4509+"n/&gt;!(o9"</f>
        <v>#VALUE!</v>
      </c>
      <c r="ET180" t="e">
        <f>'All regions'!E4509+"n/&gt;!(o:"</f>
        <v>#VALUE!</v>
      </c>
      <c r="EU180" t="e">
        <f>'All regions'!F4509+"n/&gt;!(o;"</f>
        <v>#VALUE!</v>
      </c>
      <c r="EV180" t="e">
        <f>'All regions'!G4509+"n/&gt;!(o&lt;"</f>
        <v>#VALUE!</v>
      </c>
      <c r="EW180" t="e">
        <f>'All regions'!H4509+"n/&gt;!(o="</f>
        <v>#VALUE!</v>
      </c>
      <c r="EX180" t="e">
        <f>'All regions'!I4509+"n/&gt;!(o&gt;"</f>
        <v>#VALUE!</v>
      </c>
      <c r="EY180" t="e">
        <f>'All regions'!J4509+"n/&gt;!(o?"</f>
        <v>#VALUE!</v>
      </c>
      <c r="EZ180" t="e">
        <f>'All regions'!A4510+"n/&gt;!(o@"</f>
        <v>#VALUE!</v>
      </c>
      <c r="FA180" t="e">
        <f>'All regions'!B4510+"n/&gt;!(oA"</f>
        <v>#VALUE!</v>
      </c>
      <c r="FB180" t="e">
        <f>'All regions'!C4510+"n/&gt;!(oB"</f>
        <v>#VALUE!</v>
      </c>
      <c r="FC180" t="e">
        <f>'All regions'!D4510+"n/&gt;!(oC"</f>
        <v>#VALUE!</v>
      </c>
      <c r="FD180" t="e">
        <f>'All regions'!E4510+"n/&gt;!(oD"</f>
        <v>#VALUE!</v>
      </c>
      <c r="FE180" t="e">
        <f>'All regions'!F4510+"n/&gt;!(oE"</f>
        <v>#VALUE!</v>
      </c>
      <c r="FF180" t="e">
        <f>'All regions'!G4510+"n/&gt;!(oF"</f>
        <v>#VALUE!</v>
      </c>
      <c r="FG180" t="e">
        <f>'All regions'!H4510+"n/&gt;!(oG"</f>
        <v>#VALUE!</v>
      </c>
      <c r="FH180" t="e">
        <f>'All regions'!I4510+"n/&gt;!(oH"</f>
        <v>#VALUE!</v>
      </c>
      <c r="FI180" t="e">
        <f>'All regions'!J4510+"n/&gt;!(oI"</f>
        <v>#VALUE!</v>
      </c>
      <c r="FJ180" t="e">
        <f>'All regions'!A4511+"n/&gt;!(oJ"</f>
        <v>#VALUE!</v>
      </c>
      <c r="FK180" t="e">
        <f>'All regions'!B4511+"n/&gt;!(oK"</f>
        <v>#VALUE!</v>
      </c>
      <c r="FL180" t="e">
        <f>'All regions'!C4511+"n/&gt;!(oL"</f>
        <v>#VALUE!</v>
      </c>
      <c r="FM180" t="e">
        <f>'All regions'!D4511+"n/&gt;!(oM"</f>
        <v>#VALUE!</v>
      </c>
      <c r="FN180" t="e">
        <f>'All regions'!E4511+"n/&gt;!(oN"</f>
        <v>#VALUE!</v>
      </c>
      <c r="FO180" t="e">
        <f>'All regions'!F4511+"n/&gt;!(oO"</f>
        <v>#VALUE!</v>
      </c>
      <c r="FP180" t="e">
        <f>'All regions'!G4511+"n/&gt;!(oP"</f>
        <v>#VALUE!</v>
      </c>
      <c r="FQ180" t="e">
        <f>'All regions'!H4511+"n/&gt;!(oQ"</f>
        <v>#VALUE!</v>
      </c>
      <c r="FR180" t="e">
        <f>'All regions'!I4511+"n/&gt;!(oR"</f>
        <v>#VALUE!</v>
      </c>
      <c r="FS180" t="e">
        <f>'All regions'!J4511+"n/&gt;!(oS"</f>
        <v>#VALUE!</v>
      </c>
      <c r="FT180" t="e">
        <f>'All regions'!A4512+"n/&gt;!(oT"</f>
        <v>#VALUE!</v>
      </c>
      <c r="FU180" t="e">
        <f>'All regions'!B4512+"n/&gt;!(oU"</f>
        <v>#VALUE!</v>
      </c>
      <c r="FV180" t="e">
        <f>'All regions'!C4512+"n/&gt;!(oV"</f>
        <v>#VALUE!</v>
      </c>
      <c r="FW180" t="e">
        <f>'All regions'!D4512+"n/&gt;!(oW"</f>
        <v>#VALUE!</v>
      </c>
      <c r="FX180" t="e">
        <f>'All regions'!E4512+"n/&gt;!(oX"</f>
        <v>#VALUE!</v>
      </c>
      <c r="FY180" t="e">
        <f>'All regions'!F4512+"n/&gt;!(oY"</f>
        <v>#VALUE!</v>
      </c>
      <c r="FZ180" t="e">
        <f>'All regions'!G4512+"n/&gt;!(oZ"</f>
        <v>#VALUE!</v>
      </c>
      <c r="GA180" t="e">
        <f>'All regions'!H4512+"n/&gt;!(o["</f>
        <v>#VALUE!</v>
      </c>
      <c r="GB180" t="e">
        <f>'All regions'!I4512+"n/&gt;!(o\"</f>
        <v>#VALUE!</v>
      </c>
      <c r="GC180" t="e">
        <f>'All regions'!J4512+"n/&gt;!(o]"</f>
        <v>#VALUE!</v>
      </c>
      <c r="GD180" t="e">
        <f>'All regions'!A4513+"n/&gt;!(o^"</f>
        <v>#VALUE!</v>
      </c>
      <c r="GE180" t="e">
        <f>'All regions'!B4513+"n/&gt;!(o_"</f>
        <v>#VALUE!</v>
      </c>
      <c r="GF180" t="e">
        <f>'All regions'!C4513+"n/&gt;!(o`"</f>
        <v>#VALUE!</v>
      </c>
      <c r="GG180" t="e">
        <f>'All regions'!D4513+"n/&gt;!(oa"</f>
        <v>#VALUE!</v>
      </c>
      <c r="GH180" t="e">
        <f>'All regions'!E4513+"n/&gt;!(ob"</f>
        <v>#VALUE!</v>
      </c>
      <c r="GI180" t="e">
        <f>'All regions'!F4513+"n/&gt;!(oc"</f>
        <v>#VALUE!</v>
      </c>
      <c r="GJ180" t="e">
        <f>'All regions'!G4513+"n/&gt;!(od"</f>
        <v>#VALUE!</v>
      </c>
      <c r="GK180" t="e">
        <f>'All regions'!H4513+"n/&gt;!(oe"</f>
        <v>#VALUE!</v>
      </c>
      <c r="GL180" t="e">
        <f>'All regions'!I4513+"n/&gt;!(of"</f>
        <v>#VALUE!</v>
      </c>
      <c r="GM180" t="e">
        <f>'All regions'!J4513+"n/&gt;!(og"</f>
        <v>#VALUE!</v>
      </c>
      <c r="GN180" t="e">
        <f>'All regions'!A4514+"n/&gt;!(oh"</f>
        <v>#VALUE!</v>
      </c>
      <c r="GO180" t="e">
        <f>'All regions'!B4514+"n/&gt;!(oi"</f>
        <v>#VALUE!</v>
      </c>
      <c r="GP180" t="e">
        <f>'All regions'!C4514+"n/&gt;!(oj"</f>
        <v>#VALUE!</v>
      </c>
      <c r="GQ180" t="e">
        <f>'All regions'!D4514+"n/&gt;!(ok"</f>
        <v>#VALUE!</v>
      </c>
      <c r="GR180" t="e">
        <f>'All regions'!E4514+"n/&gt;!(ol"</f>
        <v>#VALUE!</v>
      </c>
      <c r="GS180" t="e">
        <f>'All regions'!F4514+"n/&gt;!(om"</f>
        <v>#VALUE!</v>
      </c>
      <c r="GT180" t="e">
        <f>'All regions'!G4514+"n/&gt;!(on"</f>
        <v>#VALUE!</v>
      </c>
      <c r="GU180" t="e">
        <f>'All regions'!H4514+"n/&gt;!(oo"</f>
        <v>#VALUE!</v>
      </c>
      <c r="GV180" t="e">
        <f>'All regions'!I4514+"n/&gt;!(op"</f>
        <v>#VALUE!</v>
      </c>
      <c r="GW180" t="e">
        <f>'All regions'!J4514+"n/&gt;!(oq"</f>
        <v>#VALUE!</v>
      </c>
      <c r="GX180" t="e">
        <f>'All regions'!A4515+"n/&gt;!(or"</f>
        <v>#VALUE!</v>
      </c>
      <c r="GY180" t="e">
        <f>'All regions'!B4515+"n/&gt;!(os"</f>
        <v>#VALUE!</v>
      </c>
      <c r="GZ180" t="e">
        <f>'All regions'!C4515+"n/&gt;!(ot"</f>
        <v>#VALUE!</v>
      </c>
      <c r="HA180" t="e">
        <f>'All regions'!D4515+"n/&gt;!(ou"</f>
        <v>#VALUE!</v>
      </c>
      <c r="HB180" t="e">
        <f>'All regions'!E4515+"n/&gt;!(ov"</f>
        <v>#VALUE!</v>
      </c>
      <c r="HC180" t="e">
        <f>'All regions'!F4515+"n/&gt;!(ow"</f>
        <v>#VALUE!</v>
      </c>
      <c r="HD180" t="e">
        <f>'All regions'!G4515+"n/&gt;!(ox"</f>
        <v>#VALUE!</v>
      </c>
      <c r="HE180" t="e">
        <f>'All regions'!H4515+"n/&gt;!(oy"</f>
        <v>#VALUE!</v>
      </c>
      <c r="HF180" t="e">
        <f>'All regions'!I4515+"n/&gt;!(oz"</f>
        <v>#VALUE!</v>
      </c>
      <c r="HG180" t="e">
        <f>'All regions'!J4515+"n/&gt;!(o{"</f>
        <v>#VALUE!</v>
      </c>
      <c r="HH180" t="e">
        <f>'All regions'!A4516+"n/&gt;!(o|"</f>
        <v>#VALUE!</v>
      </c>
      <c r="HI180" t="e">
        <f>'All regions'!B4516+"n/&gt;!(o}"</f>
        <v>#VALUE!</v>
      </c>
      <c r="HJ180" t="e">
        <f>'All regions'!C4516+"n/&gt;!(o~"</f>
        <v>#VALUE!</v>
      </c>
      <c r="HK180" t="e">
        <f>'All regions'!D4516+"n/&gt;!(p#"</f>
        <v>#VALUE!</v>
      </c>
      <c r="HL180" t="e">
        <f>'All regions'!E4516+"n/&gt;!(p$"</f>
        <v>#VALUE!</v>
      </c>
      <c r="HM180" t="e">
        <f>'All regions'!F4516+"n/&gt;!(p%"</f>
        <v>#VALUE!</v>
      </c>
      <c r="HN180" t="e">
        <f>'All regions'!G4516+"n/&gt;!(p&amp;"</f>
        <v>#VALUE!</v>
      </c>
      <c r="HO180" t="e">
        <f>'All regions'!H4516+"n/&gt;!(p'"</f>
        <v>#VALUE!</v>
      </c>
      <c r="HP180" t="e">
        <f>'All regions'!I4516+"n/&gt;!(p("</f>
        <v>#VALUE!</v>
      </c>
      <c r="HQ180" t="e">
        <f>'All regions'!J4516+"n/&gt;!(p)"</f>
        <v>#VALUE!</v>
      </c>
      <c r="HR180" t="e">
        <f>'All regions'!A4517+"n/&gt;!(p."</f>
        <v>#VALUE!</v>
      </c>
      <c r="HS180" t="e">
        <f>'All regions'!B4517+"n/&gt;!(p/"</f>
        <v>#VALUE!</v>
      </c>
      <c r="HT180" t="e">
        <f>'All regions'!C4517+"n/&gt;!(p0"</f>
        <v>#VALUE!</v>
      </c>
      <c r="HU180" t="e">
        <f>'All regions'!D4517+"n/&gt;!(p1"</f>
        <v>#VALUE!</v>
      </c>
      <c r="HV180" t="e">
        <f>'All regions'!E4517+"n/&gt;!(p2"</f>
        <v>#VALUE!</v>
      </c>
      <c r="HW180" t="e">
        <f>'All regions'!F4517+"n/&gt;!(p3"</f>
        <v>#VALUE!</v>
      </c>
      <c r="HX180" t="e">
        <f>'All regions'!G4517+"n/&gt;!(p4"</f>
        <v>#VALUE!</v>
      </c>
      <c r="HY180" t="e">
        <f>'All regions'!H4517+"n/&gt;!(p5"</f>
        <v>#VALUE!</v>
      </c>
      <c r="HZ180" t="e">
        <f>'All regions'!I4517+"n/&gt;!(p6"</f>
        <v>#VALUE!</v>
      </c>
      <c r="IA180" t="e">
        <f>'All regions'!J4517+"n/&gt;!(p7"</f>
        <v>#VALUE!</v>
      </c>
      <c r="IB180" t="e">
        <f>'All regions'!A4518+"n/&gt;!(p8"</f>
        <v>#VALUE!</v>
      </c>
      <c r="IC180" t="e">
        <f>'All regions'!B4518+"n/&gt;!(p9"</f>
        <v>#VALUE!</v>
      </c>
      <c r="ID180" t="e">
        <f>'All regions'!C4518+"n/&gt;!(p:"</f>
        <v>#VALUE!</v>
      </c>
      <c r="IE180" t="e">
        <f>'All regions'!D4518+"n/&gt;!(p;"</f>
        <v>#VALUE!</v>
      </c>
      <c r="IF180" t="e">
        <f>'All regions'!E4518+"n/&gt;!(p&lt;"</f>
        <v>#VALUE!</v>
      </c>
      <c r="IG180" t="e">
        <f>'All regions'!F4518+"n/&gt;!(p="</f>
        <v>#VALUE!</v>
      </c>
      <c r="IH180" t="e">
        <f>'All regions'!G4518+"n/&gt;!(p&gt;"</f>
        <v>#VALUE!</v>
      </c>
      <c r="II180" t="e">
        <f>'All regions'!H4518+"n/&gt;!(p?"</f>
        <v>#VALUE!</v>
      </c>
      <c r="IJ180" t="e">
        <f>'All regions'!I4518+"n/&gt;!(p@"</f>
        <v>#VALUE!</v>
      </c>
      <c r="IK180" t="e">
        <f>'All regions'!J4518+"n/&gt;!(pA"</f>
        <v>#VALUE!</v>
      </c>
      <c r="IL180" t="e">
        <f>'All regions'!A4519+"n/&gt;!(pB"</f>
        <v>#VALUE!</v>
      </c>
      <c r="IM180" t="e">
        <f>'All regions'!B4519+"n/&gt;!(pC"</f>
        <v>#VALUE!</v>
      </c>
      <c r="IN180" t="e">
        <f>'All regions'!C4519+"n/&gt;!(pD"</f>
        <v>#VALUE!</v>
      </c>
      <c r="IO180" t="e">
        <f>'All regions'!D4519+"n/&gt;!(pE"</f>
        <v>#VALUE!</v>
      </c>
      <c r="IP180" t="e">
        <f>'All regions'!E4519+"n/&gt;!(pF"</f>
        <v>#VALUE!</v>
      </c>
      <c r="IQ180" t="e">
        <f>'All regions'!F4519+"n/&gt;!(pG"</f>
        <v>#VALUE!</v>
      </c>
      <c r="IR180" t="e">
        <f>'All regions'!G4519+"n/&gt;!(pH"</f>
        <v>#VALUE!</v>
      </c>
      <c r="IS180" t="e">
        <f>'All regions'!H4519+"n/&gt;!(pI"</f>
        <v>#VALUE!</v>
      </c>
      <c r="IT180" t="e">
        <f>'All regions'!I4519+"n/&gt;!(pJ"</f>
        <v>#VALUE!</v>
      </c>
      <c r="IU180" t="e">
        <f>'All regions'!J4519+"n/&gt;!(pK"</f>
        <v>#VALUE!</v>
      </c>
      <c r="IV180" t="e">
        <f>'All regions'!A4520+"n/&gt;!(pL"</f>
        <v>#VALUE!</v>
      </c>
    </row>
    <row r="181" spans="6:256" x14ac:dyDescent="0.35">
      <c r="F181" t="e">
        <f>'All regions'!B4520+"n/&gt;!(pM"</f>
        <v>#VALUE!</v>
      </c>
      <c r="G181" t="e">
        <f>'All regions'!C4520+"n/&gt;!(pN"</f>
        <v>#VALUE!</v>
      </c>
      <c r="H181" t="e">
        <f>'All regions'!D4520+"n/&gt;!(pO"</f>
        <v>#VALUE!</v>
      </c>
      <c r="I181" t="e">
        <f>'All regions'!E4520+"n/&gt;!(pP"</f>
        <v>#VALUE!</v>
      </c>
      <c r="J181" t="e">
        <f>'All regions'!F4520+"n/&gt;!(pQ"</f>
        <v>#VALUE!</v>
      </c>
      <c r="K181" t="e">
        <f>'All regions'!G4520+"n/&gt;!(pR"</f>
        <v>#VALUE!</v>
      </c>
      <c r="L181" t="e">
        <f>'All regions'!H4520+"n/&gt;!(pS"</f>
        <v>#VALUE!</v>
      </c>
      <c r="M181" t="e">
        <f>'All regions'!I4520+"n/&gt;!(pT"</f>
        <v>#VALUE!</v>
      </c>
      <c r="N181" t="e">
        <f>'All regions'!J4520+"n/&gt;!(pU"</f>
        <v>#VALUE!</v>
      </c>
      <c r="O181" t="e">
        <f>'All regions'!A4521+"n/&gt;!(pV"</f>
        <v>#VALUE!</v>
      </c>
      <c r="P181" t="e">
        <f>'All regions'!B4521+"n/&gt;!(pW"</f>
        <v>#VALUE!</v>
      </c>
      <c r="Q181" t="e">
        <f>'All regions'!C4521+"n/&gt;!(pX"</f>
        <v>#VALUE!</v>
      </c>
      <c r="R181" t="e">
        <f>'All regions'!D4521+"n/&gt;!(pY"</f>
        <v>#VALUE!</v>
      </c>
      <c r="S181" t="e">
        <f>'All regions'!E4521+"n/&gt;!(pZ"</f>
        <v>#VALUE!</v>
      </c>
      <c r="T181" t="e">
        <f>'All regions'!F4521+"n/&gt;!(p["</f>
        <v>#VALUE!</v>
      </c>
      <c r="U181" t="e">
        <f>'All regions'!G4521+"n/&gt;!(p\"</f>
        <v>#VALUE!</v>
      </c>
      <c r="V181" t="e">
        <f>'All regions'!H4521+"n/&gt;!(p]"</f>
        <v>#VALUE!</v>
      </c>
      <c r="W181" t="e">
        <f>'All regions'!I4521+"n/&gt;!(p^"</f>
        <v>#VALUE!</v>
      </c>
      <c r="X181" t="e">
        <f>'All regions'!J4521+"n/&gt;!(p_"</f>
        <v>#VALUE!</v>
      </c>
      <c r="Y181" t="e">
        <f>'All regions'!A4522+"n/&gt;!(p`"</f>
        <v>#VALUE!</v>
      </c>
      <c r="Z181" t="e">
        <f>'All regions'!B4522+"n/&gt;!(pa"</f>
        <v>#VALUE!</v>
      </c>
      <c r="AA181" t="e">
        <f>'All regions'!C4522+"n/&gt;!(pb"</f>
        <v>#VALUE!</v>
      </c>
      <c r="AB181" t="e">
        <f>'All regions'!D4522+"n/&gt;!(pc"</f>
        <v>#VALUE!</v>
      </c>
      <c r="AC181" t="e">
        <f>'All regions'!E4522+"n/&gt;!(pd"</f>
        <v>#VALUE!</v>
      </c>
      <c r="AD181" t="e">
        <f>'All regions'!F4522+"n/&gt;!(pe"</f>
        <v>#VALUE!</v>
      </c>
      <c r="AE181" t="e">
        <f>'All regions'!G4522+"n/&gt;!(pf"</f>
        <v>#VALUE!</v>
      </c>
      <c r="AF181" t="e">
        <f>'All regions'!H4522+"n/&gt;!(pg"</f>
        <v>#VALUE!</v>
      </c>
      <c r="AG181" t="e">
        <f>'All regions'!I4522+"n/&gt;!(ph"</f>
        <v>#VALUE!</v>
      </c>
      <c r="AH181" t="e">
        <f>'All regions'!J4522+"n/&gt;!(pi"</f>
        <v>#VALUE!</v>
      </c>
      <c r="AI181" t="e">
        <f>'All regions'!A4523+"n/&gt;!(pj"</f>
        <v>#VALUE!</v>
      </c>
      <c r="AJ181" t="e">
        <f>'All regions'!B4523+"n/&gt;!(pk"</f>
        <v>#VALUE!</v>
      </c>
      <c r="AK181" t="e">
        <f>'All regions'!C4523+"n/&gt;!(pl"</f>
        <v>#VALUE!</v>
      </c>
      <c r="AL181" t="e">
        <f>'All regions'!D4523+"n/&gt;!(pm"</f>
        <v>#VALUE!</v>
      </c>
      <c r="AM181" t="e">
        <f>'All regions'!E4523+"n/&gt;!(pn"</f>
        <v>#VALUE!</v>
      </c>
      <c r="AN181" t="e">
        <f>'All regions'!F4523+"n/&gt;!(po"</f>
        <v>#VALUE!</v>
      </c>
      <c r="AO181" t="e">
        <f>'All regions'!G4523+"n/&gt;!(pp"</f>
        <v>#VALUE!</v>
      </c>
      <c r="AP181" t="e">
        <f>'All regions'!H4523+"n/&gt;!(pq"</f>
        <v>#VALUE!</v>
      </c>
      <c r="AQ181" t="e">
        <f>'All regions'!I4523+"n/&gt;!(pr"</f>
        <v>#VALUE!</v>
      </c>
      <c r="AR181" t="e">
        <f>'All regions'!J4523+"n/&gt;!(ps"</f>
        <v>#VALUE!</v>
      </c>
      <c r="AS181" t="e">
        <f>'All regions'!A4524+"n/&gt;!(pt"</f>
        <v>#VALUE!</v>
      </c>
      <c r="AT181" t="e">
        <f>'All regions'!B4524+"n/&gt;!(pu"</f>
        <v>#VALUE!</v>
      </c>
      <c r="AU181" t="e">
        <f>'All regions'!C4524+"n/&gt;!(pv"</f>
        <v>#VALUE!</v>
      </c>
      <c r="AV181" t="e">
        <f>'All regions'!D4524+"n/&gt;!(pw"</f>
        <v>#VALUE!</v>
      </c>
      <c r="AW181" t="e">
        <f>'All regions'!E4524+"n/&gt;!(px"</f>
        <v>#VALUE!</v>
      </c>
      <c r="AX181" t="e">
        <f>'All regions'!F4524+"n/&gt;!(py"</f>
        <v>#VALUE!</v>
      </c>
      <c r="AY181" t="e">
        <f>'All regions'!G4524+"n/&gt;!(pz"</f>
        <v>#VALUE!</v>
      </c>
      <c r="AZ181" t="e">
        <f>'All regions'!H4524+"n/&gt;!(p{"</f>
        <v>#VALUE!</v>
      </c>
      <c r="BA181" t="e">
        <f>'All regions'!I4524+"n/&gt;!(p|"</f>
        <v>#VALUE!</v>
      </c>
      <c r="BB181" t="e">
        <f>'All regions'!J4524+"n/&gt;!(p}"</f>
        <v>#VALUE!</v>
      </c>
      <c r="BC181" t="e">
        <f>'All regions'!A4525+"n/&gt;!(p~"</f>
        <v>#VALUE!</v>
      </c>
      <c r="BD181" t="e">
        <f>'All regions'!B4525+"n/&gt;!(q#"</f>
        <v>#VALUE!</v>
      </c>
      <c r="BE181" t="e">
        <f>'All regions'!C4525+"n/&gt;!(q$"</f>
        <v>#VALUE!</v>
      </c>
      <c r="BF181" t="e">
        <f>'All regions'!D4525+"n/&gt;!(q%"</f>
        <v>#VALUE!</v>
      </c>
      <c r="BG181" t="e">
        <f>'All regions'!E4525+"n/&gt;!(q&amp;"</f>
        <v>#VALUE!</v>
      </c>
      <c r="BH181" t="e">
        <f>'All regions'!F4525+"n/&gt;!(q'"</f>
        <v>#VALUE!</v>
      </c>
      <c r="BI181" t="e">
        <f>'All regions'!G4525+"n/&gt;!(q("</f>
        <v>#VALUE!</v>
      </c>
      <c r="BJ181" t="e">
        <f>'All regions'!H4525+"n/&gt;!(q)"</f>
        <v>#VALUE!</v>
      </c>
      <c r="BK181" t="e">
        <f>'All regions'!I4525+"n/&gt;!(q."</f>
        <v>#VALUE!</v>
      </c>
      <c r="BL181" t="e">
        <f>'All regions'!J4525+"n/&gt;!(q/"</f>
        <v>#VALUE!</v>
      </c>
      <c r="BM181" t="e">
        <f>'All regions'!A4526+"n/&gt;!(q0"</f>
        <v>#VALUE!</v>
      </c>
      <c r="BN181" t="e">
        <f>'All regions'!B4526+"n/&gt;!(q1"</f>
        <v>#VALUE!</v>
      </c>
      <c r="BO181" t="e">
        <f>'All regions'!C4526+"n/&gt;!(q2"</f>
        <v>#VALUE!</v>
      </c>
      <c r="BP181" t="e">
        <f>'All regions'!D4526+"n/&gt;!(q3"</f>
        <v>#VALUE!</v>
      </c>
      <c r="BQ181" t="e">
        <f>'All regions'!E4526+"n/&gt;!(q4"</f>
        <v>#VALUE!</v>
      </c>
      <c r="BR181" t="e">
        <f>'All regions'!F4526+"n/&gt;!(q5"</f>
        <v>#VALUE!</v>
      </c>
      <c r="BS181" t="e">
        <f>'All regions'!G4526+"n/&gt;!(q6"</f>
        <v>#VALUE!</v>
      </c>
      <c r="BT181" t="e">
        <f>'All regions'!H4526+"n/&gt;!(q7"</f>
        <v>#VALUE!</v>
      </c>
      <c r="BU181" t="e">
        <f>'All regions'!I4526+"n/&gt;!(q8"</f>
        <v>#VALUE!</v>
      </c>
      <c r="BV181" t="e">
        <f>'All regions'!J4526+"n/&gt;!(q9"</f>
        <v>#VALUE!</v>
      </c>
      <c r="BW181" t="e">
        <f>'All regions'!A4527+"n/&gt;!(q:"</f>
        <v>#VALUE!</v>
      </c>
      <c r="BX181" t="e">
        <f>'All regions'!B4527+"n/&gt;!(q;"</f>
        <v>#VALUE!</v>
      </c>
      <c r="BY181" t="e">
        <f>'All regions'!C4527+"n/&gt;!(q&lt;"</f>
        <v>#VALUE!</v>
      </c>
      <c r="BZ181" t="e">
        <f>'All regions'!D4527+"n/&gt;!(q="</f>
        <v>#VALUE!</v>
      </c>
      <c r="CA181" t="e">
        <f>'All regions'!E4527+"n/&gt;!(q&gt;"</f>
        <v>#VALUE!</v>
      </c>
      <c r="CB181" t="e">
        <f>'All regions'!F4527+"n/&gt;!(q?"</f>
        <v>#VALUE!</v>
      </c>
      <c r="CC181" t="e">
        <f>'All regions'!G4527+"n/&gt;!(q@"</f>
        <v>#VALUE!</v>
      </c>
      <c r="CD181" t="e">
        <f>'All regions'!H4527+"n/&gt;!(qA"</f>
        <v>#VALUE!</v>
      </c>
      <c r="CE181" t="e">
        <f>'All regions'!I4527+"n/&gt;!(qB"</f>
        <v>#VALUE!</v>
      </c>
      <c r="CF181" t="e">
        <f>'All regions'!J4527+"n/&gt;!(qC"</f>
        <v>#VALUE!</v>
      </c>
      <c r="CG181" t="e">
        <f>'All regions'!A4528+"n/&gt;!(qD"</f>
        <v>#VALUE!</v>
      </c>
      <c r="CH181" t="e">
        <f>'All regions'!B4528+"n/&gt;!(qE"</f>
        <v>#VALUE!</v>
      </c>
      <c r="CI181" t="e">
        <f>'All regions'!C4528+"n/&gt;!(qF"</f>
        <v>#VALUE!</v>
      </c>
      <c r="CJ181" t="e">
        <f>'All regions'!D4528+"n/&gt;!(qG"</f>
        <v>#VALUE!</v>
      </c>
      <c r="CK181" t="e">
        <f>'All regions'!E4528+"n/&gt;!(qH"</f>
        <v>#VALUE!</v>
      </c>
      <c r="CL181" t="e">
        <f>'All regions'!F4528+"n/&gt;!(qI"</f>
        <v>#VALUE!</v>
      </c>
      <c r="CM181" t="e">
        <f>'All regions'!G4528+"n/&gt;!(qJ"</f>
        <v>#VALUE!</v>
      </c>
      <c r="CN181" t="e">
        <f>'All regions'!H4528+"n/&gt;!(qK"</f>
        <v>#VALUE!</v>
      </c>
      <c r="CO181" t="e">
        <f>'All regions'!I4528+"n/&gt;!(qL"</f>
        <v>#VALUE!</v>
      </c>
      <c r="CP181" t="e">
        <f>'All regions'!J4528+"n/&gt;!(qM"</f>
        <v>#VALUE!</v>
      </c>
      <c r="CQ181" t="e">
        <f>'All regions'!A4529+"n/&gt;!(qN"</f>
        <v>#VALUE!</v>
      </c>
      <c r="CR181" t="e">
        <f>'All regions'!B4529+"n/&gt;!(qO"</f>
        <v>#VALUE!</v>
      </c>
      <c r="CS181" t="e">
        <f>'All regions'!C4529+"n/&gt;!(qP"</f>
        <v>#VALUE!</v>
      </c>
      <c r="CT181" t="e">
        <f>'All regions'!D4529+"n/&gt;!(qQ"</f>
        <v>#VALUE!</v>
      </c>
      <c r="CU181" t="e">
        <f>'All regions'!E4529+"n/&gt;!(qR"</f>
        <v>#VALUE!</v>
      </c>
      <c r="CV181" t="e">
        <f>'All regions'!F4529+"n/&gt;!(qS"</f>
        <v>#VALUE!</v>
      </c>
      <c r="CW181" t="e">
        <f>'All regions'!G4529+"n/&gt;!(qT"</f>
        <v>#VALUE!</v>
      </c>
      <c r="CX181" t="e">
        <f>'All regions'!H4529+"n/&gt;!(qU"</f>
        <v>#VALUE!</v>
      </c>
      <c r="CY181" t="e">
        <f>'All regions'!I4529+"n/&gt;!(qV"</f>
        <v>#VALUE!</v>
      </c>
      <c r="CZ181" t="e">
        <f>'All regions'!J4529+"n/&gt;!(qW"</f>
        <v>#VALUE!</v>
      </c>
      <c r="DA181" t="e">
        <f>'All regions'!A4530+"n/&gt;!(qX"</f>
        <v>#VALUE!</v>
      </c>
      <c r="DB181" t="e">
        <f>'All regions'!B4530+"n/&gt;!(qY"</f>
        <v>#VALUE!</v>
      </c>
      <c r="DC181" t="e">
        <f>'All regions'!C4530+"n/&gt;!(qZ"</f>
        <v>#VALUE!</v>
      </c>
      <c r="DD181" t="e">
        <f>'All regions'!D4530+"n/&gt;!(q["</f>
        <v>#VALUE!</v>
      </c>
      <c r="DE181" t="e">
        <f>'All regions'!E4530+"n/&gt;!(q\"</f>
        <v>#VALUE!</v>
      </c>
      <c r="DF181" t="e">
        <f>'All regions'!F4530+"n/&gt;!(q]"</f>
        <v>#VALUE!</v>
      </c>
      <c r="DG181" t="e">
        <f>'All regions'!G4530+"n/&gt;!(q^"</f>
        <v>#VALUE!</v>
      </c>
      <c r="DH181" t="e">
        <f>'All regions'!H4530+"n/&gt;!(q_"</f>
        <v>#VALUE!</v>
      </c>
      <c r="DI181" t="e">
        <f>'All regions'!I4530+"n/&gt;!(q`"</f>
        <v>#VALUE!</v>
      </c>
      <c r="DJ181" t="e">
        <f>'All regions'!J4530+"n/&gt;!(qa"</f>
        <v>#VALUE!</v>
      </c>
      <c r="DK181" t="e">
        <f>'All regions'!A4531+"n/&gt;!(qb"</f>
        <v>#VALUE!</v>
      </c>
      <c r="DL181" t="e">
        <f>'All regions'!B4531+"n/&gt;!(qc"</f>
        <v>#VALUE!</v>
      </c>
      <c r="DM181" t="e">
        <f>'All regions'!C4531+"n/&gt;!(qd"</f>
        <v>#VALUE!</v>
      </c>
      <c r="DN181" t="e">
        <f>'All regions'!D4531+"n/&gt;!(qe"</f>
        <v>#VALUE!</v>
      </c>
      <c r="DO181" t="e">
        <f>'All regions'!E4531+"n/&gt;!(qf"</f>
        <v>#VALUE!</v>
      </c>
      <c r="DP181" t="e">
        <f>'All regions'!F4531+"n/&gt;!(qg"</f>
        <v>#VALUE!</v>
      </c>
      <c r="DQ181" t="e">
        <f>'All regions'!G4531+"n/&gt;!(qh"</f>
        <v>#VALUE!</v>
      </c>
      <c r="DR181" t="e">
        <f>'All regions'!H4531+"n/&gt;!(qi"</f>
        <v>#VALUE!</v>
      </c>
      <c r="DS181" t="e">
        <f>'All regions'!I4531+"n/&gt;!(qj"</f>
        <v>#VALUE!</v>
      </c>
      <c r="DT181" t="e">
        <f>'All regions'!J4531+"n/&gt;!(qk"</f>
        <v>#VALUE!</v>
      </c>
      <c r="DU181" t="e">
        <f>'All regions'!A4532+"n/&gt;!(ql"</f>
        <v>#VALUE!</v>
      </c>
      <c r="DV181" t="e">
        <f>'All regions'!B4532+"n/&gt;!(qm"</f>
        <v>#VALUE!</v>
      </c>
      <c r="DW181" t="e">
        <f>'All regions'!C4532+"n/&gt;!(qn"</f>
        <v>#VALUE!</v>
      </c>
      <c r="DX181" t="e">
        <f>'All regions'!D4532+"n/&gt;!(qo"</f>
        <v>#VALUE!</v>
      </c>
      <c r="DY181" t="e">
        <f>'All regions'!E4532+"n/&gt;!(qp"</f>
        <v>#VALUE!</v>
      </c>
      <c r="DZ181" t="e">
        <f>'All regions'!F4532+"n/&gt;!(qq"</f>
        <v>#VALUE!</v>
      </c>
      <c r="EA181" t="e">
        <f>'All regions'!G4532+"n/&gt;!(qr"</f>
        <v>#VALUE!</v>
      </c>
      <c r="EB181" t="e">
        <f>'All regions'!H4532+"n/&gt;!(qs"</f>
        <v>#VALUE!</v>
      </c>
      <c r="EC181" t="e">
        <f>'All regions'!I4532+"n/&gt;!(qt"</f>
        <v>#VALUE!</v>
      </c>
      <c r="ED181" t="e">
        <f>'All regions'!J4532+"n/&gt;!(qu"</f>
        <v>#VALUE!</v>
      </c>
      <c r="EE181" t="e">
        <f>'All regions'!A4533+"n/&gt;!(qv"</f>
        <v>#VALUE!</v>
      </c>
      <c r="EF181" t="e">
        <f>'All regions'!B4533+"n/&gt;!(qw"</f>
        <v>#VALUE!</v>
      </c>
      <c r="EG181" t="e">
        <f>'All regions'!C4533+"n/&gt;!(qx"</f>
        <v>#VALUE!</v>
      </c>
      <c r="EH181" t="e">
        <f>'All regions'!D4533+"n/&gt;!(qy"</f>
        <v>#VALUE!</v>
      </c>
      <c r="EI181" t="e">
        <f>'All regions'!E4533+"n/&gt;!(qz"</f>
        <v>#VALUE!</v>
      </c>
      <c r="EJ181" t="e">
        <f>'All regions'!F4533+"n/&gt;!(q{"</f>
        <v>#VALUE!</v>
      </c>
      <c r="EK181" t="e">
        <f>'All regions'!G4533+"n/&gt;!(q|"</f>
        <v>#VALUE!</v>
      </c>
      <c r="EL181" t="e">
        <f>'All regions'!H4533+"n/&gt;!(q}"</f>
        <v>#VALUE!</v>
      </c>
      <c r="EM181" t="e">
        <f>'All regions'!I4533+"n/&gt;!(q~"</f>
        <v>#VALUE!</v>
      </c>
      <c r="EN181" t="e">
        <f>'All regions'!J4533+"n/&gt;!(r#"</f>
        <v>#VALUE!</v>
      </c>
      <c r="EO181" t="e">
        <f>'All regions'!A4534+"n/&gt;!(r$"</f>
        <v>#VALUE!</v>
      </c>
      <c r="EP181" t="e">
        <f>'All regions'!B4534+"n/&gt;!(r%"</f>
        <v>#VALUE!</v>
      </c>
      <c r="EQ181" t="e">
        <f>'All regions'!C4534+"n/&gt;!(r&amp;"</f>
        <v>#VALUE!</v>
      </c>
      <c r="ER181" t="e">
        <f>'All regions'!D4534+"n/&gt;!(r'"</f>
        <v>#VALUE!</v>
      </c>
      <c r="ES181" t="e">
        <f>'All regions'!E4534+"n/&gt;!(r("</f>
        <v>#VALUE!</v>
      </c>
      <c r="ET181" t="e">
        <f>'All regions'!F4534+"n/&gt;!(r)"</f>
        <v>#VALUE!</v>
      </c>
      <c r="EU181" t="e">
        <f>'All regions'!G4534+"n/&gt;!(r."</f>
        <v>#VALUE!</v>
      </c>
      <c r="EV181" t="e">
        <f>'All regions'!H4534+"n/&gt;!(r/"</f>
        <v>#VALUE!</v>
      </c>
      <c r="EW181" t="e">
        <f>'All regions'!I4534+"n/&gt;!(r0"</f>
        <v>#VALUE!</v>
      </c>
      <c r="EX181" t="e">
        <f>'All regions'!J4534+"n/&gt;!(r1"</f>
        <v>#VALUE!</v>
      </c>
      <c r="EY181" t="e">
        <f>'All regions'!A4535+"n/&gt;!(r2"</f>
        <v>#VALUE!</v>
      </c>
      <c r="EZ181" t="e">
        <f>'All regions'!B4535+"n/&gt;!(r3"</f>
        <v>#VALUE!</v>
      </c>
      <c r="FA181" t="e">
        <f>'All regions'!C4535+"n/&gt;!(r4"</f>
        <v>#VALUE!</v>
      </c>
      <c r="FB181" t="e">
        <f>'All regions'!D4535+"n/&gt;!(r5"</f>
        <v>#VALUE!</v>
      </c>
      <c r="FC181" t="e">
        <f>'All regions'!E4535+"n/&gt;!(r6"</f>
        <v>#VALUE!</v>
      </c>
      <c r="FD181" t="e">
        <f>'All regions'!F4535+"n/&gt;!(r7"</f>
        <v>#VALUE!</v>
      </c>
      <c r="FE181" t="e">
        <f>'All regions'!G4535+"n/&gt;!(r8"</f>
        <v>#VALUE!</v>
      </c>
      <c r="FF181" t="e">
        <f>'All regions'!H4535+"n/&gt;!(r9"</f>
        <v>#VALUE!</v>
      </c>
      <c r="FG181" t="e">
        <f>'All regions'!I4535+"n/&gt;!(r:"</f>
        <v>#VALUE!</v>
      </c>
      <c r="FH181" t="e">
        <f>'All regions'!J4535+"n/&gt;!(r;"</f>
        <v>#VALUE!</v>
      </c>
      <c r="FI181" t="e">
        <f>'All regions'!A4536+"n/&gt;!(r&lt;"</f>
        <v>#VALUE!</v>
      </c>
      <c r="FJ181" t="e">
        <f>'All regions'!B4536+"n/&gt;!(r="</f>
        <v>#VALUE!</v>
      </c>
      <c r="FK181" t="e">
        <f>'All regions'!C4536+"n/&gt;!(r&gt;"</f>
        <v>#VALUE!</v>
      </c>
      <c r="FL181" t="e">
        <f>'All regions'!D4536+"n/&gt;!(r?"</f>
        <v>#VALUE!</v>
      </c>
      <c r="FM181" t="e">
        <f>'All regions'!E4536+"n/&gt;!(r@"</f>
        <v>#VALUE!</v>
      </c>
      <c r="FN181" t="e">
        <f>'All regions'!F4536+"n/&gt;!(rA"</f>
        <v>#VALUE!</v>
      </c>
      <c r="FO181" t="e">
        <f>'All regions'!G4536+"n/&gt;!(rB"</f>
        <v>#VALUE!</v>
      </c>
      <c r="FP181" t="e">
        <f>'All regions'!H4536+"n/&gt;!(rC"</f>
        <v>#VALUE!</v>
      </c>
      <c r="FQ181" t="e">
        <f>'All regions'!I4536+"n/&gt;!(rD"</f>
        <v>#VALUE!</v>
      </c>
      <c r="FR181" t="e">
        <f>'All regions'!J4536+"n/&gt;!(rE"</f>
        <v>#VALUE!</v>
      </c>
      <c r="FS181" t="e">
        <f>'All regions'!A4537+"n/&gt;!(rF"</f>
        <v>#VALUE!</v>
      </c>
      <c r="FT181" t="e">
        <f>'All regions'!B4537+"n/&gt;!(rG"</f>
        <v>#VALUE!</v>
      </c>
      <c r="FU181" t="e">
        <f>'All regions'!C4537+"n/&gt;!(rH"</f>
        <v>#VALUE!</v>
      </c>
      <c r="FV181" t="e">
        <f>'All regions'!D4537+"n/&gt;!(rI"</f>
        <v>#VALUE!</v>
      </c>
      <c r="FW181" t="e">
        <f>'All regions'!E4537+"n/&gt;!(rJ"</f>
        <v>#VALUE!</v>
      </c>
      <c r="FX181" t="e">
        <f>'All regions'!F4537+"n/&gt;!(rK"</f>
        <v>#VALUE!</v>
      </c>
      <c r="FY181" t="e">
        <f>'All regions'!G4537+"n/&gt;!(rL"</f>
        <v>#VALUE!</v>
      </c>
      <c r="FZ181" t="e">
        <f>'All regions'!H4537+"n/&gt;!(rM"</f>
        <v>#VALUE!</v>
      </c>
      <c r="GA181" t="e">
        <f>'All regions'!I4537+"n/&gt;!(rN"</f>
        <v>#VALUE!</v>
      </c>
      <c r="GB181" t="e">
        <f>'All regions'!J4537+"n/&gt;!(rO"</f>
        <v>#VALUE!</v>
      </c>
      <c r="GC181" t="e">
        <f>'All regions'!A4538+"n/&gt;!(rP"</f>
        <v>#VALUE!</v>
      </c>
      <c r="GD181" t="e">
        <f>'All regions'!B4538+"n/&gt;!(rQ"</f>
        <v>#VALUE!</v>
      </c>
      <c r="GE181" t="e">
        <f>'All regions'!C4538+"n/&gt;!(rR"</f>
        <v>#VALUE!</v>
      </c>
      <c r="GF181" t="e">
        <f>'All regions'!D4538+"n/&gt;!(rS"</f>
        <v>#VALUE!</v>
      </c>
      <c r="GG181" t="e">
        <f>'All regions'!E4538+"n/&gt;!(rT"</f>
        <v>#VALUE!</v>
      </c>
      <c r="GH181" t="e">
        <f>'All regions'!F4538+"n/&gt;!(rU"</f>
        <v>#VALUE!</v>
      </c>
      <c r="GI181" t="e">
        <f>'All regions'!G4538+"n/&gt;!(rV"</f>
        <v>#VALUE!</v>
      </c>
      <c r="GJ181" t="e">
        <f>'All regions'!H4538+"n/&gt;!(rW"</f>
        <v>#VALUE!</v>
      </c>
      <c r="GK181" t="e">
        <f>'All regions'!I4538+"n/&gt;!(rX"</f>
        <v>#VALUE!</v>
      </c>
      <c r="GL181" t="e">
        <f>'All regions'!J4538+"n/&gt;!(rY"</f>
        <v>#VALUE!</v>
      </c>
      <c r="GM181" t="e">
        <f>'All regions'!A4539+"n/&gt;!(rZ"</f>
        <v>#VALUE!</v>
      </c>
      <c r="GN181" t="e">
        <f>'All regions'!B4539+"n/&gt;!(r["</f>
        <v>#VALUE!</v>
      </c>
      <c r="GO181" t="e">
        <f>'All regions'!C4539+"n/&gt;!(r\"</f>
        <v>#VALUE!</v>
      </c>
      <c r="GP181" t="e">
        <f>'All regions'!D4539+"n/&gt;!(r]"</f>
        <v>#VALUE!</v>
      </c>
      <c r="GQ181" t="e">
        <f>'All regions'!E4539+"n/&gt;!(r^"</f>
        <v>#VALUE!</v>
      </c>
      <c r="GR181" t="e">
        <f>'All regions'!F4539+"n/&gt;!(r_"</f>
        <v>#VALUE!</v>
      </c>
      <c r="GS181" t="e">
        <f>'All regions'!G4539+"n/&gt;!(r`"</f>
        <v>#VALUE!</v>
      </c>
      <c r="GT181" t="e">
        <f>'All regions'!H4539+"n/&gt;!(ra"</f>
        <v>#VALUE!</v>
      </c>
      <c r="GU181" t="e">
        <f>'All regions'!I4539+"n/&gt;!(rb"</f>
        <v>#VALUE!</v>
      </c>
      <c r="GV181" t="e">
        <f>'All regions'!J4539+"n/&gt;!(rc"</f>
        <v>#VALUE!</v>
      </c>
      <c r="GW181" t="e">
        <f>'All regions'!A4540+"n/&gt;!(rd"</f>
        <v>#VALUE!</v>
      </c>
      <c r="GX181" t="e">
        <f>'All regions'!B4540+"n/&gt;!(re"</f>
        <v>#VALUE!</v>
      </c>
      <c r="GY181" t="e">
        <f>'All regions'!C4540+"n/&gt;!(rf"</f>
        <v>#VALUE!</v>
      </c>
      <c r="GZ181" t="e">
        <f>'All regions'!D4540+"n/&gt;!(rg"</f>
        <v>#VALUE!</v>
      </c>
      <c r="HA181" t="e">
        <f>'All regions'!E4540+"n/&gt;!(rh"</f>
        <v>#VALUE!</v>
      </c>
      <c r="HB181" t="e">
        <f>'All regions'!F4540+"n/&gt;!(ri"</f>
        <v>#VALUE!</v>
      </c>
      <c r="HC181" t="e">
        <f>'All regions'!G4540+"n/&gt;!(rj"</f>
        <v>#VALUE!</v>
      </c>
      <c r="HD181" t="e">
        <f>'All regions'!H4540+"n/&gt;!(rk"</f>
        <v>#VALUE!</v>
      </c>
      <c r="HE181" t="e">
        <f>'All regions'!I4540+"n/&gt;!(rl"</f>
        <v>#VALUE!</v>
      </c>
      <c r="HF181" t="e">
        <f>'All regions'!J4540+"n/&gt;!(rm"</f>
        <v>#VALUE!</v>
      </c>
      <c r="HG181" t="e">
        <f>'All regions'!A4541+"n/&gt;!(rn"</f>
        <v>#VALUE!</v>
      </c>
      <c r="HH181" t="e">
        <f>'All regions'!B4541+"n/&gt;!(ro"</f>
        <v>#VALUE!</v>
      </c>
      <c r="HI181" t="e">
        <f>'All regions'!C4541+"n/&gt;!(rp"</f>
        <v>#VALUE!</v>
      </c>
      <c r="HJ181" t="e">
        <f>'All regions'!D4541+"n/&gt;!(rq"</f>
        <v>#VALUE!</v>
      </c>
      <c r="HK181" t="e">
        <f>'All regions'!E4541+"n/&gt;!(rr"</f>
        <v>#VALUE!</v>
      </c>
      <c r="HL181" t="e">
        <f>'All regions'!F4541+"n/&gt;!(rs"</f>
        <v>#VALUE!</v>
      </c>
      <c r="HM181" t="e">
        <f>'All regions'!G4541+"n/&gt;!(rt"</f>
        <v>#VALUE!</v>
      </c>
      <c r="HN181" t="e">
        <f>'All regions'!H4541+"n/&gt;!(ru"</f>
        <v>#VALUE!</v>
      </c>
      <c r="HO181" t="e">
        <f>'All regions'!I4541+"n/&gt;!(rv"</f>
        <v>#VALUE!</v>
      </c>
      <c r="HP181" t="e">
        <f>'All regions'!J4541+"n/&gt;!(rw"</f>
        <v>#VALUE!</v>
      </c>
      <c r="HQ181" t="e">
        <f>'All regions'!A4542+"n/&gt;!(rx"</f>
        <v>#VALUE!</v>
      </c>
      <c r="HR181" t="e">
        <f>'All regions'!B4542+"n/&gt;!(ry"</f>
        <v>#VALUE!</v>
      </c>
      <c r="HS181" t="e">
        <f>'All regions'!C4542+"n/&gt;!(rz"</f>
        <v>#VALUE!</v>
      </c>
      <c r="HT181" t="e">
        <f>'All regions'!D4542+"n/&gt;!(r{"</f>
        <v>#VALUE!</v>
      </c>
      <c r="HU181" t="e">
        <f>'All regions'!E4542+"n/&gt;!(r|"</f>
        <v>#VALUE!</v>
      </c>
      <c r="HV181" t="e">
        <f>'All regions'!F4542+"n/&gt;!(r}"</f>
        <v>#VALUE!</v>
      </c>
      <c r="HW181" t="e">
        <f>'All regions'!G4542+"n/&gt;!(r~"</f>
        <v>#VALUE!</v>
      </c>
      <c r="HX181" t="e">
        <f>'All regions'!H4542+"n/&gt;!(s#"</f>
        <v>#VALUE!</v>
      </c>
      <c r="HY181" t="e">
        <f>'All regions'!I4542+"n/&gt;!(s$"</f>
        <v>#VALUE!</v>
      </c>
      <c r="HZ181" t="e">
        <f>'All regions'!J4542+"n/&gt;!(s%"</f>
        <v>#VALUE!</v>
      </c>
      <c r="IA181" t="e">
        <f>'All regions'!A4543+"n/&gt;!(s&amp;"</f>
        <v>#VALUE!</v>
      </c>
      <c r="IB181" t="e">
        <f>'All regions'!B4543+"n/&gt;!(s'"</f>
        <v>#VALUE!</v>
      </c>
      <c r="IC181" t="e">
        <f>'All regions'!C4543+"n/&gt;!(s("</f>
        <v>#VALUE!</v>
      </c>
      <c r="ID181" t="e">
        <f>'All regions'!D4543+"n/&gt;!(s)"</f>
        <v>#VALUE!</v>
      </c>
      <c r="IE181" t="e">
        <f>'All regions'!E4543+"n/&gt;!(s."</f>
        <v>#VALUE!</v>
      </c>
      <c r="IF181" t="e">
        <f>'All regions'!F4543+"n/&gt;!(s/"</f>
        <v>#VALUE!</v>
      </c>
      <c r="IG181" t="e">
        <f>'All regions'!G4543+"n/&gt;!(s0"</f>
        <v>#VALUE!</v>
      </c>
      <c r="IH181" t="e">
        <f>'All regions'!H4543+"n/&gt;!(s1"</f>
        <v>#VALUE!</v>
      </c>
      <c r="II181" t="e">
        <f>'All regions'!I4543+"n/&gt;!(s2"</f>
        <v>#VALUE!</v>
      </c>
      <c r="IJ181" t="e">
        <f>'All regions'!J4543+"n/&gt;!(s3"</f>
        <v>#VALUE!</v>
      </c>
      <c r="IK181" t="e">
        <f>'All regions'!A4544+"n/&gt;!(s4"</f>
        <v>#VALUE!</v>
      </c>
      <c r="IL181" t="e">
        <f>'All regions'!B4544+"n/&gt;!(s5"</f>
        <v>#VALUE!</v>
      </c>
      <c r="IM181" t="e">
        <f>'All regions'!C4544+"n/&gt;!(s6"</f>
        <v>#VALUE!</v>
      </c>
      <c r="IN181" t="e">
        <f>'All regions'!D4544+"n/&gt;!(s7"</f>
        <v>#VALUE!</v>
      </c>
      <c r="IO181" t="e">
        <f>'All regions'!E4544+"n/&gt;!(s8"</f>
        <v>#VALUE!</v>
      </c>
      <c r="IP181" t="e">
        <f>'All regions'!F4544+"n/&gt;!(s9"</f>
        <v>#VALUE!</v>
      </c>
      <c r="IQ181" t="e">
        <f>'All regions'!G4544+"n/&gt;!(s:"</f>
        <v>#VALUE!</v>
      </c>
      <c r="IR181" t="e">
        <f>'All regions'!H4544+"n/&gt;!(s;"</f>
        <v>#VALUE!</v>
      </c>
      <c r="IS181" t="e">
        <f>'All regions'!I4544+"n/&gt;!(s&lt;"</f>
        <v>#VALUE!</v>
      </c>
      <c r="IT181" t="e">
        <f>'All regions'!J4544+"n/&gt;!(s="</f>
        <v>#VALUE!</v>
      </c>
      <c r="IU181" t="e">
        <f>'All regions'!A4545+"n/&gt;!(s&gt;"</f>
        <v>#VALUE!</v>
      </c>
      <c r="IV181" t="e">
        <f>'All regions'!B4545+"n/&gt;!(s?"</f>
        <v>#VALUE!</v>
      </c>
    </row>
    <row r="182" spans="6:256" x14ac:dyDescent="0.35">
      <c r="F182" t="e">
        <f>'All regions'!C4545+"n/&gt;!(s@"</f>
        <v>#VALUE!</v>
      </c>
      <c r="G182" t="e">
        <f>'All regions'!D4545+"n/&gt;!(sA"</f>
        <v>#VALUE!</v>
      </c>
      <c r="H182" t="e">
        <f>'All regions'!E4545+"n/&gt;!(sB"</f>
        <v>#VALUE!</v>
      </c>
      <c r="I182" t="e">
        <f>'All regions'!F4545+"n/&gt;!(sC"</f>
        <v>#VALUE!</v>
      </c>
      <c r="J182" t="e">
        <f>'All regions'!G4545+"n/&gt;!(sD"</f>
        <v>#VALUE!</v>
      </c>
      <c r="K182" t="e">
        <f>'All regions'!H4545+"n/&gt;!(sE"</f>
        <v>#VALUE!</v>
      </c>
      <c r="L182" t="e">
        <f>'All regions'!I4545+"n/&gt;!(sF"</f>
        <v>#VALUE!</v>
      </c>
      <c r="M182" t="e">
        <f>'All regions'!J4545+"n/&gt;!(sG"</f>
        <v>#VALUE!</v>
      </c>
      <c r="N182" t="e">
        <f>'All regions'!A4546+"n/&gt;!(sH"</f>
        <v>#VALUE!</v>
      </c>
      <c r="O182" t="e">
        <f>'All regions'!B4546+"n/&gt;!(sI"</f>
        <v>#VALUE!</v>
      </c>
      <c r="P182" t="e">
        <f>'All regions'!C4546+"n/&gt;!(sJ"</f>
        <v>#VALUE!</v>
      </c>
      <c r="Q182" t="e">
        <f>'All regions'!D4546+"n/&gt;!(sK"</f>
        <v>#VALUE!</v>
      </c>
      <c r="R182" t="e">
        <f>'All regions'!E4546+"n/&gt;!(sL"</f>
        <v>#VALUE!</v>
      </c>
      <c r="S182" t="e">
        <f>'All regions'!F4546+"n/&gt;!(sM"</f>
        <v>#VALUE!</v>
      </c>
      <c r="T182" t="e">
        <f>'All regions'!G4546+"n/&gt;!(sN"</f>
        <v>#VALUE!</v>
      </c>
      <c r="U182" t="e">
        <f>'All regions'!H4546+"n/&gt;!(sO"</f>
        <v>#VALUE!</v>
      </c>
      <c r="V182" t="e">
        <f>'All regions'!I4546+"n/&gt;!(sP"</f>
        <v>#VALUE!</v>
      </c>
      <c r="W182" t="e">
        <f>'All regions'!J4546+"n/&gt;!(sQ"</f>
        <v>#VALUE!</v>
      </c>
      <c r="X182" t="e">
        <f>'All regions'!A4547+"n/&gt;!(sR"</f>
        <v>#VALUE!</v>
      </c>
      <c r="Y182" t="e">
        <f>'All regions'!B4547+"n/&gt;!(sS"</f>
        <v>#VALUE!</v>
      </c>
      <c r="Z182" t="e">
        <f>'All regions'!C4547+"n/&gt;!(sT"</f>
        <v>#VALUE!</v>
      </c>
      <c r="AA182" t="e">
        <f>'All regions'!D4547+"n/&gt;!(sU"</f>
        <v>#VALUE!</v>
      </c>
      <c r="AB182" t="e">
        <f>'All regions'!E4547+"n/&gt;!(sV"</f>
        <v>#VALUE!</v>
      </c>
      <c r="AC182" t="e">
        <f>'All regions'!F4547+"n/&gt;!(sW"</f>
        <v>#VALUE!</v>
      </c>
      <c r="AD182" t="e">
        <f>'All regions'!G4547+"n/&gt;!(sX"</f>
        <v>#VALUE!</v>
      </c>
      <c r="AE182" t="e">
        <f>'All regions'!H4547+"n/&gt;!(sY"</f>
        <v>#VALUE!</v>
      </c>
      <c r="AF182" t="e">
        <f>'All regions'!I4547+"n/&gt;!(sZ"</f>
        <v>#VALUE!</v>
      </c>
      <c r="AG182" t="e">
        <f>'All regions'!J4547+"n/&gt;!(s["</f>
        <v>#VALUE!</v>
      </c>
      <c r="AH182" t="e">
        <f>'All regions'!A4548+"n/&gt;!(s\"</f>
        <v>#VALUE!</v>
      </c>
      <c r="AI182" t="e">
        <f>'All regions'!B4548+"n/&gt;!(s]"</f>
        <v>#VALUE!</v>
      </c>
      <c r="AJ182" t="e">
        <f>'All regions'!C4548+"n/&gt;!(s^"</f>
        <v>#VALUE!</v>
      </c>
      <c r="AK182" t="e">
        <f>'All regions'!D4548+"n/&gt;!(s_"</f>
        <v>#VALUE!</v>
      </c>
      <c r="AL182" t="e">
        <f>'All regions'!E4548+"n/&gt;!(s`"</f>
        <v>#VALUE!</v>
      </c>
      <c r="AM182" t="e">
        <f>'All regions'!F4548+"n/&gt;!(sa"</f>
        <v>#VALUE!</v>
      </c>
      <c r="AN182" t="e">
        <f>'All regions'!G4548+"n/&gt;!(sb"</f>
        <v>#VALUE!</v>
      </c>
      <c r="AO182" t="e">
        <f>'All regions'!H4548+"n/&gt;!(sc"</f>
        <v>#VALUE!</v>
      </c>
      <c r="AP182" t="e">
        <f>'All regions'!I4548+"n/&gt;!(sd"</f>
        <v>#VALUE!</v>
      </c>
      <c r="AQ182" t="e">
        <f>'All regions'!J4548+"n/&gt;!(se"</f>
        <v>#VALUE!</v>
      </c>
      <c r="AR182" t="e">
        <f>'All regions'!A4549+"n/&gt;!(sf"</f>
        <v>#VALUE!</v>
      </c>
      <c r="AS182" t="e">
        <f>'All regions'!B4549+"n/&gt;!(sg"</f>
        <v>#VALUE!</v>
      </c>
      <c r="AT182" t="e">
        <f>'All regions'!C4549+"n/&gt;!(sh"</f>
        <v>#VALUE!</v>
      </c>
      <c r="AU182" t="e">
        <f>'All regions'!D4549+"n/&gt;!(si"</f>
        <v>#VALUE!</v>
      </c>
      <c r="AV182" t="e">
        <f>'All regions'!E4549+"n/&gt;!(sj"</f>
        <v>#VALUE!</v>
      </c>
      <c r="AW182" t="e">
        <f>'All regions'!F4549+"n/&gt;!(sk"</f>
        <v>#VALUE!</v>
      </c>
      <c r="AX182" t="e">
        <f>'All regions'!G4549+"n/&gt;!(sl"</f>
        <v>#VALUE!</v>
      </c>
      <c r="AY182" t="e">
        <f>'All regions'!H4549+"n/&gt;!(sm"</f>
        <v>#VALUE!</v>
      </c>
      <c r="AZ182" t="e">
        <f>'All regions'!I4549+"n/&gt;!(sn"</f>
        <v>#VALUE!</v>
      </c>
      <c r="BA182" t="e">
        <f>'All regions'!J4549+"n/&gt;!(so"</f>
        <v>#VALUE!</v>
      </c>
      <c r="BB182" t="e">
        <f>'All regions'!A4550+"n/&gt;!(sp"</f>
        <v>#VALUE!</v>
      </c>
      <c r="BC182" t="e">
        <f>'All regions'!B4550+"n/&gt;!(sq"</f>
        <v>#VALUE!</v>
      </c>
      <c r="BD182" t="e">
        <f>'All regions'!C4550+"n/&gt;!(sr"</f>
        <v>#VALUE!</v>
      </c>
      <c r="BE182" t="e">
        <f>'All regions'!D4550+"n/&gt;!(ss"</f>
        <v>#VALUE!</v>
      </c>
      <c r="BF182" t="e">
        <f>'All regions'!E4550+"n/&gt;!(st"</f>
        <v>#VALUE!</v>
      </c>
      <c r="BG182" t="e">
        <f>'All regions'!F4550+"n/&gt;!(su"</f>
        <v>#VALUE!</v>
      </c>
      <c r="BH182" t="e">
        <f>'All regions'!G4550+"n/&gt;!(sv"</f>
        <v>#VALUE!</v>
      </c>
      <c r="BI182" t="e">
        <f>'All regions'!H4550+"n/&gt;!(sw"</f>
        <v>#VALUE!</v>
      </c>
      <c r="BJ182" t="e">
        <f>'All regions'!I4550+"n/&gt;!(sx"</f>
        <v>#VALUE!</v>
      </c>
      <c r="BK182" t="e">
        <f>'All regions'!J4550+"n/&gt;!(sy"</f>
        <v>#VALUE!</v>
      </c>
      <c r="BL182" t="e">
        <f>'All regions'!A4551+"n/&gt;!(sz"</f>
        <v>#VALUE!</v>
      </c>
      <c r="BM182" t="e">
        <f>'All regions'!B4551+"n/&gt;!(s{"</f>
        <v>#VALUE!</v>
      </c>
      <c r="BN182" t="e">
        <f>'All regions'!C4551+"n/&gt;!(s|"</f>
        <v>#VALUE!</v>
      </c>
      <c r="BO182" t="e">
        <f>'All regions'!D4551+"n/&gt;!(s}"</f>
        <v>#VALUE!</v>
      </c>
      <c r="BP182" t="e">
        <f>'All regions'!E4551+"n/&gt;!(s~"</f>
        <v>#VALUE!</v>
      </c>
      <c r="BQ182" t="e">
        <f>'All regions'!F4551+"n/&gt;!(t#"</f>
        <v>#VALUE!</v>
      </c>
      <c r="BR182" t="e">
        <f>'All regions'!G4551+"n/&gt;!(t$"</f>
        <v>#VALUE!</v>
      </c>
      <c r="BS182" t="e">
        <f>'All regions'!H4551+"n/&gt;!(t%"</f>
        <v>#VALUE!</v>
      </c>
      <c r="BT182" t="e">
        <f>'All regions'!I4551+"n/&gt;!(t&amp;"</f>
        <v>#VALUE!</v>
      </c>
      <c r="BU182" t="e">
        <f>'All regions'!J4551+"n/&gt;!(t'"</f>
        <v>#VALUE!</v>
      </c>
      <c r="BV182" t="e">
        <f>'All regions'!A4552+"n/&gt;!(t("</f>
        <v>#VALUE!</v>
      </c>
      <c r="BW182" t="e">
        <f>'All regions'!B4552+"n/&gt;!(t)"</f>
        <v>#VALUE!</v>
      </c>
      <c r="BX182" t="e">
        <f>'All regions'!C4552+"n/&gt;!(t."</f>
        <v>#VALUE!</v>
      </c>
      <c r="BY182" t="e">
        <f>'All regions'!D4552+"n/&gt;!(t/"</f>
        <v>#VALUE!</v>
      </c>
      <c r="BZ182" t="e">
        <f>'All regions'!E4552+"n/&gt;!(t0"</f>
        <v>#VALUE!</v>
      </c>
      <c r="CA182" t="e">
        <f>'All regions'!F4552+"n/&gt;!(t1"</f>
        <v>#VALUE!</v>
      </c>
      <c r="CB182" t="e">
        <f>'All regions'!G4552+"n/&gt;!(t2"</f>
        <v>#VALUE!</v>
      </c>
      <c r="CC182" t="e">
        <f>'All regions'!H4552+"n/&gt;!(t3"</f>
        <v>#VALUE!</v>
      </c>
      <c r="CD182" t="e">
        <f>'All regions'!I4552+"n/&gt;!(t4"</f>
        <v>#VALUE!</v>
      </c>
      <c r="CE182" t="e">
        <f>'All regions'!J4552+"n/&gt;!(t5"</f>
        <v>#VALUE!</v>
      </c>
      <c r="CF182" t="e">
        <f>'All regions'!A4553+"n/&gt;!(t6"</f>
        <v>#VALUE!</v>
      </c>
      <c r="CG182" t="e">
        <f>'All regions'!B4553+"n/&gt;!(t7"</f>
        <v>#VALUE!</v>
      </c>
      <c r="CH182" t="e">
        <f>'All regions'!C4553+"n/&gt;!(t8"</f>
        <v>#VALUE!</v>
      </c>
      <c r="CI182" t="e">
        <f>'All regions'!D4553+"n/&gt;!(t9"</f>
        <v>#VALUE!</v>
      </c>
      <c r="CJ182" t="e">
        <f>'All regions'!E4553+"n/&gt;!(t:"</f>
        <v>#VALUE!</v>
      </c>
      <c r="CK182" t="e">
        <f>'All regions'!F4553+"n/&gt;!(t;"</f>
        <v>#VALUE!</v>
      </c>
      <c r="CL182" t="e">
        <f>'All regions'!G4553+"n/&gt;!(t&lt;"</f>
        <v>#VALUE!</v>
      </c>
      <c r="CM182" t="e">
        <f>'All regions'!H4553+"n/&gt;!(t="</f>
        <v>#VALUE!</v>
      </c>
      <c r="CN182" t="e">
        <f>'All regions'!I4553+"n/&gt;!(t&gt;"</f>
        <v>#VALUE!</v>
      </c>
      <c r="CO182" t="e">
        <f>'All regions'!J4553+"n/&gt;!(t?"</f>
        <v>#VALUE!</v>
      </c>
      <c r="CP182" t="e">
        <f>'All regions'!A4554+"n/&gt;!(t@"</f>
        <v>#VALUE!</v>
      </c>
      <c r="CQ182" t="e">
        <f>'All regions'!B4554+"n/&gt;!(tA"</f>
        <v>#VALUE!</v>
      </c>
      <c r="CR182" t="e">
        <f>'All regions'!C4554+"n/&gt;!(tB"</f>
        <v>#VALUE!</v>
      </c>
      <c r="CS182" t="e">
        <f>'All regions'!D4554+"n/&gt;!(tC"</f>
        <v>#VALUE!</v>
      </c>
      <c r="CT182" t="e">
        <f>'All regions'!E4554+"n/&gt;!(tD"</f>
        <v>#VALUE!</v>
      </c>
      <c r="CU182" t="e">
        <f>'All regions'!F4554+"n/&gt;!(tE"</f>
        <v>#VALUE!</v>
      </c>
      <c r="CV182" t="e">
        <f>'All regions'!G4554+"n/&gt;!(tF"</f>
        <v>#VALUE!</v>
      </c>
      <c r="CW182" t="e">
        <f>'All regions'!H4554+"n/&gt;!(tG"</f>
        <v>#VALUE!</v>
      </c>
      <c r="CX182" t="e">
        <f>'All regions'!I4554+"n/&gt;!(tH"</f>
        <v>#VALUE!</v>
      </c>
      <c r="CY182" t="e">
        <f>'All regions'!J4554+"n/&gt;!(tI"</f>
        <v>#VALUE!</v>
      </c>
      <c r="CZ182" t="e">
        <f>'All regions'!A4555+"n/&gt;!(tJ"</f>
        <v>#VALUE!</v>
      </c>
      <c r="DA182" t="e">
        <f>'All regions'!B4555+"n/&gt;!(tK"</f>
        <v>#VALUE!</v>
      </c>
      <c r="DB182" t="e">
        <f>'All regions'!C4555+"n/&gt;!(tL"</f>
        <v>#VALUE!</v>
      </c>
      <c r="DC182" t="e">
        <f>'All regions'!D4555+"n/&gt;!(tM"</f>
        <v>#VALUE!</v>
      </c>
      <c r="DD182" t="e">
        <f>'All regions'!E4555+"n/&gt;!(tN"</f>
        <v>#VALUE!</v>
      </c>
      <c r="DE182" t="e">
        <f>'All regions'!F4555+"n/&gt;!(tO"</f>
        <v>#VALUE!</v>
      </c>
      <c r="DF182" t="e">
        <f>'All regions'!G4555+"n/&gt;!(tP"</f>
        <v>#VALUE!</v>
      </c>
      <c r="DG182" t="e">
        <f>'All regions'!H4555+"n/&gt;!(tQ"</f>
        <v>#VALUE!</v>
      </c>
      <c r="DH182" t="e">
        <f>'All regions'!I4555+"n/&gt;!(tR"</f>
        <v>#VALUE!</v>
      </c>
      <c r="DI182" t="e">
        <f>'All regions'!J4555+"n/&gt;!(tS"</f>
        <v>#VALUE!</v>
      </c>
      <c r="DJ182" t="e">
        <f>'All regions'!A4556+"n/&gt;!(tT"</f>
        <v>#VALUE!</v>
      </c>
      <c r="DK182" t="e">
        <f>'All regions'!B4556+"n/&gt;!(tU"</f>
        <v>#VALUE!</v>
      </c>
      <c r="DL182" t="e">
        <f>'All regions'!C4556+"n/&gt;!(tV"</f>
        <v>#VALUE!</v>
      </c>
      <c r="DM182" t="e">
        <f>'All regions'!D4556+"n/&gt;!(tW"</f>
        <v>#VALUE!</v>
      </c>
      <c r="DN182" t="e">
        <f>'All regions'!E4556+"n/&gt;!(tX"</f>
        <v>#VALUE!</v>
      </c>
      <c r="DO182" t="e">
        <f>'All regions'!F4556+"n/&gt;!(tY"</f>
        <v>#VALUE!</v>
      </c>
      <c r="DP182" t="e">
        <f>'All regions'!G4556+"n/&gt;!(tZ"</f>
        <v>#VALUE!</v>
      </c>
      <c r="DQ182" t="e">
        <f>'All regions'!H4556+"n/&gt;!(t["</f>
        <v>#VALUE!</v>
      </c>
      <c r="DR182" t="e">
        <f>'All regions'!I4556+"n/&gt;!(t\"</f>
        <v>#VALUE!</v>
      </c>
      <c r="DS182" t="e">
        <f>'All regions'!J4556+"n/&gt;!(t]"</f>
        <v>#VALUE!</v>
      </c>
      <c r="DT182" t="e">
        <f>'All regions'!A4557+"n/&gt;!(t^"</f>
        <v>#VALUE!</v>
      </c>
      <c r="DU182" t="e">
        <f>'All regions'!B4557+"n/&gt;!(t_"</f>
        <v>#VALUE!</v>
      </c>
      <c r="DV182" t="e">
        <f>'All regions'!C4557+"n/&gt;!(t`"</f>
        <v>#VALUE!</v>
      </c>
      <c r="DW182" t="e">
        <f>'All regions'!D4557+"n/&gt;!(ta"</f>
        <v>#VALUE!</v>
      </c>
      <c r="DX182" t="e">
        <f>'All regions'!E4557+"n/&gt;!(tb"</f>
        <v>#VALUE!</v>
      </c>
      <c r="DY182" t="e">
        <f>'All regions'!F4557+"n/&gt;!(tc"</f>
        <v>#VALUE!</v>
      </c>
      <c r="DZ182" t="e">
        <f>'All regions'!G4557+"n/&gt;!(td"</f>
        <v>#VALUE!</v>
      </c>
      <c r="EA182" t="e">
        <f>'All regions'!H4557+"n/&gt;!(te"</f>
        <v>#VALUE!</v>
      </c>
      <c r="EB182" t="e">
        <f>'All regions'!I4557+"n/&gt;!(tf"</f>
        <v>#VALUE!</v>
      </c>
      <c r="EC182" t="e">
        <f>'All regions'!J4557+"n/&gt;!(tg"</f>
        <v>#VALUE!</v>
      </c>
      <c r="ED182" t="e">
        <f>'All regions'!A4558+"n/&gt;!(th"</f>
        <v>#VALUE!</v>
      </c>
      <c r="EE182" t="e">
        <f>'All regions'!B4558+"n/&gt;!(ti"</f>
        <v>#VALUE!</v>
      </c>
      <c r="EF182" t="e">
        <f>'All regions'!C4558+"n/&gt;!(tj"</f>
        <v>#VALUE!</v>
      </c>
      <c r="EG182" t="e">
        <f>'All regions'!D4558+"n/&gt;!(tk"</f>
        <v>#VALUE!</v>
      </c>
      <c r="EH182" t="e">
        <f>'All regions'!E4558+"n/&gt;!(tl"</f>
        <v>#VALUE!</v>
      </c>
      <c r="EI182" t="e">
        <f>'All regions'!F4558+"n/&gt;!(tm"</f>
        <v>#VALUE!</v>
      </c>
      <c r="EJ182" t="e">
        <f>'All regions'!G4558+"n/&gt;!(tn"</f>
        <v>#VALUE!</v>
      </c>
      <c r="EK182" t="e">
        <f>'All regions'!H4558+"n/&gt;!(to"</f>
        <v>#VALUE!</v>
      </c>
      <c r="EL182" t="e">
        <f>'All regions'!I4558+"n/&gt;!(tp"</f>
        <v>#VALUE!</v>
      </c>
      <c r="EM182" t="e">
        <f>'All regions'!J4558+"n/&gt;!(tq"</f>
        <v>#VALUE!</v>
      </c>
      <c r="EN182" t="e">
        <f>'All regions'!A4559+"n/&gt;!(tr"</f>
        <v>#VALUE!</v>
      </c>
      <c r="EO182" t="e">
        <f>'All regions'!B4559+"n/&gt;!(ts"</f>
        <v>#VALUE!</v>
      </c>
      <c r="EP182" t="e">
        <f>'All regions'!C4559+"n/&gt;!(tt"</f>
        <v>#VALUE!</v>
      </c>
      <c r="EQ182" t="e">
        <f>'All regions'!D4559+"n/&gt;!(tu"</f>
        <v>#VALUE!</v>
      </c>
      <c r="ER182" t="e">
        <f>'All regions'!E4559+"n/&gt;!(tv"</f>
        <v>#VALUE!</v>
      </c>
      <c r="ES182" t="e">
        <f>'All regions'!F4559+"n/&gt;!(tw"</f>
        <v>#VALUE!</v>
      </c>
      <c r="ET182" t="e">
        <f>'All regions'!G4559+"n/&gt;!(tx"</f>
        <v>#VALUE!</v>
      </c>
      <c r="EU182" t="e">
        <f>'All regions'!H4559+"n/&gt;!(ty"</f>
        <v>#VALUE!</v>
      </c>
      <c r="EV182" t="e">
        <f>'All regions'!I4559+"n/&gt;!(tz"</f>
        <v>#VALUE!</v>
      </c>
      <c r="EW182" t="e">
        <f>'All regions'!J4559+"n/&gt;!(t{"</f>
        <v>#VALUE!</v>
      </c>
      <c r="EX182" t="e">
        <f>'All regions'!A4560+"n/&gt;!(t|"</f>
        <v>#VALUE!</v>
      </c>
      <c r="EY182" t="e">
        <f>'All regions'!B4560+"n/&gt;!(t}"</f>
        <v>#VALUE!</v>
      </c>
      <c r="EZ182" t="e">
        <f>'All regions'!C4560+"n/&gt;!(t~"</f>
        <v>#VALUE!</v>
      </c>
      <c r="FA182" t="e">
        <f>'All regions'!D4560+"n/&gt;!(u#"</f>
        <v>#VALUE!</v>
      </c>
      <c r="FB182" t="e">
        <f>'All regions'!E4560+"n/&gt;!(u$"</f>
        <v>#VALUE!</v>
      </c>
      <c r="FC182" t="e">
        <f>'All regions'!F4560+"n/&gt;!(u%"</f>
        <v>#VALUE!</v>
      </c>
      <c r="FD182" t="e">
        <f>'All regions'!G4560+"n/&gt;!(u&amp;"</f>
        <v>#VALUE!</v>
      </c>
      <c r="FE182" t="e">
        <f>'All regions'!H4560+"n/&gt;!(u'"</f>
        <v>#VALUE!</v>
      </c>
      <c r="FF182" t="e">
        <f>'All regions'!I4560+"n/&gt;!(u("</f>
        <v>#VALUE!</v>
      </c>
      <c r="FG182" t="e">
        <f>'All regions'!J4560+"n/&gt;!(u)"</f>
        <v>#VALUE!</v>
      </c>
      <c r="FH182" t="e">
        <f>'All regions'!A4561+"n/&gt;!(u."</f>
        <v>#VALUE!</v>
      </c>
      <c r="FI182" t="e">
        <f>'All regions'!B4561+"n/&gt;!(u/"</f>
        <v>#VALUE!</v>
      </c>
      <c r="FJ182" t="e">
        <f>'All regions'!C4561+"n/&gt;!(u0"</f>
        <v>#VALUE!</v>
      </c>
      <c r="FK182" t="e">
        <f>'All regions'!D4561+"n/&gt;!(u1"</f>
        <v>#VALUE!</v>
      </c>
      <c r="FL182" t="e">
        <f>'All regions'!E4561+"n/&gt;!(u2"</f>
        <v>#VALUE!</v>
      </c>
      <c r="FM182" t="e">
        <f>'All regions'!F4561+"n/&gt;!(u3"</f>
        <v>#VALUE!</v>
      </c>
      <c r="FN182" t="e">
        <f>'All regions'!G4561+"n/&gt;!(u4"</f>
        <v>#VALUE!</v>
      </c>
      <c r="FO182" t="e">
        <f>'All regions'!H4561+"n/&gt;!(u5"</f>
        <v>#VALUE!</v>
      </c>
      <c r="FP182" t="e">
        <f>'All regions'!I4561+"n/&gt;!(u6"</f>
        <v>#VALUE!</v>
      </c>
      <c r="FQ182" t="e">
        <f>'All regions'!J4561+"n/&gt;!(u7"</f>
        <v>#VALUE!</v>
      </c>
      <c r="FR182" t="e">
        <f>'All regions'!A4562+"n/&gt;!(u8"</f>
        <v>#VALUE!</v>
      </c>
      <c r="FS182" t="e">
        <f>'All regions'!B4562+"n/&gt;!(u9"</f>
        <v>#VALUE!</v>
      </c>
      <c r="FT182" t="e">
        <f>'All regions'!C4562+"n/&gt;!(u:"</f>
        <v>#VALUE!</v>
      </c>
      <c r="FU182" t="e">
        <f>'All regions'!D4562+"n/&gt;!(u;"</f>
        <v>#VALUE!</v>
      </c>
      <c r="FV182" t="e">
        <f>'All regions'!E4562+"n/&gt;!(u&lt;"</f>
        <v>#VALUE!</v>
      </c>
      <c r="FW182" t="e">
        <f>'All regions'!F4562+"n/&gt;!(u="</f>
        <v>#VALUE!</v>
      </c>
      <c r="FX182" t="e">
        <f>'All regions'!G4562+"n/&gt;!(u&gt;"</f>
        <v>#VALUE!</v>
      </c>
      <c r="FY182" t="e">
        <f>'All regions'!H4562+"n/&gt;!(u?"</f>
        <v>#VALUE!</v>
      </c>
      <c r="FZ182" t="e">
        <f>'All regions'!I4562+"n/&gt;!(u@"</f>
        <v>#VALUE!</v>
      </c>
      <c r="GA182" t="e">
        <f>'All regions'!J4562+"n/&gt;!(uA"</f>
        <v>#VALUE!</v>
      </c>
      <c r="GB182" t="e">
        <f>'All regions'!A4563+"n/&gt;!(uB"</f>
        <v>#VALUE!</v>
      </c>
      <c r="GC182" t="e">
        <f>'All regions'!B4563+"n/&gt;!(uC"</f>
        <v>#VALUE!</v>
      </c>
      <c r="GD182" t="e">
        <f>'All regions'!C4563+"n/&gt;!(uD"</f>
        <v>#VALUE!</v>
      </c>
      <c r="GE182" t="e">
        <f>'All regions'!D4563+"n/&gt;!(uE"</f>
        <v>#VALUE!</v>
      </c>
      <c r="GF182" t="e">
        <f>'All regions'!E4563+"n/&gt;!(uF"</f>
        <v>#VALUE!</v>
      </c>
      <c r="GG182" t="e">
        <f>'All regions'!F4563+"n/&gt;!(uG"</f>
        <v>#VALUE!</v>
      </c>
      <c r="GH182" t="e">
        <f>'All regions'!G4563+"n/&gt;!(uH"</f>
        <v>#VALUE!</v>
      </c>
      <c r="GI182" t="e">
        <f>'All regions'!H4563+"n/&gt;!(uI"</f>
        <v>#VALUE!</v>
      </c>
      <c r="GJ182" t="e">
        <f>'All regions'!I4563+"n/&gt;!(uJ"</f>
        <v>#VALUE!</v>
      </c>
      <c r="GK182" t="e">
        <f>'All regions'!J4563+"n/&gt;!(uK"</f>
        <v>#VALUE!</v>
      </c>
      <c r="GL182" t="e">
        <f>'All regions'!A4564+"n/&gt;!(uL"</f>
        <v>#VALUE!</v>
      </c>
      <c r="GM182" t="e">
        <f>'All regions'!B4564+"n/&gt;!(uM"</f>
        <v>#VALUE!</v>
      </c>
      <c r="GN182" t="e">
        <f>'All regions'!C4564+"n/&gt;!(uN"</f>
        <v>#VALUE!</v>
      </c>
      <c r="GO182" t="e">
        <f>'All regions'!D4564+"n/&gt;!(uO"</f>
        <v>#VALUE!</v>
      </c>
      <c r="GP182" t="e">
        <f>'All regions'!E4564+"n/&gt;!(uP"</f>
        <v>#VALUE!</v>
      </c>
      <c r="GQ182" t="e">
        <f>'All regions'!F4564+"n/&gt;!(uQ"</f>
        <v>#VALUE!</v>
      </c>
      <c r="GR182" t="e">
        <f>'All regions'!G4564+"n/&gt;!(uR"</f>
        <v>#VALUE!</v>
      </c>
      <c r="GS182" t="e">
        <f>'All regions'!H4564+"n/&gt;!(uS"</f>
        <v>#VALUE!</v>
      </c>
      <c r="GT182" t="e">
        <f>'All regions'!I4564+"n/&gt;!(uT"</f>
        <v>#VALUE!</v>
      </c>
      <c r="GU182" t="e">
        <f>'All regions'!J4564+"n/&gt;!(uU"</f>
        <v>#VALUE!</v>
      </c>
      <c r="GV182" t="e">
        <f>'All regions'!A4565+"n/&gt;!(uV"</f>
        <v>#VALUE!</v>
      </c>
      <c r="GW182" t="e">
        <f>'All regions'!B4565+"n/&gt;!(uW"</f>
        <v>#VALUE!</v>
      </c>
      <c r="GX182" t="e">
        <f>'All regions'!C4565+"n/&gt;!(uX"</f>
        <v>#VALUE!</v>
      </c>
      <c r="GY182" t="e">
        <f>'All regions'!D4565+"n/&gt;!(uY"</f>
        <v>#VALUE!</v>
      </c>
      <c r="GZ182" t="e">
        <f>'All regions'!E4565+"n/&gt;!(uZ"</f>
        <v>#VALUE!</v>
      </c>
      <c r="HA182" t="e">
        <f>'All regions'!F4565+"n/&gt;!(u["</f>
        <v>#VALUE!</v>
      </c>
      <c r="HB182" t="e">
        <f>'All regions'!G4565+"n/&gt;!(u\"</f>
        <v>#VALUE!</v>
      </c>
      <c r="HC182" t="e">
        <f>'All regions'!H4565+"n/&gt;!(u]"</f>
        <v>#VALUE!</v>
      </c>
      <c r="HD182" t="e">
        <f>'All regions'!I4565+"n/&gt;!(u^"</f>
        <v>#VALUE!</v>
      </c>
      <c r="HE182" t="e">
        <f>'All regions'!J4565+"n/&gt;!(u_"</f>
        <v>#VALUE!</v>
      </c>
      <c r="HF182" t="e">
        <f>'All regions'!A4566+"n/&gt;!(u`"</f>
        <v>#VALUE!</v>
      </c>
      <c r="HG182" t="e">
        <f>'All regions'!B4566+"n/&gt;!(ua"</f>
        <v>#VALUE!</v>
      </c>
      <c r="HH182" t="e">
        <f>'All regions'!C4566+"n/&gt;!(ub"</f>
        <v>#VALUE!</v>
      </c>
      <c r="HI182" t="e">
        <f>'All regions'!D4566+"n/&gt;!(uc"</f>
        <v>#VALUE!</v>
      </c>
      <c r="HJ182" t="e">
        <f>'All regions'!E4566+"n/&gt;!(ud"</f>
        <v>#VALUE!</v>
      </c>
      <c r="HK182" t="e">
        <f>'All regions'!F4566+"n/&gt;!(ue"</f>
        <v>#VALUE!</v>
      </c>
      <c r="HL182" t="e">
        <f>'All regions'!G4566+"n/&gt;!(uf"</f>
        <v>#VALUE!</v>
      </c>
      <c r="HM182" t="e">
        <f>'All regions'!H4566+"n/&gt;!(ug"</f>
        <v>#VALUE!</v>
      </c>
      <c r="HN182" t="e">
        <f>'All regions'!I4566+"n/&gt;!(uh"</f>
        <v>#VALUE!</v>
      </c>
      <c r="HO182" t="e">
        <f>'All regions'!J4566+"n/&gt;!(ui"</f>
        <v>#VALUE!</v>
      </c>
      <c r="HP182" t="e">
        <f>'All regions'!A4567+"n/&gt;!(uj"</f>
        <v>#VALUE!</v>
      </c>
      <c r="HQ182" t="e">
        <f>'All regions'!B4567+"n/&gt;!(uk"</f>
        <v>#VALUE!</v>
      </c>
      <c r="HR182" t="e">
        <f>'All regions'!C4567+"n/&gt;!(ul"</f>
        <v>#VALUE!</v>
      </c>
      <c r="HS182" t="e">
        <f>'All regions'!D4567+"n/&gt;!(um"</f>
        <v>#VALUE!</v>
      </c>
      <c r="HT182" t="e">
        <f>'All regions'!E4567+"n/&gt;!(un"</f>
        <v>#VALUE!</v>
      </c>
      <c r="HU182" t="e">
        <f>'All regions'!F4567+"n/&gt;!(uo"</f>
        <v>#VALUE!</v>
      </c>
      <c r="HV182" t="e">
        <f>'All regions'!G4567+"n/&gt;!(up"</f>
        <v>#VALUE!</v>
      </c>
      <c r="HW182" t="e">
        <f>'All regions'!H4567+"n/&gt;!(uq"</f>
        <v>#VALUE!</v>
      </c>
      <c r="HX182" t="e">
        <f>'All regions'!I4567+"n/&gt;!(ur"</f>
        <v>#VALUE!</v>
      </c>
      <c r="HY182" t="e">
        <f>'All regions'!J4567+"n/&gt;!(us"</f>
        <v>#VALUE!</v>
      </c>
      <c r="HZ182" t="e">
        <f>'All regions'!A4568+"n/&gt;!(ut"</f>
        <v>#VALUE!</v>
      </c>
      <c r="IA182" t="e">
        <f>'All regions'!B4568+"n/&gt;!(uu"</f>
        <v>#VALUE!</v>
      </c>
      <c r="IB182" t="e">
        <f>'All regions'!C4568+"n/&gt;!(uv"</f>
        <v>#VALUE!</v>
      </c>
      <c r="IC182" t="e">
        <f>'All regions'!D4568+"n/&gt;!(uw"</f>
        <v>#VALUE!</v>
      </c>
      <c r="ID182" t="e">
        <f>'All regions'!E4568+"n/&gt;!(ux"</f>
        <v>#VALUE!</v>
      </c>
      <c r="IE182" t="e">
        <f>'All regions'!F4568+"n/&gt;!(uy"</f>
        <v>#VALUE!</v>
      </c>
      <c r="IF182" t="e">
        <f>'All regions'!G4568+"n/&gt;!(uz"</f>
        <v>#VALUE!</v>
      </c>
      <c r="IG182" t="e">
        <f>'All regions'!H4568+"n/&gt;!(u{"</f>
        <v>#VALUE!</v>
      </c>
      <c r="IH182" t="e">
        <f>'All regions'!I4568+"n/&gt;!(u|"</f>
        <v>#VALUE!</v>
      </c>
      <c r="II182" t="e">
        <f>'All regions'!J4568+"n/&gt;!(u}"</f>
        <v>#VALUE!</v>
      </c>
      <c r="IJ182" t="e">
        <f>'All regions'!A4569+"n/&gt;!(u~"</f>
        <v>#VALUE!</v>
      </c>
      <c r="IK182" t="e">
        <f>'All regions'!B4569+"n/&gt;!(v#"</f>
        <v>#VALUE!</v>
      </c>
      <c r="IL182" t="e">
        <f>'All regions'!C4569+"n/&gt;!(v$"</f>
        <v>#VALUE!</v>
      </c>
      <c r="IM182" t="e">
        <f>'All regions'!D4569+"n/&gt;!(v%"</f>
        <v>#VALUE!</v>
      </c>
      <c r="IN182" t="e">
        <f>'All regions'!E4569+"n/&gt;!(v&amp;"</f>
        <v>#VALUE!</v>
      </c>
      <c r="IO182" t="e">
        <f>'All regions'!F4569+"n/&gt;!(v'"</f>
        <v>#VALUE!</v>
      </c>
      <c r="IP182" t="e">
        <f>'All regions'!G4569+"n/&gt;!(v("</f>
        <v>#VALUE!</v>
      </c>
      <c r="IQ182" t="e">
        <f>'All regions'!H4569+"n/&gt;!(v)"</f>
        <v>#VALUE!</v>
      </c>
      <c r="IR182" t="e">
        <f>'All regions'!I4569+"n/&gt;!(v."</f>
        <v>#VALUE!</v>
      </c>
      <c r="IS182" t="e">
        <f>'All regions'!J4569+"n/&gt;!(v/"</f>
        <v>#VALUE!</v>
      </c>
      <c r="IT182" t="e">
        <f>'All regions'!A4570+"n/&gt;!(v0"</f>
        <v>#VALUE!</v>
      </c>
      <c r="IU182" t="e">
        <f>'All regions'!B4570+"n/&gt;!(v1"</f>
        <v>#VALUE!</v>
      </c>
      <c r="IV182" t="e">
        <f>'All regions'!C4570+"n/&gt;!(v2"</f>
        <v>#VALUE!</v>
      </c>
    </row>
    <row r="183" spans="6:256" x14ac:dyDescent="0.35">
      <c r="F183" t="e">
        <f>'All regions'!D4570+"n/&gt;!(v3"</f>
        <v>#VALUE!</v>
      </c>
      <c r="G183" t="e">
        <f>'All regions'!E4570+"n/&gt;!(v4"</f>
        <v>#VALUE!</v>
      </c>
      <c r="H183" t="e">
        <f>'All regions'!F4570+"n/&gt;!(v5"</f>
        <v>#VALUE!</v>
      </c>
      <c r="I183" t="e">
        <f>'All regions'!G4570+"n/&gt;!(v6"</f>
        <v>#VALUE!</v>
      </c>
      <c r="J183" t="e">
        <f>'All regions'!H4570+"n/&gt;!(v7"</f>
        <v>#VALUE!</v>
      </c>
      <c r="K183" t="e">
        <f>'All regions'!I4570+"n/&gt;!(v8"</f>
        <v>#VALUE!</v>
      </c>
      <c r="L183" t="e">
        <f>'All regions'!J4570+"n/&gt;!(v9"</f>
        <v>#VALUE!</v>
      </c>
      <c r="M183" t="e">
        <f>'All regions'!A4571+"n/&gt;!(v:"</f>
        <v>#VALUE!</v>
      </c>
      <c r="N183" t="e">
        <f>'All regions'!B4571+"n/&gt;!(v;"</f>
        <v>#VALUE!</v>
      </c>
      <c r="O183" t="e">
        <f>'All regions'!C4571+"n/&gt;!(v&lt;"</f>
        <v>#VALUE!</v>
      </c>
      <c r="P183" t="e">
        <f>'All regions'!D4571+"n/&gt;!(v="</f>
        <v>#VALUE!</v>
      </c>
      <c r="Q183" t="e">
        <f>'All regions'!E4571+"n/&gt;!(v&gt;"</f>
        <v>#VALUE!</v>
      </c>
      <c r="R183" t="e">
        <f>'All regions'!F4571+"n/&gt;!(v?"</f>
        <v>#VALUE!</v>
      </c>
      <c r="S183" t="e">
        <f>'All regions'!G4571+"n/&gt;!(v@"</f>
        <v>#VALUE!</v>
      </c>
      <c r="T183" t="e">
        <f>'All regions'!H4571+"n/&gt;!(vA"</f>
        <v>#VALUE!</v>
      </c>
      <c r="U183" t="e">
        <f>'All regions'!I4571+"n/&gt;!(vB"</f>
        <v>#VALUE!</v>
      </c>
      <c r="V183" t="e">
        <f>'All regions'!J4571+"n/&gt;!(vC"</f>
        <v>#VALUE!</v>
      </c>
      <c r="W183" t="e">
        <f>'All regions'!A4572+"n/&gt;!(vD"</f>
        <v>#VALUE!</v>
      </c>
      <c r="X183" t="e">
        <f>'All regions'!B4572+"n/&gt;!(vE"</f>
        <v>#VALUE!</v>
      </c>
      <c r="Y183" t="e">
        <f>'All regions'!C4572+"n/&gt;!(vF"</f>
        <v>#VALUE!</v>
      </c>
      <c r="Z183" t="e">
        <f>'All regions'!D4572+"n/&gt;!(vG"</f>
        <v>#VALUE!</v>
      </c>
      <c r="AA183" t="e">
        <f>'All regions'!E4572+"n/&gt;!(vH"</f>
        <v>#VALUE!</v>
      </c>
      <c r="AB183" t="e">
        <f>'All regions'!F4572+"n/&gt;!(vI"</f>
        <v>#VALUE!</v>
      </c>
      <c r="AC183" t="e">
        <f>'All regions'!G4572+"n/&gt;!(vJ"</f>
        <v>#VALUE!</v>
      </c>
      <c r="AD183" t="e">
        <f>'All regions'!H4572+"n/&gt;!(vK"</f>
        <v>#VALUE!</v>
      </c>
      <c r="AE183" t="e">
        <f>'All regions'!I4572+"n/&gt;!(vL"</f>
        <v>#VALUE!</v>
      </c>
      <c r="AF183" t="e">
        <f>'All regions'!J4572+"n/&gt;!(vM"</f>
        <v>#VALUE!</v>
      </c>
      <c r="AG183" t="e">
        <f>'All regions'!A4573+"n/&gt;!(vN"</f>
        <v>#VALUE!</v>
      </c>
      <c r="AH183" t="e">
        <f>'All regions'!B4573+"n/&gt;!(vO"</f>
        <v>#VALUE!</v>
      </c>
      <c r="AI183" t="e">
        <f>'All regions'!C4573+"n/&gt;!(vP"</f>
        <v>#VALUE!</v>
      </c>
      <c r="AJ183" t="e">
        <f>'All regions'!D4573+"n/&gt;!(vQ"</f>
        <v>#VALUE!</v>
      </c>
      <c r="AK183" t="e">
        <f>'All regions'!E4573+"n/&gt;!(vR"</f>
        <v>#VALUE!</v>
      </c>
      <c r="AL183" t="e">
        <f>'All regions'!F4573+"n/&gt;!(vS"</f>
        <v>#VALUE!</v>
      </c>
      <c r="AM183" t="e">
        <f>'All regions'!G4573+"n/&gt;!(vT"</f>
        <v>#VALUE!</v>
      </c>
      <c r="AN183" t="e">
        <f>'All regions'!H4573+"n/&gt;!(vU"</f>
        <v>#VALUE!</v>
      </c>
      <c r="AO183" t="e">
        <f>'All regions'!I4573+"n/&gt;!(vV"</f>
        <v>#VALUE!</v>
      </c>
      <c r="AP183" t="e">
        <f>'All regions'!J4573+"n/&gt;!(vW"</f>
        <v>#VALUE!</v>
      </c>
      <c r="AQ183" t="e">
        <f>'All regions'!A4574+"n/&gt;!(vX"</f>
        <v>#VALUE!</v>
      </c>
      <c r="AR183" t="e">
        <f>'All regions'!B4574+"n/&gt;!(vY"</f>
        <v>#VALUE!</v>
      </c>
      <c r="AS183" t="e">
        <f>'All regions'!C4574+"n/&gt;!(vZ"</f>
        <v>#VALUE!</v>
      </c>
      <c r="AT183" t="e">
        <f>'All regions'!D4574+"n/&gt;!(v["</f>
        <v>#VALUE!</v>
      </c>
      <c r="AU183" t="e">
        <f>'All regions'!E4574+"n/&gt;!(v\"</f>
        <v>#VALUE!</v>
      </c>
      <c r="AV183" t="e">
        <f>'All regions'!F4574+"n/&gt;!(v]"</f>
        <v>#VALUE!</v>
      </c>
      <c r="AW183" t="e">
        <f>'All regions'!G4574+"n/&gt;!(v^"</f>
        <v>#VALUE!</v>
      </c>
      <c r="AX183" t="e">
        <f>'All regions'!H4574+"n/&gt;!(v_"</f>
        <v>#VALUE!</v>
      </c>
      <c r="AY183" t="e">
        <f>'All regions'!I4574+"n/&gt;!(v`"</f>
        <v>#VALUE!</v>
      </c>
      <c r="AZ183" t="e">
        <f>'All regions'!J4574+"n/&gt;!(va"</f>
        <v>#VALUE!</v>
      </c>
      <c r="BA183" t="e">
        <f>'All regions'!A4575+"n/&gt;!(vb"</f>
        <v>#VALUE!</v>
      </c>
      <c r="BB183" t="e">
        <f>'All regions'!B4575+"n/&gt;!(vc"</f>
        <v>#VALUE!</v>
      </c>
      <c r="BC183" t="e">
        <f>'All regions'!C4575+"n/&gt;!(vd"</f>
        <v>#VALUE!</v>
      </c>
      <c r="BD183" t="e">
        <f>'All regions'!D4575+"n/&gt;!(ve"</f>
        <v>#VALUE!</v>
      </c>
      <c r="BE183" t="e">
        <f>'All regions'!E4575+"n/&gt;!(vf"</f>
        <v>#VALUE!</v>
      </c>
      <c r="BF183" t="e">
        <f>'All regions'!F4575+"n/&gt;!(vg"</f>
        <v>#VALUE!</v>
      </c>
      <c r="BG183" t="e">
        <f>'All regions'!G4575+"n/&gt;!(vh"</f>
        <v>#VALUE!</v>
      </c>
      <c r="BH183" t="e">
        <f>'All regions'!H4575+"n/&gt;!(vi"</f>
        <v>#VALUE!</v>
      </c>
      <c r="BI183" t="e">
        <f>'All regions'!I4575+"n/&gt;!(vj"</f>
        <v>#VALUE!</v>
      </c>
      <c r="BJ183" t="e">
        <f>'All regions'!J4575+"n/&gt;!(vk"</f>
        <v>#VALUE!</v>
      </c>
      <c r="BK183" t="e">
        <f>'All regions'!A4576+"n/&gt;!(vl"</f>
        <v>#VALUE!</v>
      </c>
      <c r="BL183" t="e">
        <f>'All regions'!B4576+"n/&gt;!(vm"</f>
        <v>#VALUE!</v>
      </c>
      <c r="BM183" t="e">
        <f>'All regions'!C4576+"n/&gt;!(vn"</f>
        <v>#VALUE!</v>
      </c>
      <c r="BN183" t="e">
        <f>'All regions'!D4576+"n/&gt;!(vo"</f>
        <v>#VALUE!</v>
      </c>
      <c r="BO183" t="e">
        <f>'All regions'!E4576+"n/&gt;!(vp"</f>
        <v>#VALUE!</v>
      </c>
      <c r="BP183" t="e">
        <f>'All regions'!F4576+"n/&gt;!(vq"</f>
        <v>#VALUE!</v>
      </c>
      <c r="BQ183" t="e">
        <f>'All regions'!G4576+"n/&gt;!(vr"</f>
        <v>#VALUE!</v>
      </c>
      <c r="BR183" t="e">
        <f>'All regions'!H4576+"n/&gt;!(vs"</f>
        <v>#VALUE!</v>
      </c>
      <c r="BS183" t="e">
        <f>'All regions'!I4576+"n/&gt;!(vt"</f>
        <v>#VALUE!</v>
      </c>
      <c r="BT183" t="e">
        <f>'All regions'!J4576+"n/&gt;!(vu"</f>
        <v>#VALUE!</v>
      </c>
      <c r="BU183" t="e">
        <f>'All regions'!A4577+"n/&gt;!(vv"</f>
        <v>#VALUE!</v>
      </c>
      <c r="BV183" t="e">
        <f>'All regions'!B4577+"n/&gt;!(vw"</f>
        <v>#VALUE!</v>
      </c>
      <c r="BW183" t="e">
        <f>'All regions'!C4577+"n/&gt;!(vx"</f>
        <v>#VALUE!</v>
      </c>
      <c r="BX183" t="e">
        <f>'All regions'!D4577+"n/&gt;!(vy"</f>
        <v>#VALUE!</v>
      </c>
      <c r="BY183" t="e">
        <f>'All regions'!E4577+"n/&gt;!(vz"</f>
        <v>#VALUE!</v>
      </c>
      <c r="BZ183" t="e">
        <f>'All regions'!F4577+"n/&gt;!(v{"</f>
        <v>#VALUE!</v>
      </c>
      <c r="CA183" t="e">
        <f>'All regions'!G4577+"n/&gt;!(v|"</f>
        <v>#VALUE!</v>
      </c>
      <c r="CB183" t="e">
        <f>'All regions'!H4577+"n/&gt;!(v}"</f>
        <v>#VALUE!</v>
      </c>
      <c r="CC183" t="e">
        <f>'All regions'!I4577+"n/&gt;!(v~"</f>
        <v>#VALUE!</v>
      </c>
      <c r="CD183" t="e">
        <f>'All regions'!J4577+"n/&gt;!(w#"</f>
        <v>#VALUE!</v>
      </c>
      <c r="CE183" t="e">
        <f>'All regions'!A4578+"n/&gt;!(w$"</f>
        <v>#VALUE!</v>
      </c>
      <c r="CF183" t="e">
        <f>'All regions'!B4578+"n/&gt;!(w%"</f>
        <v>#VALUE!</v>
      </c>
      <c r="CG183" t="e">
        <f>'All regions'!C4578+"n/&gt;!(w&amp;"</f>
        <v>#VALUE!</v>
      </c>
      <c r="CH183" t="e">
        <f>'All regions'!D4578+"n/&gt;!(w'"</f>
        <v>#VALUE!</v>
      </c>
      <c r="CI183" t="e">
        <f>'All regions'!E4578+"n/&gt;!(w("</f>
        <v>#VALUE!</v>
      </c>
      <c r="CJ183" t="e">
        <f>'All regions'!F4578+"n/&gt;!(w)"</f>
        <v>#VALUE!</v>
      </c>
      <c r="CK183" t="e">
        <f>'All regions'!G4578+"n/&gt;!(w."</f>
        <v>#VALUE!</v>
      </c>
      <c r="CL183" t="e">
        <f>'All regions'!H4578+"n/&gt;!(w/"</f>
        <v>#VALUE!</v>
      </c>
      <c r="CM183" t="e">
        <f>'All regions'!I4578+"n/&gt;!(w0"</f>
        <v>#VALUE!</v>
      </c>
      <c r="CN183" t="e">
        <f>'All regions'!J4578+"n/&gt;!(w1"</f>
        <v>#VALUE!</v>
      </c>
      <c r="CO183" t="e">
        <f>'All regions'!A4579+"n/&gt;!(w2"</f>
        <v>#VALUE!</v>
      </c>
      <c r="CP183" t="e">
        <f>'All regions'!B4579+"n/&gt;!(w3"</f>
        <v>#VALUE!</v>
      </c>
      <c r="CQ183" t="e">
        <f>'All regions'!C4579+"n/&gt;!(w4"</f>
        <v>#VALUE!</v>
      </c>
      <c r="CR183" t="e">
        <f>'All regions'!D4579+"n/&gt;!(w5"</f>
        <v>#VALUE!</v>
      </c>
      <c r="CS183" t="e">
        <f>'All regions'!E4579+"n/&gt;!(w6"</f>
        <v>#VALUE!</v>
      </c>
      <c r="CT183" t="e">
        <f>'All regions'!F4579+"n/&gt;!(w7"</f>
        <v>#VALUE!</v>
      </c>
      <c r="CU183" t="e">
        <f>'All regions'!G4579+"n/&gt;!(w8"</f>
        <v>#VALUE!</v>
      </c>
      <c r="CV183" t="e">
        <f>'All regions'!H4579+"n/&gt;!(w9"</f>
        <v>#VALUE!</v>
      </c>
      <c r="CW183" t="e">
        <f>'All regions'!I4579+"n/&gt;!(w:"</f>
        <v>#VALUE!</v>
      </c>
      <c r="CX183" t="e">
        <f>'All regions'!J4579+"n/&gt;!(w;"</f>
        <v>#VALUE!</v>
      </c>
      <c r="CY183" t="e">
        <f>'All regions'!A4580+"n/&gt;!(w&lt;"</f>
        <v>#VALUE!</v>
      </c>
      <c r="CZ183" t="e">
        <f>'All regions'!B4580+"n/&gt;!(w="</f>
        <v>#VALUE!</v>
      </c>
      <c r="DA183" t="e">
        <f>'All regions'!C4580+"n/&gt;!(w&gt;"</f>
        <v>#VALUE!</v>
      </c>
      <c r="DB183" t="e">
        <f>'All regions'!D4580+"n/&gt;!(w?"</f>
        <v>#VALUE!</v>
      </c>
      <c r="DC183" t="e">
        <f>'All regions'!E4580+"n/&gt;!(w@"</f>
        <v>#VALUE!</v>
      </c>
      <c r="DD183" t="e">
        <f>'All regions'!F4580+"n/&gt;!(wA"</f>
        <v>#VALUE!</v>
      </c>
      <c r="DE183" t="e">
        <f>'All regions'!G4580+"n/&gt;!(wB"</f>
        <v>#VALUE!</v>
      </c>
      <c r="DF183" t="e">
        <f>'All regions'!H4580+"n/&gt;!(wC"</f>
        <v>#VALUE!</v>
      </c>
      <c r="DG183" t="e">
        <f>'All regions'!I4580+"n/&gt;!(wD"</f>
        <v>#VALUE!</v>
      </c>
      <c r="DH183" t="e">
        <f>'All regions'!J4580+"n/&gt;!(wE"</f>
        <v>#VALUE!</v>
      </c>
      <c r="DI183" t="e">
        <f>'All regions'!A4581+"n/&gt;!(wF"</f>
        <v>#VALUE!</v>
      </c>
      <c r="DJ183" t="e">
        <f>'All regions'!B4581+"n/&gt;!(wG"</f>
        <v>#VALUE!</v>
      </c>
      <c r="DK183" t="e">
        <f>'All regions'!C4581+"n/&gt;!(wH"</f>
        <v>#VALUE!</v>
      </c>
      <c r="DL183" t="e">
        <f>'All regions'!D4581+"n/&gt;!(wI"</f>
        <v>#VALUE!</v>
      </c>
      <c r="DM183" t="e">
        <f>'All regions'!E4581+"n/&gt;!(wJ"</f>
        <v>#VALUE!</v>
      </c>
      <c r="DN183" t="e">
        <f>'All regions'!F4581+"n/&gt;!(wK"</f>
        <v>#VALUE!</v>
      </c>
      <c r="DO183" t="e">
        <f>'All regions'!G4581+"n/&gt;!(wL"</f>
        <v>#VALUE!</v>
      </c>
      <c r="DP183" t="e">
        <f>'All regions'!H4581+"n/&gt;!(wM"</f>
        <v>#VALUE!</v>
      </c>
      <c r="DQ183" t="e">
        <f>'All regions'!I4581+"n/&gt;!(wN"</f>
        <v>#VALUE!</v>
      </c>
      <c r="DR183" t="e">
        <f>'All regions'!J4581+"n/&gt;!(wO"</f>
        <v>#VALUE!</v>
      </c>
      <c r="DS183" t="e">
        <f>'All regions'!A4582+"n/&gt;!(wP"</f>
        <v>#VALUE!</v>
      </c>
      <c r="DT183" t="e">
        <f>'All regions'!B4582+"n/&gt;!(wQ"</f>
        <v>#VALUE!</v>
      </c>
      <c r="DU183" t="e">
        <f>'All regions'!C4582+"n/&gt;!(wR"</f>
        <v>#VALUE!</v>
      </c>
      <c r="DV183" t="e">
        <f>'All regions'!D4582+"n/&gt;!(wS"</f>
        <v>#VALUE!</v>
      </c>
      <c r="DW183" t="e">
        <f>'All regions'!E4582+"n/&gt;!(wT"</f>
        <v>#VALUE!</v>
      </c>
      <c r="DX183" t="e">
        <f>'All regions'!F4582+"n/&gt;!(wU"</f>
        <v>#VALUE!</v>
      </c>
      <c r="DY183" t="e">
        <f>'All regions'!G4582+"n/&gt;!(wV"</f>
        <v>#VALUE!</v>
      </c>
      <c r="DZ183" t="e">
        <f>'All regions'!H4582+"n/&gt;!(wW"</f>
        <v>#VALUE!</v>
      </c>
      <c r="EA183" t="e">
        <f>'All regions'!I4582+"n/&gt;!(wX"</f>
        <v>#VALUE!</v>
      </c>
      <c r="EB183" t="e">
        <f>'All regions'!J4582+"n/&gt;!(wY"</f>
        <v>#VALUE!</v>
      </c>
      <c r="EC183" t="e">
        <f>'All regions'!A4583+"n/&gt;!(wZ"</f>
        <v>#VALUE!</v>
      </c>
      <c r="ED183" t="e">
        <f>'All regions'!B4583+"n/&gt;!(w["</f>
        <v>#VALUE!</v>
      </c>
      <c r="EE183" t="e">
        <f>'All regions'!C4583+"n/&gt;!(w\"</f>
        <v>#VALUE!</v>
      </c>
      <c r="EF183" t="e">
        <f>'All regions'!D4583+"n/&gt;!(w]"</f>
        <v>#VALUE!</v>
      </c>
      <c r="EG183" t="e">
        <f>'All regions'!E4583+"n/&gt;!(w^"</f>
        <v>#VALUE!</v>
      </c>
      <c r="EH183" t="e">
        <f>'All regions'!F4583+"n/&gt;!(w_"</f>
        <v>#VALUE!</v>
      </c>
      <c r="EI183" t="e">
        <f>'All regions'!G4583+"n/&gt;!(w`"</f>
        <v>#VALUE!</v>
      </c>
      <c r="EJ183" t="e">
        <f>'All regions'!H4583+"n/&gt;!(wa"</f>
        <v>#VALUE!</v>
      </c>
      <c r="EK183" t="e">
        <f>'All regions'!I4583+"n/&gt;!(wb"</f>
        <v>#VALUE!</v>
      </c>
      <c r="EL183" t="e">
        <f>'All regions'!J4583+"n/&gt;!(wc"</f>
        <v>#VALUE!</v>
      </c>
      <c r="EM183" t="e">
        <f>'All regions'!A4584+"n/&gt;!(wd"</f>
        <v>#VALUE!</v>
      </c>
      <c r="EN183" t="e">
        <f>'All regions'!B4584+"n/&gt;!(we"</f>
        <v>#VALUE!</v>
      </c>
      <c r="EO183" t="e">
        <f>'All regions'!C4584+"n/&gt;!(wf"</f>
        <v>#VALUE!</v>
      </c>
      <c r="EP183" t="e">
        <f>'All regions'!D4584+"n/&gt;!(wg"</f>
        <v>#VALUE!</v>
      </c>
      <c r="EQ183" t="e">
        <f>'All regions'!E4584+"n/&gt;!(wh"</f>
        <v>#VALUE!</v>
      </c>
      <c r="ER183" t="e">
        <f>'All regions'!F4584+"n/&gt;!(wi"</f>
        <v>#VALUE!</v>
      </c>
      <c r="ES183" t="e">
        <f>'All regions'!G4584+"n/&gt;!(wj"</f>
        <v>#VALUE!</v>
      </c>
      <c r="ET183" t="e">
        <f>'All regions'!H4584+"n/&gt;!(wk"</f>
        <v>#VALUE!</v>
      </c>
      <c r="EU183" t="e">
        <f>'All regions'!I4584+"n/&gt;!(wl"</f>
        <v>#VALUE!</v>
      </c>
      <c r="EV183" t="e">
        <f>'All regions'!J4584+"n/&gt;!(wm"</f>
        <v>#VALUE!</v>
      </c>
      <c r="EW183" t="e">
        <f>'All regions'!A4585+"n/&gt;!(wn"</f>
        <v>#VALUE!</v>
      </c>
      <c r="EX183" t="e">
        <f>'All regions'!B4585+"n/&gt;!(wo"</f>
        <v>#VALUE!</v>
      </c>
      <c r="EY183" t="e">
        <f>'All regions'!C4585+"n/&gt;!(wp"</f>
        <v>#VALUE!</v>
      </c>
      <c r="EZ183" t="e">
        <f>'All regions'!D4585+"n/&gt;!(wq"</f>
        <v>#VALUE!</v>
      </c>
      <c r="FA183" t="e">
        <f>'All regions'!E4585+"n/&gt;!(wr"</f>
        <v>#VALUE!</v>
      </c>
      <c r="FB183" t="e">
        <f>'All regions'!F4585+"n/&gt;!(ws"</f>
        <v>#VALUE!</v>
      </c>
      <c r="FC183" t="e">
        <f>'All regions'!G4585+"n/&gt;!(wt"</f>
        <v>#VALUE!</v>
      </c>
      <c r="FD183" t="e">
        <f>'All regions'!H4585+"n/&gt;!(wu"</f>
        <v>#VALUE!</v>
      </c>
      <c r="FE183" t="e">
        <f>'All regions'!I4585+"n/&gt;!(wv"</f>
        <v>#VALUE!</v>
      </c>
      <c r="FF183" t="e">
        <f>'All regions'!J4585+"n/&gt;!(ww"</f>
        <v>#VALUE!</v>
      </c>
      <c r="FG183" t="e">
        <f>'All regions'!A4586+"n/&gt;!(wx"</f>
        <v>#VALUE!</v>
      </c>
      <c r="FH183" t="e">
        <f>'All regions'!B4586+"n/&gt;!(wy"</f>
        <v>#VALUE!</v>
      </c>
      <c r="FI183" t="e">
        <f>'All regions'!C4586+"n/&gt;!(wz"</f>
        <v>#VALUE!</v>
      </c>
      <c r="FJ183" t="e">
        <f>'All regions'!D4586+"n/&gt;!(w{"</f>
        <v>#VALUE!</v>
      </c>
      <c r="FK183" t="e">
        <f>'All regions'!E4586+"n/&gt;!(w|"</f>
        <v>#VALUE!</v>
      </c>
      <c r="FL183" t="e">
        <f>'All regions'!F4586+"n/&gt;!(w}"</f>
        <v>#VALUE!</v>
      </c>
      <c r="FM183" t="e">
        <f>'All regions'!G4586+"n/&gt;!(w~"</f>
        <v>#VALUE!</v>
      </c>
      <c r="FN183" t="e">
        <f>'All regions'!H4586+"n/&gt;!(x#"</f>
        <v>#VALUE!</v>
      </c>
      <c r="FO183" t="e">
        <f>'All regions'!I4586+"n/&gt;!(x$"</f>
        <v>#VALUE!</v>
      </c>
      <c r="FP183" t="e">
        <f>'All regions'!J4586+"n/&gt;!(x%"</f>
        <v>#VALUE!</v>
      </c>
      <c r="FQ183" t="e">
        <f>'All regions'!A4587+"n/&gt;!(x&amp;"</f>
        <v>#VALUE!</v>
      </c>
      <c r="FR183" t="e">
        <f>'All regions'!B4587+"n/&gt;!(x'"</f>
        <v>#VALUE!</v>
      </c>
      <c r="FS183" t="e">
        <f>'All regions'!C4587+"n/&gt;!(x("</f>
        <v>#VALUE!</v>
      </c>
      <c r="FT183" t="e">
        <f>'All regions'!D4587+"n/&gt;!(x)"</f>
        <v>#VALUE!</v>
      </c>
      <c r="FU183" t="e">
        <f>'All regions'!E4587+"n/&gt;!(x."</f>
        <v>#VALUE!</v>
      </c>
      <c r="FV183" t="e">
        <f>'All regions'!F4587+"n/&gt;!(x/"</f>
        <v>#VALUE!</v>
      </c>
      <c r="FW183" t="e">
        <f>'All regions'!G4587+"n/&gt;!(x0"</f>
        <v>#VALUE!</v>
      </c>
      <c r="FX183" t="e">
        <f>'All regions'!H4587+"n/&gt;!(x1"</f>
        <v>#VALUE!</v>
      </c>
      <c r="FY183" t="e">
        <f>'All regions'!I4587+"n/&gt;!(x2"</f>
        <v>#VALUE!</v>
      </c>
      <c r="FZ183" t="e">
        <f>'All regions'!J4587+"n/&gt;!(x3"</f>
        <v>#VALUE!</v>
      </c>
      <c r="GA183" t="e">
        <f>'All regions'!A4588+"n/&gt;!(x4"</f>
        <v>#VALUE!</v>
      </c>
      <c r="GB183" t="e">
        <f>'All regions'!B4588+"n/&gt;!(x5"</f>
        <v>#VALUE!</v>
      </c>
      <c r="GC183" t="e">
        <f>'All regions'!C4588+"n/&gt;!(x6"</f>
        <v>#VALUE!</v>
      </c>
      <c r="GD183" t="e">
        <f>'All regions'!D4588+"n/&gt;!(x7"</f>
        <v>#VALUE!</v>
      </c>
      <c r="GE183" t="e">
        <f>'All regions'!E4588+"n/&gt;!(x8"</f>
        <v>#VALUE!</v>
      </c>
      <c r="GF183" t="e">
        <f>'All regions'!F4588+"n/&gt;!(x9"</f>
        <v>#VALUE!</v>
      </c>
      <c r="GG183" t="e">
        <f>'All regions'!G4588+"n/&gt;!(x:"</f>
        <v>#VALUE!</v>
      </c>
      <c r="GH183" t="e">
        <f>'All regions'!H4588+"n/&gt;!(x;"</f>
        <v>#VALUE!</v>
      </c>
      <c r="GI183" t="e">
        <f>'All regions'!I4588+"n/&gt;!(x&lt;"</f>
        <v>#VALUE!</v>
      </c>
      <c r="GJ183" t="e">
        <f>'All regions'!J4588+"n/&gt;!(x="</f>
        <v>#VALUE!</v>
      </c>
      <c r="GK183" t="e">
        <f>'All regions'!A4589+"n/&gt;!(x&gt;"</f>
        <v>#VALUE!</v>
      </c>
      <c r="GL183" t="e">
        <f>'All regions'!B4589+"n/&gt;!(x?"</f>
        <v>#VALUE!</v>
      </c>
      <c r="GM183" t="e">
        <f>'All regions'!C4589+"n/&gt;!(x@"</f>
        <v>#VALUE!</v>
      </c>
      <c r="GN183" t="e">
        <f>'All regions'!D4589+"n/&gt;!(xA"</f>
        <v>#VALUE!</v>
      </c>
      <c r="GO183" t="e">
        <f>'All regions'!E4589+"n/&gt;!(xB"</f>
        <v>#VALUE!</v>
      </c>
      <c r="GP183" t="e">
        <f>'All regions'!F4589+"n/&gt;!(xC"</f>
        <v>#VALUE!</v>
      </c>
      <c r="GQ183" t="e">
        <f>'All regions'!G4589+"n/&gt;!(xD"</f>
        <v>#VALUE!</v>
      </c>
      <c r="GR183" t="e">
        <f>'All regions'!H4589+"n/&gt;!(xE"</f>
        <v>#VALUE!</v>
      </c>
      <c r="GS183" t="e">
        <f>'All regions'!I4589+"n/&gt;!(xF"</f>
        <v>#VALUE!</v>
      </c>
      <c r="GT183" t="e">
        <f>'All regions'!J4589+"n/&gt;!(xG"</f>
        <v>#VALUE!</v>
      </c>
      <c r="GU183" t="e">
        <f>'All regions'!A4590+"n/&gt;!(xH"</f>
        <v>#VALUE!</v>
      </c>
      <c r="GV183" t="e">
        <f>'All regions'!B4590+"n/&gt;!(xI"</f>
        <v>#VALUE!</v>
      </c>
      <c r="GW183" t="e">
        <f>'All regions'!C4590+"n/&gt;!(xJ"</f>
        <v>#VALUE!</v>
      </c>
      <c r="GX183" t="e">
        <f>'All regions'!D4590+"n/&gt;!(xK"</f>
        <v>#VALUE!</v>
      </c>
      <c r="GY183" t="e">
        <f>'All regions'!E4590+"n/&gt;!(xL"</f>
        <v>#VALUE!</v>
      </c>
      <c r="GZ183" t="e">
        <f>'All regions'!F4590+"n/&gt;!(xM"</f>
        <v>#VALUE!</v>
      </c>
      <c r="HA183" t="e">
        <f>'All regions'!G4590+"n/&gt;!(xN"</f>
        <v>#VALUE!</v>
      </c>
      <c r="HB183" t="e">
        <f>'All regions'!H4590+"n/&gt;!(xO"</f>
        <v>#VALUE!</v>
      </c>
      <c r="HC183" t="e">
        <f>'All regions'!I4590+"n/&gt;!(xP"</f>
        <v>#VALUE!</v>
      </c>
      <c r="HD183" t="e">
        <f>'All regions'!J4590+"n/&gt;!(xQ"</f>
        <v>#VALUE!</v>
      </c>
      <c r="HE183" t="e">
        <f>'All regions'!A4591+"n/&gt;!(xR"</f>
        <v>#VALUE!</v>
      </c>
      <c r="HF183" t="e">
        <f>'All regions'!B4591+"n/&gt;!(xS"</f>
        <v>#VALUE!</v>
      </c>
      <c r="HG183" t="e">
        <f>'All regions'!C4591+"n/&gt;!(xT"</f>
        <v>#VALUE!</v>
      </c>
      <c r="HH183" t="e">
        <f>'All regions'!D4591+"n/&gt;!(xU"</f>
        <v>#VALUE!</v>
      </c>
      <c r="HI183" t="e">
        <f>'All regions'!E4591+"n/&gt;!(xV"</f>
        <v>#VALUE!</v>
      </c>
      <c r="HJ183" t="e">
        <f>'All regions'!F4591+"n/&gt;!(xW"</f>
        <v>#VALUE!</v>
      </c>
      <c r="HK183" t="e">
        <f>'All regions'!G4591+"n/&gt;!(xX"</f>
        <v>#VALUE!</v>
      </c>
      <c r="HL183" t="e">
        <f>'All regions'!H4591+"n/&gt;!(xY"</f>
        <v>#VALUE!</v>
      </c>
      <c r="HM183" t="e">
        <f>'All regions'!I4591+"n/&gt;!(xZ"</f>
        <v>#VALUE!</v>
      </c>
      <c r="HN183" t="e">
        <f>'All regions'!J4591+"n/&gt;!(x["</f>
        <v>#VALUE!</v>
      </c>
      <c r="HO183" t="e">
        <f>'All regions'!A4592+"n/&gt;!(x\"</f>
        <v>#VALUE!</v>
      </c>
      <c r="HP183" t="e">
        <f>'All regions'!B4592+"n/&gt;!(x]"</f>
        <v>#VALUE!</v>
      </c>
      <c r="HQ183" t="e">
        <f>'All regions'!C4592+"n/&gt;!(x^"</f>
        <v>#VALUE!</v>
      </c>
      <c r="HR183" t="e">
        <f>'All regions'!D4592+"n/&gt;!(x_"</f>
        <v>#VALUE!</v>
      </c>
      <c r="HS183" t="e">
        <f>'All regions'!E4592+"n/&gt;!(x`"</f>
        <v>#VALUE!</v>
      </c>
      <c r="HT183" t="e">
        <f>'All regions'!F4592+"n/&gt;!(xa"</f>
        <v>#VALUE!</v>
      </c>
      <c r="HU183" t="e">
        <f>'All regions'!G4592+"n/&gt;!(xb"</f>
        <v>#VALUE!</v>
      </c>
      <c r="HV183" t="e">
        <f>'All regions'!H4592+"n/&gt;!(xc"</f>
        <v>#VALUE!</v>
      </c>
      <c r="HW183" t="e">
        <f>'All regions'!I4592+"n/&gt;!(xd"</f>
        <v>#VALUE!</v>
      </c>
      <c r="HX183" t="e">
        <f>'All regions'!J4592+"n/&gt;!(xe"</f>
        <v>#VALUE!</v>
      </c>
      <c r="HY183" t="e">
        <f>'All regions'!A4593+"n/&gt;!(xf"</f>
        <v>#VALUE!</v>
      </c>
      <c r="HZ183" t="e">
        <f>'All regions'!B4593+"n/&gt;!(xg"</f>
        <v>#VALUE!</v>
      </c>
      <c r="IA183" t="e">
        <f>'All regions'!C4593+"n/&gt;!(xh"</f>
        <v>#VALUE!</v>
      </c>
      <c r="IB183" t="e">
        <f>'All regions'!D4593+"n/&gt;!(xi"</f>
        <v>#VALUE!</v>
      </c>
      <c r="IC183" t="e">
        <f>'All regions'!E4593+"n/&gt;!(xj"</f>
        <v>#VALUE!</v>
      </c>
      <c r="ID183" t="e">
        <f>'All regions'!F4593+"n/&gt;!(xk"</f>
        <v>#VALUE!</v>
      </c>
      <c r="IE183" t="e">
        <f>'All regions'!G4593+"n/&gt;!(xl"</f>
        <v>#VALUE!</v>
      </c>
      <c r="IF183" t="e">
        <f>'All regions'!H4593+"n/&gt;!(xm"</f>
        <v>#VALUE!</v>
      </c>
      <c r="IG183" t="e">
        <f>'All regions'!I4593+"n/&gt;!(xn"</f>
        <v>#VALUE!</v>
      </c>
      <c r="IH183" t="e">
        <f>'All regions'!J4593+"n/&gt;!(xo"</f>
        <v>#VALUE!</v>
      </c>
      <c r="II183" t="e">
        <f>'All regions'!A4594+"n/&gt;!(xp"</f>
        <v>#VALUE!</v>
      </c>
      <c r="IJ183" t="e">
        <f>'All regions'!B4594+"n/&gt;!(xq"</f>
        <v>#VALUE!</v>
      </c>
      <c r="IK183" t="e">
        <f>'All regions'!C4594+"n/&gt;!(xr"</f>
        <v>#VALUE!</v>
      </c>
      <c r="IL183" t="e">
        <f>'All regions'!D4594+"n/&gt;!(xs"</f>
        <v>#VALUE!</v>
      </c>
      <c r="IM183" t="e">
        <f>'All regions'!E4594+"n/&gt;!(xt"</f>
        <v>#VALUE!</v>
      </c>
      <c r="IN183" t="e">
        <f>'All regions'!F4594+"n/&gt;!(xu"</f>
        <v>#VALUE!</v>
      </c>
      <c r="IO183" t="e">
        <f>'All regions'!G4594+"n/&gt;!(xv"</f>
        <v>#VALUE!</v>
      </c>
      <c r="IP183" t="e">
        <f>'All regions'!H4594+"n/&gt;!(xw"</f>
        <v>#VALUE!</v>
      </c>
      <c r="IQ183" t="e">
        <f>'All regions'!I4594+"n/&gt;!(xx"</f>
        <v>#VALUE!</v>
      </c>
      <c r="IR183" t="e">
        <f>'All regions'!J4594+"n/&gt;!(xy"</f>
        <v>#VALUE!</v>
      </c>
      <c r="IS183" t="e">
        <f>'All regions'!A4595+"n/&gt;!(xz"</f>
        <v>#VALUE!</v>
      </c>
      <c r="IT183" t="e">
        <f>'All regions'!B4595+"n/&gt;!(x{"</f>
        <v>#VALUE!</v>
      </c>
      <c r="IU183" t="e">
        <f>'All regions'!C4595+"n/&gt;!(x|"</f>
        <v>#VALUE!</v>
      </c>
      <c r="IV183" t="e">
        <f>'All regions'!D4595+"n/&gt;!(x}"</f>
        <v>#VALUE!</v>
      </c>
    </row>
    <row r="184" spans="6:256" x14ac:dyDescent="0.35">
      <c r="F184" t="e">
        <f>'All regions'!E4595+"n/&gt;!(x~"</f>
        <v>#VALUE!</v>
      </c>
      <c r="G184" t="e">
        <f>'All regions'!F4595+"n/&gt;!(y#"</f>
        <v>#VALUE!</v>
      </c>
      <c r="H184" t="e">
        <f>'All regions'!G4595+"n/&gt;!(y$"</f>
        <v>#VALUE!</v>
      </c>
      <c r="I184" t="e">
        <f>'All regions'!H4595+"n/&gt;!(y%"</f>
        <v>#VALUE!</v>
      </c>
      <c r="J184" t="e">
        <f>'All regions'!I4595+"n/&gt;!(y&amp;"</f>
        <v>#VALUE!</v>
      </c>
      <c r="K184" t="e">
        <f>'All regions'!J4595+"n/&gt;!(y'"</f>
        <v>#VALUE!</v>
      </c>
      <c r="L184" t="e">
        <f>'All regions'!A4596+"n/&gt;!(y("</f>
        <v>#VALUE!</v>
      </c>
      <c r="M184" t="e">
        <f>'All regions'!B4596+"n/&gt;!(y)"</f>
        <v>#VALUE!</v>
      </c>
      <c r="N184" t="e">
        <f>'All regions'!C4596+"n/&gt;!(y."</f>
        <v>#VALUE!</v>
      </c>
      <c r="O184" t="e">
        <f>'All regions'!D4596+"n/&gt;!(y/"</f>
        <v>#VALUE!</v>
      </c>
      <c r="P184" t="e">
        <f>'All regions'!E4596+"n/&gt;!(y0"</f>
        <v>#VALUE!</v>
      </c>
      <c r="Q184" t="e">
        <f>'All regions'!F4596+"n/&gt;!(y1"</f>
        <v>#VALUE!</v>
      </c>
      <c r="R184" t="e">
        <f>'All regions'!G4596+"n/&gt;!(y2"</f>
        <v>#VALUE!</v>
      </c>
      <c r="S184" t="e">
        <f>'All regions'!H4596+"n/&gt;!(y3"</f>
        <v>#VALUE!</v>
      </c>
      <c r="T184" t="e">
        <f>'All regions'!I4596+"n/&gt;!(y4"</f>
        <v>#VALUE!</v>
      </c>
      <c r="U184" t="e">
        <f>'All regions'!J4596+"n/&gt;!(y5"</f>
        <v>#VALUE!</v>
      </c>
      <c r="V184" t="e">
        <f>'All regions'!A4597+"n/&gt;!(y6"</f>
        <v>#VALUE!</v>
      </c>
      <c r="W184" t="e">
        <f>'All regions'!B4597+"n/&gt;!(y7"</f>
        <v>#VALUE!</v>
      </c>
      <c r="X184" t="e">
        <f>'All regions'!C4597+"n/&gt;!(y8"</f>
        <v>#VALUE!</v>
      </c>
      <c r="Y184" t="e">
        <f>'All regions'!D4597+"n/&gt;!(y9"</f>
        <v>#VALUE!</v>
      </c>
      <c r="Z184" t="e">
        <f>'All regions'!E4597+"n/&gt;!(y:"</f>
        <v>#VALUE!</v>
      </c>
      <c r="AA184" t="e">
        <f>'All regions'!F4597+"n/&gt;!(y;"</f>
        <v>#VALUE!</v>
      </c>
      <c r="AB184" t="e">
        <f>'All regions'!G4597+"n/&gt;!(y&lt;"</f>
        <v>#VALUE!</v>
      </c>
      <c r="AC184" t="e">
        <f>'All regions'!H4597+"n/&gt;!(y="</f>
        <v>#VALUE!</v>
      </c>
      <c r="AD184" t="e">
        <f>'All regions'!I4597+"n/&gt;!(y&gt;"</f>
        <v>#VALUE!</v>
      </c>
      <c r="AE184" t="e">
        <f>'All regions'!J4597+"n/&gt;!(y?"</f>
        <v>#VALUE!</v>
      </c>
      <c r="AF184" t="e">
        <f>'All regions'!A4598+"n/&gt;!(y@"</f>
        <v>#VALUE!</v>
      </c>
      <c r="AG184" t="e">
        <f>'All regions'!B4598+"n/&gt;!(yA"</f>
        <v>#VALUE!</v>
      </c>
      <c r="AH184" t="e">
        <f>'All regions'!C4598+"n/&gt;!(yB"</f>
        <v>#VALUE!</v>
      </c>
      <c r="AI184" t="e">
        <f>'All regions'!D4598+"n/&gt;!(yC"</f>
        <v>#VALUE!</v>
      </c>
      <c r="AJ184" t="e">
        <f>'All regions'!E4598+"n/&gt;!(yD"</f>
        <v>#VALUE!</v>
      </c>
      <c r="AK184" t="e">
        <f>'All regions'!F4598+"n/&gt;!(yE"</f>
        <v>#VALUE!</v>
      </c>
      <c r="AL184" t="e">
        <f>'All regions'!G4598+"n/&gt;!(yF"</f>
        <v>#VALUE!</v>
      </c>
      <c r="AM184" t="e">
        <f>'All regions'!H4598+"n/&gt;!(yG"</f>
        <v>#VALUE!</v>
      </c>
      <c r="AN184" t="e">
        <f>'All regions'!I4598+"n/&gt;!(yH"</f>
        <v>#VALUE!</v>
      </c>
      <c r="AO184" t="e">
        <f>'All regions'!J4598+"n/&gt;!(yI"</f>
        <v>#VALUE!</v>
      </c>
      <c r="AP184" t="e">
        <f>'All regions'!A4599+"n/&gt;!(yJ"</f>
        <v>#VALUE!</v>
      </c>
      <c r="AQ184" t="e">
        <f>'All regions'!B4599+"n/&gt;!(yK"</f>
        <v>#VALUE!</v>
      </c>
      <c r="AR184" t="e">
        <f>'All regions'!C4599+"n/&gt;!(yL"</f>
        <v>#VALUE!</v>
      </c>
      <c r="AS184" t="e">
        <f>'All regions'!D4599+"n/&gt;!(yM"</f>
        <v>#VALUE!</v>
      </c>
      <c r="AT184" t="e">
        <f>'All regions'!E4599+"n/&gt;!(yN"</f>
        <v>#VALUE!</v>
      </c>
      <c r="AU184" t="e">
        <f>'All regions'!F4599+"n/&gt;!(yO"</f>
        <v>#VALUE!</v>
      </c>
      <c r="AV184" t="e">
        <f>'All regions'!G4599+"n/&gt;!(yP"</f>
        <v>#VALUE!</v>
      </c>
      <c r="AW184" t="e">
        <f>'All regions'!H4599+"n/&gt;!(yQ"</f>
        <v>#VALUE!</v>
      </c>
      <c r="AX184" t="e">
        <f>'All regions'!I4599+"n/&gt;!(yR"</f>
        <v>#VALUE!</v>
      </c>
      <c r="AY184" t="e">
        <f>'All regions'!J4599+"n/&gt;!(yS"</f>
        <v>#VALUE!</v>
      </c>
      <c r="AZ184" t="e">
        <f>'All regions'!A4600+"n/&gt;!(yT"</f>
        <v>#VALUE!</v>
      </c>
      <c r="BA184" t="e">
        <f>'All regions'!B4600+"n/&gt;!(yU"</f>
        <v>#VALUE!</v>
      </c>
      <c r="BB184" t="e">
        <f>'All regions'!C4600+"n/&gt;!(yV"</f>
        <v>#VALUE!</v>
      </c>
      <c r="BC184" t="e">
        <f>'All regions'!D4600+"n/&gt;!(yW"</f>
        <v>#VALUE!</v>
      </c>
      <c r="BD184" t="e">
        <f>'All regions'!E4600+"n/&gt;!(yX"</f>
        <v>#VALUE!</v>
      </c>
      <c r="BE184" t="e">
        <f>'All regions'!F4600+"n/&gt;!(yY"</f>
        <v>#VALUE!</v>
      </c>
      <c r="BF184" t="e">
        <f>'All regions'!G4600+"n/&gt;!(yZ"</f>
        <v>#VALUE!</v>
      </c>
      <c r="BG184" t="e">
        <f>'All regions'!H4600+"n/&gt;!(y["</f>
        <v>#VALUE!</v>
      </c>
      <c r="BH184" t="e">
        <f>'All regions'!I4600+"n/&gt;!(y\"</f>
        <v>#VALUE!</v>
      </c>
      <c r="BI184" t="e">
        <f>'All regions'!J4600+"n/&gt;!(y]"</f>
        <v>#VALUE!</v>
      </c>
      <c r="BJ184" t="e">
        <f>'All regions'!A4601+"n/&gt;!(y^"</f>
        <v>#VALUE!</v>
      </c>
      <c r="BK184" t="e">
        <f>'All regions'!B4601+"n/&gt;!(y_"</f>
        <v>#VALUE!</v>
      </c>
      <c r="BL184" t="e">
        <f>'All regions'!C4601+"n/&gt;!(y`"</f>
        <v>#VALUE!</v>
      </c>
      <c r="BM184" t="e">
        <f>'All regions'!D4601+"n/&gt;!(ya"</f>
        <v>#VALUE!</v>
      </c>
      <c r="BN184" t="e">
        <f>'All regions'!E4601+"n/&gt;!(yb"</f>
        <v>#VALUE!</v>
      </c>
      <c r="BO184" t="e">
        <f>'All regions'!F4601+"n/&gt;!(yc"</f>
        <v>#VALUE!</v>
      </c>
      <c r="BP184" t="e">
        <f>'All regions'!G4601+"n/&gt;!(yd"</f>
        <v>#VALUE!</v>
      </c>
      <c r="BQ184" t="e">
        <f>'All regions'!H4601+"n/&gt;!(ye"</f>
        <v>#VALUE!</v>
      </c>
      <c r="BR184" t="e">
        <f>'All regions'!I4601+"n/&gt;!(yf"</f>
        <v>#VALUE!</v>
      </c>
      <c r="BS184" t="e">
        <f>'All regions'!J4601+"n/&gt;!(yg"</f>
        <v>#VALUE!</v>
      </c>
      <c r="BT184" t="e">
        <f>'All regions'!A4602+"n/&gt;!(yh"</f>
        <v>#VALUE!</v>
      </c>
      <c r="BU184" t="e">
        <f>'All regions'!B4602+"n/&gt;!(yi"</f>
        <v>#VALUE!</v>
      </c>
      <c r="BV184" t="e">
        <f>'All regions'!C4602+"n/&gt;!(yj"</f>
        <v>#VALUE!</v>
      </c>
      <c r="BW184" t="e">
        <f>'All regions'!D4602+"n/&gt;!(yk"</f>
        <v>#VALUE!</v>
      </c>
      <c r="BX184" t="e">
        <f>'All regions'!E4602+"n/&gt;!(yl"</f>
        <v>#VALUE!</v>
      </c>
      <c r="BY184" t="e">
        <f>'All regions'!F4602+"n/&gt;!(ym"</f>
        <v>#VALUE!</v>
      </c>
      <c r="BZ184" t="e">
        <f>'All regions'!G4602+"n/&gt;!(yn"</f>
        <v>#VALUE!</v>
      </c>
      <c r="CA184" t="e">
        <f>'All regions'!H4602+"n/&gt;!(yo"</f>
        <v>#VALUE!</v>
      </c>
      <c r="CB184" t="e">
        <f>'All regions'!I4602+"n/&gt;!(yp"</f>
        <v>#VALUE!</v>
      </c>
      <c r="CC184" t="e">
        <f>'All regions'!J4602+"n/&gt;!(yq"</f>
        <v>#VALUE!</v>
      </c>
      <c r="CD184" t="e">
        <f>'All regions'!A4603+"n/&gt;!(yr"</f>
        <v>#VALUE!</v>
      </c>
      <c r="CE184" t="e">
        <f>'All regions'!B4603+"n/&gt;!(ys"</f>
        <v>#VALUE!</v>
      </c>
      <c r="CF184" t="e">
        <f>'All regions'!C4603+"n/&gt;!(yt"</f>
        <v>#VALUE!</v>
      </c>
      <c r="CG184" t="e">
        <f>'All regions'!D4603+"n/&gt;!(yu"</f>
        <v>#VALUE!</v>
      </c>
      <c r="CH184" t="e">
        <f>'All regions'!E4603+"n/&gt;!(yv"</f>
        <v>#VALUE!</v>
      </c>
      <c r="CI184" t="e">
        <f>'All regions'!F4603+"n/&gt;!(yw"</f>
        <v>#VALUE!</v>
      </c>
      <c r="CJ184" t="e">
        <f>'All regions'!G4603+"n/&gt;!(yx"</f>
        <v>#VALUE!</v>
      </c>
      <c r="CK184" t="e">
        <f>'All regions'!H4603+"n/&gt;!(yy"</f>
        <v>#VALUE!</v>
      </c>
      <c r="CL184" t="e">
        <f>'All regions'!I4603+"n/&gt;!(yz"</f>
        <v>#VALUE!</v>
      </c>
      <c r="CM184" t="e">
        <f>'All regions'!J4603+"n/&gt;!(y{"</f>
        <v>#VALUE!</v>
      </c>
      <c r="CN184" t="e">
        <f>'All regions'!A4604+"n/&gt;!(y|"</f>
        <v>#VALUE!</v>
      </c>
      <c r="CO184" t="e">
        <f>'All regions'!B4604+"n/&gt;!(y}"</f>
        <v>#VALUE!</v>
      </c>
      <c r="CP184" t="e">
        <f>'All regions'!C4604+"n/&gt;!(y~"</f>
        <v>#VALUE!</v>
      </c>
      <c r="CQ184" t="e">
        <f>'All regions'!D4604+"n/&gt;!(z#"</f>
        <v>#VALUE!</v>
      </c>
      <c r="CR184" t="e">
        <f>'All regions'!E4604+"n/&gt;!(z$"</f>
        <v>#VALUE!</v>
      </c>
      <c r="CS184" t="e">
        <f>'All regions'!F4604+"n/&gt;!(z%"</f>
        <v>#VALUE!</v>
      </c>
      <c r="CT184" t="e">
        <f>'All regions'!G4604+"n/&gt;!(z&amp;"</f>
        <v>#VALUE!</v>
      </c>
      <c r="CU184" t="e">
        <f>'All regions'!H4604+"n/&gt;!(z'"</f>
        <v>#VALUE!</v>
      </c>
      <c r="CV184" t="e">
        <f>'All regions'!I4604+"n/&gt;!(z("</f>
        <v>#VALUE!</v>
      </c>
      <c r="CW184" t="e">
        <f>'All regions'!J4604+"n/&gt;!(z)"</f>
        <v>#VALUE!</v>
      </c>
      <c r="CX184" t="e">
        <f>'All regions'!A4605+"n/&gt;!(z."</f>
        <v>#VALUE!</v>
      </c>
      <c r="CY184" t="e">
        <f>'All regions'!B4605+"n/&gt;!(z/"</f>
        <v>#VALUE!</v>
      </c>
      <c r="CZ184" t="e">
        <f>'All regions'!C4605+"n/&gt;!(z0"</f>
        <v>#VALUE!</v>
      </c>
      <c r="DA184" t="e">
        <f>'All regions'!D4605+"n/&gt;!(z1"</f>
        <v>#VALUE!</v>
      </c>
      <c r="DB184" t="e">
        <f>'All regions'!E4605+"n/&gt;!(z2"</f>
        <v>#VALUE!</v>
      </c>
      <c r="DC184" t="e">
        <f>'All regions'!F4605+"n/&gt;!(z3"</f>
        <v>#VALUE!</v>
      </c>
      <c r="DD184" t="e">
        <f>'All regions'!G4605+"n/&gt;!(z4"</f>
        <v>#VALUE!</v>
      </c>
      <c r="DE184" t="e">
        <f>'All regions'!H4605+"n/&gt;!(z5"</f>
        <v>#VALUE!</v>
      </c>
      <c r="DF184" t="e">
        <f>'All regions'!I4605+"n/&gt;!(z6"</f>
        <v>#VALUE!</v>
      </c>
      <c r="DG184" t="e">
        <f>'All regions'!J4605+"n/&gt;!(z7"</f>
        <v>#VALUE!</v>
      </c>
      <c r="DH184" t="e">
        <f>'All regions'!A4606+"n/&gt;!(z8"</f>
        <v>#VALUE!</v>
      </c>
      <c r="DI184" t="e">
        <f>'All regions'!B4606+"n/&gt;!(z9"</f>
        <v>#VALUE!</v>
      </c>
      <c r="DJ184" t="e">
        <f>'All regions'!C4606+"n/&gt;!(z:"</f>
        <v>#VALUE!</v>
      </c>
      <c r="DK184" t="e">
        <f>'All regions'!D4606+"n/&gt;!(z;"</f>
        <v>#VALUE!</v>
      </c>
      <c r="DL184" t="e">
        <f>'All regions'!E4606+"n/&gt;!(z&lt;"</f>
        <v>#VALUE!</v>
      </c>
      <c r="DM184" t="e">
        <f>'All regions'!F4606+"n/&gt;!(z="</f>
        <v>#VALUE!</v>
      </c>
      <c r="DN184" t="e">
        <f>'All regions'!G4606+"n/&gt;!(z&gt;"</f>
        <v>#VALUE!</v>
      </c>
      <c r="DO184" t="e">
        <f>'All regions'!H4606+"n/&gt;!(z?"</f>
        <v>#VALUE!</v>
      </c>
      <c r="DP184" t="e">
        <f>'All regions'!I4606+"n/&gt;!(z@"</f>
        <v>#VALUE!</v>
      </c>
      <c r="DQ184" t="e">
        <f>'All regions'!J4606+"n/&gt;!(zA"</f>
        <v>#VALUE!</v>
      </c>
      <c r="DR184" t="e">
        <f>'All regions'!A4607+"n/&gt;!(zB"</f>
        <v>#VALUE!</v>
      </c>
      <c r="DS184" t="e">
        <f>'All regions'!B4607+"n/&gt;!(zC"</f>
        <v>#VALUE!</v>
      </c>
      <c r="DT184" t="e">
        <f>'All regions'!C4607+"n/&gt;!(zD"</f>
        <v>#VALUE!</v>
      </c>
      <c r="DU184" t="e">
        <f>'All regions'!D4607+"n/&gt;!(zE"</f>
        <v>#VALUE!</v>
      </c>
      <c r="DV184" t="e">
        <f>'All regions'!E4607+"n/&gt;!(zF"</f>
        <v>#VALUE!</v>
      </c>
      <c r="DW184" t="e">
        <f>'All regions'!F4607+"n/&gt;!(zG"</f>
        <v>#VALUE!</v>
      </c>
      <c r="DX184" t="e">
        <f>'All regions'!G4607+"n/&gt;!(zH"</f>
        <v>#VALUE!</v>
      </c>
      <c r="DY184" t="e">
        <f>'All regions'!H4607+"n/&gt;!(zI"</f>
        <v>#VALUE!</v>
      </c>
      <c r="DZ184" t="e">
        <f>'All regions'!I4607+"n/&gt;!(zJ"</f>
        <v>#VALUE!</v>
      </c>
      <c r="EA184" t="e">
        <f>'All regions'!J4607+"n/&gt;!(zK"</f>
        <v>#VALUE!</v>
      </c>
      <c r="EB184" t="e">
        <f>'All regions'!A4608+"n/&gt;!(zL"</f>
        <v>#VALUE!</v>
      </c>
      <c r="EC184" t="e">
        <f>'All regions'!B4608+"n/&gt;!(zM"</f>
        <v>#VALUE!</v>
      </c>
      <c r="ED184" t="e">
        <f>'All regions'!C4608+"n/&gt;!(zN"</f>
        <v>#VALUE!</v>
      </c>
      <c r="EE184" t="e">
        <f>'All regions'!D4608+"n/&gt;!(zO"</f>
        <v>#VALUE!</v>
      </c>
      <c r="EF184" t="e">
        <f>'All regions'!E4608+"n/&gt;!(zP"</f>
        <v>#VALUE!</v>
      </c>
      <c r="EG184" t="e">
        <f>'All regions'!F4608+"n/&gt;!(zQ"</f>
        <v>#VALUE!</v>
      </c>
      <c r="EH184" t="e">
        <f>'All regions'!G4608+"n/&gt;!(zR"</f>
        <v>#VALUE!</v>
      </c>
      <c r="EI184" t="e">
        <f>'All regions'!H4608+"n/&gt;!(zS"</f>
        <v>#VALUE!</v>
      </c>
      <c r="EJ184" t="e">
        <f>'All regions'!I4608+"n/&gt;!(zT"</f>
        <v>#VALUE!</v>
      </c>
      <c r="EK184" t="e">
        <f>'All regions'!J4608+"n/&gt;!(zU"</f>
        <v>#VALUE!</v>
      </c>
      <c r="EL184" t="e">
        <f>'All regions'!A4609+"n/&gt;!(zV"</f>
        <v>#VALUE!</v>
      </c>
      <c r="EM184" t="e">
        <f>'All regions'!B4609+"n/&gt;!(zW"</f>
        <v>#VALUE!</v>
      </c>
      <c r="EN184" t="e">
        <f>'All regions'!C4609+"n/&gt;!(zX"</f>
        <v>#VALUE!</v>
      </c>
      <c r="EO184" t="e">
        <f>'All regions'!D4609+"n/&gt;!(zY"</f>
        <v>#VALUE!</v>
      </c>
      <c r="EP184" t="e">
        <f>'All regions'!E4609+"n/&gt;!(zZ"</f>
        <v>#VALUE!</v>
      </c>
      <c r="EQ184" t="e">
        <f>'All regions'!F4609+"n/&gt;!(z["</f>
        <v>#VALUE!</v>
      </c>
      <c r="ER184" t="e">
        <f>'All regions'!G4609+"n/&gt;!(z\"</f>
        <v>#VALUE!</v>
      </c>
      <c r="ES184" t="e">
        <f>'All regions'!H4609+"n/&gt;!(z]"</f>
        <v>#VALUE!</v>
      </c>
      <c r="ET184" t="e">
        <f>'All regions'!I4609+"n/&gt;!(z^"</f>
        <v>#VALUE!</v>
      </c>
      <c r="EU184" t="e">
        <f>'All regions'!J4609+"n/&gt;!(z_"</f>
        <v>#VALUE!</v>
      </c>
      <c r="EV184" t="e">
        <f>'All regions'!A4610+"n/&gt;!(z`"</f>
        <v>#VALUE!</v>
      </c>
      <c r="EW184" t="e">
        <f>'All regions'!B4610+"n/&gt;!(za"</f>
        <v>#VALUE!</v>
      </c>
      <c r="EX184" t="e">
        <f>'All regions'!C4610+"n/&gt;!(zb"</f>
        <v>#VALUE!</v>
      </c>
      <c r="EY184" t="e">
        <f>'All regions'!D4610+"n/&gt;!(zc"</f>
        <v>#VALUE!</v>
      </c>
      <c r="EZ184" t="e">
        <f>'All regions'!E4610+"n/&gt;!(zd"</f>
        <v>#VALUE!</v>
      </c>
      <c r="FA184" t="e">
        <f>'All regions'!F4610+"n/&gt;!(ze"</f>
        <v>#VALUE!</v>
      </c>
      <c r="FB184" t="e">
        <f>'All regions'!G4610+"n/&gt;!(zf"</f>
        <v>#VALUE!</v>
      </c>
      <c r="FC184" t="e">
        <f>'All regions'!H4610+"n/&gt;!(zg"</f>
        <v>#VALUE!</v>
      </c>
      <c r="FD184" t="e">
        <f>'All regions'!I4610+"n/&gt;!(zh"</f>
        <v>#VALUE!</v>
      </c>
      <c r="FE184" t="e">
        <f>'All regions'!J4610+"n/&gt;!(zi"</f>
        <v>#VALUE!</v>
      </c>
      <c r="FF184" t="e">
        <f>'All regions'!A4611+"n/&gt;!(zj"</f>
        <v>#VALUE!</v>
      </c>
      <c r="FG184" t="e">
        <f>'All regions'!B4611+"n/&gt;!(zk"</f>
        <v>#VALUE!</v>
      </c>
      <c r="FH184" t="e">
        <f>'All regions'!C4611+"n/&gt;!(zl"</f>
        <v>#VALUE!</v>
      </c>
      <c r="FI184" t="e">
        <f>'All regions'!D4611+"n/&gt;!(zm"</f>
        <v>#VALUE!</v>
      </c>
      <c r="FJ184" t="e">
        <f>'All regions'!E4611+"n/&gt;!(zn"</f>
        <v>#VALUE!</v>
      </c>
      <c r="FK184" t="e">
        <f>'All regions'!F4611+"n/&gt;!(zo"</f>
        <v>#VALUE!</v>
      </c>
      <c r="FL184" t="e">
        <f>'All regions'!G4611+"n/&gt;!(zp"</f>
        <v>#VALUE!</v>
      </c>
      <c r="FM184" t="e">
        <f>'All regions'!H4611+"n/&gt;!(zq"</f>
        <v>#VALUE!</v>
      </c>
      <c r="FN184" t="e">
        <f>'All regions'!I4611+"n/&gt;!(zr"</f>
        <v>#VALUE!</v>
      </c>
      <c r="FO184" t="e">
        <f>'All regions'!J4611+"n/&gt;!(zs"</f>
        <v>#VALUE!</v>
      </c>
      <c r="FP184" t="e">
        <f>'All regions'!A4612+"n/&gt;!(zt"</f>
        <v>#VALUE!</v>
      </c>
      <c r="FQ184" t="e">
        <f>'All regions'!B4612+"n/&gt;!(zu"</f>
        <v>#VALUE!</v>
      </c>
      <c r="FR184" t="e">
        <f>'All regions'!C4612+"n/&gt;!(zv"</f>
        <v>#VALUE!</v>
      </c>
      <c r="FS184" t="e">
        <f>'All regions'!D4612+"n/&gt;!(zw"</f>
        <v>#VALUE!</v>
      </c>
      <c r="FT184" t="e">
        <f>'All regions'!E4612+"n/&gt;!(zx"</f>
        <v>#VALUE!</v>
      </c>
      <c r="FU184" t="e">
        <f>'All regions'!F4612+"n/&gt;!(zy"</f>
        <v>#VALUE!</v>
      </c>
      <c r="FV184" t="e">
        <f>'All regions'!G4612+"n/&gt;!(zz"</f>
        <v>#VALUE!</v>
      </c>
      <c r="FW184" t="e">
        <f>'All regions'!H4612+"n/&gt;!(z{"</f>
        <v>#VALUE!</v>
      </c>
      <c r="FX184" t="e">
        <f>'All regions'!I4612+"n/&gt;!(z|"</f>
        <v>#VALUE!</v>
      </c>
      <c r="FY184" t="e">
        <f>'All regions'!J4612+"n/&gt;!(z}"</f>
        <v>#VALUE!</v>
      </c>
      <c r="FZ184" t="e">
        <f>'All regions'!A4613+"n/&gt;!(z~"</f>
        <v>#VALUE!</v>
      </c>
      <c r="GA184" t="e">
        <f>'All regions'!B4613+"n/&gt;!({#"</f>
        <v>#VALUE!</v>
      </c>
      <c r="GB184" t="e">
        <f>'All regions'!C4613+"n/&gt;!({$"</f>
        <v>#VALUE!</v>
      </c>
      <c r="GC184" t="e">
        <f>'All regions'!D4613+"n/&gt;!({%"</f>
        <v>#VALUE!</v>
      </c>
      <c r="GD184" t="e">
        <f>'All regions'!E4613+"n/&gt;!({&amp;"</f>
        <v>#VALUE!</v>
      </c>
      <c r="GE184" t="e">
        <f>'All regions'!F4613+"n/&gt;!({'"</f>
        <v>#VALUE!</v>
      </c>
      <c r="GF184" t="e">
        <f>'All regions'!G4613+"n/&gt;!({("</f>
        <v>#VALUE!</v>
      </c>
      <c r="GG184" t="e">
        <f>'All regions'!H4613+"n/&gt;!({)"</f>
        <v>#VALUE!</v>
      </c>
      <c r="GH184" t="e">
        <f>'All regions'!I4613+"n/&gt;!({."</f>
        <v>#VALUE!</v>
      </c>
      <c r="GI184" t="e">
        <f>'All regions'!J4613+"n/&gt;!({/"</f>
        <v>#VALUE!</v>
      </c>
      <c r="GJ184" t="e">
        <f>'All regions'!A4614+"n/&gt;!({0"</f>
        <v>#VALUE!</v>
      </c>
      <c r="GK184" t="e">
        <f>'All regions'!B4614+"n/&gt;!({1"</f>
        <v>#VALUE!</v>
      </c>
      <c r="GL184" t="e">
        <f>'All regions'!C4614+"n/&gt;!({2"</f>
        <v>#VALUE!</v>
      </c>
      <c r="GM184" t="e">
        <f>'All regions'!D4614+"n/&gt;!({3"</f>
        <v>#VALUE!</v>
      </c>
      <c r="GN184" t="e">
        <f>'All regions'!E4614+"n/&gt;!({4"</f>
        <v>#VALUE!</v>
      </c>
      <c r="GO184" t="e">
        <f>'All regions'!F4614+"n/&gt;!({5"</f>
        <v>#VALUE!</v>
      </c>
      <c r="GP184" t="e">
        <f>'All regions'!G4614+"n/&gt;!({6"</f>
        <v>#VALUE!</v>
      </c>
      <c r="GQ184" t="e">
        <f>'All regions'!H4614+"n/&gt;!({7"</f>
        <v>#VALUE!</v>
      </c>
      <c r="GR184" t="e">
        <f>'All regions'!I4614+"n/&gt;!({8"</f>
        <v>#VALUE!</v>
      </c>
      <c r="GS184" t="e">
        <f>'All regions'!J4614+"n/&gt;!({9"</f>
        <v>#VALUE!</v>
      </c>
      <c r="GT184" t="e">
        <f>'All regions'!A4615+"n/&gt;!({:"</f>
        <v>#VALUE!</v>
      </c>
      <c r="GU184" t="e">
        <f>'All regions'!B4615+"n/&gt;!({;"</f>
        <v>#VALUE!</v>
      </c>
      <c r="GV184" t="e">
        <f>'All regions'!C4615+"n/&gt;!({&lt;"</f>
        <v>#VALUE!</v>
      </c>
      <c r="GW184" t="e">
        <f>'All regions'!D4615+"n/&gt;!({="</f>
        <v>#VALUE!</v>
      </c>
      <c r="GX184" t="e">
        <f>'All regions'!E4615+"n/&gt;!({&gt;"</f>
        <v>#VALUE!</v>
      </c>
      <c r="GY184" t="e">
        <f>'All regions'!F4615+"n/&gt;!({?"</f>
        <v>#VALUE!</v>
      </c>
      <c r="GZ184" t="e">
        <f>'All regions'!G4615+"n/&gt;!({@"</f>
        <v>#VALUE!</v>
      </c>
      <c r="HA184" t="e">
        <f>'All regions'!H4615+"n/&gt;!({A"</f>
        <v>#VALUE!</v>
      </c>
      <c r="HB184" t="e">
        <f>'All regions'!I4615+"n/&gt;!({B"</f>
        <v>#VALUE!</v>
      </c>
      <c r="HC184" t="e">
        <f>'All regions'!J4615+"n/&gt;!({C"</f>
        <v>#VALUE!</v>
      </c>
      <c r="HD184" t="e">
        <f>'All regions'!A4616+"n/&gt;!({D"</f>
        <v>#VALUE!</v>
      </c>
      <c r="HE184" t="e">
        <f>'All regions'!B4616+"n/&gt;!({E"</f>
        <v>#VALUE!</v>
      </c>
      <c r="HF184" t="e">
        <f>'All regions'!C4616+"n/&gt;!({F"</f>
        <v>#VALUE!</v>
      </c>
      <c r="HG184" t="e">
        <f>'All regions'!D4616+"n/&gt;!({G"</f>
        <v>#VALUE!</v>
      </c>
      <c r="HH184" t="e">
        <f>'All regions'!E4616+"n/&gt;!({H"</f>
        <v>#VALUE!</v>
      </c>
      <c r="HI184" t="e">
        <f>'All regions'!F4616+"n/&gt;!({I"</f>
        <v>#VALUE!</v>
      </c>
      <c r="HJ184" t="e">
        <f>'All regions'!G4616+"n/&gt;!({J"</f>
        <v>#VALUE!</v>
      </c>
      <c r="HK184" t="e">
        <f>'All regions'!H4616+"n/&gt;!({K"</f>
        <v>#VALUE!</v>
      </c>
      <c r="HL184" t="e">
        <f>'All regions'!I4616+"n/&gt;!({L"</f>
        <v>#VALUE!</v>
      </c>
      <c r="HM184" t="e">
        <f>'All regions'!J4616+"n/&gt;!({M"</f>
        <v>#VALUE!</v>
      </c>
      <c r="HN184" t="e">
        <f>'All regions'!A4617+"n/&gt;!({N"</f>
        <v>#VALUE!</v>
      </c>
      <c r="HO184" t="e">
        <f>'All regions'!B4617+"n/&gt;!({O"</f>
        <v>#VALUE!</v>
      </c>
      <c r="HP184" t="e">
        <f>'All regions'!C4617+"n/&gt;!({P"</f>
        <v>#VALUE!</v>
      </c>
      <c r="HQ184" t="e">
        <f>'All regions'!D4617+"n/&gt;!({Q"</f>
        <v>#VALUE!</v>
      </c>
      <c r="HR184" t="e">
        <f>'All regions'!E4617+"n/&gt;!({R"</f>
        <v>#VALUE!</v>
      </c>
      <c r="HS184" t="e">
        <f>'All regions'!F4617+"n/&gt;!({S"</f>
        <v>#VALUE!</v>
      </c>
      <c r="HT184" t="e">
        <f>'All regions'!G4617+"n/&gt;!({T"</f>
        <v>#VALUE!</v>
      </c>
      <c r="HU184" t="e">
        <f>'All regions'!H4617+"n/&gt;!({U"</f>
        <v>#VALUE!</v>
      </c>
      <c r="HV184" t="e">
        <f>'All regions'!I4617+"n/&gt;!({V"</f>
        <v>#VALUE!</v>
      </c>
      <c r="HW184" t="e">
        <f>'All regions'!J4617+"n/&gt;!({W"</f>
        <v>#VALUE!</v>
      </c>
      <c r="HX184" t="e">
        <f>'All regions'!A4618+"n/&gt;!({X"</f>
        <v>#VALUE!</v>
      </c>
      <c r="HY184" t="e">
        <f>'All regions'!B4618+"n/&gt;!({Y"</f>
        <v>#VALUE!</v>
      </c>
      <c r="HZ184" t="e">
        <f>'All regions'!C4618+"n/&gt;!({Z"</f>
        <v>#VALUE!</v>
      </c>
      <c r="IA184" t="e">
        <f>'All regions'!D4618+"n/&gt;!({["</f>
        <v>#VALUE!</v>
      </c>
      <c r="IB184" t="e">
        <f>'All regions'!E4618+"n/&gt;!({\"</f>
        <v>#VALUE!</v>
      </c>
      <c r="IC184" t="e">
        <f>'All regions'!F4618+"n/&gt;!({]"</f>
        <v>#VALUE!</v>
      </c>
      <c r="ID184" t="e">
        <f>'All regions'!G4618+"n/&gt;!({^"</f>
        <v>#VALUE!</v>
      </c>
      <c r="IE184" t="e">
        <f>'All regions'!H4618+"n/&gt;!({_"</f>
        <v>#VALUE!</v>
      </c>
      <c r="IF184" t="e">
        <f>'All regions'!I4618+"n/&gt;!({`"</f>
        <v>#VALUE!</v>
      </c>
      <c r="IG184" t="e">
        <f>'All regions'!J4618+"n/&gt;!({a"</f>
        <v>#VALUE!</v>
      </c>
      <c r="IH184" t="e">
        <f>'All regions'!A4619+"n/&gt;!({b"</f>
        <v>#VALUE!</v>
      </c>
      <c r="II184" t="e">
        <f>'All regions'!B4619+"n/&gt;!({c"</f>
        <v>#VALUE!</v>
      </c>
      <c r="IJ184" t="e">
        <f>'All regions'!C4619+"n/&gt;!({d"</f>
        <v>#VALUE!</v>
      </c>
      <c r="IK184" t="e">
        <f>'All regions'!D4619+"n/&gt;!({e"</f>
        <v>#VALUE!</v>
      </c>
      <c r="IL184" t="e">
        <f>'All regions'!E4619+"n/&gt;!({f"</f>
        <v>#VALUE!</v>
      </c>
      <c r="IM184" t="e">
        <f>'All regions'!F4619+"n/&gt;!({g"</f>
        <v>#VALUE!</v>
      </c>
      <c r="IN184" t="e">
        <f>'All regions'!G4619+"n/&gt;!({h"</f>
        <v>#VALUE!</v>
      </c>
      <c r="IO184" t="e">
        <f>'All regions'!H4619+"n/&gt;!({i"</f>
        <v>#VALUE!</v>
      </c>
      <c r="IP184" t="e">
        <f>'All regions'!I4619+"n/&gt;!({j"</f>
        <v>#VALUE!</v>
      </c>
      <c r="IQ184" t="e">
        <f>'All regions'!J4619+"n/&gt;!({k"</f>
        <v>#VALUE!</v>
      </c>
      <c r="IR184" t="e">
        <f>'All regions'!A4620+"n/&gt;!({l"</f>
        <v>#VALUE!</v>
      </c>
      <c r="IS184" t="e">
        <f>'All regions'!B4620+"n/&gt;!({m"</f>
        <v>#VALUE!</v>
      </c>
      <c r="IT184" t="e">
        <f>'All regions'!C4620+"n/&gt;!({n"</f>
        <v>#VALUE!</v>
      </c>
      <c r="IU184" t="e">
        <f>'All regions'!D4620+"n/&gt;!({o"</f>
        <v>#VALUE!</v>
      </c>
      <c r="IV184" t="e">
        <f>'All regions'!E4620+"n/&gt;!({p"</f>
        <v>#VALUE!</v>
      </c>
    </row>
    <row r="185" spans="6:256" x14ac:dyDescent="0.35">
      <c r="F185" t="e">
        <f>'All regions'!F4620+"n/&gt;!({q"</f>
        <v>#VALUE!</v>
      </c>
      <c r="G185" t="e">
        <f>'All regions'!G4620+"n/&gt;!({r"</f>
        <v>#VALUE!</v>
      </c>
      <c r="H185" t="e">
        <f>'All regions'!H4620+"n/&gt;!({s"</f>
        <v>#VALUE!</v>
      </c>
      <c r="I185" t="e">
        <f>'All regions'!I4620+"n/&gt;!({t"</f>
        <v>#VALUE!</v>
      </c>
      <c r="J185" t="e">
        <f>'All regions'!J4620+"n/&gt;!({u"</f>
        <v>#VALUE!</v>
      </c>
      <c r="K185" t="e">
        <f>'All regions'!A4621+"n/&gt;!({v"</f>
        <v>#VALUE!</v>
      </c>
      <c r="L185" t="e">
        <f>'All regions'!B4621+"n/&gt;!({w"</f>
        <v>#VALUE!</v>
      </c>
      <c r="M185" t="e">
        <f>'All regions'!C4621+"n/&gt;!({x"</f>
        <v>#VALUE!</v>
      </c>
      <c r="N185" t="e">
        <f>'All regions'!D4621+"n/&gt;!({y"</f>
        <v>#VALUE!</v>
      </c>
      <c r="O185" t="e">
        <f>'All regions'!E4621+"n/&gt;!({z"</f>
        <v>#VALUE!</v>
      </c>
      <c r="P185" t="e">
        <f>'All regions'!F4621+"n/&gt;!({{"</f>
        <v>#VALUE!</v>
      </c>
      <c r="Q185" t="e">
        <f>'All regions'!G4621+"n/&gt;!({|"</f>
        <v>#VALUE!</v>
      </c>
      <c r="R185" t="e">
        <f>'All regions'!H4621+"n/&gt;!({}"</f>
        <v>#VALUE!</v>
      </c>
      <c r="S185" t="e">
        <f>'All regions'!I4621+"n/&gt;!({~"</f>
        <v>#VALUE!</v>
      </c>
      <c r="T185" t="e">
        <f>'All regions'!J4621+"n/&gt;!(|#"</f>
        <v>#VALUE!</v>
      </c>
      <c r="U185" t="e">
        <f>'All regions'!A4622+"n/&gt;!(|$"</f>
        <v>#VALUE!</v>
      </c>
      <c r="V185" t="e">
        <f>'All regions'!B4622+"n/&gt;!(|%"</f>
        <v>#VALUE!</v>
      </c>
      <c r="W185" t="e">
        <f>'All regions'!C4622+"n/&gt;!(|&amp;"</f>
        <v>#VALUE!</v>
      </c>
      <c r="X185" t="e">
        <f>'All regions'!D4622+"n/&gt;!(|'"</f>
        <v>#VALUE!</v>
      </c>
      <c r="Y185" t="e">
        <f>'All regions'!E4622+"n/&gt;!(|("</f>
        <v>#VALUE!</v>
      </c>
      <c r="Z185" t="e">
        <f>'All regions'!F4622+"n/&gt;!(|)"</f>
        <v>#VALUE!</v>
      </c>
      <c r="AA185" t="e">
        <f>'All regions'!G4622+"n/&gt;!(|."</f>
        <v>#VALUE!</v>
      </c>
      <c r="AB185" t="e">
        <f>'All regions'!H4622+"n/&gt;!(|/"</f>
        <v>#VALUE!</v>
      </c>
      <c r="AC185" t="e">
        <f>'All regions'!I4622+"n/&gt;!(|0"</f>
        <v>#VALUE!</v>
      </c>
      <c r="AD185" t="e">
        <f>'All regions'!J4622+"n/&gt;!(|1"</f>
        <v>#VALUE!</v>
      </c>
      <c r="AE185" t="e">
        <f>'All regions'!A4623+"n/&gt;!(|2"</f>
        <v>#VALUE!</v>
      </c>
      <c r="AF185" t="e">
        <f>'All regions'!B4623+"n/&gt;!(|3"</f>
        <v>#VALUE!</v>
      </c>
      <c r="AG185" t="e">
        <f>'All regions'!C4623+"n/&gt;!(|4"</f>
        <v>#VALUE!</v>
      </c>
      <c r="AH185" t="e">
        <f>'All regions'!D4623+"n/&gt;!(|5"</f>
        <v>#VALUE!</v>
      </c>
      <c r="AI185" t="e">
        <f>'All regions'!E4623+"n/&gt;!(|6"</f>
        <v>#VALUE!</v>
      </c>
      <c r="AJ185" t="e">
        <f>'All regions'!F4623+"n/&gt;!(|7"</f>
        <v>#VALUE!</v>
      </c>
      <c r="AK185" t="e">
        <f>'All regions'!G4623+"n/&gt;!(|8"</f>
        <v>#VALUE!</v>
      </c>
      <c r="AL185" t="e">
        <f>'All regions'!H4623+"n/&gt;!(|9"</f>
        <v>#VALUE!</v>
      </c>
      <c r="AM185" t="e">
        <f>'All regions'!I4623+"n/&gt;!(|:"</f>
        <v>#VALUE!</v>
      </c>
      <c r="AN185" t="e">
        <f>'All regions'!J4623+"n/&gt;!(|;"</f>
        <v>#VALUE!</v>
      </c>
      <c r="AO185" t="e">
        <f>'All regions'!A4624+"n/&gt;!(|&lt;"</f>
        <v>#VALUE!</v>
      </c>
      <c r="AP185" t="e">
        <f>'All regions'!B4624+"n/&gt;!(|="</f>
        <v>#VALUE!</v>
      </c>
      <c r="AQ185" t="e">
        <f>'All regions'!C4624+"n/&gt;!(|&gt;"</f>
        <v>#VALUE!</v>
      </c>
      <c r="AR185" t="e">
        <f>'All regions'!D4624+"n/&gt;!(|?"</f>
        <v>#VALUE!</v>
      </c>
      <c r="AS185" t="e">
        <f>'All regions'!E4624+"n/&gt;!(|@"</f>
        <v>#VALUE!</v>
      </c>
      <c r="AT185" t="e">
        <f>'All regions'!F4624+"n/&gt;!(|A"</f>
        <v>#VALUE!</v>
      </c>
      <c r="AU185" t="e">
        <f>'All regions'!G4624+"n/&gt;!(|B"</f>
        <v>#VALUE!</v>
      </c>
      <c r="AV185" t="e">
        <f>'All regions'!H4624+"n/&gt;!(|C"</f>
        <v>#VALUE!</v>
      </c>
      <c r="AW185" t="e">
        <f>'All regions'!I4624+"n/&gt;!(|D"</f>
        <v>#VALUE!</v>
      </c>
      <c r="AX185" t="e">
        <f>'All regions'!J4624+"n/&gt;!(|E"</f>
        <v>#VALUE!</v>
      </c>
      <c r="AY185" t="e">
        <f>'All regions'!A4625+"n/&gt;!(|F"</f>
        <v>#VALUE!</v>
      </c>
      <c r="AZ185" t="e">
        <f>'All regions'!B4625+"n/&gt;!(|G"</f>
        <v>#VALUE!</v>
      </c>
      <c r="BA185" t="e">
        <f>'All regions'!C4625+"n/&gt;!(|H"</f>
        <v>#VALUE!</v>
      </c>
      <c r="BB185" t="e">
        <f>'All regions'!D4625+"n/&gt;!(|I"</f>
        <v>#VALUE!</v>
      </c>
      <c r="BC185" t="e">
        <f>'All regions'!E4625+"n/&gt;!(|J"</f>
        <v>#VALUE!</v>
      </c>
      <c r="BD185" t="e">
        <f>'All regions'!F4625+"n/&gt;!(|K"</f>
        <v>#VALUE!</v>
      </c>
      <c r="BE185" t="e">
        <f>'All regions'!G4625+"n/&gt;!(|L"</f>
        <v>#VALUE!</v>
      </c>
      <c r="BF185" t="e">
        <f>'All regions'!H4625+"n/&gt;!(|M"</f>
        <v>#VALUE!</v>
      </c>
      <c r="BG185" t="e">
        <f>'All regions'!I4625+"n/&gt;!(|N"</f>
        <v>#VALUE!</v>
      </c>
      <c r="BH185" t="e">
        <f>'All regions'!J4625+"n/&gt;!(|O"</f>
        <v>#VALUE!</v>
      </c>
      <c r="BI185" t="e">
        <f>'All regions'!A4626+"n/&gt;!(|P"</f>
        <v>#VALUE!</v>
      </c>
      <c r="BJ185" t="e">
        <f>'All regions'!B4626+"n/&gt;!(|Q"</f>
        <v>#VALUE!</v>
      </c>
      <c r="BK185" t="e">
        <f>'All regions'!C4626+"n/&gt;!(|R"</f>
        <v>#VALUE!</v>
      </c>
      <c r="BL185" t="e">
        <f>'All regions'!D4626+"n/&gt;!(|S"</f>
        <v>#VALUE!</v>
      </c>
      <c r="BM185" t="e">
        <f>'All regions'!E4626+"n/&gt;!(|T"</f>
        <v>#VALUE!</v>
      </c>
      <c r="BN185" t="e">
        <f>'All regions'!F4626+"n/&gt;!(|U"</f>
        <v>#VALUE!</v>
      </c>
      <c r="BO185" t="e">
        <f>'All regions'!G4626+"n/&gt;!(|V"</f>
        <v>#VALUE!</v>
      </c>
      <c r="BP185" t="e">
        <f>'All regions'!H4626+"n/&gt;!(|W"</f>
        <v>#VALUE!</v>
      </c>
      <c r="BQ185" t="e">
        <f>'All regions'!I4626+"n/&gt;!(|X"</f>
        <v>#VALUE!</v>
      </c>
      <c r="BR185" t="e">
        <f>'All regions'!J4626+"n/&gt;!(|Y"</f>
        <v>#VALUE!</v>
      </c>
      <c r="BS185" t="e">
        <f>'All regions'!A4627+"n/&gt;!(|Z"</f>
        <v>#VALUE!</v>
      </c>
      <c r="BT185" t="e">
        <f>'All regions'!B4627+"n/&gt;!(|["</f>
        <v>#VALUE!</v>
      </c>
      <c r="BU185" t="e">
        <f>'All regions'!C4627+"n/&gt;!(|\"</f>
        <v>#VALUE!</v>
      </c>
      <c r="BV185" t="e">
        <f>'All regions'!D4627+"n/&gt;!(|]"</f>
        <v>#VALUE!</v>
      </c>
      <c r="BW185" t="e">
        <f>'All regions'!E4627+"n/&gt;!(|^"</f>
        <v>#VALUE!</v>
      </c>
      <c r="BX185" t="e">
        <f>'All regions'!F4627+"n/&gt;!(|_"</f>
        <v>#VALUE!</v>
      </c>
      <c r="BY185" t="e">
        <f>'All regions'!G4627+"n/&gt;!(|`"</f>
        <v>#VALUE!</v>
      </c>
      <c r="BZ185" t="e">
        <f>'All regions'!H4627+"n/&gt;!(|a"</f>
        <v>#VALUE!</v>
      </c>
      <c r="CA185" t="e">
        <f>'All regions'!I4627+"n/&gt;!(|b"</f>
        <v>#VALUE!</v>
      </c>
      <c r="CB185" t="e">
        <f>'All regions'!J4627+"n/&gt;!(|c"</f>
        <v>#VALUE!</v>
      </c>
      <c r="CC185" t="e">
        <f>'All regions'!A4628+"n/&gt;!(|d"</f>
        <v>#VALUE!</v>
      </c>
      <c r="CD185" t="e">
        <f>'All regions'!B4628+"n/&gt;!(|e"</f>
        <v>#VALUE!</v>
      </c>
      <c r="CE185" t="e">
        <f>'All regions'!C4628+"n/&gt;!(|f"</f>
        <v>#VALUE!</v>
      </c>
      <c r="CF185" t="e">
        <f>'All regions'!D4628+"n/&gt;!(|g"</f>
        <v>#VALUE!</v>
      </c>
      <c r="CG185" t="e">
        <f>'All regions'!E4628+"n/&gt;!(|h"</f>
        <v>#VALUE!</v>
      </c>
      <c r="CH185" t="e">
        <f>'All regions'!F4628+"n/&gt;!(|i"</f>
        <v>#VALUE!</v>
      </c>
      <c r="CI185" t="e">
        <f>'All regions'!G4628+"n/&gt;!(|j"</f>
        <v>#VALUE!</v>
      </c>
      <c r="CJ185" t="e">
        <f>'All regions'!H4628+"n/&gt;!(|k"</f>
        <v>#VALUE!</v>
      </c>
      <c r="CK185" t="e">
        <f>'All regions'!I4628+"n/&gt;!(|l"</f>
        <v>#VALUE!</v>
      </c>
      <c r="CL185" t="e">
        <f>'All regions'!J4628+"n/&gt;!(|m"</f>
        <v>#VALUE!</v>
      </c>
      <c r="CM185" t="e">
        <f>'All regions'!A4629+"n/&gt;!(|n"</f>
        <v>#VALUE!</v>
      </c>
      <c r="CN185" t="e">
        <f>'All regions'!B4629+"n/&gt;!(|o"</f>
        <v>#VALUE!</v>
      </c>
      <c r="CO185" t="e">
        <f>'All regions'!C4629+"n/&gt;!(|p"</f>
        <v>#VALUE!</v>
      </c>
      <c r="CP185" t="e">
        <f>'All regions'!D4629+"n/&gt;!(|q"</f>
        <v>#VALUE!</v>
      </c>
      <c r="CQ185" t="e">
        <f>'All regions'!E4629+"n/&gt;!(|r"</f>
        <v>#VALUE!</v>
      </c>
      <c r="CR185" t="e">
        <f>'All regions'!F4629+"n/&gt;!(|s"</f>
        <v>#VALUE!</v>
      </c>
      <c r="CS185" t="e">
        <f>'All regions'!G4629+"n/&gt;!(|t"</f>
        <v>#VALUE!</v>
      </c>
      <c r="CT185" t="e">
        <f>'All regions'!H4629+"n/&gt;!(|u"</f>
        <v>#VALUE!</v>
      </c>
      <c r="CU185" t="e">
        <f>'All regions'!I4629+"n/&gt;!(|v"</f>
        <v>#VALUE!</v>
      </c>
      <c r="CV185" t="e">
        <f>'All regions'!J4629+"n/&gt;!(|w"</f>
        <v>#VALUE!</v>
      </c>
      <c r="CW185" t="e">
        <f>'All regions'!A4630+"n/&gt;!(|x"</f>
        <v>#VALUE!</v>
      </c>
      <c r="CX185" t="e">
        <f>'All regions'!B4630+"n/&gt;!(|y"</f>
        <v>#VALUE!</v>
      </c>
      <c r="CY185" t="e">
        <f>'All regions'!C4630+"n/&gt;!(|z"</f>
        <v>#VALUE!</v>
      </c>
      <c r="CZ185" t="e">
        <f>'All regions'!D4630+"n/&gt;!(|{"</f>
        <v>#VALUE!</v>
      </c>
      <c r="DA185" t="e">
        <f>'All regions'!E4630+"n/&gt;!(||"</f>
        <v>#VALUE!</v>
      </c>
      <c r="DB185" t="e">
        <f>'All regions'!F4630+"n/&gt;!(|}"</f>
        <v>#VALUE!</v>
      </c>
      <c r="DC185" t="e">
        <f>'All regions'!G4630+"n/&gt;!(|~"</f>
        <v>#VALUE!</v>
      </c>
      <c r="DD185" t="e">
        <f>'All regions'!H4630+"n/&gt;!(}#"</f>
        <v>#VALUE!</v>
      </c>
      <c r="DE185" t="e">
        <f>'All regions'!I4630+"n/&gt;!(}$"</f>
        <v>#VALUE!</v>
      </c>
      <c r="DF185" t="e">
        <f>'All regions'!J4630+"n/&gt;!(}%"</f>
        <v>#VALUE!</v>
      </c>
      <c r="DG185" t="e">
        <f>'All regions'!A4631+"n/&gt;!(}&amp;"</f>
        <v>#VALUE!</v>
      </c>
      <c r="DH185" t="e">
        <f>'All regions'!B4631+"n/&gt;!(}'"</f>
        <v>#VALUE!</v>
      </c>
      <c r="DI185" t="e">
        <f>'All regions'!C4631+"n/&gt;!(}("</f>
        <v>#VALUE!</v>
      </c>
      <c r="DJ185" t="e">
        <f>'All regions'!D4631+"n/&gt;!(})"</f>
        <v>#VALUE!</v>
      </c>
      <c r="DK185" t="e">
        <f>'All regions'!E4631+"n/&gt;!(}."</f>
        <v>#VALUE!</v>
      </c>
      <c r="DL185" t="e">
        <f>'All regions'!F4631+"n/&gt;!(}/"</f>
        <v>#VALUE!</v>
      </c>
      <c r="DM185" t="e">
        <f>'All regions'!G4631+"n/&gt;!(}0"</f>
        <v>#VALUE!</v>
      </c>
      <c r="DN185" t="e">
        <f>'All regions'!H4631+"n/&gt;!(}1"</f>
        <v>#VALUE!</v>
      </c>
      <c r="DO185" t="e">
        <f>'All regions'!I4631+"n/&gt;!(}2"</f>
        <v>#VALUE!</v>
      </c>
      <c r="DP185" t="e">
        <f>'All regions'!J4631+"n/&gt;!(}3"</f>
        <v>#VALUE!</v>
      </c>
      <c r="DQ185" t="e">
        <f>'All regions'!A4632+"n/&gt;!(}4"</f>
        <v>#VALUE!</v>
      </c>
      <c r="DR185" t="e">
        <f>'All regions'!B4632+"n/&gt;!(}5"</f>
        <v>#VALUE!</v>
      </c>
      <c r="DS185" t="e">
        <f>'All regions'!C4632+"n/&gt;!(}6"</f>
        <v>#VALUE!</v>
      </c>
      <c r="DT185" t="e">
        <f>'All regions'!D4632+"n/&gt;!(}7"</f>
        <v>#VALUE!</v>
      </c>
      <c r="DU185" t="e">
        <f>'All regions'!E4632+"n/&gt;!(}8"</f>
        <v>#VALUE!</v>
      </c>
      <c r="DV185" t="e">
        <f>'All regions'!F4632+"n/&gt;!(}9"</f>
        <v>#VALUE!</v>
      </c>
      <c r="DW185" t="e">
        <f>'All regions'!G4632+"n/&gt;!(}:"</f>
        <v>#VALUE!</v>
      </c>
      <c r="DX185" t="e">
        <f>'All regions'!H4632+"n/&gt;!(};"</f>
        <v>#VALUE!</v>
      </c>
      <c r="DY185" t="e">
        <f>'All regions'!I4632+"n/&gt;!(}&lt;"</f>
        <v>#VALUE!</v>
      </c>
      <c r="DZ185" t="e">
        <f>'All regions'!J4632+"n/&gt;!(}="</f>
        <v>#VALUE!</v>
      </c>
      <c r="EA185" t="e">
        <f>'All regions'!A4633+"n/&gt;!(}&gt;"</f>
        <v>#VALUE!</v>
      </c>
      <c r="EB185" t="e">
        <f>'All regions'!B4633+"n/&gt;!(}?"</f>
        <v>#VALUE!</v>
      </c>
      <c r="EC185" t="e">
        <f>'All regions'!C4633+"n/&gt;!(}@"</f>
        <v>#VALUE!</v>
      </c>
      <c r="ED185" t="e">
        <f>'All regions'!D4633+"n/&gt;!(}A"</f>
        <v>#VALUE!</v>
      </c>
      <c r="EE185" t="e">
        <f>'All regions'!E4633+"n/&gt;!(}B"</f>
        <v>#VALUE!</v>
      </c>
      <c r="EF185" t="e">
        <f>'All regions'!F4633+"n/&gt;!(}C"</f>
        <v>#VALUE!</v>
      </c>
      <c r="EG185" t="e">
        <f>'All regions'!G4633+"n/&gt;!(}D"</f>
        <v>#VALUE!</v>
      </c>
      <c r="EH185" t="e">
        <f>'All regions'!H4633+"n/&gt;!(}E"</f>
        <v>#VALUE!</v>
      </c>
      <c r="EI185" t="e">
        <f>'All regions'!I4633+"n/&gt;!(}F"</f>
        <v>#VALUE!</v>
      </c>
      <c r="EJ185" t="e">
        <f>'All regions'!J4633+"n/&gt;!(}G"</f>
        <v>#VALUE!</v>
      </c>
      <c r="EK185" t="e">
        <f>'All regions'!A4634+"n/&gt;!(}H"</f>
        <v>#VALUE!</v>
      </c>
      <c r="EL185" t="e">
        <f>'All regions'!B4634+"n/&gt;!(}I"</f>
        <v>#VALUE!</v>
      </c>
      <c r="EM185" t="e">
        <f>'All regions'!C4634+"n/&gt;!(}J"</f>
        <v>#VALUE!</v>
      </c>
      <c r="EN185" t="e">
        <f>'All regions'!D4634+"n/&gt;!(}K"</f>
        <v>#VALUE!</v>
      </c>
      <c r="EO185" t="e">
        <f>'All regions'!E4634+"n/&gt;!(}L"</f>
        <v>#VALUE!</v>
      </c>
      <c r="EP185" t="e">
        <f>'All regions'!F4634+"n/&gt;!(}M"</f>
        <v>#VALUE!</v>
      </c>
      <c r="EQ185" t="e">
        <f>'All regions'!G4634+"n/&gt;!(}N"</f>
        <v>#VALUE!</v>
      </c>
      <c r="ER185" t="e">
        <f>'All regions'!H4634+"n/&gt;!(}O"</f>
        <v>#VALUE!</v>
      </c>
      <c r="ES185" t="e">
        <f>'All regions'!I4634+"n/&gt;!(}P"</f>
        <v>#VALUE!</v>
      </c>
      <c r="ET185" t="e">
        <f>'All regions'!J4634+"n/&gt;!(}Q"</f>
        <v>#VALUE!</v>
      </c>
      <c r="EU185" t="e">
        <f>'All regions'!A4635+"n/&gt;!(}R"</f>
        <v>#VALUE!</v>
      </c>
      <c r="EV185" t="e">
        <f>'All regions'!B4635+"n/&gt;!(}S"</f>
        <v>#VALUE!</v>
      </c>
      <c r="EW185" t="e">
        <f>'All regions'!C4635+"n/&gt;!(}T"</f>
        <v>#VALUE!</v>
      </c>
      <c r="EX185" t="e">
        <f>'All regions'!D4635+"n/&gt;!(}U"</f>
        <v>#VALUE!</v>
      </c>
      <c r="EY185" t="e">
        <f>'All regions'!E4635+"n/&gt;!(}V"</f>
        <v>#VALUE!</v>
      </c>
      <c r="EZ185" t="e">
        <f>'All regions'!F4635+"n/&gt;!(}W"</f>
        <v>#VALUE!</v>
      </c>
      <c r="FA185" t="e">
        <f>'All regions'!G4635+"n/&gt;!(}X"</f>
        <v>#VALUE!</v>
      </c>
      <c r="FB185" t="e">
        <f>'All regions'!H4635+"n/&gt;!(}Y"</f>
        <v>#VALUE!</v>
      </c>
      <c r="FC185" t="e">
        <f>'All regions'!I4635+"n/&gt;!(}Z"</f>
        <v>#VALUE!</v>
      </c>
      <c r="FD185" t="e">
        <f>'All regions'!J4635+"n/&gt;!(}["</f>
        <v>#VALUE!</v>
      </c>
      <c r="FE185" t="e">
        <f>'All regions'!A4636+"n/&gt;!(}\"</f>
        <v>#VALUE!</v>
      </c>
      <c r="FF185" t="e">
        <f>'All regions'!B4636+"n/&gt;!(}]"</f>
        <v>#VALUE!</v>
      </c>
      <c r="FG185" t="e">
        <f>'All regions'!C4636+"n/&gt;!(}^"</f>
        <v>#VALUE!</v>
      </c>
      <c r="FH185" t="e">
        <f>'All regions'!D4636+"n/&gt;!(}_"</f>
        <v>#VALUE!</v>
      </c>
      <c r="FI185" t="e">
        <f>'All regions'!E4636+"n/&gt;!(}`"</f>
        <v>#VALUE!</v>
      </c>
      <c r="FJ185" t="e">
        <f>'All regions'!F4636+"n/&gt;!(}a"</f>
        <v>#VALUE!</v>
      </c>
      <c r="FK185" t="e">
        <f>'All regions'!G4636+"n/&gt;!(}b"</f>
        <v>#VALUE!</v>
      </c>
      <c r="FL185" t="e">
        <f>'All regions'!H4636+"n/&gt;!(}c"</f>
        <v>#VALUE!</v>
      </c>
      <c r="FM185" t="e">
        <f>'All regions'!I4636+"n/&gt;!(}d"</f>
        <v>#VALUE!</v>
      </c>
      <c r="FN185" t="e">
        <f>'All regions'!J4636+"n/&gt;!(}e"</f>
        <v>#VALUE!</v>
      </c>
      <c r="FO185" t="e">
        <f>'All regions'!A4637+"n/&gt;!(}f"</f>
        <v>#VALUE!</v>
      </c>
      <c r="FP185" t="e">
        <f>'All regions'!B4637+"n/&gt;!(}g"</f>
        <v>#VALUE!</v>
      </c>
      <c r="FQ185" t="e">
        <f>'All regions'!C4637+"n/&gt;!(}h"</f>
        <v>#VALUE!</v>
      </c>
      <c r="FR185" t="e">
        <f>'All regions'!D4637+"n/&gt;!(}i"</f>
        <v>#VALUE!</v>
      </c>
      <c r="FS185" t="e">
        <f>'All regions'!E4637+"n/&gt;!(}j"</f>
        <v>#VALUE!</v>
      </c>
      <c r="FT185" t="e">
        <f>'All regions'!F4637+"n/&gt;!(}k"</f>
        <v>#VALUE!</v>
      </c>
      <c r="FU185" t="e">
        <f>'All regions'!G4637+"n/&gt;!(}l"</f>
        <v>#VALUE!</v>
      </c>
      <c r="FV185" t="e">
        <f>'All regions'!H4637+"n/&gt;!(}m"</f>
        <v>#VALUE!</v>
      </c>
      <c r="FW185" t="e">
        <f>'All regions'!I4637+"n/&gt;!(}n"</f>
        <v>#VALUE!</v>
      </c>
      <c r="FX185" t="e">
        <f>'All regions'!J4637+"n/&gt;!(}o"</f>
        <v>#VALUE!</v>
      </c>
      <c r="FY185" t="e">
        <f>'All regions'!A4638+"n/&gt;!(}p"</f>
        <v>#VALUE!</v>
      </c>
      <c r="FZ185" t="e">
        <f>'All regions'!B4638+"n/&gt;!(}q"</f>
        <v>#VALUE!</v>
      </c>
      <c r="GA185" t="e">
        <f>'All regions'!C4638+"n/&gt;!(}r"</f>
        <v>#VALUE!</v>
      </c>
      <c r="GB185" t="e">
        <f>'All regions'!D4638+"n/&gt;!(}s"</f>
        <v>#VALUE!</v>
      </c>
      <c r="GC185" t="e">
        <f>'All regions'!E4638+"n/&gt;!(}t"</f>
        <v>#VALUE!</v>
      </c>
      <c r="GD185" t="e">
        <f>'All regions'!F4638+"n/&gt;!(}u"</f>
        <v>#VALUE!</v>
      </c>
      <c r="GE185" t="e">
        <f>'All regions'!G4638+"n/&gt;!(}v"</f>
        <v>#VALUE!</v>
      </c>
      <c r="GF185" t="e">
        <f>'All regions'!H4638+"n/&gt;!(}w"</f>
        <v>#VALUE!</v>
      </c>
      <c r="GG185" t="e">
        <f>'All regions'!I4638+"n/&gt;!(}x"</f>
        <v>#VALUE!</v>
      </c>
      <c r="GH185" t="e">
        <f>'All regions'!J4638+"n/&gt;!(}y"</f>
        <v>#VALUE!</v>
      </c>
      <c r="GI185" t="e">
        <f>'All regions'!A4639+"n/&gt;!(}z"</f>
        <v>#VALUE!</v>
      </c>
      <c r="GJ185" t="e">
        <f>'All regions'!B4639+"n/&gt;!(}{"</f>
        <v>#VALUE!</v>
      </c>
      <c r="GK185" t="e">
        <f>'All regions'!C4639+"n/&gt;!(}|"</f>
        <v>#VALUE!</v>
      </c>
      <c r="GL185" t="e">
        <f>'All regions'!D4639+"n/&gt;!(}}"</f>
        <v>#VALUE!</v>
      </c>
      <c r="GM185" t="e">
        <f>'All regions'!E4639+"n/&gt;!(}~"</f>
        <v>#VALUE!</v>
      </c>
      <c r="GN185" t="e">
        <f>'All regions'!F4639+"n/&gt;!(~#"</f>
        <v>#VALUE!</v>
      </c>
      <c r="GO185" t="e">
        <f>'All regions'!G4639+"n/&gt;!(~$"</f>
        <v>#VALUE!</v>
      </c>
      <c r="GP185" t="e">
        <f>'All regions'!H4639+"n/&gt;!(~%"</f>
        <v>#VALUE!</v>
      </c>
      <c r="GQ185" t="e">
        <f>'All regions'!I4639+"n/&gt;!(~&amp;"</f>
        <v>#VALUE!</v>
      </c>
      <c r="GR185" t="e">
        <f>'All regions'!J4639+"n/&gt;!(~'"</f>
        <v>#VALUE!</v>
      </c>
      <c r="GS185" t="e">
        <f>'All regions'!A4640+"n/&gt;!(~("</f>
        <v>#VALUE!</v>
      </c>
      <c r="GT185" t="e">
        <f>'All regions'!B4640+"n/&gt;!(~)"</f>
        <v>#VALUE!</v>
      </c>
      <c r="GU185" t="e">
        <f>'All regions'!C4640+"n/&gt;!(~."</f>
        <v>#VALUE!</v>
      </c>
      <c r="GV185" t="e">
        <f>'All regions'!D4640+"n/&gt;!(~/"</f>
        <v>#VALUE!</v>
      </c>
      <c r="GW185" t="e">
        <f>'All regions'!E4640+"n/&gt;!(~0"</f>
        <v>#VALUE!</v>
      </c>
      <c r="GX185" t="e">
        <f>'All regions'!F4640+"n/&gt;!(~1"</f>
        <v>#VALUE!</v>
      </c>
      <c r="GY185" t="e">
        <f>'All regions'!G4640+"n/&gt;!(~2"</f>
        <v>#VALUE!</v>
      </c>
      <c r="GZ185" t="e">
        <f>'All regions'!H4640+"n/&gt;!(~3"</f>
        <v>#VALUE!</v>
      </c>
      <c r="HA185" t="e">
        <f>'All regions'!I4640+"n/&gt;!(~4"</f>
        <v>#VALUE!</v>
      </c>
      <c r="HB185" t="e">
        <f>'All regions'!J4640+"n/&gt;!(~5"</f>
        <v>#VALUE!</v>
      </c>
      <c r="HC185" t="e">
        <f>'All regions'!A4641+"n/&gt;!(~6"</f>
        <v>#VALUE!</v>
      </c>
      <c r="HD185" t="e">
        <f>'All regions'!B4641+"n/&gt;!(~7"</f>
        <v>#VALUE!</v>
      </c>
      <c r="HE185" t="e">
        <f>'All regions'!C4641+"n/&gt;!(~8"</f>
        <v>#VALUE!</v>
      </c>
      <c r="HF185" t="e">
        <f>'All regions'!D4641+"n/&gt;!(~9"</f>
        <v>#VALUE!</v>
      </c>
      <c r="HG185" t="e">
        <f>'All regions'!E4641+"n/&gt;!(~:"</f>
        <v>#VALUE!</v>
      </c>
      <c r="HH185" t="e">
        <f>'All regions'!F4641+"n/&gt;!(~;"</f>
        <v>#VALUE!</v>
      </c>
      <c r="HI185" t="e">
        <f>'All regions'!G4641+"n/&gt;!(~&lt;"</f>
        <v>#VALUE!</v>
      </c>
      <c r="HJ185" t="e">
        <f>'All regions'!H4641+"n/&gt;!(~="</f>
        <v>#VALUE!</v>
      </c>
      <c r="HK185" t="e">
        <f>'All regions'!I4641+"n/&gt;!(~&gt;"</f>
        <v>#VALUE!</v>
      </c>
      <c r="HL185" t="e">
        <f>'All regions'!J4641+"n/&gt;!(~?"</f>
        <v>#VALUE!</v>
      </c>
      <c r="HM185" t="e">
        <f>'All regions'!A4642+"n/&gt;!(~@"</f>
        <v>#VALUE!</v>
      </c>
      <c r="HN185" t="e">
        <f>'All regions'!B4642+"n/&gt;!(~A"</f>
        <v>#VALUE!</v>
      </c>
      <c r="HO185" t="e">
        <f>'All regions'!C4642+"n/&gt;!(~B"</f>
        <v>#VALUE!</v>
      </c>
      <c r="HP185" t="e">
        <f>'All regions'!D4642+"n/&gt;!(~C"</f>
        <v>#VALUE!</v>
      </c>
      <c r="HQ185" t="e">
        <f>'All regions'!E4642+"n/&gt;!(~D"</f>
        <v>#VALUE!</v>
      </c>
      <c r="HR185" t="e">
        <f>'All regions'!F4642+"n/&gt;!(~E"</f>
        <v>#VALUE!</v>
      </c>
      <c r="HS185" t="e">
        <f>'All regions'!G4642+"n/&gt;!(~F"</f>
        <v>#VALUE!</v>
      </c>
      <c r="HT185" t="e">
        <f>'All regions'!H4642+"n/&gt;!(~G"</f>
        <v>#VALUE!</v>
      </c>
      <c r="HU185" t="e">
        <f>'All regions'!I4642+"n/&gt;!(~H"</f>
        <v>#VALUE!</v>
      </c>
      <c r="HV185" t="e">
        <f>'All regions'!J4642+"n/&gt;!(~I"</f>
        <v>#VALUE!</v>
      </c>
      <c r="HW185" t="e">
        <f>'All regions'!A4643+"n/&gt;!(~J"</f>
        <v>#VALUE!</v>
      </c>
      <c r="HX185" t="e">
        <f>'All regions'!B4643+"n/&gt;!(~K"</f>
        <v>#VALUE!</v>
      </c>
      <c r="HY185" t="e">
        <f>'All regions'!C4643+"n/&gt;!(~L"</f>
        <v>#VALUE!</v>
      </c>
      <c r="HZ185" t="e">
        <f>'All regions'!D4643+"n/&gt;!(~M"</f>
        <v>#VALUE!</v>
      </c>
      <c r="IA185" t="e">
        <f>'All regions'!E4643+"n/&gt;!(~N"</f>
        <v>#VALUE!</v>
      </c>
      <c r="IB185" t="e">
        <f>'All regions'!F4643+"n/&gt;!(~O"</f>
        <v>#VALUE!</v>
      </c>
      <c r="IC185" t="e">
        <f>'All regions'!G4643+"n/&gt;!(~P"</f>
        <v>#VALUE!</v>
      </c>
      <c r="ID185" t="e">
        <f>'All regions'!H4643+"n/&gt;!(~Q"</f>
        <v>#VALUE!</v>
      </c>
      <c r="IE185" t="e">
        <f>'All regions'!I4643+"n/&gt;!(~R"</f>
        <v>#VALUE!</v>
      </c>
      <c r="IF185" t="e">
        <f>'All regions'!J4643+"n/&gt;!(~S"</f>
        <v>#VALUE!</v>
      </c>
      <c r="IG185" t="e">
        <f>'All regions'!A4644+"n/&gt;!(~T"</f>
        <v>#VALUE!</v>
      </c>
      <c r="IH185" t="e">
        <f>'All regions'!B4644+"n/&gt;!(~U"</f>
        <v>#VALUE!</v>
      </c>
      <c r="II185" t="e">
        <f>'All regions'!C4644+"n/&gt;!(~V"</f>
        <v>#VALUE!</v>
      </c>
      <c r="IJ185" t="e">
        <f>'All regions'!D4644+"n/&gt;!(~W"</f>
        <v>#VALUE!</v>
      </c>
      <c r="IK185" t="e">
        <f>'All regions'!E4644+"n/&gt;!(~X"</f>
        <v>#VALUE!</v>
      </c>
      <c r="IL185" t="e">
        <f>'All regions'!F4644+"n/&gt;!(~Y"</f>
        <v>#VALUE!</v>
      </c>
      <c r="IM185" t="e">
        <f>'All regions'!G4644+"n/&gt;!(~Z"</f>
        <v>#VALUE!</v>
      </c>
      <c r="IN185" t="e">
        <f>'All regions'!H4644+"n/&gt;!(~["</f>
        <v>#VALUE!</v>
      </c>
      <c r="IO185" t="e">
        <f>'All regions'!I4644+"n/&gt;!(~\"</f>
        <v>#VALUE!</v>
      </c>
      <c r="IP185" t="e">
        <f>'All regions'!J4644+"n/&gt;!(~]"</f>
        <v>#VALUE!</v>
      </c>
      <c r="IQ185" t="e">
        <f>'All regions'!A4645+"n/&gt;!(~^"</f>
        <v>#VALUE!</v>
      </c>
      <c r="IR185" t="e">
        <f>'All regions'!B4645+"n/&gt;!(~_"</f>
        <v>#VALUE!</v>
      </c>
      <c r="IS185" t="e">
        <f>'All regions'!C4645+"n/&gt;!(~`"</f>
        <v>#VALUE!</v>
      </c>
      <c r="IT185" t="e">
        <f>'All regions'!D4645+"n/&gt;!(~a"</f>
        <v>#VALUE!</v>
      </c>
      <c r="IU185" t="e">
        <f>'All regions'!E4645+"n/&gt;!(~b"</f>
        <v>#VALUE!</v>
      </c>
      <c r="IV185" t="e">
        <f>'All regions'!F4645+"n/&gt;!(~c"</f>
        <v>#VALUE!</v>
      </c>
    </row>
    <row r="186" spans="6:256" x14ac:dyDescent="0.35">
      <c r="F186" t="e">
        <f>'All regions'!G4645+"n/&gt;!(~d"</f>
        <v>#VALUE!</v>
      </c>
      <c r="G186" t="e">
        <f>'All regions'!H4645+"n/&gt;!(~e"</f>
        <v>#VALUE!</v>
      </c>
      <c r="H186" t="e">
        <f>'All regions'!I4645+"n/&gt;!(~f"</f>
        <v>#VALUE!</v>
      </c>
      <c r="I186" t="e">
        <f>'All regions'!J4645+"n/&gt;!(~g"</f>
        <v>#VALUE!</v>
      </c>
      <c r="J186" t="e">
        <f>'All regions'!A4646+"n/&gt;!(~h"</f>
        <v>#VALUE!</v>
      </c>
      <c r="K186" t="e">
        <f>'All regions'!B4646+"n/&gt;!(~i"</f>
        <v>#VALUE!</v>
      </c>
      <c r="L186" t="e">
        <f>'All regions'!C4646+"n/&gt;!(~j"</f>
        <v>#VALUE!</v>
      </c>
      <c r="M186" t="e">
        <f>'All regions'!D4646+"n/&gt;!(~k"</f>
        <v>#VALUE!</v>
      </c>
      <c r="N186" t="e">
        <f>'All regions'!E4646+"n/&gt;!(~l"</f>
        <v>#VALUE!</v>
      </c>
      <c r="O186" t="e">
        <f>'All regions'!F4646+"n/&gt;!(~m"</f>
        <v>#VALUE!</v>
      </c>
      <c r="P186" t="e">
        <f>'All regions'!G4646+"n/&gt;!(~n"</f>
        <v>#VALUE!</v>
      </c>
      <c r="Q186" t="e">
        <f>'All regions'!H4646+"n/&gt;!(~o"</f>
        <v>#VALUE!</v>
      </c>
      <c r="R186" t="e">
        <f>'All regions'!I4646+"n/&gt;!(~p"</f>
        <v>#VALUE!</v>
      </c>
      <c r="S186" t="e">
        <f>'All regions'!J4646+"n/&gt;!(~q"</f>
        <v>#VALUE!</v>
      </c>
      <c r="T186" t="e">
        <f>'All regions'!A4647+"n/&gt;!(~r"</f>
        <v>#VALUE!</v>
      </c>
      <c r="U186" t="e">
        <f>'All regions'!B4647+"n/&gt;!(~s"</f>
        <v>#VALUE!</v>
      </c>
      <c r="V186" t="e">
        <f>'All regions'!C4647+"n/&gt;!(~t"</f>
        <v>#VALUE!</v>
      </c>
      <c r="W186" t="e">
        <f>'All regions'!D4647+"n/&gt;!(~u"</f>
        <v>#VALUE!</v>
      </c>
      <c r="X186" t="e">
        <f>'All regions'!E4647+"n/&gt;!(~v"</f>
        <v>#VALUE!</v>
      </c>
      <c r="Y186" t="e">
        <f>'All regions'!F4647+"n/&gt;!(~w"</f>
        <v>#VALUE!</v>
      </c>
      <c r="Z186" t="e">
        <f>'All regions'!G4647+"n/&gt;!(~x"</f>
        <v>#VALUE!</v>
      </c>
      <c r="AA186" t="e">
        <f>'All regions'!H4647+"n/&gt;!(~y"</f>
        <v>#VALUE!</v>
      </c>
      <c r="AB186" t="e">
        <f>'All regions'!I4647+"n/&gt;!(~z"</f>
        <v>#VALUE!</v>
      </c>
      <c r="AC186" t="e">
        <f>'All regions'!J4647+"n/&gt;!(~{"</f>
        <v>#VALUE!</v>
      </c>
      <c r="AD186" t="e">
        <f>'All regions'!A4648+"n/&gt;!(~|"</f>
        <v>#VALUE!</v>
      </c>
      <c r="AE186" t="e">
        <f>'All regions'!B4648+"n/&gt;!(~}"</f>
        <v>#VALUE!</v>
      </c>
      <c r="AF186" t="e">
        <f>'All regions'!C4648+"n/&gt;!(~~"</f>
        <v>#VALUE!</v>
      </c>
      <c r="AG186" t="e">
        <f>'All regions'!D4648+"n/&gt;!)##"</f>
        <v>#VALUE!</v>
      </c>
      <c r="AH186" t="e">
        <f>'All regions'!E4648+"n/&gt;!)#$"</f>
        <v>#VALUE!</v>
      </c>
      <c r="AI186" t="e">
        <f>'All regions'!F4648+"n/&gt;!)#%"</f>
        <v>#VALUE!</v>
      </c>
      <c r="AJ186" t="e">
        <f>'All regions'!G4648+"n/&gt;!)#&amp;"</f>
        <v>#VALUE!</v>
      </c>
      <c r="AK186" t="e">
        <f>'All regions'!H4648+"n/&gt;!)#'"</f>
        <v>#VALUE!</v>
      </c>
      <c r="AL186" t="e">
        <f>'All regions'!I4648+"n/&gt;!)#("</f>
        <v>#VALUE!</v>
      </c>
      <c r="AM186" t="e">
        <f>'All regions'!J4648+"n/&gt;!)#)"</f>
        <v>#VALUE!</v>
      </c>
      <c r="AN186" t="e">
        <f>'All regions'!A4649+"n/&gt;!)#."</f>
        <v>#VALUE!</v>
      </c>
      <c r="AO186" t="e">
        <f>'All regions'!B4649+"n/&gt;!)#/"</f>
        <v>#VALUE!</v>
      </c>
      <c r="AP186" t="e">
        <f>'All regions'!C4649+"n/&gt;!)#0"</f>
        <v>#VALUE!</v>
      </c>
      <c r="AQ186" t="e">
        <f>'All regions'!D4649+"n/&gt;!)#1"</f>
        <v>#VALUE!</v>
      </c>
      <c r="AR186" t="e">
        <f>'All regions'!E4649+"n/&gt;!)#2"</f>
        <v>#VALUE!</v>
      </c>
      <c r="AS186" t="e">
        <f>'All regions'!F4649+"n/&gt;!)#3"</f>
        <v>#VALUE!</v>
      </c>
      <c r="AT186" t="e">
        <f>'All regions'!G4649+"n/&gt;!)#4"</f>
        <v>#VALUE!</v>
      </c>
      <c r="AU186" t="e">
        <f>'All regions'!H4649+"n/&gt;!)#5"</f>
        <v>#VALUE!</v>
      </c>
      <c r="AV186" t="e">
        <f>'All regions'!I4649+"n/&gt;!)#6"</f>
        <v>#VALUE!</v>
      </c>
      <c r="AW186" t="e">
        <f>'All regions'!J4649+"n/&gt;!)#7"</f>
        <v>#VALUE!</v>
      </c>
      <c r="AX186" t="e">
        <f>'All regions'!A4650+"n/&gt;!)#8"</f>
        <v>#VALUE!</v>
      </c>
      <c r="AY186" t="e">
        <f>'All regions'!B4650+"n/&gt;!)#9"</f>
        <v>#VALUE!</v>
      </c>
      <c r="AZ186" t="e">
        <f>'All regions'!C4650+"n/&gt;!)#:"</f>
        <v>#VALUE!</v>
      </c>
      <c r="BA186" t="e">
        <f>'All regions'!D4650+"n/&gt;!)#;"</f>
        <v>#VALUE!</v>
      </c>
      <c r="BB186" t="e">
        <f>'All regions'!E4650+"n/&gt;!)#&lt;"</f>
        <v>#VALUE!</v>
      </c>
      <c r="BC186" t="e">
        <f>'All regions'!F4650+"n/&gt;!)#="</f>
        <v>#VALUE!</v>
      </c>
      <c r="BD186" t="e">
        <f>'All regions'!G4650+"n/&gt;!)#&gt;"</f>
        <v>#VALUE!</v>
      </c>
      <c r="BE186" t="e">
        <f>'All regions'!H4650+"n/&gt;!)#?"</f>
        <v>#VALUE!</v>
      </c>
      <c r="BF186" t="e">
        <f>'All regions'!I4650+"n/&gt;!)#@"</f>
        <v>#VALUE!</v>
      </c>
      <c r="BG186" t="e">
        <f>'All regions'!J4650+"n/&gt;!)#A"</f>
        <v>#VALUE!</v>
      </c>
      <c r="BH186" t="e">
        <f>'All regions'!A4651+"n/&gt;!)#B"</f>
        <v>#VALUE!</v>
      </c>
      <c r="BI186" t="e">
        <f>'All regions'!B4651+"n/&gt;!)#C"</f>
        <v>#VALUE!</v>
      </c>
      <c r="BJ186" t="e">
        <f>'All regions'!C4651+"n/&gt;!)#D"</f>
        <v>#VALUE!</v>
      </c>
      <c r="BK186" t="e">
        <f>'All regions'!D4651+"n/&gt;!)#E"</f>
        <v>#VALUE!</v>
      </c>
      <c r="BL186" t="e">
        <f>'All regions'!E4651+"n/&gt;!)#F"</f>
        <v>#VALUE!</v>
      </c>
      <c r="BM186" t="e">
        <f>'All regions'!F4651+"n/&gt;!)#G"</f>
        <v>#VALUE!</v>
      </c>
      <c r="BN186" t="e">
        <f>'All regions'!G4651+"n/&gt;!)#H"</f>
        <v>#VALUE!</v>
      </c>
      <c r="BO186" t="e">
        <f>'All regions'!H4651+"n/&gt;!)#I"</f>
        <v>#VALUE!</v>
      </c>
      <c r="BP186" t="e">
        <f>'All regions'!I4651+"n/&gt;!)#J"</f>
        <v>#VALUE!</v>
      </c>
      <c r="BQ186" t="e">
        <f>'All regions'!J4651+"n/&gt;!)#K"</f>
        <v>#VALUE!</v>
      </c>
      <c r="BR186" t="e">
        <f>'All regions'!A4652+"n/&gt;!)#L"</f>
        <v>#VALUE!</v>
      </c>
      <c r="BS186" t="e">
        <f>'All regions'!B4652+"n/&gt;!)#M"</f>
        <v>#VALUE!</v>
      </c>
      <c r="BT186" t="e">
        <f>'All regions'!C4652+"n/&gt;!)#N"</f>
        <v>#VALUE!</v>
      </c>
      <c r="BU186" t="e">
        <f>'All regions'!D4652+"n/&gt;!)#O"</f>
        <v>#VALUE!</v>
      </c>
      <c r="BV186" t="e">
        <f>'All regions'!E4652+"n/&gt;!)#P"</f>
        <v>#VALUE!</v>
      </c>
      <c r="BW186" t="e">
        <f>'All regions'!F4652+"n/&gt;!)#Q"</f>
        <v>#VALUE!</v>
      </c>
      <c r="BX186" t="e">
        <f>'All regions'!G4652+"n/&gt;!)#R"</f>
        <v>#VALUE!</v>
      </c>
      <c r="BY186" t="e">
        <f>'All regions'!H4652+"n/&gt;!)#S"</f>
        <v>#VALUE!</v>
      </c>
      <c r="BZ186" t="e">
        <f>'All regions'!I4652+"n/&gt;!)#T"</f>
        <v>#VALUE!</v>
      </c>
      <c r="CA186" t="e">
        <f>'All regions'!J4652+"n/&gt;!)#U"</f>
        <v>#VALUE!</v>
      </c>
      <c r="CB186" t="e">
        <f>'All regions'!A4653+"n/&gt;!)#V"</f>
        <v>#VALUE!</v>
      </c>
      <c r="CC186" t="e">
        <f>'All regions'!B4653+"n/&gt;!)#W"</f>
        <v>#VALUE!</v>
      </c>
      <c r="CD186" t="e">
        <f>'All regions'!C4653+"n/&gt;!)#X"</f>
        <v>#VALUE!</v>
      </c>
      <c r="CE186" t="e">
        <f>'All regions'!D4653+"n/&gt;!)#Y"</f>
        <v>#VALUE!</v>
      </c>
      <c r="CF186" t="e">
        <f>'All regions'!E4653+"n/&gt;!)#Z"</f>
        <v>#VALUE!</v>
      </c>
      <c r="CG186" t="e">
        <f>'All regions'!F4653+"n/&gt;!)#["</f>
        <v>#VALUE!</v>
      </c>
      <c r="CH186" t="e">
        <f>'All regions'!G4653+"n/&gt;!)#\"</f>
        <v>#VALUE!</v>
      </c>
      <c r="CI186" t="e">
        <f>'All regions'!H4653+"n/&gt;!)#]"</f>
        <v>#VALUE!</v>
      </c>
      <c r="CJ186" t="e">
        <f>'All regions'!I4653+"n/&gt;!)#^"</f>
        <v>#VALUE!</v>
      </c>
      <c r="CK186" t="e">
        <f>'All regions'!J4653+"n/&gt;!)#_"</f>
        <v>#VALUE!</v>
      </c>
      <c r="CL186" t="e">
        <f>'All regions'!A4654+"n/&gt;!)#`"</f>
        <v>#VALUE!</v>
      </c>
      <c r="CM186" t="e">
        <f>'All regions'!B4654+"n/&gt;!)#a"</f>
        <v>#VALUE!</v>
      </c>
      <c r="CN186" t="e">
        <f>'All regions'!C4654+"n/&gt;!)#b"</f>
        <v>#VALUE!</v>
      </c>
      <c r="CO186" t="e">
        <f>'All regions'!D4654+"n/&gt;!)#c"</f>
        <v>#VALUE!</v>
      </c>
      <c r="CP186" t="e">
        <f>'All regions'!E4654+"n/&gt;!)#d"</f>
        <v>#VALUE!</v>
      </c>
      <c r="CQ186" t="e">
        <f>'All regions'!F4654+"n/&gt;!)#e"</f>
        <v>#VALUE!</v>
      </c>
      <c r="CR186" t="e">
        <f>'All regions'!G4654+"n/&gt;!)#f"</f>
        <v>#VALUE!</v>
      </c>
      <c r="CS186" t="e">
        <f>'All regions'!H4654+"n/&gt;!)#g"</f>
        <v>#VALUE!</v>
      </c>
      <c r="CT186" t="e">
        <f>'All regions'!I4654+"n/&gt;!)#h"</f>
        <v>#VALUE!</v>
      </c>
      <c r="CU186" t="e">
        <f>'All regions'!J4654+"n/&gt;!)#i"</f>
        <v>#VALUE!</v>
      </c>
      <c r="CV186" t="e">
        <f>'All regions'!A4655+"n/&gt;!)#j"</f>
        <v>#VALUE!</v>
      </c>
      <c r="CW186" t="e">
        <f>'All regions'!B4655+"n/&gt;!)#k"</f>
        <v>#VALUE!</v>
      </c>
      <c r="CX186" t="e">
        <f>'All regions'!C4655+"n/&gt;!)#l"</f>
        <v>#VALUE!</v>
      </c>
      <c r="CY186" t="e">
        <f>'All regions'!D4655+"n/&gt;!)#m"</f>
        <v>#VALUE!</v>
      </c>
      <c r="CZ186" t="e">
        <f>'All regions'!E4655+"n/&gt;!)#n"</f>
        <v>#VALUE!</v>
      </c>
      <c r="DA186" t="e">
        <f>'All regions'!F4655+"n/&gt;!)#o"</f>
        <v>#VALUE!</v>
      </c>
      <c r="DB186" t="e">
        <f>'All regions'!G4655+"n/&gt;!)#p"</f>
        <v>#VALUE!</v>
      </c>
      <c r="DC186" t="e">
        <f>'All regions'!H4655+"n/&gt;!)#q"</f>
        <v>#VALUE!</v>
      </c>
      <c r="DD186" t="e">
        <f>'All regions'!I4655+"n/&gt;!)#r"</f>
        <v>#VALUE!</v>
      </c>
      <c r="DE186" t="e">
        <f>'All regions'!J4655+"n/&gt;!)#s"</f>
        <v>#VALUE!</v>
      </c>
      <c r="DF186" t="e">
        <f>'All regions'!A4656+"n/&gt;!)#t"</f>
        <v>#VALUE!</v>
      </c>
      <c r="DG186" t="e">
        <f>'All regions'!B4656+"n/&gt;!)#u"</f>
        <v>#VALUE!</v>
      </c>
      <c r="DH186" t="e">
        <f>'All regions'!C4656+"n/&gt;!)#v"</f>
        <v>#VALUE!</v>
      </c>
      <c r="DI186" t="e">
        <f>'All regions'!D4656+"n/&gt;!)#w"</f>
        <v>#VALUE!</v>
      </c>
      <c r="DJ186" t="e">
        <f>'All regions'!E4656+"n/&gt;!)#x"</f>
        <v>#VALUE!</v>
      </c>
      <c r="DK186" t="e">
        <f>'All regions'!F4656+"n/&gt;!)#y"</f>
        <v>#VALUE!</v>
      </c>
      <c r="DL186" t="e">
        <f>'All regions'!G4656+"n/&gt;!)#z"</f>
        <v>#VALUE!</v>
      </c>
      <c r="DM186" t="e">
        <f>'All regions'!H4656+"n/&gt;!)#{"</f>
        <v>#VALUE!</v>
      </c>
      <c r="DN186" t="e">
        <f>'All regions'!I4656+"n/&gt;!)#|"</f>
        <v>#VALUE!</v>
      </c>
      <c r="DO186" t="e">
        <f>'All regions'!J4656+"n/&gt;!)#}"</f>
        <v>#VALUE!</v>
      </c>
      <c r="DP186" t="e">
        <f>'All regions'!A4657+"n/&gt;!)#~"</f>
        <v>#VALUE!</v>
      </c>
      <c r="DQ186" t="e">
        <f>'All regions'!B4657+"n/&gt;!)$#"</f>
        <v>#VALUE!</v>
      </c>
      <c r="DR186" t="e">
        <f>'All regions'!C4657+"n/&gt;!)$$"</f>
        <v>#VALUE!</v>
      </c>
      <c r="DS186" t="e">
        <f>'All regions'!D4657+"n/&gt;!)$%"</f>
        <v>#VALUE!</v>
      </c>
      <c r="DT186" t="e">
        <f>'All regions'!E4657+"n/&gt;!)$&amp;"</f>
        <v>#VALUE!</v>
      </c>
      <c r="DU186" t="e">
        <f>'All regions'!F4657+"n/&gt;!)$'"</f>
        <v>#VALUE!</v>
      </c>
      <c r="DV186" t="e">
        <f>'All regions'!G4657+"n/&gt;!)$("</f>
        <v>#VALUE!</v>
      </c>
      <c r="DW186" t="e">
        <f>'All regions'!H4657+"n/&gt;!)$)"</f>
        <v>#VALUE!</v>
      </c>
      <c r="DX186" t="e">
        <f>'All regions'!I4657+"n/&gt;!)$."</f>
        <v>#VALUE!</v>
      </c>
      <c r="DY186" t="e">
        <f>'All regions'!J4657+"n/&gt;!)$/"</f>
        <v>#VALUE!</v>
      </c>
      <c r="DZ186" t="e">
        <f>'All regions'!A4658+"n/&gt;!)$0"</f>
        <v>#VALUE!</v>
      </c>
      <c r="EA186" t="e">
        <f>'All regions'!B4658+"n/&gt;!)$1"</f>
        <v>#VALUE!</v>
      </c>
      <c r="EB186" t="e">
        <f>'All regions'!C4658+"n/&gt;!)$2"</f>
        <v>#VALUE!</v>
      </c>
      <c r="EC186" t="e">
        <f>'All regions'!D4658+"n/&gt;!)$3"</f>
        <v>#VALUE!</v>
      </c>
      <c r="ED186" t="e">
        <f>'All regions'!E4658+"n/&gt;!)$4"</f>
        <v>#VALUE!</v>
      </c>
      <c r="EE186" t="e">
        <f>'All regions'!F4658+"n/&gt;!)$5"</f>
        <v>#VALUE!</v>
      </c>
      <c r="EF186" t="e">
        <f>'All regions'!G4658+"n/&gt;!)$6"</f>
        <v>#VALUE!</v>
      </c>
      <c r="EG186" t="e">
        <f>'All regions'!H4658+"n/&gt;!)$7"</f>
        <v>#VALUE!</v>
      </c>
      <c r="EH186" t="e">
        <f>'All regions'!I4658+"n/&gt;!)$8"</f>
        <v>#VALUE!</v>
      </c>
      <c r="EI186" t="e">
        <f>'All regions'!J4658+"n/&gt;!)$9"</f>
        <v>#VALUE!</v>
      </c>
      <c r="EJ186" t="e">
        <f>'All regions'!A4659+"n/&gt;!)$:"</f>
        <v>#VALUE!</v>
      </c>
      <c r="EK186" t="e">
        <f>'All regions'!B4659+"n/&gt;!)$;"</f>
        <v>#VALUE!</v>
      </c>
      <c r="EL186" t="e">
        <f>'All regions'!C4659+"n/&gt;!)$&lt;"</f>
        <v>#VALUE!</v>
      </c>
      <c r="EM186" t="e">
        <f>'All regions'!D4659+"n/&gt;!)$="</f>
        <v>#VALUE!</v>
      </c>
      <c r="EN186" t="e">
        <f>'All regions'!E4659+"n/&gt;!)$&gt;"</f>
        <v>#VALUE!</v>
      </c>
      <c r="EO186" t="e">
        <f>'All regions'!F4659+"n/&gt;!)$?"</f>
        <v>#VALUE!</v>
      </c>
      <c r="EP186" t="e">
        <f>'All regions'!G4659+"n/&gt;!)$@"</f>
        <v>#VALUE!</v>
      </c>
      <c r="EQ186" t="e">
        <f>'All regions'!H4659+"n/&gt;!)$A"</f>
        <v>#VALUE!</v>
      </c>
      <c r="ER186" t="e">
        <f>'All regions'!I4659+"n/&gt;!)$B"</f>
        <v>#VALUE!</v>
      </c>
      <c r="ES186" t="e">
        <f>'All regions'!J4659+"n/&gt;!)$C"</f>
        <v>#VALUE!</v>
      </c>
      <c r="ET186" t="e">
        <f>'All regions'!A4660+"n/&gt;!)$D"</f>
        <v>#VALUE!</v>
      </c>
      <c r="EU186" t="e">
        <f>'All regions'!B4660+"n/&gt;!)$E"</f>
        <v>#VALUE!</v>
      </c>
      <c r="EV186" t="e">
        <f>'All regions'!C4660+"n/&gt;!)$F"</f>
        <v>#VALUE!</v>
      </c>
      <c r="EW186" t="e">
        <f>'All regions'!D4660+"n/&gt;!)$G"</f>
        <v>#VALUE!</v>
      </c>
      <c r="EX186" t="e">
        <f>'All regions'!E4660+"n/&gt;!)$H"</f>
        <v>#VALUE!</v>
      </c>
      <c r="EY186" t="e">
        <f>'All regions'!F4660+"n/&gt;!)$I"</f>
        <v>#VALUE!</v>
      </c>
      <c r="EZ186" t="e">
        <f>'All regions'!G4660+"n/&gt;!)$J"</f>
        <v>#VALUE!</v>
      </c>
      <c r="FA186" t="e">
        <f>'All regions'!H4660+"n/&gt;!)$K"</f>
        <v>#VALUE!</v>
      </c>
      <c r="FB186" t="e">
        <f>'All regions'!I4660+"n/&gt;!)$L"</f>
        <v>#VALUE!</v>
      </c>
      <c r="FC186" t="e">
        <f>'All regions'!J4660+"n/&gt;!)$M"</f>
        <v>#VALUE!</v>
      </c>
      <c r="FD186" t="e">
        <f>'All regions'!A4661+"n/&gt;!)$N"</f>
        <v>#VALUE!</v>
      </c>
      <c r="FE186" t="e">
        <f>'All regions'!B4661+"n/&gt;!)$O"</f>
        <v>#VALUE!</v>
      </c>
      <c r="FF186" t="e">
        <f>'All regions'!C4661+"n/&gt;!)$P"</f>
        <v>#VALUE!</v>
      </c>
      <c r="FG186" t="e">
        <f>'All regions'!D4661+"n/&gt;!)$Q"</f>
        <v>#VALUE!</v>
      </c>
      <c r="FH186" t="e">
        <f>'All regions'!E4661+"n/&gt;!)$R"</f>
        <v>#VALUE!</v>
      </c>
      <c r="FI186" t="e">
        <f>'All regions'!F4661+"n/&gt;!)$S"</f>
        <v>#VALUE!</v>
      </c>
      <c r="FJ186" t="e">
        <f>'All regions'!G4661+"n/&gt;!)$T"</f>
        <v>#VALUE!</v>
      </c>
      <c r="FK186" t="e">
        <f>'All regions'!H4661+"n/&gt;!)$U"</f>
        <v>#VALUE!</v>
      </c>
      <c r="FL186" t="e">
        <f>'All regions'!I4661+"n/&gt;!)$V"</f>
        <v>#VALUE!</v>
      </c>
      <c r="FM186" t="e">
        <f>'All regions'!J4661+"n/&gt;!)$W"</f>
        <v>#VALUE!</v>
      </c>
      <c r="FN186" t="e">
        <f>'All regions'!A4662+"n/&gt;!)$X"</f>
        <v>#VALUE!</v>
      </c>
      <c r="FO186" t="e">
        <f>'All regions'!B4662+"n/&gt;!)$Y"</f>
        <v>#VALUE!</v>
      </c>
      <c r="FP186" t="e">
        <f>'All regions'!C4662+"n/&gt;!)$Z"</f>
        <v>#VALUE!</v>
      </c>
      <c r="FQ186" t="e">
        <f>'All regions'!D4662+"n/&gt;!)$["</f>
        <v>#VALUE!</v>
      </c>
      <c r="FR186" t="e">
        <f>'All regions'!E4662+"n/&gt;!)$\"</f>
        <v>#VALUE!</v>
      </c>
      <c r="FS186" t="e">
        <f>'All regions'!F4662+"n/&gt;!)$]"</f>
        <v>#VALUE!</v>
      </c>
      <c r="FT186" t="e">
        <f>'All regions'!G4662+"n/&gt;!)$^"</f>
        <v>#VALUE!</v>
      </c>
      <c r="FU186" t="e">
        <f>'All regions'!H4662+"n/&gt;!)$_"</f>
        <v>#VALUE!</v>
      </c>
      <c r="FV186" t="e">
        <f>'All regions'!I4662+"n/&gt;!)$`"</f>
        <v>#VALUE!</v>
      </c>
      <c r="FW186" t="e">
        <f>'All regions'!J4662+"n/&gt;!)$a"</f>
        <v>#VALUE!</v>
      </c>
      <c r="FX186" t="e">
        <f>'All regions'!A4663+"n/&gt;!)$b"</f>
        <v>#VALUE!</v>
      </c>
      <c r="FY186" t="e">
        <f>'All regions'!B4663+"n/&gt;!)$c"</f>
        <v>#VALUE!</v>
      </c>
      <c r="FZ186" t="e">
        <f>'All regions'!C4663+"n/&gt;!)$d"</f>
        <v>#VALUE!</v>
      </c>
      <c r="GA186" t="e">
        <f>'All regions'!D4663+"n/&gt;!)$e"</f>
        <v>#VALUE!</v>
      </c>
      <c r="GB186" t="e">
        <f>'All regions'!E4663+"n/&gt;!)$f"</f>
        <v>#VALUE!</v>
      </c>
      <c r="GC186" t="e">
        <f>'All regions'!F4663+"n/&gt;!)$g"</f>
        <v>#VALUE!</v>
      </c>
      <c r="GD186" t="e">
        <f>'All regions'!G4663+"n/&gt;!)$h"</f>
        <v>#VALUE!</v>
      </c>
      <c r="GE186" t="e">
        <f>'All regions'!H4663+"n/&gt;!)$i"</f>
        <v>#VALUE!</v>
      </c>
      <c r="GF186" t="e">
        <f>'All regions'!I4663+"n/&gt;!)$j"</f>
        <v>#VALUE!</v>
      </c>
      <c r="GG186" t="e">
        <f>'All regions'!J4663+"n/&gt;!)$k"</f>
        <v>#VALUE!</v>
      </c>
      <c r="GH186" t="e">
        <f>'All regions'!A4664+"n/&gt;!)$l"</f>
        <v>#VALUE!</v>
      </c>
      <c r="GI186" t="e">
        <f>'All regions'!B4664+"n/&gt;!)$m"</f>
        <v>#VALUE!</v>
      </c>
      <c r="GJ186" t="e">
        <f>'All regions'!C4664+"n/&gt;!)$n"</f>
        <v>#VALUE!</v>
      </c>
      <c r="GK186" t="e">
        <f>'All regions'!D4664+"n/&gt;!)$o"</f>
        <v>#VALUE!</v>
      </c>
      <c r="GL186" t="e">
        <f>'All regions'!E4664+"n/&gt;!)$p"</f>
        <v>#VALUE!</v>
      </c>
      <c r="GM186" t="e">
        <f>'All regions'!F4664+"n/&gt;!)$q"</f>
        <v>#VALUE!</v>
      </c>
      <c r="GN186" t="e">
        <f>'All regions'!G4664+"n/&gt;!)$r"</f>
        <v>#VALUE!</v>
      </c>
      <c r="GO186" t="e">
        <f>'All regions'!H4664+"n/&gt;!)$s"</f>
        <v>#VALUE!</v>
      </c>
      <c r="GP186" t="e">
        <f>'All regions'!I4664+"n/&gt;!)$t"</f>
        <v>#VALUE!</v>
      </c>
      <c r="GQ186" t="e">
        <f>'All regions'!J4664+"n/&gt;!)$u"</f>
        <v>#VALUE!</v>
      </c>
      <c r="GR186" t="e">
        <f>'All regions'!A4665+"n/&gt;!)$v"</f>
        <v>#VALUE!</v>
      </c>
      <c r="GS186" t="e">
        <f>'All regions'!B4665+"n/&gt;!)$w"</f>
        <v>#VALUE!</v>
      </c>
      <c r="GT186" t="e">
        <f>'All regions'!C4665+"n/&gt;!)$x"</f>
        <v>#VALUE!</v>
      </c>
      <c r="GU186" t="e">
        <f>'All regions'!D4665+"n/&gt;!)$y"</f>
        <v>#VALUE!</v>
      </c>
      <c r="GV186" t="e">
        <f>'All regions'!E4665+"n/&gt;!)$z"</f>
        <v>#VALUE!</v>
      </c>
      <c r="GW186" t="e">
        <f>'All regions'!F4665+"n/&gt;!)${"</f>
        <v>#VALUE!</v>
      </c>
      <c r="GX186" t="e">
        <f>'All regions'!G4665+"n/&gt;!)$|"</f>
        <v>#VALUE!</v>
      </c>
      <c r="GY186" t="e">
        <f>'All regions'!H4665+"n/&gt;!)$}"</f>
        <v>#VALUE!</v>
      </c>
      <c r="GZ186" t="e">
        <f>'All regions'!I4665+"n/&gt;!)$~"</f>
        <v>#VALUE!</v>
      </c>
      <c r="HA186" t="e">
        <f>'All regions'!J4665+"n/&gt;!)%#"</f>
        <v>#VALUE!</v>
      </c>
      <c r="HB186" t="e">
        <f>'All regions'!A4666+"n/&gt;!)%$"</f>
        <v>#VALUE!</v>
      </c>
      <c r="HC186" t="e">
        <f>'All regions'!B4666+"n/&gt;!)%%"</f>
        <v>#VALUE!</v>
      </c>
      <c r="HD186" t="e">
        <f>'All regions'!C4666+"n/&gt;!)%&amp;"</f>
        <v>#VALUE!</v>
      </c>
      <c r="HE186" t="e">
        <f>'All regions'!D4666+"n/&gt;!)%'"</f>
        <v>#VALUE!</v>
      </c>
      <c r="HF186" t="e">
        <f>'All regions'!E4666+"n/&gt;!)%("</f>
        <v>#VALUE!</v>
      </c>
      <c r="HG186" t="e">
        <f>'All regions'!F4666+"n/&gt;!)%)"</f>
        <v>#VALUE!</v>
      </c>
      <c r="HH186" t="e">
        <f>'All regions'!G4666+"n/&gt;!)%."</f>
        <v>#VALUE!</v>
      </c>
      <c r="HI186" t="e">
        <f>'All regions'!H4666+"n/&gt;!)%/"</f>
        <v>#VALUE!</v>
      </c>
      <c r="HJ186" t="e">
        <f>'All regions'!I4666+"n/&gt;!)%0"</f>
        <v>#VALUE!</v>
      </c>
      <c r="HK186" t="e">
        <f>'All regions'!J4666+"n/&gt;!)%1"</f>
        <v>#VALUE!</v>
      </c>
      <c r="HL186" t="e">
        <f>'All regions'!A4667+"n/&gt;!)%2"</f>
        <v>#VALUE!</v>
      </c>
      <c r="HM186" t="e">
        <f>'All regions'!B4667+"n/&gt;!)%3"</f>
        <v>#VALUE!</v>
      </c>
      <c r="HN186" t="e">
        <f>'All regions'!C4667+"n/&gt;!)%4"</f>
        <v>#VALUE!</v>
      </c>
      <c r="HO186" t="e">
        <f>'All regions'!D4667+"n/&gt;!)%5"</f>
        <v>#VALUE!</v>
      </c>
      <c r="HP186" t="e">
        <f>'All regions'!E4667+"n/&gt;!)%6"</f>
        <v>#VALUE!</v>
      </c>
      <c r="HQ186" t="e">
        <f>'All regions'!F4667+"n/&gt;!)%7"</f>
        <v>#VALUE!</v>
      </c>
      <c r="HR186" t="e">
        <f>'All regions'!G4667+"n/&gt;!)%8"</f>
        <v>#VALUE!</v>
      </c>
      <c r="HS186" t="e">
        <f>'All regions'!H4667+"n/&gt;!)%9"</f>
        <v>#VALUE!</v>
      </c>
      <c r="HT186" t="e">
        <f>'All regions'!I4667+"n/&gt;!)%:"</f>
        <v>#VALUE!</v>
      </c>
      <c r="HU186" t="e">
        <f>'All regions'!J4667+"n/&gt;!)%;"</f>
        <v>#VALUE!</v>
      </c>
      <c r="HV186" t="e">
        <f>'All regions'!A4668+"n/&gt;!)%&lt;"</f>
        <v>#VALUE!</v>
      </c>
      <c r="HW186" t="e">
        <f>'All regions'!B4668+"n/&gt;!)%="</f>
        <v>#VALUE!</v>
      </c>
      <c r="HX186" t="e">
        <f>'All regions'!C4668+"n/&gt;!)%&gt;"</f>
        <v>#VALUE!</v>
      </c>
      <c r="HY186" t="e">
        <f>'All regions'!D4668+"n/&gt;!)%?"</f>
        <v>#VALUE!</v>
      </c>
      <c r="HZ186" t="e">
        <f>'All regions'!E4668+"n/&gt;!)%@"</f>
        <v>#VALUE!</v>
      </c>
      <c r="IA186" t="e">
        <f>'All regions'!F4668+"n/&gt;!)%A"</f>
        <v>#VALUE!</v>
      </c>
      <c r="IB186" t="e">
        <f>'All regions'!G4668+"n/&gt;!)%B"</f>
        <v>#VALUE!</v>
      </c>
      <c r="IC186" t="e">
        <f>'All regions'!H4668+"n/&gt;!)%C"</f>
        <v>#VALUE!</v>
      </c>
      <c r="ID186" t="e">
        <f>'All regions'!I4668+"n/&gt;!)%D"</f>
        <v>#VALUE!</v>
      </c>
      <c r="IE186" t="e">
        <f>'All regions'!J4668+"n/&gt;!)%E"</f>
        <v>#VALUE!</v>
      </c>
      <c r="IF186" t="e">
        <f>'All regions'!A4669+"n/&gt;!)%F"</f>
        <v>#VALUE!</v>
      </c>
      <c r="IG186" t="e">
        <f>'All regions'!B4669+"n/&gt;!)%G"</f>
        <v>#VALUE!</v>
      </c>
      <c r="IH186" t="e">
        <f>'All regions'!C4669+"n/&gt;!)%H"</f>
        <v>#VALUE!</v>
      </c>
      <c r="II186" t="e">
        <f>'All regions'!D4669+"n/&gt;!)%I"</f>
        <v>#VALUE!</v>
      </c>
      <c r="IJ186" t="e">
        <f>'All regions'!E4669+"n/&gt;!)%J"</f>
        <v>#VALUE!</v>
      </c>
      <c r="IK186" t="e">
        <f>'All regions'!F4669+"n/&gt;!)%K"</f>
        <v>#VALUE!</v>
      </c>
      <c r="IL186" t="e">
        <f>'All regions'!G4669+"n/&gt;!)%L"</f>
        <v>#VALUE!</v>
      </c>
      <c r="IM186" t="e">
        <f>'All regions'!H4669+"n/&gt;!)%M"</f>
        <v>#VALUE!</v>
      </c>
      <c r="IN186" t="e">
        <f>'All regions'!I4669+"n/&gt;!)%N"</f>
        <v>#VALUE!</v>
      </c>
      <c r="IO186" t="e">
        <f>'All regions'!J4669+"n/&gt;!)%O"</f>
        <v>#VALUE!</v>
      </c>
      <c r="IP186" t="e">
        <f>'All regions'!A4670+"n/&gt;!)%P"</f>
        <v>#VALUE!</v>
      </c>
      <c r="IQ186" t="e">
        <f>'All regions'!B4670+"n/&gt;!)%Q"</f>
        <v>#VALUE!</v>
      </c>
      <c r="IR186" t="e">
        <f>'All regions'!C4670+"n/&gt;!)%R"</f>
        <v>#VALUE!</v>
      </c>
      <c r="IS186" t="e">
        <f>'All regions'!D4670+"n/&gt;!)%S"</f>
        <v>#VALUE!</v>
      </c>
      <c r="IT186" t="e">
        <f>'All regions'!E4670+"n/&gt;!)%T"</f>
        <v>#VALUE!</v>
      </c>
      <c r="IU186" t="e">
        <f>'All regions'!F4670+"n/&gt;!)%U"</f>
        <v>#VALUE!</v>
      </c>
      <c r="IV186" t="e">
        <f>'All regions'!G4670+"n/&gt;!)%V"</f>
        <v>#VALUE!</v>
      </c>
    </row>
    <row r="187" spans="6:256" x14ac:dyDescent="0.35">
      <c r="F187" t="e">
        <f>'All regions'!H4670+"n/&gt;!)%W"</f>
        <v>#VALUE!</v>
      </c>
      <c r="G187" t="e">
        <f>'All regions'!I4670+"n/&gt;!)%X"</f>
        <v>#VALUE!</v>
      </c>
      <c r="H187" t="e">
        <f>'All regions'!J4670+"n/&gt;!)%Y"</f>
        <v>#VALUE!</v>
      </c>
      <c r="I187" t="e">
        <f>'All regions'!A4671+"n/&gt;!)%Z"</f>
        <v>#VALUE!</v>
      </c>
      <c r="J187" t="e">
        <f>'All regions'!B4671+"n/&gt;!)%["</f>
        <v>#VALUE!</v>
      </c>
      <c r="K187" t="e">
        <f>'All regions'!C4671+"n/&gt;!)%\"</f>
        <v>#VALUE!</v>
      </c>
      <c r="L187" t="e">
        <f>'All regions'!D4671+"n/&gt;!)%]"</f>
        <v>#VALUE!</v>
      </c>
      <c r="M187" t="e">
        <f>'All regions'!E4671+"n/&gt;!)%^"</f>
        <v>#VALUE!</v>
      </c>
      <c r="N187" t="e">
        <f>'All regions'!F4671+"n/&gt;!)%_"</f>
        <v>#VALUE!</v>
      </c>
      <c r="O187" t="e">
        <f>'All regions'!G4671+"n/&gt;!)%`"</f>
        <v>#VALUE!</v>
      </c>
      <c r="P187" t="e">
        <f>'All regions'!H4671+"n/&gt;!)%a"</f>
        <v>#VALUE!</v>
      </c>
      <c r="Q187" t="e">
        <f>'All regions'!I4671+"n/&gt;!)%b"</f>
        <v>#VALUE!</v>
      </c>
      <c r="R187" t="e">
        <f>'All regions'!J4671+"n/&gt;!)%c"</f>
        <v>#VALUE!</v>
      </c>
      <c r="S187" t="e">
        <f>'All regions'!A4672+"n/&gt;!)%d"</f>
        <v>#VALUE!</v>
      </c>
      <c r="T187" t="e">
        <f>'All regions'!B4672+"n/&gt;!)%e"</f>
        <v>#VALUE!</v>
      </c>
      <c r="U187" t="e">
        <f>'All regions'!C4672+"n/&gt;!)%f"</f>
        <v>#VALUE!</v>
      </c>
      <c r="V187" t="e">
        <f>'All regions'!D4672+"n/&gt;!)%g"</f>
        <v>#VALUE!</v>
      </c>
      <c r="W187" t="e">
        <f>'All regions'!E4672+"n/&gt;!)%h"</f>
        <v>#VALUE!</v>
      </c>
      <c r="X187" t="e">
        <f>'All regions'!F4672+"n/&gt;!)%i"</f>
        <v>#VALUE!</v>
      </c>
      <c r="Y187" t="e">
        <f>'All regions'!G4672+"n/&gt;!)%j"</f>
        <v>#VALUE!</v>
      </c>
      <c r="Z187" t="e">
        <f>'All regions'!H4672+"n/&gt;!)%k"</f>
        <v>#VALUE!</v>
      </c>
      <c r="AA187" t="e">
        <f>'All regions'!I4672+"n/&gt;!)%l"</f>
        <v>#VALUE!</v>
      </c>
      <c r="AB187" t="e">
        <f>'All regions'!J4672+"n/&gt;!)%m"</f>
        <v>#VALUE!</v>
      </c>
      <c r="AC187" t="e">
        <f>'All regions'!A4673+"n/&gt;!)%n"</f>
        <v>#VALUE!</v>
      </c>
      <c r="AD187" t="e">
        <f>'All regions'!B4673+"n/&gt;!)%o"</f>
        <v>#VALUE!</v>
      </c>
      <c r="AE187" t="e">
        <f>'All regions'!C4673+"n/&gt;!)%p"</f>
        <v>#VALUE!</v>
      </c>
      <c r="AF187" t="e">
        <f>'All regions'!D4673+"n/&gt;!)%q"</f>
        <v>#VALUE!</v>
      </c>
      <c r="AG187" t="e">
        <f>'All regions'!E4673+"n/&gt;!)%r"</f>
        <v>#VALUE!</v>
      </c>
      <c r="AH187" t="e">
        <f>'All regions'!F4673+"n/&gt;!)%s"</f>
        <v>#VALUE!</v>
      </c>
      <c r="AI187" t="e">
        <f>'All regions'!G4673+"n/&gt;!)%t"</f>
        <v>#VALUE!</v>
      </c>
      <c r="AJ187" t="e">
        <f>'All regions'!H4673+"n/&gt;!)%u"</f>
        <v>#VALUE!</v>
      </c>
      <c r="AK187" t="e">
        <f>'All regions'!I4673+"n/&gt;!)%v"</f>
        <v>#VALUE!</v>
      </c>
      <c r="AL187" t="e">
        <f>'All regions'!J4673+"n/&gt;!)%w"</f>
        <v>#VALUE!</v>
      </c>
      <c r="AM187" t="e">
        <f>'All regions'!A4674+"n/&gt;!)%x"</f>
        <v>#VALUE!</v>
      </c>
      <c r="AN187" t="e">
        <f>'All regions'!B4674+"n/&gt;!)%y"</f>
        <v>#VALUE!</v>
      </c>
      <c r="AO187" t="e">
        <f>'All regions'!C4674+"n/&gt;!)%z"</f>
        <v>#VALUE!</v>
      </c>
      <c r="AP187" t="e">
        <f>'All regions'!D4674+"n/&gt;!)%{"</f>
        <v>#VALUE!</v>
      </c>
      <c r="AQ187" t="e">
        <f>'All regions'!E4674+"n/&gt;!)%|"</f>
        <v>#VALUE!</v>
      </c>
      <c r="AR187" t="e">
        <f>'All regions'!F4674+"n/&gt;!)%}"</f>
        <v>#VALUE!</v>
      </c>
      <c r="AS187" t="e">
        <f>'All regions'!G4674+"n/&gt;!)%~"</f>
        <v>#VALUE!</v>
      </c>
      <c r="AT187" t="e">
        <f>'All regions'!H4674+"n/&gt;!)&amp;#"</f>
        <v>#VALUE!</v>
      </c>
      <c r="AU187" t="e">
        <f>'All regions'!I4674+"n/&gt;!)&amp;$"</f>
        <v>#VALUE!</v>
      </c>
      <c r="AV187" t="e">
        <f>'All regions'!J4674+"n/&gt;!)&amp;%"</f>
        <v>#VALUE!</v>
      </c>
      <c r="AW187" t="e">
        <f>'All regions'!A4675+"n/&gt;!)&amp;&amp;"</f>
        <v>#VALUE!</v>
      </c>
      <c r="AX187" t="e">
        <f>'All regions'!B4675+"n/&gt;!)&amp;'"</f>
        <v>#VALUE!</v>
      </c>
      <c r="AY187" t="e">
        <f>'All regions'!C4675+"n/&gt;!)&amp;("</f>
        <v>#VALUE!</v>
      </c>
      <c r="AZ187" t="e">
        <f>'All regions'!D4675+"n/&gt;!)&amp;)"</f>
        <v>#VALUE!</v>
      </c>
      <c r="BA187" t="e">
        <f>'All regions'!E4675+"n/&gt;!)&amp;."</f>
        <v>#VALUE!</v>
      </c>
      <c r="BB187" t="e">
        <f>'All regions'!F4675+"n/&gt;!)&amp;/"</f>
        <v>#VALUE!</v>
      </c>
      <c r="BC187" t="e">
        <f>'All regions'!G4675+"n/&gt;!)&amp;0"</f>
        <v>#VALUE!</v>
      </c>
      <c r="BD187" t="e">
        <f>'All regions'!H4675+"n/&gt;!)&amp;1"</f>
        <v>#VALUE!</v>
      </c>
      <c r="BE187" t="e">
        <f>'All regions'!I4675+"n/&gt;!)&amp;2"</f>
        <v>#VALUE!</v>
      </c>
      <c r="BF187" t="e">
        <f>'All regions'!J4675+"n/&gt;!)&amp;3"</f>
        <v>#VALUE!</v>
      </c>
      <c r="BG187" t="e">
        <f>'All regions'!A4676+"n/&gt;!)&amp;4"</f>
        <v>#VALUE!</v>
      </c>
      <c r="BH187" t="e">
        <f>'All regions'!B4676+"n/&gt;!)&amp;5"</f>
        <v>#VALUE!</v>
      </c>
      <c r="BI187" t="e">
        <f>'All regions'!C4676+"n/&gt;!)&amp;6"</f>
        <v>#VALUE!</v>
      </c>
      <c r="BJ187" t="e">
        <f>'All regions'!D4676+"n/&gt;!)&amp;7"</f>
        <v>#VALUE!</v>
      </c>
      <c r="BK187" t="e">
        <f>'All regions'!E4676+"n/&gt;!)&amp;8"</f>
        <v>#VALUE!</v>
      </c>
      <c r="BL187" t="e">
        <f>'All regions'!F4676+"n/&gt;!)&amp;9"</f>
        <v>#VALUE!</v>
      </c>
      <c r="BM187" t="e">
        <f>'All regions'!G4676+"n/&gt;!)&amp;:"</f>
        <v>#VALUE!</v>
      </c>
      <c r="BN187" t="e">
        <f>'All regions'!H4676+"n/&gt;!)&amp;;"</f>
        <v>#VALUE!</v>
      </c>
      <c r="BO187" t="e">
        <f>'All regions'!I4676+"n/&gt;!)&amp;&lt;"</f>
        <v>#VALUE!</v>
      </c>
      <c r="BP187" t="e">
        <f>'All regions'!J4676+"n/&gt;!)&amp;="</f>
        <v>#VALUE!</v>
      </c>
      <c r="BQ187" t="e">
        <f>'All regions'!A4677+"n/&gt;!)&amp;&gt;"</f>
        <v>#VALUE!</v>
      </c>
      <c r="BR187" t="e">
        <f>'All regions'!B4677+"n/&gt;!)&amp;?"</f>
        <v>#VALUE!</v>
      </c>
      <c r="BS187" t="e">
        <f>'All regions'!C4677+"n/&gt;!)&amp;@"</f>
        <v>#VALUE!</v>
      </c>
      <c r="BT187" t="e">
        <f>'All regions'!D4677+"n/&gt;!)&amp;A"</f>
        <v>#VALUE!</v>
      </c>
      <c r="BU187" t="e">
        <f>'All regions'!E4677+"n/&gt;!)&amp;B"</f>
        <v>#VALUE!</v>
      </c>
      <c r="BV187" t="e">
        <f>'All regions'!F4677+"n/&gt;!)&amp;C"</f>
        <v>#VALUE!</v>
      </c>
      <c r="BW187" t="e">
        <f>'All regions'!G4677+"n/&gt;!)&amp;D"</f>
        <v>#VALUE!</v>
      </c>
      <c r="BX187" t="e">
        <f>'All regions'!H4677+"n/&gt;!)&amp;E"</f>
        <v>#VALUE!</v>
      </c>
      <c r="BY187" t="e">
        <f>'All regions'!I4677+"n/&gt;!)&amp;F"</f>
        <v>#VALUE!</v>
      </c>
      <c r="BZ187" t="e">
        <f>'All regions'!J4677+"n/&gt;!)&amp;G"</f>
        <v>#VALUE!</v>
      </c>
      <c r="CA187" t="e">
        <f>'All regions'!A4678+"n/&gt;!)&amp;H"</f>
        <v>#VALUE!</v>
      </c>
      <c r="CB187" t="e">
        <f>'All regions'!B4678+"n/&gt;!)&amp;I"</f>
        <v>#VALUE!</v>
      </c>
      <c r="CC187" t="e">
        <f>'All regions'!C4678+"n/&gt;!)&amp;J"</f>
        <v>#VALUE!</v>
      </c>
      <c r="CD187" t="e">
        <f>'All regions'!D4678+"n/&gt;!)&amp;K"</f>
        <v>#VALUE!</v>
      </c>
      <c r="CE187" t="e">
        <f>'All regions'!E4678+"n/&gt;!)&amp;L"</f>
        <v>#VALUE!</v>
      </c>
      <c r="CF187" t="e">
        <f>'All regions'!F4678+"n/&gt;!)&amp;M"</f>
        <v>#VALUE!</v>
      </c>
      <c r="CG187" t="e">
        <f>'All regions'!G4678+"n/&gt;!)&amp;N"</f>
        <v>#VALUE!</v>
      </c>
      <c r="CH187" t="e">
        <f>'All regions'!H4678+"n/&gt;!)&amp;O"</f>
        <v>#VALUE!</v>
      </c>
      <c r="CI187" t="e">
        <f>'All regions'!I4678+"n/&gt;!)&amp;P"</f>
        <v>#VALUE!</v>
      </c>
      <c r="CJ187" t="e">
        <f>'All regions'!J4678+"n/&gt;!)&amp;Q"</f>
        <v>#VALUE!</v>
      </c>
      <c r="CK187" t="e">
        <f>'All regions'!A4679+"n/&gt;!)&amp;R"</f>
        <v>#VALUE!</v>
      </c>
      <c r="CL187" t="e">
        <f>'All regions'!B4679+"n/&gt;!)&amp;S"</f>
        <v>#VALUE!</v>
      </c>
      <c r="CM187" t="e">
        <f>'All regions'!C4679+"n/&gt;!)&amp;T"</f>
        <v>#VALUE!</v>
      </c>
      <c r="CN187" t="e">
        <f>'All regions'!D4679+"n/&gt;!)&amp;U"</f>
        <v>#VALUE!</v>
      </c>
      <c r="CO187" t="e">
        <f>'All regions'!E4679+"n/&gt;!)&amp;V"</f>
        <v>#VALUE!</v>
      </c>
      <c r="CP187" t="e">
        <f>'All regions'!F4679+"n/&gt;!)&amp;W"</f>
        <v>#VALUE!</v>
      </c>
      <c r="CQ187" t="e">
        <f>'All regions'!G4679+"n/&gt;!)&amp;X"</f>
        <v>#VALUE!</v>
      </c>
      <c r="CR187" t="e">
        <f>'All regions'!H4679+"n/&gt;!)&amp;Y"</f>
        <v>#VALUE!</v>
      </c>
      <c r="CS187" t="e">
        <f>'All regions'!I4679+"n/&gt;!)&amp;Z"</f>
        <v>#VALUE!</v>
      </c>
      <c r="CT187" t="e">
        <f>'All regions'!J4679+"n/&gt;!)&amp;["</f>
        <v>#VALUE!</v>
      </c>
      <c r="CU187" t="e">
        <f>'All regions'!A4680+"n/&gt;!)&amp;\"</f>
        <v>#VALUE!</v>
      </c>
      <c r="CV187" t="e">
        <f>'All regions'!B4680+"n/&gt;!)&amp;]"</f>
        <v>#VALUE!</v>
      </c>
      <c r="CW187" t="e">
        <f>'All regions'!C4680+"n/&gt;!)&amp;^"</f>
        <v>#VALUE!</v>
      </c>
      <c r="CX187" t="e">
        <f>'All regions'!D4680+"n/&gt;!)&amp;_"</f>
        <v>#VALUE!</v>
      </c>
      <c r="CY187" t="e">
        <f>'All regions'!E4680+"n/&gt;!)&amp;`"</f>
        <v>#VALUE!</v>
      </c>
      <c r="CZ187" t="e">
        <f>'All regions'!F4680+"n/&gt;!)&amp;a"</f>
        <v>#VALUE!</v>
      </c>
      <c r="DA187" t="e">
        <f>'All regions'!G4680+"n/&gt;!)&amp;b"</f>
        <v>#VALUE!</v>
      </c>
      <c r="DB187" t="e">
        <f>'All regions'!H4680+"n/&gt;!)&amp;c"</f>
        <v>#VALUE!</v>
      </c>
      <c r="DC187" t="e">
        <f>'All regions'!I4680+"n/&gt;!)&amp;d"</f>
        <v>#VALUE!</v>
      </c>
      <c r="DD187" t="e">
        <f>'All regions'!J4680+"n/&gt;!)&amp;e"</f>
        <v>#VALUE!</v>
      </c>
      <c r="DE187" t="e">
        <f>'All regions'!A4681+"n/&gt;!)&amp;f"</f>
        <v>#VALUE!</v>
      </c>
      <c r="DF187" t="e">
        <f>'All regions'!B4681+"n/&gt;!)&amp;g"</f>
        <v>#VALUE!</v>
      </c>
      <c r="DG187" t="e">
        <f>'All regions'!C4681+"n/&gt;!)&amp;h"</f>
        <v>#VALUE!</v>
      </c>
      <c r="DH187" t="e">
        <f>'All regions'!D4681+"n/&gt;!)&amp;i"</f>
        <v>#VALUE!</v>
      </c>
      <c r="DI187" t="e">
        <f>'All regions'!E4681+"n/&gt;!)&amp;j"</f>
        <v>#VALUE!</v>
      </c>
      <c r="DJ187" t="e">
        <f>'All regions'!F4681+"n/&gt;!)&amp;k"</f>
        <v>#VALUE!</v>
      </c>
      <c r="DK187" t="e">
        <f>'All regions'!G4681+"n/&gt;!)&amp;l"</f>
        <v>#VALUE!</v>
      </c>
      <c r="DL187" t="e">
        <f>'All regions'!H4681+"n/&gt;!)&amp;m"</f>
        <v>#VALUE!</v>
      </c>
      <c r="DM187" t="e">
        <f>'All regions'!I4681+"n/&gt;!)&amp;n"</f>
        <v>#VALUE!</v>
      </c>
      <c r="DN187" t="e">
        <f>'All regions'!J4681+"n/&gt;!)&amp;o"</f>
        <v>#VALUE!</v>
      </c>
      <c r="DO187" t="e">
        <f>'All regions'!A4682+"n/&gt;!)&amp;p"</f>
        <v>#VALUE!</v>
      </c>
      <c r="DP187" t="e">
        <f>'All regions'!B4682+"n/&gt;!)&amp;q"</f>
        <v>#VALUE!</v>
      </c>
      <c r="DQ187" t="e">
        <f>'All regions'!C4682+"n/&gt;!)&amp;r"</f>
        <v>#VALUE!</v>
      </c>
      <c r="DR187" t="e">
        <f>'All regions'!D4682+"n/&gt;!)&amp;s"</f>
        <v>#VALUE!</v>
      </c>
      <c r="DS187" t="e">
        <f>'All regions'!E4682+"n/&gt;!)&amp;t"</f>
        <v>#VALUE!</v>
      </c>
      <c r="DT187" t="e">
        <f>'All regions'!F4682+"n/&gt;!)&amp;u"</f>
        <v>#VALUE!</v>
      </c>
      <c r="DU187" t="e">
        <f>'All regions'!G4682+"n/&gt;!)&amp;v"</f>
        <v>#VALUE!</v>
      </c>
      <c r="DV187" t="e">
        <f>'All regions'!H4682+"n/&gt;!)&amp;w"</f>
        <v>#VALUE!</v>
      </c>
      <c r="DW187" t="e">
        <f>'All regions'!I4682+"n/&gt;!)&amp;x"</f>
        <v>#VALUE!</v>
      </c>
      <c r="DX187" t="e">
        <f>'All regions'!J4682+"n/&gt;!)&amp;y"</f>
        <v>#VALUE!</v>
      </c>
      <c r="DY187" t="e">
        <f>'All regions'!A4683+"n/&gt;!)&amp;z"</f>
        <v>#VALUE!</v>
      </c>
      <c r="DZ187" t="e">
        <f>'All regions'!B4683+"n/&gt;!)&amp;{"</f>
        <v>#VALUE!</v>
      </c>
      <c r="EA187" t="e">
        <f>'All regions'!C4683+"n/&gt;!)&amp;|"</f>
        <v>#VALUE!</v>
      </c>
      <c r="EB187" t="e">
        <f>'All regions'!D4683+"n/&gt;!)&amp;}"</f>
        <v>#VALUE!</v>
      </c>
      <c r="EC187" t="e">
        <f>'All regions'!E4683+"n/&gt;!)&amp;~"</f>
        <v>#VALUE!</v>
      </c>
      <c r="ED187" t="e">
        <f>'All regions'!F4683+"n/&gt;!)'#"</f>
        <v>#VALUE!</v>
      </c>
      <c r="EE187" t="e">
        <f>'All regions'!G4683+"n/&gt;!)'$"</f>
        <v>#VALUE!</v>
      </c>
      <c r="EF187" t="e">
        <f>'All regions'!H4683+"n/&gt;!)'%"</f>
        <v>#VALUE!</v>
      </c>
      <c r="EG187" t="e">
        <f>'All regions'!I4683+"n/&gt;!)'&amp;"</f>
        <v>#VALUE!</v>
      </c>
      <c r="EH187" t="e">
        <f>'All regions'!J4683+"n/&gt;!)''"</f>
        <v>#VALUE!</v>
      </c>
      <c r="EI187" t="e">
        <f>'All regions'!A4684+"n/&gt;!)'("</f>
        <v>#VALUE!</v>
      </c>
      <c r="EJ187" t="e">
        <f>'All regions'!B4684+"n/&gt;!)')"</f>
        <v>#VALUE!</v>
      </c>
      <c r="EK187" t="e">
        <f>'All regions'!C4684+"n/&gt;!)'."</f>
        <v>#VALUE!</v>
      </c>
      <c r="EL187" t="e">
        <f>'All regions'!D4684+"n/&gt;!)'/"</f>
        <v>#VALUE!</v>
      </c>
      <c r="EM187" t="e">
        <f>'All regions'!E4684+"n/&gt;!)'0"</f>
        <v>#VALUE!</v>
      </c>
      <c r="EN187" t="e">
        <f>'All regions'!F4684+"n/&gt;!)'1"</f>
        <v>#VALUE!</v>
      </c>
      <c r="EO187" t="e">
        <f>'All regions'!G4684+"n/&gt;!)'2"</f>
        <v>#VALUE!</v>
      </c>
      <c r="EP187" t="e">
        <f>'All regions'!H4684+"n/&gt;!)'3"</f>
        <v>#VALUE!</v>
      </c>
      <c r="EQ187" t="e">
        <f>'All regions'!I4684+"n/&gt;!)'4"</f>
        <v>#VALUE!</v>
      </c>
      <c r="ER187" t="e">
        <f>'All regions'!J4684+"n/&gt;!)'5"</f>
        <v>#VALUE!</v>
      </c>
      <c r="ES187" t="e">
        <f>'All regions'!A4685+"n/&gt;!)'6"</f>
        <v>#VALUE!</v>
      </c>
      <c r="ET187" t="e">
        <f>'All regions'!B4685+"n/&gt;!)'7"</f>
        <v>#VALUE!</v>
      </c>
      <c r="EU187" t="e">
        <f>'All regions'!C4685+"n/&gt;!)'8"</f>
        <v>#VALUE!</v>
      </c>
      <c r="EV187" t="e">
        <f>'All regions'!D4685+"n/&gt;!)'9"</f>
        <v>#VALUE!</v>
      </c>
      <c r="EW187" t="e">
        <f>'All regions'!E4685+"n/&gt;!)':"</f>
        <v>#VALUE!</v>
      </c>
      <c r="EX187" t="e">
        <f>'All regions'!F4685+"n/&gt;!)';"</f>
        <v>#VALUE!</v>
      </c>
      <c r="EY187" t="e">
        <f>'All regions'!G4685+"n/&gt;!)'&lt;"</f>
        <v>#VALUE!</v>
      </c>
      <c r="EZ187" t="e">
        <f>'All regions'!H4685+"n/&gt;!)'="</f>
        <v>#VALUE!</v>
      </c>
      <c r="FA187" t="e">
        <f>'All regions'!I4685+"n/&gt;!)'&gt;"</f>
        <v>#VALUE!</v>
      </c>
      <c r="FB187" t="e">
        <f>'All regions'!J4685+"n/&gt;!)'?"</f>
        <v>#VALUE!</v>
      </c>
      <c r="FC187" t="e">
        <f>'All regions'!A4686+"n/&gt;!)'@"</f>
        <v>#VALUE!</v>
      </c>
      <c r="FD187" t="e">
        <f>'All regions'!B4686+"n/&gt;!)'A"</f>
        <v>#VALUE!</v>
      </c>
      <c r="FE187" t="e">
        <f>'All regions'!C4686+"n/&gt;!)'B"</f>
        <v>#VALUE!</v>
      </c>
      <c r="FF187" t="e">
        <f>'All regions'!D4686+"n/&gt;!)'C"</f>
        <v>#VALUE!</v>
      </c>
      <c r="FG187" t="e">
        <f>'All regions'!E4686+"n/&gt;!)'D"</f>
        <v>#VALUE!</v>
      </c>
      <c r="FH187" t="e">
        <f>'All regions'!F4686+"n/&gt;!)'E"</f>
        <v>#VALUE!</v>
      </c>
      <c r="FI187" t="e">
        <f>'All regions'!G4686+"n/&gt;!)'F"</f>
        <v>#VALUE!</v>
      </c>
      <c r="FJ187" t="e">
        <f>'All regions'!H4686+"n/&gt;!)'G"</f>
        <v>#VALUE!</v>
      </c>
      <c r="FK187" t="e">
        <f>'All regions'!I4686+"n/&gt;!)'H"</f>
        <v>#VALUE!</v>
      </c>
      <c r="FL187" t="e">
        <f>'All regions'!J4686+"n/&gt;!)'I"</f>
        <v>#VALUE!</v>
      </c>
      <c r="FM187" t="e">
        <f>'All regions'!A4687+"n/&gt;!)'J"</f>
        <v>#VALUE!</v>
      </c>
      <c r="FN187" t="e">
        <f>'All regions'!B4687+"n/&gt;!)'K"</f>
        <v>#VALUE!</v>
      </c>
      <c r="FO187" t="e">
        <f>'All regions'!C4687+"n/&gt;!)'L"</f>
        <v>#VALUE!</v>
      </c>
      <c r="FP187" t="e">
        <f>'All regions'!D4687+"n/&gt;!)'M"</f>
        <v>#VALUE!</v>
      </c>
      <c r="FQ187" t="e">
        <f>'All regions'!E4687+"n/&gt;!)'N"</f>
        <v>#VALUE!</v>
      </c>
      <c r="FR187" t="e">
        <f>'All regions'!F4687+"n/&gt;!)'O"</f>
        <v>#VALUE!</v>
      </c>
      <c r="FS187" t="e">
        <f>'All regions'!G4687+"n/&gt;!)'P"</f>
        <v>#VALUE!</v>
      </c>
      <c r="FT187" t="e">
        <f>'All regions'!H4687+"n/&gt;!)'Q"</f>
        <v>#VALUE!</v>
      </c>
      <c r="FU187" t="e">
        <f>'All regions'!I4687+"n/&gt;!)'R"</f>
        <v>#VALUE!</v>
      </c>
      <c r="FV187" t="e">
        <f>'All regions'!J4687+"n/&gt;!)'S"</f>
        <v>#VALUE!</v>
      </c>
      <c r="FW187" t="e">
        <f>'All regions'!A4688+"n/&gt;!)'T"</f>
        <v>#VALUE!</v>
      </c>
      <c r="FX187" t="e">
        <f>'All regions'!B4688+"n/&gt;!)'U"</f>
        <v>#VALUE!</v>
      </c>
      <c r="FY187" t="e">
        <f>'All regions'!C4688+"n/&gt;!)'V"</f>
        <v>#VALUE!</v>
      </c>
      <c r="FZ187" t="e">
        <f>'All regions'!D4688+"n/&gt;!)'W"</f>
        <v>#VALUE!</v>
      </c>
      <c r="GA187" t="e">
        <f>'All regions'!E4688+"n/&gt;!)'X"</f>
        <v>#VALUE!</v>
      </c>
      <c r="GB187" t="e">
        <f>'All regions'!F4688+"n/&gt;!)'Y"</f>
        <v>#VALUE!</v>
      </c>
      <c r="GC187" t="e">
        <f>'All regions'!G4688+"n/&gt;!)'Z"</f>
        <v>#VALUE!</v>
      </c>
      <c r="GD187" t="e">
        <f>'All regions'!H4688+"n/&gt;!)'["</f>
        <v>#VALUE!</v>
      </c>
      <c r="GE187" t="e">
        <f>'All regions'!I4688+"n/&gt;!)'\"</f>
        <v>#VALUE!</v>
      </c>
      <c r="GF187" t="e">
        <f>'All regions'!J4688+"n/&gt;!)']"</f>
        <v>#VALUE!</v>
      </c>
      <c r="GG187" t="e">
        <f>'All regions'!A4689+"n/&gt;!)'^"</f>
        <v>#VALUE!</v>
      </c>
      <c r="GH187" t="e">
        <f>'All regions'!B4689+"n/&gt;!)'_"</f>
        <v>#VALUE!</v>
      </c>
      <c r="GI187" t="e">
        <f>'All regions'!C4689+"n/&gt;!)'`"</f>
        <v>#VALUE!</v>
      </c>
      <c r="GJ187" t="e">
        <f>'All regions'!D4689+"n/&gt;!)'a"</f>
        <v>#VALUE!</v>
      </c>
      <c r="GK187" t="e">
        <f>'All regions'!E4689+"n/&gt;!)'b"</f>
        <v>#VALUE!</v>
      </c>
      <c r="GL187" t="e">
        <f>'All regions'!F4689+"n/&gt;!)'c"</f>
        <v>#VALUE!</v>
      </c>
      <c r="GM187" t="e">
        <f>'All regions'!G4689+"n/&gt;!)'d"</f>
        <v>#VALUE!</v>
      </c>
      <c r="GN187" t="e">
        <f>'All regions'!H4689+"n/&gt;!)'e"</f>
        <v>#VALUE!</v>
      </c>
      <c r="GO187" t="e">
        <f>'All regions'!I4689+"n/&gt;!)'f"</f>
        <v>#VALUE!</v>
      </c>
      <c r="GP187" t="e">
        <f>'All regions'!J4689+"n/&gt;!)'g"</f>
        <v>#VALUE!</v>
      </c>
      <c r="GQ187" t="e">
        <f>'All regions'!A4690+"n/&gt;!)'h"</f>
        <v>#VALUE!</v>
      </c>
      <c r="GR187" t="e">
        <f>'All regions'!B4690+"n/&gt;!)'i"</f>
        <v>#VALUE!</v>
      </c>
      <c r="GS187" t="e">
        <f>'All regions'!C4690+"n/&gt;!)'j"</f>
        <v>#VALUE!</v>
      </c>
      <c r="GT187" t="e">
        <f>'All regions'!D4690+"n/&gt;!)'k"</f>
        <v>#VALUE!</v>
      </c>
      <c r="GU187" t="e">
        <f>'All regions'!E4690+"n/&gt;!)'l"</f>
        <v>#VALUE!</v>
      </c>
      <c r="GV187" t="e">
        <f>'All regions'!F4690+"n/&gt;!)'m"</f>
        <v>#VALUE!</v>
      </c>
      <c r="GW187" t="e">
        <f>'All regions'!G4690+"n/&gt;!)'n"</f>
        <v>#VALUE!</v>
      </c>
      <c r="GX187" t="e">
        <f>'All regions'!H4690+"n/&gt;!)'o"</f>
        <v>#VALUE!</v>
      </c>
      <c r="GY187" t="e">
        <f>'All regions'!I4690+"n/&gt;!)'p"</f>
        <v>#VALUE!</v>
      </c>
      <c r="GZ187" t="e">
        <f>'All regions'!J4690+"n/&gt;!)'q"</f>
        <v>#VALUE!</v>
      </c>
      <c r="HA187" t="e">
        <f>'All regions'!A4691+"n/&gt;!)'r"</f>
        <v>#VALUE!</v>
      </c>
      <c r="HB187" t="e">
        <f>'All regions'!B4691+"n/&gt;!)'s"</f>
        <v>#VALUE!</v>
      </c>
      <c r="HC187" t="e">
        <f>'All regions'!C4691+"n/&gt;!)'t"</f>
        <v>#VALUE!</v>
      </c>
      <c r="HD187" t="e">
        <f>'All regions'!D4691+"n/&gt;!)'u"</f>
        <v>#VALUE!</v>
      </c>
      <c r="HE187" t="e">
        <f>'All regions'!E4691+"n/&gt;!)'v"</f>
        <v>#VALUE!</v>
      </c>
      <c r="HF187" t="e">
        <f>'All regions'!F4691+"n/&gt;!)'w"</f>
        <v>#VALUE!</v>
      </c>
      <c r="HG187" t="e">
        <f>'All regions'!G4691+"n/&gt;!)'x"</f>
        <v>#VALUE!</v>
      </c>
      <c r="HH187" t="e">
        <f>'All regions'!H4691+"n/&gt;!)'y"</f>
        <v>#VALUE!</v>
      </c>
      <c r="HI187" t="e">
        <f>'All regions'!I4691+"n/&gt;!)'z"</f>
        <v>#VALUE!</v>
      </c>
      <c r="HJ187" t="e">
        <f>'All regions'!J4691+"n/&gt;!)'{"</f>
        <v>#VALUE!</v>
      </c>
      <c r="HK187" t="e">
        <f>'All regions'!A4692+"n/&gt;!)'|"</f>
        <v>#VALUE!</v>
      </c>
      <c r="HL187" t="e">
        <f>'All regions'!B4692+"n/&gt;!)'}"</f>
        <v>#VALUE!</v>
      </c>
      <c r="HM187" t="e">
        <f>'All regions'!C4692+"n/&gt;!)'~"</f>
        <v>#VALUE!</v>
      </c>
      <c r="HN187" t="e">
        <f>'All regions'!D4692+"n/&gt;!)(#"</f>
        <v>#VALUE!</v>
      </c>
      <c r="HO187" t="e">
        <f>'All regions'!E4692+"n/&gt;!)($"</f>
        <v>#VALUE!</v>
      </c>
      <c r="HP187" t="e">
        <f>'All regions'!F4692+"n/&gt;!)(%"</f>
        <v>#VALUE!</v>
      </c>
      <c r="HQ187" t="e">
        <f>'All regions'!G4692+"n/&gt;!)(&amp;"</f>
        <v>#VALUE!</v>
      </c>
      <c r="HR187" t="e">
        <f>'All regions'!H4692+"n/&gt;!)('"</f>
        <v>#VALUE!</v>
      </c>
      <c r="HS187" t="e">
        <f>'All regions'!I4692+"n/&gt;!)(("</f>
        <v>#VALUE!</v>
      </c>
      <c r="HT187" t="e">
        <f>'All regions'!J4692+"n/&gt;!)()"</f>
        <v>#VALUE!</v>
      </c>
      <c r="HU187" t="e">
        <f>'All regions'!A4693+"n/&gt;!)(."</f>
        <v>#VALUE!</v>
      </c>
      <c r="HV187" t="e">
        <f>'All regions'!B4693+"n/&gt;!)(/"</f>
        <v>#VALUE!</v>
      </c>
      <c r="HW187" t="e">
        <f>'All regions'!C4693+"n/&gt;!)(0"</f>
        <v>#VALUE!</v>
      </c>
      <c r="HX187" t="e">
        <f>'All regions'!D4693+"n/&gt;!)(1"</f>
        <v>#VALUE!</v>
      </c>
      <c r="HY187" t="e">
        <f>'All regions'!E4693+"n/&gt;!)(2"</f>
        <v>#VALUE!</v>
      </c>
      <c r="HZ187" t="e">
        <f>'All regions'!F4693+"n/&gt;!)(3"</f>
        <v>#VALUE!</v>
      </c>
      <c r="IA187" t="e">
        <f>'All regions'!G4693+"n/&gt;!)(4"</f>
        <v>#VALUE!</v>
      </c>
      <c r="IB187" t="e">
        <f>'All regions'!H4693+"n/&gt;!)(5"</f>
        <v>#VALUE!</v>
      </c>
      <c r="IC187" t="e">
        <f>'All regions'!I4693+"n/&gt;!)(6"</f>
        <v>#VALUE!</v>
      </c>
      <c r="ID187" t="e">
        <f>'All regions'!J4693+"n/&gt;!)(7"</f>
        <v>#VALUE!</v>
      </c>
      <c r="IE187" t="e">
        <f>'All regions'!A4694+"n/&gt;!)(8"</f>
        <v>#VALUE!</v>
      </c>
      <c r="IF187" t="e">
        <f>'All regions'!B4694+"n/&gt;!)(9"</f>
        <v>#VALUE!</v>
      </c>
      <c r="IG187" t="e">
        <f>'All regions'!C4694+"n/&gt;!)(:"</f>
        <v>#VALUE!</v>
      </c>
      <c r="IH187" t="e">
        <f>'All regions'!D4694+"n/&gt;!)(;"</f>
        <v>#VALUE!</v>
      </c>
      <c r="II187" t="e">
        <f>'All regions'!E4694+"n/&gt;!)(&lt;"</f>
        <v>#VALUE!</v>
      </c>
      <c r="IJ187" t="e">
        <f>'All regions'!F4694+"n/&gt;!)(="</f>
        <v>#VALUE!</v>
      </c>
      <c r="IK187" t="e">
        <f>'All regions'!G4694+"n/&gt;!)(&gt;"</f>
        <v>#VALUE!</v>
      </c>
      <c r="IL187" t="e">
        <f>'All regions'!H4694+"n/&gt;!)(?"</f>
        <v>#VALUE!</v>
      </c>
      <c r="IM187" t="e">
        <f>'All regions'!I4694+"n/&gt;!)(@"</f>
        <v>#VALUE!</v>
      </c>
      <c r="IN187" t="e">
        <f>'All regions'!J4694+"n/&gt;!)(A"</f>
        <v>#VALUE!</v>
      </c>
      <c r="IO187" t="e">
        <f>'All regions'!A4695+"n/&gt;!)(B"</f>
        <v>#VALUE!</v>
      </c>
      <c r="IP187" t="e">
        <f>'All regions'!B4695+"n/&gt;!)(C"</f>
        <v>#VALUE!</v>
      </c>
      <c r="IQ187" t="e">
        <f>'All regions'!C4695+"n/&gt;!)(D"</f>
        <v>#VALUE!</v>
      </c>
      <c r="IR187" t="e">
        <f>'All regions'!D4695+"n/&gt;!)(E"</f>
        <v>#VALUE!</v>
      </c>
      <c r="IS187" t="e">
        <f>'All regions'!E4695+"n/&gt;!)(F"</f>
        <v>#VALUE!</v>
      </c>
      <c r="IT187" t="e">
        <f>'All regions'!F4695+"n/&gt;!)(G"</f>
        <v>#VALUE!</v>
      </c>
      <c r="IU187" t="e">
        <f>'All regions'!G4695+"n/&gt;!)(H"</f>
        <v>#VALUE!</v>
      </c>
      <c r="IV187" t="e">
        <f>'All regions'!H4695+"n/&gt;!)(I"</f>
        <v>#VALUE!</v>
      </c>
    </row>
    <row r="188" spans="6:256" x14ac:dyDescent="0.35">
      <c r="F188" t="e">
        <f>'All regions'!I4695+"n/&gt;!)(J"</f>
        <v>#VALUE!</v>
      </c>
      <c r="G188" t="e">
        <f>'All regions'!J4695+"n/&gt;!)(K"</f>
        <v>#VALUE!</v>
      </c>
      <c r="H188" t="e">
        <f>'All regions'!A4696+"n/&gt;!)(L"</f>
        <v>#VALUE!</v>
      </c>
      <c r="I188" t="e">
        <f>'All regions'!B4696+"n/&gt;!)(M"</f>
        <v>#VALUE!</v>
      </c>
      <c r="J188" t="e">
        <f>'All regions'!C4696+"n/&gt;!)(N"</f>
        <v>#VALUE!</v>
      </c>
      <c r="K188" t="e">
        <f>'All regions'!D4696+"n/&gt;!)(O"</f>
        <v>#VALUE!</v>
      </c>
      <c r="L188" t="e">
        <f>'All regions'!E4696+"n/&gt;!)(P"</f>
        <v>#VALUE!</v>
      </c>
      <c r="M188" t="e">
        <f>'All regions'!F4696+"n/&gt;!)(Q"</f>
        <v>#VALUE!</v>
      </c>
      <c r="N188" t="e">
        <f>'All regions'!G4696+"n/&gt;!)(R"</f>
        <v>#VALUE!</v>
      </c>
      <c r="O188" t="e">
        <f>'All regions'!H4696+"n/&gt;!)(S"</f>
        <v>#VALUE!</v>
      </c>
      <c r="P188" t="e">
        <f>'All regions'!I4696+"n/&gt;!)(T"</f>
        <v>#VALUE!</v>
      </c>
      <c r="Q188" t="e">
        <f>'All regions'!J4696+"n/&gt;!)(U"</f>
        <v>#VALUE!</v>
      </c>
      <c r="R188" t="e">
        <f>'All regions'!A4697+"n/&gt;!)(V"</f>
        <v>#VALUE!</v>
      </c>
      <c r="S188" t="e">
        <f>'All regions'!B4697+"n/&gt;!)(W"</f>
        <v>#VALUE!</v>
      </c>
      <c r="T188" t="e">
        <f>'All regions'!C4697+"n/&gt;!)(X"</f>
        <v>#VALUE!</v>
      </c>
      <c r="U188" t="e">
        <f>'All regions'!D4697+"n/&gt;!)(Y"</f>
        <v>#VALUE!</v>
      </c>
      <c r="V188" t="e">
        <f>'All regions'!E4697+"n/&gt;!)(Z"</f>
        <v>#VALUE!</v>
      </c>
      <c r="W188" t="e">
        <f>'All regions'!F4697+"n/&gt;!)(["</f>
        <v>#VALUE!</v>
      </c>
      <c r="X188" t="e">
        <f>'All regions'!G4697+"n/&gt;!)(\"</f>
        <v>#VALUE!</v>
      </c>
      <c r="Y188" t="e">
        <f>'All regions'!H4697+"n/&gt;!)(]"</f>
        <v>#VALUE!</v>
      </c>
      <c r="Z188" t="e">
        <f>'All regions'!I4697+"n/&gt;!)(^"</f>
        <v>#VALUE!</v>
      </c>
      <c r="AA188" t="e">
        <f>'All regions'!J4697+"n/&gt;!)(_"</f>
        <v>#VALUE!</v>
      </c>
      <c r="AB188" t="e">
        <f>'All regions'!A4698+"n/&gt;!)(`"</f>
        <v>#VALUE!</v>
      </c>
      <c r="AC188" t="e">
        <f>'All regions'!B4698+"n/&gt;!)(a"</f>
        <v>#VALUE!</v>
      </c>
      <c r="AD188" t="e">
        <f>'All regions'!C4698+"n/&gt;!)(b"</f>
        <v>#VALUE!</v>
      </c>
      <c r="AE188" t="e">
        <f>'All regions'!D4698+"n/&gt;!)(c"</f>
        <v>#VALUE!</v>
      </c>
      <c r="AF188" t="e">
        <f>'All regions'!E4698+"n/&gt;!)(d"</f>
        <v>#VALUE!</v>
      </c>
      <c r="AG188" t="e">
        <f>'All regions'!F4698+"n/&gt;!)(e"</f>
        <v>#VALUE!</v>
      </c>
      <c r="AH188" t="e">
        <f>'All regions'!G4698+"n/&gt;!)(f"</f>
        <v>#VALUE!</v>
      </c>
      <c r="AI188" t="e">
        <f>'All regions'!H4698+"n/&gt;!)(g"</f>
        <v>#VALUE!</v>
      </c>
      <c r="AJ188" t="e">
        <f>'All regions'!I4698+"n/&gt;!)(h"</f>
        <v>#VALUE!</v>
      </c>
      <c r="AK188" t="e">
        <f>'All regions'!J4698+"n/&gt;!)(i"</f>
        <v>#VALUE!</v>
      </c>
      <c r="AL188" t="e">
        <f>'All regions'!A4699+"n/&gt;!)(j"</f>
        <v>#VALUE!</v>
      </c>
      <c r="AM188" t="e">
        <f>'All regions'!B4699+"n/&gt;!)(k"</f>
        <v>#VALUE!</v>
      </c>
      <c r="AN188" t="e">
        <f>'All regions'!C4699+"n/&gt;!)(l"</f>
        <v>#VALUE!</v>
      </c>
      <c r="AO188" t="e">
        <f>'All regions'!D4699+"n/&gt;!)(m"</f>
        <v>#VALUE!</v>
      </c>
      <c r="AP188" t="e">
        <f>'All regions'!E4699+"n/&gt;!)(n"</f>
        <v>#VALUE!</v>
      </c>
      <c r="AQ188" t="e">
        <f>'All regions'!F4699+"n/&gt;!)(o"</f>
        <v>#VALUE!</v>
      </c>
      <c r="AR188" t="e">
        <f>'All regions'!G4699+"n/&gt;!)(p"</f>
        <v>#VALUE!</v>
      </c>
      <c r="AS188" t="e">
        <f>'All regions'!H4699+"n/&gt;!)(q"</f>
        <v>#VALUE!</v>
      </c>
      <c r="AT188" t="e">
        <f>'All regions'!I4699+"n/&gt;!)(r"</f>
        <v>#VALUE!</v>
      </c>
      <c r="AU188" t="e">
        <f>'All regions'!J4699+"n/&gt;!)(s"</f>
        <v>#VALUE!</v>
      </c>
      <c r="AV188" t="e">
        <f>'All regions'!A4700+"n/&gt;!)(t"</f>
        <v>#VALUE!</v>
      </c>
      <c r="AW188" t="e">
        <f>'All regions'!B4700+"n/&gt;!)(u"</f>
        <v>#VALUE!</v>
      </c>
      <c r="AX188" t="e">
        <f>'All regions'!C4700+"n/&gt;!)(v"</f>
        <v>#VALUE!</v>
      </c>
      <c r="AY188" t="e">
        <f>'All regions'!D4700+"n/&gt;!)(w"</f>
        <v>#VALUE!</v>
      </c>
      <c r="AZ188" t="e">
        <f>'All regions'!E4700+"n/&gt;!)(x"</f>
        <v>#VALUE!</v>
      </c>
      <c r="BA188" t="e">
        <f>'All regions'!F4700+"n/&gt;!)(y"</f>
        <v>#VALUE!</v>
      </c>
      <c r="BB188" t="e">
        <f>'All regions'!G4700+"n/&gt;!)(z"</f>
        <v>#VALUE!</v>
      </c>
      <c r="BC188" t="e">
        <f>'All regions'!H4700+"n/&gt;!)({"</f>
        <v>#VALUE!</v>
      </c>
      <c r="BD188" t="e">
        <f>'All regions'!I4700+"n/&gt;!)(|"</f>
        <v>#VALUE!</v>
      </c>
      <c r="BE188" t="e">
        <f>'All regions'!J4700+"n/&gt;!)(}"</f>
        <v>#VALUE!</v>
      </c>
      <c r="BF188" t="e">
        <f>'All regions'!A4701+"n/&gt;!)(~"</f>
        <v>#VALUE!</v>
      </c>
      <c r="BG188" t="e">
        <f>'All regions'!B4701+"n/&gt;!))#"</f>
        <v>#VALUE!</v>
      </c>
      <c r="BH188" t="e">
        <f>'All regions'!C4701+"n/&gt;!))$"</f>
        <v>#VALUE!</v>
      </c>
      <c r="BI188" t="e">
        <f>'All regions'!D4701+"n/&gt;!))%"</f>
        <v>#VALUE!</v>
      </c>
      <c r="BJ188" t="e">
        <f>'All regions'!E4701+"n/&gt;!))&amp;"</f>
        <v>#VALUE!</v>
      </c>
      <c r="BK188" t="e">
        <f>'All regions'!F4701+"n/&gt;!))'"</f>
        <v>#VALUE!</v>
      </c>
      <c r="BL188" t="e">
        <f>'All regions'!G4701+"n/&gt;!))("</f>
        <v>#VALUE!</v>
      </c>
      <c r="BM188" t="e">
        <f>'All regions'!H4701+"n/&gt;!)))"</f>
        <v>#VALUE!</v>
      </c>
      <c r="BN188" t="e">
        <f>'All regions'!I4701+"n/&gt;!))."</f>
        <v>#VALUE!</v>
      </c>
      <c r="BO188" t="e">
        <f>'All regions'!J4701+"n/&gt;!))/"</f>
        <v>#VALUE!</v>
      </c>
      <c r="BP188" t="e">
        <f>'All regions'!A4702+"n/&gt;!))0"</f>
        <v>#VALUE!</v>
      </c>
      <c r="BQ188" t="e">
        <f>'All regions'!B4702+"n/&gt;!))1"</f>
        <v>#VALUE!</v>
      </c>
      <c r="BR188" t="e">
        <f>'All regions'!C4702+"n/&gt;!))2"</f>
        <v>#VALUE!</v>
      </c>
      <c r="BS188" t="e">
        <f>'All regions'!D4702+"n/&gt;!))3"</f>
        <v>#VALUE!</v>
      </c>
      <c r="BT188" t="e">
        <f>'All regions'!E4702+"n/&gt;!))4"</f>
        <v>#VALUE!</v>
      </c>
      <c r="BU188" t="e">
        <f>'All regions'!F4702+"n/&gt;!))5"</f>
        <v>#VALUE!</v>
      </c>
      <c r="BV188" t="e">
        <f>'All regions'!G4702+"n/&gt;!))6"</f>
        <v>#VALUE!</v>
      </c>
      <c r="BW188" t="e">
        <f>'All regions'!H4702+"n/&gt;!))7"</f>
        <v>#VALUE!</v>
      </c>
      <c r="BX188" t="e">
        <f>'All regions'!I4702+"n/&gt;!))8"</f>
        <v>#VALUE!</v>
      </c>
      <c r="BY188" t="e">
        <f>'All regions'!J4702+"n/&gt;!))9"</f>
        <v>#VALUE!</v>
      </c>
      <c r="BZ188" t="e">
        <f>'All regions'!A4703+"n/&gt;!)):"</f>
        <v>#VALUE!</v>
      </c>
      <c r="CA188" t="e">
        <f>'All regions'!B4703+"n/&gt;!));"</f>
        <v>#VALUE!</v>
      </c>
      <c r="CB188" t="e">
        <f>'All regions'!C4703+"n/&gt;!))&lt;"</f>
        <v>#VALUE!</v>
      </c>
      <c r="CC188" t="e">
        <f>'All regions'!D4703+"n/&gt;!))="</f>
        <v>#VALUE!</v>
      </c>
      <c r="CD188" t="e">
        <f>'All regions'!E4703+"n/&gt;!))&gt;"</f>
        <v>#VALUE!</v>
      </c>
      <c r="CE188" t="e">
        <f>'All regions'!F4703+"n/&gt;!))?"</f>
        <v>#VALUE!</v>
      </c>
      <c r="CF188" t="e">
        <f>'All regions'!G4703+"n/&gt;!))@"</f>
        <v>#VALUE!</v>
      </c>
      <c r="CG188" t="e">
        <f>'All regions'!H4703+"n/&gt;!))A"</f>
        <v>#VALUE!</v>
      </c>
      <c r="CH188" t="e">
        <f>'All regions'!I4703+"n/&gt;!))B"</f>
        <v>#VALUE!</v>
      </c>
      <c r="CI188" t="e">
        <f>'All regions'!J4703+"n/&gt;!))C"</f>
        <v>#VALUE!</v>
      </c>
      <c r="CJ188" t="e">
        <f>'All regions'!A4704+"n/&gt;!))D"</f>
        <v>#VALUE!</v>
      </c>
      <c r="CK188" t="e">
        <f>'All regions'!B4704+"n/&gt;!))E"</f>
        <v>#VALUE!</v>
      </c>
      <c r="CL188" t="e">
        <f>'All regions'!C4704+"n/&gt;!))F"</f>
        <v>#VALUE!</v>
      </c>
      <c r="CM188" t="e">
        <f>'All regions'!D4704+"n/&gt;!))G"</f>
        <v>#VALUE!</v>
      </c>
      <c r="CN188" t="e">
        <f>'All regions'!E4704+"n/&gt;!))H"</f>
        <v>#VALUE!</v>
      </c>
      <c r="CO188" t="e">
        <f>'All regions'!F4704+"n/&gt;!))I"</f>
        <v>#VALUE!</v>
      </c>
      <c r="CP188" t="e">
        <f>'All regions'!G4704+"n/&gt;!))J"</f>
        <v>#VALUE!</v>
      </c>
      <c r="CQ188" t="e">
        <f>'All regions'!H4704+"n/&gt;!))K"</f>
        <v>#VALUE!</v>
      </c>
      <c r="CR188" t="e">
        <f>'All regions'!I4704+"n/&gt;!))L"</f>
        <v>#VALUE!</v>
      </c>
      <c r="CS188" t="e">
        <f>'All regions'!J4704+"n/&gt;!))M"</f>
        <v>#VALUE!</v>
      </c>
      <c r="CT188" t="e">
        <f>'All regions'!A4705+"n/&gt;!))N"</f>
        <v>#VALUE!</v>
      </c>
      <c r="CU188" t="e">
        <f>'All regions'!B4705+"n/&gt;!))O"</f>
        <v>#VALUE!</v>
      </c>
      <c r="CV188" t="e">
        <f>'All regions'!C4705+"n/&gt;!))P"</f>
        <v>#VALUE!</v>
      </c>
      <c r="CW188" t="e">
        <f>'All regions'!D4705+"n/&gt;!))Q"</f>
        <v>#VALUE!</v>
      </c>
      <c r="CX188" t="e">
        <f>'All regions'!E4705+"n/&gt;!))R"</f>
        <v>#VALUE!</v>
      </c>
      <c r="CY188" t="e">
        <f>'All regions'!F4705+"n/&gt;!))S"</f>
        <v>#VALUE!</v>
      </c>
      <c r="CZ188" t="e">
        <f>'All regions'!G4705+"n/&gt;!))T"</f>
        <v>#VALUE!</v>
      </c>
      <c r="DA188" t="e">
        <f>'All regions'!H4705+"n/&gt;!))U"</f>
        <v>#VALUE!</v>
      </c>
      <c r="DB188" t="e">
        <f>'All regions'!I4705+"n/&gt;!))V"</f>
        <v>#VALUE!</v>
      </c>
      <c r="DC188" t="e">
        <f>'All regions'!J4705+"n/&gt;!))W"</f>
        <v>#VALUE!</v>
      </c>
      <c r="DD188" t="e">
        <f>'All regions'!A4706+"n/&gt;!))X"</f>
        <v>#VALUE!</v>
      </c>
      <c r="DE188" t="e">
        <f>'All regions'!B4706+"n/&gt;!))Y"</f>
        <v>#VALUE!</v>
      </c>
      <c r="DF188" t="e">
        <f>'All regions'!C4706+"n/&gt;!))Z"</f>
        <v>#VALUE!</v>
      </c>
      <c r="DG188" t="e">
        <f>'All regions'!D4706+"n/&gt;!))["</f>
        <v>#VALUE!</v>
      </c>
      <c r="DH188" t="e">
        <f>'All regions'!E4706+"n/&gt;!))\"</f>
        <v>#VALUE!</v>
      </c>
      <c r="DI188" t="e">
        <f>'All regions'!F4706+"n/&gt;!))]"</f>
        <v>#VALUE!</v>
      </c>
      <c r="DJ188" t="e">
        <f>'All regions'!G4706+"n/&gt;!))^"</f>
        <v>#VALUE!</v>
      </c>
      <c r="DK188" t="e">
        <f>'All regions'!H4706+"n/&gt;!))_"</f>
        <v>#VALUE!</v>
      </c>
      <c r="DL188" t="e">
        <f>'All regions'!I4706+"n/&gt;!))`"</f>
        <v>#VALUE!</v>
      </c>
      <c r="DM188" t="e">
        <f>'All regions'!J4706+"n/&gt;!))a"</f>
        <v>#VALUE!</v>
      </c>
      <c r="DN188" t="e">
        <f>'All regions'!A4707+"n/&gt;!))b"</f>
        <v>#VALUE!</v>
      </c>
      <c r="DO188" t="e">
        <f>'All regions'!B4707+"n/&gt;!))c"</f>
        <v>#VALUE!</v>
      </c>
      <c r="DP188" t="e">
        <f>'All regions'!C4707+"n/&gt;!))d"</f>
        <v>#VALUE!</v>
      </c>
      <c r="DQ188" t="e">
        <f>'All regions'!D4707+"n/&gt;!))e"</f>
        <v>#VALUE!</v>
      </c>
      <c r="DR188" t="e">
        <f>'All regions'!E4707+"n/&gt;!))f"</f>
        <v>#VALUE!</v>
      </c>
      <c r="DS188" t="e">
        <f>'All regions'!F4707+"n/&gt;!))g"</f>
        <v>#VALUE!</v>
      </c>
      <c r="DT188" t="e">
        <f>'All regions'!G4707+"n/&gt;!))h"</f>
        <v>#VALUE!</v>
      </c>
      <c r="DU188" t="e">
        <f>'All regions'!H4707+"n/&gt;!))i"</f>
        <v>#VALUE!</v>
      </c>
      <c r="DV188" t="e">
        <f>'All regions'!I4707+"n/&gt;!))j"</f>
        <v>#VALUE!</v>
      </c>
      <c r="DW188" t="e">
        <f>'All regions'!J4707+"n/&gt;!))k"</f>
        <v>#VALUE!</v>
      </c>
      <c r="DX188" t="e">
        <f>'All regions'!A4708+"n/&gt;!))l"</f>
        <v>#VALUE!</v>
      </c>
      <c r="DY188" t="e">
        <f>'All regions'!B4708+"n/&gt;!))m"</f>
        <v>#VALUE!</v>
      </c>
      <c r="DZ188" t="e">
        <f>'All regions'!C4708+"n/&gt;!))n"</f>
        <v>#VALUE!</v>
      </c>
      <c r="EA188" t="e">
        <f>'All regions'!D4708+"n/&gt;!))o"</f>
        <v>#VALUE!</v>
      </c>
      <c r="EB188" t="e">
        <f>'All regions'!E4708+"n/&gt;!))p"</f>
        <v>#VALUE!</v>
      </c>
      <c r="EC188" t="e">
        <f>'All regions'!F4708+"n/&gt;!))q"</f>
        <v>#VALUE!</v>
      </c>
      <c r="ED188" t="e">
        <f>'All regions'!G4708+"n/&gt;!))r"</f>
        <v>#VALUE!</v>
      </c>
      <c r="EE188" t="e">
        <f>'All regions'!H4708+"n/&gt;!))s"</f>
        <v>#VALUE!</v>
      </c>
      <c r="EF188" t="e">
        <f>'All regions'!I4708+"n/&gt;!))t"</f>
        <v>#VALUE!</v>
      </c>
      <c r="EG188" t="e">
        <f>'All regions'!J4708+"n/&gt;!))u"</f>
        <v>#VALUE!</v>
      </c>
      <c r="EH188" t="e">
        <f>'All regions'!A4709+"n/&gt;!))v"</f>
        <v>#VALUE!</v>
      </c>
      <c r="EI188" t="e">
        <f>'All regions'!B4709+"n/&gt;!))w"</f>
        <v>#VALUE!</v>
      </c>
      <c r="EJ188" t="e">
        <f>'All regions'!C4709+"n/&gt;!))x"</f>
        <v>#VALUE!</v>
      </c>
      <c r="EK188" t="e">
        <f>'All regions'!D4709+"n/&gt;!))y"</f>
        <v>#VALUE!</v>
      </c>
      <c r="EL188" t="e">
        <f>'All regions'!E4709+"n/&gt;!))z"</f>
        <v>#VALUE!</v>
      </c>
      <c r="EM188" t="e">
        <f>'All regions'!F4709+"n/&gt;!)){"</f>
        <v>#VALUE!</v>
      </c>
      <c r="EN188" t="e">
        <f>'All regions'!G4709+"n/&gt;!))|"</f>
        <v>#VALUE!</v>
      </c>
      <c r="EO188" t="e">
        <f>'All regions'!H4709+"n/&gt;!))}"</f>
        <v>#VALUE!</v>
      </c>
      <c r="EP188" t="e">
        <f>'All regions'!I4709+"n/&gt;!))~"</f>
        <v>#VALUE!</v>
      </c>
      <c r="EQ188" t="e">
        <f>'All regions'!J4709+"n/&gt;!).#"</f>
        <v>#VALUE!</v>
      </c>
      <c r="ER188" t="e">
        <f>'All regions'!A4710+"n/&gt;!).$"</f>
        <v>#VALUE!</v>
      </c>
      <c r="ES188" t="e">
        <f>'All regions'!B4710+"n/&gt;!).%"</f>
        <v>#VALUE!</v>
      </c>
      <c r="ET188" t="e">
        <f>'All regions'!C4710+"n/&gt;!).&amp;"</f>
        <v>#VALUE!</v>
      </c>
      <c r="EU188" t="e">
        <f>'All regions'!D4710+"n/&gt;!).'"</f>
        <v>#VALUE!</v>
      </c>
      <c r="EV188" t="e">
        <f>'All regions'!E4710+"n/&gt;!).("</f>
        <v>#VALUE!</v>
      </c>
      <c r="EW188" t="e">
        <f>'All regions'!F4710+"n/&gt;!).)"</f>
        <v>#VALUE!</v>
      </c>
      <c r="EX188" t="e">
        <f>'All regions'!G4710+"n/&gt;!).."</f>
        <v>#VALUE!</v>
      </c>
      <c r="EY188" t="e">
        <f>'All regions'!H4710+"n/&gt;!)./"</f>
        <v>#VALUE!</v>
      </c>
      <c r="EZ188" t="e">
        <f>'All regions'!I4710+"n/&gt;!).0"</f>
        <v>#VALUE!</v>
      </c>
      <c r="FA188" t="e">
        <f>'All regions'!J4710+"n/&gt;!).1"</f>
        <v>#VALUE!</v>
      </c>
      <c r="FB188" t="e">
        <f>'All regions'!A4711+"n/&gt;!).2"</f>
        <v>#VALUE!</v>
      </c>
      <c r="FC188" t="e">
        <f>'All regions'!B4711+"n/&gt;!).3"</f>
        <v>#VALUE!</v>
      </c>
      <c r="FD188" t="e">
        <f>'All regions'!C4711+"n/&gt;!).4"</f>
        <v>#VALUE!</v>
      </c>
      <c r="FE188" t="e">
        <f>'All regions'!D4711+"n/&gt;!).5"</f>
        <v>#VALUE!</v>
      </c>
      <c r="FF188" t="e">
        <f>'All regions'!E4711+"n/&gt;!).6"</f>
        <v>#VALUE!</v>
      </c>
      <c r="FG188" t="e">
        <f>'All regions'!F4711+"n/&gt;!).7"</f>
        <v>#VALUE!</v>
      </c>
      <c r="FH188" t="e">
        <f>'All regions'!G4711+"n/&gt;!).8"</f>
        <v>#VALUE!</v>
      </c>
      <c r="FI188" t="e">
        <f>'All regions'!H4711+"n/&gt;!).9"</f>
        <v>#VALUE!</v>
      </c>
      <c r="FJ188" t="e">
        <f>'All regions'!I4711+"n/&gt;!).:"</f>
        <v>#VALUE!</v>
      </c>
      <c r="FK188" t="e">
        <f>'All regions'!J4711+"n/&gt;!).;"</f>
        <v>#VALUE!</v>
      </c>
      <c r="FL188" t="e">
        <f>'All regions'!A4712+"n/&gt;!).&lt;"</f>
        <v>#VALUE!</v>
      </c>
      <c r="FM188" t="e">
        <f>'All regions'!B4712+"n/&gt;!).="</f>
        <v>#VALUE!</v>
      </c>
      <c r="FN188" t="e">
        <f>'All regions'!C4712+"n/&gt;!).&gt;"</f>
        <v>#VALUE!</v>
      </c>
      <c r="FO188" t="e">
        <f>'All regions'!D4712+"n/&gt;!).?"</f>
        <v>#VALUE!</v>
      </c>
      <c r="FP188" t="e">
        <f>'All regions'!E4712+"n/&gt;!).@"</f>
        <v>#VALUE!</v>
      </c>
      <c r="FQ188" t="e">
        <f>'All regions'!F4712+"n/&gt;!).A"</f>
        <v>#VALUE!</v>
      </c>
      <c r="FR188" t="e">
        <f>'All regions'!G4712+"n/&gt;!).B"</f>
        <v>#VALUE!</v>
      </c>
      <c r="FS188" t="e">
        <f>'All regions'!H4712+"n/&gt;!).C"</f>
        <v>#VALUE!</v>
      </c>
      <c r="FT188" t="e">
        <f>'All regions'!I4712+"n/&gt;!).D"</f>
        <v>#VALUE!</v>
      </c>
      <c r="FU188" t="e">
        <f>'All regions'!J4712+"n/&gt;!).E"</f>
        <v>#VALUE!</v>
      </c>
      <c r="FV188" t="e">
        <f>'All regions'!A4713+"n/&gt;!).F"</f>
        <v>#VALUE!</v>
      </c>
      <c r="FW188" t="e">
        <f>'All regions'!B4713+"n/&gt;!).G"</f>
        <v>#VALUE!</v>
      </c>
      <c r="FX188" t="e">
        <f>'All regions'!C4713+"n/&gt;!).H"</f>
        <v>#VALUE!</v>
      </c>
      <c r="FY188" t="e">
        <f>'All regions'!D4713+"n/&gt;!).I"</f>
        <v>#VALUE!</v>
      </c>
      <c r="FZ188" t="e">
        <f>'All regions'!E4713+"n/&gt;!).J"</f>
        <v>#VALUE!</v>
      </c>
      <c r="GA188" t="e">
        <f>'All regions'!F4713+"n/&gt;!).K"</f>
        <v>#VALUE!</v>
      </c>
      <c r="GB188" t="e">
        <f>'All regions'!G4713+"n/&gt;!).L"</f>
        <v>#VALUE!</v>
      </c>
      <c r="GC188" t="e">
        <f>'All regions'!H4713+"n/&gt;!).M"</f>
        <v>#VALUE!</v>
      </c>
      <c r="GD188" t="e">
        <f>'All regions'!I4713+"n/&gt;!).N"</f>
        <v>#VALUE!</v>
      </c>
      <c r="GE188" t="e">
        <f>'All regions'!J4713+"n/&gt;!).O"</f>
        <v>#VALUE!</v>
      </c>
      <c r="GF188" t="e">
        <f>'All regions'!A4714+"n/&gt;!).P"</f>
        <v>#VALUE!</v>
      </c>
      <c r="GG188" t="e">
        <f>'All regions'!B4714+"n/&gt;!).Q"</f>
        <v>#VALUE!</v>
      </c>
      <c r="GH188" t="e">
        <f>'All regions'!C4714+"n/&gt;!).R"</f>
        <v>#VALUE!</v>
      </c>
      <c r="GI188" t="e">
        <f>'All regions'!D4714+"n/&gt;!).S"</f>
        <v>#VALUE!</v>
      </c>
      <c r="GJ188" t="e">
        <f>'All regions'!E4714+"n/&gt;!).T"</f>
        <v>#VALUE!</v>
      </c>
      <c r="GK188" t="e">
        <f>'All regions'!F4714+"n/&gt;!).U"</f>
        <v>#VALUE!</v>
      </c>
      <c r="GL188" t="e">
        <f>'All regions'!G4714+"n/&gt;!).V"</f>
        <v>#VALUE!</v>
      </c>
      <c r="GM188" t="e">
        <f>'All regions'!H4714+"n/&gt;!).W"</f>
        <v>#VALUE!</v>
      </c>
      <c r="GN188" t="e">
        <f>'All regions'!I4714+"n/&gt;!).X"</f>
        <v>#VALUE!</v>
      </c>
      <c r="GO188" t="e">
        <f>'All regions'!J4714+"n/&gt;!).Y"</f>
        <v>#VALUE!</v>
      </c>
      <c r="GP188" t="e">
        <f>'All regions'!A4715+"n/&gt;!).Z"</f>
        <v>#VALUE!</v>
      </c>
      <c r="GQ188" t="e">
        <f>'All regions'!B4715+"n/&gt;!).["</f>
        <v>#VALUE!</v>
      </c>
      <c r="GR188" t="e">
        <f>'All regions'!C4715+"n/&gt;!).\"</f>
        <v>#VALUE!</v>
      </c>
      <c r="GS188" t="e">
        <f>'All regions'!D4715+"n/&gt;!).]"</f>
        <v>#VALUE!</v>
      </c>
      <c r="GT188" t="e">
        <f>'All regions'!E4715+"n/&gt;!).^"</f>
        <v>#VALUE!</v>
      </c>
      <c r="GU188" t="e">
        <f>'All regions'!F4715+"n/&gt;!)._"</f>
        <v>#VALUE!</v>
      </c>
      <c r="GV188" t="e">
        <f>'All regions'!G4715+"n/&gt;!).`"</f>
        <v>#VALUE!</v>
      </c>
      <c r="GW188" t="e">
        <f>'All regions'!H4715+"n/&gt;!).a"</f>
        <v>#VALUE!</v>
      </c>
      <c r="GX188" t="e">
        <f>'All regions'!I4715+"n/&gt;!).b"</f>
        <v>#VALUE!</v>
      </c>
      <c r="GY188" t="e">
        <f>'All regions'!J4715+"n/&gt;!).c"</f>
        <v>#VALUE!</v>
      </c>
      <c r="GZ188" t="e">
        <f>'All regions'!A4716+"n/&gt;!).d"</f>
        <v>#VALUE!</v>
      </c>
      <c r="HA188" t="e">
        <f>'All regions'!B4716+"n/&gt;!).e"</f>
        <v>#VALUE!</v>
      </c>
      <c r="HB188" t="e">
        <f>'All regions'!C4716+"n/&gt;!).f"</f>
        <v>#VALUE!</v>
      </c>
      <c r="HC188" t="e">
        <f>'All regions'!D4716+"n/&gt;!).g"</f>
        <v>#VALUE!</v>
      </c>
      <c r="HD188" t="e">
        <f>'All regions'!E4716+"n/&gt;!).h"</f>
        <v>#VALUE!</v>
      </c>
      <c r="HE188" t="e">
        <f>'All regions'!F4716+"n/&gt;!).i"</f>
        <v>#VALUE!</v>
      </c>
      <c r="HF188" t="e">
        <f>'All regions'!G4716+"n/&gt;!).j"</f>
        <v>#VALUE!</v>
      </c>
      <c r="HG188" t="e">
        <f>'All regions'!H4716+"n/&gt;!).k"</f>
        <v>#VALUE!</v>
      </c>
      <c r="HH188" t="e">
        <f>'All regions'!I4716+"n/&gt;!).l"</f>
        <v>#VALUE!</v>
      </c>
      <c r="HI188" t="e">
        <f>'All regions'!J4716+"n/&gt;!).m"</f>
        <v>#VALUE!</v>
      </c>
      <c r="HJ188" t="e">
        <f>'All regions'!A4717+"n/&gt;!).n"</f>
        <v>#VALUE!</v>
      </c>
      <c r="HK188" t="e">
        <f>'All regions'!B4717+"n/&gt;!).o"</f>
        <v>#VALUE!</v>
      </c>
      <c r="HL188" t="e">
        <f>'All regions'!C4717+"n/&gt;!).p"</f>
        <v>#VALUE!</v>
      </c>
      <c r="HM188" t="e">
        <f>'All regions'!D4717+"n/&gt;!).q"</f>
        <v>#VALUE!</v>
      </c>
      <c r="HN188" t="e">
        <f>'All regions'!E4717+"n/&gt;!).r"</f>
        <v>#VALUE!</v>
      </c>
      <c r="HO188" t="e">
        <f>'All regions'!F4717+"n/&gt;!).s"</f>
        <v>#VALUE!</v>
      </c>
      <c r="HP188" t="e">
        <f>'All regions'!G4717+"n/&gt;!).t"</f>
        <v>#VALUE!</v>
      </c>
      <c r="HQ188" t="e">
        <f>'All regions'!H4717+"n/&gt;!).u"</f>
        <v>#VALUE!</v>
      </c>
      <c r="HR188" t="e">
        <f>'All regions'!I4717+"n/&gt;!).v"</f>
        <v>#VALUE!</v>
      </c>
      <c r="HS188" t="e">
        <f>'All regions'!J4717+"n/&gt;!).w"</f>
        <v>#VALUE!</v>
      </c>
      <c r="HT188" t="e">
        <f>'All regions'!A4718+"n/&gt;!).x"</f>
        <v>#VALUE!</v>
      </c>
      <c r="HU188" t="e">
        <f>'All regions'!B4718+"n/&gt;!).y"</f>
        <v>#VALUE!</v>
      </c>
      <c r="HV188" t="e">
        <f>'All regions'!C4718+"n/&gt;!).z"</f>
        <v>#VALUE!</v>
      </c>
      <c r="HW188" t="e">
        <f>'All regions'!D4718+"n/&gt;!).{"</f>
        <v>#VALUE!</v>
      </c>
      <c r="HX188" t="e">
        <f>'All regions'!E4718+"n/&gt;!).|"</f>
        <v>#VALUE!</v>
      </c>
      <c r="HY188" t="e">
        <f>'All regions'!F4718+"n/&gt;!).}"</f>
        <v>#VALUE!</v>
      </c>
      <c r="HZ188" t="e">
        <f>'All regions'!G4718+"n/&gt;!).~"</f>
        <v>#VALUE!</v>
      </c>
      <c r="IA188" t="e">
        <f>'All regions'!H4718+"n/&gt;!)/#"</f>
        <v>#VALUE!</v>
      </c>
      <c r="IB188" t="e">
        <f>'All regions'!I4718+"n/&gt;!)/$"</f>
        <v>#VALUE!</v>
      </c>
      <c r="IC188" t="e">
        <f>'All regions'!J4718+"n/&gt;!)/%"</f>
        <v>#VALUE!</v>
      </c>
      <c r="ID188" t="e">
        <f>'All regions'!A4719+"n/&gt;!)/&amp;"</f>
        <v>#VALUE!</v>
      </c>
      <c r="IE188" t="e">
        <f>'All regions'!B4719+"n/&gt;!)/'"</f>
        <v>#VALUE!</v>
      </c>
      <c r="IF188" t="e">
        <f>'All regions'!C4719+"n/&gt;!)/("</f>
        <v>#VALUE!</v>
      </c>
      <c r="IG188" t="e">
        <f>'All regions'!D4719+"n/&gt;!)/)"</f>
        <v>#VALUE!</v>
      </c>
      <c r="IH188" t="e">
        <f>'All regions'!E4719+"n/&gt;!)/."</f>
        <v>#VALUE!</v>
      </c>
      <c r="II188" t="e">
        <f>'All regions'!F4719+"n/&gt;!)//"</f>
        <v>#VALUE!</v>
      </c>
      <c r="IJ188" t="e">
        <f>'All regions'!G4719+"n/&gt;!)/0"</f>
        <v>#VALUE!</v>
      </c>
      <c r="IK188" t="e">
        <f>'All regions'!H4719+"n/&gt;!)/1"</f>
        <v>#VALUE!</v>
      </c>
      <c r="IL188" t="e">
        <f>'All regions'!I4719+"n/&gt;!)/2"</f>
        <v>#VALUE!</v>
      </c>
      <c r="IM188" t="e">
        <f>'All regions'!J4719+"n/&gt;!)/3"</f>
        <v>#VALUE!</v>
      </c>
      <c r="IN188" t="e">
        <f>'All regions'!A4720+"n/&gt;!)/4"</f>
        <v>#VALUE!</v>
      </c>
      <c r="IO188" t="e">
        <f>'All regions'!B4720+"n/&gt;!)/5"</f>
        <v>#VALUE!</v>
      </c>
      <c r="IP188" t="e">
        <f>'All regions'!C4720+"n/&gt;!)/6"</f>
        <v>#VALUE!</v>
      </c>
      <c r="IQ188" t="e">
        <f>'All regions'!D4720+"n/&gt;!)/7"</f>
        <v>#VALUE!</v>
      </c>
      <c r="IR188" t="e">
        <f>'All regions'!E4720+"n/&gt;!)/8"</f>
        <v>#VALUE!</v>
      </c>
      <c r="IS188" t="e">
        <f>'All regions'!F4720+"n/&gt;!)/9"</f>
        <v>#VALUE!</v>
      </c>
      <c r="IT188" t="e">
        <f>'All regions'!G4720+"n/&gt;!)/:"</f>
        <v>#VALUE!</v>
      </c>
      <c r="IU188" t="e">
        <f>'All regions'!H4720+"n/&gt;!)/;"</f>
        <v>#VALUE!</v>
      </c>
      <c r="IV188" t="e">
        <f>'All regions'!I4720+"n/&gt;!)/&lt;"</f>
        <v>#VALUE!</v>
      </c>
    </row>
    <row r="189" spans="6:256" x14ac:dyDescent="0.35">
      <c r="F189" t="e">
        <f>'All regions'!J4720+"n/&gt;!)/="</f>
        <v>#VALUE!</v>
      </c>
      <c r="G189" t="e">
        <f>'All regions'!A4721+"n/&gt;!)/&gt;"</f>
        <v>#VALUE!</v>
      </c>
      <c r="H189" t="e">
        <f>'All regions'!B4721+"n/&gt;!)/?"</f>
        <v>#VALUE!</v>
      </c>
      <c r="I189" t="e">
        <f>'All regions'!C4721+"n/&gt;!)/@"</f>
        <v>#VALUE!</v>
      </c>
      <c r="J189" t="e">
        <f>'All regions'!D4721+"n/&gt;!)/A"</f>
        <v>#VALUE!</v>
      </c>
      <c r="K189" t="e">
        <f>'All regions'!E4721+"n/&gt;!)/B"</f>
        <v>#VALUE!</v>
      </c>
      <c r="L189" t="e">
        <f>'All regions'!F4721+"n/&gt;!)/C"</f>
        <v>#VALUE!</v>
      </c>
      <c r="M189" t="e">
        <f>'All regions'!G4721+"n/&gt;!)/D"</f>
        <v>#VALUE!</v>
      </c>
      <c r="N189" t="e">
        <f>'All regions'!H4721+"n/&gt;!)/E"</f>
        <v>#VALUE!</v>
      </c>
      <c r="O189" t="e">
        <f>'All regions'!I4721+"n/&gt;!)/F"</f>
        <v>#VALUE!</v>
      </c>
      <c r="P189" t="e">
        <f>'All regions'!J4721+"n/&gt;!)/G"</f>
        <v>#VALUE!</v>
      </c>
      <c r="Q189" t="e">
        <f>'All regions'!A4722+"n/&gt;!)/H"</f>
        <v>#VALUE!</v>
      </c>
      <c r="R189" t="e">
        <f>'All regions'!B4722+"n/&gt;!)/I"</f>
        <v>#VALUE!</v>
      </c>
      <c r="S189" t="e">
        <f>'All regions'!C4722+"n/&gt;!)/J"</f>
        <v>#VALUE!</v>
      </c>
      <c r="T189" t="e">
        <f>'All regions'!D4722+"n/&gt;!)/K"</f>
        <v>#VALUE!</v>
      </c>
      <c r="U189" t="e">
        <f>'All regions'!E4722+"n/&gt;!)/L"</f>
        <v>#VALUE!</v>
      </c>
      <c r="V189" t="e">
        <f>'All regions'!F4722+"n/&gt;!)/M"</f>
        <v>#VALUE!</v>
      </c>
      <c r="W189" t="e">
        <f>'All regions'!G4722+"n/&gt;!)/N"</f>
        <v>#VALUE!</v>
      </c>
      <c r="X189" t="e">
        <f>'All regions'!H4722+"n/&gt;!)/O"</f>
        <v>#VALUE!</v>
      </c>
      <c r="Y189" t="e">
        <f>'All regions'!I4722+"n/&gt;!)/P"</f>
        <v>#VALUE!</v>
      </c>
      <c r="Z189" t="e">
        <f>'All regions'!J4722+"n/&gt;!)/Q"</f>
        <v>#VALUE!</v>
      </c>
      <c r="AA189" t="e">
        <f>'All regions'!A4723+"n/&gt;!)/R"</f>
        <v>#VALUE!</v>
      </c>
      <c r="AB189" t="e">
        <f>'All regions'!B4723+"n/&gt;!)/S"</f>
        <v>#VALUE!</v>
      </c>
      <c r="AC189" t="e">
        <f>'All regions'!C4723+"n/&gt;!)/T"</f>
        <v>#VALUE!</v>
      </c>
      <c r="AD189" t="e">
        <f>'All regions'!D4723+"n/&gt;!)/U"</f>
        <v>#VALUE!</v>
      </c>
      <c r="AE189" t="e">
        <f>'All regions'!E4723+"n/&gt;!)/V"</f>
        <v>#VALUE!</v>
      </c>
      <c r="AF189" t="e">
        <f>'All regions'!F4723+"n/&gt;!)/W"</f>
        <v>#VALUE!</v>
      </c>
      <c r="AG189" t="e">
        <f>'All regions'!G4723+"n/&gt;!)/X"</f>
        <v>#VALUE!</v>
      </c>
      <c r="AH189" t="e">
        <f>'All regions'!H4723+"n/&gt;!)/Y"</f>
        <v>#VALUE!</v>
      </c>
      <c r="AI189" t="e">
        <f>'All regions'!I4723+"n/&gt;!)/Z"</f>
        <v>#VALUE!</v>
      </c>
      <c r="AJ189" t="e">
        <f>'All regions'!J4723+"n/&gt;!)/["</f>
        <v>#VALUE!</v>
      </c>
      <c r="AK189" t="e">
        <f>'All regions'!A4724+"n/&gt;!)/\"</f>
        <v>#VALUE!</v>
      </c>
      <c r="AL189" t="e">
        <f>'All regions'!B4724+"n/&gt;!)/]"</f>
        <v>#VALUE!</v>
      </c>
      <c r="AM189" t="e">
        <f>'All regions'!C4724+"n/&gt;!)/^"</f>
        <v>#VALUE!</v>
      </c>
      <c r="AN189" t="e">
        <f>'All regions'!D4724+"n/&gt;!)/_"</f>
        <v>#VALUE!</v>
      </c>
      <c r="AO189" t="e">
        <f>'All regions'!E4724+"n/&gt;!)/`"</f>
        <v>#VALUE!</v>
      </c>
      <c r="AP189" t="e">
        <f>'All regions'!F4724+"n/&gt;!)/a"</f>
        <v>#VALUE!</v>
      </c>
      <c r="AQ189" t="e">
        <f>'All regions'!G4724+"n/&gt;!)/b"</f>
        <v>#VALUE!</v>
      </c>
      <c r="AR189" t="e">
        <f>'All regions'!H4724+"n/&gt;!)/c"</f>
        <v>#VALUE!</v>
      </c>
      <c r="AS189" t="e">
        <f>'All regions'!I4724+"n/&gt;!)/d"</f>
        <v>#VALUE!</v>
      </c>
      <c r="AT189" t="e">
        <f>'All regions'!J4724+"n/&gt;!)/e"</f>
        <v>#VALUE!</v>
      </c>
      <c r="AU189" t="e">
        <f>'All regions'!A4725+"n/&gt;!)/f"</f>
        <v>#VALUE!</v>
      </c>
      <c r="AV189" t="e">
        <f>'All regions'!B4725+"n/&gt;!)/g"</f>
        <v>#VALUE!</v>
      </c>
      <c r="AW189" t="e">
        <f>'All regions'!C4725+"n/&gt;!)/h"</f>
        <v>#VALUE!</v>
      </c>
      <c r="AX189" t="e">
        <f>'All regions'!D4725+"n/&gt;!)/i"</f>
        <v>#VALUE!</v>
      </c>
      <c r="AY189" t="e">
        <f>'All regions'!E4725+"n/&gt;!)/j"</f>
        <v>#VALUE!</v>
      </c>
      <c r="AZ189" t="e">
        <f>'All regions'!F4725+"n/&gt;!)/k"</f>
        <v>#VALUE!</v>
      </c>
      <c r="BA189" t="e">
        <f>'All regions'!G4725+"n/&gt;!)/l"</f>
        <v>#VALUE!</v>
      </c>
      <c r="BB189" t="e">
        <f>'All regions'!H4725+"n/&gt;!)/m"</f>
        <v>#VALUE!</v>
      </c>
      <c r="BC189" t="e">
        <f>'All regions'!I4725+"n/&gt;!)/n"</f>
        <v>#VALUE!</v>
      </c>
      <c r="BD189" t="e">
        <f>'All regions'!J4725+"n/&gt;!)/o"</f>
        <v>#VALUE!</v>
      </c>
      <c r="BE189" t="e">
        <f>'All regions'!A4726+"n/&gt;!)/p"</f>
        <v>#VALUE!</v>
      </c>
      <c r="BF189" t="e">
        <f>'All regions'!B4726+"n/&gt;!)/q"</f>
        <v>#VALUE!</v>
      </c>
      <c r="BG189" t="e">
        <f>'All regions'!C4726+"n/&gt;!)/r"</f>
        <v>#VALUE!</v>
      </c>
      <c r="BH189" t="e">
        <f>'All regions'!D4726+"n/&gt;!)/s"</f>
        <v>#VALUE!</v>
      </c>
      <c r="BI189" t="e">
        <f>'All regions'!E4726+"n/&gt;!)/t"</f>
        <v>#VALUE!</v>
      </c>
      <c r="BJ189" t="e">
        <f>'All regions'!F4726+"n/&gt;!)/u"</f>
        <v>#VALUE!</v>
      </c>
      <c r="BK189" t="e">
        <f>'All regions'!G4726+"n/&gt;!)/v"</f>
        <v>#VALUE!</v>
      </c>
      <c r="BL189" t="e">
        <f>'All regions'!H4726+"n/&gt;!)/w"</f>
        <v>#VALUE!</v>
      </c>
      <c r="BM189" t="e">
        <f>'All regions'!I4726+"n/&gt;!)/x"</f>
        <v>#VALUE!</v>
      </c>
      <c r="BN189" t="e">
        <f>'All regions'!J4726+"n/&gt;!)/y"</f>
        <v>#VALUE!</v>
      </c>
      <c r="BO189" t="e">
        <f>'All regions'!A4727+"n/&gt;!)/z"</f>
        <v>#VALUE!</v>
      </c>
      <c r="BP189" t="e">
        <f>'All regions'!B4727+"n/&gt;!)/{"</f>
        <v>#VALUE!</v>
      </c>
      <c r="BQ189" t="e">
        <f>'All regions'!C4727+"n/&gt;!)/|"</f>
        <v>#VALUE!</v>
      </c>
      <c r="BR189" t="e">
        <f>'All regions'!D4727+"n/&gt;!)/}"</f>
        <v>#VALUE!</v>
      </c>
      <c r="BS189" t="e">
        <f>'All regions'!E4727+"n/&gt;!)/~"</f>
        <v>#VALUE!</v>
      </c>
      <c r="BT189" t="e">
        <f>'All regions'!F4727+"n/&gt;!)0#"</f>
        <v>#VALUE!</v>
      </c>
      <c r="BU189" t="e">
        <f>'All regions'!G4727+"n/&gt;!)0$"</f>
        <v>#VALUE!</v>
      </c>
      <c r="BV189" t="e">
        <f>'All regions'!H4727+"n/&gt;!)0%"</f>
        <v>#VALUE!</v>
      </c>
      <c r="BW189" t="e">
        <f>'All regions'!I4727+"n/&gt;!)0&amp;"</f>
        <v>#VALUE!</v>
      </c>
      <c r="BX189" t="e">
        <f>'All regions'!J4727+"n/&gt;!)0'"</f>
        <v>#VALUE!</v>
      </c>
      <c r="BY189" t="e">
        <f>'All regions'!A4728+"n/&gt;!)0("</f>
        <v>#VALUE!</v>
      </c>
      <c r="BZ189" t="e">
        <f>'All regions'!B4728+"n/&gt;!)0)"</f>
        <v>#VALUE!</v>
      </c>
      <c r="CA189" t="e">
        <f>'All regions'!C4728+"n/&gt;!)0."</f>
        <v>#VALUE!</v>
      </c>
      <c r="CB189" t="e">
        <f>'All regions'!D4728+"n/&gt;!)0/"</f>
        <v>#VALUE!</v>
      </c>
      <c r="CC189" t="e">
        <f>'All regions'!E4728+"n/&gt;!)00"</f>
        <v>#VALUE!</v>
      </c>
      <c r="CD189" t="e">
        <f>'All regions'!F4728+"n/&gt;!)01"</f>
        <v>#VALUE!</v>
      </c>
      <c r="CE189" t="e">
        <f>'All regions'!G4728+"n/&gt;!)02"</f>
        <v>#VALUE!</v>
      </c>
      <c r="CF189" t="e">
        <f>'All regions'!H4728+"n/&gt;!)03"</f>
        <v>#VALUE!</v>
      </c>
      <c r="CG189" t="e">
        <f>'All regions'!I4728+"n/&gt;!)04"</f>
        <v>#VALUE!</v>
      </c>
      <c r="CH189" t="e">
        <f>'All regions'!J4728+"n/&gt;!)05"</f>
        <v>#VALUE!</v>
      </c>
      <c r="CI189" t="e">
        <f>'All regions'!A4729+"n/&gt;!)06"</f>
        <v>#VALUE!</v>
      </c>
      <c r="CJ189" t="e">
        <f>'All regions'!B4729+"n/&gt;!)07"</f>
        <v>#VALUE!</v>
      </c>
      <c r="CK189" t="e">
        <f>'All regions'!C4729+"n/&gt;!)08"</f>
        <v>#VALUE!</v>
      </c>
      <c r="CL189" t="e">
        <f>'All regions'!D4729+"n/&gt;!)09"</f>
        <v>#VALUE!</v>
      </c>
      <c r="CM189" t="e">
        <f>'All regions'!E4729+"n/&gt;!)0:"</f>
        <v>#VALUE!</v>
      </c>
      <c r="CN189" t="e">
        <f>'All regions'!F4729+"n/&gt;!)0;"</f>
        <v>#VALUE!</v>
      </c>
      <c r="CO189" t="e">
        <f>'All regions'!G4729+"n/&gt;!)0&lt;"</f>
        <v>#VALUE!</v>
      </c>
      <c r="CP189" t="e">
        <f>'All regions'!H4729+"n/&gt;!)0="</f>
        <v>#VALUE!</v>
      </c>
      <c r="CQ189" t="e">
        <f>'All regions'!I4729+"n/&gt;!)0&gt;"</f>
        <v>#VALUE!</v>
      </c>
      <c r="CR189" t="e">
        <f>'All regions'!J4729+"n/&gt;!)0?"</f>
        <v>#VALUE!</v>
      </c>
      <c r="CS189" t="e">
        <f>'All regions'!A4730+"n/&gt;!)0@"</f>
        <v>#VALUE!</v>
      </c>
      <c r="CT189" t="e">
        <f>'All regions'!B4730+"n/&gt;!)0A"</f>
        <v>#VALUE!</v>
      </c>
      <c r="CU189" t="e">
        <f>'All regions'!C4730+"n/&gt;!)0B"</f>
        <v>#VALUE!</v>
      </c>
      <c r="CV189" t="e">
        <f>'All regions'!D4730+"n/&gt;!)0C"</f>
        <v>#VALUE!</v>
      </c>
      <c r="CW189" t="e">
        <f>'All regions'!E4730+"n/&gt;!)0D"</f>
        <v>#VALUE!</v>
      </c>
      <c r="CX189" t="e">
        <f>'All regions'!F4730+"n/&gt;!)0E"</f>
        <v>#VALUE!</v>
      </c>
      <c r="CY189" t="e">
        <f>'All regions'!G4730+"n/&gt;!)0F"</f>
        <v>#VALUE!</v>
      </c>
      <c r="CZ189" t="e">
        <f>'All regions'!H4730+"n/&gt;!)0G"</f>
        <v>#VALUE!</v>
      </c>
      <c r="DA189" t="e">
        <f>'All regions'!I4730+"n/&gt;!)0H"</f>
        <v>#VALUE!</v>
      </c>
      <c r="DB189" t="e">
        <f>'All regions'!J4730+"n/&gt;!)0I"</f>
        <v>#VALUE!</v>
      </c>
      <c r="DC189" t="e">
        <f>'All regions'!A4731+"n/&gt;!)0J"</f>
        <v>#VALUE!</v>
      </c>
      <c r="DD189" t="e">
        <f>'All regions'!B4731+"n/&gt;!)0K"</f>
        <v>#VALUE!</v>
      </c>
      <c r="DE189" t="e">
        <f>'All regions'!C4731+"n/&gt;!)0L"</f>
        <v>#VALUE!</v>
      </c>
      <c r="DF189" t="e">
        <f>'All regions'!D4731+"n/&gt;!)0M"</f>
        <v>#VALUE!</v>
      </c>
      <c r="DG189" t="e">
        <f>'All regions'!E4731+"n/&gt;!)0N"</f>
        <v>#VALUE!</v>
      </c>
      <c r="DH189" t="e">
        <f>'All regions'!F4731+"n/&gt;!)0O"</f>
        <v>#VALUE!</v>
      </c>
      <c r="DI189" t="e">
        <f>'All regions'!G4731+"n/&gt;!)0P"</f>
        <v>#VALUE!</v>
      </c>
      <c r="DJ189" t="e">
        <f>'All regions'!H4731+"n/&gt;!)0Q"</f>
        <v>#VALUE!</v>
      </c>
      <c r="DK189" t="e">
        <f>'All regions'!I4731+"n/&gt;!)0R"</f>
        <v>#VALUE!</v>
      </c>
      <c r="DL189" t="e">
        <f>'All regions'!J4731+"n/&gt;!)0S"</f>
        <v>#VALUE!</v>
      </c>
      <c r="DM189" t="e">
        <f>'All regions'!A4732+"n/&gt;!)0T"</f>
        <v>#VALUE!</v>
      </c>
      <c r="DN189" t="e">
        <f>'All regions'!B4732+"n/&gt;!)0U"</f>
        <v>#VALUE!</v>
      </c>
      <c r="DO189" t="e">
        <f>'All regions'!C4732+"n/&gt;!)0V"</f>
        <v>#VALUE!</v>
      </c>
      <c r="DP189" t="e">
        <f>'All regions'!D4732+"n/&gt;!)0W"</f>
        <v>#VALUE!</v>
      </c>
      <c r="DQ189" t="e">
        <f>'All regions'!E4732+"n/&gt;!)0X"</f>
        <v>#VALUE!</v>
      </c>
      <c r="DR189" t="e">
        <f>'All regions'!F4732+"n/&gt;!)0Y"</f>
        <v>#VALUE!</v>
      </c>
      <c r="DS189" t="e">
        <f>'All regions'!G4732+"n/&gt;!)0Z"</f>
        <v>#VALUE!</v>
      </c>
      <c r="DT189" t="e">
        <f>'All regions'!H4732+"n/&gt;!)0["</f>
        <v>#VALUE!</v>
      </c>
      <c r="DU189" t="e">
        <f>'All regions'!I4732+"n/&gt;!)0\"</f>
        <v>#VALUE!</v>
      </c>
      <c r="DV189" t="e">
        <f>'All regions'!J4732+"n/&gt;!)0]"</f>
        <v>#VALUE!</v>
      </c>
      <c r="DW189" t="e">
        <f>'All regions'!A4733+"n/&gt;!)0^"</f>
        <v>#VALUE!</v>
      </c>
      <c r="DX189" t="e">
        <f>'All regions'!B4733+"n/&gt;!)0_"</f>
        <v>#VALUE!</v>
      </c>
      <c r="DY189" t="e">
        <f>'All regions'!C4733+"n/&gt;!)0`"</f>
        <v>#VALUE!</v>
      </c>
      <c r="DZ189" t="e">
        <f>'All regions'!D4733+"n/&gt;!)0a"</f>
        <v>#VALUE!</v>
      </c>
      <c r="EA189" t="e">
        <f>'All regions'!E4733+"n/&gt;!)0b"</f>
        <v>#VALUE!</v>
      </c>
      <c r="EB189" t="e">
        <f>'All regions'!F4733+"n/&gt;!)0c"</f>
        <v>#VALUE!</v>
      </c>
      <c r="EC189" t="e">
        <f>'All regions'!G4733+"n/&gt;!)0d"</f>
        <v>#VALUE!</v>
      </c>
      <c r="ED189" t="e">
        <f>'All regions'!H4733+"n/&gt;!)0e"</f>
        <v>#VALUE!</v>
      </c>
      <c r="EE189" t="e">
        <f>'All regions'!I4733+"n/&gt;!)0f"</f>
        <v>#VALUE!</v>
      </c>
      <c r="EF189" t="e">
        <f>'All regions'!J4733+"n/&gt;!)0g"</f>
        <v>#VALUE!</v>
      </c>
      <c r="EG189" t="e">
        <f>'All regions'!A4734+"n/&gt;!)0h"</f>
        <v>#VALUE!</v>
      </c>
      <c r="EH189" t="e">
        <f>'All regions'!B4734+"n/&gt;!)0i"</f>
        <v>#VALUE!</v>
      </c>
      <c r="EI189" t="e">
        <f>'All regions'!C4734+"n/&gt;!)0j"</f>
        <v>#VALUE!</v>
      </c>
      <c r="EJ189" t="e">
        <f>'All regions'!D4734+"n/&gt;!)0k"</f>
        <v>#VALUE!</v>
      </c>
      <c r="EK189" t="e">
        <f>'All regions'!E4734+"n/&gt;!)0l"</f>
        <v>#VALUE!</v>
      </c>
      <c r="EL189" t="e">
        <f>'All regions'!F4734+"n/&gt;!)0m"</f>
        <v>#VALUE!</v>
      </c>
      <c r="EM189" t="e">
        <f>'All regions'!G4734+"n/&gt;!)0n"</f>
        <v>#VALUE!</v>
      </c>
      <c r="EN189" t="e">
        <f>'All regions'!H4734+"n/&gt;!)0o"</f>
        <v>#VALUE!</v>
      </c>
      <c r="EO189" t="e">
        <f>'All regions'!I4734+"n/&gt;!)0p"</f>
        <v>#VALUE!</v>
      </c>
      <c r="EP189" t="e">
        <f>'All regions'!J4734+"n/&gt;!)0q"</f>
        <v>#VALUE!</v>
      </c>
      <c r="EQ189" t="e">
        <f>'All regions'!A4735+"n/&gt;!)0r"</f>
        <v>#VALUE!</v>
      </c>
      <c r="ER189" t="e">
        <f>'All regions'!B4735+"n/&gt;!)0s"</f>
        <v>#VALUE!</v>
      </c>
      <c r="ES189" t="e">
        <f>'All regions'!C4735+"n/&gt;!)0t"</f>
        <v>#VALUE!</v>
      </c>
      <c r="ET189" t="e">
        <f>'All regions'!D4735+"n/&gt;!)0u"</f>
        <v>#VALUE!</v>
      </c>
      <c r="EU189" t="e">
        <f>'All regions'!E4735+"n/&gt;!)0v"</f>
        <v>#VALUE!</v>
      </c>
      <c r="EV189" t="e">
        <f>'All regions'!F4735+"n/&gt;!)0w"</f>
        <v>#VALUE!</v>
      </c>
      <c r="EW189" t="e">
        <f>'All regions'!G4735+"n/&gt;!)0x"</f>
        <v>#VALUE!</v>
      </c>
      <c r="EX189" t="e">
        <f>'All regions'!H4735+"n/&gt;!)0y"</f>
        <v>#VALUE!</v>
      </c>
      <c r="EY189" t="e">
        <f>'All regions'!I4735+"n/&gt;!)0z"</f>
        <v>#VALUE!</v>
      </c>
      <c r="EZ189" t="e">
        <f>'All regions'!J4735+"n/&gt;!)0{"</f>
        <v>#VALUE!</v>
      </c>
      <c r="FA189" t="e">
        <f>'All regions'!A4736+"n/&gt;!)0|"</f>
        <v>#VALUE!</v>
      </c>
      <c r="FB189" t="e">
        <f>'All regions'!B4736+"n/&gt;!)0}"</f>
        <v>#VALUE!</v>
      </c>
      <c r="FC189" t="e">
        <f>'All regions'!C4736+"n/&gt;!)0~"</f>
        <v>#VALUE!</v>
      </c>
      <c r="FD189" t="e">
        <f>'All regions'!D4736+"n/&gt;!)1#"</f>
        <v>#VALUE!</v>
      </c>
      <c r="FE189" t="e">
        <f>'All regions'!E4736+"n/&gt;!)1$"</f>
        <v>#VALUE!</v>
      </c>
      <c r="FF189" t="e">
        <f>'All regions'!F4736+"n/&gt;!)1%"</f>
        <v>#VALUE!</v>
      </c>
      <c r="FG189" t="e">
        <f>'All regions'!G4736+"n/&gt;!)1&amp;"</f>
        <v>#VALUE!</v>
      </c>
      <c r="FH189" t="e">
        <f>'All regions'!H4736+"n/&gt;!)1'"</f>
        <v>#VALUE!</v>
      </c>
      <c r="FI189" t="e">
        <f>'All regions'!I4736+"n/&gt;!)1("</f>
        <v>#VALUE!</v>
      </c>
      <c r="FJ189" t="e">
        <f>'All regions'!J4736+"n/&gt;!)1)"</f>
        <v>#VALUE!</v>
      </c>
      <c r="FK189" t="e">
        <f>'All regions'!A4737+"n/&gt;!)1."</f>
        <v>#VALUE!</v>
      </c>
      <c r="FL189" t="e">
        <f>'All regions'!B4737+"n/&gt;!)1/"</f>
        <v>#VALUE!</v>
      </c>
      <c r="FM189" t="e">
        <f>'All regions'!C4737+"n/&gt;!)10"</f>
        <v>#VALUE!</v>
      </c>
      <c r="FN189" t="e">
        <f>'All regions'!D4737+"n/&gt;!)11"</f>
        <v>#VALUE!</v>
      </c>
      <c r="FO189" t="e">
        <f>'All regions'!E4737+"n/&gt;!)12"</f>
        <v>#VALUE!</v>
      </c>
      <c r="FP189" t="e">
        <f>'All regions'!F4737+"n/&gt;!)13"</f>
        <v>#VALUE!</v>
      </c>
      <c r="FQ189" t="e">
        <f>'All regions'!G4737+"n/&gt;!)14"</f>
        <v>#VALUE!</v>
      </c>
      <c r="FR189" t="e">
        <f>'All regions'!H4737+"n/&gt;!)15"</f>
        <v>#VALUE!</v>
      </c>
      <c r="FS189" t="e">
        <f>'All regions'!I4737+"n/&gt;!)16"</f>
        <v>#VALUE!</v>
      </c>
      <c r="FT189" t="e">
        <f>'All regions'!J4737+"n/&gt;!)17"</f>
        <v>#VALUE!</v>
      </c>
      <c r="FU189" t="e">
        <f>'All regions'!A4738+"n/&gt;!)18"</f>
        <v>#VALUE!</v>
      </c>
      <c r="FV189" t="e">
        <f>'All regions'!B4738+"n/&gt;!)19"</f>
        <v>#VALUE!</v>
      </c>
      <c r="FW189" t="e">
        <f>'All regions'!C4738+"n/&gt;!)1:"</f>
        <v>#VALUE!</v>
      </c>
      <c r="FX189" t="e">
        <f>'All regions'!D4738+"n/&gt;!)1;"</f>
        <v>#VALUE!</v>
      </c>
      <c r="FY189" t="e">
        <f>'All regions'!E4738+"n/&gt;!)1&lt;"</f>
        <v>#VALUE!</v>
      </c>
      <c r="FZ189" t="e">
        <f>'All regions'!F4738+"n/&gt;!)1="</f>
        <v>#VALUE!</v>
      </c>
      <c r="GA189" t="e">
        <f>'All regions'!G4738+"n/&gt;!)1&gt;"</f>
        <v>#VALUE!</v>
      </c>
      <c r="GB189" t="e">
        <f>'All regions'!H4738+"n/&gt;!)1?"</f>
        <v>#VALUE!</v>
      </c>
      <c r="GC189" t="e">
        <f>'All regions'!I4738+"n/&gt;!)1@"</f>
        <v>#VALUE!</v>
      </c>
      <c r="GD189" t="e">
        <f>'All regions'!J4738+"n/&gt;!)1A"</f>
        <v>#VALUE!</v>
      </c>
      <c r="GE189" t="e">
        <f>'All regions'!A4739+"n/&gt;!)1B"</f>
        <v>#VALUE!</v>
      </c>
      <c r="GF189" t="e">
        <f>'All regions'!B4739+"n/&gt;!)1C"</f>
        <v>#VALUE!</v>
      </c>
      <c r="GG189" t="e">
        <f>'All regions'!C4739+"n/&gt;!)1D"</f>
        <v>#VALUE!</v>
      </c>
      <c r="GH189" t="e">
        <f>'All regions'!D4739+"n/&gt;!)1E"</f>
        <v>#VALUE!</v>
      </c>
      <c r="GI189" t="e">
        <f>'All regions'!E4739+"n/&gt;!)1F"</f>
        <v>#VALUE!</v>
      </c>
      <c r="GJ189" t="e">
        <f>'All regions'!F4739+"n/&gt;!)1G"</f>
        <v>#VALUE!</v>
      </c>
      <c r="GK189" t="e">
        <f>'All regions'!G4739+"n/&gt;!)1H"</f>
        <v>#VALUE!</v>
      </c>
      <c r="GL189" t="e">
        <f>'All regions'!H4739+"n/&gt;!)1I"</f>
        <v>#VALUE!</v>
      </c>
      <c r="GM189" t="e">
        <f>'All regions'!I4739+"n/&gt;!)1J"</f>
        <v>#VALUE!</v>
      </c>
      <c r="GN189" t="e">
        <f>'All regions'!J4739+"n/&gt;!)1K"</f>
        <v>#VALUE!</v>
      </c>
      <c r="GO189" t="e">
        <f>'All regions'!A4740+"n/&gt;!)1L"</f>
        <v>#VALUE!</v>
      </c>
      <c r="GP189" t="e">
        <f>'All regions'!B4740+"n/&gt;!)1M"</f>
        <v>#VALUE!</v>
      </c>
      <c r="GQ189" t="e">
        <f>'All regions'!C4740+"n/&gt;!)1N"</f>
        <v>#VALUE!</v>
      </c>
      <c r="GR189" t="e">
        <f>'All regions'!D4740+"n/&gt;!)1O"</f>
        <v>#VALUE!</v>
      </c>
      <c r="GS189" t="e">
        <f>'All regions'!E4740+"n/&gt;!)1P"</f>
        <v>#VALUE!</v>
      </c>
      <c r="GT189" t="e">
        <f>'All regions'!F4740+"n/&gt;!)1Q"</f>
        <v>#VALUE!</v>
      </c>
      <c r="GU189" t="e">
        <f>'All regions'!G4740+"n/&gt;!)1R"</f>
        <v>#VALUE!</v>
      </c>
      <c r="GV189" t="e">
        <f>'All regions'!H4740+"n/&gt;!)1S"</f>
        <v>#VALUE!</v>
      </c>
      <c r="GW189" t="e">
        <f>'All regions'!I4740+"n/&gt;!)1T"</f>
        <v>#VALUE!</v>
      </c>
      <c r="GX189" t="e">
        <f>'All regions'!J4740+"n/&gt;!)1U"</f>
        <v>#VALUE!</v>
      </c>
      <c r="GY189" t="e">
        <f>'All regions'!A4741+"n/&gt;!)1V"</f>
        <v>#VALUE!</v>
      </c>
      <c r="GZ189" t="e">
        <f>'All regions'!B4741+"n/&gt;!)1W"</f>
        <v>#VALUE!</v>
      </c>
      <c r="HA189" t="e">
        <f>'All regions'!C4741+"n/&gt;!)1X"</f>
        <v>#VALUE!</v>
      </c>
      <c r="HB189" t="e">
        <f>'All regions'!D4741+"n/&gt;!)1Y"</f>
        <v>#VALUE!</v>
      </c>
      <c r="HC189" t="e">
        <f>'All regions'!E4741+"n/&gt;!)1Z"</f>
        <v>#VALUE!</v>
      </c>
      <c r="HD189" t="e">
        <f>'All regions'!F4741+"n/&gt;!)1["</f>
        <v>#VALUE!</v>
      </c>
      <c r="HE189" t="e">
        <f>'All regions'!G4741+"n/&gt;!)1\"</f>
        <v>#VALUE!</v>
      </c>
      <c r="HF189" t="e">
        <f>'All regions'!H4741+"n/&gt;!)1]"</f>
        <v>#VALUE!</v>
      </c>
      <c r="HG189" t="e">
        <f>'All regions'!I4741+"n/&gt;!)1^"</f>
        <v>#VALUE!</v>
      </c>
      <c r="HH189" t="e">
        <f>'All regions'!J4741+"n/&gt;!)1_"</f>
        <v>#VALUE!</v>
      </c>
      <c r="HI189" t="e">
        <f>'All regions'!A4742+"n/&gt;!)1`"</f>
        <v>#VALUE!</v>
      </c>
      <c r="HJ189" t="e">
        <f>'All regions'!B4742+"n/&gt;!)1a"</f>
        <v>#VALUE!</v>
      </c>
      <c r="HK189" t="e">
        <f>'All regions'!C4742+"n/&gt;!)1b"</f>
        <v>#VALUE!</v>
      </c>
      <c r="HL189" t="e">
        <f>'All regions'!D4742+"n/&gt;!)1c"</f>
        <v>#VALUE!</v>
      </c>
      <c r="HM189" t="e">
        <f>'All regions'!E4742+"n/&gt;!)1d"</f>
        <v>#VALUE!</v>
      </c>
      <c r="HN189" t="e">
        <f>'All regions'!F4742+"n/&gt;!)1e"</f>
        <v>#VALUE!</v>
      </c>
      <c r="HO189" t="e">
        <f>'All regions'!G4742+"n/&gt;!)1f"</f>
        <v>#VALUE!</v>
      </c>
      <c r="HP189" t="e">
        <f>'All regions'!H4742+"n/&gt;!)1g"</f>
        <v>#VALUE!</v>
      </c>
      <c r="HQ189" t="e">
        <f>'All regions'!I4742+"n/&gt;!)1h"</f>
        <v>#VALUE!</v>
      </c>
      <c r="HR189" t="e">
        <f>'All regions'!J4742+"n/&gt;!)1i"</f>
        <v>#VALUE!</v>
      </c>
      <c r="HS189" t="e">
        <f>'All regions'!A4743+"n/&gt;!)1j"</f>
        <v>#VALUE!</v>
      </c>
      <c r="HT189" t="e">
        <f>'All regions'!B4743+"n/&gt;!)1k"</f>
        <v>#VALUE!</v>
      </c>
      <c r="HU189" t="e">
        <f>'All regions'!C4743+"n/&gt;!)1l"</f>
        <v>#VALUE!</v>
      </c>
      <c r="HV189" t="e">
        <f>'All regions'!D4743+"n/&gt;!)1m"</f>
        <v>#VALUE!</v>
      </c>
      <c r="HW189" t="e">
        <f>'All regions'!E4743+"n/&gt;!)1n"</f>
        <v>#VALUE!</v>
      </c>
      <c r="HX189" t="e">
        <f>'All regions'!F4743+"n/&gt;!)1o"</f>
        <v>#VALUE!</v>
      </c>
      <c r="HY189" t="e">
        <f>'All regions'!G4743+"n/&gt;!)1p"</f>
        <v>#VALUE!</v>
      </c>
      <c r="HZ189" t="e">
        <f>'All regions'!H4743+"n/&gt;!)1q"</f>
        <v>#VALUE!</v>
      </c>
      <c r="IA189" t="e">
        <f>'All regions'!I4743+"n/&gt;!)1r"</f>
        <v>#VALUE!</v>
      </c>
      <c r="IB189" t="e">
        <f>'All regions'!J4743+"n/&gt;!)1s"</f>
        <v>#VALUE!</v>
      </c>
      <c r="IC189" t="e">
        <f>'All regions'!A4744+"n/&gt;!)1t"</f>
        <v>#VALUE!</v>
      </c>
      <c r="ID189" t="e">
        <f>'All regions'!B4744+"n/&gt;!)1u"</f>
        <v>#VALUE!</v>
      </c>
      <c r="IE189" t="e">
        <f>'All regions'!C4744+"n/&gt;!)1v"</f>
        <v>#VALUE!</v>
      </c>
      <c r="IF189" t="e">
        <f>'All regions'!D4744+"n/&gt;!)1w"</f>
        <v>#VALUE!</v>
      </c>
      <c r="IG189" t="e">
        <f>'All regions'!E4744+"n/&gt;!)1x"</f>
        <v>#VALUE!</v>
      </c>
      <c r="IH189" t="e">
        <f>'All regions'!F4744+"n/&gt;!)1y"</f>
        <v>#VALUE!</v>
      </c>
      <c r="II189" t="e">
        <f>'All regions'!G4744+"n/&gt;!)1z"</f>
        <v>#VALUE!</v>
      </c>
      <c r="IJ189" t="e">
        <f>'All regions'!H4744+"n/&gt;!)1{"</f>
        <v>#VALUE!</v>
      </c>
      <c r="IK189" t="e">
        <f>'All regions'!I4744+"n/&gt;!)1|"</f>
        <v>#VALUE!</v>
      </c>
      <c r="IL189" t="e">
        <f>'All regions'!J4744+"n/&gt;!)1}"</f>
        <v>#VALUE!</v>
      </c>
      <c r="IM189" t="e">
        <f>'All regions'!A4745+"n/&gt;!)1~"</f>
        <v>#VALUE!</v>
      </c>
      <c r="IN189" t="e">
        <f>'All regions'!B4745+"n/&gt;!)2#"</f>
        <v>#VALUE!</v>
      </c>
      <c r="IO189" t="e">
        <f>'All regions'!C4745+"n/&gt;!)2$"</f>
        <v>#VALUE!</v>
      </c>
      <c r="IP189" t="e">
        <f>'All regions'!D4745+"n/&gt;!)2%"</f>
        <v>#VALUE!</v>
      </c>
      <c r="IQ189" t="e">
        <f>'All regions'!E4745+"n/&gt;!)2&amp;"</f>
        <v>#VALUE!</v>
      </c>
      <c r="IR189" t="e">
        <f>'All regions'!F4745+"n/&gt;!)2'"</f>
        <v>#VALUE!</v>
      </c>
      <c r="IS189" t="e">
        <f>'All regions'!G4745+"n/&gt;!)2("</f>
        <v>#VALUE!</v>
      </c>
      <c r="IT189" t="e">
        <f>'All regions'!H4745+"n/&gt;!)2)"</f>
        <v>#VALUE!</v>
      </c>
      <c r="IU189" t="e">
        <f>'All regions'!I4745+"n/&gt;!)2."</f>
        <v>#VALUE!</v>
      </c>
      <c r="IV189" t="e">
        <f>'All regions'!J4745+"n/&gt;!)2/"</f>
        <v>#VALUE!</v>
      </c>
    </row>
    <row r="190" spans="6:256" x14ac:dyDescent="0.35">
      <c r="F190" t="e">
        <f>'All regions'!A4746+"n/&gt;!)20"</f>
        <v>#VALUE!</v>
      </c>
      <c r="G190" t="e">
        <f>'All regions'!B4746+"n/&gt;!)21"</f>
        <v>#VALUE!</v>
      </c>
      <c r="H190" t="e">
        <f>'All regions'!C4746+"n/&gt;!)22"</f>
        <v>#VALUE!</v>
      </c>
      <c r="I190" t="e">
        <f>'All regions'!D4746+"n/&gt;!)23"</f>
        <v>#VALUE!</v>
      </c>
      <c r="J190" t="e">
        <f>'All regions'!E4746+"n/&gt;!)24"</f>
        <v>#VALUE!</v>
      </c>
      <c r="K190" t="e">
        <f>'All regions'!F4746+"n/&gt;!)25"</f>
        <v>#VALUE!</v>
      </c>
      <c r="L190" t="e">
        <f>'All regions'!G4746+"n/&gt;!)26"</f>
        <v>#VALUE!</v>
      </c>
      <c r="M190" t="e">
        <f>'All regions'!H4746+"n/&gt;!)27"</f>
        <v>#VALUE!</v>
      </c>
      <c r="N190" t="e">
        <f>'All regions'!I4746+"n/&gt;!)28"</f>
        <v>#VALUE!</v>
      </c>
      <c r="O190" t="e">
        <f>'All regions'!J4746+"n/&gt;!)29"</f>
        <v>#VALUE!</v>
      </c>
      <c r="P190" t="e">
        <f>'All regions'!A4747+"n/&gt;!)2:"</f>
        <v>#VALUE!</v>
      </c>
      <c r="Q190" t="e">
        <f>'All regions'!B4747+"n/&gt;!)2;"</f>
        <v>#VALUE!</v>
      </c>
      <c r="R190" t="e">
        <f>'All regions'!C4747+"n/&gt;!)2&lt;"</f>
        <v>#VALUE!</v>
      </c>
      <c r="S190" t="e">
        <f>'All regions'!D4747+"n/&gt;!)2="</f>
        <v>#VALUE!</v>
      </c>
      <c r="T190" t="e">
        <f>'All regions'!E4747+"n/&gt;!)2&gt;"</f>
        <v>#VALUE!</v>
      </c>
      <c r="U190" t="e">
        <f>'All regions'!F4747+"n/&gt;!)2?"</f>
        <v>#VALUE!</v>
      </c>
      <c r="V190" t="e">
        <f>'All regions'!G4747+"n/&gt;!)2@"</f>
        <v>#VALUE!</v>
      </c>
      <c r="W190" t="e">
        <f>'All regions'!H4747+"n/&gt;!)2A"</f>
        <v>#VALUE!</v>
      </c>
      <c r="X190" t="e">
        <f>'All regions'!I4747+"n/&gt;!)2B"</f>
        <v>#VALUE!</v>
      </c>
      <c r="Y190" t="e">
        <f>'All regions'!J4747+"n/&gt;!)2C"</f>
        <v>#VALUE!</v>
      </c>
      <c r="Z190" t="e">
        <f>'All regions'!A4748+"n/&gt;!)2D"</f>
        <v>#VALUE!</v>
      </c>
      <c r="AA190" t="e">
        <f>'All regions'!B4748+"n/&gt;!)2E"</f>
        <v>#VALUE!</v>
      </c>
      <c r="AB190" t="e">
        <f>'All regions'!C4748+"n/&gt;!)2F"</f>
        <v>#VALUE!</v>
      </c>
      <c r="AC190" t="e">
        <f>'All regions'!D4748+"n/&gt;!)2G"</f>
        <v>#VALUE!</v>
      </c>
      <c r="AD190" t="e">
        <f>'All regions'!E4748+"n/&gt;!)2H"</f>
        <v>#VALUE!</v>
      </c>
      <c r="AE190" t="e">
        <f>'All regions'!F4748+"n/&gt;!)2I"</f>
        <v>#VALUE!</v>
      </c>
      <c r="AF190" t="e">
        <f>'All regions'!G4748+"n/&gt;!)2J"</f>
        <v>#VALUE!</v>
      </c>
      <c r="AG190" t="e">
        <f>'All regions'!H4748+"n/&gt;!)2K"</f>
        <v>#VALUE!</v>
      </c>
      <c r="AH190" t="e">
        <f>'All regions'!I4748+"n/&gt;!)2L"</f>
        <v>#VALUE!</v>
      </c>
      <c r="AI190" t="e">
        <f>'All regions'!J4748+"n/&gt;!)2M"</f>
        <v>#VALUE!</v>
      </c>
      <c r="AJ190" t="e">
        <f>'All regions'!A4749+"n/&gt;!)2N"</f>
        <v>#VALUE!</v>
      </c>
      <c r="AK190" t="e">
        <f>'All regions'!B4749+"n/&gt;!)2O"</f>
        <v>#VALUE!</v>
      </c>
      <c r="AL190" t="e">
        <f>'All regions'!C4749+"n/&gt;!)2P"</f>
        <v>#VALUE!</v>
      </c>
      <c r="AM190" t="e">
        <f>'All regions'!D4749+"n/&gt;!)2Q"</f>
        <v>#VALUE!</v>
      </c>
      <c r="AN190" t="e">
        <f>'All regions'!E4749+"n/&gt;!)2R"</f>
        <v>#VALUE!</v>
      </c>
      <c r="AO190" t="e">
        <f>'All regions'!F4749+"n/&gt;!)2S"</f>
        <v>#VALUE!</v>
      </c>
      <c r="AP190" t="e">
        <f>'All regions'!G4749+"n/&gt;!)2T"</f>
        <v>#VALUE!</v>
      </c>
      <c r="AQ190" t="e">
        <f>'All regions'!H4749+"n/&gt;!)2U"</f>
        <v>#VALUE!</v>
      </c>
      <c r="AR190" t="e">
        <f>'All regions'!I4749+"n/&gt;!)2V"</f>
        <v>#VALUE!</v>
      </c>
      <c r="AS190" t="e">
        <f>'All regions'!J4749+"n/&gt;!)2W"</f>
        <v>#VALUE!</v>
      </c>
      <c r="AT190" t="e">
        <f>'All regions'!A4750+"n/&gt;!)2X"</f>
        <v>#VALUE!</v>
      </c>
      <c r="AU190" t="e">
        <f>'All regions'!B4750+"n/&gt;!)2Y"</f>
        <v>#VALUE!</v>
      </c>
      <c r="AV190" t="e">
        <f>'All regions'!C4750+"n/&gt;!)2Z"</f>
        <v>#VALUE!</v>
      </c>
      <c r="AW190" t="e">
        <f>'All regions'!D4750+"n/&gt;!)2["</f>
        <v>#VALUE!</v>
      </c>
      <c r="AX190" t="e">
        <f>'All regions'!E4750+"n/&gt;!)2\"</f>
        <v>#VALUE!</v>
      </c>
      <c r="AY190" t="e">
        <f>'All regions'!F4750+"n/&gt;!)2]"</f>
        <v>#VALUE!</v>
      </c>
      <c r="AZ190" t="e">
        <f>'All regions'!G4750+"n/&gt;!)2^"</f>
        <v>#VALUE!</v>
      </c>
      <c r="BA190" t="e">
        <f>'All regions'!H4750+"n/&gt;!)2_"</f>
        <v>#VALUE!</v>
      </c>
      <c r="BB190" t="e">
        <f>'All regions'!I4750+"n/&gt;!)2`"</f>
        <v>#VALUE!</v>
      </c>
      <c r="BC190" t="e">
        <f>'All regions'!J4750+"n/&gt;!)2a"</f>
        <v>#VALUE!</v>
      </c>
      <c r="BD190" t="e">
        <f>'All regions'!A4751+"n/&gt;!)2b"</f>
        <v>#VALUE!</v>
      </c>
      <c r="BE190" t="e">
        <f>'All regions'!B4751+"n/&gt;!)2c"</f>
        <v>#VALUE!</v>
      </c>
      <c r="BF190" t="e">
        <f>'All regions'!C4751+"n/&gt;!)2d"</f>
        <v>#VALUE!</v>
      </c>
      <c r="BG190" t="e">
        <f>'All regions'!D4751+"n/&gt;!)2e"</f>
        <v>#VALUE!</v>
      </c>
      <c r="BH190" t="e">
        <f>'All regions'!E4751+"n/&gt;!)2f"</f>
        <v>#VALUE!</v>
      </c>
      <c r="BI190" t="e">
        <f>'All regions'!F4751+"n/&gt;!)2g"</f>
        <v>#VALUE!</v>
      </c>
      <c r="BJ190" t="e">
        <f>'All regions'!G4751+"n/&gt;!)2h"</f>
        <v>#VALUE!</v>
      </c>
      <c r="BK190" t="e">
        <f>'All regions'!H4751+"n/&gt;!)2i"</f>
        <v>#VALUE!</v>
      </c>
      <c r="BL190" t="e">
        <f>'All regions'!I4751+"n/&gt;!)2j"</f>
        <v>#VALUE!</v>
      </c>
      <c r="BM190" t="e">
        <f>'All regions'!J4751+"n/&gt;!)2k"</f>
        <v>#VALUE!</v>
      </c>
      <c r="BN190" t="e">
        <f>'All regions'!A4752+"n/&gt;!)2l"</f>
        <v>#VALUE!</v>
      </c>
      <c r="BO190" t="e">
        <f>'All regions'!B4752+"n/&gt;!)2m"</f>
        <v>#VALUE!</v>
      </c>
      <c r="BP190" t="e">
        <f>'All regions'!C4752+"n/&gt;!)2n"</f>
        <v>#VALUE!</v>
      </c>
      <c r="BQ190" t="e">
        <f>'All regions'!D4752+"n/&gt;!)2o"</f>
        <v>#VALUE!</v>
      </c>
      <c r="BR190" t="e">
        <f>'All regions'!E4752+"n/&gt;!)2p"</f>
        <v>#VALUE!</v>
      </c>
      <c r="BS190" t="e">
        <f>'All regions'!F4752+"n/&gt;!)2q"</f>
        <v>#VALUE!</v>
      </c>
      <c r="BT190" t="e">
        <f>'All regions'!G4752+"n/&gt;!)2r"</f>
        <v>#VALUE!</v>
      </c>
      <c r="BU190" t="e">
        <f>'All regions'!H4752+"n/&gt;!)2s"</f>
        <v>#VALUE!</v>
      </c>
      <c r="BV190" t="e">
        <f>'All regions'!I4752+"n/&gt;!)2t"</f>
        <v>#VALUE!</v>
      </c>
      <c r="BW190" t="e">
        <f>'All regions'!J4752+"n/&gt;!)2u"</f>
        <v>#VALUE!</v>
      </c>
      <c r="BX190" t="e">
        <f>'All regions'!A4753+"n/&gt;!)2v"</f>
        <v>#VALUE!</v>
      </c>
      <c r="BY190" t="e">
        <f>'All regions'!B4753+"n/&gt;!)2w"</f>
        <v>#VALUE!</v>
      </c>
      <c r="BZ190" t="e">
        <f>'All regions'!C4753+"n/&gt;!)2x"</f>
        <v>#VALUE!</v>
      </c>
      <c r="CA190" t="e">
        <f>'All regions'!D4753+"n/&gt;!)2y"</f>
        <v>#VALUE!</v>
      </c>
      <c r="CB190" t="e">
        <f>'All regions'!E4753+"n/&gt;!)2z"</f>
        <v>#VALUE!</v>
      </c>
      <c r="CC190" t="e">
        <f>'All regions'!F4753+"n/&gt;!)2{"</f>
        <v>#VALUE!</v>
      </c>
      <c r="CD190" t="e">
        <f>'All regions'!G4753+"n/&gt;!)2|"</f>
        <v>#VALUE!</v>
      </c>
      <c r="CE190" t="e">
        <f>'All regions'!H4753+"n/&gt;!)2}"</f>
        <v>#VALUE!</v>
      </c>
      <c r="CF190" t="e">
        <f>'All regions'!I4753+"n/&gt;!)2~"</f>
        <v>#VALUE!</v>
      </c>
      <c r="CG190" t="e">
        <f>'All regions'!J4753+"n/&gt;!)3#"</f>
        <v>#VALUE!</v>
      </c>
      <c r="CH190" t="e">
        <f>'All regions'!A4754+"n/&gt;!)3$"</f>
        <v>#VALUE!</v>
      </c>
      <c r="CI190" t="e">
        <f>'All regions'!B4754+"n/&gt;!)3%"</f>
        <v>#VALUE!</v>
      </c>
      <c r="CJ190" t="e">
        <f>'All regions'!C4754+"n/&gt;!)3&amp;"</f>
        <v>#VALUE!</v>
      </c>
      <c r="CK190" t="e">
        <f>'All regions'!D4754+"n/&gt;!)3'"</f>
        <v>#VALUE!</v>
      </c>
      <c r="CL190" t="e">
        <f>'All regions'!E4754+"n/&gt;!)3("</f>
        <v>#VALUE!</v>
      </c>
      <c r="CM190" t="e">
        <f>'All regions'!F4754+"n/&gt;!)3)"</f>
        <v>#VALUE!</v>
      </c>
      <c r="CN190" t="e">
        <f>'All regions'!G4754+"n/&gt;!)3."</f>
        <v>#VALUE!</v>
      </c>
      <c r="CO190" t="e">
        <f>'All regions'!H4754+"n/&gt;!)3/"</f>
        <v>#VALUE!</v>
      </c>
      <c r="CP190" t="e">
        <f>'All regions'!I4754+"n/&gt;!)30"</f>
        <v>#VALUE!</v>
      </c>
      <c r="CQ190" t="e">
        <f>'All regions'!J4754+"n/&gt;!)31"</f>
        <v>#VALUE!</v>
      </c>
      <c r="CR190" t="e">
        <f>'All regions'!A4755+"n/&gt;!)32"</f>
        <v>#VALUE!</v>
      </c>
      <c r="CS190" t="e">
        <f>'All regions'!B4755+"n/&gt;!)33"</f>
        <v>#VALUE!</v>
      </c>
      <c r="CT190" t="e">
        <f>'All regions'!C4755+"n/&gt;!)34"</f>
        <v>#VALUE!</v>
      </c>
      <c r="CU190" t="e">
        <f>'All regions'!D4755+"n/&gt;!)35"</f>
        <v>#VALUE!</v>
      </c>
      <c r="CV190" t="e">
        <f>'All regions'!E4755+"n/&gt;!)36"</f>
        <v>#VALUE!</v>
      </c>
      <c r="CW190" t="e">
        <f>'All regions'!F4755+"n/&gt;!)37"</f>
        <v>#VALUE!</v>
      </c>
      <c r="CX190" t="e">
        <f>'All regions'!G4755+"n/&gt;!)38"</f>
        <v>#VALUE!</v>
      </c>
      <c r="CY190" t="e">
        <f>'All regions'!H4755+"n/&gt;!)39"</f>
        <v>#VALUE!</v>
      </c>
      <c r="CZ190" t="e">
        <f>'All regions'!I4755+"n/&gt;!)3:"</f>
        <v>#VALUE!</v>
      </c>
      <c r="DA190" t="e">
        <f>'All regions'!J4755+"n/&gt;!)3;"</f>
        <v>#VALUE!</v>
      </c>
      <c r="DB190" t="e">
        <f>'All regions'!A4756+"n/&gt;!)3&lt;"</f>
        <v>#VALUE!</v>
      </c>
      <c r="DC190" t="e">
        <f>'All regions'!B4756+"n/&gt;!)3="</f>
        <v>#VALUE!</v>
      </c>
      <c r="DD190" t="e">
        <f>'All regions'!C4756+"n/&gt;!)3&gt;"</f>
        <v>#VALUE!</v>
      </c>
      <c r="DE190" t="e">
        <f>'All regions'!D4756+"n/&gt;!)3?"</f>
        <v>#VALUE!</v>
      </c>
      <c r="DF190" t="e">
        <f>'All regions'!E4756+"n/&gt;!)3@"</f>
        <v>#VALUE!</v>
      </c>
      <c r="DG190" t="e">
        <f>'All regions'!F4756+"n/&gt;!)3A"</f>
        <v>#VALUE!</v>
      </c>
      <c r="DH190" t="e">
        <f>'All regions'!G4756+"n/&gt;!)3B"</f>
        <v>#VALUE!</v>
      </c>
      <c r="DI190" t="e">
        <f>'All regions'!H4756+"n/&gt;!)3C"</f>
        <v>#VALUE!</v>
      </c>
      <c r="DJ190" t="e">
        <f>'All regions'!I4756+"n/&gt;!)3D"</f>
        <v>#VALUE!</v>
      </c>
      <c r="DK190" t="e">
        <f>'All regions'!J4756+"n/&gt;!)3E"</f>
        <v>#VALUE!</v>
      </c>
      <c r="DL190" t="e">
        <f>'All regions'!A4757+"n/&gt;!)3F"</f>
        <v>#VALUE!</v>
      </c>
      <c r="DM190" t="e">
        <f>'All regions'!B4757+"n/&gt;!)3G"</f>
        <v>#VALUE!</v>
      </c>
      <c r="DN190" t="e">
        <f>'All regions'!C4757+"n/&gt;!)3H"</f>
        <v>#VALUE!</v>
      </c>
      <c r="DO190" t="e">
        <f>'All regions'!D4757+"n/&gt;!)3I"</f>
        <v>#VALUE!</v>
      </c>
      <c r="DP190" t="e">
        <f>'All regions'!E4757+"n/&gt;!)3J"</f>
        <v>#VALUE!</v>
      </c>
      <c r="DQ190" t="e">
        <f>'All regions'!F4757+"n/&gt;!)3K"</f>
        <v>#VALUE!</v>
      </c>
      <c r="DR190" t="e">
        <f>'All regions'!G4757+"n/&gt;!)3L"</f>
        <v>#VALUE!</v>
      </c>
      <c r="DS190" t="e">
        <f>'All regions'!H4757+"n/&gt;!)3M"</f>
        <v>#VALUE!</v>
      </c>
      <c r="DT190" t="e">
        <f>'All regions'!I4757+"n/&gt;!)3N"</f>
        <v>#VALUE!</v>
      </c>
      <c r="DU190" t="e">
        <f>'All regions'!J4757+"n/&gt;!)3O"</f>
        <v>#VALUE!</v>
      </c>
      <c r="DV190" t="e">
        <f>'All regions'!A4758+"n/&gt;!)3P"</f>
        <v>#VALUE!</v>
      </c>
      <c r="DW190" t="e">
        <f>'All regions'!B4758+"n/&gt;!)3Q"</f>
        <v>#VALUE!</v>
      </c>
      <c r="DX190" t="e">
        <f>'All regions'!C4758+"n/&gt;!)3R"</f>
        <v>#VALUE!</v>
      </c>
      <c r="DY190" t="e">
        <f>'All regions'!D4758+"n/&gt;!)3S"</f>
        <v>#VALUE!</v>
      </c>
      <c r="DZ190" t="e">
        <f>'All regions'!E4758+"n/&gt;!)3T"</f>
        <v>#VALUE!</v>
      </c>
      <c r="EA190" t="e">
        <f>'All regions'!F4758+"n/&gt;!)3U"</f>
        <v>#VALUE!</v>
      </c>
      <c r="EB190" t="e">
        <f>'All regions'!G4758+"n/&gt;!)3V"</f>
        <v>#VALUE!</v>
      </c>
      <c r="EC190" t="e">
        <f>'All regions'!H4758+"n/&gt;!)3W"</f>
        <v>#VALUE!</v>
      </c>
      <c r="ED190" t="e">
        <f>'All regions'!I4758+"n/&gt;!)3X"</f>
        <v>#VALUE!</v>
      </c>
      <c r="EE190" t="e">
        <f>'All regions'!J4758+"n/&gt;!)3Y"</f>
        <v>#VALUE!</v>
      </c>
      <c r="EF190" t="e">
        <f>'All regions'!A4759+"n/&gt;!)3Z"</f>
        <v>#VALUE!</v>
      </c>
      <c r="EG190" t="e">
        <f>'All regions'!B4759+"n/&gt;!)3["</f>
        <v>#VALUE!</v>
      </c>
      <c r="EH190" t="e">
        <f>'All regions'!C4759+"n/&gt;!)3\"</f>
        <v>#VALUE!</v>
      </c>
      <c r="EI190" t="e">
        <f>'All regions'!D4759+"n/&gt;!)3]"</f>
        <v>#VALUE!</v>
      </c>
      <c r="EJ190" t="e">
        <f>'All regions'!E4759+"n/&gt;!)3^"</f>
        <v>#VALUE!</v>
      </c>
      <c r="EK190" t="e">
        <f>'All regions'!F4759+"n/&gt;!)3_"</f>
        <v>#VALUE!</v>
      </c>
      <c r="EL190" t="e">
        <f>'All regions'!G4759+"n/&gt;!)3`"</f>
        <v>#VALUE!</v>
      </c>
      <c r="EM190" t="e">
        <f>'All regions'!H4759+"n/&gt;!)3a"</f>
        <v>#VALUE!</v>
      </c>
      <c r="EN190" t="e">
        <f>'All regions'!I4759+"n/&gt;!)3b"</f>
        <v>#VALUE!</v>
      </c>
      <c r="EO190" t="e">
        <f>'All regions'!J4759+"n/&gt;!)3c"</f>
        <v>#VALUE!</v>
      </c>
      <c r="EP190" t="e">
        <f>'All regions'!A4760+"n/&gt;!)3d"</f>
        <v>#VALUE!</v>
      </c>
      <c r="EQ190" t="e">
        <f>'All regions'!B4760+"n/&gt;!)3e"</f>
        <v>#VALUE!</v>
      </c>
      <c r="ER190" t="e">
        <f>'All regions'!C4760+"n/&gt;!)3f"</f>
        <v>#VALUE!</v>
      </c>
      <c r="ES190" t="e">
        <f>'All regions'!D4760+"n/&gt;!)3g"</f>
        <v>#VALUE!</v>
      </c>
      <c r="ET190" t="e">
        <f>'All regions'!E4760+"n/&gt;!)3h"</f>
        <v>#VALUE!</v>
      </c>
      <c r="EU190" t="e">
        <f>'All regions'!F4760+"n/&gt;!)3i"</f>
        <v>#VALUE!</v>
      </c>
      <c r="EV190" t="e">
        <f>'All regions'!G4760+"n/&gt;!)3j"</f>
        <v>#VALUE!</v>
      </c>
      <c r="EW190" t="e">
        <f>'All regions'!H4760+"n/&gt;!)3k"</f>
        <v>#VALUE!</v>
      </c>
      <c r="EX190" t="e">
        <f>'All regions'!I4760+"n/&gt;!)3l"</f>
        <v>#VALUE!</v>
      </c>
      <c r="EY190" t="e">
        <f>'All regions'!J4760+"n/&gt;!)3m"</f>
        <v>#VALUE!</v>
      </c>
      <c r="EZ190" t="e">
        <f>'All regions'!A4761+"n/&gt;!)3n"</f>
        <v>#VALUE!</v>
      </c>
      <c r="FA190" t="e">
        <f>'All regions'!B4761+"n/&gt;!)3o"</f>
        <v>#VALUE!</v>
      </c>
      <c r="FB190" t="e">
        <f>'All regions'!C4761+"n/&gt;!)3p"</f>
        <v>#VALUE!</v>
      </c>
      <c r="FC190" t="e">
        <f>'All regions'!D4761+"n/&gt;!)3q"</f>
        <v>#VALUE!</v>
      </c>
      <c r="FD190" t="e">
        <f>'All regions'!E4761+"n/&gt;!)3r"</f>
        <v>#VALUE!</v>
      </c>
      <c r="FE190" t="e">
        <f>'All regions'!F4761+"n/&gt;!)3s"</f>
        <v>#VALUE!</v>
      </c>
      <c r="FF190" t="e">
        <f>'All regions'!G4761+"n/&gt;!)3t"</f>
        <v>#VALUE!</v>
      </c>
      <c r="FG190" t="e">
        <f>'All regions'!H4761+"n/&gt;!)3u"</f>
        <v>#VALUE!</v>
      </c>
      <c r="FH190" t="e">
        <f>'All regions'!I4761+"n/&gt;!)3v"</f>
        <v>#VALUE!</v>
      </c>
      <c r="FI190" t="e">
        <f>'All regions'!J4761+"n/&gt;!)3w"</f>
        <v>#VALUE!</v>
      </c>
      <c r="FJ190" t="e">
        <f>'All regions'!A4762+"n/&gt;!)3x"</f>
        <v>#VALUE!</v>
      </c>
      <c r="FK190" t="e">
        <f>'All regions'!B4762+"n/&gt;!)3y"</f>
        <v>#VALUE!</v>
      </c>
      <c r="FL190" t="e">
        <f>'All regions'!C4762+"n/&gt;!)3z"</f>
        <v>#VALUE!</v>
      </c>
      <c r="FM190" t="e">
        <f>'All regions'!D4762+"n/&gt;!)3{"</f>
        <v>#VALUE!</v>
      </c>
      <c r="FN190" t="e">
        <f>'All regions'!E4762+"n/&gt;!)3|"</f>
        <v>#VALUE!</v>
      </c>
      <c r="FO190" t="e">
        <f>'All regions'!F4762+"n/&gt;!)3}"</f>
        <v>#VALUE!</v>
      </c>
      <c r="FP190" t="e">
        <f>'All regions'!G4762+"n/&gt;!)3~"</f>
        <v>#VALUE!</v>
      </c>
      <c r="FQ190" t="e">
        <f>'All regions'!H4762+"n/&gt;!)4#"</f>
        <v>#VALUE!</v>
      </c>
      <c r="FR190" t="e">
        <f>'All regions'!I4762+"n/&gt;!)4$"</f>
        <v>#VALUE!</v>
      </c>
      <c r="FS190" t="e">
        <f>'All regions'!J4762+"n/&gt;!)4%"</f>
        <v>#VALUE!</v>
      </c>
      <c r="FT190" t="e">
        <f>'All regions'!A4763+"n/&gt;!)4&amp;"</f>
        <v>#VALUE!</v>
      </c>
      <c r="FU190" t="e">
        <f>'All regions'!B4763+"n/&gt;!)4'"</f>
        <v>#VALUE!</v>
      </c>
      <c r="FV190" t="e">
        <f>'All regions'!C4763+"n/&gt;!)4("</f>
        <v>#VALUE!</v>
      </c>
      <c r="FW190" t="e">
        <f>'All regions'!D4763+"n/&gt;!)4)"</f>
        <v>#VALUE!</v>
      </c>
      <c r="FX190" t="e">
        <f>'All regions'!E4763+"n/&gt;!)4."</f>
        <v>#VALUE!</v>
      </c>
      <c r="FY190" t="e">
        <f>'All regions'!F4763+"n/&gt;!)4/"</f>
        <v>#VALUE!</v>
      </c>
      <c r="FZ190" t="e">
        <f>'All regions'!G4763+"n/&gt;!)40"</f>
        <v>#VALUE!</v>
      </c>
      <c r="GA190" t="e">
        <f>'All regions'!H4763+"n/&gt;!)41"</f>
        <v>#VALUE!</v>
      </c>
      <c r="GB190" t="e">
        <f>'All regions'!I4763+"n/&gt;!)42"</f>
        <v>#VALUE!</v>
      </c>
      <c r="GC190" t="e">
        <f>'All regions'!J4763+"n/&gt;!)43"</f>
        <v>#VALUE!</v>
      </c>
      <c r="GD190" t="e">
        <f>'All regions'!A4764+"n/&gt;!)44"</f>
        <v>#VALUE!</v>
      </c>
      <c r="GE190" t="e">
        <f>'All regions'!B4764+"n/&gt;!)45"</f>
        <v>#VALUE!</v>
      </c>
      <c r="GF190" t="e">
        <f>'All regions'!C4764+"n/&gt;!)46"</f>
        <v>#VALUE!</v>
      </c>
      <c r="GG190" t="e">
        <f>'All regions'!D4764+"n/&gt;!)47"</f>
        <v>#VALUE!</v>
      </c>
      <c r="GH190" t="e">
        <f>'All regions'!E4764+"n/&gt;!)48"</f>
        <v>#VALUE!</v>
      </c>
      <c r="GI190" t="e">
        <f>'All regions'!F4764+"n/&gt;!)49"</f>
        <v>#VALUE!</v>
      </c>
      <c r="GJ190" t="e">
        <f>'All regions'!G4764+"n/&gt;!)4:"</f>
        <v>#VALUE!</v>
      </c>
      <c r="GK190" t="e">
        <f>'All regions'!H4764+"n/&gt;!)4;"</f>
        <v>#VALUE!</v>
      </c>
      <c r="GL190" t="e">
        <f>'All regions'!I4764+"n/&gt;!)4&lt;"</f>
        <v>#VALUE!</v>
      </c>
      <c r="GM190" t="e">
        <f>'All regions'!J4764+"n/&gt;!)4="</f>
        <v>#VALUE!</v>
      </c>
      <c r="GN190" t="e">
        <f>'All regions'!A4765+"n/&gt;!)4&gt;"</f>
        <v>#VALUE!</v>
      </c>
      <c r="GO190" t="e">
        <f>'All regions'!B4765+"n/&gt;!)4?"</f>
        <v>#VALUE!</v>
      </c>
      <c r="GP190" t="e">
        <f>'All regions'!C4765+"n/&gt;!)4@"</f>
        <v>#VALUE!</v>
      </c>
      <c r="GQ190" t="e">
        <f>'All regions'!D4765+"n/&gt;!)4A"</f>
        <v>#VALUE!</v>
      </c>
      <c r="GR190" t="e">
        <f>'All regions'!E4765+"n/&gt;!)4B"</f>
        <v>#VALUE!</v>
      </c>
      <c r="GS190" t="e">
        <f>'All regions'!F4765+"n/&gt;!)4C"</f>
        <v>#VALUE!</v>
      </c>
      <c r="GT190" t="e">
        <f>'All regions'!G4765+"n/&gt;!)4D"</f>
        <v>#VALUE!</v>
      </c>
      <c r="GU190" t="e">
        <f>'All regions'!H4765+"n/&gt;!)4E"</f>
        <v>#VALUE!</v>
      </c>
      <c r="GV190" t="e">
        <f>'All regions'!I4765+"n/&gt;!)4F"</f>
        <v>#VALUE!</v>
      </c>
      <c r="GW190" t="e">
        <f>'All regions'!J4765+"n/&gt;!)4G"</f>
        <v>#VALUE!</v>
      </c>
      <c r="GX190" t="e">
        <f>'All regions'!A4766+"n/&gt;!)4H"</f>
        <v>#VALUE!</v>
      </c>
      <c r="GY190" t="e">
        <f>'All regions'!B4766+"n/&gt;!)4I"</f>
        <v>#VALUE!</v>
      </c>
      <c r="GZ190" t="e">
        <f>'All regions'!C4766+"n/&gt;!)4J"</f>
        <v>#VALUE!</v>
      </c>
      <c r="HA190" t="e">
        <f>'All regions'!D4766+"n/&gt;!)4K"</f>
        <v>#VALUE!</v>
      </c>
      <c r="HB190" t="e">
        <f>'All regions'!E4766+"n/&gt;!)4L"</f>
        <v>#VALUE!</v>
      </c>
      <c r="HC190" t="e">
        <f>'All regions'!F4766+"n/&gt;!)4M"</f>
        <v>#VALUE!</v>
      </c>
      <c r="HD190" t="e">
        <f>'All regions'!G4766+"n/&gt;!)4N"</f>
        <v>#VALUE!</v>
      </c>
      <c r="HE190" t="e">
        <f>'All regions'!H4766+"n/&gt;!)4O"</f>
        <v>#VALUE!</v>
      </c>
      <c r="HF190" t="e">
        <f>'All regions'!I4766+"n/&gt;!)4P"</f>
        <v>#VALUE!</v>
      </c>
      <c r="HG190" t="e">
        <f>'All regions'!J4766+"n/&gt;!)4Q"</f>
        <v>#VALUE!</v>
      </c>
      <c r="HH190" t="e">
        <f>'All regions'!A4767+"n/&gt;!)4R"</f>
        <v>#VALUE!</v>
      </c>
      <c r="HI190" t="e">
        <f>'All regions'!B4767+"n/&gt;!)4S"</f>
        <v>#VALUE!</v>
      </c>
      <c r="HJ190" t="e">
        <f>'All regions'!C4767+"n/&gt;!)4T"</f>
        <v>#VALUE!</v>
      </c>
      <c r="HK190" t="e">
        <f>'All regions'!D4767+"n/&gt;!)4U"</f>
        <v>#VALUE!</v>
      </c>
      <c r="HL190" t="e">
        <f>'All regions'!E4767+"n/&gt;!)4V"</f>
        <v>#VALUE!</v>
      </c>
      <c r="HM190" t="e">
        <f>'All regions'!F4767+"n/&gt;!)4W"</f>
        <v>#VALUE!</v>
      </c>
      <c r="HN190" t="e">
        <f>'All regions'!G4767+"n/&gt;!)4X"</f>
        <v>#VALUE!</v>
      </c>
      <c r="HO190" t="e">
        <f>'All regions'!H4767+"n/&gt;!)4Y"</f>
        <v>#VALUE!</v>
      </c>
      <c r="HP190" t="e">
        <f>'All regions'!I4767+"n/&gt;!)4Z"</f>
        <v>#VALUE!</v>
      </c>
      <c r="HQ190" t="e">
        <f>'All regions'!J4767+"n/&gt;!)4["</f>
        <v>#VALUE!</v>
      </c>
      <c r="HR190" t="e">
        <f>'All regions'!A4768+"n/&gt;!)4\"</f>
        <v>#VALUE!</v>
      </c>
      <c r="HS190" t="e">
        <f>'All regions'!B4768+"n/&gt;!)4]"</f>
        <v>#VALUE!</v>
      </c>
      <c r="HT190" t="e">
        <f>'All regions'!C4768+"n/&gt;!)4^"</f>
        <v>#VALUE!</v>
      </c>
      <c r="HU190" t="e">
        <f>'All regions'!D4768+"n/&gt;!)4_"</f>
        <v>#VALUE!</v>
      </c>
      <c r="HV190" t="e">
        <f>'All regions'!E4768+"n/&gt;!)4`"</f>
        <v>#VALUE!</v>
      </c>
      <c r="HW190" t="e">
        <f>'All regions'!F4768+"n/&gt;!)4a"</f>
        <v>#VALUE!</v>
      </c>
      <c r="HX190" t="e">
        <f>'All regions'!G4768+"n/&gt;!)4b"</f>
        <v>#VALUE!</v>
      </c>
      <c r="HY190" t="e">
        <f>'All regions'!H4768+"n/&gt;!)4c"</f>
        <v>#VALUE!</v>
      </c>
      <c r="HZ190" t="e">
        <f>'All regions'!I4768+"n/&gt;!)4d"</f>
        <v>#VALUE!</v>
      </c>
      <c r="IA190" t="e">
        <f>'All regions'!J4768+"n/&gt;!)4e"</f>
        <v>#VALUE!</v>
      </c>
      <c r="IB190" t="e">
        <f>'All regions'!A4769+"n/&gt;!)4f"</f>
        <v>#VALUE!</v>
      </c>
      <c r="IC190" t="e">
        <f>'All regions'!B4769+"n/&gt;!)4g"</f>
        <v>#VALUE!</v>
      </c>
      <c r="ID190" t="e">
        <f>'All regions'!C4769+"n/&gt;!)4h"</f>
        <v>#VALUE!</v>
      </c>
      <c r="IE190" t="e">
        <f>'All regions'!D4769+"n/&gt;!)4i"</f>
        <v>#VALUE!</v>
      </c>
      <c r="IF190" t="e">
        <f>'All regions'!E4769+"n/&gt;!)4j"</f>
        <v>#VALUE!</v>
      </c>
      <c r="IG190" t="e">
        <f>'All regions'!F4769+"n/&gt;!)4k"</f>
        <v>#VALUE!</v>
      </c>
      <c r="IH190" t="e">
        <f>'All regions'!G4769+"n/&gt;!)4l"</f>
        <v>#VALUE!</v>
      </c>
      <c r="II190" t="e">
        <f>'All regions'!H4769+"n/&gt;!)4m"</f>
        <v>#VALUE!</v>
      </c>
      <c r="IJ190" t="e">
        <f>'All regions'!I4769+"n/&gt;!)4n"</f>
        <v>#VALUE!</v>
      </c>
      <c r="IK190" t="e">
        <f>'All regions'!J4769+"n/&gt;!)4o"</f>
        <v>#VALUE!</v>
      </c>
      <c r="IL190" t="e">
        <f>'All regions'!A4770+"n/&gt;!)4p"</f>
        <v>#VALUE!</v>
      </c>
      <c r="IM190" t="e">
        <f>'All regions'!B4770+"n/&gt;!)4q"</f>
        <v>#VALUE!</v>
      </c>
      <c r="IN190" t="e">
        <f>'All regions'!C4770+"n/&gt;!)4r"</f>
        <v>#VALUE!</v>
      </c>
      <c r="IO190" t="e">
        <f>'All regions'!D4770+"n/&gt;!)4s"</f>
        <v>#VALUE!</v>
      </c>
      <c r="IP190" t="e">
        <f>'All regions'!E4770+"n/&gt;!)4t"</f>
        <v>#VALUE!</v>
      </c>
      <c r="IQ190" t="e">
        <f>'All regions'!F4770+"n/&gt;!)4u"</f>
        <v>#VALUE!</v>
      </c>
      <c r="IR190" t="e">
        <f>'All regions'!G4770+"n/&gt;!)4v"</f>
        <v>#VALUE!</v>
      </c>
      <c r="IS190" t="e">
        <f>'All regions'!H4770+"n/&gt;!)4w"</f>
        <v>#VALUE!</v>
      </c>
      <c r="IT190" t="e">
        <f>'All regions'!I4770+"n/&gt;!)4x"</f>
        <v>#VALUE!</v>
      </c>
      <c r="IU190" t="e">
        <f>'All regions'!J4770+"n/&gt;!)4y"</f>
        <v>#VALUE!</v>
      </c>
      <c r="IV190" t="e">
        <f>'All regions'!A4771+"n/&gt;!)4z"</f>
        <v>#VALUE!</v>
      </c>
    </row>
    <row r="191" spans="6:256" x14ac:dyDescent="0.35">
      <c r="F191" t="e">
        <f>'All regions'!B4771+"n/&gt;!)4{"</f>
        <v>#VALUE!</v>
      </c>
      <c r="G191" t="e">
        <f>'All regions'!C4771+"n/&gt;!)4|"</f>
        <v>#VALUE!</v>
      </c>
      <c r="H191" t="e">
        <f>'All regions'!D4771+"n/&gt;!)4}"</f>
        <v>#VALUE!</v>
      </c>
      <c r="I191" t="e">
        <f>'All regions'!E4771+"n/&gt;!)4~"</f>
        <v>#VALUE!</v>
      </c>
      <c r="J191" t="e">
        <f>'All regions'!F4771+"n/&gt;!)5#"</f>
        <v>#VALUE!</v>
      </c>
      <c r="K191" t="e">
        <f>'All regions'!G4771+"n/&gt;!)5$"</f>
        <v>#VALUE!</v>
      </c>
      <c r="L191" t="e">
        <f>'All regions'!H4771+"n/&gt;!)5%"</f>
        <v>#VALUE!</v>
      </c>
      <c r="M191" t="e">
        <f>'All regions'!I4771+"n/&gt;!)5&amp;"</f>
        <v>#VALUE!</v>
      </c>
      <c r="N191" t="e">
        <f>'All regions'!J4771+"n/&gt;!)5'"</f>
        <v>#VALUE!</v>
      </c>
      <c r="O191" t="e">
        <f>'All regions'!A4772+"n/&gt;!)5("</f>
        <v>#VALUE!</v>
      </c>
      <c r="P191" t="e">
        <f>'All regions'!B4772+"n/&gt;!)5)"</f>
        <v>#VALUE!</v>
      </c>
      <c r="Q191" t="e">
        <f>'All regions'!C4772+"n/&gt;!)5."</f>
        <v>#VALUE!</v>
      </c>
      <c r="R191" t="e">
        <f>'All regions'!D4772+"n/&gt;!)5/"</f>
        <v>#VALUE!</v>
      </c>
      <c r="S191" t="e">
        <f>'All regions'!E4772+"n/&gt;!)50"</f>
        <v>#VALUE!</v>
      </c>
      <c r="T191" t="e">
        <f>'All regions'!F4772+"n/&gt;!)51"</f>
        <v>#VALUE!</v>
      </c>
      <c r="U191" t="e">
        <f>'All regions'!G4772+"n/&gt;!)52"</f>
        <v>#VALUE!</v>
      </c>
      <c r="V191" t="e">
        <f>'All regions'!H4772+"n/&gt;!)53"</f>
        <v>#VALUE!</v>
      </c>
      <c r="W191" t="e">
        <f>'All regions'!I4772+"n/&gt;!)54"</f>
        <v>#VALUE!</v>
      </c>
      <c r="X191" t="e">
        <f>'All regions'!J4772+"n/&gt;!)55"</f>
        <v>#VALUE!</v>
      </c>
      <c r="Y191" t="e">
        <f>'All regions'!A4773+"n/&gt;!)56"</f>
        <v>#VALUE!</v>
      </c>
      <c r="Z191" t="e">
        <f>'All regions'!B4773+"n/&gt;!)57"</f>
        <v>#VALUE!</v>
      </c>
      <c r="AA191" t="e">
        <f>'All regions'!C4773+"n/&gt;!)58"</f>
        <v>#VALUE!</v>
      </c>
      <c r="AB191" t="e">
        <f>'All regions'!D4773+"n/&gt;!)59"</f>
        <v>#VALUE!</v>
      </c>
      <c r="AC191" t="e">
        <f>'All regions'!E4773+"n/&gt;!)5:"</f>
        <v>#VALUE!</v>
      </c>
      <c r="AD191" t="e">
        <f>'All regions'!F4773+"n/&gt;!)5;"</f>
        <v>#VALUE!</v>
      </c>
      <c r="AE191" t="e">
        <f>'All regions'!G4773+"n/&gt;!)5&lt;"</f>
        <v>#VALUE!</v>
      </c>
      <c r="AF191" t="e">
        <f>'All regions'!H4773+"n/&gt;!)5="</f>
        <v>#VALUE!</v>
      </c>
      <c r="AG191" t="e">
        <f>'All regions'!I4773+"n/&gt;!)5&gt;"</f>
        <v>#VALUE!</v>
      </c>
      <c r="AH191" t="e">
        <f>'All regions'!J4773+"n/&gt;!)5?"</f>
        <v>#VALUE!</v>
      </c>
      <c r="AI191" t="e">
        <f>'All regions'!A4774+"n/&gt;!)5@"</f>
        <v>#VALUE!</v>
      </c>
      <c r="AJ191" t="e">
        <f>'All regions'!B4774+"n/&gt;!)5A"</f>
        <v>#VALUE!</v>
      </c>
      <c r="AK191" t="e">
        <f>'All regions'!C4774+"n/&gt;!)5B"</f>
        <v>#VALUE!</v>
      </c>
      <c r="AL191" t="e">
        <f>'All regions'!D4774+"n/&gt;!)5C"</f>
        <v>#VALUE!</v>
      </c>
      <c r="AM191" t="e">
        <f>'All regions'!E4774+"n/&gt;!)5D"</f>
        <v>#VALUE!</v>
      </c>
      <c r="AN191" t="e">
        <f>'All regions'!F4774+"n/&gt;!)5E"</f>
        <v>#VALUE!</v>
      </c>
      <c r="AO191" t="e">
        <f>'All regions'!G4774+"n/&gt;!)5F"</f>
        <v>#VALUE!</v>
      </c>
      <c r="AP191" t="e">
        <f>'All regions'!H4774+"n/&gt;!)5G"</f>
        <v>#VALUE!</v>
      </c>
      <c r="AQ191" t="e">
        <f>'All regions'!I4774+"n/&gt;!)5H"</f>
        <v>#VALUE!</v>
      </c>
      <c r="AR191" t="e">
        <f>'All regions'!J4774+"n/&gt;!)5I"</f>
        <v>#VALUE!</v>
      </c>
      <c r="AS191" t="e">
        <f>'All regions'!A4775+"n/&gt;!)5J"</f>
        <v>#VALUE!</v>
      </c>
      <c r="AT191" t="e">
        <f>'All regions'!B4775+"n/&gt;!)5K"</f>
        <v>#VALUE!</v>
      </c>
      <c r="AU191" t="e">
        <f>'All regions'!C4775+"n/&gt;!)5L"</f>
        <v>#VALUE!</v>
      </c>
      <c r="AV191" t="e">
        <f>'All regions'!D4775+"n/&gt;!)5M"</f>
        <v>#VALUE!</v>
      </c>
      <c r="AW191" t="e">
        <f>'All regions'!E4775+"n/&gt;!)5N"</f>
        <v>#VALUE!</v>
      </c>
      <c r="AX191" t="e">
        <f>'All regions'!F4775+"n/&gt;!)5O"</f>
        <v>#VALUE!</v>
      </c>
      <c r="AY191" t="e">
        <f>'All regions'!G4775+"n/&gt;!)5P"</f>
        <v>#VALUE!</v>
      </c>
      <c r="AZ191" t="e">
        <f>'All regions'!H4775+"n/&gt;!)5Q"</f>
        <v>#VALUE!</v>
      </c>
      <c r="BA191" t="e">
        <f>'All regions'!I4775+"n/&gt;!)5R"</f>
        <v>#VALUE!</v>
      </c>
      <c r="BB191" t="e">
        <f>'All regions'!J4775+"n/&gt;!)5S"</f>
        <v>#VALUE!</v>
      </c>
      <c r="BC191" t="e">
        <f>'All regions'!A4776+"n/&gt;!)5T"</f>
        <v>#VALUE!</v>
      </c>
      <c r="BD191" t="e">
        <f>'All regions'!B4776+"n/&gt;!)5U"</f>
        <v>#VALUE!</v>
      </c>
      <c r="BE191" t="e">
        <f>'All regions'!C4776+"n/&gt;!)5V"</f>
        <v>#VALUE!</v>
      </c>
      <c r="BF191" t="e">
        <f>'All regions'!D4776+"n/&gt;!)5W"</f>
        <v>#VALUE!</v>
      </c>
      <c r="BG191" t="e">
        <f>'All regions'!E4776+"n/&gt;!)5X"</f>
        <v>#VALUE!</v>
      </c>
      <c r="BH191" t="e">
        <f>'All regions'!F4776+"n/&gt;!)5Y"</f>
        <v>#VALUE!</v>
      </c>
      <c r="BI191" t="e">
        <f>'All regions'!G4776+"n/&gt;!)5Z"</f>
        <v>#VALUE!</v>
      </c>
      <c r="BJ191" t="e">
        <f>'All regions'!H4776+"n/&gt;!)5["</f>
        <v>#VALUE!</v>
      </c>
      <c r="BK191" t="e">
        <f>'All regions'!I4776+"n/&gt;!)5\"</f>
        <v>#VALUE!</v>
      </c>
      <c r="BL191" t="e">
        <f>'All regions'!J4776+"n/&gt;!)5]"</f>
        <v>#VALUE!</v>
      </c>
      <c r="BM191" t="e">
        <f>'All regions'!A4777+"n/&gt;!)5^"</f>
        <v>#VALUE!</v>
      </c>
      <c r="BN191" t="e">
        <f>'All regions'!B4777+"n/&gt;!)5_"</f>
        <v>#VALUE!</v>
      </c>
      <c r="BO191" t="e">
        <f>'All regions'!C4777+"n/&gt;!)5`"</f>
        <v>#VALUE!</v>
      </c>
      <c r="BP191" t="e">
        <f>'All regions'!D4777+"n/&gt;!)5a"</f>
        <v>#VALUE!</v>
      </c>
      <c r="BQ191" t="e">
        <f>'All regions'!E4777+"n/&gt;!)5b"</f>
        <v>#VALUE!</v>
      </c>
      <c r="BR191" t="e">
        <f>'All regions'!F4777+"n/&gt;!)5c"</f>
        <v>#VALUE!</v>
      </c>
      <c r="BS191" t="e">
        <f>'All regions'!G4777+"n/&gt;!)5d"</f>
        <v>#VALUE!</v>
      </c>
      <c r="BT191" t="e">
        <f>'All regions'!H4777+"n/&gt;!)5e"</f>
        <v>#VALUE!</v>
      </c>
      <c r="BU191" t="e">
        <f>'All regions'!I4777+"n/&gt;!)5f"</f>
        <v>#VALUE!</v>
      </c>
      <c r="BV191" t="e">
        <f>'All regions'!J4777+"n/&gt;!)5g"</f>
        <v>#VALUE!</v>
      </c>
      <c r="BW191" t="e">
        <f>'All regions'!A4778+"n/&gt;!)5h"</f>
        <v>#VALUE!</v>
      </c>
      <c r="BX191" t="e">
        <f>'All regions'!B4778+"n/&gt;!)5i"</f>
        <v>#VALUE!</v>
      </c>
      <c r="BY191" t="e">
        <f>'All regions'!C4778+"n/&gt;!)5j"</f>
        <v>#VALUE!</v>
      </c>
      <c r="BZ191" t="e">
        <f>'All regions'!D4778+"n/&gt;!)5k"</f>
        <v>#VALUE!</v>
      </c>
      <c r="CA191" t="e">
        <f>'All regions'!E4778+"n/&gt;!)5l"</f>
        <v>#VALUE!</v>
      </c>
      <c r="CB191" t="e">
        <f>'All regions'!F4778+"n/&gt;!)5m"</f>
        <v>#VALUE!</v>
      </c>
      <c r="CC191" t="e">
        <f>'All regions'!G4778+"n/&gt;!)5n"</f>
        <v>#VALUE!</v>
      </c>
      <c r="CD191" t="e">
        <f>'All regions'!H4778+"n/&gt;!)5o"</f>
        <v>#VALUE!</v>
      </c>
      <c r="CE191" t="e">
        <f>'All regions'!I4778+"n/&gt;!)5p"</f>
        <v>#VALUE!</v>
      </c>
      <c r="CF191" t="e">
        <f>'All regions'!J4778+"n/&gt;!)5q"</f>
        <v>#VALUE!</v>
      </c>
      <c r="CG191" t="e">
        <f>'All regions'!A4779+"n/&gt;!)5r"</f>
        <v>#VALUE!</v>
      </c>
      <c r="CH191" t="e">
        <f>'All regions'!B4779+"n/&gt;!)5s"</f>
        <v>#VALUE!</v>
      </c>
      <c r="CI191" t="e">
        <f>'All regions'!C4779+"n/&gt;!)5t"</f>
        <v>#VALUE!</v>
      </c>
      <c r="CJ191" t="e">
        <f>'All regions'!D4779+"n/&gt;!)5u"</f>
        <v>#VALUE!</v>
      </c>
      <c r="CK191" t="e">
        <f>'All regions'!E4779+"n/&gt;!)5v"</f>
        <v>#VALUE!</v>
      </c>
      <c r="CL191" t="e">
        <f>'All regions'!F4779+"n/&gt;!)5w"</f>
        <v>#VALUE!</v>
      </c>
      <c r="CM191" t="e">
        <f>'All regions'!G4779+"n/&gt;!)5x"</f>
        <v>#VALUE!</v>
      </c>
      <c r="CN191" t="e">
        <f>'All regions'!H4779+"n/&gt;!)5y"</f>
        <v>#VALUE!</v>
      </c>
      <c r="CO191" t="e">
        <f>'All regions'!I4779+"n/&gt;!)5z"</f>
        <v>#VALUE!</v>
      </c>
      <c r="CP191" t="e">
        <f>'All regions'!J4779+"n/&gt;!)5{"</f>
        <v>#VALUE!</v>
      </c>
      <c r="CQ191" t="e">
        <f>'All regions'!A4780+"n/&gt;!)5|"</f>
        <v>#VALUE!</v>
      </c>
      <c r="CR191" t="e">
        <f>'All regions'!B4780+"n/&gt;!)5}"</f>
        <v>#VALUE!</v>
      </c>
      <c r="CS191" t="e">
        <f>'All regions'!C4780+"n/&gt;!)5~"</f>
        <v>#VALUE!</v>
      </c>
      <c r="CT191" t="e">
        <f>'All regions'!D4780+"n/&gt;!)6#"</f>
        <v>#VALUE!</v>
      </c>
      <c r="CU191" t="e">
        <f>'All regions'!E4780+"n/&gt;!)6$"</f>
        <v>#VALUE!</v>
      </c>
      <c r="CV191" t="e">
        <f>'All regions'!F4780+"n/&gt;!)6%"</f>
        <v>#VALUE!</v>
      </c>
      <c r="CW191" t="e">
        <f>'All regions'!G4780+"n/&gt;!)6&amp;"</f>
        <v>#VALUE!</v>
      </c>
      <c r="CX191" t="e">
        <f>'All regions'!H4780+"n/&gt;!)6'"</f>
        <v>#VALUE!</v>
      </c>
      <c r="CY191" t="e">
        <f>'All regions'!I4780+"n/&gt;!)6("</f>
        <v>#VALUE!</v>
      </c>
      <c r="CZ191" t="e">
        <f>'All regions'!J4780+"n/&gt;!)6)"</f>
        <v>#VALUE!</v>
      </c>
      <c r="DA191" t="e">
        <f>'All regions'!A4781+"n/&gt;!)6."</f>
        <v>#VALUE!</v>
      </c>
      <c r="DB191" t="e">
        <f>'All regions'!B4781+"n/&gt;!)6/"</f>
        <v>#VALUE!</v>
      </c>
      <c r="DC191" t="e">
        <f>'All regions'!C4781+"n/&gt;!)60"</f>
        <v>#VALUE!</v>
      </c>
      <c r="DD191" t="e">
        <f>'All regions'!D4781+"n/&gt;!)61"</f>
        <v>#VALUE!</v>
      </c>
      <c r="DE191" t="e">
        <f>'All regions'!E4781+"n/&gt;!)62"</f>
        <v>#VALUE!</v>
      </c>
      <c r="DF191" t="e">
        <f>'All regions'!F4781+"n/&gt;!)63"</f>
        <v>#VALUE!</v>
      </c>
      <c r="DG191" t="e">
        <f>'All regions'!G4781+"n/&gt;!)64"</f>
        <v>#VALUE!</v>
      </c>
      <c r="DH191" t="e">
        <f>'All regions'!H4781+"n/&gt;!)65"</f>
        <v>#VALUE!</v>
      </c>
      <c r="DI191" t="e">
        <f>'All regions'!I4781+"n/&gt;!)66"</f>
        <v>#VALUE!</v>
      </c>
      <c r="DJ191" t="e">
        <f>'All regions'!J4781+"n/&gt;!)67"</f>
        <v>#VALUE!</v>
      </c>
      <c r="DK191" t="e">
        <f>'All regions'!A4782+"n/&gt;!)68"</f>
        <v>#VALUE!</v>
      </c>
      <c r="DL191" t="e">
        <f>'All regions'!B4782+"n/&gt;!)69"</f>
        <v>#VALUE!</v>
      </c>
      <c r="DM191" t="e">
        <f>'All regions'!C4782+"n/&gt;!)6:"</f>
        <v>#VALUE!</v>
      </c>
      <c r="DN191" t="e">
        <f>'All regions'!D4782+"n/&gt;!)6;"</f>
        <v>#VALUE!</v>
      </c>
      <c r="DO191" t="e">
        <f>'All regions'!E4782+"n/&gt;!)6&lt;"</f>
        <v>#VALUE!</v>
      </c>
      <c r="DP191" t="e">
        <f>'All regions'!F4782+"n/&gt;!)6="</f>
        <v>#VALUE!</v>
      </c>
      <c r="DQ191" t="e">
        <f>'All regions'!G4782+"n/&gt;!)6&gt;"</f>
        <v>#VALUE!</v>
      </c>
      <c r="DR191" t="e">
        <f>'All regions'!H4782+"n/&gt;!)6?"</f>
        <v>#VALUE!</v>
      </c>
      <c r="DS191" t="e">
        <f>'All regions'!I4782+"n/&gt;!)6@"</f>
        <v>#VALUE!</v>
      </c>
      <c r="DT191" t="e">
        <f>'All regions'!J4782+"n/&gt;!)6A"</f>
        <v>#VALUE!</v>
      </c>
      <c r="DU191" t="e">
        <f>'All regions'!A4783+"n/&gt;!)6B"</f>
        <v>#VALUE!</v>
      </c>
      <c r="DV191" t="e">
        <f>'All regions'!B4783+"n/&gt;!)6C"</f>
        <v>#VALUE!</v>
      </c>
      <c r="DW191" t="e">
        <f>'All regions'!C4783+"n/&gt;!)6D"</f>
        <v>#VALUE!</v>
      </c>
      <c r="DX191" t="e">
        <f>'All regions'!D4783+"n/&gt;!)6E"</f>
        <v>#VALUE!</v>
      </c>
      <c r="DY191" t="e">
        <f>'All regions'!E4783+"n/&gt;!)6F"</f>
        <v>#VALUE!</v>
      </c>
      <c r="DZ191" t="e">
        <f>'All regions'!F4783+"n/&gt;!)6G"</f>
        <v>#VALUE!</v>
      </c>
      <c r="EA191" t="e">
        <f>'All regions'!G4783+"n/&gt;!)6H"</f>
        <v>#VALUE!</v>
      </c>
      <c r="EB191" t="e">
        <f>'All regions'!H4783+"n/&gt;!)6I"</f>
        <v>#VALUE!</v>
      </c>
      <c r="EC191" t="e">
        <f>'All regions'!I4783+"n/&gt;!)6J"</f>
        <v>#VALUE!</v>
      </c>
      <c r="ED191" t="e">
        <f>'All regions'!J4783+"n/&gt;!)6K"</f>
        <v>#VALUE!</v>
      </c>
      <c r="EE191" t="e">
        <f>'All regions'!A4784+"n/&gt;!)6L"</f>
        <v>#VALUE!</v>
      </c>
      <c r="EF191" t="e">
        <f>'All regions'!B4784+"n/&gt;!)6M"</f>
        <v>#VALUE!</v>
      </c>
      <c r="EG191" t="e">
        <f>'All regions'!C4784+"n/&gt;!)6N"</f>
        <v>#VALUE!</v>
      </c>
      <c r="EH191" t="e">
        <f>'All regions'!D4784+"n/&gt;!)6O"</f>
        <v>#VALUE!</v>
      </c>
      <c r="EI191" t="e">
        <f>'All regions'!E4784+"n/&gt;!)6P"</f>
        <v>#VALUE!</v>
      </c>
      <c r="EJ191" t="e">
        <f>'All regions'!F4784+"n/&gt;!)6Q"</f>
        <v>#VALUE!</v>
      </c>
      <c r="EK191" t="e">
        <f>'All regions'!G4784+"n/&gt;!)6R"</f>
        <v>#VALUE!</v>
      </c>
      <c r="EL191" t="e">
        <f>'All regions'!H4784+"n/&gt;!)6S"</f>
        <v>#VALUE!</v>
      </c>
      <c r="EM191" t="e">
        <f>'All regions'!I4784+"n/&gt;!)6T"</f>
        <v>#VALUE!</v>
      </c>
      <c r="EN191" t="e">
        <f>'All regions'!J4784+"n/&gt;!)6U"</f>
        <v>#VALUE!</v>
      </c>
      <c r="EO191" t="e">
        <f>'All regions'!A4785+"n/&gt;!)6V"</f>
        <v>#VALUE!</v>
      </c>
      <c r="EP191" t="e">
        <f>'All regions'!B4785+"n/&gt;!)6W"</f>
        <v>#VALUE!</v>
      </c>
      <c r="EQ191" t="e">
        <f>'All regions'!C4785+"n/&gt;!)6X"</f>
        <v>#VALUE!</v>
      </c>
      <c r="ER191" t="e">
        <f>'All regions'!D4785+"n/&gt;!)6Y"</f>
        <v>#VALUE!</v>
      </c>
      <c r="ES191" t="e">
        <f>'All regions'!E4785+"n/&gt;!)6Z"</f>
        <v>#VALUE!</v>
      </c>
      <c r="ET191" t="e">
        <f>'All regions'!F4785+"n/&gt;!)6["</f>
        <v>#VALUE!</v>
      </c>
      <c r="EU191" t="e">
        <f>'All regions'!G4785+"n/&gt;!)6\"</f>
        <v>#VALUE!</v>
      </c>
      <c r="EV191" t="e">
        <f>'All regions'!H4785+"n/&gt;!)6]"</f>
        <v>#VALUE!</v>
      </c>
      <c r="EW191" t="e">
        <f>'All regions'!I4785+"n/&gt;!)6^"</f>
        <v>#VALUE!</v>
      </c>
      <c r="EX191" t="e">
        <f>'All regions'!J4785+"n/&gt;!)6_"</f>
        <v>#VALUE!</v>
      </c>
      <c r="EY191" t="e">
        <f>'All regions'!A4786+"n/&gt;!)6`"</f>
        <v>#VALUE!</v>
      </c>
      <c r="EZ191" t="e">
        <f>'All regions'!B4786+"n/&gt;!)6a"</f>
        <v>#VALUE!</v>
      </c>
      <c r="FA191" t="e">
        <f>'All regions'!C4786+"n/&gt;!)6b"</f>
        <v>#VALUE!</v>
      </c>
      <c r="FB191" t="e">
        <f>'All regions'!D4786+"n/&gt;!)6c"</f>
        <v>#VALUE!</v>
      </c>
      <c r="FC191" t="e">
        <f>'All regions'!E4786+"n/&gt;!)6d"</f>
        <v>#VALUE!</v>
      </c>
      <c r="FD191" t="e">
        <f>'All regions'!F4786+"n/&gt;!)6e"</f>
        <v>#VALUE!</v>
      </c>
      <c r="FE191" t="e">
        <f>'All regions'!G4786+"n/&gt;!)6f"</f>
        <v>#VALUE!</v>
      </c>
      <c r="FF191" t="e">
        <f>'All regions'!H4786+"n/&gt;!)6g"</f>
        <v>#VALUE!</v>
      </c>
      <c r="FG191" t="e">
        <f>'All regions'!I4786+"n/&gt;!)6h"</f>
        <v>#VALUE!</v>
      </c>
      <c r="FH191" t="e">
        <f>'All regions'!J4786+"n/&gt;!)6i"</f>
        <v>#VALUE!</v>
      </c>
      <c r="FI191" t="e">
        <f>'All regions'!A4787+"n/&gt;!)6j"</f>
        <v>#VALUE!</v>
      </c>
      <c r="FJ191" t="e">
        <f>'All regions'!B4787+"n/&gt;!)6k"</f>
        <v>#VALUE!</v>
      </c>
      <c r="FK191" t="e">
        <f>'All regions'!C4787+"n/&gt;!)6l"</f>
        <v>#VALUE!</v>
      </c>
      <c r="FL191" t="e">
        <f>'All regions'!D4787+"n/&gt;!)6m"</f>
        <v>#VALUE!</v>
      </c>
      <c r="FM191" t="e">
        <f>'All regions'!E4787+"n/&gt;!)6n"</f>
        <v>#VALUE!</v>
      </c>
      <c r="FN191" t="e">
        <f>'All regions'!F4787+"n/&gt;!)6o"</f>
        <v>#VALUE!</v>
      </c>
      <c r="FO191" t="e">
        <f>'All regions'!G4787+"n/&gt;!)6p"</f>
        <v>#VALUE!</v>
      </c>
      <c r="FP191" t="e">
        <f>'All regions'!H4787+"n/&gt;!)6q"</f>
        <v>#VALUE!</v>
      </c>
      <c r="FQ191" t="e">
        <f>'All regions'!I4787+"n/&gt;!)6r"</f>
        <v>#VALUE!</v>
      </c>
      <c r="FR191" t="e">
        <f>'All regions'!J4787+"n/&gt;!)6s"</f>
        <v>#VALUE!</v>
      </c>
      <c r="FS191" t="e">
        <f>'All regions'!A4788+"n/&gt;!)6t"</f>
        <v>#VALUE!</v>
      </c>
      <c r="FT191" t="e">
        <f>'All regions'!B4788+"n/&gt;!)6u"</f>
        <v>#VALUE!</v>
      </c>
      <c r="FU191" t="e">
        <f>'All regions'!C4788+"n/&gt;!)6v"</f>
        <v>#VALUE!</v>
      </c>
      <c r="FV191" t="e">
        <f>'All regions'!D4788+"n/&gt;!)6w"</f>
        <v>#VALUE!</v>
      </c>
      <c r="FW191" t="e">
        <f>'All regions'!E4788+"n/&gt;!)6x"</f>
        <v>#VALUE!</v>
      </c>
      <c r="FX191" t="e">
        <f>'All regions'!F4788+"n/&gt;!)6y"</f>
        <v>#VALUE!</v>
      </c>
      <c r="FY191" t="e">
        <f>'All regions'!G4788+"n/&gt;!)6z"</f>
        <v>#VALUE!</v>
      </c>
      <c r="FZ191" t="e">
        <f>'All regions'!H4788+"n/&gt;!)6{"</f>
        <v>#VALUE!</v>
      </c>
      <c r="GA191" t="e">
        <f>'All regions'!I4788+"n/&gt;!)6|"</f>
        <v>#VALUE!</v>
      </c>
      <c r="GB191" t="e">
        <f>'All regions'!J4788+"n/&gt;!)6}"</f>
        <v>#VALUE!</v>
      </c>
      <c r="GC191" t="e">
        <f>'All regions'!A4789+"n/&gt;!)6~"</f>
        <v>#VALUE!</v>
      </c>
      <c r="GD191" t="e">
        <f>'All regions'!B4789+"n/&gt;!)7#"</f>
        <v>#VALUE!</v>
      </c>
      <c r="GE191" t="e">
        <f>'All regions'!C4789+"n/&gt;!)7$"</f>
        <v>#VALUE!</v>
      </c>
      <c r="GF191" t="e">
        <f>'All regions'!D4789+"n/&gt;!)7%"</f>
        <v>#VALUE!</v>
      </c>
      <c r="GG191" t="e">
        <f>'All regions'!E4789+"n/&gt;!)7&amp;"</f>
        <v>#VALUE!</v>
      </c>
      <c r="GH191" t="e">
        <f>'All regions'!F4789+"n/&gt;!)7'"</f>
        <v>#VALUE!</v>
      </c>
      <c r="GI191" t="e">
        <f>'All regions'!G4789+"n/&gt;!)7("</f>
        <v>#VALUE!</v>
      </c>
      <c r="GJ191" t="e">
        <f>'All regions'!H4789+"n/&gt;!)7)"</f>
        <v>#VALUE!</v>
      </c>
      <c r="GK191" t="e">
        <f>'All regions'!I4789+"n/&gt;!)7."</f>
        <v>#VALUE!</v>
      </c>
      <c r="GL191" t="e">
        <f>'All regions'!J4789+"n/&gt;!)7/"</f>
        <v>#VALUE!</v>
      </c>
      <c r="GM191" t="e">
        <f>'All regions'!A4790+"n/&gt;!)70"</f>
        <v>#VALUE!</v>
      </c>
      <c r="GN191" t="e">
        <f>'All regions'!B4790+"n/&gt;!)71"</f>
        <v>#VALUE!</v>
      </c>
      <c r="GO191" t="e">
        <f>'All regions'!C4790+"n/&gt;!)72"</f>
        <v>#VALUE!</v>
      </c>
      <c r="GP191" t="e">
        <f>'All regions'!D4790+"n/&gt;!)73"</f>
        <v>#VALUE!</v>
      </c>
      <c r="GQ191" t="e">
        <f>'All regions'!E4790+"n/&gt;!)74"</f>
        <v>#VALUE!</v>
      </c>
      <c r="GR191" t="e">
        <f>'All regions'!F4790+"n/&gt;!)75"</f>
        <v>#VALUE!</v>
      </c>
      <c r="GS191" t="e">
        <f>'All regions'!G4790+"n/&gt;!)76"</f>
        <v>#VALUE!</v>
      </c>
      <c r="GT191" t="e">
        <f>'All regions'!H4790+"n/&gt;!)77"</f>
        <v>#VALUE!</v>
      </c>
      <c r="GU191" t="e">
        <f>'All regions'!I4790+"n/&gt;!)78"</f>
        <v>#VALUE!</v>
      </c>
      <c r="GV191" t="e">
        <f>'All regions'!J4790+"n/&gt;!)79"</f>
        <v>#VALUE!</v>
      </c>
      <c r="GW191" t="e">
        <f>'All regions'!A4791+"n/&gt;!)7:"</f>
        <v>#VALUE!</v>
      </c>
      <c r="GX191" t="e">
        <f>'All regions'!B4791+"n/&gt;!)7;"</f>
        <v>#VALUE!</v>
      </c>
      <c r="GY191" t="e">
        <f>'All regions'!C4791+"n/&gt;!)7&lt;"</f>
        <v>#VALUE!</v>
      </c>
      <c r="GZ191" t="e">
        <f>'All regions'!D4791+"n/&gt;!)7="</f>
        <v>#VALUE!</v>
      </c>
      <c r="HA191" t="e">
        <f>'All regions'!E4791+"n/&gt;!)7&gt;"</f>
        <v>#VALUE!</v>
      </c>
      <c r="HB191" t="e">
        <f>'All regions'!F4791+"n/&gt;!)7?"</f>
        <v>#VALUE!</v>
      </c>
      <c r="HC191" t="e">
        <f>'All regions'!G4791+"n/&gt;!)7@"</f>
        <v>#VALUE!</v>
      </c>
      <c r="HD191" t="e">
        <f>'All regions'!H4791+"n/&gt;!)7A"</f>
        <v>#VALUE!</v>
      </c>
      <c r="HE191" t="e">
        <f>'All regions'!I4791+"n/&gt;!)7B"</f>
        <v>#VALUE!</v>
      </c>
      <c r="HF191" t="e">
        <f>'All regions'!J4791+"n/&gt;!)7C"</f>
        <v>#VALUE!</v>
      </c>
      <c r="HG191" t="e">
        <f>'All regions'!A4792+"n/&gt;!)7D"</f>
        <v>#VALUE!</v>
      </c>
      <c r="HH191" t="e">
        <f>'All regions'!B4792+"n/&gt;!)7E"</f>
        <v>#VALUE!</v>
      </c>
      <c r="HI191" t="e">
        <f>'All regions'!C4792+"n/&gt;!)7F"</f>
        <v>#VALUE!</v>
      </c>
      <c r="HJ191" t="e">
        <f>'All regions'!D4792+"n/&gt;!)7G"</f>
        <v>#VALUE!</v>
      </c>
      <c r="HK191" t="e">
        <f>'All regions'!E4792+"n/&gt;!)7H"</f>
        <v>#VALUE!</v>
      </c>
      <c r="HL191" t="e">
        <f>'All regions'!F4792+"n/&gt;!)7I"</f>
        <v>#VALUE!</v>
      </c>
      <c r="HM191" t="e">
        <f>'All regions'!G4792+"n/&gt;!)7J"</f>
        <v>#VALUE!</v>
      </c>
      <c r="HN191" t="e">
        <f>'All regions'!H4792+"n/&gt;!)7K"</f>
        <v>#VALUE!</v>
      </c>
      <c r="HO191" t="e">
        <f>'All regions'!I4792+"n/&gt;!)7L"</f>
        <v>#VALUE!</v>
      </c>
      <c r="HP191" t="e">
        <f>'All regions'!J4792+"n/&gt;!)7M"</f>
        <v>#VALUE!</v>
      </c>
      <c r="HQ191" t="e">
        <f>'All regions'!A4793+"n/&gt;!)7N"</f>
        <v>#VALUE!</v>
      </c>
      <c r="HR191" t="e">
        <f>'All regions'!B4793+"n/&gt;!)7O"</f>
        <v>#VALUE!</v>
      </c>
      <c r="HS191" t="e">
        <f>'All regions'!C4793+"n/&gt;!)7P"</f>
        <v>#VALUE!</v>
      </c>
      <c r="HT191" t="e">
        <f>'All regions'!D4793+"n/&gt;!)7Q"</f>
        <v>#VALUE!</v>
      </c>
      <c r="HU191" t="e">
        <f>'All regions'!E4793+"n/&gt;!)7R"</f>
        <v>#VALUE!</v>
      </c>
      <c r="HV191" t="e">
        <f>'All regions'!F4793+"n/&gt;!)7S"</f>
        <v>#VALUE!</v>
      </c>
      <c r="HW191" t="e">
        <f>'All regions'!G4793+"n/&gt;!)7T"</f>
        <v>#VALUE!</v>
      </c>
      <c r="HX191" t="e">
        <f>'All regions'!H4793+"n/&gt;!)7U"</f>
        <v>#VALUE!</v>
      </c>
      <c r="HY191" t="e">
        <f>'All regions'!I4793+"n/&gt;!)7V"</f>
        <v>#VALUE!</v>
      </c>
      <c r="HZ191" t="e">
        <f>'All regions'!J4793+"n/&gt;!)7W"</f>
        <v>#VALUE!</v>
      </c>
      <c r="IA191" t="e">
        <f>'All regions'!A4794+"n/&gt;!)7X"</f>
        <v>#VALUE!</v>
      </c>
      <c r="IB191" t="e">
        <f>'All regions'!B4794+"n/&gt;!)7Y"</f>
        <v>#VALUE!</v>
      </c>
      <c r="IC191" t="e">
        <f>'All regions'!C4794+"n/&gt;!)7Z"</f>
        <v>#VALUE!</v>
      </c>
      <c r="ID191" t="e">
        <f>'All regions'!D4794+"n/&gt;!)7["</f>
        <v>#VALUE!</v>
      </c>
      <c r="IE191" t="e">
        <f>'All regions'!E4794+"n/&gt;!)7\"</f>
        <v>#VALUE!</v>
      </c>
      <c r="IF191" t="e">
        <f>'All regions'!F4794+"n/&gt;!)7]"</f>
        <v>#VALUE!</v>
      </c>
      <c r="IG191" t="e">
        <f>'All regions'!G4794+"n/&gt;!)7^"</f>
        <v>#VALUE!</v>
      </c>
      <c r="IH191" t="e">
        <f>'All regions'!H4794+"n/&gt;!)7_"</f>
        <v>#VALUE!</v>
      </c>
      <c r="II191" t="e">
        <f>'All regions'!I4794+"n/&gt;!)7`"</f>
        <v>#VALUE!</v>
      </c>
      <c r="IJ191" t="e">
        <f>'All regions'!J4794+"n/&gt;!)7a"</f>
        <v>#VALUE!</v>
      </c>
      <c r="IK191" t="e">
        <f>'All regions'!A4795+"n/&gt;!)7b"</f>
        <v>#VALUE!</v>
      </c>
      <c r="IL191" t="e">
        <f>'All regions'!B4795+"n/&gt;!)7c"</f>
        <v>#VALUE!</v>
      </c>
      <c r="IM191" t="e">
        <f>'All regions'!C4795+"n/&gt;!)7d"</f>
        <v>#VALUE!</v>
      </c>
      <c r="IN191" t="e">
        <f>'All regions'!D4795+"n/&gt;!)7e"</f>
        <v>#VALUE!</v>
      </c>
      <c r="IO191" t="e">
        <f>'All regions'!E4795+"n/&gt;!)7f"</f>
        <v>#VALUE!</v>
      </c>
      <c r="IP191" t="e">
        <f>'All regions'!F4795+"n/&gt;!)7g"</f>
        <v>#VALUE!</v>
      </c>
      <c r="IQ191" t="e">
        <f>'All regions'!G4795+"n/&gt;!)7h"</f>
        <v>#VALUE!</v>
      </c>
      <c r="IR191" t="e">
        <f>'All regions'!H4795+"n/&gt;!)7i"</f>
        <v>#VALUE!</v>
      </c>
      <c r="IS191" t="e">
        <f>'All regions'!I4795+"n/&gt;!)7j"</f>
        <v>#VALUE!</v>
      </c>
      <c r="IT191" t="e">
        <f>'All regions'!J4795+"n/&gt;!)7k"</f>
        <v>#VALUE!</v>
      </c>
      <c r="IU191" t="e">
        <f>'All regions'!A4796+"n/&gt;!)7l"</f>
        <v>#VALUE!</v>
      </c>
      <c r="IV191" t="e">
        <f>'All regions'!B4796+"n/&gt;!)7m"</f>
        <v>#VALUE!</v>
      </c>
    </row>
    <row r="192" spans="6:256" x14ac:dyDescent="0.35">
      <c r="F192" t="e">
        <f>'All regions'!C4796+"n/&gt;!)7n"</f>
        <v>#VALUE!</v>
      </c>
      <c r="G192" t="e">
        <f>'All regions'!D4796+"n/&gt;!)7o"</f>
        <v>#VALUE!</v>
      </c>
      <c r="H192" t="e">
        <f>'All regions'!E4796+"n/&gt;!)7p"</f>
        <v>#VALUE!</v>
      </c>
      <c r="I192" t="e">
        <f>'All regions'!F4796+"n/&gt;!)7q"</f>
        <v>#VALUE!</v>
      </c>
      <c r="J192" t="e">
        <f>'All regions'!G4796+"n/&gt;!)7r"</f>
        <v>#VALUE!</v>
      </c>
      <c r="K192" t="e">
        <f>'All regions'!H4796+"n/&gt;!)7s"</f>
        <v>#VALUE!</v>
      </c>
      <c r="L192" t="e">
        <f>'All regions'!I4796+"n/&gt;!)7t"</f>
        <v>#VALUE!</v>
      </c>
      <c r="M192" t="e">
        <f>'All regions'!J4796+"n/&gt;!)7u"</f>
        <v>#VALUE!</v>
      </c>
      <c r="N192" t="e">
        <f>'All regions'!A4797+"n/&gt;!)7v"</f>
        <v>#VALUE!</v>
      </c>
      <c r="O192" t="e">
        <f>'All regions'!B4797+"n/&gt;!)7w"</f>
        <v>#VALUE!</v>
      </c>
      <c r="P192" t="e">
        <f>'All regions'!C4797+"n/&gt;!)7x"</f>
        <v>#VALUE!</v>
      </c>
      <c r="Q192" t="e">
        <f>'All regions'!D4797+"n/&gt;!)7y"</f>
        <v>#VALUE!</v>
      </c>
      <c r="R192" t="e">
        <f>'All regions'!E4797+"n/&gt;!)7z"</f>
        <v>#VALUE!</v>
      </c>
      <c r="S192" t="e">
        <f>'All regions'!F4797+"n/&gt;!)7{"</f>
        <v>#VALUE!</v>
      </c>
      <c r="T192" t="e">
        <f>'All regions'!G4797+"n/&gt;!)7|"</f>
        <v>#VALUE!</v>
      </c>
      <c r="U192" t="e">
        <f>'All regions'!H4797+"n/&gt;!)7}"</f>
        <v>#VALUE!</v>
      </c>
      <c r="V192" t="e">
        <f>'All regions'!I4797+"n/&gt;!)7~"</f>
        <v>#VALUE!</v>
      </c>
      <c r="W192" t="e">
        <f>'All regions'!J4797+"n/&gt;!)8#"</f>
        <v>#VALUE!</v>
      </c>
      <c r="X192" t="e">
        <f>'All regions'!A4798+"n/&gt;!)8$"</f>
        <v>#VALUE!</v>
      </c>
      <c r="Y192" t="e">
        <f>'All regions'!B4798+"n/&gt;!)8%"</f>
        <v>#VALUE!</v>
      </c>
      <c r="Z192" t="e">
        <f>'All regions'!C4798+"n/&gt;!)8&amp;"</f>
        <v>#VALUE!</v>
      </c>
      <c r="AA192" t="e">
        <f>'All regions'!D4798+"n/&gt;!)8'"</f>
        <v>#VALUE!</v>
      </c>
      <c r="AB192" t="e">
        <f>'All regions'!E4798+"n/&gt;!)8("</f>
        <v>#VALUE!</v>
      </c>
      <c r="AC192" t="e">
        <f>'All regions'!F4798+"n/&gt;!)8)"</f>
        <v>#VALUE!</v>
      </c>
      <c r="AD192" t="e">
        <f>'All regions'!G4798+"n/&gt;!)8."</f>
        <v>#VALUE!</v>
      </c>
      <c r="AE192" t="e">
        <f>'All regions'!H4798+"n/&gt;!)8/"</f>
        <v>#VALUE!</v>
      </c>
      <c r="AF192" t="e">
        <f>'All regions'!I4798+"n/&gt;!)80"</f>
        <v>#VALUE!</v>
      </c>
      <c r="AG192" t="e">
        <f>'All regions'!J4798+"n/&gt;!)81"</f>
        <v>#VALUE!</v>
      </c>
      <c r="AH192" t="e">
        <f>'All regions'!A4799+"n/&gt;!)82"</f>
        <v>#VALUE!</v>
      </c>
      <c r="AI192" t="e">
        <f>'All regions'!B4799+"n/&gt;!)83"</f>
        <v>#VALUE!</v>
      </c>
      <c r="AJ192" t="e">
        <f>'All regions'!C4799+"n/&gt;!)84"</f>
        <v>#VALUE!</v>
      </c>
      <c r="AK192" t="e">
        <f>'All regions'!D4799+"n/&gt;!)85"</f>
        <v>#VALUE!</v>
      </c>
      <c r="AL192" t="e">
        <f>'All regions'!E4799+"n/&gt;!)86"</f>
        <v>#VALUE!</v>
      </c>
      <c r="AM192" t="e">
        <f>'All regions'!F4799+"n/&gt;!)87"</f>
        <v>#VALUE!</v>
      </c>
      <c r="AN192" t="e">
        <f>'All regions'!G4799+"n/&gt;!)88"</f>
        <v>#VALUE!</v>
      </c>
      <c r="AO192" t="e">
        <f>'All regions'!H4799+"n/&gt;!)89"</f>
        <v>#VALUE!</v>
      </c>
      <c r="AP192" t="e">
        <f>'All regions'!I4799+"n/&gt;!)8:"</f>
        <v>#VALUE!</v>
      </c>
      <c r="AQ192" t="e">
        <f>'All regions'!J4799+"n/&gt;!)8;"</f>
        <v>#VALUE!</v>
      </c>
      <c r="AR192" t="e">
        <f>'All regions'!A4800+"n/&gt;!)8&lt;"</f>
        <v>#VALUE!</v>
      </c>
      <c r="AS192" t="e">
        <f>'All regions'!B4800+"n/&gt;!)8="</f>
        <v>#VALUE!</v>
      </c>
      <c r="AT192" t="e">
        <f>'All regions'!C4800+"n/&gt;!)8&gt;"</f>
        <v>#VALUE!</v>
      </c>
      <c r="AU192" t="e">
        <f>'All regions'!D4800+"n/&gt;!)8?"</f>
        <v>#VALUE!</v>
      </c>
      <c r="AV192" t="e">
        <f>'All regions'!E4800+"n/&gt;!)8@"</f>
        <v>#VALUE!</v>
      </c>
      <c r="AW192" t="e">
        <f>'All regions'!F4800+"n/&gt;!)8A"</f>
        <v>#VALUE!</v>
      </c>
      <c r="AX192" t="e">
        <f>'All regions'!G4800+"n/&gt;!)8B"</f>
        <v>#VALUE!</v>
      </c>
      <c r="AY192" t="e">
        <f>'All regions'!H4800+"n/&gt;!)8C"</f>
        <v>#VALUE!</v>
      </c>
      <c r="AZ192" t="e">
        <f>'All regions'!I4800+"n/&gt;!)8D"</f>
        <v>#VALUE!</v>
      </c>
      <c r="BA192" t="e">
        <f>'All regions'!J4800+"n/&gt;!)8E"</f>
        <v>#VALUE!</v>
      </c>
      <c r="BB192" t="e">
        <f>'All regions'!A4801+"n/&gt;!)8F"</f>
        <v>#VALUE!</v>
      </c>
      <c r="BC192" t="e">
        <f>'All regions'!B4801+"n/&gt;!)8G"</f>
        <v>#VALUE!</v>
      </c>
      <c r="BD192" t="e">
        <f>'All regions'!C4801+"n/&gt;!)8H"</f>
        <v>#VALUE!</v>
      </c>
      <c r="BE192" t="e">
        <f>'All regions'!D4801+"n/&gt;!)8I"</f>
        <v>#VALUE!</v>
      </c>
      <c r="BF192" t="e">
        <f>'All regions'!E4801+"n/&gt;!)8J"</f>
        <v>#VALUE!</v>
      </c>
      <c r="BG192" t="e">
        <f>'All regions'!F4801+"n/&gt;!)8K"</f>
        <v>#VALUE!</v>
      </c>
      <c r="BH192" t="e">
        <f>'All regions'!G4801+"n/&gt;!)8L"</f>
        <v>#VALUE!</v>
      </c>
      <c r="BI192" t="e">
        <f>'All regions'!H4801+"n/&gt;!)8M"</f>
        <v>#VALUE!</v>
      </c>
      <c r="BJ192" t="e">
        <f>'All regions'!I4801+"n/&gt;!)8N"</f>
        <v>#VALUE!</v>
      </c>
      <c r="BK192" t="e">
        <f>'All regions'!J4801+"n/&gt;!)8O"</f>
        <v>#VALUE!</v>
      </c>
      <c r="BL192" t="e">
        <f>'All regions'!A4802+"n/&gt;!)8P"</f>
        <v>#VALUE!</v>
      </c>
      <c r="BM192" t="e">
        <f>'All regions'!B4802+"n/&gt;!)8Q"</f>
        <v>#VALUE!</v>
      </c>
      <c r="BN192" t="e">
        <f>'All regions'!C4802+"n/&gt;!)8R"</f>
        <v>#VALUE!</v>
      </c>
      <c r="BO192" t="e">
        <f>'All regions'!D4802+"n/&gt;!)8S"</f>
        <v>#VALUE!</v>
      </c>
      <c r="BP192" t="e">
        <f>'All regions'!E4802+"n/&gt;!)8T"</f>
        <v>#VALUE!</v>
      </c>
      <c r="BQ192" t="e">
        <f>'All regions'!F4802+"n/&gt;!)8U"</f>
        <v>#VALUE!</v>
      </c>
      <c r="BR192" t="e">
        <f>'All regions'!G4802+"n/&gt;!)8V"</f>
        <v>#VALUE!</v>
      </c>
      <c r="BS192" t="e">
        <f>'All regions'!H4802+"n/&gt;!)8W"</f>
        <v>#VALUE!</v>
      </c>
      <c r="BT192" t="e">
        <f>'All regions'!I4802+"n/&gt;!)8X"</f>
        <v>#VALUE!</v>
      </c>
      <c r="BU192" t="e">
        <f>'All regions'!J4802+"n/&gt;!)8Y"</f>
        <v>#VALUE!</v>
      </c>
      <c r="BV192" t="e">
        <f>'All regions'!A4803+"n/&gt;!)8Z"</f>
        <v>#VALUE!</v>
      </c>
      <c r="BW192" t="e">
        <f>'All regions'!B4803+"n/&gt;!)8["</f>
        <v>#VALUE!</v>
      </c>
      <c r="BX192" t="e">
        <f>'All regions'!C4803+"n/&gt;!)8\"</f>
        <v>#VALUE!</v>
      </c>
      <c r="BY192" t="e">
        <f>'All regions'!D4803+"n/&gt;!)8]"</f>
        <v>#VALUE!</v>
      </c>
      <c r="BZ192" t="e">
        <f>'All regions'!E4803+"n/&gt;!)8^"</f>
        <v>#VALUE!</v>
      </c>
      <c r="CA192" t="e">
        <f>'All regions'!F4803+"n/&gt;!)8_"</f>
        <v>#VALUE!</v>
      </c>
      <c r="CB192" t="e">
        <f>'All regions'!G4803+"n/&gt;!)8`"</f>
        <v>#VALUE!</v>
      </c>
      <c r="CC192" t="e">
        <f>'All regions'!H4803+"n/&gt;!)8a"</f>
        <v>#VALUE!</v>
      </c>
      <c r="CD192" t="e">
        <f>'All regions'!I4803+"n/&gt;!)8b"</f>
        <v>#VALUE!</v>
      </c>
      <c r="CE192" t="e">
        <f>'All regions'!J4803+"n/&gt;!)8c"</f>
        <v>#VALUE!</v>
      </c>
      <c r="CF192" t="e">
        <f>'All regions'!A4804+"n/&gt;!)8d"</f>
        <v>#VALUE!</v>
      </c>
      <c r="CG192" t="e">
        <f>'All regions'!B4804+"n/&gt;!)8e"</f>
        <v>#VALUE!</v>
      </c>
      <c r="CH192" t="e">
        <f>'All regions'!C4804+"n/&gt;!)8f"</f>
        <v>#VALUE!</v>
      </c>
      <c r="CI192" t="e">
        <f>'All regions'!D4804+"n/&gt;!)8g"</f>
        <v>#VALUE!</v>
      </c>
      <c r="CJ192" t="e">
        <f>'All regions'!E4804+"n/&gt;!)8h"</f>
        <v>#VALUE!</v>
      </c>
      <c r="CK192" t="e">
        <f>'All regions'!F4804+"n/&gt;!)8i"</f>
        <v>#VALUE!</v>
      </c>
      <c r="CL192" t="e">
        <f>'All regions'!G4804+"n/&gt;!)8j"</f>
        <v>#VALUE!</v>
      </c>
      <c r="CM192" t="e">
        <f>'All regions'!H4804+"n/&gt;!)8k"</f>
        <v>#VALUE!</v>
      </c>
      <c r="CN192" t="e">
        <f>'All regions'!I4804+"n/&gt;!)8l"</f>
        <v>#VALUE!</v>
      </c>
      <c r="CO192" t="e">
        <f>'All regions'!J4804+"n/&gt;!)8m"</f>
        <v>#VALUE!</v>
      </c>
      <c r="CP192" t="e">
        <f>'All regions'!A4805+"n/&gt;!)8n"</f>
        <v>#VALUE!</v>
      </c>
      <c r="CQ192" t="e">
        <f>'All regions'!B4805+"n/&gt;!)8o"</f>
        <v>#VALUE!</v>
      </c>
      <c r="CR192" t="e">
        <f>'All regions'!C4805+"n/&gt;!)8p"</f>
        <v>#VALUE!</v>
      </c>
      <c r="CS192" t="e">
        <f>'All regions'!D4805+"n/&gt;!)8q"</f>
        <v>#VALUE!</v>
      </c>
      <c r="CT192" t="e">
        <f>'All regions'!E4805+"n/&gt;!)8r"</f>
        <v>#VALUE!</v>
      </c>
      <c r="CU192" t="e">
        <f>'All regions'!F4805+"n/&gt;!)8s"</f>
        <v>#VALUE!</v>
      </c>
      <c r="CV192" t="e">
        <f>'All regions'!G4805+"n/&gt;!)8t"</f>
        <v>#VALUE!</v>
      </c>
      <c r="CW192" t="e">
        <f>'All regions'!H4805+"n/&gt;!)8u"</f>
        <v>#VALUE!</v>
      </c>
      <c r="CX192" t="e">
        <f>'All regions'!I4805+"n/&gt;!)8v"</f>
        <v>#VALUE!</v>
      </c>
      <c r="CY192" t="e">
        <f>'All regions'!J4805+"n/&gt;!)8w"</f>
        <v>#VALUE!</v>
      </c>
      <c r="CZ192" t="e">
        <f>'All regions'!A4806+"n/&gt;!)8x"</f>
        <v>#VALUE!</v>
      </c>
      <c r="DA192" t="e">
        <f>'All regions'!B4806+"n/&gt;!)8y"</f>
        <v>#VALUE!</v>
      </c>
      <c r="DB192" t="e">
        <f>'All regions'!C4806+"n/&gt;!)8z"</f>
        <v>#VALUE!</v>
      </c>
      <c r="DC192" t="e">
        <f>'All regions'!D4806+"n/&gt;!)8{"</f>
        <v>#VALUE!</v>
      </c>
      <c r="DD192" t="e">
        <f>'All regions'!E4806+"n/&gt;!)8|"</f>
        <v>#VALUE!</v>
      </c>
      <c r="DE192" t="e">
        <f>'All regions'!F4806+"n/&gt;!)8}"</f>
        <v>#VALUE!</v>
      </c>
      <c r="DF192" t="e">
        <f>'All regions'!G4806+"n/&gt;!)8~"</f>
        <v>#VALUE!</v>
      </c>
      <c r="DG192" t="e">
        <f>'All regions'!H4806+"n/&gt;!)9#"</f>
        <v>#VALUE!</v>
      </c>
      <c r="DH192" t="e">
        <f>'All regions'!I4806+"n/&gt;!)9$"</f>
        <v>#VALUE!</v>
      </c>
      <c r="DI192" t="e">
        <f>'All regions'!J4806+"n/&gt;!)9%"</f>
        <v>#VALUE!</v>
      </c>
      <c r="DJ192" t="e">
        <f>'All regions'!A4807+"n/&gt;!)9&amp;"</f>
        <v>#VALUE!</v>
      </c>
      <c r="DK192" t="e">
        <f>'All regions'!B4807+"n/&gt;!)9'"</f>
        <v>#VALUE!</v>
      </c>
      <c r="DL192" t="e">
        <f>'All regions'!C4807+"n/&gt;!)9("</f>
        <v>#VALUE!</v>
      </c>
      <c r="DM192" t="e">
        <f>'All regions'!D4807+"n/&gt;!)9)"</f>
        <v>#VALUE!</v>
      </c>
      <c r="DN192" t="e">
        <f>'All regions'!E4807+"n/&gt;!)9."</f>
        <v>#VALUE!</v>
      </c>
      <c r="DO192" t="e">
        <f>'All regions'!F4807+"n/&gt;!)9/"</f>
        <v>#VALUE!</v>
      </c>
      <c r="DP192" t="e">
        <f>'All regions'!G4807+"n/&gt;!)90"</f>
        <v>#VALUE!</v>
      </c>
      <c r="DQ192" t="e">
        <f>'All regions'!H4807+"n/&gt;!)91"</f>
        <v>#VALUE!</v>
      </c>
      <c r="DR192" t="e">
        <f>'All regions'!I4807+"n/&gt;!)92"</f>
        <v>#VALUE!</v>
      </c>
      <c r="DS192" t="e">
        <f>'All regions'!J4807+"n/&gt;!)93"</f>
        <v>#VALUE!</v>
      </c>
      <c r="DT192" t="e">
        <f>'All regions'!A4808+"n/&gt;!)94"</f>
        <v>#VALUE!</v>
      </c>
      <c r="DU192" t="e">
        <f>'All regions'!B4808+"n/&gt;!)95"</f>
        <v>#VALUE!</v>
      </c>
      <c r="DV192" t="e">
        <f>'All regions'!C4808+"n/&gt;!)96"</f>
        <v>#VALUE!</v>
      </c>
      <c r="DW192" t="e">
        <f>'All regions'!D4808+"n/&gt;!)97"</f>
        <v>#VALUE!</v>
      </c>
      <c r="DX192" t="e">
        <f>'All regions'!E4808+"n/&gt;!)98"</f>
        <v>#VALUE!</v>
      </c>
      <c r="DY192" t="e">
        <f>'All regions'!F4808+"n/&gt;!)99"</f>
        <v>#VALUE!</v>
      </c>
      <c r="DZ192" t="e">
        <f>'All regions'!G4808+"n/&gt;!)9:"</f>
        <v>#VALUE!</v>
      </c>
      <c r="EA192" t="e">
        <f>'All regions'!H4808+"n/&gt;!)9;"</f>
        <v>#VALUE!</v>
      </c>
      <c r="EB192" t="e">
        <f>'All regions'!I4808+"n/&gt;!)9&lt;"</f>
        <v>#VALUE!</v>
      </c>
      <c r="EC192" t="e">
        <f>'All regions'!J4808+"n/&gt;!)9="</f>
        <v>#VALUE!</v>
      </c>
      <c r="ED192" t="e">
        <f>'All regions'!A4809+"n/&gt;!)9&gt;"</f>
        <v>#VALUE!</v>
      </c>
      <c r="EE192" t="e">
        <f>'All regions'!B4809+"n/&gt;!)9?"</f>
        <v>#VALUE!</v>
      </c>
      <c r="EF192" t="e">
        <f>'All regions'!C4809+"n/&gt;!)9@"</f>
        <v>#VALUE!</v>
      </c>
      <c r="EG192" t="e">
        <f>'All regions'!D4809+"n/&gt;!)9A"</f>
        <v>#VALUE!</v>
      </c>
      <c r="EH192" t="e">
        <f>'All regions'!E4809+"n/&gt;!)9B"</f>
        <v>#VALUE!</v>
      </c>
      <c r="EI192" t="e">
        <f>'All regions'!F4809+"n/&gt;!)9C"</f>
        <v>#VALUE!</v>
      </c>
      <c r="EJ192" t="e">
        <f>'All regions'!G4809+"n/&gt;!)9D"</f>
        <v>#VALUE!</v>
      </c>
      <c r="EK192" t="e">
        <f>'All regions'!H4809+"n/&gt;!)9E"</f>
        <v>#VALUE!</v>
      </c>
      <c r="EL192" t="e">
        <f>'All regions'!I4809+"n/&gt;!)9F"</f>
        <v>#VALUE!</v>
      </c>
      <c r="EM192" t="e">
        <f>'All regions'!J4809+"n/&gt;!)9G"</f>
        <v>#VALUE!</v>
      </c>
      <c r="EN192" t="e">
        <f>'All regions'!A4810+"n/&gt;!)9H"</f>
        <v>#VALUE!</v>
      </c>
      <c r="EO192" t="e">
        <f>'All regions'!B4810+"n/&gt;!)9I"</f>
        <v>#VALUE!</v>
      </c>
      <c r="EP192" t="e">
        <f>'All regions'!C4810+"n/&gt;!)9J"</f>
        <v>#VALUE!</v>
      </c>
      <c r="EQ192" t="e">
        <f>'All regions'!D4810+"n/&gt;!)9K"</f>
        <v>#VALUE!</v>
      </c>
      <c r="ER192" t="e">
        <f>'All regions'!E4810+"n/&gt;!)9L"</f>
        <v>#VALUE!</v>
      </c>
      <c r="ES192" t="e">
        <f>'All regions'!F4810+"n/&gt;!)9M"</f>
        <v>#VALUE!</v>
      </c>
      <c r="ET192" t="e">
        <f>'All regions'!G4810+"n/&gt;!)9N"</f>
        <v>#VALUE!</v>
      </c>
      <c r="EU192" t="e">
        <f>'All regions'!H4810+"n/&gt;!)9O"</f>
        <v>#VALUE!</v>
      </c>
      <c r="EV192" t="e">
        <f>'All regions'!I4810+"n/&gt;!)9P"</f>
        <v>#VALUE!</v>
      </c>
      <c r="EW192" t="e">
        <f>'All regions'!J4810+"n/&gt;!)9Q"</f>
        <v>#VALUE!</v>
      </c>
      <c r="EX192" t="e">
        <f>'All regions'!A4811+"n/&gt;!)9R"</f>
        <v>#VALUE!</v>
      </c>
      <c r="EY192" t="e">
        <f>'All regions'!B4811+"n/&gt;!)9S"</f>
        <v>#VALUE!</v>
      </c>
      <c r="EZ192" t="e">
        <f>'All regions'!C4811+"n/&gt;!)9T"</f>
        <v>#VALUE!</v>
      </c>
      <c r="FA192" t="e">
        <f>'All regions'!D4811+"n/&gt;!)9U"</f>
        <v>#VALUE!</v>
      </c>
      <c r="FB192" t="e">
        <f>'All regions'!E4811+"n/&gt;!)9V"</f>
        <v>#VALUE!</v>
      </c>
      <c r="FC192" t="e">
        <f>'All regions'!F4811+"n/&gt;!)9W"</f>
        <v>#VALUE!</v>
      </c>
      <c r="FD192" t="e">
        <f>'All regions'!G4811+"n/&gt;!)9X"</f>
        <v>#VALUE!</v>
      </c>
      <c r="FE192" t="e">
        <f>'All regions'!H4811+"n/&gt;!)9Y"</f>
        <v>#VALUE!</v>
      </c>
      <c r="FF192" t="e">
        <f>'All regions'!I4811+"n/&gt;!)9Z"</f>
        <v>#VALUE!</v>
      </c>
      <c r="FG192" t="e">
        <f>'All regions'!J4811+"n/&gt;!)9["</f>
        <v>#VALUE!</v>
      </c>
      <c r="FH192" t="e">
        <f>'All regions'!A4812+"n/&gt;!)9\"</f>
        <v>#VALUE!</v>
      </c>
      <c r="FI192" t="e">
        <f>'All regions'!B4812+"n/&gt;!)9]"</f>
        <v>#VALUE!</v>
      </c>
      <c r="FJ192" t="e">
        <f>'All regions'!C4812+"n/&gt;!)9^"</f>
        <v>#VALUE!</v>
      </c>
      <c r="FK192" t="e">
        <f>'All regions'!D4812+"n/&gt;!)9_"</f>
        <v>#VALUE!</v>
      </c>
      <c r="FL192" t="e">
        <f>'All regions'!E4812+"n/&gt;!)9`"</f>
        <v>#VALUE!</v>
      </c>
      <c r="FM192" t="e">
        <f>'All regions'!F4812+"n/&gt;!)9a"</f>
        <v>#VALUE!</v>
      </c>
      <c r="FN192" t="e">
        <f>'All regions'!G4812+"n/&gt;!)9b"</f>
        <v>#VALUE!</v>
      </c>
      <c r="FO192" t="e">
        <f>'All regions'!H4812+"n/&gt;!)9c"</f>
        <v>#VALUE!</v>
      </c>
      <c r="FP192" t="e">
        <f>'All regions'!I4812+"n/&gt;!)9d"</f>
        <v>#VALUE!</v>
      </c>
      <c r="FQ192" t="e">
        <f>'All regions'!J4812+"n/&gt;!)9e"</f>
        <v>#VALUE!</v>
      </c>
      <c r="FR192" t="e">
        <f>'All regions'!A4813+"n/&gt;!)9f"</f>
        <v>#VALUE!</v>
      </c>
      <c r="FS192" t="e">
        <f>'All regions'!B4813+"n/&gt;!)9g"</f>
        <v>#VALUE!</v>
      </c>
      <c r="FT192" t="e">
        <f>'All regions'!C4813+"n/&gt;!)9h"</f>
        <v>#VALUE!</v>
      </c>
      <c r="FU192" t="e">
        <f>'All regions'!D4813+"n/&gt;!)9i"</f>
        <v>#VALUE!</v>
      </c>
      <c r="FV192" t="e">
        <f>'All regions'!E4813+"n/&gt;!)9j"</f>
        <v>#VALUE!</v>
      </c>
      <c r="FW192" t="e">
        <f>'All regions'!F4813+"n/&gt;!)9k"</f>
        <v>#VALUE!</v>
      </c>
      <c r="FX192" t="e">
        <f>'All regions'!G4813+"n/&gt;!)9l"</f>
        <v>#VALUE!</v>
      </c>
      <c r="FY192" t="e">
        <f>'All regions'!H4813+"n/&gt;!)9m"</f>
        <v>#VALUE!</v>
      </c>
      <c r="FZ192" t="e">
        <f>'All regions'!I4813+"n/&gt;!)9n"</f>
        <v>#VALUE!</v>
      </c>
      <c r="GA192" t="e">
        <f>'All regions'!J4813+"n/&gt;!)9o"</f>
        <v>#VALUE!</v>
      </c>
      <c r="GB192" t="e">
        <f>'All regions'!A4814+"n/&gt;!)9p"</f>
        <v>#VALUE!</v>
      </c>
      <c r="GC192" t="e">
        <f>'All regions'!B4814+"n/&gt;!)9q"</f>
        <v>#VALUE!</v>
      </c>
      <c r="GD192" t="e">
        <f>'All regions'!C4814+"n/&gt;!)9r"</f>
        <v>#VALUE!</v>
      </c>
      <c r="GE192" t="e">
        <f>'All regions'!D4814+"n/&gt;!)9s"</f>
        <v>#VALUE!</v>
      </c>
      <c r="GF192" t="e">
        <f>'All regions'!E4814+"n/&gt;!)9t"</f>
        <v>#VALUE!</v>
      </c>
      <c r="GG192" t="e">
        <f>'All regions'!F4814+"n/&gt;!)9u"</f>
        <v>#VALUE!</v>
      </c>
      <c r="GH192" t="e">
        <f>'All regions'!G4814+"n/&gt;!)9v"</f>
        <v>#VALUE!</v>
      </c>
      <c r="GI192" t="e">
        <f>'All regions'!H4814+"n/&gt;!)9w"</f>
        <v>#VALUE!</v>
      </c>
      <c r="GJ192" t="e">
        <f>'All regions'!I4814+"n/&gt;!)9x"</f>
        <v>#VALUE!</v>
      </c>
      <c r="GK192" t="e">
        <f>'All regions'!J4814+"n/&gt;!)9y"</f>
        <v>#VALUE!</v>
      </c>
      <c r="GL192" t="e">
        <f>'All regions'!A4815+"n/&gt;!)9z"</f>
        <v>#VALUE!</v>
      </c>
      <c r="GM192" t="e">
        <f>'All regions'!B4815+"n/&gt;!)9{"</f>
        <v>#VALUE!</v>
      </c>
      <c r="GN192" t="e">
        <f>'All regions'!C4815+"n/&gt;!)9|"</f>
        <v>#VALUE!</v>
      </c>
      <c r="GO192" t="e">
        <f>'All regions'!D4815+"n/&gt;!)9}"</f>
        <v>#VALUE!</v>
      </c>
      <c r="GP192" t="e">
        <f>'All regions'!E4815+"n/&gt;!)9~"</f>
        <v>#VALUE!</v>
      </c>
      <c r="GQ192" t="e">
        <f>'All regions'!F4815+"n/&gt;!):#"</f>
        <v>#VALUE!</v>
      </c>
      <c r="GR192" t="e">
        <f>'All regions'!G4815+"n/&gt;!):$"</f>
        <v>#VALUE!</v>
      </c>
      <c r="GS192" t="e">
        <f>'All regions'!H4815+"n/&gt;!):%"</f>
        <v>#VALUE!</v>
      </c>
      <c r="GT192" t="e">
        <f>'All regions'!I4815+"n/&gt;!):&amp;"</f>
        <v>#VALUE!</v>
      </c>
      <c r="GU192" t="e">
        <f>'All regions'!J4815+"n/&gt;!):'"</f>
        <v>#VALUE!</v>
      </c>
      <c r="GV192" t="e">
        <f>'All regions'!A4816+"n/&gt;!):("</f>
        <v>#VALUE!</v>
      </c>
      <c r="GW192" t="e">
        <f>'All regions'!B4816+"n/&gt;!):)"</f>
        <v>#VALUE!</v>
      </c>
      <c r="GX192" t="e">
        <f>'All regions'!C4816+"n/&gt;!):."</f>
        <v>#VALUE!</v>
      </c>
      <c r="GY192" t="e">
        <f>'All regions'!D4816+"n/&gt;!):/"</f>
        <v>#VALUE!</v>
      </c>
      <c r="GZ192" t="e">
        <f>'All regions'!E4816+"n/&gt;!):0"</f>
        <v>#VALUE!</v>
      </c>
      <c r="HA192" t="e">
        <f>'All regions'!F4816+"n/&gt;!):1"</f>
        <v>#VALUE!</v>
      </c>
      <c r="HB192" t="e">
        <f>'All regions'!G4816+"n/&gt;!):2"</f>
        <v>#VALUE!</v>
      </c>
      <c r="HC192" t="e">
        <f>'All regions'!H4816+"n/&gt;!):3"</f>
        <v>#VALUE!</v>
      </c>
      <c r="HD192" t="e">
        <f>'All regions'!I4816+"n/&gt;!):4"</f>
        <v>#VALUE!</v>
      </c>
      <c r="HE192" t="e">
        <f>'All regions'!J4816+"n/&gt;!):5"</f>
        <v>#VALUE!</v>
      </c>
      <c r="HF192" t="e">
        <f>'All regions'!A4817+"n/&gt;!):6"</f>
        <v>#VALUE!</v>
      </c>
      <c r="HG192" t="e">
        <f>'All regions'!B4817+"n/&gt;!):7"</f>
        <v>#VALUE!</v>
      </c>
      <c r="HH192" t="e">
        <f>'All regions'!C4817+"n/&gt;!):8"</f>
        <v>#VALUE!</v>
      </c>
      <c r="HI192" t="e">
        <f>'All regions'!D4817+"n/&gt;!):9"</f>
        <v>#VALUE!</v>
      </c>
      <c r="HJ192" t="e">
        <f>'All regions'!E4817+"n/&gt;!)::"</f>
        <v>#VALUE!</v>
      </c>
      <c r="HK192" t="e">
        <f>'All regions'!F4817+"n/&gt;!):;"</f>
        <v>#VALUE!</v>
      </c>
      <c r="HL192" t="e">
        <f>'All regions'!G4817+"n/&gt;!):&lt;"</f>
        <v>#VALUE!</v>
      </c>
      <c r="HM192" t="e">
        <f>'All regions'!H4817+"n/&gt;!):="</f>
        <v>#VALUE!</v>
      </c>
      <c r="HN192" t="e">
        <f>'All regions'!I4817+"n/&gt;!):&gt;"</f>
        <v>#VALUE!</v>
      </c>
      <c r="HO192" t="e">
        <f>'All regions'!J4817+"n/&gt;!):?"</f>
        <v>#VALUE!</v>
      </c>
      <c r="HP192" t="e">
        <f>'All regions'!A4818+"n/&gt;!):@"</f>
        <v>#VALUE!</v>
      </c>
      <c r="HQ192" t="e">
        <f>'All regions'!B4818+"n/&gt;!):A"</f>
        <v>#VALUE!</v>
      </c>
      <c r="HR192" t="e">
        <f>'All regions'!C4818+"n/&gt;!):B"</f>
        <v>#VALUE!</v>
      </c>
      <c r="HS192" t="e">
        <f>'All regions'!D4818+"n/&gt;!):C"</f>
        <v>#VALUE!</v>
      </c>
      <c r="HT192" t="e">
        <f>'All regions'!E4818+"n/&gt;!):D"</f>
        <v>#VALUE!</v>
      </c>
      <c r="HU192" t="e">
        <f>'All regions'!F4818+"n/&gt;!):E"</f>
        <v>#VALUE!</v>
      </c>
      <c r="HV192" t="e">
        <f>'All regions'!G4818+"n/&gt;!):F"</f>
        <v>#VALUE!</v>
      </c>
      <c r="HW192" t="e">
        <f>'All regions'!H4818+"n/&gt;!):G"</f>
        <v>#VALUE!</v>
      </c>
      <c r="HX192" t="e">
        <f>'All regions'!I4818+"n/&gt;!):H"</f>
        <v>#VALUE!</v>
      </c>
      <c r="HY192" t="e">
        <f>'All regions'!J4818+"n/&gt;!):I"</f>
        <v>#VALUE!</v>
      </c>
      <c r="HZ192" t="e">
        <f>'All regions'!A4819+"n/&gt;!):J"</f>
        <v>#VALUE!</v>
      </c>
      <c r="IA192" t="e">
        <f>'All regions'!B4819+"n/&gt;!):K"</f>
        <v>#VALUE!</v>
      </c>
      <c r="IB192" t="e">
        <f>'All regions'!C4819+"n/&gt;!):L"</f>
        <v>#VALUE!</v>
      </c>
      <c r="IC192" t="e">
        <f>'All regions'!D4819+"n/&gt;!):M"</f>
        <v>#VALUE!</v>
      </c>
      <c r="ID192" t="e">
        <f>'All regions'!E4819+"n/&gt;!):N"</f>
        <v>#VALUE!</v>
      </c>
      <c r="IE192" t="e">
        <f>'All regions'!F4819+"n/&gt;!):O"</f>
        <v>#VALUE!</v>
      </c>
      <c r="IF192" t="e">
        <f>'All regions'!G4819+"n/&gt;!):P"</f>
        <v>#VALUE!</v>
      </c>
      <c r="IG192" t="e">
        <f>'All regions'!H4819+"n/&gt;!):Q"</f>
        <v>#VALUE!</v>
      </c>
      <c r="IH192" t="e">
        <f>'All regions'!I4819+"n/&gt;!):R"</f>
        <v>#VALUE!</v>
      </c>
      <c r="II192" t="e">
        <f>'All regions'!J4819+"n/&gt;!):S"</f>
        <v>#VALUE!</v>
      </c>
      <c r="IJ192" t="e">
        <f>'All regions'!A4820+"n/&gt;!):T"</f>
        <v>#VALUE!</v>
      </c>
      <c r="IK192" t="e">
        <f>'All regions'!B4820+"n/&gt;!):U"</f>
        <v>#VALUE!</v>
      </c>
      <c r="IL192" t="e">
        <f>'All regions'!C4820+"n/&gt;!):V"</f>
        <v>#VALUE!</v>
      </c>
      <c r="IM192" t="e">
        <f>'All regions'!D4820+"n/&gt;!):W"</f>
        <v>#VALUE!</v>
      </c>
      <c r="IN192" t="e">
        <f>'All regions'!E4820+"n/&gt;!):X"</f>
        <v>#VALUE!</v>
      </c>
      <c r="IO192" t="e">
        <f>'All regions'!F4820+"n/&gt;!):Y"</f>
        <v>#VALUE!</v>
      </c>
      <c r="IP192" t="e">
        <f>'All regions'!G4820+"n/&gt;!):Z"</f>
        <v>#VALUE!</v>
      </c>
      <c r="IQ192" t="e">
        <f>'All regions'!H4820+"n/&gt;!):["</f>
        <v>#VALUE!</v>
      </c>
      <c r="IR192" t="e">
        <f>'All regions'!I4820+"n/&gt;!):\"</f>
        <v>#VALUE!</v>
      </c>
      <c r="IS192" t="e">
        <f>'All regions'!J4820+"n/&gt;!):]"</f>
        <v>#VALUE!</v>
      </c>
      <c r="IT192" t="e">
        <f>'All regions'!A4821+"n/&gt;!):^"</f>
        <v>#VALUE!</v>
      </c>
      <c r="IU192" t="e">
        <f>'All regions'!B4821+"n/&gt;!):_"</f>
        <v>#VALUE!</v>
      </c>
      <c r="IV192" t="e">
        <f>'All regions'!C4821+"n/&gt;!):`"</f>
        <v>#VALUE!</v>
      </c>
    </row>
    <row r="193" spans="6:256" x14ac:dyDescent="0.35">
      <c r="F193" t="e">
        <f>'All regions'!D4821+"n/&gt;!):a"</f>
        <v>#VALUE!</v>
      </c>
      <c r="G193" t="e">
        <f>'All regions'!E4821+"n/&gt;!):b"</f>
        <v>#VALUE!</v>
      </c>
      <c r="H193" t="e">
        <f>'All regions'!F4821+"n/&gt;!):c"</f>
        <v>#VALUE!</v>
      </c>
      <c r="I193" t="e">
        <f>'All regions'!G4821+"n/&gt;!):d"</f>
        <v>#VALUE!</v>
      </c>
      <c r="J193" t="e">
        <f>'All regions'!H4821+"n/&gt;!):e"</f>
        <v>#VALUE!</v>
      </c>
      <c r="K193" t="e">
        <f>'All regions'!I4821+"n/&gt;!):f"</f>
        <v>#VALUE!</v>
      </c>
      <c r="L193" t="e">
        <f>'All regions'!J4821+"n/&gt;!):g"</f>
        <v>#VALUE!</v>
      </c>
      <c r="M193" t="e">
        <f>'All regions'!A4822+"n/&gt;!):h"</f>
        <v>#VALUE!</v>
      </c>
      <c r="N193" t="e">
        <f>'All regions'!B4822+"n/&gt;!):i"</f>
        <v>#VALUE!</v>
      </c>
      <c r="O193" t="e">
        <f>'All regions'!C4822+"n/&gt;!):j"</f>
        <v>#VALUE!</v>
      </c>
      <c r="P193" t="e">
        <f>'All regions'!D4822+"n/&gt;!):k"</f>
        <v>#VALUE!</v>
      </c>
      <c r="Q193" t="e">
        <f>'All regions'!E4822+"n/&gt;!):l"</f>
        <v>#VALUE!</v>
      </c>
      <c r="R193" t="e">
        <f>'All regions'!F4822+"n/&gt;!):m"</f>
        <v>#VALUE!</v>
      </c>
      <c r="S193" t="e">
        <f>'All regions'!G4822+"n/&gt;!):n"</f>
        <v>#VALUE!</v>
      </c>
      <c r="T193" t="e">
        <f>'All regions'!H4822+"n/&gt;!):o"</f>
        <v>#VALUE!</v>
      </c>
      <c r="U193" t="e">
        <f>'All regions'!I4822+"n/&gt;!):p"</f>
        <v>#VALUE!</v>
      </c>
      <c r="V193" t="e">
        <f>'All regions'!J4822+"n/&gt;!):q"</f>
        <v>#VALUE!</v>
      </c>
      <c r="W193" t="e">
        <f>'All regions'!A4823+"n/&gt;!):r"</f>
        <v>#VALUE!</v>
      </c>
      <c r="X193" t="e">
        <f>'All regions'!B4823+"n/&gt;!):s"</f>
        <v>#VALUE!</v>
      </c>
      <c r="Y193" t="e">
        <f>'All regions'!C4823+"n/&gt;!):t"</f>
        <v>#VALUE!</v>
      </c>
      <c r="Z193" t="e">
        <f>'All regions'!D4823+"n/&gt;!):u"</f>
        <v>#VALUE!</v>
      </c>
      <c r="AA193" t="e">
        <f>'All regions'!E4823+"n/&gt;!):v"</f>
        <v>#VALUE!</v>
      </c>
      <c r="AB193" t="e">
        <f>'All regions'!F4823+"n/&gt;!):w"</f>
        <v>#VALUE!</v>
      </c>
      <c r="AC193" t="e">
        <f>'All regions'!G4823+"n/&gt;!):x"</f>
        <v>#VALUE!</v>
      </c>
      <c r="AD193" t="e">
        <f>'All regions'!H4823+"n/&gt;!):y"</f>
        <v>#VALUE!</v>
      </c>
      <c r="AE193" t="e">
        <f>'All regions'!I4823+"n/&gt;!):z"</f>
        <v>#VALUE!</v>
      </c>
      <c r="AF193" t="e">
        <f>'All regions'!J4823+"n/&gt;!):{"</f>
        <v>#VALUE!</v>
      </c>
      <c r="AG193" t="e">
        <f>'All regions'!A4824+"n/&gt;!):|"</f>
        <v>#VALUE!</v>
      </c>
      <c r="AH193" t="e">
        <f>'All regions'!B4824+"n/&gt;!):}"</f>
        <v>#VALUE!</v>
      </c>
      <c r="AI193" t="e">
        <f>'All regions'!C4824+"n/&gt;!):~"</f>
        <v>#VALUE!</v>
      </c>
      <c r="AJ193" t="e">
        <f>'All regions'!D4824+"n/&gt;!);#"</f>
        <v>#VALUE!</v>
      </c>
      <c r="AK193" t="e">
        <f>'All regions'!E4824+"n/&gt;!);$"</f>
        <v>#VALUE!</v>
      </c>
      <c r="AL193" t="e">
        <f>'All regions'!F4824+"n/&gt;!);%"</f>
        <v>#VALUE!</v>
      </c>
      <c r="AM193" t="e">
        <f>'All regions'!G4824+"n/&gt;!);&amp;"</f>
        <v>#VALUE!</v>
      </c>
      <c r="AN193" t="e">
        <f>'All regions'!H4824+"n/&gt;!);'"</f>
        <v>#VALUE!</v>
      </c>
      <c r="AO193" t="e">
        <f>'All regions'!I4824+"n/&gt;!);("</f>
        <v>#VALUE!</v>
      </c>
      <c r="AP193" t="e">
        <f>'All regions'!J4824+"n/&gt;!);)"</f>
        <v>#VALUE!</v>
      </c>
      <c r="AQ193" t="e">
        <f>'All regions'!A4825+"n/&gt;!);."</f>
        <v>#VALUE!</v>
      </c>
      <c r="AR193" t="e">
        <f>'All regions'!B4825+"n/&gt;!);/"</f>
        <v>#VALUE!</v>
      </c>
      <c r="AS193" t="e">
        <f>'All regions'!C4825+"n/&gt;!);0"</f>
        <v>#VALUE!</v>
      </c>
      <c r="AT193" t="e">
        <f>'All regions'!D4825+"n/&gt;!);1"</f>
        <v>#VALUE!</v>
      </c>
      <c r="AU193" t="e">
        <f>'All regions'!E4825+"n/&gt;!);2"</f>
        <v>#VALUE!</v>
      </c>
      <c r="AV193" t="e">
        <f>'All regions'!F4825+"n/&gt;!);3"</f>
        <v>#VALUE!</v>
      </c>
      <c r="AW193" t="e">
        <f>'All regions'!G4825+"n/&gt;!);4"</f>
        <v>#VALUE!</v>
      </c>
      <c r="AX193" t="e">
        <f>'All regions'!H4825+"n/&gt;!);5"</f>
        <v>#VALUE!</v>
      </c>
      <c r="AY193" t="e">
        <f>'All regions'!I4825+"n/&gt;!);6"</f>
        <v>#VALUE!</v>
      </c>
      <c r="AZ193" t="e">
        <f>'All regions'!J4825+"n/&gt;!);7"</f>
        <v>#VALUE!</v>
      </c>
      <c r="BA193" t="e">
        <f>'All regions'!A4826+"n/&gt;!);8"</f>
        <v>#VALUE!</v>
      </c>
      <c r="BB193" t="e">
        <f>'All regions'!B4826+"n/&gt;!);9"</f>
        <v>#VALUE!</v>
      </c>
      <c r="BC193" t="e">
        <f>'All regions'!C4826+"n/&gt;!);:"</f>
        <v>#VALUE!</v>
      </c>
      <c r="BD193" t="e">
        <f>'All regions'!D4826+"n/&gt;!);;"</f>
        <v>#VALUE!</v>
      </c>
      <c r="BE193" t="e">
        <f>'All regions'!E4826+"n/&gt;!);&lt;"</f>
        <v>#VALUE!</v>
      </c>
      <c r="BF193" t="e">
        <f>'All regions'!F4826+"n/&gt;!);="</f>
        <v>#VALUE!</v>
      </c>
      <c r="BG193" t="e">
        <f>'All regions'!G4826+"n/&gt;!);&gt;"</f>
        <v>#VALUE!</v>
      </c>
      <c r="BH193" t="e">
        <f>'All regions'!H4826+"n/&gt;!);?"</f>
        <v>#VALUE!</v>
      </c>
      <c r="BI193" t="e">
        <f>'All regions'!I4826+"n/&gt;!);@"</f>
        <v>#VALUE!</v>
      </c>
      <c r="BJ193" t="e">
        <f>'All regions'!J4826+"n/&gt;!);A"</f>
        <v>#VALUE!</v>
      </c>
      <c r="BK193" t="e">
        <f>'All regions'!A4827+"n/&gt;!);B"</f>
        <v>#VALUE!</v>
      </c>
      <c r="BL193" t="e">
        <f>'All regions'!B4827+"n/&gt;!);C"</f>
        <v>#VALUE!</v>
      </c>
      <c r="BM193" t="e">
        <f>'All regions'!C4827+"n/&gt;!);D"</f>
        <v>#VALUE!</v>
      </c>
      <c r="BN193" t="e">
        <f>'All regions'!D4827+"n/&gt;!);E"</f>
        <v>#VALUE!</v>
      </c>
      <c r="BO193" t="e">
        <f>'All regions'!E4827+"n/&gt;!);F"</f>
        <v>#VALUE!</v>
      </c>
      <c r="BP193" t="e">
        <f>'All regions'!F4827+"n/&gt;!);G"</f>
        <v>#VALUE!</v>
      </c>
      <c r="BQ193" t="e">
        <f>'All regions'!G4827+"n/&gt;!);H"</f>
        <v>#VALUE!</v>
      </c>
      <c r="BR193" t="e">
        <f>'All regions'!H4827+"n/&gt;!);I"</f>
        <v>#VALUE!</v>
      </c>
      <c r="BS193" t="e">
        <f>'All regions'!I4827+"n/&gt;!);J"</f>
        <v>#VALUE!</v>
      </c>
      <c r="BT193" t="e">
        <f>'All regions'!J4827+"n/&gt;!);K"</f>
        <v>#VALUE!</v>
      </c>
      <c r="BU193" t="e">
        <f>'All regions'!A4828+"n/&gt;!);L"</f>
        <v>#VALUE!</v>
      </c>
      <c r="BV193" t="e">
        <f>'All regions'!B4828+"n/&gt;!);M"</f>
        <v>#VALUE!</v>
      </c>
      <c r="BW193" t="e">
        <f>'All regions'!C4828+"n/&gt;!);N"</f>
        <v>#VALUE!</v>
      </c>
      <c r="BX193" t="e">
        <f>'All regions'!D4828+"n/&gt;!);O"</f>
        <v>#VALUE!</v>
      </c>
      <c r="BY193" t="e">
        <f>'All regions'!E4828+"n/&gt;!);P"</f>
        <v>#VALUE!</v>
      </c>
      <c r="BZ193" t="e">
        <f>'All regions'!F4828+"n/&gt;!);Q"</f>
        <v>#VALUE!</v>
      </c>
      <c r="CA193" t="e">
        <f>'All regions'!G4828+"n/&gt;!);R"</f>
        <v>#VALUE!</v>
      </c>
      <c r="CB193" t="e">
        <f>'All regions'!H4828+"n/&gt;!);S"</f>
        <v>#VALUE!</v>
      </c>
      <c r="CC193" t="e">
        <f>'All regions'!I4828+"n/&gt;!);T"</f>
        <v>#VALUE!</v>
      </c>
      <c r="CD193" t="e">
        <f>'All regions'!J4828+"n/&gt;!);U"</f>
        <v>#VALUE!</v>
      </c>
      <c r="CE193" t="e">
        <f>'All regions'!A4829+"n/&gt;!);V"</f>
        <v>#VALUE!</v>
      </c>
      <c r="CF193" t="e">
        <f>'All regions'!B4829+"n/&gt;!);W"</f>
        <v>#VALUE!</v>
      </c>
      <c r="CG193" t="e">
        <f>'All regions'!C4829+"n/&gt;!);X"</f>
        <v>#VALUE!</v>
      </c>
      <c r="CH193" t="e">
        <f>'All regions'!D4829+"n/&gt;!);Y"</f>
        <v>#VALUE!</v>
      </c>
      <c r="CI193" t="e">
        <f>'All regions'!E4829+"n/&gt;!);Z"</f>
        <v>#VALUE!</v>
      </c>
      <c r="CJ193" t="e">
        <f>'All regions'!F4829+"n/&gt;!);["</f>
        <v>#VALUE!</v>
      </c>
      <c r="CK193" t="e">
        <f>'All regions'!G4829+"n/&gt;!);\"</f>
        <v>#VALUE!</v>
      </c>
      <c r="CL193" t="e">
        <f>'All regions'!H4829+"n/&gt;!);]"</f>
        <v>#VALUE!</v>
      </c>
      <c r="CM193" t="e">
        <f>'All regions'!I4829+"n/&gt;!);^"</f>
        <v>#VALUE!</v>
      </c>
      <c r="CN193" t="e">
        <f>'All regions'!J4829+"n/&gt;!);_"</f>
        <v>#VALUE!</v>
      </c>
      <c r="CO193" t="e">
        <f>'All regions'!A4830+"n/&gt;!);`"</f>
        <v>#VALUE!</v>
      </c>
      <c r="CP193" t="e">
        <f>'All regions'!B4830+"n/&gt;!);a"</f>
        <v>#VALUE!</v>
      </c>
      <c r="CQ193" t="e">
        <f>'All regions'!C4830+"n/&gt;!);b"</f>
        <v>#VALUE!</v>
      </c>
      <c r="CR193" t="e">
        <f>'All regions'!D4830+"n/&gt;!);c"</f>
        <v>#VALUE!</v>
      </c>
      <c r="CS193" t="e">
        <f>'All regions'!E4830+"n/&gt;!);d"</f>
        <v>#VALUE!</v>
      </c>
      <c r="CT193" t="e">
        <f>'All regions'!F4830+"n/&gt;!);e"</f>
        <v>#VALUE!</v>
      </c>
      <c r="CU193" t="e">
        <f>'All regions'!G4830+"n/&gt;!);f"</f>
        <v>#VALUE!</v>
      </c>
      <c r="CV193" t="e">
        <f>'All regions'!H4830+"n/&gt;!);g"</f>
        <v>#VALUE!</v>
      </c>
      <c r="CW193" t="e">
        <f>'All regions'!I4830+"n/&gt;!);h"</f>
        <v>#VALUE!</v>
      </c>
      <c r="CX193" t="e">
        <f>'All regions'!J4830+"n/&gt;!);i"</f>
        <v>#VALUE!</v>
      </c>
      <c r="CY193" t="e">
        <f>'All regions'!A4831+"n/&gt;!);j"</f>
        <v>#VALUE!</v>
      </c>
      <c r="CZ193" t="e">
        <f>'All regions'!B4831+"n/&gt;!);k"</f>
        <v>#VALUE!</v>
      </c>
      <c r="DA193" t="e">
        <f>'All regions'!C4831+"n/&gt;!);l"</f>
        <v>#VALUE!</v>
      </c>
      <c r="DB193" t="e">
        <f>'All regions'!D4831+"n/&gt;!);m"</f>
        <v>#VALUE!</v>
      </c>
      <c r="DC193" t="e">
        <f>'All regions'!E4831+"n/&gt;!);n"</f>
        <v>#VALUE!</v>
      </c>
      <c r="DD193" t="e">
        <f>'All regions'!F4831+"n/&gt;!);o"</f>
        <v>#VALUE!</v>
      </c>
      <c r="DE193" t="e">
        <f>'All regions'!G4831+"n/&gt;!);p"</f>
        <v>#VALUE!</v>
      </c>
      <c r="DF193" t="e">
        <f>'All regions'!H4831+"n/&gt;!);q"</f>
        <v>#VALUE!</v>
      </c>
      <c r="DG193" t="e">
        <f>'All regions'!I4831+"n/&gt;!);r"</f>
        <v>#VALUE!</v>
      </c>
      <c r="DH193" t="e">
        <f>'All regions'!J4831+"n/&gt;!);s"</f>
        <v>#VALUE!</v>
      </c>
      <c r="DI193" t="e">
        <f>'All regions'!A4832+"n/&gt;!);t"</f>
        <v>#VALUE!</v>
      </c>
      <c r="DJ193" t="e">
        <f>'All regions'!B4832+"n/&gt;!);u"</f>
        <v>#VALUE!</v>
      </c>
      <c r="DK193" t="e">
        <f>'All regions'!C4832+"n/&gt;!);v"</f>
        <v>#VALUE!</v>
      </c>
      <c r="DL193" t="e">
        <f>'All regions'!D4832+"n/&gt;!);w"</f>
        <v>#VALUE!</v>
      </c>
      <c r="DM193" t="e">
        <f>'All regions'!E4832+"n/&gt;!);x"</f>
        <v>#VALUE!</v>
      </c>
      <c r="DN193" t="e">
        <f>'All regions'!F4832+"n/&gt;!);y"</f>
        <v>#VALUE!</v>
      </c>
      <c r="DO193" t="e">
        <f>'All regions'!G4832+"n/&gt;!);z"</f>
        <v>#VALUE!</v>
      </c>
      <c r="DP193" t="e">
        <f>'All regions'!H4832+"n/&gt;!);{"</f>
        <v>#VALUE!</v>
      </c>
      <c r="DQ193" t="e">
        <f>'All regions'!I4832+"n/&gt;!);|"</f>
        <v>#VALUE!</v>
      </c>
      <c r="DR193" t="e">
        <f>'All regions'!J4832+"n/&gt;!);}"</f>
        <v>#VALUE!</v>
      </c>
      <c r="DS193" t="e">
        <f>'All regions'!A4833+"n/&gt;!);~"</f>
        <v>#VALUE!</v>
      </c>
      <c r="DT193" t="e">
        <f>'All regions'!B4833+"n/&gt;!)&lt;#"</f>
        <v>#VALUE!</v>
      </c>
      <c r="DU193" t="e">
        <f>'All regions'!C4833+"n/&gt;!)&lt;$"</f>
        <v>#VALUE!</v>
      </c>
      <c r="DV193" t="e">
        <f>'All regions'!D4833+"n/&gt;!)&lt;%"</f>
        <v>#VALUE!</v>
      </c>
      <c r="DW193" t="e">
        <f>'All regions'!E4833+"n/&gt;!)&lt;&amp;"</f>
        <v>#VALUE!</v>
      </c>
      <c r="DX193" t="e">
        <f>'All regions'!F4833+"n/&gt;!)&lt;'"</f>
        <v>#VALUE!</v>
      </c>
      <c r="DY193" t="e">
        <f>'All regions'!G4833+"n/&gt;!)&lt;("</f>
        <v>#VALUE!</v>
      </c>
      <c r="DZ193" t="e">
        <f>'All regions'!H4833+"n/&gt;!)&lt;)"</f>
        <v>#VALUE!</v>
      </c>
      <c r="EA193" t="e">
        <f>'All regions'!I4833+"n/&gt;!)&lt;."</f>
        <v>#VALUE!</v>
      </c>
      <c r="EB193" t="e">
        <f>'All regions'!J4833+"n/&gt;!)&lt;/"</f>
        <v>#VALUE!</v>
      </c>
      <c r="EC193" t="e">
        <f>'All regions'!A4834+"n/&gt;!)&lt;0"</f>
        <v>#VALUE!</v>
      </c>
      <c r="ED193" t="e">
        <f>'All regions'!B4834+"n/&gt;!)&lt;1"</f>
        <v>#VALUE!</v>
      </c>
      <c r="EE193" t="e">
        <f>'All regions'!C4834+"n/&gt;!)&lt;2"</f>
        <v>#VALUE!</v>
      </c>
      <c r="EF193" t="e">
        <f>'All regions'!D4834+"n/&gt;!)&lt;3"</f>
        <v>#VALUE!</v>
      </c>
      <c r="EG193" t="e">
        <f>'All regions'!E4834+"n/&gt;!)&lt;4"</f>
        <v>#VALUE!</v>
      </c>
      <c r="EH193" t="e">
        <f>'All regions'!F4834+"n/&gt;!)&lt;5"</f>
        <v>#VALUE!</v>
      </c>
      <c r="EI193" t="e">
        <f>'All regions'!G4834+"n/&gt;!)&lt;6"</f>
        <v>#VALUE!</v>
      </c>
      <c r="EJ193" t="e">
        <f>'All regions'!H4834+"n/&gt;!)&lt;7"</f>
        <v>#VALUE!</v>
      </c>
      <c r="EK193" t="e">
        <f>'All regions'!I4834+"n/&gt;!)&lt;8"</f>
        <v>#VALUE!</v>
      </c>
      <c r="EL193" t="e">
        <f>'All regions'!J4834+"n/&gt;!)&lt;9"</f>
        <v>#VALUE!</v>
      </c>
      <c r="EM193" t="e">
        <f>'All regions'!A4835+"n/&gt;!)&lt;:"</f>
        <v>#VALUE!</v>
      </c>
      <c r="EN193" t="e">
        <f>'All regions'!B4835+"n/&gt;!)&lt;;"</f>
        <v>#VALUE!</v>
      </c>
      <c r="EO193" t="e">
        <f>'All regions'!C4835+"n/&gt;!)&lt;&lt;"</f>
        <v>#VALUE!</v>
      </c>
      <c r="EP193" t="e">
        <f>'All regions'!D4835+"n/&gt;!)&lt;="</f>
        <v>#VALUE!</v>
      </c>
      <c r="EQ193" t="e">
        <f>'All regions'!E4835+"n/&gt;!)&lt;&gt;"</f>
        <v>#VALUE!</v>
      </c>
      <c r="ER193" t="e">
        <f>'All regions'!F4835+"n/&gt;!)&lt;?"</f>
        <v>#VALUE!</v>
      </c>
      <c r="ES193" t="e">
        <f>'All regions'!G4835+"n/&gt;!)&lt;@"</f>
        <v>#VALUE!</v>
      </c>
      <c r="ET193" t="e">
        <f>'All regions'!H4835+"n/&gt;!)&lt;A"</f>
        <v>#VALUE!</v>
      </c>
      <c r="EU193" t="e">
        <f>'All regions'!I4835+"n/&gt;!)&lt;B"</f>
        <v>#VALUE!</v>
      </c>
      <c r="EV193" t="e">
        <f>'All regions'!J4835+"n/&gt;!)&lt;C"</f>
        <v>#VALUE!</v>
      </c>
      <c r="EW193" t="e">
        <f>'All regions'!A4836+"n/&gt;!)&lt;D"</f>
        <v>#VALUE!</v>
      </c>
      <c r="EX193" t="e">
        <f>'All regions'!B4836+"n/&gt;!)&lt;E"</f>
        <v>#VALUE!</v>
      </c>
      <c r="EY193" t="e">
        <f>'All regions'!C4836+"n/&gt;!)&lt;F"</f>
        <v>#VALUE!</v>
      </c>
      <c r="EZ193" t="e">
        <f>'All regions'!D4836+"n/&gt;!)&lt;G"</f>
        <v>#VALUE!</v>
      </c>
      <c r="FA193" t="e">
        <f>'All regions'!E4836+"n/&gt;!)&lt;H"</f>
        <v>#VALUE!</v>
      </c>
      <c r="FB193" t="e">
        <f>'All regions'!F4836+"n/&gt;!)&lt;I"</f>
        <v>#VALUE!</v>
      </c>
      <c r="FC193" t="e">
        <f>'All regions'!G4836+"n/&gt;!)&lt;J"</f>
        <v>#VALUE!</v>
      </c>
      <c r="FD193" t="e">
        <f>'All regions'!H4836+"n/&gt;!)&lt;K"</f>
        <v>#VALUE!</v>
      </c>
      <c r="FE193" t="e">
        <f>'All regions'!I4836+"n/&gt;!)&lt;L"</f>
        <v>#VALUE!</v>
      </c>
      <c r="FF193" t="e">
        <f>'All regions'!A4837+"n/&gt;!)&lt;M"</f>
        <v>#VALUE!</v>
      </c>
      <c r="FG193" t="e">
        <f>'All regions'!B4837+"n/&gt;!)&lt;N"</f>
        <v>#VALUE!</v>
      </c>
      <c r="FH193" t="e">
        <f>'All regions'!C4837+"n/&gt;!)&lt;O"</f>
        <v>#VALUE!</v>
      </c>
      <c r="FI193" t="e">
        <f>'All regions'!D4837+"n/&gt;!)&lt;P"</f>
        <v>#VALUE!</v>
      </c>
      <c r="FJ193" t="e">
        <f>'All regions'!E4837+"n/&gt;!)&lt;Q"</f>
        <v>#VALUE!</v>
      </c>
      <c r="FK193" t="e">
        <f>'All regions'!F4837+"n/&gt;!)&lt;R"</f>
        <v>#VALUE!</v>
      </c>
      <c r="FL193" t="e">
        <f>'All regions'!G4837+"n/&gt;!)&lt;S"</f>
        <v>#VALUE!</v>
      </c>
      <c r="FM193" t="e">
        <f>'All regions'!H4837+"n/&gt;!)&lt;T"</f>
        <v>#VALUE!</v>
      </c>
      <c r="FN193" t="e">
        <f>'All regions'!I4837+"n/&gt;!)&lt;U"</f>
        <v>#VALUE!</v>
      </c>
      <c r="FO193" t="e">
        <f>'All regions'!J4837+"n/&gt;!)&lt;V"</f>
        <v>#VALUE!</v>
      </c>
      <c r="FP193" t="e">
        <f>'All regions'!A4838+"n/&gt;!)&lt;W"</f>
        <v>#VALUE!</v>
      </c>
      <c r="FQ193" t="e">
        <f>'All regions'!B4838+"n/&gt;!)&lt;X"</f>
        <v>#VALUE!</v>
      </c>
      <c r="FR193" t="e">
        <f>'All regions'!C4838+"n/&gt;!)&lt;Y"</f>
        <v>#VALUE!</v>
      </c>
      <c r="FS193" t="e">
        <f>'All regions'!D4838+"n/&gt;!)&lt;Z"</f>
        <v>#VALUE!</v>
      </c>
      <c r="FT193" t="e">
        <f>'All regions'!E4838+"n/&gt;!)&lt;["</f>
        <v>#VALUE!</v>
      </c>
      <c r="FU193" t="e">
        <f>'All regions'!F4838+"n/&gt;!)&lt;\"</f>
        <v>#VALUE!</v>
      </c>
      <c r="FV193" t="e">
        <f>'All regions'!G4838+"n/&gt;!)&lt;]"</f>
        <v>#VALUE!</v>
      </c>
      <c r="FW193" t="e">
        <f>'All regions'!H4838+"n/&gt;!)&lt;^"</f>
        <v>#VALUE!</v>
      </c>
      <c r="FX193" t="e">
        <f>'All regions'!I4838+"n/&gt;!)&lt;_"</f>
        <v>#VALUE!</v>
      </c>
      <c r="FY193" t="e">
        <f>'All regions'!J4838+"n/&gt;!)&lt;`"</f>
        <v>#VALUE!</v>
      </c>
      <c r="FZ193" t="e">
        <f>'All regions'!A4839+"n/&gt;!)&lt;a"</f>
        <v>#VALUE!</v>
      </c>
      <c r="GA193" t="e">
        <f>'All regions'!B4839+"n/&gt;!)&lt;b"</f>
        <v>#VALUE!</v>
      </c>
      <c r="GB193" t="e">
        <f>'All regions'!C4839+"n/&gt;!)&lt;c"</f>
        <v>#VALUE!</v>
      </c>
      <c r="GC193" t="e">
        <f>'All regions'!D4839+"n/&gt;!)&lt;d"</f>
        <v>#VALUE!</v>
      </c>
      <c r="GD193" t="e">
        <f>'All regions'!E4839+"n/&gt;!)&lt;e"</f>
        <v>#VALUE!</v>
      </c>
      <c r="GE193" t="e">
        <f>'All regions'!F4839+"n/&gt;!)&lt;f"</f>
        <v>#VALUE!</v>
      </c>
      <c r="GF193" t="e">
        <f>'All regions'!G4839+"n/&gt;!)&lt;g"</f>
        <v>#VALUE!</v>
      </c>
      <c r="GG193" t="e">
        <f>'All regions'!H4839+"n/&gt;!)&lt;h"</f>
        <v>#VALUE!</v>
      </c>
      <c r="GH193" t="e">
        <f>'All regions'!I4839+"n/&gt;!)&lt;i"</f>
        <v>#VALUE!</v>
      </c>
      <c r="GI193" t="e">
        <f>'All regions'!J4839+"n/&gt;!)&lt;j"</f>
        <v>#VALUE!</v>
      </c>
      <c r="GJ193" t="e">
        <f>'All regions'!A4840+"n/&gt;!)&lt;k"</f>
        <v>#VALUE!</v>
      </c>
      <c r="GK193" t="e">
        <f>'All regions'!B4840+"n/&gt;!)&lt;l"</f>
        <v>#VALUE!</v>
      </c>
      <c r="GL193" t="e">
        <f>'All regions'!C4840+"n/&gt;!)&lt;m"</f>
        <v>#VALUE!</v>
      </c>
      <c r="GM193" t="e">
        <f>'All regions'!D4840+"n/&gt;!)&lt;n"</f>
        <v>#VALUE!</v>
      </c>
      <c r="GN193" t="e">
        <f>'All regions'!E4840+"n/&gt;!)&lt;o"</f>
        <v>#VALUE!</v>
      </c>
      <c r="GO193" t="e">
        <f>'All regions'!F4840+"n/&gt;!)&lt;p"</f>
        <v>#VALUE!</v>
      </c>
      <c r="GP193" t="e">
        <f>'All regions'!G4840+"n/&gt;!)&lt;q"</f>
        <v>#VALUE!</v>
      </c>
      <c r="GQ193" t="e">
        <f>'All regions'!H4840+"n/&gt;!)&lt;r"</f>
        <v>#VALUE!</v>
      </c>
      <c r="GR193" t="e">
        <f>'All regions'!I4840+"n/&gt;!)&lt;s"</f>
        <v>#VALUE!</v>
      </c>
      <c r="GS193" t="e">
        <f>'All regions'!J4840+"n/&gt;!)&lt;t"</f>
        <v>#VALUE!</v>
      </c>
      <c r="GT193" t="e">
        <f>'All regions'!A4841+"n/&gt;!)&lt;u"</f>
        <v>#VALUE!</v>
      </c>
      <c r="GU193" t="e">
        <f>'All regions'!B4841+"n/&gt;!)&lt;v"</f>
        <v>#VALUE!</v>
      </c>
      <c r="GV193" t="e">
        <f>'All regions'!C4841+"n/&gt;!)&lt;w"</f>
        <v>#VALUE!</v>
      </c>
      <c r="GW193" t="e">
        <f>'All regions'!D4841+"n/&gt;!)&lt;x"</f>
        <v>#VALUE!</v>
      </c>
      <c r="GX193" t="e">
        <f>'All regions'!E4841+"n/&gt;!)&lt;y"</f>
        <v>#VALUE!</v>
      </c>
      <c r="GY193" t="e">
        <f>'All regions'!F4841+"n/&gt;!)&lt;z"</f>
        <v>#VALUE!</v>
      </c>
      <c r="GZ193" t="e">
        <f>'All regions'!G4841+"n/&gt;!)&lt;{"</f>
        <v>#VALUE!</v>
      </c>
      <c r="HA193" t="e">
        <f>'All regions'!H4841+"n/&gt;!)&lt;|"</f>
        <v>#VALUE!</v>
      </c>
      <c r="HB193" t="e">
        <f>'All regions'!I4841+"n/&gt;!)&lt;}"</f>
        <v>#VALUE!</v>
      </c>
      <c r="HC193" t="e">
        <f>'All regions'!J4841+"n/&gt;!)&lt;~"</f>
        <v>#VALUE!</v>
      </c>
      <c r="HD193" t="e">
        <f>'All regions'!A4842+"n/&gt;!)=#"</f>
        <v>#VALUE!</v>
      </c>
      <c r="HE193" t="e">
        <f>'All regions'!B4842+"n/&gt;!)=$"</f>
        <v>#VALUE!</v>
      </c>
      <c r="HF193" t="e">
        <f>'All regions'!C4842+"n/&gt;!)=%"</f>
        <v>#VALUE!</v>
      </c>
      <c r="HG193" t="e">
        <f>'All regions'!D4842+"n/&gt;!)=&amp;"</f>
        <v>#VALUE!</v>
      </c>
      <c r="HH193" t="e">
        <f>'All regions'!E4842+"n/&gt;!)='"</f>
        <v>#VALUE!</v>
      </c>
      <c r="HI193" t="e">
        <f>'All regions'!F4842+"n/&gt;!)=("</f>
        <v>#VALUE!</v>
      </c>
      <c r="HJ193" t="e">
        <f>'All regions'!G4842+"n/&gt;!)=)"</f>
        <v>#VALUE!</v>
      </c>
      <c r="HK193" t="e">
        <f>'All regions'!H4842+"n/&gt;!)=."</f>
        <v>#VALUE!</v>
      </c>
      <c r="HL193" t="e">
        <f>'All regions'!I4842+"n/&gt;!)=/"</f>
        <v>#VALUE!</v>
      </c>
      <c r="HM193" t="e">
        <f>'All regions'!J4842+"n/&gt;!)=0"</f>
        <v>#VALUE!</v>
      </c>
      <c r="HN193" t="e">
        <f>'All regions'!A4843+"n/&gt;!)=1"</f>
        <v>#VALUE!</v>
      </c>
      <c r="HO193" t="e">
        <f>'All regions'!B4843+"n/&gt;!)=2"</f>
        <v>#VALUE!</v>
      </c>
      <c r="HP193" t="e">
        <f>'All regions'!C4843+"n/&gt;!)=3"</f>
        <v>#VALUE!</v>
      </c>
      <c r="HQ193" t="e">
        <f>'All regions'!D4843+"n/&gt;!)=4"</f>
        <v>#VALUE!</v>
      </c>
      <c r="HR193" t="e">
        <f>'All regions'!E4843+"n/&gt;!)=5"</f>
        <v>#VALUE!</v>
      </c>
      <c r="HS193" t="e">
        <f>'All regions'!F4843+"n/&gt;!)=6"</f>
        <v>#VALUE!</v>
      </c>
      <c r="HT193" t="e">
        <f>'All regions'!G4843+"n/&gt;!)=7"</f>
        <v>#VALUE!</v>
      </c>
      <c r="HU193" t="e">
        <f>'All regions'!H4843+"n/&gt;!)=8"</f>
        <v>#VALUE!</v>
      </c>
      <c r="HV193" t="e">
        <f>'All regions'!I4843+"n/&gt;!)=9"</f>
        <v>#VALUE!</v>
      </c>
      <c r="HW193" t="e">
        <f>'All regions'!J4843+"n/&gt;!)=:"</f>
        <v>#VALUE!</v>
      </c>
      <c r="HX193" t="e">
        <f>'All regions'!A4844+"n/&gt;!)=;"</f>
        <v>#VALUE!</v>
      </c>
      <c r="HY193" t="e">
        <f>'All regions'!B4844+"n/&gt;!)=&lt;"</f>
        <v>#VALUE!</v>
      </c>
      <c r="HZ193" t="e">
        <f>'All regions'!C4844+"n/&gt;!)=="</f>
        <v>#VALUE!</v>
      </c>
      <c r="IA193" t="e">
        <f>'All regions'!D4844+"n/&gt;!)=&gt;"</f>
        <v>#VALUE!</v>
      </c>
      <c r="IB193" t="e">
        <f>'All regions'!E4844+"n/&gt;!)=?"</f>
        <v>#VALUE!</v>
      </c>
      <c r="IC193" t="e">
        <f>'All regions'!F4844+"n/&gt;!)=@"</f>
        <v>#VALUE!</v>
      </c>
      <c r="ID193" t="e">
        <f>'All regions'!G4844+"n/&gt;!)=A"</f>
        <v>#VALUE!</v>
      </c>
      <c r="IE193" t="e">
        <f>'All regions'!H4844+"n/&gt;!)=B"</f>
        <v>#VALUE!</v>
      </c>
      <c r="IF193" t="e">
        <f>'All regions'!I4844+"n/&gt;!)=C"</f>
        <v>#VALUE!</v>
      </c>
      <c r="IG193" t="e">
        <f>'All regions'!J4844+"n/&gt;!)=D"</f>
        <v>#VALUE!</v>
      </c>
      <c r="IH193" t="e">
        <f>'All regions'!A4845+"n/&gt;!)=E"</f>
        <v>#VALUE!</v>
      </c>
      <c r="II193" t="e">
        <f>'All regions'!B4845+"n/&gt;!)=F"</f>
        <v>#VALUE!</v>
      </c>
      <c r="IJ193" t="e">
        <f>'All regions'!C4845+"n/&gt;!)=G"</f>
        <v>#VALUE!</v>
      </c>
      <c r="IK193" t="e">
        <f>'All regions'!D4845+"n/&gt;!)=H"</f>
        <v>#VALUE!</v>
      </c>
      <c r="IL193" t="e">
        <f>'All regions'!E4845+"n/&gt;!)=I"</f>
        <v>#VALUE!</v>
      </c>
      <c r="IM193" t="e">
        <f>'All regions'!F4845+"n/&gt;!)=J"</f>
        <v>#VALUE!</v>
      </c>
      <c r="IN193" t="e">
        <f>'All regions'!G4845+"n/&gt;!)=K"</f>
        <v>#VALUE!</v>
      </c>
      <c r="IO193" t="e">
        <f>'All regions'!H4845+"n/&gt;!)=L"</f>
        <v>#VALUE!</v>
      </c>
      <c r="IP193" t="e">
        <f>'All regions'!I4845+"n/&gt;!)=M"</f>
        <v>#VALUE!</v>
      </c>
      <c r="IQ193" t="e">
        <f>'All regions'!J4845+"n/&gt;!)=N"</f>
        <v>#VALUE!</v>
      </c>
      <c r="IR193" t="e">
        <f>'All regions'!A4846+"n/&gt;!)=O"</f>
        <v>#VALUE!</v>
      </c>
      <c r="IS193" t="e">
        <f>'All regions'!B4846+"n/&gt;!)=P"</f>
        <v>#VALUE!</v>
      </c>
      <c r="IT193" t="e">
        <f>'All regions'!C4846+"n/&gt;!)=Q"</f>
        <v>#VALUE!</v>
      </c>
      <c r="IU193" t="e">
        <f>'All regions'!D4846+"n/&gt;!)=R"</f>
        <v>#VALUE!</v>
      </c>
      <c r="IV193" t="e">
        <f>'All regions'!E4846+"n/&gt;!)=S"</f>
        <v>#VALUE!</v>
      </c>
    </row>
    <row r="194" spans="6:256" x14ac:dyDescent="0.35">
      <c r="F194" t="e">
        <f>'All regions'!F4846+"n/&gt;!)=T"</f>
        <v>#VALUE!</v>
      </c>
      <c r="G194" t="e">
        <f>'All regions'!G4846+"n/&gt;!)=U"</f>
        <v>#VALUE!</v>
      </c>
      <c r="H194" t="e">
        <f>'All regions'!H4846+"n/&gt;!)=V"</f>
        <v>#VALUE!</v>
      </c>
      <c r="I194" t="e">
        <f>'All regions'!I4846+"n/&gt;!)=W"</f>
        <v>#VALUE!</v>
      </c>
      <c r="J194" t="e">
        <f>'All regions'!J4846+"n/&gt;!)=X"</f>
        <v>#VALUE!</v>
      </c>
      <c r="K194" t="e">
        <f>'All regions'!A4847+"n/&gt;!)=Y"</f>
        <v>#VALUE!</v>
      </c>
      <c r="L194" t="e">
        <f>'All regions'!B4847+"n/&gt;!)=Z"</f>
        <v>#VALUE!</v>
      </c>
      <c r="M194" t="e">
        <f>'All regions'!C4847+"n/&gt;!)=["</f>
        <v>#VALUE!</v>
      </c>
      <c r="N194" t="e">
        <f>'All regions'!D4847+"n/&gt;!)=\"</f>
        <v>#VALUE!</v>
      </c>
      <c r="O194" t="e">
        <f>'All regions'!E4847+"n/&gt;!)=]"</f>
        <v>#VALUE!</v>
      </c>
      <c r="P194" t="e">
        <f>'All regions'!F4847+"n/&gt;!)=^"</f>
        <v>#VALUE!</v>
      </c>
      <c r="Q194" t="e">
        <f>'All regions'!G4847+"n/&gt;!)=_"</f>
        <v>#VALUE!</v>
      </c>
      <c r="R194" t="e">
        <f>'All regions'!H4847+"n/&gt;!)=`"</f>
        <v>#VALUE!</v>
      </c>
      <c r="S194" t="e">
        <f>'All regions'!I4847+"n/&gt;!)=a"</f>
        <v>#VALUE!</v>
      </c>
      <c r="T194" t="e">
        <f>'All regions'!J4847+"n/&gt;!)=b"</f>
        <v>#VALUE!</v>
      </c>
      <c r="U194" t="e">
        <f>'All regions'!A4848+"n/&gt;!)=c"</f>
        <v>#VALUE!</v>
      </c>
      <c r="V194" t="e">
        <f>'All regions'!B4848+"n/&gt;!)=d"</f>
        <v>#VALUE!</v>
      </c>
      <c r="W194" t="e">
        <f>'All regions'!C4848+"n/&gt;!)=e"</f>
        <v>#VALUE!</v>
      </c>
      <c r="X194" t="e">
        <f>'All regions'!D4848+"n/&gt;!)=f"</f>
        <v>#VALUE!</v>
      </c>
      <c r="Y194" t="e">
        <f>'All regions'!E4848+"n/&gt;!)=g"</f>
        <v>#VALUE!</v>
      </c>
      <c r="Z194" t="e">
        <f>'All regions'!F4848+"n/&gt;!)=h"</f>
        <v>#VALUE!</v>
      </c>
      <c r="AA194" t="e">
        <f>'All regions'!G4848+"n/&gt;!)=i"</f>
        <v>#VALUE!</v>
      </c>
      <c r="AB194" t="e">
        <f>'All regions'!H4848+"n/&gt;!)=j"</f>
        <v>#VALUE!</v>
      </c>
      <c r="AC194" t="e">
        <f>'All regions'!I4848+"n/&gt;!)=k"</f>
        <v>#VALUE!</v>
      </c>
      <c r="AD194" t="e">
        <f>'All regions'!J4848+"n/&gt;!)=l"</f>
        <v>#VALUE!</v>
      </c>
      <c r="AE194" t="e">
        <f>'All regions'!A4849+"n/&gt;!)=m"</f>
        <v>#VALUE!</v>
      </c>
      <c r="AF194" t="e">
        <f>'All regions'!B4849+"n/&gt;!)=n"</f>
        <v>#VALUE!</v>
      </c>
      <c r="AG194" t="e">
        <f>'All regions'!C4849+"n/&gt;!)=o"</f>
        <v>#VALUE!</v>
      </c>
      <c r="AH194" t="e">
        <f>'All regions'!D4849+"n/&gt;!)=p"</f>
        <v>#VALUE!</v>
      </c>
      <c r="AI194" t="e">
        <f>'All regions'!E4849+"n/&gt;!)=q"</f>
        <v>#VALUE!</v>
      </c>
      <c r="AJ194" t="e">
        <f>'All regions'!F4849+"n/&gt;!)=r"</f>
        <v>#VALUE!</v>
      </c>
      <c r="AK194" t="e">
        <f>'All regions'!G4849+"n/&gt;!)=s"</f>
        <v>#VALUE!</v>
      </c>
      <c r="AL194" t="e">
        <f>'All regions'!H4849+"n/&gt;!)=t"</f>
        <v>#VALUE!</v>
      </c>
      <c r="AM194" t="e">
        <f>'All regions'!I4849+"n/&gt;!)=u"</f>
        <v>#VALUE!</v>
      </c>
      <c r="AN194" t="e">
        <f>'All regions'!J4849+"n/&gt;!)=v"</f>
        <v>#VALUE!</v>
      </c>
      <c r="AO194" t="e">
        <f>'All regions'!A4850+"n/&gt;!)=w"</f>
        <v>#VALUE!</v>
      </c>
      <c r="AP194" t="e">
        <f>'All regions'!B4850+"n/&gt;!)=x"</f>
        <v>#VALUE!</v>
      </c>
      <c r="AQ194" t="e">
        <f>'All regions'!C4850+"n/&gt;!)=y"</f>
        <v>#VALUE!</v>
      </c>
      <c r="AR194" t="e">
        <f>'All regions'!D4850+"n/&gt;!)=z"</f>
        <v>#VALUE!</v>
      </c>
      <c r="AS194" t="e">
        <f>'All regions'!E4850+"n/&gt;!)={"</f>
        <v>#VALUE!</v>
      </c>
      <c r="AT194" t="e">
        <f>'All regions'!F4850+"n/&gt;!)=|"</f>
        <v>#VALUE!</v>
      </c>
      <c r="AU194" t="e">
        <f>'All regions'!G4850+"n/&gt;!)=}"</f>
        <v>#VALUE!</v>
      </c>
      <c r="AV194" t="e">
        <f>'All regions'!H4850+"n/&gt;!)=~"</f>
        <v>#VALUE!</v>
      </c>
      <c r="AW194" t="e">
        <f>'All regions'!I4850+"n/&gt;!)&gt;#"</f>
        <v>#VALUE!</v>
      </c>
      <c r="AX194" t="e">
        <f>'All regions'!J4850+"n/&gt;!)&gt;$"</f>
        <v>#VALUE!</v>
      </c>
      <c r="AY194" t="e">
        <f>'All regions'!A4851+"n/&gt;!)&gt;%"</f>
        <v>#VALUE!</v>
      </c>
      <c r="AZ194" t="e">
        <f>'All regions'!B4851+"n/&gt;!)&gt;&amp;"</f>
        <v>#VALUE!</v>
      </c>
      <c r="BA194" t="e">
        <f>'All regions'!C4851+"n/&gt;!)&gt;'"</f>
        <v>#VALUE!</v>
      </c>
      <c r="BB194" t="e">
        <f>'All regions'!D4851+"n/&gt;!)&gt;("</f>
        <v>#VALUE!</v>
      </c>
      <c r="BC194" t="e">
        <f>'All regions'!E4851+"n/&gt;!)&gt;)"</f>
        <v>#VALUE!</v>
      </c>
      <c r="BD194" t="e">
        <f>'All regions'!F4851+"n/&gt;!)&gt;."</f>
        <v>#VALUE!</v>
      </c>
      <c r="BE194" t="e">
        <f>'All regions'!G4851+"n/&gt;!)&gt;/"</f>
        <v>#VALUE!</v>
      </c>
      <c r="BF194" t="e">
        <f>'All regions'!H4851+"n/&gt;!)&gt;0"</f>
        <v>#VALUE!</v>
      </c>
      <c r="BG194" t="e">
        <f>'All regions'!I4851+"n/&gt;!)&gt;1"</f>
        <v>#VALUE!</v>
      </c>
      <c r="BH194" t="e">
        <f>'All regions'!J4851+"n/&gt;!)&gt;2"</f>
        <v>#VALUE!</v>
      </c>
      <c r="BI194" t="e">
        <f>'All regions'!A4852+"n/&gt;!)&gt;3"</f>
        <v>#VALUE!</v>
      </c>
      <c r="BJ194" t="e">
        <f>'All regions'!B4852+"n/&gt;!)&gt;4"</f>
        <v>#VALUE!</v>
      </c>
      <c r="BK194" t="e">
        <f>'All regions'!C4852+"n/&gt;!)&gt;5"</f>
        <v>#VALUE!</v>
      </c>
      <c r="BL194" t="e">
        <f>'All regions'!D4852+"n/&gt;!)&gt;6"</f>
        <v>#VALUE!</v>
      </c>
      <c r="BM194" t="e">
        <f>'All regions'!E4852+"n/&gt;!)&gt;7"</f>
        <v>#VALUE!</v>
      </c>
      <c r="BN194" t="e">
        <f>'All regions'!F4852+"n/&gt;!)&gt;8"</f>
        <v>#VALUE!</v>
      </c>
      <c r="BO194" t="e">
        <f>'All regions'!G4852+"n/&gt;!)&gt;9"</f>
        <v>#VALUE!</v>
      </c>
      <c r="BP194" t="e">
        <f>'All regions'!H4852+"n/&gt;!)&gt;:"</f>
        <v>#VALUE!</v>
      </c>
      <c r="BQ194" t="e">
        <f>'All regions'!I4852+"n/&gt;!)&gt;;"</f>
        <v>#VALUE!</v>
      </c>
      <c r="BR194" t="e">
        <f>'All regions'!J4852+"n/&gt;!)&gt;&lt;"</f>
        <v>#VALUE!</v>
      </c>
      <c r="BS194" t="e">
        <f>'All regions'!A4853+"n/&gt;!)&gt;="</f>
        <v>#VALUE!</v>
      </c>
      <c r="BT194" t="e">
        <f>'All regions'!B4853+"n/&gt;!)&gt;&gt;"</f>
        <v>#VALUE!</v>
      </c>
      <c r="BU194" t="e">
        <f>'All regions'!C4853+"n/&gt;!)&gt;?"</f>
        <v>#VALUE!</v>
      </c>
      <c r="BV194" t="e">
        <f>'All regions'!D4853+"n/&gt;!)&gt;@"</f>
        <v>#VALUE!</v>
      </c>
      <c r="BW194" t="e">
        <f>'All regions'!E4853+"n/&gt;!)&gt;A"</f>
        <v>#VALUE!</v>
      </c>
      <c r="BX194" t="e">
        <f>'All regions'!F4853+"n/&gt;!)&gt;B"</f>
        <v>#VALUE!</v>
      </c>
      <c r="BY194" t="e">
        <f>'All regions'!G4853+"n/&gt;!)&gt;C"</f>
        <v>#VALUE!</v>
      </c>
      <c r="BZ194" t="e">
        <f>'All regions'!H4853+"n/&gt;!)&gt;D"</f>
        <v>#VALUE!</v>
      </c>
      <c r="CA194" t="e">
        <f>'All regions'!I4853+"n/&gt;!)&gt;E"</f>
        <v>#VALUE!</v>
      </c>
      <c r="CB194" t="e">
        <f>'All regions'!J4853+"n/&gt;!)&gt;F"</f>
        <v>#VALUE!</v>
      </c>
      <c r="CC194" t="e">
        <f>'All regions'!A4854+"n/&gt;!)&gt;G"</f>
        <v>#VALUE!</v>
      </c>
      <c r="CD194" t="e">
        <f>'All regions'!B4854+"n/&gt;!)&gt;H"</f>
        <v>#VALUE!</v>
      </c>
      <c r="CE194" t="e">
        <f>'All regions'!C4854+"n/&gt;!)&gt;I"</f>
        <v>#VALUE!</v>
      </c>
      <c r="CF194" t="e">
        <f>'All regions'!D4854+"n/&gt;!)&gt;J"</f>
        <v>#VALUE!</v>
      </c>
      <c r="CG194" t="e">
        <f>'All regions'!E4854+"n/&gt;!)&gt;K"</f>
        <v>#VALUE!</v>
      </c>
      <c r="CH194" t="e">
        <f>'All regions'!F4854+"n/&gt;!)&gt;L"</f>
        <v>#VALUE!</v>
      </c>
      <c r="CI194" t="e">
        <f>'All regions'!G4854+"n/&gt;!)&gt;M"</f>
        <v>#VALUE!</v>
      </c>
      <c r="CJ194" t="e">
        <f>'All regions'!H4854+"n/&gt;!)&gt;N"</f>
        <v>#VALUE!</v>
      </c>
      <c r="CK194" t="e">
        <f>'All regions'!I4854+"n/&gt;!)&gt;O"</f>
        <v>#VALUE!</v>
      </c>
      <c r="CL194" t="e">
        <f>'All regions'!J4854+"n/&gt;!)&gt;P"</f>
        <v>#VALUE!</v>
      </c>
      <c r="CM194" t="e">
        <f>'All regions'!A4855+"n/&gt;!)&gt;Q"</f>
        <v>#VALUE!</v>
      </c>
      <c r="CN194" t="e">
        <f>'All regions'!B4855+"n/&gt;!)&gt;R"</f>
        <v>#VALUE!</v>
      </c>
      <c r="CO194" t="e">
        <f>'All regions'!C4855+"n/&gt;!)&gt;S"</f>
        <v>#VALUE!</v>
      </c>
      <c r="CP194" t="e">
        <f>'All regions'!D4855+"n/&gt;!)&gt;T"</f>
        <v>#VALUE!</v>
      </c>
      <c r="CQ194" t="e">
        <f>'All regions'!E4855+"n/&gt;!)&gt;U"</f>
        <v>#VALUE!</v>
      </c>
      <c r="CR194" t="e">
        <f>'All regions'!F4855+"n/&gt;!)&gt;V"</f>
        <v>#VALUE!</v>
      </c>
      <c r="CS194" t="e">
        <f>'All regions'!G4855+"n/&gt;!)&gt;W"</f>
        <v>#VALUE!</v>
      </c>
      <c r="CT194" t="e">
        <f>'All regions'!H4855+"n/&gt;!)&gt;X"</f>
        <v>#VALUE!</v>
      </c>
      <c r="CU194" t="e">
        <f>'All regions'!I4855+"n/&gt;!)&gt;Y"</f>
        <v>#VALUE!</v>
      </c>
      <c r="CV194" t="e">
        <f>'All regions'!J4855+"n/&gt;!)&gt;Z"</f>
        <v>#VALUE!</v>
      </c>
      <c r="CW194" t="e">
        <f>'All regions'!A4856+"n/&gt;!)&gt;["</f>
        <v>#VALUE!</v>
      </c>
      <c r="CX194" t="e">
        <f>'All regions'!B4856+"n/&gt;!)&gt;\"</f>
        <v>#VALUE!</v>
      </c>
      <c r="CY194" t="e">
        <f>'All regions'!C4856+"n/&gt;!)&gt;]"</f>
        <v>#VALUE!</v>
      </c>
      <c r="CZ194" t="e">
        <f>'All regions'!D4856+"n/&gt;!)&gt;^"</f>
        <v>#VALUE!</v>
      </c>
      <c r="DA194" t="e">
        <f>'All regions'!E4856+"n/&gt;!)&gt;_"</f>
        <v>#VALUE!</v>
      </c>
      <c r="DB194" t="e">
        <f>'All regions'!F4856+"n/&gt;!)&gt;`"</f>
        <v>#VALUE!</v>
      </c>
      <c r="DC194" t="e">
        <f>'All regions'!G4856+"n/&gt;!)&gt;a"</f>
        <v>#VALUE!</v>
      </c>
      <c r="DD194" t="e">
        <f>'All regions'!H4856+"n/&gt;!)&gt;b"</f>
        <v>#VALUE!</v>
      </c>
      <c r="DE194" t="e">
        <f>'All regions'!I4856+"n/&gt;!)&gt;c"</f>
        <v>#VALUE!</v>
      </c>
      <c r="DF194" t="e">
        <f>'All regions'!J4856+"n/&gt;!)&gt;d"</f>
        <v>#VALUE!</v>
      </c>
      <c r="DG194" t="e">
        <f>'All regions'!A4857+"n/&gt;!)&gt;e"</f>
        <v>#VALUE!</v>
      </c>
      <c r="DH194" t="e">
        <f>'All regions'!B4857+"n/&gt;!)&gt;f"</f>
        <v>#VALUE!</v>
      </c>
      <c r="DI194" t="e">
        <f>'All regions'!C4857+"n/&gt;!)&gt;g"</f>
        <v>#VALUE!</v>
      </c>
      <c r="DJ194" t="e">
        <f>'All regions'!D4857+"n/&gt;!)&gt;h"</f>
        <v>#VALUE!</v>
      </c>
      <c r="DK194" t="e">
        <f>'All regions'!E4857+"n/&gt;!)&gt;i"</f>
        <v>#VALUE!</v>
      </c>
      <c r="DL194" t="e">
        <f>'All regions'!F4857+"n/&gt;!)&gt;j"</f>
        <v>#VALUE!</v>
      </c>
      <c r="DM194" t="e">
        <f>'All regions'!G4857+"n/&gt;!)&gt;k"</f>
        <v>#VALUE!</v>
      </c>
      <c r="DN194" t="e">
        <f>'All regions'!H4857+"n/&gt;!)&gt;l"</f>
        <v>#VALUE!</v>
      </c>
      <c r="DO194" t="e">
        <f>'All regions'!I4857+"n/&gt;!)&gt;m"</f>
        <v>#VALUE!</v>
      </c>
      <c r="DP194" t="e">
        <f>'All regions'!J4857+"n/&gt;!)&gt;n"</f>
        <v>#VALUE!</v>
      </c>
      <c r="DQ194" t="e">
        <f>'All regions'!A4858+"n/&gt;!)&gt;o"</f>
        <v>#VALUE!</v>
      </c>
      <c r="DR194" t="e">
        <f>'All regions'!B4858+"n/&gt;!)&gt;p"</f>
        <v>#VALUE!</v>
      </c>
      <c r="DS194" t="e">
        <f>'All regions'!C4858+"n/&gt;!)&gt;q"</f>
        <v>#VALUE!</v>
      </c>
      <c r="DT194" t="e">
        <f>'All regions'!D4858+"n/&gt;!)&gt;r"</f>
        <v>#VALUE!</v>
      </c>
      <c r="DU194" t="e">
        <f>'All regions'!E4858+"n/&gt;!)&gt;s"</f>
        <v>#VALUE!</v>
      </c>
      <c r="DV194" t="e">
        <f>'All regions'!F4858+"n/&gt;!)&gt;t"</f>
        <v>#VALUE!</v>
      </c>
      <c r="DW194" t="e">
        <f>'All regions'!G4858+"n/&gt;!)&gt;u"</f>
        <v>#VALUE!</v>
      </c>
      <c r="DX194" t="e">
        <f>'All regions'!H4858+"n/&gt;!)&gt;v"</f>
        <v>#VALUE!</v>
      </c>
      <c r="DY194" t="e">
        <f>'All regions'!I4858+"n/&gt;!)&gt;w"</f>
        <v>#VALUE!</v>
      </c>
      <c r="DZ194" t="e">
        <f>'All regions'!J4858+"n/&gt;!)&gt;x"</f>
        <v>#VALUE!</v>
      </c>
      <c r="EA194" t="e">
        <f>'All regions'!A4859+"n/&gt;!)&gt;y"</f>
        <v>#VALUE!</v>
      </c>
      <c r="EB194" t="e">
        <f>'All regions'!B4859+"n/&gt;!)&gt;z"</f>
        <v>#VALUE!</v>
      </c>
      <c r="EC194" t="e">
        <f>'All regions'!C4859+"n/&gt;!)&gt;{"</f>
        <v>#VALUE!</v>
      </c>
      <c r="ED194" t="e">
        <f>'All regions'!D4859+"n/&gt;!)&gt;|"</f>
        <v>#VALUE!</v>
      </c>
      <c r="EE194" t="e">
        <f>'All regions'!E4859+"n/&gt;!)&gt;}"</f>
        <v>#VALUE!</v>
      </c>
      <c r="EF194" t="e">
        <f>'All regions'!F4859+"n/&gt;!)&gt;~"</f>
        <v>#VALUE!</v>
      </c>
      <c r="EG194" t="e">
        <f>'All regions'!G4859+"n/&gt;!)?#"</f>
        <v>#VALUE!</v>
      </c>
      <c r="EH194" t="e">
        <f>'All regions'!H4859+"n/&gt;!)?$"</f>
        <v>#VALUE!</v>
      </c>
      <c r="EI194" t="e">
        <f>'All regions'!I4859+"n/&gt;!)?%"</f>
        <v>#VALUE!</v>
      </c>
      <c r="EJ194" t="e">
        <f>'All regions'!J4859+"n/&gt;!)?&amp;"</f>
        <v>#VALUE!</v>
      </c>
      <c r="EK194" t="e">
        <f>'All regions'!A4860+"n/&gt;!)?'"</f>
        <v>#VALUE!</v>
      </c>
      <c r="EL194" t="e">
        <f>'All regions'!B4860+"n/&gt;!)?("</f>
        <v>#VALUE!</v>
      </c>
      <c r="EM194" t="e">
        <f>'All regions'!C4860+"n/&gt;!)?)"</f>
        <v>#VALUE!</v>
      </c>
      <c r="EN194" t="e">
        <f>'All regions'!D4860+"n/&gt;!)?."</f>
        <v>#VALUE!</v>
      </c>
      <c r="EO194" t="e">
        <f>'All regions'!E4860+"n/&gt;!)?/"</f>
        <v>#VALUE!</v>
      </c>
      <c r="EP194" t="e">
        <f>'All regions'!F4860+"n/&gt;!)?0"</f>
        <v>#VALUE!</v>
      </c>
      <c r="EQ194" t="e">
        <f>'All regions'!G4860+"n/&gt;!)?1"</f>
        <v>#VALUE!</v>
      </c>
      <c r="ER194" t="e">
        <f>'All regions'!H4860+"n/&gt;!)?2"</f>
        <v>#VALUE!</v>
      </c>
      <c r="ES194" t="e">
        <f>'All regions'!I4860+"n/&gt;!)?3"</f>
        <v>#VALUE!</v>
      </c>
      <c r="ET194" t="e">
        <f>'All regions'!J4860+"n/&gt;!)?4"</f>
        <v>#VALUE!</v>
      </c>
      <c r="EU194" t="e">
        <f>'All regions'!A4861+"n/&gt;!)?5"</f>
        <v>#VALUE!</v>
      </c>
      <c r="EV194" t="e">
        <f>'All regions'!B4861+"n/&gt;!)?6"</f>
        <v>#VALUE!</v>
      </c>
      <c r="EW194" t="e">
        <f>'All regions'!C4861+"n/&gt;!)?7"</f>
        <v>#VALUE!</v>
      </c>
      <c r="EX194" t="e">
        <f>'All regions'!D4861+"n/&gt;!)?8"</f>
        <v>#VALUE!</v>
      </c>
      <c r="EY194" t="e">
        <f>'All regions'!E4861+"n/&gt;!)?9"</f>
        <v>#VALUE!</v>
      </c>
      <c r="EZ194" t="e">
        <f>'All regions'!F4861+"n/&gt;!)?:"</f>
        <v>#VALUE!</v>
      </c>
      <c r="FA194" t="e">
        <f>'All regions'!G4861+"n/&gt;!)?;"</f>
        <v>#VALUE!</v>
      </c>
      <c r="FB194" t="e">
        <f>'All regions'!H4861+"n/&gt;!)?&lt;"</f>
        <v>#VALUE!</v>
      </c>
      <c r="FC194" t="e">
        <f>'All regions'!I4861+"n/&gt;!)?="</f>
        <v>#VALUE!</v>
      </c>
      <c r="FD194" t="e">
        <f>'All regions'!J4861+"n/&gt;!)?&gt;"</f>
        <v>#VALUE!</v>
      </c>
      <c r="FE194" t="e">
        <f>'All regions'!A4862+"n/&gt;!)??"</f>
        <v>#VALUE!</v>
      </c>
      <c r="FF194" t="e">
        <f>'All regions'!B4862+"n/&gt;!)?@"</f>
        <v>#VALUE!</v>
      </c>
      <c r="FG194" t="e">
        <f>'All regions'!C4862+"n/&gt;!)?A"</f>
        <v>#VALUE!</v>
      </c>
      <c r="FH194" t="e">
        <f>'All regions'!D4862+"n/&gt;!)?B"</f>
        <v>#VALUE!</v>
      </c>
      <c r="FI194" t="e">
        <f>'All regions'!E4862+"n/&gt;!)?C"</f>
        <v>#VALUE!</v>
      </c>
      <c r="FJ194" t="e">
        <f>'All regions'!F4862+"n/&gt;!)?D"</f>
        <v>#VALUE!</v>
      </c>
      <c r="FK194" t="e">
        <f>'All regions'!G4862+"n/&gt;!)?E"</f>
        <v>#VALUE!</v>
      </c>
      <c r="FL194" t="e">
        <f>'All regions'!H4862+"n/&gt;!)?F"</f>
        <v>#VALUE!</v>
      </c>
      <c r="FM194" t="e">
        <f>'All regions'!I4862+"n/&gt;!)?G"</f>
        <v>#VALUE!</v>
      </c>
      <c r="FN194" t="e">
        <f>'All regions'!J4862+"n/&gt;!)?H"</f>
        <v>#VALUE!</v>
      </c>
      <c r="FO194" t="e">
        <f>'All regions'!A4863+"n/&gt;!)?I"</f>
        <v>#VALUE!</v>
      </c>
      <c r="FP194" t="e">
        <f>'All regions'!B4863+"n/&gt;!)?J"</f>
        <v>#VALUE!</v>
      </c>
      <c r="FQ194" t="e">
        <f>'All regions'!C4863+"n/&gt;!)?K"</f>
        <v>#VALUE!</v>
      </c>
      <c r="FR194" t="e">
        <f>'All regions'!D4863+"n/&gt;!)?L"</f>
        <v>#VALUE!</v>
      </c>
      <c r="FS194" t="e">
        <f>'All regions'!E4863+"n/&gt;!)?M"</f>
        <v>#VALUE!</v>
      </c>
      <c r="FT194" t="e">
        <f>'All regions'!F4863+"n/&gt;!)?N"</f>
        <v>#VALUE!</v>
      </c>
      <c r="FU194" t="e">
        <f>'All regions'!G4863+"n/&gt;!)?O"</f>
        <v>#VALUE!</v>
      </c>
      <c r="FV194" t="e">
        <f>'All regions'!H4863+"n/&gt;!)?P"</f>
        <v>#VALUE!</v>
      </c>
      <c r="FW194" t="e">
        <f>'All regions'!I4863+"n/&gt;!)?Q"</f>
        <v>#VALUE!</v>
      </c>
      <c r="FX194" t="e">
        <f>'All regions'!J4863+"n/&gt;!)?R"</f>
        <v>#VALUE!</v>
      </c>
      <c r="FY194" t="e">
        <f>'All regions'!A4864+"n/&gt;!)?S"</f>
        <v>#VALUE!</v>
      </c>
      <c r="FZ194" t="e">
        <f>'All regions'!B4864+"n/&gt;!)?T"</f>
        <v>#VALUE!</v>
      </c>
      <c r="GA194" t="e">
        <f>'All regions'!C4864+"n/&gt;!)?U"</f>
        <v>#VALUE!</v>
      </c>
      <c r="GB194" t="e">
        <f>'All regions'!D4864+"n/&gt;!)?V"</f>
        <v>#VALUE!</v>
      </c>
      <c r="GC194" t="e">
        <f>'All regions'!E4864+"n/&gt;!)?W"</f>
        <v>#VALUE!</v>
      </c>
      <c r="GD194" t="e">
        <f>'All regions'!F4864+"n/&gt;!)?X"</f>
        <v>#VALUE!</v>
      </c>
      <c r="GE194" t="e">
        <f>'All regions'!G4864+"n/&gt;!)?Y"</f>
        <v>#VALUE!</v>
      </c>
      <c r="GF194" t="e">
        <f>'All regions'!H4864+"n/&gt;!)?Z"</f>
        <v>#VALUE!</v>
      </c>
      <c r="GG194" t="e">
        <f>'All regions'!I4864+"n/&gt;!)?["</f>
        <v>#VALUE!</v>
      </c>
      <c r="GH194" t="e">
        <f>'All regions'!J4864+"n/&gt;!)?\"</f>
        <v>#VALUE!</v>
      </c>
      <c r="GI194" t="e">
        <f>'All regions'!A4865+"n/&gt;!)?]"</f>
        <v>#VALUE!</v>
      </c>
      <c r="GJ194" t="e">
        <f>'All regions'!B4865+"n/&gt;!)?^"</f>
        <v>#VALUE!</v>
      </c>
      <c r="GK194" t="e">
        <f>'All regions'!C4865+"n/&gt;!)?_"</f>
        <v>#VALUE!</v>
      </c>
      <c r="GL194" t="e">
        <f>'All regions'!D4865+"n/&gt;!)?`"</f>
        <v>#VALUE!</v>
      </c>
      <c r="GM194" t="e">
        <f>'All regions'!E4865+"n/&gt;!)?a"</f>
        <v>#VALUE!</v>
      </c>
      <c r="GN194" t="e">
        <f>'All regions'!F4865+"n/&gt;!)?b"</f>
        <v>#VALUE!</v>
      </c>
      <c r="GO194" t="e">
        <f>'All regions'!G4865+"n/&gt;!)?c"</f>
        <v>#VALUE!</v>
      </c>
      <c r="GP194" t="e">
        <f>'All regions'!H4865+"n/&gt;!)?d"</f>
        <v>#VALUE!</v>
      </c>
      <c r="GQ194" t="e">
        <f>'All regions'!I4865+"n/&gt;!)?e"</f>
        <v>#VALUE!</v>
      </c>
      <c r="GR194" t="e">
        <f>'All regions'!J4865+"n/&gt;!)?f"</f>
        <v>#VALUE!</v>
      </c>
      <c r="GS194" t="e">
        <f>'All regions'!A4866+"n/&gt;!)?g"</f>
        <v>#VALUE!</v>
      </c>
      <c r="GT194" t="e">
        <f>'All regions'!B4866+"n/&gt;!)?h"</f>
        <v>#VALUE!</v>
      </c>
      <c r="GU194" t="e">
        <f>'All regions'!C4866+"n/&gt;!)?i"</f>
        <v>#VALUE!</v>
      </c>
      <c r="GV194" t="e">
        <f>'All regions'!D4866+"n/&gt;!)?j"</f>
        <v>#VALUE!</v>
      </c>
      <c r="GW194" t="e">
        <f>'All regions'!E4866+"n/&gt;!)?k"</f>
        <v>#VALUE!</v>
      </c>
      <c r="GX194" t="e">
        <f>'All regions'!F4866+"n/&gt;!)?l"</f>
        <v>#VALUE!</v>
      </c>
      <c r="GY194" t="e">
        <f>'All regions'!G4866+"n/&gt;!)?m"</f>
        <v>#VALUE!</v>
      </c>
      <c r="GZ194" t="e">
        <f>'All regions'!H4866+"n/&gt;!)?n"</f>
        <v>#VALUE!</v>
      </c>
      <c r="HA194" t="e">
        <f>'All regions'!I4866+"n/&gt;!)?o"</f>
        <v>#VALUE!</v>
      </c>
      <c r="HB194" t="e">
        <f>'All regions'!J4866+"n/&gt;!)?p"</f>
        <v>#VALUE!</v>
      </c>
      <c r="HC194" t="e">
        <f>'All regions'!A4867+"n/&gt;!)?q"</f>
        <v>#VALUE!</v>
      </c>
      <c r="HD194" t="e">
        <f>'All regions'!B4867+"n/&gt;!)?r"</f>
        <v>#VALUE!</v>
      </c>
      <c r="HE194" t="e">
        <f>'All regions'!C4867+"n/&gt;!)?s"</f>
        <v>#VALUE!</v>
      </c>
      <c r="HF194" t="e">
        <f>'All regions'!D4867+"n/&gt;!)?t"</f>
        <v>#VALUE!</v>
      </c>
      <c r="HG194" t="e">
        <f>'All regions'!E4867+"n/&gt;!)?u"</f>
        <v>#VALUE!</v>
      </c>
      <c r="HH194" t="e">
        <f>'All regions'!F4867+"n/&gt;!)?v"</f>
        <v>#VALUE!</v>
      </c>
      <c r="HI194" t="e">
        <f>'All regions'!G4867+"n/&gt;!)?w"</f>
        <v>#VALUE!</v>
      </c>
      <c r="HJ194" t="e">
        <f>'All regions'!H4867+"n/&gt;!)?x"</f>
        <v>#VALUE!</v>
      </c>
      <c r="HK194" t="e">
        <f>'All regions'!I4867+"n/&gt;!)?y"</f>
        <v>#VALUE!</v>
      </c>
      <c r="HL194" t="e">
        <f>'All regions'!J4867+"n/&gt;!)?z"</f>
        <v>#VALUE!</v>
      </c>
      <c r="HM194" t="e">
        <f>'All regions'!A4868+"n/&gt;!)?{"</f>
        <v>#VALUE!</v>
      </c>
      <c r="HN194" t="e">
        <f>'All regions'!B4868+"n/&gt;!)?|"</f>
        <v>#VALUE!</v>
      </c>
      <c r="HO194" t="e">
        <f>'All regions'!C4868+"n/&gt;!)?}"</f>
        <v>#VALUE!</v>
      </c>
      <c r="HP194" t="e">
        <f>'All regions'!D4868+"n/&gt;!)?~"</f>
        <v>#VALUE!</v>
      </c>
      <c r="HQ194" t="e">
        <f>'All regions'!E4868+"n/&gt;!)@#"</f>
        <v>#VALUE!</v>
      </c>
      <c r="HR194" t="e">
        <f>'All regions'!F4868+"n/&gt;!)@$"</f>
        <v>#VALUE!</v>
      </c>
      <c r="HS194" t="e">
        <f>'All regions'!G4868+"n/&gt;!)@%"</f>
        <v>#VALUE!</v>
      </c>
      <c r="HT194" t="e">
        <f>'All regions'!H4868+"n/&gt;!)@&amp;"</f>
        <v>#VALUE!</v>
      </c>
      <c r="HU194" t="e">
        <f>'All regions'!I4868+"n/&gt;!)@'"</f>
        <v>#VALUE!</v>
      </c>
      <c r="HV194" t="e">
        <f>'All regions'!J4868+"n/&gt;!)@("</f>
        <v>#VALUE!</v>
      </c>
      <c r="HW194" t="e">
        <f>'All regions'!A4869+"n/&gt;!)@)"</f>
        <v>#VALUE!</v>
      </c>
      <c r="HX194" t="e">
        <f>'All regions'!B4869+"n/&gt;!)@."</f>
        <v>#VALUE!</v>
      </c>
      <c r="HY194" t="e">
        <f>'All regions'!C4869+"n/&gt;!)@/"</f>
        <v>#VALUE!</v>
      </c>
      <c r="HZ194" t="e">
        <f>'All regions'!D4869+"n/&gt;!)@0"</f>
        <v>#VALUE!</v>
      </c>
      <c r="IA194" t="e">
        <f>'All regions'!E4869+"n/&gt;!)@1"</f>
        <v>#VALUE!</v>
      </c>
      <c r="IB194" t="e">
        <f>'All regions'!F4869+"n/&gt;!)@2"</f>
        <v>#VALUE!</v>
      </c>
      <c r="IC194" t="e">
        <f>'All regions'!G4869+"n/&gt;!)@3"</f>
        <v>#VALUE!</v>
      </c>
      <c r="ID194" t="e">
        <f>'All regions'!H4869+"n/&gt;!)@4"</f>
        <v>#VALUE!</v>
      </c>
      <c r="IE194" t="e">
        <f>'All regions'!I4869+"n/&gt;!)@5"</f>
        <v>#VALUE!</v>
      </c>
      <c r="IF194" t="e">
        <f>'All regions'!J4869+"n/&gt;!)@6"</f>
        <v>#VALUE!</v>
      </c>
      <c r="IG194" t="e">
        <f>'All regions'!A4870+"n/&gt;!)@7"</f>
        <v>#VALUE!</v>
      </c>
      <c r="IH194" t="e">
        <f>'All regions'!B4870+"n/&gt;!)@8"</f>
        <v>#VALUE!</v>
      </c>
      <c r="II194" t="e">
        <f>'All regions'!C4870+"n/&gt;!)@9"</f>
        <v>#VALUE!</v>
      </c>
      <c r="IJ194" t="e">
        <f>'All regions'!D4870+"n/&gt;!)@:"</f>
        <v>#VALUE!</v>
      </c>
      <c r="IK194" t="e">
        <f>'All regions'!E4870+"n/&gt;!)@;"</f>
        <v>#VALUE!</v>
      </c>
      <c r="IL194" t="e">
        <f>'All regions'!F4870+"n/&gt;!)@&lt;"</f>
        <v>#VALUE!</v>
      </c>
      <c r="IM194" t="e">
        <f>'All regions'!G4870+"n/&gt;!)@="</f>
        <v>#VALUE!</v>
      </c>
      <c r="IN194" t="e">
        <f>'All regions'!H4870+"n/&gt;!)@&gt;"</f>
        <v>#VALUE!</v>
      </c>
      <c r="IO194" t="e">
        <f>'All regions'!I4870+"n/&gt;!)@?"</f>
        <v>#VALUE!</v>
      </c>
      <c r="IP194" t="e">
        <f>'All regions'!J4870+"n/&gt;!)@@"</f>
        <v>#VALUE!</v>
      </c>
      <c r="IQ194" t="e">
        <f>'All regions'!A4871+"n/&gt;!)@A"</f>
        <v>#VALUE!</v>
      </c>
      <c r="IR194" t="e">
        <f>'All regions'!B4871+"n/&gt;!)@B"</f>
        <v>#VALUE!</v>
      </c>
      <c r="IS194" t="e">
        <f>'All regions'!C4871+"n/&gt;!)@C"</f>
        <v>#VALUE!</v>
      </c>
      <c r="IT194" t="e">
        <f>'All regions'!D4871+"n/&gt;!)@D"</f>
        <v>#VALUE!</v>
      </c>
      <c r="IU194" t="e">
        <f>'All regions'!E4871+"n/&gt;!)@E"</f>
        <v>#VALUE!</v>
      </c>
      <c r="IV194" t="e">
        <f>'All regions'!F4871+"n/&gt;!)@F"</f>
        <v>#VALUE!</v>
      </c>
    </row>
    <row r="195" spans="6:256" x14ac:dyDescent="0.35">
      <c r="F195" t="e">
        <f>'All regions'!G4871+"n/&gt;!)@G"</f>
        <v>#VALUE!</v>
      </c>
      <c r="G195" t="e">
        <f>'All regions'!H4871+"n/&gt;!)@H"</f>
        <v>#VALUE!</v>
      </c>
      <c r="H195" t="e">
        <f>'All regions'!I4871+"n/&gt;!)@I"</f>
        <v>#VALUE!</v>
      </c>
      <c r="I195" t="e">
        <f>'All regions'!J4871+"n/&gt;!)@J"</f>
        <v>#VALUE!</v>
      </c>
      <c r="J195" t="e">
        <f>'All regions'!A4872+"n/&gt;!)@K"</f>
        <v>#VALUE!</v>
      </c>
      <c r="K195" t="e">
        <f>'All regions'!B4872+"n/&gt;!)@L"</f>
        <v>#VALUE!</v>
      </c>
      <c r="L195" t="e">
        <f>'All regions'!C4872+"n/&gt;!)@M"</f>
        <v>#VALUE!</v>
      </c>
      <c r="M195" t="e">
        <f>'All regions'!D4872+"n/&gt;!)@N"</f>
        <v>#VALUE!</v>
      </c>
      <c r="N195" t="e">
        <f>'All regions'!E4872+"n/&gt;!)@O"</f>
        <v>#VALUE!</v>
      </c>
      <c r="O195" t="e">
        <f>'All regions'!F4872+"n/&gt;!)@P"</f>
        <v>#VALUE!</v>
      </c>
      <c r="P195" t="e">
        <f>'All regions'!G4872+"n/&gt;!)@Q"</f>
        <v>#VALUE!</v>
      </c>
      <c r="Q195" t="e">
        <f>'All regions'!H4872+"n/&gt;!)@R"</f>
        <v>#VALUE!</v>
      </c>
      <c r="R195" t="e">
        <f>'All regions'!I4872+"n/&gt;!)@S"</f>
        <v>#VALUE!</v>
      </c>
      <c r="S195" t="e">
        <f>'All regions'!J4872+"n/&gt;!)@T"</f>
        <v>#VALUE!</v>
      </c>
      <c r="T195" t="e">
        <f>'All regions'!A4873+"n/&gt;!)@U"</f>
        <v>#VALUE!</v>
      </c>
      <c r="U195" t="e">
        <f>'All regions'!B4873+"n/&gt;!)@V"</f>
        <v>#VALUE!</v>
      </c>
      <c r="V195" t="e">
        <f>'All regions'!C4873+"n/&gt;!)@W"</f>
        <v>#VALUE!</v>
      </c>
      <c r="W195" t="e">
        <f>'All regions'!D4873+"n/&gt;!)@X"</f>
        <v>#VALUE!</v>
      </c>
      <c r="X195" t="e">
        <f>'All regions'!E4873+"n/&gt;!)@Y"</f>
        <v>#VALUE!</v>
      </c>
      <c r="Y195" t="e">
        <f>'All regions'!F4873+"n/&gt;!)@Z"</f>
        <v>#VALUE!</v>
      </c>
      <c r="Z195" t="e">
        <f>'All regions'!G4873+"n/&gt;!)@["</f>
        <v>#VALUE!</v>
      </c>
      <c r="AA195" t="e">
        <f>'All regions'!H4873+"n/&gt;!)@\"</f>
        <v>#VALUE!</v>
      </c>
      <c r="AB195" t="e">
        <f>'All regions'!I4873+"n/&gt;!)@]"</f>
        <v>#VALUE!</v>
      </c>
      <c r="AC195" t="e">
        <f>'All regions'!J4873+"n/&gt;!)@^"</f>
        <v>#VALUE!</v>
      </c>
      <c r="AD195" t="e">
        <f>'All regions'!A4874+"n/&gt;!)@_"</f>
        <v>#VALUE!</v>
      </c>
      <c r="AE195" t="e">
        <f>'All regions'!B4874+"n/&gt;!)@`"</f>
        <v>#VALUE!</v>
      </c>
      <c r="AF195" t="e">
        <f>'All regions'!C4874+"n/&gt;!)@a"</f>
        <v>#VALUE!</v>
      </c>
      <c r="AG195" t="e">
        <f>'All regions'!D4874+"n/&gt;!)@b"</f>
        <v>#VALUE!</v>
      </c>
      <c r="AH195" t="e">
        <f>'All regions'!E4874+"n/&gt;!)@c"</f>
        <v>#VALUE!</v>
      </c>
      <c r="AI195" t="e">
        <f>'All regions'!F4874+"n/&gt;!)@d"</f>
        <v>#VALUE!</v>
      </c>
      <c r="AJ195" t="e">
        <f>'All regions'!G4874+"n/&gt;!)@e"</f>
        <v>#VALUE!</v>
      </c>
      <c r="AK195" t="e">
        <f>'All regions'!H4874+"n/&gt;!)@f"</f>
        <v>#VALUE!</v>
      </c>
      <c r="AL195" t="e">
        <f>'All regions'!I4874+"n/&gt;!)@g"</f>
        <v>#VALUE!</v>
      </c>
      <c r="AM195" t="e">
        <f>'All regions'!J4874+"n/&gt;!)@h"</f>
        <v>#VALUE!</v>
      </c>
      <c r="AN195" t="e">
        <f>'All regions'!A4875+"n/&gt;!)@i"</f>
        <v>#VALUE!</v>
      </c>
      <c r="AO195" t="e">
        <f>'All regions'!B4875+"n/&gt;!)@j"</f>
        <v>#VALUE!</v>
      </c>
      <c r="AP195" t="e">
        <f>'All regions'!C4875+"n/&gt;!)@k"</f>
        <v>#VALUE!</v>
      </c>
      <c r="AQ195" t="e">
        <f>'All regions'!D4875+"n/&gt;!)@l"</f>
        <v>#VALUE!</v>
      </c>
      <c r="AR195" t="e">
        <f>'All regions'!E4875+"n/&gt;!)@m"</f>
        <v>#VALUE!</v>
      </c>
      <c r="AS195" t="e">
        <f>'All regions'!F4875+"n/&gt;!)@n"</f>
        <v>#VALUE!</v>
      </c>
      <c r="AT195" t="e">
        <f>'All regions'!G4875+"n/&gt;!)@o"</f>
        <v>#VALUE!</v>
      </c>
      <c r="AU195" t="e">
        <f>'All regions'!H4875+"n/&gt;!)@p"</f>
        <v>#VALUE!</v>
      </c>
      <c r="AV195" t="e">
        <f>'All regions'!I4875+"n/&gt;!)@q"</f>
        <v>#VALUE!</v>
      </c>
      <c r="AW195" t="e">
        <f>'All regions'!J4875+"n/&gt;!)@r"</f>
        <v>#VALUE!</v>
      </c>
      <c r="AX195" t="e">
        <f>'All regions'!A4876+"n/&gt;!)@s"</f>
        <v>#VALUE!</v>
      </c>
      <c r="AY195" t="e">
        <f>'All regions'!B4876+"n/&gt;!)@t"</f>
        <v>#VALUE!</v>
      </c>
      <c r="AZ195" t="e">
        <f>'All regions'!C4876+"n/&gt;!)@u"</f>
        <v>#VALUE!</v>
      </c>
      <c r="BA195" t="e">
        <f>'All regions'!D4876+"n/&gt;!)@v"</f>
        <v>#VALUE!</v>
      </c>
      <c r="BB195" t="e">
        <f>'All regions'!E4876+"n/&gt;!)@w"</f>
        <v>#VALUE!</v>
      </c>
      <c r="BC195" t="e">
        <f>'All regions'!F4876+"n/&gt;!)@x"</f>
        <v>#VALUE!</v>
      </c>
      <c r="BD195" t="e">
        <f>'All regions'!G4876+"n/&gt;!)@y"</f>
        <v>#VALUE!</v>
      </c>
      <c r="BE195" t="e">
        <f>'All regions'!H4876+"n/&gt;!)@z"</f>
        <v>#VALUE!</v>
      </c>
      <c r="BF195" t="e">
        <f>'All regions'!I4876+"n/&gt;!)@{"</f>
        <v>#VALUE!</v>
      </c>
      <c r="BG195" t="e">
        <f>'All regions'!J4876+"n/&gt;!)@|"</f>
        <v>#VALUE!</v>
      </c>
      <c r="BH195" t="e">
        <f>'All regions'!A4877+"n/&gt;!)@}"</f>
        <v>#VALUE!</v>
      </c>
      <c r="BI195" t="e">
        <f>'All regions'!B4877+"n/&gt;!)@~"</f>
        <v>#VALUE!</v>
      </c>
      <c r="BJ195" t="e">
        <f>'All regions'!C4877+"n/&gt;!)A#"</f>
        <v>#VALUE!</v>
      </c>
      <c r="BK195" t="e">
        <f>'All regions'!D4877+"n/&gt;!)A$"</f>
        <v>#VALUE!</v>
      </c>
      <c r="BL195" t="e">
        <f>'All regions'!E4877+"n/&gt;!)A%"</f>
        <v>#VALUE!</v>
      </c>
      <c r="BM195" t="e">
        <f>'All regions'!F4877+"n/&gt;!)A&amp;"</f>
        <v>#VALUE!</v>
      </c>
      <c r="BN195" t="e">
        <f>'All regions'!G4877+"n/&gt;!)A'"</f>
        <v>#VALUE!</v>
      </c>
      <c r="BO195" t="e">
        <f>'All regions'!H4877+"n/&gt;!)A("</f>
        <v>#VALUE!</v>
      </c>
      <c r="BP195" t="e">
        <f>'All regions'!I4877+"n/&gt;!)A)"</f>
        <v>#VALUE!</v>
      </c>
      <c r="BQ195" t="e">
        <f>'All regions'!J4877+"n/&gt;!)A."</f>
        <v>#VALUE!</v>
      </c>
      <c r="BR195" t="e">
        <f>'All regions'!A4878+"n/&gt;!)A/"</f>
        <v>#VALUE!</v>
      </c>
      <c r="BS195" t="e">
        <f>'All regions'!B4878+"n/&gt;!)A0"</f>
        <v>#VALUE!</v>
      </c>
      <c r="BT195" t="e">
        <f>'All regions'!C4878+"n/&gt;!)A1"</f>
        <v>#VALUE!</v>
      </c>
      <c r="BU195" t="e">
        <f>'All regions'!D4878+"n/&gt;!)A2"</f>
        <v>#VALUE!</v>
      </c>
      <c r="BV195" t="e">
        <f>'All regions'!E4878+"n/&gt;!)A3"</f>
        <v>#VALUE!</v>
      </c>
      <c r="BW195" t="e">
        <f>'All regions'!F4878+"n/&gt;!)A4"</f>
        <v>#VALUE!</v>
      </c>
      <c r="BX195" t="e">
        <f>'All regions'!G4878+"n/&gt;!)A5"</f>
        <v>#VALUE!</v>
      </c>
      <c r="BY195" t="e">
        <f>'All regions'!H4878+"n/&gt;!)A6"</f>
        <v>#VALUE!</v>
      </c>
      <c r="BZ195" t="e">
        <f>'All regions'!I4878+"n/&gt;!)A7"</f>
        <v>#VALUE!</v>
      </c>
      <c r="CA195" t="e">
        <f>'All regions'!J4878+"n/&gt;!)A8"</f>
        <v>#VALUE!</v>
      </c>
      <c r="CB195" t="e">
        <f>'All regions'!A4879+"n/&gt;!)A9"</f>
        <v>#VALUE!</v>
      </c>
      <c r="CC195" t="e">
        <f>'All regions'!B4879+"n/&gt;!)A:"</f>
        <v>#VALUE!</v>
      </c>
      <c r="CD195" t="e">
        <f>'All regions'!C4879+"n/&gt;!)A;"</f>
        <v>#VALUE!</v>
      </c>
      <c r="CE195" t="e">
        <f>'All regions'!D4879+"n/&gt;!)A&lt;"</f>
        <v>#VALUE!</v>
      </c>
      <c r="CF195" t="e">
        <f>'All regions'!E4879+"n/&gt;!)A="</f>
        <v>#VALUE!</v>
      </c>
      <c r="CG195" t="e">
        <f>'All regions'!F4879+"n/&gt;!)A&gt;"</f>
        <v>#VALUE!</v>
      </c>
      <c r="CH195" t="e">
        <f>'All regions'!G4879+"n/&gt;!)A?"</f>
        <v>#VALUE!</v>
      </c>
      <c r="CI195" t="e">
        <f>'All regions'!H4879+"n/&gt;!)A@"</f>
        <v>#VALUE!</v>
      </c>
      <c r="CJ195" t="e">
        <f>'All regions'!I4879+"n/&gt;!)AA"</f>
        <v>#VALUE!</v>
      </c>
      <c r="CK195" t="e">
        <f>'All regions'!J4879+"n/&gt;!)AB"</f>
        <v>#VALUE!</v>
      </c>
      <c r="CL195" t="e">
        <f>'All regions'!A4880+"n/&gt;!)AC"</f>
        <v>#VALUE!</v>
      </c>
      <c r="CM195" t="e">
        <f>'All regions'!B4880+"n/&gt;!)AD"</f>
        <v>#VALUE!</v>
      </c>
      <c r="CN195" t="e">
        <f>'All regions'!C4880+"n/&gt;!)AE"</f>
        <v>#VALUE!</v>
      </c>
      <c r="CO195" t="e">
        <f>'All regions'!D4880+"n/&gt;!)AF"</f>
        <v>#VALUE!</v>
      </c>
      <c r="CP195" t="e">
        <f>'All regions'!E4880+"n/&gt;!)AG"</f>
        <v>#VALUE!</v>
      </c>
      <c r="CQ195" t="e">
        <f>'All regions'!F4880+"n/&gt;!)AH"</f>
        <v>#VALUE!</v>
      </c>
      <c r="CR195" t="e">
        <f>'All regions'!G4880+"n/&gt;!)AI"</f>
        <v>#VALUE!</v>
      </c>
      <c r="CS195" t="e">
        <f>'All regions'!H4880+"n/&gt;!)AJ"</f>
        <v>#VALUE!</v>
      </c>
      <c r="CT195" t="e">
        <f>'All regions'!I4880+"n/&gt;!)AK"</f>
        <v>#VALUE!</v>
      </c>
      <c r="CU195" t="e">
        <f>'All regions'!J4880+"n/&gt;!)AL"</f>
        <v>#VALUE!</v>
      </c>
      <c r="CV195" t="e">
        <f>'All regions'!A4881+"n/&gt;!)AM"</f>
        <v>#VALUE!</v>
      </c>
      <c r="CW195" t="e">
        <f>'All regions'!B4881+"n/&gt;!)AN"</f>
        <v>#VALUE!</v>
      </c>
      <c r="CX195" t="e">
        <f>'All regions'!C4881+"n/&gt;!)AO"</f>
        <v>#VALUE!</v>
      </c>
      <c r="CY195" t="e">
        <f>'All regions'!D4881+"n/&gt;!)AP"</f>
        <v>#VALUE!</v>
      </c>
      <c r="CZ195" t="e">
        <f>'All regions'!E4881+"n/&gt;!)AQ"</f>
        <v>#VALUE!</v>
      </c>
      <c r="DA195" t="e">
        <f>'All regions'!F4881+"n/&gt;!)AR"</f>
        <v>#VALUE!</v>
      </c>
      <c r="DB195" t="e">
        <f>'All regions'!G4881+"n/&gt;!)AS"</f>
        <v>#VALUE!</v>
      </c>
      <c r="DC195" t="e">
        <f>'All regions'!H4881+"n/&gt;!)AT"</f>
        <v>#VALUE!</v>
      </c>
      <c r="DD195" t="e">
        <f>'All regions'!I4881+"n/&gt;!)AU"</f>
        <v>#VALUE!</v>
      </c>
      <c r="DE195" t="e">
        <f>'All regions'!J4881+"n/&gt;!)AV"</f>
        <v>#VALUE!</v>
      </c>
      <c r="DF195" t="e">
        <f>'All regions'!A4882+"n/&gt;!)AW"</f>
        <v>#VALUE!</v>
      </c>
      <c r="DG195" t="e">
        <f>'All regions'!B4882+"n/&gt;!)AX"</f>
        <v>#VALUE!</v>
      </c>
      <c r="DH195" t="e">
        <f>'All regions'!C4882+"n/&gt;!)AY"</f>
        <v>#VALUE!</v>
      </c>
      <c r="DI195" t="e">
        <f>'All regions'!D4882+"n/&gt;!)AZ"</f>
        <v>#VALUE!</v>
      </c>
      <c r="DJ195" t="e">
        <f>'All regions'!E4882+"n/&gt;!)A["</f>
        <v>#VALUE!</v>
      </c>
      <c r="DK195" t="e">
        <f>'All regions'!F4882+"n/&gt;!)A\"</f>
        <v>#VALUE!</v>
      </c>
      <c r="DL195" t="e">
        <f>'All regions'!G4882+"n/&gt;!)A]"</f>
        <v>#VALUE!</v>
      </c>
      <c r="DM195" t="e">
        <f>'All regions'!H4882+"n/&gt;!)A^"</f>
        <v>#VALUE!</v>
      </c>
      <c r="DN195" t="e">
        <f>'All regions'!I4882+"n/&gt;!)A_"</f>
        <v>#VALUE!</v>
      </c>
      <c r="DO195" t="e">
        <f>'All regions'!J4882+"n/&gt;!)A`"</f>
        <v>#VALUE!</v>
      </c>
      <c r="DP195" t="e">
        <f>'All regions'!A4883+"n/&gt;!)Aa"</f>
        <v>#VALUE!</v>
      </c>
      <c r="DQ195" t="e">
        <f>'All regions'!B4883+"n/&gt;!)Ab"</f>
        <v>#VALUE!</v>
      </c>
      <c r="DR195" t="e">
        <f>'All regions'!C4883+"n/&gt;!)Ac"</f>
        <v>#VALUE!</v>
      </c>
      <c r="DS195" t="e">
        <f>'All regions'!D4883+"n/&gt;!)Ad"</f>
        <v>#VALUE!</v>
      </c>
      <c r="DT195" t="e">
        <f>'All regions'!E4883+"n/&gt;!)Ae"</f>
        <v>#VALUE!</v>
      </c>
      <c r="DU195" t="e">
        <f>'All regions'!F4883+"n/&gt;!)Af"</f>
        <v>#VALUE!</v>
      </c>
      <c r="DV195" t="e">
        <f>'All regions'!G4883+"n/&gt;!)Ag"</f>
        <v>#VALUE!</v>
      </c>
      <c r="DW195" t="e">
        <f>'All regions'!H4883+"n/&gt;!)Ah"</f>
        <v>#VALUE!</v>
      </c>
      <c r="DX195" t="e">
        <f>'All regions'!I4883+"n/&gt;!)Ai"</f>
        <v>#VALUE!</v>
      </c>
      <c r="DY195" t="e">
        <f>'All regions'!J4883+"n/&gt;!)Aj"</f>
        <v>#VALUE!</v>
      </c>
      <c r="DZ195" t="e">
        <f>'All regions'!A4884+"n/&gt;!)Ak"</f>
        <v>#VALUE!</v>
      </c>
      <c r="EA195" t="e">
        <f>'All regions'!B4884+"n/&gt;!)Al"</f>
        <v>#VALUE!</v>
      </c>
      <c r="EB195" t="e">
        <f>'All regions'!C4884+"n/&gt;!)Am"</f>
        <v>#VALUE!</v>
      </c>
      <c r="EC195" t="e">
        <f>'All regions'!D4884+"n/&gt;!)An"</f>
        <v>#VALUE!</v>
      </c>
      <c r="ED195" t="e">
        <f>'All regions'!E4884+"n/&gt;!)Ao"</f>
        <v>#VALUE!</v>
      </c>
      <c r="EE195" t="e">
        <f>'All regions'!F4884+"n/&gt;!)Ap"</f>
        <v>#VALUE!</v>
      </c>
      <c r="EF195" t="e">
        <f>'All regions'!G4884+"n/&gt;!)Aq"</f>
        <v>#VALUE!</v>
      </c>
      <c r="EG195" t="e">
        <f>'All regions'!H4884+"n/&gt;!)Ar"</f>
        <v>#VALUE!</v>
      </c>
      <c r="EH195" t="e">
        <f>'All regions'!I4884+"n/&gt;!)As"</f>
        <v>#VALUE!</v>
      </c>
      <c r="EI195" t="e">
        <f>'All regions'!J4884+"n/&gt;!)At"</f>
        <v>#VALUE!</v>
      </c>
      <c r="EJ195" t="e">
        <f>'All regions'!A4885+"n/&gt;!)Au"</f>
        <v>#VALUE!</v>
      </c>
      <c r="EK195" t="e">
        <f>'All regions'!B4885+"n/&gt;!)Av"</f>
        <v>#VALUE!</v>
      </c>
      <c r="EL195" t="e">
        <f>'All regions'!C4885+"n/&gt;!)Aw"</f>
        <v>#VALUE!</v>
      </c>
      <c r="EM195" t="e">
        <f>'All regions'!D4885+"n/&gt;!)Ax"</f>
        <v>#VALUE!</v>
      </c>
      <c r="EN195" t="e">
        <f>'All regions'!E4885+"n/&gt;!)Ay"</f>
        <v>#VALUE!</v>
      </c>
      <c r="EO195" t="e">
        <f>'All regions'!F4885+"n/&gt;!)Az"</f>
        <v>#VALUE!</v>
      </c>
      <c r="EP195" t="e">
        <f>'All regions'!G4885+"n/&gt;!)A{"</f>
        <v>#VALUE!</v>
      </c>
      <c r="EQ195" t="e">
        <f>'All regions'!H4885+"n/&gt;!)A|"</f>
        <v>#VALUE!</v>
      </c>
      <c r="ER195" t="e">
        <f>'All regions'!I4885+"n/&gt;!)A}"</f>
        <v>#VALUE!</v>
      </c>
      <c r="ES195" t="e">
        <f>'All regions'!J4885+"n/&gt;!)A~"</f>
        <v>#VALUE!</v>
      </c>
      <c r="ET195" t="e">
        <f>'All regions'!A4886+"n/&gt;!)B#"</f>
        <v>#VALUE!</v>
      </c>
      <c r="EU195" t="e">
        <f>'All regions'!B4886+"n/&gt;!)B$"</f>
        <v>#VALUE!</v>
      </c>
      <c r="EV195" t="e">
        <f>'All regions'!C4886+"n/&gt;!)B%"</f>
        <v>#VALUE!</v>
      </c>
      <c r="EW195" t="e">
        <f>'All regions'!D4886+"n/&gt;!)B&amp;"</f>
        <v>#VALUE!</v>
      </c>
      <c r="EX195" t="e">
        <f>'All regions'!E4886+"n/&gt;!)B'"</f>
        <v>#VALUE!</v>
      </c>
      <c r="EY195" t="e">
        <f>'All regions'!F4886+"n/&gt;!)B("</f>
        <v>#VALUE!</v>
      </c>
      <c r="EZ195" t="e">
        <f>'All regions'!G4886+"n/&gt;!)B)"</f>
        <v>#VALUE!</v>
      </c>
      <c r="FA195" t="e">
        <f>'All regions'!H4886+"n/&gt;!)B."</f>
        <v>#VALUE!</v>
      </c>
      <c r="FB195" t="e">
        <f>'All regions'!I4886+"n/&gt;!)B/"</f>
        <v>#VALUE!</v>
      </c>
      <c r="FC195" t="e">
        <f>'All regions'!J4886+"n/&gt;!)B0"</f>
        <v>#VALUE!</v>
      </c>
      <c r="FD195" t="e">
        <f>'All regions'!A4887+"n/&gt;!)B1"</f>
        <v>#VALUE!</v>
      </c>
      <c r="FE195" t="e">
        <f>'All regions'!B4887+"n/&gt;!)B2"</f>
        <v>#VALUE!</v>
      </c>
      <c r="FF195" t="e">
        <f>'All regions'!C4887+"n/&gt;!)B3"</f>
        <v>#VALUE!</v>
      </c>
      <c r="FG195" t="e">
        <f>'All regions'!D4887+"n/&gt;!)B4"</f>
        <v>#VALUE!</v>
      </c>
      <c r="FH195" t="e">
        <f>'All regions'!E4887+"n/&gt;!)B5"</f>
        <v>#VALUE!</v>
      </c>
      <c r="FI195" t="e">
        <f>'All regions'!F4887+"n/&gt;!)B6"</f>
        <v>#VALUE!</v>
      </c>
      <c r="FJ195" t="e">
        <f>'All regions'!G4887+"n/&gt;!)B7"</f>
        <v>#VALUE!</v>
      </c>
      <c r="FK195" t="e">
        <f>'All regions'!H4887+"n/&gt;!)B8"</f>
        <v>#VALUE!</v>
      </c>
      <c r="FL195" t="e">
        <f>'All regions'!I4887+"n/&gt;!)B9"</f>
        <v>#VALUE!</v>
      </c>
      <c r="FM195" t="e">
        <f>'All regions'!J4887+"n/&gt;!)B:"</f>
        <v>#VALUE!</v>
      </c>
      <c r="FN195" t="e">
        <f>'All regions'!A4888+"n/&gt;!)B;"</f>
        <v>#VALUE!</v>
      </c>
      <c r="FO195" t="e">
        <f>'All regions'!B4888+"n/&gt;!)B&lt;"</f>
        <v>#VALUE!</v>
      </c>
      <c r="FP195" t="e">
        <f>'All regions'!C4888+"n/&gt;!)B="</f>
        <v>#VALUE!</v>
      </c>
      <c r="FQ195" t="e">
        <f>'All regions'!D4888+"n/&gt;!)B&gt;"</f>
        <v>#VALUE!</v>
      </c>
      <c r="FR195" t="e">
        <f>'All regions'!E4888+"n/&gt;!)B?"</f>
        <v>#VALUE!</v>
      </c>
      <c r="FS195" t="e">
        <f>'All regions'!F4888+"n/&gt;!)B@"</f>
        <v>#VALUE!</v>
      </c>
      <c r="FT195" t="e">
        <f>'All regions'!G4888+"n/&gt;!)BA"</f>
        <v>#VALUE!</v>
      </c>
      <c r="FU195" t="e">
        <f>'All regions'!H4888+"n/&gt;!)BB"</f>
        <v>#VALUE!</v>
      </c>
      <c r="FV195" t="e">
        <f>'All regions'!I4888+"n/&gt;!)BC"</f>
        <v>#VALUE!</v>
      </c>
      <c r="FW195" t="e">
        <f>'All regions'!J4888+"n/&gt;!)BD"</f>
        <v>#VALUE!</v>
      </c>
      <c r="FX195" t="e">
        <f>'All regions'!A4889+"n/&gt;!)BE"</f>
        <v>#VALUE!</v>
      </c>
      <c r="FY195" t="e">
        <f>'All regions'!B4889+"n/&gt;!)BF"</f>
        <v>#VALUE!</v>
      </c>
      <c r="FZ195" t="e">
        <f>'All regions'!C4889+"n/&gt;!)BG"</f>
        <v>#VALUE!</v>
      </c>
      <c r="GA195" t="e">
        <f>'All regions'!D4889+"n/&gt;!)BH"</f>
        <v>#VALUE!</v>
      </c>
      <c r="GB195" t="e">
        <f>'All regions'!E4889+"n/&gt;!)BI"</f>
        <v>#VALUE!</v>
      </c>
      <c r="GC195" t="e">
        <f>'All regions'!F4889+"n/&gt;!)BJ"</f>
        <v>#VALUE!</v>
      </c>
      <c r="GD195" t="e">
        <f>'All regions'!G4889+"n/&gt;!)BK"</f>
        <v>#VALUE!</v>
      </c>
      <c r="GE195" t="e">
        <f>'All regions'!H4889+"n/&gt;!)BL"</f>
        <v>#VALUE!</v>
      </c>
      <c r="GF195" t="e">
        <f>'All regions'!I4889+"n/&gt;!)BM"</f>
        <v>#VALUE!</v>
      </c>
      <c r="GG195" t="e">
        <f>'All regions'!J4889+"n/&gt;!)BN"</f>
        <v>#VALUE!</v>
      </c>
      <c r="GH195" t="e">
        <f>'All regions'!A4890+"n/&gt;!)BO"</f>
        <v>#VALUE!</v>
      </c>
      <c r="GI195" t="e">
        <f>'All regions'!B4890+"n/&gt;!)BP"</f>
        <v>#VALUE!</v>
      </c>
      <c r="GJ195" t="e">
        <f>'All regions'!C4890+"n/&gt;!)BQ"</f>
        <v>#VALUE!</v>
      </c>
      <c r="GK195" t="e">
        <f>'All regions'!D4890+"n/&gt;!)BR"</f>
        <v>#VALUE!</v>
      </c>
      <c r="GL195" t="e">
        <f>'All regions'!E4890+"n/&gt;!)BS"</f>
        <v>#VALUE!</v>
      </c>
      <c r="GM195" t="e">
        <f>'All regions'!F4890+"n/&gt;!)BT"</f>
        <v>#VALUE!</v>
      </c>
      <c r="GN195" t="e">
        <f>'All regions'!G4890+"n/&gt;!)BU"</f>
        <v>#VALUE!</v>
      </c>
      <c r="GO195" t="e">
        <f>'All regions'!H4890+"n/&gt;!)BV"</f>
        <v>#VALUE!</v>
      </c>
      <c r="GP195" t="e">
        <f>'All regions'!I4890+"n/&gt;!)BW"</f>
        <v>#VALUE!</v>
      </c>
      <c r="GQ195" t="e">
        <f>'All regions'!J4890+"n/&gt;!)BX"</f>
        <v>#VALUE!</v>
      </c>
      <c r="GR195" t="e">
        <f>'All regions'!A4891+"n/&gt;!)BY"</f>
        <v>#VALUE!</v>
      </c>
      <c r="GS195" t="e">
        <f>'All regions'!B4891+"n/&gt;!)BZ"</f>
        <v>#VALUE!</v>
      </c>
      <c r="GT195" t="e">
        <f>'All regions'!C4891+"n/&gt;!)B["</f>
        <v>#VALUE!</v>
      </c>
      <c r="GU195" t="e">
        <f>'All regions'!D4891+"n/&gt;!)B\"</f>
        <v>#VALUE!</v>
      </c>
      <c r="GV195" t="e">
        <f>'All regions'!E4891+"n/&gt;!)B]"</f>
        <v>#VALUE!</v>
      </c>
      <c r="GW195" t="e">
        <f>'All regions'!F4891+"n/&gt;!)B^"</f>
        <v>#VALUE!</v>
      </c>
      <c r="GX195" t="e">
        <f>'All regions'!G4891+"n/&gt;!)B_"</f>
        <v>#VALUE!</v>
      </c>
      <c r="GY195" t="e">
        <f>'All regions'!H4891+"n/&gt;!)B`"</f>
        <v>#VALUE!</v>
      </c>
      <c r="GZ195" t="e">
        <f>'All regions'!I4891+"n/&gt;!)Ba"</f>
        <v>#VALUE!</v>
      </c>
      <c r="HA195" t="e">
        <f>'All regions'!J4891+"n/&gt;!)Bb"</f>
        <v>#VALUE!</v>
      </c>
      <c r="HB195" t="e">
        <f>'All regions'!A4892+"n/&gt;!)Bc"</f>
        <v>#VALUE!</v>
      </c>
      <c r="HC195" t="e">
        <f>'All regions'!B4892+"n/&gt;!)Bd"</f>
        <v>#VALUE!</v>
      </c>
      <c r="HD195" t="e">
        <f>'All regions'!C4892+"n/&gt;!)Be"</f>
        <v>#VALUE!</v>
      </c>
      <c r="HE195" t="e">
        <f>'All regions'!D4892+"n/&gt;!)Bf"</f>
        <v>#VALUE!</v>
      </c>
      <c r="HF195" t="e">
        <f>'All regions'!E4892+"n/&gt;!)Bg"</f>
        <v>#VALUE!</v>
      </c>
      <c r="HG195" t="e">
        <f>'All regions'!F4892+"n/&gt;!)Bh"</f>
        <v>#VALUE!</v>
      </c>
      <c r="HH195" t="e">
        <f>'All regions'!G4892+"n/&gt;!)Bi"</f>
        <v>#VALUE!</v>
      </c>
      <c r="HI195" t="e">
        <f>'All regions'!H4892+"n/&gt;!)Bj"</f>
        <v>#VALUE!</v>
      </c>
      <c r="HJ195" t="e">
        <f>'All regions'!I4892+"n/&gt;!)Bk"</f>
        <v>#VALUE!</v>
      </c>
      <c r="HK195" t="e">
        <f>'All regions'!J4892+"n/&gt;!)Bl"</f>
        <v>#VALUE!</v>
      </c>
      <c r="HL195" t="e">
        <f>'All regions'!A4893+"n/&gt;!)Bm"</f>
        <v>#VALUE!</v>
      </c>
      <c r="HM195" t="e">
        <f>'All regions'!B4893+"n/&gt;!)Bn"</f>
        <v>#VALUE!</v>
      </c>
      <c r="HN195" t="e">
        <f>'All regions'!C4893+"n/&gt;!)Bo"</f>
        <v>#VALUE!</v>
      </c>
      <c r="HO195" t="e">
        <f>'All regions'!D4893+"n/&gt;!)Bp"</f>
        <v>#VALUE!</v>
      </c>
      <c r="HP195" t="e">
        <f>'All regions'!E4893+"n/&gt;!)Bq"</f>
        <v>#VALUE!</v>
      </c>
      <c r="HQ195" t="e">
        <f>'All regions'!F4893+"n/&gt;!)Br"</f>
        <v>#VALUE!</v>
      </c>
      <c r="HR195" t="e">
        <f>'All regions'!G4893+"n/&gt;!)Bs"</f>
        <v>#VALUE!</v>
      </c>
      <c r="HS195" t="e">
        <f>'All regions'!H4893+"n/&gt;!)Bt"</f>
        <v>#VALUE!</v>
      </c>
      <c r="HT195" t="e">
        <f>'All regions'!I4893+"n/&gt;!)Bu"</f>
        <v>#VALUE!</v>
      </c>
      <c r="HU195" t="e">
        <f>'All regions'!J4893+"n/&gt;!)Bv"</f>
        <v>#VALUE!</v>
      </c>
      <c r="HV195" t="e">
        <f>'All regions'!A4894+"n/&gt;!)Bw"</f>
        <v>#VALUE!</v>
      </c>
      <c r="HW195" t="e">
        <f>'All regions'!B4894+"n/&gt;!)Bx"</f>
        <v>#VALUE!</v>
      </c>
      <c r="HX195" t="e">
        <f>'All regions'!C4894+"n/&gt;!)By"</f>
        <v>#VALUE!</v>
      </c>
      <c r="HY195" t="e">
        <f>'All regions'!D4894+"n/&gt;!)Bz"</f>
        <v>#VALUE!</v>
      </c>
      <c r="HZ195" t="e">
        <f>'All regions'!E4894+"n/&gt;!)B{"</f>
        <v>#VALUE!</v>
      </c>
      <c r="IA195" t="e">
        <f>'All regions'!F4894+"n/&gt;!)B|"</f>
        <v>#VALUE!</v>
      </c>
      <c r="IB195" t="e">
        <f>'All regions'!G4894+"n/&gt;!)B}"</f>
        <v>#VALUE!</v>
      </c>
      <c r="IC195" t="e">
        <f>'All regions'!H4894+"n/&gt;!)B~"</f>
        <v>#VALUE!</v>
      </c>
      <c r="ID195" t="e">
        <f>'All regions'!I4894+"n/&gt;!)C#"</f>
        <v>#VALUE!</v>
      </c>
      <c r="IE195" t="e">
        <f>'All regions'!J4894+"n/&gt;!)C$"</f>
        <v>#VALUE!</v>
      </c>
      <c r="IF195" t="e">
        <f>'All regions'!A4895+"n/&gt;!)C%"</f>
        <v>#VALUE!</v>
      </c>
      <c r="IG195" t="e">
        <f>'All regions'!B4895+"n/&gt;!)C&amp;"</f>
        <v>#VALUE!</v>
      </c>
      <c r="IH195" t="e">
        <f>'All regions'!C4895+"n/&gt;!)C'"</f>
        <v>#VALUE!</v>
      </c>
      <c r="II195" t="e">
        <f>'All regions'!D4895+"n/&gt;!)C("</f>
        <v>#VALUE!</v>
      </c>
      <c r="IJ195" t="e">
        <f>'All regions'!E4895+"n/&gt;!)C)"</f>
        <v>#VALUE!</v>
      </c>
      <c r="IK195" t="e">
        <f>'All regions'!F4895+"n/&gt;!)C."</f>
        <v>#VALUE!</v>
      </c>
      <c r="IL195" t="e">
        <f>'All regions'!G4895+"n/&gt;!)C/"</f>
        <v>#VALUE!</v>
      </c>
      <c r="IM195" t="e">
        <f>'All regions'!H4895+"n/&gt;!)C0"</f>
        <v>#VALUE!</v>
      </c>
      <c r="IN195" t="e">
        <f>'All regions'!I4895+"n/&gt;!)C1"</f>
        <v>#VALUE!</v>
      </c>
      <c r="IO195" t="e">
        <f>'All regions'!J4895+"n/&gt;!)C2"</f>
        <v>#VALUE!</v>
      </c>
      <c r="IP195" t="e">
        <f>'All regions'!A4896+"n/&gt;!)C3"</f>
        <v>#VALUE!</v>
      </c>
      <c r="IQ195" t="e">
        <f>'All regions'!B4896+"n/&gt;!)C4"</f>
        <v>#VALUE!</v>
      </c>
      <c r="IR195" t="e">
        <f>'All regions'!C4896+"n/&gt;!)C5"</f>
        <v>#VALUE!</v>
      </c>
      <c r="IS195" t="e">
        <f>'All regions'!D4896+"n/&gt;!)C6"</f>
        <v>#VALUE!</v>
      </c>
      <c r="IT195" t="e">
        <f>'All regions'!E4896+"n/&gt;!)C7"</f>
        <v>#VALUE!</v>
      </c>
      <c r="IU195" t="e">
        <f>'All regions'!F4896+"n/&gt;!)C8"</f>
        <v>#VALUE!</v>
      </c>
      <c r="IV195" t="e">
        <f>'All regions'!G4896+"n/&gt;!)C9"</f>
        <v>#VALUE!</v>
      </c>
    </row>
    <row r="196" spans="6:256" x14ac:dyDescent="0.35">
      <c r="F196" t="e">
        <f>'All regions'!H4896+"n/&gt;!)C:"</f>
        <v>#VALUE!</v>
      </c>
      <c r="G196" t="e">
        <f>'All regions'!I4896+"n/&gt;!)C;"</f>
        <v>#VALUE!</v>
      </c>
      <c r="H196" t="e">
        <f>'All regions'!J4896+"n/&gt;!)C&lt;"</f>
        <v>#VALUE!</v>
      </c>
      <c r="I196" t="e">
        <f>'All regions'!A4897+"n/&gt;!)C="</f>
        <v>#VALUE!</v>
      </c>
      <c r="J196" t="e">
        <f>'All regions'!B4897+"n/&gt;!)C&gt;"</f>
        <v>#VALUE!</v>
      </c>
      <c r="K196" t="e">
        <f>'All regions'!C4897+"n/&gt;!)C?"</f>
        <v>#VALUE!</v>
      </c>
      <c r="L196" t="e">
        <f>'All regions'!D4897+"n/&gt;!)C@"</f>
        <v>#VALUE!</v>
      </c>
      <c r="M196" t="e">
        <f>'All regions'!E4897+"n/&gt;!)CA"</f>
        <v>#VALUE!</v>
      </c>
      <c r="N196" t="e">
        <f>'All regions'!F4897+"n/&gt;!)CB"</f>
        <v>#VALUE!</v>
      </c>
      <c r="O196" t="e">
        <f>'All regions'!G4897+"n/&gt;!)CC"</f>
        <v>#VALUE!</v>
      </c>
      <c r="P196" t="e">
        <f>'All regions'!H4897+"n/&gt;!)CD"</f>
        <v>#VALUE!</v>
      </c>
      <c r="Q196" t="e">
        <f>'All regions'!I4897+"n/&gt;!)CE"</f>
        <v>#VALUE!</v>
      </c>
      <c r="R196" t="e">
        <f>'All regions'!J4897+"n/&gt;!)CF"</f>
        <v>#VALUE!</v>
      </c>
      <c r="S196" t="e">
        <f>'All regions'!A4898+"n/&gt;!)CG"</f>
        <v>#VALUE!</v>
      </c>
      <c r="T196" t="e">
        <f>'All regions'!B4898+"n/&gt;!)CH"</f>
        <v>#VALUE!</v>
      </c>
      <c r="U196" t="e">
        <f>'All regions'!C4898+"n/&gt;!)CI"</f>
        <v>#VALUE!</v>
      </c>
      <c r="V196" t="e">
        <f>'All regions'!D4898+"n/&gt;!)CJ"</f>
        <v>#VALUE!</v>
      </c>
      <c r="W196" t="e">
        <f>'All regions'!E4898+"n/&gt;!)CK"</f>
        <v>#VALUE!</v>
      </c>
      <c r="X196" t="e">
        <f>'All regions'!F4898+"n/&gt;!)CL"</f>
        <v>#VALUE!</v>
      </c>
      <c r="Y196" t="e">
        <f>'All regions'!G4898+"n/&gt;!)CM"</f>
        <v>#VALUE!</v>
      </c>
      <c r="Z196" t="e">
        <f>'All regions'!H4898+"n/&gt;!)CN"</f>
        <v>#VALUE!</v>
      </c>
      <c r="AA196" t="e">
        <f>'All regions'!I4898+"n/&gt;!)CO"</f>
        <v>#VALUE!</v>
      </c>
      <c r="AB196" t="e">
        <f>'All regions'!J4898+"n/&gt;!)CP"</f>
        <v>#VALUE!</v>
      </c>
      <c r="AC196" t="e">
        <f>'All regions'!A4899+"n/&gt;!)CQ"</f>
        <v>#VALUE!</v>
      </c>
      <c r="AD196" t="e">
        <f>'All regions'!B4899+"n/&gt;!)CR"</f>
        <v>#VALUE!</v>
      </c>
      <c r="AE196" t="e">
        <f>'All regions'!C4899+"n/&gt;!)CS"</f>
        <v>#VALUE!</v>
      </c>
      <c r="AF196" t="e">
        <f>'All regions'!D4899+"n/&gt;!)CT"</f>
        <v>#VALUE!</v>
      </c>
      <c r="AG196" t="e">
        <f>'All regions'!E4899+"n/&gt;!)CU"</f>
        <v>#VALUE!</v>
      </c>
      <c r="AH196" t="e">
        <f>'All regions'!F4899+"n/&gt;!)CV"</f>
        <v>#VALUE!</v>
      </c>
      <c r="AI196" t="e">
        <f>'All regions'!G4899+"n/&gt;!)CW"</f>
        <v>#VALUE!</v>
      </c>
      <c r="AJ196" t="e">
        <f>'All regions'!H4899+"n/&gt;!)CX"</f>
        <v>#VALUE!</v>
      </c>
      <c r="AK196" t="e">
        <f>'All regions'!I4899+"n/&gt;!)CY"</f>
        <v>#VALUE!</v>
      </c>
      <c r="AL196" t="e">
        <f>'All regions'!J4899+"n/&gt;!)CZ"</f>
        <v>#VALUE!</v>
      </c>
      <c r="AM196" t="e">
        <f>'All regions'!A4900+"n/&gt;!)C["</f>
        <v>#VALUE!</v>
      </c>
      <c r="AN196" t="e">
        <f>'All regions'!B4900+"n/&gt;!)C\"</f>
        <v>#VALUE!</v>
      </c>
      <c r="AO196" t="e">
        <f>'All regions'!C4900+"n/&gt;!)C]"</f>
        <v>#VALUE!</v>
      </c>
      <c r="AP196" t="e">
        <f>'All regions'!D4900+"n/&gt;!)C^"</f>
        <v>#VALUE!</v>
      </c>
      <c r="AQ196" t="e">
        <f>'All regions'!E4900+"n/&gt;!)C_"</f>
        <v>#VALUE!</v>
      </c>
      <c r="AR196" t="e">
        <f>'All regions'!F4900+"n/&gt;!)C`"</f>
        <v>#VALUE!</v>
      </c>
      <c r="AS196" t="e">
        <f>'All regions'!G4900+"n/&gt;!)Ca"</f>
        <v>#VALUE!</v>
      </c>
      <c r="AT196" t="e">
        <f>'All regions'!H4900+"n/&gt;!)Cb"</f>
        <v>#VALUE!</v>
      </c>
      <c r="AU196" t="e">
        <f>'All regions'!I4900+"n/&gt;!)Cc"</f>
        <v>#VALUE!</v>
      </c>
      <c r="AV196" t="e">
        <f>'All regions'!J4900+"n/&gt;!)Cd"</f>
        <v>#VALUE!</v>
      </c>
      <c r="AW196" t="e">
        <f>'All regions'!A4901+"n/&gt;!)Ce"</f>
        <v>#VALUE!</v>
      </c>
      <c r="AX196" t="e">
        <f>'All regions'!B4901+"n/&gt;!)Cf"</f>
        <v>#VALUE!</v>
      </c>
      <c r="AY196" t="e">
        <f>'All regions'!C4901+"n/&gt;!)Cg"</f>
        <v>#VALUE!</v>
      </c>
      <c r="AZ196" t="e">
        <f>'All regions'!D4901+"n/&gt;!)Ch"</f>
        <v>#VALUE!</v>
      </c>
      <c r="BA196" t="e">
        <f>'All regions'!E4901+"n/&gt;!)Ci"</f>
        <v>#VALUE!</v>
      </c>
      <c r="BB196" t="e">
        <f>'All regions'!F4901+"n/&gt;!)Cj"</f>
        <v>#VALUE!</v>
      </c>
      <c r="BC196" t="e">
        <f>'All regions'!G4901+"n/&gt;!)Ck"</f>
        <v>#VALUE!</v>
      </c>
      <c r="BD196" t="e">
        <f>'All regions'!H4901+"n/&gt;!)Cl"</f>
        <v>#VALUE!</v>
      </c>
      <c r="BE196" t="e">
        <f>'All regions'!I4901+"n/&gt;!)Cm"</f>
        <v>#VALUE!</v>
      </c>
      <c r="BF196" t="e">
        <f>'All regions'!J4901+"n/&gt;!)Cn"</f>
        <v>#VALUE!</v>
      </c>
      <c r="BG196" t="e">
        <f>'All regions'!A4902+"n/&gt;!)Co"</f>
        <v>#VALUE!</v>
      </c>
      <c r="BH196" t="e">
        <f>'All regions'!B4902+"n/&gt;!)Cp"</f>
        <v>#VALUE!</v>
      </c>
      <c r="BI196" t="e">
        <f>'All regions'!C4902+"n/&gt;!)Cq"</f>
        <v>#VALUE!</v>
      </c>
      <c r="BJ196" t="e">
        <f>'All regions'!D4902+"n/&gt;!)Cr"</f>
        <v>#VALUE!</v>
      </c>
      <c r="BK196" t="e">
        <f>'All regions'!E4902+"n/&gt;!)Cs"</f>
        <v>#VALUE!</v>
      </c>
      <c r="BL196" t="e">
        <f>'All regions'!F4902+"n/&gt;!)Ct"</f>
        <v>#VALUE!</v>
      </c>
      <c r="BM196" t="e">
        <f>'All regions'!G4902+"n/&gt;!)Cu"</f>
        <v>#VALUE!</v>
      </c>
      <c r="BN196" t="e">
        <f>'All regions'!H4902+"n/&gt;!)Cv"</f>
        <v>#VALUE!</v>
      </c>
      <c r="BO196" t="e">
        <f>'All regions'!I4902+"n/&gt;!)Cw"</f>
        <v>#VALUE!</v>
      </c>
      <c r="BP196" t="e">
        <f>'All regions'!J4902+"n/&gt;!)Cx"</f>
        <v>#VALUE!</v>
      </c>
      <c r="BQ196" t="e">
        <f>'All regions'!A4903+"n/&gt;!)Cy"</f>
        <v>#VALUE!</v>
      </c>
      <c r="BR196" t="e">
        <f>'All regions'!B4903+"n/&gt;!)Cz"</f>
        <v>#VALUE!</v>
      </c>
      <c r="BS196" t="e">
        <f>'All regions'!C4903+"n/&gt;!)C{"</f>
        <v>#VALUE!</v>
      </c>
      <c r="BT196" t="e">
        <f>'All regions'!D4903+"n/&gt;!)C|"</f>
        <v>#VALUE!</v>
      </c>
      <c r="BU196" t="e">
        <f>'All regions'!E4903+"n/&gt;!)C}"</f>
        <v>#VALUE!</v>
      </c>
      <c r="BV196" t="e">
        <f>'All regions'!F4903+"n/&gt;!)C~"</f>
        <v>#VALUE!</v>
      </c>
      <c r="BW196" t="e">
        <f>'All regions'!G4903+"n/&gt;!)D#"</f>
        <v>#VALUE!</v>
      </c>
      <c r="BX196" t="e">
        <f>'All regions'!H4903+"n/&gt;!)D$"</f>
        <v>#VALUE!</v>
      </c>
      <c r="BY196" t="e">
        <f>'All regions'!I4903+"n/&gt;!)D%"</f>
        <v>#VALUE!</v>
      </c>
      <c r="BZ196" t="e">
        <f>'All regions'!J4903+"n/&gt;!)D&amp;"</f>
        <v>#VALUE!</v>
      </c>
      <c r="CA196" t="e">
        <f>'All regions'!A4904+"n/&gt;!)D'"</f>
        <v>#VALUE!</v>
      </c>
      <c r="CB196" t="e">
        <f>'All regions'!B4904+"n/&gt;!)D("</f>
        <v>#VALUE!</v>
      </c>
      <c r="CC196" t="e">
        <f>'All regions'!C4904+"n/&gt;!)D)"</f>
        <v>#VALUE!</v>
      </c>
      <c r="CD196" t="e">
        <f>'All regions'!D4904+"n/&gt;!)D."</f>
        <v>#VALUE!</v>
      </c>
      <c r="CE196" t="e">
        <f>'All regions'!E4904+"n/&gt;!)D/"</f>
        <v>#VALUE!</v>
      </c>
      <c r="CF196" t="e">
        <f>'All regions'!F4904+"n/&gt;!)D0"</f>
        <v>#VALUE!</v>
      </c>
      <c r="CG196" t="e">
        <f>'All regions'!G4904+"n/&gt;!)D1"</f>
        <v>#VALUE!</v>
      </c>
      <c r="CH196" t="e">
        <f>'All regions'!H4904+"n/&gt;!)D2"</f>
        <v>#VALUE!</v>
      </c>
      <c r="CI196" t="e">
        <f>'All regions'!I4904+"n/&gt;!)D3"</f>
        <v>#VALUE!</v>
      </c>
      <c r="CJ196" t="e">
        <f>'All regions'!J4904+"n/&gt;!)D4"</f>
        <v>#VALUE!</v>
      </c>
      <c r="CK196" t="e">
        <f>'All regions'!A4905+"n/&gt;!)D5"</f>
        <v>#VALUE!</v>
      </c>
      <c r="CL196" t="e">
        <f>'All regions'!B4905+"n/&gt;!)D6"</f>
        <v>#VALUE!</v>
      </c>
      <c r="CM196" t="e">
        <f>'All regions'!C4905+"n/&gt;!)D7"</f>
        <v>#VALUE!</v>
      </c>
      <c r="CN196" t="e">
        <f>'All regions'!D4905+"n/&gt;!)D8"</f>
        <v>#VALUE!</v>
      </c>
      <c r="CO196" t="e">
        <f>'All regions'!E4905+"n/&gt;!)D9"</f>
        <v>#VALUE!</v>
      </c>
      <c r="CP196" t="e">
        <f>'All regions'!F4905+"n/&gt;!)D:"</f>
        <v>#VALUE!</v>
      </c>
      <c r="CQ196" t="e">
        <f>'All regions'!G4905+"n/&gt;!)D;"</f>
        <v>#VALUE!</v>
      </c>
      <c r="CR196" t="e">
        <f>'All regions'!H4905+"n/&gt;!)D&lt;"</f>
        <v>#VALUE!</v>
      </c>
      <c r="CS196" t="e">
        <f>'All regions'!I4905+"n/&gt;!)D="</f>
        <v>#VALUE!</v>
      </c>
      <c r="CT196" t="e">
        <f>'All regions'!J4905+"n/&gt;!)D&gt;"</f>
        <v>#VALUE!</v>
      </c>
      <c r="CU196" t="e">
        <f>'All regions'!A4906+"n/&gt;!)D?"</f>
        <v>#VALUE!</v>
      </c>
      <c r="CV196" t="e">
        <f>'All regions'!B4906+"n/&gt;!)D@"</f>
        <v>#VALUE!</v>
      </c>
      <c r="CW196" t="e">
        <f>'All regions'!C4906+"n/&gt;!)DA"</f>
        <v>#VALUE!</v>
      </c>
      <c r="CX196" t="e">
        <f>'All regions'!D4906+"n/&gt;!)DB"</f>
        <v>#VALUE!</v>
      </c>
      <c r="CY196" t="e">
        <f>'All regions'!E4906+"n/&gt;!)DC"</f>
        <v>#VALUE!</v>
      </c>
      <c r="CZ196" t="e">
        <f>'All regions'!F4906+"n/&gt;!)DD"</f>
        <v>#VALUE!</v>
      </c>
      <c r="DA196" t="e">
        <f>'All regions'!G4906+"n/&gt;!)DE"</f>
        <v>#VALUE!</v>
      </c>
      <c r="DB196" t="e">
        <f>'All regions'!H4906+"n/&gt;!)DF"</f>
        <v>#VALUE!</v>
      </c>
      <c r="DC196" t="e">
        <f>'All regions'!I4906+"n/&gt;!)DG"</f>
        <v>#VALUE!</v>
      </c>
      <c r="DD196" t="e">
        <f>'All regions'!J4906+"n/&gt;!)DH"</f>
        <v>#VALUE!</v>
      </c>
      <c r="DE196" t="e">
        <f>'All regions'!A4907+"n/&gt;!)DI"</f>
        <v>#VALUE!</v>
      </c>
      <c r="DF196" t="e">
        <f>'All regions'!B4907+"n/&gt;!)DJ"</f>
        <v>#VALUE!</v>
      </c>
      <c r="DG196" t="e">
        <f>'All regions'!C4907+"n/&gt;!)DK"</f>
        <v>#VALUE!</v>
      </c>
      <c r="DH196" t="e">
        <f>'All regions'!D4907+"n/&gt;!)DL"</f>
        <v>#VALUE!</v>
      </c>
      <c r="DI196" t="e">
        <f>'All regions'!E4907+"n/&gt;!)DM"</f>
        <v>#VALUE!</v>
      </c>
      <c r="DJ196" t="e">
        <f>'All regions'!F4907+"n/&gt;!)DN"</f>
        <v>#VALUE!</v>
      </c>
      <c r="DK196" t="e">
        <f>'All regions'!G4907+"n/&gt;!)DO"</f>
        <v>#VALUE!</v>
      </c>
      <c r="DL196" t="e">
        <f>'All regions'!H4907+"n/&gt;!)DP"</f>
        <v>#VALUE!</v>
      </c>
      <c r="DM196" t="e">
        <f>'All regions'!I4907+"n/&gt;!)DQ"</f>
        <v>#VALUE!</v>
      </c>
      <c r="DN196" t="e">
        <f>'All regions'!J4907+"n/&gt;!)DR"</f>
        <v>#VALUE!</v>
      </c>
      <c r="DO196" t="e">
        <f>'All regions'!A4908+"n/&gt;!)DS"</f>
        <v>#VALUE!</v>
      </c>
      <c r="DP196" t="e">
        <f>'All regions'!B4908+"n/&gt;!)DT"</f>
        <v>#VALUE!</v>
      </c>
      <c r="DQ196" t="e">
        <f>'All regions'!C4908+"n/&gt;!)DU"</f>
        <v>#VALUE!</v>
      </c>
      <c r="DR196" t="e">
        <f>'All regions'!D4908+"n/&gt;!)DV"</f>
        <v>#VALUE!</v>
      </c>
      <c r="DS196" t="e">
        <f>'All regions'!E4908+"n/&gt;!)DW"</f>
        <v>#VALUE!</v>
      </c>
      <c r="DT196" t="e">
        <f>'All regions'!F4908+"n/&gt;!)DX"</f>
        <v>#VALUE!</v>
      </c>
      <c r="DU196" t="e">
        <f>'All regions'!G4908+"n/&gt;!)DY"</f>
        <v>#VALUE!</v>
      </c>
      <c r="DV196" t="e">
        <f>'All regions'!H4908+"n/&gt;!)DZ"</f>
        <v>#VALUE!</v>
      </c>
      <c r="DW196" t="e">
        <f>'All regions'!I4908+"n/&gt;!)D["</f>
        <v>#VALUE!</v>
      </c>
      <c r="DX196" t="e">
        <f>'All regions'!J4908+"n/&gt;!)D\"</f>
        <v>#VALUE!</v>
      </c>
      <c r="DY196" t="e">
        <f>'All regions'!A4909+"n/&gt;!)D]"</f>
        <v>#VALUE!</v>
      </c>
      <c r="DZ196" t="e">
        <f>'All regions'!B4909+"n/&gt;!)D^"</f>
        <v>#VALUE!</v>
      </c>
      <c r="EA196" t="e">
        <f>'All regions'!C4909+"n/&gt;!)D_"</f>
        <v>#VALUE!</v>
      </c>
      <c r="EB196" t="e">
        <f>'All regions'!D4909+"n/&gt;!)D`"</f>
        <v>#VALUE!</v>
      </c>
      <c r="EC196" t="e">
        <f>'All regions'!E4909+"n/&gt;!)Da"</f>
        <v>#VALUE!</v>
      </c>
      <c r="ED196" t="e">
        <f>'All regions'!F4909+"n/&gt;!)Db"</f>
        <v>#VALUE!</v>
      </c>
      <c r="EE196" t="e">
        <f>'All regions'!G4909+"n/&gt;!)Dc"</f>
        <v>#VALUE!</v>
      </c>
      <c r="EF196" t="e">
        <f>'All regions'!H4909+"n/&gt;!)Dd"</f>
        <v>#VALUE!</v>
      </c>
      <c r="EG196" t="e">
        <f>'All regions'!I4909+"n/&gt;!)De"</f>
        <v>#VALUE!</v>
      </c>
      <c r="EH196" t="e">
        <f>'All regions'!J4909+"n/&gt;!)Df"</f>
        <v>#VALUE!</v>
      </c>
      <c r="EI196" t="e">
        <f>'All regions'!A4910+"n/&gt;!)Dg"</f>
        <v>#VALUE!</v>
      </c>
      <c r="EJ196" t="e">
        <f>'All regions'!B4910+"n/&gt;!)Dh"</f>
        <v>#VALUE!</v>
      </c>
      <c r="EK196" t="e">
        <f>'All regions'!C4910+"n/&gt;!)Di"</f>
        <v>#VALUE!</v>
      </c>
      <c r="EL196" t="e">
        <f>'All regions'!D4910+"n/&gt;!)Dj"</f>
        <v>#VALUE!</v>
      </c>
      <c r="EM196" t="e">
        <f>'All regions'!E4910+"n/&gt;!)Dk"</f>
        <v>#VALUE!</v>
      </c>
      <c r="EN196" t="e">
        <f>'All regions'!F4910+"n/&gt;!)Dl"</f>
        <v>#VALUE!</v>
      </c>
      <c r="EO196" t="e">
        <f>'All regions'!G4910+"n/&gt;!)Dm"</f>
        <v>#VALUE!</v>
      </c>
      <c r="EP196" t="e">
        <f>'All regions'!H4910+"n/&gt;!)Dn"</f>
        <v>#VALUE!</v>
      </c>
      <c r="EQ196" t="e">
        <f>'All regions'!I4910+"n/&gt;!)Do"</f>
        <v>#VALUE!</v>
      </c>
      <c r="ER196" t="e">
        <f>'All regions'!J4910+"n/&gt;!)Dp"</f>
        <v>#VALUE!</v>
      </c>
      <c r="ES196" t="e">
        <f>'All regions'!A4911+"n/&gt;!)Dq"</f>
        <v>#VALUE!</v>
      </c>
      <c r="ET196" t="e">
        <f>'All regions'!B4911+"n/&gt;!)Dr"</f>
        <v>#VALUE!</v>
      </c>
      <c r="EU196" t="e">
        <f>'All regions'!C4911+"n/&gt;!)Ds"</f>
        <v>#VALUE!</v>
      </c>
      <c r="EV196" t="e">
        <f>'All regions'!D4911+"n/&gt;!)Dt"</f>
        <v>#VALUE!</v>
      </c>
      <c r="EW196" t="e">
        <f>'All regions'!E4911+"n/&gt;!)Du"</f>
        <v>#VALUE!</v>
      </c>
      <c r="EX196" t="e">
        <f>'All regions'!F4911+"n/&gt;!)Dv"</f>
        <v>#VALUE!</v>
      </c>
      <c r="EY196" t="e">
        <f>'All regions'!G4911+"n/&gt;!)Dw"</f>
        <v>#VALUE!</v>
      </c>
      <c r="EZ196" t="e">
        <f>'All regions'!H4911+"n/&gt;!)Dx"</f>
        <v>#VALUE!</v>
      </c>
      <c r="FA196" t="e">
        <f>'All regions'!I4911+"n/&gt;!)Dy"</f>
        <v>#VALUE!</v>
      </c>
      <c r="FB196" t="e">
        <f>'All regions'!J4911+"n/&gt;!)Dz"</f>
        <v>#VALUE!</v>
      </c>
      <c r="FC196" t="e">
        <f>'All regions'!A4912+"n/&gt;!)D{"</f>
        <v>#VALUE!</v>
      </c>
      <c r="FD196" t="e">
        <f>'All regions'!B4912+"n/&gt;!)D|"</f>
        <v>#VALUE!</v>
      </c>
      <c r="FE196" t="e">
        <f>'All regions'!C4912+"n/&gt;!)D}"</f>
        <v>#VALUE!</v>
      </c>
      <c r="FF196" t="e">
        <f>'All regions'!D4912+"n/&gt;!)D~"</f>
        <v>#VALUE!</v>
      </c>
      <c r="FG196" t="e">
        <f>'All regions'!E4912+"n/&gt;!)E#"</f>
        <v>#VALUE!</v>
      </c>
      <c r="FH196" t="e">
        <f>'All regions'!F4912+"n/&gt;!)E$"</f>
        <v>#VALUE!</v>
      </c>
      <c r="FI196" t="e">
        <f>'All regions'!G4912+"n/&gt;!)E%"</f>
        <v>#VALUE!</v>
      </c>
      <c r="FJ196" t="e">
        <f>'All regions'!H4912+"n/&gt;!)E&amp;"</f>
        <v>#VALUE!</v>
      </c>
      <c r="FK196" t="e">
        <f>'All regions'!I4912+"n/&gt;!)E'"</f>
        <v>#VALUE!</v>
      </c>
      <c r="FL196" t="e">
        <f>'All regions'!J4912+"n/&gt;!)E("</f>
        <v>#VALUE!</v>
      </c>
      <c r="FM196" t="e">
        <f>'All regions'!A4913+"n/&gt;!)E)"</f>
        <v>#VALUE!</v>
      </c>
      <c r="FN196" t="e">
        <f>'All regions'!B4913+"n/&gt;!)E."</f>
        <v>#VALUE!</v>
      </c>
      <c r="FO196" t="e">
        <f>'All regions'!C4913+"n/&gt;!)E/"</f>
        <v>#VALUE!</v>
      </c>
      <c r="FP196" t="e">
        <f>'All regions'!D4913+"n/&gt;!)E0"</f>
        <v>#VALUE!</v>
      </c>
      <c r="FQ196" t="e">
        <f>'All regions'!E4913+"n/&gt;!)E1"</f>
        <v>#VALUE!</v>
      </c>
      <c r="FR196" t="e">
        <f>'All regions'!F4913+"n/&gt;!)E2"</f>
        <v>#VALUE!</v>
      </c>
      <c r="FS196" t="e">
        <f>'All regions'!G4913+"n/&gt;!)E3"</f>
        <v>#VALUE!</v>
      </c>
      <c r="FT196" t="e">
        <f>'All regions'!H4913+"n/&gt;!)E4"</f>
        <v>#VALUE!</v>
      </c>
      <c r="FU196" t="e">
        <f>'All regions'!I4913+"n/&gt;!)E5"</f>
        <v>#VALUE!</v>
      </c>
      <c r="FV196" t="e">
        <f>'All regions'!J4913+"n/&gt;!)E6"</f>
        <v>#VALUE!</v>
      </c>
      <c r="FW196" t="e">
        <f>'All regions'!A4914+"n/&gt;!)E7"</f>
        <v>#VALUE!</v>
      </c>
      <c r="FX196" t="e">
        <f>'All regions'!B4914+"n/&gt;!)E8"</f>
        <v>#VALUE!</v>
      </c>
      <c r="FY196" t="e">
        <f>'All regions'!C4914+"n/&gt;!)E9"</f>
        <v>#VALUE!</v>
      </c>
      <c r="FZ196" t="e">
        <f>'All regions'!D4914+"n/&gt;!)E:"</f>
        <v>#VALUE!</v>
      </c>
      <c r="GA196" t="e">
        <f>'All regions'!E4914+"n/&gt;!)E;"</f>
        <v>#VALUE!</v>
      </c>
      <c r="GB196" t="e">
        <f>'All regions'!F4914+"n/&gt;!)E&lt;"</f>
        <v>#VALUE!</v>
      </c>
      <c r="GC196" t="e">
        <f>'All regions'!G4914+"n/&gt;!)E="</f>
        <v>#VALUE!</v>
      </c>
      <c r="GD196" t="e">
        <f>'All regions'!H4914+"n/&gt;!)E&gt;"</f>
        <v>#VALUE!</v>
      </c>
      <c r="GE196" t="e">
        <f>'All regions'!I4914+"n/&gt;!)E?"</f>
        <v>#VALUE!</v>
      </c>
      <c r="GF196" t="e">
        <f>'All regions'!J4914+"n/&gt;!)E@"</f>
        <v>#VALUE!</v>
      </c>
      <c r="GG196" t="e">
        <f>'All regions'!A4915+"n/&gt;!)EA"</f>
        <v>#VALUE!</v>
      </c>
      <c r="GH196" t="e">
        <f>'All regions'!B4915+"n/&gt;!)EB"</f>
        <v>#VALUE!</v>
      </c>
      <c r="GI196" t="e">
        <f>'All regions'!C4915+"n/&gt;!)EC"</f>
        <v>#VALUE!</v>
      </c>
      <c r="GJ196" t="e">
        <f>'All regions'!D4915+"n/&gt;!)ED"</f>
        <v>#VALUE!</v>
      </c>
      <c r="GK196" t="e">
        <f>'All regions'!E4915+"n/&gt;!)EE"</f>
        <v>#VALUE!</v>
      </c>
      <c r="GL196" t="e">
        <f>'All regions'!F4915+"n/&gt;!)EF"</f>
        <v>#VALUE!</v>
      </c>
      <c r="GM196" t="e">
        <f>'All regions'!G4915+"n/&gt;!)EG"</f>
        <v>#VALUE!</v>
      </c>
      <c r="GN196" t="e">
        <f>'All regions'!H4915+"n/&gt;!)EH"</f>
        <v>#VALUE!</v>
      </c>
      <c r="GO196" t="e">
        <f>'All regions'!I4915+"n/&gt;!)EI"</f>
        <v>#VALUE!</v>
      </c>
      <c r="GP196" t="e">
        <f>'All regions'!J4915+"n/&gt;!)EJ"</f>
        <v>#VALUE!</v>
      </c>
      <c r="GQ196" t="e">
        <f>'All regions'!A4916+"n/&gt;!)EK"</f>
        <v>#VALUE!</v>
      </c>
      <c r="GR196" t="e">
        <f>'All regions'!B4916+"n/&gt;!)EL"</f>
        <v>#VALUE!</v>
      </c>
      <c r="GS196" t="e">
        <f>'All regions'!C4916+"n/&gt;!)EM"</f>
        <v>#VALUE!</v>
      </c>
      <c r="GT196" t="e">
        <f>'All regions'!D4916+"n/&gt;!)EN"</f>
        <v>#VALUE!</v>
      </c>
      <c r="GU196" t="e">
        <f>'All regions'!E4916+"n/&gt;!)EO"</f>
        <v>#VALUE!</v>
      </c>
      <c r="GV196" t="e">
        <f>'All regions'!F4916+"n/&gt;!)EP"</f>
        <v>#VALUE!</v>
      </c>
      <c r="GW196" t="e">
        <f>'All regions'!G4916+"n/&gt;!)EQ"</f>
        <v>#VALUE!</v>
      </c>
      <c r="GX196" t="e">
        <f>'All regions'!H4916+"n/&gt;!)ER"</f>
        <v>#VALUE!</v>
      </c>
      <c r="GY196" t="e">
        <f>'All regions'!I4916+"n/&gt;!)ES"</f>
        <v>#VALUE!</v>
      </c>
      <c r="GZ196" t="e">
        <f>'All regions'!J4916+"n/&gt;!)ET"</f>
        <v>#VALUE!</v>
      </c>
      <c r="HA196" t="e">
        <f>'All regions'!A4917+"n/&gt;!)EU"</f>
        <v>#VALUE!</v>
      </c>
      <c r="HB196" t="e">
        <f>'All regions'!B4917+"n/&gt;!)EV"</f>
        <v>#VALUE!</v>
      </c>
      <c r="HC196" t="e">
        <f>'All regions'!C4917+"n/&gt;!)EW"</f>
        <v>#VALUE!</v>
      </c>
      <c r="HD196" t="e">
        <f>'All regions'!D4917+"n/&gt;!)EX"</f>
        <v>#VALUE!</v>
      </c>
      <c r="HE196" t="e">
        <f>'All regions'!E4917+"n/&gt;!)EY"</f>
        <v>#VALUE!</v>
      </c>
      <c r="HF196" t="e">
        <f>'All regions'!F4917+"n/&gt;!)EZ"</f>
        <v>#VALUE!</v>
      </c>
      <c r="HG196" t="e">
        <f>'All regions'!G4917+"n/&gt;!)E["</f>
        <v>#VALUE!</v>
      </c>
      <c r="HH196" t="e">
        <f>'All regions'!H4917+"n/&gt;!)E\"</f>
        <v>#VALUE!</v>
      </c>
      <c r="HI196" t="e">
        <f>'All regions'!I4917+"n/&gt;!)E]"</f>
        <v>#VALUE!</v>
      </c>
      <c r="HJ196" t="e">
        <f>'All regions'!J4917+"n/&gt;!)E^"</f>
        <v>#VALUE!</v>
      </c>
      <c r="HK196" t="e">
        <f>'All regions'!A4918+"n/&gt;!)E_"</f>
        <v>#VALUE!</v>
      </c>
      <c r="HL196" t="e">
        <f>'All regions'!B4918+"n/&gt;!)E`"</f>
        <v>#VALUE!</v>
      </c>
      <c r="HM196" t="e">
        <f>'All regions'!C4918+"n/&gt;!)Ea"</f>
        <v>#VALUE!</v>
      </c>
      <c r="HN196" t="e">
        <f>'All regions'!D4918+"n/&gt;!)Eb"</f>
        <v>#VALUE!</v>
      </c>
      <c r="HO196" t="e">
        <f>'All regions'!E4918+"n/&gt;!)Ec"</f>
        <v>#VALUE!</v>
      </c>
      <c r="HP196" t="e">
        <f>'All regions'!F4918+"n/&gt;!)Ed"</f>
        <v>#VALUE!</v>
      </c>
      <c r="HQ196" t="e">
        <f>'All regions'!G4918+"n/&gt;!)Ee"</f>
        <v>#VALUE!</v>
      </c>
      <c r="HR196" t="e">
        <f>'All regions'!H4918+"n/&gt;!)Ef"</f>
        <v>#VALUE!</v>
      </c>
      <c r="HS196" t="e">
        <f>'All regions'!I4918+"n/&gt;!)Eg"</f>
        <v>#VALUE!</v>
      </c>
      <c r="HT196" t="e">
        <f>'All regions'!J4918+"n/&gt;!)Eh"</f>
        <v>#VALUE!</v>
      </c>
      <c r="HU196" t="e">
        <f>'All regions'!A4919+"n/&gt;!)Ei"</f>
        <v>#VALUE!</v>
      </c>
      <c r="HV196" t="e">
        <f>'All regions'!B4919+"n/&gt;!)Ej"</f>
        <v>#VALUE!</v>
      </c>
      <c r="HW196" t="e">
        <f>'All regions'!C4919+"n/&gt;!)Ek"</f>
        <v>#VALUE!</v>
      </c>
      <c r="HX196" t="e">
        <f>'All regions'!D4919+"n/&gt;!)El"</f>
        <v>#VALUE!</v>
      </c>
      <c r="HY196" t="e">
        <f>'All regions'!E4919+"n/&gt;!)Em"</f>
        <v>#VALUE!</v>
      </c>
      <c r="HZ196" t="e">
        <f>'All regions'!F4919+"n/&gt;!)En"</f>
        <v>#VALUE!</v>
      </c>
      <c r="IA196" t="e">
        <f>'All regions'!G4919+"n/&gt;!)Eo"</f>
        <v>#VALUE!</v>
      </c>
      <c r="IB196" t="e">
        <f>'All regions'!H4919+"n/&gt;!)Ep"</f>
        <v>#VALUE!</v>
      </c>
      <c r="IC196" t="e">
        <f>'All regions'!I4919+"n/&gt;!)Eq"</f>
        <v>#VALUE!</v>
      </c>
      <c r="ID196" t="e">
        <f>'All regions'!J4919+"n/&gt;!)Er"</f>
        <v>#VALUE!</v>
      </c>
      <c r="IE196" t="e">
        <f>'All regions'!A4920+"n/&gt;!)Es"</f>
        <v>#VALUE!</v>
      </c>
      <c r="IF196" t="e">
        <f>'All regions'!B4920+"n/&gt;!)Et"</f>
        <v>#VALUE!</v>
      </c>
      <c r="IG196" t="e">
        <f>'All regions'!C4920+"n/&gt;!)Eu"</f>
        <v>#VALUE!</v>
      </c>
      <c r="IH196" t="e">
        <f>'All regions'!D4920+"n/&gt;!)Ev"</f>
        <v>#VALUE!</v>
      </c>
      <c r="II196" t="e">
        <f>'All regions'!E4920+"n/&gt;!)Ew"</f>
        <v>#VALUE!</v>
      </c>
      <c r="IJ196" t="e">
        <f>'All regions'!F4920+"n/&gt;!)Ex"</f>
        <v>#VALUE!</v>
      </c>
      <c r="IK196" t="e">
        <f>'All regions'!G4920+"n/&gt;!)Ey"</f>
        <v>#VALUE!</v>
      </c>
      <c r="IL196" t="e">
        <f>'All regions'!H4920+"n/&gt;!)Ez"</f>
        <v>#VALUE!</v>
      </c>
      <c r="IM196" t="e">
        <f>'All regions'!I4920+"n/&gt;!)E{"</f>
        <v>#VALUE!</v>
      </c>
      <c r="IN196" t="e">
        <f>'All regions'!J4920+"n/&gt;!)E|"</f>
        <v>#VALUE!</v>
      </c>
      <c r="IO196" t="e">
        <f>'All regions'!A4921+"n/&gt;!)E}"</f>
        <v>#VALUE!</v>
      </c>
      <c r="IP196" t="e">
        <f>'All regions'!B4921+"n/&gt;!)E~"</f>
        <v>#VALUE!</v>
      </c>
      <c r="IQ196" t="e">
        <f>'All regions'!C4921+"n/&gt;!)F#"</f>
        <v>#VALUE!</v>
      </c>
      <c r="IR196" t="e">
        <f>'All regions'!D4921+"n/&gt;!)F$"</f>
        <v>#VALUE!</v>
      </c>
      <c r="IS196" t="e">
        <f>'All regions'!E4921+"n/&gt;!)F%"</f>
        <v>#VALUE!</v>
      </c>
      <c r="IT196" t="e">
        <f>'All regions'!F4921+"n/&gt;!)F&amp;"</f>
        <v>#VALUE!</v>
      </c>
      <c r="IU196" t="e">
        <f>'All regions'!G4921+"n/&gt;!)F'"</f>
        <v>#VALUE!</v>
      </c>
      <c r="IV196" t="e">
        <f>'All regions'!H4921+"n/&gt;!)F("</f>
        <v>#VALUE!</v>
      </c>
    </row>
    <row r="197" spans="6:256" x14ac:dyDescent="0.35">
      <c r="F197" t="e">
        <f>'All regions'!I4921+"n/&gt;!)F)"</f>
        <v>#VALUE!</v>
      </c>
      <c r="G197" t="e">
        <f>'All regions'!J4921+"n/&gt;!)F."</f>
        <v>#VALUE!</v>
      </c>
      <c r="H197" t="e">
        <f>'All regions'!A4922+"n/&gt;!)F/"</f>
        <v>#VALUE!</v>
      </c>
      <c r="I197" t="e">
        <f>'All regions'!B4922+"n/&gt;!)F0"</f>
        <v>#VALUE!</v>
      </c>
      <c r="J197" t="e">
        <f>'All regions'!C4922+"n/&gt;!)F1"</f>
        <v>#VALUE!</v>
      </c>
      <c r="K197" t="e">
        <f>'All regions'!D4922+"n/&gt;!)F2"</f>
        <v>#VALUE!</v>
      </c>
      <c r="L197" t="e">
        <f>'All regions'!E4922+"n/&gt;!)F3"</f>
        <v>#VALUE!</v>
      </c>
      <c r="M197" t="e">
        <f>'All regions'!F4922+"n/&gt;!)F4"</f>
        <v>#VALUE!</v>
      </c>
      <c r="N197" t="e">
        <f>'All regions'!G4922+"n/&gt;!)F5"</f>
        <v>#VALUE!</v>
      </c>
      <c r="O197" t="e">
        <f>'All regions'!H4922+"n/&gt;!)F6"</f>
        <v>#VALUE!</v>
      </c>
      <c r="P197" t="e">
        <f>'All regions'!I4922+"n/&gt;!)F7"</f>
        <v>#VALUE!</v>
      </c>
      <c r="Q197" t="e">
        <f>'All regions'!J4922+"n/&gt;!)F8"</f>
        <v>#VALUE!</v>
      </c>
      <c r="R197" t="e">
        <f>'All regions'!A4923+"n/&gt;!)F9"</f>
        <v>#VALUE!</v>
      </c>
      <c r="S197" t="e">
        <f>'All regions'!B4923+"n/&gt;!)F:"</f>
        <v>#VALUE!</v>
      </c>
      <c r="T197" t="e">
        <f>'All regions'!C4923+"n/&gt;!)F;"</f>
        <v>#VALUE!</v>
      </c>
      <c r="U197" t="e">
        <f>'All regions'!D4923+"n/&gt;!)F&lt;"</f>
        <v>#VALUE!</v>
      </c>
      <c r="V197" t="e">
        <f>'All regions'!E4923+"n/&gt;!)F="</f>
        <v>#VALUE!</v>
      </c>
      <c r="W197" t="e">
        <f>'All regions'!F4923+"n/&gt;!)F&gt;"</f>
        <v>#VALUE!</v>
      </c>
      <c r="X197" t="e">
        <f>'All regions'!G4923+"n/&gt;!)F?"</f>
        <v>#VALUE!</v>
      </c>
      <c r="Y197" t="e">
        <f>'All regions'!H4923+"n/&gt;!)F@"</f>
        <v>#VALUE!</v>
      </c>
      <c r="Z197" t="e">
        <f>'All regions'!I4923+"n/&gt;!)FA"</f>
        <v>#VALUE!</v>
      </c>
      <c r="AA197" t="e">
        <f>'All regions'!J4923+"n/&gt;!)FB"</f>
        <v>#VALUE!</v>
      </c>
      <c r="AB197" t="e">
        <f>'All regions'!A4924+"n/&gt;!)FC"</f>
        <v>#VALUE!</v>
      </c>
      <c r="AC197" t="e">
        <f>'All regions'!B4924+"n/&gt;!)FD"</f>
        <v>#VALUE!</v>
      </c>
      <c r="AD197" t="e">
        <f>'All regions'!C4924+"n/&gt;!)FE"</f>
        <v>#VALUE!</v>
      </c>
      <c r="AE197" t="e">
        <f>'All regions'!D4924+"n/&gt;!)FF"</f>
        <v>#VALUE!</v>
      </c>
      <c r="AF197" t="e">
        <f>'All regions'!E4924+"n/&gt;!)FG"</f>
        <v>#VALUE!</v>
      </c>
      <c r="AG197" t="e">
        <f>'All regions'!F4924+"n/&gt;!)FH"</f>
        <v>#VALUE!</v>
      </c>
      <c r="AH197" t="e">
        <f>'All regions'!G4924+"n/&gt;!)FI"</f>
        <v>#VALUE!</v>
      </c>
      <c r="AI197" t="e">
        <f>'All regions'!H4924+"n/&gt;!)FJ"</f>
        <v>#VALUE!</v>
      </c>
      <c r="AJ197" t="e">
        <f>'All regions'!I4924+"n/&gt;!)FK"</f>
        <v>#VALUE!</v>
      </c>
      <c r="AK197" t="e">
        <f>'All regions'!J4924+"n/&gt;!)FL"</f>
        <v>#VALUE!</v>
      </c>
      <c r="AL197" t="e">
        <f>'All regions'!A4925+"n/&gt;!)FM"</f>
        <v>#VALUE!</v>
      </c>
      <c r="AM197" t="e">
        <f>'All regions'!B4925+"n/&gt;!)FN"</f>
        <v>#VALUE!</v>
      </c>
      <c r="AN197" t="e">
        <f>'All regions'!C4925+"n/&gt;!)FO"</f>
        <v>#VALUE!</v>
      </c>
      <c r="AO197" t="e">
        <f>'All regions'!D4925+"n/&gt;!)FP"</f>
        <v>#VALUE!</v>
      </c>
      <c r="AP197" t="e">
        <f>'All regions'!E4925+"n/&gt;!)FQ"</f>
        <v>#VALUE!</v>
      </c>
      <c r="AQ197" t="e">
        <f>'All regions'!F4925+"n/&gt;!)FR"</f>
        <v>#VALUE!</v>
      </c>
      <c r="AR197" t="e">
        <f>'All regions'!G4925+"n/&gt;!)FS"</f>
        <v>#VALUE!</v>
      </c>
      <c r="AS197" t="e">
        <f>'All regions'!H4925+"n/&gt;!)FT"</f>
        <v>#VALUE!</v>
      </c>
      <c r="AT197" t="e">
        <f>'All regions'!I4925+"n/&gt;!)FU"</f>
        <v>#VALUE!</v>
      </c>
      <c r="AU197" t="e">
        <f>'All regions'!J4925+"n/&gt;!)FV"</f>
        <v>#VALUE!</v>
      </c>
      <c r="AV197" t="e">
        <f>'All regions'!A4926+"n/&gt;!)FW"</f>
        <v>#VALUE!</v>
      </c>
      <c r="AW197" t="e">
        <f>'All regions'!B4926+"n/&gt;!)FX"</f>
        <v>#VALUE!</v>
      </c>
      <c r="AX197" t="e">
        <f>'All regions'!C4926+"n/&gt;!)FY"</f>
        <v>#VALUE!</v>
      </c>
      <c r="AY197" t="e">
        <f>'All regions'!D4926+"n/&gt;!)FZ"</f>
        <v>#VALUE!</v>
      </c>
      <c r="AZ197" t="e">
        <f>'All regions'!E4926+"n/&gt;!)F["</f>
        <v>#VALUE!</v>
      </c>
      <c r="BA197" t="e">
        <f>'All regions'!F4926+"n/&gt;!)F\"</f>
        <v>#VALUE!</v>
      </c>
      <c r="BB197" t="e">
        <f>'All regions'!G4926+"n/&gt;!)F]"</f>
        <v>#VALUE!</v>
      </c>
      <c r="BC197" t="e">
        <f>'All regions'!H4926+"n/&gt;!)F^"</f>
        <v>#VALUE!</v>
      </c>
      <c r="BD197" t="e">
        <f>'All regions'!I4926+"n/&gt;!)F_"</f>
        <v>#VALUE!</v>
      </c>
      <c r="BE197" t="e">
        <f>'All regions'!J4926+"n/&gt;!)F`"</f>
        <v>#VALUE!</v>
      </c>
      <c r="BF197" t="e">
        <f>'All regions'!A4927+"n/&gt;!)Fa"</f>
        <v>#VALUE!</v>
      </c>
      <c r="BG197" t="e">
        <f>'All regions'!B4927+"n/&gt;!)Fb"</f>
        <v>#VALUE!</v>
      </c>
      <c r="BH197" t="e">
        <f>'All regions'!C4927+"n/&gt;!)Fc"</f>
        <v>#VALUE!</v>
      </c>
      <c r="BI197" t="e">
        <f>'All regions'!D4927+"n/&gt;!)Fd"</f>
        <v>#VALUE!</v>
      </c>
      <c r="BJ197" t="e">
        <f>'All regions'!E4927+"n/&gt;!)Fe"</f>
        <v>#VALUE!</v>
      </c>
      <c r="BK197" t="e">
        <f>'All regions'!F4927+"n/&gt;!)Ff"</f>
        <v>#VALUE!</v>
      </c>
      <c r="BL197" t="e">
        <f>'All regions'!G4927+"n/&gt;!)Fg"</f>
        <v>#VALUE!</v>
      </c>
      <c r="BM197" t="e">
        <f>'All regions'!H4927+"n/&gt;!)Fh"</f>
        <v>#VALUE!</v>
      </c>
      <c r="BN197" t="e">
        <f>'All regions'!I4927+"n/&gt;!)Fi"</f>
        <v>#VALUE!</v>
      </c>
      <c r="BO197" t="e">
        <f>'All regions'!J4927+"n/&gt;!)Fj"</f>
        <v>#VALUE!</v>
      </c>
      <c r="BP197" t="e">
        <f>'All regions'!A4928+"n/&gt;!)Fk"</f>
        <v>#VALUE!</v>
      </c>
      <c r="BQ197" t="e">
        <f>'All regions'!B4928+"n/&gt;!)Fl"</f>
        <v>#VALUE!</v>
      </c>
      <c r="BR197" t="e">
        <f>'All regions'!C4928+"n/&gt;!)Fm"</f>
        <v>#VALUE!</v>
      </c>
      <c r="BS197" t="e">
        <f>'All regions'!D4928+"n/&gt;!)Fn"</f>
        <v>#VALUE!</v>
      </c>
      <c r="BT197" t="e">
        <f>'All regions'!E4928+"n/&gt;!)Fo"</f>
        <v>#VALUE!</v>
      </c>
      <c r="BU197" t="e">
        <f>'All regions'!F4928+"n/&gt;!)Fp"</f>
        <v>#VALUE!</v>
      </c>
      <c r="BV197" t="e">
        <f>'All regions'!G4928+"n/&gt;!)Fq"</f>
        <v>#VALUE!</v>
      </c>
      <c r="BW197" t="e">
        <f>'All regions'!H4928+"n/&gt;!)Fr"</f>
        <v>#VALUE!</v>
      </c>
      <c r="BX197" t="e">
        <f>'All regions'!I4928+"n/&gt;!)Fs"</f>
        <v>#VALUE!</v>
      </c>
      <c r="BY197" t="e">
        <f>'All regions'!J4928+"n/&gt;!)Ft"</f>
        <v>#VALUE!</v>
      </c>
      <c r="BZ197" t="e">
        <f>'All regions'!A4929+"n/&gt;!)Fu"</f>
        <v>#VALUE!</v>
      </c>
      <c r="CA197" t="e">
        <f>'All regions'!B4929+"n/&gt;!)Fv"</f>
        <v>#VALUE!</v>
      </c>
      <c r="CB197" t="e">
        <f>'All regions'!C4929+"n/&gt;!)Fw"</f>
        <v>#VALUE!</v>
      </c>
      <c r="CC197" t="e">
        <f>'All regions'!D4929+"n/&gt;!)Fx"</f>
        <v>#VALUE!</v>
      </c>
      <c r="CD197" t="e">
        <f>'All regions'!E4929+"n/&gt;!)Fy"</f>
        <v>#VALUE!</v>
      </c>
      <c r="CE197" t="e">
        <f>'All regions'!F4929+"n/&gt;!)Fz"</f>
        <v>#VALUE!</v>
      </c>
      <c r="CF197" t="e">
        <f>'All regions'!G4929+"n/&gt;!)F{"</f>
        <v>#VALUE!</v>
      </c>
      <c r="CG197" t="e">
        <f>'All regions'!H4929+"n/&gt;!)F|"</f>
        <v>#VALUE!</v>
      </c>
      <c r="CH197" t="e">
        <f>'All regions'!I4929+"n/&gt;!)F}"</f>
        <v>#VALUE!</v>
      </c>
      <c r="CI197" t="e">
        <f>'All regions'!J4929+"n/&gt;!)F~"</f>
        <v>#VALUE!</v>
      </c>
      <c r="CJ197" t="e">
        <f>'All regions'!A4930+"n/&gt;!)G#"</f>
        <v>#VALUE!</v>
      </c>
      <c r="CK197" t="e">
        <f>'All regions'!B4930+"n/&gt;!)G$"</f>
        <v>#VALUE!</v>
      </c>
      <c r="CL197" t="e">
        <f>'All regions'!C4930+"n/&gt;!)G%"</f>
        <v>#VALUE!</v>
      </c>
      <c r="CM197" t="e">
        <f>'All regions'!D4930+"n/&gt;!)G&amp;"</f>
        <v>#VALUE!</v>
      </c>
      <c r="CN197" t="e">
        <f>'All regions'!E4930+"n/&gt;!)G'"</f>
        <v>#VALUE!</v>
      </c>
      <c r="CO197" t="e">
        <f>'All regions'!F4930+"n/&gt;!)G("</f>
        <v>#VALUE!</v>
      </c>
      <c r="CP197" t="e">
        <f>'All regions'!G4930+"n/&gt;!)G)"</f>
        <v>#VALUE!</v>
      </c>
      <c r="CQ197" t="e">
        <f>'All regions'!H4930+"n/&gt;!)G."</f>
        <v>#VALUE!</v>
      </c>
      <c r="CR197" t="e">
        <f>'All regions'!I4930+"n/&gt;!)G/"</f>
        <v>#VALUE!</v>
      </c>
      <c r="CS197" t="e">
        <f>'All regions'!J4930+"n/&gt;!)G0"</f>
        <v>#VALUE!</v>
      </c>
      <c r="CT197" t="e">
        <f>'All regions'!A4931+"n/&gt;!)G1"</f>
        <v>#VALUE!</v>
      </c>
      <c r="CU197" t="e">
        <f>'All regions'!B4931+"n/&gt;!)G2"</f>
        <v>#VALUE!</v>
      </c>
      <c r="CV197" t="e">
        <f>'All regions'!C4931+"n/&gt;!)G3"</f>
        <v>#VALUE!</v>
      </c>
      <c r="CW197" t="e">
        <f>'All regions'!D4931+"n/&gt;!)G4"</f>
        <v>#VALUE!</v>
      </c>
      <c r="CX197" t="e">
        <f>'All regions'!E4931+"n/&gt;!)G5"</f>
        <v>#VALUE!</v>
      </c>
      <c r="CY197" t="e">
        <f>'All regions'!F4931+"n/&gt;!)G6"</f>
        <v>#VALUE!</v>
      </c>
      <c r="CZ197" t="e">
        <f>'All regions'!G4931+"n/&gt;!)G7"</f>
        <v>#VALUE!</v>
      </c>
      <c r="DA197" t="e">
        <f>'All regions'!H4931+"n/&gt;!)G8"</f>
        <v>#VALUE!</v>
      </c>
      <c r="DB197" t="e">
        <f>'All regions'!I4931+"n/&gt;!)G9"</f>
        <v>#VALUE!</v>
      </c>
      <c r="DC197" t="e">
        <f>'All regions'!J4931+"n/&gt;!)G:"</f>
        <v>#VALUE!</v>
      </c>
      <c r="DD197" t="e">
        <f>'All regions'!A4932+"n/&gt;!)G;"</f>
        <v>#VALUE!</v>
      </c>
      <c r="DE197" t="e">
        <f>'All regions'!B4932+"n/&gt;!)G&lt;"</f>
        <v>#VALUE!</v>
      </c>
      <c r="DF197" t="e">
        <f>'All regions'!C4932+"n/&gt;!)G="</f>
        <v>#VALUE!</v>
      </c>
      <c r="DG197" t="e">
        <f>'All regions'!D4932+"n/&gt;!)G&gt;"</f>
        <v>#VALUE!</v>
      </c>
      <c r="DH197" t="e">
        <f>'All regions'!E4932+"n/&gt;!)G?"</f>
        <v>#VALUE!</v>
      </c>
      <c r="DI197" t="e">
        <f>'All regions'!F4932+"n/&gt;!)G@"</f>
        <v>#VALUE!</v>
      </c>
      <c r="DJ197" t="e">
        <f>'All regions'!G4932+"n/&gt;!)GA"</f>
        <v>#VALUE!</v>
      </c>
      <c r="DK197" t="e">
        <f>'All regions'!H4932+"n/&gt;!)GB"</f>
        <v>#VALUE!</v>
      </c>
      <c r="DL197" t="e">
        <f>'All regions'!I4932+"n/&gt;!)GC"</f>
        <v>#VALUE!</v>
      </c>
      <c r="DM197" t="e">
        <f>'All regions'!J4932+"n/&gt;!)GD"</f>
        <v>#VALUE!</v>
      </c>
      <c r="DN197" t="e">
        <f>'All regions'!A4933+"n/&gt;!)GE"</f>
        <v>#VALUE!</v>
      </c>
      <c r="DO197" t="e">
        <f>'All regions'!B4933+"n/&gt;!)GF"</f>
        <v>#VALUE!</v>
      </c>
      <c r="DP197" t="e">
        <f>'All regions'!C4933+"n/&gt;!)GG"</f>
        <v>#VALUE!</v>
      </c>
      <c r="DQ197" t="e">
        <f>'All regions'!D4933+"n/&gt;!)GH"</f>
        <v>#VALUE!</v>
      </c>
      <c r="DR197" t="e">
        <f>'All regions'!E4933+"n/&gt;!)GI"</f>
        <v>#VALUE!</v>
      </c>
      <c r="DS197" t="e">
        <f>'All regions'!F4933+"n/&gt;!)GJ"</f>
        <v>#VALUE!</v>
      </c>
      <c r="DT197" t="e">
        <f>'All regions'!G4933+"n/&gt;!)GK"</f>
        <v>#VALUE!</v>
      </c>
      <c r="DU197" t="e">
        <f>'All regions'!H4933+"n/&gt;!)GL"</f>
        <v>#VALUE!</v>
      </c>
      <c r="DV197" t="e">
        <f>'All regions'!I4933+"n/&gt;!)GM"</f>
        <v>#VALUE!</v>
      </c>
      <c r="DW197" t="e">
        <f>'All regions'!J4933+"n/&gt;!)GN"</f>
        <v>#VALUE!</v>
      </c>
      <c r="DX197" t="e">
        <f>'All regions'!A4934+"n/&gt;!)GO"</f>
        <v>#VALUE!</v>
      </c>
      <c r="DY197" t="e">
        <f>'All regions'!B4934+"n/&gt;!)GP"</f>
        <v>#VALUE!</v>
      </c>
      <c r="DZ197" t="e">
        <f>'All regions'!C4934+"n/&gt;!)GQ"</f>
        <v>#VALUE!</v>
      </c>
      <c r="EA197" t="e">
        <f>'All regions'!D4934+"n/&gt;!)GR"</f>
        <v>#VALUE!</v>
      </c>
      <c r="EB197" t="e">
        <f>'All regions'!E4934+"n/&gt;!)GS"</f>
        <v>#VALUE!</v>
      </c>
      <c r="EC197" t="e">
        <f>'All regions'!F4934+"n/&gt;!)GT"</f>
        <v>#VALUE!</v>
      </c>
      <c r="ED197" t="e">
        <f>'All regions'!G4934+"n/&gt;!)GU"</f>
        <v>#VALUE!</v>
      </c>
      <c r="EE197" t="e">
        <f>'All regions'!H4934+"n/&gt;!)GV"</f>
        <v>#VALUE!</v>
      </c>
      <c r="EF197" t="e">
        <f>'All regions'!I4934+"n/&gt;!)GW"</f>
        <v>#VALUE!</v>
      </c>
      <c r="EG197" t="e">
        <f>'All regions'!J4934+"n/&gt;!)GX"</f>
        <v>#VALUE!</v>
      </c>
      <c r="EH197" t="e">
        <f>'All regions'!A4935+"n/&gt;!)GY"</f>
        <v>#VALUE!</v>
      </c>
      <c r="EI197" t="e">
        <f>'All regions'!B4935+"n/&gt;!)GZ"</f>
        <v>#VALUE!</v>
      </c>
      <c r="EJ197" t="e">
        <f>'All regions'!C4935+"n/&gt;!)G["</f>
        <v>#VALUE!</v>
      </c>
      <c r="EK197" t="e">
        <f>'All regions'!D4935+"n/&gt;!)G\"</f>
        <v>#VALUE!</v>
      </c>
      <c r="EL197" t="e">
        <f>'All regions'!E4935+"n/&gt;!)G]"</f>
        <v>#VALUE!</v>
      </c>
      <c r="EM197" t="e">
        <f>'All regions'!F4935+"n/&gt;!)G^"</f>
        <v>#VALUE!</v>
      </c>
      <c r="EN197" t="e">
        <f>'All regions'!G4935+"n/&gt;!)G_"</f>
        <v>#VALUE!</v>
      </c>
      <c r="EO197" t="e">
        <f>'All regions'!H4935+"n/&gt;!)G`"</f>
        <v>#VALUE!</v>
      </c>
      <c r="EP197" t="e">
        <f>'All regions'!I4935+"n/&gt;!)Ga"</f>
        <v>#VALUE!</v>
      </c>
      <c r="EQ197" t="e">
        <f>'All regions'!J4935+"n/&gt;!)Gb"</f>
        <v>#VALUE!</v>
      </c>
      <c r="ER197" t="e">
        <f>'All regions'!A4936+"n/&gt;!)Gc"</f>
        <v>#VALUE!</v>
      </c>
      <c r="ES197" t="e">
        <f>'All regions'!B4936+"n/&gt;!)Gd"</f>
        <v>#VALUE!</v>
      </c>
      <c r="ET197" t="e">
        <f>'All regions'!C4936+"n/&gt;!)Ge"</f>
        <v>#VALUE!</v>
      </c>
      <c r="EU197" t="e">
        <f>'All regions'!D4936+"n/&gt;!)Gf"</f>
        <v>#VALUE!</v>
      </c>
      <c r="EV197" t="e">
        <f>'All regions'!E4936+"n/&gt;!)Gg"</f>
        <v>#VALUE!</v>
      </c>
      <c r="EW197" t="e">
        <f>'All regions'!F4936+"n/&gt;!)Gh"</f>
        <v>#VALUE!</v>
      </c>
      <c r="EX197" t="e">
        <f>'All regions'!G4936+"n/&gt;!)Gi"</f>
        <v>#VALUE!</v>
      </c>
      <c r="EY197" t="e">
        <f>'All regions'!H4936+"n/&gt;!)Gj"</f>
        <v>#VALUE!</v>
      </c>
      <c r="EZ197" t="e">
        <f>'All regions'!I4936+"n/&gt;!)Gk"</f>
        <v>#VALUE!</v>
      </c>
      <c r="FA197" t="e">
        <f>'All regions'!J4936+"n/&gt;!)Gl"</f>
        <v>#VALUE!</v>
      </c>
      <c r="FB197" t="e">
        <f>'All regions'!A4937+"n/&gt;!)Gm"</f>
        <v>#VALUE!</v>
      </c>
      <c r="FC197" t="e">
        <f>'All regions'!B4937+"n/&gt;!)Gn"</f>
        <v>#VALUE!</v>
      </c>
      <c r="FD197" t="e">
        <f>'All regions'!C4937+"n/&gt;!)Go"</f>
        <v>#VALUE!</v>
      </c>
      <c r="FE197" t="e">
        <f>'All regions'!D4937+"n/&gt;!)Gp"</f>
        <v>#VALUE!</v>
      </c>
      <c r="FF197" t="e">
        <f>'All regions'!E4937+"n/&gt;!)Gq"</f>
        <v>#VALUE!</v>
      </c>
      <c r="FG197" t="e">
        <f>'All regions'!F4937+"n/&gt;!)Gr"</f>
        <v>#VALUE!</v>
      </c>
      <c r="FH197" t="e">
        <f>'All regions'!G4937+"n/&gt;!)Gs"</f>
        <v>#VALUE!</v>
      </c>
      <c r="FI197" t="e">
        <f>'All regions'!H4937+"n/&gt;!)Gt"</f>
        <v>#VALUE!</v>
      </c>
      <c r="FJ197" t="e">
        <f>'All regions'!I4937+"n/&gt;!)Gu"</f>
        <v>#VALUE!</v>
      </c>
      <c r="FK197" t="e">
        <f>'All regions'!J4937+"n/&gt;!)Gv"</f>
        <v>#VALUE!</v>
      </c>
      <c r="FL197" t="e">
        <f>'All regions'!A4938+"n/&gt;!)Gw"</f>
        <v>#VALUE!</v>
      </c>
      <c r="FM197" t="e">
        <f>'All regions'!B4938+"n/&gt;!)Gx"</f>
        <v>#VALUE!</v>
      </c>
      <c r="FN197" t="e">
        <f>'All regions'!C4938+"n/&gt;!)Gy"</f>
        <v>#VALUE!</v>
      </c>
      <c r="FO197" t="e">
        <f>'All regions'!D4938+"n/&gt;!)Gz"</f>
        <v>#VALUE!</v>
      </c>
      <c r="FP197" t="e">
        <f>'All regions'!E4938+"n/&gt;!)G{"</f>
        <v>#VALUE!</v>
      </c>
      <c r="FQ197" t="e">
        <f>'All regions'!F4938+"n/&gt;!)G|"</f>
        <v>#VALUE!</v>
      </c>
      <c r="FR197" t="e">
        <f>'All regions'!G4938+"n/&gt;!)G}"</f>
        <v>#VALUE!</v>
      </c>
      <c r="FS197" t="e">
        <f>'All regions'!H4938+"n/&gt;!)G~"</f>
        <v>#VALUE!</v>
      </c>
      <c r="FT197" t="e">
        <f>'All regions'!I4938+"n/&gt;!)H#"</f>
        <v>#VALUE!</v>
      </c>
      <c r="FU197" t="e">
        <f>'All regions'!J4938+"n/&gt;!)H$"</f>
        <v>#VALUE!</v>
      </c>
      <c r="FV197" t="e">
        <f>'All regions'!A4939+"n/&gt;!)H%"</f>
        <v>#VALUE!</v>
      </c>
      <c r="FW197" t="e">
        <f>'All regions'!B4939+"n/&gt;!)H&amp;"</f>
        <v>#VALUE!</v>
      </c>
      <c r="FX197" t="e">
        <f>'All regions'!C4939+"n/&gt;!)H'"</f>
        <v>#VALUE!</v>
      </c>
      <c r="FY197" t="e">
        <f>'All regions'!D4939+"n/&gt;!)H("</f>
        <v>#VALUE!</v>
      </c>
      <c r="FZ197" t="e">
        <f>'All regions'!E4939+"n/&gt;!)H)"</f>
        <v>#VALUE!</v>
      </c>
      <c r="GA197" t="e">
        <f>'All regions'!F4939+"n/&gt;!)H."</f>
        <v>#VALUE!</v>
      </c>
      <c r="GB197" t="e">
        <f>'All regions'!G4939+"n/&gt;!)H/"</f>
        <v>#VALUE!</v>
      </c>
      <c r="GC197" t="e">
        <f>'All regions'!H4939+"n/&gt;!)H0"</f>
        <v>#VALUE!</v>
      </c>
      <c r="GD197" t="e">
        <f>'All regions'!I4939+"n/&gt;!)H1"</f>
        <v>#VALUE!</v>
      </c>
      <c r="GE197" t="e">
        <f>'All regions'!J4939+"n/&gt;!)H2"</f>
        <v>#VALUE!</v>
      </c>
      <c r="GF197" t="e">
        <f>'All regions'!A4940+"n/&gt;!)H3"</f>
        <v>#VALUE!</v>
      </c>
      <c r="GG197" t="e">
        <f>'All regions'!B4940+"n/&gt;!)H4"</f>
        <v>#VALUE!</v>
      </c>
      <c r="GH197" t="e">
        <f>'All regions'!C4940+"n/&gt;!)H5"</f>
        <v>#VALUE!</v>
      </c>
      <c r="GI197" t="e">
        <f>'All regions'!D4940+"n/&gt;!)H6"</f>
        <v>#VALUE!</v>
      </c>
      <c r="GJ197" t="e">
        <f>'All regions'!E4940+"n/&gt;!)H7"</f>
        <v>#VALUE!</v>
      </c>
      <c r="GK197" t="e">
        <f>'All regions'!F4940+"n/&gt;!)H8"</f>
        <v>#VALUE!</v>
      </c>
      <c r="GL197" t="e">
        <f>'All regions'!G4940+"n/&gt;!)H9"</f>
        <v>#VALUE!</v>
      </c>
      <c r="GM197" t="e">
        <f>'All regions'!H4940+"n/&gt;!)H:"</f>
        <v>#VALUE!</v>
      </c>
      <c r="GN197" t="e">
        <f>'All regions'!I4940+"n/&gt;!)H;"</f>
        <v>#VALUE!</v>
      </c>
      <c r="GO197" t="e">
        <f>'All regions'!J4940+"n/&gt;!)H&lt;"</f>
        <v>#VALUE!</v>
      </c>
      <c r="GP197" t="e">
        <f>'All regions'!A4941+"n/&gt;!)H="</f>
        <v>#VALUE!</v>
      </c>
      <c r="GQ197" t="e">
        <f>'All regions'!B4941+"n/&gt;!)H&gt;"</f>
        <v>#VALUE!</v>
      </c>
      <c r="GR197" t="e">
        <f>'All regions'!C4941+"n/&gt;!)H?"</f>
        <v>#VALUE!</v>
      </c>
      <c r="GS197" t="e">
        <f>'All regions'!D4941+"n/&gt;!)H@"</f>
        <v>#VALUE!</v>
      </c>
      <c r="GT197" t="e">
        <f>'All regions'!E4941+"n/&gt;!)HA"</f>
        <v>#VALUE!</v>
      </c>
      <c r="GU197" t="e">
        <f>'All regions'!F4941+"n/&gt;!)HB"</f>
        <v>#VALUE!</v>
      </c>
      <c r="GV197" t="e">
        <f>'All regions'!G4941+"n/&gt;!)HC"</f>
        <v>#VALUE!</v>
      </c>
      <c r="GW197" t="e">
        <f>'All regions'!H4941+"n/&gt;!)HD"</f>
        <v>#VALUE!</v>
      </c>
      <c r="GX197" t="e">
        <f>'All regions'!I4941+"n/&gt;!)HE"</f>
        <v>#VALUE!</v>
      </c>
      <c r="GY197" t="e">
        <f>'All regions'!J4941+"n/&gt;!)HF"</f>
        <v>#VALUE!</v>
      </c>
      <c r="GZ197" t="e">
        <f>'All regions'!A4942+"n/&gt;!)HG"</f>
        <v>#VALUE!</v>
      </c>
      <c r="HA197" t="e">
        <f>'All regions'!B4942+"n/&gt;!)HH"</f>
        <v>#VALUE!</v>
      </c>
      <c r="HB197" t="e">
        <f>'All regions'!C4942+"n/&gt;!)HI"</f>
        <v>#VALUE!</v>
      </c>
      <c r="HC197" t="e">
        <f>'All regions'!D4942+"n/&gt;!)HJ"</f>
        <v>#VALUE!</v>
      </c>
      <c r="HD197" t="e">
        <f>'All regions'!E4942+"n/&gt;!)HK"</f>
        <v>#VALUE!</v>
      </c>
      <c r="HE197" t="e">
        <f>'All regions'!F4942+"n/&gt;!)HL"</f>
        <v>#VALUE!</v>
      </c>
      <c r="HF197" t="e">
        <f>'All regions'!G4942+"n/&gt;!)HM"</f>
        <v>#VALUE!</v>
      </c>
      <c r="HG197" t="e">
        <f>'All regions'!H4942+"n/&gt;!)HN"</f>
        <v>#VALUE!</v>
      </c>
      <c r="HH197" t="e">
        <f>'All regions'!I4942+"n/&gt;!)HO"</f>
        <v>#VALUE!</v>
      </c>
      <c r="HI197" t="e">
        <f>'All regions'!J4942+"n/&gt;!)HP"</f>
        <v>#VALUE!</v>
      </c>
      <c r="HJ197" t="e">
        <f>'All regions'!A4943+"n/&gt;!)HQ"</f>
        <v>#VALUE!</v>
      </c>
      <c r="HK197" t="e">
        <f>'All regions'!B4943+"n/&gt;!)HR"</f>
        <v>#VALUE!</v>
      </c>
      <c r="HL197" t="e">
        <f>'All regions'!C4943+"n/&gt;!)HS"</f>
        <v>#VALUE!</v>
      </c>
      <c r="HM197" t="e">
        <f>'All regions'!D4943+"n/&gt;!)HT"</f>
        <v>#VALUE!</v>
      </c>
      <c r="HN197" t="e">
        <f>'All regions'!E4943+"n/&gt;!)HU"</f>
        <v>#VALUE!</v>
      </c>
      <c r="HO197" t="e">
        <f>'All regions'!F4943+"n/&gt;!)HV"</f>
        <v>#VALUE!</v>
      </c>
      <c r="HP197" t="e">
        <f>'All regions'!G4943+"n/&gt;!)HW"</f>
        <v>#VALUE!</v>
      </c>
      <c r="HQ197" t="e">
        <f>'All regions'!H4943+"n/&gt;!)HX"</f>
        <v>#VALUE!</v>
      </c>
      <c r="HR197" t="e">
        <f>'All regions'!I4943+"n/&gt;!)HY"</f>
        <v>#VALUE!</v>
      </c>
      <c r="HS197" t="e">
        <f>'All regions'!J4943+"n/&gt;!)HZ"</f>
        <v>#VALUE!</v>
      </c>
      <c r="HT197" t="e">
        <f>'All regions'!A4944+"n/&gt;!)H["</f>
        <v>#VALUE!</v>
      </c>
      <c r="HU197" t="e">
        <f>'All regions'!B4944+"n/&gt;!)H\"</f>
        <v>#VALUE!</v>
      </c>
      <c r="HV197" t="e">
        <f>'All regions'!C4944+"n/&gt;!)H]"</f>
        <v>#VALUE!</v>
      </c>
      <c r="HW197" t="e">
        <f>'All regions'!D4944+"n/&gt;!)H^"</f>
        <v>#VALUE!</v>
      </c>
      <c r="HX197" t="e">
        <f>'All regions'!E4944+"n/&gt;!)H_"</f>
        <v>#VALUE!</v>
      </c>
      <c r="HY197" t="e">
        <f>'All regions'!F4944+"n/&gt;!)H`"</f>
        <v>#VALUE!</v>
      </c>
      <c r="HZ197" t="e">
        <f>'All regions'!G4944+"n/&gt;!)Ha"</f>
        <v>#VALUE!</v>
      </c>
      <c r="IA197" t="e">
        <f>'All regions'!H4944+"n/&gt;!)Hb"</f>
        <v>#VALUE!</v>
      </c>
      <c r="IB197" t="e">
        <f>'All regions'!I4944+"n/&gt;!)Hc"</f>
        <v>#VALUE!</v>
      </c>
      <c r="IC197" t="e">
        <f>'All regions'!J4944+"n/&gt;!)Hd"</f>
        <v>#VALUE!</v>
      </c>
      <c r="ID197" t="e">
        <f>'All regions'!A4945+"n/&gt;!)He"</f>
        <v>#VALUE!</v>
      </c>
      <c r="IE197" t="e">
        <f>'All regions'!B4945+"n/&gt;!)Hf"</f>
        <v>#VALUE!</v>
      </c>
      <c r="IF197" t="e">
        <f>'All regions'!C4945+"n/&gt;!)Hg"</f>
        <v>#VALUE!</v>
      </c>
      <c r="IG197" t="e">
        <f>'All regions'!D4945+"n/&gt;!)Hh"</f>
        <v>#VALUE!</v>
      </c>
      <c r="IH197" t="e">
        <f>'All regions'!E4945+"n/&gt;!)Hi"</f>
        <v>#VALUE!</v>
      </c>
      <c r="II197" t="e">
        <f>'All regions'!F4945+"n/&gt;!)Hj"</f>
        <v>#VALUE!</v>
      </c>
      <c r="IJ197" t="e">
        <f>'All regions'!G4945+"n/&gt;!)Hk"</f>
        <v>#VALUE!</v>
      </c>
      <c r="IK197" t="e">
        <f>'All regions'!H4945+"n/&gt;!)Hl"</f>
        <v>#VALUE!</v>
      </c>
      <c r="IL197" t="e">
        <f>'All regions'!I4945+"n/&gt;!)Hm"</f>
        <v>#VALUE!</v>
      </c>
      <c r="IM197" t="e">
        <f>'All regions'!J4945+"n/&gt;!)Hn"</f>
        <v>#VALUE!</v>
      </c>
      <c r="IN197" t="e">
        <f>'All regions'!A4946+"n/&gt;!)Ho"</f>
        <v>#VALUE!</v>
      </c>
      <c r="IO197" t="e">
        <f>'All regions'!B4946+"n/&gt;!)Hp"</f>
        <v>#VALUE!</v>
      </c>
      <c r="IP197" t="e">
        <f>'All regions'!C4946+"n/&gt;!)Hq"</f>
        <v>#VALUE!</v>
      </c>
      <c r="IQ197" t="e">
        <f>'All regions'!D4946+"n/&gt;!)Hr"</f>
        <v>#VALUE!</v>
      </c>
      <c r="IR197" t="e">
        <f>'All regions'!E4946+"n/&gt;!)Hs"</f>
        <v>#VALUE!</v>
      </c>
      <c r="IS197" t="e">
        <f>'All regions'!F4946+"n/&gt;!)Ht"</f>
        <v>#VALUE!</v>
      </c>
      <c r="IT197" t="e">
        <f>'All regions'!G4946+"n/&gt;!)Hu"</f>
        <v>#VALUE!</v>
      </c>
      <c r="IU197" t="e">
        <f>'All regions'!H4946+"n/&gt;!)Hv"</f>
        <v>#VALUE!</v>
      </c>
      <c r="IV197" t="e">
        <f>'All regions'!I4946+"n/&gt;!)Hw"</f>
        <v>#VALUE!</v>
      </c>
    </row>
    <row r="198" spans="6:256" x14ac:dyDescent="0.35">
      <c r="F198" t="e">
        <f>'All regions'!J4946+"n/&gt;!)Hx"</f>
        <v>#VALUE!</v>
      </c>
      <c r="G198" t="e">
        <f>'All regions'!A4947+"n/&gt;!)Hy"</f>
        <v>#VALUE!</v>
      </c>
      <c r="H198" t="e">
        <f>'All regions'!B4947+"n/&gt;!)Hz"</f>
        <v>#VALUE!</v>
      </c>
      <c r="I198" t="e">
        <f>'All regions'!C4947+"n/&gt;!)H{"</f>
        <v>#VALUE!</v>
      </c>
      <c r="J198" t="e">
        <f>'All regions'!D4947+"n/&gt;!)H|"</f>
        <v>#VALUE!</v>
      </c>
      <c r="K198" t="e">
        <f>'All regions'!E4947+"n/&gt;!)H}"</f>
        <v>#VALUE!</v>
      </c>
      <c r="L198" t="e">
        <f>'All regions'!F4947+"n/&gt;!)H~"</f>
        <v>#VALUE!</v>
      </c>
      <c r="M198" t="e">
        <f>'All regions'!G4947+"n/&gt;!)I#"</f>
        <v>#VALUE!</v>
      </c>
      <c r="N198" t="e">
        <f>'All regions'!H4947+"n/&gt;!)I$"</f>
        <v>#VALUE!</v>
      </c>
      <c r="O198" t="e">
        <f>'All regions'!I4947+"n/&gt;!)I%"</f>
        <v>#VALUE!</v>
      </c>
      <c r="P198" t="e">
        <f>'All regions'!J4947+"n/&gt;!)I&amp;"</f>
        <v>#VALUE!</v>
      </c>
      <c r="Q198" t="e">
        <f>'All regions'!A4948+"n/&gt;!)I'"</f>
        <v>#VALUE!</v>
      </c>
      <c r="R198" t="e">
        <f>'All regions'!B4948+"n/&gt;!)I("</f>
        <v>#VALUE!</v>
      </c>
      <c r="S198" t="e">
        <f>'All regions'!C4948+"n/&gt;!)I)"</f>
        <v>#VALUE!</v>
      </c>
      <c r="T198" t="e">
        <f>'All regions'!D4948+"n/&gt;!)I."</f>
        <v>#VALUE!</v>
      </c>
      <c r="U198" t="e">
        <f>'All regions'!E4948+"n/&gt;!)I/"</f>
        <v>#VALUE!</v>
      </c>
      <c r="V198" t="e">
        <f>'All regions'!F4948+"n/&gt;!)I0"</f>
        <v>#VALUE!</v>
      </c>
      <c r="W198" t="e">
        <f>'All regions'!G4948+"n/&gt;!)I1"</f>
        <v>#VALUE!</v>
      </c>
      <c r="X198" t="e">
        <f>'All regions'!H4948+"n/&gt;!)I2"</f>
        <v>#VALUE!</v>
      </c>
      <c r="Y198" t="e">
        <f>'All regions'!I4948+"n/&gt;!)I3"</f>
        <v>#VALUE!</v>
      </c>
      <c r="Z198" t="e">
        <f>'All regions'!J4948+"n/&gt;!)I4"</f>
        <v>#VALUE!</v>
      </c>
      <c r="AA198" t="e">
        <f>'All regions'!A4949+"n/&gt;!)I5"</f>
        <v>#VALUE!</v>
      </c>
      <c r="AB198" t="e">
        <f>'All regions'!B4949+"n/&gt;!)I6"</f>
        <v>#VALUE!</v>
      </c>
      <c r="AC198" t="e">
        <f>'All regions'!C4949+"n/&gt;!)I7"</f>
        <v>#VALUE!</v>
      </c>
      <c r="AD198" t="e">
        <f>'All regions'!D4949+"n/&gt;!)I8"</f>
        <v>#VALUE!</v>
      </c>
      <c r="AE198" t="e">
        <f>'All regions'!E4949+"n/&gt;!)I9"</f>
        <v>#VALUE!</v>
      </c>
      <c r="AF198" t="e">
        <f>'All regions'!F4949+"n/&gt;!)I:"</f>
        <v>#VALUE!</v>
      </c>
      <c r="AG198" t="e">
        <f>'All regions'!G4949+"n/&gt;!)I;"</f>
        <v>#VALUE!</v>
      </c>
      <c r="AH198" t="e">
        <f>'All regions'!H4949+"n/&gt;!)I&lt;"</f>
        <v>#VALUE!</v>
      </c>
      <c r="AI198" t="e">
        <f>'All regions'!I4949+"n/&gt;!)I="</f>
        <v>#VALUE!</v>
      </c>
      <c r="AJ198" t="e">
        <f>'All regions'!J4949+"n/&gt;!)I&gt;"</f>
        <v>#VALUE!</v>
      </c>
      <c r="AK198" t="e">
        <f>'All regions'!A4950+"n/&gt;!)I?"</f>
        <v>#VALUE!</v>
      </c>
      <c r="AL198" t="e">
        <f>'All regions'!B4950+"n/&gt;!)I@"</f>
        <v>#VALUE!</v>
      </c>
      <c r="AM198" t="e">
        <f>'All regions'!C4950+"n/&gt;!)IA"</f>
        <v>#VALUE!</v>
      </c>
      <c r="AN198" t="e">
        <f>'All regions'!D4950+"n/&gt;!)IB"</f>
        <v>#VALUE!</v>
      </c>
      <c r="AO198" t="e">
        <f>'All regions'!E4950+"n/&gt;!)IC"</f>
        <v>#VALUE!</v>
      </c>
      <c r="AP198" t="e">
        <f>'All regions'!F4950+"n/&gt;!)ID"</f>
        <v>#VALUE!</v>
      </c>
      <c r="AQ198" t="e">
        <f>'All regions'!G4950+"n/&gt;!)IE"</f>
        <v>#VALUE!</v>
      </c>
      <c r="AR198" t="e">
        <f>'All regions'!H4950+"n/&gt;!)IF"</f>
        <v>#VALUE!</v>
      </c>
      <c r="AS198" t="e">
        <f>'All regions'!I4950+"n/&gt;!)IG"</f>
        <v>#VALUE!</v>
      </c>
      <c r="AT198" t="e">
        <f>'All regions'!J4950+"n/&gt;!)IH"</f>
        <v>#VALUE!</v>
      </c>
      <c r="AU198" t="e">
        <f>'All regions'!A4951+"n/&gt;!)II"</f>
        <v>#VALUE!</v>
      </c>
      <c r="AV198" t="e">
        <f>'All regions'!B4951+"n/&gt;!)IJ"</f>
        <v>#VALUE!</v>
      </c>
      <c r="AW198" t="e">
        <f>'All regions'!C4951+"n/&gt;!)IK"</f>
        <v>#VALUE!</v>
      </c>
      <c r="AX198" t="e">
        <f>'All regions'!D4951+"n/&gt;!)IL"</f>
        <v>#VALUE!</v>
      </c>
      <c r="AY198" t="e">
        <f>'All regions'!E4951+"n/&gt;!)IM"</f>
        <v>#VALUE!</v>
      </c>
      <c r="AZ198" t="e">
        <f>'All regions'!F4951+"n/&gt;!)IN"</f>
        <v>#VALUE!</v>
      </c>
      <c r="BA198" t="e">
        <f>'All regions'!G4951+"n/&gt;!)IO"</f>
        <v>#VALUE!</v>
      </c>
      <c r="BB198" t="e">
        <f>'All regions'!H4951+"n/&gt;!)IP"</f>
        <v>#VALUE!</v>
      </c>
      <c r="BC198" t="e">
        <f>'All regions'!I4951+"n/&gt;!)IQ"</f>
        <v>#VALUE!</v>
      </c>
      <c r="BD198" t="e">
        <f>'All regions'!J4951+"n/&gt;!)IR"</f>
        <v>#VALUE!</v>
      </c>
      <c r="BE198" t="e">
        <f>'All regions'!A4952+"n/&gt;!)IS"</f>
        <v>#VALUE!</v>
      </c>
      <c r="BF198" t="e">
        <f>'All regions'!B4952+"n/&gt;!)IT"</f>
        <v>#VALUE!</v>
      </c>
      <c r="BG198" t="e">
        <f>'All regions'!C4952+"n/&gt;!)IU"</f>
        <v>#VALUE!</v>
      </c>
      <c r="BH198" t="e">
        <f>'All regions'!D4952+"n/&gt;!)IV"</f>
        <v>#VALUE!</v>
      </c>
      <c r="BI198" t="e">
        <f>'All regions'!E4952+"n/&gt;!)IW"</f>
        <v>#VALUE!</v>
      </c>
      <c r="BJ198" t="e">
        <f>'All regions'!F4952+"n/&gt;!)IX"</f>
        <v>#VALUE!</v>
      </c>
      <c r="BK198" t="e">
        <f>'All regions'!G4952+"n/&gt;!)IY"</f>
        <v>#VALUE!</v>
      </c>
      <c r="BL198" t="e">
        <f>'All regions'!H4952+"n/&gt;!)IZ"</f>
        <v>#VALUE!</v>
      </c>
      <c r="BM198" t="e">
        <f>'All regions'!I4952+"n/&gt;!)I["</f>
        <v>#VALUE!</v>
      </c>
      <c r="BN198" t="e">
        <f>'All regions'!J4952+"n/&gt;!)I\"</f>
        <v>#VALUE!</v>
      </c>
      <c r="BO198" t="e">
        <f>'All regions'!A4953+"n/&gt;!)I]"</f>
        <v>#VALUE!</v>
      </c>
      <c r="BP198" t="e">
        <f>'All regions'!B4953+"n/&gt;!)I^"</f>
        <v>#VALUE!</v>
      </c>
      <c r="BQ198" t="e">
        <f>'All regions'!C4953+"n/&gt;!)I_"</f>
        <v>#VALUE!</v>
      </c>
      <c r="BR198" t="e">
        <f>'All regions'!D4953+"n/&gt;!)I`"</f>
        <v>#VALUE!</v>
      </c>
      <c r="BS198" t="e">
        <f>'All regions'!E4953+"n/&gt;!)Ia"</f>
        <v>#VALUE!</v>
      </c>
      <c r="BT198" t="e">
        <f>'All regions'!F4953+"n/&gt;!)Ib"</f>
        <v>#VALUE!</v>
      </c>
      <c r="BU198" t="e">
        <f>'All regions'!G4953+"n/&gt;!)Ic"</f>
        <v>#VALUE!</v>
      </c>
      <c r="BV198" t="e">
        <f>'All regions'!H4953+"n/&gt;!)Id"</f>
        <v>#VALUE!</v>
      </c>
      <c r="BW198" t="e">
        <f>'All regions'!I4953+"n/&gt;!)Ie"</f>
        <v>#VALUE!</v>
      </c>
      <c r="BX198" t="e">
        <f>'All regions'!J4953+"n/&gt;!)If"</f>
        <v>#VALUE!</v>
      </c>
      <c r="BY198" t="e">
        <f>'All regions'!A4954+"n/&gt;!)Ig"</f>
        <v>#VALUE!</v>
      </c>
      <c r="BZ198" t="e">
        <f>'All regions'!B4954+"n/&gt;!)Ih"</f>
        <v>#VALUE!</v>
      </c>
      <c r="CA198" t="e">
        <f>'All regions'!C4954+"n/&gt;!)Ii"</f>
        <v>#VALUE!</v>
      </c>
      <c r="CB198" t="e">
        <f>'All regions'!D4954+"n/&gt;!)Ij"</f>
        <v>#VALUE!</v>
      </c>
      <c r="CC198" t="e">
        <f>'All regions'!E4954+"n/&gt;!)Ik"</f>
        <v>#VALUE!</v>
      </c>
      <c r="CD198" t="e">
        <f>'All regions'!F4954+"n/&gt;!)Il"</f>
        <v>#VALUE!</v>
      </c>
      <c r="CE198" t="e">
        <f>'All regions'!G4954+"n/&gt;!)Im"</f>
        <v>#VALUE!</v>
      </c>
      <c r="CF198" t="e">
        <f>'All regions'!H4954+"n/&gt;!)In"</f>
        <v>#VALUE!</v>
      </c>
      <c r="CG198" t="e">
        <f>'All regions'!I4954+"n/&gt;!)Io"</f>
        <v>#VALUE!</v>
      </c>
      <c r="CH198" t="e">
        <f>'All regions'!J4954+"n/&gt;!)Ip"</f>
        <v>#VALUE!</v>
      </c>
      <c r="CI198" t="e">
        <f>'All regions'!A4955+"n/&gt;!)Iq"</f>
        <v>#VALUE!</v>
      </c>
      <c r="CJ198" t="e">
        <f>'All regions'!B4955+"n/&gt;!)Ir"</f>
        <v>#VALUE!</v>
      </c>
      <c r="CK198" t="e">
        <f>'All regions'!C4955+"n/&gt;!)Is"</f>
        <v>#VALUE!</v>
      </c>
      <c r="CL198" t="e">
        <f>'All regions'!D4955+"n/&gt;!)It"</f>
        <v>#VALUE!</v>
      </c>
      <c r="CM198" t="e">
        <f>'All regions'!E4955+"n/&gt;!)Iu"</f>
        <v>#VALUE!</v>
      </c>
      <c r="CN198" t="e">
        <f>'All regions'!F4955+"n/&gt;!)Iv"</f>
        <v>#VALUE!</v>
      </c>
      <c r="CO198" t="e">
        <f>'All regions'!G4955+"n/&gt;!)Iw"</f>
        <v>#VALUE!</v>
      </c>
      <c r="CP198" t="e">
        <f>'All regions'!H4955+"n/&gt;!)Ix"</f>
        <v>#VALUE!</v>
      </c>
      <c r="CQ198" t="e">
        <f>'All regions'!I4955+"n/&gt;!)Iy"</f>
        <v>#VALUE!</v>
      </c>
      <c r="CR198" t="e">
        <f>'All regions'!J4955+"n/&gt;!)Iz"</f>
        <v>#VALUE!</v>
      </c>
      <c r="CS198" t="e">
        <f>'All regions'!A4956+"n/&gt;!)I{"</f>
        <v>#VALUE!</v>
      </c>
      <c r="CT198" t="e">
        <f>'All regions'!B4956+"n/&gt;!)I|"</f>
        <v>#VALUE!</v>
      </c>
      <c r="CU198" t="e">
        <f>'All regions'!C4956+"n/&gt;!)I}"</f>
        <v>#VALUE!</v>
      </c>
      <c r="CV198" t="e">
        <f>'All regions'!D4956+"n/&gt;!)I~"</f>
        <v>#VALUE!</v>
      </c>
      <c r="CW198" t="e">
        <f>'All regions'!E4956+"n/&gt;!)J#"</f>
        <v>#VALUE!</v>
      </c>
      <c r="CX198" t="e">
        <f>'All regions'!F4956+"n/&gt;!)J$"</f>
        <v>#VALUE!</v>
      </c>
      <c r="CY198" t="e">
        <f>'All regions'!G4956+"n/&gt;!)J%"</f>
        <v>#VALUE!</v>
      </c>
      <c r="CZ198" t="e">
        <f>'All regions'!H4956+"n/&gt;!)J&amp;"</f>
        <v>#VALUE!</v>
      </c>
      <c r="DA198" t="e">
        <f>'All regions'!I4956+"n/&gt;!)J'"</f>
        <v>#VALUE!</v>
      </c>
      <c r="DB198" t="e">
        <f>'All regions'!J4956+"n/&gt;!)J("</f>
        <v>#VALUE!</v>
      </c>
      <c r="DC198" t="e">
        <f>'All regions'!A4957+"n/&gt;!)J)"</f>
        <v>#VALUE!</v>
      </c>
      <c r="DD198" t="e">
        <f>'All regions'!B4957+"n/&gt;!)J."</f>
        <v>#VALUE!</v>
      </c>
      <c r="DE198" t="e">
        <f>'All regions'!C4957+"n/&gt;!)J/"</f>
        <v>#VALUE!</v>
      </c>
      <c r="DF198" t="e">
        <f>'All regions'!D4957+"n/&gt;!)J0"</f>
        <v>#VALUE!</v>
      </c>
      <c r="DG198" t="e">
        <f>'All regions'!E4957+"n/&gt;!)J1"</f>
        <v>#VALUE!</v>
      </c>
      <c r="DH198" t="e">
        <f>'All regions'!F4957+"n/&gt;!)J2"</f>
        <v>#VALUE!</v>
      </c>
      <c r="DI198" t="e">
        <f>'All regions'!G4957+"n/&gt;!)J3"</f>
        <v>#VALUE!</v>
      </c>
      <c r="DJ198" t="e">
        <f>'All regions'!H4957+"n/&gt;!)J4"</f>
        <v>#VALUE!</v>
      </c>
      <c r="DK198" t="e">
        <f>'All regions'!I4957+"n/&gt;!)J5"</f>
        <v>#VALUE!</v>
      </c>
      <c r="DL198" t="e">
        <f>'All regions'!J4957+"n/&gt;!)J6"</f>
        <v>#VALUE!</v>
      </c>
      <c r="DM198" t="e">
        <f>'All regions'!A4958+"n/&gt;!)J7"</f>
        <v>#VALUE!</v>
      </c>
      <c r="DN198" t="e">
        <f>'All regions'!B4958+"n/&gt;!)J8"</f>
        <v>#VALUE!</v>
      </c>
      <c r="DO198" t="e">
        <f>'All regions'!C4958+"n/&gt;!)J9"</f>
        <v>#VALUE!</v>
      </c>
      <c r="DP198" t="e">
        <f>'All regions'!D4958+"n/&gt;!)J:"</f>
        <v>#VALUE!</v>
      </c>
      <c r="DQ198" t="e">
        <f>'All regions'!E4958+"n/&gt;!)J;"</f>
        <v>#VALUE!</v>
      </c>
      <c r="DR198" t="e">
        <f>'All regions'!F4958+"n/&gt;!)J&lt;"</f>
        <v>#VALUE!</v>
      </c>
      <c r="DS198" t="e">
        <f>'All regions'!G4958+"n/&gt;!)J="</f>
        <v>#VALUE!</v>
      </c>
      <c r="DT198" t="e">
        <f>'All regions'!H4958+"n/&gt;!)J&gt;"</f>
        <v>#VALUE!</v>
      </c>
      <c r="DU198" t="e">
        <f>'All regions'!I4958+"n/&gt;!)J?"</f>
        <v>#VALUE!</v>
      </c>
      <c r="DV198" t="e">
        <f>'All regions'!J4958+"n/&gt;!)J@"</f>
        <v>#VALUE!</v>
      </c>
      <c r="DW198" t="e">
        <f>'All regions'!A4959+"n/&gt;!)JA"</f>
        <v>#VALUE!</v>
      </c>
      <c r="DX198" t="e">
        <f>'All regions'!B4959+"n/&gt;!)JB"</f>
        <v>#VALUE!</v>
      </c>
      <c r="DY198" t="e">
        <f>'All regions'!C4959+"n/&gt;!)JC"</f>
        <v>#VALUE!</v>
      </c>
      <c r="DZ198" t="e">
        <f>'All regions'!D4959+"n/&gt;!)JD"</f>
        <v>#VALUE!</v>
      </c>
      <c r="EA198" t="e">
        <f>'All regions'!E4959+"n/&gt;!)JE"</f>
        <v>#VALUE!</v>
      </c>
      <c r="EB198" t="e">
        <f>'All regions'!F4959+"n/&gt;!)JF"</f>
        <v>#VALUE!</v>
      </c>
      <c r="EC198" t="e">
        <f>'All regions'!G4959+"n/&gt;!)JG"</f>
        <v>#VALUE!</v>
      </c>
      <c r="ED198" t="e">
        <f>'All regions'!H4959+"n/&gt;!)JH"</f>
        <v>#VALUE!</v>
      </c>
      <c r="EE198" t="e">
        <f>'All regions'!I4959+"n/&gt;!)JI"</f>
        <v>#VALUE!</v>
      </c>
      <c r="EF198" t="e">
        <f>'All regions'!J4959+"n/&gt;!)JJ"</f>
        <v>#VALUE!</v>
      </c>
      <c r="EG198" t="e">
        <f>'All regions'!A4960+"n/&gt;!)JK"</f>
        <v>#VALUE!</v>
      </c>
      <c r="EH198" t="e">
        <f>'All regions'!B4960+"n/&gt;!)JL"</f>
        <v>#VALUE!</v>
      </c>
      <c r="EI198" t="e">
        <f>'All regions'!C4960+"n/&gt;!)JM"</f>
        <v>#VALUE!</v>
      </c>
      <c r="EJ198" t="e">
        <f>'All regions'!D4960+"n/&gt;!)JN"</f>
        <v>#VALUE!</v>
      </c>
      <c r="EK198" t="e">
        <f>'All regions'!E4960+"n/&gt;!)JO"</f>
        <v>#VALUE!</v>
      </c>
      <c r="EL198" t="e">
        <f>'All regions'!F4960+"n/&gt;!)JP"</f>
        <v>#VALUE!</v>
      </c>
      <c r="EM198" t="e">
        <f>'All regions'!G4960+"n/&gt;!)JQ"</f>
        <v>#VALUE!</v>
      </c>
      <c r="EN198" t="e">
        <f>'All regions'!H4960+"n/&gt;!)JR"</f>
        <v>#VALUE!</v>
      </c>
      <c r="EO198" t="e">
        <f>'All regions'!I4960+"n/&gt;!)JS"</f>
        <v>#VALUE!</v>
      </c>
      <c r="EP198" t="e">
        <f>'All regions'!J4960+"n/&gt;!)JT"</f>
        <v>#VALUE!</v>
      </c>
      <c r="EQ198" t="e">
        <f>'All regions'!A4961+"n/&gt;!)JU"</f>
        <v>#VALUE!</v>
      </c>
      <c r="ER198" t="e">
        <f>'All regions'!B4961+"n/&gt;!)JV"</f>
        <v>#VALUE!</v>
      </c>
      <c r="ES198" t="e">
        <f>'All regions'!C4961+"n/&gt;!)JW"</f>
        <v>#VALUE!</v>
      </c>
      <c r="ET198" t="e">
        <f>'All regions'!D4961+"n/&gt;!)JX"</f>
        <v>#VALUE!</v>
      </c>
      <c r="EU198" t="e">
        <f>'All regions'!E4961+"n/&gt;!)JY"</f>
        <v>#VALUE!</v>
      </c>
      <c r="EV198" t="e">
        <f>'All regions'!F4961+"n/&gt;!)JZ"</f>
        <v>#VALUE!</v>
      </c>
      <c r="EW198" t="e">
        <f>'All regions'!G4961+"n/&gt;!)J["</f>
        <v>#VALUE!</v>
      </c>
      <c r="EX198" t="e">
        <f>'All regions'!H4961+"n/&gt;!)J\"</f>
        <v>#VALUE!</v>
      </c>
      <c r="EY198" t="e">
        <f>'All regions'!I4961+"n/&gt;!)J]"</f>
        <v>#VALUE!</v>
      </c>
      <c r="EZ198" t="e">
        <f>'All regions'!J4961+"n/&gt;!)J^"</f>
        <v>#VALUE!</v>
      </c>
      <c r="FA198" t="e">
        <f>'All regions'!A4962+"n/&gt;!)J_"</f>
        <v>#VALUE!</v>
      </c>
      <c r="FB198" t="e">
        <f>'All regions'!B4962+"n/&gt;!)J`"</f>
        <v>#VALUE!</v>
      </c>
      <c r="FC198" t="e">
        <f>'All regions'!C4962+"n/&gt;!)Ja"</f>
        <v>#VALUE!</v>
      </c>
      <c r="FD198" t="e">
        <f>'All regions'!D4962+"n/&gt;!)Jb"</f>
        <v>#VALUE!</v>
      </c>
      <c r="FE198" t="e">
        <f>'All regions'!E4962+"n/&gt;!)Jc"</f>
        <v>#VALUE!</v>
      </c>
      <c r="FF198" t="e">
        <f>'All regions'!F4962+"n/&gt;!)Jd"</f>
        <v>#VALUE!</v>
      </c>
      <c r="FG198" t="e">
        <f>'All regions'!G4962+"n/&gt;!)Je"</f>
        <v>#VALUE!</v>
      </c>
      <c r="FH198" t="e">
        <f>'All regions'!H4962+"n/&gt;!)Jf"</f>
        <v>#VALUE!</v>
      </c>
      <c r="FI198" t="e">
        <f>'All regions'!I4962+"n/&gt;!)Jg"</f>
        <v>#VALUE!</v>
      </c>
      <c r="FJ198" t="e">
        <f>'All regions'!J4962+"n/&gt;!)Jh"</f>
        <v>#VALUE!</v>
      </c>
      <c r="FK198" t="e">
        <f>'All regions'!A4963+"n/&gt;!)Ji"</f>
        <v>#VALUE!</v>
      </c>
      <c r="FL198" t="e">
        <f>'All regions'!B4963+"n/&gt;!)Jj"</f>
        <v>#VALUE!</v>
      </c>
      <c r="FM198" t="e">
        <f>'All regions'!C4963+"n/&gt;!)Jk"</f>
        <v>#VALUE!</v>
      </c>
      <c r="FN198" t="e">
        <f>'All regions'!D4963+"n/&gt;!)Jl"</f>
        <v>#VALUE!</v>
      </c>
      <c r="FO198" t="e">
        <f>'All regions'!E4963+"n/&gt;!)Jm"</f>
        <v>#VALUE!</v>
      </c>
      <c r="FP198" t="e">
        <f>'All regions'!F4963+"n/&gt;!)Jn"</f>
        <v>#VALUE!</v>
      </c>
      <c r="FQ198" t="e">
        <f>'All regions'!G4963+"n/&gt;!)Jo"</f>
        <v>#VALUE!</v>
      </c>
      <c r="FR198" t="e">
        <f>'All regions'!H4963+"n/&gt;!)Jp"</f>
        <v>#VALUE!</v>
      </c>
      <c r="FS198" t="e">
        <f>'All regions'!I4963+"n/&gt;!)Jq"</f>
        <v>#VALUE!</v>
      </c>
      <c r="FT198" t="e">
        <f>'All regions'!J4963+"n/&gt;!)Jr"</f>
        <v>#VALUE!</v>
      </c>
      <c r="FU198" t="e">
        <f>'All regions'!A4964+"n/&gt;!)Js"</f>
        <v>#VALUE!</v>
      </c>
      <c r="FV198" t="e">
        <f>'All regions'!B4964+"n/&gt;!)Jt"</f>
        <v>#VALUE!</v>
      </c>
      <c r="FW198" t="e">
        <f>'All regions'!C4964+"n/&gt;!)Ju"</f>
        <v>#VALUE!</v>
      </c>
      <c r="FX198" t="e">
        <f>'All regions'!D4964+"n/&gt;!)Jv"</f>
        <v>#VALUE!</v>
      </c>
      <c r="FY198" t="e">
        <f>'All regions'!E4964+"n/&gt;!)Jw"</f>
        <v>#VALUE!</v>
      </c>
      <c r="FZ198" t="e">
        <f>'All regions'!F4964+"n/&gt;!)Jx"</f>
        <v>#VALUE!</v>
      </c>
      <c r="GA198" t="e">
        <f>'All regions'!G4964+"n/&gt;!)Jy"</f>
        <v>#VALUE!</v>
      </c>
      <c r="GB198" t="e">
        <f>'All regions'!H4964+"n/&gt;!)Jz"</f>
        <v>#VALUE!</v>
      </c>
      <c r="GC198" t="e">
        <f>'All regions'!I4964+"n/&gt;!)J{"</f>
        <v>#VALUE!</v>
      </c>
      <c r="GD198" t="e">
        <f>'All regions'!J4964+"n/&gt;!)J|"</f>
        <v>#VALUE!</v>
      </c>
      <c r="GE198" t="e">
        <f>'All regions'!A4965+"n/&gt;!)J}"</f>
        <v>#VALUE!</v>
      </c>
      <c r="GF198" t="e">
        <f>'All regions'!B4965+"n/&gt;!)J~"</f>
        <v>#VALUE!</v>
      </c>
      <c r="GG198" t="e">
        <f>'All regions'!C4965+"n/&gt;!)K#"</f>
        <v>#VALUE!</v>
      </c>
      <c r="GH198" t="e">
        <f>'All regions'!D4965+"n/&gt;!)K$"</f>
        <v>#VALUE!</v>
      </c>
      <c r="GI198" t="e">
        <f>'All regions'!E4965+"n/&gt;!)K%"</f>
        <v>#VALUE!</v>
      </c>
      <c r="GJ198" t="e">
        <f>'All regions'!F4965+"n/&gt;!)K&amp;"</f>
        <v>#VALUE!</v>
      </c>
      <c r="GK198" t="e">
        <f>'All regions'!G4965+"n/&gt;!)K'"</f>
        <v>#VALUE!</v>
      </c>
      <c r="GL198" t="e">
        <f>'All regions'!H4965+"n/&gt;!)K("</f>
        <v>#VALUE!</v>
      </c>
      <c r="GM198" t="e">
        <f>'All regions'!I4965+"n/&gt;!)K)"</f>
        <v>#VALUE!</v>
      </c>
      <c r="GN198" t="e">
        <f>'All regions'!J4965+"n/&gt;!)K."</f>
        <v>#VALUE!</v>
      </c>
      <c r="GO198" t="e">
        <f>'All regions'!A4966+"n/&gt;!)K/"</f>
        <v>#VALUE!</v>
      </c>
      <c r="GP198" t="e">
        <f>'All regions'!B4966+"n/&gt;!)K0"</f>
        <v>#VALUE!</v>
      </c>
      <c r="GQ198" t="e">
        <f>'All regions'!C4966+"n/&gt;!)K1"</f>
        <v>#VALUE!</v>
      </c>
      <c r="GR198" t="e">
        <f>'All regions'!D4966+"n/&gt;!)K2"</f>
        <v>#VALUE!</v>
      </c>
      <c r="GS198" t="e">
        <f>'All regions'!E4966+"n/&gt;!)K3"</f>
        <v>#VALUE!</v>
      </c>
      <c r="GT198" t="e">
        <f>'All regions'!F4966+"n/&gt;!)K4"</f>
        <v>#VALUE!</v>
      </c>
      <c r="GU198" t="e">
        <f>'All regions'!G4966+"n/&gt;!)K5"</f>
        <v>#VALUE!</v>
      </c>
      <c r="GV198" t="e">
        <f>'All regions'!H4966+"n/&gt;!)K6"</f>
        <v>#VALUE!</v>
      </c>
      <c r="GW198" t="e">
        <f>'All regions'!I4966+"n/&gt;!)K7"</f>
        <v>#VALUE!</v>
      </c>
      <c r="GX198" t="e">
        <f>'All regions'!J4966+"n/&gt;!)K8"</f>
        <v>#VALUE!</v>
      </c>
      <c r="GY198" t="e">
        <f>'All regions'!A4967+"n/&gt;!)K9"</f>
        <v>#VALUE!</v>
      </c>
      <c r="GZ198" t="e">
        <f>'All regions'!B4967+"n/&gt;!)K:"</f>
        <v>#VALUE!</v>
      </c>
      <c r="HA198" t="e">
        <f>'All regions'!C4967+"n/&gt;!)K;"</f>
        <v>#VALUE!</v>
      </c>
      <c r="HB198" t="e">
        <f>'All regions'!D4967+"n/&gt;!)K&lt;"</f>
        <v>#VALUE!</v>
      </c>
      <c r="HC198" t="e">
        <f>'All regions'!E4967+"n/&gt;!)K="</f>
        <v>#VALUE!</v>
      </c>
      <c r="HD198" t="e">
        <f>'All regions'!F4967+"n/&gt;!)K&gt;"</f>
        <v>#VALUE!</v>
      </c>
      <c r="HE198" t="e">
        <f>'All regions'!G4967+"n/&gt;!)K?"</f>
        <v>#VALUE!</v>
      </c>
      <c r="HF198" t="e">
        <f>'All regions'!H4967+"n/&gt;!)K@"</f>
        <v>#VALUE!</v>
      </c>
      <c r="HG198" t="e">
        <f>'All regions'!I4967+"n/&gt;!)KA"</f>
        <v>#VALUE!</v>
      </c>
      <c r="HH198" t="e">
        <f>'All regions'!J4967+"n/&gt;!)KB"</f>
        <v>#VALUE!</v>
      </c>
      <c r="HI198" t="e">
        <f>'All regions'!A4968+"n/&gt;!)KC"</f>
        <v>#VALUE!</v>
      </c>
      <c r="HJ198" t="e">
        <f>'All regions'!B4968+"n/&gt;!)KD"</f>
        <v>#VALUE!</v>
      </c>
      <c r="HK198" t="e">
        <f>'All regions'!C4968+"n/&gt;!)KE"</f>
        <v>#VALUE!</v>
      </c>
      <c r="HL198" t="e">
        <f>'All regions'!D4968+"n/&gt;!)KF"</f>
        <v>#VALUE!</v>
      </c>
      <c r="HM198" t="e">
        <f>'All regions'!E4968+"n/&gt;!)KG"</f>
        <v>#VALUE!</v>
      </c>
      <c r="HN198" t="e">
        <f>'All regions'!F4968+"n/&gt;!)KH"</f>
        <v>#VALUE!</v>
      </c>
      <c r="HO198" t="e">
        <f>'All regions'!G4968+"n/&gt;!)KI"</f>
        <v>#VALUE!</v>
      </c>
      <c r="HP198" t="e">
        <f>'All regions'!H4968+"n/&gt;!)KJ"</f>
        <v>#VALUE!</v>
      </c>
      <c r="HQ198" t="e">
        <f>'All regions'!I4968+"n/&gt;!)KK"</f>
        <v>#VALUE!</v>
      </c>
      <c r="HR198" t="e">
        <f>'All regions'!J4968+"n/&gt;!)KL"</f>
        <v>#VALUE!</v>
      </c>
      <c r="HS198" t="e">
        <f>'All regions'!A4969+"n/&gt;!)KM"</f>
        <v>#VALUE!</v>
      </c>
      <c r="HT198" t="e">
        <f>'All regions'!B4969+"n/&gt;!)KN"</f>
        <v>#VALUE!</v>
      </c>
      <c r="HU198" t="e">
        <f>'All regions'!C4969+"n/&gt;!)KO"</f>
        <v>#VALUE!</v>
      </c>
      <c r="HV198" t="e">
        <f>'All regions'!D4969+"n/&gt;!)KP"</f>
        <v>#VALUE!</v>
      </c>
      <c r="HW198" t="e">
        <f>'All regions'!E4969+"n/&gt;!)KQ"</f>
        <v>#VALUE!</v>
      </c>
      <c r="HX198" t="e">
        <f>'All regions'!F4969+"n/&gt;!)KR"</f>
        <v>#VALUE!</v>
      </c>
      <c r="HY198" t="e">
        <f>'All regions'!G4969+"n/&gt;!)KS"</f>
        <v>#VALUE!</v>
      </c>
      <c r="HZ198" t="e">
        <f>'All regions'!H4969+"n/&gt;!)KT"</f>
        <v>#VALUE!</v>
      </c>
      <c r="IA198" t="e">
        <f>'All regions'!I4969+"n/&gt;!)KU"</f>
        <v>#VALUE!</v>
      </c>
      <c r="IB198" t="e">
        <f>'All regions'!J4969+"n/&gt;!)KV"</f>
        <v>#VALUE!</v>
      </c>
      <c r="IC198" t="e">
        <f>'All regions'!A4970+"n/&gt;!)KW"</f>
        <v>#VALUE!</v>
      </c>
      <c r="ID198" t="e">
        <f>'All regions'!B4970+"n/&gt;!)KX"</f>
        <v>#VALUE!</v>
      </c>
      <c r="IE198" t="e">
        <f>'All regions'!C4970+"n/&gt;!)KY"</f>
        <v>#VALUE!</v>
      </c>
      <c r="IF198" t="e">
        <f>'All regions'!D4970+"n/&gt;!)KZ"</f>
        <v>#VALUE!</v>
      </c>
      <c r="IG198" t="e">
        <f>'All regions'!E4970+"n/&gt;!)K["</f>
        <v>#VALUE!</v>
      </c>
      <c r="IH198" t="e">
        <f>'All regions'!F4970+"n/&gt;!)K\"</f>
        <v>#VALUE!</v>
      </c>
      <c r="II198" t="e">
        <f>'All regions'!G4970+"n/&gt;!)K]"</f>
        <v>#VALUE!</v>
      </c>
      <c r="IJ198" t="e">
        <f>'All regions'!H4970+"n/&gt;!)K^"</f>
        <v>#VALUE!</v>
      </c>
      <c r="IK198" t="e">
        <f>'All regions'!I4970+"n/&gt;!)K_"</f>
        <v>#VALUE!</v>
      </c>
      <c r="IL198" t="e">
        <f>'All regions'!J4970+"n/&gt;!)K`"</f>
        <v>#VALUE!</v>
      </c>
      <c r="IM198" t="e">
        <f>'All regions'!A4971+"n/&gt;!)Ka"</f>
        <v>#VALUE!</v>
      </c>
      <c r="IN198" t="e">
        <f>'All regions'!B4971+"n/&gt;!)Kb"</f>
        <v>#VALUE!</v>
      </c>
      <c r="IO198" t="e">
        <f>'All regions'!C4971+"n/&gt;!)Kc"</f>
        <v>#VALUE!</v>
      </c>
      <c r="IP198" t="e">
        <f>'All regions'!D4971+"n/&gt;!)Kd"</f>
        <v>#VALUE!</v>
      </c>
      <c r="IQ198" t="e">
        <f>'All regions'!E4971+"n/&gt;!)Ke"</f>
        <v>#VALUE!</v>
      </c>
      <c r="IR198" t="e">
        <f>'All regions'!F4971+"n/&gt;!)Kf"</f>
        <v>#VALUE!</v>
      </c>
      <c r="IS198" t="e">
        <f>'All regions'!G4971+"n/&gt;!)Kg"</f>
        <v>#VALUE!</v>
      </c>
      <c r="IT198" t="e">
        <f>'All regions'!H4971+"n/&gt;!)Kh"</f>
        <v>#VALUE!</v>
      </c>
      <c r="IU198" t="e">
        <f>'All regions'!I4971+"n/&gt;!)Ki"</f>
        <v>#VALUE!</v>
      </c>
      <c r="IV198" t="e">
        <f>'All regions'!J4971+"n/&gt;!)Kj"</f>
        <v>#VALUE!</v>
      </c>
    </row>
    <row r="199" spans="6:256" x14ac:dyDescent="0.35">
      <c r="F199" t="e">
        <f>'All regions'!A4972+"n/&gt;!)Kk"</f>
        <v>#VALUE!</v>
      </c>
      <c r="G199" t="e">
        <f>'All regions'!B4972+"n/&gt;!)Kl"</f>
        <v>#VALUE!</v>
      </c>
      <c r="H199" t="e">
        <f>'All regions'!C4972+"n/&gt;!)Km"</f>
        <v>#VALUE!</v>
      </c>
      <c r="I199" t="e">
        <f>'All regions'!D4972+"n/&gt;!)Kn"</f>
        <v>#VALUE!</v>
      </c>
      <c r="J199" t="e">
        <f>'All regions'!E4972+"n/&gt;!)Ko"</f>
        <v>#VALUE!</v>
      </c>
      <c r="K199" t="e">
        <f>'All regions'!F4972+"n/&gt;!)Kp"</f>
        <v>#VALUE!</v>
      </c>
      <c r="L199" t="e">
        <f>'All regions'!G4972+"n/&gt;!)Kq"</f>
        <v>#VALUE!</v>
      </c>
      <c r="M199" t="e">
        <f>'All regions'!H4972+"n/&gt;!)Kr"</f>
        <v>#VALUE!</v>
      </c>
      <c r="N199" t="e">
        <f>'All regions'!I4972+"n/&gt;!)Ks"</f>
        <v>#VALUE!</v>
      </c>
      <c r="O199" t="e">
        <f>'All regions'!J4972+"n/&gt;!)Kt"</f>
        <v>#VALUE!</v>
      </c>
      <c r="P199" t="e">
        <f>'All regions'!A4973+"n/&gt;!)Ku"</f>
        <v>#VALUE!</v>
      </c>
      <c r="Q199" t="e">
        <f>'All regions'!B4973+"n/&gt;!)Kv"</f>
        <v>#VALUE!</v>
      </c>
      <c r="R199" t="e">
        <f>'All regions'!C4973+"n/&gt;!)Kw"</f>
        <v>#VALUE!</v>
      </c>
      <c r="S199" t="e">
        <f>'All regions'!D4973+"n/&gt;!)Kx"</f>
        <v>#VALUE!</v>
      </c>
      <c r="T199" t="e">
        <f>'All regions'!E4973+"n/&gt;!)Ky"</f>
        <v>#VALUE!</v>
      </c>
      <c r="U199" t="e">
        <f>'All regions'!F4973+"n/&gt;!)Kz"</f>
        <v>#VALUE!</v>
      </c>
      <c r="V199" t="e">
        <f>'All regions'!G4973+"n/&gt;!)K{"</f>
        <v>#VALUE!</v>
      </c>
      <c r="W199" t="e">
        <f>'All regions'!H4973+"n/&gt;!)K|"</f>
        <v>#VALUE!</v>
      </c>
      <c r="X199" t="e">
        <f>'All regions'!I4973+"n/&gt;!)K}"</f>
        <v>#VALUE!</v>
      </c>
      <c r="Y199" t="e">
        <f>'All regions'!J4973+"n/&gt;!)K~"</f>
        <v>#VALUE!</v>
      </c>
      <c r="Z199" t="e">
        <f>'All regions'!A4974+"n/&gt;!)L#"</f>
        <v>#VALUE!</v>
      </c>
      <c r="AA199" t="e">
        <f>'All regions'!B4974+"n/&gt;!)L$"</f>
        <v>#VALUE!</v>
      </c>
      <c r="AB199" t="e">
        <f>'All regions'!C4974+"n/&gt;!)L%"</f>
        <v>#VALUE!</v>
      </c>
      <c r="AC199" t="e">
        <f>'All regions'!D4974+"n/&gt;!)L&amp;"</f>
        <v>#VALUE!</v>
      </c>
      <c r="AD199" t="e">
        <f>'All regions'!E4974+"n/&gt;!)L'"</f>
        <v>#VALUE!</v>
      </c>
      <c r="AE199" t="e">
        <f>'All regions'!F4974+"n/&gt;!)L("</f>
        <v>#VALUE!</v>
      </c>
      <c r="AF199" t="e">
        <f>'All regions'!G4974+"n/&gt;!)L)"</f>
        <v>#VALUE!</v>
      </c>
      <c r="AG199" t="e">
        <f>'All regions'!H4974+"n/&gt;!)L."</f>
        <v>#VALUE!</v>
      </c>
      <c r="AH199" t="e">
        <f>'All regions'!I4974+"n/&gt;!)L/"</f>
        <v>#VALUE!</v>
      </c>
      <c r="AI199" t="e">
        <f>'All regions'!J4974+"n/&gt;!)L0"</f>
        <v>#VALUE!</v>
      </c>
      <c r="AJ199" t="e">
        <f>'All regions'!A4975+"n/&gt;!)L1"</f>
        <v>#VALUE!</v>
      </c>
      <c r="AK199" t="e">
        <f>'All regions'!B4975+"n/&gt;!)L2"</f>
        <v>#VALUE!</v>
      </c>
      <c r="AL199" t="e">
        <f>'All regions'!C4975+"n/&gt;!)L3"</f>
        <v>#VALUE!</v>
      </c>
      <c r="AM199" t="e">
        <f>'All regions'!D4975+"n/&gt;!)L4"</f>
        <v>#VALUE!</v>
      </c>
      <c r="AN199" t="e">
        <f>'All regions'!E4975+"n/&gt;!)L5"</f>
        <v>#VALUE!</v>
      </c>
      <c r="AO199" t="e">
        <f>'All regions'!F4975+"n/&gt;!)L6"</f>
        <v>#VALUE!</v>
      </c>
      <c r="AP199" t="e">
        <f>'All regions'!G4975+"n/&gt;!)L7"</f>
        <v>#VALUE!</v>
      </c>
      <c r="AQ199" t="e">
        <f>'All regions'!H4975+"n/&gt;!)L8"</f>
        <v>#VALUE!</v>
      </c>
      <c r="AR199" t="e">
        <f>'All regions'!I4975+"n/&gt;!)L9"</f>
        <v>#VALUE!</v>
      </c>
      <c r="AS199" t="e">
        <f>'All regions'!J4975+"n/&gt;!)L:"</f>
        <v>#VALUE!</v>
      </c>
      <c r="AT199" t="e">
        <f>'All regions'!A4976+"n/&gt;!)L;"</f>
        <v>#VALUE!</v>
      </c>
      <c r="AU199" t="e">
        <f>'All regions'!B4976+"n/&gt;!)L&lt;"</f>
        <v>#VALUE!</v>
      </c>
      <c r="AV199" t="e">
        <f>'All regions'!C4976+"n/&gt;!)L="</f>
        <v>#VALUE!</v>
      </c>
      <c r="AW199" t="e">
        <f>'All regions'!D4976+"n/&gt;!)L&gt;"</f>
        <v>#VALUE!</v>
      </c>
      <c r="AX199" t="e">
        <f>'All regions'!E4976+"n/&gt;!)L?"</f>
        <v>#VALUE!</v>
      </c>
      <c r="AY199" t="e">
        <f>'All regions'!F4976+"n/&gt;!)L@"</f>
        <v>#VALUE!</v>
      </c>
      <c r="AZ199" t="e">
        <f>'All regions'!G4976+"n/&gt;!)LA"</f>
        <v>#VALUE!</v>
      </c>
      <c r="BA199" t="e">
        <f>'All regions'!H4976+"n/&gt;!)LB"</f>
        <v>#VALUE!</v>
      </c>
      <c r="BB199" t="e">
        <f>'All regions'!I4976+"n/&gt;!)LC"</f>
        <v>#VALUE!</v>
      </c>
      <c r="BC199" t="e">
        <f>'All regions'!J4976+"n/&gt;!)LD"</f>
        <v>#VALUE!</v>
      </c>
      <c r="BD199" t="e">
        <f>'All regions'!A4977+"n/&gt;!)LE"</f>
        <v>#VALUE!</v>
      </c>
      <c r="BE199" t="e">
        <f>'All regions'!B4977+"n/&gt;!)LF"</f>
        <v>#VALUE!</v>
      </c>
      <c r="BF199" t="e">
        <f>'All regions'!C4977+"n/&gt;!)LG"</f>
        <v>#VALUE!</v>
      </c>
      <c r="BG199" t="e">
        <f>'All regions'!D4977+"n/&gt;!)LH"</f>
        <v>#VALUE!</v>
      </c>
      <c r="BH199" t="e">
        <f>'All regions'!E4977+"n/&gt;!)LI"</f>
        <v>#VALUE!</v>
      </c>
      <c r="BI199" t="e">
        <f>'All regions'!F4977+"n/&gt;!)LJ"</f>
        <v>#VALUE!</v>
      </c>
      <c r="BJ199" t="e">
        <f>'All regions'!G4977+"n/&gt;!)LK"</f>
        <v>#VALUE!</v>
      </c>
      <c r="BK199" t="e">
        <f>'All regions'!H4977+"n/&gt;!)LL"</f>
        <v>#VALUE!</v>
      </c>
      <c r="BL199" t="e">
        <f>'All regions'!I4977+"n/&gt;!)LM"</f>
        <v>#VALUE!</v>
      </c>
      <c r="BM199" t="e">
        <f>'All regions'!J4977+"n/&gt;!)LN"</f>
        <v>#VALUE!</v>
      </c>
      <c r="BN199" t="e">
        <f>'All regions'!A4978+"n/&gt;!)LO"</f>
        <v>#VALUE!</v>
      </c>
      <c r="BO199" t="e">
        <f>'All regions'!B4978+"n/&gt;!)LP"</f>
        <v>#VALUE!</v>
      </c>
      <c r="BP199" t="e">
        <f>'All regions'!C4978+"n/&gt;!)LQ"</f>
        <v>#VALUE!</v>
      </c>
      <c r="BQ199" t="e">
        <f>'All regions'!D4978+"n/&gt;!)LR"</f>
        <v>#VALUE!</v>
      </c>
      <c r="BR199" t="e">
        <f>'All regions'!E4978+"n/&gt;!)LS"</f>
        <v>#VALUE!</v>
      </c>
      <c r="BS199" t="e">
        <f>'All regions'!F4978+"n/&gt;!)LT"</f>
        <v>#VALUE!</v>
      </c>
      <c r="BT199" t="e">
        <f>'All regions'!G4978+"n/&gt;!)LU"</f>
        <v>#VALUE!</v>
      </c>
      <c r="BU199" t="e">
        <f>'All regions'!H4978+"n/&gt;!)LV"</f>
        <v>#VALUE!</v>
      </c>
      <c r="BV199" t="e">
        <f>'All regions'!I4978+"n/&gt;!)LW"</f>
        <v>#VALUE!</v>
      </c>
      <c r="BW199" t="e">
        <f>'All regions'!J4978+"n/&gt;!)LX"</f>
        <v>#VALUE!</v>
      </c>
      <c r="BX199" t="e">
        <f>'All regions'!A4979+"n/&gt;!)LY"</f>
        <v>#VALUE!</v>
      </c>
      <c r="BY199" t="e">
        <f>'All regions'!B4979+"n/&gt;!)LZ"</f>
        <v>#VALUE!</v>
      </c>
      <c r="BZ199" t="e">
        <f>'All regions'!C4979+"n/&gt;!)L["</f>
        <v>#VALUE!</v>
      </c>
      <c r="CA199" t="e">
        <f>'All regions'!D4979+"n/&gt;!)L\"</f>
        <v>#VALUE!</v>
      </c>
      <c r="CB199" t="e">
        <f>'All regions'!E4979+"n/&gt;!)L]"</f>
        <v>#VALUE!</v>
      </c>
      <c r="CC199" t="e">
        <f>'All regions'!F4979+"n/&gt;!)L^"</f>
        <v>#VALUE!</v>
      </c>
      <c r="CD199" t="e">
        <f>'All regions'!G4979+"n/&gt;!)L_"</f>
        <v>#VALUE!</v>
      </c>
      <c r="CE199" t="e">
        <f>'All regions'!H4979+"n/&gt;!)L`"</f>
        <v>#VALUE!</v>
      </c>
      <c r="CF199" t="e">
        <f>'All regions'!I4979+"n/&gt;!)La"</f>
        <v>#VALUE!</v>
      </c>
      <c r="CG199" t="e">
        <f>'All regions'!J4979+"n/&gt;!)Lb"</f>
        <v>#VALUE!</v>
      </c>
      <c r="CH199" t="e">
        <f>'All regions'!A4980+"n/&gt;!)Lc"</f>
        <v>#VALUE!</v>
      </c>
      <c r="CI199" t="e">
        <f>'All regions'!B4980+"n/&gt;!)Ld"</f>
        <v>#VALUE!</v>
      </c>
      <c r="CJ199" t="e">
        <f>'All regions'!C4980+"n/&gt;!)Le"</f>
        <v>#VALUE!</v>
      </c>
      <c r="CK199" t="e">
        <f>'All regions'!D4980+"n/&gt;!)Lf"</f>
        <v>#VALUE!</v>
      </c>
      <c r="CL199" t="e">
        <f>'All regions'!E4980+"n/&gt;!)Lg"</f>
        <v>#VALUE!</v>
      </c>
      <c r="CM199" t="e">
        <f>'All regions'!F4980+"n/&gt;!)Lh"</f>
        <v>#VALUE!</v>
      </c>
      <c r="CN199" t="e">
        <f>'All regions'!G4980+"n/&gt;!)Li"</f>
        <v>#VALUE!</v>
      </c>
      <c r="CO199" t="e">
        <f>'All regions'!H4980+"n/&gt;!)Lj"</f>
        <v>#VALUE!</v>
      </c>
      <c r="CP199" t="e">
        <f>'All regions'!I4980+"n/&gt;!)Lk"</f>
        <v>#VALUE!</v>
      </c>
      <c r="CQ199" t="e">
        <f>'All regions'!J4980+"n/&gt;!)Ll"</f>
        <v>#VALUE!</v>
      </c>
      <c r="CR199" t="e">
        <f>'All regions'!A4981+"n/&gt;!)Lm"</f>
        <v>#VALUE!</v>
      </c>
      <c r="CS199" t="e">
        <f>'All regions'!B4981+"n/&gt;!)Ln"</f>
        <v>#VALUE!</v>
      </c>
      <c r="CT199" t="e">
        <f>'All regions'!C4981+"n/&gt;!)Lo"</f>
        <v>#VALUE!</v>
      </c>
      <c r="CU199" t="e">
        <f>'All regions'!D4981+"n/&gt;!)Lp"</f>
        <v>#VALUE!</v>
      </c>
      <c r="CV199" t="e">
        <f>'All regions'!E4981+"n/&gt;!)Lq"</f>
        <v>#VALUE!</v>
      </c>
      <c r="CW199" t="e">
        <f>'All regions'!F4981+"n/&gt;!)Lr"</f>
        <v>#VALUE!</v>
      </c>
      <c r="CX199" t="e">
        <f>'All regions'!G4981+"n/&gt;!)Ls"</f>
        <v>#VALUE!</v>
      </c>
      <c r="CY199" t="e">
        <f>'All regions'!H4981+"n/&gt;!)Lt"</f>
        <v>#VALUE!</v>
      </c>
      <c r="CZ199" t="e">
        <f>'All regions'!I4981+"n/&gt;!)Lu"</f>
        <v>#VALUE!</v>
      </c>
      <c r="DA199" t="e">
        <f>'All regions'!J4981+"n/&gt;!)Lv"</f>
        <v>#VALUE!</v>
      </c>
      <c r="DB199" t="e">
        <f>'All regions'!A4982+"n/&gt;!)Lw"</f>
        <v>#VALUE!</v>
      </c>
      <c r="DC199" t="e">
        <f>'All regions'!B4982+"n/&gt;!)Lx"</f>
        <v>#VALUE!</v>
      </c>
      <c r="DD199" t="e">
        <f>'All regions'!C4982+"n/&gt;!)Ly"</f>
        <v>#VALUE!</v>
      </c>
      <c r="DE199" t="e">
        <f>'All regions'!D4982+"n/&gt;!)Lz"</f>
        <v>#VALUE!</v>
      </c>
      <c r="DF199" t="e">
        <f>'All regions'!E4982+"n/&gt;!)L{"</f>
        <v>#VALUE!</v>
      </c>
      <c r="DG199" t="e">
        <f>'All regions'!F4982+"n/&gt;!)L|"</f>
        <v>#VALUE!</v>
      </c>
      <c r="DH199" t="e">
        <f>'All regions'!G4982+"n/&gt;!)L}"</f>
        <v>#VALUE!</v>
      </c>
      <c r="DI199" t="e">
        <f>'All regions'!H4982+"n/&gt;!)L~"</f>
        <v>#VALUE!</v>
      </c>
      <c r="DJ199" t="e">
        <f>'All regions'!I4982+"n/&gt;!)M#"</f>
        <v>#VALUE!</v>
      </c>
      <c r="DK199" t="e">
        <f>'All regions'!J4982+"n/&gt;!)M$"</f>
        <v>#VALUE!</v>
      </c>
      <c r="DL199" t="e">
        <f>'All regions'!A4983+"n/&gt;!)M%"</f>
        <v>#VALUE!</v>
      </c>
      <c r="DM199" t="e">
        <f>'All regions'!B4983+"n/&gt;!)M&amp;"</f>
        <v>#VALUE!</v>
      </c>
      <c r="DN199" t="e">
        <f>'All regions'!C4983+"n/&gt;!)M'"</f>
        <v>#VALUE!</v>
      </c>
      <c r="DO199" t="e">
        <f>'All regions'!D4983+"n/&gt;!)M("</f>
        <v>#VALUE!</v>
      </c>
      <c r="DP199" t="e">
        <f>'All regions'!E4983+"n/&gt;!)M)"</f>
        <v>#VALUE!</v>
      </c>
      <c r="DQ199" t="e">
        <f>'All regions'!F4983+"n/&gt;!)M."</f>
        <v>#VALUE!</v>
      </c>
      <c r="DR199" t="e">
        <f>'All regions'!G4983+"n/&gt;!)M/"</f>
        <v>#VALUE!</v>
      </c>
      <c r="DS199" t="e">
        <f>'All regions'!H4983+"n/&gt;!)M0"</f>
        <v>#VALUE!</v>
      </c>
      <c r="DT199" t="e">
        <f>'All regions'!I4983+"n/&gt;!)M1"</f>
        <v>#VALUE!</v>
      </c>
      <c r="DU199" t="e">
        <f>'All regions'!J4983+"n/&gt;!)M2"</f>
        <v>#VALUE!</v>
      </c>
      <c r="DV199" t="e">
        <f>'All regions'!A4984+"n/&gt;!)M3"</f>
        <v>#VALUE!</v>
      </c>
      <c r="DW199" t="e">
        <f>'All regions'!B4984+"n/&gt;!)M4"</f>
        <v>#VALUE!</v>
      </c>
      <c r="DX199" t="e">
        <f>'All regions'!C4984+"n/&gt;!)M5"</f>
        <v>#VALUE!</v>
      </c>
      <c r="DY199" t="e">
        <f>'All regions'!D4984+"n/&gt;!)M6"</f>
        <v>#VALUE!</v>
      </c>
      <c r="DZ199" t="e">
        <f>'All regions'!E4984+"n/&gt;!)M7"</f>
        <v>#VALUE!</v>
      </c>
      <c r="EA199" t="e">
        <f>'All regions'!F4984+"n/&gt;!)M8"</f>
        <v>#VALUE!</v>
      </c>
      <c r="EB199" t="e">
        <f>'All regions'!G4984+"n/&gt;!)M9"</f>
        <v>#VALUE!</v>
      </c>
      <c r="EC199" t="e">
        <f>'All regions'!H4984+"n/&gt;!)M:"</f>
        <v>#VALUE!</v>
      </c>
      <c r="ED199" t="e">
        <f>'All regions'!I4984+"n/&gt;!)M;"</f>
        <v>#VALUE!</v>
      </c>
      <c r="EE199" t="e">
        <f>'All regions'!J4984+"n/&gt;!)M&lt;"</f>
        <v>#VALUE!</v>
      </c>
      <c r="EF199" t="e">
        <f>'All regions'!A4985+"n/&gt;!)M="</f>
        <v>#VALUE!</v>
      </c>
      <c r="EG199" t="e">
        <f>'All regions'!B4985+"n/&gt;!)M&gt;"</f>
        <v>#VALUE!</v>
      </c>
      <c r="EH199" t="e">
        <f>'All regions'!C4985+"n/&gt;!)M?"</f>
        <v>#VALUE!</v>
      </c>
      <c r="EI199" t="e">
        <f>'All regions'!D4985+"n/&gt;!)M@"</f>
        <v>#VALUE!</v>
      </c>
      <c r="EJ199" t="e">
        <f>'All regions'!E4985+"n/&gt;!)MA"</f>
        <v>#VALUE!</v>
      </c>
      <c r="EK199" t="e">
        <f>'All regions'!F4985+"n/&gt;!)MB"</f>
        <v>#VALUE!</v>
      </c>
      <c r="EL199" t="e">
        <f>'All regions'!G4985+"n/&gt;!)MC"</f>
        <v>#VALUE!</v>
      </c>
      <c r="EM199" t="e">
        <f>'All regions'!H4985+"n/&gt;!)MD"</f>
        <v>#VALUE!</v>
      </c>
      <c r="EN199" t="e">
        <f>'All regions'!I4985+"n/&gt;!)ME"</f>
        <v>#VALUE!</v>
      </c>
      <c r="EO199" t="e">
        <f>'All regions'!J4985+"n/&gt;!)MF"</f>
        <v>#VALUE!</v>
      </c>
      <c r="EP199" t="e">
        <f>'All regions'!A4986+"n/&gt;!)MG"</f>
        <v>#VALUE!</v>
      </c>
      <c r="EQ199" t="e">
        <f>'All regions'!B4986+"n/&gt;!)MH"</f>
        <v>#VALUE!</v>
      </c>
      <c r="ER199" t="e">
        <f>'All regions'!C4986+"n/&gt;!)MI"</f>
        <v>#VALUE!</v>
      </c>
      <c r="ES199" t="e">
        <f>'All regions'!D4986+"n/&gt;!)MJ"</f>
        <v>#VALUE!</v>
      </c>
      <c r="ET199" t="e">
        <f>'All regions'!E4986+"n/&gt;!)MK"</f>
        <v>#VALUE!</v>
      </c>
      <c r="EU199" t="e">
        <f>'All regions'!F4986+"n/&gt;!)ML"</f>
        <v>#VALUE!</v>
      </c>
      <c r="EV199" t="e">
        <f>'All regions'!G4986+"n/&gt;!)MM"</f>
        <v>#VALUE!</v>
      </c>
      <c r="EW199" t="e">
        <f>'All regions'!H4986+"n/&gt;!)MN"</f>
        <v>#VALUE!</v>
      </c>
      <c r="EX199" t="e">
        <f>'All regions'!I4986+"n/&gt;!)MO"</f>
        <v>#VALUE!</v>
      </c>
      <c r="EY199" t="e">
        <f>'All regions'!J4986+"n/&gt;!)MP"</f>
        <v>#VALUE!</v>
      </c>
      <c r="EZ199" t="e">
        <f>'All regions'!A4987+"n/&gt;!)MQ"</f>
        <v>#VALUE!</v>
      </c>
      <c r="FA199" t="e">
        <f>'All regions'!B4987+"n/&gt;!)MR"</f>
        <v>#VALUE!</v>
      </c>
      <c r="FB199" t="e">
        <f>'All regions'!C4987+"n/&gt;!)MS"</f>
        <v>#VALUE!</v>
      </c>
      <c r="FC199" t="e">
        <f>'All regions'!D4987+"n/&gt;!)MT"</f>
        <v>#VALUE!</v>
      </c>
      <c r="FD199" t="e">
        <f>'All regions'!E4987+"n/&gt;!)MU"</f>
        <v>#VALUE!</v>
      </c>
      <c r="FE199" t="e">
        <f>'All regions'!F4987+"n/&gt;!)MV"</f>
        <v>#VALUE!</v>
      </c>
      <c r="FF199" t="e">
        <f>'All regions'!G4987+"n/&gt;!)MW"</f>
        <v>#VALUE!</v>
      </c>
      <c r="FG199" t="e">
        <f>'All regions'!H4987+"n/&gt;!)MX"</f>
        <v>#VALUE!</v>
      </c>
      <c r="FH199" t="e">
        <f>'All regions'!I4987+"n/&gt;!)MY"</f>
        <v>#VALUE!</v>
      </c>
      <c r="FI199" t="e">
        <f>'All regions'!J4987+"n/&gt;!)MZ"</f>
        <v>#VALUE!</v>
      </c>
      <c r="FJ199" t="e">
        <f>'All regions'!A4988+"n/&gt;!)M["</f>
        <v>#VALUE!</v>
      </c>
      <c r="FK199" t="e">
        <f>'All regions'!B4988+"n/&gt;!)M\"</f>
        <v>#VALUE!</v>
      </c>
      <c r="FL199" t="e">
        <f>'All regions'!C4988+"n/&gt;!)M]"</f>
        <v>#VALUE!</v>
      </c>
      <c r="FM199" t="e">
        <f>'All regions'!D4988+"n/&gt;!)M^"</f>
        <v>#VALUE!</v>
      </c>
      <c r="FN199" t="e">
        <f>'All regions'!E4988+"n/&gt;!)M_"</f>
        <v>#VALUE!</v>
      </c>
      <c r="FO199" t="e">
        <f>'All regions'!F4988+"n/&gt;!)M`"</f>
        <v>#VALUE!</v>
      </c>
      <c r="FP199" t="e">
        <f>'All regions'!G4988+"n/&gt;!)Ma"</f>
        <v>#VALUE!</v>
      </c>
      <c r="FQ199" t="e">
        <f>'All regions'!H4988+"n/&gt;!)Mb"</f>
        <v>#VALUE!</v>
      </c>
      <c r="FR199" t="e">
        <f>'All regions'!I4988+"n/&gt;!)Mc"</f>
        <v>#VALUE!</v>
      </c>
      <c r="FS199" t="e">
        <f>'All regions'!J4988+"n/&gt;!)Md"</f>
        <v>#VALUE!</v>
      </c>
      <c r="FT199" t="e">
        <f>'All regions'!A4989+"n/&gt;!)Me"</f>
        <v>#VALUE!</v>
      </c>
      <c r="FU199" t="e">
        <f>'All regions'!B4989+"n/&gt;!)Mf"</f>
        <v>#VALUE!</v>
      </c>
      <c r="FV199" t="e">
        <f>'All regions'!C4989+"n/&gt;!)Mg"</f>
        <v>#VALUE!</v>
      </c>
      <c r="FW199" t="e">
        <f>'All regions'!D4989+"n/&gt;!)Mh"</f>
        <v>#VALUE!</v>
      </c>
      <c r="FX199" t="e">
        <f>'All regions'!E4989+"n/&gt;!)Mi"</f>
        <v>#VALUE!</v>
      </c>
      <c r="FY199" t="e">
        <f>'All regions'!F4989+"n/&gt;!)Mj"</f>
        <v>#VALUE!</v>
      </c>
      <c r="FZ199" t="e">
        <f>'All regions'!G4989+"n/&gt;!)Mk"</f>
        <v>#VALUE!</v>
      </c>
      <c r="GA199" t="e">
        <f>'All regions'!H4989+"n/&gt;!)Ml"</f>
        <v>#VALUE!</v>
      </c>
      <c r="GB199" t="e">
        <f>'All regions'!I4989+"n/&gt;!)Mm"</f>
        <v>#VALUE!</v>
      </c>
      <c r="GC199" t="e">
        <f>'All regions'!J4989+"n/&gt;!)Mn"</f>
        <v>#VALUE!</v>
      </c>
      <c r="GD199" t="e">
        <f>'All regions'!A4990+"n/&gt;!)Mo"</f>
        <v>#VALUE!</v>
      </c>
      <c r="GE199" t="e">
        <f>'All regions'!B4990+"n/&gt;!)Mp"</f>
        <v>#VALUE!</v>
      </c>
      <c r="GF199" t="e">
        <f>'All regions'!C4990+"n/&gt;!)Mq"</f>
        <v>#VALUE!</v>
      </c>
      <c r="GG199" t="e">
        <f>'All regions'!D4990+"n/&gt;!)Mr"</f>
        <v>#VALUE!</v>
      </c>
      <c r="GH199" t="e">
        <f>'All regions'!E4990+"n/&gt;!)Ms"</f>
        <v>#VALUE!</v>
      </c>
      <c r="GI199" t="e">
        <f>'All regions'!F4990+"n/&gt;!)Mt"</f>
        <v>#VALUE!</v>
      </c>
      <c r="GJ199" t="e">
        <f>'All regions'!G4990+"n/&gt;!)Mu"</f>
        <v>#VALUE!</v>
      </c>
      <c r="GK199" t="e">
        <f>'All regions'!H4990+"n/&gt;!)Mv"</f>
        <v>#VALUE!</v>
      </c>
      <c r="GL199" t="e">
        <f>'All regions'!I4990+"n/&gt;!)Mw"</f>
        <v>#VALUE!</v>
      </c>
      <c r="GM199" t="e">
        <f>'All regions'!J4990+"n/&gt;!)Mx"</f>
        <v>#VALUE!</v>
      </c>
      <c r="GN199" t="e">
        <f>'All regions'!A4991+"n/&gt;!)My"</f>
        <v>#VALUE!</v>
      </c>
      <c r="GO199" t="e">
        <f>'All regions'!B4991+"n/&gt;!)Mz"</f>
        <v>#VALUE!</v>
      </c>
      <c r="GP199" t="e">
        <f>'All regions'!C4991+"n/&gt;!)M{"</f>
        <v>#VALUE!</v>
      </c>
      <c r="GQ199" t="e">
        <f>'All regions'!D4991+"n/&gt;!)M|"</f>
        <v>#VALUE!</v>
      </c>
      <c r="GR199" t="e">
        <f>'All regions'!E4991+"n/&gt;!)M}"</f>
        <v>#VALUE!</v>
      </c>
      <c r="GS199" t="e">
        <f>'All regions'!F4991+"n/&gt;!)M~"</f>
        <v>#VALUE!</v>
      </c>
      <c r="GT199" t="e">
        <f>'All regions'!G4991+"n/&gt;!)N#"</f>
        <v>#VALUE!</v>
      </c>
      <c r="GU199" t="e">
        <f>'All regions'!H4991+"n/&gt;!)N$"</f>
        <v>#VALUE!</v>
      </c>
      <c r="GV199" t="e">
        <f>'All regions'!I4991+"n/&gt;!)N%"</f>
        <v>#VALUE!</v>
      </c>
      <c r="GW199" t="e">
        <f>'All regions'!J4991+"n/&gt;!)N&amp;"</f>
        <v>#VALUE!</v>
      </c>
      <c r="GX199" t="e">
        <f>'All regions'!A4992+"n/&gt;!)N'"</f>
        <v>#VALUE!</v>
      </c>
      <c r="GY199" t="e">
        <f>'All regions'!B4992+"n/&gt;!)N("</f>
        <v>#VALUE!</v>
      </c>
      <c r="GZ199" t="e">
        <f>'All regions'!C4992+"n/&gt;!)N)"</f>
        <v>#VALUE!</v>
      </c>
      <c r="HA199" t="e">
        <f>'All regions'!D4992+"n/&gt;!)N."</f>
        <v>#VALUE!</v>
      </c>
      <c r="HB199" t="e">
        <f>'All regions'!E4992+"n/&gt;!)N/"</f>
        <v>#VALUE!</v>
      </c>
      <c r="HC199" t="e">
        <f>'All regions'!F4992+"n/&gt;!)N0"</f>
        <v>#VALUE!</v>
      </c>
      <c r="HD199" t="e">
        <f>'All regions'!G4992+"n/&gt;!)N1"</f>
        <v>#VALUE!</v>
      </c>
      <c r="HE199" t="e">
        <f>'All regions'!H4992+"n/&gt;!)N2"</f>
        <v>#VALUE!</v>
      </c>
      <c r="HF199" t="e">
        <f>'All regions'!I4992+"n/&gt;!)N3"</f>
        <v>#VALUE!</v>
      </c>
      <c r="HG199" t="e">
        <f>'All regions'!J4992+"n/&gt;!)N4"</f>
        <v>#VALUE!</v>
      </c>
      <c r="HH199" t="e">
        <f>'All regions'!A4993+"n/&gt;!)N5"</f>
        <v>#VALUE!</v>
      </c>
      <c r="HI199" t="e">
        <f>'All regions'!B4993+"n/&gt;!)N6"</f>
        <v>#VALUE!</v>
      </c>
      <c r="HJ199" t="e">
        <f>'All regions'!C4993+"n/&gt;!)N7"</f>
        <v>#VALUE!</v>
      </c>
      <c r="HK199" t="e">
        <f>'All regions'!D4993+"n/&gt;!)N8"</f>
        <v>#VALUE!</v>
      </c>
      <c r="HL199" t="e">
        <f>'All regions'!E4993+"n/&gt;!)N9"</f>
        <v>#VALUE!</v>
      </c>
      <c r="HM199" t="e">
        <f>'All regions'!F4993+"n/&gt;!)N:"</f>
        <v>#VALUE!</v>
      </c>
      <c r="HN199" t="e">
        <f>'All regions'!G4993+"n/&gt;!)N;"</f>
        <v>#VALUE!</v>
      </c>
      <c r="HO199" t="e">
        <f>'All regions'!H4993+"n/&gt;!)N&lt;"</f>
        <v>#VALUE!</v>
      </c>
      <c r="HP199" t="e">
        <f>'All regions'!I4993+"n/&gt;!)N="</f>
        <v>#VALUE!</v>
      </c>
      <c r="HQ199" t="e">
        <f>'All regions'!J4993+"n/&gt;!)N&gt;"</f>
        <v>#VALUE!</v>
      </c>
      <c r="HR199" t="e">
        <f>'All regions'!A4994+"n/&gt;!)N?"</f>
        <v>#VALUE!</v>
      </c>
      <c r="HS199" t="e">
        <f>'All regions'!B4994+"n/&gt;!)N@"</f>
        <v>#VALUE!</v>
      </c>
      <c r="HT199" t="e">
        <f>'All regions'!C4994+"n/&gt;!)NA"</f>
        <v>#VALUE!</v>
      </c>
      <c r="HU199" t="e">
        <f>'All regions'!D4994+"n/&gt;!)NB"</f>
        <v>#VALUE!</v>
      </c>
      <c r="HV199" t="e">
        <f>'All regions'!E4994+"n/&gt;!)NC"</f>
        <v>#VALUE!</v>
      </c>
      <c r="HW199" t="e">
        <f>'All regions'!F4994+"n/&gt;!)ND"</f>
        <v>#VALUE!</v>
      </c>
      <c r="HX199" t="e">
        <f>'All regions'!G4994+"n/&gt;!)NE"</f>
        <v>#VALUE!</v>
      </c>
      <c r="HY199" t="e">
        <f>'All regions'!H4994+"n/&gt;!)NF"</f>
        <v>#VALUE!</v>
      </c>
      <c r="HZ199" t="e">
        <f>'All regions'!I4994+"n/&gt;!)NG"</f>
        <v>#VALUE!</v>
      </c>
      <c r="IA199" t="e">
        <f>'All regions'!J4994+"n/&gt;!)NH"</f>
        <v>#VALUE!</v>
      </c>
      <c r="IB199" t="e">
        <f>'All regions'!A4995+"n/&gt;!)NI"</f>
        <v>#VALUE!</v>
      </c>
      <c r="IC199" t="e">
        <f>'All regions'!B4995+"n/&gt;!)NJ"</f>
        <v>#VALUE!</v>
      </c>
      <c r="ID199" t="e">
        <f>'All regions'!C4995+"n/&gt;!)NK"</f>
        <v>#VALUE!</v>
      </c>
      <c r="IE199" t="e">
        <f>'All regions'!D4995+"n/&gt;!)NL"</f>
        <v>#VALUE!</v>
      </c>
      <c r="IF199" t="e">
        <f>'All regions'!E4995+"n/&gt;!)NM"</f>
        <v>#VALUE!</v>
      </c>
      <c r="IG199" t="e">
        <f>'All regions'!F4995+"n/&gt;!)NN"</f>
        <v>#VALUE!</v>
      </c>
      <c r="IH199" t="e">
        <f>'All regions'!G4995+"n/&gt;!)NO"</f>
        <v>#VALUE!</v>
      </c>
      <c r="II199" t="e">
        <f>'All regions'!H4995+"n/&gt;!)NP"</f>
        <v>#VALUE!</v>
      </c>
      <c r="IJ199" t="e">
        <f>'All regions'!I4995+"n/&gt;!)NQ"</f>
        <v>#VALUE!</v>
      </c>
      <c r="IK199" t="e">
        <f>'All regions'!J4995+"n/&gt;!)NR"</f>
        <v>#VALUE!</v>
      </c>
      <c r="IL199" t="e">
        <f>'All regions'!A4996+"n/&gt;!)NS"</f>
        <v>#VALUE!</v>
      </c>
      <c r="IM199" t="e">
        <f>'All regions'!B4996+"n/&gt;!)NT"</f>
        <v>#VALUE!</v>
      </c>
      <c r="IN199" t="e">
        <f>'All regions'!C4996+"n/&gt;!)NU"</f>
        <v>#VALUE!</v>
      </c>
      <c r="IO199" t="e">
        <f>'All regions'!D4996+"n/&gt;!)NV"</f>
        <v>#VALUE!</v>
      </c>
      <c r="IP199" t="e">
        <f>'All regions'!E4996+"n/&gt;!)NW"</f>
        <v>#VALUE!</v>
      </c>
      <c r="IQ199" t="e">
        <f>'All regions'!F4996+"n/&gt;!)NX"</f>
        <v>#VALUE!</v>
      </c>
      <c r="IR199" t="e">
        <f>'All regions'!G4996+"n/&gt;!)NY"</f>
        <v>#VALUE!</v>
      </c>
      <c r="IS199" t="e">
        <f>'All regions'!H4996+"n/&gt;!)NZ"</f>
        <v>#VALUE!</v>
      </c>
      <c r="IT199" t="e">
        <f>'All regions'!I4996+"n/&gt;!)N["</f>
        <v>#VALUE!</v>
      </c>
      <c r="IU199" t="e">
        <f>'All regions'!J4996+"n/&gt;!)N\"</f>
        <v>#VALUE!</v>
      </c>
      <c r="IV199" t="e">
        <f>'All regions'!A4997+"n/&gt;!)N]"</f>
        <v>#VALUE!</v>
      </c>
    </row>
    <row r="200" spans="6:256" x14ac:dyDescent="0.35">
      <c r="F200" t="e">
        <f>'All regions'!B4997+"n/&gt;!)N^"</f>
        <v>#VALUE!</v>
      </c>
      <c r="G200" t="e">
        <f>'All regions'!C4997+"n/&gt;!)N_"</f>
        <v>#VALUE!</v>
      </c>
      <c r="H200" t="e">
        <f>'All regions'!D4997+"n/&gt;!)N`"</f>
        <v>#VALUE!</v>
      </c>
      <c r="I200" t="e">
        <f>'All regions'!E4997+"n/&gt;!)Na"</f>
        <v>#VALUE!</v>
      </c>
      <c r="J200" t="e">
        <f>'All regions'!F4997+"n/&gt;!)Nb"</f>
        <v>#VALUE!</v>
      </c>
      <c r="K200" t="e">
        <f>'All regions'!G4997+"n/&gt;!)Nc"</f>
        <v>#VALUE!</v>
      </c>
      <c r="L200" t="e">
        <f>'All regions'!H4997+"n/&gt;!)Nd"</f>
        <v>#VALUE!</v>
      </c>
      <c r="M200" t="e">
        <f>'All regions'!I4997+"n/&gt;!)Ne"</f>
        <v>#VALUE!</v>
      </c>
      <c r="N200" t="e">
        <f>'All regions'!J4997+"n/&gt;!)Nf"</f>
        <v>#VALUE!</v>
      </c>
      <c r="O200" t="e">
        <f>'All regions'!A4998+"n/&gt;!)Ng"</f>
        <v>#VALUE!</v>
      </c>
      <c r="P200" t="e">
        <f>'All regions'!B4998+"n/&gt;!)Nh"</f>
        <v>#VALUE!</v>
      </c>
      <c r="Q200" t="e">
        <f>'All regions'!C4998+"n/&gt;!)Ni"</f>
        <v>#VALUE!</v>
      </c>
      <c r="R200" t="e">
        <f>'All regions'!D4998+"n/&gt;!)Nj"</f>
        <v>#VALUE!</v>
      </c>
      <c r="S200" t="e">
        <f>'All regions'!E4998+"n/&gt;!)Nk"</f>
        <v>#VALUE!</v>
      </c>
      <c r="T200" t="e">
        <f>'All regions'!F4998+"n/&gt;!)Nl"</f>
        <v>#VALUE!</v>
      </c>
      <c r="U200" t="e">
        <f>'All regions'!G4998+"n/&gt;!)Nm"</f>
        <v>#VALUE!</v>
      </c>
      <c r="V200" t="e">
        <f>'All regions'!H4998+"n/&gt;!)Nn"</f>
        <v>#VALUE!</v>
      </c>
      <c r="W200" t="e">
        <f>'All regions'!I4998+"n/&gt;!)No"</f>
        <v>#VALUE!</v>
      </c>
      <c r="X200" t="e">
        <f>'All regions'!J4998+"n/&gt;!)Np"</f>
        <v>#VALUE!</v>
      </c>
      <c r="Y200" t="e">
        <f>'All regions'!A4999+"n/&gt;!)Nq"</f>
        <v>#VALUE!</v>
      </c>
      <c r="Z200" t="e">
        <f>'All regions'!B4999+"n/&gt;!)Nr"</f>
        <v>#VALUE!</v>
      </c>
      <c r="AA200" t="e">
        <f>'All regions'!C4999+"n/&gt;!)Ns"</f>
        <v>#VALUE!</v>
      </c>
      <c r="AB200" t="e">
        <f>'All regions'!D4999+"n/&gt;!)Nt"</f>
        <v>#VALUE!</v>
      </c>
      <c r="AC200" t="e">
        <f>'All regions'!E4999+"n/&gt;!)Nu"</f>
        <v>#VALUE!</v>
      </c>
      <c r="AD200" t="e">
        <f>'All regions'!F4999+"n/&gt;!)Nv"</f>
        <v>#VALUE!</v>
      </c>
      <c r="AE200" t="e">
        <f>'All regions'!G4999+"n/&gt;!)Nw"</f>
        <v>#VALUE!</v>
      </c>
      <c r="AF200" t="e">
        <f>'All regions'!H4999+"n/&gt;!)Nx"</f>
        <v>#VALUE!</v>
      </c>
      <c r="AG200" t="e">
        <f>'All regions'!I4999+"n/&gt;!)Ny"</f>
        <v>#VALUE!</v>
      </c>
      <c r="AH200" t="e">
        <f>'All regions'!J4999+"n/&gt;!)Nz"</f>
        <v>#VALUE!</v>
      </c>
      <c r="AI200" t="e">
        <f>'All regions'!A5000+"n/&gt;!)N{"</f>
        <v>#VALUE!</v>
      </c>
      <c r="AJ200" t="e">
        <f>'All regions'!B5000+"n/&gt;!)N|"</f>
        <v>#VALUE!</v>
      </c>
      <c r="AK200" t="e">
        <f>'All regions'!C5000+"n/&gt;!)N}"</f>
        <v>#VALUE!</v>
      </c>
      <c r="AL200" t="e">
        <f>'All regions'!D5000+"n/&gt;!)N~"</f>
        <v>#VALUE!</v>
      </c>
      <c r="AM200" t="e">
        <f>'All regions'!E5000+"n/&gt;!)O#"</f>
        <v>#VALUE!</v>
      </c>
      <c r="AN200" t="e">
        <f>'All regions'!F5000+"n/&gt;!)O$"</f>
        <v>#VALUE!</v>
      </c>
      <c r="AO200" t="e">
        <f>'All regions'!G5000+"n/&gt;!)O%"</f>
        <v>#VALUE!</v>
      </c>
      <c r="AP200" t="e">
        <f>'All regions'!H5000+"n/&gt;!)O&amp;"</f>
        <v>#VALUE!</v>
      </c>
      <c r="AQ200" t="e">
        <f>'All regions'!I5000+"n/&gt;!)O'"</f>
        <v>#VALUE!</v>
      </c>
      <c r="AR200" t="e">
        <f>'All regions'!J5000+"n/&gt;!)O("</f>
        <v>#VALUE!</v>
      </c>
      <c r="AS200" t="e">
        <f>'All regions'!A5001+"n/&gt;!)O)"</f>
        <v>#VALUE!</v>
      </c>
      <c r="AT200" t="e">
        <f>'All regions'!B5001+"n/&gt;!)O."</f>
        <v>#VALUE!</v>
      </c>
      <c r="AU200" t="e">
        <f>'All regions'!C5001+"n/&gt;!)O/"</f>
        <v>#VALUE!</v>
      </c>
      <c r="AV200" t="e">
        <f>'All regions'!D5001+"n/&gt;!)O0"</f>
        <v>#VALUE!</v>
      </c>
      <c r="AW200" t="e">
        <f>'All regions'!E5001+"n/&gt;!)O1"</f>
        <v>#VALUE!</v>
      </c>
      <c r="AX200" t="e">
        <f>'All regions'!F5001+"n/&gt;!)O2"</f>
        <v>#VALUE!</v>
      </c>
      <c r="AY200" t="e">
        <f>'All regions'!G5001+"n/&gt;!)O3"</f>
        <v>#VALUE!</v>
      </c>
      <c r="AZ200" t="e">
        <f>'All regions'!H5001+"n/&gt;!)O4"</f>
        <v>#VALUE!</v>
      </c>
      <c r="BA200" t="e">
        <f>'All regions'!I5001+"n/&gt;!)O5"</f>
        <v>#VALUE!</v>
      </c>
      <c r="BB200" t="e">
        <f>'All regions'!J5001+"n/&gt;!)O6"</f>
        <v>#VALUE!</v>
      </c>
      <c r="BC200" t="e">
        <f>'All regions'!A5002+"n/&gt;!)O7"</f>
        <v>#VALUE!</v>
      </c>
      <c r="BD200" t="e">
        <f>'All regions'!B5002+"n/&gt;!)O8"</f>
        <v>#VALUE!</v>
      </c>
      <c r="BE200" t="e">
        <f>'All regions'!C5002+"n/&gt;!)O9"</f>
        <v>#VALUE!</v>
      </c>
      <c r="BF200" t="e">
        <f>'All regions'!D5002+"n/&gt;!)O:"</f>
        <v>#VALUE!</v>
      </c>
      <c r="BG200" t="e">
        <f>'All regions'!E5002+"n/&gt;!)O;"</f>
        <v>#VALUE!</v>
      </c>
      <c r="BH200" t="e">
        <f>'All regions'!F5002+"n/&gt;!)O&lt;"</f>
        <v>#VALUE!</v>
      </c>
      <c r="BI200" t="e">
        <f>'All regions'!G5002+"n/&gt;!)O="</f>
        <v>#VALUE!</v>
      </c>
      <c r="BJ200" t="e">
        <f>'All regions'!H5002+"n/&gt;!)O&gt;"</f>
        <v>#VALUE!</v>
      </c>
      <c r="BK200" t="e">
        <f>'All regions'!I5002+"n/&gt;!)O?"</f>
        <v>#VALUE!</v>
      </c>
      <c r="BL200" t="e">
        <f>'All regions'!J5002+"n/&gt;!)O@"</f>
        <v>#VALUE!</v>
      </c>
      <c r="BM200" t="e">
        <f>'All regions'!A5003+"n/&gt;!)OA"</f>
        <v>#VALUE!</v>
      </c>
      <c r="BN200" t="e">
        <f>'All regions'!B5003+"n/&gt;!)OB"</f>
        <v>#VALUE!</v>
      </c>
      <c r="BO200" t="e">
        <f>'All regions'!C5003+"n/&gt;!)OC"</f>
        <v>#VALUE!</v>
      </c>
      <c r="BP200" t="e">
        <f>'All regions'!D5003+"n/&gt;!)OD"</f>
        <v>#VALUE!</v>
      </c>
      <c r="BQ200" t="e">
        <f>'All regions'!E5003+"n/&gt;!)OE"</f>
        <v>#VALUE!</v>
      </c>
      <c r="BR200" t="e">
        <f>'All regions'!F5003+"n/&gt;!)OF"</f>
        <v>#VALUE!</v>
      </c>
      <c r="BS200" t="e">
        <f>'All regions'!G5003+"n/&gt;!)OG"</f>
        <v>#VALUE!</v>
      </c>
      <c r="BT200" t="e">
        <f>'All regions'!H5003+"n/&gt;!)OH"</f>
        <v>#VALUE!</v>
      </c>
      <c r="BU200" t="e">
        <f>'All regions'!I5003+"n/&gt;!)OI"</f>
        <v>#VALUE!</v>
      </c>
      <c r="BV200" t="e">
        <f>'All regions'!J5003+"n/&gt;!)OJ"</f>
        <v>#VALUE!</v>
      </c>
      <c r="BW200" t="e">
        <f>'All regions'!A5004+"n/&gt;!)OK"</f>
        <v>#VALUE!</v>
      </c>
      <c r="BX200" t="e">
        <f>'All regions'!B5004+"n/&gt;!)OL"</f>
        <v>#VALUE!</v>
      </c>
      <c r="BY200" t="e">
        <f>'All regions'!C5004+"n/&gt;!)OM"</f>
        <v>#VALUE!</v>
      </c>
      <c r="BZ200" t="e">
        <f>'All regions'!D5004+"n/&gt;!)ON"</f>
        <v>#VALUE!</v>
      </c>
      <c r="CA200" t="e">
        <f>'All regions'!E5004+"n/&gt;!)OO"</f>
        <v>#VALUE!</v>
      </c>
      <c r="CB200" t="e">
        <f>'All regions'!F5004+"n/&gt;!)OP"</f>
        <v>#VALUE!</v>
      </c>
      <c r="CC200" t="e">
        <f>'All regions'!G5004+"n/&gt;!)OQ"</f>
        <v>#VALUE!</v>
      </c>
      <c r="CD200" t="e">
        <f>'All regions'!H5004+"n/&gt;!)OR"</f>
        <v>#VALUE!</v>
      </c>
      <c r="CE200" t="e">
        <f>'All regions'!I5004+"n/&gt;!)OS"</f>
        <v>#VALUE!</v>
      </c>
      <c r="CF200" t="e">
        <f>'All regions'!J5004+"n/&gt;!)OT"</f>
        <v>#VALUE!</v>
      </c>
      <c r="CG200" t="e">
        <f>'All regions'!A5005+"n/&gt;!)OU"</f>
        <v>#VALUE!</v>
      </c>
      <c r="CH200" t="e">
        <f>'All regions'!B5005+"n/&gt;!)OV"</f>
        <v>#VALUE!</v>
      </c>
      <c r="CI200" t="e">
        <f>'All regions'!C5005+"n/&gt;!)OW"</f>
        <v>#VALUE!</v>
      </c>
      <c r="CJ200" t="e">
        <f>'All regions'!D5005+"n/&gt;!)OX"</f>
        <v>#VALUE!</v>
      </c>
      <c r="CK200" t="e">
        <f>'All regions'!E5005+"n/&gt;!)OY"</f>
        <v>#VALUE!</v>
      </c>
      <c r="CL200" t="e">
        <f>'All regions'!F5005+"n/&gt;!)OZ"</f>
        <v>#VALUE!</v>
      </c>
      <c r="CM200" t="e">
        <f>'All regions'!G5005+"n/&gt;!)O["</f>
        <v>#VALUE!</v>
      </c>
      <c r="CN200" t="e">
        <f>'All regions'!H5005+"n/&gt;!)O\"</f>
        <v>#VALUE!</v>
      </c>
      <c r="CO200" t="e">
        <f>'All regions'!I5005+"n/&gt;!)O]"</f>
        <v>#VALUE!</v>
      </c>
      <c r="CP200" t="e">
        <f>'All regions'!J5005+"n/&gt;!)O^"</f>
        <v>#VALUE!</v>
      </c>
      <c r="CQ200" t="e">
        <f>'All regions'!A5006+"n/&gt;!)O_"</f>
        <v>#VALUE!</v>
      </c>
      <c r="CR200" t="e">
        <f>'All regions'!B5006+"n/&gt;!)O`"</f>
        <v>#VALUE!</v>
      </c>
      <c r="CS200" t="e">
        <f>'All regions'!C5006+"n/&gt;!)Oa"</f>
        <v>#VALUE!</v>
      </c>
      <c r="CT200" t="e">
        <f>'All regions'!D5006+"n/&gt;!)Ob"</f>
        <v>#VALUE!</v>
      </c>
      <c r="CU200" t="e">
        <f>'All regions'!E5006+"n/&gt;!)Oc"</f>
        <v>#VALUE!</v>
      </c>
      <c r="CV200" t="e">
        <f>'All regions'!F5006+"n/&gt;!)Od"</f>
        <v>#VALUE!</v>
      </c>
      <c r="CW200" t="e">
        <f>'All regions'!G5006+"n/&gt;!)Oe"</f>
        <v>#VALUE!</v>
      </c>
      <c r="CX200" t="e">
        <f>'All regions'!H5006+"n/&gt;!)Of"</f>
        <v>#VALUE!</v>
      </c>
      <c r="CY200" t="e">
        <f>'All regions'!I5006+"n/&gt;!)Og"</f>
        <v>#VALUE!</v>
      </c>
      <c r="CZ200" t="e">
        <f>'All regions'!J5006+"n/&gt;!)Oh"</f>
        <v>#VALUE!</v>
      </c>
      <c r="DA200" t="e">
        <f>'All regions'!A5007+"n/&gt;!)Oi"</f>
        <v>#VALUE!</v>
      </c>
      <c r="DB200" t="e">
        <f>'All regions'!B5007+"n/&gt;!)Oj"</f>
        <v>#VALUE!</v>
      </c>
      <c r="DC200" t="e">
        <f>'All regions'!C5007+"n/&gt;!)Ok"</f>
        <v>#VALUE!</v>
      </c>
      <c r="DD200" t="e">
        <f>'All regions'!D5007+"n/&gt;!)Ol"</f>
        <v>#VALUE!</v>
      </c>
      <c r="DE200" t="e">
        <f>'All regions'!E5007+"n/&gt;!)Om"</f>
        <v>#VALUE!</v>
      </c>
      <c r="DF200" t="e">
        <f>'All regions'!F5007+"n/&gt;!)On"</f>
        <v>#VALUE!</v>
      </c>
      <c r="DG200" t="e">
        <f>'All regions'!G5007+"n/&gt;!)Oo"</f>
        <v>#VALUE!</v>
      </c>
      <c r="DH200" t="e">
        <f>'All regions'!H5007+"n/&gt;!)Op"</f>
        <v>#VALUE!</v>
      </c>
      <c r="DI200" t="e">
        <f>'All regions'!I5007+"n/&gt;!)Oq"</f>
        <v>#VALUE!</v>
      </c>
      <c r="DJ200" t="e">
        <f>'All regions'!J5007+"n/&gt;!)Or"</f>
        <v>#VALUE!</v>
      </c>
      <c r="DK200" t="e">
        <f>'All regions'!A5008+"n/&gt;!)Os"</f>
        <v>#VALUE!</v>
      </c>
      <c r="DL200" t="e">
        <f>'All regions'!B5008+"n/&gt;!)Ot"</f>
        <v>#VALUE!</v>
      </c>
      <c r="DM200" t="e">
        <f>'All regions'!C5008+"n/&gt;!)Ou"</f>
        <v>#VALUE!</v>
      </c>
      <c r="DN200" t="e">
        <f>'All regions'!D5008+"n/&gt;!)Ov"</f>
        <v>#VALUE!</v>
      </c>
      <c r="DO200" t="e">
        <f>'All regions'!E5008+"n/&gt;!)Ow"</f>
        <v>#VALUE!</v>
      </c>
      <c r="DP200" t="e">
        <f>'All regions'!F5008+"n/&gt;!)Ox"</f>
        <v>#VALUE!</v>
      </c>
      <c r="DQ200" t="e">
        <f>'All regions'!G5008+"n/&gt;!)Oy"</f>
        <v>#VALUE!</v>
      </c>
      <c r="DR200" t="e">
        <f>'All regions'!H5008+"n/&gt;!)Oz"</f>
        <v>#VALUE!</v>
      </c>
      <c r="DS200" t="e">
        <f>'All regions'!I5008+"n/&gt;!)O{"</f>
        <v>#VALUE!</v>
      </c>
      <c r="DT200" t="e">
        <f>'All regions'!J5008+"n/&gt;!)O|"</f>
        <v>#VALUE!</v>
      </c>
      <c r="DU200" t="e">
        <f>'All regions'!A5009+"n/&gt;!)O}"</f>
        <v>#VALUE!</v>
      </c>
      <c r="DV200" t="e">
        <f>'All regions'!B5009+"n/&gt;!)O~"</f>
        <v>#VALUE!</v>
      </c>
      <c r="DW200" t="e">
        <f>'All regions'!C5009+"n/&gt;!)P#"</f>
        <v>#VALUE!</v>
      </c>
      <c r="DX200" t="e">
        <f>'All regions'!D5009+"n/&gt;!)P$"</f>
        <v>#VALUE!</v>
      </c>
      <c r="DY200" t="e">
        <f>'All regions'!E5009+"n/&gt;!)P%"</f>
        <v>#VALUE!</v>
      </c>
      <c r="DZ200" t="e">
        <f>'All regions'!F5009+"n/&gt;!)P&amp;"</f>
        <v>#VALUE!</v>
      </c>
      <c r="EA200" t="e">
        <f>'All regions'!G5009+"n/&gt;!)P'"</f>
        <v>#VALUE!</v>
      </c>
      <c r="EB200" t="e">
        <f>'All regions'!H5009+"n/&gt;!)P("</f>
        <v>#VALUE!</v>
      </c>
      <c r="EC200" t="e">
        <f>'All regions'!I5009+"n/&gt;!)P)"</f>
        <v>#VALUE!</v>
      </c>
      <c r="ED200" t="e">
        <f>'All regions'!J5009+"n/&gt;!)P."</f>
        <v>#VALUE!</v>
      </c>
      <c r="EE200" t="e">
        <f>'All regions'!A5010+"n/&gt;!)P/"</f>
        <v>#VALUE!</v>
      </c>
      <c r="EF200" t="e">
        <f>'All regions'!B5010+"n/&gt;!)P0"</f>
        <v>#VALUE!</v>
      </c>
      <c r="EG200" t="e">
        <f>'All regions'!C5010+"n/&gt;!)P1"</f>
        <v>#VALUE!</v>
      </c>
      <c r="EH200" t="e">
        <f>'All regions'!D5010+"n/&gt;!)P2"</f>
        <v>#VALUE!</v>
      </c>
      <c r="EI200" t="e">
        <f>'All regions'!E5010+"n/&gt;!)P3"</f>
        <v>#VALUE!</v>
      </c>
      <c r="EJ200" t="e">
        <f>'All regions'!F5010+"n/&gt;!)P4"</f>
        <v>#VALUE!</v>
      </c>
      <c r="EK200" t="e">
        <f>'All regions'!G5010+"n/&gt;!)P5"</f>
        <v>#VALUE!</v>
      </c>
      <c r="EL200" t="e">
        <f>'All regions'!H5010+"n/&gt;!)P6"</f>
        <v>#VALUE!</v>
      </c>
      <c r="EM200" t="e">
        <f>'All regions'!I5010+"n/&gt;!)P7"</f>
        <v>#VALUE!</v>
      </c>
      <c r="EN200" t="e">
        <f>'All regions'!J5010+"n/&gt;!)P8"</f>
        <v>#VALUE!</v>
      </c>
      <c r="EO200" t="e">
        <f>'All regions'!A5011+"n/&gt;!)P9"</f>
        <v>#VALUE!</v>
      </c>
      <c r="EP200" t="e">
        <f>'All regions'!B5011+"n/&gt;!)P:"</f>
        <v>#VALUE!</v>
      </c>
      <c r="EQ200" t="e">
        <f>'All regions'!C5011+"n/&gt;!)P;"</f>
        <v>#VALUE!</v>
      </c>
      <c r="ER200" t="e">
        <f>'All regions'!D5011+"n/&gt;!)P&lt;"</f>
        <v>#VALUE!</v>
      </c>
      <c r="ES200" t="e">
        <f>'All regions'!E5011+"n/&gt;!)P="</f>
        <v>#VALUE!</v>
      </c>
      <c r="ET200" t="e">
        <f>'All regions'!F5011+"n/&gt;!)P&gt;"</f>
        <v>#VALUE!</v>
      </c>
      <c r="EU200" t="e">
        <f>'All regions'!G5011+"n/&gt;!)P?"</f>
        <v>#VALUE!</v>
      </c>
      <c r="EV200" t="e">
        <f>'All regions'!H5011+"n/&gt;!)P@"</f>
        <v>#VALUE!</v>
      </c>
      <c r="EW200" t="e">
        <f>'All regions'!I5011+"n/&gt;!)PA"</f>
        <v>#VALUE!</v>
      </c>
      <c r="EX200" t="e">
        <f>'All regions'!J5011+"n/&gt;!)PB"</f>
        <v>#VALUE!</v>
      </c>
      <c r="EY200" t="e">
        <f>'All regions'!A5012+"n/&gt;!)PC"</f>
        <v>#VALUE!</v>
      </c>
      <c r="EZ200" t="e">
        <f>'All regions'!B5012+"n/&gt;!)PD"</f>
        <v>#VALUE!</v>
      </c>
      <c r="FA200" t="e">
        <f>'All regions'!C5012+"n/&gt;!)PE"</f>
        <v>#VALUE!</v>
      </c>
      <c r="FB200" t="e">
        <f>'All regions'!D5012+"n/&gt;!)PF"</f>
        <v>#VALUE!</v>
      </c>
      <c r="FC200" t="e">
        <f>'All regions'!E5012+"n/&gt;!)PG"</f>
        <v>#VALUE!</v>
      </c>
      <c r="FD200" t="e">
        <f>'All regions'!F5012+"n/&gt;!)PH"</f>
        <v>#VALUE!</v>
      </c>
      <c r="FE200" t="e">
        <f>'All regions'!G5012+"n/&gt;!)PI"</f>
        <v>#VALUE!</v>
      </c>
      <c r="FF200" t="e">
        <f>'All regions'!H5012+"n/&gt;!)PJ"</f>
        <v>#VALUE!</v>
      </c>
      <c r="FG200" t="e">
        <f>'All regions'!I5012+"n/&gt;!)PK"</f>
        <v>#VALUE!</v>
      </c>
      <c r="FH200" t="e">
        <f>'All regions'!J5012+"n/&gt;!)PL"</f>
        <v>#VALUE!</v>
      </c>
      <c r="FI200" t="e">
        <f>'All regions'!A5013+"n/&gt;!)PM"</f>
        <v>#VALUE!</v>
      </c>
      <c r="FJ200" t="e">
        <f>'All regions'!B5013+"n/&gt;!)PN"</f>
        <v>#VALUE!</v>
      </c>
      <c r="FK200" t="e">
        <f>'All regions'!C5013+"n/&gt;!)PO"</f>
        <v>#VALUE!</v>
      </c>
      <c r="FL200" t="e">
        <f>'All regions'!D5013+"n/&gt;!)PP"</f>
        <v>#VALUE!</v>
      </c>
      <c r="FM200" t="e">
        <f>'All regions'!E5013+"n/&gt;!)PQ"</f>
        <v>#VALUE!</v>
      </c>
      <c r="FN200" t="e">
        <f>'All regions'!F5013+"n/&gt;!)PR"</f>
        <v>#VALUE!</v>
      </c>
      <c r="FO200" t="e">
        <f>'All regions'!G5013+"n/&gt;!)PS"</f>
        <v>#VALUE!</v>
      </c>
      <c r="FP200" t="e">
        <f>'All regions'!H5013+"n/&gt;!)PT"</f>
        <v>#VALUE!</v>
      </c>
      <c r="FQ200" t="e">
        <f>'All regions'!I5013+"n/&gt;!)PU"</f>
        <v>#VALUE!</v>
      </c>
      <c r="FR200" t="e">
        <f>'All regions'!J5013+"n/&gt;!)PV"</f>
        <v>#VALUE!</v>
      </c>
      <c r="FS200" t="e">
        <f>'All regions'!A5014+"n/&gt;!)PW"</f>
        <v>#VALUE!</v>
      </c>
      <c r="FT200" t="e">
        <f>'All regions'!B5014+"n/&gt;!)PX"</f>
        <v>#VALUE!</v>
      </c>
      <c r="FU200" t="e">
        <f>'All regions'!C5014+"n/&gt;!)PY"</f>
        <v>#VALUE!</v>
      </c>
      <c r="FV200" t="e">
        <f>'All regions'!D5014+"n/&gt;!)PZ"</f>
        <v>#VALUE!</v>
      </c>
      <c r="FW200" t="e">
        <f>'All regions'!E5014+"n/&gt;!)P["</f>
        <v>#VALUE!</v>
      </c>
      <c r="FX200" t="e">
        <f>'All regions'!F5014+"n/&gt;!)P\"</f>
        <v>#VALUE!</v>
      </c>
      <c r="FY200" t="e">
        <f>'All regions'!G5014+"n/&gt;!)P]"</f>
        <v>#VALUE!</v>
      </c>
      <c r="FZ200" t="e">
        <f>'All regions'!H5014+"n/&gt;!)P^"</f>
        <v>#VALUE!</v>
      </c>
      <c r="GA200" t="e">
        <f>'All regions'!I5014+"n/&gt;!)P_"</f>
        <v>#VALUE!</v>
      </c>
      <c r="GB200" t="e">
        <f>'All regions'!J5014+"n/&gt;!)P`"</f>
        <v>#VALUE!</v>
      </c>
      <c r="GC200" t="e">
        <f>'All regions'!A5015+"n/&gt;!)Pa"</f>
        <v>#VALUE!</v>
      </c>
      <c r="GD200" t="e">
        <f>'All regions'!B5015+"n/&gt;!)Pb"</f>
        <v>#VALUE!</v>
      </c>
      <c r="GE200" t="e">
        <f>'All regions'!C5015+"n/&gt;!)Pc"</f>
        <v>#VALUE!</v>
      </c>
      <c r="GF200" t="e">
        <f>'All regions'!D5015+"n/&gt;!)Pd"</f>
        <v>#VALUE!</v>
      </c>
      <c r="GG200" t="e">
        <f>'All regions'!E5015+"n/&gt;!)Pe"</f>
        <v>#VALUE!</v>
      </c>
      <c r="GH200" t="e">
        <f>'All regions'!F5015+"n/&gt;!)Pf"</f>
        <v>#VALUE!</v>
      </c>
      <c r="GI200" t="e">
        <f>'All regions'!G5015+"n/&gt;!)Pg"</f>
        <v>#VALUE!</v>
      </c>
      <c r="GJ200" t="e">
        <f>'All regions'!H5015+"n/&gt;!)Ph"</f>
        <v>#VALUE!</v>
      </c>
      <c r="GK200" t="e">
        <f>'All regions'!I5015+"n/&gt;!)Pi"</f>
        <v>#VALUE!</v>
      </c>
      <c r="GL200" t="e">
        <f>'All regions'!J5015+"n/&gt;!)Pj"</f>
        <v>#VALUE!</v>
      </c>
      <c r="GM200" t="e">
        <f>'All regions'!A5016+"n/&gt;!)Pk"</f>
        <v>#VALUE!</v>
      </c>
      <c r="GN200" t="e">
        <f>'All regions'!B5016+"n/&gt;!)Pl"</f>
        <v>#VALUE!</v>
      </c>
      <c r="GO200" t="e">
        <f>'All regions'!C5016+"n/&gt;!)Pm"</f>
        <v>#VALUE!</v>
      </c>
      <c r="GP200" t="e">
        <f>'All regions'!D5016+"n/&gt;!)Pn"</f>
        <v>#VALUE!</v>
      </c>
      <c r="GQ200" t="e">
        <f>'All regions'!E5016+"n/&gt;!)Po"</f>
        <v>#VALUE!</v>
      </c>
      <c r="GR200" t="e">
        <f>'All regions'!F5016+"n/&gt;!)Pp"</f>
        <v>#VALUE!</v>
      </c>
      <c r="GS200" t="e">
        <f>'All regions'!G5016+"n/&gt;!)Pq"</f>
        <v>#VALUE!</v>
      </c>
      <c r="GT200" t="e">
        <f>'All regions'!H5016+"n/&gt;!)Pr"</f>
        <v>#VALUE!</v>
      </c>
      <c r="GU200" t="e">
        <f>'All regions'!I5016+"n/&gt;!)Ps"</f>
        <v>#VALUE!</v>
      </c>
      <c r="GV200" t="e">
        <f>'All regions'!J5016+"n/&gt;!)Pt"</f>
        <v>#VALUE!</v>
      </c>
      <c r="GW200" t="e">
        <f>'All regions'!A5017+"n/&gt;!)Pu"</f>
        <v>#VALUE!</v>
      </c>
      <c r="GX200" t="e">
        <f>'All regions'!B5017+"n/&gt;!)Pv"</f>
        <v>#VALUE!</v>
      </c>
      <c r="GY200" t="e">
        <f>'All regions'!C5017+"n/&gt;!)Pw"</f>
        <v>#VALUE!</v>
      </c>
      <c r="GZ200" t="e">
        <f>'All regions'!D5017+"n/&gt;!)Px"</f>
        <v>#VALUE!</v>
      </c>
      <c r="HA200" t="e">
        <f>'All regions'!E5017+"n/&gt;!)Py"</f>
        <v>#VALUE!</v>
      </c>
      <c r="HB200" t="e">
        <f>'All regions'!F5017+"n/&gt;!)Pz"</f>
        <v>#VALUE!</v>
      </c>
      <c r="HC200" t="e">
        <f>'All regions'!G5017+"n/&gt;!)P{"</f>
        <v>#VALUE!</v>
      </c>
      <c r="HD200" t="e">
        <f>'All regions'!H5017+"n/&gt;!)P|"</f>
        <v>#VALUE!</v>
      </c>
      <c r="HE200" t="e">
        <f>'All regions'!I5017+"n/&gt;!)P}"</f>
        <v>#VALUE!</v>
      </c>
      <c r="HF200" t="e">
        <f>'All regions'!J5017+"n/&gt;!)P~"</f>
        <v>#VALUE!</v>
      </c>
      <c r="HG200" t="e">
        <f>'All regions'!A5018+"n/&gt;!)Q#"</f>
        <v>#VALUE!</v>
      </c>
      <c r="HH200" t="e">
        <f>'All regions'!B5018+"n/&gt;!)Q$"</f>
        <v>#VALUE!</v>
      </c>
      <c r="HI200" t="e">
        <f>'All regions'!C5018+"n/&gt;!)Q%"</f>
        <v>#VALUE!</v>
      </c>
      <c r="HJ200" t="e">
        <f>'All regions'!D5018+"n/&gt;!)Q&amp;"</f>
        <v>#VALUE!</v>
      </c>
      <c r="HK200" t="e">
        <f>'All regions'!E5018+"n/&gt;!)Q'"</f>
        <v>#VALUE!</v>
      </c>
      <c r="HL200" t="e">
        <f>'All regions'!F5018+"n/&gt;!)Q("</f>
        <v>#VALUE!</v>
      </c>
      <c r="HM200" t="e">
        <f>'All regions'!G5018+"n/&gt;!)Q)"</f>
        <v>#VALUE!</v>
      </c>
      <c r="HN200" t="e">
        <f>'All regions'!H5018+"n/&gt;!)Q."</f>
        <v>#VALUE!</v>
      </c>
      <c r="HO200" t="e">
        <f>'All regions'!I5018+"n/&gt;!)Q/"</f>
        <v>#VALUE!</v>
      </c>
      <c r="HP200" t="e">
        <f>'All regions'!J5018+"n/&gt;!)Q0"</f>
        <v>#VALUE!</v>
      </c>
      <c r="HQ200" t="e">
        <f>'All regions'!A5019+"n/&gt;!)Q1"</f>
        <v>#VALUE!</v>
      </c>
      <c r="HR200" t="e">
        <f>'All regions'!B5019+"n/&gt;!)Q2"</f>
        <v>#VALUE!</v>
      </c>
      <c r="HS200" t="e">
        <f>'All regions'!C5019+"n/&gt;!)Q3"</f>
        <v>#VALUE!</v>
      </c>
      <c r="HT200" t="e">
        <f>'All regions'!D5019+"n/&gt;!)Q4"</f>
        <v>#VALUE!</v>
      </c>
      <c r="HU200" t="e">
        <f>'All regions'!E5019+"n/&gt;!)Q5"</f>
        <v>#VALUE!</v>
      </c>
      <c r="HV200" t="e">
        <f>'All regions'!F5019+"n/&gt;!)Q6"</f>
        <v>#VALUE!</v>
      </c>
      <c r="HW200" t="e">
        <f>'All regions'!G5019+"n/&gt;!)Q7"</f>
        <v>#VALUE!</v>
      </c>
      <c r="HX200" t="e">
        <f>'All regions'!H5019+"n/&gt;!)Q8"</f>
        <v>#VALUE!</v>
      </c>
      <c r="HY200" t="e">
        <f>'All regions'!I5019+"n/&gt;!)Q9"</f>
        <v>#VALUE!</v>
      </c>
      <c r="HZ200" t="e">
        <f>'All regions'!J5019+"n/&gt;!)Q:"</f>
        <v>#VALUE!</v>
      </c>
      <c r="IA200" t="e">
        <f>'All regions'!A5020+"n/&gt;!)Q;"</f>
        <v>#VALUE!</v>
      </c>
      <c r="IB200" t="e">
        <f>'All regions'!B5020+"n/&gt;!)Q&lt;"</f>
        <v>#VALUE!</v>
      </c>
      <c r="IC200" t="e">
        <f>'All regions'!C5020+"n/&gt;!)Q="</f>
        <v>#VALUE!</v>
      </c>
      <c r="ID200" t="e">
        <f>'All regions'!D5020+"n/&gt;!)Q&gt;"</f>
        <v>#VALUE!</v>
      </c>
      <c r="IE200" t="e">
        <f>'All regions'!E5020+"n/&gt;!)Q?"</f>
        <v>#VALUE!</v>
      </c>
      <c r="IF200" t="e">
        <f>'All regions'!F5020+"n/&gt;!)Q@"</f>
        <v>#VALUE!</v>
      </c>
      <c r="IG200" t="e">
        <f>'All regions'!G5020+"n/&gt;!)QA"</f>
        <v>#VALUE!</v>
      </c>
      <c r="IH200" t="e">
        <f>'All regions'!H5020+"n/&gt;!)QB"</f>
        <v>#VALUE!</v>
      </c>
      <c r="II200" t="e">
        <f>'All regions'!I5020+"n/&gt;!)QC"</f>
        <v>#VALUE!</v>
      </c>
      <c r="IJ200" t="e">
        <f>'All regions'!J5020+"n/&gt;!)QD"</f>
        <v>#VALUE!</v>
      </c>
      <c r="IK200" t="e">
        <f>'All regions'!A5021+"n/&gt;!)QE"</f>
        <v>#VALUE!</v>
      </c>
      <c r="IL200" t="e">
        <f>'All regions'!B5021+"n/&gt;!)QF"</f>
        <v>#VALUE!</v>
      </c>
      <c r="IM200" t="e">
        <f>'All regions'!C5021+"n/&gt;!)QG"</f>
        <v>#VALUE!</v>
      </c>
      <c r="IN200" t="e">
        <f>'All regions'!D5021+"n/&gt;!)QH"</f>
        <v>#VALUE!</v>
      </c>
      <c r="IO200" t="e">
        <f>'All regions'!E5021+"n/&gt;!)QI"</f>
        <v>#VALUE!</v>
      </c>
      <c r="IP200" t="e">
        <f>'All regions'!F5021+"n/&gt;!)QJ"</f>
        <v>#VALUE!</v>
      </c>
      <c r="IQ200" t="e">
        <f>'All regions'!G5021+"n/&gt;!)QK"</f>
        <v>#VALUE!</v>
      </c>
      <c r="IR200" t="e">
        <f>'All regions'!H5021+"n/&gt;!)QL"</f>
        <v>#VALUE!</v>
      </c>
      <c r="IS200" t="e">
        <f>'All regions'!I5021+"n/&gt;!)QM"</f>
        <v>#VALUE!</v>
      </c>
      <c r="IT200" t="e">
        <f>'All regions'!J5021+"n/&gt;!)QN"</f>
        <v>#VALUE!</v>
      </c>
      <c r="IU200" t="e">
        <f>'All regions'!A5022+"n/&gt;!)QO"</f>
        <v>#VALUE!</v>
      </c>
      <c r="IV200" t="e">
        <f>'All regions'!B5022+"n/&gt;!)QP"</f>
        <v>#VALUE!</v>
      </c>
    </row>
    <row r="201" spans="6:256" x14ac:dyDescent="0.35">
      <c r="F201" t="e">
        <f>'All regions'!C5022+"n/&gt;!)QQ"</f>
        <v>#VALUE!</v>
      </c>
      <c r="G201" t="e">
        <f>'All regions'!D5022+"n/&gt;!)QR"</f>
        <v>#VALUE!</v>
      </c>
      <c r="H201" t="e">
        <f>'All regions'!E5022+"n/&gt;!)QS"</f>
        <v>#VALUE!</v>
      </c>
      <c r="I201" t="e">
        <f>'All regions'!F5022+"n/&gt;!)QT"</f>
        <v>#VALUE!</v>
      </c>
      <c r="J201" t="e">
        <f>'All regions'!G5022+"n/&gt;!)QU"</f>
        <v>#VALUE!</v>
      </c>
      <c r="K201" t="e">
        <f>'All regions'!H5022+"n/&gt;!)QV"</f>
        <v>#VALUE!</v>
      </c>
      <c r="L201" t="e">
        <f>'All regions'!I5022+"n/&gt;!)QW"</f>
        <v>#VALUE!</v>
      </c>
      <c r="M201" t="e">
        <f>'All regions'!J5022+"n/&gt;!)QX"</f>
        <v>#VALUE!</v>
      </c>
      <c r="N201" t="e">
        <f>'All regions'!A5023+"n/&gt;!)QY"</f>
        <v>#VALUE!</v>
      </c>
      <c r="O201" t="e">
        <f>'All regions'!B5023+"n/&gt;!)QZ"</f>
        <v>#VALUE!</v>
      </c>
      <c r="P201" t="e">
        <f>'All regions'!C5023+"n/&gt;!)Q["</f>
        <v>#VALUE!</v>
      </c>
      <c r="Q201" t="e">
        <f>'All regions'!D5023+"n/&gt;!)Q\"</f>
        <v>#VALUE!</v>
      </c>
      <c r="R201" t="e">
        <f>'All regions'!E5023+"n/&gt;!)Q]"</f>
        <v>#VALUE!</v>
      </c>
      <c r="S201" t="e">
        <f>'All regions'!F5023+"n/&gt;!)Q^"</f>
        <v>#VALUE!</v>
      </c>
      <c r="T201" t="e">
        <f>'All regions'!G5023+"n/&gt;!)Q_"</f>
        <v>#VALUE!</v>
      </c>
      <c r="U201" t="e">
        <f>'All regions'!H5023+"n/&gt;!)Q`"</f>
        <v>#VALUE!</v>
      </c>
      <c r="V201" t="e">
        <f>'All regions'!I5023+"n/&gt;!)Qa"</f>
        <v>#VALUE!</v>
      </c>
      <c r="W201" t="e">
        <f>'All regions'!J5023+"n/&gt;!)Qb"</f>
        <v>#VALUE!</v>
      </c>
      <c r="X201" t="e">
        <f>'All regions'!A5024+"n/&gt;!)Qc"</f>
        <v>#VALUE!</v>
      </c>
      <c r="Y201" t="e">
        <f>'All regions'!B5024+"n/&gt;!)Qd"</f>
        <v>#VALUE!</v>
      </c>
      <c r="Z201" t="e">
        <f>'All regions'!C5024+"n/&gt;!)Qe"</f>
        <v>#VALUE!</v>
      </c>
      <c r="AA201" t="e">
        <f>'All regions'!D5024+"n/&gt;!)Qf"</f>
        <v>#VALUE!</v>
      </c>
      <c r="AB201" t="e">
        <f>'All regions'!E5024+"n/&gt;!)Qg"</f>
        <v>#VALUE!</v>
      </c>
      <c r="AC201" t="e">
        <f>'All regions'!F5024+"n/&gt;!)Qh"</f>
        <v>#VALUE!</v>
      </c>
      <c r="AD201" t="e">
        <f>'All regions'!G5024+"n/&gt;!)Qi"</f>
        <v>#VALUE!</v>
      </c>
      <c r="AE201" t="e">
        <f>'All regions'!H5024+"n/&gt;!)Qj"</f>
        <v>#VALUE!</v>
      </c>
      <c r="AF201" t="e">
        <f>'All regions'!I5024+"n/&gt;!)Qk"</f>
        <v>#VALUE!</v>
      </c>
      <c r="AG201" t="e">
        <f>'All regions'!J5024+"n/&gt;!)Ql"</f>
        <v>#VALUE!</v>
      </c>
      <c r="AH201" t="e">
        <f>'All regions'!A5025+"n/&gt;!)Qm"</f>
        <v>#VALUE!</v>
      </c>
      <c r="AI201" t="e">
        <f>'All regions'!B5025+"n/&gt;!)Qn"</f>
        <v>#VALUE!</v>
      </c>
      <c r="AJ201" t="e">
        <f>'All regions'!C5025+"n/&gt;!)Qo"</f>
        <v>#VALUE!</v>
      </c>
      <c r="AK201" t="e">
        <f>'All regions'!D5025+"n/&gt;!)Qp"</f>
        <v>#VALUE!</v>
      </c>
      <c r="AL201" t="e">
        <f>'All regions'!E5025+"n/&gt;!)Qq"</f>
        <v>#VALUE!</v>
      </c>
      <c r="AM201" t="e">
        <f>'All regions'!F5025+"n/&gt;!)Qr"</f>
        <v>#VALUE!</v>
      </c>
      <c r="AN201" t="e">
        <f>'All regions'!G5025+"n/&gt;!)Qs"</f>
        <v>#VALUE!</v>
      </c>
      <c r="AO201" t="e">
        <f>'All regions'!H5025+"n/&gt;!)Qt"</f>
        <v>#VALUE!</v>
      </c>
      <c r="AP201" t="e">
        <f>'All regions'!I5025+"n/&gt;!)Qu"</f>
        <v>#VALUE!</v>
      </c>
      <c r="AQ201" t="e">
        <f>'All regions'!J5025+"n/&gt;!)Qv"</f>
        <v>#VALUE!</v>
      </c>
      <c r="AR201" t="e">
        <f>'All regions'!A5026+"n/&gt;!)Qw"</f>
        <v>#VALUE!</v>
      </c>
      <c r="AS201" t="e">
        <f>'All regions'!B5026+"n/&gt;!)Qx"</f>
        <v>#VALUE!</v>
      </c>
      <c r="AT201" t="e">
        <f>'All regions'!C5026+"n/&gt;!)Qy"</f>
        <v>#VALUE!</v>
      </c>
      <c r="AU201" t="e">
        <f>'All regions'!D5026+"n/&gt;!)Qz"</f>
        <v>#VALUE!</v>
      </c>
      <c r="AV201" t="e">
        <f>'All regions'!E5026+"n/&gt;!)Q{"</f>
        <v>#VALUE!</v>
      </c>
      <c r="AW201" t="e">
        <f>'All regions'!F5026+"n/&gt;!)Q|"</f>
        <v>#VALUE!</v>
      </c>
      <c r="AX201" t="e">
        <f>'All regions'!G5026+"n/&gt;!)Q}"</f>
        <v>#VALUE!</v>
      </c>
      <c r="AY201" t="e">
        <f>'All regions'!H5026+"n/&gt;!)Q~"</f>
        <v>#VALUE!</v>
      </c>
      <c r="AZ201" t="e">
        <f>'All regions'!I5026+"n/&gt;!)R#"</f>
        <v>#VALUE!</v>
      </c>
      <c r="BA201" t="e">
        <f>'All regions'!J5026+"n/&gt;!)R$"</f>
        <v>#VALUE!</v>
      </c>
      <c r="BB201" t="e">
        <f>'All regions'!A5027+"n/&gt;!)R%"</f>
        <v>#VALUE!</v>
      </c>
      <c r="BC201" t="e">
        <f>'All regions'!B5027+"n/&gt;!)R&amp;"</f>
        <v>#VALUE!</v>
      </c>
      <c r="BD201" t="e">
        <f>'All regions'!C5027+"n/&gt;!)R'"</f>
        <v>#VALUE!</v>
      </c>
      <c r="BE201" t="e">
        <f>'All regions'!D5027+"n/&gt;!)R("</f>
        <v>#VALUE!</v>
      </c>
      <c r="BF201" t="e">
        <f>'All regions'!E5027+"n/&gt;!)R)"</f>
        <v>#VALUE!</v>
      </c>
      <c r="BG201" t="e">
        <f>'All regions'!F5027+"n/&gt;!)R."</f>
        <v>#VALUE!</v>
      </c>
      <c r="BH201" t="e">
        <f>'All regions'!G5027+"n/&gt;!)R/"</f>
        <v>#VALUE!</v>
      </c>
      <c r="BI201" t="e">
        <f>'All regions'!H5027+"n/&gt;!)R0"</f>
        <v>#VALUE!</v>
      </c>
      <c r="BJ201" t="e">
        <f>'All regions'!I5027+"n/&gt;!)R1"</f>
        <v>#VALUE!</v>
      </c>
      <c r="BK201" t="e">
        <f>'All regions'!J5027+"n/&gt;!)R2"</f>
        <v>#VALUE!</v>
      </c>
      <c r="BL201" t="e">
        <f>'All regions'!A5028+"n/&gt;!)R3"</f>
        <v>#VALUE!</v>
      </c>
      <c r="BM201" t="e">
        <f>'All regions'!B5028+"n/&gt;!)R4"</f>
        <v>#VALUE!</v>
      </c>
      <c r="BN201" t="e">
        <f>'All regions'!C5028+"n/&gt;!)R5"</f>
        <v>#VALUE!</v>
      </c>
      <c r="BO201" t="e">
        <f>'All regions'!D5028+"n/&gt;!)R6"</f>
        <v>#VALUE!</v>
      </c>
      <c r="BP201" t="e">
        <f>'All regions'!E5028+"n/&gt;!)R7"</f>
        <v>#VALUE!</v>
      </c>
      <c r="BQ201" t="e">
        <f>'All regions'!F5028+"n/&gt;!)R8"</f>
        <v>#VALUE!</v>
      </c>
      <c r="BR201" t="e">
        <f>'All regions'!G5028+"n/&gt;!)R9"</f>
        <v>#VALUE!</v>
      </c>
      <c r="BS201" t="e">
        <f>'All regions'!H5028+"n/&gt;!)R:"</f>
        <v>#VALUE!</v>
      </c>
      <c r="BT201" t="e">
        <f>'All regions'!I5028+"n/&gt;!)R;"</f>
        <v>#VALUE!</v>
      </c>
      <c r="BU201" t="e">
        <f>'All regions'!J5028+"n/&gt;!)R&lt;"</f>
        <v>#VALUE!</v>
      </c>
      <c r="BV201" t="e">
        <f>'All regions'!A5029+"n/&gt;!)R="</f>
        <v>#VALUE!</v>
      </c>
      <c r="BW201" t="e">
        <f>'All regions'!B5029+"n/&gt;!)R&gt;"</f>
        <v>#VALUE!</v>
      </c>
      <c r="BX201" t="e">
        <f>'All regions'!C5029+"n/&gt;!)R?"</f>
        <v>#VALUE!</v>
      </c>
      <c r="BY201" t="e">
        <f>'All regions'!D5029+"n/&gt;!)R@"</f>
        <v>#VALUE!</v>
      </c>
      <c r="BZ201" t="e">
        <f>'All regions'!E5029+"n/&gt;!)RA"</f>
        <v>#VALUE!</v>
      </c>
      <c r="CA201" t="e">
        <f>'All regions'!F5029+"n/&gt;!)RB"</f>
        <v>#VALUE!</v>
      </c>
      <c r="CB201" t="e">
        <f>'All regions'!G5029+"n/&gt;!)RC"</f>
        <v>#VALUE!</v>
      </c>
      <c r="CC201" t="e">
        <f>'All regions'!H5029+"n/&gt;!)RD"</f>
        <v>#VALUE!</v>
      </c>
      <c r="CD201" t="e">
        <f>'All regions'!I5029+"n/&gt;!)RE"</f>
        <v>#VALUE!</v>
      </c>
      <c r="CE201" t="e">
        <f>'All regions'!J5029+"n/&gt;!)RF"</f>
        <v>#VALUE!</v>
      </c>
      <c r="CF201" t="e">
        <f>'All regions'!A5030+"n/&gt;!)RG"</f>
        <v>#VALUE!</v>
      </c>
      <c r="CG201" t="e">
        <f>'All regions'!B5030+"n/&gt;!)RH"</f>
        <v>#VALUE!</v>
      </c>
      <c r="CH201" t="e">
        <f>'All regions'!C5030+"n/&gt;!)RI"</f>
        <v>#VALUE!</v>
      </c>
      <c r="CI201" t="e">
        <f>'All regions'!D5030+"n/&gt;!)RJ"</f>
        <v>#VALUE!</v>
      </c>
      <c r="CJ201" t="e">
        <f>'All regions'!E5030+"n/&gt;!)RK"</f>
        <v>#VALUE!</v>
      </c>
      <c r="CK201" t="e">
        <f>'All regions'!F5030+"n/&gt;!)RL"</f>
        <v>#VALUE!</v>
      </c>
      <c r="CL201" t="e">
        <f>'All regions'!G5030+"n/&gt;!)RM"</f>
        <v>#VALUE!</v>
      </c>
      <c r="CM201" t="e">
        <f>'All regions'!H5030+"n/&gt;!)RN"</f>
        <v>#VALUE!</v>
      </c>
      <c r="CN201" t="e">
        <f>'All regions'!I5030+"n/&gt;!)RO"</f>
        <v>#VALUE!</v>
      </c>
      <c r="CO201" t="e">
        <f>'All regions'!J5030+"n/&gt;!)RP"</f>
        <v>#VALUE!</v>
      </c>
      <c r="CP201" t="e">
        <f>'All regions'!A5031+"n/&gt;!)RQ"</f>
        <v>#VALUE!</v>
      </c>
      <c r="CQ201" t="e">
        <f>'All regions'!B5031+"n/&gt;!)RR"</f>
        <v>#VALUE!</v>
      </c>
      <c r="CR201" t="e">
        <f>'All regions'!C5031+"n/&gt;!)RS"</f>
        <v>#VALUE!</v>
      </c>
      <c r="CS201" t="e">
        <f>'All regions'!D5031+"n/&gt;!)RT"</f>
        <v>#VALUE!</v>
      </c>
      <c r="CT201" t="e">
        <f>'All regions'!E5031+"n/&gt;!)RU"</f>
        <v>#VALUE!</v>
      </c>
      <c r="CU201" t="e">
        <f>'All regions'!F5031+"n/&gt;!)RV"</f>
        <v>#VALUE!</v>
      </c>
      <c r="CV201" t="e">
        <f>'All regions'!G5031+"n/&gt;!)RW"</f>
        <v>#VALUE!</v>
      </c>
      <c r="CW201" t="e">
        <f>'All regions'!H5031+"n/&gt;!)RX"</f>
        <v>#VALUE!</v>
      </c>
      <c r="CX201" t="e">
        <f>'All regions'!I5031+"n/&gt;!)RY"</f>
        <v>#VALUE!</v>
      </c>
      <c r="CY201" t="e">
        <f>'All regions'!J5031+"n/&gt;!)RZ"</f>
        <v>#VALUE!</v>
      </c>
      <c r="CZ201" t="e">
        <f>'All regions'!A5032+"n/&gt;!)R["</f>
        <v>#VALUE!</v>
      </c>
      <c r="DA201" t="e">
        <f>'All regions'!B5032+"n/&gt;!)R\"</f>
        <v>#VALUE!</v>
      </c>
      <c r="DB201" t="e">
        <f>'All regions'!C5032+"n/&gt;!)R]"</f>
        <v>#VALUE!</v>
      </c>
      <c r="DC201" t="e">
        <f>'All regions'!D5032+"n/&gt;!)R^"</f>
        <v>#VALUE!</v>
      </c>
      <c r="DD201" t="e">
        <f>'All regions'!E5032+"n/&gt;!)R_"</f>
        <v>#VALUE!</v>
      </c>
      <c r="DE201" t="e">
        <f>'All regions'!F5032+"n/&gt;!)R`"</f>
        <v>#VALUE!</v>
      </c>
      <c r="DF201" t="e">
        <f>'All regions'!G5032+"n/&gt;!)Ra"</f>
        <v>#VALUE!</v>
      </c>
      <c r="DG201" t="e">
        <f>'All regions'!H5032+"n/&gt;!)Rb"</f>
        <v>#VALUE!</v>
      </c>
      <c r="DH201" t="e">
        <f>'All regions'!I5032+"n/&gt;!)Rc"</f>
        <v>#VALUE!</v>
      </c>
      <c r="DI201" t="e">
        <f>'All regions'!J5032+"n/&gt;!)Rd"</f>
        <v>#VALUE!</v>
      </c>
      <c r="DJ201" t="e">
        <f>'All regions'!A5033+"n/&gt;!)Re"</f>
        <v>#VALUE!</v>
      </c>
      <c r="DK201" t="e">
        <f>'All regions'!B5033+"n/&gt;!)Rf"</f>
        <v>#VALUE!</v>
      </c>
      <c r="DL201" t="e">
        <f>'All regions'!C5033+"n/&gt;!)Rg"</f>
        <v>#VALUE!</v>
      </c>
      <c r="DM201" t="e">
        <f>'All regions'!D5033+"n/&gt;!)Rh"</f>
        <v>#VALUE!</v>
      </c>
      <c r="DN201" t="e">
        <f>'All regions'!E5033+"n/&gt;!)Ri"</f>
        <v>#VALUE!</v>
      </c>
      <c r="DO201" t="e">
        <f>'All regions'!F5033+"n/&gt;!)Rj"</f>
        <v>#VALUE!</v>
      </c>
      <c r="DP201" t="e">
        <f>'All regions'!G5033+"n/&gt;!)Rk"</f>
        <v>#VALUE!</v>
      </c>
      <c r="DQ201" t="e">
        <f>'All regions'!H5033+"n/&gt;!)Rl"</f>
        <v>#VALUE!</v>
      </c>
      <c r="DR201" t="e">
        <f>'All regions'!I5033+"n/&gt;!)Rm"</f>
        <v>#VALUE!</v>
      </c>
      <c r="DS201" t="e">
        <f>'All regions'!J5033+"n/&gt;!)Rn"</f>
        <v>#VALUE!</v>
      </c>
      <c r="DT201" t="e">
        <f>'All regions'!A5034+"n/&gt;!)Ro"</f>
        <v>#VALUE!</v>
      </c>
      <c r="DU201" t="e">
        <f>'All regions'!B5034+"n/&gt;!)Rp"</f>
        <v>#VALUE!</v>
      </c>
      <c r="DV201" t="e">
        <f>'All regions'!C5034+"n/&gt;!)Rq"</f>
        <v>#VALUE!</v>
      </c>
      <c r="DW201" t="e">
        <f>'All regions'!D5034+"n/&gt;!)Rr"</f>
        <v>#VALUE!</v>
      </c>
      <c r="DX201" t="e">
        <f>'All regions'!E5034+"n/&gt;!)Rs"</f>
        <v>#VALUE!</v>
      </c>
      <c r="DY201" t="e">
        <f>'All regions'!F5034+"n/&gt;!)Rt"</f>
        <v>#VALUE!</v>
      </c>
      <c r="DZ201" t="e">
        <f>'All regions'!G5034+"n/&gt;!)Ru"</f>
        <v>#VALUE!</v>
      </c>
      <c r="EA201" t="e">
        <f>'All regions'!H5034+"n/&gt;!)Rv"</f>
        <v>#VALUE!</v>
      </c>
      <c r="EB201" t="e">
        <f>'All regions'!I5034+"n/&gt;!)Rw"</f>
        <v>#VALUE!</v>
      </c>
      <c r="EC201" t="e">
        <f>'All regions'!J5034+"n/&gt;!)Rx"</f>
        <v>#VALUE!</v>
      </c>
      <c r="ED201" t="e">
        <f>'All regions'!A5035+"n/&gt;!)Ry"</f>
        <v>#VALUE!</v>
      </c>
      <c r="EE201" t="e">
        <f>'All regions'!B5035+"n/&gt;!)Rz"</f>
        <v>#VALUE!</v>
      </c>
      <c r="EF201" t="e">
        <f>'All regions'!C5035+"n/&gt;!)R{"</f>
        <v>#VALUE!</v>
      </c>
      <c r="EG201" t="e">
        <f>'All regions'!D5035+"n/&gt;!)R|"</f>
        <v>#VALUE!</v>
      </c>
      <c r="EH201" t="e">
        <f>'All regions'!E5035+"n/&gt;!)R}"</f>
        <v>#VALUE!</v>
      </c>
      <c r="EI201" t="e">
        <f>'All regions'!F5035+"n/&gt;!)R~"</f>
        <v>#VALUE!</v>
      </c>
      <c r="EJ201" t="e">
        <f>'All regions'!G5035+"n/&gt;!)S#"</f>
        <v>#VALUE!</v>
      </c>
      <c r="EK201" t="e">
        <f>'All regions'!H5035+"n/&gt;!)S$"</f>
        <v>#VALUE!</v>
      </c>
      <c r="EL201" t="e">
        <f>'All regions'!I5035+"n/&gt;!)S%"</f>
        <v>#VALUE!</v>
      </c>
      <c r="EM201" t="e">
        <f>'All regions'!J5035+"n/&gt;!)S&amp;"</f>
        <v>#VALUE!</v>
      </c>
      <c r="EN201" t="e">
        <f>'All regions'!A5036+"n/&gt;!)S'"</f>
        <v>#VALUE!</v>
      </c>
      <c r="EO201" t="e">
        <f>'All regions'!B5036+"n/&gt;!)S("</f>
        <v>#VALUE!</v>
      </c>
      <c r="EP201" t="e">
        <f>'All regions'!C5036+"n/&gt;!)S)"</f>
        <v>#VALUE!</v>
      </c>
      <c r="EQ201" t="e">
        <f>'All regions'!D5036+"n/&gt;!)S."</f>
        <v>#VALUE!</v>
      </c>
      <c r="ER201" t="e">
        <f>'All regions'!E5036+"n/&gt;!)S/"</f>
        <v>#VALUE!</v>
      </c>
      <c r="ES201" t="e">
        <f>'All regions'!F5036+"n/&gt;!)S0"</f>
        <v>#VALUE!</v>
      </c>
      <c r="ET201" t="e">
        <f>'All regions'!G5036+"n/&gt;!)S1"</f>
        <v>#VALUE!</v>
      </c>
      <c r="EU201" t="e">
        <f>'All regions'!H5036+"n/&gt;!)S2"</f>
        <v>#VALUE!</v>
      </c>
      <c r="EV201" t="e">
        <f>'All regions'!I5036+"n/&gt;!)S3"</f>
        <v>#VALUE!</v>
      </c>
      <c r="EW201" t="e">
        <f>'All regions'!J5036+"n/&gt;!)S4"</f>
        <v>#VALUE!</v>
      </c>
      <c r="EX201" t="e">
        <f>'All regions'!A5037+"n/&gt;!)S5"</f>
        <v>#VALUE!</v>
      </c>
      <c r="EY201" t="e">
        <f>'All regions'!B5037+"n/&gt;!)S6"</f>
        <v>#VALUE!</v>
      </c>
      <c r="EZ201" t="e">
        <f>'All regions'!C5037+"n/&gt;!)S7"</f>
        <v>#VALUE!</v>
      </c>
      <c r="FA201" t="e">
        <f>'All regions'!D5037+"n/&gt;!)S8"</f>
        <v>#VALUE!</v>
      </c>
      <c r="FB201" t="e">
        <f>'All regions'!E5037+"n/&gt;!)S9"</f>
        <v>#VALUE!</v>
      </c>
      <c r="FC201" t="e">
        <f>'All regions'!F5037+"n/&gt;!)S:"</f>
        <v>#VALUE!</v>
      </c>
      <c r="FD201" t="e">
        <f>'All regions'!G5037+"n/&gt;!)S;"</f>
        <v>#VALUE!</v>
      </c>
      <c r="FE201" t="e">
        <f>'All regions'!H5037+"n/&gt;!)S&lt;"</f>
        <v>#VALUE!</v>
      </c>
      <c r="FF201" t="e">
        <f>'All regions'!I5037+"n/&gt;!)S="</f>
        <v>#VALUE!</v>
      </c>
      <c r="FG201" t="e">
        <f>'All regions'!J5037+"n/&gt;!)S&gt;"</f>
        <v>#VALUE!</v>
      </c>
      <c r="FH201" t="e">
        <f>'All regions'!A5038+"n/&gt;!)S?"</f>
        <v>#VALUE!</v>
      </c>
      <c r="FI201" t="e">
        <f>'All regions'!B5038+"n/&gt;!)S@"</f>
        <v>#VALUE!</v>
      </c>
      <c r="FJ201" t="e">
        <f>'All regions'!C5038+"n/&gt;!)SA"</f>
        <v>#VALUE!</v>
      </c>
      <c r="FK201" t="e">
        <f>'All regions'!D5038+"n/&gt;!)SB"</f>
        <v>#VALUE!</v>
      </c>
      <c r="FL201" t="e">
        <f>'All regions'!E5038+"n/&gt;!)SC"</f>
        <v>#VALUE!</v>
      </c>
      <c r="FM201" t="e">
        <f>'All regions'!F5038+"n/&gt;!)SD"</f>
        <v>#VALUE!</v>
      </c>
      <c r="FN201" t="e">
        <f>'All regions'!G5038+"n/&gt;!)SE"</f>
        <v>#VALUE!</v>
      </c>
      <c r="FO201" t="e">
        <f>'All regions'!H5038+"n/&gt;!)SF"</f>
        <v>#VALUE!</v>
      </c>
      <c r="FP201" t="e">
        <f>'All regions'!I5038+"n/&gt;!)SG"</f>
        <v>#VALUE!</v>
      </c>
      <c r="FQ201" t="e">
        <f>'All regions'!J5038+"n/&gt;!)SH"</f>
        <v>#VALUE!</v>
      </c>
      <c r="FR201" t="e">
        <f>'All regions'!A5039+"n/&gt;!)SI"</f>
        <v>#VALUE!</v>
      </c>
      <c r="FS201" t="e">
        <f>'All regions'!B5039+"n/&gt;!)SJ"</f>
        <v>#VALUE!</v>
      </c>
      <c r="FT201" t="e">
        <f>'All regions'!C5039+"n/&gt;!)SK"</f>
        <v>#VALUE!</v>
      </c>
      <c r="FU201" t="e">
        <f>'All regions'!D5039+"n/&gt;!)SL"</f>
        <v>#VALUE!</v>
      </c>
      <c r="FV201" t="e">
        <f>'All regions'!E5039+"n/&gt;!)SM"</f>
        <v>#VALUE!</v>
      </c>
      <c r="FW201" t="e">
        <f>'All regions'!F5039+"n/&gt;!)SN"</f>
        <v>#VALUE!</v>
      </c>
      <c r="FX201" t="e">
        <f>'All regions'!G5039+"n/&gt;!)SO"</f>
        <v>#VALUE!</v>
      </c>
      <c r="FY201" t="e">
        <f>'All regions'!H5039+"n/&gt;!)SP"</f>
        <v>#VALUE!</v>
      </c>
      <c r="FZ201" t="e">
        <f>'All regions'!I5039+"n/&gt;!)SQ"</f>
        <v>#VALUE!</v>
      </c>
      <c r="GA201" t="e">
        <f>'All regions'!J5039+"n/&gt;!)SR"</f>
        <v>#VALUE!</v>
      </c>
      <c r="GB201" t="e">
        <f>'All regions'!A5040+"n/&gt;!)SS"</f>
        <v>#VALUE!</v>
      </c>
      <c r="GC201" t="e">
        <f>'All regions'!B5040+"n/&gt;!)ST"</f>
        <v>#VALUE!</v>
      </c>
      <c r="GD201" t="e">
        <f>'All regions'!C5040+"n/&gt;!)SU"</f>
        <v>#VALUE!</v>
      </c>
      <c r="GE201" t="e">
        <f>'All regions'!D5040+"n/&gt;!)SV"</f>
        <v>#VALUE!</v>
      </c>
      <c r="GF201" t="e">
        <f>'All regions'!E5040+"n/&gt;!)SW"</f>
        <v>#VALUE!</v>
      </c>
      <c r="GG201" t="e">
        <f>'All regions'!F5040+"n/&gt;!)SX"</f>
        <v>#VALUE!</v>
      </c>
      <c r="GH201" t="e">
        <f>'All regions'!G5040+"n/&gt;!)SY"</f>
        <v>#VALUE!</v>
      </c>
      <c r="GI201" t="e">
        <f>'All regions'!H5040+"n/&gt;!)SZ"</f>
        <v>#VALUE!</v>
      </c>
      <c r="GJ201" t="e">
        <f>'All regions'!I5040+"n/&gt;!)S["</f>
        <v>#VALUE!</v>
      </c>
      <c r="GK201" t="e">
        <f>'All regions'!J5040+"n/&gt;!)S\"</f>
        <v>#VALUE!</v>
      </c>
      <c r="GL201" t="e">
        <f>'All regions'!A5041+"n/&gt;!)S]"</f>
        <v>#VALUE!</v>
      </c>
      <c r="GM201" t="e">
        <f>'All regions'!B5041+"n/&gt;!)S^"</f>
        <v>#VALUE!</v>
      </c>
      <c r="GN201" t="e">
        <f>'All regions'!C5041+"n/&gt;!)S_"</f>
        <v>#VALUE!</v>
      </c>
      <c r="GO201" t="e">
        <f>'All regions'!D5041+"n/&gt;!)S`"</f>
        <v>#VALUE!</v>
      </c>
      <c r="GP201" t="e">
        <f>'All regions'!E5041+"n/&gt;!)Sa"</f>
        <v>#VALUE!</v>
      </c>
      <c r="GQ201" t="e">
        <f>'All regions'!F5041+"n/&gt;!)Sb"</f>
        <v>#VALUE!</v>
      </c>
      <c r="GR201" t="e">
        <f>'All regions'!G5041+"n/&gt;!)Sc"</f>
        <v>#VALUE!</v>
      </c>
      <c r="GS201" t="e">
        <f>'All regions'!H5041+"n/&gt;!)Sd"</f>
        <v>#VALUE!</v>
      </c>
      <c r="GT201" t="e">
        <f>'All regions'!I5041+"n/&gt;!)Se"</f>
        <v>#VALUE!</v>
      </c>
      <c r="GU201" t="e">
        <f>'All regions'!J5041+"n/&gt;!)Sf"</f>
        <v>#VALUE!</v>
      </c>
      <c r="GV201" t="e">
        <f>'All regions'!A5042+"n/&gt;!)Sg"</f>
        <v>#VALUE!</v>
      </c>
      <c r="GW201" t="e">
        <f>'All regions'!B5042+"n/&gt;!)Sh"</f>
        <v>#VALUE!</v>
      </c>
      <c r="GX201" t="e">
        <f>'All regions'!C5042+"n/&gt;!)Si"</f>
        <v>#VALUE!</v>
      </c>
      <c r="GY201" t="e">
        <f>'All regions'!D5042+"n/&gt;!)Sj"</f>
        <v>#VALUE!</v>
      </c>
      <c r="GZ201" t="e">
        <f>'All regions'!E5042+"n/&gt;!)Sk"</f>
        <v>#VALUE!</v>
      </c>
      <c r="HA201" t="e">
        <f>'All regions'!F5042+"n/&gt;!)Sl"</f>
        <v>#VALUE!</v>
      </c>
      <c r="HB201" t="e">
        <f>'All regions'!G5042+"n/&gt;!)Sm"</f>
        <v>#VALUE!</v>
      </c>
      <c r="HC201" t="e">
        <f>'All regions'!H5042+"n/&gt;!)Sn"</f>
        <v>#VALUE!</v>
      </c>
      <c r="HD201" t="e">
        <f>'All regions'!I5042+"n/&gt;!)So"</f>
        <v>#VALUE!</v>
      </c>
      <c r="HE201" t="e">
        <f>'All regions'!J5042+"n/&gt;!)Sp"</f>
        <v>#VALUE!</v>
      </c>
      <c r="HF201" t="e">
        <f>'All regions'!A5043+"n/&gt;!)Sq"</f>
        <v>#VALUE!</v>
      </c>
      <c r="HG201" t="e">
        <f>'All regions'!B5043+"n/&gt;!)Sr"</f>
        <v>#VALUE!</v>
      </c>
      <c r="HH201" t="e">
        <f>'All regions'!C5043+"n/&gt;!)Ss"</f>
        <v>#VALUE!</v>
      </c>
      <c r="HI201" t="e">
        <f>'All regions'!D5043+"n/&gt;!)St"</f>
        <v>#VALUE!</v>
      </c>
      <c r="HJ201" t="e">
        <f>'All regions'!E5043+"n/&gt;!)Su"</f>
        <v>#VALUE!</v>
      </c>
      <c r="HK201" t="e">
        <f>'All regions'!F5043+"n/&gt;!)Sv"</f>
        <v>#VALUE!</v>
      </c>
      <c r="HL201" t="e">
        <f>'All regions'!G5043+"n/&gt;!)Sw"</f>
        <v>#VALUE!</v>
      </c>
      <c r="HM201" t="e">
        <f>'All regions'!H5043+"n/&gt;!)Sx"</f>
        <v>#VALUE!</v>
      </c>
      <c r="HN201" t="e">
        <f>'All regions'!I5043+"n/&gt;!)Sy"</f>
        <v>#VALUE!</v>
      </c>
      <c r="HO201" t="e">
        <f>'All regions'!J5043+"n/&gt;!)Sz"</f>
        <v>#VALUE!</v>
      </c>
      <c r="HP201" t="e">
        <f>'All regions'!A5044+"n/&gt;!)S{"</f>
        <v>#VALUE!</v>
      </c>
      <c r="HQ201" t="e">
        <f>'All regions'!B5044+"n/&gt;!)S|"</f>
        <v>#VALUE!</v>
      </c>
      <c r="HR201" t="e">
        <f>'All regions'!C5044+"n/&gt;!)S}"</f>
        <v>#VALUE!</v>
      </c>
      <c r="HS201" t="e">
        <f>'All regions'!D5044+"n/&gt;!)S~"</f>
        <v>#VALUE!</v>
      </c>
      <c r="HT201" t="e">
        <f>'All regions'!E5044+"n/&gt;!)T#"</f>
        <v>#VALUE!</v>
      </c>
      <c r="HU201" t="e">
        <f>'All regions'!F5044+"n/&gt;!)T$"</f>
        <v>#VALUE!</v>
      </c>
      <c r="HV201" t="e">
        <f>'All regions'!G5044+"n/&gt;!)T%"</f>
        <v>#VALUE!</v>
      </c>
      <c r="HW201" t="e">
        <f>'All regions'!H5044+"n/&gt;!)T&amp;"</f>
        <v>#VALUE!</v>
      </c>
      <c r="HX201" t="e">
        <f>'All regions'!I5044+"n/&gt;!)T'"</f>
        <v>#VALUE!</v>
      </c>
      <c r="HY201" t="e">
        <f>'All regions'!J5044+"n/&gt;!)T("</f>
        <v>#VALUE!</v>
      </c>
      <c r="HZ201" t="e">
        <f>'All regions'!A5045+"n/&gt;!)T)"</f>
        <v>#VALUE!</v>
      </c>
      <c r="IA201" t="e">
        <f>'All regions'!B5045+"n/&gt;!)T."</f>
        <v>#VALUE!</v>
      </c>
      <c r="IB201" t="e">
        <f>'All regions'!C5045+"n/&gt;!)T/"</f>
        <v>#VALUE!</v>
      </c>
      <c r="IC201" t="e">
        <f>'All regions'!D5045+"n/&gt;!)T0"</f>
        <v>#VALUE!</v>
      </c>
      <c r="ID201" t="e">
        <f>'All regions'!E5045+"n/&gt;!)T1"</f>
        <v>#VALUE!</v>
      </c>
      <c r="IE201" t="e">
        <f>'All regions'!F5045+"n/&gt;!)T2"</f>
        <v>#VALUE!</v>
      </c>
      <c r="IF201" t="e">
        <f>'All regions'!G5045+"n/&gt;!)T3"</f>
        <v>#VALUE!</v>
      </c>
      <c r="IG201" t="e">
        <f>'All regions'!H5045+"n/&gt;!)T4"</f>
        <v>#VALUE!</v>
      </c>
      <c r="IH201" t="e">
        <f>'All regions'!I5045+"n/&gt;!)T5"</f>
        <v>#VALUE!</v>
      </c>
      <c r="II201" t="e">
        <f>'All regions'!J5045+"n/&gt;!)T6"</f>
        <v>#VALUE!</v>
      </c>
      <c r="IJ201" t="e">
        <f>'All regions'!A5046+"n/&gt;!)T7"</f>
        <v>#VALUE!</v>
      </c>
      <c r="IK201" t="e">
        <f>'All regions'!B5046+"n/&gt;!)T8"</f>
        <v>#VALUE!</v>
      </c>
      <c r="IL201" t="e">
        <f>'All regions'!C5046+"n/&gt;!)T9"</f>
        <v>#VALUE!</v>
      </c>
      <c r="IM201" t="e">
        <f>'All regions'!D5046+"n/&gt;!)T:"</f>
        <v>#VALUE!</v>
      </c>
      <c r="IN201" t="e">
        <f>'All regions'!E5046+"n/&gt;!)T;"</f>
        <v>#VALUE!</v>
      </c>
      <c r="IO201" t="e">
        <f>'All regions'!F5046+"n/&gt;!)T&lt;"</f>
        <v>#VALUE!</v>
      </c>
      <c r="IP201" t="e">
        <f>'All regions'!G5046+"n/&gt;!)T="</f>
        <v>#VALUE!</v>
      </c>
      <c r="IQ201" t="e">
        <f>'All regions'!H5046+"n/&gt;!)T&gt;"</f>
        <v>#VALUE!</v>
      </c>
      <c r="IR201" t="e">
        <f>'All regions'!I5046+"n/&gt;!)T?"</f>
        <v>#VALUE!</v>
      </c>
      <c r="IS201" t="e">
        <f>'All regions'!J5046+"n/&gt;!)T@"</f>
        <v>#VALUE!</v>
      </c>
      <c r="IT201" t="e">
        <f>'All regions'!A5047+"n/&gt;!)TA"</f>
        <v>#VALUE!</v>
      </c>
      <c r="IU201" t="e">
        <f>'All regions'!B5047+"n/&gt;!)TB"</f>
        <v>#VALUE!</v>
      </c>
      <c r="IV201" t="e">
        <f>'All regions'!C5047+"n/&gt;!)TC"</f>
        <v>#VALUE!</v>
      </c>
    </row>
    <row r="202" spans="6:256" x14ac:dyDescent="0.35">
      <c r="F202" t="e">
        <f>'All regions'!D5047+"n/&gt;!)TD"</f>
        <v>#VALUE!</v>
      </c>
      <c r="G202" t="e">
        <f>'All regions'!E5047+"n/&gt;!)TE"</f>
        <v>#VALUE!</v>
      </c>
      <c r="H202" t="e">
        <f>'All regions'!F5047+"n/&gt;!)TF"</f>
        <v>#VALUE!</v>
      </c>
      <c r="I202" t="e">
        <f>'All regions'!G5047+"n/&gt;!)TG"</f>
        <v>#VALUE!</v>
      </c>
      <c r="J202" t="e">
        <f>'All regions'!H5047+"n/&gt;!)TH"</f>
        <v>#VALUE!</v>
      </c>
      <c r="K202" t="e">
        <f>'All regions'!I5047+"n/&gt;!)TI"</f>
        <v>#VALUE!</v>
      </c>
      <c r="L202" t="e">
        <f>'All regions'!J5047+"n/&gt;!)TJ"</f>
        <v>#VALUE!</v>
      </c>
      <c r="M202" t="e">
        <f>'All regions'!A5048+"n/&gt;!)TK"</f>
        <v>#VALUE!</v>
      </c>
      <c r="N202" t="e">
        <f>'All regions'!B5048+"n/&gt;!)TL"</f>
        <v>#VALUE!</v>
      </c>
      <c r="O202" t="e">
        <f>'All regions'!C5048+"n/&gt;!)TM"</f>
        <v>#VALUE!</v>
      </c>
      <c r="P202" t="e">
        <f>'All regions'!D5048+"n/&gt;!)TN"</f>
        <v>#VALUE!</v>
      </c>
      <c r="Q202" t="e">
        <f>'All regions'!E5048+"n/&gt;!)TO"</f>
        <v>#VALUE!</v>
      </c>
      <c r="R202" t="e">
        <f>'All regions'!F5048+"n/&gt;!)TP"</f>
        <v>#VALUE!</v>
      </c>
      <c r="S202" t="e">
        <f>'All regions'!G5048+"n/&gt;!)TQ"</f>
        <v>#VALUE!</v>
      </c>
      <c r="T202" t="e">
        <f>'All regions'!H5048+"n/&gt;!)TR"</f>
        <v>#VALUE!</v>
      </c>
      <c r="U202" t="e">
        <f>'All regions'!I5048+"n/&gt;!)TS"</f>
        <v>#VALUE!</v>
      </c>
      <c r="V202" t="e">
        <f>'All regions'!J5048+"n/&gt;!)TT"</f>
        <v>#VALUE!</v>
      </c>
      <c r="W202" t="e">
        <f>'All regions'!A5049+"n/&gt;!)TU"</f>
        <v>#VALUE!</v>
      </c>
      <c r="X202" t="e">
        <f>'All regions'!B5049+"n/&gt;!)TV"</f>
        <v>#VALUE!</v>
      </c>
      <c r="Y202" t="e">
        <f>'All regions'!C5049+"n/&gt;!)TW"</f>
        <v>#VALUE!</v>
      </c>
      <c r="Z202" t="e">
        <f>'All regions'!D5049+"n/&gt;!)TX"</f>
        <v>#VALUE!</v>
      </c>
      <c r="AA202" t="e">
        <f>'All regions'!E5049+"n/&gt;!)TY"</f>
        <v>#VALUE!</v>
      </c>
      <c r="AB202" t="e">
        <f>'All regions'!F5049+"n/&gt;!)TZ"</f>
        <v>#VALUE!</v>
      </c>
      <c r="AC202" t="e">
        <f>'All regions'!G5049+"n/&gt;!)T["</f>
        <v>#VALUE!</v>
      </c>
      <c r="AD202" t="e">
        <f>'All regions'!H5049+"n/&gt;!)T\"</f>
        <v>#VALUE!</v>
      </c>
      <c r="AE202" t="e">
        <f>'All regions'!I5049+"n/&gt;!)T]"</f>
        <v>#VALUE!</v>
      </c>
      <c r="AF202" t="e">
        <f>'All regions'!J5049+"n/&gt;!)T^"</f>
        <v>#VALUE!</v>
      </c>
      <c r="AG202" t="e">
        <f>'All regions'!A5050+"n/&gt;!)T_"</f>
        <v>#VALUE!</v>
      </c>
      <c r="AH202" t="e">
        <f>'All regions'!B5050+"n/&gt;!)T`"</f>
        <v>#VALUE!</v>
      </c>
      <c r="AI202" t="e">
        <f>'All regions'!C5050+"n/&gt;!)Ta"</f>
        <v>#VALUE!</v>
      </c>
      <c r="AJ202" t="e">
        <f>'All regions'!D5050+"n/&gt;!)Tb"</f>
        <v>#VALUE!</v>
      </c>
      <c r="AK202" t="e">
        <f>'All regions'!E5050+"n/&gt;!)Tc"</f>
        <v>#VALUE!</v>
      </c>
      <c r="AL202" t="e">
        <f>'All regions'!F5050+"n/&gt;!)Td"</f>
        <v>#VALUE!</v>
      </c>
      <c r="AM202" t="e">
        <f>'All regions'!G5050+"n/&gt;!)Te"</f>
        <v>#VALUE!</v>
      </c>
      <c r="AN202" t="e">
        <f>'All regions'!H5050+"n/&gt;!)Tf"</f>
        <v>#VALUE!</v>
      </c>
      <c r="AO202" t="e">
        <f>'All regions'!I5050+"n/&gt;!)Tg"</f>
        <v>#VALUE!</v>
      </c>
      <c r="AP202" t="e">
        <f>'All regions'!J5050+"n/&gt;!)Th"</f>
        <v>#VALUE!</v>
      </c>
      <c r="AQ202" t="e">
        <f>'All regions'!A5051+"n/&gt;!)Ti"</f>
        <v>#VALUE!</v>
      </c>
      <c r="AR202" t="e">
        <f>'All regions'!B5051+"n/&gt;!)Tj"</f>
        <v>#VALUE!</v>
      </c>
      <c r="AS202" t="e">
        <f>'All regions'!C5051+"n/&gt;!)Tk"</f>
        <v>#VALUE!</v>
      </c>
      <c r="AT202" t="e">
        <f>'All regions'!D5051+"n/&gt;!)Tl"</f>
        <v>#VALUE!</v>
      </c>
      <c r="AU202" t="e">
        <f>'All regions'!E5051+"n/&gt;!)Tm"</f>
        <v>#VALUE!</v>
      </c>
      <c r="AV202" t="e">
        <f>'All regions'!F5051+"n/&gt;!)Tn"</f>
        <v>#VALUE!</v>
      </c>
      <c r="AW202" t="e">
        <f>'All regions'!G5051+"n/&gt;!)To"</f>
        <v>#VALUE!</v>
      </c>
      <c r="AX202" t="e">
        <f>'All regions'!H5051+"n/&gt;!)Tp"</f>
        <v>#VALUE!</v>
      </c>
      <c r="AY202" t="e">
        <f>'All regions'!I5051+"n/&gt;!)Tq"</f>
        <v>#VALUE!</v>
      </c>
      <c r="AZ202" t="e">
        <f>'All regions'!J5051+"n/&gt;!)Tr"</f>
        <v>#VALUE!</v>
      </c>
      <c r="BA202" t="e">
        <f>'All regions'!A5052+"n/&gt;!)Ts"</f>
        <v>#VALUE!</v>
      </c>
      <c r="BB202" t="e">
        <f>'All regions'!B5052+"n/&gt;!)Tt"</f>
        <v>#VALUE!</v>
      </c>
      <c r="BC202" t="e">
        <f>'All regions'!C5052+"n/&gt;!)Tu"</f>
        <v>#VALUE!</v>
      </c>
      <c r="BD202" t="e">
        <f>'All regions'!D5052+"n/&gt;!)Tv"</f>
        <v>#VALUE!</v>
      </c>
      <c r="BE202" t="e">
        <f>'All regions'!E5052+"n/&gt;!)Tw"</f>
        <v>#VALUE!</v>
      </c>
      <c r="BF202" t="e">
        <f>'All regions'!F5052+"n/&gt;!)Tx"</f>
        <v>#VALUE!</v>
      </c>
      <c r="BG202" t="e">
        <f>'All regions'!G5052+"n/&gt;!)Ty"</f>
        <v>#VALUE!</v>
      </c>
      <c r="BH202" t="e">
        <f>'All regions'!H5052+"n/&gt;!)Tz"</f>
        <v>#VALUE!</v>
      </c>
      <c r="BI202" t="e">
        <f>'All regions'!I5052+"n/&gt;!)T{"</f>
        <v>#VALUE!</v>
      </c>
      <c r="BJ202" t="e">
        <f>'All regions'!J5052+"n/&gt;!)T|"</f>
        <v>#VALUE!</v>
      </c>
      <c r="BK202" t="e">
        <f>'All regions'!A5053+"n/&gt;!)T}"</f>
        <v>#VALUE!</v>
      </c>
      <c r="BL202" t="e">
        <f>'All regions'!B5053+"n/&gt;!)T~"</f>
        <v>#VALUE!</v>
      </c>
      <c r="BM202" t="e">
        <f>'All regions'!C5053+"n/&gt;!)U#"</f>
        <v>#VALUE!</v>
      </c>
      <c r="BN202" t="e">
        <f>'All regions'!D5053+"n/&gt;!)U$"</f>
        <v>#VALUE!</v>
      </c>
      <c r="BO202" t="e">
        <f>'All regions'!E5053+"n/&gt;!)U%"</f>
        <v>#VALUE!</v>
      </c>
      <c r="BP202" t="e">
        <f>'All regions'!F5053+"n/&gt;!)U&amp;"</f>
        <v>#VALUE!</v>
      </c>
      <c r="BQ202" t="e">
        <f>'All regions'!G5053+"n/&gt;!)U'"</f>
        <v>#VALUE!</v>
      </c>
      <c r="BR202" t="e">
        <f>'All regions'!H5053+"n/&gt;!)U("</f>
        <v>#VALUE!</v>
      </c>
      <c r="BS202" t="e">
        <f>'All regions'!I5053+"n/&gt;!)U)"</f>
        <v>#VALUE!</v>
      </c>
      <c r="BT202" t="e">
        <f>'All regions'!J5053+"n/&gt;!)U."</f>
        <v>#VALUE!</v>
      </c>
      <c r="BU202" t="e">
        <f>'All regions'!A5054+"n/&gt;!)U/"</f>
        <v>#VALUE!</v>
      </c>
      <c r="BV202" t="e">
        <f>'All regions'!B5054+"n/&gt;!)U0"</f>
        <v>#VALUE!</v>
      </c>
      <c r="BW202" t="e">
        <f>'All regions'!C5054+"n/&gt;!)U1"</f>
        <v>#VALUE!</v>
      </c>
      <c r="BX202" t="e">
        <f>'All regions'!D5054+"n/&gt;!)U2"</f>
        <v>#VALUE!</v>
      </c>
      <c r="BY202" t="e">
        <f>'All regions'!E5054+"n/&gt;!)U3"</f>
        <v>#VALUE!</v>
      </c>
      <c r="BZ202" t="e">
        <f>'All regions'!F5054+"n/&gt;!)U4"</f>
        <v>#VALUE!</v>
      </c>
      <c r="CA202" t="e">
        <f>'All regions'!G5054+"n/&gt;!)U5"</f>
        <v>#VALUE!</v>
      </c>
      <c r="CB202" t="e">
        <f>'All regions'!H5054+"n/&gt;!)U6"</f>
        <v>#VALUE!</v>
      </c>
      <c r="CC202" t="e">
        <f>'All regions'!I5054+"n/&gt;!)U7"</f>
        <v>#VALUE!</v>
      </c>
      <c r="CD202" t="e">
        <f>'All regions'!J5054+"n/&gt;!)U8"</f>
        <v>#VALUE!</v>
      </c>
      <c r="CE202" t="e">
        <f>'All regions'!A5055+"n/&gt;!)U9"</f>
        <v>#VALUE!</v>
      </c>
      <c r="CF202" t="e">
        <f>'All regions'!B5055+"n/&gt;!)U:"</f>
        <v>#VALUE!</v>
      </c>
      <c r="CG202" t="e">
        <f>'All regions'!C5055+"n/&gt;!)U;"</f>
        <v>#VALUE!</v>
      </c>
      <c r="CH202" t="e">
        <f>'All regions'!D5055+"n/&gt;!)U&lt;"</f>
        <v>#VALUE!</v>
      </c>
      <c r="CI202" t="e">
        <f>'All regions'!E5055+"n/&gt;!)U="</f>
        <v>#VALUE!</v>
      </c>
      <c r="CJ202" t="e">
        <f>'All regions'!F5055+"n/&gt;!)U&gt;"</f>
        <v>#VALUE!</v>
      </c>
      <c r="CK202" t="e">
        <f>'All regions'!G5055+"n/&gt;!)U?"</f>
        <v>#VALUE!</v>
      </c>
      <c r="CL202" t="e">
        <f>'All regions'!H5055+"n/&gt;!)U@"</f>
        <v>#VALUE!</v>
      </c>
      <c r="CM202" t="e">
        <f>'All regions'!I5055+"n/&gt;!)UA"</f>
        <v>#VALUE!</v>
      </c>
      <c r="CN202" t="e">
        <f>'All regions'!J5055+"n/&gt;!)UB"</f>
        <v>#VALUE!</v>
      </c>
      <c r="CO202" t="e">
        <f>'All regions'!A5056+"n/&gt;!)UC"</f>
        <v>#VALUE!</v>
      </c>
      <c r="CP202" t="e">
        <f>'All regions'!B5056+"n/&gt;!)UD"</f>
        <v>#VALUE!</v>
      </c>
      <c r="CQ202" t="e">
        <f>'All regions'!C5056+"n/&gt;!)UE"</f>
        <v>#VALUE!</v>
      </c>
      <c r="CR202" t="e">
        <f>'All regions'!D5056+"n/&gt;!)UF"</f>
        <v>#VALUE!</v>
      </c>
      <c r="CS202" t="e">
        <f>'All regions'!E5056+"n/&gt;!)UG"</f>
        <v>#VALUE!</v>
      </c>
      <c r="CT202" t="e">
        <f>'All regions'!F5056+"n/&gt;!)UH"</f>
        <v>#VALUE!</v>
      </c>
      <c r="CU202" t="e">
        <f>'All regions'!G5056+"n/&gt;!)UI"</f>
        <v>#VALUE!</v>
      </c>
      <c r="CV202" t="e">
        <f>'All regions'!H5056+"n/&gt;!)UJ"</f>
        <v>#VALUE!</v>
      </c>
      <c r="CW202" t="e">
        <f>'All regions'!I5056+"n/&gt;!)UK"</f>
        <v>#VALUE!</v>
      </c>
      <c r="CX202" t="e">
        <f>'All regions'!J5056+"n/&gt;!)UL"</f>
        <v>#VALUE!</v>
      </c>
      <c r="CY202" t="e">
        <f>'All regions'!A5057+"n/&gt;!)UM"</f>
        <v>#VALUE!</v>
      </c>
      <c r="CZ202" t="e">
        <f>'All regions'!B5057+"n/&gt;!)UN"</f>
        <v>#VALUE!</v>
      </c>
      <c r="DA202" t="e">
        <f>'All regions'!C5057+"n/&gt;!)UO"</f>
        <v>#VALUE!</v>
      </c>
      <c r="DB202" t="e">
        <f>'All regions'!D5057+"n/&gt;!)UP"</f>
        <v>#VALUE!</v>
      </c>
      <c r="DC202" t="e">
        <f>'All regions'!E5057+"n/&gt;!)UQ"</f>
        <v>#VALUE!</v>
      </c>
      <c r="DD202" t="e">
        <f>'All regions'!F5057+"n/&gt;!)UR"</f>
        <v>#VALUE!</v>
      </c>
      <c r="DE202" t="e">
        <f>'All regions'!G5057+"n/&gt;!)US"</f>
        <v>#VALUE!</v>
      </c>
      <c r="DF202" t="e">
        <f>'All regions'!H5057+"n/&gt;!)UT"</f>
        <v>#VALUE!</v>
      </c>
      <c r="DG202" t="e">
        <f>'All regions'!I5057+"n/&gt;!)UU"</f>
        <v>#VALUE!</v>
      </c>
      <c r="DH202" t="e">
        <f>'All regions'!J5057+"n/&gt;!)UV"</f>
        <v>#VALUE!</v>
      </c>
      <c r="DI202" t="e">
        <f>'All regions'!A5058+"n/&gt;!)UW"</f>
        <v>#VALUE!</v>
      </c>
      <c r="DJ202" t="e">
        <f>'All regions'!B5058+"n/&gt;!)UX"</f>
        <v>#VALUE!</v>
      </c>
      <c r="DK202" t="e">
        <f>'All regions'!C5058+"n/&gt;!)UY"</f>
        <v>#VALUE!</v>
      </c>
      <c r="DL202" t="e">
        <f>'All regions'!D5058+"n/&gt;!)UZ"</f>
        <v>#VALUE!</v>
      </c>
      <c r="DM202" t="e">
        <f>'All regions'!E5058+"n/&gt;!)U["</f>
        <v>#VALUE!</v>
      </c>
      <c r="DN202" t="e">
        <f>'All regions'!F5058+"n/&gt;!)U\"</f>
        <v>#VALUE!</v>
      </c>
      <c r="DO202" t="e">
        <f>'All regions'!G5058+"n/&gt;!)U]"</f>
        <v>#VALUE!</v>
      </c>
      <c r="DP202" t="e">
        <f>'All regions'!H5058+"n/&gt;!)U^"</f>
        <v>#VALUE!</v>
      </c>
      <c r="DQ202" t="e">
        <f>'All regions'!I5058+"n/&gt;!)U_"</f>
        <v>#VALUE!</v>
      </c>
      <c r="DR202" t="e">
        <f>'All regions'!J5058+"n/&gt;!)U`"</f>
        <v>#VALUE!</v>
      </c>
      <c r="DS202" t="e">
        <f>'All regions'!A5059+"n/&gt;!)Ua"</f>
        <v>#VALUE!</v>
      </c>
      <c r="DT202" t="e">
        <f>'All regions'!B5059+"n/&gt;!)Ub"</f>
        <v>#VALUE!</v>
      </c>
      <c r="DU202" t="e">
        <f>'All regions'!C5059+"n/&gt;!)Uc"</f>
        <v>#VALUE!</v>
      </c>
      <c r="DV202" t="e">
        <f>'All regions'!D5059+"n/&gt;!)Ud"</f>
        <v>#VALUE!</v>
      </c>
      <c r="DW202" t="e">
        <f>'All regions'!E5059+"n/&gt;!)Ue"</f>
        <v>#VALUE!</v>
      </c>
      <c r="DX202" t="e">
        <f>'All regions'!F5059+"n/&gt;!)Uf"</f>
        <v>#VALUE!</v>
      </c>
      <c r="DY202" t="e">
        <f>'All regions'!G5059+"n/&gt;!)Ug"</f>
        <v>#VALUE!</v>
      </c>
      <c r="DZ202" t="e">
        <f>'All regions'!H5059+"n/&gt;!)Uh"</f>
        <v>#VALUE!</v>
      </c>
      <c r="EA202" t="e">
        <f>'All regions'!I5059+"n/&gt;!)Ui"</f>
        <v>#VALUE!</v>
      </c>
      <c r="EB202" t="e">
        <f>'All regions'!J5059+"n/&gt;!)Uj"</f>
        <v>#VALUE!</v>
      </c>
      <c r="EC202" t="e">
        <f>'All regions'!A5060+"n/&gt;!)Uk"</f>
        <v>#VALUE!</v>
      </c>
      <c r="ED202" t="e">
        <f>'All regions'!B5060+"n/&gt;!)Ul"</f>
        <v>#VALUE!</v>
      </c>
      <c r="EE202" t="e">
        <f>'All regions'!C5060+"n/&gt;!)Um"</f>
        <v>#VALUE!</v>
      </c>
      <c r="EF202" t="e">
        <f>'All regions'!D5060+"n/&gt;!)Un"</f>
        <v>#VALUE!</v>
      </c>
      <c r="EG202" t="e">
        <f>'All regions'!E5060+"n/&gt;!)Uo"</f>
        <v>#VALUE!</v>
      </c>
      <c r="EH202" t="e">
        <f>'All regions'!F5060+"n/&gt;!)Up"</f>
        <v>#VALUE!</v>
      </c>
      <c r="EI202" t="e">
        <f>'All regions'!G5060+"n/&gt;!)Uq"</f>
        <v>#VALUE!</v>
      </c>
      <c r="EJ202" t="e">
        <f>'All regions'!H5060+"n/&gt;!)Ur"</f>
        <v>#VALUE!</v>
      </c>
      <c r="EK202" t="e">
        <f>'All regions'!I5060+"n/&gt;!)Us"</f>
        <v>#VALUE!</v>
      </c>
      <c r="EL202" t="e">
        <f>'All regions'!J5060+"n/&gt;!)Ut"</f>
        <v>#VALUE!</v>
      </c>
      <c r="EM202" t="e">
        <f>'All regions'!A5061+"n/&gt;!)Uu"</f>
        <v>#VALUE!</v>
      </c>
      <c r="EN202" t="e">
        <f>'All regions'!B5061+"n/&gt;!)Uv"</f>
        <v>#VALUE!</v>
      </c>
      <c r="EO202" t="e">
        <f>'All regions'!C5061+"n/&gt;!)Uw"</f>
        <v>#VALUE!</v>
      </c>
      <c r="EP202" t="e">
        <f>'All regions'!D5061+"n/&gt;!)Ux"</f>
        <v>#VALUE!</v>
      </c>
      <c r="EQ202" t="e">
        <f>'All regions'!E5061+"n/&gt;!)Uy"</f>
        <v>#VALUE!</v>
      </c>
      <c r="ER202" t="e">
        <f>'All regions'!F5061+"n/&gt;!)Uz"</f>
        <v>#VALUE!</v>
      </c>
      <c r="ES202" t="e">
        <f>'All regions'!G5061+"n/&gt;!)U{"</f>
        <v>#VALUE!</v>
      </c>
      <c r="ET202" t="e">
        <f>'All regions'!H5061+"n/&gt;!)U|"</f>
        <v>#VALUE!</v>
      </c>
      <c r="EU202" t="e">
        <f>'All regions'!I5061+"n/&gt;!)U}"</f>
        <v>#VALUE!</v>
      </c>
      <c r="EV202" t="e">
        <f>'All regions'!J5061+"n/&gt;!)U~"</f>
        <v>#VALUE!</v>
      </c>
      <c r="EW202" t="e">
        <f>'All regions'!A5062+"n/&gt;!)V#"</f>
        <v>#VALUE!</v>
      </c>
      <c r="EX202" t="e">
        <f>'All regions'!B5062+"n/&gt;!)V$"</f>
        <v>#VALUE!</v>
      </c>
      <c r="EY202" t="e">
        <f>'All regions'!C5062+"n/&gt;!)V%"</f>
        <v>#VALUE!</v>
      </c>
      <c r="EZ202" t="e">
        <f>'All regions'!D5062+"n/&gt;!)V&amp;"</f>
        <v>#VALUE!</v>
      </c>
      <c r="FA202" t="e">
        <f>'All regions'!E5062+"n/&gt;!)V'"</f>
        <v>#VALUE!</v>
      </c>
      <c r="FB202" t="e">
        <f>'All regions'!F5062+"n/&gt;!)V("</f>
        <v>#VALUE!</v>
      </c>
      <c r="FC202" t="e">
        <f>'All regions'!G5062+"n/&gt;!)V)"</f>
        <v>#VALUE!</v>
      </c>
      <c r="FD202" t="e">
        <f>'All regions'!H5062+"n/&gt;!)V."</f>
        <v>#VALUE!</v>
      </c>
      <c r="FE202" t="e">
        <f>'All regions'!I5062+"n/&gt;!)V/"</f>
        <v>#VALUE!</v>
      </c>
      <c r="FF202" t="e">
        <f>'All regions'!J5062+"n/&gt;!)V0"</f>
        <v>#VALUE!</v>
      </c>
      <c r="FG202" t="e">
        <f>'All regions'!A5063+"n/&gt;!)V1"</f>
        <v>#VALUE!</v>
      </c>
      <c r="FH202" t="e">
        <f>'All regions'!B5063+"n/&gt;!)V2"</f>
        <v>#VALUE!</v>
      </c>
      <c r="FI202" t="e">
        <f>'All regions'!C5063+"n/&gt;!)V3"</f>
        <v>#VALUE!</v>
      </c>
      <c r="FJ202" t="e">
        <f>'All regions'!D5063+"n/&gt;!)V4"</f>
        <v>#VALUE!</v>
      </c>
      <c r="FK202" t="e">
        <f>'All regions'!E5063+"n/&gt;!)V5"</f>
        <v>#VALUE!</v>
      </c>
      <c r="FL202" t="e">
        <f>'All regions'!F5063+"n/&gt;!)V6"</f>
        <v>#VALUE!</v>
      </c>
      <c r="FM202" t="e">
        <f>'All regions'!G5063+"n/&gt;!)V7"</f>
        <v>#VALUE!</v>
      </c>
      <c r="FN202" t="e">
        <f>'All regions'!H5063+"n/&gt;!)V8"</f>
        <v>#VALUE!</v>
      </c>
      <c r="FO202" t="e">
        <f>'All regions'!I5063+"n/&gt;!)V9"</f>
        <v>#VALUE!</v>
      </c>
      <c r="FP202" t="e">
        <f>'All regions'!J5063+"n/&gt;!)V:"</f>
        <v>#VALUE!</v>
      </c>
      <c r="FQ202" t="e">
        <f>'All regions'!A5064+"n/&gt;!)V;"</f>
        <v>#VALUE!</v>
      </c>
      <c r="FR202" t="e">
        <f>'All regions'!B5064+"n/&gt;!)V&lt;"</f>
        <v>#VALUE!</v>
      </c>
      <c r="FS202" t="e">
        <f>'All regions'!C5064+"n/&gt;!)V="</f>
        <v>#VALUE!</v>
      </c>
      <c r="FT202" t="e">
        <f>'All regions'!D5064+"n/&gt;!)V&gt;"</f>
        <v>#VALUE!</v>
      </c>
      <c r="FU202" t="e">
        <f>'All regions'!E5064+"n/&gt;!)V?"</f>
        <v>#VALUE!</v>
      </c>
      <c r="FV202" t="e">
        <f>'All regions'!F5064+"n/&gt;!)V@"</f>
        <v>#VALUE!</v>
      </c>
      <c r="FW202" t="e">
        <f>'All regions'!G5064+"n/&gt;!)VA"</f>
        <v>#VALUE!</v>
      </c>
      <c r="FX202" t="e">
        <f>'All regions'!H5064+"n/&gt;!)VB"</f>
        <v>#VALUE!</v>
      </c>
      <c r="FY202" t="e">
        <f>'All regions'!I5064+"n/&gt;!)VC"</f>
        <v>#VALUE!</v>
      </c>
      <c r="FZ202" t="e">
        <f>'All regions'!J5064+"n/&gt;!)VD"</f>
        <v>#VALUE!</v>
      </c>
      <c r="GA202" t="e">
        <f>'All regions'!A5065+"n/&gt;!)VE"</f>
        <v>#VALUE!</v>
      </c>
      <c r="GB202" t="e">
        <f>'All regions'!B5065+"n/&gt;!)VF"</f>
        <v>#VALUE!</v>
      </c>
      <c r="GC202" t="e">
        <f>'All regions'!C5065+"n/&gt;!)VG"</f>
        <v>#VALUE!</v>
      </c>
      <c r="GD202" t="e">
        <f>'All regions'!D5065+"n/&gt;!)VH"</f>
        <v>#VALUE!</v>
      </c>
      <c r="GE202" t="e">
        <f>'All regions'!E5065+"n/&gt;!)VI"</f>
        <v>#VALUE!</v>
      </c>
      <c r="GF202" t="e">
        <f>'All regions'!F5065+"n/&gt;!)VJ"</f>
        <v>#VALUE!</v>
      </c>
      <c r="GG202" t="e">
        <f>'All regions'!G5065+"n/&gt;!)VK"</f>
        <v>#VALUE!</v>
      </c>
      <c r="GH202" t="e">
        <f>'All regions'!H5065+"n/&gt;!)VL"</f>
        <v>#VALUE!</v>
      </c>
      <c r="GI202" t="e">
        <f>'All regions'!I5065+"n/&gt;!)VM"</f>
        <v>#VALUE!</v>
      </c>
      <c r="GJ202" t="e">
        <f>'All regions'!J5065+"n/&gt;!)VN"</f>
        <v>#VALUE!</v>
      </c>
      <c r="GK202" t="e">
        <f>'All regions'!A5066+"n/&gt;!)VO"</f>
        <v>#VALUE!</v>
      </c>
      <c r="GL202" t="e">
        <f>'All regions'!B5066+"n/&gt;!)VP"</f>
        <v>#VALUE!</v>
      </c>
      <c r="GM202" t="e">
        <f>'All regions'!C5066+"n/&gt;!)VQ"</f>
        <v>#VALUE!</v>
      </c>
      <c r="GN202" t="e">
        <f>'All regions'!D5066+"n/&gt;!)VR"</f>
        <v>#VALUE!</v>
      </c>
      <c r="GO202" t="e">
        <f>'All regions'!E5066+"n/&gt;!)VS"</f>
        <v>#VALUE!</v>
      </c>
      <c r="GP202" t="e">
        <f>'All regions'!F5066+"n/&gt;!)VT"</f>
        <v>#VALUE!</v>
      </c>
      <c r="GQ202" t="e">
        <f>'All regions'!G5066+"n/&gt;!)VU"</f>
        <v>#VALUE!</v>
      </c>
      <c r="GR202" t="e">
        <f>'All regions'!H5066+"n/&gt;!)VV"</f>
        <v>#VALUE!</v>
      </c>
      <c r="GS202" t="e">
        <f>'All regions'!I5066+"n/&gt;!)VW"</f>
        <v>#VALUE!</v>
      </c>
      <c r="GT202" t="e">
        <f>'All regions'!J5066+"n/&gt;!)VX"</f>
        <v>#VALUE!</v>
      </c>
      <c r="GU202" t="e">
        <f>'All regions'!A5067+"n/&gt;!)VY"</f>
        <v>#VALUE!</v>
      </c>
      <c r="GV202" t="e">
        <f>'All regions'!B5067+"n/&gt;!)VZ"</f>
        <v>#VALUE!</v>
      </c>
      <c r="GW202" t="e">
        <f>'All regions'!C5067+"n/&gt;!)V["</f>
        <v>#VALUE!</v>
      </c>
      <c r="GX202" t="e">
        <f>'All regions'!D5067+"n/&gt;!)V\"</f>
        <v>#VALUE!</v>
      </c>
      <c r="GY202" t="e">
        <f>'All regions'!E5067+"n/&gt;!)V]"</f>
        <v>#VALUE!</v>
      </c>
      <c r="GZ202" t="e">
        <f>'All regions'!F5067+"n/&gt;!)V^"</f>
        <v>#VALUE!</v>
      </c>
      <c r="HA202" t="e">
        <f>'All regions'!G5067+"n/&gt;!)V_"</f>
        <v>#VALUE!</v>
      </c>
      <c r="HB202" t="e">
        <f>'All regions'!H5067+"n/&gt;!)V`"</f>
        <v>#VALUE!</v>
      </c>
      <c r="HC202" t="e">
        <f>'All regions'!I5067+"n/&gt;!)Va"</f>
        <v>#VALUE!</v>
      </c>
      <c r="HD202" t="e">
        <f>'All regions'!J5067+"n/&gt;!)Vb"</f>
        <v>#VALUE!</v>
      </c>
      <c r="HE202" t="e">
        <f>'All regions'!A5068+"n/&gt;!)Vc"</f>
        <v>#VALUE!</v>
      </c>
      <c r="HF202" t="e">
        <f>'All regions'!B5068+"n/&gt;!)Vd"</f>
        <v>#VALUE!</v>
      </c>
      <c r="HG202" t="e">
        <f>'All regions'!C5068+"n/&gt;!)Ve"</f>
        <v>#VALUE!</v>
      </c>
      <c r="HH202" t="e">
        <f>'All regions'!D5068+"n/&gt;!)Vf"</f>
        <v>#VALUE!</v>
      </c>
      <c r="HI202" t="e">
        <f>'All regions'!E5068+"n/&gt;!)Vg"</f>
        <v>#VALUE!</v>
      </c>
      <c r="HJ202" t="e">
        <f>'All regions'!F5068+"n/&gt;!)Vh"</f>
        <v>#VALUE!</v>
      </c>
      <c r="HK202" t="e">
        <f>'All regions'!G5068+"n/&gt;!)Vi"</f>
        <v>#VALUE!</v>
      </c>
      <c r="HL202" t="e">
        <f>'All regions'!H5068+"n/&gt;!)Vj"</f>
        <v>#VALUE!</v>
      </c>
      <c r="HM202" t="e">
        <f>'All regions'!I5068+"n/&gt;!)Vk"</f>
        <v>#VALUE!</v>
      </c>
      <c r="HN202" t="e">
        <f>'All regions'!J5068+"n/&gt;!)Vl"</f>
        <v>#VALUE!</v>
      </c>
      <c r="HO202" t="e">
        <f>'All regions'!A5069+"n/&gt;!)Vm"</f>
        <v>#VALUE!</v>
      </c>
      <c r="HP202" t="e">
        <f>'All regions'!B5069+"n/&gt;!)Vn"</f>
        <v>#VALUE!</v>
      </c>
      <c r="HQ202" t="e">
        <f>'All regions'!C5069+"n/&gt;!)Vo"</f>
        <v>#VALUE!</v>
      </c>
      <c r="HR202" t="e">
        <f>'All regions'!D5069+"n/&gt;!)Vp"</f>
        <v>#VALUE!</v>
      </c>
      <c r="HS202" t="e">
        <f>'All regions'!E5069+"n/&gt;!)Vq"</f>
        <v>#VALUE!</v>
      </c>
      <c r="HT202" t="e">
        <f>'All regions'!F5069+"n/&gt;!)Vr"</f>
        <v>#VALUE!</v>
      </c>
      <c r="HU202" t="e">
        <f>'All regions'!G5069+"n/&gt;!)Vs"</f>
        <v>#VALUE!</v>
      </c>
      <c r="HV202" t="e">
        <f>'All regions'!H5069+"n/&gt;!)Vt"</f>
        <v>#VALUE!</v>
      </c>
      <c r="HW202" t="e">
        <f>'All regions'!I5069+"n/&gt;!)Vu"</f>
        <v>#VALUE!</v>
      </c>
      <c r="HX202" t="e">
        <f>'All regions'!J5069+"n/&gt;!)Vv"</f>
        <v>#VALUE!</v>
      </c>
      <c r="HY202" t="e">
        <f>'All regions'!A5070+"n/&gt;!)Vw"</f>
        <v>#VALUE!</v>
      </c>
      <c r="HZ202" t="e">
        <f>'All regions'!B5070+"n/&gt;!)Vx"</f>
        <v>#VALUE!</v>
      </c>
      <c r="IA202" t="e">
        <f>'All regions'!C5070+"n/&gt;!)Vy"</f>
        <v>#VALUE!</v>
      </c>
      <c r="IB202" t="e">
        <f>'All regions'!D5070+"n/&gt;!)Vz"</f>
        <v>#VALUE!</v>
      </c>
      <c r="IC202" t="e">
        <f>'All regions'!E5070+"n/&gt;!)V{"</f>
        <v>#VALUE!</v>
      </c>
      <c r="ID202" t="e">
        <f>'All regions'!F5070+"n/&gt;!)V|"</f>
        <v>#VALUE!</v>
      </c>
      <c r="IE202" t="e">
        <f>'All regions'!G5070+"n/&gt;!)V}"</f>
        <v>#VALUE!</v>
      </c>
      <c r="IF202" t="e">
        <f>'All regions'!H5070+"n/&gt;!)V~"</f>
        <v>#VALUE!</v>
      </c>
      <c r="IG202" t="e">
        <f>'All regions'!I5070+"n/&gt;!)W#"</f>
        <v>#VALUE!</v>
      </c>
      <c r="IH202" t="e">
        <f>'All regions'!J5070+"n/&gt;!)W$"</f>
        <v>#VALUE!</v>
      </c>
      <c r="II202" t="e">
        <f>'All regions'!A5071+"n/&gt;!)W%"</f>
        <v>#VALUE!</v>
      </c>
      <c r="IJ202" t="e">
        <f>'All regions'!B5071+"n/&gt;!)W&amp;"</f>
        <v>#VALUE!</v>
      </c>
      <c r="IK202" t="e">
        <f>'All regions'!C5071+"n/&gt;!)W'"</f>
        <v>#VALUE!</v>
      </c>
      <c r="IL202" t="e">
        <f>'All regions'!D5071+"n/&gt;!)W("</f>
        <v>#VALUE!</v>
      </c>
      <c r="IM202" t="e">
        <f>'All regions'!E5071+"n/&gt;!)W)"</f>
        <v>#VALUE!</v>
      </c>
      <c r="IN202" t="e">
        <f>'All regions'!F5071+"n/&gt;!)W."</f>
        <v>#VALUE!</v>
      </c>
      <c r="IO202" t="e">
        <f>'All regions'!G5071+"n/&gt;!)W/"</f>
        <v>#VALUE!</v>
      </c>
      <c r="IP202" t="e">
        <f>'All regions'!H5071+"n/&gt;!)W0"</f>
        <v>#VALUE!</v>
      </c>
      <c r="IQ202" t="e">
        <f>'All regions'!I5071+"n/&gt;!)W1"</f>
        <v>#VALUE!</v>
      </c>
      <c r="IR202" t="e">
        <f>'All regions'!J5071+"n/&gt;!)W2"</f>
        <v>#VALUE!</v>
      </c>
      <c r="IS202" t="e">
        <f>'All regions'!A5072+"n/&gt;!)W3"</f>
        <v>#VALUE!</v>
      </c>
      <c r="IT202" t="e">
        <f>'All regions'!B5072+"n/&gt;!)W4"</f>
        <v>#VALUE!</v>
      </c>
      <c r="IU202" t="e">
        <f>'All regions'!C5072+"n/&gt;!)W5"</f>
        <v>#VALUE!</v>
      </c>
      <c r="IV202" t="e">
        <f>'All regions'!D5072+"n/&gt;!)W6"</f>
        <v>#VALUE!</v>
      </c>
    </row>
    <row r="203" spans="6:256" x14ac:dyDescent="0.35">
      <c r="F203" t="e">
        <f>'All regions'!E5072+"n/&gt;!)W7"</f>
        <v>#VALUE!</v>
      </c>
      <c r="G203" t="e">
        <f>'All regions'!F5072+"n/&gt;!)W8"</f>
        <v>#VALUE!</v>
      </c>
      <c r="H203" t="e">
        <f>'All regions'!G5072+"n/&gt;!)W9"</f>
        <v>#VALUE!</v>
      </c>
      <c r="I203" t="e">
        <f>'All regions'!H5072+"n/&gt;!)W:"</f>
        <v>#VALUE!</v>
      </c>
      <c r="J203" t="e">
        <f>'All regions'!I5072+"n/&gt;!)W;"</f>
        <v>#VALUE!</v>
      </c>
      <c r="K203" t="e">
        <f>'All regions'!J5072+"n/&gt;!)W&lt;"</f>
        <v>#VALUE!</v>
      </c>
      <c r="L203" t="e">
        <f>'All regions'!A5073+"n/&gt;!)W="</f>
        <v>#VALUE!</v>
      </c>
      <c r="M203" t="e">
        <f>'All regions'!B5073+"n/&gt;!)W&gt;"</f>
        <v>#VALUE!</v>
      </c>
      <c r="N203" t="e">
        <f>'All regions'!C5073+"n/&gt;!)W?"</f>
        <v>#VALUE!</v>
      </c>
      <c r="O203" t="e">
        <f>'All regions'!D5073+"n/&gt;!)W@"</f>
        <v>#VALUE!</v>
      </c>
      <c r="P203" t="e">
        <f>'All regions'!E5073+"n/&gt;!)WA"</f>
        <v>#VALUE!</v>
      </c>
      <c r="Q203" t="e">
        <f>'All regions'!F5073+"n/&gt;!)WB"</f>
        <v>#VALUE!</v>
      </c>
      <c r="R203" t="e">
        <f>'All regions'!G5073+"n/&gt;!)WC"</f>
        <v>#VALUE!</v>
      </c>
      <c r="S203" t="e">
        <f>'All regions'!H5073+"n/&gt;!)WD"</f>
        <v>#VALUE!</v>
      </c>
      <c r="T203" t="e">
        <f>'All regions'!I5073+"n/&gt;!)WE"</f>
        <v>#VALUE!</v>
      </c>
      <c r="U203" t="e">
        <f>'All regions'!J5073+"n/&gt;!)WF"</f>
        <v>#VALUE!</v>
      </c>
      <c r="V203" t="e">
        <f>'All regions'!A5074+"n/&gt;!)WG"</f>
        <v>#VALUE!</v>
      </c>
      <c r="W203" t="e">
        <f>'All regions'!B5074+"n/&gt;!)WH"</f>
        <v>#VALUE!</v>
      </c>
      <c r="X203" t="e">
        <f>'All regions'!C5074+"n/&gt;!)WI"</f>
        <v>#VALUE!</v>
      </c>
      <c r="Y203" t="e">
        <f>'All regions'!D5074+"n/&gt;!)WJ"</f>
        <v>#VALUE!</v>
      </c>
      <c r="Z203" t="e">
        <f>'All regions'!E5074+"n/&gt;!)WK"</f>
        <v>#VALUE!</v>
      </c>
      <c r="AA203" t="e">
        <f>'All regions'!F5074+"n/&gt;!)WL"</f>
        <v>#VALUE!</v>
      </c>
      <c r="AB203" t="e">
        <f>'All regions'!G5074+"n/&gt;!)WM"</f>
        <v>#VALUE!</v>
      </c>
      <c r="AC203" t="e">
        <f>'All regions'!H5074+"n/&gt;!)WN"</f>
        <v>#VALUE!</v>
      </c>
      <c r="AD203" t="e">
        <f>'All regions'!I5074+"n/&gt;!)WO"</f>
        <v>#VALUE!</v>
      </c>
      <c r="AE203" t="e">
        <f>'All regions'!J5074+"n/&gt;!)WP"</f>
        <v>#VALUE!</v>
      </c>
      <c r="AF203" t="e">
        <f>'All regions'!A5075+"n/&gt;!)WQ"</f>
        <v>#VALUE!</v>
      </c>
      <c r="AG203" t="e">
        <f>'All regions'!B5075+"n/&gt;!)WR"</f>
        <v>#VALUE!</v>
      </c>
      <c r="AH203" t="e">
        <f>'All regions'!C5075+"n/&gt;!)WS"</f>
        <v>#VALUE!</v>
      </c>
      <c r="AI203" t="e">
        <f>'All regions'!D5075+"n/&gt;!)WT"</f>
        <v>#VALUE!</v>
      </c>
      <c r="AJ203" t="e">
        <f>'All regions'!E5075+"n/&gt;!)WU"</f>
        <v>#VALUE!</v>
      </c>
      <c r="AK203" t="e">
        <f>'All regions'!F5075+"n/&gt;!)WV"</f>
        <v>#VALUE!</v>
      </c>
      <c r="AL203" t="e">
        <f>'All regions'!G5075+"n/&gt;!)WW"</f>
        <v>#VALUE!</v>
      </c>
      <c r="AM203" t="e">
        <f>'All regions'!H5075+"n/&gt;!)WX"</f>
        <v>#VALUE!</v>
      </c>
      <c r="AN203" t="e">
        <f>'All regions'!I5075+"n/&gt;!)WY"</f>
        <v>#VALUE!</v>
      </c>
      <c r="AO203" t="e">
        <f>'All regions'!J5075+"n/&gt;!)WZ"</f>
        <v>#VALUE!</v>
      </c>
      <c r="AP203" t="e">
        <f>'All regions'!A5076+"n/&gt;!)W["</f>
        <v>#VALUE!</v>
      </c>
      <c r="AQ203" t="e">
        <f>'All regions'!B5076+"n/&gt;!)W\"</f>
        <v>#VALUE!</v>
      </c>
      <c r="AR203" t="e">
        <f>'All regions'!C5076+"n/&gt;!)W]"</f>
        <v>#VALUE!</v>
      </c>
      <c r="AS203" t="e">
        <f>'All regions'!D5076+"n/&gt;!)W^"</f>
        <v>#VALUE!</v>
      </c>
      <c r="AT203" t="e">
        <f>'All regions'!E5076+"n/&gt;!)W_"</f>
        <v>#VALUE!</v>
      </c>
      <c r="AU203" t="e">
        <f>'All regions'!F5076+"n/&gt;!)W`"</f>
        <v>#VALUE!</v>
      </c>
      <c r="AV203" t="e">
        <f>'All regions'!G5076+"n/&gt;!)Wa"</f>
        <v>#VALUE!</v>
      </c>
      <c r="AW203" t="e">
        <f>'All regions'!H5076+"n/&gt;!)Wb"</f>
        <v>#VALUE!</v>
      </c>
      <c r="AX203" t="e">
        <f>'All regions'!I5076+"n/&gt;!)Wc"</f>
        <v>#VALUE!</v>
      </c>
      <c r="AY203" t="e">
        <f>'All regions'!J5076+"n/&gt;!)Wd"</f>
        <v>#VALUE!</v>
      </c>
      <c r="AZ203" t="e">
        <f>'All regions'!A5077+"n/&gt;!)We"</f>
        <v>#VALUE!</v>
      </c>
      <c r="BA203" t="e">
        <f>'All regions'!B5077+"n/&gt;!)Wf"</f>
        <v>#VALUE!</v>
      </c>
      <c r="BB203" t="e">
        <f>'All regions'!C5077+"n/&gt;!)Wg"</f>
        <v>#VALUE!</v>
      </c>
      <c r="BC203" t="e">
        <f>'All regions'!D5077+"n/&gt;!)Wh"</f>
        <v>#VALUE!</v>
      </c>
      <c r="BD203" t="e">
        <f>'All regions'!E5077+"n/&gt;!)Wi"</f>
        <v>#VALUE!</v>
      </c>
      <c r="BE203" t="e">
        <f>'All regions'!F5077+"n/&gt;!)Wj"</f>
        <v>#VALUE!</v>
      </c>
      <c r="BF203" t="e">
        <f>'All regions'!G5077+"n/&gt;!)Wk"</f>
        <v>#VALUE!</v>
      </c>
      <c r="BG203" t="e">
        <f>'All regions'!H5077+"n/&gt;!)Wl"</f>
        <v>#VALUE!</v>
      </c>
      <c r="BH203" t="e">
        <f>'All regions'!I5077+"n/&gt;!)Wm"</f>
        <v>#VALUE!</v>
      </c>
      <c r="BI203" t="e">
        <f>'All regions'!J5077+"n/&gt;!)Wn"</f>
        <v>#VALUE!</v>
      </c>
      <c r="BJ203" t="e">
        <f>'All regions'!A5078+"n/&gt;!)Wo"</f>
        <v>#VALUE!</v>
      </c>
      <c r="BK203" t="e">
        <f>'All regions'!B5078+"n/&gt;!)Wp"</f>
        <v>#VALUE!</v>
      </c>
      <c r="BL203" t="e">
        <f>'All regions'!C5078+"n/&gt;!)Wq"</f>
        <v>#VALUE!</v>
      </c>
      <c r="BM203" t="e">
        <f>'All regions'!D5078+"n/&gt;!)Wr"</f>
        <v>#VALUE!</v>
      </c>
      <c r="BN203" t="e">
        <f>'All regions'!E5078+"n/&gt;!)Ws"</f>
        <v>#VALUE!</v>
      </c>
      <c r="BO203" t="e">
        <f>'All regions'!F5078+"n/&gt;!)Wt"</f>
        <v>#VALUE!</v>
      </c>
      <c r="BP203" t="e">
        <f>'All regions'!G5078+"n/&gt;!)Wu"</f>
        <v>#VALUE!</v>
      </c>
      <c r="BQ203" t="e">
        <f>'All regions'!H5078+"n/&gt;!)Wv"</f>
        <v>#VALUE!</v>
      </c>
      <c r="BR203" t="e">
        <f>'All regions'!I5078+"n/&gt;!)Ww"</f>
        <v>#VALUE!</v>
      </c>
      <c r="BS203" t="e">
        <f>'All regions'!J5078+"n/&gt;!)Wx"</f>
        <v>#VALUE!</v>
      </c>
      <c r="BT203" t="e">
        <f>'All regions'!A5079+"n/&gt;!)Wy"</f>
        <v>#VALUE!</v>
      </c>
      <c r="BU203" t="e">
        <f>'All regions'!B5079+"n/&gt;!)Wz"</f>
        <v>#VALUE!</v>
      </c>
      <c r="BV203" t="e">
        <f>'All regions'!C5079+"n/&gt;!)W{"</f>
        <v>#VALUE!</v>
      </c>
      <c r="BW203" t="e">
        <f>'All regions'!D5079+"n/&gt;!)W|"</f>
        <v>#VALUE!</v>
      </c>
      <c r="BX203" t="e">
        <f>'All regions'!E5079+"n/&gt;!)W}"</f>
        <v>#VALUE!</v>
      </c>
      <c r="BY203" t="e">
        <f>'All regions'!F5079+"n/&gt;!)W~"</f>
        <v>#VALUE!</v>
      </c>
      <c r="BZ203" t="e">
        <f>'All regions'!G5079+"n/&gt;!)X#"</f>
        <v>#VALUE!</v>
      </c>
      <c r="CA203" t="e">
        <f>'All regions'!H5079+"n/&gt;!)X$"</f>
        <v>#VALUE!</v>
      </c>
      <c r="CB203" t="e">
        <f>'All regions'!I5079+"n/&gt;!)X%"</f>
        <v>#VALUE!</v>
      </c>
      <c r="CC203" t="e">
        <f>'All regions'!J5079+"n/&gt;!)X&amp;"</f>
        <v>#VALUE!</v>
      </c>
      <c r="CD203" t="e">
        <f>'All regions'!A5080+"n/&gt;!)X'"</f>
        <v>#VALUE!</v>
      </c>
      <c r="CE203" t="e">
        <f>'All regions'!B5080+"n/&gt;!)X("</f>
        <v>#VALUE!</v>
      </c>
      <c r="CF203" t="e">
        <f>'All regions'!C5080+"n/&gt;!)X)"</f>
        <v>#VALUE!</v>
      </c>
      <c r="CG203" t="e">
        <f>'All regions'!D5080+"n/&gt;!)X."</f>
        <v>#VALUE!</v>
      </c>
      <c r="CH203" t="e">
        <f>'All regions'!E5080+"n/&gt;!)X/"</f>
        <v>#VALUE!</v>
      </c>
      <c r="CI203" t="e">
        <f>'All regions'!F5080+"n/&gt;!)X0"</f>
        <v>#VALUE!</v>
      </c>
      <c r="CJ203" t="e">
        <f>'All regions'!G5080+"n/&gt;!)X1"</f>
        <v>#VALUE!</v>
      </c>
      <c r="CK203" t="e">
        <f>'All regions'!H5080+"n/&gt;!)X2"</f>
        <v>#VALUE!</v>
      </c>
      <c r="CL203" t="e">
        <f>'All regions'!I5080+"n/&gt;!)X3"</f>
        <v>#VALUE!</v>
      </c>
      <c r="CM203" t="e">
        <f>'All regions'!J5080+"n/&gt;!)X4"</f>
        <v>#VALUE!</v>
      </c>
      <c r="CN203" t="e">
        <f>'All regions'!A5081+"n/&gt;!)X5"</f>
        <v>#VALUE!</v>
      </c>
      <c r="CO203" t="e">
        <f>'All regions'!B5081+"n/&gt;!)X6"</f>
        <v>#VALUE!</v>
      </c>
      <c r="CP203" t="e">
        <f>'All regions'!C5081+"n/&gt;!)X7"</f>
        <v>#VALUE!</v>
      </c>
      <c r="CQ203" t="e">
        <f>'All regions'!D5081+"n/&gt;!)X8"</f>
        <v>#VALUE!</v>
      </c>
      <c r="CR203" t="e">
        <f>'All regions'!E5081+"n/&gt;!)X9"</f>
        <v>#VALUE!</v>
      </c>
      <c r="CS203" t="e">
        <f>'All regions'!F5081+"n/&gt;!)X:"</f>
        <v>#VALUE!</v>
      </c>
      <c r="CT203" t="e">
        <f>'All regions'!G5081+"n/&gt;!)X;"</f>
        <v>#VALUE!</v>
      </c>
      <c r="CU203" t="e">
        <f>'All regions'!H5081+"n/&gt;!)X&lt;"</f>
        <v>#VALUE!</v>
      </c>
      <c r="CV203" t="e">
        <f>'All regions'!I5081+"n/&gt;!)X="</f>
        <v>#VALUE!</v>
      </c>
      <c r="CW203" t="e">
        <f>'All regions'!J5081+"n/&gt;!)X&gt;"</f>
        <v>#VALUE!</v>
      </c>
      <c r="CX203" t="e">
        <f>'All regions'!A5082+"n/&gt;!)X?"</f>
        <v>#VALUE!</v>
      </c>
      <c r="CY203" t="e">
        <f>'All regions'!B5082+"n/&gt;!)X@"</f>
        <v>#VALUE!</v>
      </c>
      <c r="CZ203" t="e">
        <f>'All regions'!C5082+"n/&gt;!)XA"</f>
        <v>#VALUE!</v>
      </c>
      <c r="DA203" t="e">
        <f>'All regions'!D5082+"n/&gt;!)XB"</f>
        <v>#VALUE!</v>
      </c>
      <c r="DB203" t="e">
        <f>'All regions'!E5082+"n/&gt;!)XC"</f>
        <v>#VALUE!</v>
      </c>
      <c r="DC203" t="e">
        <f>'All regions'!F5082+"n/&gt;!)XD"</f>
        <v>#VALUE!</v>
      </c>
      <c r="DD203" t="e">
        <f>'All regions'!G5082+"n/&gt;!)XE"</f>
        <v>#VALUE!</v>
      </c>
      <c r="DE203" t="e">
        <f>'All regions'!H5082+"n/&gt;!)XF"</f>
        <v>#VALUE!</v>
      </c>
      <c r="DF203" t="e">
        <f>'All regions'!I5082+"n/&gt;!)XG"</f>
        <v>#VALUE!</v>
      </c>
      <c r="DG203" t="e">
        <f>'All regions'!J5082+"n/&gt;!)XH"</f>
        <v>#VALUE!</v>
      </c>
      <c r="DH203" t="e">
        <f>'All regions'!A5083+"n/&gt;!)XI"</f>
        <v>#VALUE!</v>
      </c>
      <c r="DI203" t="e">
        <f>'All regions'!B5083+"n/&gt;!)XJ"</f>
        <v>#VALUE!</v>
      </c>
      <c r="DJ203" t="e">
        <f>'All regions'!C5083+"n/&gt;!)XK"</f>
        <v>#VALUE!</v>
      </c>
      <c r="DK203" t="e">
        <f>'All regions'!D5083+"n/&gt;!)XL"</f>
        <v>#VALUE!</v>
      </c>
      <c r="DL203" t="e">
        <f>'All regions'!E5083+"n/&gt;!)XM"</f>
        <v>#VALUE!</v>
      </c>
      <c r="DM203" t="e">
        <f>'All regions'!F5083+"n/&gt;!)XN"</f>
        <v>#VALUE!</v>
      </c>
      <c r="DN203" t="e">
        <f>'All regions'!G5083+"n/&gt;!)XO"</f>
        <v>#VALUE!</v>
      </c>
      <c r="DO203" t="e">
        <f>'All regions'!H5083+"n/&gt;!)XP"</f>
        <v>#VALUE!</v>
      </c>
      <c r="DP203" t="e">
        <f>'All regions'!I5083+"n/&gt;!)XQ"</f>
        <v>#VALUE!</v>
      </c>
      <c r="DQ203" t="e">
        <f>'All regions'!J5083+"n/&gt;!)XR"</f>
        <v>#VALUE!</v>
      </c>
      <c r="DR203" t="e">
        <f>'All regions'!A5084+"n/&gt;!)XS"</f>
        <v>#VALUE!</v>
      </c>
      <c r="DS203" t="e">
        <f>'All regions'!B5084+"n/&gt;!)XT"</f>
        <v>#VALUE!</v>
      </c>
      <c r="DT203" t="e">
        <f>'All regions'!C5084+"n/&gt;!)XU"</f>
        <v>#VALUE!</v>
      </c>
      <c r="DU203" t="e">
        <f>'All regions'!D5084+"n/&gt;!)XV"</f>
        <v>#VALUE!</v>
      </c>
      <c r="DV203" t="e">
        <f>'All regions'!E5084+"n/&gt;!)XW"</f>
        <v>#VALUE!</v>
      </c>
      <c r="DW203" t="e">
        <f>'All regions'!F5084+"n/&gt;!)XX"</f>
        <v>#VALUE!</v>
      </c>
      <c r="DX203" t="e">
        <f>'All regions'!G5084+"n/&gt;!)XY"</f>
        <v>#VALUE!</v>
      </c>
      <c r="DY203" t="e">
        <f>'All regions'!H5084+"n/&gt;!)XZ"</f>
        <v>#VALUE!</v>
      </c>
      <c r="DZ203" t="e">
        <f>'All regions'!I5084+"n/&gt;!)X["</f>
        <v>#VALUE!</v>
      </c>
      <c r="EA203" t="e">
        <f>'All regions'!J5084+"n/&gt;!)X\"</f>
        <v>#VALUE!</v>
      </c>
      <c r="EB203" t="e">
        <f>'All regions'!A5085+"n/&gt;!)X]"</f>
        <v>#VALUE!</v>
      </c>
      <c r="EC203" t="e">
        <f>'All regions'!B5085+"n/&gt;!)X^"</f>
        <v>#VALUE!</v>
      </c>
      <c r="ED203" t="e">
        <f>'All regions'!C5085+"n/&gt;!)X_"</f>
        <v>#VALUE!</v>
      </c>
      <c r="EE203" t="e">
        <f>'All regions'!D5085+"n/&gt;!)X`"</f>
        <v>#VALUE!</v>
      </c>
      <c r="EF203" t="e">
        <f>'All regions'!E5085+"n/&gt;!)Xa"</f>
        <v>#VALUE!</v>
      </c>
      <c r="EG203" t="e">
        <f>'All regions'!F5085+"n/&gt;!)Xb"</f>
        <v>#VALUE!</v>
      </c>
      <c r="EH203" t="e">
        <f>'All regions'!G5085+"n/&gt;!)Xc"</f>
        <v>#VALUE!</v>
      </c>
      <c r="EI203" t="e">
        <f>'All regions'!H5085+"n/&gt;!)Xd"</f>
        <v>#VALUE!</v>
      </c>
      <c r="EJ203" t="e">
        <f>'All regions'!I5085+"n/&gt;!)Xe"</f>
        <v>#VALUE!</v>
      </c>
      <c r="EK203" t="e">
        <f>'All regions'!J5085+"n/&gt;!)Xf"</f>
        <v>#VALUE!</v>
      </c>
      <c r="EL203" t="e">
        <f>'All regions'!A5086+"n/&gt;!)Xg"</f>
        <v>#VALUE!</v>
      </c>
      <c r="EM203" t="e">
        <f>'All regions'!B5086+"n/&gt;!)Xh"</f>
        <v>#VALUE!</v>
      </c>
      <c r="EN203" t="e">
        <f>'All regions'!C5086+"n/&gt;!)Xi"</f>
        <v>#VALUE!</v>
      </c>
      <c r="EO203" t="e">
        <f>'All regions'!D5086+"n/&gt;!)Xj"</f>
        <v>#VALUE!</v>
      </c>
      <c r="EP203" t="e">
        <f>'All regions'!E5086+"n/&gt;!)Xk"</f>
        <v>#VALUE!</v>
      </c>
      <c r="EQ203" t="e">
        <f>'All regions'!F5086+"n/&gt;!)Xl"</f>
        <v>#VALUE!</v>
      </c>
      <c r="ER203" t="e">
        <f>'All regions'!G5086+"n/&gt;!)Xm"</f>
        <v>#VALUE!</v>
      </c>
      <c r="ES203" t="e">
        <f>'All regions'!H5086+"n/&gt;!)Xn"</f>
        <v>#VALUE!</v>
      </c>
      <c r="ET203" t="e">
        <f>'All regions'!I5086+"n/&gt;!)Xo"</f>
        <v>#VALUE!</v>
      </c>
      <c r="EU203" t="e">
        <f>'All regions'!J5086+"n/&gt;!)Xp"</f>
        <v>#VALUE!</v>
      </c>
      <c r="EV203" t="e">
        <f>'All regions'!A5087+"n/&gt;!)Xq"</f>
        <v>#VALUE!</v>
      </c>
      <c r="EW203" t="e">
        <f>'All regions'!B5087+"n/&gt;!)Xr"</f>
        <v>#VALUE!</v>
      </c>
      <c r="EX203" t="e">
        <f>'All regions'!C5087+"n/&gt;!)Xs"</f>
        <v>#VALUE!</v>
      </c>
      <c r="EY203" t="e">
        <f>'All regions'!D5087+"n/&gt;!)Xt"</f>
        <v>#VALUE!</v>
      </c>
      <c r="EZ203" t="e">
        <f>'All regions'!E5087+"n/&gt;!)Xu"</f>
        <v>#VALUE!</v>
      </c>
      <c r="FA203" t="e">
        <f>'All regions'!F5087+"n/&gt;!)Xv"</f>
        <v>#VALUE!</v>
      </c>
      <c r="FB203" t="e">
        <f>'All regions'!G5087+"n/&gt;!)Xw"</f>
        <v>#VALUE!</v>
      </c>
      <c r="FC203" t="e">
        <f>'All regions'!H5087+"n/&gt;!)Xx"</f>
        <v>#VALUE!</v>
      </c>
      <c r="FD203" t="e">
        <f>'All regions'!I5087+"n/&gt;!)Xy"</f>
        <v>#VALUE!</v>
      </c>
      <c r="FE203" t="e">
        <f>'All regions'!J5087+"n/&gt;!)Xz"</f>
        <v>#VALUE!</v>
      </c>
      <c r="FF203" t="e">
        <f>'All regions'!A5088+"n/&gt;!)X{"</f>
        <v>#VALUE!</v>
      </c>
      <c r="FG203" t="e">
        <f>'All regions'!B5088+"n/&gt;!)X|"</f>
        <v>#VALUE!</v>
      </c>
      <c r="FH203" t="e">
        <f>'All regions'!C5088+"n/&gt;!)X}"</f>
        <v>#VALUE!</v>
      </c>
      <c r="FI203" t="e">
        <f>'All regions'!D5088+"n/&gt;!)X~"</f>
        <v>#VALUE!</v>
      </c>
      <c r="FJ203" t="e">
        <f>'All regions'!E5088+"n/&gt;!)Y#"</f>
        <v>#VALUE!</v>
      </c>
      <c r="FK203" t="e">
        <f>'All regions'!F5088+"n/&gt;!)Y$"</f>
        <v>#VALUE!</v>
      </c>
      <c r="FL203" t="e">
        <f>'All regions'!G5088+"n/&gt;!)Y%"</f>
        <v>#VALUE!</v>
      </c>
      <c r="FM203" t="e">
        <f>'All regions'!H5088+"n/&gt;!)Y&amp;"</f>
        <v>#VALUE!</v>
      </c>
      <c r="FN203" t="e">
        <f>'All regions'!I5088+"n/&gt;!)Y'"</f>
        <v>#VALUE!</v>
      </c>
      <c r="FO203" t="e">
        <f>'All regions'!J5088+"n/&gt;!)Y("</f>
        <v>#VALUE!</v>
      </c>
      <c r="FP203" t="e">
        <f>'All regions'!A5089+"n/&gt;!)Y)"</f>
        <v>#VALUE!</v>
      </c>
      <c r="FQ203" t="e">
        <f>'All regions'!B5089+"n/&gt;!)Y."</f>
        <v>#VALUE!</v>
      </c>
      <c r="FR203" t="e">
        <f>'All regions'!C5089+"n/&gt;!)Y/"</f>
        <v>#VALUE!</v>
      </c>
      <c r="FS203" t="e">
        <f>'All regions'!D5089+"n/&gt;!)Y0"</f>
        <v>#VALUE!</v>
      </c>
      <c r="FT203" t="e">
        <f>'All regions'!E5089+"n/&gt;!)Y1"</f>
        <v>#VALUE!</v>
      </c>
      <c r="FU203" t="e">
        <f>'All regions'!F5089+"n/&gt;!)Y2"</f>
        <v>#VALUE!</v>
      </c>
      <c r="FV203" t="e">
        <f>'All regions'!G5089+"n/&gt;!)Y3"</f>
        <v>#VALUE!</v>
      </c>
      <c r="FW203" t="e">
        <f>'All regions'!H5089+"n/&gt;!)Y4"</f>
        <v>#VALUE!</v>
      </c>
      <c r="FX203" t="e">
        <f>'All regions'!I5089+"n/&gt;!)Y5"</f>
        <v>#VALUE!</v>
      </c>
      <c r="FY203" t="e">
        <f>'All regions'!J5089+"n/&gt;!)Y6"</f>
        <v>#VALUE!</v>
      </c>
      <c r="FZ203" t="e">
        <f>'All regions'!A5090+"n/&gt;!)Y7"</f>
        <v>#VALUE!</v>
      </c>
      <c r="GA203" t="e">
        <f>'All regions'!B5090+"n/&gt;!)Y8"</f>
        <v>#VALUE!</v>
      </c>
      <c r="GB203" t="e">
        <f>'All regions'!C5090+"n/&gt;!)Y9"</f>
        <v>#VALUE!</v>
      </c>
      <c r="GC203" t="e">
        <f>'All regions'!D5090+"n/&gt;!)Y:"</f>
        <v>#VALUE!</v>
      </c>
      <c r="GD203" t="e">
        <f>'All regions'!E5090+"n/&gt;!)Y;"</f>
        <v>#VALUE!</v>
      </c>
      <c r="GE203" t="e">
        <f>'All regions'!F5090+"n/&gt;!)Y&lt;"</f>
        <v>#VALUE!</v>
      </c>
      <c r="GF203" t="e">
        <f>'All regions'!G5090+"n/&gt;!)Y="</f>
        <v>#VALUE!</v>
      </c>
      <c r="GG203" t="e">
        <f>'All regions'!H5090+"n/&gt;!)Y&gt;"</f>
        <v>#VALUE!</v>
      </c>
      <c r="GH203" t="e">
        <f>'All regions'!I5090+"n/&gt;!)Y?"</f>
        <v>#VALUE!</v>
      </c>
      <c r="GI203" t="e">
        <f>'All regions'!J5090+"n/&gt;!)Y@"</f>
        <v>#VALUE!</v>
      </c>
      <c r="GJ203" t="e">
        <f>'All regions'!A5091+"n/&gt;!)YA"</f>
        <v>#VALUE!</v>
      </c>
      <c r="GK203" t="e">
        <f>'All regions'!B5091+"n/&gt;!)YB"</f>
        <v>#VALUE!</v>
      </c>
      <c r="GL203" t="e">
        <f>'All regions'!C5091+"n/&gt;!)YC"</f>
        <v>#VALUE!</v>
      </c>
      <c r="GM203" t="e">
        <f>'All regions'!D5091+"n/&gt;!)YD"</f>
        <v>#VALUE!</v>
      </c>
      <c r="GN203" t="e">
        <f>'All regions'!E5091+"n/&gt;!)YE"</f>
        <v>#VALUE!</v>
      </c>
      <c r="GO203" t="e">
        <f>'All regions'!F5091+"n/&gt;!)YF"</f>
        <v>#VALUE!</v>
      </c>
      <c r="GP203" t="e">
        <f>'All regions'!G5091+"n/&gt;!)YG"</f>
        <v>#VALUE!</v>
      </c>
      <c r="GQ203" t="e">
        <f>'All regions'!H5091+"n/&gt;!)YH"</f>
        <v>#VALUE!</v>
      </c>
      <c r="GR203" t="e">
        <f>'All regions'!I5091+"n/&gt;!)YI"</f>
        <v>#VALUE!</v>
      </c>
      <c r="GS203" t="e">
        <f>'All regions'!J5091+"n/&gt;!)YJ"</f>
        <v>#VALUE!</v>
      </c>
      <c r="GT203" t="e">
        <f>'All regions'!A5092+"n/&gt;!)YK"</f>
        <v>#VALUE!</v>
      </c>
      <c r="GU203" t="e">
        <f>'All regions'!B5092+"n/&gt;!)YL"</f>
        <v>#VALUE!</v>
      </c>
      <c r="GV203" t="e">
        <f>'All regions'!C5092+"n/&gt;!)YM"</f>
        <v>#VALUE!</v>
      </c>
      <c r="GW203" t="e">
        <f>'All regions'!D5092+"n/&gt;!)YN"</f>
        <v>#VALUE!</v>
      </c>
      <c r="GX203" t="e">
        <f>'All regions'!E5092+"n/&gt;!)YO"</f>
        <v>#VALUE!</v>
      </c>
      <c r="GY203" t="e">
        <f>'All regions'!F5092+"n/&gt;!)YP"</f>
        <v>#VALUE!</v>
      </c>
      <c r="GZ203" t="e">
        <f>'All regions'!G5092+"n/&gt;!)YQ"</f>
        <v>#VALUE!</v>
      </c>
      <c r="HA203" t="e">
        <f>'All regions'!H5092+"n/&gt;!)YR"</f>
        <v>#VALUE!</v>
      </c>
      <c r="HB203" t="e">
        <f>'All regions'!I5092+"n/&gt;!)YS"</f>
        <v>#VALUE!</v>
      </c>
      <c r="HC203" t="e">
        <f>'All regions'!J5092+"n/&gt;!)YT"</f>
        <v>#VALUE!</v>
      </c>
      <c r="HD203" t="e">
        <f>'All regions'!A5093+"n/&gt;!)YU"</f>
        <v>#VALUE!</v>
      </c>
      <c r="HE203" t="e">
        <f>'All regions'!B5093+"n/&gt;!)YV"</f>
        <v>#VALUE!</v>
      </c>
      <c r="HF203" t="e">
        <f>'All regions'!C5093+"n/&gt;!)YW"</f>
        <v>#VALUE!</v>
      </c>
      <c r="HG203" t="e">
        <f>'All regions'!D5093+"n/&gt;!)YX"</f>
        <v>#VALUE!</v>
      </c>
      <c r="HH203" t="e">
        <f>'All regions'!E5093+"n/&gt;!)YY"</f>
        <v>#VALUE!</v>
      </c>
      <c r="HI203" t="e">
        <f>'All regions'!F5093+"n/&gt;!)YZ"</f>
        <v>#VALUE!</v>
      </c>
      <c r="HJ203" t="e">
        <f>'All regions'!G5093+"n/&gt;!)Y["</f>
        <v>#VALUE!</v>
      </c>
      <c r="HK203" t="e">
        <f>'All regions'!H5093+"n/&gt;!)Y\"</f>
        <v>#VALUE!</v>
      </c>
      <c r="HL203" t="e">
        <f>'All regions'!I5093+"n/&gt;!)Y]"</f>
        <v>#VALUE!</v>
      </c>
      <c r="HM203" t="e">
        <f>'All regions'!J5093+"n/&gt;!)Y^"</f>
        <v>#VALUE!</v>
      </c>
      <c r="HN203" t="e">
        <f>'All regions'!A5094+"n/&gt;!)Y_"</f>
        <v>#VALUE!</v>
      </c>
      <c r="HO203" t="e">
        <f>'All regions'!B5094+"n/&gt;!)Y`"</f>
        <v>#VALUE!</v>
      </c>
      <c r="HP203" t="e">
        <f>'All regions'!C5094+"n/&gt;!)Ya"</f>
        <v>#VALUE!</v>
      </c>
      <c r="HQ203" t="e">
        <f>'All regions'!D5094+"n/&gt;!)Yb"</f>
        <v>#VALUE!</v>
      </c>
      <c r="HR203" t="e">
        <f>'All regions'!E5094+"n/&gt;!)Yc"</f>
        <v>#VALUE!</v>
      </c>
      <c r="HS203" t="e">
        <f>'All regions'!F5094+"n/&gt;!)Yd"</f>
        <v>#VALUE!</v>
      </c>
      <c r="HT203" t="e">
        <f>'All regions'!G5094+"n/&gt;!)Ye"</f>
        <v>#VALUE!</v>
      </c>
      <c r="HU203" t="e">
        <f>'All regions'!H5094+"n/&gt;!)Yf"</f>
        <v>#VALUE!</v>
      </c>
      <c r="HV203" t="e">
        <f>'All regions'!I5094+"n/&gt;!)Yg"</f>
        <v>#VALUE!</v>
      </c>
      <c r="HW203" t="e">
        <f>'All regions'!J5094+"n/&gt;!)Yh"</f>
        <v>#VALUE!</v>
      </c>
      <c r="HX203" t="e">
        <f>'All regions'!A5095+"n/&gt;!)Yi"</f>
        <v>#VALUE!</v>
      </c>
      <c r="HY203" t="e">
        <f>'All regions'!B5095+"n/&gt;!)Yj"</f>
        <v>#VALUE!</v>
      </c>
      <c r="HZ203" t="e">
        <f>'All regions'!C5095+"n/&gt;!)Yk"</f>
        <v>#VALUE!</v>
      </c>
      <c r="IA203" t="e">
        <f>'All regions'!D5095+"n/&gt;!)Yl"</f>
        <v>#VALUE!</v>
      </c>
      <c r="IB203" t="e">
        <f>'All regions'!E5095+"n/&gt;!)Ym"</f>
        <v>#VALUE!</v>
      </c>
      <c r="IC203" t="e">
        <f>'All regions'!F5095+"n/&gt;!)Yn"</f>
        <v>#VALUE!</v>
      </c>
      <c r="ID203" t="e">
        <f>'All regions'!G5095+"n/&gt;!)Yo"</f>
        <v>#VALUE!</v>
      </c>
      <c r="IE203" t="e">
        <f>'All regions'!H5095+"n/&gt;!)Yp"</f>
        <v>#VALUE!</v>
      </c>
      <c r="IF203" t="e">
        <f>'All regions'!I5095+"n/&gt;!)Yq"</f>
        <v>#VALUE!</v>
      </c>
      <c r="IG203" t="e">
        <f>'All regions'!J5095+"n/&gt;!)Yr"</f>
        <v>#VALUE!</v>
      </c>
      <c r="IH203" t="e">
        <f>'All regions'!A5096+"n/&gt;!)Ys"</f>
        <v>#VALUE!</v>
      </c>
      <c r="II203" t="e">
        <f>'All regions'!B5096+"n/&gt;!)Yt"</f>
        <v>#VALUE!</v>
      </c>
      <c r="IJ203" t="e">
        <f>'All regions'!C5096+"n/&gt;!)Yu"</f>
        <v>#VALUE!</v>
      </c>
      <c r="IK203" t="e">
        <f>'All regions'!D5096+"n/&gt;!)Yv"</f>
        <v>#VALUE!</v>
      </c>
      <c r="IL203" t="e">
        <f>'All regions'!E5096+"n/&gt;!)Yw"</f>
        <v>#VALUE!</v>
      </c>
      <c r="IM203" t="e">
        <f>'All regions'!F5096+"n/&gt;!)Yx"</f>
        <v>#VALUE!</v>
      </c>
      <c r="IN203" t="e">
        <f>'All regions'!G5096+"n/&gt;!)Yy"</f>
        <v>#VALUE!</v>
      </c>
      <c r="IO203" t="e">
        <f>'All regions'!H5096+"n/&gt;!)Yz"</f>
        <v>#VALUE!</v>
      </c>
      <c r="IP203" t="e">
        <f>'All regions'!I5096+"n/&gt;!)Y{"</f>
        <v>#VALUE!</v>
      </c>
      <c r="IQ203" t="e">
        <f>'All regions'!J5096+"n/&gt;!)Y|"</f>
        <v>#VALUE!</v>
      </c>
      <c r="IR203" t="e">
        <f>'All regions'!A5097+"n/&gt;!)Y}"</f>
        <v>#VALUE!</v>
      </c>
      <c r="IS203" t="e">
        <f>'All regions'!B5097+"n/&gt;!)Y~"</f>
        <v>#VALUE!</v>
      </c>
      <c r="IT203" t="e">
        <f>'All regions'!C5097+"n/&gt;!)Z#"</f>
        <v>#VALUE!</v>
      </c>
      <c r="IU203" t="e">
        <f>'All regions'!D5097+"n/&gt;!)Z$"</f>
        <v>#VALUE!</v>
      </c>
      <c r="IV203" t="e">
        <f>'All regions'!E5097+"n/&gt;!)Z%"</f>
        <v>#VALUE!</v>
      </c>
    </row>
    <row r="204" spans="6:256" x14ac:dyDescent="0.35">
      <c r="F204" t="e">
        <f>'All regions'!F5097+"n/&gt;!)Z&amp;"</f>
        <v>#VALUE!</v>
      </c>
      <c r="G204" t="e">
        <f>'All regions'!G5097+"n/&gt;!)Z'"</f>
        <v>#VALUE!</v>
      </c>
      <c r="H204" t="e">
        <f>'All regions'!H5097+"n/&gt;!)Z("</f>
        <v>#VALUE!</v>
      </c>
      <c r="I204" t="e">
        <f>'All regions'!I5097+"n/&gt;!)Z)"</f>
        <v>#VALUE!</v>
      </c>
      <c r="J204" t="e">
        <f>'All regions'!J5097+"n/&gt;!)Z."</f>
        <v>#VALUE!</v>
      </c>
      <c r="K204" t="e">
        <f>'All regions'!A5098+"n/&gt;!)Z/"</f>
        <v>#VALUE!</v>
      </c>
      <c r="L204" t="e">
        <f>'All regions'!B5098+"n/&gt;!)Z0"</f>
        <v>#VALUE!</v>
      </c>
      <c r="M204" t="e">
        <f>'All regions'!C5098+"n/&gt;!)Z1"</f>
        <v>#VALUE!</v>
      </c>
      <c r="N204" t="e">
        <f>'All regions'!D5098+"n/&gt;!)Z2"</f>
        <v>#VALUE!</v>
      </c>
      <c r="O204" t="e">
        <f>'All regions'!E5098+"n/&gt;!)Z3"</f>
        <v>#VALUE!</v>
      </c>
      <c r="P204" t="e">
        <f>'All regions'!F5098+"n/&gt;!)Z4"</f>
        <v>#VALUE!</v>
      </c>
      <c r="Q204" t="e">
        <f>'All regions'!G5098+"n/&gt;!)Z5"</f>
        <v>#VALUE!</v>
      </c>
      <c r="R204" t="e">
        <f>'All regions'!H5098+"n/&gt;!)Z6"</f>
        <v>#VALUE!</v>
      </c>
      <c r="S204" t="e">
        <f>'All regions'!I5098+"n/&gt;!)Z7"</f>
        <v>#VALUE!</v>
      </c>
      <c r="T204" t="e">
        <f>'All regions'!J5098+"n/&gt;!)Z8"</f>
        <v>#VALUE!</v>
      </c>
      <c r="U204" t="e">
        <f>'All regions'!A5099+"n/&gt;!)Z9"</f>
        <v>#VALUE!</v>
      </c>
      <c r="V204" t="e">
        <f>'All regions'!B5099+"n/&gt;!)Z:"</f>
        <v>#VALUE!</v>
      </c>
      <c r="W204" t="e">
        <f>'All regions'!C5099+"n/&gt;!)Z;"</f>
        <v>#VALUE!</v>
      </c>
      <c r="X204" t="e">
        <f>'All regions'!D5099+"n/&gt;!)Z&lt;"</f>
        <v>#VALUE!</v>
      </c>
      <c r="Y204" t="e">
        <f>'All regions'!E5099+"n/&gt;!)Z="</f>
        <v>#VALUE!</v>
      </c>
      <c r="Z204" t="e">
        <f>'All regions'!F5099+"n/&gt;!)Z&gt;"</f>
        <v>#VALUE!</v>
      </c>
      <c r="AA204" t="e">
        <f>'All regions'!G5099+"n/&gt;!)Z?"</f>
        <v>#VALUE!</v>
      </c>
      <c r="AB204" t="e">
        <f>'All regions'!H5099+"n/&gt;!)Z@"</f>
        <v>#VALUE!</v>
      </c>
      <c r="AC204" t="e">
        <f>'All regions'!I5099+"n/&gt;!)ZA"</f>
        <v>#VALUE!</v>
      </c>
      <c r="AD204" t="e">
        <f>'All regions'!J5099+"n/&gt;!)ZB"</f>
        <v>#VALUE!</v>
      </c>
      <c r="AE204" t="e">
        <f>'All regions'!A5100+"n/&gt;!)ZC"</f>
        <v>#VALUE!</v>
      </c>
      <c r="AF204" t="e">
        <f>'All regions'!B5100+"n/&gt;!)ZD"</f>
        <v>#VALUE!</v>
      </c>
      <c r="AG204" t="e">
        <f>'All regions'!C5100+"n/&gt;!)ZE"</f>
        <v>#VALUE!</v>
      </c>
      <c r="AH204" t="e">
        <f>'All regions'!D5100+"n/&gt;!)ZF"</f>
        <v>#VALUE!</v>
      </c>
      <c r="AI204" t="e">
        <f>'All regions'!E5100+"n/&gt;!)ZG"</f>
        <v>#VALUE!</v>
      </c>
      <c r="AJ204" t="e">
        <f>'All regions'!F5100+"n/&gt;!)ZH"</f>
        <v>#VALUE!</v>
      </c>
      <c r="AK204" t="e">
        <f>'All regions'!G5100+"n/&gt;!)ZI"</f>
        <v>#VALUE!</v>
      </c>
      <c r="AL204" t="e">
        <f>'All regions'!H5100+"n/&gt;!)ZJ"</f>
        <v>#VALUE!</v>
      </c>
      <c r="AM204" t="e">
        <f>'All regions'!I5100+"n/&gt;!)ZK"</f>
        <v>#VALUE!</v>
      </c>
      <c r="AN204" t="e">
        <f>'All regions'!J5100+"n/&gt;!)ZL"</f>
        <v>#VALUE!</v>
      </c>
      <c r="AO204" t="e">
        <f>'All regions'!A5101+"n/&gt;!)ZM"</f>
        <v>#VALUE!</v>
      </c>
      <c r="AP204" t="e">
        <f>'All regions'!B5101+"n/&gt;!)ZN"</f>
        <v>#VALUE!</v>
      </c>
      <c r="AQ204" t="e">
        <f>'All regions'!C5101+"n/&gt;!)ZO"</f>
        <v>#VALUE!</v>
      </c>
      <c r="AR204" t="e">
        <f>'All regions'!D5101+"n/&gt;!)ZP"</f>
        <v>#VALUE!</v>
      </c>
      <c r="AS204" t="e">
        <f>'All regions'!E5101+"n/&gt;!)ZQ"</f>
        <v>#VALUE!</v>
      </c>
      <c r="AT204" t="e">
        <f>'All regions'!F5101+"n/&gt;!)ZR"</f>
        <v>#VALUE!</v>
      </c>
      <c r="AU204" t="e">
        <f>'All regions'!G5101+"n/&gt;!)ZS"</f>
        <v>#VALUE!</v>
      </c>
      <c r="AV204" t="e">
        <f>'All regions'!H5101+"n/&gt;!)ZT"</f>
        <v>#VALUE!</v>
      </c>
      <c r="AW204" t="e">
        <f>'All regions'!I5101+"n/&gt;!)ZU"</f>
        <v>#VALUE!</v>
      </c>
      <c r="AX204" t="e">
        <f>'All regions'!J5101+"n/&gt;!)ZV"</f>
        <v>#VALUE!</v>
      </c>
      <c r="AY204" t="e">
        <f>'All regions'!A5102+"n/&gt;!)ZW"</f>
        <v>#VALUE!</v>
      </c>
      <c r="AZ204" t="e">
        <f>'All regions'!B5102+"n/&gt;!)ZX"</f>
        <v>#VALUE!</v>
      </c>
      <c r="BA204" t="e">
        <f>'All regions'!C5102+"n/&gt;!)ZY"</f>
        <v>#VALUE!</v>
      </c>
      <c r="BB204" t="e">
        <f>'All regions'!D5102+"n/&gt;!)ZZ"</f>
        <v>#VALUE!</v>
      </c>
      <c r="BC204" t="e">
        <f>'All regions'!E5102+"n/&gt;!)Z["</f>
        <v>#VALUE!</v>
      </c>
      <c r="BD204" t="e">
        <f>'All regions'!F5102+"n/&gt;!)Z\"</f>
        <v>#VALUE!</v>
      </c>
      <c r="BE204" t="e">
        <f>'All regions'!G5102+"n/&gt;!)Z]"</f>
        <v>#VALUE!</v>
      </c>
      <c r="BF204" t="e">
        <f>'All regions'!H5102+"n/&gt;!)Z^"</f>
        <v>#VALUE!</v>
      </c>
      <c r="BG204" t="e">
        <f>'All regions'!I5102+"n/&gt;!)Z_"</f>
        <v>#VALUE!</v>
      </c>
      <c r="BH204" t="e">
        <f>'All regions'!J5102+"n/&gt;!)Z`"</f>
        <v>#VALUE!</v>
      </c>
      <c r="BI204" t="e">
        <f>'All regions'!A5103+"n/&gt;!)Za"</f>
        <v>#VALUE!</v>
      </c>
      <c r="BJ204" t="e">
        <f>'All regions'!B5103+"n/&gt;!)Zb"</f>
        <v>#VALUE!</v>
      </c>
      <c r="BK204" t="e">
        <f>'All regions'!C5103+"n/&gt;!)Zc"</f>
        <v>#VALUE!</v>
      </c>
      <c r="BL204" t="e">
        <f>'All regions'!D5103+"n/&gt;!)Zd"</f>
        <v>#VALUE!</v>
      </c>
      <c r="BM204" t="e">
        <f>'All regions'!E5103+"n/&gt;!)Ze"</f>
        <v>#VALUE!</v>
      </c>
      <c r="BN204" t="e">
        <f>'All regions'!F5103+"n/&gt;!)Zf"</f>
        <v>#VALUE!</v>
      </c>
      <c r="BO204" t="e">
        <f>'All regions'!G5103+"n/&gt;!)Zg"</f>
        <v>#VALUE!</v>
      </c>
      <c r="BP204" t="e">
        <f>'All regions'!H5103+"n/&gt;!)Zh"</f>
        <v>#VALUE!</v>
      </c>
      <c r="BQ204" t="e">
        <f>'All regions'!I5103+"n/&gt;!)Zi"</f>
        <v>#VALUE!</v>
      </c>
      <c r="BR204" t="e">
        <f>'All regions'!J5103+"n/&gt;!)Zj"</f>
        <v>#VALUE!</v>
      </c>
      <c r="BS204" t="e">
        <f>'All regions'!A5104+"n/&gt;!)Zk"</f>
        <v>#VALUE!</v>
      </c>
      <c r="BT204" t="e">
        <f>'All regions'!B5104+"n/&gt;!)Zl"</f>
        <v>#VALUE!</v>
      </c>
      <c r="BU204" t="e">
        <f>'All regions'!C5104+"n/&gt;!)Zm"</f>
        <v>#VALUE!</v>
      </c>
      <c r="BV204" t="e">
        <f>'All regions'!D5104+"n/&gt;!)Zn"</f>
        <v>#VALUE!</v>
      </c>
      <c r="BW204" t="e">
        <f>'All regions'!E5104+"n/&gt;!)Zo"</f>
        <v>#VALUE!</v>
      </c>
      <c r="BX204" t="e">
        <f>'All regions'!F5104+"n/&gt;!)Zp"</f>
        <v>#VALUE!</v>
      </c>
      <c r="BY204" t="e">
        <f>'All regions'!G5104+"n/&gt;!)Zq"</f>
        <v>#VALUE!</v>
      </c>
      <c r="BZ204" t="e">
        <f>'All regions'!H5104+"n/&gt;!)Zr"</f>
        <v>#VALUE!</v>
      </c>
      <c r="CA204" t="e">
        <f>'All regions'!I5104+"n/&gt;!)Zs"</f>
        <v>#VALUE!</v>
      </c>
      <c r="CB204" t="e">
        <f>'All regions'!J5104+"n/&gt;!)Zt"</f>
        <v>#VALUE!</v>
      </c>
      <c r="CC204" t="e">
        <f>'All regions'!A5105+"n/&gt;!)Zu"</f>
        <v>#VALUE!</v>
      </c>
      <c r="CD204" t="e">
        <f>'All regions'!B5105+"n/&gt;!)Zv"</f>
        <v>#VALUE!</v>
      </c>
      <c r="CE204" t="e">
        <f>'All regions'!C5105+"n/&gt;!)Zw"</f>
        <v>#VALUE!</v>
      </c>
      <c r="CF204" t="e">
        <f>'All regions'!D5105+"n/&gt;!)Zx"</f>
        <v>#VALUE!</v>
      </c>
      <c r="CG204" t="e">
        <f>'All regions'!E5105+"n/&gt;!)Zy"</f>
        <v>#VALUE!</v>
      </c>
      <c r="CH204" t="e">
        <f>'All regions'!F5105+"n/&gt;!)Zz"</f>
        <v>#VALUE!</v>
      </c>
      <c r="CI204" t="e">
        <f>'All regions'!G5105+"n/&gt;!)Z{"</f>
        <v>#VALUE!</v>
      </c>
      <c r="CJ204" t="e">
        <f>'All regions'!H5105+"n/&gt;!)Z|"</f>
        <v>#VALUE!</v>
      </c>
      <c r="CK204" t="e">
        <f>'All regions'!I5105+"n/&gt;!)Z}"</f>
        <v>#VALUE!</v>
      </c>
      <c r="CL204" t="e">
        <f>'All regions'!J5105+"n/&gt;!)Z~"</f>
        <v>#VALUE!</v>
      </c>
      <c r="CM204" t="e">
        <f>'All regions'!A5106+"n/&gt;!)[#"</f>
        <v>#VALUE!</v>
      </c>
      <c r="CN204" t="e">
        <f>'All regions'!B5106+"n/&gt;!)[$"</f>
        <v>#VALUE!</v>
      </c>
      <c r="CO204" t="e">
        <f>'All regions'!C5106+"n/&gt;!)[%"</f>
        <v>#VALUE!</v>
      </c>
      <c r="CP204" t="e">
        <f>'All regions'!D5106+"n/&gt;!)[&amp;"</f>
        <v>#VALUE!</v>
      </c>
      <c r="CQ204" t="e">
        <f>'All regions'!E5106+"n/&gt;!)['"</f>
        <v>#VALUE!</v>
      </c>
      <c r="CR204" t="e">
        <f>'All regions'!F5106+"n/&gt;!)[("</f>
        <v>#VALUE!</v>
      </c>
      <c r="CS204" t="e">
        <f>'All regions'!G5106+"n/&gt;!)[)"</f>
        <v>#VALUE!</v>
      </c>
      <c r="CT204" t="e">
        <f>'All regions'!H5106+"n/&gt;!)[."</f>
        <v>#VALUE!</v>
      </c>
      <c r="CU204" t="e">
        <f>'All regions'!I5106+"n/&gt;!)[/"</f>
        <v>#VALUE!</v>
      </c>
      <c r="CV204" t="e">
        <f>'All regions'!J5106+"n/&gt;!)[0"</f>
        <v>#VALUE!</v>
      </c>
      <c r="CW204" t="e">
        <f>'All regions'!A5107+"n/&gt;!)[1"</f>
        <v>#VALUE!</v>
      </c>
      <c r="CX204" t="e">
        <f>'All regions'!B5107+"n/&gt;!)[2"</f>
        <v>#VALUE!</v>
      </c>
      <c r="CY204" t="e">
        <f>'All regions'!C5107+"n/&gt;!)[3"</f>
        <v>#VALUE!</v>
      </c>
      <c r="CZ204" t="e">
        <f>'All regions'!D5107+"n/&gt;!)[4"</f>
        <v>#VALUE!</v>
      </c>
      <c r="DA204" t="e">
        <f>'All regions'!E5107+"n/&gt;!)[5"</f>
        <v>#VALUE!</v>
      </c>
      <c r="DB204" t="e">
        <f>'All regions'!F5107+"n/&gt;!)[6"</f>
        <v>#VALUE!</v>
      </c>
      <c r="DC204" t="e">
        <f>'All regions'!G5107+"n/&gt;!)[7"</f>
        <v>#VALUE!</v>
      </c>
      <c r="DD204" t="e">
        <f>'All regions'!H5107+"n/&gt;!)[8"</f>
        <v>#VALUE!</v>
      </c>
      <c r="DE204" t="e">
        <f>'All regions'!I5107+"n/&gt;!)[9"</f>
        <v>#VALUE!</v>
      </c>
      <c r="DF204" t="e">
        <f>'All regions'!J5107+"n/&gt;!)[:"</f>
        <v>#VALUE!</v>
      </c>
      <c r="DG204" t="e">
        <f>'All regions'!A5108+"n/&gt;!)[;"</f>
        <v>#VALUE!</v>
      </c>
      <c r="DH204" t="e">
        <f>'All regions'!B5108+"n/&gt;!)[&lt;"</f>
        <v>#VALUE!</v>
      </c>
      <c r="DI204" t="e">
        <f>'All regions'!C5108+"n/&gt;!)[="</f>
        <v>#VALUE!</v>
      </c>
      <c r="DJ204" t="e">
        <f>'All regions'!D5108+"n/&gt;!)[&gt;"</f>
        <v>#VALUE!</v>
      </c>
      <c r="DK204" t="e">
        <f>'All regions'!E5108+"n/&gt;!)[?"</f>
        <v>#VALUE!</v>
      </c>
      <c r="DL204" t="e">
        <f>'All regions'!F5108+"n/&gt;!)[@"</f>
        <v>#VALUE!</v>
      </c>
      <c r="DM204" t="e">
        <f>'All regions'!G5108+"n/&gt;!)[A"</f>
        <v>#VALUE!</v>
      </c>
      <c r="DN204" t="e">
        <f>'All regions'!H5108+"n/&gt;!)[B"</f>
        <v>#VALUE!</v>
      </c>
      <c r="DO204" t="e">
        <f>'All regions'!I5108+"n/&gt;!)[C"</f>
        <v>#VALUE!</v>
      </c>
      <c r="DP204" t="e">
        <f>'All regions'!J5108+"n/&gt;!)[D"</f>
        <v>#VALUE!</v>
      </c>
      <c r="DQ204" t="e">
        <f>'All regions'!A5109+"n/&gt;!)[E"</f>
        <v>#VALUE!</v>
      </c>
      <c r="DR204" t="e">
        <f>'All regions'!B5109+"n/&gt;!)[F"</f>
        <v>#VALUE!</v>
      </c>
      <c r="DS204" t="e">
        <f>'All regions'!C5109+"n/&gt;!)[G"</f>
        <v>#VALUE!</v>
      </c>
      <c r="DT204" t="e">
        <f>'All regions'!D5109+"n/&gt;!)[H"</f>
        <v>#VALUE!</v>
      </c>
      <c r="DU204" t="e">
        <f>'All regions'!E5109+"n/&gt;!)[I"</f>
        <v>#VALUE!</v>
      </c>
      <c r="DV204" t="e">
        <f>'All regions'!F5109+"n/&gt;!)[J"</f>
        <v>#VALUE!</v>
      </c>
      <c r="DW204" t="e">
        <f>'All regions'!G5109+"n/&gt;!)[K"</f>
        <v>#VALUE!</v>
      </c>
      <c r="DX204" t="e">
        <f>'All regions'!H5109+"n/&gt;!)[L"</f>
        <v>#VALUE!</v>
      </c>
      <c r="DY204" t="e">
        <f>'All regions'!I5109+"n/&gt;!)[M"</f>
        <v>#VALUE!</v>
      </c>
      <c r="DZ204" t="e">
        <f>'All regions'!J5109+"n/&gt;!)[N"</f>
        <v>#VALUE!</v>
      </c>
      <c r="EA204" t="e">
        <f>'All regions'!A5110+"n/&gt;!)[O"</f>
        <v>#VALUE!</v>
      </c>
      <c r="EB204" t="e">
        <f>'All regions'!B5110+"n/&gt;!)[P"</f>
        <v>#VALUE!</v>
      </c>
      <c r="EC204" t="e">
        <f>'All regions'!C5110+"n/&gt;!)[Q"</f>
        <v>#VALUE!</v>
      </c>
      <c r="ED204" t="e">
        <f>'All regions'!D5110+"n/&gt;!)[R"</f>
        <v>#VALUE!</v>
      </c>
      <c r="EE204" t="e">
        <f>'All regions'!E5110+"n/&gt;!)[S"</f>
        <v>#VALUE!</v>
      </c>
      <c r="EF204" t="e">
        <f>'All regions'!F5110+"n/&gt;!)[T"</f>
        <v>#VALUE!</v>
      </c>
      <c r="EG204" t="e">
        <f>'All regions'!G5110+"n/&gt;!)[U"</f>
        <v>#VALUE!</v>
      </c>
      <c r="EH204" t="e">
        <f>'All regions'!H5110+"n/&gt;!)[V"</f>
        <v>#VALUE!</v>
      </c>
      <c r="EI204" t="e">
        <f>'All regions'!I5110+"n/&gt;!)[W"</f>
        <v>#VALUE!</v>
      </c>
      <c r="EJ204" t="e">
        <f>'All regions'!J5110+"n/&gt;!)[X"</f>
        <v>#VALUE!</v>
      </c>
      <c r="EK204" t="e">
        <f>'All regions'!A5111+"n/&gt;!)[Y"</f>
        <v>#VALUE!</v>
      </c>
      <c r="EL204" t="e">
        <f>'All regions'!B5111+"n/&gt;!)[Z"</f>
        <v>#VALUE!</v>
      </c>
      <c r="EM204" t="e">
        <f>'All regions'!C5111+"n/&gt;!)[["</f>
        <v>#VALUE!</v>
      </c>
      <c r="EN204" t="e">
        <f>'All regions'!D5111+"n/&gt;!)[\"</f>
        <v>#VALUE!</v>
      </c>
      <c r="EO204" t="e">
        <f>'All regions'!E5111+"n/&gt;!)[]"</f>
        <v>#VALUE!</v>
      </c>
      <c r="EP204" t="e">
        <f>'All regions'!F5111+"n/&gt;!)[^"</f>
        <v>#VALUE!</v>
      </c>
      <c r="EQ204" t="e">
        <f>'All regions'!G5111+"n/&gt;!)[_"</f>
        <v>#VALUE!</v>
      </c>
      <c r="ER204" t="e">
        <f>'All regions'!H5111+"n/&gt;!)[`"</f>
        <v>#VALUE!</v>
      </c>
      <c r="ES204" t="e">
        <f>'All regions'!I5111+"n/&gt;!)[a"</f>
        <v>#VALUE!</v>
      </c>
      <c r="ET204" t="e">
        <f>'All regions'!J5111+"n/&gt;!)[b"</f>
        <v>#VALUE!</v>
      </c>
      <c r="EU204" t="e">
        <f>'All regions'!A5112+"n/&gt;!)[c"</f>
        <v>#VALUE!</v>
      </c>
      <c r="EV204" t="e">
        <f>'All regions'!B5112+"n/&gt;!)[d"</f>
        <v>#VALUE!</v>
      </c>
      <c r="EW204" t="e">
        <f>'All regions'!C5112+"n/&gt;!)[e"</f>
        <v>#VALUE!</v>
      </c>
      <c r="EX204" t="e">
        <f>'All regions'!D5112+"n/&gt;!)[f"</f>
        <v>#VALUE!</v>
      </c>
      <c r="EY204" t="e">
        <f>'All regions'!E5112+"n/&gt;!)[g"</f>
        <v>#VALUE!</v>
      </c>
      <c r="EZ204" t="e">
        <f>'All regions'!F5112+"n/&gt;!)[h"</f>
        <v>#VALUE!</v>
      </c>
      <c r="FA204" t="e">
        <f>'All regions'!G5112+"n/&gt;!)[i"</f>
        <v>#VALUE!</v>
      </c>
      <c r="FB204" t="e">
        <f>'All regions'!H5112+"n/&gt;!)[j"</f>
        <v>#VALUE!</v>
      </c>
      <c r="FC204" t="e">
        <f>'All regions'!I5112+"n/&gt;!)[k"</f>
        <v>#VALUE!</v>
      </c>
      <c r="FD204" t="e">
        <f>'All regions'!J5112+"n/&gt;!)[l"</f>
        <v>#VALUE!</v>
      </c>
      <c r="FE204" t="e">
        <f>'All regions'!A5113+"n/&gt;!)[m"</f>
        <v>#VALUE!</v>
      </c>
      <c r="FF204" t="e">
        <f>'All regions'!B5113+"n/&gt;!)[n"</f>
        <v>#VALUE!</v>
      </c>
      <c r="FG204" t="e">
        <f>'All regions'!C5113+"n/&gt;!)[o"</f>
        <v>#VALUE!</v>
      </c>
      <c r="FH204" t="e">
        <f>'All regions'!D5113+"n/&gt;!)[p"</f>
        <v>#VALUE!</v>
      </c>
      <c r="FI204" t="e">
        <f>'All regions'!E5113+"n/&gt;!)[q"</f>
        <v>#VALUE!</v>
      </c>
      <c r="FJ204" t="e">
        <f>'All regions'!F5113+"n/&gt;!)[r"</f>
        <v>#VALUE!</v>
      </c>
      <c r="FK204" t="e">
        <f>'All regions'!G5113+"n/&gt;!)[s"</f>
        <v>#VALUE!</v>
      </c>
      <c r="FL204" t="e">
        <f>'All regions'!H5113+"n/&gt;!)[t"</f>
        <v>#VALUE!</v>
      </c>
      <c r="FM204" t="e">
        <f>'All regions'!I5113+"n/&gt;!)[u"</f>
        <v>#VALUE!</v>
      </c>
      <c r="FN204" t="e">
        <f>'All regions'!J5113+"n/&gt;!)[v"</f>
        <v>#VALUE!</v>
      </c>
      <c r="FO204" t="e">
        <f>'All regions'!A5114+"n/&gt;!)[w"</f>
        <v>#VALUE!</v>
      </c>
      <c r="FP204" t="e">
        <f>'All regions'!B5114+"n/&gt;!)[x"</f>
        <v>#VALUE!</v>
      </c>
      <c r="FQ204" t="e">
        <f>'All regions'!C5114+"n/&gt;!)[y"</f>
        <v>#VALUE!</v>
      </c>
      <c r="FR204" t="e">
        <f>'All regions'!D5114+"n/&gt;!)[z"</f>
        <v>#VALUE!</v>
      </c>
      <c r="FS204" t="e">
        <f>'All regions'!E5114+"n/&gt;!)[{"</f>
        <v>#VALUE!</v>
      </c>
      <c r="FT204" t="e">
        <f>'All regions'!F5114+"n/&gt;!)[|"</f>
        <v>#VALUE!</v>
      </c>
      <c r="FU204" t="e">
        <f>'All regions'!G5114+"n/&gt;!)[}"</f>
        <v>#VALUE!</v>
      </c>
      <c r="FV204" t="e">
        <f>'All regions'!H5114+"n/&gt;!)[~"</f>
        <v>#VALUE!</v>
      </c>
      <c r="FW204" t="e">
        <f>'All regions'!I5114+"n/&gt;!)\#"</f>
        <v>#VALUE!</v>
      </c>
      <c r="FX204" t="e">
        <f>'All regions'!J5114+"n/&gt;!)\$"</f>
        <v>#VALUE!</v>
      </c>
      <c r="FY204" t="e">
        <f>'All regions'!A5115+"n/&gt;!)\%"</f>
        <v>#VALUE!</v>
      </c>
      <c r="FZ204" t="e">
        <f>'All regions'!B5115+"n/&gt;!)\&amp;"</f>
        <v>#VALUE!</v>
      </c>
      <c r="GA204" t="e">
        <f>'All regions'!C5115+"n/&gt;!)\'"</f>
        <v>#VALUE!</v>
      </c>
      <c r="GB204" t="e">
        <f>'All regions'!D5115+"n/&gt;!)\("</f>
        <v>#VALUE!</v>
      </c>
      <c r="GC204" t="e">
        <f>'All regions'!E5115+"n/&gt;!)\)"</f>
        <v>#VALUE!</v>
      </c>
      <c r="GD204" t="e">
        <f>'All regions'!F5115+"n/&gt;!)\."</f>
        <v>#VALUE!</v>
      </c>
      <c r="GE204" t="e">
        <f>'All regions'!G5115+"n/&gt;!)\/"</f>
        <v>#VALUE!</v>
      </c>
      <c r="GF204" t="e">
        <f>'All regions'!H5115+"n/&gt;!)\0"</f>
        <v>#VALUE!</v>
      </c>
      <c r="GG204" t="e">
        <f>'All regions'!I5115+"n/&gt;!)\1"</f>
        <v>#VALUE!</v>
      </c>
      <c r="GH204" t="e">
        <f>'All regions'!J5115+"n/&gt;!)\2"</f>
        <v>#VALUE!</v>
      </c>
      <c r="GI204" t="e">
        <f>'All regions'!A5116+"n/&gt;!)\3"</f>
        <v>#VALUE!</v>
      </c>
      <c r="GJ204" t="e">
        <f>'All regions'!B5116+"n/&gt;!)\4"</f>
        <v>#VALUE!</v>
      </c>
      <c r="GK204" t="e">
        <f>'All regions'!C5116+"n/&gt;!)\5"</f>
        <v>#VALUE!</v>
      </c>
      <c r="GL204" t="e">
        <f>'All regions'!D5116+"n/&gt;!)\6"</f>
        <v>#VALUE!</v>
      </c>
      <c r="GM204" t="e">
        <f>'All regions'!E5116+"n/&gt;!)\7"</f>
        <v>#VALUE!</v>
      </c>
      <c r="GN204" t="e">
        <f>'All regions'!F5116+"n/&gt;!)\8"</f>
        <v>#VALUE!</v>
      </c>
      <c r="GO204" t="e">
        <f>'All regions'!G5116+"n/&gt;!)\9"</f>
        <v>#VALUE!</v>
      </c>
      <c r="GP204" t="e">
        <f>'All regions'!H5116+"n/&gt;!)\:"</f>
        <v>#VALUE!</v>
      </c>
      <c r="GQ204" t="e">
        <f>'All regions'!I5116+"n/&gt;!)\;"</f>
        <v>#VALUE!</v>
      </c>
      <c r="GR204" t="e">
        <f>'All regions'!J5116+"n/&gt;!)\&lt;"</f>
        <v>#VALUE!</v>
      </c>
      <c r="GS204" t="e">
        <f>'All regions'!A5117+"n/&gt;!)\="</f>
        <v>#VALUE!</v>
      </c>
      <c r="GT204" t="e">
        <f>'All regions'!B5117+"n/&gt;!)\&gt;"</f>
        <v>#VALUE!</v>
      </c>
      <c r="GU204" t="e">
        <f>'All regions'!C5117+"n/&gt;!)\?"</f>
        <v>#VALUE!</v>
      </c>
      <c r="GV204" t="e">
        <f>'All regions'!D5117+"n/&gt;!)\@"</f>
        <v>#VALUE!</v>
      </c>
      <c r="GW204" t="e">
        <f>'All regions'!E5117+"n/&gt;!)\A"</f>
        <v>#VALUE!</v>
      </c>
      <c r="GX204" t="e">
        <f>'All regions'!F5117+"n/&gt;!)\B"</f>
        <v>#VALUE!</v>
      </c>
      <c r="GY204" t="e">
        <f>'All regions'!G5117+"n/&gt;!)\C"</f>
        <v>#VALUE!</v>
      </c>
      <c r="GZ204" t="e">
        <f>'All regions'!H5117+"n/&gt;!)\D"</f>
        <v>#VALUE!</v>
      </c>
      <c r="HA204" t="e">
        <f>'All regions'!I5117+"n/&gt;!)\E"</f>
        <v>#VALUE!</v>
      </c>
      <c r="HB204" t="e">
        <f>'All regions'!J5117+"n/&gt;!)\F"</f>
        <v>#VALUE!</v>
      </c>
      <c r="HC204" t="e">
        <f>'All regions'!A5118+"n/&gt;!)\G"</f>
        <v>#VALUE!</v>
      </c>
      <c r="HD204" t="e">
        <f>'All regions'!B5118+"n/&gt;!)\H"</f>
        <v>#VALUE!</v>
      </c>
      <c r="HE204" t="e">
        <f>'All regions'!C5118+"n/&gt;!)\I"</f>
        <v>#VALUE!</v>
      </c>
      <c r="HF204" t="e">
        <f>'All regions'!D5118+"n/&gt;!)\J"</f>
        <v>#VALUE!</v>
      </c>
      <c r="HG204" t="e">
        <f>'All regions'!E5118+"n/&gt;!)\K"</f>
        <v>#VALUE!</v>
      </c>
      <c r="HH204" t="e">
        <f>'All regions'!F5118+"n/&gt;!)\L"</f>
        <v>#VALUE!</v>
      </c>
      <c r="HI204" t="e">
        <f>'All regions'!G5118+"n/&gt;!)\M"</f>
        <v>#VALUE!</v>
      </c>
      <c r="HJ204" t="e">
        <f>'All regions'!H5118+"n/&gt;!)\N"</f>
        <v>#VALUE!</v>
      </c>
      <c r="HK204" t="e">
        <f>'All regions'!I5118+"n/&gt;!)\O"</f>
        <v>#VALUE!</v>
      </c>
      <c r="HL204" t="e">
        <f>'All regions'!J5118+"n/&gt;!)\P"</f>
        <v>#VALUE!</v>
      </c>
      <c r="HM204" t="e">
        <f>'All regions'!A5119+"n/&gt;!)\Q"</f>
        <v>#VALUE!</v>
      </c>
      <c r="HN204" t="e">
        <f>'All regions'!B5119+"n/&gt;!)\R"</f>
        <v>#VALUE!</v>
      </c>
      <c r="HO204" t="e">
        <f>'All regions'!C5119+"n/&gt;!)\S"</f>
        <v>#VALUE!</v>
      </c>
      <c r="HP204" t="e">
        <f>'All regions'!D5119+"n/&gt;!)\T"</f>
        <v>#VALUE!</v>
      </c>
      <c r="HQ204" t="e">
        <f>'All regions'!E5119+"n/&gt;!)\U"</f>
        <v>#VALUE!</v>
      </c>
      <c r="HR204" t="e">
        <f>'All regions'!F5119+"n/&gt;!)\V"</f>
        <v>#VALUE!</v>
      </c>
      <c r="HS204" t="e">
        <f>'All regions'!G5119+"n/&gt;!)\W"</f>
        <v>#VALUE!</v>
      </c>
      <c r="HT204" t="e">
        <f>'All regions'!H5119+"n/&gt;!)\X"</f>
        <v>#VALUE!</v>
      </c>
      <c r="HU204" t="e">
        <f>'All regions'!I5119+"n/&gt;!)\Y"</f>
        <v>#VALUE!</v>
      </c>
      <c r="HV204" t="e">
        <f>'All regions'!J5119+"n/&gt;!)\Z"</f>
        <v>#VALUE!</v>
      </c>
      <c r="HW204" t="e">
        <f>'All regions'!A5120+"n/&gt;!)\["</f>
        <v>#VALUE!</v>
      </c>
      <c r="HX204" t="e">
        <f>'All regions'!B5120+"n/&gt;!)\\"</f>
        <v>#VALUE!</v>
      </c>
      <c r="HY204" t="e">
        <f>'All regions'!C5120+"n/&gt;!)\]"</f>
        <v>#VALUE!</v>
      </c>
      <c r="HZ204" t="e">
        <f>'All regions'!D5120+"n/&gt;!)\^"</f>
        <v>#VALUE!</v>
      </c>
      <c r="IA204" t="e">
        <f>'All regions'!E5120+"n/&gt;!)\_"</f>
        <v>#VALUE!</v>
      </c>
      <c r="IB204" t="e">
        <f>'All regions'!F5120+"n/&gt;!)\`"</f>
        <v>#VALUE!</v>
      </c>
      <c r="IC204" t="e">
        <f>'All regions'!G5120+"n/&gt;!)\a"</f>
        <v>#VALUE!</v>
      </c>
      <c r="ID204" t="e">
        <f>'All regions'!H5120+"n/&gt;!)\b"</f>
        <v>#VALUE!</v>
      </c>
      <c r="IE204" t="e">
        <f>'All regions'!I5120+"n/&gt;!)\c"</f>
        <v>#VALUE!</v>
      </c>
      <c r="IF204" t="e">
        <f>'All regions'!J5120+"n/&gt;!)\d"</f>
        <v>#VALUE!</v>
      </c>
      <c r="IG204" t="e">
        <f>'All regions'!A5121+"n/&gt;!)\e"</f>
        <v>#VALUE!</v>
      </c>
      <c r="IH204" t="e">
        <f>'All regions'!B5121+"n/&gt;!)\f"</f>
        <v>#VALUE!</v>
      </c>
      <c r="II204" t="e">
        <f>'All regions'!C5121+"n/&gt;!)\g"</f>
        <v>#VALUE!</v>
      </c>
      <c r="IJ204" t="e">
        <f>'All regions'!D5121+"n/&gt;!)\h"</f>
        <v>#VALUE!</v>
      </c>
      <c r="IK204" t="e">
        <f>'All regions'!E5121+"n/&gt;!)\i"</f>
        <v>#VALUE!</v>
      </c>
      <c r="IL204" t="e">
        <f>'All regions'!F5121+"n/&gt;!)\j"</f>
        <v>#VALUE!</v>
      </c>
      <c r="IM204" t="e">
        <f>'All regions'!G5121+"n/&gt;!)\k"</f>
        <v>#VALUE!</v>
      </c>
      <c r="IN204" t="e">
        <f>'All regions'!H5121+"n/&gt;!)\l"</f>
        <v>#VALUE!</v>
      </c>
      <c r="IO204" t="e">
        <f>'All regions'!I5121+"n/&gt;!)\m"</f>
        <v>#VALUE!</v>
      </c>
      <c r="IP204" t="e">
        <f>'All regions'!J5121+"n/&gt;!)\n"</f>
        <v>#VALUE!</v>
      </c>
      <c r="IQ204" t="e">
        <f>'All regions'!A5122+"n/&gt;!)\o"</f>
        <v>#VALUE!</v>
      </c>
      <c r="IR204" t="e">
        <f>'All regions'!B5122+"n/&gt;!)\p"</f>
        <v>#VALUE!</v>
      </c>
      <c r="IS204" t="e">
        <f>'All regions'!C5122+"n/&gt;!)\q"</f>
        <v>#VALUE!</v>
      </c>
      <c r="IT204" t="e">
        <f>'All regions'!D5122+"n/&gt;!)\r"</f>
        <v>#VALUE!</v>
      </c>
      <c r="IU204" t="e">
        <f>'All regions'!E5122+"n/&gt;!)\s"</f>
        <v>#VALUE!</v>
      </c>
      <c r="IV204" t="e">
        <f>'All regions'!F5122+"n/&gt;!)\t"</f>
        <v>#VALUE!</v>
      </c>
    </row>
    <row r="205" spans="6:256" x14ac:dyDescent="0.35">
      <c r="F205" t="e">
        <f>'All regions'!G5122+"n/&gt;!)\u"</f>
        <v>#VALUE!</v>
      </c>
      <c r="G205" t="e">
        <f>'All regions'!H5122+"n/&gt;!)\v"</f>
        <v>#VALUE!</v>
      </c>
      <c r="H205" t="e">
        <f>'All regions'!I5122+"n/&gt;!)\w"</f>
        <v>#VALUE!</v>
      </c>
      <c r="I205" t="e">
        <f>'All regions'!J5122+"n/&gt;!)\x"</f>
        <v>#VALUE!</v>
      </c>
      <c r="J205" t="e">
        <f>'All regions'!A5123+"n/&gt;!)\y"</f>
        <v>#VALUE!</v>
      </c>
      <c r="K205" t="e">
        <f>'All regions'!B5123+"n/&gt;!)\z"</f>
        <v>#VALUE!</v>
      </c>
      <c r="L205" t="e">
        <f>'All regions'!C5123+"n/&gt;!)\{"</f>
        <v>#VALUE!</v>
      </c>
      <c r="M205" t="e">
        <f>'All regions'!D5123+"n/&gt;!)\|"</f>
        <v>#VALUE!</v>
      </c>
      <c r="N205" t="e">
        <f>'All regions'!E5123+"n/&gt;!)\}"</f>
        <v>#VALUE!</v>
      </c>
      <c r="O205" t="e">
        <f>'All regions'!F5123+"n/&gt;!)\~"</f>
        <v>#VALUE!</v>
      </c>
      <c r="P205" t="e">
        <f>'All regions'!G5123+"n/&gt;!)]#"</f>
        <v>#VALUE!</v>
      </c>
      <c r="Q205" t="e">
        <f>'All regions'!H5123+"n/&gt;!)]$"</f>
        <v>#VALUE!</v>
      </c>
      <c r="R205" t="e">
        <f>'All regions'!I5123+"n/&gt;!)]%"</f>
        <v>#VALUE!</v>
      </c>
      <c r="S205" t="e">
        <f>'All regions'!J5123+"n/&gt;!)]&amp;"</f>
        <v>#VALUE!</v>
      </c>
      <c r="T205" t="e">
        <f>'All regions'!A5124+"n/&gt;!)]'"</f>
        <v>#VALUE!</v>
      </c>
      <c r="U205" t="e">
        <f>'All regions'!B5124+"n/&gt;!)]("</f>
        <v>#VALUE!</v>
      </c>
      <c r="V205" t="e">
        <f>'All regions'!C5124+"n/&gt;!)])"</f>
        <v>#VALUE!</v>
      </c>
      <c r="W205" t="e">
        <f>'All regions'!D5124+"n/&gt;!)]."</f>
        <v>#VALUE!</v>
      </c>
      <c r="X205" t="e">
        <f>'All regions'!E5124+"n/&gt;!)]/"</f>
        <v>#VALUE!</v>
      </c>
      <c r="Y205" t="e">
        <f>'All regions'!F5124+"n/&gt;!)]0"</f>
        <v>#VALUE!</v>
      </c>
      <c r="Z205" t="e">
        <f>'All regions'!G5124+"n/&gt;!)]1"</f>
        <v>#VALUE!</v>
      </c>
      <c r="AA205" t="e">
        <f>'All regions'!H5124+"n/&gt;!)]2"</f>
        <v>#VALUE!</v>
      </c>
      <c r="AB205" t="e">
        <f>'All regions'!I5124+"n/&gt;!)]3"</f>
        <v>#VALUE!</v>
      </c>
      <c r="AC205" t="e">
        <f>'All regions'!J5124+"n/&gt;!)]4"</f>
        <v>#VALUE!</v>
      </c>
      <c r="AD205" t="e">
        <f>'All regions'!A5125+"n/&gt;!)]5"</f>
        <v>#VALUE!</v>
      </c>
      <c r="AE205" t="e">
        <f>'All regions'!B5125+"n/&gt;!)]6"</f>
        <v>#VALUE!</v>
      </c>
      <c r="AF205" t="e">
        <f>'All regions'!C5125+"n/&gt;!)]7"</f>
        <v>#VALUE!</v>
      </c>
      <c r="AG205" t="e">
        <f>'All regions'!D5125+"n/&gt;!)]8"</f>
        <v>#VALUE!</v>
      </c>
      <c r="AH205" t="e">
        <f>'All regions'!E5125+"n/&gt;!)]9"</f>
        <v>#VALUE!</v>
      </c>
      <c r="AI205" t="e">
        <f>'All regions'!F5125+"n/&gt;!)]:"</f>
        <v>#VALUE!</v>
      </c>
      <c r="AJ205" t="e">
        <f>'All regions'!G5125+"n/&gt;!)];"</f>
        <v>#VALUE!</v>
      </c>
      <c r="AK205" t="e">
        <f>'All regions'!H5125+"n/&gt;!)]&lt;"</f>
        <v>#VALUE!</v>
      </c>
      <c r="AL205" t="e">
        <f>'All regions'!I5125+"n/&gt;!)]="</f>
        <v>#VALUE!</v>
      </c>
      <c r="AM205" t="e">
        <f>'All regions'!J5125+"n/&gt;!)]&gt;"</f>
        <v>#VALUE!</v>
      </c>
      <c r="AN205" t="e">
        <f>'All regions'!A5126+"n/&gt;!)]?"</f>
        <v>#VALUE!</v>
      </c>
      <c r="AO205" t="e">
        <f>'All regions'!B5126+"n/&gt;!)]@"</f>
        <v>#VALUE!</v>
      </c>
      <c r="AP205" t="e">
        <f>'All regions'!C5126+"n/&gt;!)]A"</f>
        <v>#VALUE!</v>
      </c>
      <c r="AQ205" t="e">
        <f>'All regions'!D5126+"n/&gt;!)]B"</f>
        <v>#VALUE!</v>
      </c>
      <c r="AR205" t="e">
        <f>'All regions'!E5126+"n/&gt;!)]C"</f>
        <v>#VALUE!</v>
      </c>
      <c r="AS205" t="e">
        <f>'All regions'!F5126+"n/&gt;!)]D"</f>
        <v>#VALUE!</v>
      </c>
      <c r="AT205" t="e">
        <f>'All regions'!G5126+"n/&gt;!)]E"</f>
        <v>#VALUE!</v>
      </c>
      <c r="AU205" t="e">
        <f>'All regions'!H5126+"n/&gt;!)]F"</f>
        <v>#VALUE!</v>
      </c>
      <c r="AV205" t="e">
        <f>'All regions'!I5126+"n/&gt;!)]G"</f>
        <v>#VALUE!</v>
      </c>
      <c r="AW205" t="e">
        <f>'All regions'!J5126+"n/&gt;!)]H"</f>
        <v>#VALUE!</v>
      </c>
      <c r="AX205" t="e">
        <f>'All regions'!A5127+"n/&gt;!)]I"</f>
        <v>#VALUE!</v>
      </c>
      <c r="AY205" t="e">
        <f>'All regions'!B5127+"n/&gt;!)]J"</f>
        <v>#VALUE!</v>
      </c>
      <c r="AZ205" t="e">
        <f>'All regions'!C5127+"n/&gt;!)]K"</f>
        <v>#VALUE!</v>
      </c>
      <c r="BA205" t="e">
        <f>'All regions'!D5127+"n/&gt;!)]L"</f>
        <v>#VALUE!</v>
      </c>
      <c r="BB205" t="e">
        <f>'All regions'!E5127+"n/&gt;!)]M"</f>
        <v>#VALUE!</v>
      </c>
      <c r="BC205" t="e">
        <f>'All regions'!F5127+"n/&gt;!)]N"</f>
        <v>#VALUE!</v>
      </c>
      <c r="BD205" t="e">
        <f>'All regions'!G5127+"n/&gt;!)]O"</f>
        <v>#VALUE!</v>
      </c>
      <c r="BE205" t="e">
        <f>'All regions'!H5127+"n/&gt;!)]P"</f>
        <v>#VALUE!</v>
      </c>
      <c r="BF205" t="e">
        <f>'All regions'!I5127+"n/&gt;!)]Q"</f>
        <v>#VALUE!</v>
      </c>
      <c r="BG205" t="e">
        <f>'All regions'!J5127+"n/&gt;!)]R"</f>
        <v>#VALUE!</v>
      </c>
      <c r="BH205" t="e">
        <f>'All regions'!A5128+"n/&gt;!)]S"</f>
        <v>#VALUE!</v>
      </c>
      <c r="BI205" t="e">
        <f>'All regions'!B5128+"n/&gt;!)]T"</f>
        <v>#VALUE!</v>
      </c>
      <c r="BJ205" t="e">
        <f>'All regions'!C5128+"n/&gt;!)]U"</f>
        <v>#VALUE!</v>
      </c>
      <c r="BK205" t="e">
        <f>'All regions'!D5128+"n/&gt;!)]V"</f>
        <v>#VALUE!</v>
      </c>
      <c r="BL205" t="e">
        <f>'All regions'!E5128+"n/&gt;!)]W"</f>
        <v>#VALUE!</v>
      </c>
      <c r="BM205" t="e">
        <f>'All regions'!F5128+"n/&gt;!)]X"</f>
        <v>#VALUE!</v>
      </c>
      <c r="BN205" t="e">
        <f>'All regions'!G5128+"n/&gt;!)]Y"</f>
        <v>#VALUE!</v>
      </c>
      <c r="BO205" t="e">
        <f>'All regions'!H5128+"n/&gt;!)]Z"</f>
        <v>#VALUE!</v>
      </c>
      <c r="BP205" t="e">
        <f>'All regions'!I5128+"n/&gt;!)]["</f>
        <v>#VALUE!</v>
      </c>
      <c r="BQ205" t="e">
        <f>'All regions'!J5128+"n/&gt;!)]\"</f>
        <v>#VALUE!</v>
      </c>
      <c r="BR205" t="e">
        <f>'All regions'!A5129+"n/&gt;!)]]"</f>
        <v>#VALUE!</v>
      </c>
      <c r="BS205" t="e">
        <f>'All regions'!B5129+"n/&gt;!)]^"</f>
        <v>#VALUE!</v>
      </c>
      <c r="BT205" t="e">
        <f>'All regions'!C5129+"n/&gt;!)]_"</f>
        <v>#VALUE!</v>
      </c>
      <c r="BU205" t="e">
        <f>'All regions'!D5129+"n/&gt;!)]`"</f>
        <v>#VALUE!</v>
      </c>
      <c r="BV205" t="e">
        <f>'All regions'!E5129+"n/&gt;!)]a"</f>
        <v>#VALUE!</v>
      </c>
      <c r="BW205" t="e">
        <f>'All regions'!F5129+"n/&gt;!)]b"</f>
        <v>#VALUE!</v>
      </c>
      <c r="BX205" t="e">
        <f>'All regions'!G5129+"n/&gt;!)]c"</f>
        <v>#VALUE!</v>
      </c>
      <c r="BY205" t="e">
        <f>'All regions'!H5129+"n/&gt;!)]d"</f>
        <v>#VALUE!</v>
      </c>
      <c r="BZ205" t="e">
        <f>'All regions'!I5129+"n/&gt;!)]e"</f>
        <v>#VALUE!</v>
      </c>
      <c r="CA205" t="e">
        <f>'All regions'!J5129+"n/&gt;!)]f"</f>
        <v>#VALUE!</v>
      </c>
      <c r="CB205" t="e">
        <f>'All regions'!A5130+"n/&gt;!)]g"</f>
        <v>#VALUE!</v>
      </c>
      <c r="CC205" t="e">
        <f>'All regions'!B5130+"n/&gt;!)]h"</f>
        <v>#VALUE!</v>
      </c>
      <c r="CD205" t="e">
        <f>'All regions'!C5130+"n/&gt;!)]i"</f>
        <v>#VALUE!</v>
      </c>
      <c r="CE205" t="e">
        <f>'All regions'!D5130+"n/&gt;!)]j"</f>
        <v>#VALUE!</v>
      </c>
      <c r="CF205" t="e">
        <f>'All regions'!E5130+"n/&gt;!)]k"</f>
        <v>#VALUE!</v>
      </c>
      <c r="CG205" t="e">
        <f>'All regions'!F5130+"n/&gt;!)]l"</f>
        <v>#VALUE!</v>
      </c>
      <c r="CH205" t="e">
        <f>'All regions'!G5130+"n/&gt;!)]m"</f>
        <v>#VALUE!</v>
      </c>
      <c r="CI205" t="e">
        <f>'All regions'!H5130+"n/&gt;!)]n"</f>
        <v>#VALUE!</v>
      </c>
      <c r="CJ205" t="e">
        <f>'All regions'!I5130+"n/&gt;!)]o"</f>
        <v>#VALUE!</v>
      </c>
      <c r="CK205" t="e">
        <f>'All regions'!J5130+"n/&gt;!)]p"</f>
        <v>#VALUE!</v>
      </c>
      <c r="CL205" t="e">
        <f>'All regions'!A5131+"n/&gt;!)]q"</f>
        <v>#VALUE!</v>
      </c>
      <c r="CM205" t="e">
        <f>'All regions'!B5131+"n/&gt;!)]r"</f>
        <v>#VALUE!</v>
      </c>
      <c r="CN205" t="e">
        <f>'All regions'!C5131+"n/&gt;!)]s"</f>
        <v>#VALUE!</v>
      </c>
      <c r="CO205" t="e">
        <f>'All regions'!D5131+"n/&gt;!)]t"</f>
        <v>#VALUE!</v>
      </c>
      <c r="CP205" t="e">
        <f>'All regions'!E5131+"n/&gt;!)]u"</f>
        <v>#VALUE!</v>
      </c>
      <c r="CQ205" t="e">
        <f>'All regions'!F5131+"n/&gt;!)]v"</f>
        <v>#VALUE!</v>
      </c>
      <c r="CR205" t="e">
        <f>'All regions'!G5131+"n/&gt;!)]w"</f>
        <v>#VALUE!</v>
      </c>
      <c r="CS205" t="e">
        <f>'All regions'!H5131+"n/&gt;!)]x"</f>
        <v>#VALUE!</v>
      </c>
      <c r="CT205" t="e">
        <f>'All regions'!I5131+"n/&gt;!)]y"</f>
        <v>#VALUE!</v>
      </c>
      <c r="CU205" t="e">
        <f>'All regions'!J5131+"n/&gt;!)]z"</f>
        <v>#VALUE!</v>
      </c>
      <c r="CV205" t="e">
        <f>'All regions'!A5132+"n/&gt;!)]{"</f>
        <v>#VALUE!</v>
      </c>
      <c r="CW205" t="e">
        <f>'All regions'!B5132+"n/&gt;!)]|"</f>
        <v>#VALUE!</v>
      </c>
      <c r="CX205" t="e">
        <f>'All regions'!C5132+"n/&gt;!)]}"</f>
        <v>#VALUE!</v>
      </c>
      <c r="CY205" t="e">
        <f>'All regions'!D5132+"n/&gt;!)]~"</f>
        <v>#VALUE!</v>
      </c>
      <c r="CZ205" t="e">
        <f>'All regions'!E5132+"n/&gt;!)^#"</f>
        <v>#VALUE!</v>
      </c>
      <c r="DA205" t="e">
        <f>'All regions'!F5132+"n/&gt;!)^$"</f>
        <v>#VALUE!</v>
      </c>
      <c r="DB205" t="e">
        <f>'All regions'!G5132+"n/&gt;!)^%"</f>
        <v>#VALUE!</v>
      </c>
      <c r="DC205" t="e">
        <f>'All regions'!H5132+"n/&gt;!)^&amp;"</f>
        <v>#VALUE!</v>
      </c>
      <c r="DD205" t="e">
        <f>'All regions'!I5132+"n/&gt;!)^'"</f>
        <v>#VALUE!</v>
      </c>
      <c r="DE205" t="e">
        <f>'All regions'!J5132+"n/&gt;!)^("</f>
        <v>#VALUE!</v>
      </c>
      <c r="DF205" t="e">
        <f>'All regions'!A5133+"n/&gt;!)^)"</f>
        <v>#VALUE!</v>
      </c>
      <c r="DG205" t="e">
        <f>'All regions'!B5133+"n/&gt;!)^."</f>
        <v>#VALUE!</v>
      </c>
      <c r="DH205" t="e">
        <f>'All regions'!C5133+"n/&gt;!)^/"</f>
        <v>#VALUE!</v>
      </c>
      <c r="DI205" t="e">
        <f>'All regions'!D5133+"n/&gt;!)^0"</f>
        <v>#VALUE!</v>
      </c>
      <c r="DJ205" t="e">
        <f>'All regions'!E5133+"n/&gt;!)^1"</f>
        <v>#VALUE!</v>
      </c>
      <c r="DK205" t="e">
        <f>'All regions'!F5133+"n/&gt;!)^2"</f>
        <v>#VALUE!</v>
      </c>
      <c r="DL205" t="e">
        <f>'All regions'!G5133+"n/&gt;!)^3"</f>
        <v>#VALUE!</v>
      </c>
      <c r="DM205" t="e">
        <f>'All regions'!H5133+"n/&gt;!)^4"</f>
        <v>#VALUE!</v>
      </c>
      <c r="DN205" t="e">
        <f>'All regions'!I5133+"n/&gt;!)^5"</f>
        <v>#VALUE!</v>
      </c>
      <c r="DO205" t="e">
        <f>'All regions'!J5133+"n/&gt;!)^6"</f>
        <v>#VALUE!</v>
      </c>
      <c r="DP205" t="e">
        <f>'All regions'!A5134+"n/&gt;!)^7"</f>
        <v>#VALUE!</v>
      </c>
      <c r="DQ205" t="e">
        <f>'All regions'!B5134+"n/&gt;!)^8"</f>
        <v>#VALUE!</v>
      </c>
      <c r="DR205" t="e">
        <f>'All regions'!C5134+"n/&gt;!)^9"</f>
        <v>#VALUE!</v>
      </c>
      <c r="DS205" t="e">
        <f>'All regions'!D5134+"n/&gt;!)^:"</f>
        <v>#VALUE!</v>
      </c>
      <c r="DT205" t="e">
        <f>'All regions'!E5134+"n/&gt;!)^;"</f>
        <v>#VALUE!</v>
      </c>
      <c r="DU205" t="e">
        <f>'All regions'!F5134+"n/&gt;!)^&lt;"</f>
        <v>#VALUE!</v>
      </c>
      <c r="DV205" t="e">
        <f>'All regions'!G5134+"n/&gt;!)^="</f>
        <v>#VALUE!</v>
      </c>
      <c r="DW205" t="e">
        <f>'All regions'!H5134+"n/&gt;!)^&gt;"</f>
        <v>#VALUE!</v>
      </c>
      <c r="DX205" t="e">
        <f>'All regions'!I5134+"n/&gt;!)^?"</f>
        <v>#VALUE!</v>
      </c>
      <c r="DY205" t="e">
        <f>'All regions'!J5134+"n/&gt;!)^@"</f>
        <v>#VALUE!</v>
      </c>
      <c r="DZ205" t="e">
        <f>'All regions'!A5135+"n/&gt;!)^A"</f>
        <v>#VALUE!</v>
      </c>
      <c r="EA205" t="e">
        <f>'All regions'!B5135+"n/&gt;!)^B"</f>
        <v>#VALUE!</v>
      </c>
      <c r="EB205" t="e">
        <f>'All regions'!C5135+"n/&gt;!)^C"</f>
        <v>#VALUE!</v>
      </c>
      <c r="EC205" t="e">
        <f>'All regions'!D5135+"n/&gt;!)^D"</f>
        <v>#VALUE!</v>
      </c>
      <c r="ED205" t="e">
        <f>'All regions'!E5135+"n/&gt;!)^E"</f>
        <v>#VALUE!</v>
      </c>
      <c r="EE205" t="e">
        <f>'All regions'!F5135+"n/&gt;!)^F"</f>
        <v>#VALUE!</v>
      </c>
      <c r="EF205" t="e">
        <f>'All regions'!G5135+"n/&gt;!)^G"</f>
        <v>#VALUE!</v>
      </c>
      <c r="EG205" t="e">
        <f>'All regions'!H5135+"n/&gt;!)^H"</f>
        <v>#VALUE!</v>
      </c>
      <c r="EH205" t="e">
        <f>'All regions'!I5135+"n/&gt;!)^I"</f>
        <v>#VALUE!</v>
      </c>
      <c r="EI205" t="e">
        <f>'All regions'!J5135+"n/&gt;!)^J"</f>
        <v>#VALUE!</v>
      </c>
      <c r="EJ205" t="e">
        <f>'All regions'!A5136+"n/&gt;!)^K"</f>
        <v>#VALUE!</v>
      </c>
      <c r="EK205" t="e">
        <f>'All regions'!B5136+"n/&gt;!)^L"</f>
        <v>#VALUE!</v>
      </c>
      <c r="EL205" t="e">
        <f>'All regions'!C5136+"n/&gt;!)^M"</f>
        <v>#VALUE!</v>
      </c>
      <c r="EM205" t="e">
        <f>'All regions'!D5136+"n/&gt;!)^N"</f>
        <v>#VALUE!</v>
      </c>
      <c r="EN205" t="e">
        <f>'All regions'!E5136+"n/&gt;!)^O"</f>
        <v>#VALUE!</v>
      </c>
      <c r="EO205" t="e">
        <f>'All regions'!F5136+"n/&gt;!)^P"</f>
        <v>#VALUE!</v>
      </c>
      <c r="EP205" t="e">
        <f>'All regions'!G5136+"n/&gt;!)^Q"</f>
        <v>#VALUE!</v>
      </c>
      <c r="EQ205" t="e">
        <f>'All regions'!H5136+"n/&gt;!)^R"</f>
        <v>#VALUE!</v>
      </c>
      <c r="ER205" t="e">
        <f>'All regions'!I5136+"n/&gt;!)^S"</f>
        <v>#VALUE!</v>
      </c>
      <c r="ES205" t="e">
        <f>'All regions'!J5136+"n/&gt;!)^T"</f>
        <v>#VALUE!</v>
      </c>
      <c r="ET205" t="e">
        <f>'All regions'!A5137+"n/&gt;!)^U"</f>
        <v>#VALUE!</v>
      </c>
      <c r="EU205" t="e">
        <f>'All regions'!B5137+"n/&gt;!)^V"</f>
        <v>#VALUE!</v>
      </c>
      <c r="EV205" t="e">
        <f>'All regions'!C5137+"n/&gt;!)^W"</f>
        <v>#VALUE!</v>
      </c>
      <c r="EW205" t="e">
        <f>'All regions'!D5137+"n/&gt;!)^X"</f>
        <v>#VALUE!</v>
      </c>
      <c r="EX205" t="e">
        <f>'All regions'!E5137+"n/&gt;!)^Y"</f>
        <v>#VALUE!</v>
      </c>
      <c r="EY205" t="e">
        <f>'All regions'!F5137+"n/&gt;!)^Z"</f>
        <v>#VALUE!</v>
      </c>
      <c r="EZ205" t="e">
        <f>'All regions'!G5137+"n/&gt;!)^["</f>
        <v>#VALUE!</v>
      </c>
      <c r="FA205" t="e">
        <f>'All regions'!H5137+"n/&gt;!)^\"</f>
        <v>#VALUE!</v>
      </c>
      <c r="FB205" t="e">
        <f>'All regions'!I5137+"n/&gt;!)^]"</f>
        <v>#VALUE!</v>
      </c>
      <c r="FC205" t="e">
        <f>'All regions'!J5137+"n/&gt;!)^^"</f>
        <v>#VALUE!</v>
      </c>
      <c r="FD205" t="e">
        <f>'All regions'!A5138+"n/&gt;!)^_"</f>
        <v>#VALUE!</v>
      </c>
      <c r="FE205" t="e">
        <f>'All regions'!B5138+"n/&gt;!)^`"</f>
        <v>#VALUE!</v>
      </c>
      <c r="FF205" t="e">
        <f>'All regions'!C5138+"n/&gt;!)^a"</f>
        <v>#VALUE!</v>
      </c>
      <c r="FG205" t="e">
        <f>'All regions'!D5138+"n/&gt;!)^b"</f>
        <v>#VALUE!</v>
      </c>
      <c r="FH205" t="e">
        <f>'All regions'!E5138+"n/&gt;!)^c"</f>
        <v>#VALUE!</v>
      </c>
      <c r="FI205" t="e">
        <f>'All regions'!F5138+"n/&gt;!)^d"</f>
        <v>#VALUE!</v>
      </c>
      <c r="FJ205" t="e">
        <f>'All regions'!G5138+"n/&gt;!)^e"</f>
        <v>#VALUE!</v>
      </c>
      <c r="FK205" t="e">
        <f>'All regions'!H5138+"n/&gt;!)^f"</f>
        <v>#VALUE!</v>
      </c>
      <c r="FL205" t="e">
        <f>'All regions'!I5138+"n/&gt;!)^g"</f>
        <v>#VALUE!</v>
      </c>
      <c r="FM205" t="e">
        <f>'All regions'!J5138+"n/&gt;!)^h"</f>
        <v>#VALUE!</v>
      </c>
      <c r="FN205" t="e">
        <f>'All regions'!A5139+"n/&gt;!)^i"</f>
        <v>#VALUE!</v>
      </c>
      <c r="FO205" t="e">
        <f>'All regions'!B5139+"n/&gt;!)^j"</f>
        <v>#VALUE!</v>
      </c>
      <c r="FP205" t="e">
        <f>'All regions'!C5139+"n/&gt;!)^k"</f>
        <v>#VALUE!</v>
      </c>
      <c r="FQ205" t="e">
        <f>'All regions'!D5139+"n/&gt;!)^l"</f>
        <v>#VALUE!</v>
      </c>
      <c r="FR205" t="e">
        <f>'All regions'!E5139+"n/&gt;!)^m"</f>
        <v>#VALUE!</v>
      </c>
      <c r="FS205" t="e">
        <f>'All regions'!F5139+"n/&gt;!)^n"</f>
        <v>#VALUE!</v>
      </c>
      <c r="FT205" t="e">
        <f>'All regions'!G5139+"n/&gt;!)^o"</f>
        <v>#VALUE!</v>
      </c>
      <c r="FU205" t="e">
        <f>'All regions'!H5139+"n/&gt;!)^p"</f>
        <v>#VALUE!</v>
      </c>
      <c r="FV205" t="e">
        <f>'All regions'!I5139+"n/&gt;!)^q"</f>
        <v>#VALUE!</v>
      </c>
      <c r="FW205" t="e">
        <f>'All regions'!J5139+"n/&gt;!)^r"</f>
        <v>#VALUE!</v>
      </c>
      <c r="FX205" t="e">
        <f>'All regions'!A5140+"n/&gt;!)^s"</f>
        <v>#VALUE!</v>
      </c>
      <c r="FY205" t="e">
        <f>'All regions'!B5140+"n/&gt;!)^t"</f>
        <v>#VALUE!</v>
      </c>
      <c r="FZ205" t="e">
        <f>'All regions'!C5140+"n/&gt;!)^u"</f>
        <v>#VALUE!</v>
      </c>
      <c r="GA205" t="e">
        <f>'All regions'!D5140+"n/&gt;!)^v"</f>
        <v>#VALUE!</v>
      </c>
      <c r="GB205" t="e">
        <f>'All regions'!E5140+"n/&gt;!)^w"</f>
        <v>#VALUE!</v>
      </c>
      <c r="GC205" t="e">
        <f>'All regions'!F5140+"n/&gt;!)^x"</f>
        <v>#VALUE!</v>
      </c>
      <c r="GD205" t="e">
        <f>'All regions'!G5140+"n/&gt;!)^y"</f>
        <v>#VALUE!</v>
      </c>
      <c r="GE205" t="e">
        <f>'All regions'!H5140+"n/&gt;!)^z"</f>
        <v>#VALUE!</v>
      </c>
      <c r="GF205" t="e">
        <f>'All regions'!I5140+"n/&gt;!)^{"</f>
        <v>#VALUE!</v>
      </c>
      <c r="GG205" t="e">
        <f>'All regions'!J5140+"n/&gt;!)^|"</f>
        <v>#VALUE!</v>
      </c>
      <c r="GH205" t="e">
        <f>'All regions'!A5141+"n/&gt;!)^}"</f>
        <v>#VALUE!</v>
      </c>
      <c r="GI205" t="e">
        <f>'All regions'!B5141+"n/&gt;!)^~"</f>
        <v>#VALUE!</v>
      </c>
      <c r="GJ205" t="e">
        <f>'All regions'!C5141+"n/&gt;!)_#"</f>
        <v>#VALUE!</v>
      </c>
      <c r="GK205" t="e">
        <f>'All regions'!D5141+"n/&gt;!)_$"</f>
        <v>#VALUE!</v>
      </c>
      <c r="GL205" t="e">
        <f>'All regions'!E5141+"n/&gt;!)_%"</f>
        <v>#VALUE!</v>
      </c>
      <c r="GM205" t="e">
        <f>'All regions'!F5141+"n/&gt;!)_&amp;"</f>
        <v>#VALUE!</v>
      </c>
      <c r="GN205" t="e">
        <f>'All regions'!G5141+"n/&gt;!)_'"</f>
        <v>#VALUE!</v>
      </c>
      <c r="GO205" t="e">
        <f>'All regions'!H5141+"n/&gt;!)_("</f>
        <v>#VALUE!</v>
      </c>
      <c r="GP205" t="e">
        <f>'All regions'!I5141+"n/&gt;!)_)"</f>
        <v>#VALUE!</v>
      </c>
      <c r="GQ205" t="e">
        <f>'All regions'!J5141+"n/&gt;!)_."</f>
        <v>#VALUE!</v>
      </c>
      <c r="GR205" t="e">
        <f>'All regions'!A5142+"n/&gt;!)_/"</f>
        <v>#VALUE!</v>
      </c>
      <c r="GS205" t="e">
        <f>'All regions'!B5142+"n/&gt;!)_0"</f>
        <v>#VALUE!</v>
      </c>
      <c r="GT205" t="e">
        <f>'All regions'!C5142+"n/&gt;!)_1"</f>
        <v>#VALUE!</v>
      </c>
      <c r="GU205" t="e">
        <f>'All regions'!D5142+"n/&gt;!)_2"</f>
        <v>#VALUE!</v>
      </c>
      <c r="GV205" t="e">
        <f>'All regions'!E5142+"n/&gt;!)_3"</f>
        <v>#VALUE!</v>
      </c>
      <c r="GW205" t="e">
        <f>'All regions'!F5142+"n/&gt;!)_4"</f>
        <v>#VALUE!</v>
      </c>
      <c r="GX205" t="e">
        <f>'All regions'!G5142+"n/&gt;!)_5"</f>
        <v>#VALUE!</v>
      </c>
      <c r="GY205" t="e">
        <f>'All regions'!H5142+"n/&gt;!)_6"</f>
        <v>#VALUE!</v>
      </c>
      <c r="GZ205" t="e">
        <f>'All regions'!I5142+"n/&gt;!)_7"</f>
        <v>#VALUE!</v>
      </c>
      <c r="HA205" t="e">
        <f>'All regions'!J5142+"n/&gt;!)_8"</f>
        <v>#VALUE!</v>
      </c>
      <c r="HB205" t="e">
        <f>'All regions'!A5143+"n/&gt;!)_9"</f>
        <v>#VALUE!</v>
      </c>
      <c r="HC205" t="e">
        <f>'All regions'!B5143+"n/&gt;!)_:"</f>
        <v>#VALUE!</v>
      </c>
      <c r="HD205" t="e">
        <f>'All regions'!C5143+"n/&gt;!)_;"</f>
        <v>#VALUE!</v>
      </c>
      <c r="HE205" t="e">
        <f>'All regions'!D5143+"n/&gt;!)_&lt;"</f>
        <v>#VALUE!</v>
      </c>
      <c r="HF205" t="e">
        <f>'All regions'!E5143+"n/&gt;!)_="</f>
        <v>#VALUE!</v>
      </c>
      <c r="HG205" t="e">
        <f>'All regions'!F5143+"n/&gt;!)_&gt;"</f>
        <v>#VALUE!</v>
      </c>
      <c r="HH205" t="e">
        <f>'All regions'!G5143+"n/&gt;!)_?"</f>
        <v>#VALUE!</v>
      </c>
      <c r="HI205" t="e">
        <f>'All regions'!H5143+"n/&gt;!)_@"</f>
        <v>#VALUE!</v>
      </c>
      <c r="HJ205" t="e">
        <f>'All regions'!I5143+"n/&gt;!)_A"</f>
        <v>#VALUE!</v>
      </c>
      <c r="HK205" t="e">
        <f>'All regions'!J5143+"n/&gt;!)_B"</f>
        <v>#VALUE!</v>
      </c>
      <c r="HL205" t="e">
        <f>'All regions'!A5144+"n/&gt;!)_C"</f>
        <v>#VALUE!</v>
      </c>
      <c r="HM205" t="e">
        <f>'All regions'!B5144+"n/&gt;!)_D"</f>
        <v>#VALUE!</v>
      </c>
      <c r="HN205" t="e">
        <f>'All regions'!C5144+"n/&gt;!)_E"</f>
        <v>#VALUE!</v>
      </c>
      <c r="HO205" t="e">
        <f>'All regions'!D5144+"n/&gt;!)_F"</f>
        <v>#VALUE!</v>
      </c>
      <c r="HP205" t="e">
        <f>'All regions'!E5144+"n/&gt;!)_G"</f>
        <v>#VALUE!</v>
      </c>
      <c r="HQ205" t="e">
        <f>'All regions'!F5144+"n/&gt;!)_H"</f>
        <v>#VALUE!</v>
      </c>
      <c r="HR205" t="e">
        <f>'All regions'!G5144+"n/&gt;!)_I"</f>
        <v>#VALUE!</v>
      </c>
      <c r="HS205" t="e">
        <f>'All regions'!H5144+"n/&gt;!)_J"</f>
        <v>#VALUE!</v>
      </c>
      <c r="HT205" t="e">
        <f>'All regions'!I5144+"n/&gt;!)_K"</f>
        <v>#VALUE!</v>
      </c>
      <c r="HU205" t="e">
        <f>'All regions'!J5144+"n/&gt;!)_L"</f>
        <v>#VALUE!</v>
      </c>
      <c r="HV205" t="e">
        <f>'All regions'!A5145+"n/&gt;!)_M"</f>
        <v>#VALUE!</v>
      </c>
      <c r="HW205" t="e">
        <f>'All regions'!B5145+"n/&gt;!)_N"</f>
        <v>#VALUE!</v>
      </c>
      <c r="HX205" t="e">
        <f>'All regions'!C5145+"n/&gt;!)_O"</f>
        <v>#VALUE!</v>
      </c>
      <c r="HY205" t="e">
        <f>'All regions'!D5145+"n/&gt;!)_P"</f>
        <v>#VALUE!</v>
      </c>
      <c r="HZ205" t="e">
        <f>'All regions'!E5145+"n/&gt;!)_Q"</f>
        <v>#VALUE!</v>
      </c>
      <c r="IA205" t="e">
        <f>'All regions'!F5145+"n/&gt;!)_R"</f>
        <v>#VALUE!</v>
      </c>
      <c r="IB205" t="e">
        <f>'All regions'!G5145+"n/&gt;!)_S"</f>
        <v>#VALUE!</v>
      </c>
      <c r="IC205" t="e">
        <f>'All regions'!H5145+"n/&gt;!)_T"</f>
        <v>#VALUE!</v>
      </c>
      <c r="ID205" t="e">
        <f>'All regions'!I5145+"n/&gt;!)_U"</f>
        <v>#VALUE!</v>
      </c>
      <c r="IE205" t="e">
        <f>'All regions'!J5145+"n/&gt;!)_V"</f>
        <v>#VALUE!</v>
      </c>
      <c r="IF205" t="e">
        <f>'All regions'!A5146+"n/&gt;!)_W"</f>
        <v>#VALUE!</v>
      </c>
      <c r="IG205" t="e">
        <f>'All regions'!B5146+"n/&gt;!)_X"</f>
        <v>#VALUE!</v>
      </c>
      <c r="IH205" t="e">
        <f>'All regions'!C5146+"n/&gt;!)_Y"</f>
        <v>#VALUE!</v>
      </c>
      <c r="II205" t="e">
        <f>'All regions'!D5146+"n/&gt;!)_Z"</f>
        <v>#VALUE!</v>
      </c>
      <c r="IJ205" t="e">
        <f>'All regions'!E5146+"n/&gt;!)_["</f>
        <v>#VALUE!</v>
      </c>
      <c r="IK205" t="e">
        <f>'All regions'!F5146+"n/&gt;!)_\"</f>
        <v>#VALUE!</v>
      </c>
      <c r="IL205" t="e">
        <f>'All regions'!G5146+"n/&gt;!)_]"</f>
        <v>#VALUE!</v>
      </c>
      <c r="IM205" t="e">
        <f>'All regions'!H5146+"n/&gt;!)_^"</f>
        <v>#VALUE!</v>
      </c>
      <c r="IN205" t="e">
        <f>'All regions'!I5146+"n/&gt;!)__"</f>
        <v>#VALUE!</v>
      </c>
      <c r="IO205" t="e">
        <f>'All regions'!J5146+"n/&gt;!)_`"</f>
        <v>#VALUE!</v>
      </c>
      <c r="IP205" t="e">
        <f>'All regions'!A5147+"n/&gt;!)_a"</f>
        <v>#VALUE!</v>
      </c>
      <c r="IQ205" t="e">
        <f>'All regions'!B5147+"n/&gt;!)_b"</f>
        <v>#VALUE!</v>
      </c>
      <c r="IR205" t="e">
        <f>'All regions'!C5147+"n/&gt;!)_c"</f>
        <v>#VALUE!</v>
      </c>
      <c r="IS205" t="e">
        <f>'All regions'!D5147+"n/&gt;!)_d"</f>
        <v>#VALUE!</v>
      </c>
      <c r="IT205" t="e">
        <f>'All regions'!E5147+"n/&gt;!)_e"</f>
        <v>#VALUE!</v>
      </c>
      <c r="IU205" t="e">
        <f>'All regions'!F5147+"n/&gt;!)_f"</f>
        <v>#VALUE!</v>
      </c>
      <c r="IV205" t="e">
        <f>'All regions'!G5147+"n/&gt;!)_g"</f>
        <v>#VALUE!</v>
      </c>
    </row>
    <row r="206" spans="6:256" x14ac:dyDescent="0.35">
      <c r="F206" t="e">
        <f>'All regions'!H5147+"n/&gt;!)_h"</f>
        <v>#VALUE!</v>
      </c>
      <c r="G206" t="e">
        <f>'All regions'!I5147+"n/&gt;!)_i"</f>
        <v>#VALUE!</v>
      </c>
      <c r="H206" t="e">
        <f>'All regions'!J5147+"n/&gt;!)_j"</f>
        <v>#VALUE!</v>
      </c>
      <c r="I206" t="e">
        <f>'All regions'!A5148+"n/&gt;!)_k"</f>
        <v>#VALUE!</v>
      </c>
      <c r="J206" t="e">
        <f>'All regions'!B5148+"n/&gt;!)_l"</f>
        <v>#VALUE!</v>
      </c>
      <c r="K206" t="e">
        <f>'All regions'!C5148+"n/&gt;!)_m"</f>
        <v>#VALUE!</v>
      </c>
      <c r="L206" t="e">
        <f>'All regions'!D5148+"n/&gt;!)_n"</f>
        <v>#VALUE!</v>
      </c>
      <c r="M206" t="e">
        <f>'All regions'!E5148+"n/&gt;!)_o"</f>
        <v>#VALUE!</v>
      </c>
      <c r="N206" t="e">
        <f>'All regions'!F5148+"n/&gt;!)_p"</f>
        <v>#VALUE!</v>
      </c>
      <c r="O206" t="e">
        <f>'All regions'!G5148+"n/&gt;!)_q"</f>
        <v>#VALUE!</v>
      </c>
      <c r="P206" t="e">
        <f>'All regions'!H5148+"n/&gt;!)_r"</f>
        <v>#VALUE!</v>
      </c>
      <c r="Q206" t="e">
        <f>'All regions'!I5148+"n/&gt;!)_s"</f>
        <v>#VALUE!</v>
      </c>
      <c r="R206" t="e">
        <f>'All regions'!J5148+"n/&gt;!)_t"</f>
        <v>#VALUE!</v>
      </c>
      <c r="S206" t="e">
        <f>'All regions'!A5149+"n/&gt;!)_u"</f>
        <v>#VALUE!</v>
      </c>
      <c r="T206" t="e">
        <f>'All regions'!B5149+"n/&gt;!)_v"</f>
        <v>#VALUE!</v>
      </c>
      <c r="U206" t="e">
        <f>'All regions'!C5149+"n/&gt;!)_w"</f>
        <v>#VALUE!</v>
      </c>
      <c r="V206" t="e">
        <f>'All regions'!D5149+"n/&gt;!)_x"</f>
        <v>#VALUE!</v>
      </c>
      <c r="W206" t="e">
        <f>'All regions'!E5149+"n/&gt;!)_y"</f>
        <v>#VALUE!</v>
      </c>
      <c r="X206" t="e">
        <f>'All regions'!F5149+"n/&gt;!)_z"</f>
        <v>#VALUE!</v>
      </c>
      <c r="Y206" t="e">
        <f>'All regions'!G5149+"n/&gt;!)_{"</f>
        <v>#VALUE!</v>
      </c>
      <c r="Z206" t="e">
        <f>'All regions'!H5149+"n/&gt;!)_|"</f>
        <v>#VALUE!</v>
      </c>
      <c r="AA206" t="e">
        <f>'All regions'!I5149+"n/&gt;!)_}"</f>
        <v>#VALUE!</v>
      </c>
      <c r="AB206" t="e">
        <f>'All regions'!J5149+"n/&gt;!)_~"</f>
        <v>#VALUE!</v>
      </c>
      <c r="AC206" t="e">
        <f>'All regions'!A5150+"n/&gt;!)`#"</f>
        <v>#VALUE!</v>
      </c>
      <c r="AD206" t="e">
        <f>'All regions'!B5150+"n/&gt;!)`$"</f>
        <v>#VALUE!</v>
      </c>
      <c r="AE206" t="e">
        <f>'All regions'!C5150+"n/&gt;!)`%"</f>
        <v>#VALUE!</v>
      </c>
      <c r="AF206" t="e">
        <f>'All regions'!D5150+"n/&gt;!)`&amp;"</f>
        <v>#VALUE!</v>
      </c>
      <c r="AG206" t="e">
        <f>'All regions'!E5150+"n/&gt;!)`'"</f>
        <v>#VALUE!</v>
      </c>
      <c r="AH206" t="e">
        <f>'All regions'!F5150+"n/&gt;!)`("</f>
        <v>#VALUE!</v>
      </c>
      <c r="AI206" t="e">
        <f>'All regions'!G5150+"n/&gt;!)`)"</f>
        <v>#VALUE!</v>
      </c>
      <c r="AJ206" t="e">
        <f>'All regions'!H5150+"n/&gt;!)`."</f>
        <v>#VALUE!</v>
      </c>
      <c r="AK206" t="e">
        <f>'All regions'!I5150+"n/&gt;!)`/"</f>
        <v>#VALUE!</v>
      </c>
      <c r="AL206" t="e">
        <f>'All regions'!J5150+"n/&gt;!)`0"</f>
        <v>#VALUE!</v>
      </c>
      <c r="AM206" t="e">
        <f>'All regions'!A5151+"n/&gt;!)`1"</f>
        <v>#VALUE!</v>
      </c>
      <c r="AN206" t="e">
        <f>'All regions'!B5151+"n/&gt;!)`2"</f>
        <v>#VALUE!</v>
      </c>
      <c r="AO206" t="e">
        <f>'All regions'!C5151+"n/&gt;!)`3"</f>
        <v>#VALUE!</v>
      </c>
      <c r="AP206" t="e">
        <f>'All regions'!D5151+"n/&gt;!)`4"</f>
        <v>#VALUE!</v>
      </c>
      <c r="AQ206" t="e">
        <f>'All regions'!E5151+"n/&gt;!)`5"</f>
        <v>#VALUE!</v>
      </c>
      <c r="AR206" t="e">
        <f>'All regions'!F5151+"n/&gt;!)`6"</f>
        <v>#VALUE!</v>
      </c>
      <c r="AS206" t="e">
        <f>'All regions'!G5151+"n/&gt;!)`7"</f>
        <v>#VALUE!</v>
      </c>
      <c r="AT206" t="e">
        <f>'All regions'!H5151+"n/&gt;!)`8"</f>
        <v>#VALUE!</v>
      </c>
      <c r="AU206" t="e">
        <f>'All regions'!I5151+"n/&gt;!)`9"</f>
        <v>#VALUE!</v>
      </c>
      <c r="AV206" t="e">
        <f>'All regions'!J5151+"n/&gt;!)`:"</f>
        <v>#VALUE!</v>
      </c>
      <c r="AW206" t="e">
        <f>'All regions'!A5152+"n/&gt;!)`;"</f>
        <v>#VALUE!</v>
      </c>
      <c r="AX206" t="e">
        <f>'All regions'!B5152+"n/&gt;!)`&lt;"</f>
        <v>#VALUE!</v>
      </c>
      <c r="AY206" t="e">
        <f>'All regions'!C5152+"n/&gt;!)`="</f>
        <v>#VALUE!</v>
      </c>
      <c r="AZ206" t="e">
        <f>'All regions'!D5152+"n/&gt;!)`&gt;"</f>
        <v>#VALUE!</v>
      </c>
      <c r="BA206" t="e">
        <f>'All regions'!E5152+"n/&gt;!)`?"</f>
        <v>#VALUE!</v>
      </c>
      <c r="BB206" t="e">
        <f>'All regions'!F5152+"n/&gt;!)`@"</f>
        <v>#VALUE!</v>
      </c>
      <c r="BC206" t="e">
        <f>'All regions'!G5152+"n/&gt;!)`A"</f>
        <v>#VALUE!</v>
      </c>
      <c r="BD206" t="e">
        <f>'All regions'!H5152+"n/&gt;!)`B"</f>
        <v>#VALUE!</v>
      </c>
      <c r="BE206" t="e">
        <f>'All regions'!I5152+"n/&gt;!)`C"</f>
        <v>#VALUE!</v>
      </c>
      <c r="BF206" t="e">
        <f>'All regions'!J5152+"n/&gt;!)`D"</f>
        <v>#VALUE!</v>
      </c>
      <c r="BG206" t="e">
        <f>'All regions'!A5153+"n/&gt;!)`E"</f>
        <v>#VALUE!</v>
      </c>
      <c r="BH206" t="e">
        <f>'All regions'!B5153+"n/&gt;!)`F"</f>
        <v>#VALUE!</v>
      </c>
      <c r="BI206" t="e">
        <f>'All regions'!C5153+"n/&gt;!)`G"</f>
        <v>#VALUE!</v>
      </c>
      <c r="BJ206" t="e">
        <f>'All regions'!D5153+"n/&gt;!)`H"</f>
        <v>#VALUE!</v>
      </c>
      <c r="BK206" t="e">
        <f>'All regions'!E5153+"n/&gt;!)`I"</f>
        <v>#VALUE!</v>
      </c>
      <c r="BL206" t="e">
        <f>'All regions'!F5153+"n/&gt;!)`J"</f>
        <v>#VALUE!</v>
      </c>
      <c r="BM206" t="e">
        <f>'All regions'!G5153+"n/&gt;!)`K"</f>
        <v>#VALUE!</v>
      </c>
      <c r="BN206" t="e">
        <f>'All regions'!H5153+"n/&gt;!)`L"</f>
        <v>#VALUE!</v>
      </c>
      <c r="BO206" t="e">
        <f>'All regions'!I5153+"n/&gt;!)`M"</f>
        <v>#VALUE!</v>
      </c>
      <c r="BP206" t="e">
        <f>'All regions'!J5153+"n/&gt;!)`N"</f>
        <v>#VALUE!</v>
      </c>
      <c r="BQ206" t="e">
        <f>'All regions'!A5154+"n/&gt;!)`O"</f>
        <v>#VALUE!</v>
      </c>
      <c r="BR206" t="e">
        <f>'All regions'!B5154+"n/&gt;!)`P"</f>
        <v>#VALUE!</v>
      </c>
      <c r="BS206" t="e">
        <f>'All regions'!C5154+"n/&gt;!)`Q"</f>
        <v>#VALUE!</v>
      </c>
      <c r="BT206" t="e">
        <f>'All regions'!D5154+"n/&gt;!)`R"</f>
        <v>#VALUE!</v>
      </c>
      <c r="BU206" t="e">
        <f>'All regions'!E5154+"n/&gt;!)`S"</f>
        <v>#VALUE!</v>
      </c>
      <c r="BV206" t="e">
        <f>'All regions'!F5154+"n/&gt;!)`T"</f>
        <v>#VALUE!</v>
      </c>
      <c r="BW206" t="e">
        <f>'All regions'!G5154+"n/&gt;!)`U"</f>
        <v>#VALUE!</v>
      </c>
      <c r="BX206" t="e">
        <f>'All regions'!H5154+"n/&gt;!)`V"</f>
        <v>#VALUE!</v>
      </c>
      <c r="BY206" t="e">
        <f>'All regions'!I5154+"n/&gt;!)`W"</f>
        <v>#VALUE!</v>
      </c>
      <c r="BZ206" t="e">
        <f>'All regions'!J5154+"n/&gt;!)`X"</f>
        <v>#VALUE!</v>
      </c>
      <c r="CA206" t="e">
        <f>'All regions'!A5155+"n/&gt;!)`Y"</f>
        <v>#VALUE!</v>
      </c>
      <c r="CB206" t="e">
        <f>'All regions'!B5155+"n/&gt;!)`Z"</f>
        <v>#VALUE!</v>
      </c>
      <c r="CC206" t="e">
        <f>'All regions'!C5155+"n/&gt;!)`["</f>
        <v>#VALUE!</v>
      </c>
      <c r="CD206" t="e">
        <f>'All regions'!D5155+"n/&gt;!)`\"</f>
        <v>#VALUE!</v>
      </c>
      <c r="CE206" t="e">
        <f>'All regions'!E5155+"n/&gt;!)`]"</f>
        <v>#VALUE!</v>
      </c>
      <c r="CF206" t="e">
        <f>'All regions'!F5155+"n/&gt;!)`^"</f>
        <v>#VALUE!</v>
      </c>
      <c r="CG206" t="e">
        <f>'All regions'!G5155+"n/&gt;!)`_"</f>
        <v>#VALUE!</v>
      </c>
      <c r="CH206" t="e">
        <f>'All regions'!H5155+"n/&gt;!)``"</f>
        <v>#VALUE!</v>
      </c>
      <c r="CI206" t="e">
        <f>'All regions'!I5155+"n/&gt;!)`a"</f>
        <v>#VALUE!</v>
      </c>
      <c r="CJ206" t="e">
        <f>'All regions'!J5155+"n/&gt;!)`b"</f>
        <v>#VALUE!</v>
      </c>
      <c r="CK206" t="e">
        <f>'All regions'!A5156+"n/&gt;!)`c"</f>
        <v>#VALUE!</v>
      </c>
      <c r="CL206" t="e">
        <f>'All regions'!B5156+"n/&gt;!)`d"</f>
        <v>#VALUE!</v>
      </c>
      <c r="CM206" t="e">
        <f>'All regions'!C5156+"n/&gt;!)`e"</f>
        <v>#VALUE!</v>
      </c>
      <c r="CN206" t="e">
        <f>'All regions'!D5156+"n/&gt;!)`f"</f>
        <v>#VALUE!</v>
      </c>
      <c r="CO206" t="e">
        <f>'All regions'!E5156+"n/&gt;!)`g"</f>
        <v>#VALUE!</v>
      </c>
      <c r="CP206" t="e">
        <f>'All regions'!F5156+"n/&gt;!)`h"</f>
        <v>#VALUE!</v>
      </c>
      <c r="CQ206" t="e">
        <f>'All regions'!G5156+"n/&gt;!)`i"</f>
        <v>#VALUE!</v>
      </c>
      <c r="CR206" t="e">
        <f>'All regions'!H5156+"n/&gt;!)`j"</f>
        <v>#VALUE!</v>
      </c>
      <c r="CS206" t="e">
        <f>'All regions'!I5156+"n/&gt;!)`k"</f>
        <v>#VALUE!</v>
      </c>
      <c r="CT206" t="e">
        <f>'All regions'!J5156+"n/&gt;!)`l"</f>
        <v>#VALUE!</v>
      </c>
      <c r="CU206" t="e">
        <f>'All regions'!A5157+"n/&gt;!)`m"</f>
        <v>#VALUE!</v>
      </c>
      <c r="CV206" t="e">
        <f>'All regions'!B5157+"n/&gt;!)`n"</f>
        <v>#VALUE!</v>
      </c>
      <c r="CW206" t="e">
        <f>'All regions'!C5157+"n/&gt;!)`o"</f>
        <v>#VALUE!</v>
      </c>
      <c r="CX206" t="e">
        <f>'All regions'!D5157+"n/&gt;!)`p"</f>
        <v>#VALUE!</v>
      </c>
      <c r="CY206" t="e">
        <f>'All regions'!E5157+"n/&gt;!)`q"</f>
        <v>#VALUE!</v>
      </c>
      <c r="CZ206" t="e">
        <f>'All regions'!F5157+"n/&gt;!)`r"</f>
        <v>#VALUE!</v>
      </c>
      <c r="DA206" t="e">
        <f>'All regions'!G5157+"n/&gt;!)`s"</f>
        <v>#VALUE!</v>
      </c>
      <c r="DB206" t="e">
        <f>'All regions'!H5157+"n/&gt;!)`t"</f>
        <v>#VALUE!</v>
      </c>
      <c r="DC206" t="e">
        <f>'All regions'!I5157+"n/&gt;!)`u"</f>
        <v>#VALUE!</v>
      </c>
      <c r="DD206" t="e">
        <f>'All regions'!J5157+"n/&gt;!)`v"</f>
        <v>#VALUE!</v>
      </c>
      <c r="DE206" t="e">
        <f>'All regions'!A5158+"n/&gt;!)`w"</f>
        <v>#VALUE!</v>
      </c>
      <c r="DF206" t="e">
        <f>'All regions'!B5158+"n/&gt;!)`x"</f>
        <v>#VALUE!</v>
      </c>
      <c r="DG206" t="e">
        <f>'All regions'!C5158+"n/&gt;!)`y"</f>
        <v>#VALUE!</v>
      </c>
      <c r="DH206" t="e">
        <f>'All regions'!D5158+"n/&gt;!)`z"</f>
        <v>#VALUE!</v>
      </c>
      <c r="DI206" t="e">
        <f>'All regions'!E5158+"n/&gt;!)`{"</f>
        <v>#VALUE!</v>
      </c>
      <c r="DJ206" t="e">
        <f>'All regions'!F5158+"n/&gt;!)`|"</f>
        <v>#VALUE!</v>
      </c>
      <c r="DK206" t="e">
        <f>'All regions'!G5158+"n/&gt;!)`}"</f>
        <v>#VALUE!</v>
      </c>
      <c r="DL206" t="e">
        <f>'All regions'!H5158+"n/&gt;!)`~"</f>
        <v>#VALUE!</v>
      </c>
      <c r="DM206" t="e">
        <f>'All regions'!I5158+"n/&gt;!)a#"</f>
        <v>#VALUE!</v>
      </c>
      <c r="DN206" t="e">
        <f>'All regions'!J5158+"n/&gt;!)a$"</f>
        <v>#VALUE!</v>
      </c>
      <c r="DO206" t="e">
        <f>'All regions'!A5159+"n/&gt;!)a%"</f>
        <v>#VALUE!</v>
      </c>
      <c r="DP206" t="e">
        <f>'All regions'!B5159+"n/&gt;!)a&amp;"</f>
        <v>#VALUE!</v>
      </c>
      <c r="DQ206" t="e">
        <f>'All regions'!C5159+"n/&gt;!)a'"</f>
        <v>#VALUE!</v>
      </c>
      <c r="DR206" t="e">
        <f>'All regions'!D5159+"n/&gt;!)a("</f>
        <v>#VALUE!</v>
      </c>
      <c r="DS206" t="e">
        <f>'All regions'!E5159+"n/&gt;!)a)"</f>
        <v>#VALUE!</v>
      </c>
      <c r="DT206" t="e">
        <f>'All regions'!F5159+"n/&gt;!)a."</f>
        <v>#VALUE!</v>
      </c>
      <c r="DU206" t="e">
        <f>'All regions'!G5159+"n/&gt;!)a/"</f>
        <v>#VALUE!</v>
      </c>
      <c r="DV206" t="e">
        <f>'All regions'!H5159+"n/&gt;!)a0"</f>
        <v>#VALUE!</v>
      </c>
      <c r="DW206" t="e">
        <f>'All regions'!I5159+"n/&gt;!)a1"</f>
        <v>#VALUE!</v>
      </c>
      <c r="DX206" t="e">
        <f>'All regions'!J5159+"n/&gt;!)a2"</f>
        <v>#VALUE!</v>
      </c>
      <c r="DY206" t="e">
        <f>'All regions'!A5160+"n/&gt;!)a3"</f>
        <v>#VALUE!</v>
      </c>
      <c r="DZ206" t="e">
        <f>'All regions'!B5160+"n/&gt;!)a4"</f>
        <v>#VALUE!</v>
      </c>
      <c r="EA206" t="e">
        <f>'All regions'!C5160+"n/&gt;!)a5"</f>
        <v>#VALUE!</v>
      </c>
      <c r="EB206" t="e">
        <f>'All regions'!D5160+"n/&gt;!)a6"</f>
        <v>#VALUE!</v>
      </c>
      <c r="EC206" t="e">
        <f>'All regions'!E5160+"n/&gt;!)a7"</f>
        <v>#VALUE!</v>
      </c>
      <c r="ED206" t="e">
        <f>'All regions'!F5160+"n/&gt;!)a8"</f>
        <v>#VALUE!</v>
      </c>
      <c r="EE206" t="e">
        <f>'All regions'!G5160+"n/&gt;!)a9"</f>
        <v>#VALUE!</v>
      </c>
      <c r="EF206" t="e">
        <f>'All regions'!H5160+"n/&gt;!)a:"</f>
        <v>#VALUE!</v>
      </c>
      <c r="EG206" t="e">
        <f>'All regions'!I5160+"n/&gt;!)a;"</f>
        <v>#VALUE!</v>
      </c>
      <c r="EH206" t="e">
        <f>'All regions'!J5160+"n/&gt;!)a&lt;"</f>
        <v>#VALUE!</v>
      </c>
      <c r="EI206" t="e">
        <f>'All regions'!A5161+"n/&gt;!)a="</f>
        <v>#VALUE!</v>
      </c>
      <c r="EJ206" t="e">
        <f>'All regions'!B5161+"n/&gt;!)a&gt;"</f>
        <v>#VALUE!</v>
      </c>
      <c r="EK206" t="e">
        <f>'All regions'!C5161+"n/&gt;!)a?"</f>
        <v>#VALUE!</v>
      </c>
      <c r="EL206" t="e">
        <f>'All regions'!D5161+"n/&gt;!)a@"</f>
        <v>#VALUE!</v>
      </c>
      <c r="EM206" t="e">
        <f>'All regions'!E5161+"n/&gt;!)aA"</f>
        <v>#VALUE!</v>
      </c>
      <c r="EN206" t="e">
        <f>'All regions'!F5161+"n/&gt;!)aB"</f>
        <v>#VALUE!</v>
      </c>
      <c r="EO206" t="e">
        <f>'All regions'!G5161+"n/&gt;!)aC"</f>
        <v>#VALUE!</v>
      </c>
      <c r="EP206" t="e">
        <f>'All regions'!H5161+"n/&gt;!)aD"</f>
        <v>#VALUE!</v>
      </c>
      <c r="EQ206" t="e">
        <f>'All regions'!I5161+"n/&gt;!)aE"</f>
        <v>#VALUE!</v>
      </c>
      <c r="ER206" t="e">
        <f>'All regions'!J5161+"n/&gt;!)aF"</f>
        <v>#VALUE!</v>
      </c>
      <c r="ES206" t="e">
        <f>'All regions'!A5162+"n/&gt;!)aG"</f>
        <v>#VALUE!</v>
      </c>
      <c r="ET206" t="e">
        <f>'All regions'!B5162+"n/&gt;!)aH"</f>
        <v>#VALUE!</v>
      </c>
      <c r="EU206" t="e">
        <f>'All regions'!C5162+"n/&gt;!)aI"</f>
        <v>#VALUE!</v>
      </c>
      <c r="EV206" t="e">
        <f>'All regions'!D5162+"n/&gt;!)aJ"</f>
        <v>#VALUE!</v>
      </c>
      <c r="EW206" t="e">
        <f>'All regions'!E5162+"n/&gt;!)aK"</f>
        <v>#VALUE!</v>
      </c>
      <c r="EX206" t="e">
        <f>'All regions'!F5162+"n/&gt;!)aL"</f>
        <v>#VALUE!</v>
      </c>
      <c r="EY206" t="e">
        <f>'All regions'!G5162+"n/&gt;!)aM"</f>
        <v>#VALUE!</v>
      </c>
      <c r="EZ206" t="e">
        <f>'All regions'!H5162+"n/&gt;!)aN"</f>
        <v>#VALUE!</v>
      </c>
      <c r="FA206" t="e">
        <f>'All regions'!I5162+"n/&gt;!)aO"</f>
        <v>#VALUE!</v>
      </c>
      <c r="FB206" t="e">
        <f>'All regions'!J5162+"n/&gt;!)aP"</f>
        <v>#VALUE!</v>
      </c>
      <c r="FC206" t="e">
        <f>'All regions'!A5163+"n/&gt;!)aQ"</f>
        <v>#VALUE!</v>
      </c>
      <c r="FD206" t="e">
        <f>'All regions'!B5163+"n/&gt;!)aR"</f>
        <v>#VALUE!</v>
      </c>
      <c r="FE206" t="e">
        <f>'All regions'!C5163+"n/&gt;!)aS"</f>
        <v>#VALUE!</v>
      </c>
      <c r="FF206" t="e">
        <f>'All regions'!D5163+"n/&gt;!)aT"</f>
        <v>#VALUE!</v>
      </c>
      <c r="FG206" t="e">
        <f>'All regions'!E5163+"n/&gt;!)aU"</f>
        <v>#VALUE!</v>
      </c>
      <c r="FH206" t="e">
        <f>'All regions'!F5163+"n/&gt;!)aV"</f>
        <v>#VALUE!</v>
      </c>
      <c r="FI206" t="e">
        <f>'All regions'!G5163+"n/&gt;!)aW"</f>
        <v>#VALUE!</v>
      </c>
      <c r="FJ206" t="e">
        <f>'All regions'!H5163+"n/&gt;!)aX"</f>
        <v>#VALUE!</v>
      </c>
      <c r="FK206" t="e">
        <f>'All regions'!I5163+"n/&gt;!)aY"</f>
        <v>#VALUE!</v>
      </c>
      <c r="FL206" t="e">
        <f>'All regions'!J5163+"n/&gt;!)aZ"</f>
        <v>#VALUE!</v>
      </c>
      <c r="FM206" t="e">
        <f>'All regions'!A5164+"n/&gt;!)a["</f>
        <v>#VALUE!</v>
      </c>
      <c r="FN206" t="e">
        <f>'All regions'!B5164+"n/&gt;!)a\"</f>
        <v>#VALUE!</v>
      </c>
      <c r="FO206" t="e">
        <f>'All regions'!C5164+"n/&gt;!)a]"</f>
        <v>#VALUE!</v>
      </c>
      <c r="FP206" t="e">
        <f>'All regions'!D5164+"n/&gt;!)a^"</f>
        <v>#VALUE!</v>
      </c>
      <c r="FQ206" t="e">
        <f>'All regions'!E5164+"n/&gt;!)a_"</f>
        <v>#VALUE!</v>
      </c>
      <c r="FR206" t="e">
        <f>'All regions'!F5164+"n/&gt;!)a`"</f>
        <v>#VALUE!</v>
      </c>
      <c r="FS206" t="e">
        <f>'All regions'!G5164+"n/&gt;!)aa"</f>
        <v>#VALUE!</v>
      </c>
      <c r="FT206" t="e">
        <f>'All regions'!H5164+"n/&gt;!)ab"</f>
        <v>#VALUE!</v>
      </c>
      <c r="FU206" t="e">
        <f>'All regions'!I5164+"n/&gt;!)ac"</f>
        <v>#VALUE!</v>
      </c>
      <c r="FV206" t="e">
        <f>'All regions'!J5164+"n/&gt;!)ad"</f>
        <v>#VALUE!</v>
      </c>
      <c r="FW206" t="e">
        <f>'All regions'!A5165+"n/&gt;!)ae"</f>
        <v>#VALUE!</v>
      </c>
      <c r="FX206" t="e">
        <f>'All regions'!B5165+"n/&gt;!)af"</f>
        <v>#VALUE!</v>
      </c>
      <c r="FY206" t="e">
        <f>'All regions'!C5165+"n/&gt;!)ag"</f>
        <v>#VALUE!</v>
      </c>
      <c r="FZ206" t="e">
        <f>'All regions'!D5165+"n/&gt;!)ah"</f>
        <v>#VALUE!</v>
      </c>
      <c r="GA206" t="e">
        <f>'All regions'!E5165+"n/&gt;!)ai"</f>
        <v>#VALUE!</v>
      </c>
      <c r="GB206" t="e">
        <f>'All regions'!F5165+"n/&gt;!)aj"</f>
        <v>#VALUE!</v>
      </c>
      <c r="GC206" t="e">
        <f>'All regions'!G5165+"n/&gt;!)ak"</f>
        <v>#VALUE!</v>
      </c>
      <c r="GD206" t="e">
        <f>'All regions'!H5165+"n/&gt;!)al"</f>
        <v>#VALUE!</v>
      </c>
      <c r="GE206" t="e">
        <f>'All regions'!I5165+"n/&gt;!)am"</f>
        <v>#VALUE!</v>
      </c>
      <c r="GF206" t="e">
        <f>'All regions'!J5165+"n/&gt;!)an"</f>
        <v>#VALUE!</v>
      </c>
      <c r="GG206" t="e">
        <f>'All regions'!A5166+"n/&gt;!)ao"</f>
        <v>#VALUE!</v>
      </c>
      <c r="GH206" t="e">
        <f>'All regions'!B5166+"n/&gt;!)ap"</f>
        <v>#VALUE!</v>
      </c>
      <c r="GI206" t="e">
        <f>'All regions'!C5166+"n/&gt;!)aq"</f>
        <v>#VALUE!</v>
      </c>
      <c r="GJ206" t="e">
        <f>'All regions'!D5166+"n/&gt;!)ar"</f>
        <v>#VALUE!</v>
      </c>
      <c r="GK206" t="e">
        <f>'All regions'!E5166+"n/&gt;!)as"</f>
        <v>#VALUE!</v>
      </c>
      <c r="GL206" t="e">
        <f>'All regions'!F5166+"n/&gt;!)at"</f>
        <v>#VALUE!</v>
      </c>
      <c r="GM206" t="e">
        <f>'All regions'!G5166+"n/&gt;!)au"</f>
        <v>#VALUE!</v>
      </c>
      <c r="GN206" t="e">
        <f>'All regions'!H5166+"n/&gt;!)av"</f>
        <v>#VALUE!</v>
      </c>
      <c r="GO206" t="e">
        <f>'All regions'!I5166+"n/&gt;!)aw"</f>
        <v>#VALUE!</v>
      </c>
      <c r="GP206" t="e">
        <f>'All regions'!J5166+"n/&gt;!)ax"</f>
        <v>#VALUE!</v>
      </c>
      <c r="GQ206" t="e">
        <f>'All regions'!A5167+"n/&gt;!)ay"</f>
        <v>#VALUE!</v>
      </c>
      <c r="GR206" t="e">
        <f>'All regions'!B5167+"n/&gt;!)az"</f>
        <v>#VALUE!</v>
      </c>
      <c r="GS206" t="e">
        <f>'All regions'!C5167+"n/&gt;!)a{"</f>
        <v>#VALUE!</v>
      </c>
      <c r="GT206" t="e">
        <f>'All regions'!D5167+"n/&gt;!)a|"</f>
        <v>#VALUE!</v>
      </c>
      <c r="GU206" t="e">
        <f>'All regions'!E5167+"n/&gt;!)a}"</f>
        <v>#VALUE!</v>
      </c>
      <c r="GV206" t="e">
        <f>'All regions'!F5167+"n/&gt;!)a~"</f>
        <v>#VALUE!</v>
      </c>
      <c r="GW206" t="e">
        <f>'All regions'!G5167+"n/&gt;!)b#"</f>
        <v>#VALUE!</v>
      </c>
      <c r="GX206" t="e">
        <f>'All regions'!H5167+"n/&gt;!)b$"</f>
        <v>#VALUE!</v>
      </c>
      <c r="GY206" t="e">
        <f>'All regions'!I5167+"n/&gt;!)b%"</f>
        <v>#VALUE!</v>
      </c>
      <c r="GZ206" t="e">
        <f>'All regions'!J5167+"n/&gt;!)b&amp;"</f>
        <v>#VALUE!</v>
      </c>
      <c r="HA206" t="e">
        <f>'All regions'!A5168+"n/&gt;!)b'"</f>
        <v>#VALUE!</v>
      </c>
      <c r="HB206" t="e">
        <f>'All regions'!B5168+"n/&gt;!)b("</f>
        <v>#VALUE!</v>
      </c>
      <c r="HC206" t="e">
        <f>'All regions'!C5168+"n/&gt;!)b)"</f>
        <v>#VALUE!</v>
      </c>
      <c r="HD206" t="e">
        <f>'All regions'!D5168+"n/&gt;!)b."</f>
        <v>#VALUE!</v>
      </c>
      <c r="HE206" t="e">
        <f>'All regions'!E5168+"n/&gt;!)b/"</f>
        <v>#VALUE!</v>
      </c>
      <c r="HF206" t="e">
        <f>'All regions'!F5168+"n/&gt;!)b0"</f>
        <v>#VALUE!</v>
      </c>
      <c r="HG206" t="e">
        <f>'All regions'!G5168+"n/&gt;!)b1"</f>
        <v>#VALUE!</v>
      </c>
      <c r="HH206" t="e">
        <f>'All regions'!H5168+"n/&gt;!)b2"</f>
        <v>#VALUE!</v>
      </c>
      <c r="HI206" t="e">
        <f>'All regions'!I5168+"n/&gt;!)b3"</f>
        <v>#VALUE!</v>
      </c>
      <c r="HJ206" t="e">
        <f>'All regions'!J5168+"n/&gt;!)b4"</f>
        <v>#VALUE!</v>
      </c>
      <c r="HK206" t="e">
        <f>'All regions'!A5169+"n/&gt;!)b5"</f>
        <v>#VALUE!</v>
      </c>
      <c r="HL206" t="e">
        <f>'All regions'!B5169+"n/&gt;!)b6"</f>
        <v>#VALUE!</v>
      </c>
      <c r="HM206" t="e">
        <f>'All regions'!C5169+"n/&gt;!)b7"</f>
        <v>#VALUE!</v>
      </c>
      <c r="HN206" t="e">
        <f>'All regions'!D5169+"n/&gt;!)b8"</f>
        <v>#VALUE!</v>
      </c>
      <c r="HO206" t="e">
        <f>'All regions'!E5169+"n/&gt;!)b9"</f>
        <v>#VALUE!</v>
      </c>
      <c r="HP206" t="e">
        <f>'All regions'!F5169+"n/&gt;!)b:"</f>
        <v>#VALUE!</v>
      </c>
      <c r="HQ206" t="e">
        <f>'All regions'!G5169+"n/&gt;!)b;"</f>
        <v>#VALUE!</v>
      </c>
      <c r="HR206" t="e">
        <f>'All regions'!H5169+"n/&gt;!)b&lt;"</f>
        <v>#VALUE!</v>
      </c>
      <c r="HS206" t="e">
        <f>'All regions'!I5169+"n/&gt;!)b="</f>
        <v>#VALUE!</v>
      </c>
      <c r="HT206" t="e">
        <f>'All regions'!J5169+"n/&gt;!)b&gt;"</f>
        <v>#VALUE!</v>
      </c>
      <c r="HU206" t="e">
        <f>'All regions'!A5170+"n/&gt;!)b?"</f>
        <v>#VALUE!</v>
      </c>
      <c r="HV206" t="e">
        <f>'All regions'!B5170+"n/&gt;!)b@"</f>
        <v>#VALUE!</v>
      </c>
      <c r="HW206" t="e">
        <f>'All regions'!C5170+"n/&gt;!)bA"</f>
        <v>#VALUE!</v>
      </c>
      <c r="HX206" t="e">
        <f>'All regions'!D5170+"n/&gt;!)bB"</f>
        <v>#VALUE!</v>
      </c>
      <c r="HY206" t="e">
        <f>'All regions'!E5170+"n/&gt;!)bC"</f>
        <v>#VALUE!</v>
      </c>
      <c r="HZ206" t="e">
        <f>'All regions'!F5170+"n/&gt;!)bD"</f>
        <v>#VALUE!</v>
      </c>
      <c r="IA206" t="e">
        <f>'All regions'!G5170+"n/&gt;!)bE"</f>
        <v>#VALUE!</v>
      </c>
      <c r="IB206" t="e">
        <f>'All regions'!H5170+"n/&gt;!)bF"</f>
        <v>#VALUE!</v>
      </c>
      <c r="IC206" t="e">
        <f>'All regions'!I5170+"n/&gt;!)bG"</f>
        <v>#VALUE!</v>
      </c>
      <c r="ID206" t="e">
        <f>'All regions'!J5170+"n/&gt;!)bH"</f>
        <v>#VALUE!</v>
      </c>
      <c r="IE206" t="e">
        <f>'All regions'!A5171+"n/&gt;!)bI"</f>
        <v>#VALUE!</v>
      </c>
      <c r="IF206" t="e">
        <f>'All regions'!B5171+"n/&gt;!)bJ"</f>
        <v>#VALUE!</v>
      </c>
      <c r="IG206" t="e">
        <f>'All regions'!C5171+"n/&gt;!)bK"</f>
        <v>#VALUE!</v>
      </c>
      <c r="IH206" t="e">
        <f>'All regions'!D5171+"n/&gt;!)bL"</f>
        <v>#VALUE!</v>
      </c>
      <c r="II206" t="e">
        <f>'All regions'!E5171+"n/&gt;!)bM"</f>
        <v>#VALUE!</v>
      </c>
      <c r="IJ206" t="e">
        <f>'All regions'!F5171+"n/&gt;!)bN"</f>
        <v>#VALUE!</v>
      </c>
      <c r="IK206" t="e">
        <f>'All regions'!G5171+"n/&gt;!)bO"</f>
        <v>#VALUE!</v>
      </c>
      <c r="IL206" t="e">
        <f>'All regions'!H5171+"n/&gt;!)bP"</f>
        <v>#VALUE!</v>
      </c>
      <c r="IM206" t="e">
        <f>'All regions'!I5171+"n/&gt;!)bQ"</f>
        <v>#VALUE!</v>
      </c>
      <c r="IN206" t="e">
        <f>'All regions'!J5171+"n/&gt;!)bR"</f>
        <v>#VALUE!</v>
      </c>
      <c r="IO206" t="e">
        <f>'All regions'!A5172+"n/&gt;!)bS"</f>
        <v>#VALUE!</v>
      </c>
      <c r="IP206" t="e">
        <f>'All regions'!B5172+"n/&gt;!)bT"</f>
        <v>#VALUE!</v>
      </c>
      <c r="IQ206" t="e">
        <f>'All regions'!C5172+"n/&gt;!)bU"</f>
        <v>#VALUE!</v>
      </c>
      <c r="IR206" t="e">
        <f>'All regions'!D5172+"n/&gt;!)bV"</f>
        <v>#VALUE!</v>
      </c>
      <c r="IS206" t="e">
        <f>'All regions'!E5172+"n/&gt;!)bW"</f>
        <v>#VALUE!</v>
      </c>
      <c r="IT206" t="e">
        <f>'All regions'!F5172+"n/&gt;!)bX"</f>
        <v>#VALUE!</v>
      </c>
      <c r="IU206" t="e">
        <f>'All regions'!G5172+"n/&gt;!)bY"</f>
        <v>#VALUE!</v>
      </c>
      <c r="IV206" t="e">
        <f>'All regions'!H5172+"n/&gt;!)bZ"</f>
        <v>#VALUE!</v>
      </c>
    </row>
    <row r="207" spans="6:256" x14ac:dyDescent="0.35">
      <c r="F207" t="e">
        <f>'All regions'!I5172+"n/&gt;!)b["</f>
        <v>#VALUE!</v>
      </c>
      <c r="G207" t="e">
        <f>'All regions'!J5172+"n/&gt;!)b\"</f>
        <v>#VALUE!</v>
      </c>
      <c r="H207" t="e">
        <f>'All regions'!A5173+"n/&gt;!)b]"</f>
        <v>#VALUE!</v>
      </c>
      <c r="I207" t="e">
        <f>'All regions'!B5173+"n/&gt;!)b^"</f>
        <v>#VALUE!</v>
      </c>
      <c r="J207" t="e">
        <f>'All regions'!C5173+"n/&gt;!)b_"</f>
        <v>#VALUE!</v>
      </c>
      <c r="K207" t="e">
        <f>'All regions'!D5173+"n/&gt;!)b`"</f>
        <v>#VALUE!</v>
      </c>
      <c r="L207" t="e">
        <f>'All regions'!E5173+"n/&gt;!)ba"</f>
        <v>#VALUE!</v>
      </c>
      <c r="M207" t="e">
        <f>'All regions'!F5173+"n/&gt;!)bb"</f>
        <v>#VALUE!</v>
      </c>
      <c r="N207" t="e">
        <f>'All regions'!G5173+"n/&gt;!)bc"</f>
        <v>#VALUE!</v>
      </c>
      <c r="O207" t="e">
        <f>'All regions'!H5173+"n/&gt;!)bd"</f>
        <v>#VALUE!</v>
      </c>
      <c r="P207" t="e">
        <f>'All regions'!I5173+"n/&gt;!)be"</f>
        <v>#VALUE!</v>
      </c>
      <c r="Q207" t="e">
        <f>'All regions'!J5173+"n/&gt;!)bf"</f>
        <v>#VALUE!</v>
      </c>
      <c r="R207" t="e">
        <f>'All regions'!A5174+"n/&gt;!)bg"</f>
        <v>#VALUE!</v>
      </c>
      <c r="S207" t="e">
        <f>'All regions'!B5174+"n/&gt;!)bh"</f>
        <v>#VALUE!</v>
      </c>
      <c r="T207" t="e">
        <f>'All regions'!C5174+"n/&gt;!)bi"</f>
        <v>#VALUE!</v>
      </c>
      <c r="U207" t="e">
        <f>'All regions'!D5174+"n/&gt;!)bj"</f>
        <v>#VALUE!</v>
      </c>
      <c r="V207" t="e">
        <f>'All regions'!E5174+"n/&gt;!)bk"</f>
        <v>#VALUE!</v>
      </c>
      <c r="W207" t="e">
        <f>'All regions'!F5174+"n/&gt;!)bl"</f>
        <v>#VALUE!</v>
      </c>
      <c r="X207" t="e">
        <f>'All regions'!G5174+"n/&gt;!)bm"</f>
        <v>#VALUE!</v>
      </c>
      <c r="Y207" t="e">
        <f>'All regions'!H5174+"n/&gt;!)bn"</f>
        <v>#VALUE!</v>
      </c>
      <c r="Z207" t="e">
        <f>'All regions'!I5174+"n/&gt;!)bo"</f>
        <v>#VALUE!</v>
      </c>
      <c r="AA207" t="e">
        <f>'All regions'!J5174+"n/&gt;!)bp"</f>
        <v>#VALUE!</v>
      </c>
      <c r="AB207" t="e">
        <f>'All regions'!A5175+"n/&gt;!)bq"</f>
        <v>#VALUE!</v>
      </c>
      <c r="AC207" t="e">
        <f>'All regions'!B5175+"n/&gt;!)br"</f>
        <v>#VALUE!</v>
      </c>
      <c r="AD207" t="e">
        <f>'All regions'!C5175+"n/&gt;!)bs"</f>
        <v>#VALUE!</v>
      </c>
      <c r="AE207" t="e">
        <f>'All regions'!D5175+"n/&gt;!)bt"</f>
        <v>#VALUE!</v>
      </c>
      <c r="AF207" t="e">
        <f>'All regions'!E5175+"n/&gt;!)bu"</f>
        <v>#VALUE!</v>
      </c>
      <c r="AG207" t="e">
        <f>'All regions'!F5175+"n/&gt;!)bv"</f>
        <v>#VALUE!</v>
      </c>
      <c r="AH207" t="e">
        <f>'All regions'!G5175+"n/&gt;!)bw"</f>
        <v>#VALUE!</v>
      </c>
      <c r="AI207" t="e">
        <f>'All regions'!H5175+"n/&gt;!)bx"</f>
        <v>#VALUE!</v>
      </c>
      <c r="AJ207" t="e">
        <f>'All regions'!I5175+"n/&gt;!)by"</f>
        <v>#VALUE!</v>
      </c>
      <c r="AK207" t="e">
        <f>'All regions'!J5175+"n/&gt;!)bz"</f>
        <v>#VALUE!</v>
      </c>
      <c r="AL207" t="e">
        <f>'All regions'!A5176+"n/&gt;!)b{"</f>
        <v>#VALUE!</v>
      </c>
      <c r="AM207" t="e">
        <f>'All regions'!B5176+"n/&gt;!)b|"</f>
        <v>#VALUE!</v>
      </c>
      <c r="AN207" t="e">
        <f>'All regions'!C5176+"n/&gt;!)b}"</f>
        <v>#VALUE!</v>
      </c>
      <c r="AO207" t="e">
        <f>'All regions'!D5176+"n/&gt;!)b~"</f>
        <v>#VALUE!</v>
      </c>
      <c r="AP207" t="e">
        <f>'All regions'!E5176+"n/&gt;!)c#"</f>
        <v>#VALUE!</v>
      </c>
      <c r="AQ207" t="e">
        <f>'All regions'!F5176+"n/&gt;!)c$"</f>
        <v>#VALUE!</v>
      </c>
      <c r="AR207" t="e">
        <f>'All regions'!G5176+"n/&gt;!)c%"</f>
        <v>#VALUE!</v>
      </c>
      <c r="AS207" t="e">
        <f>'All regions'!H5176+"n/&gt;!)c&amp;"</f>
        <v>#VALUE!</v>
      </c>
      <c r="AT207" t="e">
        <f>'All regions'!I5176+"n/&gt;!)c'"</f>
        <v>#VALUE!</v>
      </c>
      <c r="AU207" t="e">
        <f>'All regions'!J5176+"n/&gt;!)c("</f>
        <v>#VALUE!</v>
      </c>
      <c r="AV207" t="e">
        <f>'All regions'!A5177+"n/&gt;!)c)"</f>
        <v>#VALUE!</v>
      </c>
      <c r="AW207" t="e">
        <f>'All regions'!B5177+"n/&gt;!)c."</f>
        <v>#VALUE!</v>
      </c>
      <c r="AX207" t="e">
        <f>'All regions'!C5177+"n/&gt;!)c/"</f>
        <v>#VALUE!</v>
      </c>
      <c r="AY207" t="e">
        <f>'All regions'!D5177+"n/&gt;!)c0"</f>
        <v>#VALUE!</v>
      </c>
      <c r="AZ207" t="e">
        <f>'All regions'!E5177+"n/&gt;!)c1"</f>
        <v>#VALUE!</v>
      </c>
      <c r="BA207" t="e">
        <f>'All regions'!F5177+"n/&gt;!)c2"</f>
        <v>#VALUE!</v>
      </c>
      <c r="BB207" t="e">
        <f>'All regions'!G5177+"n/&gt;!)c3"</f>
        <v>#VALUE!</v>
      </c>
      <c r="BC207" t="e">
        <f>'All regions'!H5177+"n/&gt;!)c4"</f>
        <v>#VALUE!</v>
      </c>
      <c r="BD207" t="e">
        <f>'All regions'!I5177+"n/&gt;!)c5"</f>
        <v>#VALUE!</v>
      </c>
      <c r="BE207" t="e">
        <f>'All regions'!J5177+"n/&gt;!)c6"</f>
        <v>#VALUE!</v>
      </c>
      <c r="BF207" t="e">
        <f>'All regions'!A5178+"n/&gt;!)c7"</f>
        <v>#VALUE!</v>
      </c>
      <c r="BG207" t="e">
        <f>'All regions'!B5178+"n/&gt;!)c8"</f>
        <v>#VALUE!</v>
      </c>
      <c r="BH207" t="e">
        <f>'All regions'!C5178+"n/&gt;!)c9"</f>
        <v>#VALUE!</v>
      </c>
      <c r="BI207" t="e">
        <f>'All regions'!D5178+"n/&gt;!)c:"</f>
        <v>#VALUE!</v>
      </c>
      <c r="BJ207" t="e">
        <f>'All regions'!E5178+"n/&gt;!)c;"</f>
        <v>#VALUE!</v>
      </c>
      <c r="BK207" t="e">
        <f>'All regions'!F5178+"n/&gt;!)c&lt;"</f>
        <v>#VALUE!</v>
      </c>
      <c r="BL207" t="e">
        <f>'All regions'!G5178+"n/&gt;!)c="</f>
        <v>#VALUE!</v>
      </c>
      <c r="BM207" t="e">
        <f>'All regions'!H5178+"n/&gt;!)c&gt;"</f>
        <v>#VALUE!</v>
      </c>
      <c r="BN207" t="e">
        <f>'All regions'!I5178+"n/&gt;!)c?"</f>
        <v>#VALUE!</v>
      </c>
      <c r="BO207" t="e">
        <f>'All regions'!J5178+"n/&gt;!)c@"</f>
        <v>#VALUE!</v>
      </c>
      <c r="BP207" t="e">
        <f>'All regions'!A5179+"n/&gt;!)cA"</f>
        <v>#VALUE!</v>
      </c>
      <c r="BQ207" t="e">
        <f>'All regions'!B5179+"n/&gt;!)cB"</f>
        <v>#VALUE!</v>
      </c>
      <c r="BR207" t="e">
        <f>'All regions'!C5179+"n/&gt;!)cC"</f>
        <v>#VALUE!</v>
      </c>
      <c r="BS207" t="e">
        <f>'All regions'!D5179+"n/&gt;!)cD"</f>
        <v>#VALUE!</v>
      </c>
      <c r="BT207" t="e">
        <f>'All regions'!E5179+"n/&gt;!)cE"</f>
        <v>#VALUE!</v>
      </c>
      <c r="BU207" t="e">
        <f>'All regions'!F5179+"n/&gt;!)cF"</f>
        <v>#VALUE!</v>
      </c>
      <c r="BV207" t="e">
        <f>'All regions'!G5179+"n/&gt;!)cG"</f>
        <v>#VALUE!</v>
      </c>
      <c r="BW207" t="e">
        <f>'All regions'!H5179+"n/&gt;!)cH"</f>
        <v>#VALUE!</v>
      </c>
      <c r="BX207" t="e">
        <f>'All regions'!I5179+"n/&gt;!)cI"</f>
        <v>#VALUE!</v>
      </c>
      <c r="BY207" t="e">
        <f>'All regions'!J5179+"n/&gt;!)cJ"</f>
        <v>#VALUE!</v>
      </c>
      <c r="BZ207" t="e">
        <f>'All regions'!A5180+"n/&gt;!)cK"</f>
        <v>#VALUE!</v>
      </c>
      <c r="CA207" t="e">
        <f>'All regions'!B5180+"n/&gt;!)cL"</f>
        <v>#VALUE!</v>
      </c>
      <c r="CB207" t="e">
        <f>'All regions'!C5180+"n/&gt;!)cM"</f>
        <v>#VALUE!</v>
      </c>
      <c r="CC207" t="e">
        <f>'All regions'!D5180+"n/&gt;!)cN"</f>
        <v>#VALUE!</v>
      </c>
      <c r="CD207" t="e">
        <f>'All regions'!E5180+"n/&gt;!)cO"</f>
        <v>#VALUE!</v>
      </c>
      <c r="CE207" t="e">
        <f>'All regions'!F5180+"n/&gt;!)cP"</f>
        <v>#VALUE!</v>
      </c>
      <c r="CF207" t="e">
        <f>'All regions'!G5180+"n/&gt;!)cQ"</f>
        <v>#VALUE!</v>
      </c>
      <c r="CG207" t="e">
        <f>'All regions'!H5180+"n/&gt;!)cR"</f>
        <v>#VALUE!</v>
      </c>
      <c r="CH207" t="e">
        <f>'All regions'!I5180+"n/&gt;!)cS"</f>
        <v>#VALUE!</v>
      </c>
      <c r="CI207" t="e">
        <f>'All regions'!J5180+"n/&gt;!)cT"</f>
        <v>#VALUE!</v>
      </c>
      <c r="CJ207" t="e">
        <f>'All regions'!A5181+"n/&gt;!)cU"</f>
        <v>#VALUE!</v>
      </c>
      <c r="CK207" t="e">
        <f>'All regions'!B5181+"n/&gt;!)cV"</f>
        <v>#VALUE!</v>
      </c>
      <c r="CL207" t="e">
        <f>'All regions'!C5181+"n/&gt;!)cW"</f>
        <v>#VALUE!</v>
      </c>
      <c r="CM207" t="e">
        <f>'All regions'!D5181+"n/&gt;!)cX"</f>
        <v>#VALUE!</v>
      </c>
      <c r="CN207" t="e">
        <f>'All regions'!E5181+"n/&gt;!)cY"</f>
        <v>#VALUE!</v>
      </c>
      <c r="CO207" t="e">
        <f>'All regions'!F5181+"n/&gt;!)cZ"</f>
        <v>#VALUE!</v>
      </c>
      <c r="CP207" t="e">
        <f>'All regions'!G5181+"n/&gt;!)c["</f>
        <v>#VALUE!</v>
      </c>
      <c r="CQ207" t="e">
        <f>'All regions'!H5181+"n/&gt;!)c\"</f>
        <v>#VALUE!</v>
      </c>
      <c r="CR207" t="e">
        <f>'All regions'!I5181+"n/&gt;!)c]"</f>
        <v>#VALUE!</v>
      </c>
      <c r="CS207" t="e">
        <f>'All regions'!J5181+"n/&gt;!)c^"</f>
        <v>#VALUE!</v>
      </c>
      <c r="CT207" t="e">
        <f>'All regions'!A5182+"n/&gt;!)c_"</f>
        <v>#VALUE!</v>
      </c>
      <c r="CU207" t="e">
        <f>'All regions'!B5182+"n/&gt;!)c`"</f>
        <v>#VALUE!</v>
      </c>
      <c r="CV207" t="e">
        <f>'All regions'!C5182+"n/&gt;!)ca"</f>
        <v>#VALUE!</v>
      </c>
      <c r="CW207" t="e">
        <f>'All regions'!D5182+"n/&gt;!)cb"</f>
        <v>#VALUE!</v>
      </c>
      <c r="CX207" t="e">
        <f>'All regions'!E5182+"n/&gt;!)cc"</f>
        <v>#VALUE!</v>
      </c>
      <c r="CY207" t="e">
        <f>'All regions'!F5182+"n/&gt;!)cd"</f>
        <v>#VALUE!</v>
      </c>
      <c r="CZ207" t="e">
        <f>'All regions'!G5182+"n/&gt;!)ce"</f>
        <v>#VALUE!</v>
      </c>
      <c r="DA207" t="e">
        <f>'All regions'!H5182+"n/&gt;!)cf"</f>
        <v>#VALUE!</v>
      </c>
      <c r="DB207" t="e">
        <f>'All regions'!I5182+"n/&gt;!)cg"</f>
        <v>#VALUE!</v>
      </c>
      <c r="DC207" t="e">
        <f>'All regions'!J5182+"n/&gt;!)ch"</f>
        <v>#VALUE!</v>
      </c>
      <c r="DD207" t="e">
        <f>'All regions'!A5183+"n/&gt;!)ci"</f>
        <v>#VALUE!</v>
      </c>
      <c r="DE207" t="e">
        <f>'All regions'!B5183+"n/&gt;!)cj"</f>
        <v>#VALUE!</v>
      </c>
      <c r="DF207" t="e">
        <f>'All regions'!C5183+"n/&gt;!)ck"</f>
        <v>#VALUE!</v>
      </c>
      <c r="DG207" t="e">
        <f>'All regions'!D5183+"n/&gt;!)cl"</f>
        <v>#VALUE!</v>
      </c>
      <c r="DH207" t="e">
        <f>'All regions'!E5183+"n/&gt;!)cm"</f>
        <v>#VALUE!</v>
      </c>
      <c r="DI207" t="e">
        <f>'All regions'!F5183+"n/&gt;!)cn"</f>
        <v>#VALUE!</v>
      </c>
      <c r="DJ207" t="e">
        <f>'All regions'!G5183+"n/&gt;!)co"</f>
        <v>#VALUE!</v>
      </c>
      <c r="DK207" t="e">
        <f>'All regions'!H5183+"n/&gt;!)cp"</f>
        <v>#VALUE!</v>
      </c>
      <c r="DL207" t="e">
        <f>'All regions'!I5183+"n/&gt;!)cq"</f>
        <v>#VALUE!</v>
      </c>
      <c r="DM207" t="e">
        <f>'All regions'!J5183+"n/&gt;!)cr"</f>
        <v>#VALUE!</v>
      </c>
      <c r="DN207" t="e">
        <f>'All regions'!A5184+"n/&gt;!)cs"</f>
        <v>#VALUE!</v>
      </c>
      <c r="DO207" t="e">
        <f>'All regions'!B5184+"n/&gt;!)ct"</f>
        <v>#VALUE!</v>
      </c>
      <c r="DP207" t="e">
        <f>'All regions'!C5184+"n/&gt;!)cu"</f>
        <v>#VALUE!</v>
      </c>
      <c r="DQ207" t="e">
        <f>'All regions'!D5184+"n/&gt;!)cv"</f>
        <v>#VALUE!</v>
      </c>
      <c r="DR207" t="e">
        <f>'All regions'!E5184+"n/&gt;!)cw"</f>
        <v>#VALUE!</v>
      </c>
      <c r="DS207" t="e">
        <f>'All regions'!F5184+"n/&gt;!)cx"</f>
        <v>#VALUE!</v>
      </c>
      <c r="DT207" t="e">
        <f>'All regions'!G5184+"n/&gt;!)cy"</f>
        <v>#VALUE!</v>
      </c>
      <c r="DU207" t="e">
        <f>'All regions'!H5184+"n/&gt;!)cz"</f>
        <v>#VALUE!</v>
      </c>
      <c r="DV207" t="e">
        <f>'All regions'!I5184+"n/&gt;!)c{"</f>
        <v>#VALUE!</v>
      </c>
      <c r="DW207" t="e">
        <f>'All regions'!J5184+"n/&gt;!)c|"</f>
        <v>#VALUE!</v>
      </c>
      <c r="DX207" t="e">
        <f>'All regions'!A5185+"n/&gt;!)c}"</f>
        <v>#VALUE!</v>
      </c>
      <c r="DY207" t="e">
        <f>'All regions'!B5185+"n/&gt;!)c~"</f>
        <v>#VALUE!</v>
      </c>
      <c r="DZ207" t="e">
        <f>'All regions'!C5185+"n/&gt;!)d#"</f>
        <v>#VALUE!</v>
      </c>
      <c r="EA207" t="e">
        <f>'All regions'!D5185+"n/&gt;!)d$"</f>
        <v>#VALUE!</v>
      </c>
      <c r="EB207" t="e">
        <f>'All regions'!E5185+"n/&gt;!)d%"</f>
        <v>#VALUE!</v>
      </c>
      <c r="EC207" t="e">
        <f>'All regions'!F5185+"n/&gt;!)d&amp;"</f>
        <v>#VALUE!</v>
      </c>
      <c r="ED207" t="e">
        <f>'All regions'!G5185+"n/&gt;!)d'"</f>
        <v>#VALUE!</v>
      </c>
      <c r="EE207" t="e">
        <f>'All regions'!H5185+"n/&gt;!)d("</f>
        <v>#VALUE!</v>
      </c>
      <c r="EF207" t="e">
        <f>'All regions'!I5185+"n/&gt;!)d)"</f>
        <v>#VALUE!</v>
      </c>
      <c r="EG207" t="e">
        <f>'All regions'!J5185+"n/&gt;!)d."</f>
        <v>#VALUE!</v>
      </c>
      <c r="EH207" t="e">
        <f>'All regions'!A5186+"n/&gt;!)d/"</f>
        <v>#VALUE!</v>
      </c>
      <c r="EI207" t="e">
        <f>'All regions'!B5186+"n/&gt;!)d0"</f>
        <v>#VALUE!</v>
      </c>
      <c r="EJ207" t="e">
        <f>'All regions'!C5186+"n/&gt;!)d1"</f>
        <v>#VALUE!</v>
      </c>
      <c r="EK207" t="e">
        <f>'All regions'!D5186+"n/&gt;!)d2"</f>
        <v>#VALUE!</v>
      </c>
      <c r="EL207" t="e">
        <f>'All regions'!E5186+"n/&gt;!)d3"</f>
        <v>#VALUE!</v>
      </c>
      <c r="EM207" t="e">
        <f>'All regions'!F5186+"n/&gt;!)d4"</f>
        <v>#VALUE!</v>
      </c>
      <c r="EN207" t="e">
        <f>'All regions'!G5186+"n/&gt;!)d5"</f>
        <v>#VALUE!</v>
      </c>
      <c r="EO207" t="e">
        <f>'All regions'!H5186+"n/&gt;!)d6"</f>
        <v>#VALUE!</v>
      </c>
      <c r="EP207" t="e">
        <f>'All regions'!I5186+"n/&gt;!)d7"</f>
        <v>#VALUE!</v>
      </c>
      <c r="EQ207" t="e">
        <f>'All regions'!J5186+"n/&gt;!)d8"</f>
        <v>#VALUE!</v>
      </c>
      <c r="ER207" t="e">
        <f>'All regions'!A5187+"n/&gt;!)d9"</f>
        <v>#VALUE!</v>
      </c>
      <c r="ES207" t="e">
        <f>'All regions'!B5187+"n/&gt;!)d:"</f>
        <v>#VALUE!</v>
      </c>
      <c r="ET207" t="e">
        <f>'All regions'!C5187+"n/&gt;!)d;"</f>
        <v>#VALUE!</v>
      </c>
      <c r="EU207" t="e">
        <f>'All regions'!D5187+"n/&gt;!)d&lt;"</f>
        <v>#VALUE!</v>
      </c>
      <c r="EV207" t="e">
        <f>'All regions'!E5187+"n/&gt;!)d="</f>
        <v>#VALUE!</v>
      </c>
      <c r="EW207" t="e">
        <f>'All regions'!F5187+"n/&gt;!)d&gt;"</f>
        <v>#VALUE!</v>
      </c>
      <c r="EX207" t="e">
        <f>'All regions'!G5187+"n/&gt;!)d?"</f>
        <v>#VALUE!</v>
      </c>
      <c r="EY207" t="e">
        <f>'All regions'!H5187+"n/&gt;!)d@"</f>
        <v>#VALUE!</v>
      </c>
      <c r="EZ207" t="e">
        <f>'All regions'!I5187+"n/&gt;!)dA"</f>
        <v>#VALUE!</v>
      </c>
      <c r="FA207" t="e">
        <f>'All regions'!J5187+"n/&gt;!)dB"</f>
        <v>#VALUE!</v>
      </c>
      <c r="FB207" t="e">
        <f>'All regions'!A5188+"n/&gt;!)dC"</f>
        <v>#VALUE!</v>
      </c>
      <c r="FC207" t="e">
        <f>'All regions'!B5188+"n/&gt;!)dD"</f>
        <v>#VALUE!</v>
      </c>
      <c r="FD207" t="e">
        <f>'All regions'!C5188+"n/&gt;!)dE"</f>
        <v>#VALUE!</v>
      </c>
      <c r="FE207" t="e">
        <f>'All regions'!D5188+"n/&gt;!)dF"</f>
        <v>#VALUE!</v>
      </c>
      <c r="FF207" t="e">
        <f>'All regions'!E5188+"n/&gt;!)dG"</f>
        <v>#VALUE!</v>
      </c>
      <c r="FG207" t="e">
        <f>'All regions'!F5188+"n/&gt;!)dH"</f>
        <v>#VALUE!</v>
      </c>
      <c r="FH207" t="e">
        <f>'All regions'!G5188+"n/&gt;!)dI"</f>
        <v>#VALUE!</v>
      </c>
      <c r="FI207" t="e">
        <f>'All regions'!H5188+"n/&gt;!)dJ"</f>
        <v>#VALUE!</v>
      </c>
      <c r="FJ207" t="e">
        <f>'All regions'!I5188+"n/&gt;!)dK"</f>
        <v>#VALUE!</v>
      </c>
      <c r="FK207" t="e">
        <f>'All regions'!J5188+"n/&gt;!)dL"</f>
        <v>#VALUE!</v>
      </c>
      <c r="FL207" t="e">
        <f>'All regions'!A5189+"n/&gt;!)dM"</f>
        <v>#VALUE!</v>
      </c>
      <c r="FM207" t="e">
        <f>'All regions'!B5189+"n/&gt;!)dN"</f>
        <v>#VALUE!</v>
      </c>
      <c r="FN207" t="e">
        <f>'All regions'!C5189+"n/&gt;!)dO"</f>
        <v>#VALUE!</v>
      </c>
      <c r="FO207" t="e">
        <f>'All regions'!D5189+"n/&gt;!)dP"</f>
        <v>#VALUE!</v>
      </c>
      <c r="FP207" t="e">
        <f>'All regions'!E5189+"n/&gt;!)dQ"</f>
        <v>#VALUE!</v>
      </c>
      <c r="FQ207" t="e">
        <f>'All regions'!F5189+"n/&gt;!)dR"</f>
        <v>#VALUE!</v>
      </c>
      <c r="FR207" t="e">
        <f>'All regions'!G5189+"n/&gt;!)dS"</f>
        <v>#VALUE!</v>
      </c>
      <c r="FS207" t="e">
        <f>'All regions'!H5189+"n/&gt;!)dT"</f>
        <v>#VALUE!</v>
      </c>
      <c r="FT207" t="e">
        <f>'All regions'!I5189+"n/&gt;!)dU"</f>
        <v>#VALUE!</v>
      </c>
      <c r="FU207" t="e">
        <f>'All regions'!J5189+"n/&gt;!)dV"</f>
        <v>#VALUE!</v>
      </c>
      <c r="FV207" t="e">
        <f>'All regions'!A5190+"n/&gt;!)dW"</f>
        <v>#VALUE!</v>
      </c>
      <c r="FW207" t="e">
        <f>'All regions'!B5190+"n/&gt;!)dX"</f>
        <v>#VALUE!</v>
      </c>
      <c r="FX207" t="e">
        <f>'All regions'!C5190+"n/&gt;!)dY"</f>
        <v>#VALUE!</v>
      </c>
      <c r="FY207" t="e">
        <f>'All regions'!D5190+"n/&gt;!)dZ"</f>
        <v>#VALUE!</v>
      </c>
      <c r="FZ207" t="e">
        <f>'All regions'!E5190+"n/&gt;!)d["</f>
        <v>#VALUE!</v>
      </c>
      <c r="GA207" t="e">
        <f>'All regions'!F5190+"n/&gt;!)d\"</f>
        <v>#VALUE!</v>
      </c>
      <c r="GB207" t="e">
        <f>'All regions'!G5190+"n/&gt;!)d]"</f>
        <v>#VALUE!</v>
      </c>
      <c r="GC207" t="e">
        <f>'All regions'!H5190+"n/&gt;!)d^"</f>
        <v>#VALUE!</v>
      </c>
      <c r="GD207" t="e">
        <f>'All regions'!I5190+"n/&gt;!)d_"</f>
        <v>#VALUE!</v>
      </c>
      <c r="GE207" t="e">
        <f>'All regions'!J5190+"n/&gt;!)d`"</f>
        <v>#VALUE!</v>
      </c>
      <c r="GF207" t="e">
        <f>'All regions'!A5191+"n/&gt;!)da"</f>
        <v>#VALUE!</v>
      </c>
      <c r="GG207" t="e">
        <f>'All regions'!B5191+"n/&gt;!)db"</f>
        <v>#VALUE!</v>
      </c>
      <c r="GH207" t="e">
        <f>'All regions'!C5191+"n/&gt;!)dc"</f>
        <v>#VALUE!</v>
      </c>
      <c r="GI207" t="e">
        <f>'All regions'!D5191+"n/&gt;!)dd"</f>
        <v>#VALUE!</v>
      </c>
      <c r="GJ207" t="e">
        <f>'All regions'!E5191+"n/&gt;!)de"</f>
        <v>#VALUE!</v>
      </c>
      <c r="GK207" t="e">
        <f>'All regions'!F5191+"n/&gt;!)df"</f>
        <v>#VALUE!</v>
      </c>
      <c r="GL207" t="e">
        <f>'All regions'!G5191+"n/&gt;!)dg"</f>
        <v>#VALUE!</v>
      </c>
      <c r="GM207" t="e">
        <f>'All regions'!H5191+"n/&gt;!)dh"</f>
        <v>#VALUE!</v>
      </c>
      <c r="GN207" t="e">
        <f>'All regions'!I5191+"n/&gt;!)di"</f>
        <v>#VALUE!</v>
      </c>
      <c r="GO207" t="e">
        <f>'All regions'!J5191+"n/&gt;!)dj"</f>
        <v>#VALUE!</v>
      </c>
      <c r="GP207" t="e">
        <f>'All regions'!A5192+"n/&gt;!)dk"</f>
        <v>#VALUE!</v>
      </c>
      <c r="GQ207" t="e">
        <f>'All regions'!B5192+"n/&gt;!)dl"</f>
        <v>#VALUE!</v>
      </c>
      <c r="GR207" t="e">
        <f>'All regions'!C5192+"n/&gt;!)dm"</f>
        <v>#VALUE!</v>
      </c>
      <c r="GS207" t="e">
        <f>'All regions'!D5192+"n/&gt;!)dn"</f>
        <v>#VALUE!</v>
      </c>
      <c r="GT207" t="e">
        <f>'All regions'!E5192+"n/&gt;!)do"</f>
        <v>#VALUE!</v>
      </c>
      <c r="GU207" t="e">
        <f>'All regions'!F5192+"n/&gt;!)dp"</f>
        <v>#VALUE!</v>
      </c>
      <c r="GV207" t="e">
        <f>'All regions'!G5192+"n/&gt;!)dq"</f>
        <v>#VALUE!</v>
      </c>
      <c r="GW207" t="e">
        <f>'All regions'!H5192+"n/&gt;!)dr"</f>
        <v>#VALUE!</v>
      </c>
      <c r="GX207" t="e">
        <f>'All regions'!I5192+"n/&gt;!)ds"</f>
        <v>#VALUE!</v>
      </c>
      <c r="GY207" t="e">
        <f>'All regions'!J5192+"n/&gt;!)dt"</f>
        <v>#VALUE!</v>
      </c>
      <c r="GZ207" t="e">
        <f>'All regions'!A5193+"n/&gt;!)du"</f>
        <v>#VALUE!</v>
      </c>
      <c r="HA207" t="e">
        <f>'All regions'!B5193+"n/&gt;!)dv"</f>
        <v>#VALUE!</v>
      </c>
      <c r="HB207" t="e">
        <f>'All regions'!C5193+"n/&gt;!)dw"</f>
        <v>#VALUE!</v>
      </c>
      <c r="HC207" t="e">
        <f>'All regions'!D5193+"n/&gt;!)dx"</f>
        <v>#VALUE!</v>
      </c>
      <c r="HD207" t="e">
        <f>'All regions'!E5193+"n/&gt;!)dy"</f>
        <v>#VALUE!</v>
      </c>
      <c r="HE207" t="e">
        <f>'All regions'!F5193+"n/&gt;!)dz"</f>
        <v>#VALUE!</v>
      </c>
      <c r="HF207" t="e">
        <f>'All regions'!G5193+"n/&gt;!)d{"</f>
        <v>#VALUE!</v>
      </c>
      <c r="HG207" t="e">
        <f>'All regions'!H5193+"n/&gt;!)d|"</f>
        <v>#VALUE!</v>
      </c>
      <c r="HH207" t="e">
        <f>'All regions'!I5193+"n/&gt;!)d}"</f>
        <v>#VALUE!</v>
      </c>
      <c r="HI207" t="e">
        <f>'All regions'!J5193+"n/&gt;!)d~"</f>
        <v>#VALUE!</v>
      </c>
      <c r="HJ207" t="e">
        <f>'All regions'!A5194+"n/&gt;!)e#"</f>
        <v>#VALUE!</v>
      </c>
      <c r="HK207" t="e">
        <f>'All regions'!B5194+"n/&gt;!)e$"</f>
        <v>#VALUE!</v>
      </c>
      <c r="HL207" t="e">
        <f>'All regions'!C5194+"n/&gt;!)e%"</f>
        <v>#VALUE!</v>
      </c>
      <c r="HM207" t="e">
        <f>'All regions'!D5194+"n/&gt;!)e&amp;"</f>
        <v>#VALUE!</v>
      </c>
      <c r="HN207" t="e">
        <f>'All regions'!E5194+"n/&gt;!)e'"</f>
        <v>#VALUE!</v>
      </c>
      <c r="HO207" t="e">
        <f>'All regions'!F5194+"n/&gt;!)e("</f>
        <v>#VALUE!</v>
      </c>
      <c r="HP207" t="e">
        <f>'All regions'!G5194+"n/&gt;!)e)"</f>
        <v>#VALUE!</v>
      </c>
      <c r="HQ207" t="e">
        <f>'All regions'!H5194+"n/&gt;!)e."</f>
        <v>#VALUE!</v>
      </c>
      <c r="HR207" t="e">
        <f>'All regions'!I5194+"n/&gt;!)e/"</f>
        <v>#VALUE!</v>
      </c>
      <c r="HS207" t="e">
        <f>'All regions'!J5194+"n/&gt;!)e0"</f>
        <v>#VALUE!</v>
      </c>
      <c r="HT207" t="e">
        <f>'All regions'!A5195+"n/&gt;!)e1"</f>
        <v>#VALUE!</v>
      </c>
      <c r="HU207" t="e">
        <f>'All regions'!B5195+"n/&gt;!)e2"</f>
        <v>#VALUE!</v>
      </c>
      <c r="HV207" t="e">
        <f>'All regions'!C5195+"n/&gt;!)e3"</f>
        <v>#VALUE!</v>
      </c>
      <c r="HW207" t="e">
        <f>'All regions'!D5195+"n/&gt;!)e4"</f>
        <v>#VALUE!</v>
      </c>
      <c r="HX207" t="e">
        <f>'All regions'!E5195+"n/&gt;!)e5"</f>
        <v>#VALUE!</v>
      </c>
      <c r="HY207" t="e">
        <f>'All regions'!F5195+"n/&gt;!)e6"</f>
        <v>#VALUE!</v>
      </c>
      <c r="HZ207" t="e">
        <f>'All regions'!G5195+"n/&gt;!)e7"</f>
        <v>#VALUE!</v>
      </c>
      <c r="IA207" t="e">
        <f>'All regions'!H5195+"n/&gt;!)e8"</f>
        <v>#VALUE!</v>
      </c>
      <c r="IB207" t="e">
        <f>'All regions'!I5195+"n/&gt;!)e9"</f>
        <v>#VALUE!</v>
      </c>
      <c r="IC207" t="e">
        <f>'All regions'!J5195+"n/&gt;!)e:"</f>
        <v>#VALUE!</v>
      </c>
      <c r="ID207" t="e">
        <f>'All regions'!A5196+"n/&gt;!)e;"</f>
        <v>#VALUE!</v>
      </c>
      <c r="IE207" t="e">
        <f>'All regions'!B5196+"n/&gt;!)e&lt;"</f>
        <v>#VALUE!</v>
      </c>
      <c r="IF207" t="e">
        <f>'All regions'!C5196+"n/&gt;!)e="</f>
        <v>#VALUE!</v>
      </c>
      <c r="IG207" t="e">
        <f>'All regions'!D5196+"n/&gt;!)e&gt;"</f>
        <v>#VALUE!</v>
      </c>
      <c r="IH207" t="e">
        <f>'All regions'!E5196+"n/&gt;!)e?"</f>
        <v>#VALUE!</v>
      </c>
      <c r="II207" t="e">
        <f>'All regions'!F5196+"n/&gt;!)e@"</f>
        <v>#VALUE!</v>
      </c>
      <c r="IJ207" t="e">
        <f>'All regions'!G5196+"n/&gt;!)eA"</f>
        <v>#VALUE!</v>
      </c>
      <c r="IK207" t="e">
        <f>'All regions'!H5196+"n/&gt;!)eB"</f>
        <v>#VALUE!</v>
      </c>
      <c r="IL207" t="e">
        <f>'All regions'!I5196+"n/&gt;!)eC"</f>
        <v>#VALUE!</v>
      </c>
      <c r="IM207" t="e">
        <f>'All regions'!J5196+"n/&gt;!)eD"</f>
        <v>#VALUE!</v>
      </c>
      <c r="IN207" t="e">
        <f>'All regions'!A5197+"n/&gt;!)eE"</f>
        <v>#VALUE!</v>
      </c>
      <c r="IO207" t="e">
        <f>'All regions'!B5197+"n/&gt;!)eF"</f>
        <v>#VALUE!</v>
      </c>
      <c r="IP207" t="e">
        <f>'All regions'!C5197+"n/&gt;!)eG"</f>
        <v>#VALUE!</v>
      </c>
      <c r="IQ207" t="e">
        <f>'All regions'!D5197+"n/&gt;!)eH"</f>
        <v>#VALUE!</v>
      </c>
      <c r="IR207" t="e">
        <f>'All regions'!E5197+"n/&gt;!)eI"</f>
        <v>#VALUE!</v>
      </c>
      <c r="IS207" t="e">
        <f>'All regions'!F5197+"n/&gt;!)eJ"</f>
        <v>#VALUE!</v>
      </c>
      <c r="IT207" t="e">
        <f>'All regions'!G5197+"n/&gt;!)eK"</f>
        <v>#VALUE!</v>
      </c>
      <c r="IU207" t="e">
        <f>'All regions'!H5197+"n/&gt;!)eL"</f>
        <v>#VALUE!</v>
      </c>
      <c r="IV207" t="e">
        <f>'All regions'!I5197+"n/&gt;!)eM"</f>
        <v>#VALUE!</v>
      </c>
    </row>
    <row r="208" spans="6:256" x14ac:dyDescent="0.35">
      <c r="F208" t="e">
        <f>'All regions'!J5197+"n/&gt;!)eN"</f>
        <v>#VALUE!</v>
      </c>
      <c r="G208" t="e">
        <f>'All regions'!A5198+"n/&gt;!)eO"</f>
        <v>#VALUE!</v>
      </c>
      <c r="H208" t="e">
        <f>'All regions'!B5198+"n/&gt;!)eP"</f>
        <v>#VALUE!</v>
      </c>
      <c r="I208" t="e">
        <f>'All regions'!C5198+"n/&gt;!)eQ"</f>
        <v>#VALUE!</v>
      </c>
      <c r="J208" t="e">
        <f>'All regions'!D5198+"n/&gt;!)eR"</f>
        <v>#VALUE!</v>
      </c>
      <c r="K208" t="e">
        <f>'All regions'!E5198+"n/&gt;!)eS"</f>
        <v>#VALUE!</v>
      </c>
      <c r="L208" t="e">
        <f>'All regions'!F5198+"n/&gt;!)eT"</f>
        <v>#VALUE!</v>
      </c>
      <c r="M208" t="e">
        <f>'All regions'!G5198+"n/&gt;!)eU"</f>
        <v>#VALUE!</v>
      </c>
      <c r="N208" t="e">
        <f>'All regions'!H5198+"n/&gt;!)eV"</f>
        <v>#VALUE!</v>
      </c>
      <c r="O208" t="e">
        <f>'All regions'!I5198+"n/&gt;!)eW"</f>
        <v>#VALUE!</v>
      </c>
      <c r="P208" t="e">
        <f>'All regions'!J5198+"n/&gt;!)eX"</f>
        <v>#VALUE!</v>
      </c>
      <c r="Q208" t="e">
        <f>'All regions'!A5199+"n/&gt;!)eY"</f>
        <v>#VALUE!</v>
      </c>
      <c r="R208" t="e">
        <f>'All regions'!B5199+"n/&gt;!)eZ"</f>
        <v>#VALUE!</v>
      </c>
      <c r="S208" t="e">
        <f>'All regions'!C5199+"n/&gt;!)e["</f>
        <v>#VALUE!</v>
      </c>
      <c r="T208" t="e">
        <f>'All regions'!D5199+"n/&gt;!)e\"</f>
        <v>#VALUE!</v>
      </c>
      <c r="U208" t="e">
        <f>'All regions'!E5199+"n/&gt;!)e]"</f>
        <v>#VALUE!</v>
      </c>
      <c r="V208" t="e">
        <f>'All regions'!F5199+"n/&gt;!)e^"</f>
        <v>#VALUE!</v>
      </c>
      <c r="W208" t="e">
        <f>'All regions'!G5199+"n/&gt;!)e_"</f>
        <v>#VALUE!</v>
      </c>
      <c r="X208" t="e">
        <f>'All regions'!H5199+"n/&gt;!)e`"</f>
        <v>#VALUE!</v>
      </c>
      <c r="Y208" t="e">
        <f>'All regions'!I5199+"n/&gt;!)ea"</f>
        <v>#VALUE!</v>
      </c>
      <c r="Z208" t="e">
        <f>'All regions'!J5199+"n/&gt;!)eb"</f>
        <v>#VALUE!</v>
      </c>
      <c r="AA208" t="e">
        <f>'All regions'!A5200+"n/&gt;!)ec"</f>
        <v>#VALUE!</v>
      </c>
      <c r="AB208" t="e">
        <f>'All regions'!B5200+"n/&gt;!)ed"</f>
        <v>#VALUE!</v>
      </c>
      <c r="AC208" t="e">
        <f>'All regions'!C5200+"n/&gt;!)ee"</f>
        <v>#VALUE!</v>
      </c>
      <c r="AD208" t="e">
        <f>'All regions'!D5200+"n/&gt;!)ef"</f>
        <v>#VALUE!</v>
      </c>
      <c r="AE208" t="e">
        <f>'All regions'!E5200+"n/&gt;!)eg"</f>
        <v>#VALUE!</v>
      </c>
      <c r="AF208" t="e">
        <f>'All regions'!F5200+"n/&gt;!)eh"</f>
        <v>#VALUE!</v>
      </c>
      <c r="AG208" t="e">
        <f>'All regions'!G5200+"n/&gt;!)ei"</f>
        <v>#VALUE!</v>
      </c>
      <c r="AH208" t="e">
        <f>'All regions'!H5200+"n/&gt;!)ej"</f>
        <v>#VALUE!</v>
      </c>
      <c r="AI208" t="e">
        <f>'All regions'!I5200+"n/&gt;!)ek"</f>
        <v>#VALUE!</v>
      </c>
      <c r="AJ208" t="e">
        <f>'All regions'!J5200+"n/&gt;!)el"</f>
        <v>#VALUE!</v>
      </c>
      <c r="AK208" t="e">
        <f>'All regions'!A5201+"n/&gt;!)em"</f>
        <v>#VALUE!</v>
      </c>
      <c r="AL208" t="e">
        <f>'All regions'!B5201+"n/&gt;!)en"</f>
        <v>#VALUE!</v>
      </c>
      <c r="AM208" t="e">
        <f>'All regions'!C5201+"n/&gt;!)eo"</f>
        <v>#VALUE!</v>
      </c>
      <c r="AN208" t="e">
        <f>'All regions'!D5201+"n/&gt;!)ep"</f>
        <v>#VALUE!</v>
      </c>
      <c r="AO208" t="e">
        <f>'All regions'!E5201+"n/&gt;!)eq"</f>
        <v>#VALUE!</v>
      </c>
      <c r="AP208" t="e">
        <f>'All regions'!F5201+"n/&gt;!)er"</f>
        <v>#VALUE!</v>
      </c>
      <c r="AQ208" t="e">
        <f>'All regions'!G5201+"n/&gt;!)es"</f>
        <v>#VALUE!</v>
      </c>
      <c r="AR208" t="e">
        <f>'All regions'!H5201+"n/&gt;!)et"</f>
        <v>#VALUE!</v>
      </c>
      <c r="AS208" t="e">
        <f>'All regions'!I5201+"n/&gt;!)eu"</f>
        <v>#VALUE!</v>
      </c>
      <c r="AT208" t="e">
        <f>'All regions'!J5201+"n/&gt;!)ev"</f>
        <v>#VALUE!</v>
      </c>
      <c r="AU208" t="e">
        <f>'All regions'!A5202+"n/&gt;!)ew"</f>
        <v>#VALUE!</v>
      </c>
      <c r="AV208" t="e">
        <f>'All regions'!B5202+"n/&gt;!)ex"</f>
        <v>#VALUE!</v>
      </c>
      <c r="AW208" t="e">
        <f>'All regions'!C5202+"n/&gt;!)ey"</f>
        <v>#VALUE!</v>
      </c>
      <c r="AX208" t="e">
        <f>'All regions'!D5202+"n/&gt;!)ez"</f>
        <v>#VALUE!</v>
      </c>
      <c r="AY208" t="e">
        <f>'All regions'!E5202+"n/&gt;!)e{"</f>
        <v>#VALUE!</v>
      </c>
      <c r="AZ208" t="e">
        <f>'All regions'!F5202+"n/&gt;!)e|"</f>
        <v>#VALUE!</v>
      </c>
      <c r="BA208" t="e">
        <f>'All regions'!G5202+"n/&gt;!)e}"</f>
        <v>#VALUE!</v>
      </c>
      <c r="BB208" t="e">
        <f>'All regions'!H5202+"n/&gt;!)e~"</f>
        <v>#VALUE!</v>
      </c>
      <c r="BC208" t="e">
        <f>'All regions'!I5202+"n/&gt;!)f#"</f>
        <v>#VALUE!</v>
      </c>
      <c r="BD208" t="e">
        <f>'All regions'!J5202+"n/&gt;!)f$"</f>
        <v>#VALUE!</v>
      </c>
      <c r="BE208" t="e">
        <f>'All regions'!A5203+"n/&gt;!)f%"</f>
        <v>#VALUE!</v>
      </c>
      <c r="BF208" t="e">
        <f>'All regions'!B5203+"n/&gt;!)f&amp;"</f>
        <v>#VALUE!</v>
      </c>
      <c r="BG208" t="e">
        <f>'All regions'!C5203+"n/&gt;!)f'"</f>
        <v>#VALUE!</v>
      </c>
      <c r="BH208" t="e">
        <f>'All regions'!D5203+"n/&gt;!)f("</f>
        <v>#VALUE!</v>
      </c>
      <c r="BI208" t="e">
        <f>'All regions'!E5203+"n/&gt;!)f)"</f>
        <v>#VALUE!</v>
      </c>
      <c r="BJ208" t="e">
        <f>'All regions'!F5203+"n/&gt;!)f."</f>
        <v>#VALUE!</v>
      </c>
      <c r="BK208" t="e">
        <f>'All regions'!G5203+"n/&gt;!)f/"</f>
        <v>#VALUE!</v>
      </c>
      <c r="BL208" t="e">
        <f>'All regions'!H5203+"n/&gt;!)f0"</f>
        <v>#VALUE!</v>
      </c>
      <c r="BM208" t="e">
        <f>'All regions'!I5203+"n/&gt;!)f1"</f>
        <v>#VALUE!</v>
      </c>
      <c r="BN208" t="e">
        <f>'All regions'!J5203+"n/&gt;!)f2"</f>
        <v>#VALUE!</v>
      </c>
      <c r="BO208" t="e">
        <f>'All regions'!A5204+"n/&gt;!)f3"</f>
        <v>#VALUE!</v>
      </c>
      <c r="BP208" t="e">
        <f>'All regions'!B5204+"n/&gt;!)f4"</f>
        <v>#VALUE!</v>
      </c>
      <c r="BQ208" t="e">
        <f>'All regions'!C5204+"n/&gt;!)f5"</f>
        <v>#VALUE!</v>
      </c>
      <c r="BR208" t="e">
        <f>'All regions'!D5204+"n/&gt;!)f6"</f>
        <v>#VALUE!</v>
      </c>
      <c r="BS208" t="e">
        <f>'All regions'!E5204+"n/&gt;!)f7"</f>
        <v>#VALUE!</v>
      </c>
      <c r="BT208" t="e">
        <f>'All regions'!F5204+"n/&gt;!)f8"</f>
        <v>#VALUE!</v>
      </c>
      <c r="BU208" t="e">
        <f>'All regions'!G5204+"n/&gt;!)f9"</f>
        <v>#VALUE!</v>
      </c>
      <c r="BV208" t="e">
        <f>'All regions'!H5204+"n/&gt;!)f:"</f>
        <v>#VALUE!</v>
      </c>
      <c r="BW208" t="e">
        <f>'All regions'!I5204+"n/&gt;!)f;"</f>
        <v>#VALUE!</v>
      </c>
      <c r="BX208" t="e">
        <f>'All regions'!J5204+"n/&gt;!)f&lt;"</f>
        <v>#VALUE!</v>
      </c>
      <c r="BY208" t="e">
        <f>'All regions'!A5205+"n/&gt;!)f="</f>
        <v>#VALUE!</v>
      </c>
      <c r="BZ208" t="e">
        <f>'All regions'!B5205+"n/&gt;!)f&gt;"</f>
        <v>#VALUE!</v>
      </c>
      <c r="CA208" t="e">
        <f>'All regions'!C5205+"n/&gt;!)f?"</f>
        <v>#VALUE!</v>
      </c>
      <c r="CB208" t="e">
        <f>'All regions'!D5205+"n/&gt;!)f@"</f>
        <v>#VALUE!</v>
      </c>
      <c r="CC208" t="e">
        <f>'All regions'!E5205+"n/&gt;!)fA"</f>
        <v>#VALUE!</v>
      </c>
      <c r="CD208" t="e">
        <f>'All regions'!F5205+"n/&gt;!)fB"</f>
        <v>#VALUE!</v>
      </c>
      <c r="CE208" t="e">
        <f>'All regions'!G5205+"n/&gt;!)fC"</f>
        <v>#VALUE!</v>
      </c>
      <c r="CF208" t="e">
        <f>'All regions'!H5205+"n/&gt;!)fD"</f>
        <v>#VALUE!</v>
      </c>
      <c r="CG208" t="e">
        <f>'All regions'!I5205+"n/&gt;!)fE"</f>
        <v>#VALUE!</v>
      </c>
      <c r="CH208" t="e">
        <f>'All regions'!J5205+"n/&gt;!)fF"</f>
        <v>#VALUE!</v>
      </c>
      <c r="CI208" t="e">
        <f>'All regions'!A5206+"n/&gt;!)fG"</f>
        <v>#VALUE!</v>
      </c>
      <c r="CJ208" t="e">
        <f>'All regions'!B5206+"n/&gt;!)fH"</f>
        <v>#VALUE!</v>
      </c>
      <c r="CK208" t="e">
        <f>'All regions'!C5206+"n/&gt;!)fI"</f>
        <v>#VALUE!</v>
      </c>
      <c r="CL208" t="e">
        <f>'All regions'!D5206+"n/&gt;!)fJ"</f>
        <v>#VALUE!</v>
      </c>
      <c r="CM208" t="e">
        <f>'All regions'!E5206+"n/&gt;!)fK"</f>
        <v>#VALUE!</v>
      </c>
      <c r="CN208" t="e">
        <f>'All regions'!F5206+"n/&gt;!)fL"</f>
        <v>#VALUE!</v>
      </c>
      <c r="CO208" t="e">
        <f>'All regions'!G5206+"n/&gt;!)fM"</f>
        <v>#VALUE!</v>
      </c>
      <c r="CP208" t="e">
        <f>'All regions'!H5206+"n/&gt;!)fN"</f>
        <v>#VALUE!</v>
      </c>
      <c r="CQ208" t="e">
        <f>'All regions'!I5206+"n/&gt;!)fO"</f>
        <v>#VALUE!</v>
      </c>
      <c r="CR208" t="e">
        <f>'All regions'!J5206+"n/&gt;!)fP"</f>
        <v>#VALUE!</v>
      </c>
      <c r="CS208" t="e">
        <f>'All regions'!A5207+"n/&gt;!)fQ"</f>
        <v>#VALUE!</v>
      </c>
      <c r="CT208" t="e">
        <f>'All regions'!B5207+"n/&gt;!)fR"</f>
        <v>#VALUE!</v>
      </c>
      <c r="CU208" t="e">
        <f>'All regions'!C5207+"n/&gt;!)fS"</f>
        <v>#VALUE!</v>
      </c>
      <c r="CV208" t="e">
        <f>'All regions'!D5207+"n/&gt;!)fT"</f>
        <v>#VALUE!</v>
      </c>
      <c r="CW208" t="e">
        <f>'All regions'!E5207+"n/&gt;!)fU"</f>
        <v>#VALUE!</v>
      </c>
      <c r="CX208" t="e">
        <f>'All regions'!F5207+"n/&gt;!)fV"</f>
        <v>#VALUE!</v>
      </c>
      <c r="CY208" t="e">
        <f>'All regions'!G5207+"n/&gt;!)fW"</f>
        <v>#VALUE!</v>
      </c>
      <c r="CZ208" t="e">
        <f>'All regions'!H5207+"n/&gt;!)fX"</f>
        <v>#VALUE!</v>
      </c>
      <c r="DA208" t="e">
        <f>'All regions'!I5207+"n/&gt;!)fY"</f>
        <v>#VALUE!</v>
      </c>
      <c r="DB208" t="e">
        <f>'All regions'!J5207+"n/&gt;!)fZ"</f>
        <v>#VALUE!</v>
      </c>
      <c r="DC208" t="e">
        <f>'All regions'!A5208+"n/&gt;!)f["</f>
        <v>#VALUE!</v>
      </c>
      <c r="DD208" t="e">
        <f>'All regions'!B5208+"n/&gt;!)f\"</f>
        <v>#VALUE!</v>
      </c>
      <c r="DE208" t="e">
        <f>'All regions'!C5208+"n/&gt;!)f]"</f>
        <v>#VALUE!</v>
      </c>
      <c r="DF208" t="e">
        <f>'All regions'!D5208+"n/&gt;!)f^"</f>
        <v>#VALUE!</v>
      </c>
      <c r="DG208" t="e">
        <f>'All regions'!E5208+"n/&gt;!)f_"</f>
        <v>#VALUE!</v>
      </c>
      <c r="DH208" t="e">
        <f>'All regions'!F5208+"n/&gt;!)f`"</f>
        <v>#VALUE!</v>
      </c>
      <c r="DI208" t="e">
        <f>'All regions'!G5208+"n/&gt;!)fa"</f>
        <v>#VALUE!</v>
      </c>
      <c r="DJ208" t="e">
        <f>'All regions'!H5208+"n/&gt;!)fb"</f>
        <v>#VALUE!</v>
      </c>
      <c r="DK208" t="e">
        <f>'All regions'!I5208+"n/&gt;!)fc"</f>
        <v>#VALUE!</v>
      </c>
      <c r="DL208" t="e">
        <f>'All regions'!J5208+"n/&gt;!)fd"</f>
        <v>#VALUE!</v>
      </c>
      <c r="DM208" t="e">
        <f>'All regions'!A5209+"n/&gt;!)fe"</f>
        <v>#VALUE!</v>
      </c>
      <c r="DN208" t="e">
        <f>'All regions'!B5209+"n/&gt;!)ff"</f>
        <v>#VALUE!</v>
      </c>
      <c r="DO208" t="e">
        <f>'All regions'!C5209+"n/&gt;!)fg"</f>
        <v>#VALUE!</v>
      </c>
      <c r="DP208" t="e">
        <f>'All regions'!D5209+"n/&gt;!)fh"</f>
        <v>#VALUE!</v>
      </c>
      <c r="DQ208" t="e">
        <f>'All regions'!E5209+"n/&gt;!)fi"</f>
        <v>#VALUE!</v>
      </c>
      <c r="DR208" t="e">
        <f>'All regions'!F5209+"n/&gt;!)fj"</f>
        <v>#VALUE!</v>
      </c>
      <c r="DS208" t="e">
        <f>'All regions'!G5209+"n/&gt;!)fk"</f>
        <v>#VALUE!</v>
      </c>
      <c r="DT208" t="e">
        <f>'All regions'!H5209+"n/&gt;!)fl"</f>
        <v>#VALUE!</v>
      </c>
      <c r="DU208" t="e">
        <f>'All regions'!I5209+"n/&gt;!)fm"</f>
        <v>#VALUE!</v>
      </c>
      <c r="DV208" t="e">
        <f>'All regions'!J5209+"n/&gt;!)fn"</f>
        <v>#VALUE!</v>
      </c>
      <c r="DW208" t="e">
        <f>'All regions'!A5210+"n/&gt;!)fo"</f>
        <v>#VALUE!</v>
      </c>
      <c r="DX208" t="e">
        <f>'All regions'!B5210+"n/&gt;!)fp"</f>
        <v>#VALUE!</v>
      </c>
      <c r="DY208" t="e">
        <f>'All regions'!C5210+"n/&gt;!)fq"</f>
        <v>#VALUE!</v>
      </c>
      <c r="DZ208" t="e">
        <f>'All regions'!D5210+"n/&gt;!)fr"</f>
        <v>#VALUE!</v>
      </c>
      <c r="EA208" t="e">
        <f>'All regions'!E5210+"n/&gt;!)fs"</f>
        <v>#VALUE!</v>
      </c>
      <c r="EB208" t="e">
        <f>'All regions'!F5210+"n/&gt;!)ft"</f>
        <v>#VALUE!</v>
      </c>
      <c r="EC208" t="e">
        <f>'All regions'!G5210+"n/&gt;!)fu"</f>
        <v>#VALUE!</v>
      </c>
      <c r="ED208" t="e">
        <f>'All regions'!H5210+"n/&gt;!)fv"</f>
        <v>#VALUE!</v>
      </c>
      <c r="EE208" t="e">
        <f>'All regions'!I5210+"n/&gt;!)fw"</f>
        <v>#VALUE!</v>
      </c>
      <c r="EF208" t="e">
        <f>'All regions'!J5210+"n/&gt;!)fx"</f>
        <v>#VALUE!</v>
      </c>
      <c r="EG208" t="e">
        <f>'All regions'!A5211+"n/&gt;!)fy"</f>
        <v>#VALUE!</v>
      </c>
      <c r="EH208" t="e">
        <f>'All regions'!B5211+"n/&gt;!)fz"</f>
        <v>#VALUE!</v>
      </c>
      <c r="EI208" t="e">
        <f>'All regions'!C5211+"n/&gt;!)f{"</f>
        <v>#VALUE!</v>
      </c>
      <c r="EJ208" t="e">
        <f>'All regions'!D5211+"n/&gt;!)f|"</f>
        <v>#VALUE!</v>
      </c>
      <c r="EK208" t="e">
        <f>'All regions'!E5211+"n/&gt;!)f}"</f>
        <v>#VALUE!</v>
      </c>
      <c r="EL208" t="e">
        <f>'All regions'!F5211+"n/&gt;!)f~"</f>
        <v>#VALUE!</v>
      </c>
      <c r="EM208" t="e">
        <f>'All regions'!G5211+"n/&gt;!)g#"</f>
        <v>#VALUE!</v>
      </c>
      <c r="EN208" t="e">
        <f>'All regions'!H5211+"n/&gt;!)g$"</f>
        <v>#VALUE!</v>
      </c>
      <c r="EO208" t="e">
        <f>'All regions'!I5211+"n/&gt;!)g%"</f>
        <v>#VALUE!</v>
      </c>
      <c r="EP208" t="e">
        <f>'All regions'!J5211+"n/&gt;!)g&amp;"</f>
        <v>#VALUE!</v>
      </c>
      <c r="EQ208" t="e">
        <f>'All regions'!A5212+"n/&gt;!)g'"</f>
        <v>#VALUE!</v>
      </c>
      <c r="ER208" t="e">
        <f>'All regions'!B5212+"n/&gt;!)g("</f>
        <v>#VALUE!</v>
      </c>
      <c r="ES208" t="e">
        <f>'All regions'!C5212+"n/&gt;!)g)"</f>
        <v>#VALUE!</v>
      </c>
      <c r="ET208" t="e">
        <f>'All regions'!D5212+"n/&gt;!)g."</f>
        <v>#VALUE!</v>
      </c>
      <c r="EU208" t="e">
        <f>'All regions'!E5212+"n/&gt;!)g/"</f>
        <v>#VALUE!</v>
      </c>
      <c r="EV208" t="e">
        <f>'All regions'!F5212+"n/&gt;!)g0"</f>
        <v>#VALUE!</v>
      </c>
      <c r="EW208" t="e">
        <f>'All regions'!G5212+"n/&gt;!)g1"</f>
        <v>#VALUE!</v>
      </c>
      <c r="EX208" t="e">
        <f>'All regions'!H5212+"n/&gt;!)g2"</f>
        <v>#VALUE!</v>
      </c>
      <c r="EY208" t="e">
        <f>'All regions'!I5212+"n/&gt;!)g3"</f>
        <v>#VALUE!</v>
      </c>
      <c r="EZ208" t="e">
        <f>'All regions'!J5212+"n/&gt;!)g4"</f>
        <v>#VALUE!</v>
      </c>
      <c r="FA208" t="e">
        <f>'All regions'!A5213+"n/&gt;!)g5"</f>
        <v>#VALUE!</v>
      </c>
      <c r="FB208" t="e">
        <f>'All regions'!B5213+"n/&gt;!)g6"</f>
        <v>#VALUE!</v>
      </c>
      <c r="FC208" t="e">
        <f>'All regions'!C5213+"n/&gt;!)g7"</f>
        <v>#VALUE!</v>
      </c>
      <c r="FD208" t="e">
        <f>'All regions'!D5213+"n/&gt;!)g8"</f>
        <v>#VALUE!</v>
      </c>
      <c r="FE208" t="e">
        <f>'All regions'!E5213+"n/&gt;!)g9"</f>
        <v>#VALUE!</v>
      </c>
      <c r="FF208" t="e">
        <f>'All regions'!F5213+"n/&gt;!)g:"</f>
        <v>#VALUE!</v>
      </c>
      <c r="FG208" t="e">
        <f>'All regions'!G5213+"n/&gt;!)g;"</f>
        <v>#VALUE!</v>
      </c>
      <c r="FH208" t="e">
        <f>'All regions'!H5213+"n/&gt;!)g&lt;"</f>
        <v>#VALUE!</v>
      </c>
      <c r="FI208" t="e">
        <f>'All regions'!I5213+"n/&gt;!)g="</f>
        <v>#VALUE!</v>
      </c>
      <c r="FJ208" t="e">
        <f>'All regions'!J5213+"n/&gt;!)g&gt;"</f>
        <v>#VALUE!</v>
      </c>
      <c r="FK208" t="e">
        <f>'All regions'!A5214+"n/&gt;!)g?"</f>
        <v>#VALUE!</v>
      </c>
      <c r="FL208" t="e">
        <f>'All regions'!B5214+"n/&gt;!)g@"</f>
        <v>#VALUE!</v>
      </c>
      <c r="FM208" t="e">
        <f>'All regions'!C5214+"n/&gt;!)gA"</f>
        <v>#VALUE!</v>
      </c>
      <c r="FN208" t="e">
        <f>'All regions'!D5214+"n/&gt;!)gB"</f>
        <v>#VALUE!</v>
      </c>
      <c r="FO208" t="e">
        <f>'All regions'!E5214+"n/&gt;!)gC"</f>
        <v>#VALUE!</v>
      </c>
      <c r="FP208" t="e">
        <f>'All regions'!F5214+"n/&gt;!)gD"</f>
        <v>#VALUE!</v>
      </c>
      <c r="FQ208" t="e">
        <f>'All regions'!G5214+"n/&gt;!)gE"</f>
        <v>#VALUE!</v>
      </c>
      <c r="FR208" t="e">
        <f>'All regions'!H5214+"n/&gt;!)gF"</f>
        <v>#VALUE!</v>
      </c>
      <c r="FS208" t="e">
        <f>'All regions'!I5214+"n/&gt;!)gG"</f>
        <v>#VALUE!</v>
      </c>
      <c r="FT208" t="e">
        <f>'All regions'!J5214+"n/&gt;!)gH"</f>
        <v>#VALUE!</v>
      </c>
      <c r="FU208" t="e">
        <f>'All regions'!A5215+"n/&gt;!)gI"</f>
        <v>#VALUE!</v>
      </c>
      <c r="FV208" t="e">
        <f>'All regions'!B5215+"n/&gt;!)gJ"</f>
        <v>#VALUE!</v>
      </c>
      <c r="FW208" t="e">
        <f>'All regions'!C5215+"n/&gt;!)gK"</f>
        <v>#VALUE!</v>
      </c>
      <c r="FX208" t="e">
        <f>'All regions'!D5215+"n/&gt;!)gL"</f>
        <v>#VALUE!</v>
      </c>
      <c r="FY208" t="e">
        <f>'All regions'!E5215+"n/&gt;!)gM"</f>
        <v>#VALUE!</v>
      </c>
      <c r="FZ208" t="e">
        <f>'All regions'!F5215+"n/&gt;!)gN"</f>
        <v>#VALUE!</v>
      </c>
      <c r="GA208" t="e">
        <f>'All regions'!G5215+"n/&gt;!)gO"</f>
        <v>#VALUE!</v>
      </c>
      <c r="GB208" t="e">
        <f>'All regions'!H5215+"n/&gt;!)gP"</f>
        <v>#VALUE!</v>
      </c>
      <c r="GC208" t="e">
        <f>'All regions'!I5215+"n/&gt;!)gQ"</f>
        <v>#VALUE!</v>
      </c>
      <c r="GD208" t="e">
        <f>'All regions'!J5215+"n/&gt;!)gR"</f>
        <v>#VALUE!</v>
      </c>
      <c r="GE208" t="e">
        <f>'All regions'!A5216+"n/&gt;!)gS"</f>
        <v>#VALUE!</v>
      </c>
      <c r="GF208" t="e">
        <f>'All regions'!B5216+"n/&gt;!)gT"</f>
        <v>#VALUE!</v>
      </c>
      <c r="GG208" t="e">
        <f>'All regions'!C5216+"n/&gt;!)gU"</f>
        <v>#VALUE!</v>
      </c>
      <c r="GH208" t="e">
        <f>'All regions'!D5216+"n/&gt;!)gV"</f>
        <v>#VALUE!</v>
      </c>
      <c r="GI208" t="e">
        <f>'All regions'!E5216+"n/&gt;!)gW"</f>
        <v>#VALUE!</v>
      </c>
      <c r="GJ208" t="e">
        <f>'All regions'!F5216+"n/&gt;!)gX"</f>
        <v>#VALUE!</v>
      </c>
      <c r="GK208" t="e">
        <f>'All regions'!G5216+"n/&gt;!)gY"</f>
        <v>#VALUE!</v>
      </c>
      <c r="GL208" t="e">
        <f>'All regions'!H5216+"n/&gt;!)gZ"</f>
        <v>#VALUE!</v>
      </c>
      <c r="GM208" t="e">
        <f>'All regions'!I5216+"n/&gt;!)g["</f>
        <v>#VALUE!</v>
      </c>
      <c r="GN208" t="e">
        <f>'All regions'!J5216+"n/&gt;!)g\"</f>
        <v>#VALUE!</v>
      </c>
      <c r="GO208" t="e">
        <f>'All regions'!A5217+"n/&gt;!)g]"</f>
        <v>#VALUE!</v>
      </c>
      <c r="GP208" t="e">
        <f>'All regions'!B5217+"n/&gt;!)g^"</f>
        <v>#VALUE!</v>
      </c>
      <c r="GQ208" t="e">
        <f>'All regions'!C5217+"n/&gt;!)g_"</f>
        <v>#VALUE!</v>
      </c>
      <c r="GR208" t="e">
        <f>'All regions'!D5217+"n/&gt;!)g`"</f>
        <v>#VALUE!</v>
      </c>
      <c r="GS208" t="e">
        <f>'All regions'!E5217+"n/&gt;!)ga"</f>
        <v>#VALUE!</v>
      </c>
      <c r="GT208" t="e">
        <f>'All regions'!F5217+"n/&gt;!)gb"</f>
        <v>#VALUE!</v>
      </c>
      <c r="GU208" t="e">
        <f>'All regions'!G5217+"n/&gt;!)gc"</f>
        <v>#VALUE!</v>
      </c>
      <c r="GV208" t="e">
        <f>'All regions'!H5217+"n/&gt;!)gd"</f>
        <v>#VALUE!</v>
      </c>
      <c r="GW208" t="e">
        <f>'All regions'!I5217+"n/&gt;!)ge"</f>
        <v>#VALUE!</v>
      </c>
      <c r="GX208" t="e">
        <f>'All regions'!J5217+"n/&gt;!)gf"</f>
        <v>#VALUE!</v>
      </c>
      <c r="GY208" t="e">
        <f>'All regions'!A5218+"n/&gt;!)gg"</f>
        <v>#VALUE!</v>
      </c>
      <c r="GZ208" t="e">
        <f>'All regions'!B5218+"n/&gt;!)gh"</f>
        <v>#VALUE!</v>
      </c>
      <c r="HA208" t="e">
        <f>'All regions'!C5218+"n/&gt;!)gi"</f>
        <v>#VALUE!</v>
      </c>
      <c r="HB208" t="e">
        <f>'All regions'!D5218+"n/&gt;!)gj"</f>
        <v>#VALUE!</v>
      </c>
      <c r="HC208" t="e">
        <f>'All regions'!E5218+"n/&gt;!)gk"</f>
        <v>#VALUE!</v>
      </c>
      <c r="HD208" t="e">
        <f>'All regions'!F5218+"n/&gt;!)gl"</f>
        <v>#VALUE!</v>
      </c>
      <c r="HE208" t="e">
        <f>'All regions'!G5218+"n/&gt;!)gm"</f>
        <v>#VALUE!</v>
      </c>
      <c r="HF208" t="e">
        <f>'All regions'!H5218+"n/&gt;!)gn"</f>
        <v>#VALUE!</v>
      </c>
      <c r="HG208" t="e">
        <f>'All regions'!I5218+"n/&gt;!)go"</f>
        <v>#VALUE!</v>
      </c>
      <c r="HH208" t="e">
        <f>'All regions'!J5218+"n/&gt;!)gp"</f>
        <v>#VALUE!</v>
      </c>
      <c r="HI208" t="e">
        <f>'All regions'!A5219+"n/&gt;!)gq"</f>
        <v>#VALUE!</v>
      </c>
      <c r="HJ208" t="e">
        <f>'All regions'!B5219+"n/&gt;!)gr"</f>
        <v>#VALUE!</v>
      </c>
      <c r="HK208" t="e">
        <f>'All regions'!C5219+"n/&gt;!)gs"</f>
        <v>#VALUE!</v>
      </c>
      <c r="HL208" t="e">
        <f>'All regions'!D5219+"n/&gt;!)gt"</f>
        <v>#VALUE!</v>
      </c>
      <c r="HM208" t="e">
        <f>'All regions'!E5219+"n/&gt;!)gu"</f>
        <v>#VALUE!</v>
      </c>
      <c r="HN208" t="e">
        <f>'All regions'!F5219+"n/&gt;!)gv"</f>
        <v>#VALUE!</v>
      </c>
      <c r="HO208" t="e">
        <f>'All regions'!G5219+"n/&gt;!)gw"</f>
        <v>#VALUE!</v>
      </c>
      <c r="HP208" t="e">
        <f>'All regions'!H5219+"n/&gt;!)gx"</f>
        <v>#VALUE!</v>
      </c>
      <c r="HQ208" t="e">
        <f>'All regions'!I5219+"n/&gt;!)gy"</f>
        <v>#VALUE!</v>
      </c>
      <c r="HR208" t="e">
        <f>'All regions'!J5219+"n/&gt;!)gz"</f>
        <v>#VALUE!</v>
      </c>
      <c r="HS208" t="e">
        <f>'All regions'!A5220+"n/&gt;!)g{"</f>
        <v>#VALUE!</v>
      </c>
      <c r="HT208" t="e">
        <f>'All regions'!B5220+"n/&gt;!)g|"</f>
        <v>#VALUE!</v>
      </c>
      <c r="HU208" t="e">
        <f>'All regions'!C5220+"n/&gt;!)g}"</f>
        <v>#VALUE!</v>
      </c>
      <c r="HV208" t="e">
        <f>'All regions'!D5220+"n/&gt;!)g~"</f>
        <v>#VALUE!</v>
      </c>
      <c r="HW208" t="e">
        <f>'All regions'!E5220+"n/&gt;!)h#"</f>
        <v>#VALUE!</v>
      </c>
      <c r="HX208" t="e">
        <f>'All regions'!F5220+"n/&gt;!)h$"</f>
        <v>#VALUE!</v>
      </c>
      <c r="HY208" t="e">
        <f>'All regions'!G5220+"n/&gt;!)h%"</f>
        <v>#VALUE!</v>
      </c>
      <c r="HZ208" t="e">
        <f>'All regions'!H5220+"n/&gt;!)h&amp;"</f>
        <v>#VALUE!</v>
      </c>
      <c r="IA208" t="e">
        <f>'All regions'!I5220+"n/&gt;!)h'"</f>
        <v>#VALUE!</v>
      </c>
      <c r="IB208" t="e">
        <f>'All regions'!J5220+"n/&gt;!)h("</f>
        <v>#VALUE!</v>
      </c>
      <c r="IC208" t="e">
        <f>'All regions'!A5221+"n/&gt;!)h)"</f>
        <v>#VALUE!</v>
      </c>
      <c r="ID208" t="e">
        <f>'All regions'!B5221+"n/&gt;!)h."</f>
        <v>#VALUE!</v>
      </c>
      <c r="IE208" t="e">
        <f>'All regions'!C5221+"n/&gt;!)h/"</f>
        <v>#VALUE!</v>
      </c>
      <c r="IF208" t="e">
        <f>'All regions'!D5221+"n/&gt;!)h0"</f>
        <v>#VALUE!</v>
      </c>
      <c r="IG208" t="e">
        <f>'All regions'!E5221+"n/&gt;!)h1"</f>
        <v>#VALUE!</v>
      </c>
      <c r="IH208" t="e">
        <f>'All regions'!F5221+"n/&gt;!)h2"</f>
        <v>#VALUE!</v>
      </c>
      <c r="II208" t="e">
        <f>'All regions'!G5221+"n/&gt;!)h3"</f>
        <v>#VALUE!</v>
      </c>
      <c r="IJ208" t="e">
        <f>'All regions'!H5221+"n/&gt;!)h4"</f>
        <v>#VALUE!</v>
      </c>
      <c r="IK208" t="e">
        <f>'All regions'!I5221+"n/&gt;!)h5"</f>
        <v>#VALUE!</v>
      </c>
      <c r="IL208" t="e">
        <f>'All regions'!J5221+"n/&gt;!)h6"</f>
        <v>#VALUE!</v>
      </c>
      <c r="IM208" t="e">
        <f>'All regions'!A5222+"n/&gt;!)h7"</f>
        <v>#VALUE!</v>
      </c>
      <c r="IN208" t="e">
        <f>'All regions'!B5222+"n/&gt;!)h8"</f>
        <v>#VALUE!</v>
      </c>
      <c r="IO208" t="e">
        <f>'All regions'!C5222+"n/&gt;!)h9"</f>
        <v>#VALUE!</v>
      </c>
      <c r="IP208" t="e">
        <f>'All regions'!D5222+"n/&gt;!)h:"</f>
        <v>#VALUE!</v>
      </c>
      <c r="IQ208" t="e">
        <f>'All regions'!E5222+"n/&gt;!)h;"</f>
        <v>#VALUE!</v>
      </c>
      <c r="IR208" t="e">
        <f>'All regions'!F5222+"n/&gt;!)h&lt;"</f>
        <v>#VALUE!</v>
      </c>
      <c r="IS208" t="e">
        <f>'All regions'!G5222+"n/&gt;!)h="</f>
        <v>#VALUE!</v>
      </c>
      <c r="IT208" t="e">
        <f>'All regions'!H5222+"n/&gt;!)h&gt;"</f>
        <v>#VALUE!</v>
      </c>
      <c r="IU208" t="e">
        <f>'All regions'!I5222+"n/&gt;!)h?"</f>
        <v>#VALUE!</v>
      </c>
      <c r="IV208" t="e">
        <f>'All regions'!J5222+"n/&gt;!)h@"</f>
        <v>#VALUE!</v>
      </c>
    </row>
    <row r="209" spans="6:256" x14ac:dyDescent="0.35">
      <c r="F209" t="e">
        <f>'All regions'!A5223+"n/&gt;!)hA"</f>
        <v>#VALUE!</v>
      </c>
      <c r="G209" t="e">
        <f>'All regions'!B5223+"n/&gt;!)hB"</f>
        <v>#VALUE!</v>
      </c>
      <c r="H209" t="e">
        <f>'All regions'!C5223+"n/&gt;!)hC"</f>
        <v>#VALUE!</v>
      </c>
      <c r="I209" t="e">
        <f>'All regions'!D5223+"n/&gt;!)hD"</f>
        <v>#VALUE!</v>
      </c>
      <c r="J209" t="e">
        <f>'All regions'!E5223+"n/&gt;!)hE"</f>
        <v>#VALUE!</v>
      </c>
      <c r="K209" t="e">
        <f>'All regions'!F5223+"n/&gt;!)hF"</f>
        <v>#VALUE!</v>
      </c>
      <c r="L209" t="e">
        <f>'All regions'!G5223+"n/&gt;!)hG"</f>
        <v>#VALUE!</v>
      </c>
      <c r="M209" t="e">
        <f>'All regions'!H5223+"n/&gt;!)hH"</f>
        <v>#VALUE!</v>
      </c>
      <c r="N209" t="e">
        <f>'All regions'!I5223+"n/&gt;!)hI"</f>
        <v>#VALUE!</v>
      </c>
      <c r="O209" t="e">
        <f>'All regions'!J5223+"n/&gt;!)hJ"</f>
        <v>#VALUE!</v>
      </c>
      <c r="P209" t="e">
        <f>'All regions'!A5224+"n/&gt;!)hK"</f>
        <v>#VALUE!</v>
      </c>
      <c r="Q209" t="e">
        <f>'All regions'!B5224+"n/&gt;!)hL"</f>
        <v>#VALUE!</v>
      </c>
      <c r="R209" t="e">
        <f>'All regions'!C5224+"n/&gt;!)hM"</f>
        <v>#VALUE!</v>
      </c>
      <c r="S209" t="e">
        <f>'All regions'!D5224+"n/&gt;!)hN"</f>
        <v>#VALUE!</v>
      </c>
      <c r="T209" t="e">
        <f>'All regions'!E5224+"n/&gt;!)hO"</f>
        <v>#VALUE!</v>
      </c>
      <c r="U209" t="e">
        <f>'All regions'!F5224+"n/&gt;!)hP"</f>
        <v>#VALUE!</v>
      </c>
      <c r="V209" t="e">
        <f>'All regions'!G5224+"n/&gt;!)hQ"</f>
        <v>#VALUE!</v>
      </c>
      <c r="W209" t="e">
        <f>'All regions'!H5224+"n/&gt;!)hR"</f>
        <v>#VALUE!</v>
      </c>
      <c r="X209" t="e">
        <f>'All regions'!I5224+"n/&gt;!)hS"</f>
        <v>#VALUE!</v>
      </c>
      <c r="Y209" t="e">
        <f>'All regions'!J5224+"n/&gt;!)hT"</f>
        <v>#VALUE!</v>
      </c>
      <c r="Z209" t="e">
        <f>'All regions'!A5225+"n/&gt;!)hU"</f>
        <v>#VALUE!</v>
      </c>
      <c r="AA209" t="e">
        <f>'All regions'!B5225+"n/&gt;!)hV"</f>
        <v>#VALUE!</v>
      </c>
      <c r="AB209" t="e">
        <f>'All regions'!C5225+"n/&gt;!)hW"</f>
        <v>#VALUE!</v>
      </c>
      <c r="AC209" t="e">
        <f>'All regions'!D5225+"n/&gt;!)hX"</f>
        <v>#VALUE!</v>
      </c>
      <c r="AD209" t="e">
        <f>'All regions'!E5225+"n/&gt;!)hY"</f>
        <v>#VALUE!</v>
      </c>
      <c r="AE209" t="e">
        <f>'All regions'!F5225+"n/&gt;!)hZ"</f>
        <v>#VALUE!</v>
      </c>
      <c r="AF209" t="e">
        <f>'All regions'!G5225+"n/&gt;!)h["</f>
        <v>#VALUE!</v>
      </c>
      <c r="AG209" t="e">
        <f>'All regions'!H5225+"n/&gt;!)h\"</f>
        <v>#VALUE!</v>
      </c>
      <c r="AH209" t="e">
        <f>'All regions'!I5225+"n/&gt;!)h]"</f>
        <v>#VALUE!</v>
      </c>
      <c r="AI209" t="e">
        <f>'All regions'!J5225+"n/&gt;!)h^"</f>
        <v>#VALUE!</v>
      </c>
      <c r="AJ209" t="e">
        <f>'All regions'!A5226+"n/&gt;!)h_"</f>
        <v>#VALUE!</v>
      </c>
      <c r="AK209" t="e">
        <f>'All regions'!B5226+"n/&gt;!)h`"</f>
        <v>#VALUE!</v>
      </c>
      <c r="AL209" t="e">
        <f>'All regions'!C5226+"n/&gt;!)ha"</f>
        <v>#VALUE!</v>
      </c>
      <c r="AM209" t="e">
        <f>'All regions'!D5226+"n/&gt;!)hb"</f>
        <v>#VALUE!</v>
      </c>
      <c r="AN209" t="e">
        <f>'All regions'!E5226+"n/&gt;!)hc"</f>
        <v>#VALUE!</v>
      </c>
      <c r="AO209" t="e">
        <f>'All regions'!F5226+"n/&gt;!)hd"</f>
        <v>#VALUE!</v>
      </c>
      <c r="AP209" t="e">
        <f>'All regions'!G5226+"n/&gt;!)he"</f>
        <v>#VALUE!</v>
      </c>
      <c r="AQ209" t="e">
        <f>'All regions'!H5226+"n/&gt;!)hf"</f>
        <v>#VALUE!</v>
      </c>
      <c r="AR209" t="e">
        <f>'All regions'!I5226+"n/&gt;!)hg"</f>
        <v>#VALUE!</v>
      </c>
      <c r="AS209" t="e">
        <f>'All regions'!J5226+"n/&gt;!)hh"</f>
        <v>#VALUE!</v>
      </c>
      <c r="AT209" t="e">
        <f>'All regions'!A5227+"n/&gt;!)hi"</f>
        <v>#VALUE!</v>
      </c>
      <c r="AU209" t="e">
        <f>'All regions'!B5227+"n/&gt;!)hj"</f>
        <v>#VALUE!</v>
      </c>
      <c r="AV209" t="e">
        <f>'All regions'!C5227+"n/&gt;!)hk"</f>
        <v>#VALUE!</v>
      </c>
      <c r="AW209" t="e">
        <f>'All regions'!D5227+"n/&gt;!)hl"</f>
        <v>#VALUE!</v>
      </c>
      <c r="AX209" t="e">
        <f>'All regions'!E5227+"n/&gt;!)hm"</f>
        <v>#VALUE!</v>
      </c>
      <c r="AY209" t="e">
        <f>'All regions'!F5227+"n/&gt;!)hn"</f>
        <v>#VALUE!</v>
      </c>
      <c r="AZ209" t="e">
        <f>'All regions'!G5227+"n/&gt;!)ho"</f>
        <v>#VALUE!</v>
      </c>
      <c r="BA209" t="e">
        <f>'All regions'!H5227+"n/&gt;!)hp"</f>
        <v>#VALUE!</v>
      </c>
      <c r="BB209" t="e">
        <f>'All regions'!I5227+"n/&gt;!)hq"</f>
        <v>#VALUE!</v>
      </c>
      <c r="BC209" t="e">
        <f>'All regions'!J5227+"n/&gt;!)hr"</f>
        <v>#VALUE!</v>
      </c>
      <c r="BD209" t="e">
        <f>'All regions'!A5228+"n/&gt;!)hs"</f>
        <v>#VALUE!</v>
      </c>
      <c r="BE209" t="e">
        <f>'All regions'!B5228+"n/&gt;!)ht"</f>
        <v>#VALUE!</v>
      </c>
      <c r="BF209" t="e">
        <f>'All regions'!C5228+"n/&gt;!)hu"</f>
        <v>#VALUE!</v>
      </c>
      <c r="BG209" t="e">
        <f>'All regions'!D5228+"n/&gt;!)hv"</f>
        <v>#VALUE!</v>
      </c>
      <c r="BH209" t="e">
        <f>'All regions'!E5228+"n/&gt;!)hw"</f>
        <v>#VALUE!</v>
      </c>
      <c r="BI209" t="e">
        <f>'All regions'!F5228+"n/&gt;!)hx"</f>
        <v>#VALUE!</v>
      </c>
      <c r="BJ209" t="e">
        <f>'All regions'!G5228+"n/&gt;!)hy"</f>
        <v>#VALUE!</v>
      </c>
      <c r="BK209" t="e">
        <f>'All regions'!H5228+"n/&gt;!)hz"</f>
        <v>#VALUE!</v>
      </c>
      <c r="BL209" t="e">
        <f>'All regions'!I5228+"n/&gt;!)h{"</f>
        <v>#VALUE!</v>
      </c>
      <c r="BM209" t="e">
        <f>'All regions'!J5228+"n/&gt;!)h|"</f>
        <v>#VALUE!</v>
      </c>
      <c r="BN209" t="e">
        <f>'All regions'!A5229+"n/&gt;!)h}"</f>
        <v>#VALUE!</v>
      </c>
      <c r="BO209" t="e">
        <f>'All regions'!B5229+"n/&gt;!)h~"</f>
        <v>#VALUE!</v>
      </c>
      <c r="BP209" t="e">
        <f>'All regions'!C5229+"n/&gt;!)i#"</f>
        <v>#VALUE!</v>
      </c>
      <c r="BQ209" t="e">
        <f>'All regions'!D5229+"n/&gt;!)i$"</f>
        <v>#VALUE!</v>
      </c>
      <c r="BR209" t="e">
        <f>'All regions'!E5229+"n/&gt;!)i%"</f>
        <v>#VALUE!</v>
      </c>
      <c r="BS209" t="e">
        <f>'All regions'!F5229+"n/&gt;!)i&amp;"</f>
        <v>#VALUE!</v>
      </c>
      <c r="BT209" t="e">
        <f>'All regions'!G5229+"n/&gt;!)i'"</f>
        <v>#VALUE!</v>
      </c>
      <c r="BU209" t="e">
        <f>'All regions'!H5229+"n/&gt;!)i("</f>
        <v>#VALUE!</v>
      </c>
      <c r="BV209" t="e">
        <f>'All regions'!I5229+"n/&gt;!)i)"</f>
        <v>#VALUE!</v>
      </c>
      <c r="BW209" t="e">
        <f>'All regions'!J5229+"n/&gt;!)i."</f>
        <v>#VALUE!</v>
      </c>
      <c r="BX209" t="e">
        <f>'All regions'!A5230+"n/&gt;!)i/"</f>
        <v>#VALUE!</v>
      </c>
      <c r="BY209" t="e">
        <f>'All regions'!B5230+"n/&gt;!)i0"</f>
        <v>#VALUE!</v>
      </c>
      <c r="BZ209" t="e">
        <f>'All regions'!C5230+"n/&gt;!)i1"</f>
        <v>#VALUE!</v>
      </c>
      <c r="CA209" t="e">
        <f>'All regions'!D5230+"n/&gt;!)i2"</f>
        <v>#VALUE!</v>
      </c>
      <c r="CB209" t="e">
        <f>'All regions'!E5230+"n/&gt;!)i3"</f>
        <v>#VALUE!</v>
      </c>
      <c r="CC209" t="e">
        <f>'All regions'!F5230+"n/&gt;!)i4"</f>
        <v>#VALUE!</v>
      </c>
      <c r="CD209" t="e">
        <f>'All regions'!G5230+"n/&gt;!)i5"</f>
        <v>#VALUE!</v>
      </c>
      <c r="CE209" t="e">
        <f>'All regions'!H5230+"n/&gt;!)i6"</f>
        <v>#VALUE!</v>
      </c>
      <c r="CF209" t="e">
        <f>'All regions'!I5230+"n/&gt;!)i7"</f>
        <v>#VALUE!</v>
      </c>
      <c r="CG209" t="e">
        <f>'All regions'!J5230+"n/&gt;!)i8"</f>
        <v>#VALUE!</v>
      </c>
      <c r="CH209" t="e">
        <f>'All regions'!A5231+"n/&gt;!)i9"</f>
        <v>#VALUE!</v>
      </c>
      <c r="CI209" t="e">
        <f>'All regions'!B5231+"n/&gt;!)i:"</f>
        <v>#VALUE!</v>
      </c>
      <c r="CJ209" t="e">
        <f>'All regions'!C5231+"n/&gt;!)i;"</f>
        <v>#VALUE!</v>
      </c>
      <c r="CK209" t="e">
        <f>'All regions'!D5231+"n/&gt;!)i&lt;"</f>
        <v>#VALUE!</v>
      </c>
      <c r="CL209" t="e">
        <f>'All regions'!E5231+"n/&gt;!)i="</f>
        <v>#VALUE!</v>
      </c>
      <c r="CM209" t="e">
        <f>'All regions'!F5231+"n/&gt;!)i&gt;"</f>
        <v>#VALUE!</v>
      </c>
      <c r="CN209" t="e">
        <f>'All regions'!G5231+"n/&gt;!)i?"</f>
        <v>#VALUE!</v>
      </c>
      <c r="CO209" t="e">
        <f>'All regions'!H5231+"n/&gt;!)i@"</f>
        <v>#VALUE!</v>
      </c>
      <c r="CP209" t="e">
        <f>'All regions'!I5231+"n/&gt;!)iA"</f>
        <v>#VALUE!</v>
      </c>
      <c r="CQ209" t="e">
        <f>'All regions'!J5231+"n/&gt;!)iB"</f>
        <v>#VALUE!</v>
      </c>
      <c r="CR209" t="e">
        <f>'All regions'!A5232+"n/&gt;!)iC"</f>
        <v>#VALUE!</v>
      </c>
      <c r="CS209" t="e">
        <f>'All regions'!B5232+"n/&gt;!)iD"</f>
        <v>#VALUE!</v>
      </c>
      <c r="CT209" t="e">
        <f>'All regions'!C5232+"n/&gt;!)iE"</f>
        <v>#VALUE!</v>
      </c>
      <c r="CU209" t="e">
        <f>'All regions'!D5232+"n/&gt;!)iF"</f>
        <v>#VALUE!</v>
      </c>
      <c r="CV209" t="e">
        <f>'All regions'!E5232+"n/&gt;!)iG"</f>
        <v>#VALUE!</v>
      </c>
      <c r="CW209" t="e">
        <f>'All regions'!F5232+"n/&gt;!)iH"</f>
        <v>#VALUE!</v>
      </c>
      <c r="CX209" t="e">
        <f>'All regions'!G5232+"n/&gt;!)iI"</f>
        <v>#VALUE!</v>
      </c>
      <c r="CY209" t="e">
        <f>'All regions'!H5232+"n/&gt;!)iJ"</f>
        <v>#VALUE!</v>
      </c>
      <c r="CZ209" t="e">
        <f>'All regions'!I5232+"n/&gt;!)iK"</f>
        <v>#VALUE!</v>
      </c>
      <c r="DA209" t="e">
        <f>'All regions'!J5232+"n/&gt;!)iL"</f>
        <v>#VALUE!</v>
      </c>
      <c r="DB209" t="e">
        <f>'All regions'!A5233+"n/&gt;!)iM"</f>
        <v>#VALUE!</v>
      </c>
      <c r="DC209" t="e">
        <f>'All regions'!B5233+"n/&gt;!)iN"</f>
        <v>#VALUE!</v>
      </c>
      <c r="DD209" t="e">
        <f>'All regions'!C5233+"n/&gt;!)iO"</f>
        <v>#VALUE!</v>
      </c>
      <c r="DE209" t="e">
        <f>'All regions'!D5233+"n/&gt;!)iP"</f>
        <v>#VALUE!</v>
      </c>
      <c r="DF209" t="e">
        <f>'All regions'!E5233+"n/&gt;!)iQ"</f>
        <v>#VALUE!</v>
      </c>
      <c r="DG209" t="e">
        <f>'All regions'!F5233+"n/&gt;!)iR"</f>
        <v>#VALUE!</v>
      </c>
      <c r="DH209" t="e">
        <f>'All regions'!H5233+"n/&gt;!)iS"</f>
        <v>#VALUE!</v>
      </c>
      <c r="DI209" t="e">
        <f>'All regions'!I5233+"n/&gt;!)iT"</f>
        <v>#VALUE!</v>
      </c>
      <c r="DJ209" t="e">
        <f>'All regions'!J5233+"n/&gt;!)iU"</f>
        <v>#VALUE!</v>
      </c>
      <c r="DK209" t="e">
        <f>'All regions'!A5234+"n/&gt;!)iV"</f>
        <v>#VALUE!</v>
      </c>
      <c r="DL209" t="e">
        <f>'All regions'!B5234+"n/&gt;!)iW"</f>
        <v>#VALUE!</v>
      </c>
      <c r="DM209" t="e">
        <f>'All regions'!C5234+"n/&gt;!)iX"</f>
        <v>#VALUE!</v>
      </c>
      <c r="DN209" t="e">
        <f>'All regions'!D5234+"n/&gt;!)iY"</f>
        <v>#VALUE!</v>
      </c>
      <c r="DO209" t="e">
        <f>'All regions'!E5234+"n/&gt;!)iZ"</f>
        <v>#VALUE!</v>
      </c>
      <c r="DP209" t="e">
        <f>'All regions'!F5234+"n/&gt;!)i["</f>
        <v>#VALUE!</v>
      </c>
      <c r="DQ209" t="e">
        <f>'All regions'!G5234+"n/&gt;!)i\"</f>
        <v>#VALUE!</v>
      </c>
      <c r="DR209" t="e">
        <f>'All regions'!H5234+"n/&gt;!)i]"</f>
        <v>#VALUE!</v>
      </c>
      <c r="DS209" t="e">
        <f>'All regions'!I5234+"n/&gt;!)i^"</f>
        <v>#VALUE!</v>
      </c>
      <c r="DT209" t="e">
        <f>'All regions'!J5234+"n/&gt;!)i_"</f>
        <v>#VALUE!</v>
      </c>
      <c r="DU209" t="e">
        <f>'All regions'!A5235+"n/&gt;!)i`"</f>
        <v>#VALUE!</v>
      </c>
      <c r="DV209" t="e">
        <f>'All regions'!B5235+"n/&gt;!)ia"</f>
        <v>#VALUE!</v>
      </c>
      <c r="DW209" t="e">
        <f>'All regions'!C5235+"n/&gt;!)ib"</f>
        <v>#VALUE!</v>
      </c>
      <c r="DX209" t="e">
        <f>'All regions'!D5235+"n/&gt;!)ic"</f>
        <v>#VALUE!</v>
      </c>
      <c r="DY209" t="e">
        <f>'All regions'!E5235+"n/&gt;!)id"</f>
        <v>#VALUE!</v>
      </c>
      <c r="DZ209" t="e">
        <f>'All regions'!F5235+"n/&gt;!)ie"</f>
        <v>#VALUE!</v>
      </c>
      <c r="EA209" t="e">
        <f>'All regions'!G5235+"n/&gt;!)if"</f>
        <v>#VALUE!</v>
      </c>
      <c r="EB209" t="e">
        <f>'All regions'!H5235+"n/&gt;!)ig"</f>
        <v>#VALUE!</v>
      </c>
      <c r="EC209" t="e">
        <f>'All regions'!I5235+"n/&gt;!)ih"</f>
        <v>#VALUE!</v>
      </c>
      <c r="ED209" t="e">
        <f>'All regions'!J5235+"n/&gt;!)ii"</f>
        <v>#VALUE!</v>
      </c>
      <c r="EE209" t="e">
        <f>'All regions'!A5236+"n/&gt;!)ij"</f>
        <v>#VALUE!</v>
      </c>
      <c r="EF209" t="e">
        <f>'All regions'!B5236+"n/&gt;!)ik"</f>
        <v>#VALUE!</v>
      </c>
      <c r="EG209" t="e">
        <f>'All regions'!C5236+"n/&gt;!)il"</f>
        <v>#VALUE!</v>
      </c>
      <c r="EH209" t="e">
        <f>'All regions'!D5236+"n/&gt;!)im"</f>
        <v>#VALUE!</v>
      </c>
      <c r="EI209" t="e">
        <f>'All regions'!E5236+"n/&gt;!)in"</f>
        <v>#VALUE!</v>
      </c>
      <c r="EJ209" t="e">
        <f>'All regions'!F5236+"n/&gt;!)io"</f>
        <v>#VALUE!</v>
      </c>
      <c r="EK209" t="e">
        <f>'All regions'!G5236+"n/&gt;!)ip"</f>
        <v>#VALUE!</v>
      </c>
      <c r="EL209" t="e">
        <f>'All regions'!H5236+"n/&gt;!)iq"</f>
        <v>#VALUE!</v>
      </c>
      <c r="EM209" t="e">
        <f>'All regions'!I5236+"n/&gt;!)ir"</f>
        <v>#VALUE!</v>
      </c>
      <c r="EN209" t="e">
        <f>'All regions'!J5236+"n/&gt;!)is"</f>
        <v>#VALUE!</v>
      </c>
      <c r="EO209" t="e">
        <f>'All regions'!A5237+"n/&gt;!)it"</f>
        <v>#VALUE!</v>
      </c>
      <c r="EP209" t="e">
        <f>'All regions'!B5237+"n/&gt;!)iu"</f>
        <v>#VALUE!</v>
      </c>
      <c r="EQ209" t="e">
        <f>'All regions'!C5237+"n/&gt;!)iv"</f>
        <v>#VALUE!</v>
      </c>
      <c r="ER209" t="e">
        <f>'All regions'!D5237+"n/&gt;!)iw"</f>
        <v>#VALUE!</v>
      </c>
      <c r="ES209" t="e">
        <f>'All regions'!E5237+"n/&gt;!)ix"</f>
        <v>#VALUE!</v>
      </c>
      <c r="ET209" t="e">
        <f>'All regions'!F5237+"n/&gt;!)iy"</f>
        <v>#VALUE!</v>
      </c>
      <c r="EU209" t="e">
        <f>'All regions'!G5237+"n/&gt;!)iz"</f>
        <v>#VALUE!</v>
      </c>
      <c r="EV209" t="e">
        <f>'All regions'!H5237+"n/&gt;!)i{"</f>
        <v>#VALUE!</v>
      </c>
      <c r="EW209" t="e">
        <f>'All regions'!I5237+"n/&gt;!)i|"</f>
        <v>#VALUE!</v>
      </c>
      <c r="EX209" t="e">
        <f>'All regions'!J5237+"n/&gt;!)i}"</f>
        <v>#VALUE!</v>
      </c>
      <c r="EY209" t="e">
        <f>'All regions'!A5238+"n/&gt;!)i~"</f>
        <v>#VALUE!</v>
      </c>
      <c r="EZ209" t="e">
        <f>'All regions'!B5238+"n/&gt;!)j#"</f>
        <v>#VALUE!</v>
      </c>
      <c r="FA209" t="e">
        <f>'All regions'!C5238+"n/&gt;!)j$"</f>
        <v>#VALUE!</v>
      </c>
      <c r="FB209" t="e">
        <f>'All regions'!D5238+"n/&gt;!)j%"</f>
        <v>#VALUE!</v>
      </c>
      <c r="FC209" t="e">
        <f>'All regions'!E5238+"n/&gt;!)j&amp;"</f>
        <v>#VALUE!</v>
      </c>
      <c r="FD209" t="e">
        <f>'All regions'!F5238+"n/&gt;!)j'"</f>
        <v>#VALUE!</v>
      </c>
      <c r="FE209" t="e">
        <f>'All regions'!G5238+"n/&gt;!)j("</f>
        <v>#VALUE!</v>
      </c>
      <c r="FF209" t="e">
        <f>'All regions'!H5238+"n/&gt;!)j)"</f>
        <v>#VALUE!</v>
      </c>
      <c r="FG209" t="e">
        <f>'All regions'!I5238+"n/&gt;!)j."</f>
        <v>#VALUE!</v>
      </c>
      <c r="FH209" t="e">
        <f>'All regions'!J5238+"n/&gt;!)j/"</f>
        <v>#VALUE!</v>
      </c>
      <c r="FI209" t="e">
        <f>'All regions'!A5239+"n/&gt;!)j0"</f>
        <v>#VALUE!</v>
      </c>
      <c r="FJ209" t="e">
        <f>'All regions'!B5239+"n/&gt;!)j1"</f>
        <v>#VALUE!</v>
      </c>
      <c r="FK209" t="e">
        <f>'All regions'!C5239+"n/&gt;!)j2"</f>
        <v>#VALUE!</v>
      </c>
      <c r="FL209" t="e">
        <f>'All regions'!D5239+"n/&gt;!)j3"</f>
        <v>#VALUE!</v>
      </c>
      <c r="FM209" t="e">
        <f>'All regions'!E5239+"n/&gt;!)j4"</f>
        <v>#VALUE!</v>
      </c>
      <c r="FN209" t="e">
        <f>'All regions'!F5239+"n/&gt;!)j5"</f>
        <v>#VALUE!</v>
      </c>
      <c r="FO209" t="e">
        <f>'All regions'!G5239+"n/&gt;!)j6"</f>
        <v>#VALUE!</v>
      </c>
      <c r="FP209" t="e">
        <f>'All regions'!H5239+"n/&gt;!)j7"</f>
        <v>#VALUE!</v>
      </c>
      <c r="FQ209" t="e">
        <f>'All regions'!I5239+"n/&gt;!)j8"</f>
        <v>#VALUE!</v>
      </c>
      <c r="FR209" t="e">
        <f>'All regions'!J5239+"n/&gt;!)j9"</f>
        <v>#VALUE!</v>
      </c>
      <c r="FS209" t="e">
        <f>'All regions'!A5240+"n/&gt;!)j:"</f>
        <v>#VALUE!</v>
      </c>
      <c r="FT209" t="e">
        <f>'All regions'!B5240+"n/&gt;!)j;"</f>
        <v>#VALUE!</v>
      </c>
      <c r="FU209" t="e">
        <f>'All regions'!C5240+"n/&gt;!)j&lt;"</f>
        <v>#VALUE!</v>
      </c>
      <c r="FV209" t="e">
        <f>'All regions'!D5240+"n/&gt;!)j="</f>
        <v>#VALUE!</v>
      </c>
      <c r="FW209" t="e">
        <f>'All regions'!E5240+"n/&gt;!)j&gt;"</f>
        <v>#VALUE!</v>
      </c>
      <c r="FX209" t="e">
        <f>'All regions'!F5240+"n/&gt;!)j?"</f>
        <v>#VALUE!</v>
      </c>
      <c r="FY209" t="e">
        <f>'All regions'!G5240+"n/&gt;!)j@"</f>
        <v>#VALUE!</v>
      </c>
      <c r="FZ209" t="e">
        <f>'All regions'!H5240+"n/&gt;!)jA"</f>
        <v>#VALUE!</v>
      </c>
      <c r="GA209" t="e">
        <f>'All regions'!I5240+"n/&gt;!)jB"</f>
        <v>#VALUE!</v>
      </c>
      <c r="GB209" t="e">
        <f>'All regions'!J5240+"n/&gt;!)jC"</f>
        <v>#VALUE!</v>
      </c>
      <c r="GC209" t="e">
        <f>'All regions'!A5241+"n/&gt;!)jD"</f>
        <v>#VALUE!</v>
      </c>
      <c r="GD209" t="e">
        <f>'All regions'!B5241+"n/&gt;!)jE"</f>
        <v>#VALUE!</v>
      </c>
      <c r="GE209" t="e">
        <f>'All regions'!C5241+"n/&gt;!)jF"</f>
        <v>#VALUE!</v>
      </c>
      <c r="GF209" t="e">
        <f>'All regions'!D5241+"n/&gt;!)jG"</f>
        <v>#VALUE!</v>
      </c>
      <c r="GG209" t="e">
        <f>'All regions'!E5241+"n/&gt;!)jH"</f>
        <v>#VALUE!</v>
      </c>
      <c r="GH209" t="e">
        <f>'All regions'!F5241+"n/&gt;!)jI"</f>
        <v>#VALUE!</v>
      </c>
      <c r="GI209" t="e">
        <f>'All regions'!G5241+"n/&gt;!)jJ"</f>
        <v>#VALUE!</v>
      </c>
      <c r="GJ209" t="e">
        <f>'All regions'!H5241+"n/&gt;!)jK"</f>
        <v>#VALUE!</v>
      </c>
      <c r="GK209" t="e">
        <f>'All regions'!I5241+"n/&gt;!)jL"</f>
        <v>#VALUE!</v>
      </c>
      <c r="GL209" t="e">
        <f>'All regions'!J5241+"n/&gt;!)jM"</f>
        <v>#VALUE!</v>
      </c>
      <c r="GM209" t="e">
        <f>'All regions'!A5242+"n/&gt;!)jN"</f>
        <v>#VALUE!</v>
      </c>
      <c r="GN209" t="e">
        <f>'All regions'!B5242+"n/&gt;!)jO"</f>
        <v>#VALUE!</v>
      </c>
      <c r="GO209" t="e">
        <f>'All regions'!C5242+"n/&gt;!)jP"</f>
        <v>#VALUE!</v>
      </c>
      <c r="GP209" t="e">
        <f>'All regions'!D5242+"n/&gt;!)jQ"</f>
        <v>#VALUE!</v>
      </c>
      <c r="GQ209" t="e">
        <f>'All regions'!E5242+"n/&gt;!)jR"</f>
        <v>#VALUE!</v>
      </c>
      <c r="GR209" t="e">
        <f>'All regions'!F5242+"n/&gt;!)jS"</f>
        <v>#VALUE!</v>
      </c>
      <c r="GS209" t="e">
        <f>'All regions'!G5242+"n/&gt;!)jT"</f>
        <v>#VALUE!</v>
      </c>
      <c r="GT209" t="e">
        <f>'All regions'!H5242+"n/&gt;!)jU"</f>
        <v>#VALUE!</v>
      </c>
      <c r="GU209" t="e">
        <f>'All regions'!I5242+"n/&gt;!)jV"</f>
        <v>#VALUE!</v>
      </c>
      <c r="GV209" t="e">
        <f>'All regions'!J5242+"n/&gt;!)jW"</f>
        <v>#VALUE!</v>
      </c>
      <c r="GW209" t="e">
        <f>'All regions'!A5243+"n/&gt;!)jX"</f>
        <v>#VALUE!</v>
      </c>
      <c r="GX209" t="e">
        <f>'All regions'!B5243+"n/&gt;!)jY"</f>
        <v>#VALUE!</v>
      </c>
      <c r="GY209" t="e">
        <f>'All regions'!C5243+"n/&gt;!)jZ"</f>
        <v>#VALUE!</v>
      </c>
      <c r="GZ209" t="e">
        <f>'All regions'!D5243+"n/&gt;!)j["</f>
        <v>#VALUE!</v>
      </c>
      <c r="HA209" t="e">
        <f>'All regions'!E5243+"n/&gt;!)j\"</f>
        <v>#VALUE!</v>
      </c>
      <c r="HB209" t="e">
        <f>'All regions'!F5243+"n/&gt;!)j]"</f>
        <v>#VALUE!</v>
      </c>
      <c r="HC209" t="e">
        <f>'All regions'!G5243+"n/&gt;!)j^"</f>
        <v>#VALUE!</v>
      </c>
      <c r="HD209" t="e">
        <f>'All regions'!H5243+"n/&gt;!)j_"</f>
        <v>#VALUE!</v>
      </c>
      <c r="HE209" t="e">
        <f>'All regions'!I5243+"n/&gt;!)j`"</f>
        <v>#VALUE!</v>
      </c>
      <c r="HF209" t="e">
        <f>'All regions'!J5243+"n/&gt;!)ja"</f>
        <v>#VALUE!</v>
      </c>
      <c r="HG209" t="e">
        <f>'All regions'!A5244+"n/&gt;!)jb"</f>
        <v>#VALUE!</v>
      </c>
      <c r="HH209" t="e">
        <f>'All regions'!B5244+"n/&gt;!)jc"</f>
        <v>#VALUE!</v>
      </c>
      <c r="HI209" t="e">
        <f>'All regions'!C5244+"n/&gt;!)jd"</f>
        <v>#VALUE!</v>
      </c>
      <c r="HJ209" t="e">
        <f>'All regions'!D5244+"n/&gt;!)je"</f>
        <v>#VALUE!</v>
      </c>
      <c r="HK209" t="e">
        <f>'All regions'!E5244+"n/&gt;!)jf"</f>
        <v>#VALUE!</v>
      </c>
      <c r="HL209" t="e">
        <f>'All regions'!F5244+"n/&gt;!)jg"</f>
        <v>#VALUE!</v>
      </c>
      <c r="HM209" t="e">
        <f>'All regions'!G5244+"n/&gt;!)jh"</f>
        <v>#VALUE!</v>
      </c>
      <c r="HN209" t="e">
        <f>'All regions'!H5244+"n/&gt;!)ji"</f>
        <v>#VALUE!</v>
      </c>
      <c r="HO209" t="e">
        <f>'All regions'!I5244+"n/&gt;!)jj"</f>
        <v>#VALUE!</v>
      </c>
      <c r="HP209" t="e">
        <f>'All regions'!J5244+"n/&gt;!)jk"</f>
        <v>#VALUE!</v>
      </c>
      <c r="HQ209" t="e">
        <f>'All regions'!A5245+"n/&gt;!)jl"</f>
        <v>#VALUE!</v>
      </c>
      <c r="HR209" t="e">
        <f>'All regions'!B5245+"n/&gt;!)jm"</f>
        <v>#VALUE!</v>
      </c>
      <c r="HS209" t="e">
        <f>'All regions'!C5245+"n/&gt;!)jn"</f>
        <v>#VALUE!</v>
      </c>
      <c r="HT209" t="e">
        <f>'All regions'!D5245+"n/&gt;!)jo"</f>
        <v>#VALUE!</v>
      </c>
      <c r="HU209" t="e">
        <f>'All regions'!E5245+"n/&gt;!)jp"</f>
        <v>#VALUE!</v>
      </c>
      <c r="HV209" t="e">
        <f>'All regions'!F5245+"n/&gt;!)jq"</f>
        <v>#VALUE!</v>
      </c>
      <c r="HW209" t="e">
        <f>'All regions'!G5245+"n/&gt;!)jr"</f>
        <v>#VALUE!</v>
      </c>
      <c r="HX209" t="e">
        <f>'All regions'!H5245+"n/&gt;!)js"</f>
        <v>#VALUE!</v>
      </c>
      <c r="HY209" t="e">
        <f>'All regions'!I5245+"n/&gt;!)jt"</f>
        <v>#VALUE!</v>
      </c>
      <c r="HZ209" t="e">
        <f>'All regions'!J5245+"n/&gt;!)ju"</f>
        <v>#VALUE!</v>
      </c>
      <c r="IA209" t="e">
        <f>'All regions'!A5246+"n/&gt;!)jv"</f>
        <v>#VALUE!</v>
      </c>
      <c r="IB209" t="e">
        <f>'All regions'!B5246+"n/&gt;!)jw"</f>
        <v>#VALUE!</v>
      </c>
      <c r="IC209" t="e">
        <f>'All regions'!C5246+"n/&gt;!)jx"</f>
        <v>#VALUE!</v>
      </c>
      <c r="ID209" t="e">
        <f>'All regions'!D5246+"n/&gt;!)jy"</f>
        <v>#VALUE!</v>
      </c>
      <c r="IE209" t="e">
        <f>'All regions'!E5246+"n/&gt;!)jz"</f>
        <v>#VALUE!</v>
      </c>
      <c r="IF209" t="e">
        <f>'All regions'!F5246+"n/&gt;!)j{"</f>
        <v>#VALUE!</v>
      </c>
      <c r="IG209" t="e">
        <f>'All regions'!G5246+"n/&gt;!)j|"</f>
        <v>#VALUE!</v>
      </c>
      <c r="IH209" t="e">
        <f>'All regions'!H5246+"n/&gt;!)j}"</f>
        <v>#VALUE!</v>
      </c>
      <c r="II209" t="e">
        <f>'All regions'!I5246+"n/&gt;!)j~"</f>
        <v>#VALUE!</v>
      </c>
      <c r="IJ209" t="e">
        <f>'All regions'!J5246+"n/&gt;!)k#"</f>
        <v>#VALUE!</v>
      </c>
      <c r="IK209" t="e">
        <f>'All regions'!A5247+"n/&gt;!)k$"</f>
        <v>#VALUE!</v>
      </c>
      <c r="IL209" t="e">
        <f>'All regions'!B5247+"n/&gt;!)k%"</f>
        <v>#VALUE!</v>
      </c>
      <c r="IM209" t="e">
        <f>'All regions'!C5247+"n/&gt;!)k&amp;"</f>
        <v>#VALUE!</v>
      </c>
      <c r="IN209" t="e">
        <f>'All regions'!D5247+"n/&gt;!)k'"</f>
        <v>#VALUE!</v>
      </c>
      <c r="IO209" t="e">
        <f>'All regions'!E5247+"n/&gt;!)k("</f>
        <v>#VALUE!</v>
      </c>
      <c r="IP209" t="e">
        <f>'All regions'!F5247+"n/&gt;!)k)"</f>
        <v>#VALUE!</v>
      </c>
      <c r="IQ209" t="e">
        <f>'All regions'!G5247+"n/&gt;!)k."</f>
        <v>#VALUE!</v>
      </c>
      <c r="IR209" t="e">
        <f>'All regions'!H5247+"n/&gt;!)k/"</f>
        <v>#VALUE!</v>
      </c>
      <c r="IS209" t="e">
        <f>'All regions'!I5247+"n/&gt;!)k0"</f>
        <v>#VALUE!</v>
      </c>
      <c r="IT209" t="e">
        <f>'All regions'!J5247+"n/&gt;!)k1"</f>
        <v>#VALUE!</v>
      </c>
      <c r="IU209" t="e">
        <f>'All regions'!A5248+"n/&gt;!)k2"</f>
        <v>#VALUE!</v>
      </c>
      <c r="IV209" t="e">
        <f>'All regions'!B5248+"n/&gt;!)k3"</f>
        <v>#VALUE!</v>
      </c>
    </row>
    <row r="210" spans="6:256" x14ac:dyDescent="0.35">
      <c r="F210" t="e">
        <f>'All regions'!C5248+"n/&gt;!)k4"</f>
        <v>#VALUE!</v>
      </c>
      <c r="G210" t="e">
        <f>'All regions'!D5248+"n/&gt;!)k5"</f>
        <v>#VALUE!</v>
      </c>
      <c r="H210" t="e">
        <f>'All regions'!E5248+"n/&gt;!)k6"</f>
        <v>#VALUE!</v>
      </c>
      <c r="I210" t="e">
        <f>'All regions'!F5248+"n/&gt;!)k7"</f>
        <v>#VALUE!</v>
      </c>
      <c r="J210" t="e">
        <f>'All regions'!G5248+"n/&gt;!)k8"</f>
        <v>#VALUE!</v>
      </c>
      <c r="K210" t="e">
        <f>'All regions'!H5248+"n/&gt;!)k9"</f>
        <v>#VALUE!</v>
      </c>
      <c r="L210" t="e">
        <f>'All regions'!I5248+"n/&gt;!)k:"</f>
        <v>#VALUE!</v>
      </c>
      <c r="M210" t="e">
        <f>'All regions'!J5248+"n/&gt;!)k;"</f>
        <v>#VALUE!</v>
      </c>
      <c r="N210" t="e">
        <f>'All regions'!A5249+"n/&gt;!)k&lt;"</f>
        <v>#VALUE!</v>
      </c>
      <c r="O210" t="e">
        <f>'All regions'!B5249+"n/&gt;!)k="</f>
        <v>#VALUE!</v>
      </c>
      <c r="P210" t="e">
        <f>'All regions'!C5249+"n/&gt;!)k&gt;"</f>
        <v>#VALUE!</v>
      </c>
      <c r="Q210" t="e">
        <f>'All regions'!D5249+"n/&gt;!)k?"</f>
        <v>#VALUE!</v>
      </c>
      <c r="R210" t="e">
        <f>'All regions'!E5249+"n/&gt;!)k@"</f>
        <v>#VALUE!</v>
      </c>
      <c r="S210" t="e">
        <f>'All regions'!F5249+"n/&gt;!)kA"</f>
        <v>#VALUE!</v>
      </c>
      <c r="T210" t="e">
        <f>'All regions'!G5249+"n/&gt;!)kB"</f>
        <v>#VALUE!</v>
      </c>
      <c r="U210" t="e">
        <f>'All regions'!H5249+"n/&gt;!)kC"</f>
        <v>#VALUE!</v>
      </c>
      <c r="V210" t="e">
        <f>'All regions'!I5249+"n/&gt;!)kD"</f>
        <v>#VALUE!</v>
      </c>
      <c r="W210" t="e">
        <f>'All regions'!J5249+"n/&gt;!)kE"</f>
        <v>#VALUE!</v>
      </c>
      <c r="X210" t="e">
        <f>'All regions'!A5250+"n/&gt;!)kF"</f>
        <v>#VALUE!</v>
      </c>
      <c r="Y210" t="e">
        <f>'All regions'!B5250+"n/&gt;!)kG"</f>
        <v>#VALUE!</v>
      </c>
      <c r="Z210" t="e">
        <f>'All regions'!C5250+"n/&gt;!)kH"</f>
        <v>#VALUE!</v>
      </c>
      <c r="AA210" t="e">
        <f>'All regions'!D5250+"n/&gt;!)kI"</f>
        <v>#VALUE!</v>
      </c>
      <c r="AB210" t="e">
        <f>'All regions'!E5250+"n/&gt;!)kJ"</f>
        <v>#VALUE!</v>
      </c>
      <c r="AC210" t="e">
        <f>'All regions'!F5250+"n/&gt;!)kK"</f>
        <v>#VALUE!</v>
      </c>
      <c r="AD210" t="e">
        <f>'All regions'!G5250+"n/&gt;!)kL"</f>
        <v>#VALUE!</v>
      </c>
      <c r="AE210" t="e">
        <f>'All regions'!H5250+"n/&gt;!)kM"</f>
        <v>#VALUE!</v>
      </c>
      <c r="AF210" t="e">
        <f>'All regions'!I5250+"n/&gt;!)kN"</f>
        <v>#VALUE!</v>
      </c>
      <c r="AG210" t="e">
        <f>'All regions'!J5250+"n/&gt;!)kO"</f>
        <v>#VALUE!</v>
      </c>
      <c r="AH210" t="e">
        <f>'All regions'!A5251+"n/&gt;!)kP"</f>
        <v>#VALUE!</v>
      </c>
      <c r="AI210" t="e">
        <f>'All regions'!B5251+"n/&gt;!)kQ"</f>
        <v>#VALUE!</v>
      </c>
      <c r="AJ210" t="e">
        <f>'All regions'!C5251+"n/&gt;!)kR"</f>
        <v>#VALUE!</v>
      </c>
      <c r="AK210" t="e">
        <f>'All regions'!D5251+"n/&gt;!)kS"</f>
        <v>#VALUE!</v>
      </c>
      <c r="AL210" t="e">
        <f>'All regions'!E5251+"n/&gt;!)kT"</f>
        <v>#VALUE!</v>
      </c>
      <c r="AM210" t="e">
        <f>'All regions'!F5251+"n/&gt;!)kU"</f>
        <v>#VALUE!</v>
      </c>
      <c r="AN210" t="e">
        <f>'All regions'!G5251+"n/&gt;!)kV"</f>
        <v>#VALUE!</v>
      </c>
      <c r="AO210" t="e">
        <f>'All regions'!H5251+"n/&gt;!)kW"</f>
        <v>#VALUE!</v>
      </c>
      <c r="AP210" t="e">
        <f>'All regions'!I5251+"n/&gt;!)kX"</f>
        <v>#VALUE!</v>
      </c>
      <c r="AQ210" t="e">
        <f>'All regions'!J5251+"n/&gt;!)kY"</f>
        <v>#VALUE!</v>
      </c>
      <c r="AR210" t="e">
        <f>'All regions'!A5252+"n/&gt;!)kZ"</f>
        <v>#VALUE!</v>
      </c>
      <c r="AS210" t="e">
        <f>'All regions'!B5252+"n/&gt;!)k["</f>
        <v>#VALUE!</v>
      </c>
      <c r="AT210" t="e">
        <f>'All regions'!C5252+"n/&gt;!)k\"</f>
        <v>#VALUE!</v>
      </c>
      <c r="AU210" t="e">
        <f>'All regions'!D5252+"n/&gt;!)k]"</f>
        <v>#VALUE!</v>
      </c>
      <c r="AV210" t="e">
        <f>'All regions'!E5252+"n/&gt;!)k^"</f>
        <v>#VALUE!</v>
      </c>
      <c r="AW210" t="e">
        <f>'All regions'!F5252+"n/&gt;!)k_"</f>
        <v>#VALUE!</v>
      </c>
      <c r="AX210" t="e">
        <f>'All regions'!G5252+"n/&gt;!)k`"</f>
        <v>#VALUE!</v>
      </c>
      <c r="AY210" t="e">
        <f>'All regions'!H5252+"n/&gt;!)ka"</f>
        <v>#VALUE!</v>
      </c>
      <c r="AZ210" t="e">
        <f>'All regions'!I5252+"n/&gt;!)kb"</f>
        <v>#VALUE!</v>
      </c>
      <c r="BA210" t="e">
        <f>'All regions'!J5252+"n/&gt;!)kc"</f>
        <v>#VALUE!</v>
      </c>
      <c r="BB210" t="e">
        <f>'All regions'!A5253+"n/&gt;!)kd"</f>
        <v>#VALUE!</v>
      </c>
      <c r="BC210" t="e">
        <f>'All regions'!B5253+"n/&gt;!)ke"</f>
        <v>#VALUE!</v>
      </c>
      <c r="BD210" t="e">
        <f>'All regions'!C5253+"n/&gt;!)kf"</f>
        <v>#VALUE!</v>
      </c>
      <c r="BE210" t="e">
        <f>'All regions'!D5253+"n/&gt;!)kg"</f>
        <v>#VALUE!</v>
      </c>
      <c r="BF210" t="e">
        <f>'All regions'!E5253+"n/&gt;!)kh"</f>
        <v>#VALUE!</v>
      </c>
      <c r="BG210" t="e">
        <f>'All regions'!F5253+"n/&gt;!)ki"</f>
        <v>#VALUE!</v>
      </c>
      <c r="BH210" t="e">
        <f>'All regions'!G5253+"n/&gt;!)kj"</f>
        <v>#VALUE!</v>
      </c>
      <c r="BI210" t="e">
        <f>'All regions'!H5253+"n/&gt;!)kk"</f>
        <v>#VALUE!</v>
      </c>
      <c r="BJ210" t="e">
        <f>'All regions'!I5253+"n/&gt;!)kl"</f>
        <v>#VALUE!</v>
      </c>
      <c r="BK210" t="e">
        <f>'All regions'!J5253+"n/&gt;!)km"</f>
        <v>#VALUE!</v>
      </c>
      <c r="BL210" t="e">
        <f>'All regions'!A5254+"n/&gt;!)kn"</f>
        <v>#VALUE!</v>
      </c>
      <c r="BM210" t="e">
        <f>'All regions'!B5254+"n/&gt;!)ko"</f>
        <v>#VALUE!</v>
      </c>
      <c r="BN210" t="e">
        <f>'All regions'!C5254+"n/&gt;!)kp"</f>
        <v>#VALUE!</v>
      </c>
      <c r="BO210" t="e">
        <f>'All regions'!D5254+"n/&gt;!)kq"</f>
        <v>#VALUE!</v>
      </c>
      <c r="BP210" t="e">
        <f>'All regions'!E5254+"n/&gt;!)kr"</f>
        <v>#VALUE!</v>
      </c>
      <c r="BQ210" t="e">
        <f>'All regions'!F5254+"n/&gt;!)ks"</f>
        <v>#VALUE!</v>
      </c>
      <c r="BR210" t="e">
        <f>'All regions'!G5254+"n/&gt;!)kt"</f>
        <v>#VALUE!</v>
      </c>
      <c r="BS210" t="e">
        <f>'All regions'!H5254+"n/&gt;!)ku"</f>
        <v>#VALUE!</v>
      </c>
      <c r="BT210" t="e">
        <f>'All regions'!I5254+"n/&gt;!)kv"</f>
        <v>#VALUE!</v>
      </c>
      <c r="BU210" t="e">
        <f>'All regions'!J5254+"n/&gt;!)kw"</f>
        <v>#VALUE!</v>
      </c>
      <c r="BV210" t="e">
        <f>'All regions'!A5255+"n/&gt;!)kx"</f>
        <v>#VALUE!</v>
      </c>
      <c r="BW210" t="e">
        <f>'All regions'!B5255+"n/&gt;!)ky"</f>
        <v>#VALUE!</v>
      </c>
      <c r="BX210" t="e">
        <f>'All regions'!C5255+"n/&gt;!)kz"</f>
        <v>#VALUE!</v>
      </c>
      <c r="BY210" t="e">
        <f>'All regions'!D5255+"n/&gt;!)k{"</f>
        <v>#VALUE!</v>
      </c>
      <c r="BZ210" t="e">
        <f>'All regions'!E5255+"n/&gt;!)k|"</f>
        <v>#VALUE!</v>
      </c>
      <c r="CA210" t="e">
        <f>'All regions'!F5255+"n/&gt;!)k}"</f>
        <v>#VALUE!</v>
      </c>
      <c r="CB210" t="e">
        <f>'All regions'!G5255+"n/&gt;!)k~"</f>
        <v>#VALUE!</v>
      </c>
      <c r="CC210" t="e">
        <f>'All regions'!H5255+"n/&gt;!)l#"</f>
        <v>#VALUE!</v>
      </c>
      <c r="CD210" t="e">
        <f>'All regions'!I5255+"n/&gt;!)l$"</f>
        <v>#VALUE!</v>
      </c>
      <c r="CE210" t="e">
        <f>'All regions'!J5255+"n/&gt;!)l%"</f>
        <v>#VALUE!</v>
      </c>
      <c r="CF210" t="e">
        <f>'All regions'!A5256+"n/&gt;!)l&amp;"</f>
        <v>#VALUE!</v>
      </c>
      <c r="CG210" t="e">
        <f>'All regions'!B5256+"n/&gt;!)l'"</f>
        <v>#VALUE!</v>
      </c>
      <c r="CH210" t="e">
        <f>'All regions'!C5256+"n/&gt;!)l("</f>
        <v>#VALUE!</v>
      </c>
      <c r="CI210" t="e">
        <f>'All regions'!D5256+"n/&gt;!)l)"</f>
        <v>#VALUE!</v>
      </c>
      <c r="CJ210" t="e">
        <f>'All regions'!E5256+"n/&gt;!)l."</f>
        <v>#VALUE!</v>
      </c>
      <c r="CK210" t="e">
        <f>'All regions'!F5256+"n/&gt;!)l/"</f>
        <v>#VALUE!</v>
      </c>
      <c r="CL210" t="e">
        <f>'All regions'!G5256+"n/&gt;!)l0"</f>
        <v>#VALUE!</v>
      </c>
      <c r="CM210" t="e">
        <f>'All regions'!H5256+"n/&gt;!)l1"</f>
        <v>#VALUE!</v>
      </c>
      <c r="CN210" t="e">
        <f>'All regions'!I5256+"n/&gt;!)l2"</f>
        <v>#VALUE!</v>
      </c>
      <c r="CO210" t="e">
        <f>'All regions'!J5256+"n/&gt;!)l3"</f>
        <v>#VALUE!</v>
      </c>
      <c r="CP210" t="e">
        <f>'All regions'!A5257+"n/&gt;!)l4"</f>
        <v>#VALUE!</v>
      </c>
      <c r="CQ210" t="e">
        <f>'All regions'!B5257+"n/&gt;!)l5"</f>
        <v>#VALUE!</v>
      </c>
      <c r="CR210" t="e">
        <f>'All regions'!C5257+"n/&gt;!)l6"</f>
        <v>#VALUE!</v>
      </c>
      <c r="CS210" t="e">
        <f>'All regions'!D5257+"n/&gt;!)l7"</f>
        <v>#VALUE!</v>
      </c>
      <c r="CT210" t="e">
        <f>'All regions'!E5257+"n/&gt;!)l8"</f>
        <v>#VALUE!</v>
      </c>
      <c r="CU210" t="e">
        <f>'All regions'!F5257+"n/&gt;!)l9"</f>
        <v>#VALUE!</v>
      </c>
      <c r="CV210" t="e">
        <f>'All regions'!G5257+"n/&gt;!)l:"</f>
        <v>#VALUE!</v>
      </c>
      <c r="CW210" t="e">
        <f>'All regions'!H5257+"n/&gt;!)l;"</f>
        <v>#VALUE!</v>
      </c>
      <c r="CX210" t="e">
        <f>'All regions'!I5257+"n/&gt;!)l&lt;"</f>
        <v>#VALUE!</v>
      </c>
      <c r="CY210" t="e">
        <f>'All regions'!J5257+"n/&gt;!)l="</f>
        <v>#VALUE!</v>
      </c>
      <c r="CZ210" t="e">
        <f>'All regions'!A5258+"n/&gt;!)l&gt;"</f>
        <v>#VALUE!</v>
      </c>
      <c r="DA210" t="e">
        <f>'All regions'!B5258+"n/&gt;!)l?"</f>
        <v>#VALUE!</v>
      </c>
      <c r="DB210" t="e">
        <f>'All regions'!C5258+"n/&gt;!)l@"</f>
        <v>#VALUE!</v>
      </c>
      <c r="DC210" t="e">
        <f>'All regions'!D5258+"n/&gt;!)lA"</f>
        <v>#VALUE!</v>
      </c>
      <c r="DD210" t="e">
        <f>'All regions'!E5258+"n/&gt;!)lB"</f>
        <v>#VALUE!</v>
      </c>
      <c r="DE210" t="e">
        <f>'All regions'!F5258+"n/&gt;!)lC"</f>
        <v>#VALUE!</v>
      </c>
      <c r="DF210" t="e">
        <f>'All regions'!G5258+"n/&gt;!)lD"</f>
        <v>#VALUE!</v>
      </c>
      <c r="DG210" t="e">
        <f>'All regions'!H5258+"n/&gt;!)lE"</f>
        <v>#VALUE!</v>
      </c>
      <c r="DH210" t="e">
        <f>'All regions'!I5258+"n/&gt;!)lF"</f>
        <v>#VALUE!</v>
      </c>
      <c r="DI210" t="e">
        <f>'All regions'!J5258+"n/&gt;!)lG"</f>
        <v>#VALUE!</v>
      </c>
      <c r="DJ210" t="e">
        <f>'All regions'!A5259+"n/&gt;!)lH"</f>
        <v>#VALUE!</v>
      </c>
      <c r="DK210" t="e">
        <f>'All regions'!B5259+"n/&gt;!)lI"</f>
        <v>#VALUE!</v>
      </c>
      <c r="DL210" t="e">
        <f>'All regions'!C5259+"n/&gt;!)lJ"</f>
        <v>#VALUE!</v>
      </c>
      <c r="DM210" t="e">
        <f>'All regions'!D5259+"n/&gt;!)lK"</f>
        <v>#VALUE!</v>
      </c>
      <c r="DN210" t="e">
        <f>'All regions'!E5259+"n/&gt;!)lL"</f>
        <v>#VALUE!</v>
      </c>
      <c r="DO210" t="e">
        <f>'All regions'!F5259+"n/&gt;!)lM"</f>
        <v>#VALUE!</v>
      </c>
      <c r="DP210" t="e">
        <f>'All regions'!G5259+"n/&gt;!)lN"</f>
        <v>#VALUE!</v>
      </c>
      <c r="DQ210" t="e">
        <f>'All regions'!H5259+"n/&gt;!)lO"</f>
        <v>#VALUE!</v>
      </c>
      <c r="DR210" t="e">
        <f>'All regions'!I5259+"n/&gt;!)lP"</f>
        <v>#VALUE!</v>
      </c>
      <c r="DS210" t="e">
        <f>'All regions'!J5259+"n/&gt;!)lQ"</f>
        <v>#VALUE!</v>
      </c>
      <c r="DT210" t="e">
        <f>'All regions'!A5260+"n/&gt;!)lR"</f>
        <v>#VALUE!</v>
      </c>
      <c r="DU210" t="e">
        <f>'All regions'!B5260+"n/&gt;!)lS"</f>
        <v>#VALUE!</v>
      </c>
      <c r="DV210" t="e">
        <f>'All regions'!C5260+"n/&gt;!)lT"</f>
        <v>#VALUE!</v>
      </c>
      <c r="DW210" t="e">
        <f>'All regions'!D5260+"n/&gt;!)lU"</f>
        <v>#VALUE!</v>
      </c>
      <c r="DX210" t="e">
        <f>'All regions'!E5260+"n/&gt;!)lV"</f>
        <v>#VALUE!</v>
      </c>
      <c r="DY210" t="e">
        <f>'All regions'!F5260+"n/&gt;!)lW"</f>
        <v>#VALUE!</v>
      </c>
      <c r="DZ210" t="e">
        <f>'All regions'!G5260+"n/&gt;!)lX"</f>
        <v>#VALUE!</v>
      </c>
      <c r="EA210" t="e">
        <f>'All regions'!H5260+"n/&gt;!)lY"</f>
        <v>#VALUE!</v>
      </c>
      <c r="EB210" t="e">
        <f>'All regions'!I5260+"n/&gt;!)lZ"</f>
        <v>#VALUE!</v>
      </c>
      <c r="EC210" t="e">
        <f>'All regions'!J5260+"n/&gt;!)l["</f>
        <v>#VALUE!</v>
      </c>
      <c r="ED210" t="e">
        <f>'All regions'!A5261+"n/&gt;!)l\"</f>
        <v>#VALUE!</v>
      </c>
      <c r="EE210" t="e">
        <f>'All regions'!B5261+"n/&gt;!)l]"</f>
        <v>#VALUE!</v>
      </c>
      <c r="EF210" t="e">
        <f>'All regions'!C5261+"n/&gt;!)l^"</f>
        <v>#VALUE!</v>
      </c>
      <c r="EG210" t="e">
        <f>'All regions'!D5261+"n/&gt;!)l_"</f>
        <v>#VALUE!</v>
      </c>
      <c r="EH210" t="e">
        <f>'All regions'!E5261+"n/&gt;!)l`"</f>
        <v>#VALUE!</v>
      </c>
      <c r="EI210" t="e">
        <f>'All regions'!F5261+"n/&gt;!)la"</f>
        <v>#VALUE!</v>
      </c>
      <c r="EJ210" t="e">
        <f>'All regions'!G5261+"n/&gt;!)lb"</f>
        <v>#VALUE!</v>
      </c>
      <c r="EK210" t="e">
        <f>'All regions'!H5261+"n/&gt;!)lc"</f>
        <v>#VALUE!</v>
      </c>
      <c r="EL210" t="e">
        <f>'All regions'!I5261+"n/&gt;!)ld"</f>
        <v>#VALUE!</v>
      </c>
      <c r="EM210" t="e">
        <f>'All regions'!J5261+"n/&gt;!)le"</f>
        <v>#VALUE!</v>
      </c>
      <c r="EN210" t="e">
        <f>'All regions'!A5262+"n/&gt;!)lf"</f>
        <v>#VALUE!</v>
      </c>
      <c r="EO210" t="e">
        <f>'All regions'!B5262+"n/&gt;!)lg"</f>
        <v>#VALUE!</v>
      </c>
      <c r="EP210" t="e">
        <f>'All regions'!C5262+"n/&gt;!)lh"</f>
        <v>#VALUE!</v>
      </c>
      <c r="EQ210" t="e">
        <f>'All regions'!D5262+"n/&gt;!)li"</f>
        <v>#VALUE!</v>
      </c>
      <c r="ER210" t="e">
        <f>'All regions'!E5262+"n/&gt;!)lj"</f>
        <v>#VALUE!</v>
      </c>
      <c r="ES210" t="e">
        <f>'All regions'!F5262+"n/&gt;!)lk"</f>
        <v>#VALUE!</v>
      </c>
      <c r="ET210" t="e">
        <f>'All regions'!G5262+"n/&gt;!)ll"</f>
        <v>#VALUE!</v>
      </c>
      <c r="EU210" t="e">
        <f>'All regions'!H5262+"n/&gt;!)lm"</f>
        <v>#VALUE!</v>
      </c>
      <c r="EV210" t="e">
        <f>'All regions'!I5262+"n/&gt;!)ln"</f>
        <v>#VALUE!</v>
      </c>
      <c r="EW210" t="e">
        <f>'All regions'!J5262+"n/&gt;!)lo"</f>
        <v>#VALUE!</v>
      </c>
      <c r="EX210" t="e">
        <f>'All regions'!A5263+"n/&gt;!)lp"</f>
        <v>#VALUE!</v>
      </c>
      <c r="EY210" t="e">
        <f>'All regions'!B5263+"n/&gt;!)lq"</f>
        <v>#VALUE!</v>
      </c>
      <c r="EZ210" t="e">
        <f>'All regions'!C5263+"n/&gt;!)lr"</f>
        <v>#VALUE!</v>
      </c>
      <c r="FA210" t="e">
        <f>'All regions'!D5263+"n/&gt;!)ls"</f>
        <v>#VALUE!</v>
      </c>
      <c r="FB210" t="e">
        <f>'All regions'!E5263+"n/&gt;!)lt"</f>
        <v>#VALUE!</v>
      </c>
      <c r="FC210" t="e">
        <f>'All regions'!F5263+"n/&gt;!)lu"</f>
        <v>#VALUE!</v>
      </c>
      <c r="FD210" t="e">
        <f>'All regions'!G5263+"n/&gt;!)lv"</f>
        <v>#VALUE!</v>
      </c>
      <c r="FE210" t="e">
        <f>'All regions'!H5263+"n/&gt;!)lw"</f>
        <v>#VALUE!</v>
      </c>
      <c r="FF210" t="e">
        <f>'All regions'!I5263+"n/&gt;!)lx"</f>
        <v>#VALUE!</v>
      </c>
      <c r="FG210" t="e">
        <f>'All regions'!J5263+"n/&gt;!)ly"</f>
        <v>#VALUE!</v>
      </c>
      <c r="FH210" t="e">
        <f>'All regions'!A5264+"n/&gt;!)lz"</f>
        <v>#VALUE!</v>
      </c>
      <c r="FI210" t="e">
        <f>'All regions'!B5264+"n/&gt;!)l{"</f>
        <v>#VALUE!</v>
      </c>
      <c r="FJ210" t="e">
        <f>'All regions'!C5264+"n/&gt;!)l|"</f>
        <v>#VALUE!</v>
      </c>
      <c r="FK210" t="e">
        <f>'All regions'!D5264+"n/&gt;!)l}"</f>
        <v>#VALUE!</v>
      </c>
      <c r="FL210" t="e">
        <f>'All regions'!E5264+"n/&gt;!)l~"</f>
        <v>#VALUE!</v>
      </c>
      <c r="FM210" t="e">
        <f>'All regions'!F5264+"n/&gt;!)m#"</f>
        <v>#VALUE!</v>
      </c>
      <c r="FN210" t="e">
        <f>'All regions'!G5264+"n/&gt;!)m$"</f>
        <v>#VALUE!</v>
      </c>
      <c r="FO210" t="e">
        <f>'All regions'!H5264+"n/&gt;!)m%"</f>
        <v>#VALUE!</v>
      </c>
      <c r="FP210" t="e">
        <f>'All regions'!I5264+"n/&gt;!)m&amp;"</f>
        <v>#VALUE!</v>
      </c>
      <c r="FQ210" t="e">
        <f>'All regions'!J5264+"n/&gt;!)m'"</f>
        <v>#VALUE!</v>
      </c>
      <c r="FR210" t="e">
        <f>'All regions'!A5265+"n/&gt;!)m("</f>
        <v>#VALUE!</v>
      </c>
      <c r="FS210" t="e">
        <f>'All regions'!B5265+"n/&gt;!)m)"</f>
        <v>#VALUE!</v>
      </c>
      <c r="FT210" t="e">
        <f>'All regions'!C5265+"n/&gt;!)m."</f>
        <v>#VALUE!</v>
      </c>
      <c r="FU210" t="e">
        <f>'All regions'!D5265+"n/&gt;!)m/"</f>
        <v>#VALUE!</v>
      </c>
      <c r="FV210" t="e">
        <f>'All regions'!E5265+"n/&gt;!)m0"</f>
        <v>#VALUE!</v>
      </c>
      <c r="FW210" t="e">
        <f>'All regions'!F5265+"n/&gt;!)m1"</f>
        <v>#VALUE!</v>
      </c>
      <c r="FX210" t="e">
        <f>'All regions'!G5265+"n/&gt;!)m2"</f>
        <v>#VALUE!</v>
      </c>
      <c r="FY210" t="e">
        <f>'All regions'!H5265+"n/&gt;!)m3"</f>
        <v>#VALUE!</v>
      </c>
      <c r="FZ210" t="e">
        <f>'All regions'!I5265+"n/&gt;!)m4"</f>
        <v>#VALUE!</v>
      </c>
      <c r="GA210" t="e">
        <f>'All regions'!J5265+"n/&gt;!)m5"</f>
        <v>#VALUE!</v>
      </c>
      <c r="GB210" t="e">
        <f>'All regions'!A5266+"n/&gt;!)m6"</f>
        <v>#VALUE!</v>
      </c>
      <c r="GC210" t="e">
        <f>'All regions'!B5266+"n/&gt;!)m7"</f>
        <v>#VALUE!</v>
      </c>
      <c r="GD210" t="e">
        <f>'All regions'!C5266+"n/&gt;!)m8"</f>
        <v>#VALUE!</v>
      </c>
      <c r="GE210" t="e">
        <f>'All regions'!D5266+"n/&gt;!)m9"</f>
        <v>#VALUE!</v>
      </c>
      <c r="GF210" t="e">
        <f>'All regions'!E5266+"n/&gt;!)m:"</f>
        <v>#VALUE!</v>
      </c>
      <c r="GG210" t="e">
        <f>'All regions'!F5266+"n/&gt;!)m;"</f>
        <v>#VALUE!</v>
      </c>
      <c r="GH210" t="e">
        <f>'All regions'!G5266+"n/&gt;!)m&lt;"</f>
        <v>#VALUE!</v>
      </c>
      <c r="GI210" t="e">
        <f>'All regions'!H5266+"n/&gt;!)m="</f>
        <v>#VALUE!</v>
      </c>
      <c r="GJ210" t="e">
        <f>'All regions'!I5266+"n/&gt;!)m&gt;"</f>
        <v>#VALUE!</v>
      </c>
      <c r="GK210" t="e">
        <f>'All regions'!J5266+"n/&gt;!)m?"</f>
        <v>#VALUE!</v>
      </c>
      <c r="GL210" t="e">
        <f>'All regions'!A5267+"n/&gt;!)m@"</f>
        <v>#VALUE!</v>
      </c>
      <c r="GM210" t="e">
        <f>'All regions'!B5267+"n/&gt;!)mA"</f>
        <v>#VALUE!</v>
      </c>
      <c r="GN210" t="e">
        <f>'All regions'!C5267+"n/&gt;!)mB"</f>
        <v>#VALUE!</v>
      </c>
      <c r="GO210" t="e">
        <f>'All regions'!D5267+"n/&gt;!)mC"</f>
        <v>#VALUE!</v>
      </c>
      <c r="GP210" t="e">
        <f>'All regions'!E5267+"n/&gt;!)mD"</f>
        <v>#VALUE!</v>
      </c>
      <c r="GQ210" t="e">
        <f>'All regions'!F5267+"n/&gt;!)mE"</f>
        <v>#VALUE!</v>
      </c>
      <c r="GR210" t="e">
        <f>'All regions'!G5267+"n/&gt;!)mF"</f>
        <v>#VALUE!</v>
      </c>
      <c r="GS210" t="e">
        <f>'All regions'!H5267+"n/&gt;!)mG"</f>
        <v>#VALUE!</v>
      </c>
      <c r="GT210" t="e">
        <f>'All regions'!I5267+"n/&gt;!)mH"</f>
        <v>#VALUE!</v>
      </c>
      <c r="GU210" t="e">
        <f>'All regions'!J5267+"n/&gt;!)mI"</f>
        <v>#VALUE!</v>
      </c>
      <c r="GV210" t="e">
        <f>'All regions'!A5268+"n/&gt;!)mJ"</f>
        <v>#VALUE!</v>
      </c>
      <c r="GW210" t="e">
        <f>'All regions'!B5268+"n/&gt;!)mK"</f>
        <v>#VALUE!</v>
      </c>
      <c r="GX210" t="e">
        <f>'All regions'!C5268+"n/&gt;!)mL"</f>
        <v>#VALUE!</v>
      </c>
      <c r="GY210" t="e">
        <f>'All regions'!D5268+"n/&gt;!)mM"</f>
        <v>#VALUE!</v>
      </c>
      <c r="GZ210" t="e">
        <f>'All regions'!E5268+"n/&gt;!)mN"</f>
        <v>#VALUE!</v>
      </c>
      <c r="HA210" t="e">
        <f>'All regions'!F5268+"n/&gt;!)mO"</f>
        <v>#VALUE!</v>
      </c>
      <c r="HB210" t="e">
        <f>'All regions'!G5268+"n/&gt;!)mP"</f>
        <v>#VALUE!</v>
      </c>
      <c r="HC210" t="e">
        <f>'All regions'!H5268+"n/&gt;!)mQ"</f>
        <v>#VALUE!</v>
      </c>
      <c r="HD210" t="e">
        <f>'All regions'!I5268+"n/&gt;!)mR"</f>
        <v>#VALUE!</v>
      </c>
      <c r="HE210" t="e">
        <f>'All regions'!J5268+"n/&gt;!)mS"</f>
        <v>#VALUE!</v>
      </c>
      <c r="HF210" t="e">
        <f>'All regions'!A5269+"n/&gt;!)mT"</f>
        <v>#VALUE!</v>
      </c>
      <c r="HG210" t="e">
        <f>'All regions'!B5269+"n/&gt;!)mU"</f>
        <v>#VALUE!</v>
      </c>
      <c r="HH210" t="e">
        <f>'All regions'!C5269+"n/&gt;!)mV"</f>
        <v>#VALUE!</v>
      </c>
      <c r="HI210" t="e">
        <f>'All regions'!D5269+"n/&gt;!)mW"</f>
        <v>#VALUE!</v>
      </c>
      <c r="HJ210" t="e">
        <f>'All regions'!E5269+"n/&gt;!)mX"</f>
        <v>#VALUE!</v>
      </c>
      <c r="HK210" t="e">
        <f>'All regions'!F5269+"n/&gt;!)mY"</f>
        <v>#VALUE!</v>
      </c>
      <c r="HL210" t="e">
        <f>'All regions'!G5269+"n/&gt;!)mZ"</f>
        <v>#VALUE!</v>
      </c>
      <c r="HM210" t="e">
        <f>'All regions'!H5269+"n/&gt;!)m["</f>
        <v>#VALUE!</v>
      </c>
      <c r="HN210" t="e">
        <f>'All regions'!I5269+"n/&gt;!)m\"</f>
        <v>#VALUE!</v>
      </c>
      <c r="HO210" t="e">
        <f>'All regions'!J5269+"n/&gt;!)m]"</f>
        <v>#VALUE!</v>
      </c>
      <c r="HP210" t="e">
        <f>'All regions'!A5270+"n/&gt;!)m^"</f>
        <v>#VALUE!</v>
      </c>
      <c r="HQ210" t="e">
        <f>'All regions'!B5270+"n/&gt;!)m_"</f>
        <v>#VALUE!</v>
      </c>
      <c r="HR210" t="e">
        <f>'All regions'!C5270+"n/&gt;!)m`"</f>
        <v>#VALUE!</v>
      </c>
      <c r="HS210" t="e">
        <f>'All regions'!D5270+"n/&gt;!)ma"</f>
        <v>#VALUE!</v>
      </c>
      <c r="HT210" t="e">
        <f>'All regions'!E5270+"n/&gt;!)mb"</f>
        <v>#VALUE!</v>
      </c>
      <c r="HU210" t="e">
        <f>'All regions'!F5270+"n/&gt;!)mc"</f>
        <v>#VALUE!</v>
      </c>
      <c r="HV210" t="e">
        <f>'All regions'!G5270+"n/&gt;!)md"</f>
        <v>#VALUE!</v>
      </c>
      <c r="HW210" t="e">
        <f>'All regions'!H5270+"n/&gt;!)me"</f>
        <v>#VALUE!</v>
      </c>
      <c r="HX210" t="e">
        <f>'All regions'!I5270+"n/&gt;!)mf"</f>
        <v>#VALUE!</v>
      </c>
      <c r="HY210" t="e">
        <f>'All regions'!J5270+"n/&gt;!)mg"</f>
        <v>#VALUE!</v>
      </c>
      <c r="HZ210" t="e">
        <f>'All regions'!A5271+"n/&gt;!)mh"</f>
        <v>#VALUE!</v>
      </c>
      <c r="IA210" t="e">
        <f>'All regions'!B5271+"n/&gt;!)mi"</f>
        <v>#VALUE!</v>
      </c>
      <c r="IB210" t="e">
        <f>'All regions'!C5271+"n/&gt;!)mj"</f>
        <v>#VALUE!</v>
      </c>
      <c r="IC210" t="e">
        <f>'All regions'!D5271+"n/&gt;!)mk"</f>
        <v>#VALUE!</v>
      </c>
      <c r="ID210" t="e">
        <f>'All regions'!E5271+"n/&gt;!)ml"</f>
        <v>#VALUE!</v>
      </c>
      <c r="IE210" t="e">
        <f>'All regions'!F5271+"n/&gt;!)mm"</f>
        <v>#VALUE!</v>
      </c>
      <c r="IF210" t="e">
        <f>'All regions'!G5271+"n/&gt;!)mn"</f>
        <v>#VALUE!</v>
      </c>
      <c r="IG210" t="e">
        <f>'All regions'!H5271+"n/&gt;!)mo"</f>
        <v>#VALUE!</v>
      </c>
      <c r="IH210" t="e">
        <f>'All regions'!I5271+"n/&gt;!)mp"</f>
        <v>#VALUE!</v>
      </c>
      <c r="II210" t="e">
        <f>'All regions'!J5271+"n/&gt;!)mq"</f>
        <v>#VALUE!</v>
      </c>
      <c r="IJ210" t="e">
        <f>'All regions'!A5272+"n/&gt;!)mr"</f>
        <v>#VALUE!</v>
      </c>
      <c r="IK210" t="e">
        <f>'All regions'!B5272+"n/&gt;!)ms"</f>
        <v>#VALUE!</v>
      </c>
      <c r="IL210" t="e">
        <f>'All regions'!C5272+"n/&gt;!)mt"</f>
        <v>#VALUE!</v>
      </c>
      <c r="IM210" t="e">
        <f>'All regions'!D5272+"n/&gt;!)mu"</f>
        <v>#VALUE!</v>
      </c>
      <c r="IN210" t="e">
        <f>'All regions'!E5272+"n/&gt;!)mv"</f>
        <v>#VALUE!</v>
      </c>
      <c r="IO210" t="e">
        <f>'All regions'!F5272+"n/&gt;!)mw"</f>
        <v>#VALUE!</v>
      </c>
      <c r="IP210" t="e">
        <f>'All regions'!G5272+"n/&gt;!)mx"</f>
        <v>#VALUE!</v>
      </c>
      <c r="IQ210" t="e">
        <f>'All regions'!H5272+"n/&gt;!)my"</f>
        <v>#VALUE!</v>
      </c>
      <c r="IR210" t="e">
        <f>'All regions'!I5272+"n/&gt;!)mz"</f>
        <v>#VALUE!</v>
      </c>
      <c r="IS210" t="e">
        <f>'All regions'!J5272+"n/&gt;!)m{"</f>
        <v>#VALUE!</v>
      </c>
      <c r="IT210" t="e">
        <f>'All regions'!A5273+"n/&gt;!)m|"</f>
        <v>#VALUE!</v>
      </c>
      <c r="IU210" t="e">
        <f>'All regions'!B5273+"n/&gt;!)m}"</f>
        <v>#VALUE!</v>
      </c>
      <c r="IV210" t="e">
        <f>'All regions'!C5273+"n/&gt;!)m~"</f>
        <v>#VALUE!</v>
      </c>
    </row>
    <row r="211" spans="6:256" x14ac:dyDescent="0.35">
      <c r="F211" t="e">
        <f>'All regions'!D5273+"n/&gt;!)n#"</f>
        <v>#VALUE!</v>
      </c>
      <c r="G211" t="e">
        <f>'All regions'!E5273+"n/&gt;!)n$"</f>
        <v>#VALUE!</v>
      </c>
      <c r="H211" t="e">
        <f>'All regions'!F5273+"n/&gt;!)n%"</f>
        <v>#VALUE!</v>
      </c>
      <c r="I211" t="e">
        <f>'All regions'!G5273+"n/&gt;!)n&amp;"</f>
        <v>#VALUE!</v>
      </c>
      <c r="J211" t="e">
        <f>'All regions'!H5273+"n/&gt;!)n'"</f>
        <v>#VALUE!</v>
      </c>
      <c r="K211" t="e">
        <f>'All regions'!I5273+"n/&gt;!)n("</f>
        <v>#VALUE!</v>
      </c>
      <c r="L211" t="e">
        <f>'All regions'!J5273+"n/&gt;!)n)"</f>
        <v>#VALUE!</v>
      </c>
      <c r="M211" t="e">
        <f>'All regions'!A5274+"n/&gt;!)n."</f>
        <v>#VALUE!</v>
      </c>
      <c r="N211" t="e">
        <f>'All regions'!B5274+"n/&gt;!)n/"</f>
        <v>#VALUE!</v>
      </c>
      <c r="O211" t="e">
        <f>'All regions'!C5274+"n/&gt;!)n0"</f>
        <v>#VALUE!</v>
      </c>
      <c r="P211" t="e">
        <f>'All regions'!D5274+"n/&gt;!)n1"</f>
        <v>#VALUE!</v>
      </c>
      <c r="Q211" t="e">
        <f>'All regions'!E5274+"n/&gt;!)n2"</f>
        <v>#VALUE!</v>
      </c>
      <c r="R211" t="e">
        <f>'All regions'!F5274+"n/&gt;!)n3"</f>
        <v>#VALUE!</v>
      </c>
      <c r="S211" t="e">
        <f>'All regions'!G5274+"n/&gt;!)n4"</f>
        <v>#VALUE!</v>
      </c>
      <c r="T211" t="e">
        <f>'All regions'!H5274+"n/&gt;!)n5"</f>
        <v>#VALUE!</v>
      </c>
      <c r="U211" t="e">
        <f>'All regions'!I5274+"n/&gt;!)n6"</f>
        <v>#VALUE!</v>
      </c>
      <c r="V211" t="e">
        <f>'All regions'!J5274+"n/&gt;!)n7"</f>
        <v>#VALUE!</v>
      </c>
      <c r="W211" t="e">
        <f>'All regions'!A5275+"n/&gt;!)n8"</f>
        <v>#VALUE!</v>
      </c>
      <c r="X211" t="e">
        <f>'All regions'!B5275+"n/&gt;!)n9"</f>
        <v>#VALUE!</v>
      </c>
      <c r="Y211" t="e">
        <f>'All regions'!C5275+"n/&gt;!)n:"</f>
        <v>#VALUE!</v>
      </c>
      <c r="Z211" t="e">
        <f>'All regions'!D5275+"n/&gt;!)n;"</f>
        <v>#VALUE!</v>
      </c>
      <c r="AA211" t="e">
        <f>'All regions'!E5275+"n/&gt;!)n&lt;"</f>
        <v>#VALUE!</v>
      </c>
      <c r="AB211" t="e">
        <f>'All regions'!F5275+"n/&gt;!)n="</f>
        <v>#VALUE!</v>
      </c>
      <c r="AC211" t="e">
        <f>'All regions'!G5275+"n/&gt;!)n&gt;"</f>
        <v>#VALUE!</v>
      </c>
      <c r="AD211" t="e">
        <f>'All regions'!H5275+"n/&gt;!)n?"</f>
        <v>#VALUE!</v>
      </c>
      <c r="AE211" t="e">
        <f>'All regions'!I5275+"n/&gt;!)n@"</f>
        <v>#VALUE!</v>
      </c>
      <c r="AF211" t="e">
        <f>'All regions'!J5275+"n/&gt;!)nA"</f>
        <v>#VALUE!</v>
      </c>
      <c r="AG211" t="e">
        <f>'All regions'!A5276+"n/&gt;!)nB"</f>
        <v>#VALUE!</v>
      </c>
      <c r="AH211" t="e">
        <f>'All regions'!B5276+"n/&gt;!)nC"</f>
        <v>#VALUE!</v>
      </c>
      <c r="AI211" t="e">
        <f>'All regions'!C5276+"n/&gt;!)nD"</f>
        <v>#VALUE!</v>
      </c>
      <c r="AJ211" t="e">
        <f>'All regions'!D5276+"n/&gt;!)nE"</f>
        <v>#VALUE!</v>
      </c>
      <c r="AK211" t="e">
        <f>'All regions'!E5276+"n/&gt;!)nF"</f>
        <v>#VALUE!</v>
      </c>
      <c r="AL211" t="e">
        <f>'All regions'!F5276+"n/&gt;!)nG"</f>
        <v>#VALUE!</v>
      </c>
      <c r="AM211" t="e">
        <f>'All regions'!G5276+"n/&gt;!)nH"</f>
        <v>#VALUE!</v>
      </c>
      <c r="AN211" t="e">
        <f>'All regions'!H5276+"n/&gt;!)nI"</f>
        <v>#VALUE!</v>
      </c>
      <c r="AO211" t="e">
        <f>'All regions'!I5276+"n/&gt;!)nJ"</f>
        <v>#VALUE!</v>
      </c>
      <c r="AP211" t="e">
        <f>'All regions'!J5276+"n/&gt;!)nK"</f>
        <v>#VALUE!</v>
      </c>
      <c r="AQ211" t="e">
        <f>'All regions'!A5277+"n/&gt;!)nL"</f>
        <v>#VALUE!</v>
      </c>
      <c r="AR211" t="e">
        <f>'All regions'!B5277+"n/&gt;!)nM"</f>
        <v>#VALUE!</v>
      </c>
      <c r="AS211" t="e">
        <f>'All regions'!C5277+"n/&gt;!)nN"</f>
        <v>#VALUE!</v>
      </c>
      <c r="AT211" t="e">
        <f>'All regions'!D5277+"n/&gt;!)nO"</f>
        <v>#VALUE!</v>
      </c>
      <c r="AU211" t="e">
        <f>'All regions'!E5277+"n/&gt;!)nP"</f>
        <v>#VALUE!</v>
      </c>
      <c r="AV211" t="e">
        <f>'All regions'!F5277+"n/&gt;!)nQ"</f>
        <v>#VALUE!</v>
      </c>
      <c r="AW211" t="e">
        <f>'All regions'!G5277+"n/&gt;!)nR"</f>
        <v>#VALUE!</v>
      </c>
      <c r="AX211" t="e">
        <f>'All regions'!H5277+"n/&gt;!)nS"</f>
        <v>#VALUE!</v>
      </c>
      <c r="AY211" t="e">
        <f>'All regions'!I5277+"n/&gt;!)nT"</f>
        <v>#VALUE!</v>
      </c>
      <c r="AZ211" t="e">
        <f>'All regions'!J5277+"n/&gt;!)nU"</f>
        <v>#VALUE!</v>
      </c>
      <c r="BA211" t="e">
        <f>'All regions'!A5278+"n/&gt;!)nV"</f>
        <v>#VALUE!</v>
      </c>
      <c r="BB211" t="e">
        <f>'All regions'!B5278+"n/&gt;!)nW"</f>
        <v>#VALUE!</v>
      </c>
      <c r="BC211" t="e">
        <f>'All regions'!C5278+"n/&gt;!)nX"</f>
        <v>#VALUE!</v>
      </c>
      <c r="BD211" t="e">
        <f>'All regions'!D5278+"n/&gt;!)nY"</f>
        <v>#VALUE!</v>
      </c>
      <c r="BE211" t="e">
        <f>'All regions'!E5278+"n/&gt;!)nZ"</f>
        <v>#VALUE!</v>
      </c>
      <c r="BF211" t="e">
        <f>'All regions'!F5278+"n/&gt;!)n["</f>
        <v>#VALUE!</v>
      </c>
      <c r="BG211" t="e">
        <f>'All regions'!G5278+"n/&gt;!)n\"</f>
        <v>#VALUE!</v>
      </c>
      <c r="BH211" t="e">
        <f>'All regions'!H5278+"n/&gt;!)n]"</f>
        <v>#VALUE!</v>
      </c>
      <c r="BI211" t="e">
        <f>'All regions'!I5278+"n/&gt;!)n^"</f>
        <v>#VALUE!</v>
      </c>
      <c r="BJ211" t="e">
        <f>'All regions'!J5278+"n/&gt;!)n_"</f>
        <v>#VALUE!</v>
      </c>
      <c r="BK211" t="e">
        <f>'All regions'!A5279+"n/&gt;!)n`"</f>
        <v>#VALUE!</v>
      </c>
      <c r="BL211" t="e">
        <f>'All regions'!B5279+"n/&gt;!)na"</f>
        <v>#VALUE!</v>
      </c>
      <c r="BM211" t="e">
        <f>'All regions'!C5279+"n/&gt;!)nb"</f>
        <v>#VALUE!</v>
      </c>
      <c r="BN211" t="e">
        <f>'All regions'!D5279+"n/&gt;!)nc"</f>
        <v>#VALUE!</v>
      </c>
      <c r="BO211" t="e">
        <f>'All regions'!E5279+"n/&gt;!)nd"</f>
        <v>#VALUE!</v>
      </c>
      <c r="BP211" t="e">
        <f>'All regions'!F5279+"n/&gt;!)ne"</f>
        <v>#VALUE!</v>
      </c>
      <c r="BQ211" t="e">
        <f>'All regions'!G5279+"n/&gt;!)nf"</f>
        <v>#VALUE!</v>
      </c>
      <c r="BR211" t="e">
        <f>'All regions'!H5279+"n/&gt;!)ng"</f>
        <v>#VALUE!</v>
      </c>
      <c r="BS211" t="e">
        <f>'All regions'!I5279+"n/&gt;!)nh"</f>
        <v>#VALUE!</v>
      </c>
      <c r="BT211" t="e">
        <f>'All regions'!J5279+"n/&gt;!)ni"</f>
        <v>#VALUE!</v>
      </c>
      <c r="BU211" t="e">
        <f>'All regions'!A5280+"n/&gt;!)nj"</f>
        <v>#VALUE!</v>
      </c>
      <c r="BV211" t="e">
        <f>'All regions'!B5280+"n/&gt;!)nk"</f>
        <v>#VALUE!</v>
      </c>
      <c r="BW211" t="e">
        <f>'All regions'!C5280+"n/&gt;!)nl"</f>
        <v>#VALUE!</v>
      </c>
      <c r="BX211" t="e">
        <f>'All regions'!D5280+"n/&gt;!)nm"</f>
        <v>#VALUE!</v>
      </c>
      <c r="BY211" t="e">
        <f>'All regions'!E5280+"n/&gt;!)nn"</f>
        <v>#VALUE!</v>
      </c>
      <c r="BZ211" t="e">
        <f>'All regions'!F5280+"n/&gt;!)no"</f>
        <v>#VALUE!</v>
      </c>
      <c r="CA211" t="e">
        <f>'All regions'!G5280+"n/&gt;!)np"</f>
        <v>#VALUE!</v>
      </c>
      <c r="CB211" t="e">
        <f>'All regions'!H5280+"n/&gt;!)nq"</f>
        <v>#VALUE!</v>
      </c>
      <c r="CC211" t="e">
        <f>'All regions'!I5280+"n/&gt;!)nr"</f>
        <v>#VALUE!</v>
      </c>
      <c r="CD211" t="e">
        <f>'All regions'!J5280+"n/&gt;!)ns"</f>
        <v>#VALUE!</v>
      </c>
      <c r="CE211" t="e">
        <f>'All regions'!A5281+"n/&gt;!)nt"</f>
        <v>#VALUE!</v>
      </c>
      <c r="CF211" t="e">
        <f>'All regions'!B5281+"n/&gt;!)nu"</f>
        <v>#VALUE!</v>
      </c>
      <c r="CG211" t="e">
        <f>'All regions'!C5281+"n/&gt;!)nv"</f>
        <v>#VALUE!</v>
      </c>
      <c r="CH211" t="e">
        <f>'All regions'!D5281+"n/&gt;!)nw"</f>
        <v>#VALUE!</v>
      </c>
      <c r="CI211" t="e">
        <f>'All regions'!E5281+"n/&gt;!)nx"</f>
        <v>#VALUE!</v>
      </c>
      <c r="CJ211" t="e">
        <f>'All regions'!F5281+"n/&gt;!)ny"</f>
        <v>#VALUE!</v>
      </c>
      <c r="CK211" t="e">
        <f>'All regions'!G5281+"n/&gt;!)nz"</f>
        <v>#VALUE!</v>
      </c>
      <c r="CL211" t="e">
        <f>'All regions'!H5281+"n/&gt;!)n{"</f>
        <v>#VALUE!</v>
      </c>
      <c r="CM211" t="e">
        <f>'All regions'!I5281+"n/&gt;!)n|"</f>
        <v>#VALUE!</v>
      </c>
      <c r="CN211" t="e">
        <f>'All regions'!J5281+"n/&gt;!)n}"</f>
        <v>#VALUE!</v>
      </c>
      <c r="CO211" t="e">
        <f>'All regions'!A5282+"n/&gt;!)n~"</f>
        <v>#VALUE!</v>
      </c>
      <c r="CP211" t="e">
        <f>'All regions'!B5282+"n/&gt;!)o#"</f>
        <v>#VALUE!</v>
      </c>
      <c r="CQ211" t="e">
        <f>'All regions'!C5282+"n/&gt;!)o$"</f>
        <v>#VALUE!</v>
      </c>
      <c r="CR211" t="e">
        <f>'All regions'!D5282+"n/&gt;!)o%"</f>
        <v>#VALUE!</v>
      </c>
      <c r="CS211" t="e">
        <f>'All regions'!E5282+"n/&gt;!)o&amp;"</f>
        <v>#VALUE!</v>
      </c>
      <c r="CT211" t="e">
        <f>'All regions'!F5282+"n/&gt;!)o'"</f>
        <v>#VALUE!</v>
      </c>
      <c r="CU211" t="e">
        <f>'All regions'!G5282+"n/&gt;!)o("</f>
        <v>#VALUE!</v>
      </c>
      <c r="CV211" t="e">
        <f>'All regions'!H5282+"n/&gt;!)o)"</f>
        <v>#VALUE!</v>
      </c>
      <c r="CW211" t="e">
        <f>'All regions'!I5282+"n/&gt;!)o."</f>
        <v>#VALUE!</v>
      </c>
      <c r="CX211" t="e">
        <f>'All regions'!J5282+"n/&gt;!)o/"</f>
        <v>#VALUE!</v>
      </c>
      <c r="CY211" t="e">
        <f>'All regions'!A5283+"n/&gt;!)o0"</f>
        <v>#VALUE!</v>
      </c>
      <c r="CZ211" t="e">
        <f>'All regions'!B5283+"n/&gt;!)o1"</f>
        <v>#VALUE!</v>
      </c>
      <c r="DA211" t="e">
        <f>'All regions'!C5283+"n/&gt;!)o2"</f>
        <v>#VALUE!</v>
      </c>
      <c r="DB211" t="e">
        <f>'All regions'!D5283+"n/&gt;!)o3"</f>
        <v>#VALUE!</v>
      </c>
      <c r="DC211" t="e">
        <f>'All regions'!E5283+"n/&gt;!)o4"</f>
        <v>#VALUE!</v>
      </c>
      <c r="DD211" t="e">
        <f>'All regions'!F5283+"n/&gt;!)o5"</f>
        <v>#VALUE!</v>
      </c>
      <c r="DE211" t="e">
        <f>'All regions'!G5283+"n/&gt;!)o6"</f>
        <v>#VALUE!</v>
      </c>
      <c r="DF211" t="e">
        <f>'All regions'!H5283+"n/&gt;!)o7"</f>
        <v>#VALUE!</v>
      </c>
      <c r="DG211" t="e">
        <f>'All regions'!I5283+"n/&gt;!)o8"</f>
        <v>#VALUE!</v>
      </c>
      <c r="DH211" t="e">
        <f>'All regions'!J5283+"n/&gt;!)o9"</f>
        <v>#VALUE!</v>
      </c>
      <c r="DI211" t="e">
        <f>'All regions'!A5284+"n/&gt;!)o:"</f>
        <v>#VALUE!</v>
      </c>
      <c r="DJ211" t="e">
        <f>'All regions'!B5284+"n/&gt;!)o;"</f>
        <v>#VALUE!</v>
      </c>
      <c r="DK211" t="e">
        <f>'All regions'!C5284+"n/&gt;!)o&lt;"</f>
        <v>#VALUE!</v>
      </c>
      <c r="DL211" t="e">
        <f>'All regions'!D5284+"n/&gt;!)o="</f>
        <v>#VALUE!</v>
      </c>
      <c r="DM211" t="e">
        <f>'All regions'!E5284+"n/&gt;!)o&gt;"</f>
        <v>#VALUE!</v>
      </c>
      <c r="DN211" t="e">
        <f>'All regions'!F5284+"n/&gt;!)o?"</f>
        <v>#VALUE!</v>
      </c>
      <c r="DO211" t="e">
        <f>'All regions'!G5284+"n/&gt;!)o@"</f>
        <v>#VALUE!</v>
      </c>
      <c r="DP211" t="e">
        <f>'All regions'!H5284+"n/&gt;!)oA"</f>
        <v>#VALUE!</v>
      </c>
      <c r="DQ211" t="e">
        <f>'All regions'!I5284+"n/&gt;!)oB"</f>
        <v>#VALUE!</v>
      </c>
      <c r="DR211" t="e">
        <f>'All regions'!J5284+"n/&gt;!)oC"</f>
        <v>#VALUE!</v>
      </c>
      <c r="DS211" t="e">
        <f>'All regions'!A5285+"n/&gt;!)oD"</f>
        <v>#VALUE!</v>
      </c>
      <c r="DT211" t="e">
        <f>'All regions'!B5285+"n/&gt;!)oE"</f>
        <v>#VALUE!</v>
      </c>
      <c r="DU211" t="e">
        <f>'All regions'!C5285+"n/&gt;!)oF"</f>
        <v>#VALUE!</v>
      </c>
      <c r="DV211" t="e">
        <f>'All regions'!D5285+"n/&gt;!)oG"</f>
        <v>#VALUE!</v>
      </c>
      <c r="DW211" t="e">
        <f>'All regions'!E5285+"n/&gt;!)oH"</f>
        <v>#VALUE!</v>
      </c>
      <c r="DX211" t="e">
        <f>'All regions'!F5285+"n/&gt;!)oI"</f>
        <v>#VALUE!</v>
      </c>
      <c r="DY211" t="e">
        <f>'All regions'!G5285+"n/&gt;!)oJ"</f>
        <v>#VALUE!</v>
      </c>
      <c r="DZ211" t="e">
        <f>'All regions'!H5285+"n/&gt;!)oK"</f>
        <v>#VALUE!</v>
      </c>
      <c r="EA211" t="e">
        <f>'All regions'!I5285+"n/&gt;!)oL"</f>
        <v>#VALUE!</v>
      </c>
      <c r="EB211" t="e">
        <f>'All regions'!J5285+"n/&gt;!)oM"</f>
        <v>#VALUE!</v>
      </c>
      <c r="EC211" t="e">
        <f>'All regions'!A5286+"n/&gt;!)oN"</f>
        <v>#VALUE!</v>
      </c>
      <c r="ED211" t="e">
        <f>'All regions'!B5286+"n/&gt;!)oO"</f>
        <v>#VALUE!</v>
      </c>
      <c r="EE211" t="e">
        <f>'All regions'!C5286+"n/&gt;!)oP"</f>
        <v>#VALUE!</v>
      </c>
      <c r="EF211" t="e">
        <f>'All regions'!D5286+"n/&gt;!)oQ"</f>
        <v>#VALUE!</v>
      </c>
      <c r="EG211" t="e">
        <f>'All regions'!E5286+"n/&gt;!)oR"</f>
        <v>#VALUE!</v>
      </c>
      <c r="EH211" t="e">
        <f>'All regions'!F5286+"n/&gt;!)oS"</f>
        <v>#VALUE!</v>
      </c>
      <c r="EI211" t="e">
        <f>'All regions'!G5286+"n/&gt;!)oT"</f>
        <v>#VALUE!</v>
      </c>
      <c r="EJ211" t="e">
        <f>'All regions'!H5286+"n/&gt;!)oU"</f>
        <v>#VALUE!</v>
      </c>
      <c r="EK211" t="e">
        <f>'All regions'!I5286+"n/&gt;!)oV"</f>
        <v>#VALUE!</v>
      </c>
      <c r="EL211" t="e">
        <f>'All regions'!J5286+"n/&gt;!)oW"</f>
        <v>#VALUE!</v>
      </c>
      <c r="EM211" t="e">
        <f>'All regions'!A5287+"n/&gt;!)oX"</f>
        <v>#VALUE!</v>
      </c>
      <c r="EN211" t="e">
        <f>'All regions'!B5287+"n/&gt;!)oY"</f>
        <v>#VALUE!</v>
      </c>
      <c r="EO211" t="e">
        <f>'All regions'!C5287+"n/&gt;!)oZ"</f>
        <v>#VALUE!</v>
      </c>
      <c r="EP211" t="e">
        <f>'All regions'!D5287+"n/&gt;!)o["</f>
        <v>#VALUE!</v>
      </c>
      <c r="EQ211" t="e">
        <f>'All regions'!E5287+"n/&gt;!)o\"</f>
        <v>#VALUE!</v>
      </c>
      <c r="ER211" t="e">
        <f>'All regions'!F5287+"n/&gt;!)o]"</f>
        <v>#VALUE!</v>
      </c>
      <c r="ES211" t="e">
        <f>'All regions'!G5287+"n/&gt;!)o^"</f>
        <v>#VALUE!</v>
      </c>
      <c r="ET211" t="e">
        <f>'All regions'!H5287+"n/&gt;!)o_"</f>
        <v>#VALUE!</v>
      </c>
      <c r="EU211" t="e">
        <f>'All regions'!I5287+"n/&gt;!)o`"</f>
        <v>#VALUE!</v>
      </c>
      <c r="EV211" t="e">
        <f>'All regions'!J5287+"n/&gt;!)oa"</f>
        <v>#VALUE!</v>
      </c>
      <c r="EW211" t="e">
        <f>'All regions'!A5288+"n/&gt;!)ob"</f>
        <v>#VALUE!</v>
      </c>
      <c r="EX211" t="e">
        <f>'All regions'!B5288+"n/&gt;!)oc"</f>
        <v>#VALUE!</v>
      </c>
      <c r="EY211" t="e">
        <f>'All regions'!C5288+"n/&gt;!)od"</f>
        <v>#VALUE!</v>
      </c>
      <c r="EZ211" t="e">
        <f>'All regions'!D5288+"n/&gt;!)oe"</f>
        <v>#VALUE!</v>
      </c>
      <c r="FA211" t="e">
        <f>'All regions'!E5288+"n/&gt;!)of"</f>
        <v>#VALUE!</v>
      </c>
      <c r="FB211" t="e">
        <f>'All regions'!F5288+"n/&gt;!)og"</f>
        <v>#VALUE!</v>
      </c>
      <c r="FC211" t="e">
        <f>'All regions'!G5288+"n/&gt;!)oh"</f>
        <v>#VALUE!</v>
      </c>
      <c r="FD211" t="e">
        <f>'All regions'!H5288+"n/&gt;!)oi"</f>
        <v>#VALUE!</v>
      </c>
      <c r="FE211" t="e">
        <f>'All regions'!I5288+"n/&gt;!)oj"</f>
        <v>#VALUE!</v>
      </c>
      <c r="FF211" t="e">
        <f>'All regions'!J5288+"n/&gt;!)ok"</f>
        <v>#VALUE!</v>
      </c>
      <c r="FG211" t="e">
        <f>'All regions'!A5289+"n/&gt;!)ol"</f>
        <v>#VALUE!</v>
      </c>
      <c r="FH211" t="e">
        <f>'All regions'!B5289+"n/&gt;!)om"</f>
        <v>#VALUE!</v>
      </c>
      <c r="FI211" t="e">
        <f>'All regions'!C5289+"n/&gt;!)on"</f>
        <v>#VALUE!</v>
      </c>
      <c r="FJ211" t="e">
        <f>'All regions'!D5289+"n/&gt;!)oo"</f>
        <v>#VALUE!</v>
      </c>
      <c r="FK211" t="e">
        <f>'All regions'!E5289+"n/&gt;!)op"</f>
        <v>#VALUE!</v>
      </c>
      <c r="FL211" t="e">
        <f>'All regions'!F5289+"n/&gt;!)oq"</f>
        <v>#VALUE!</v>
      </c>
      <c r="FM211" t="e">
        <f>'All regions'!G5289+"n/&gt;!)or"</f>
        <v>#VALUE!</v>
      </c>
      <c r="FN211" t="e">
        <f>'All regions'!H5289+"n/&gt;!)os"</f>
        <v>#VALUE!</v>
      </c>
      <c r="FO211" t="e">
        <f>'All regions'!I5289+"n/&gt;!)ot"</f>
        <v>#VALUE!</v>
      </c>
      <c r="FP211" t="e">
        <f>'All regions'!J5289+"n/&gt;!)ou"</f>
        <v>#VALUE!</v>
      </c>
      <c r="FQ211" t="e">
        <f>'All regions'!A5290+"n/&gt;!)ov"</f>
        <v>#VALUE!</v>
      </c>
      <c r="FR211" t="e">
        <f>'All regions'!B5290+"n/&gt;!)ow"</f>
        <v>#VALUE!</v>
      </c>
      <c r="FS211" t="e">
        <f>'All regions'!C5290+"n/&gt;!)ox"</f>
        <v>#VALUE!</v>
      </c>
      <c r="FT211" t="e">
        <f>'All regions'!D5290+"n/&gt;!)oy"</f>
        <v>#VALUE!</v>
      </c>
      <c r="FU211" t="e">
        <f>'All regions'!E5290+"n/&gt;!)oz"</f>
        <v>#VALUE!</v>
      </c>
      <c r="FV211" t="e">
        <f>'All regions'!F5290+"n/&gt;!)o{"</f>
        <v>#VALUE!</v>
      </c>
      <c r="FW211" t="e">
        <f>'All regions'!G5290+"n/&gt;!)o|"</f>
        <v>#VALUE!</v>
      </c>
      <c r="FX211" t="e">
        <f>'All regions'!H5290+"n/&gt;!)o}"</f>
        <v>#VALUE!</v>
      </c>
      <c r="FY211" t="e">
        <f>'All regions'!I5290+"n/&gt;!)o~"</f>
        <v>#VALUE!</v>
      </c>
      <c r="FZ211" t="e">
        <f>'All regions'!J5290+"n/&gt;!)p#"</f>
        <v>#VALUE!</v>
      </c>
      <c r="GA211" t="e">
        <f>'All regions'!A5291+"n/&gt;!)p$"</f>
        <v>#VALUE!</v>
      </c>
      <c r="GB211" t="e">
        <f>'All regions'!B5291+"n/&gt;!)p%"</f>
        <v>#VALUE!</v>
      </c>
      <c r="GC211" t="e">
        <f>'All regions'!C5291+"n/&gt;!)p&amp;"</f>
        <v>#VALUE!</v>
      </c>
      <c r="GD211" t="e">
        <f>'All regions'!D5291+"n/&gt;!)p'"</f>
        <v>#VALUE!</v>
      </c>
      <c r="GE211" t="e">
        <f>'All regions'!E5291+"n/&gt;!)p("</f>
        <v>#VALUE!</v>
      </c>
      <c r="GF211" t="e">
        <f>'All regions'!F5291+"n/&gt;!)p)"</f>
        <v>#VALUE!</v>
      </c>
      <c r="GG211" t="e">
        <f>'All regions'!G5291+"n/&gt;!)p."</f>
        <v>#VALUE!</v>
      </c>
      <c r="GH211" t="e">
        <f>'All regions'!H5291+"n/&gt;!)p/"</f>
        <v>#VALUE!</v>
      </c>
      <c r="GI211" t="e">
        <f>'All regions'!I5291+"n/&gt;!)p0"</f>
        <v>#VALUE!</v>
      </c>
      <c r="GJ211" t="e">
        <f>'All regions'!J5291+"n/&gt;!)p1"</f>
        <v>#VALUE!</v>
      </c>
      <c r="GK211" t="e">
        <f>'All regions'!A5292+"n/&gt;!)p2"</f>
        <v>#VALUE!</v>
      </c>
      <c r="GL211" t="e">
        <f>'All regions'!B5292+"n/&gt;!)p3"</f>
        <v>#VALUE!</v>
      </c>
      <c r="GM211" t="e">
        <f>'All regions'!C5292+"n/&gt;!)p4"</f>
        <v>#VALUE!</v>
      </c>
      <c r="GN211" t="e">
        <f>'All regions'!D5292+"n/&gt;!)p5"</f>
        <v>#VALUE!</v>
      </c>
      <c r="GO211" t="e">
        <f>'All regions'!E5292+"n/&gt;!)p6"</f>
        <v>#VALUE!</v>
      </c>
      <c r="GP211" t="e">
        <f>'All regions'!F5292+"n/&gt;!)p7"</f>
        <v>#VALUE!</v>
      </c>
      <c r="GQ211" t="e">
        <f>'All regions'!G5292+"n/&gt;!)p8"</f>
        <v>#VALUE!</v>
      </c>
      <c r="GR211" t="e">
        <f>'All regions'!H5292+"n/&gt;!)p9"</f>
        <v>#VALUE!</v>
      </c>
      <c r="GS211" t="e">
        <f>'All regions'!I5292+"n/&gt;!)p:"</f>
        <v>#VALUE!</v>
      </c>
      <c r="GT211" t="e">
        <f>'All regions'!J5292+"n/&gt;!)p;"</f>
        <v>#VALUE!</v>
      </c>
      <c r="GU211" t="e">
        <f>'All regions'!A5293+"n/&gt;!)p&lt;"</f>
        <v>#VALUE!</v>
      </c>
      <c r="GV211" t="e">
        <f>'All regions'!B5293+"n/&gt;!)p="</f>
        <v>#VALUE!</v>
      </c>
      <c r="GW211" t="e">
        <f>'All regions'!C5293+"n/&gt;!)p&gt;"</f>
        <v>#VALUE!</v>
      </c>
      <c r="GX211" t="e">
        <f>'All regions'!D5293+"n/&gt;!)p?"</f>
        <v>#VALUE!</v>
      </c>
      <c r="GY211" t="e">
        <f>'All regions'!E5293+"n/&gt;!)p@"</f>
        <v>#VALUE!</v>
      </c>
      <c r="GZ211" t="e">
        <f>'All regions'!F5293+"n/&gt;!)pA"</f>
        <v>#VALUE!</v>
      </c>
      <c r="HA211" t="e">
        <f>'All regions'!G5293+"n/&gt;!)pB"</f>
        <v>#VALUE!</v>
      </c>
      <c r="HB211" t="e">
        <f>'All regions'!H5293+"n/&gt;!)pC"</f>
        <v>#VALUE!</v>
      </c>
      <c r="HC211" t="e">
        <f>'All regions'!I5293+"n/&gt;!)pD"</f>
        <v>#VALUE!</v>
      </c>
      <c r="HD211" t="e">
        <f>'All regions'!J5293+"n/&gt;!)pE"</f>
        <v>#VALUE!</v>
      </c>
      <c r="HE211" t="e">
        <f>'All regions'!A5294+"n/&gt;!)pF"</f>
        <v>#VALUE!</v>
      </c>
      <c r="HF211" t="e">
        <f>'All regions'!B5294+"n/&gt;!)pG"</f>
        <v>#VALUE!</v>
      </c>
      <c r="HG211" t="e">
        <f>'All regions'!C5294+"n/&gt;!)pH"</f>
        <v>#VALUE!</v>
      </c>
      <c r="HH211" t="e">
        <f>'All regions'!D5294+"n/&gt;!)pI"</f>
        <v>#VALUE!</v>
      </c>
      <c r="HI211" t="e">
        <f>'All regions'!E5294+"n/&gt;!)pJ"</f>
        <v>#VALUE!</v>
      </c>
      <c r="HJ211" t="e">
        <f>'All regions'!F5294+"n/&gt;!)pK"</f>
        <v>#VALUE!</v>
      </c>
      <c r="HK211" t="e">
        <f>'All regions'!G5294+"n/&gt;!)pL"</f>
        <v>#VALUE!</v>
      </c>
      <c r="HL211" t="e">
        <f>'All regions'!H5294+"n/&gt;!)pM"</f>
        <v>#VALUE!</v>
      </c>
      <c r="HM211" t="e">
        <f>'All regions'!I5294+"n/&gt;!)pN"</f>
        <v>#VALUE!</v>
      </c>
      <c r="HN211" t="e">
        <f>'All regions'!J5294+"n/&gt;!)pO"</f>
        <v>#VALUE!</v>
      </c>
      <c r="HO211" t="e">
        <f>'All regions'!A5295+"n/&gt;!)pP"</f>
        <v>#VALUE!</v>
      </c>
      <c r="HP211" t="e">
        <f>'All regions'!B5295+"n/&gt;!)pQ"</f>
        <v>#VALUE!</v>
      </c>
      <c r="HQ211" t="e">
        <f>'All regions'!C5295+"n/&gt;!)pR"</f>
        <v>#VALUE!</v>
      </c>
      <c r="HR211" t="e">
        <f>'All regions'!D5295+"n/&gt;!)pS"</f>
        <v>#VALUE!</v>
      </c>
      <c r="HS211" t="e">
        <f>'All regions'!E5295+"n/&gt;!)pT"</f>
        <v>#VALUE!</v>
      </c>
      <c r="HT211" t="e">
        <f>'All regions'!F5295+"n/&gt;!)pU"</f>
        <v>#VALUE!</v>
      </c>
      <c r="HU211" t="e">
        <f>'All regions'!G5295+"n/&gt;!)pV"</f>
        <v>#VALUE!</v>
      </c>
      <c r="HV211" t="e">
        <f>'All regions'!H5295+"n/&gt;!)pW"</f>
        <v>#VALUE!</v>
      </c>
      <c r="HW211" t="e">
        <f>'All regions'!I5295+"n/&gt;!)pX"</f>
        <v>#VALUE!</v>
      </c>
      <c r="HX211" t="e">
        <f>'All regions'!J5295+"n/&gt;!)pY"</f>
        <v>#VALUE!</v>
      </c>
      <c r="HY211" t="e">
        <f>'All regions'!A5296+"n/&gt;!)pZ"</f>
        <v>#VALUE!</v>
      </c>
      <c r="HZ211" t="e">
        <f>'All regions'!B5296+"n/&gt;!)p["</f>
        <v>#VALUE!</v>
      </c>
      <c r="IA211" t="e">
        <f>'All regions'!C5296+"n/&gt;!)p\"</f>
        <v>#VALUE!</v>
      </c>
      <c r="IB211" t="e">
        <f>'All regions'!D5296+"n/&gt;!)p]"</f>
        <v>#VALUE!</v>
      </c>
      <c r="IC211" t="e">
        <f>'All regions'!E5296+"n/&gt;!)p^"</f>
        <v>#VALUE!</v>
      </c>
      <c r="ID211" t="e">
        <f>'All regions'!F5296+"n/&gt;!)p_"</f>
        <v>#VALUE!</v>
      </c>
      <c r="IE211" t="e">
        <f>'All regions'!G5296+"n/&gt;!)p`"</f>
        <v>#VALUE!</v>
      </c>
      <c r="IF211" t="e">
        <f>'All regions'!H5296+"n/&gt;!)pa"</f>
        <v>#VALUE!</v>
      </c>
      <c r="IG211" t="e">
        <f>'All regions'!I5296+"n/&gt;!)pb"</f>
        <v>#VALUE!</v>
      </c>
      <c r="IH211" t="e">
        <f>'All regions'!J5296+"n/&gt;!)pc"</f>
        <v>#VALUE!</v>
      </c>
      <c r="II211" t="e">
        <f>'All regions'!A5297+"n/&gt;!)pd"</f>
        <v>#VALUE!</v>
      </c>
      <c r="IJ211" t="e">
        <f>'All regions'!B5297+"n/&gt;!)pe"</f>
        <v>#VALUE!</v>
      </c>
      <c r="IK211" t="e">
        <f>'All regions'!C5297+"n/&gt;!)pf"</f>
        <v>#VALUE!</v>
      </c>
      <c r="IL211" t="e">
        <f>'All regions'!D5297+"n/&gt;!)pg"</f>
        <v>#VALUE!</v>
      </c>
      <c r="IM211" t="e">
        <f>'All regions'!E5297+"n/&gt;!)ph"</f>
        <v>#VALUE!</v>
      </c>
      <c r="IN211" t="e">
        <f>'All regions'!F5297+"n/&gt;!)pi"</f>
        <v>#VALUE!</v>
      </c>
      <c r="IO211" t="e">
        <f>'All regions'!G5297+"n/&gt;!)pj"</f>
        <v>#VALUE!</v>
      </c>
      <c r="IP211" t="e">
        <f>'All regions'!H5297+"n/&gt;!)pk"</f>
        <v>#VALUE!</v>
      </c>
      <c r="IQ211" t="e">
        <f>'All regions'!I5297+"n/&gt;!)pl"</f>
        <v>#VALUE!</v>
      </c>
      <c r="IR211" t="e">
        <f>'All regions'!J5297+"n/&gt;!)pm"</f>
        <v>#VALUE!</v>
      </c>
      <c r="IS211" t="e">
        <f>'All regions'!A5298+"n/&gt;!)pn"</f>
        <v>#VALUE!</v>
      </c>
      <c r="IT211" t="e">
        <f>'All regions'!B5298+"n/&gt;!)po"</f>
        <v>#VALUE!</v>
      </c>
      <c r="IU211" t="e">
        <f>'All regions'!C5298+"n/&gt;!)pp"</f>
        <v>#VALUE!</v>
      </c>
      <c r="IV211" t="e">
        <f>'All regions'!D5298+"n/&gt;!)pq"</f>
        <v>#VALUE!</v>
      </c>
    </row>
    <row r="212" spans="6:256" x14ac:dyDescent="0.35">
      <c r="F212" t="e">
        <f>'All regions'!E5298+"n/&gt;!)pr"</f>
        <v>#VALUE!</v>
      </c>
      <c r="G212" t="e">
        <f>'All regions'!F5298+"n/&gt;!)ps"</f>
        <v>#VALUE!</v>
      </c>
      <c r="H212" t="e">
        <f>'All regions'!G5298+"n/&gt;!)pt"</f>
        <v>#VALUE!</v>
      </c>
      <c r="I212" t="e">
        <f>'All regions'!H5298+"n/&gt;!)pu"</f>
        <v>#VALUE!</v>
      </c>
      <c r="J212" t="e">
        <f>'All regions'!I5298+"n/&gt;!)pv"</f>
        <v>#VALUE!</v>
      </c>
      <c r="K212" t="e">
        <f>'All regions'!J5298+"n/&gt;!)pw"</f>
        <v>#VALUE!</v>
      </c>
      <c r="L212" t="e">
        <f>'All regions'!A5299+"n/&gt;!)px"</f>
        <v>#VALUE!</v>
      </c>
      <c r="M212" t="e">
        <f>'All regions'!B5299+"n/&gt;!)py"</f>
        <v>#VALUE!</v>
      </c>
      <c r="N212" t="e">
        <f>'All regions'!C5299+"n/&gt;!)pz"</f>
        <v>#VALUE!</v>
      </c>
      <c r="O212" t="e">
        <f>'All regions'!D5299+"n/&gt;!)p{"</f>
        <v>#VALUE!</v>
      </c>
      <c r="P212" t="e">
        <f>'All regions'!E5299+"n/&gt;!)p|"</f>
        <v>#VALUE!</v>
      </c>
      <c r="Q212" t="e">
        <f>'All regions'!F5299+"n/&gt;!)p}"</f>
        <v>#VALUE!</v>
      </c>
      <c r="R212" t="e">
        <f>'All regions'!G5299+"n/&gt;!)p~"</f>
        <v>#VALUE!</v>
      </c>
      <c r="S212" t="e">
        <f>'All regions'!H5299+"n/&gt;!)q#"</f>
        <v>#VALUE!</v>
      </c>
      <c r="T212" t="e">
        <f>'All regions'!I5299+"n/&gt;!)q$"</f>
        <v>#VALUE!</v>
      </c>
      <c r="U212" t="e">
        <f>'All regions'!J5299+"n/&gt;!)q%"</f>
        <v>#VALUE!</v>
      </c>
      <c r="V212" t="e">
        <f>'All regions'!A5300+"n/&gt;!)q&amp;"</f>
        <v>#VALUE!</v>
      </c>
      <c r="W212" t="e">
        <f>'All regions'!B5300+"n/&gt;!)q'"</f>
        <v>#VALUE!</v>
      </c>
      <c r="X212" t="e">
        <f>'All regions'!C5300+"n/&gt;!)q("</f>
        <v>#VALUE!</v>
      </c>
      <c r="Y212" t="e">
        <f>'All regions'!D5300+"n/&gt;!)q)"</f>
        <v>#VALUE!</v>
      </c>
      <c r="Z212" t="e">
        <f>'All regions'!E5300+"n/&gt;!)q."</f>
        <v>#VALUE!</v>
      </c>
      <c r="AA212" t="e">
        <f>'All regions'!F5300+"n/&gt;!)q/"</f>
        <v>#VALUE!</v>
      </c>
      <c r="AB212" t="e">
        <f>'All regions'!G5300+"n/&gt;!)q0"</f>
        <v>#VALUE!</v>
      </c>
      <c r="AC212" t="e">
        <f>'All regions'!H5300+"n/&gt;!)q1"</f>
        <v>#VALUE!</v>
      </c>
      <c r="AD212" t="e">
        <f>'All regions'!I5300+"n/&gt;!)q2"</f>
        <v>#VALUE!</v>
      </c>
      <c r="AE212" t="e">
        <f>'All regions'!J5300+"n/&gt;!)q3"</f>
        <v>#VALUE!</v>
      </c>
      <c r="AF212" t="e">
        <f>'All regions'!A5301+"n/&gt;!)q4"</f>
        <v>#VALUE!</v>
      </c>
      <c r="AG212" t="e">
        <f>'All regions'!B5301+"n/&gt;!)q5"</f>
        <v>#VALUE!</v>
      </c>
      <c r="AH212" t="e">
        <f>'All regions'!C5301+"n/&gt;!)q6"</f>
        <v>#VALUE!</v>
      </c>
      <c r="AI212" t="e">
        <f>'All regions'!D5301+"n/&gt;!)q7"</f>
        <v>#VALUE!</v>
      </c>
      <c r="AJ212" t="e">
        <f>'All regions'!E5301+"n/&gt;!)q8"</f>
        <v>#VALUE!</v>
      </c>
      <c r="AK212" t="e">
        <f>'All regions'!F5301+"n/&gt;!)q9"</f>
        <v>#VALUE!</v>
      </c>
      <c r="AL212" t="e">
        <f>'All regions'!G5301+"n/&gt;!)q:"</f>
        <v>#VALUE!</v>
      </c>
      <c r="AM212" t="e">
        <f>'All regions'!H5301+"n/&gt;!)q;"</f>
        <v>#VALUE!</v>
      </c>
      <c r="AN212" t="e">
        <f>'All regions'!I5301+"n/&gt;!)q&lt;"</f>
        <v>#VALUE!</v>
      </c>
      <c r="AO212" t="e">
        <f>'All regions'!J5301+"n/&gt;!)q="</f>
        <v>#VALUE!</v>
      </c>
      <c r="AP212" t="e">
        <f>'All regions'!A5302+"n/&gt;!)q&gt;"</f>
        <v>#VALUE!</v>
      </c>
      <c r="AQ212" t="e">
        <f>'All regions'!B5302+"n/&gt;!)q?"</f>
        <v>#VALUE!</v>
      </c>
      <c r="AR212" t="e">
        <f>'All regions'!C5302+"n/&gt;!)q@"</f>
        <v>#VALUE!</v>
      </c>
      <c r="AS212" t="e">
        <f>'All regions'!D5302+"n/&gt;!)qA"</f>
        <v>#VALUE!</v>
      </c>
      <c r="AT212" t="e">
        <f>'All regions'!E5302+"n/&gt;!)qB"</f>
        <v>#VALUE!</v>
      </c>
      <c r="AU212" t="e">
        <f>'All regions'!F5302+"n/&gt;!)qC"</f>
        <v>#VALUE!</v>
      </c>
      <c r="AV212" t="e">
        <f>'All regions'!G5302+"n/&gt;!)qD"</f>
        <v>#VALUE!</v>
      </c>
      <c r="AW212" t="e">
        <f>'All regions'!H5302+"n/&gt;!)qE"</f>
        <v>#VALUE!</v>
      </c>
      <c r="AX212" t="e">
        <f>'All regions'!I5302+"n/&gt;!)qF"</f>
        <v>#VALUE!</v>
      </c>
      <c r="AY212" t="e">
        <f>'All regions'!J5302+"n/&gt;!)qG"</f>
        <v>#VALUE!</v>
      </c>
      <c r="AZ212" t="e">
        <f>'All regions'!A5303+"n/&gt;!)qH"</f>
        <v>#VALUE!</v>
      </c>
      <c r="BA212" t="e">
        <f>'All regions'!B5303+"n/&gt;!)qI"</f>
        <v>#VALUE!</v>
      </c>
      <c r="BB212" t="e">
        <f>'All regions'!C5303+"n/&gt;!)qJ"</f>
        <v>#VALUE!</v>
      </c>
      <c r="BC212" t="e">
        <f>'All regions'!D5303+"n/&gt;!)qK"</f>
        <v>#VALUE!</v>
      </c>
      <c r="BD212" t="e">
        <f>'All regions'!E5303+"n/&gt;!)qL"</f>
        <v>#VALUE!</v>
      </c>
      <c r="BE212" t="e">
        <f>'All regions'!F5303+"n/&gt;!)qM"</f>
        <v>#VALUE!</v>
      </c>
      <c r="BF212" t="e">
        <f>'All regions'!G5303+"n/&gt;!)qN"</f>
        <v>#VALUE!</v>
      </c>
      <c r="BG212" t="e">
        <f>'All regions'!H5303+"n/&gt;!)qO"</f>
        <v>#VALUE!</v>
      </c>
      <c r="BH212" t="e">
        <f>'All regions'!I5303+"n/&gt;!)qP"</f>
        <v>#VALUE!</v>
      </c>
      <c r="BI212" t="e">
        <f>'All regions'!J5303+"n/&gt;!)qQ"</f>
        <v>#VALUE!</v>
      </c>
      <c r="BJ212" t="e">
        <f>'All regions'!A5304+"n/&gt;!)qR"</f>
        <v>#VALUE!</v>
      </c>
      <c r="BK212" t="e">
        <f>'All regions'!B5304+"n/&gt;!)qS"</f>
        <v>#VALUE!</v>
      </c>
      <c r="BL212" t="e">
        <f>'All regions'!C5304+"n/&gt;!)qT"</f>
        <v>#VALUE!</v>
      </c>
      <c r="BM212" t="e">
        <f>'All regions'!D5304+"n/&gt;!)qU"</f>
        <v>#VALUE!</v>
      </c>
      <c r="BN212" t="e">
        <f>'All regions'!E5304+"n/&gt;!)qV"</f>
        <v>#VALUE!</v>
      </c>
      <c r="BO212" t="e">
        <f>'All regions'!F5304+"n/&gt;!)qW"</f>
        <v>#VALUE!</v>
      </c>
      <c r="BP212" t="e">
        <f>'All regions'!G5304+"n/&gt;!)qX"</f>
        <v>#VALUE!</v>
      </c>
      <c r="BQ212" t="e">
        <f>'All regions'!H5304+"n/&gt;!)qY"</f>
        <v>#VALUE!</v>
      </c>
      <c r="BR212" t="e">
        <f>'All regions'!I5304+"n/&gt;!)qZ"</f>
        <v>#VALUE!</v>
      </c>
      <c r="BS212" t="e">
        <f>'All regions'!J5304+"n/&gt;!)q["</f>
        <v>#VALUE!</v>
      </c>
      <c r="BT212" t="e">
        <f>'All regions'!A5305+"n/&gt;!)q\"</f>
        <v>#VALUE!</v>
      </c>
      <c r="BU212" t="e">
        <f>'All regions'!B5305+"n/&gt;!)q]"</f>
        <v>#VALUE!</v>
      </c>
      <c r="BV212" t="e">
        <f>'All regions'!C5305+"n/&gt;!)q^"</f>
        <v>#VALUE!</v>
      </c>
      <c r="BW212" t="e">
        <f>'All regions'!D5305+"n/&gt;!)q_"</f>
        <v>#VALUE!</v>
      </c>
      <c r="BX212" t="e">
        <f>'All regions'!E5305+"n/&gt;!)q`"</f>
        <v>#VALUE!</v>
      </c>
      <c r="BY212" t="e">
        <f>'All regions'!F5305+"n/&gt;!)qa"</f>
        <v>#VALUE!</v>
      </c>
      <c r="BZ212" t="e">
        <f>'All regions'!G5305+"n/&gt;!)qb"</f>
        <v>#VALUE!</v>
      </c>
      <c r="CA212" t="e">
        <f>'All regions'!H5305+"n/&gt;!)qc"</f>
        <v>#VALUE!</v>
      </c>
      <c r="CB212" t="e">
        <f>'All regions'!I5305+"n/&gt;!)qd"</f>
        <v>#VALUE!</v>
      </c>
      <c r="CC212" t="e">
        <f>'All regions'!J5305+"n/&gt;!)qe"</f>
        <v>#VALUE!</v>
      </c>
      <c r="CD212" t="e">
        <f>'All regions'!A5306+"n/&gt;!)qf"</f>
        <v>#VALUE!</v>
      </c>
      <c r="CE212" t="e">
        <f>'All regions'!B5306+"n/&gt;!)qg"</f>
        <v>#VALUE!</v>
      </c>
      <c r="CF212" t="e">
        <f>'All regions'!C5306+"n/&gt;!)qh"</f>
        <v>#VALUE!</v>
      </c>
      <c r="CG212" t="e">
        <f>'All regions'!D5306+"n/&gt;!)qi"</f>
        <v>#VALUE!</v>
      </c>
      <c r="CH212" t="e">
        <f>'All regions'!E5306+"n/&gt;!)qj"</f>
        <v>#VALUE!</v>
      </c>
      <c r="CI212" t="e">
        <f>'All regions'!F5306+"n/&gt;!)qk"</f>
        <v>#VALUE!</v>
      </c>
      <c r="CJ212" t="e">
        <f>'All regions'!G5306+"n/&gt;!)ql"</f>
        <v>#VALUE!</v>
      </c>
      <c r="CK212" t="e">
        <f>'All regions'!H5306+"n/&gt;!)qm"</f>
        <v>#VALUE!</v>
      </c>
      <c r="CL212" t="e">
        <f>'All regions'!I5306+"n/&gt;!)qn"</f>
        <v>#VALUE!</v>
      </c>
      <c r="CM212" t="e">
        <f>'All regions'!J5306+"n/&gt;!)qo"</f>
        <v>#VALUE!</v>
      </c>
      <c r="CN212" t="e">
        <f>'All regions'!A5307+"n/&gt;!)qp"</f>
        <v>#VALUE!</v>
      </c>
      <c r="CO212" t="e">
        <f>'All regions'!B5307+"n/&gt;!)qq"</f>
        <v>#VALUE!</v>
      </c>
      <c r="CP212" t="e">
        <f>'All regions'!C5307+"n/&gt;!)qr"</f>
        <v>#VALUE!</v>
      </c>
      <c r="CQ212" t="e">
        <f>'All regions'!D5307+"n/&gt;!)qs"</f>
        <v>#VALUE!</v>
      </c>
      <c r="CR212" t="e">
        <f>'All regions'!E5307+"n/&gt;!)qt"</f>
        <v>#VALUE!</v>
      </c>
      <c r="CS212" t="e">
        <f>'All regions'!F5307+"n/&gt;!)qu"</f>
        <v>#VALUE!</v>
      </c>
      <c r="CT212" t="e">
        <f>'All regions'!G5307+"n/&gt;!)qv"</f>
        <v>#VALUE!</v>
      </c>
      <c r="CU212" t="e">
        <f>'All regions'!H5307+"n/&gt;!)qw"</f>
        <v>#VALUE!</v>
      </c>
      <c r="CV212" t="e">
        <f>'All regions'!I5307+"n/&gt;!)qx"</f>
        <v>#VALUE!</v>
      </c>
      <c r="CW212" t="e">
        <f>'All regions'!J5307+"n/&gt;!)qy"</f>
        <v>#VALUE!</v>
      </c>
      <c r="CX212" t="e">
        <f>'All regions'!A5308+"n/&gt;!)qz"</f>
        <v>#VALUE!</v>
      </c>
      <c r="CY212" t="e">
        <f>'All regions'!B5308+"n/&gt;!)q{"</f>
        <v>#VALUE!</v>
      </c>
      <c r="CZ212" t="e">
        <f>'All regions'!C5308+"n/&gt;!)q|"</f>
        <v>#VALUE!</v>
      </c>
      <c r="DA212" t="e">
        <f>'All regions'!D5308+"n/&gt;!)q}"</f>
        <v>#VALUE!</v>
      </c>
      <c r="DB212" t="e">
        <f>'All regions'!E5308+"n/&gt;!)q~"</f>
        <v>#VALUE!</v>
      </c>
      <c r="DC212" t="e">
        <f>'All regions'!F5308+"n/&gt;!)r#"</f>
        <v>#VALUE!</v>
      </c>
      <c r="DD212" t="e">
        <f>'All regions'!G5308+"n/&gt;!)r$"</f>
        <v>#VALUE!</v>
      </c>
      <c r="DE212" t="e">
        <f>'All regions'!H5308+"n/&gt;!)r%"</f>
        <v>#VALUE!</v>
      </c>
      <c r="DF212" t="e">
        <f>'All regions'!I5308+"n/&gt;!)r&amp;"</f>
        <v>#VALUE!</v>
      </c>
      <c r="DG212" t="e">
        <f>'All regions'!J5308+"n/&gt;!)r'"</f>
        <v>#VALUE!</v>
      </c>
      <c r="DH212" t="e">
        <f>'All regions'!A5309+"n/&gt;!)r("</f>
        <v>#VALUE!</v>
      </c>
      <c r="DI212" t="e">
        <f>'All regions'!B5309+"n/&gt;!)r)"</f>
        <v>#VALUE!</v>
      </c>
      <c r="DJ212" t="e">
        <f>'All regions'!C5309+"n/&gt;!)r."</f>
        <v>#VALUE!</v>
      </c>
      <c r="DK212" t="e">
        <f>'All regions'!D5309+"n/&gt;!)r/"</f>
        <v>#VALUE!</v>
      </c>
      <c r="DL212" t="e">
        <f>'All regions'!E5309+"n/&gt;!)r0"</f>
        <v>#VALUE!</v>
      </c>
      <c r="DM212" t="e">
        <f>'All regions'!F5309+"n/&gt;!)r1"</f>
        <v>#VALUE!</v>
      </c>
      <c r="DN212" t="e">
        <f>'All regions'!G5309+"n/&gt;!)r2"</f>
        <v>#VALUE!</v>
      </c>
      <c r="DO212" t="e">
        <f>'All regions'!H5309+"n/&gt;!)r3"</f>
        <v>#VALUE!</v>
      </c>
      <c r="DP212" t="e">
        <f>'All regions'!I5309+"n/&gt;!)r4"</f>
        <v>#VALUE!</v>
      </c>
      <c r="DQ212" t="e">
        <f>'All regions'!J5309+"n/&gt;!)r5"</f>
        <v>#VALUE!</v>
      </c>
      <c r="DR212" t="e">
        <f>'All regions'!A5310+"n/&gt;!)r6"</f>
        <v>#VALUE!</v>
      </c>
      <c r="DS212" t="e">
        <f>'All regions'!B5310+"n/&gt;!)r7"</f>
        <v>#VALUE!</v>
      </c>
      <c r="DT212" t="e">
        <f>'All regions'!C5310+"n/&gt;!)r8"</f>
        <v>#VALUE!</v>
      </c>
      <c r="DU212" t="e">
        <f>'All regions'!D5310+"n/&gt;!)r9"</f>
        <v>#VALUE!</v>
      </c>
      <c r="DV212" t="e">
        <f>'All regions'!E5310+"n/&gt;!)r:"</f>
        <v>#VALUE!</v>
      </c>
      <c r="DW212" t="e">
        <f>'All regions'!F5310+"n/&gt;!)r;"</f>
        <v>#VALUE!</v>
      </c>
      <c r="DX212" t="e">
        <f>'All regions'!G5310+"n/&gt;!)r&lt;"</f>
        <v>#VALUE!</v>
      </c>
      <c r="DY212" t="e">
        <f>'All regions'!H5310+"n/&gt;!)r="</f>
        <v>#VALUE!</v>
      </c>
      <c r="DZ212" t="e">
        <f>'All regions'!I5310+"n/&gt;!)r&gt;"</f>
        <v>#VALUE!</v>
      </c>
      <c r="EA212" t="e">
        <f>'All regions'!J5310+"n/&gt;!)r?"</f>
        <v>#VALUE!</v>
      </c>
      <c r="EB212" t="e">
        <f>'All regions'!A5311+"n/&gt;!)r@"</f>
        <v>#VALUE!</v>
      </c>
      <c r="EC212" t="e">
        <f>'All regions'!B5311+"n/&gt;!)rA"</f>
        <v>#VALUE!</v>
      </c>
      <c r="ED212" t="e">
        <f>'All regions'!C5311+"n/&gt;!)rB"</f>
        <v>#VALUE!</v>
      </c>
      <c r="EE212" t="e">
        <f>'All regions'!D5311+"n/&gt;!)rC"</f>
        <v>#VALUE!</v>
      </c>
      <c r="EF212" t="e">
        <f>'All regions'!E5311+"n/&gt;!)rD"</f>
        <v>#VALUE!</v>
      </c>
      <c r="EG212" t="e">
        <f>'All regions'!F5311+"n/&gt;!)rE"</f>
        <v>#VALUE!</v>
      </c>
      <c r="EH212" t="e">
        <f>'All regions'!G5311+"n/&gt;!)rF"</f>
        <v>#VALUE!</v>
      </c>
      <c r="EI212" t="e">
        <f>'All regions'!H5311+"n/&gt;!)rG"</f>
        <v>#VALUE!</v>
      </c>
      <c r="EJ212" t="e">
        <f>'All regions'!I5311+"n/&gt;!)rH"</f>
        <v>#VALUE!</v>
      </c>
      <c r="EK212" t="e">
        <f>'All regions'!J5311+"n/&gt;!)rI"</f>
        <v>#VALUE!</v>
      </c>
      <c r="EL212" t="e">
        <f>'All regions'!A5312+"n/&gt;!)rJ"</f>
        <v>#VALUE!</v>
      </c>
      <c r="EM212" t="e">
        <f>'All regions'!B5312+"n/&gt;!)rK"</f>
        <v>#VALUE!</v>
      </c>
      <c r="EN212" t="e">
        <f>'All regions'!C5312+"n/&gt;!)rL"</f>
        <v>#VALUE!</v>
      </c>
      <c r="EO212" t="e">
        <f>'All regions'!D5312+"n/&gt;!)rM"</f>
        <v>#VALUE!</v>
      </c>
      <c r="EP212" t="e">
        <f>'All regions'!E5312+"n/&gt;!)rN"</f>
        <v>#VALUE!</v>
      </c>
      <c r="EQ212" t="e">
        <f>'All regions'!F5312+"n/&gt;!)rO"</f>
        <v>#VALUE!</v>
      </c>
      <c r="ER212" t="e">
        <f>'All regions'!G5312+"n/&gt;!)rP"</f>
        <v>#VALUE!</v>
      </c>
      <c r="ES212" t="e">
        <f>'All regions'!H5312+"n/&gt;!)rQ"</f>
        <v>#VALUE!</v>
      </c>
      <c r="ET212" t="e">
        <f>'All regions'!I5312+"n/&gt;!)rR"</f>
        <v>#VALUE!</v>
      </c>
      <c r="EU212" t="e">
        <f>'All regions'!J5312+"n/&gt;!)rS"</f>
        <v>#VALUE!</v>
      </c>
      <c r="EV212" t="e">
        <f>'All regions'!A5313+"n/&gt;!)rT"</f>
        <v>#VALUE!</v>
      </c>
      <c r="EW212" t="e">
        <f>'All regions'!B5313+"n/&gt;!)rU"</f>
        <v>#VALUE!</v>
      </c>
      <c r="EX212" t="e">
        <f>'All regions'!C5313+"n/&gt;!)rV"</f>
        <v>#VALUE!</v>
      </c>
      <c r="EY212" t="e">
        <f>'All regions'!D5313+"n/&gt;!)rW"</f>
        <v>#VALUE!</v>
      </c>
      <c r="EZ212" t="e">
        <f>'All regions'!E5313+"n/&gt;!)rX"</f>
        <v>#VALUE!</v>
      </c>
      <c r="FA212" t="e">
        <f>'All regions'!F5313+"n/&gt;!)rY"</f>
        <v>#VALUE!</v>
      </c>
      <c r="FB212" t="e">
        <f>'All regions'!G5313+"n/&gt;!)rZ"</f>
        <v>#VALUE!</v>
      </c>
      <c r="FC212" t="e">
        <f>'All regions'!H5313+"n/&gt;!)r["</f>
        <v>#VALUE!</v>
      </c>
      <c r="FD212" t="e">
        <f>'All regions'!I5313+"n/&gt;!)r\"</f>
        <v>#VALUE!</v>
      </c>
      <c r="FE212" t="e">
        <f>'All regions'!J5313+"n/&gt;!)r]"</f>
        <v>#VALUE!</v>
      </c>
      <c r="FF212" t="e">
        <f>'All regions'!A5314+"n/&gt;!)r^"</f>
        <v>#VALUE!</v>
      </c>
      <c r="FG212" t="e">
        <f>'All regions'!B5314+"n/&gt;!)r_"</f>
        <v>#VALUE!</v>
      </c>
      <c r="FH212" t="e">
        <f>'All regions'!C5314+"n/&gt;!)r`"</f>
        <v>#VALUE!</v>
      </c>
      <c r="FI212" t="e">
        <f>'All regions'!D5314+"n/&gt;!)ra"</f>
        <v>#VALUE!</v>
      </c>
      <c r="FJ212" t="e">
        <f>'All regions'!E5314+"n/&gt;!)rb"</f>
        <v>#VALUE!</v>
      </c>
      <c r="FK212" t="e">
        <f>'All regions'!F5314+"n/&gt;!)rc"</f>
        <v>#VALUE!</v>
      </c>
      <c r="FL212" t="e">
        <f>'All regions'!G5314+"n/&gt;!)rd"</f>
        <v>#VALUE!</v>
      </c>
      <c r="FM212" t="e">
        <f>'All regions'!H5314+"n/&gt;!)re"</f>
        <v>#VALUE!</v>
      </c>
      <c r="FN212" t="e">
        <f>'All regions'!I5314+"n/&gt;!)rf"</f>
        <v>#VALUE!</v>
      </c>
      <c r="FO212" t="e">
        <f>'All regions'!J5314+"n/&gt;!)rg"</f>
        <v>#VALUE!</v>
      </c>
      <c r="FP212" t="e">
        <f>'All regions'!A5315+"n/&gt;!)rh"</f>
        <v>#VALUE!</v>
      </c>
      <c r="FQ212" t="e">
        <f>'All regions'!B5315+"n/&gt;!)ri"</f>
        <v>#VALUE!</v>
      </c>
      <c r="FR212" t="e">
        <f>'All regions'!C5315+"n/&gt;!)rj"</f>
        <v>#VALUE!</v>
      </c>
      <c r="FS212" t="e">
        <f>'All regions'!D5315+"n/&gt;!)rk"</f>
        <v>#VALUE!</v>
      </c>
      <c r="FT212" t="e">
        <f>'All regions'!E5315+"n/&gt;!)rl"</f>
        <v>#VALUE!</v>
      </c>
      <c r="FU212" t="e">
        <f>'All regions'!F5315+"n/&gt;!)rm"</f>
        <v>#VALUE!</v>
      </c>
      <c r="FV212" t="e">
        <f>'All regions'!G5315+"n/&gt;!)rn"</f>
        <v>#VALUE!</v>
      </c>
      <c r="FW212" t="e">
        <f>'All regions'!H5315+"n/&gt;!)ro"</f>
        <v>#VALUE!</v>
      </c>
      <c r="FX212" t="e">
        <f>'All regions'!I5315+"n/&gt;!)rp"</f>
        <v>#VALUE!</v>
      </c>
      <c r="FY212" t="e">
        <f>'All regions'!J5315+"n/&gt;!)rq"</f>
        <v>#VALUE!</v>
      </c>
      <c r="FZ212" t="e">
        <f>'All regions'!A5316+"n/&gt;!)rr"</f>
        <v>#VALUE!</v>
      </c>
      <c r="GA212" t="e">
        <f>'All regions'!B5316+"n/&gt;!)rs"</f>
        <v>#VALUE!</v>
      </c>
      <c r="GB212" t="e">
        <f>'All regions'!C5316+"n/&gt;!)rt"</f>
        <v>#VALUE!</v>
      </c>
      <c r="GC212" t="e">
        <f>'All regions'!D5316+"n/&gt;!)ru"</f>
        <v>#VALUE!</v>
      </c>
      <c r="GD212" t="e">
        <f>'All regions'!E5316+"n/&gt;!)rv"</f>
        <v>#VALUE!</v>
      </c>
      <c r="GE212" t="e">
        <f>'All regions'!F5316+"n/&gt;!)rw"</f>
        <v>#VALUE!</v>
      </c>
      <c r="GF212" t="e">
        <f>'All regions'!G5316+"n/&gt;!)rx"</f>
        <v>#VALUE!</v>
      </c>
      <c r="GG212" t="e">
        <f>'All regions'!H5316+"n/&gt;!)ry"</f>
        <v>#VALUE!</v>
      </c>
      <c r="GH212" t="e">
        <f>'All regions'!I5316+"n/&gt;!)rz"</f>
        <v>#VALUE!</v>
      </c>
      <c r="GI212" t="e">
        <f>'All regions'!J5316+"n/&gt;!)r{"</f>
        <v>#VALUE!</v>
      </c>
      <c r="GJ212" t="e">
        <f>'All regions'!A5317+"n/&gt;!)r|"</f>
        <v>#VALUE!</v>
      </c>
      <c r="GK212" t="e">
        <f>'All regions'!B5317+"n/&gt;!)r}"</f>
        <v>#VALUE!</v>
      </c>
      <c r="GL212" t="e">
        <f>'All regions'!C5317+"n/&gt;!)r~"</f>
        <v>#VALUE!</v>
      </c>
      <c r="GM212" t="e">
        <f>'All regions'!D5317+"n/&gt;!)s#"</f>
        <v>#VALUE!</v>
      </c>
      <c r="GN212" t="e">
        <f>'All regions'!E5317+"n/&gt;!)s$"</f>
        <v>#VALUE!</v>
      </c>
      <c r="GO212" t="e">
        <f>'All regions'!F5317+"n/&gt;!)s%"</f>
        <v>#VALUE!</v>
      </c>
      <c r="GP212" t="e">
        <f>'All regions'!G5317+"n/&gt;!)s&amp;"</f>
        <v>#VALUE!</v>
      </c>
      <c r="GQ212" t="e">
        <f>'All regions'!H5317+"n/&gt;!)s'"</f>
        <v>#VALUE!</v>
      </c>
      <c r="GR212" t="e">
        <f>'All regions'!I5317+"n/&gt;!)s("</f>
        <v>#VALUE!</v>
      </c>
      <c r="GS212" t="e">
        <f>'All regions'!J5317+"n/&gt;!)s)"</f>
        <v>#VALUE!</v>
      </c>
      <c r="GT212" t="e">
        <f>'All regions'!A5318+"n/&gt;!)s."</f>
        <v>#VALUE!</v>
      </c>
      <c r="GU212" t="e">
        <f>'All regions'!B5318+"n/&gt;!)s/"</f>
        <v>#VALUE!</v>
      </c>
      <c r="GV212" t="e">
        <f>'All regions'!C5318+"n/&gt;!)s0"</f>
        <v>#VALUE!</v>
      </c>
      <c r="GW212" t="e">
        <f>'All regions'!D5318+"n/&gt;!)s1"</f>
        <v>#VALUE!</v>
      </c>
      <c r="GX212" t="e">
        <f>'All regions'!E5318+"n/&gt;!)s2"</f>
        <v>#VALUE!</v>
      </c>
      <c r="GY212" t="e">
        <f>'All regions'!F5318+"n/&gt;!)s3"</f>
        <v>#VALUE!</v>
      </c>
      <c r="GZ212" t="e">
        <f>'All regions'!G5318+"n/&gt;!)s4"</f>
        <v>#VALUE!</v>
      </c>
      <c r="HA212" t="e">
        <f>'All regions'!H5318+"n/&gt;!)s5"</f>
        <v>#VALUE!</v>
      </c>
      <c r="HB212" t="e">
        <f>'All regions'!I5318+"n/&gt;!)s6"</f>
        <v>#VALUE!</v>
      </c>
      <c r="HC212" t="e">
        <f>'All regions'!J5318+"n/&gt;!)s7"</f>
        <v>#VALUE!</v>
      </c>
      <c r="HD212" t="e">
        <f>'All regions'!A5319+"n/&gt;!)s8"</f>
        <v>#VALUE!</v>
      </c>
      <c r="HE212" t="e">
        <f>'All regions'!B5319+"n/&gt;!)s9"</f>
        <v>#VALUE!</v>
      </c>
      <c r="HF212" t="e">
        <f>'All regions'!C5319+"n/&gt;!)s:"</f>
        <v>#VALUE!</v>
      </c>
      <c r="HG212" t="e">
        <f>'All regions'!D5319+"n/&gt;!)s;"</f>
        <v>#VALUE!</v>
      </c>
      <c r="HH212" t="e">
        <f>'All regions'!E5319+"n/&gt;!)s&lt;"</f>
        <v>#VALUE!</v>
      </c>
      <c r="HI212" t="e">
        <f>'All regions'!F5319+"n/&gt;!)s="</f>
        <v>#VALUE!</v>
      </c>
      <c r="HJ212" t="e">
        <f>'All regions'!G5319+"n/&gt;!)s&gt;"</f>
        <v>#VALUE!</v>
      </c>
      <c r="HK212" t="e">
        <f>'All regions'!H5319+"n/&gt;!)s?"</f>
        <v>#VALUE!</v>
      </c>
      <c r="HL212" t="e">
        <f>'All regions'!I5319+"n/&gt;!)s@"</f>
        <v>#VALUE!</v>
      </c>
      <c r="HM212" t="e">
        <f>'All regions'!J5319+"n/&gt;!)sA"</f>
        <v>#VALUE!</v>
      </c>
      <c r="HN212" t="e">
        <f>'All regions'!A5320+"n/&gt;!)sB"</f>
        <v>#VALUE!</v>
      </c>
      <c r="HO212" t="e">
        <f>'All regions'!B5320+"n/&gt;!)sC"</f>
        <v>#VALUE!</v>
      </c>
      <c r="HP212" t="e">
        <f>'All regions'!C5320+"n/&gt;!)sD"</f>
        <v>#VALUE!</v>
      </c>
      <c r="HQ212" t="e">
        <f>'All regions'!D5320+"n/&gt;!)sE"</f>
        <v>#VALUE!</v>
      </c>
      <c r="HR212" t="e">
        <f>'All regions'!E5320+"n/&gt;!)sF"</f>
        <v>#VALUE!</v>
      </c>
      <c r="HS212" t="e">
        <f>'All regions'!F5320+"n/&gt;!)sG"</f>
        <v>#VALUE!</v>
      </c>
      <c r="HT212" t="e">
        <f>'All regions'!G5320+"n/&gt;!)sH"</f>
        <v>#VALUE!</v>
      </c>
      <c r="HU212" t="e">
        <f>'All regions'!H5320+"n/&gt;!)sI"</f>
        <v>#VALUE!</v>
      </c>
      <c r="HV212" t="e">
        <f>'All regions'!I5320+"n/&gt;!)sJ"</f>
        <v>#VALUE!</v>
      </c>
      <c r="HW212" t="e">
        <f>'All regions'!J5320+"n/&gt;!)sK"</f>
        <v>#VALUE!</v>
      </c>
      <c r="HX212" t="e">
        <f>'All regions'!A5321+"n/&gt;!)sL"</f>
        <v>#VALUE!</v>
      </c>
      <c r="HY212" t="e">
        <f>'All regions'!B5321+"n/&gt;!)sM"</f>
        <v>#VALUE!</v>
      </c>
      <c r="HZ212" t="e">
        <f>'All regions'!C5321+"n/&gt;!)sN"</f>
        <v>#VALUE!</v>
      </c>
      <c r="IA212" t="e">
        <f>'All regions'!D5321+"n/&gt;!)sO"</f>
        <v>#VALUE!</v>
      </c>
      <c r="IB212" t="e">
        <f>'All regions'!E5321+"n/&gt;!)sP"</f>
        <v>#VALUE!</v>
      </c>
      <c r="IC212" t="e">
        <f>'All regions'!F5321+"n/&gt;!)sQ"</f>
        <v>#VALUE!</v>
      </c>
      <c r="ID212" t="e">
        <f>'All regions'!G5321+"n/&gt;!)sR"</f>
        <v>#VALUE!</v>
      </c>
      <c r="IE212" t="e">
        <f>'All regions'!H5321+"n/&gt;!)sS"</f>
        <v>#VALUE!</v>
      </c>
      <c r="IF212" t="e">
        <f>'All regions'!I5321+"n/&gt;!)sT"</f>
        <v>#VALUE!</v>
      </c>
      <c r="IG212" t="e">
        <f>'All regions'!J5321+"n/&gt;!)sU"</f>
        <v>#VALUE!</v>
      </c>
      <c r="IH212" t="e">
        <f>'All regions'!A5322+"n/&gt;!)sV"</f>
        <v>#VALUE!</v>
      </c>
      <c r="II212" t="e">
        <f>'All regions'!B5322+"n/&gt;!)sW"</f>
        <v>#VALUE!</v>
      </c>
      <c r="IJ212" t="e">
        <f>'All regions'!C5322+"n/&gt;!)sX"</f>
        <v>#VALUE!</v>
      </c>
      <c r="IK212" t="e">
        <f>'All regions'!D5322+"n/&gt;!)sY"</f>
        <v>#VALUE!</v>
      </c>
      <c r="IL212" t="e">
        <f>'All regions'!E5322+"n/&gt;!)sZ"</f>
        <v>#VALUE!</v>
      </c>
      <c r="IM212" t="e">
        <f>'All regions'!F5322+"n/&gt;!)s["</f>
        <v>#VALUE!</v>
      </c>
      <c r="IN212" t="e">
        <f>'All regions'!G5322+"n/&gt;!)s\"</f>
        <v>#VALUE!</v>
      </c>
      <c r="IO212" t="e">
        <f>'All regions'!H5322+"n/&gt;!)s]"</f>
        <v>#VALUE!</v>
      </c>
      <c r="IP212" t="e">
        <f>'All regions'!I5322+"n/&gt;!)s^"</f>
        <v>#VALUE!</v>
      </c>
      <c r="IQ212" t="e">
        <f>'All regions'!J5322+"n/&gt;!)s_"</f>
        <v>#VALUE!</v>
      </c>
      <c r="IR212" t="e">
        <f>'All regions'!A5323+"n/&gt;!)s`"</f>
        <v>#VALUE!</v>
      </c>
      <c r="IS212" t="e">
        <f>'All regions'!B5323+"n/&gt;!)sa"</f>
        <v>#VALUE!</v>
      </c>
      <c r="IT212" t="e">
        <f>'All regions'!C5323+"n/&gt;!)sb"</f>
        <v>#VALUE!</v>
      </c>
      <c r="IU212" t="e">
        <f>'All regions'!D5323+"n/&gt;!)sc"</f>
        <v>#VALUE!</v>
      </c>
      <c r="IV212" t="e">
        <f>'All regions'!E5323+"n/&gt;!)sd"</f>
        <v>#VALUE!</v>
      </c>
    </row>
    <row r="213" spans="6:256" x14ac:dyDescent="0.35">
      <c r="F213" t="e">
        <f>'All regions'!F5323+"n/&gt;!)se"</f>
        <v>#VALUE!</v>
      </c>
      <c r="G213" t="e">
        <f>'All regions'!G5323+"n/&gt;!)sf"</f>
        <v>#VALUE!</v>
      </c>
      <c r="H213" t="e">
        <f>'All regions'!H5323+"n/&gt;!)sg"</f>
        <v>#VALUE!</v>
      </c>
      <c r="I213" t="e">
        <f>'All regions'!I5323+"n/&gt;!)sh"</f>
        <v>#VALUE!</v>
      </c>
      <c r="J213" t="e">
        <f>'All regions'!J5323+"n/&gt;!)si"</f>
        <v>#VALUE!</v>
      </c>
      <c r="K213" t="e">
        <f>'All regions'!A5324+"n/&gt;!)sj"</f>
        <v>#VALUE!</v>
      </c>
      <c r="L213" t="e">
        <f>'All regions'!B5324+"n/&gt;!)sk"</f>
        <v>#VALUE!</v>
      </c>
      <c r="M213" t="e">
        <f>'All regions'!C5324+"n/&gt;!)sl"</f>
        <v>#VALUE!</v>
      </c>
      <c r="N213" t="e">
        <f>'All regions'!D5324+"n/&gt;!)sm"</f>
        <v>#VALUE!</v>
      </c>
      <c r="O213" t="e">
        <f>'All regions'!E5324+"n/&gt;!)sn"</f>
        <v>#VALUE!</v>
      </c>
      <c r="P213" t="e">
        <f>'All regions'!F5324+"n/&gt;!)so"</f>
        <v>#VALUE!</v>
      </c>
      <c r="Q213" t="e">
        <f>'All regions'!G5324+"n/&gt;!)sp"</f>
        <v>#VALUE!</v>
      </c>
      <c r="R213" t="e">
        <f>'All regions'!H5324+"n/&gt;!)sq"</f>
        <v>#VALUE!</v>
      </c>
      <c r="S213" t="e">
        <f>'All regions'!I5324+"n/&gt;!)sr"</f>
        <v>#VALUE!</v>
      </c>
      <c r="T213" t="e">
        <f>'All regions'!J5324+"n/&gt;!)ss"</f>
        <v>#VALUE!</v>
      </c>
      <c r="U213" t="e">
        <f>'All regions'!A5325+"n/&gt;!)st"</f>
        <v>#VALUE!</v>
      </c>
      <c r="V213" t="e">
        <f>'All regions'!B5325+"n/&gt;!)su"</f>
        <v>#VALUE!</v>
      </c>
      <c r="W213" t="e">
        <f>'All regions'!C5325+"n/&gt;!)sv"</f>
        <v>#VALUE!</v>
      </c>
      <c r="X213" t="e">
        <f>'All regions'!D5325+"n/&gt;!)sw"</f>
        <v>#VALUE!</v>
      </c>
      <c r="Y213" t="e">
        <f>'All regions'!E5325+"n/&gt;!)sx"</f>
        <v>#VALUE!</v>
      </c>
      <c r="Z213" t="e">
        <f>'All regions'!F5325+"n/&gt;!)sy"</f>
        <v>#VALUE!</v>
      </c>
      <c r="AA213" t="e">
        <f>'All regions'!G5325+"n/&gt;!)sz"</f>
        <v>#VALUE!</v>
      </c>
      <c r="AB213" t="e">
        <f>'All regions'!H5325+"n/&gt;!)s{"</f>
        <v>#VALUE!</v>
      </c>
      <c r="AC213" t="e">
        <f>'All regions'!I5325+"n/&gt;!)s|"</f>
        <v>#VALUE!</v>
      </c>
      <c r="AD213" t="e">
        <f>'All regions'!J5325+"n/&gt;!)s}"</f>
        <v>#VALUE!</v>
      </c>
      <c r="AE213" t="e">
        <f>'All regions'!A5326+"n/&gt;!)s~"</f>
        <v>#VALUE!</v>
      </c>
      <c r="AF213" t="e">
        <f>'All regions'!B5326+"n/&gt;!)t#"</f>
        <v>#VALUE!</v>
      </c>
      <c r="AG213" t="e">
        <f>'All regions'!C5326+"n/&gt;!)t$"</f>
        <v>#VALUE!</v>
      </c>
      <c r="AH213" t="e">
        <f>'All regions'!D5326+"n/&gt;!)t%"</f>
        <v>#VALUE!</v>
      </c>
      <c r="AI213" t="e">
        <f>'All regions'!E5326+"n/&gt;!)t&amp;"</f>
        <v>#VALUE!</v>
      </c>
      <c r="AJ213" t="e">
        <f>'All regions'!F5326+"n/&gt;!)t'"</f>
        <v>#VALUE!</v>
      </c>
      <c r="AK213" t="e">
        <f>'All regions'!G5326+"n/&gt;!)t("</f>
        <v>#VALUE!</v>
      </c>
      <c r="AL213" t="e">
        <f>'All regions'!H5326+"n/&gt;!)t)"</f>
        <v>#VALUE!</v>
      </c>
      <c r="AM213" t="e">
        <f>'All regions'!I5326+"n/&gt;!)t."</f>
        <v>#VALUE!</v>
      </c>
      <c r="AN213" t="e">
        <f>'All regions'!J5326+"n/&gt;!)t/"</f>
        <v>#VALUE!</v>
      </c>
      <c r="AO213" t="e">
        <f>'All regions'!A5327+"n/&gt;!)t0"</f>
        <v>#VALUE!</v>
      </c>
      <c r="AP213" t="e">
        <f>'All regions'!B5327+"n/&gt;!)t1"</f>
        <v>#VALUE!</v>
      </c>
      <c r="AQ213" t="e">
        <f>'All regions'!C5327+"n/&gt;!)t2"</f>
        <v>#VALUE!</v>
      </c>
      <c r="AR213" t="e">
        <f>'All regions'!D5327+"n/&gt;!)t3"</f>
        <v>#VALUE!</v>
      </c>
      <c r="AS213" t="e">
        <f>'All regions'!E5327+"n/&gt;!)t4"</f>
        <v>#VALUE!</v>
      </c>
      <c r="AT213" t="e">
        <f>'All regions'!F5327+"n/&gt;!)t5"</f>
        <v>#VALUE!</v>
      </c>
      <c r="AU213" t="e">
        <f>'All regions'!G5327+"n/&gt;!)t6"</f>
        <v>#VALUE!</v>
      </c>
      <c r="AV213" t="e">
        <f>'All regions'!H5327+"n/&gt;!)t7"</f>
        <v>#VALUE!</v>
      </c>
      <c r="AW213" t="e">
        <f>'All regions'!I5327+"n/&gt;!)t8"</f>
        <v>#VALUE!</v>
      </c>
      <c r="AX213" t="e">
        <f>'All regions'!J5327+"n/&gt;!)t9"</f>
        <v>#VALUE!</v>
      </c>
      <c r="AY213" t="e">
        <f>'All regions'!A5328+"n/&gt;!)t:"</f>
        <v>#VALUE!</v>
      </c>
      <c r="AZ213" t="e">
        <f>'All regions'!B5328+"n/&gt;!)t;"</f>
        <v>#VALUE!</v>
      </c>
      <c r="BA213" t="e">
        <f>'All regions'!C5328+"n/&gt;!)t&lt;"</f>
        <v>#VALUE!</v>
      </c>
      <c r="BB213" t="e">
        <f>'All regions'!D5328+"n/&gt;!)t="</f>
        <v>#VALUE!</v>
      </c>
      <c r="BC213" t="e">
        <f>'All regions'!E5328+"n/&gt;!)t&gt;"</f>
        <v>#VALUE!</v>
      </c>
      <c r="BD213" t="e">
        <f>'All regions'!F5328+"n/&gt;!)t?"</f>
        <v>#VALUE!</v>
      </c>
      <c r="BE213" t="e">
        <f>'All regions'!G5328+"n/&gt;!)t@"</f>
        <v>#VALUE!</v>
      </c>
      <c r="BF213" t="e">
        <f>'All regions'!H5328+"n/&gt;!)tA"</f>
        <v>#VALUE!</v>
      </c>
      <c r="BG213" t="e">
        <f>'All regions'!I5328+"n/&gt;!)tB"</f>
        <v>#VALUE!</v>
      </c>
      <c r="BH213" t="e">
        <f>'All regions'!J5328+"n/&gt;!)tC"</f>
        <v>#VALUE!</v>
      </c>
      <c r="BI213" t="e">
        <f>'All regions'!A5329+"n/&gt;!)tD"</f>
        <v>#VALUE!</v>
      </c>
      <c r="BJ213" t="e">
        <f>'All regions'!B5329+"n/&gt;!)tE"</f>
        <v>#VALUE!</v>
      </c>
      <c r="BK213" t="e">
        <f>'All regions'!C5329+"n/&gt;!)tF"</f>
        <v>#VALUE!</v>
      </c>
      <c r="BL213" t="e">
        <f>'All regions'!D5329+"n/&gt;!)tG"</f>
        <v>#VALUE!</v>
      </c>
      <c r="BM213" t="e">
        <f>'All regions'!E5329+"n/&gt;!)tH"</f>
        <v>#VALUE!</v>
      </c>
      <c r="BN213" t="e">
        <f>'All regions'!F5329+"n/&gt;!)tI"</f>
        <v>#VALUE!</v>
      </c>
      <c r="BO213" t="e">
        <f>'All regions'!G5329+"n/&gt;!)tJ"</f>
        <v>#VALUE!</v>
      </c>
      <c r="BP213" t="e">
        <f>'All regions'!H5329+"n/&gt;!)tK"</f>
        <v>#VALUE!</v>
      </c>
      <c r="BQ213" t="e">
        <f>'All regions'!I5329+"n/&gt;!)tL"</f>
        <v>#VALUE!</v>
      </c>
      <c r="BR213" t="e">
        <f>'All regions'!J5329+"n/&gt;!)tM"</f>
        <v>#VALUE!</v>
      </c>
      <c r="BS213" t="e">
        <f>'All regions'!A5330+"n/&gt;!)tN"</f>
        <v>#VALUE!</v>
      </c>
      <c r="BT213" t="e">
        <f>'All regions'!B5330+"n/&gt;!)tO"</f>
        <v>#VALUE!</v>
      </c>
      <c r="BU213" t="e">
        <f>'All regions'!C5330+"n/&gt;!)tP"</f>
        <v>#VALUE!</v>
      </c>
      <c r="BV213" t="e">
        <f>'All regions'!D5330+"n/&gt;!)tQ"</f>
        <v>#VALUE!</v>
      </c>
      <c r="BW213" t="e">
        <f>'All regions'!E5330+"n/&gt;!)tR"</f>
        <v>#VALUE!</v>
      </c>
      <c r="BX213" t="e">
        <f>'All regions'!F5330+"n/&gt;!)tS"</f>
        <v>#VALUE!</v>
      </c>
      <c r="BY213" t="e">
        <f>'All regions'!G5330+"n/&gt;!)tT"</f>
        <v>#VALUE!</v>
      </c>
      <c r="BZ213" t="e">
        <f>'All regions'!H5330+"n/&gt;!)tU"</f>
        <v>#VALUE!</v>
      </c>
      <c r="CA213" t="e">
        <f>'All regions'!I5330+"n/&gt;!)tV"</f>
        <v>#VALUE!</v>
      </c>
      <c r="CB213" t="e">
        <f>'All regions'!J5330+"n/&gt;!)tW"</f>
        <v>#VALUE!</v>
      </c>
      <c r="CC213" t="e">
        <f>'All regions'!A5331+"n/&gt;!)tX"</f>
        <v>#VALUE!</v>
      </c>
      <c r="CD213" t="e">
        <f>'All regions'!B5331+"n/&gt;!)tY"</f>
        <v>#VALUE!</v>
      </c>
      <c r="CE213" t="e">
        <f>'All regions'!C5331+"n/&gt;!)tZ"</f>
        <v>#VALUE!</v>
      </c>
      <c r="CF213" t="e">
        <f>'All regions'!D5331+"n/&gt;!)t["</f>
        <v>#VALUE!</v>
      </c>
      <c r="CG213" t="e">
        <f>'All regions'!E5331+"n/&gt;!)t\"</f>
        <v>#VALUE!</v>
      </c>
      <c r="CH213" t="e">
        <f>'All regions'!F5331+"n/&gt;!)t]"</f>
        <v>#VALUE!</v>
      </c>
      <c r="CI213" t="e">
        <f>'All regions'!G5331+"n/&gt;!)t^"</f>
        <v>#VALUE!</v>
      </c>
      <c r="CJ213" t="e">
        <f>'All regions'!H5331+"n/&gt;!)t_"</f>
        <v>#VALUE!</v>
      </c>
      <c r="CK213" t="e">
        <f>'All regions'!I5331+"n/&gt;!)t`"</f>
        <v>#VALUE!</v>
      </c>
      <c r="CL213" t="e">
        <f>'All regions'!J5331+"n/&gt;!)ta"</f>
        <v>#VALUE!</v>
      </c>
      <c r="CM213" t="e">
        <f>'All regions'!A5332+"n/&gt;!)tb"</f>
        <v>#VALUE!</v>
      </c>
      <c r="CN213" t="e">
        <f>'All regions'!B5332+"n/&gt;!)tc"</f>
        <v>#VALUE!</v>
      </c>
      <c r="CO213" t="e">
        <f>'All regions'!C5332+"n/&gt;!)td"</f>
        <v>#VALUE!</v>
      </c>
      <c r="CP213" t="e">
        <f>'All regions'!D5332+"n/&gt;!)te"</f>
        <v>#VALUE!</v>
      </c>
      <c r="CQ213" t="e">
        <f>'All regions'!E5332+"n/&gt;!)tf"</f>
        <v>#VALUE!</v>
      </c>
      <c r="CR213" t="e">
        <f>'All regions'!F5332+"n/&gt;!)tg"</f>
        <v>#VALUE!</v>
      </c>
      <c r="CS213" t="e">
        <f>'All regions'!G5332+"n/&gt;!)th"</f>
        <v>#VALUE!</v>
      </c>
      <c r="CT213" t="e">
        <f>'All regions'!H5332+"n/&gt;!)ti"</f>
        <v>#VALUE!</v>
      </c>
      <c r="CU213" t="e">
        <f>'All regions'!I5332+"n/&gt;!)tj"</f>
        <v>#VALUE!</v>
      </c>
      <c r="CV213" t="e">
        <f>'All regions'!J5332+"n/&gt;!)tk"</f>
        <v>#VALUE!</v>
      </c>
      <c r="CW213" t="e">
        <f>'All regions'!A5333+"n/&gt;!)tl"</f>
        <v>#VALUE!</v>
      </c>
      <c r="CX213" t="e">
        <f>'All regions'!B5333+"n/&gt;!)tm"</f>
        <v>#VALUE!</v>
      </c>
      <c r="CY213" t="e">
        <f>'All regions'!C5333+"n/&gt;!)tn"</f>
        <v>#VALUE!</v>
      </c>
      <c r="CZ213" t="e">
        <f>'All regions'!D5333+"n/&gt;!)to"</f>
        <v>#VALUE!</v>
      </c>
      <c r="DA213" t="e">
        <f>'All regions'!E5333+"n/&gt;!)tp"</f>
        <v>#VALUE!</v>
      </c>
      <c r="DB213" t="e">
        <f>'All regions'!F5333+"n/&gt;!)tq"</f>
        <v>#VALUE!</v>
      </c>
      <c r="DC213" t="e">
        <f>'All regions'!G5333+"n/&gt;!)tr"</f>
        <v>#VALUE!</v>
      </c>
      <c r="DD213" t="e">
        <f>'All regions'!H5333+"n/&gt;!)ts"</f>
        <v>#VALUE!</v>
      </c>
      <c r="DE213" t="e">
        <f>'All regions'!I5333+"n/&gt;!)tt"</f>
        <v>#VALUE!</v>
      </c>
      <c r="DF213" t="e">
        <f>'All regions'!J5333+"n/&gt;!)tu"</f>
        <v>#VALUE!</v>
      </c>
      <c r="DG213" t="e">
        <f>'All regions'!A5334+"n/&gt;!)tv"</f>
        <v>#VALUE!</v>
      </c>
      <c r="DH213" t="e">
        <f>'All regions'!B5334+"n/&gt;!)tw"</f>
        <v>#VALUE!</v>
      </c>
      <c r="DI213" t="e">
        <f>'All regions'!C5334+"n/&gt;!)tx"</f>
        <v>#VALUE!</v>
      </c>
      <c r="DJ213" t="e">
        <f>'All regions'!D5334+"n/&gt;!)ty"</f>
        <v>#VALUE!</v>
      </c>
      <c r="DK213" t="e">
        <f>'All regions'!E5334+"n/&gt;!)tz"</f>
        <v>#VALUE!</v>
      </c>
      <c r="DL213" t="e">
        <f>'All regions'!F5334+"n/&gt;!)t{"</f>
        <v>#VALUE!</v>
      </c>
      <c r="DM213" t="e">
        <f>'All regions'!G5334+"n/&gt;!)t|"</f>
        <v>#VALUE!</v>
      </c>
      <c r="DN213" t="e">
        <f>'All regions'!H5334+"n/&gt;!)t}"</f>
        <v>#VALUE!</v>
      </c>
      <c r="DO213" t="e">
        <f>'All regions'!I5334+"n/&gt;!)t~"</f>
        <v>#VALUE!</v>
      </c>
      <c r="DP213" t="e">
        <f>'All regions'!J5334+"n/&gt;!)u#"</f>
        <v>#VALUE!</v>
      </c>
      <c r="DQ213" t="e">
        <f>'All regions'!A5335+"n/&gt;!)u$"</f>
        <v>#VALUE!</v>
      </c>
      <c r="DR213" t="e">
        <f>'All regions'!B5335+"n/&gt;!)u%"</f>
        <v>#VALUE!</v>
      </c>
      <c r="DS213" t="e">
        <f>'All regions'!C5335+"n/&gt;!)u&amp;"</f>
        <v>#VALUE!</v>
      </c>
      <c r="DT213" t="e">
        <f>'All regions'!D5335+"n/&gt;!)u'"</f>
        <v>#VALUE!</v>
      </c>
      <c r="DU213" t="e">
        <f>'All regions'!E5335+"n/&gt;!)u("</f>
        <v>#VALUE!</v>
      </c>
      <c r="DV213" t="e">
        <f>'All regions'!F5335+"n/&gt;!)u)"</f>
        <v>#VALUE!</v>
      </c>
      <c r="DW213" t="e">
        <f>'All regions'!G5335+"n/&gt;!)u."</f>
        <v>#VALUE!</v>
      </c>
      <c r="DX213" t="e">
        <f>'All regions'!H5335+"n/&gt;!)u/"</f>
        <v>#VALUE!</v>
      </c>
      <c r="DY213" t="e">
        <f>'All regions'!I5335+"n/&gt;!)u0"</f>
        <v>#VALUE!</v>
      </c>
      <c r="DZ213" t="e">
        <f>'All regions'!J5335+"n/&gt;!)u1"</f>
        <v>#VALUE!</v>
      </c>
      <c r="EA213" t="e">
        <f>'All regions'!A5336+"n/&gt;!)u2"</f>
        <v>#VALUE!</v>
      </c>
      <c r="EB213" t="e">
        <f>'All regions'!B5336+"n/&gt;!)u3"</f>
        <v>#VALUE!</v>
      </c>
      <c r="EC213" t="e">
        <f>'All regions'!C5336+"n/&gt;!)u4"</f>
        <v>#VALUE!</v>
      </c>
      <c r="ED213" t="e">
        <f>'All regions'!D5336+"n/&gt;!)u5"</f>
        <v>#VALUE!</v>
      </c>
      <c r="EE213" t="e">
        <f>'All regions'!E5336+"n/&gt;!)u6"</f>
        <v>#VALUE!</v>
      </c>
      <c r="EF213" t="e">
        <f>'All regions'!F5336+"n/&gt;!)u7"</f>
        <v>#VALUE!</v>
      </c>
      <c r="EG213" t="e">
        <f>'All regions'!G5336+"n/&gt;!)u8"</f>
        <v>#VALUE!</v>
      </c>
      <c r="EH213" t="e">
        <f>'All regions'!H5336+"n/&gt;!)u9"</f>
        <v>#VALUE!</v>
      </c>
      <c r="EI213" t="e">
        <f>'All regions'!I5336+"n/&gt;!)u:"</f>
        <v>#VALUE!</v>
      </c>
      <c r="EJ213" t="e">
        <f>'All regions'!J5336+"n/&gt;!)u;"</f>
        <v>#VALUE!</v>
      </c>
      <c r="EK213" t="e">
        <f>'All regions'!A5337+"n/&gt;!)u&lt;"</f>
        <v>#VALUE!</v>
      </c>
      <c r="EL213" t="e">
        <f>'All regions'!B5337+"n/&gt;!)u="</f>
        <v>#VALUE!</v>
      </c>
      <c r="EM213" t="e">
        <f>'All regions'!C5337+"n/&gt;!)u&gt;"</f>
        <v>#VALUE!</v>
      </c>
      <c r="EN213" t="e">
        <f>'All regions'!D5337+"n/&gt;!)u?"</f>
        <v>#VALUE!</v>
      </c>
      <c r="EO213" t="e">
        <f>'All regions'!E5337+"n/&gt;!)u@"</f>
        <v>#VALUE!</v>
      </c>
      <c r="EP213" t="e">
        <f>'All regions'!F5337+"n/&gt;!)uA"</f>
        <v>#VALUE!</v>
      </c>
      <c r="EQ213" t="e">
        <f>'All regions'!G5337+"n/&gt;!)uB"</f>
        <v>#VALUE!</v>
      </c>
      <c r="ER213" t="e">
        <f>'All regions'!H5337+"n/&gt;!)uC"</f>
        <v>#VALUE!</v>
      </c>
      <c r="ES213" t="e">
        <f>'All regions'!I5337+"n/&gt;!)uD"</f>
        <v>#VALUE!</v>
      </c>
      <c r="ET213" t="e">
        <f>'All regions'!J5337+"n/&gt;!)uE"</f>
        <v>#VALUE!</v>
      </c>
      <c r="EU213" t="e">
        <f>'All regions'!A5338+"n/&gt;!)uF"</f>
        <v>#VALUE!</v>
      </c>
      <c r="EV213" t="e">
        <f>'All regions'!B5338+"n/&gt;!)uG"</f>
        <v>#VALUE!</v>
      </c>
      <c r="EW213" t="e">
        <f>'All regions'!C5338+"n/&gt;!)uH"</f>
        <v>#VALUE!</v>
      </c>
      <c r="EX213" t="e">
        <f>'All regions'!D5338+"n/&gt;!)uI"</f>
        <v>#VALUE!</v>
      </c>
      <c r="EY213" t="e">
        <f>'All regions'!E5338+"n/&gt;!)uJ"</f>
        <v>#VALUE!</v>
      </c>
      <c r="EZ213" t="e">
        <f>'All regions'!F5338+"n/&gt;!)uK"</f>
        <v>#VALUE!</v>
      </c>
      <c r="FA213" t="e">
        <f>'All regions'!G5338+"n/&gt;!)uL"</f>
        <v>#VALUE!</v>
      </c>
      <c r="FB213" t="e">
        <f>'All regions'!H5338+"n/&gt;!)uM"</f>
        <v>#VALUE!</v>
      </c>
      <c r="FC213" t="e">
        <f>'All regions'!I5338+"n/&gt;!)uN"</f>
        <v>#VALUE!</v>
      </c>
      <c r="FD213" t="e">
        <f>'All regions'!J5338+"n/&gt;!)uO"</f>
        <v>#VALUE!</v>
      </c>
      <c r="FE213" t="e">
        <f>'All regions'!A5339+"n/&gt;!)uP"</f>
        <v>#VALUE!</v>
      </c>
      <c r="FF213" t="e">
        <f>'All regions'!B5339+"n/&gt;!)uQ"</f>
        <v>#VALUE!</v>
      </c>
      <c r="FG213" t="e">
        <f>'All regions'!C5339+"n/&gt;!)uR"</f>
        <v>#VALUE!</v>
      </c>
      <c r="FH213" t="e">
        <f>'All regions'!D5339+"n/&gt;!)uS"</f>
        <v>#VALUE!</v>
      </c>
      <c r="FI213" t="e">
        <f>'All regions'!E5339+"n/&gt;!)uT"</f>
        <v>#VALUE!</v>
      </c>
      <c r="FJ213" t="e">
        <f>'All regions'!F5339+"n/&gt;!)uU"</f>
        <v>#VALUE!</v>
      </c>
      <c r="FK213" t="e">
        <f>'All regions'!G5339+"n/&gt;!)uV"</f>
        <v>#VALUE!</v>
      </c>
      <c r="FL213" t="e">
        <f>'All regions'!H5339+"n/&gt;!)uW"</f>
        <v>#VALUE!</v>
      </c>
      <c r="FM213" t="e">
        <f>'All regions'!I5339+"n/&gt;!)uX"</f>
        <v>#VALUE!</v>
      </c>
      <c r="FN213" t="e">
        <f>'All regions'!J5339+"n/&gt;!)uY"</f>
        <v>#VALUE!</v>
      </c>
      <c r="FO213" t="e">
        <f>'All regions'!A5340+"n/&gt;!)uZ"</f>
        <v>#VALUE!</v>
      </c>
      <c r="FP213" t="e">
        <f>'All regions'!B5340+"n/&gt;!)u["</f>
        <v>#VALUE!</v>
      </c>
      <c r="FQ213" t="e">
        <f>'All regions'!C5340+"n/&gt;!)u\"</f>
        <v>#VALUE!</v>
      </c>
      <c r="FR213" t="e">
        <f>'All regions'!D5340+"n/&gt;!)u]"</f>
        <v>#VALUE!</v>
      </c>
      <c r="FS213" t="e">
        <f>'All regions'!E5340+"n/&gt;!)u^"</f>
        <v>#VALUE!</v>
      </c>
      <c r="FT213" t="e">
        <f>'All regions'!F5340+"n/&gt;!)u_"</f>
        <v>#VALUE!</v>
      </c>
      <c r="FU213" t="e">
        <f>'All regions'!G5340+"n/&gt;!)u`"</f>
        <v>#VALUE!</v>
      </c>
      <c r="FV213" t="e">
        <f>'All regions'!H5340+"n/&gt;!)ua"</f>
        <v>#VALUE!</v>
      </c>
      <c r="FW213" t="e">
        <f>'All regions'!I5340+"n/&gt;!)ub"</f>
        <v>#VALUE!</v>
      </c>
      <c r="FX213" t="e">
        <f>'All regions'!J5340+"n/&gt;!)uc"</f>
        <v>#VALUE!</v>
      </c>
      <c r="FY213" t="e">
        <f>'All regions'!A5341+"n/&gt;!)ud"</f>
        <v>#VALUE!</v>
      </c>
      <c r="FZ213" t="e">
        <f>'All regions'!B5341+"n/&gt;!)ue"</f>
        <v>#VALUE!</v>
      </c>
      <c r="GA213" t="e">
        <f>'All regions'!C5341+"n/&gt;!)uf"</f>
        <v>#VALUE!</v>
      </c>
      <c r="GB213" t="e">
        <f>'All regions'!D5341+"n/&gt;!)ug"</f>
        <v>#VALUE!</v>
      </c>
      <c r="GC213" t="e">
        <f>'All regions'!E5341+"n/&gt;!)uh"</f>
        <v>#VALUE!</v>
      </c>
      <c r="GD213" t="e">
        <f>'All regions'!F5341+"n/&gt;!)ui"</f>
        <v>#VALUE!</v>
      </c>
      <c r="GE213" t="e">
        <f>'All regions'!G5341+"n/&gt;!)uj"</f>
        <v>#VALUE!</v>
      </c>
      <c r="GF213" t="e">
        <f>'All regions'!H5341+"n/&gt;!)uk"</f>
        <v>#VALUE!</v>
      </c>
      <c r="GG213" t="e">
        <f>'All regions'!I5341+"n/&gt;!)ul"</f>
        <v>#VALUE!</v>
      </c>
      <c r="GH213" t="e">
        <f>'All regions'!J5341+"n/&gt;!)um"</f>
        <v>#VALUE!</v>
      </c>
      <c r="GI213" t="e">
        <f>'All regions'!A5342+"n/&gt;!)un"</f>
        <v>#VALUE!</v>
      </c>
      <c r="GJ213" t="e">
        <f>'All regions'!B5342+"n/&gt;!)uo"</f>
        <v>#VALUE!</v>
      </c>
      <c r="GK213" t="e">
        <f>'All regions'!C5342+"n/&gt;!)up"</f>
        <v>#VALUE!</v>
      </c>
      <c r="GL213" t="e">
        <f>'All regions'!D5342+"n/&gt;!)uq"</f>
        <v>#VALUE!</v>
      </c>
      <c r="GM213" t="e">
        <f>'All regions'!E5342+"n/&gt;!)ur"</f>
        <v>#VALUE!</v>
      </c>
      <c r="GN213" t="e">
        <f>'All regions'!F5342+"n/&gt;!)us"</f>
        <v>#VALUE!</v>
      </c>
      <c r="GO213" t="e">
        <f>'All regions'!G5342+"n/&gt;!)ut"</f>
        <v>#VALUE!</v>
      </c>
      <c r="GP213" t="e">
        <f>'All regions'!H5342+"n/&gt;!)uu"</f>
        <v>#VALUE!</v>
      </c>
      <c r="GQ213" t="e">
        <f>'All regions'!I5342+"n/&gt;!)uv"</f>
        <v>#VALUE!</v>
      </c>
      <c r="GR213" t="e">
        <f>'All regions'!J5342+"n/&gt;!)uw"</f>
        <v>#VALUE!</v>
      </c>
      <c r="GS213" t="e">
        <f>'All regions'!A5343+"n/&gt;!)ux"</f>
        <v>#VALUE!</v>
      </c>
      <c r="GT213" t="e">
        <f>'All regions'!B5343+"n/&gt;!)uy"</f>
        <v>#VALUE!</v>
      </c>
      <c r="GU213" t="e">
        <f>'All regions'!C5343+"n/&gt;!)uz"</f>
        <v>#VALUE!</v>
      </c>
      <c r="GV213" t="e">
        <f>'All regions'!D5343+"n/&gt;!)u{"</f>
        <v>#VALUE!</v>
      </c>
      <c r="GW213" t="e">
        <f>'All regions'!E5343+"n/&gt;!)u|"</f>
        <v>#VALUE!</v>
      </c>
      <c r="GX213" t="e">
        <f>'All regions'!F5343+"n/&gt;!)u}"</f>
        <v>#VALUE!</v>
      </c>
      <c r="GY213" t="e">
        <f>'All regions'!G5343+"n/&gt;!)u~"</f>
        <v>#VALUE!</v>
      </c>
      <c r="GZ213" t="e">
        <f>'All regions'!H5343+"n/&gt;!)v#"</f>
        <v>#VALUE!</v>
      </c>
      <c r="HA213" t="e">
        <f>'All regions'!I5343+"n/&gt;!)v$"</f>
        <v>#VALUE!</v>
      </c>
      <c r="HB213" t="e">
        <f>'All regions'!J5343+"n/&gt;!)v%"</f>
        <v>#VALUE!</v>
      </c>
      <c r="HC213" t="e">
        <f>'All regions'!A5344+"n/&gt;!)v&amp;"</f>
        <v>#VALUE!</v>
      </c>
      <c r="HD213" t="e">
        <f>'All regions'!B5344+"n/&gt;!)v'"</f>
        <v>#VALUE!</v>
      </c>
      <c r="HE213" t="e">
        <f>'All regions'!C5344+"n/&gt;!)v("</f>
        <v>#VALUE!</v>
      </c>
      <c r="HF213" t="e">
        <f>'All regions'!D5344+"n/&gt;!)v)"</f>
        <v>#VALUE!</v>
      </c>
      <c r="HG213" t="e">
        <f>'All regions'!E5344+"n/&gt;!)v."</f>
        <v>#VALUE!</v>
      </c>
      <c r="HH213" t="e">
        <f>'All regions'!F5344+"n/&gt;!)v/"</f>
        <v>#VALUE!</v>
      </c>
      <c r="HI213" t="e">
        <f>'All regions'!G5344+"n/&gt;!)v0"</f>
        <v>#VALUE!</v>
      </c>
      <c r="HJ213" t="e">
        <f>'All regions'!H5344+"n/&gt;!)v1"</f>
        <v>#VALUE!</v>
      </c>
      <c r="HK213" t="e">
        <f>'All regions'!I5344+"n/&gt;!)v2"</f>
        <v>#VALUE!</v>
      </c>
      <c r="HL213" t="e">
        <f>'All regions'!J5344+"n/&gt;!)v3"</f>
        <v>#VALUE!</v>
      </c>
      <c r="HM213" t="e">
        <f>'All regions'!A5345+"n/&gt;!)v4"</f>
        <v>#VALUE!</v>
      </c>
      <c r="HN213" t="e">
        <f>'All regions'!B5345+"n/&gt;!)v5"</f>
        <v>#VALUE!</v>
      </c>
      <c r="HO213" t="e">
        <f>'All regions'!C5345+"n/&gt;!)v6"</f>
        <v>#VALUE!</v>
      </c>
      <c r="HP213" t="e">
        <f>'All regions'!D5345+"n/&gt;!)v7"</f>
        <v>#VALUE!</v>
      </c>
      <c r="HQ213" t="e">
        <f>'All regions'!E5345+"n/&gt;!)v8"</f>
        <v>#VALUE!</v>
      </c>
      <c r="HR213" t="e">
        <f>'All regions'!F5345+"n/&gt;!)v9"</f>
        <v>#VALUE!</v>
      </c>
      <c r="HS213" t="e">
        <f>'All regions'!G5345+"n/&gt;!)v:"</f>
        <v>#VALUE!</v>
      </c>
      <c r="HT213" t="e">
        <f>'All regions'!H5345+"n/&gt;!)v;"</f>
        <v>#VALUE!</v>
      </c>
      <c r="HU213" t="e">
        <f>'All regions'!I5345+"n/&gt;!)v&lt;"</f>
        <v>#VALUE!</v>
      </c>
      <c r="HV213" t="e">
        <f>'All regions'!J5345+"n/&gt;!)v="</f>
        <v>#VALUE!</v>
      </c>
      <c r="HW213" t="e">
        <f>'All regions'!A5346+"n/&gt;!)v&gt;"</f>
        <v>#VALUE!</v>
      </c>
      <c r="HX213" t="e">
        <f>'All regions'!B5346+"n/&gt;!)v?"</f>
        <v>#VALUE!</v>
      </c>
      <c r="HY213" t="e">
        <f>'All regions'!C5346+"n/&gt;!)v@"</f>
        <v>#VALUE!</v>
      </c>
      <c r="HZ213" t="e">
        <f>'All regions'!D5346+"n/&gt;!)vA"</f>
        <v>#VALUE!</v>
      </c>
      <c r="IA213" t="e">
        <f>'All regions'!E5346+"n/&gt;!)vB"</f>
        <v>#VALUE!</v>
      </c>
      <c r="IB213" t="e">
        <f>'All regions'!F5346+"n/&gt;!)vC"</f>
        <v>#VALUE!</v>
      </c>
      <c r="IC213" t="e">
        <f>'All regions'!G5346+"n/&gt;!)vD"</f>
        <v>#VALUE!</v>
      </c>
      <c r="ID213" t="e">
        <f>'All regions'!H5346+"n/&gt;!)vE"</f>
        <v>#VALUE!</v>
      </c>
      <c r="IE213" t="e">
        <f>'All regions'!I5346+"n/&gt;!)vF"</f>
        <v>#VALUE!</v>
      </c>
      <c r="IF213" t="e">
        <f>'All regions'!J5346+"n/&gt;!)vG"</f>
        <v>#VALUE!</v>
      </c>
      <c r="IG213" t="e">
        <f>'All regions'!A5347+"n/&gt;!)vH"</f>
        <v>#VALUE!</v>
      </c>
      <c r="IH213" t="e">
        <f>'All regions'!B5347+"n/&gt;!)vI"</f>
        <v>#VALUE!</v>
      </c>
      <c r="II213" t="e">
        <f>'All regions'!C5347+"n/&gt;!)vJ"</f>
        <v>#VALUE!</v>
      </c>
      <c r="IJ213" t="e">
        <f>'All regions'!D5347+"n/&gt;!)vK"</f>
        <v>#VALUE!</v>
      </c>
      <c r="IK213" t="e">
        <f>'All regions'!E5347+"n/&gt;!)vL"</f>
        <v>#VALUE!</v>
      </c>
      <c r="IL213" t="e">
        <f>'All regions'!F5347+"n/&gt;!)vM"</f>
        <v>#VALUE!</v>
      </c>
      <c r="IM213" t="e">
        <f>'All regions'!G5347+"n/&gt;!)vN"</f>
        <v>#VALUE!</v>
      </c>
      <c r="IN213" t="e">
        <f>'All regions'!H5347+"n/&gt;!)vO"</f>
        <v>#VALUE!</v>
      </c>
      <c r="IO213" t="e">
        <f>'All regions'!I5347+"n/&gt;!)vP"</f>
        <v>#VALUE!</v>
      </c>
      <c r="IP213" t="e">
        <f>'All regions'!J5347+"n/&gt;!)vQ"</f>
        <v>#VALUE!</v>
      </c>
      <c r="IQ213" t="e">
        <f>'All regions'!A5348+"n/&gt;!)vR"</f>
        <v>#VALUE!</v>
      </c>
      <c r="IR213" t="e">
        <f>'All regions'!B5348+"n/&gt;!)vS"</f>
        <v>#VALUE!</v>
      </c>
      <c r="IS213" t="e">
        <f>'All regions'!C5348+"n/&gt;!)vT"</f>
        <v>#VALUE!</v>
      </c>
      <c r="IT213" t="e">
        <f>'All regions'!D5348+"n/&gt;!)vU"</f>
        <v>#VALUE!</v>
      </c>
      <c r="IU213" t="e">
        <f>'All regions'!E5348+"n/&gt;!)vV"</f>
        <v>#VALUE!</v>
      </c>
      <c r="IV213" t="e">
        <f>'All regions'!F5348+"n/&gt;!)vW"</f>
        <v>#VALUE!</v>
      </c>
    </row>
    <row r="214" spans="6:256" x14ac:dyDescent="0.35">
      <c r="F214" t="e">
        <f>'All regions'!G5348+"n/&gt;!)vX"</f>
        <v>#VALUE!</v>
      </c>
      <c r="G214" t="e">
        <f>'All regions'!H5348+"n/&gt;!)vY"</f>
        <v>#VALUE!</v>
      </c>
      <c r="H214" t="e">
        <f>'All regions'!I5348+"n/&gt;!)vZ"</f>
        <v>#VALUE!</v>
      </c>
      <c r="I214" t="e">
        <f>'All regions'!J5348+"n/&gt;!)v["</f>
        <v>#VALUE!</v>
      </c>
      <c r="J214" t="e">
        <f>'All regions'!A5349+"n/&gt;!)v\"</f>
        <v>#VALUE!</v>
      </c>
      <c r="K214" t="e">
        <f>'All regions'!B5349+"n/&gt;!)v]"</f>
        <v>#VALUE!</v>
      </c>
      <c r="L214" t="e">
        <f>'All regions'!C5349+"n/&gt;!)v^"</f>
        <v>#VALUE!</v>
      </c>
      <c r="M214" t="e">
        <f>'All regions'!D5349+"n/&gt;!)v_"</f>
        <v>#VALUE!</v>
      </c>
      <c r="N214" t="e">
        <f>'All regions'!E5349+"n/&gt;!)v`"</f>
        <v>#VALUE!</v>
      </c>
      <c r="O214" t="e">
        <f>'All regions'!F5349+"n/&gt;!)va"</f>
        <v>#VALUE!</v>
      </c>
      <c r="P214" t="e">
        <f>'All regions'!G5349+"n/&gt;!)vb"</f>
        <v>#VALUE!</v>
      </c>
      <c r="Q214" t="e">
        <f>'All regions'!H5349+"n/&gt;!)vc"</f>
        <v>#VALUE!</v>
      </c>
      <c r="R214" t="e">
        <f>'All regions'!I5349+"n/&gt;!)vd"</f>
        <v>#VALUE!</v>
      </c>
      <c r="S214" t="e">
        <f>'All regions'!J5349+"n/&gt;!)ve"</f>
        <v>#VALUE!</v>
      </c>
      <c r="T214" t="e">
        <f>'All regions'!A5350+"n/&gt;!)vf"</f>
        <v>#VALUE!</v>
      </c>
      <c r="U214" t="e">
        <f>'All regions'!B5350+"n/&gt;!)vg"</f>
        <v>#VALUE!</v>
      </c>
      <c r="V214" t="e">
        <f>'All regions'!C5350+"n/&gt;!)vh"</f>
        <v>#VALUE!</v>
      </c>
      <c r="W214" t="e">
        <f>'All regions'!D5350+"n/&gt;!)vi"</f>
        <v>#VALUE!</v>
      </c>
      <c r="X214" t="e">
        <f>'All regions'!E5350+"n/&gt;!)vj"</f>
        <v>#VALUE!</v>
      </c>
      <c r="Y214" t="e">
        <f>'All regions'!F5350+"n/&gt;!)vk"</f>
        <v>#VALUE!</v>
      </c>
      <c r="Z214" t="e">
        <f>'All regions'!G5350+"n/&gt;!)vl"</f>
        <v>#VALUE!</v>
      </c>
      <c r="AA214" t="e">
        <f>'All regions'!H5350+"n/&gt;!)vm"</f>
        <v>#VALUE!</v>
      </c>
      <c r="AB214" t="e">
        <f>'All regions'!I5350+"n/&gt;!)vn"</f>
        <v>#VALUE!</v>
      </c>
      <c r="AC214" t="e">
        <f>'All regions'!J5350+"n/&gt;!)vo"</f>
        <v>#VALUE!</v>
      </c>
      <c r="AD214" t="e">
        <f>'All regions'!A5351+"n/&gt;!)vp"</f>
        <v>#VALUE!</v>
      </c>
      <c r="AE214" t="e">
        <f>'All regions'!B5351+"n/&gt;!)vq"</f>
        <v>#VALUE!</v>
      </c>
      <c r="AF214" t="e">
        <f>'All regions'!C5351+"n/&gt;!)vr"</f>
        <v>#VALUE!</v>
      </c>
      <c r="AG214" t="e">
        <f>'All regions'!D5351+"n/&gt;!)vs"</f>
        <v>#VALUE!</v>
      </c>
      <c r="AH214" t="e">
        <f>'All regions'!E5351+"n/&gt;!)vt"</f>
        <v>#VALUE!</v>
      </c>
      <c r="AI214" t="e">
        <f>'All regions'!F5351+"n/&gt;!)vu"</f>
        <v>#VALUE!</v>
      </c>
      <c r="AJ214" t="e">
        <f>'All regions'!G5351+"n/&gt;!)vv"</f>
        <v>#VALUE!</v>
      </c>
      <c r="AK214" t="e">
        <f>'All regions'!H5351+"n/&gt;!)vw"</f>
        <v>#VALUE!</v>
      </c>
      <c r="AL214" t="e">
        <f>'All regions'!I5351+"n/&gt;!)vx"</f>
        <v>#VALUE!</v>
      </c>
      <c r="AM214" t="e">
        <f>'All regions'!J5351+"n/&gt;!)vy"</f>
        <v>#VALUE!</v>
      </c>
      <c r="AN214" t="e">
        <f>'All regions'!A5352+"n/&gt;!)vz"</f>
        <v>#VALUE!</v>
      </c>
      <c r="AO214" t="e">
        <f>'All regions'!B5352+"n/&gt;!)v{"</f>
        <v>#VALUE!</v>
      </c>
      <c r="AP214" t="e">
        <f>'All regions'!C5352+"n/&gt;!)v|"</f>
        <v>#VALUE!</v>
      </c>
      <c r="AQ214" t="e">
        <f>'All regions'!D5352+"n/&gt;!)v}"</f>
        <v>#VALUE!</v>
      </c>
      <c r="AR214" t="e">
        <f>'All regions'!E5352+"n/&gt;!)v~"</f>
        <v>#VALUE!</v>
      </c>
      <c r="AS214" t="e">
        <f>'All regions'!F5352+"n/&gt;!)w#"</f>
        <v>#VALUE!</v>
      </c>
      <c r="AT214" t="e">
        <f>'All regions'!G5352+"n/&gt;!)w$"</f>
        <v>#VALUE!</v>
      </c>
      <c r="AU214" t="e">
        <f>'All regions'!H5352+"n/&gt;!)w%"</f>
        <v>#VALUE!</v>
      </c>
      <c r="AV214" t="e">
        <f>'All regions'!I5352+"n/&gt;!)w&amp;"</f>
        <v>#VALUE!</v>
      </c>
      <c r="AW214" t="e">
        <f>'All regions'!J5352+"n/&gt;!)w'"</f>
        <v>#VALUE!</v>
      </c>
      <c r="AX214" t="e">
        <f>'All regions'!A5353+"n/&gt;!)w("</f>
        <v>#VALUE!</v>
      </c>
      <c r="AY214" t="e">
        <f>'All regions'!B5353+"n/&gt;!)w)"</f>
        <v>#VALUE!</v>
      </c>
      <c r="AZ214" t="e">
        <f>'All regions'!C5353+"n/&gt;!)w."</f>
        <v>#VALUE!</v>
      </c>
      <c r="BA214" t="e">
        <f>'All regions'!D5353+"n/&gt;!)w/"</f>
        <v>#VALUE!</v>
      </c>
      <c r="BB214" t="e">
        <f>'All regions'!E5353+"n/&gt;!)w0"</f>
        <v>#VALUE!</v>
      </c>
      <c r="BC214" t="e">
        <f>'All regions'!F5353+"n/&gt;!)w1"</f>
        <v>#VALUE!</v>
      </c>
      <c r="BD214" t="e">
        <f>'All regions'!G5353+"n/&gt;!)w2"</f>
        <v>#VALUE!</v>
      </c>
      <c r="BE214" t="e">
        <f>'All regions'!H5353+"n/&gt;!)w3"</f>
        <v>#VALUE!</v>
      </c>
      <c r="BF214" t="e">
        <f>'All regions'!I5353+"n/&gt;!)w4"</f>
        <v>#VALUE!</v>
      </c>
      <c r="BG214" t="e">
        <f>'All regions'!J5353+"n/&gt;!)w5"</f>
        <v>#VALUE!</v>
      </c>
      <c r="BH214" t="e">
        <f>'All regions'!A5354+"n/&gt;!)w6"</f>
        <v>#VALUE!</v>
      </c>
      <c r="BI214" t="e">
        <f>'All regions'!B5354+"n/&gt;!)w7"</f>
        <v>#VALUE!</v>
      </c>
      <c r="BJ214" t="e">
        <f>'All regions'!C5354+"n/&gt;!)w8"</f>
        <v>#VALUE!</v>
      </c>
      <c r="BK214" t="e">
        <f>'All regions'!D5354+"n/&gt;!)w9"</f>
        <v>#VALUE!</v>
      </c>
      <c r="BL214" t="e">
        <f>'All regions'!E5354+"n/&gt;!)w:"</f>
        <v>#VALUE!</v>
      </c>
      <c r="BM214" t="e">
        <f>'All regions'!F5354+"n/&gt;!)w;"</f>
        <v>#VALUE!</v>
      </c>
      <c r="BN214" t="e">
        <f>'All regions'!G5354+"n/&gt;!)w&lt;"</f>
        <v>#VALUE!</v>
      </c>
      <c r="BO214" t="e">
        <f>'All regions'!H5354+"n/&gt;!)w="</f>
        <v>#VALUE!</v>
      </c>
      <c r="BP214" t="e">
        <f>'All regions'!I5354+"n/&gt;!)w&gt;"</f>
        <v>#VALUE!</v>
      </c>
      <c r="BQ214" t="e">
        <f>'All regions'!J5354+"n/&gt;!)w?"</f>
        <v>#VALUE!</v>
      </c>
      <c r="BR214" t="e">
        <f>'All regions'!A5355+"n/&gt;!)w@"</f>
        <v>#VALUE!</v>
      </c>
      <c r="BS214" t="e">
        <f>'All regions'!B5355+"n/&gt;!)wA"</f>
        <v>#VALUE!</v>
      </c>
      <c r="BT214" t="e">
        <f>'All regions'!C5355+"n/&gt;!)wB"</f>
        <v>#VALUE!</v>
      </c>
      <c r="BU214" t="e">
        <f>'All regions'!D5355+"n/&gt;!)wC"</f>
        <v>#VALUE!</v>
      </c>
      <c r="BV214" t="e">
        <f>'All regions'!E5355+"n/&gt;!)wD"</f>
        <v>#VALUE!</v>
      </c>
      <c r="BW214" t="e">
        <f>'All regions'!F5355+"n/&gt;!)wE"</f>
        <v>#VALUE!</v>
      </c>
      <c r="BX214" t="e">
        <f>'All regions'!G5355+"n/&gt;!)wF"</f>
        <v>#VALUE!</v>
      </c>
      <c r="BY214" t="e">
        <f>'All regions'!H5355+"n/&gt;!)wG"</f>
        <v>#VALUE!</v>
      </c>
      <c r="BZ214" t="e">
        <f>'All regions'!I5355+"n/&gt;!)wH"</f>
        <v>#VALUE!</v>
      </c>
      <c r="CA214" t="e">
        <f>'All regions'!J5355+"n/&gt;!)wI"</f>
        <v>#VALUE!</v>
      </c>
      <c r="CB214" t="e">
        <f>'All regions'!A5356+"n/&gt;!)wJ"</f>
        <v>#VALUE!</v>
      </c>
      <c r="CC214" t="e">
        <f>'All regions'!B5356+"n/&gt;!)wK"</f>
        <v>#VALUE!</v>
      </c>
      <c r="CD214" t="e">
        <f>'All regions'!C5356+"n/&gt;!)wL"</f>
        <v>#VALUE!</v>
      </c>
      <c r="CE214" t="e">
        <f>'All regions'!D5356+"n/&gt;!)wM"</f>
        <v>#VALUE!</v>
      </c>
      <c r="CF214" t="e">
        <f>'All regions'!E5356+"n/&gt;!)wN"</f>
        <v>#VALUE!</v>
      </c>
      <c r="CG214" t="e">
        <f>'All regions'!F5356+"n/&gt;!)wO"</f>
        <v>#VALUE!</v>
      </c>
      <c r="CH214" t="e">
        <f>'All regions'!G5356+"n/&gt;!)wP"</f>
        <v>#VALUE!</v>
      </c>
      <c r="CI214" t="e">
        <f>'All regions'!H5356+"n/&gt;!)wQ"</f>
        <v>#VALUE!</v>
      </c>
      <c r="CJ214" t="e">
        <f>'All regions'!I5356+"n/&gt;!)wR"</f>
        <v>#VALUE!</v>
      </c>
      <c r="CK214" t="e">
        <f>'All regions'!J5356+"n/&gt;!)wS"</f>
        <v>#VALUE!</v>
      </c>
      <c r="CL214" t="e">
        <f>'All regions'!A5357+"n/&gt;!)wT"</f>
        <v>#VALUE!</v>
      </c>
      <c r="CM214" t="e">
        <f>'All regions'!B5357+"n/&gt;!)wU"</f>
        <v>#VALUE!</v>
      </c>
      <c r="CN214" t="e">
        <f>'All regions'!C5357+"n/&gt;!)wV"</f>
        <v>#VALUE!</v>
      </c>
      <c r="CO214" t="e">
        <f>'All regions'!D5357+"n/&gt;!)wW"</f>
        <v>#VALUE!</v>
      </c>
      <c r="CP214" t="e">
        <f>'All regions'!E5357+"n/&gt;!)wX"</f>
        <v>#VALUE!</v>
      </c>
      <c r="CQ214" t="e">
        <f>'All regions'!F5357+"n/&gt;!)wY"</f>
        <v>#VALUE!</v>
      </c>
      <c r="CR214" t="e">
        <f>'All regions'!G5357+"n/&gt;!)wZ"</f>
        <v>#VALUE!</v>
      </c>
      <c r="CS214" t="e">
        <f>'All regions'!H5357+"n/&gt;!)w["</f>
        <v>#VALUE!</v>
      </c>
      <c r="CT214" t="e">
        <f>'All regions'!I5357+"n/&gt;!)w\"</f>
        <v>#VALUE!</v>
      </c>
      <c r="CU214" t="e">
        <f>'All regions'!J5357+"n/&gt;!)w]"</f>
        <v>#VALUE!</v>
      </c>
      <c r="CV214" t="e">
        <f>'All regions'!A5358+"n/&gt;!)w^"</f>
        <v>#VALUE!</v>
      </c>
      <c r="CW214" t="e">
        <f>'All regions'!B5358+"n/&gt;!)w_"</f>
        <v>#VALUE!</v>
      </c>
      <c r="CX214" t="e">
        <f>'All regions'!C5358+"n/&gt;!)w`"</f>
        <v>#VALUE!</v>
      </c>
      <c r="CY214" t="e">
        <f>'All regions'!D5358+"n/&gt;!)wa"</f>
        <v>#VALUE!</v>
      </c>
      <c r="CZ214" t="e">
        <f>'All regions'!E5358+"n/&gt;!)wb"</f>
        <v>#VALUE!</v>
      </c>
      <c r="DA214" t="e">
        <f>'All regions'!F5358+"n/&gt;!)wc"</f>
        <v>#VALUE!</v>
      </c>
      <c r="DB214" t="e">
        <f>'All regions'!G5358+"n/&gt;!)wd"</f>
        <v>#VALUE!</v>
      </c>
      <c r="DC214" t="e">
        <f>'All regions'!H5358+"n/&gt;!)we"</f>
        <v>#VALUE!</v>
      </c>
      <c r="DD214" t="e">
        <f>'All regions'!I5358+"n/&gt;!)wf"</f>
        <v>#VALUE!</v>
      </c>
      <c r="DE214" t="e">
        <f>'All regions'!J5358+"n/&gt;!)wg"</f>
        <v>#VALUE!</v>
      </c>
      <c r="DF214" t="e">
        <f>'All regions'!A5359+"n/&gt;!)wh"</f>
        <v>#VALUE!</v>
      </c>
      <c r="DG214" t="e">
        <f>'All regions'!B5359+"n/&gt;!)wi"</f>
        <v>#VALUE!</v>
      </c>
      <c r="DH214" t="e">
        <f>'All regions'!C5359+"n/&gt;!)wj"</f>
        <v>#VALUE!</v>
      </c>
      <c r="DI214" t="e">
        <f>'All regions'!D5359+"n/&gt;!)wk"</f>
        <v>#VALUE!</v>
      </c>
      <c r="DJ214" t="e">
        <f>'All regions'!E5359+"n/&gt;!)wl"</f>
        <v>#VALUE!</v>
      </c>
      <c r="DK214" t="e">
        <f>'All regions'!F5359+"n/&gt;!)wm"</f>
        <v>#VALUE!</v>
      </c>
      <c r="DL214" t="e">
        <f>'All regions'!G5359+"n/&gt;!)wn"</f>
        <v>#VALUE!</v>
      </c>
      <c r="DM214" t="e">
        <f>'All regions'!H5359+"n/&gt;!)wo"</f>
        <v>#VALUE!</v>
      </c>
      <c r="DN214" t="e">
        <f>'All regions'!I5359+"n/&gt;!)wp"</f>
        <v>#VALUE!</v>
      </c>
      <c r="DO214" t="e">
        <f>'All regions'!J5359+"n/&gt;!)wq"</f>
        <v>#VALUE!</v>
      </c>
      <c r="DP214" t="e">
        <f>'All regions'!A5360+"n/&gt;!)wr"</f>
        <v>#VALUE!</v>
      </c>
      <c r="DQ214" t="e">
        <f>'All regions'!B5360+"n/&gt;!)ws"</f>
        <v>#VALUE!</v>
      </c>
      <c r="DR214" t="e">
        <f>'All regions'!C5360+"n/&gt;!)wt"</f>
        <v>#VALUE!</v>
      </c>
      <c r="DS214" t="e">
        <f>'All regions'!D5360+"n/&gt;!)wu"</f>
        <v>#VALUE!</v>
      </c>
      <c r="DT214" t="e">
        <f>'All regions'!E5360+"n/&gt;!)wv"</f>
        <v>#VALUE!</v>
      </c>
      <c r="DU214" t="e">
        <f>'All regions'!F5360+"n/&gt;!)ww"</f>
        <v>#VALUE!</v>
      </c>
      <c r="DV214" t="e">
        <f>'All regions'!G5360+"n/&gt;!)wx"</f>
        <v>#VALUE!</v>
      </c>
      <c r="DW214" t="e">
        <f>'All regions'!H5360+"n/&gt;!)wy"</f>
        <v>#VALUE!</v>
      </c>
      <c r="DX214" t="e">
        <f>'All regions'!I5360+"n/&gt;!)wz"</f>
        <v>#VALUE!</v>
      </c>
      <c r="DY214" t="e">
        <f>'All regions'!J5360+"n/&gt;!)w{"</f>
        <v>#VALUE!</v>
      </c>
      <c r="DZ214" t="e">
        <f>'All regions'!A5361+"n/&gt;!)w|"</f>
        <v>#VALUE!</v>
      </c>
      <c r="EA214" t="e">
        <f>'All regions'!B5361+"n/&gt;!)w}"</f>
        <v>#VALUE!</v>
      </c>
      <c r="EB214" t="e">
        <f>'All regions'!C5361+"n/&gt;!)w~"</f>
        <v>#VALUE!</v>
      </c>
      <c r="EC214" t="e">
        <f>'All regions'!D5361+"n/&gt;!)x#"</f>
        <v>#VALUE!</v>
      </c>
      <c r="ED214" t="e">
        <f>'All regions'!E5361+"n/&gt;!)x$"</f>
        <v>#VALUE!</v>
      </c>
      <c r="EE214" t="e">
        <f>'All regions'!F5361+"n/&gt;!)x%"</f>
        <v>#VALUE!</v>
      </c>
      <c r="EF214" t="e">
        <f>'All regions'!G5361+"n/&gt;!)x&amp;"</f>
        <v>#VALUE!</v>
      </c>
      <c r="EG214" t="e">
        <f>'All regions'!H5361+"n/&gt;!)x'"</f>
        <v>#VALUE!</v>
      </c>
      <c r="EH214" t="e">
        <f>'All regions'!I5361+"n/&gt;!)x("</f>
        <v>#VALUE!</v>
      </c>
      <c r="EI214" t="e">
        <f>'All regions'!J5361+"n/&gt;!)x)"</f>
        <v>#VALUE!</v>
      </c>
      <c r="EJ214" t="e">
        <f>'All regions'!A5362+"n/&gt;!)x."</f>
        <v>#VALUE!</v>
      </c>
      <c r="EK214" t="e">
        <f>'All regions'!B5362+"n/&gt;!)x/"</f>
        <v>#VALUE!</v>
      </c>
      <c r="EL214" t="e">
        <f>'All regions'!C5362+"n/&gt;!)x0"</f>
        <v>#VALUE!</v>
      </c>
      <c r="EM214" t="e">
        <f>'All regions'!D5362+"n/&gt;!)x1"</f>
        <v>#VALUE!</v>
      </c>
      <c r="EN214" t="e">
        <f>'All regions'!E5362+"n/&gt;!)x2"</f>
        <v>#VALUE!</v>
      </c>
      <c r="EO214" t="e">
        <f>'All regions'!F5362+"n/&gt;!)x3"</f>
        <v>#VALUE!</v>
      </c>
      <c r="EP214" t="e">
        <f>'All regions'!G5362+"n/&gt;!)x4"</f>
        <v>#VALUE!</v>
      </c>
      <c r="EQ214" t="e">
        <f>'All regions'!H5362+"n/&gt;!)x5"</f>
        <v>#VALUE!</v>
      </c>
      <c r="ER214" t="e">
        <f>'All regions'!I5362+"n/&gt;!)x6"</f>
        <v>#VALUE!</v>
      </c>
      <c r="ES214" t="e">
        <f>'All regions'!J5362+"n/&gt;!)x7"</f>
        <v>#VALUE!</v>
      </c>
      <c r="ET214" t="e">
        <f>'All regions'!A5363+"n/&gt;!)x8"</f>
        <v>#VALUE!</v>
      </c>
      <c r="EU214" t="e">
        <f>'All regions'!B5363+"n/&gt;!)x9"</f>
        <v>#VALUE!</v>
      </c>
      <c r="EV214" t="e">
        <f>'All regions'!C5363+"n/&gt;!)x:"</f>
        <v>#VALUE!</v>
      </c>
      <c r="EW214" t="e">
        <f>'All regions'!D5363+"n/&gt;!)x;"</f>
        <v>#VALUE!</v>
      </c>
      <c r="EX214" t="e">
        <f>'All regions'!E5363+"n/&gt;!)x&lt;"</f>
        <v>#VALUE!</v>
      </c>
      <c r="EY214" t="e">
        <f>'All regions'!F5363+"n/&gt;!)x="</f>
        <v>#VALUE!</v>
      </c>
      <c r="EZ214" t="e">
        <f>'All regions'!G5363+"n/&gt;!)x&gt;"</f>
        <v>#VALUE!</v>
      </c>
      <c r="FA214" t="e">
        <f>'All regions'!H5363+"n/&gt;!)x?"</f>
        <v>#VALUE!</v>
      </c>
      <c r="FB214" t="e">
        <f>'All regions'!I5363+"n/&gt;!)x@"</f>
        <v>#VALUE!</v>
      </c>
      <c r="FC214" t="e">
        <f>'All regions'!J5363+"n/&gt;!)xA"</f>
        <v>#VALUE!</v>
      </c>
      <c r="FD214" t="e">
        <f>'All regions'!A5364+"n/&gt;!)xB"</f>
        <v>#VALUE!</v>
      </c>
      <c r="FE214" t="e">
        <f>'All regions'!B5364+"n/&gt;!)xC"</f>
        <v>#VALUE!</v>
      </c>
      <c r="FF214" t="e">
        <f>'All regions'!C5364+"n/&gt;!)xD"</f>
        <v>#VALUE!</v>
      </c>
      <c r="FG214" t="e">
        <f>'All regions'!D5364+"n/&gt;!)xE"</f>
        <v>#VALUE!</v>
      </c>
      <c r="FH214" t="e">
        <f>'All regions'!E5364+"n/&gt;!)xF"</f>
        <v>#VALUE!</v>
      </c>
      <c r="FI214" t="e">
        <f>'All regions'!F5364+"n/&gt;!)xG"</f>
        <v>#VALUE!</v>
      </c>
      <c r="FJ214" t="e">
        <f>'All regions'!G5364+"n/&gt;!)xH"</f>
        <v>#VALUE!</v>
      </c>
      <c r="FK214" t="e">
        <f>'All regions'!H5364+"n/&gt;!)xI"</f>
        <v>#VALUE!</v>
      </c>
      <c r="FL214" t="e">
        <f>'All regions'!I5364+"n/&gt;!)xJ"</f>
        <v>#VALUE!</v>
      </c>
      <c r="FM214" t="e">
        <f>'All regions'!J5364+"n/&gt;!)xK"</f>
        <v>#VALUE!</v>
      </c>
      <c r="FN214" t="e">
        <f>'All regions'!A5365+"n/&gt;!)xL"</f>
        <v>#VALUE!</v>
      </c>
      <c r="FO214" t="e">
        <f>'All regions'!B5365+"n/&gt;!)xM"</f>
        <v>#VALUE!</v>
      </c>
      <c r="FP214" t="e">
        <f>'All regions'!C5365+"n/&gt;!)xN"</f>
        <v>#VALUE!</v>
      </c>
      <c r="FQ214" t="e">
        <f>'All regions'!D5365+"n/&gt;!)xO"</f>
        <v>#VALUE!</v>
      </c>
      <c r="FR214" t="e">
        <f>'All regions'!E5365+"n/&gt;!)xP"</f>
        <v>#VALUE!</v>
      </c>
      <c r="FS214" t="e">
        <f>'All regions'!F5365+"n/&gt;!)xQ"</f>
        <v>#VALUE!</v>
      </c>
      <c r="FT214" t="e">
        <f>'All regions'!G5365+"n/&gt;!)xR"</f>
        <v>#VALUE!</v>
      </c>
      <c r="FU214" t="e">
        <f>'All regions'!H5365+"n/&gt;!)xS"</f>
        <v>#VALUE!</v>
      </c>
      <c r="FV214" t="e">
        <f>'All regions'!I5365+"n/&gt;!)xT"</f>
        <v>#VALUE!</v>
      </c>
      <c r="FW214" t="e">
        <f>'All regions'!J5365+"n/&gt;!)xU"</f>
        <v>#VALUE!</v>
      </c>
      <c r="FX214" t="e">
        <f>'All regions'!A5366+"n/&gt;!)xV"</f>
        <v>#VALUE!</v>
      </c>
      <c r="FY214" t="e">
        <f>'All regions'!B5366+"n/&gt;!)xW"</f>
        <v>#VALUE!</v>
      </c>
      <c r="FZ214" t="e">
        <f>'All regions'!C5366+"n/&gt;!)xX"</f>
        <v>#VALUE!</v>
      </c>
      <c r="GA214" t="e">
        <f>'All regions'!D5366+"n/&gt;!)xY"</f>
        <v>#VALUE!</v>
      </c>
      <c r="GB214" t="e">
        <f>'All regions'!E5366+"n/&gt;!)xZ"</f>
        <v>#VALUE!</v>
      </c>
      <c r="GC214" t="e">
        <f>'All regions'!F5366+"n/&gt;!)x["</f>
        <v>#VALUE!</v>
      </c>
      <c r="GD214" t="e">
        <f>'All regions'!G5366+"n/&gt;!)x\"</f>
        <v>#VALUE!</v>
      </c>
      <c r="GE214" t="e">
        <f>'All regions'!H5366+"n/&gt;!)x]"</f>
        <v>#VALUE!</v>
      </c>
      <c r="GF214" t="e">
        <f>'All regions'!I5366+"n/&gt;!)x^"</f>
        <v>#VALUE!</v>
      </c>
      <c r="GG214" t="e">
        <f>'All regions'!J5366+"n/&gt;!)x_"</f>
        <v>#VALUE!</v>
      </c>
      <c r="GH214" t="e">
        <f>'All regions'!A5367+"n/&gt;!)x`"</f>
        <v>#VALUE!</v>
      </c>
      <c r="GI214" t="e">
        <f>'All regions'!B5367+"n/&gt;!)xa"</f>
        <v>#VALUE!</v>
      </c>
      <c r="GJ214" t="e">
        <f>'All regions'!C5367+"n/&gt;!)xb"</f>
        <v>#VALUE!</v>
      </c>
      <c r="GK214" t="e">
        <f>'All regions'!D5367+"n/&gt;!)xc"</f>
        <v>#VALUE!</v>
      </c>
      <c r="GL214" t="e">
        <f>'All regions'!E5367+"n/&gt;!)xd"</f>
        <v>#VALUE!</v>
      </c>
      <c r="GM214" t="e">
        <f>'All regions'!F5367+"n/&gt;!)xe"</f>
        <v>#VALUE!</v>
      </c>
      <c r="GN214" t="e">
        <f>'All regions'!G5367+"n/&gt;!)xf"</f>
        <v>#VALUE!</v>
      </c>
      <c r="GO214" t="e">
        <f>'All regions'!H5367+"n/&gt;!)xg"</f>
        <v>#VALUE!</v>
      </c>
      <c r="GP214" t="e">
        <f>'All regions'!I5367+"n/&gt;!)xh"</f>
        <v>#VALUE!</v>
      </c>
      <c r="GQ214" t="e">
        <f>'All regions'!J5367+"n/&gt;!)xi"</f>
        <v>#VALUE!</v>
      </c>
      <c r="GR214" t="e">
        <f>'All regions'!A5368+"n/&gt;!)xj"</f>
        <v>#VALUE!</v>
      </c>
      <c r="GS214" t="e">
        <f>'All regions'!B5368+"n/&gt;!)xk"</f>
        <v>#VALUE!</v>
      </c>
      <c r="GT214" t="e">
        <f>'All regions'!C5368+"n/&gt;!)xl"</f>
        <v>#VALUE!</v>
      </c>
      <c r="GU214" t="e">
        <f>'All regions'!D5368+"n/&gt;!)xm"</f>
        <v>#VALUE!</v>
      </c>
      <c r="GV214" t="e">
        <f>'All regions'!E5368+"n/&gt;!)xn"</f>
        <v>#VALUE!</v>
      </c>
      <c r="GW214" t="e">
        <f>'All regions'!F5368+"n/&gt;!)xo"</f>
        <v>#VALUE!</v>
      </c>
      <c r="GX214" t="e">
        <f>'All regions'!G5368+"n/&gt;!)xp"</f>
        <v>#VALUE!</v>
      </c>
      <c r="GY214" t="e">
        <f>'All regions'!H5368+"n/&gt;!)xq"</f>
        <v>#VALUE!</v>
      </c>
      <c r="GZ214" t="e">
        <f>'All regions'!I5368+"n/&gt;!)xr"</f>
        <v>#VALUE!</v>
      </c>
      <c r="HA214" t="e">
        <f>'All regions'!A5369+"n/&gt;!)xs"</f>
        <v>#VALUE!</v>
      </c>
      <c r="HB214" t="e">
        <f>'All regions'!B5369+"n/&gt;!)xt"</f>
        <v>#VALUE!</v>
      </c>
      <c r="HC214" t="e">
        <f>'All regions'!C5369+"n/&gt;!)xu"</f>
        <v>#VALUE!</v>
      </c>
      <c r="HD214" t="e">
        <f>'All regions'!D5369+"n/&gt;!)xv"</f>
        <v>#VALUE!</v>
      </c>
      <c r="HE214" t="e">
        <f>'All regions'!E5369+"n/&gt;!)xw"</f>
        <v>#VALUE!</v>
      </c>
      <c r="HF214" t="e">
        <f>'All regions'!F5369+"n/&gt;!)xx"</f>
        <v>#VALUE!</v>
      </c>
      <c r="HG214" t="e">
        <f>'All regions'!G5369+"n/&gt;!)xy"</f>
        <v>#VALUE!</v>
      </c>
      <c r="HH214" t="e">
        <f>'All regions'!H5369+"n/&gt;!)xz"</f>
        <v>#VALUE!</v>
      </c>
      <c r="HI214" t="e">
        <f>'All regions'!I5369+"n/&gt;!)x{"</f>
        <v>#VALUE!</v>
      </c>
      <c r="HJ214" t="e">
        <f>'All regions'!J5369+"n/&gt;!)x|"</f>
        <v>#VALUE!</v>
      </c>
      <c r="HK214" t="e">
        <f>'All regions'!A5370+"n/&gt;!)x}"</f>
        <v>#VALUE!</v>
      </c>
      <c r="HL214" t="e">
        <f>'All regions'!B5370+"n/&gt;!)x~"</f>
        <v>#VALUE!</v>
      </c>
      <c r="HM214" t="e">
        <f>'All regions'!C5370+"n/&gt;!)y#"</f>
        <v>#VALUE!</v>
      </c>
      <c r="HN214" t="e">
        <f>'All regions'!D5370+"n/&gt;!)y$"</f>
        <v>#VALUE!</v>
      </c>
      <c r="HO214" t="e">
        <f>'All regions'!E5370+"n/&gt;!)y%"</f>
        <v>#VALUE!</v>
      </c>
      <c r="HP214" t="e">
        <f>'All regions'!F5370+"n/&gt;!)y&amp;"</f>
        <v>#VALUE!</v>
      </c>
      <c r="HQ214" t="e">
        <f>'All regions'!G5370+"n/&gt;!)y'"</f>
        <v>#VALUE!</v>
      </c>
      <c r="HR214" t="e">
        <f>'All regions'!H5370+"n/&gt;!)y("</f>
        <v>#VALUE!</v>
      </c>
      <c r="HS214" t="e">
        <f>'All regions'!I5370+"n/&gt;!)y)"</f>
        <v>#VALUE!</v>
      </c>
      <c r="HT214" t="e">
        <f>'All regions'!J5370+"n/&gt;!)y."</f>
        <v>#VALUE!</v>
      </c>
      <c r="HU214" t="e">
        <f>'All regions'!A5371+"n/&gt;!)y/"</f>
        <v>#VALUE!</v>
      </c>
      <c r="HV214" t="e">
        <f>'All regions'!B5371+"n/&gt;!)y0"</f>
        <v>#VALUE!</v>
      </c>
      <c r="HW214" t="e">
        <f>'All regions'!C5371+"n/&gt;!)y1"</f>
        <v>#VALUE!</v>
      </c>
      <c r="HX214" t="e">
        <f>'All regions'!D5371+"n/&gt;!)y2"</f>
        <v>#VALUE!</v>
      </c>
      <c r="HY214" t="e">
        <f>'All regions'!E5371+"n/&gt;!)y3"</f>
        <v>#VALUE!</v>
      </c>
      <c r="HZ214" t="e">
        <f>'All regions'!F5371+"n/&gt;!)y4"</f>
        <v>#VALUE!</v>
      </c>
      <c r="IA214" t="e">
        <f>'All regions'!G5371+"n/&gt;!)y5"</f>
        <v>#VALUE!</v>
      </c>
      <c r="IB214" t="e">
        <f>'All regions'!H5371+"n/&gt;!)y6"</f>
        <v>#VALUE!</v>
      </c>
      <c r="IC214" t="e">
        <f>'All regions'!I5371+"n/&gt;!)y7"</f>
        <v>#VALUE!</v>
      </c>
      <c r="ID214" t="e">
        <f>'All regions'!J5371+"n/&gt;!)y8"</f>
        <v>#VALUE!</v>
      </c>
      <c r="IE214" t="e">
        <f>'All regions'!A5372+"n/&gt;!)y9"</f>
        <v>#VALUE!</v>
      </c>
      <c r="IF214" t="e">
        <f>'All regions'!B5372+"n/&gt;!)y:"</f>
        <v>#VALUE!</v>
      </c>
      <c r="IG214" t="e">
        <f>'All regions'!C5372+"n/&gt;!)y;"</f>
        <v>#VALUE!</v>
      </c>
      <c r="IH214" t="e">
        <f>'All regions'!D5372+"n/&gt;!)y&lt;"</f>
        <v>#VALUE!</v>
      </c>
      <c r="II214" t="e">
        <f>'All regions'!E5372+"n/&gt;!)y="</f>
        <v>#VALUE!</v>
      </c>
      <c r="IJ214" t="e">
        <f>'All regions'!F5372+"n/&gt;!)y&gt;"</f>
        <v>#VALUE!</v>
      </c>
      <c r="IK214" t="e">
        <f>'All regions'!G5372+"n/&gt;!)y?"</f>
        <v>#VALUE!</v>
      </c>
      <c r="IL214" t="e">
        <f>'All regions'!H5372+"n/&gt;!)y@"</f>
        <v>#VALUE!</v>
      </c>
      <c r="IM214" t="e">
        <f>'All regions'!I5372+"n/&gt;!)yA"</f>
        <v>#VALUE!</v>
      </c>
      <c r="IN214" t="e">
        <f>'All regions'!J5372+"n/&gt;!)yB"</f>
        <v>#VALUE!</v>
      </c>
      <c r="IO214" t="e">
        <f>'All regions'!A5373+"n/&gt;!)yC"</f>
        <v>#VALUE!</v>
      </c>
      <c r="IP214" t="e">
        <f>'All regions'!B5373+"n/&gt;!)yD"</f>
        <v>#VALUE!</v>
      </c>
      <c r="IQ214" t="e">
        <f>'All regions'!C5373+"n/&gt;!)yE"</f>
        <v>#VALUE!</v>
      </c>
      <c r="IR214" t="e">
        <f>'All regions'!D5373+"n/&gt;!)yF"</f>
        <v>#VALUE!</v>
      </c>
      <c r="IS214" t="e">
        <f>'All regions'!E5373+"n/&gt;!)yG"</f>
        <v>#VALUE!</v>
      </c>
      <c r="IT214" t="e">
        <f>'All regions'!F5373+"n/&gt;!)yH"</f>
        <v>#VALUE!</v>
      </c>
      <c r="IU214" t="e">
        <f>'All regions'!G5373+"n/&gt;!)yI"</f>
        <v>#VALUE!</v>
      </c>
      <c r="IV214" t="e">
        <f>'All regions'!H5373+"n/&gt;!)yJ"</f>
        <v>#VALUE!</v>
      </c>
    </row>
    <row r="215" spans="6:256" x14ac:dyDescent="0.35">
      <c r="F215" t="e">
        <f>'All regions'!I5373+"n/&gt;!)yK"</f>
        <v>#VALUE!</v>
      </c>
      <c r="G215" t="e">
        <f>'All regions'!J5373+"n/&gt;!)yL"</f>
        <v>#VALUE!</v>
      </c>
      <c r="H215" t="e">
        <f>'All regions'!A5374+"n/&gt;!)yM"</f>
        <v>#VALUE!</v>
      </c>
      <c r="I215" t="e">
        <f>'All regions'!B5374+"n/&gt;!)yN"</f>
        <v>#VALUE!</v>
      </c>
      <c r="J215" t="e">
        <f>'All regions'!C5374+"n/&gt;!)yO"</f>
        <v>#VALUE!</v>
      </c>
      <c r="K215" t="e">
        <f>'All regions'!D5374+"n/&gt;!)yP"</f>
        <v>#VALUE!</v>
      </c>
      <c r="L215" t="e">
        <f>'All regions'!E5374+"n/&gt;!)yQ"</f>
        <v>#VALUE!</v>
      </c>
      <c r="M215" t="e">
        <f>'All regions'!F5374+"n/&gt;!)yR"</f>
        <v>#VALUE!</v>
      </c>
      <c r="N215" t="e">
        <f>'All regions'!G5374+"n/&gt;!)yS"</f>
        <v>#VALUE!</v>
      </c>
      <c r="O215" t="e">
        <f>'All regions'!H5374+"n/&gt;!)yT"</f>
        <v>#VALUE!</v>
      </c>
      <c r="P215" t="e">
        <f>'All regions'!I5374+"n/&gt;!)yU"</f>
        <v>#VALUE!</v>
      </c>
      <c r="Q215" t="e">
        <f>'All regions'!J5374+"n/&gt;!)yV"</f>
        <v>#VALUE!</v>
      </c>
      <c r="R215" t="e">
        <f>'All regions'!A5375+"n/&gt;!)yW"</f>
        <v>#VALUE!</v>
      </c>
      <c r="S215" t="e">
        <f>'All regions'!B5375+"n/&gt;!)yX"</f>
        <v>#VALUE!</v>
      </c>
      <c r="T215" t="e">
        <f>'All regions'!C5375+"n/&gt;!)yY"</f>
        <v>#VALUE!</v>
      </c>
      <c r="U215" t="e">
        <f>'All regions'!D5375+"n/&gt;!)yZ"</f>
        <v>#VALUE!</v>
      </c>
      <c r="V215" t="e">
        <f>'All regions'!E5375+"n/&gt;!)y["</f>
        <v>#VALUE!</v>
      </c>
      <c r="W215" t="e">
        <f>'All regions'!F5375+"n/&gt;!)y\"</f>
        <v>#VALUE!</v>
      </c>
      <c r="X215" t="e">
        <f>'All regions'!G5375+"n/&gt;!)y]"</f>
        <v>#VALUE!</v>
      </c>
      <c r="Y215" t="e">
        <f>'All regions'!H5375+"n/&gt;!)y^"</f>
        <v>#VALUE!</v>
      </c>
      <c r="Z215" t="e">
        <f>'All regions'!I5375+"n/&gt;!)y_"</f>
        <v>#VALUE!</v>
      </c>
      <c r="AA215" t="e">
        <f>'All regions'!J5375+"n/&gt;!)y`"</f>
        <v>#VALUE!</v>
      </c>
      <c r="AB215" t="e">
        <f>'All regions'!A5376+"n/&gt;!)ya"</f>
        <v>#VALUE!</v>
      </c>
      <c r="AC215" t="e">
        <f>'All regions'!B5376+"n/&gt;!)yb"</f>
        <v>#VALUE!</v>
      </c>
      <c r="AD215" t="e">
        <f>'All regions'!C5376+"n/&gt;!)yc"</f>
        <v>#VALUE!</v>
      </c>
      <c r="AE215" t="e">
        <f>'All regions'!D5376+"n/&gt;!)yd"</f>
        <v>#VALUE!</v>
      </c>
      <c r="AF215" t="e">
        <f>'All regions'!E5376+"n/&gt;!)ye"</f>
        <v>#VALUE!</v>
      </c>
      <c r="AG215" t="e">
        <f>'All regions'!F5376+"n/&gt;!)yf"</f>
        <v>#VALUE!</v>
      </c>
      <c r="AH215" t="e">
        <f>'All regions'!G5376+"n/&gt;!)yg"</f>
        <v>#VALUE!</v>
      </c>
      <c r="AI215" t="e">
        <f>'All regions'!H5376+"n/&gt;!)yh"</f>
        <v>#VALUE!</v>
      </c>
      <c r="AJ215" t="e">
        <f>'All regions'!I5376+"n/&gt;!)yi"</f>
        <v>#VALUE!</v>
      </c>
      <c r="AK215" t="e">
        <f>'All regions'!J5376+"n/&gt;!)yj"</f>
        <v>#VALUE!</v>
      </c>
      <c r="AL215" t="e">
        <f>'All regions'!A5377+"n/&gt;!)yk"</f>
        <v>#VALUE!</v>
      </c>
      <c r="AM215" t="e">
        <f>'All regions'!B5377+"n/&gt;!)yl"</f>
        <v>#VALUE!</v>
      </c>
      <c r="AN215" t="e">
        <f>'All regions'!C5377+"n/&gt;!)ym"</f>
        <v>#VALUE!</v>
      </c>
      <c r="AO215" t="e">
        <f>'All regions'!D5377+"n/&gt;!)yn"</f>
        <v>#VALUE!</v>
      </c>
      <c r="AP215" t="e">
        <f>'All regions'!E5377+"n/&gt;!)yo"</f>
        <v>#VALUE!</v>
      </c>
      <c r="AQ215" t="e">
        <f>'All regions'!F5377+"n/&gt;!)yp"</f>
        <v>#VALUE!</v>
      </c>
      <c r="AR215" t="e">
        <f>'All regions'!G5377+"n/&gt;!)yq"</f>
        <v>#VALUE!</v>
      </c>
      <c r="AS215" t="e">
        <f>'All regions'!H5377+"n/&gt;!)yr"</f>
        <v>#VALUE!</v>
      </c>
      <c r="AT215" t="e">
        <f>'All regions'!I5377+"n/&gt;!)ys"</f>
        <v>#VALUE!</v>
      </c>
      <c r="AU215" t="e">
        <f>'All regions'!J5377+"n/&gt;!)yt"</f>
        <v>#VALUE!</v>
      </c>
      <c r="AV215" t="e">
        <f>'All regions'!A5378+"n/&gt;!)yu"</f>
        <v>#VALUE!</v>
      </c>
      <c r="AW215" t="e">
        <f>'All regions'!B5378+"n/&gt;!)yv"</f>
        <v>#VALUE!</v>
      </c>
      <c r="AX215" t="e">
        <f>'All regions'!C5378+"n/&gt;!)yw"</f>
        <v>#VALUE!</v>
      </c>
      <c r="AY215" t="e">
        <f>'All regions'!D5378+"n/&gt;!)yx"</f>
        <v>#VALUE!</v>
      </c>
      <c r="AZ215" t="e">
        <f>'All regions'!E5378+"n/&gt;!)yy"</f>
        <v>#VALUE!</v>
      </c>
      <c r="BA215" t="e">
        <f>'All regions'!F5378+"n/&gt;!)yz"</f>
        <v>#VALUE!</v>
      </c>
      <c r="BB215" t="e">
        <f>'All regions'!G5378+"n/&gt;!)y{"</f>
        <v>#VALUE!</v>
      </c>
      <c r="BC215" t="e">
        <f>'All regions'!H5378+"n/&gt;!)y|"</f>
        <v>#VALUE!</v>
      </c>
      <c r="BD215" t="e">
        <f>'All regions'!I5378+"n/&gt;!)y}"</f>
        <v>#VALUE!</v>
      </c>
      <c r="BE215" t="e">
        <f>'All regions'!J5378+"n/&gt;!)y~"</f>
        <v>#VALUE!</v>
      </c>
      <c r="BF215" t="e">
        <f>'All regions'!A5379+"n/&gt;!)z#"</f>
        <v>#VALUE!</v>
      </c>
      <c r="BG215" t="e">
        <f>'All regions'!B5379+"n/&gt;!)z$"</f>
        <v>#VALUE!</v>
      </c>
      <c r="BH215" t="e">
        <f>'All regions'!C5379+"n/&gt;!)z%"</f>
        <v>#VALUE!</v>
      </c>
      <c r="BI215" t="e">
        <f>'All regions'!D5379+"n/&gt;!)z&amp;"</f>
        <v>#VALUE!</v>
      </c>
      <c r="BJ215" t="e">
        <f>'All regions'!E5379+"n/&gt;!)z'"</f>
        <v>#VALUE!</v>
      </c>
      <c r="BK215" t="e">
        <f>'All regions'!F5379+"n/&gt;!)z("</f>
        <v>#VALUE!</v>
      </c>
      <c r="BL215" t="e">
        <f>'All regions'!G5379+"n/&gt;!)z)"</f>
        <v>#VALUE!</v>
      </c>
      <c r="BM215" t="e">
        <f>'All regions'!H5379+"n/&gt;!)z."</f>
        <v>#VALUE!</v>
      </c>
      <c r="BN215" t="e">
        <f>'All regions'!I5379+"n/&gt;!)z/"</f>
        <v>#VALUE!</v>
      </c>
      <c r="BO215" t="e">
        <f>'All regions'!J5379+"n/&gt;!)z0"</f>
        <v>#VALUE!</v>
      </c>
      <c r="BP215" t="e">
        <f>'All regions'!A5380+"n/&gt;!)z1"</f>
        <v>#VALUE!</v>
      </c>
      <c r="BQ215" t="e">
        <f>'All regions'!B5380+"n/&gt;!)z2"</f>
        <v>#VALUE!</v>
      </c>
      <c r="BR215" t="e">
        <f>'All regions'!C5380+"n/&gt;!)z3"</f>
        <v>#VALUE!</v>
      </c>
      <c r="BS215" t="e">
        <f>'All regions'!D5380+"n/&gt;!)z4"</f>
        <v>#VALUE!</v>
      </c>
      <c r="BT215" t="e">
        <f>'All regions'!E5380+"n/&gt;!)z5"</f>
        <v>#VALUE!</v>
      </c>
      <c r="BU215" t="e">
        <f>'All regions'!F5380+"n/&gt;!)z6"</f>
        <v>#VALUE!</v>
      </c>
      <c r="BV215" t="e">
        <f>'All regions'!G5380+"n/&gt;!)z7"</f>
        <v>#VALUE!</v>
      </c>
      <c r="BW215" t="e">
        <f>'All regions'!H5380+"n/&gt;!)z8"</f>
        <v>#VALUE!</v>
      </c>
      <c r="BX215" t="e">
        <f>'All regions'!I5380+"n/&gt;!)z9"</f>
        <v>#VALUE!</v>
      </c>
      <c r="BY215" t="e">
        <f>'All regions'!J5380+"n/&gt;!)z:"</f>
        <v>#VALUE!</v>
      </c>
      <c r="BZ215" t="e">
        <f>'All regions'!A5381+"n/&gt;!)z;"</f>
        <v>#VALUE!</v>
      </c>
      <c r="CA215" t="e">
        <f>'All regions'!B5381+"n/&gt;!)z&lt;"</f>
        <v>#VALUE!</v>
      </c>
      <c r="CB215" t="e">
        <f>'All regions'!C5381+"n/&gt;!)z="</f>
        <v>#VALUE!</v>
      </c>
      <c r="CC215" t="e">
        <f>'All regions'!D5381+"n/&gt;!)z&gt;"</f>
        <v>#VALUE!</v>
      </c>
      <c r="CD215" t="e">
        <f>'All regions'!E5381+"n/&gt;!)z?"</f>
        <v>#VALUE!</v>
      </c>
      <c r="CE215" t="e">
        <f>'All regions'!F5381+"n/&gt;!)z@"</f>
        <v>#VALUE!</v>
      </c>
      <c r="CF215" t="e">
        <f>'All regions'!G5381+"n/&gt;!)zA"</f>
        <v>#VALUE!</v>
      </c>
      <c r="CG215" t="e">
        <f>'All regions'!H5381+"n/&gt;!)zB"</f>
        <v>#VALUE!</v>
      </c>
      <c r="CH215" t="e">
        <f>'All regions'!I5381+"n/&gt;!)zC"</f>
        <v>#VALUE!</v>
      </c>
      <c r="CI215" t="e">
        <f>'All regions'!J5381+"n/&gt;!)zD"</f>
        <v>#VALUE!</v>
      </c>
      <c r="CJ215" t="e">
        <f>'All regions'!A5382+"n/&gt;!)zE"</f>
        <v>#VALUE!</v>
      </c>
      <c r="CK215" t="e">
        <f>'All regions'!B5382+"n/&gt;!)zF"</f>
        <v>#VALUE!</v>
      </c>
      <c r="CL215" t="e">
        <f>'All regions'!C5382+"n/&gt;!)zG"</f>
        <v>#VALUE!</v>
      </c>
      <c r="CM215" t="e">
        <f>'All regions'!D5382+"n/&gt;!)zH"</f>
        <v>#VALUE!</v>
      </c>
      <c r="CN215" t="e">
        <f>'All regions'!E5382+"n/&gt;!)zI"</f>
        <v>#VALUE!</v>
      </c>
      <c r="CO215" t="e">
        <f>'All regions'!F5382+"n/&gt;!)zJ"</f>
        <v>#VALUE!</v>
      </c>
      <c r="CP215" t="e">
        <f>'All regions'!G5382+"n/&gt;!)zK"</f>
        <v>#VALUE!</v>
      </c>
      <c r="CQ215" t="e">
        <f>'All regions'!H5382+"n/&gt;!)zL"</f>
        <v>#VALUE!</v>
      </c>
      <c r="CR215" t="e">
        <f>'All regions'!I5382+"n/&gt;!)zM"</f>
        <v>#VALUE!</v>
      </c>
      <c r="CS215" t="e">
        <f>'All regions'!J5382+"n/&gt;!)zN"</f>
        <v>#VALUE!</v>
      </c>
      <c r="CT215" t="e">
        <f>'All regions'!A5383+"n/&gt;!)zO"</f>
        <v>#VALUE!</v>
      </c>
      <c r="CU215" t="e">
        <f>'All regions'!B5383+"n/&gt;!)zP"</f>
        <v>#VALUE!</v>
      </c>
      <c r="CV215" t="e">
        <f>'All regions'!C5383+"n/&gt;!)zQ"</f>
        <v>#VALUE!</v>
      </c>
      <c r="CW215" t="e">
        <f>'All regions'!D5383+"n/&gt;!)zR"</f>
        <v>#VALUE!</v>
      </c>
      <c r="CX215" t="e">
        <f>'All regions'!E5383+"n/&gt;!)zS"</f>
        <v>#VALUE!</v>
      </c>
      <c r="CY215" t="e">
        <f>'All regions'!F5383+"n/&gt;!)zT"</f>
        <v>#VALUE!</v>
      </c>
      <c r="CZ215" t="e">
        <f>'All regions'!G5383+"n/&gt;!)zU"</f>
        <v>#VALUE!</v>
      </c>
      <c r="DA215" t="e">
        <f>'All regions'!H5383+"n/&gt;!)zV"</f>
        <v>#VALUE!</v>
      </c>
      <c r="DB215" t="e">
        <f>'All regions'!I5383+"n/&gt;!)zW"</f>
        <v>#VALUE!</v>
      </c>
      <c r="DC215" t="e">
        <f>'All regions'!J5383+"n/&gt;!)zX"</f>
        <v>#VALUE!</v>
      </c>
      <c r="DD215" t="e">
        <f>'All regions'!A5384+"n/&gt;!)zY"</f>
        <v>#VALUE!</v>
      </c>
      <c r="DE215" t="e">
        <f>'All regions'!B5384+"n/&gt;!)zZ"</f>
        <v>#VALUE!</v>
      </c>
      <c r="DF215" t="e">
        <f>'All regions'!C5384+"n/&gt;!)z["</f>
        <v>#VALUE!</v>
      </c>
      <c r="DG215" t="e">
        <f>'All regions'!D5384+"n/&gt;!)z\"</f>
        <v>#VALUE!</v>
      </c>
      <c r="DH215" t="e">
        <f>'All regions'!E5384+"n/&gt;!)z]"</f>
        <v>#VALUE!</v>
      </c>
      <c r="DI215" t="e">
        <f>'All regions'!F5384+"n/&gt;!)z^"</f>
        <v>#VALUE!</v>
      </c>
      <c r="DJ215" t="e">
        <f>'All regions'!G5384+"n/&gt;!)z_"</f>
        <v>#VALUE!</v>
      </c>
      <c r="DK215" t="e">
        <f>'All regions'!H5384+"n/&gt;!)z`"</f>
        <v>#VALUE!</v>
      </c>
      <c r="DL215" t="e">
        <f>'All regions'!I5384+"n/&gt;!)za"</f>
        <v>#VALUE!</v>
      </c>
      <c r="DM215" t="e">
        <f>'All regions'!J5384+"n/&gt;!)zb"</f>
        <v>#VALUE!</v>
      </c>
      <c r="DN215" t="e">
        <f>'All regions'!A5385+"n/&gt;!)zc"</f>
        <v>#VALUE!</v>
      </c>
      <c r="DO215" t="e">
        <f>'All regions'!B5385+"n/&gt;!)zd"</f>
        <v>#VALUE!</v>
      </c>
      <c r="DP215" t="e">
        <f>'All regions'!C5385+"n/&gt;!)ze"</f>
        <v>#VALUE!</v>
      </c>
      <c r="DQ215" t="e">
        <f>'All regions'!D5385+"n/&gt;!)zf"</f>
        <v>#VALUE!</v>
      </c>
      <c r="DR215" t="e">
        <f>'All regions'!E5385+"n/&gt;!)zg"</f>
        <v>#VALUE!</v>
      </c>
      <c r="DS215" t="e">
        <f>'All regions'!F5385+"n/&gt;!)zh"</f>
        <v>#VALUE!</v>
      </c>
      <c r="DT215" t="e">
        <f>'All regions'!G5385+"n/&gt;!)zi"</f>
        <v>#VALUE!</v>
      </c>
      <c r="DU215" t="e">
        <f>'All regions'!H5385+"n/&gt;!)zj"</f>
        <v>#VALUE!</v>
      </c>
      <c r="DV215" t="e">
        <f>'All regions'!I5385+"n/&gt;!)zk"</f>
        <v>#VALUE!</v>
      </c>
      <c r="DW215" t="e">
        <f>'All regions'!J5385+"n/&gt;!)zl"</f>
        <v>#VALUE!</v>
      </c>
      <c r="DX215" t="e">
        <f>'All regions'!A5386+"n/&gt;!)zm"</f>
        <v>#VALUE!</v>
      </c>
      <c r="DY215" t="e">
        <f>'All regions'!B5386+"n/&gt;!)zn"</f>
        <v>#VALUE!</v>
      </c>
      <c r="DZ215" t="e">
        <f>'All regions'!C5386+"n/&gt;!)zo"</f>
        <v>#VALUE!</v>
      </c>
      <c r="EA215" t="e">
        <f>'All regions'!D5386+"n/&gt;!)zp"</f>
        <v>#VALUE!</v>
      </c>
      <c r="EB215" t="e">
        <f>'All regions'!E5386+"n/&gt;!)zq"</f>
        <v>#VALUE!</v>
      </c>
      <c r="EC215" t="e">
        <f>'All regions'!F5386+"n/&gt;!)zr"</f>
        <v>#VALUE!</v>
      </c>
      <c r="ED215" t="e">
        <f>'All regions'!G5386+"n/&gt;!)zs"</f>
        <v>#VALUE!</v>
      </c>
      <c r="EE215" t="e">
        <f>'All regions'!H5386+"n/&gt;!)zt"</f>
        <v>#VALUE!</v>
      </c>
      <c r="EF215" t="e">
        <f>'All regions'!I5386+"n/&gt;!)zu"</f>
        <v>#VALUE!</v>
      </c>
      <c r="EG215" t="e">
        <f>'All regions'!J5386+"n/&gt;!)zv"</f>
        <v>#VALUE!</v>
      </c>
      <c r="EH215" t="e">
        <f>'All regions'!A5387+"n/&gt;!)zw"</f>
        <v>#VALUE!</v>
      </c>
      <c r="EI215" t="e">
        <f>'All regions'!B5387+"n/&gt;!)zx"</f>
        <v>#VALUE!</v>
      </c>
      <c r="EJ215" t="e">
        <f>'All regions'!C5387+"n/&gt;!)zy"</f>
        <v>#VALUE!</v>
      </c>
      <c r="EK215" t="e">
        <f>'All regions'!D5387+"n/&gt;!)zz"</f>
        <v>#VALUE!</v>
      </c>
      <c r="EL215" t="e">
        <f>'All regions'!E5387+"n/&gt;!)z{"</f>
        <v>#VALUE!</v>
      </c>
      <c r="EM215" t="e">
        <f>'All regions'!F5387+"n/&gt;!)z|"</f>
        <v>#VALUE!</v>
      </c>
      <c r="EN215" t="e">
        <f>'All regions'!G5387+"n/&gt;!)z}"</f>
        <v>#VALUE!</v>
      </c>
      <c r="EO215" t="e">
        <f>'All regions'!H5387+"n/&gt;!)z~"</f>
        <v>#VALUE!</v>
      </c>
      <c r="EP215" t="e">
        <f>'All regions'!I5387+"n/&gt;!){#"</f>
        <v>#VALUE!</v>
      </c>
      <c r="EQ215" t="e">
        <f>'All regions'!J5387+"n/&gt;!){$"</f>
        <v>#VALUE!</v>
      </c>
      <c r="ER215" t="e">
        <f>'All regions'!A5388+"n/&gt;!){%"</f>
        <v>#VALUE!</v>
      </c>
      <c r="ES215" t="e">
        <f>'All regions'!B5388+"n/&gt;!){&amp;"</f>
        <v>#VALUE!</v>
      </c>
      <c r="ET215" t="e">
        <f>'All regions'!C5388+"n/&gt;!){'"</f>
        <v>#VALUE!</v>
      </c>
      <c r="EU215" t="e">
        <f>'All regions'!D5388+"n/&gt;!){("</f>
        <v>#VALUE!</v>
      </c>
      <c r="EV215" t="e">
        <f>'All regions'!E5388+"n/&gt;!){)"</f>
        <v>#VALUE!</v>
      </c>
      <c r="EW215" t="e">
        <f>'All regions'!F5388+"n/&gt;!){."</f>
        <v>#VALUE!</v>
      </c>
      <c r="EX215" t="e">
        <f>'All regions'!G5388+"n/&gt;!){/"</f>
        <v>#VALUE!</v>
      </c>
      <c r="EY215" t="e">
        <f>'All regions'!H5388+"n/&gt;!){0"</f>
        <v>#VALUE!</v>
      </c>
      <c r="EZ215" t="e">
        <f>'All regions'!I5388+"n/&gt;!){1"</f>
        <v>#VALUE!</v>
      </c>
      <c r="FA215" t="e">
        <f>'All regions'!J5388+"n/&gt;!){2"</f>
        <v>#VALUE!</v>
      </c>
      <c r="FB215" t="e">
        <f>'All regions'!A5389+"n/&gt;!){3"</f>
        <v>#VALUE!</v>
      </c>
      <c r="FC215" t="e">
        <f>'All regions'!B5389+"n/&gt;!){4"</f>
        <v>#VALUE!</v>
      </c>
      <c r="FD215" t="e">
        <f>'All regions'!C5389+"n/&gt;!){5"</f>
        <v>#VALUE!</v>
      </c>
      <c r="FE215" t="e">
        <f>'All regions'!D5389+"n/&gt;!){6"</f>
        <v>#VALUE!</v>
      </c>
      <c r="FF215" t="e">
        <f>'All regions'!E5389+"n/&gt;!){7"</f>
        <v>#VALUE!</v>
      </c>
      <c r="FG215" t="e">
        <f>'All regions'!F5389+"n/&gt;!){8"</f>
        <v>#VALUE!</v>
      </c>
      <c r="FH215" t="e">
        <f>'All regions'!G5389+"n/&gt;!){9"</f>
        <v>#VALUE!</v>
      </c>
      <c r="FI215" t="e">
        <f>'All regions'!H5389+"n/&gt;!){:"</f>
        <v>#VALUE!</v>
      </c>
      <c r="FJ215" t="e">
        <f>'All regions'!I5389+"n/&gt;!){;"</f>
        <v>#VALUE!</v>
      </c>
      <c r="FK215" t="e">
        <f>'All regions'!J5389+"n/&gt;!){&lt;"</f>
        <v>#VALUE!</v>
      </c>
      <c r="FL215" t="e">
        <f>'All regions'!A5390+"n/&gt;!){="</f>
        <v>#VALUE!</v>
      </c>
      <c r="FM215" t="e">
        <f>'All regions'!B5390+"n/&gt;!){&gt;"</f>
        <v>#VALUE!</v>
      </c>
      <c r="FN215" t="e">
        <f>'All regions'!C5390+"n/&gt;!){?"</f>
        <v>#VALUE!</v>
      </c>
      <c r="FO215" t="e">
        <f>'All regions'!D5390+"n/&gt;!){@"</f>
        <v>#VALUE!</v>
      </c>
      <c r="FP215" t="e">
        <f>'All regions'!E5390+"n/&gt;!){A"</f>
        <v>#VALUE!</v>
      </c>
      <c r="FQ215" t="e">
        <f>'All regions'!F5390+"n/&gt;!){B"</f>
        <v>#VALUE!</v>
      </c>
      <c r="FR215" t="e">
        <f>'All regions'!G5390+"n/&gt;!){C"</f>
        <v>#VALUE!</v>
      </c>
      <c r="FS215" t="e">
        <f>'All regions'!H5390+"n/&gt;!){D"</f>
        <v>#VALUE!</v>
      </c>
      <c r="FT215" t="e">
        <f>'All regions'!I5390+"n/&gt;!){E"</f>
        <v>#VALUE!</v>
      </c>
      <c r="FU215" t="e">
        <f>'All regions'!J5390+"n/&gt;!){F"</f>
        <v>#VALUE!</v>
      </c>
      <c r="FV215" t="e">
        <f>'All regions'!A5391+"n/&gt;!){G"</f>
        <v>#VALUE!</v>
      </c>
      <c r="FW215" t="e">
        <f>'All regions'!B5391+"n/&gt;!){H"</f>
        <v>#VALUE!</v>
      </c>
      <c r="FX215" t="e">
        <f>'All regions'!C5391+"n/&gt;!){I"</f>
        <v>#VALUE!</v>
      </c>
      <c r="FY215" t="e">
        <f>'All regions'!D5391+"n/&gt;!){J"</f>
        <v>#VALUE!</v>
      </c>
      <c r="FZ215" t="e">
        <f>'All regions'!E5391+"n/&gt;!){K"</f>
        <v>#VALUE!</v>
      </c>
      <c r="GA215" t="e">
        <f>'All regions'!F5391+"n/&gt;!){L"</f>
        <v>#VALUE!</v>
      </c>
      <c r="GB215" t="e">
        <f>'All regions'!G5391+"n/&gt;!){M"</f>
        <v>#VALUE!</v>
      </c>
      <c r="GC215" t="e">
        <f>'All regions'!H5391+"n/&gt;!){N"</f>
        <v>#VALUE!</v>
      </c>
      <c r="GD215" t="e">
        <f>'All regions'!I5391+"n/&gt;!){O"</f>
        <v>#VALUE!</v>
      </c>
      <c r="GE215" t="e">
        <f>'All regions'!J5391+"n/&gt;!){P"</f>
        <v>#VALUE!</v>
      </c>
      <c r="GF215" t="e">
        <f>'All regions'!A5392+"n/&gt;!){Q"</f>
        <v>#VALUE!</v>
      </c>
      <c r="GG215" t="e">
        <f>'All regions'!B5392+"n/&gt;!){R"</f>
        <v>#VALUE!</v>
      </c>
      <c r="GH215" t="e">
        <f>'All regions'!C5392+"n/&gt;!){S"</f>
        <v>#VALUE!</v>
      </c>
      <c r="GI215" t="e">
        <f>'All regions'!D5392+"n/&gt;!){T"</f>
        <v>#VALUE!</v>
      </c>
      <c r="GJ215" t="e">
        <f>'All regions'!E5392+"n/&gt;!){U"</f>
        <v>#VALUE!</v>
      </c>
      <c r="GK215" t="e">
        <f>'All regions'!F5392+"n/&gt;!){V"</f>
        <v>#VALUE!</v>
      </c>
      <c r="GL215" t="e">
        <f>'All regions'!G5392+"n/&gt;!){W"</f>
        <v>#VALUE!</v>
      </c>
      <c r="GM215" t="e">
        <f>'All regions'!H5392+"n/&gt;!){X"</f>
        <v>#VALUE!</v>
      </c>
      <c r="GN215" t="e">
        <f>'All regions'!I5392+"n/&gt;!){Y"</f>
        <v>#VALUE!</v>
      </c>
      <c r="GO215" t="e">
        <f>'All regions'!J5392+"n/&gt;!){Z"</f>
        <v>#VALUE!</v>
      </c>
      <c r="GP215" t="e">
        <f>'All regions'!A5393+"n/&gt;!){["</f>
        <v>#VALUE!</v>
      </c>
      <c r="GQ215" t="e">
        <f>'All regions'!B5393+"n/&gt;!){\"</f>
        <v>#VALUE!</v>
      </c>
      <c r="GR215" t="e">
        <f>'All regions'!C5393+"n/&gt;!){]"</f>
        <v>#VALUE!</v>
      </c>
      <c r="GS215" t="e">
        <f>'All regions'!D5393+"n/&gt;!){^"</f>
        <v>#VALUE!</v>
      </c>
      <c r="GT215" t="e">
        <f>'All regions'!E5393+"n/&gt;!){_"</f>
        <v>#VALUE!</v>
      </c>
      <c r="GU215" t="e">
        <f>'All regions'!F5393+"n/&gt;!){`"</f>
        <v>#VALUE!</v>
      </c>
      <c r="GV215" t="e">
        <f>'All regions'!G5393+"n/&gt;!){a"</f>
        <v>#VALUE!</v>
      </c>
      <c r="GW215" t="e">
        <f>'All regions'!H5393+"n/&gt;!){b"</f>
        <v>#VALUE!</v>
      </c>
      <c r="GX215" t="e">
        <f>'All regions'!I5393+"n/&gt;!){c"</f>
        <v>#VALUE!</v>
      </c>
      <c r="GY215" t="e">
        <f>'All regions'!J5393+"n/&gt;!){d"</f>
        <v>#VALUE!</v>
      </c>
      <c r="GZ215" t="e">
        <f>'All regions'!A5394+"n/&gt;!){e"</f>
        <v>#VALUE!</v>
      </c>
      <c r="HA215" t="e">
        <f>'All regions'!B5394+"n/&gt;!){f"</f>
        <v>#VALUE!</v>
      </c>
      <c r="HB215" t="e">
        <f>'All regions'!C5394+"n/&gt;!){g"</f>
        <v>#VALUE!</v>
      </c>
      <c r="HC215" t="e">
        <f>'All regions'!D5394+"n/&gt;!){h"</f>
        <v>#VALUE!</v>
      </c>
      <c r="HD215" t="e">
        <f>'All regions'!E5394+"n/&gt;!){i"</f>
        <v>#VALUE!</v>
      </c>
      <c r="HE215" t="e">
        <f>'All regions'!F5394+"n/&gt;!){j"</f>
        <v>#VALUE!</v>
      </c>
      <c r="HF215" t="e">
        <f>'All regions'!G5394+"n/&gt;!){k"</f>
        <v>#VALUE!</v>
      </c>
      <c r="HG215" t="e">
        <f>'All regions'!H5394+"n/&gt;!){l"</f>
        <v>#VALUE!</v>
      </c>
      <c r="HH215" t="e">
        <f>'All regions'!I5394+"n/&gt;!){m"</f>
        <v>#VALUE!</v>
      </c>
      <c r="HI215" t="e">
        <f>'All regions'!J5394+"n/&gt;!){n"</f>
        <v>#VALUE!</v>
      </c>
      <c r="HJ215" t="e">
        <f>'All regions'!A5395+"n/&gt;!){o"</f>
        <v>#VALUE!</v>
      </c>
      <c r="HK215" t="e">
        <f>'All regions'!B5395+"n/&gt;!){p"</f>
        <v>#VALUE!</v>
      </c>
      <c r="HL215" t="e">
        <f>'All regions'!C5395+"n/&gt;!){q"</f>
        <v>#VALUE!</v>
      </c>
      <c r="HM215" t="e">
        <f>'All regions'!D5395+"n/&gt;!){r"</f>
        <v>#VALUE!</v>
      </c>
      <c r="HN215" t="e">
        <f>'All regions'!E5395+"n/&gt;!){s"</f>
        <v>#VALUE!</v>
      </c>
      <c r="HO215" t="e">
        <f>'All regions'!F5395+"n/&gt;!){t"</f>
        <v>#VALUE!</v>
      </c>
      <c r="HP215" t="e">
        <f>'All regions'!G5395+"n/&gt;!){u"</f>
        <v>#VALUE!</v>
      </c>
      <c r="HQ215" t="e">
        <f>'All regions'!H5395+"n/&gt;!){v"</f>
        <v>#VALUE!</v>
      </c>
      <c r="HR215" t="e">
        <f>'All regions'!I5395+"n/&gt;!){w"</f>
        <v>#VALUE!</v>
      </c>
      <c r="HS215" t="e">
        <f>'All regions'!J5395+"n/&gt;!){x"</f>
        <v>#VALUE!</v>
      </c>
      <c r="HT215" t="e">
        <f>'All regions'!A5396+"n/&gt;!){y"</f>
        <v>#VALUE!</v>
      </c>
      <c r="HU215" t="e">
        <f>'All regions'!B5396+"n/&gt;!){z"</f>
        <v>#VALUE!</v>
      </c>
      <c r="HV215" t="e">
        <f>'All regions'!C5396+"n/&gt;!){{"</f>
        <v>#VALUE!</v>
      </c>
      <c r="HW215" t="e">
        <f>'All regions'!D5396+"n/&gt;!){|"</f>
        <v>#VALUE!</v>
      </c>
      <c r="HX215" t="e">
        <f>'All regions'!E5396+"n/&gt;!){}"</f>
        <v>#VALUE!</v>
      </c>
      <c r="HY215" t="e">
        <f>'All regions'!F5396+"n/&gt;!){~"</f>
        <v>#VALUE!</v>
      </c>
      <c r="HZ215" t="e">
        <f>'All regions'!G5396+"n/&gt;!)|#"</f>
        <v>#VALUE!</v>
      </c>
      <c r="IA215" t="e">
        <f>'All regions'!H5396+"n/&gt;!)|$"</f>
        <v>#VALUE!</v>
      </c>
      <c r="IB215" t="e">
        <f>'All regions'!I5396+"n/&gt;!)|%"</f>
        <v>#VALUE!</v>
      </c>
      <c r="IC215" t="e">
        <f>'All regions'!J5396+"n/&gt;!)|&amp;"</f>
        <v>#VALUE!</v>
      </c>
      <c r="ID215" t="e">
        <f>'All regions'!A5397+"n/&gt;!)|'"</f>
        <v>#VALUE!</v>
      </c>
      <c r="IE215" t="e">
        <f>'All regions'!B5397+"n/&gt;!)|("</f>
        <v>#VALUE!</v>
      </c>
      <c r="IF215" t="e">
        <f>'All regions'!C5397+"n/&gt;!)|)"</f>
        <v>#VALUE!</v>
      </c>
      <c r="IG215" t="e">
        <f>'All regions'!D5397+"n/&gt;!)|."</f>
        <v>#VALUE!</v>
      </c>
      <c r="IH215" t="e">
        <f>'All regions'!E5397+"n/&gt;!)|/"</f>
        <v>#VALUE!</v>
      </c>
      <c r="II215" t="e">
        <f>'All regions'!F5397+"n/&gt;!)|0"</f>
        <v>#VALUE!</v>
      </c>
      <c r="IJ215" t="e">
        <f>'All regions'!G5397+"n/&gt;!)|1"</f>
        <v>#VALUE!</v>
      </c>
      <c r="IK215" t="e">
        <f>'All regions'!H5397+"n/&gt;!)|2"</f>
        <v>#VALUE!</v>
      </c>
      <c r="IL215" t="e">
        <f>'All regions'!I5397+"n/&gt;!)|3"</f>
        <v>#VALUE!</v>
      </c>
      <c r="IM215" t="e">
        <f>'All regions'!J5397+"n/&gt;!)|4"</f>
        <v>#VALUE!</v>
      </c>
      <c r="IN215" t="e">
        <f>'All regions'!A5398+"n/&gt;!)|5"</f>
        <v>#VALUE!</v>
      </c>
      <c r="IO215" t="e">
        <f>'All regions'!B5398+"n/&gt;!)|6"</f>
        <v>#VALUE!</v>
      </c>
      <c r="IP215" t="e">
        <f>'All regions'!C5398+"n/&gt;!)|7"</f>
        <v>#VALUE!</v>
      </c>
      <c r="IQ215" t="e">
        <f>'All regions'!D5398+"n/&gt;!)|8"</f>
        <v>#VALUE!</v>
      </c>
      <c r="IR215" t="e">
        <f>'All regions'!E5398+"n/&gt;!)|9"</f>
        <v>#VALUE!</v>
      </c>
      <c r="IS215" t="e">
        <f>'All regions'!F5398+"n/&gt;!)|:"</f>
        <v>#VALUE!</v>
      </c>
      <c r="IT215" t="e">
        <f>'All regions'!G5398+"n/&gt;!)|;"</f>
        <v>#VALUE!</v>
      </c>
      <c r="IU215" t="e">
        <f>'All regions'!H5398+"n/&gt;!)|&lt;"</f>
        <v>#VALUE!</v>
      </c>
      <c r="IV215" t="e">
        <f>'All regions'!I5398+"n/&gt;!)|="</f>
        <v>#VALUE!</v>
      </c>
    </row>
    <row r="216" spans="6:256" x14ac:dyDescent="0.35">
      <c r="F216" t="e">
        <f>'All regions'!J5398+"n/&gt;!)|&gt;"</f>
        <v>#VALUE!</v>
      </c>
      <c r="G216" t="e">
        <f>'All regions'!A5399+"n/&gt;!)|?"</f>
        <v>#VALUE!</v>
      </c>
      <c r="H216" t="e">
        <f>'All regions'!B5399+"n/&gt;!)|@"</f>
        <v>#VALUE!</v>
      </c>
      <c r="I216" t="e">
        <f>'All regions'!C5399+"n/&gt;!)|A"</f>
        <v>#VALUE!</v>
      </c>
      <c r="J216" t="e">
        <f>'All regions'!D5399+"n/&gt;!)|B"</f>
        <v>#VALUE!</v>
      </c>
      <c r="K216" t="e">
        <f>'All regions'!E5399+"n/&gt;!)|C"</f>
        <v>#VALUE!</v>
      </c>
      <c r="L216" t="e">
        <f>'All regions'!F5399+"n/&gt;!)|D"</f>
        <v>#VALUE!</v>
      </c>
      <c r="M216" t="e">
        <f>'All regions'!G5399+"n/&gt;!)|E"</f>
        <v>#VALUE!</v>
      </c>
      <c r="N216" t="e">
        <f>'All regions'!H5399+"n/&gt;!)|F"</f>
        <v>#VALUE!</v>
      </c>
      <c r="O216" t="e">
        <f>'All regions'!I5399+"n/&gt;!)|G"</f>
        <v>#VALUE!</v>
      </c>
      <c r="P216" t="e">
        <f>'All regions'!J5399+"n/&gt;!)|H"</f>
        <v>#VALUE!</v>
      </c>
      <c r="Q216" t="e">
        <f>'All regions'!A5400+"n/&gt;!)|I"</f>
        <v>#VALUE!</v>
      </c>
      <c r="R216" t="e">
        <f>'All regions'!B5400+"n/&gt;!)|J"</f>
        <v>#VALUE!</v>
      </c>
      <c r="S216" t="e">
        <f>'All regions'!C5400+"n/&gt;!)|K"</f>
        <v>#VALUE!</v>
      </c>
      <c r="T216" t="e">
        <f>'All regions'!D5400+"n/&gt;!)|L"</f>
        <v>#VALUE!</v>
      </c>
      <c r="U216" t="e">
        <f>'All regions'!E5400+"n/&gt;!)|M"</f>
        <v>#VALUE!</v>
      </c>
      <c r="V216" t="e">
        <f>'All regions'!F5400+"n/&gt;!)|N"</f>
        <v>#VALUE!</v>
      </c>
      <c r="W216" t="e">
        <f>'All regions'!G5400+"n/&gt;!)|O"</f>
        <v>#VALUE!</v>
      </c>
      <c r="X216" t="e">
        <f>'All regions'!H5400+"n/&gt;!)|P"</f>
        <v>#VALUE!</v>
      </c>
      <c r="Y216" t="e">
        <f>'All regions'!I5400+"n/&gt;!)|Q"</f>
        <v>#VALUE!</v>
      </c>
      <c r="Z216" t="e">
        <f>'All regions'!J5400+"n/&gt;!)|R"</f>
        <v>#VALUE!</v>
      </c>
      <c r="AA216" t="e">
        <f>'All regions'!A5401+"n/&gt;!)|S"</f>
        <v>#VALUE!</v>
      </c>
      <c r="AB216" t="e">
        <f>'All regions'!B5401+"n/&gt;!)|T"</f>
        <v>#VALUE!</v>
      </c>
      <c r="AC216" t="e">
        <f>'All regions'!C5401+"n/&gt;!)|U"</f>
        <v>#VALUE!</v>
      </c>
      <c r="AD216" t="e">
        <f>'All regions'!D5401+"n/&gt;!)|V"</f>
        <v>#VALUE!</v>
      </c>
      <c r="AE216" t="e">
        <f>'All regions'!E5401+"n/&gt;!)|W"</f>
        <v>#VALUE!</v>
      </c>
      <c r="AF216" t="e">
        <f>'All regions'!F5401+"n/&gt;!)|X"</f>
        <v>#VALUE!</v>
      </c>
      <c r="AG216" t="e">
        <f>'All regions'!G5401+"n/&gt;!)|Y"</f>
        <v>#VALUE!</v>
      </c>
      <c r="AH216" t="e">
        <f>'All regions'!H5401+"n/&gt;!)|Z"</f>
        <v>#VALUE!</v>
      </c>
      <c r="AI216" t="e">
        <f>'All regions'!I5401+"n/&gt;!)|["</f>
        <v>#VALUE!</v>
      </c>
      <c r="AJ216" t="e">
        <f>'All regions'!J5401+"n/&gt;!)|\"</f>
        <v>#VALUE!</v>
      </c>
      <c r="AK216" t="e">
        <f>'All regions'!A5402+"n/&gt;!)|]"</f>
        <v>#VALUE!</v>
      </c>
      <c r="AL216" t="e">
        <f>'All regions'!B5402+"n/&gt;!)|^"</f>
        <v>#VALUE!</v>
      </c>
      <c r="AM216" t="e">
        <f>'All regions'!C5402+"n/&gt;!)|_"</f>
        <v>#VALUE!</v>
      </c>
      <c r="AN216" t="e">
        <f>'All regions'!D5402+"n/&gt;!)|`"</f>
        <v>#VALUE!</v>
      </c>
      <c r="AO216" t="e">
        <f>'All regions'!E5402+"n/&gt;!)|a"</f>
        <v>#VALUE!</v>
      </c>
      <c r="AP216" t="e">
        <f>'All regions'!F5402+"n/&gt;!)|b"</f>
        <v>#VALUE!</v>
      </c>
      <c r="AQ216" t="e">
        <f>'All regions'!G5402+"n/&gt;!)|c"</f>
        <v>#VALUE!</v>
      </c>
      <c r="AR216" t="e">
        <f>'All regions'!H5402+"n/&gt;!)|d"</f>
        <v>#VALUE!</v>
      </c>
      <c r="AS216" t="e">
        <f>'All regions'!I5402+"n/&gt;!)|e"</f>
        <v>#VALUE!</v>
      </c>
      <c r="AT216" t="e">
        <f>'All regions'!J5402+"n/&gt;!)|f"</f>
        <v>#VALUE!</v>
      </c>
      <c r="AU216" t="e">
        <f>'All regions'!A5403+"n/&gt;!)|g"</f>
        <v>#VALUE!</v>
      </c>
      <c r="AV216" t="e">
        <f>'All regions'!B5403+"n/&gt;!)|h"</f>
        <v>#VALUE!</v>
      </c>
      <c r="AW216" t="e">
        <f>'All regions'!C5403+"n/&gt;!)|i"</f>
        <v>#VALUE!</v>
      </c>
      <c r="AX216" t="e">
        <f>'All regions'!D5403+"n/&gt;!)|j"</f>
        <v>#VALUE!</v>
      </c>
      <c r="AY216" t="e">
        <f>'All regions'!E5403+"n/&gt;!)|k"</f>
        <v>#VALUE!</v>
      </c>
      <c r="AZ216" t="e">
        <f>'All regions'!F5403+"n/&gt;!)|l"</f>
        <v>#VALUE!</v>
      </c>
      <c r="BA216" t="e">
        <f>'All regions'!G5403+"n/&gt;!)|m"</f>
        <v>#VALUE!</v>
      </c>
      <c r="BB216" t="e">
        <f>'All regions'!H5403+"n/&gt;!)|n"</f>
        <v>#VALUE!</v>
      </c>
      <c r="BC216" t="e">
        <f>'All regions'!I5403+"n/&gt;!)|o"</f>
        <v>#VALUE!</v>
      </c>
      <c r="BD216" t="e">
        <f>'All regions'!J5403+"n/&gt;!)|p"</f>
        <v>#VALUE!</v>
      </c>
      <c r="BE216" t="e">
        <f>'All regions'!A5404+"n/&gt;!)|q"</f>
        <v>#VALUE!</v>
      </c>
      <c r="BF216" t="e">
        <f>'All regions'!B5404+"n/&gt;!)|r"</f>
        <v>#VALUE!</v>
      </c>
      <c r="BG216" t="e">
        <f>'All regions'!C5404+"n/&gt;!)|s"</f>
        <v>#VALUE!</v>
      </c>
      <c r="BH216" t="e">
        <f>'All regions'!D5404+"n/&gt;!)|t"</f>
        <v>#VALUE!</v>
      </c>
      <c r="BI216" t="e">
        <f>'All regions'!E5404+"n/&gt;!)|u"</f>
        <v>#VALUE!</v>
      </c>
      <c r="BJ216" t="e">
        <f>'All regions'!F5404+"n/&gt;!)|v"</f>
        <v>#VALUE!</v>
      </c>
      <c r="BK216" t="e">
        <f>'All regions'!G5404+"n/&gt;!)|w"</f>
        <v>#VALUE!</v>
      </c>
      <c r="BL216" t="e">
        <f>'All regions'!H5404+"n/&gt;!)|x"</f>
        <v>#VALUE!</v>
      </c>
      <c r="BM216" t="e">
        <f>'All regions'!I5404+"n/&gt;!)|y"</f>
        <v>#VALUE!</v>
      </c>
      <c r="BN216" t="e">
        <f>'All regions'!J5404+"n/&gt;!)|z"</f>
        <v>#VALUE!</v>
      </c>
      <c r="BO216" t="e">
        <f>'All regions'!A5405+"n/&gt;!)|{"</f>
        <v>#VALUE!</v>
      </c>
      <c r="BP216" t="e">
        <f>'All regions'!B5405+"n/&gt;!)||"</f>
        <v>#VALUE!</v>
      </c>
      <c r="BQ216" t="e">
        <f>'All regions'!C5405+"n/&gt;!)|}"</f>
        <v>#VALUE!</v>
      </c>
      <c r="BR216" t="e">
        <f>'All regions'!D5405+"n/&gt;!)|~"</f>
        <v>#VALUE!</v>
      </c>
      <c r="BS216" t="e">
        <f>'All regions'!E5405+"n/&gt;!)}#"</f>
        <v>#VALUE!</v>
      </c>
      <c r="BT216" t="e">
        <f>'All regions'!F5405+"n/&gt;!)}$"</f>
        <v>#VALUE!</v>
      </c>
      <c r="BU216" t="e">
        <f>'All regions'!G5405+"n/&gt;!)}%"</f>
        <v>#VALUE!</v>
      </c>
      <c r="BV216" t="e">
        <f>'All regions'!H5405+"n/&gt;!)}&amp;"</f>
        <v>#VALUE!</v>
      </c>
      <c r="BW216" t="e">
        <f>'All regions'!I5405+"n/&gt;!)}'"</f>
        <v>#VALUE!</v>
      </c>
      <c r="BX216" t="e">
        <f>'All regions'!J5405+"n/&gt;!)}("</f>
        <v>#VALUE!</v>
      </c>
      <c r="BY216" t="e">
        <f>'All regions'!A5406+"n/&gt;!)})"</f>
        <v>#VALUE!</v>
      </c>
      <c r="BZ216" t="e">
        <f>'All regions'!B5406+"n/&gt;!)}."</f>
        <v>#VALUE!</v>
      </c>
      <c r="CA216" t="e">
        <f>'All regions'!C5406+"n/&gt;!)}/"</f>
        <v>#VALUE!</v>
      </c>
      <c r="CB216" t="e">
        <f>'All regions'!D5406+"n/&gt;!)}0"</f>
        <v>#VALUE!</v>
      </c>
      <c r="CC216" t="e">
        <f>'All regions'!E5406+"n/&gt;!)}1"</f>
        <v>#VALUE!</v>
      </c>
      <c r="CD216" t="e">
        <f>'All regions'!F5406+"n/&gt;!)}2"</f>
        <v>#VALUE!</v>
      </c>
      <c r="CE216" t="e">
        <f>'All regions'!G5406+"n/&gt;!)}3"</f>
        <v>#VALUE!</v>
      </c>
      <c r="CF216" t="e">
        <f>'All regions'!H5406+"n/&gt;!)}4"</f>
        <v>#VALUE!</v>
      </c>
      <c r="CG216" t="e">
        <f>'All regions'!I5406+"n/&gt;!)}5"</f>
        <v>#VALUE!</v>
      </c>
      <c r="CH216" t="e">
        <f>'All regions'!J5406+"n/&gt;!)}6"</f>
        <v>#VALUE!</v>
      </c>
      <c r="CI216" t="e">
        <f>'All regions'!A5407+"n/&gt;!)}7"</f>
        <v>#VALUE!</v>
      </c>
      <c r="CJ216" t="e">
        <f>'All regions'!B5407+"n/&gt;!)}8"</f>
        <v>#VALUE!</v>
      </c>
      <c r="CK216" t="e">
        <f>'All regions'!C5407+"n/&gt;!)}9"</f>
        <v>#VALUE!</v>
      </c>
      <c r="CL216" t="e">
        <f>'All regions'!D5407+"n/&gt;!)}:"</f>
        <v>#VALUE!</v>
      </c>
      <c r="CM216" t="e">
        <f>'All regions'!E5407+"n/&gt;!)};"</f>
        <v>#VALUE!</v>
      </c>
      <c r="CN216" t="e">
        <f>'All regions'!F5407+"n/&gt;!)}&lt;"</f>
        <v>#VALUE!</v>
      </c>
      <c r="CO216" t="e">
        <f>'All regions'!G5407+"n/&gt;!)}="</f>
        <v>#VALUE!</v>
      </c>
      <c r="CP216" t="e">
        <f>'All regions'!H5407+"n/&gt;!)}&gt;"</f>
        <v>#VALUE!</v>
      </c>
      <c r="CQ216" t="e">
        <f>'All regions'!I5407+"n/&gt;!)}?"</f>
        <v>#VALUE!</v>
      </c>
      <c r="CR216" t="e">
        <f>'All regions'!J5407+"n/&gt;!)}@"</f>
        <v>#VALUE!</v>
      </c>
      <c r="CS216" t="e">
        <f>'All regions'!A5408+"n/&gt;!)}A"</f>
        <v>#VALUE!</v>
      </c>
      <c r="CT216" t="e">
        <f>'All regions'!B5408+"n/&gt;!)}B"</f>
        <v>#VALUE!</v>
      </c>
      <c r="CU216" t="e">
        <f>'All regions'!C5408+"n/&gt;!)}C"</f>
        <v>#VALUE!</v>
      </c>
      <c r="CV216" t="e">
        <f>'All regions'!D5408+"n/&gt;!)}D"</f>
        <v>#VALUE!</v>
      </c>
      <c r="CW216" t="e">
        <f>'All regions'!E5408+"n/&gt;!)}E"</f>
        <v>#VALUE!</v>
      </c>
      <c r="CX216" t="e">
        <f>'All regions'!F5408+"n/&gt;!)}F"</f>
        <v>#VALUE!</v>
      </c>
      <c r="CY216" t="e">
        <f>'All regions'!G5408+"n/&gt;!)}G"</f>
        <v>#VALUE!</v>
      </c>
      <c r="CZ216" t="e">
        <f>'All regions'!H5408+"n/&gt;!)}H"</f>
        <v>#VALUE!</v>
      </c>
      <c r="DA216" t="e">
        <f>'All regions'!I5408+"n/&gt;!)}I"</f>
        <v>#VALUE!</v>
      </c>
      <c r="DB216" t="e">
        <f>'All regions'!J5408+"n/&gt;!)}J"</f>
        <v>#VALUE!</v>
      </c>
      <c r="DC216" t="e">
        <f>'All regions'!A5409+"n/&gt;!)}K"</f>
        <v>#VALUE!</v>
      </c>
      <c r="DD216" t="e">
        <f>'All regions'!B5409+"n/&gt;!)}L"</f>
        <v>#VALUE!</v>
      </c>
      <c r="DE216" t="e">
        <f>'All regions'!C5409+"n/&gt;!)}M"</f>
        <v>#VALUE!</v>
      </c>
      <c r="DF216" t="e">
        <f>'All regions'!D5409+"n/&gt;!)}N"</f>
        <v>#VALUE!</v>
      </c>
      <c r="DG216" t="e">
        <f>'All regions'!E5409+"n/&gt;!)}O"</f>
        <v>#VALUE!</v>
      </c>
      <c r="DH216" t="e">
        <f>'All regions'!F5409+"n/&gt;!)}P"</f>
        <v>#VALUE!</v>
      </c>
      <c r="DI216" t="e">
        <f>'All regions'!G5409+"n/&gt;!)}Q"</f>
        <v>#VALUE!</v>
      </c>
      <c r="DJ216" t="e">
        <f>'All regions'!H5409+"n/&gt;!)}R"</f>
        <v>#VALUE!</v>
      </c>
      <c r="DK216" t="e">
        <f>'All regions'!I5409+"n/&gt;!)}S"</f>
        <v>#VALUE!</v>
      </c>
      <c r="DL216" t="e">
        <f>'All regions'!J5409+"n/&gt;!)}T"</f>
        <v>#VALUE!</v>
      </c>
      <c r="DM216" t="e">
        <f>'All regions'!A5410+"n/&gt;!)}U"</f>
        <v>#VALUE!</v>
      </c>
      <c r="DN216" t="e">
        <f>'All regions'!B5410+"n/&gt;!)}V"</f>
        <v>#VALUE!</v>
      </c>
      <c r="DO216" t="e">
        <f>'All regions'!C5410+"n/&gt;!)}W"</f>
        <v>#VALUE!</v>
      </c>
      <c r="DP216" t="e">
        <f>'All regions'!D5410+"n/&gt;!)}X"</f>
        <v>#VALUE!</v>
      </c>
      <c r="DQ216" t="e">
        <f>'All regions'!E5410+"n/&gt;!)}Y"</f>
        <v>#VALUE!</v>
      </c>
      <c r="DR216" t="e">
        <f>'All regions'!F5410+"n/&gt;!)}Z"</f>
        <v>#VALUE!</v>
      </c>
      <c r="DS216" t="e">
        <f>'All regions'!G5410+"n/&gt;!)}["</f>
        <v>#VALUE!</v>
      </c>
      <c r="DT216" t="e">
        <f>'All regions'!H5410+"n/&gt;!)}\"</f>
        <v>#VALUE!</v>
      </c>
      <c r="DU216" t="e">
        <f>'All regions'!I5410+"n/&gt;!)}]"</f>
        <v>#VALUE!</v>
      </c>
      <c r="DV216" t="e">
        <f>'All regions'!J5410+"n/&gt;!)}^"</f>
        <v>#VALUE!</v>
      </c>
      <c r="DW216" t="e">
        <f>'All regions'!A5411+"n/&gt;!)}_"</f>
        <v>#VALUE!</v>
      </c>
      <c r="DX216" t="e">
        <f>'All regions'!B5411+"n/&gt;!)}`"</f>
        <v>#VALUE!</v>
      </c>
      <c r="DY216" t="e">
        <f>'All regions'!C5411+"n/&gt;!)}a"</f>
        <v>#VALUE!</v>
      </c>
      <c r="DZ216" t="e">
        <f>'All regions'!D5411+"n/&gt;!)}b"</f>
        <v>#VALUE!</v>
      </c>
      <c r="EA216" t="e">
        <f>'All regions'!E5411+"n/&gt;!)}c"</f>
        <v>#VALUE!</v>
      </c>
      <c r="EB216" t="e">
        <f>'All regions'!F5411+"n/&gt;!)}d"</f>
        <v>#VALUE!</v>
      </c>
      <c r="EC216" t="e">
        <f>'All regions'!G5411+"n/&gt;!)}e"</f>
        <v>#VALUE!</v>
      </c>
      <c r="ED216" t="e">
        <f>'All regions'!H5411+"n/&gt;!)}f"</f>
        <v>#VALUE!</v>
      </c>
      <c r="EE216" t="e">
        <f>'All regions'!I5411+"n/&gt;!)}g"</f>
        <v>#VALUE!</v>
      </c>
      <c r="EF216" t="e">
        <f>'All regions'!J5411+"n/&gt;!)}h"</f>
        <v>#VALUE!</v>
      </c>
      <c r="EG216" t="e">
        <f>'All regions'!A5412+"n/&gt;!)}i"</f>
        <v>#VALUE!</v>
      </c>
      <c r="EH216" t="e">
        <f>'All regions'!B5412+"n/&gt;!)}j"</f>
        <v>#VALUE!</v>
      </c>
      <c r="EI216" t="e">
        <f>'All regions'!C5412+"n/&gt;!)}k"</f>
        <v>#VALUE!</v>
      </c>
      <c r="EJ216" t="e">
        <f>'All regions'!D5412+"n/&gt;!)}l"</f>
        <v>#VALUE!</v>
      </c>
      <c r="EK216" t="e">
        <f>'All regions'!E5412+"n/&gt;!)}m"</f>
        <v>#VALUE!</v>
      </c>
      <c r="EL216" t="e">
        <f>'All regions'!F5412+"n/&gt;!)}n"</f>
        <v>#VALUE!</v>
      </c>
      <c r="EM216" t="e">
        <f>'All regions'!G5412+"n/&gt;!)}o"</f>
        <v>#VALUE!</v>
      </c>
      <c r="EN216" t="e">
        <f>'All regions'!H5412+"n/&gt;!)}p"</f>
        <v>#VALUE!</v>
      </c>
      <c r="EO216" t="e">
        <f>'All regions'!I5412+"n/&gt;!)}q"</f>
        <v>#VALUE!</v>
      </c>
      <c r="EP216" t="e">
        <f>'All regions'!J5412+"n/&gt;!)}r"</f>
        <v>#VALUE!</v>
      </c>
      <c r="EQ216" t="e">
        <f>'All regions'!A5413+"n/&gt;!)}s"</f>
        <v>#VALUE!</v>
      </c>
      <c r="ER216" t="e">
        <f>'All regions'!B5413+"n/&gt;!)}t"</f>
        <v>#VALUE!</v>
      </c>
      <c r="ES216" t="e">
        <f>'All regions'!C5413+"n/&gt;!)}u"</f>
        <v>#VALUE!</v>
      </c>
      <c r="ET216" t="e">
        <f>'All regions'!D5413+"n/&gt;!)}v"</f>
        <v>#VALUE!</v>
      </c>
      <c r="EU216" t="e">
        <f>'All regions'!E5413+"n/&gt;!)}w"</f>
        <v>#VALUE!</v>
      </c>
      <c r="EV216" t="e">
        <f>'All regions'!F5413+"n/&gt;!)}x"</f>
        <v>#VALUE!</v>
      </c>
      <c r="EW216" t="e">
        <f>'All regions'!G5413+"n/&gt;!)}y"</f>
        <v>#VALUE!</v>
      </c>
      <c r="EX216" t="e">
        <f>'All regions'!H5413+"n/&gt;!)}z"</f>
        <v>#VALUE!</v>
      </c>
      <c r="EY216" t="e">
        <f>'All regions'!I5413+"n/&gt;!)}{"</f>
        <v>#VALUE!</v>
      </c>
      <c r="EZ216" t="e">
        <f>'All regions'!J5413+"n/&gt;!)}|"</f>
        <v>#VALUE!</v>
      </c>
      <c r="FA216" t="e">
        <f>'All regions'!A5414+"n/&gt;!)}}"</f>
        <v>#VALUE!</v>
      </c>
      <c r="FB216" t="e">
        <f>'All regions'!B5414+"n/&gt;!)}~"</f>
        <v>#VALUE!</v>
      </c>
      <c r="FC216" t="e">
        <f>'All regions'!C5414+"n/&gt;!)~#"</f>
        <v>#VALUE!</v>
      </c>
      <c r="FD216" t="e">
        <f>'All regions'!D5414+"n/&gt;!)~$"</f>
        <v>#VALUE!</v>
      </c>
      <c r="FE216" t="e">
        <f>'All regions'!E5414+"n/&gt;!)~%"</f>
        <v>#VALUE!</v>
      </c>
      <c r="FF216" t="e">
        <f>'All regions'!F5414+"n/&gt;!)~&amp;"</f>
        <v>#VALUE!</v>
      </c>
      <c r="FG216" t="e">
        <f>'All regions'!G5414+"n/&gt;!)~'"</f>
        <v>#VALUE!</v>
      </c>
      <c r="FH216" t="e">
        <f>'All regions'!H5414+"n/&gt;!)~("</f>
        <v>#VALUE!</v>
      </c>
      <c r="FI216" t="e">
        <f>'All regions'!I5414+"n/&gt;!)~)"</f>
        <v>#VALUE!</v>
      </c>
      <c r="FJ216" t="e">
        <f>'All regions'!J5414+"n/&gt;!)~."</f>
        <v>#VALUE!</v>
      </c>
      <c r="FK216" t="e">
        <f>'All regions'!A5415+"n/&gt;!)~/"</f>
        <v>#VALUE!</v>
      </c>
      <c r="FL216" t="e">
        <f>'All regions'!B5415+"n/&gt;!)~0"</f>
        <v>#VALUE!</v>
      </c>
      <c r="FM216" t="e">
        <f>'All regions'!C5415+"n/&gt;!)~1"</f>
        <v>#VALUE!</v>
      </c>
      <c r="FN216" t="e">
        <f>'All regions'!D5415+"n/&gt;!)~2"</f>
        <v>#VALUE!</v>
      </c>
      <c r="FO216" t="e">
        <f>'All regions'!E5415+"n/&gt;!)~3"</f>
        <v>#VALUE!</v>
      </c>
      <c r="FP216" t="e">
        <f>'All regions'!F5415+"n/&gt;!)~4"</f>
        <v>#VALUE!</v>
      </c>
      <c r="FQ216" t="e">
        <f>'All regions'!G5415+"n/&gt;!)~5"</f>
        <v>#VALUE!</v>
      </c>
      <c r="FR216" t="e">
        <f>'All regions'!H5415+"n/&gt;!)~6"</f>
        <v>#VALUE!</v>
      </c>
      <c r="FS216" t="e">
        <f>'All regions'!I5415+"n/&gt;!)~7"</f>
        <v>#VALUE!</v>
      </c>
      <c r="FT216" t="e">
        <f>'All regions'!J5415+"n/&gt;!)~8"</f>
        <v>#VALUE!</v>
      </c>
      <c r="FU216" t="e">
        <f>'All regions'!A5416+"n/&gt;!)~9"</f>
        <v>#VALUE!</v>
      </c>
      <c r="FV216" t="e">
        <f>'All regions'!B5416+"n/&gt;!)~:"</f>
        <v>#VALUE!</v>
      </c>
      <c r="FW216" t="e">
        <f>'All regions'!C5416+"n/&gt;!)~;"</f>
        <v>#VALUE!</v>
      </c>
      <c r="FX216" t="e">
        <f>'All regions'!D5416+"n/&gt;!)~&lt;"</f>
        <v>#VALUE!</v>
      </c>
      <c r="FY216" t="e">
        <f>'All regions'!E5416+"n/&gt;!)~="</f>
        <v>#VALUE!</v>
      </c>
      <c r="FZ216" t="e">
        <f>'All regions'!F5416+"n/&gt;!)~&gt;"</f>
        <v>#VALUE!</v>
      </c>
      <c r="GA216" t="e">
        <f>'All regions'!G5416+"n/&gt;!)~?"</f>
        <v>#VALUE!</v>
      </c>
      <c r="GB216" t="e">
        <f>'All regions'!H5416+"n/&gt;!)~@"</f>
        <v>#VALUE!</v>
      </c>
      <c r="GC216" t="e">
        <f>'All regions'!I5416+"n/&gt;!)~A"</f>
        <v>#VALUE!</v>
      </c>
      <c r="GD216" t="e">
        <f>'All regions'!J5416+"n/&gt;!)~B"</f>
        <v>#VALUE!</v>
      </c>
      <c r="GE216" t="e">
        <f>'All regions'!A5417+"n/&gt;!)~C"</f>
        <v>#VALUE!</v>
      </c>
      <c r="GF216" t="e">
        <f>'All regions'!B5417+"n/&gt;!)~D"</f>
        <v>#VALUE!</v>
      </c>
      <c r="GG216" t="e">
        <f>'All regions'!C5417+"n/&gt;!)~E"</f>
        <v>#VALUE!</v>
      </c>
      <c r="GH216" t="e">
        <f>'All regions'!D5417+"n/&gt;!)~F"</f>
        <v>#VALUE!</v>
      </c>
      <c r="GI216" t="e">
        <f>'All regions'!E5417+"n/&gt;!)~G"</f>
        <v>#VALUE!</v>
      </c>
      <c r="GJ216" t="e">
        <f>'All regions'!F5417+"n/&gt;!)~H"</f>
        <v>#VALUE!</v>
      </c>
      <c r="GK216" t="e">
        <f>'All regions'!G5417+"n/&gt;!)~I"</f>
        <v>#VALUE!</v>
      </c>
      <c r="GL216" t="e">
        <f>'All regions'!H5417+"n/&gt;!)~J"</f>
        <v>#VALUE!</v>
      </c>
      <c r="GM216" t="e">
        <f>'All regions'!I5417+"n/&gt;!)~K"</f>
        <v>#VALUE!</v>
      </c>
      <c r="GN216" t="e">
        <f>'All regions'!J5417+"n/&gt;!)~L"</f>
        <v>#VALUE!</v>
      </c>
      <c r="GO216" t="e">
        <f>'All regions'!A5418+"n/&gt;!)~M"</f>
        <v>#VALUE!</v>
      </c>
      <c r="GP216" t="e">
        <f>'All regions'!B5418+"n/&gt;!)~N"</f>
        <v>#VALUE!</v>
      </c>
      <c r="GQ216" t="e">
        <f>'All regions'!C5418+"n/&gt;!)~O"</f>
        <v>#VALUE!</v>
      </c>
      <c r="GR216" t="e">
        <f>'All regions'!D5418+"n/&gt;!)~P"</f>
        <v>#VALUE!</v>
      </c>
      <c r="GS216" t="e">
        <f>'All regions'!E5418+"n/&gt;!)~Q"</f>
        <v>#VALUE!</v>
      </c>
      <c r="GT216" t="e">
        <f>'All regions'!F5418+"n/&gt;!)~R"</f>
        <v>#VALUE!</v>
      </c>
      <c r="GU216" t="e">
        <f>'All regions'!G5418+"n/&gt;!)~S"</f>
        <v>#VALUE!</v>
      </c>
      <c r="GV216" t="e">
        <f>'All regions'!H5418+"n/&gt;!)~T"</f>
        <v>#VALUE!</v>
      </c>
      <c r="GW216" t="e">
        <f>'All regions'!I5418+"n/&gt;!)~U"</f>
        <v>#VALUE!</v>
      </c>
      <c r="GX216" t="e">
        <f>'All regions'!J5418+"n/&gt;!)~V"</f>
        <v>#VALUE!</v>
      </c>
      <c r="GY216" t="e">
        <f>'All regions'!A5419+"n/&gt;!)~W"</f>
        <v>#VALUE!</v>
      </c>
      <c r="GZ216" t="e">
        <f>'All regions'!B5419+"n/&gt;!)~X"</f>
        <v>#VALUE!</v>
      </c>
      <c r="HA216" t="e">
        <f>'All regions'!C5419+"n/&gt;!)~Y"</f>
        <v>#VALUE!</v>
      </c>
      <c r="HB216" t="e">
        <f>'All regions'!D5419+"n/&gt;!)~Z"</f>
        <v>#VALUE!</v>
      </c>
      <c r="HC216" t="e">
        <f>'All regions'!E5419+"n/&gt;!)~["</f>
        <v>#VALUE!</v>
      </c>
      <c r="HD216" t="e">
        <f>'All regions'!F5419+"n/&gt;!)~\"</f>
        <v>#VALUE!</v>
      </c>
      <c r="HE216" t="e">
        <f>'All regions'!G5419+"n/&gt;!)~]"</f>
        <v>#VALUE!</v>
      </c>
      <c r="HF216" t="e">
        <f>'All regions'!H5419+"n/&gt;!)~^"</f>
        <v>#VALUE!</v>
      </c>
      <c r="HG216" t="e">
        <f>'All regions'!I5419+"n/&gt;!)~_"</f>
        <v>#VALUE!</v>
      </c>
      <c r="HH216" t="e">
        <f>'All regions'!J5419+"n/&gt;!)~`"</f>
        <v>#VALUE!</v>
      </c>
      <c r="HI216" t="e">
        <f>'All regions'!A5420+"n/&gt;!)~a"</f>
        <v>#VALUE!</v>
      </c>
      <c r="HJ216" t="e">
        <f>'All regions'!B5420+"n/&gt;!)~b"</f>
        <v>#VALUE!</v>
      </c>
      <c r="HK216" t="e">
        <f>'All regions'!C5420+"n/&gt;!)~c"</f>
        <v>#VALUE!</v>
      </c>
      <c r="HL216" t="e">
        <f>'All regions'!D5420+"n/&gt;!)~d"</f>
        <v>#VALUE!</v>
      </c>
      <c r="HM216" t="e">
        <f>'All regions'!E5420+"n/&gt;!)~e"</f>
        <v>#VALUE!</v>
      </c>
      <c r="HN216" t="e">
        <f>'All regions'!F5420+"n/&gt;!)~f"</f>
        <v>#VALUE!</v>
      </c>
      <c r="HO216" t="e">
        <f>'All regions'!G5420+"n/&gt;!)~g"</f>
        <v>#VALUE!</v>
      </c>
      <c r="HP216" t="e">
        <f>'All regions'!H5420+"n/&gt;!)~h"</f>
        <v>#VALUE!</v>
      </c>
      <c r="HQ216" t="e">
        <f>'All regions'!I5420+"n/&gt;!)~i"</f>
        <v>#VALUE!</v>
      </c>
      <c r="HR216" t="e">
        <f>'All regions'!J5420+"n/&gt;!)~j"</f>
        <v>#VALUE!</v>
      </c>
      <c r="HS216" t="e">
        <f>'All regions'!A5421+"n/&gt;!)~k"</f>
        <v>#VALUE!</v>
      </c>
      <c r="HT216" t="e">
        <f>'All regions'!B5421+"n/&gt;!)~l"</f>
        <v>#VALUE!</v>
      </c>
      <c r="HU216" t="e">
        <f>'All regions'!C5421+"n/&gt;!)~m"</f>
        <v>#VALUE!</v>
      </c>
      <c r="HV216" t="e">
        <f>'All regions'!D5421+"n/&gt;!)~n"</f>
        <v>#VALUE!</v>
      </c>
      <c r="HW216" t="e">
        <f>'All regions'!E5421+"n/&gt;!)~o"</f>
        <v>#VALUE!</v>
      </c>
      <c r="HX216" t="e">
        <f>'All regions'!F5421+"n/&gt;!)~p"</f>
        <v>#VALUE!</v>
      </c>
      <c r="HY216" t="e">
        <f>'All regions'!G5421+"n/&gt;!)~q"</f>
        <v>#VALUE!</v>
      </c>
      <c r="HZ216" t="e">
        <f>'All regions'!H5421+"n/&gt;!)~r"</f>
        <v>#VALUE!</v>
      </c>
      <c r="IA216" t="e">
        <f>'All regions'!I5421+"n/&gt;!)~s"</f>
        <v>#VALUE!</v>
      </c>
      <c r="IB216" t="e">
        <f>'All regions'!J5421+"n/&gt;!)~t"</f>
        <v>#VALUE!</v>
      </c>
      <c r="IC216" t="e">
        <f>'All regions'!A5422+"n/&gt;!)~u"</f>
        <v>#VALUE!</v>
      </c>
      <c r="ID216" t="e">
        <f>'All regions'!B5422+"n/&gt;!)~v"</f>
        <v>#VALUE!</v>
      </c>
      <c r="IE216" t="e">
        <f>'All regions'!C5422+"n/&gt;!)~w"</f>
        <v>#VALUE!</v>
      </c>
      <c r="IF216" t="e">
        <f>'All regions'!D5422+"n/&gt;!)~x"</f>
        <v>#VALUE!</v>
      </c>
      <c r="IG216" t="e">
        <f>'All regions'!E5422+"n/&gt;!)~y"</f>
        <v>#VALUE!</v>
      </c>
      <c r="IH216" t="e">
        <f>'All regions'!F5422+"n/&gt;!)~z"</f>
        <v>#VALUE!</v>
      </c>
      <c r="II216" t="e">
        <f>'All regions'!G5422+"n/&gt;!)~{"</f>
        <v>#VALUE!</v>
      </c>
      <c r="IJ216" t="e">
        <f>'All regions'!H5422+"n/&gt;!)~|"</f>
        <v>#VALUE!</v>
      </c>
      <c r="IK216" t="e">
        <f>'All regions'!I5422+"n/&gt;!)~}"</f>
        <v>#VALUE!</v>
      </c>
      <c r="IL216" t="e">
        <f>'All regions'!J5422+"n/&gt;!)~~"</f>
        <v>#VALUE!</v>
      </c>
      <c r="IM216" t="e">
        <f>'All regions'!A5423+"n/&gt;!.##"</f>
        <v>#VALUE!</v>
      </c>
      <c r="IN216" t="e">
        <f>'All regions'!B5423+"n/&gt;!.#$"</f>
        <v>#VALUE!</v>
      </c>
      <c r="IO216" t="e">
        <f>'All regions'!C5423+"n/&gt;!.#%"</f>
        <v>#VALUE!</v>
      </c>
      <c r="IP216" t="e">
        <f>'All regions'!D5423+"n/&gt;!.#&amp;"</f>
        <v>#VALUE!</v>
      </c>
      <c r="IQ216" t="e">
        <f>'All regions'!E5423+"n/&gt;!.#'"</f>
        <v>#VALUE!</v>
      </c>
      <c r="IR216" t="e">
        <f>'All regions'!F5423+"n/&gt;!.#("</f>
        <v>#VALUE!</v>
      </c>
      <c r="IS216" t="e">
        <f>'All regions'!G5423+"n/&gt;!.#)"</f>
        <v>#VALUE!</v>
      </c>
      <c r="IT216" t="e">
        <f>'All regions'!H5423+"n/&gt;!.#."</f>
        <v>#VALUE!</v>
      </c>
      <c r="IU216" t="e">
        <f>'All regions'!I5423+"n/&gt;!.#/"</f>
        <v>#VALUE!</v>
      </c>
      <c r="IV216" t="e">
        <f>'All regions'!J5423+"n/&gt;!.#0"</f>
        <v>#VALUE!</v>
      </c>
    </row>
    <row r="217" spans="6:256" x14ac:dyDescent="0.35">
      <c r="F217" t="e">
        <f>'All regions'!A5424+"n/&gt;!.#1"</f>
        <v>#VALUE!</v>
      </c>
      <c r="G217" t="e">
        <f>'All regions'!B5424+"n/&gt;!.#2"</f>
        <v>#VALUE!</v>
      </c>
      <c r="H217" t="e">
        <f>'All regions'!C5424+"n/&gt;!.#3"</f>
        <v>#VALUE!</v>
      </c>
      <c r="I217" t="e">
        <f>'All regions'!D5424+"n/&gt;!.#4"</f>
        <v>#VALUE!</v>
      </c>
      <c r="J217" t="e">
        <f>'All regions'!E5424+"n/&gt;!.#5"</f>
        <v>#VALUE!</v>
      </c>
      <c r="K217" t="e">
        <f>'All regions'!F5424+"n/&gt;!.#6"</f>
        <v>#VALUE!</v>
      </c>
      <c r="L217" t="e">
        <f>'All regions'!G5424+"n/&gt;!.#7"</f>
        <v>#VALUE!</v>
      </c>
      <c r="M217" t="e">
        <f>'All regions'!H5424+"n/&gt;!.#8"</f>
        <v>#VALUE!</v>
      </c>
      <c r="N217" t="e">
        <f>'All regions'!I5424+"n/&gt;!.#9"</f>
        <v>#VALUE!</v>
      </c>
      <c r="O217" t="e">
        <f>'All regions'!J5424+"n/&gt;!.#:"</f>
        <v>#VALUE!</v>
      </c>
      <c r="P217" t="e">
        <f>'All regions'!A5425+"n/&gt;!.#;"</f>
        <v>#VALUE!</v>
      </c>
      <c r="Q217" t="e">
        <f>'All regions'!B5425+"n/&gt;!.#&lt;"</f>
        <v>#VALUE!</v>
      </c>
      <c r="R217" t="e">
        <f>'All regions'!C5425+"n/&gt;!.#="</f>
        <v>#VALUE!</v>
      </c>
      <c r="S217" t="e">
        <f>'All regions'!D5425+"n/&gt;!.#&gt;"</f>
        <v>#VALUE!</v>
      </c>
      <c r="T217" t="e">
        <f>'All regions'!E5425+"n/&gt;!.#?"</f>
        <v>#VALUE!</v>
      </c>
      <c r="U217" t="e">
        <f>'All regions'!F5425+"n/&gt;!.#@"</f>
        <v>#VALUE!</v>
      </c>
      <c r="V217" t="e">
        <f>'All regions'!G5425+"n/&gt;!.#A"</f>
        <v>#VALUE!</v>
      </c>
      <c r="W217" t="e">
        <f>'All regions'!H5425+"n/&gt;!.#B"</f>
        <v>#VALUE!</v>
      </c>
      <c r="X217" t="e">
        <f>'All regions'!I5425+"n/&gt;!.#C"</f>
        <v>#VALUE!</v>
      </c>
      <c r="Y217" t="e">
        <f>'All regions'!J5425+"n/&gt;!.#D"</f>
        <v>#VALUE!</v>
      </c>
      <c r="Z217" t="e">
        <f>'All regions'!A5426+"n/&gt;!.#E"</f>
        <v>#VALUE!</v>
      </c>
      <c r="AA217" t="e">
        <f>'All regions'!B5426+"n/&gt;!.#F"</f>
        <v>#VALUE!</v>
      </c>
      <c r="AB217" t="e">
        <f>'All regions'!C5426+"n/&gt;!.#G"</f>
        <v>#VALUE!</v>
      </c>
      <c r="AC217" t="e">
        <f>'All regions'!D5426+"n/&gt;!.#H"</f>
        <v>#VALUE!</v>
      </c>
      <c r="AD217" t="e">
        <f>'All regions'!E5426+"n/&gt;!.#I"</f>
        <v>#VALUE!</v>
      </c>
      <c r="AE217" t="e">
        <f>'All regions'!F5426+"n/&gt;!.#J"</f>
        <v>#VALUE!</v>
      </c>
      <c r="AF217" t="e">
        <f>'All regions'!G5426+"n/&gt;!.#K"</f>
        <v>#VALUE!</v>
      </c>
      <c r="AG217" t="e">
        <f>'All regions'!H5426+"n/&gt;!.#L"</f>
        <v>#VALUE!</v>
      </c>
      <c r="AH217" t="e">
        <f>'All regions'!I5426+"n/&gt;!.#M"</f>
        <v>#VALUE!</v>
      </c>
      <c r="AI217" t="e">
        <f>'All regions'!J5426+"n/&gt;!.#N"</f>
        <v>#VALUE!</v>
      </c>
      <c r="AJ217" t="e">
        <f>'All regions'!A5427+"n/&gt;!.#O"</f>
        <v>#VALUE!</v>
      </c>
      <c r="AK217" t="e">
        <f>'All regions'!B5427+"n/&gt;!.#P"</f>
        <v>#VALUE!</v>
      </c>
      <c r="AL217" t="e">
        <f>'All regions'!C5427+"n/&gt;!.#Q"</f>
        <v>#VALUE!</v>
      </c>
      <c r="AM217" t="e">
        <f>'All regions'!D5427+"n/&gt;!.#R"</f>
        <v>#VALUE!</v>
      </c>
      <c r="AN217" t="e">
        <f>'All regions'!E5427+"n/&gt;!.#S"</f>
        <v>#VALUE!</v>
      </c>
      <c r="AO217" t="e">
        <f>'All regions'!F5427+"n/&gt;!.#T"</f>
        <v>#VALUE!</v>
      </c>
      <c r="AP217" t="e">
        <f>'All regions'!G5427+"n/&gt;!.#U"</f>
        <v>#VALUE!</v>
      </c>
      <c r="AQ217" t="e">
        <f>'All regions'!H5427+"n/&gt;!.#V"</f>
        <v>#VALUE!</v>
      </c>
      <c r="AR217" t="e">
        <f>'All regions'!I5427+"n/&gt;!.#W"</f>
        <v>#VALUE!</v>
      </c>
      <c r="AS217" t="e">
        <f>'All regions'!J5427+"n/&gt;!.#X"</f>
        <v>#VALUE!</v>
      </c>
      <c r="AT217" t="e">
        <f>'All regions'!A5428+"n/&gt;!.#Y"</f>
        <v>#VALUE!</v>
      </c>
      <c r="AU217" t="e">
        <f>'All regions'!B5428+"n/&gt;!.#Z"</f>
        <v>#VALUE!</v>
      </c>
      <c r="AV217" t="e">
        <f>'All regions'!C5428+"n/&gt;!.#["</f>
        <v>#VALUE!</v>
      </c>
      <c r="AW217" t="e">
        <f>'All regions'!D5428+"n/&gt;!.#\"</f>
        <v>#VALUE!</v>
      </c>
      <c r="AX217" t="e">
        <f>'All regions'!E5428+"n/&gt;!.#]"</f>
        <v>#VALUE!</v>
      </c>
      <c r="AY217" t="e">
        <f>'All regions'!F5428+"n/&gt;!.#^"</f>
        <v>#VALUE!</v>
      </c>
      <c r="AZ217" t="e">
        <f>'All regions'!G5428+"n/&gt;!.#_"</f>
        <v>#VALUE!</v>
      </c>
      <c r="BA217" t="e">
        <f>'All regions'!H5428+"n/&gt;!.#`"</f>
        <v>#VALUE!</v>
      </c>
      <c r="BB217" t="e">
        <f>'All regions'!I5428+"n/&gt;!.#a"</f>
        <v>#VALUE!</v>
      </c>
      <c r="BC217" t="e">
        <f>'All regions'!J5428+"n/&gt;!.#b"</f>
        <v>#VALUE!</v>
      </c>
      <c r="BD217" t="e">
        <f>'All regions'!A5429+"n/&gt;!.#c"</f>
        <v>#VALUE!</v>
      </c>
      <c r="BE217" t="e">
        <f>'All regions'!B5429+"n/&gt;!.#d"</f>
        <v>#VALUE!</v>
      </c>
      <c r="BF217" t="e">
        <f>'All regions'!C5429+"n/&gt;!.#e"</f>
        <v>#VALUE!</v>
      </c>
      <c r="BG217" t="e">
        <f>'All regions'!D5429+"n/&gt;!.#f"</f>
        <v>#VALUE!</v>
      </c>
      <c r="BH217" t="e">
        <f>'All regions'!E5429+"n/&gt;!.#g"</f>
        <v>#VALUE!</v>
      </c>
      <c r="BI217" t="e">
        <f>'All regions'!F5429+"n/&gt;!.#h"</f>
        <v>#VALUE!</v>
      </c>
      <c r="BJ217" t="e">
        <f>'All regions'!G5429+"n/&gt;!.#i"</f>
        <v>#VALUE!</v>
      </c>
      <c r="BK217" t="e">
        <f>'All regions'!H5429+"n/&gt;!.#j"</f>
        <v>#VALUE!</v>
      </c>
      <c r="BL217" t="e">
        <f>'All regions'!I5429+"n/&gt;!.#k"</f>
        <v>#VALUE!</v>
      </c>
      <c r="BM217" t="e">
        <f>'All regions'!J5429+"n/&gt;!.#l"</f>
        <v>#VALUE!</v>
      </c>
      <c r="BN217" t="e">
        <f>'All regions'!A5430+"n/&gt;!.#m"</f>
        <v>#VALUE!</v>
      </c>
      <c r="BO217" t="e">
        <f>'All regions'!B5430+"n/&gt;!.#n"</f>
        <v>#VALUE!</v>
      </c>
      <c r="BP217" t="e">
        <f>'All regions'!C5430+"n/&gt;!.#o"</f>
        <v>#VALUE!</v>
      </c>
      <c r="BQ217" t="e">
        <f>'All regions'!D5430+"n/&gt;!.#p"</f>
        <v>#VALUE!</v>
      </c>
      <c r="BR217" t="e">
        <f>'All regions'!E5430+"n/&gt;!.#q"</f>
        <v>#VALUE!</v>
      </c>
      <c r="BS217" t="e">
        <f>'All regions'!F5430+"n/&gt;!.#r"</f>
        <v>#VALUE!</v>
      </c>
      <c r="BT217" t="e">
        <f>'All regions'!G5430+"n/&gt;!.#s"</f>
        <v>#VALUE!</v>
      </c>
      <c r="BU217" t="e">
        <f>'All regions'!H5430+"n/&gt;!.#t"</f>
        <v>#VALUE!</v>
      </c>
      <c r="BV217" t="e">
        <f>'All regions'!I5430+"n/&gt;!.#u"</f>
        <v>#VALUE!</v>
      </c>
      <c r="BW217" t="e">
        <f>'All regions'!J5430+"n/&gt;!.#v"</f>
        <v>#VALUE!</v>
      </c>
      <c r="BX217" t="e">
        <f>'All regions'!A5431+"n/&gt;!.#w"</f>
        <v>#VALUE!</v>
      </c>
      <c r="BY217" t="e">
        <f>'All regions'!B5431+"n/&gt;!.#x"</f>
        <v>#VALUE!</v>
      </c>
      <c r="BZ217" t="e">
        <f>'All regions'!C5431+"n/&gt;!.#y"</f>
        <v>#VALUE!</v>
      </c>
      <c r="CA217" t="e">
        <f>'All regions'!D5431+"n/&gt;!.#z"</f>
        <v>#VALUE!</v>
      </c>
      <c r="CB217" t="e">
        <f>'All regions'!E5431+"n/&gt;!.#{"</f>
        <v>#VALUE!</v>
      </c>
      <c r="CC217" t="e">
        <f>'All regions'!F5431+"n/&gt;!.#|"</f>
        <v>#VALUE!</v>
      </c>
      <c r="CD217" t="e">
        <f>'All regions'!G5431+"n/&gt;!.#}"</f>
        <v>#VALUE!</v>
      </c>
      <c r="CE217" t="e">
        <f>'All regions'!H5431+"n/&gt;!.#~"</f>
        <v>#VALUE!</v>
      </c>
      <c r="CF217" t="e">
        <f>'All regions'!I5431+"n/&gt;!.$#"</f>
        <v>#VALUE!</v>
      </c>
      <c r="CG217" t="e">
        <f>'All regions'!J5431+"n/&gt;!.$$"</f>
        <v>#VALUE!</v>
      </c>
      <c r="CH217" t="e">
        <f>'All regions'!A5432+"n/&gt;!.$%"</f>
        <v>#VALUE!</v>
      </c>
      <c r="CI217" t="e">
        <f>'All regions'!B5432+"n/&gt;!.$&amp;"</f>
        <v>#VALUE!</v>
      </c>
      <c r="CJ217" t="e">
        <f>'All regions'!C5432+"n/&gt;!.$'"</f>
        <v>#VALUE!</v>
      </c>
      <c r="CK217" t="e">
        <f>'All regions'!D5432+"n/&gt;!.$("</f>
        <v>#VALUE!</v>
      </c>
      <c r="CL217" t="e">
        <f>'All regions'!E5432+"n/&gt;!.$)"</f>
        <v>#VALUE!</v>
      </c>
      <c r="CM217" t="e">
        <f>'All regions'!F5432+"n/&gt;!.$."</f>
        <v>#VALUE!</v>
      </c>
      <c r="CN217" t="e">
        <f>'All regions'!G5432+"n/&gt;!.$/"</f>
        <v>#VALUE!</v>
      </c>
      <c r="CO217" t="e">
        <f>'All regions'!H5432+"n/&gt;!.$0"</f>
        <v>#VALUE!</v>
      </c>
      <c r="CP217" t="e">
        <f>'All regions'!I5432+"n/&gt;!.$1"</f>
        <v>#VALUE!</v>
      </c>
      <c r="CQ217" t="e">
        <f>'All regions'!J5432+"n/&gt;!.$2"</f>
        <v>#VALUE!</v>
      </c>
      <c r="CR217" t="e">
        <f>'All regions'!A5433+"n/&gt;!.$3"</f>
        <v>#VALUE!</v>
      </c>
      <c r="CS217" t="e">
        <f>'All regions'!B5433+"n/&gt;!.$4"</f>
        <v>#VALUE!</v>
      </c>
      <c r="CT217" t="e">
        <f>'All regions'!C5433+"n/&gt;!.$5"</f>
        <v>#VALUE!</v>
      </c>
      <c r="CU217" t="e">
        <f>'All regions'!D5433+"n/&gt;!.$6"</f>
        <v>#VALUE!</v>
      </c>
      <c r="CV217" t="e">
        <f>'All regions'!E5433+"n/&gt;!.$7"</f>
        <v>#VALUE!</v>
      </c>
      <c r="CW217" t="e">
        <f>'All regions'!F5433+"n/&gt;!.$8"</f>
        <v>#VALUE!</v>
      </c>
      <c r="CX217" t="e">
        <f>'All regions'!G5433+"n/&gt;!.$9"</f>
        <v>#VALUE!</v>
      </c>
      <c r="CY217" t="e">
        <f>'All regions'!H5433+"n/&gt;!.$:"</f>
        <v>#VALUE!</v>
      </c>
      <c r="CZ217" t="e">
        <f>'All regions'!I5433+"n/&gt;!.$;"</f>
        <v>#VALUE!</v>
      </c>
      <c r="DA217" t="e">
        <f>'All regions'!J5433+"n/&gt;!.$&lt;"</f>
        <v>#VALUE!</v>
      </c>
      <c r="DB217" t="e">
        <f>'All regions'!A5434+"n/&gt;!.$="</f>
        <v>#VALUE!</v>
      </c>
      <c r="DC217" t="e">
        <f>'All regions'!B5434+"n/&gt;!.$&gt;"</f>
        <v>#VALUE!</v>
      </c>
      <c r="DD217" t="e">
        <f>'All regions'!C5434+"n/&gt;!.$?"</f>
        <v>#VALUE!</v>
      </c>
      <c r="DE217" t="e">
        <f>'All regions'!D5434+"n/&gt;!.$@"</f>
        <v>#VALUE!</v>
      </c>
      <c r="DF217" t="e">
        <f>'All regions'!E5434+"n/&gt;!.$A"</f>
        <v>#VALUE!</v>
      </c>
      <c r="DG217" t="e">
        <f>'All regions'!F5434+"n/&gt;!.$B"</f>
        <v>#VALUE!</v>
      </c>
      <c r="DH217" t="e">
        <f>'All regions'!G5434+"n/&gt;!.$C"</f>
        <v>#VALUE!</v>
      </c>
      <c r="DI217" t="e">
        <f>'All regions'!H5434+"n/&gt;!.$D"</f>
        <v>#VALUE!</v>
      </c>
      <c r="DJ217" t="e">
        <f>'All regions'!I5434+"n/&gt;!.$E"</f>
        <v>#VALUE!</v>
      </c>
      <c r="DK217" t="e">
        <f>'All regions'!J5434+"n/&gt;!.$F"</f>
        <v>#VALUE!</v>
      </c>
      <c r="DL217" t="e">
        <f>'All regions'!A5435+"n/&gt;!.$G"</f>
        <v>#VALUE!</v>
      </c>
      <c r="DM217" t="e">
        <f>'All regions'!B5435+"n/&gt;!.$H"</f>
        <v>#VALUE!</v>
      </c>
      <c r="DN217" t="e">
        <f>'All regions'!C5435+"n/&gt;!.$I"</f>
        <v>#VALUE!</v>
      </c>
      <c r="DO217" t="e">
        <f>'All regions'!D5435+"n/&gt;!.$J"</f>
        <v>#VALUE!</v>
      </c>
      <c r="DP217" t="e">
        <f>'All regions'!E5435+"n/&gt;!.$K"</f>
        <v>#VALUE!</v>
      </c>
      <c r="DQ217" t="e">
        <f>'All regions'!F5435+"n/&gt;!.$L"</f>
        <v>#VALUE!</v>
      </c>
      <c r="DR217" t="e">
        <f>'All regions'!G5435+"n/&gt;!.$M"</f>
        <v>#VALUE!</v>
      </c>
      <c r="DS217" t="e">
        <f>'All regions'!H5435+"n/&gt;!.$N"</f>
        <v>#VALUE!</v>
      </c>
      <c r="DT217" t="e">
        <f>'All regions'!I5435+"n/&gt;!.$O"</f>
        <v>#VALUE!</v>
      </c>
      <c r="DU217" t="e">
        <f>'All regions'!J5435+"n/&gt;!.$P"</f>
        <v>#VALUE!</v>
      </c>
      <c r="DV217" t="e">
        <f>'All regions'!A5436+"n/&gt;!.$Q"</f>
        <v>#VALUE!</v>
      </c>
      <c r="DW217" t="e">
        <f>'All regions'!B5436+"n/&gt;!.$R"</f>
        <v>#VALUE!</v>
      </c>
      <c r="DX217" t="e">
        <f>'All regions'!C5436+"n/&gt;!.$S"</f>
        <v>#VALUE!</v>
      </c>
      <c r="DY217" t="e">
        <f>'All regions'!D5436+"n/&gt;!.$T"</f>
        <v>#VALUE!</v>
      </c>
      <c r="DZ217" t="e">
        <f>'All regions'!E5436+"n/&gt;!.$U"</f>
        <v>#VALUE!</v>
      </c>
      <c r="EA217" t="e">
        <f>'All regions'!F5436+"n/&gt;!.$V"</f>
        <v>#VALUE!</v>
      </c>
      <c r="EB217" t="e">
        <f>'All regions'!G5436+"n/&gt;!.$W"</f>
        <v>#VALUE!</v>
      </c>
      <c r="EC217" t="e">
        <f>'All regions'!H5436+"n/&gt;!.$X"</f>
        <v>#VALUE!</v>
      </c>
      <c r="ED217" t="e">
        <f>'All regions'!I5436+"n/&gt;!.$Y"</f>
        <v>#VALUE!</v>
      </c>
      <c r="EE217" t="e">
        <f>'All regions'!J5436+"n/&gt;!.$Z"</f>
        <v>#VALUE!</v>
      </c>
      <c r="EF217" t="e">
        <f>'All regions'!A5437+"n/&gt;!.$["</f>
        <v>#VALUE!</v>
      </c>
      <c r="EG217" t="e">
        <f>'All regions'!B5437+"n/&gt;!.$\"</f>
        <v>#VALUE!</v>
      </c>
      <c r="EH217" t="e">
        <f>'All regions'!C5437+"n/&gt;!.$]"</f>
        <v>#VALUE!</v>
      </c>
      <c r="EI217" t="e">
        <f>'All regions'!D5437+"n/&gt;!.$^"</f>
        <v>#VALUE!</v>
      </c>
      <c r="EJ217" t="e">
        <f>'All regions'!E5437+"n/&gt;!.$_"</f>
        <v>#VALUE!</v>
      </c>
      <c r="EK217" t="e">
        <f>'All regions'!F5437+"n/&gt;!.$`"</f>
        <v>#VALUE!</v>
      </c>
      <c r="EL217" t="e">
        <f>'All regions'!G5437+"n/&gt;!.$a"</f>
        <v>#VALUE!</v>
      </c>
      <c r="EM217" t="e">
        <f>'All regions'!H5437+"n/&gt;!.$b"</f>
        <v>#VALUE!</v>
      </c>
      <c r="EN217" t="e">
        <f>'All regions'!I5437+"n/&gt;!.$c"</f>
        <v>#VALUE!</v>
      </c>
      <c r="EO217" t="e">
        <f>'All regions'!J5437+"n/&gt;!.$d"</f>
        <v>#VALUE!</v>
      </c>
      <c r="EP217" t="e">
        <f>'All regions'!A5438+"n/&gt;!.$e"</f>
        <v>#VALUE!</v>
      </c>
      <c r="EQ217" t="e">
        <f>'All regions'!B5438+"n/&gt;!.$f"</f>
        <v>#VALUE!</v>
      </c>
      <c r="ER217" t="e">
        <f>'All regions'!C5438+"n/&gt;!.$g"</f>
        <v>#VALUE!</v>
      </c>
      <c r="ES217" t="e">
        <f>'All regions'!D5438+"n/&gt;!.$h"</f>
        <v>#VALUE!</v>
      </c>
      <c r="ET217" t="e">
        <f>'All regions'!E5438+"n/&gt;!.$i"</f>
        <v>#VALUE!</v>
      </c>
      <c r="EU217" t="e">
        <f>'All regions'!F5438+"n/&gt;!.$j"</f>
        <v>#VALUE!</v>
      </c>
      <c r="EV217" t="e">
        <f>'All regions'!G5438+"n/&gt;!.$k"</f>
        <v>#VALUE!</v>
      </c>
      <c r="EW217" t="e">
        <f>'All regions'!H5438+"n/&gt;!.$l"</f>
        <v>#VALUE!</v>
      </c>
      <c r="EX217" t="e">
        <f>'All regions'!I5438+"n/&gt;!.$m"</f>
        <v>#VALUE!</v>
      </c>
      <c r="EY217" t="e">
        <f>'All regions'!J5438+"n/&gt;!.$n"</f>
        <v>#VALUE!</v>
      </c>
      <c r="EZ217" t="e">
        <f>'All regions'!A5439+"n/&gt;!.$o"</f>
        <v>#VALUE!</v>
      </c>
      <c r="FA217" t="e">
        <f>'All regions'!B5439+"n/&gt;!.$p"</f>
        <v>#VALUE!</v>
      </c>
      <c r="FB217" t="e">
        <f>'All regions'!C5439+"n/&gt;!.$q"</f>
        <v>#VALUE!</v>
      </c>
      <c r="FC217" t="e">
        <f>'All regions'!D5439+"n/&gt;!.$r"</f>
        <v>#VALUE!</v>
      </c>
      <c r="FD217" t="e">
        <f>'All regions'!E5439+"n/&gt;!.$s"</f>
        <v>#VALUE!</v>
      </c>
      <c r="FE217" t="e">
        <f>'All regions'!F5439+"n/&gt;!.$t"</f>
        <v>#VALUE!</v>
      </c>
      <c r="FF217" t="e">
        <f>'All regions'!G5439+"n/&gt;!.$u"</f>
        <v>#VALUE!</v>
      </c>
      <c r="FG217" t="e">
        <f>'All regions'!H5439+"n/&gt;!.$v"</f>
        <v>#VALUE!</v>
      </c>
      <c r="FH217" t="e">
        <f>'All regions'!I5439+"n/&gt;!.$w"</f>
        <v>#VALUE!</v>
      </c>
      <c r="FI217" t="e">
        <f>'All regions'!J5439+"n/&gt;!.$x"</f>
        <v>#VALUE!</v>
      </c>
      <c r="FJ217" t="e">
        <f>'All regions'!A5440+"n/&gt;!.$y"</f>
        <v>#VALUE!</v>
      </c>
      <c r="FK217" t="e">
        <f>'All regions'!B5440+"n/&gt;!.$z"</f>
        <v>#VALUE!</v>
      </c>
      <c r="FL217" t="e">
        <f>'All regions'!C5440+"n/&gt;!.${"</f>
        <v>#VALUE!</v>
      </c>
      <c r="FM217" t="e">
        <f>'All regions'!D5440+"n/&gt;!.$|"</f>
        <v>#VALUE!</v>
      </c>
      <c r="FN217" t="e">
        <f>'All regions'!E5440+"n/&gt;!.$}"</f>
        <v>#VALUE!</v>
      </c>
      <c r="FO217" t="e">
        <f>'All regions'!F5440+"n/&gt;!.$~"</f>
        <v>#VALUE!</v>
      </c>
      <c r="FP217" t="e">
        <f>'All regions'!G5440+"n/&gt;!.%#"</f>
        <v>#VALUE!</v>
      </c>
      <c r="FQ217" t="e">
        <f>'All regions'!H5440+"n/&gt;!.%$"</f>
        <v>#VALUE!</v>
      </c>
      <c r="FR217" t="e">
        <f>'All regions'!I5440+"n/&gt;!.%%"</f>
        <v>#VALUE!</v>
      </c>
      <c r="FS217" t="e">
        <f>'All regions'!J5440+"n/&gt;!.%&amp;"</f>
        <v>#VALUE!</v>
      </c>
      <c r="FT217" t="e">
        <f>'All regions'!A5441+"n/&gt;!.%'"</f>
        <v>#VALUE!</v>
      </c>
      <c r="FU217" t="e">
        <f>'All regions'!B5441+"n/&gt;!.%("</f>
        <v>#VALUE!</v>
      </c>
      <c r="FV217" t="e">
        <f>'All regions'!C5441+"n/&gt;!.%)"</f>
        <v>#VALUE!</v>
      </c>
      <c r="FW217" t="e">
        <f>'All regions'!D5441+"n/&gt;!.%."</f>
        <v>#VALUE!</v>
      </c>
      <c r="FX217" t="e">
        <f>'All regions'!E5441+"n/&gt;!.%/"</f>
        <v>#VALUE!</v>
      </c>
      <c r="FY217" t="e">
        <f>'All regions'!F5441+"n/&gt;!.%0"</f>
        <v>#VALUE!</v>
      </c>
      <c r="FZ217" t="e">
        <f>'All regions'!G5441+"n/&gt;!.%1"</f>
        <v>#VALUE!</v>
      </c>
      <c r="GA217" t="e">
        <f>'All regions'!H5441+"n/&gt;!.%2"</f>
        <v>#VALUE!</v>
      </c>
      <c r="GB217" t="e">
        <f>'All regions'!I5441+"n/&gt;!.%3"</f>
        <v>#VALUE!</v>
      </c>
      <c r="GC217" t="e">
        <f>'All regions'!J5441+"n/&gt;!.%4"</f>
        <v>#VALUE!</v>
      </c>
      <c r="GD217" t="e">
        <f>'All regions'!A5442+"n/&gt;!.%5"</f>
        <v>#VALUE!</v>
      </c>
      <c r="GE217" t="e">
        <f>'All regions'!B5442+"n/&gt;!.%6"</f>
        <v>#VALUE!</v>
      </c>
      <c r="GF217" t="e">
        <f>'All regions'!C5442+"n/&gt;!.%7"</f>
        <v>#VALUE!</v>
      </c>
      <c r="GG217" t="e">
        <f>'All regions'!D5442+"n/&gt;!.%8"</f>
        <v>#VALUE!</v>
      </c>
      <c r="GH217" t="e">
        <f>'All regions'!E5442+"n/&gt;!.%9"</f>
        <v>#VALUE!</v>
      </c>
      <c r="GI217" t="e">
        <f>'All regions'!F5442+"n/&gt;!.%:"</f>
        <v>#VALUE!</v>
      </c>
      <c r="GJ217" t="e">
        <f>'All regions'!G5442+"n/&gt;!.%;"</f>
        <v>#VALUE!</v>
      </c>
      <c r="GK217" t="e">
        <f>'All regions'!H5442+"n/&gt;!.%&lt;"</f>
        <v>#VALUE!</v>
      </c>
      <c r="GL217" t="e">
        <f>'All regions'!I5442+"n/&gt;!.%="</f>
        <v>#VALUE!</v>
      </c>
      <c r="GM217" t="e">
        <f>'All regions'!J5442+"n/&gt;!.%&gt;"</f>
        <v>#VALUE!</v>
      </c>
      <c r="GN217" t="e">
        <f>'All regions'!A5443+"n/&gt;!.%?"</f>
        <v>#VALUE!</v>
      </c>
      <c r="GO217" t="e">
        <f>'All regions'!B5443+"n/&gt;!.%@"</f>
        <v>#VALUE!</v>
      </c>
      <c r="GP217" t="e">
        <f>'All regions'!C5443+"n/&gt;!.%A"</f>
        <v>#VALUE!</v>
      </c>
      <c r="GQ217" t="e">
        <f>'All regions'!D5443+"n/&gt;!.%B"</f>
        <v>#VALUE!</v>
      </c>
      <c r="GR217" t="e">
        <f>'All regions'!E5443+"n/&gt;!.%C"</f>
        <v>#VALUE!</v>
      </c>
      <c r="GS217" t="e">
        <f>'All regions'!F5443+"n/&gt;!.%D"</f>
        <v>#VALUE!</v>
      </c>
      <c r="GT217" t="e">
        <f>'All regions'!G5443+"n/&gt;!.%E"</f>
        <v>#VALUE!</v>
      </c>
      <c r="GU217" t="e">
        <f>'All regions'!H5443+"n/&gt;!.%F"</f>
        <v>#VALUE!</v>
      </c>
      <c r="GV217" t="e">
        <f>'All regions'!I5443+"n/&gt;!.%G"</f>
        <v>#VALUE!</v>
      </c>
      <c r="GW217" t="e">
        <f>'All regions'!J5443+"n/&gt;!.%H"</f>
        <v>#VALUE!</v>
      </c>
      <c r="GX217" t="e">
        <f>'All regions'!A5444+"n/&gt;!.%I"</f>
        <v>#VALUE!</v>
      </c>
      <c r="GY217" t="e">
        <f>'All regions'!B5444+"n/&gt;!.%J"</f>
        <v>#VALUE!</v>
      </c>
      <c r="GZ217" t="e">
        <f>'All regions'!C5444+"n/&gt;!.%K"</f>
        <v>#VALUE!</v>
      </c>
      <c r="HA217" t="e">
        <f>'All regions'!D5444+"n/&gt;!.%L"</f>
        <v>#VALUE!</v>
      </c>
      <c r="HB217" t="e">
        <f>'All regions'!E5444+"n/&gt;!.%M"</f>
        <v>#VALUE!</v>
      </c>
      <c r="HC217" t="e">
        <f>'All regions'!F5444+"n/&gt;!.%N"</f>
        <v>#VALUE!</v>
      </c>
      <c r="HD217" t="e">
        <f>'All regions'!G5444+"n/&gt;!.%O"</f>
        <v>#VALUE!</v>
      </c>
      <c r="HE217" t="e">
        <f>'All regions'!H5444+"n/&gt;!.%P"</f>
        <v>#VALUE!</v>
      </c>
      <c r="HF217" t="e">
        <f>'All regions'!I5444+"n/&gt;!.%Q"</f>
        <v>#VALUE!</v>
      </c>
      <c r="HG217" t="e">
        <f>'All regions'!J5444+"n/&gt;!.%R"</f>
        <v>#VALUE!</v>
      </c>
      <c r="HH217" t="e">
        <f>'All regions'!A5445+"n/&gt;!.%S"</f>
        <v>#VALUE!</v>
      </c>
      <c r="HI217" t="e">
        <f>'All regions'!B5445+"n/&gt;!.%T"</f>
        <v>#VALUE!</v>
      </c>
      <c r="HJ217" t="e">
        <f>'All regions'!C5445+"n/&gt;!.%U"</f>
        <v>#VALUE!</v>
      </c>
      <c r="HK217" t="e">
        <f>'All regions'!D5445+"n/&gt;!.%V"</f>
        <v>#VALUE!</v>
      </c>
      <c r="HL217" t="e">
        <f>'All regions'!E5445+"n/&gt;!.%W"</f>
        <v>#VALUE!</v>
      </c>
      <c r="HM217" t="e">
        <f>'All regions'!F5445+"n/&gt;!.%X"</f>
        <v>#VALUE!</v>
      </c>
      <c r="HN217" t="e">
        <f>'All regions'!G5445+"n/&gt;!.%Y"</f>
        <v>#VALUE!</v>
      </c>
      <c r="HO217" t="e">
        <f>'All regions'!H5445+"n/&gt;!.%Z"</f>
        <v>#VALUE!</v>
      </c>
      <c r="HP217" t="e">
        <f>'All regions'!I5445+"n/&gt;!.%["</f>
        <v>#VALUE!</v>
      </c>
      <c r="HQ217" t="e">
        <f>'All regions'!J5445+"n/&gt;!.%\"</f>
        <v>#VALUE!</v>
      </c>
      <c r="HR217" t="e">
        <f>'All regions'!A5446+"n/&gt;!.%]"</f>
        <v>#VALUE!</v>
      </c>
      <c r="HS217" t="e">
        <f>'All regions'!B5446+"n/&gt;!.%^"</f>
        <v>#VALUE!</v>
      </c>
      <c r="HT217" t="e">
        <f>'All regions'!C5446+"n/&gt;!.%_"</f>
        <v>#VALUE!</v>
      </c>
      <c r="HU217" t="e">
        <f>'All regions'!D5446+"n/&gt;!.%`"</f>
        <v>#VALUE!</v>
      </c>
      <c r="HV217" t="e">
        <f>'All regions'!E5446+"n/&gt;!.%a"</f>
        <v>#VALUE!</v>
      </c>
      <c r="HW217" t="e">
        <f>'All regions'!F5446+"n/&gt;!.%b"</f>
        <v>#VALUE!</v>
      </c>
      <c r="HX217" t="e">
        <f>'All regions'!G5446+"n/&gt;!.%c"</f>
        <v>#VALUE!</v>
      </c>
      <c r="HY217" t="e">
        <f>'All regions'!H5446+"n/&gt;!.%d"</f>
        <v>#VALUE!</v>
      </c>
      <c r="HZ217" t="e">
        <f>'All regions'!I5446+"n/&gt;!.%e"</f>
        <v>#VALUE!</v>
      </c>
      <c r="IA217" t="e">
        <f>'All regions'!J5446+"n/&gt;!.%f"</f>
        <v>#VALUE!</v>
      </c>
      <c r="IB217" t="e">
        <f>'All regions'!A5447+"n/&gt;!.%g"</f>
        <v>#VALUE!</v>
      </c>
      <c r="IC217" t="e">
        <f>'All regions'!B5447+"n/&gt;!.%h"</f>
        <v>#VALUE!</v>
      </c>
      <c r="ID217" t="e">
        <f>'All regions'!C5447+"n/&gt;!.%i"</f>
        <v>#VALUE!</v>
      </c>
      <c r="IE217" t="e">
        <f>'All regions'!D5447+"n/&gt;!.%j"</f>
        <v>#VALUE!</v>
      </c>
      <c r="IF217" t="e">
        <f>'All regions'!E5447+"n/&gt;!.%k"</f>
        <v>#VALUE!</v>
      </c>
      <c r="IG217" t="e">
        <f>'All regions'!F5447+"n/&gt;!.%l"</f>
        <v>#VALUE!</v>
      </c>
      <c r="IH217" t="e">
        <f>'All regions'!G5447+"n/&gt;!.%m"</f>
        <v>#VALUE!</v>
      </c>
      <c r="II217" t="e">
        <f>'All regions'!H5447+"n/&gt;!.%n"</f>
        <v>#VALUE!</v>
      </c>
      <c r="IJ217" t="e">
        <f>'All regions'!I5447+"n/&gt;!.%o"</f>
        <v>#VALUE!</v>
      </c>
      <c r="IK217" t="e">
        <f>'All regions'!J5447+"n/&gt;!.%p"</f>
        <v>#VALUE!</v>
      </c>
      <c r="IL217" t="e">
        <f>'All regions'!A5448+"n/&gt;!.%q"</f>
        <v>#VALUE!</v>
      </c>
      <c r="IM217" t="e">
        <f>'All regions'!B5448+"n/&gt;!.%r"</f>
        <v>#VALUE!</v>
      </c>
      <c r="IN217" t="e">
        <f>'All regions'!C5448+"n/&gt;!.%s"</f>
        <v>#VALUE!</v>
      </c>
      <c r="IO217" t="e">
        <f>'All regions'!D5448+"n/&gt;!.%t"</f>
        <v>#VALUE!</v>
      </c>
      <c r="IP217" t="e">
        <f>'All regions'!E5448+"n/&gt;!.%u"</f>
        <v>#VALUE!</v>
      </c>
      <c r="IQ217" t="e">
        <f>'All regions'!F5448+"n/&gt;!.%v"</f>
        <v>#VALUE!</v>
      </c>
      <c r="IR217" t="e">
        <f>'All regions'!G5448+"n/&gt;!.%w"</f>
        <v>#VALUE!</v>
      </c>
      <c r="IS217" t="e">
        <f>'All regions'!H5448+"n/&gt;!.%x"</f>
        <v>#VALUE!</v>
      </c>
      <c r="IT217" t="e">
        <f>'All regions'!I5448+"n/&gt;!.%y"</f>
        <v>#VALUE!</v>
      </c>
      <c r="IU217" t="e">
        <f>'All regions'!J5448+"n/&gt;!.%z"</f>
        <v>#VALUE!</v>
      </c>
      <c r="IV217" t="e">
        <f>'All regions'!A5449+"n/&gt;!.%{"</f>
        <v>#VALUE!</v>
      </c>
    </row>
    <row r="218" spans="6:256" x14ac:dyDescent="0.35">
      <c r="F218" t="e">
        <f>'All regions'!B5449+"n/&gt;!.%|"</f>
        <v>#VALUE!</v>
      </c>
      <c r="G218" t="e">
        <f>'All regions'!C5449+"n/&gt;!.%}"</f>
        <v>#VALUE!</v>
      </c>
      <c r="H218" t="e">
        <f>'All regions'!D5449+"n/&gt;!.%~"</f>
        <v>#VALUE!</v>
      </c>
      <c r="I218" t="e">
        <f>'All regions'!E5449+"n/&gt;!.&amp;#"</f>
        <v>#VALUE!</v>
      </c>
      <c r="J218" t="e">
        <f>'All regions'!F5449+"n/&gt;!.&amp;$"</f>
        <v>#VALUE!</v>
      </c>
      <c r="K218" t="e">
        <f>'All regions'!G5449+"n/&gt;!.&amp;%"</f>
        <v>#VALUE!</v>
      </c>
      <c r="L218" t="e">
        <f>'All regions'!H5449+"n/&gt;!.&amp;&amp;"</f>
        <v>#VALUE!</v>
      </c>
      <c r="M218" t="e">
        <f>'All regions'!I5449+"n/&gt;!.&amp;'"</f>
        <v>#VALUE!</v>
      </c>
      <c r="N218" t="e">
        <f>'All regions'!J5449+"n/&gt;!.&amp;("</f>
        <v>#VALUE!</v>
      </c>
      <c r="O218" t="e">
        <f>'All regions'!A5450+"n/&gt;!.&amp;)"</f>
        <v>#VALUE!</v>
      </c>
      <c r="P218" t="e">
        <f>'All regions'!B5450+"n/&gt;!.&amp;."</f>
        <v>#VALUE!</v>
      </c>
      <c r="Q218" t="e">
        <f>'All regions'!C5450+"n/&gt;!.&amp;/"</f>
        <v>#VALUE!</v>
      </c>
      <c r="R218" t="e">
        <f>'All regions'!D5450+"n/&gt;!.&amp;0"</f>
        <v>#VALUE!</v>
      </c>
      <c r="S218" t="e">
        <f>'All regions'!E5450+"n/&gt;!.&amp;1"</f>
        <v>#VALUE!</v>
      </c>
      <c r="T218" t="e">
        <f>'All regions'!F5450+"n/&gt;!.&amp;2"</f>
        <v>#VALUE!</v>
      </c>
      <c r="U218" t="e">
        <f>'All regions'!G5450+"n/&gt;!.&amp;3"</f>
        <v>#VALUE!</v>
      </c>
      <c r="V218" t="e">
        <f>'All regions'!H5450+"n/&gt;!.&amp;4"</f>
        <v>#VALUE!</v>
      </c>
      <c r="W218" t="e">
        <f>'All regions'!I5450+"n/&gt;!.&amp;5"</f>
        <v>#VALUE!</v>
      </c>
      <c r="X218" t="e">
        <f>'All regions'!J5450+"n/&gt;!.&amp;6"</f>
        <v>#VALUE!</v>
      </c>
      <c r="Y218" t="e">
        <f>'All regions'!A5451+"n/&gt;!.&amp;7"</f>
        <v>#VALUE!</v>
      </c>
      <c r="Z218" t="e">
        <f>'All regions'!B5451+"n/&gt;!.&amp;8"</f>
        <v>#VALUE!</v>
      </c>
      <c r="AA218" t="e">
        <f>'All regions'!C5451+"n/&gt;!.&amp;9"</f>
        <v>#VALUE!</v>
      </c>
      <c r="AB218" t="e">
        <f>'All regions'!D5451+"n/&gt;!.&amp;:"</f>
        <v>#VALUE!</v>
      </c>
      <c r="AC218" t="e">
        <f>'All regions'!E5451+"n/&gt;!.&amp;;"</f>
        <v>#VALUE!</v>
      </c>
      <c r="AD218" t="e">
        <f>'All regions'!F5451+"n/&gt;!.&amp;&lt;"</f>
        <v>#VALUE!</v>
      </c>
      <c r="AE218" t="e">
        <f>'All regions'!G5451+"n/&gt;!.&amp;="</f>
        <v>#VALUE!</v>
      </c>
      <c r="AF218" t="e">
        <f>'All regions'!H5451+"n/&gt;!.&amp;&gt;"</f>
        <v>#VALUE!</v>
      </c>
      <c r="AG218" t="e">
        <f>'All regions'!I5451+"n/&gt;!.&amp;?"</f>
        <v>#VALUE!</v>
      </c>
      <c r="AH218" t="e">
        <f>'All regions'!J5451+"n/&gt;!.&amp;@"</f>
        <v>#VALUE!</v>
      </c>
      <c r="AI218" t="e">
        <f>'All regions'!A5452+"n/&gt;!.&amp;A"</f>
        <v>#VALUE!</v>
      </c>
      <c r="AJ218" t="e">
        <f>'All regions'!B5452+"n/&gt;!.&amp;B"</f>
        <v>#VALUE!</v>
      </c>
      <c r="AK218" t="e">
        <f>'All regions'!C5452+"n/&gt;!.&amp;C"</f>
        <v>#VALUE!</v>
      </c>
      <c r="AL218" t="e">
        <f>'All regions'!D5452+"n/&gt;!.&amp;D"</f>
        <v>#VALUE!</v>
      </c>
      <c r="AM218" t="e">
        <f>'All regions'!E5452+"n/&gt;!.&amp;E"</f>
        <v>#VALUE!</v>
      </c>
      <c r="AN218" t="e">
        <f>'All regions'!F5452+"n/&gt;!.&amp;F"</f>
        <v>#VALUE!</v>
      </c>
      <c r="AO218" t="e">
        <f>'All regions'!G5452+"n/&gt;!.&amp;G"</f>
        <v>#VALUE!</v>
      </c>
      <c r="AP218" t="e">
        <f>'All regions'!H5452+"n/&gt;!.&amp;H"</f>
        <v>#VALUE!</v>
      </c>
      <c r="AQ218" t="e">
        <f>'All regions'!I5452+"n/&gt;!.&amp;I"</f>
        <v>#VALUE!</v>
      </c>
      <c r="AR218" t="e">
        <f>'All regions'!J5452+"n/&gt;!.&amp;J"</f>
        <v>#VALUE!</v>
      </c>
      <c r="AS218" t="e">
        <f>'All regions'!A5453+"n/&gt;!.&amp;K"</f>
        <v>#VALUE!</v>
      </c>
      <c r="AT218" t="e">
        <f>'All regions'!B5453+"n/&gt;!.&amp;L"</f>
        <v>#VALUE!</v>
      </c>
      <c r="AU218" t="e">
        <f>'All regions'!C5453+"n/&gt;!.&amp;M"</f>
        <v>#VALUE!</v>
      </c>
      <c r="AV218" t="e">
        <f>'All regions'!D5453+"n/&gt;!.&amp;N"</f>
        <v>#VALUE!</v>
      </c>
      <c r="AW218" t="e">
        <f>'All regions'!E5453+"n/&gt;!.&amp;O"</f>
        <v>#VALUE!</v>
      </c>
      <c r="AX218" t="e">
        <f>'All regions'!F5453+"n/&gt;!.&amp;P"</f>
        <v>#VALUE!</v>
      </c>
      <c r="AY218" t="e">
        <f>'All regions'!G5453+"n/&gt;!.&amp;Q"</f>
        <v>#VALUE!</v>
      </c>
      <c r="AZ218" t="e">
        <f>'All regions'!H5453+"n/&gt;!.&amp;R"</f>
        <v>#VALUE!</v>
      </c>
      <c r="BA218" t="e">
        <f>'All regions'!I5453+"n/&gt;!.&amp;S"</f>
        <v>#VALUE!</v>
      </c>
      <c r="BB218" t="e">
        <f>'All regions'!J5453+"n/&gt;!.&amp;T"</f>
        <v>#VALUE!</v>
      </c>
      <c r="BC218" t="e">
        <f>'All regions'!A5454+"n/&gt;!.&amp;U"</f>
        <v>#VALUE!</v>
      </c>
      <c r="BD218" t="e">
        <f>'All regions'!B5454+"n/&gt;!.&amp;V"</f>
        <v>#VALUE!</v>
      </c>
      <c r="BE218" t="e">
        <f>'All regions'!C5454+"n/&gt;!.&amp;W"</f>
        <v>#VALUE!</v>
      </c>
      <c r="BF218" t="e">
        <f>'All regions'!D5454+"n/&gt;!.&amp;X"</f>
        <v>#VALUE!</v>
      </c>
      <c r="BG218" t="e">
        <f>'All regions'!E5454+"n/&gt;!.&amp;Y"</f>
        <v>#VALUE!</v>
      </c>
      <c r="BH218" t="e">
        <f>'All regions'!F5454+"n/&gt;!.&amp;Z"</f>
        <v>#VALUE!</v>
      </c>
      <c r="BI218" t="e">
        <f>'All regions'!G5454+"n/&gt;!.&amp;["</f>
        <v>#VALUE!</v>
      </c>
      <c r="BJ218" t="e">
        <f>'All regions'!H5454+"n/&gt;!.&amp;\"</f>
        <v>#VALUE!</v>
      </c>
      <c r="BK218" t="e">
        <f>'All regions'!I5454+"n/&gt;!.&amp;]"</f>
        <v>#VALUE!</v>
      </c>
      <c r="BL218" t="e">
        <f>'All regions'!J5454+"n/&gt;!.&amp;^"</f>
        <v>#VALUE!</v>
      </c>
      <c r="BM218" t="e">
        <f>'All regions'!A5455+"n/&gt;!.&amp;_"</f>
        <v>#VALUE!</v>
      </c>
      <c r="BN218" t="e">
        <f>'All regions'!B5455+"n/&gt;!.&amp;`"</f>
        <v>#VALUE!</v>
      </c>
      <c r="BO218" t="e">
        <f>'All regions'!C5455+"n/&gt;!.&amp;a"</f>
        <v>#VALUE!</v>
      </c>
      <c r="BP218" t="e">
        <f>'All regions'!D5455+"n/&gt;!.&amp;b"</f>
        <v>#VALUE!</v>
      </c>
      <c r="BQ218" t="e">
        <f>'All regions'!E5455+"n/&gt;!.&amp;c"</f>
        <v>#VALUE!</v>
      </c>
      <c r="BR218" t="e">
        <f>'All regions'!F5455+"n/&gt;!.&amp;d"</f>
        <v>#VALUE!</v>
      </c>
      <c r="BS218" t="e">
        <f>'All regions'!G5455+"n/&gt;!.&amp;e"</f>
        <v>#VALUE!</v>
      </c>
      <c r="BT218" t="e">
        <f>'All regions'!H5455+"n/&gt;!.&amp;f"</f>
        <v>#VALUE!</v>
      </c>
      <c r="BU218" t="e">
        <f>'All regions'!I5455+"n/&gt;!.&amp;g"</f>
        <v>#VALUE!</v>
      </c>
      <c r="BV218" t="e">
        <f>'All regions'!J5455+"n/&gt;!.&amp;h"</f>
        <v>#VALUE!</v>
      </c>
      <c r="BW218" t="e">
        <f>'All regions'!A5456+"n/&gt;!.&amp;i"</f>
        <v>#VALUE!</v>
      </c>
      <c r="BX218" t="e">
        <f>'All regions'!B5456+"n/&gt;!.&amp;j"</f>
        <v>#VALUE!</v>
      </c>
      <c r="BY218" t="e">
        <f>'All regions'!C5456+"n/&gt;!.&amp;k"</f>
        <v>#VALUE!</v>
      </c>
      <c r="BZ218" t="e">
        <f>'All regions'!D5456+"n/&gt;!.&amp;l"</f>
        <v>#VALUE!</v>
      </c>
      <c r="CA218" t="e">
        <f>'All regions'!E5456+"n/&gt;!.&amp;m"</f>
        <v>#VALUE!</v>
      </c>
      <c r="CB218" t="e">
        <f>'All regions'!F5456+"n/&gt;!.&amp;n"</f>
        <v>#VALUE!</v>
      </c>
      <c r="CC218" t="e">
        <f>'All regions'!G5456+"n/&gt;!.&amp;o"</f>
        <v>#VALUE!</v>
      </c>
      <c r="CD218" t="e">
        <f>'All regions'!H5456+"n/&gt;!.&amp;p"</f>
        <v>#VALUE!</v>
      </c>
      <c r="CE218" t="e">
        <f>'All regions'!I5456+"n/&gt;!.&amp;q"</f>
        <v>#VALUE!</v>
      </c>
      <c r="CF218" t="e">
        <f>'All regions'!J5456+"n/&gt;!.&amp;r"</f>
        <v>#VALUE!</v>
      </c>
      <c r="CG218" t="e">
        <f>'All regions'!A5457+"n/&gt;!.&amp;s"</f>
        <v>#VALUE!</v>
      </c>
      <c r="CH218" t="e">
        <f>'All regions'!B5457+"n/&gt;!.&amp;t"</f>
        <v>#VALUE!</v>
      </c>
      <c r="CI218" t="e">
        <f>'All regions'!C5457+"n/&gt;!.&amp;u"</f>
        <v>#VALUE!</v>
      </c>
      <c r="CJ218" t="e">
        <f>'All regions'!D5457+"n/&gt;!.&amp;v"</f>
        <v>#VALUE!</v>
      </c>
      <c r="CK218" t="e">
        <f>'All regions'!E5457+"n/&gt;!.&amp;w"</f>
        <v>#VALUE!</v>
      </c>
      <c r="CL218" t="e">
        <f>'All regions'!F5457+"n/&gt;!.&amp;x"</f>
        <v>#VALUE!</v>
      </c>
      <c r="CM218" t="e">
        <f>'All regions'!G5457+"n/&gt;!.&amp;y"</f>
        <v>#VALUE!</v>
      </c>
      <c r="CN218" t="e">
        <f>'All regions'!H5457+"n/&gt;!.&amp;z"</f>
        <v>#VALUE!</v>
      </c>
      <c r="CO218" t="e">
        <f>'All regions'!I5457+"n/&gt;!.&amp;{"</f>
        <v>#VALUE!</v>
      </c>
      <c r="CP218" t="e">
        <f>'All regions'!J5457+"n/&gt;!.&amp;|"</f>
        <v>#VALUE!</v>
      </c>
      <c r="CQ218" t="e">
        <f>'All regions'!A5458+"n/&gt;!.&amp;}"</f>
        <v>#VALUE!</v>
      </c>
      <c r="CR218" t="e">
        <f>'All regions'!B5458+"n/&gt;!.&amp;~"</f>
        <v>#VALUE!</v>
      </c>
      <c r="CS218" t="e">
        <f>'All regions'!C5458+"n/&gt;!.'#"</f>
        <v>#VALUE!</v>
      </c>
      <c r="CT218" t="e">
        <f>'All regions'!D5458+"n/&gt;!.'$"</f>
        <v>#VALUE!</v>
      </c>
      <c r="CU218" t="e">
        <f>'All regions'!E5458+"n/&gt;!.'%"</f>
        <v>#VALUE!</v>
      </c>
      <c r="CV218" t="e">
        <f>'All regions'!F5458+"n/&gt;!.'&amp;"</f>
        <v>#VALUE!</v>
      </c>
      <c r="CW218" t="e">
        <f>'All regions'!G5458+"n/&gt;!.''"</f>
        <v>#VALUE!</v>
      </c>
      <c r="CX218" t="e">
        <f>'All regions'!H5458+"n/&gt;!.'("</f>
        <v>#VALUE!</v>
      </c>
      <c r="CY218" t="e">
        <f>'All regions'!I5458+"n/&gt;!.')"</f>
        <v>#VALUE!</v>
      </c>
      <c r="CZ218" t="e">
        <f>'All regions'!J5458+"n/&gt;!.'."</f>
        <v>#VALUE!</v>
      </c>
      <c r="DA218" t="e">
        <f>'All regions'!A5459+"n/&gt;!.'/"</f>
        <v>#VALUE!</v>
      </c>
      <c r="DB218" t="e">
        <f>'All regions'!B5459+"n/&gt;!.'0"</f>
        <v>#VALUE!</v>
      </c>
      <c r="DC218" t="e">
        <f>'All regions'!C5459+"n/&gt;!.'1"</f>
        <v>#VALUE!</v>
      </c>
      <c r="DD218" t="e">
        <f>'All regions'!D5459+"n/&gt;!.'2"</f>
        <v>#VALUE!</v>
      </c>
      <c r="DE218" t="e">
        <f>'All regions'!E5459+"n/&gt;!.'3"</f>
        <v>#VALUE!</v>
      </c>
      <c r="DF218" t="e">
        <f>'All regions'!F5459+"n/&gt;!.'4"</f>
        <v>#VALUE!</v>
      </c>
      <c r="DG218" t="e">
        <f>'All regions'!G5459+"n/&gt;!.'5"</f>
        <v>#VALUE!</v>
      </c>
      <c r="DH218" t="e">
        <f>'All regions'!H5459+"n/&gt;!.'6"</f>
        <v>#VALUE!</v>
      </c>
      <c r="DI218" t="e">
        <f>'All regions'!I5459+"n/&gt;!.'7"</f>
        <v>#VALUE!</v>
      </c>
      <c r="DJ218" t="e">
        <f>'All regions'!J5459+"n/&gt;!.'8"</f>
        <v>#VALUE!</v>
      </c>
      <c r="DK218" t="e">
        <f>'All regions'!A5460+"n/&gt;!.'9"</f>
        <v>#VALUE!</v>
      </c>
      <c r="DL218" t="e">
        <f>'All regions'!B5460+"n/&gt;!.':"</f>
        <v>#VALUE!</v>
      </c>
      <c r="DM218" t="e">
        <f>'All regions'!C5460+"n/&gt;!.';"</f>
        <v>#VALUE!</v>
      </c>
      <c r="DN218" t="e">
        <f>'All regions'!D5460+"n/&gt;!.'&lt;"</f>
        <v>#VALUE!</v>
      </c>
      <c r="DO218" t="e">
        <f>'All regions'!E5460+"n/&gt;!.'="</f>
        <v>#VALUE!</v>
      </c>
      <c r="DP218" t="e">
        <f>'All regions'!F5460+"n/&gt;!.'&gt;"</f>
        <v>#VALUE!</v>
      </c>
      <c r="DQ218" t="e">
        <f>'All regions'!G5460+"n/&gt;!.'?"</f>
        <v>#VALUE!</v>
      </c>
      <c r="DR218" t="e">
        <f>'All regions'!H5460+"n/&gt;!.'@"</f>
        <v>#VALUE!</v>
      </c>
      <c r="DS218" t="e">
        <f>'All regions'!I5460+"n/&gt;!.'A"</f>
        <v>#VALUE!</v>
      </c>
      <c r="DT218" t="e">
        <f>'All regions'!J5460+"n/&gt;!.'B"</f>
        <v>#VALUE!</v>
      </c>
      <c r="DU218" t="e">
        <f>'All regions'!A5461+"n/&gt;!.'C"</f>
        <v>#VALUE!</v>
      </c>
      <c r="DV218" t="e">
        <f>'All regions'!B5461+"n/&gt;!.'D"</f>
        <v>#VALUE!</v>
      </c>
      <c r="DW218" t="e">
        <f>'All regions'!C5461+"n/&gt;!.'E"</f>
        <v>#VALUE!</v>
      </c>
      <c r="DX218" t="e">
        <f>'All regions'!D5461+"n/&gt;!.'F"</f>
        <v>#VALUE!</v>
      </c>
      <c r="DY218" t="e">
        <f>'All regions'!E5461+"n/&gt;!.'G"</f>
        <v>#VALUE!</v>
      </c>
      <c r="DZ218" t="e">
        <f>'All regions'!F5461+"n/&gt;!.'H"</f>
        <v>#VALUE!</v>
      </c>
      <c r="EA218" t="e">
        <f>'All regions'!G5461+"n/&gt;!.'I"</f>
        <v>#VALUE!</v>
      </c>
      <c r="EB218" t="e">
        <f>'All regions'!H5461+"n/&gt;!.'J"</f>
        <v>#VALUE!</v>
      </c>
      <c r="EC218" t="e">
        <f>'All regions'!I5461+"n/&gt;!.'K"</f>
        <v>#VALUE!</v>
      </c>
      <c r="ED218" t="e">
        <f>'All regions'!J5461+"n/&gt;!.'L"</f>
        <v>#VALUE!</v>
      </c>
      <c r="EE218" t="e">
        <f>'All regions'!A5462+"n/&gt;!.'M"</f>
        <v>#VALUE!</v>
      </c>
      <c r="EF218" t="e">
        <f>'All regions'!B5462+"n/&gt;!.'N"</f>
        <v>#VALUE!</v>
      </c>
      <c r="EG218" t="e">
        <f>'All regions'!C5462+"n/&gt;!.'O"</f>
        <v>#VALUE!</v>
      </c>
      <c r="EH218" t="e">
        <f>'All regions'!D5462+"n/&gt;!.'P"</f>
        <v>#VALUE!</v>
      </c>
      <c r="EI218" t="e">
        <f>'All regions'!E5462+"n/&gt;!.'Q"</f>
        <v>#VALUE!</v>
      </c>
      <c r="EJ218" t="e">
        <f>'All regions'!F5462+"n/&gt;!.'R"</f>
        <v>#VALUE!</v>
      </c>
      <c r="EK218" t="e">
        <f>'All regions'!G5462+"n/&gt;!.'S"</f>
        <v>#VALUE!</v>
      </c>
      <c r="EL218" t="e">
        <f>'All regions'!H5462+"n/&gt;!.'T"</f>
        <v>#VALUE!</v>
      </c>
      <c r="EM218" t="e">
        <f>'All regions'!I5462+"n/&gt;!.'U"</f>
        <v>#VALUE!</v>
      </c>
      <c r="EN218" t="e">
        <f>'All regions'!J5462+"n/&gt;!.'V"</f>
        <v>#VALUE!</v>
      </c>
      <c r="EO218" t="e">
        <f>'All regions'!A5463+"n/&gt;!.'W"</f>
        <v>#VALUE!</v>
      </c>
      <c r="EP218" t="e">
        <f>'All regions'!B5463+"n/&gt;!.'X"</f>
        <v>#VALUE!</v>
      </c>
      <c r="EQ218" t="e">
        <f>'All regions'!C5463+"n/&gt;!.'Y"</f>
        <v>#VALUE!</v>
      </c>
      <c r="ER218" t="e">
        <f>'All regions'!D5463+"n/&gt;!.'Z"</f>
        <v>#VALUE!</v>
      </c>
      <c r="ES218" t="e">
        <f>'All regions'!E5463+"n/&gt;!.'["</f>
        <v>#VALUE!</v>
      </c>
      <c r="ET218" t="e">
        <f>'All regions'!F5463+"n/&gt;!.'\"</f>
        <v>#VALUE!</v>
      </c>
      <c r="EU218" t="e">
        <f>'All regions'!G5463+"n/&gt;!.']"</f>
        <v>#VALUE!</v>
      </c>
      <c r="EV218" t="e">
        <f>'All regions'!H5463+"n/&gt;!.'^"</f>
        <v>#VALUE!</v>
      </c>
      <c r="EW218" t="e">
        <f>'All regions'!I5463+"n/&gt;!.'_"</f>
        <v>#VALUE!</v>
      </c>
      <c r="EX218" t="e">
        <f>'All regions'!J5463+"n/&gt;!.'`"</f>
        <v>#VALUE!</v>
      </c>
      <c r="EY218" t="e">
        <f>'All regions'!A5464+"n/&gt;!.'a"</f>
        <v>#VALUE!</v>
      </c>
      <c r="EZ218" t="e">
        <f>'All regions'!B5464+"n/&gt;!.'b"</f>
        <v>#VALUE!</v>
      </c>
      <c r="FA218" t="e">
        <f>'All regions'!C5464+"n/&gt;!.'c"</f>
        <v>#VALUE!</v>
      </c>
      <c r="FB218" t="e">
        <f>'All regions'!D5464+"n/&gt;!.'d"</f>
        <v>#VALUE!</v>
      </c>
      <c r="FC218" t="e">
        <f>'All regions'!E5464+"n/&gt;!.'e"</f>
        <v>#VALUE!</v>
      </c>
      <c r="FD218" t="e">
        <f>'All regions'!F5464+"n/&gt;!.'f"</f>
        <v>#VALUE!</v>
      </c>
      <c r="FE218" t="e">
        <f>'All regions'!G5464+"n/&gt;!.'g"</f>
        <v>#VALUE!</v>
      </c>
      <c r="FF218" t="e">
        <f>'All regions'!H5464+"n/&gt;!.'h"</f>
        <v>#VALUE!</v>
      </c>
      <c r="FG218" t="e">
        <f>'All regions'!I5464+"n/&gt;!.'i"</f>
        <v>#VALUE!</v>
      </c>
      <c r="FH218" t="e">
        <f>'All regions'!J5464+"n/&gt;!.'j"</f>
        <v>#VALUE!</v>
      </c>
      <c r="FI218" t="e">
        <f>'All regions'!A5465+"n/&gt;!.'k"</f>
        <v>#VALUE!</v>
      </c>
      <c r="FJ218" t="e">
        <f>'All regions'!B5465+"n/&gt;!.'l"</f>
        <v>#VALUE!</v>
      </c>
      <c r="FK218" t="e">
        <f>'All regions'!C5465+"n/&gt;!.'m"</f>
        <v>#VALUE!</v>
      </c>
      <c r="FL218" t="e">
        <f>'All regions'!D5465+"n/&gt;!.'n"</f>
        <v>#VALUE!</v>
      </c>
      <c r="FM218" t="e">
        <f>'All regions'!E5465+"n/&gt;!.'o"</f>
        <v>#VALUE!</v>
      </c>
      <c r="FN218" t="e">
        <f>'All regions'!F5465+"n/&gt;!.'p"</f>
        <v>#VALUE!</v>
      </c>
      <c r="FO218" t="e">
        <f>'All regions'!G5465+"n/&gt;!.'q"</f>
        <v>#VALUE!</v>
      </c>
      <c r="FP218" t="e">
        <f>'All regions'!H5465+"n/&gt;!.'r"</f>
        <v>#VALUE!</v>
      </c>
      <c r="FQ218" t="e">
        <f>'All regions'!I5465+"n/&gt;!.'s"</f>
        <v>#VALUE!</v>
      </c>
      <c r="FR218" t="e">
        <f>'All regions'!J5465+"n/&gt;!.'t"</f>
        <v>#VALUE!</v>
      </c>
      <c r="FS218" t="e">
        <f>'All regions'!A5466+"n/&gt;!.'u"</f>
        <v>#VALUE!</v>
      </c>
      <c r="FT218" t="e">
        <f>'All regions'!B5466+"n/&gt;!.'v"</f>
        <v>#VALUE!</v>
      </c>
      <c r="FU218" t="e">
        <f>'All regions'!C5466+"n/&gt;!.'w"</f>
        <v>#VALUE!</v>
      </c>
      <c r="FV218" t="e">
        <f>'All regions'!D5466+"n/&gt;!.'x"</f>
        <v>#VALUE!</v>
      </c>
      <c r="FW218" t="e">
        <f>'All regions'!E5466+"n/&gt;!.'y"</f>
        <v>#VALUE!</v>
      </c>
      <c r="FX218" t="e">
        <f>'All regions'!F5466+"n/&gt;!.'z"</f>
        <v>#VALUE!</v>
      </c>
      <c r="FY218" t="e">
        <f>'All regions'!G5466+"n/&gt;!.'{"</f>
        <v>#VALUE!</v>
      </c>
      <c r="FZ218" t="e">
        <f>'All regions'!H5466+"n/&gt;!.'|"</f>
        <v>#VALUE!</v>
      </c>
      <c r="GA218" t="e">
        <f>'All regions'!I5466+"n/&gt;!.'}"</f>
        <v>#VALUE!</v>
      </c>
      <c r="GB218" t="e">
        <f>'All regions'!J5466+"n/&gt;!.'~"</f>
        <v>#VALUE!</v>
      </c>
      <c r="GC218" t="e">
        <f>'All regions'!A5467+"n/&gt;!.(#"</f>
        <v>#VALUE!</v>
      </c>
      <c r="GD218" t="e">
        <f>'All regions'!B5467+"n/&gt;!.($"</f>
        <v>#VALUE!</v>
      </c>
      <c r="GE218" t="e">
        <f>'All regions'!C5467+"n/&gt;!.(%"</f>
        <v>#VALUE!</v>
      </c>
      <c r="GF218" t="e">
        <f>'All regions'!D5467+"n/&gt;!.(&amp;"</f>
        <v>#VALUE!</v>
      </c>
      <c r="GG218" t="e">
        <f>'All regions'!E5467+"n/&gt;!.('"</f>
        <v>#VALUE!</v>
      </c>
      <c r="GH218" t="e">
        <f>'All regions'!F5467+"n/&gt;!.(("</f>
        <v>#VALUE!</v>
      </c>
      <c r="GI218" t="e">
        <f>'All regions'!G5467+"n/&gt;!.()"</f>
        <v>#VALUE!</v>
      </c>
      <c r="GJ218" t="e">
        <f>'All regions'!H5467+"n/&gt;!.(."</f>
        <v>#VALUE!</v>
      </c>
      <c r="GK218" t="e">
        <f>'All regions'!I5467+"n/&gt;!.(/"</f>
        <v>#VALUE!</v>
      </c>
      <c r="GL218" t="e">
        <f>'All regions'!J5467+"n/&gt;!.(0"</f>
        <v>#VALUE!</v>
      </c>
      <c r="GM218" t="e">
        <f>'All regions'!A5468+"n/&gt;!.(1"</f>
        <v>#VALUE!</v>
      </c>
      <c r="GN218" t="e">
        <f>'All regions'!B5468+"n/&gt;!.(2"</f>
        <v>#VALUE!</v>
      </c>
      <c r="GO218" t="e">
        <f>'All regions'!C5468+"n/&gt;!.(3"</f>
        <v>#VALUE!</v>
      </c>
      <c r="GP218" t="e">
        <f>'All regions'!D5468+"n/&gt;!.(4"</f>
        <v>#VALUE!</v>
      </c>
      <c r="GQ218" t="e">
        <f>'All regions'!E5468+"n/&gt;!.(5"</f>
        <v>#VALUE!</v>
      </c>
      <c r="GR218" t="e">
        <f>'All regions'!F5468+"n/&gt;!.(6"</f>
        <v>#VALUE!</v>
      </c>
      <c r="GS218" t="e">
        <f>'All regions'!G5468+"n/&gt;!.(7"</f>
        <v>#VALUE!</v>
      </c>
      <c r="GT218" t="e">
        <f>'All regions'!H5468+"n/&gt;!.(8"</f>
        <v>#VALUE!</v>
      </c>
      <c r="GU218" t="e">
        <f>'All regions'!I5468+"n/&gt;!.(9"</f>
        <v>#VALUE!</v>
      </c>
      <c r="GV218" t="e">
        <f>'All regions'!J5468+"n/&gt;!.(:"</f>
        <v>#VALUE!</v>
      </c>
      <c r="GW218" t="e">
        <f>'All regions'!A5469+"n/&gt;!.(;"</f>
        <v>#VALUE!</v>
      </c>
      <c r="GX218" t="e">
        <f>'All regions'!B5469+"n/&gt;!.(&lt;"</f>
        <v>#VALUE!</v>
      </c>
      <c r="GY218" t="e">
        <f>'All regions'!C5469+"n/&gt;!.(="</f>
        <v>#VALUE!</v>
      </c>
      <c r="GZ218" t="e">
        <f>'All regions'!D5469+"n/&gt;!.(&gt;"</f>
        <v>#VALUE!</v>
      </c>
      <c r="HA218" t="e">
        <f>'All regions'!E5469+"n/&gt;!.(?"</f>
        <v>#VALUE!</v>
      </c>
      <c r="HB218" t="e">
        <f>'All regions'!F5469+"n/&gt;!.(@"</f>
        <v>#VALUE!</v>
      </c>
      <c r="HC218" t="e">
        <f>'All regions'!G5469+"n/&gt;!.(A"</f>
        <v>#VALUE!</v>
      </c>
      <c r="HD218" t="e">
        <f>'All regions'!H5469+"n/&gt;!.(B"</f>
        <v>#VALUE!</v>
      </c>
      <c r="HE218" t="e">
        <f>'All regions'!I5469+"n/&gt;!.(C"</f>
        <v>#VALUE!</v>
      </c>
      <c r="HF218" t="e">
        <f>'All regions'!J5469+"n/&gt;!.(D"</f>
        <v>#VALUE!</v>
      </c>
      <c r="HG218" t="e">
        <f>'All regions'!A5470+"n/&gt;!.(E"</f>
        <v>#VALUE!</v>
      </c>
      <c r="HH218" t="e">
        <f>'All regions'!B5470+"n/&gt;!.(F"</f>
        <v>#VALUE!</v>
      </c>
      <c r="HI218" t="e">
        <f>'All regions'!C5470+"n/&gt;!.(G"</f>
        <v>#VALUE!</v>
      </c>
      <c r="HJ218" t="e">
        <f>'All regions'!D5470+"n/&gt;!.(H"</f>
        <v>#VALUE!</v>
      </c>
      <c r="HK218" t="e">
        <f>'All regions'!E5470+"n/&gt;!.(I"</f>
        <v>#VALUE!</v>
      </c>
      <c r="HL218" t="e">
        <f>'All regions'!F5470+"n/&gt;!.(J"</f>
        <v>#VALUE!</v>
      </c>
      <c r="HM218" t="e">
        <f>'All regions'!G5470+"n/&gt;!.(K"</f>
        <v>#VALUE!</v>
      </c>
      <c r="HN218" t="e">
        <f>'All regions'!H5470+"n/&gt;!.(L"</f>
        <v>#VALUE!</v>
      </c>
      <c r="HO218" t="e">
        <f>'All regions'!I5470+"n/&gt;!.(M"</f>
        <v>#VALUE!</v>
      </c>
      <c r="HP218" t="e">
        <f>'All regions'!J5470+"n/&gt;!.(N"</f>
        <v>#VALUE!</v>
      </c>
      <c r="HQ218" t="e">
        <f>'All regions'!A5471+"n/&gt;!.(O"</f>
        <v>#VALUE!</v>
      </c>
      <c r="HR218" t="e">
        <f>'All regions'!B5471+"n/&gt;!.(P"</f>
        <v>#VALUE!</v>
      </c>
      <c r="HS218" t="e">
        <f>'All regions'!C5471+"n/&gt;!.(Q"</f>
        <v>#VALUE!</v>
      </c>
      <c r="HT218" t="e">
        <f>'All regions'!D5471+"n/&gt;!.(R"</f>
        <v>#VALUE!</v>
      </c>
      <c r="HU218" t="e">
        <f>'All regions'!E5471+"n/&gt;!.(S"</f>
        <v>#VALUE!</v>
      </c>
      <c r="HV218" t="e">
        <f>'All regions'!F5471+"n/&gt;!.(T"</f>
        <v>#VALUE!</v>
      </c>
      <c r="HW218" t="e">
        <f>'All regions'!G5471+"n/&gt;!.(U"</f>
        <v>#VALUE!</v>
      </c>
      <c r="HX218" t="e">
        <f>'All regions'!H5471+"n/&gt;!.(V"</f>
        <v>#VALUE!</v>
      </c>
      <c r="HY218" t="e">
        <f>'All regions'!I5471+"n/&gt;!.(W"</f>
        <v>#VALUE!</v>
      </c>
      <c r="HZ218" t="e">
        <f>'All regions'!J5471+"n/&gt;!.(X"</f>
        <v>#VALUE!</v>
      </c>
      <c r="IA218" t="e">
        <f>'All regions'!A5472+"n/&gt;!.(Y"</f>
        <v>#VALUE!</v>
      </c>
      <c r="IB218" t="e">
        <f>'All regions'!B5472+"n/&gt;!.(Z"</f>
        <v>#VALUE!</v>
      </c>
      <c r="IC218" t="e">
        <f>'All regions'!C5472+"n/&gt;!.(["</f>
        <v>#VALUE!</v>
      </c>
      <c r="ID218" t="e">
        <f>'All regions'!D5472+"n/&gt;!.(\"</f>
        <v>#VALUE!</v>
      </c>
      <c r="IE218" t="e">
        <f>'All regions'!E5472+"n/&gt;!.(]"</f>
        <v>#VALUE!</v>
      </c>
      <c r="IF218" t="e">
        <f>'All regions'!F5472+"n/&gt;!.(^"</f>
        <v>#VALUE!</v>
      </c>
      <c r="IG218" t="e">
        <f>'All regions'!G5472+"n/&gt;!.(_"</f>
        <v>#VALUE!</v>
      </c>
      <c r="IH218" t="e">
        <f>'All regions'!H5472+"n/&gt;!.(`"</f>
        <v>#VALUE!</v>
      </c>
      <c r="II218" t="e">
        <f>'All regions'!I5472+"n/&gt;!.(a"</f>
        <v>#VALUE!</v>
      </c>
      <c r="IJ218" t="e">
        <f>'All regions'!J5472+"n/&gt;!.(b"</f>
        <v>#VALUE!</v>
      </c>
      <c r="IK218" t="e">
        <f>'All regions'!A5473+"n/&gt;!.(c"</f>
        <v>#VALUE!</v>
      </c>
      <c r="IL218" t="e">
        <f>'All regions'!B5473+"n/&gt;!.(d"</f>
        <v>#VALUE!</v>
      </c>
      <c r="IM218" t="e">
        <f>'All regions'!C5473+"n/&gt;!.(e"</f>
        <v>#VALUE!</v>
      </c>
      <c r="IN218" t="e">
        <f>'All regions'!D5473+"n/&gt;!.(f"</f>
        <v>#VALUE!</v>
      </c>
      <c r="IO218" t="e">
        <f>'All regions'!E5473+"n/&gt;!.(g"</f>
        <v>#VALUE!</v>
      </c>
      <c r="IP218" t="e">
        <f>'All regions'!F5473+"n/&gt;!.(h"</f>
        <v>#VALUE!</v>
      </c>
      <c r="IQ218" t="e">
        <f>'All regions'!G5473+"n/&gt;!.(i"</f>
        <v>#VALUE!</v>
      </c>
      <c r="IR218" t="e">
        <f>'All regions'!H5473+"n/&gt;!.(j"</f>
        <v>#VALUE!</v>
      </c>
      <c r="IS218" t="e">
        <f>'All regions'!I5473+"n/&gt;!.(k"</f>
        <v>#VALUE!</v>
      </c>
      <c r="IT218" t="e">
        <f>'All regions'!J5473+"n/&gt;!.(l"</f>
        <v>#VALUE!</v>
      </c>
      <c r="IU218" t="e">
        <f>'All regions'!A5474+"n/&gt;!.(m"</f>
        <v>#VALUE!</v>
      </c>
      <c r="IV218" t="e">
        <f>'All regions'!B5474+"n/&gt;!.(n"</f>
        <v>#VALUE!</v>
      </c>
    </row>
    <row r="219" spans="6:256" x14ac:dyDescent="0.35">
      <c r="F219" t="e">
        <f>'All regions'!C5474+"n/&gt;!.(o"</f>
        <v>#VALUE!</v>
      </c>
      <c r="G219" t="e">
        <f>'All regions'!D5474+"n/&gt;!.(p"</f>
        <v>#VALUE!</v>
      </c>
      <c r="H219" t="e">
        <f>'All regions'!E5474+"n/&gt;!.(q"</f>
        <v>#VALUE!</v>
      </c>
      <c r="I219" t="e">
        <f>'All regions'!F5474+"n/&gt;!.(r"</f>
        <v>#VALUE!</v>
      </c>
      <c r="J219" t="e">
        <f>'All regions'!G5474+"n/&gt;!.(s"</f>
        <v>#VALUE!</v>
      </c>
      <c r="K219" t="e">
        <f>'All regions'!H5474+"n/&gt;!.(t"</f>
        <v>#VALUE!</v>
      </c>
      <c r="L219" t="e">
        <f>'All regions'!I5474+"n/&gt;!.(u"</f>
        <v>#VALUE!</v>
      </c>
      <c r="M219" t="e">
        <f>'All regions'!J5474+"n/&gt;!.(v"</f>
        <v>#VALUE!</v>
      </c>
      <c r="N219" t="e">
        <f>'All regions'!A5475+"n/&gt;!.(w"</f>
        <v>#VALUE!</v>
      </c>
      <c r="O219" t="e">
        <f>'All regions'!B5475+"n/&gt;!.(x"</f>
        <v>#VALUE!</v>
      </c>
      <c r="P219" t="e">
        <f>'All regions'!C5475+"n/&gt;!.(y"</f>
        <v>#VALUE!</v>
      </c>
      <c r="Q219" t="e">
        <f>'All regions'!D5475+"n/&gt;!.(z"</f>
        <v>#VALUE!</v>
      </c>
      <c r="R219" t="e">
        <f>'All regions'!E5475+"n/&gt;!.({"</f>
        <v>#VALUE!</v>
      </c>
      <c r="S219" t="e">
        <f>'All regions'!F5475+"n/&gt;!.(|"</f>
        <v>#VALUE!</v>
      </c>
      <c r="T219" t="e">
        <f>'All regions'!G5475+"n/&gt;!.(}"</f>
        <v>#VALUE!</v>
      </c>
      <c r="U219" t="e">
        <f>'All regions'!H5475+"n/&gt;!.(~"</f>
        <v>#VALUE!</v>
      </c>
      <c r="V219" t="e">
        <f>'All regions'!I5475+"n/&gt;!.)#"</f>
        <v>#VALUE!</v>
      </c>
      <c r="W219" t="e">
        <f>'All regions'!J5475+"n/&gt;!.)$"</f>
        <v>#VALUE!</v>
      </c>
      <c r="X219" t="e">
        <f>'All regions'!A5476+"n/&gt;!.)%"</f>
        <v>#VALUE!</v>
      </c>
      <c r="Y219" t="e">
        <f>'All regions'!B5476+"n/&gt;!.)&amp;"</f>
        <v>#VALUE!</v>
      </c>
      <c r="Z219" t="e">
        <f>'All regions'!C5476+"n/&gt;!.)'"</f>
        <v>#VALUE!</v>
      </c>
      <c r="AA219" t="e">
        <f>'All regions'!D5476+"n/&gt;!.)("</f>
        <v>#VALUE!</v>
      </c>
      <c r="AB219" t="e">
        <f>'All regions'!E5476+"n/&gt;!.))"</f>
        <v>#VALUE!</v>
      </c>
      <c r="AC219" t="e">
        <f>'All regions'!F5476+"n/&gt;!.)."</f>
        <v>#VALUE!</v>
      </c>
      <c r="AD219" t="e">
        <f>'All regions'!G5476+"n/&gt;!.)/"</f>
        <v>#VALUE!</v>
      </c>
      <c r="AE219" t="e">
        <f>'All regions'!H5476+"n/&gt;!.)0"</f>
        <v>#VALUE!</v>
      </c>
      <c r="AF219" t="e">
        <f>'All regions'!I5476+"n/&gt;!.)1"</f>
        <v>#VALUE!</v>
      </c>
      <c r="AG219" t="e">
        <f>'All regions'!J5476+"n/&gt;!.)2"</f>
        <v>#VALUE!</v>
      </c>
      <c r="AH219" t="e">
        <f>'All regions'!A5477+"n/&gt;!.)3"</f>
        <v>#VALUE!</v>
      </c>
      <c r="AI219" t="e">
        <f>'All regions'!B5477+"n/&gt;!.)4"</f>
        <v>#VALUE!</v>
      </c>
      <c r="AJ219" t="e">
        <f>'All regions'!C5477+"n/&gt;!.)5"</f>
        <v>#VALUE!</v>
      </c>
      <c r="AK219" t="e">
        <f>'All regions'!D5477+"n/&gt;!.)6"</f>
        <v>#VALUE!</v>
      </c>
      <c r="AL219" t="e">
        <f>'All regions'!E5477+"n/&gt;!.)7"</f>
        <v>#VALUE!</v>
      </c>
      <c r="AM219" t="e">
        <f>'All regions'!F5477+"n/&gt;!.)8"</f>
        <v>#VALUE!</v>
      </c>
      <c r="AN219" t="e">
        <f>'All regions'!G5477+"n/&gt;!.)9"</f>
        <v>#VALUE!</v>
      </c>
      <c r="AO219" t="e">
        <f>'All regions'!H5477+"n/&gt;!.):"</f>
        <v>#VALUE!</v>
      </c>
      <c r="AP219" t="e">
        <f>'All regions'!I5477+"n/&gt;!.);"</f>
        <v>#VALUE!</v>
      </c>
      <c r="AQ219" t="e">
        <f>'All regions'!J5477+"n/&gt;!.)&lt;"</f>
        <v>#VALUE!</v>
      </c>
      <c r="AR219" t="e">
        <f>'All regions'!A5478+"n/&gt;!.)="</f>
        <v>#VALUE!</v>
      </c>
      <c r="AS219" t="e">
        <f>'All regions'!B5478+"n/&gt;!.)&gt;"</f>
        <v>#VALUE!</v>
      </c>
      <c r="AT219" t="e">
        <f>'All regions'!C5478+"n/&gt;!.)?"</f>
        <v>#VALUE!</v>
      </c>
      <c r="AU219" t="e">
        <f>'All regions'!D5478+"n/&gt;!.)@"</f>
        <v>#VALUE!</v>
      </c>
      <c r="AV219" t="e">
        <f>'All regions'!E5478+"n/&gt;!.)A"</f>
        <v>#VALUE!</v>
      </c>
      <c r="AW219" t="e">
        <f>'All regions'!F5478+"n/&gt;!.)B"</f>
        <v>#VALUE!</v>
      </c>
      <c r="AX219" t="e">
        <f>'All regions'!G5478+"n/&gt;!.)C"</f>
        <v>#VALUE!</v>
      </c>
      <c r="AY219" t="e">
        <f>'All regions'!H5478+"n/&gt;!.)D"</f>
        <v>#VALUE!</v>
      </c>
      <c r="AZ219" t="e">
        <f>'All regions'!I5478+"n/&gt;!.)E"</f>
        <v>#VALUE!</v>
      </c>
      <c r="BA219" t="e">
        <f>'All regions'!J5478+"n/&gt;!.)F"</f>
        <v>#VALUE!</v>
      </c>
      <c r="BB219" t="e">
        <f>'All regions'!A5479+"n/&gt;!.)G"</f>
        <v>#VALUE!</v>
      </c>
      <c r="BC219" t="e">
        <f>'All regions'!B5479+"n/&gt;!.)H"</f>
        <v>#VALUE!</v>
      </c>
      <c r="BD219" t="e">
        <f>'All regions'!C5479+"n/&gt;!.)I"</f>
        <v>#VALUE!</v>
      </c>
      <c r="BE219" t="e">
        <f>'All regions'!D5479+"n/&gt;!.)J"</f>
        <v>#VALUE!</v>
      </c>
      <c r="BF219" t="e">
        <f>'All regions'!E5479+"n/&gt;!.)K"</f>
        <v>#VALUE!</v>
      </c>
      <c r="BG219" t="e">
        <f>'All regions'!F5479+"n/&gt;!.)L"</f>
        <v>#VALUE!</v>
      </c>
      <c r="BH219" t="e">
        <f>'All regions'!G5479+"n/&gt;!.)M"</f>
        <v>#VALUE!</v>
      </c>
      <c r="BI219" t="e">
        <f>'All regions'!H5479+"n/&gt;!.)N"</f>
        <v>#VALUE!</v>
      </c>
      <c r="BJ219" t="e">
        <f>'All regions'!I5479+"n/&gt;!.)O"</f>
        <v>#VALUE!</v>
      </c>
      <c r="BK219" t="e">
        <f>'All regions'!J5479+"n/&gt;!.)P"</f>
        <v>#VALUE!</v>
      </c>
      <c r="BL219" t="e">
        <f>'All regions'!A5480+"n/&gt;!.)Q"</f>
        <v>#VALUE!</v>
      </c>
      <c r="BM219" t="e">
        <f>'All regions'!B5480+"n/&gt;!.)R"</f>
        <v>#VALUE!</v>
      </c>
      <c r="BN219" t="e">
        <f>'All regions'!C5480+"n/&gt;!.)S"</f>
        <v>#VALUE!</v>
      </c>
      <c r="BO219" t="e">
        <f>'All regions'!D5480+"n/&gt;!.)T"</f>
        <v>#VALUE!</v>
      </c>
      <c r="BP219" t="e">
        <f>'All regions'!E5480+"n/&gt;!.)U"</f>
        <v>#VALUE!</v>
      </c>
      <c r="BQ219" t="e">
        <f>'All regions'!F5480+"n/&gt;!.)V"</f>
        <v>#VALUE!</v>
      </c>
      <c r="BR219" t="e">
        <f>'All regions'!G5480+"n/&gt;!.)W"</f>
        <v>#VALUE!</v>
      </c>
      <c r="BS219" t="e">
        <f>'All regions'!H5480+"n/&gt;!.)X"</f>
        <v>#VALUE!</v>
      </c>
      <c r="BT219" t="e">
        <f>'All regions'!I5480+"n/&gt;!.)Y"</f>
        <v>#VALUE!</v>
      </c>
      <c r="BU219" t="e">
        <f>'All regions'!J5480+"n/&gt;!.)Z"</f>
        <v>#VALUE!</v>
      </c>
      <c r="BV219" t="e">
        <f>'All regions'!A5481+"n/&gt;!.)["</f>
        <v>#VALUE!</v>
      </c>
      <c r="BW219" t="e">
        <f>'All regions'!B5481+"n/&gt;!.)\"</f>
        <v>#VALUE!</v>
      </c>
      <c r="BX219" t="e">
        <f>'All regions'!C5481+"n/&gt;!.)]"</f>
        <v>#VALUE!</v>
      </c>
      <c r="BY219" t="e">
        <f>'All regions'!D5481+"n/&gt;!.)^"</f>
        <v>#VALUE!</v>
      </c>
      <c r="BZ219" t="e">
        <f>'All regions'!E5481+"n/&gt;!.)_"</f>
        <v>#VALUE!</v>
      </c>
      <c r="CA219" t="e">
        <f>'All regions'!F5481+"n/&gt;!.)`"</f>
        <v>#VALUE!</v>
      </c>
      <c r="CB219" t="e">
        <f>'All regions'!G5481+"n/&gt;!.)a"</f>
        <v>#VALUE!</v>
      </c>
      <c r="CC219" t="e">
        <f>'All regions'!H5481+"n/&gt;!.)b"</f>
        <v>#VALUE!</v>
      </c>
      <c r="CD219" t="e">
        <f>'All regions'!I5481+"n/&gt;!.)c"</f>
        <v>#VALUE!</v>
      </c>
      <c r="CE219" t="e">
        <f>'All regions'!J5481+"n/&gt;!.)d"</f>
        <v>#VALUE!</v>
      </c>
      <c r="CF219" t="e">
        <f>'All regions'!A5482+"n/&gt;!.)e"</f>
        <v>#VALUE!</v>
      </c>
      <c r="CG219" t="e">
        <f>'All regions'!B5482+"n/&gt;!.)f"</f>
        <v>#VALUE!</v>
      </c>
      <c r="CH219" t="e">
        <f>'All regions'!C5482+"n/&gt;!.)g"</f>
        <v>#VALUE!</v>
      </c>
      <c r="CI219" t="e">
        <f>'All regions'!D5482+"n/&gt;!.)h"</f>
        <v>#VALUE!</v>
      </c>
      <c r="CJ219" t="e">
        <f>'All regions'!E5482+"n/&gt;!.)i"</f>
        <v>#VALUE!</v>
      </c>
      <c r="CK219" t="e">
        <f>'All regions'!F5482+"n/&gt;!.)j"</f>
        <v>#VALUE!</v>
      </c>
      <c r="CL219" t="e">
        <f>'All regions'!G5482+"n/&gt;!.)k"</f>
        <v>#VALUE!</v>
      </c>
      <c r="CM219" t="e">
        <f>'All regions'!H5482+"n/&gt;!.)l"</f>
        <v>#VALUE!</v>
      </c>
      <c r="CN219" t="e">
        <f>'All regions'!I5482+"n/&gt;!.)m"</f>
        <v>#VALUE!</v>
      </c>
      <c r="CO219" t="e">
        <f>'All regions'!J5482+"n/&gt;!.)n"</f>
        <v>#VALUE!</v>
      </c>
      <c r="CP219" t="e">
        <f>'All regions'!A5483+"n/&gt;!.)o"</f>
        <v>#VALUE!</v>
      </c>
      <c r="CQ219" t="e">
        <f>'All regions'!B5483+"n/&gt;!.)p"</f>
        <v>#VALUE!</v>
      </c>
      <c r="CR219" t="e">
        <f>'All regions'!C5483+"n/&gt;!.)q"</f>
        <v>#VALUE!</v>
      </c>
      <c r="CS219" t="e">
        <f>'All regions'!D5483+"n/&gt;!.)r"</f>
        <v>#VALUE!</v>
      </c>
      <c r="CT219" t="e">
        <f>'All regions'!E5483+"n/&gt;!.)s"</f>
        <v>#VALUE!</v>
      </c>
      <c r="CU219" t="e">
        <f>'All regions'!F5483+"n/&gt;!.)t"</f>
        <v>#VALUE!</v>
      </c>
      <c r="CV219" t="e">
        <f>'All regions'!G5483+"n/&gt;!.)u"</f>
        <v>#VALUE!</v>
      </c>
      <c r="CW219" t="e">
        <f>'All regions'!H5483+"n/&gt;!.)v"</f>
        <v>#VALUE!</v>
      </c>
      <c r="CX219" t="e">
        <f>'All regions'!I5483+"n/&gt;!.)w"</f>
        <v>#VALUE!</v>
      </c>
      <c r="CY219" t="e">
        <f>'All regions'!J5483+"n/&gt;!.)x"</f>
        <v>#VALUE!</v>
      </c>
      <c r="CZ219" t="e">
        <f>'All regions'!A5484+"n/&gt;!.)y"</f>
        <v>#VALUE!</v>
      </c>
      <c r="DA219" t="e">
        <f>'All regions'!B5484+"n/&gt;!.)z"</f>
        <v>#VALUE!</v>
      </c>
      <c r="DB219" t="e">
        <f>'All regions'!C5484+"n/&gt;!.){"</f>
        <v>#VALUE!</v>
      </c>
      <c r="DC219" t="e">
        <f>'All regions'!D5484+"n/&gt;!.)|"</f>
        <v>#VALUE!</v>
      </c>
      <c r="DD219" t="e">
        <f>'All regions'!E5484+"n/&gt;!.)}"</f>
        <v>#VALUE!</v>
      </c>
      <c r="DE219" t="e">
        <f>'All regions'!F5484+"n/&gt;!.)~"</f>
        <v>#VALUE!</v>
      </c>
      <c r="DF219" t="e">
        <f>'All regions'!G5484+"n/&gt;!..#"</f>
        <v>#VALUE!</v>
      </c>
      <c r="DG219" t="e">
        <f>'All regions'!H5484+"n/&gt;!..$"</f>
        <v>#VALUE!</v>
      </c>
      <c r="DH219" t="e">
        <f>'All regions'!I5484+"n/&gt;!..%"</f>
        <v>#VALUE!</v>
      </c>
      <c r="DI219" t="e">
        <f>'All regions'!J5484+"n/&gt;!..&amp;"</f>
        <v>#VALUE!</v>
      </c>
      <c r="DJ219" t="e">
        <f>'All regions'!A5485+"n/&gt;!..'"</f>
        <v>#VALUE!</v>
      </c>
      <c r="DK219" t="e">
        <f>'All regions'!B5485+"n/&gt;!..("</f>
        <v>#VALUE!</v>
      </c>
      <c r="DL219" t="e">
        <f>'All regions'!C5485+"n/&gt;!..)"</f>
        <v>#VALUE!</v>
      </c>
      <c r="DM219" t="e">
        <f>'All regions'!D5485+"n/&gt;!..."</f>
        <v>#VALUE!</v>
      </c>
      <c r="DN219" t="e">
        <f>'All regions'!E5485+"n/&gt;!../"</f>
        <v>#VALUE!</v>
      </c>
      <c r="DO219" t="e">
        <f>'All regions'!F5485+"n/&gt;!..0"</f>
        <v>#VALUE!</v>
      </c>
      <c r="DP219" t="e">
        <f>'All regions'!G5485+"n/&gt;!..1"</f>
        <v>#VALUE!</v>
      </c>
      <c r="DQ219" t="e">
        <f>'All regions'!H5485+"n/&gt;!..2"</f>
        <v>#VALUE!</v>
      </c>
      <c r="DR219" t="e">
        <f>'All regions'!I5485+"n/&gt;!..3"</f>
        <v>#VALUE!</v>
      </c>
      <c r="DS219" t="e">
        <f>'All regions'!J5485+"n/&gt;!..4"</f>
        <v>#VALUE!</v>
      </c>
      <c r="DT219" t="e">
        <f>'All regions'!A5486+"n/&gt;!..5"</f>
        <v>#VALUE!</v>
      </c>
      <c r="DU219" t="e">
        <f>'All regions'!B5486+"n/&gt;!..6"</f>
        <v>#VALUE!</v>
      </c>
      <c r="DV219" t="e">
        <f>'All regions'!C5486+"n/&gt;!..7"</f>
        <v>#VALUE!</v>
      </c>
      <c r="DW219" t="e">
        <f>'All regions'!D5486+"n/&gt;!..8"</f>
        <v>#VALUE!</v>
      </c>
      <c r="DX219" t="e">
        <f>'All regions'!E5486+"n/&gt;!..9"</f>
        <v>#VALUE!</v>
      </c>
      <c r="DY219" t="e">
        <f>'All regions'!F5486+"n/&gt;!..:"</f>
        <v>#VALUE!</v>
      </c>
      <c r="DZ219" t="e">
        <f>'All regions'!G5486+"n/&gt;!..;"</f>
        <v>#VALUE!</v>
      </c>
      <c r="EA219" t="e">
        <f>'All regions'!H5486+"n/&gt;!..&lt;"</f>
        <v>#VALUE!</v>
      </c>
      <c r="EB219" t="e">
        <f>'All regions'!I5486+"n/&gt;!..="</f>
        <v>#VALUE!</v>
      </c>
      <c r="EC219" t="e">
        <f>'All regions'!J5486+"n/&gt;!..&gt;"</f>
        <v>#VALUE!</v>
      </c>
      <c r="ED219" t="e">
        <f>'All regions'!A5487+"n/&gt;!..?"</f>
        <v>#VALUE!</v>
      </c>
      <c r="EE219" t="e">
        <f>'All regions'!B5487+"n/&gt;!..@"</f>
        <v>#VALUE!</v>
      </c>
      <c r="EF219" t="e">
        <f>'All regions'!C5487+"n/&gt;!..A"</f>
        <v>#VALUE!</v>
      </c>
      <c r="EG219" t="e">
        <f>'All regions'!D5487+"n/&gt;!..B"</f>
        <v>#VALUE!</v>
      </c>
      <c r="EH219" t="e">
        <f>'All regions'!E5487+"n/&gt;!..C"</f>
        <v>#VALUE!</v>
      </c>
      <c r="EI219" t="e">
        <f>'All regions'!F5487+"n/&gt;!..D"</f>
        <v>#VALUE!</v>
      </c>
      <c r="EJ219" t="e">
        <f>'All regions'!G5487+"n/&gt;!..E"</f>
        <v>#VALUE!</v>
      </c>
      <c r="EK219" t="e">
        <f>'All regions'!H5487+"n/&gt;!..F"</f>
        <v>#VALUE!</v>
      </c>
      <c r="EL219" t="e">
        <f>'All regions'!I5487+"n/&gt;!..G"</f>
        <v>#VALUE!</v>
      </c>
      <c r="EM219" t="e">
        <f>'All regions'!J5487+"n/&gt;!..H"</f>
        <v>#VALUE!</v>
      </c>
      <c r="EN219" t="e">
        <f>'All regions'!A5488+"n/&gt;!..I"</f>
        <v>#VALUE!</v>
      </c>
      <c r="EO219" t="e">
        <f>'All regions'!B5488+"n/&gt;!..J"</f>
        <v>#VALUE!</v>
      </c>
      <c r="EP219" t="e">
        <f>'All regions'!C5488+"n/&gt;!..K"</f>
        <v>#VALUE!</v>
      </c>
      <c r="EQ219" t="e">
        <f>'All regions'!D5488+"n/&gt;!..L"</f>
        <v>#VALUE!</v>
      </c>
      <c r="ER219" t="e">
        <f>'All regions'!E5488+"n/&gt;!..M"</f>
        <v>#VALUE!</v>
      </c>
      <c r="ES219" t="e">
        <f>'All regions'!F5488+"n/&gt;!..N"</f>
        <v>#VALUE!</v>
      </c>
      <c r="ET219" t="e">
        <f>'All regions'!G5488+"n/&gt;!..O"</f>
        <v>#VALUE!</v>
      </c>
      <c r="EU219" t="e">
        <f>'All regions'!H5488+"n/&gt;!..P"</f>
        <v>#VALUE!</v>
      </c>
      <c r="EV219" t="e">
        <f>'All regions'!I5488+"n/&gt;!..Q"</f>
        <v>#VALUE!</v>
      </c>
      <c r="EW219" t="e">
        <f>'All regions'!J5488+"n/&gt;!..R"</f>
        <v>#VALUE!</v>
      </c>
      <c r="EX219" t="e">
        <f>'All regions'!A5489+"n/&gt;!..S"</f>
        <v>#VALUE!</v>
      </c>
      <c r="EY219" t="e">
        <f>'All regions'!B5489+"n/&gt;!..T"</f>
        <v>#VALUE!</v>
      </c>
      <c r="EZ219" t="e">
        <f>'All regions'!C5489+"n/&gt;!..U"</f>
        <v>#VALUE!</v>
      </c>
      <c r="FA219" t="e">
        <f>'All regions'!D5489+"n/&gt;!..V"</f>
        <v>#VALUE!</v>
      </c>
      <c r="FB219" t="e">
        <f>'All regions'!E5489+"n/&gt;!..W"</f>
        <v>#VALUE!</v>
      </c>
      <c r="FC219" t="e">
        <f>'All regions'!F5489+"n/&gt;!..X"</f>
        <v>#VALUE!</v>
      </c>
      <c r="FD219" t="e">
        <f>'All regions'!G5489+"n/&gt;!..Y"</f>
        <v>#VALUE!</v>
      </c>
      <c r="FE219" t="e">
        <f>'All regions'!H5489+"n/&gt;!..Z"</f>
        <v>#VALUE!</v>
      </c>
      <c r="FF219" t="e">
        <f>'All regions'!I5489+"n/&gt;!..["</f>
        <v>#VALUE!</v>
      </c>
      <c r="FG219" t="e">
        <f>'All regions'!J5489+"n/&gt;!..\"</f>
        <v>#VALUE!</v>
      </c>
      <c r="FH219" t="e">
        <f>'All regions'!A5490+"n/&gt;!..]"</f>
        <v>#VALUE!</v>
      </c>
      <c r="FI219" t="e">
        <f>'All regions'!B5490+"n/&gt;!..^"</f>
        <v>#VALUE!</v>
      </c>
      <c r="FJ219" t="e">
        <f>'All regions'!C5490+"n/&gt;!.._"</f>
        <v>#VALUE!</v>
      </c>
      <c r="FK219" t="e">
        <f>'All regions'!D5490+"n/&gt;!..`"</f>
        <v>#VALUE!</v>
      </c>
      <c r="FL219" t="e">
        <f>'All regions'!E5490+"n/&gt;!..a"</f>
        <v>#VALUE!</v>
      </c>
      <c r="FM219" t="e">
        <f>'All regions'!F5490+"n/&gt;!..b"</f>
        <v>#VALUE!</v>
      </c>
      <c r="FN219" t="e">
        <f>'All regions'!G5490+"n/&gt;!..c"</f>
        <v>#VALUE!</v>
      </c>
      <c r="FO219" t="e">
        <f>'All regions'!H5490+"n/&gt;!..d"</f>
        <v>#VALUE!</v>
      </c>
      <c r="FP219" t="e">
        <f>'All regions'!I5490+"n/&gt;!..e"</f>
        <v>#VALUE!</v>
      </c>
      <c r="FQ219" t="e">
        <f>'All regions'!J5490+"n/&gt;!..f"</f>
        <v>#VALUE!</v>
      </c>
      <c r="FR219" t="e">
        <f>'All regions'!A5491+"n/&gt;!..g"</f>
        <v>#VALUE!</v>
      </c>
      <c r="FS219" t="e">
        <f>'All regions'!B5491+"n/&gt;!..h"</f>
        <v>#VALUE!</v>
      </c>
      <c r="FT219" t="e">
        <f>'All regions'!C5491+"n/&gt;!..i"</f>
        <v>#VALUE!</v>
      </c>
      <c r="FU219" t="e">
        <f>'All regions'!D5491+"n/&gt;!..j"</f>
        <v>#VALUE!</v>
      </c>
      <c r="FV219" t="e">
        <f>'All regions'!E5491+"n/&gt;!..k"</f>
        <v>#VALUE!</v>
      </c>
      <c r="FW219" t="e">
        <f>'All regions'!F5491+"n/&gt;!..l"</f>
        <v>#VALUE!</v>
      </c>
      <c r="FX219" t="e">
        <f>'All regions'!G5491+"n/&gt;!..m"</f>
        <v>#VALUE!</v>
      </c>
      <c r="FY219" t="e">
        <f>'All regions'!H5491+"n/&gt;!..n"</f>
        <v>#VALUE!</v>
      </c>
      <c r="FZ219" t="e">
        <f>'All regions'!I5491+"n/&gt;!..o"</f>
        <v>#VALUE!</v>
      </c>
      <c r="GA219" t="e">
        <f>'All regions'!J5491+"n/&gt;!..p"</f>
        <v>#VALUE!</v>
      </c>
      <c r="GB219" t="e">
        <f>'All regions'!A5492+"n/&gt;!..q"</f>
        <v>#VALUE!</v>
      </c>
      <c r="GC219" t="e">
        <f>'All regions'!B5492+"n/&gt;!..r"</f>
        <v>#VALUE!</v>
      </c>
      <c r="GD219" t="e">
        <f>'All regions'!C5492+"n/&gt;!..s"</f>
        <v>#VALUE!</v>
      </c>
      <c r="GE219" t="e">
        <f>'All regions'!D5492+"n/&gt;!..t"</f>
        <v>#VALUE!</v>
      </c>
      <c r="GF219" t="e">
        <f>'All regions'!E5492+"n/&gt;!..u"</f>
        <v>#VALUE!</v>
      </c>
      <c r="GG219" t="e">
        <f>'All regions'!F5492+"n/&gt;!..v"</f>
        <v>#VALUE!</v>
      </c>
      <c r="GH219" t="e">
        <f>'All regions'!G5492+"n/&gt;!..w"</f>
        <v>#VALUE!</v>
      </c>
      <c r="GI219" t="e">
        <f>'All regions'!H5492+"n/&gt;!..x"</f>
        <v>#VALUE!</v>
      </c>
      <c r="GJ219" t="e">
        <f>'All regions'!I5492+"n/&gt;!..y"</f>
        <v>#VALUE!</v>
      </c>
      <c r="GK219" t="e">
        <f>'All regions'!J5492+"n/&gt;!..z"</f>
        <v>#VALUE!</v>
      </c>
      <c r="GL219" t="e">
        <f>'All regions'!A5493+"n/&gt;!..{"</f>
        <v>#VALUE!</v>
      </c>
      <c r="GM219" t="e">
        <f>'All regions'!B5493+"n/&gt;!..|"</f>
        <v>#VALUE!</v>
      </c>
      <c r="GN219" t="e">
        <f>'All regions'!C5493+"n/&gt;!..}"</f>
        <v>#VALUE!</v>
      </c>
      <c r="GO219" t="e">
        <f>'All regions'!D5493+"n/&gt;!..~"</f>
        <v>#VALUE!</v>
      </c>
      <c r="GP219" t="e">
        <f>'All regions'!E5493+"n/&gt;!./#"</f>
        <v>#VALUE!</v>
      </c>
      <c r="GQ219" t="e">
        <f>'All regions'!F5493+"n/&gt;!./$"</f>
        <v>#VALUE!</v>
      </c>
      <c r="GR219" t="e">
        <f>'All regions'!G5493+"n/&gt;!./%"</f>
        <v>#VALUE!</v>
      </c>
      <c r="GS219" t="e">
        <f>'All regions'!H5493+"n/&gt;!./&amp;"</f>
        <v>#VALUE!</v>
      </c>
      <c r="GT219" t="e">
        <f>'All regions'!I5493+"n/&gt;!./'"</f>
        <v>#VALUE!</v>
      </c>
      <c r="GU219" t="e">
        <f>'All regions'!J5493+"n/&gt;!./("</f>
        <v>#VALUE!</v>
      </c>
      <c r="GV219" t="e">
        <f>'All regions'!A5494+"n/&gt;!./)"</f>
        <v>#VALUE!</v>
      </c>
      <c r="GW219" t="e">
        <f>'All regions'!B5494+"n/&gt;!./."</f>
        <v>#VALUE!</v>
      </c>
      <c r="GX219" t="e">
        <f>'All regions'!C5494+"n/&gt;!.//"</f>
        <v>#VALUE!</v>
      </c>
      <c r="GY219" t="e">
        <f>'All regions'!D5494+"n/&gt;!./0"</f>
        <v>#VALUE!</v>
      </c>
      <c r="GZ219" t="e">
        <f>'All regions'!E5494+"n/&gt;!./1"</f>
        <v>#VALUE!</v>
      </c>
      <c r="HA219" t="e">
        <f>'All regions'!F5494+"n/&gt;!./2"</f>
        <v>#VALUE!</v>
      </c>
      <c r="HB219" t="e">
        <f>'All regions'!G5494+"n/&gt;!./3"</f>
        <v>#VALUE!</v>
      </c>
      <c r="HC219" t="e">
        <f>'All regions'!H5494+"n/&gt;!./4"</f>
        <v>#VALUE!</v>
      </c>
      <c r="HD219" t="e">
        <f>'All regions'!I5494+"n/&gt;!./5"</f>
        <v>#VALUE!</v>
      </c>
      <c r="HE219" t="e">
        <f>'All regions'!J5494+"n/&gt;!./6"</f>
        <v>#VALUE!</v>
      </c>
      <c r="HF219" t="e">
        <f>'All regions'!A5495+"n/&gt;!./7"</f>
        <v>#VALUE!</v>
      </c>
      <c r="HG219" t="e">
        <f>'All regions'!B5495+"n/&gt;!./8"</f>
        <v>#VALUE!</v>
      </c>
      <c r="HH219" t="e">
        <f>'All regions'!C5495+"n/&gt;!./9"</f>
        <v>#VALUE!</v>
      </c>
      <c r="HI219" t="e">
        <f>'All regions'!D5495+"n/&gt;!./:"</f>
        <v>#VALUE!</v>
      </c>
      <c r="HJ219" t="e">
        <f>'All regions'!E5495+"n/&gt;!./;"</f>
        <v>#VALUE!</v>
      </c>
      <c r="HK219" t="e">
        <f>'All regions'!F5495+"n/&gt;!./&lt;"</f>
        <v>#VALUE!</v>
      </c>
      <c r="HL219" t="e">
        <f>'All regions'!G5495+"n/&gt;!./="</f>
        <v>#VALUE!</v>
      </c>
      <c r="HM219" t="e">
        <f>'All regions'!H5495+"n/&gt;!./&gt;"</f>
        <v>#VALUE!</v>
      </c>
      <c r="HN219" t="e">
        <f>'All regions'!I5495+"n/&gt;!./?"</f>
        <v>#VALUE!</v>
      </c>
      <c r="HO219" t="e">
        <f>'All regions'!J5495+"n/&gt;!./@"</f>
        <v>#VALUE!</v>
      </c>
      <c r="HP219" t="e">
        <f>'All regions'!A5496+"n/&gt;!./A"</f>
        <v>#VALUE!</v>
      </c>
      <c r="HQ219" t="e">
        <f>'All regions'!B5496+"n/&gt;!./B"</f>
        <v>#VALUE!</v>
      </c>
      <c r="HR219" t="e">
        <f>'All regions'!C5496+"n/&gt;!./C"</f>
        <v>#VALUE!</v>
      </c>
      <c r="HS219" t="e">
        <f>'All regions'!D5496+"n/&gt;!./D"</f>
        <v>#VALUE!</v>
      </c>
      <c r="HT219" t="e">
        <f>'All regions'!E5496+"n/&gt;!./E"</f>
        <v>#VALUE!</v>
      </c>
      <c r="HU219" t="e">
        <f>'All regions'!F5496+"n/&gt;!./F"</f>
        <v>#VALUE!</v>
      </c>
      <c r="HV219" t="e">
        <f>'All regions'!G5496+"n/&gt;!./G"</f>
        <v>#VALUE!</v>
      </c>
      <c r="HW219" t="e">
        <f>'All regions'!H5496+"n/&gt;!./H"</f>
        <v>#VALUE!</v>
      </c>
      <c r="HX219" t="e">
        <f>'All regions'!I5496+"n/&gt;!./I"</f>
        <v>#VALUE!</v>
      </c>
      <c r="HY219" t="e">
        <f>'All regions'!J5496+"n/&gt;!./J"</f>
        <v>#VALUE!</v>
      </c>
      <c r="HZ219" t="e">
        <f>'All regions'!A5497+"n/&gt;!./K"</f>
        <v>#VALUE!</v>
      </c>
      <c r="IA219" t="e">
        <f>'All regions'!B5497+"n/&gt;!./L"</f>
        <v>#VALUE!</v>
      </c>
      <c r="IB219" t="e">
        <f>'All regions'!C5497+"n/&gt;!./M"</f>
        <v>#VALUE!</v>
      </c>
      <c r="IC219" t="e">
        <f>'All regions'!D5497+"n/&gt;!./N"</f>
        <v>#VALUE!</v>
      </c>
      <c r="ID219" t="e">
        <f>'All regions'!E5497+"n/&gt;!./O"</f>
        <v>#VALUE!</v>
      </c>
      <c r="IE219" t="e">
        <f>'All regions'!F5497+"n/&gt;!./P"</f>
        <v>#VALUE!</v>
      </c>
      <c r="IF219" t="e">
        <f>'All regions'!G5497+"n/&gt;!./Q"</f>
        <v>#VALUE!</v>
      </c>
      <c r="IG219" t="e">
        <f>'All regions'!H5497+"n/&gt;!./R"</f>
        <v>#VALUE!</v>
      </c>
      <c r="IH219" t="e">
        <f>'All regions'!I5497+"n/&gt;!./S"</f>
        <v>#VALUE!</v>
      </c>
      <c r="II219" t="e">
        <f>'All regions'!J5497+"n/&gt;!./T"</f>
        <v>#VALUE!</v>
      </c>
      <c r="IJ219" t="e">
        <f>'All regions'!A5498+"n/&gt;!./U"</f>
        <v>#VALUE!</v>
      </c>
      <c r="IK219" t="e">
        <f>'All regions'!B5498+"n/&gt;!./V"</f>
        <v>#VALUE!</v>
      </c>
      <c r="IL219" t="e">
        <f>'All regions'!C5498+"n/&gt;!./W"</f>
        <v>#VALUE!</v>
      </c>
      <c r="IM219" t="e">
        <f>'All regions'!D5498+"n/&gt;!./X"</f>
        <v>#VALUE!</v>
      </c>
      <c r="IN219" t="e">
        <f>'All regions'!E5498+"n/&gt;!./Y"</f>
        <v>#VALUE!</v>
      </c>
      <c r="IO219" t="e">
        <f>'All regions'!F5498+"n/&gt;!./Z"</f>
        <v>#VALUE!</v>
      </c>
      <c r="IP219" t="e">
        <f>'All regions'!G5498+"n/&gt;!./["</f>
        <v>#VALUE!</v>
      </c>
      <c r="IQ219" t="e">
        <f>'All regions'!H5498+"n/&gt;!./\"</f>
        <v>#VALUE!</v>
      </c>
      <c r="IR219" t="e">
        <f>'All regions'!I5498+"n/&gt;!./]"</f>
        <v>#VALUE!</v>
      </c>
      <c r="IS219" t="e">
        <f>'All regions'!J5498+"n/&gt;!./^"</f>
        <v>#VALUE!</v>
      </c>
      <c r="IT219" t="e">
        <f>'All regions'!A5499+"n/&gt;!./_"</f>
        <v>#VALUE!</v>
      </c>
      <c r="IU219" t="e">
        <f>'All regions'!B5499+"n/&gt;!./`"</f>
        <v>#VALUE!</v>
      </c>
      <c r="IV219" t="e">
        <f>'All regions'!C5499+"n/&gt;!./a"</f>
        <v>#VALUE!</v>
      </c>
    </row>
    <row r="220" spans="6:256" x14ac:dyDescent="0.35">
      <c r="F220" t="e">
        <f>'All regions'!D5499+"n/&gt;!./b"</f>
        <v>#VALUE!</v>
      </c>
      <c r="G220" t="e">
        <f>'All regions'!E5499+"n/&gt;!./c"</f>
        <v>#VALUE!</v>
      </c>
      <c r="H220" t="e">
        <f>'All regions'!F5499+"n/&gt;!./d"</f>
        <v>#VALUE!</v>
      </c>
      <c r="I220" t="e">
        <f>'All regions'!G5499+"n/&gt;!./e"</f>
        <v>#VALUE!</v>
      </c>
      <c r="J220" t="e">
        <f>'All regions'!H5499+"n/&gt;!./f"</f>
        <v>#VALUE!</v>
      </c>
      <c r="K220" t="e">
        <f>'All regions'!I5499+"n/&gt;!./g"</f>
        <v>#VALUE!</v>
      </c>
      <c r="L220" t="e">
        <f>'All regions'!J5499+"n/&gt;!./h"</f>
        <v>#VALUE!</v>
      </c>
      <c r="M220" t="e">
        <f>'All regions'!A5500+"n/&gt;!./i"</f>
        <v>#VALUE!</v>
      </c>
      <c r="N220" t="e">
        <f>'All regions'!B5500+"n/&gt;!./j"</f>
        <v>#VALUE!</v>
      </c>
      <c r="O220" t="e">
        <f>'All regions'!C5500+"n/&gt;!./k"</f>
        <v>#VALUE!</v>
      </c>
      <c r="P220" t="e">
        <f>'All regions'!D5500+"n/&gt;!./l"</f>
        <v>#VALUE!</v>
      </c>
      <c r="Q220" t="e">
        <f>'All regions'!E5500+"n/&gt;!./m"</f>
        <v>#VALUE!</v>
      </c>
      <c r="R220" t="e">
        <f>'All regions'!F5500+"n/&gt;!./n"</f>
        <v>#VALUE!</v>
      </c>
      <c r="S220" t="e">
        <f>'All regions'!G5500+"n/&gt;!./o"</f>
        <v>#VALUE!</v>
      </c>
      <c r="T220" t="e">
        <f>'All regions'!H5500+"n/&gt;!./p"</f>
        <v>#VALUE!</v>
      </c>
      <c r="U220" t="e">
        <f>'All regions'!I5500+"n/&gt;!./q"</f>
        <v>#VALUE!</v>
      </c>
      <c r="V220" t="e">
        <f>'All regions'!J5500+"n/&gt;!./r"</f>
        <v>#VALUE!</v>
      </c>
      <c r="W220" t="e">
        <f>'All regions'!A5501+"n/&gt;!./s"</f>
        <v>#VALUE!</v>
      </c>
      <c r="X220" t="e">
        <f>'All regions'!B5501+"n/&gt;!./t"</f>
        <v>#VALUE!</v>
      </c>
      <c r="Y220" t="e">
        <f>'All regions'!C5501+"n/&gt;!./u"</f>
        <v>#VALUE!</v>
      </c>
      <c r="Z220" t="e">
        <f>'All regions'!D5501+"n/&gt;!./v"</f>
        <v>#VALUE!</v>
      </c>
      <c r="AA220" t="e">
        <f>'All regions'!E5501+"n/&gt;!./w"</f>
        <v>#VALUE!</v>
      </c>
      <c r="AB220" t="e">
        <f>'All regions'!F5501+"n/&gt;!./x"</f>
        <v>#VALUE!</v>
      </c>
      <c r="AC220" t="e">
        <f>'All regions'!G5501+"n/&gt;!./y"</f>
        <v>#VALUE!</v>
      </c>
      <c r="AD220" t="e">
        <f>'All regions'!H5501+"n/&gt;!./z"</f>
        <v>#VALUE!</v>
      </c>
      <c r="AE220" t="e">
        <f>'All regions'!I5501+"n/&gt;!./{"</f>
        <v>#VALUE!</v>
      </c>
      <c r="AF220" t="e">
        <f>'All regions'!J5501+"n/&gt;!./|"</f>
        <v>#VALUE!</v>
      </c>
      <c r="AG220" t="e">
        <f>'All regions'!A5502+"n/&gt;!./}"</f>
        <v>#VALUE!</v>
      </c>
      <c r="AH220" t="e">
        <f>'All regions'!B5502+"n/&gt;!./~"</f>
        <v>#VALUE!</v>
      </c>
      <c r="AI220" t="e">
        <f>'All regions'!C5502+"n/&gt;!.0#"</f>
        <v>#VALUE!</v>
      </c>
      <c r="AJ220" t="e">
        <f>'All regions'!D5502+"n/&gt;!.0$"</f>
        <v>#VALUE!</v>
      </c>
      <c r="AK220" t="e">
        <f>'All regions'!E5502+"n/&gt;!.0%"</f>
        <v>#VALUE!</v>
      </c>
      <c r="AL220" t="e">
        <f>'All regions'!F5502+"n/&gt;!.0&amp;"</f>
        <v>#VALUE!</v>
      </c>
      <c r="AM220" t="e">
        <f>'All regions'!G5502+"n/&gt;!.0'"</f>
        <v>#VALUE!</v>
      </c>
      <c r="AN220" t="e">
        <f>'All regions'!H5502+"n/&gt;!.0("</f>
        <v>#VALUE!</v>
      </c>
      <c r="AO220" t="e">
        <f>'All regions'!I5502+"n/&gt;!.0)"</f>
        <v>#VALUE!</v>
      </c>
      <c r="AP220" t="e">
        <f>'All regions'!J5502+"n/&gt;!.0."</f>
        <v>#VALUE!</v>
      </c>
      <c r="AQ220" t="e">
        <f>'All regions'!A5503+"n/&gt;!.0/"</f>
        <v>#VALUE!</v>
      </c>
      <c r="AR220" t="e">
        <f>'All regions'!B5503+"n/&gt;!.00"</f>
        <v>#VALUE!</v>
      </c>
      <c r="AS220" t="e">
        <f>'All regions'!C5503+"n/&gt;!.01"</f>
        <v>#VALUE!</v>
      </c>
      <c r="AT220" t="e">
        <f>'All regions'!D5503+"n/&gt;!.02"</f>
        <v>#VALUE!</v>
      </c>
      <c r="AU220" t="e">
        <f>'All regions'!E5503+"n/&gt;!.03"</f>
        <v>#VALUE!</v>
      </c>
      <c r="AV220" t="e">
        <f>'All regions'!F5503+"n/&gt;!.04"</f>
        <v>#VALUE!</v>
      </c>
      <c r="AW220" t="e">
        <f>'All regions'!G5503+"n/&gt;!.05"</f>
        <v>#VALUE!</v>
      </c>
      <c r="AX220" t="e">
        <f>'All regions'!H5503+"n/&gt;!.06"</f>
        <v>#VALUE!</v>
      </c>
      <c r="AY220" t="e">
        <f>'All regions'!I5503+"n/&gt;!.07"</f>
        <v>#VALUE!</v>
      </c>
      <c r="AZ220" t="e">
        <f>'All regions'!J5503+"n/&gt;!.08"</f>
        <v>#VALUE!</v>
      </c>
      <c r="BA220" t="e">
        <f>'All regions'!A5504+"n/&gt;!.09"</f>
        <v>#VALUE!</v>
      </c>
      <c r="BB220" t="e">
        <f>'All regions'!B5504+"n/&gt;!.0:"</f>
        <v>#VALUE!</v>
      </c>
      <c r="BC220" t="e">
        <f>'All regions'!C5504+"n/&gt;!.0;"</f>
        <v>#VALUE!</v>
      </c>
      <c r="BD220" t="e">
        <f>'All regions'!D5504+"n/&gt;!.0&lt;"</f>
        <v>#VALUE!</v>
      </c>
      <c r="BE220" t="e">
        <f>'All regions'!E5504+"n/&gt;!.0="</f>
        <v>#VALUE!</v>
      </c>
      <c r="BF220" t="e">
        <f>'All regions'!F5504+"n/&gt;!.0&gt;"</f>
        <v>#VALUE!</v>
      </c>
      <c r="BG220" t="e">
        <f>'All regions'!G5504+"n/&gt;!.0?"</f>
        <v>#VALUE!</v>
      </c>
      <c r="BH220" t="e">
        <f>'All regions'!H5504+"n/&gt;!.0@"</f>
        <v>#VALUE!</v>
      </c>
      <c r="BI220" t="e">
        <f>'All regions'!I5504+"n/&gt;!.0A"</f>
        <v>#VALUE!</v>
      </c>
      <c r="BJ220" t="e">
        <f>'All regions'!J5504+"n/&gt;!.0B"</f>
        <v>#VALUE!</v>
      </c>
      <c r="BK220" t="e">
        <f>'All regions'!A5505+"n/&gt;!.0C"</f>
        <v>#VALUE!</v>
      </c>
      <c r="BL220" t="e">
        <f>'All regions'!B5505+"n/&gt;!.0D"</f>
        <v>#VALUE!</v>
      </c>
      <c r="BM220" t="e">
        <f>'All regions'!C5505+"n/&gt;!.0E"</f>
        <v>#VALUE!</v>
      </c>
      <c r="BN220" t="e">
        <f>'All regions'!D5505+"n/&gt;!.0F"</f>
        <v>#VALUE!</v>
      </c>
      <c r="BO220" t="e">
        <f>'All regions'!E5505+"n/&gt;!.0G"</f>
        <v>#VALUE!</v>
      </c>
      <c r="BP220" t="e">
        <f>'All regions'!F5505+"n/&gt;!.0H"</f>
        <v>#VALUE!</v>
      </c>
      <c r="BQ220" t="e">
        <f>'All regions'!G5505+"n/&gt;!.0I"</f>
        <v>#VALUE!</v>
      </c>
      <c r="BR220" t="e">
        <f>'All regions'!H5505+"n/&gt;!.0J"</f>
        <v>#VALUE!</v>
      </c>
      <c r="BS220" t="e">
        <f>'All regions'!I5505+"n/&gt;!.0K"</f>
        <v>#VALUE!</v>
      </c>
      <c r="BT220" t="e">
        <f>'All regions'!J5505+"n/&gt;!.0L"</f>
        <v>#VALUE!</v>
      </c>
      <c r="BU220" t="e">
        <f>'All regions'!A5506+"n/&gt;!.0M"</f>
        <v>#VALUE!</v>
      </c>
      <c r="BV220" t="e">
        <f>'All regions'!B5506+"n/&gt;!.0N"</f>
        <v>#VALUE!</v>
      </c>
      <c r="BW220" t="e">
        <f>'All regions'!C5506+"n/&gt;!.0O"</f>
        <v>#VALUE!</v>
      </c>
      <c r="BX220" t="e">
        <f>'All regions'!D5506+"n/&gt;!.0P"</f>
        <v>#VALUE!</v>
      </c>
      <c r="BY220" t="e">
        <f>'All regions'!E5506+"n/&gt;!.0Q"</f>
        <v>#VALUE!</v>
      </c>
      <c r="BZ220" t="e">
        <f>'All regions'!F5506+"n/&gt;!.0R"</f>
        <v>#VALUE!</v>
      </c>
      <c r="CA220" t="e">
        <f>'All regions'!G5506+"n/&gt;!.0S"</f>
        <v>#VALUE!</v>
      </c>
      <c r="CB220" t="e">
        <f>'All regions'!H5506+"n/&gt;!.0T"</f>
        <v>#VALUE!</v>
      </c>
      <c r="CC220" t="e">
        <f>'All regions'!I5506+"n/&gt;!.0U"</f>
        <v>#VALUE!</v>
      </c>
      <c r="CD220" t="e">
        <f>'All regions'!J5506+"n/&gt;!.0V"</f>
        <v>#VALUE!</v>
      </c>
      <c r="CE220" t="e">
        <f>'All regions'!A5507+"n/&gt;!.0W"</f>
        <v>#VALUE!</v>
      </c>
      <c r="CF220" t="e">
        <f>'All regions'!B5507+"n/&gt;!.0X"</f>
        <v>#VALUE!</v>
      </c>
      <c r="CG220" t="e">
        <f>'All regions'!C5507+"n/&gt;!.0Y"</f>
        <v>#VALUE!</v>
      </c>
      <c r="CH220" t="e">
        <f>'All regions'!D5507+"n/&gt;!.0Z"</f>
        <v>#VALUE!</v>
      </c>
      <c r="CI220" t="e">
        <f>'All regions'!E5507+"n/&gt;!.0["</f>
        <v>#VALUE!</v>
      </c>
      <c r="CJ220" t="e">
        <f>'All regions'!F5507+"n/&gt;!.0\"</f>
        <v>#VALUE!</v>
      </c>
      <c r="CK220" t="e">
        <f>'All regions'!G5507+"n/&gt;!.0]"</f>
        <v>#VALUE!</v>
      </c>
      <c r="CL220" t="e">
        <f>'All regions'!H5507+"n/&gt;!.0^"</f>
        <v>#VALUE!</v>
      </c>
      <c r="CM220" t="e">
        <f>'All regions'!I5507+"n/&gt;!.0_"</f>
        <v>#VALUE!</v>
      </c>
      <c r="CN220" t="e">
        <f>'All regions'!J5507+"n/&gt;!.0`"</f>
        <v>#VALUE!</v>
      </c>
      <c r="CO220" t="e">
        <f>'All regions'!A5508+"n/&gt;!.0a"</f>
        <v>#VALUE!</v>
      </c>
      <c r="CP220" t="e">
        <f>'All regions'!B5508+"n/&gt;!.0b"</f>
        <v>#VALUE!</v>
      </c>
      <c r="CQ220" t="e">
        <f>'All regions'!C5508+"n/&gt;!.0c"</f>
        <v>#VALUE!</v>
      </c>
      <c r="CR220" t="e">
        <f>'All regions'!D5508+"n/&gt;!.0d"</f>
        <v>#VALUE!</v>
      </c>
      <c r="CS220" t="e">
        <f>'All regions'!E5508+"n/&gt;!.0e"</f>
        <v>#VALUE!</v>
      </c>
      <c r="CT220" t="e">
        <f>'All regions'!F5508+"n/&gt;!.0f"</f>
        <v>#VALUE!</v>
      </c>
      <c r="CU220" t="e">
        <f>'All regions'!G5508+"n/&gt;!.0g"</f>
        <v>#VALUE!</v>
      </c>
      <c r="CV220" t="e">
        <f>'All regions'!H5508+"n/&gt;!.0h"</f>
        <v>#VALUE!</v>
      </c>
      <c r="CW220" t="e">
        <f>'All regions'!I5508+"n/&gt;!.0i"</f>
        <v>#VALUE!</v>
      </c>
      <c r="CX220" t="e">
        <f>'All regions'!J5508+"n/&gt;!.0j"</f>
        <v>#VALUE!</v>
      </c>
      <c r="CY220" t="e">
        <f>'All regions'!A5509+"n/&gt;!.0k"</f>
        <v>#VALUE!</v>
      </c>
      <c r="CZ220" t="e">
        <f>'All regions'!B5509+"n/&gt;!.0l"</f>
        <v>#VALUE!</v>
      </c>
      <c r="DA220" t="e">
        <f>'All regions'!C5509+"n/&gt;!.0m"</f>
        <v>#VALUE!</v>
      </c>
      <c r="DB220" t="e">
        <f>'All regions'!D5509+"n/&gt;!.0n"</f>
        <v>#VALUE!</v>
      </c>
      <c r="DC220" t="e">
        <f>'All regions'!E5509+"n/&gt;!.0o"</f>
        <v>#VALUE!</v>
      </c>
      <c r="DD220" t="e">
        <f>'All regions'!F5509+"n/&gt;!.0p"</f>
        <v>#VALUE!</v>
      </c>
      <c r="DE220" t="e">
        <f>'All regions'!G5509+"n/&gt;!.0q"</f>
        <v>#VALUE!</v>
      </c>
      <c r="DF220" t="e">
        <f>'All regions'!H5509+"n/&gt;!.0r"</f>
        <v>#VALUE!</v>
      </c>
      <c r="DG220" t="e">
        <f>'All regions'!I5509+"n/&gt;!.0s"</f>
        <v>#VALUE!</v>
      </c>
      <c r="DH220" t="e">
        <f>'All regions'!J5509+"n/&gt;!.0t"</f>
        <v>#VALUE!</v>
      </c>
      <c r="DI220" t="e">
        <f>'All regions'!A5510+"n/&gt;!.0u"</f>
        <v>#VALUE!</v>
      </c>
      <c r="DJ220" t="e">
        <f>'All regions'!B5510+"n/&gt;!.0v"</f>
        <v>#VALUE!</v>
      </c>
      <c r="DK220" t="e">
        <f>'All regions'!C5510+"n/&gt;!.0w"</f>
        <v>#VALUE!</v>
      </c>
      <c r="DL220" t="e">
        <f>'All regions'!D5510+"n/&gt;!.0x"</f>
        <v>#VALUE!</v>
      </c>
      <c r="DM220" t="e">
        <f>'All regions'!E5510+"n/&gt;!.0y"</f>
        <v>#VALUE!</v>
      </c>
      <c r="DN220" t="e">
        <f>'All regions'!F5510+"n/&gt;!.0z"</f>
        <v>#VALUE!</v>
      </c>
      <c r="DO220" t="e">
        <f>'All regions'!G5510+"n/&gt;!.0{"</f>
        <v>#VALUE!</v>
      </c>
      <c r="DP220" t="e">
        <f>'All regions'!H5510+"n/&gt;!.0|"</f>
        <v>#VALUE!</v>
      </c>
      <c r="DQ220" t="e">
        <f>'All regions'!I5510+"n/&gt;!.0}"</f>
        <v>#VALUE!</v>
      </c>
      <c r="DR220" t="e">
        <f>'All regions'!J5510+"n/&gt;!.0~"</f>
        <v>#VALUE!</v>
      </c>
      <c r="DS220" t="e">
        <f>'All regions'!A5511+"n/&gt;!.1#"</f>
        <v>#VALUE!</v>
      </c>
      <c r="DT220" t="e">
        <f>'All regions'!B5511+"n/&gt;!.1$"</f>
        <v>#VALUE!</v>
      </c>
      <c r="DU220" t="e">
        <f>'All regions'!C5511+"n/&gt;!.1%"</f>
        <v>#VALUE!</v>
      </c>
      <c r="DV220" t="e">
        <f>'All regions'!D5511+"n/&gt;!.1&amp;"</f>
        <v>#VALUE!</v>
      </c>
      <c r="DW220" t="e">
        <f>'All regions'!E5511+"n/&gt;!.1'"</f>
        <v>#VALUE!</v>
      </c>
      <c r="DX220" t="e">
        <f>'All regions'!F5511+"n/&gt;!.1("</f>
        <v>#VALUE!</v>
      </c>
      <c r="DY220" t="e">
        <f>'All regions'!G5511+"n/&gt;!.1)"</f>
        <v>#VALUE!</v>
      </c>
      <c r="DZ220" t="e">
        <f>'All regions'!H5511+"n/&gt;!.1."</f>
        <v>#VALUE!</v>
      </c>
      <c r="EA220" t="e">
        <f>'All regions'!I5511+"n/&gt;!.1/"</f>
        <v>#VALUE!</v>
      </c>
      <c r="EB220" t="e">
        <f>'All regions'!J5511+"n/&gt;!.10"</f>
        <v>#VALUE!</v>
      </c>
      <c r="EC220" t="e">
        <f>'All regions'!A5512+"n/&gt;!.11"</f>
        <v>#VALUE!</v>
      </c>
      <c r="ED220" t="e">
        <f>'All regions'!B5512+"n/&gt;!.12"</f>
        <v>#VALUE!</v>
      </c>
      <c r="EE220" t="e">
        <f>'All regions'!C5512+"n/&gt;!.13"</f>
        <v>#VALUE!</v>
      </c>
      <c r="EF220" t="e">
        <f>'All regions'!D5512+"n/&gt;!.14"</f>
        <v>#VALUE!</v>
      </c>
      <c r="EG220" t="e">
        <f>'All regions'!E5512+"n/&gt;!.15"</f>
        <v>#VALUE!</v>
      </c>
      <c r="EH220" t="e">
        <f>'All regions'!F5512+"n/&gt;!.16"</f>
        <v>#VALUE!</v>
      </c>
      <c r="EI220" t="e">
        <f>'All regions'!G5512+"n/&gt;!.17"</f>
        <v>#VALUE!</v>
      </c>
      <c r="EJ220" t="e">
        <f>'All regions'!H5512+"n/&gt;!.18"</f>
        <v>#VALUE!</v>
      </c>
      <c r="EK220" t="e">
        <f>'All regions'!I5512+"n/&gt;!.19"</f>
        <v>#VALUE!</v>
      </c>
      <c r="EL220" t="e">
        <f>'All regions'!J5512+"n/&gt;!.1:"</f>
        <v>#VALUE!</v>
      </c>
      <c r="EM220" t="e">
        <f>'All regions'!A5513+"n/&gt;!.1;"</f>
        <v>#VALUE!</v>
      </c>
      <c r="EN220" t="e">
        <f>'All regions'!B5513+"n/&gt;!.1&lt;"</f>
        <v>#VALUE!</v>
      </c>
      <c r="EO220" t="e">
        <f>'All regions'!C5513+"n/&gt;!.1="</f>
        <v>#VALUE!</v>
      </c>
      <c r="EP220" t="e">
        <f>'All regions'!D5513+"n/&gt;!.1&gt;"</f>
        <v>#VALUE!</v>
      </c>
      <c r="EQ220" t="e">
        <f>'All regions'!E5513+"n/&gt;!.1?"</f>
        <v>#VALUE!</v>
      </c>
      <c r="ER220" t="e">
        <f>'All regions'!F5513+"n/&gt;!.1@"</f>
        <v>#VALUE!</v>
      </c>
      <c r="ES220" t="e">
        <f>'All regions'!G5513+"n/&gt;!.1A"</f>
        <v>#VALUE!</v>
      </c>
      <c r="ET220" t="e">
        <f>'All regions'!H5513+"n/&gt;!.1B"</f>
        <v>#VALUE!</v>
      </c>
      <c r="EU220" t="e">
        <f>'All regions'!I5513+"n/&gt;!.1C"</f>
        <v>#VALUE!</v>
      </c>
      <c r="EV220" t="e">
        <f>'All regions'!J5513+"n/&gt;!.1D"</f>
        <v>#VALUE!</v>
      </c>
      <c r="EW220" t="e">
        <f>'All regions'!A5514+"n/&gt;!.1E"</f>
        <v>#VALUE!</v>
      </c>
      <c r="EX220" t="e">
        <f>'All regions'!B5514+"n/&gt;!.1F"</f>
        <v>#VALUE!</v>
      </c>
      <c r="EY220" t="e">
        <f>'All regions'!C5514+"n/&gt;!.1G"</f>
        <v>#VALUE!</v>
      </c>
      <c r="EZ220" t="e">
        <f>'All regions'!D5514+"n/&gt;!.1H"</f>
        <v>#VALUE!</v>
      </c>
      <c r="FA220" t="e">
        <f>'All regions'!E5514+"n/&gt;!.1I"</f>
        <v>#VALUE!</v>
      </c>
      <c r="FB220" t="e">
        <f>'All regions'!F5514+"n/&gt;!.1J"</f>
        <v>#VALUE!</v>
      </c>
      <c r="FC220" t="e">
        <f>'All regions'!G5514+"n/&gt;!.1K"</f>
        <v>#VALUE!</v>
      </c>
      <c r="FD220" t="e">
        <f>'All regions'!H5514+"n/&gt;!.1L"</f>
        <v>#VALUE!</v>
      </c>
      <c r="FE220" t="e">
        <f>'All regions'!I5514+"n/&gt;!.1M"</f>
        <v>#VALUE!</v>
      </c>
      <c r="FF220" t="e">
        <f>'All regions'!J5514+"n/&gt;!.1N"</f>
        <v>#VALUE!</v>
      </c>
      <c r="FG220" t="e">
        <f>'All regions'!A5515+"n/&gt;!.1O"</f>
        <v>#VALUE!</v>
      </c>
      <c r="FH220" t="e">
        <f>'All regions'!B5515+"n/&gt;!.1P"</f>
        <v>#VALUE!</v>
      </c>
      <c r="FI220" t="e">
        <f>'All regions'!C5515+"n/&gt;!.1Q"</f>
        <v>#VALUE!</v>
      </c>
      <c r="FJ220" t="e">
        <f>'All regions'!D5515+"n/&gt;!.1R"</f>
        <v>#VALUE!</v>
      </c>
      <c r="FK220" t="e">
        <f>'All regions'!E5515+"n/&gt;!.1S"</f>
        <v>#VALUE!</v>
      </c>
      <c r="FL220" t="e">
        <f>'All regions'!F5515+"n/&gt;!.1T"</f>
        <v>#VALUE!</v>
      </c>
      <c r="FM220" t="e">
        <f>'All regions'!G5515+"n/&gt;!.1U"</f>
        <v>#VALUE!</v>
      </c>
      <c r="FN220" t="e">
        <f>'All regions'!H5515+"n/&gt;!.1V"</f>
        <v>#VALUE!</v>
      </c>
      <c r="FO220" t="e">
        <f>'All regions'!I5515+"n/&gt;!.1W"</f>
        <v>#VALUE!</v>
      </c>
      <c r="FP220" t="e">
        <f>'All regions'!J5515+"n/&gt;!.1X"</f>
        <v>#VALUE!</v>
      </c>
      <c r="FQ220" t="e">
        <f>'All regions'!A5516+"n/&gt;!.1Y"</f>
        <v>#VALUE!</v>
      </c>
      <c r="FR220" t="e">
        <f>'All regions'!B5516+"n/&gt;!.1Z"</f>
        <v>#VALUE!</v>
      </c>
      <c r="FS220" t="e">
        <f>'All regions'!C5516+"n/&gt;!.1["</f>
        <v>#VALUE!</v>
      </c>
      <c r="FT220" t="e">
        <f>'All regions'!D5516+"n/&gt;!.1\"</f>
        <v>#VALUE!</v>
      </c>
      <c r="FU220" t="e">
        <f>'All regions'!E5516+"n/&gt;!.1]"</f>
        <v>#VALUE!</v>
      </c>
      <c r="FV220" t="e">
        <f>'All regions'!F5516+"n/&gt;!.1^"</f>
        <v>#VALUE!</v>
      </c>
      <c r="FW220" t="e">
        <f>'All regions'!G5516+"n/&gt;!.1_"</f>
        <v>#VALUE!</v>
      </c>
      <c r="FX220" t="e">
        <f>'All regions'!H5516+"n/&gt;!.1`"</f>
        <v>#VALUE!</v>
      </c>
      <c r="FY220" t="e">
        <f>'All regions'!I5516+"n/&gt;!.1a"</f>
        <v>#VALUE!</v>
      </c>
      <c r="FZ220" t="e">
        <f>'All regions'!J5516+"n/&gt;!.1b"</f>
        <v>#VALUE!</v>
      </c>
      <c r="GA220" t="e">
        <f>'All regions'!A5517+"n/&gt;!.1c"</f>
        <v>#VALUE!</v>
      </c>
      <c r="GB220" t="e">
        <f>'All regions'!B5517+"n/&gt;!.1d"</f>
        <v>#VALUE!</v>
      </c>
      <c r="GC220" t="e">
        <f>'All regions'!C5517+"n/&gt;!.1e"</f>
        <v>#VALUE!</v>
      </c>
      <c r="GD220" t="e">
        <f>'All regions'!D5517+"n/&gt;!.1f"</f>
        <v>#VALUE!</v>
      </c>
      <c r="GE220" t="e">
        <f>'All regions'!E5517+"n/&gt;!.1g"</f>
        <v>#VALUE!</v>
      </c>
      <c r="GF220" t="e">
        <f>'All regions'!F5517+"n/&gt;!.1h"</f>
        <v>#VALUE!</v>
      </c>
      <c r="GG220" t="e">
        <f>'All regions'!G5517+"n/&gt;!.1i"</f>
        <v>#VALUE!</v>
      </c>
      <c r="GH220" t="e">
        <f>'All regions'!H5517+"n/&gt;!.1j"</f>
        <v>#VALUE!</v>
      </c>
      <c r="GI220" t="e">
        <f>'All regions'!I5517+"n/&gt;!.1k"</f>
        <v>#VALUE!</v>
      </c>
      <c r="GJ220" t="e">
        <f>'All regions'!J5517+"n/&gt;!.1l"</f>
        <v>#VALUE!</v>
      </c>
      <c r="GK220" t="e">
        <f>'All regions'!A5518+"n/&gt;!.1m"</f>
        <v>#VALUE!</v>
      </c>
      <c r="GL220" t="e">
        <f>'All regions'!B5518+"n/&gt;!.1n"</f>
        <v>#VALUE!</v>
      </c>
      <c r="GM220" t="e">
        <f>'All regions'!C5518+"n/&gt;!.1o"</f>
        <v>#VALUE!</v>
      </c>
      <c r="GN220" t="e">
        <f>'All regions'!D5518+"n/&gt;!.1p"</f>
        <v>#VALUE!</v>
      </c>
      <c r="GO220" t="e">
        <f>'All regions'!E5518+"n/&gt;!.1q"</f>
        <v>#VALUE!</v>
      </c>
      <c r="GP220" t="e">
        <f>'All regions'!F5518+"n/&gt;!.1r"</f>
        <v>#VALUE!</v>
      </c>
      <c r="GQ220" t="e">
        <f>'All regions'!G5518+"n/&gt;!.1s"</f>
        <v>#VALUE!</v>
      </c>
      <c r="GR220" t="e">
        <f>'All regions'!H5518+"n/&gt;!.1t"</f>
        <v>#VALUE!</v>
      </c>
      <c r="GS220" t="e">
        <f>'All regions'!I5518+"n/&gt;!.1u"</f>
        <v>#VALUE!</v>
      </c>
      <c r="GT220" t="e">
        <f>'All regions'!J5518+"n/&gt;!.1v"</f>
        <v>#VALUE!</v>
      </c>
      <c r="GU220" t="e">
        <f>'All regions'!A5519+"n/&gt;!.1w"</f>
        <v>#VALUE!</v>
      </c>
      <c r="GV220" t="e">
        <f>'All regions'!B5519+"n/&gt;!.1x"</f>
        <v>#VALUE!</v>
      </c>
      <c r="GW220" t="e">
        <f>'All regions'!C5519+"n/&gt;!.1y"</f>
        <v>#VALUE!</v>
      </c>
      <c r="GX220" t="e">
        <f>'All regions'!D5519+"n/&gt;!.1z"</f>
        <v>#VALUE!</v>
      </c>
      <c r="GY220" t="e">
        <f>'All regions'!E5519+"n/&gt;!.1{"</f>
        <v>#VALUE!</v>
      </c>
      <c r="GZ220" t="e">
        <f>'All regions'!F5519+"n/&gt;!.1|"</f>
        <v>#VALUE!</v>
      </c>
      <c r="HA220" t="e">
        <f>'All regions'!G5519+"n/&gt;!.1}"</f>
        <v>#VALUE!</v>
      </c>
      <c r="HB220" t="e">
        <f>'All regions'!H5519+"n/&gt;!.1~"</f>
        <v>#VALUE!</v>
      </c>
      <c r="HC220" t="e">
        <f>'All regions'!I5519+"n/&gt;!.2#"</f>
        <v>#VALUE!</v>
      </c>
      <c r="HD220" t="e">
        <f>'All regions'!J5519+"n/&gt;!.2$"</f>
        <v>#VALUE!</v>
      </c>
      <c r="HE220" t="e">
        <f>'All regions'!A5520+"n/&gt;!.2%"</f>
        <v>#VALUE!</v>
      </c>
      <c r="HF220" t="e">
        <f>'All regions'!B5520+"n/&gt;!.2&amp;"</f>
        <v>#VALUE!</v>
      </c>
      <c r="HG220" t="e">
        <f>'All regions'!C5520+"n/&gt;!.2'"</f>
        <v>#VALUE!</v>
      </c>
      <c r="HH220" t="e">
        <f>'All regions'!D5520+"n/&gt;!.2("</f>
        <v>#VALUE!</v>
      </c>
      <c r="HI220" t="e">
        <f>'All regions'!E5520+"n/&gt;!.2)"</f>
        <v>#VALUE!</v>
      </c>
      <c r="HJ220" t="e">
        <f>'All regions'!F5520+"n/&gt;!.2."</f>
        <v>#VALUE!</v>
      </c>
      <c r="HK220" t="e">
        <f>'All regions'!G5520+"n/&gt;!.2/"</f>
        <v>#VALUE!</v>
      </c>
      <c r="HL220" t="e">
        <f>'All regions'!H5520+"n/&gt;!.20"</f>
        <v>#VALUE!</v>
      </c>
      <c r="HM220" t="e">
        <f>'All regions'!I5520+"n/&gt;!.21"</f>
        <v>#VALUE!</v>
      </c>
      <c r="HN220" t="e">
        <f>'All regions'!J5520+"n/&gt;!.22"</f>
        <v>#VALUE!</v>
      </c>
      <c r="HO220" t="e">
        <f>'All regions'!A5521+"n/&gt;!.23"</f>
        <v>#VALUE!</v>
      </c>
      <c r="HP220" t="e">
        <f>'All regions'!B5521+"n/&gt;!.24"</f>
        <v>#VALUE!</v>
      </c>
      <c r="HQ220" t="e">
        <f>'All regions'!C5521+"n/&gt;!.25"</f>
        <v>#VALUE!</v>
      </c>
      <c r="HR220" t="e">
        <f>'All regions'!D5521+"n/&gt;!.26"</f>
        <v>#VALUE!</v>
      </c>
      <c r="HS220" t="e">
        <f>'All regions'!E5521+"n/&gt;!.27"</f>
        <v>#VALUE!</v>
      </c>
      <c r="HT220" t="e">
        <f>'All regions'!F5521+"n/&gt;!.28"</f>
        <v>#VALUE!</v>
      </c>
      <c r="HU220" t="e">
        <f>'All regions'!G5521+"n/&gt;!.29"</f>
        <v>#VALUE!</v>
      </c>
      <c r="HV220" t="e">
        <f>'All regions'!H5521+"n/&gt;!.2:"</f>
        <v>#VALUE!</v>
      </c>
      <c r="HW220" t="e">
        <f>'All regions'!I5521+"n/&gt;!.2;"</f>
        <v>#VALUE!</v>
      </c>
      <c r="HX220" t="e">
        <f>'All regions'!J5521+"n/&gt;!.2&lt;"</f>
        <v>#VALUE!</v>
      </c>
      <c r="HY220" t="e">
        <f>'All regions'!A5522+"n/&gt;!.2="</f>
        <v>#VALUE!</v>
      </c>
      <c r="HZ220" t="e">
        <f>'All regions'!B5522+"n/&gt;!.2&gt;"</f>
        <v>#VALUE!</v>
      </c>
      <c r="IA220" t="e">
        <f>'All regions'!C5522+"n/&gt;!.2?"</f>
        <v>#VALUE!</v>
      </c>
      <c r="IB220" t="e">
        <f>'All regions'!D5522+"n/&gt;!.2@"</f>
        <v>#VALUE!</v>
      </c>
      <c r="IC220" t="e">
        <f>'All regions'!E5522+"n/&gt;!.2A"</f>
        <v>#VALUE!</v>
      </c>
      <c r="ID220" t="e">
        <f>'All regions'!F5522+"n/&gt;!.2B"</f>
        <v>#VALUE!</v>
      </c>
      <c r="IE220" t="e">
        <f>'All regions'!G5522+"n/&gt;!.2C"</f>
        <v>#VALUE!</v>
      </c>
      <c r="IF220" t="e">
        <f>'All regions'!H5522+"n/&gt;!.2D"</f>
        <v>#VALUE!</v>
      </c>
      <c r="IG220" t="e">
        <f>'All regions'!I5522+"n/&gt;!.2E"</f>
        <v>#VALUE!</v>
      </c>
      <c r="IH220" t="e">
        <f>'All regions'!J5522+"n/&gt;!.2F"</f>
        <v>#VALUE!</v>
      </c>
      <c r="II220" t="e">
        <f>'All regions'!A5523+"n/&gt;!.2G"</f>
        <v>#VALUE!</v>
      </c>
      <c r="IJ220" t="e">
        <f>'All regions'!B5523+"n/&gt;!.2H"</f>
        <v>#VALUE!</v>
      </c>
      <c r="IK220" t="e">
        <f>'All regions'!C5523+"n/&gt;!.2I"</f>
        <v>#VALUE!</v>
      </c>
      <c r="IL220" t="e">
        <f>'All regions'!D5523+"n/&gt;!.2J"</f>
        <v>#VALUE!</v>
      </c>
      <c r="IM220" t="e">
        <f>'All regions'!E5523+"n/&gt;!.2K"</f>
        <v>#VALUE!</v>
      </c>
      <c r="IN220" t="e">
        <f>'All regions'!F5523+"n/&gt;!.2L"</f>
        <v>#VALUE!</v>
      </c>
      <c r="IO220" t="e">
        <f>'All regions'!G5523+"n/&gt;!.2M"</f>
        <v>#VALUE!</v>
      </c>
      <c r="IP220" t="e">
        <f>'All regions'!H5523+"n/&gt;!.2N"</f>
        <v>#VALUE!</v>
      </c>
      <c r="IQ220" t="e">
        <f>'All regions'!I5523+"n/&gt;!.2O"</f>
        <v>#VALUE!</v>
      </c>
      <c r="IR220" t="e">
        <f>'All regions'!J5523+"n/&gt;!.2P"</f>
        <v>#VALUE!</v>
      </c>
      <c r="IS220" t="e">
        <f>'All regions'!A5524+"n/&gt;!.2Q"</f>
        <v>#VALUE!</v>
      </c>
      <c r="IT220" t="e">
        <f>'All regions'!B5524+"n/&gt;!.2R"</f>
        <v>#VALUE!</v>
      </c>
      <c r="IU220" t="e">
        <f>'All regions'!C5524+"n/&gt;!.2S"</f>
        <v>#VALUE!</v>
      </c>
      <c r="IV220" t="e">
        <f>'All regions'!D5524+"n/&gt;!.2T"</f>
        <v>#VALUE!</v>
      </c>
    </row>
    <row r="221" spans="6:256" x14ac:dyDescent="0.35">
      <c r="F221" t="e">
        <f>'All regions'!E5524+"n/&gt;!.2U"</f>
        <v>#VALUE!</v>
      </c>
      <c r="G221" t="e">
        <f>'All regions'!F5524+"n/&gt;!.2V"</f>
        <v>#VALUE!</v>
      </c>
      <c r="H221" t="e">
        <f>'All regions'!G5524+"n/&gt;!.2W"</f>
        <v>#VALUE!</v>
      </c>
      <c r="I221" t="e">
        <f>'All regions'!H5524+"n/&gt;!.2X"</f>
        <v>#VALUE!</v>
      </c>
      <c r="J221" t="e">
        <f>'All regions'!I5524+"n/&gt;!.2Y"</f>
        <v>#VALUE!</v>
      </c>
      <c r="K221" t="e">
        <f>'All regions'!A5525+"n/&gt;!.2Z"</f>
        <v>#VALUE!</v>
      </c>
      <c r="L221" t="e">
        <f>'All regions'!B5525+"n/&gt;!.2["</f>
        <v>#VALUE!</v>
      </c>
      <c r="M221" t="e">
        <f>'All regions'!C5525+"n/&gt;!.2\"</f>
        <v>#VALUE!</v>
      </c>
      <c r="N221" t="e">
        <f>'All regions'!D5525+"n/&gt;!.2]"</f>
        <v>#VALUE!</v>
      </c>
      <c r="O221" t="e">
        <f>'All regions'!E5525+"n/&gt;!.2^"</f>
        <v>#VALUE!</v>
      </c>
      <c r="P221" t="e">
        <f>'All regions'!F5525+"n/&gt;!.2_"</f>
        <v>#VALUE!</v>
      </c>
      <c r="Q221" t="e">
        <f>'All regions'!G5525+"n/&gt;!.2`"</f>
        <v>#VALUE!</v>
      </c>
      <c r="R221" t="e">
        <f>'All regions'!H5525+"n/&gt;!.2a"</f>
        <v>#VALUE!</v>
      </c>
      <c r="S221" t="e">
        <f>'All regions'!I5525+"n/&gt;!.2b"</f>
        <v>#VALUE!</v>
      </c>
      <c r="T221" t="e">
        <f>'All regions'!A5526+"n/&gt;!.2c"</f>
        <v>#VALUE!</v>
      </c>
      <c r="U221" t="e">
        <f>'All regions'!B5526+"n/&gt;!.2d"</f>
        <v>#VALUE!</v>
      </c>
      <c r="V221" t="e">
        <f>'All regions'!C5526+"n/&gt;!.2e"</f>
        <v>#VALUE!</v>
      </c>
      <c r="W221" t="e">
        <f>'All regions'!D5526+"n/&gt;!.2f"</f>
        <v>#VALUE!</v>
      </c>
      <c r="X221" t="e">
        <f>'All regions'!E5526+"n/&gt;!.2g"</f>
        <v>#VALUE!</v>
      </c>
      <c r="Y221" t="e">
        <f>'All regions'!F5526+"n/&gt;!.2h"</f>
        <v>#VALUE!</v>
      </c>
      <c r="Z221" t="e">
        <f>'All regions'!G5526+"n/&gt;!.2i"</f>
        <v>#VALUE!</v>
      </c>
      <c r="AA221" t="e">
        <f>'All regions'!H5526+"n/&gt;!.2j"</f>
        <v>#VALUE!</v>
      </c>
      <c r="AB221" t="e">
        <f>'All regions'!I5526+"n/&gt;!.2k"</f>
        <v>#VALUE!</v>
      </c>
      <c r="AC221" t="e">
        <f>'All regions'!A5527+"n/&gt;!.2l"</f>
        <v>#VALUE!</v>
      </c>
      <c r="AD221" t="e">
        <f>'All regions'!B5527+"n/&gt;!.2m"</f>
        <v>#VALUE!</v>
      </c>
      <c r="AE221" t="e">
        <f>'All regions'!C5527+"n/&gt;!.2n"</f>
        <v>#VALUE!</v>
      </c>
      <c r="AF221" t="e">
        <f>'All regions'!D5527+"n/&gt;!.2o"</f>
        <v>#VALUE!</v>
      </c>
      <c r="AG221" t="e">
        <f>'All regions'!E5527+"n/&gt;!.2p"</f>
        <v>#VALUE!</v>
      </c>
      <c r="AH221" t="e">
        <f>'All regions'!F5527+"n/&gt;!.2q"</f>
        <v>#VALUE!</v>
      </c>
      <c r="AI221" t="e">
        <f>'All regions'!G5527+"n/&gt;!.2r"</f>
        <v>#VALUE!</v>
      </c>
      <c r="AJ221" t="e">
        <f>'All regions'!H5527+"n/&gt;!.2s"</f>
        <v>#VALUE!</v>
      </c>
      <c r="AK221" t="e">
        <f>'All regions'!I5527+"n/&gt;!.2t"</f>
        <v>#VALUE!</v>
      </c>
      <c r="AL221" t="e">
        <f>'All regions'!A5528+"n/&gt;!.2u"</f>
        <v>#VALUE!</v>
      </c>
      <c r="AM221" t="e">
        <f>'All regions'!B5528+"n/&gt;!.2v"</f>
        <v>#VALUE!</v>
      </c>
      <c r="AN221" t="e">
        <f>'All regions'!C5528+"n/&gt;!.2w"</f>
        <v>#VALUE!</v>
      </c>
      <c r="AO221" t="e">
        <f>'All regions'!D5528+"n/&gt;!.2x"</f>
        <v>#VALUE!</v>
      </c>
      <c r="AP221" t="e">
        <f>'All regions'!E5528+"n/&gt;!.2y"</f>
        <v>#VALUE!</v>
      </c>
      <c r="AQ221" t="e">
        <f>'All regions'!F5528+"n/&gt;!.2z"</f>
        <v>#VALUE!</v>
      </c>
      <c r="AR221" t="e">
        <f>'All regions'!G5528+"n/&gt;!.2{"</f>
        <v>#VALUE!</v>
      </c>
      <c r="AS221" t="e">
        <f>'All regions'!H5528+"n/&gt;!.2|"</f>
        <v>#VALUE!</v>
      </c>
      <c r="AT221" t="e">
        <f>'All regions'!I5528+"n/&gt;!.2}"</f>
        <v>#VALUE!</v>
      </c>
      <c r="AU221" t="e">
        <f>'All regions'!A5529+"n/&gt;!.2~"</f>
        <v>#VALUE!</v>
      </c>
      <c r="AV221" t="e">
        <f>'All regions'!B5529+"n/&gt;!.3#"</f>
        <v>#VALUE!</v>
      </c>
      <c r="AW221" t="e">
        <f>'All regions'!C5529+"n/&gt;!.3$"</f>
        <v>#VALUE!</v>
      </c>
      <c r="AX221" t="e">
        <f>'All regions'!D5529+"n/&gt;!.3%"</f>
        <v>#VALUE!</v>
      </c>
      <c r="AY221" t="e">
        <f>'All regions'!E5529+"n/&gt;!.3&amp;"</f>
        <v>#VALUE!</v>
      </c>
      <c r="AZ221" t="e">
        <f>'All regions'!F5529+"n/&gt;!.3'"</f>
        <v>#VALUE!</v>
      </c>
      <c r="BA221" t="e">
        <f>'All regions'!G5529+"n/&gt;!.3("</f>
        <v>#VALUE!</v>
      </c>
      <c r="BB221" t="e">
        <f>'All regions'!H5529+"n/&gt;!.3)"</f>
        <v>#VALUE!</v>
      </c>
      <c r="BC221" t="e">
        <f>'All regions'!I5529+"n/&gt;!.3."</f>
        <v>#VALUE!</v>
      </c>
      <c r="BD221" t="e">
        <f>'All regions'!A5530+"n/&gt;!.3/"</f>
        <v>#VALUE!</v>
      </c>
      <c r="BE221" t="e">
        <f>'All regions'!B5530+"n/&gt;!.30"</f>
        <v>#VALUE!</v>
      </c>
      <c r="BF221" t="e">
        <f>'All regions'!C5530+"n/&gt;!.31"</f>
        <v>#VALUE!</v>
      </c>
      <c r="BG221" t="e">
        <f>'All regions'!D5530+"n/&gt;!.32"</f>
        <v>#VALUE!</v>
      </c>
      <c r="BH221" t="e">
        <f>'All regions'!E5530+"n/&gt;!.33"</f>
        <v>#VALUE!</v>
      </c>
      <c r="BI221" t="e">
        <f>'All regions'!F5530+"n/&gt;!.34"</f>
        <v>#VALUE!</v>
      </c>
      <c r="BJ221" t="e">
        <f>'All regions'!G5530+"n/&gt;!.35"</f>
        <v>#VALUE!</v>
      </c>
      <c r="BK221" t="e">
        <f>'All regions'!H5530+"n/&gt;!.36"</f>
        <v>#VALUE!</v>
      </c>
      <c r="BL221" t="e">
        <f>'All regions'!I5530+"n/&gt;!.37"</f>
        <v>#VALUE!</v>
      </c>
      <c r="BM221" t="e">
        <f>'All regions'!A5531+"n/&gt;!.38"</f>
        <v>#VALUE!</v>
      </c>
      <c r="BN221" t="e">
        <f>'All regions'!B5531+"n/&gt;!.39"</f>
        <v>#VALUE!</v>
      </c>
      <c r="BO221" t="e">
        <f>'All regions'!C5531+"n/&gt;!.3:"</f>
        <v>#VALUE!</v>
      </c>
      <c r="BP221" t="e">
        <f>'All regions'!D5531+"n/&gt;!.3;"</f>
        <v>#VALUE!</v>
      </c>
      <c r="BQ221" t="e">
        <f>'All regions'!E5531+"n/&gt;!.3&lt;"</f>
        <v>#VALUE!</v>
      </c>
      <c r="BR221" t="e">
        <f>'All regions'!F5531+"n/&gt;!.3="</f>
        <v>#VALUE!</v>
      </c>
      <c r="BS221" t="e">
        <f>'All regions'!G5531+"n/&gt;!.3&gt;"</f>
        <v>#VALUE!</v>
      </c>
      <c r="BT221" t="e">
        <f>'All regions'!H5531+"n/&gt;!.3?"</f>
        <v>#VALUE!</v>
      </c>
      <c r="BU221" t="e">
        <f>'All regions'!I5531+"n/&gt;!.3@"</f>
        <v>#VALUE!</v>
      </c>
      <c r="BV221" t="e">
        <f>'All regions'!A5532+"n/&gt;!.3A"</f>
        <v>#VALUE!</v>
      </c>
      <c r="BW221" t="e">
        <f>'All regions'!B5532+"n/&gt;!.3B"</f>
        <v>#VALUE!</v>
      </c>
      <c r="BX221" t="e">
        <f>'All regions'!C5532+"n/&gt;!.3C"</f>
        <v>#VALUE!</v>
      </c>
      <c r="BY221" t="e">
        <f>'All regions'!D5532+"n/&gt;!.3D"</f>
        <v>#VALUE!</v>
      </c>
      <c r="BZ221" t="e">
        <f>'All regions'!E5532+"n/&gt;!.3E"</f>
        <v>#VALUE!</v>
      </c>
      <c r="CA221" t="e">
        <f>'All regions'!F5532+"n/&gt;!.3F"</f>
        <v>#VALUE!</v>
      </c>
      <c r="CB221" t="e">
        <f>'All regions'!G5532+"n/&gt;!.3G"</f>
        <v>#VALUE!</v>
      </c>
      <c r="CC221" t="e">
        <f>'All regions'!H5532+"n/&gt;!.3H"</f>
        <v>#VALUE!</v>
      </c>
      <c r="CD221" t="e">
        <f>'All regions'!I5532+"n/&gt;!.3I"</f>
        <v>#VALUE!</v>
      </c>
      <c r="CE221" t="e">
        <f>'All regions'!A5533+"n/&gt;!.3J"</f>
        <v>#VALUE!</v>
      </c>
      <c r="CF221" t="e">
        <f>'All regions'!B5533+"n/&gt;!.3K"</f>
        <v>#VALUE!</v>
      </c>
      <c r="CG221" t="e">
        <f>'All regions'!C5533+"n/&gt;!.3L"</f>
        <v>#VALUE!</v>
      </c>
      <c r="CH221" t="e">
        <f>'All regions'!D5533+"n/&gt;!.3M"</f>
        <v>#VALUE!</v>
      </c>
      <c r="CI221" t="e">
        <f>'All regions'!E5533+"n/&gt;!.3N"</f>
        <v>#VALUE!</v>
      </c>
      <c r="CJ221" t="e">
        <f>'All regions'!F5533+"n/&gt;!.3O"</f>
        <v>#VALUE!</v>
      </c>
      <c r="CK221" t="e">
        <f>'All regions'!G5533+"n/&gt;!.3P"</f>
        <v>#VALUE!</v>
      </c>
      <c r="CL221" t="e">
        <f>'All regions'!H5533+"n/&gt;!.3Q"</f>
        <v>#VALUE!</v>
      </c>
      <c r="CM221" t="e">
        <f>'All regions'!I5533+"n/&gt;!.3R"</f>
        <v>#VALUE!</v>
      </c>
      <c r="CN221" t="e">
        <f>'All regions'!A5534+"n/&gt;!.3S"</f>
        <v>#VALUE!</v>
      </c>
      <c r="CO221" t="e">
        <f>'All regions'!B5534+"n/&gt;!.3T"</f>
        <v>#VALUE!</v>
      </c>
      <c r="CP221" t="e">
        <f>'All regions'!C5534+"n/&gt;!.3U"</f>
        <v>#VALUE!</v>
      </c>
      <c r="CQ221" t="e">
        <f>'All regions'!D5534+"n/&gt;!.3V"</f>
        <v>#VALUE!</v>
      </c>
      <c r="CR221" t="e">
        <f>'All regions'!E5534+"n/&gt;!.3W"</f>
        <v>#VALUE!</v>
      </c>
      <c r="CS221" t="e">
        <f>'All regions'!F5534+"n/&gt;!.3X"</f>
        <v>#VALUE!</v>
      </c>
      <c r="CT221" t="e">
        <f>'All regions'!G5534+"n/&gt;!.3Y"</f>
        <v>#VALUE!</v>
      </c>
      <c r="CU221" t="e">
        <f>'All regions'!H5534+"n/&gt;!.3Z"</f>
        <v>#VALUE!</v>
      </c>
      <c r="CV221" t="e">
        <f>'All regions'!I5534+"n/&gt;!.3["</f>
        <v>#VALUE!</v>
      </c>
      <c r="CW221" t="e">
        <f>'All regions'!A5535+"n/&gt;!.3\"</f>
        <v>#VALUE!</v>
      </c>
      <c r="CX221" t="e">
        <f>'All regions'!B5535+"n/&gt;!.3]"</f>
        <v>#VALUE!</v>
      </c>
      <c r="CY221" t="e">
        <f>'All regions'!C5535+"n/&gt;!.3^"</f>
        <v>#VALUE!</v>
      </c>
      <c r="CZ221" t="e">
        <f>'All regions'!D5535+"n/&gt;!.3_"</f>
        <v>#VALUE!</v>
      </c>
      <c r="DA221" t="e">
        <f>'All regions'!E5535+"n/&gt;!.3`"</f>
        <v>#VALUE!</v>
      </c>
      <c r="DB221" t="e">
        <f>'All regions'!F5535+"n/&gt;!.3a"</f>
        <v>#VALUE!</v>
      </c>
      <c r="DC221" t="e">
        <f>'All regions'!G5535+"n/&gt;!.3b"</f>
        <v>#VALUE!</v>
      </c>
      <c r="DD221" t="e">
        <f>'All regions'!H5535+"n/&gt;!.3c"</f>
        <v>#VALUE!</v>
      </c>
      <c r="DE221" t="e">
        <f>'All regions'!I5535+"n/&gt;!.3d"</f>
        <v>#VALUE!</v>
      </c>
      <c r="DF221" t="e">
        <f>'All regions'!A5536+"n/&gt;!.3e"</f>
        <v>#VALUE!</v>
      </c>
      <c r="DG221" t="e">
        <f>'All regions'!B5536+"n/&gt;!.3f"</f>
        <v>#VALUE!</v>
      </c>
      <c r="DH221" t="e">
        <f>'All regions'!C5536+"n/&gt;!.3g"</f>
        <v>#VALUE!</v>
      </c>
      <c r="DI221" t="e">
        <f>'All regions'!D5536+"n/&gt;!.3h"</f>
        <v>#VALUE!</v>
      </c>
      <c r="DJ221" t="e">
        <f>'All regions'!E5536+"n/&gt;!.3i"</f>
        <v>#VALUE!</v>
      </c>
      <c r="DK221" t="e">
        <f>'All regions'!F5536+"n/&gt;!.3j"</f>
        <v>#VALUE!</v>
      </c>
      <c r="DL221" t="e">
        <f>'All regions'!G5536+"n/&gt;!.3k"</f>
        <v>#VALUE!</v>
      </c>
      <c r="DM221" t="e">
        <f>'All regions'!H5536+"n/&gt;!.3l"</f>
        <v>#VALUE!</v>
      </c>
      <c r="DN221" t="e">
        <f>'All regions'!I5536+"n/&gt;!.3m"</f>
        <v>#VALUE!</v>
      </c>
      <c r="DO221" t="e">
        <f>'All regions'!A5537+"n/&gt;!.3n"</f>
        <v>#VALUE!</v>
      </c>
      <c r="DP221" t="e">
        <f>'All regions'!B5537+"n/&gt;!.3o"</f>
        <v>#VALUE!</v>
      </c>
      <c r="DQ221" t="e">
        <f>'All regions'!C5537+"n/&gt;!.3p"</f>
        <v>#VALUE!</v>
      </c>
      <c r="DR221" t="e">
        <f>'All regions'!D5537+"n/&gt;!.3q"</f>
        <v>#VALUE!</v>
      </c>
      <c r="DS221" t="e">
        <f>'All regions'!E5537+"n/&gt;!.3r"</f>
        <v>#VALUE!</v>
      </c>
      <c r="DT221" t="e">
        <f>'All regions'!F5537+"n/&gt;!.3s"</f>
        <v>#VALUE!</v>
      </c>
      <c r="DU221" t="e">
        <f>'All regions'!G5537+"n/&gt;!.3t"</f>
        <v>#VALUE!</v>
      </c>
      <c r="DV221" t="e">
        <f>'All regions'!H5537+"n/&gt;!.3u"</f>
        <v>#VALUE!</v>
      </c>
      <c r="DW221" t="e">
        <f>'All regions'!I5537+"n/&gt;!.3v"</f>
        <v>#VALUE!</v>
      </c>
      <c r="DX221" t="e">
        <f>'All regions'!J5537+"n/&gt;!.3w"</f>
        <v>#VALUE!</v>
      </c>
      <c r="DY221" t="e">
        <f>'All regions'!A5538+"n/&gt;!.3x"</f>
        <v>#VALUE!</v>
      </c>
      <c r="DZ221" t="e">
        <f>'All regions'!B5538+"n/&gt;!.3y"</f>
        <v>#VALUE!</v>
      </c>
      <c r="EA221" t="e">
        <f>'All regions'!C5538+"n/&gt;!.3z"</f>
        <v>#VALUE!</v>
      </c>
      <c r="EB221" t="e">
        <f>'All regions'!D5538+"n/&gt;!.3{"</f>
        <v>#VALUE!</v>
      </c>
      <c r="EC221" t="e">
        <f>'All regions'!E5538+"n/&gt;!.3|"</f>
        <v>#VALUE!</v>
      </c>
      <c r="ED221" t="e">
        <f>'All regions'!F5538+"n/&gt;!.3}"</f>
        <v>#VALUE!</v>
      </c>
      <c r="EE221" t="e">
        <f>'All regions'!G5538+"n/&gt;!.3~"</f>
        <v>#VALUE!</v>
      </c>
      <c r="EF221" t="e">
        <f>'All regions'!H5538+"n/&gt;!.4#"</f>
        <v>#VALUE!</v>
      </c>
      <c r="EG221" t="e">
        <f>'All regions'!I5538+"n/&gt;!.4$"</f>
        <v>#VALUE!</v>
      </c>
      <c r="EH221" t="e">
        <f>'All regions'!J5538+"n/&gt;!.4%"</f>
        <v>#VALUE!</v>
      </c>
      <c r="EI221" t="e">
        <f>'All regions'!A5539+"n/&gt;!.4&amp;"</f>
        <v>#VALUE!</v>
      </c>
      <c r="EJ221" t="e">
        <f>'All regions'!B5539+"n/&gt;!.4'"</f>
        <v>#VALUE!</v>
      </c>
      <c r="EK221" t="e">
        <f>'All regions'!C5539+"n/&gt;!.4("</f>
        <v>#VALUE!</v>
      </c>
      <c r="EL221" t="e">
        <f>'All regions'!D5539+"n/&gt;!.4)"</f>
        <v>#VALUE!</v>
      </c>
      <c r="EM221" t="e">
        <f>'All regions'!E5539+"n/&gt;!.4."</f>
        <v>#VALUE!</v>
      </c>
      <c r="EN221" t="e">
        <f>'All regions'!F5539+"n/&gt;!.4/"</f>
        <v>#VALUE!</v>
      </c>
      <c r="EO221" t="e">
        <f>'All regions'!G5539+"n/&gt;!.40"</f>
        <v>#VALUE!</v>
      </c>
      <c r="EP221" t="e">
        <f>'All regions'!H5539+"n/&gt;!.41"</f>
        <v>#VALUE!</v>
      </c>
      <c r="EQ221" t="e">
        <f>'All regions'!I5539+"n/&gt;!.42"</f>
        <v>#VALUE!</v>
      </c>
      <c r="ER221" t="e">
        <f>'All regions'!J5539+"n/&gt;!.43"</f>
        <v>#VALUE!</v>
      </c>
      <c r="ES221" t="e">
        <f>'All regions'!A5540+"n/&gt;!.44"</f>
        <v>#VALUE!</v>
      </c>
      <c r="ET221" t="e">
        <f>'All regions'!B5540+"n/&gt;!.45"</f>
        <v>#VALUE!</v>
      </c>
      <c r="EU221" t="e">
        <f>'All regions'!C5540+"n/&gt;!.46"</f>
        <v>#VALUE!</v>
      </c>
      <c r="EV221" t="e">
        <f>'All regions'!D5540+"n/&gt;!.47"</f>
        <v>#VALUE!</v>
      </c>
      <c r="EW221" t="e">
        <f>'All regions'!E5540+"n/&gt;!.48"</f>
        <v>#VALUE!</v>
      </c>
      <c r="EX221" t="e">
        <f>'All regions'!F5540+"n/&gt;!.49"</f>
        <v>#VALUE!</v>
      </c>
      <c r="EY221" t="e">
        <f>'All regions'!G5540+"n/&gt;!.4:"</f>
        <v>#VALUE!</v>
      </c>
      <c r="EZ221" t="e">
        <f>'All regions'!H5540+"n/&gt;!.4;"</f>
        <v>#VALUE!</v>
      </c>
      <c r="FA221" t="e">
        <f>'All regions'!I5540+"n/&gt;!.4&lt;"</f>
        <v>#VALUE!</v>
      </c>
      <c r="FB221" t="e">
        <f>'All regions'!J5540+"n/&gt;!.4="</f>
        <v>#VALUE!</v>
      </c>
      <c r="FC221" t="e">
        <f>'All regions'!A5541+"n/&gt;!.4&gt;"</f>
        <v>#VALUE!</v>
      </c>
      <c r="FD221" t="e">
        <f>'All regions'!B5541+"n/&gt;!.4?"</f>
        <v>#VALUE!</v>
      </c>
      <c r="FE221" t="e">
        <f>'All regions'!C5541+"n/&gt;!.4@"</f>
        <v>#VALUE!</v>
      </c>
      <c r="FF221" t="e">
        <f>'All regions'!D5541+"n/&gt;!.4A"</f>
        <v>#VALUE!</v>
      </c>
      <c r="FG221" t="e">
        <f>'All regions'!E5541+"n/&gt;!.4B"</f>
        <v>#VALUE!</v>
      </c>
      <c r="FH221" t="e">
        <f>'All regions'!F5541+"n/&gt;!.4C"</f>
        <v>#VALUE!</v>
      </c>
      <c r="FI221" t="e">
        <f>'All regions'!G5541+"n/&gt;!.4D"</f>
        <v>#VALUE!</v>
      </c>
      <c r="FJ221" t="e">
        <f>'All regions'!H5541+"n/&gt;!.4E"</f>
        <v>#VALUE!</v>
      </c>
      <c r="FK221" t="e">
        <f>'All regions'!I5541+"n/&gt;!.4F"</f>
        <v>#VALUE!</v>
      </c>
      <c r="FL221" t="e">
        <f>'All regions'!J5541+"n/&gt;!.4G"</f>
        <v>#VALUE!</v>
      </c>
      <c r="FM221" t="e">
        <f>'All regions'!A5542+"n/&gt;!.4H"</f>
        <v>#VALUE!</v>
      </c>
      <c r="FN221" t="e">
        <f>'All regions'!B5542+"n/&gt;!.4I"</f>
        <v>#VALUE!</v>
      </c>
      <c r="FO221" t="e">
        <f>'All regions'!C5542+"n/&gt;!.4J"</f>
        <v>#VALUE!</v>
      </c>
      <c r="FP221" t="e">
        <f>'All regions'!D5542+"n/&gt;!.4K"</f>
        <v>#VALUE!</v>
      </c>
      <c r="FQ221" t="e">
        <f>'All regions'!E5542+"n/&gt;!.4L"</f>
        <v>#VALUE!</v>
      </c>
      <c r="FR221" t="e">
        <f>'All regions'!F5542+"n/&gt;!.4M"</f>
        <v>#VALUE!</v>
      </c>
      <c r="FS221" t="e">
        <f>'All regions'!G5542+"n/&gt;!.4N"</f>
        <v>#VALUE!</v>
      </c>
      <c r="FT221" t="e">
        <f>'All regions'!H5542+"n/&gt;!.4O"</f>
        <v>#VALUE!</v>
      </c>
      <c r="FU221" t="e">
        <f>'All regions'!I5542+"n/&gt;!.4P"</f>
        <v>#VALUE!</v>
      </c>
      <c r="FV221" t="e">
        <f>'All regions'!J5542+"n/&gt;!.4Q"</f>
        <v>#VALUE!</v>
      </c>
      <c r="FW221" t="e">
        <f>'All regions'!A5543+"n/&gt;!.4R"</f>
        <v>#VALUE!</v>
      </c>
      <c r="FX221" t="e">
        <f>'All regions'!B5543+"n/&gt;!.4S"</f>
        <v>#VALUE!</v>
      </c>
      <c r="FY221" t="e">
        <f>'All regions'!C5543+"n/&gt;!.4T"</f>
        <v>#VALUE!</v>
      </c>
      <c r="FZ221" t="e">
        <f>'All regions'!D5543+"n/&gt;!.4U"</f>
        <v>#VALUE!</v>
      </c>
      <c r="GA221" t="e">
        <f>'All regions'!E5543+"n/&gt;!.4V"</f>
        <v>#VALUE!</v>
      </c>
      <c r="GB221" t="e">
        <f>'All regions'!F5543+"n/&gt;!.4W"</f>
        <v>#VALUE!</v>
      </c>
      <c r="GC221" t="e">
        <f>'All regions'!G5543+"n/&gt;!.4X"</f>
        <v>#VALUE!</v>
      </c>
      <c r="GD221" t="e">
        <f>'All regions'!H5543+"n/&gt;!.4Y"</f>
        <v>#VALUE!</v>
      </c>
      <c r="GE221" t="e">
        <f>'All regions'!I5543+"n/&gt;!.4Z"</f>
        <v>#VALUE!</v>
      </c>
      <c r="GF221" t="e">
        <f>'All regions'!J5543+"n/&gt;!.4["</f>
        <v>#VALUE!</v>
      </c>
      <c r="GG221" t="e">
        <f>'All regions'!A5544+"n/&gt;!.4\"</f>
        <v>#VALUE!</v>
      </c>
      <c r="GH221" t="e">
        <f>'All regions'!B5544+"n/&gt;!.4]"</f>
        <v>#VALUE!</v>
      </c>
      <c r="GI221" t="e">
        <f>'All regions'!C5544+"n/&gt;!.4^"</f>
        <v>#VALUE!</v>
      </c>
      <c r="GJ221" t="e">
        <f>'All regions'!D5544+"n/&gt;!.4_"</f>
        <v>#VALUE!</v>
      </c>
      <c r="GK221" t="e">
        <f>'All regions'!E5544+"n/&gt;!.4`"</f>
        <v>#VALUE!</v>
      </c>
      <c r="GL221" t="e">
        <f>'All regions'!F5544+"n/&gt;!.4a"</f>
        <v>#VALUE!</v>
      </c>
      <c r="GM221" t="e">
        <f>'All regions'!G5544+"n/&gt;!.4b"</f>
        <v>#VALUE!</v>
      </c>
      <c r="GN221" t="e">
        <f>'All regions'!H5544+"n/&gt;!.4c"</f>
        <v>#VALUE!</v>
      </c>
      <c r="GO221" t="e">
        <f>'All regions'!I5544+"n/&gt;!.4d"</f>
        <v>#VALUE!</v>
      </c>
      <c r="GP221" t="e">
        <f>'All regions'!J5544+"n/&gt;!.4e"</f>
        <v>#VALUE!</v>
      </c>
      <c r="GQ221" t="e">
        <f>'All regions'!A5545+"n/&gt;!.4f"</f>
        <v>#VALUE!</v>
      </c>
      <c r="GR221" t="e">
        <f>'All regions'!B5545+"n/&gt;!.4g"</f>
        <v>#VALUE!</v>
      </c>
      <c r="GS221" t="e">
        <f>'All regions'!C5545+"n/&gt;!.4h"</f>
        <v>#VALUE!</v>
      </c>
      <c r="GT221" t="e">
        <f>'All regions'!D5545+"n/&gt;!.4i"</f>
        <v>#VALUE!</v>
      </c>
      <c r="GU221" t="e">
        <f>'All regions'!E5545+"n/&gt;!.4j"</f>
        <v>#VALUE!</v>
      </c>
      <c r="GV221" t="e">
        <f>'All regions'!F5545+"n/&gt;!.4k"</f>
        <v>#VALUE!</v>
      </c>
      <c r="GW221" t="e">
        <f>'All regions'!G5545+"n/&gt;!.4l"</f>
        <v>#VALUE!</v>
      </c>
      <c r="GX221" t="e">
        <f>'All regions'!H5545+"n/&gt;!.4m"</f>
        <v>#VALUE!</v>
      </c>
      <c r="GY221" t="e">
        <f>'All regions'!I5545+"n/&gt;!.4n"</f>
        <v>#VALUE!</v>
      </c>
      <c r="GZ221" t="e">
        <f>'All regions'!J5545+"n/&gt;!.4o"</f>
        <v>#VALUE!</v>
      </c>
      <c r="HA221" t="e">
        <f>'All regions'!A5546+"n/&gt;!.4p"</f>
        <v>#VALUE!</v>
      </c>
      <c r="HB221" t="e">
        <f>'All regions'!B5546+"n/&gt;!.4q"</f>
        <v>#VALUE!</v>
      </c>
      <c r="HC221" t="e">
        <f>'All regions'!C5546+"n/&gt;!.4r"</f>
        <v>#VALUE!</v>
      </c>
      <c r="HD221" t="e">
        <f>'All regions'!D5546+"n/&gt;!.4s"</f>
        <v>#VALUE!</v>
      </c>
      <c r="HE221" t="e">
        <f>'All regions'!E5546+"n/&gt;!.4t"</f>
        <v>#VALUE!</v>
      </c>
      <c r="HF221" t="e">
        <f>'All regions'!F5546+"n/&gt;!.4u"</f>
        <v>#VALUE!</v>
      </c>
      <c r="HG221" t="e">
        <f>'All regions'!G5546+"n/&gt;!.4v"</f>
        <v>#VALUE!</v>
      </c>
      <c r="HH221" t="e">
        <f>'All regions'!H5546+"n/&gt;!.4w"</f>
        <v>#VALUE!</v>
      </c>
      <c r="HI221" t="e">
        <f>'All regions'!I5546+"n/&gt;!.4x"</f>
        <v>#VALUE!</v>
      </c>
      <c r="HJ221" t="e">
        <f>'All regions'!J5546+"n/&gt;!.4y"</f>
        <v>#VALUE!</v>
      </c>
      <c r="HK221" t="e">
        <f>'All regions'!A5547+"n/&gt;!.4z"</f>
        <v>#VALUE!</v>
      </c>
      <c r="HL221" t="e">
        <f>'All regions'!B5547+"n/&gt;!.4{"</f>
        <v>#VALUE!</v>
      </c>
      <c r="HM221" t="e">
        <f>'All regions'!C5547+"n/&gt;!.4|"</f>
        <v>#VALUE!</v>
      </c>
      <c r="HN221" t="e">
        <f>'All regions'!D5547+"n/&gt;!.4}"</f>
        <v>#VALUE!</v>
      </c>
      <c r="HO221" t="e">
        <f>'All regions'!E5547+"n/&gt;!.4~"</f>
        <v>#VALUE!</v>
      </c>
      <c r="HP221" t="e">
        <f>'All regions'!F5547+"n/&gt;!.5#"</f>
        <v>#VALUE!</v>
      </c>
      <c r="HQ221" t="e">
        <f>'All regions'!G5547+"n/&gt;!.5$"</f>
        <v>#VALUE!</v>
      </c>
      <c r="HR221" t="e">
        <f>'All regions'!H5547+"n/&gt;!.5%"</f>
        <v>#VALUE!</v>
      </c>
      <c r="HS221" t="e">
        <f>'All regions'!I5547+"n/&gt;!.5&amp;"</f>
        <v>#VALUE!</v>
      </c>
      <c r="HT221" t="e">
        <f>'All regions'!J5547+"n/&gt;!.5'"</f>
        <v>#VALUE!</v>
      </c>
      <c r="HU221" t="e">
        <f>'All regions'!A5548+"n/&gt;!.5("</f>
        <v>#VALUE!</v>
      </c>
      <c r="HV221" t="e">
        <f>'All regions'!B5548+"n/&gt;!.5)"</f>
        <v>#VALUE!</v>
      </c>
      <c r="HW221" t="e">
        <f>'All regions'!C5548+"n/&gt;!.5."</f>
        <v>#VALUE!</v>
      </c>
      <c r="HX221" t="e">
        <f>'All regions'!D5548+"n/&gt;!.5/"</f>
        <v>#VALUE!</v>
      </c>
      <c r="HY221" t="e">
        <f>'All regions'!E5548+"n/&gt;!.50"</f>
        <v>#VALUE!</v>
      </c>
      <c r="HZ221" t="e">
        <f>'All regions'!F5548+"n/&gt;!.51"</f>
        <v>#VALUE!</v>
      </c>
      <c r="IA221" t="e">
        <f>'All regions'!G5548+"n/&gt;!.52"</f>
        <v>#VALUE!</v>
      </c>
      <c r="IB221" t="e">
        <f>'All regions'!H5548+"n/&gt;!.53"</f>
        <v>#VALUE!</v>
      </c>
      <c r="IC221" t="e">
        <f>'All regions'!I5548+"n/&gt;!.54"</f>
        <v>#VALUE!</v>
      </c>
      <c r="ID221" t="e">
        <f>'All regions'!J5548+"n/&gt;!.55"</f>
        <v>#VALUE!</v>
      </c>
      <c r="IE221" t="e">
        <f>'All regions'!A5549+"n/&gt;!.56"</f>
        <v>#VALUE!</v>
      </c>
      <c r="IF221" t="e">
        <f>'All regions'!B5549+"n/&gt;!.57"</f>
        <v>#VALUE!</v>
      </c>
      <c r="IG221" t="e">
        <f>'All regions'!C5549+"n/&gt;!.58"</f>
        <v>#VALUE!</v>
      </c>
      <c r="IH221" t="e">
        <f>'All regions'!D5549+"n/&gt;!.59"</f>
        <v>#VALUE!</v>
      </c>
      <c r="II221" t="e">
        <f>'All regions'!E5549+"n/&gt;!.5:"</f>
        <v>#VALUE!</v>
      </c>
      <c r="IJ221" t="e">
        <f>'All regions'!F5549+"n/&gt;!.5;"</f>
        <v>#VALUE!</v>
      </c>
      <c r="IK221" t="e">
        <f>'All regions'!G5549+"n/&gt;!.5&lt;"</f>
        <v>#VALUE!</v>
      </c>
      <c r="IL221" t="e">
        <f>'All regions'!H5549+"n/&gt;!.5="</f>
        <v>#VALUE!</v>
      </c>
      <c r="IM221" t="e">
        <f>'All regions'!I5549+"n/&gt;!.5&gt;"</f>
        <v>#VALUE!</v>
      </c>
      <c r="IN221" t="e">
        <f>'All regions'!J5549+"n/&gt;!.5?"</f>
        <v>#VALUE!</v>
      </c>
      <c r="IO221" t="e">
        <f>'All regions'!A5550+"n/&gt;!.5@"</f>
        <v>#VALUE!</v>
      </c>
      <c r="IP221" t="e">
        <f>'All regions'!B5550+"n/&gt;!.5A"</f>
        <v>#VALUE!</v>
      </c>
      <c r="IQ221" t="e">
        <f>'All regions'!C5550+"n/&gt;!.5B"</f>
        <v>#VALUE!</v>
      </c>
      <c r="IR221" t="e">
        <f>'All regions'!D5550+"n/&gt;!.5C"</f>
        <v>#VALUE!</v>
      </c>
      <c r="IS221" t="e">
        <f>'All regions'!E5550+"n/&gt;!.5D"</f>
        <v>#VALUE!</v>
      </c>
      <c r="IT221" t="e">
        <f>'All regions'!F5550+"n/&gt;!.5E"</f>
        <v>#VALUE!</v>
      </c>
      <c r="IU221" t="e">
        <f>'All regions'!G5550+"n/&gt;!.5F"</f>
        <v>#VALUE!</v>
      </c>
      <c r="IV221" t="e">
        <f>'All regions'!H5550+"n/&gt;!.5G"</f>
        <v>#VALUE!</v>
      </c>
    </row>
    <row r="222" spans="6:256" x14ac:dyDescent="0.35">
      <c r="F222" t="e">
        <f>'All regions'!I5550+"n/&gt;!.5H"</f>
        <v>#VALUE!</v>
      </c>
      <c r="G222" t="e">
        <f>'All regions'!J5550+"n/&gt;!.5I"</f>
        <v>#VALUE!</v>
      </c>
      <c r="H222" t="e">
        <f>'All regions'!A5551+"n/&gt;!.5J"</f>
        <v>#VALUE!</v>
      </c>
      <c r="I222" t="e">
        <f>'All regions'!B5551+"n/&gt;!.5K"</f>
        <v>#VALUE!</v>
      </c>
      <c r="J222" t="e">
        <f>'All regions'!C5551+"n/&gt;!.5L"</f>
        <v>#VALUE!</v>
      </c>
      <c r="K222" t="e">
        <f>'All regions'!D5551+"n/&gt;!.5M"</f>
        <v>#VALUE!</v>
      </c>
      <c r="L222" t="e">
        <f>'All regions'!E5551+"n/&gt;!.5N"</f>
        <v>#VALUE!</v>
      </c>
      <c r="M222" t="e">
        <f>'All regions'!F5551+"n/&gt;!.5O"</f>
        <v>#VALUE!</v>
      </c>
      <c r="N222" t="e">
        <f>'All regions'!G5551+"n/&gt;!.5P"</f>
        <v>#VALUE!</v>
      </c>
      <c r="O222" t="e">
        <f>'All regions'!H5551+"n/&gt;!.5Q"</f>
        <v>#VALUE!</v>
      </c>
      <c r="P222" t="e">
        <f>'All regions'!I5551+"n/&gt;!.5R"</f>
        <v>#VALUE!</v>
      </c>
      <c r="Q222" t="e">
        <f>'All regions'!J5551+"n/&gt;!.5S"</f>
        <v>#VALUE!</v>
      </c>
      <c r="R222" t="e">
        <f>'All regions'!A5552+"n/&gt;!.5T"</f>
        <v>#VALUE!</v>
      </c>
      <c r="S222" t="e">
        <f>'All regions'!B5552+"n/&gt;!.5U"</f>
        <v>#VALUE!</v>
      </c>
      <c r="T222" t="e">
        <f>'All regions'!C5552+"n/&gt;!.5V"</f>
        <v>#VALUE!</v>
      </c>
      <c r="U222" t="e">
        <f>'All regions'!D5552+"n/&gt;!.5W"</f>
        <v>#VALUE!</v>
      </c>
      <c r="V222" t="e">
        <f>'All regions'!E5552+"n/&gt;!.5X"</f>
        <v>#VALUE!</v>
      </c>
      <c r="W222" t="e">
        <f>'All regions'!F5552+"n/&gt;!.5Y"</f>
        <v>#VALUE!</v>
      </c>
      <c r="X222" t="e">
        <f>'All regions'!G5552+"n/&gt;!.5Z"</f>
        <v>#VALUE!</v>
      </c>
      <c r="Y222" t="e">
        <f>'All regions'!H5552+"n/&gt;!.5["</f>
        <v>#VALUE!</v>
      </c>
      <c r="Z222" t="e">
        <f>'All regions'!I5552+"n/&gt;!.5\"</f>
        <v>#VALUE!</v>
      </c>
      <c r="AA222" t="e">
        <f>'All regions'!J5552+"n/&gt;!.5]"</f>
        <v>#VALUE!</v>
      </c>
      <c r="AB222" t="e">
        <f>'All regions'!A5553+"n/&gt;!.5^"</f>
        <v>#VALUE!</v>
      </c>
      <c r="AC222" t="e">
        <f>'All regions'!B5553+"n/&gt;!.5_"</f>
        <v>#VALUE!</v>
      </c>
      <c r="AD222" t="e">
        <f>'All regions'!C5553+"n/&gt;!.5`"</f>
        <v>#VALUE!</v>
      </c>
      <c r="AE222" t="e">
        <f>'All regions'!D5553+"n/&gt;!.5a"</f>
        <v>#VALUE!</v>
      </c>
      <c r="AF222" t="e">
        <f>'All regions'!E5553+"n/&gt;!.5b"</f>
        <v>#VALUE!</v>
      </c>
      <c r="AG222" t="e">
        <f>'All regions'!F5553+"n/&gt;!.5c"</f>
        <v>#VALUE!</v>
      </c>
      <c r="AH222" t="e">
        <f>'All regions'!G5553+"n/&gt;!.5d"</f>
        <v>#VALUE!</v>
      </c>
      <c r="AI222" t="e">
        <f>'All regions'!H5553+"n/&gt;!.5e"</f>
        <v>#VALUE!</v>
      </c>
      <c r="AJ222" t="e">
        <f>'All regions'!I5553+"n/&gt;!.5f"</f>
        <v>#VALUE!</v>
      </c>
      <c r="AK222" t="e">
        <f>'All regions'!J5553+"n/&gt;!.5g"</f>
        <v>#VALUE!</v>
      </c>
      <c r="AL222" t="e">
        <f>'All regions'!A5554+"n/&gt;!.5h"</f>
        <v>#VALUE!</v>
      </c>
      <c r="AM222" t="e">
        <f>'All regions'!B5554+"n/&gt;!.5i"</f>
        <v>#VALUE!</v>
      </c>
      <c r="AN222" t="e">
        <f>'All regions'!C5554+"n/&gt;!.5j"</f>
        <v>#VALUE!</v>
      </c>
      <c r="AO222" t="e">
        <f>'All regions'!D5554+"n/&gt;!.5k"</f>
        <v>#VALUE!</v>
      </c>
      <c r="AP222" t="e">
        <f>'All regions'!E5554+"n/&gt;!.5l"</f>
        <v>#VALUE!</v>
      </c>
      <c r="AQ222" t="e">
        <f>'All regions'!F5554+"n/&gt;!.5m"</f>
        <v>#VALUE!</v>
      </c>
      <c r="AR222" t="e">
        <f>'All regions'!G5554+"n/&gt;!.5n"</f>
        <v>#VALUE!</v>
      </c>
      <c r="AS222" t="e">
        <f>'All regions'!H5554+"n/&gt;!.5o"</f>
        <v>#VALUE!</v>
      </c>
      <c r="AT222" t="e">
        <f>'All regions'!I5554+"n/&gt;!.5p"</f>
        <v>#VALUE!</v>
      </c>
      <c r="AU222" t="e">
        <f>'All regions'!J5554+"n/&gt;!.5q"</f>
        <v>#VALUE!</v>
      </c>
      <c r="AV222" t="e">
        <f>'All regions'!A5555+"n/&gt;!.5r"</f>
        <v>#VALUE!</v>
      </c>
      <c r="AW222" t="e">
        <f>'All regions'!B5555+"n/&gt;!.5s"</f>
        <v>#VALUE!</v>
      </c>
      <c r="AX222" t="e">
        <f>'All regions'!C5555+"n/&gt;!.5t"</f>
        <v>#VALUE!</v>
      </c>
      <c r="AY222" t="e">
        <f>'All regions'!D5555+"n/&gt;!.5u"</f>
        <v>#VALUE!</v>
      </c>
      <c r="AZ222" t="e">
        <f>'All regions'!E5555+"n/&gt;!.5v"</f>
        <v>#VALUE!</v>
      </c>
      <c r="BA222" t="e">
        <f>'All regions'!F5555+"n/&gt;!.5w"</f>
        <v>#VALUE!</v>
      </c>
      <c r="BB222" t="e">
        <f>'All regions'!G5555+"n/&gt;!.5x"</f>
        <v>#VALUE!</v>
      </c>
      <c r="BC222" t="e">
        <f>'All regions'!H5555+"n/&gt;!.5y"</f>
        <v>#VALUE!</v>
      </c>
      <c r="BD222" t="e">
        <f>'All regions'!I5555+"n/&gt;!.5z"</f>
        <v>#VALUE!</v>
      </c>
      <c r="BE222" t="e">
        <f>'All regions'!J5555+"n/&gt;!.5{"</f>
        <v>#VALUE!</v>
      </c>
      <c r="BF222" t="e">
        <f>'All regions'!A5556+"n/&gt;!.5|"</f>
        <v>#VALUE!</v>
      </c>
      <c r="BG222" t="e">
        <f>'All regions'!B5556+"n/&gt;!.5}"</f>
        <v>#VALUE!</v>
      </c>
      <c r="BH222" t="e">
        <f>'All regions'!C5556+"n/&gt;!.5~"</f>
        <v>#VALUE!</v>
      </c>
      <c r="BI222" t="e">
        <f>'All regions'!D5556+"n/&gt;!.6#"</f>
        <v>#VALUE!</v>
      </c>
      <c r="BJ222" t="e">
        <f>'All regions'!E5556+"n/&gt;!.6$"</f>
        <v>#VALUE!</v>
      </c>
      <c r="BK222" t="e">
        <f>'All regions'!F5556+"n/&gt;!.6%"</f>
        <v>#VALUE!</v>
      </c>
      <c r="BL222" t="e">
        <f>'All regions'!G5556+"n/&gt;!.6&amp;"</f>
        <v>#VALUE!</v>
      </c>
      <c r="BM222" t="e">
        <f>'All regions'!H5556+"n/&gt;!.6'"</f>
        <v>#VALUE!</v>
      </c>
      <c r="BN222" t="e">
        <f>'All regions'!I5556+"n/&gt;!.6("</f>
        <v>#VALUE!</v>
      </c>
      <c r="BO222" t="e">
        <f>'All regions'!J5556+"n/&gt;!.6)"</f>
        <v>#VALUE!</v>
      </c>
      <c r="BP222" t="e">
        <f>'All regions'!A5557+"n/&gt;!.6."</f>
        <v>#VALUE!</v>
      </c>
      <c r="BQ222" t="e">
        <f>'All regions'!B5557+"n/&gt;!.6/"</f>
        <v>#VALUE!</v>
      </c>
      <c r="BR222" t="e">
        <f>'All regions'!C5557+"n/&gt;!.60"</f>
        <v>#VALUE!</v>
      </c>
      <c r="BS222" t="e">
        <f>'All regions'!D5557+"n/&gt;!.61"</f>
        <v>#VALUE!</v>
      </c>
      <c r="BT222" t="e">
        <f>'All regions'!E5557+"n/&gt;!.62"</f>
        <v>#VALUE!</v>
      </c>
      <c r="BU222" t="e">
        <f>'All regions'!F5557+"n/&gt;!.63"</f>
        <v>#VALUE!</v>
      </c>
      <c r="BV222" t="e">
        <f>'All regions'!G5557+"n/&gt;!.64"</f>
        <v>#VALUE!</v>
      </c>
      <c r="BW222" t="e">
        <f>'All regions'!H5557+"n/&gt;!.65"</f>
        <v>#VALUE!</v>
      </c>
      <c r="BX222" t="e">
        <f>'All regions'!I5557+"n/&gt;!.66"</f>
        <v>#VALUE!</v>
      </c>
      <c r="BY222" t="e">
        <f>'All regions'!J5557+"n/&gt;!.67"</f>
        <v>#VALUE!</v>
      </c>
      <c r="BZ222" t="e">
        <f>'All regions'!A5558+"n/&gt;!.68"</f>
        <v>#VALUE!</v>
      </c>
      <c r="CA222" t="e">
        <f>'All regions'!B5558+"n/&gt;!.69"</f>
        <v>#VALUE!</v>
      </c>
      <c r="CB222" t="e">
        <f>'All regions'!C5558+"n/&gt;!.6:"</f>
        <v>#VALUE!</v>
      </c>
      <c r="CC222" t="e">
        <f>'All regions'!D5558+"n/&gt;!.6;"</f>
        <v>#VALUE!</v>
      </c>
      <c r="CD222" t="e">
        <f>'All regions'!E5558+"n/&gt;!.6&lt;"</f>
        <v>#VALUE!</v>
      </c>
      <c r="CE222" t="e">
        <f>'All regions'!F5558+"n/&gt;!.6="</f>
        <v>#VALUE!</v>
      </c>
      <c r="CF222" t="e">
        <f>'All regions'!G5558+"n/&gt;!.6&gt;"</f>
        <v>#VALUE!</v>
      </c>
      <c r="CG222" t="e">
        <f>'All regions'!H5558+"n/&gt;!.6?"</f>
        <v>#VALUE!</v>
      </c>
      <c r="CH222" t="e">
        <f>'All regions'!I5558+"n/&gt;!.6@"</f>
        <v>#VALUE!</v>
      </c>
      <c r="CI222" t="e">
        <f>'All regions'!J5558+"n/&gt;!.6A"</f>
        <v>#VALUE!</v>
      </c>
      <c r="CJ222" t="e">
        <f>'All regions'!A5559+"n/&gt;!.6B"</f>
        <v>#VALUE!</v>
      </c>
      <c r="CK222" t="e">
        <f>'All regions'!B5559+"n/&gt;!.6C"</f>
        <v>#VALUE!</v>
      </c>
      <c r="CL222" t="e">
        <f>'All regions'!C5559+"n/&gt;!.6D"</f>
        <v>#VALUE!</v>
      </c>
      <c r="CM222" t="e">
        <f>'All regions'!D5559+"n/&gt;!.6E"</f>
        <v>#VALUE!</v>
      </c>
      <c r="CN222" t="e">
        <f>'All regions'!E5559+"n/&gt;!.6F"</f>
        <v>#VALUE!</v>
      </c>
      <c r="CO222" t="e">
        <f>'All regions'!F5559+"n/&gt;!.6G"</f>
        <v>#VALUE!</v>
      </c>
      <c r="CP222" t="e">
        <f>'All regions'!G5559+"n/&gt;!.6H"</f>
        <v>#VALUE!</v>
      </c>
      <c r="CQ222" t="e">
        <f>'All regions'!H5559+"n/&gt;!.6I"</f>
        <v>#VALUE!</v>
      </c>
      <c r="CR222" t="e">
        <f>'All regions'!I5559+"n/&gt;!.6J"</f>
        <v>#VALUE!</v>
      </c>
      <c r="CS222" t="e">
        <f>'All regions'!J5559+"n/&gt;!.6K"</f>
        <v>#VALUE!</v>
      </c>
      <c r="CT222" t="e">
        <f>'All regions'!A5560+"n/&gt;!.6L"</f>
        <v>#VALUE!</v>
      </c>
      <c r="CU222" t="e">
        <f>'All regions'!B5560+"n/&gt;!.6M"</f>
        <v>#VALUE!</v>
      </c>
      <c r="CV222" t="e">
        <f>'All regions'!C5560+"n/&gt;!.6N"</f>
        <v>#VALUE!</v>
      </c>
      <c r="CW222" t="e">
        <f>'All regions'!D5560+"n/&gt;!.6O"</f>
        <v>#VALUE!</v>
      </c>
      <c r="CX222" t="e">
        <f>'All regions'!E5560+"n/&gt;!.6P"</f>
        <v>#VALUE!</v>
      </c>
      <c r="CY222" t="e">
        <f>'All regions'!F5560+"n/&gt;!.6Q"</f>
        <v>#VALUE!</v>
      </c>
      <c r="CZ222" t="e">
        <f>'All regions'!G5560+"n/&gt;!.6R"</f>
        <v>#VALUE!</v>
      </c>
      <c r="DA222" t="e">
        <f>'All regions'!H5560+"n/&gt;!.6S"</f>
        <v>#VALUE!</v>
      </c>
      <c r="DB222" t="e">
        <f>'All regions'!I5560+"n/&gt;!.6T"</f>
        <v>#VALUE!</v>
      </c>
      <c r="DC222" t="e">
        <f>'All regions'!J5560+"n/&gt;!.6U"</f>
        <v>#VALUE!</v>
      </c>
      <c r="DD222" t="e">
        <f>'All regions'!A5561+"n/&gt;!.6V"</f>
        <v>#VALUE!</v>
      </c>
      <c r="DE222" t="e">
        <f>'All regions'!B5561+"n/&gt;!.6W"</f>
        <v>#VALUE!</v>
      </c>
      <c r="DF222" t="e">
        <f>'All regions'!C5561+"n/&gt;!.6X"</f>
        <v>#VALUE!</v>
      </c>
      <c r="DG222" t="e">
        <f>'All regions'!D5561+"n/&gt;!.6Y"</f>
        <v>#VALUE!</v>
      </c>
      <c r="DH222" t="e">
        <f>'All regions'!E5561+"n/&gt;!.6Z"</f>
        <v>#VALUE!</v>
      </c>
      <c r="DI222" t="e">
        <f>'All regions'!F5561+"n/&gt;!.6["</f>
        <v>#VALUE!</v>
      </c>
      <c r="DJ222" t="e">
        <f>'All regions'!G5561+"n/&gt;!.6\"</f>
        <v>#VALUE!</v>
      </c>
      <c r="DK222" t="e">
        <f>'All regions'!H5561+"n/&gt;!.6]"</f>
        <v>#VALUE!</v>
      </c>
      <c r="DL222" t="e">
        <f>'All regions'!I5561+"n/&gt;!.6^"</f>
        <v>#VALUE!</v>
      </c>
      <c r="DM222" t="e">
        <f>'All regions'!J5561+"n/&gt;!.6_"</f>
        <v>#VALUE!</v>
      </c>
      <c r="DN222" t="e">
        <f>'All regions'!A5562+"n/&gt;!.6`"</f>
        <v>#VALUE!</v>
      </c>
      <c r="DO222" t="e">
        <f>'All regions'!B5562+"n/&gt;!.6a"</f>
        <v>#VALUE!</v>
      </c>
      <c r="DP222" t="e">
        <f>'All regions'!C5562+"n/&gt;!.6b"</f>
        <v>#VALUE!</v>
      </c>
      <c r="DQ222" t="e">
        <f>'All regions'!D5562+"n/&gt;!.6c"</f>
        <v>#VALUE!</v>
      </c>
      <c r="DR222" t="e">
        <f>'All regions'!E5562+"n/&gt;!.6d"</f>
        <v>#VALUE!</v>
      </c>
      <c r="DS222" t="e">
        <f>'All regions'!F5562+"n/&gt;!.6e"</f>
        <v>#VALUE!</v>
      </c>
      <c r="DT222" t="e">
        <f>'All regions'!G5562+"n/&gt;!.6f"</f>
        <v>#VALUE!</v>
      </c>
      <c r="DU222" t="e">
        <f>'All regions'!H5562+"n/&gt;!.6g"</f>
        <v>#VALUE!</v>
      </c>
      <c r="DV222" t="e">
        <f>'All regions'!I5562+"n/&gt;!.6h"</f>
        <v>#VALUE!</v>
      </c>
      <c r="DW222" t="e">
        <f>'All regions'!J5562+"n/&gt;!.6i"</f>
        <v>#VALUE!</v>
      </c>
      <c r="DX222" t="e">
        <f>'All regions'!A5563+"n/&gt;!.6j"</f>
        <v>#VALUE!</v>
      </c>
      <c r="DY222" t="e">
        <f>'All regions'!B5563+"n/&gt;!.6k"</f>
        <v>#VALUE!</v>
      </c>
      <c r="DZ222" t="e">
        <f>'All regions'!C5563+"n/&gt;!.6l"</f>
        <v>#VALUE!</v>
      </c>
      <c r="EA222" t="e">
        <f>'All regions'!D5563+"n/&gt;!.6m"</f>
        <v>#VALUE!</v>
      </c>
      <c r="EB222" t="e">
        <f>'All regions'!E5563+"n/&gt;!.6n"</f>
        <v>#VALUE!</v>
      </c>
      <c r="EC222" t="e">
        <f>'All regions'!F5563+"n/&gt;!.6o"</f>
        <v>#VALUE!</v>
      </c>
      <c r="ED222" t="e">
        <f>'All regions'!G5563+"n/&gt;!.6p"</f>
        <v>#VALUE!</v>
      </c>
      <c r="EE222" t="e">
        <f>'All regions'!H5563+"n/&gt;!.6q"</f>
        <v>#VALUE!</v>
      </c>
      <c r="EF222" t="e">
        <f>'All regions'!I5563+"n/&gt;!.6r"</f>
        <v>#VALUE!</v>
      </c>
      <c r="EG222" t="e">
        <f>'All regions'!J5563+"n/&gt;!.6s"</f>
        <v>#VALUE!</v>
      </c>
      <c r="EH222" t="e">
        <f>'All regions'!A5564+"n/&gt;!.6t"</f>
        <v>#VALUE!</v>
      </c>
      <c r="EI222" t="e">
        <f>'All regions'!B5564+"n/&gt;!.6u"</f>
        <v>#VALUE!</v>
      </c>
      <c r="EJ222" t="e">
        <f>'All regions'!C5564+"n/&gt;!.6v"</f>
        <v>#VALUE!</v>
      </c>
      <c r="EK222" t="e">
        <f>'All regions'!D5564+"n/&gt;!.6w"</f>
        <v>#VALUE!</v>
      </c>
      <c r="EL222" t="e">
        <f>'All regions'!E5564+"n/&gt;!.6x"</f>
        <v>#VALUE!</v>
      </c>
      <c r="EM222" t="e">
        <f>'All regions'!F5564+"n/&gt;!.6y"</f>
        <v>#VALUE!</v>
      </c>
      <c r="EN222" t="e">
        <f>'All regions'!G5564+"n/&gt;!.6z"</f>
        <v>#VALUE!</v>
      </c>
      <c r="EO222" t="e">
        <f>'All regions'!H5564+"n/&gt;!.6{"</f>
        <v>#VALUE!</v>
      </c>
      <c r="EP222" t="e">
        <f>'All regions'!I5564+"n/&gt;!.6|"</f>
        <v>#VALUE!</v>
      </c>
      <c r="EQ222" t="e">
        <f>'All regions'!J5564+"n/&gt;!.6}"</f>
        <v>#VALUE!</v>
      </c>
      <c r="ER222" t="e">
        <f>'All regions'!A5565+"n/&gt;!.6~"</f>
        <v>#VALUE!</v>
      </c>
      <c r="ES222" t="e">
        <f>'All regions'!B5565+"n/&gt;!.7#"</f>
        <v>#VALUE!</v>
      </c>
      <c r="ET222" t="e">
        <f>'All regions'!C5565+"n/&gt;!.7$"</f>
        <v>#VALUE!</v>
      </c>
      <c r="EU222" t="e">
        <f>'All regions'!D5565+"n/&gt;!.7%"</f>
        <v>#VALUE!</v>
      </c>
      <c r="EV222" t="e">
        <f>'All regions'!E5565+"n/&gt;!.7&amp;"</f>
        <v>#VALUE!</v>
      </c>
      <c r="EW222" t="e">
        <f>'All regions'!F5565+"n/&gt;!.7'"</f>
        <v>#VALUE!</v>
      </c>
      <c r="EX222" t="e">
        <f>'All regions'!G5565+"n/&gt;!.7("</f>
        <v>#VALUE!</v>
      </c>
      <c r="EY222" t="e">
        <f>'All regions'!H5565+"n/&gt;!.7)"</f>
        <v>#VALUE!</v>
      </c>
      <c r="EZ222" t="e">
        <f>'All regions'!I5565+"n/&gt;!.7."</f>
        <v>#VALUE!</v>
      </c>
      <c r="FA222" t="e">
        <f>'All regions'!J5565+"n/&gt;!.7/"</f>
        <v>#VALUE!</v>
      </c>
      <c r="FB222" t="e">
        <f>'All regions'!A5566+"n/&gt;!.70"</f>
        <v>#VALUE!</v>
      </c>
      <c r="FC222" t="e">
        <f>'All regions'!B5566+"n/&gt;!.71"</f>
        <v>#VALUE!</v>
      </c>
      <c r="FD222" t="e">
        <f>'All regions'!C5566+"n/&gt;!.72"</f>
        <v>#VALUE!</v>
      </c>
      <c r="FE222" t="e">
        <f>'All regions'!D5566+"n/&gt;!.73"</f>
        <v>#VALUE!</v>
      </c>
      <c r="FF222" t="e">
        <f>'All regions'!E5566+"n/&gt;!.74"</f>
        <v>#VALUE!</v>
      </c>
      <c r="FG222" t="e">
        <f>'All regions'!F5566+"n/&gt;!.75"</f>
        <v>#VALUE!</v>
      </c>
      <c r="FH222" t="e">
        <f>'All regions'!G5566+"n/&gt;!.76"</f>
        <v>#VALUE!</v>
      </c>
      <c r="FI222" t="e">
        <f>'All regions'!H5566+"n/&gt;!.77"</f>
        <v>#VALUE!</v>
      </c>
      <c r="FJ222" t="e">
        <f>'All regions'!I5566+"n/&gt;!.78"</f>
        <v>#VALUE!</v>
      </c>
      <c r="FK222" t="e">
        <f>'All regions'!J5566+"n/&gt;!.79"</f>
        <v>#VALUE!</v>
      </c>
      <c r="FL222" t="e">
        <f>'All regions'!A5567+"n/&gt;!.7:"</f>
        <v>#VALUE!</v>
      </c>
      <c r="FM222" t="e">
        <f>'All regions'!B5567+"n/&gt;!.7;"</f>
        <v>#VALUE!</v>
      </c>
      <c r="FN222" t="e">
        <f>'All regions'!C5567+"n/&gt;!.7&lt;"</f>
        <v>#VALUE!</v>
      </c>
      <c r="FO222" t="e">
        <f>'All regions'!D5567+"n/&gt;!.7="</f>
        <v>#VALUE!</v>
      </c>
      <c r="FP222" t="e">
        <f>'All regions'!E5567+"n/&gt;!.7&gt;"</f>
        <v>#VALUE!</v>
      </c>
      <c r="FQ222" t="e">
        <f>'All regions'!F5567+"n/&gt;!.7?"</f>
        <v>#VALUE!</v>
      </c>
      <c r="FR222" t="e">
        <f>'All regions'!G5567+"n/&gt;!.7@"</f>
        <v>#VALUE!</v>
      </c>
      <c r="FS222" t="e">
        <f>'All regions'!H5567+"n/&gt;!.7A"</f>
        <v>#VALUE!</v>
      </c>
      <c r="FT222" t="e">
        <f>'All regions'!I5567+"n/&gt;!.7B"</f>
        <v>#VALUE!</v>
      </c>
      <c r="FU222" t="e">
        <f>'All regions'!J5567+"n/&gt;!.7C"</f>
        <v>#VALUE!</v>
      </c>
      <c r="FV222" t="e">
        <f>'All regions'!A5568+"n/&gt;!.7D"</f>
        <v>#VALUE!</v>
      </c>
      <c r="FW222" t="e">
        <f>'All regions'!B5568+"n/&gt;!.7E"</f>
        <v>#VALUE!</v>
      </c>
      <c r="FX222" t="e">
        <f>'All regions'!C5568+"n/&gt;!.7F"</f>
        <v>#VALUE!</v>
      </c>
      <c r="FY222" t="e">
        <f>'All regions'!D5568+"n/&gt;!.7G"</f>
        <v>#VALUE!</v>
      </c>
      <c r="FZ222" t="e">
        <f>'All regions'!E5568+"n/&gt;!.7H"</f>
        <v>#VALUE!</v>
      </c>
      <c r="GA222" t="e">
        <f>'All regions'!F5568+"n/&gt;!.7I"</f>
        <v>#VALUE!</v>
      </c>
      <c r="GB222" t="e">
        <f>'All regions'!G5568+"n/&gt;!.7J"</f>
        <v>#VALUE!</v>
      </c>
      <c r="GC222" t="e">
        <f>'All regions'!H5568+"n/&gt;!.7K"</f>
        <v>#VALUE!</v>
      </c>
      <c r="GD222" t="e">
        <f>'All regions'!I5568+"n/&gt;!.7L"</f>
        <v>#VALUE!</v>
      </c>
      <c r="GE222" t="e">
        <f>'All regions'!J5568+"n/&gt;!.7M"</f>
        <v>#VALUE!</v>
      </c>
      <c r="GF222" t="e">
        <f>'All regions'!A5569+"n/&gt;!.7N"</f>
        <v>#VALUE!</v>
      </c>
      <c r="GG222" t="e">
        <f>'All regions'!B5569+"n/&gt;!.7O"</f>
        <v>#VALUE!</v>
      </c>
      <c r="GH222" t="e">
        <f>'All regions'!C5569+"n/&gt;!.7P"</f>
        <v>#VALUE!</v>
      </c>
      <c r="GI222" t="e">
        <f>'All regions'!D5569+"n/&gt;!.7Q"</f>
        <v>#VALUE!</v>
      </c>
      <c r="GJ222" t="e">
        <f>'All regions'!E5569+"n/&gt;!.7R"</f>
        <v>#VALUE!</v>
      </c>
      <c r="GK222" t="e">
        <f>'All regions'!F5569+"n/&gt;!.7S"</f>
        <v>#VALUE!</v>
      </c>
      <c r="GL222" t="e">
        <f>'All regions'!G5569+"n/&gt;!.7T"</f>
        <v>#VALUE!</v>
      </c>
      <c r="GM222" t="e">
        <f>'All regions'!H5569+"n/&gt;!.7U"</f>
        <v>#VALUE!</v>
      </c>
      <c r="GN222" t="e">
        <f>'All regions'!I5569+"n/&gt;!.7V"</f>
        <v>#VALUE!</v>
      </c>
      <c r="GO222" t="e">
        <f>'All regions'!J5569+"n/&gt;!.7W"</f>
        <v>#VALUE!</v>
      </c>
      <c r="GP222" t="e">
        <f>'All regions'!A5570+"n/&gt;!.7X"</f>
        <v>#VALUE!</v>
      </c>
      <c r="GQ222" t="e">
        <f>'All regions'!B5570+"n/&gt;!.7Y"</f>
        <v>#VALUE!</v>
      </c>
      <c r="GR222" t="e">
        <f>'All regions'!C5570+"n/&gt;!.7Z"</f>
        <v>#VALUE!</v>
      </c>
      <c r="GS222" t="e">
        <f>'All regions'!D5570+"n/&gt;!.7["</f>
        <v>#VALUE!</v>
      </c>
      <c r="GT222" t="e">
        <f>'All regions'!E5570+"n/&gt;!.7\"</f>
        <v>#VALUE!</v>
      </c>
      <c r="GU222" t="e">
        <f>'All regions'!F5570+"n/&gt;!.7]"</f>
        <v>#VALUE!</v>
      </c>
      <c r="GV222" t="e">
        <f>'All regions'!G5570+"n/&gt;!.7^"</f>
        <v>#VALUE!</v>
      </c>
      <c r="GW222" t="e">
        <f>'All regions'!H5570+"n/&gt;!.7_"</f>
        <v>#VALUE!</v>
      </c>
      <c r="GX222" t="e">
        <f>'All regions'!I5570+"n/&gt;!.7`"</f>
        <v>#VALUE!</v>
      </c>
      <c r="GY222" t="e">
        <f>'All regions'!J5570+"n/&gt;!.7a"</f>
        <v>#VALUE!</v>
      </c>
      <c r="GZ222" t="e">
        <f>'All regions'!A5571+"n/&gt;!.7b"</f>
        <v>#VALUE!</v>
      </c>
      <c r="HA222" t="e">
        <f>'All regions'!B5571+"n/&gt;!.7c"</f>
        <v>#VALUE!</v>
      </c>
      <c r="HB222" t="e">
        <f>'All regions'!C5571+"n/&gt;!.7d"</f>
        <v>#VALUE!</v>
      </c>
      <c r="HC222" t="e">
        <f>'All regions'!D5571+"n/&gt;!.7e"</f>
        <v>#VALUE!</v>
      </c>
      <c r="HD222" t="e">
        <f>'All regions'!E5571+"n/&gt;!.7f"</f>
        <v>#VALUE!</v>
      </c>
      <c r="HE222" t="e">
        <f>'All regions'!F5571+"n/&gt;!.7g"</f>
        <v>#VALUE!</v>
      </c>
      <c r="HF222" t="e">
        <f>'All regions'!G5571+"n/&gt;!.7h"</f>
        <v>#VALUE!</v>
      </c>
      <c r="HG222" t="e">
        <f>'All regions'!H5571+"n/&gt;!.7i"</f>
        <v>#VALUE!</v>
      </c>
      <c r="HH222" t="e">
        <f>'All regions'!I5571+"n/&gt;!.7j"</f>
        <v>#VALUE!</v>
      </c>
      <c r="HI222" t="e">
        <f>'All regions'!J5571+"n/&gt;!.7k"</f>
        <v>#VALUE!</v>
      </c>
      <c r="HJ222" t="e">
        <f>'All regions'!A5572+"n/&gt;!.7l"</f>
        <v>#VALUE!</v>
      </c>
      <c r="HK222" t="e">
        <f>'All regions'!B5572+"n/&gt;!.7m"</f>
        <v>#VALUE!</v>
      </c>
      <c r="HL222" t="e">
        <f>'All regions'!C5572+"n/&gt;!.7n"</f>
        <v>#VALUE!</v>
      </c>
      <c r="HM222" t="e">
        <f>'All regions'!D5572+"n/&gt;!.7o"</f>
        <v>#VALUE!</v>
      </c>
      <c r="HN222" t="e">
        <f>'All regions'!E5572+"n/&gt;!.7p"</f>
        <v>#VALUE!</v>
      </c>
      <c r="HO222" t="e">
        <f>'All regions'!F5572+"n/&gt;!.7q"</f>
        <v>#VALUE!</v>
      </c>
      <c r="HP222" t="e">
        <f>'All regions'!G5572+"n/&gt;!.7r"</f>
        <v>#VALUE!</v>
      </c>
      <c r="HQ222" t="e">
        <f>'All regions'!H5572+"n/&gt;!.7s"</f>
        <v>#VALUE!</v>
      </c>
      <c r="HR222" t="e">
        <f>'All regions'!I5572+"n/&gt;!.7t"</f>
        <v>#VALUE!</v>
      </c>
      <c r="HS222" t="e">
        <f>'All regions'!J5572+"n/&gt;!.7u"</f>
        <v>#VALUE!</v>
      </c>
      <c r="HT222" t="e">
        <f>'All regions'!A5573+"n/&gt;!.7v"</f>
        <v>#VALUE!</v>
      </c>
      <c r="HU222" t="e">
        <f>'All regions'!B5573+"n/&gt;!.7w"</f>
        <v>#VALUE!</v>
      </c>
      <c r="HV222" t="e">
        <f>'All regions'!C5573+"n/&gt;!.7x"</f>
        <v>#VALUE!</v>
      </c>
      <c r="HW222" t="e">
        <f>'All regions'!D5573+"n/&gt;!.7y"</f>
        <v>#VALUE!</v>
      </c>
      <c r="HX222" t="e">
        <f>'All regions'!E5573+"n/&gt;!.7z"</f>
        <v>#VALUE!</v>
      </c>
      <c r="HY222" t="e">
        <f>'All regions'!F5573+"n/&gt;!.7{"</f>
        <v>#VALUE!</v>
      </c>
      <c r="HZ222" t="e">
        <f>'All regions'!G5573+"n/&gt;!.7|"</f>
        <v>#VALUE!</v>
      </c>
      <c r="IA222" t="e">
        <f>'All regions'!H5573+"n/&gt;!.7}"</f>
        <v>#VALUE!</v>
      </c>
      <c r="IB222" t="e">
        <f>'All regions'!I5573+"n/&gt;!.7~"</f>
        <v>#VALUE!</v>
      </c>
      <c r="IC222" t="e">
        <f>'All regions'!J5573+"n/&gt;!.8#"</f>
        <v>#VALUE!</v>
      </c>
      <c r="ID222" t="e">
        <f>'All regions'!A5574+"n/&gt;!.8$"</f>
        <v>#VALUE!</v>
      </c>
      <c r="IE222" t="e">
        <f>'All regions'!B5574+"n/&gt;!.8%"</f>
        <v>#VALUE!</v>
      </c>
      <c r="IF222" t="e">
        <f>'All regions'!C5574+"n/&gt;!.8&amp;"</f>
        <v>#VALUE!</v>
      </c>
      <c r="IG222" t="e">
        <f>'All regions'!D5574+"n/&gt;!.8'"</f>
        <v>#VALUE!</v>
      </c>
      <c r="IH222" t="e">
        <f>'All regions'!E5574+"n/&gt;!.8("</f>
        <v>#VALUE!</v>
      </c>
      <c r="II222" t="e">
        <f>'All regions'!F5574+"n/&gt;!.8)"</f>
        <v>#VALUE!</v>
      </c>
      <c r="IJ222" t="e">
        <f>'All regions'!G5574+"n/&gt;!.8."</f>
        <v>#VALUE!</v>
      </c>
      <c r="IK222" t="e">
        <f>'All regions'!H5574+"n/&gt;!.8/"</f>
        <v>#VALUE!</v>
      </c>
      <c r="IL222" t="e">
        <f>'All regions'!I5574+"n/&gt;!.80"</f>
        <v>#VALUE!</v>
      </c>
      <c r="IM222" t="e">
        <f>'All regions'!J5574+"n/&gt;!.81"</f>
        <v>#VALUE!</v>
      </c>
      <c r="IN222" t="e">
        <f>'All regions'!A5575+"n/&gt;!.82"</f>
        <v>#VALUE!</v>
      </c>
      <c r="IO222" t="e">
        <f>'All regions'!B5575+"n/&gt;!.83"</f>
        <v>#VALUE!</v>
      </c>
      <c r="IP222" t="e">
        <f>'All regions'!C5575+"n/&gt;!.84"</f>
        <v>#VALUE!</v>
      </c>
      <c r="IQ222" t="e">
        <f>'All regions'!D5575+"n/&gt;!.85"</f>
        <v>#VALUE!</v>
      </c>
      <c r="IR222" t="e">
        <f>'All regions'!E5575+"n/&gt;!.86"</f>
        <v>#VALUE!</v>
      </c>
      <c r="IS222" t="e">
        <f>'All regions'!F5575+"n/&gt;!.87"</f>
        <v>#VALUE!</v>
      </c>
      <c r="IT222" t="e">
        <f>'All regions'!G5575+"n/&gt;!.88"</f>
        <v>#VALUE!</v>
      </c>
      <c r="IU222" t="e">
        <f>'All regions'!H5575+"n/&gt;!.89"</f>
        <v>#VALUE!</v>
      </c>
      <c r="IV222" t="e">
        <f>'All regions'!I5575+"n/&gt;!.8:"</f>
        <v>#VALUE!</v>
      </c>
    </row>
    <row r="223" spans="6:256" x14ac:dyDescent="0.35">
      <c r="F223" t="e">
        <f>'All regions'!J5575+"n/&gt;!.8;"</f>
        <v>#VALUE!</v>
      </c>
      <c r="G223" t="e">
        <f>'All regions'!A5576+"n/&gt;!.8&lt;"</f>
        <v>#VALUE!</v>
      </c>
      <c r="H223" t="e">
        <f>'All regions'!B5576+"n/&gt;!.8="</f>
        <v>#VALUE!</v>
      </c>
      <c r="I223" t="e">
        <f>'All regions'!C5576+"n/&gt;!.8&gt;"</f>
        <v>#VALUE!</v>
      </c>
      <c r="J223" t="e">
        <f>'All regions'!D5576+"n/&gt;!.8?"</f>
        <v>#VALUE!</v>
      </c>
      <c r="K223" t="e">
        <f>'All regions'!E5576+"n/&gt;!.8@"</f>
        <v>#VALUE!</v>
      </c>
      <c r="L223" t="e">
        <f>'All regions'!F5576+"n/&gt;!.8A"</f>
        <v>#VALUE!</v>
      </c>
      <c r="M223" t="e">
        <f>'All regions'!G5576+"n/&gt;!.8B"</f>
        <v>#VALUE!</v>
      </c>
      <c r="N223" t="e">
        <f>'All regions'!H5576+"n/&gt;!.8C"</f>
        <v>#VALUE!</v>
      </c>
      <c r="O223" t="e">
        <f>'All regions'!I5576+"n/&gt;!.8D"</f>
        <v>#VALUE!</v>
      </c>
      <c r="P223" t="e">
        <f>'All regions'!J5576+"n/&gt;!.8E"</f>
        <v>#VALUE!</v>
      </c>
      <c r="Q223" t="e">
        <f>'All regions'!A5577+"n/&gt;!.8F"</f>
        <v>#VALUE!</v>
      </c>
      <c r="R223" t="e">
        <f>'All regions'!B5577+"n/&gt;!.8G"</f>
        <v>#VALUE!</v>
      </c>
      <c r="S223" t="e">
        <f>'All regions'!C5577+"n/&gt;!.8H"</f>
        <v>#VALUE!</v>
      </c>
      <c r="T223" t="e">
        <f>'All regions'!D5577+"n/&gt;!.8I"</f>
        <v>#VALUE!</v>
      </c>
      <c r="U223" t="e">
        <f>'All regions'!E5577+"n/&gt;!.8J"</f>
        <v>#VALUE!</v>
      </c>
      <c r="V223" t="e">
        <f>'All regions'!F5577+"n/&gt;!.8K"</f>
        <v>#VALUE!</v>
      </c>
      <c r="W223" t="e">
        <f>'All regions'!G5577+"n/&gt;!.8L"</f>
        <v>#VALUE!</v>
      </c>
      <c r="X223" t="e">
        <f>'All regions'!H5577+"n/&gt;!.8M"</f>
        <v>#VALUE!</v>
      </c>
      <c r="Y223" t="e">
        <f>'All regions'!I5577+"n/&gt;!.8N"</f>
        <v>#VALUE!</v>
      </c>
      <c r="Z223" t="e">
        <f>'All regions'!J5577+"n/&gt;!.8O"</f>
        <v>#VALUE!</v>
      </c>
      <c r="AA223" t="e">
        <f>'All regions'!A5578+"n/&gt;!.8P"</f>
        <v>#VALUE!</v>
      </c>
      <c r="AB223" t="e">
        <f>'All regions'!B5578+"n/&gt;!.8Q"</f>
        <v>#VALUE!</v>
      </c>
      <c r="AC223" t="e">
        <f>'All regions'!C5578+"n/&gt;!.8R"</f>
        <v>#VALUE!</v>
      </c>
      <c r="AD223" t="e">
        <f>'All regions'!D5578+"n/&gt;!.8S"</f>
        <v>#VALUE!</v>
      </c>
      <c r="AE223" t="e">
        <f>'All regions'!E5578+"n/&gt;!.8T"</f>
        <v>#VALUE!</v>
      </c>
      <c r="AF223" t="e">
        <f>'All regions'!F5578+"n/&gt;!.8U"</f>
        <v>#VALUE!</v>
      </c>
      <c r="AG223" t="e">
        <f>'All regions'!G5578+"n/&gt;!.8V"</f>
        <v>#VALUE!</v>
      </c>
      <c r="AH223" t="e">
        <f>'All regions'!H5578+"n/&gt;!.8W"</f>
        <v>#VALUE!</v>
      </c>
      <c r="AI223" t="e">
        <f>'All regions'!I5578+"n/&gt;!.8X"</f>
        <v>#VALUE!</v>
      </c>
      <c r="AJ223" t="e">
        <f>'All regions'!J5578+"n/&gt;!.8Y"</f>
        <v>#VALUE!</v>
      </c>
      <c r="AK223" t="e">
        <f>'All regions'!A5579+"n/&gt;!.8Z"</f>
        <v>#VALUE!</v>
      </c>
      <c r="AL223" t="e">
        <f>'All regions'!B5579+"n/&gt;!.8["</f>
        <v>#VALUE!</v>
      </c>
      <c r="AM223" t="e">
        <f>'All regions'!C5579+"n/&gt;!.8\"</f>
        <v>#VALUE!</v>
      </c>
      <c r="AN223" t="e">
        <f>'All regions'!D5579+"n/&gt;!.8]"</f>
        <v>#VALUE!</v>
      </c>
      <c r="AO223" t="e">
        <f>'All regions'!E5579+"n/&gt;!.8^"</f>
        <v>#VALUE!</v>
      </c>
      <c r="AP223" t="e">
        <f>'All regions'!F5579+"n/&gt;!.8_"</f>
        <v>#VALUE!</v>
      </c>
      <c r="AQ223" t="e">
        <f>'All regions'!G5579+"n/&gt;!.8`"</f>
        <v>#VALUE!</v>
      </c>
      <c r="AR223" t="e">
        <f>'All regions'!H5579+"n/&gt;!.8a"</f>
        <v>#VALUE!</v>
      </c>
      <c r="AS223" t="e">
        <f>'All regions'!I5579+"n/&gt;!.8b"</f>
        <v>#VALUE!</v>
      </c>
      <c r="AT223" t="e">
        <f>'All regions'!J5579+"n/&gt;!.8c"</f>
        <v>#VALUE!</v>
      </c>
      <c r="AU223" t="e">
        <f>'All regions'!A5580+"n/&gt;!.8d"</f>
        <v>#VALUE!</v>
      </c>
      <c r="AV223" t="e">
        <f>'All regions'!B5580+"n/&gt;!.8e"</f>
        <v>#VALUE!</v>
      </c>
      <c r="AW223" t="e">
        <f>'All regions'!C5580+"n/&gt;!.8f"</f>
        <v>#VALUE!</v>
      </c>
      <c r="AX223" t="e">
        <f>'All regions'!D5580+"n/&gt;!.8g"</f>
        <v>#VALUE!</v>
      </c>
      <c r="AY223" t="e">
        <f>'All regions'!E5580+"n/&gt;!.8h"</f>
        <v>#VALUE!</v>
      </c>
      <c r="AZ223" t="e">
        <f>'All regions'!F5580+"n/&gt;!.8i"</f>
        <v>#VALUE!</v>
      </c>
      <c r="BA223" t="e">
        <f>'All regions'!G5580+"n/&gt;!.8j"</f>
        <v>#VALUE!</v>
      </c>
      <c r="BB223" t="e">
        <f>'All regions'!H5580+"n/&gt;!.8k"</f>
        <v>#VALUE!</v>
      </c>
      <c r="BC223" t="e">
        <f>'All regions'!I5580+"n/&gt;!.8l"</f>
        <v>#VALUE!</v>
      </c>
      <c r="BD223" t="e">
        <f>'All regions'!J5580+"n/&gt;!.8m"</f>
        <v>#VALUE!</v>
      </c>
      <c r="BE223" t="e">
        <f>'All regions'!A5581+"n/&gt;!.8n"</f>
        <v>#VALUE!</v>
      </c>
      <c r="BF223" t="e">
        <f>'All regions'!B5581+"n/&gt;!.8o"</f>
        <v>#VALUE!</v>
      </c>
      <c r="BG223" t="e">
        <f>'All regions'!C5581+"n/&gt;!.8p"</f>
        <v>#VALUE!</v>
      </c>
      <c r="BH223" t="e">
        <f>'All regions'!D5581+"n/&gt;!.8q"</f>
        <v>#VALUE!</v>
      </c>
      <c r="BI223" t="e">
        <f>'All regions'!E5581+"n/&gt;!.8r"</f>
        <v>#VALUE!</v>
      </c>
      <c r="BJ223" t="e">
        <f>'All regions'!F5581+"n/&gt;!.8s"</f>
        <v>#VALUE!</v>
      </c>
      <c r="BK223" t="e">
        <f>'All regions'!G5581+"n/&gt;!.8t"</f>
        <v>#VALUE!</v>
      </c>
      <c r="BL223" t="e">
        <f>'All regions'!H5581+"n/&gt;!.8u"</f>
        <v>#VALUE!</v>
      </c>
      <c r="BM223" t="e">
        <f>'All regions'!I5581+"n/&gt;!.8v"</f>
        <v>#VALUE!</v>
      </c>
      <c r="BN223" t="e">
        <f>'All regions'!J5581+"n/&gt;!.8w"</f>
        <v>#VALUE!</v>
      </c>
      <c r="BO223" t="e">
        <f>'All regions'!A5582+"n/&gt;!.8x"</f>
        <v>#VALUE!</v>
      </c>
      <c r="BP223" t="e">
        <f>'All regions'!B5582+"n/&gt;!.8y"</f>
        <v>#VALUE!</v>
      </c>
      <c r="BQ223" t="e">
        <f>'All regions'!C5582+"n/&gt;!.8z"</f>
        <v>#VALUE!</v>
      </c>
      <c r="BR223" t="e">
        <f>'All regions'!D5582+"n/&gt;!.8{"</f>
        <v>#VALUE!</v>
      </c>
      <c r="BS223" t="e">
        <f>'All regions'!E5582+"n/&gt;!.8|"</f>
        <v>#VALUE!</v>
      </c>
      <c r="BT223" t="e">
        <f>'All regions'!F5582+"n/&gt;!.8}"</f>
        <v>#VALUE!</v>
      </c>
      <c r="BU223" t="e">
        <f>'All regions'!G5582+"n/&gt;!.8~"</f>
        <v>#VALUE!</v>
      </c>
      <c r="BV223" t="e">
        <f>'All regions'!H5582+"n/&gt;!.9#"</f>
        <v>#VALUE!</v>
      </c>
      <c r="BW223" t="e">
        <f>'All regions'!I5582+"n/&gt;!.9$"</f>
        <v>#VALUE!</v>
      </c>
      <c r="BX223" t="e">
        <f>'All regions'!J5582+"n/&gt;!.9%"</f>
        <v>#VALUE!</v>
      </c>
      <c r="BY223" t="e">
        <f>'All regions'!A5583+"n/&gt;!.9&amp;"</f>
        <v>#VALUE!</v>
      </c>
      <c r="BZ223" t="e">
        <f>'All regions'!B5583+"n/&gt;!.9'"</f>
        <v>#VALUE!</v>
      </c>
      <c r="CA223" t="e">
        <f>'All regions'!C5583+"n/&gt;!.9("</f>
        <v>#VALUE!</v>
      </c>
      <c r="CB223" t="e">
        <f>'All regions'!D5583+"n/&gt;!.9)"</f>
        <v>#VALUE!</v>
      </c>
      <c r="CC223" t="e">
        <f>'All regions'!E5583+"n/&gt;!.9."</f>
        <v>#VALUE!</v>
      </c>
      <c r="CD223" t="e">
        <f>'All regions'!F5583+"n/&gt;!.9/"</f>
        <v>#VALUE!</v>
      </c>
      <c r="CE223" t="e">
        <f>'All regions'!G5583+"n/&gt;!.90"</f>
        <v>#VALUE!</v>
      </c>
      <c r="CF223" t="e">
        <f>'All regions'!H5583+"n/&gt;!.91"</f>
        <v>#VALUE!</v>
      </c>
      <c r="CG223" t="e">
        <f>'All regions'!I5583+"n/&gt;!.92"</f>
        <v>#VALUE!</v>
      </c>
      <c r="CH223" t="e">
        <f>'All regions'!J5583+"n/&gt;!.93"</f>
        <v>#VALUE!</v>
      </c>
      <c r="CI223" t="e">
        <f>'All regions'!A5584+"n/&gt;!.94"</f>
        <v>#VALUE!</v>
      </c>
      <c r="CJ223" t="e">
        <f>'All regions'!B5584+"n/&gt;!.95"</f>
        <v>#VALUE!</v>
      </c>
      <c r="CK223" t="e">
        <f>'All regions'!C5584+"n/&gt;!.96"</f>
        <v>#VALUE!</v>
      </c>
      <c r="CL223" t="e">
        <f>'All regions'!D5584+"n/&gt;!.97"</f>
        <v>#VALUE!</v>
      </c>
      <c r="CM223" t="e">
        <f>'All regions'!E5584+"n/&gt;!.98"</f>
        <v>#VALUE!</v>
      </c>
      <c r="CN223" t="e">
        <f>'All regions'!F5584+"n/&gt;!.99"</f>
        <v>#VALUE!</v>
      </c>
      <c r="CO223" t="e">
        <f>'All regions'!G5584+"n/&gt;!.9:"</f>
        <v>#VALUE!</v>
      </c>
      <c r="CP223" t="e">
        <f>'All regions'!H5584+"n/&gt;!.9;"</f>
        <v>#VALUE!</v>
      </c>
      <c r="CQ223" t="e">
        <f>'All regions'!I5584+"n/&gt;!.9&lt;"</f>
        <v>#VALUE!</v>
      </c>
      <c r="CR223" t="e">
        <f>'All regions'!J5584+"n/&gt;!.9="</f>
        <v>#VALUE!</v>
      </c>
      <c r="CS223" t="e">
        <f>'All regions'!A5585+"n/&gt;!.9&gt;"</f>
        <v>#VALUE!</v>
      </c>
      <c r="CT223" t="e">
        <f>'All regions'!B5585+"n/&gt;!.9?"</f>
        <v>#VALUE!</v>
      </c>
      <c r="CU223" t="e">
        <f>'All regions'!C5585+"n/&gt;!.9@"</f>
        <v>#VALUE!</v>
      </c>
      <c r="CV223" t="e">
        <f>'All regions'!D5585+"n/&gt;!.9A"</f>
        <v>#VALUE!</v>
      </c>
      <c r="CW223" t="e">
        <f>'All regions'!E5585+"n/&gt;!.9B"</f>
        <v>#VALUE!</v>
      </c>
      <c r="CX223" t="e">
        <f>'All regions'!F5585+"n/&gt;!.9C"</f>
        <v>#VALUE!</v>
      </c>
      <c r="CY223" t="e">
        <f>'All regions'!G5585+"n/&gt;!.9D"</f>
        <v>#VALUE!</v>
      </c>
      <c r="CZ223" t="e">
        <f>'All regions'!H5585+"n/&gt;!.9E"</f>
        <v>#VALUE!</v>
      </c>
      <c r="DA223" t="e">
        <f>'All regions'!I5585+"n/&gt;!.9F"</f>
        <v>#VALUE!</v>
      </c>
      <c r="DB223" t="e">
        <f>'All regions'!A5586+"n/&gt;!.9G"</f>
        <v>#VALUE!</v>
      </c>
      <c r="DC223" t="e">
        <f>'All regions'!B5586+"n/&gt;!.9H"</f>
        <v>#VALUE!</v>
      </c>
      <c r="DD223" t="e">
        <f>'All regions'!C5586+"n/&gt;!.9I"</f>
        <v>#VALUE!</v>
      </c>
      <c r="DE223" t="e">
        <f>'All regions'!D5586+"n/&gt;!.9J"</f>
        <v>#VALUE!</v>
      </c>
      <c r="DF223" t="e">
        <f>'All regions'!E5586+"n/&gt;!.9K"</f>
        <v>#VALUE!</v>
      </c>
      <c r="DG223" t="e">
        <f>'All regions'!F5586+"n/&gt;!.9L"</f>
        <v>#VALUE!</v>
      </c>
      <c r="DH223" t="e">
        <f>'All regions'!G5586+"n/&gt;!.9M"</f>
        <v>#VALUE!</v>
      </c>
      <c r="DI223" t="e">
        <f>'All regions'!H5586+"n/&gt;!.9N"</f>
        <v>#VALUE!</v>
      </c>
      <c r="DJ223" t="e">
        <f>'All regions'!I5586+"n/&gt;!.9O"</f>
        <v>#VALUE!</v>
      </c>
      <c r="DK223" t="e">
        <f>'All regions'!J5586+"n/&gt;!.9P"</f>
        <v>#VALUE!</v>
      </c>
      <c r="DL223" t="e">
        <f>'All regions'!A5587+"n/&gt;!.9Q"</f>
        <v>#VALUE!</v>
      </c>
      <c r="DM223" t="e">
        <f>'All regions'!B5587+"n/&gt;!.9R"</f>
        <v>#VALUE!</v>
      </c>
      <c r="DN223" t="e">
        <f>'All regions'!C5587+"n/&gt;!.9S"</f>
        <v>#VALUE!</v>
      </c>
      <c r="DO223" t="e">
        <f>'All regions'!D5587+"n/&gt;!.9T"</f>
        <v>#VALUE!</v>
      </c>
      <c r="DP223" t="e">
        <f>'All regions'!E5587+"n/&gt;!.9U"</f>
        <v>#VALUE!</v>
      </c>
      <c r="DQ223" t="e">
        <f>'All regions'!F5587+"n/&gt;!.9V"</f>
        <v>#VALUE!</v>
      </c>
      <c r="DR223" t="e">
        <f>'All regions'!G5587+"n/&gt;!.9W"</f>
        <v>#VALUE!</v>
      </c>
      <c r="DS223" t="e">
        <f>'All regions'!H5587+"n/&gt;!.9X"</f>
        <v>#VALUE!</v>
      </c>
      <c r="DT223" t="e">
        <f>'All regions'!I5587+"n/&gt;!.9Y"</f>
        <v>#VALUE!</v>
      </c>
      <c r="DU223" t="e">
        <f>'All regions'!J5587+"n/&gt;!.9Z"</f>
        <v>#VALUE!</v>
      </c>
      <c r="DV223" t="e">
        <f>'All regions'!A5588+"n/&gt;!.9["</f>
        <v>#VALUE!</v>
      </c>
      <c r="DW223" t="e">
        <f>'All regions'!B5588+"n/&gt;!.9\"</f>
        <v>#VALUE!</v>
      </c>
      <c r="DX223" t="e">
        <f>'All regions'!C5588+"n/&gt;!.9]"</f>
        <v>#VALUE!</v>
      </c>
      <c r="DY223" t="e">
        <f>'All regions'!D5588+"n/&gt;!.9^"</f>
        <v>#VALUE!</v>
      </c>
      <c r="DZ223" t="e">
        <f>'All regions'!E5588+"n/&gt;!.9_"</f>
        <v>#VALUE!</v>
      </c>
      <c r="EA223" t="e">
        <f>'All regions'!F5588+"n/&gt;!.9`"</f>
        <v>#VALUE!</v>
      </c>
      <c r="EB223" t="e">
        <f>'All regions'!G5588+"n/&gt;!.9a"</f>
        <v>#VALUE!</v>
      </c>
      <c r="EC223" t="e">
        <f>'All regions'!H5588+"n/&gt;!.9b"</f>
        <v>#VALUE!</v>
      </c>
      <c r="ED223" t="e">
        <f>'All regions'!I5588+"n/&gt;!.9c"</f>
        <v>#VALUE!</v>
      </c>
      <c r="EE223" t="e">
        <f>'All regions'!J5588+"n/&gt;!.9d"</f>
        <v>#VALUE!</v>
      </c>
      <c r="EF223" t="e">
        <f>'All regions'!A5589+"n/&gt;!.9e"</f>
        <v>#VALUE!</v>
      </c>
      <c r="EG223" t="e">
        <f>'All regions'!B5589+"n/&gt;!.9f"</f>
        <v>#VALUE!</v>
      </c>
      <c r="EH223" t="e">
        <f>'All regions'!C5589+"n/&gt;!.9g"</f>
        <v>#VALUE!</v>
      </c>
      <c r="EI223" t="e">
        <f>'All regions'!D5589+"n/&gt;!.9h"</f>
        <v>#VALUE!</v>
      </c>
      <c r="EJ223" t="e">
        <f>'All regions'!E5589+"n/&gt;!.9i"</f>
        <v>#VALUE!</v>
      </c>
      <c r="EK223" t="e">
        <f>'All regions'!F5589+"n/&gt;!.9j"</f>
        <v>#VALUE!</v>
      </c>
      <c r="EL223" t="e">
        <f>'All regions'!G5589+"n/&gt;!.9k"</f>
        <v>#VALUE!</v>
      </c>
      <c r="EM223" t="e">
        <f>'All regions'!H5589+"n/&gt;!.9l"</f>
        <v>#VALUE!</v>
      </c>
      <c r="EN223" t="e">
        <f>'All regions'!I5589+"n/&gt;!.9m"</f>
        <v>#VALUE!</v>
      </c>
      <c r="EO223" t="e">
        <f>'All regions'!J5589+"n/&gt;!.9n"</f>
        <v>#VALUE!</v>
      </c>
      <c r="EP223" t="e">
        <f>'All regions'!A5590+"n/&gt;!.9o"</f>
        <v>#VALUE!</v>
      </c>
      <c r="EQ223" t="e">
        <f>'All regions'!B5590+"n/&gt;!.9p"</f>
        <v>#VALUE!</v>
      </c>
      <c r="ER223" t="e">
        <f>'All regions'!C5590+"n/&gt;!.9q"</f>
        <v>#VALUE!</v>
      </c>
      <c r="ES223" t="e">
        <f>'All regions'!D5590+"n/&gt;!.9r"</f>
        <v>#VALUE!</v>
      </c>
      <c r="ET223" t="e">
        <f>'All regions'!E5590+"n/&gt;!.9s"</f>
        <v>#VALUE!</v>
      </c>
      <c r="EU223" t="e">
        <f>'All regions'!F5590+"n/&gt;!.9t"</f>
        <v>#VALUE!</v>
      </c>
      <c r="EV223" t="e">
        <f>'All regions'!G5590+"n/&gt;!.9u"</f>
        <v>#VALUE!</v>
      </c>
      <c r="EW223" t="e">
        <f>'All regions'!H5590+"n/&gt;!.9v"</f>
        <v>#VALUE!</v>
      </c>
      <c r="EX223" t="e">
        <f>'All regions'!I5590+"n/&gt;!.9w"</f>
        <v>#VALUE!</v>
      </c>
      <c r="EY223" t="e">
        <f>'All regions'!J5590+"n/&gt;!.9x"</f>
        <v>#VALUE!</v>
      </c>
      <c r="EZ223" t="e">
        <f>'All regions'!A5591+"n/&gt;!.9y"</f>
        <v>#VALUE!</v>
      </c>
      <c r="FA223" t="e">
        <f>'All regions'!B5591+"n/&gt;!.9z"</f>
        <v>#VALUE!</v>
      </c>
      <c r="FB223" t="e">
        <f>'All regions'!C5591+"n/&gt;!.9{"</f>
        <v>#VALUE!</v>
      </c>
      <c r="FC223" t="e">
        <f>'All regions'!D5591+"n/&gt;!.9|"</f>
        <v>#VALUE!</v>
      </c>
      <c r="FD223" t="e">
        <f>'All regions'!E5591+"n/&gt;!.9}"</f>
        <v>#VALUE!</v>
      </c>
      <c r="FE223" t="e">
        <f>'All regions'!F5591+"n/&gt;!.9~"</f>
        <v>#VALUE!</v>
      </c>
      <c r="FF223" t="e">
        <f>'All regions'!G5591+"n/&gt;!.:#"</f>
        <v>#VALUE!</v>
      </c>
      <c r="FG223" t="e">
        <f>'All regions'!H5591+"n/&gt;!.:$"</f>
        <v>#VALUE!</v>
      </c>
      <c r="FH223" t="e">
        <f>'All regions'!I5591+"n/&gt;!.:%"</f>
        <v>#VALUE!</v>
      </c>
      <c r="FI223" t="e">
        <f>'All regions'!J5591+"n/&gt;!.:&amp;"</f>
        <v>#VALUE!</v>
      </c>
      <c r="FJ223" t="e">
        <f>'All regions'!A5592+"n/&gt;!.:'"</f>
        <v>#VALUE!</v>
      </c>
      <c r="FK223" t="e">
        <f>'All regions'!B5592+"n/&gt;!.:("</f>
        <v>#VALUE!</v>
      </c>
      <c r="FL223" t="e">
        <f>'All regions'!C5592+"n/&gt;!.:)"</f>
        <v>#VALUE!</v>
      </c>
      <c r="FM223" t="e">
        <f>'All regions'!D5592+"n/&gt;!.:."</f>
        <v>#VALUE!</v>
      </c>
      <c r="FN223" t="e">
        <f>'All regions'!E5592+"n/&gt;!.:/"</f>
        <v>#VALUE!</v>
      </c>
      <c r="FO223" t="e">
        <f>'All regions'!F5592+"n/&gt;!.:0"</f>
        <v>#VALUE!</v>
      </c>
      <c r="FP223" t="e">
        <f>'All regions'!G5592+"n/&gt;!.:1"</f>
        <v>#VALUE!</v>
      </c>
      <c r="FQ223" t="e">
        <f>'All regions'!H5592+"n/&gt;!.:2"</f>
        <v>#VALUE!</v>
      </c>
      <c r="FR223" t="e">
        <f>'All regions'!I5592+"n/&gt;!.:3"</f>
        <v>#VALUE!</v>
      </c>
      <c r="FS223" t="e">
        <f>'All regions'!J5592+"n/&gt;!.:4"</f>
        <v>#VALUE!</v>
      </c>
      <c r="FT223" t="e">
        <f>'All regions'!A5593+"n/&gt;!.:5"</f>
        <v>#VALUE!</v>
      </c>
      <c r="FU223" t="e">
        <f>'All regions'!B5593+"n/&gt;!.:6"</f>
        <v>#VALUE!</v>
      </c>
      <c r="FV223" t="e">
        <f>'All regions'!C5593+"n/&gt;!.:7"</f>
        <v>#VALUE!</v>
      </c>
      <c r="FW223" t="e">
        <f>'All regions'!D5593+"n/&gt;!.:8"</f>
        <v>#VALUE!</v>
      </c>
      <c r="FX223" t="e">
        <f>'All regions'!E5593+"n/&gt;!.:9"</f>
        <v>#VALUE!</v>
      </c>
      <c r="FY223" t="e">
        <f>'All regions'!F5593+"n/&gt;!.::"</f>
        <v>#VALUE!</v>
      </c>
      <c r="FZ223" t="e">
        <f>'All regions'!G5593+"n/&gt;!.:;"</f>
        <v>#VALUE!</v>
      </c>
      <c r="GA223" t="e">
        <f>'All regions'!H5593+"n/&gt;!.:&lt;"</f>
        <v>#VALUE!</v>
      </c>
      <c r="GB223" t="e">
        <f>'All regions'!I5593+"n/&gt;!.:="</f>
        <v>#VALUE!</v>
      </c>
      <c r="GC223" t="e">
        <f>'All regions'!J5593+"n/&gt;!.:&gt;"</f>
        <v>#VALUE!</v>
      </c>
      <c r="GD223" t="e">
        <f>'All regions'!A5594+"n/&gt;!.:?"</f>
        <v>#VALUE!</v>
      </c>
      <c r="GE223" t="e">
        <f>'All regions'!B5594+"n/&gt;!.:@"</f>
        <v>#VALUE!</v>
      </c>
      <c r="GF223" t="e">
        <f>'All regions'!C5594+"n/&gt;!.:A"</f>
        <v>#VALUE!</v>
      </c>
      <c r="GG223" t="e">
        <f>'All regions'!D5594+"n/&gt;!.:B"</f>
        <v>#VALUE!</v>
      </c>
      <c r="GH223" t="e">
        <f>'All regions'!E5594+"n/&gt;!.:C"</f>
        <v>#VALUE!</v>
      </c>
      <c r="GI223" t="e">
        <f>'All regions'!F5594+"n/&gt;!.:D"</f>
        <v>#VALUE!</v>
      </c>
      <c r="GJ223" t="e">
        <f>'All regions'!G5594+"n/&gt;!.:E"</f>
        <v>#VALUE!</v>
      </c>
      <c r="GK223" t="e">
        <f>'All regions'!H5594+"n/&gt;!.:F"</f>
        <v>#VALUE!</v>
      </c>
      <c r="GL223" t="e">
        <f>'All regions'!I5594+"n/&gt;!.:G"</f>
        <v>#VALUE!</v>
      </c>
      <c r="GM223" t="e">
        <f>'All regions'!J5594+"n/&gt;!.:H"</f>
        <v>#VALUE!</v>
      </c>
      <c r="GN223" t="e">
        <f>'All regions'!A5595+"n/&gt;!.:I"</f>
        <v>#VALUE!</v>
      </c>
      <c r="GO223" t="e">
        <f>'All regions'!B5595+"n/&gt;!.:J"</f>
        <v>#VALUE!</v>
      </c>
      <c r="GP223" t="e">
        <f>'All regions'!C5595+"n/&gt;!.:K"</f>
        <v>#VALUE!</v>
      </c>
      <c r="GQ223" t="e">
        <f>'All regions'!D5595+"n/&gt;!.:L"</f>
        <v>#VALUE!</v>
      </c>
      <c r="GR223" t="e">
        <f>'All regions'!E5595+"n/&gt;!.:M"</f>
        <v>#VALUE!</v>
      </c>
      <c r="GS223" t="e">
        <f>'All regions'!F5595+"n/&gt;!.:N"</f>
        <v>#VALUE!</v>
      </c>
      <c r="GT223" t="e">
        <f>'All regions'!G5595+"n/&gt;!.:O"</f>
        <v>#VALUE!</v>
      </c>
      <c r="GU223" t="e">
        <f>'All regions'!H5595+"n/&gt;!.:P"</f>
        <v>#VALUE!</v>
      </c>
      <c r="GV223" t="e">
        <f>'All regions'!I5595+"n/&gt;!.:Q"</f>
        <v>#VALUE!</v>
      </c>
      <c r="GW223" t="e">
        <f>'All regions'!J5595+"n/&gt;!.:R"</f>
        <v>#VALUE!</v>
      </c>
      <c r="GX223" t="e">
        <f>'All regions'!A5596+"n/&gt;!.:S"</f>
        <v>#VALUE!</v>
      </c>
      <c r="GY223" t="e">
        <f>'All regions'!B5596+"n/&gt;!.:T"</f>
        <v>#VALUE!</v>
      </c>
      <c r="GZ223" t="e">
        <f>'All regions'!C5596+"n/&gt;!.:U"</f>
        <v>#VALUE!</v>
      </c>
      <c r="HA223" t="e">
        <f>'All regions'!D5596+"n/&gt;!.:V"</f>
        <v>#VALUE!</v>
      </c>
      <c r="HB223" t="e">
        <f>'All regions'!E5596+"n/&gt;!.:W"</f>
        <v>#VALUE!</v>
      </c>
      <c r="HC223" t="e">
        <f>'All regions'!F5596+"n/&gt;!.:X"</f>
        <v>#VALUE!</v>
      </c>
      <c r="HD223" t="e">
        <f>'All regions'!G5596+"n/&gt;!.:Y"</f>
        <v>#VALUE!</v>
      </c>
      <c r="HE223" t="e">
        <f>'All regions'!H5596+"n/&gt;!.:Z"</f>
        <v>#VALUE!</v>
      </c>
      <c r="HF223" t="e">
        <f>'All regions'!I5596+"n/&gt;!.:["</f>
        <v>#VALUE!</v>
      </c>
      <c r="HG223" t="e">
        <f>'All regions'!J5596+"n/&gt;!.:\"</f>
        <v>#VALUE!</v>
      </c>
      <c r="HH223" t="e">
        <f>'All regions'!A5597+"n/&gt;!.:]"</f>
        <v>#VALUE!</v>
      </c>
      <c r="HI223" t="e">
        <f>'All regions'!B5597+"n/&gt;!.:^"</f>
        <v>#VALUE!</v>
      </c>
      <c r="HJ223" t="e">
        <f>'All regions'!C5597+"n/&gt;!.:_"</f>
        <v>#VALUE!</v>
      </c>
      <c r="HK223" t="e">
        <f>'All regions'!D5597+"n/&gt;!.:`"</f>
        <v>#VALUE!</v>
      </c>
      <c r="HL223" t="e">
        <f>'All regions'!E5597+"n/&gt;!.:a"</f>
        <v>#VALUE!</v>
      </c>
      <c r="HM223" t="e">
        <f>'All regions'!F5597+"n/&gt;!.:b"</f>
        <v>#VALUE!</v>
      </c>
      <c r="HN223" t="e">
        <f>'All regions'!G5597+"n/&gt;!.:c"</f>
        <v>#VALUE!</v>
      </c>
      <c r="HO223" t="e">
        <f>'All regions'!H5597+"n/&gt;!.:d"</f>
        <v>#VALUE!</v>
      </c>
      <c r="HP223" t="e">
        <f>'All regions'!I5597+"n/&gt;!.:e"</f>
        <v>#VALUE!</v>
      </c>
      <c r="HQ223" t="e">
        <f>'All regions'!J5597+"n/&gt;!.:f"</f>
        <v>#VALUE!</v>
      </c>
      <c r="HR223" t="e">
        <f>'All regions'!A5598+"n/&gt;!.:g"</f>
        <v>#VALUE!</v>
      </c>
      <c r="HS223" t="e">
        <f>'All regions'!B5598+"n/&gt;!.:h"</f>
        <v>#VALUE!</v>
      </c>
      <c r="HT223" t="e">
        <f>'All regions'!C5598+"n/&gt;!.:i"</f>
        <v>#VALUE!</v>
      </c>
      <c r="HU223" t="e">
        <f>'All regions'!D5598+"n/&gt;!.:j"</f>
        <v>#VALUE!</v>
      </c>
      <c r="HV223" t="e">
        <f>'All regions'!E5598+"n/&gt;!.:k"</f>
        <v>#VALUE!</v>
      </c>
      <c r="HW223" t="e">
        <f>'All regions'!F5598+"n/&gt;!.:l"</f>
        <v>#VALUE!</v>
      </c>
      <c r="HX223" t="e">
        <f>'All regions'!G5598+"n/&gt;!.:m"</f>
        <v>#VALUE!</v>
      </c>
      <c r="HY223" t="e">
        <f>'All regions'!H5598+"n/&gt;!.:n"</f>
        <v>#VALUE!</v>
      </c>
      <c r="HZ223" t="e">
        <f>'All regions'!I5598+"n/&gt;!.:o"</f>
        <v>#VALUE!</v>
      </c>
      <c r="IA223" t="e">
        <f>'All regions'!J5598+"n/&gt;!.:p"</f>
        <v>#VALUE!</v>
      </c>
      <c r="IB223" t="e">
        <f>'All regions'!A5599+"n/&gt;!.:q"</f>
        <v>#VALUE!</v>
      </c>
      <c r="IC223" t="e">
        <f>'All regions'!B5599+"n/&gt;!.:r"</f>
        <v>#VALUE!</v>
      </c>
      <c r="ID223" t="e">
        <f>'All regions'!C5599+"n/&gt;!.:s"</f>
        <v>#VALUE!</v>
      </c>
      <c r="IE223" t="e">
        <f>'All regions'!D5599+"n/&gt;!.:t"</f>
        <v>#VALUE!</v>
      </c>
      <c r="IF223" t="e">
        <f>'All regions'!E5599+"n/&gt;!.:u"</f>
        <v>#VALUE!</v>
      </c>
      <c r="IG223" t="e">
        <f>'All regions'!F5599+"n/&gt;!.:v"</f>
        <v>#VALUE!</v>
      </c>
      <c r="IH223" t="e">
        <f>'All regions'!G5599+"n/&gt;!.:w"</f>
        <v>#VALUE!</v>
      </c>
      <c r="II223" t="e">
        <f>'All regions'!H5599+"n/&gt;!.:x"</f>
        <v>#VALUE!</v>
      </c>
      <c r="IJ223" t="e">
        <f>'All regions'!I5599+"n/&gt;!.:y"</f>
        <v>#VALUE!</v>
      </c>
      <c r="IK223" t="e">
        <f>'All regions'!J5599+"n/&gt;!.:z"</f>
        <v>#VALUE!</v>
      </c>
      <c r="IL223" t="e">
        <f>'All regions'!A5600+"n/&gt;!.:{"</f>
        <v>#VALUE!</v>
      </c>
      <c r="IM223" t="e">
        <f>'All regions'!B5600+"n/&gt;!.:|"</f>
        <v>#VALUE!</v>
      </c>
      <c r="IN223" t="e">
        <f>'All regions'!C5600+"n/&gt;!.:}"</f>
        <v>#VALUE!</v>
      </c>
      <c r="IO223" t="e">
        <f>'All regions'!D5600+"n/&gt;!.:~"</f>
        <v>#VALUE!</v>
      </c>
      <c r="IP223" t="e">
        <f>'All regions'!E5600+"n/&gt;!.;#"</f>
        <v>#VALUE!</v>
      </c>
      <c r="IQ223" t="e">
        <f>'All regions'!F5600+"n/&gt;!.;$"</f>
        <v>#VALUE!</v>
      </c>
      <c r="IR223" t="e">
        <f>'All regions'!G5600+"n/&gt;!.;%"</f>
        <v>#VALUE!</v>
      </c>
      <c r="IS223" t="e">
        <f>'All regions'!H5600+"n/&gt;!.;&amp;"</f>
        <v>#VALUE!</v>
      </c>
      <c r="IT223" t="e">
        <f>'All regions'!I5600+"n/&gt;!.;'"</f>
        <v>#VALUE!</v>
      </c>
      <c r="IU223" t="e">
        <f>'All regions'!J5600+"n/&gt;!.;("</f>
        <v>#VALUE!</v>
      </c>
      <c r="IV223" t="e">
        <f>'All regions'!A5601+"n/&gt;!.;)"</f>
        <v>#VALUE!</v>
      </c>
    </row>
    <row r="224" spans="6:256" x14ac:dyDescent="0.35">
      <c r="F224" t="e">
        <f>'All regions'!B5601+"n/&gt;!.;."</f>
        <v>#VALUE!</v>
      </c>
      <c r="G224" t="e">
        <f>'All regions'!C5601+"n/&gt;!.;/"</f>
        <v>#VALUE!</v>
      </c>
      <c r="H224" t="e">
        <f>'All regions'!D5601+"n/&gt;!.;0"</f>
        <v>#VALUE!</v>
      </c>
      <c r="I224" t="e">
        <f>'All regions'!E5601+"n/&gt;!.;1"</f>
        <v>#VALUE!</v>
      </c>
      <c r="J224" t="e">
        <f>'All regions'!F5601+"n/&gt;!.;2"</f>
        <v>#VALUE!</v>
      </c>
      <c r="K224" t="e">
        <f>'All regions'!G5601+"n/&gt;!.;3"</f>
        <v>#VALUE!</v>
      </c>
      <c r="L224" t="e">
        <f>'All regions'!H5601+"n/&gt;!.;4"</f>
        <v>#VALUE!</v>
      </c>
      <c r="M224" t="e">
        <f>'All regions'!I5601+"n/&gt;!.;5"</f>
        <v>#VALUE!</v>
      </c>
      <c r="N224" t="e">
        <f>'All regions'!J5601+"n/&gt;!.;6"</f>
        <v>#VALUE!</v>
      </c>
      <c r="O224" t="e">
        <f>'All regions'!A5602+"n/&gt;!.;7"</f>
        <v>#VALUE!</v>
      </c>
      <c r="P224" t="e">
        <f>'All regions'!B5602+"n/&gt;!.;8"</f>
        <v>#VALUE!</v>
      </c>
      <c r="Q224" t="e">
        <f>'All regions'!C5602+"n/&gt;!.;9"</f>
        <v>#VALUE!</v>
      </c>
      <c r="R224" t="e">
        <f>'All regions'!D5602+"n/&gt;!.;:"</f>
        <v>#VALUE!</v>
      </c>
      <c r="S224" t="e">
        <f>'All regions'!E5602+"n/&gt;!.;;"</f>
        <v>#VALUE!</v>
      </c>
      <c r="T224" t="e">
        <f>'All regions'!F5602+"n/&gt;!.;&lt;"</f>
        <v>#VALUE!</v>
      </c>
      <c r="U224" t="e">
        <f>'All regions'!G5602+"n/&gt;!.;="</f>
        <v>#VALUE!</v>
      </c>
      <c r="V224" t="e">
        <f>'All regions'!H5602+"n/&gt;!.;&gt;"</f>
        <v>#VALUE!</v>
      </c>
      <c r="W224" t="e">
        <f>'All regions'!I5602+"n/&gt;!.;?"</f>
        <v>#VALUE!</v>
      </c>
      <c r="X224" t="e">
        <f>'All regions'!J5602+"n/&gt;!.;@"</f>
        <v>#VALUE!</v>
      </c>
      <c r="Y224" t="e">
        <f>'All regions'!A5603+"n/&gt;!.;A"</f>
        <v>#VALUE!</v>
      </c>
      <c r="Z224" t="e">
        <f>'All regions'!B5603+"n/&gt;!.;B"</f>
        <v>#VALUE!</v>
      </c>
      <c r="AA224" t="e">
        <f>'All regions'!C5603+"n/&gt;!.;C"</f>
        <v>#VALUE!</v>
      </c>
      <c r="AB224" t="e">
        <f>'All regions'!D5603+"n/&gt;!.;D"</f>
        <v>#VALUE!</v>
      </c>
      <c r="AC224" t="e">
        <f>'All regions'!E5603+"n/&gt;!.;E"</f>
        <v>#VALUE!</v>
      </c>
      <c r="AD224" t="e">
        <f>'All regions'!F5603+"n/&gt;!.;F"</f>
        <v>#VALUE!</v>
      </c>
      <c r="AE224" t="e">
        <f>'All regions'!G5603+"n/&gt;!.;G"</f>
        <v>#VALUE!</v>
      </c>
      <c r="AF224" t="e">
        <f>'All regions'!H5603+"n/&gt;!.;H"</f>
        <v>#VALUE!</v>
      </c>
      <c r="AG224" t="e">
        <f>'All regions'!I5603+"n/&gt;!.;I"</f>
        <v>#VALUE!</v>
      </c>
      <c r="AH224" t="e">
        <f>'All regions'!J5603+"n/&gt;!.;J"</f>
        <v>#VALUE!</v>
      </c>
      <c r="AI224" t="e">
        <f>'All regions'!A5604+"n/&gt;!.;K"</f>
        <v>#VALUE!</v>
      </c>
      <c r="AJ224" t="e">
        <f>'All regions'!B5604+"n/&gt;!.;L"</f>
        <v>#VALUE!</v>
      </c>
      <c r="AK224" t="e">
        <f>'All regions'!C5604+"n/&gt;!.;M"</f>
        <v>#VALUE!</v>
      </c>
      <c r="AL224" t="e">
        <f>'All regions'!D5604+"n/&gt;!.;N"</f>
        <v>#VALUE!</v>
      </c>
      <c r="AM224" t="e">
        <f>'All regions'!E5604+"n/&gt;!.;O"</f>
        <v>#VALUE!</v>
      </c>
      <c r="AN224" t="e">
        <f>'All regions'!F5604+"n/&gt;!.;P"</f>
        <v>#VALUE!</v>
      </c>
      <c r="AO224" t="e">
        <f>'All regions'!G5604+"n/&gt;!.;Q"</f>
        <v>#VALUE!</v>
      </c>
      <c r="AP224" t="e">
        <f>'All regions'!H5604+"n/&gt;!.;R"</f>
        <v>#VALUE!</v>
      </c>
      <c r="AQ224" t="e">
        <f>'All regions'!I5604+"n/&gt;!.;S"</f>
        <v>#VALUE!</v>
      </c>
      <c r="AR224" t="e">
        <f>'All regions'!J5604+"n/&gt;!.;T"</f>
        <v>#VALUE!</v>
      </c>
      <c r="AS224" t="e">
        <f>'All regions'!A5605+"n/&gt;!.;U"</f>
        <v>#VALUE!</v>
      </c>
      <c r="AT224" t="e">
        <f>'All regions'!B5605+"n/&gt;!.;V"</f>
        <v>#VALUE!</v>
      </c>
      <c r="AU224" t="e">
        <f>'All regions'!C5605+"n/&gt;!.;W"</f>
        <v>#VALUE!</v>
      </c>
      <c r="AV224" t="e">
        <f>'All regions'!D5605+"n/&gt;!.;X"</f>
        <v>#VALUE!</v>
      </c>
      <c r="AW224" t="e">
        <f>'All regions'!E5605+"n/&gt;!.;Y"</f>
        <v>#VALUE!</v>
      </c>
      <c r="AX224" t="e">
        <f>'All regions'!F5605+"n/&gt;!.;Z"</f>
        <v>#VALUE!</v>
      </c>
      <c r="AY224" t="e">
        <f>'All regions'!G5605+"n/&gt;!.;["</f>
        <v>#VALUE!</v>
      </c>
      <c r="AZ224" t="e">
        <f>'All regions'!H5605+"n/&gt;!.;\"</f>
        <v>#VALUE!</v>
      </c>
      <c r="BA224" t="e">
        <f>'All regions'!I5605+"n/&gt;!.;]"</f>
        <v>#VALUE!</v>
      </c>
      <c r="BB224" t="e">
        <f>'All regions'!A5606+"n/&gt;!.;^"</f>
        <v>#VALUE!</v>
      </c>
      <c r="BC224" t="e">
        <f>'All regions'!B5606+"n/&gt;!.;_"</f>
        <v>#VALUE!</v>
      </c>
      <c r="BD224" t="e">
        <f>'All regions'!C5606+"n/&gt;!.;`"</f>
        <v>#VALUE!</v>
      </c>
      <c r="BE224" t="e">
        <f>'All regions'!D5606+"n/&gt;!.;a"</f>
        <v>#VALUE!</v>
      </c>
      <c r="BF224" t="e">
        <f>'All regions'!E5606+"n/&gt;!.;b"</f>
        <v>#VALUE!</v>
      </c>
      <c r="BG224" t="e">
        <f>'All regions'!F5606+"n/&gt;!.;c"</f>
        <v>#VALUE!</v>
      </c>
      <c r="BH224" t="e">
        <f>'All regions'!G5606+"n/&gt;!.;d"</f>
        <v>#VALUE!</v>
      </c>
      <c r="BI224" t="e">
        <f>'All regions'!H5606+"n/&gt;!.;e"</f>
        <v>#VALUE!</v>
      </c>
      <c r="BJ224" t="e">
        <f>'All regions'!I5606+"n/&gt;!.;f"</f>
        <v>#VALUE!</v>
      </c>
      <c r="BK224" t="e">
        <f>'All regions'!A5607+"n/&gt;!.;g"</f>
        <v>#VALUE!</v>
      </c>
      <c r="BL224" t="e">
        <f>'All regions'!B5607+"n/&gt;!.;h"</f>
        <v>#VALUE!</v>
      </c>
      <c r="BM224" t="e">
        <f>'All regions'!C5607+"n/&gt;!.;i"</f>
        <v>#VALUE!</v>
      </c>
      <c r="BN224" t="e">
        <f>'All regions'!D5607+"n/&gt;!.;j"</f>
        <v>#VALUE!</v>
      </c>
      <c r="BO224" t="e">
        <f>'All regions'!E5607+"n/&gt;!.;k"</f>
        <v>#VALUE!</v>
      </c>
      <c r="BP224" t="e">
        <f>'All regions'!F5607+"n/&gt;!.;l"</f>
        <v>#VALUE!</v>
      </c>
      <c r="BQ224" t="e">
        <f>'All regions'!G5607+"n/&gt;!.;m"</f>
        <v>#VALUE!</v>
      </c>
      <c r="BR224" t="e">
        <f>'All regions'!H5607+"n/&gt;!.;n"</f>
        <v>#VALUE!</v>
      </c>
      <c r="BS224" t="e">
        <f>'All regions'!I5607+"n/&gt;!.;o"</f>
        <v>#VALUE!</v>
      </c>
      <c r="BT224" t="e">
        <f>'All regions'!J5607+"n/&gt;!.;p"</f>
        <v>#VALUE!</v>
      </c>
      <c r="BU224" t="e">
        <f>'All regions'!A5608+"n/&gt;!.;q"</f>
        <v>#VALUE!</v>
      </c>
      <c r="BV224" t="e">
        <f>'All regions'!B5608+"n/&gt;!.;r"</f>
        <v>#VALUE!</v>
      </c>
      <c r="BW224" t="e">
        <f>'All regions'!C5608+"n/&gt;!.;s"</f>
        <v>#VALUE!</v>
      </c>
      <c r="BX224" t="e">
        <f>'All regions'!D5608+"n/&gt;!.;t"</f>
        <v>#VALUE!</v>
      </c>
      <c r="BY224" t="e">
        <f>'All regions'!E5608+"n/&gt;!.;u"</f>
        <v>#VALUE!</v>
      </c>
      <c r="BZ224" t="e">
        <f>'All regions'!F5608+"n/&gt;!.;v"</f>
        <v>#VALUE!</v>
      </c>
      <c r="CA224" t="e">
        <f>'All regions'!G5608+"n/&gt;!.;w"</f>
        <v>#VALUE!</v>
      </c>
      <c r="CB224" t="e">
        <f>'All regions'!H5608+"n/&gt;!.;x"</f>
        <v>#VALUE!</v>
      </c>
      <c r="CC224" t="e">
        <f>'All regions'!I5608+"n/&gt;!.;y"</f>
        <v>#VALUE!</v>
      </c>
      <c r="CD224" t="e">
        <f>'All regions'!J5608+"n/&gt;!.;z"</f>
        <v>#VALUE!</v>
      </c>
      <c r="CE224" t="e">
        <f>'All regions'!A5609+"n/&gt;!.;{"</f>
        <v>#VALUE!</v>
      </c>
      <c r="CF224" t="e">
        <f>'All regions'!B5609+"n/&gt;!.;|"</f>
        <v>#VALUE!</v>
      </c>
      <c r="CG224" t="e">
        <f>'All regions'!C5609+"n/&gt;!.;}"</f>
        <v>#VALUE!</v>
      </c>
      <c r="CH224" t="e">
        <f>'All regions'!D5609+"n/&gt;!.;~"</f>
        <v>#VALUE!</v>
      </c>
      <c r="CI224" t="e">
        <f>'All regions'!E5609+"n/&gt;!.&lt;#"</f>
        <v>#VALUE!</v>
      </c>
      <c r="CJ224" t="e">
        <f>'All regions'!F5609+"n/&gt;!.&lt;$"</f>
        <v>#VALUE!</v>
      </c>
      <c r="CK224" t="e">
        <f>'All regions'!G5609+"n/&gt;!.&lt;%"</f>
        <v>#VALUE!</v>
      </c>
      <c r="CL224" t="e">
        <f>'All regions'!H5609+"n/&gt;!.&lt;&amp;"</f>
        <v>#VALUE!</v>
      </c>
      <c r="CM224" t="e">
        <f>'All regions'!I5609+"n/&gt;!.&lt;'"</f>
        <v>#VALUE!</v>
      </c>
      <c r="CN224" t="e">
        <f>'All regions'!J5609+"n/&gt;!.&lt;("</f>
        <v>#VALUE!</v>
      </c>
      <c r="CO224" t="e">
        <f>'All regions'!A5610+"n/&gt;!.&lt;)"</f>
        <v>#VALUE!</v>
      </c>
      <c r="CP224" t="e">
        <f>'All regions'!B5610+"n/&gt;!.&lt;."</f>
        <v>#VALUE!</v>
      </c>
      <c r="CQ224" t="e">
        <f>'All regions'!C5610+"n/&gt;!.&lt;/"</f>
        <v>#VALUE!</v>
      </c>
      <c r="CR224" t="e">
        <f>'All regions'!D5610+"n/&gt;!.&lt;0"</f>
        <v>#VALUE!</v>
      </c>
      <c r="CS224" t="e">
        <f>'All regions'!E5610+"n/&gt;!.&lt;1"</f>
        <v>#VALUE!</v>
      </c>
      <c r="CT224" t="e">
        <f>'All regions'!F5610+"n/&gt;!.&lt;2"</f>
        <v>#VALUE!</v>
      </c>
      <c r="CU224" t="e">
        <f>'All regions'!G5610+"n/&gt;!.&lt;3"</f>
        <v>#VALUE!</v>
      </c>
      <c r="CV224" t="e">
        <f>'All regions'!H5610+"n/&gt;!.&lt;4"</f>
        <v>#VALUE!</v>
      </c>
      <c r="CW224" t="e">
        <f>'All regions'!I5610+"n/&gt;!.&lt;5"</f>
        <v>#VALUE!</v>
      </c>
      <c r="CX224" t="e">
        <f>'All regions'!J5610+"n/&gt;!.&lt;6"</f>
        <v>#VALUE!</v>
      </c>
      <c r="CY224" t="e">
        <f>'All regions'!A5611+"n/&gt;!.&lt;7"</f>
        <v>#VALUE!</v>
      </c>
      <c r="CZ224" t="e">
        <f>'All regions'!B5611+"n/&gt;!.&lt;8"</f>
        <v>#VALUE!</v>
      </c>
      <c r="DA224" t="e">
        <f>'All regions'!C5611+"n/&gt;!.&lt;9"</f>
        <v>#VALUE!</v>
      </c>
      <c r="DB224" t="e">
        <f>'All regions'!D5611+"n/&gt;!.&lt;:"</f>
        <v>#VALUE!</v>
      </c>
      <c r="DC224" t="e">
        <f>'All regions'!E5611+"n/&gt;!.&lt;;"</f>
        <v>#VALUE!</v>
      </c>
      <c r="DD224" t="e">
        <f>'All regions'!F5611+"n/&gt;!.&lt;&lt;"</f>
        <v>#VALUE!</v>
      </c>
      <c r="DE224" t="e">
        <f>'All regions'!G5611+"n/&gt;!.&lt;="</f>
        <v>#VALUE!</v>
      </c>
      <c r="DF224" t="e">
        <f>'All regions'!H5611+"n/&gt;!.&lt;&gt;"</f>
        <v>#VALUE!</v>
      </c>
      <c r="DG224" t="e">
        <f>'All regions'!I5611+"n/&gt;!.&lt;?"</f>
        <v>#VALUE!</v>
      </c>
      <c r="DH224" t="e">
        <f>'All regions'!J5611+"n/&gt;!.&lt;@"</f>
        <v>#VALUE!</v>
      </c>
      <c r="DI224" t="e">
        <f>'All regions'!A5612+"n/&gt;!.&lt;A"</f>
        <v>#VALUE!</v>
      </c>
      <c r="DJ224" t="e">
        <f>'All regions'!B5612+"n/&gt;!.&lt;B"</f>
        <v>#VALUE!</v>
      </c>
      <c r="DK224" t="e">
        <f>'All regions'!C5612+"n/&gt;!.&lt;C"</f>
        <v>#VALUE!</v>
      </c>
      <c r="DL224" t="e">
        <f>'All regions'!D5612+"n/&gt;!.&lt;D"</f>
        <v>#VALUE!</v>
      </c>
      <c r="DM224" t="e">
        <f>'All regions'!E5612+"n/&gt;!.&lt;E"</f>
        <v>#VALUE!</v>
      </c>
      <c r="DN224" t="e">
        <f>'All regions'!F5612+"n/&gt;!.&lt;F"</f>
        <v>#VALUE!</v>
      </c>
      <c r="DO224" t="e">
        <f>'All regions'!G5612+"n/&gt;!.&lt;G"</f>
        <v>#VALUE!</v>
      </c>
      <c r="DP224" t="e">
        <f>'All regions'!H5612+"n/&gt;!.&lt;H"</f>
        <v>#VALUE!</v>
      </c>
      <c r="DQ224" t="e">
        <f>'All regions'!I5612+"n/&gt;!.&lt;I"</f>
        <v>#VALUE!</v>
      </c>
      <c r="DR224" t="e">
        <f>'All regions'!J5612+"n/&gt;!.&lt;J"</f>
        <v>#VALUE!</v>
      </c>
      <c r="DS224" t="e">
        <f>'All regions'!A5613+"n/&gt;!.&lt;K"</f>
        <v>#VALUE!</v>
      </c>
      <c r="DT224" t="e">
        <f>'All regions'!B5613+"n/&gt;!.&lt;L"</f>
        <v>#VALUE!</v>
      </c>
      <c r="DU224" t="e">
        <f>'All regions'!C5613+"n/&gt;!.&lt;M"</f>
        <v>#VALUE!</v>
      </c>
      <c r="DV224" t="e">
        <f>'All regions'!D5613+"n/&gt;!.&lt;N"</f>
        <v>#VALUE!</v>
      </c>
      <c r="DW224" t="e">
        <f>'All regions'!E5613+"n/&gt;!.&lt;O"</f>
        <v>#VALUE!</v>
      </c>
      <c r="DX224" t="e">
        <f>'All regions'!F5613+"n/&gt;!.&lt;P"</f>
        <v>#VALUE!</v>
      </c>
      <c r="DY224" t="e">
        <f>'All regions'!G5613+"n/&gt;!.&lt;Q"</f>
        <v>#VALUE!</v>
      </c>
      <c r="DZ224" t="e">
        <f>'All regions'!H5613+"n/&gt;!.&lt;R"</f>
        <v>#VALUE!</v>
      </c>
      <c r="EA224" t="e">
        <f>'All regions'!I5613+"n/&gt;!.&lt;S"</f>
        <v>#VALUE!</v>
      </c>
      <c r="EB224" t="e">
        <f>'All regions'!J5613+"n/&gt;!.&lt;T"</f>
        <v>#VALUE!</v>
      </c>
      <c r="EC224" t="e">
        <f>'All regions'!A5614+"n/&gt;!.&lt;U"</f>
        <v>#VALUE!</v>
      </c>
      <c r="ED224" t="e">
        <f>'All regions'!B5614+"n/&gt;!.&lt;V"</f>
        <v>#VALUE!</v>
      </c>
      <c r="EE224" t="e">
        <f>'All regions'!C5614+"n/&gt;!.&lt;W"</f>
        <v>#VALUE!</v>
      </c>
      <c r="EF224" t="e">
        <f>'All regions'!D5614+"n/&gt;!.&lt;X"</f>
        <v>#VALUE!</v>
      </c>
      <c r="EG224" t="e">
        <f>'All regions'!E5614+"n/&gt;!.&lt;Y"</f>
        <v>#VALUE!</v>
      </c>
      <c r="EH224" t="e">
        <f>'All regions'!F5614+"n/&gt;!.&lt;Z"</f>
        <v>#VALUE!</v>
      </c>
      <c r="EI224" t="e">
        <f>'All regions'!G5614+"n/&gt;!.&lt;["</f>
        <v>#VALUE!</v>
      </c>
      <c r="EJ224" t="e">
        <f>'All regions'!H5614+"n/&gt;!.&lt;\"</f>
        <v>#VALUE!</v>
      </c>
      <c r="EK224" t="e">
        <f>'All regions'!I5614+"n/&gt;!.&lt;]"</f>
        <v>#VALUE!</v>
      </c>
      <c r="EL224" t="e">
        <f>'All regions'!J5614+"n/&gt;!.&lt;^"</f>
        <v>#VALUE!</v>
      </c>
      <c r="EM224" t="e">
        <f>'All regions'!A5615+"n/&gt;!.&lt;_"</f>
        <v>#VALUE!</v>
      </c>
      <c r="EN224" t="e">
        <f>'All regions'!B5615+"n/&gt;!.&lt;`"</f>
        <v>#VALUE!</v>
      </c>
      <c r="EO224" t="e">
        <f>'All regions'!C5615+"n/&gt;!.&lt;a"</f>
        <v>#VALUE!</v>
      </c>
      <c r="EP224" t="e">
        <f>'All regions'!D5615+"n/&gt;!.&lt;b"</f>
        <v>#VALUE!</v>
      </c>
      <c r="EQ224" t="e">
        <f>'All regions'!E5615+"n/&gt;!.&lt;c"</f>
        <v>#VALUE!</v>
      </c>
      <c r="ER224" t="e">
        <f>'All regions'!F5615+"n/&gt;!.&lt;d"</f>
        <v>#VALUE!</v>
      </c>
      <c r="ES224" t="e">
        <f>'All regions'!G5615+"n/&gt;!.&lt;e"</f>
        <v>#VALUE!</v>
      </c>
      <c r="ET224" t="e">
        <f>'All regions'!H5615+"n/&gt;!.&lt;f"</f>
        <v>#VALUE!</v>
      </c>
      <c r="EU224" t="e">
        <f>'All regions'!I5615+"n/&gt;!.&lt;g"</f>
        <v>#VALUE!</v>
      </c>
      <c r="EV224" t="e">
        <f>'All regions'!J5615+"n/&gt;!.&lt;h"</f>
        <v>#VALUE!</v>
      </c>
      <c r="EW224" t="e">
        <f>'All regions'!A5616+"n/&gt;!.&lt;i"</f>
        <v>#VALUE!</v>
      </c>
      <c r="EX224" t="e">
        <f>'All regions'!B5616+"n/&gt;!.&lt;j"</f>
        <v>#VALUE!</v>
      </c>
      <c r="EY224" t="e">
        <f>'All regions'!C5616+"n/&gt;!.&lt;k"</f>
        <v>#VALUE!</v>
      </c>
      <c r="EZ224" t="e">
        <f>'All regions'!D5616+"n/&gt;!.&lt;l"</f>
        <v>#VALUE!</v>
      </c>
      <c r="FA224" t="e">
        <f>'All regions'!E5616+"n/&gt;!.&lt;m"</f>
        <v>#VALUE!</v>
      </c>
      <c r="FB224" t="e">
        <f>'All regions'!F5616+"n/&gt;!.&lt;n"</f>
        <v>#VALUE!</v>
      </c>
      <c r="FC224" t="e">
        <f>'All regions'!G5616+"n/&gt;!.&lt;o"</f>
        <v>#VALUE!</v>
      </c>
      <c r="FD224" t="e">
        <f>'All regions'!H5616+"n/&gt;!.&lt;p"</f>
        <v>#VALUE!</v>
      </c>
      <c r="FE224" t="e">
        <f>'All regions'!I5616+"n/&gt;!.&lt;q"</f>
        <v>#VALUE!</v>
      </c>
      <c r="FF224" t="e">
        <f>'All regions'!J5616+"n/&gt;!.&lt;r"</f>
        <v>#VALUE!</v>
      </c>
      <c r="FG224" t="e">
        <f>'All regions'!A5617+"n/&gt;!.&lt;s"</f>
        <v>#VALUE!</v>
      </c>
      <c r="FH224" t="e">
        <f>'All regions'!B5617+"n/&gt;!.&lt;t"</f>
        <v>#VALUE!</v>
      </c>
      <c r="FI224" t="e">
        <f>'All regions'!C5617+"n/&gt;!.&lt;u"</f>
        <v>#VALUE!</v>
      </c>
      <c r="FJ224" t="e">
        <f>'All regions'!D5617+"n/&gt;!.&lt;v"</f>
        <v>#VALUE!</v>
      </c>
      <c r="FK224" t="e">
        <f>'All regions'!E5617+"n/&gt;!.&lt;w"</f>
        <v>#VALUE!</v>
      </c>
      <c r="FL224" t="e">
        <f>'All regions'!F5617+"n/&gt;!.&lt;x"</f>
        <v>#VALUE!</v>
      </c>
      <c r="FM224" t="e">
        <f>'All regions'!G5617+"n/&gt;!.&lt;y"</f>
        <v>#VALUE!</v>
      </c>
      <c r="FN224" t="e">
        <f>'All regions'!H5617+"n/&gt;!.&lt;z"</f>
        <v>#VALUE!</v>
      </c>
      <c r="FO224" t="e">
        <f>'All regions'!I5617+"n/&gt;!.&lt;{"</f>
        <v>#VALUE!</v>
      </c>
      <c r="FP224" t="e">
        <f>'All regions'!J5617+"n/&gt;!.&lt;|"</f>
        <v>#VALUE!</v>
      </c>
      <c r="FQ224" t="e">
        <f>'All regions'!A5618+"n/&gt;!.&lt;}"</f>
        <v>#VALUE!</v>
      </c>
      <c r="FR224" t="e">
        <f>'All regions'!B5618+"n/&gt;!.&lt;~"</f>
        <v>#VALUE!</v>
      </c>
      <c r="FS224" t="e">
        <f>'All regions'!C5618+"n/&gt;!.=#"</f>
        <v>#VALUE!</v>
      </c>
      <c r="FT224" t="e">
        <f>'All regions'!D5618+"n/&gt;!.=$"</f>
        <v>#VALUE!</v>
      </c>
      <c r="FU224" t="e">
        <f>'All regions'!E5618+"n/&gt;!.=%"</f>
        <v>#VALUE!</v>
      </c>
      <c r="FV224" t="e">
        <f>'All regions'!F5618+"n/&gt;!.=&amp;"</f>
        <v>#VALUE!</v>
      </c>
      <c r="FW224" t="e">
        <f>'All regions'!G5618+"n/&gt;!.='"</f>
        <v>#VALUE!</v>
      </c>
      <c r="FX224" t="e">
        <f>'All regions'!H5618+"n/&gt;!.=("</f>
        <v>#VALUE!</v>
      </c>
      <c r="FY224" t="e">
        <f>'All regions'!I5618+"n/&gt;!.=)"</f>
        <v>#VALUE!</v>
      </c>
      <c r="FZ224" t="e">
        <f>'All regions'!J5618+"n/&gt;!.=."</f>
        <v>#VALUE!</v>
      </c>
      <c r="GA224" t="e">
        <f>'All regions'!A5619+"n/&gt;!.=/"</f>
        <v>#VALUE!</v>
      </c>
      <c r="GB224" t="e">
        <f>'All regions'!B5619+"n/&gt;!.=0"</f>
        <v>#VALUE!</v>
      </c>
      <c r="GC224" t="e">
        <f>'All regions'!C5619+"n/&gt;!.=1"</f>
        <v>#VALUE!</v>
      </c>
      <c r="GD224" t="e">
        <f>'All regions'!D5619+"n/&gt;!.=2"</f>
        <v>#VALUE!</v>
      </c>
      <c r="GE224" t="e">
        <f>'All regions'!E5619+"n/&gt;!.=3"</f>
        <v>#VALUE!</v>
      </c>
      <c r="GF224" t="e">
        <f>'All regions'!F5619+"n/&gt;!.=4"</f>
        <v>#VALUE!</v>
      </c>
      <c r="GG224" t="e">
        <f>'All regions'!G5619+"n/&gt;!.=5"</f>
        <v>#VALUE!</v>
      </c>
      <c r="GH224" t="e">
        <f>'All regions'!H5619+"n/&gt;!.=6"</f>
        <v>#VALUE!</v>
      </c>
      <c r="GI224" t="e">
        <f>'All regions'!I5619+"n/&gt;!.=7"</f>
        <v>#VALUE!</v>
      </c>
      <c r="GJ224" t="e">
        <f>'All regions'!J5619+"n/&gt;!.=8"</f>
        <v>#VALUE!</v>
      </c>
      <c r="GK224" t="e">
        <f>'All regions'!A5620+"n/&gt;!.=9"</f>
        <v>#VALUE!</v>
      </c>
      <c r="GL224" t="e">
        <f>'All regions'!B5620+"n/&gt;!.=:"</f>
        <v>#VALUE!</v>
      </c>
      <c r="GM224" t="e">
        <f>'All regions'!C5620+"n/&gt;!.=;"</f>
        <v>#VALUE!</v>
      </c>
      <c r="GN224" t="e">
        <f>'All regions'!D5620+"n/&gt;!.=&lt;"</f>
        <v>#VALUE!</v>
      </c>
      <c r="GO224" t="e">
        <f>'All regions'!E5620+"n/&gt;!.=="</f>
        <v>#VALUE!</v>
      </c>
      <c r="GP224" t="e">
        <f>'All regions'!F5620+"n/&gt;!.=&gt;"</f>
        <v>#VALUE!</v>
      </c>
      <c r="GQ224" t="e">
        <f>'All regions'!G5620+"n/&gt;!.=?"</f>
        <v>#VALUE!</v>
      </c>
      <c r="GR224" t="e">
        <f>'All regions'!H5620+"n/&gt;!.=@"</f>
        <v>#VALUE!</v>
      </c>
      <c r="GS224" t="e">
        <f>'All regions'!I5620+"n/&gt;!.=A"</f>
        <v>#VALUE!</v>
      </c>
      <c r="GT224" t="e">
        <f>'All regions'!J5620+"n/&gt;!.=B"</f>
        <v>#VALUE!</v>
      </c>
      <c r="GU224" t="e">
        <f>'All regions'!A5621+"n/&gt;!.=C"</f>
        <v>#VALUE!</v>
      </c>
      <c r="GV224" t="e">
        <f>'All regions'!B5621+"n/&gt;!.=D"</f>
        <v>#VALUE!</v>
      </c>
      <c r="GW224" t="e">
        <f>'All regions'!C5621+"n/&gt;!.=E"</f>
        <v>#VALUE!</v>
      </c>
      <c r="GX224" t="e">
        <f>'All regions'!D5621+"n/&gt;!.=F"</f>
        <v>#VALUE!</v>
      </c>
      <c r="GY224" t="e">
        <f>'All regions'!E5621+"n/&gt;!.=G"</f>
        <v>#VALUE!</v>
      </c>
      <c r="GZ224" t="e">
        <f>'All regions'!F5621+"n/&gt;!.=H"</f>
        <v>#VALUE!</v>
      </c>
      <c r="HA224" t="e">
        <f>'All regions'!G5621+"n/&gt;!.=I"</f>
        <v>#VALUE!</v>
      </c>
      <c r="HB224" t="e">
        <f>'All regions'!H5621+"n/&gt;!.=J"</f>
        <v>#VALUE!</v>
      </c>
      <c r="HC224" t="e">
        <f>'All regions'!I5621+"n/&gt;!.=K"</f>
        <v>#VALUE!</v>
      </c>
      <c r="HD224" t="e">
        <f>'All regions'!J5621+"n/&gt;!.=L"</f>
        <v>#VALUE!</v>
      </c>
      <c r="HE224" t="e">
        <f>'All regions'!A5622+"n/&gt;!.=M"</f>
        <v>#VALUE!</v>
      </c>
      <c r="HF224" t="e">
        <f>'All regions'!B5622+"n/&gt;!.=N"</f>
        <v>#VALUE!</v>
      </c>
      <c r="HG224" t="e">
        <f>'All regions'!C5622+"n/&gt;!.=O"</f>
        <v>#VALUE!</v>
      </c>
      <c r="HH224" t="e">
        <f>'All regions'!D5622+"n/&gt;!.=P"</f>
        <v>#VALUE!</v>
      </c>
      <c r="HI224" t="e">
        <f>'All regions'!E5622+"n/&gt;!.=Q"</f>
        <v>#VALUE!</v>
      </c>
      <c r="HJ224" t="e">
        <f>'All regions'!F5622+"n/&gt;!.=R"</f>
        <v>#VALUE!</v>
      </c>
      <c r="HK224" t="e">
        <f>'All regions'!G5622+"n/&gt;!.=S"</f>
        <v>#VALUE!</v>
      </c>
      <c r="HL224" t="e">
        <f>'All regions'!H5622+"n/&gt;!.=T"</f>
        <v>#VALUE!</v>
      </c>
      <c r="HM224" t="e">
        <f>'All regions'!I5622+"n/&gt;!.=U"</f>
        <v>#VALUE!</v>
      </c>
      <c r="HN224" t="e">
        <f>'All regions'!J5622+"n/&gt;!.=V"</f>
        <v>#VALUE!</v>
      </c>
      <c r="HO224" t="e">
        <f>'All regions'!A5623+"n/&gt;!.=W"</f>
        <v>#VALUE!</v>
      </c>
      <c r="HP224" t="e">
        <f>'All regions'!B5623+"n/&gt;!.=X"</f>
        <v>#VALUE!</v>
      </c>
      <c r="HQ224" t="e">
        <f>'All regions'!C5623+"n/&gt;!.=Y"</f>
        <v>#VALUE!</v>
      </c>
      <c r="HR224" t="e">
        <f>'All regions'!D5623+"n/&gt;!.=Z"</f>
        <v>#VALUE!</v>
      </c>
      <c r="HS224" t="e">
        <f>'All regions'!E5623+"n/&gt;!.=["</f>
        <v>#VALUE!</v>
      </c>
      <c r="HT224" t="e">
        <f>'All regions'!F5623+"n/&gt;!.=\"</f>
        <v>#VALUE!</v>
      </c>
      <c r="HU224" t="e">
        <f>'All regions'!G5623+"n/&gt;!.=]"</f>
        <v>#VALUE!</v>
      </c>
      <c r="HV224" t="e">
        <f>'All regions'!H5623+"n/&gt;!.=^"</f>
        <v>#VALUE!</v>
      </c>
      <c r="HW224" t="e">
        <f>'All regions'!I5623+"n/&gt;!.=_"</f>
        <v>#VALUE!</v>
      </c>
      <c r="HX224" t="e">
        <f>'All regions'!J5623+"n/&gt;!.=`"</f>
        <v>#VALUE!</v>
      </c>
      <c r="HY224" t="e">
        <f>'All regions'!A5624+"n/&gt;!.=a"</f>
        <v>#VALUE!</v>
      </c>
      <c r="HZ224" t="e">
        <f>'All regions'!B5624+"n/&gt;!.=b"</f>
        <v>#VALUE!</v>
      </c>
      <c r="IA224" t="e">
        <f>'All regions'!C5624+"n/&gt;!.=c"</f>
        <v>#VALUE!</v>
      </c>
      <c r="IB224" t="e">
        <f>'All regions'!D5624+"n/&gt;!.=d"</f>
        <v>#VALUE!</v>
      </c>
      <c r="IC224" t="e">
        <f>'All regions'!E5624+"n/&gt;!.=e"</f>
        <v>#VALUE!</v>
      </c>
      <c r="ID224" t="e">
        <f>'All regions'!F5624+"n/&gt;!.=f"</f>
        <v>#VALUE!</v>
      </c>
      <c r="IE224" t="e">
        <f>'All regions'!G5624+"n/&gt;!.=g"</f>
        <v>#VALUE!</v>
      </c>
      <c r="IF224" t="e">
        <f>'All regions'!H5624+"n/&gt;!.=h"</f>
        <v>#VALUE!</v>
      </c>
      <c r="IG224" t="e">
        <f>'All regions'!I5624+"n/&gt;!.=i"</f>
        <v>#VALUE!</v>
      </c>
      <c r="IH224" t="e">
        <f>'All regions'!J5624+"n/&gt;!.=j"</f>
        <v>#VALUE!</v>
      </c>
      <c r="II224" t="e">
        <f>'All regions'!A5625+"n/&gt;!.=k"</f>
        <v>#VALUE!</v>
      </c>
      <c r="IJ224" t="e">
        <f>'All regions'!B5625+"n/&gt;!.=l"</f>
        <v>#VALUE!</v>
      </c>
      <c r="IK224" t="e">
        <f>'All regions'!C5625+"n/&gt;!.=m"</f>
        <v>#VALUE!</v>
      </c>
      <c r="IL224" t="e">
        <f>'All regions'!D5625+"n/&gt;!.=n"</f>
        <v>#VALUE!</v>
      </c>
      <c r="IM224" t="e">
        <f>'All regions'!E5625+"n/&gt;!.=o"</f>
        <v>#VALUE!</v>
      </c>
      <c r="IN224" t="e">
        <f>'All regions'!F5625+"n/&gt;!.=p"</f>
        <v>#VALUE!</v>
      </c>
      <c r="IO224" t="e">
        <f>'All regions'!G5625+"n/&gt;!.=q"</f>
        <v>#VALUE!</v>
      </c>
      <c r="IP224" t="e">
        <f>'All regions'!H5625+"n/&gt;!.=r"</f>
        <v>#VALUE!</v>
      </c>
      <c r="IQ224" t="e">
        <f>'All regions'!I5625+"n/&gt;!.=s"</f>
        <v>#VALUE!</v>
      </c>
      <c r="IR224" t="e">
        <f>'All regions'!J5625+"n/&gt;!.=t"</f>
        <v>#VALUE!</v>
      </c>
      <c r="IS224" t="e">
        <f>'All regions'!A5626+"n/&gt;!.=u"</f>
        <v>#VALUE!</v>
      </c>
      <c r="IT224" t="e">
        <f>'All regions'!B5626+"n/&gt;!.=v"</f>
        <v>#VALUE!</v>
      </c>
      <c r="IU224" t="e">
        <f>'All regions'!C5626+"n/&gt;!.=w"</f>
        <v>#VALUE!</v>
      </c>
      <c r="IV224" t="e">
        <f>'All regions'!D5626+"n/&gt;!.=x"</f>
        <v>#VALUE!</v>
      </c>
    </row>
    <row r="225" spans="6:256" x14ac:dyDescent="0.35">
      <c r="F225" t="e">
        <f>'All regions'!E5626+"n/&gt;!.=y"</f>
        <v>#VALUE!</v>
      </c>
      <c r="G225" t="e">
        <f>'All regions'!F5626+"n/&gt;!.=z"</f>
        <v>#VALUE!</v>
      </c>
      <c r="H225" t="e">
        <f>'All regions'!G5626+"n/&gt;!.={"</f>
        <v>#VALUE!</v>
      </c>
      <c r="I225" t="e">
        <f>'All regions'!H5626+"n/&gt;!.=|"</f>
        <v>#VALUE!</v>
      </c>
      <c r="J225" t="e">
        <f>'All regions'!I5626+"n/&gt;!.=}"</f>
        <v>#VALUE!</v>
      </c>
      <c r="K225" t="e">
        <f>'All regions'!J5626+"n/&gt;!.=~"</f>
        <v>#VALUE!</v>
      </c>
      <c r="L225" t="e">
        <f>'All regions'!A5627+"n/&gt;!.&gt;#"</f>
        <v>#VALUE!</v>
      </c>
      <c r="M225" t="e">
        <f>'All regions'!B5627+"n/&gt;!.&gt;$"</f>
        <v>#VALUE!</v>
      </c>
      <c r="N225" t="e">
        <f>'All regions'!C5627+"n/&gt;!.&gt;%"</f>
        <v>#VALUE!</v>
      </c>
      <c r="O225" t="e">
        <f>'All regions'!D5627+"n/&gt;!.&gt;&amp;"</f>
        <v>#VALUE!</v>
      </c>
      <c r="P225" t="e">
        <f>'All regions'!E5627+"n/&gt;!.&gt;'"</f>
        <v>#VALUE!</v>
      </c>
      <c r="Q225" t="e">
        <f>'All regions'!F5627+"n/&gt;!.&gt;("</f>
        <v>#VALUE!</v>
      </c>
      <c r="R225" t="e">
        <f>'All regions'!G5627+"n/&gt;!.&gt;)"</f>
        <v>#VALUE!</v>
      </c>
      <c r="S225" t="e">
        <f>'All regions'!H5627+"n/&gt;!.&gt;."</f>
        <v>#VALUE!</v>
      </c>
      <c r="T225" t="e">
        <f>'All regions'!I5627+"n/&gt;!.&gt;/"</f>
        <v>#VALUE!</v>
      </c>
      <c r="U225" t="e">
        <f>'All regions'!J5627+"n/&gt;!.&gt;0"</f>
        <v>#VALUE!</v>
      </c>
      <c r="V225" t="e">
        <f>'All regions'!A5628+"n/&gt;!.&gt;1"</f>
        <v>#VALUE!</v>
      </c>
      <c r="W225" t="e">
        <f>'All regions'!B5628+"n/&gt;!.&gt;2"</f>
        <v>#VALUE!</v>
      </c>
      <c r="X225" t="e">
        <f>'All regions'!C5628+"n/&gt;!.&gt;3"</f>
        <v>#VALUE!</v>
      </c>
      <c r="Y225" t="e">
        <f>'All regions'!D5628+"n/&gt;!.&gt;4"</f>
        <v>#VALUE!</v>
      </c>
      <c r="Z225" t="e">
        <f>'All regions'!E5628+"n/&gt;!.&gt;5"</f>
        <v>#VALUE!</v>
      </c>
      <c r="AA225" t="e">
        <f>'All regions'!F5628+"n/&gt;!.&gt;6"</f>
        <v>#VALUE!</v>
      </c>
      <c r="AB225" t="e">
        <f>'All regions'!G5628+"n/&gt;!.&gt;7"</f>
        <v>#VALUE!</v>
      </c>
      <c r="AC225" t="e">
        <f>'All regions'!H5628+"n/&gt;!.&gt;8"</f>
        <v>#VALUE!</v>
      </c>
      <c r="AD225" t="e">
        <f>'All regions'!I5628+"n/&gt;!.&gt;9"</f>
        <v>#VALUE!</v>
      </c>
      <c r="AE225" t="e">
        <f>'All regions'!J5628+"n/&gt;!.&gt;:"</f>
        <v>#VALUE!</v>
      </c>
      <c r="AF225" t="e">
        <f>'All regions'!A5629+"n/&gt;!.&gt;;"</f>
        <v>#VALUE!</v>
      </c>
      <c r="AG225" t="e">
        <f>'All regions'!B5629+"n/&gt;!.&gt;&lt;"</f>
        <v>#VALUE!</v>
      </c>
      <c r="AH225" t="e">
        <f>'All regions'!C5629+"n/&gt;!.&gt;="</f>
        <v>#VALUE!</v>
      </c>
      <c r="AI225" t="e">
        <f>'All regions'!D5629+"n/&gt;!.&gt;&gt;"</f>
        <v>#VALUE!</v>
      </c>
      <c r="AJ225" t="e">
        <f>'All regions'!E5629+"n/&gt;!.&gt;?"</f>
        <v>#VALUE!</v>
      </c>
      <c r="AK225" t="e">
        <f>'All regions'!F5629+"n/&gt;!.&gt;@"</f>
        <v>#VALUE!</v>
      </c>
      <c r="AL225" t="e">
        <f>'All regions'!G5629+"n/&gt;!.&gt;A"</f>
        <v>#VALUE!</v>
      </c>
      <c r="AM225" t="e">
        <f>'All regions'!H5629+"n/&gt;!.&gt;B"</f>
        <v>#VALUE!</v>
      </c>
      <c r="AN225" t="e">
        <f>'All regions'!I5629+"n/&gt;!.&gt;C"</f>
        <v>#VALUE!</v>
      </c>
      <c r="AO225" t="e">
        <f>'All regions'!J5629+"n/&gt;!.&gt;D"</f>
        <v>#VALUE!</v>
      </c>
      <c r="AP225" t="e">
        <f>'All regions'!A5630+"n/&gt;!.&gt;E"</f>
        <v>#VALUE!</v>
      </c>
      <c r="AQ225" t="e">
        <f>'All regions'!B5630+"n/&gt;!.&gt;F"</f>
        <v>#VALUE!</v>
      </c>
      <c r="AR225" t="e">
        <f>'All regions'!C5630+"n/&gt;!.&gt;G"</f>
        <v>#VALUE!</v>
      </c>
      <c r="AS225" t="e">
        <f>'All regions'!D5630+"n/&gt;!.&gt;H"</f>
        <v>#VALUE!</v>
      </c>
      <c r="AT225" t="e">
        <f>'All regions'!E5630+"n/&gt;!.&gt;I"</f>
        <v>#VALUE!</v>
      </c>
      <c r="AU225" t="e">
        <f>'All regions'!F5630+"n/&gt;!.&gt;J"</f>
        <v>#VALUE!</v>
      </c>
      <c r="AV225" t="e">
        <f>'All regions'!G5630+"n/&gt;!.&gt;K"</f>
        <v>#VALUE!</v>
      </c>
      <c r="AW225" t="e">
        <f>'All regions'!H5630+"n/&gt;!.&gt;L"</f>
        <v>#VALUE!</v>
      </c>
      <c r="AX225" t="e">
        <f>'All regions'!I5630+"n/&gt;!.&gt;M"</f>
        <v>#VALUE!</v>
      </c>
      <c r="AY225" t="e">
        <f>'All regions'!J5630+"n/&gt;!.&gt;N"</f>
        <v>#VALUE!</v>
      </c>
      <c r="AZ225" t="e">
        <f>'All regions'!A5631+"n/&gt;!.&gt;O"</f>
        <v>#VALUE!</v>
      </c>
      <c r="BA225" t="e">
        <f>'All regions'!B5631+"n/&gt;!.&gt;P"</f>
        <v>#VALUE!</v>
      </c>
      <c r="BB225" t="e">
        <f>'All regions'!C5631+"n/&gt;!.&gt;Q"</f>
        <v>#VALUE!</v>
      </c>
      <c r="BC225" t="e">
        <f>'All regions'!D5631+"n/&gt;!.&gt;R"</f>
        <v>#VALUE!</v>
      </c>
      <c r="BD225" t="e">
        <f>'All regions'!E5631+"n/&gt;!.&gt;S"</f>
        <v>#VALUE!</v>
      </c>
      <c r="BE225" t="e">
        <f>'All regions'!F5631+"n/&gt;!.&gt;T"</f>
        <v>#VALUE!</v>
      </c>
      <c r="BF225" t="e">
        <f>'All regions'!G5631+"n/&gt;!.&gt;U"</f>
        <v>#VALUE!</v>
      </c>
      <c r="BG225" t="e">
        <f>'All regions'!H5631+"n/&gt;!.&gt;V"</f>
        <v>#VALUE!</v>
      </c>
      <c r="BH225" t="e">
        <f>'All regions'!I5631+"n/&gt;!.&gt;W"</f>
        <v>#VALUE!</v>
      </c>
      <c r="BI225" t="e">
        <f>'All regions'!J5631+"n/&gt;!.&gt;X"</f>
        <v>#VALUE!</v>
      </c>
      <c r="BJ225" t="e">
        <f>'All regions'!A5632+"n/&gt;!.&gt;Y"</f>
        <v>#VALUE!</v>
      </c>
      <c r="BK225" t="e">
        <f>'All regions'!B5632+"n/&gt;!.&gt;Z"</f>
        <v>#VALUE!</v>
      </c>
      <c r="BL225" t="e">
        <f>'All regions'!C5632+"n/&gt;!.&gt;["</f>
        <v>#VALUE!</v>
      </c>
      <c r="BM225" t="e">
        <f>'All regions'!D5632+"n/&gt;!.&gt;\"</f>
        <v>#VALUE!</v>
      </c>
      <c r="BN225" t="e">
        <f>'All regions'!E5632+"n/&gt;!.&gt;]"</f>
        <v>#VALUE!</v>
      </c>
      <c r="BO225" t="e">
        <f>'All regions'!F5632+"n/&gt;!.&gt;^"</f>
        <v>#VALUE!</v>
      </c>
      <c r="BP225" t="e">
        <f>'All regions'!G5632+"n/&gt;!.&gt;_"</f>
        <v>#VALUE!</v>
      </c>
      <c r="BQ225" t="e">
        <f>'All regions'!H5632+"n/&gt;!.&gt;`"</f>
        <v>#VALUE!</v>
      </c>
      <c r="BR225" t="e">
        <f>'All regions'!I5632+"n/&gt;!.&gt;a"</f>
        <v>#VALUE!</v>
      </c>
      <c r="BS225" t="e">
        <f>'All regions'!J5632+"n/&gt;!.&gt;b"</f>
        <v>#VALUE!</v>
      </c>
      <c r="BT225" t="e">
        <f>'All regions'!A5633+"n/&gt;!.&gt;c"</f>
        <v>#VALUE!</v>
      </c>
      <c r="BU225" t="e">
        <f>'All regions'!B5633+"n/&gt;!.&gt;d"</f>
        <v>#VALUE!</v>
      </c>
      <c r="BV225" t="e">
        <f>'All regions'!C5633+"n/&gt;!.&gt;e"</f>
        <v>#VALUE!</v>
      </c>
      <c r="BW225" t="e">
        <f>'All regions'!D5633+"n/&gt;!.&gt;f"</f>
        <v>#VALUE!</v>
      </c>
      <c r="BX225" t="e">
        <f>'All regions'!E5633+"n/&gt;!.&gt;g"</f>
        <v>#VALUE!</v>
      </c>
      <c r="BY225" t="e">
        <f>'All regions'!F5633+"n/&gt;!.&gt;h"</f>
        <v>#VALUE!</v>
      </c>
      <c r="BZ225" t="e">
        <f>'All regions'!G5633+"n/&gt;!.&gt;i"</f>
        <v>#VALUE!</v>
      </c>
      <c r="CA225" t="e">
        <f>'All regions'!H5633+"n/&gt;!.&gt;j"</f>
        <v>#VALUE!</v>
      </c>
      <c r="CB225" t="e">
        <f>'All regions'!I5633+"n/&gt;!.&gt;k"</f>
        <v>#VALUE!</v>
      </c>
      <c r="CC225" t="e">
        <f>'All regions'!J5633+"n/&gt;!.&gt;l"</f>
        <v>#VALUE!</v>
      </c>
      <c r="CD225" t="e">
        <f>'All regions'!A5634+"n/&gt;!.&gt;m"</f>
        <v>#VALUE!</v>
      </c>
      <c r="CE225" t="e">
        <f>'All regions'!B5634+"n/&gt;!.&gt;n"</f>
        <v>#VALUE!</v>
      </c>
      <c r="CF225" t="e">
        <f>'All regions'!C5634+"n/&gt;!.&gt;o"</f>
        <v>#VALUE!</v>
      </c>
      <c r="CG225" t="e">
        <f>'All regions'!D5634+"n/&gt;!.&gt;p"</f>
        <v>#VALUE!</v>
      </c>
      <c r="CH225" t="e">
        <f>'All regions'!E5634+"n/&gt;!.&gt;q"</f>
        <v>#VALUE!</v>
      </c>
      <c r="CI225" t="e">
        <f>'All regions'!F5634+"n/&gt;!.&gt;r"</f>
        <v>#VALUE!</v>
      </c>
      <c r="CJ225" t="e">
        <f>'All regions'!G5634+"n/&gt;!.&gt;s"</f>
        <v>#VALUE!</v>
      </c>
      <c r="CK225" t="e">
        <f>'All regions'!H5634+"n/&gt;!.&gt;t"</f>
        <v>#VALUE!</v>
      </c>
      <c r="CL225" t="e">
        <f>'All regions'!I5634+"n/&gt;!.&gt;u"</f>
        <v>#VALUE!</v>
      </c>
      <c r="CM225" t="e">
        <f>'All regions'!J5634+"n/&gt;!.&gt;v"</f>
        <v>#VALUE!</v>
      </c>
      <c r="CN225" t="e">
        <f>'All regions'!A5635+"n/&gt;!.&gt;w"</f>
        <v>#VALUE!</v>
      </c>
      <c r="CO225" t="e">
        <f>'All regions'!B5635+"n/&gt;!.&gt;x"</f>
        <v>#VALUE!</v>
      </c>
      <c r="CP225" t="e">
        <f>'All regions'!C5635+"n/&gt;!.&gt;y"</f>
        <v>#VALUE!</v>
      </c>
      <c r="CQ225" t="e">
        <f>'All regions'!D5635+"n/&gt;!.&gt;z"</f>
        <v>#VALUE!</v>
      </c>
      <c r="CR225" t="e">
        <f>'All regions'!E5635+"n/&gt;!.&gt;{"</f>
        <v>#VALUE!</v>
      </c>
      <c r="CS225" t="e">
        <f>'All regions'!F5635+"n/&gt;!.&gt;|"</f>
        <v>#VALUE!</v>
      </c>
      <c r="CT225" t="e">
        <f>'All regions'!G5635+"n/&gt;!.&gt;}"</f>
        <v>#VALUE!</v>
      </c>
      <c r="CU225" t="e">
        <f>'All regions'!H5635+"n/&gt;!.&gt;~"</f>
        <v>#VALUE!</v>
      </c>
      <c r="CV225" t="e">
        <f>'All regions'!I5635+"n/&gt;!.?#"</f>
        <v>#VALUE!</v>
      </c>
      <c r="CW225" t="e">
        <f>'All regions'!J5635+"n/&gt;!.?$"</f>
        <v>#VALUE!</v>
      </c>
      <c r="CX225" t="e">
        <f>'All regions'!A5636+"n/&gt;!.?%"</f>
        <v>#VALUE!</v>
      </c>
      <c r="CY225" t="e">
        <f>'All regions'!B5636+"n/&gt;!.?&amp;"</f>
        <v>#VALUE!</v>
      </c>
      <c r="CZ225" t="e">
        <f>'All regions'!C5636+"n/&gt;!.?'"</f>
        <v>#VALUE!</v>
      </c>
      <c r="DA225" t="e">
        <f>'All regions'!D5636+"n/&gt;!.?("</f>
        <v>#VALUE!</v>
      </c>
      <c r="DB225" t="e">
        <f>'All regions'!E5636+"n/&gt;!.?)"</f>
        <v>#VALUE!</v>
      </c>
      <c r="DC225" t="e">
        <f>'All regions'!F5636+"n/&gt;!.?."</f>
        <v>#VALUE!</v>
      </c>
      <c r="DD225" t="e">
        <f>'All regions'!G5636+"n/&gt;!.?/"</f>
        <v>#VALUE!</v>
      </c>
      <c r="DE225" t="e">
        <f>'All regions'!H5636+"n/&gt;!.?0"</f>
        <v>#VALUE!</v>
      </c>
      <c r="DF225" t="e">
        <f>'All regions'!I5636+"n/&gt;!.?1"</f>
        <v>#VALUE!</v>
      </c>
      <c r="DG225" t="e">
        <f>'All regions'!J5636+"n/&gt;!.?2"</f>
        <v>#VALUE!</v>
      </c>
      <c r="DH225" t="e">
        <f>'All regions'!A:A*"n/&gt;!.?3"</f>
        <v>#VALUE!</v>
      </c>
      <c r="DI225" t="e">
        <f>'All regions'!B:B*"n/&gt;!.?4"</f>
        <v>#VALUE!</v>
      </c>
      <c r="DJ225" t="e">
        <f>'All regions'!C:C*"n/&gt;!.?5"</f>
        <v>#VALUE!</v>
      </c>
      <c r="DK225" t="e">
        <f>'All regions'!D:D*"n/&gt;!.?6"</f>
        <v>#VALUE!</v>
      </c>
      <c r="DL225" t="e">
        <f>'All regions'!E:E*"n/&gt;!.?7"</f>
        <v>#VALUE!</v>
      </c>
      <c r="DM225" t="e">
        <f>'All regions'!F:F*"n/&gt;!.?8"</f>
        <v>#VALUE!</v>
      </c>
      <c r="DN225" t="e">
        <f>'All regions'!G:G*"n/&gt;!.?9"</f>
        <v>#VALUE!</v>
      </c>
      <c r="DO225" t="e">
        <f>'All regions'!H:H*"n/&gt;!.?:"</f>
        <v>#VALUE!</v>
      </c>
      <c r="DP225" t="e">
        <f>'All regions'!I:I*"n/&gt;!.?;"</f>
        <v>#VALUE!</v>
      </c>
      <c r="DQ225" t="e">
        <f>'All regions'!J:J*"n/&gt;!.?&lt;"</f>
        <v>#VALUE!</v>
      </c>
      <c r="DR225" t="e">
        <f>'All regions'!K:K*"n/&gt;!.?="</f>
        <v>#VALUE!</v>
      </c>
      <c r="DS225" t="e">
        <f>'All regions'!L:L*"n/&gt;!.?&gt;"</f>
        <v>#VALUE!</v>
      </c>
      <c r="DT225" t="e">
        <f>'All regions'!M:M*"n/&gt;!.??"</f>
        <v>#VALUE!</v>
      </c>
      <c r="DU225" t="e">
        <f>'All regions'!N:N*"n/&gt;!.?@"</f>
        <v>#VALUE!</v>
      </c>
      <c r="DV225" t="e">
        <f>'All regions'!O:O*"n/&gt;!.?A"</f>
        <v>#VALUE!</v>
      </c>
      <c r="DW225" t="e">
        <f>'All regions'!P:P*"n/&gt;!.?B"</f>
        <v>#VALUE!</v>
      </c>
      <c r="DX225" t="e">
        <f>'All regions'!Q:Q*"n/&gt;!.?C"</f>
        <v>#VALUE!</v>
      </c>
      <c r="DY225" t="e">
        <f>'All regions'!R:R*"n/&gt;!.?D"</f>
        <v>#VALUE!</v>
      </c>
      <c r="DZ225" t="e">
        <f>'All regions'!S:S*"n/&gt;!.?E"</f>
        <v>#VALUE!</v>
      </c>
      <c r="EA225" t="e">
        <f>'All regions'!T:T*"n/&gt;!.?F"</f>
        <v>#VALUE!</v>
      </c>
      <c r="EB225" t="e">
        <f>'All regions'!U:U*"n/&gt;!.?G"</f>
        <v>#VALUE!</v>
      </c>
      <c r="EC225" t="e">
        <f>'All regions'!V:V*"n/&gt;!.?H"</f>
        <v>#VALUE!</v>
      </c>
      <c r="ED225" t="e">
        <f>'All regions'!W:W*"n/&gt;!.?I"</f>
        <v>#VALUE!</v>
      </c>
      <c r="EE225" t="e">
        <f>'All regions'!X:X*"n/&gt;!.?J"</f>
        <v>#VALUE!</v>
      </c>
      <c r="EF225" t="e">
        <f>'All regions'!Y:Y*"n/&gt;!.?K"</f>
        <v>#VALUE!</v>
      </c>
      <c r="EG225" t="e">
        <f>'All regions'!Z:Z*"n/&gt;!.?L"</f>
        <v>#VALUE!</v>
      </c>
      <c r="EH225" t="e">
        <f>'All regions'!AA:AA*"n/&gt;!.?M"</f>
        <v>#VALUE!</v>
      </c>
      <c r="EI225" t="e">
        <f>'All regions'!AB:AB*"n/&gt;!.?N"</f>
        <v>#VALUE!</v>
      </c>
      <c r="EJ225" t="e">
        <f>'All regions'!AC:AC*"n/&gt;!.?O"</f>
        <v>#VALUE!</v>
      </c>
      <c r="EK225" t="e">
        <f>'All regions'!AD:AD*"n/&gt;!.?P"</f>
        <v>#VALUE!</v>
      </c>
      <c r="EL225" t="e">
        <f>'All regions'!AE:AE*"n/&gt;!.?Q"</f>
        <v>#VALUE!</v>
      </c>
      <c r="EM225" t="e">
        <f>'All regions'!AF:AF*"n/&gt;!.?R"</f>
        <v>#VALUE!</v>
      </c>
      <c r="EN225" t="e">
        <f>'All regions'!AG:AG*"n/&gt;!.?S"</f>
        <v>#VALUE!</v>
      </c>
      <c r="EO225" t="e">
        <f>'All regions'!AH:AH*"n/&gt;!.?T"</f>
        <v>#VALUE!</v>
      </c>
      <c r="EP225" t="e">
        <f>'All regions'!AI:AI*"n/&gt;!.?U"</f>
        <v>#VALUE!</v>
      </c>
      <c r="EQ225" t="e">
        <f>'All regions'!AJ:AJ*"n/&gt;!.?V"</f>
        <v>#VALUE!</v>
      </c>
      <c r="ER225" t="e">
        <f>'All regions'!AK:AK*"n/&gt;!.?W"</f>
        <v>#VALUE!</v>
      </c>
      <c r="ES225" t="e">
        <f>'All regions'!AL:AL*"n/&gt;!.?X"</f>
        <v>#VALUE!</v>
      </c>
      <c r="ET225" t="e">
        <f>'All regions'!AM:AM*"n/&gt;!.?Y"</f>
        <v>#VALUE!</v>
      </c>
      <c r="EU225" t="e">
        <f>'All regions'!AN:AN*"n/&gt;!.?Z"</f>
        <v>#VALUE!</v>
      </c>
      <c r="EV225" t="e">
        <f>'All regions'!AO:AO*"n/&gt;!.?["</f>
        <v>#VALUE!</v>
      </c>
      <c r="EW225" t="e">
        <f>'All regions'!AP:AP*"n/&gt;!.?\"</f>
        <v>#VALUE!</v>
      </c>
      <c r="EX225" t="e">
        <f>'All regions'!AQ:AQ*"n/&gt;!.?]"</f>
        <v>#VALUE!</v>
      </c>
      <c r="EY225" t="e">
        <f>'All regions'!AR:AR*"n/&gt;!.?^"</f>
        <v>#VALUE!</v>
      </c>
      <c r="EZ225" t="e">
        <f>'All regions'!AS:AS*"n/&gt;!.?_"</f>
        <v>#VALUE!</v>
      </c>
      <c r="FA225" t="e">
        <f>'All regions'!AT:AT*"n/&gt;!.?`"</f>
        <v>#VALUE!</v>
      </c>
      <c r="FB225" t="e">
        <f>'All regions'!AU:AU*"n/&gt;!.?a"</f>
        <v>#VALUE!</v>
      </c>
      <c r="FC225" t="e">
        <f>'All regions'!AV:AV*"n/&gt;!.?b"</f>
        <v>#VALUE!</v>
      </c>
      <c r="FD225" t="e">
        <f>'All regions'!AW:AW*"n/&gt;!.?c"</f>
        <v>#VALUE!</v>
      </c>
      <c r="FE225" t="e">
        <f>'All regions'!AX:AX*"n/&gt;!.?d"</f>
        <v>#VALUE!</v>
      </c>
      <c r="FF225" t="e">
        <f>'All regions'!AY:AY*"n/&gt;!.?e"</f>
        <v>#VALUE!</v>
      </c>
      <c r="FG225" t="e">
        <f>'All regions'!AZ:AZ*"n/&gt;!.?f"</f>
        <v>#VALUE!</v>
      </c>
      <c r="FH225" t="e">
        <f>'All regions'!BA:BA*"n/&gt;!.?g"</f>
        <v>#VALUE!</v>
      </c>
      <c r="FI225" t="e">
        <f>'All regions'!BB:BB*"n/&gt;!.?h"</f>
        <v>#VALUE!</v>
      </c>
      <c r="FJ225" t="e">
        <f>'All regions'!BC:BC*"n/&gt;!.?i"</f>
        <v>#VALUE!</v>
      </c>
      <c r="FK225" t="e">
        <f>'All regions'!BD:BD*"n/&gt;!.?j"</f>
        <v>#VALUE!</v>
      </c>
      <c r="FL225" t="e">
        <f>'All regions'!BE:BE*"n/&gt;!.?k"</f>
        <v>#VALUE!</v>
      </c>
      <c r="FM225" t="e">
        <f>'All regions'!BF:BF*"n/&gt;!.?l"</f>
        <v>#VALUE!</v>
      </c>
      <c r="FN225" t="e">
        <f>'All regions'!BG:BG*"n/&gt;!.?m"</f>
        <v>#VALUE!</v>
      </c>
      <c r="FO225" t="e">
        <f>'All regions'!BH:BH*"n/&gt;!.?n"</f>
        <v>#VALUE!</v>
      </c>
      <c r="FP225" t="e">
        <f>'All regions'!1:1-"n/&gt;!.?o"</f>
        <v>#VALUE!</v>
      </c>
      <c r="FQ225" t="e">
        <f>'All regions'!2:2-"n/&gt;!.?p"</f>
        <v>#VALUE!</v>
      </c>
      <c r="FR225" t="e">
        <f>'All regions'!3:3-"n/&gt;!.?q"</f>
        <v>#VALUE!</v>
      </c>
      <c r="FS225" t="e">
        <f>'All regions'!4:4-"n/&gt;!.?r"</f>
        <v>#VALUE!</v>
      </c>
      <c r="FT225" t="e">
        <f>'All regions'!5:5-"n/&gt;!.?s"</f>
        <v>#VALUE!</v>
      </c>
      <c r="FU225" t="e">
        <f>'All regions'!6:6-"n/&gt;!.?t"</f>
        <v>#VALUE!</v>
      </c>
      <c r="FV225" t="e">
        <f>'All regions'!7:7-"n/&gt;!.?u"</f>
        <v>#VALUE!</v>
      </c>
      <c r="FW225" t="e">
        <f>'All regions'!8:8-"n/&gt;!.?v"</f>
        <v>#VALUE!</v>
      </c>
      <c r="FX225" t="e">
        <f>'All regions'!9:9-"n/&gt;!.?w"</f>
        <v>#VALUE!</v>
      </c>
      <c r="FY225" t="e">
        <f>'All regions'!10:10-"n/&gt;!.?x"</f>
        <v>#VALUE!</v>
      </c>
      <c r="FZ225" t="e">
        <f>'All regions'!11:11-"n/&gt;!.?y"</f>
        <v>#VALUE!</v>
      </c>
      <c r="GA225" t="e">
        <f>'All regions'!12:12-"n/&gt;!.?z"</f>
        <v>#VALUE!</v>
      </c>
      <c r="GB225" t="e">
        <f>'All regions'!13:13-"n/&gt;!.?{"</f>
        <v>#VALUE!</v>
      </c>
      <c r="GC225" t="e">
        <f>'All regions'!14:14-"n/&gt;!.?|"</f>
        <v>#VALUE!</v>
      </c>
      <c r="GD225" t="e">
        <f>'All regions'!15:15-"n/&gt;!.?}"</f>
        <v>#VALUE!</v>
      </c>
      <c r="GE225" t="e">
        <f>'All regions'!16:16-"n/&gt;!.?~"</f>
        <v>#VALUE!</v>
      </c>
      <c r="GF225" t="e">
        <f>'All regions'!17:17-"n/&gt;!.@#"</f>
        <v>#VALUE!</v>
      </c>
      <c r="GG225" t="e">
        <f>'All regions'!18:18-"n/&gt;!.@$"</f>
        <v>#VALUE!</v>
      </c>
      <c r="GH225" t="e">
        <f>'All regions'!19:19-"n/&gt;!.@%"</f>
        <v>#VALUE!</v>
      </c>
      <c r="GI225" t="e">
        <f>'All regions'!20:20-"n/&gt;!.@&amp;"</f>
        <v>#VALUE!</v>
      </c>
      <c r="GJ225" t="e">
        <f>'All regions'!21:21-"n/&gt;!.@'"</f>
        <v>#VALUE!</v>
      </c>
      <c r="GK225" t="e">
        <f>'All regions'!22:22-"n/&gt;!.@("</f>
        <v>#VALUE!</v>
      </c>
      <c r="GL225" t="e">
        <f>'All regions'!23:23-"n/&gt;!.@)"</f>
        <v>#VALUE!</v>
      </c>
      <c r="GM225" t="e">
        <f>'All regions'!24:24-"n/&gt;!.@."</f>
        <v>#VALUE!</v>
      </c>
      <c r="GN225" t="e">
        <f>'All regions'!25:25-"n/&gt;!.@/"</f>
        <v>#VALUE!</v>
      </c>
      <c r="GO225" t="e">
        <f>'All regions'!26:26-"n/&gt;!.@0"</f>
        <v>#VALUE!</v>
      </c>
      <c r="GP225" t="e">
        <f>'All regions'!27:27-"n/&gt;!.@1"</f>
        <v>#VALUE!</v>
      </c>
      <c r="GQ225" t="e">
        <f>'All regions'!28:28-"n/&gt;!.@2"</f>
        <v>#VALUE!</v>
      </c>
      <c r="GR225" t="e">
        <f>'All regions'!29:29-"n/&gt;!.@3"</f>
        <v>#VALUE!</v>
      </c>
      <c r="GS225" t="e">
        <f>'All regions'!30:30-"n/&gt;!.@4"</f>
        <v>#VALUE!</v>
      </c>
      <c r="GT225" t="e">
        <f>'All regions'!31:31-"n/&gt;!.@5"</f>
        <v>#VALUE!</v>
      </c>
      <c r="GU225" t="e">
        <f>'All regions'!32:32-"n/&gt;!.@6"</f>
        <v>#VALUE!</v>
      </c>
      <c r="GV225" t="e">
        <f>'All regions'!33:33-"n/&gt;!.@7"</f>
        <v>#VALUE!</v>
      </c>
      <c r="GW225" t="e">
        <f>'All regions'!34:34-"n/&gt;!.@8"</f>
        <v>#VALUE!</v>
      </c>
      <c r="GX225" t="e">
        <f>'All regions'!35:35-"n/&gt;!.@9"</f>
        <v>#VALUE!</v>
      </c>
      <c r="GY225" t="e">
        <f>'All regions'!36:36-"n/&gt;!.@:"</f>
        <v>#VALUE!</v>
      </c>
      <c r="GZ225" t="e">
        <f>'All regions'!37:37-"n/&gt;!.@;"</f>
        <v>#VALUE!</v>
      </c>
      <c r="HA225" t="e">
        <f>'All regions'!38:38-"n/&gt;!.@&lt;"</f>
        <v>#VALUE!</v>
      </c>
      <c r="HB225" t="e">
        <f>'All regions'!39:39-"n/&gt;!.@="</f>
        <v>#VALUE!</v>
      </c>
      <c r="HC225" t="e">
        <f>'All regions'!40:40-"n/&gt;!.@&gt;"</f>
        <v>#VALUE!</v>
      </c>
      <c r="HD225" t="e">
        <f>'All regions'!41:41-"n/&gt;!.@?"</f>
        <v>#VALUE!</v>
      </c>
      <c r="HE225" t="e">
        <f>'All regions'!42:42-"n/&gt;!.@@"</f>
        <v>#VALUE!</v>
      </c>
      <c r="HF225" t="e">
        <f>'All regions'!43:43-"n/&gt;!.@A"</f>
        <v>#VALUE!</v>
      </c>
      <c r="HG225" t="e">
        <f>'All regions'!44:44-"n/&gt;!.@B"</f>
        <v>#VALUE!</v>
      </c>
      <c r="HH225" t="e">
        <f>'All regions'!45:45-"n/&gt;!.@C"</f>
        <v>#VALUE!</v>
      </c>
      <c r="HI225" t="e">
        <f>'All regions'!46:46-"n/&gt;!.@D"</f>
        <v>#VALUE!</v>
      </c>
      <c r="HJ225" t="e">
        <f>'All regions'!47:47-"n/&gt;!.@E"</f>
        <v>#VALUE!</v>
      </c>
      <c r="HK225" t="e">
        <f>'All regions'!48:48-"n/&gt;!.@F"</f>
        <v>#VALUE!</v>
      </c>
      <c r="HL225" t="e">
        <f>'All regions'!49:49-"n/&gt;!.@G"</f>
        <v>#VALUE!</v>
      </c>
      <c r="HM225" t="e">
        <f>'All regions'!50:50-"n/&gt;!.@H"</f>
        <v>#VALUE!</v>
      </c>
      <c r="HN225" t="e">
        <f>'All regions'!51:51-"n/&gt;!.@I"</f>
        <v>#VALUE!</v>
      </c>
      <c r="HO225" t="e">
        <f>'All regions'!52:52-"n/&gt;!.@J"</f>
        <v>#VALUE!</v>
      </c>
      <c r="HP225" t="e">
        <f>'All regions'!53:53-"n/&gt;!.@K"</f>
        <v>#VALUE!</v>
      </c>
      <c r="HQ225" t="e">
        <f>'All regions'!54:54-"n/&gt;!.@L"</f>
        <v>#VALUE!</v>
      </c>
      <c r="HR225" t="e">
        <f>'All regions'!55:55-"n/&gt;!.@M"</f>
        <v>#VALUE!</v>
      </c>
      <c r="HS225" t="e">
        <f>'All regions'!56:56-"n/&gt;!.@N"</f>
        <v>#VALUE!</v>
      </c>
      <c r="HT225" t="e">
        <f>'All regions'!57:57-"n/&gt;!.@O"</f>
        <v>#VALUE!</v>
      </c>
      <c r="HU225" t="e">
        <f>'All regions'!58:58-"n/&gt;!.@P"</f>
        <v>#VALUE!</v>
      </c>
      <c r="HV225" t="e">
        <f>'All regions'!59:59-"n/&gt;!.@Q"</f>
        <v>#VALUE!</v>
      </c>
      <c r="HW225" t="e">
        <f>'All regions'!60:60-"n/&gt;!.@R"</f>
        <v>#VALUE!</v>
      </c>
      <c r="HX225" t="e">
        <f>'All regions'!61:61-"n/&gt;!.@S"</f>
        <v>#VALUE!</v>
      </c>
      <c r="HY225" t="e">
        <f>'All regions'!62:62-"n/&gt;!.@T"</f>
        <v>#VALUE!</v>
      </c>
      <c r="HZ225" t="e">
        <f>'All regions'!63:63-"n/&gt;!.@U"</f>
        <v>#VALUE!</v>
      </c>
      <c r="IA225" t="e">
        <f>'All regions'!64:64-"n/&gt;!.@V"</f>
        <v>#VALUE!</v>
      </c>
      <c r="IB225" t="e">
        <f>'All regions'!65:65-"n/&gt;!.@W"</f>
        <v>#VALUE!</v>
      </c>
      <c r="IC225" t="e">
        <f>'All regions'!66:66-"n/&gt;!.@X"</f>
        <v>#VALUE!</v>
      </c>
      <c r="ID225" t="e">
        <f>'All regions'!67:67-"n/&gt;!.@Y"</f>
        <v>#VALUE!</v>
      </c>
      <c r="IE225" t="e">
        <f>'All regions'!68:68-"n/&gt;!.@Z"</f>
        <v>#VALUE!</v>
      </c>
      <c r="IF225" t="e">
        <f>'All regions'!69:69-"n/&gt;!.@["</f>
        <v>#VALUE!</v>
      </c>
      <c r="IG225" t="e">
        <f>'All regions'!70:70-"n/&gt;!.@\"</f>
        <v>#VALUE!</v>
      </c>
      <c r="IH225" t="e">
        <f>'All regions'!71:71-"n/&gt;!.@]"</f>
        <v>#VALUE!</v>
      </c>
      <c r="II225" t="e">
        <f>'All regions'!72:72-"n/&gt;!.@^"</f>
        <v>#VALUE!</v>
      </c>
      <c r="IJ225" t="e">
        <f>'All regions'!73:73-"n/&gt;!.@_"</f>
        <v>#VALUE!</v>
      </c>
      <c r="IK225" t="e">
        <f>'All regions'!74:74-"n/&gt;!.@`"</f>
        <v>#VALUE!</v>
      </c>
      <c r="IL225" t="e">
        <f>'All regions'!75:75-"n/&gt;!.@a"</f>
        <v>#VALUE!</v>
      </c>
      <c r="IM225" t="e">
        <f>'All regions'!76:76-"n/&gt;!.@b"</f>
        <v>#VALUE!</v>
      </c>
      <c r="IN225" t="e">
        <f>'All regions'!77:77-"n/&gt;!.@c"</f>
        <v>#VALUE!</v>
      </c>
      <c r="IO225" t="e">
        <f>'All regions'!78:78-"n/&gt;!.@d"</f>
        <v>#VALUE!</v>
      </c>
      <c r="IP225" t="e">
        <f>'All regions'!79:79-"n/&gt;!.@e"</f>
        <v>#VALUE!</v>
      </c>
      <c r="IQ225" t="e">
        <f>'All regions'!80:80-"n/&gt;!.@f"</f>
        <v>#VALUE!</v>
      </c>
      <c r="IR225" t="e">
        <f>'All regions'!81:81-"n/&gt;!.@g"</f>
        <v>#VALUE!</v>
      </c>
      <c r="IS225" t="e">
        <f>'All regions'!82:82-"n/&gt;!.@h"</f>
        <v>#VALUE!</v>
      </c>
      <c r="IT225" t="e">
        <f>'All regions'!83:83-"n/&gt;!.@i"</f>
        <v>#VALUE!</v>
      </c>
      <c r="IU225" t="e">
        <f>'All regions'!84:84-"n/&gt;!.@j"</f>
        <v>#VALUE!</v>
      </c>
      <c r="IV225" t="e">
        <f>'All regions'!85:85-"n/&gt;!.@k"</f>
        <v>#VALUE!</v>
      </c>
    </row>
    <row r="226" spans="6:256" x14ac:dyDescent="0.35">
      <c r="F226" t="e">
        <f>'All regions'!86:86-"n/&gt;!.@l"</f>
        <v>#VALUE!</v>
      </c>
      <c r="G226" t="e">
        <f>'All regions'!87:87-"n/&gt;!.@m"</f>
        <v>#VALUE!</v>
      </c>
      <c r="H226" t="e">
        <f>'All regions'!88:88-"n/&gt;!.@n"</f>
        <v>#VALUE!</v>
      </c>
      <c r="I226" t="e">
        <f>'All regions'!89:89-"n/&gt;!.@o"</f>
        <v>#VALUE!</v>
      </c>
      <c r="J226" t="e">
        <f>'All regions'!90:90-"n/&gt;!.@p"</f>
        <v>#VALUE!</v>
      </c>
      <c r="K226" t="e">
        <f>'All regions'!91:91-"n/&gt;!.@q"</f>
        <v>#VALUE!</v>
      </c>
      <c r="L226" t="e">
        <f>'All regions'!92:92-"n/&gt;!.@r"</f>
        <v>#VALUE!</v>
      </c>
      <c r="M226" t="e">
        <f>'All regions'!93:93-"n/&gt;!.@s"</f>
        <v>#VALUE!</v>
      </c>
      <c r="N226" t="e">
        <f>'All regions'!94:94-"n/&gt;!.@t"</f>
        <v>#VALUE!</v>
      </c>
      <c r="O226" t="e">
        <f>'All regions'!95:95-"n/&gt;!.@u"</f>
        <v>#VALUE!</v>
      </c>
      <c r="P226" t="e">
        <f>'All regions'!96:96-"n/&gt;!.@v"</f>
        <v>#VALUE!</v>
      </c>
      <c r="Q226" t="e">
        <f>'All regions'!97:97-"n/&gt;!.@w"</f>
        <v>#VALUE!</v>
      </c>
      <c r="R226" t="e">
        <f>'All regions'!98:98-"n/&gt;!.@x"</f>
        <v>#VALUE!</v>
      </c>
      <c r="S226" t="e">
        <f>'All regions'!99:99-"n/&gt;!.@y"</f>
        <v>#VALUE!</v>
      </c>
      <c r="T226" t="e">
        <f>'All regions'!100:100-"n/&gt;!.@z"</f>
        <v>#VALUE!</v>
      </c>
      <c r="U226" t="e">
        <f>'All regions'!101:101-"n/&gt;!.@{"</f>
        <v>#VALUE!</v>
      </c>
      <c r="V226" t="e">
        <f>'All regions'!102:102-"n/&gt;!.@|"</f>
        <v>#VALUE!</v>
      </c>
      <c r="W226" t="e">
        <f>'All regions'!103:103-"n/&gt;!.@}"</f>
        <v>#VALUE!</v>
      </c>
      <c r="X226" t="e">
        <f>'All regions'!104:104-"n/&gt;!.@~"</f>
        <v>#VALUE!</v>
      </c>
      <c r="Y226" t="e">
        <f>'All regions'!105:105-"n/&gt;!.A#"</f>
        <v>#VALUE!</v>
      </c>
      <c r="Z226" t="e">
        <f>'All regions'!106:106-"n/&gt;!.A$"</f>
        <v>#VALUE!</v>
      </c>
      <c r="AA226" t="e">
        <f>'All regions'!107:107-"n/&gt;!.A%"</f>
        <v>#VALUE!</v>
      </c>
      <c r="AB226" t="e">
        <f>'All regions'!108:108-"n/&gt;!.A&amp;"</f>
        <v>#VALUE!</v>
      </c>
      <c r="AC226" t="e">
        <f>'All regions'!109:109-"n/&gt;!.A'"</f>
        <v>#VALUE!</v>
      </c>
      <c r="AD226" t="e">
        <f>'All regions'!110:110-"n/&gt;!.A("</f>
        <v>#VALUE!</v>
      </c>
      <c r="AE226" t="e">
        <f>'All regions'!111:111-"n/&gt;!.A)"</f>
        <v>#VALUE!</v>
      </c>
      <c r="AF226" t="e">
        <f>'All regions'!112:112-"n/&gt;!.A."</f>
        <v>#VALUE!</v>
      </c>
      <c r="AG226" t="e">
        <f>'All regions'!113:113-"n/&gt;!.A/"</f>
        <v>#VALUE!</v>
      </c>
      <c r="AH226" t="e">
        <f>'All regions'!114:114-"n/&gt;!.A0"</f>
        <v>#VALUE!</v>
      </c>
      <c r="AI226" t="e">
        <f>'All regions'!115:115-"n/&gt;!.A1"</f>
        <v>#VALUE!</v>
      </c>
      <c r="AJ226" t="e">
        <f>'All regions'!116:116-"n/&gt;!.A2"</f>
        <v>#VALUE!</v>
      </c>
      <c r="AK226" t="e">
        <f>'All regions'!117:117-"n/&gt;!.A3"</f>
        <v>#VALUE!</v>
      </c>
      <c r="AL226" t="e">
        <f>'All regions'!118:118-"n/&gt;!.A4"</f>
        <v>#VALUE!</v>
      </c>
      <c r="AM226" t="e">
        <f>'All regions'!119:119-"n/&gt;!.A5"</f>
        <v>#VALUE!</v>
      </c>
      <c r="AN226" t="e">
        <f>'All regions'!120:120-"n/&gt;!.A6"</f>
        <v>#VALUE!</v>
      </c>
      <c r="AO226" t="e">
        <f>'All regions'!121:121-"n/&gt;!.A7"</f>
        <v>#VALUE!</v>
      </c>
      <c r="AP226" t="e">
        <f>'All regions'!122:122-"n/&gt;!.A8"</f>
        <v>#VALUE!</v>
      </c>
      <c r="AQ226" t="e">
        <f>'All regions'!123:123-"n/&gt;!.A9"</f>
        <v>#VALUE!</v>
      </c>
      <c r="AR226" t="e">
        <f>'All regions'!124:124-"n/&gt;!.A:"</f>
        <v>#VALUE!</v>
      </c>
      <c r="AS226" t="e">
        <f>'All regions'!125:125-"n/&gt;!.A;"</f>
        <v>#VALUE!</v>
      </c>
      <c r="AT226" t="e">
        <f>'All regions'!126:126-"n/&gt;!.A&lt;"</f>
        <v>#VALUE!</v>
      </c>
      <c r="AU226" t="e">
        <f>'All regions'!127:127-"n/&gt;!.A="</f>
        <v>#VALUE!</v>
      </c>
      <c r="AV226" t="e">
        <f>'All regions'!128:128-"n/&gt;!.A&gt;"</f>
        <v>#VALUE!</v>
      </c>
      <c r="AW226" t="e">
        <f>'All regions'!129:129-"n/&gt;!.A?"</f>
        <v>#VALUE!</v>
      </c>
      <c r="AX226" t="e">
        <f>'All regions'!130:130-"n/&gt;!.A@"</f>
        <v>#VALUE!</v>
      </c>
      <c r="AY226" t="e">
        <f>'All regions'!131:131-"n/&gt;!.AA"</f>
        <v>#VALUE!</v>
      </c>
      <c r="AZ226" t="e">
        <f>'All regions'!132:132-"n/&gt;!.AB"</f>
        <v>#VALUE!</v>
      </c>
      <c r="BA226" t="e">
        <f>'All regions'!133:133-"n/&gt;!.AC"</f>
        <v>#VALUE!</v>
      </c>
      <c r="BB226" t="e">
        <f>'All regions'!134:134-"n/&gt;!.AD"</f>
        <v>#VALUE!</v>
      </c>
      <c r="BC226" t="e">
        <f>'All regions'!135:135-"n/&gt;!.AE"</f>
        <v>#VALUE!</v>
      </c>
      <c r="BD226" t="e">
        <f>'All regions'!136:136-"n/&gt;!.AF"</f>
        <v>#VALUE!</v>
      </c>
      <c r="BE226" t="e">
        <f>'All regions'!137:137-"n/&gt;!.AG"</f>
        <v>#VALUE!</v>
      </c>
      <c r="BF226" t="e">
        <f>'All regions'!138:138-"n/&gt;!.AH"</f>
        <v>#VALUE!</v>
      </c>
      <c r="BG226" t="e">
        <f>'All regions'!139:139-"n/&gt;!.AI"</f>
        <v>#VALUE!</v>
      </c>
      <c r="BH226" t="e">
        <f>'All regions'!140:140-"n/&gt;!.AJ"</f>
        <v>#VALUE!</v>
      </c>
      <c r="BI226" t="e">
        <f>'All regions'!141:141-"n/&gt;!.AK"</f>
        <v>#VALUE!</v>
      </c>
      <c r="BJ226" t="e">
        <f>'All regions'!142:142-"n/&gt;!.AL"</f>
        <v>#VALUE!</v>
      </c>
      <c r="BK226" t="e">
        <f>'All regions'!143:143-"n/&gt;!.AM"</f>
        <v>#VALUE!</v>
      </c>
      <c r="BL226" t="e">
        <f>'All regions'!144:144-"n/&gt;!.AN"</f>
        <v>#VALUE!</v>
      </c>
      <c r="BM226" t="e">
        <f>'All regions'!145:145-"n/&gt;!.AO"</f>
        <v>#VALUE!</v>
      </c>
      <c r="BN226" t="e">
        <f>'All regions'!146:146-"n/&gt;!.AP"</f>
        <v>#VALUE!</v>
      </c>
      <c r="BO226" t="e">
        <f>'All regions'!147:147-"n/&gt;!.AQ"</f>
        <v>#VALUE!</v>
      </c>
      <c r="BP226" t="e">
        <f>'All regions'!148:148-"n/&gt;!.AR"</f>
        <v>#VALUE!</v>
      </c>
      <c r="BQ226" t="e">
        <f>'All regions'!149:149-"n/&gt;!.AS"</f>
        <v>#VALUE!</v>
      </c>
      <c r="BR226" t="e">
        <f>'All regions'!150:150-"n/&gt;!.AT"</f>
        <v>#VALUE!</v>
      </c>
      <c r="BS226" t="e">
        <f>'All regions'!151:151-"n/&gt;!.AU"</f>
        <v>#VALUE!</v>
      </c>
      <c r="BT226" t="e">
        <f>'All regions'!152:152-"n/&gt;!.AV"</f>
        <v>#VALUE!</v>
      </c>
      <c r="BU226" t="e">
        <f>'All regions'!153:153-"n/&gt;!.AW"</f>
        <v>#VALUE!</v>
      </c>
      <c r="BV226" t="e">
        <f>'All regions'!154:154-"n/&gt;!.AX"</f>
        <v>#VALUE!</v>
      </c>
      <c r="BW226" t="e">
        <f>'All regions'!155:155-"n/&gt;!.AY"</f>
        <v>#VALUE!</v>
      </c>
      <c r="BX226" t="e">
        <f>'All regions'!156:156-"n/&gt;!.AZ"</f>
        <v>#VALUE!</v>
      </c>
      <c r="BY226" t="e">
        <f>'All regions'!157:157-"n/&gt;!.A["</f>
        <v>#VALUE!</v>
      </c>
      <c r="BZ226" t="e">
        <f>'All regions'!158:158-"n/&gt;!.A\"</f>
        <v>#VALUE!</v>
      </c>
      <c r="CA226" t="e">
        <f>'All regions'!159:159-"n/&gt;!.A]"</f>
        <v>#VALUE!</v>
      </c>
      <c r="CB226" t="e">
        <f>'All regions'!160:160-"n/&gt;!.A^"</f>
        <v>#VALUE!</v>
      </c>
      <c r="CC226" t="e">
        <f>'All regions'!161:161-"n/&gt;!.A_"</f>
        <v>#VALUE!</v>
      </c>
      <c r="CD226" t="e">
        <f>'All regions'!162:162-"n/&gt;!.A`"</f>
        <v>#VALUE!</v>
      </c>
      <c r="CE226" t="e">
        <f>'All regions'!163:163-"n/&gt;!.Aa"</f>
        <v>#VALUE!</v>
      </c>
      <c r="CF226" t="e">
        <f>'All regions'!164:164-"n/&gt;!.Ab"</f>
        <v>#VALUE!</v>
      </c>
      <c r="CG226" t="e">
        <f>'All regions'!165:165-"n/&gt;!.Ac"</f>
        <v>#VALUE!</v>
      </c>
      <c r="CH226" t="e">
        <f>'All regions'!166:166-"n/&gt;!.Ad"</f>
        <v>#VALUE!</v>
      </c>
      <c r="CI226" t="e">
        <f>'All regions'!167:167-"n/&gt;!.Ae"</f>
        <v>#VALUE!</v>
      </c>
      <c r="CJ226" t="e">
        <f>'All regions'!168:168-"n/&gt;!.Af"</f>
        <v>#VALUE!</v>
      </c>
      <c r="CK226" t="e">
        <f>'All regions'!169:169-"n/&gt;!.Ag"</f>
        <v>#VALUE!</v>
      </c>
      <c r="CL226" t="e">
        <f>'All regions'!170:170-"n/&gt;!.Ah"</f>
        <v>#VALUE!</v>
      </c>
      <c r="CM226" t="e">
        <f>'All regions'!171:171-"n/&gt;!.Ai"</f>
        <v>#VALUE!</v>
      </c>
      <c r="CN226" t="e">
        <f>'All regions'!172:172-"n/&gt;!.Aj"</f>
        <v>#VALUE!</v>
      </c>
      <c r="CO226" t="e">
        <f>'All regions'!173:173-"n/&gt;!.Ak"</f>
        <v>#VALUE!</v>
      </c>
      <c r="CP226" t="e">
        <f>'All regions'!174:174-"n/&gt;!.Al"</f>
        <v>#VALUE!</v>
      </c>
      <c r="CQ226" t="e">
        <f>'All regions'!175:175-"n/&gt;!.Am"</f>
        <v>#VALUE!</v>
      </c>
      <c r="CR226" t="e">
        <f>'All regions'!176:176-"n/&gt;!.An"</f>
        <v>#VALUE!</v>
      </c>
      <c r="CS226" t="e">
        <f>'All regions'!177:177-"n/&gt;!.Ao"</f>
        <v>#VALUE!</v>
      </c>
      <c r="CT226" t="e">
        <f>'All regions'!178:178-"n/&gt;!.Ap"</f>
        <v>#VALUE!</v>
      </c>
      <c r="CU226" t="e">
        <f>'All regions'!179:179-"n/&gt;!.Aq"</f>
        <v>#VALUE!</v>
      </c>
      <c r="CV226" t="e">
        <f>'All regions'!180:180-"n/&gt;!.Ar"</f>
        <v>#VALUE!</v>
      </c>
      <c r="CW226" t="e">
        <f>'All regions'!181:181-"n/&gt;!.As"</f>
        <v>#VALUE!</v>
      </c>
      <c r="CX226" t="e">
        <f>'All regions'!182:182-"n/&gt;!.At"</f>
        <v>#VALUE!</v>
      </c>
      <c r="CY226" t="e">
        <f>'All regions'!183:183-"n/&gt;!.Au"</f>
        <v>#VALUE!</v>
      </c>
      <c r="CZ226" t="e">
        <f>'All regions'!184:184-"n/&gt;!.Av"</f>
        <v>#VALUE!</v>
      </c>
      <c r="DA226" t="e">
        <f>'All regions'!185:185-"n/&gt;!.Aw"</f>
        <v>#VALUE!</v>
      </c>
      <c r="DB226" t="e">
        <f>'All regions'!186:186-"n/&gt;!.Ax"</f>
        <v>#VALUE!</v>
      </c>
      <c r="DC226" t="e">
        <f>'All regions'!187:187-"n/&gt;!.Ay"</f>
        <v>#VALUE!</v>
      </c>
      <c r="DD226" t="e">
        <f>'All regions'!188:188-"n/&gt;!.Az"</f>
        <v>#VALUE!</v>
      </c>
      <c r="DE226" t="e">
        <f>'All regions'!189:189-"n/&gt;!.A{"</f>
        <v>#VALUE!</v>
      </c>
      <c r="DF226" t="e">
        <f>'All regions'!190:190-"n/&gt;!.A|"</f>
        <v>#VALUE!</v>
      </c>
      <c r="DG226" t="e">
        <f>'All regions'!191:191-"n/&gt;!.A}"</f>
        <v>#VALUE!</v>
      </c>
      <c r="DH226" t="e">
        <f>'All regions'!192:192-"n/&gt;!.A~"</f>
        <v>#VALUE!</v>
      </c>
      <c r="DI226" t="e">
        <f>'All regions'!193:193-"n/&gt;!.B#"</f>
        <v>#VALUE!</v>
      </c>
      <c r="DJ226" t="e">
        <f>'All regions'!194:194-"n/&gt;!.B$"</f>
        <v>#VALUE!</v>
      </c>
      <c r="DK226" t="e">
        <f>'All regions'!195:195-"n/&gt;!.B%"</f>
        <v>#VALUE!</v>
      </c>
      <c r="DL226" t="e">
        <f>'All regions'!196:196-"n/&gt;!.B&amp;"</f>
        <v>#VALUE!</v>
      </c>
      <c r="DM226" t="e">
        <f>'All regions'!197:197-"n/&gt;!.B'"</f>
        <v>#VALUE!</v>
      </c>
      <c r="DN226" t="e">
        <f>'All regions'!198:198-"n/&gt;!.B("</f>
        <v>#VALUE!</v>
      </c>
      <c r="DO226" t="e">
        <f>'All regions'!199:199-"n/&gt;!.B)"</f>
        <v>#VALUE!</v>
      </c>
      <c r="DP226" t="e">
        <f>'All regions'!200:200-"n/&gt;!.B."</f>
        <v>#VALUE!</v>
      </c>
      <c r="DQ226" t="e">
        <f>'All regions'!201:201-"n/&gt;!.B/"</f>
        <v>#VALUE!</v>
      </c>
      <c r="DR226" t="e">
        <f>'All regions'!202:202-"n/&gt;!.B0"</f>
        <v>#VALUE!</v>
      </c>
      <c r="DS226" t="e">
        <f>'All regions'!203:203-"n/&gt;!.B1"</f>
        <v>#VALUE!</v>
      </c>
      <c r="DT226" t="e">
        <f>'All regions'!204:204-"n/&gt;!.B2"</f>
        <v>#VALUE!</v>
      </c>
      <c r="DU226" t="e">
        <f>'All regions'!205:205-"n/&gt;!.B3"</f>
        <v>#VALUE!</v>
      </c>
      <c r="DV226" t="e">
        <f>'All regions'!206:206-"n/&gt;!.B4"</f>
        <v>#VALUE!</v>
      </c>
      <c r="DW226" t="e">
        <f>'All regions'!207:207-"n/&gt;!.B5"</f>
        <v>#VALUE!</v>
      </c>
      <c r="DX226" t="e">
        <f>'All regions'!208:208-"n/&gt;!.B6"</f>
        <v>#VALUE!</v>
      </c>
      <c r="DY226" t="e">
        <f>'All regions'!209:209-"n/&gt;!.B7"</f>
        <v>#VALUE!</v>
      </c>
      <c r="DZ226" t="e">
        <f>'All regions'!210:210-"n/&gt;!.B8"</f>
        <v>#VALUE!</v>
      </c>
      <c r="EA226" t="e">
        <f>'All regions'!211:211-"n/&gt;!.B9"</f>
        <v>#VALUE!</v>
      </c>
      <c r="EB226" t="e">
        <f>'All regions'!212:212-"n/&gt;!.B:"</f>
        <v>#VALUE!</v>
      </c>
      <c r="EC226" t="e">
        <f>'All regions'!213:213-"n/&gt;!.B;"</f>
        <v>#VALUE!</v>
      </c>
      <c r="ED226" t="e">
        <f>'All regions'!214:214-"n/&gt;!.B&lt;"</f>
        <v>#VALUE!</v>
      </c>
      <c r="EE226" t="e">
        <f>'All regions'!215:215-"n/&gt;!.B="</f>
        <v>#VALUE!</v>
      </c>
      <c r="EF226" t="e">
        <f>'All regions'!216:216-"n/&gt;!.B&gt;"</f>
        <v>#VALUE!</v>
      </c>
      <c r="EG226" t="e">
        <f>'All regions'!217:217-"n/&gt;!.B?"</f>
        <v>#VALUE!</v>
      </c>
      <c r="EH226" t="e">
        <f>'All regions'!218:218-"n/&gt;!.B@"</f>
        <v>#VALUE!</v>
      </c>
      <c r="EI226" t="e">
        <f>'All regions'!219:219-"n/&gt;!.BA"</f>
        <v>#VALUE!</v>
      </c>
      <c r="EJ226" t="e">
        <f>'All regions'!220:220-"n/&gt;!.BB"</f>
        <v>#VALUE!</v>
      </c>
      <c r="EK226" t="e">
        <f>'All regions'!221:221-"n/&gt;!.BC"</f>
        <v>#VALUE!</v>
      </c>
      <c r="EL226" t="e">
        <f>'All regions'!222:222-"n/&gt;!.BD"</f>
        <v>#VALUE!</v>
      </c>
      <c r="EM226" t="e">
        <f>'All regions'!223:223-"n/&gt;!.BE"</f>
        <v>#VALUE!</v>
      </c>
      <c r="EN226" t="e">
        <f>'All regions'!224:224-"n/&gt;!.BF"</f>
        <v>#VALUE!</v>
      </c>
      <c r="EO226" t="e">
        <f>'All regions'!225:225-"n/&gt;!.BG"</f>
        <v>#VALUE!</v>
      </c>
      <c r="EP226" t="e">
        <f>'All regions'!226:226-"n/&gt;!.BH"</f>
        <v>#VALUE!</v>
      </c>
      <c r="EQ226" t="e">
        <f>'All regions'!227:227-"n/&gt;!.BI"</f>
        <v>#VALUE!</v>
      </c>
      <c r="ER226" t="e">
        <f>'All regions'!228:228-"n/&gt;!.BJ"</f>
        <v>#VALUE!</v>
      </c>
      <c r="ES226" t="e">
        <f>'All regions'!229:229-"n/&gt;!.BK"</f>
        <v>#VALUE!</v>
      </c>
      <c r="ET226" t="e">
        <f>'All regions'!230:230-"n/&gt;!.BL"</f>
        <v>#VALUE!</v>
      </c>
      <c r="EU226" t="e">
        <f>'All regions'!231:231-"n/&gt;!.BM"</f>
        <v>#VALUE!</v>
      </c>
      <c r="EV226" t="e">
        <f>'All regions'!232:232-"n/&gt;!.BN"</f>
        <v>#VALUE!</v>
      </c>
      <c r="EW226" t="e">
        <f>'All regions'!233:233-"n/&gt;!.BO"</f>
        <v>#VALUE!</v>
      </c>
      <c r="EX226" t="e">
        <f>'All regions'!234:234-"n/&gt;!.BP"</f>
        <v>#VALUE!</v>
      </c>
      <c r="EY226" t="e">
        <f>'All regions'!235:235-"n/&gt;!.BQ"</f>
        <v>#VALUE!</v>
      </c>
      <c r="EZ226" t="e">
        <f>'All regions'!236:236-"n/&gt;!.BR"</f>
        <v>#VALUE!</v>
      </c>
      <c r="FA226" t="e">
        <f>'All regions'!237:237-"n/&gt;!.BS"</f>
        <v>#VALUE!</v>
      </c>
      <c r="FB226" t="e">
        <f>'All regions'!238:238-"n/&gt;!.BT"</f>
        <v>#VALUE!</v>
      </c>
      <c r="FC226" t="e">
        <f>'All regions'!239:239-"n/&gt;!.BU"</f>
        <v>#VALUE!</v>
      </c>
      <c r="FD226" t="e">
        <f>'All regions'!240:240-"n/&gt;!.BV"</f>
        <v>#VALUE!</v>
      </c>
      <c r="FE226" t="e">
        <f>'All regions'!241:241-"n/&gt;!.BW"</f>
        <v>#VALUE!</v>
      </c>
      <c r="FF226" t="e">
        <f>'All regions'!242:242-"n/&gt;!.BX"</f>
        <v>#VALUE!</v>
      </c>
      <c r="FG226" t="e">
        <f>'All regions'!243:243-"n/&gt;!.BY"</f>
        <v>#VALUE!</v>
      </c>
      <c r="FH226" t="e">
        <f>'All regions'!244:244-"n/&gt;!.BZ"</f>
        <v>#VALUE!</v>
      </c>
      <c r="FI226" t="e">
        <f>'All regions'!245:245-"n/&gt;!.B["</f>
        <v>#VALUE!</v>
      </c>
      <c r="FJ226" t="e">
        <f>'All regions'!246:246-"n/&gt;!.B\"</f>
        <v>#VALUE!</v>
      </c>
      <c r="FK226" t="e">
        <f>'All regions'!247:247-"n/&gt;!.B]"</f>
        <v>#VALUE!</v>
      </c>
      <c r="FL226" t="e">
        <f>'All regions'!248:248-"n/&gt;!.B^"</f>
        <v>#VALUE!</v>
      </c>
      <c r="FM226" t="e">
        <f>'All regions'!249:249-"n/&gt;!.B_"</f>
        <v>#VALUE!</v>
      </c>
      <c r="FN226" t="e">
        <f>'All regions'!250:250-"n/&gt;!.B`"</f>
        <v>#VALUE!</v>
      </c>
      <c r="FO226" t="e">
        <f>'All regions'!251:251-"n/&gt;!.Ba"</f>
        <v>#VALUE!</v>
      </c>
      <c r="FP226" t="e">
        <f>'All regions'!252:252-"n/&gt;!.Bb"</f>
        <v>#VALUE!</v>
      </c>
      <c r="FQ226" t="e">
        <f>'All regions'!253:253-"n/&gt;!.Bc"</f>
        <v>#VALUE!</v>
      </c>
      <c r="FR226" t="e">
        <f>'All regions'!254:254-"n/&gt;!.Bd"</f>
        <v>#VALUE!</v>
      </c>
      <c r="FS226" t="e">
        <f>'All regions'!255:255-"n/&gt;!.Be"</f>
        <v>#VALUE!</v>
      </c>
      <c r="FT226" t="e">
        <f>'All regions'!256:256-"n/&gt;!.Bf"</f>
        <v>#VALUE!</v>
      </c>
      <c r="FU226" t="e">
        <f>'All regions'!257:257-"n/&gt;!.Bg"</f>
        <v>#VALUE!</v>
      </c>
      <c r="FV226" t="e">
        <f>'All regions'!258:258-"n/&gt;!.Bh"</f>
        <v>#VALUE!</v>
      </c>
      <c r="FW226" t="e">
        <f>'All regions'!259:259-"n/&gt;!.Bi"</f>
        <v>#VALUE!</v>
      </c>
      <c r="FX226" t="e">
        <f>'All regions'!260:260-"n/&gt;!.Bj"</f>
        <v>#VALUE!</v>
      </c>
      <c r="FY226" t="e">
        <f>'All regions'!261:261-"n/&gt;!.Bk"</f>
        <v>#VALUE!</v>
      </c>
      <c r="FZ226" t="e">
        <f>'All regions'!262:262-"n/&gt;!.Bl"</f>
        <v>#VALUE!</v>
      </c>
      <c r="GA226" t="e">
        <f>'All regions'!263:263-"n/&gt;!.Bm"</f>
        <v>#VALUE!</v>
      </c>
      <c r="GB226" t="e">
        <f>'All regions'!264:264-"n/&gt;!.Bn"</f>
        <v>#VALUE!</v>
      </c>
      <c r="GC226" t="e">
        <f>'All regions'!265:265-"n/&gt;!.Bo"</f>
        <v>#VALUE!</v>
      </c>
      <c r="GD226" t="e">
        <f>'All regions'!266:266-"n/&gt;!.Bp"</f>
        <v>#VALUE!</v>
      </c>
      <c r="GE226" t="e">
        <f>'All regions'!267:267-"n/&gt;!.Bq"</f>
        <v>#VALUE!</v>
      </c>
      <c r="GF226" t="e">
        <f>'All regions'!268:268-"n/&gt;!.Br"</f>
        <v>#VALUE!</v>
      </c>
      <c r="GG226" t="e">
        <f>'All regions'!269:269-"n/&gt;!.Bs"</f>
        <v>#VALUE!</v>
      </c>
      <c r="GH226" t="e">
        <f>'All regions'!270:270-"n/&gt;!.Bt"</f>
        <v>#VALUE!</v>
      </c>
      <c r="GI226" t="e">
        <f>'All regions'!271:271-"n/&gt;!.Bu"</f>
        <v>#VALUE!</v>
      </c>
      <c r="GJ226" t="e">
        <f>'All regions'!272:272-"n/&gt;!.Bv"</f>
        <v>#VALUE!</v>
      </c>
      <c r="GK226" t="e">
        <f>'All regions'!273:273-"n/&gt;!.Bw"</f>
        <v>#VALUE!</v>
      </c>
      <c r="GL226" t="e">
        <f>'All regions'!274:274-"n/&gt;!.Bx"</f>
        <v>#VALUE!</v>
      </c>
      <c r="GM226" t="e">
        <f>'All regions'!275:275-"n/&gt;!.By"</f>
        <v>#VALUE!</v>
      </c>
      <c r="GN226" t="e">
        <f>'All regions'!276:276-"n/&gt;!.Bz"</f>
        <v>#VALUE!</v>
      </c>
      <c r="GO226" t="e">
        <f>'All regions'!277:277-"n/&gt;!.B{"</f>
        <v>#VALUE!</v>
      </c>
      <c r="GP226" t="e">
        <f>'All regions'!278:278-"n/&gt;!.B|"</f>
        <v>#VALUE!</v>
      </c>
      <c r="GQ226" t="e">
        <f>'All regions'!279:279-"n/&gt;!.B}"</f>
        <v>#VALUE!</v>
      </c>
      <c r="GR226" t="e">
        <f>'All regions'!280:280-"n/&gt;!.B~"</f>
        <v>#VALUE!</v>
      </c>
      <c r="GS226" t="e">
        <f>'All regions'!281:281-"n/&gt;!.C#"</f>
        <v>#VALUE!</v>
      </c>
      <c r="GT226" t="e">
        <f>'All regions'!282:282-"n/&gt;!.C$"</f>
        <v>#VALUE!</v>
      </c>
      <c r="GU226" t="e">
        <f>'All regions'!283:283-"n/&gt;!.C%"</f>
        <v>#VALUE!</v>
      </c>
      <c r="GV226" t="e">
        <f>'All regions'!284:284-"n/&gt;!.C&amp;"</f>
        <v>#VALUE!</v>
      </c>
      <c r="GW226" t="e">
        <f>'All regions'!285:285-"n/&gt;!.C'"</f>
        <v>#VALUE!</v>
      </c>
      <c r="GX226" t="e">
        <f>'All regions'!286:286-"n/&gt;!.C("</f>
        <v>#VALUE!</v>
      </c>
      <c r="GY226" t="e">
        <f>'All regions'!287:287-"n/&gt;!.C)"</f>
        <v>#VALUE!</v>
      </c>
      <c r="GZ226" t="e">
        <f>'All regions'!288:288-"n/&gt;!.C."</f>
        <v>#VALUE!</v>
      </c>
      <c r="HA226" t="e">
        <f>'All regions'!289:289-"n/&gt;!.C/"</f>
        <v>#VALUE!</v>
      </c>
      <c r="HB226" t="e">
        <f>'All regions'!290:290-"n/&gt;!.C0"</f>
        <v>#VALUE!</v>
      </c>
      <c r="HC226" t="e">
        <f>'All regions'!291:291-"n/&gt;!.C1"</f>
        <v>#VALUE!</v>
      </c>
      <c r="HD226" t="e">
        <f>'All regions'!292:292-"n/&gt;!.C2"</f>
        <v>#VALUE!</v>
      </c>
      <c r="HE226" t="e">
        <f>'All regions'!293:293-"n/&gt;!.C3"</f>
        <v>#VALUE!</v>
      </c>
      <c r="HF226" t="e">
        <f>'All regions'!294:294-"n/&gt;!.C4"</f>
        <v>#VALUE!</v>
      </c>
      <c r="HG226" t="e">
        <f>'All regions'!295:295-"n/&gt;!.C5"</f>
        <v>#VALUE!</v>
      </c>
      <c r="HH226" t="e">
        <f>'All regions'!296:296-"n/&gt;!.C6"</f>
        <v>#VALUE!</v>
      </c>
      <c r="HI226" t="e">
        <f>'All regions'!297:297-"n/&gt;!.C7"</f>
        <v>#VALUE!</v>
      </c>
      <c r="HJ226" t="e">
        <f>'All regions'!298:298-"n/&gt;!.C8"</f>
        <v>#VALUE!</v>
      </c>
      <c r="HK226" t="e">
        <f>'All regions'!299:299-"n/&gt;!.C9"</f>
        <v>#VALUE!</v>
      </c>
      <c r="HL226" t="e">
        <f>'All regions'!300:300-"n/&gt;!.C:"</f>
        <v>#VALUE!</v>
      </c>
      <c r="HM226" t="e">
        <f>'All regions'!301:301-"n/&gt;!.C;"</f>
        <v>#VALUE!</v>
      </c>
      <c r="HN226" t="e">
        <f>'All regions'!302:302-"n/&gt;!.C&lt;"</f>
        <v>#VALUE!</v>
      </c>
      <c r="HO226" t="e">
        <f>'All regions'!303:303-"n/&gt;!.C="</f>
        <v>#VALUE!</v>
      </c>
      <c r="HP226" t="e">
        <f>'All regions'!304:304-"n/&gt;!.C&gt;"</f>
        <v>#VALUE!</v>
      </c>
      <c r="HQ226" t="e">
        <f>'All regions'!305:305-"n/&gt;!.C?"</f>
        <v>#VALUE!</v>
      </c>
      <c r="HR226" t="e">
        <f>'All regions'!306:306-"n/&gt;!.C@"</f>
        <v>#VALUE!</v>
      </c>
      <c r="HS226" t="e">
        <f>'All regions'!307:307-"n/&gt;!.CA"</f>
        <v>#VALUE!</v>
      </c>
      <c r="HT226" t="e">
        <f>'All regions'!308:308-"n/&gt;!.CB"</f>
        <v>#VALUE!</v>
      </c>
      <c r="HU226" t="e">
        <f>'All regions'!309:309-"n/&gt;!.CC"</f>
        <v>#VALUE!</v>
      </c>
      <c r="HV226" t="e">
        <f>'All regions'!310:310-"n/&gt;!.CD"</f>
        <v>#VALUE!</v>
      </c>
      <c r="HW226" t="e">
        <f>'All regions'!311:311-"n/&gt;!.CE"</f>
        <v>#VALUE!</v>
      </c>
      <c r="HX226" t="e">
        <f>'All regions'!312:312-"n/&gt;!.CF"</f>
        <v>#VALUE!</v>
      </c>
      <c r="HY226" t="e">
        <f>'All regions'!313:313-"n/&gt;!.CG"</f>
        <v>#VALUE!</v>
      </c>
      <c r="HZ226" t="e">
        <f>'All regions'!314:314-"n/&gt;!.CH"</f>
        <v>#VALUE!</v>
      </c>
      <c r="IA226" t="e">
        <f>'All regions'!315:315-"n/&gt;!.CI"</f>
        <v>#VALUE!</v>
      </c>
      <c r="IB226" t="e">
        <f>'All regions'!316:316-"n/&gt;!.CJ"</f>
        <v>#VALUE!</v>
      </c>
      <c r="IC226" t="e">
        <f>'All regions'!317:317-"n/&gt;!.CK"</f>
        <v>#VALUE!</v>
      </c>
      <c r="ID226" t="e">
        <f>'All regions'!318:318-"n/&gt;!.CL"</f>
        <v>#VALUE!</v>
      </c>
      <c r="IE226" t="e">
        <f>'All regions'!319:319-"n/&gt;!.CM"</f>
        <v>#VALUE!</v>
      </c>
      <c r="IF226" t="e">
        <f>'All regions'!320:320-"n/&gt;!.CN"</f>
        <v>#VALUE!</v>
      </c>
      <c r="IG226" t="e">
        <f>'All regions'!321:321-"n/&gt;!.CO"</f>
        <v>#VALUE!</v>
      </c>
      <c r="IH226" t="e">
        <f>'All regions'!322:322-"n/&gt;!.CP"</f>
        <v>#VALUE!</v>
      </c>
      <c r="II226" t="e">
        <f>'All regions'!323:323-"n/&gt;!.CQ"</f>
        <v>#VALUE!</v>
      </c>
      <c r="IJ226" t="e">
        <f>'All regions'!324:324-"n/&gt;!.CR"</f>
        <v>#VALUE!</v>
      </c>
      <c r="IK226" t="e">
        <f>'All regions'!325:325-"n/&gt;!.CS"</f>
        <v>#VALUE!</v>
      </c>
      <c r="IL226" t="e">
        <f>'All regions'!326:326-"n/&gt;!.CT"</f>
        <v>#VALUE!</v>
      </c>
      <c r="IM226" t="e">
        <f>'All regions'!327:327-"n/&gt;!.CU"</f>
        <v>#VALUE!</v>
      </c>
      <c r="IN226" t="e">
        <f>'All regions'!328:328-"n/&gt;!.CV"</f>
        <v>#VALUE!</v>
      </c>
      <c r="IO226" t="e">
        <f>'All regions'!329:329-"n/&gt;!.CW"</f>
        <v>#VALUE!</v>
      </c>
      <c r="IP226" t="e">
        <f>'All regions'!330:330-"n/&gt;!.CX"</f>
        <v>#VALUE!</v>
      </c>
      <c r="IQ226" t="e">
        <f>'All regions'!331:331-"n/&gt;!.CY"</f>
        <v>#VALUE!</v>
      </c>
      <c r="IR226" t="e">
        <f>'All regions'!332:332-"n/&gt;!.CZ"</f>
        <v>#VALUE!</v>
      </c>
      <c r="IS226" t="e">
        <f>'All regions'!333:333-"n/&gt;!.C["</f>
        <v>#VALUE!</v>
      </c>
      <c r="IT226" t="e">
        <f>'All regions'!334:334-"n/&gt;!.C\"</f>
        <v>#VALUE!</v>
      </c>
      <c r="IU226" t="e">
        <f>'All regions'!335:335-"n/&gt;!.C]"</f>
        <v>#VALUE!</v>
      </c>
      <c r="IV226" t="e">
        <f>'All regions'!336:336-"n/&gt;!.C^"</f>
        <v>#VALUE!</v>
      </c>
    </row>
    <row r="227" spans="6:256" x14ac:dyDescent="0.35">
      <c r="F227" t="e">
        <f>'All regions'!337:337-"n/&gt;!.C_"</f>
        <v>#VALUE!</v>
      </c>
      <c r="G227" t="e">
        <f>'All regions'!338:338-"n/&gt;!.C`"</f>
        <v>#VALUE!</v>
      </c>
      <c r="H227" t="e">
        <f>'All regions'!339:339-"n/&gt;!.Ca"</f>
        <v>#VALUE!</v>
      </c>
      <c r="I227" t="e">
        <f>'All regions'!340:340-"n/&gt;!.Cb"</f>
        <v>#VALUE!</v>
      </c>
      <c r="J227" t="e">
        <f>'All regions'!341:341-"n/&gt;!.Cc"</f>
        <v>#VALUE!</v>
      </c>
      <c r="K227" t="e">
        <f>'All regions'!342:342-"n/&gt;!.Cd"</f>
        <v>#VALUE!</v>
      </c>
      <c r="L227" t="e">
        <f>'All regions'!343:343-"n/&gt;!.Ce"</f>
        <v>#VALUE!</v>
      </c>
      <c r="M227" t="e">
        <f>'All regions'!344:344-"n/&gt;!.Cf"</f>
        <v>#VALUE!</v>
      </c>
      <c r="N227" t="e">
        <f>'All regions'!345:345-"n/&gt;!.Cg"</f>
        <v>#VALUE!</v>
      </c>
      <c r="O227" t="e">
        <f>'All regions'!346:346-"n/&gt;!.Ch"</f>
        <v>#VALUE!</v>
      </c>
      <c r="P227" t="e">
        <f>'All regions'!347:347-"n/&gt;!.Ci"</f>
        <v>#VALUE!</v>
      </c>
      <c r="Q227" t="e">
        <f>'All regions'!348:348-"n/&gt;!.Cj"</f>
        <v>#VALUE!</v>
      </c>
      <c r="R227" t="e">
        <f>'All regions'!349:349-"n/&gt;!.Ck"</f>
        <v>#VALUE!</v>
      </c>
      <c r="S227" t="e">
        <f>'All regions'!350:350-"n/&gt;!.Cl"</f>
        <v>#VALUE!</v>
      </c>
      <c r="T227" t="e">
        <f>'All regions'!351:351-"n/&gt;!.Cm"</f>
        <v>#VALUE!</v>
      </c>
      <c r="U227" t="e">
        <f>'All regions'!352:352-"n/&gt;!.Cn"</f>
        <v>#VALUE!</v>
      </c>
      <c r="V227" t="e">
        <f>'All regions'!353:353-"n/&gt;!.Co"</f>
        <v>#VALUE!</v>
      </c>
      <c r="W227" t="e">
        <f>'All regions'!354:354-"n/&gt;!.Cp"</f>
        <v>#VALUE!</v>
      </c>
      <c r="X227" t="e">
        <f>'All regions'!355:355-"n/&gt;!.Cq"</f>
        <v>#VALUE!</v>
      </c>
      <c r="Y227" t="e">
        <f>'All regions'!356:356-"n/&gt;!.Cr"</f>
        <v>#VALUE!</v>
      </c>
      <c r="Z227" t="e">
        <f>'All regions'!357:357-"n/&gt;!.Cs"</f>
        <v>#VALUE!</v>
      </c>
      <c r="AA227" t="e">
        <f>'All regions'!358:358-"n/&gt;!.Ct"</f>
        <v>#VALUE!</v>
      </c>
      <c r="AB227" t="e">
        <f>'All regions'!359:359-"n/&gt;!.Cu"</f>
        <v>#VALUE!</v>
      </c>
      <c r="AC227" t="e">
        <f>'All regions'!360:360-"n/&gt;!.Cv"</f>
        <v>#VALUE!</v>
      </c>
      <c r="AD227" t="e">
        <f>'All regions'!361:361-"n/&gt;!.Cw"</f>
        <v>#VALUE!</v>
      </c>
      <c r="AE227" t="e">
        <f>'All regions'!362:362-"n/&gt;!.Cx"</f>
        <v>#VALUE!</v>
      </c>
      <c r="AF227" t="e">
        <f>'All regions'!363:363-"n/&gt;!.Cy"</f>
        <v>#VALUE!</v>
      </c>
      <c r="AG227" t="e">
        <f>'All regions'!364:364-"n/&gt;!.Cz"</f>
        <v>#VALUE!</v>
      </c>
      <c r="AH227" t="e">
        <f>'All regions'!365:365-"n/&gt;!.C{"</f>
        <v>#VALUE!</v>
      </c>
      <c r="AI227" t="e">
        <f>'All regions'!366:366-"n/&gt;!.C|"</f>
        <v>#VALUE!</v>
      </c>
      <c r="AJ227" t="e">
        <f>'All regions'!367:367-"n/&gt;!.C}"</f>
        <v>#VALUE!</v>
      </c>
      <c r="AK227" t="e">
        <f>'All regions'!368:368-"n/&gt;!.C~"</f>
        <v>#VALUE!</v>
      </c>
      <c r="AL227" t="e">
        <f>'All regions'!369:369-"n/&gt;!.D#"</f>
        <v>#VALUE!</v>
      </c>
      <c r="AM227" t="e">
        <f>'All regions'!370:370-"n/&gt;!.D$"</f>
        <v>#VALUE!</v>
      </c>
      <c r="AN227" t="e">
        <f>'All regions'!371:371-"n/&gt;!.D%"</f>
        <v>#VALUE!</v>
      </c>
      <c r="AO227" t="e">
        <f>'All regions'!372:372-"n/&gt;!.D&amp;"</f>
        <v>#VALUE!</v>
      </c>
      <c r="AP227" t="e">
        <f>'All regions'!373:373-"n/&gt;!.D'"</f>
        <v>#VALUE!</v>
      </c>
      <c r="AQ227" t="e">
        <f>'All regions'!374:374-"n/&gt;!.D("</f>
        <v>#VALUE!</v>
      </c>
      <c r="AR227" t="e">
        <f>'All regions'!375:375-"n/&gt;!.D)"</f>
        <v>#VALUE!</v>
      </c>
      <c r="AS227" t="e">
        <f>'All regions'!376:376-"n/&gt;!.D."</f>
        <v>#VALUE!</v>
      </c>
      <c r="AT227" t="e">
        <f>'All regions'!377:377-"n/&gt;!.D/"</f>
        <v>#VALUE!</v>
      </c>
      <c r="AU227" t="e">
        <f>'All regions'!378:378-"n/&gt;!.D0"</f>
        <v>#VALUE!</v>
      </c>
      <c r="AV227" t="e">
        <f>'All regions'!379:379-"n/&gt;!.D1"</f>
        <v>#VALUE!</v>
      </c>
      <c r="AW227" t="e">
        <f>'All regions'!380:380-"n/&gt;!.D2"</f>
        <v>#VALUE!</v>
      </c>
      <c r="AX227" t="e">
        <f>'All regions'!381:381-"n/&gt;!.D3"</f>
        <v>#VALUE!</v>
      </c>
      <c r="AY227" t="e">
        <f>'All regions'!382:382-"n/&gt;!.D4"</f>
        <v>#VALUE!</v>
      </c>
      <c r="AZ227" t="e">
        <f>'All regions'!383:383-"n/&gt;!.D5"</f>
        <v>#VALUE!</v>
      </c>
      <c r="BA227" t="e">
        <f>'All regions'!384:384-"n/&gt;!.D6"</f>
        <v>#VALUE!</v>
      </c>
      <c r="BB227" t="e">
        <f>'All regions'!385:385-"n/&gt;!.D7"</f>
        <v>#VALUE!</v>
      </c>
      <c r="BC227" t="e">
        <f>'All regions'!386:386-"n/&gt;!.D8"</f>
        <v>#VALUE!</v>
      </c>
      <c r="BD227" t="e">
        <f>'All regions'!387:387-"n/&gt;!.D9"</f>
        <v>#VALUE!</v>
      </c>
      <c r="BE227" t="e">
        <f>'All regions'!388:388-"n/&gt;!.D:"</f>
        <v>#VALUE!</v>
      </c>
      <c r="BF227" t="e">
        <f>'All regions'!389:389-"n/&gt;!.D;"</f>
        <v>#VALUE!</v>
      </c>
      <c r="BG227" t="e">
        <f>'All regions'!390:390-"n/&gt;!.D&lt;"</f>
        <v>#VALUE!</v>
      </c>
      <c r="BH227" t="e">
        <f>'All regions'!391:391-"n/&gt;!.D="</f>
        <v>#VALUE!</v>
      </c>
      <c r="BI227" t="e">
        <f>'All regions'!392:392-"n/&gt;!.D&gt;"</f>
        <v>#VALUE!</v>
      </c>
      <c r="BJ227" t="e">
        <f>'All regions'!393:393-"n/&gt;!.D?"</f>
        <v>#VALUE!</v>
      </c>
      <c r="BK227" t="e">
        <f>'All regions'!394:394-"n/&gt;!.D@"</f>
        <v>#VALUE!</v>
      </c>
      <c r="BL227" t="e">
        <f>'All regions'!395:395-"n/&gt;!.DA"</f>
        <v>#VALUE!</v>
      </c>
      <c r="BM227" t="e">
        <f>'All regions'!396:396-"n/&gt;!.DB"</f>
        <v>#VALUE!</v>
      </c>
      <c r="BN227" t="e">
        <f>'All regions'!397:397-"n/&gt;!.DC"</f>
        <v>#VALUE!</v>
      </c>
      <c r="BO227" t="e">
        <f>'All regions'!398:398-"n/&gt;!.DD"</f>
        <v>#VALUE!</v>
      </c>
      <c r="BP227" t="e">
        <f>'All regions'!399:399-"n/&gt;!.DE"</f>
        <v>#VALUE!</v>
      </c>
      <c r="BQ227" t="e">
        <f>'All regions'!400:400-"n/&gt;!.DF"</f>
        <v>#VALUE!</v>
      </c>
      <c r="BR227" t="e">
        <f>'All regions'!401:401-"n/&gt;!.DG"</f>
        <v>#VALUE!</v>
      </c>
      <c r="BS227" t="e">
        <f>'All regions'!402:402-"n/&gt;!.DH"</f>
        <v>#VALUE!</v>
      </c>
      <c r="BT227" t="e">
        <f>'All regions'!403:403-"n/&gt;!.DI"</f>
        <v>#VALUE!</v>
      </c>
      <c r="BU227" t="e">
        <f>'All regions'!404:404-"n/&gt;!.DJ"</f>
        <v>#VALUE!</v>
      </c>
      <c r="BV227" t="e">
        <f>'All regions'!405:405-"n/&gt;!.DK"</f>
        <v>#VALUE!</v>
      </c>
      <c r="BW227" t="e">
        <f>'All regions'!406:406-"n/&gt;!.DL"</f>
        <v>#VALUE!</v>
      </c>
      <c r="BX227" t="e">
        <f>'All regions'!407:407-"n/&gt;!.DM"</f>
        <v>#VALUE!</v>
      </c>
      <c r="BY227" t="e">
        <f>'All regions'!408:408-"n/&gt;!.DN"</f>
        <v>#VALUE!</v>
      </c>
      <c r="BZ227" t="e">
        <f>'All regions'!409:409-"n/&gt;!.DO"</f>
        <v>#VALUE!</v>
      </c>
      <c r="CA227" t="e">
        <f>'All regions'!410:410-"n/&gt;!.DP"</f>
        <v>#VALUE!</v>
      </c>
      <c r="CB227" t="e">
        <f>'All regions'!411:411-"n/&gt;!.DQ"</f>
        <v>#VALUE!</v>
      </c>
      <c r="CC227" t="e">
        <f>'All regions'!412:412-"n/&gt;!.DR"</f>
        <v>#VALUE!</v>
      </c>
      <c r="CD227" t="e">
        <f>'All regions'!413:413-"n/&gt;!.DS"</f>
        <v>#VALUE!</v>
      </c>
      <c r="CE227" t="e">
        <f>'All regions'!414:414-"n/&gt;!.DT"</f>
        <v>#VALUE!</v>
      </c>
      <c r="CF227" t="e">
        <f>'All regions'!415:415-"n/&gt;!.DU"</f>
        <v>#VALUE!</v>
      </c>
      <c r="CG227" t="e">
        <f>'All regions'!416:416-"n/&gt;!.DV"</f>
        <v>#VALUE!</v>
      </c>
      <c r="CH227" t="e">
        <f>'All regions'!417:417-"n/&gt;!.DW"</f>
        <v>#VALUE!</v>
      </c>
      <c r="CI227" t="e">
        <f>'All regions'!418:418-"n/&gt;!.DX"</f>
        <v>#VALUE!</v>
      </c>
      <c r="CJ227" t="e">
        <f>'All regions'!419:419-"n/&gt;!.DY"</f>
        <v>#VALUE!</v>
      </c>
      <c r="CK227" t="e">
        <f>'All regions'!420:420-"n/&gt;!.DZ"</f>
        <v>#VALUE!</v>
      </c>
      <c r="CL227" t="e">
        <f>'All regions'!421:421-"n/&gt;!.D["</f>
        <v>#VALUE!</v>
      </c>
      <c r="CM227" t="e">
        <f>'All regions'!422:422-"n/&gt;!.D\"</f>
        <v>#VALUE!</v>
      </c>
      <c r="CN227" t="e">
        <f>'All regions'!423:423-"n/&gt;!.D]"</f>
        <v>#VALUE!</v>
      </c>
      <c r="CO227" t="e">
        <f>'All regions'!424:424-"n/&gt;!.D^"</f>
        <v>#VALUE!</v>
      </c>
      <c r="CP227" t="e">
        <f>'All regions'!425:425-"n/&gt;!.D_"</f>
        <v>#VALUE!</v>
      </c>
      <c r="CQ227" t="e">
        <f>'All regions'!426:426-"n/&gt;!.D`"</f>
        <v>#VALUE!</v>
      </c>
      <c r="CR227" t="e">
        <f>'All regions'!427:427-"n/&gt;!.Da"</f>
        <v>#VALUE!</v>
      </c>
      <c r="CS227" t="e">
        <f>'All regions'!428:428-"n/&gt;!.Db"</f>
        <v>#VALUE!</v>
      </c>
      <c r="CT227" t="e">
        <f>'All regions'!429:429-"n/&gt;!.Dc"</f>
        <v>#VALUE!</v>
      </c>
      <c r="CU227" t="e">
        <f>'All regions'!430:430-"n/&gt;!.Dd"</f>
        <v>#VALUE!</v>
      </c>
      <c r="CV227" t="e">
        <f>'All regions'!431:431-"n/&gt;!.De"</f>
        <v>#VALUE!</v>
      </c>
      <c r="CW227" t="e">
        <f>'All regions'!432:432-"n/&gt;!.Df"</f>
        <v>#VALUE!</v>
      </c>
      <c r="CX227" t="e">
        <f>'All regions'!433:433-"n/&gt;!.Dg"</f>
        <v>#VALUE!</v>
      </c>
      <c r="CY227" t="e">
        <f>'All regions'!434:434-"n/&gt;!.Dh"</f>
        <v>#VALUE!</v>
      </c>
      <c r="CZ227" t="e">
        <f>'All regions'!435:435-"n/&gt;!.Di"</f>
        <v>#VALUE!</v>
      </c>
      <c r="DA227" t="e">
        <f>'All regions'!436:436-"n/&gt;!.Dj"</f>
        <v>#VALUE!</v>
      </c>
      <c r="DB227" t="e">
        <f>'All regions'!437:437-"n/&gt;!.Dk"</f>
        <v>#VALUE!</v>
      </c>
      <c r="DC227" t="e">
        <f>'All regions'!438:438-"n/&gt;!.Dl"</f>
        <v>#VALUE!</v>
      </c>
      <c r="DD227" t="e">
        <f>'All regions'!439:439-"n/&gt;!.Dm"</f>
        <v>#VALUE!</v>
      </c>
      <c r="DE227" t="e">
        <f>'All regions'!440:440-"n/&gt;!.Dn"</f>
        <v>#VALUE!</v>
      </c>
      <c r="DF227" t="e">
        <f>'All regions'!441:441-"n/&gt;!.Do"</f>
        <v>#VALUE!</v>
      </c>
      <c r="DG227" t="e">
        <f>'All regions'!442:442-"n/&gt;!.Dp"</f>
        <v>#VALUE!</v>
      </c>
      <c r="DH227" t="e">
        <f>'All regions'!443:443-"n/&gt;!.Dq"</f>
        <v>#VALUE!</v>
      </c>
      <c r="DI227" t="e">
        <f>'All regions'!444:444-"n/&gt;!.Dr"</f>
        <v>#VALUE!</v>
      </c>
      <c r="DJ227" t="e">
        <f>'All regions'!445:445-"n/&gt;!.Ds"</f>
        <v>#VALUE!</v>
      </c>
      <c r="DK227" t="e">
        <f>'All regions'!446:446-"n/&gt;!.Dt"</f>
        <v>#VALUE!</v>
      </c>
      <c r="DL227" t="e">
        <f>'All regions'!447:447-"n/&gt;!.Du"</f>
        <v>#VALUE!</v>
      </c>
      <c r="DM227" t="e">
        <f>'All regions'!448:448-"n/&gt;!.Dv"</f>
        <v>#VALUE!</v>
      </c>
      <c r="DN227" t="e">
        <f>'All regions'!449:449-"n/&gt;!.Dw"</f>
        <v>#VALUE!</v>
      </c>
      <c r="DO227" t="e">
        <f>'All regions'!450:450-"n/&gt;!.Dx"</f>
        <v>#VALUE!</v>
      </c>
      <c r="DP227" t="e">
        <f>'All regions'!451:451-"n/&gt;!.Dy"</f>
        <v>#VALUE!</v>
      </c>
      <c r="DQ227" t="e">
        <f>'All regions'!452:452-"n/&gt;!.Dz"</f>
        <v>#VALUE!</v>
      </c>
      <c r="DR227" t="e">
        <f>'All regions'!453:453-"n/&gt;!.D{"</f>
        <v>#VALUE!</v>
      </c>
      <c r="DS227" t="e">
        <f>'All regions'!454:454-"n/&gt;!.D|"</f>
        <v>#VALUE!</v>
      </c>
      <c r="DT227" t="e">
        <f>'All regions'!455:455-"n/&gt;!.D}"</f>
        <v>#VALUE!</v>
      </c>
      <c r="DU227" t="e">
        <f>'All regions'!456:456-"n/&gt;!.D~"</f>
        <v>#VALUE!</v>
      </c>
      <c r="DV227" t="e">
        <f>'All regions'!457:457-"n/&gt;!.E#"</f>
        <v>#VALUE!</v>
      </c>
      <c r="DW227" t="e">
        <f>'All regions'!458:458-"n/&gt;!.E$"</f>
        <v>#VALUE!</v>
      </c>
      <c r="DX227" t="e">
        <f>'All regions'!459:459-"n/&gt;!.E%"</f>
        <v>#VALUE!</v>
      </c>
      <c r="DY227" t="e">
        <f>'All regions'!460:460-"n/&gt;!.E&amp;"</f>
        <v>#VALUE!</v>
      </c>
      <c r="DZ227" t="e">
        <f>'All regions'!461:461-"n/&gt;!.E'"</f>
        <v>#VALUE!</v>
      </c>
      <c r="EA227" t="e">
        <f>'All regions'!462:462-"n/&gt;!.E("</f>
        <v>#VALUE!</v>
      </c>
      <c r="EB227" t="e">
        <f>'All regions'!463:463-"n/&gt;!.E)"</f>
        <v>#VALUE!</v>
      </c>
      <c r="EC227" t="e">
        <f>'All regions'!464:464-"n/&gt;!.E."</f>
        <v>#VALUE!</v>
      </c>
      <c r="ED227" t="e">
        <f>'All regions'!465:465-"n/&gt;!.E/"</f>
        <v>#VALUE!</v>
      </c>
      <c r="EE227" t="e">
        <f>'All regions'!466:466-"n/&gt;!.E0"</f>
        <v>#VALUE!</v>
      </c>
      <c r="EF227" t="e">
        <f>'All regions'!467:467-"n/&gt;!.E1"</f>
        <v>#VALUE!</v>
      </c>
      <c r="EG227" t="e">
        <f>'All regions'!468:468-"n/&gt;!.E2"</f>
        <v>#VALUE!</v>
      </c>
      <c r="EH227" t="e">
        <f>'All regions'!469:469-"n/&gt;!.E3"</f>
        <v>#VALUE!</v>
      </c>
      <c r="EI227" t="e">
        <f>'All regions'!470:470-"n/&gt;!.E4"</f>
        <v>#VALUE!</v>
      </c>
      <c r="EJ227" t="e">
        <f>'All regions'!471:471-"n/&gt;!.E5"</f>
        <v>#VALUE!</v>
      </c>
      <c r="EK227" t="e">
        <f>'All regions'!472:472-"n/&gt;!.E6"</f>
        <v>#VALUE!</v>
      </c>
      <c r="EL227" t="e">
        <f>'All regions'!473:473-"n/&gt;!.E7"</f>
        <v>#VALUE!</v>
      </c>
      <c r="EM227" t="e">
        <f>'All regions'!474:474-"n/&gt;!.E8"</f>
        <v>#VALUE!</v>
      </c>
      <c r="EN227" t="e">
        <f>'All regions'!475:475-"n/&gt;!.E9"</f>
        <v>#VALUE!</v>
      </c>
      <c r="EO227" t="e">
        <f>'All regions'!476:476-"n/&gt;!.E:"</f>
        <v>#VALUE!</v>
      </c>
      <c r="EP227" t="e">
        <f>'All regions'!477:477-"n/&gt;!.E;"</f>
        <v>#VALUE!</v>
      </c>
      <c r="EQ227" t="e">
        <f>'All regions'!478:478-"n/&gt;!.E&lt;"</f>
        <v>#VALUE!</v>
      </c>
      <c r="ER227" t="e">
        <f>'All regions'!479:479-"n/&gt;!.E="</f>
        <v>#VALUE!</v>
      </c>
      <c r="ES227" t="e">
        <f>'All regions'!480:480-"n/&gt;!.E&gt;"</f>
        <v>#VALUE!</v>
      </c>
      <c r="ET227" t="e">
        <f>'All regions'!481:481-"n/&gt;!.E?"</f>
        <v>#VALUE!</v>
      </c>
      <c r="EU227" t="e">
        <f>'All regions'!482:482-"n/&gt;!.E@"</f>
        <v>#VALUE!</v>
      </c>
      <c r="EV227" t="e">
        <f>'All regions'!483:483-"n/&gt;!.EA"</f>
        <v>#VALUE!</v>
      </c>
      <c r="EW227" t="e">
        <f>'All regions'!484:484-"n/&gt;!.EB"</f>
        <v>#VALUE!</v>
      </c>
      <c r="EX227" t="e">
        <f>'All regions'!485:485-"n/&gt;!.EC"</f>
        <v>#VALUE!</v>
      </c>
      <c r="EY227" t="e">
        <f>'All regions'!486:486-"n/&gt;!.ED"</f>
        <v>#VALUE!</v>
      </c>
      <c r="EZ227" t="e">
        <f>'All regions'!487:487-"n/&gt;!.EE"</f>
        <v>#VALUE!</v>
      </c>
      <c r="FA227" t="e">
        <f>'All regions'!488:488-"n/&gt;!.EF"</f>
        <v>#VALUE!</v>
      </c>
      <c r="FB227" t="e">
        <f>'All regions'!489:489-"n/&gt;!.EG"</f>
        <v>#VALUE!</v>
      </c>
      <c r="FC227" t="e">
        <f>'All regions'!490:490-"n/&gt;!.EH"</f>
        <v>#VALUE!</v>
      </c>
      <c r="FD227" t="e">
        <f>'All regions'!491:491-"n/&gt;!.EI"</f>
        <v>#VALUE!</v>
      </c>
      <c r="FE227" t="e">
        <f>'All regions'!492:492-"n/&gt;!.EJ"</f>
        <v>#VALUE!</v>
      </c>
      <c r="FF227" t="e">
        <f>'All regions'!493:493-"n/&gt;!.EK"</f>
        <v>#VALUE!</v>
      </c>
      <c r="FG227" t="e">
        <f>'All regions'!494:494-"n/&gt;!.EL"</f>
        <v>#VALUE!</v>
      </c>
      <c r="FH227" t="e">
        <f>'All regions'!495:495-"n/&gt;!.EM"</f>
        <v>#VALUE!</v>
      </c>
      <c r="FI227" t="e">
        <f>'All regions'!496:496-"n/&gt;!.EN"</f>
        <v>#VALUE!</v>
      </c>
      <c r="FJ227" t="e">
        <f>'All regions'!497:497-"n/&gt;!.EO"</f>
        <v>#VALUE!</v>
      </c>
      <c r="FK227" t="e">
        <f>'All regions'!498:498-"n/&gt;!.EP"</f>
        <v>#VALUE!</v>
      </c>
      <c r="FL227" t="e">
        <f>'All regions'!499:499-"n/&gt;!.EQ"</f>
        <v>#VALUE!</v>
      </c>
      <c r="FM227" t="e">
        <f>'All regions'!500:500-"n/&gt;!.ER"</f>
        <v>#VALUE!</v>
      </c>
      <c r="FN227" t="e">
        <f>'All regions'!501:501-"n/&gt;!.ES"</f>
        <v>#VALUE!</v>
      </c>
      <c r="FO227" t="e">
        <f>'All regions'!502:502-"n/&gt;!.ET"</f>
        <v>#VALUE!</v>
      </c>
      <c r="FP227" t="e">
        <f>'All regions'!503:503-"n/&gt;!.EU"</f>
        <v>#VALUE!</v>
      </c>
      <c r="FQ227" t="e">
        <f>'All regions'!504:504-"n/&gt;!.EV"</f>
        <v>#VALUE!</v>
      </c>
      <c r="FR227" t="e">
        <f>'All regions'!505:505-"n/&gt;!.EW"</f>
        <v>#VALUE!</v>
      </c>
      <c r="FS227" t="e">
        <f>'All regions'!506:506-"n/&gt;!.EX"</f>
        <v>#VALUE!</v>
      </c>
      <c r="FT227" t="e">
        <f>'All regions'!507:507-"n/&gt;!.EY"</f>
        <v>#VALUE!</v>
      </c>
      <c r="FU227" t="e">
        <f>'All regions'!508:508-"n/&gt;!.EZ"</f>
        <v>#VALUE!</v>
      </c>
      <c r="FV227" t="e">
        <f>'All regions'!509:509-"n/&gt;!.E["</f>
        <v>#VALUE!</v>
      </c>
      <c r="FW227" t="e">
        <f>'All regions'!510:510-"n/&gt;!.E\"</f>
        <v>#VALUE!</v>
      </c>
      <c r="FX227" t="e">
        <f>'All regions'!511:511-"n/&gt;!.E]"</f>
        <v>#VALUE!</v>
      </c>
      <c r="FY227" t="e">
        <f>'All regions'!512:512-"n/&gt;!.E^"</f>
        <v>#VALUE!</v>
      </c>
      <c r="FZ227" t="e">
        <f>'All regions'!513:513-"n/&gt;!.E_"</f>
        <v>#VALUE!</v>
      </c>
      <c r="GA227" t="e">
        <f>'All regions'!514:514-"n/&gt;!.E`"</f>
        <v>#VALUE!</v>
      </c>
      <c r="GB227" t="e">
        <f>'All regions'!515:515-"n/&gt;!.Ea"</f>
        <v>#VALUE!</v>
      </c>
      <c r="GC227" t="e">
        <f>'All regions'!516:516-"n/&gt;!.Eb"</f>
        <v>#VALUE!</v>
      </c>
      <c r="GD227" t="e">
        <f>'All regions'!517:517-"n/&gt;!.Ec"</f>
        <v>#VALUE!</v>
      </c>
      <c r="GE227" t="e">
        <f>'All regions'!518:518-"n/&gt;!.Ed"</f>
        <v>#VALUE!</v>
      </c>
      <c r="GF227" t="e">
        <f>'All regions'!519:519-"n/&gt;!.Ee"</f>
        <v>#VALUE!</v>
      </c>
      <c r="GG227" t="e">
        <f>'All regions'!520:520-"n/&gt;!.Ef"</f>
        <v>#VALUE!</v>
      </c>
      <c r="GH227" t="e">
        <f>'All regions'!521:521-"n/&gt;!.Eg"</f>
        <v>#VALUE!</v>
      </c>
      <c r="GI227" t="e">
        <f>'All regions'!522:522-"n/&gt;!.Eh"</f>
        <v>#VALUE!</v>
      </c>
      <c r="GJ227" t="e">
        <f>'All regions'!523:523-"n/&gt;!.Ei"</f>
        <v>#VALUE!</v>
      </c>
      <c r="GK227" t="e">
        <f>'All regions'!524:524-"n/&gt;!.Ej"</f>
        <v>#VALUE!</v>
      </c>
      <c r="GL227" t="e">
        <f>'All regions'!525:525-"n/&gt;!.Ek"</f>
        <v>#VALUE!</v>
      </c>
      <c r="GM227" t="e">
        <f>'All regions'!526:526-"n/&gt;!.El"</f>
        <v>#VALUE!</v>
      </c>
      <c r="GN227" t="e">
        <f>'All regions'!527:527-"n/&gt;!.Em"</f>
        <v>#VALUE!</v>
      </c>
      <c r="GO227" t="e">
        <f>'All regions'!528:528-"n/&gt;!.En"</f>
        <v>#VALUE!</v>
      </c>
      <c r="GP227" t="e">
        <f>'All regions'!529:529-"n/&gt;!.Eo"</f>
        <v>#VALUE!</v>
      </c>
      <c r="GQ227" t="e">
        <f>'All regions'!530:530-"n/&gt;!.Ep"</f>
        <v>#VALUE!</v>
      </c>
      <c r="GR227" t="e">
        <f>'All regions'!531:531-"n/&gt;!.Eq"</f>
        <v>#VALUE!</v>
      </c>
      <c r="GS227" t="e">
        <f>'All regions'!532:532-"n/&gt;!.Er"</f>
        <v>#VALUE!</v>
      </c>
      <c r="GT227" t="e">
        <f>'All regions'!533:533-"n/&gt;!.Es"</f>
        <v>#VALUE!</v>
      </c>
      <c r="GU227" t="e">
        <f>'All regions'!534:534-"n/&gt;!.Et"</f>
        <v>#VALUE!</v>
      </c>
      <c r="GV227" t="e">
        <f>'All regions'!535:535-"n/&gt;!.Eu"</f>
        <v>#VALUE!</v>
      </c>
      <c r="GW227" t="e">
        <f>'All regions'!536:536-"n/&gt;!.Ev"</f>
        <v>#VALUE!</v>
      </c>
      <c r="GX227" t="e">
        <f>'All regions'!537:537-"n/&gt;!.Ew"</f>
        <v>#VALUE!</v>
      </c>
      <c r="GY227" t="e">
        <f>'All regions'!538:538-"n/&gt;!.Ex"</f>
        <v>#VALUE!</v>
      </c>
      <c r="GZ227" t="e">
        <f>'All regions'!539:539-"n/&gt;!.Ey"</f>
        <v>#VALUE!</v>
      </c>
      <c r="HA227" t="e">
        <f>'All regions'!540:540-"n/&gt;!.Ez"</f>
        <v>#VALUE!</v>
      </c>
      <c r="HB227" t="e">
        <f>'All regions'!541:541-"n/&gt;!.E{"</f>
        <v>#VALUE!</v>
      </c>
      <c r="HC227" t="e">
        <f>'All regions'!542:542-"n/&gt;!.E|"</f>
        <v>#VALUE!</v>
      </c>
      <c r="HD227" t="e">
        <f>'All regions'!543:543-"n/&gt;!.E}"</f>
        <v>#VALUE!</v>
      </c>
      <c r="HE227" t="e">
        <f>'All regions'!544:544-"n/&gt;!.E~"</f>
        <v>#VALUE!</v>
      </c>
      <c r="HF227" t="e">
        <f>'All regions'!545:545-"n/&gt;!.F#"</f>
        <v>#VALUE!</v>
      </c>
      <c r="HG227" t="e">
        <f>'All regions'!546:546-"n/&gt;!.F$"</f>
        <v>#VALUE!</v>
      </c>
      <c r="HH227" t="e">
        <f>'All regions'!547:547-"n/&gt;!.F%"</f>
        <v>#VALUE!</v>
      </c>
      <c r="HI227" t="e">
        <f>'All regions'!548:548-"n/&gt;!.F&amp;"</f>
        <v>#VALUE!</v>
      </c>
      <c r="HJ227" t="e">
        <f>'All regions'!549:549-"n/&gt;!.F'"</f>
        <v>#VALUE!</v>
      </c>
      <c r="HK227" t="e">
        <f>'All regions'!550:550-"n/&gt;!.F("</f>
        <v>#VALUE!</v>
      </c>
      <c r="HL227" t="e">
        <f>'All regions'!551:551-"n/&gt;!.F)"</f>
        <v>#VALUE!</v>
      </c>
      <c r="HM227" t="e">
        <f>'All regions'!552:552-"n/&gt;!.F."</f>
        <v>#VALUE!</v>
      </c>
      <c r="HN227" t="e">
        <f>'All regions'!553:553-"n/&gt;!.F/"</f>
        <v>#VALUE!</v>
      </c>
      <c r="HO227" t="e">
        <f>'All regions'!554:554-"n/&gt;!.F0"</f>
        <v>#VALUE!</v>
      </c>
      <c r="HP227" t="e">
        <f>'All regions'!555:555-"n/&gt;!.F1"</f>
        <v>#VALUE!</v>
      </c>
      <c r="HQ227" t="e">
        <f>'All regions'!556:556-"n/&gt;!.F2"</f>
        <v>#VALUE!</v>
      </c>
      <c r="HR227" t="e">
        <f>'All regions'!557:557-"n/&gt;!.F3"</f>
        <v>#VALUE!</v>
      </c>
      <c r="HS227" t="e">
        <f>'All regions'!558:558-"n/&gt;!.F4"</f>
        <v>#VALUE!</v>
      </c>
      <c r="HT227" t="e">
        <f>'All regions'!559:559-"n/&gt;!.F5"</f>
        <v>#VALUE!</v>
      </c>
      <c r="HU227" t="e">
        <f>'All regions'!560:560-"n/&gt;!.F6"</f>
        <v>#VALUE!</v>
      </c>
      <c r="HV227" t="e">
        <f>'All regions'!561:561-"n/&gt;!.F7"</f>
        <v>#VALUE!</v>
      </c>
      <c r="HW227" t="e">
        <f>'All regions'!562:562-"n/&gt;!.F8"</f>
        <v>#VALUE!</v>
      </c>
      <c r="HX227" t="e">
        <f>'All regions'!563:563-"n/&gt;!.F9"</f>
        <v>#VALUE!</v>
      </c>
      <c r="HY227" t="e">
        <f>'All regions'!564:564-"n/&gt;!.F:"</f>
        <v>#VALUE!</v>
      </c>
      <c r="HZ227" t="e">
        <f>'All regions'!565:565-"n/&gt;!.F;"</f>
        <v>#VALUE!</v>
      </c>
      <c r="IA227" t="e">
        <f>'All regions'!566:566-"n/&gt;!.F&lt;"</f>
        <v>#VALUE!</v>
      </c>
      <c r="IB227" t="e">
        <f>'All regions'!567:567-"n/&gt;!.F="</f>
        <v>#VALUE!</v>
      </c>
      <c r="IC227" t="e">
        <f>'All regions'!568:568-"n/&gt;!.F&gt;"</f>
        <v>#VALUE!</v>
      </c>
      <c r="ID227" t="e">
        <f>'All regions'!569:569-"n/&gt;!.F?"</f>
        <v>#VALUE!</v>
      </c>
      <c r="IE227" t="e">
        <f>'All regions'!570:570-"n/&gt;!.F@"</f>
        <v>#VALUE!</v>
      </c>
      <c r="IF227" t="e">
        <f>'All regions'!571:571-"n/&gt;!.FA"</f>
        <v>#VALUE!</v>
      </c>
      <c r="IG227" t="e">
        <f>'All regions'!572:572-"n/&gt;!.FB"</f>
        <v>#VALUE!</v>
      </c>
      <c r="IH227" t="e">
        <f>'All regions'!573:573-"n/&gt;!.FC"</f>
        <v>#VALUE!</v>
      </c>
      <c r="II227" t="e">
        <f>'All regions'!574:574-"n/&gt;!.FD"</f>
        <v>#VALUE!</v>
      </c>
      <c r="IJ227" t="e">
        <f>'All regions'!575:575-"n/&gt;!.FE"</f>
        <v>#VALUE!</v>
      </c>
      <c r="IK227" t="e">
        <f>'All regions'!576:576-"n/&gt;!.FF"</f>
        <v>#VALUE!</v>
      </c>
      <c r="IL227" t="e">
        <f>'All regions'!577:577-"n/&gt;!.FG"</f>
        <v>#VALUE!</v>
      </c>
      <c r="IM227" t="e">
        <f>'All regions'!578:578-"n/&gt;!.FH"</f>
        <v>#VALUE!</v>
      </c>
      <c r="IN227" t="e">
        <f>'All regions'!579:579-"n/&gt;!.FI"</f>
        <v>#VALUE!</v>
      </c>
      <c r="IO227" t="e">
        <f>'All regions'!580:580-"n/&gt;!.FJ"</f>
        <v>#VALUE!</v>
      </c>
      <c r="IP227" t="e">
        <f>'All regions'!581:581-"n/&gt;!.FK"</f>
        <v>#VALUE!</v>
      </c>
      <c r="IQ227" t="e">
        <f>'All regions'!582:582-"n/&gt;!.FL"</f>
        <v>#VALUE!</v>
      </c>
      <c r="IR227" t="e">
        <f>'All regions'!583:583-"n/&gt;!.FM"</f>
        <v>#VALUE!</v>
      </c>
      <c r="IS227" t="e">
        <f>'All regions'!584:584-"n/&gt;!.FN"</f>
        <v>#VALUE!</v>
      </c>
      <c r="IT227" t="e">
        <f>'All regions'!585:585-"n/&gt;!.FO"</f>
        <v>#VALUE!</v>
      </c>
      <c r="IU227" t="e">
        <f>'All regions'!586:586-"n/&gt;!.FP"</f>
        <v>#VALUE!</v>
      </c>
      <c r="IV227" t="e">
        <f>'All regions'!587:587-"n/&gt;!.FQ"</f>
        <v>#VALUE!</v>
      </c>
    </row>
    <row r="228" spans="6:256" x14ac:dyDescent="0.35">
      <c r="F228" t="e">
        <f>'All regions'!588:588-"n/&gt;!.FR"</f>
        <v>#VALUE!</v>
      </c>
      <c r="G228" t="e">
        <f>'All regions'!589:589-"n/&gt;!.FS"</f>
        <v>#VALUE!</v>
      </c>
      <c r="H228" t="e">
        <f>'All regions'!590:590-"n/&gt;!.FT"</f>
        <v>#VALUE!</v>
      </c>
      <c r="I228" t="e">
        <f>'All regions'!591:591-"n/&gt;!.FU"</f>
        <v>#VALUE!</v>
      </c>
      <c r="J228" t="e">
        <f>'All regions'!592:592-"n/&gt;!.FV"</f>
        <v>#VALUE!</v>
      </c>
      <c r="K228" t="e">
        <f>'All regions'!593:593-"n/&gt;!.FW"</f>
        <v>#VALUE!</v>
      </c>
      <c r="L228" t="e">
        <f>'All regions'!594:594-"n/&gt;!.FX"</f>
        <v>#VALUE!</v>
      </c>
      <c r="M228" t="e">
        <f>'All regions'!595:595-"n/&gt;!.FY"</f>
        <v>#VALUE!</v>
      </c>
      <c r="N228" t="e">
        <f>'All regions'!596:596-"n/&gt;!.FZ"</f>
        <v>#VALUE!</v>
      </c>
      <c r="O228" t="e">
        <f>'All regions'!597:597-"n/&gt;!.F["</f>
        <v>#VALUE!</v>
      </c>
      <c r="P228" t="e">
        <f>'All regions'!598:598-"n/&gt;!.F\"</f>
        <v>#VALUE!</v>
      </c>
      <c r="Q228" t="e">
        <f>'All regions'!599:599-"n/&gt;!.F]"</f>
        <v>#VALUE!</v>
      </c>
      <c r="R228" t="e">
        <f>'All regions'!600:600-"n/&gt;!.F^"</f>
        <v>#VALUE!</v>
      </c>
      <c r="S228" t="e">
        <f>'All regions'!601:601-"n/&gt;!.F_"</f>
        <v>#VALUE!</v>
      </c>
      <c r="T228" t="e">
        <f>'All regions'!602:602-"n/&gt;!.F`"</f>
        <v>#VALUE!</v>
      </c>
      <c r="U228" t="e">
        <f>'All regions'!603:603-"n/&gt;!.Fa"</f>
        <v>#VALUE!</v>
      </c>
      <c r="V228" t="e">
        <f>'All regions'!604:604-"n/&gt;!.Fb"</f>
        <v>#VALUE!</v>
      </c>
      <c r="W228" t="e">
        <f>'All regions'!605:605-"n/&gt;!.Fc"</f>
        <v>#VALUE!</v>
      </c>
      <c r="X228" t="e">
        <f>'All regions'!606:606-"n/&gt;!.Fd"</f>
        <v>#VALUE!</v>
      </c>
      <c r="Y228" t="e">
        <f>'All regions'!607:607-"n/&gt;!.Fe"</f>
        <v>#VALUE!</v>
      </c>
      <c r="Z228" t="e">
        <f>'All regions'!608:608-"n/&gt;!.Ff"</f>
        <v>#VALUE!</v>
      </c>
      <c r="AA228" t="e">
        <f>'All regions'!609:609-"n/&gt;!.Fg"</f>
        <v>#VALUE!</v>
      </c>
      <c r="AB228" t="e">
        <f>'All regions'!610:610-"n/&gt;!.Fh"</f>
        <v>#VALUE!</v>
      </c>
      <c r="AC228" t="e">
        <f>'All regions'!611:611-"n/&gt;!.Fi"</f>
        <v>#VALUE!</v>
      </c>
      <c r="AD228" t="e">
        <f>'All regions'!612:612-"n/&gt;!.Fj"</f>
        <v>#VALUE!</v>
      </c>
      <c r="AE228" t="e">
        <f>'All regions'!613:613-"n/&gt;!.Fk"</f>
        <v>#VALUE!</v>
      </c>
      <c r="AF228" t="e">
        <f>'All regions'!614:614-"n/&gt;!.Fl"</f>
        <v>#VALUE!</v>
      </c>
      <c r="AG228" t="e">
        <f>'All regions'!615:615-"n/&gt;!.Fm"</f>
        <v>#VALUE!</v>
      </c>
      <c r="AH228" t="e">
        <f>'All regions'!616:616-"n/&gt;!.Fn"</f>
        <v>#VALUE!</v>
      </c>
      <c r="AI228" t="e">
        <f>'All regions'!617:617-"n/&gt;!.Fo"</f>
        <v>#VALUE!</v>
      </c>
      <c r="AJ228" t="e">
        <f>'All regions'!618:618-"n/&gt;!.Fp"</f>
        <v>#VALUE!</v>
      </c>
      <c r="AK228" t="e">
        <f>'All regions'!619:619-"n/&gt;!.Fq"</f>
        <v>#VALUE!</v>
      </c>
      <c r="AL228" t="e">
        <f>'All regions'!620:620-"n/&gt;!.Fr"</f>
        <v>#VALUE!</v>
      </c>
      <c r="AM228" t="e">
        <f>'All regions'!621:621-"n/&gt;!.Fs"</f>
        <v>#VALUE!</v>
      </c>
      <c r="AN228" t="e">
        <f>'All regions'!622:622-"n/&gt;!.Ft"</f>
        <v>#VALUE!</v>
      </c>
      <c r="AO228" t="e">
        <f>'All regions'!623:623-"n/&gt;!.Fu"</f>
        <v>#VALUE!</v>
      </c>
      <c r="AP228" t="e">
        <f>'All regions'!624:624-"n/&gt;!.Fv"</f>
        <v>#VALUE!</v>
      </c>
      <c r="AQ228" t="e">
        <f>'All regions'!625:625-"n/&gt;!.Fw"</f>
        <v>#VALUE!</v>
      </c>
      <c r="AR228" t="e">
        <f>'All regions'!626:626-"n/&gt;!.Fx"</f>
        <v>#VALUE!</v>
      </c>
      <c r="AS228" t="e">
        <f>'All regions'!627:627-"n/&gt;!.Fy"</f>
        <v>#VALUE!</v>
      </c>
      <c r="AT228" t="e">
        <f>'All regions'!628:628-"n/&gt;!.Fz"</f>
        <v>#VALUE!</v>
      </c>
      <c r="AU228" t="e">
        <f>'All regions'!629:629-"n/&gt;!.F{"</f>
        <v>#VALUE!</v>
      </c>
      <c r="AV228" t="e">
        <f>'All regions'!630:630-"n/&gt;!.F|"</f>
        <v>#VALUE!</v>
      </c>
      <c r="AW228" t="e">
        <f>'All regions'!631:631-"n/&gt;!.F}"</f>
        <v>#VALUE!</v>
      </c>
      <c r="AX228" t="e">
        <f>'All regions'!632:632-"n/&gt;!.F~"</f>
        <v>#VALUE!</v>
      </c>
      <c r="AY228" t="e">
        <f>'All regions'!633:633-"n/&gt;!.G#"</f>
        <v>#VALUE!</v>
      </c>
      <c r="AZ228" t="e">
        <f>'All regions'!634:634-"n/&gt;!.G$"</f>
        <v>#VALUE!</v>
      </c>
      <c r="BA228" t="e">
        <f>'All regions'!635:635-"n/&gt;!.G%"</f>
        <v>#VALUE!</v>
      </c>
      <c r="BB228" t="e">
        <f>'All regions'!636:636-"n/&gt;!.G&amp;"</f>
        <v>#VALUE!</v>
      </c>
      <c r="BC228" t="e">
        <f>'All regions'!637:637-"n/&gt;!.G'"</f>
        <v>#VALUE!</v>
      </c>
      <c r="BD228" t="e">
        <f>'All regions'!638:638-"n/&gt;!.G("</f>
        <v>#VALUE!</v>
      </c>
      <c r="BE228" t="e">
        <f>'All regions'!639:639-"n/&gt;!.G)"</f>
        <v>#VALUE!</v>
      </c>
      <c r="BF228" t="e">
        <f>'All regions'!640:640-"n/&gt;!.G."</f>
        <v>#VALUE!</v>
      </c>
      <c r="BG228" t="e">
        <f>'All regions'!641:641-"n/&gt;!.G/"</f>
        <v>#VALUE!</v>
      </c>
      <c r="BH228" t="e">
        <f>'All regions'!642:642-"n/&gt;!.G0"</f>
        <v>#VALUE!</v>
      </c>
      <c r="BI228" t="e">
        <f>'All regions'!643:643-"n/&gt;!.G1"</f>
        <v>#VALUE!</v>
      </c>
      <c r="BJ228" t="e">
        <f>'All regions'!644:644-"n/&gt;!.G2"</f>
        <v>#VALUE!</v>
      </c>
      <c r="BK228" t="e">
        <f>'All regions'!645:645-"n/&gt;!.G3"</f>
        <v>#VALUE!</v>
      </c>
      <c r="BL228" t="e">
        <f>'All regions'!646:646-"n/&gt;!.G4"</f>
        <v>#VALUE!</v>
      </c>
      <c r="BM228" t="e">
        <f>'All regions'!647:647-"n/&gt;!.G5"</f>
        <v>#VALUE!</v>
      </c>
      <c r="BN228" t="e">
        <f>'All regions'!648:648-"n/&gt;!.G6"</f>
        <v>#VALUE!</v>
      </c>
      <c r="BO228" t="e">
        <f>'All regions'!649:649-"n/&gt;!.G7"</f>
        <v>#VALUE!</v>
      </c>
      <c r="BP228" t="e">
        <f>'All regions'!650:650-"n/&gt;!.G8"</f>
        <v>#VALUE!</v>
      </c>
      <c r="BQ228" t="e">
        <f>'All regions'!651:651-"n/&gt;!.G9"</f>
        <v>#VALUE!</v>
      </c>
      <c r="BR228" t="e">
        <f>'All regions'!652:652-"n/&gt;!.G:"</f>
        <v>#VALUE!</v>
      </c>
      <c r="BS228" t="e">
        <f>'All regions'!653:653-"n/&gt;!.G;"</f>
        <v>#VALUE!</v>
      </c>
      <c r="BT228" t="e">
        <f>'All regions'!654:654-"n/&gt;!.G&lt;"</f>
        <v>#VALUE!</v>
      </c>
      <c r="BU228" t="e">
        <f>'All regions'!655:655-"n/&gt;!.G="</f>
        <v>#VALUE!</v>
      </c>
      <c r="BV228" t="e">
        <f>'All regions'!656:656-"n/&gt;!.G&gt;"</f>
        <v>#VALUE!</v>
      </c>
      <c r="BW228" t="e">
        <f>'All regions'!657:657-"n/&gt;!.G?"</f>
        <v>#VALUE!</v>
      </c>
      <c r="BX228" t="e">
        <f>'All regions'!658:658-"n/&gt;!.G@"</f>
        <v>#VALUE!</v>
      </c>
      <c r="BY228" t="e">
        <f>'All regions'!659:659-"n/&gt;!.GA"</f>
        <v>#VALUE!</v>
      </c>
      <c r="BZ228" t="e">
        <f>'All regions'!660:660-"n/&gt;!.GB"</f>
        <v>#VALUE!</v>
      </c>
      <c r="CA228" t="e">
        <f>'All regions'!661:661-"n/&gt;!.GC"</f>
        <v>#VALUE!</v>
      </c>
      <c r="CB228" t="e">
        <f>'All regions'!662:662-"n/&gt;!.GD"</f>
        <v>#VALUE!</v>
      </c>
      <c r="CC228" t="e">
        <f>'All regions'!663:663-"n/&gt;!.GE"</f>
        <v>#VALUE!</v>
      </c>
      <c r="CD228" t="e">
        <f>'All regions'!664:664-"n/&gt;!.GF"</f>
        <v>#VALUE!</v>
      </c>
      <c r="CE228" t="e">
        <f>'All regions'!665:665-"n/&gt;!.GG"</f>
        <v>#VALUE!</v>
      </c>
      <c r="CF228" t="e">
        <f>'All regions'!666:666-"n/&gt;!.GH"</f>
        <v>#VALUE!</v>
      </c>
      <c r="CG228" t="e">
        <f>'All regions'!667:667-"n/&gt;!.GI"</f>
        <v>#VALUE!</v>
      </c>
      <c r="CH228" t="e">
        <f>'All regions'!668:668-"n/&gt;!.GJ"</f>
        <v>#VALUE!</v>
      </c>
      <c r="CI228" t="e">
        <f>'All regions'!669:669-"n/&gt;!.GK"</f>
        <v>#VALUE!</v>
      </c>
      <c r="CJ228" t="e">
        <f>'All regions'!670:670-"n/&gt;!.GL"</f>
        <v>#VALUE!</v>
      </c>
      <c r="CK228" t="e">
        <f>'All regions'!671:671-"n/&gt;!.GM"</f>
        <v>#VALUE!</v>
      </c>
      <c r="CL228" t="e">
        <f>'All regions'!672:672-"n/&gt;!.GN"</f>
        <v>#VALUE!</v>
      </c>
      <c r="CM228" t="e">
        <f>'All regions'!673:673-"n/&gt;!.GO"</f>
        <v>#VALUE!</v>
      </c>
      <c r="CN228" t="e">
        <f>'All regions'!674:674-"n/&gt;!.GP"</f>
        <v>#VALUE!</v>
      </c>
      <c r="CO228" t="e">
        <f>'All regions'!675:675-"n/&gt;!.GQ"</f>
        <v>#VALUE!</v>
      </c>
      <c r="CP228" t="e">
        <f>'All regions'!676:676-"n/&gt;!.GR"</f>
        <v>#VALUE!</v>
      </c>
      <c r="CQ228" t="e">
        <f>'All regions'!677:677-"n/&gt;!.GS"</f>
        <v>#VALUE!</v>
      </c>
      <c r="CR228" t="e">
        <f>'All regions'!678:678-"n/&gt;!.GT"</f>
        <v>#VALUE!</v>
      </c>
      <c r="CS228" t="e">
        <f>'All regions'!679:679-"n/&gt;!.GU"</f>
        <v>#VALUE!</v>
      </c>
      <c r="CT228" t="e">
        <f>'All regions'!680:680-"n/&gt;!.GV"</f>
        <v>#VALUE!</v>
      </c>
      <c r="CU228" t="e">
        <f>'All regions'!681:681-"n/&gt;!.GW"</f>
        <v>#VALUE!</v>
      </c>
      <c r="CV228" t="e">
        <f>'All regions'!682:682-"n/&gt;!.GX"</f>
        <v>#VALUE!</v>
      </c>
      <c r="CW228" t="e">
        <f>'All regions'!683:683-"n/&gt;!.GY"</f>
        <v>#VALUE!</v>
      </c>
      <c r="CX228" t="e">
        <f>'All regions'!684:684-"n/&gt;!.GZ"</f>
        <v>#VALUE!</v>
      </c>
      <c r="CY228" t="e">
        <f>'All regions'!685:685-"n/&gt;!.G["</f>
        <v>#VALUE!</v>
      </c>
      <c r="CZ228" t="e">
        <f>'All regions'!686:686-"n/&gt;!.G\"</f>
        <v>#VALUE!</v>
      </c>
      <c r="DA228" t="e">
        <f>'All regions'!687:687-"n/&gt;!.G]"</f>
        <v>#VALUE!</v>
      </c>
      <c r="DB228" t="e">
        <f>'All regions'!688:688-"n/&gt;!.G^"</f>
        <v>#VALUE!</v>
      </c>
      <c r="DC228" t="e">
        <f>'All regions'!689:689-"n/&gt;!.G_"</f>
        <v>#VALUE!</v>
      </c>
      <c r="DD228" t="e">
        <f>'All regions'!690:690-"n/&gt;!.G`"</f>
        <v>#VALUE!</v>
      </c>
      <c r="DE228" t="e">
        <f>'All regions'!691:691-"n/&gt;!.Ga"</f>
        <v>#VALUE!</v>
      </c>
      <c r="DF228" t="e">
        <f>'All regions'!692:692-"n/&gt;!.Gb"</f>
        <v>#VALUE!</v>
      </c>
      <c r="DG228" t="e">
        <f>'All regions'!693:693-"n/&gt;!.Gc"</f>
        <v>#VALUE!</v>
      </c>
      <c r="DH228" t="e">
        <f>'All regions'!694:694-"n/&gt;!.Gd"</f>
        <v>#VALUE!</v>
      </c>
      <c r="DI228" t="e">
        <f>'All regions'!695:695-"n/&gt;!.Ge"</f>
        <v>#VALUE!</v>
      </c>
      <c r="DJ228" t="e">
        <f>'All regions'!696:696-"n/&gt;!.Gf"</f>
        <v>#VALUE!</v>
      </c>
      <c r="DK228" t="e">
        <f>'All regions'!697:697-"n/&gt;!.Gg"</f>
        <v>#VALUE!</v>
      </c>
      <c r="DL228" t="e">
        <f>'All regions'!698:698-"n/&gt;!.Gh"</f>
        <v>#VALUE!</v>
      </c>
      <c r="DM228" t="e">
        <f>'All regions'!699:699-"n/&gt;!.Gi"</f>
        <v>#VALUE!</v>
      </c>
      <c r="DN228" t="e">
        <f>'All regions'!700:700-"n/&gt;!.Gj"</f>
        <v>#VALUE!</v>
      </c>
      <c r="DO228" t="e">
        <f>'All regions'!701:701-"n/&gt;!.Gk"</f>
        <v>#VALUE!</v>
      </c>
      <c r="DP228" t="e">
        <f>'All regions'!702:702-"n/&gt;!.Gl"</f>
        <v>#VALUE!</v>
      </c>
      <c r="DQ228" t="e">
        <f>'All regions'!703:703-"n/&gt;!.Gm"</f>
        <v>#VALUE!</v>
      </c>
      <c r="DR228" t="e">
        <f>'All regions'!704:704-"n/&gt;!.Gn"</f>
        <v>#VALUE!</v>
      </c>
      <c r="DS228" t="e">
        <f>'All regions'!705:705-"n/&gt;!.Go"</f>
        <v>#VALUE!</v>
      </c>
      <c r="DT228" t="e">
        <f>'All regions'!706:706-"n/&gt;!.Gp"</f>
        <v>#VALUE!</v>
      </c>
      <c r="DU228" t="e">
        <f>'All regions'!707:707-"n/&gt;!.Gq"</f>
        <v>#VALUE!</v>
      </c>
      <c r="DV228" t="e">
        <f>'All regions'!708:708-"n/&gt;!.Gr"</f>
        <v>#VALUE!</v>
      </c>
      <c r="DW228" t="e">
        <f>'All regions'!709:709-"n/&gt;!.Gs"</f>
        <v>#VALUE!</v>
      </c>
      <c r="DX228" t="e">
        <f>'All regions'!710:710-"n/&gt;!.Gt"</f>
        <v>#VALUE!</v>
      </c>
      <c r="DY228" t="e">
        <f>'All regions'!711:711-"n/&gt;!.Gu"</f>
        <v>#VALUE!</v>
      </c>
      <c r="DZ228" t="e">
        <f>'All regions'!712:712-"n/&gt;!.Gv"</f>
        <v>#VALUE!</v>
      </c>
      <c r="EA228" t="e">
        <f>'All regions'!713:713-"n/&gt;!.Gw"</f>
        <v>#VALUE!</v>
      </c>
      <c r="EB228" t="e">
        <f>'All regions'!714:714-"n/&gt;!.Gx"</f>
        <v>#VALUE!</v>
      </c>
      <c r="EC228" t="e">
        <f>'All regions'!715:715-"n/&gt;!.Gy"</f>
        <v>#VALUE!</v>
      </c>
      <c r="ED228" t="e">
        <f>'All regions'!716:716-"n/&gt;!.Gz"</f>
        <v>#VALUE!</v>
      </c>
      <c r="EE228" t="e">
        <f>'All regions'!717:717-"n/&gt;!.G{"</f>
        <v>#VALUE!</v>
      </c>
      <c r="EF228" t="e">
        <f>'All regions'!718:718-"n/&gt;!.G|"</f>
        <v>#VALUE!</v>
      </c>
      <c r="EG228" t="e">
        <f>'All regions'!719:719-"n/&gt;!.G}"</f>
        <v>#VALUE!</v>
      </c>
      <c r="EH228" t="e">
        <f>'All regions'!720:720-"n/&gt;!.G~"</f>
        <v>#VALUE!</v>
      </c>
      <c r="EI228" t="e">
        <f>'All regions'!721:721-"n/&gt;!.H#"</f>
        <v>#VALUE!</v>
      </c>
      <c r="EJ228" t="e">
        <f>'All regions'!722:722-"n/&gt;!.H$"</f>
        <v>#VALUE!</v>
      </c>
      <c r="EK228" t="e">
        <f>'All regions'!723:723-"n/&gt;!.H%"</f>
        <v>#VALUE!</v>
      </c>
      <c r="EL228" t="e">
        <f>'All regions'!724:724-"n/&gt;!.H&amp;"</f>
        <v>#VALUE!</v>
      </c>
      <c r="EM228" t="e">
        <f>'All regions'!725:725-"n/&gt;!.H'"</f>
        <v>#VALUE!</v>
      </c>
      <c r="EN228" t="e">
        <f>'All regions'!726:726-"n/&gt;!.H("</f>
        <v>#VALUE!</v>
      </c>
      <c r="EO228" t="e">
        <f>'All regions'!727:727-"n/&gt;!.H)"</f>
        <v>#VALUE!</v>
      </c>
      <c r="EP228" t="e">
        <f>'All regions'!728:728-"n/&gt;!.H."</f>
        <v>#VALUE!</v>
      </c>
      <c r="EQ228" t="e">
        <f>'All regions'!729:729-"n/&gt;!.H/"</f>
        <v>#VALUE!</v>
      </c>
      <c r="ER228" t="e">
        <f>'All regions'!730:730-"n/&gt;!.H0"</f>
        <v>#VALUE!</v>
      </c>
      <c r="ES228" t="e">
        <f>'All regions'!731:731-"n/&gt;!.H1"</f>
        <v>#VALUE!</v>
      </c>
      <c r="ET228" t="e">
        <f>'All regions'!732:732-"n/&gt;!.H2"</f>
        <v>#VALUE!</v>
      </c>
      <c r="EU228" t="e">
        <f>'All regions'!733:733-"n/&gt;!.H3"</f>
        <v>#VALUE!</v>
      </c>
      <c r="EV228" t="e">
        <f>'All regions'!734:734-"n/&gt;!.H4"</f>
        <v>#VALUE!</v>
      </c>
      <c r="EW228" t="e">
        <f>'All regions'!735:735-"n/&gt;!.H5"</f>
        <v>#VALUE!</v>
      </c>
      <c r="EX228" t="e">
        <f>'All regions'!736:736-"n/&gt;!.H6"</f>
        <v>#VALUE!</v>
      </c>
      <c r="EY228" t="e">
        <f>'All regions'!737:737-"n/&gt;!.H7"</f>
        <v>#VALUE!</v>
      </c>
      <c r="EZ228" t="e">
        <f>'All regions'!738:738-"n/&gt;!.H8"</f>
        <v>#VALUE!</v>
      </c>
      <c r="FA228" t="e">
        <f>'All regions'!739:739-"n/&gt;!.H9"</f>
        <v>#VALUE!</v>
      </c>
      <c r="FB228" t="e">
        <f>'All regions'!740:740-"n/&gt;!.H:"</f>
        <v>#VALUE!</v>
      </c>
      <c r="FC228" t="e">
        <f>'All regions'!741:741-"n/&gt;!.H;"</f>
        <v>#VALUE!</v>
      </c>
      <c r="FD228" t="e">
        <f>'All regions'!742:742-"n/&gt;!.H&lt;"</f>
        <v>#VALUE!</v>
      </c>
      <c r="FE228" t="e">
        <f>'All regions'!743:743-"n/&gt;!.H="</f>
        <v>#VALUE!</v>
      </c>
      <c r="FF228" t="e">
        <f>'All regions'!744:744-"n/&gt;!.H&gt;"</f>
        <v>#VALUE!</v>
      </c>
      <c r="FG228" t="e">
        <f>'All regions'!745:745-"n/&gt;!.H?"</f>
        <v>#VALUE!</v>
      </c>
      <c r="FH228" t="e">
        <f>'All regions'!746:746-"n/&gt;!.H@"</f>
        <v>#VALUE!</v>
      </c>
      <c r="FI228" t="e">
        <f>'All regions'!747:747-"n/&gt;!.HA"</f>
        <v>#VALUE!</v>
      </c>
      <c r="FJ228" t="e">
        <f>'All regions'!748:748-"n/&gt;!.HB"</f>
        <v>#VALUE!</v>
      </c>
      <c r="FK228" t="e">
        <f>'All regions'!749:749-"n/&gt;!.HC"</f>
        <v>#VALUE!</v>
      </c>
      <c r="FL228" t="e">
        <f>'All regions'!750:750-"n/&gt;!.HD"</f>
        <v>#VALUE!</v>
      </c>
      <c r="FM228" t="e">
        <f>'All regions'!751:751-"n/&gt;!.HE"</f>
        <v>#VALUE!</v>
      </c>
      <c r="FN228" t="e">
        <f>'All regions'!752:752-"n/&gt;!.HF"</f>
        <v>#VALUE!</v>
      </c>
      <c r="FO228" t="e">
        <f>'All regions'!753:753-"n/&gt;!.HG"</f>
        <v>#VALUE!</v>
      </c>
      <c r="FP228" t="e">
        <f>'All regions'!754:754-"n/&gt;!.HH"</f>
        <v>#VALUE!</v>
      </c>
      <c r="FQ228" t="e">
        <f>'All regions'!755:755-"n/&gt;!.HI"</f>
        <v>#VALUE!</v>
      </c>
      <c r="FR228" t="e">
        <f>'All regions'!756:756-"n/&gt;!.HJ"</f>
        <v>#VALUE!</v>
      </c>
      <c r="FS228" t="e">
        <f>'All regions'!757:757-"n/&gt;!.HK"</f>
        <v>#VALUE!</v>
      </c>
      <c r="FT228" t="e">
        <f>'All regions'!758:758-"n/&gt;!.HL"</f>
        <v>#VALUE!</v>
      </c>
      <c r="FU228" t="e">
        <f>'All regions'!759:759-"n/&gt;!.HM"</f>
        <v>#VALUE!</v>
      </c>
      <c r="FV228" t="e">
        <f>'All regions'!760:760-"n/&gt;!.HN"</f>
        <v>#VALUE!</v>
      </c>
      <c r="FW228" t="e">
        <f>'All regions'!761:761-"n/&gt;!.HO"</f>
        <v>#VALUE!</v>
      </c>
      <c r="FX228" t="e">
        <f>'All regions'!762:762-"n/&gt;!.HP"</f>
        <v>#VALUE!</v>
      </c>
      <c r="FY228" t="e">
        <f>'All regions'!763:763-"n/&gt;!.HQ"</f>
        <v>#VALUE!</v>
      </c>
      <c r="FZ228" t="e">
        <f>'All regions'!764:764-"n/&gt;!.HR"</f>
        <v>#VALUE!</v>
      </c>
      <c r="GA228" t="e">
        <f>'All regions'!765:765-"n/&gt;!.HS"</f>
        <v>#VALUE!</v>
      </c>
      <c r="GB228" t="e">
        <f>'All regions'!766:766-"n/&gt;!.HT"</f>
        <v>#VALUE!</v>
      </c>
      <c r="GC228" t="e">
        <f>'All regions'!767:767-"n/&gt;!.HU"</f>
        <v>#VALUE!</v>
      </c>
      <c r="GD228" t="e">
        <f>'All regions'!768:768-"n/&gt;!.HV"</f>
        <v>#VALUE!</v>
      </c>
      <c r="GE228" t="e">
        <f>'All regions'!769:769-"n/&gt;!.HW"</f>
        <v>#VALUE!</v>
      </c>
      <c r="GF228" t="e">
        <f>'All regions'!770:770-"n/&gt;!.HX"</f>
        <v>#VALUE!</v>
      </c>
      <c r="GG228" t="e">
        <f>'All regions'!771:771-"n/&gt;!.HY"</f>
        <v>#VALUE!</v>
      </c>
      <c r="GH228" t="e">
        <f>'All regions'!772:772-"n/&gt;!.HZ"</f>
        <v>#VALUE!</v>
      </c>
      <c r="GI228" t="e">
        <f>'All regions'!773:773-"n/&gt;!.H["</f>
        <v>#VALUE!</v>
      </c>
      <c r="GJ228" t="e">
        <f>'All regions'!774:774-"n/&gt;!.H\"</f>
        <v>#VALUE!</v>
      </c>
      <c r="GK228" t="e">
        <f>'All regions'!775:775-"n/&gt;!.H]"</f>
        <v>#VALUE!</v>
      </c>
      <c r="GL228" t="e">
        <f>'All regions'!776:776-"n/&gt;!.H^"</f>
        <v>#VALUE!</v>
      </c>
      <c r="GM228" t="e">
        <f>'All regions'!777:777-"n/&gt;!.H_"</f>
        <v>#VALUE!</v>
      </c>
      <c r="GN228" t="e">
        <f>'All regions'!778:778-"n/&gt;!.H`"</f>
        <v>#VALUE!</v>
      </c>
      <c r="GO228" t="e">
        <f>'All regions'!779:779-"n/&gt;!.Ha"</f>
        <v>#VALUE!</v>
      </c>
      <c r="GP228" t="e">
        <f>'All regions'!780:780-"n/&gt;!.Hb"</f>
        <v>#VALUE!</v>
      </c>
      <c r="GQ228" t="e">
        <f>'All regions'!781:781-"n/&gt;!.Hc"</f>
        <v>#VALUE!</v>
      </c>
      <c r="GR228" t="e">
        <f>'All regions'!782:782-"n/&gt;!.Hd"</f>
        <v>#VALUE!</v>
      </c>
      <c r="GS228" t="e">
        <f>'All regions'!783:783-"n/&gt;!.He"</f>
        <v>#VALUE!</v>
      </c>
      <c r="GT228" t="e">
        <f>'All regions'!784:784-"n/&gt;!.Hf"</f>
        <v>#VALUE!</v>
      </c>
      <c r="GU228" t="e">
        <f>'All regions'!785:785-"n/&gt;!.Hg"</f>
        <v>#VALUE!</v>
      </c>
      <c r="GV228" t="e">
        <f>'All regions'!786:786-"n/&gt;!.Hh"</f>
        <v>#VALUE!</v>
      </c>
      <c r="GW228" t="e">
        <f>'All regions'!787:787-"n/&gt;!.Hi"</f>
        <v>#VALUE!</v>
      </c>
      <c r="GX228" t="e">
        <f>'All regions'!788:788-"n/&gt;!.Hj"</f>
        <v>#VALUE!</v>
      </c>
      <c r="GY228" t="e">
        <f>'All regions'!789:789-"n/&gt;!.Hk"</f>
        <v>#VALUE!</v>
      </c>
      <c r="GZ228" t="e">
        <f>'All regions'!790:790-"n/&gt;!.Hl"</f>
        <v>#VALUE!</v>
      </c>
      <c r="HA228" t="e">
        <f>'All regions'!791:791-"n/&gt;!.Hm"</f>
        <v>#VALUE!</v>
      </c>
      <c r="HB228" t="e">
        <f>'All regions'!792:792-"n/&gt;!.Hn"</f>
        <v>#VALUE!</v>
      </c>
      <c r="HC228" t="e">
        <f>'All regions'!793:793-"n/&gt;!.Ho"</f>
        <v>#VALUE!</v>
      </c>
      <c r="HD228" t="e">
        <f>'All regions'!794:794-"n/&gt;!.Hp"</f>
        <v>#VALUE!</v>
      </c>
      <c r="HE228" t="e">
        <f>'All regions'!795:795-"n/&gt;!.Hq"</f>
        <v>#VALUE!</v>
      </c>
      <c r="HF228" t="e">
        <f>'All regions'!796:796-"n/&gt;!.Hr"</f>
        <v>#VALUE!</v>
      </c>
      <c r="HG228" t="e">
        <f>'All regions'!797:797-"n/&gt;!.Hs"</f>
        <v>#VALUE!</v>
      </c>
      <c r="HH228" t="e">
        <f>'All regions'!798:798-"n/&gt;!.Ht"</f>
        <v>#VALUE!</v>
      </c>
      <c r="HI228" t="e">
        <f>'All regions'!799:799-"n/&gt;!.Hu"</f>
        <v>#VALUE!</v>
      </c>
      <c r="HJ228" t="e">
        <f>'All regions'!800:800-"n/&gt;!.Hv"</f>
        <v>#VALUE!</v>
      </c>
      <c r="HK228" t="e">
        <f>'All regions'!801:801-"n/&gt;!.Hw"</f>
        <v>#VALUE!</v>
      </c>
      <c r="HL228" t="e">
        <f>'All regions'!802:802-"n/&gt;!.Hx"</f>
        <v>#VALUE!</v>
      </c>
      <c r="HM228" t="e">
        <f>'All regions'!803:803-"n/&gt;!.Hy"</f>
        <v>#VALUE!</v>
      </c>
      <c r="HN228" t="e">
        <f>'All regions'!804:804-"n/&gt;!.Hz"</f>
        <v>#VALUE!</v>
      </c>
      <c r="HO228" t="e">
        <f>'All regions'!805:805-"n/&gt;!.H{"</f>
        <v>#VALUE!</v>
      </c>
      <c r="HP228" t="e">
        <f>'All regions'!806:806-"n/&gt;!.H|"</f>
        <v>#VALUE!</v>
      </c>
      <c r="HQ228" t="e">
        <f>'All regions'!807:807-"n/&gt;!.H}"</f>
        <v>#VALUE!</v>
      </c>
      <c r="HR228" t="e">
        <f>'All regions'!808:808-"n/&gt;!.H~"</f>
        <v>#VALUE!</v>
      </c>
      <c r="HS228" t="e">
        <f>'All regions'!809:809-"n/&gt;!.I#"</f>
        <v>#VALUE!</v>
      </c>
      <c r="HT228" t="e">
        <f>'All regions'!810:810-"n/&gt;!.I$"</f>
        <v>#VALUE!</v>
      </c>
      <c r="HU228" t="e">
        <f>'All regions'!811:811-"n/&gt;!.I%"</f>
        <v>#VALUE!</v>
      </c>
      <c r="HV228" t="e">
        <f>'All regions'!812:812-"n/&gt;!.I&amp;"</f>
        <v>#VALUE!</v>
      </c>
      <c r="HW228" t="e">
        <f>'All regions'!813:813-"n/&gt;!.I'"</f>
        <v>#VALUE!</v>
      </c>
      <c r="HX228" t="e">
        <f>'All regions'!814:814-"n/&gt;!.I("</f>
        <v>#VALUE!</v>
      </c>
      <c r="HY228" t="e">
        <f>'All regions'!815:815-"n/&gt;!.I)"</f>
        <v>#VALUE!</v>
      </c>
      <c r="HZ228" t="e">
        <f>'All regions'!816:816-"n/&gt;!.I."</f>
        <v>#VALUE!</v>
      </c>
      <c r="IA228" t="e">
        <f>'All regions'!817:817-"n/&gt;!.I/"</f>
        <v>#VALUE!</v>
      </c>
      <c r="IB228" t="e">
        <f>'All regions'!818:818-"n/&gt;!.I0"</f>
        <v>#VALUE!</v>
      </c>
      <c r="IC228" t="e">
        <f>'All regions'!819:819-"n/&gt;!.I1"</f>
        <v>#VALUE!</v>
      </c>
      <c r="ID228" t="e">
        <f>'All regions'!820:820-"n/&gt;!.I2"</f>
        <v>#VALUE!</v>
      </c>
      <c r="IE228" t="e">
        <f>'All regions'!821:821-"n/&gt;!.I3"</f>
        <v>#VALUE!</v>
      </c>
      <c r="IF228" t="e">
        <f>'All regions'!822:822-"n/&gt;!.I4"</f>
        <v>#VALUE!</v>
      </c>
      <c r="IG228" t="e">
        <f>'All regions'!823:823-"n/&gt;!.I5"</f>
        <v>#VALUE!</v>
      </c>
      <c r="IH228" t="e">
        <f>'All regions'!824:824-"n/&gt;!.I6"</f>
        <v>#VALUE!</v>
      </c>
      <c r="II228" t="e">
        <f>'All regions'!825:825-"n/&gt;!.I7"</f>
        <v>#VALUE!</v>
      </c>
      <c r="IJ228" t="e">
        <f>'All regions'!826:826-"n/&gt;!.I8"</f>
        <v>#VALUE!</v>
      </c>
      <c r="IK228" t="e">
        <f>'All regions'!827:827-"n/&gt;!.I9"</f>
        <v>#VALUE!</v>
      </c>
      <c r="IL228" t="e">
        <f>'All regions'!828:828-"n/&gt;!.I:"</f>
        <v>#VALUE!</v>
      </c>
      <c r="IM228" t="e">
        <f>'All regions'!829:829-"n/&gt;!.I;"</f>
        <v>#VALUE!</v>
      </c>
      <c r="IN228" t="e">
        <f>'All regions'!830:830-"n/&gt;!.I&lt;"</f>
        <v>#VALUE!</v>
      </c>
      <c r="IO228" t="e">
        <f>'All regions'!831:831-"n/&gt;!.I="</f>
        <v>#VALUE!</v>
      </c>
      <c r="IP228" t="e">
        <f>'All regions'!832:832-"n/&gt;!.I&gt;"</f>
        <v>#VALUE!</v>
      </c>
      <c r="IQ228" t="e">
        <f>'All regions'!833:833-"n/&gt;!.I?"</f>
        <v>#VALUE!</v>
      </c>
      <c r="IR228" t="e">
        <f>'All regions'!834:834-"n/&gt;!.I@"</f>
        <v>#VALUE!</v>
      </c>
      <c r="IS228" t="e">
        <f>'All regions'!835:835-"n/&gt;!.IA"</f>
        <v>#VALUE!</v>
      </c>
      <c r="IT228" t="e">
        <f>'All regions'!836:836-"n/&gt;!.IB"</f>
        <v>#VALUE!</v>
      </c>
      <c r="IU228" t="e">
        <f>'All regions'!837:837-"n/&gt;!.IC"</f>
        <v>#VALUE!</v>
      </c>
      <c r="IV228" t="e">
        <f>'All regions'!838:838-"n/&gt;!.ID"</f>
        <v>#VALUE!</v>
      </c>
    </row>
    <row r="229" spans="6:256" x14ac:dyDescent="0.35">
      <c r="F229" t="e">
        <f>'All regions'!839:839-"n/&gt;!.IE"</f>
        <v>#VALUE!</v>
      </c>
      <c r="G229" t="e">
        <f>'All regions'!840:840-"n/&gt;!.IF"</f>
        <v>#VALUE!</v>
      </c>
      <c r="H229" t="e">
        <f>'All regions'!841:841-"n/&gt;!.IG"</f>
        <v>#VALUE!</v>
      </c>
      <c r="I229" t="e">
        <f>'All regions'!842:842-"n/&gt;!.IH"</f>
        <v>#VALUE!</v>
      </c>
      <c r="J229" t="e">
        <f>'All regions'!843:843-"n/&gt;!.II"</f>
        <v>#VALUE!</v>
      </c>
      <c r="K229" t="e">
        <f>'All regions'!844:844-"n/&gt;!.IJ"</f>
        <v>#VALUE!</v>
      </c>
      <c r="L229" t="e">
        <f>'All regions'!845:845-"n/&gt;!.IK"</f>
        <v>#VALUE!</v>
      </c>
      <c r="M229" t="e">
        <f>'All regions'!846:846-"n/&gt;!.IL"</f>
        <v>#VALUE!</v>
      </c>
      <c r="N229" t="e">
        <f>'All regions'!847:847-"n/&gt;!.IM"</f>
        <v>#VALUE!</v>
      </c>
      <c r="O229" t="e">
        <f>'All regions'!848:848-"n/&gt;!.IN"</f>
        <v>#VALUE!</v>
      </c>
      <c r="P229" t="e">
        <f>'All regions'!849:849-"n/&gt;!.IO"</f>
        <v>#VALUE!</v>
      </c>
      <c r="Q229" t="e">
        <f>'All regions'!850:850-"n/&gt;!.IP"</f>
        <v>#VALUE!</v>
      </c>
      <c r="R229" t="e">
        <f>'All regions'!851:851-"n/&gt;!.IQ"</f>
        <v>#VALUE!</v>
      </c>
      <c r="S229" t="e">
        <f>'All regions'!852:852-"n/&gt;!.IR"</f>
        <v>#VALUE!</v>
      </c>
      <c r="T229" t="e">
        <f>'All regions'!853:853-"n/&gt;!.IS"</f>
        <v>#VALUE!</v>
      </c>
      <c r="U229" t="e">
        <f>'All regions'!854:854-"n/&gt;!.IT"</f>
        <v>#VALUE!</v>
      </c>
      <c r="V229" t="e">
        <f>'All regions'!855:855-"n/&gt;!.IU"</f>
        <v>#VALUE!</v>
      </c>
      <c r="W229" t="e">
        <f>'All regions'!856:856-"n/&gt;!.IV"</f>
        <v>#VALUE!</v>
      </c>
      <c r="X229" t="e">
        <f>'All regions'!857:857-"n/&gt;!.IW"</f>
        <v>#VALUE!</v>
      </c>
      <c r="Y229" t="e">
        <f>'All regions'!858:858-"n/&gt;!.IX"</f>
        <v>#VALUE!</v>
      </c>
      <c r="Z229" t="e">
        <f>'All regions'!859:859-"n/&gt;!.IY"</f>
        <v>#VALUE!</v>
      </c>
      <c r="AA229" t="e">
        <f>'All regions'!860:860-"n/&gt;!.IZ"</f>
        <v>#VALUE!</v>
      </c>
      <c r="AB229" t="e">
        <f>'All regions'!861:861-"n/&gt;!.I["</f>
        <v>#VALUE!</v>
      </c>
      <c r="AC229" t="e">
        <f>'All regions'!862:862-"n/&gt;!.I\"</f>
        <v>#VALUE!</v>
      </c>
      <c r="AD229" t="e">
        <f>'All regions'!863:863-"n/&gt;!.I]"</f>
        <v>#VALUE!</v>
      </c>
      <c r="AE229" t="e">
        <f>'All regions'!864:864-"n/&gt;!.I^"</f>
        <v>#VALUE!</v>
      </c>
      <c r="AF229" t="e">
        <f>'All regions'!865:865-"n/&gt;!.I_"</f>
        <v>#VALUE!</v>
      </c>
      <c r="AG229" t="e">
        <f>'All regions'!866:866-"n/&gt;!.I`"</f>
        <v>#VALUE!</v>
      </c>
      <c r="AH229" t="e">
        <f>'All regions'!867:867-"n/&gt;!.Ia"</f>
        <v>#VALUE!</v>
      </c>
      <c r="AI229" t="e">
        <f>'All regions'!868:868-"n/&gt;!.Ib"</f>
        <v>#VALUE!</v>
      </c>
      <c r="AJ229" t="e">
        <f>'All regions'!869:869-"n/&gt;!.Ic"</f>
        <v>#VALUE!</v>
      </c>
      <c r="AK229" t="e">
        <f>'All regions'!870:870-"n/&gt;!.Id"</f>
        <v>#VALUE!</v>
      </c>
      <c r="AL229" t="e">
        <f>'All regions'!871:871-"n/&gt;!.Ie"</f>
        <v>#VALUE!</v>
      </c>
      <c r="AM229" t="e">
        <f>'All regions'!872:872-"n/&gt;!.If"</f>
        <v>#VALUE!</v>
      </c>
      <c r="AN229" t="e">
        <f>'All regions'!873:873-"n/&gt;!.Ig"</f>
        <v>#VALUE!</v>
      </c>
      <c r="AO229" t="e">
        <f>'All regions'!874:874-"n/&gt;!.Ih"</f>
        <v>#VALUE!</v>
      </c>
      <c r="AP229" t="e">
        <f>'All regions'!875:875-"n/&gt;!.Ii"</f>
        <v>#VALUE!</v>
      </c>
      <c r="AQ229" t="e">
        <f>'All regions'!876:876-"n/&gt;!.Ij"</f>
        <v>#VALUE!</v>
      </c>
      <c r="AR229" t="e">
        <f>'All regions'!877:877-"n/&gt;!.Ik"</f>
        <v>#VALUE!</v>
      </c>
      <c r="AS229" t="e">
        <f>'All regions'!878:878-"n/&gt;!.Il"</f>
        <v>#VALUE!</v>
      </c>
      <c r="AT229" t="e">
        <f>'All regions'!879:879-"n/&gt;!.Im"</f>
        <v>#VALUE!</v>
      </c>
      <c r="AU229" t="e">
        <f>'All regions'!880:880-"n/&gt;!.In"</f>
        <v>#VALUE!</v>
      </c>
      <c r="AV229" t="e">
        <f>'All regions'!881:881-"n/&gt;!.Io"</f>
        <v>#VALUE!</v>
      </c>
      <c r="AW229" t="e">
        <f>'All regions'!882:882-"n/&gt;!.Ip"</f>
        <v>#VALUE!</v>
      </c>
      <c r="AX229" t="e">
        <f>'All regions'!883:883-"n/&gt;!.Iq"</f>
        <v>#VALUE!</v>
      </c>
      <c r="AY229" t="e">
        <f>'All regions'!884:884-"n/&gt;!.Ir"</f>
        <v>#VALUE!</v>
      </c>
      <c r="AZ229" t="e">
        <f>'All regions'!885:885-"n/&gt;!.Is"</f>
        <v>#VALUE!</v>
      </c>
      <c r="BA229" t="e">
        <f>'All regions'!886:886-"n/&gt;!.It"</f>
        <v>#VALUE!</v>
      </c>
      <c r="BB229" t="e">
        <f>'All regions'!887:887-"n/&gt;!.Iu"</f>
        <v>#VALUE!</v>
      </c>
      <c r="BC229" t="e">
        <f>'All regions'!888:888-"n/&gt;!.Iv"</f>
        <v>#VALUE!</v>
      </c>
      <c r="BD229" t="e">
        <f>'All regions'!889:889-"n/&gt;!.Iw"</f>
        <v>#VALUE!</v>
      </c>
      <c r="BE229" t="e">
        <f>'All regions'!890:890-"n/&gt;!.Ix"</f>
        <v>#VALUE!</v>
      </c>
      <c r="BF229" t="e">
        <f>'All regions'!891:891-"n/&gt;!.Iy"</f>
        <v>#VALUE!</v>
      </c>
      <c r="BG229" t="e">
        <f>'All regions'!892:892-"n/&gt;!.Iz"</f>
        <v>#VALUE!</v>
      </c>
      <c r="BH229" t="e">
        <f>'All regions'!893:893-"n/&gt;!.I{"</f>
        <v>#VALUE!</v>
      </c>
      <c r="BI229" t="e">
        <f>'All regions'!894:894-"n/&gt;!.I|"</f>
        <v>#VALUE!</v>
      </c>
      <c r="BJ229" t="e">
        <f>'All regions'!895:895-"n/&gt;!.I}"</f>
        <v>#VALUE!</v>
      </c>
      <c r="BK229" t="e">
        <f>'All regions'!896:896-"n/&gt;!.I~"</f>
        <v>#VALUE!</v>
      </c>
      <c r="BL229" t="e">
        <f>'All regions'!897:897-"n/&gt;!.J#"</f>
        <v>#VALUE!</v>
      </c>
      <c r="BM229" t="e">
        <f>'All regions'!898:898-"n/&gt;!.J$"</f>
        <v>#VALUE!</v>
      </c>
      <c r="BN229" t="e">
        <f>'All regions'!899:899-"n/&gt;!.J%"</f>
        <v>#VALUE!</v>
      </c>
      <c r="BO229" t="e">
        <f>'All regions'!900:900-"n/&gt;!.J&amp;"</f>
        <v>#VALUE!</v>
      </c>
      <c r="BP229" t="e">
        <f>'All regions'!901:901-"n/&gt;!.J'"</f>
        <v>#VALUE!</v>
      </c>
      <c r="BQ229" t="e">
        <f>'All regions'!902:902-"n/&gt;!.J("</f>
        <v>#VALUE!</v>
      </c>
      <c r="BR229" t="e">
        <f>'All regions'!903:903-"n/&gt;!.J)"</f>
        <v>#VALUE!</v>
      </c>
      <c r="BS229" t="e">
        <f>'All regions'!904:904-"n/&gt;!.J."</f>
        <v>#VALUE!</v>
      </c>
      <c r="BT229" t="e">
        <f>'All regions'!905:905-"n/&gt;!.J/"</f>
        <v>#VALUE!</v>
      </c>
      <c r="BU229" t="e">
        <f>'All regions'!906:906-"n/&gt;!.J0"</f>
        <v>#VALUE!</v>
      </c>
      <c r="BV229" t="e">
        <f>'All regions'!907:907-"n/&gt;!.J1"</f>
        <v>#VALUE!</v>
      </c>
      <c r="BW229" t="e">
        <f>'All regions'!908:908-"n/&gt;!.J2"</f>
        <v>#VALUE!</v>
      </c>
      <c r="BX229" t="e">
        <f>'All regions'!909:909-"n/&gt;!.J3"</f>
        <v>#VALUE!</v>
      </c>
      <c r="BY229" t="e">
        <f>'All regions'!910:910-"n/&gt;!.J4"</f>
        <v>#VALUE!</v>
      </c>
      <c r="BZ229" t="e">
        <f>'All regions'!911:911-"n/&gt;!.J5"</f>
        <v>#VALUE!</v>
      </c>
      <c r="CA229" t="e">
        <f>'All regions'!912:912-"n/&gt;!.J6"</f>
        <v>#VALUE!</v>
      </c>
      <c r="CB229" t="e">
        <f>'All regions'!913:913-"n/&gt;!.J7"</f>
        <v>#VALUE!</v>
      </c>
      <c r="CC229" t="e">
        <f>'All regions'!914:914-"n/&gt;!.J8"</f>
        <v>#VALUE!</v>
      </c>
      <c r="CD229" t="e">
        <f>'All regions'!915:915-"n/&gt;!.J9"</f>
        <v>#VALUE!</v>
      </c>
      <c r="CE229" t="e">
        <f>'All regions'!916:916-"n/&gt;!.J:"</f>
        <v>#VALUE!</v>
      </c>
      <c r="CF229" t="e">
        <f>'All regions'!917:917-"n/&gt;!.J;"</f>
        <v>#VALUE!</v>
      </c>
      <c r="CG229" t="e">
        <f>'All regions'!918:918-"n/&gt;!.J&lt;"</f>
        <v>#VALUE!</v>
      </c>
      <c r="CH229" t="e">
        <f>'All regions'!919:919-"n/&gt;!.J="</f>
        <v>#VALUE!</v>
      </c>
      <c r="CI229" t="e">
        <f>'All regions'!920:920-"n/&gt;!.J&gt;"</f>
        <v>#VALUE!</v>
      </c>
      <c r="CJ229" t="e">
        <f>'All regions'!921:921-"n/&gt;!.J?"</f>
        <v>#VALUE!</v>
      </c>
      <c r="CK229" t="e">
        <f>'All regions'!922:922-"n/&gt;!.J@"</f>
        <v>#VALUE!</v>
      </c>
      <c r="CL229" t="e">
        <f>'All regions'!923:923-"n/&gt;!.JA"</f>
        <v>#VALUE!</v>
      </c>
      <c r="CM229" t="e">
        <f>'All regions'!924:924-"n/&gt;!.JB"</f>
        <v>#VALUE!</v>
      </c>
      <c r="CN229" t="e">
        <f>'All regions'!925:925-"n/&gt;!.JC"</f>
        <v>#VALUE!</v>
      </c>
      <c r="CO229" t="e">
        <f>'All regions'!926:926-"n/&gt;!.JD"</f>
        <v>#VALUE!</v>
      </c>
      <c r="CP229" t="e">
        <f>'All regions'!927:927-"n/&gt;!.JE"</f>
        <v>#VALUE!</v>
      </c>
      <c r="CQ229" t="e">
        <f>'All regions'!928:928-"n/&gt;!.JF"</f>
        <v>#VALUE!</v>
      </c>
      <c r="CR229" t="e">
        <f>'All regions'!929:929-"n/&gt;!.JG"</f>
        <v>#VALUE!</v>
      </c>
      <c r="CS229" t="e">
        <f>'All regions'!930:930-"n/&gt;!.JH"</f>
        <v>#VALUE!</v>
      </c>
      <c r="CT229" t="e">
        <f>'All regions'!931:931-"n/&gt;!.JI"</f>
        <v>#VALUE!</v>
      </c>
      <c r="CU229" t="e">
        <f>'All regions'!932:932-"n/&gt;!.JJ"</f>
        <v>#VALUE!</v>
      </c>
      <c r="CV229" t="e">
        <f>'All regions'!933:933-"n/&gt;!.JK"</f>
        <v>#VALUE!</v>
      </c>
      <c r="CW229" t="e">
        <f>'All regions'!934:934-"n/&gt;!.JL"</f>
        <v>#VALUE!</v>
      </c>
      <c r="CX229" t="e">
        <f>'All regions'!935:935-"n/&gt;!.JM"</f>
        <v>#VALUE!</v>
      </c>
      <c r="CY229" t="e">
        <f>'All regions'!936:936-"n/&gt;!.JN"</f>
        <v>#VALUE!</v>
      </c>
      <c r="CZ229" t="e">
        <f>'All regions'!937:937-"n/&gt;!.JO"</f>
        <v>#VALUE!</v>
      </c>
      <c r="DA229" t="e">
        <f>'All regions'!938:938-"n/&gt;!.JP"</f>
        <v>#VALUE!</v>
      </c>
      <c r="DB229" t="e">
        <f>'All regions'!939:939-"n/&gt;!.JQ"</f>
        <v>#VALUE!</v>
      </c>
      <c r="DC229" t="e">
        <f>'All regions'!940:940-"n/&gt;!.JR"</f>
        <v>#VALUE!</v>
      </c>
      <c r="DD229" t="e">
        <f>'All regions'!941:941-"n/&gt;!.JS"</f>
        <v>#VALUE!</v>
      </c>
      <c r="DE229" t="e">
        <f>'All regions'!942:942-"n/&gt;!.JT"</f>
        <v>#VALUE!</v>
      </c>
      <c r="DF229" t="e">
        <f>'All regions'!943:943-"n/&gt;!.JU"</f>
        <v>#VALUE!</v>
      </c>
      <c r="DG229" t="e">
        <f>'All regions'!944:944-"n/&gt;!.JV"</f>
        <v>#VALUE!</v>
      </c>
      <c r="DH229" t="e">
        <f>'All regions'!945:945-"n/&gt;!.JW"</f>
        <v>#VALUE!</v>
      </c>
      <c r="DI229" t="e">
        <f>'All regions'!946:946-"n/&gt;!.JX"</f>
        <v>#VALUE!</v>
      </c>
      <c r="DJ229" t="e">
        <f>'All regions'!947:947-"n/&gt;!.JY"</f>
        <v>#VALUE!</v>
      </c>
      <c r="DK229" t="e">
        <f>'All regions'!948:948-"n/&gt;!.JZ"</f>
        <v>#VALUE!</v>
      </c>
      <c r="DL229" t="e">
        <f>'All regions'!949:949-"n/&gt;!.J["</f>
        <v>#VALUE!</v>
      </c>
      <c r="DM229" t="e">
        <f>'All regions'!950:950-"n/&gt;!.J\"</f>
        <v>#VALUE!</v>
      </c>
      <c r="DN229" t="e">
        <f>'All regions'!951:951-"n/&gt;!.J]"</f>
        <v>#VALUE!</v>
      </c>
      <c r="DO229" t="e">
        <f>'All regions'!952:952-"n/&gt;!.J^"</f>
        <v>#VALUE!</v>
      </c>
      <c r="DP229" t="e">
        <f>'All regions'!953:953-"n/&gt;!.J_"</f>
        <v>#VALUE!</v>
      </c>
      <c r="DQ229" t="e">
        <f>'All regions'!954:954-"n/&gt;!.J`"</f>
        <v>#VALUE!</v>
      </c>
      <c r="DR229" t="e">
        <f>'All regions'!955:955-"n/&gt;!.Ja"</f>
        <v>#VALUE!</v>
      </c>
      <c r="DS229" t="e">
        <f>'All regions'!956:956-"n/&gt;!.Jb"</f>
        <v>#VALUE!</v>
      </c>
      <c r="DT229" t="e">
        <f>'All regions'!957:957-"n/&gt;!.Jc"</f>
        <v>#VALUE!</v>
      </c>
      <c r="DU229" t="e">
        <f>'All regions'!958:958-"n/&gt;!.Jd"</f>
        <v>#VALUE!</v>
      </c>
      <c r="DV229" t="e">
        <f>'All regions'!959:959-"n/&gt;!.Je"</f>
        <v>#VALUE!</v>
      </c>
      <c r="DW229" t="e">
        <f>'All regions'!960:960-"n/&gt;!.Jf"</f>
        <v>#VALUE!</v>
      </c>
      <c r="DX229" t="e">
        <f>'All regions'!961:961-"n/&gt;!.Jg"</f>
        <v>#VALUE!</v>
      </c>
      <c r="DY229" t="e">
        <f>'All regions'!962:962-"n/&gt;!.Jh"</f>
        <v>#VALUE!</v>
      </c>
      <c r="DZ229" t="e">
        <f>'All regions'!963:963-"n/&gt;!.Ji"</f>
        <v>#VALUE!</v>
      </c>
      <c r="EA229" t="e">
        <f>'All regions'!964:964-"n/&gt;!.Jj"</f>
        <v>#VALUE!</v>
      </c>
      <c r="EB229" t="e">
        <f>'All regions'!965:965-"n/&gt;!.Jk"</f>
        <v>#VALUE!</v>
      </c>
      <c r="EC229" t="e">
        <f>'All regions'!966:966-"n/&gt;!.Jl"</f>
        <v>#VALUE!</v>
      </c>
      <c r="ED229" t="e">
        <f>'All regions'!967:967-"n/&gt;!.Jm"</f>
        <v>#VALUE!</v>
      </c>
      <c r="EE229" t="e">
        <f>'All regions'!968:968-"n/&gt;!.Jn"</f>
        <v>#VALUE!</v>
      </c>
      <c r="EF229" t="e">
        <f>'All regions'!969:969-"n/&gt;!.Jo"</f>
        <v>#VALUE!</v>
      </c>
      <c r="EG229" t="e">
        <f>'All regions'!970:970-"n/&gt;!.Jp"</f>
        <v>#VALUE!</v>
      </c>
      <c r="EH229" t="e">
        <f>'All regions'!971:971-"n/&gt;!.Jq"</f>
        <v>#VALUE!</v>
      </c>
      <c r="EI229" t="e">
        <f>'All regions'!972:972-"n/&gt;!.Jr"</f>
        <v>#VALUE!</v>
      </c>
      <c r="EJ229" t="e">
        <f>'All regions'!973:973-"n/&gt;!.Js"</f>
        <v>#VALUE!</v>
      </c>
      <c r="EK229" t="e">
        <f>'All regions'!974:974-"n/&gt;!.Jt"</f>
        <v>#VALUE!</v>
      </c>
      <c r="EL229" t="e">
        <f>'All regions'!975:975-"n/&gt;!.Ju"</f>
        <v>#VALUE!</v>
      </c>
      <c r="EM229" t="e">
        <f>'All regions'!976:976-"n/&gt;!.Jv"</f>
        <v>#VALUE!</v>
      </c>
      <c r="EN229" t="e">
        <f>'All regions'!977:977-"n/&gt;!.Jw"</f>
        <v>#VALUE!</v>
      </c>
      <c r="EO229" t="e">
        <f>'All regions'!978:978-"n/&gt;!.Jx"</f>
        <v>#VALUE!</v>
      </c>
      <c r="EP229" t="e">
        <f>'All regions'!979:979-"n/&gt;!.Jy"</f>
        <v>#VALUE!</v>
      </c>
      <c r="EQ229" t="e">
        <f>'All regions'!980:980-"n/&gt;!.Jz"</f>
        <v>#VALUE!</v>
      </c>
      <c r="ER229" t="e">
        <f>'All regions'!981:981-"n/&gt;!.J{"</f>
        <v>#VALUE!</v>
      </c>
      <c r="ES229" t="e">
        <f>'All regions'!982:982-"n/&gt;!.J|"</f>
        <v>#VALUE!</v>
      </c>
      <c r="ET229" t="e">
        <f>'All regions'!983:983-"n/&gt;!.J}"</f>
        <v>#VALUE!</v>
      </c>
      <c r="EU229" t="e">
        <f>'All regions'!984:984-"n/&gt;!.J~"</f>
        <v>#VALUE!</v>
      </c>
      <c r="EV229" t="e">
        <f>'All regions'!985:985-"n/&gt;!.K#"</f>
        <v>#VALUE!</v>
      </c>
      <c r="EW229" t="e">
        <f>'All regions'!986:986-"n/&gt;!.K$"</f>
        <v>#VALUE!</v>
      </c>
      <c r="EX229" t="e">
        <f>'All regions'!987:987-"n/&gt;!.K%"</f>
        <v>#VALUE!</v>
      </c>
      <c r="EY229" t="e">
        <f>'All regions'!988:988-"n/&gt;!.K&amp;"</f>
        <v>#VALUE!</v>
      </c>
      <c r="EZ229" t="e">
        <f>'All regions'!989:989-"n/&gt;!.K'"</f>
        <v>#VALUE!</v>
      </c>
      <c r="FA229" t="e">
        <f>'All regions'!990:990-"n/&gt;!.K("</f>
        <v>#VALUE!</v>
      </c>
      <c r="FB229" t="e">
        <f>'All regions'!991:991-"n/&gt;!.K)"</f>
        <v>#VALUE!</v>
      </c>
      <c r="FC229" t="e">
        <f>'All regions'!992:992-"n/&gt;!.K."</f>
        <v>#VALUE!</v>
      </c>
      <c r="FD229" t="e">
        <f>'All regions'!993:993-"n/&gt;!.K/"</f>
        <v>#VALUE!</v>
      </c>
      <c r="FE229" t="e">
        <f>'All regions'!994:994-"n/&gt;!.K0"</f>
        <v>#VALUE!</v>
      </c>
      <c r="FF229" t="e">
        <f>'All regions'!995:995-"n/&gt;!.K1"</f>
        <v>#VALUE!</v>
      </c>
      <c r="FG229" t="e">
        <f>'All regions'!996:996-"n/&gt;!.K2"</f>
        <v>#VALUE!</v>
      </c>
      <c r="FH229" t="e">
        <f>'All regions'!997:997-"n/&gt;!.K3"</f>
        <v>#VALUE!</v>
      </c>
      <c r="FI229" t="e">
        <f>'All regions'!998:998-"n/&gt;!.K4"</f>
        <v>#VALUE!</v>
      </c>
      <c r="FJ229" t="e">
        <f>'All regions'!999:999-"n/&gt;!.K5"</f>
        <v>#VALUE!</v>
      </c>
      <c r="FK229" t="e">
        <f>'All regions'!1000:1000-"n/&gt;!.K6"</f>
        <v>#VALUE!</v>
      </c>
      <c r="FL229" t="e">
        <f>'All regions'!1001:1001-"n/&gt;!.K7"</f>
        <v>#VALUE!</v>
      </c>
      <c r="FM229" t="e">
        <f>'All regions'!1002:1002-"n/&gt;!.K8"</f>
        <v>#VALUE!</v>
      </c>
      <c r="FN229" t="e">
        <f>'All regions'!1003:1003-"n/&gt;!.K9"</f>
        <v>#VALUE!</v>
      </c>
      <c r="FO229" t="e">
        <f>'All regions'!1004:1004-"n/&gt;!.K:"</f>
        <v>#VALUE!</v>
      </c>
      <c r="FP229" t="e">
        <f>'All regions'!1005:1005-"n/&gt;!.K;"</f>
        <v>#VALUE!</v>
      </c>
      <c r="FQ229" t="e">
        <f>'All regions'!1006:1006-"n/&gt;!.K&lt;"</f>
        <v>#VALUE!</v>
      </c>
      <c r="FR229" t="e">
        <f>'All regions'!1007:1007-"n/&gt;!.K="</f>
        <v>#VALUE!</v>
      </c>
      <c r="FS229" t="e">
        <f>'All regions'!1008:1008-"n/&gt;!.K&gt;"</f>
        <v>#VALUE!</v>
      </c>
      <c r="FT229" t="e">
        <f>'All regions'!1009:1009-"n/&gt;!.K?"</f>
        <v>#VALUE!</v>
      </c>
      <c r="FU229" t="e">
        <f>'All regions'!1010:1010-"n/&gt;!.K@"</f>
        <v>#VALUE!</v>
      </c>
      <c r="FV229" t="e">
        <f>'All regions'!1011:1011-"n/&gt;!.KA"</f>
        <v>#VALUE!</v>
      </c>
      <c r="FW229" t="e">
        <f>'All regions'!1012:1012-"n/&gt;!.KB"</f>
        <v>#VALUE!</v>
      </c>
      <c r="FX229" t="e">
        <f>'All regions'!1013:1013-"n/&gt;!.KC"</f>
        <v>#VALUE!</v>
      </c>
      <c r="FY229" t="e">
        <f>'All regions'!1014:1014-"n/&gt;!.KD"</f>
        <v>#VALUE!</v>
      </c>
      <c r="FZ229" t="e">
        <f>'All regions'!1015:1015-"n/&gt;!.KE"</f>
        <v>#VALUE!</v>
      </c>
      <c r="GA229" t="e">
        <f>'All regions'!1016:1016-"n/&gt;!.KF"</f>
        <v>#VALUE!</v>
      </c>
      <c r="GB229" t="e">
        <f>'All regions'!1017:1017-"n/&gt;!.KG"</f>
        <v>#VALUE!</v>
      </c>
      <c r="GC229" t="e">
        <f>'All regions'!1018:1018-"n/&gt;!.KH"</f>
        <v>#VALUE!</v>
      </c>
      <c r="GD229" t="e">
        <f>'All regions'!1019:1019-"n/&gt;!.KI"</f>
        <v>#VALUE!</v>
      </c>
      <c r="GE229" t="e">
        <f>'All regions'!1020:1020-"n/&gt;!.KJ"</f>
        <v>#VALUE!</v>
      </c>
      <c r="GF229" t="e">
        <f>'All regions'!1021:1021-"n/&gt;!.KK"</f>
        <v>#VALUE!</v>
      </c>
      <c r="GG229" t="e">
        <f>'All regions'!1022:1022-"n/&gt;!.KL"</f>
        <v>#VALUE!</v>
      </c>
      <c r="GH229" t="e">
        <f>'All regions'!1023:1023-"n/&gt;!.KM"</f>
        <v>#VALUE!</v>
      </c>
      <c r="GI229" t="e">
        <f>'All regions'!1024:1024-"n/&gt;!.KN"</f>
        <v>#VALUE!</v>
      </c>
      <c r="GJ229" t="e">
        <f>'All regions'!1025:1025-"n/&gt;!.KO"</f>
        <v>#VALUE!</v>
      </c>
      <c r="GK229" t="e">
        <f>'All regions'!1026:1026-"n/&gt;!.KP"</f>
        <v>#VALUE!</v>
      </c>
      <c r="GL229" t="e">
        <f>'All regions'!1027:1027-"n/&gt;!.KQ"</f>
        <v>#VALUE!</v>
      </c>
      <c r="GM229" t="e">
        <f>'All regions'!1028:1028-"n/&gt;!.KR"</f>
        <v>#VALUE!</v>
      </c>
      <c r="GN229" t="e">
        <f>'All regions'!1029:1029-"n/&gt;!.KS"</f>
        <v>#VALUE!</v>
      </c>
      <c r="GO229" t="e">
        <f>'All regions'!1030:1030-"n/&gt;!.KT"</f>
        <v>#VALUE!</v>
      </c>
      <c r="GP229" t="e">
        <f>'All regions'!1031:1031-"n/&gt;!.KU"</f>
        <v>#VALUE!</v>
      </c>
      <c r="GQ229" t="e">
        <f>'All regions'!1032:1032-"n/&gt;!.KV"</f>
        <v>#VALUE!</v>
      </c>
      <c r="GR229" t="e">
        <f>'All regions'!1033:1033-"n/&gt;!.KW"</f>
        <v>#VALUE!</v>
      </c>
      <c r="GS229" t="e">
        <f>'All regions'!1034:1034-"n/&gt;!.KX"</f>
        <v>#VALUE!</v>
      </c>
      <c r="GT229" t="e">
        <f>'All regions'!1035:1035-"n/&gt;!.KY"</f>
        <v>#VALUE!</v>
      </c>
      <c r="GU229" t="e">
        <f>'All regions'!1036:1036-"n/&gt;!.KZ"</f>
        <v>#VALUE!</v>
      </c>
      <c r="GV229" t="e">
        <f>'All regions'!1037:1037-"n/&gt;!.K["</f>
        <v>#VALUE!</v>
      </c>
      <c r="GW229" t="e">
        <f>'All regions'!1038:1038-"n/&gt;!.K\"</f>
        <v>#VALUE!</v>
      </c>
      <c r="GX229" t="e">
        <f>'All regions'!1039:1039-"n/&gt;!.K]"</f>
        <v>#VALUE!</v>
      </c>
      <c r="GY229" t="e">
        <f>'All regions'!1040:1040-"n/&gt;!.K^"</f>
        <v>#VALUE!</v>
      </c>
      <c r="GZ229" t="e">
        <f>'All regions'!1041:1041-"n/&gt;!.K_"</f>
        <v>#VALUE!</v>
      </c>
      <c r="HA229" t="e">
        <f>'All regions'!1042:1042-"n/&gt;!.K`"</f>
        <v>#VALUE!</v>
      </c>
      <c r="HB229" t="e">
        <f>'All regions'!1043:1043-"n/&gt;!.Ka"</f>
        <v>#VALUE!</v>
      </c>
      <c r="HC229" t="e">
        <f>'All regions'!1044:1044-"n/&gt;!.Kb"</f>
        <v>#VALUE!</v>
      </c>
      <c r="HD229" t="e">
        <f>'All regions'!1045:1045-"n/&gt;!.Kc"</f>
        <v>#VALUE!</v>
      </c>
      <c r="HE229" t="e">
        <f>'All regions'!1046:1046-"n/&gt;!.Kd"</f>
        <v>#VALUE!</v>
      </c>
      <c r="HF229" t="e">
        <f>'All regions'!1047:1047-"n/&gt;!.Ke"</f>
        <v>#VALUE!</v>
      </c>
      <c r="HG229" t="e">
        <f>'All regions'!1048:1048-"n/&gt;!.Kf"</f>
        <v>#VALUE!</v>
      </c>
      <c r="HH229" t="e">
        <f>'All regions'!1049:1049-"n/&gt;!.Kg"</f>
        <v>#VALUE!</v>
      </c>
      <c r="HI229" t="e">
        <f>'All regions'!1050:1050-"n/&gt;!.Kh"</f>
        <v>#VALUE!</v>
      </c>
      <c r="HJ229" t="e">
        <f>'All regions'!1051:1051-"n/&gt;!.Ki"</f>
        <v>#VALUE!</v>
      </c>
      <c r="HK229" t="e">
        <f>'All regions'!1052:1052-"n/&gt;!.Kj"</f>
        <v>#VALUE!</v>
      </c>
      <c r="HL229" t="e">
        <f>'All regions'!1053:1053-"n/&gt;!.Kk"</f>
        <v>#VALUE!</v>
      </c>
      <c r="HM229" t="e">
        <f>'All regions'!1054:1054-"n/&gt;!.Kl"</f>
        <v>#VALUE!</v>
      </c>
      <c r="HN229" t="e">
        <f>'All regions'!1055:1055-"n/&gt;!.Km"</f>
        <v>#VALUE!</v>
      </c>
      <c r="HO229" t="e">
        <f>'All regions'!1056:1056-"n/&gt;!.Kn"</f>
        <v>#VALUE!</v>
      </c>
      <c r="HP229" t="e">
        <f>'All regions'!1057:1057-"n/&gt;!.Ko"</f>
        <v>#VALUE!</v>
      </c>
      <c r="HQ229" t="e">
        <f>'All regions'!1058:1058-"n/&gt;!.Kp"</f>
        <v>#VALUE!</v>
      </c>
      <c r="HR229" t="e">
        <f>'All regions'!1059:1059-"n/&gt;!.Kq"</f>
        <v>#VALUE!</v>
      </c>
      <c r="HS229" t="e">
        <f>'All regions'!1060:1060-"n/&gt;!.Kr"</f>
        <v>#VALUE!</v>
      </c>
      <c r="HT229" t="e">
        <f>'All regions'!1061:1061-"n/&gt;!.Ks"</f>
        <v>#VALUE!</v>
      </c>
      <c r="HU229" t="e">
        <f>'All regions'!1062:1062-"n/&gt;!.Kt"</f>
        <v>#VALUE!</v>
      </c>
      <c r="HV229" t="e">
        <f>'All regions'!1063:1063-"n/&gt;!.Ku"</f>
        <v>#VALUE!</v>
      </c>
      <c r="HW229" t="e">
        <f>'All regions'!1064:1064-"n/&gt;!.Kv"</f>
        <v>#VALUE!</v>
      </c>
      <c r="HX229" t="e">
        <f>'All regions'!1065:1065-"n/&gt;!.Kw"</f>
        <v>#VALUE!</v>
      </c>
      <c r="HY229" t="e">
        <f>'All regions'!1066:1066-"n/&gt;!.Kx"</f>
        <v>#VALUE!</v>
      </c>
      <c r="HZ229" t="e">
        <f>'All regions'!1067:1067-"n/&gt;!.Ky"</f>
        <v>#VALUE!</v>
      </c>
      <c r="IA229" t="e">
        <f>'All regions'!1068:1068-"n/&gt;!.Kz"</f>
        <v>#VALUE!</v>
      </c>
      <c r="IB229" t="e">
        <f>'All regions'!1069:1069-"n/&gt;!.K{"</f>
        <v>#VALUE!</v>
      </c>
      <c r="IC229" t="e">
        <f>'All regions'!1070:1070-"n/&gt;!.K|"</f>
        <v>#VALUE!</v>
      </c>
      <c r="ID229" t="e">
        <f>'All regions'!1071:1071-"n/&gt;!.K}"</f>
        <v>#VALUE!</v>
      </c>
      <c r="IE229" t="e">
        <f>'All regions'!1072:1072-"n/&gt;!.K~"</f>
        <v>#VALUE!</v>
      </c>
      <c r="IF229" t="e">
        <f>'All regions'!1073:1073-"n/&gt;!.L#"</f>
        <v>#VALUE!</v>
      </c>
      <c r="IG229" t="e">
        <f>'All regions'!1074:1074-"n/&gt;!.L$"</f>
        <v>#VALUE!</v>
      </c>
      <c r="IH229" t="e">
        <f>'All regions'!1075:1075-"n/&gt;!.L%"</f>
        <v>#VALUE!</v>
      </c>
      <c r="II229" t="e">
        <f>'All regions'!1076:1076-"n/&gt;!.L&amp;"</f>
        <v>#VALUE!</v>
      </c>
      <c r="IJ229" t="e">
        <f>'All regions'!1077:1077-"n/&gt;!.L'"</f>
        <v>#VALUE!</v>
      </c>
      <c r="IK229" t="e">
        <f>'All regions'!1078:1078-"n/&gt;!.L("</f>
        <v>#VALUE!</v>
      </c>
      <c r="IL229" t="e">
        <f>'All regions'!1079:1079-"n/&gt;!.L)"</f>
        <v>#VALUE!</v>
      </c>
      <c r="IM229" t="e">
        <f>'All regions'!1080:1080-"n/&gt;!.L."</f>
        <v>#VALUE!</v>
      </c>
      <c r="IN229" t="e">
        <f>'All regions'!1081:1081-"n/&gt;!.L/"</f>
        <v>#VALUE!</v>
      </c>
      <c r="IO229" t="e">
        <f>'All regions'!1082:1082-"n/&gt;!.L0"</f>
        <v>#VALUE!</v>
      </c>
      <c r="IP229" t="e">
        <f>'All regions'!1083:1083-"n/&gt;!.L1"</f>
        <v>#VALUE!</v>
      </c>
      <c r="IQ229" t="e">
        <f>'All regions'!1084:1084-"n/&gt;!.L2"</f>
        <v>#VALUE!</v>
      </c>
      <c r="IR229" t="e">
        <f>'All regions'!1085:1085-"n/&gt;!.L3"</f>
        <v>#VALUE!</v>
      </c>
      <c r="IS229" t="e">
        <f>'All regions'!1086:1086-"n/&gt;!.L4"</f>
        <v>#VALUE!</v>
      </c>
      <c r="IT229" t="e">
        <f>'All regions'!1087:1087-"n/&gt;!.L5"</f>
        <v>#VALUE!</v>
      </c>
      <c r="IU229" t="e">
        <f>'All regions'!1088:1088-"n/&gt;!.L6"</f>
        <v>#VALUE!</v>
      </c>
      <c r="IV229" t="e">
        <f>'All regions'!1089:1089-"n/&gt;!.L7"</f>
        <v>#VALUE!</v>
      </c>
    </row>
    <row r="230" spans="6:256" x14ac:dyDescent="0.35">
      <c r="F230" t="e">
        <f>'All regions'!1090:1090-"n/&gt;!.L8"</f>
        <v>#VALUE!</v>
      </c>
      <c r="G230" t="e">
        <f>'All regions'!1091:1091-"n/&gt;!.L9"</f>
        <v>#VALUE!</v>
      </c>
      <c r="H230" t="e">
        <f>'All regions'!1092:1092-"n/&gt;!.L:"</f>
        <v>#VALUE!</v>
      </c>
      <c r="I230" t="e">
        <f>'All regions'!1093:1093-"n/&gt;!.L;"</f>
        <v>#VALUE!</v>
      </c>
      <c r="J230" t="e">
        <f>'All regions'!1094:1094-"n/&gt;!.L&lt;"</f>
        <v>#VALUE!</v>
      </c>
      <c r="K230" t="e">
        <f>'All regions'!1095:1095-"n/&gt;!.L="</f>
        <v>#VALUE!</v>
      </c>
      <c r="L230" t="e">
        <f>'All regions'!1096:1096-"n/&gt;!.L&gt;"</f>
        <v>#VALUE!</v>
      </c>
      <c r="M230" t="e">
        <f>'All regions'!1097:1097-"n/&gt;!.L?"</f>
        <v>#VALUE!</v>
      </c>
      <c r="N230" t="e">
        <f>'All regions'!1098:1098-"n/&gt;!.L@"</f>
        <v>#VALUE!</v>
      </c>
      <c r="O230" t="e">
        <f>'All regions'!1099:1099-"n/&gt;!.LA"</f>
        <v>#VALUE!</v>
      </c>
      <c r="P230" t="e">
        <f>'All regions'!1100:1100-"n/&gt;!.LB"</f>
        <v>#VALUE!</v>
      </c>
      <c r="Q230" t="e">
        <f>'All regions'!1101:1101-"n/&gt;!.LC"</f>
        <v>#VALUE!</v>
      </c>
      <c r="R230" t="e">
        <f>'All regions'!1102:1102-"n/&gt;!.LD"</f>
        <v>#VALUE!</v>
      </c>
      <c r="S230" t="e">
        <f>'All regions'!1103:1103-"n/&gt;!.LE"</f>
        <v>#VALUE!</v>
      </c>
      <c r="T230" t="e">
        <f>'All regions'!1104:1104-"n/&gt;!.LF"</f>
        <v>#VALUE!</v>
      </c>
      <c r="U230" t="e">
        <f>'All regions'!1105:1105-"n/&gt;!.LG"</f>
        <v>#VALUE!</v>
      </c>
      <c r="V230" t="e">
        <f>'All regions'!1106:1106-"n/&gt;!.LH"</f>
        <v>#VALUE!</v>
      </c>
      <c r="W230" t="e">
        <f>'All regions'!1107:1107-"n/&gt;!.LI"</f>
        <v>#VALUE!</v>
      </c>
      <c r="X230" t="e">
        <f>'All regions'!1108:1108-"n/&gt;!.LJ"</f>
        <v>#VALUE!</v>
      </c>
      <c r="Y230" t="e">
        <f>'All regions'!1109:1109-"n/&gt;!.LK"</f>
        <v>#VALUE!</v>
      </c>
      <c r="Z230" t="e">
        <f>'All regions'!1110:1110-"n/&gt;!.LL"</f>
        <v>#VALUE!</v>
      </c>
      <c r="AA230" t="e">
        <f>'All regions'!1111:1111-"n/&gt;!.LM"</f>
        <v>#VALUE!</v>
      </c>
      <c r="AB230" t="e">
        <f>'All regions'!1112:1112-"n/&gt;!.LN"</f>
        <v>#VALUE!</v>
      </c>
      <c r="AC230" t="e">
        <f>'All regions'!1113:1113-"n/&gt;!.LO"</f>
        <v>#VALUE!</v>
      </c>
      <c r="AD230" t="e">
        <f>'All regions'!1114:1114-"n/&gt;!.LP"</f>
        <v>#VALUE!</v>
      </c>
      <c r="AE230" t="e">
        <f>'All regions'!1115:1115-"n/&gt;!.LQ"</f>
        <v>#VALUE!</v>
      </c>
      <c r="AF230" t="e">
        <f>'All regions'!1116:1116-"n/&gt;!.LR"</f>
        <v>#VALUE!</v>
      </c>
      <c r="AG230" t="e">
        <f>'All regions'!1117:1117-"n/&gt;!.LS"</f>
        <v>#VALUE!</v>
      </c>
      <c r="AH230" t="e">
        <f>'All regions'!1118:1118-"n/&gt;!.LT"</f>
        <v>#VALUE!</v>
      </c>
      <c r="AI230" t="e">
        <f>'All regions'!1119:1119-"n/&gt;!.LU"</f>
        <v>#VALUE!</v>
      </c>
      <c r="AJ230" t="e">
        <f>'All regions'!1120:1120-"n/&gt;!.LV"</f>
        <v>#VALUE!</v>
      </c>
      <c r="AK230" t="e">
        <f>'All regions'!1121:1121-"n/&gt;!.LW"</f>
        <v>#VALUE!</v>
      </c>
      <c r="AL230" t="e">
        <f>'All regions'!1122:1122-"n/&gt;!.LX"</f>
        <v>#VALUE!</v>
      </c>
      <c r="AM230" t="e">
        <f>'All regions'!1123:1123-"n/&gt;!.LY"</f>
        <v>#VALUE!</v>
      </c>
      <c r="AN230" t="e">
        <f>'All regions'!1124:1124-"n/&gt;!.LZ"</f>
        <v>#VALUE!</v>
      </c>
      <c r="AO230" t="e">
        <f>'All regions'!1125:1125-"n/&gt;!.L["</f>
        <v>#VALUE!</v>
      </c>
      <c r="AP230" t="e">
        <f>'All regions'!1126:1126-"n/&gt;!.L\"</f>
        <v>#VALUE!</v>
      </c>
      <c r="AQ230" t="e">
        <f>'All regions'!1127:1127-"n/&gt;!.L]"</f>
        <v>#VALUE!</v>
      </c>
      <c r="AR230" t="e">
        <f>'All regions'!1128:1128-"n/&gt;!.L^"</f>
        <v>#VALUE!</v>
      </c>
      <c r="AS230" t="e">
        <f>'All regions'!1129:1129-"n/&gt;!.L_"</f>
        <v>#VALUE!</v>
      </c>
      <c r="AT230" t="e">
        <f>'All regions'!1130:1130-"n/&gt;!.L`"</f>
        <v>#VALUE!</v>
      </c>
      <c r="AU230" t="e">
        <f>'All regions'!1131:1131-"n/&gt;!.La"</f>
        <v>#VALUE!</v>
      </c>
      <c r="AV230" t="e">
        <f>'All regions'!1132:1132-"n/&gt;!.Lb"</f>
        <v>#VALUE!</v>
      </c>
      <c r="AW230" t="e">
        <f>'All regions'!1133:1133-"n/&gt;!.Lc"</f>
        <v>#VALUE!</v>
      </c>
      <c r="AX230" t="e">
        <f>'All regions'!1134:1134-"n/&gt;!.Ld"</f>
        <v>#VALUE!</v>
      </c>
      <c r="AY230" t="e">
        <f>'All regions'!1135:1135-"n/&gt;!.Le"</f>
        <v>#VALUE!</v>
      </c>
      <c r="AZ230" t="e">
        <f>'All regions'!1136:1136-"n/&gt;!.Lf"</f>
        <v>#VALUE!</v>
      </c>
      <c r="BA230" t="e">
        <f>'All regions'!1137:1137-"n/&gt;!.Lg"</f>
        <v>#VALUE!</v>
      </c>
      <c r="BB230" t="e">
        <f>'All regions'!1138:1138-"n/&gt;!.Lh"</f>
        <v>#VALUE!</v>
      </c>
      <c r="BC230" t="e">
        <f>'All regions'!1139:1139-"n/&gt;!.Li"</f>
        <v>#VALUE!</v>
      </c>
      <c r="BD230" t="e">
        <f>'All regions'!1140:1140-"n/&gt;!.Lj"</f>
        <v>#VALUE!</v>
      </c>
      <c r="BE230" t="e">
        <f>'All regions'!1141:1141-"n/&gt;!.Lk"</f>
        <v>#VALUE!</v>
      </c>
      <c r="BF230" t="e">
        <f>'All regions'!1142:1142-"n/&gt;!.Ll"</f>
        <v>#VALUE!</v>
      </c>
      <c r="BG230" t="e">
        <f>'All regions'!1143:1143-"n/&gt;!.Lm"</f>
        <v>#VALUE!</v>
      </c>
      <c r="BH230" t="e">
        <f>'All regions'!1144:1144-"n/&gt;!.Ln"</f>
        <v>#VALUE!</v>
      </c>
      <c r="BI230" t="e">
        <f>'All regions'!1145:1145-"n/&gt;!.Lo"</f>
        <v>#VALUE!</v>
      </c>
      <c r="BJ230" t="e">
        <f>'All regions'!1146:1146-"n/&gt;!.Lp"</f>
        <v>#VALUE!</v>
      </c>
      <c r="BK230" t="e">
        <f>'All regions'!1147:1147-"n/&gt;!.Lq"</f>
        <v>#VALUE!</v>
      </c>
      <c r="BL230" t="e">
        <f>'All regions'!1148:1148-"n/&gt;!.Lr"</f>
        <v>#VALUE!</v>
      </c>
      <c r="BM230" t="e">
        <f>'All regions'!1149:1149-"n/&gt;!.Ls"</f>
        <v>#VALUE!</v>
      </c>
      <c r="BN230" t="e">
        <f>'All regions'!1150:1150-"n/&gt;!.Lt"</f>
        <v>#VALUE!</v>
      </c>
      <c r="BO230" t="e">
        <f>'All regions'!1151:1151-"n/&gt;!.Lu"</f>
        <v>#VALUE!</v>
      </c>
      <c r="BP230" t="e">
        <f>'All regions'!1152:1152-"n/&gt;!.Lv"</f>
        <v>#VALUE!</v>
      </c>
      <c r="BQ230" t="e">
        <f>'All regions'!1153:1153-"n/&gt;!.Lw"</f>
        <v>#VALUE!</v>
      </c>
      <c r="BR230" t="e">
        <f>'All regions'!1154:1154-"n/&gt;!.Lx"</f>
        <v>#VALUE!</v>
      </c>
      <c r="BS230" t="e">
        <f>'All regions'!1155:1155-"n/&gt;!.Ly"</f>
        <v>#VALUE!</v>
      </c>
      <c r="BT230" t="e">
        <f>'All regions'!1156:1156-"n/&gt;!.Lz"</f>
        <v>#VALUE!</v>
      </c>
      <c r="BU230" t="e">
        <f>'All regions'!1157:1157-"n/&gt;!.L{"</f>
        <v>#VALUE!</v>
      </c>
      <c r="BV230" t="e">
        <f>'All regions'!1158:1158-"n/&gt;!.L|"</f>
        <v>#VALUE!</v>
      </c>
      <c r="BW230" t="e">
        <f>'All regions'!1159:1159-"n/&gt;!.L}"</f>
        <v>#VALUE!</v>
      </c>
      <c r="BX230" t="e">
        <f>'All regions'!1160:1160-"n/&gt;!.L~"</f>
        <v>#VALUE!</v>
      </c>
      <c r="BY230" t="e">
        <f>'All regions'!1161:1161-"n/&gt;!.M#"</f>
        <v>#VALUE!</v>
      </c>
      <c r="BZ230" t="e">
        <f>'All regions'!1162:1162-"n/&gt;!.M$"</f>
        <v>#VALUE!</v>
      </c>
      <c r="CA230" t="e">
        <f>'All regions'!1163:1163-"n/&gt;!.M%"</f>
        <v>#VALUE!</v>
      </c>
      <c r="CB230" t="e">
        <f>'All regions'!1164:1164-"n/&gt;!.M&amp;"</f>
        <v>#VALUE!</v>
      </c>
      <c r="CC230" t="e">
        <f>'All regions'!1165:1165-"n/&gt;!.M'"</f>
        <v>#VALUE!</v>
      </c>
      <c r="CD230" t="e">
        <f>'All regions'!1166:1166-"n/&gt;!.M("</f>
        <v>#VALUE!</v>
      </c>
      <c r="CE230" t="e">
        <f>'All regions'!1167:1167-"n/&gt;!.M)"</f>
        <v>#VALUE!</v>
      </c>
      <c r="CF230" t="e">
        <f>'All regions'!1168:1168-"n/&gt;!.M."</f>
        <v>#VALUE!</v>
      </c>
      <c r="CG230" t="e">
        <f>'All regions'!1169:1169-"n/&gt;!.M/"</f>
        <v>#VALUE!</v>
      </c>
      <c r="CH230" t="e">
        <f>'All regions'!1170:1170-"n/&gt;!.M0"</f>
        <v>#VALUE!</v>
      </c>
      <c r="CI230" t="e">
        <f>'All regions'!1171:1171-"n/&gt;!.M1"</f>
        <v>#VALUE!</v>
      </c>
      <c r="CJ230" t="e">
        <f>'All regions'!1172:1172-"n/&gt;!.M2"</f>
        <v>#VALUE!</v>
      </c>
      <c r="CK230" t="e">
        <f>'All regions'!1173:1173-"n/&gt;!.M3"</f>
        <v>#VALUE!</v>
      </c>
      <c r="CL230" t="e">
        <f>'All regions'!1174:1174-"n/&gt;!.M4"</f>
        <v>#VALUE!</v>
      </c>
      <c r="CM230" t="e">
        <f>'All regions'!1175:1175-"n/&gt;!.M5"</f>
        <v>#VALUE!</v>
      </c>
      <c r="CN230" t="e">
        <f>'All regions'!1176:1176-"n/&gt;!.M6"</f>
        <v>#VALUE!</v>
      </c>
      <c r="CO230" t="e">
        <f>'All regions'!1177:1177-"n/&gt;!.M7"</f>
        <v>#VALUE!</v>
      </c>
      <c r="CP230" t="e">
        <f>'All regions'!1178:1178-"n/&gt;!.M8"</f>
        <v>#VALUE!</v>
      </c>
      <c r="CQ230" t="e">
        <f>'All regions'!1179:1179-"n/&gt;!.M9"</f>
        <v>#VALUE!</v>
      </c>
      <c r="CR230" t="e">
        <f>'All regions'!1180:1180-"n/&gt;!.M:"</f>
        <v>#VALUE!</v>
      </c>
      <c r="CS230" t="e">
        <f>'All regions'!1181:1181-"n/&gt;!.M;"</f>
        <v>#VALUE!</v>
      </c>
      <c r="CT230" t="e">
        <f>'All regions'!1182:1182-"n/&gt;!.M&lt;"</f>
        <v>#VALUE!</v>
      </c>
      <c r="CU230" t="e">
        <f>'All regions'!1183:1183-"n/&gt;!.M="</f>
        <v>#VALUE!</v>
      </c>
      <c r="CV230" t="e">
        <f>'All regions'!1184:1184-"n/&gt;!.M&gt;"</f>
        <v>#VALUE!</v>
      </c>
      <c r="CW230" t="e">
        <f>'All regions'!1185:1185-"n/&gt;!.M?"</f>
        <v>#VALUE!</v>
      </c>
      <c r="CX230" t="e">
        <f>'All regions'!1186:1186-"n/&gt;!.M@"</f>
        <v>#VALUE!</v>
      </c>
      <c r="CY230" t="e">
        <f>'All regions'!1187:1187-"n/&gt;!.MA"</f>
        <v>#VALUE!</v>
      </c>
      <c r="CZ230" t="e">
        <f>'All regions'!1188:1188-"n/&gt;!.MB"</f>
        <v>#VALUE!</v>
      </c>
      <c r="DA230" t="e">
        <f>'All regions'!1189:1189-"n/&gt;!.MC"</f>
        <v>#VALUE!</v>
      </c>
      <c r="DB230" t="e">
        <f>'All regions'!1190:1190-"n/&gt;!.MD"</f>
        <v>#VALUE!</v>
      </c>
      <c r="DC230" t="e">
        <f>'All regions'!1191:1191-"n/&gt;!.ME"</f>
        <v>#VALUE!</v>
      </c>
      <c r="DD230" t="e">
        <f>'All regions'!1192:1192-"n/&gt;!.MF"</f>
        <v>#VALUE!</v>
      </c>
      <c r="DE230" t="e">
        <f>'All regions'!1193:1193-"n/&gt;!.MG"</f>
        <v>#VALUE!</v>
      </c>
      <c r="DF230" t="e">
        <f>'All regions'!1194:1194-"n/&gt;!.MH"</f>
        <v>#VALUE!</v>
      </c>
      <c r="DG230" t="e">
        <f>'All regions'!1195:1195-"n/&gt;!.MI"</f>
        <v>#VALUE!</v>
      </c>
      <c r="DH230" t="e">
        <f>'All regions'!1196:1196-"n/&gt;!.MJ"</f>
        <v>#VALUE!</v>
      </c>
      <c r="DI230" t="e">
        <f>'All regions'!1197:1197-"n/&gt;!.MK"</f>
        <v>#VALUE!</v>
      </c>
      <c r="DJ230" t="e">
        <f>'All regions'!1198:1198-"n/&gt;!.ML"</f>
        <v>#VALUE!</v>
      </c>
      <c r="DK230" t="e">
        <f>'All regions'!1199:1199-"n/&gt;!.MM"</f>
        <v>#VALUE!</v>
      </c>
      <c r="DL230" t="e">
        <f>'All regions'!1200:1200-"n/&gt;!.MN"</f>
        <v>#VALUE!</v>
      </c>
      <c r="DM230" t="e">
        <f>'All regions'!1201:1201-"n/&gt;!.MO"</f>
        <v>#VALUE!</v>
      </c>
      <c r="DN230" t="e">
        <f>'All regions'!1202:1202-"n/&gt;!.MP"</f>
        <v>#VALUE!</v>
      </c>
      <c r="DO230" t="e">
        <f>'All regions'!1203:1203-"n/&gt;!.MQ"</f>
        <v>#VALUE!</v>
      </c>
      <c r="DP230" t="e">
        <f>'All regions'!1204:1204-"n/&gt;!.MR"</f>
        <v>#VALUE!</v>
      </c>
      <c r="DQ230" t="e">
        <f>'All regions'!1205:1205-"n/&gt;!.MS"</f>
        <v>#VALUE!</v>
      </c>
      <c r="DR230" t="e">
        <f>'All regions'!1206:1206-"n/&gt;!.MT"</f>
        <v>#VALUE!</v>
      </c>
      <c r="DS230" t="e">
        <f>'All regions'!1207:1207-"n/&gt;!.MU"</f>
        <v>#VALUE!</v>
      </c>
      <c r="DT230" t="e">
        <f>'All regions'!1208:1208-"n/&gt;!.MV"</f>
        <v>#VALUE!</v>
      </c>
      <c r="DU230" t="e">
        <f>'All regions'!1209:1209-"n/&gt;!.MW"</f>
        <v>#VALUE!</v>
      </c>
      <c r="DV230" t="e">
        <f>'All regions'!1210:1210-"n/&gt;!.MX"</f>
        <v>#VALUE!</v>
      </c>
      <c r="DW230" t="e">
        <f>'All regions'!1211:1211-"n/&gt;!.MY"</f>
        <v>#VALUE!</v>
      </c>
      <c r="DX230" t="e">
        <f>'All regions'!1212:1212-"n/&gt;!.MZ"</f>
        <v>#VALUE!</v>
      </c>
      <c r="DY230" t="e">
        <f>'All regions'!1213:1213-"n/&gt;!.M["</f>
        <v>#VALUE!</v>
      </c>
      <c r="DZ230" t="e">
        <f>'All regions'!1214:1214-"n/&gt;!.M\"</f>
        <v>#VALUE!</v>
      </c>
      <c r="EA230" t="e">
        <f>'All regions'!1215:1215-"n/&gt;!.M]"</f>
        <v>#VALUE!</v>
      </c>
      <c r="EB230" t="e">
        <f>'All regions'!1216:1216-"n/&gt;!.M^"</f>
        <v>#VALUE!</v>
      </c>
      <c r="EC230" t="e">
        <f>'All regions'!1217:1217-"n/&gt;!.M_"</f>
        <v>#VALUE!</v>
      </c>
      <c r="ED230" t="e">
        <f>'All regions'!1218:1218-"n/&gt;!.M`"</f>
        <v>#VALUE!</v>
      </c>
      <c r="EE230" t="e">
        <f>'All regions'!1219:1219-"n/&gt;!.Ma"</f>
        <v>#VALUE!</v>
      </c>
      <c r="EF230" t="e">
        <f>'All regions'!1220:1220-"n/&gt;!.Mb"</f>
        <v>#VALUE!</v>
      </c>
      <c r="EG230" t="e">
        <f>'All regions'!1221:1221-"n/&gt;!.Mc"</f>
        <v>#VALUE!</v>
      </c>
      <c r="EH230" t="e">
        <f>'All regions'!1222:1222-"n/&gt;!.Md"</f>
        <v>#VALUE!</v>
      </c>
      <c r="EI230" t="e">
        <f>'All regions'!1223:1223-"n/&gt;!.Me"</f>
        <v>#VALUE!</v>
      </c>
      <c r="EJ230" t="e">
        <f>'All regions'!1224:1224-"n/&gt;!.Mf"</f>
        <v>#VALUE!</v>
      </c>
      <c r="EK230" t="e">
        <f>'All regions'!1225:1225-"n/&gt;!.Mg"</f>
        <v>#VALUE!</v>
      </c>
      <c r="EL230" t="e">
        <f>'All regions'!1226:1226-"n/&gt;!.Mh"</f>
        <v>#VALUE!</v>
      </c>
      <c r="EM230" t="e">
        <f>'All regions'!1227:1227-"n/&gt;!.Mi"</f>
        <v>#VALUE!</v>
      </c>
      <c r="EN230" t="e">
        <f>'All regions'!1228:1228-"n/&gt;!.Mj"</f>
        <v>#VALUE!</v>
      </c>
      <c r="EO230" t="e">
        <f>'All regions'!1229:1229-"n/&gt;!.Mk"</f>
        <v>#VALUE!</v>
      </c>
      <c r="EP230" t="e">
        <f>'All regions'!1230:1230-"n/&gt;!.Ml"</f>
        <v>#VALUE!</v>
      </c>
      <c r="EQ230" t="e">
        <f>'All regions'!1231:1231-"n/&gt;!.Mm"</f>
        <v>#VALUE!</v>
      </c>
      <c r="ER230" t="e">
        <f>'All regions'!1232:1232-"n/&gt;!.Mn"</f>
        <v>#VALUE!</v>
      </c>
      <c r="ES230" t="e">
        <f>'All regions'!1233:1233-"n/&gt;!.Mo"</f>
        <v>#VALUE!</v>
      </c>
      <c r="ET230" t="e">
        <f>'All regions'!1234:1234-"n/&gt;!.Mp"</f>
        <v>#VALUE!</v>
      </c>
      <c r="EU230" t="e">
        <f>'All regions'!1235:1235-"n/&gt;!.Mq"</f>
        <v>#VALUE!</v>
      </c>
      <c r="EV230" t="e">
        <f>'All regions'!1236:1236-"n/&gt;!.Mr"</f>
        <v>#VALUE!</v>
      </c>
      <c r="EW230" t="e">
        <f>'All regions'!1237:1237-"n/&gt;!.Ms"</f>
        <v>#VALUE!</v>
      </c>
      <c r="EX230" t="e">
        <f>'All regions'!1238:1238-"n/&gt;!.Mt"</f>
        <v>#VALUE!</v>
      </c>
      <c r="EY230" t="e">
        <f>'All regions'!1239:1239-"n/&gt;!.Mu"</f>
        <v>#VALUE!</v>
      </c>
      <c r="EZ230" t="e">
        <f>'All regions'!1240:1240-"n/&gt;!.Mv"</f>
        <v>#VALUE!</v>
      </c>
      <c r="FA230" t="e">
        <f>'All regions'!1241:1241-"n/&gt;!.Mw"</f>
        <v>#VALUE!</v>
      </c>
      <c r="FB230" t="e">
        <f>'All regions'!1242:1242-"n/&gt;!.Mx"</f>
        <v>#VALUE!</v>
      </c>
      <c r="FC230" t="e">
        <f>'All regions'!1243:1243-"n/&gt;!.My"</f>
        <v>#VALUE!</v>
      </c>
      <c r="FD230" t="e">
        <f>'All regions'!1244:1244-"n/&gt;!.Mz"</f>
        <v>#VALUE!</v>
      </c>
      <c r="FE230" t="e">
        <f>'All regions'!1245:1245-"n/&gt;!.M{"</f>
        <v>#VALUE!</v>
      </c>
      <c r="FF230" t="e">
        <f>'All regions'!1246:1246-"n/&gt;!.M|"</f>
        <v>#VALUE!</v>
      </c>
      <c r="FG230" t="e">
        <f>'All regions'!1247:1247-"n/&gt;!.M}"</f>
        <v>#VALUE!</v>
      </c>
      <c r="FH230" t="e">
        <f>'All regions'!1248:1248-"n/&gt;!.M~"</f>
        <v>#VALUE!</v>
      </c>
      <c r="FI230" t="e">
        <f>'All regions'!1249:1249-"n/&gt;!.N#"</f>
        <v>#VALUE!</v>
      </c>
      <c r="FJ230" t="e">
        <f>'All regions'!1250:1250-"n/&gt;!.N$"</f>
        <v>#VALUE!</v>
      </c>
      <c r="FK230" t="e">
        <f>'All regions'!1251:1251-"n/&gt;!.N%"</f>
        <v>#VALUE!</v>
      </c>
      <c r="FL230" t="e">
        <f>'All regions'!1252:1252-"n/&gt;!.N&amp;"</f>
        <v>#VALUE!</v>
      </c>
      <c r="FM230" t="e">
        <f>'All regions'!1253:1253-"n/&gt;!.N'"</f>
        <v>#VALUE!</v>
      </c>
      <c r="FN230" t="e">
        <f>'All regions'!1254:1254-"n/&gt;!.N("</f>
        <v>#VALUE!</v>
      </c>
      <c r="FO230" t="e">
        <f>'All regions'!1255:1255-"n/&gt;!.N)"</f>
        <v>#VALUE!</v>
      </c>
      <c r="FP230" t="e">
        <f>'All regions'!1256:1256-"n/&gt;!.N."</f>
        <v>#VALUE!</v>
      </c>
      <c r="FQ230" t="e">
        <f>'All regions'!1257:1257-"n/&gt;!.N/"</f>
        <v>#VALUE!</v>
      </c>
      <c r="FR230" t="e">
        <f>'All regions'!1258:1258-"n/&gt;!.N0"</f>
        <v>#VALUE!</v>
      </c>
      <c r="FS230" t="e">
        <f>'All regions'!1259:1259-"n/&gt;!.N1"</f>
        <v>#VALUE!</v>
      </c>
      <c r="FT230" t="e">
        <f>'All regions'!1260:1260-"n/&gt;!.N2"</f>
        <v>#VALUE!</v>
      </c>
      <c r="FU230" t="e">
        <f>'All regions'!1261:1261-"n/&gt;!.N3"</f>
        <v>#VALUE!</v>
      </c>
      <c r="FV230" t="e">
        <f>'All regions'!1262:1262-"n/&gt;!.N4"</f>
        <v>#VALUE!</v>
      </c>
      <c r="FW230" t="e">
        <f>'All regions'!1263:1263-"n/&gt;!.N5"</f>
        <v>#VALUE!</v>
      </c>
      <c r="FX230" t="e">
        <f>'All regions'!1264:1264-"n/&gt;!.N6"</f>
        <v>#VALUE!</v>
      </c>
      <c r="FY230" t="e">
        <f>'All regions'!1265:1265-"n/&gt;!.N7"</f>
        <v>#VALUE!</v>
      </c>
      <c r="FZ230" t="e">
        <f>'All regions'!1266:1266-"n/&gt;!.N8"</f>
        <v>#VALUE!</v>
      </c>
      <c r="GA230" t="e">
        <f>'All regions'!1267:1267-"n/&gt;!.N9"</f>
        <v>#VALUE!</v>
      </c>
      <c r="GB230" t="e">
        <f>'All regions'!1268:1268-"n/&gt;!.N:"</f>
        <v>#VALUE!</v>
      </c>
      <c r="GC230" t="e">
        <f>'All regions'!1269:1269-"n/&gt;!.N;"</f>
        <v>#VALUE!</v>
      </c>
      <c r="GD230" t="e">
        <f>'All regions'!1270:1270-"n/&gt;!.N&lt;"</f>
        <v>#VALUE!</v>
      </c>
      <c r="GE230" t="e">
        <f>'All regions'!1271:1271-"n/&gt;!.N="</f>
        <v>#VALUE!</v>
      </c>
      <c r="GF230" t="e">
        <f>'All regions'!1272:1272-"n/&gt;!.N&gt;"</f>
        <v>#VALUE!</v>
      </c>
      <c r="GG230" t="e">
        <f>'All regions'!1273:1273-"n/&gt;!.N?"</f>
        <v>#VALUE!</v>
      </c>
      <c r="GH230" t="e">
        <f>'All regions'!1274:1274-"n/&gt;!.N@"</f>
        <v>#VALUE!</v>
      </c>
      <c r="GI230" t="e">
        <f>'All regions'!1275:1275-"n/&gt;!.NA"</f>
        <v>#VALUE!</v>
      </c>
      <c r="GJ230" t="e">
        <f>'All regions'!1276:1276-"n/&gt;!.NB"</f>
        <v>#VALUE!</v>
      </c>
      <c r="GK230" t="e">
        <f>'All regions'!1277:1277-"n/&gt;!.NC"</f>
        <v>#VALUE!</v>
      </c>
      <c r="GL230" t="e">
        <f>'All regions'!1278:1278-"n/&gt;!.ND"</f>
        <v>#VALUE!</v>
      </c>
      <c r="GM230" t="e">
        <f>'All regions'!1279:1279-"n/&gt;!.NE"</f>
        <v>#VALUE!</v>
      </c>
      <c r="GN230" t="e">
        <f>'All regions'!1280:1280-"n/&gt;!.NF"</f>
        <v>#VALUE!</v>
      </c>
      <c r="GO230" t="e">
        <f>'All regions'!1281:1281-"n/&gt;!.NG"</f>
        <v>#VALUE!</v>
      </c>
      <c r="GP230" t="e">
        <f>'All regions'!1282:1282-"n/&gt;!.NH"</f>
        <v>#VALUE!</v>
      </c>
      <c r="GQ230" t="e">
        <f>'All regions'!1283:1283-"n/&gt;!.NI"</f>
        <v>#VALUE!</v>
      </c>
      <c r="GR230" t="e">
        <f>'All regions'!1284:1284-"n/&gt;!.NJ"</f>
        <v>#VALUE!</v>
      </c>
      <c r="GS230" t="e">
        <f>'All regions'!1285:1285-"n/&gt;!.NK"</f>
        <v>#VALUE!</v>
      </c>
      <c r="GT230" t="e">
        <f>'All regions'!1286:1286-"n/&gt;!.NL"</f>
        <v>#VALUE!</v>
      </c>
      <c r="GU230" t="e">
        <f>'All regions'!1287:1287-"n/&gt;!.NM"</f>
        <v>#VALUE!</v>
      </c>
      <c r="GV230" t="e">
        <f>'All regions'!1288:1288-"n/&gt;!.NN"</f>
        <v>#VALUE!</v>
      </c>
      <c r="GW230" t="e">
        <f>'All regions'!1289:1289-"n/&gt;!.NO"</f>
        <v>#VALUE!</v>
      </c>
      <c r="GX230" t="e">
        <f>'All regions'!1290:1290-"n/&gt;!.NP"</f>
        <v>#VALUE!</v>
      </c>
      <c r="GY230" t="e">
        <f>'All regions'!1291:1291-"n/&gt;!.NQ"</f>
        <v>#VALUE!</v>
      </c>
      <c r="GZ230" t="e">
        <f>'All regions'!1292:1292-"n/&gt;!.NR"</f>
        <v>#VALUE!</v>
      </c>
      <c r="HA230" t="e">
        <f>'All regions'!1293:1293-"n/&gt;!.NS"</f>
        <v>#VALUE!</v>
      </c>
      <c r="HB230" t="e">
        <f>'All regions'!1294:1294-"n/&gt;!.NT"</f>
        <v>#VALUE!</v>
      </c>
      <c r="HC230" t="e">
        <f>'All regions'!1295:1295-"n/&gt;!.NU"</f>
        <v>#VALUE!</v>
      </c>
      <c r="HD230" t="e">
        <f>'All regions'!1296:1296-"n/&gt;!.NV"</f>
        <v>#VALUE!</v>
      </c>
      <c r="HE230" t="e">
        <f>'All regions'!1297:1297-"n/&gt;!.NW"</f>
        <v>#VALUE!</v>
      </c>
      <c r="HF230" t="e">
        <f>'All regions'!1298:1298-"n/&gt;!.NX"</f>
        <v>#VALUE!</v>
      </c>
      <c r="HG230" t="e">
        <f>'All regions'!1299:1299-"n/&gt;!.NY"</f>
        <v>#VALUE!</v>
      </c>
      <c r="HH230" t="e">
        <f>'All regions'!1300:1300-"n/&gt;!.NZ"</f>
        <v>#VALUE!</v>
      </c>
      <c r="HI230" t="e">
        <f>'All regions'!1301:1301-"n/&gt;!.N["</f>
        <v>#VALUE!</v>
      </c>
      <c r="HJ230" t="e">
        <f>'All regions'!1302:1302-"n/&gt;!.N\"</f>
        <v>#VALUE!</v>
      </c>
      <c r="HK230" t="e">
        <f>'All regions'!1303:1303-"n/&gt;!.N]"</f>
        <v>#VALUE!</v>
      </c>
      <c r="HL230" t="e">
        <f>'All regions'!1304:1304-"n/&gt;!.N^"</f>
        <v>#VALUE!</v>
      </c>
      <c r="HM230" t="e">
        <f>'All regions'!1305:1305-"n/&gt;!.N_"</f>
        <v>#VALUE!</v>
      </c>
      <c r="HN230" t="e">
        <f>'All regions'!1306:1306-"n/&gt;!.N`"</f>
        <v>#VALUE!</v>
      </c>
      <c r="HO230" t="e">
        <f>'All regions'!1307:1307-"n/&gt;!.Na"</f>
        <v>#VALUE!</v>
      </c>
      <c r="HP230" t="e">
        <f>'All regions'!1308:1308-"n/&gt;!.Nb"</f>
        <v>#VALUE!</v>
      </c>
      <c r="HQ230" t="e">
        <f>'All regions'!1309:1309-"n/&gt;!.Nc"</f>
        <v>#VALUE!</v>
      </c>
      <c r="HR230" t="e">
        <f>'All regions'!1310:1310-"n/&gt;!.Nd"</f>
        <v>#VALUE!</v>
      </c>
      <c r="HS230" t="e">
        <f>'All regions'!1311:1311-"n/&gt;!.Ne"</f>
        <v>#VALUE!</v>
      </c>
      <c r="HT230" t="e">
        <f>'All regions'!1312:1312-"n/&gt;!.Nf"</f>
        <v>#VALUE!</v>
      </c>
      <c r="HU230" t="e">
        <f>'All regions'!1313:1313-"n/&gt;!.Ng"</f>
        <v>#VALUE!</v>
      </c>
      <c r="HV230" t="e">
        <f>'All regions'!1314:1314-"n/&gt;!.Nh"</f>
        <v>#VALUE!</v>
      </c>
      <c r="HW230" t="e">
        <f>'All regions'!1315:1315-"n/&gt;!.Ni"</f>
        <v>#VALUE!</v>
      </c>
      <c r="HX230" t="e">
        <f>'All regions'!1316:1316-"n/&gt;!.Nj"</f>
        <v>#VALUE!</v>
      </c>
      <c r="HY230" t="e">
        <f>'All regions'!1317:1317-"n/&gt;!.Nk"</f>
        <v>#VALUE!</v>
      </c>
      <c r="HZ230" t="e">
        <f>'All regions'!1318:1318-"n/&gt;!.Nl"</f>
        <v>#VALUE!</v>
      </c>
      <c r="IA230" t="e">
        <f>'All regions'!1319:1319-"n/&gt;!.Nm"</f>
        <v>#VALUE!</v>
      </c>
      <c r="IB230" t="e">
        <f>'All regions'!1320:1320-"n/&gt;!.Nn"</f>
        <v>#VALUE!</v>
      </c>
      <c r="IC230" t="e">
        <f>'All regions'!1321:1321-"n/&gt;!.No"</f>
        <v>#VALUE!</v>
      </c>
      <c r="ID230" t="e">
        <f>'All regions'!1322:1322-"n/&gt;!.Np"</f>
        <v>#VALUE!</v>
      </c>
      <c r="IE230" t="e">
        <f>'All regions'!1323:1323-"n/&gt;!.Nq"</f>
        <v>#VALUE!</v>
      </c>
      <c r="IF230" t="e">
        <f>'All regions'!1324:1324-"n/&gt;!.Nr"</f>
        <v>#VALUE!</v>
      </c>
      <c r="IG230" t="e">
        <f>'All regions'!1325:1325-"n/&gt;!.Ns"</f>
        <v>#VALUE!</v>
      </c>
      <c r="IH230" t="e">
        <f>'All regions'!1326:1326-"n/&gt;!.Nt"</f>
        <v>#VALUE!</v>
      </c>
      <c r="II230" t="e">
        <f>'All regions'!1327:1327-"n/&gt;!.Nu"</f>
        <v>#VALUE!</v>
      </c>
      <c r="IJ230" t="e">
        <f>'All regions'!1328:1328-"n/&gt;!.Nv"</f>
        <v>#VALUE!</v>
      </c>
      <c r="IK230" t="e">
        <f>'All regions'!1329:1329-"n/&gt;!.Nw"</f>
        <v>#VALUE!</v>
      </c>
      <c r="IL230" t="e">
        <f>'All regions'!1330:1330-"n/&gt;!.Nx"</f>
        <v>#VALUE!</v>
      </c>
      <c r="IM230" t="e">
        <f>'All regions'!1331:1331-"n/&gt;!.Ny"</f>
        <v>#VALUE!</v>
      </c>
      <c r="IN230" t="e">
        <f>'All regions'!1332:1332-"n/&gt;!.Nz"</f>
        <v>#VALUE!</v>
      </c>
      <c r="IO230" t="e">
        <f>'All regions'!1333:1333-"n/&gt;!.N{"</f>
        <v>#VALUE!</v>
      </c>
      <c r="IP230" t="e">
        <f>'All regions'!1334:1334-"n/&gt;!.N|"</f>
        <v>#VALUE!</v>
      </c>
      <c r="IQ230" t="e">
        <f>'All regions'!1335:1335-"n/&gt;!.N}"</f>
        <v>#VALUE!</v>
      </c>
      <c r="IR230" t="e">
        <f>'All regions'!1336:1336-"n/&gt;!.N~"</f>
        <v>#VALUE!</v>
      </c>
      <c r="IS230" t="e">
        <f>'All regions'!1337:1337-"n/&gt;!.O#"</f>
        <v>#VALUE!</v>
      </c>
      <c r="IT230" t="e">
        <f>'All regions'!1338:1338-"n/&gt;!.O$"</f>
        <v>#VALUE!</v>
      </c>
      <c r="IU230" t="e">
        <f>'All regions'!1339:1339-"n/&gt;!.O%"</f>
        <v>#VALUE!</v>
      </c>
      <c r="IV230" t="e">
        <f>'All regions'!1340:1340-"n/&gt;!.O&amp;"</f>
        <v>#VALUE!</v>
      </c>
    </row>
    <row r="231" spans="6:256" x14ac:dyDescent="0.35">
      <c r="F231" t="e">
        <f>'All regions'!1341:1341-"n/&gt;!.O'"</f>
        <v>#VALUE!</v>
      </c>
      <c r="G231" t="e">
        <f>'All regions'!1342:1342-"n/&gt;!.O("</f>
        <v>#VALUE!</v>
      </c>
      <c r="H231" t="e">
        <f>'All regions'!1343:1343-"n/&gt;!.O)"</f>
        <v>#VALUE!</v>
      </c>
      <c r="I231" t="e">
        <f>'All regions'!1344:1344-"n/&gt;!.O."</f>
        <v>#VALUE!</v>
      </c>
      <c r="J231" t="e">
        <f>'All regions'!1345:1345-"n/&gt;!.O/"</f>
        <v>#VALUE!</v>
      </c>
      <c r="K231" t="e">
        <f>'All regions'!1346:1346-"n/&gt;!.O0"</f>
        <v>#VALUE!</v>
      </c>
      <c r="L231" t="e">
        <f>'All regions'!1347:1347-"n/&gt;!.O1"</f>
        <v>#VALUE!</v>
      </c>
      <c r="M231" t="e">
        <f>'All regions'!1348:1348-"n/&gt;!.O2"</f>
        <v>#VALUE!</v>
      </c>
      <c r="N231" t="e">
        <f>'All regions'!1349:1349-"n/&gt;!.O3"</f>
        <v>#VALUE!</v>
      </c>
      <c r="O231" t="e">
        <f>'All regions'!1350:1350-"n/&gt;!.O4"</f>
        <v>#VALUE!</v>
      </c>
      <c r="P231" t="e">
        <f>'All regions'!1351:1351-"n/&gt;!.O5"</f>
        <v>#VALUE!</v>
      </c>
      <c r="Q231" t="e">
        <f>'All regions'!1352:1352-"n/&gt;!.O6"</f>
        <v>#VALUE!</v>
      </c>
      <c r="R231" t="e">
        <f>'All regions'!1353:1353-"n/&gt;!.O7"</f>
        <v>#VALUE!</v>
      </c>
      <c r="S231" t="e">
        <f>'All regions'!1354:1354-"n/&gt;!.O8"</f>
        <v>#VALUE!</v>
      </c>
      <c r="T231" t="e">
        <f>'All regions'!1355:1355-"n/&gt;!.O9"</f>
        <v>#VALUE!</v>
      </c>
      <c r="U231" t="e">
        <f>'All regions'!1356:1356-"n/&gt;!.O:"</f>
        <v>#VALUE!</v>
      </c>
      <c r="V231" t="e">
        <f>'All regions'!1357:1357-"n/&gt;!.O;"</f>
        <v>#VALUE!</v>
      </c>
      <c r="W231" t="e">
        <f>'All regions'!1358:1358-"n/&gt;!.O&lt;"</f>
        <v>#VALUE!</v>
      </c>
      <c r="X231" t="e">
        <f>'All regions'!1359:1359-"n/&gt;!.O="</f>
        <v>#VALUE!</v>
      </c>
      <c r="Y231" t="e">
        <f>'All regions'!1360:1360-"n/&gt;!.O&gt;"</f>
        <v>#VALUE!</v>
      </c>
      <c r="Z231" t="e">
        <f>'All regions'!1361:1361-"n/&gt;!.O?"</f>
        <v>#VALUE!</v>
      </c>
      <c r="AA231" t="e">
        <f>'All regions'!1362:1362-"n/&gt;!.O@"</f>
        <v>#VALUE!</v>
      </c>
      <c r="AB231" t="e">
        <f>'All regions'!1363:1363-"n/&gt;!.OA"</f>
        <v>#VALUE!</v>
      </c>
      <c r="AC231" t="e">
        <f>'All regions'!1364:1364-"n/&gt;!.OB"</f>
        <v>#VALUE!</v>
      </c>
      <c r="AD231" t="e">
        <f>'All regions'!1365:1365-"n/&gt;!.OC"</f>
        <v>#VALUE!</v>
      </c>
      <c r="AE231" t="e">
        <f>'All regions'!1366:1366-"n/&gt;!.OD"</f>
        <v>#VALUE!</v>
      </c>
      <c r="AF231" t="e">
        <f>'All regions'!1367:1367-"n/&gt;!.OE"</f>
        <v>#VALUE!</v>
      </c>
      <c r="AG231" t="e">
        <f>'All regions'!1368:1368-"n/&gt;!.OF"</f>
        <v>#VALUE!</v>
      </c>
      <c r="AH231" t="e">
        <f>'All regions'!1369:1369-"n/&gt;!.OG"</f>
        <v>#VALUE!</v>
      </c>
      <c r="AI231" t="e">
        <f>'All regions'!1370:1370-"n/&gt;!.OH"</f>
        <v>#VALUE!</v>
      </c>
      <c r="AJ231" t="e">
        <f>'All regions'!1371:1371-"n/&gt;!.OI"</f>
        <v>#VALUE!</v>
      </c>
      <c r="AK231" t="e">
        <f>'All regions'!1372:1372-"n/&gt;!.OJ"</f>
        <v>#VALUE!</v>
      </c>
      <c r="AL231" t="e">
        <f>'All regions'!1373:1373-"n/&gt;!.OK"</f>
        <v>#VALUE!</v>
      </c>
      <c r="AM231" t="e">
        <f>'All regions'!1374:1374-"n/&gt;!.OL"</f>
        <v>#VALUE!</v>
      </c>
      <c r="AN231" t="e">
        <f>'All regions'!1375:1375-"n/&gt;!.OM"</f>
        <v>#VALUE!</v>
      </c>
      <c r="AO231" t="e">
        <f>'All regions'!1376:1376-"n/&gt;!.ON"</f>
        <v>#VALUE!</v>
      </c>
      <c r="AP231" t="e">
        <f>'All regions'!1377:1377-"n/&gt;!.OO"</f>
        <v>#VALUE!</v>
      </c>
      <c r="AQ231" t="e">
        <f>'All regions'!1378:1378-"n/&gt;!.OP"</f>
        <v>#VALUE!</v>
      </c>
      <c r="AR231" t="e">
        <f>'All regions'!1379:1379-"n/&gt;!.OQ"</f>
        <v>#VALUE!</v>
      </c>
      <c r="AS231" t="e">
        <f>'All regions'!1380:1380-"n/&gt;!.OR"</f>
        <v>#VALUE!</v>
      </c>
      <c r="AT231" t="e">
        <f>'All regions'!1381:1381-"n/&gt;!.OS"</f>
        <v>#VALUE!</v>
      </c>
      <c r="AU231" t="e">
        <f>'All regions'!1382:1382-"n/&gt;!.OT"</f>
        <v>#VALUE!</v>
      </c>
      <c r="AV231" t="e">
        <f>'All regions'!1383:1383-"n/&gt;!.OU"</f>
        <v>#VALUE!</v>
      </c>
      <c r="AW231" t="e">
        <f>'All regions'!1384:1384-"n/&gt;!.OV"</f>
        <v>#VALUE!</v>
      </c>
      <c r="AX231" t="e">
        <f>'All regions'!1385:1385-"n/&gt;!.OW"</f>
        <v>#VALUE!</v>
      </c>
      <c r="AY231" t="e">
        <f>'All regions'!1386:1386-"n/&gt;!.OX"</f>
        <v>#VALUE!</v>
      </c>
      <c r="AZ231" t="e">
        <f>'All regions'!1387:1387-"n/&gt;!.OY"</f>
        <v>#VALUE!</v>
      </c>
      <c r="BA231" t="e">
        <f>'All regions'!1388:1388-"n/&gt;!.OZ"</f>
        <v>#VALUE!</v>
      </c>
      <c r="BB231" t="e">
        <f>'All regions'!1389:1389-"n/&gt;!.O["</f>
        <v>#VALUE!</v>
      </c>
      <c r="BC231" t="e">
        <f>'All regions'!1390:1390-"n/&gt;!.O\"</f>
        <v>#VALUE!</v>
      </c>
      <c r="BD231" t="e">
        <f>'All regions'!1391:1391-"n/&gt;!.O]"</f>
        <v>#VALUE!</v>
      </c>
      <c r="BE231" t="e">
        <f>'All regions'!1392:1392-"n/&gt;!.O^"</f>
        <v>#VALUE!</v>
      </c>
      <c r="BF231" t="e">
        <f>'All regions'!1393:1393-"n/&gt;!.O_"</f>
        <v>#VALUE!</v>
      </c>
      <c r="BG231" t="e">
        <f>'All regions'!1394:1394-"n/&gt;!.O`"</f>
        <v>#VALUE!</v>
      </c>
      <c r="BH231" t="e">
        <f>'All regions'!1395:1395-"n/&gt;!.Oa"</f>
        <v>#VALUE!</v>
      </c>
      <c r="BI231" t="e">
        <f>'All regions'!1396:1396-"n/&gt;!.Ob"</f>
        <v>#VALUE!</v>
      </c>
      <c r="BJ231" t="e">
        <f>'All regions'!1397:1397-"n/&gt;!.Oc"</f>
        <v>#VALUE!</v>
      </c>
      <c r="BK231" t="e">
        <f>'All regions'!1398:1398-"n/&gt;!.Od"</f>
        <v>#VALUE!</v>
      </c>
      <c r="BL231" t="e">
        <f>'All regions'!1399:1399-"n/&gt;!.Oe"</f>
        <v>#VALUE!</v>
      </c>
      <c r="BM231" t="e">
        <f>'All regions'!1400:1400-"n/&gt;!.Of"</f>
        <v>#VALUE!</v>
      </c>
      <c r="BN231" t="e">
        <f>'All regions'!1401:1401-"n/&gt;!.Og"</f>
        <v>#VALUE!</v>
      </c>
      <c r="BO231" t="e">
        <f>'All regions'!1402:1402-"n/&gt;!.Oh"</f>
        <v>#VALUE!</v>
      </c>
      <c r="BP231" t="e">
        <f>'All regions'!1403:1403-"n/&gt;!.Oi"</f>
        <v>#VALUE!</v>
      </c>
      <c r="BQ231" t="e">
        <f>'All regions'!1404:1404-"n/&gt;!.Oj"</f>
        <v>#VALUE!</v>
      </c>
      <c r="BR231" t="e">
        <f>'All regions'!1405:1405-"n/&gt;!.Ok"</f>
        <v>#VALUE!</v>
      </c>
      <c r="BS231" t="e">
        <f>'All regions'!1406:1406-"n/&gt;!.Ol"</f>
        <v>#VALUE!</v>
      </c>
      <c r="BT231" t="e">
        <f>'All regions'!1407:1407-"n/&gt;!.Om"</f>
        <v>#VALUE!</v>
      </c>
      <c r="BU231" t="e">
        <f>'All regions'!1408:1408-"n/&gt;!.On"</f>
        <v>#VALUE!</v>
      </c>
      <c r="BV231" t="e">
        <f>'All regions'!1409:1409-"n/&gt;!.Oo"</f>
        <v>#VALUE!</v>
      </c>
      <c r="BW231" t="e">
        <f>'All regions'!1410:1410-"n/&gt;!.Op"</f>
        <v>#VALUE!</v>
      </c>
      <c r="BX231" t="e">
        <f>'All regions'!1411:1411-"n/&gt;!.Oq"</f>
        <v>#VALUE!</v>
      </c>
      <c r="BY231" t="e">
        <f>'All regions'!1412:1412-"n/&gt;!.Or"</f>
        <v>#VALUE!</v>
      </c>
      <c r="BZ231" t="e">
        <f>'All regions'!1413:1413-"n/&gt;!.Os"</f>
        <v>#VALUE!</v>
      </c>
      <c r="CA231" t="e">
        <f>'All regions'!1414:1414-"n/&gt;!.Ot"</f>
        <v>#VALUE!</v>
      </c>
      <c r="CB231" t="e">
        <f>'All regions'!1415:1415-"n/&gt;!.Ou"</f>
        <v>#VALUE!</v>
      </c>
      <c r="CC231" t="e">
        <f>'All regions'!1416:1416-"n/&gt;!.Ov"</f>
        <v>#VALUE!</v>
      </c>
      <c r="CD231" t="e">
        <f>'All regions'!1417:1417-"n/&gt;!.Ow"</f>
        <v>#VALUE!</v>
      </c>
      <c r="CE231" t="e">
        <f>'All regions'!1418:1418-"n/&gt;!.Ox"</f>
        <v>#VALUE!</v>
      </c>
      <c r="CF231" t="e">
        <f>'All regions'!1419:1419-"n/&gt;!.Oy"</f>
        <v>#VALUE!</v>
      </c>
      <c r="CG231" t="e">
        <f>'All regions'!1420:1420-"n/&gt;!.Oz"</f>
        <v>#VALUE!</v>
      </c>
      <c r="CH231" t="e">
        <f>'All regions'!1421:1421-"n/&gt;!.O{"</f>
        <v>#VALUE!</v>
      </c>
      <c r="CI231" t="e">
        <f>'All regions'!1422:1422-"n/&gt;!.O|"</f>
        <v>#VALUE!</v>
      </c>
      <c r="CJ231" t="e">
        <f>'All regions'!1423:1423-"n/&gt;!.O}"</f>
        <v>#VALUE!</v>
      </c>
      <c r="CK231" t="e">
        <f>'All regions'!1424:1424-"n/&gt;!.O~"</f>
        <v>#VALUE!</v>
      </c>
      <c r="CL231" t="e">
        <f>'All regions'!1425:1425-"n/&gt;!.P#"</f>
        <v>#VALUE!</v>
      </c>
      <c r="CM231" t="e">
        <f>'All regions'!1426:1426-"n/&gt;!.P$"</f>
        <v>#VALUE!</v>
      </c>
      <c r="CN231" t="e">
        <f>'All regions'!1427:1427-"n/&gt;!.P%"</f>
        <v>#VALUE!</v>
      </c>
      <c r="CO231" t="e">
        <f>'All regions'!1428:1428-"n/&gt;!.P&amp;"</f>
        <v>#VALUE!</v>
      </c>
      <c r="CP231" t="e">
        <f>'All regions'!1429:1429-"n/&gt;!.P'"</f>
        <v>#VALUE!</v>
      </c>
      <c r="CQ231" t="e">
        <f>'All regions'!1430:1430-"n/&gt;!.P("</f>
        <v>#VALUE!</v>
      </c>
      <c r="CR231" t="e">
        <f>'All regions'!1431:1431-"n/&gt;!.P)"</f>
        <v>#VALUE!</v>
      </c>
      <c r="CS231" t="e">
        <f>'All regions'!1432:1432-"n/&gt;!.P."</f>
        <v>#VALUE!</v>
      </c>
      <c r="CT231" t="e">
        <f>'All regions'!1433:1433-"n/&gt;!.P/"</f>
        <v>#VALUE!</v>
      </c>
      <c r="CU231" t="e">
        <f>'All regions'!1434:1434-"n/&gt;!.P0"</f>
        <v>#VALUE!</v>
      </c>
      <c r="CV231" t="e">
        <f>'All regions'!1435:1435-"n/&gt;!.P1"</f>
        <v>#VALUE!</v>
      </c>
      <c r="CW231" t="e">
        <f>'All regions'!1436:1436-"n/&gt;!.P2"</f>
        <v>#VALUE!</v>
      </c>
      <c r="CX231" t="e">
        <f>'All regions'!1437:1437-"n/&gt;!.P3"</f>
        <v>#VALUE!</v>
      </c>
      <c r="CY231" t="e">
        <f>'All regions'!1438:1438-"n/&gt;!.P4"</f>
        <v>#VALUE!</v>
      </c>
      <c r="CZ231" t="e">
        <f>'All regions'!1439:1439-"n/&gt;!.P5"</f>
        <v>#VALUE!</v>
      </c>
      <c r="DA231" t="e">
        <f>'All regions'!1440:1440-"n/&gt;!.P6"</f>
        <v>#VALUE!</v>
      </c>
      <c r="DB231" t="e">
        <f>'All regions'!1441:1441-"n/&gt;!.P7"</f>
        <v>#VALUE!</v>
      </c>
      <c r="DC231" t="e">
        <f>'All regions'!1442:1442-"n/&gt;!.P8"</f>
        <v>#VALUE!</v>
      </c>
      <c r="DD231" t="e">
        <f>'All regions'!1443:1443-"n/&gt;!.P9"</f>
        <v>#VALUE!</v>
      </c>
      <c r="DE231" t="e">
        <f>'All regions'!1444:1444-"n/&gt;!.P:"</f>
        <v>#VALUE!</v>
      </c>
      <c r="DF231" t="e">
        <f>'All regions'!1445:1445-"n/&gt;!.P;"</f>
        <v>#VALUE!</v>
      </c>
      <c r="DG231" t="e">
        <f>'All regions'!1446:1446-"n/&gt;!.P&lt;"</f>
        <v>#VALUE!</v>
      </c>
      <c r="DH231" t="e">
        <f>'All regions'!1447:1447-"n/&gt;!.P="</f>
        <v>#VALUE!</v>
      </c>
      <c r="DI231" t="e">
        <f>'All regions'!1448:1448-"n/&gt;!.P&gt;"</f>
        <v>#VALUE!</v>
      </c>
      <c r="DJ231" t="e">
        <f>'All regions'!1449:1449-"n/&gt;!.P?"</f>
        <v>#VALUE!</v>
      </c>
      <c r="DK231" t="e">
        <f>'All regions'!1450:1450-"n/&gt;!.P@"</f>
        <v>#VALUE!</v>
      </c>
      <c r="DL231" t="e">
        <f>'All regions'!1451:1451-"n/&gt;!.PA"</f>
        <v>#VALUE!</v>
      </c>
      <c r="DM231" t="e">
        <f>'All regions'!1452:1452-"n/&gt;!.PB"</f>
        <v>#VALUE!</v>
      </c>
      <c r="DN231" t="e">
        <f>'All regions'!1453:1453-"n/&gt;!.PC"</f>
        <v>#VALUE!</v>
      </c>
      <c r="DO231" t="e">
        <f>'All regions'!1454:1454-"n/&gt;!.PD"</f>
        <v>#VALUE!</v>
      </c>
      <c r="DP231" t="e">
        <f>'All regions'!1455:1455-"n/&gt;!.PE"</f>
        <v>#VALUE!</v>
      </c>
      <c r="DQ231" t="e">
        <f>'All regions'!1456:1456-"n/&gt;!.PF"</f>
        <v>#VALUE!</v>
      </c>
      <c r="DR231" t="e">
        <f>'All regions'!1457:1457-"n/&gt;!.PG"</f>
        <v>#VALUE!</v>
      </c>
      <c r="DS231" t="e">
        <f>'All regions'!1458:1458-"n/&gt;!.PH"</f>
        <v>#VALUE!</v>
      </c>
      <c r="DT231" t="e">
        <f>'All regions'!1459:1459-"n/&gt;!.PI"</f>
        <v>#VALUE!</v>
      </c>
      <c r="DU231" t="e">
        <f>'All regions'!1460:1460-"n/&gt;!.PJ"</f>
        <v>#VALUE!</v>
      </c>
      <c r="DV231" t="e">
        <f>'All regions'!1461:1461-"n/&gt;!.PK"</f>
        <v>#VALUE!</v>
      </c>
      <c r="DW231" t="e">
        <f>'All regions'!1462:1462-"n/&gt;!.PL"</f>
        <v>#VALUE!</v>
      </c>
      <c r="DX231" t="e">
        <f>'All regions'!1463:1463-"n/&gt;!.PM"</f>
        <v>#VALUE!</v>
      </c>
      <c r="DY231" t="e">
        <f>'All regions'!1464:1464-"n/&gt;!.PN"</f>
        <v>#VALUE!</v>
      </c>
      <c r="DZ231" t="e">
        <f>'All regions'!1465:1465-"n/&gt;!.PO"</f>
        <v>#VALUE!</v>
      </c>
      <c r="EA231" t="e">
        <f>'All regions'!1466:1466-"n/&gt;!.PP"</f>
        <v>#VALUE!</v>
      </c>
      <c r="EB231" t="e">
        <f>'All regions'!1467:1467-"n/&gt;!.PQ"</f>
        <v>#VALUE!</v>
      </c>
      <c r="EC231" t="e">
        <f>'All regions'!1468:1468-"n/&gt;!.PR"</f>
        <v>#VALUE!</v>
      </c>
      <c r="ED231" t="e">
        <f>'All regions'!1469:1469-"n/&gt;!.PS"</f>
        <v>#VALUE!</v>
      </c>
      <c r="EE231" t="e">
        <f>'All regions'!1470:1470-"n/&gt;!.PT"</f>
        <v>#VALUE!</v>
      </c>
      <c r="EF231" t="e">
        <f>'All regions'!1471:1471-"n/&gt;!.PU"</f>
        <v>#VALUE!</v>
      </c>
      <c r="EG231" t="e">
        <f>'All regions'!1472:1472-"n/&gt;!.PV"</f>
        <v>#VALUE!</v>
      </c>
      <c r="EH231" t="e">
        <f>'All regions'!1473:1473-"n/&gt;!.PW"</f>
        <v>#VALUE!</v>
      </c>
      <c r="EI231" t="e">
        <f>'All regions'!1474:1474-"n/&gt;!.PX"</f>
        <v>#VALUE!</v>
      </c>
      <c r="EJ231" t="e">
        <f>'All regions'!1475:1475-"n/&gt;!.PY"</f>
        <v>#VALUE!</v>
      </c>
      <c r="EK231" t="e">
        <f>'All regions'!1476:1476-"n/&gt;!.PZ"</f>
        <v>#VALUE!</v>
      </c>
      <c r="EL231" t="e">
        <f>'All regions'!1477:1477-"n/&gt;!.P["</f>
        <v>#VALUE!</v>
      </c>
      <c r="EM231" t="e">
        <f>'All regions'!1478:1478-"n/&gt;!.P\"</f>
        <v>#VALUE!</v>
      </c>
      <c r="EN231" t="e">
        <f>'All regions'!1479:1479-"n/&gt;!.P]"</f>
        <v>#VALUE!</v>
      </c>
      <c r="EO231" t="e">
        <f>'All regions'!1480:1480-"n/&gt;!.P^"</f>
        <v>#VALUE!</v>
      </c>
      <c r="EP231" t="e">
        <f>'All regions'!1481:1481-"n/&gt;!.P_"</f>
        <v>#VALUE!</v>
      </c>
      <c r="EQ231" t="e">
        <f>'All regions'!1482:1482-"n/&gt;!.P`"</f>
        <v>#VALUE!</v>
      </c>
      <c r="ER231" t="e">
        <f>'All regions'!1483:1483-"n/&gt;!.Pa"</f>
        <v>#VALUE!</v>
      </c>
      <c r="ES231" t="e">
        <f>'All regions'!1484:1484-"n/&gt;!.Pb"</f>
        <v>#VALUE!</v>
      </c>
      <c r="ET231" t="e">
        <f>'All regions'!1485:1485-"n/&gt;!.Pc"</f>
        <v>#VALUE!</v>
      </c>
      <c r="EU231" t="e">
        <f>'All regions'!1486:1486-"n/&gt;!.Pd"</f>
        <v>#VALUE!</v>
      </c>
      <c r="EV231" t="e">
        <f>'All regions'!1487:1487-"n/&gt;!.Pe"</f>
        <v>#VALUE!</v>
      </c>
      <c r="EW231" t="e">
        <f>'All regions'!1488:1488-"n/&gt;!.Pf"</f>
        <v>#VALUE!</v>
      </c>
      <c r="EX231" t="e">
        <f>'All regions'!1489:1489-"n/&gt;!.Pg"</f>
        <v>#VALUE!</v>
      </c>
      <c r="EY231" t="e">
        <f>'All regions'!1490:1490-"n/&gt;!.Ph"</f>
        <v>#VALUE!</v>
      </c>
      <c r="EZ231" t="e">
        <f>'All regions'!1491:1491-"n/&gt;!.Pi"</f>
        <v>#VALUE!</v>
      </c>
      <c r="FA231" t="e">
        <f>'All regions'!1492:1492-"n/&gt;!.Pj"</f>
        <v>#VALUE!</v>
      </c>
      <c r="FB231" t="e">
        <f>'All regions'!1493:1493-"n/&gt;!.Pk"</f>
        <v>#VALUE!</v>
      </c>
      <c r="FC231" t="e">
        <f>'All regions'!1494:1494-"n/&gt;!.Pl"</f>
        <v>#VALUE!</v>
      </c>
      <c r="FD231" t="e">
        <f>'All regions'!1495:1495-"n/&gt;!.Pm"</f>
        <v>#VALUE!</v>
      </c>
      <c r="FE231" t="e">
        <f>'All regions'!1496:1496-"n/&gt;!.Pn"</f>
        <v>#VALUE!</v>
      </c>
      <c r="FF231" t="e">
        <f>'All regions'!1497:1497-"n/&gt;!.Po"</f>
        <v>#VALUE!</v>
      </c>
      <c r="FG231" t="e">
        <f>'All regions'!1498:1498-"n/&gt;!.Pp"</f>
        <v>#VALUE!</v>
      </c>
      <c r="FH231" t="e">
        <f>'All regions'!1499:1499-"n/&gt;!.Pq"</f>
        <v>#VALUE!</v>
      </c>
      <c r="FI231" t="e">
        <f>'All regions'!1500:1500-"n/&gt;!.Pr"</f>
        <v>#VALUE!</v>
      </c>
      <c r="FJ231" t="e">
        <f>'All regions'!1501:1501-"n/&gt;!.Ps"</f>
        <v>#VALUE!</v>
      </c>
      <c r="FK231" t="e">
        <f>'All regions'!1502:1502-"n/&gt;!.Pt"</f>
        <v>#VALUE!</v>
      </c>
      <c r="FL231" t="e">
        <f>'All regions'!1503:1503-"n/&gt;!.Pu"</f>
        <v>#VALUE!</v>
      </c>
      <c r="FM231" t="e">
        <f>'All regions'!1504:1504-"n/&gt;!.Pv"</f>
        <v>#VALUE!</v>
      </c>
      <c r="FN231" t="e">
        <f>'All regions'!1505:1505-"n/&gt;!.Pw"</f>
        <v>#VALUE!</v>
      </c>
      <c r="FO231" t="e">
        <f>'All regions'!1506:1506-"n/&gt;!.Px"</f>
        <v>#VALUE!</v>
      </c>
      <c r="FP231" t="e">
        <f>'All regions'!1507:1507-"n/&gt;!.Py"</f>
        <v>#VALUE!</v>
      </c>
      <c r="FQ231" t="e">
        <f>'All regions'!1508:1508-"n/&gt;!.Pz"</f>
        <v>#VALUE!</v>
      </c>
      <c r="FR231" t="e">
        <f>'All regions'!1509:1509-"n/&gt;!.P{"</f>
        <v>#VALUE!</v>
      </c>
      <c r="FS231" t="e">
        <f>'All regions'!1510:1510-"n/&gt;!.P|"</f>
        <v>#VALUE!</v>
      </c>
      <c r="FT231" t="e">
        <f>'All regions'!1511:1511-"n/&gt;!.P}"</f>
        <v>#VALUE!</v>
      </c>
      <c r="FU231" t="e">
        <f>'All regions'!1512:1512-"n/&gt;!.P~"</f>
        <v>#VALUE!</v>
      </c>
      <c r="FV231" t="e">
        <f>'All regions'!1513:1513-"n/&gt;!.Q#"</f>
        <v>#VALUE!</v>
      </c>
      <c r="FW231" t="e">
        <f>'All regions'!1514:1514-"n/&gt;!.Q$"</f>
        <v>#VALUE!</v>
      </c>
      <c r="FX231" t="e">
        <f>'All regions'!1515:1515-"n/&gt;!.Q%"</f>
        <v>#VALUE!</v>
      </c>
      <c r="FY231" t="e">
        <f>'All regions'!1516:1516-"n/&gt;!.Q&amp;"</f>
        <v>#VALUE!</v>
      </c>
      <c r="FZ231" t="e">
        <f>'All regions'!1517:1517-"n/&gt;!.Q'"</f>
        <v>#VALUE!</v>
      </c>
      <c r="GA231" t="e">
        <f>'All regions'!1518:1518-"n/&gt;!.Q("</f>
        <v>#VALUE!</v>
      </c>
      <c r="GB231" t="e">
        <f>'All regions'!1519:1519-"n/&gt;!.Q)"</f>
        <v>#VALUE!</v>
      </c>
      <c r="GC231" t="e">
        <f>'All regions'!1520:1520-"n/&gt;!.Q."</f>
        <v>#VALUE!</v>
      </c>
      <c r="GD231" t="e">
        <f>'All regions'!1521:1521-"n/&gt;!.Q/"</f>
        <v>#VALUE!</v>
      </c>
      <c r="GE231" t="e">
        <f>'All regions'!1522:1522-"n/&gt;!.Q0"</f>
        <v>#VALUE!</v>
      </c>
      <c r="GF231" t="e">
        <f>'All regions'!1523:1523-"n/&gt;!.Q1"</f>
        <v>#VALUE!</v>
      </c>
      <c r="GG231" t="e">
        <f>'All regions'!1524:1524-"n/&gt;!.Q2"</f>
        <v>#VALUE!</v>
      </c>
      <c r="GH231" t="e">
        <f>'All regions'!1525:1525-"n/&gt;!.Q3"</f>
        <v>#VALUE!</v>
      </c>
      <c r="GI231" t="e">
        <f>'All regions'!1526:1526-"n/&gt;!.Q4"</f>
        <v>#VALUE!</v>
      </c>
      <c r="GJ231" t="e">
        <f>'All regions'!1527:1527-"n/&gt;!.Q5"</f>
        <v>#VALUE!</v>
      </c>
      <c r="GK231" t="e">
        <f>'All regions'!1528:1528-"n/&gt;!.Q6"</f>
        <v>#VALUE!</v>
      </c>
      <c r="GL231" t="e">
        <f>'All regions'!1529:1529-"n/&gt;!.Q7"</f>
        <v>#VALUE!</v>
      </c>
      <c r="GM231" t="e">
        <f>'All regions'!1530:1530-"n/&gt;!.Q8"</f>
        <v>#VALUE!</v>
      </c>
      <c r="GN231" t="e">
        <f>'All regions'!1531:1531-"n/&gt;!.Q9"</f>
        <v>#VALUE!</v>
      </c>
      <c r="GO231" t="e">
        <f>'All regions'!1532:1532-"n/&gt;!.Q:"</f>
        <v>#VALUE!</v>
      </c>
      <c r="GP231" t="e">
        <f>'All regions'!1533:1533-"n/&gt;!.Q;"</f>
        <v>#VALUE!</v>
      </c>
      <c r="GQ231" t="e">
        <f>'All regions'!1534:1534-"n/&gt;!.Q&lt;"</f>
        <v>#VALUE!</v>
      </c>
      <c r="GR231" t="e">
        <f>'All regions'!1535:1535-"n/&gt;!.Q="</f>
        <v>#VALUE!</v>
      </c>
      <c r="GS231" t="e">
        <f>'All regions'!1536:1536-"n/&gt;!.Q&gt;"</f>
        <v>#VALUE!</v>
      </c>
      <c r="GT231" t="e">
        <f>'All regions'!1537:1537-"n/&gt;!.Q?"</f>
        <v>#VALUE!</v>
      </c>
      <c r="GU231" t="e">
        <f>'All regions'!1538:1538-"n/&gt;!.Q@"</f>
        <v>#VALUE!</v>
      </c>
      <c r="GV231" t="e">
        <f>'All regions'!1539:1539-"n/&gt;!.QA"</f>
        <v>#VALUE!</v>
      </c>
      <c r="GW231" t="e">
        <f>'All regions'!1540:1540-"n/&gt;!.QB"</f>
        <v>#VALUE!</v>
      </c>
      <c r="GX231" t="e">
        <f>'All regions'!1541:1541-"n/&gt;!.QC"</f>
        <v>#VALUE!</v>
      </c>
      <c r="GY231" t="e">
        <f>'All regions'!1542:1542-"n/&gt;!.QD"</f>
        <v>#VALUE!</v>
      </c>
      <c r="GZ231" t="e">
        <f>'All regions'!1543:1543-"n/&gt;!.QE"</f>
        <v>#VALUE!</v>
      </c>
      <c r="HA231" t="e">
        <f>'All regions'!1544:1544-"n/&gt;!.QF"</f>
        <v>#VALUE!</v>
      </c>
      <c r="HB231" t="e">
        <f>'All regions'!1545:1545-"n/&gt;!.QG"</f>
        <v>#VALUE!</v>
      </c>
      <c r="HC231" t="e">
        <f>'All regions'!1546:1546-"n/&gt;!.QH"</f>
        <v>#VALUE!</v>
      </c>
      <c r="HD231" t="e">
        <f>'All regions'!1547:1547-"n/&gt;!.QI"</f>
        <v>#VALUE!</v>
      </c>
      <c r="HE231" t="e">
        <f>'All regions'!1548:1548-"n/&gt;!.QJ"</f>
        <v>#VALUE!</v>
      </c>
      <c r="HF231" t="e">
        <f>'All regions'!1549:1549-"n/&gt;!.QK"</f>
        <v>#VALUE!</v>
      </c>
      <c r="HG231" t="e">
        <f>'All regions'!1550:1550-"n/&gt;!.QL"</f>
        <v>#VALUE!</v>
      </c>
      <c r="HH231" t="e">
        <f>'All regions'!1551:1551-"n/&gt;!.QM"</f>
        <v>#VALUE!</v>
      </c>
      <c r="HI231" t="e">
        <f>'All regions'!1552:1552-"n/&gt;!.QN"</f>
        <v>#VALUE!</v>
      </c>
      <c r="HJ231" t="e">
        <f>'All regions'!1553:1553-"n/&gt;!.QO"</f>
        <v>#VALUE!</v>
      </c>
      <c r="HK231" t="e">
        <f>'All regions'!1554:1554-"n/&gt;!.QP"</f>
        <v>#VALUE!</v>
      </c>
      <c r="HL231" t="e">
        <f>'All regions'!1555:1555-"n/&gt;!.QQ"</f>
        <v>#VALUE!</v>
      </c>
      <c r="HM231" t="e">
        <f>'All regions'!1556:1556-"n/&gt;!.QR"</f>
        <v>#VALUE!</v>
      </c>
      <c r="HN231" t="e">
        <f>'All regions'!1557:1557-"n/&gt;!.QS"</f>
        <v>#VALUE!</v>
      </c>
      <c r="HO231" t="e">
        <f>'All regions'!1558:1558-"n/&gt;!.QT"</f>
        <v>#VALUE!</v>
      </c>
      <c r="HP231" t="e">
        <f>'All regions'!1559:1559-"n/&gt;!.QU"</f>
        <v>#VALUE!</v>
      </c>
      <c r="HQ231" t="e">
        <f>'All regions'!1560:1560-"n/&gt;!.QV"</f>
        <v>#VALUE!</v>
      </c>
      <c r="HR231" t="e">
        <f>'All regions'!1561:1561-"n/&gt;!.QW"</f>
        <v>#VALUE!</v>
      </c>
      <c r="HS231" t="e">
        <f>'All regions'!1562:1562-"n/&gt;!.QX"</f>
        <v>#VALUE!</v>
      </c>
      <c r="HT231" t="e">
        <f>'All regions'!1563:1563-"n/&gt;!.QY"</f>
        <v>#VALUE!</v>
      </c>
      <c r="HU231" t="e">
        <f>'All regions'!1564:1564-"n/&gt;!.QZ"</f>
        <v>#VALUE!</v>
      </c>
      <c r="HV231" t="e">
        <f>'All regions'!1565:1565-"n/&gt;!.Q["</f>
        <v>#VALUE!</v>
      </c>
      <c r="HW231" t="e">
        <f>'All regions'!1566:1566-"n/&gt;!.Q\"</f>
        <v>#VALUE!</v>
      </c>
      <c r="HX231" t="e">
        <f>'All regions'!1567:1567-"n/&gt;!.Q]"</f>
        <v>#VALUE!</v>
      </c>
      <c r="HY231" t="e">
        <f>'All regions'!1568:1568-"n/&gt;!.Q^"</f>
        <v>#VALUE!</v>
      </c>
      <c r="HZ231" t="e">
        <f>'All regions'!1569:1569-"n/&gt;!.Q_"</f>
        <v>#VALUE!</v>
      </c>
      <c r="IA231" t="e">
        <f>'All regions'!1570:1570-"n/&gt;!.Q`"</f>
        <v>#VALUE!</v>
      </c>
      <c r="IB231" t="e">
        <f>'All regions'!1571:1571-"n/&gt;!.Qa"</f>
        <v>#VALUE!</v>
      </c>
      <c r="IC231" t="e">
        <f>'All regions'!1572:1572-"n/&gt;!.Qb"</f>
        <v>#VALUE!</v>
      </c>
      <c r="ID231" t="e">
        <f>'All regions'!1573:1573-"n/&gt;!.Qc"</f>
        <v>#VALUE!</v>
      </c>
      <c r="IE231" t="e">
        <f>'All regions'!1574:1574-"n/&gt;!.Qd"</f>
        <v>#VALUE!</v>
      </c>
      <c r="IF231" t="e">
        <f>'All regions'!1575:1575-"n/&gt;!.Qe"</f>
        <v>#VALUE!</v>
      </c>
      <c r="IG231" t="e">
        <f>'All regions'!1576:1576-"n/&gt;!.Qf"</f>
        <v>#VALUE!</v>
      </c>
      <c r="IH231" t="e">
        <f>'All regions'!1577:1577-"n/&gt;!.Qg"</f>
        <v>#VALUE!</v>
      </c>
      <c r="II231" t="e">
        <f>'All regions'!1578:1578-"n/&gt;!.Qh"</f>
        <v>#VALUE!</v>
      </c>
      <c r="IJ231" t="e">
        <f>'All regions'!1579:1579-"n/&gt;!.Qi"</f>
        <v>#VALUE!</v>
      </c>
      <c r="IK231" t="e">
        <f>'All regions'!1580:1580-"n/&gt;!.Qj"</f>
        <v>#VALUE!</v>
      </c>
      <c r="IL231" t="e">
        <f>'All regions'!1581:1581-"n/&gt;!.Qk"</f>
        <v>#VALUE!</v>
      </c>
      <c r="IM231" t="e">
        <f>'All regions'!1582:1582-"n/&gt;!.Ql"</f>
        <v>#VALUE!</v>
      </c>
      <c r="IN231" t="e">
        <f>'All regions'!1583:1583-"n/&gt;!.Qm"</f>
        <v>#VALUE!</v>
      </c>
      <c r="IO231" t="e">
        <f>'All regions'!1584:1584-"n/&gt;!.Qn"</f>
        <v>#VALUE!</v>
      </c>
      <c r="IP231" t="e">
        <f>'All regions'!1585:1585-"n/&gt;!.Qo"</f>
        <v>#VALUE!</v>
      </c>
      <c r="IQ231" t="e">
        <f>'All regions'!1586:1586-"n/&gt;!.Qp"</f>
        <v>#VALUE!</v>
      </c>
      <c r="IR231" t="e">
        <f>'All regions'!1587:1587-"n/&gt;!.Qq"</f>
        <v>#VALUE!</v>
      </c>
      <c r="IS231" t="e">
        <f>'All regions'!1588:1588-"n/&gt;!.Qr"</f>
        <v>#VALUE!</v>
      </c>
      <c r="IT231" t="e">
        <f>'All regions'!1589:1589-"n/&gt;!.Qs"</f>
        <v>#VALUE!</v>
      </c>
      <c r="IU231" t="e">
        <f>'All regions'!1590:1590-"n/&gt;!.Qt"</f>
        <v>#VALUE!</v>
      </c>
      <c r="IV231" t="e">
        <f>'All regions'!1591:1591-"n/&gt;!.Qu"</f>
        <v>#VALUE!</v>
      </c>
    </row>
    <row r="232" spans="6:256" x14ac:dyDescent="0.35">
      <c r="F232" t="e">
        <f>'All regions'!1592:1592-"n/&gt;!.Qv"</f>
        <v>#VALUE!</v>
      </c>
      <c r="G232" t="e">
        <f>'All regions'!1593:1593-"n/&gt;!.Qw"</f>
        <v>#VALUE!</v>
      </c>
      <c r="H232" t="e">
        <f>'All regions'!1594:1594-"n/&gt;!.Qx"</f>
        <v>#VALUE!</v>
      </c>
      <c r="I232" t="e">
        <f>'All regions'!1595:1595-"n/&gt;!.Qy"</f>
        <v>#VALUE!</v>
      </c>
      <c r="J232" t="e">
        <f>'All regions'!1596:1596-"n/&gt;!.Qz"</f>
        <v>#VALUE!</v>
      </c>
      <c r="K232" t="e">
        <f>'All regions'!1597:1597-"n/&gt;!.Q{"</f>
        <v>#VALUE!</v>
      </c>
      <c r="L232" t="e">
        <f>'All regions'!1598:1598-"n/&gt;!.Q|"</f>
        <v>#VALUE!</v>
      </c>
      <c r="M232" t="e">
        <f>'All regions'!1599:1599-"n/&gt;!.Q}"</f>
        <v>#VALUE!</v>
      </c>
      <c r="N232" t="e">
        <f>'All regions'!1600:1600-"n/&gt;!.Q~"</f>
        <v>#VALUE!</v>
      </c>
      <c r="O232" t="e">
        <f>'All regions'!1601:1601-"n/&gt;!.R#"</f>
        <v>#VALUE!</v>
      </c>
      <c r="P232" t="e">
        <f>'All regions'!1602:1602-"n/&gt;!.R$"</f>
        <v>#VALUE!</v>
      </c>
      <c r="Q232" t="e">
        <f>'All regions'!1603:1603-"n/&gt;!.R%"</f>
        <v>#VALUE!</v>
      </c>
      <c r="R232" t="e">
        <f>'All regions'!1604:1604-"n/&gt;!.R&amp;"</f>
        <v>#VALUE!</v>
      </c>
      <c r="S232" t="e">
        <f>'All regions'!1605:1605-"n/&gt;!.R'"</f>
        <v>#VALUE!</v>
      </c>
      <c r="T232" t="e">
        <f>'All regions'!1606:1606-"n/&gt;!.R("</f>
        <v>#VALUE!</v>
      </c>
      <c r="U232" t="e">
        <f>'All regions'!1607:1607-"n/&gt;!.R)"</f>
        <v>#VALUE!</v>
      </c>
      <c r="V232" t="e">
        <f>'All regions'!1608:1608-"n/&gt;!.R."</f>
        <v>#VALUE!</v>
      </c>
      <c r="W232" t="e">
        <f>'All regions'!1609:1609-"n/&gt;!.R/"</f>
        <v>#VALUE!</v>
      </c>
      <c r="X232" t="e">
        <f>'All regions'!1610:1610-"n/&gt;!.R0"</f>
        <v>#VALUE!</v>
      </c>
      <c r="Y232" t="e">
        <f>'All regions'!1611:1611-"n/&gt;!.R1"</f>
        <v>#VALUE!</v>
      </c>
      <c r="Z232" t="e">
        <f>'All regions'!1612:1612-"n/&gt;!.R2"</f>
        <v>#VALUE!</v>
      </c>
      <c r="AA232" t="e">
        <f>'All regions'!1613:1613-"n/&gt;!.R3"</f>
        <v>#VALUE!</v>
      </c>
      <c r="AB232" t="e">
        <f>'All regions'!1614:1614-"n/&gt;!.R4"</f>
        <v>#VALUE!</v>
      </c>
      <c r="AC232" t="e">
        <f>'All regions'!1615:1615-"n/&gt;!.R5"</f>
        <v>#VALUE!</v>
      </c>
      <c r="AD232" t="e">
        <f>'All regions'!1616:1616-"n/&gt;!.R6"</f>
        <v>#VALUE!</v>
      </c>
      <c r="AE232" t="e">
        <f>'All regions'!1617:1617-"n/&gt;!.R7"</f>
        <v>#VALUE!</v>
      </c>
      <c r="AF232" t="e">
        <f>'All regions'!1618:1618-"n/&gt;!.R8"</f>
        <v>#VALUE!</v>
      </c>
      <c r="AG232" t="e">
        <f>'All regions'!1619:1619-"n/&gt;!.R9"</f>
        <v>#VALUE!</v>
      </c>
      <c r="AH232" t="e">
        <f>'All regions'!1620:1620-"n/&gt;!.R:"</f>
        <v>#VALUE!</v>
      </c>
      <c r="AI232" t="e">
        <f>'All regions'!1621:1621-"n/&gt;!.R;"</f>
        <v>#VALUE!</v>
      </c>
      <c r="AJ232" t="e">
        <f>'All regions'!1622:1622-"n/&gt;!.R&lt;"</f>
        <v>#VALUE!</v>
      </c>
      <c r="AK232" t="e">
        <f>'All regions'!1623:1623-"n/&gt;!.R="</f>
        <v>#VALUE!</v>
      </c>
      <c r="AL232" t="e">
        <f>'All regions'!1624:1624-"n/&gt;!.R&gt;"</f>
        <v>#VALUE!</v>
      </c>
      <c r="AM232" t="e">
        <f>'All regions'!1625:1625-"n/&gt;!.R?"</f>
        <v>#VALUE!</v>
      </c>
      <c r="AN232" t="e">
        <f>'All regions'!1626:1626-"n/&gt;!.R@"</f>
        <v>#VALUE!</v>
      </c>
      <c r="AO232" t="e">
        <f>'All regions'!1627:1627-"n/&gt;!.RA"</f>
        <v>#VALUE!</v>
      </c>
      <c r="AP232" t="e">
        <f>'All regions'!1628:1628-"n/&gt;!.RB"</f>
        <v>#VALUE!</v>
      </c>
      <c r="AQ232" t="e">
        <f>'All regions'!1629:1629-"n/&gt;!.RC"</f>
        <v>#VALUE!</v>
      </c>
      <c r="AR232" t="e">
        <f>'All regions'!1630:1630-"n/&gt;!.RD"</f>
        <v>#VALUE!</v>
      </c>
      <c r="AS232" t="e">
        <f>'All regions'!1631:1631-"n/&gt;!.RE"</f>
        <v>#VALUE!</v>
      </c>
      <c r="AT232" t="e">
        <f>'All regions'!1632:1632-"n/&gt;!.RF"</f>
        <v>#VALUE!</v>
      </c>
      <c r="AU232" t="e">
        <f>'All regions'!1633:1633-"n/&gt;!.RG"</f>
        <v>#VALUE!</v>
      </c>
      <c r="AV232" t="e">
        <f>'All regions'!1634:1634-"n/&gt;!.RH"</f>
        <v>#VALUE!</v>
      </c>
      <c r="AW232" t="e">
        <f>'All regions'!1635:1635-"n/&gt;!.RI"</f>
        <v>#VALUE!</v>
      </c>
      <c r="AX232" t="e">
        <f>'All regions'!1636:1636-"n/&gt;!.RJ"</f>
        <v>#VALUE!</v>
      </c>
      <c r="AY232" t="e">
        <f>'All regions'!1637:1637-"n/&gt;!.RK"</f>
        <v>#VALUE!</v>
      </c>
      <c r="AZ232" t="e">
        <f>'All regions'!1638:1638-"n/&gt;!.RL"</f>
        <v>#VALUE!</v>
      </c>
      <c r="BA232" t="e">
        <f>'All regions'!1639:1639-"n/&gt;!.RM"</f>
        <v>#VALUE!</v>
      </c>
      <c r="BB232" t="e">
        <f>'All regions'!1640:1640-"n/&gt;!.RN"</f>
        <v>#VALUE!</v>
      </c>
      <c r="BC232" t="e">
        <f>'All regions'!1641:1641-"n/&gt;!.RO"</f>
        <v>#VALUE!</v>
      </c>
      <c r="BD232" t="e">
        <f>'All regions'!1642:1642-"n/&gt;!.RP"</f>
        <v>#VALUE!</v>
      </c>
      <c r="BE232" t="e">
        <f>'All regions'!1643:1643-"n/&gt;!.RQ"</f>
        <v>#VALUE!</v>
      </c>
      <c r="BF232" t="e">
        <f>'All regions'!1644:1644-"n/&gt;!.RR"</f>
        <v>#VALUE!</v>
      </c>
      <c r="BG232" t="e">
        <f>'All regions'!1645:1645-"n/&gt;!.RS"</f>
        <v>#VALUE!</v>
      </c>
      <c r="BH232" t="e">
        <f>'All regions'!1646:1646-"n/&gt;!.RT"</f>
        <v>#VALUE!</v>
      </c>
      <c r="BI232" t="e">
        <f>'All regions'!1647:1647-"n/&gt;!.RU"</f>
        <v>#VALUE!</v>
      </c>
      <c r="BJ232" t="e">
        <f>'All regions'!1648:1648-"n/&gt;!.RV"</f>
        <v>#VALUE!</v>
      </c>
      <c r="BK232" t="e">
        <f>'All regions'!1649:1649-"n/&gt;!.RW"</f>
        <v>#VALUE!</v>
      </c>
      <c r="BL232" t="e">
        <f>'All regions'!1650:1650-"n/&gt;!.RX"</f>
        <v>#VALUE!</v>
      </c>
      <c r="BM232" t="e">
        <f>'All regions'!1651:1651-"n/&gt;!.RY"</f>
        <v>#VALUE!</v>
      </c>
      <c r="BN232" t="e">
        <f>'All regions'!1652:1652-"n/&gt;!.RZ"</f>
        <v>#VALUE!</v>
      </c>
      <c r="BO232" t="e">
        <f>'All regions'!1653:1653-"n/&gt;!.R["</f>
        <v>#VALUE!</v>
      </c>
      <c r="BP232" t="e">
        <f>'All regions'!1654:1654-"n/&gt;!.R\"</f>
        <v>#VALUE!</v>
      </c>
      <c r="BQ232" t="e">
        <f>'All regions'!1655:1655-"n/&gt;!.R]"</f>
        <v>#VALUE!</v>
      </c>
      <c r="BR232" t="e">
        <f>'All regions'!1656:1656-"n/&gt;!.R^"</f>
        <v>#VALUE!</v>
      </c>
      <c r="BS232" t="e">
        <f>'All regions'!1657:1657-"n/&gt;!.R_"</f>
        <v>#VALUE!</v>
      </c>
      <c r="BT232" t="e">
        <f>'All regions'!1658:1658-"n/&gt;!.R`"</f>
        <v>#VALUE!</v>
      </c>
      <c r="BU232" t="e">
        <f>'All regions'!1659:1659-"n/&gt;!.Ra"</f>
        <v>#VALUE!</v>
      </c>
      <c r="BV232" t="e">
        <f>'All regions'!1660:1660-"n/&gt;!.Rb"</f>
        <v>#VALUE!</v>
      </c>
      <c r="BW232" t="e">
        <f>'All regions'!1661:1661-"n/&gt;!.Rc"</f>
        <v>#VALUE!</v>
      </c>
      <c r="BX232" t="e">
        <f>'All regions'!1662:1662-"n/&gt;!.Rd"</f>
        <v>#VALUE!</v>
      </c>
      <c r="BY232" t="e">
        <f>'All regions'!1663:1663-"n/&gt;!.Re"</f>
        <v>#VALUE!</v>
      </c>
      <c r="BZ232" t="e">
        <f>'All regions'!1664:1664-"n/&gt;!.Rf"</f>
        <v>#VALUE!</v>
      </c>
      <c r="CA232" t="e">
        <f>'All regions'!1665:1665-"n/&gt;!.Rg"</f>
        <v>#VALUE!</v>
      </c>
      <c r="CB232" t="e">
        <f>'All regions'!1666:1666-"n/&gt;!.Rh"</f>
        <v>#VALUE!</v>
      </c>
      <c r="CC232" t="e">
        <f>'All regions'!1667:1667-"n/&gt;!.Ri"</f>
        <v>#VALUE!</v>
      </c>
      <c r="CD232" t="e">
        <f>'All regions'!1668:1668-"n/&gt;!.Rj"</f>
        <v>#VALUE!</v>
      </c>
      <c r="CE232" t="e">
        <f>'All regions'!1669:1669-"n/&gt;!.Rk"</f>
        <v>#VALUE!</v>
      </c>
      <c r="CF232" t="e">
        <f>'All regions'!1670:1670-"n/&gt;!.Rl"</f>
        <v>#VALUE!</v>
      </c>
      <c r="CG232" t="e">
        <f>'All regions'!1671:1671-"n/&gt;!.Rm"</f>
        <v>#VALUE!</v>
      </c>
      <c r="CH232" t="e">
        <f>'All regions'!1672:1672-"n/&gt;!.Rn"</f>
        <v>#VALUE!</v>
      </c>
      <c r="CI232" t="e">
        <f>'All regions'!1673:1673-"n/&gt;!.Ro"</f>
        <v>#VALUE!</v>
      </c>
      <c r="CJ232" t="e">
        <f>'All regions'!1674:1674-"n/&gt;!.Rp"</f>
        <v>#VALUE!</v>
      </c>
      <c r="CK232" t="e">
        <f>'All regions'!1675:1675-"n/&gt;!.Rq"</f>
        <v>#VALUE!</v>
      </c>
      <c r="CL232" t="e">
        <f>'All regions'!1676:1676-"n/&gt;!.Rr"</f>
        <v>#VALUE!</v>
      </c>
      <c r="CM232" t="e">
        <f>'All regions'!1677:1677-"n/&gt;!.Rs"</f>
        <v>#VALUE!</v>
      </c>
      <c r="CN232" t="e">
        <f>'All regions'!1678:1678-"n/&gt;!.Rt"</f>
        <v>#VALUE!</v>
      </c>
      <c r="CO232" t="e">
        <f>'All regions'!1679:1679-"n/&gt;!.Ru"</f>
        <v>#VALUE!</v>
      </c>
      <c r="CP232" t="e">
        <f>'All regions'!1680:1680-"n/&gt;!.Rv"</f>
        <v>#VALUE!</v>
      </c>
      <c r="CQ232" t="e">
        <f>'All regions'!1681:1681-"n/&gt;!.Rw"</f>
        <v>#VALUE!</v>
      </c>
      <c r="CR232" t="e">
        <f>'All regions'!1682:1682-"n/&gt;!.Rx"</f>
        <v>#VALUE!</v>
      </c>
      <c r="CS232" t="e">
        <f>'All regions'!1683:1683-"n/&gt;!.Ry"</f>
        <v>#VALUE!</v>
      </c>
      <c r="CT232" t="e">
        <f>'All regions'!1684:1684-"n/&gt;!.Rz"</f>
        <v>#VALUE!</v>
      </c>
      <c r="CU232" t="e">
        <f>'All regions'!1685:1685-"n/&gt;!.R{"</f>
        <v>#VALUE!</v>
      </c>
      <c r="CV232" t="e">
        <f>'All regions'!1686:1686-"n/&gt;!.R|"</f>
        <v>#VALUE!</v>
      </c>
      <c r="CW232" t="e">
        <f>'All regions'!1687:1687-"n/&gt;!.R}"</f>
        <v>#VALUE!</v>
      </c>
      <c r="CX232" t="e">
        <f>'All regions'!1688:1688-"n/&gt;!.R~"</f>
        <v>#VALUE!</v>
      </c>
      <c r="CY232" t="e">
        <f>'All regions'!1689:1689-"n/&gt;!.S#"</f>
        <v>#VALUE!</v>
      </c>
      <c r="CZ232" t="e">
        <f>'All regions'!1690:1690-"n/&gt;!.S$"</f>
        <v>#VALUE!</v>
      </c>
      <c r="DA232" t="e">
        <f>'All regions'!1691:1691-"n/&gt;!.S%"</f>
        <v>#VALUE!</v>
      </c>
      <c r="DB232" t="e">
        <f>'All regions'!1692:1692-"n/&gt;!.S&amp;"</f>
        <v>#VALUE!</v>
      </c>
      <c r="DC232" t="e">
        <f>'All regions'!1693:1693-"n/&gt;!.S'"</f>
        <v>#VALUE!</v>
      </c>
      <c r="DD232" t="e">
        <f>'All regions'!1694:1694-"n/&gt;!.S("</f>
        <v>#VALUE!</v>
      </c>
      <c r="DE232" t="e">
        <f>'All regions'!1695:1695-"n/&gt;!.S)"</f>
        <v>#VALUE!</v>
      </c>
      <c r="DF232" t="e">
        <f>'All regions'!1696:1696-"n/&gt;!.S."</f>
        <v>#VALUE!</v>
      </c>
      <c r="DG232" t="e">
        <f>'All regions'!1697:1697-"n/&gt;!.S/"</f>
        <v>#VALUE!</v>
      </c>
      <c r="DH232" t="e">
        <f>'All regions'!1698:1698-"n/&gt;!.S0"</f>
        <v>#VALUE!</v>
      </c>
      <c r="DI232" t="e">
        <f>'All regions'!1699:1699-"n/&gt;!.S1"</f>
        <v>#VALUE!</v>
      </c>
      <c r="DJ232" t="e">
        <f>'All regions'!1700:1700-"n/&gt;!.S2"</f>
        <v>#VALUE!</v>
      </c>
      <c r="DK232" t="e">
        <f>'All regions'!1701:1701-"n/&gt;!.S3"</f>
        <v>#VALUE!</v>
      </c>
      <c r="DL232" t="e">
        <f>'All regions'!1702:1702-"n/&gt;!.S4"</f>
        <v>#VALUE!</v>
      </c>
      <c r="DM232" t="e">
        <f>'All regions'!1703:1703-"n/&gt;!.S5"</f>
        <v>#VALUE!</v>
      </c>
      <c r="DN232" t="e">
        <f>'All regions'!1704:1704-"n/&gt;!.S6"</f>
        <v>#VALUE!</v>
      </c>
      <c r="DO232" t="e">
        <f>'All regions'!1705:1705-"n/&gt;!.S7"</f>
        <v>#VALUE!</v>
      </c>
      <c r="DP232" t="e">
        <f>'All regions'!1706:1706-"n/&gt;!.S8"</f>
        <v>#VALUE!</v>
      </c>
      <c r="DQ232" t="e">
        <f>'All regions'!1707:1707-"n/&gt;!.S9"</f>
        <v>#VALUE!</v>
      </c>
      <c r="DR232" t="e">
        <f>'All regions'!1708:1708-"n/&gt;!.S:"</f>
        <v>#VALUE!</v>
      </c>
      <c r="DS232" t="e">
        <f>'All regions'!1709:1709-"n/&gt;!.S;"</f>
        <v>#VALUE!</v>
      </c>
      <c r="DT232" t="e">
        <f>'All regions'!1710:1710-"n/&gt;!.S&lt;"</f>
        <v>#VALUE!</v>
      </c>
      <c r="DU232" t="e">
        <f>'All regions'!1711:1711-"n/&gt;!.S="</f>
        <v>#VALUE!</v>
      </c>
      <c r="DV232" t="e">
        <f>'All regions'!1712:1712-"n/&gt;!.S&gt;"</f>
        <v>#VALUE!</v>
      </c>
      <c r="DW232" t="e">
        <f>'All regions'!1713:1713-"n/&gt;!.S?"</f>
        <v>#VALUE!</v>
      </c>
      <c r="DX232" t="e">
        <f>'All regions'!1714:1714-"n/&gt;!.S@"</f>
        <v>#VALUE!</v>
      </c>
      <c r="DY232" t="e">
        <f>'All regions'!1715:1715-"n/&gt;!.SA"</f>
        <v>#VALUE!</v>
      </c>
      <c r="DZ232" t="e">
        <f>'All regions'!1716:1716-"n/&gt;!.SB"</f>
        <v>#VALUE!</v>
      </c>
      <c r="EA232" t="e">
        <f>'All regions'!1717:1717-"n/&gt;!.SC"</f>
        <v>#VALUE!</v>
      </c>
      <c r="EB232" t="e">
        <f>'All regions'!1718:1718-"n/&gt;!.SD"</f>
        <v>#VALUE!</v>
      </c>
      <c r="EC232" t="e">
        <f>'All regions'!1719:1719-"n/&gt;!.SE"</f>
        <v>#VALUE!</v>
      </c>
      <c r="ED232" t="e">
        <f>'All regions'!1720:1720-"n/&gt;!.SF"</f>
        <v>#VALUE!</v>
      </c>
      <c r="EE232" t="e">
        <f>'All regions'!1721:1721-"n/&gt;!.SG"</f>
        <v>#VALUE!</v>
      </c>
      <c r="EF232" t="e">
        <f>'All regions'!1722:1722-"n/&gt;!.SH"</f>
        <v>#VALUE!</v>
      </c>
      <c r="EG232" t="e">
        <f>'All regions'!1723:1723-"n/&gt;!.SI"</f>
        <v>#VALUE!</v>
      </c>
      <c r="EH232" t="e">
        <f>'All regions'!1724:1724-"n/&gt;!.SJ"</f>
        <v>#VALUE!</v>
      </c>
      <c r="EI232" t="e">
        <f>'All regions'!1725:1725-"n/&gt;!.SK"</f>
        <v>#VALUE!</v>
      </c>
      <c r="EJ232" t="e">
        <f>'All regions'!1726:1726-"n/&gt;!.SL"</f>
        <v>#VALUE!</v>
      </c>
      <c r="EK232" t="e">
        <f>'All regions'!1727:1727-"n/&gt;!.SM"</f>
        <v>#VALUE!</v>
      </c>
      <c r="EL232" t="e">
        <f>'All regions'!1728:1728-"n/&gt;!.SN"</f>
        <v>#VALUE!</v>
      </c>
      <c r="EM232" t="e">
        <f>'All regions'!1729:1729-"n/&gt;!.SO"</f>
        <v>#VALUE!</v>
      </c>
      <c r="EN232" t="e">
        <f>'All regions'!1730:1730-"n/&gt;!.SP"</f>
        <v>#VALUE!</v>
      </c>
      <c r="EO232" t="e">
        <f>'All regions'!1731:1731-"n/&gt;!.SQ"</f>
        <v>#VALUE!</v>
      </c>
      <c r="EP232" t="e">
        <f>'All regions'!1732:1732-"n/&gt;!.SR"</f>
        <v>#VALUE!</v>
      </c>
      <c r="EQ232" t="e">
        <f>'All regions'!1733:1733-"n/&gt;!.SS"</f>
        <v>#VALUE!</v>
      </c>
      <c r="ER232" t="e">
        <f>'All regions'!1734:1734-"n/&gt;!.ST"</f>
        <v>#VALUE!</v>
      </c>
      <c r="ES232" t="e">
        <f>'All regions'!1735:1735-"n/&gt;!.SU"</f>
        <v>#VALUE!</v>
      </c>
      <c r="ET232" t="e">
        <f>'All regions'!1736:1736-"n/&gt;!.SV"</f>
        <v>#VALUE!</v>
      </c>
      <c r="EU232" t="e">
        <f>'All regions'!1737:1737-"n/&gt;!.SW"</f>
        <v>#VALUE!</v>
      </c>
      <c r="EV232" t="e">
        <f>'All regions'!1738:1738-"n/&gt;!.SX"</f>
        <v>#VALUE!</v>
      </c>
      <c r="EW232" t="e">
        <f>'All regions'!1739:1739-"n/&gt;!.SY"</f>
        <v>#VALUE!</v>
      </c>
      <c r="EX232" t="e">
        <f>'All regions'!1740:1740-"n/&gt;!.SZ"</f>
        <v>#VALUE!</v>
      </c>
      <c r="EY232" t="e">
        <f>'All regions'!1741:1741-"n/&gt;!.S["</f>
        <v>#VALUE!</v>
      </c>
      <c r="EZ232" t="e">
        <f>'All regions'!1742:1742-"n/&gt;!.S\"</f>
        <v>#VALUE!</v>
      </c>
      <c r="FA232" t="e">
        <f>'All regions'!1743:1743-"n/&gt;!.S]"</f>
        <v>#VALUE!</v>
      </c>
      <c r="FB232" t="e">
        <f>'All regions'!1744:1744-"n/&gt;!.S^"</f>
        <v>#VALUE!</v>
      </c>
      <c r="FC232" t="e">
        <f>'All regions'!1745:1745-"n/&gt;!.S_"</f>
        <v>#VALUE!</v>
      </c>
      <c r="FD232" t="e">
        <f>'All regions'!1746:1746-"n/&gt;!.S`"</f>
        <v>#VALUE!</v>
      </c>
      <c r="FE232" t="e">
        <f>'All regions'!1747:1747-"n/&gt;!.Sa"</f>
        <v>#VALUE!</v>
      </c>
      <c r="FF232" t="e">
        <f>'All regions'!1748:1748-"n/&gt;!.Sb"</f>
        <v>#VALUE!</v>
      </c>
      <c r="FG232" t="e">
        <f>'All regions'!1749:1749-"n/&gt;!.Sc"</f>
        <v>#VALUE!</v>
      </c>
      <c r="FH232" t="e">
        <f>'All regions'!1750:1750-"n/&gt;!.Sd"</f>
        <v>#VALUE!</v>
      </c>
      <c r="FI232" t="e">
        <f>'All regions'!1751:1751-"n/&gt;!.Se"</f>
        <v>#VALUE!</v>
      </c>
      <c r="FJ232" t="e">
        <f>'All regions'!1752:1752-"n/&gt;!.Sf"</f>
        <v>#VALUE!</v>
      </c>
      <c r="FK232" t="e">
        <f>'All regions'!1753:1753-"n/&gt;!.Sg"</f>
        <v>#VALUE!</v>
      </c>
      <c r="FL232" t="e">
        <f>'All regions'!1754:1754-"n/&gt;!.Sh"</f>
        <v>#VALUE!</v>
      </c>
      <c r="FM232" t="e">
        <f>'All regions'!1755:1755-"n/&gt;!.Si"</f>
        <v>#VALUE!</v>
      </c>
      <c r="FN232" t="e">
        <f>'All regions'!1756:1756-"n/&gt;!.Sj"</f>
        <v>#VALUE!</v>
      </c>
      <c r="FO232" t="e">
        <f>'All regions'!1757:1757-"n/&gt;!.Sk"</f>
        <v>#VALUE!</v>
      </c>
      <c r="FP232" t="e">
        <f>'All regions'!1758:1758-"n/&gt;!.Sl"</f>
        <v>#VALUE!</v>
      </c>
      <c r="FQ232" t="e">
        <f>'All regions'!1759:1759-"n/&gt;!.Sm"</f>
        <v>#VALUE!</v>
      </c>
      <c r="FR232" t="e">
        <f>'All regions'!1760:1760-"n/&gt;!.Sn"</f>
        <v>#VALUE!</v>
      </c>
      <c r="FS232" t="e">
        <f>'All regions'!1761:1761-"n/&gt;!.So"</f>
        <v>#VALUE!</v>
      </c>
      <c r="FT232" t="e">
        <f>'All regions'!1762:1762-"n/&gt;!.Sp"</f>
        <v>#VALUE!</v>
      </c>
      <c r="FU232" t="e">
        <f>'All regions'!1763:1763-"n/&gt;!.Sq"</f>
        <v>#VALUE!</v>
      </c>
      <c r="FV232" t="e">
        <f>'All regions'!1764:1764-"n/&gt;!.Sr"</f>
        <v>#VALUE!</v>
      </c>
      <c r="FW232" t="e">
        <f>'All regions'!1765:1765-"n/&gt;!.Ss"</f>
        <v>#VALUE!</v>
      </c>
      <c r="FX232" t="e">
        <f>'All regions'!1766:1766-"n/&gt;!.St"</f>
        <v>#VALUE!</v>
      </c>
      <c r="FY232" t="e">
        <f>'All regions'!1767:1767-"n/&gt;!.Su"</f>
        <v>#VALUE!</v>
      </c>
      <c r="FZ232" t="e">
        <f>'All regions'!1768:1768-"n/&gt;!.Sv"</f>
        <v>#VALUE!</v>
      </c>
      <c r="GA232" t="e">
        <f>'All regions'!1769:1769-"n/&gt;!.Sw"</f>
        <v>#VALUE!</v>
      </c>
      <c r="GB232" t="e">
        <f>'All regions'!1770:1770-"n/&gt;!.Sx"</f>
        <v>#VALUE!</v>
      </c>
      <c r="GC232" t="e">
        <f>'All regions'!1771:1771-"n/&gt;!.Sy"</f>
        <v>#VALUE!</v>
      </c>
      <c r="GD232" t="e">
        <f>'All regions'!1772:1772-"n/&gt;!.Sz"</f>
        <v>#VALUE!</v>
      </c>
      <c r="GE232" t="e">
        <f>'All regions'!1773:1773-"n/&gt;!.S{"</f>
        <v>#VALUE!</v>
      </c>
      <c r="GF232" t="e">
        <f>'All regions'!1774:1774-"n/&gt;!.S|"</f>
        <v>#VALUE!</v>
      </c>
      <c r="GG232" t="e">
        <f>'All regions'!1775:1775-"n/&gt;!.S}"</f>
        <v>#VALUE!</v>
      </c>
      <c r="GH232" t="e">
        <f>'All regions'!1776:1776-"n/&gt;!.S~"</f>
        <v>#VALUE!</v>
      </c>
      <c r="GI232" t="e">
        <f>'All regions'!1777:1777-"n/&gt;!.T#"</f>
        <v>#VALUE!</v>
      </c>
      <c r="GJ232" t="e">
        <f>'All regions'!1778:1778-"n/&gt;!.T$"</f>
        <v>#VALUE!</v>
      </c>
      <c r="GK232" t="e">
        <f>'All regions'!1779:1779-"n/&gt;!.T%"</f>
        <v>#VALUE!</v>
      </c>
      <c r="GL232" t="e">
        <f>'All regions'!1780:1780-"n/&gt;!.T&amp;"</f>
        <v>#VALUE!</v>
      </c>
      <c r="GM232" t="e">
        <f>'All regions'!1781:1781-"n/&gt;!.T'"</f>
        <v>#VALUE!</v>
      </c>
      <c r="GN232" t="e">
        <f>'All regions'!1782:1782-"n/&gt;!.T("</f>
        <v>#VALUE!</v>
      </c>
      <c r="GO232" t="e">
        <f>'All regions'!1783:1783-"n/&gt;!.T)"</f>
        <v>#VALUE!</v>
      </c>
      <c r="GP232" t="e">
        <f>'All regions'!1784:1784-"n/&gt;!.T."</f>
        <v>#VALUE!</v>
      </c>
      <c r="GQ232" t="e">
        <f>'All regions'!1785:1785-"n/&gt;!.T/"</f>
        <v>#VALUE!</v>
      </c>
      <c r="GR232" t="e">
        <f>'All regions'!1786:1786-"n/&gt;!.T0"</f>
        <v>#VALUE!</v>
      </c>
      <c r="GS232" t="e">
        <f>'All regions'!1787:1787-"n/&gt;!.T1"</f>
        <v>#VALUE!</v>
      </c>
      <c r="GT232" t="e">
        <f>'All regions'!1788:1788-"n/&gt;!.T2"</f>
        <v>#VALUE!</v>
      </c>
      <c r="GU232" t="e">
        <f>'All regions'!1789:1789-"n/&gt;!.T3"</f>
        <v>#VALUE!</v>
      </c>
      <c r="GV232" t="e">
        <f>'All regions'!1790:1790-"n/&gt;!.T4"</f>
        <v>#VALUE!</v>
      </c>
      <c r="GW232" t="e">
        <f>'All regions'!1791:1791-"n/&gt;!.T5"</f>
        <v>#VALUE!</v>
      </c>
      <c r="GX232" t="e">
        <f>'All regions'!1792:1792-"n/&gt;!.T6"</f>
        <v>#VALUE!</v>
      </c>
      <c r="GY232" t="e">
        <f>'All regions'!1793:1793-"n/&gt;!.T7"</f>
        <v>#VALUE!</v>
      </c>
      <c r="GZ232" t="e">
        <f>'All regions'!1794:1794-"n/&gt;!.T8"</f>
        <v>#VALUE!</v>
      </c>
      <c r="HA232" t="e">
        <f>'All regions'!1795:1795-"n/&gt;!.T9"</f>
        <v>#VALUE!</v>
      </c>
      <c r="HB232" t="e">
        <f>'All regions'!1796:1796-"n/&gt;!.T:"</f>
        <v>#VALUE!</v>
      </c>
      <c r="HC232" t="e">
        <f>'All regions'!1797:1797-"n/&gt;!.T;"</f>
        <v>#VALUE!</v>
      </c>
      <c r="HD232" t="e">
        <f>'All regions'!1798:1798-"n/&gt;!.T&lt;"</f>
        <v>#VALUE!</v>
      </c>
      <c r="HE232" t="e">
        <f>'All regions'!1799:1799-"n/&gt;!.T="</f>
        <v>#VALUE!</v>
      </c>
      <c r="HF232" t="e">
        <f>'All regions'!1800:1800-"n/&gt;!.T&gt;"</f>
        <v>#VALUE!</v>
      </c>
      <c r="HG232" t="e">
        <f>'All regions'!1801:1801-"n/&gt;!.T?"</f>
        <v>#VALUE!</v>
      </c>
      <c r="HH232" t="e">
        <f>'All regions'!1802:1802-"n/&gt;!.T@"</f>
        <v>#VALUE!</v>
      </c>
      <c r="HI232" t="e">
        <f>'All regions'!1803:1803-"n/&gt;!.TA"</f>
        <v>#VALUE!</v>
      </c>
      <c r="HJ232" t="e">
        <f>'All regions'!1804:1804-"n/&gt;!.TB"</f>
        <v>#VALUE!</v>
      </c>
      <c r="HK232" t="e">
        <f>'All regions'!1805:1805-"n/&gt;!.TC"</f>
        <v>#VALUE!</v>
      </c>
      <c r="HL232" t="e">
        <f>'All regions'!1806:1806-"n/&gt;!.TD"</f>
        <v>#VALUE!</v>
      </c>
      <c r="HM232" t="e">
        <f>'All regions'!1807:1807-"n/&gt;!.TE"</f>
        <v>#VALUE!</v>
      </c>
      <c r="HN232" t="e">
        <f>'All regions'!1808:1808-"n/&gt;!.TF"</f>
        <v>#VALUE!</v>
      </c>
      <c r="HO232" t="e">
        <f>'All regions'!1809:1809-"n/&gt;!.TG"</f>
        <v>#VALUE!</v>
      </c>
      <c r="HP232" t="e">
        <f>'All regions'!1810:1810-"n/&gt;!.TH"</f>
        <v>#VALUE!</v>
      </c>
      <c r="HQ232" t="e">
        <f>'All regions'!1811:1811-"n/&gt;!.TI"</f>
        <v>#VALUE!</v>
      </c>
      <c r="HR232" t="e">
        <f>'All regions'!1812:1812-"n/&gt;!.TJ"</f>
        <v>#VALUE!</v>
      </c>
      <c r="HS232" t="e">
        <f>'All regions'!1813:1813-"n/&gt;!.TK"</f>
        <v>#VALUE!</v>
      </c>
      <c r="HT232" t="e">
        <f>'All regions'!1814:1814-"n/&gt;!.TL"</f>
        <v>#VALUE!</v>
      </c>
      <c r="HU232" t="e">
        <f>'All regions'!1815:1815-"n/&gt;!.TM"</f>
        <v>#VALUE!</v>
      </c>
      <c r="HV232" t="e">
        <f>'All regions'!1816:1816-"n/&gt;!.TN"</f>
        <v>#VALUE!</v>
      </c>
      <c r="HW232" t="e">
        <f>'All regions'!1817:1817-"n/&gt;!.TO"</f>
        <v>#VALUE!</v>
      </c>
      <c r="HX232" t="e">
        <f>'All regions'!1818:1818-"n/&gt;!.TP"</f>
        <v>#VALUE!</v>
      </c>
      <c r="HY232" t="e">
        <f>'All regions'!1819:1819-"n/&gt;!.TQ"</f>
        <v>#VALUE!</v>
      </c>
      <c r="HZ232" t="e">
        <f>'All regions'!1820:1820-"n/&gt;!.TR"</f>
        <v>#VALUE!</v>
      </c>
      <c r="IA232" t="e">
        <f>'All regions'!1821:1821-"n/&gt;!.TS"</f>
        <v>#VALUE!</v>
      </c>
      <c r="IB232" t="e">
        <f>'All regions'!1822:1822-"n/&gt;!.TT"</f>
        <v>#VALUE!</v>
      </c>
      <c r="IC232" t="e">
        <f>'All regions'!1823:1823-"n/&gt;!.TU"</f>
        <v>#VALUE!</v>
      </c>
      <c r="ID232" t="e">
        <f>'All regions'!1824:1824-"n/&gt;!.TV"</f>
        <v>#VALUE!</v>
      </c>
      <c r="IE232" t="e">
        <f>'All regions'!1825:1825-"n/&gt;!.TW"</f>
        <v>#VALUE!</v>
      </c>
      <c r="IF232" t="e">
        <f>'All regions'!1826:1826-"n/&gt;!.TX"</f>
        <v>#VALUE!</v>
      </c>
      <c r="IG232" t="e">
        <f>'All regions'!1827:1827-"n/&gt;!.TY"</f>
        <v>#VALUE!</v>
      </c>
      <c r="IH232" t="e">
        <f>'All regions'!1828:1828-"n/&gt;!.TZ"</f>
        <v>#VALUE!</v>
      </c>
      <c r="II232" t="e">
        <f>'All regions'!1829:1829-"n/&gt;!.T["</f>
        <v>#VALUE!</v>
      </c>
      <c r="IJ232" t="e">
        <f>'All regions'!1830:1830-"n/&gt;!.T\"</f>
        <v>#VALUE!</v>
      </c>
      <c r="IK232" t="e">
        <f>'All regions'!1831:1831-"n/&gt;!.T]"</f>
        <v>#VALUE!</v>
      </c>
      <c r="IL232" t="e">
        <f>'All regions'!1832:1832-"n/&gt;!.T^"</f>
        <v>#VALUE!</v>
      </c>
      <c r="IM232" t="e">
        <f>'All regions'!1833:1833-"n/&gt;!.T_"</f>
        <v>#VALUE!</v>
      </c>
      <c r="IN232" t="e">
        <f>'All regions'!1834:1834-"n/&gt;!.T`"</f>
        <v>#VALUE!</v>
      </c>
      <c r="IO232" t="e">
        <f>'All regions'!1835:1835-"n/&gt;!.Ta"</f>
        <v>#VALUE!</v>
      </c>
      <c r="IP232" t="e">
        <f>'All regions'!1836:1836-"n/&gt;!.Tb"</f>
        <v>#VALUE!</v>
      </c>
      <c r="IQ232" t="e">
        <f>'All regions'!1837:1837-"n/&gt;!.Tc"</f>
        <v>#VALUE!</v>
      </c>
      <c r="IR232" t="e">
        <f>'All regions'!1838:1838-"n/&gt;!.Td"</f>
        <v>#VALUE!</v>
      </c>
      <c r="IS232" t="e">
        <f>'All regions'!1839:1839-"n/&gt;!.Te"</f>
        <v>#VALUE!</v>
      </c>
      <c r="IT232" t="e">
        <f>'All regions'!1840:1840-"n/&gt;!.Tf"</f>
        <v>#VALUE!</v>
      </c>
      <c r="IU232" t="e">
        <f>'All regions'!1841:1841-"n/&gt;!.Tg"</f>
        <v>#VALUE!</v>
      </c>
      <c r="IV232" t="e">
        <f>'All regions'!1842:1842-"n/&gt;!.Th"</f>
        <v>#VALUE!</v>
      </c>
    </row>
    <row r="233" spans="6:256" x14ac:dyDescent="0.35">
      <c r="F233" t="e">
        <f>'All regions'!1843:1843-"n/&gt;!.Ti"</f>
        <v>#VALUE!</v>
      </c>
      <c r="G233" t="e">
        <f>'All regions'!1844:1844-"n/&gt;!.Tj"</f>
        <v>#VALUE!</v>
      </c>
      <c r="H233" t="e">
        <f>'All regions'!1845:1845-"n/&gt;!.Tk"</f>
        <v>#VALUE!</v>
      </c>
      <c r="I233" t="e">
        <f>'All regions'!1846:1846-"n/&gt;!.Tl"</f>
        <v>#VALUE!</v>
      </c>
      <c r="J233" t="e">
        <f>'All regions'!1847:1847-"n/&gt;!.Tm"</f>
        <v>#VALUE!</v>
      </c>
      <c r="K233" t="e">
        <f>'All regions'!1848:1848-"n/&gt;!.Tn"</f>
        <v>#VALUE!</v>
      </c>
      <c r="L233" t="e">
        <f>'All regions'!1849:1849-"n/&gt;!.To"</f>
        <v>#VALUE!</v>
      </c>
      <c r="M233" t="e">
        <f>'All regions'!1850:1850-"n/&gt;!.Tp"</f>
        <v>#VALUE!</v>
      </c>
      <c r="N233" t="e">
        <f>'All regions'!1851:1851-"n/&gt;!.Tq"</f>
        <v>#VALUE!</v>
      </c>
      <c r="O233" t="e">
        <f>'All regions'!1852:1852-"n/&gt;!.Tr"</f>
        <v>#VALUE!</v>
      </c>
      <c r="P233" t="e">
        <f>'All regions'!1853:1853-"n/&gt;!.Ts"</f>
        <v>#VALUE!</v>
      </c>
      <c r="Q233" t="e">
        <f>'All regions'!1854:1854-"n/&gt;!.Tt"</f>
        <v>#VALUE!</v>
      </c>
      <c r="R233" t="e">
        <f>'All regions'!1855:1855-"n/&gt;!.Tu"</f>
        <v>#VALUE!</v>
      </c>
      <c r="S233" t="e">
        <f>'All regions'!1856:1856-"n/&gt;!.Tv"</f>
        <v>#VALUE!</v>
      </c>
      <c r="T233" t="e">
        <f>'All regions'!1857:1857-"n/&gt;!.Tw"</f>
        <v>#VALUE!</v>
      </c>
      <c r="U233" t="e">
        <f>'All regions'!1858:1858-"n/&gt;!.Tx"</f>
        <v>#VALUE!</v>
      </c>
      <c r="V233" t="e">
        <f>'All regions'!1859:1859-"n/&gt;!.Ty"</f>
        <v>#VALUE!</v>
      </c>
      <c r="W233" t="e">
        <f>'All regions'!1860:1860-"n/&gt;!.Tz"</f>
        <v>#VALUE!</v>
      </c>
      <c r="X233" t="e">
        <f>'All regions'!1861:1861-"n/&gt;!.T{"</f>
        <v>#VALUE!</v>
      </c>
      <c r="Y233" t="e">
        <f>'All regions'!1862:1862-"n/&gt;!.T|"</f>
        <v>#VALUE!</v>
      </c>
      <c r="Z233" t="e">
        <f>'All regions'!1863:1863-"n/&gt;!.T}"</f>
        <v>#VALUE!</v>
      </c>
      <c r="AA233" t="e">
        <f>'All regions'!1864:1864-"n/&gt;!.T~"</f>
        <v>#VALUE!</v>
      </c>
      <c r="AB233" t="e">
        <f>'All regions'!1865:1865-"n/&gt;!.U#"</f>
        <v>#VALUE!</v>
      </c>
      <c r="AC233" t="e">
        <f>'All regions'!1866:1866-"n/&gt;!.U$"</f>
        <v>#VALUE!</v>
      </c>
      <c r="AD233" t="e">
        <f>'All regions'!1867:1867-"n/&gt;!.U%"</f>
        <v>#VALUE!</v>
      </c>
      <c r="AE233" t="e">
        <f>'All regions'!1868:1868-"n/&gt;!.U&amp;"</f>
        <v>#VALUE!</v>
      </c>
      <c r="AF233" t="e">
        <f>'All regions'!1869:1869-"n/&gt;!.U'"</f>
        <v>#VALUE!</v>
      </c>
      <c r="AG233" t="e">
        <f>'All regions'!1870:1870-"n/&gt;!.U("</f>
        <v>#VALUE!</v>
      </c>
      <c r="AH233" t="e">
        <f>'All regions'!1871:1871-"n/&gt;!.U)"</f>
        <v>#VALUE!</v>
      </c>
      <c r="AI233" t="e">
        <f>'All regions'!1872:1872-"n/&gt;!.U."</f>
        <v>#VALUE!</v>
      </c>
      <c r="AJ233" t="e">
        <f>'All regions'!1873:1873-"n/&gt;!.U/"</f>
        <v>#VALUE!</v>
      </c>
      <c r="AK233" t="e">
        <f>'All regions'!1874:1874-"n/&gt;!.U0"</f>
        <v>#VALUE!</v>
      </c>
      <c r="AL233" t="e">
        <f>'All regions'!1875:1875-"n/&gt;!.U1"</f>
        <v>#VALUE!</v>
      </c>
      <c r="AM233" t="e">
        <f>'All regions'!1876:1876-"n/&gt;!.U2"</f>
        <v>#VALUE!</v>
      </c>
      <c r="AN233" t="e">
        <f>'All regions'!1877:1877-"n/&gt;!.U3"</f>
        <v>#VALUE!</v>
      </c>
      <c r="AO233" t="e">
        <f>'All regions'!1878:1878-"n/&gt;!.U4"</f>
        <v>#VALUE!</v>
      </c>
      <c r="AP233" t="e">
        <f>'All regions'!1879:1879-"n/&gt;!.U5"</f>
        <v>#VALUE!</v>
      </c>
      <c r="AQ233" t="e">
        <f>'All regions'!1880:1880-"n/&gt;!.U6"</f>
        <v>#VALUE!</v>
      </c>
      <c r="AR233" t="e">
        <f>'All regions'!1881:1881-"n/&gt;!.U7"</f>
        <v>#VALUE!</v>
      </c>
      <c r="AS233" t="e">
        <f>'All regions'!1882:1882-"n/&gt;!.U8"</f>
        <v>#VALUE!</v>
      </c>
      <c r="AT233" t="e">
        <f>'All regions'!1883:1883-"n/&gt;!.U9"</f>
        <v>#VALUE!</v>
      </c>
      <c r="AU233" t="e">
        <f>'All regions'!1884:1884-"n/&gt;!.U:"</f>
        <v>#VALUE!</v>
      </c>
      <c r="AV233" t="e">
        <f>'All regions'!1885:1885-"n/&gt;!.U;"</f>
        <v>#VALUE!</v>
      </c>
      <c r="AW233" t="e">
        <f>'All regions'!1886:1886-"n/&gt;!.U&lt;"</f>
        <v>#VALUE!</v>
      </c>
      <c r="AX233" t="e">
        <f>'All regions'!1887:1887-"n/&gt;!.U="</f>
        <v>#VALUE!</v>
      </c>
      <c r="AY233" t="e">
        <f>'All regions'!1888:1888-"n/&gt;!.U&gt;"</f>
        <v>#VALUE!</v>
      </c>
      <c r="AZ233" t="e">
        <f>'All regions'!1889:1889-"n/&gt;!.U?"</f>
        <v>#VALUE!</v>
      </c>
      <c r="BA233" t="e">
        <f>'All regions'!1890:1890-"n/&gt;!.U@"</f>
        <v>#VALUE!</v>
      </c>
      <c r="BB233" t="e">
        <f>'All regions'!1891:1891-"n/&gt;!.UA"</f>
        <v>#VALUE!</v>
      </c>
      <c r="BC233" t="e">
        <f>'All regions'!1892:1892-"n/&gt;!.UB"</f>
        <v>#VALUE!</v>
      </c>
      <c r="BD233" t="e">
        <f>'All regions'!1893:1893-"n/&gt;!.UC"</f>
        <v>#VALUE!</v>
      </c>
      <c r="BE233" t="e">
        <f>'All regions'!1894:1894-"n/&gt;!.UD"</f>
        <v>#VALUE!</v>
      </c>
      <c r="BF233" t="e">
        <f>'All regions'!1895:1895-"n/&gt;!.UE"</f>
        <v>#VALUE!</v>
      </c>
      <c r="BG233" t="e">
        <f>'All regions'!1896:1896-"n/&gt;!.UF"</f>
        <v>#VALUE!</v>
      </c>
      <c r="BH233" t="e">
        <f>'All regions'!1897:1897-"n/&gt;!.UG"</f>
        <v>#VALUE!</v>
      </c>
      <c r="BI233" t="e">
        <f>'All regions'!1898:1898-"n/&gt;!.UH"</f>
        <v>#VALUE!</v>
      </c>
      <c r="BJ233" t="e">
        <f>'All regions'!1899:1899-"n/&gt;!.UI"</f>
        <v>#VALUE!</v>
      </c>
      <c r="BK233" t="e">
        <f>'All regions'!1900:1900-"n/&gt;!.UJ"</f>
        <v>#VALUE!</v>
      </c>
      <c r="BL233" t="e">
        <f>'All regions'!1901:1901-"n/&gt;!.UK"</f>
        <v>#VALUE!</v>
      </c>
      <c r="BM233" t="e">
        <f>'All regions'!1902:1902-"n/&gt;!.UL"</f>
        <v>#VALUE!</v>
      </c>
      <c r="BN233" t="e">
        <f>'All regions'!1903:1903-"n/&gt;!.UM"</f>
        <v>#VALUE!</v>
      </c>
      <c r="BO233" t="e">
        <f>'All regions'!1904:1904-"n/&gt;!.UN"</f>
        <v>#VALUE!</v>
      </c>
      <c r="BP233" t="e">
        <f>'All regions'!1905:1905-"n/&gt;!.UO"</f>
        <v>#VALUE!</v>
      </c>
      <c r="BQ233" t="e">
        <f>'All regions'!1906:1906-"n/&gt;!.UP"</f>
        <v>#VALUE!</v>
      </c>
      <c r="BR233" t="e">
        <f>'All regions'!1907:1907-"n/&gt;!.UQ"</f>
        <v>#VALUE!</v>
      </c>
      <c r="BS233" t="e">
        <f>'All regions'!1908:1908-"n/&gt;!.UR"</f>
        <v>#VALUE!</v>
      </c>
      <c r="BT233" t="e">
        <f>'All regions'!1909:1909-"n/&gt;!.US"</f>
        <v>#VALUE!</v>
      </c>
      <c r="BU233" t="e">
        <f>'All regions'!1910:1910-"n/&gt;!.UT"</f>
        <v>#VALUE!</v>
      </c>
      <c r="BV233" t="e">
        <f>'All regions'!1911:1911-"n/&gt;!.UU"</f>
        <v>#VALUE!</v>
      </c>
      <c r="BW233" t="e">
        <f>'All regions'!1912:1912-"n/&gt;!.UV"</f>
        <v>#VALUE!</v>
      </c>
      <c r="BX233" t="e">
        <f>'All regions'!1913:1913-"n/&gt;!.UW"</f>
        <v>#VALUE!</v>
      </c>
      <c r="BY233" t="e">
        <f>'All regions'!1914:1914-"n/&gt;!.UX"</f>
        <v>#VALUE!</v>
      </c>
      <c r="BZ233" t="e">
        <f>'All regions'!1915:1915-"n/&gt;!.UY"</f>
        <v>#VALUE!</v>
      </c>
      <c r="CA233" t="e">
        <f>'All regions'!1916:1916-"n/&gt;!.UZ"</f>
        <v>#VALUE!</v>
      </c>
      <c r="CB233" t="e">
        <f>'All regions'!1917:1917-"n/&gt;!.U["</f>
        <v>#VALUE!</v>
      </c>
      <c r="CC233" t="e">
        <f>'All regions'!1918:1918-"n/&gt;!.U\"</f>
        <v>#VALUE!</v>
      </c>
      <c r="CD233" t="e">
        <f>'All regions'!1919:1919-"n/&gt;!.U]"</f>
        <v>#VALUE!</v>
      </c>
      <c r="CE233" t="e">
        <f>'All regions'!1920:1920-"n/&gt;!.U^"</f>
        <v>#VALUE!</v>
      </c>
      <c r="CF233" t="e">
        <f>'All regions'!1921:1921-"n/&gt;!.U_"</f>
        <v>#VALUE!</v>
      </c>
      <c r="CG233" t="e">
        <f>'All regions'!1922:1922-"n/&gt;!.U`"</f>
        <v>#VALUE!</v>
      </c>
      <c r="CH233" t="e">
        <f>'All regions'!1923:1923-"n/&gt;!.Ua"</f>
        <v>#VALUE!</v>
      </c>
      <c r="CI233" t="e">
        <f>'All regions'!1924:1924-"n/&gt;!.Ub"</f>
        <v>#VALUE!</v>
      </c>
      <c r="CJ233" t="e">
        <f>'All regions'!1925:1925-"n/&gt;!.Uc"</f>
        <v>#VALUE!</v>
      </c>
      <c r="CK233" t="e">
        <f>'All regions'!1926:1926-"n/&gt;!.Ud"</f>
        <v>#VALUE!</v>
      </c>
      <c r="CL233" t="e">
        <f>'All regions'!1927:1927-"n/&gt;!.Ue"</f>
        <v>#VALUE!</v>
      </c>
      <c r="CM233" t="e">
        <f>'All regions'!1928:1928-"n/&gt;!.Uf"</f>
        <v>#VALUE!</v>
      </c>
      <c r="CN233" t="e">
        <f>'All regions'!1929:1929-"n/&gt;!.Ug"</f>
        <v>#VALUE!</v>
      </c>
      <c r="CO233" t="e">
        <f>'All regions'!1930:1930-"n/&gt;!.Uh"</f>
        <v>#VALUE!</v>
      </c>
      <c r="CP233" t="e">
        <f>'All regions'!1931:1931-"n/&gt;!.Ui"</f>
        <v>#VALUE!</v>
      </c>
      <c r="CQ233" t="e">
        <f>'All regions'!1932:1932-"n/&gt;!.Uj"</f>
        <v>#VALUE!</v>
      </c>
      <c r="CR233" t="e">
        <f>'All regions'!1933:1933-"n/&gt;!.Uk"</f>
        <v>#VALUE!</v>
      </c>
      <c r="CS233" t="e">
        <f>'All regions'!1934:1934-"n/&gt;!.Ul"</f>
        <v>#VALUE!</v>
      </c>
      <c r="CT233" t="e">
        <f>'All regions'!1935:1935-"n/&gt;!.Um"</f>
        <v>#VALUE!</v>
      </c>
      <c r="CU233" t="e">
        <f>'All regions'!1936:1936-"n/&gt;!.Un"</f>
        <v>#VALUE!</v>
      </c>
      <c r="CV233" t="e">
        <f>'All regions'!1937:1937-"n/&gt;!.Uo"</f>
        <v>#VALUE!</v>
      </c>
      <c r="CW233" t="e">
        <f>'All regions'!1938:1938-"n/&gt;!.Up"</f>
        <v>#VALUE!</v>
      </c>
      <c r="CX233" t="e">
        <f>'All regions'!1939:1939-"n/&gt;!.Uq"</f>
        <v>#VALUE!</v>
      </c>
      <c r="CY233" t="e">
        <f>'All regions'!1940:1940-"n/&gt;!.Ur"</f>
        <v>#VALUE!</v>
      </c>
      <c r="CZ233" t="e">
        <f>'All regions'!1941:1941-"n/&gt;!.Us"</f>
        <v>#VALUE!</v>
      </c>
      <c r="DA233" t="e">
        <f>'All regions'!1942:1942-"n/&gt;!.Ut"</f>
        <v>#VALUE!</v>
      </c>
      <c r="DB233" t="e">
        <f>'All regions'!1943:1943-"n/&gt;!.Uu"</f>
        <v>#VALUE!</v>
      </c>
      <c r="DC233" t="e">
        <f>'All regions'!1944:1944-"n/&gt;!.Uv"</f>
        <v>#VALUE!</v>
      </c>
      <c r="DD233" t="e">
        <f>'All regions'!1945:1945-"n/&gt;!.Uw"</f>
        <v>#VALUE!</v>
      </c>
      <c r="DE233" t="e">
        <f>'All regions'!1946:1946-"n/&gt;!.Ux"</f>
        <v>#VALUE!</v>
      </c>
      <c r="DF233" t="e">
        <f>'All regions'!1947:1947-"n/&gt;!.Uy"</f>
        <v>#VALUE!</v>
      </c>
      <c r="DG233" t="e">
        <f>'All regions'!1948:1948-"n/&gt;!.Uz"</f>
        <v>#VALUE!</v>
      </c>
      <c r="DH233" t="e">
        <f>'All regions'!1949:1949-"n/&gt;!.U{"</f>
        <v>#VALUE!</v>
      </c>
      <c r="DI233" t="e">
        <f>'All regions'!1950:1950-"n/&gt;!.U|"</f>
        <v>#VALUE!</v>
      </c>
      <c r="DJ233" t="e">
        <f>'All regions'!1951:1951-"n/&gt;!.U}"</f>
        <v>#VALUE!</v>
      </c>
      <c r="DK233" t="e">
        <f>'All regions'!1952:1952-"n/&gt;!.U~"</f>
        <v>#VALUE!</v>
      </c>
      <c r="DL233" t="e">
        <f>'All regions'!1953:1953-"n/&gt;!.V#"</f>
        <v>#VALUE!</v>
      </c>
      <c r="DM233" t="e">
        <f>'All regions'!1954:1954-"n/&gt;!.V$"</f>
        <v>#VALUE!</v>
      </c>
      <c r="DN233" t="e">
        <f>'All regions'!1955:1955-"n/&gt;!.V%"</f>
        <v>#VALUE!</v>
      </c>
      <c r="DO233" t="e">
        <f>'All regions'!1956:1956-"n/&gt;!.V&amp;"</f>
        <v>#VALUE!</v>
      </c>
      <c r="DP233" t="e">
        <f>'All regions'!1957:1957-"n/&gt;!.V'"</f>
        <v>#VALUE!</v>
      </c>
      <c r="DQ233" t="e">
        <f>'All regions'!1958:1958-"n/&gt;!.V("</f>
        <v>#VALUE!</v>
      </c>
      <c r="DR233" t="e">
        <f>'All regions'!1959:1959-"n/&gt;!.V)"</f>
        <v>#VALUE!</v>
      </c>
      <c r="DS233" t="e">
        <f>'All regions'!1960:1960-"n/&gt;!.V."</f>
        <v>#VALUE!</v>
      </c>
      <c r="DT233" t="e">
        <f>'All regions'!1961:1961-"n/&gt;!.V/"</f>
        <v>#VALUE!</v>
      </c>
      <c r="DU233" t="e">
        <f>'All regions'!1962:1962-"n/&gt;!.V0"</f>
        <v>#VALUE!</v>
      </c>
      <c r="DV233" t="e">
        <f>'All regions'!1963:1963-"n/&gt;!.V1"</f>
        <v>#VALUE!</v>
      </c>
      <c r="DW233" t="e">
        <f>'All regions'!1964:1964-"n/&gt;!.V2"</f>
        <v>#VALUE!</v>
      </c>
      <c r="DX233" t="e">
        <f>'All regions'!1965:1965-"n/&gt;!.V3"</f>
        <v>#VALUE!</v>
      </c>
      <c r="DY233" t="e">
        <f>'All regions'!1966:1966-"n/&gt;!.V4"</f>
        <v>#VALUE!</v>
      </c>
      <c r="DZ233" t="e">
        <f>'All regions'!1967:1967-"n/&gt;!.V5"</f>
        <v>#VALUE!</v>
      </c>
      <c r="EA233" t="e">
        <f>'All regions'!1968:1968-"n/&gt;!.V6"</f>
        <v>#VALUE!</v>
      </c>
      <c r="EB233" t="e">
        <f>'All regions'!1969:1969-"n/&gt;!.V7"</f>
        <v>#VALUE!</v>
      </c>
      <c r="EC233" t="e">
        <f>'All regions'!1970:1970-"n/&gt;!.V8"</f>
        <v>#VALUE!</v>
      </c>
      <c r="ED233" t="e">
        <f>'All regions'!1971:1971-"n/&gt;!.V9"</f>
        <v>#VALUE!</v>
      </c>
      <c r="EE233" t="e">
        <f>'All regions'!1972:1972-"n/&gt;!.V:"</f>
        <v>#VALUE!</v>
      </c>
      <c r="EF233" t="e">
        <f>'All regions'!1973:1973-"n/&gt;!.V;"</f>
        <v>#VALUE!</v>
      </c>
      <c r="EG233" t="e">
        <f>'All regions'!1974:1974-"n/&gt;!.V&lt;"</f>
        <v>#VALUE!</v>
      </c>
      <c r="EH233" t="e">
        <f>'All regions'!1975:1975-"n/&gt;!.V="</f>
        <v>#VALUE!</v>
      </c>
      <c r="EI233" t="e">
        <f>'All regions'!1976:1976-"n/&gt;!.V&gt;"</f>
        <v>#VALUE!</v>
      </c>
      <c r="EJ233" t="e">
        <f>'All regions'!1977:1977-"n/&gt;!.V?"</f>
        <v>#VALUE!</v>
      </c>
      <c r="EK233" t="e">
        <f>'All regions'!1978:1978-"n/&gt;!.V@"</f>
        <v>#VALUE!</v>
      </c>
      <c r="EL233" t="e">
        <f>'All regions'!1979:1979-"n/&gt;!.VA"</f>
        <v>#VALUE!</v>
      </c>
      <c r="EM233" t="e">
        <f>'All regions'!1980:1980-"n/&gt;!.VB"</f>
        <v>#VALUE!</v>
      </c>
      <c r="EN233" t="e">
        <f>'All regions'!1981:1981-"n/&gt;!.VC"</f>
        <v>#VALUE!</v>
      </c>
      <c r="EO233" t="e">
        <f>'All regions'!1982:1982-"n/&gt;!.VD"</f>
        <v>#VALUE!</v>
      </c>
      <c r="EP233" t="e">
        <f>'All regions'!1983:1983-"n/&gt;!.VE"</f>
        <v>#VALUE!</v>
      </c>
      <c r="EQ233" t="e">
        <f>'All regions'!1984:1984-"n/&gt;!.VF"</f>
        <v>#VALUE!</v>
      </c>
      <c r="ER233" t="e">
        <f>'All regions'!1985:1985-"n/&gt;!.VG"</f>
        <v>#VALUE!</v>
      </c>
      <c r="ES233" t="e">
        <f>'All regions'!1986:1986-"n/&gt;!.VH"</f>
        <v>#VALUE!</v>
      </c>
      <c r="ET233" t="e">
        <f>'All regions'!1987:1987-"n/&gt;!.VI"</f>
        <v>#VALUE!</v>
      </c>
      <c r="EU233" t="e">
        <f>'All regions'!1988:1988-"n/&gt;!.VJ"</f>
        <v>#VALUE!</v>
      </c>
      <c r="EV233" t="e">
        <f>'All regions'!1989:1989-"n/&gt;!.VK"</f>
        <v>#VALUE!</v>
      </c>
      <c r="EW233" t="e">
        <f>'All regions'!1990:1990-"n/&gt;!.VL"</f>
        <v>#VALUE!</v>
      </c>
      <c r="EX233" t="e">
        <f>'All regions'!1991:1991-"n/&gt;!.VM"</f>
        <v>#VALUE!</v>
      </c>
      <c r="EY233" t="e">
        <f>'All regions'!1992:1992-"n/&gt;!.VN"</f>
        <v>#VALUE!</v>
      </c>
      <c r="EZ233" t="e">
        <f>'All regions'!1993:1993-"n/&gt;!.VO"</f>
        <v>#VALUE!</v>
      </c>
      <c r="FA233" t="e">
        <f>'All regions'!1994:1994-"n/&gt;!.VP"</f>
        <v>#VALUE!</v>
      </c>
      <c r="FB233" t="e">
        <f>'All regions'!1995:1995-"n/&gt;!.VQ"</f>
        <v>#VALUE!</v>
      </c>
      <c r="FC233" t="e">
        <f>'All regions'!1996:1996-"n/&gt;!.VR"</f>
        <v>#VALUE!</v>
      </c>
      <c r="FD233" t="e">
        <f>'All regions'!1997:1997-"n/&gt;!.VS"</f>
        <v>#VALUE!</v>
      </c>
      <c r="FE233" t="e">
        <f>'All regions'!1998:1998-"n/&gt;!.VT"</f>
        <v>#VALUE!</v>
      </c>
      <c r="FF233" t="e">
        <f>'All regions'!1999:1999-"n/&gt;!.VU"</f>
        <v>#VALUE!</v>
      </c>
      <c r="FG233" t="e">
        <f>'All regions'!2000:2000-"n/&gt;!.VV"</f>
        <v>#VALUE!</v>
      </c>
      <c r="FH233" t="e">
        <f>'All regions'!2001:2001-"n/&gt;!.VW"</f>
        <v>#VALUE!</v>
      </c>
      <c r="FI233" t="e">
        <f>'All regions'!2002:2002-"n/&gt;!.VX"</f>
        <v>#VALUE!</v>
      </c>
      <c r="FJ233" t="e">
        <f>'All regions'!2003:2003-"n/&gt;!.VY"</f>
        <v>#VALUE!</v>
      </c>
      <c r="FK233" t="e">
        <f>'All regions'!2004:2004-"n/&gt;!.VZ"</f>
        <v>#VALUE!</v>
      </c>
      <c r="FL233" t="e">
        <f>'All regions'!2005:2005-"n/&gt;!.V["</f>
        <v>#VALUE!</v>
      </c>
      <c r="FM233" t="e">
        <f>'All regions'!2006:2006-"n/&gt;!.V\"</f>
        <v>#VALUE!</v>
      </c>
      <c r="FN233" t="e">
        <f>'All regions'!2007:2007-"n/&gt;!.V]"</f>
        <v>#VALUE!</v>
      </c>
      <c r="FO233" t="e">
        <f>'All regions'!2008:2008-"n/&gt;!.V^"</f>
        <v>#VALUE!</v>
      </c>
      <c r="FP233" t="e">
        <f>'All regions'!2009:2009-"n/&gt;!.V_"</f>
        <v>#VALUE!</v>
      </c>
      <c r="FQ233" t="e">
        <f>'All regions'!2010:2010-"n/&gt;!.V`"</f>
        <v>#VALUE!</v>
      </c>
      <c r="FR233" t="e">
        <f>'All regions'!2011:2011-"n/&gt;!.Va"</f>
        <v>#VALUE!</v>
      </c>
      <c r="FS233" t="e">
        <f>'All regions'!2012:2012-"n/&gt;!.Vb"</f>
        <v>#VALUE!</v>
      </c>
      <c r="FT233" t="e">
        <f>'All regions'!2013:2013-"n/&gt;!.Vc"</f>
        <v>#VALUE!</v>
      </c>
      <c r="FU233" t="e">
        <f>'All regions'!2014:2014-"n/&gt;!.Vd"</f>
        <v>#VALUE!</v>
      </c>
      <c r="FV233" t="e">
        <f>'All regions'!2015:2015-"n/&gt;!.Ve"</f>
        <v>#VALUE!</v>
      </c>
      <c r="FW233" t="e">
        <f>'All regions'!2016:2016-"n/&gt;!.Vf"</f>
        <v>#VALUE!</v>
      </c>
      <c r="FX233" t="e">
        <f>'All regions'!2017:2017-"n/&gt;!.Vg"</f>
        <v>#VALUE!</v>
      </c>
      <c r="FY233" t="e">
        <f>'All regions'!2018:2018-"n/&gt;!.Vh"</f>
        <v>#VALUE!</v>
      </c>
      <c r="FZ233" t="e">
        <f>'All regions'!2019:2019-"n/&gt;!.Vi"</f>
        <v>#VALUE!</v>
      </c>
      <c r="GA233" t="e">
        <f>'All regions'!2020:2020-"n/&gt;!.Vj"</f>
        <v>#VALUE!</v>
      </c>
      <c r="GB233" t="e">
        <f>'All regions'!2021:2021-"n/&gt;!.Vk"</f>
        <v>#VALUE!</v>
      </c>
      <c r="GC233" t="e">
        <f>'All regions'!2022:2022-"n/&gt;!.Vl"</f>
        <v>#VALUE!</v>
      </c>
      <c r="GD233" t="e">
        <f>'All regions'!2023:2023-"n/&gt;!.Vm"</f>
        <v>#VALUE!</v>
      </c>
      <c r="GE233" t="e">
        <f>'All regions'!2024:2024-"n/&gt;!.Vn"</f>
        <v>#VALUE!</v>
      </c>
      <c r="GF233" t="e">
        <f>'All regions'!2025:2025-"n/&gt;!.Vo"</f>
        <v>#VALUE!</v>
      </c>
      <c r="GG233" t="e">
        <f>'All regions'!2026:2026-"n/&gt;!.Vp"</f>
        <v>#VALUE!</v>
      </c>
      <c r="GH233" t="e">
        <f>'All regions'!2027:2027-"n/&gt;!.Vq"</f>
        <v>#VALUE!</v>
      </c>
      <c r="GI233" t="e">
        <f>'All regions'!2028:2028-"n/&gt;!.Vr"</f>
        <v>#VALUE!</v>
      </c>
      <c r="GJ233" t="e">
        <f>'All regions'!2029:2029-"n/&gt;!.Vs"</f>
        <v>#VALUE!</v>
      </c>
      <c r="GK233" t="e">
        <f>'All regions'!2030:2030-"n/&gt;!.Vt"</f>
        <v>#VALUE!</v>
      </c>
      <c r="GL233" t="e">
        <f>'All regions'!2031:2031-"n/&gt;!.Vu"</f>
        <v>#VALUE!</v>
      </c>
      <c r="GM233" t="e">
        <f>'All regions'!2032:2032-"n/&gt;!.Vv"</f>
        <v>#VALUE!</v>
      </c>
      <c r="GN233" t="e">
        <f>'All regions'!2033:2033-"n/&gt;!.Vw"</f>
        <v>#VALUE!</v>
      </c>
      <c r="GO233" t="e">
        <f>'All regions'!2034:2034-"n/&gt;!.Vx"</f>
        <v>#VALUE!</v>
      </c>
      <c r="GP233" t="e">
        <f>'All regions'!2035:2035-"n/&gt;!.Vy"</f>
        <v>#VALUE!</v>
      </c>
      <c r="GQ233" t="e">
        <f>'All regions'!2036:2036-"n/&gt;!.Vz"</f>
        <v>#VALUE!</v>
      </c>
      <c r="GR233" t="e">
        <f>'All regions'!2037:2037-"n/&gt;!.V{"</f>
        <v>#VALUE!</v>
      </c>
      <c r="GS233" t="e">
        <f>'All regions'!2038:2038-"n/&gt;!.V|"</f>
        <v>#VALUE!</v>
      </c>
      <c r="GT233" t="e">
        <f>'All regions'!2039:2039-"n/&gt;!.V}"</f>
        <v>#VALUE!</v>
      </c>
      <c r="GU233" t="e">
        <f>'All regions'!2040:2040-"n/&gt;!.V~"</f>
        <v>#VALUE!</v>
      </c>
      <c r="GV233" t="e">
        <f>'All regions'!2041:2041-"n/&gt;!.W#"</f>
        <v>#VALUE!</v>
      </c>
      <c r="GW233" t="e">
        <f>'All regions'!2042:2042-"n/&gt;!.W$"</f>
        <v>#VALUE!</v>
      </c>
      <c r="GX233" t="e">
        <f>'All regions'!2043:2043-"n/&gt;!.W%"</f>
        <v>#VALUE!</v>
      </c>
      <c r="GY233" t="e">
        <f>'All regions'!2044:2044-"n/&gt;!.W&amp;"</f>
        <v>#VALUE!</v>
      </c>
      <c r="GZ233" t="e">
        <f>'All regions'!2045:2045-"n/&gt;!.W'"</f>
        <v>#VALUE!</v>
      </c>
      <c r="HA233" t="e">
        <f>'All regions'!2046:2046-"n/&gt;!.W("</f>
        <v>#VALUE!</v>
      </c>
      <c r="HB233" t="e">
        <f>'All regions'!2047:2047-"n/&gt;!.W)"</f>
        <v>#VALUE!</v>
      </c>
      <c r="HC233" t="e">
        <f>'All regions'!2048:2048-"n/&gt;!.W."</f>
        <v>#VALUE!</v>
      </c>
      <c r="HD233" t="e">
        <f>'All regions'!2049:2049-"n/&gt;!.W/"</f>
        <v>#VALUE!</v>
      </c>
      <c r="HE233" t="e">
        <f>'All regions'!2050:2050-"n/&gt;!.W0"</f>
        <v>#VALUE!</v>
      </c>
      <c r="HF233" t="e">
        <f>'All regions'!2051:2051-"n/&gt;!.W1"</f>
        <v>#VALUE!</v>
      </c>
      <c r="HG233" t="e">
        <f>'All regions'!2052:2052-"n/&gt;!.W2"</f>
        <v>#VALUE!</v>
      </c>
      <c r="HH233" t="e">
        <f>'All regions'!2053:2053-"n/&gt;!.W3"</f>
        <v>#VALUE!</v>
      </c>
      <c r="HI233" t="e">
        <f>'All regions'!2054:2054-"n/&gt;!.W4"</f>
        <v>#VALUE!</v>
      </c>
      <c r="HJ233" t="e">
        <f>'All regions'!2055:2055-"n/&gt;!.W5"</f>
        <v>#VALUE!</v>
      </c>
      <c r="HK233" t="e">
        <f>'All regions'!2056:2056-"n/&gt;!.W6"</f>
        <v>#VALUE!</v>
      </c>
      <c r="HL233" t="e">
        <f>'All regions'!2057:2057-"n/&gt;!.W7"</f>
        <v>#VALUE!</v>
      </c>
      <c r="HM233" t="e">
        <f>'All regions'!2058:2058-"n/&gt;!.W8"</f>
        <v>#VALUE!</v>
      </c>
      <c r="HN233" t="e">
        <f>'All regions'!2059:2059-"n/&gt;!.W9"</f>
        <v>#VALUE!</v>
      </c>
      <c r="HO233" t="e">
        <f>'All regions'!2060:2060-"n/&gt;!.W:"</f>
        <v>#VALUE!</v>
      </c>
      <c r="HP233" t="e">
        <f>'All regions'!2061:2061-"n/&gt;!.W;"</f>
        <v>#VALUE!</v>
      </c>
      <c r="HQ233" t="e">
        <f>'All regions'!2062:2062-"n/&gt;!.W&lt;"</f>
        <v>#VALUE!</v>
      </c>
      <c r="HR233" t="e">
        <f>'All regions'!2063:2063-"n/&gt;!.W="</f>
        <v>#VALUE!</v>
      </c>
      <c r="HS233" t="e">
        <f>'All regions'!2064:2064-"n/&gt;!.W&gt;"</f>
        <v>#VALUE!</v>
      </c>
      <c r="HT233" t="e">
        <f>'All regions'!2065:2065-"n/&gt;!.W?"</f>
        <v>#VALUE!</v>
      </c>
      <c r="HU233" t="e">
        <f>'All regions'!2066:2066-"n/&gt;!.W@"</f>
        <v>#VALUE!</v>
      </c>
      <c r="HV233" t="e">
        <f>'All regions'!2067:2067-"n/&gt;!.WA"</f>
        <v>#VALUE!</v>
      </c>
      <c r="HW233" t="e">
        <f>'All regions'!2068:2068-"n/&gt;!.WB"</f>
        <v>#VALUE!</v>
      </c>
      <c r="HX233" t="e">
        <f>'All regions'!2069:2069-"n/&gt;!.WC"</f>
        <v>#VALUE!</v>
      </c>
      <c r="HY233" t="e">
        <f>'All regions'!2070:2070-"n/&gt;!.WD"</f>
        <v>#VALUE!</v>
      </c>
      <c r="HZ233" t="e">
        <f>'All regions'!2071:2071-"n/&gt;!.WE"</f>
        <v>#VALUE!</v>
      </c>
      <c r="IA233" t="e">
        <f>'All regions'!2072:2072-"n/&gt;!.WF"</f>
        <v>#VALUE!</v>
      </c>
      <c r="IB233" t="e">
        <f>'All regions'!2073:2073-"n/&gt;!.WG"</f>
        <v>#VALUE!</v>
      </c>
      <c r="IC233" t="e">
        <f>'All regions'!2074:2074-"n/&gt;!.WH"</f>
        <v>#VALUE!</v>
      </c>
      <c r="ID233" t="e">
        <f>'All regions'!2075:2075-"n/&gt;!.WI"</f>
        <v>#VALUE!</v>
      </c>
      <c r="IE233" t="e">
        <f>'All regions'!2076:2076-"n/&gt;!.WJ"</f>
        <v>#VALUE!</v>
      </c>
      <c r="IF233" t="e">
        <f>'All regions'!2077:2077-"n/&gt;!.WK"</f>
        <v>#VALUE!</v>
      </c>
      <c r="IG233" t="e">
        <f>'All regions'!2078:2078-"n/&gt;!.WL"</f>
        <v>#VALUE!</v>
      </c>
      <c r="IH233" t="e">
        <f>'All regions'!2079:2079-"n/&gt;!.WM"</f>
        <v>#VALUE!</v>
      </c>
      <c r="II233" t="e">
        <f>'All regions'!2080:2080-"n/&gt;!.WN"</f>
        <v>#VALUE!</v>
      </c>
      <c r="IJ233" t="e">
        <f>'All regions'!2081:2081-"n/&gt;!.WO"</f>
        <v>#VALUE!</v>
      </c>
      <c r="IK233" t="e">
        <f>'All regions'!2082:2082-"n/&gt;!.WP"</f>
        <v>#VALUE!</v>
      </c>
      <c r="IL233" t="e">
        <f>'All regions'!2083:2083-"n/&gt;!.WQ"</f>
        <v>#VALUE!</v>
      </c>
      <c r="IM233" t="e">
        <f>'All regions'!2084:2084-"n/&gt;!.WR"</f>
        <v>#VALUE!</v>
      </c>
      <c r="IN233" t="e">
        <f>'All regions'!2085:2085-"n/&gt;!.WS"</f>
        <v>#VALUE!</v>
      </c>
      <c r="IO233" t="e">
        <f>'All regions'!2086:2086-"n/&gt;!.WT"</f>
        <v>#VALUE!</v>
      </c>
      <c r="IP233" t="e">
        <f>'All regions'!2087:2087-"n/&gt;!.WU"</f>
        <v>#VALUE!</v>
      </c>
      <c r="IQ233" t="e">
        <f>'All regions'!2088:2088-"n/&gt;!.WV"</f>
        <v>#VALUE!</v>
      </c>
      <c r="IR233" t="e">
        <f>'All regions'!2089:2089-"n/&gt;!.WW"</f>
        <v>#VALUE!</v>
      </c>
      <c r="IS233" t="e">
        <f>'All regions'!2090:2090-"n/&gt;!.WX"</f>
        <v>#VALUE!</v>
      </c>
      <c r="IT233" t="e">
        <f>'All regions'!2091:2091-"n/&gt;!.WY"</f>
        <v>#VALUE!</v>
      </c>
      <c r="IU233" t="e">
        <f>'All regions'!2092:2092-"n/&gt;!.WZ"</f>
        <v>#VALUE!</v>
      </c>
      <c r="IV233" t="e">
        <f>'All regions'!2093:2093-"n/&gt;!.W["</f>
        <v>#VALUE!</v>
      </c>
    </row>
    <row r="234" spans="6:256" x14ac:dyDescent="0.35">
      <c r="F234" t="e">
        <f>'All regions'!2094:2094-"n/&gt;!.W\"</f>
        <v>#VALUE!</v>
      </c>
      <c r="G234" t="e">
        <f>'All regions'!2095:2095-"n/&gt;!.W]"</f>
        <v>#VALUE!</v>
      </c>
      <c r="H234" t="e">
        <f>'All regions'!2096:2096-"n/&gt;!.W^"</f>
        <v>#VALUE!</v>
      </c>
      <c r="I234" t="e">
        <f>'All regions'!2097:2097-"n/&gt;!.W_"</f>
        <v>#VALUE!</v>
      </c>
      <c r="J234" t="e">
        <f>'All regions'!2098:2098-"n/&gt;!.W`"</f>
        <v>#VALUE!</v>
      </c>
      <c r="K234" t="e">
        <f>'All regions'!2099:2099-"n/&gt;!.Wa"</f>
        <v>#VALUE!</v>
      </c>
      <c r="L234" t="e">
        <f>'All regions'!2100:2100-"n/&gt;!.Wb"</f>
        <v>#VALUE!</v>
      </c>
      <c r="M234" t="e">
        <f>'All regions'!2101:2101-"n/&gt;!.Wc"</f>
        <v>#VALUE!</v>
      </c>
      <c r="N234" t="e">
        <f>'All regions'!2102:2102-"n/&gt;!.Wd"</f>
        <v>#VALUE!</v>
      </c>
      <c r="O234" t="e">
        <f>'All regions'!2103:2103-"n/&gt;!.We"</f>
        <v>#VALUE!</v>
      </c>
      <c r="P234" t="e">
        <f>'All regions'!2104:2104-"n/&gt;!.Wf"</f>
        <v>#VALUE!</v>
      </c>
      <c r="Q234" t="e">
        <f>'All regions'!2105:2105-"n/&gt;!.Wg"</f>
        <v>#VALUE!</v>
      </c>
      <c r="R234" t="e">
        <f>'All regions'!2106:2106-"n/&gt;!.Wh"</f>
        <v>#VALUE!</v>
      </c>
      <c r="S234" t="e">
        <f>'All regions'!2107:2107-"n/&gt;!.Wi"</f>
        <v>#VALUE!</v>
      </c>
      <c r="T234" t="e">
        <f>'All regions'!2108:2108-"n/&gt;!.Wj"</f>
        <v>#VALUE!</v>
      </c>
      <c r="U234" t="e">
        <f>'All regions'!2109:2109-"n/&gt;!.Wk"</f>
        <v>#VALUE!</v>
      </c>
      <c r="V234" t="e">
        <f>'All regions'!2110:2110-"n/&gt;!.Wl"</f>
        <v>#VALUE!</v>
      </c>
      <c r="W234" t="e">
        <f>'All regions'!2111:2111-"n/&gt;!.Wm"</f>
        <v>#VALUE!</v>
      </c>
      <c r="X234" t="e">
        <f>'All regions'!2112:2112-"n/&gt;!.Wn"</f>
        <v>#VALUE!</v>
      </c>
      <c r="Y234" t="e">
        <f>'All regions'!2113:2113-"n/&gt;!.Wo"</f>
        <v>#VALUE!</v>
      </c>
      <c r="Z234" t="e">
        <f>'All regions'!2114:2114-"n/&gt;!.Wp"</f>
        <v>#VALUE!</v>
      </c>
      <c r="AA234" t="e">
        <f>'All regions'!2115:2115-"n/&gt;!.Wq"</f>
        <v>#VALUE!</v>
      </c>
      <c r="AB234" t="e">
        <f>'All regions'!2116:2116-"n/&gt;!.Wr"</f>
        <v>#VALUE!</v>
      </c>
      <c r="AC234" t="e">
        <f>'All regions'!2117:2117-"n/&gt;!.Ws"</f>
        <v>#VALUE!</v>
      </c>
      <c r="AD234" t="e">
        <f>'All regions'!2118:2118-"n/&gt;!.Wt"</f>
        <v>#VALUE!</v>
      </c>
      <c r="AE234" t="e">
        <f>'All regions'!2119:2119-"n/&gt;!.Wu"</f>
        <v>#VALUE!</v>
      </c>
      <c r="AF234" t="e">
        <f>'All regions'!2120:2120-"n/&gt;!.Wv"</f>
        <v>#VALUE!</v>
      </c>
      <c r="AG234" t="e">
        <f>'All regions'!2121:2121-"n/&gt;!.Ww"</f>
        <v>#VALUE!</v>
      </c>
      <c r="AH234" t="e">
        <f>'All regions'!2122:2122-"n/&gt;!.Wx"</f>
        <v>#VALUE!</v>
      </c>
      <c r="AI234" t="e">
        <f>'All regions'!2123:2123-"n/&gt;!.Wy"</f>
        <v>#VALUE!</v>
      </c>
      <c r="AJ234" t="e">
        <f>'All regions'!2124:2124-"n/&gt;!.Wz"</f>
        <v>#VALUE!</v>
      </c>
      <c r="AK234" t="e">
        <f>'All regions'!2125:2125-"n/&gt;!.W{"</f>
        <v>#VALUE!</v>
      </c>
      <c r="AL234" t="e">
        <f>'All regions'!2126:2126-"n/&gt;!.W|"</f>
        <v>#VALUE!</v>
      </c>
      <c r="AM234" t="e">
        <f>'All regions'!2127:2127-"n/&gt;!.W}"</f>
        <v>#VALUE!</v>
      </c>
      <c r="AN234" t="e">
        <f>'All regions'!2128:2128-"n/&gt;!.W~"</f>
        <v>#VALUE!</v>
      </c>
      <c r="AO234" t="e">
        <f>'All regions'!2129:2129-"n/&gt;!.X#"</f>
        <v>#VALUE!</v>
      </c>
      <c r="AP234" t="e">
        <f>'All regions'!2130:2130-"n/&gt;!.X$"</f>
        <v>#VALUE!</v>
      </c>
      <c r="AQ234" t="e">
        <f>'All regions'!2131:2131-"n/&gt;!.X%"</f>
        <v>#VALUE!</v>
      </c>
      <c r="AR234" t="e">
        <f>'All regions'!2132:2132-"n/&gt;!.X&amp;"</f>
        <v>#VALUE!</v>
      </c>
      <c r="AS234" t="e">
        <f>'All regions'!2133:2133-"n/&gt;!.X'"</f>
        <v>#VALUE!</v>
      </c>
      <c r="AT234" t="e">
        <f>'All regions'!2134:2134-"n/&gt;!.X("</f>
        <v>#VALUE!</v>
      </c>
      <c r="AU234" t="e">
        <f>'All regions'!2135:2135-"n/&gt;!.X)"</f>
        <v>#VALUE!</v>
      </c>
      <c r="AV234" t="e">
        <f>'All regions'!2136:2136-"n/&gt;!.X."</f>
        <v>#VALUE!</v>
      </c>
      <c r="AW234" t="e">
        <f>'All regions'!2137:2137-"n/&gt;!.X/"</f>
        <v>#VALUE!</v>
      </c>
      <c r="AX234" t="e">
        <f>'All regions'!2138:2138-"n/&gt;!.X0"</f>
        <v>#VALUE!</v>
      </c>
      <c r="AY234" t="e">
        <f>'All regions'!2139:2139-"n/&gt;!.X1"</f>
        <v>#VALUE!</v>
      </c>
      <c r="AZ234" t="e">
        <f>'All regions'!2140:2140-"n/&gt;!.X2"</f>
        <v>#VALUE!</v>
      </c>
      <c r="BA234" t="e">
        <f>'All regions'!2141:2141-"n/&gt;!.X3"</f>
        <v>#VALUE!</v>
      </c>
      <c r="BB234" t="e">
        <f>'All regions'!2142:2142-"n/&gt;!.X4"</f>
        <v>#VALUE!</v>
      </c>
      <c r="BC234" t="e">
        <f>'All regions'!2143:2143-"n/&gt;!.X5"</f>
        <v>#VALUE!</v>
      </c>
      <c r="BD234" t="e">
        <f>'All regions'!2144:2144-"n/&gt;!.X6"</f>
        <v>#VALUE!</v>
      </c>
      <c r="BE234" t="e">
        <f>'All regions'!2145:2145-"n/&gt;!.X7"</f>
        <v>#VALUE!</v>
      </c>
      <c r="BF234" t="e">
        <f>'All regions'!2146:2146-"n/&gt;!.X8"</f>
        <v>#VALUE!</v>
      </c>
      <c r="BG234" t="e">
        <f>'All regions'!2147:2147-"n/&gt;!.X9"</f>
        <v>#VALUE!</v>
      </c>
      <c r="BH234" t="e">
        <f>'All regions'!2148:2148-"n/&gt;!.X:"</f>
        <v>#VALUE!</v>
      </c>
      <c r="BI234" t="e">
        <f>'All regions'!2149:2149-"n/&gt;!.X;"</f>
        <v>#VALUE!</v>
      </c>
      <c r="BJ234" t="e">
        <f>'All regions'!2150:2150-"n/&gt;!.X&lt;"</f>
        <v>#VALUE!</v>
      </c>
      <c r="BK234" t="e">
        <f>'All regions'!2151:2151-"n/&gt;!.X="</f>
        <v>#VALUE!</v>
      </c>
      <c r="BL234" t="e">
        <f>'All regions'!2152:2152-"n/&gt;!.X&gt;"</f>
        <v>#VALUE!</v>
      </c>
      <c r="BM234" t="e">
        <f>'All regions'!2153:2153-"n/&gt;!.X?"</f>
        <v>#VALUE!</v>
      </c>
      <c r="BN234" t="e">
        <f>'All regions'!2154:2154-"n/&gt;!.X@"</f>
        <v>#VALUE!</v>
      </c>
      <c r="BO234" t="e">
        <f>'All regions'!2155:2155-"n/&gt;!.XA"</f>
        <v>#VALUE!</v>
      </c>
      <c r="BP234" t="e">
        <f>'All regions'!2156:2156-"n/&gt;!.XB"</f>
        <v>#VALUE!</v>
      </c>
      <c r="BQ234" t="e">
        <f>'All regions'!2157:2157-"n/&gt;!.XC"</f>
        <v>#VALUE!</v>
      </c>
      <c r="BR234" t="e">
        <f>'All regions'!2158:2158-"n/&gt;!.XD"</f>
        <v>#VALUE!</v>
      </c>
      <c r="BS234" t="e">
        <f>'All regions'!2159:2159-"n/&gt;!.XE"</f>
        <v>#VALUE!</v>
      </c>
      <c r="BT234" t="e">
        <f>'All regions'!2160:2160-"n/&gt;!.XF"</f>
        <v>#VALUE!</v>
      </c>
      <c r="BU234" t="e">
        <f>'All regions'!2161:2161-"n/&gt;!.XG"</f>
        <v>#VALUE!</v>
      </c>
      <c r="BV234" t="e">
        <f>'All regions'!2162:2162-"n/&gt;!.XH"</f>
        <v>#VALUE!</v>
      </c>
      <c r="BW234" t="e">
        <f>'All regions'!2163:2163-"n/&gt;!.XI"</f>
        <v>#VALUE!</v>
      </c>
      <c r="BX234" t="e">
        <f>'All regions'!2164:2164-"n/&gt;!.XJ"</f>
        <v>#VALUE!</v>
      </c>
      <c r="BY234" t="e">
        <f>'All regions'!2165:2165-"n/&gt;!.XK"</f>
        <v>#VALUE!</v>
      </c>
      <c r="BZ234" t="e">
        <f>'All regions'!2166:2166-"n/&gt;!.XL"</f>
        <v>#VALUE!</v>
      </c>
      <c r="CA234" t="e">
        <f>'All regions'!2167:2167-"n/&gt;!.XM"</f>
        <v>#VALUE!</v>
      </c>
      <c r="CB234" t="e">
        <f>'All regions'!2168:2168-"n/&gt;!.XN"</f>
        <v>#VALUE!</v>
      </c>
      <c r="CC234" t="e">
        <f>'All regions'!2169:2169-"n/&gt;!.XO"</f>
        <v>#VALUE!</v>
      </c>
      <c r="CD234" t="e">
        <f>'All regions'!2170:2170-"n/&gt;!.XP"</f>
        <v>#VALUE!</v>
      </c>
      <c r="CE234" t="e">
        <f>'All regions'!2171:2171-"n/&gt;!.XQ"</f>
        <v>#VALUE!</v>
      </c>
      <c r="CF234" t="e">
        <f>'All regions'!2172:2172-"n/&gt;!.XR"</f>
        <v>#VALUE!</v>
      </c>
      <c r="CG234" t="e">
        <f>'All regions'!2173:2173-"n/&gt;!.XS"</f>
        <v>#VALUE!</v>
      </c>
      <c r="CH234" t="e">
        <f>'All regions'!2174:2174-"n/&gt;!.XT"</f>
        <v>#VALUE!</v>
      </c>
      <c r="CI234" t="e">
        <f>'All regions'!2175:2175-"n/&gt;!.XU"</f>
        <v>#VALUE!</v>
      </c>
      <c r="CJ234" t="e">
        <f>'All regions'!2176:2176-"n/&gt;!.XV"</f>
        <v>#VALUE!</v>
      </c>
      <c r="CK234" t="e">
        <f>'All regions'!2177:2177-"n/&gt;!.XW"</f>
        <v>#VALUE!</v>
      </c>
      <c r="CL234" t="e">
        <f>'All regions'!2178:2178-"n/&gt;!.XX"</f>
        <v>#VALUE!</v>
      </c>
      <c r="CM234" t="e">
        <f>'All regions'!2179:2179-"n/&gt;!.XY"</f>
        <v>#VALUE!</v>
      </c>
      <c r="CN234" t="e">
        <f>'All regions'!2180:2180-"n/&gt;!.XZ"</f>
        <v>#VALUE!</v>
      </c>
      <c r="CO234" t="e">
        <f>'All regions'!2181:2181-"n/&gt;!.X["</f>
        <v>#VALUE!</v>
      </c>
      <c r="CP234" t="e">
        <f>'All regions'!2182:2182-"n/&gt;!.X\"</f>
        <v>#VALUE!</v>
      </c>
      <c r="CQ234" t="e">
        <f>'All regions'!2183:2183-"n/&gt;!.X]"</f>
        <v>#VALUE!</v>
      </c>
      <c r="CR234" t="e">
        <f>'All regions'!2184:2184-"n/&gt;!.X^"</f>
        <v>#VALUE!</v>
      </c>
      <c r="CS234" t="e">
        <f>'All regions'!2185:2185-"n/&gt;!.X_"</f>
        <v>#VALUE!</v>
      </c>
      <c r="CT234" t="e">
        <f>'All regions'!2186:2186-"n/&gt;!.X`"</f>
        <v>#VALUE!</v>
      </c>
      <c r="CU234" t="e">
        <f>'All regions'!2187:2187-"n/&gt;!.Xa"</f>
        <v>#VALUE!</v>
      </c>
      <c r="CV234" t="e">
        <f>'All regions'!2188:2188-"n/&gt;!.Xb"</f>
        <v>#VALUE!</v>
      </c>
      <c r="CW234" t="e">
        <f>'All regions'!2189:2189-"n/&gt;!.Xc"</f>
        <v>#VALUE!</v>
      </c>
      <c r="CX234" t="e">
        <f>'All regions'!2190:2190-"n/&gt;!.Xd"</f>
        <v>#VALUE!</v>
      </c>
      <c r="CY234" t="e">
        <f>'All regions'!2191:2191-"n/&gt;!.Xe"</f>
        <v>#VALUE!</v>
      </c>
      <c r="CZ234" t="e">
        <f>'All regions'!2192:2192-"n/&gt;!.Xf"</f>
        <v>#VALUE!</v>
      </c>
      <c r="DA234" t="e">
        <f>'All regions'!2193:2193-"n/&gt;!.Xg"</f>
        <v>#VALUE!</v>
      </c>
      <c r="DB234" t="e">
        <f>'All regions'!2194:2194-"n/&gt;!.Xh"</f>
        <v>#VALUE!</v>
      </c>
      <c r="DC234" t="e">
        <f>'All regions'!2195:2195-"n/&gt;!.Xi"</f>
        <v>#VALUE!</v>
      </c>
      <c r="DD234" t="e">
        <f>'All regions'!2196:2196-"n/&gt;!.Xj"</f>
        <v>#VALUE!</v>
      </c>
      <c r="DE234" t="e">
        <f>'All regions'!2197:2197-"n/&gt;!.Xk"</f>
        <v>#VALUE!</v>
      </c>
      <c r="DF234" t="e">
        <f>'All regions'!2198:2198-"n/&gt;!.Xl"</f>
        <v>#VALUE!</v>
      </c>
      <c r="DG234" t="e">
        <f>'All regions'!2199:2199-"n/&gt;!.Xm"</f>
        <v>#VALUE!</v>
      </c>
      <c r="DH234" t="e">
        <f>'All regions'!2200:2200-"n/&gt;!.Xn"</f>
        <v>#VALUE!</v>
      </c>
      <c r="DI234" t="e">
        <f>'All regions'!2201:2201-"n/&gt;!.Xo"</f>
        <v>#VALUE!</v>
      </c>
      <c r="DJ234" t="e">
        <f>'All regions'!2202:2202-"n/&gt;!.Xp"</f>
        <v>#VALUE!</v>
      </c>
      <c r="DK234" t="e">
        <f>'All regions'!2203:2203-"n/&gt;!.Xq"</f>
        <v>#VALUE!</v>
      </c>
      <c r="DL234" t="e">
        <f>'All regions'!2204:2204-"n/&gt;!.Xr"</f>
        <v>#VALUE!</v>
      </c>
      <c r="DM234" t="e">
        <f>'All regions'!2205:2205-"n/&gt;!.Xs"</f>
        <v>#VALUE!</v>
      </c>
      <c r="DN234" t="e">
        <f>'All regions'!2206:2206-"n/&gt;!.Xt"</f>
        <v>#VALUE!</v>
      </c>
      <c r="DO234" t="e">
        <f>'All regions'!2207:2207-"n/&gt;!.Xu"</f>
        <v>#VALUE!</v>
      </c>
      <c r="DP234" t="e">
        <f>'All regions'!2208:2208-"n/&gt;!.Xv"</f>
        <v>#VALUE!</v>
      </c>
      <c r="DQ234" t="e">
        <f>'All regions'!2209:2209-"n/&gt;!.Xw"</f>
        <v>#VALUE!</v>
      </c>
      <c r="DR234" t="e">
        <f>'All regions'!2210:2210-"n/&gt;!.Xx"</f>
        <v>#VALUE!</v>
      </c>
      <c r="DS234" t="e">
        <f>'All regions'!2211:2211-"n/&gt;!.Xy"</f>
        <v>#VALUE!</v>
      </c>
      <c r="DT234" t="e">
        <f>'All regions'!2212:2212-"n/&gt;!.Xz"</f>
        <v>#VALUE!</v>
      </c>
      <c r="DU234" t="e">
        <f>'All regions'!2213:2213-"n/&gt;!.X{"</f>
        <v>#VALUE!</v>
      </c>
      <c r="DV234" t="e">
        <f>'All regions'!2214:2214-"n/&gt;!.X|"</f>
        <v>#VALUE!</v>
      </c>
      <c r="DW234" t="e">
        <f>'All regions'!2215:2215-"n/&gt;!.X}"</f>
        <v>#VALUE!</v>
      </c>
      <c r="DX234" t="e">
        <f>'All regions'!2216:2216-"n/&gt;!.X~"</f>
        <v>#VALUE!</v>
      </c>
      <c r="DY234" t="e">
        <f>'All regions'!2217:2217-"n/&gt;!.Y#"</f>
        <v>#VALUE!</v>
      </c>
      <c r="DZ234" t="e">
        <f>'All regions'!2218:2218-"n/&gt;!.Y$"</f>
        <v>#VALUE!</v>
      </c>
      <c r="EA234" t="e">
        <f>'All regions'!2219:2219-"n/&gt;!.Y%"</f>
        <v>#VALUE!</v>
      </c>
      <c r="EB234" t="e">
        <f>'All regions'!2220:2220-"n/&gt;!.Y&amp;"</f>
        <v>#VALUE!</v>
      </c>
      <c r="EC234" t="e">
        <f>'All regions'!2221:2221-"n/&gt;!.Y'"</f>
        <v>#VALUE!</v>
      </c>
      <c r="ED234" t="e">
        <f>'All regions'!2222:2222-"n/&gt;!.Y("</f>
        <v>#VALUE!</v>
      </c>
      <c r="EE234" t="e">
        <f>'All regions'!2223:2223-"n/&gt;!.Y)"</f>
        <v>#VALUE!</v>
      </c>
      <c r="EF234" t="e">
        <f>'All regions'!2224:2224-"n/&gt;!.Y."</f>
        <v>#VALUE!</v>
      </c>
      <c r="EG234" t="e">
        <f>'All regions'!2225:2225-"n/&gt;!.Y/"</f>
        <v>#VALUE!</v>
      </c>
      <c r="EH234" t="e">
        <f>'All regions'!2226:2226-"n/&gt;!.Y0"</f>
        <v>#VALUE!</v>
      </c>
      <c r="EI234" t="e">
        <f>'All regions'!2227:2227-"n/&gt;!.Y1"</f>
        <v>#VALUE!</v>
      </c>
      <c r="EJ234" t="e">
        <f>'All regions'!2228:2228-"n/&gt;!.Y2"</f>
        <v>#VALUE!</v>
      </c>
      <c r="EK234" t="e">
        <f>'All regions'!2229:2229-"n/&gt;!.Y3"</f>
        <v>#VALUE!</v>
      </c>
      <c r="EL234" t="e">
        <f>'All regions'!2230:2230-"n/&gt;!.Y4"</f>
        <v>#VALUE!</v>
      </c>
      <c r="EM234" t="e">
        <f>'All regions'!2231:2231-"n/&gt;!.Y5"</f>
        <v>#VALUE!</v>
      </c>
      <c r="EN234" t="e">
        <f>'All regions'!2232:2232-"n/&gt;!.Y6"</f>
        <v>#VALUE!</v>
      </c>
      <c r="EO234" t="e">
        <f>'All regions'!2233:2233-"n/&gt;!.Y7"</f>
        <v>#VALUE!</v>
      </c>
      <c r="EP234" t="e">
        <f>'All regions'!2234:2234-"n/&gt;!.Y8"</f>
        <v>#VALUE!</v>
      </c>
      <c r="EQ234" t="e">
        <f>'All regions'!2235:2235-"n/&gt;!.Y9"</f>
        <v>#VALUE!</v>
      </c>
      <c r="ER234" t="e">
        <f>'All regions'!2236:2236-"n/&gt;!.Y:"</f>
        <v>#VALUE!</v>
      </c>
      <c r="ES234" t="e">
        <f>'All regions'!2237:2237-"n/&gt;!.Y;"</f>
        <v>#VALUE!</v>
      </c>
      <c r="ET234" t="e">
        <f>'All regions'!2238:2238-"n/&gt;!.Y&lt;"</f>
        <v>#VALUE!</v>
      </c>
      <c r="EU234" t="e">
        <f>'All regions'!2239:2239-"n/&gt;!.Y="</f>
        <v>#VALUE!</v>
      </c>
      <c r="EV234" t="e">
        <f>'All regions'!2240:2240-"n/&gt;!.Y&gt;"</f>
        <v>#VALUE!</v>
      </c>
      <c r="EW234" t="e">
        <f>'All regions'!2241:2241-"n/&gt;!.Y?"</f>
        <v>#VALUE!</v>
      </c>
      <c r="EX234" t="e">
        <f>'All regions'!2242:2242-"n/&gt;!.Y@"</f>
        <v>#VALUE!</v>
      </c>
      <c r="EY234" t="e">
        <f>'All regions'!2243:2243-"n/&gt;!.YA"</f>
        <v>#VALUE!</v>
      </c>
      <c r="EZ234" t="e">
        <f>'All regions'!2244:2244-"n/&gt;!.YB"</f>
        <v>#VALUE!</v>
      </c>
      <c r="FA234" t="e">
        <f>'All regions'!2245:2245-"n/&gt;!.YC"</f>
        <v>#VALUE!</v>
      </c>
      <c r="FB234" t="e">
        <f>'All regions'!2246:2246-"n/&gt;!.YD"</f>
        <v>#VALUE!</v>
      </c>
      <c r="FC234" t="e">
        <f>'All regions'!2247:2247-"n/&gt;!.YE"</f>
        <v>#VALUE!</v>
      </c>
      <c r="FD234" t="e">
        <f>'All regions'!2248:2248-"n/&gt;!.YF"</f>
        <v>#VALUE!</v>
      </c>
      <c r="FE234" t="e">
        <f>'All regions'!2249:2249-"n/&gt;!.YG"</f>
        <v>#VALUE!</v>
      </c>
      <c r="FF234" t="e">
        <f>'All regions'!2250:2250-"n/&gt;!.YH"</f>
        <v>#VALUE!</v>
      </c>
      <c r="FG234" t="e">
        <f>'All regions'!2251:2251-"n/&gt;!.YI"</f>
        <v>#VALUE!</v>
      </c>
      <c r="FH234" t="e">
        <f>'All regions'!2252:2252-"n/&gt;!.YJ"</f>
        <v>#VALUE!</v>
      </c>
      <c r="FI234" t="e">
        <f>'All regions'!2253:2253-"n/&gt;!.YK"</f>
        <v>#VALUE!</v>
      </c>
      <c r="FJ234" t="e">
        <f>'All regions'!2254:2254-"n/&gt;!.YL"</f>
        <v>#VALUE!</v>
      </c>
      <c r="FK234" t="e">
        <f>'All regions'!2255:2255-"n/&gt;!.YM"</f>
        <v>#VALUE!</v>
      </c>
      <c r="FL234" t="e">
        <f>'All regions'!2256:2256-"n/&gt;!.YN"</f>
        <v>#VALUE!</v>
      </c>
      <c r="FM234" t="e">
        <f>'All regions'!2257:2257-"n/&gt;!.YO"</f>
        <v>#VALUE!</v>
      </c>
      <c r="FN234" t="e">
        <f>'All regions'!2258:2258-"n/&gt;!.YP"</f>
        <v>#VALUE!</v>
      </c>
      <c r="FO234" t="e">
        <f>'All regions'!2259:2259-"n/&gt;!.YQ"</f>
        <v>#VALUE!</v>
      </c>
      <c r="FP234" t="e">
        <f>'All regions'!2260:2260-"n/&gt;!.YR"</f>
        <v>#VALUE!</v>
      </c>
      <c r="FQ234" t="e">
        <f>'All regions'!2261:2261-"n/&gt;!.YS"</f>
        <v>#VALUE!</v>
      </c>
      <c r="FR234" t="e">
        <f>'All regions'!2262:2262-"n/&gt;!.YT"</f>
        <v>#VALUE!</v>
      </c>
      <c r="FS234" t="e">
        <f>'All regions'!2263:2263-"n/&gt;!.YU"</f>
        <v>#VALUE!</v>
      </c>
      <c r="FT234" t="e">
        <f>'All regions'!2264:2264-"n/&gt;!.YV"</f>
        <v>#VALUE!</v>
      </c>
      <c r="FU234" t="e">
        <f>'All regions'!2265:2265-"n/&gt;!.YW"</f>
        <v>#VALUE!</v>
      </c>
      <c r="FV234" t="e">
        <f>'All regions'!2266:2266-"n/&gt;!.YX"</f>
        <v>#VALUE!</v>
      </c>
      <c r="FW234" t="e">
        <f>'All regions'!2267:2267-"n/&gt;!.YY"</f>
        <v>#VALUE!</v>
      </c>
      <c r="FX234" t="e">
        <f>'All regions'!2268:2268-"n/&gt;!.YZ"</f>
        <v>#VALUE!</v>
      </c>
      <c r="FY234" t="e">
        <f>'All regions'!2269:2269-"n/&gt;!.Y["</f>
        <v>#VALUE!</v>
      </c>
      <c r="FZ234" t="e">
        <f>'All regions'!2270:2270-"n/&gt;!.Y\"</f>
        <v>#VALUE!</v>
      </c>
      <c r="GA234" t="e">
        <f>'All regions'!2271:2271-"n/&gt;!.Y]"</f>
        <v>#VALUE!</v>
      </c>
      <c r="GB234" t="e">
        <f>'All regions'!2272:2272-"n/&gt;!.Y^"</f>
        <v>#VALUE!</v>
      </c>
      <c r="GC234" t="e">
        <f>'All regions'!2273:2273-"n/&gt;!.Y_"</f>
        <v>#VALUE!</v>
      </c>
      <c r="GD234" t="e">
        <f>'All regions'!2274:2274-"n/&gt;!.Y`"</f>
        <v>#VALUE!</v>
      </c>
      <c r="GE234" t="e">
        <f>'All regions'!2275:2275-"n/&gt;!.Ya"</f>
        <v>#VALUE!</v>
      </c>
      <c r="GF234" t="e">
        <f>'All regions'!2276:2276-"n/&gt;!.Yb"</f>
        <v>#VALUE!</v>
      </c>
      <c r="GG234" t="e">
        <f>'All regions'!2277:2277-"n/&gt;!.Yc"</f>
        <v>#VALUE!</v>
      </c>
      <c r="GH234" t="e">
        <f>'All regions'!2278:2278-"n/&gt;!.Yd"</f>
        <v>#VALUE!</v>
      </c>
      <c r="GI234" t="e">
        <f>'All regions'!2279:2279-"n/&gt;!.Ye"</f>
        <v>#VALUE!</v>
      </c>
      <c r="GJ234" t="e">
        <f>'All regions'!2280:2280-"n/&gt;!.Yf"</f>
        <v>#VALUE!</v>
      </c>
      <c r="GK234" t="e">
        <f>'All regions'!2281:2281-"n/&gt;!.Yg"</f>
        <v>#VALUE!</v>
      </c>
      <c r="GL234" t="e">
        <f>'All regions'!2282:2282-"n/&gt;!.Yh"</f>
        <v>#VALUE!</v>
      </c>
      <c r="GM234" t="e">
        <f>'All regions'!2283:2283-"n/&gt;!.Yi"</f>
        <v>#VALUE!</v>
      </c>
      <c r="GN234" t="e">
        <f>'All regions'!2284:2284-"n/&gt;!.Yj"</f>
        <v>#VALUE!</v>
      </c>
      <c r="GO234" t="e">
        <f>'All regions'!2285:2285-"n/&gt;!.Yk"</f>
        <v>#VALUE!</v>
      </c>
      <c r="GP234" t="e">
        <f>'All regions'!2286:2286-"n/&gt;!.Yl"</f>
        <v>#VALUE!</v>
      </c>
      <c r="GQ234" t="e">
        <f>'All regions'!2287:2287-"n/&gt;!.Ym"</f>
        <v>#VALUE!</v>
      </c>
      <c r="GR234" t="e">
        <f>'All regions'!2288:2288-"n/&gt;!.Yn"</f>
        <v>#VALUE!</v>
      </c>
      <c r="GS234" t="e">
        <f>'All regions'!2289:2289-"n/&gt;!.Yo"</f>
        <v>#VALUE!</v>
      </c>
      <c r="GT234" t="e">
        <f>'All regions'!2290:2290-"n/&gt;!.Yp"</f>
        <v>#VALUE!</v>
      </c>
      <c r="GU234" t="e">
        <f>'All regions'!2291:2291-"n/&gt;!.Yq"</f>
        <v>#VALUE!</v>
      </c>
      <c r="GV234" t="e">
        <f>'All regions'!2292:2292-"n/&gt;!.Yr"</f>
        <v>#VALUE!</v>
      </c>
      <c r="GW234" t="e">
        <f>'All regions'!2293:2293-"n/&gt;!.Ys"</f>
        <v>#VALUE!</v>
      </c>
      <c r="GX234" t="e">
        <f>'All regions'!2294:2294-"n/&gt;!.Yt"</f>
        <v>#VALUE!</v>
      </c>
      <c r="GY234" t="e">
        <f>'All regions'!2295:2295-"n/&gt;!.Yu"</f>
        <v>#VALUE!</v>
      </c>
      <c r="GZ234" t="e">
        <f>'All regions'!2296:2296-"n/&gt;!.Yv"</f>
        <v>#VALUE!</v>
      </c>
      <c r="HA234" t="e">
        <f>'All regions'!2297:2297-"n/&gt;!.Yw"</f>
        <v>#VALUE!</v>
      </c>
      <c r="HB234" t="e">
        <f>'All regions'!2298:2298-"n/&gt;!.Yx"</f>
        <v>#VALUE!</v>
      </c>
      <c r="HC234" t="e">
        <f>'All regions'!2299:2299-"n/&gt;!.Yy"</f>
        <v>#VALUE!</v>
      </c>
      <c r="HD234" t="e">
        <f>'All regions'!2300:2300-"n/&gt;!.Yz"</f>
        <v>#VALUE!</v>
      </c>
      <c r="HE234" t="e">
        <f>'All regions'!2301:2301-"n/&gt;!.Y{"</f>
        <v>#VALUE!</v>
      </c>
      <c r="HF234" t="e">
        <f>'All regions'!2302:2302-"n/&gt;!.Y|"</f>
        <v>#VALUE!</v>
      </c>
      <c r="HG234" t="e">
        <f>'All regions'!2303:2303-"n/&gt;!.Y}"</f>
        <v>#VALUE!</v>
      </c>
      <c r="HH234" t="e">
        <f>'All regions'!2304:2304-"n/&gt;!.Y~"</f>
        <v>#VALUE!</v>
      </c>
      <c r="HI234" t="e">
        <f>'All regions'!2305:2305-"n/&gt;!.Z#"</f>
        <v>#VALUE!</v>
      </c>
      <c r="HJ234" t="e">
        <f>'All regions'!2306:2306-"n/&gt;!.Z$"</f>
        <v>#VALUE!</v>
      </c>
      <c r="HK234" t="e">
        <f>'All regions'!2307:2307-"n/&gt;!.Z%"</f>
        <v>#VALUE!</v>
      </c>
      <c r="HL234" t="e">
        <f>'All regions'!2308:2308-"n/&gt;!.Z&amp;"</f>
        <v>#VALUE!</v>
      </c>
      <c r="HM234" t="e">
        <f>'All regions'!2309:2309-"n/&gt;!.Z'"</f>
        <v>#VALUE!</v>
      </c>
      <c r="HN234" t="e">
        <f>'All regions'!2310:2310-"n/&gt;!.Z("</f>
        <v>#VALUE!</v>
      </c>
      <c r="HO234" t="e">
        <f>'All regions'!2311:2311-"n/&gt;!.Z)"</f>
        <v>#VALUE!</v>
      </c>
      <c r="HP234" t="e">
        <f>'All regions'!2312:2312-"n/&gt;!.Z."</f>
        <v>#VALUE!</v>
      </c>
      <c r="HQ234" t="e">
        <f>'All regions'!2313:2313-"n/&gt;!.Z/"</f>
        <v>#VALUE!</v>
      </c>
      <c r="HR234" t="e">
        <f>'All regions'!2314:2314-"n/&gt;!.Z0"</f>
        <v>#VALUE!</v>
      </c>
      <c r="HS234" t="e">
        <f>'All regions'!2315:2315-"n/&gt;!.Z1"</f>
        <v>#VALUE!</v>
      </c>
      <c r="HT234" t="e">
        <f>'All regions'!2316:2316-"n/&gt;!.Z2"</f>
        <v>#VALUE!</v>
      </c>
      <c r="HU234" t="e">
        <f>'All regions'!2317:2317-"n/&gt;!.Z3"</f>
        <v>#VALUE!</v>
      </c>
      <c r="HV234" t="e">
        <f>'All regions'!2318:2318-"n/&gt;!.Z4"</f>
        <v>#VALUE!</v>
      </c>
      <c r="HW234" t="e">
        <f>'All regions'!2319:2319-"n/&gt;!.Z5"</f>
        <v>#VALUE!</v>
      </c>
      <c r="HX234" t="e">
        <f>'All regions'!2320:2320-"n/&gt;!.Z6"</f>
        <v>#VALUE!</v>
      </c>
      <c r="HY234" t="e">
        <f>'All regions'!2321:2321-"n/&gt;!.Z7"</f>
        <v>#VALUE!</v>
      </c>
      <c r="HZ234" t="e">
        <f>'All regions'!2322:2322-"n/&gt;!.Z8"</f>
        <v>#VALUE!</v>
      </c>
      <c r="IA234" t="e">
        <f>'All regions'!2323:2323-"n/&gt;!.Z9"</f>
        <v>#VALUE!</v>
      </c>
      <c r="IB234" t="e">
        <f>'All regions'!2324:2324-"n/&gt;!.Z:"</f>
        <v>#VALUE!</v>
      </c>
      <c r="IC234" t="e">
        <f>'All regions'!2325:2325-"n/&gt;!.Z;"</f>
        <v>#VALUE!</v>
      </c>
      <c r="ID234" t="e">
        <f>'All regions'!2326:2326-"n/&gt;!.Z&lt;"</f>
        <v>#VALUE!</v>
      </c>
      <c r="IE234" t="e">
        <f>'All regions'!2327:2327-"n/&gt;!.Z="</f>
        <v>#VALUE!</v>
      </c>
      <c r="IF234" t="e">
        <f>'All regions'!2328:2328-"n/&gt;!.Z&gt;"</f>
        <v>#VALUE!</v>
      </c>
      <c r="IG234" t="e">
        <f>'All regions'!2329:2329-"n/&gt;!.Z?"</f>
        <v>#VALUE!</v>
      </c>
      <c r="IH234" t="e">
        <f>'All regions'!2330:2330-"n/&gt;!.Z@"</f>
        <v>#VALUE!</v>
      </c>
      <c r="II234" t="e">
        <f>'All regions'!2331:2331-"n/&gt;!.ZA"</f>
        <v>#VALUE!</v>
      </c>
      <c r="IJ234" t="e">
        <f>'All regions'!2332:2332-"n/&gt;!.ZB"</f>
        <v>#VALUE!</v>
      </c>
      <c r="IK234" t="e">
        <f>'All regions'!2333:2333-"n/&gt;!.ZC"</f>
        <v>#VALUE!</v>
      </c>
      <c r="IL234" t="e">
        <f>'All regions'!2334:2334-"n/&gt;!.ZD"</f>
        <v>#VALUE!</v>
      </c>
      <c r="IM234" t="e">
        <f>'All regions'!2335:2335-"n/&gt;!.ZE"</f>
        <v>#VALUE!</v>
      </c>
      <c r="IN234" t="e">
        <f>'All regions'!2336:2336-"n/&gt;!.ZF"</f>
        <v>#VALUE!</v>
      </c>
      <c r="IO234" t="e">
        <f>'All regions'!2337:2337-"n/&gt;!.ZG"</f>
        <v>#VALUE!</v>
      </c>
      <c r="IP234" t="e">
        <f>'All regions'!2338:2338-"n/&gt;!.ZH"</f>
        <v>#VALUE!</v>
      </c>
      <c r="IQ234" t="e">
        <f>'All regions'!2339:2339-"n/&gt;!.ZI"</f>
        <v>#VALUE!</v>
      </c>
      <c r="IR234" t="e">
        <f>'All regions'!2340:2340-"n/&gt;!.ZJ"</f>
        <v>#VALUE!</v>
      </c>
      <c r="IS234" t="e">
        <f>'All regions'!2341:2341-"n/&gt;!.ZK"</f>
        <v>#VALUE!</v>
      </c>
      <c r="IT234" t="e">
        <f>'All regions'!2342:2342-"n/&gt;!.ZL"</f>
        <v>#VALUE!</v>
      </c>
      <c r="IU234" t="e">
        <f>'All regions'!2343:2343-"n/&gt;!.ZM"</f>
        <v>#VALUE!</v>
      </c>
      <c r="IV234" t="e">
        <f>'All regions'!2344:2344-"n/&gt;!.ZN"</f>
        <v>#VALUE!</v>
      </c>
    </row>
    <row r="235" spans="6:256" x14ac:dyDescent="0.35">
      <c r="F235" t="e">
        <f>'All regions'!2345:2345-"n/&gt;!.ZO"</f>
        <v>#VALUE!</v>
      </c>
      <c r="G235" t="e">
        <f>'All regions'!2346:2346-"n/&gt;!.ZP"</f>
        <v>#VALUE!</v>
      </c>
      <c r="H235" t="e">
        <f>'All regions'!2347:2347-"n/&gt;!.ZQ"</f>
        <v>#VALUE!</v>
      </c>
      <c r="I235" t="e">
        <f>'All regions'!2348:2348-"n/&gt;!.ZR"</f>
        <v>#VALUE!</v>
      </c>
      <c r="J235" t="e">
        <f>'All regions'!2349:2349-"n/&gt;!.ZS"</f>
        <v>#VALUE!</v>
      </c>
      <c r="K235" t="e">
        <f>'All regions'!2350:2350-"n/&gt;!.ZT"</f>
        <v>#VALUE!</v>
      </c>
      <c r="L235" t="e">
        <f>'All regions'!2351:2351-"n/&gt;!.ZU"</f>
        <v>#VALUE!</v>
      </c>
      <c r="M235" t="e">
        <f>'All regions'!2352:2352-"n/&gt;!.ZV"</f>
        <v>#VALUE!</v>
      </c>
      <c r="N235" t="e">
        <f>'All regions'!2353:2353-"n/&gt;!.ZW"</f>
        <v>#VALUE!</v>
      </c>
      <c r="O235" t="e">
        <f>'All regions'!2354:2354-"n/&gt;!.ZX"</f>
        <v>#VALUE!</v>
      </c>
      <c r="P235" t="e">
        <f>'All regions'!2355:2355-"n/&gt;!.ZY"</f>
        <v>#VALUE!</v>
      </c>
      <c r="Q235" t="e">
        <f>'All regions'!2356:2356-"n/&gt;!.ZZ"</f>
        <v>#VALUE!</v>
      </c>
      <c r="R235" t="e">
        <f>'All regions'!2357:2357-"n/&gt;!.Z["</f>
        <v>#VALUE!</v>
      </c>
      <c r="S235" t="e">
        <f>'All regions'!2358:2358-"n/&gt;!.Z\"</f>
        <v>#VALUE!</v>
      </c>
      <c r="T235" t="e">
        <f>'All regions'!2359:2359-"n/&gt;!.Z]"</f>
        <v>#VALUE!</v>
      </c>
      <c r="U235" t="e">
        <f>'All regions'!2360:2360-"n/&gt;!.Z^"</f>
        <v>#VALUE!</v>
      </c>
      <c r="V235" t="e">
        <f>'All regions'!2361:2361-"n/&gt;!.Z_"</f>
        <v>#VALUE!</v>
      </c>
      <c r="W235" t="e">
        <f>'All regions'!2362:2362-"n/&gt;!.Z`"</f>
        <v>#VALUE!</v>
      </c>
      <c r="X235" t="e">
        <f>'All regions'!2363:2363-"n/&gt;!.Za"</f>
        <v>#VALUE!</v>
      </c>
      <c r="Y235" t="e">
        <f>'All regions'!2364:2364-"n/&gt;!.Zb"</f>
        <v>#VALUE!</v>
      </c>
      <c r="Z235" t="e">
        <f>'All regions'!2365:2365-"n/&gt;!.Zc"</f>
        <v>#VALUE!</v>
      </c>
      <c r="AA235" t="e">
        <f>'All regions'!2366:2366-"n/&gt;!.Zd"</f>
        <v>#VALUE!</v>
      </c>
      <c r="AB235" t="e">
        <f>'All regions'!2367:2367-"n/&gt;!.Ze"</f>
        <v>#VALUE!</v>
      </c>
      <c r="AC235" t="e">
        <f>'All regions'!2368:2368-"n/&gt;!.Zf"</f>
        <v>#VALUE!</v>
      </c>
      <c r="AD235" t="e">
        <f>'All regions'!2369:2369-"n/&gt;!.Zg"</f>
        <v>#VALUE!</v>
      </c>
      <c r="AE235" t="e">
        <f>'All regions'!2370:2370-"n/&gt;!.Zh"</f>
        <v>#VALUE!</v>
      </c>
      <c r="AF235" t="e">
        <f>'All regions'!2371:2371-"n/&gt;!.Zi"</f>
        <v>#VALUE!</v>
      </c>
      <c r="AG235" t="e">
        <f>'All regions'!2372:2372-"n/&gt;!.Zj"</f>
        <v>#VALUE!</v>
      </c>
      <c r="AH235" t="e">
        <f>'All regions'!2373:2373-"n/&gt;!.Zk"</f>
        <v>#VALUE!</v>
      </c>
      <c r="AI235" t="e">
        <f>'All regions'!2374:2374-"n/&gt;!.Zl"</f>
        <v>#VALUE!</v>
      </c>
      <c r="AJ235" t="e">
        <f>'All regions'!2375:2375-"n/&gt;!.Zm"</f>
        <v>#VALUE!</v>
      </c>
      <c r="AK235" t="e">
        <f>'All regions'!2376:2376-"n/&gt;!.Zn"</f>
        <v>#VALUE!</v>
      </c>
      <c r="AL235" t="e">
        <f>'All regions'!2377:2377-"n/&gt;!.Zo"</f>
        <v>#VALUE!</v>
      </c>
      <c r="AM235" t="e">
        <f>'All regions'!2378:2378-"n/&gt;!.Zp"</f>
        <v>#VALUE!</v>
      </c>
      <c r="AN235" t="e">
        <f>'All regions'!2379:2379-"n/&gt;!.Zq"</f>
        <v>#VALUE!</v>
      </c>
      <c r="AO235" t="e">
        <f>'All regions'!2380:2380-"n/&gt;!.Zr"</f>
        <v>#VALUE!</v>
      </c>
      <c r="AP235" t="e">
        <f>'All regions'!2381:2381-"n/&gt;!.Zs"</f>
        <v>#VALUE!</v>
      </c>
      <c r="AQ235" t="e">
        <f>'All regions'!2382:2382-"n/&gt;!.Zt"</f>
        <v>#VALUE!</v>
      </c>
      <c r="AR235" t="e">
        <f>'All regions'!2383:2383-"n/&gt;!.Zu"</f>
        <v>#VALUE!</v>
      </c>
      <c r="AS235" t="e">
        <f>'All regions'!2384:2384-"n/&gt;!.Zv"</f>
        <v>#VALUE!</v>
      </c>
      <c r="AT235" t="e">
        <f>'All regions'!2385:2385-"n/&gt;!.Zw"</f>
        <v>#VALUE!</v>
      </c>
      <c r="AU235" t="e">
        <f>'All regions'!2386:2386-"n/&gt;!.Zx"</f>
        <v>#VALUE!</v>
      </c>
      <c r="AV235" t="e">
        <f>'All regions'!2387:2387-"n/&gt;!.Zy"</f>
        <v>#VALUE!</v>
      </c>
      <c r="AW235" t="e">
        <f>'All regions'!2388:2388-"n/&gt;!.Zz"</f>
        <v>#VALUE!</v>
      </c>
      <c r="AX235" t="e">
        <f>'All regions'!2389:2389-"n/&gt;!.Z{"</f>
        <v>#VALUE!</v>
      </c>
      <c r="AY235" t="e">
        <f>'All regions'!2390:2390-"n/&gt;!.Z|"</f>
        <v>#VALUE!</v>
      </c>
      <c r="AZ235" t="e">
        <f>'All regions'!2391:2391-"n/&gt;!.Z}"</f>
        <v>#VALUE!</v>
      </c>
      <c r="BA235" t="e">
        <f>'All regions'!2392:2392-"n/&gt;!.Z~"</f>
        <v>#VALUE!</v>
      </c>
      <c r="BB235" t="e">
        <f>'All regions'!2393:2393-"n/&gt;!.[#"</f>
        <v>#VALUE!</v>
      </c>
      <c r="BC235" t="e">
        <f>'All regions'!2394:2394-"n/&gt;!.[$"</f>
        <v>#VALUE!</v>
      </c>
      <c r="BD235" t="e">
        <f>'All regions'!2395:2395-"n/&gt;!.[%"</f>
        <v>#VALUE!</v>
      </c>
      <c r="BE235" t="e">
        <f>'All regions'!2396:2396-"n/&gt;!.[&amp;"</f>
        <v>#VALUE!</v>
      </c>
      <c r="BF235" t="e">
        <f>'All regions'!2397:2397-"n/&gt;!.['"</f>
        <v>#VALUE!</v>
      </c>
      <c r="BG235" t="e">
        <f>'All regions'!2398:2398-"n/&gt;!.[("</f>
        <v>#VALUE!</v>
      </c>
      <c r="BH235" t="e">
        <f>'All regions'!2399:2399-"n/&gt;!.[)"</f>
        <v>#VALUE!</v>
      </c>
      <c r="BI235" t="e">
        <f>'All regions'!2400:2400-"n/&gt;!.[."</f>
        <v>#VALUE!</v>
      </c>
      <c r="BJ235" t="e">
        <f>'All regions'!2401:2401-"n/&gt;!.[/"</f>
        <v>#VALUE!</v>
      </c>
      <c r="BK235" t="e">
        <f>'All regions'!2402:2402-"n/&gt;!.[0"</f>
        <v>#VALUE!</v>
      </c>
      <c r="BL235" t="e">
        <f>'All regions'!2403:2403-"n/&gt;!.[1"</f>
        <v>#VALUE!</v>
      </c>
      <c r="BM235" t="e">
        <f>'All regions'!2404:2404-"n/&gt;!.[2"</f>
        <v>#VALUE!</v>
      </c>
      <c r="BN235" t="e">
        <f>'All regions'!2405:2405-"n/&gt;!.[3"</f>
        <v>#VALUE!</v>
      </c>
      <c r="BO235" t="e">
        <f>'All regions'!2406:2406-"n/&gt;!.[4"</f>
        <v>#VALUE!</v>
      </c>
      <c r="BP235" t="e">
        <f>'All regions'!2407:2407-"n/&gt;!.[5"</f>
        <v>#VALUE!</v>
      </c>
      <c r="BQ235" t="e">
        <f>'All regions'!2408:2408-"n/&gt;!.[6"</f>
        <v>#VALUE!</v>
      </c>
      <c r="BR235" t="e">
        <f>'All regions'!2409:2409-"n/&gt;!.[7"</f>
        <v>#VALUE!</v>
      </c>
      <c r="BS235" t="e">
        <f>'All regions'!2410:2410-"n/&gt;!.[8"</f>
        <v>#VALUE!</v>
      </c>
      <c r="BT235" t="e">
        <f>'All regions'!2411:2411-"n/&gt;!.[9"</f>
        <v>#VALUE!</v>
      </c>
      <c r="BU235" t="e">
        <f>'All regions'!2412:2412-"n/&gt;!.[:"</f>
        <v>#VALUE!</v>
      </c>
      <c r="BV235" t="e">
        <f>'All regions'!2413:2413-"n/&gt;!.[;"</f>
        <v>#VALUE!</v>
      </c>
      <c r="BW235" t="e">
        <f>'All regions'!2414:2414-"n/&gt;!.[&lt;"</f>
        <v>#VALUE!</v>
      </c>
      <c r="BX235" t="e">
        <f>'All regions'!2415:2415-"n/&gt;!.[="</f>
        <v>#VALUE!</v>
      </c>
      <c r="BY235" t="e">
        <f>'All regions'!2416:2416-"n/&gt;!.[&gt;"</f>
        <v>#VALUE!</v>
      </c>
      <c r="BZ235" t="e">
        <f>'All regions'!2417:2417-"n/&gt;!.[?"</f>
        <v>#VALUE!</v>
      </c>
      <c r="CA235" t="e">
        <f>'All regions'!2418:2418-"n/&gt;!.[@"</f>
        <v>#VALUE!</v>
      </c>
      <c r="CB235" t="e">
        <f>'All regions'!2419:2419-"n/&gt;!.[A"</f>
        <v>#VALUE!</v>
      </c>
      <c r="CC235" t="e">
        <f>'All regions'!2420:2420-"n/&gt;!.[B"</f>
        <v>#VALUE!</v>
      </c>
      <c r="CD235" t="e">
        <f>'All regions'!2421:2421-"n/&gt;!.[C"</f>
        <v>#VALUE!</v>
      </c>
      <c r="CE235" t="e">
        <f>'All regions'!2422:2422-"n/&gt;!.[D"</f>
        <v>#VALUE!</v>
      </c>
      <c r="CF235" t="e">
        <f>'All regions'!2423:2423-"n/&gt;!.[E"</f>
        <v>#VALUE!</v>
      </c>
      <c r="CG235" t="e">
        <f>'All regions'!2424:2424-"n/&gt;!.[F"</f>
        <v>#VALUE!</v>
      </c>
      <c r="CH235" t="e">
        <f>'All regions'!2425:2425-"n/&gt;!.[G"</f>
        <v>#VALUE!</v>
      </c>
      <c r="CI235" t="e">
        <f>'All regions'!2426:2426-"n/&gt;!.[H"</f>
        <v>#VALUE!</v>
      </c>
      <c r="CJ235" t="e">
        <f>'All regions'!2427:2427-"n/&gt;!.[I"</f>
        <v>#VALUE!</v>
      </c>
      <c r="CK235" t="e">
        <f>'All regions'!2428:2428-"n/&gt;!.[J"</f>
        <v>#VALUE!</v>
      </c>
      <c r="CL235" t="e">
        <f>'All regions'!2429:2429-"n/&gt;!.[K"</f>
        <v>#VALUE!</v>
      </c>
      <c r="CM235" t="e">
        <f>'All regions'!2430:2430-"n/&gt;!.[L"</f>
        <v>#VALUE!</v>
      </c>
      <c r="CN235" t="e">
        <f>'All regions'!2431:2431-"n/&gt;!.[M"</f>
        <v>#VALUE!</v>
      </c>
      <c r="CO235" t="e">
        <f>'All regions'!2432:2432-"n/&gt;!.[N"</f>
        <v>#VALUE!</v>
      </c>
      <c r="CP235" t="e">
        <f>'All regions'!2433:2433-"n/&gt;!.[O"</f>
        <v>#VALUE!</v>
      </c>
      <c r="CQ235" t="e">
        <f>'All regions'!2434:2434-"n/&gt;!.[P"</f>
        <v>#VALUE!</v>
      </c>
      <c r="CR235" t="e">
        <f>'All regions'!2435:2435-"n/&gt;!.[Q"</f>
        <v>#VALUE!</v>
      </c>
      <c r="CS235" t="e">
        <f>'All regions'!2436:2436-"n/&gt;!.[R"</f>
        <v>#VALUE!</v>
      </c>
      <c r="CT235" t="e">
        <f>'All regions'!2437:2437-"n/&gt;!.[S"</f>
        <v>#VALUE!</v>
      </c>
      <c r="CU235" t="e">
        <f>'All regions'!2438:2438-"n/&gt;!.[T"</f>
        <v>#VALUE!</v>
      </c>
      <c r="CV235" t="e">
        <f>'All regions'!2439:2439-"n/&gt;!.[U"</f>
        <v>#VALUE!</v>
      </c>
      <c r="CW235" t="e">
        <f>'All regions'!2440:2440-"n/&gt;!.[V"</f>
        <v>#VALUE!</v>
      </c>
      <c r="CX235" t="e">
        <f>'All regions'!2441:2441-"n/&gt;!.[W"</f>
        <v>#VALUE!</v>
      </c>
      <c r="CY235" t="e">
        <f>'All regions'!2442:2442-"n/&gt;!.[X"</f>
        <v>#VALUE!</v>
      </c>
      <c r="CZ235" t="e">
        <f>'All regions'!2443:2443-"n/&gt;!.[Y"</f>
        <v>#VALUE!</v>
      </c>
      <c r="DA235" t="e">
        <f>'All regions'!2444:2444-"n/&gt;!.[Z"</f>
        <v>#VALUE!</v>
      </c>
      <c r="DB235" t="e">
        <f>'All regions'!2445:2445-"n/&gt;!.[["</f>
        <v>#VALUE!</v>
      </c>
      <c r="DC235" t="e">
        <f>'All regions'!2446:2446-"n/&gt;!.[\"</f>
        <v>#VALUE!</v>
      </c>
      <c r="DD235" t="e">
        <f>'All regions'!2447:2447-"n/&gt;!.[]"</f>
        <v>#VALUE!</v>
      </c>
      <c r="DE235" t="e">
        <f>'All regions'!2448:2448-"n/&gt;!.[^"</f>
        <v>#VALUE!</v>
      </c>
      <c r="DF235" t="e">
        <f>'All regions'!2449:2449-"n/&gt;!.[_"</f>
        <v>#VALUE!</v>
      </c>
      <c r="DG235" t="e">
        <f>'All regions'!2450:2450-"n/&gt;!.[`"</f>
        <v>#VALUE!</v>
      </c>
      <c r="DH235" t="e">
        <f>'All regions'!2451:2451-"n/&gt;!.[a"</f>
        <v>#VALUE!</v>
      </c>
      <c r="DI235" t="e">
        <f>'All regions'!2452:2452-"n/&gt;!.[b"</f>
        <v>#VALUE!</v>
      </c>
      <c r="DJ235" t="e">
        <f>'All regions'!2453:2453-"n/&gt;!.[c"</f>
        <v>#VALUE!</v>
      </c>
      <c r="DK235" t="e">
        <f>'All regions'!2454:2454-"n/&gt;!.[d"</f>
        <v>#VALUE!</v>
      </c>
      <c r="DL235" t="e">
        <f>'All regions'!2455:2455-"n/&gt;!.[e"</f>
        <v>#VALUE!</v>
      </c>
      <c r="DM235" t="e">
        <f>'All regions'!2456:2456-"n/&gt;!.[f"</f>
        <v>#VALUE!</v>
      </c>
      <c r="DN235" t="e">
        <f>'All regions'!2457:2457-"n/&gt;!.[g"</f>
        <v>#VALUE!</v>
      </c>
      <c r="DO235" t="e">
        <f>'All regions'!2458:2458-"n/&gt;!.[h"</f>
        <v>#VALUE!</v>
      </c>
      <c r="DP235" t="e">
        <f>'All regions'!2459:2459-"n/&gt;!.[i"</f>
        <v>#VALUE!</v>
      </c>
      <c r="DQ235" t="e">
        <f>'All regions'!2460:2460-"n/&gt;!.[j"</f>
        <v>#VALUE!</v>
      </c>
      <c r="DR235" t="e">
        <f>'All regions'!2461:2461-"n/&gt;!.[k"</f>
        <v>#VALUE!</v>
      </c>
      <c r="DS235" t="e">
        <f>'All regions'!2462:2462-"n/&gt;!.[l"</f>
        <v>#VALUE!</v>
      </c>
      <c r="DT235" t="e">
        <f>'All regions'!2463:2463-"n/&gt;!.[m"</f>
        <v>#VALUE!</v>
      </c>
      <c r="DU235" t="e">
        <f>'All regions'!2464:2464-"n/&gt;!.[n"</f>
        <v>#VALUE!</v>
      </c>
      <c r="DV235" t="e">
        <f>'All regions'!2465:2465-"n/&gt;!.[o"</f>
        <v>#VALUE!</v>
      </c>
      <c r="DW235" t="e">
        <f>'All regions'!2466:2466-"n/&gt;!.[p"</f>
        <v>#VALUE!</v>
      </c>
      <c r="DX235" t="e">
        <f>'All regions'!2467:2467-"n/&gt;!.[q"</f>
        <v>#VALUE!</v>
      </c>
      <c r="DY235" t="e">
        <f>'All regions'!2468:2468-"n/&gt;!.[r"</f>
        <v>#VALUE!</v>
      </c>
      <c r="DZ235" t="e">
        <f>'All regions'!2469:2469-"n/&gt;!.[s"</f>
        <v>#VALUE!</v>
      </c>
      <c r="EA235" t="e">
        <f>'All regions'!2470:2470-"n/&gt;!.[t"</f>
        <v>#VALUE!</v>
      </c>
      <c r="EB235" t="e">
        <f>'All regions'!2471:2471-"n/&gt;!.[u"</f>
        <v>#VALUE!</v>
      </c>
      <c r="EC235" t="e">
        <f>'All regions'!2472:2472-"n/&gt;!.[v"</f>
        <v>#VALUE!</v>
      </c>
      <c r="ED235" t="e">
        <f>'All regions'!2473:2473-"n/&gt;!.[w"</f>
        <v>#VALUE!</v>
      </c>
      <c r="EE235" t="e">
        <f>'All regions'!2474:2474-"n/&gt;!.[x"</f>
        <v>#VALUE!</v>
      </c>
      <c r="EF235" t="e">
        <f>'All regions'!2475:2475-"n/&gt;!.[y"</f>
        <v>#VALUE!</v>
      </c>
      <c r="EG235" t="e">
        <f>'All regions'!2476:2476-"n/&gt;!.[z"</f>
        <v>#VALUE!</v>
      </c>
      <c r="EH235" t="e">
        <f>'All regions'!2477:2477-"n/&gt;!.[{"</f>
        <v>#VALUE!</v>
      </c>
      <c r="EI235" t="e">
        <f>'All regions'!2478:2478-"n/&gt;!.[|"</f>
        <v>#VALUE!</v>
      </c>
      <c r="EJ235" t="e">
        <f>'All regions'!2479:2479-"n/&gt;!.[}"</f>
        <v>#VALUE!</v>
      </c>
      <c r="EK235" t="e">
        <f>'All regions'!2480:2480-"n/&gt;!.[~"</f>
        <v>#VALUE!</v>
      </c>
      <c r="EL235" t="e">
        <f>'All regions'!2481:2481-"n/&gt;!.\#"</f>
        <v>#VALUE!</v>
      </c>
      <c r="EM235" t="e">
        <f>'All regions'!2482:2482-"n/&gt;!.\$"</f>
        <v>#VALUE!</v>
      </c>
      <c r="EN235" t="e">
        <f>'All regions'!2483:2483-"n/&gt;!.\%"</f>
        <v>#VALUE!</v>
      </c>
      <c r="EO235" t="e">
        <f>'All regions'!2484:2484-"n/&gt;!.\&amp;"</f>
        <v>#VALUE!</v>
      </c>
      <c r="EP235" t="e">
        <f>'All regions'!2485:2485-"n/&gt;!.\'"</f>
        <v>#VALUE!</v>
      </c>
      <c r="EQ235" t="e">
        <f>'All regions'!2486:2486-"n/&gt;!.\("</f>
        <v>#VALUE!</v>
      </c>
      <c r="ER235" t="e">
        <f>'All regions'!2487:2487-"n/&gt;!.\)"</f>
        <v>#VALUE!</v>
      </c>
      <c r="ES235" t="e">
        <f>'All regions'!2488:2488-"n/&gt;!.\."</f>
        <v>#VALUE!</v>
      </c>
      <c r="ET235" t="e">
        <f>'All regions'!2489:2489-"n/&gt;!.\/"</f>
        <v>#VALUE!</v>
      </c>
      <c r="EU235" t="e">
        <f>'All regions'!2490:2490-"n/&gt;!.\0"</f>
        <v>#VALUE!</v>
      </c>
      <c r="EV235" t="e">
        <f>'All regions'!2491:2491-"n/&gt;!.\1"</f>
        <v>#VALUE!</v>
      </c>
      <c r="EW235" t="e">
        <f>'All regions'!2492:2492-"n/&gt;!.\2"</f>
        <v>#VALUE!</v>
      </c>
      <c r="EX235" t="e">
        <f>'All regions'!2493:2493-"n/&gt;!.\3"</f>
        <v>#VALUE!</v>
      </c>
      <c r="EY235" t="e">
        <f>'All regions'!2494:2494-"n/&gt;!.\4"</f>
        <v>#VALUE!</v>
      </c>
      <c r="EZ235" t="e">
        <f>'All regions'!2495:2495-"n/&gt;!.\5"</f>
        <v>#VALUE!</v>
      </c>
      <c r="FA235" t="e">
        <f>'All regions'!2496:2496-"n/&gt;!.\6"</f>
        <v>#VALUE!</v>
      </c>
      <c r="FB235" t="e">
        <f>'All regions'!2497:2497-"n/&gt;!.\7"</f>
        <v>#VALUE!</v>
      </c>
      <c r="FC235" t="e">
        <f>'All regions'!2498:2498-"n/&gt;!.\8"</f>
        <v>#VALUE!</v>
      </c>
      <c r="FD235" t="e">
        <f>'All regions'!2499:2499-"n/&gt;!.\9"</f>
        <v>#VALUE!</v>
      </c>
      <c r="FE235" t="e">
        <f>'All regions'!2500:2500-"n/&gt;!.\:"</f>
        <v>#VALUE!</v>
      </c>
      <c r="FF235" t="e">
        <f>'All regions'!2501:2501-"n/&gt;!.\;"</f>
        <v>#VALUE!</v>
      </c>
      <c r="FG235" t="e">
        <f>'All regions'!2502:2502-"n/&gt;!.\&lt;"</f>
        <v>#VALUE!</v>
      </c>
      <c r="FH235" t="e">
        <f>'All regions'!2503:2503-"n/&gt;!.\="</f>
        <v>#VALUE!</v>
      </c>
      <c r="FI235" t="e">
        <f>'All regions'!2504:2504-"n/&gt;!.\&gt;"</f>
        <v>#VALUE!</v>
      </c>
      <c r="FJ235" t="e">
        <f>'All regions'!2505:2505-"n/&gt;!.\?"</f>
        <v>#VALUE!</v>
      </c>
      <c r="FK235" t="e">
        <f>'All regions'!2506:2506-"n/&gt;!.\@"</f>
        <v>#VALUE!</v>
      </c>
      <c r="FL235" t="e">
        <f>'All regions'!2507:2507-"n/&gt;!.\A"</f>
        <v>#VALUE!</v>
      </c>
      <c r="FM235" t="e">
        <f>'All regions'!2508:2508-"n/&gt;!.\B"</f>
        <v>#VALUE!</v>
      </c>
      <c r="FN235" t="e">
        <f>'All regions'!2509:2509-"n/&gt;!.\C"</f>
        <v>#VALUE!</v>
      </c>
      <c r="FO235" t="e">
        <f>'All regions'!2510:2510-"n/&gt;!.\D"</f>
        <v>#VALUE!</v>
      </c>
      <c r="FP235" t="e">
        <f>'All regions'!2511:2511-"n/&gt;!.\E"</f>
        <v>#VALUE!</v>
      </c>
      <c r="FQ235" t="e">
        <f>'All regions'!2512:2512-"n/&gt;!.\F"</f>
        <v>#VALUE!</v>
      </c>
      <c r="FR235" t="e">
        <f>'All regions'!2513:2513-"n/&gt;!.\G"</f>
        <v>#VALUE!</v>
      </c>
      <c r="FS235" t="e">
        <f>'All regions'!2514:2514-"n/&gt;!.\H"</f>
        <v>#VALUE!</v>
      </c>
      <c r="FT235" t="e">
        <f>'All regions'!2515:2515-"n/&gt;!.\I"</f>
        <v>#VALUE!</v>
      </c>
      <c r="FU235" t="e">
        <f>'All regions'!2516:2516-"n/&gt;!.\J"</f>
        <v>#VALUE!</v>
      </c>
      <c r="FV235" t="e">
        <f>'All regions'!2517:2517-"n/&gt;!.\K"</f>
        <v>#VALUE!</v>
      </c>
      <c r="FW235" t="e">
        <f>'All regions'!2518:2518-"n/&gt;!.\L"</f>
        <v>#VALUE!</v>
      </c>
      <c r="FX235" t="e">
        <f>'All regions'!2519:2519-"n/&gt;!.\M"</f>
        <v>#VALUE!</v>
      </c>
      <c r="FY235" t="e">
        <f>'All regions'!2520:2520-"n/&gt;!.\N"</f>
        <v>#VALUE!</v>
      </c>
      <c r="FZ235" t="e">
        <f>'All regions'!2521:2521-"n/&gt;!.\O"</f>
        <v>#VALUE!</v>
      </c>
      <c r="GA235" t="e">
        <f>'All regions'!2522:2522-"n/&gt;!.\P"</f>
        <v>#VALUE!</v>
      </c>
      <c r="GB235" t="e">
        <f>'All regions'!2523:2523-"n/&gt;!.\Q"</f>
        <v>#VALUE!</v>
      </c>
      <c r="GC235" t="e">
        <f>'All regions'!2524:2524-"n/&gt;!.\R"</f>
        <v>#VALUE!</v>
      </c>
      <c r="GD235" t="e">
        <f>'All regions'!2525:2525-"n/&gt;!.\S"</f>
        <v>#VALUE!</v>
      </c>
      <c r="GE235" t="e">
        <f>'All regions'!2526:2526-"n/&gt;!.\T"</f>
        <v>#VALUE!</v>
      </c>
      <c r="GF235" t="e">
        <f>'All regions'!2527:2527-"n/&gt;!.\U"</f>
        <v>#VALUE!</v>
      </c>
      <c r="GG235" t="e">
        <f>'All regions'!2528:2528-"n/&gt;!.\V"</f>
        <v>#VALUE!</v>
      </c>
      <c r="GH235" t="e">
        <f>'All regions'!2529:2529-"n/&gt;!.\W"</f>
        <v>#VALUE!</v>
      </c>
      <c r="GI235" t="e">
        <f>'All regions'!2530:2530-"n/&gt;!.\X"</f>
        <v>#VALUE!</v>
      </c>
      <c r="GJ235" t="e">
        <f>'All regions'!2531:2531-"n/&gt;!.\Y"</f>
        <v>#VALUE!</v>
      </c>
      <c r="GK235" t="e">
        <f>'All regions'!2532:2532-"n/&gt;!.\Z"</f>
        <v>#VALUE!</v>
      </c>
      <c r="GL235" t="e">
        <f>'All regions'!2533:2533-"n/&gt;!.\["</f>
        <v>#VALUE!</v>
      </c>
      <c r="GM235" t="e">
        <f>'All regions'!2534:2534-"n/&gt;!.\\"</f>
        <v>#VALUE!</v>
      </c>
      <c r="GN235" t="e">
        <f>'All regions'!2535:2535-"n/&gt;!.\]"</f>
        <v>#VALUE!</v>
      </c>
      <c r="GO235" t="e">
        <f>'All regions'!2536:2536-"n/&gt;!.\^"</f>
        <v>#VALUE!</v>
      </c>
      <c r="GP235" t="e">
        <f>'All regions'!2537:2537-"n/&gt;!.\_"</f>
        <v>#VALUE!</v>
      </c>
      <c r="GQ235" t="e">
        <f>'All regions'!2538:2538-"n/&gt;!.\`"</f>
        <v>#VALUE!</v>
      </c>
      <c r="GR235" t="e">
        <f>'All regions'!2539:2539-"n/&gt;!.\a"</f>
        <v>#VALUE!</v>
      </c>
      <c r="GS235" t="e">
        <f>'All regions'!2540:2540-"n/&gt;!.\b"</f>
        <v>#VALUE!</v>
      </c>
      <c r="GT235" t="e">
        <f>'All regions'!2541:2541-"n/&gt;!.\c"</f>
        <v>#VALUE!</v>
      </c>
      <c r="GU235" t="e">
        <f>'All regions'!2542:2542-"n/&gt;!.\d"</f>
        <v>#VALUE!</v>
      </c>
      <c r="GV235" t="e">
        <f>'All regions'!2543:2543-"n/&gt;!.\e"</f>
        <v>#VALUE!</v>
      </c>
      <c r="GW235" t="e">
        <f>'All regions'!2544:2544-"n/&gt;!.\f"</f>
        <v>#VALUE!</v>
      </c>
      <c r="GX235" t="e">
        <f>'All regions'!2545:2545-"n/&gt;!.\g"</f>
        <v>#VALUE!</v>
      </c>
      <c r="GY235" t="e">
        <f>'All regions'!2546:2546-"n/&gt;!.\h"</f>
        <v>#VALUE!</v>
      </c>
      <c r="GZ235" t="e">
        <f>'All regions'!2547:2547-"n/&gt;!.\i"</f>
        <v>#VALUE!</v>
      </c>
      <c r="HA235" t="e">
        <f>'All regions'!2548:2548-"n/&gt;!.\j"</f>
        <v>#VALUE!</v>
      </c>
      <c r="HB235" t="e">
        <f>'All regions'!2549:2549-"n/&gt;!.\k"</f>
        <v>#VALUE!</v>
      </c>
      <c r="HC235" t="e">
        <f>'All regions'!2550:2550-"n/&gt;!.\l"</f>
        <v>#VALUE!</v>
      </c>
      <c r="HD235" t="e">
        <f>'All regions'!2551:2551-"n/&gt;!.\m"</f>
        <v>#VALUE!</v>
      </c>
      <c r="HE235" t="e">
        <f>'All regions'!2552:2552-"n/&gt;!.\n"</f>
        <v>#VALUE!</v>
      </c>
      <c r="HF235" t="e">
        <f>'All regions'!2553:2553-"n/&gt;!.\o"</f>
        <v>#VALUE!</v>
      </c>
      <c r="HG235" t="e">
        <f>'All regions'!2554:2554-"n/&gt;!.\p"</f>
        <v>#VALUE!</v>
      </c>
      <c r="HH235" t="e">
        <f>'All regions'!2555:2555-"n/&gt;!.\q"</f>
        <v>#VALUE!</v>
      </c>
      <c r="HI235" t="e">
        <f>'All regions'!2556:2556-"n/&gt;!.\r"</f>
        <v>#VALUE!</v>
      </c>
      <c r="HJ235" t="e">
        <f>'All regions'!2557:2557-"n/&gt;!.\s"</f>
        <v>#VALUE!</v>
      </c>
      <c r="HK235" t="e">
        <f>'All regions'!2558:2558-"n/&gt;!.\t"</f>
        <v>#VALUE!</v>
      </c>
      <c r="HL235" t="e">
        <f>'All regions'!2559:2559-"n/&gt;!.\u"</f>
        <v>#VALUE!</v>
      </c>
      <c r="HM235" t="e">
        <f>'All regions'!2560:2560-"n/&gt;!.\v"</f>
        <v>#VALUE!</v>
      </c>
      <c r="HN235" t="e">
        <f>'All regions'!2561:2561-"n/&gt;!.\w"</f>
        <v>#VALUE!</v>
      </c>
      <c r="HO235" t="e">
        <f>'All regions'!2562:2562-"n/&gt;!.\x"</f>
        <v>#VALUE!</v>
      </c>
      <c r="HP235" t="e">
        <f>'All regions'!2563:2563-"n/&gt;!.\y"</f>
        <v>#VALUE!</v>
      </c>
      <c r="HQ235" t="e">
        <f>'All regions'!2564:2564-"n/&gt;!.\z"</f>
        <v>#VALUE!</v>
      </c>
      <c r="HR235" t="e">
        <f>'All regions'!2565:2565-"n/&gt;!.\{"</f>
        <v>#VALUE!</v>
      </c>
      <c r="HS235" t="e">
        <f>'All regions'!2566:2566-"n/&gt;!.\|"</f>
        <v>#VALUE!</v>
      </c>
      <c r="HT235" t="e">
        <f>'All regions'!2567:2567-"n/&gt;!.\}"</f>
        <v>#VALUE!</v>
      </c>
      <c r="HU235" t="e">
        <f>'All regions'!2568:2568-"n/&gt;!.\~"</f>
        <v>#VALUE!</v>
      </c>
      <c r="HV235" t="e">
        <f>'All regions'!2569:2569-"n/&gt;!.]#"</f>
        <v>#VALUE!</v>
      </c>
      <c r="HW235" t="e">
        <f>'All regions'!2570:2570-"n/&gt;!.]$"</f>
        <v>#VALUE!</v>
      </c>
      <c r="HX235" t="e">
        <f>'All regions'!2571:2571-"n/&gt;!.]%"</f>
        <v>#VALUE!</v>
      </c>
      <c r="HY235" t="e">
        <f>'All regions'!2572:2572-"n/&gt;!.]&amp;"</f>
        <v>#VALUE!</v>
      </c>
      <c r="HZ235" t="e">
        <f>'All regions'!2573:2573-"n/&gt;!.]'"</f>
        <v>#VALUE!</v>
      </c>
      <c r="IA235" t="e">
        <f>'All regions'!2574:2574-"n/&gt;!.]("</f>
        <v>#VALUE!</v>
      </c>
      <c r="IB235" t="e">
        <f>'All regions'!2575:2575-"n/&gt;!.])"</f>
        <v>#VALUE!</v>
      </c>
      <c r="IC235" t="e">
        <f>'All regions'!2576:2576-"n/&gt;!.]."</f>
        <v>#VALUE!</v>
      </c>
      <c r="ID235" t="e">
        <f>'All regions'!2577:2577-"n/&gt;!.]/"</f>
        <v>#VALUE!</v>
      </c>
      <c r="IE235" t="e">
        <f>'All regions'!2578:2578-"n/&gt;!.]0"</f>
        <v>#VALUE!</v>
      </c>
      <c r="IF235" t="e">
        <f>'All regions'!2579:2579-"n/&gt;!.]1"</f>
        <v>#VALUE!</v>
      </c>
      <c r="IG235" t="e">
        <f>'All regions'!2580:2580-"n/&gt;!.]2"</f>
        <v>#VALUE!</v>
      </c>
      <c r="IH235" t="e">
        <f>'All regions'!2581:2581-"n/&gt;!.]3"</f>
        <v>#VALUE!</v>
      </c>
      <c r="II235" t="e">
        <f>'All regions'!2582:2582-"n/&gt;!.]4"</f>
        <v>#VALUE!</v>
      </c>
      <c r="IJ235" t="e">
        <f>'All regions'!2583:2583-"n/&gt;!.]5"</f>
        <v>#VALUE!</v>
      </c>
      <c r="IK235" t="e">
        <f>'All regions'!2584:2584-"n/&gt;!.]6"</f>
        <v>#VALUE!</v>
      </c>
      <c r="IL235" t="e">
        <f>'All regions'!2585:2585-"n/&gt;!.]7"</f>
        <v>#VALUE!</v>
      </c>
      <c r="IM235" t="e">
        <f>'All regions'!2586:2586-"n/&gt;!.]8"</f>
        <v>#VALUE!</v>
      </c>
      <c r="IN235" t="e">
        <f>'All regions'!2587:2587-"n/&gt;!.]9"</f>
        <v>#VALUE!</v>
      </c>
      <c r="IO235" t="e">
        <f>'All regions'!2588:2588-"n/&gt;!.]:"</f>
        <v>#VALUE!</v>
      </c>
      <c r="IP235" t="e">
        <f>'All regions'!2589:2589-"n/&gt;!.];"</f>
        <v>#VALUE!</v>
      </c>
      <c r="IQ235" t="e">
        <f>'All regions'!2590:2590-"n/&gt;!.]&lt;"</f>
        <v>#VALUE!</v>
      </c>
      <c r="IR235" t="e">
        <f>'All regions'!2591:2591-"n/&gt;!.]="</f>
        <v>#VALUE!</v>
      </c>
      <c r="IS235" t="e">
        <f>'All regions'!2592:2592-"n/&gt;!.]&gt;"</f>
        <v>#VALUE!</v>
      </c>
      <c r="IT235" t="e">
        <f>'All regions'!2593:2593-"n/&gt;!.]?"</f>
        <v>#VALUE!</v>
      </c>
      <c r="IU235" t="e">
        <f>'All regions'!2594:2594-"n/&gt;!.]@"</f>
        <v>#VALUE!</v>
      </c>
      <c r="IV235" t="e">
        <f>'All regions'!2595:2595-"n/&gt;!.]A"</f>
        <v>#VALUE!</v>
      </c>
    </row>
    <row r="236" spans="6:256" x14ac:dyDescent="0.35">
      <c r="F236" t="e">
        <f>'All regions'!2596:2596-"n/&gt;!.]B"</f>
        <v>#VALUE!</v>
      </c>
      <c r="G236" t="e">
        <f>'All regions'!2597:2597-"n/&gt;!.]C"</f>
        <v>#VALUE!</v>
      </c>
      <c r="H236" t="e">
        <f>'All regions'!2598:2598-"n/&gt;!.]D"</f>
        <v>#VALUE!</v>
      </c>
      <c r="I236" t="e">
        <f>'All regions'!2599:2599-"n/&gt;!.]E"</f>
        <v>#VALUE!</v>
      </c>
      <c r="J236" t="e">
        <f>'All regions'!2600:2600-"n/&gt;!.]F"</f>
        <v>#VALUE!</v>
      </c>
      <c r="K236" t="e">
        <f>'All regions'!2601:2601-"n/&gt;!.]G"</f>
        <v>#VALUE!</v>
      </c>
      <c r="L236" t="e">
        <f>'All regions'!2602:2602-"n/&gt;!.]H"</f>
        <v>#VALUE!</v>
      </c>
      <c r="M236" t="e">
        <f>'All regions'!2603:2603-"n/&gt;!.]I"</f>
        <v>#VALUE!</v>
      </c>
      <c r="N236" t="e">
        <f>'All regions'!2604:2604-"n/&gt;!.]J"</f>
        <v>#VALUE!</v>
      </c>
      <c r="O236" t="e">
        <f>'All regions'!2605:2605-"n/&gt;!.]K"</f>
        <v>#VALUE!</v>
      </c>
      <c r="P236" t="e">
        <f>'All regions'!2606:2606-"n/&gt;!.]L"</f>
        <v>#VALUE!</v>
      </c>
      <c r="Q236" t="e">
        <f>'All regions'!2607:2607-"n/&gt;!.]M"</f>
        <v>#VALUE!</v>
      </c>
      <c r="R236" t="e">
        <f>'All regions'!2608:2608-"n/&gt;!.]N"</f>
        <v>#VALUE!</v>
      </c>
      <c r="S236" t="e">
        <f>'All regions'!2609:2609-"n/&gt;!.]O"</f>
        <v>#VALUE!</v>
      </c>
      <c r="T236" t="e">
        <f>'All regions'!2610:2610-"n/&gt;!.]P"</f>
        <v>#VALUE!</v>
      </c>
      <c r="U236" t="e">
        <f>'All regions'!2611:2611-"n/&gt;!.]Q"</f>
        <v>#VALUE!</v>
      </c>
      <c r="V236" t="e">
        <f>'All regions'!2612:2612-"n/&gt;!.]R"</f>
        <v>#VALUE!</v>
      </c>
      <c r="W236" t="e">
        <f>'All regions'!2613:2613-"n/&gt;!.]S"</f>
        <v>#VALUE!</v>
      </c>
      <c r="X236" t="e">
        <f>'All regions'!2614:2614-"n/&gt;!.]T"</f>
        <v>#VALUE!</v>
      </c>
      <c r="Y236" t="e">
        <f>'All regions'!2615:2615-"n/&gt;!.]U"</f>
        <v>#VALUE!</v>
      </c>
      <c r="Z236" t="e">
        <f>'All regions'!2616:2616-"n/&gt;!.]V"</f>
        <v>#VALUE!</v>
      </c>
      <c r="AA236" t="e">
        <f>'All regions'!2617:2617-"n/&gt;!.]W"</f>
        <v>#VALUE!</v>
      </c>
      <c r="AB236" t="e">
        <f>'All regions'!2618:2618-"n/&gt;!.]X"</f>
        <v>#VALUE!</v>
      </c>
      <c r="AC236" t="e">
        <f>'All regions'!2619:2619-"n/&gt;!.]Y"</f>
        <v>#VALUE!</v>
      </c>
      <c r="AD236" t="e">
        <f>'All regions'!2620:2620-"n/&gt;!.]Z"</f>
        <v>#VALUE!</v>
      </c>
      <c r="AE236" t="e">
        <f>'All regions'!2621:2621-"n/&gt;!.]["</f>
        <v>#VALUE!</v>
      </c>
      <c r="AF236" t="e">
        <f>'All regions'!2622:2622-"n/&gt;!.]\"</f>
        <v>#VALUE!</v>
      </c>
      <c r="AG236" t="e">
        <f>'All regions'!2623:2623-"n/&gt;!.]]"</f>
        <v>#VALUE!</v>
      </c>
      <c r="AH236" t="e">
        <f>'All regions'!2624:2624-"n/&gt;!.]^"</f>
        <v>#VALUE!</v>
      </c>
      <c r="AI236" t="e">
        <f>'All regions'!2625:2625-"n/&gt;!.]_"</f>
        <v>#VALUE!</v>
      </c>
      <c r="AJ236" t="e">
        <f>'All regions'!2626:2626-"n/&gt;!.]`"</f>
        <v>#VALUE!</v>
      </c>
      <c r="AK236" t="e">
        <f>'All regions'!2627:2627-"n/&gt;!.]a"</f>
        <v>#VALUE!</v>
      </c>
      <c r="AL236" t="e">
        <f>'All regions'!2628:2628-"n/&gt;!.]b"</f>
        <v>#VALUE!</v>
      </c>
      <c r="AM236" t="e">
        <f>'All regions'!2629:2629-"n/&gt;!.]c"</f>
        <v>#VALUE!</v>
      </c>
      <c r="AN236" t="e">
        <f>'All regions'!2630:2630-"n/&gt;!.]d"</f>
        <v>#VALUE!</v>
      </c>
      <c r="AO236" t="e">
        <f>'All regions'!2631:2631-"n/&gt;!.]e"</f>
        <v>#VALUE!</v>
      </c>
      <c r="AP236" t="e">
        <f>'All regions'!2632:2632-"n/&gt;!.]f"</f>
        <v>#VALUE!</v>
      </c>
      <c r="AQ236" t="e">
        <f>'All regions'!2633:2633-"n/&gt;!.]g"</f>
        <v>#VALUE!</v>
      </c>
      <c r="AR236" t="e">
        <f>'All regions'!2634:2634-"n/&gt;!.]h"</f>
        <v>#VALUE!</v>
      </c>
      <c r="AS236" t="e">
        <f>'All regions'!2635:2635-"n/&gt;!.]i"</f>
        <v>#VALUE!</v>
      </c>
      <c r="AT236" t="e">
        <f>'All regions'!2636:2636-"n/&gt;!.]j"</f>
        <v>#VALUE!</v>
      </c>
      <c r="AU236" t="e">
        <f>'All regions'!2637:2637-"n/&gt;!.]k"</f>
        <v>#VALUE!</v>
      </c>
      <c r="AV236" t="e">
        <f>'All regions'!2638:2638-"n/&gt;!.]l"</f>
        <v>#VALUE!</v>
      </c>
      <c r="AW236" t="e">
        <f>'All regions'!2639:2639-"n/&gt;!.]m"</f>
        <v>#VALUE!</v>
      </c>
      <c r="AX236" t="e">
        <f>'All regions'!2640:2640-"n/&gt;!.]n"</f>
        <v>#VALUE!</v>
      </c>
      <c r="AY236" t="e">
        <f>'All regions'!2641:2641-"n/&gt;!.]o"</f>
        <v>#VALUE!</v>
      </c>
      <c r="AZ236" t="e">
        <f>'All regions'!2642:2642-"n/&gt;!.]p"</f>
        <v>#VALUE!</v>
      </c>
      <c r="BA236" t="e">
        <f>'All regions'!2643:2643-"n/&gt;!.]q"</f>
        <v>#VALUE!</v>
      </c>
      <c r="BB236" t="e">
        <f>'All regions'!2644:2644-"n/&gt;!.]r"</f>
        <v>#VALUE!</v>
      </c>
      <c r="BC236" t="e">
        <f>'All regions'!2645:2645-"n/&gt;!.]s"</f>
        <v>#VALUE!</v>
      </c>
      <c r="BD236" t="e">
        <f>'All regions'!2646:2646-"n/&gt;!.]t"</f>
        <v>#VALUE!</v>
      </c>
      <c r="BE236" t="e">
        <f>'All regions'!2647:2647-"n/&gt;!.]u"</f>
        <v>#VALUE!</v>
      </c>
      <c r="BF236" t="e">
        <f>'All regions'!2648:2648-"n/&gt;!.]v"</f>
        <v>#VALUE!</v>
      </c>
      <c r="BG236" t="e">
        <f>'All regions'!2649:2649-"n/&gt;!.]w"</f>
        <v>#VALUE!</v>
      </c>
      <c r="BH236" t="e">
        <f>'All regions'!2650:2650-"n/&gt;!.]x"</f>
        <v>#VALUE!</v>
      </c>
      <c r="BI236" t="e">
        <f>'All regions'!2651:2651-"n/&gt;!.]y"</f>
        <v>#VALUE!</v>
      </c>
      <c r="BJ236" t="e">
        <f>'All regions'!2652:2652-"n/&gt;!.]z"</f>
        <v>#VALUE!</v>
      </c>
      <c r="BK236" t="e">
        <f>'All regions'!2653:2653-"n/&gt;!.]{"</f>
        <v>#VALUE!</v>
      </c>
      <c r="BL236" t="e">
        <f>'All regions'!2654:2654-"n/&gt;!.]|"</f>
        <v>#VALUE!</v>
      </c>
      <c r="BM236" t="e">
        <f>'All regions'!2655:2655-"n/&gt;!.]}"</f>
        <v>#VALUE!</v>
      </c>
      <c r="BN236" t="e">
        <f>'All regions'!2656:2656-"n/&gt;!.]~"</f>
        <v>#VALUE!</v>
      </c>
      <c r="BO236" t="e">
        <f>'All regions'!2657:2657-"n/&gt;!.^#"</f>
        <v>#VALUE!</v>
      </c>
      <c r="BP236" t="e">
        <f>'All regions'!2658:2658-"n/&gt;!.^$"</f>
        <v>#VALUE!</v>
      </c>
      <c r="BQ236" t="e">
        <f>'All regions'!2659:2659-"n/&gt;!.^%"</f>
        <v>#VALUE!</v>
      </c>
      <c r="BR236" t="e">
        <f>'All regions'!2660:2660-"n/&gt;!.^&amp;"</f>
        <v>#VALUE!</v>
      </c>
      <c r="BS236" t="e">
        <f>'All regions'!2661:2661-"n/&gt;!.^'"</f>
        <v>#VALUE!</v>
      </c>
      <c r="BT236" t="e">
        <f>'All regions'!2662:2662-"n/&gt;!.^("</f>
        <v>#VALUE!</v>
      </c>
      <c r="BU236" t="e">
        <f>'All regions'!2663:2663-"n/&gt;!.^)"</f>
        <v>#VALUE!</v>
      </c>
      <c r="BV236" t="e">
        <f>'All regions'!2664:2664-"n/&gt;!.^."</f>
        <v>#VALUE!</v>
      </c>
      <c r="BW236" t="e">
        <f>'All regions'!2665:2665-"n/&gt;!.^/"</f>
        <v>#VALUE!</v>
      </c>
      <c r="BX236" t="e">
        <f>'All regions'!2666:2666-"n/&gt;!.^0"</f>
        <v>#VALUE!</v>
      </c>
      <c r="BY236" t="e">
        <f>'All regions'!2667:2667-"n/&gt;!.^1"</f>
        <v>#VALUE!</v>
      </c>
      <c r="BZ236" t="e">
        <f>'All regions'!2668:2668-"n/&gt;!.^2"</f>
        <v>#VALUE!</v>
      </c>
      <c r="CA236" t="e">
        <f>'All regions'!2669:2669-"n/&gt;!.^3"</f>
        <v>#VALUE!</v>
      </c>
      <c r="CB236" t="e">
        <f>'All regions'!2670:2670-"n/&gt;!.^4"</f>
        <v>#VALUE!</v>
      </c>
      <c r="CC236" t="e">
        <f>'All regions'!2671:2671-"n/&gt;!.^5"</f>
        <v>#VALUE!</v>
      </c>
      <c r="CD236" t="e">
        <f>'All regions'!2672:2672-"n/&gt;!.^6"</f>
        <v>#VALUE!</v>
      </c>
      <c r="CE236" t="e">
        <f>'All regions'!2673:2673-"n/&gt;!.^7"</f>
        <v>#VALUE!</v>
      </c>
      <c r="CF236" t="e">
        <f>'All regions'!2674:2674-"n/&gt;!.^8"</f>
        <v>#VALUE!</v>
      </c>
      <c r="CG236" t="e">
        <f>'All regions'!2675:2675-"n/&gt;!.^9"</f>
        <v>#VALUE!</v>
      </c>
      <c r="CH236" t="e">
        <f>'All regions'!2676:2676-"n/&gt;!.^:"</f>
        <v>#VALUE!</v>
      </c>
      <c r="CI236" t="e">
        <f>'All regions'!2677:2677-"n/&gt;!.^;"</f>
        <v>#VALUE!</v>
      </c>
      <c r="CJ236" t="e">
        <f>'All regions'!2678:2678-"n/&gt;!.^&lt;"</f>
        <v>#VALUE!</v>
      </c>
      <c r="CK236" t="e">
        <f>'All regions'!2679:2679-"n/&gt;!.^="</f>
        <v>#VALUE!</v>
      </c>
      <c r="CL236" t="e">
        <f>'All regions'!2680:2680-"n/&gt;!.^&gt;"</f>
        <v>#VALUE!</v>
      </c>
      <c r="CM236" t="e">
        <f>'All regions'!2681:2681-"n/&gt;!.^?"</f>
        <v>#VALUE!</v>
      </c>
      <c r="CN236" t="e">
        <f>'All regions'!2682:2682-"n/&gt;!.^@"</f>
        <v>#VALUE!</v>
      </c>
      <c r="CO236" t="e">
        <f>'All regions'!2683:2683-"n/&gt;!.^A"</f>
        <v>#VALUE!</v>
      </c>
      <c r="CP236" t="e">
        <f>'All regions'!2684:2684-"n/&gt;!.^B"</f>
        <v>#VALUE!</v>
      </c>
      <c r="CQ236" t="e">
        <f>'All regions'!2685:2685-"n/&gt;!.^C"</f>
        <v>#VALUE!</v>
      </c>
      <c r="CR236" t="e">
        <f>'All regions'!2686:2686-"n/&gt;!.^D"</f>
        <v>#VALUE!</v>
      </c>
      <c r="CS236" t="e">
        <f>'All regions'!2687:2687-"n/&gt;!.^E"</f>
        <v>#VALUE!</v>
      </c>
      <c r="CT236" t="e">
        <f>'All regions'!2688:2688-"n/&gt;!.^F"</f>
        <v>#VALUE!</v>
      </c>
      <c r="CU236" t="e">
        <f>'All regions'!2689:2689-"n/&gt;!.^G"</f>
        <v>#VALUE!</v>
      </c>
      <c r="CV236" t="e">
        <f>'All regions'!2690:2690-"n/&gt;!.^H"</f>
        <v>#VALUE!</v>
      </c>
      <c r="CW236" t="e">
        <f>'All regions'!2691:2691-"n/&gt;!.^I"</f>
        <v>#VALUE!</v>
      </c>
      <c r="CX236" t="e">
        <f>'All regions'!2692:2692-"n/&gt;!.^J"</f>
        <v>#VALUE!</v>
      </c>
      <c r="CY236" t="e">
        <f>'All regions'!2693:2693-"n/&gt;!.^K"</f>
        <v>#VALUE!</v>
      </c>
      <c r="CZ236" t="e">
        <f>'All regions'!2694:2694-"n/&gt;!.^L"</f>
        <v>#VALUE!</v>
      </c>
      <c r="DA236" t="e">
        <f>'All regions'!2695:2695-"n/&gt;!.^M"</f>
        <v>#VALUE!</v>
      </c>
      <c r="DB236" t="e">
        <f>'All regions'!2696:2696-"n/&gt;!.^N"</f>
        <v>#VALUE!</v>
      </c>
      <c r="DC236" t="e">
        <f>'All regions'!2697:2697-"n/&gt;!.^O"</f>
        <v>#VALUE!</v>
      </c>
      <c r="DD236" t="e">
        <f>'All regions'!2698:2698-"n/&gt;!.^P"</f>
        <v>#VALUE!</v>
      </c>
      <c r="DE236" t="e">
        <f>'All regions'!2699:2699-"n/&gt;!.^Q"</f>
        <v>#VALUE!</v>
      </c>
      <c r="DF236" t="e">
        <f>'All regions'!2700:2700-"n/&gt;!.^R"</f>
        <v>#VALUE!</v>
      </c>
      <c r="DG236" t="e">
        <f>'All regions'!2701:2701-"n/&gt;!.^S"</f>
        <v>#VALUE!</v>
      </c>
      <c r="DH236" t="e">
        <f>'All regions'!2702:2702-"n/&gt;!.^T"</f>
        <v>#VALUE!</v>
      </c>
      <c r="DI236" t="e">
        <f>'All regions'!2703:2703-"n/&gt;!.^U"</f>
        <v>#VALUE!</v>
      </c>
      <c r="DJ236" t="e">
        <f>'All regions'!2704:2704-"n/&gt;!.^V"</f>
        <v>#VALUE!</v>
      </c>
      <c r="DK236" t="e">
        <f>'All regions'!2705:2705-"n/&gt;!.^W"</f>
        <v>#VALUE!</v>
      </c>
      <c r="DL236" t="e">
        <f>'All regions'!2706:2706-"n/&gt;!.^X"</f>
        <v>#VALUE!</v>
      </c>
      <c r="DM236" t="e">
        <f>'All regions'!2707:2707-"n/&gt;!.^Y"</f>
        <v>#VALUE!</v>
      </c>
      <c r="DN236" t="e">
        <f>'All regions'!2708:2708-"n/&gt;!.^Z"</f>
        <v>#VALUE!</v>
      </c>
      <c r="DO236" t="e">
        <f>'All regions'!2709:2709-"n/&gt;!.^["</f>
        <v>#VALUE!</v>
      </c>
      <c r="DP236" t="e">
        <f>'All regions'!2710:2710-"n/&gt;!.^\"</f>
        <v>#VALUE!</v>
      </c>
      <c r="DQ236" t="e">
        <f>'All regions'!2711:2711-"n/&gt;!.^]"</f>
        <v>#VALUE!</v>
      </c>
      <c r="DR236" t="e">
        <f>'All regions'!2712:2712-"n/&gt;!.^^"</f>
        <v>#VALUE!</v>
      </c>
      <c r="DS236" t="e">
        <f>'All regions'!2713:2713-"n/&gt;!.^_"</f>
        <v>#VALUE!</v>
      </c>
      <c r="DT236" t="e">
        <f>'All regions'!2714:2714-"n/&gt;!.^`"</f>
        <v>#VALUE!</v>
      </c>
      <c r="DU236" t="e">
        <f>'All regions'!2715:2715-"n/&gt;!.^a"</f>
        <v>#VALUE!</v>
      </c>
      <c r="DV236" t="e">
        <f>'All regions'!2716:2716-"n/&gt;!.^b"</f>
        <v>#VALUE!</v>
      </c>
      <c r="DW236" t="e">
        <f>'All regions'!2717:2717-"n/&gt;!.^c"</f>
        <v>#VALUE!</v>
      </c>
      <c r="DX236" t="e">
        <f>'All regions'!2718:2718-"n/&gt;!.^d"</f>
        <v>#VALUE!</v>
      </c>
      <c r="DY236" t="e">
        <f>'All regions'!2719:2719-"n/&gt;!.^e"</f>
        <v>#VALUE!</v>
      </c>
      <c r="DZ236" t="e">
        <f>'All regions'!2720:2720-"n/&gt;!.^f"</f>
        <v>#VALUE!</v>
      </c>
      <c r="EA236" t="e">
        <f>'All regions'!2721:2721-"n/&gt;!.^g"</f>
        <v>#VALUE!</v>
      </c>
      <c r="EB236" t="e">
        <f>'All regions'!2722:2722-"n/&gt;!.^h"</f>
        <v>#VALUE!</v>
      </c>
      <c r="EC236" t="e">
        <f>'All regions'!2723:2723-"n/&gt;!.^i"</f>
        <v>#VALUE!</v>
      </c>
      <c r="ED236" t="e">
        <f>'All regions'!2724:2724-"n/&gt;!.^j"</f>
        <v>#VALUE!</v>
      </c>
      <c r="EE236" t="e">
        <f>'All regions'!2725:2725-"n/&gt;!.^k"</f>
        <v>#VALUE!</v>
      </c>
      <c r="EF236" t="e">
        <f>'All regions'!2726:2726-"n/&gt;!.^l"</f>
        <v>#VALUE!</v>
      </c>
      <c r="EG236" t="e">
        <f>'All regions'!2727:2727-"n/&gt;!.^m"</f>
        <v>#VALUE!</v>
      </c>
      <c r="EH236" t="e">
        <f>'All regions'!2728:2728-"n/&gt;!.^n"</f>
        <v>#VALUE!</v>
      </c>
      <c r="EI236" t="e">
        <f>'All regions'!2729:2729-"n/&gt;!.^o"</f>
        <v>#VALUE!</v>
      </c>
      <c r="EJ236" t="e">
        <f>'All regions'!2730:2730-"n/&gt;!.^p"</f>
        <v>#VALUE!</v>
      </c>
      <c r="EK236" t="e">
        <f>'All regions'!2731:2731-"n/&gt;!.^q"</f>
        <v>#VALUE!</v>
      </c>
      <c r="EL236" t="e">
        <f>'All regions'!2732:2732-"n/&gt;!.^r"</f>
        <v>#VALUE!</v>
      </c>
      <c r="EM236" t="e">
        <f>'All regions'!2733:2733-"n/&gt;!.^s"</f>
        <v>#VALUE!</v>
      </c>
      <c r="EN236" t="e">
        <f>'All regions'!2734:2734-"n/&gt;!.^t"</f>
        <v>#VALUE!</v>
      </c>
      <c r="EO236" t="e">
        <f>'All regions'!2735:2735-"n/&gt;!.^u"</f>
        <v>#VALUE!</v>
      </c>
      <c r="EP236" t="e">
        <f>'All regions'!2736:2736-"n/&gt;!.^v"</f>
        <v>#VALUE!</v>
      </c>
      <c r="EQ236" t="e">
        <f>'All regions'!2737:2737-"n/&gt;!.^w"</f>
        <v>#VALUE!</v>
      </c>
      <c r="ER236" t="e">
        <f>'All regions'!2738:2738-"n/&gt;!.^x"</f>
        <v>#VALUE!</v>
      </c>
      <c r="ES236" t="e">
        <f>'All regions'!2739:2739-"n/&gt;!.^y"</f>
        <v>#VALUE!</v>
      </c>
      <c r="ET236" t="e">
        <f>'All regions'!2740:2740-"n/&gt;!.^z"</f>
        <v>#VALUE!</v>
      </c>
      <c r="EU236" t="e">
        <f>'All regions'!2741:2741-"n/&gt;!.^{"</f>
        <v>#VALUE!</v>
      </c>
      <c r="EV236" t="e">
        <f>'All regions'!2742:2742-"n/&gt;!.^|"</f>
        <v>#VALUE!</v>
      </c>
      <c r="EW236" t="e">
        <f>'All regions'!2743:2743-"n/&gt;!.^}"</f>
        <v>#VALUE!</v>
      </c>
      <c r="EX236" t="e">
        <f>'All regions'!2744:2744-"n/&gt;!.^~"</f>
        <v>#VALUE!</v>
      </c>
      <c r="EY236" t="e">
        <f>'All regions'!2745:2745-"n/&gt;!._#"</f>
        <v>#VALUE!</v>
      </c>
      <c r="EZ236" t="e">
        <f>'All regions'!2746:2746-"n/&gt;!._$"</f>
        <v>#VALUE!</v>
      </c>
      <c r="FA236" t="e">
        <f>'All regions'!2747:2747-"n/&gt;!._%"</f>
        <v>#VALUE!</v>
      </c>
      <c r="FB236" t="e">
        <f>'All regions'!2748:2748-"n/&gt;!._&amp;"</f>
        <v>#VALUE!</v>
      </c>
      <c r="FC236" t="e">
        <f>'All regions'!2749:2749-"n/&gt;!._'"</f>
        <v>#VALUE!</v>
      </c>
      <c r="FD236" t="e">
        <f>'All regions'!2750:2750-"n/&gt;!._("</f>
        <v>#VALUE!</v>
      </c>
      <c r="FE236" t="e">
        <f>'All regions'!2751:2751-"n/&gt;!._)"</f>
        <v>#VALUE!</v>
      </c>
      <c r="FF236" t="e">
        <f>'All regions'!2752:2752-"n/&gt;!._."</f>
        <v>#VALUE!</v>
      </c>
      <c r="FG236" t="e">
        <f>'All regions'!2753:2753-"n/&gt;!._/"</f>
        <v>#VALUE!</v>
      </c>
      <c r="FH236" t="e">
        <f>'All regions'!2754:2754-"n/&gt;!._0"</f>
        <v>#VALUE!</v>
      </c>
      <c r="FI236" t="e">
        <f>'All regions'!2755:2755-"n/&gt;!._1"</f>
        <v>#VALUE!</v>
      </c>
      <c r="FJ236" t="e">
        <f>'All regions'!2756:2756-"n/&gt;!._2"</f>
        <v>#VALUE!</v>
      </c>
      <c r="FK236" t="e">
        <f>'All regions'!2757:2757-"n/&gt;!._3"</f>
        <v>#VALUE!</v>
      </c>
      <c r="FL236" t="e">
        <f>'All regions'!2758:2758-"n/&gt;!._4"</f>
        <v>#VALUE!</v>
      </c>
      <c r="FM236" t="e">
        <f>'All regions'!2759:2759-"n/&gt;!._5"</f>
        <v>#VALUE!</v>
      </c>
      <c r="FN236" t="e">
        <f>'All regions'!2760:2760-"n/&gt;!._6"</f>
        <v>#VALUE!</v>
      </c>
      <c r="FO236" t="e">
        <f>'All regions'!2761:2761-"n/&gt;!._7"</f>
        <v>#VALUE!</v>
      </c>
      <c r="FP236" t="e">
        <f>'All regions'!2762:2762-"n/&gt;!._8"</f>
        <v>#VALUE!</v>
      </c>
      <c r="FQ236" t="e">
        <f>'All regions'!2763:2763-"n/&gt;!._9"</f>
        <v>#VALUE!</v>
      </c>
      <c r="FR236" t="e">
        <f>'All regions'!2764:2764-"n/&gt;!._:"</f>
        <v>#VALUE!</v>
      </c>
      <c r="FS236" t="e">
        <f>'All regions'!2765:2765-"n/&gt;!._;"</f>
        <v>#VALUE!</v>
      </c>
      <c r="FT236" t="e">
        <f>'All regions'!2766:2766-"n/&gt;!._&lt;"</f>
        <v>#VALUE!</v>
      </c>
      <c r="FU236" t="e">
        <f>'All regions'!2767:2767-"n/&gt;!._="</f>
        <v>#VALUE!</v>
      </c>
      <c r="FV236" t="e">
        <f>'All regions'!2768:2768-"n/&gt;!._&gt;"</f>
        <v>#VALUE!</v>
      </c>
      <c r="FW236" t="e">
        <f>'All regions'!2769:2769-"n/&gt;!._?"</f>
        <v>#VALUE!</v>
      </c>
      <c r="FX236" t="e">
        <f>'All regions'!2770:2770-"n/&gt;!._@"</f>
        <v>#VALUE!</v>
      </c>
      <c r="FY236" t="e">
        <f>'All regions'!2771:2771-"n/&gt;!._A"</f>
        <v>#VALUE!</v>
      </c>
      <c r="FZ236" t="e">
        <f>'All regions'!2772:2772-"n/&gt;!._B"</f>
        <v>#VALUE!</v>
      </c>
      <c r="GA236" t="e">
        <f>'All regions'!2773:2773-"n/&gt;!._C"</f>
        <v>#VALUE!</v>
      </c>
      <c r="GB236" t="e">
        <f>'All regions'!2774:2774-"n/&gt;!._D"</f>
        <v>#VALUE!</v>
      </c>
      <c r="GC236" t="e">
        <f>'All regions'!2775:2775-"n/&gt;!._E"</f>
        <v>#VALUE!</v>
      </c>
      <c r="GD236" t="e">
        <f>'All regions'!2776:2776-"n/&gt;!._F"</f>
        <v>#VALUE!</v>
      </c>
      <c r="GE236" t="e">
        <f>'All regions'!2777:2777-"n/&gt;!._G"</f>
        <v>#VALUE!</v>
      </c>
      <c r="GF236" t="e">
        <f>'All regions'!2778:2778-"n/&gt;!._H"</f>
        <v>#VALUE!</v>
      </c>
      <c r="GG236" t="e">
        <f>'All regions'!2779:2779-"n/&gt;!._I"</f>
        <v>#VALUE!</v>
      </c>
      <c r="GH236" t="e">
        <f>'All regions'!2780:2780-"n/&gt;!._J"</f>
        <v>#VALUE!</v>
      </c>
      <c r="GI236" t="e">
        <f>'All regions'!2781:2781-"n/&gt;!._K"</f>
        <v>#VALUE!</v>
      </c>
      <c r="GJ236" t="e">
        <f>'All regions'!2782:2782-"n/&gt;!._L"</f>
        <v>#VALUE!</v>
      </c>
      <c r="GK236" t="e">
        <f>'All regions'!2783:2783-"n/&gt;!._M"</f>
        <v>#VALUE!</v>
      </c>
      <c r="GL236" t="e">
        <f>'All regions'!2784:2784-"n/&gt;!._N"</f>
        <v>#VALUE!</v>
      </c>
      <c r="GM236" t="e">
        <f>'All regions'!2785:2785-"n/&gt;!._O"</f>
        <v>#VALUE!</v>
      </c>
      <c r="GN236" t="e">
        <f>'All regions'!2786:2786-"n/&gt;!._P"</f>
        <v>#VALUE!</v>
      </c>
      <c r="GO236" t="e">
        <f>'All regions'!2787:2787-"n/&gt;!._Q"</f>
        <v>#VALUE!</v>
      </c>
      <c r="GP236" t="e">
        <f>'All regions'!2788:2788-"n/&gt;!._R"</f>
        <v>#VALUE!</v>
      </c>
      <c r="GQ236" t="e">
        <f>'All regions'!2789:2789-"n/&gt;!._S"</f>
        <v>#VALUE!</v>
      </c>
      <c r="GR236" t="e">
        <f>'All regions'!2790:2790-"n/&gt;!._T"</f>
        <v>#VALUE!</v>
      </c>
      <c r="GS236" t="e">
        <f>'All regions'!2791:2791-"n/&gt;!._U"</f>
        <v>#VALUE!</v>
      </c>
      <c r="GT236" t="e">
        <f>'All regions'!2792:2792-"n/&gt;!._V"</f>
        <v>#VALUE!</v>
      </c>
      <c r="GU236" t="e">
        <f>'All regions'!2793:2793-"n/&gt;!._W"</f>
        <v>#VALUE!</v>
      </c>
      <c r="GV236" t="e">
        <f>'All regions'!2794:2794-"n/&gt;!._X"</f>
        <v>#VALUE!</v>
      </c>
      <c r="GW236" t="e">
        <f>'All regions'!2795:2795-"n/&gt;!._Y"</f>
        <v>#VALUE!</v>
      </c>
      <c r="GX236" t="e">
        <f>'All regions'!2796:2796-"n/&gt;!._Z"</f>
        <v>#VALUE!</v>
      </c>
      <c r="GY236" t="e">
        <f>'All regions'!2797:2797-"n/&gt;!._["</f>
        <v>#VALUE!</v>
      </c>
      <c r="GZ236" t="e">
        <f>'All regions'!2798:2798-"n/&gt;!._\"</f>
        <v>#VALUE!</v>
      </c>
      <c r="HA236" t="e">
        <f>'All regions'!2799:2799-"n/&gt;!._]"</f>
        <v>#VALUE!</v>
      </c>
      <c r="HB236" t="e">
        <f>'All regions'!2800:2800-"n/&gt;!._^"</f>
        <v>#VALUE!</v>
      </c>
      <c r="HC236" t="e">
        <f>'All regions'!2801:2801-"n/&gt;!.__"</f>
        <v>#VALUE!</v>
      </c>
      <c r="HD236" t="e">
        <f>'All regions'!2802:2802-"n/&gt;!._`"</f>
        <v>#VALUE!</v>
      </c>
      <c r="HE236" t="e">
        <f>'All regions'!2803:2803-"n/&gt;!._a"</f>
        <v>#VALUE!</v>
      </c>
      <c r="HF236" t="e">
        <f>'All regions'!2804:2804-"n/&gt;!._b"</f>
        <v>#VALUE!</v>
      </c>
      <c r="HG236" t="e">
        <f>'All regions'!2805:2805-"n/&gt;!._c"</f>
        <v>#VALUE!</v>
      </c>
      <c r="HH236" t="e">
        <f>'All regions'!2806:2806-"n/&gt;!._d"</f>
        <v>#VALUE!</v>
      </c>
      <c r="HI236" t="e">
        <f>'All regions'!2807:2807-"n/&gt;!._e"</f>
        <v>#VALUE!</v>
      </c>
      <c r="HJ236" t="e">
        <f>'All regions'!2808:2808-"n/&gt;!._f"</f>
        <v>#VALUE!</v>
      </c>
      <c r="HK236" t="e">
        <f>'All regions'!2809:2809-"n/&gt;!._g"</f>
        <v>#VALUE!</v>
      </c>
      <c r="HL236" t="e">
        <f>'All regions'!2810:2810-"n/&gt;!._h"</f>
        <v>#VALUE!</v>
      </c>
      <c r="HM236" t="e">
        <f>'All regions'!2811:2811-"n/&gt;!._i"</f>
        <v>#VALUE!</v>
      </c>
      <c r="HN236" t="e">
        <f>'All regions'!2812:2812-"n/&gt;!._j"</f>
        <v>#VALUE!</v>
      </c>
      <c r="HO236" t="e">
        <f>'All regions'!2813:2813-"n/&gt;!._k"</f>
        <v>#VALUE!</v>
      </c>
      <c r="HP236" t="e">
        <f>'All regions'!2814:2814-"n/&gt;!._l"</f>
        <v>#VALUE!</v>
      </c>
      <c r="HQ236" t="e">
        <f>'All regions'!2815:2815-"n/&gt;!._m"</f>
        <v>#VALUE!</v>
      </c>
      <c r="HR236" t="e">
        <f>'All regions'!2816:2816-"n/&gt;!._n"</f>
        <v>#VALUE!</v>
      </c>
      <c r="HS236" t="e">
        <f>'All regions'!2817:2817-"n/&gt;!._o"</f>
        <v>#VALUE!</v>
      </c>
      <c r="HT236" t="e">
        <f>'All regions'!2818:2818-"n/&gt;!._p"</f>
        <v>#VALUE!</v>
      </c>
      <c r="HU236" t="e">
        <f>'All regions'!2819:2819-"n/&gt;!._q"</f>
        <v>#VALUE!</v>
      </c>
      <c r="HV236" t="e">
        <f>'All regions'!2820:2820-"n/&gt;!._r"</f>
        <v>#VALUE!</v>
      </c>
      <c r="HW236" t="e">
        <f>'All regions'!2821:2821-"n/&gt;!._s"</f>
        <v>#VALUE!</v>
      </c>
      <c r="HX236" t="e">
        <f>'All regions'!2822:2822-"n/&gt;!._t"</f>
        <v>#VALUE!</v>
      </c>
      <c r="HY236" t="e">
        <f>'All regions'!2823:2823-"n/&gt;!._u"</f>
        <v>#VALUE!</v>
      </c>
      <c r="HZ236" t="e">
        <f>'All regions'!2824:2824-"n/&gt;!._v"</f>
        <v>#VALUE!</v>
      </c>
      <c r="IA236" t="e">
        <f>'All regions'!2825:2825-"n/&gt;!._w"</f>
        <v>#VALUE!</v>
      </c>
      <c r="IB236" t="e">
        <f>'All regions'!2826:2826-"n/&gt;!._x"</f>
        <v>#VALUE!</v>
      </c>
      <c r="IC236" t="e">
        <f>'All regions'!2827:2827-"n/&gt;!._y"</f>
        <v>#VALUE!</v>
      </c>
      <c r="ID236" t="e">
        <f>'All regions'!2828:2828-"n/&gt;!._z"</f>
        <v>#VALUE!</v>
      </c>
      <c r="IE236" t="e">
        <f>'All regions'!2829:2829-"n/&gt;!._{"</f>
        <v>#VALUE!</v>
      </c>
      <c r="IF236" t="e">
        <f>'All regions'!2830:2830-"n/&gt;!._|"</f>
        <v>#VALUE!</v>
      </c>
      <c r="IG236" t="e">
        <f>'All regions'!2831:2831-"n/&gt;!._}"</f>
        <v>#VALUE!</v>
      </c>
      <c r="IH236" t="e">
        <f>'All regions'!2832:2832-"n/&gt;!._~"</f>
        <v>#VALUE!</v>
      </c>
      <c r="II236" t="e">
        <f>'All regions'!2833:2833-"n/&gt;!.`#"</f>
        <v>#VALUE!</v>
      </c>
      <c r="IJ236" t="e">
        <f>'All regions'!2834:2834-"n/&gt;!.`$"</f>
        <v>#VALUE!</v>
      </c>
      <c r="IK236" t="e">
        <f>'All regions'!2835:2835-"n/&gt;!.`%"</f>
        <v>#VALUE!</v>
      </c>
      <c r="IL236" t="e">
        <f>'All regions'!2836:2836-"n/&gt;!.`&amp;"</f>
        <v>#VALUE!</v>
      </c>
      <c r="IM236" t="e">
        <f>'All regions'!2837:2837-"n/&gt;!.`'"</f>
        <v>#VALUE!</v>
      </c>
      <c r="IN236" t="e">
        <f>'All regions'!2838:2838-"n/&gt;!.`("</f>
        <v>#VALUE!</v>
      </c>
      <c r="IO236" t="e">
        <f>'All regions'!2839:2839-"n/&gt;!.`)"</f>
        <v>#VALUE!</v>
      </c>
      <c r="IP236" t="e">
        <f>'All regions'!2840:2840-"n/&gt;!.`."</f>
        <v>#VALUE!</v>
      </c>
      <c r="IQ236" t="e">
        <f>'All regions'!2841:2841-"n/&gt;!.`/"</f>
        <v>#VALUE!</v>
      </c>
      <c r="IR236" t="e">
        <f>'All regions'!2842:2842-"n/&gt;!.`0"</f>
        <v>#VALUE!</v>
      </c>
      <c r="IS236" t="e">
        <f>'All regions'!2843:2843-"n/&gt;!.`1"</f>
        <v>#VALUE!</v>
      </c>
      <c r="IT236" t="e">
        <f>'All regions'!2844:2844-"n/&gt;!.`2"</f>
        <v>#VALUE!</v>
      </c>
      <c r="IU236" t="e">
        <f>'All regions'!2845:2845-"n/&gt;!.`3"</f>
        <v>#VALUE!</v>
      </c>
      <c r="IV236" t="e">
        <f>'All regions'!2846:2846-"n/&gt;!.`4"</f>
        <v>#VALUE!</v>
      </c>
    </row>
    <row r="237" spans="6:256" x14ac:dyDescent="0.35">
      <c r="F237" t="e">
        <f>'All regions'!2847:2847-"n/&gt;!.`5"</f>
        <v>#VALUE!</v>
      </c>
      <c r="G237" t="e">
        <f>'All regions'!2848:2848-"n/&gt;!.`6"</f>
        <v>#VALUE!</v>
      </c>
      <c r="H237" t="e">
        <f>'All regions'!2849:2849-"n/&gt;!.`7"</f>
        <v>#VALUE!</v>
      </c>
      <c r="I237" t="e">
        <f>'All regions'!2850:2850-"n/&gt;!.`8"</f>
        <v>#VALUE!</v>
      </c>
      <c r="J237" t="e">
        <f>'All regions'!2851:2851-"n/&gt;!.`9"</f>
        <v>#VALUE!</v>
      </c>
      <c r="K237" t="e">
        <f>'All regions'!2852:2852-"n/&gt;!.`:"</f>
        <v>#VALUE!</v>
      </c>
      <c r="L237" t="e">
        <f>'All regions'!2853:2853-"n/&gt;!.`;"</f>
        <v>#VALUE!</v>
      </c>
      <c r="M237" t="e">
        <f>'All regions'!2854:2854-"n/&gt;!.`&lt;"</f>
        <v>#VALUE!</v>
      </c>
      <c r="N237" t="e">
        <f>'All regions'!2855:2855-"n/&gt;!.`="</f>
        <v>#VALUE!</v>
      </c>
      <c r="O237" t="e">
        <f>'All regions'!2856:2856-"n/&gt;!.`&gt;"</f>
        <v>#VALUE!</v>
      </c>
      <c r="P237" t="e">
        <f>'All regions'!2857:2857-"n/&gt;!.`?"</f>
        <v>#VALUE!</v>
      </c>
      <c r="Q237" t="e">
        <f>'All regions'!2858:2858-"n/&gt;!.`@"</f>
        <v>#VALUE!</v>
      </c>
      <c r="R237" t="e">
        <f>'All regions'!2859:2859-"n/&gt;!.`A"</f>
        <v>#VALUE!</v>
      </c>
      <c r="S237" t="e">
        <f>'All regions'!2860:2860-"n/&gt;!.`B"</f>
        <v>#VALUE!</v>
      </c>
      <c r="T237" t="e">
        <f>'All regions'!2861:2861-"n/&gt;!.`C"</f>
        <v>#VALUE!</v>
      </c>
      <c r="U237" t="e">
        <f>'All regions'!2862:2862-"n/&gt;!.`D"</f>
        <v>#VALUE!</v>
      </c>
      <c r="V237" t="e">
        <f>'All regions'!2863:2863-"n/&gt;!.`E"</f>
        <v>#VALUE!</v>
      </c>
      <c r="W237" t="e">
        <f>'All regions'!2864:2864-"n/&gt;!.`F"</f>
        <v>#VALUE!</v>
      </c>
      <c r="X237" t="e">
        <f>'All regions'!2865:2865-"n/&gt;!.`G"</f>
        <v>#VALUE!</v>
      </c>
      <c r="Y237" t="e">
        <f>'All regions'!2866:2866-"n/&gt;!.`H"</f>
        <v>#VALUE!</v>
      </c>
      <c r="Z237" t="e">
        <f>'All regions'!2867:2867-"n/&gt;!.`I"</f>
        <v>#VALUE!</v>
      </c>
      <c r="AA237" t="e">
        <f>'All regions'!2868:2868-"n/&gt;!.`J"</f>
        <v>#VALUE!</v>
      </c>
      <c r="AB237" t="e">
        <f>'All regions'!2869:2869-"n/&gt;!.`K"</f>
        <v>#VALUE!</v>
      </c>
      <c r="AC237" t="e">
        <f>'All regions'!2870:2870-"n/&gt;!.`L"</f>
        <v>#VALUE!</v>
      </c>
      <c r="AD237" t="e">
        <f>'All regions'!2871:2871-"n/&gt;!.`M"</f>
        <v>#VALUE!</v>
      </c>
      <c r="AE237" t="e">
        <f>'All regions'!2872:2872-"n/&gt;!.`N"</f>
        <v>#VALUE!</v>
      </c>
      <c r="AF237" t="e">
        <f>'All regions'!2873:2873-"n/&gt;!.`O"</f>
        <v>#VALUE!</v>
      </c>
      <c r="AG237" t="e">
        <f>'All regions'!2874:2874-"n/&gt;!.`P"</f>
        <v>#VALUE!</v>
      </c>
      <c r="AH237" t="e">
        <f>'All regions'!2875:2875-"n/&gt;!.`Q"</f>
        <v>#VALUE!</v>
      </c>
      <c r="AI237" t="e">
        <f>'All regions'!2876:2876-"n/&gt;!.`R"</f>
        <v>#VALUE!</v>
      </c>
      <c r="AJ237" t="e">
        <f>'All regions'!2877:2877-"n/&gt;!.`S"</f>
        <v>#VALUE!</v>
      </c>
      <c r="AK237" t="e">
        <f>'All regions'!2878:2878-"n/&gt;!.`T"</f>
        <v>#VALUE!</v>
      </c>
      <c r="AL237" t="e">
        <f>'All regions'!2879:2879-"n/&gt;!.`U"</f>
        <v>#VALUE!</v>
      </c>
      <c r="AM237" t="e">
        <f>'All regions'!2880:2880-"n/&gt;!.`V"</f>
        <v>#VALUE!</v>
      </c>
      <c r="AN237" t="e">
        <f>'All regions'!2881:2881-"n/&gt;!.`W"</f>
        <v>#VALUE!</v>
      </c>
      <c r="AO237" t="e">
        <f>'All regions'!2882:2882-"n/&gt;!.`X"</f>
        <v>#VALUE!</v>
      </c>
      <c r="AP237" t="e">
        <f>'All regions'!2883:2883-"n/&gt;!.`Y"</f>
        <v>#VALUE!</v>
      </c>
      <c r="AQ237" t="e">
        <f>'All regions'!2884:2884-"n/&gt;!.`Z"</f>
        <v>#VALUE!</v>
      </c>
      <c r="AR237" t="e">
        <f>'All regions'!2885:2885-"n/&gt;!.`["</f>
        <v>#VALUE!</v>
      </c>
      <c r="AS237" t="e">
        <f>'All regions'!2886:2886-"n/&gt;!.`\"</f>
        <v>#VALUE!</v>
      </c>
      <c r="AT237" t="e">
        <f>'All regions'!2887:2887-"n/&gt;!.`]"</f>
        <v>#VALUE!</v>
      </c>
      <c r="AU237" t="e">
        <f>'All regions'!2888:2888-"n/&gt;!.`^"</f>
        <v>#VALUE!</v>
      </c>
      <c r="AV237" t="e">
        <f>'All regions'!2889:2889-"n/&gt;!.`_"</f>
        <v>#VALUE!</v>
      </c>
      <c r="AW237" t="e">
        <f>'All regions'!2890:2890-"n/&gt;!.``"</f>
        <v>#VALUE!</v>
      </c>
      <c r="AX237" t="e">
        <f>'All regions'!2891:2891-"n/&gt;!.`a"</f>
        <v>#VALUE!</v>
      </c>
      <c r="AY237" t="e">
        <f>'All regions'!2892:2892-"n/&gt;!.`b"</f>
        <v>#VALUE!</v>
      </c>
      <c r="AZ237" t="e">
        <f>'All regions'!2893:2893-"n/&gt;!.`c"</f>
        <v>#VALUE!</v>
      </c>
      <c r="BA237" t="e">
        <f>'All regions'!2894:2894-"n/&gt;!.`d"</f>
        <v>#VALUE!</v>
      </c>
      <c r="BB237" t="e">
        <f>'All regions'!2895:2895-"n/&gt;!.`e"</f>
        <v>#VALUE!</v>
      </c>
      <c r="BC237" t="e">
        <f>'All regions'!2896:2896-"n/&gt;!.`f"</f>
        <v>#VALUE!</v>
      </c>
      <c r="BD237" t="e">
        <f>'All regions'!2897:2897-"n/&gt;!.`g"</f>
        <v>#VALUE!</v>
      </c>
      <c r="BE237" t="e">
        <f>'All regions'!2898:2898-"n/&gt;!.`h"</f>
        <v>#VALUE!</v>
      </c>
      <c r="BF237" t="e">
        <f>'All regions'!2899:2899-"n/&gt;!.`i"</f>
        <v>#VALUE!</v>
      </c>
      <c r="BG237" t="e">
        <f>'All regions'!2900:2900-"n/&gt;!.`j"</f>
        <v>#VALUE!</v>
      </c>
      <c r="BH237" t="e">
        <f>'All regions'!2901:2901-"n/&gt;!.`k"</f>
        <v>#VALUE!</v>
      </c>
      <c r="BI237" t="e">
        <f>'All regions'!2902:2902-"n/&gt;!.`l"</f>
        <v>#VALUE!</v>
      </c>
      <c r="BJ237" t="e">
        <f>'All regions'!2903:2903-"n/&gt;!.`m"</f>
        <v>#VALUE!</v>
      </c>
      <c r="BK237" t="e">
        <f>'All regions'!2904:2904-"n/&gt;!.`n"</f>
        <v>#VALUE!</v>
      </c>
      <c r="BL237" t="e">
        <f>'All regions'!2905:2905-"n/&gt;!.`o"</f>
        <v>#VALUE!</v>
      </c>
      <c r="BM237" t="e">
        <f>'All regions'!2906:2906-"n/&gt;!.`p"</f>
        <v>#VALUE!</v>
      </c>
      <c r="BN237" t="e">
        <f>'All regions'!2907:2907-"n/&gt;!.`q"</f>
        <v>#VALUE!</v>
      </c>
      <c r="BO237" t="e">
        <f>'All regions'!2908:2908-"n/&gt;!.`r"</f>
        <v>#VALUE!</v>
      </c>
      <c r="BP237" t="e">
        <f>'All regions'!2909:2909-"n/&gt;!.`s"</f>
        <v>#VALUE!</v>
      </c>
      <c r="BQ237" t="e">
        <f>'All regions'!2910:2910-"n/&gt;!.`t"</f>
        <v>#VALUE!</v>
      </c>
      <c r="BR237" t="e">
        <f>'All regions'!2911:2911-"n/&gt;!.`u"</f>
        <v>#VALUE!</v>
      </c>
      <c r="BS237" t="e">
        <f>'All regions'!2912:2912-"n/&gt;!.`v"</f>
        <v>#VALUE!</v>
      </c>
      <c r="BT237" t="e">
        <f>'All regions'!2913:2913-"n/&gt;!.`w"</f>
        <v>#VALUE!</v>
      </c>
      <c r="BU237" t="e">
        <f>'All regions'!2914:2914-"n/&gt;!.`x"</f>
        <v>#VALUE!</v>
      </c>
      <c r="BV237" t="e">
        <f>'All regions'!2915:2915-"n/&gt;!.`y"</f>
        <v>#VALUE!</v>
      </c>
      <c r="BW237" t="e">
        <f>'All regions'!2916:2916-"n/&gt;!.`z"</f>
        <v>#VALUE!</v>
      </c>
      <c r="BX237" t="e">
        <f>'All regions'!2917:2917-"n/&gt;!.`{"</f>
        <v>#VALUE!</v>
      </c>
      <c r="BY237" t="e">
        <f>'All regions'!2918:2918-"n/&gt;!.`|"</f>
        <v>#VALUE!</v>
      </c>
      <c r="BZ237" t="e">
        <f>'All regions'!2919:2919-"n/&gt;!.`}"</f>
        <v>#VALUE!</v>
      </c>
      <c r="CA237" t="e">
        <f>'All regions'!2920:2920-"n/&gt;!.`~"</f>
        <v>#VALUE!</v>
      </c>
      <c r="CB237" t="e">
        <f>'All regions'!2921:2921-"n/&gt;!.a#"</f>
        <v>#VALUE!</v>
      </c>
      <c r="CC237" t="e">
        <f>'All regions'!2922:2922-"n/&gt;!.a$"</f>
        <v>#VALUE!</v>
      </c>
      <c r="CD237" t="e">
        <f>'All regions'!2923:2923-"n/&gt;!.a%"</f>
        <v>#VALUE!</v>
      </c>
      <c r="CE237" t="e">
        <f>'All regions'!2924:2924-"n/&gt;!.a&amp;"</f>
        <v>#VALUE!</v>
      </c>
      <c r="CF237" t="e">
        <f>'All regions'!2925:2925-"n/&gt;!.a'"</f>
        <v>#VALUE!</v>
      </c>
      <c r="CG237" t="e">
        <f>'All regions'!2926:2926-"n/&gt;!.a("</f>
        <v>#VALUE!</v>
      </c>
      <c r="CH237" t="e">
        <f>'All regions'!2927:2927-"n/&gt;!.a)"</f>
        <v>#VALUE!</v>
      </c>
      <c r="CI237" t="e">
        <f>'All regions'!2928:2928-"n/&gt;!.a."</f>
        <v>#VALUE!</v>
      </c>
      <c r="CJ237" t="e">
        <f>'All regions'!2929:2929-"n/&gt;!.a/"</f>
        <v>#VALUE!</v>
      </c>
      <c r="CK237" t="e">
        <f>'All regions'!2930:2930-"n/&gt;!.a0"</f>
        <v>#VALUE!</v>
      </c>
      <c r="CL237" t="e">
        <f>'All regions'!2931:2931-"n/&gt;!.a1"</f>
        <v>#VALUE!</v>
      </c>
      <c r="CM237" t="e">
        <f>'All regions'!2932:2932-"n/&gt;!.a2"</f>
        <v>#VALUE!</v>
      </c>
      <c r="CN237" t="e">
        <f>'All regions'!2933:2933-"n/&gt;!.a3"</f>
        <v>#VALUE!</v>
      </c>
      <c r="CO237" t="e">
        <f>'All regions'!2934:2934-"n/&gt;!.a4"</f>
        <v>#VALUE!</v>
      </c>
      <c r="CP237" t="e">
        <f>'All regions'!2935:2935-"n/&gt;!.a5"</f>
        <v>#VALUE!</v>
      </c>
      <c r="CQ237" t="e">
        <f>'All regions'!2936:2936-"n/&gt;!.a6"</f>
        <v>#VALUE!</v>
      </c>
      <c r="CR237" t="e">
        <f>'All regions'!2937:2937-"n/&gt;!.a7"</f>
        <v>#VALUE!</v>
      </c>
      <c r="CS237" t="e">
        <f>'All regions'!2938:2938-"n/&gt;!.a8"</f>
        <v>#VALUE!</v>
      </c>
      <c r="CT237" t="e">
        <f>'All regions'!2939:2939-"n/&gt;!.a9"</f>
        <v>#VALUE!</v>
      </c>
      <c r="CU237" t="e">
        <f>'All regions'!2940:2940-"n/&gt;!.a:"</f>
        <v>#VALUE!</v>
      </c>
      <c r="CV237" t="e">
        <f>'All regions'!2941:2941-"n/&gt;!.a;"</f>
        <v>#VALUE!</v>
      </c>
      <c r="CW237" t="e">
        <f>'All regions'!2942:2942-"n/&gt;!.a&lt;"</f>
        <v>#VALUE!</v>
      </c>
      <c r="CX237" t="e">
        <f>'All regions'!2943:2943-"n/&gt;!.a="</f>
        <v>#VALUE!</v>
      </c>
      <c r="CY237" t="e">
        <f>'All regions'!2944:2944-"n/&gt;!.a&gt;"</f>
        <v>#VALUE!</v>
      </c>
      <c r="CZ237" t="e">
        <f>'All regions'!2945:2945-"n/&gt;!.a?"</f>
        <v>#VALUE!</v>
      </c>
      <c r="DA237" t="e">
        <f>'All regions'!2946:2946-"n/&gt;!.a@"</f>
        <v>#VALUE!</v>
      </c>
      <c r="DB237" t="e">
        <f>'All regions'!2947:2947-"n/&gt;!.aA"</f>
        <v>#VALUE!</v>
      </c>
      <c r="DC237" t="e">
        <f>'All regions'!2948:2948-"n/&gt;!.aB"</f>
        <v>#VALUE!</v>
      </c>
      <c r="DD237" t="e">
        <f>'All regions'!2949:2949-"n/&gt;!.aC"</f>
        <v>#VALUE!</v>
      </c>
      <c r="DE237" t="e">
        <f>'All regions'!2950:2950-"n/&gt;!.aD"</f>
        <v>#VALUE!</v>
      </c>
      <c r="DF237" t="e">
        <f>'All regions'!2951:2951-"n/&gt;!.aE"</f>
        <v>#VALUE!</v>
      </c>
      <c r="DG237" t="e">
        <f>'All regions'!2952:2952-"n/&gt;!.aF"</f>
        <v>#VALUE!</v>
      </c>
      <c r="DH237" t="e">
        <f>'All regions'!2953:2953-"n/&gt;!.aG"</f>
        <v>#VALUE!</v>
      </c>
      <c r="DI237" t="e">
        <f>'All regions'!2954:2954-"n/&gt;!.aH"</f>
        <v>#VALUE!</v>
      </c>
      <c r="DJ237" t="e">
        <f>'All regions'!2955:2955-"n/&gt;!.aI"</f>
        <v>#VALUE!</v>
      </c>
      <c r="DK237" t="e">
        <f>'All regions'!2956:2956-"n/&gt;!.aJ"</f>
        <v>#VALUE!</v>
      </c>
      <c r="DL237" t="e">
        <f>'All regions'!2957:2957-"n/&gt;!.aK"</f>
        <v>#VALUE!</v>
      </c>
      <c r="DM237" t="e">
        <f>'All regions'!2958:2958-"n/&gt;!.aL"</f>
        <v>#VALUE!</v>
      </c>
      <c r="DN237" t="e">
        <f>'All regions'!2959:2959-"n/&gt;!.aM"</f>
        <v>#VALUE!</v>
      </c>
      <c r="DO237" t="e">
        <f>'All regions'!2960:2960-"n/&gt;!.aN"</f>
        <v>#VALUE!</v>
      </c>
      <c r="DP237" t="e">
        <f>'All regions'!2961:2961-"n/&gt;!.aO"</f>
        <v>#VALUE!</v>
      </c>
      <c r="DQ237" t="e">
        <f>'All regions'!2962:2962-"n/&gt;!.aP"</f>
        <v>#VALUE!</v>
      </c>
      <c r="DR237" t="e">
        <f>'All regions'!2963:2963-"n/&gt;!.aQ"</f>
        <v>#VALUE!</v>
      </c>
      <c r="DS237" t="e">
        <f>'All regions'!2964:2964-"n/&gt;!.aR"</f>
        <v>#VALUE!</v>
      </c>
      <c r="DT237" t="e">
        <f>'All regions'!2965:2965-"n/&gt;!.aS"</f>
        <v>#VALUE!</v>
      </c>
      <c r="DU237" t="e">
        <f>'All regions'!2966:2966-"n/&gt;!.aT"</f>
        <v>#VALUE!</v>
      </c>
      <c r="DV237" t="e">
        <f>'All regions'!2967:2967-"n/&gt;!.aU"</f>
        <v>#VALUE!</v>
      </c>
      <c r="DW237" t="e">
        <f>'All regions'!2968:2968-"n/&gt;!.aV"</f>
        <v>#VALUE!</v>
      </c>
      <c r="DX237" t="e">
        <f>'All regions'!2969:2969-"n/&gt;!.aW"</f>
        <v>#VALUE!</v>
      </c>
      <c r="DY237" t="e">
        <f>'All regions'!2970:2970-"n/&gt;!.aX"</f>
        <v>#VALUE!</v>
      </c>
      <c r="DZ237" t="e">
        <f>'All regions'!2971:2971-"n/&gt;!.aY"</f>
        <v>#VALUE!</v>
      </c>
      <c r="EA237" t="e">
        <f>'All regions'!2972:2972-"n/&gt;!.aZ"</f>
        <v>#VALUE!</v>
      </c>
      <c r="EB237" t="e">
        <f>'All regions'!2973:2973-"n/&gt;!.a["</f>
        <v>#VALUE!</v>
      </c>
      <c r="EC237" t="e">
        <f>'All regions'!2974:2974-"n/&gt;!.a\"</f>
        <v>#VALUE!</v>
      </c>
      <c r="ED237" t="e">
        <f>'All regions'!2975:2975-"n/&gt;!.a]"</f>
        <v>#VALUE!</v>
      </c>
      <c r="EE237" t="e">
        <f>'All regions'!2976:2976-"n/&gt;!.a^"</f>
        <v>#VALUE!</v>
      </c>
      <c r="EF237" t="e">
        <f>'All regions'!2977:2977-"n/&gt;!.a_"</f>
        <v>#VALUE!</v>
      </c>
      <c r="EG237" t="e">
        <f>'All regions'!2978:2978-"n/&gt;!.a`"</f>
        <v>#VALUE!</v>
      </c>
      <c r="EH237" t="e">
        <f>'All regions'!2979:2979-"n/&gt;!.aa"</f>
        <v>#VALUE!</v>
      </c>
      <c r="EI237" t="e">
        <f>'All regions'!2980:2980-"n/&gt;!.ab"</f>
        <v>#VALUE!</v>
      </c>
      <c r="EJ237" t="e">
        <f>'All regions'!2981:2981-"n/&gt;!.ac"</f>
        <v>#VALUE!</v>
      </c>
      <c r="EK237" t="e">
        <f>'All regions'!2982:2982-"n/&gt;!.ad"</f>
        <v>#VALUE!</v>
      </c>
      <c r="EL237" t="e">
        <f>'All regions'!2983:2983-"n/&gt;!.ae"</f>
        <v>#VALUE!</v>
      </c>
      <c r="EM237" t="e">
        <f>'All regions'!2984:2984-"n/&gt;!.af"</f>
        <v>#VALUE!</v>
      </c>
      <c r="EN237" t="e">
        <f>'All regions'!2985:2985-"n/&gt;!.ag"</f>
        <v>#VALUE!</v>
      </c>
      <c r="EO237" t="e">
        <f>'All regions'!2986:2986-"n/&gt;!.ah"</f>
        <v>#VALUE!</v>
      </c>
      <c r="EP237" t="e">
        <f>'All regions'!2987:2987-"n/&gt;!.ai"</f>
        <v>#VALUE!</v>
      </c>
      <c r="EQ237" t="e">
        <f>'All regions'!2988:2988-"n/&gt;!.aj"</f>
        <v>#VALUE!</v>
      </c>
      <c r="ER237" t="e">
        <f>'All regions'!2989:2989-"n/&gt;!.ak"</f>
        <v>#VALUE!</v>
      </c>
      <c r="ES237" t="e">
        <f>'All regions'!2990:2990-"n/&gt;!.al"</f>
        <v>#VALUE!</v>
      </c>
      <c r="ET237" t="e">
        <f>'All regions'!2991:2991-"n/&gt;!.am"</f>
        <v>#VALUE!</v>
      </c>
      <c r="EU237" t="e">
        <f>'All regions'!2992:2992-"n/&gt;!.an"</f>
        <v>#VALUE!</v>
      </c>
      <c r="EV237" t="e">
        <f>'All regions'!2993:2993-"n/&gt;!.ao"</f>
        <v>#VALUE!</v>
      </c>
      <c r="EW237" t="e">
        <f>'All regions'!2994:2994-"n/&gt;!.ap"</f>
        <v>#VALUE!</v>
      </c>
      <c r="EX237" t="e">
        <f>'All regions'!2995:2995-"n/&gt;!.aq"</f>
        <v>#VALUE!</v>
      </c>
      <c r="EY237" t="e">
        <f>'All regions'!2996:2996-"n/&gt;!.ar"</f>
        <v>#VALUE!</v>
      </c>
      <c r="EZ237" t="e">
        <f>'All regions'!2997:2997-"n/&gt;!.as"</f>
        <v>#VALUE!</v>
      </c>
      <c r="FA237" t="e">
        <f>'All regions'!2998:2998-"n/&gt;!.at"</f>
        <v>#VALUE!</v>
      </c>
      <c r="FB237" t="e">
        <f>'All regions'!2999:2999-"n/&gt;!.au"</f>
        <v>#VALUE!</v>
      </c>
      <c r="FC237" t="e">
        <f>'All regions'!3000:3000-"n/&gt;!.av"</f>
        <v>#VALUE!</v>
      </c>
      <c r="FD237" t="e">
        <f>'All regions'!3001:3001-"n/&gt;!.aw"</f>
        <v>#VALUE!</v>
      </c>
      <c r="FE237" t="e">
        <f>'All regions'!3002:3002-"n/&gt;!.ax"</f>
        <v>#VALUE!</v>
      </c>
      <c r="FF237" t="e">
        <f>'All regions'!3003:3003-"n/&gt;!.ay"</f>
        <v>#VALUE!</v>
      </c>
      <c r="FG237" t="e">
        <f>'All regions'!3004:3004-"n/&gt;!.az"</f>
        <v>#VALUE!</v>
      </c>
      <c r="FH237" t="e">
        <f>'All regions'!3005:3005-"n/&gt;!.a{"</f>
        <v>#VALUE!</v>
      </c>
      <c r="FI237" t="e">
        <f>'All regions'!3006:3006-"n/&gt;!.a|"</f>
        <v>#VALUE!</v>
      </c>
      <c r="FJ237" t="e">
        <f>'All regions'!3007:3007-"n/&gt;!.a}"</f>
        <v>#VALUE!</v>
      </c>
      <c r="FK237" t="e">
        <f>'All regions'!3008:3008-"n/&gt;!.a~"</f>
        <v>#VALUE!</v>
      </c>
      <c r="FL237" t="e">
        <f>'All regions'!3009:3009-"n/&gt;!.b#"</f>
        <v>#VALUE!</v>
      </c>
      <c r="FM237" t="e">
        <f>'All regions'!3010:3010-"n/&gt;!.b$"</f>
        <v>#VALUE!</v>
      </c>
      <c r="FN237" t="e">
        <f>'All regions'!3011:3011-"n/&gt;!.b%"</f>
        <v>#VALUE!</v>
      </c>
      <c r="FO237" t="e">
        <f>'All regions'!3012:3012-"n/&gt;!.b&amp;"</f>
        <v>#VALUE!</v>
      </c>
      <c r="FP237" t="e">
        <f>'All regions'!3013:3013-"n/&gt;!.b'"</f>
        <v>#VALUE!</v>
      </c>
      <c r="FQ237" t="e">
        <f>'All regions'!3014:3014-"n/&gt;!.b("</f>
        <v>#VALUE!</v>
      </c>
      <c r="FR237" t="e">
        <f>'All regions'!3015:3015-"n/&gt;!.b)"</f>
        <v>#VALUE!</v>
      </c>
      <c r="FS237" t="e">
        <f>'All regions'!3016:3016-"n/&gt;!.b."</f>
        <v>#VALUE!</v>
      </c>
      <c r="FT237" t="e">
        <f>'All regions'!3017:3017-"n/&gt;!.b/"</f>
        <v>#VALUE!</v>
      </c>
      <c r="FU237" t="e">
        <f>'All regions'!3018:3018-"n/&gt;!.b0"</f>
        <v>#VALUE!</v>
      </c>
      <c r="FV237" t="e">
        <f>'All regions'!3019:3019-"n/&gt;!.b1"</f>
        <v>#VALUE!</v>
      </c>
      <c r="FW237" t="e">
        <f>'All regions'!3020:3020-"n/&gt;!.b2"</f>
        <v>#VALUE!</v>
      </c>
      <c r="FX237" t="e">
        <f>'All regions'!3021:3021-"n/&gt;!.b3"</f>
        <v>#VALUE!</v>
      </c>
      <c r="FY237" t="e">
        <f>'All regions'!3022:3022-"n/&gt;!.b4"</f>
        <v>#VALUE!</v>
      </c>
      <c r="FZ237" t="e">
        <f>'All regions'!3023:3023-"n/&gt;!.b5"</f>
        <v>#VALUE!</v>
      </c>
      <c r="GA237" t="e">
        <f>'All regions'!3024:3024-"n/&gt;!.b6"</f>
        <v>#VALUE!</v>
      </c>
      <c r="GB237" t="e">
        <f>'All regions'!3025:3025-"n/&gt;!.b7"</f>
        <v>#VALUE!</v>
      </c>
      <c r="GC237" t="e">
        <f>'All regions'!3026:3026-"n/&gt;!.b8"</f>
        <v>#VALUE!</v>
      </c>
      <c r="GD237" t="e">
        <f>'All regions'!3027:3027-"n/&gt;!.b9"</f>
        <v>#VALUE!</v>
      </c>
      <c r="GE237" t="e">
        <f>'All regions'!3028:3028-"n/&gt;!.b:"</f>
        <v>#VALUE!</v>
      </c>
      <c r="GF237" t="e">
        <f>'All regions'!3029:3029-"n/&gt;!.b;"</f>
        <v>#VALUE!</v>
      </c>
      <c r="GG237" t="e">
        <f>'All regions'!3030:3030-"n/&gt;!.b&lt;"</f>
        <v>#VALUE!</v>
      </c>
      <c r="GH237" t="e">
        <f>'All regions'!3031:3031-"n/&gt;!.b="</f>
        <v>#VALUE!</v>
      </c>
      <c r="GI237" t="e">
        <f>'All regions'!3032:3032-"n/&gt;!.b&gt;"</f>
        <v>#VALUE!</v>
      </c>
      <c r="GJ237" t="e">
        <f>'All regions'!3033:3033-"n/&gt;!.b?"</f>
        <v>#VALUE!</v>
      </c>
      <c r="GK237" t="e">
        <f>'All regions'!3034:3034-"n/&gt;!.b@"</f>
        <v>#VALUE!</v>
      </c>
      <c r="GL237" t="e">
        <f>'All regions'!3035:3035-"n/&gt;!.bA"</f>
        <v>#VALUE!</v>
      </c>
      <c r="GM237" t="e">
        <f>'All regions'!3036:3036-"n/&gt;!.bB"</f>
        <v>#VALUE!</v>
      </c>
      <c r="GN237" t="e">
        <f>'All regions'!3037:3037-"n/&gt;!.bC"</f>
        <v>#VALUE!</v>
      </c>
      <c r="GO237" t="e">
        <f>'All regions'!3038:3038-"n/&gt;!.bD"</f>
        <v>#VALUE!</v>
      </c>
      <c r="GP237" t="e">
        <f>'All regions'!3039:3039-"n/&gt;!.bE"</f>
        <v>#VALUE!</v>
      </c>
      <c r="GQ237" t="e">
        <f>'All regions'!3040:3040-"n/&gt;!.bF"</f>
        <v>#VALUE!</v>
      </c>
      <c r="GR237" t="e">
        <f>'All regions'!3041:3041-"n/&gt;!.bG"</f>
        <v>#VALUE!</v>
      </c>
      <c r="GS237" t="e">
        <f>'All regions'!3042:3042-"n/&gt;!.bH"</f>
        <v>#VALUE!</v>
      </c>
      <c r="GT237" t="e">
        <f>'All regions'!3043:3043-"n/&gt;!.bI"</f>
        <v>#VALUE!</v>
      </c>
      <c r="GU237" t="e">
        <f>'All regions'!3044:3044-"n/&gt;!.bJ"</f>
        <v>#VALUE!</v>
      </c>
      <c r="GV237" t="e">
        <f>'All regions'!3045:3045-"n/&gt;!.bK"</f>
        <v>#VALUE!</v>
      </c>
      <c r="GW237" t="e">
        <f>'All regions'!3046:3046-"n/&gt;!.bL"</f>
        <v>#VALUE!</v>
      </c>
      <c r="GX237" t="e">
        <f>'All regions'!3047:3047-"n/&gt;!.bM"</f>
        <v>#VALUE!</v>
      </c>
      <c r="GY237" t="e">
        <f>'All regions'!3048:3048-"n/&gt;!.bN"</f>
        <v>#VALUE!</v>
      </c>
      <c r="GZ237" t="e">
        <f>'All regions'!3049:3049-"n/&gt;!.bO"</f>
        <v>#VALUE!</v>
      </c>
      <c r="HA237" t="e">
        <f>'All regions'!3050:3050-"n/&gt;!.bP"</f>
        <v>#VALUE!</v>
      </c>
      <c r="HB237" t="e">
        <f>'All regions'!3051:3051-"n/&gt;!.bQ"</f>
        <v>#VALUE!</v>
      </c>
      <c r="HC237" t="e">
        <f>'All regions'!3052:3052-"n/&gt;!.bR"</f>
        <v>#VALUE!</v>
      </c>
      <c r="HD237" t="e">
        <f>'All regions'!3053:3053-"n/&gt;!.bS"</f>
        <v>#VALUE!</v>
      </c>
      <c r="HE237" t="e">
        <f>'All regions'!3054:3054-"n/&gt;!.bT"</f>
        <v>#VALUE!</v>
      </c>
      <c r="HF237" t="e">
        <f>'All regions'!3055:3055-"n/&gt;!.bU"</f>
        <v>#VALUE!</v>
      </c>
      <c r="HG237" t="e">
        <f>'All regions'!3056:3056-"n/&gt;!.bV"</f>
        <v>#VALUE!</v>
      </c>
      <c r="HH237" t="e">
        <f>'All regions'!3057:3057-"n/&gt;!.bW"</f>
        <v>#VALUE!</v>
      </c>
      <c r="HI237" t="e">
        <f>'All regions'!3058:3058-"n/&gt;!.bX"</f>
        <v>#VALUE!</v>
      </c>
      <c r="HJ237" t="e">
        <f>'All regions'!3059:3059-"n/&gt;!.bY"</f>
        <v>#VALUE!</v>
      </c>
      <c r="HK237" t="e">
        <f>'All regions'!3060:3060-"n/&gt;!.bZ"</f>
        <v>#VALUE!</v>
      </c>
      <c r="HL237" t="e">
        <f>'All regions'!3061:3061-"n/&gt;!.b["</f>
        <v>#VALUE!</v>
      </c>
      <c r="HM237" t="e">
        <f>'All regions'!3062:3062-"n/&gt;!.b\"</f>
        <v>#VALUE!</v>
      </c>
      <c r="HN237" t="e">
        <f>'All regions'!3063:3063-"n/&gt;!.b]"</f>
        <v>#VALUE!</v>
      </c>
      <c r="HO237" t="e">
        <f>'All regions'!3064:3064-"n/&gt;!.b^"</f>
        <v>#VALUE!</v>
      </c>
      <c r="HP237" t="e">
        <f>'All regions'!3065:3065-"n/&gt;!.b_"</f>
        <v>#VALUE!</v>
      </c>
      <c r="HQ237" t="e">
        <f>'All regions'!3066:3066-"n/&gt;!.b`"</f>
        <v>#VALUE!</v>
      </c>
      <c r="HR237" t="e">
        <f>'All regions'!3067:3067-"n/&gt;!.ba"</f>
        <v>#VALUE!</v>
      </c>
      <c r="HS237" t="e">
        <f>'All regions'!3068:3068-"n/&gt;!.bb"</f>
        <v>#VALUE!</v>
      </c>
      <c r="HT237" t="e">
        <f>'All regions'!3069:3069-"n/&gt;!.bc"</f>
        <v>#VALUE!</v>
      </c>
      <c r="HU237" t="e">
        <f>'All regions'!3070:3070-"n/&gt;!.bd"</f>
        <v>#VALUE!</v>
      </c>
      <c r="HV237" t="e">
        <f>'All regions'!3071:3071-"n/&gt;!.be"</f>
        <v>#VALUE!</v>
      </c>
      <c r="HW237" t="e">
        <f>'All regions'!3072:3072-"n/&gt;!.bf"</f>
        <v>#VALUE!</v>
      </c>
      <c r="HX237" t="e">
        <f>'All regions'!3073:3073-"n/&gt;!.bg"</f>
        <v>#VALUE!</v>
      </c>
      <c r="HY237" t="e">
        <f>'All regions'!3074:3074-"n/&gt;!.bh"</f>
        <v>#VALUE!</v>
      </c>
      <c r="HZ237" t="e">
        <f>'All regions'!3075:3075-"n/&gt;!.bi"</f>
        <v>#VALUE!</v>
      </c>
      <c r="IA237" t="e">
        <f>'All regions'!3076:3076-"n/&gt;!.bj"</f>
        <v>#VALUE!</v>
      </c>
      <c r="IB237" t="e">
        <f>'All regions'!3077:3077-"n/&gt;!.bk"</f>
        <v>#VALUE!</v>
      </c>
      <c r="IC237" t="e">
        <f>'All regions'!3078:3078-"n/&gt;!.bl"</f>
        <v>#VALUE!</v>
      </c>
      <c r="ID237" t="e">
        <f>'All regions'!3079:3079-"n/&gt;!.bm"</f>
        <v>#VALUE!</v>
      </c>
      <c r="IE237" t="e">
        <f>'All regions'!3080:3080-"n/&gt;!.bn"</f>
        <v>#VALUE!</v>
      </c>
      <c r="IF237" t="e">
        <f>'All regions'!3081:3081-"n/&gt;!.bo"</f>
        <v>#VALUE!</v>
      </c>
      <c r="IG237" t="e">
        <f>'All regions'!3082:3082-"n/&gt;!.bp"</f>
        <v>#VALUE!</v>
      </c>
      <c r="IH237" t="e">
        <f>'All regions'!3083:3083-"n/&gt;!.bq"</f>
        <v>#VALUE!</v>
      </c>
      <c r="II237" t="e">
        <f>'All regions'!3084:3084-"n/&gt;!.br"</f>
        <v>#VALUE!</v>
      </c>
      <c r="IJ237" t="e">
        <f>'All regions'!3085:3085-"n/&gt;!.bs"</f>
        <v>#VALUE!</v>
      </c>
      <c r="IK237" t="e">
        <f>'All regions'!3086:3086-"n/&gt;!.bt"</f>
        <v>#VALUE!</v>
      </c>
      <c r="IL237" t="e">
        <f>'All regions'!3087:3087-"n/&gt;!.bu"</f>
        <v>#VALUE!</v>
      </c>
      <c r="IM237" t="e">
        <f>'All regions'!3088:3088-"n/&gt;!.bv"</f>
        <v>#VALUE!</v>
      </c>
      <c r="IN237" t="e">
        <f>'All regions'!3089:3089-"n/&gt;!.bw"</f>
        <v>#VALUE!</v>
      </c>
      <c r="IO237" t="e">
        <f>'All regions'!3090:3090-"n/&gt;!.bx"</f>
        <v>#VALUE!</v>
      </c>
      <c r="IP237" t="e">
        <f>'All regions'!3091:3091-"n/&gt;!.by"</f>
        <v>#VALUE!</v>
      </c>
      <c r="IQ237" t="e">
        <f>'All regions'!3092:3092-"n/&gt;!.bz"</f>
        <v>#VALUE!</v>
      </c>
      <c r="IR237" t="e">
        <f>'All regions'!3093:3093-"n/&gt;!.b{"</f>
        <v>#VALUE!</v>
      </c>
      <c r="IS237" t="e">
        <f>'All regions'!3094:3094-"n/&gt;!.b|"</f>
        <v>#VALUE!</v>
      </c>
      <c r="IT237" t="e">
        <f>'All regions'!3095:3095-"n/&gt;!.b}"</f>
        <v>#VALUE!</v>
      </c>
      <c r="IU237" t="e">
        <f>'All regions'!3096:3096-"n/&gt;!.b~"</f>
        <v>#VALUE!</v>
      </c>
      <c r="IV237" t="e">
        <f>'All regions'!3097:3097-"n/&gt;!.c#"</f>
        <v>#VALUE!</v>
      </c>
    </row>
    <row r="238" spans="6:256" x14ac:dyDescent="0.35">
      <c r="F238" t="e">
        <f>'All regions'!3098:3098-"n/&gt;!.c$"</f>
        <v>#VALUE!</v>
      </c>
      <c r="G238" t="e">
        <f>'All regions'!3099:3099-"n/&gt;!.c%"</f>
        <v>#VALUE!</v>
      </c>
      <c r="H238" t="e">
        <f>'All regions'!3100:3100-"n/&gt;!.c&amp;"</f>
        <v>#VALUE!</v>
      </c>
      <c r="I238" t="e">
        <f>'All regions'!3101:3101-"n/&gt;!.c'"</f>
        <v>#VALUE!</v>
      </c>
      <c r="J238" t="e">
        <f>'All regions'!3102:3102-"n/&gt;!.c("</f>
        <v>#VALUE!</v>
      </c>
      <c r="K238" t="e">
        <f>'All regions'!3103:3103-"n/&gt;!.c)"</f>
        <v>#VALUE!</v>
      </c>
      <c r="L238" t="e">
        <f>'All regions'!3104:3104-"n/&gt;!.c."</f>
        <v>#VALUE!</v>
      </c>
      <c r="M238" t="e">
        <f>'All regions'!3105:3105-"n/&gt;!.c/"</f>
        <v>#VALUE!</v>
      </c>
      <c r="N238" t="e">
        <f>'All regions'!3106:3106-"n/&gt;!.c0"</f>
        <v>#VALUE!</v>
      </c>
      <c r="O238" t="e">
        <f>'All regions'!3107:3107-"n/&gt;!.c1"</f>
        <v>#VALUE!</v>
      </c>
      <c r="P238" t="e">
        <f>'All regions'!3108:3108-"n/&gt;!.c2"</f>
        <v>#VALUE!</v>
      </c>
      <c r="Q238" t="e">
        <f>'All regions'!3109:3109-"n/&gt;!.c3"</f>
        <v>#VALUE!</v>
      </c>
      <c r="R238" t="e">
        <f>'All regions'!3110:3110-"n/&gt;!.c4"</f>
        <v>#VALUE!</v>
      </c>
      <c r="S238" t="e">
        <f>'All regions'!3111:3111-"n/&gt;!.c5"</f>
        <v>#VALUE!</v>
      </c>
      <c r="T238" t="e">
        <f>'All regions'!3112:3112-"n/&gt;!.c6"</f>
        <v>#VALUE!</v>
      </c>
      <c r="U238" t="e">
        <f>'All regions'!3113:3113-"n/&gt;!.c7"</f>
        <v>#VALUE!</v>
      </c>
      <c r="V238" t="e">
        <f>'All regions'!3114:3114-"n/&gt;!.c8"</f>
        <v>#VALUE!</v>
      </c>
      <c r="W238" t="e">
        <f>'All regions'!3115:3115-"n/&gt;!.c9"</f>
        <v>#VALUE!</v>
      </c>
      <c r="X238" t="e">
        <f>'All regions'!3116:3116-"n/&gt;!.c:"</f>
        <v>#VALUE!</v>
      </c>
      <c r="Y238" t="e">
        <f>'All regions'!3117:3117-"n/&gt;!.c;"</f>
        <v>#VALUE!</v>
      </c>
      <c r="Z238" t="e">
        <f>'All regions'!3118:3118-"n/&gt;!.c&lt;"</f>
        <v>#VALUE!</v>
      </c>
      <c r="AA238" t="e">
        <f>'All regions'!3119:3119-"n/&gt;!.c="</f>
        <v>#VALUE!</v>
      </c>
      <c r="AB238" t="e">
        <f>'All regions'!3120:3120-"n/&gt;!.c&gt;"</f>
        <v>#VALUE!</v>
      </c>
      <c r="AC238" t="e">
        <f>'All regions'!3121:3121-"n/&gt;!.c?"</f>
        <v>#VALUE!</v>
      </c>
      <c r="AD238" t="e">
        <f>'All regions'!3122:3122-"n/&gt;!.c@"</f>
        <v>#VALUE!</v>
      </c>
      <c r="AE238" t="e">
        <f>'All regions'!3123:3123-"n/&gt;!.cA"</f>
        <v>#VALUE!</v>
      </c>
      <c r="AF238" t="e">
        <f>'All regions'!3124:3124-"n/&gt;!.cB"</f>
        <v>#VALUE!</v>
      </c>
      <c r="AG238" t="e">
        <f>'All regions'!3125:3125-"n/&gt;!.cC"</f>
        <v>#VALUE!</v>
      </c>
      <c r="AH238" t="e">
        <f>'All regions'!3126:3126-"n/&gt;!.cD"</f>
        <v>#VALUE!</v>
      </c>
      <c r="AI238" t="e">
        <f>'All regions'!3127:3127-"n/&gt;!.cE"</f>
        <v>#VALUE!</v>
      </c>
      <c r="AJ238" t="e">
        <f>'All regions'!3128:3128-"n/&gt;!.cF"</f>
        <v>#VALUE!</v>
      </c>
      <c r="AK238" t="e">
        <f>'All regions'!3129:3129-"n/&gt;!.cG"</f>
        <v>#VALUE!</v>
      </c>
      <c r="AL238" t="e">
        <f>'All regions'!3130:3130-"n/&gt;!.cH"</f>
        <v>#VALUE!</v>
      </c>
      <c r="AM238" t="e">
        <f>'All regions'!3131:3131-"n/&gt;!.cI"</f>
        <v>#VALUE!</v>
      </c>
      <c r="AN238" t="e">
        <f>'All regions'!3132:3132-"n/&gt;!.cJ"</f>
        <v>#VALUE!</v>
      </c>
      <c r="AO238" t="e">
        <f>'All regions'!3133:3133-"n/&gt;!.cK"</f>
        <v>#VALUE!</v>
      </c>
      <c r="AP238" t="e">
        <f>'All regions'!3134:3134-"n/&gt;!.cL"</f>
        <v>#VALUE!</v>
      </c>
      <c r="AQ238" t="e">
        <f>'All regions'!3135:3135-"n/&gt;!.cM"</f>
        <v>#VALUE!</v>
      </c>
      <c r="AR238" t="e">
        <f>'All regions'!3136:3136-"n/&gt;!.cN"</f>
        <v>#VALUE!</v>
      </c>
      <c r="AS238" t="e">
        <f>'All regions'!3137:3137-"n/&gt;!.cO"</f>
        <v>#VALUE!</v>
      </c>
      <c r="AT238" t="e">
        <f>'All regions'!3138:3138-"n/&gt;!.cP"</f>
        <v>#VALUE!</v>
      </c>
      <c r="AU238" t="e">
        <f>'All regions'!3139:3139-"n/&gt;!.cQ"</f>
        <v>#VALUE!</v>
      </c>
      <c r="AV238" t="e">
        <f>'All regions'!3140:3140-"n/&gt;!.cR"</f>
        <v>#VALUE!</v>
      </c>
      <c r="AW238" t="e">
        <f>'All regions'!3141:3141-"n/&gt;!.cS"</f>
        <v>#VALUE!</v>
      </c>
      <c r="AX238" t="e">
        <f>'All regions'!3142:3142-"n/&gt;!.cT"</f>
        <v>#VALUE!</v>
      </c>
      <c r="AY238" t="e">
        <f>'All regions'!3143:3143-"n/&gt;!.cU"</f>
        <v>#VALUE!</v>
      </c>
      <c r="AZ238" t="e">
        <f>'All regions'!3144:3144-"n/&gt;!.cV"</f>
        <v>#VALUE!</v>
      </c>
      <c r="BA238" t="e">
        <f>'All regions'!3145:3145-"n/&gt;!.cW"</f>
        <v>#VALUE!</v>
      </c>
      <c r="BB238" t="e">
        <f>'All regions'!3146:3146-"n/&gt;!.cX"</f>
        <v>#VALUE!</v>
      </c>
      <c r="BC238" t="e">
        <f>'All regions'!3147:3147-"n/&gt;!.cY"</f>
        <v>#VALUE!</v>
      </c>
      <c r="BD238" t="e">
        <f>'All regions'!3148:3148-"n/&gt;!.cZ"</f>
        <v>#VALUE!</v>
      </c>
      <c r="BE238" t="e">
        <f>'All regions'!3149:3149-"n/&gt;!.c["</f>
        <v>#VALUE!</v>
      </c>
      <c r="BF238" t="e">
        <f>'All regions'!3150:3150-"n/&gt;!.c\"</f>
        <v>#VALUE!</v>
      </c>
      <c r="BG238" t="e">
        <f>'All regions'!3151:3151-"n/&gt;!.c]"</f>
        <v>#VALUE!</v>
      </c>
      <c r="BH238" t="e">
        <f>'All regions'!3152:3152-"n/&gt;!.c^"</f>
        <v>#VALUE!</v>
      </c>
      <c r="BI238" t="e">
        <f>'All regions'!3153:3153-"n/&gt;!.c_"</f>
        <v>#VALUE!</v>
      </c>
      <c r="BJ238" t="e">
        <f>'All regions'!3154:3154-"n/&gt;!.c`"</f>
        <v>#VALUE!</v>
      </c>
      <c r="BK238" t="e">
        <f>'All regions'!3155:3155-"n/&gt;!.ca"</f>
        <v>#VALUE!</v>
      </c>
      <c r="BL238" t="e">
        <f>'All regions'!3156:3156-"n/&gt;!.cb"</f>
        <v>#VALUE!</v>
      </c>
      <c r="BM238" t="e">
        <f>'All regions'!3157:3157-"n/&gt;!.cc"</f>
        <v>#VALUE!</v>
      </c>
      <c r="BN238" t="e">
        <f>'All regions'!3158:3158-"n/&gt;!.cd"</f>
        <v>#VALUE!</v>
      </c>
      <c r="BO238" t="e">
        <f>'All regions'!3159:3159-"n/&gt;!.ce"</f>
        <v>#VALUE!</v>
      </c>
      <c r="BP238" t="e">
        <f>'All regions'!3160:3160-"n/&gt;!.cf"</f>
        <v>#VALUE!</v>
      </c>
      <c r="BQ238" t="e">
        <f>'All regions'!3161:3161-"n/&gt;!.cg"</f>
        <v>#VALUE!</v>
      </c>
      <c r="BR238" t="e">
        <f>'All regions'!3162:3162-"n/&gt;!.ch"</f>
        <v>#VALUE!</v>
      </c>
      <c r="BS238" t="e">
        <f>'All regions'!3163:3163-"n/&gt;!.ci"</f>
        <v>#VALUE!</v>
      </c>
      <c r="BT238" t="e">
        <f>'All regions'!3164:3164-"n/&gt;!.cj"</f>
        <v>#VALUE!</v>
      </c>
      <c r="BU238" t="e">
        <f>'All regions'!3165:3165-"n/&gt;!.ck"</f>
        <v>#VALUE!</v>
      </c>
      <c r="BV238" t="e">
        <f>'All regions'!3166:3166-"n/&gt;!.cl"</f>
        <v>#VALUE!</v>
      </c>
      <c r="BW238" t="e">
        <f>'All regions'!3167:3167-"n/&gt;!.cm"</f>
        <v>#VALUE!</v>
      </c>
      <c r="BX238" t="e">
        <f>'All regions'!3168:3168-"n/&gt;!.cn"</f>
        <v>#VALUE!</v>
      </c>
      <c r="BY238" t="e">
        <f>'All regions'!3169:3169-"n/&gt;!.co"</f>
        <v>#VALUE!</v>
      </c>
      <c r="BZ238" t="e">
        <f>'All regions'!3170:3170-"n/&gt;!.cp"</f>
        <v>#VALUE!</v>
      </c>
      <c r="CA238" t="e">
        <f>'All regions'!3171:3171-"n/&gt;!.cq"</f>
        <v>#VALUE!</v>
      </c>
      <c r="CB238" t="e">
        <f>'All regions'!3172:3172-"n/&gt;!.cr"</f>
        <v>#VALUE!</v>
      </c>
      <c r="CC238" t="e">
        <f>'All regions'!3173:3173-"n/&gt;!.cs"</f>
        <v>#VALUE!</v>
      </c>
      <c r="CD238" t="e">
        <f>'All regions'!3174:3174-"n/&gt;!.ct"</f>
        <v>#VALUE!</v>
      </c>
      <c r="CE238" t="e">
        <f>'All regions'!3175:3175-"n/&gt;!.cu"</f>
        <v>#VALUE!</v>
      </c>
      <c r="CF238" t="e">
        <f>'All regions'!3176:3176-"n/&gt;!.cv"</f>
        <v>#VALUE!</v>
      </c>
      <c r="CG238" t="e">
        <f>'All regions'!3177:3177-"n/&gt;!.cw"</f>
        <v>#VALUE!</v>
      </c>
      <c r="CH238" t="e">
        <f>'All regions'!3178:3178-"n/&gt;!.cx"</f>
        <v>#VALUE!</v>
      </c>
      <c r="CI238" t="e">
        <f>'All regions'!3179:3179-"n/&gt;!.cy"</f>
        <v>#VALUE!</v>
      </c>
      <c r="CJ238" t="e">
        <f>'All regions'!3180:3180-"n/&gt;!.cz"</f>
        <v>#VALUE!</v>
      </c>
      <c r="CK238" t="e">
        <f>'All regions'!3181:3181-"n/&gt;!.c{"</f>
        <v>#VALUE!</v>
      </c>
      <c r="CL238" t="e">
        <f>'All regions'!3182:3182-"n/&gt;!.c|"</f>
        <v>#VALUE!</v>
      </c>
      <c r="CM238" t="e">
        <f>'All regions'!3183:3183-"n/&gt;!.c}"</f>
        <v>#VALUE!</v>
      </c>
      <c r="CN238" t="e">
        <f>'All regions'!3184:3184-"n/&gt;!.c~"</f>
        <v>#VALUE!</v>
      </c>
      <c r="CO238" t="e">
        <f>'All regions'!3185:3185-"n/&gt;!.d#"</f>
        <v>#VALUE!</v>
      </c>
      <c r="CP238" t="e">
        <f>'All regions'!3186:3186-"n/&gt;!.d$"</f>
        <v>#VALUE!</v>
      </c>
      <c r="CQ238" t="e">
        <f>'All regions'!3187:3187-"n/&gt;!.d%"</f>
        <v>#VALUE!</v>
      </c>
      <c r="CR238" t="e">
        <f>'All regions'!3188:3188-"n/&gt;!.d&amp;"</f>
        <v>#VALUE!</v>
      </c>
      <c r="CS238" t="e">
        <f>'All regions'!3189:3189-"n/&gt;!.d'"</f>
        <v>#VALUE!</v>
      </c>
      <c r="CT238" t="e">
        <f>'All regions'!3190:3190-"n/&gt;!.d("</f>
        <v>#VALUE!</v>
      </c>
      <c r="CU238" t="e">
        <f>'All regions'!3191:3191-"n/&gt;!.d)"</f>
        <v>#VALUE!</v>
      </c>
      <c r="CV238" t="e">
        <f>'All regions'!3192:3192-"n/&gt;!.d."</f>
        <v>#VALUE!</v>
      </c>
      <c r="CW238" t="e">
        <f>'All regions'!3193:3193-"n/&gt;!.d/"</f>
        <v>#VALUE!</v>
      </c>
      <c r="CX238" t="e">
        <f>'All regions'!3194:3194-"n/&gt;!.d0"</f>
        <v>#VALUE!</v>
      </c>
      <c r="CY238" t="e">
        <f>'All regions'!3195:3195-"n/&gt;!.d1"</f>
        <v>#VALUE!</v>
      </c>
      <c r="CZ238" t="e">
        <f>'All regions'!3196:3196-"n/&gt;!.d2"</f>
        <v>#VALUE!</v>
      </c>
      <c r="DA238" t="e">
        <f>'All regions'!3197:3197-"n/&gt;!.d3"</f>
        <v>#VALUE!</v>
      </c>
      <c r="DB238" t="e">
        <f>'All regions'!3198:3198-"n/&gt;!.d4"</f>
        <v>#VALUE!</v>
      </c>
      <c r="DC238" t="e">
        <f>'All regions'!3199:3199-"n/&gt;!.d5"</f>
        <v>#VALUE!</v>
      </c>
      <c r="DD238" t="e">
        <f>'All regions'!3200:3200-"n/&gt;!.d6"</f>
        <v>#VALUE!</v>
      </c>
      <c r="DE238" t="e">
        <f>'All regions'!3201:3201-"n/&gt;!.d7"</f>
        <v>#VALUE!</v>
      </c>
      <c r="DF238" t="e">
        <f>'All regions'!3202:3202-"n/&gt;!.d8"</f>
        <v>#VALUE!</v>
      </c>
      <c r="DG238" t="e">
        <f>'All regions'!3203:3203-"n/&gt;!.d9"</f>
        <v>#VALUE!</v>
      </c>
      <c r="DH238" t="e">
        <f>'All regions'!3204:3204-"n/&gt;!.d:"</f>
        <v>#VALUE!</v>
      </c>
      <c r="DI238" t="e">
        <f>'All regions'!3205:3205-"n/&gt;!.d;"</f>
        <v>#VALUE!</v>
      </c>
      <c r="DJ238" t="e">
        <f>'All regions'!3206:3206-"n/&gt;!.d&lt;"</f>
        <v>#VALUE!</v>
      </c>
      <c r="DK238" t="e">
        <f>'All regions'!3207:3207-"n/&gt;!.d="</f>
        <v>#VALUE!</v>
      </c>
      <c r="DL238" t="e">
        <f>'All regions'!3208:3208-"n/&gt;!.d&gt;"</f>
        <v>#VALUE!</v>
      </c>
      <c r="DM238" t="e">
        <f>'All regions'!3209:3209-"n/&gt;!.d?"</f>
        <v>#VALUE!</v>
      </c>
      <c r="DN238" t="e">
        <f>'All regions'!3210:3210-"n/&gt;!.d@"</f>
        <v>#VALUE!</v>
      </c>
      <c r="DO238" t="e">
        <f>'All regions'!3211:3211-"n/&gt;!.dA"</f>
        <v>#VALUE!</v>
      </c>
      <c r="DP238" t="e">
        <f>'All regions'!3212:3212-"n/&gt;!.dB"</f>
        <v>#VALUE!</v>
      </c>
      <c r="DQ238" t="e">
        <f>'All regions'!3213:3213-"n/&gt;!.dC"</f>
        <v>#VALUE!</v>
      </c>
      <c r="DR238" t="e">
        <f>'All regions'!3214:3214-"n/&gt;!.dD"</f>
        <v>#VALUE!</v>
      </c>
      <c r="DS238" t="e">
        <f>'All regions'!3215:3215-"n/&gt;!.dE"</f>
        <v>#VALUE!</v>
      </c>
      <c r="DT238" t="e">
        <f>'All regions'!3216:3216-"n/&gt;!.dF"</f>
        <v>#VALUE!</v>
      </c>
      <c r="DU238" t="e">
        <f>'All regions'!3217:3217-"n/&gt;!.dG"</f>
        <v>#VALUE!</v>
      </c>
      <c r="DV238" t="e">
        <f>'All regions'!3218:3218-"n/&gt;!.dH"</f>
        <v>#VALUE!</v>
      </c>
      <c r="DW238" t="e">
        <f>'All regions'!3219:3219-"n/&gt;!.dI"</f>
        <v>#VALUE!</v>
      </c>
      <c r="DX238" t="e">
        <f>'All regions'!3220:3220-"n/&gt;!.dJ"</f>
        <v>#VALUE!</v>
      </c>
      <c r="DY238" t="e">
        <f>'All regions'!3221:3221-"n/&gt;!.dK"</f>
        <v>#VALUE!</v>
      </c>
      <c r="DZ238" t="e">
        <f>'All regions'!3222:3222-"n/&gt;!.dL"</f>
        <v>#VALUE!</v>
      </c>
      <c r="EA238" t="e">
        <f>'All regions'!3223:3223-"n/&gt;!.dM"</f>
        <v>#VALUE!</v>
      </c>
      <c r="EB238" t="e">
        <f>'All regions'!3224:3224-"n/&gt;!.dN"</f>
        <v>#VALUE!</v>
      </c>
      <c r="EC238" t="e">
        <f>'All regions'!3225:3225-"n/&gt;!.dO"</f>
        <v>#VALUE!</v>
      </c>
      <c r="ED238" t="e">
        <f>'All regions'!3226:3226-"n/&gt;!.dP"</f>
        <v>#VALUE!</v>
      </c>
      <c r="EE238" t="e">
        <f>'All regions'!3227:3227-"n/&gt;!.dQ"</f>
        <v>#VALUE!</v>
      </c>
      <c r="EF238" t="e">
        <f>'All regions'!3228:3228-"n/&gt;!.dR"</f>
        <v>#VALUE!</v>
      </c>
      <c r="EG238" t="e">
        <f>'All regions'!3229:3229-"n/&gt;!.dS"</f>
        <v>#VALUE!</v>
      </c>
      <c r="EH238" t="e">
        <f>'All regions'!3230:3230-"n/&gt;!.dT"</f>
        <v>#VALUE!</v>
      </c>
      <c r="EI238" t="e">
        <f>'All regions'!3231:3231-"n/&gt;!.dU"</f>
        <v>#VALUE!</v>
      </c>
      <c r="EJ238" t="e">
        <f>'All regions'!3232:3232-"n/&gt;!.dV"</f>
        <v>#VALUE!</v>
      </c>
      <c r="EK238" t="e">
        <f>'All regions'!3233:3233-"n/&gt;!.dW"</f>
        <v>#VALUE!</v>
      </c>
      <c r="EL238" t="e">
        <f>'All regions'!3234:3234-"n/&gt;!.dX"</f>
        <v>#VALUE!</v>
      </c>
      <c r="EM238" t="e">
        <f>'All regions'!3235:3235-"n/&gt;!.dY"</f>
        <v>#VALUE!</v>
      </c>
      <c r="EN238" t="e">
        <f>'All regions'!3236:3236-"n/&gt;!.dZ"</f>
        <v>#VALUE!</v>
      </c>
      <c r="EO238" t="e">
        <f>'All regions'!3237:3237-"n/&gt;!.d["</f>
        <v>#VALUE!</v>
      </c>
      <c r="EP238" t="e">
        <f>'All regions'!3238:3238-"n/&gt;!.d\"</f>
        <v>#VALUE!</v>
      </c>
      <c r="EQ238" t="e">
        <f>'All regions'!3239:3239-"n/&gt;!.d]"</f>
        <v>#VALUE!</v>
      </c>
      <c r="ER238" t="e">
        <f>'All regions'!3240:3240-"n/&gt;!.d^"</f>
        <v>#VALUE!</v>
      </c>
      <c r="ES238" t="e">
        <f>'All regions'!3241:3241-"n/&gt;!.d_"</f>
        <v>#VALUE!</v>
      </c>
      <c r="ET238" t="e">
        <f>'All regions'!3242:3242-"n/&gt;!.d`"</f>
        <v>#VALUE!</v>
      </c>
      <c r="EU238" t="e">
        <f>'All regions'!3243:3243-"n/&gt;!.da"</f>
        <v>#VALUE!</v>
      </c>
      <c r="EV238" t="e">
        <f>'All regions'!3244:3244-"n/&gt;!.db"</f>
        <v>#VALUE!</v>
      </c>
      <c r="EW238" t="e">
        <f>'All regions'!3245:3245-"n/&gt;!.dc"</f>
        <v>#VALUE!</v>
      </c>
      <c r="EX238" t="e">
        <f>'All regions'!3246:3246-"n/&gt;!.dd"</f>
        <v>#VALUE!</v>
      </c>
      <c r="EY238" t="e">
        <f>'All regions'!3247:3247-"n/&gt;!.de"</f>
        <v>#VALUE!</v>
      </c>
      <c r="EZ238" t="e">
        <f>'All regions'!3248:3248-"n/&gt;!.df"</f>
        <v>#VALUE!</v>
      </c>
      <c r="FA238" t="e">
        <f>'All regions'!3249:3249-"n/&gt;!.dg"</f>
        <v>#VALUE!</v>
      </c>
      <c r="FB238" t="e">
        <f>'All regions'!3250:3250-"n/&gt;!.dh"</f>
        <v>#VALUE!</v>
      </c>
      <c r="FC238" t="e">
        <f>'All regions'!3251:3251-"n/&gt;!.di"</f>
        <v>#VALUE!</v>
      </c>
      <c r="FD238" t="e">
        <f>'All regions'!3252:3252-"n/&gt;!.dj"</f>
        <v>#VALUE!</v>
      </c>
      <c r="FE238" t="e">
        <f>'All regions'!3253:3253-"n/&gt;!.dk"</f>
        <v>#VALUE!</v>
      </c>
      <c r="FF238" t="e">
        <f>'All regions'!3254:3254-"n/&gt;!.dl"</f>
        <v>#VALUE!</v>
      </c>
      <c r="FG238" t="e">
        <f>'All regions'!3255:3255-"n/&gt;!.dm"</f>
        <v>#VALUE!</v>
      </c>
      <c r="FH238" t="e">
        <f>'All regions'!3256:3256-"n/&gt;!.dn"</f>
        <v>#VALUE!</v>
      </c>
      <c r="FI238" t="e">
        <f>'All regions'!3257:3257-"n/&gt;!.do"</f>
        <v>#VALUE!</v>
      </c>
      <c r="FJ238" t="e">
        <f>'All regions'!3258:3258-"n/&gt;!.dp"</f>
        <v>#VALUE!</v>
      </c>
      <c r="FK238" t="e">
        <f>'All regions'!3259:3259-"n/&gt;!.dq"</f>
        <v>#VALUE!</v>
      </c>
      <c r="FL238" t="e">
        <f>'All regions'!3260:3260-"n/&gt;!.dr"</f>
        <v>#VALUE!</v>
      </c>
      <c r="FM238" t="e">
        <f>'All regions'!3261:3261-"n/&gt;!.ds"</f>
        <v>#VALUE!</v>
      </c>
      <c r="FN238" t="e">
        <f>'All regions'!3262:3262-"n/&gt;!.dt"</f>
        <v>#VALUE!</v>
      </c>
      <c r="FO238" t="e">
        <f>'All regions'!3263:3263-"n/&gt;!.du"</f>
        <v>#VALUE!</v>
      </c>
      <c r="FP238" t="e">
        <f>'All regions'!3264:3264-"n/&gt;!.dv"</f>
        <v>#VALUE!</v>
      </c>
      <c r="FQ238" t="e">
        <f>'All regions'!3265:3265-"n/&gt;!.dw"</f>
        <v>#VALUE!</v>
      </c>
      <c r="FR238" t="e">
        <f>'All regions'!3266:3266-"n/&gt;!.dx"</f>
        <v>#VALUE!</v>
      </c>
      <c r="FS238" t="e">
        <f>'All regions'!3267:3267-"n/&gt;!.dy"</f>
        <v>#VALUE!</v>
      </c>
      <c r="FT238" t="e">
        <f>'All regions'!3268:3268-"n/&gt;!.dz"</f>
        <v>#VALUE!</v>
      </c>
      <c r="FU238" t="e">
        <f>'All regions'!3269:3269-"n/&gt;!.d{"</f>
        <v>#VALUE!</v>
      </c>
      <c r="FV238" t="e">
        <f>'All regions'!3270:3270-"n/&gt;!.d|"</f>
        <v>#VALUE!</v>
      </c>
      <c r="FW238" t="e">
        <f>'All regions'!3271:3271-"n/&gt;!.d}"</f>
        <v>#VALUE!</v>
      </c>
      <c r="FX238" t="e">
        <f>'All regions'!3272:3272-"n/&gt;!.d~"</f>
        <v>#VALUE!</v>
      </c>
      <c r="FY238" t="e">
        <f>'All regions'!3273:3273-"n/&gt;!.e#"</f>
        <v>#VALUE!</v>
      </c>
      <c r="FZ238" t="e">
        <f>'All regions'!3274:3274-"n/&gt;!.e$"</f>
        <v>#VALUE!</v>
      </c>
      <c r="GA238" t="e">
        <f>'All regions'!3275:3275-"n/&gt;!.e%"</f>
        <v>#VALUE!</v>
      </c>
      <c r="GB238" t="e">
        <f>'All regions'!3276:3276-"n/&gt;!.e&amp;"</f>
        <v>#VALUE!</v>
      </c>
      <c r="GC238" t="e">
        <f>'All regions'!3277:3277-"n/&gt;!.e'"</f>
        <v>#VALUE!</v>
      </c>
      <c r="GD238" t="e">
        <f>'All regions'!3278:3278-"n/&gt;!.e("</f>
        <v>#VALUE!</v>
      </c>
      <c r="GE238" t="e">
        <f>'All regions'!3279:3279-"n/&gt;!.e)"</f>
        <v>#VALUE!</v>
      </c>
      <c r="GF238" t="e">
        <f>'All regions'!3280:3280-"n/&gt;!.e."</f>
        <v>#VALUE!</v>
      </c>
      <c r="GG238" t="e">
        <f>'All regions'!3281:3281-"n/&gt;!.e/"</f>
        <v>#VALUE!</v>
      </c>
      <c r="GH238" t="e">
        <f>'All regions'!3282:3282-"n/&gt;!.e0"</f>
        <v>#VALUE!</v>
      </c>
      <c r="GI238" t="e">
        <f>'All regions'!3283:3283-"n/&gt;!.e1"</f>
        <v>#VALUE!</v>
      </c>
      <c r="GJ238" t="e">
        <f>'All regions'!3284:3284-"n/&gt;!.e2"</f>
        <v>#VALUE!</v>
      </c>
      <c r="GK238" t="e">
        <f>'All regions'!3285:3285-"n/&gt;!.e3"</f>
        <v>#VALUE!</v>
      </c>
      <c r="GL238" t="e">
        <f>'All regions'!3286:3286-"n/&gt;!.e4"</f>
        <v>#VALUE!</v>
      </c>
      <c r="GM238" t="e">
        <f>'All regions'!3287:3287-"n/&gt;!.e5"</f>
        <v>#VALUE!</v>
      </c>
      <c r="GN238" t="e">
        <f>'All regions'!3288:3288-"n/&gt;!.e6"</f>
        <v>#VALUE!</v>
      </c>
      <c r="GO238" t="e">
        <f>'All regions'!3289:3289-"n/&gt;!.e7"</f>
        <v>#VALUE!</v>
      </c>
      <c r="GP238" t="e">
        <f>'All regions'!3290:3290-"n/&gt;!.e8"</f>
        <v>#VALUE!</v>
      </c>
      <c r="GQ238" t="e">
        <f>'All regions'!3291:3291-"n/&gt;!.e9"</f>
        <v>#VALUE!</v>
      </c>
      <c r="GR238" t="e">
        <f>'All regions'!3292:3292-"n/&gt;!.e:"</f>
        <v>#VALUE!</v>
      </c>
      <c r="GS238" t="e">
        <f>'All regions'!3293:3293-"n/&gt;!.e;"</f>
        <v>#VALUE!</v>
      </c>
      <c r="GT238" t="e">
        <f>'All regions'!3294:3294-"n/&gt;!.e&lt;"</f>
        <v>#VALUE!</v>
      </c>
      <c r="GU238" t="e">
        <f>'All regions'!3295:3295-"n/&gt;!.e="</f>
        <v>#VALUE!</v>
      </c>
      <c r="GV238" t="e">
        <f>'All regions'!3296:3296-"n/&gt;!.e&gt;"</f>
        <v>#VALUE!</v>
      </c>
      <c r="GW238" t="e">
        <f>'All regions'!3297:3297-"n/&gt;!.e?"</f>
        <v>#VALUE!</v>
      </c>
      <c r="GX238" t="e">
        <f>'All regions'!3298:3298-"n/&gt;!.e@"</f>
        <v>#VALUE!</v>
      </c>
      <c r="GY238" t="e">
        <f>'All regions'!3299:3299-"n/&gt;!.eA"</f>
        <v>#VALUE!</v>
      </c>
      <c r="GZ238" t="e">
        <f>'All regions'!3300:3300-"n/&gt;!.eB"</f>
        <v>#VALUE!</v>
      </c>
      <c r="HA238" t="e">
        <f>'All regions'!3301:3301-"n/&gt;!.eC"</f>
        <v>#VALUE!</v>
      </c>
      <c r="HB238" t="e">
        <f>'All regions'!3302:3302-"n/&gt;!.eD"</f>
        <v>#VALUE!</v>
      </c>
      <c r="HC238" t="e">
        <f>'All regions'!3303:3303-"n/&gt;!.eE"</f>
        <v>#VALUE!</v>
      </c>
      <c r="HD238" t="e">
        <f>'All regions'!3304:3304-"n/&gt;!.eF"</f>
        <v>#VALUE!</v>
      </c>
      <c r="HE238" t="e">
        <f>'All regions'!3305:3305-"n/&gt;!.eG"</f>
        <v>#VALUE!</v>
      </c>
      <c r="HF238" t="e">
        <f>'All regions'!3306:3306-"n/&gt;!.eH"</f>
        <v>#VALUE!</v>
      </c>
      <c r="HG238" t="e">
        <f>'All regions'!3307:3307-"n/&gt;!.eI"</f>
        <v>#VALUE!</v>
      </c>
      <c r="HH238" t="e">
        <f>'All regions'!3308:3308-"n/&gt;!.eJ"</f>
        <v>#VALUE!</v>
      </c>
      <c r="HI238" t="e">
        <f>'All regions'!3309:3309-"n/&gt;!.eK"</f>
        <v>#VALUE!</v>
      </c>
      <c r="HJ238" t="e">
        <f>'All regions'!3310:3310-"n/&gt;!.eL"</f>
        <v>#VALUE!</v>
      </c>
      <c r="HK238" t="e">
        <f>'All regions'!3311:3311-"n/&gt;!.eM"</f>
        <v>#VALUE!</v>
      </c>
      <c r="HL238" t="e">
        <f>'All regions'!3312:3312-"n/&gt;!.eN"</f>
        <v>#VALUE!</v>
      </c>
      <c r="HM238" t="e">
        <f>'All regions'!3313:3313-"n/&gt;!.eO"</f>
        <v>#VALUE!</v>
      </c>
      <c r="HN238" t="e">
        <f>'All regions'!3314:3314-"n/&gt;!.eP"</f>
        <v>#VALUE!</v>
      </c>
      <c r="HO238" t="e">
        <f>'All regions'!3315:3315-"n/&gt;!.eQ"</f>
        <v>#VALUE!</v>
      </c>
      <c r="HP238" t="e">
        <f>'All regions'!3316:3316-"n/&gt;!.eR"</f>
        <v>#VALUE!</v>
      </c>
      <c r="HQ238" t="e">
        <f>'All regions'!3317:3317-"n/&gt;!.eS"</f>
        <v>#VALUE!</v>
      </c>
      <c r="HR238" t="e">
        <f>'All regions'!3318:3318-"n/&gt;!.eT"</f>
        <v>#VALUE!</v>
      </c>
      <c r="HS238" t="e">
        <f>'All regions'!3319:3319-"n/&gt;!.eU"</f>
        <v>#VALUE!</v>
      </c>
      <c r="HT238" t="e">
        <f>'All regions'!3320:3320-"n/&gt;!.eV"</f>
        <v>#VALUE!</v>
      </c>
      <c r="HU238" t="e">
        <f>'All regions'!3321:3321-"n/&gt;!.eW"</f>
        <v>#VALUE!</v>
      </c>
      <c r="HV238" t="e">
        <f>'All regions'!3322:3322-"n/&gt;!.eX"</f>
        <v>#VALUE!</v>
      </c>
      <c r="HW238" t="e">
        <f>'All regions'!3323:3323-"n/&gt;!.eY"</f>
        <v>#VALUE!</v>
      </c>
      <c r="HX238" t="e">
        <f>'All regions'!3324:3324-"n/&gt;!.eZ"</f>
        <v>#VALUE!</v>
      </c>
      <c r="HY238" t="e">
        <f>'All regions'!3325:3325-"n/&gt;!.e["</f>
        <v>#VALUE!</v>
      </c>
      <c r="HZ238" t="e">
        <f>'All regions'!3326:3326-"n/&gt;!.e\"</f>
        <v>#VALUE!</v>
      </c>
      <c r="IA238" t="e">
        <f>'All regions'!3327:3327-"n/&gt;!.e]"</f>
        <v>#VALUE!</v>
      </c>
      <c r="IB238" t="e">
        <f>'All regions'!3328:3328-"n/&gt;!.e^"</f>
        <v>#VALUE!</v>
      </c>
      <c r="IC238" t="e">
        <f>'All regions'!3329:3329-"n/&gt;!.e_"</f>
        <v>#VALUE!</v>
      </c>
      <c r="ID238" t="e">
        <f>'All regions'!3330:3330-"n/&gt;!.e`"</f>
        <v>#VALUE!</v>
      </c>
      <c r="IE238" t="e">
        <f>'All regions'!3331:3331-"n/&gt;!.ea"</f>
        <v>#VALUE!</v>
      </c>
      <c r="IF238" t="e">
        <f>'All regions'!3332:3332-"n/&gt;!.eb"</f>
        <v>#VALUE!</v>
      </c>
      <c r="IG238" t="e">
        <f>'All regions'!3333:3333-"n/&gt;!.ec"</f>
        <v>#VALUE!</v>
      </c>
      <c r="IH238" t="e">
        <f>'All regions'!3334:3334-"n/&gt;!.ed"</f>
        <v>#VALUE!</v>
      </c>
      <c r="II238" t="e">
        <f>'All regions'!3335:3335-"n/&gt;!.ee"</f>
        <v>#VALUE!</v>
      </c>
      <c r="IJ238" t="e">
        <f>'All regions'!3336:3336-"n/&gt;!.ef"</f>
        <v>#VALUE!</v>
      </c>
      <c r="IK238" t="e">
        <f>'All regions'!3337:3337-"n/&gt;!.eg"</f>
        <v>#VALUE!</v>
      </c>
      <c r="IL238" t="e">
        <f>'All regions'!3338:3338-"n/&gt;!.eh"</f>
        <v>#VALUE!</v>
      </c>
      <c r="IM238" t="e">
        <f>'All regions'!3339:3339-"n/&gt;!.ei"</f>
        <v>#VALUE!</v>
      </c>
      <c r="IN238" t="e">
        <f>'All regions'!3340:3340-"n/&gt;!.ej"</f>
        <v>#VALUE!</v>
      </c>
      <c r="IO238" t="e">
        <f>'All regions'!3341:3341-"n/&gt;!.ek"</f>
        <v>#VALUE!</v>
      </c>
      <c r="IP238" t="e">
        <f>'All regions'!3342:3342-"n/&gt;!.el"</f>
        <v>#VALUE!</v>
      </c>
      <c r="IQ238" t="e">
        <f>'All regions'!3343:3343-"n/&gt;!.em"</f>
        <v>#VALUE!</v>
      </c>
      <c r="IR238" t="e">
        <f>'All regions'!3344:3344-"n/&gt;!.en"</f>
        <v>#VALUE!</v>
      </c>
      <c r="IS238" t="e">
        <f>'All regions'!3345:3345-"n/&gt;!.eo"</f>
        <v>#VALUE!</v>
      </c>
      <c r="IT238" t="e">
        <f>'All regions'!3346:3346-"n/&gt;!.ep"</f>
        <v>#VALUE!</v>
      </c>
      <c r="IU238" t="e">
        <f>'All regions'!3347:3347-"n/&gt;!.eq"</f>
        <v>#VALUE!</v>
      </c>
      <c r="IV238" t="e">
        <f>'All regions'!3348:3348-"n/&gt;!.er"</f>
        <v>#VALUE!</v>
      </c>
    </row>
    <row r="239" spans="6:256" x14ac:dyDescent="0.35">
      <c r="F239" t="e">
        <f>'All regions'!3349:3349-"n/&gt;!.es"</f>
        <v>#VALUE!</v>
      </c>
      <c r="G239" t="e">
        <f>'All regions'!3350:3350-"n/&gt;!.et"</f>
        <v>#VALUE!</v>
      </c>
      <c r="H239" t="e">
        <f>'All regions'!3351:3351-"n/&gt;!.eu"</f>
        <v>#VALUE!</v>
      </c>
      <c r="I239" t="e">
        <f>'All regions'!3352:3352-"n/&gt;!.ev"</f>
        <v>#VALUE!</v>
      </c>
      <c r="J239" t="e">
        <f>'All regions'!3353:3353-"n/&gt;!.ew"</f>
        <v>#VALUE!</v>
      </c>
      <c r="K239" t="e">
        <f>'All regions'!3354:3354-"n/&gt;!.ex"</f>
        <v>#VALUE!</v>
      </c>
      <c r="L239" t="e">
        <f>'All regions'!3355:3355-"n/&gt;!.ey"</f>
        <v>#VALUE!</v>
      </c>
      <c r="M239" t="e">
        <f>'All regions'!3356:3356-"n/&gt;!.ez"</f>
        <v>#VALUE!</v>
      </c>
      <c r="N239" t="e">
        <f>'All regions'!3357:3357-"n/&gt;!.e{"</f>
        <v>#VALUE!</v>
      </c>
      <c r="O239" t="e">
        <f>'All regions'!3358:3358-"n/&gt;!.e|"</f>
        <v>#VALUE!</v>
      </c>
      <c r="P239" t="e">
        <f>'All regions'!3359:3359-"n/&gt;!.e}"</f>
        <v>#VALUE!</v>
      </c>
      <c r="Q239" t="e">
        <f>'All regions'!3360:3360-"n/&gt;!.e~"</f>
        <v>#VALUE!</v>
      </c>
      <c r="R239" t="e">
        <f>'All regions'!3361:3361-"n/&gt;!.f#"</f>
        <v>#VALUE!</v>
      </c>
      <c r="S239" t="e">
        <f>'All regions'!3362:3362-"n/&gt;!.f$"</f>
        <v>#VALUE!</v>
      </c>
      <c r="T239" t="e">
        <f>'All regions'!3363:3363-"n/&gt;!.f%"</f>
        <v>#VALUE!</v>
      </c>
      <c r="U239" t="e">
        <f>'All regions'!3364:3364-"n/&gt;!.f&amp;"</f>
        <v>#VALUE!</v>
      </c>
      <c r="V239" t="e">
        <f>'All regions'!3365:3365-"n/&gt;!.f'"</f>
        <v>#VALUE!</v>
      </c>
      <c r="W239" t="e">
        <f>'All regions'!3366:3366-"n/&gt;!.f("</f>
        <v>#VALUE!</v>
      </c>
      <c r="X239" t="e">
        <f>'All regions'!3367:3367-"n/&gt;!.f)"</f>
        <v>#VALUE!</v>
      </c>
      <c r="Y239" t="e">
        <f>'All regions'!3368:3368-"n/&gt;!.f."</f>
        <v>#VALUE!</v>
      </c>
      <c r="Z239" t="e">
        <f>'All regions'!3369:3369-"n/&gt;!.f/"</f>
        <v>#VALUE!</v>
      </c>
      <c r="AA239" t="e">
        <f>'All regions'!3370:3370-"n/&gt;!.f0"</f>
        <v>#VALUE!</v>
      </c>
      <c r="AB239" t="e">
        <f>'All regions'!3371:3371-"n/&gt;!.f1"</f>
        <v>#VALUE!</v>
      </c>
      <c r="AC239" t="e">
        <f>'All regions'!3372:3372-"n/&gt;!.f2"</f>
        <v>#VALUE!</v>
      </c>
      <c r="AD239" t="e">
        <f>'All regions'!3373:3373-"n/&gt;!.f3"</f>
        <v>#VALUE!</v>
      </c>
      <c r="AE239" t="e">
        <f>'All regions'!3374:3374-"n/&gt;!.f4"</f>
        <v>#VALUE!</v>
      </c>
      <c r="AF239" t="e">
        <f>'All regions'!3375:3375-"n/&gt;!.f5"</f>
        <v>#VALUE!</v>
      </c>
      <c r="AG239" t="e">
        <f>'All regions'!3376:3376-"n/&gt;!.f6"</f>
        <v>#VALUE!</v>
      </c>
      <c r="AH239" t="e">
        <f>'All regions'!3377:3377-"n/&gt;!.f7"</f>
        <v>#VALUE!</v>
      </c>
      <c r="AI239" t="e">
        <f>'All regions'!3378:3378-"n/&gt;!.f8"</f>
        <v>#VALUE!</v>
      </c>
      <c r="AJ239" t="e">
        <f>'All regions'!3379:3379-"n/&gt;!.f9"</f>
        <v>#VALUE!</v>
      </c>
      <c r="AK239" t="e">
        <f>'All regions'!3380:3380-"n/&gt;!.f:"</f>
        <v>#VALUE!</v>
      </c>
      <c r="AL239" t="e">
        <f>'All regions'!3381:3381-"n/&gt;!.f;"</f>
        <v>#VALUE!</v>
      </c>
      <c r="AM239" t="e">
        <f>'All regions'!3382:3382-"n/&gt;!.f&lt;"</f>
        <v>#VALUE!</v>
      </c>
      <c r="AN239" t="e">
        <f>'All regions'!3383:3383-"n/&gt;!.f="</f>
        <v>#VALUE!</v>
      </c>
      <c r="AO239" t="e">
        <f>'All regions'!3384:3384-"n/&gt;!.f&gt;"</f>
        <v>#VALUE!</v>
      </c>
      <c r="AP239" t="e">
        <f>'All regions'!3385:3385-"n/&gt;!.f?"</f>
        <v>#VALUE!</v>
      </c>
      <c r="AQ239" t="e">
        <f>'All regions'!3386:3386-"n/&gt;!.f@"</f>
        <v>#VALUE!</v>
      </c>
      <c r="AR239" t="e">
        <f>'All regions'!3387:3387-"n/&gt;!.fA"</f>
        <v>#VALUE!</v>
      </c>
      <c r="AS239" t="e">
        <f>'All regions'!3388:3388-"n/&gt;!.fB"</f>
        <v>#VALUE!</v>
      </c>
      <c r="AT239" t="e">
        <f>'All regions'!3389:3389-"n/&gt;!.fC"</f>
        <v>#VALUE!</v>
      </c>
      <c r="AU239" t="e">
        <f>'All regions'!3390:3390-"n/&gt;!.fD"</f>
        <v>#VALUE!</v>
      </c>
      <c r="AV239" t="e">
        <f>'All regions'!3391:3391-"n/&gt;!.fE"</f>
        <v>#VALUE!</v>
      </c>
      <c r="AW239" t="e">
        <f>'All regions'!3392:3392-"n/&gt;!.fF"</f>
        <v>#VALUE!</v>
      </c>
      <c r="AX239" t="e">
        <f>'All regions'!3393:3393-"n/&gt;!.fG"</f>
        <v>#VALUE!</v>
      </c>
      <c r="AY239" t="e">
        <f>'All regions'!3394:3394-"n/&gt;!.fH"</f>
        <v>#VALUE!</v>
      </c>
      <c r="AZ239" t="e">
        <f>'All regions'!3395:3395-"n/&gt;!.fI"</f>
        <v>#VALUE!</v>
      </c>
      <c r="BA239" t="e">
        <f>'All regions'!3396:3396-"n/&gt;!.fJ"</f>
        <v>#VALUE!</v>
      </c>
      <c r="BB239" t="e">
        <f>'All regions'!3397:3397-"n/&gt;!.fK"</f>
        <v>#VALUE!</v>
      </c>
      <c r="BC239" t="e">
        <f>'All regions'!3398:3398-"n/&gt;!.fL"</f>
        <v>#VALUE!</v>
      </c>
      <c r="BD239" t="e">
        <f>'All regions'!3399:3399-"n/&gt;!.fM"</f>
        <v>#VALUE!</v>
      </c>
      <c r="BE239" t="e">
        <f>'All regions'!3400:3400-"n/&gt;!.fN"</f>
        <v>#VALUE!</v>
      </c>
      <c r="BF239" t="e">
        <f>'All regions'!3401:3401-"n/&gt;!.fO"</f>
        <v>#VALUE!</v>
      </c>
      <c r="BG239" t="e">
        <f>'All regions'!3402:3402-"n/&gt;!.fP"</f>
        <v>#VALUE!</v>
      </c>
      <c r="BH239" t="e">
        <f>'All regions'!3403:3403-"n/&gt;!.fQ"</f>
        <v>#VALUE!</v>
      </c>
      <c r="BI239" t="e">
        <f>'All regions'!3404:3404-"n/&gt;!.fR"</f>
        <v>#VALUE!</v>
      </c>
      <c r="BJ239" t="e">
        <f>'All regions'!3405:3405-"n/&gt;!.fS"</f>
        <v>#VALUE!</v>
      </c>
      <c r="BK239" t="e">
        <f>'All regions'!3406:3406-"n/&gt;!.fT"</f>
        <v>#VALUE!</v>
      </c>
      <c r="BL239" t="e">
        <f>'All regions'!3407:3407-"n/&gt;!.fU"</f>
        <v>#VALUE!</v>
      </c>
      <c r="BM239" t="e">
        <f>'All regions'!3408:3408-"n/&gt;!.fV"</f>
        <v>#VALUE!</v>
      </c>
      <c r="BN239" t="e">
        <f>'All regions'!3409:3409-"n/&gt;!.fW"</f>
        <v>#VALUE!</v>
      </c>
      <c r="BO239" t="e">
        <f>'All regions'!3410:3410-"n/&gt;!.fX"</f>
        <v>#VALUE!</v>
      </c>
      <c r="BP239" t="e">
        <f>'All regions'!3411:3411-"n/&gt;!.fY"</f>
        <v>#VALUE!</v>
      </c>
      <c r="BQ239" t="e">
        <f>'All regions'!3412:3412-"n/&gt;!.fZ"</f>
        <v>#VALUE!</v>
      </c>
      <c r="BR239" t="e">
        <f>'All regions'!3413:3413-"n/&gt;!.f["</f>
        <v>#VALUE!</v>
      </c>
      <c r="BS239" t="e">
        <f>'All regions'!3414:3414-"n/&gt;!.f\"</f>
        <v>#VALUE!</v>
      </c>
      <c r="BT239" t="e">
        <f>'All regions'!3415:3415-"n/&gt;!.f]"</f>
        <v>#VALUE!</v>
      </c>
      <c r="BU239" t="e">
        <f>'All regions'!3416:3416-"n/&gt;!.f^"</f>
        <v>#VALUE!</v>
      </c>
      <c r="BV239" t="e">
        <f>'All regions'!3417:3417-"n/&gt;!.f_"</f>
        <v>#VALUE!</v>
      </c>
      <c r="BW239" t="e">
        <f>'All regions'!3418:3418-"n/&gt;!.f`"</f>
        <v>#VALUE!</v>
      </c>
      <c r="BX239" t="e">
        <f>'All regions'!3419:3419-"n/&gt;!.fa"</f>
        <v>#VALUE!</v>
      </c>
      <c r="BY239" t="e">
        <f>'All regions'!3420:3420-"n/&gt;!.fb"</f>
        <v>#VALUE!</v>
      </c>
      <c r="BZ239" t="e">
        <f>'All regions'!3421:3421-"n/&gt;!.fc"</f>
        <v>#VALUE!</v>
      </c>
      <c r="CA239" t="e">
        <f>'All regions'!3422:3422-"n/&gt;!.fd"</f>
        <v>#VALUE!</v>
      </c>
      <c r="CB239" t="e">
        <f>'All regions'!3423:3423-"n/&gt;!.fe"</f>
        <v>#VALUE!</v>
      </c>
      <c r="CC239" t="e">
        <f>'All regions'!3424:3424-"n/&gt;!.ff"</f>
        <v>#VALUE!</v>
      </c>
      <c r="CD239" t="e">
        <f>'All regions'!3425:3425-"n/&gt;!.fg"</f>
        <v>#VALUE!</v>
      </c>
      <c r="CE239" t="e">
        <f>'All regions'!3426:3426-"n/&gt;!.fh"</f>
        <v>#VALUE!</v>
      </c>
      <c r="CF239" t="e">
        <f>'All regions'!3427:3427-"n/&gt;!.fi"</f>
        <v>#VALUE!</v>
      </c>
      <c r="CG239" t="e">
        <f>'All regions'!3428:3428-"n/&gt;!.fj"</f>
        <v>#VALUE!</v>
      </c>
      <c r="CH239" t="e">
        <f>'All regions'!3429:3429-"n/&gt;!.fk"</f>
        <v>#VALUE!</v>
      </c>
      <c r="CI239" t="e">
        <f>'All regions'!3430:3430-"n/&gt;!.fl"</f>
        <v>#VALUE!</v>
      </c>
      <c r="CJ239" t="e">
        <f>'All regions'!3431:3431-"n/&gt;!.fm"</f>
        <v>#VALUE!</v>
      </c>
      <c r="CK239" t="e">
        <f>'All regions'!3432:3432-"n/&gt;!.fn"</f>
        <v>#VALUE!</v>
      </c>
      <c r="CL239" t="e">
        <f>'All regions'!3433:3433-"n/&gt;!.fo"</f>
        <v>#VALUE!</v>
      </c>
      <c r="CM239" t="e">
        <f>'All regions'!3434:3434-"n/&gt;!.fp"</f>
        <v>#VALUE!</v>
      </c>
      <c r="CN239" t="e">
        <f>'All regions'!3435:3435-"n/&gt;!.fq"</f>
        <v>#VALUE!</v>
      </c>
      <c r="CO239" t="e">
        <f>'All regions'!3436:3436-"n/&gt;!.fr"</f>
        <v>#VALUE!</v>
      </c>
      <c r="CP239" t="e">
        <f>'All regions'!3437:3437-"n/&gt;!.fs"</f>
        <v>#VALUE!</v>
      </c>
      <c r="CQ239" t="e">
        <f>'All regions'!3438:3438-"n/&gt;!.ft"</f>
        <v>#VALUE!</v>
      </c>
      <c r="CR239" t="e">
        <f>'All regions'!3439:3439-"n/&gt;!.fu"</f>
        <v>#VALUE!</v>
      </c>
      <c r="CS239" t="e">
        <f>'All regions'!3440:3440-"n/&gt;!.fv"</f>
        <v>#VALUE!</v>
      </c>
      <c r="CT239" t="e">
        <f>'All regions'!3441:3441-"n/&gt;!.fw"</f>
        <v>#VALUE!</v>
      </c>
      <c r="CU239" t="e">
        <f>'All regions'!3442:3442-"n/&gt;!.fx"</f>
        <v>#VALUE!</v>
      </c>
      <c r="CV239" t="e">
        <f>'All regions'!3443:3443-"n/&gt;!.fy"</f>
        <v>#VALUE!</v>
      </c>
      <c r="CW239" t="e">
        <f>'All regions'!3444:3444-"n/&gt;!.fz"</f>
        <v>#VALUE!</v>
      </c>
      <c r="CX239" t="e">
        <f>'All regions'!3445:3445-"n/&gt;!.f{"</f>
        <v>#VALUE!</v>
      </c>
      <c r="CY239" t="e">
        <f>'All regions'!3446:3446-"n/&gt;!.f|"</f>
        <v>#VALUE!</v>
      </c>
      <c r="CZ239" t="e">
        <f>'All regions'!3447:3447-"n/&gt;!.f}"</f>
        <v>#VALUE!</v>
      </c>
      <c r="DA239" t="e">
        <f>'All regions'!3448:3448-"n/&gt;!.f~"</f>
        <v>#VALUE!</v>
      </c>
      <c r="DB239" t="e">
        <f>'All regions'!3449:3449-"n/&gt;!.g#"</f>
        <v>#VALUE!</v>
      </c>
      <c r="DC239" t="e">
        <f>'All regions'!3450:3450-"n/&gt;!.g$"</f>
        <v>#VALUE!</v>
      </c>
      <c r="DD239" t="e">
        <f>'All regions'!3451:3451-"n/&gt;!.g%"</f>
        <v>#VALUE!</v>
      </c>
      <c r="DE239" t="e">
        <f>'All regions'!3452:3452-"n/&gt;!.g&amp;"</f>
        <v>#VALUE!</v>
      </c>
      <c r="DF239" t="e">
        <f>'All regions'!3453:3453-"n/&gt;!.g'"</f>
        <v>#VALUE!</v>
      </c>
      <c r="DG239" t="e">
        <f>'All regions'!3454:3454-"n/&gt;!.g("</f>
        <v>#VALUE!</v>
      </c>
      <c r="DH239" t="e">
        <f>'All regions'!3455:3455-"n/&gt;!.g)"</f>
        <v>#VALUE!</v>
      </c>
      <c r="DI239" t="e">
        <f>'All regions'!3456:3456-"n/&gt;!.g."</f>
        <v>#VALUE!</v>
      </c>
      <c r="DJ239" t="e">
        <f>'All regions'!3457:3457-"n/&gt;!.g/"</f>
        <v>#VALUE!</v>
      </c>
      <c r="DK239" t="e">
        <f>'All regions'!3458:3458-"n/&gt;!.g0"</f>
        <v>#VALUE!</v>
      </c>
      <c r="DL239" t="e">
        <f>'All regions'!3459:3459-"n/&gt;!.g1"</f>
        <v>#VALUE!</v>
      </c>
      <c r="DM239" t="e">
        <f>'All regions'!3460:3460-"n/&gt;!.g2"</f>
        <v>#VALUE!</v>
      </c>
      <c r="DN239" t="e">
        <f>'All regions'!3461:3461-"n/&gt;!.g3"</f>
        <v>#VALUE!</v>
      </c>
      <c r="DO239" t="e">
        <f>'All regions'!3462:3462-"n/&gt;!.g4"</f>
        <v>#VALUE!</v>
      </c>
      <c r="DP239" t="e">
        <f>'All regions'!3463:3463-"n/&gt;!.g5"</f>
        <v>#VALUE!</v>
      </c>
      <c r="DQ239" t="e">
        <f>'All regions'!3464:3464-"n/&gt;!.g6"</f>
        <v>#VALUE!</v>
      </c>
      <c r="DR239" t="e">
        <f>'All regions'!3465:3465-"n/&gt;!.g7"</f>
        <v>#VALUE!</v>
      </c>
      <c r="DS239" t="e">
        <f>'All regions'!3466:3466-"n/&gt;!.g8"</f>
        <v>#VALUE!</v>
      </c>
      <c r="DT239" t="e">
        <f>'All regions'!3467:3467-"n/&gt;!.g9"</f>
        <v>#VALUE!</v>
      </c>
      <c r="DU239" t="e">
        <f>'All regions'!3468:3468-"n/&gt;!.g:"</f>
        <v>#VALUE!</v>
      </c>
      <c r="DV239" t="e">
        <f>'All regions'!3469:3469-"n/&gt;!.g;"</f>
        <v>#VALUE!</v>
      </c>
      <c r="DW239" t="e">
        <f>'All regions'!3470:3470-"n/&gt;!.g&lt;"</f>
        <v>#VALUE!</v>
      </c>
      <c r="DX239" t="e">
        <f>'All regions'!3471:3471-"n/&gt;!.g="</f>
        <v>#VALUE!</v>
      </c>
      <c r="DY239" t="e">
        <f>'All regions'!3472:3472-"n/&gt;!.g&gt;"</f>
        <v>#VALUE!</v>
      </c>
      <c r="DZ239" t="e">
        <f>'All regions'!3473:3473-"n/&gt;!.g?"</f>
        <v>#VALUE!</v>
      </c>
      <c r="EA239" t="e">
        <f>'All regions'!3474:3474-"n/&gt;!.g@"</f>
        <v>#VALUE!</v>
      </c>
      <c r="EB239" t="e">
        <f>'All regions'!3475:3475-"n/&gt;!.gA"</f>
        <v>#VALUE!</v>
      </c>
      <c r="EC239" t="e">
        <f>'All regions'!3476:3476-"n/&gt;!.gB"</f>
        <v>#VALUE!</v>
      </c>
      <c r="ED239" t="e">
        <f>'All regions'!3477:3477-"n/&gt;!.gC"</f>
        <v>#VALUE!</v>
      </c>
      <c r="EE239" t="e">
        <f>'All regions'!3478:3478-"n/&gt;!.gD"</f>
        <v>#VALUE!</v>
      </c>
      <c r="EF239" t="e">
        <f>'All regions'!3479:3479-"n/&gt;!.gE"</f>
        <v>#VALUE!</v>
      </c>
      <c r="EG239" t="e">
        <f>'All regions'!3480:3480-"n/&gt;!.gF"</f>
        <v>#VALUE!</v>
      </c>
      <c r="EH239" t="e">
        <f>'All regions'!3481:3481-"n/&gt;!.gG"</f>
        <v>#VALUE!</v>
      </c>
      <c r="EI239" t="e">
        <f>'All regions'!3482:3482-"n/&gt;!.gH"</f>
        <v>#VALUE!</v>
      </c>
      <c r="EJ239" t="e">
        <f>'All regions'!3483:3483-"n/&gt;!.gI"</f>
        <v>#VALUE!</v>
      </c>
      <c r="EK239" t="e">
        <f>'All regions'!3484:3484-"n/&gt;!.gJ"</f>
        <v>#VALUE!</v>
      </c>
      <c r="EL239" t="e">
        <f>'All regions'!3485:3485-"n/&gt;!.gK"</f>
        <v>#VALUE!</v>
      </c>
      <c r="EM239" t="e">
        <f>'All regions'!3486:3486-"n/&gt;!.gL"</f>
        <v>#VALUE!</v>
      </c>
      <c r="EN239" t="e">
        <f>'All regions'!3487:3487-"n/&gt;!.gM"</f>
        <v>#VALUE!</v>
      </c>
      <c r="EO239" t="e">
        <f>'All regions'!3488:3488-"n/&gt;!.gN"</f>
        <v>#VALUE!</v>
      </c>
      <c r="EP239" t="e">
        <f>'All regions'!3489:3489-"n/&gt;!.gO"</f>
        <v>#VALUE!</v>
      </c>
      <c r="EQ239" t="e">
        <f>'All regions'!3490:3490-"n/&gt;!.gP"</f>
        <v>#VALUE!</v>
      </c>
      <c r="ER239" t="e">
        <f>'All regions'!3491:3491-"n/&gt;!.gQ"</f>
        <v>#VALUE!</v>
      </c>
      <c r="ES239" t="e">
        <f>'All regions'!3492:3492-"n/&gt;!.gR"</f>
        <v>#VALUE!</v>
      </c>
      <c r="ET239" t="e">
        <f>'All regions'!3493:3493-"n/&gt;!.gS"</f>
        <v>#VALUE!</v>
      </c>
      <c r="EU239" t="e">
        <f>'All regions'!3494:3494-"n/&gt;!.gT"</f>
        <v>#VALUE!</v>
      </c>
      <c r="EV239" t="e">
        <f>'All regions'!3495:3495-"n/&gt;!.gU"</f>
        <v>#VALUE!</v>
      </c>
      <c r="EW239" t="e">
        <f>'All regions'!3496:3496-"n/&gt;!.gV"</f>
        <v>#VALUE!</v>
      </c>
      <c r="EX239" t="e">
        <f>'All regions'!3497:3497-"n/&gt;!.gW"</f>
        <v>#VALUE!</v>
      </c>
      <c r="EY239" t="e">
        <f>'All regions'!3498:3498-"n/&gt;!.gX"</f>
        <v>#VALUE!</v>
      </c>
      <c r="EZ239" t="e">
        <f>'All regions'!3499:3499-"n/&gt;!.gY"</f>
        <v>#VALUE!</v>
      </c>
      <c r="FA239" t="e">
        <f>'All regions'!3500:3500-"n/&gt;!.gZ"</f>
        <v>#VALUE!</v>
      </c>
      <c r="FB239" t="e">
        <f>'All regions'!3501:3501-"n/&gt;!.g["</f>
        <v>#VALUE!</v>
      </c>
      <c r="FC239" t="e">
        <f>'All regions'!3502:3502-"n/&gt;!.g\"</f>
        <v>#VALUE!</v>
      </c>
      <c r="FD239" t="e">
        <f>'All regions'!3503:3503-"n/&gt;!.g]"</f>
        <v>#VALUE!</v>
      </c>
      <c r="FE239" t="e">
        <f>'All regions'!3504:3504-"n/&gt;!.g^"</f>
        <v>#VALUE!</v>
      </c>
      <c r="FF239" t="e">
        <f>'All regions'!3505:3505-"n/&gt;!.g_"</f>
        <v>#VALUE!</v>
      </c>
      <c r="FG239" t="e">
        <f>'All regions'!3506:3506-"n/&gt;!.g`"</f>
        <v>#VALUE!</v>
      </c>
      <c r="FH239" t="e">
        <f>'All regions'!3507:3507-"n/&gt;!.ga"</f>
        <v>#VALUE!</v>
      </c>
      <c r="FI239" t="e">
        <f>'All regions'!3508:3508-"n/&gt;!.gb"</f>
        <v>#VALUE!</v>
      </c>
      <c r="FJ239" t="e">
        <f>'All regions'!3509:3509-"n/&gt;!.gc"</f>
        <v>#VALUE!</v>
      </c>
      <c r="FK239" t="e">
        <f>'All regions'!3510:3510-"n/&gt;!.gd"</f>
        <v>#VALUE!</v>
      </c>
      <c r="FL239" t="e">
        <f>'All regions'!3511:3511-"n/&gt;!.ge"</f>
        <v>#VALUE!</v>
      </c>
      <c r="FM239" t="e">
        <f>'All regions'!3512:3512-"n/&gt;!.gf"</f>
        <v>#VALUE!</v>
      </c>
      <c r="FN239" t="e">
        <f>'All regions'!3513:3513-"n/&gt;!.gg"</f>
        <v>#VALUE!</v>
      </c>
      <c r="FO239" t="e">
        <f>'All regions'!3514:3514-"n/&gt;!.gh"</f>
        <v>#VALUE!</v>
      </c>
      <c r="FP239" t="e">
        <f>'All regions'!3515:3515-"n/&gt;!.gi"</f>
        <v>#VALUE!</v>
      </c>
      <c r="FQ239" t="e">
        <f>'All regions'!3516:3516-"n/&gt;!.gj"</f>
        <v>#VALUE!</v>
      </c>
      <c r="FR239" t="e">
        <f>'All regions'!3517:3517-"n/&gt;!.gk"</f>
        <v>#VALUE!</v>
      </c>
      <c r="FS239" t="e">
        <f>'All regions'!3518:3518-"n/&gt;!.gl"</f>
        <v>#VALUE!</v>
      </c>
      <c r="FT239" t="e">
        <f>'All regions'!3519:3519-"n/&gt;!.gm"</f>
        <v>#VALUE!</v>
      </c>
      <c r="FU239" t="e">
        <f>'All regions'!3520:3520-"n/&gt;!.gn"</f>
        <v>#VALUE!</v>
      </c>
      <c r="FV239" t="e">
        <f>'All regions'!3521:3521-"n/&gt;!.go"</f>
        <v>#VALUE!</v>
      </c>
      <c r="FW239" t="e">
        <f>'All regions'!3522:3522-"n/&gt;!.gp"</f>
        <v>#VALUE!</v>
      </c>
      <c r="FX239" t="e">
        <f>'All regions'!3523:3523-"n/&gt;!.gq"</f>
        <v>#VALUE!</v>
      </c>
      <c r="FY239" t="e">
        <f>'All regions'!3524:3524-"n/&gt;!.gr"</f>
        <v>#VALUE!</v>
      </c>
      <c r="FZ239" t="e">
        <f>'All regions'!3525:3525-"n/&gt;!.gs"</f>
        <v>#VALUE!</v>
      </c>
      <c r="GA239" t="e">
        <f>'All regions'!3526:3526-"n/&gt;!.gt"</f>
        <v>#VALUE!</v>
      </c>
      <c r="GB239" t="e">
        <f>'All regions'!3527:3527-"n/&gt;!.gu"</f>
        <v>#VALUE!</v>
      </c>
      <c r="GC239" t="e">
        <f>'All regions'!3528:3528-"n/&gt;!.gv"</f>
        <v>#VALUE!</v>
      </c>
      <c r="GD239" t="e">
        <f>'All regions'!3529:3529-"n/&gt;!.gw"</f>
        <v>#VALUE!</v>
      </c>
      <c r="GE239" t="e">
        <f>'All regions'!3530:3530-"n/&gt;!.gx"</f>
        <v>#VALUE!</v>
      </c>
      <c r="GF239" t="e">
        <f>'All regions'!3531:3531-"n/&gt;!.gy"</f>
        <v>#VALUE!</v>
      </c>
      <c r="GG239" t="e">
        <f>'All regions'!3532:3532-"n/&gt;!.gz"</f>
        <v>#VALUE!</v>
      </c>
      <c r="GH239" t="e">
        <f>'All regions'!3533:3533-"n/&gt;!.g{"</f>
        <v>#VALUE!</v>
      </c>
      <c r="GI239" t="e">
        <f>'All regions'!3534:3534-"n/&gt;!.g|"</f>
        <v>#VALUE!</v>
      </c>
      <c r="GJ239" t="e">
        <f>'All regions'!3535:3535-"n/&gt;!.g}"</f>
        <v>#VALUE!</v>
      </c>
      <c r="GK239" t="e">
        <f>'All regions'!3536:3536-"n/&gt;!.g~"</f>
        <v>#VALUE!</v>
      </c>
      <c r="GL239" t="e">
        <f>'All regions'!3537:3537-"n/&gt;!.h#"</f>
        <v>#VALUE!</v>
      </c>
      <c r="GM239" t="e">
        <f>'All regions'!3538:3538-"n/&gt;!.h$"</f>
        <v>#VALUE!</v>
      </c>
      <c r="GN239" t="e">
        <f>'All regions'!3539:3539-"n/&gt;!.h%"</f>
        <v>#VALUE!</v>
      </c>
      <c r="GO239" t="e">
        <f>'All regions'!3540:3540-"n/&gt;!.h&amp;"</f>
        <v>#VALUE!</v>
      </c>
      <c r="GP239" t="e">
        <f>'All regions'!3541:3541-"n/&gt;!.h'"</f>
        <v>#VALUE!</v>
      </c>
      <c r="GQ239" t="e">
        <f>'All regions'!3542:3542-"n/&gt;!.h("</f>
        <v>#VALUE!</v>
      </c>
      <c r="GR239" t="e">
        <f>'All regions'!3543:3543-"n/&gt;!.h)"</f>
        <v>#VALUE!</v>
      </c>
      <c r="GS239" t="e">
        <f>'All regions'!3544:3544-"n/&gt;!.h."</f>
        <v>#VALUE!</v>
      </c>
      <c r="GT239" t="e">
        <f>'All regions'!3545:3545-"n/&gt;!.h/"</f>
        <v>#VALUE!</v>
      </c>
      <c r="GU239" t="e">
        <f>'All regions'!3546:3546-"n/&gt;!.h0"</f>
        <v>#VALUE!</v>
      </c>
      <c r="GV239" t="e">
        <f>'All regions'!3547:3547-"n/&gt;!.h1"</f>
        <v>#VALUE!</v>
      </c>
      <c r="GW239" t="e">
        <f>'All regions'!3548:3548-"n/&gt;!.h2"</f>
        <v>#VALUE!</v>
      </c>
      <c r="GX239" t="e">
        <f>'All regions'!3549:3549-"n/&gt;!.h3"</f>
        <v>#VALUE!</v>
      </c>
      <c r="GY239" t="e">
        <f>'All regions'!3550:3550-"n/&gt;!.h4"</f>
        <v>#VALUE!</v>
      </c>
      <c r="GZ239" t="e">
        <f>'All regions'!3551:3551-"n/&gt;!.h5"</f>
        <v>#VALUE!</v>
      </c>
      <c r="HA239" t="e">
        <f>'All regions'!3552:3552-"n/&gt;!.h6"</f>
        <v>#VALUE!</v>
      </c>
      <c r="HB239" t="e">
        <f>'All regions'!3553:3553-"n/&gt;!.h7"</f>
        <v>#VALUE!</v>
      </c>
      <c r="HC239" t="e">
        <f>'All regions'!3554:3554-"n/&gt;!.h8"</f>
        <v>#VALUE!</v>
      </c>
      <c r="HD239" t="e">
        <f>'All regions'!3555:3555-"n/&gt;!.h9"</f>
        <v>#VALUE!</v>
      </c>
      <c r="HE239" t="e">
        <f>'All regions'!3556:3556-"n/&gt;!.h:"</f>
        <v>#VALUE!</v>
      </c>
      <c r="HF239" t="e">
        <f>'All regions'!3557:3557-"n/&gt;!.h;"</f>
        <v>#VALUE!</v>
      </c>
      <c r="HG239" t="e">
        <f>'All regions'!3558:3558-"n/&gt;!.h&lt;"</f>
        <v>#VALUE!</v>
      </c>
      <c r="HH239" t="e">
        <f>'All regions'!3559:3559-"n/&gt;!.h="</f>
        <v>#VALUE!</v>
      </c>
      <c r="HI239" t="e">
        <f>'All regions'!3560:3560-"n/&gt;!.h&gt;"</f>
        <v>#VALUE!</v>
      </c>
      <c r="HJ239" t="e">
        <f>'All regions'!3561:3561-"n/&gt;!.h?"</f>
        <v>#VALUE!</v>
      </c>
      <c r="HK239" t="e">
        <f>'All regions'!3562:3562-"n/&gt;!.h@"</f>
        <v>#VALUE!</v>
      </c>
      <c r="HL239" t="e">
        <f>'All regions'!3563:3563-"n/&gt;!.hA"</f>
        <v>#VALUE!</v>
      </c>
      <c r="HM239" t="e">
        <f>'All regions'!3564:3564-"n/&gt;!.hB"</f>
        <v>#VALUE!</v>
      </c>
      <c r="HN239" t="e">
        <f>'All regions'!3565:3565-"n/&gt;!.hC"</f>
        <v>#VALUE!</v>
      </c>
      <c r="HO239" t="e">
        <f>'All regions'!3566:3566-"n/&gt;!.hD"</f>
        <v>#VALUE!</v>
      </c>
      <c r="HP239" t="e">
        <f>'All regions'!3567:3567-"n/&gt;!.hE"</f>
        <v>#VALUE!</v>
      </c>
      <c r="HQ239" t="e">
        <f>'All regions'!3568:3568-"n/&gt;!.hF"</f>
        <v>#VALUE!</v>
      </c>
      <c r="HR239" t="e">
        <f>'All regions'!3569:3569-"n/&gt;!.hG"</f>
        <v>#VALUE!</v>
      </c>
      <c r="HS239" t="e">
        <f>'All regions'!3570:3570-"n/&gt;!.hH"</f>
        <v>#VALUE!</v>
      </c>
      <c r="HT239" t="e">
        <f>'All regions'!3571:3571-"n/&gt;!.hI"</f>
        <v>#VALUE!</v>
      </c>
      <c r="HU239" t="e">
        <f>'All regions'!3572:3572-"n/&gt;!.hJ"</f>
        <v>#VALUE!</v>
      </c>
      <c r="HV239" t="e">
        <f>'All regions'!3573:3573-"n/&gt;!.hK"</f>
        <v>#VALUE!</v>
      </c>
      <c r="HW239" t="e">
        <f>'All regions'!3574:3574-"n/&gt;!.hL"</f>
        <v>#VALUE!</v>
      </c>
      <c r="HX239" t="e">
        <f>'All regions'!3575:3575-"n/&gt;!.hM"</f>
        <v>#VALUE!</v>
      </c>
      <c r="HY239" t="e">
        <f>'All regions'!3576:3576-"n/&gt;!.hN"</f>
        <v>#VALUE!</v>
      </c>
      <c r="HZ239" t="e">
        <f>'All regions'!3577:3577-"n/&gt;!.hO"</f>
        <v>#VALUE!</v>
      </c>
      <c r="IA239" t="e">
        <f>'All regions'!3578:3578-"n/&gt;!.hP"</f>
        <v>#VALUE!</v>
      </c>
      <c r="IB239" t="e">
        <f>'All regions'!3579:3579-"n/&gt;!.hQ"</f>
        <v>#VALUE!</v>
      </c>
      <c r="IC239" t="e">
        <f>'All regions'!3580:3580-"n/&gt;!.hR"</f>
        <v>#VALUE!</v>
      </c>
      <c r="ID239" t="e">
        <f>'All regions'!3581:3581-"n/&gt;!.hS"</f>
        <v>#VALUE!</v>
      </c>
      <c r="IE239" t="e">
        <f>'All regions'!3582:3582-"n/&gt;!.hT"</f>
        <v>#VALUE!</v>
      </c>
      <c r="IF239" t="e">
        <f>'All regions'!3583:3583-"n/&gt;!.hU"</f>
        <v>#VALUE!</v>
      </c>
      <c r="IG239" t="e">
        <f>'All regions'!3584:3584-"n/&gt;!.hV"</f>
        <v>#VALUE!</v>
      </c>
      <c r="IH239" t="e">
        <f>'All regions'!3585:3585-"n/&gt;!.hW"</f>
        <v>#VALUE!</v>
      </c>
      <c r="II239" t="e">
        <f>'All regions'!3586:3586-"n/&gt;!.hX"</f>
        <v>#VALUE!</v>
      </c>
      <c r="IJ239" t="e">
        <f>'All regions'!3587:3587-"n/&gt;!.hY"</f>
        <v>#VALUE!</v>
      </c>
      <c r="IK239" t="e">
        <f>'All regions'!3588:3588-"n/&gt;!.hZ"</f>
        <v>#VALUE!</v>
      </c>
      <c r="IL239" t="e">
        <f>'All regions'!3589:3589-"n/&gt;!.h["</f>
        <v>#VALUE!</v>
      </c>
      <c r="IM239" t="e">
        <f>'All regions'!3590:3590-"n/&gt;!.h\"</f>
        <v>#VALUE!</v>
      </c>
      <c r="IN239" t="e">
        <f>'All regions'!3591:3591-"n/&gt;!.h]"</f>
        <v>#VALUE!</v>
      </c>
      <c r="IO239" t="e">
        <f>'All regions'!3592:3592-"n/&gt;!.h^"</f>
        <v>#VALUE!</v>
      </c>
      <c r="IP239" t="e">
        <f>'All regions'!3593:3593-"n/&gt;!.h_"</f>
        <v>#VALUE!</v>
      </c>
      <c r="IQ239" t="e">
        <f>'All regions'!3594:3594-"n/&gt;!.h`"</f>
        <v>#VALUE!</v>
      </c>
      <c r="IR239" t="e">
        <f>'All regions'!3595:3595-"n/&gt;!.ha"</f>
        <v>#VALUE!</v>
      </c>
      <c r="IS239" t="e">
        <f>'All regions'!3596:3596-"n/&gt;!.hb"</f>
        <v>#VALUE!</v>
      </c>
      <c r="IT239" t="e">
        <f>'All regions'!3597:3597-"n/&gt;!.hc"</f>
        <v>#VALUE!</v>
      </c>
      <c r="IU239" t="e">
        <f>'All regions'!3598:3598-"n/&gt;!.hd"</f>
        <v>#VALUE!</v>
      </c>
      <c r="IV239" t="e">
        <f>'All regions'!3599:3599-"n/&gt;!.he"</f>
        <v>#VALUE!</v>
      </c>
    </row>
    <row r="240" spans="6:256" x14ac:dyDescent="0.35">
      <c r="F240" t="e">
        <f>'All regions'!3600:3600-"n/&gt;!.hf"</f>
        <v>#VALUE!</v>
      </c>
      <c r="G240" t="e">
        <f>'All regions'!3601:3601-"n/&gt;!.hg"</f>
        <v>#VALUE!</v>
      </c>
      <c r="H240" t="e">
        <f>'All regions'!3602:3602-"n/&gt;!.hh"</f>
        <v>#VALUE!</v>
      </c>
      <c r="I240" t="e">
        <f>'All regions'!3603:3603-"n/&gt;!.hi"</f>
        <v>#VALUE!</v>
      </c>
      <c r="J240" t="e">
        <f>'All regions'!3604:3604-"n/&gt;!.hj"</f>
        <v>#VALUE!</v>
      </c>
      <c r="K240" t="e">
        <f>'All regions'!3605:3605-"n/&gt;!.hk"</f>
        <v>#VALUE!</v>
      </c>
      <c r="L240" t="e">
        <f>'All regions'!3606:3606-"n/&gt;!.hl"</f>
        <v>#VALUE!</v>
      </c>
      <c r="M240" t="e">
        <f>'All regions'!3607:3607-"n/&gt;!.hm"</f>
        <v>#VALUE!</v>
      </c>
      <c r="N240" t="e">
        <f>'All regions'!3608:3608-"n/&gt;!.hn"</f>
        <v>#VALUE!</v>
      </c>
      <c r="O240" t="e">
        <f>'All regions'!3609:3609-"n/&gt;!.ho"</f>
        <v>#VALUE!</v>
      </c>
      <c r="P240" t="e">
        <f>'All regions'!3610:3610-"n/&gt;!.hp"</f>
        <v>#VALUE!</v>
      </c>
      <c r="Q240" t="e">
        <f>'All regions'!3611:3611-"n/&gt;!.hq"</f>
        <v>#VALUE!</v>
      </c>
      <c r="R240" t="e">
        <f>'All regions'!3612:3612-"n/&gt;!.hr"</f>
        <v>#VALUE!</v>
      </c>
      <c r="S240" t="e">
        <f>'All regions'!3613:3613-"n/&gt;!.hs"</f>
        <v>#VALUE!</v>
      </c>
      <c r="T240" t="e">
        <f>'All regions'!3614:3614-"n/&gt;!.ht"</f>
        <v>#VALUE!</v>
      </c>
      <c r="U240" t="e">
        <f>'All regions'!3615:3615-"n/&gt;!.hu"</f>
        <v>#VALUE!</v>
      </c>
      <c r="V240" t="e">
        <f>'All regions'!3616:3616-"n/&gt;!.hv"</f>
        <v>#VALUE!</v>
      </c>
      <c r="W240" t="e">
        <f>'All regions'!3617:3617-"n/&gt;!.hw"</f>
        <v>#VALUE!</v>
      </c>
      <c r="X240" t="e">
        <f>'All regions'!3618:3618-"n/&gt;!.hx"</f>
        <v>#VALUE!</v>
      </c>
      <c r="Y240" t="e">
        <f>'All regions'!3619:3619-"n/&gt;!.hy"</f>
        <v>#VALUE!</v>
      </c>
      <c r="Z240" t="e">
        <f>'All regions'!3620:3620-"n/&gt;!.hz"</f>
        <v>#VALUE!</v>
      </c>
      <c r="AA240" t="e">
        <f>'All regions'!3621:3621-"n/&gt;!.h{"</f>
        <v>#VALUE!</v>
      </c>
      <c r="AB240" t="e">
        <f>'All regions'!3622:3622-"n/&gt;!.h|"</f>
        <v>#VALUE!</v>
      </c>
      <c r="AC240" t="e">
        <f>'All regions'!3623:3623-"n/&gt;!.h}"</f>
        <v>#VALUE!</v>
      </c>
      <c r="AD240" t="e">
        <f>'All regions'!3624:3624-"n/&gt;!.h~"</f>
        <v>#VALUE!</v>
      </c>
      <c r="AE240" t="e">
        <f>'All regions'!3625:3625-"n/&gt;!.i#"</f>
        <v>#VALUE!</v>
      </c>
      <c r="AF240" t="e">
        <f>'All regions'!3626:3626-"n/&gt;!.i$"</f>
        <v>#VALUE!</v>
      </c>
      <c r="AG240" t="e">
        <f>'All regions'!3627:3627-"n/&gt;!.i%"</f>
        <v>#VALUE!</v>
      </c>
      <c r="AH240" t="e">
        <f>'All regions'!3628:3628-"n/&gt;!.i&amp;"</f>
        <v>#VALUE!</v>
      </c>
      <c r="AI240" t="e">
        <f>'All regions'!3629:3629-"n/&gt;!.i'"</f>
        <v>#VALUE!</v>
      </c>
      <c r="AJ240" t="e">
        <f>'All regions'!3630:3630-"n/&gt;!.i("</f>
        <v>#VALUE!</v>
      </c>
      <c r="AK240" t="e">
        <f>'All regions'!3631:3631-"n/&gt;!.i)"</f>
        <v>#VALUE!</v>
      </c>
      <c r="AL240" t="e">
        <f>'All regions'!3632:3632-"n/&gt;!.i."</f>
        <v>#VALUE!</v>
      </c>
      <c r="AM240" t="e">
        <f>'All regions'!3633:3633-"n/&gt;!.i/"</f>
        <v>#VALUE!</v>
      </c>
      <c r="AN240" t="e">
        <f>'All regions'!3634:3634-"n/&gt;!.i0"</f>
        <v>#VALUE!</v>
      </c>
      <c r="AO240" t="e">
        <f>'All regions'!3635:3635-"n/&gt;!.i1"</f>
        <v>#VALUE!</v>
      </c>
      <c r="AP240" t="e">
        <f>'All regions'!3636:3636-"n/&gt;!.i2"</f>
        <v>#VALUE!</v>
      </c>
      <c r="AQ240" t="e">
        <f>'All regions'!3637:3637-"n/&gt;!.i3"</f>
        <v>#VALUE!</v>
      </c>
      <c r="AR240" t="e">
        <f>'All regions'!3638:3638-"n/&gt;!.i4"</f>
        <v>#VALUE!</v>
      </c>
      <c r="AS240" t="e">
        <f>'All regions'!3639:3639-"n/&gt;!.i5"</f>
        <v>#VALUE!</v>
      </c>
      <c r="AT240" t="e">
        <f>'All regions'!3640:3640-"n/&gt;!.i6"</f>
        <v>#VALUE!</v>
      </c>
      <c r="AU240" t="e">
        <f>'All regions'!3641:3641-"n/&gt;!.i7"</f>
        <v>#VALUE!</v>
      </c>
      <c r="AV240" t="e">
        <f>'All regions'!3642:3642-"n/&gt;!.i8"</f>
        <v>#VALUE!</v>
      </c>
      <c r="AW240" t="e">
        <f>'All regions'!3643:3643-"n/&gt;!.i9"</f>
        <v>#VALUE!</v>
      </c>
      <c r="AX240" t="e">
        <f>'All regions'!3644:3644-"n/&gt;!.i:"</f>
        <v>#VALUE!</v>
      </c>
      <c r="AY240" t="e">
        <f>'All regions'!3645:3645-"n/&gt;!.i;"</f>
        <v>#VALUE!</v>
      </c>
      <c r="AZ240" t="e">
        <f>'All regions'!3646:3646-"n/&gt;!.i&lt;"</f>
        <v>#VALUE!</v>
      </c>
      <c r="BA240" t="e">
        <f>'All regions'!3647:3647-"n/&gt;!.i="</f>
        <v>#VALUE!</v>
      </c>
      <c r="BB240" t="e">
        <f>'All regions'!3648:3648-"n/&gt;!.i&gt;"</f>
        <v>#VALUE!</v>
      </c>
      <c r="BC240" t="e">
        <f>'All regions'!3649:3649-"n/&gt;!.i?"</f>
        <v>#VALUE!</v>
      </c>
      <c r="BD240" t="e">
        <f>'All regions'!3650:3650-"n/&gt;!.i@"</f>
        <v>#VALUE!</v>
      </c>
      <c r="BE240" t="e">
        <f>'All regions'!3651:3651-"n/&gt;!.iA"</f>
        <v>#VALUE!</v>
      </c>
      <c r="BF240" t="e">
        <f>'All regions'!3652:3652-"n/&gt;!.iB"</f>
        <v>#VALUE!</v>
      </c>
      <c r="BG240" t="e">
        <f>'All regions'!3653:3653-"n/&gt;!.iC"</f>
        <v>#VALUE!</v>
      </c>
      <c r="BH240" t="e">
        <f>'All regions'!3654:3654-"n/&gt;!.iD"</f>
        <v>#VALUE!</v>
      </c>
      <c r="BI240" t="e">
        <f>'All regions'!3655:3655-"n/&gt;!.iE"</f>
        <v>#VALUE!</v>
      </c>
      <c r="BJ240" t="e">
        <f>'All regions'!3656:3656-"n/&gt;!.iF"</f>
        <v>#VALUE!</v>
      </c>
      <c r="BK240" t="e">
        <f>'All regions'!3657:3657-"n/&gt;!.iG"</f>
        <v>#VALUE!</v>
      </c>
      <c r="BL240" t="e">
        <f>'All regions'!3658:3658-"n/&gt;!.iH"</f>
        <v>#VALUE!</v>
      </c>
      <c r="BM240" t="e">
        <f>'All regions'!3659:3659-"n/&gt;!.iI"</f>
        <v>#VALUE!</v>
      </c>
      <c r="BN240" t="e">
        <f>'All regions'!3660:3660-"n/&gt;!.iJ"</f>
        <v>#VALUE!</v>
      </c>
      <c r="BO240" t="e">
        <f>'All regions'!3661:3661-"n/&gt;!.iK"</f>
        <v>#VALUE!</v>
      </c>
      <c r="BP240" t="e">
        <f>'All regions'!3662:3662-"n/&gt;!.iL"</f>
        <v>#VALUE!</v>
      </c>
      <c r="BQ240" t="e">
        <f>'All regions'!3663:3663-"n/&gt;!.iM"</f>
        <v>#VALUE!</v>
      </c>
      <c r="BR240" t="e">
        <f>'All regions'!3664:3664-"n/&gt;!.iN"</f>
        <v>#VALUE!</v>
      </c>
      <c r="BS240" t="e">
        <f>'All regions'!3665:3665-"n/&gt;!.iO"</f>
        <v>#VALUE!</v>
      </c>
      <c r="BT240" t="e">
        <f>'All regions'!3666:3666-"n/&gt;!.iP"</f>
        <v>#VALUE!</v>
      </c>
      <c r="BU240" t="e">
        <f>'All regions'!3667:3667-"n/&gt;!.iQ"</f>
        <v>#VALUE!</v>
      </c>
      <c r="BV240" t="e">
        <f>'All regions'!3668:3668-"n/&gt;!.iR"</f>
        <v>#VALUE!</v>
      </c>
      <c r="BW240" t="e">
        <f>'All regions'!3669:3669-"n/&gt;!.iS"</f>
        <v>#VALUE!</v>
      </c>
      <c r="BX240" t="e">
        <f>'All regions'!3670:3670-"n/&gt;!.iT"</f>
        <v>#VALUE!</v>
      </c>
      <c r="BY240" t="e">
        <f>'All regions'!3671:3671-"n/&gt;!.iU"</f>
        <v>#VALUE!</v>
      </c>
      <c r="BZ240" t="e">
        <f>'All regions'!3672:3672-"n/&gt;!.iV"</f>
        <v>#VALUE!</v>
      </c>
      <c r="CA240" t="e">
        <f>'All regions'!3673:3673-"n/&gt;!.iW"</f>
        <v>#VALUE!</v>
      </c>
      <c r="CB240" t="e">
        <f>'All regions'!3674:3674-"n/&gt;!.iX"</f>
        <v>#VALUE!</v>
      </c>
      <c r="CC240" t="e">
        <f>'All regions'!3675:3675-"n/&gt;!.iY"</f>
        <v>#VALUE!</v>
      </c>
      <c r="CD240" t="e">
        <f>'All regions'!3676:3676-"n/&gt;!.iZ"</f>
        <v>#VALUE!</v>
      </c>
      <c r="CE240" t="e">
        <f>'All regions'!3677:3677-"n/&gt;!.i["</f>
        <v>#VALUE!</v>
      </c>
      <c r="CF240" t="e">
        <f>'All regions'!3678:3678-"n/&gt;!.i\"</f>
        <v>#VALUE!</v>
      </c>
      <c r="CG240" t="e">
        <f>'All regions'!3679:3679-"n/&gt;!.i]"</f>
        <v>#VALUE!</v>
      </c>
      <c r="CH240" t="e">
        <f>'All regions'!3680:3680-"n/&gt;!.i^"</f>
        <v>#VALUE!</v>
      </c>
      <c r="CI240" t="e">
        <f>'All regions'!3681:3681-"n/&gt;!.i_"</f>
        <v>#VALUE!</v>
      </c>
      <c r="CJ240" t="e">
        <f>'All regions'!3682:3682-"n/&gt;!.i`"</f>
        <v>#VALUE!</v>
      </c>
      <c r="CK240" t="e">
        <f>'All regions'!3683:3683-"n/&gt;!.ia"</f>
        <v>#VALUE!</v>
      </c>
      <c r="CL240" t="e">
        <f>'All regions'!3684:3684-"n/&gt;!.ib"</f>
        <v>#VALUE!</v>
      </c>
      <c r="CM240" t="e">
        <f>'All regions'!3685:3685-"n/&gt;!.ic"</f>
        <v>#VALUE!</v>
      </c>
      <c r="CN240" t="e">
        <f>'All regions'!3686:3686-"n/&gt;!.id"</f>
        <v>#VALUE!</v>
      </c>
      <c r="CO240" t="e">
        <f>'All regions'!3687:3687-"n/&gt;!.ie"</f>
        <v>#VALUE!</v>
      </c>
      <c r="CP240" t="e">
        <f>'All regions'!3688:3688-"n/&gt;!.if"</f>
        <v>#VALUE!</v>
      </c>
      <c r="CQ240" t="e">
        <f>'All regions'!3689:3689-"n/&gt;!.ig"</f>
        <v>#VALUE!</v>
      </c>
      <c r="CR240" t="e">
        <f>'All regions'!3690:3690-"n/&gt;!.ih"</f>
        <v>#VALUE!</v>
      </c>
      <c r="CS240" t="e">
        <f>'All regions'!3691:3691-"n/&gt;!.ii"</f>
        <v>#VALUE!</v>
      </c>
      <c r="CT240" t="e">
        <f>'All regions'!3692:3692-"n/&gt;!.ij"</f>
        <v>#VALUE!</v>
      </c>
      <c r="CU240" t="e">
        <f>'All regions'!3693:3693-"n/&gt;!.ik"</f>
        <v>#VALUE!</v>
      </c>
      <c r="CV240" t="e">
        <f>'All regions'!3694:3694-"n/&gt;!.il"</f>
        <v>#VALUE!</v>
      </c>
      <c r="CW240" t="e">
        <f>'All regions'!3695:3695-"n/&gt;!.im"</f>
        <v>#VALUE!</v>
      </c>
      <c r="CX240" t="e">
        <f>'All regions'!3696:3696-"n/&gt;!.in"</f>
        <v>#VALUE!</v>
      </c>
      <c r="CY240" t="e">
        <f>'All regions'!3697:3697-"n/&gt;!.io"</f>
        <v>#VALUE!</v>
      </c>
      <c r="CZ240" t="e">
        <f>'All regions'!3698:3698-"n/&gt;!.ip"</f>
        <v>#VALUE!</v>
      </c>
      <c r="DA240" t="e">
        <f>'All regions'!3699:3699-"n/&gt;!.iq"</f>
        <v>#VALUE!</v>
      </c>
      <c r="DB240" t="e">
        <f>'All regions'!3700:3700-"n/&gt;!.ir"</f>
        <v>#VALUE!</v>
      </c>
      <c r="DC240" t="e">
        <f>'All regions'!3701:3701-"n/&gt;!.is"</f>
        <v>#VALUE!</v>
      </c>
      <c r="DD240" t="e">
        <f>'All regions'!3702:3702-"n/&gt;!.it"</f>
        <v>#VALUE!</v>
      </c>
      <c r="DE240" t="e">
        <f>'All regions'!3703:3703-"n/&gt;!.iu"</f>
        <v>#VALUE!</v>
      </c>
      <c r="DF240" t="e">
        <f>'All regions'!3704:3704-"n/&gt;!.iv"</f>
        <v>#VALUE!</v>
      </c>
      <c r="DG240" t="e">
        <f>'All regions'!3705:3705-"n/&gt;!.iw"</f>
        <v>#VALUE!</v>
      </c>
      <c r="DH240" t="e">
        <f>'All regions'!3706:3706-"n/&gt;!.ix"</f>
        <v>#VALUE!</v>
      </c>
      <c r="DI240" t="e">
        <f>'All regions'!3707:3707-"n/&gt;!.iy"</f>
        <v>#VALUE!</v>
      </c>
      <c r="DJ240" t="e">
        <f>'All regions'!3708:3708-"n/&gt;!.iz"</f>
        <v>#VALUE!</v>
      </c>
      <c r="DK240" t="e">
        <f>'All regions'!3709:3709-"n/&gt;!.i{"</f>
        <v>#VALUE!</v>
      </c>
      <c r="DL240" t="e">
        <f>'All regions'!3710:3710-"n/&gt;!.i|"</f>
        <v>#VALUE!</v>
      </c>
      <c r="DM240" t="e">
        <f>'All regions'!3711:3711-"n/&gt;!.i}"</f>
        <v>#VALUE!</v>
      </c>
      <c r="DN240" t="e">
        <f>'All regions'!3712:3712-"n/&gt;!.i~"</f>
        <v>#VALUE!</v>
      </c>
      <c r="DO240" t="e">
        <f>'All regions'!3713:3713-"n/&gt;!.j#"</f>
        <v>#VALUE!</v>
      </c>
      <c r="DP240" t="e">
        <f>'All regions'!3714:3714-"n/&gt;!.j$"</f>
        <v>#VALUE!</v>
      </c>
      <c r="DQ240" t="e">
        <f>'All regions'!3715:3715-"n/&gt;!.j%"</f>
        <v>#VALUE!</v>
      </c>
      <c r="DR240" t="e">
        <f>'All regions'!3716:3716-"n/&gt;!.j&amp;"</f>
        <v>#VALUE!</v>
      </c>
      <c r="DS240" t="e">
        <f>'All regions'!3717:3717-"n/&gt;!.j'"</f>
        <v>#VALUE!</v>
      </c>
      <c r="DT240" t="e">
        <f>'All regions'!3718:3718-"n/&gt;!.j("</f>
        <v>#VALUE!</v>
      </c>
      <c r="DU240" t="e">
        <f>'All regions'!3719:3719-"n/&gt;!.j)"</f>
        <v>#VALUE!</v>
      </c>
      <c r="DV240" t="e">
        <f>'All regions'!3720:3720-"n/&gt;!.j."</f>
        <v>#VALUE!</v>
      </c>
      <c r="DW240" t="e">
        <f>'All regions'!3721:3721-"n/&gt;!.j/"</f>
        <v>#VALUE!</v>
      </c>
      <c r="DX240" t="e">
        <f>'All regions'!3722:3722-"n/&gt;!.j0"</f>
        <v>#VALUE!</v>
      </c>
      <c r="DY240" t="e">
        <f>'All regions'!3723:3723-"n/&gt;!.j1"</f>
        <v>#VALUE!</v>
      </c>
      <c r="DZ240" t="e">
        <f>'All regions'!3724:3724-"n/&gt;!.j2"</f>
        <v>#VALUE!</v>
      </c>
      <c r="EA240" t="e">
        <f>'All regions'!3725:3725-"n/&gt;!.j3"</f>
        <v>#VALUE!</v>
      </c>
      <c r="EB240" t="e">
        <f>'All regions'!3726:3726-"n/&gt;!.j4"</f>
        <v>#VALUE!</v>
      </c>
      <c r="EC240" t="e">
        <f>'All regions'!3727:3727-"n/&gt;!.j5"</f>
        <v>#VALUE!</v>
      </c>
      <c r="ED240" t="e">
        <f>'All regions'!3728:3728-"n/&gt;!.j6"</f>
        <v>#VALUE!</v>
      </c>
      <c r="EE240" t="e">
        <f>'All regions'!3729:3729-"n/&gt;!.j7"</f>
        <v>#VALUE!</v>
      </c>
      <c r="EF240" t="e">
        <f>'All regions'!3730:3730-"n/&gt;!.j8"</f>
        <v>#VALUE!</v>
      </c>
      <c r="EG240" t="e">
        <f>'All regions'!3731:3731-"n/&gt;!.j9"</f>
        <v>#VALUE!</v>
      </c>
      <c r="EH240" t="e">
        <f>'All regions'!3732:3732-"n/&gt;!.j:"</f>
        <v>#VALUE!</v>
      </c>
      <c r="EI240" t="e">
        <f>'All regions'!3733:3733-"n/&gt;!.j;"</f>
        <v>#VALUE!</v>
      </c>
      <c r="EJ240" t="e">
        <f>'All regions'!3734:3734-"n/&gt;!.j&lt;"</f>
        <v>#VALUE!</v>
      </c>
      <c r="EK240" t="e">
        <f>'All regions'!3735:3735-"n/&gt;!.j="</f>
        <v>#VALUE!</v>
      </c>
      <c r="EL240" t="e">
        <f>'All regions'!3736:3736-"n/&gt;!.j&gt;"</f>
        <v>#VALUE!</v>
      </c>
      <c r="EM240" t="e">
        <f>'All regions'!3737:3737-"n/&gt;!.j?"</f>
        <v>#VALUE!</v>
      </c>
      <c r="EN240" t="e">
        <f>'All regions'!3738:3738-"n/&gt;!.j@"</f>
        <v>#VALUE!</v>
      </c>
      <c r="EO240" t="e">
        <f>'All regions'!3739:3739-"n/&gt;!.jA"</f>
        <v>#VALUE!</v>
      </c>
      <c r="EP240" t="e">
        <f>'All regions'!3740:3740-"n/&gt;!.jB"</f>
        <v>#VALUE!</v>
      </c>
      <c r="EQ240" t="e">
        <f>'All regions'!3741:3741-"n/&gt;!.jC"</f>
        <v>#VALUE!</v>
      </c>
      <c r="ER240" t="e">
        <f>'All regions'!3742:3742-"n/&gt;!.jD"</f>
        <v>#VALUE!</v>
      </c>
      <c r="ES240" t="e">
        <f>'All regions'!3743:3743-"n/&gt;!.jE"</f>
        <v>#VALUE!</v>
      </c>
      <c r="ET240" t="e">
        <f>'All regions'!3744:3744-"n/&gt;!.jF"</f>
        <v>#VALUE!</v>
      </c>
      <c r="EU240" t="e">
        <f>'All regions'!3745:3745-"n/&gt;!.jG"</f>
        <v>#VALUE!</v>
      </c>
      <c r="EV240" t="e">
        <f>'All regions'!3746:3746-"n/&gt;!.jH"</f>
        <v>#VALUE!</v>
      </c>
      <c r="EW240" t="e">
        <f>'All regions'!3747:3747-"n/&gt;!.jI"</f>
        <v>#VALUE!</v>
      </c>
      <c r="EX240" t="e">
        <f>'All regions'!3748:3748-"n/&gt;!.jJ"</f>
        <v>#VALUE!</v>
      </c>
      <c r="EY240" t="e">
        <f>'All regions'!3749:3749-"n/&gt;!.jK"</f>
        <v>#VALUE!</v>
      </c>
      <c r="EZ240" t="e">
        <f>'All regions'!3750:3750-"n/&gt;!.jL"</f>
        <v>#VALUE!</v>
      </c>
      <c r="FA240" t="e">
        <f>'All regions'!3751:3751-"n/&gt;!.jM"</f>
        <v>#VALUE!</v>
      </c>
      <c r="FB240" t="e">
        <f>'All regions'!3752:3752-"n/&gt;!.jN"</f>
        <v>#VALUE!</v>
      </c>
      <c r="FC240" t="e">
        <f>'All regions'!3753:3753-"n/&gt;!.jO"</f>
        <v>#VALUE!</v>
      </c>
      <c r="FD240" t="e">
        <f>'All regions'!3754:3754-"n/&gt;!.jP"</f>
        <v>#VALUE!</v>
      </c>
      <c r="FE240" t="e">
        <f>'All regions'!3755:3755-"n/&gt;!.jQ"</f>
        <v>#VALUE!</v>
      </c>
      <c r="FF240" t="e">
        <f>'All regions'!3756:3756-"n/&gt;!.jR"</f>
        <v>#VALUE!</v>
      </c>
      <c r="FG240" t="e">
        <f>'All regions'!3757:3757-"n/&gt;!.jS"</f>
        <v>#VALUE!</v>
      </c>
      <c r="FH240" t="e">
        <f>'All regions'!3758:3758-"n/&gt;!.jT"</f>
        <v>#VALUE!</v>
      </c>
      <c r="FI240" t="e">
        <f>'All regions'!3759:3759-"n/&gt;!.jU"</f>
        <v>#VALUE!</v>
      </c>
      <c r="FJ240" t="e">
        <f>'All regions'!3760:3760-"n/&gt;!.jV"</f>
        <v>#VALUE!</v>
      </c>
      <c r="FK240" t="e">
        <f>'All regions'!3761:3761-"n/&gt;!.jW"</f>
        <v>#VALUE!</v>
      </c>
      <c r="FL240" t="e">
        <f>'All regions'!3762:3762-"n/&gt;!.jX"</f>
        <v>#VALUE!</v>
      </c>
      <c r="FM240" t="e">
        <f>'All regions'!3763:3763-"n/&gt;!.jY"</f>
        <v>#VALUE!</v>
      </c>
      <c r="FN240" t="e">
        <f>'All regions'!3764:3764-"n/&gt;!.jZ"</f>
        <v>#VALUE!</v>
      </c>
      <c r="FO240" t="e">
        <f>'All regions'!3765:3765-"n/&gt;!.j["</f>
        <v>#VALUE!</v>
      </c>
      <c r="FP240" t="e">
        <f>'All regions'!3766:3766-"n/&gt;!.j\"</f>
        <v>#VALUE!</v>
      </c>
      <c r="FQ240" t="e">
        <f>'All regions'!3767:3767-"n/&gt;!.j]"</f>
        <v>#VALUE!</v>
      </c>
      <c r="FR240" t="e">
        <f>'All regions'!3768:3768-"n/&gt;!.j^"</f>
        <v>#VALUE!</v>
      </c>
      <c r="FS240" t="e">
        <f>'All regions'!3769:3769-"n/&gt;!.j_"</f>
        <v>#VALUE!</v>
      </c>
      <c r="FT240" t="e">
        <f>'All regions'!3770:3770-"n/&gt;!.j`"</f>
        <v>#VALUE!</v>
      </c>
      <c r="FU240" t="e">
        <f>'All regions'!3771:3771-"n/&gt;!.ja"</f>
        <v>#VALUE!</v>
      </c>
      <c r="FV240" t="e">
        <f>'All regions'!3772:3772-"n/&gt;!.jb"</f>
        <v>#VALUE!</v>
      </c>
      <c r="FW240" t="e">
        <f>'All regions'!3773:3773-"n/&gt;!.jc"</f>
        <v>#VALUE!</v>
      </c>
      <c r="FX240" t="e">
        <f>'All regions'!3774:3774-"n/&gt;!.jd"</f>
        <v>#VALUE!</v>
      </c>
      <c r="FY240" t="e">
        <f>'All regions'!3775:3775-"n/&gt;!.je"</f>
        <v>#VALUE!</v>
      </c>
      <c r="FZ240" t="e">
        <f>'All regions'!3776:3776-"n/&gt;!.jf"</f>
        <v>#VALUE!</v>
      </c>
      <c r="GA240" t="e">
        <f>'All regions'!3777:3777-"n/&gt;!.jg"</f>
        <v>#VALUE!</v>
      </c>
      <c r="GB240" t="e">
        <f>'All regions'!3778:3778-"n/&gt;!.jh"</f>
        <v>#VALUE!</v>
      </c>
      <c r="GC240" t="e">
        <f>'All regions'!3779:3779-"n/&gt;!.ji"</f>
        <v>#VALUE!</v>
      </c>
      <c r="GD240" t="e">
        <f>'All regions'!3780:3780-"n/&gt;!.jj"</f>
        <v>#VALUE!</v>
      </c>
      <c r="GE240" t="e">
        <f>'All regions'!3781:3781-"n/&gt;!.jk"</f>
        <v>#VALUE!</v>
      </c>
      <c r="GF240" t="e">
        <f>'All regions'!3782:3782-"n/&gt;!.jl"</f>
        <v>#VALUE!</v>
      </c>
      <c r="GG240" t="e">
        <f>'All regions'!3783:3783-"n/&gt;!.jm"</f>
        <v>#VALUE!</v>
      </c>
      <c r="GH240" t="e">
        <f>'All regions'!3784:3784-"n/&gt;!.jn"</f>
        <v>#VALUE!</v>
      </c>
      <c r="GI240" t="e">
        <f>'All regions'!3785:3785-"n/&gt;!.jo"</f>
        <v>#VALUE!</v>
      </c>
      <c r="GJ240" t="e">
        <f>'All regions'!3786:3786-"n/&gt;!.jp"</f>
        <v>#VALUE!</v>
      </c>
      <c r="GK240" t="e">
        <f>'All regions'!3787:3787-"n/&gt;!.jq"</f>
        <v>#VALUE!</v>
      </c>
      <c r="GL240" t="e">
        <f>'All regions'!3788:3788-"n/&gt;!.jr"</f>
        <v>#VALUE!</v>
      </c>
      <c r="GM240" t="e">
        <f>'All regions'!3789:3789-"n/&gt;!.js"</f>
        <v>#VALUE!</v>
      </c>
      <c r="GN240" t="e">
        <f>'All regions'!3790:3790-"n/&gt;!.jt"</f>
        <v>#VALUE!</v>
      </c>
      <c r="GO240" t="e">
        <f>'All regions'!3791:3791-"n/&gt;!.ju"</f>
        <v>#VALUE!</v>
      </c>
      <c r="GP240" t="e">
        <f>'All regions'!3792:3792-"n/&gt;!.jv"</f>
        <v>#VALUE!</v>
      </c>
      <c r="GQ240" t="e">
        <f>'All regions'!3793:3793-"n/&gt;!.jw"</f>
        <v>#VALUE!</v>
      </c>
      <c r="GR240" t="e">
        <f>'All regions'!3794:3794-"n/&gt;!.jx"</f>
        <v>#VALUE!</v>
      </c>
      <c r="GS240" t="e">
        <f>'All regions'!3795:3795-"n/&gt;!.jy"</f>
        <v>#VALUE!</v>
      </c>
      <c r="GT240" t="e">
        <f>'All regions'!3796:3796-"n/&gt;!.jz"</f>
        <v>#VALUE!</v>
      </c>
      <c r="GU240" t="e">
        <f>'All regions'!3797:3797-"n/&gt;!.j{"</f>
        <v>#VALUE!</v>
      </c>
      <c r="GV240" t="e">
        <f>'All regions'!3798:3798-"n/&gt;!.j|"</f>
        <v>#VALUE!</v>
      </c>
      <c r="GW240" t="e">
        <f>'All regions'!3799:3799-"n/&gt;!.j}"</f>
        <v>#VALUE!</v>
      </c>
      <c r="GX240" t="e">
        <f>'All regions'!3800:3800-"n/&gt;!.j~"</f>
        <v>#VALUE!</v>
      </c>
      <c r="GY240" t="e">
        <f>'All regions'!3801:3801-"n/&gt;!.k#"</f>
        <v>#VALUE!</v>
      </c>
      <c r="GZ240" t="e">
        <f>'All regions'!3802:3802-"n/&gt;!.k$"</f>
        <v>#VALUE!</v>
      </c>
      <c r="HA240" t="e">
        <f>'All regions'!3803:3803-"n/&gt;!.k%"</f>
        <v>#VALUE!</v>
      </c>
      <c r="HB240" t="e">
        <f>'All regions'!3804:3804-"n/&gt;!.k&amp;"</f>
        <v>#VALUE!</v>
      </c>
      <c r="HC240" t="e">
        <f>'All regions'!3805:3805-"n/&gt;!.k'"</f>
        <v>#VALUE!</v>
      </c>
      <c r="HD240" t="e">
        <f>'All regions'!3806:3806-"n/&gt;!.k("</f>
        <v>#VALUE!</v>
      </c>
      <c r="HE240" t="e">
        <f>'All regions'!3807:3807-"n/&gt;!.k)"</f>
        <v>#VALUE!</v>
      </c>
      <c r="HF240" t="e">
        <f>'All regions'!3808:3808-"n/&gt;!.k."</f>
        <v>#VALUE!</v>
      </c>
      <c r="HG240" t="e">
        <f>'All regions'!3809:3809-"n/&gt;!.k/"</f>
        <v>#VALUE!</v>
      </c>
      <c r="HH240" t="e">
        <f>'All regions'!3810:3810-"n/&gt;!.k0"</f>
        <v>#VALUE!</v>
      </c>
      <c r="HI240" t="e">
        <f>'All regions'!3811:3811-"n/&gt;!.k1"</f>
        <v>#VALUE!</v>
      </c>
      <c r="HJ240" t="e">
        <f>'All regions'!3812:3812-"n/&gt;!.k2"</f>
        <v>#VALUE!</v>
      </c>
      <c r="HK240" t="e">
        <f>'All regions'!3813:3813-"n/&gt;!.k3"</f>
        <v>#VALUE!</v>
      </c>
      <c r="HL240" t="e">
        <f>'All regions'!3814:3814-"n/&gt;!.k4"</f>
        <v>#VALUE!</v>
      </c>
      <c r="HM240" t="e">
        <f>'All regions'!3815:3815-"n/&gt;!.k5"</f>
        <v>#VALUE!</v>
      </c>
      <c r="HN240" t="e">
        <f>'All regions'!3816:3816-"n/&gt;!.k6"</f>
        <v>#VALUE!</v>
      </c>
      <c r="HO240" t="e">
        <f>'All regions'!3817:3817-"n/&gt;!.k7"</f>
        <v>#VALUE!</v>
      </c>
      <c r="HP240" t="e">
        <f>'All regions'!3818:3818-"n/&gt;!.k8"</f>
        <v>#VALUE!</v>
      </c>
      <c r="HQ240" t="e">
        <f>'All regions'!3819:3819-"n/&gt;!.k9"</f>
        <v>#VALUE!</v>
      </c>
      <c r="HR240" t="e">
        <f>'All regions'!3820:3820-"n/&gt;!.k:"</f>
        <v>#VALUE!</v>
      </c>
      <c r="HS240" t="e">
        <f>'All regions'!3821:3821-"n/&gt;!.k;"</f>
        <v>#VALUE!</v>
      </c>
      <c r="HT240" t="e">
        <f>'All regions'!3822:3822-"n/&gt;!.k&lt;"</f>
        <v>#VALUE!</v>
      </c>
      <c r="HU240" t="e">
        <f>'All regions'!3823:3823-"n/&gt;!.k="</f>
        <v>#VALUE!</v>
      </c>
      <c r="HV240" t="e">
        <f>'All regions'!3824:3824-"n/&gt;!.k&gt;"</f>
        <v>#VALUE!</v>
      </c>
      <c r="HW240" t="e">
        <f>'All regions'!3825:3825-"n/&gt;!.k?"</f>
        <v>#VALUE!</v>
      </c>
      <c r="HX240" t="e">
        <f>'All regions'!3826:3826-"n/&gt;!.k@"</f>
        <v>#VALUE!</v>
      </c>
      <c r="HY240" t="e">
        <f>'All regions'!3827:3827-"n/&gt;!.kA"</f>
        <v>#VALUE!</v>
      </c>
      <c r="HZ240" t="e">
        <f>'All regions'!3828:3828-"n/&gt;!.kB"</f>
        <v>#VALUE!</v>
      </c>
      <c r="IA240" t="e">
        <f>'All regions'!3829:3829-"n/&gt;!.kC"</f>
        <v>#VALUE!</v>
      </c>
      <c r="IB240" t="e">
        <f>'All regions'!3830:3830-"n/&gt;!.kD"</f>
        <v>#VALUE!</v>
      </c>
      <c r="IC240" t="e">
        <f>'All regions'!3831:3831-"n/&gt;!.kE"</f>
        <v>#VALUE!</v>
      </c>
      <c r="ID240" t="e">
        <f>'All regions'!3832:3832-"n/&gt;!.kF"</f>
        <v>#VALUE!</v>
      </c>
      <c r="IE240" t="e">
        <f>'All regions'!3833:3833-"n/&gt;!.kG"</f>
        <v>#VALUE!</v>
      </c>
      <c r="IF240" t="e">
        <f>'All regions'!3834:3834-"n/&gt;!.kH"</f>
        <v>#VALUE!</v>
      </c>
      <c r="IG240" t="e">
        <f>'All regions'!3835:3835-"n/&gt;!.kI"</f>
        <v>#VALUE!</v>
      </c>
      <c r="IH240" t="e">
        <f>'All regions'!3836:3836-"n/&gt;!.kJ"</f>
        <v>#VALUE!</v>
      </c>
      <c r="II240" t="e">
        <f>'All regions'!3837:3837-"n/&gt;!.kK"</f>
        <v>#VALUE!</v>
      </c>
      <c r="IJ240" t="e">
        <f>'All regions'!3838:3838-"n/&gt;!.kL"</f>
        <v>#VALUE!</v>
      </c>
      <c r="IK240" t="e">
        <f>'All regions'!3839:3839-"n/&gt;!.kM"</f>
        <v>#VALUE!</v>
      </c>
      <c r="IL240" t="e">
        <f>'All regions'!3840:3840-"n/&gt;!.kN"</f>
        <v>#VALUE!</v>
      </c>
      <c r="IM240" t="e">
        <f>'All regions'!3841:3841-"n/&gt;!.kO"</f>
        <v>#VALUE!</v>
      </c>
      <c r="IN240" t="e">
        <f>'All regions'!3842:3842-"n/&gt;!.kP"</f>
        <v>#VALUE!</v>
      </c>
      <c r="IO240" t="e">
        <f>'All regions'!3843:3843-"n/&gt;!.kQ"</f>
        <v>#VALUE!</v>
      </c>
      <c r="IP240" t="e">
        <f>'All regions'!3844:3844-"n/&gt;!.kR"</f>
        <v>#VALUE!</v>
      </c>
      <c r="IQ240" t="e">
        <f>'All regions'!3845:3845-"n/&gt;!.kS"</f>
        <v>#VALUE!</v>
      </c>
      <c r="IR240" t="e">
        <f>'All regions'!3846:3846-"n/&gt;!.kT"</f>
        <v>#VALUE!</v>
      </c>
      <c r="IS240" t="e">
        <f>'All regions'!3847:3847-"n/&gt;!.kU"</f>
        <v>#VALUE!</v>
      </c>
      <c r="IT240" t="e">
        <f>'All regions'!3848:3848-"n/&gt;!.kV"</f>
        <v>#VALUE!</v>
      </c>
      <c r="IU240" t="e">
        <f>'All regions'!3849:3849-"n/&gt;!.kW"</f>
        <v>#VALUE!</v>
      </c>
      <c r="IV240" t="e">
        <f>'All regions'!3850:3850-"n/&gt;!.kX"</f>
        <v>#VALUE!</v>
      </c>
    </row>
    <row r="241" spans="6:256" x14ac:dyDescent="0.35">
      <c r="F241" t="e">
        <f>'All regions'!3851:3851-"n/&gt;!.kY"</f>
        <v>#VALUE!</v>
      </c>
      <c r="G241" t="e">
        <f>'All regions'!3852:3852-"n/&gt;!.kZ"</f>
        <v>#VALUE!</v>
      </c>
      <c r="H241" t="e">
        <f>'All regions'!3853:3853-"n/&gt;!.k["</f>
        <v>#VALUE!</v>
      </c>
      <c r="I241" t="e">
        <f>'All regions'!3854:3854-"n/&gt;!.k\"</f>
        <v>#VALUE!</v>
      </c>
      <c r="J241" t="e">
        <f>'All regions'!3855:3855-"n/&gt;!.k]"</f>
        <v>#VALUE!</v>
      </c>
      <c r="K241" t="e">
        <f>'All regions'!3856:3856-"n/&gt;!.k^"</f>
        <v>#VALUE!</v>
      </c>
      <c r="L241" t="e">
        <f>'All regions'!3857:3857-"n/&gt;!.k_"</f>
        <v>#VALUE!</v>
      </c>
      <c r="M241" t="e">
        <f>'All regions'!3858:3858-"n/&gt;!.k`"</f>
        <v>#VALUE!</v>
      </c>
      <c r="N241" t="e">
        <f>'All regions'!3859:3859-"n/&gt;!.ka"</f>
        <v>#VALUE!</v>
      </c>
      <c r="O241" t="e">
        <f>'All regions'!3860:3860-"n/&gt;!.kb"</f>
        <v>#VALUE!</v>
      </c>
      <c r="P241" t="e">
        <f>'All regions'!3861:3861-"n/&gt;!.kc"</f>
        <v>#VALUE!</v>
      </c>
      <c r="Q241" t="e">
        <f>'All regions'!3862:3862-"n/&gt;!.kd"</f>
        <v>#VALUE!</v>
      </c>
      <c r="R241" t="e">
        <f>'All regions'!3863:3863-"n/&gt;!.ke"</f>
        <v>#VALUE!</v>
      </c>
      <c r="S241" t="e">
        <f>'All regions'!3864:3864-"n/&gt;!.kf"</f>
        <v>#VALUE!</v>
      </c>
      <c r="T241" t="e">
        <f>'All regions'!3865:3865-"n/&gt;!.kg"</f>
        <v>#VALUE!</v>
      </c>
      <c r="U241" t="e">
        <f>'All regions'!3866:3866-"n/&gt;!.kh"</f>
        <v>#VALUE!</v>
      </c>
      <c r="V241" t="e">
        <f>'All regions'!3867:3867-"n/&gt;!.ki"</f>
        <v>#VALUE!</v>
      </c>
      <c r="W241" t="e">
        <f>'All regions'!3868:3868-"n/&gt;!.kj"</f>
        <v>#VALUE!</v>
      </c>
      <c r="X241" t="e">
        <f>'All regions'!3869:3869-"n/&gt;!.kk"</f>
        <v>#VALUE!</v>
      </c>
      <c r="Y241" t="e">
        <f>'All regions'!3870:3870-"n/&gt;!.kl"</f>
        <v>#VALUE!</v>
      </c>
      <c r="Z241" t="e">
        <f>'All regions'!3871:3871-"n/&gt;!.km"</f>
        <v>#VALUE!</v>
      </c>
      <c r="AA241" t="e">
        <f>'All regions'!3872:3872-"n/&gt;!.kn"</f>
        <v>#VALUE!</v>
      </c>
      <c r="AB241" t="e">
        <f>'All regions'!3873:3873-"n/&gt;!.ko"</f>
        <v>#VALUE!</v>
      </c>
      <c r="AC241" t="e">
        <f>'All regions'!3874:3874-"n/&gt;!.kp"</f>
        <v>#VALUE!</v>
      </c>
      <c r="AD241" t="e">
        <f>'All regions'!3875:3875-"n/&gt;!.kq"</f>
        <v>#VALUE!</v>
      </c>
      <c r="AE241" t="e">
        <f>'All regions'!3876:3876-"n/&gt;!.kr"</f>
        <v>#VALUE!</v>
      </c>
      <c r="AF241" t="e">
        <f>'All regions'!3877:3877-"n/&gt;!.ks"</f>
        <v>#VALUE!</v>
      </c>
      <c r="AG241" t="e">
        <f>'All regions'!3878:3878-"n/&gt;!.kt"</f>
        <v>#VALUE!</v>
      </c>
      <c r="AH241" t="e">
        <f>'All regions'!3879:3879-"n/&gt;!.ku"</f>
        <v>#VALUE!</v>
      </c>
      <c r="AI241" t="e">
        <f>'All regions'!3880:3880-"n/&gt;!.kv"</f>
        <v>#VALUE!</v>
      </c>
      <c r="AJ241" t="e">
        <f>'All regions'!3881:3881-"n/&gt;!.kw"</f>
        <v>#VALUE!</v>
      </c>
      <c r="AK241" t="e">
        <f>'All regions'!3882:3882-"n/&gt;!.kx"</f>
        <v>#VALUE!</v>
      </c>
      <c r="AL241" t="e">
        <f>'All regions'!3883:3883-"n/&gt;!.ky"</f>
        <v>#VALUE!</v>
      </c>
      <c r="AM241" t="e">
        <f>'All regions'!3884:3884-"n/&gt;!.kz"</f>
        <v>#VALUE!</v>
      </c>
      <c r="AN241" t="e">
        <f>'All regions'!3885:3885-"n/&gt;!.k{"</f>
        <v>#VALUE!</v>
      </c>
      <c r="AO241" t="e">
        <f>'All regions'!3886:3886-"n/&gt;!.k|"</f>
        <v>#VALUE!</v>
      </c>
      <c r="AP241" t="e">
        <f>'All regions'!3887:3887-"n/&gt;!.k}"</f>
        <v>#VALUE!</v>
      </c>
      <c r="AQ241" t="e">
        <f>'All regions'!3888:3888-"n/&gt;!.k~"</f>
        <v>#VALUE!</v>
      </c>
      <c r="AR241" t="e">
        <f>'All regions'!3889:3889-"n/&gt;!.l#"</f>
        <v>#VALUE!</v>
      </c>
      <c r="AS241" t="e">
        <f>'All regions'!3890:3890-"n/&gt;!.l$"</f>
        <v>#VALUE!</v>
      </c>
      <c r="AT241" t="e">
        <f>'All regions'!3891:3891-"n/&gt;!.l%"</f>
        <v>#VALUE!</v>
      </c>
      <c r="AU241" t="e">
        <f>'All regions'!3892:3892-"n/&gt;!.l&amp;"</f>
        <v>#VALUE!</v>
      </c>
      <c r="AV241" t="e">
        <f>'All regions'!3893:3893-"n/&gt;!.l'"</f>
        <v>#VALUE!</v>
      </c>
      <c r="AW241" t="e">
        <f>'All regions'!3894:3894-"n/&gt;!.l("</f>
        <v>#VALUE!</v>
      </c>
      <c r="AX241" t="e">
        <f>'All regions'!3895:3895-"n/&gt;!.l)"</f>
        <v>#VALUE!</v>
      </c>
      <c r="AY241" t="e">
        <f>'All regions'!3896:3896-"n/&gt;!.l."</f>
        <v>#VALUE!</v>
      </c>
      <c r="AZ241" t="e">
        <f>'All regions'!3897:3897-"n/&gt;!.l/"</f>
        <v>#VALUE!</v>
      </c>
      <c r="BA241" t="e">
        <f>'All regions'!3898:3898-"n/&gt;!.l0"</f>
        <v>#VALUE!</v>
      </c>
      <c r="BB241" t="e">
        <f>'All regions'!3899:3899-"n/&gt;!.l1"</f>
        <v>#VALUE!</v>
      </c>
      <c r="BC241" t="e">
        <f>'All regions'!3900:3900-"n/&gt;!.l2"</f>
        <v>#VALUE!</v>
      </c>
      <c r="BD241" t="e">
        <f>'All regions'!3901:3901-"n/&gt;!.l3"</f>
        <v>#VALUE!</v>
      </c>
      <c r="BE241" t="e">
        <f>'All regions'!3902:3902-"n/&gt;!.l4"</f>
        <v>#VALUE!</v>
      </c>
      <c r="BF241" t="e">
        <f>'All regions'!3903:3903-"n/&gt;!.l5"</f>
        <v>#VALUE!</v>
      </c>
      <c r="BG241" t="e">
        <f>'All regions'!3904:3904-"n/&gt;!.l6"</f>
        <v>#VALUE!</v>
      </c>
      <c r="BH241" t="e">
        <f>'All regions'!3905:3905-"n/&gt;!.l7"</f>
        <v>#VALUE!</v>
      </c>
      <c r="BI241" t="e">
        <f>'All regions'!3906:3906-"n/&gt;!.l8"</f>
        <v>#VALUE!</v>
      </c>
      <c r="BJ241" t="e">
        <f>'All regions'!3907:3907-"n/&gt;!.l9"</f>
        <v>#VALUE!</v>
      </c>
      <c r="BK241" t="e">
        <f>'All regions'!3908:3908-"n/&gt;!.l:"</f>
        <v>#VALUE!</v>
      </c>
      <c r="BL241" t="e">
        <f>'All regions'!3909:3909-"n/&gt;!.l;"</f>
        <v>#VALUE!</v>
      </c>
      <c r="BM241" t="e">
        <f>'All regions'!3910:3910-"n/&gt;!.l&lt;"</f>
        <v>#VALUE!</v>
      </c>
      <c r="BN241" t="e">
        <f>'All regions'!3911:3911-"n/&gt;!.l="</f>
        <v>#VALUE!</v>
      </c>
      <c r="BO241" t="e">
        <f>'All regions'!3912:3912-"n/&gt;!.l&gt;"</f>
        <v>#VALUE!</v>
      </c>
      <c r="BP241" t="e">
        <f>'All regions'!3913:3913-"n/&gt;!.l?"</f>
        <v>#VALUE!</v>
      </c>
      <c r="BQ241" t="e">
        <f>'All regions'!3914:3914-"n/&gt;!.l@"</f>
        <v>#VALUE!</v>
      </c>
      <c r="BR241" t="e">
        <f>'All regions'!3915:3915-"n/&gt;!.lA"</f>
        <v>#VALUE!</v>
      </c>
      <c r="BS241" t="e">
        <f>'All regions'!3916:3916-"n/&gt;!.lB"</f>
        <v>#VALUE!</v>
      </c>
      <c r="BT241" t="e">
        <f>'All regions'!3917:3917-"n/&gt;!.lC"</f>
        <v>#VALUE!</v>
      </c>
      <c r="BU241" t="e">
        <f>'All regions'!3918:3918-"n/&gt;!.lD"</f>
        <v>#VALUE!</v>
      </c>
      <c r="BV241" t="e">
        <f>'All regions'!3919:3919-"n/&gt;!.lE"</f>
        <v>#VALUE!</v>
      </c>
      <c r="BW241" t="e">
        <f>'All regions'!3920:3920-"n/&gt;!.lF"</f>
        <v>#VALUE!</v>
      </c>
      <c r="BX241" t="e">
        <f>'All regions'!3921:3921-"n/&gt;!.lG"</f>
        <v>#VALUE!</v>
      </c>
      <c r="BY241" t="e">
        <f>'All regions'!3922:3922-"n/&gt;!.lH"</f>
        <v>#VALUE!</v>
      </c>
      <c r="BZ241" t="e">
        <f>'All regions'!3923:3923-"n/&gt;!.lI"</f>
        <v>#VALUE!</v>
      </c>
      <c r="CA241" t="e">
        <f>'All regions'!3924:3924-"n/&gt;!.lJ"</f>
        <v>#VALUE!</v>
      </c>
      <c r="CB241" t="e">
        <f>'All regions'!3925:3925-"n/&gt;!.lK"</f>
        <v>#VALUE!</v>
      </c>
      <c r="CC241" t="e">
        <f>'All regions'!3926:3926-"n/&gt;!.lL"</f>
        <v>#VALUE!</v>
      </c>
      <c r="CD241" t="e">
        <f>'All regions'!3927:3927-"n/&gt;!.lM"</f>
        <v>#VALUE!</v>
      </c>
      <c r="CE241" t="e">
        <f>'All regions'!3928:3928-"n/&gt;!.lN"</f>
        <v>#VALUE!</v>
      </c>
      <c r="CF241" t="e">
        <f>'All regions'!3929:3929-"n/&gt;!.lO"</f>
        <v>#VALUE!</v>
      </c>
      <c r="CG241" t="e">
        <f>'All regions'!3930:3930-"n/&gt;!.lP"</f>
        <v>#VALUE!</v>
      </c>
      <c r="CH241" t="e">
        <f>'All regions'!3931:3931-"n/&gt;!.lQ"</f>
        <v>#VALUE!</v>
      </c>
      <c r="CI241" t="e">
        <f>'All regions'!3932:3932-"n/&gt;!.lR"</f>
        <v>#VALUE!</v>
      </c>
      <c r="CJ241" t="e">
        <f>'All regions'!3933:3933-"n/&gt;!.lS"</f>
        <v>#VALUE!</v>
      </c>
      <c r="CK241" t="e">
        <f>'All regions'!3934:3934-"n/&gt;!.lT"</f>
        <v>#VALUE!</v>
      </c>
      <c r="CL241" t="e">
        <f>'All regions'!3935:3935-"n/&gt;!.lU"</f>
        <v>#VALUE!</v>
      </c>
      <c r="CM241" t="e">
        <f>'All regions'!3936:3936-"n/&gt;!.lV"</f>
        <v>#VALUE!</v>
      </c>
      <c r="CN241" t="e">
        <f>'All regions'!3937:3937-"n/&gt;!.lW"</f>
        <v>#VALUE!</v>
      </c>
      <c r="CO241" t="e">
        <f>'All regions'!3938:3938-"n/&gt;!.lX"</f>
        <v>#VALUE!</v>
      </c>
      <c r="CP241" t="e">
        <f>'All regions'!3939:3939-"n/&gt;!.lY"</f>
        <v>#VALUE!</v>
      </c>
      <c r="CQ241" t="e">
        <f>'All regions'!3940:3940-"n/&gt;!.lZ"</f>
        <v>#VALUE!</v>
      </c>
      <c r="CR241" t="e">
        <f>'All regions'!3941:3941-"n/&gt;!.l["</f>
        <v>#VALUE!</v>
      </c>
      <c r="CS241" t="e">
        <f>'All regions'!3942:3942-"n/&gt;!.l\"</f>
        <v>#VALUE!</v>
      </c>
      <c r="CT241" t="e">
        <f>'All regions'!3943:3943-"n/&gt;!.l]"</f>
        <v>#VALUE!</v>
      </c>
      <c r="CU241" t="e">
        <f>'All regions'!3944:3944-"n/&gt;!.l^"</f>
        <v>#VALUE!</v>
      </c>
      <c r="CV241" t="e">
        <f>'All regions'!3945:3945-"n/&gt;!.l_"</f>
        <v>#VALUE!</v>
      </c>
      <c r="CW241" t="e">
        <f>'All regions'!3946:3946-"n/&gt;!.l`"</f>
        <v>#VALUE!</v>
      </c>
      <c r="CX241" t="e">
        <f>'All regions'!3947:3947-"n/&gt;!.la"</f>
        <v>#VALUE!</v>
      </c>
      <c r="CY241" t="e">
        <f>'All regions'!3948:3948-"n/&gt;!.lb"</f>
        <v>#VALUE!</v>
      </c>
      <c r="CZ241" t="e">
        <f>'All regions'!3949:3949-"n/&gt;!.lc"</f>
        <v>#VALUE!</v>
      </c>
      <c r="DA241" t="e">
        <f>'All regions'!3950:3950-"n/&gt;!.ld"</f>
        <v>#VALUE!</v>
      </c>
      <c r="DB241" t="e">
        <f>'All regions'!3951:3951-"n/&gt;!.le"</f>
        <v>#VALUE!</v>
      </c>
      <c r="DC241" t="e">
        <f>'All regions'!3952:3952-"n/&gt;!.lf"</f>
        <v>#VALUE!</v>
      </c>
      <c r="DD241" t="e">
        <f>'All regions'!3953:3953-"n/&gt;!.lg"</f>
        <v>#VALUE!</v>
      </c>
      <c r="DE241" t="e">
        <f>'All regions'!3954:3954-"n/&gt;!.lh"</f>
        <v>#VALUE!</v>
      </c>
      <c r="DF241" t="e">
        <f>'All regions'!3955:3955-"n/&gt;!.li"</f>
        <v>#VALUE!</v>
      </c>
      <c r="DG241" t="e">
        <f>'All regions'!3956:3956-"n/&gt;!.lj"</f>
        <v>#VALUE!</v>
      </c>
      <c r="DH241" t="e">
        <f>'All regions'!3957:3957-"n/&gt;!.lk"</f>
        <v>#VALUE!</v>
      </c>
      <c r="DI241" t="e">
        <f>'All regions'!3958:3958-"n/&gt;!.ll"</f>
        <v>#VALUE!</v>
      </c>
      <c r="DJ241" t="e">
        <f>'All regions'!3959:3959-"n/&gt;!.lm"</f>
        <v>#VALUE!</v>
      </c>
      <c r="DK241" t="e">
        <f>'All regions'!3960:3960-"n/&gt;!.ln"</f>
        <v>#VALUE!</v>
      </c>
      <c r="DL241" t="e">
        <f>'All regions'!3961:3961-"n/&gt;!.lo"</f>
        <v>#VALUE!</v>
      </c>
      <c r="DM241" t="e">
        <f>'All regions'!3962:3962-"n/&gt;!.lp"</f>
        <v>#VALUE!</v>
      </c>
      <c r="DN241" t="e">
        <f>'All regions'!3963:3963-"n/&gt;!.lq"</f>
        <v>#VALUE!</v>
      </c>
      <c r="DO241" t="e">
        <f>'All regions'!3964:3964-"n/&gt;!.lr"</f>
        <v>#VALUE!</v>
      </c>
      <c r="DP241" t="e">
        <f>'All regions'!3965:3965-"n/&gt;!.ls"</f>
        <v>#VALUE!</v>
      </c>
      <c r="DQ241" t="e">
        <f>'All regions'!3966:3966-"n/&gt;!.lt"</f>
        <v>#VALUE!</v>
      </c>
      <c r="DR241" t="e">
        <f>'All regions'!3967:3967-"n/&gt;!.lu"</f>
        <v>#VALUE!</v>
      </c>
      <c r="DS241" t="e">
        <f>'All regions'!3968:3968-"n/&gt;!.lv"</f>
        <v>#VALUE!</v>
      </c>
      <c r="DT241" t="e">
        <f>'All regions'!3969:3969-"n/&gt;!.lw"</f>
        <v>#VALUE!</v>
      </c>
      <c r="DU241" t="e">
        <f>'All regions'!3970:3970-"n/&gt;!.lx"</f>
        <v>#VALUE!</v>
      </c>
      <c r="DV241" t="e">
        <f>'All regions'!3971:3971-"n/&gt;!.ly"</f>
        <v>#VALUE!</v>
      </c>
      <c r="DW241" t="e">
        <f>'All regions'!3972:3972-"n/&gt;!.lz"</f>
        <v>#VALUE!</v>
      </c>
      <c r="DX241" t="e">
        <f>'All regions'!3973:3973-"n/&gt;!.l{"</f>
        <v>#VALUE!</v>
      </c>
      <c r="DY241" t="e">
        <f>'All regions'!3974:3974-"n/&gt;!.l|"</f>
        <v>#VALUE!</v>
      </c>
      <c r="DZ241" t="e">
        <f>'All regions'!3975:3975-"n/&gt;!.l}"</f>
        <v>#VALUE!</v>
      </c>
      <c r="EA241" t="e">
        <f>'All regions'!3976:3976-"n/&gt;!.l~"</f>
        <v>#VALUE!</v>
      </c>
      <c r="EB241" t="e">
        <f>'All regions'!3977:3977-"n/&gt;!.m#"</f>
        <v>#VALUE!</v>
      </c>
      <c r="EC241" t="e">
        <f>'All regions'!3978:3978-"n/&gt;!.m$"</f>
        <v>#VALUE!</v>
      </c>
      <c r="ED241" t="e">
        <f>'All regions'!3979:3979-"n/&gt;!.m%"</f>
        <v>#VALUE!</v>
      </c>
      <c r="EE241" t="e">
        <f>'All regions'!3980:3980-"n/&gt;!.m&amp;"</f>
        <v>#VALUE!</v>
      </c>
      <c r="EF241" t="e">
        <f>'All regions'!3981:3981-"n/&gt;!.m'"</f>
        <v>#VALUE!</v>
      </c>
      <c r="EG241" t="e">
        <f>'All regions'!3982:3982-"n/&gt;!.m("</f>
        <v>#VALUE!</v>
      </c>
      <c r="EH241" t="e">
        <f>'All regions'!3983:3983-"n/&gt;!.m)"</f>
        <v>#VALUE!</v>
      </c>
      <c r="EI241" t="e">
        <f>'All regions'!3984:3984-"n/&gt;!.m."</f>
        <v>#VALUE!</v>
      </c>
      <c r="EJ241" t="e">
        <f>'All regions'!3985:3985-"n/&gt;!.m/"</f>
        <v>#VALUE!</v>
      </c>
      <c r="EK241" t="e">
        <f>'All regions'!3986:3986-"n/&gt;!.m0"</f>
        <v>#VALUE!</v>
      </c>
      <c r="EL241" t="e">
        <f>'All regions'!3987:3987-"n/&gt;!.m1"</f>
        <v>#VALUE!</v>
      </c>
      <c r="EM241" t="e">
        <f>'All regions'!3988:3988-"n/&gt;!.m2"</f>
        <v>#VALUE!</v>
      </c>
      <c r="EN241" t="e">
        <f>'All regions'!3989:3989-"n/&gt;!.m3"</f>
        <v>#VALUE!</v>
      </c>
      <c r="EO241" t="e">
        <f>'All regions'!3990:3990-"n/&gt;!.m4"</f>
        <v>#VALUE!</v>
      </c>
      <c r="EP241" t="e">
        <f>'All regions'!3991:3991-"n/&gt;!.m5"</f>
        <v>#VALUE!</v>
      </c>
      <c r="EQ241" t="e">
        <f>'All regions'!3992:3992-"n/&gt;!.m6"</f>
        <v>#VALUE!</v>
      </c>
      <c r="ER241" t="e">
        <f>'All regions'!3993:3993-"n/&gt;!.m7"</f>
        <v>#VALUE!</v>
      </c>
      <c r="ES241" t="e">
        <f>'All regions'!3994:3994-"n/&gt;!.m8"</f>
        <v>#VALUE!</v>
      </c>
      <c r="ET241" t="e">
        <f>'All regions'!3995:3995-"n/&gt;!.m9"</f>
        <v>#VALUE!</v>
      </c>
      <c r="EU241" t="e">
        <f>'All regions'!3996:3996-"n/&gt;!.m:"</f>
        <v>#VALUE!</v>
      </c>
      <c r="EV241" t="e">
        <f>'All regions'!3997:3997-"n/&gt;!.m;"</f>
        <v>#VALUE!</v>
      </c>
      <c r="EW241" t="e">
        <f>'All regions'!3998:3998-"n/&gt;!.m&lt;"</f>
        <v>#VALUE!</v>
      </c>
      <c r="EX241" t="e">
        <f>'All regions'!3999:3999-"n/&gt;!.m="</f>
        <v>#VALUE!</v>
      </c>
      <c r="EY241" t="e">
        <f>'All regions'!4000:4000-"n/&gt;!.m&gt;"</f>
        <v>#VALUE!</v>
      </c>
      <c r="EZ241" t="e">
        <f>'All regions'!4001:4001-"n/&gt;!.m?"</f>
        <v>#VALUE!</v>
      </c>
      <c r="FA241" t="e">
        <f>'All regions'!4002:4002-"n/&gt;!.m@"</f>
        <v>#VALUE!</v>
      </c>
      <c r="FB241" t="e">
        <f>'All regions'!4003:4003-"n/&gt;!.mA"</f>
        <v>#VALUE!</v>
      </c>
      <c r="FC241" t="e">
        <f>'All regions'!4004:4004-"n/&gt;!.mB"</f>
        <v>#VALUE!</v>
      </c>
      <c r="FD241" t="e">
        <f>'All regions'!4005:4005-"n/&gt;!.mC"</f>
        <v>#VALUE!</v>
      </c>
      <c r="FE241" t="e">
        <f>'All regions'!4006:4006-"n/&gt;!.mD"</f>
        <v>#VALUE!</v>
      </c>
      <c r="FF241" t="e">
        <f>'All regions'!4007:4007-"n/&gt;!.mE"</f>
        <v>#VALUE!</v>
      </c>
      <c r="FG241" t="e">
        <f>'All regions'!4008:4008-"n/&gt;!.mF"</f>
        <v>#VALUE!</v>
      </c>
      <c r="FH241" t="e">
        <f>'All regions'!4009:4009-"n/&gt;!.mG"</f>
        <v>#VALUE!</v>
      </c>
      <c r="FI241" t="e">
        <f>'All regions'!4010:4010-"n/&gt;!.mH"</f>
        <v>#VALUE!</v>
      </c>
      <c r="FJ241" t="e">
        <f>'All regions'!4011:4011-"n/&gt;!.mI"</f>
        <v>#VALUE!</v>
      </c>
      <c r="FK241" t="e">
        <f>'All regions'!4012:4012-"n/&gt;!.mJ"</f>
        <v>#VALUE!</v>
      </c>
      <c r="FL241" t="e">
        <f>'All regions'!4013:4013-"n/&gt;!.mK"</f>
        <v>#VALUE!</v>
      </c>
      <c r="FM241" t="e">
        <f>'All regions'!4014:4014-"n/&gt;!.mL"</f>
        <v>#VALUE!</v>
      </c>
      <c r="FN241" t="e">
        <f>'All regions'!4015:4015-"n/&gt;!.mM"</f>
        <v>#VALUE!</v>
      </c>
      <c r="FO241" t="e">
        <f>'All regions'!4016:4016-"n/&gt;!.mN"</f>
        <v>#VALUE!</v>
      </c>
      <c r="FP241" t="e">
        <f>'All regions'!4017:4017-"n/&gt;!.mO"</f>
        <v>#VALUE!</v>
      </c>
      <c r="FQ241" t="e">
        <f>'All regions'!4018:4018-"n/&gt;!.mP"</f>
        <v>#VALUE!</v>
      </c>
      <c r="FR241" t="e">
        <f>'All regions'!4019:4019-"n/&gt;!.mQ"</f>
        <v>#VALUE!</v>
      </c>
      <c r="FS241" t="e">
        <f>'All regions'!4020:4020-"n/&gt;!.mR"</f>
        <v>#VALUE!</v>
      </c>
      <c r="FT241" t="e">
        <f>'All regions'!4021:4021-"n/&gt;!.mS"</f>
        <v>#VALUE!</v>
      </c>
      <c r="FU241" t="e">
        <f>'All regions'!4022:4022-"n/&gt;!.mT"</f>
        <v>#VALUE!</v>
      </c>
      <c r="FV241" t="e">
        <f>'All regions'!4023:4023-"n/&gt;!.mU"</f>
        <v>#VALUE!</v>
      </c>
      <c r="FW241" t="e">
        <f>'All regions'!4024:4024-"n/&gt;!.mV"</f>
        <v>#VALUE!</v>
      </c>
      <c r="FX241" t="e">
        <f>'All regions'!4025:4025-"n/&gt;!.mW"</f>
        <v>#VALUE!</v>
      </c>
      <c r="FY241" t="e">
        <f>'All regions'!4026:4026-"n/&gt;!.mX"</f>
        <v>#VALUE!</v>
      </c>
      <c r="FZ241" t="e">
        <f>'All regions'!4027:4027-"n/&gt;!.mY"</f>
        <v>#VALUE!</v>
      </c>
      <c r="GA241" t="e">
        <f>'All regions'!4028:4028-"n/&gt;!.mZ"</f>
        <v>#VALUE!</v>
      </c>
      <c r="GB241" t="e">
        <f>'All regions'!4029:4029-"n/&gt;!.m["</f>
        <v>#VALUE!</v>
      </c>
      <c r="GC241" t="e">
        <f>'All regions'!4030:4030-"n/&gt;!.m\"</f>
        <v>#VALUE!</v>
      </c>
      <c r="GD241" t="e">
        <f>'All regions'!4031:4031-"n/&gt;!.m]"</f>
        <v>#VALUE!</v>
      </c>
      <c r="GE241" t="e">
        <f>'All regions'!4032:4032-"n/&gt;!.m^"</f>
        <v>#VALUE!</v>
      </c>
      <c r="GF241" t="e">
        <f>'All regions'!4033:4033-"n/&gt;!.m_"</f>
        <v>#VALUE!</v>
      </c>
      <c r="GG241" t="e">
        <f>'All regions'!4034:4034-"n/&gt;!.m`"</f>
        <v>#VALUE!</v>
      </c>
      <c r="GH241" t="e">
        <f>'All regions'!4035:4035-"n/&gt;!.ma"</f>
        <v>#VALUE!</v>
      </c>
      <c r="GI241" t="e">
        <f>'All regions'!4036:4036-"n/&gt;!.mb"</f>
        <v>#VALUE!</v>
      </c>
      <c r="GJ241" t="e">
        <f>'All regions'!4037:4037-"n/&gt;!.mc"</f>
        <v>#VALUE!</v>
      </c>
      <c r="GK241" t="e">
        <f>'All regions'!4038:4038-"n/&gt;!.md"</f>
        <v>#VALUE!</v>
      </c>
      <c r="GL241" t="e">
        <f>'All regions'!4039:4039-"n/&gt;!.me"</f>
        <v>#VALUE!</v>
      </c>
      <c r="GM241" t="e">
        <f>'All regions'!4040:4040-"n/&gt;!.mf"</f>
        <v>#VALUE!</v>
      </c>
      <c r="GN241" t="e">
        <f>'All regions'!4041:4041-"n/&gt;!.mg"</f>
        <v>#VALUE!</v>
      </c>
      <c r="GO241" t="e">
        <f>'All regions'!4042:4042-"n/&gt;!.mh"</f>
        <v>#VALUE!</v>
      </c>
      <c r="GP241" t="e">
        <f>'All regions'!4043:4043-"n/&gt;!.mi"</f>
        <v>#VALUE!</v>
      </c>
      <c r="GQ241" t="e">
        <f>'All regions'!4044:4044-"n/&gt;!.mj"</f>
        <v>#VALUE!</v>
      </c>
      <c r="GR241" t="e">
        <f>'All regions'!4045:4045-"n/&gt;!.mk"</f>
        <v>#VALUE!</v>
      </c>
      <c r="GS241" t="e">
        <f>'All regions'!4046:4046-"n/&gt;!.ml"</f>
        <v>#VALUE!</v>
      </c>
      <c r="GT241" t="e">
        <f>'All regions'!4047:4047-"n/&gt;!.mm"</f>
        <v>#VALUE!</v>
      </c>
      <c r="GU241" t="e">
        <f>'All regions'!4048:4048-"n/&gt;!.mn"</f>
        <v>#VALUE!</v>
      </c>
      <c r="GV241" t="e">
        <f>'All regions'!4049:4049-"n/&gt;!.mo"</f>
        <v>#VALUE!</v>
      </c>
      <c r="GW241" t="e">
        <f>'All regions'!4050:4050-"n/&gt;!.mp"</f>
        <v>#VALUE!</v>
      </c>
      <c r="GX241" t="e">
        <f>'All regions'!4051:4051-"n/&gt;!.mq"</f>
        <v>#VALUE!</v>
      </c>
      <c r="GY241" t="e">
        <f>'All regions'!4052:4052-"n/&gt;!.mr"</f>
        <v>#VALUE!</v>
      </c>
      <c r="GZ241" t="e">
        <f>'All regions'!4053:4053-"n/&gt;!.ms"</f>
        <v>#VALUE!</v>
      </c>
      <c r="HA241" t="e">
        <f>'All regions'!4054:4054-"n/&gt;!.mt"</f>
        <v>#VALUE!</v>
      </c>
      <c r="HB241" t="e">
        <f>'All regions'!4055:4055-"n/&gt;!.mu"</f>
        <v>#VALUE!</v>
      </c>
      <c r="HC241" t="e">
        <f>'All regions'!4056:4056-"n/&gt;!.mv"</f>
        <v>#VALUE!</v>
      </c>
      <c r="HD241" t="e">
        <f>'All regions'!4057:4057-"n/&gt;!.mw"</f>
        <v>#VALUE!</v>
      </c>
      <c r="HE241" t="e">
        <f>'All regions'!4058:4058-"n/&gt;!.mx"</f>
        <v>#VALUE!</v>
      </c>
      <c r="HF241" t="e">
        <f>'All regions'!4059:4059-"n/&gt;!.my"</f>
        <v>#VALUE!</v>
      </c>
      <c r="HG241" t="e">
        <f>'All regions'!4060:4060-"n/&gt;!.mz"</f>
        <v>#VALUE!</v>
      </c>
      <c r="HH241" t="e">
        <f>'All regions'!4061:4061-"n/&gt;!.m{"</f>
        <v>#VALUE!</v>
      </c>
      <c r="HI241" t="e">
        <f>'All regions'!4062:4062-"n/&gt;!.m|"</f>
        <v>#VALUE!</v>
      </c>
      <c r="HJ241" t="e">
        <f>'All regions'!4063:4063-"n/&gt;!.m}"</f>
        <v>#VALUE!</v>
      </c>
      <c r="HK241" t="e">
        <f>'All regions'!4064:4064-"n/&gt;!.m~"</f>
        <v>#VALUE!</v>
      </c>
      <c r="HL241" t="e">
        <f>'All regions'!4065:4065-"n/&gt;!.n#"</f>
        <v>#VALUE!</v>
      </c>
      <c r="HM241" t="e">
        <f>'All regions'!4066:4066-"n/&gt;!.n$"</f>
        <v>#VALUE!</v>
      </c>
      <c r="HN241" t="e">
        <f>'All regions'!4067:4067-"n/&gt;!.n%"</f>
        <v>#VALUE!</v>
      </c>
      <c r="HO241" t="e">
        <f>'All regions'!4068:4068-"n/&gt;!.n&amp;"</f>
        <v>#VALUE!</v>
      </c>
      <c r="HP241" t="e">
        <f>'All regions'!4069:4069-"n/&gt;!.n'"</f>
        <v>#VALUE!</v>
      </c>
      <c r="HQ241" t="e">
        <f>'All regions'!4070:4070-"n/&gt;!.n("</f>
        <v>#VALUE!</v>
      </c>
      <c r="HR241" t="e">
        <f>'All regions'!4071:4071-"n/&gt;!.n)"</f>
        <v>#VALUE!</v>
      </c>
      <c r="HS241" t="e">
        <f>'All regions'!4072:4072-"n/&gt;!.n."</f>
        <v>#VALUE!</v>
      </c>
      <c r="HT241" t="e">
        <f>'All regions'!4073:4073-"n/&gt;!.n/"</f>
        <v>#VALUE!</v>
      </c>
      <c r="HU241" t="e">
        <f>'All regions'!4074:4074-"n/&gt;!.n0"</f>
        <v>#VALUE!</v>
      </c>
      <c r="HV241" t="e">
        <f>'All regions'!4075:4075-"n/&gt;!.n1"</f>
        <v>#VALUE!</v>
      </c>
      <c r="HW241" t="e">
        <f>'All regions'!4076:4076-"n/&gt;!.n2"</f>
        <v>#VALUE!</v>
      </c>
      <c r="HX241" t="e">
        <f>'All regions'!4077:4077-"n/&gt;!.n3"</f>
        <v>#VALUE!</v>
      </c>
      <c r="HY241" t="e">
        <f>'All regions'!4078:4078-"n/&gt;!.n4"</f>
        <v>#VALUE!</v>
      </c>
      <c r="HZ241" t="e">
        <f>'All regions'!4079:4079-"n/&gt;!.n5"</f>
        <v>#VALUE!</v>
      </c>
      <c r="IA241" t="e">
        <f>'All regions'!4080:4080-"n/&gt;!.n6"</f>
        <v>#VALUE!</v>
      </c>
      <c r="IB241" t="e">
        <f>'All regions'!4081:4081-"n/&gt;!.n7"</f>
        <v>#VALUE!</v>
      </c>
      <c r="IC241" t="e">
        <f>'All regions'!4082:4082-"n/&gt;!.n8"</f>
        <v>#VALUE!</v>
      </c>
      <c r="ID241" t="e">
        <f>'All regions'!4083:4083-"n/&gt;!.n9"</f>
        <v>#VALUE!</v>
      </c>
      <c r="IE241" t="e">
        <f>'All regions'!4084:4084-"n/&gt;!.n:"</f>
        <v>#VALUE!</v>
      </c>
      <c r="IF241" t="e">
        <f>'All regions'!4085:4085-"n/&gt;!.n;"</f>
        <v>#VALUE!</v>
      </c>
      <c r="IG241" t="e">
        <f>'All regions'!4086:4086-"n/&gt;!.n&lt;"</f>
        <v>#VALUE!</v>
      </c>
      <c r="IH241" t="e">
        <f>'All regions'!4087:4087-"n/&gt;!.n="</f>
        <v>#VALUE!</v>
      </c>
      <c r="II241" t="e">
        <f>'All regions'!4088:4088-"n/&gt;!.n&gt;"</f>
        <v>#VALUE!</v>
      </c>
      <c r="IJ241" t="e">
        <f>'All regions'!4089:4089-"n/&gt;!.n?"</f>
        <v>#VALUE!</v>
      </c>
      <c r="IK241" t="e">
        <f>'All regions'!4090:4090-"n/&gt;!.n@"</f>
        <v>#VALUE!</v>
      </c>
      <c r="IL241" t="e">
        <f>'All regions'!4091:4091-"n/&gt;!.nA"</f>
        <v>#VALUE!</v>
      </c>
      <c r="IM241" t="e">
        <f>'All regions'!4092:4092-"n/&gt;!.nB"</f>
        <v>#VALUE!</v>
      </c>
      <c r="IN241" t="e">
        <f>'All regions'!4093:4093-"n/&gt;!.nC"</f>
        <v>#VALUE!</v>
      </c>
      <c r="IO241" t="e">
        <f>'All regions'!4094:4094-"n/&gt;!.nD"</f>
        <v>#VALUE!</v>
      </c>
      <c r="IP241" t="e">
        <f>'All regions'!4095:4095-"n/&gt;!.nE"</f>
        <v>#VALUE!</v>
      </c>
      <c r="IQ241" t="e">
        <f>'All regions'!4096:4096-"n/&gt;!.nF"</f>
        <v>#VALUE!</v>
      </c>
      <c r="IR241" t="e">
        <f>'All regions'!4097:4097-"n/&gt;!.nG"</f>
        <v>#VALUE!</v>
      </c>
      <c r="IS241" t="e">
        <f>'All regions'!4098:4098-"n/&gt;!.nH"</f>
        <v>#VALUE!</v>
      </c>
      <c r="IT241" t="e">
        <f>'All regions'!4099:4099-"n/&gt;!.nI"</f>
        <v>#VALUE!</v>
      </c>
      <c r="IU241" t="e">
        <f>'All regions'!4100:4100-"n/&gt;!.nJ"</f>
        <v>#VALUE!</v>
      </c>
      <c r="IV241" t="e">
        <f>'All regions'!4101:4101-"n/&gt;!.nK"</f>
        <v>#VALUE!</v>
      </c>
    </row>
    <row r="242" spans="6:256" x14ac:dyDescent="0.35">
      <c r="F242" t="e">
        <f>'All regions'!4102:4102-"n/&gt;!.nL"</f>
        <v>#VALUE!</v>
      </c>
      <c r="G242" t="e">
        <f>'All regions'!4103:4103-"n/&gt;!.nM"</f>
        <v>#VALUE!</v>
      </c>
      <c r="H242" t="e">
        <f>'All regions'!4104:4104-"n/&gt;!.nN"</f>
        <v>#VALUE!</v>
      </c>
      <c r="I242" t="e">
        <f>'All regions'!4105:4105-"n/&gt;!.nO"</f>
        <v>#VALUE!</v>
      </c>
      <c r="J242" t="e">
        <f>'All regions'!4106:4106-"n/&gt;!.nP"</f>
        <v>#VALUE!</v>
      </c>
      <c r="K242" t="e">
        <f>'All regions'!4107:4107-"n/&gt;!.nQ"</f>
        <v>#VALUE!</v>
      </c>
      <c r="L242" t="e">
        <f>'All regions'!4108:4108-"n/&gt;!.nR"</f>
        <v>#VALUE!</v>
      </c>
      <c r="M242" t="e">
        <f>'All regions'!4109:4109-"n/&gt;!.nS"</f>
        <v>#VALUE!</v>
      </c>
      <c r="N242" t="e">
        <f>'All regions'!4110:4110-"n/&gt;!.nT"</f>
        <v>#VALUE!</v>
      </c>
      <c r="O242" t="e">
        <f>'All regions'!4111:4111-"n/&gt;!.nU"</f>
        <v>#VALUE!</v>
      </c>
      <c r="P242" t="e">
        <f>'All regions'!4112:4112-"n/&gt;!.nV"</f>
        <v>#VALUE!</v>
      </c>
      <c r="Q242" t="e">
        <f>'All regions'!4113:4113-"n/&gt;!.nW"</f>
        <v>#VALUE!</v>
      </c>
      <c r="R242" t="e">
        <f>'All regions'!4114:4114-"n/&gt;!.nX"</f>
        <v>#VALUE!</v>
      </c>
      <c r="S242" t="e">
        <f>'All regions'!4115:4115-"n/&gt;!.nY"</f>
        <v>#VALUE!</v>
      </c>
      <c r="T242" t="e">
        <f>'All regions'!4116:4116-"n/&gt;!.nZ"</f>
        <v>#VALUE!</v>
      </c>
      <c r="U242" t="e">
        <f>'All regions'!4117:4117-"n/&gt;!.n["</f>
        <v>#VALUE!</v>
      </c>
      <c r="V242" t="e">
        <f>'All regions'!4118:4118-"n/&gt;!.n\"</f>
        <v>#VALUE!</v>
      </c>
      <c r="W242" t="e">
        <f>'All regions'!4119:4119-"n/&gt;!.n]"</f>
        <v>#VALUE!</v>
      </c>
      <c r="X242" t="e">
        <f>'All regions'!4120:4120-"n/&gt;!.n^"</f>
        <v>#VALUE!</v>
      </c>
      <c r="Y242" t="e">
        <f>'All regions'!4121:4121-"n/&gt;!.n_"</f>
        <v>#VALUE!</v>
      </c>
      <c r="Z242" t="e">
        <f>'All regions'!4122:4122-"n/&gt;!.n`"</f>
        <v>#VALUE!</v>
      </c>
      <c r="AA242" t="e">
        <f>'All regions'!4123:4123-"n/&gt;!.na"</f>
        <v>#VALUE!</v>
      </c>
      <c r="AB242" t="e">
        <f>'All regions'!4124:4124-"n/&gt;!.nb"</f>
        <v>#VALUE!</v>
      </c>
      <c r="AC242" t="e">
        <f>'All regions'!4125:4125-"n/&gt;!.nc"</f>
        <v>#VALUE!</v>
      </c>
      <c r="AD242" t="e">
        <f>'All regions'!4126:4126-"n/&gt;!.nd"</f>
        <v>#VALUE!</v>
      </c>
      <c r="AE242" t="e">
        <f>'All regions'!4127:4127-"n/&gt;!.ne"</f>
        <v>#VALUE!</v>
      </c>
      <c r="AF242" t="e">
        <f>'All regions'!4128:4128-"n/&gt;!.nf"</f>
        <v>#VALUE!</v>
      </c>
      <c r="AG242" t="e">
        <f>'All regions'!4129:4129-"n/&gt;!.ng"</f>
        <v>#VALUE!</v>
      </c>
      <c r="AH242" t="e">
        <f>'All regions'!4130:4130-"n/&gt;!.nh"</f>
        <v>#VALUE!</v>
      </c>
      <c r="AI242" t="e">
        <f>'All regions'!4131:4131-"n/&gt;!.ni"</f>
        <v>#VALUE!</v>
      </c>
      <c r="AJ242" t="e">
        <f>'All regions'!4132:4132-"n/&gt;!.nj"</f>
        <v>#VALUE!</v>
      </c>
      <c r="AK242" t="e">
        <f>'All regions'!4133:4133-"n/&gt;!.nk"</f>
        <v>#VALUE!</v>
      </c>
      <c r="AL242" t="e">
        <f>'All regions'!4134:4134-"n/&gt;!.nl"</f>
        <v>#VALUE!</v>
      </c>
      <c r="AM242" t="e">
        <f>'All regions'!4135:4135-"n/&gt;!.nm"</f>
        <v>#VALUE!</v>
      </c>
      <c r="AN242" t="e">
        <f>'All regions'!4136:4136-"n/&gt;!.nn"</f>
        <v>#VALUE!</v>
      </c>
      <c r="AO242" t="e">
        <f>'All regions'!4137:4137-"n/&gt;!.no"</f>
        <v>#VALUE!</v>
      </c>
      <c r="AP242" t="e">
        <f>'All regions'!4138:4138-"n/&gt;!.np"</f>
        <v>#VALUE!</v>
      </c>
      <c r="AQ242" t="e">
        <f>'All regions'!4139:4139-"n/&gt;!.nq"</f>
        <v>#VALUE!</v>
      </c>
      <c r="AR242" t="e">
        <f>'All regions'!4140:4140-"n/&gt;!.nr"</f>
        <v>#VALUE!</v>
      </c>
      <c r="AS242" t="e">
        <f>'All regions'!4141:4141-"n/&gt;!.ns"</f>
        <v>#VALUE!</v>
      </c>
      <c r="AT242" t="e">
        <f>'All regions'!4142:4142-"n/&gt;!.nt"</f>
        <v>#VALUE!</v>
      </c>
      <c r="AU242" t="e">
        <f>'All regions'!4143:4143-"n/&gt;!.nu"</f>
        <v>#VALUE!</v>
      </c>
      <c r="AV242" t="e">
        <f>'All regions'!4144:4144-"n/&gt;!.nv"</f>
        <v>#VALUE!</v>
      </c>
      <c r="AW242" t="e">
        <f>'All regions'!4145:4145-"n/&gt;!.nw"</f>
        <v>#VALUE!</v>
      </c>
      <c r="AX242" t="e">
        <f>'All regions'!4146:4146-"n/&gt;!.nx"</f>
        <v>#VALUE!</v>
      </c>
      <c r="AY242" t="e">
        <f>'All regions'!4147:4147-"n/&gt;!.ny"</f>
        <v>#VALUE!</v>
      </c>
      <c r="AZ242" t="e">
        <f>'All regions'!4148:4148-"n/&gt;!.nz"</f>
        <v>#VALUE!</v>
      </c>
      <c r="BA242" t="e">
        <f>'All regions'!4149:4149-"n/&gt;!.n{"</f>
        <v>#VALUE!</v>
      </c>
      <c r="BB242" t="e">
        <f>'All regions'!4150:4150-"n/&gt;!.n|"</f>
        <v>#VALUE!</v>
      </c>
      <c r="BC242" t="e">
        <f>'All regions'!4151:4151-"n/&gt;!.n}"</f>
        <v>#VALUE!</v>
      </c>
      <c r="BD242" t="e">
        <f>'All regions'!4152:4152-"n/&gt;!.n~"</f>
        <v>#VALUE!</v>
      </c>
      <c r="BE242" t="e">
        <f>'All regions'!4153:4153-"n/&gt;!.o#"</f>
        <v>#VALUE!</v>
      </c>
      <c r="BF242" t="e">
        <f>'All regions'!4154:4154-"n/&gt;!.o$"</f>
        <v>#VALUE!</v>
      </c>
      <c r="BG242" t="e">
        <f>'All regions'!4155:4155-"n/&gt;!.o%"</f>
        <v>#VALUE!</v>
      </c>
      <c r="BH242" t="e">
        <f>'All regions'!4156:4156-"n/&gt;!.o&amp;"</f>
        <v>#VALUE!</v>
      </c>
      <c r="BI242" t="e">
        <f>'All regions'!4157:4157-"n/&gt;!.o'"</f>
        <v>#VALUE!</v>
      </c>
      <c r="BJ242" t="e">
        <f>'All regions'!4158:4158-"n/&gt;!.o("</f>
        <v>#VALUE!</v>
      </c>
      <c r="BK242" t="e">
        <f>'All regions'!4159:4159-"n/&gt;!.o)"</f>
        <v>#VALUE!</v>
      </c>
      <c r="BL242" t="e">
        <f>'All regions'!4160:4160-"n/&gt;!.o."</f>
        <v>#VALUE!</v>
      </c>
      <c r="BM242" t="e">
        <f>'All regions'!4161:4161-"n/&gt;!.o/"</f>
        <v>#VALUE!</v>
      </c>
      <c r="BN242" t="e">
        <f>'All regions'!4162:4162-"n/&gt;!.o0"</f>
        <v>#VALUE!</v>
      </c>
      <c r="BO242" t="e">
        <f>'All regions'!4163:4163-"n/&gt;!.o1"</f>
        <v>#VALUE!</v>
      </c>
      <c r="BP242" t="e">
        <f>'All regions'!4164:4164-"n/&gt;!.o2"</f>
        <v>#VALUE!</v>
      </c>
      <c r="BQ242" t="e">
        <f>'All regions'!4165:4165-"n/&gt;!.o3"</f>
        <v>#VALUE!</v>
      </c>
      <c r="BR242" t="e">
        <f>'All regions'!4166:4166-"n/&gt;!.o4"</f>
        <v>#VALUE!</v>
      </c>
      <c r="BS242" t="e">
        <f>'All regions'!4167:4167-"n/&gt;!.o5"</f>
        <v>#VALUE!</v>
      </c>
      <c r="BT242" t="e">
        <f>'All regions'!4168:4168-"n/&gt;!.o6"</f>
        <v>#VALUE!</v>
      </c>
      <c r="BU242" t="e">
        <f>'All regions'!4169:4169-"n/&gt;!.o7"</f>
        <v>#VALUE!</v>
      </c>
      <c r="BV242" t="e">
        <f>'All regions'!4170:4170-"n/&gt;!.o8"</f>
        <v>#VALUE!</v>
      </c>
      <c r="BW242" t="e">
        <f>'All regions'!4171:4171-"n/&gt;!.o9"</f>
        <v>#VALUE!</v>
      </c>
      <c r="BX242" t="e">
        <f>'All regions'!4172:4172-"n/&gt;!.o:"</f>
        <v>#VALUE!</v>
      </c>
      <c r="BY242" t="e">
        <f>'All regions'!4173:4173-"n/&gt;!.o;"</f>
        <v>#VALUE!</v>
      </c>
      <c r="BZ242" t="e">
        <f>'All regions'!4174:4174-"n/&gt;!.o&lt;"</f>
        <v>#VALUE!</v>
      </c>
      <c r="CA242" t="e">
        <f>'All regions'!4175:4175-"n/&gt;!.o="</f>
        <v>#VALUE!</v>
      </c>
      <c r="CB242" t="e">
        <f>'All regions'!4176:4176-"n/&gt;!.o&gt;"</f>
        <v>#VALUE!</v>
      </c>
      <c r="CC242" t="e">
        <f>'All regions'!4177:4177-"n/&gt;!.o?"</f>
        <v>#VALUE!</v>
      </c>
      <c r="CD242" t="e">
        <f>'All regions'!4178:4178-"n/&gt;!.o@"</f>
        <v>#VALUE!</v>
      </c>
      <c r="CE242" t="e">
        <f>'All regions'!4179:4179-"n/&gt;!.oA"</f>
        <v>#VALUE!</v>
      </c>
      <c r="CF242" t="e">
        <f>'All regions'!4180:4180-"n/&gt;!.oB"</f>
        <v>#VALUE!</v>
      </c>
      <c r="CG242" t="e">
        <f>'All regions'!4181:4181-"n/&gt;!.oC"</f>
        <v>#VALUE!</v>
      </c>
      <c r="CH242" t="e">
        <f>'All regions'!4182:4182-"n/&gt;!.oD"</f>
        <v>#VALUE!</v>
      </c>
      <c r="CI242" t="e">
        <f>'All regions'!4183:4183-"n/&gt;!.oE"</f>
        <v>#VALUE!</v>
      </c>
      <c r="CJ242" t="e">
        <f>'All regions'!4184:4184-"n/&gt;!.oF"</f>
        <v>#VALUE!</v>
      </c>
      <c r="CK242" t="e">
        <f>'All regions'!4185:4185-"n/&gt;!.oG"</f>
        <v>#VALUE!</v>
      </c>
      <c r="CL242" t="e">
        <f>'All regions'!4186:4186-"n/&gt;!.oH"</f>
        <v>#VALUE!</v>
      </c>
      <c r="CM242" t="e">
        <f>'All regions'!4187:4187-"n/&gt;!.oI"</f>
        <v>#VALUE!</v>
      </c>
      <c r="CN242" t="e">
        <f>'All regions'!4188:4188-"n/&gt;!.oJ"</f>
        <v>#VALUE!</v>
      </c>
      <c r="CO242" t="e">
        <f>'All regions'!4189:4189-"n/&gt;!.oK"</f>
        <v>#VALUE!</v>
      </c>
      <c r="CP242" t="e">
        <f>'All regions'!4190:4190-"n/&gt;!.oL"</f>
        <v>#VALUE!</v>
      </c>
      <c r="CQ242" t="e">
        <f>'All regions'!4191:4191-"n/&gt;!.oM"</f>
        <v>#VALUE!</v>
      </c>
      <c r="CR242" t="e">
        <f>'All regions'!4192:4192-"n/&gt;!.oN"</f>
        <v>#VALUE!</v>
      </c>
      <c r="CS242" t="e">
        <f>'All regions'!4193:4193-"n/&gt;!.oO"</f>
        <v>#VALUE!</v>
      </c>
      <c r="CT242" t="e">
        <f>'All regions'!4194:4194-"n/&gt;!.oP"</f>
        <v>#VALUE!</v>
      </c>
      <c r="CU242" t="e">
        <f>'All regions'!4195:4195-"n/&gt;!.oQ"</f>
        <v>#VALUE!</v>
      </c>
      <c r="CV242" t="e">
        <f>'All regions'!4196:4196-"n/&gt;!.oR"</f>
        <v>#VALUE!</v>
      </c>
      <c r="CW242" t="e">
        <f>'All regions'!4197:4197-"n/&gt;!.oS"</f>
        <v>#VALUE!</v>
      </c>
      <c r="CX242" t="e">
        <f>'All regions'!4198:4198-"n/&gt;!.oT"</f>
        <v>#VALUE!</v>
      </c>
      <c r="CY242" t="e">
        <f>'All regions'!4199:4199-"n/&gt;!.oU"</f>
        <v>#VALUE!</v>
      </c>
      <c r="CZ242" t="e">
        <f>'All regions'!4200:4200-"n/&gt;!.oV"</f>
        <v>#VALUE!</v>
      </c>
      <c r="DA242" t="e">
        <f>'All regions'!4201:4201-"n/&gt;!.oW"</f>
        <v>#VALUE!</v>
      </c>
      <c r="DB242" t="e">
        <f>'All regions'!4202:4202-"n/&gt;!.oX"</f>
        <v>#VALUE!</v>
      </c>
      <c r="DC242" t="e">
        <f>'All regions'!4203:4203-"n/&gt;!.oY"</f>
        <v>#VALUE!</v>
      </c>
      <c r="DD242" t="e">
        <f>'All regions'!4204:4204-"n/&gt;!.oZ"</f>
        <v>#VALUE!</v>
      </c>
      <c r="DE242" t="e">
        <f>'All regions'!4205:4205-"n/&gt;!.o["</f>
        <v>#VALUE!</v>
      </c>
      <c r="DF242" t="e">
        <f>'All regions'!4206:4206-"n/&gt;!.o\"</f>
        <v>#VALUE!</v>
      </c>
      <c r="DG242" t="e">
        <f>'All regions'!4207:4207-"n/&gt;!.o]"</f>
        <v>#VALUE!</v>
      </c>
      <c r="DH242" t="e">
        <f>'All regions'!4208:4208-"n/&gt;!.o^"</f>
        <v>#VALUE!</v>
      </c>
      <c r="DI242" t="e">
        <f>'All regions'!4209:4209-"n/&gt;!.o_"</f>
        <v>#VALUE!</v>
      </c>
      <c r="DJ242" t="e">
        <f>'All regions'!4210:4210-"n/&gt;!.o`"</f>
        <v>#VALUE!</v>
      </c>
      <c r="DK242" t="e">
        <f>'All regions'!4211:4211-"n/&gt;!.oa"</f>
        <v>#VALUE!</v>
      </c>
      <c r="DL242" t="e">
        <f>'All regions'!4212:4212-"n/&gt;!.ob"</f>
        <v>#VALUE!</v>
      </c>
      <c r="DM242" t="e">
        <f>'All regions'!4213:4213-"n/&gt;!.oc"</f>
        <v>#VALUE!</v>
      </c>
      <c r="DN242" t="e">
        <f>'All regions'!4214:4214-"n/&gt;!.od"</f>
        <v>#VALUE!</v>
      </c>
      <c r="DO242" t="e">
        <f>'All regions'!4215:4215-"n/&gt;!.oe"</f>
        <v>#VALUE!</v>
      </c>
      <c r="DP242" t="e">
        <f>'All regions'!4216:4216-"n/&gt;!.of"</f>
        <v>#VALUE!</v>
      </c>
      <c r="DQ242" t="e">
        <f>'All regions'!4217:4217-"n/&gt;!.og"</f>
        <v>#VALUE!</v>
      </c>
      <c r="DR242" t="e">
        <f>'All regions'!4218:4218-"n/&gt;!.oh"</f>
        <v>#VALUE!</v>
      </c>
      <c r="DS242" t="e">
        <f>'All regions'!4219:4219-"n/&gt;!.oi"</f>
        <v>#VALUE!</v>
      </c>
      <c r="DT242" t="e">
        <f>'All regions'!4220:4220-"n/&gt;!.oj"</f>
        <v>#VALUE!</v>
      </c>
      <c r="DU242" t="e">
        <f>'All regions'!4221:4221-"n/&gt;!.ok"</f>
        <v>#VALUE!</v>
      </c>
      <c r="DV242" t="e">
        <f>'All regions'!4222:4222-"n/&gt;!.ol"</f>
        <v>#VALUE!</v>
      </c>
      <c r="DW242" t="e">
        <f>'All regions'!4223:4223-"n/&gt;!.om"</f>
        <v>#VALUE!</v>
      </c>
      <c r="DX242" t="e">
        <f>'All regions'!4224:4224-"n/&gt;!.on"</f>
        <v>#VALUE!</v>
      </c>
      <c r="DY242" t="e">
        <f>'All regions'!4225:4225-"n/&gt;!.oo"</f>
        <v>#VALUE!</v>
      </c>
      <c r="DZ242" t="e">
        <f>'All regions'!4226:4226-"n/&gt;!.op"</f>
        <v>#VALUE!</v>
      </c>
      <c r="EA242" t="e">
        <f>'All regions'!4227:4227-"n/&gt;!.oq"</f>
        <v>#VALUE!</v>
      </c>
      <c r="EB242" t="e">
        <f>'All regions'!4228:4228-"n/&gt;!.or"</f>
        <v>#VALUE!</v>
      </c>
      <c r="EC242" t="e">
        <f>'All regions'!4229:4229-"n/&gt;!.os"</f>
        <v>#VALUE!</v>
      </c>
      <c r="ED242" t="e">
        <f>'All regions'!4230:4230-"n/&gt;!.ot"</f>
        <v>#VALUE!</v>
      </c>
      <c r="EE242" t="e">
        <f>'All regions'!4231:4231-"n/&gt;!.ou"</f>
        <v>#VALUE!</v>
      </c>
      <c r="EF242" t="e">
        <f>'All regions'!4232:4232-"n/&gt;!.ov"</f>
        <v>#VALUE!</v>
      </c>
      <c r="EG242" t="e">
        <f>'All regions'!4233:4233-"n/&gt;!.ow"</f>
        <v>#VALUE!</v>
      </c>
      <c r="EH242" t="e">
        <f>'All regions'!4234:4234-"n/&gt;!.ox"</f>
        <v>#VALUE!</v>
      </c>
      <c r="EI242" t="e">
        <f>'All regions'!4235:4235-"n/&gt;!.oy"</f>
        <v>#VALUE!</v>
      </c>
      <c r="EJ242" t="e">
        <f>'All regions'!4236:4236-"n/&gt;!.oz"</f>
        <v>#VALUE!</v>
      </c>
      <c r="EK242" t="e">
        <f>'All regions'!4237:4237-"n/&gt;!.o{"</f>
        <v>#VALUE!</v>
      </c>
      <c r="EL242" t="e">
        <f>'All regions'!4238:4238-"n/&gt;!.o|"</f>
        <v>#VALUE!</v>
      </c>
      <c r="EM242" t="e">
        <f>'All regions'!4239:4239-"n/&gt;!.o}"</f>
        <v>#VALUE!</v>
      </c>
      <c r="EN242" t="e">
        <f>'All regions'!4240:4240-"n/&gt;!.o~"</f>
        <v>#VALUE!</v>
      </c>
      <c r="EO242" t="e">
        <f>'All regions'!4241:4241-"n/&gt;!.p#"</f>
        <v>#VALUE!</v>
      </c>
      <c r="EP242" t="e">
        <f>'All regions'!4242:4242-"n/&gt;!.p$"</f>
        <v>#VALUE!</v>
      </c>
      <c r="EQ242" t="e">
        <f>'All regions'!4243:4243-"n/&gt;!.p%"</f>
        <v>#VALUE!</v>
      </c>
      <c r="ER242" t="e">
        <f>'All regions'!4244:4244-"n/&gt;!.p&amp;"</f>
        <v>#VALUE!</v>
      </c>
      <c r="ES242" t="e">
        <f>'All regions'!4245:4245-"n/&gt;!.p'"</f>
        <v>#VALUE!</v>
      </c>
      <c r="ET242" t="e">
        <f>'All regions'!4246:4246-"n/&gt;!.p("</f>
        <v>#VALUE!</v>
      </c>
      <c r="EU242" t="e">
        <f>'All regions'!4247:4247-"n/&gt;!.p)"</f>
        <v>#VALUE!</v>
      </c>
      <c r="EV242" t="e">
        <f>'All regions'!4248:4248-"n/&gt;!.p."</f>
        <v>#VALUE!</v>
      </c>
      <c r="EW242" t="e">
        <f>'All regions'!4249:4249-"n/&gt;!.p/"</f>
        <v>#VALUE!</v>
      </c>
      <c r="EX242" t="e">
        <f>'All regions'!4250:4250-"n/&gt;!.p0"</f>
        <v>#VALUE!</v>
      </c>
      <c r="EY242" t="e">
        <f>'All regions'!4251:4251-"n/&gt;!.p1"</f>
        <v>#VALUE!</v>
      </c>
      <c r="EZ242" t="e">
        <f>'All regions'!4252:4252-"n/&gt;!.p2"</f>
        <v>#VALUE!</v>
      </c>
      <c r="FA242" t="e">
        <f>'All regions'!4253:4253-"n/&gt;!.p3"</f>
        <v>#VALUE!</v>
      </c>
      <c r="FB242" t="e">
        <f>'All regions'!4254:4254-"n/&gt;!.p4"</f>
        <v>#VALUE!</v>
      </c>
      <c r="FC242" t="e">
        <f>'All regions'!4255:4255-"n/&gt;!.p5"</f>
        <v>#VALUE!</v>
      </c>
      <c r="FD242" t="e">
        <f>'All regions'!4256:4256-"n/&gt;!.p6"</f>
        <v>#VALUE!</v>
      </c>
      <c r="FE242" t="e">
        <f>'All regions'!4257:4257-"n/&gt;!.p7"</f>
        <v>#VALUE!</v>
      </c>
      <c r="FF242" t="e">
        <f>'All regions'!4258:4258-"n/&gt;!.p8"</f>
        <v>#VALUE!</v>
      </c>
      <c r="FG242" t="e">
        <f>'All regions'!4259:4259-"n/&gt;!.p9"</f>
        <v>#VALUE!</v>
      </c>
      <c r="FH242" t="e">
        <f>'All regions'!4260:4260-"n/&gt;!.p:"</f>
        <v>#VALUE!</v>
      </c>
      <c r="FI242" t="e">
        <f>'All regions'!4261:4261-"n/&gt;!.p;"</f>
        <v>#VALUE!</v>
      </c>
      <c r="FJ242" t="e">
        <f>'All regions'!4262:4262-"n/&gt;!.p&lt;"</f>
        <v>#VALUE!</v>
      </c>
      <c r="FK242" t="e">
        <f>'All regions'!4263:4263-"n/&gt;!.p="</f>
        <v>#VALUE!</v>
      </c>
      <c r="FL242" t="e">
        <f>'All regions'!4264:4264-"n/&gt;!.p&gt;"</f>
        <v>#VALUE!</v>
      </c>
      <c r="FM242" t="e">
        <f>'All regions'!4265:4265-"n/&gt;!.p?"</f>
        <v>#VALUE!</v>
      </c>
      <c r="FN242" t="e">
        <f>'All regions'!4266:4266-"n/&gt;!.p@"</f>
        <v>#VALUE!</v>
      </c>
      <c r="FO242" t="e">
        <f>'All regions'!4267:4267-"n/&gt;!.pA"</f>
        <v>#VALUE!</v>
      </c>
      <c r="FP242" t="e">
        <f>'All regions'!4268:4268-"n/&gt;!.pB"</f>
        <v>#VALUE!</v>
      </c>
      <c r="FQ242" t="e">
        <f>'All regions'!4269:4269-"n/&gt;!.pC"</f>
        <v>#VALUE!</v>
      </c>
      <c r="FR242" t="e">
        <f>'All regions'!4270:4270-"n/&gt;!.pD"</f>
        <v>#VALUE!</v>
      </c>
      <c r="FS242" t="e">
        <f>'All regions'!4271:4271-"n/&gt;!.pE"</f>
        <v>#VALUE!</v>
      </c>
      <c r="FT242" t="e">
        <f>'All regions'!4272:4272-"n/&gt;!.pF"</f>
        <v>#VALUE!</v>
      </c>
      <c r="FU242" t="e">
        <f>'All regions'!4273:4273-"n/&gt;!.pG"</f>
        <v>#VALUE!</v>
      </c>
      <c r="FV242" t="e">
        <f>'All regions'!4274:4274-"n/&gt;!.pH"</f>
        <v>#VALUE!</v>
      </c>
      <c r="FW242" t="e">
        <f>'All regions'!4275:4275-"n/&gt;!.pI"</f>
        <v>#VALUE!</v>
      </c>
      <c r="FX242" t="e">
        <f>'All regions'!4276:4276-"n/&gt;!.pJ"</f>
        <v>#VALUE!</v>
      </c>
      <c r="FY242" t="e">
        <f>'All regions'!4277:4277-"n/&gt;!.pK"</f>
        <v>#VALUE!</v>
      </c>
      <c r="FZ242" t="e">
        <f>'All regions'!4278:4278-"n/&gt;!.pL"</f>
        <v>#VALUE!</v>
      </c>
      <c r="GA242" t="e">
        <f>'All regions'!4279:4279-"n/&gt;!.pM"</f>
        <v>#VALUE!</v>
      </c>
      <c r="GB242" t="e">
        <f>'All regions'!4280:4280-"n/&gt;!.pN"</f>
        <v>#VALUE!</v>
      </c>
      <c r="GC242" t="e">
        <f>'All regions'!4281:4281-"n/&gt;!.pO"</f>
        <v>#VALUE!</v>
      </c>
      <c r="GD242" t="e">
        <f>'All regions'!4282:4282-"n/&gt;!.pP"</f>
        <v>#VALUE!</v>
      </c>
      <c r="GE242" t="e">
        <f>'All regions'!4283:4283-"n/&gt;!.pQ"</f>
        <v>#VALUE!</v>
      </c>
      <c r="GF242" t="e">
        <f>'All regions'!4284:4284-"n/&gt;!.pR"</f>
        <v>#VALUE!</v>
      </c>
      <c r="GG242" t="e">
        <f>'All regions'!4285:4285-"n/&gt;!.pS"</f>
        <v>#VALUE!</v>
      </c>
      <c r="GH242" t="e">
        <f>'All regions'!4286:4286-"n/&gt;!.pT"</f>
        <v>#VALUE!</v>
      </c>
      <c r="GI242" t="e">
        <f>'All regions'!4287:4287-"n/&gt;!.pU"</f>
        <v>#VALUE!</v>
      </c>
      <c r="GJ242" t="e">
        <f>'All regions'!4288:4288-"n/&gt;!.pV"</f>
        <v>#VALUE!</v>
      </c>
      <c r="GK242" t="e">
        <f>'All regions'!4289:4289-"n/&gt;!.pW"</f>
        <v>#VALUE!</v>
      </c>
      <c r="GL242" t="e">
        <f>'All regions'!4290:4290-"n/&gt;!.pX"</f>
        <v>#VALUE!</v>
      </c>
      <c r="GM242" t="e">
        <f>'All regions'!4291:4291-"n/&gt;!.pY"</f>
        <v>#VALUE!</v>
      </c>
      <c r="GN242" t="e">
        <f>'All regions'!4292:4292-"n/&gt;!.pZ"</f>
        <v>#VALUE!</v>
      </c>
      <c r="GO242" t="e">
        <f>'All regions'!4293:4293-"n/&gt;!.p["</f>
        <v>#VALUE!</v>
      </c>
      <c r="GP242" t="e">
        <f>'All regions'!4294:4294-"n/&gt;!.p\"</f>
        <v>#VALUE!</v>
      </c>
      <c r="GQ242" t="e">
        <f>'All regions'!4295:4295-"n/&gt;!.p]"</f>
        <v>#VALUE!</v>
      </c>
      <c r="GR242" t="e">
        <f>'All regions'!4296:4296-"n/&gt;!.p^"</f>
        <v>#VALUE!</v>
      </c>
      <c r="GS242" t="e">
        <f>'All regions'!4297:4297-"n/&gt;!.p_"</f>
        <v>#VALUE!</v>
      </c>
      <c r="GT242" t="e">
        <f>'All regions'!4298:4298-"n/&gt;!.p`"</f>
        <v>#VALUE!</v>
      </c>
      <c r="GU242" t="e">
        <f>'All regions'!4299:4299-"n/&gt;!.pa"</f>
        <v>#VALUE!</v>
      </c>
      <c r="GV242" t="e">
        <f>'All regions'!4300:4300-"n/&gt;!.pb"</f>
        <v>#VALUE!</v>
      </c>
      <c r="GW242" t="e">
        <f>'All regions'!4301:4301-"n/&gt;!.pc"</f>
        <v>#VALUE!</v>
      </c>
      <c r="GX242" t="e">
        <f>'All regions'!4302:4302-"n/&gt;!.pd"</f>
        <v>#VALUE!</v>
      </c>
      <c r="GY242" t="e">
        <f>'All regions'!4303:4303-"n/&gt;!.pe"</f>
        <v>#VALUE!</v>
      </c>
      <c r="GZ242" t="e">
        <f>'All regions'!4304:4304-"n/&gt;!.pf"</f>
        <v>#VALUE!</v>
      </c>
      <c r="HA242" t="e">
        <f>'All regions'!4305:4305-"n/&gt;!.pg"</f>
        <v>#VALUE!</v>
      </c>
      <c r="HB242" t="e">
        <f>'All regions'!4306:4306-"n/&gt;!.ph"</f>
        <v>#VALUE!</v>
      </c>
      <c r="HC242" t="e">
        <f>'All regions'!4307:4307-"n/&gt;!.pi"</f>
        <v>#VALUE!</v>
      </c>
      <c r="HD242" t="e">
        <f>'All regions'!4308:4308-"n/&gt;!.pj"</f>
        <v>#VALUE!</v>
      </c>
      <c r="HE242" t="e">
        <f>'All regions'!4309:4309-"n/&gt;!.pk"</f>
        <v>#VALUE!</v>
      </c>
      <c r="HF242" t="e">
        <f>'All regions'!4310:4310-"n/&gt;!.pl"</f>
        <v>#VALUE!</v>
      </c>
      <c r="HG242" t="e">
        <f>'All regions'!4311:4311-"n/&gt;!.pm"</f>
        <v>#VALUE!</v>
      </c>
      <c r="HH242" t="e">
        <f>'All regions'!4312:4312-"n/&gt;!.pn"</f>
        <v>#VALUE!</v>
      </c>
      <c r="HI242" t="e">
        <f>'All regions'!4313:4313-"n/&gt;!.po"</f>
        <v>#VALUE!</v>
      </c>
      <c r="HJ242" t="e">
        <f>'All regions'!4314:4314-"n/&gt;!.pp"</f>
        <v>#VALUE!</v>
      </c>
      <c r="HK242" t="e">
        <f>'All regions'!4315:4315-"n/&gt;!.pq"</f>
        <v>#VALUE!</v>
      </c>
      <c r="HL242" t="e">
        <f>'All regions'!4316:4316-"n/&gt;!.pr"</f>
        <v>#VALUE!</v>
      </c>
      <c r="HM242" t="e">
        <f>'All regions'!4317:4317-"n/&gt;!.ps"</f>
        <v>#VALUE!</v>
      </c>
      <c r="HN242" t="e">
        <f>'All regions'!4318:4318-"n/&gt;!.pt"</f>
        <v>#VALUE!</v>
      </c>
      <c r="HO242" t="e">
        <f>'All regions'!4319:4319-"n/&gt;!.pu"</f>
        <v>#VALUE!</v>
      </c>
      <c r="HP242" t="e">
        <f>'All regions'!4320:4320-"n/&gt;!.pv"</f>
        <v>#VALUE!</v>
      </c>
      <c r="HQ242" t="e">
        <f>'All regions'!4321:4321-"n/&gt;!.pw"</f>
        <v>#VALUE!</v>
      </c>
      <c r="HR242" t="e">
        <f>'All regions'!4322:4322-"n/&gt;!.px"</f>
        <v>#VALUE!</v>
      </c>
      <c r="HS242" t="e">
        <f>'All regions'!4323:4323-"n/&gt;!.py"</f>
        <v>#VALUE!</v>
      </c>
      <c r="HT242" t="e">
        <f>'All regions'!4324:4324-"n/&gt;!.pz"</f>
        <v>#VALUE!</v>
      </c>
      <c r="HU242" t="e">
        <f>'All regions'!4325:4325-"n/&gt;!.p{"</f>
        <v>#VALUE!</v>
      </c>
      <c r="HV242" t="e">
        <f>'All regions'!4326:4326-"n/&gt;!.p|"</f>
        <v>#VALUE!</v>
      </c>
      <c r="HW242" t="e">
        <f>'All regions'!4327:4327-"n/&gt;!.p}"</f>
        <v>#VALUE!</v>
      </c>
      <c r="HX242" t="e">
        <f>'All regions'!4328:4328-"n/&gt;!.p~"</f>
        <v>#VALUE!</v>
      </c>
      <c r="HY242" t="e">
        <f>'All regions'!4329:4329-"n/&gt;!.q#"</f>
        <v>#VALUE!</v>
      </c>
      <c r="HZ242" t="e">
        <f>'All regions'!4330:4330-"n/&gt;!.q$"</f>
        <v>#VALUE!</v>
      </c>
      <c r="IA242" t="e">
        <f>'All regions'!4331:4331-"n/&gt;!.q%"</f>
        <v>#VALUE!</v>
      </c>
      <c r="IB242" t="e">
        <f>'All regions'!4332:4332-"n/&gt;!.q&amp;"</f>
        <v>#VALUE!</v>
      </c>
      <c r="IC242" t="e">
        <f>'All regions'!4333:4333-"n/&gt;!.q'"</f>
        <v>#VALUE!</v>
      </c>
      <c r="ID242" t="e">
        <f>'All regions'!4334:4334-"n/&gt;!.q("</f>
        <v>#VALUE!</v>
      </c>
      <c r="IE242" t="e">
        <f>'All regions'!4335:4335-"n/&gt;!.q)"</f>
        <v>#VALUE!</v>
      </c>
      <c r="IF242" t="e">
        <f>'All regions'!4336:4336-"n/&gt;!.q."</f>
        <v>#VALUE!</v>
      </c>
      <c r="IG242" t="e">
        <f>'All regions'!4337:4337-"n/&gt;!.q/"</f>
        <v>#VALUE!</v>
      </c>
      <c r="IH242" t="e">
        <f>'All regions'!4338:4338-"n/&gt;!.q0"</f>
        <v>#VALUE!</v>
      </c>
      <c r="II242" t="e">
        <f>'All regions'!4339:4339-"n/&gt;!.q1"</f>
        <v>#VALUE!</v>
      </c>
      <c r="IJ242" t="e">
        <f>'All regions'!4340:4340-"n/&gt;!.q2"</f>
        <v>#VALUE!</v>
      </c>
      <c r="IK242" t="e">
        <f>'All regions'!4341:4341-"n/&gt;!.q3"</f>
        <v>#VALUE!</v>
      </c>
      <c r="IL242" t="e">
        <f>'All regions'!4342:4342-"n/&gt;!.q4"</f>
        <v>#VALUE!</v>
      </c>
      <c r="IM242" t="e">
        <f>'All regions'!4343:4343-"n/&gt;!.q5"</f>
        <v>#VALUE!</v>
      </c>
      <c r="IN242" t="e">
        <f>'All regions'!4344:4344-"n/&gt;!.q6"</f>
        <v>#VALUE!</v>
      </c>
      <c r="IO242" t="e">
        <f>'All regions'!4345:4345-"n/&gt;!.q7"</f>
        <v>#VALUE!</v>
      </c>
      <c r="IP242" t="e">
        <f>'All regions'!4346:4346-"n/&gt;!.q8"</f>
        <v>#VALUE!</v>
      </c>
      <c r="IQ242" t="e">
        <f>'All regions'!4347:4347-"n/&gt;!.q9"</f>
        <v>#VALUE!</v>
      </c>
      <c r="IR242" t="e">
        <f>'All regions'!4348:4348-"n/&gt;!.q:"</f>
        <v>#VALUE!</v>
      </c>
      <c r="IS242" t="e">
        <f>'All regions'!4349:4349-"n/&gt;!.q;"</f>
        <v>#VALUE!</v>
      </c>
      <c r="IT242" t="e">
        <f>'All regions'!4350:4350-"n/&gt;!.q&lt;"</f>
        <v>#VALUE!</v>
      </c>
      <c r="IU242" t="e">
        <f>'All regions'!4351:4351-"n/&gt;!.q="</f>
        <v>#VALUE!</v>
      </c>
      <c r="IV242" t="e">
        <f>'All regions'!4352:4352-"n/&gt;!.q&gt;"</f>
        <v>#VALUE!</v>
      </c>
    </row>
    <row r="243" spans="6:256" x14ac:dyDescent="0.35">
      <c r="F243" t="e">
        <f>'All regions'!4353:4353-"n/&gt;!.q?"</f>
        <v>#VALUE!</v>
      </c>
      <c r="G243" t="e">
        <f>'All regions'!4354:4354-"n/&gt;!.q@"</f>
        <v>#VALUE!</v>
      </c>
      <c r="H243" t="e">
        <f>'All regions'!4355:4355-"n/&gt;!.qA"</f>
        <v>#VALUE!</v>
      </c>
      <c r="I243" t="e">
        <f>'All regions'!4356:4356-"n/&gt;!.qB"</f>
        <v>#VALUE!</v>
      </c>
      <c r="J243" t="e">
        <f>'All regions'!4357:4357-"n/&gt;!.qC"</f>
        <v>#VALUE!</v>
      </c>
      <c r="K243" t="e">
        <f>'All regions'!4358:4358-"n/&gt;!.qD"</f>
        <v>#VALUE!</v>
      </c>
      <c r="L243" t="e">
        <f>'All regions'!4359:4359-"n/&gt;!.qE"</f>
        <v>#VALUE!</v>
      </c>
      <c r="M243" t="e">
        <f>'All regions'!4360:4360-"n/&gt;!.qF"</f>
        <v>#VALUE!</v>
      </c>
      <c r="N243" t="e">
        <f>'All regions'!4361:4361-"n/&gt;!.qG"</f>
        <v>#VALUE!</v>
      </c>
      <c r="O243" t="e">
        <f>'All regions'!4362:4362-"n/&gt;!.qH"</f>
        <v>#VALUE!</v>
      </c>
      <c r="P243" t="e">
        <f>'All regions'!4363:4363-"n/&gt;!.qI"</f>
        <v>#VALUE!</v>
      </c>
      <c r="Q243" t="e">
        <f>'All regions'!4364:4364-"n/&gt;!.qJ"</f>
        <v>#VALUE!</v>
      </c>
      <c r="R243" t="e">
        <f>'All regions'!4365:4365-"n/&gt;!.qK"</f>
        <v>#VALUE!</v>
      </c>
      <c r="S243" t="e">
        <f>'All regions'!4366:4366-"n/&gt;!.qL"</f>
        <v>#VALUE!</v>
      </c>
      <c r="T243" t="e">
        <f>'All regions'!4367:4367-"n/&gt;!.qM"</f>
        <v>#VALUE!</v>
      </c>
      <c r="U243" t="e">
        <f>'All regions'!4368:4368-"n/&gt;!.qN"</f>
        <v>#VALUE!</v>
      </c>
      <c r="V243" t="e">
        <f>'All regions'!4369:4369-"n/&gt;!.qO"</f>
        <v>#VALUE!</v>
      </c>
      <c r="W243" t="e">
        <f>'All regions'!4370:4370-"n/&gt;!.qP"</f>
        <v>#VALUE!</v>
      </c>
      <c r="X243" t="e">
        <f>'All regions'!4371:4371-"n/&gt;!.qQ"</f>
        <v>#VALUE!</v>
      </c>
      <c r="Y243" t="e">
        <f>'All regions'!4372:4372-"n/&gt;!.qR"</f>
        <v>#VALUE!</v>
      </c>
      <c r="Z243" t="e">
        <f>'All regions'!4373:4373-"n/&gt;!.qS"</f>
        <v>#VALUE!</v>
      </c>
      <c r="AA243" t="e">
        <f>'All regions'!4374:4374-"n/&gt;!.qT"</f>
        <v>#VALUE!</v>
      </c>
      <c r="AB243" t="e">
        <f>'All regions'!4375:4375-"n/&gt;!.qU"</f>
        <v>#VALUE!</v>
      </c>
      <c r="AC243" t="e">
        <f>'All regions'!4376:4376-"n/&gt;!.qV"</f>
        <v>#VALUE!</v>
      </c>
      <c r="AD243" t="e">
        <f>'All regions'!4377:4377-"n/&gt;!.qW"</f>
        <v>#VALUE!</v>
      </c>
      <c r="AE243" t="e">
        <f>'All regions'!4378:4378-"n/&gt;!.qX"</f>
        <v>#VALUE!</v>
      </c>
      <c r="AF243" t="e">
        <f>'All regions'!4379:4379-"n/&gt;!.qY"</f>
        <v>#VALUE!</v>
      </c>
      <c r="AG243" t="e">
        <f>'All regions'!4380:4380-"n/&gt;!.qZ"</f>
        <v>#VALUE!</v>
      </c>
      <c r="AH243" t="e">
        <f>'All regions'!4381:4381-"n/&gt;!.q["</f>
        <v>#VALUE!</v>
      </c>
      <c r="AI243" t="e">
        <f>'All regions'!4382:4382-"n/&gt;!.q\"</f>
        <v>#VALUE!</v>
      </c>
      <c r="AJ243" t="e">
        <f>'All regions'!4383:4383-"n/&gt;!.q]"</f>
        <v>#VALUE!</v>
      </c>
      <c r="AK243" t="e">
        <f>'All regions'!4384:4384-"n/&gt;!.q^"</f>
        <v>#VALUE!</v>
      </c>
      <c r="AL243" t="e">
        <f>'All regions'!4385:4385-"n/&gt;!.q_"</f>
        <v>#VALUE!</v>
      </c>
      <c r="AM243" t="e">
        <f>'All regions'!4386:4386-"n/&gt;!.q`"</f>
        <v>#VALUE!</v>
      </c>
      <c r="AN243" t="e">
        <f>'All regions'!4387:4387-"n/&gt;!.qa"</f>
        <v>#VALUE!</v>
      </c>
      <c r="AO243" t="e">
        <f>'All regions'!4388:4388-"n/&gt;!.qb"</f>
        <v>#VALUE!</v>
      </c>
      <c r="AP243" t="e">
        <f>'All regions'!4389:4389-"n/&gt;!.qc"</f>
        <v>#VALUE!</v>
      </c>
      <c r="AQ243" t="e">
        <f>'All regions'!4390:4390-"n/&gt;!.qd"</f>
        <v>#VALUE!</v>
      </c>
      <c r="AR243" t="e">
        <f>'All regions'!4391:4391-"n/&gt;!.qe"</f>
        <v>#VALUE!</v>
      </c>
      <c r="AS243" t="e">
        <f>'All regions'!4392:4392-"n/&gt;!.qf"</f>
        <v>#VALUE!</v>
      </c>
      <c r="AT243" t="e">
        <f>'All regions'!4393:4393-"n/&gt;!.qg"</f>
        <v>#VALUE!</v>
      </c>
      <c r="AU243" t="e">
        <f>'All regions'!4394:4394-"n/&gt;!.qh"</f>
        <v>#VALUE!</v>
      </c>
      <c r="AV243" t="e">
        <f>'All regions'!4395:4395-"n/&gt;!.qi"</f>
        <v>#VALUE!</v>
      </c>
      <c r="AW243" t="e">
        <f>'All regions'!4396:4396-"n/&gt;!.qj"</f>
        <v>#VALUE!</v>
      </c>
      <c r="AX243" t="e">
        <f>'All regions'!4397:4397-"n/&gt;!.qk"</f>
        <v>#VALUE!</v>
      </c>
      <c r="AY243" t="e">
        <f>'All regions'!4398:4398-"n/&gt;!.ql"</f>
        <v>#VALUE!</v>
      </c>
      <c r="AZ243" t="e">
        <f>'All regions'!4399:4399-"n/&gt;!.qm"</f>
        <v>#VALUE!</v>
      </c>
      <c r="BA243" t="e">
        <f>'All regions'!4400:4400-"n/&gt;!.qn"</f>
        <v>#VALUE!</v>
      </c>
      <c r="BB243" t="e">
        <f>'All regions'!4401:4401-"n/&gt;!.qo"</f>
        <v>#VALUE!</v>
      </c>
      <c r="BC243" t="e">
        <f>'All regions'!4402:4402-"n/&gt;!.qp"</f>
        <v>#VALUE!</v>
      </c>
      <c r="BD243" t="e">
        <f>'All regions'!4403:4403-"n/&gt;!.qq"</f>
        <v>#VALUE!</v>
      </c>
      <c r="BE243" t="e">
        <f>'All regions'!4404:4404-"n/&gt;!.qr"</f>
        <v>#VALUE!</v>
      </c>
      <c r="BF243" t="e">
        <f>'All regions'!4405:4405-"n/&gt;!.qs"</f>
        <v>#VALUE!</v>
      </c>
      <c r="BG243" t="e">
        <f>'All regions'!4406:4406-"n/&gt;!.qt"</f>
        <v>#VALUE!</v>
      </c>
      <c r="BH243" t="e">
        <f>'All regions'!4407:4407-"n/&gt;!.qu"</f>
        <v>#VALUE!</v>
      </c>
      <c r="BI243" t="e">
        <f>'All regions'!4408:4408-"n/&gt;!.qv"</f>
        <v>#VALUE!</v>
      </c>
      <c r="BJ243" t="e">
        <f>'All regions'!4409:4409-"n/&gt;!.qw"</f>
        <v>#VALUE!</v>
      </c>
      <c r="BK243" t="e">
        <f>'All regions'!4410:4410-"n/&gt;!.qx"</f>
        <v>#VALUE!</v>
      </c>
      <c r="BL243" t="e">
        <f>'All regions'!4411:4411-"n/&gt;!.qy"</f>
        <v>#VALUE!</v>
      </c>
      <c r="BM243" t="e">
        <f>'All regions'!4412:4412-"n/&gt;!.qz"</f>
        <v>#VALUE!</v>
      </c>
      <c r="BN243" t="e">
        <f>'All regions'!4413:4413-"n/&gt;!.q{"</f>
        <v>#VALUE!</v>
      </c>
      <c r="BO243" t="e">
        <f>'All regions'!4414:4414-"n/&gt;!.q|"</f>
        <v>#VALUE!</v>
      </c>
      <c r="BP243" t="e">
        <f>'All regions'!4415:4415-"n/&gt;!.q}"</f>
        <v>#VALUE!</v>
      </c>
      <c r="BQ243" t="e">
        <f>'All regions'!4416:4416-"n/&gt;!.q~"</f>
        <v>#VALUE!</v>
      </c>
      <c r="BR243" t="e">
        <f>'All regions'!4417:4417-"n/&gt;!.r#"</f>
        <v>#VALUE!</v>
      </c>
      <c r="BS243" t="e">
        <f>'All regions'!4418:4418-"n/&gt;!.r$"</f>
        <v>#VALUE!</v>
      </c>
      <c r="BT243" t="e">
        <f>'All regions'!4419:4419-"n/&gt;!.r%"</f>
        <v>#VALUE!</v>
      </c>
      <c r="BU243" t="e">
        <f>'All regions'!4420:4420-"n/&gt;!.r&amp;"</f>
        <v>#VALUE!</v>
      </c>
      <c r="BV243" t="e">
        <f>'All regions'!4421:4421-"n/&gt;!.r'"</f>
        <v>#VALUE!</v>
      </c>
      <c r="BW243" t="e">
        <f>'All regions'!4422:4422-"n/&gt;!.r("</f>
        <v>#VALUE!</v>
      </c>
      <c r="BX243" t="e">
        <f>'All regions'!4423:4423-"n/&gt;!.r)"</f>
        <v>#VALUE!</v>
      </c>
      <c r="BY243" t="e">
        <f>'All regions'!4424:4424-"n/&gt;!.r."</f>
        <v>#VALUE!</v>
      </c>
      <c r="BZ243" t="e">
        <f>'All regions'!4425:4425-"n/&gt;!.r/"</f>
        <v>#VALUE!</v>
      </c>
      <c r="CA243" t="e">
        <f>'All regions'!4426:4426-"n/&gt;!.r0"</f>
        <v>#VALUE!</v>
      </c>
      <c r="CB243" t="e">
        <f>'All regions'!4427:4427-"n/&gt;!.r1"</f>
        <v>#VALUE!</v>
      </c>
      <c r="CC243" t="e">
        <f>'All regions'!4428:4428-"n/&gt;!.r2"</f>
        <v>#VALUE!</v>
      </c>
      <c r="CD243" t="e">
        <f>'All regions'!4429:4429-"n/&gt;!.r3"</f>
        <v>#VALUE!</v>
      </c>
      <c r="CE243" t="e">
        <f>'All regions'!4430:4430-"n/&gt;!.r4"</f>
        <v>#VALUE!</v>
      </c>
      <c r="CF243" t="e">
        <f>'All regions'!4431:4431-"n/&gt;!.r5"</f>
        <v>#VALUE!</v>
      </c>
      <c r="CG243" t="e">
        <f>'All regions'!4432:4432-"n/&gt;!.r6"</f>
        <v>#VALUE!</v>
      </c>
      <c r="CH243" t="e">
        <f>'All regions'!4433:4433-"n/&gt;!.r7"</f>
        <v>#VALUE!</v>
      </c>
      <c r="CI243" t="e">
        <f>'All regions'!4434:4434-"n/&gt;!.r8"</f>
        <v>#VALUE!</v>
      </c>
      <c r="CJ243" t="e">
        <f>'All regions'!4435:4435-"n/&gt;!.r9"</f>
        <v>#VALUE!</v>
      </c>
      <c r="CK243" t="e">
        <f>'All regions'!4436:4436-"n/&gt;!.r:"</f>
        <v>#VALUE!</v>
      </c>
      <c r="CL243" t="e">
        <f>'All regions'!4437:4437-"n/&gt;!.r;"</f>
        <v>#VALUE!</v>
      </c>
      <c r="CM243" t="e">
        <f>'All regions'!4438:4438-"n/&gt;!.r&lt;"</f>
        <v>#VALUE!</v>
      </c>
      <c r="CN243" t="e">
        <f>'All regions'!4439:4439-"n/&gt;!.r="</f>
        <v>#VALUE!</v>
      </c>
      <c r="CO243" t="e">
        <f>'All regions'!4440:4440-"n/&gt;!.r&gt;"</f>
        <v>#VALUE!</v>
      </c>
      <c r="CP243" t="e">
        <f>'All regions'!4441:4441-"n/&gt;!.r?"</f>
        <v>#VALUE!</v>
      </c>
      <c r="CQ243" t="e">
        <f>'All regions'!4442:4442-"n/&gt;!.r@"</f>
        <v>#VALUE!</v>
      </c>
      <c r="CR243" t="e">
        <f>'All regions'!4443:4443-"n/&gt;!.rA"</f>
        <v>#VALUE!</v>
      </c>
      <c r="CS243" t="e">
        <f>'All regions'!4444:4444-"n/&gt;!.rB"</f>
        <v>#VALUE!</v>
      </c>
      <c r="CT243" t="e">
        <f>'All regions'!4445:4445-"n/&gt;!.rC"</f>
        <v>#VALUE!</v>
      </c>
      <c r="CU243" t="e">
        <f>'All regions'!4446:4446-"n/&gt;!.rD"</f>
        <v>#VALUE!</v>
      </c>
      <c r="CV243" t="e">
        <f>'All regions'!4447:4447-"n/&gt;!.rE"</f>
        <v>#VALUE!</v>
      </c>
      <c r="CW243" t="e">
        <f>'All regions'!4448:4448-"n/&gt;!.rF"</f>
        <v>#VALUE!</v>
      </c>
      <c r="CX243" t="e">
        <f>'All regions'!4449:4449-"n/&gt;!.rG"</f>
        <v>#VALUE!</v>
      </c>
      <c r="CY243" t="e">
        <f>'All regions'!4450:4450-"n/&gt;!.rH"</f>
        <v>#VALUE!</v>
      </c>
      <c r="CZ243" t="e">
        <f>'All regions'!4451:4451-"n/&gt;!.rI"</f>
        <v>#VALUE!</v>
      </c>
      <c r="DA243" t="e">
        <f>'All regions'!4452:4452-"n/&gt;!.rJ"</f>
        <v>#VALUE!</v>
      </c>
      <c r="DB243" t="e">
        <f>'All regions'!4453:4453-"n/&gt;!.rK"</f>
        <v>#VALUE!</v>
      </c>
      <c r="DC243" t="e">
        <f>'All regions'!4454:4454-"n/&gt;!.rL"</f>
        <v>#VALUE!</v>
      </c>
      <c r="DD243" t="e">
        <f>'All regions'!4455:4455-"n/&gt;!.rM"</f>
        <v>#VALUE!</v>
      </c>
      <c r="DE243" t="e">
        <f>'All regions'!4456:4456-"n/&gt;!.rN"</f>
        <v>#VALUE!</v>
      </c>
      <c r="DF243" t="e">
        <f>'All regions'!4457:4457-"n/&gt;!.rO"</f>
        <v>#VALUE!</v>
      </c>
      <c r="DG243" t="e">
        <f>'All regions'!4458:4458-"n/&gt;!.rP"</f>
        <v>#VALUE!</v>
      </c>
      <c r="DH243" t="e">
        <f>'All regions'!4459:4459-"n/&gt;!.rQ"</f>
        <v>#VALUE!</v>
      </c>
      <c r="DI243" t="e">
        <f>'All regions'!4460:4460-"n/&gt;!.rR"</f>
        <v>#VALUE!</v>
      </c>
      <c r="DJ243" t="e">
        <f>'All regions'!4461:4461-"n/&gt;!.rS"</f>
        <v>#VALUE!</v>
      </c>
      <c r="DK243" t="e">
        <f>'All regions'!4462:4462-"n/&gt;!.rT"</f>
        <v>#VALUE!</v>
      </c>
      <c r="DL243" t="e">
        <f>'All regions'!4463:4463-"n/&gt;!.rU"</f>
        <v>#VALUE!</v>
      </c>
      <c r="DM243" t="e">
        <f>'All regions'!4464:4464-"n/&gt;!.rV"</f>
        <v>#VALUE!</v>
      </c>
      <c r="DN243" t="e">
        <f>'All regions'!4465:4465-"n/&gt;!.rW"</f>
        <v>#VALUE!</v>
      </c>
      <c r="DO243" t="e">
        <f>'All regions'!4466:4466-"n/&gt;!.rX"</f>
        <v>#VALUE!</v>
      </c>
      <c r="DP243" t="e">
        <f>'All regions'!4467:4467-"n/&gt;!.rY"</f>
        <v>#VALUE!</v>
      </c>
      <c r="DQ243" t="e">
        <f>'All regions'!4468:4468-"n/&gt;!.rZ"</f>
        <v>#VALUE!</v>
      </c>
      <c r="DR243" t="e">
        <f>'All regions'!4469:4469-"n/&gt;!.r["</f>
        <v>#VALUE!</v>
      </c>
      <c r="DS243" t="e">
        <f>'All regions'!4470:4470-"n/&gt;!.r\"</f>
        <v>#VALUE!</v>
      </c>
      <c r="DT243" t="e">
        <f>'All regions'!4471:4471-"n/&gt;!.r]"</f>
        <v>#VALUE!</v>
      </c>
      <c r="DU243" t="e">
        <f>'All regions'!4472:4472-"n/&gt;!.r^"</f>
        <v>#VALUE!</v>
      </c>
      <c r="DV243" t="e">
        <f>'All regions'!4473:4473-"n/&gt;!.r_"</f>
        <v>#VALUE!</v>
      </c>
      <c r="DW243" t="e">
        <f>'All regions'!4474:4474-"n/&gt;!.r`"</f>
        <v>#VALUE!</v>
      </c>
      <c r="DX243" t="e">
        <f>'All regions'!4475:4475-"n/&gt;!.ra"</f>
        <v>#VALUE!</v>
      </c>
      <c r="DY243" t="e">
        <f>'All regions'!4476:4476-"n/&gt;!.rb"</f>
        <v>#VALUE!</v>
      </c>
      <c r="DZ243" t="e">
        <f>'All regions'!4477:4477-"n/&gt;!.rc"</f>
        <v>#VALUE!</v>
      </c>
      <c r="EA243" t="e">
        <f>'All regions'!4478:4478-"n/&gt;!.rd"</f>
        <v>#VALUE!</v>
      </c>
      <c r="EB243" t="e">
        <f>'All regions'!4479:4479-"n/&gt;!.re"</f>
        <v>#VALUE!</v>
      </c>
      <c r="EC243" t="e">
        <f>'All regions'!4480:4480-"n/&gt;!.rf"</f>
        <v>#VALUE!</v>
      </c>
      <c r="ED243" t="e">
        <f>'All regions'!4481:4481-"n/&gt;!.rg"</f>
        <v>#VALUE!</v>
      </c>
      <c r="EE243" t="e">
        <f>'All regions'!4482:4482-"n/&gt;!.rh"</f>
        <v>#VALUE!</v>
      </c>
      <c r="EF243" t="e">
        <f>'All regions'!4483:4483-"n/&gt;!.ri"</f>
        <v>#VALUE!</v>
      </c>
      <c r="EG243" t="e">
        <f>'All regions'!4484:4484-"n/&gt;!.rj"</f>
        <v>#VALUE!</v>
      </c>
      <c r="EH243" t="e">
        <f>'All regions'!4485:4485-"n/&gt;!.rk"</f>
        <v>#VALUE!</v>
      </c>
      <c r="EI243" t="e">
        <f>'All regions'!4486:4486-"n/&gt;!.rl"</f>
        <v>#VALUE!</v>
      </c>
      <c r="EJ243" t="e">
        <f>'All regions'!4487:4487-"n/&gt;!.rm"</f>
        <v>#VALUE!</v>
      </c>
      <c r="EK243" t="e">
        <f>'All regions'!4488:4488-"n/&gt;!.rn"</f>
        <v>#VALUE!</v>
      </c>
      <c r="EL243" t="e">
        <f>'All regions'!4489:4489-"n/&gt;!.ro"</f>
        <v>#VALUE!</v>
      </c>
      <c r="EM243" t="e">
        <f>'All regions'!4490:4490-"n/&gt;!.rp"</f>
        <v>#VALUE!</v>
      </c>
      <c r="EN243" t="e">
        <f>'All regions'!4491:4491-"n/&gt;!.rq"</f>
        <v>#VALUE!</v>
      </c>
      <c r="EO243" t="e">
        <f>'All regions'!4492:4492-"n/&gt;!.rr"</f>
        <v>#VALUE!</v>
      </c>
      <c r="EP243" t="e">
        <f>'All regions'!4493:4493-"n/&gt;!.rs"</f>
        <v>#VALUE!</v>
      </c>
      <c r="EQ243" t="e">
        <f>'All regions'!4494:4494-"n/&gt;!.rt"</f>
        <v>#VALUE!</v>
      </c>
      <c r="ER243" t="e">
        <f>'All regions'!4495:4495-"n/&gt;!.ru"</f>
        <v>#VALUE!</v>
      </c>
      <c r="ES243" t="e">
        <f>'All regions'!4496:4496-"n/&gt;!.rv"</f>
        <v>#VALUE!</v>
      </c>
      <c r="ET243" t="e">
        <f>'All regions'!4497:4497-"n/&gt;!.rw"</f>
        <v>#VALUE!</v>
      </c>
      <c r="EU243" t="e">
        <f>'All regions'!4498:4498-"n/&gt;!.rx"</f>
        <v>#VALUE!</v>
      </c>
      <c r="EV243" t="e">
        <f>'All regions'!4499:4499-"n/&gt;!.ry"</f>
        <v>#VALUE!</v>
      </c>
      <c r="EW243" t="e">
        <f>'All regions'!4500:4500-"n/&gt;!.rz"</f>
        <v>#VALUE!</v>
      </c>
      <c r="EX243" t="e">
        <f>'All regions'!4501:4501-"n/&gt;!.r{"</f>
        <v>#VALUE!</v>
      </c>
      <c r="EY243" t="e">
        <f>'All regions'!4502:4502-"n/&gt;!.r|"</f>
        <v>#VALUE!</v>
      </c>
      <c r="EZ243" t="e">
        <f>'All regions'!4503:4503-"n/&gt;!.r}"</f>
        <v>#VALUE!</v>
      </c>
      <c r="FA243" t="e">
        <f>'All regions'!4504:4504-"n/&gt;!.r~"</f>
        <v>#VALUE!</v>
      </c>
      <c r="FB243" t="e">
        <f>'All regions'!4505:4505-"n/&gt;!.s#"</f>
        <v>#VALUE!</v>
      </c>
      <c r="FC243" t="e">
        <f>'All regions'!4506:4506-"n/&gt;!.s$"</f>
        <v>#VALUE!</v>
      </c>
      <c r="FD243" t="e">
        <f>'All regions'!4507:4507-"n/&gt;!.s%"</f>
        <v>#VALUE!</v>
      </c>
      <c r="FE243" t="e">
        <f>'All regions'!4508:4508-"n/&gt;!.s&amp;"</f>
        <v>#VALUE!</v>
      </c>
      <c r="FF243" t="e">
        <f>'All regions'!4509:4509-"n/&gt;!.s'"</f>
        <v>#VALUE!</v>
      </c>
      <c r="FG243" t="e">
        <f>'All regions'!4510:4510-"n/&gt;!.s("</f>
        <v>#VALUE!</v>
      </c>
      <c r="FH243" t="e">
        <f>'All regions'!4511:4511-"n/&gt;!.s)"</f>
        <v>#VALUE!</v>
      </c>
      <c r="FI243" t="e">
        <f>'All regions'!4512:4512-"n/&gt;!.s."</f>
        <v>#VALUE!</v>
      </c>
      <c r="FJ243" t="e">
        <f>'All regions'!4513:4513-"n/&gt;!.s/"</f>
        <v>#VALUE!</v>
      </c>
      <c r="FK243" t="e">
        <f>'All regions'!4514:4514-"n/&gt;!.s0"</f>
        <v>#VALUE!</v>
      </c>
      <c r="FL243" t="e">
        <f>'All regions'!4515:4515-"n/&gt;!.s1"</f>
        <v>#VALUE!</v>
      </c>
      <c r="FM243" t="e">
        <f>'All regions'!4516:4516-"n/&gt;!.s2"</f>
        <v>#VALUE!</v>
      </c>
      <c r="FN243" t="e">
        <f>'All regions'!4517:4517-"n/&gt;!.s3"</f>
        <v>#VALUE!</v>
      </c>
      <c r="FO243" t="e">
        <f>'All regions'!4518:4518-"n/&gt;!.s4"</f>
        <v>#VALUE!</v>
      </c>
      <c r="FP243" t="e">
        <f>'All regions'!4519:4519-"n/&gt;!.s5"</f>
        <v>#VALUE!</v>
      </c>
      <c r="FQ243" t="e">
        <f>'All regions'!4520:4520-"n/&gt;!.s6"</f>
        <v>#VALUE!</v>
      </c>
      <c r="FR243" t="e">
        <f>'All regions'!4521:4521-"n/&gt;!.s7"</f>
        <v>#VALUE!</v>
      </c>
      <c r="FS243" t="e">
        <f>'All regions'!4522:4522-"n/&gt;!.s8"</f>
        <v>#VALUE!</v>
      </c>
      <c r="FT243" t="e">
        <f>'All regions'!4523:4523-"n/&gt;!.s9"</f>
        <v>#VALUE!</v>
      </c>
      <c r="FU243" t="e">
        <f>'All regions'!4524:4524-"n/&gt;!.s:"</f>
        <v>#VALUE!</v>
      </c>
      <c r="FV243" t="e">
        <f>'All regions'!4525:4525-"n/&gt;!.s;"</f>
        <v>#VALUE!</v>
      </c>
      <c r="FW243" t="e">
        <f>'All regions'!4526:4526-"n/&gt;!.s&lt;"</f>
        <v>#VALUE!</v>
      </c>
      <c r="FX243" t="e">
        <f>'All regions'!4527:4527-"n/&gt;!.s="</f>
        <v>#VALUE!</v>
      </c>
      <c r="FY243" t="e">
        <f>'All regions'!4528:4528-"n/&gt;!.s&gt;"</f>
        <v>#VALUE!</v>
      </c>
      <c r="FZ243" t="e">
        <f>'All regions'!4529:4529-"n/&gt;!.s?"</f>
        <v>#VALUE!</v>
      </c>
      <c r="GA243" t="e">
        <f>'All regions'!4530:4530-"n/&gt;!.s@"</f>
        <v>#VALUE!</v>
      </c>
      <c r="GB243" t="e">
        <f>'All regions'!4531:4531-"n/&gt;!.sA"</f>
        <v>#VALUE!</v>
      </c>
      <c r="GC243" t="e">
        <f>'All regions'!4532:4532-"n/&gt;!.sB"</f>
        <v>#VALUE!</v>
      </c>
      <c r="GD243" t="e">
        <f>'All regions'!4533:4533-"n/&gt;!.sC"</f>
        <v>#VALUE!</v>
      </c>
      <c r="GE243" t="e">
        <f>'All regions'!4534:4534-"n/&gt;!.sD"</f>
        <v>#VALUE!</v>
      </c>
      <c r="GF243" t="e">
        <f>'All regions'!4535:4535-"n/&gt;!.sE"</f>
        <v>#VALUE!</v>
      </c>
      <c r="GG243" t="e">
        <f>'All regions'!4536:4536-"n/&gt;!.sF"</f>
        <v>#VALUE!</v>
      </c>
      <c r="GH243" t="e">
        <f>'All regions'!4537:4537-"n/&gt;!.sG"</f>
        <v>#VALUE!</v>
      </c>
      <c r="GI243" t="e">
        <f>'All regions'!4538:4538-"n/&gt;!.sH"</f>
        <v>#VALUE!</v>
      </c>
      <c r="GJ243" t="e">
        <f>'All regions'!4539:4539-"n/&gt;!.sI"</f>
        <v>#VALUE!</v>
      </c>
      <c r="GK243" t="e">
        <f>'All regions'!4540:4540-"n/&gt;!.sJ"</f>
        <v>#VALUE!</v>
      </c>
      <c r="GL243" t="e">
        <f>'All regions'!4541:4541-"n/&gt;!.sK"</f>
        <v>#VALUE!</v>
      </c>
      <c r="GM243" t="e">
        <f>'All regions'!4542:4542-"n/&gt;!.sL"</f>
        <v>#VALUE!</v>
      </c>
      <c r="GN243" t="e">
        <f>'All regions'!4543:4543-"n/&gt;!.sM"</f>
        <v>#VALUE!</v>
      </c>
      <c r="GO243" t="e">
        <f>'All regions'!4544:4544-"n/&gt;!.sN"</f>
        <v>#VALUE!</v>
      </c>
      <c r="GP243" t="e">
        <f>'All regions'!4545:4545-"n/&gt;!.sO"</f>
        <v>#VALUE!</v>
      </c>
      <c r="GQ243" t="e">
        <f>'All regions'!4546:4546-"n/&gt;!.sP"</f>
        <v>#VALUE!</v>
      </c>
      <c r="GR243" t="e">
        <f>'All regions'!4547:4547-"n/&gt;!.sQ"</f>
        <v>#VALUE!</v>
      </c>
      <c r="GS243" t="e">
        <f>'All regions'!4548:4548-"n/&gt;!.sR"</f>
        <v>#VALUE!</v>
      </c>
      <c r="GT243" t="e">
        <f>'All regions'!4549:4549-"n/&gt;!.sS"</f>
        <v>#VALUE!</v>
      </c>
      <c r="GU243" t="e">
        <f>'All regions'!4550:4550-"n/&gt;!.sT"</f>
        <v>#VALUE!</v>
      </c>
      <c r="GV243" t="e">
        <f>'All regions'!4551:4551-"n/&gt;!.sU"</f>
        <v>#VALUE!</v>
      </c>
      <c r="GW243" t="e">
        <f>'All regions'!4552:4552-"n/&gt;!.sV"</f>
        <v>#VALUE!</v>
      </c>
      <c r="GX243" t="e">
        <f>'All regions'!4553:4553-"n/&gt;!.sW"</f>
        <v>#VALUE!</v>
      </c>
      <c r="GY243" t="e">
        <f>'All regions'!4554:4554-"n/&gt;!.sX"</f>
        <v>#VALUE!</v>
      </c>
      <c r="GZ243" t="e">
        <f>'All regions'!4555:4555-"n/&gt;!.sY"</f>
        <v>#VALUE!</v>
      </c>
      <c r="HA243" t="e">
        <f>'All regions'!4556:4556-"n/&gt;!.sZ"</f>
        <v>#VALUE!</v>
      </c>
      <c r="HB243" t="e">
        <f>'All regions'!4557:4557-"n/&gt;!.s["</f>
        <v>#VALUE!</v>
      </c>
      <c r="HC243" t="e">
        <f>'All regions'!4558:4558-"n/&gt;!.s\"</f>
        <v>#VALUE!</v>
      </c>
      <c r="HD243" t="e">
        <f>'All regions'!4559:4559-"n/&gt;!.s]"</f>
        <v>#VALUE!</v>
      </c>
      <c r="HE243" t="e">
        <f>'All regions'!4560:4560-"n/&gt;!.s^"</f>
        <v>#VALUE!</v>
      </c>
      <c r="HF243" t="e">
        <f>'All regions'!4561:4561-"n/&gt;!.s_"</f>
        <v>#VALUE!</v>
      </c>
      <c r="HG243" t="e">
        <f>'All regions'!4562:4562-"n/&gt;!.s`"</f>
        <v>#VALUE!</v>
      </c>
      <c r="HH243" t="e">
        <f>'All regions'!4563:4563-"n/&gt;!.sa"</f>
        <v>#VALUE!</v>
      </c>
      <c r="HI243" t="e">
        <f>'All regions'!4564:4564-"n/&gt;!.sb"</f>
        <v>#VALUE!</v>
      </c>
      <c r="HJ243" t="e">
        <f>'All regions'!4565:4565-"n/&gt;!.sc"</f>
        <v>#VALUE!</v>
      </c>
      <c r="HK243" t="e">
        <f>'All regions'!4566:4566-"n/&gt;!.sd"</f>
        <v>#VALUE!</v>
      </c>
      <c r="HL243" t="e">
        <f>'All regions'!4567:4567-"n/&gt;!.se"</f>
        <v>#VALUE!</v>
      </c>
      <c r="HM243" t="e">
        <f>'All regions'!4568:4568-"n/&gt;!.sf"</f>
        <v>#VALUE!</v>
      </c>
      <c r="HN243" t="e">
        <f>'All regions'!4569:4569-"n/&gt;!.sg"</f>
        <v>#VALUE!</v>
      </c>
      <c r="HO243" t="e">
        <f>'All regions'!4570:4570-"n/&gt;!.sh"</f>
        <v>#VALUE!</v>
      </c>
      <c r="HP243" t="e">
        <f>'All regions'!4571:4571-"n/&gt;!.si"</f>
        <v>#VALUE!</v>
      </c>
      <c r="HQ243" t="e">
        <f>'All regions'!4572:4572-"n/&gt;!.sj"</f>
        <v>#VALUE!</v>
      </c>
      <c r="HR243" t="e">
        <f>'All regions'!4573:4573-"n/&gt;!.sk"</f>
        <v>#VALUE!</v>
      </c>
      <c r="HS243" t="e">
        <f>'All regions'!4574:4574-"n/&gt;!.sl"</f>
        <v>#VALUE!</v>
      </c>
      <c r="HT243" t="e">
        <f>'All regions'!4575:4575-"n/&gt;!.sm"</f>
        <v>#VALUE!</v>
      </c>
      <c r="HU243" t="e">
        <f>'All regions'!4576:4576-"n/&gt;!.sn"</f>
        <v>#VALUE!</v>
      </c>
      <c r="HV243" t="e">
        <f>'All regions'!4577:4577-"n/&gt;!.so"</f>
        <v>#VALUE!</v>
      </c>
      <c r="HW243" t="e">
        <f>'All regions'!4578:4578-"n/&gt;!.sp"</f>
        <v>#VALUE!</v>
      </c>
      <c r="HX243" t="e">
        <f>'All regions'!4579:4579-"n/&gt;!.sq"</f>
        <v>#VALUE!</v>
      </c>
      <c r="HY243" t="e">
        <f>'All regions'!4580:4580-"n/&gt;!.sr"</f>
        <v>#VALUE!</v>
      </c>
      <c r="HZ243" t="e">
        <f>'All regions'!4581:4581-"n/&gt;!.ss"</f>
        <v>#VALUE!</v>
      </c>
      <c r="IA243" t="e">
        <f>'All regions'!4582:4582-"n/&gt;!.st"</f>
        <v>#VALUE!</v>
      </c>
      <c r="IB243" t="e">
        <f>'All regions'!4583:4583-"n/&gt;!.su"</f>
        <v>#VALUE!</v>
      </c>
      <c r="IC243" t="e">
        <f>'All regions'!4584:4584-"n/&gt;!.sv"</f>
        <v>#VALUE!</v>
      </c>
      <c r="ID243" t="e">
        <f>'All regions'!4585:4585-"n/&gt;!.sw"</f>
        <v>#VALUE!</v>
      </c>
      <c r="IE243" t="e">
        <f>'All regions'!4586:4586-"n/&gt;!.sx"</f>
        <v>#VALUE!</v>
      </c>
      <c r="IF243" t="e">
        <f>'All regions'!4587:4587-"n/&gt;!.sy"</f>
        <v>#VALUE!</v>
      </c>
      <c r="IG243" t="e">
        <f>'All regions'!4588:4588-"n/&gt;!.sz"</f>
        <v>#VALUE!</v>
      </c>
      <c r="IH243" t="e">
        <f>'All regions'!4589:4589-"n/&gt;!.s{"</f>
        <v>#VALUE!</v>
      </c>
      <c r="II243" t="e">
        <f>'All regions'!4590:4590-"n/&gt;!.s|"</f>
        <v>#VALUE!</v>
      </c>
      <c r="IJ243" t="e">
        <f>'All regions'!4591:4591-"n/&gt;!.s}"</f>
        <v>#VALUE!</v>
      </c>
      <c r="IK243" t="e">
        <f>'All regions'!4592:4592-"n/&gt;!.s~"</f>
        <v>#VALUE!</v>
      </c>
      <c r="IL243" t="e">
        <f>'All regions'!4593:4593-"n/&gt;!.t#"</f>
        <v>#VALUE!</v>
      </c>
      <c r="IM243" t="e">
        <f>'All regions'!4594:4594-"n/&gt;!.t$"</f>
        <v>#VALUE!</v>
      </c>
      <c r="IN243" t="e">
        <f>'All regions'!4595:4595-"n/&gt;!.t%"</f>
        <v>#VALUE!</v>
      </c>
      <c r="IO243" t="e">
        <f>'All regions'!4596:4596-"n/&gt;!.t&amp;"</f>
        <v>#VALUE!</v>
      </c>
      <c r="IP243" t="e">
        <f>'All regions'!4597:4597-"n/&gt;!.t'"</f>
        <v>#VALUE!</v>
      </c>
      <c r="IQ243" t="e">
        <f>'All regions'!4598:4598-"n/&gt;!.t("</f>
        <v>#VALUE!</v>
      </c>
      <c r="IR243" t="e">
        <f>'All regions'!4599:4599-"n/&gt;!.t)"</f>
        <v>#VALUE!</v>
      </c>
      <c r="IS243" t="e">
        <f>'All regions'!4600:4600-"n/&gt;!.t."</f>
        <v>#VALUE!</v>
      </c>
      <c r="IT243" t="e">
        <f>'All regions'!4601:4601-"n/&gt;!.t/"</f>
        <v>#VALUE!</v>
      </c>
      <c r="IU243" t="e">
        <f>'All regions'!4602:4602-"n/&gt;!.t0"</f>
        <v>#VALUE!</v>
      </c>
      <c r="IV243" t="e">
        <f>'All regions'!4603:4603-"n/&gt;!.t1"</f>
        <v>#VALUE!</v>
      </c>
    </row>
    <row r="244" spans="6:256" x14ac:dyDescent="0.35">
      <c r="F244" t="e">
        <f>'All regions'!4604:4604-"n/&gt;!.t2"</f>
        <v>#VALUE!</v>
      </c>
      <c r="G244" t="e">
        <f>'All regions'!4605:4605-"n/&gt;!.t3"</f>
        <v>#VALUE!</v>
      </c>
      <c r="H244" t="e">
        <f>'All regions'!4606:4606-"n/&gt;!.t4"</f>
        <v>#VALUE!</v>
      </c>
      <c r="I244" t="e">
        <f>'All regions'!4607:4607-"n/&gt;!.t5"</f>
        <v>#VALUE!</v>
      </c>
      <c r="J244" t="e">
        <f>'All regions'!4608:4608-"n/&gt;!.t6"</f>
        <v>#VALUE!</v>
      </c>
      <c r="K244" t="e">
        <f>'All regions'!4609:4609-"n/&gt;!.t7"</f>
        <v>#VALUE!</v>
      </c>
      <c r="L244" t="e">
        <f>'All regions'!4610:4610-"n/&gt;!.t8"</f>
        <v>#VALUE!</v>
      </c>
      <c r="M244" t="e">
        <f>'All regions'!4611:4611-"n/&gt;!.t9"</f>
        <v>#VALUE!</v>
      </c>
      <c r="N244" t="e">
        <f>'All regions'!4612:4612-"n/&gt;!.t:"</f>
        <v>#VALUE!</v>
      </c>
      <c r="O244" t="e">
        <f>'All regions'!4613:4613-"n/&gt;!.t;"</f>
        <v>#VALUE!</v>
      </c>
      <c r="P244" t="e">
        <f>'All regions'!4614:4614-"n/&gt;!.t&lt;"</f>
        <v>#VALUE!</v>
      </c>
      <c r="Q244" t="e">
        <f>'All regions'!4615:4615-"n/&gt;!.t="</f>
        <v>#VALUE!</v>
      </c>
      <c r="R244" t="e">
        <f>'All regions'!4616:4616-"n/&gt;!.t&gt;"</f>
        <v>#VALUE!</v>
      </c>
      <c r="S244" t="e">
        <f>'All regions'!4617:4617-"n/&gt;!.t?"</f>
        <v>#VALUE!</v>
      </c>
      <c r="T244" t="e">
        <f>'All regions'!4618:4618-"n/&gt;!.t@"</f>
        <v>#VALUE!</v>
      </c>
      <c r="U244" t="e">
        <f>'All regions'!4619:4619-"n/&gt;!.tA"</f>
        <v>#VALUE!</v>
      </c>
      <c r="V244" t="e">
        <f>'All regions'!4620:4620-"n/&gt;!.tB"</f>
        <v>#VALUE!</v>
      </c>
      <c r="W244" t="e">
        <f>'All regions'!4621:4621-"n/&gt;!.tC"</f>
        <v>#VALUE!</v>
      </c>
      <c r="X244" t="e">
        <f>'All regions'!4622:4622-"n/&gt;!.tD"</f>
        <v>#VALUE!</v>
      </c>
      <c r="Y244" t="e">
        <f>'All regions'!4623:4623-"n/&gt;!.tE"</f>
        <v>#VALUE!</v>
      </c>
      <c r="Z244" t="e">
        <f>'All regions'!4624:4624-"n/&gt;!.tF"</f>
        <v>#VALUE!</v>
      </c>
      <c r="AA244" t="e">
        <f>'All regions'!4625:4625-"n/&gt;!.tG"</f>
        <v>#VALUE!</v>
      </c>
      <c r="AB244" t="e">
        <f>'All regions'!4626:4626-"n/&gt;!.tH"</f>
        <v>#VALUE!</v>
      </c>
      <c r="AC244" t="e">
        <f>'All regions'!4627:4627-"n/&gt;!.tI"</f>
        <v>#VALUE!</v>
      </c>
      <c r="AD244" t="e">
        <f>'All regions'!4628:4628-"n/&gt;!.tJ"</f>
        <v>#VALUE!</v>
      </c>
      <c r="AE244" t="e">
        <f>'All regions'!4629:4629-"n/&gt;!.tK"</f>
        <v>#VALUE!</v>
      </c>
      <c r="AF244" t="e">
        <f>'All regions'!4630:4630-"n/&gt;!.tL"</f>
        <v>#VALUE!</v>
      </c>
      <c r="AG244" t="e">
        <f>'All regions'!4631:4631-"n/&gt;!.tM"</f>
        <v>#VALUE!</v>
      </c>
      <c r="AH244" t="e">
        <f>'All regions'!4632:4632-"n/&gt;!.tN"</f>
        <v>#VALUE!</v>
      </c>
      <c r="AI244" t="e">
        <f>'All regions'!4633:4633-"n/&gt;!.tO"</f>
        <v>#VALUE!</v>
      </c>
      <c r="AJ244" t="e">
        <f>'All regions'!4634:4634-"n/&gt;!.tP"</f>
        <v>#VALUE!</v>
      </c>
      <c r="AK244" t="e">
        <f>'All regions'!4635:4635-"n/&gt;!.tQ"</f>
        <v>#VALUE!</v>
      </c>
      <c r="AL244" t="e">
        <f>'All regions'!4636:4636-"n/&gt;!.tR"</f>
        <v>#VALUE!</v>
      </c>
      <c r="AM244" t="e">
        <f>'All regions'!4637:4637-"n/&gt;!.tS"</f>
        <v>#VALUE!</v>
      </c>
      <c r="AN244" t="e">
        <f>'All regions'!4638:4638-"n/&gt;!.tT"</f>
        <v>#VALUE!</v>
      </c>
      <c r="AO244" t="e">
        <f>'All regions'!4639:4639-"n/&gt;!.tU"</f>
        <v>#VALUE!</v>
      </c>
      <c r="AP244" t="e">
        <f>'All regions'!4640:4640-"n/&gt;!.tV"</f>
        <v>#VALUE!</v>
      </c>
      <c r="AQ244" t="e">
        <f>'All regions'!4641:4641-"n/&gt;!.tW"</f>
        <v>#VALUE!</v>
      </c>
      <c r="AR244" t="e">
        <f>'All regions'!4642:4642-"n/&gt;!.tX"</f>
        <v>#VALUE!</v>
      </c>
      <c r="AS244" t="e">
        <f>'All regions'!4643:4643-"n/&gt;!.tY"</f>
        <v>#VALUE!</v>
      </c>
      <c r="AT244" t="e">
        <f>'All regions'!4644:4644-"n/&gt;!.tZ"</f>
        <v>#VALUE!</v>
      </c>
      <c r="AU244" t="e">
        <f>'All regions'!4645:4645-"n/&gt;!.t["</f>
        <v>#VALUE!</v>
      </c>
      <c r="AV244" t="e">
        <f>'All regions'!4646:4646-"n/&gt;!.t\"</f>
        <v>#VALUE!</v>
      </c>
      <c r="AW244" t="e">
        <f>'All regions'!4647:4647-"n/&gt;!.t]"</f>
        <v>#VALUE!</v>
      </c>
      <c r="AX244" t="e">
        <f>'All regions'!4648:4648-"n/&gt;!.t^"</f>
        <v>#VALUE!</v>
      </c>
      <c r="AY244" t="e">
        <f>'All regions'!4649:4649-"n/&gt;!.t_"</f>
        <v>#VALUE!</v>
      </c>
      <c r="AZ244" t="e">
        <f>'All regions'!4650:4650-"n/&gt;!.t`"</f>
        <v>#VALUE!</v>
      </c>
      <c r="BA244" t="e">
        <f>'All regions'!4651:4651-"n/&gt;!.ta"</f>
        <v>#VALUE!</v>
      </c>
      <c r="BB244" t="e">
        <f>'All regions'!4652:4652-"n/&gt;!.tb"</f>
        <v>#VALUE!</v>
      </c>
      <c r="BC244" t="e">
        <f>'All regions'!4653:4653-"n/&gt;!.tc"</f>
        <v>#VALUE!</v>
      </c>
      <c r="BD244" t="e">
        <f>'All regions'!4654:4654-"n/&gt;!.td"</f>
        <v>#VALUE!</v>
      </c>
      <c r="BE244" t="e">
        <f>'All regions'!4655:4655-"n/&gt;!.te"</f>
        <v>#VALUE!</v>
      </c>
      <c r="BF244" t="e">
        <f>'All regions'!4656:4656-"n/&gt;!.tf"</f>
        <v>#VALUE!</v>
      </c>
      <c r="BG244" t="e">
        <f>'All regions'!4657:4657-"n/&gt;!.tg"</f>
        <v>#VALUE!</v>
      </c>
      <c r="BH244" t="e">
        <f>'All regions'!4658:4658-"n/&gt;!.th"</f>
        <v>#VALUE!</v>
      </c>
      <c r="BI244" t="e">
        <f>'All regions'!4659:4659-"n/&gt;!.ti"</f>
        <v>#VALUE!</v>
      </c>
      <c r="BJ244" t="e">
        <f>'All regions'!4660:4660-"n/&gt;!.tj"</f>
        <v>#VALUE!</v>
      </c>
      <c r="BK244" t="e">
        <f>'All regions'!4661:4661-"n/&gt;!.tk"</f>
        <v>#VALUE!</v>
      </c>
      <c r="BL244" t="e">
        <f>'All regions'!4662:4662-"n/&gt;!.tl"</f>
        <v>#VALUE!</v>
      </c>
      <c r="BM244" t="e">
        <f>'All regions'!4663:4663-"n/&gt;!.tm"</f>
        <v>#VALUE!</v>
      </c>
      <c r="BN244" t="e">
        <f>'All regions'!4664:4664-"n/&gt;!.tn"</f>
        <v>#VALUE!</v>
      </c>
      <c r="BO244" t="e">
        <f>'All regions'!4665:4665-"n/&gt;!.to"</f>
        <v>#VALUE!</v>
      </c>
      <c r="BP244" t="e">
        <f>'All regions'!4666:4666-"n/&gt;!.tp"</f>
        <v>#VALUE!</v>
      </c>
      <c r="BQ244" t="e">
        <f>'All regions'!4667:4667-"n/&gt;!.tq"</f>
        <v>#VALUE!</v>
      </c>
      <c r="BR244" t="e">
        <f>'All regions'!4668:4668-"n/&gt;!.tr"</f>
        <v>#VALUE!</v>
      </c>
      <c r="BS244" t="e">
        <f>'All regions'!4669:4669-"n/&gt;!.ts"</f>
        <v>#VALUE!</v>
      </c>
      <c r="BT244" t="e">
        <f>'All regions'!4670:4670-"n/&gt;!.tt"</f>
        <v>#VALUE!</v>
      </c>
      <c r="BU244" t="e">
        <f>'All regions'!4671:4671-"n/&gt;!.tu"</f>
        <v>#VALUE!</v>
      </c>
      <c r="BV244" t="e">
        <f>'All regions'!4672:4672-"n/&gt;!.tv"</f>
        <v>#VALUE!</v>
      </c>
      <c r="BW244" t="e">
        <f>'All regions'!4673:4673-"n/&gt;!.tw"</f>
        <v>#VALUE!</v>
      </c>
      <c r="BX244" t="e">
        <f>'All regions'!4674:4674-"n/&gt;!.tx"</f>
        <v>#VALUE!</v>
      </c>
      <c r="BY244" t="e">
        <f>'All regions'!4675:4675-"n/&gt;!.ty"</f>
        <v>#VALUE!</v>
      </c>
      <c r="BZ244" t="e">
        <f>'All regions'!4676:4676-"n/&gt;!.tz"</f>
        <v>#VALUE!</v>
      </c>
      <c r="CA244" t="e">
        <f>'All regions'!4677:4677-"n/&gt;!.t{"</f>
        <v>#VALUE!</v>
      </c>
      <c r="CB244" t="e">
        <f>'All regions'!4678:4678-"n/&gt;!.t|"</f>
        <v>#VALUE!</v>
      </c>
      <c r="CC244" t="e">
        <f>'All regions'!4679:4679-"n/&gt;!.t}"</f>
        <v>#VALUE!</v>
      </c>
      <c r="CD244" t="e">
        <f>'All regions'!4680:4680-"n/&gt;!.t~"</f>
        <v>#VALUE!</v>
      </c>
      <c r="CE244" t="e">
        <f>'All regions'!4681:4681-"n/&gt;!.u#"</f>
        <v>#VALUE!</v>
      </c>
      <c r="CF244" t="e">
        <f>'All regions'!4682:4682-"n/&gt;!.u$"</f>
        <v>#VALUE!</v>
      </c>
      <c r="CG244" t="e">
        <f>'All regions'!4683:4683-"n/&gt;!.u%"</f>
        <v>#VALUE!</v>
      </c>
      <c r="CH244" t="e">
        <f>'All regions'!4684:4684-"n/&gt;!.u&amp;"</f>
        <v>#VALUE!</v>
      </c>
      <c r="CI244" t="e">
        <f>'All regions'!4685:4685-"n/&gt;!.u'"</f>
        <v>#VALUE!</v>
      </c>
      <c r="CJ244" t="e">
        <f>'All regions'!4686:4686-"n/&gt;!.u("</f>
        <v>#VALUE!</v>
      </c>
      <c r="CK244" t="e">
        <f>'All regions'!4687:4687-"n/&gt;!.u)"</f>
        <v>#VALUE!</v>
      </c>
      <c r="CL244" t="e">
        <f>'All regions'!4688:4688-"n/&gt;!.u."</f>
        <v>#VALUE!</v>
      </c>
      <c r="CM244" t="e">
        <f>'All regions'!4689:4689-"n/&gt;!.u/"</f>
        <v>#VALUE!</v>
      </c>
      <c r="CN244" t="e">
        <f>'All regions'!4690:4690-"n/&gt;!.u0"</f>
        <v>#VALUE!</v>
      </c>
      <c r="CO244" t="e">
        <f>'All regions'!4691:4691-"n/&gt;!.u1"</f>
        <v>#VALUE!</v>
      </c>
      <c r="CP244" t="e">
        <f>'All regions'!4692:4692-"n/&gt;!.u2"</f>
        <v>#VALUE!</v>
      </c>
      <c r="CQ244" t="e">
        <f>'All regions'!4693:4693-"n/&gt;!.u3"</f>
        <v>#VALUE!</v>
      </c>
      <c r="CR244" t="e">
        <f>'All regions'!4694:4694-"n/&gt;!.u4"</f>
        <v>#VALUE!</v>
      </c>
      <c r="CS244" t="e">
        <f>'All regions'!4695:4695-"n/&gt;!.u5"</f>
        <v>#VALUE!</v>
      </c>
      <c r="CT244" t="e">
        <f>'All regions'!4696:4696-"n/&gt;!.u6"</f>
        <v>#VALUE!</v>
      </c>
      <c r="CU244" t="e">
        <f>'All regions'!4697:4697-"n/&gt;!.u7"</f>
        <v>#VALUE!</v>
      </c>
      <c r="CV244" t="e">
        <f>'All regions'!4698:4698-"n/&gt;!.u8"</f>
        <v>#VALUE!</v>
      </c>
      <c r="CW244" t="e">
        <f>'All regions'!4699:4699-"n/&gt;!.u9"</f>
        <v>#VALUE!</v>
      </c>
      <c r="CX244" t="e">
        <f>'All regions'!4700:4700-"n/&gt;!.u:"</f>
        <v>#VALUE!</v>
      </c>
      <c r="CY244" t="e">
        <f>'All regions'!4701:4701-"n/&gt;!.u;"</f>
        <v>#VALUE!</v>
      </c>
      <c r="CZ244" t="e">
        <f>'All regions'!4702:4702-"n/&gt;!.u&lt;"</f>
        <v>#VALUE!</v>
      </c>
      <c r="DA244" t="e">
        <f>'All regions'!4703:4703-"n/&gt;!.u="</f>
        <v>#VALUE!</v>
      </c>
      <c r="DB244" t="e">
        <f>'All regions'!4704:4704-"n/&gt;!.u&gt;"</f>
        <v>#VALUE!</v>
      </c>
      <c r="DC244" t="e">
        <f>'All regions'!4705:4705-"n/&gt;!.u?"</f>
        <v>#VALUE!</v>
      </c>
      <c r="DD244" t="e">
        <f>'All regions'!4706:4706-"n/&gt;!.u@"</f>
        <v>#VALUE!</v>
      </c>
      <c r="DE244" t="e">
        <f>'All regions'!4707:4707-"n/&gt;!.uA"</f>
        <v>#VALUE!</v>
      </c>
      <c r="DF244" t="e">
        <f>'All regions'!4708:4708-"n/&gt;!.uB"</f>
        <v>#VALUE!</v>
      </c>
      <c r="DG244" t="e">
        <f>'All regions'!4709:4709-"n/&gt;!.uC"</f>
        <v>#VALUE!</v>
      </c>
      <c r="DH244" t="e">
        <f>'All regions'!4710:4710-"n/&gt;!.uD"</f>
        <v>#VALUE!</v>
      </c>
      <c r="DI244" t="e">
        <f>'All regions'!4711:4711-"n/&gt;!.uE"</f>
        <v>#VALUE!</v>
      </c>
      <c r="DJ244" t="e">
        <f>'All regions'!4712:4712-"n/&gt;!.uF"</f>
        <v>#VALUE!</v>
      </c>
      <c r="DK244" t="e">
        <f>'All regions'!4713:4713-"n/&gt;!.uG"</f>
        <v>#VALUE!</v>
      </c>
      <c r="DL244" t="e">
        <f>'All regions'!4714:4714-"n/&gt;!.uH"</f>
        <v>#VALUE!</v>
      </c>
      <c r="DM244" t="e">
        <f>'All regions'!4715:4715-"n/&gt;!.uI"</f>
        <v>#VALUE!</v>
      </c>
      <c r="DN244" t="e">
        <f>'All regions'!4716:4716-"n/&gt;!.uJ"</f>
        <v>#VALUE!</v>
      </c>
      <c r="DO244" t="e">
        <f>'All regions'!4717:4717-"n/&gt;!.uK"</f>
        <v>#VALUE!</v>
      </c>
      <c r="DP244" t="e">
        <f>'All regions'!4718:4718-"n/&gt;!.uL"</f>
        <v>#VALUE!</v>
      </c>
      <c r="DQ244" t="e">
        <f>'All regions'!4719:4719-"n/&gt;!.uM"</f>
        <v>#VALUE!</v>
      </c>
      <c r="DR244" t="e">
        <f>'All regions'!4720:4720-"n/&gt;!.uN"</f>
        <v>#VALUE!</v>
      </c>
      <c r="DS244" t="e">
        <f>'All regions'!4721:4721-"n/&gt;!.uO"</f>
        <v>#VALUE!</v>
      </c>
      <c r="DT244" t="e">
        <f>'All regions'!4722:4722-"n/&gt;!.uP"</f>
        <v>#VALUE!</v>
      </c>
      <c r="DU244" t="e">
        <f>'All regions'!4723:4723-"n/&gt;!.uQ"</f>
        <v>#VALUE!</v>
      </c>
      <c r="DV244" t="e">
        <f>'All regions'!4724:4724-"n/&gt;!.uR"</f>
        <v>#VALUE!</v>
      </c>
      <c r="DW244" t="e">
        <f>'All regions'!4725:4725-"n/&gt;!.uS"</f>
        <v>#VALUE!</v>
      </c>
      <c r="DX244" t="e">
        <f>'All regions'!4726:4726-"n/&gt;!.uT"</f>
        <v>#VALUE!</v>
      </c>
      <c r="DY244" t="e">
        <f>'All regions'!4727:4727-"n/&gt;!.uU"</f>
        <v>#VALUE!</v>
      </c>
      <c r="DZ244" t="e">
        <f>'All regions'!4728:4728-"n/&gt;!.uV"</f>
        <v>#VALUE!</v>
      </c>
      <c r="EA244" t="e">
        <f>'All regions'!4729:4729-"n/&gt;!.uW"</f>
        <v>#VALUE!</v>
      </c>
      <c r="EB244" t="e">
        <f>'All regions'!4730:4730-"n/&gt;!.uX"</f>
        <v>#VALUE!</v>
      </c>
      <c r="EC244" t="e">
        <f>'All regions'!4731:4731-"n/&gt;!.uY"</f>
        <v>#VALUE!</v>
      </c>
      <c r="ED244" t="e">
        <f>'All regions'!4732:4732-"n/&gt;!.uZ"</f>
        <v>#VALUE!</v>
      </c>
      <c r="EE244" t="e">
        <f>'All regions'!4733:4733-"n/&gt;!.u["</f>
        <v>#VALUE!</v>
      </c>
      <c r="EF244" t="e">
        <f>'All regions'!4734:4734-"n/&gt;!.u\"</f>
        <v>#VALUE!</v>
      </c>
      <c r="EG244" t="e">
        <f>'All regions'!4735:4735-"n/&gt;!.u]"</f>
        <v>#VALUE!</v>
      </c>
      <c r="EH244" t="e">
        <f>'All regions'!4736:4736-"n/&gt;!.u^"</f>
        <v>#VALUE!</v>
      </c>
      <c r="EI244" t="e">
        <f>'All regions'!4737:4737-"n/&gt;!.u_"</f>
        <v>#VALUE!</v>
      </c>
      <c r="EJ244" t="e">
        <f>'All regions'!4738:4738-"n/&gt;!.u`"</f>
        <v>#VALUE!</v>
      </c>
      <c r="EK244" t="e">
        <f>'All regions'!4739:4739-"n/&gt;!.ua"</f>
        <v>#VALUE!</v>
      </c>
      <c r="EL244" t="e">
        <f>'All regions'!4740:4740-"n/&gt;!.ub"</f>
        <v>#VALUE!</v>
      </c>
      <c r="EM244" t="e">
        <f>'All regions'!4741:4741-"n/&gt;!.uc"</f>
        <v>#VALUE!</v>
      </c>
      <c r="EN244" t="e">
        <f>'All regions'!4742:4742-"n/&gt;!.ud"</f>
        <v>#VALUE!</v>
      </c>
      <c r="EO244" t="e">
        <f>'All regions'!4743:4743-"n/&gt;!.ue"</f>
        <v>#VALUE!</v>
      </c>
      <c r="EP244" t="e">
        <f>'All regions'!4744:4744-"n/&gt;!.uf"</f>
        <v>#VALUE!</v>
      </c>
      <c r="EQ244" t="e">
        <f>'All regions'!4745:4745-"n/&gt;!.ug"</f>
        <v>#VALUE!</v>
      </c>
      <c r="ER244" t="e">
        <f>'All regions'!4746:4746-"n/&gt;!.uh"</f>
        <v>#VALUE!</v>
      </c>
      <c r="ES244" t="e">
        <f>'All regions'!4747:4747-"n/&gt;!.ui"</f>
        <v>#VALUE!</v>
      </c>
      <c r="ET244" t="e">
        <f>'All regions'!4748:4748-"n/&gt;!.uj"</f>
        <v>#VALUE!</v>
      </c>
      <c r="EU244" t="e">
        <f>'All regions'!4749:4749-"n/&gt;!.uk"</f>
        <v>#VALUE!</v>
      </c>
      <c r="EV244" t="e">
        <f>'All regions'!4750:4750-"n/&gt;!.ul"</f>
        <v>#VALUE!</v>
      </c>
      <c r="EW244" t="e">
        <f>'All regions'!4751:4751-"n/&gt;!.um"</f>
        <v>#VALUE!</v>
      </c>
      <c r="EX244" t="e">
        <f>'All regions'!4752:4752-"n/&gt;!.un"</f>
        <v>#VALUE!</v>
      </c>
      <c r="EY244" t="e">
        <f>'All regions'!4753:4753-"n/&gt;!.uo"</f>
        <v>#VALUE!</v>
      </c>
      <c r="EZ244" t="e">
        <f>'All regions'!4754:4754-"n/&gt;!.up"</f>
        <v>#VALUE!</v>
      </c>
      <c r="FA244" t="e">
        <f>'All regions'!4755:4755-"n/&gt;!.uq"</f>
        <v>#VALUE!</v>
      </c>
      <c r="FB244" t="e">
        <f>'All regions'!4756:4756-"n/&gt;!.ur"</f>
        <v>#VALUE!</v>
      </c>
      <c r="FC244" t="e">
        <f>'All regions'!4757:4757-"n/&gt;!.us"</f>
        <v>#VALUE!</v>
      </c>
      <c r="FD244" t="e">
        <f>'All regions'!4758:4758-"n/&gt;!.ut"</f>
        <v>#VALUE!</v>
      </c>
      <c r="FE244" t="e">
        <f>'All regions'!4759:4759-"n/&gt;!.uu"</f>
        <v>#VALUE!</v>
      </c>
      <c r="FF244" t="e">
        <f>'All regions'!4760:4760-"n/&gt;!.uv"</f>
        <v>#VALUE!</v>
      </c>
      <c r="FG244" t="e">
        <f>'All regions'!4761:4761-"n/&gt;!.uw"</f>
        <v>#VALUE!</v>
      </c>
      <c r="FH244" t="e">
        <f>'All regions'!4762:4762-"n/&gt;!.ux"</f>
        <v>#VALUE!</v>
      </c>
      <c r="FI244" t="e">
        <f>'All regions'!4763:4763-"n/&gt;!.uy"</f>
        <v>#VALUE!</v>
      </c>
      <c r="FJ244" t="e">
        <f>'All regions'!4764:4764-"n/&gt;!.uz"</f>
        <v>#VALUE!</v>
      </c>
      <c r="FK244" t="e">
        <f>'All regions'!4765:4765-"n/&gt;!.u{"</f>
        <v>#VALUE!</v>
      </c>
      <c r="FL244" t="e">
        <f>'All regions'!4766:4766-"n/&gt;!.u|"</f>
        <v>#VALUE!</v>
      </c>
      <c r="FM244" t="e">
        <f>'All regions'!4767:4767-"n/&gt;!.u}"</f>
        <v>#VALUE!</v>
      </c>
      <c r="FN244" t="e">
        <f>'All regions'!4768:4768-"n/&gt;!.u~"</f>
        <v>#VALUE!</v>
      </c>
      <c r="FO244" t="e">
        <f>'All regions'!4769:4769-"n/&gt;!.v#"</f>
        <v>#VALUE!</v>
      </c>
      <c r="FP244" t="e">
        <f>'All regions'!4770:4770-"n/&gt;!.v$"</f>
        <v>#VALUE!</v>
      </c>
      <c r="FQ244" t="e">
        <f>'All regions'!4771:4771-"n/&gt;!.v%"</f>
        <v>#VALUE!</v>
      </c>
      <c r="FR244" t="e">
        <f>'All regions'!4772:4772-"n/&gt;!.v&amp;"</f>
        <v>#VALUE!</v>
      </c>
      <c r="FS244" t="e">
        <f>'All regions'!4773:4773-"n/&gt;!.v'"</f>
        <v>#VALUE!</v>
      </c>
      <c r="FT244" t="e">
        <f>'All regions'!4774:4774-"n/&gt;!.v("</f>
        <v>#VALUE!</v>
      </c>
      <c r="FU244" t="e">
        <f>'All regions'!4775:4775-"n/&gt;!.v)"</f>
        <v>#VALUE!</v>
      </c>
      <c r="FV244" t="e">
        <f>'All regions'!4776:4776-"n/&gt;!.v."</f>
        <v>#VALUE!</v>
      </c>
      <c r="FW244" t="e">
        <f>'All regions'!4777:4777-"n/&gt;!.v/"</f>
        <v>#VALUE!</v>
      </c>
      <c r="FX244" t="e">
        <f>'All regions'!4778:4778-"n/&gt;!.v0"</f>
        <v>#VALUE!</v>
      </c>
      <c r="FY244" t="e">
        <f>'All regions'!4779:4779-"n/&gt;!.v1"</f>
        <v>#VALUE!</v>
      </c>
      <c r="FZ244" t="e">
        <f>'All regions'!4780:4780-"n/&gt;!.v2"</f>
        <v>#VALUE!</v>
      </c>
      <c r="GA244" t="e">
        <f>'All regions'!4781:4781-"n/&gt;!.v3"</f>
        <v>#VALUE!</v>
      </c>
      <c r="GB244" t="e">
        <f>'All regions'!4782:4782-"n/&gt;!.v4"</f>
        <v>#VALUE!</v>
      </c>
      <c r="GC244" t="e">
        <f>'All regions'!4783:4783-"n/&gt;!.v5"</f>
        <v>#VALUE!</v>
      </c>
      <c r="GD244" t="e">
        <f>'All regions'!4784:4784-"n/&gt;!.v6"</f>
        <v>#VALUE!</v>
      </c>
      <c r="GE244" t="e">
        <f>'All regions'!4785:4785-"n/&gt;!.v7"</f>
        <v>#VALUE!</v>
      </c>
      <c r="GF244" t="e">
        <f>'All regions'!4786:4786-"n/&gt;!.v8"</f>
        <v>#VALUE!</v>
      </c>
      <c r="GG244" t="e">
        <f>'All regions'!4787:4787-"n/&gt;!.v9"</f>
        <v>#VALUE!</v>
      </c>
      <c r="GH244" t="e">
        <f>'All regions'!4788:4788-"n/&gt;!.v:"</f>
        <v>#VALUE!</v>
      </c>
      <c r="GI244" t="e">
        <f>'All regions'!4789:4789-"n/&gt;!.v;"</f>
        <v>#VALUE!</v>
      </c>
      <c r="GJ244" t="e">
        <f>'All regions'!4790:4790-"n/&gt;!.v&lt;"</f>
        <v>#VALUE!</v>
      </c>
      <c r="GK244" t="e">
        <f>'All regions'!4791:4791-"n/&gt;!.v="</f>
        <v>#VALUE!</v>
      </c>
      <c r="GL244" t="e">
        <f>'All regions'!4792:4792-"n/&gt;!.v&gt;"</f>
        <v>#VALUE!</v>
      </c>
      <c r="GM244" t="e">
        <f>'All regions'!4793:4793-"n/&gt;!.v?"</f>
        <v>#VALUE!</v>
      </c>
      <c r="GN244" t="e">
        <f>'All regions'!4794:4794-"n/&gt;!.v@"</f>
        <v>#VALUE!</v>
      </c>
      <c r="GO244" t="e">
        <f>'All regions'!4795:4795-"n/&gt;!.vA"</f>
        <v>#VALUE!</v>
      </c>
      <c r="GP244" t="e">
        <f>'All regions'!4796:4796-"n/&gt;!.vB"</f>
        <v>#VALUE!</v>
      </c>
      <c r="GQ244" t="e">
        <f>'All regions'!4797:4797-"n/&gt;!.vC"</f>
        <v>#VALUE!</v>
      </c>
      <c r="GR244" t="e">
        <f>'All regions'!4798:4798-"n/&gt;!.vD"</f>
        <v>#VALUE!</v>
      </c>
      <c r="GS244" t="e">
        <f>'All regions'!4799:4799-"n/&gt;!.vE"</f>
        <v>#VALUE!</v>
      </c>
      <c r="GT244" t="e">
        <f>'All regions'!4800:4800-"n/&gt;!.vF"</f>
        <v>#VALUE!</v>
      </c>
      <c r="GU244" t="e">
        <f>'All regions'!4801:4801-"n/&gt;!.vG"</f>
        <v>#VALUE!</v>
      </c>
      <c r="GV244" t="e">
        <f>'All regions'!4802:4802-"n/&gt;!.vH"</f>
        <v>#VALUE!</v>
      </c>
      <c r="GW244" t="e">
        <f>'All regions'!4803:4803-"n/&gt;!.vI"</f>
        <v>#VALUE!</v>
      </c>
      <c r="GX244" t="e">
        <f>'All regions'!4804:4804-"n/&gt;!.vJ"</f>
        <v>#VALUE!</v>
      </c>
      <c r="GY244" t="e">
        <f>'All regions'!4805:4805-"n/&gt;!.vK"</f>
        <v>#VALUE!</v>
      </c>
      <c r="GZ244" t="e">
        <f>'All regions'!4806:4806-"n/&gt;!.vL"</f>
        <v>#VALUE!</v>
      </c>
      <c r="HA244" t="e">
        <f>'All regions'!4807:4807-"n/&gt;!.vM"</f>
        <v>#VALUE!</v>
      </c>
      <c r="HB244" t="e">
        <f>'All regions'!4808:4808-"n/&gt;!.vN"</f>
        <v>#VALUE!</v>
      </c>
      <c r="HC244" t="e">
        <f>'All regions'!4809:4809-"n/&gt;!.vO"</f>
        <v>#VALUE!</v>
      </c>
      <c r="HD244" t="e">
        <f>'All regions'!4810:4810-"n/&gt;!.vP"</f>
        <v>#VALUE!</v>
      </c>
      <c r="HE244" t="e">
        <f>'All regions'!4811:4811-"n/&gt;!.vQ"</f>
        <v>#VALUE!</v>
      </c>
      <c r="HF244" t="e">
        <f>'All regions'!4812:4812-"n/&gt;!.vR"</f>
        <v>#VALUE!</v>
      </c>
      <c r="HG244" t="e">
        <f>'All regions'!4813:4813-"n/&gt;!.vS"</f>
        <v>#VALUE!</v>
      </c>
      <c r="HH244" t="e">
        <f>'All regions'!4814:4814-"n/&gt;!.vT"</f>
        <v>#VALUE!</v>
      </c>
      <c r="HI244" t="e">
        <f>'All regions'!4815:4815-"n/&gt;!.vU"</f>
        <v>#VALUE!</v>
      </c>
      <c r="HJ244" t="e">
        <f>'All regions'!4816:4816-"n/&gt;!.vV"</f>
        <v>#VALUE!</v>
      </c>
      <c r="HK244" t="e">
        <f>'All regions'!4817:4817-"n/&gt;!.vW"</f>
        <v>#VALUE!</v>
      </c>
      <c r="HL244" t="e">
        <f>'All regions'!4818:4818-"n/&gt;!.vX"</f>
        <v>#VALUE!</v>
      </c>
      <c r="HM244" t="e">
        <f>'All regions'!4819:4819-"n/&gt;!.vY"</f>
        <v>#VALUE!</v>
      </c>
      <c r="HN244" t="e">
        <f>'All regions'!4820:4820-"n/&gt;!.vZ"</f>
        <v>#VALUE!</v>
      </c>
      <c r="HO244" t="e">
        <f>'All regions'!4821:4821-"n/&gt;!.v["</f>
        <v>#VALUE!</v>
      </c>
      <c r="HP244" t="e">
        <f>'All regions'!4822:4822-"n/&gt;!.v\"</f>
        <v>#VALUE!</v>
      </c>
      <c r="HQ244" t="e">
        <f>'All regions'!4823:4823-"n/&gt;!.v]"</f>
        <v>#VALUE!</v>
      </c>
      <c r="HR244" t="e">
        <f>'All regions'!4824:4824-"n/&gt;!.v^"</f>
        <v>#VALUE!</v>
      </c>
      <c r="HS244" t="e">
        <f>'All regions'!4825:4825-"n/&gt;!.v_"</f>
        <v>#VALUE!</v>
      </c>
      <c r="HT244" t="e">
        <f>'All regions'!4826:4826-"n/&gt;!.v`"</f>
        <v>#VALUE!</v>
      </c>
      <c r="HU244" t="e">
        <f>'All regions'!4827:4827-"n/&gt;!.va"</f>
        <v>#VALUE!</v>
      </c>
      <c r="HV244" t="e">
        <f>'All regions'!4828:4828-"n/&gt;!.vb"</f>
        <v>#VALUE!</v>
      </c>
      <c r="HW244" t="e">
        <f>'All regions'!4829:4829-"n/&gt;!.vc"</f>
        <v>#VALUE!</v>
      </c>
      <c r="HX244" t="e">
        <f>'All regions'!4830:4830-"n/&gt;!.vd"</f>
        <v>#VALUE!</v>
      </c>
      <c r="HY244" t="e">
        <f>'All regions'!4831:4831-"n/&gt;!.ve"</f>
        <v>#VALUE!</v>
      </c>
      <c r="HZ244" t="e">
        <f>'All regions'!4832:4832-"n/&gt;!.vf"</f>
        <v>#VALUE!</v>
      </c>
      <c r="IA244" t="e">
        <f>'All regions'!4833:4833-"n/&gt;!.vg"</f>
        <v>#VALUE!</v>
      </c>
      <c r="IB244" t="e">
        <f>'All regions'!4834:4834-"n/&gt;!.vh"</f>
        <v>#VALUE!</v>
      </c>
      <c r="IC244" t="e">
        <f>'All regions'!4835:4835-"n/&gt;!.vi"</f>
        <v>#VALUE!</v>
      </c>
      <c r="ID244" t="e">
        <f>'All regions'!4836:4836-"n/&gt;!.vj"</f>
        <v>#VALUE!</v>
      </c>
      <c r="IE244" t="e">
        <f>'All regions'!4837:4837-"n/&gt;!.vk"</f>
        <v>#VALUE!</v>
      </c>
      <c r="IF244" t="e">
        <f>'All regions'!4838:4838-"n/&gt;!.vl"</f>
        <v>#VALUE!</v>
      </c>
      <c r="IG244" t="e">
        <f>'All regions'!4839:4839-"n/&gt;!.vm"</f>
        <v>#VALUE!</v>
      </c>
      <c r="IH244" t="e">
        <f>'All regions'!4840:4840-"n/&gt;!.vn"</f>
        <v>#VALUE!</v>
      </c>
      <c r="II244" t="e">
        <f>'All regions'!4841:4841-"n/&gt;!.vo"</f>
        <v>#VALUE!</v>
      </c>
      <c r="IJ244" t="e">
        <f>'All regions'!4842:4842-"n/&gt;!.vp"</f>
        <v>#VALUE!</v>
      </c>
      <c r="IK244" t="e">
        <f>'All regions'!4843:4843-"n/&gt;!.vq"</f>
        <v>#VALUE!</v>
      </c>
      <c r="IL244" t="e">
        <f>'All regions'!4844:4844-"n/&gt;!.vr"</f>
        <v>#VALUE!</v>
      </c>
      <c r="IM244" t="e">
        <f>'All regions'!4845:4845-"n/&gt;!.vs"</f>
        <v>#VALUE!</v>
      </c>
      <c r="IN244" t="e">
        <f>'All regions'!4846:4846-"n/&gt;!.vt"</f>
        <v>#VALUE!</v>
      </c>
      <c r="IO244" t="e">
        <f>'All regions'!4847:4847-"n/&gt;!.vu"</f>
        <v>#VALUE!</v>
      </c>
      <c r="IP244" t="e">
        <f>'All regions'!4848:4848-"n/&gt;!.vv"</f>
        <v>#VALUE!</v>
      </c>
      <c r="IQ244" t="e">
        <f>'All regions'!4849:4849-"n/&gt;!.vw"</f>
        <v>#VALUE!</v>
      </c>
      <c r="IR244" t="e">
        <f>'All regions'!4850:4850-"n/&gt;!.vx"</f>
        <v>#VALUE!</v>
      </c>
      <c r="IS244" t="e">
        <f>'All regions'!4851:4851-"n/&gt;!.vy"</f>
        <v>#VALUE!</v>
      </c>
      <c r="IT244" t="e">
        <f>'All regions'!4852:4852-"n/&gt;!.vz"</f>
        <v>#VALUE!</v>
      </c>
      <c r="IU244" t="e">
        <f>'All regions'!4853:4853-"n/&gt;!.v{"</f>
        <v>#VALUE!</v>
      </c>
      <c r="IV244" t="e">
        <f>'All regions'!4854:4854-"n/&gt;!.v|"</f>
        <v>#VALUE!</v>
      </c>
    </row>
    <row r="245" spans="6:256" x14ac:dyDescent="0.35">
      <c r="F245" t="e">
        <f>'All regions'!4855:4855-"n/&gt;!.v}"</f>
        <v>#VALUE!</v>
      </c>
      <c r="G245" t="e">
        <f>'All regions'!4856:4856-"n/&gt;!.v~"</f>
        <v>#VALUE!</v>
      </c>
      <c r="H245" t="e">
        <f>'All regions'!4857:4857-"n/&gt;!.w#"</f>
        <v>#VALUE!</v>
      </c>
      <c r="I245" t="e">
        <f>'All regions'!4858:4858-"n/&gt;!.w$"</f>
        <v>#VALUE!</v>
      </c>
      <c r="J245" t="e">
        <f>'All regions'!4859:4859-"n/&gt;!.w%"</f>
        <v>#VALUE!</v>
      </c>
      <c r="K245" t="e">
        <f>'All regions'!4860:4860-"n/&gt;!.w&amp;"</f>
        <v>#VALUE!</v>
      </c>
      <c r="L245" t="e">
        <f>'All regions'!4861:4861-"n/&gt;!.w'"</f>
        <v>#VALUE!</v>
      </c>
      <c r="M245" t="e">
        <f>'All regions'!4862:4862-"n/&gt;!.w("</f>
        <v>#VALUE!</v>
      </c>
      <c r="N245" t="e">
        <f>'All regions'!4863:4863-"n/&gt;!.w)"</f>
        <v>#VALUE!</v>
      </c>
      <c r="O245" t="e">
        <f>'All regions'!4864:4864-"n/&gt;!.w."</f>
        <v>#VALUE!</v>
      </c>
      <c r="P245" t="e">
        <f>'All regions'!4865:4865-"n/&gt;!.w/"</f>
        <v>#VALUE!</v>
      </c>
      <c r="Q245" t="e">
        <f>'All regions'!4866:4866-"n/&gt;!.w0"</f>
        <v>#VALUE!</v>
      </c>
      <c r="R245" t="e">
        <f>'All regions'!4867:4867-"n/&gt;!.w1"</f>
        <v>#VALUE!</v>
      </c>
      <c r="S245" t="e">
        <f>'All regions'!4868:4868-"n/&gt;!.w2"</f>
        <v>#VALUE!</v>
      </c>
      <c r="T245" t="e">
        <f>'All regions'!4869:4869-"n/&gt;!.w3"</f>
        <v>#VALUE!</v>
      </c>
      <c r="U245" t="e">
        <f>'All regions'!4870:4870-"n/&gt;!.w4"</f>
        <v>#VALUE!</v>
      </c>
      <c r="V245" t="e">
        <f>'All regions'!4871:4871-"n/&gt;!.w5"</f>
        <v>#VALUE!</v>
      </c>
      <c r="W245" t="e">
        <f>'All regions'!4872:4872-"n/&gt;!.w6"</f>
        <v>#VALUE!</v>
      </c>
      <c r="X245" t="e">
        <f>'All regions'!4873:4873-"n/&gt;!.w7"</f>
        <v>#VALUE!</v>
      </c>
      <c r="Y245" t="e">
        <f>'All regions'!4874:4874-"n/&gt;!.w8"</f>
        <v>#VALUE!</v>
      </c>
      <c r="Z245" t="e">
        <f>'All regions'!4875:4875-"n/&gt;!.w9"</f>
        <v>#VALUE!</v>
      </c>
      <c r="AA245" t="e">
        <f>'All regions'!4876:4876-"n/&gt;!.w:"</f>
        <v>#VALUE!</v>
      </c>
      <c r="AB245" t="e">
        <f>'All regions'!4877:4877-"n/&gt;!.w;"</f>
        <v>#VALUE!</v>
      </c>
      <c r="AC245" t="e">
        <f>'All regions'!4878:4878-"n/&gt;!.w&lt;"</f>
        <v>#VALUE!</v>
      </c>
      <c r="AD245" t="e">
        <f>'All regions'!4879:4879-"n/&gt;!.w="</f>
        <v>#VALUE!</v>
      </c>
      <c r="AE245" t="e">
        <f>'All regions'!4880:4880-"n/&gt;!.w&gt;"</f>
        <v>#VALUE!</v>
      </c>
      <c r="AF245" t="e">
        <f>'All regions'!4881:4881-"n/&gt;!.w?"</f>
        <v>#VALUE!</v>
      </c>
      <c r="AG245" t="e">
        <f>'All regions'!4882:4882-"n/&gt;!.w@"</f>
        <v>#VALUE!</v>
      </c>
      <c r="AH245" t="e">
        <f>'All regions'!4883:4883-"n/&gt;!.wA"</f>
        <v>#VALUE!</v>
      </c>
      <c r="AI245" t="e">
        <f>'All regions'!4884:4884-"n/&gt;!.wB"</f>
        <v>#VALUE!</v>
      </c>
      <c r="AJ245" t="e">
        <f>'All regions'!4885:4885-"n/&gt;!.wC"</f>
        <v>#VALUE!</v>
      </c>
      <c r="AK245" t="e">
        <f>'All regions'!4886:4886-"n/&gt;!.wD"</f>
        <v>#VALUE!</v>
      </c>
      <c r="AL245" t="e">
        <f>'All regions'!4887:4887-"n/&gt;!.wE"</f>
        <v>#VALUE!</v>
      </c>
      <c r="AM245" t="e">
        <f>'All regions'!4888:4888-"n/&gt;!.wF"</f>
        <v>#VALUE!</v>
      </c>
      <c r="AN245" t="e">
        <f>'All regions'!4889:4889-"n/&gt;!.wG"</f>
        <v>#VALUE!</v>
      </c>
      <c r="AO245" t="e">
        <f>'All regions'!4890:4890-"n/&gt;!.wH"</f>
        <v>#VALUE!</v>
      </c>
      <c r="AP245" t="e">
        <f>'All regions'!4891:4891-"n/&gt;!.wI"</f>
        <v>#VALUE!</v>
      </c>
      <c r="AQ245" t="e">
        <f>'All regions'!4892:4892-"n/&gt;!.wJ"</f>
        <v>#VALUE!</v>
      </c>
      <c r="AR245" t="e">
        <f>'All regions'!4893:4893-"n/&gt;!.wK"</f>
        <v>#VALUE!</v>
      </c>
      <c r="AS245" t="e">
        <f>'All regions'!4894:4894-"n/&gt;!.wL"</f>
        <v>#VALUE!</v>
      </c>
      <c r="AT245" t="e">
        <f>'All regions'!4895:4895-"n/&gt;!.wM"</f>
        <v>#VALUE!</v>
      </c>
      <c r="AU245" t="e">
        <f>'All regions'!4896:4896-"n/&gt;!.wN"</f>
        <v>#VALUE!</v>
      </c>
      <c r="AV245" t="e">
        <f>'All regions'!4897:4897-"n/&gt;!.wO"</f>
        <v>#VALUE!</v>
      </c>
      <c r="AW245" t="e">
        <f>'All regions'!4898:4898-"n/&gt;!.wP"</f>
        <v>#VALUE!</v>
      </c>
      <c r="AX245" t="e">
        <f>'All regions'!4899:4899-"n/&gt;!.wQ"</f>
        <v>#VALUE!</v>
      </c>
      <c r="AY245" t="e">
        <f>'All regions'!4900:4900-"n/&gt;!.wR"</f>
        <v>#VALUE!</v>
      </c>
      <c r="AZ245" t="e">
        <f>'All regions'!4901:4901-"n/&gt;!.wS"</f>
        <v>#VALUE!</v>
      </c>
      <c r="BA245" t="e">
        <f>'All regions'!4902:4902-"n/&gt;!.wT"</f>
        <v>#VALUE!</v>
      </c>
      <c r="BB245" t="e">
        <f>'All regions'!4903:4903-"n/&gt;!.wU"</f>
        <v>#VALUE!</v>
      </c>
      <c r="BC245" t="e">
        <f>'All regions'!4904:4904-"n/&gt;!.wV"</f>
        <v>#VALUE!</v>
      </c>
      <c r="BD245" t="e">
        <f>'All regions'!4905:4905-"n/&gt;!.wW"</f>
        <v>#VALUE!</v>
      </c>
      <c r="BE245" t="e">
        <f>'All regions'!4906:4906-"n/&gt;!.wX"</f>
        <v>#VALUE!</v>
      </c>
      <c r="BF245" t="e">
        <f>'All regions'!4907:4907-"n/&gt;!.wY"</f>
        <v>#VALUE!</v>
      </c>
      <c r="BG245" t="e">
        <f>'All regions'!4908:4908-"n/&gt;!.wZ"</f>
        <v>#VALUE!</v>
      </c>
      <c r="BH245" t="e">
        <f>'All regions'!4909:4909-"n/&gt;!.w["</f>
        <v>#VALUE!</v>
      </c>
      <c r="BI245" t="e">
        <f>'All regions'!4910:4910-"n/&gt;!.w\"</f>
        <v>#VALUE!</v>
      </c>
      <c r="BJ245" t="e">
        <f>'All regions'!4911:4911-"n/&gt;!.w]"</f>
        <v>#VALUE!</v>
      </c>
      <c r="BK245" t="e">
        <f>'All regions'!4912:4912-"n/&gt;!.w^"</f>
        <v>#VALUE!</v>
      </c>
      <c r="BL245" t="e">
        <f>'All regions'!4913:4913-"n/&gt;!.w_"</f>
        <v>#VALUE!</v>
      </c>
      <c r="BM245" t="e">
        <f>'All regions'!4914:4914-"n/&gt;!.w`"</f>
        <v>#VALUE!</v>
      </c>
      <c r="BN245" t="e">
        <f>'All regions'!4915:4915-"n/&gt;!.wa"</f>
        <v>#VALUE!</v>
      </c>
      <c r="BO245" t="e">
        <f>'All regions'!4916:4916-"n/&gt;!.wb"</f>
        <v>#VALUE!</v>
      </c>
      <c r="BP245" t="e">
        <f>'All regions'!4917:4917-"n/&gt;!.wc"</f>
        <v>#VALUE!</v>
      </c>
      <c r="BQ245" t="e">
        <f>'All regions'!4918:4918-"n/&gt;!.wd"</f>
        <v>#VALUE!</v>
      </c>
      <c r="BR245" t="e">
        <f>'All regions'!4919:4919-"n/&gt;!.we"</f>
        <v>#VALUE!</v>
      </c>
      <c r="BS245" t="e">
        <f>'All regions'!4920:4920-"n/&gt;!.wf"</f>
        <v>#VALUE!</v>
      </c>
      <c r="BT245" t="e">
        <f>'All regions'!4921:4921-"n/&gt;!.wg"</f>
        <v>#VALUE!</v>
      </c>
      <c r="BU245" t="e">
        <f>'All regions'!4922:4922-"n/&gt;!.wh"</f>
        <v>#VALUE!</v>
      </c>
      <c r="BV245" t="e">
        <f>'All regions'!4923:4923-"n/&gt;!.wi"</f>
        <v>#VALUE!</v>
      </c>
      <c r="BW245" t="e">
        <f>'All regions'!4924:4924-"n/&gt;!.wj"</f>
        <v>#VALUE!</v>
      </c>
      <c r="BX245" t="e">
        <f>'All regions'!4925:4925-"n/&gt;!.wk"</f>
        <v>#VALUE!</v>
      </c>
      <c r="BY245" t="e">
        <f>'All regions'!4926:4926-"n/&gt;!.wl"</f>
        <v>#VALUE!</v>
      </c>
      <c r="BZ245" t="e">
        <f>'All regions'!4927:4927-"n/&gt;!.wm"</f>
        <v>#VALUE!</v>
      </c>
      <c r="CA245" t="e">
        <f>'All regions'!4928:4928-"n/&gt;!.wn"</f>
        <v>#VALUE!</v>
      </c>
      <c r="CB245" t="e">
        <f>'All regions'!4929:4929-"n/&gt;!.wo"</f>
        <v>#VALUE!</v>
      </c>
      <c r="CC245" t="e">
        <f>'All regions'!4930:4930-"n/&gt;!.wp"</f>
        <v>#VALUE!</v>
      </c>
      <c r="CD245" t="e">
        <f>'All regions'!4931:4931-"n/&gt;!.wq"</f>
        <v>#VALUE!</v>
      </c>
      <c r="CE245" t="e">
        <f>'All regions'!4932:4932-"n/&gt;!.wr"</f>
        <v>#VALUE!</v>
      </c>
      <c r="CF245" t="e">
        <f>'All regions'!4933:4933-"n/&gt;!.ws"</f>
        <v>#VALUE!</v>
      </c>
      <c r="CG245" t="e">
        <f>'All regions'!4934:4934-"n/&gt;!.wt"</f>
        <v>#VALUE!</v>
      </c>
      <c r="CH245" t="e">
        <f>'All regions'!4935:4935-"n/&gt;!.wu"</f>
        <v>#VALUE!</v>
      </c>
      <c r="CI245" t="e">
        <f>'All regions'!4936:4936-"n/&gt;!.wv"</f>
        <v>#VALUE!</v>
      </c>
      <c r="CJ245" t="e">
        <f>'All regions'!4937:4937-"n/&gt;!.ww"</f>
        <v>#VALUE!</v>
      </c>
      <c r="CK245" t="e">
        <f>'All regions'!4938:4938-"n/&gt;!.wx"</f>
        <v>#VALUE!</v>
      </c>
      <c r="CL245" t="e">
        <f>'All regions'!4939:4939-"n/&gt;!.wy"</f>
        <v>#VALUE!</v>
      </c>
      <c r="CM245" t="e">
        <f>'All regions'!4940:4940-"n/&gt;!.wz"</f>
        <v>#VALUE!</v>
      </c>
      <c r="CN245" t="e">
        <f>'All regions'!4941:4941-"n/&gt;!.w{"</f>
        <v>#VALUE!</v>
      </c>
      <c r="CO245" t="e">
        <f>'All regions'!4942:4942-"n/&gt;!.w|"</f>
        <v>#VALUE!</v>
      </c>
      <c r="CP245" t="e">
        <f>'All regions'!4943:4943-"n/&gt;!.w}"</f>
        <v>#VALUE!</v>
      </c>
      <c r="CQ245" t="e">
        <f>'All regions'!4944:4944-"n/&gt;!.w~"</f>
        <v>#VALUE!</v>
      </c>
      <c r="CR245" t="e">
        <f>'All regions'!4945:4945-"n/&gt;!.x#"</f>
        <v>#VALUE!</v>
      </c>
      <c r="CS245" t="e">
        <f>'All regions'!4946:4946-"n/&gt;!.x$"</f>
        <v>#VALUE!</v>
      </c>
      <c r="CT245" t="e">
        <f>'All regions'!4947:4947-"n/&gt;!.x%"</f>
        <v>#VALUE!</v>
      </c>
      <c r="CU245" t="e">
        <f>'All regions'!4948:4948-"n/&gt;!.x&amp;"</f>
        <v>#VALUE!</v>
      </c>
      <c r="CV245" t="e">
        <f>'All regions'!4949:4949-"n/&gt;!.x'"</f>
        <v>#VALUE!</v>
      </c>
      <c r="CW245" t="e">
        <f>'All regions'!4950:4950-"n/&gt;!.x("</f>
        <v>#VALUE!</v>
      </c>
      <c r="CX245" t="e">
        <f>'All regions'!4951:4951-"n/&gt;!.x)"</f>
        <v>#VALUE!</v>
      </c>
      <c r="CY245" t="e">
        <f>'All regions'!4952:4952-"n/&gt;!.x."</f>
        <v>#VALUE!</v>
      </c>
      <c r="CZ245" t="e">
        <f>'All regions'!4953:4953-"n/&gt;!.x/"</f>
        <v>#VALUE!</v>
      </c>
      <c r="DA245" t="e">
        <f>'All regions'!4954:4954-"n/&gt;!.x0"</f>
        <v>#VALUE!</v>
      </c>
      <c r="DB245" t="e">
        <f>'All regions'!4955:4955-"n/&gt;!.x1"</f>
        <v>#VALUE!</v>
      </c>
      <c r="DC245" t="e">
        <f>'All regions'!4956:4956-"n/&gt;!.x2"</f>
        <v>#VALUE!</v>
      </c>
      <c r="DD245" t="e">
        <f>'All regions'!4957:4957-"n/&gt;!.x3"</f>
        <v>#VALUE!</v>
      </c>
      <c r="DE245" t="e">
        <f>'All regions'!4958:4958-"n/&gt;!.x4"</f>
        <v>#VALUE!</v>
      </c>
      <c r="DF245" t="e">
        <f>'All regions'!4959:4959-"n/&gt;!.x5"</f>
        <v>#VALUE!</v>
      </c>
      <c r="DG245" t="e">
        <f>'All regions'!4960:4960-"n/&gt;!.x6"</f>
        <v>#VALUE!</v>
      </c>
      <c r="DH245" t="e">
        <f>'All regions'!4961:4961-"n/&gt;!.x7"</f>
        <v>#VALUE!</v>
      </c>
      <c r="DI245" t="e">
        <f>'All regions'!4962:4962-"n/&gt;!.x8"</f>
        <v>#VALUE!</v>
      </c>
      <c r="DJ245" t="e">
        <f>'All regions'!4963:4963-"n/&gt;!.x9"</f>
        <v>#VALUE!</v>
      </c>
      <c r="DK245" t="e">
        <f>'All regions'!4964:4964-"n/&gt;!.x:"</f>
        <v>#VALUE!</v>
      </c>
      <c r="DL245" t="e">
        <f>'All regions'!4965:4965-"n/&gt;!.x;"</f>
        <v>#VALUE!</v>
      </c>
      <c r="DM245" t="e">
        <f>'All regions'!4966:4966-"n/&gt;!.x&lt;"</f>
        <v>#VALUE!</v>
      </c>
      <c r="DN245" t="e">
        <f>'All regions'!4967:4967-"n/&gt;!.x="</f>
        <v>#VALUE!</v>
      </c>
      <c r="DO245" t="e">
        <f>'All regions'!4968:4968-"n/&gt;!.x&gt;"</f>
        <v>#VALUE!</v>
      </c>
      <c r="DP245" t="e">
        <f>'All regions'!4969:4969-"n/&gt;!.x?"</f>
        <v>#VALUE!</v>
      </c>
      <c r="DQ245" t="e">
        <f>'All regions'!4970:4970-"n/&gt;!.x@"</f>
        <v>#VALUE!</v>
      </c>
      <c r="DR245" t="e">
        <f>'All regions'!4971:4971-"n/&gt;!.xA"</f>
        <v>#VALUE!</v>
      </c>
      <c r="DS245" t="e">
        <f>'All regions'!4972:4972-"n/&gt;!.xB"</f>
        <v>#VALUE!</v>
      </c>
      <c r="DT245" t="e">
        <f>'All regions'!4973:4973-"n/&gt;!.xC"</f>
        <v>#VALUE!</v>
      </c>
      <c r="DU245" t="e">
        <f>'All regions'!4974:4974-"n/&gt;!.xD"</f>
        <v>#VALUE!</v>
      </c>
      <c r="DV245" t="e">
        <f>'All regions'!4975:4975-"n/&gt;!.xE"</f>
        <v>#VALUE!</v>
      </c>
      <c r="DW245" t="e">
        <f>'All regions'!4976:4976-"n/&gt;!.xF"</f>
        <v>#VALUE!</v>
      </c>
      <c r="DX245" t="e">
        <f>'All regions'!4977:4977-"n/&gt;!.xG"</f>
        <v>#VALUE!</v>
      </c>
      <c r="DY245" t="e">
        <f>'All regions'!4978:4978-"n/&gt;!.xH"</f>
        <v>#VALUE!</v>
      </c>
      <c r="DZ245" t="e">
        <f>'All regions'!4979:4979-"n/&gt;!.xI"</f>
        <v>#VALUE!</v>
      </c>
      <c r="EA245" t="e">
        <f>'All regions'!4980:4980-"n/&gt;!.xJ"</f>
        <v>#VALUE!</v>
      </c>
      <c r="EB245" t="e">
        <f>'All regions'!4981:4981-"n/&gt;!.xK"</f>
        <v>#VALUE!</v>
      </c>
      <c r="EC245" t="e">
        <f>'All regions'!4982:4982-"n/&gt;!.xL"</f>
        <v>#VALUE!</v>
      </c>
      <c r="ED245" t="e">
        <f>'All regions'!4983:4983-"n/&gt;!.xM"</f>
        <v>#VALUE!</v>
      </c>
      <c r="EE245" t="e">
        <f>'All regions'!4984:4984-"n/&gt;!.xN"</f>
        <v>#VALUE!</v>
      </c>
      <c r="EF245" t="e">
        <f>'All regions'!4985:4985-"n/&gt;!.xO"</f>
        <v>#VALUE!</v>
      </c>
      <c r="EG245" t="e">
        <f>'All regions'!4986:4986-"n/&gt;!.xP"</f>
        <v>#VALUE!</v>
      </c>
      <c r="EH245" t="e">
        <f>'All regions'!4987:4987-"n/&gt;!.xQ"</f>
        <v>#VALUE!</v>
      </c>
      <c r="EI245" t="e">
        <f>'All regions'!4988:4988-"n/&gt;!.xR"</f>
        <v>#VALUE!</v>
      </c>
      <c r="EJ245" t="e">
        <f>'All regions'!4989:4989-"n/&gt;!.xS"</f>
        <v>#VALUE!</v>
      </c>
      <c r="EK245" t="e">
        <f>'All regions'!4990:4990-"n/&gt;!.xT"</f>
        <v>#VALUE!</v>
      </c>
      <c r="EL245" t="e">
        <f>'All regions'!4991:4991-"n/&gt;!.xU"</f>
        <v>#VALUE!</v>
      </c>
      <c r="EM245" t="e">
        <f>'All regions'!4992:4992-"n/&gt;!.xV"</f>
        <v>#VALUE!</v>
      </c>
      <c r="EN245" t="e">
        <f>'All regions'!4993:4993-"n/&gt;!.xW"</f>
        <v>#VALUE!</v>
      </c>
      <c r="EO245" t="e">
        <f>'All regions'!4994:4994-"n/&gt;!.xX"</f>
        <v>#VALUE!</v>
      </c>
      <c r="EP245" t="e">
        <f>'All regions'!4995:4995-"n/&gt;!.xY"</f>
        <v>#VALUE!</v>
      </c>
      <c r="EQ245" t="e">
        <f>'All regions'!4996:4996-"n/&gt;!.xZ"</f>
        <v>#VALUE!</v>
      </c>
      <c r="ER245" t="e">
        <f>'All regions'!4997:4997-"n/&gt;!.x["</f>
        <v>#VALUE!</v>
      </c>
      <c r="ES245" t="e">
        <f>'All regions'!4998:4998-"n/&gt;!.x\"</f>
        <v>#VALUE!</v>
      </c>
      <c r="ET245" t="e">
        <f>'All regions'!4999:4999-"n/&gt;!.x]"</f>
        <v>#VALUE!</v>
      </c>
      <c r="EU245" t="e">
        <f>'All regions'!5000:5000-"n/&gt;!.x^"</f>
        <v>#VALUE!</v>
      </c>
      <c r="EV245" t="e">
        <f>'All regions'!5001:5001-"n/&gt;!.x_"</f>
        <v>#VALUE!</v>
      </c>
      <c r="EW245" t="e">
        <f>'All regions'!5002:5002-"n/&gt;!.x`"</f>
        <v>#VALUE!</v>
      </c>
      <c r="EX245" t="e">
        <f>'All regions'!5003:5003-"n/&gt;!.xa"</f>
        <v>#VALUE!</v>
      </c>
      <c r="EY245" t="e">
        <f>'All regions'!5004:5004-"n/&gt;!.xb"</f>
        <v>#VALUE!</v>
      </c>
      <c r="EZ245" t="e">
        <f>'All regions'!5005:5005-"n/&gt;!.xc"</f>
        <v>#VALUE!</v>
      </c>
      <c r="FA245" t="e">
        <f>'All regions'!5006:5006-"n/&gt;!.xd"</f>
        <v>#VALUE!</v>
      </c>
      <c r="FB245" t="e">
        <f>'All regions'!5007:5007-"n/&gt;!.xe"</f>
        <v>#VALUE!</v>
      </c>
      <c r="FC245" t="e">
        <f>'All regions'!5008:5008-"n/&gt;!.xf"</f>
        <v>#VALUE!</v>
      </c>
      <c r="FD245" t="e">
        <f>'All regions'!5009:5009-"n/&gt;!.xg"</f>
        <v>#VALUE!</v>
      </c>
      <c r="FE245" t="e">
        <f>'All regions'!5010:5010-"n/&gt;!.xh"</f>
        <v>#VALUE!</v>
      </c>
      <c r="FF245" t="e">
        <f>'All regions'!5011:5011-"n/&gt;!.xi"</f>
        <v>#VALUE!</v>
      </c>
      <c r="FG245" t="e">
        <f>'All regions'!5012:5012-"n/&gt;!.xj"</f>
        <v>#VALUE!</v>
      </c>
      <c r="FH245" t="e">
        <f>'All regions'!5013:5013-"n/&gt;!.xk"</f>
        <v>#VALUE!</v>
      </c>
      <c r="FI245" t="e">
        <f>'All regions'!5014:5014-"n/&gt;!.xl"</f>
        <v>#VALUE!</v>
      </c>
      <c r="FJ245" t="e">
        <f>'All regions'!5015:5015-"n/&gt;!.xm"</f>
        <v>#VALUE!</v>
      </c>
      <c r="FK245" t="e">
        <f>'All regions'!5016:5016-"n/&gt;!.xn"</f>
        <v>#VALUE!</v>
      </c>
      <c r="FL245" t="e">
        <f>'All regions'!5017:5017-"n/&gt;!.xo"</f>
        <v>#VALUE!</v>
      </c>
      <c r="FM245" t="e">
        <f>'All regions'!5018:5018-"n/&gt;!.xp"</f>
        <v>#VALUE!</v>
      </c>
      <c r="FN245" t="e">
        <f>'All regions'!5019:5019-"n/&gt;!.xq"</f>
        <v>#VALUE!</v>
      </c>
      <c r="FO245" t="e">
        <f>'All regions'!5020:5020-"n/&gt;!.xr"</f>
        <v>#VALUE!</v>
      </c>
      <c r="FP245" t="e">
        <f>'All regions'!5021:5021-"n/&gt;!.xs"</f>
        <v>#VALUE!</v>
      </c>
      <c r="FQ245" t="e">
        <f>'All regions'!5022:5022-"n/&gt;!.xt"</f>
        <v>#VALUE!</v>
      </c>
      <c r="FR245" t="e">
        <f>'All regions'!5023:5023-"n/&gt;!.xu"</f>
        <v>#VALUE!</v>
      </c>
      <c r="FS245" t="e">
        <f>'All regions'!5024:5024-"n/&gt;!.xv"</f>
        <v>#VALUE!</v>
      </c>
      <c r="FT245" t="e">
        <f>'All regions'!5025:5025-"n/&gt;!.xw"</f>
        <v>#VALUE!</v>
      </c>
      <c r="FU245" t="e">
        <f>'All regions'!5026:5026-"n/&gt;!.xx"</f>
        <v>#VALUE!</v>
      </c>
      <c r="FV245" t="e">
        <f>'All regions'!5027:5027-"n/&gt;!.xy"</f>
        <v>#VALUE!</v>
      </c>
      <c r="FW245" t="e">
        <f>'All regions'!5028:5028-"n/&gt;!.xz"</f>
        <v>#VALUE!</v>
      </c>
      <c r="FX245" t="e">
        <f>'All regions'!5029:5029-"n/&gt;!.x{"</f>
        <v>#VALUE!</v>
      </c>
      <c r="FY245" t="e">
        <f>'All regions'!5030:5030-"n/&gt;!.x|"</f>
        <v>#VALUE!</v>
      </c>
      <c r="FZ245" t="e">
        <f>'All regions'!5031:5031-"n/&gt;!.x}"</f>
        <v>#VALUE!</v>
      </c>
      <c r="GA245" t="e">
        <f>'All regions'!5032:5032-"n/&gt;!.x~"</f>
        <v>#VALUE!</v>
      </c>
      <c r="GB245" t="e">
        <f>'All regions'!5033:5033-"n/&gt;!.y#"</f>
        <v>#VALUE!</v>
      </c>
      <c r="GC245" t="e">
        <f>'All regions'!5034:5034-"n/&gt;!.y$"</f>
        <v>#VALUE!</v>
      </c>
      <c r="GD245" t="e">
        <f>'All regions'!5035:5035-"n/&gt;!.y%"</f>
        <v>#VALUE!</v>
      </c>
      <c r="GE245" t="e">
        <f>'All regions'!5036:5036-"n/&gt;!.y&amp;"</f>
        <v>#VALUE!</v>
      </c>
      <c r="GF245" t="e">
        <f>'All regions'!5037:5037-"n/&gt;!.y'"</f>
        <v>#VALUE!</v>
      </c>
      <c r="GG245" t="e">
        <f>'All regions'!5038:5038-"n/&gt;!.y("</f>
        <v>#VALUE!</v>
      </c>
      <c r="GH245" t="e">
        <f>'All regions'!5039:5039-"n/&gt;!.y)"</f>
        <v>#VALUE!</v>
      </c>
      <c r="GI245" t="e">
        <f>'All regions'!5040:5040-"n/&gt;!.y."</f>
        <v>#VALUE!</v>
      </c>
      <c r="GJ245" t="e">
        <f>'All regions'!5041:5041-"n/&gt;!.y/"</f>
        <v>#VALUE!</v>
      </c>
      <c r="GK245" t="e">
        <f>'All regions'!5042:5042-"n/&gt;!.y0"</f>
        <v>#VALUE!</v>
      </c>
      <c r="GL245" t="e">
        <f>'All regions'!5043:5043-"n/&gt;!.y1"</f>
        <v>#VALUE!</v>
      </c>
      <c r="GM245" t="e">
        <f>'All regions'!5044:5044-"n/&gt;!.y2"</f>
        <v>#VALUE!</v>
      </c>
      <c r="GN245" t="e">
        <f>'All regions'!5045:5045-"n/&gt;!.y3"</f>
        <v>#VALUE!</v>
      </c>
      <c r="GO245" t="e">
        <f>'All regions'!5046:5046-"n/&gt;!.y4"</f>
        <v>#VALUE!</v>
      </c>
      <c r="GP245" t="e">
        <f>'All regions'!5047:5047-"n/&gt;!.y5"</f>
        <v>#VALUE!</v>
      </c>
      <c r="GQ245" t="e">
        <f>'All regions'!5048:5048-"n/&gt;!.y6"</f>
        <v>#VALUE!</v>
      </c>
      <c r="GR245" t="e">
        <f>'All regions'!5049:5049-"n/&gt;!.y7"</f>
        <v>#VALUE!</v>
      </c>
      <c r="GS245" t="e">
        <f>'All regions'!5050:5050-"n/&gt;!.y8"</f>
        <v>#VALUE!</v>
      </c>
      <c r="GT245" t="e">
        <f>'All regions'!5051:5051-"n/&gt;!.y9"</f>
        <v>#VALUE!</v>
      </c>
      <c r="GU245" t="e">
        <f>'All regions'!5052:5052-"n/&gt;!.y:"</f>
        <v>#VALUE!</v>
      </c>
      <c r="GV245" t="e">
        <f>'All regions'!5053:5053-"n/&gt;!.y;"</f>
        <v>#VALUE!</v>
      </c>
      <c r="GW245" t="e">
        <f>'All regions'!5054:5054-"n/&gt;!.y&lt;"</f>
        <v>#VALUE!</v>
      </c>
      <c r="GX245" t="e">
        <f>'All regions'!5055:5055-"n/&gt;!.y="</f>
        <v>#VALUE!</v>
      </c>
      <c r="GY245" t="e">
        <f>'All regions'!5056:5056-"n/&gt;!.y&gt;"</f>
        <v>#VALUE!</v>
      </c>
      <c r="GZ245" t="e">
        <f>'All regions'!5057:5057-"n/&gt;!.y?"</f>
        <v>#VALUE!</v>
      </c>
      <c r="HA245" t="e">
        <f>'All regions'!5058:5058-"n/&gt;!.y@"</f>
        <v>#VALUE!</v>
      </c>
      <c r="HB245" t="e">
        <f>'All regions'!5059:5059-"n/&gt;!.yA"</f>
        <v>#VALUE!</v>
      </c>
      <c r="HC245" t="e">
        <f>'All regions'!5060:5060-"n/&gt;!.yB"</f>
        <v>#VALUE!</v>
      </c>
      <c r="HD245" t="e">
        <f>'All regions'!5061:5061-"n/&gt;!.yC"</f>
        <v>#VALUE!</v>
      </c>
      <c r="HE245" t="e">
        <f>'All regions'!5062:5062-"n/&gt;!.yD"</f>
        <v>#VALUE!</v>
      </c>
      <c r="HF245" t="e">
        <f>'All regions'!5063:5063-"n/&gt;!.yE"</f>
        <v>#VALUE!</v>
      </c>
      <c r="HG245" t="e">
        <f>'All regions'!5064:5064-"n/&gt;!.yF"</f>
        <v>#VALUE!</v>
      </c>
      <c r="HH245" t="e">
        <f>'All regions'!5065:5065-"n/&gt;!.yG"</f>
        <v>#VALUE!</v>
      </c>
      <c r="HI245" t="e">
        <f>'All regions'!5066:5066-"n/&gt;!.yH"</f>
        <v>#VALUE!</v>
      </c>
      <c r="HJ245" t="e">
        <f>'All regions'!5067:5067-"n/&gt;!.yI"</f>
        <v>#VALUE!</v>
      </c>
      <c r="HK245" t="e">
        <f>'All regions'!5068:5068-"n/&gt;!.yJ"</f>
        <v>#VALUE!</v>
      </c>
      <c r="HL245" t="e">
        <f>'All regions'!5069:5069-"n/&gt;!.yK"</f>
        <v>#VALUE!</v>
      </c>
      <c r="HM245" t="e">
        <f>'All regions'!5070:5070-"n/&gt;!.yL"</f>
        <v>#VALUE!</v>
      </c>
      <c r="HN245" t="e">
        <f>'All regions'!5071:5071-"n/&gt;!.yM"</f>
        <v>#VALUE!</v>
      </c>
      <c r="HO245" t="e">
        <f>'All regions'!5072:5072-"n/&gt;!.yN"</f>
        <v>#VALUE!</v>
      </c>
      <c r="HP245" t="e">
        <f>'All regions'!5073:5073-"n/&gt;!.yO"</f>
        <v>#VALUE!</v>
      </c>
      <c r="HQ245" t="e">
        <f>'All regions'!5074:5074-"n/&gt;!.yP"</f>
        <v>#VALUE!</v>
      </c>
      <c r="HR245" t="e">
        <f>'All regions'!5075:5075-"n/&gt;!.yQ"</f>
        <v>#VALUE!</v>
      </c>
      <c r="HS245" t="e">
        <f>'All regions'!5076:5076-"n/&gt;!.yR"</f>
        <v>#VALUE!</v>
      </c>
      <c r="HT245" t="e">
        <f>'All regions'!5077:5077-"n/&gt;!.yS"</f>
        <v>#VALUE!</v>
      </c>
      <c r="HU245" t="e">
        <f>'All regions'!5078:5078-"n/&gt;!.yT"</f>
        <v>#VALUE!</v>
      </c>
      <c r="HV245" t="e">
        <f>'All regions'!5079:5079-"n/&gt;!.yU"</f>
        <v>#VALUE!</v>
      </c>
      <c r="HW245" t="e">
        <f>'All regions'!5080:5080-"n/&gt;!.yV"</f>
        <v>#VALUE!</v>
      </c>
      <c r="HX245" t="e">
        <f>'All regions'!5081:5081-"n/&gt;!.yW"</f>
        <v>#VALUE!</v>
      </c>
      <c r="HY245" t="e">
        <f>'All regions'!5082:5082-"n/&gt;!.yX"</f>
        <v>#VALUE!</v>
      </c>
      <c r="HZ245" t="e">
        <f>'All regions'!5083:5083-"n/&gt;!.yY"</f>
        <v>#VALUE!</v>
      </c>
      <c r="IA245" t="e">
        <f>'All regions'!5084:5084-"n/&gt;!.yZ"</f>
        <v>#VALUE!</v>
      </c>
      <c r="IB245" t="e">
        <f>'All regions'!5085:5085-"n/&gt;!.y["</f>
        <v>#VALUE!</v>
      </c>
      <c r="IC245" t="e">
        <f>'All regions'!5086:5086-"n/&gt;!.y\"</f>
        <v>#VALUE!</v>
      </c>
      <c r="ID245" t="e">
        <f>'All regions'!5087:5087-"n/&gt;!.y]"</f>
        <v>#VALUE!</v>
      </c>
      <c r="IE245" t="e">
        <f>'All regions'!5088:5088-"n/&gt;!.y^"</f>
        <v>#VALUE!</v>
      </c>
      <c r="IF245" t="e">
        <f>'All regions'!5089:5089-"n/&gt;!.y_"</f>
        <v>#VALUE!</v>
      </c>
      <c r="IG245" t="e">
        <f>'All regions'!5090:5090-"n/&gt;!.y`"</f>
        <v>#VALUE!</v>
      </c>
      <c r="IH245" t="e">
        <f>'All regions'!5091:5091-"n/&gt;!.ya"</f>
        <v>#VALUE!</v>
      </c>
      <c r="II245" t="e">
        <f>'All regions'!5092:5092-"n/&gt;!.yb"</f>
        <v>#VALUE!</v>
      </c>
      <c r="IJ245" t="e">
        <f>'All regions'!5093:5093-"n/&gt;!.yc"</f>
        <v>#VALUE!</v>
      </c>
      <c r="IK245" t="e">
        <f>'All regions'!5094:5094-"n/&gt;!.yd"</f>
        <v>#VALUE!</v>
      </c>
      <c r="IL245" t="e">
        <f>'All regions'!5095:5095-"n/&gt;!.ye"</f>
        <v>#VALUE!</v>
      </c>
      <c r="IM245" t="e">
        <f>'All regions'!5096:5096-"n/&gt;!.yf"</f>
        <v>#VALUE!</v>
      </c>
      <c r="IN245" t="e">
        <f>'All regions'!5097:5097-"n/&gt;!.yg"</f>
        <v>#VALUE!</v>
      </c>
      <c r="IO245" t="e">
        <f>'All regions'!5098:5098-"n/&gt;!.yh"</f>
        <v>#VALUE!</v>
      </c>
      <c r="IP245" t="e">
        <f>'All regions'!5099:5099-"n/&gt;!.yi"</f>
        <v>#VALUE!</v>
      </c>
      <c r="IQ245" t="e">
        <f>'All regions'!5100:5100-"n/&gt;!.yj"</f>
        <v>#VALUE!</v>
      </c>
      <c r="IR245" t="e">
        <f>'All regions'!5101:5101-"n/&gt;!.yk"</f>
        <v>#VALUE!</v>
      </c>
      <c r="IS245" t="e">
        <f>'All regions'!5102:5102-"n/&gt;!.yl"</f>
        <v>#VALUE!</v>
      </c>
      <c r="IT245" t="e">
        <f>'All regions'!5103:5103-"n/&gt;!.ym"</f>
        <v>#VALUE!</v>
      </c>
      <c r="IU245" t="e">
        <f>'All regions'!5104:5104-"n/&gt;!.yn"</f>
        <v>#VALUE!</v>
      </c>
      <c r="IV245" t="e">
        <f>'All regions'!5105:5105-"n/&gt;!.yo"</f>
        <v>#VALUE!</v>
      </c>
    </row>
    <row r="246" spans="6:256" x14ac:dyDescent="0.35">
      <c r="F246" t="e">
        <f>'All regions'!5106:5106-"n/&gt;!.yp"</f>
        <v>#VALUE!</v>
      </c>
      <c r="G246" t="e">
        <f>'All regions'!5107:5107-"n/&gt;!.yq"</f>
        <v>#VALUE!</v>
      </c>
      <c r="H246" t="e">
        <f>'All regions'!5108:5108-"n/&gt;!.yr"</f>
        <v>#VALUE!</v>
      </c>
      <c r="I246" t="e">
        <f>'All regions'!5109:5109-"n/&gt;!.ys"</f>
        <v>#VALUE!</v>
      </c>
      <c r="J246" t="e">
        <f>'All regions'!5110:5110-"n/&gt;!.yt"</f>
        <v>#VALUE!</v>
      </c>
      <c r="K246" t="e">
        <f>'All regions'!5111:5111-"n/&gt;!.yu"</f>
        <v>#VALUE!</v>
      </c>
      <c r="L246" t="e">
        <f>'All regions'!5112:5112-"n/&gt;!.yv"</f>
        <v>#VALUE!</v>
      </c>
      <c r="M246" t="e">
        <f>'All regions'!5113:5113-"n/&gt;!.yw"</f>
        <v>#VALUE!</v>
      </c>
      <c r="N246" t="e">
        <f>'All regions'!5114:5114-"n/&gt;!.yx"</f>
        <v>#VALUE!</v>
      </c>
      <c r="O246" t="e">
        <f>'All regions'!5115:5115-"n/&gt;!.yy"</f>
        <v>#VALUE!</v>
      </c>
      <c r="P246" t="e">
        <f>'All regions'!5116:5116-"n/&gt;!.yz"</f>
        <v>#VALUE!</v>
      </c>
      <c r="Q246" t="e">
        <f>'All regions'!5117:5117-"n/&gt;!.y{"</f>
        <v>#VALUE!</v>
      </c>
      <c r="R246" t="e">
        <f>'All regions'!5118:5118-"n/&gt;!.y|"</f>
        <v>#VALUE!</v>
      </c>
      <c r="S246" t="e">
        <f>'All regions'!5119:5119-"n/&gt;!.y}"</f>
        <v>#VALUE!</v>
      </c>
      <c r="T246" t="e">
        <f>'All regions'!5120:5120-"n/&gt;!.y~"</f>
        <v>#VALUE!</v>
      </c>
      <c r="U246" t="e">
        <f>'All regions'!5121:5121-"n/&gt;!.z#"</f>
        <v>#VALUE!</v>
      </c>
      <c r="V246" t="e">
        <f>'All regions'!5122:5122-"n/&gt;!.z$"</f>
        <v>#VALUE!</v>
      </c>
      <c r="W246" t="e">
        <f>'All regions'!5123:5123-"n/&gt;!.z%"</f>
        <v>#VALUE!</v>
      </c>
      <c r="X246" t="e">
        <f>'All regions'!5124:5124-"n/&gt;!.z&amp;"</f>
        <v>#VALUE!</v>
      </c>
      <c r="Y246" t="e">
        <f>'All regions'!5125:5125-"n/&gt;!.z'"</f>
        <v>#VALUE!</v>
      </c>
      <c r="Z246" t="e">
        <f>'All regions'!5126:5126-"n/&gt;!.z("</f>
        <v>#VALUE!</v>
      </c>
      <c r="AA246" t="e">
        <f>'All regions'!5127:5127-"n/&gt;!.z)"</f>
        <v>#VALUE!</v>
      </c>
      <c r="AB246" t="e">
        <f>'All regions'!5128:5128-"n/&gt;!.z."</f>
        <v>#VALUE!</v>
      </c>
      <c r="AC246" t="e">
        <f>'All regions'!5129:5129-"n/&gt;!.z/"</f>
        <v>#VALUE!</v>
      </c>
      <c r="AD246" t="e">
        <f>'All regions'!5130:5130-"n/&gt;!.z0"</f>
        <v>#VALUE!</v>
      </c>
      <c r="AE246" t="e">
        <f>'All regions'!5131:5131-"n/&gt;!.z1"</f>
        <v>#VALUE!</v>
      </c>
      <c r="AF246" t="e">
        <f>'All regions'!5132:5132-"n/&gt;!.z2"</f>
        <v>#VALUE!</v>
      </c>
      <c r="AG246" t="e">
        <f>'All regions'!5133:5133-"n/&gt;!.z3"</f>
        <v>#VALUE!</v>
      </c>
      <c r="AH246" t="e">
        <f>'All regions'!5134:5134-"n/&gt;!.z4"</f>
        <v>#VALUE!</v>
      </c>
      <c r="AI246" t="e">
        <f>'All regions'!5135:5135-"n/&gt;!.z5"</f>
        <v>#VALUE!</v>
      </c>
      <c r="AJ246" t="e">
        <f>'All regions'!5136:5136-"n/&gt;!.z6"</f>
        <v>#VALUE!</v>
      </c>
      <c r="AK246" t="e">
        <f>'All regions'!5137:5137-"n/&gt;!.z7"</f>
        <v>#VALUE!</v>
      </c>
      <c r="AL246" t="e">
        <f>'All regions'!5138:5138-"n/&gt;!.z8"</f>
        <v>#VALUE!</v>
      </c>
      <c r="AM246" t="e">
        <f>'All regions'!5139:5139-"n/&gt;!.z9"</f>
        <v>#VALUE!</v>
      </c>
      <c r="AN246" t="e">
        <f>'All regions'!5140:5140-"n/&gt;!.z:"</f>
        <v>#VALUE!</v>
      </c>
      <c r="AO246" t="e">
        <f>'All regions'!5141:5141-"n/&gt;!.z;"</f>
        <v>#VALUE!</v>
      </c>
      <c r="AP246" t="e">
        <f>'All regions'!5142:5142-"n/&gt;!.z&lt;"</f>
        <v>#VALUE!</v>
      </c>
      <c r="AQ246" t="e">
        <f>'All regions'!5143:5143-"n/&gt;!.z="</f>
        <v>#VALUE!</v>
      </c>
      <c r="AR246" t="e">
        <f>'All regions'!5144:5144-"n/&gt;!.z&gt;"</f>
        <v>#VALUE!</v>
      </c>
      <c r="AS246" t="e">
        <f>'All regions'!5145:5145-"n/&gt;!.z?"</f>
        <v>#VALUE!</v>
      </c>
      <c r="AT246" t="e">
        <f>'All regions'!5146:5146-"n/&gt;!.z@"</f>
        <v>#VALUE!</v>
      </c>
      <c r="AU246" t="e">
        <f>'All regions'!5147:5147-"n/&gt;!.zA"</f>
        <v>#VALUE!</v>
      </c>
      <c r="AV246" t="e">
        <f>'All regions'!5148:5148-"n/&gt;!.zB"</f>
        <v>#VALUE!</v>
      </c>
      <c r="AW246" t="e">
        <f>'All regions'!5149:5149-"n/&gt;!.zC"</f>
        <v>#VALUE!</v>
      </c>
      <c r="AX246" t="e">
        <f>'All regions'!5150:5150-"n/&gt;!.zD"</f>
        <v>#VALUE!</v>
      </c>
      <c r="AY246" t="e">
        <f>'All regions'!5151:5151-"n/&gt;!.zE"</f>
        <v>#VALUE!</v>
      </c>
      <c r="AZ246" t="e">
        <f>'All regions'!5152:5152-"n/&gt;!.zF"</f>
        <v>#VALUE!</v>
      </c>
      <c r="BA246" t="e">
        <f>'All regions'!5153:5153-"n/&gt;!.zG"</f>
        <v>#VALUE!</v>
      </c>
      <c r="BB246" t="e">
        <f>'All regions'!5154:5154-"n/&gt;!.zH"</f>
        <v>#VALUE!</v>
      </c>
      <c r="BC246" t="e">
        <f>'All regions'!5155:5155-"n/&gt;!.zI"</f>
        <v>#VALUE!</v>
      </c>
      <c r="BD246" t="e">
        <f>'All regions'!5156:5156-"n/&gt;!.zJ"</f>
        <v>#VALUE!</v>
      </c>
      <c r="BE246" t="e">
        <f>'All regions'!5157:5157-"n/&gt;!.zK"</f>
        <v>#VALUE!</v>
      </c>
      <c r="BF246" t="e">
        <f>'All regions'!5158:5158-"n/&gt;!.zL"</f>
        <v>#VALUE!</v>
      </c>
      <c r="BG246" t="e">
        <f>'All regions'!5159:5159-"n/&gt;!.zM"</f>
        <v>#VALUE!</v>
      </c>
      <c r="BH246" t="e">
        <f>'All regions'!5160:5160-"n/&gt;!.zN"</f>
        <v>#VALUE!</v>
      </c>
      <c r="BI246" t="e">
        <f>'All regions'!5161:5161-"n/&gt;!.zO"</f>
        <v>#VALUE!</v>
      </c>
      <c r="BJ246" t="e">
        <f>'All regions'!5162:5162-"n/&gt;!.zP"</f>
        <v>#VALUE!</v>
      </c>
      <c r="BK246" t="e">
        <f>'All regions'!5163:5163-"n/&gt;!.zQ"</f>
        <v>#VALUE!</v>
      </c>
      <c r="BL246" t="e">
        <f>'All regions'!5164:5164-"n/&gt;!.zR"</f>
        <v>#VALUE!</v>
      </c>
      <c r="BM246" t="e">
        <f>'All regions'!5165:5165-"n/&gt;!.zS"</f>
        <v>#VALUE!</v>
      </c>
      <c r="BN246" t="e">
        <f>'All regions'!5166:5166-"n/&gt;!.zT"</f>
        <v>#VALUE!</v>
      </c>
      <c r="BO246" t="e">
        <f>'All regions'!5167:5167-"n/&gt;!.zU"</f>
        <v>#VALUE!</v>
      </c>
      <c r="BP246" t="e">
        <f>'All regions'!5168:5168-"n/&gt;!.zV"</f>
        <v>#VALUE!</v>
      </c>
      <c r="BQ246" t="e">
        <f>'All regions'!5169:5169-"n/&gt;!.zW"</f>
        <v>#VALUE!</v>
      </c>
      <c r="BR246" t="e">
        <f>'All regions'!5170:5170-"n/&gt;!.zX"</f>
        <v>#VALUE!</v>
      </c>
      <c r="BS246" t="e">
        <f>'All regions'!5171:5171-"n/&gt;!.zY"</f>
        <v>#VALUE!</v>
      </c>
      <c r="BT246" t="e">
        <f>'All regions'!5172:5172-"n/&gt;!.zZ"</f>
        <v>#VALUE!</v>
      </c>
      <c r="BU246" t="e">
        <f>'All regions'!5173:5173-"n/&gt;!.z["</f>
        <v>#VALUE!</v>
      </c>
      <c r="BV246" t="e">
        <f>'All regions'!5174:5174-"n/&gt;!.z\"</f>
        <v>#VALUE!</v>
      </c>
      <c r="BW246" t="e">
        <f>'All regions'!5175:5175-"n/&gt;!.z]"</f>
        <v>#VALUE!</v>
      </c>
      <c r="BX246" t="e">
        <f>'All regions'!5176:5176-"n/&gt;!.z^"</f>
        <v>#VALUE!</v>
      </c>
      <c r="BY246" t="e">
        <f>'All regions'!5177:5177-"n/&gt;!.z_"</f>
        <v>#VALUE!</v>
      </c>
      <c r="BZ246" t="e">
        <f>'All regions'!5178:5178-"n/&gt;!.z`"</f>
        <v>#VALUE!</v>
      </c>
      <c r="CA246" t="e">
        <f>'All regions'!5179:5179-"n/&gt;!.za"</f>
        <v>#VALUE!</v>
      </c>
      <c r="CB246" t="e">
        <f>'All regions'!5180:5180-"n/&gt;!.zb"</f>
        <v>#VALUE!</v>
      </c>
      <c r="CC246" t="e">
        <f>'All regions'!5181:5181-"n/&gt;!.zc"</f>
        <v>#VALUE!</v>
      </c>
      <c r="CD246" t="e">
        <f>'All regions'!5182:5182-"n/&gt;!.zd"</f>
        <v>#VALUE!</v>
      </c>
      <c r="CE246" t="e">
        <f>'All regions'!5183:5183-"n/&gt;!.ze"</f>
        <v>#VALUE!</v>
      </c>
      <c r="CF246" t="e">
        <f>'All regions'!5184:5184-"n/&gt;!.zf"</f>
        <v>#VALUE!</v>
      </c>
      <c r="CG246" t="e">
        <f>'All regions'!5185:5185-"n/&gt;!.zg"</f>
        <v>#VALUE!</v>
      </c>
      <c r="CH246" t="e">
        <f>'All regions'!5186:5186-"n/&gt;!.zh"</f>
        <v>#VALUE!</v>
      </c>
      <c r="CI246" t="e">
        <f>'All regions'!5187:5187-"n/&gt;!.zi"</f>
        <v>#VALUE!</v>
      </c>
      <c r="CJ246" t="e">
        <f>'All regions'!5188:5188-"n/&gt;!.zj"</f>
        <v>#VALUE!</v>
      </c>
      <c r="CK246" t="e">
        <f>'All regions'!5189:5189-"n/&gt;!.zk"</f>
        <v>#VALUE!</v>
      </c>
      <c r="CL246" t="e">
        <f>'All regions'!5190:5190-"n/&gt;!.zl"</f>
        <v>#VALUE!</v>
      </c>
      <c r="CM246" t="e">
        <f>'All regions'!5191:5191-"n/&gt;!.zm"</f>
        <v>#VALUE!</v>
      </c>
      <c r="CN246" t="e">
        <f>'All regions'!5192:5192-"n/&gt;!.zn"</f>
        <v>#VALUE!</v>
      </c>
      <c r="CO246" t="e">
        <f>'All regions'!5193:5193-"n/&gt;!.zo"</f>
        <v>#VALUE!</v>
      </c>
      <c r="CP246" t="e">
        <f>'All regions'!5194:5194-"n/&gt;!.zp"</f>
        <v>#VALUE!</v>
      </c>
      <c r="CQ246" t="e">
        <f>'All regions'!5195:5195-"n/&gt;!.zq"</f>
        <v>#VALUE!</v>
      </c>
      <c r="CR246" t="e">
        <f>'All regions'!5196:5196-"n/&gt;!.zr"</f>
        <v>#VALUE!</v>
      </c>
      <c r="CS246" t="e">
        <f>'All regions'!5197:5197-"n/&gt;!.zs"</f>
        <v>#VALUE!</v>
      </c>
      <c r="CT246" t="e">
        <f>'All regions'!5198:5198-"n/&gt;!.zt"</f>
        <v>#VALUE!</v>
      </c>
      <c r="CU246" t="e">
        <f>'All regions'!5199:5199-"n/&gt;!.zu"</f>
        <v>#VALUE!</v>
      </c>
      <c r="CV246" t="e">
        <f>'All regions'!5200:5200-"n/&gt;!.zv"</f>
        <v>#VALUE!</v>
      </c>
      <c r="CW246" t="e">
        <f>'All regions'!5201:5201-"n/&gt;!.zw"</f>
        <v>#VALUE!</v>
      </c>
      <c r="CX246" t="e">
        <f>'All regions'!5202:5202-"n/&gt;!.zx"</f>
        <v>#VALUE!</v>
      </c>
      <c r="CY246" t="e">
        <f>'All regions'!5203:5203-"n/&gt;!.zy"</f>
        <v>#VALUE!</v>
      </c>
      <c r="CZ246" t="e">
        <f>'All regions'!5204:5204-"n/&gt;!.zz"</f>
        <v>#VALUE!</v>
      </c>
      <c r="DA246" t="e">
        <f>'All regions'!5205:5205-"n/&gt;!.z{"</f>
        <v>#VALUE!</v>
      </c>
      <c r="DB246" t="e">
        <f>'All regions'!5206:5206-"n/&gt;!.z|"</f>
        <v>#VALUE!</v>
      </c>
      <c r="DC246" t="e">
        <f>'All regions'!5207:5207-"n/&gt;!.z}"</f>
        <v>#VALUE!</v>
      </c>
      <c r="DD246" t="e">
        <f>'All regions'!5208:5208-"n/&gt;!.z~"</f>
        <v>#VALUE!</v>
      </c>
      <c r="DE246" t="e">
        <f>'All regions'!5209:5209-"n/&gt;!.{#"</f>
        <v>#VALUE!</v>
      </c>
      <c r="DF246" t="e">
        <f>'All regions'!5210:5210-"n/&gt;!.{$"</f>
        <v>#VALUE!</v>
      </c>
      <c r="DG246" t="e">
        <f>'All regions'!5211:5211-"n/&gt;!.{%"</f>
        <v>#VALUE!</v>
      </c>
      <c r="DH246" t="e">
        <f>'All regions'!5212:5212-"n/&gt;!.{&amp;"</f>
        <v>#VALUE!</v>
      </c>
      <c r="DI246" t="e">
        <f>'All regions'!5213:5213-"n/&gt;!.{'"</f>
        <v>#VALUE!</v>
      </c>
      <c r="DJ246" t="e">
        <f>'All regions'!5214:5214-"n/&gt;!.{("</f>
        <v>#VALUE!</v>
      </c>
      <c r="DK246" t="e">
        <f>'All regions'!5215:5215-"n/&gt;!.{)"</f>
        <v>#VALUE!</v>
      </c>
      <c r="DL246" t="e">
        <f>'All regions'!5216:5216-"n/&gt;!.{."</f>
        <v>#VALUE!</v>
      </c>
      <c r="DM246" t="e">
        <f>'All regions'!5217:5217-"n/&gt;!.{/"</f>
        <v>#VALUE!</v>
      </c>
      <c r="DN246" t="e">
        <f>'All regions'!5218:5218-"n/&gt;!.{0"</f>
        <v>#VALUE!</v>
      </c>
      <c r="DO246" t="e">
        <f>'All regions'!5219:5219-"n/&gt;!.{1"</f>
        <v>#VALUE!</v>
      </c>
      <c r="DP246" t="e">
        <f>'All regions'!5220:5220-"n/&gt;!.{2"</f>
        <v>#VALUE!</v>
      </c>
      <c r="DQ246" t="e">
        <f>'All regions'!5221:5221-"n/&gt;!.{3"</f>
        <v>#VALUE!</v>
      </c>
      <c r="DR246" t="e">
        <f>'All regions'!5222:5222-"n/&gt;!.{4"</f>
        <v>#VALUE!</v>
      </c>
      <c r="DS246" t="e">
        <f>'All regions'!5223:5223-"n/&gt;!.{5"</f>
        <v>#VALUE!</v>
      </c>
      <c r="DT246" t="e">
        <f>'All regions'!5224:5224-"n/&gt;!.{6"</f>
        <v>#VALUE!</v>
      </c>
      <c r="DU246" t="e">
        <f>'All regions'!5225:5225-"n/&gt;!.{7"</f>
        <v>#VALUE!</v>
      </c>
      <c r="DV246" t="e">
        <f>'All regions'!5226:5226-"n/&gt;!.{8"</f>
        <v>#VALUE!</v>
      </c>
      <c r="DW246" t="e">
        <f>'All regions'!5227:5227-"n/&gt;!.{9"</f>
        <v>#VALUE!</v>
      </c>
      <c r="DX246" t="e">
        <f>'All regions'!5228:5228-"n/&gt;!.{:"</f>
        <v>#VALUE!</v>
      </c>
      <c r="DY246" t="e">
        <f>'All regions'!5229:5229-"n/&gt;!.{;"</f>
        <v>#VALUE!</v>
      </c>
      <c r="DZ246" t="e">
        <f>'All regions'!5230:5230-"n/&gt;!.{&lt;"</f>
        <v>#VALUE!</v>
      </c>
      <c r="EA246" t="e">
        <f>'All regions'!5231:5231-"n/&gt;!.{="</f>
        <v>#VALUE!</v>
      </c>
      <c r="EB246" t="e">
        <f>'All regions'!5232:5232-"n/&gt;!.{&gt;"</f>
        <v>#VALUE!</v>
      </c>
      <c r="EC246" t="e">
        <f>'All regions'!5233:5233-"n/&gt;!.{?"</f>
        <v>#VALUE!</v>
      </c>
      <c r="ED246" t="e">
        <f>'All regions'!5234:5234-"n/&gt;!.{@"</f>
        <v>#VALUE!</v>
      </c>
      <c r="EE246" t="e">
        <f>'All regions'!5235:5235-"n/&gt;!.{A"</f>
        <v>#VALUE!</v>
      </c>
      <c r="EF246" t="e">
        <f>'All regions'!5236:5236-"n/&gt;!.{B"</f>
        <v>#VALUE!</v>
      </c>
      <c r="EG246" t="e">
        <f>'All regions'!5237:5237-"n/&gt;!.{C"</f>
        <v>#VALUE!</v>
      </c>
      <c r="EH246" t="e">
        <f>'All regions'!5238:5238-"n/&gt;!.{D"</f>
        <v>#VALUE!</v>
      </c>
      <c r="EI246" t="e">
        <f>'All regions'!5239:5239-"n/&gt;!.{E"</f>
        <v>#VALUE!</v>
      </c>
      <c r="EJ246" t="e">
        <f>'All regions'!5240:5240-"n/&gt;!.{F"</f>
        <v>#VALUE!</v>
      </c>
      <c r="EK246" t="e">
        <f>'All regions'!5241:5241-"n/&gt;!.{G"</f>
        <v>#VALUE!</v>
      </c>
      <c r="EL246" t="e">
        <f>'All regions'!5242:5242-"n/&gt;!.{H"</f>
        <v>#VALUE!</v>
      </c>
      <c r="EM246" t="e">
        <f>'All regions'!5243:5243-"n/&gt;!.{I"</f>
        <v>#VALUE!</v>
      </c>
      <c r="EN246" t="e">
        <f>'All regions'!5244:5244-"n/&gt;!.{J"</f>
        <v>#VALUE!</v>
      </c>
      <c r="EO246" t="e">
        <f>'All regions'!5245:5245-"n/&gt;!.{K"</f>
        <v>#VALUE!</v>
      </c>
      <c r="EP246" t="e">
        <f>'All regions'!5246:5246-"n/&gt;!.{L"</f>
        <v>#VALUE!</v>
      </c>
      <c r="EQ246" t="e">
        <f>'All regions'!5247:5247-"n/&gt;!.{M"</f>
        <v>#VALUE!</v>
      </c>
      <c r="ER246" t="e">
        <f>'All regions'!5248:5248-"n/&gt;!.{N"</f>
        <v>#VALUE!</v>
      </c>
      <c r="ES246" t="e">
        <f>'All regions'!5249:5249-"n/&gt;!.{O"</f>
        <v>#VALUE!</v>
      </c>
      <c r="ET246" t="e">
        <f>'All regions'!5250:5250-"n/&gt;!.{P"</f>
        <v>#VALUE!</v>
      </c>
      <c r="EU246" t="e">
        <f>'All regions'!5251:5251-"n/&gt;!.{Q"</f>
        <v>#VALUE!</v>
      </c>
      <c r="EV246" t="e">
        <f>'All regions'!5252:5252-"n/&gt;!.{R"</f>
        <v>#VALUE!</v>
      </c>
      <c r="EW246" t="e">
        <f>'All regions'!5253:5253-"n/&gt;!.{S"</f>
        <v>#VALUE!</v>
      </c>
      <c r="EX246" t="e">
        <f>'All regions'!5254:5254-"n/&gt;!.{T"</f>
        <v>#VALUE!</v>
      </c>
      <c r="EY246" t="e">
        <f>'All regions'!5255:5255-"n/&gt;!.{U"</f>
        <v>#VALUE!</v>
      </c>
      <c r="EZ246" t="e">
        <f>'All regions'!5256:5256-"n/&gt;!.{V"</f>
        <v>#VALUE!</v>
      </c>
      <c r="FA246" t="e">
        <f>'All regions'!5257:5257-"n/&gt;!.{W"</f>
        <v>#VALUE!</v>
      </c>
      <c r="FB246" t="e">
        <f>'All regions'!5258:5258-"n/&gt;!.{X"</f>
        <v>#VALUE!</v>
      </c>
      <c r="FC246" t="e">
        <f>'All regions'!5259:5259-"n/&gt;!.{Y"</f>
        <v>#VALUE!</v>
      </c>
      <c r="FD246" t="e">
        <f>'All regions'!5260:5260-"n/&gt;!.{Z"</f>
        <v>#VALUE!</v>
      </c>
      <c r="FE246" t="e">
        <f>'All regions'!5261:5261-"n/&gt;!.{["</f>
        <v>#VALUE!</v>
      </c>
      <c r="FF246" t="e">
        <f>'All regions'!5262:5262-"n/&gt;!.{\"</f>
        <v>#VALUE!</v>
      </c>
      <c r="FG246" t="e">
        <f>'All regions'!5263:5263-"n/&gt;!.{]"</f>
        <v>#VALUE!</v>
      </c>
      <c r="FH246" t="e">
        <f>'All regions'!5264:5264-"n/&gt;!.{^"</f>
        <v>#VALUE!</v>
      </c>
      <c r="FI246" t="e">
        <f>'All regions'!5265:5265-"n/&gt;!.{_"</f>
        <v>#VALUE!</v>
      </c>
      <c r="FJ246" t="e">
        <f>'All regions'!5266:5266-"n/&gt;!.{`"</f>
        <v>#VALUE!</v>
      </c>
      <c r="FK246" t="e">
        <f>'All regions'!5267:5267-"n/&gt;!.{a"</f>
        <v>#VALUE!</v>
      </c>
      <c r="FL246" t="e">
        <f>'All regions'!5268:5268-"n/&gt;!.{b"</f>
        <v>#VALUE!</v>
      </c>
      <c r="FM246" t="e">
        <f>'All regions'!5269:5269-"n/&gt;!.{c"</f>
        <v>#VALUE!</v>
      </c>
      <c r="FN246" t="e">
        <f>'All regions'!5270:5270-"n/&gt;!.{d"</f>
        <v>#VALUE!</v>
      </c>
      <c r="FO246" t="e">
        <f>'All regions'!5271:5271-"n/&gt;!.{e"</f>
        <v>#VALUE!</v>
      </c>
      <c r="FP246" t="e">
        <f>'All regions'!5272:5272-"n/&gt;!.{f"</f>
        <v>#VALUE!</v>
      </c>
      <c r="FQ246" t="e">
        <f>'All regions'!5273:5273-"n/&gt;!.{g"</f>
        <v>#VALUE!</v>
      </c>
      <c r="FR246" t="e">
        <f>'All regions'!5274:5274-"n/&gt;!.{h"</f>
        <v>#VALUE!</v>
      </c>
      <c r="FS246" t="e">
        <f>'All regions'!5275:5275-"n/&gt;!.{i"</f>
        <v>#VALUE!</v>
      </c>
      <c r="FT246" t="e">
        <f>'All regions'!5276:5276-"n/&gt;!.{j"</f>
        <v>#VALUE!</v>
      </c>
      <c r="FU246" t="e">
        <f>'All regions'!5277:5277-"n/&gt;!.{k"</f>
        <v>#VALUE!</v>
      </c>
      <c r="FV246" t="e">
        <f>'All regions'!5278:5278-"n/&gt;!.{l"</f>
        <v>#VALUE!</v>
      </c>
      <c r="FW246" t="e">
        <f>'All regions'!5279:5279-"n/&gt;!.{m"</f>
        <v>#VALUE!</v>
      </c>
      <c r="FX246" t="e">
        <f>'All regions'!5280:5280-"n/&gt;!.{n"</f>
        <v>#VALUE!</v>
      </c>
      <c r="FY246" t="e">
        <f>'All regions'!5281:5281-"n/&gt;!.{o"</f>
        <v>#VALUE!</v>
      </c>
      <c r="FZ246" t="e">
        <f>'All regions'!5282:5282-"n/&gt;!.{p"</f>
        <v>#VALUE!</v>
      </c>
      <c r="GA246" t="e">
        <f>'All regions'!5283:5283-"n/&gt;!.{q"</f>
        <v>#VALUE!</v>
      </c>
      <c r="GB246" t="e">
        <f>'All regions'!5284:5284-"n/&gt;!.{r"</f>
        <v>#VALUE!</v>
      </c>
      <c r="GC246" t="e">
        <f>'All regions'!5285:5285-"n/&gt;!.{s"</f>
        <v>#VALUE!</v>
      </c>
      <c r="GD246" t="e">
        <f>'All regions'!5286:5286-"n/&gt;!.{t"</f>
        <v>#VALUE!</v>
      </c>
      <c r="GE246" t="e">
        <f>'All regions'!5287:5287-"n/&gt;!.{u"</f>
        <v>#VALUE!</v>
      </c>
      <c r="GF246" t="e">
        <f>'All regions'!5288:5288-"n/&gt;!.{v"</f>
        <v>#VALUE!</v>
      </c>
      <c r="GG246" t="e">
        <f>'All regions'!5289:5289-"n/&gt;!.{w"</f>
        <v>#VALUE!</v>
      </c>
      <c r="GH246" t="e">
        <f>'All regions'!5290:5290-"n/&gt;!.{x"</f>
        <v>#VALUE!</v>
      </c>
      <c r="GI246" t="e">
        <f>'All regions'!5291:5291-"n/&gt;!.{y"</f>
        <v>#VALUE!</v>
      </c>
      <c r="GJ246" t="e">
        <f>'All regions'!5292:5292-"n/&gt;!.{z"</f>
        <v>#VALUE!</v>
      </c>
      <c r="GK246" t="e">
        <f>'All regions'!5293:5293-"n/&gt;!.{{"</f>
        <v>#VALUE!</v>
      </c>
      <c r="GL246" t="e">
        <f>'All regions'!5294:5294-"n/&gt;!.{|"</f>
        <v>#VALUE!</v>
      </c>
      <c r="GM246" t="e">
        <f>'All regions'!5295:5295-"n/&gt;!.{}"</f>
        <v>#VALUE!</v>
      </c>
      <c r="GN246" t="e">
        <f>'All regions'!5296:5296-"n/&gt;!.{~"</f>
        <v>#VALUE!</v>
      </c>
      <c r="GO246" t="e">
        <f>'All regions'!5297:5297-"n/&gt;!.|#"</f>
        <v>#VALUE!</v>
      </c>
      <c r="GP246" t="e">
        <f>'All regions'!5298:5298-"n/&gt;!.|$"</f>
        <v>#VALUE!</v>
      </c>
      <c r="GQ246" t="e">
        <f>'All regions'!5299:5299-"n/&gt;!.|%"</f>
        <v>#VALUE!</v>
      </c>
      <c r="GR246" t="e">
        <f>'All regions'!5300:5300-"n/&gt;!.|&amp;"</f>
        <v>#VALUE!</v>
      </c>
      <c r="GS246" t="e">
        <f>'All regions'!5301:5301-"n/&gt;!.|'"</f>
        <v>#VALUE!</v>
      </c>
      <c r="GT246" t="e">
        <f>'All regions'!5302:5302-"n/&gt;!.|("</f>
        <v>#VALUE!</v>
      </c>
      <c r="GU246" t="e">
        <f>'All regions'!5303:5303-"n/&gt;!.|)"</f>
        <v>#VALUE!</v>
      </c>
      <c r="GV246" t="e">
        <f>'All regions'!5304:5304-"n/&gt;!.|."</f>
        <v>#VALUE!</v>
      </c>
      <c r="GW246" t="e">
        <f>'All regions'!5305:5305-"n/&gt;!.|/"</f>
        <v>#VALUE!</v>
      </c>
      <c r="GX246" t="e">
        <f>'All regions'!5306:5306-"n/&gt;!.|0"</f>
        <v>#VALUE!</v>
      </c>
      <c r="GY246" t="e">
        <f>'All regions'!5307:5307-"n/&gt;!.|1"</f>
        <v>#VALUE!</v>
      </c>
      <c r="GZ246" t="e">
        <f>'All regions'!5308:5308-"n/&gt;!.|2"</f>
        <v>#VALUE!</v>
      </c>
      <c r="HA246" t="e">
        <f>'All regions'!5309:5309-"n/&gt;!.|3"</f>
        <v>#VALUE!</v>
      </c>
      <c r="HB246" t="e">
        <f>'All regions'!5310:5310-"n/&gt;!.|4"</f>
        <v>#VALUE!</v>
      </c>
      <c r="HC246" t="e">
        <f>'All regions'!5311:5311-"n/&gt;!.|5"</f>
        <v>#VALUE!</v>
      </c>
      <c r="HD246" t="e">
        <f>'All regions'!5312:5312-"n/&gt;!.|6"</f>
        <v>#VALUE!</v>
      </c>
      <c r="HE246" t="e">
        <f>'All regions'!5313:5313-"n/&gt;!.|7"</f>
        <v>#VALUE!</v>
      </c>
      <c r="HF246" t="e">
        <f>'All regions'!5314:5314-"n/&gt;!.|8"</f>
        <v>#VALUE!</v>
      </c>
      <c r="HG246" t="e">
        <f>'All regions'!5315:5315-"n/&gt;!.|9"</f>
        <v>#VALUE!</v>
      </c>
      <c r="HH246" t="e">
        <f>'All regions'!5316:5316-"n/&gt;!.|:"</f>
        <v>#VALUE!</v>
      </c>
      <c r="HI246" t="e">
        <f>'All regions'!5317:5317-"n/&gt;!.|;"</f>
        <v>#VALUE!</v>
      </c>
      <c r="HJ246" t="e">
        <f>'All regions'!5318:5318-"n/&gt;!.|&lt;"</f>
        <v>#VALUE!</v>
      </c>
      <c r="HK246" t="e">
        <f>'All regions'!5319:5319-"n/&gt;!.|="</f>
        <v>#VALUE!</v>
      </c>
      <c r="HL246" t="e">
        <f>'All regions'!5320:5320-"n/&gt;!.|&gt;"</f>
        <v>#VALUE!</v>
      </c>
      <c r="HM246" t="e">
        <f>'All regions'!5321:5321-"n/&gt;!.|?"</f>
        <v>#VALUE!</v>
      </c>
      <c r="HN246" t="e">
        <f>'All regions'!5322:5322-"n/&gt;!.|@"</f>
        <v>#VALUE!</v>
      </c>
      <c r="HO246" t="e">
        <f>'All regions'!5323:5323-"n/&gt;!.|A"</f>
        <v>#VALUE!</v>
      </c>
      <c r="HP246" t="e">
        <f>'All regions'!5324:5324-"n/&gt;!.|B"</f>
        <v>#VALUE!</v>
      </c>
      <c r="HQ246" t="e">
        <f>'All regions'!5325:5325-"n/&gt;!.|C"</f>
        <v>#VALUE!</v>
      </c>
      <c r="HR246" t="e">
        <f>'All regions'!5326:5326-"n/&gt;!.|D"</f>
        <v>#VALUE!</v>
      </c>
      <c r="HS246" t="e">
        <f>'All regions'!5327:5327-"n/&gt;!.|E"</f>
        <v>#VALUE!</v>
      </c>
      <c r="HT246" t="e">
        <f>'All regions'!5328:5328-"n/&gt;!.|F"</f>
        <v>#VALUE!</v>
      </c>
      <c r="HU246" t="e">
        <f>'All regions'!5329:5329-"n/&gt;!.|G"</f>
        <v>#VALUE!</v>
      </c>
      <c r="HV246" t="e">
        <f>'All regions'!5330:5330-"n/&gt;!.|H"</f>
        <v>#VALUE!</v>
      </c>
      <c r="HW246" t="e">
        <f>'All regions'!5331:5331-"n/&gt;!.|I"</f>
        <v>#VALUE!</v>
      </c>
      <c r="HX246" t="e">
        <f>'All regions'!5332:5332-"n/&gt;!.|J"</f>
        <v>#VALUE!</v>
      </c>
      <c r="HY246" t="e">
        <f>'All regions'!5333:5333-"n/&gt;!.|K"</f>
        <v>#VALUE!</v>
      </c>
      <c r="HZ246" t="e">
        <f>'All regions'!5334:5334-"n/&gt;!.|L"</f>
        <v>#VALUE!</v>
      </c>
      <c r="IA246" t="e">
        <f>'All regions'!5335:5335-"n/&gt;!.|M"</f>
        <v>#VALUE!</v>
      </c>
      <c r="IB246" t="e">
        <f>'All regions'!5336:5336-"n/&gt;!.|N"</f>
        <v>#VALUE!</v>
      </c>
      <c r="IC246" t="e">
        <f>'All regions'!5337:5337-"n/&gt;!.|O"</f>
        <v>#VALUE!</v>
      </c>
      <c r="ID246" t="e">
        <f>'All regions'!5338:5338-"n/&gt;!.|P"</f>
        <v>#VALUE!</v>
      </c>
      <c r="IE246" t="e">
        <f>'All regions'!5339:5339-"n/&gt;!.|Q"</f>
        <v>#VALUE!</v>
      </c>
      <c r="IF246" t="e">
        <f>'All regions'!5340:5340-"n/&gt;!.|R"</f>
        <v>#VALUE!</v>
      </c>
      <c r="IG246" t="e">
        <f>'All regions'!5341:5341-"n/&gt;!.|S"</f>
        <v>#VALUE!</v>
      </c>
      <c r="IH246" t="e">
        <f>'All regions'!5342:5342-"n/&gt;!.|T"</f>
        <v>#VALUE!</v>
      </c>
      <c r="II246" t="e">
        <f>'All regions'!5343:5343-"n/&gt;!.|U"</f>
        <v>#VALUE!</v>
      </c>
      <c r="IJ246" t="e">
        <f>'All regions'!5344:5344-"n/&gt;!.|V"</f>
        <v>#VALUE!</v>
      </c>
      <c r="IK246" t="e">
        <f>'All regions'!5345:5345-"n/&gt;!.|W"</f>
        <v>#VALUE!</v>
      </c>
      <c r="IL246" t="e">
        <f>'All regions'!5346:5346-"n/&gt;!.|X"</f>
        <v>#VALUE!</v>
      </c>
      <c r="IM246" t="e">
        <f>'All regions'!5347:5347-"n/&gt;!.|Y"</f>
        <v>#VALUE!</v>
      </c>
      <c r="IN246" t="e">
        <f>'All regions'!5348:5348-"n/&gt;!.|Z"</f>
        <v>#VALUE!</v>
      </c>
      <c r="IO246" t="e">
        <f>'All regions'!5349:5349-"n/&gt;!.|["</f>
        <v>#VALUE!</v>
      </c>
      <c r="IP246" t="e">
        <f>'All regions'!5350:5350-"n/&gt;!.|\"</f>
        <v>#VALUE!</v>
      </c>
      <c r="IQ246" t="e">
        <f>'All regions'!5351:5351-"n/&gt;!.|]"</f>
        <v>#VALUE!</v>
      </c>
      <c r="IR246" t="e">
        <f>'All regions'!5352:5352-"n/&gt;!.|^"</f>
        <v>#VALUE!</v>
      </c>
      <c r="IS246" t="e">
        <f>'All regions'!5353:5353-"n/&gt;!.|_"</f>
        <v>#VALUE!</v>
      </c>
      <c r="IT246" t="e">
        <f>'All regions'!5354:5354-"n/&gt;!.|`"</f>
        <v>#VALUE!</v>
      </c>
      <c r="IU246" t="e">
        <f>'All regions'!5355:5355-"n/&gt;!.|a"</f>
        <v>#VALUE!</v>
      </c>
      <c r="IV246" t="e">
        <f>'All regions'!5356:5356-"n/&gt;!.|b"</f>
        <v>#VALUE!</v>
      </c>
    </row>
    <row r="247" spans="6:256" x14ac:dyDescent="0.35">
      <c r="F247" t="e">
        <f>'All regions'!5357:5357-"n/&gt;!.|c"</f>
        <v>#VALUE!</v>
      </c>
      <c r="G247" t="e">
        <f>'All regions'!5358:5358-"n/&gt;!.|d"</f>
        <v>#VALUE!</v>
      </c>
      <c r="H247" t="e">
        <f>'All regions'!5359:5359-"n/&gt;!.|e"</f>
        <v>#VALUE!</v>
      </c>
      <c r="I247" t="e">
        <f>'All regions'!5360:5360-"n/&gt;!.|f"</f>
        <v>#VALUE!</v>
      </c>
      <c r="J247" t="e">
        <f>'All regions'!5361:5361-"n/&gt;!.|g"</f>
        <v>#VALUE!</v>
      </c>
      <c r="K247" t="e">
        <f>'All regions'!5362:5362-"n/&gt;!.|h"</f>
        <v>#VALUE!</v>
      </c>
      <c r="L247" t="e">
        <f>'All regions'!5363:5363-"n/&gt;!.|i"</f>
        <v>#VALUE!</v>
      </c>
      <c r="M247" t="e">
        <f>'All regions'!5364:5364-"n/&gt;!.|j"</f>
        <v>#VALUE!</v>
      </c>
      <c r="N247" t="e">
        <f>'All regions'!5365:5365-"n/&gt;!.|k"</f>
        <v>#VALUE!</v>
      </c>
      <c r="O247" t="e">
        <f>'All regions'!5366:5366-"n/&gt;!.|l"</f>
        <v>#VALUE!</v>
      </c>
      <c r="P247" t="e">
        <f>'All regions'!5367:5367-"n/&gt;!.|m"</f>
        <v>#VALUE!</v>
      </c>
      <c r="Q247" t="e">
        <f>'All regions'!5368:5368-"n/&gt;!.|n"</f>
        <v>#VALUE!</v>
      </c>
      <c r="R247" t="e">
        <f>'All regions'!5369:5369-"n/&gt;!.|o"</f>
        <v>#VALUE!</v>
      </c>
      <c r="S247" t="e">
        <f>'All regions'!5370:5370-"n/&gt;!.|p"</f>
        <v>#VALUE!</v>
      </c>
      <c r="T247" t="e">
        <f>'All regions'!5371:5371-"n/&gt;!.|q"</f>
        <v>#VALUE!</v>
      </c>
      <c r="U247" t="e">
        <f>'All regions'!5372:5372-"n/&gt;!.|r"</f>
        <v>#VALUE!</v>
      </c>
      <c r="V247" t="e">
        <f>'All regions'!5373:5373-"n/&gt;!.|s"</f>
        <v>#VALUE!</v>
      </c>
      <c r="W247" t="e">
        <f>'All regions'!5374:5374-"n/&gt;!.|t"</f>
        <v>#VALUE!</v>
      </c>
      <c r="X247" t="e">
        <f>'All regions'!5375:5375-"n/&gt;!.|u"</f>
        <v>#VALUE!</v>
      </c>
      <c r="Y247" t="e">
        <f>'All regions'!5376:5376-"n/&gt;!.|v"</f>
        <v>#VALUE!</v>
      </c>
      <c r="Z247" t="e">
        <f>'All regions'!5377:5377-"n/&gt;!.|w"</f>
        <v>#VALUE!</v>
      </c>
      <c r="AA247" t="e">
        <f>'All regions'!5378:5378-"n/&gt;!.|x"</f>
        <v>#VALUE!</v>
      </c>
      <c r="AB247" t="e">
        <f>'All regions'!5379:5379-"n/&gt;!.|y"</f>
        <v>#VALUE!</v>
      </c>
      <c r="AC247" t="e">
        <f>'All regions'!5380:5380-"n/&gt;!.|z"</f>
        <v>#VALUE!</v>
      </c>
      <c r="AD247" t="e">
        <f>'All regions'!5381:5381-"n/&gt;!.|{"</f>
        <v>#VALUE!</v>
      </c>
      <c r="AE247" t="e">
        <f>'All regions'!5382:5382-"n/&gt;!.||"</f>
        <v>#VALUE!</v>
      </c>
      <c r="AF247" t="e">
        <f>'All regions'!5383:5383-"n/&gt;!.|}"</f>
        <v>#VALUE!</v>
      </c>
      <c r="AG247" t="e">
        <f>'All regions'!5384:5384-"n/&gt;!.|~"</f>
        <v>#VALUE!</v>
      </c>
      <c r="AH247" t="e">
        <f>'All regions'!5385:5385-"n/&gt;!.}#"</f>
        <v>#VALUE!</v>
      </c>
      <c r="AI247" t="e">
        <f>'All regions'!5386:5386-"n/&gt;!.}$"</f>
        <v>#VALUE!</v>
      </c>
      <c r="AJ247" t="e">
        <f>'All regions'!5387:5387-"n/&gt;!.}%"</f>
        <v>#VALUE!</v>
      </c>
      <c r="AK247" t="e">
        <f>'All regions'!5388:5388-"n/&gt;!.}&amp;"</f>
        <v>#VALUE!</v>
      </c>
      <c r="AL247" t="e">
        <f>'All regions'!5389:5389-"n/&gt;!.}'"</f>
        <v>#VALUE!</v>
      </c>
      <c r="AM247" t="e">
        <f>'All regions'!5390:5390-"n/&gt;!.}("</f>
        <v>#VALUE!</v>
      </c>
      <c r="AN247" t="e">
        <f>'All regions'!5391:5391-"n/&gt;!.})"</f>
        <v>#VALUE!</v>
      </c>
      <c r="AO247" t="e">
        <f>'All regions'!5392:5392-"n/&gt;!.}."</f>
        <v>#VALUE!</v>
      </c>
      <c r="AP247" t="e">
        <f>'All regions'!5393:5393-"n/&gt;!.}/"</f>
        <v>#VALUE!</v>
      </c>
      <c r="AQ247" t="e">
        <f>'All regions'!5394:5394-"n/&gt;!.}0"</f>
        <v>#VALUE!</v>
      </c>
      <c r="AR247" t="e">
        <f>'All regions'!5395:5395-"n/&gt;!.}1"</f>
        <v>#VALUE!</v>
      </c>
      <c r="AS247" t="e">
        <f>'All regions'!5396:5396-"n/&gt;!.}2"</f>
        <v>#VALUE!</v>
      </c>
      <c r="AT247" t="e">
        <f>'All regions'!5397:5397-"n/&gt;!.}3"</f>
        <v>#VALUE!</v>
      </c>
      <c r="AU247" t="e">
        <f>'All regions'!5398:5398-"n/&gt;!.}4"</f>
        <v>#VALUE!</v>
      </c>
      <c r="AV247" t="e">
        <f>'All regions'!5399:5399-"n/&gt;!.}5"</f>
        <v>#VALUE!</v>
      </c>
      <c r="AW247" t="e">
        <f>'All regions'!5400:5400-"n/&gt;!.}6"</f>
        <v>#VALUE!</v>
      </c>
      <c r="AX247" t="e">
        <f>'All regions'!5401:5401-"n/&gt;!.}7"</f>
        <v>#VALUE!</v>
      </c>
      <c r="AY247" t="e">
        <f>'All regions'!5402:5402-"n/&gt;!.}8"</f>
        <v>#VALUE!</v>
      </c>
      <c r="AZ247" t="e">
        <f>'All regions'!5403:5403-"n/&gt;!.}9"</f>
        <v>#VALUE!</v>
      </c>
      <c r="BA247" t="e">
        <f>'All regions'!5404:5404-"n/&gt;!.}:"</f>
        <v>#VALUE!</v>
      </c>
      <c r="BB247" t="e">
        <f>'All regions'!5405:5405-"n/&gt;!.};"</f>
        <v>#VALUE!</v>
      </c>
      <c r="BC247" t="e">
        <f>'All regions'!5406:5406-"n/&gt;!.}&lt;"</f>
        <v>#VALUE!</v>
      </c>
      <c r="BD247" t="e">
        <f>'All regions'!5407:5407-"n/&gt;!.}="</f>
        <v>#VALUE!</v>
      </c>
      <c r="BE247" t="e">
        <f>'All regions'!5408:5408-"n/&gt;!.}&gt;"</f>
        <v>#VALUE!</v>
      </c>
      <c r="BF247" t="e">
        <f>'All regions'!5409:5409-"n/&gt;!.}?"</f>
        <v>#VALUE!</v>
      </c>
      <c r="BG247" t="e">
        <f>'All regions'!5410:5410-"n/&gt;!.}@"</f>
        <v>#VALUE!</v>
      </c>
      <c r="BH247" t="e">
        <f>'All regions'!5411:5411-"n/&gt;!.}A"</f>
        <v>#VALUE!</v>
      </c>
      <c r="BI247" t="e">
        <f>'All regions'!5412:5412-"n/&gt;!.}B"</f>
        <v>#VALUE!</v>
      </c>
      <c r="BJ247" t="e">
        <f>'All regions'!5413:5413-"n/&gt;!.}C"</f>
        <v>#VALUE!</v>
      </c>
      <c r="BK247" t="e">
        <f>'All regions'!5414:5414-"n/&gt;!.}D"</f>
        <v>#VALUE!</v>
      </c>
      <c r="BL247" t="e">
        <f>'All regions'!5415:5415-"n/&gt;!.}E"</f>
        <v>#VALUE!</v>
      </c>
      <c r="BM247" t="e">
        <f>'All regions'!5416:5416-"n/&gt;!.}F"</f>
        <v>#VALUE!</v>
      </c>
      <c r="BN247" t="e">
        <f>'All regions'!5417:5417-"n/&gt;!.}G"</f>
        <v>#VALUE!</v>
      </c>
      <c r="BO247" t="e">
        <f>'All regions'!5418:5418-"n/&gt;!.}H"</f>
        <v>#VALUE!</v>
      </c>
      <c r="BP247" t="e">
        <f>'All regions'!5419:5419-"n/&gt;!.}I"</f>
        <v>#VALUE!</v>
      </c>
      <c r="BQ247" t="e">
        <f>'All regions'!5420:5420-"n/&gt;!.}J"</f>
        <v>#VALUE!</v>
      </c>
      <c r="BR247" t="e">
        <f>'All regions'!5421:5421-"n/&gt;!.}K"</f>
        <v>#VALUE!</v>
      </c>
      <c r="BS247" t="e">
        <f>'All regions'!5422:5422-"n/&gt;!.}L"</f>
        <v>#VALUE!</v>
      </c>
      <c r="BT247" t="e">
        <f>'All regions'!5423:5423-"n/&gt;!.}M"</f>
        <v>#VALUE!</v>
      </c>
      <c r="BU247" t="e">
        <f>'All regions'!5424:5424-"n/&gt;!.}N"</f>
        <v>#VALUE!</v>
      </c>
      <c r="BV247" t="e">
        <f>'All regions'!5425:5425-"n/&gt;!.}O"</f>
        <v>#VALUE!</v>
      </c>
      <c r="BW247" t="e">
        <f>'All regions'!5426:5426-"n/&gt;!.}P"</f>
        <v>#VALUE!</v>
      </c>
      <c r="BX247" t="e">
        <f>'All regions'!5427:5427-"n/&gt;!.}Q"</f>
        <v>#VALUE!</v>
      </c>
      <c r="BY247" t="e">
        <f>'All regions'!5428:5428-"n/&gt;!.}R"</f>
        <v>#VALUE!</v>
      </c>
      <c r="BZ247" t="e">
        <f>'All regions'!5429:5429-"n/&gt;!.}S"</f>
        <v>#VALUE!</v>
      </c>
      <c r="CA247" t="e">
        <f>'All regions'!5430:5430-"n/&gt;!.}T"</f>
        <v>#VALUE!</v>
      </c>
      <c r="CB247" t="e">
        <f>'All regions'!5431:5431-"n/&gt;!.}U"</f>
        <v>#VALUE!</v>
      </c>
      <c r="CC247" t="e">
        <f>'All regions'!5432:5432-"n/&gt;!.}V"</f>
        <v>#VALUE!</v>
      </c>
      <c r="CD247" t="e">
        <f>'All regions'!5433:5433-"n/&gt;!.}W"</f>
        <v>#VALUE!</v>
      </c>
      <c r="CE247" t="e">
        <f>'All regions'!5434:5434-"n/&gt;!.}X"</f>
        <v>#VALUE!</v>
      </c>
      <c r="CF247" t="e">
        <f>'All regions'!5435:5435-"n/&gt;!.}Y"</f>
        <v>#VALUE!</v>
      </c>
      <c r="CG247" t="e">
        <f>'All regions'!5436:5436-"n/&gt;!.}Z"</f>
        <v>#VALUE!</v>
      </c>
      <c r="CH247" t="e">
        <f>'All regions'!5437:5437-"n/&gt;!.}["</f>
        <v>#VALUE!</v>
      </c>
      <c r="CI247" t="e">
        <f>'All regions'!5438:5438-"n/&gt;!.}\"</f>
        <v>#VALUE!</v>
      </c>
      <c r="CJ247" t="e">
        <f>'All regions'!5439:5439-"n/&gt;!.}]"</f>
        <v>#VALUE!</v>
      </c>
      <c r="CK247" t="e">
        <f>'All regions'!5440:5440-"n/&gt;!.}^"</f>
        <v>#VALUE!</v>
      </c>
      <c r="CL247" t="e">
        <f>'All regions'!5441:5441-"n/&gt;!.}_"</f>
        <v>#VALUE!</v>
      </c>
      <c r="CM247" t="e">
        <f>'All regions'!5442:5442-"n/&gt;!.}`"</f>
        <v>#VALUE!</v>
      </c>
      <c r="CN247" t="e">
        <f>'All regions'!5443:5443-"n/&gt;!.}a"</f>
        <v>#VALUE!</v>
      </c>
      <c r="CO247" t="e">
        <f>'All regions'!5444:5444-"n/&gt;!.}b"</f>
        <v>#VALUE!</v>
      </c>
      <c r="CP247" t="e">
        <f>'All regions'!5445:5445-"n/&gt;!.}c"</f>
        <v>#VALUE!</v>
      </c>
      <c r="CQ247" t="e">
        <f>'All regions'!5446:5446-"n/&gt;!.}d"</f>
        <v>#VALUE!</v>
      </c>
      <c r="CR247" t="e">
        <f>'All regions'!5447:5447-"n/&gt;!.}e"</f>
        <v>#VALUE!</v>
      </c>
      <c r="CS247" t="e">
        <f>'All regions'!5448:5448-"n/&gt;!.}f"</f>
        <v>#VALUE!</v>
      </c>
      <c r="CT247" t="e">
        <f>'All regions'!5449:5449-"n/&gt;!.}g"</f>
        <v>#VALUE!</v>
      </c>
      <c r="CU247" t="e">
        <f>'All regions'!5450:5450-"n/&gt;!.}h"</f>
        <v>#VALUE!</v>
      </c>
      <c r="CV247" t="e">
        <f>'All regions'!5451:5451-"n/&gt;!.}i"</f>
        <v>#VALUE!</v>
      </c>
      <c r="CW247" t="e">
        <f>'All regions'!5452:5452-"n/&gt;!.}j"</f>
        <v>#VALUE!</v>
      </c>
      <c r="CX247" t="e">
        <f>'All regions'!5453:5453-"n/&gt;!.}k"</f>
        <v>#VALUE!</v>
      </c>
      <c r="CY247" t="e">
        <f>'All regions'!5454:5454-"n/&gt;!.}l"</f>
        <v>#VALUE!</v>
      </c>
      <c r="CZ247" t="e">
        <f>'All regions'!5455:5455-"n/&gt;!.}m"</f>
        <v>#VALUE!</v>
      </c>
      <c r="DA247" t="e">
        <f>'All regions'!5456:5456-"n/&gt;!.}n"</f>
        <v>#VALUE!</v>
      </c>
      <c r="DB247" t="e">
        <f>'All regions'!5457:5457-"n/&gt;!.}o"</f>
        <v>#VALUE!</v>
      </c>
      <c r="DC247" t="e">
        <f>'All regions'!5458:5458-"n/&gt;!.}p"</f>
        <v>#VALUE!</v>
      </c>
      <c r="DD247" t="e">
        <f>'All regions'!5459:5459-"n/&gt;!.}q"</f>
        <v>#VALUE!</v>
      </c>
      <c r="DE247" t="e">
        <f>'All regions'!5460:5460-"n/&gt;!.}r"</f>
        <v>#VALUE!</v>
      </c>
      <c r="DF247" t="e">
        <f>'All regions'!5461:5461-"n/&gt;!.}s"</f>
        <v>#VALUE!</v>
      </c>
      <c r="DG247" t="e">
        <f>'All regions'!5462:5462-"n/&gt;!.}t"</f>
        <v>#VALUE!</v>
      </c>
      <c r="DH247" t="e">
        <f>'All regions'!5463:5463-"n/&gt;!.}u"</f>
        <v>#VALUE!</v>
      </c>
      <c r="DI247" t="e">
        <f>'All regions'!5464:5464-"n/&gt;!.}v"</f>
        <v>#VALUE!</v>
      </c>
      <c r="DJ247" t="e">
        <f>'All regions'!5465:5465-"n/&gt;!.}w"</f>
        <v>#VALUE!</v>
      </c>
      <c r="DK247" t="e">
        <f>'All regions'!5466:5466-"n/&gt;!.}x"</f>
        <v>#VALUE!</v>
      </c>
      <c r="DL247" t="e">
        <f>'All regions'!5467:5467-"n/&gt;!.}y"</f>
        <v>#VALUE!</v>
      </c>
      <c r="DM247" t="e">
        <f>'All regions'!5468:5468-"n/&gt;!.}z"</f>
        <v>#VALUE!</v>
      </c>
      <c r="DN247" t="e">
        <f>'All regions'!5469:5469-"n/&gt;!.}{"</f>
        <v>#VALUE!</v>
      </c>
      <c r="DO247" t="e">
        <f>'All regions'!5470:5470-"n/&gt;!.}|"</f>
        <v>#VALUE!</v>
      </c>
      <c r="DP247" t="e">
        <f>'All regions'!5471:5471-"n/&gt;!.}}"</f>
        <v>#VALUE!</v>
      </c>
      <c r="DQ247" t="e">
        <f>'All regions'!5472:5472-"n/&gt;!.}~"</f>
        <v>#VALUE!</v>
      </c>
      <c r="DR247" t="e">
        <f>'All regions'!5473:5473-"n/&gt;!.~#"</f>
        <v>#VALUE!</v>
      </c>
      <c r="DS247" t="e">
        <f>'All regions'!5474:5474-"n/&gt;!.~$"</f>
        <v>#VALUE!</v>
      </c>
      <c r="DT247" t="e">
        <f>'All regions'!5475:5475-"n/&gt;!.~%"</f>
        <v>#VALUE!</v>
      </c>
      <c r="DU247" t="e">
        <f>'All regions'!5476:5476-"n/&gt;!.~&amp;"</f>
        <v>#VALUE!</v>
      </c>
      <c r="DV247" t="e">
        <f>'All regions'!5477:5477-"n/&gt;!.~'"</f>
        <v>#VALUE!</v>
      </c>
      <c r="DW247" t="e">
        <f>'All regions'!5478:5478-"n/&gt;!.~("</f>
        <v>#VALUE!</v>
      </c>
      <c r="DX247" t="e">
        <f>'All regions'!5479:5479-"n/&gt;!.~)"</f>
        <v>#VALUE!</v>
      </c>
      <c r="DY247" t="e">
        <f>'All regions'!5480:5480-"n/&gt;!.~."</f>
        <v>#VALUE!</v>
      </c>
      <c r="DZ247" t="e">
        <f>'All regions'!5481:5481-"n/&gt;!.~/"</f>
        <v>#VALUE!</v>
      </c>
      <c r="EA247" t="e">
        <f>'All regions'!5482:5482-"n/&gt;!.~0"</f>
        <v>#VALUE!</v>
      </c>
      <c r="EB247" t="e">
        <f>'All regions'!5483:5483-"n/&gt;!.~1"</f>
        <v>#VALUE!</v>
      </c>
      <c r="EC247" t="e">
        <f>'All regions'!5484:5484-"n/&gt;!.~2"</f>
        <v>#VALUE!</v>
      </c>
      <c r="ED247" t="e">
        <f>'All regions'!5485:5485-"n/&gt;!.~3"</f>
        <v>#VALUE!</v>
      </c>
      <c r="EE247" t="e">
        <f>'All regions'!5486:5486-"n/&gt;!.~4"</f>
        <v>#VALUE!</v>
      </c>
      <c r="EF247" t="e">
        <f>'All regions'!5487:5487-"n/&gt;!.~5"</f>
        <v>#VALUE!</v>
      </c>
      <c r="EG247" t="e">
        <f>'All regions'!5488:5488-"n/&gt;!.~6"</f>
        <v>#VALUE!</v>
      </c>
      <c r="EH247" t="e">
        <f>'All regions'!5489:5489-"n/&gt;!.~7"</f>
        <v>#VALUE!</v>
      </c>
      <c r="EI247" t="e">
        <f>'All regions'!5490:5490-"n/&gt;!.~8"</f>
        <v>#VALUE!</v>
      </c>
      <c r="EJ247" t="e">
        <f>'All regions'!5491:5491-"n/&gt;!.~9"</f>
        <v>#VALUE!</v>
      </c>
      <c r="EK247" t="e">
        <f>'All regions'!5492:5492-"n/&gt;!.~:"</f>
        <v>#VALUE!</v>
      </c>
      <c r="EL247" t="e">
        <f>'All regions'!5493:5493-"n/&gt;!.~;"</f>
        <v>#VALUE!</v>
      </c>
      <c r="EM247" t="e">
        <f>'All regions'!5494:5494-"n/&gt;!.~&lt;"</f>
        <v>#VALUE!</v>
      </c>
      <c r="EN247" t="e">
        <f>'All regions'!5495:5495-"n/&gt;!.~="</f>
        <v>#VALUE!</v>
      </c>
      <c r="EO247" t="e">
        <f>'All regions'!5496:5496-"n/&gt;!.~&gt;"</f>
        <v>#VALUE!</v>
      </c>
      <c r="EP247" t="e">
        <f>'All regions'!5497:5497-"n/&gt;!.~?"</f>
        <v>#VALUE!</v>
      </c>
      <c r="EQ247" t="e">
        <f>'All regions'!5498:5498-"n/&gt;!.~@"</f>
        <v>#VALUE!</v>
      </c>
      <c r="ER247" t="e">
        <f>'All regions'!5499:5499-"n/&gt;!.~A"</f>
        <v>#VALUE!</v>
      </c>
      <c r="ES247" t="e">
        <f>'All regions'!5500:5500-"n/&gt;!.~B"</f>
        <v>#VALUE!</v>
      </c>
      <c r="ET247" t="e">
        <f>'All regions'!5501:5501-"n/&gt;!.~C"</f>
        <v>#VALUE!</v>
      </c>
      <c r="EU247" t="e">
        <f>'All regions'!5502:5502-"n/&gt;!.~D"</f>
        <v>#VALUE!</v>
      </c>
      <c r="EV247" t="e">
        <f>'All regions'!5503:5503-"n/&gt;!.~E"</f>
        <v>#VALUE!</v>
      </c>
      <c r="EW247" t="e">
        <f>'All regions'!5504:5504-"n/&gt;!.~F"</f>
        <v>#VALUE!</v>
      </c>
      <c r="EX247" t="e">
        <f>'All regions'!5505:5505-"n/&gt;!.~G"</f>
        <v>#VALUE!</v>
      </c>
      <c r="EY247" t="e">
        <f>'All regions'!5506:5506-"n/&gt;!.~H"</f>
        <v>#VALUE!</v>
      </c>
      <c r="EZ247" t="e">
        <f>'All regions'!5507:5507-"n/&gt;!.~I"</f>
        <v>#VALUE!</v>
      </c>
      <c r="FA247" t="e">
        <f>'All regions'!5508:5508-"n/&gt;!.~J"</f>
        <v>#VALUE!</v>
      </c>
      <c r="FB247" t="e">
        <f>'All regions'!5509:5509-"n/&gt;!.~K"</f>
        <v>#VALUE!</v>
      </c>
      <c r="FC247" t="e">
        <f>'All regions'!5510:5510-"n/&gt;!.~L"</f>
        <v>#VALUE!</v>
      </c>
      <c r="FD247" t="e">
        <f>'All regions'!5511:5511-"n/&gt;!.~M"</f>
        <v>#VALUE!</v>
      </c>
      <c r="FE247" t="e">
        <f>'All regions'!5512:5512-"n/&gt;!.~N"</f>
        <v>#VALUE!</v>
      </c>
      <c r="FF247" t="e">
        <f>'All regions'!5513:5513-"n/&gt;!.~O"</f>
        <v>#VALUE!</v>
      </c>
      <c r="FG247" t="e">
        <f>'All regions'!5514:5514-"n/&gt;!.~P"</f>
        <v>#VALUE!</v>
      </c>
      <c r="FH247" t="e">
        <f>'All regions'!5515:5515-"n/&gt;!.~Q"</f>
        <v>#VALUE!</v>
      </c>
      <c r="FI247" t="e">
        <f>'All regions'!5516:5516-"n/&gt;!.~R"</f>
        <v>#VALUE!</v>
      </c>
      <c r="FJ247" t="e">
        <f>'All regions'!5517:5517-"n/&gt;!.~S"</f>
        <v>#VALUE!</v>
      </c>
      <c r="FK247" t="e">
        <f>'All regions'!5518:5518-"n/&gt;!.~T"</f>
        <v>#VALUE!</v>
      </c>
      <c r="FL247" t="e">
        <f>'All regions'!5519:5519-"n/&gt;!.~U"</f>
        <v>#VALUE!</v>
      </c>
      <c r="FM247" t="e">
        <f>'All regions'!5520:5520-"n/&gt;!.~V"</f>
        <v>#VALUE!</v>
      </c>
      <c r="FN247" t="e">
        <f>'All regions'!5521:5521-"n/&gt;!.~W"</f>
        <v>#VALUE!</v>
      </c>
      <c r="FO247" t="e">
        <f>'All regions'!5522:5522-"n/&gt;!.~X"</f>
        <v>#VALUE!</v>
      </c>
      <c r="FP247" t="e">
        <f>'All regions'!5523:5523-"n/&gt;!.~Y"</f>
        <v>#VALUE!</v>
      </c>
      <c r="FQ247" t="e">
        <f>'All regions'!5524:5524-"n/&gt;!.~Z"</f>
        <v>#VALUE!</v>
      </c>
      <c r="FR247" t="e">
        <f>'All regions'!5525:5525-"n/&gt;!.~["</f>
        <v>#VALUE!</v>
      </c>
      <c r="FS247" t="e">
        <f>'All regions'!5526:5526-"n/&gt;!.~\"</f>
        <v>#VALUE!</v>
      </c>
      <c r="FT247" t="e">
        <f>'All regions'!5527:5527-"n/&gt;!.~]"</f>
        <v>#VALUE!</v>
      </c>
      <c r="FU247" t="e">
        <f>'All regions'!5528:5528-"n/&gt;!.~^"</f>
        <v>#VALUE!</v>
      </c>
      <c r="FV247" t="e">
        <f>'All regions'!5529:5529-"n/&gt;!.~_"</f>
        <v>#VALUE!</v>
      </c>
      <c r="FW247" t="e">
        <f>'All regions'!5530:5530-"n/&gt;!.~`"</f>
        <v>#VALUE!</v>
      </c>
      <c r="FX247" t="e">
        <f>'All regions'!5531:5531-"n/&gt;!.~a"</f>
        <v>#VALUE!</v>
      </c>
      <c r="FY247" t="e">
        <f>'All regions'!5532:5532-"n/&gt;!.~b"</f>
        <v>#VALUE!</v>
      </c>
      <c r="FZ247" t="e">
        <f>'All regions'!5533:5533-"n/&gt;!.~c"</f>
        <v>#VALUE!</v>
      </c>
      <c r="GA247" t="e">
        <f>'All regions'!5534:5534-"n/&gt;!.~d"</f>
        <v>#VALUE!</v>
      </c>
      <c r="GB247" t="e">
        <f>'All regions'!5535:5535-"n/&gt;!.~e"</f>
        <v>#VALUE!</v>
      </c>
      <c r="GC247" t="e">
        <f>'All regions'!5536:5536-"n/&gt;!.~f"</f>
        <v>#VALUE!</v>
      </c>
      <c r="GD247" t="e">
        <f>'All regions'!5537:5537-"n/&gt;!.~g"</f>
        <v>#VALUE!</v>
      </c>
      <c r="GE247" t="e">
        <f>'All regions'!5538:5538-"n/&gt;!.~h"</f>
        <v>#VALUE!</v>
      </c>
      <c r="GF247" t="e">
        <f>'All regions'!5539:5539-"n/&gt;!.~i"</f>
        <v>#VALUE!</v>
      </c>
      <c r="GG247" t="e">
        <f>'All regions'!5540:5540-"n/&gt;!.~j"</f>
        <v>#VALUE!</v>
      </c>
      <c r="GH247" t="e">
        <f>'All regions'!5541:5541-"n/&gt;!.~k"</f>
        <v>#VALUE!</v>
      </c>
      <c r="GI247" t="e">
        <f>'All regions'!5542:5542-"n/&gt;!.~l"</f>
        <v>#VALUE!</v>
      </c>
      <c r="GJ247" t="e">
        <f>'All regions'!5543:5543-"n/&gt;!.~m"</f>
        <v>#VALUE!</v>
      </c>
      <c r="GK247" t="e">
        <f>'All regions'!5544:5544-"n/&gt;!.~n"</f>
        <v>#VALUE!</v>
      </c>
      <c r="GL247" t="e">
        <f>'All regions'!5545:5545-"n/&gt;!.~o"</f>
        <v>#VALUE!</v>
      </c>
      <c r="GM247" t="e">
        <f>'All regions'!5546:5546-"n/&gt;!.~p"</f>
        <v>#VALUE!</v>
      </c>
      <c r="GN247" t="e">
        <f>'All regions'!5547:5547-"n/&gt;!.~q"</f>
        <v>#VALUE!</v>
      </c>
      <c r="GO247" t="e">
        <f>'All regions'!5548:5548-"n/&gt;!.~r"</f>
        <v>#VALUE!</v>
      </c>
      <c r="GP247" t="e">
        <f>'All regions'!5549:5549-"n/&gt;!.~s"</f>
        <v>#VALUE!</v>
      </c>
      <c r="GQ247" t="e">
        <f>'All regions'!5550:5550-"n/&gt;!.~t"</f>
        <v>#VALUE!</v>
      </c>
      <c r="GR247" t="e">
        <f>'All regions'!5551:5551-"n/&gt;!.~u"</f>
        <v>#VALUE!</v>
      </c>
      <c r="GS247" t="e">
        <f>'All regions'!5552:5552-"n/&gt;!.~v"</f>
        <v>#VALUE!</v>
      </c>
      <c r="GT247" t="e">
        <f>'All regions'!5553:5553-"n/&gt;!.~w"</f>
        <v>#VALUE!</v>
      </c>
      <c r="GU247" t="e">
        <f>'All regions'!5554:5554-"n/&gt;!.~x"</f>
        <v>#VALUE!</v>
      </c>
      <c r="GV247" t="e">
        <f>'All regions'!5555:5555-"n/&gt;!.~y"</f>
        <v>#VALUE!</v>
      </c>
      <c r="GW247" t="e">
        <f>'All regions'!5556:5556-"n/&gt;!.~z"</f>
        <v>#VALUE!</v>
      </c>
      <c r="GX247" t="e">
        <f>'All regions'!5557:5557-"n/&gt;!.~{"</f>
        <v>#VALUE!</v>
      </c>
      <c r="GY247" t="e">
        <f>'All regions'!5558:5558-"n/&gt;!.~|"</f>
        <v>#VALUE!</v>
      </c>
      <c r="GZ247" t="e">
        <f>'All regions'!5559:5559-"n/&gt;!.~}"</f>
        <v>#VALUE!</v>
      </c>
      <c r="HA247" t="e">
        <f>'All regions'!5560:5560-"n/&gt;!.~~"</f>
        <v>#VALUE!</v>
      </c>
      <c r="HB247" t="e">
        <f>'All regions'!5561:5561-"n/&gt;!/##"</f>
        <v>#VALUE!</v>
      </c>
      <c r="HC247" t="e">
        <f>'All regions'!5562:5562-"n/&gt;!/#$"</f>
        <v>#VALUE!</v>
      </c>
      <c r="HD247" t="e">
        <f>'All regions'!5563:5563-"n/&gt;!/#%"</f>
        <v>#VALUE!</v>
      </c>
      <c r="HE247" t="e">
        <f>'All regions'!5564:5564-"n/&gt;!/#&amp;"</f>
        <v>#VALUE!</v>
      </c>
      <c r="HF247" t="e">
        <f>'All regions'!5565:5565-"n/&gt;!/#'"</f>
        <v>#VALUE!</v>
      </c>
      <c r="HG247" t="e">
        <f>'All regions'!5566:5566-"n/&gt;!/#("</f>
        <v>#VALUE!</v>
      </c>
      <c r="HH247" t="e">
        <f>'All regions'!5567:5567-"n/&gt;!/#)"</f>
        <v>#VALUE!</v>
      </c>
      <c r="HI247" t="e">
        <f>'All regions'!5568:5568-"n/&gt;!/#."</f>
        <v>#VALUE!</v>
      </c>
      <c r="HJ247" t="e">
        <f>'All regions'!5569:5569-"n/&gt;!/#/"</f>
        <v>#VALUE!</v>
      </c>
      <c r="HK247" t="e">
        <f>'All regions'!5570:5570-"n/&gt;!/#0"</f>
        <v>#VALUE!</v>
      </c>
      <c r="HL247" t="e">
        <f>'All regions'!5571:5571-"n/&gt;!/#1"</f>
        <v>#VALUE!</v>
      </c>
      <c r="HM247" t="e">
        <f>'All regions'!5572:5572-"n/&gt;!/#2"</f>
        <v>#VALUE!</v>
      </c>
      <c r="HN247" t="e">
        <f>'All regions'!5573:5573-"n/&gt;!/#3"</f>
        <v>#VALUE!</v>
      </c>
      <c r="HO247" t="e">
        <f>'All regions'!5574:5574-"n/&gt;!/#4"</f>
        <v>#VALUE!</v>
      </c>
      <c r="HP247" t="e">
        <f>'All regions'!5575:5575-"n/&gt;!/#5"</f>
        <v>#VALUE!</v>
      </c>
      <c r="HQ247" t="e">
        <f>'All regions'!5576:5576-"n/&gt;!/#6"</f>
        <v>#VALUE!</v>
      </c>
      <c r="HR247" t="e">
        <f>'All regions'!5577:5577-"n/&gt;!/#7"</f>
        <v>#VALUE!</v>
      </c>
      <c r="HS247" t="e">
        <f>'All regions'!5578:5578-"n/&gt;!/#8"</f>
        <v>#VALUE!</v>
      </c>
      <c r="HT247" t="e">
        <f>'All regions'!5579:5579-"n/&gt;!/#9"</f>
        <v>#VALUE!</v>
      </c>
      <c r="HU247" t="e">
        <f>'All regions'!5580:5580-"n/&gt;!/#:"</f>
        <v>#VALUE!</v>
      </c>
      <c r="HV247" t="e">
        <f>'All regions'!5581:5581-"n/&gt;!/#;"</f>
        <v>#VALUE!</v>
      </c>
      <c r="HW247" t="e">
        <f>'All regions'!5582:5582-"n/&gt;!/#&lt;"</f>
        <v>#VALUE!</v>
      </c>
      <c r="HX247" t="e">
        <f>'All regions'!5583:5583-"n/&gt;!/#="</f>
        <v>#VALUE!</v>
      </c>
      <c r="HY247" t="e">
        <f>'All regions'!5584:5584-"n/&gt;!/#&gt;"</f>
        <v>#VALUE!</v>
      </c>
      <c r="HZ247" t="e">
        <f>'All regions'!5585:5585-"n/&gt;!/#?"</f>
        <v>#VALUE!</v>
      </c>
      <c r="IA247" t="e">
        <f>'All regions'!5586:5586-"n/&gt;!/#@"</f>
        <v>#VALUE!</v>
      </c>
      <c r="IB247" t="e">
        <f>'All regions'!5587:5587-"n/&gt;!/#A"</f>
        <v>#VALUE!</v>
      </c>
      <c r="IC247" t="e">
        <f>'All regions'!5588:5588-"n/&gt;!/#B"</f>
        <v>#VALUE!</v>
      </c>
      <c r="ID247" t="e">
        <f>'All regions'!5589:5589-"n/&gt;!/#C"</f>
        <v>#VALUE!</v>
      </c>
      <c r="IE247" t="e">
        <f>'All regions'!5590:5590-"n/&gt;!/#D"</f>
        <v>#VALUE!</v>
      </c>
      <c r="IF247" t="e">
        <f>'All regions'!5591:5591-"n/&gt;!/#E"</f>
        <v>#VALUE!</v>
      </c>
      <c r="IG247" t="e">
        <f>'All regions'!5592:5592-"n/&gt;!/#F"</f>
        <v>#VALUE!</v>
      </c>
      <c r="IH247" t="e">
        <f>'All regions'!5593:5593-"n/&gt;!/#G"</f>
        <v>#VALUE!</v>
      </c>
      <c r="II247" t="e">
        <f>'All regions'!5594:5594-"n/&gt;!/#H"</f>
        <v>#VALUE!</v>
      </c>
      <c r="IJ247" t="e">
        <f>'All regions'!5595:5595-"n/&gt;!/#I"</f>
        <v>#VALUE!</v>
      </c>
      <c r="IK247" t="e">
        <f>'All regions'!5596:5596-"n/&gt;!/#J"</f>
        <v>#VALUE!</v>
      </c>
      <c r="IL247" t="e">
        <f>'All regions'!5597:5597-"n/&gt;!/#K"</f>
        <v>#VALUE!</v>
      </c>
      <c r="IM247" t="e">
        <f>'All regions'!5598:5598-"n/&gt;!/#L"</f>
        <v>#VALUE!</v>
      </c>
      <c r="IN247" t="e">
        <f>'All regions'!5599:5599-"n/&gt;!/#M"</f>
        <v>#VALUE!</v>
      </c>
      <c r="IO247" t="e">
        <f>'All regions'!5600:5600-"n/&gt;!/#N"</f>
        <v>#VALUE!</v>
      </c>
      <c r="IP247" t="e">
        <f>'All regions'!5601:5601-"n/&gt;!/#O"</f>
        <v>#VALUE!</v>
      </c>
      <c r="IQ247" t="e">
        <f>'All regions'!5602:5602-"n/&gt;!/#P"</f>
        <v>#VALUE!</v>
      </c>
      <c r="IR247" t="e">
        <f>'All regions'!5603:5603-"n/&gt;!/#Q"</f>
        <v>#VALUE!</v>
      </c>
      <c r="IS247" t="e">
        <f>'All regions'!5604:5604-"n/&gt;!/#R"</f>
        <v>#VALUE!</v>
      </c>
      <c r="IT247" t="e">
        <f>'All regions'!5605:5605-"n/&gt;!/#S"</f>
        <v>#VALUE!</v>
      </c>
      <c r="IU247" t="e">
        <f>'All regions'!5606:5606-"n/&gt;!/#T"</f>
        <v>#VALUE!</v>
      </c>
      <c r="IV247" t="e">
        <f>'All regions'!5607:5607-"n/&gt;!/#U"</f>
        <v>#VALUE!</v>
      </c>
    </row>
    <row r="248" spans="6:256" x14ac:dyDescent="0.35">
      <c r="F248" t="e">
        <f>'All regions'!5608:5608-"n/&gt;!/#V"</f>
        <v>#VALUE!</v>
      </c>
      <c r="G248" t="e">
        <f>'All regions'!5609:5609-"n/&gt;!/#W"</f>
        <v>#VALUE!</v>
      </c>
      <c r="H248" t="e">
        <f>'All regions'!5610:5610-"n/&gt;!/#X"</f>
        <v>#VALUE!</v>
      </c>
      <c r="I248" t="e">
        <f>'All regions'!5611:5611-"n/&gt;!/#Y"</f>
        <v>#VALUE!</v>
      </c>
      <c r="J248" t="e">
        <f>'All regions'!5612:5612-"n/&gt;!/#Z"</f>
        <v>#VALUE!</v>
      </c>
      <c r="K248" t="e">
        <f>'All regions'!5613:5613-"n/&gt;!/#["</f>
        <v>#VALUE!</v>
      </c>
      <c r="L248" t="e">
        <f>'All regions'!5614:5614-"n/&gt;!/#\"</f>
        <v>#VALUE!</v>
      </c>
      <c r="M248" t="e">
        <f>'All regions'!5615:5615-"n/&gt;!/#]"</f>
        <v>#VALUE!</v>
      </c>
      <c r="N248" t="e">
        <f>'All regions'!5616:5616-"n/&gt;!/#^"</f>
        <v>#VALUE!</v>
      </c>
      <c r="O248" t="e">
        <f>'All regions'!5617:5617-"n/&gt;!/#_"</f>
        <v>#VALUE!</v>
      </c>
      <c r="P248" t="e">
        <f>'All regions'!5618:5618-"n/&gt;!/#`"</f>
        <v>#VALUE!</v>
      </c>
      <c r="Q248" t="e">
        <f>'All regions'!5619:5619-"n/&gt;!/#a"</f>
        <v>#VALUE!</v>
      </c>
      <c r="R248" t="e">
        <f>'All regions'!5620:5620-"n/&gt;!/#b"</f>
        <v>#VALUE!</v>
      </c>
      <c r="S248" t="e">
        <f>'All regions'!5621:5621-"n/&gt;!/#c"</f>
        <v>#VALUE!</v>
      </c>
      <c r="T248" t="e">
        <f>'All regions'!5622:5622-"n/&gt;!/#d"</f>
        <v>#VALUE!</v>
      </c>
      <c r="U248" t="e">
        <f>'All regions'!5623:5623-"n/&gt;!/#e"</f>
        <v>#VALUE!</v>
      </c>
      <c r="V248" t="e">
        <f>'All regions'!5624:5624-"n/&gt;!/#f"</f>
        <v>#VALUE!</v>
      </c>
      <c r="W248" t="e">
        <f>'All regions'!5625:5625-"n/&gt;!/#g"</f>
        <v>#VALUE!</v>
      </c>
      <c r="X248" t="e">
        <f>'All regions'!5626:5626-"n/&gt;!/#h"</f>
        <v>#VALUE!</v>
      </c>
      <c r="Y248" t="e">
        <f>'All regions'!5627:5627-"n/&gt;!/#i"</f>
        <v>#VALUE!</v>
      </c>
      <c r="Z248" t="e">
        <f>'All regions'!5628:5628-"n/&gt;!/#j"</f>
        <v>#VALUE!</v>
      </c>
      <c r="AA248" t="e">
        <f>'All regions'!5629:5629-"n/&gt;!/#k"</f>
        <v>#VALUE!</v>
      </c>
      <c r="AB248" t="e">
        <f>'All regions'!5630:5630-"n/&gt;!/#l"</f>
        <v>#VALUE!</v>
      </c>
      <c r="AC248" t="e">
        <f>'All regions'!5631:5631-"n/&gt;!/#m"</f>
        <v>#VALUE!</v>
      </c>
      <c r="AD248" t="e">
        <f>'All regions'!5632:5632-"n/&gt;!/#n"</f>
        <v>#VALUE!</v>
      </c>
      <c r="AE248" t="e">
        <f>'All regions'!5633:5633-"n/&gt;!/#o"</f>
        <v>#VALUE!</v>
      </c>
      <c r="AF248" t="e">
        <f>'All regions'!5634:5634-"n/&gt;!/#p"</f>
        <v>#VALUE!</v>
      </c>
      <c r="AG248" t="e">
        <f>'All regions'!5635:5635-"n/&gt;!/#q"</f>
        <v>#VALUE!</v>
      </c>
      <c r="AH248" t="e">
        <f>'All regions'!5636:5636-"n/&gt;!/#r"</f>
        <v>#VALUE!</v>
      </c>
      <c r="AI248" t="e">
        <f>'All regions'!5637:5637-"n/&gt;!/#s"</f>
        <v>#VALUE!</v>
      </c>
      <c r="AJ248" t="e">
        <f>'All regions'!5638:5638-"n/&gt;!/#t"</f>
        <v>#VALUE!</v>
      </c>
      <c r="AK248" t="e">
        <f>'All regions'!5639:5639-"n/&gt;!/#u"</f>
        <v>#VALUE!</v>
      </c>
      <c r="AL248" t="e">
        <f>'All regions'!5640:5640-"n/&gt;!/#v"</f>
        <v>#VALUE!</v>
      </c>
      <c r="AM248" t="e">
        <f>'All regions'!5641:5641-"n/&gt;!/#w"</f>
        <v>#VALUE!</v>
      </c>
      <c r="AN248" t="e">
        <f>'All regions'!5642:5642-"n/&gt;!/#x"</f>
        <v>#VALUE!</v>
      </c>
      <c r="AO248" t="e">
        <f>'All regions'!5643:5643-"n/&gt;!/#y"</f>
        <v>#VALUE!</v>
      </c>
      <c r="AP248" t="e">
        <f>'All regions'!5644:5644-"n/&gt;!/#z"</f>
        <v>#VALUE!</v>
      </c>
      <c r="AQ248" t="e">
        <f>'All regions'!5645:5645-"n/&gt;!/#{"</f>
        <v>#VALUE!</v>
      </c>
      <c r="AR248" t="e">
        <f>'All regions'!5646:5646-"n/&gt;!/#|"</f>
        <v>#VALUE!</v>
      </c>
      <c r="AS248" t="e">
        <f>'All regions'!5647:5647-"n/&gt;!/#}"</f>
        <v>#VALUE!</v>
      </c>
      <c r="AT248" t="e">
        <f>'All regions'!5648:5648-"n/&gt;!/#~"</f>
        <v>#VALUE!</v>
      </c>
      <c r="AU248" t="e">
        <f>'All regions'!5649:5649-"n/&gt;!/$#"</f>
        <v>#VALUE!</v>
      </c>
      <c r="AV248" t="e">
        <f>'All regions'!5650:5650-"n/&gt;!/$$"</f>
        <v>#VALUE!</v>
      </c>
      <c r="AW248" t="e">
        <f>'All regions'!5651:5651-"n/&gt;!/$%"</f>
        <v>#VALUE!</v>
      </c>
      <c r="AX248" t="e">
        <f>'All regions'!5652:5652-"n/&gt;!/$&amp;"</f>
        <v>#VALUE!</v>
      </c>
      <c r="AY248" t="e">
        <f>'All regions'!5653:5653-"n/&gt;!/$'"</f>
        <v>#VALUE!</v>
      </c>
      <c r="AZ248" t="e">
        <f>'All regions'!5654:5654-"n/&gt;!/$("</f>
        <v>#VALUE!</v>
      </c>
      <c r="BA248" t="e">
        <f>'All regions'!5655:5655-"n/&gt;!/$)"</f>
        <v>#VALUE!</v>
      </c>
      <c r="BB248" t="e">
        <f>'All regions'!5656:5656-"n/&gt;!/$."</f>
        <v>#VALUE!</v>
      </c>
      <c r="BC248" t="e">
        <f>'All regions'!5657:5657-"n/&gt;!/$/"</f>
        <v>#VALUE!</v>
      </c>
      <c r="BD248" t="e">
        <f>'All regions'!5658:5658-"n/&gt;!/$0"</f>
        <v>#VALUE!</v>
      </c>
      <c r="BE248" t="e">
        <f>'All regions'!5659:5659-"n/&gt;!/$1"</f>
        <v>#VALUE!</v>
      </c>
      <c r="BF248" t="e">
        <f>'All regions'!5660:5660-"n/&gt;!/$2"</f>
        <v>#VALUE!</v>
      </c>
      <c r="BG248" t="e">
        <f>'All regions'!5661:5661-"n/&gt;!/$3"</f>
        <v>#VALUE!</v>
      </c>
      <c r="BH248" t="e">
        <f>'All regions'!5662:5662-"n/&gt;!/$4"</f>
        <v>#VALUE!</v>
      </c>
      <c r="BI248" t="e">
        <f>'All regions'!5663:5663-"n/&gt;!/$5"</f>
        <v>#VALUE!</v>
      </c>
      <c r="BJ248" t="e">
        <f>'All regions'!5664:5664-"n/&gt;!/$6"</f>
        <v>#VALUE!</v>
      </c>
      <c r="BK248" t="e">
        <f>'All regions'!5665:5665-"n/&gt;!/$7"</f>
        <v>#VALUE!</v>
      </c>
      <c r="BL248" t="e">
        <f>'All regions'!5666:5666-"n/&gt;!/$8"</f>
        <v>#VALUE!</v>
      </c>
      <c r="BM248" t="e">
        <f>'All regions'!5667:5667-"n/&gt;!/$9"</f>
        <v>#VALUE!</v>
      </c>
      <c r="BN248" t="e">
        <f>'All regions'!5668:5668-"n/&gt;!/$:"</f>
        <v>#VALUE!</v>
      </c>
      <c r="BO248" t="e">
        <f>'All regions'!5669:5669-"n/&gt;!/$;"</f>
        <v>#VALUE!</v>
      </c>
      <c r="BP248" t="e">
        <f>'All regions'!5670:5670-"n/&gt;!/$&lt;"</f>
        <v>#VALUE!</v>
      </c>
      <c r="BQ248" t="e">
        <f>'All regions'!5671:5671-"n/&gt;!/$="</f>
        <v>#VALUE!</v>
      </c>
      <c r="BR248" t="e">
        <f>'All regions'!5672:5672-"n/&gt;!/$&gt;"</f>
        <v>#VALUE!</v>
      </c>
      <c r="BS248" t="e">
        <f>'All regions'!5673:5673-"n/&gt;!/$?"</f>
        <v>#VALUE!</v>
      </c>
      <c r="BT248" t="e">
        <f>'All regions'!5674:5674-"n/&gt;!/$@"</f>
        <v>#VALUE!</v>
      </c>
      <c r="BU248" t="e">
        <f>'All regions'!5675:5675-"n/&gt;!/$A"</f>
        <v>#VALUE!</v>
      </c>
      <c r="BV248" t="e">
        <f>'All regions'!5676:5676-"n/&gt;!/$B"</f>
        <v>#VALUE!</v>
      </c>
      <c r="BW248" t="e">
        <f>'All regions'!5677:5677-"n/&gt;!/$C"</f>
        <v>#VALUE!</v>
      </c>
      <c r="BX248" t="e">
        <f>'All regions'!5678:5678-"n/&gt;!/$D"</f>
        <v>#VALUE!</v>
      </c>
      <c r="BY248" t="e">
        <f>'All regions'!5679:5679-"n/&gt;!/$E"</f>
        <v>#VALUE!</v>
      </c>
      <c r="BZ248" t="e">
        <f>'All regions'!5680:5680-"n/&gt;!/$F"</f>
        <v>#VALUE!</v>
      </c>
      <c r="CA248" t="e">
        <f>'All regions'!5681:5681-"n/&gt;!/$G"</f>
        <v>#VALUE!</v>
      </c>
      <c r="CB248" t="e">
        <f>'All regions'!5682:5682-"n/&gt;!/$H"</f>
        <v>#VALUE!</v>
      </c>
      <c r="CC248" t="e">
        <f>'All regions'!5683:5683-"n/&gt;!/$I"</f>
        <v>#VALUE!</v>
      </c>
      <c r="CD248" t="e">
        <f>'All regions'!5684:5684-"n/&gt;!/$J"</f>
        <v>#VALUE!</v>
      </c>
      <c r="CE248" t="e">
        <f>'All regions'!5685:5685-"n/&gt;!/$K"</f>
        <v>#VALUE!</v>
      </c>
      <c r="CF248" t="e">
        <f>'All regions'!5686:5686-"n/&gt;!/$L"</f>
        <v>#VALUE!</v>
      </c>
      <c r="CG248" t="e">
        <f>'All regions'!5687:5687-"n/&gt;!/$M"</f>
        <v>#VALUE!</v>
      </c>
      <c r="CH248" t="e">
        <f>'All regions'!5688:5688-"n/&gt;!/$N"</f>
        <v>#VALUE!</v>
      </c>
      <c r="CI248" t="e">
        <f>'All regions'!5689:5689-"n/&gt;!/$O"</f>
        <v>#VALUE!</v>
      </c>
      <c r="CJ248" t="e">
        <f>'All regions'!5690:5690-"n/&gt;!/$P"</f>
        <v>#VALUE!</v>
      </c>
      <c r="CK248" t="e">
        <f>'All regions'!5691:5691-"n/&gt;!/$Q"</f>
        <v>#VALUE!</v>
      </c>
      <c r="CL248" t="e">
        <f>'All regions'!5692:5692-"n/&gt;!/$R"</f>
        <v>#VALUE!</v>
      </c>
      <c r="CM248" t="e">
        <f>'All regions'!5693:5693-"n/&gt;!/$S"</f>
        <v>#VALUE!</v>
      </c>
      <c r="CN248" t="e">
        <f>'All regions'!5694:5694-"n/&gt;!/$T"</f>
        <v>#VALUE!</v>
      </c>
      <c r="CO248" t="e">
        <f>'All regions'!5695:5695-"n/&gt;!/$U"</f>
        <v>#VALUE!</v>
      </c>
      <c r="CP248" t="e">
        <f>'All regions'!5696:5696-"n/&gt;!/$V"</f>
        <v>#VALUE!</v>
      </c>
      <c r="CQ248" t="e">
        <f>'All regions'!5697:5697-"n/&gt;!/$W"</f>
        <v>#VALUE!</v>
      </c>
      <c r="CR248" t="e">
        <f>'All regions'!5698:5698-"n/&gt;!/$X"</f>
        <v>#VALUE!</v>
      </c>
      <c r="CS248" t="e">
        <f>'All regions'!5699:5699-"n/&gt;!/$Y"</f>
        <v>#VALUE!</v>
      </c>
      <c r="CT248" t="e">
        <f>'All regions'!5700:5700-"n/&gt;!/$Z"</f>
        <v>#VALUE!</v>
      </c>
      <c r="CU248" t="e">
        <f>'All regions'!5701:5701-"n/&gt;!/$["</f>
        <v>#VALUE!</v>
      </c>
      <c r="CV248" t="e">
        <f>'All regions'!5702:5702-"n/&gt;!/$\"</f>
        <v>#VALUE!</v>
      </c>
      <c r="CW248" t="e">
        <f>'All regions'!5703:5703-"n/&gt;!/$]"</f>
        <v>#VALUE!</v>
      </c>
      <c r="CX248" t="e">
        <f>'All regions'!5704:5704-"n/&gt;!/$^"</f>
        <v>#VALUE!</v>
      </c>
      <c r="CY248" t="e">
        <f>'All regions'!5705:5705-"n/&gt;!/$_"</f>
        <v>#VALUE!</v>
      </c>
      <c r="CZ248" t="e">
        <f>'All regions'!5706:5706-"n/&gt;!/$`"</f>
        <v>#VALUE!</v>
      </c>
      <c r="DA248" t="e">
        <f>'All regions'!5707:5707-"n/&gt;!/$a"</f>
        <v>#VALUE!</v>
      </c>
      <c r="DB248" t="e">
        <f>'All regions'!5708:5708-"n/&gt;!/$b"</f>
        <v>#VALUE!</v>
      </c>
      <c r="DC248" t="e">
        <f>'All regions'!5709:5709-"n/&gt;!/$c"</f>
        <v>#VALUE!</v>
      </c>
      <c r="DD248" t="e">
        <f>'All regions'!5710:5710-"n/&gt;!/$d"</f>
        <v>#VALUE!</v>
      </c>
      <c r="DE248" t="e">
        <f>'All regions'!5711:5711-"n/&gt;!/$e"</f>
        <v>#VALUE!</v>
      </c>
      <c r="DF248" t="e">
        <f>'All regions'!5712:5712-"n/&gt;!/$f"</f>
        <v>#VALUE!</v>
      </c>
      <c r="DG248" t="e">
        <f>'All regions'!5713:5713-"n/&gt;!/$g"</f>
        <v>#VALUE!</v>
      </c>
      <c r="DH248" t="e">
        <f>'All regions'!5714:5714-"n/&gt;!/$h"</f>
        <v>#VALUE!</v>
      </c>
      <c r="DI248" t="e">
        <f>'All regions'!5715:5715-"n/&gt;!/$i"</f>
        <v>#VALUE!</v>
      </c>
      <c r="DJ248" t="e">
        <f>'All regions'!5716:5716-"n/&gt;!/$j"</f>
        <v>#VALUE!</v>
      </c>
      <c r="DK248" t="e">
        <f>'All regions'!5717:5717-"n/&gt;!/$k"</f>
        <v>#VALUE!</v>
      </c>
      <c r="DL248" t="e">
        <f>'All regions'!5718:5718-"n/&gt;!/$l"</f>
        <v>#VALUE!</v>
      </c>
      <c r="DM248" t="e">
        <f>'All regions'!5719:5719-"n/&gt;!/$m"</f>
        <v>#VALUE!</v>
      </c>
      <c r="DN248" t="e">
        <f>'All regions'!5720:5720-"n/&gt;!/$n"</f>
        <v>#VALUE!</v>
      </c>
      <c r="DO248" t="e">
        <f>'All regions'!5721:5721-"n/&gt;!/$o"</f>
        <v>#VALUE!</v>
      </c>
      <c r="DP248" t="e">
        <f>'All regions'!5722:5722-"n/&gt;!/$p"</f>
        <v>#VALUE!</v>
      </c>
      <c r="DQ248" t="e">
        <f>'All regions'!5723:5723-"n/&gt;!/$q"</f>
        <v>#VALUE!</v>
      </c>
      <c r="DR248" t="e">
        <f>'All regions'!5724:5724-"n/&gt;!/$r"</f>
        <v>#VALUE!</v>
      </c>
      <c r="DS248" t="e">
        <f>'All regions'!5725:5725-"n/&gt;!/$s"</f>
        <v>#VALUE!</v>
      </c>
      <c r="DT248" t="e">
        <f>'All regions'!5726:5726-"n/&gt;!/$t"</f>
        <v>#VALUE!</v>
      </c>
      <c r="DU248" t="e">
        <f>'All regions'!5727:5727-"n/&gt;!/$u"</f>
        <v>#VALUE!</v>
      </c>
      <c r="DV248" t="e">
        <f>'All regions'!5728:5728-"n/&gt;!/$v"</f>
        <v>#VALUE!</v>
      </c>
      <c r="DW248" t="e">
        <f>'All regions'!5729:5729-"n/&gt;!/$w"</f>
        <v>#VALUE!</v>
      </c>
      <c r="DX248" t="e">
        <f>'All regions'!5730:5730-"n/&gt;!/$x"</f>
        <v>#VALUE!</v>
      </c>
      <c r="DY248" t="e">
        <f>'All regions'!5731:5731-"n/&gt;!/$y"</f>
        <v>#VALUE!</v>
      </c>
      <c r="DZ248" t="e">
        <f>'All regions'!5732:5732-"n/&gt;!/$z"</f>
        <v>#VALUE!</v>
      </c>
      <c r="EA248" t="e">
        <f>'All regions'!5733:5733-"n/&gt;!/${"</f>
        <v>#VALUE!</v>
      </c>
      <c r="EB248" t="e">
        <f>'All regions'!5734:5734-"n/&gt;!/$|"</f>
        <v>#VALUE!</v>
      </c>
      <c r="EC248" t="e">
        <f>'All regions'!5735:5735-"n/&gt;!/$}"</f>
        <v>#VALUE!</v>
      </c>
      <c r="ED248" t="e">
        <f>'All regions'!5736:5736-"n/&gt;!/$~"</f>
        <v>#VALUE!</v>
      </c>
      <c r="EE248" t="e">
        <f>'All regions'!5737:5737-"n/&gt;!/%#"</f>
        <v>#VALUE!</v>
      </c>
      <c r="EF248" t="e">
        <f>'All regions'!5738:5738-"n/&gt;!/%$"</f>
        <v>#VALUE!</v>
      </c>
      <c r="EG248" t="e">
        <f>'All regions'!5739:5739-"n/&gt;!/%%"</f>
        <v>#VALUE!</v>
      </c>
      <c r="EH248" t="e">
        <f>'All regions'!5740:5740-"n/&gt;!/%&amp;"</f>
        <v>#VALUE!</v>
      </c>
      <c r="EI248" t="e">
        <f>'All regions'!5741:5741-"n/&gt;!/%'"</f>
        <v>#VALUE!</v>
      </c>
      <c r="EJ248" t="e">
        <f>'All regions'!5742:5742-"n/&gt;!/%("</f>
        <v>#VALUE!</v>
      </c>
      <c r="EK248" t="e">
        <f>'All regions'!5743:5743-"n/&gt;!/%)"</f>
        <v>#VALUE!</v>
      </c>
      <c r="EL248" t="e">
        <f>'All regions'!5744:5744-"n/&gt;!/%."</f>
        <v>#VALUE!</v>
      </c>
      <c r="EM248" t="e">
        <f>'All regions'!5745:5745-"n/&gt;!/%/"</f>
        <v>#VALUE!</v>
      </c>
      <c r="EN248" t="e">
        <f>'All regions'!5746:5746-"n/&gt;!/%0"</f>
        <v>#VALUE!</v>
      </c>
      <c r="EO248" t="e">
        <f>'All regions'!5747:5747-"n/&gt;!/%1"</f>
        <v>#VALUE!</v>
      </c>
      <c r="EP248" t="e">
        <f>'All regions'!5748:5748-"n/&gt;!/%2"</f>
        <v>#VALUE!</v>
      </c>
      <c r="EQ248" t="e">
        <f>'All regions'!5749:5749-"n/&gt;!/%3"</f>
        <v>#VALUE!</v>
      </c>
      <c r="ER248" t="e">
        <f>'All regions'!5750:5750-"n/&gt;!/%4"</f>
        <v>#VALUE!</v>
      </c>
      <c r="ES248" t="e">
        <f>'All regions'!5751:5751-"n/&gt;!/%5"</f>
        <v>#VALUE!</v>
      </c>
      <c r="ET248" t="e">
        <f>'All regions'!5752:5752-"n/&gt;!/%6"</f>
        <v>#VALUE!</v>
      </c>
      <c r="EU248" t="e">
        <f>'All regions'!5753:5753-"n/&gt;!/%7"</f>
        <v>#VALUE!</v>
      </c>
      <c r="EV248" t="e">
        <f>'All regions'!5754:5754-"n/&gt;!/%8"</f>
        <v>#VALUE!</v>
      </c>
      <c r="EW248" t="e">
        <f>'All regions'!5755:5755-"n/&gt;!/%9"</f>
        <v>#VALUE!</v>
      </c>
      <c r="EX248" t="e">
        <f>'All regions'!5756:5756-"n/&gt;!/%:"</f>
        <v>#VALUE!</v>
      </c>
      <c r="EY248" t="e">
        <f>'All regions'!5757:5757-"n/&gt;!/%;"</f>
        <v>#VALUE!</v>
      </c>
      <c r="EZ248" t="e">
        <f>'All regions'!5758:5758-"n/&gt;!/%&lt;"</f>
        <v>#VALUE!</v>
      </c>
      <c r="FA248" t="e">
        <f>'All regions'!5759:5759-"n/&gt;!/%="</f>
        <v>#VALUE!</v>
      </c>
      <c r="FB248" t="e">
        <f>'All regions'!5760:5760-"n/&gt;!/%&gt;"</f>
        <v>#VALUE!</v>
      </c>
      <c r="FC248" t="e">
        <f>'All regions'!5761:5761-"n/&gt;!/%?"</f>
        <v>#VALUE!</v>
      </c>
      <c r="FD248" t="e">
        <f>'All regions'!5762:5762-"n/&gt;!/%@"</f>
        <v>#VALUE!</v>
      </c>
      <c r="FE248" t="e">
        <f>'All regions'!5763:5763-"n/&gt;!/%A"</f>
        <v>#VALUE!</v>
      </c>
      <c r="FF248" t="e">
        <f>'All regions'!5764:5764-"n/&gt;!/%B"</f>
        <v>#VALUE!</v>
      </c>
      <c r="FG248" t="e">
        <f>'All regions'!5765:5765-"n/&gt;!/%C"</f>
        <v>#VALUE!</v>
      </c>
      <c r="FH248" t="e">
        <f>'All regions'!5766:5766-"n/&gt;!/%D"</f>
        <v>#VALUE!</v>
      </c>
      <c r="FI248" t="e">
        <f>'All regions'!5767:5767-"n/&gt;!/%E"</f>
        <v>#VALUE!</v>
      </c>
      <c r="FJ248" t="e">
        <f>'All regions'!5768:5768-"n/&gt;!/%F"</f>
        <v>#VALUE!</v>
      </c>
      <c r="FK248" t="e">
        <f>'All regions'!5769:5769-"n/&gt;!/%G"</f>
        <v>#VALUE!</v>
      </c>
      <c r="FL248" t="e">
        <f>'All regions'!5770:5770-"n/&gt;!/%H"</f>
        <v>#VALUE!</v>
      </c>
      <c r="FM248" t="e">
        <f>'All regions'!5771:5771-"n/&gt;!/%I"</f>
        <v>#VALUE!</v>
      </c>
      <c r="FN248" t="e">
        <f>'All regions'!5772:5772-"n/&gt;!/%J"</f>
        <v>#VALUE!</v>
      </c>
      <c r="FO248" t="e">
        <f>'All regions'!5773:5773-"n/&gt;!/%K"</f>
        <v>#VALUE!</v>
      </c>
      <c r="FP248" t="e">
        <f>'All regions'!5774:5774-"n/&gt;!/%L"</f>
        <v>#VALUE!</v>
      </c>
      <c r="FQ248" t="e">
        <f>'All regions'!5775:5775-"n/&gt;!/%M"</f>
        <v>#VALUE!</v>
      </c>
      <c r="FR248" t="e">
        <f>'All regions'!5776:5776-"n/&gt;!/%N"</f>
        <v>#VALUE!</v>
      </c>
      <c r="FS248" t="e">
        <f>'All regions'!5777:5777-"n/&gt;!/%O"</f>
        <v>#VALUE!</v>
      </c>
      <c r="FT248" t="e">
        <f>'All regions'!5778:5778-"n/&gt;!/%P"</f>
        <v>#VALUE!</v>
      </c>
      <c r="FU248" t="e">
        <f>'All regions'!5779:5779-"n/&gt;!/%Q"</f>
        <v>#VALUE!</v>
      </c>
      <c r="FV248" t="e">
        <f>'All regions'!5780:5780-"n/&gt;!/%R"</f>
        <v>#VALUE!</v>
      </c>
      <c r="FW248" t="e">
        <f>'All regions'!5781:5781-"n/&gt;!/%S"</f>
        <v>#VALUE!</v>
      </c>
      <c r="FX248" t="e">
        <f>'All regions'!5782:5782-"n/&gt;!/%T"</f>
        <v>#VALUE!</v>
      </c>
      <c r="FY248" t="e">
        <f>'All regions'!5783:5783-"n/&gt;!/%U"</f>
        <v>#VALUE!</v>
      </c>
      <c r="FZ248" t="e">
        <f>'All regions'!5784:5784-"n/&gt;!/%V"</f>
        <v>#VALUE!</v>
      </c>
      <c r="GA248" t="e">
        <f>'All regions'!5785:5785-"n/&gt;!/%W"</f>
        <v>#VALUE!</v>
      </c>
      <c r="GB248" t="e">
        <f>'All regions'!5786:5786-"n/&gt;!/%X"</f>
        <v>#VALUE!</v>
      </c>
      <c r="GC248" t="e">
        <f>'All regions'!5787:5787-"n/&gt;!/%Y"</f>
        <v>#VALUE!</v>
      </c>
      <c r="GD248" t="e">
        <f>'All regions'!5788:5788-"n/&gt;!/%Z"</f>
        <v>#VALUE!</v>
      </c>
      <c r="GE248" t="e">
        <f>'All regions'!5789:5789-"n/&gt;!/%["</f>
        <v>#VALUE!</v>
      </c>
      <c r="GF248" t="e">
        <f>'All regions'!5790:5790-"n/&gt;!/%\"</f>
        <v>#VALUE!</v>
      </c>
      <c r="GG248" t="e">
        <f>'All regions'!5791:5791-"n/&gt;!/%]"</f>
        <v>#VALUE!</v>
      </c>
      <c r="GH248" t="e">
        <f>'All regions'!5792:5792-"n/&gt;!/%^"</f>
        <v>#VALUE!</v>
      </c>
      <c r="GI248" t="e">
        <f>'All regions'!5793:5793-"n/&gt;!/%_"</f>
        <v>#VALUE!</v>
      </c>
      <c r="GJ248" t="e">
        <f>'All regions'!5794:5794-"n/&gt;!/%`"</f>
        <v>#VALUE!</v>
      </c>
      <c r="GK248" t="e">
        <f>'All regions'!5795:5795-"n/&gt;!/%a"</f>
        <v>#VALUE!</v>
      </c>
      <c r="GL248" t="e">
        <f>'All regions'!5796:5796-"n/&gt;!/%b"</f>
        <v>#VALUE!</v>
      </c>
      <c r="GM248" t="e">
        <f>'All regions'!5797:5797-"n/&gt;!/%c"</f>
        <v>#VALUE!</v>
      </c>
      <c r="GN248" t="e">
        <f>'All regions'!5798:5798-"n/&gt;!/%d"</f>
        <v>#VALUE!</v>
      </c>
      <c r="GO248" t="e">
        <f>'All regions'!5799:5799-"n/&gt;!/%e"</f>
        <v>#VALUE!</v>
      </c>
      <c r="GP248" t="e">
        <f>'All regions'!5800:5800-"n/&gt;!/%f"</f>
        <v>#VALUE!</v>
      </c>
      <c r="GQ248" t="e">
        <f>'All regions'!5801:5801-"n/&gt;!/%g"</f>
        <v>#VALUE!</v>
      </c>
      <c r="GR248" t="e">
        <f>'All regions'!5802:5802-"n/&gt;!/%h"</f>
        <v>#VALUE!</v>
      </c>
      <c r="GS248" t="e">
        <f>'All regions'!5803:5803-"n/&gt;!/%i"</f>
        <v>#VALUE!</v>
      </c>
      <c r="GT248" t="e">
        <f>'All regions'!5804:5804-"n/&gt;!/%j"</f>
        <v>#VALUE!</v>
      </c>
      <c r="GU248" t="e">
        <f>'All regions'!5805:5805-"n/&gt;!/%k"</f>
        <v>#VALUE!</v>
      </c>
      <c r="GV248" t="e">
        <f>'All regions'!5806:5806-"n/&gt;!/%l"</f>
        <v>#VALUE!</v>
      </c>
      <c r="GW248" t="e">
        <f>'All regions'!5807:5807-"n/&gt;!/%m"</f>
        <v>#VALUE!</v>
      </c>
      <c r="GX248" t="e">
        <f>'All regions'!5808:5808-"n/&gt;!/%n"</f>
        <v>#VALUE!</v>
      </c>
      <c r="GY248" t="e">
        <f>'All regions'!5809:5809-"n/&gt;!/%o"</f>
        <v>#VALUE!</v>
      </c>
      <c r="GZ248" t="e">
        <f>'All regions'!5810:5810-"n/&gt;!/%p"</f>
        <v>#VALUE!</v>
      </c>
      <c r="HA248" t="e">
        <f>'All regions'!5811:5811-"n/&gt;!/%q"</f>
        <v>#VALUE!</v>
      </c>
      <c r="HB248" t="e">
        <f>'All regions'!5812:5812-"n/&gt;!/%r"</f>
        <v>#VALUE!</v>
      </c>
      <c r="HC248" t="e">
        <f>'All regions'!5813:5813-"n/&gt;!/%s"</f>
        <v>#VALUE!</v>
      </c>
      <c r="HD248" t="e">
        <f>'All regions'!5814:5814-"n/&gt;!/%t"</f>
        <v>#VALUE!</v>
      </c>
      <c r="HE248" t="e">
        <f>'All regions'!5815:5815-"n/&gt;!/%u"</f>
        <v>#VALUE!</v>
      </c>
      <c r="HF248" t="e">
        <f>'All regions'!5816:5816-"n/&gt;!/%v"</f>
        <v>#VALUE!</v>
      </c>
      <c r="HG248" t="e">
        <f>'All regions'!5817:5817-"n/&gt;!/%w"</f>
        <v>#VALUE!</v>
      </c>
      <c r="HH248" t="e">
        <f>'All regions'!5818:5818-"n/&gt;!/%x"</f>
        <v>#VALUE!</v>
      </c>
      <c r="HI248" t="e">
        <f>'All regions'!5819:5819-"n/&gt;!/%y"</f>
        <v>#VALUE!</v>
      </c>
      <c r="HJ248" t="e">
        <f>'All regions'!5820:5820-"n/&gt;!/%z"</f>
        <v>#VALUE!</v>
      </c>
      <c r="HK248" t="e">
        <f>'All regions'!5821:5821-"n/&gt;!/%{"</f>
        <v>#VALUE!</v>
      </c>
      <c r="HL248" t="e">
        <f>'All regions'!5822:5822-"n/&gt;!/%|"</f>
        <v>#VALUE!</v>
      </c>
      <c r="HM248" t="e">
        <f>'All regions'!5823:5823-"n/&gt;!/%}"</f>
        <v>#VALUE!</v>
      </c>
      <c r="HN248" t="e">
        <f>'All regions'!5824:5824-"n/&gt;!/%~"</f>
        <v>#VALUE!</v>
      </c>
      <c r="HO248" t="e">
        <f>'All regions'!5825:5825-"n/&gt;!/&amp;#"</f>
        <v>#VALUE!</v>
      </c>
      <c r="HP248" t="e">
        <f>'All regions'!5826:5826-"n/&gt;!/&amp;$"</f>
        <v>#VALUE!</v>
      </c>
      <c r="HQ248" t="e">
        <f>'All regions'!5827:5827-"n/&gt;!/&amp;%"</f>
        <v>#VALUE!</v>
      </c>
      <c r="HR248" t="e">
        <f>'All regions'!5828:5828-"n/&gt;!/&amp;&amp;"</f>
        <v>#VALUE!</v>
      </c>
      <c r="HS248" t="e">
        <f>'All regions'!5829:5829-"n/&gt;!/&amp;'"</f>
        <v>#VALUE!</v>
      </c>
      <c r="HT248" t="e">
        <f>'All regions'!5830:5830-"n/&gt;!/&amp;("</f>
        <v>#VALUE!</v>
      </c>
      <c r="HU248" t="e">
        <f>'All regions'!5831:5831-"n/&gt;!/&amp;)"</f>
        <v>#VALUE!</v>
      </c>
      <c r="HV248" t="e">
        <f>'All regions'!5832:5832-"n/&gt;!/&amp;."</f>
        <v>#VALUE!</v>
      </c>
      <c r="HW248" t="e">
        <f>'All regions'!5833:5833-"n/&gt;!/&amp;/"</f>
        <v>#VALUE!</v>
      </c>
      <c r="HX248" t="e">
        <f>'All regions'!5834:5834-"n/&gt;!/&amp;0"</f>
        <v>#VALUE!</v>
      </c>
      <c r="HY248" t="e">
        <f>'All regions'!5835:5835-"n/&gt;!/&amp;1"</f>
        <v>#VALUE!</v>
      </c>
      <c r="HZ248" t="e">
        <f>'All regions'!5836:5836-"n/&gt;!/&amp;2"</f>
        <v>#VALUE!</v>
      </c>
      <c r="IA248" t="e">
        <f>Europe!A1+"n/&gt;!/&amp;3"</f>
        <v>#VALUE!</v>
      </c>
      <c r="IB248" t="e">
        <f>Europe!B1+"n/&gt;!/&amp;4"</f>
        <v>#VALUE!</v>
      </c>
      <c r="IC248" t="e">
        <f>Europe!C1+"n/&gt;!/&amp;5"</f>
        <v>#VALUE!</v>
      </c>
      <c r="ID248" t="e">
        <f>Europe!D1+"n/&gt;!/&amp;6"</f>
        <v>#VALUE!</v>
      </c>
      <c r="IE248" t="e">
        <f>Europe!E1+"n/&gt;!/&amp;7"</f>
        <v>#VALUE!</v>
      </c>
      <c r="IF248" t="e">
        <f>Europe!F1+"n/&gt;!/&amp;8"</f>
        <v>#VALUE!</v>
      </c>
      <c r="IG248" t="e">
        <f>Europe!G1+"n/&gt;!/&amp;9"</f>
        <v>#VALUE!</v>
      </c>
      <c r="IH248" t="e">
        <f>Europe!H1+"n/&gt;!/&amp;:"</f>
        <v>#VALUE!</v>
      </c>
      <c r="II248" t="e">
        <f>Europe!I1+"n/&gt;!/&amp;;"</f>
        <v>#VALUE!</v>
      </c>
      <c r="IJ248" t="e">
        <f>Europe!A2+"n/&gt;!/&amp;&lt;"</f>
        <v>#VALUE!</v>
      </c>
      <c r="IK248" t="e">
        <f>Europe!B2+"n/&gt;!/&amp;="</f>
        <v>#VALUE!</v>
      </c>
      <c r="IL248" t="e">
        <f>Europe!C2+"n/&gt;!/&amp;&gt;"</f>
        <v>#VALUE!</v>
      </c>
      <c r="IM248" t="e">
        <f>Europe!D2+"n/&gt;!/&amp;?"</f>
        <v>#VALUE!</v>
      </c>
      <c r="IN248" t="e">
        <f>Europe!E2+"n/&gt;!/&amp;@"</f>
        <v>#VALUE!</v>
      </c>
      <c r="IO248" t="e">
        <f>Europe!H2+"n/&gt;!/&amp;A"</f>
        <v>#VALUE!</v>
      </c>
      <c r="IP248" t="e">
        <f>Europe!I2+"n/&gt;!/&amp;B"</f>
        <v>#VALUE!</v>
      </c>
      <c r="IQ248" t="e">
        <f>Europe!A3+"n/&gt;!/&amp;C"</f>
        <v>#VALUE!</v>
      </c>
      <c r="IR248" t="e">
        <f>Europe!B3+"n/&gt;!/&amp;D"</f>
        <v>#VALUE!</v>
      </c>
      <c r="IS248" t="e">
        <f>Europe!C3+"n/&gt;!/&amp;E"</f>
        <v>#VALUE!</v>
      </c>
      <c r="IT248" t="e">
        <f>Europe!D3+"n/&gt;!/&amp;F"</f>
        <v>#VALUE!</v>
      </c>
      <c r="IU248" t="e">
        <f>Europe!E3+"n/&gt;!/&amp;G"</f>
        <v>#VALUE!</v>
      </c>
      <c r="IV248" t="e">
        <f>Europe!F3+"n/&gt;!/&amp;H"</f>
        <v>#VALUE!</v>
      </c>
    </row>
    <row r="249" spans="6:256" x14ac:dyDescent="0.35">
      <c r="F249" t="e">
        <f>Europe!G3+"n/&gt;!/&amp;I"</f>
        <v>#VALUE!</v>
      </c>
      <c r="G249" t="e">
        <f>Europe!H3+"n/&gt;!/&amp;J"</f>
        <v>#VALUE!</v>
      </c>
      <c r="H249" t="e">
        <f>Europe!I3+"n/&gt;!/&amp;K"</f>
        <v>#VALUE!</v>
      </c>
      <c r="I249" t="e">
        <f>Europe!A4+"n/&gt;!/&amp;L"</f>
        <v>#VALUE!</v>
      </c>
      <c r="J249" t="e">
        <f>Europe!B4+"n/&gt;!/&amp;M"</f>
        <v>#VALUE!</v>
      </c>
      <c r="K249" t="e">
        <f>Europe!C4+"n/&gt;!/&amp;N"</f>
        <v>#VALUE!</v>
      </c>
      <c r="L249" t="e">
        <f>Europe!D4+"n/&gt;!/&amp;O"</f>
        <v>#VALUE!</v>
      </c>
      <c r="M249" t="e">
        <f>Europe!E4+"n/&gt;!/&amp;P"</f>
        <v>#VALUE!</v>
      </c>
      <c r="N249" t="e">
        <f>Europe!F4+"n/&gt;!/&amp;Q"</f>
        <v>#VALUE!</v>
      </c>
      <c r="O249" t="e">
        <f>Europe!G4+"n/&gt;!/&amp;R"</f>
        <v>#VALUE!</v>
      </c>
      <c r="P249" t="e">
        <f>Europe!H4+"n/&gt;!/&amp;S"</f>
        <v>#VALUE!</v>
      </c>
      <c r="Q249" t="e">
        <f>Europe!I4+"n/&gt;!/&amp;T"</f>
        <v>#VALUE!</v>
      </c>
      <c r="R249" t="e">
        <f>Europe!A5+"n/&gt;!/&amp;U"</f>
        <v>#VALUE!</v>
      </c>
      <c r="S249" t="e">
        <f>Europe!B5+"n/&gt;!/&amp;V"</f>
        <v>#VALUE!</v>
      </c>
      <c r="T249" t="e">
        <f>Europe!C5+"n/&gt;!/&amp;W"</f>
        <v>#VALUE!</v>
      </c>
      <c r="U249" t="e">
        <f>Europe!D5+"n/&gt;!/&amp;X"</f>
        <v>#VALUE!</v>
      </c>
      <c r="V249" t="e">
        <f>Europe!E5+"n/&gt;!/&amp;Y"</f>
        <v>#VALUE!</v>
      </c>
      <c r="W249" t="e">
        <f>Europe!F5+"n/&gt;!/&amp;Z"</f>
        <v>#VALUE!</v>
      </c>
      <c r="X249" t="e">
        <f>Europe!G5+"n/&gt;!/&amp;["</f>
        <v>#VALUE!</v>
      </c>
      <c r="Y249" t="e">
        <f>Europe!H5+"n/&gt;!/&amp;\"</f>
        <v>#VALUE!</v>
      </c>
      <c r="Z249" t="e">
        <f>Europe!I5+"n/&gt;!/&amp;]"</f>
        <v>#VALUE!</v>
      </c>
      <c r="AA249" t="e">
        <f>Europe!A6+"n/&gt;!/&amp;^"</f>
        <v>#VALUE!</v>
      </c>
      <c r="AB249" t="e">
        <f>Europe!B6+"n/&gt;!/&amp;_"</f>
        <v>#VALUE!</v>
      </c>
      <c r="AC249" t="e">
        <f>Europe!C6+"n/&gt;!/&amp;`"</f>
        <v>#VALUE!</v>
      </c>
      <c r="AD249" t="e">
        <f>Europe!D6+"n/&gt;!/&amp;a"</f>
        <v>#VALUE!</v>
      </c>
      <c r="AE249" t="e">
        <f>Europe!E6+"n/&gt;!/&amp;b"</f>
        <v>#VALUE!</v>
      </c>
      <c r="AF249" t="e">
        <f>Europe!F6+"n/&gt;!/&amp;c"</f>
        <v>#VALUE!</v>
      </c>
      <c r="AG249" t="e">
        <f>Europe!G6+"n/&gt;!/&amp;d"</f>
        <v>#VALUE!</v>
      </c>
      <c r="AH249" t="e">
        <f>Europe!H6+"n/&gt;!/&amp;e"</f>
        <v>#VALUE!</v>
      </c>
      <c r="AI249" t="e">
        <f>Europe!I6+"n/&gt;!/&amp;f"</f>
        <v>#VALUE!</v>
      </c>
      <c r="AJ249" t="e">
        <f>Europe!A7+"n/&gt;!/&amp;g"</f>
        <v>#VALUE!</v>
      </c>
      <c r="AK249" t="e">
        <f>Europe!B7+"n/&gt;!/&amp;h"</f>
        <v>#VALUE!</v>
      </c>
      <c r="AL249" t="e">
        <f>Europe!C7+"n/&gt;!/&amp;i"</f>
        <v>#VALUE!</v>
      </c>
      <c r="AM249" t="e">
        <f>Europe!D7+"n/&gt;!/&amp;j"</f>
        <v>#VALUE!</v>
      </c>
      <c r="AN249" t="e">
        <f>Europe!E7+"n/&gt;!/&amp;k"</f>
        <v>#VALUE!</v>
      </c>
      <c r="AO249" t="e">
        <f>Europe!F7+"n/&gt;!/&amp;l"</f>
        <v>#VALUE!</v>
      </c>
      <c r="AP249" t="e">
        <f>Europe!G7+"n/&gt;!/&amp;m"</f>
        <v>#VALUE!</v>
      </c>
      <c r="AQ249" t="e">
        <f>Europe!H7+"n/&gt;!/&amp;n"</f>
        <v>#VALUE!</v>
      </c>
      <c r="AR249" t="e">
        <f>Europe!I7+"n/&gt;!/&amp;o"</f>
        <v>#VALUE!</v>
      </c>
      <c r="AS249" t="e">
        <f>Europe!A8+"n/&gt;!/&amp;p"</f>
        <v>#VALUE!</v>
      </c>
      <c r="AT249" t="e">
        <f>Europe!B8+"n/&gt;!/&amp;q"</f>
        <v>#VALUE!</v>
      </c>
      <c r="AU249" t="e">
        <f>Europe!C8+"n/&gt;!/&amp;r"</f>
        <v>#VALUE!</v>
      </c>
      <c r="AV249" t="e">
        <f>Europe!D8+"n/&gt;!/&amp;s"</f>
        <v>#VALUE!</v>
      </c>
      <c r="AW249" t="e">
        <f>Europe!E8+"n/&gt;!/&amp;t"</f>
        <v>#VALUE!</v>
      </c>
      <c r="AX249" t="e">
        <f>Europe!F8+"n/&gt;!/&amp;u"</f>
        <v>#VALUE!</v>
      </c>
      <c r="AY249" t="e">
        <f>Europe!G8+"n/&gt;!/&amp;v"</f>
        <v>#VALUE!</v>
      </c>
      <c r="AZ249" t="e">
        <f>Europe!H8+"n/&gt;!/&amp;w"</f>
        <v>#VALUE!</v>
      </c>
      <c r="BA249" t="e">
        <f>Europe!I8+"n/&gt;!/&amp;x"</f>
        <v>#VALUE!</v>
      </c>
      <c r="BB249" t="e">
        <f>Europe!A9+"n/&gt;!/&amp;y"</f>
        <v>#VALUE!</v>
      </c>
      <c r="BC249" t="e">
        <f>Europe!B9+"n/&gt;!/&amp;z"</f>
        <v>#VALUE!</v>
      </c>
      <c r="BD249" t="e">
        <f>Europe!C9+"n/&gt;!/&amp;{"</f>
        <v>#VALUE!</v>
      </c>
      <c r="BE249" t="e">
        <f>Europe!D9+"n/&gt;!/&amp;|"</f>
        <v>#VALUE!</v>
      </c>
      <c r="BF249" t="e">
        <f>Europe!E9+"n/&gt;!/&amp;}"</f>
        <v>#VALUE!</v>
      </c>
      <c r="BG249" t="e">
        <f>Europe!F9+"n/&gt;!/&amp;~"</f>
        <v>#VALUE!</v>
      </c>
      <c r="BH249" t="e">
        <f>Europe!G9+"n/&gt;!/'#"</f>
        <v>#VALUE!</v>
      </c>
      <c r="BI249" t="e">
        <f>Europe!H9+"n/&gt;!/'$"</f>
        <v>#VALUE!</v>
      </c>
      <c r="BJ249" t="e">
        <f>Europe!I9+"n/&gt;!/'%"</f>
        <v>#VALUE!</v>
      </c>
      <c r="BK249" t="e">
        <f>Europe!A10+"n/&gt;!/'&amp;"</f>
        <v>#VALUE!</v>
      </c>
      <c r="BL249" t="e">
        <f>Europe!B10+"n/&gt;!/''"</f>
        <v>#VALUE!</v>
      </c>
      <c r="BM249" t="e">
        <f>Europe!C10+"n/&gt;!/'("</f>
        <v>#VALUE!</v>
      </c>
      <c r="BN249" t="e">
        <f>Europe!D10+"n/&gt;!/')"</f>
        <v>#VALUE!</v>
      </c>
      <c r="BO249" t="e">
        <f>Europe!E10+"n/&gt;!/'."</f>
        <v>#VALUE!</v>
      </c>
      <c r="BP249" t="e">
        <f>Europe!F10+"n/&gt;!/'/"</f>
        <v>#VALUE!</v>
      </c>
      <c r="BQ249" t="e">
        <f>Europe!G10+"n/&gt;!/'0"</f>
        <v>#VALUE!</v>
      </c>
      <c r="BR249" t="e">
        <f>Europe!H10+"n/&gt;!/'1"</f>
        <v>#VALUE!</v>
      </c>
      <c r="BS249" t="e">
        <f>Europe!I10+"n/&gt;!/'2"</f>
        <v>#VALUE!</v>
      </c>
      <c r="BT249" t="e">
        <f>Europe!A11+"n/&gt;!/'3"</f>
        <v>#VALUE!</v>
      </c>
      <c r="BU249" t="e">
        <f>Europe!B11+"n/&gt;!/'4"</f>
        <v>#VALUE!</v>
      </c>
      <c r="BV249" t="e">
        <f>Europe!C11+"n/&gt;!/'5"</f>
        <v>#VALUE!</v>
      </c>
      <c r="BW249" t="e">
        <f>Europe!D11+"n/&gt;!/'6"</f>
        <v>#VALUE!</v>
      </c>
      <c r="BX249" t="e">
        <f>Europe!E11+"n/&gt;!/'7"</f>
        <v>#VALUE!</v>
      </c>
      <c r="BY249" t="e">
        <f>Europe!F11+"n/&gt;!/'8"</f>
        <v>#VALUE!</v>
      </c>
      <c r="BZ249" t="e">
        <f>Europe!G11+"n/&gt;!/'9"</f>
        <v>#VALUE!</v>
      </c>
      <c r="CA249" t="e">
        <f>Europe!H11+"n/&gt;!/':"</f>
        <v>#VALUE!</v>
      </c>
      <c r="CB249" t="e">
        <f>Europe!I11+"n/&gt;!/';"</f>
        <v>#VALUE!</v>
      </c>
      <c r="CC249" t="e">
        <f>Europe!A12+"n/&gt;!/'&lt;"</f>
        <v>#VALUE!</v>
      </c>
      <c r="CD249" t="e">
        <f>Europe!B12+"n/&gt;!/'="</f>
        <v>#VALUE!</v>
      </c>
      <c r="CE249" t="e">
        <f>Europe!C12+"n/&gt;!/'&gt;"</f>
        <v>#VALUE!</v>
      </c>
      <c r="CF249" t="e">
        <f>Europe!D12+"n/&gt;!/'?"</f>
        <v>#VALUE!</v>
      </c>
      <c r="CG249" t="e">
        <f>Europe!E12+"n/&gt;!/'@"</f>
        <v>#VALUE!</v>
      </c>
      <c r="CH249" t="e">
        <f>Europe!F12+"n/&gt;!/'A"</f>
        <v>#VALUE!</v>
      </c>
      <c r="CI249" t="e">
        <f>Europe!G12+"n/&gt;!/'B"</f>
        <v>#VALUE!</v>
      </c>
      <c r="CJ249" t="e">
        <f>Europe!H12+"n/&gt;!/'C"</f>
        <v>#VALUE!</v>
      </c>
      <c r="CK249" t="e">
        <f>Europe!I12+"n/&gt;!/'D"</f>
        <v>#VALUE!</v>
      </c>
      <c r="CL249" t="e">
        <f>Europe!A13+"n/&gt;!/'E"</f>
        <v>#VALUE!</v>
      </c>
      <c r="CM249" t="e">
        <f>Europe!B13+"n/&gt;!/'F"</f>
        <v>#VALUE!</v>
      </c>
      <c r="CN249" t="e">
        <f>Europe!C13+"n/&gt;!/'G"</f>
        <v>#VALUE!</v>
      </c>
      <c r="CO249" t="e">
        <f>Europe!D13+"n/&gt;!/'H"</f>
        <v>#VALUE!</v>
      </c>
      <c r="CP249" t="e">
        <f>Europe!E13+"n/&gt;!/'I"</f>
        <v>#VALUE!</v>
      </c>
      <c r="CQ249" t="e">
        <f>Europe!F13+"n/&gt;!/'J"</f>
        <v>#VALUE!</v>
      </c>
      <c r="CR249" t="e">
        <f>Europe!G13+"n/&gt;!/'K"</f>
        <v>#VALUE!</v>
      </c>
      <c r="CS249" t="e">
        <f>Europe!H13+"n/&gt;!/'L"</f>
        <v>#VALUE!</v>
      </c>
      <c r="CT249" t="e">
        <f>Europe!I13+"n/&gt;!/'M"</f>
        <v>#VALUE!</v>
      </c>
      <c r="CU249" t="e">
        <f>Europe!A14+"n/&gt;!/'N"</f>
        <v>#VALUE!</v>
      </c>
      <c r="CV249" t="e">
        <f>Europe!B14+"n/&gt;!/'O"</f>
        <v>#VALUE!</v>
      </c>
      <c r="CW249" t="e">
        <f>Europe!C14+"n/&gt;!/'P"</f>
        <v>#VALUE!</v>
      </c>
      <c r="CX249" t="e">
        <f>Europe!D14+"n/&gt;!/'Q"</f>
        <v>#VALUE!</v>
      </c>
      <c r="CY249" t="e">
        <f>Europe!E14+"n/&gt;!/'R"</f>
        <v>#VALUE!</v>
      </c>
      <c r="CZ249" t="e">
        <f>Europe!F14+"n/&gt;!/'S"</f>
        <v>#VALUE!</v>
      </c>
      <c r="DA249" t="e">
        <f>Europe!G14+"n/&gt;!/'T"</f>
        <v>#VALUE!</v>
      </c>
      <c r="DB249" t="e">
        <f>Europe!H14+"n/&gt;!/'U"</f>
        <v>#VALUE!</v>
      </c>
      <c r="DC249" t="e">
        <f>Europe!I14+"n/&gt;!/'V"</f>
        <v>#VALUE!</v>
      </c>
      <c r="DD249" t="e">
        <f>Europe!A15+"n/&gt;!/'W"</f>
        <v>#VALUE!</v>
      </c>
      <c r="DE249" t="e">
        <f>Europe!B15+"n/&gt;!/'X"</f>
        <v>#VALUE!</v>
      </c>
      <c r="DF249" t="e">
        <f>Europe!C15+"n/&gt;!/'Y"</f>
        <v>#VALUE!</v>
      </c>
      <c r="DG249" t="e">
        <f>Europe!D15+"n/&gt;!/'Z"</f>
        <v>#VALUE!</v>
      </c>
      <c r="DH249" t="e">
        <f>Europe!E15+"n/&gt;!/'["</f>
        <v>#VALUE!</v>
      </c>
      <c r="DI249" t="e">
        <f>Europe!F15+"n/&gt;!/'\"</f>
        <v>#VALUE!</v>
      </c>
      <c r="DJ249" t="e">
        <f>Europe!G15+"n/&gt;!/']"</f>
        <v>#VALUE!</v>
      </c>
      <c r="DK249" t="e">
        <f>Europe!H15+"n/&gt;!/'^"</f>
        <v>#VALUE!</v>
      </c>
      <c r="DL249" t="e">
        <f>Europe!I15+"n/&gt;!/'_"</f>
        <v>#VALUE!</v>
      </c>
      <c r="DM249" t="e">
        <f>Europe!A16+"n/&gt;!/'`"</f>
        <v>#VALUE!</v>
      </c>
      <c r="DN249" t="e">
        <f>Europe!B16+"n/&gt;!/'a"</f>
        <v>#VALUE!</v>
      </c>
      <c r="DO249" t="e">
        <f>Europe!C16+"n/&gt;!/'b"</f>
        <v>#VALUE!</v>
      </c>
      <c r="DP249" t="e">
        <f>Europe!D16+"n/&gt;!/'c"</f>
        <v>#VALUE!</v>
      </c>
      <c r="DQ249" t="e">
        <f>Europe!E16+"n/&gt;!/'d"</f>
        <v>#VALUE!</v>
      </c>
      <c r="DR249" t="e">
        <f>Europe!F16+"n/&gt;!/'e"</f>
        <v>#VALUE!</v>
      </c>
      <c r="DS249" t="e">
        <f>Europe!G16+"n/&gt;!/'f"</f>
        <v>#VALUE!</v>
      </c>
      <c r="DT249" t="e">
        <f>Europe!H16+"n/&gt;!/'g"</f>
        <v>#VALUE!</v>
      </c>
      <c r="DU249" t="e">
        <f>Europe!I16+"n/&gt;!/'h"</f>
        <v>#VALUE!</v>
      </c>
      <c r="DV249" t="e">
        <f>Europe!A17+"n/&gt;!/'i"</f>
        <v>#VALUE!</v>
      </c>
      <c r="DW249" t="e">
        <f>Europe!B17+"n/&gt;!/'j"</f>
        <v>#VALUE!</v>
      </c>
      <c r="DX249" t="e">
        <f>Europe!C17+"n/&gt;!/'k"</f>
        <v>#VALUE!</v>
      </c>
      <c r="DY249" t="e">
        <f>Europe!D17+"n/&gt;!/'l"</f>
        <v>#VALUE!</v>
      </c>
      <c r="DZ249" t="e">
        <f>Europe!E17+"n/&gt;!/'m"</f>
        <v>#VALUE!</v>
      </c>
      <c r="EA249" t="e">
        <f>Europe!F17+"n/&gt;!/'n"</f>
        <v>#VALUE!</v>
      </c>
      <c r="EB249" t="e">
        <f>Europe!G17+"n/&gt;!/'o"</f>
        <v>#VALUE!</v>
      </c>
      <c r="EC249" t="e">
        <f>Europe!H17+"n/&gt;!/'p"</f>
        <v>#VALUE!</v>
      </c>
      <c r="ED249" t="e">
        <f>Europe!I17+"n/&gt;!/'q"</f>
        <v>#VALUE!</v>
      </c>
      <c r="EE249" t="e">
        <f>Europe!A18+"n/&gt;!/'r"</f>
        <v>#VALUE!</v>
      </c>
      <c r="EF249" t="e">
        <f>Europe!B18+"n/&gt;!/'s"</f>
        <v>#VALUE!</v>
      </c>
      <c r="EG249" t="e">
        <f>Europe!C18+"n/&gt;!/'t"</f>
        <v>#VALUE!</v>
      </c>
      <c r="EH249" t="e">
        <f>Europe!D18+"n/&gt;!/'u"</f>
        <v>#VALUE!</v>
      </c>
      <c r="EI249" t="e">
        <f>Europe!E18+"n/&gt;!/'v"</f>
        <v>#VALUE!</v>
      </c>
      <c r="EJ249" t="e">
        <f>Europe!F18+"n/&gt;!/'w"</f>
        <v>#VALUE!</v>
      </c>
      <c r="EK249" t="e">
        <f>Europe!G18+"n/&gt;!/'x"</f>
        <v>#VALUE!</v>
      </c>
      <c r="EL249" t="e">
        <f>Europe!H18+"n/&gt;!/'y"</f>
        <v>#VALUE!</v>
      </c>
      <c r="EM249" t="e">
        <f>Europe!I18+"n/&gt;!/'z"</f>
        <v>#VALUE!</v>
      </c>
      <c r="EN249" t="e">
        <f>Europe!A19+"n/&gt;!/'{"</f>
        <v>#VALUE!</v>
      </c>
      <c r="EO249" t="e">
        <f>Europe!B19+"n/&gt;!/'|"</f>
        <v>#VALUE!</v>
      </c>
      <c r="EP249" t="e">
        <f>Europe!C19+"n/&gt;!/'}"</f>
        <v>#VALUE!</v>
      </c>
      <c r="EQ249" t="e">
        <f>Europe!D19+"n/&gt;!/'~"</f>
        <v>#VALUE!</v>
      </c>
      <c r="ER249" t="e">
        <f>Europe!E19+"n/&gt;!/(#"</f>
        <v>#VALUE!</v>
      </c>
      <c r="ES249" t="e">
        <f>Europe!F19+"n/&gt;!/($"</f>
        <v>#VALUE!</v>
      </c>
      <c r="ET249" t="e">
        <f>Europe!G19+"n/&gt;!/(%"</f>
        <v>#VALUE!</v>
      </c>
      <c r="EU249" t="e">
        <f>Europe!H19+"n/&gt;!/(&amp;"</f>
        <v>#VALUE!</v>
      </c>
      <c r="EV249" t="e">
        <f>Europe!I19+"n/&gt;!/('"</f>
        <v>#VALUE!</v>
      </c>
      <c r="EW249" t="e">
        <f>Europe!A20+"n/&gt;!/(("</f>
        <v>#VALUE!</v>
      </c>
      <c r="EX249" t="e">
        <f>Europe!B20+"n/&gt;!/()"</f>
        <v>#VALUE!</v>
      </c>
      <c r="EY249" t="e">
        <f>Europe!C20+"n/&gt;!/(."</f>
        <v>#VALUE!</v>
      </c>
      <c r="EZ249" t="e">
        <f>Europe!D20+"n/&gt;!/(/"</f>
        <v>#VALUE!</v>
      </c>
      <c r="FA249" t="e">
        <f>Europe!E20+"n/&gt;!/(0"</f>
        <v>#VALUE!</v>
      </c>
      <c r="FB249" t="e">
        <f>Europe!F20+"n/&gt;!/(1"</f>
        <v>#VALUE!</v>
      </c>
      <c r="FC249" t="e">
        <f>Europe!G20+"n/&gt;!/(2"</f>
        <v>#VALUE!</v>
      </c>
      <c r="FD249" t="e">
        <f>Europe!H20+"n/&gt;!/(3"</f>
        <v>#VALUE!</v>
      </c>
      <c r="FE249" t="e">
        <f>Europe!I20+"n/&gt;!/(4"</f>
        <v>#VALUE!</v>
      </c>
      <c r="FF249" t="e">
        <f>Europe!A21+"n/&gt;!/(5"</f>
        <v>#VALUE!</v>
      </c>
      <c r="FG249" t="e">
        <f>Europe!B21+"n/&gt;!/(6"</f>
        <v>#VALUE!</v>
      </c>
      <c r="FH249" t="e">
        <f>Europe!C21+"n/&gt;!/(7"</f>
        <v>#VALUE!</v>
      </c>
      <c r="FI249" t="e">
        <f>Europe!D21+"n/&gt;!/(8"</f>
        <v>#VALUE!</v>
      </c>
      <c r="FJ249" t="e">
        <f>Europe!E21+"n/&gt;!/(9"</f>
        <v>#VALUE!</v>
      </c>
      <c r="FK249" t="e">
        <f>Europe!F21+"n/&gt;!/(:"</f>
        <v>#VALUE!</v>
      </c>
      <c r="FL249" t="e">
        <f>Europe!G21+"n/&gt;!/(;"</f>
        <v>#VALUE!</v>
      </c>
      <c r="FM249" t="e">
        <f>Europe!H21+"n/&gt;!/(&lt;"</f>
        <v>#VALUE!</v>
      </c>
      <c r="FN249" t="e">
        <f>Europe!I21+"n/&gt;!/(="</f>
        <v>#VALUE!</v>
      </c>
      <c r="FO249" t="e">
        <f>Europe!A22+"n/&gt;!/(&gt;"</f>
        <v>#VALUE!</v>
      </c>
      <c r="FP249" t="e">
        <f>Europe!B22+"n/&gt;!/(?"</f>
        <v>#VALUE!</v>
      </c>
      <c r="FQ249" t="e">
        <f>Europe!C22+"n/&gt;!/(@"</f>
        <v>#VALUE!</v>
      </c>
      <c r="FR249" t="e">
        <f>Europe!D22+"n/&gt;!/(A"</f>
        <v>#VALUE!</v>
      </c>
      <c r="FS249" t="e">
        <f>Europe!E22+"n/&gt;!/(B"</f>
        <v>#VALUE!</v>
      </c>
      <c r="FT249" t="e">
        <f>Europe!F22+"n/&gt;!/(C"</f>
        <v>#VALUE!</v>
      </c>
      <c r="FU249" t="e">
        <f>Europe!G22+"n/&gt;!/(D"</f>
        <v>#VALUE!</v>
      </c>
      <c r="FV249" t="e">
        <f>Europe!H22+"n/&gt;!/(E"</f>
        <v>#VALUE!</v>
      </c>
      <c r="FW249" t="e">
        <f>Europe!I22+"n/&gt;!/(F"</f>
        <v>#VALUE!</v>
      </c>
      <c r="FX249" t="e">
        <f>Europe!A23+"n/&gt;!/(G"</f>
        <v>#VALUE!</v>
      </c>
      <c r="FY249" t="e">
        <f>Europe!B23+"n/&gt;!/(H"</f>
        <v>#VALUE!</v>
      </c>
      <c r="FZ249" t="e">
        <f>Europe!C23+"n/&gt;!/(I"</f>
        <v>#VALUE!</v>
      </c>
      <c r="GA249" t="e">
        <f>Europe!D23+"n/&gt;!/(J"</f>
        <v>#VALUE!</v>
      </c>
      <c r="GB249" t="e">
        <f>Europe!E23+"n/&gt;!/(K"</f>
        <v>#VALUE!</v>
      </c>
      <c r="GC249" t="e">
        <f>Europe!F23+"n/&gt;!/(L"</f>
        <v>#VALUE!</v>
      </c>
      <c r="GD249" t="e">
        <f>Europe!G23+"n/&gt;!/(M"</f>
        <v>#VALUE!</v>
      </c>
      <c r="GE249" t="e">
        <f>Europe!H23+"n/&gt;!/(N"</f>
        <v>#VALUE!</v>
      </c>
      <c r="GF249" t="e">
        <f>Europe!I23+"n/&gt;!/(O"</f>
        <v>#VALUE!</v>
      </c>
      <c r="GG249" t="e">
        <f>Europe!A24+"n/&gt;!/(P"</f>
        <v>#VALUE!</v>
      </c>
      <c r="GH249" t="e">
        <f>Europe!B24+"n/&gt;!/(Q"</f>
        <v>#VALUE!</v>
      </c>
      <c r="GI249" t="e">
        <f>Europe!C24+"n/&gt;!/(R"</f>
        <v>#VALUE!</v>
      </c>
      <c r="GJ249" t="e">
        <f>Europe!D24+"n/&gt;!/(S"</f>
        <v>#VALUE!</v>
      </c>
      <c r="GK249" t="e">
        <f>Europe!E24+"n/&gt;!/(T"</f>
        <v>#VALUE!</v>
      </c>
      <c r="GL249" t="e">
        <f>Europe!F24+"n/&gt;!/(U"</f>
        <v>#VALUE!</v>
      </c>
      <c r="GM249" t="e">
        <f>Europe!G24+"n/&gt;!/(V"</f>
        <v>#VALUE!</v>
      </c>
      <c r="GN249" t="e">
        <f>Europe!H24+"n/&gt;!/(W"</f>
        <v>#VALUE!</v>
      </c>
      <c r="GO249" t="e">
        <f>Europe!I24+"n/&gt;!/(X"</f>
        <v>#VALUE!</v>
      </c>
      <c r="GP249" t="e">
        <f>Europe!A25+"n/&gt;!/(Y"</f>
        <v>#VALUE!</v>
      </c>
      <c r="GQ249" t="e">
        <f>Europe!B25+"n/&gt;!/(Z"</f>
        <v>#VALUE!</v>
      </c>
      <c r="GR249" t="e">
        <f>Europe!C25+"n/&gt;!/(["</f>
        <v>#VALUE!</v>
      </c>
      <c r="GS249" t="e">
        <f>Europe!D25+"n/&gt;!/(\"</f>
        <v>#VALUE!</v>
      </c>
      <c r="GT249" t="e">
        <f>Europe!E25+"n/&gt;!/(]"</f>
        <v>#VALUE!</v>
      </c>
      <c r="GU249" t="e">
        <f>Europe!F25+"n/&gt;!/(^"</f>
        <v>#VALUE!</v>
      </c>
      <c r="GV249" t="e">
        <f>Europe!G25+"n/&gt;!/(_"</f>
        <v>#VALUE!</v>
      </c>
      <c r="GW249" t="e">
        <f>Europe!H25+"n/&gt;!/(`"</f>
        <v>#VALUE!</v>
      </c>
      <c r="GX249" t="e">
        <f>Europe!I25+"n/&gt;!/(a"</f>
        <v>#VALUE!</v>
      </c>
      <c r="GY249" t="e">
        <f>Europe!A26+"n/&gt;!/(b"</f>
        <v>#VALUE!</v>
      </c>
      <c r="GZ249" t="e">
        <f>Europe!B26+"n/&gt;!/(c"</f>
        <v>#VALUE!</v>
      </c>
      <c r="HA249" t="e">
        <f>Europe!C26+"n/&gt;!/(d"</f>
        <v>#VALUE!</v>
      </c>
      <c r="HB249" t="e">
        <f>Europe!D26+"n/&gt;!/(e"</f>
        <v>#VALUE!</v>
      </c>
      <c r="HC249" t="e">
        <f>Europe!E26+"n/&gt;!/(f"</f>
        <v>#VALUE!</v>
      </c>
      <c r="HD249" t="e">
        <f>Europe!F26+"n/&gt;!/(g"</f>
        <v>#VALUE!</v>
      </c>
      <c r="HE249" t="e">
        <f>Europe!G26+"n/&gt;!/(h"</f>
        <v>#VALUE!</v>
      </c>
      <c r="HF249" t="e">
        <f>Europe!H26+"n/&gt;!/(i"</f>
        <v>#VALUE!</v>
      </c>
      <c r="HG249" t="e">
        <f>Europe!I26+"n/&gt;!/(j"</f>
        <v>#VALUE!</v>
      </c>
      <c r="HH249" t="e">
        <f>Europe!A27+"n/&gt;!/(k"</f>
        <v>#VALUE!</v>
      </c>
      <c r="HI249" t="e">
        <f>Europe!B27+"n/&gt;!/(l"</f>
        <v>#VALUE!</v>
      </c>
      <c r="HJ249" t="e">
        <f>Europe!C27+"n/&gt;!/(m"</f>
        <v>#VALUE!</v>
      </c>
      <c r="HK249" t="e">
        <f>Europe!D27+"n/&gt;!/(n"</f>
        <v>#VALUE!</v>
      </c>
      <c r="HL249" t="e">
        <f>Europe!E27+"n/&gt;!/(o"</f>
        <v>#VALUE!</v>
      </c>
      <c r="HM249" t="e">
        <f>Europe!F27+"n/&gt;!/(p"</f>
        <v>#VALUE!</v>
      </c>
      <c r="HN249" t="e">
        <f>Europe!G27+"n/&gt;!/(q"</f>
        <v>#VALUE!</v>
      </c>
      <c r="HO249" t="e">
        <f>Europe!H27+"n/&gt;!/(r"</f>
        <v>#VALUE!</v>
      </c>
      <c r="HP249" t="e">
        <f>Europe!I27+"n/&gt;!/(s"</f>
        <v>#VALUE!</v>
      </c>
      <c r="HQ249" t="e">
        <f>Europe!A28+"n/&gt;!/(t"</f>
        <v>#VALUE!</v>
      </c>
      <c r="HR249" t="e">
        <f>Europe!B28+"n/&gt;!/(u"</f>
        <v>#VALUE!</v>
      </c>
      <c r="HS249" t="e">
        <f>Europe!C28+"n/&gt;!/(v"</f>
        <v>#VALUE!</v>
      </c>
      <c r="HT249" t="e">
        <f>Europe!D28+"n/&gt;!/(w"</f>
        <v>#VALUE!</v>
      </c>
      <c r="HU249" t="e">
        <f>Europe!E28+"n/&gt;!/(x"</f>
        <v>#VALUE!</v>
      </c>
      <c r="HV249" t="e">
        <f>Europe!F28+"n/&gt;!/(y"</f>
        <v>#VALUE!</v>
      </c>
      <c r="HW249" t="e">
        <f>Europe!G28+"n/&gt;!/(z"</f>
        <v>#VALUE!</v>
      </c>
      <c r="HX249" t="e">
        <f>Europe!H28+"n/&gt;!/({"</f>
        <v>#VALUE!</v>
      </c>
      <c r="HY249" t="e">
        <f>Europe!I28+"n/&gt;!/(|"</f>
        <v>#VALUE!</v>
      </c>
      <c r="HZ249" t="e">
        <f>Europe!A29+"n/&gt;!/(}"</f>
        <v>#VALUE!</v>
      </c>
      <c r="IA249" t="e">
        <f>Europe!B29+"n/&gt;!/(~"</f>
        <v>#VALUE!</v>
      </c>
      <c r="IB249" t="e">
        <f>Europe!C29+"n/&gt;!/)#"</f>
        <v>#VALUE!</v>
      </c>
      <c r="IC249" t="e">
        <f>Europe!D29+"n/&gt;!/)$"</f>
        <v>#VALUE!</v>
      </c>
      <c r="ID249" t="e">
        <f>Europe!E29+"n/&gt;!/)%"</f>
        <v>#VALUE!</v>
      </c>
      <c r="IE249" t="e">
        <f>Europe!F29+"n/&gt;!/)&amp;"</f>
        <v>#VALUE!</v>
      </c>
      <c r="IF249" t="e">
        <f>Europe!G29+"n/&gt;!/)'"</f>
        <v>#VALUE!</v>
      </c>
      <c r="IG249" t="e">
        <f>Europe!H29+"n/&gt;!/)("</f>
        <v>#VALUE!</v>
      </c>
      <c r="IH249" t="e">
        <f>Europe!I29+"n/&gt;!/))"</f>
        <v>#VALUE!</v>
      </c>
      <c r="II249" t="e">
        <f>Europe!A30+"n/&gt;!/)."</f>
        <v>#VALUE!</v>
      </c>
      <c r="IJ249" t="e">
        <f>Europe!B30+"n/&gt;!/)/"</f>
        <v>#VALUE!</v>
      </c>
      <c r="IK249" t="e">
        <f>Europe!C30+"n/&gt;!/)0"</f>
        <v>#VALUE!</v>
      </c>
      <c r="IL249" t="e">
        <f>Europe!D30+"n/&gt;!/)1"</f>
        <v>#VALUE!</v>
      </c>
      <c r="IM249" t="e">
        <f>Europe!E30+"n/&gt;!/)2"</f>
        <v>#VALUE!</v>
      </c>
      <c r="IN249" t="e">
        <f>Europe!F30+"n/&gt;!/)3"</f>
        <v>#VALUE!</v>
      </c>
      <c r="IO249" t="e">
        <f>Europe!G30+"n/&gt;!/)4"</f>
        <v>#VALUE!</v>
      </c>
      <c r="IP249" t="e">
        <f>Europe!H30+"n/&gt;!/)5"</f>
        <v>#VALUE!</v>
      </c>
      <c r="IQ249" t="e">
        <f>Europe!I30+"n/&gt;!/)6"</f>
        <v>#VALUE!</v>
      </c>
      <c r="IR249" t="e">
        <f>Europe!A31+"n/&gt;!/)7"</f>
        <v>#VALUE!</v>
      </c>
      <c r="IS249" t="e">
        <f>Europe!B31+"n/&gt;!/)8"</f>
        <v>#VALUE!</v>
      </c>
      <c r="IT249" t="e">
        <f>Europe!C31+"n/&gt;!/)9"</f>
        <v>#VALUE!</v>
      </c>
      <c r="IU249" t="e">
        <f>Europe!D31+"n/&gt;!/):"</f>
        <v>#VALUE!</v>
      </c>
      <c r="IV249" t="e">
        <f>Europe!E31+"n/&gt;!/);"</f>
        <v>#VALUE!</v>
      </c>
    </row>
    <row r="250" spans="6:256" x14ac:dyDescent="0.35">
      <c r="F250" t="e">
        <f>Europe!F31+"n/&gt;!/)&lt;"</f>
        <v>#VALUE!</v>
      </c>
      <c r="G250" t="e">
        <f>Europe!G31+"n/&gt;!/)="</f>
        <v>#VALUE!</v>
      </c>
      <c r="H250" t="e">
        <f>Europe!H31+"n/&gt;!/)&gt;"</f>
        <v>#VALUE!</v>
      </c>
      <c r="I250" t="e">
        <f>Europe!I31+"n/&gt;!/)?"</f>
        <v>#VALUE!</v>
      </c>
      <c r="J250" t="e">
        <f>Europe!A32+"n/&gt;!/)@"</f>
        <v>#VALUE!</v>
      </c>
      <c r="K250" t="e">
        <f>Europe!B32+"n/&gt;!/)A"</f>
        <v>#VALUE!</v>
      </c>
      <c r="L250" t="e">
        <f>Europe!C32+"n/&gt;!/)B"</f>
        <v>#VALUE!</v>
      </c>
      <c r="M250" t="e">
        <f>Europe!D32+"n/&gt;!/)C"</f>
        <v>#VALUE!</v>
      </c>
      <c r="N250" t="e">
        <f>Europe!E32+"n/&gt;!/)D"</f>
        <v>#VALUE!</v>
      </c>
      <c r="O250" t="e">
        <f>Europe!F32+"n/&gt;!/)E"</f>
        <v>#VALUE!</v>
      </c>
      <c r="P250" t="e">
        <f>Europe!G32+"n/&gt;!/)F"</f>
        <v>#VALUE!</v>
      </c>
      <c r="Q250" t="e">
        <f>Europe!H32+"n/&gt;!/)G"</f>
        <v>#VALUE!</v>
      </c>
      <c r="R250" t="e">
        <f>Europe!I32+"n/&gt;!/)H"</f>
        <v>#VALUE!</v>
      </c>
      <c r="S250" t="e">
        <f>Europe!A33+"n/&gt;!/)I"</f>
        <v>#VALUE!</v>
      </c>
      <c r="T250" t="e">
        <f>Europe!B33+"n/&gt;!/)J"</f>
        <v>#VALUE!</v>
      </c>
      <c r="U250" t="e">
        <f>Europe!C33+"n/&gt;!/)K"</f>
        <v>#VALUE!</v>
      </c>
      <c r="V250" t="e">
        <f>Europe!D33+"n/&gt;!/)L"</f>
        <v>#VALUE!</v>
      </c>
      <c r="W250" t="e">
        <f>Europe!E33+"n/&gt;!/)M"</f>
        <v>#VALUE!</v>
      </c>
      <c r="X250" t="e">
        <f>Europe!F33+"n/&gt;!/)N"</f>
        <v>#VALUE!</v>
      </c>
      <c r="Y250" t="e">
        <f>Europe!G33+"n/&gt;!/)O"</f>
        <v>#VALUE!</v>
      </c>
      <c r="Z250" t="e">
        <f>Europe!H33+"n/&gt;!/)P"</f>
        <v>#VALUE!</v>
      </c>
      <c r="AA250" t="e">
        <f>Europe!I33+"n/&gt;!/)Q"</f>
        <v>#VALUE!</v>
      </c>
      <c r="AB250" t="e">
        <f>Europe!A34+"n/&gt;!/)R"</f>
        <v>#VALUE!</v>
      </c>
      <c r="AC250" t="e">
        <f>Europe!B34+"n/&gt;!/)S"</f>
        <v>#VALUE!</v>
      </c>
      <c r="AD250" t="e">
        <f>Europe!C34+"n/&gt;!/)T"</f>
        <v>#VALUE!</v>
      </c>
      <c r="AE250" t="e">
        <f>Europe!D34+"n/&gt;!/)U"</f>
        <v>#VALUE!</v>
      </c>
      <c r="AF250" t="e">
        <f>Europe!E34+"n/&gt;!/)V"</f>
        <v>#VALUE!</v>
      </c>
      <c r="AG250" t="e">
        <f>Europe!F34+"n/&gt;!/)W"</f>
        <v>#VALUE!</v>
      </c>
      <c r="AH250" t="e">
        <f>Europe!G34+"n/&gt;!/)X"</f>
        <v>#VALUE!</v>
      </c>
      <c r="AI250" t="e">
        <f>Europe!H34+"n/&gt;!/)Y"</f>
        <v>#VALUE!</v>
      </c>
      <c r="AJ250" t="e">
        <f>Europe!I34+"n/&gt;!/)Z"</f>
        <v>#VALUE!</v>
      </c>
      <c r="AK250" t="e">
        <f>Europe!A35+"n/&gt;!/)["</f>
        <v>#VALUE!</v>
      </c>
      <c r="AL250" t="e">
        <f>Europe!B35+"n/&gt;!/)\"</f>
        <v>#VALUE!</v>
      </c>
      <c r="AM250" t="e">
        <f>Europe!C35+"n/&gt;!/)]"</f>
        <v>#VALUE!</v>
      </c>
      <c r="AN250" t="e">
        <f>Europe!D35+"n/&gt;!/)^"</f>
        <v>#VALUE!</v>
      </c>
      <c r="AO250" t="e">
        <f>Europe!E35+"n/&gt;!/)_"</f>
        <v>#VALUE!</v>
      </c>
      <c r="AP250" t="e">
        <f>Europe!F35+"n/&gt;!/)`"</f>
        <v>#VALUE!</v>
      </c>
      <c r="AQ250" t="e">
        <f>Europe!G35+"n/&gt;!/)a"</f>
        <v>#VALUE!</v>
      </c>
      <c r="AR250" t="e">
        <f>Europe!H35+"n/&gt;!/)b"</f>
        <v>#VALUE!</v>
      </c>
      <c r="AS250" t="e">
        <f>Europe!I35+"n/&gt;!/)c"</f>
        <v>#VALUE!</v>
      </c>
      <c r="AT250" t="e">
        <f>Europe!A36+"n/&gt;!/)d"</f>
        <v>#VALUE!</v>
      </c>
      <c r="AU250" t="e">
        <f>Europe!B36+"n/&gt;!/)e"</f>
        <v>#VALUE!</v>
      </c>
      <c r="AV250" t="e">
        <f>Europe!C36+"n/&gt;!/)f"</f>
        <v>#VALUE!</v>
      </c>
      <c r="AW250" t="e">
        <f>Europe!D36+"n/&gt;!/)g"</f>
        <v>#VALUE!</v>
      </c>
      <c r="AX250" t="e">
        <f>Europe!E36+"n/&gt;!/)h"</f>
        <v>#VALUE!</v>
      </c>
      <c r="AY250" t="e">
        <f>Europe!F36+"n/&gt;!/)i"</f>
        <v>#VALUE!</v>
      </c>
      <c r="AZ250" t="e">
        <f>Europe!G36+"n/&gt;!/)j"</f>
        <v>#VALUE!</v>
      </c>
      <c r="BA250" t="e">
        <f>Europe!H36+"n/&gt;!/)k"</f>
        <v>#VALUE!</v>
      </c>
      <c r="BB250" t="e">
        <f>Europe!I36+"n/&gt;!/)l"</f>
        <v>#VALUE!</v>
      </c>
      <c r="BC250" t="e">
        <f>Europe!A37+"n/&gt;!/)m"</f>
        <v>#VALUE!</v>
      </c>
      <c r="BD250" t="e">
        <f>Europe!B37+"n/&gt;!/)n"</f>
        <v>#VALUE!</v>
      </c>
      <c r="BE250" t="e">
        <f>Europe!C37+"n/&gt;!/)o"</f>
        <v>#VALUE!</v>
      </c>
      <c r="BF250" t="e">
        <f>Europe!D37+"n/&gt;!/)p"</f>
        <v>#VALUE!</v>
      </c>
      <c r="BG250" t="e">
        <f>Europe!E37+"n/&gt;!/)q"</f>
        <v>#VALUE!</v>
      </c>
      <c r="BH250" t="e">
        <f>Europe!F37+"n/&gt;!/)r"</f>
        <v>#VALUE!</v>
      </c>
      <c r="BI250" t="e">
        <f>Europe!G37+"n/&gt;!/)s"</f>
        <v>#VALUE!</v>
      </c>
      <c r="BJ250" t="e">
        <f>Europe!H37+"n/&gt;!/)t"</f>
        <v>#VALUE!</v>
      </c>
      <c r="BK250" t="e">
        <f>Europe!I37+"n/&gt;!/)u"</f>
        <v>#VALUE!</v>
      </c>
      <c r="BL250" t="e">
        <f>Europe!A38+"n/&gt;!/)v"</f>
        <v>#VALUE!</v>
      </c>
      <c r="BM250" t="e">
        <f>Europe!B38+"n/&gt;!/)w"</f>
        <v>#VALUE!</v>
      </c>
      <c r="BN250" t="e">
        <f>Europe!C38+"n/&gt;!/)x"</f>
        <v>#VALUE!</v>
      </c>
      <c r="BO250" t="e">
        <f>Europe!D38+"n/&gt;!/)y"</f>
        <v>#VALUE!</v>
      </c>
      <c r="BP250" t="e">
        <f>Europe!E38+"n/&gt;!/)z"</f>
        <v>#VALUE!</v>
      </c>
      <c r="BQ250" t="e">
        <f>Europe!F38+"n/&gt;!/){"</f>
        <v>#VALUE!</v>
      </c>
      <c r="BR250" t="e">
        <f>Europe!G38+"n/&gt;!/)|"</f>
        <v>#VALUE!</v>
      </c>
      <c r="BS250" t="e">
        <f>Europe!H38+"n/&gt;!/)}"</f>
        <v>#VALUE!</v>
      </c>
      <c r="BT250" t="e">
        <f>Europe!I38+"n/&gt;!/)~"</f>
        <v>#VALUE!</v>
      </c>
      <c r="BU250" t="e">
        <f>Europe!A39+"n/&gt;!/.#"</f>
        <v>#VALUE!</v>
      </c>
      <c r="BV250" t="e">
        <f>Europe!B39+"n/&gt;!/.$"</f>
        <v>#VALUE!</v>
      </c>
      <c r="BW250" t="e">
        <f>Europe!C39+"n/&gt;!/.%"</f>
        <v>#VALUE!</v>
      </c>
      <c r="BX250" t="e">
        <f>Europe!D39+"n/&gt;!/.&amp;"</f>
        <v>#VALUE!</v>
      </c>
      <c r="BY250" t="e">
        <f>Europe!E39+"n/&gt;!/.'"</f>
        <v>#VALUE!</v>
      </c>
      <c r="BZ250" t="e">
        <f>Europe!F39+"n/&gt;!/.("</f>
        <v>#VALUE!</v>
      </c>
      <c r="CA250" t="e">
        <f>Europe!G39+"n/&gt;!/.)"</f>
        <v>#VALUE!</v>
      </c>
      <c r="CB250" t="e">
        <f>Europe!H39+"n/&gt;!/.."</f>
        <v>#VALUE!</v>
      </c>
      <c r="CC250" t="e">
        <f>Europe!I39+"n/&gt;!/./"</f>
        <v>#VALUE!</v>
      </c>
      <c r="CD250" t="e">
        <f>Europe!A40+"n/&gt;!/.0"</f>
        <v>#VALUE!</v>
      </c>
      <c r="CE250" t="e">
        <f>Europe!B40+"n/&gt;!/.1"</f>
        <v>#VALUE!</v>
      </c>
      <c r="CF250" t="e">
        <f>Europe!C40+"n/&gt;!/.2"</f>
        <v>#VALUE!</v>
      </c>
      <c r="CG250" t="e">
        <f>Europe!D40+"n/&gt;!/.3"</f>
        <v>#VALUE!</v>
      </c>
      <c r="CH250" t="e">
        <f>Europe!E40+"n/&gt;!/.4"</f>
        <v>#VALUE!</v>
      </c>
      <c r="CI250" t="e">
        <f>Europe!F40+"n/&gt;!/.5"</f>
        <v>#VALUE!</v>
      </c>
      <c r="CJ250" t="e">
        <f>Europe!G40+"n/&gt;!/.6"</f>
        <v>#VALUE!</v>
      </c>
      <c r="CK250" t="e">
        <f>Europe!H40+"n/&gt;!/.7"</f>
        <v>#VALUE!</v>
      </c>
      <c r="CL250" t="e">
        <f>Europe!I40+"n/&gt;!/.8"</f>
        <v>#VALUE!</v>
      </c>
      <c r="CM250" t="e">
        <f>Europe!A41+"n/&gt;!/.9"</f>
        <v>#VALUE!</v>
      </c>
      <c r="CN250" t="e">
        <f>Europe!B41+"n/&gt;!/.:"</f>
        <v>#VALUE!</v>
      </c>
      <c r="CO250" t="e">
        <f>Europe!C41+"n/&gt;!/.;"</f>
        <v>#VALUE!</v>
      </c>
      <c r="CP250" t="e">
        <f>Europe!D41+"n/&gt;!/.&lt;"</f>
        <v>#VALUE!</v>
      </c>
      <c r="CQ250" t="e">
        <f>Europe!E41+"n/&gt;!/.="</f>
        <v>#VALUE!</v>
      </c>
      <c r="CR250" t="e">
        <f>Europe!F41+"n/&gt;!/.&gt;"</f>
        <v>#VALUE!</v>
      </c>
      <c r="CS250" t="e">
        <f>Europe!G41+"n/&gt;!/.?"</f>
        <v>#VALUE!</v>
      </c>
      <c r="CT250" t="e">
        <f>Europe!H41+"n/&gt;!/.@"</f>
        <v>#VALUE!</v>
      </c>
      <c r="CU250" t="e">
        <f>Europe!I41+"n/&gt;!/.A"</f>
        <v>#VALUE!</v>
      </c>
      <c r="CV250" t="e">
        <f>Europe!A42+"n/&gt;!/.B"</f>
        <v>#VALUE!</v>
      </c>
      <c r="CW250" t="e">
        <f>Europe!B42+"n/&gt;!/.C"</f>
        <v>#VALUE!</v>
      </c>
      <c r="CX250" t="e">
        <f>Europe!C42+"n/&gt;!/.D"</f>
        <v>#VALUE!</v>
      </c>
      <c r="CY250" t="e">
        <f>Europe!D42+"n/&gt;!/.E"</f>
        <v>#VALUE!</v>
      </c>
      <c r="CZ250" t="e">
        <f>Europe!E42+"n/&gt;!/.F"</f>
        <v>#VALUE!</v>
      </c>
      <c r="DA250" t="e">
        <f>Europe!F42+"n/&gt;!/.G"</f>
        <v>#VALUE!</v>
      </c>
      <c r="DB250" t="e">
        <f>Europe!G42+"n/&gt;!/.H"</f>
        <v>#VALUE!</v>
      </c>
      <c r="DC250" t="e">
        <f>Europe!H42+"n/&gt;!/.I"</f>
        <v>#VALUE!</v>
      </c>
      <c r="DD250" t="e">
        <f>Europe!I42+"n/&gt;!/.J"</f>
        <v>#VALUE!</v>
      </c>
      <c r="DE250" t="e">
        <f>Europe!A43+"n/&gt;!/.K"</f>
        <v>#VALUE!</v>
      </c>
      <c r="DF250" t="e">
        <f>Europe!B43+"n/&gt;!/.L"</f>
        <v>#VALUE!</v>
      </c>
      <c r="DG250" t="e">
        <f>Europe!C43+"n/&gt;!/.M"</f>
        <v>#VALUE!</v>
      </c>
      <c r="DH250" t="e">
        <f>Europe!D43+"n/&gt;!/.N"</f>
        <v>#VALUE!</v>
      </c>
      <c r="DI250" t="e">
        <f>Europe!E43+"n/&gt;!/.O"</f>
        <v>#VALUE!</v>
      </c>
      <c r="DJ250" t="e">
        <f>Europe!F43+"n/&gt;!/.P"</f>
        <v>#VALUE!</v>
      </c>
      <c r="DK250" t="e">
        <f>Europe!G43+"n/&gt;!/.Q"</f>
        <v>#VALUE!</v>
      </c>
      <c r="DL250" t="e">
        <f>Europe!H43+"n/&gt;!/.R"</f>
        <v>#VALUE!</v>
      </c>
      <c r="DM250" t="e">
        <f>Europe!I43+"n/&gt;!/.S"</f>
        <v>#VALUE!</v>
      </c>
      <c r="DN250" t="e">
        <f>Europe!A44+"n/&gt;!/.T"</f>
        <v>#VALUE!</v>
      </c>
      <c r="DO250" t="e">
        <f>Europe!B44+"n/&gt;!/.U"</f>
        <v>#VALUE!</v>
      </c>
      <c r="DP250" t="e">
        <f>Europe!C44+"n/&gt;!/.V"</f>
        <v>#VALUE!</v>
      </c>
      <c r="DQ250" t="e">
        <f>Europe!D44+"n/&gt;!/.W"</f>
        <v>#VALUE!</v>
      </c>
      <c r="DR250" t="e">
        <f>Europe!E44+"n/&gt;!/.X"</f>
        <v>#VALUE!</v>
      </c>
      <c r="DS250" t="e">
        <f>Europe!F44+"n/&gt;!/.Y"</f>
        <v>#VALUE!</v>
      </c>
      <c r="DT250" t="e">
        <f>Europe!G44+"n/&gt;!/.Z"</f>
        <v>#VALUE!</v>
      </c>
      <c r="DU250" t="e">
        <f>Europe!H44+"n/&gt;!/.["</f>
        <v>#VALUE!</v>
      </c>
      <c r="DV250" t="e">
        <f>Europe!I44+"n/&gt;!/.\"</f>
        <v>#VALUE!</v>
      </c>
      <c r="DW250" t="e">
        <f>Europe!A45+"n/&gt;!/.]"</f>
        <v>#VALUE!</v>
      </c>
      <c r="DX250" t="e">
        <f>Europe!B45+"n/&gt;!/.^"</f>
        <v>#VALUE!</v>
      </c>
      <c r="DY250" t="e">
        <f>Europe!C45+"n/&gt;!/._"</f>
        <v>#VALUE!</v>
      </c>
      <c r="DZ250" t="e">
        <f>Europe!D45+"n/&gt;!/.`"</f>
        <v>#VALUE!</v>
      </c>
      <c r="EA250" t="e">
        <f>Europe!E45+"n/&gt;!/.a"</f>
        <v>#VALUE!</v>
      </c>
      <c r="EB250" t="e">
        <f>Europe!F45+"n/&gt;!/.b"</f>
        <v>#VALUE!</v>
      </c>
      <c r="EC250" t="e">
        <f>Europe!G45+"n/&gt;!/.c"</f>
        <v>#VALUE!</v>
      </c>
      <c r="ED250" t="e">
        <f>Europe!H45+"n/&gt;!/.d"</f>
        <v>#VALUE!</v>
      </c>
      <c r="EE250" t="e">
        <f>Europe!I45+"n/&gt;!/.e"</f>
        <v>#VALUE!</v>
      </c>
      <c r="EF250" t="e">
        <f>Europe!A46+"n/&gt;!/.f"</f>
        <v>#VALUE!</v>
      </c>
      <c r="EG250" t="e">
        <f>Europe!B46+"n/&gt;!/.g"</f>
        <v>#VALUE!</v>
      </c>
      <c r="EH250" t="e">
        <f>Europe!C46+"n/&gt;!/.h"</f>
        <v>#VALUE!</v>
      </c>
      <c r="EI250" t="e">
        <f>Europe!D46+"n/&gt;!/.i"</f>
        <v>#VALUE!</v>
      </c>
      <c r="EJ250" t="e">
        <f>Europe!E46+"n/&gt;!/.j"</f>
        <v>#VALUE!</v>
      </c>
      <c r="EK250" t="e">
        <f>Europe!F46+"n/&gt;!/.k"</f>
        <v>#VALUE!</v>
      </c>
      <c r="EL250" t="e">
        <f>Europe!G46+"n/&gt;!/.l"</f>
        <v>#VALUE!</v>
      </c>
      <c r="EM250" t="e">
        <f>Europe!H46+"n/&gt;!/.m"</f>
        <v>#VALUE!</v>
      </c>
      <c r="EN250" t="e">
        <f>Europe!I46+"n/&gt;!/.n"</f>
        <v>#VALUE!</v>
      </c>
      <c r="EO250" t="e">
        <f>Europe!A47+"n/&gt;!/.o"</f>
        <v>#VALUE!</v>
      </c>
      <c r="EP250" t="e">
        <f>Europe!B47+"n/&gt;!/.p"</f>
        <v>#VALUE!</v>
      </c>
      <c r="EQ250" t="e">
        <f>Europe!C47+"n/&gt;!/.q"</f>
        <v>#VALUE!</v>
      </c>
      <c r="ER250" t="e">
        <f>Europe!D47+"n/&gt;!/.r"</f>
        <v>#VALUE!</v>
      </c>
      <c r="ES250" t="e">
        <f>Europe!E47+"n/&gt;!/.s"</f>
        <v>#VALUE!</v>
      </c>
      <c r="ET250" t="e">
        <f>Europe!F47+"n/&gt;!/.t"</f>
        <v>#VALUE!</v>
      </c>
      <c r="EU250" t="e">
        <f>Europe!G47+"n/&gt;!/.u"</f>
        <v>#VALUE!</v>
      </c>
      <c r="EV250" t="e">
        <f>Europe!H47+"n/&gt;!/.v"</f>
        <v>#VALUE!</v>
      </c>
      <c r="EW250" t="e">
        <f>Europe!I47+"n/&gt;!/.w"</f>
        <v>#VALUE!</v>
      </c>
      <c r="EX250" t="e">
        <f>Europe!A48+"n/&gt;!/.x"</f>
        <v>#VALUE!</v>
      </c>
      <c r="EY250" t="e">
        <f>Europe!B48+"n/&gt;!/.y"</f>
        <v>#VALUE!</v>
      </c>
      <c r="EZ250" t="e">
        <f>Europe!C48+"n/&gt;!/.z"</f>
        <v>#VALUE!</v>
      </c>
      <c r="FA250" t="e">
        <f>Europe!D48+"n/&gt;!/.{"</f>
        <v>#VALUE!</v>
      </c>
      <c r="FB250" t="e">
        <f>Europe!E48+"n/&gt;!/.|"</f>
        <v>#VALUE!</v>
      </c>
      <c r="FC250" t="e">
        <f>Europe!F48+"n/&gt;!/.}"</f>
        <v>#VALUE!</v>
      </c>
      <c r="FD250" t="e">
        <f>Europe!G48+"n/&gt;!/.~"</f>
        <v>#VALUE!</v>
      </c>
      <c r="FE250" t="e">
        <f>Europe!H48+"n/&gt;!//#"</f>
        <v>#VALUE!</v>
      </c>
      <c r="FF250" t="e">
        <f>Europe!I48+"n/&gt;!//$"</f>
        <v>#VALUE!</v>
      </c>
      <c r="FG250" t="e">
        <f>Europe!A49+"n/&gt;!//%"</f>
        <v>#VALUE!</v>
      </c>
      <c r="FH250" t="e">
        <f>Europe!B49+"n/&gt;!//&amp;"</f>
        <v>#VALUE!</v>
      </c>
      <c r="FI250" t="e">
        <f>Europe!C49+"n/&gt;!//'"</f>
        <v>#VALUE!</v>
      </c>
      <c r="FJ250" t="e">
        <f>Europe!D49+"n/&gt;!//("</f>
        <v>#VALUE!</v>
      </c>
      <c r="FK250" t="e">
        <f>Europe!E49+"n/&gt;!//)"</f>
        <v>#VALUE!</v>
      </c>
      <c r="FL250" t="e">
        <f>Europe!F49+"n/&gt;!//."</f>
        <v>#VALUE!</v>
      </c>
      <c r="FM250" t="e">
        <f>Europe!G49+"n/&gt;!///"</f>
        <v>#VALUE!</v>
      </c>
      <c r="FN250" t="e">
        <f>Europe!H49+"n/&gt;!//0"</f>
        <v>#VALUE!</v>
      </c>
      <c r="FO250" t="e">
        <f>Europe!I49+"n/&gt;!//1"</f>
        <v>#VALUE!</v>
      </c>
      <c r="FP250" t="e">
        <f>Europe!A50+"n/&gt;!//2"</f>
        <v>#VALUE!</v>
      </c>
      <c r="FQ250" t="e">
        <f>Europe!B50+"n/&gt;!//3"</f>
        <v>#VALUE!</v>
      </c>
      <c r="FR250" t="e">
        <f>Europe!C50+"n/&gt;!//4"</f>
        <v>#VALUE!</v>
      </c>
      <c r="FS250" t="e">
        <f>Europe!D50+"n/&gt;!//5"</f>
        <v>#VALUE!</v>
      </c>
      <c r="FT250" t="e">
        <f>Europe!E50+"n/&gt;!//6"</f>
        <v>#VALUE!</v>
      </c>
      <c r="FU250" t="e">
        <f>Europe!F50+"n/&gt;!//7"</f>
        <v>#VALUE!</v>
      </c>
      <c r="FV250" t="e">
        <f>Europe!G50+"n/&gt;!//8"</f>
        <v>#VALUE!</v>
      </c>
      <c r="FW250" t="e">
        <f>Europe!H50+"n/&gt;!//9"</f>
        <v>#VALUE!</v>
      </c>
      <c r="FX250" t="e">
        <f>Europe!I50+"n/&gt;!//:"</f>
        <v>#VALUE!</v>
      </c>
      <c r="FY250" t="e">
        <f>Europe!A51+"n/&gt;!//;"</f>
        <v>#VALUE!</v>
      </c>
      <c r="FZ250" t="e">
        <f>Europe!B51+"n/&gt;!//&lt;"</f>
        <v>#VALUE!</v>
      </c>
      <c r="GA250" t="e">
        <f>Europe!C51+"n/&gt;!//="</f>
        <v>#VALUE!</v>
      </c>
      <c r="GB250" t="e">
        <f>Europe!D51+"n/&gt;!//&gt;"</f>
        <v>#VALUE!</v>
      </c>
      <c r="GC250" t="e">
        <f>Europe!E51+"n/&gt;!//?"</f>
        <v>#VALUE!</v>
      </c>
      <c r="GD250" t="e">
        <f>Europe!F51+"n/&gt;!//@"</f>
        <v>#VALUE!</v>
      </c>
      <c r="GE250" t="e">
        <f>Europe!G51+"n/&gt;!//A"</f>
        <v>#VALUE!</v>
      </c>
      <c r="GF250" t="e">
        <f>Europe!H51+"n/&gt;!//B"</f>
        <v>#VALUE!</v>
      </c>
      <c r="GG250" t="e">
        <f>Europe!I51+"n/&gt;!//C"</f>
        <v>#VALUE!</v>
      </c>
      <c r="GH250" t="e">
        <f>Europe!A52+"n/&gt;!//D"</f>
        <v>#VALUE!</v>
      </c>
      <c r="GI250" t="e">
        <f>Europe!B52+"n/&gt;!//E"</f>
        <v>#VALUE!</v>
      </c>
      <c r="GJ250" t="e">
        <f>Europe!C52+"n/&gt;!//F"</f>
        <v>#VALUE!</v>
      </c>
      <c r="GK250" t="e">
        <f>Europe!D52+"n/&gt;!//G"</f>
        <v>#VALUE!</v>
      </c>
      <c r="GL250" t="e">
        <f>Europe!E52+"n/&gt;!//H"</f>
        <v>#VALUE!</v>
      </c>
      <c r="GM250" t="e">
        <f>Europe!F52+"n/&gt;!//I"</f>
        <v>#VALUE!</v>
      </c>
      <c r="GN250" t="e">
        <f>Europe!G52+"n/&gt;!//J"</f>
        <v>#VALUE!</v>
      </c>
      <c r="GO250" t="e">
        <f>Europe!H52+"n/&gt;!//K"</f>
        <v>#VALUE!</v>
      </c>
      <c r="GP250" t="e">
        <f>Europe!I52+"n/&gt;!//L"</f>
        <v>#VALUE!</v>
      </c>
      <c r="GQ250" t="e">
        <f>Europe!A53+"n/&gt;!//M"</f>
        <v>#VALUE!</v>
      </c>
      <c r="GR250" t="e">
        <f>Europe!B53+"n/&gt;!//N"</f>
        <v>#VALUE!</v>
      </c>
      <c r="GS250" t="e">
        <f>Europe!C53+"n/&gt;!//O"</f>
        <v>#VALUE!</v>
      </c>
      <c r="GT250" t="e">
        <f>Europe!D53+"n/&gt;!//P"</f>
        <v>#VALUE!</v>
      </c>
      <c r="GU250" t="e">
        <f>Europe!E53+"n/&gt;!//Q"</f>
        <v>#VALUE!</v>
      </c>
      <c r="GV250" t="e">
        <f>Europe!F53+"n/&gt;!//R"</f>
        <v>#VALUE!</v>
      </c>
      <c r="GW250" t="e">
        <f>Europe!G53+"n/&gt;!//S"</f>
        <v>#VALUE!</v>
      </c>
      <c r="GX250" t="e">
        <f>Europe!H53+"n/&gt;!//T"</f>
        <v>#VALUE!</v>
      </c>
      <c r="GY250" t="e">
        <f>Europe!I53+"n/&gt;!//U"</f>
        <v>#VALUE!</v>
      </c>
      <c r="GZ250" t="e">
        <f>Europe!A54+"n/&gt;!//V"</f>
        <v>#VALUE!</v>
      </c>
      <c r="HA250" t="e">
        <f>Europe!B54+"n/&gt;!//W"</f>
        <v>#VALUE!</v>
      </c>
      <c r="HB250" t="e">
        <f>Europe!C54+"n/&gt;!//X"</f>
        <v>#VALUE!</v>
      </c>
      <c r="HC250" t="e">
        <f>Europe!D54+"n/&gt;!//Y"</f>
        <v>#VALUE!</v>
      </c>
      <c r="HD250" t="e">
        <f>Europe!E54+"n/&gt;!//Z"</f>
        <v>#VALUE!</v>
      </c>
      <c r="HE250" t="e">
        <f>Europe!F54+"n/&gt;!//["</f>
        <v>#VALUE!</v>
      </c>
      <c r="HF250" t="e">
        <f>Europe!G54+"n/&gt;!//\"</f>
        <v>#VALUE!</v>
      </c>
      <c r="HG250" t="e">
        <f>Europe!H54+"n/&gt;!//]"</f>
        <v>#VALUE!</v>
      </c>
      <c r="HH250" t="e">
        <f>Europe!I54+"n/&gt;!//^"</f>
        <v>#VALUE!</v>
      </c>
      <c r="HI250" t="e">
        <f>Europe!A55+"n/&gt;!//_"</f>
        <v>#VALUE!</v>
      </c>
      <c r="HJ250" t="e">
        <f>Europe!B55+"n/&gt;!//`"</f>
        <v>#VALUE!</v>
      </c>
      <c r="HK250" t="e">
        <f>Europe!C55+"n/&gt;!//a"</f>
        <v>#VALUE!</v>
      </c>
      <c r="HL250" t="e">
        <f>Europe!D55+"n/&gt;!//b"</f>
        <v>#VALUE!</v>
      </c>
      <c r="HM250" t="e">
        <f>Europe!E55+"n/&gt;!//c"</f>
        <v>#VALUE!</v>
      </c>
      <c r="HN250" t="e">
        <f>Europe!F55+"n/&gt;!//d"</f>
        <v>#VALUE!</v>
      </c>
      <c r="HO250" t="e">
        <f>Europe!G55+"n/&gt;!//e"</f>
        <v>#VALUE!</v>
      </c>
      <c r="HP250" t="e">
        <f>Europe!H55+"n/&gt;!//f"</f>
        <v>#VALUE!</v>
      </c>
      <c r="HQ250" t="e">
        <f>Europe!I55+"n/&gt;!//g"</f>
        <v>#VALUE!</v>
      </c>
      <c r="HR250" t="e">
        <f>Europe!A56+"n/&gt;!//h"</f>
        <v>#VALUE!</v>
      </c>
      <c r="HS250" t="e">
        <f>Europe!B56+"n/&gt;!//i"</f>
        <v>#VALUE!</v>
      </c>
      <c r="HT250" t="e">
        <f>Europe!C56+"n/&gt;!//j"</f>
        <v>#VALUE!</v>
      </c>
      <c r="HU250" t="e">
        <f>Europe!D56+"n/&gt;!//k"</f>
        <v>#VALUE!</v>
      </c>
      <c r="HV250" t="e">
        <f>Europe!E56+"n/&gt;!//l"</f>
        <v>#VALUE!</v>
      </c>
      <c r="HW250" t="e">
        <f>Europe!F56+"n/&gt;!//m"</f>
        <v>#VALUE!</v>
      </c>
      <c r="HX250" t="e">
        <f>Europe!G56+"n/&gt;!//n"</f>
        <v>#VALUE!</v>
      </c>
      <c r="HY250" t="e">
        <f>Europe!H56+"n/&gt;!//o"</f>
        <v>#VALUE!</v>
      </c>
      <c r="HZ250" t="e">
        <f>Europe!I56+"n/&gt;!//p"</f>
        <v>#VALUE!</v>
      </c>
      <c r="IA250" t="e">
        <f>Europe!A57+"n/&gt;!//q"</f>
        <v>#VALUE!</v>
      </c>
      <c r="IB250" t="e">
        <f>Europe!B57+"n/&gt;!//r"</f>
        <v>#VALUE!</v>
      </c>
      <c r="IC250" t="e">
        <f>Europe!C57+"n/&gt;!//s"</f>
        <v>#VALUE!</v>
      </c>
      <c r="ID250" t="e">
        <f>Europe!D57+"n/&gt;!//t"</f>
        <v>#VALUE!</v>
      </c>
      <c r="IE250" t="e">
        <f>Europe!E57+"n/&gt;!//u"</f>
        <v>#VALUE!</v>
      </c>
      <c r="IF250" t="e">
        <f>Europe!F57+"n/&gt;!//v"</f>
        <v>#VALUE!</v>
      </c>
      <c r="IG250" t="e">
        <f>Europe!G57+"n/&gt;!//w"</f>
        <v>#VALUE!</v>
      </c>
      <c r="IH250" t="e">
        <f>Europe!H57+"n/&gt;!//x"</f>
        <v>#VALUE!</v>
      </c>
      <c r="II250" t="e">
        <f>Europe!I57+"n/&gt;!//y"</f>
        <v>#VALUE!</v>
      </c>
      <c r="IJ250" t="e">
        <f>Europe!A58+"n/&gt;!//z"</f>
        <v>#VALUE!</v>
      </c>
      <c r="IK250" t="e">
        <f>Europe!B58+"n/&gt;!//{"</f>
        <v>#VALUE!</v>
      </c>
      <c r="IL250" t="e">
        <f>Europe!C58+"n/&gt;!//|"</f>
        <v>#VALUE!</v>
      </c>
      <c r="IM250" t="e">
        <f>Europe!D58+"n/&gt;!//}"</f>
        <v>#VALUE!</v>
      </c>
      <c r="IN250" t="e">
        <f>Europe!E58+"n/&gt;!//~"</f>
        <v>#VALUE!</v>
      </c>
      <c r="IO250" t="e">
        <f>Europe!F58+"n/&gt;!/0#"</f>
        <v>#VALUE!</v>
      </c>
      <c r="IP250" t="e">
        <f>Europe!G58+"n/&gt;!/0$"</f>
        <v>#VALUE!</v>
      </c>
      <c r="IQ250" t="e">
        <f>Europe!H58+"n/&gt;!/0%"</f>
        <v>#VALUE!</v>
      </c>
      <c r="IR250" t="e">
        <f>Europe!I58+"n/&gt;!/0&amp;"</f>
        <v>#VALUE!</v>
      </c>
      <c r="IS250" t="e">
        <f>Europe!A59+"n/&gt;!/0'"</f>
        <v>#VALUE!</v>
      </c>
      <c r="IT250" t="e">
        <f>Europe!B59+"n/&gt;!/0("</f>
        <v>#VALUE!</v>
      </c>
      <c r="IU250" t="e">
        <f>Europe!C59+"n/&gt;!/0)"</f>
        <v>#VALUE!</v>
      </c>
      <c r="IV250" t="e">
        <f>Europe!D59+"n/&gt;!/0."</f>
        <v>#VALUE!</v>
      </c>
    </row>
    <row r="251" spans="6:256" x14ac:dyDescent="0.35">
      <c r="F251" t="e">
        <f>Europe!E59+"n/&gt;!/0/"</f>
        <v>#VALUE!</v>
      </c>
      <c r="G251" t="e">
        <f>Europe!F59+"n/&gt;!/00"</f>
        <v>#VALUE!</v>
      </c>
      <c r="H251" t="e">
        <f>Europe!G59+"n/&gt;!/01"</f>
        <v>#VALUE!</v>
      </c>
      <c r="I251" t="e">
        <f>Europe!H59+"n/&gt;!/02"</f>
        <v>#VALUE!</v>
      </c>
      <c r="J251" t="e">
        <f>Europe!I59+"n/&gt;!/03"</f>
        <v>#VALUE!</v>
      </c>
      <c r="K251" t="e">
        <f>Europe!A60+"n/&gt;!/04"</f>
        <v>#VALUE!</v>
      </c>
      <c r="L251" t="e">
        <f>Europe!B60+"n/&gt;!/05"</f>
        <v>#VALUE!</v>
      </c>
      <c r="M251" t="e">
        <f>Europe!C60+"n/&gt;!/06"</f>
        <v>#VALUE!</v>
      </c>
      <c r="N251" t="e">
        <f>Europe!D60+"n/&gt;!/07"</f>
        <v>#VALUE!</v>
      </c>
      <c r="O251" t="e">
        <f>Europe!E60+"n/&gt;!/08"</f>
        <v>#VALUE!</v>
      </c>
      <c r="P251" t="e">
        <f>Europe!F60+"n/&gt;!/09"</f>
        <v>#VALUE!</v>
      </c>
      <c r="Q251" t="e">
        <f>Europe!G60+"n/&gt;!/0:"</f>
        <v>#VALUE!</v>
      </c>
      <c r="R251" t="e">
        <f>Europe!H60+"n/&gt;!/0;"</f>
        <v>#VALUE!</v>
      </c>
      <c r="S251" t="e">
        <f>Europe!I60+"n/&gt;!/0&lt;"</f>
        <v>#VALUE!</v>
      </c>
      <c r="T251" t="e">
        <f>Europe!A61+"n/&gt;!/0="</f>
        <v>#VALUE!</v>
      </c>
      <c r="U251" t="e">
        <f>Europe!B61+"n/&gt;!/0&gt;"</f>
        <v>#VALUE!</v>
      </c>
      <c r="V251" t="e">
        <f>Europe!C61+"n/&gt;!/0?"</f>
        <v>#VALUE!</v>
      </c>
      <c r="W251" t="e">
        <f>Europe!D61+"n/&gt;!/0@"</f>
        <v>#VALUE!</v>
      </c>
      <c r="X251" t="e">
        <f>Europe!E61+"n/&gt;!/0A"</f>
        <v>#VALUE!</v>
      </c>
      <c r="Y251" t="e">
        <f>Europe!F61+"n/&gt;!/0B"</f>
        <v>#VALUE!</v>
      </c>
      <c r="Z251" t="e">
        <f>Europe!G61+"n/&gt;!/0C"</f>
        <v>#VALUE!</v>
      </c>
      <c r="AA251" t="e">
        <f>Europe!H61+"n/&gt;!/0D"</f>
        <v>#VALUE!</v>
      </c>
      <c r="AB251" t="e">
        <f>Europe!I61+"n/&gt;!/0E"</f>
        <v>#VALUE!</v>
      </c>
      <c r="AC251" t="e">
        <f>Europe!A62+"n/&gt;!/0F"</f>
        <v>#VALUE!</v>
      </c>
      <c r="AD251" t="e">
        <f>Europe!B62+"n/&gt;!/0G"</f>
        <v>#VALUE!</v>
      </c>
      <c r="AE251" t="e">
        <f>Europe!C62+"n/&gt;!/0H"</f>
        <v>#VALUE!</v>
      </c>
      <c r="AF251" t="e">
        <f>Europe!D62+"n/&gt;!/0I"</f>
        <v>#VALUE!</v>
      </c>
      <c r="AG251" t="e">
        <f>Europe!E62+"n/&gt;!/0J"</f>
        <v>#VALUE!</v>
      </c>
      <c r="AH251" t="e">
        <f>Europe!F62+"n/&gt;!/0K"</f>
        <v>#VALUE!</v>
      </c>
      <c r="AI251" t="e">
        <f>Europe!G62+"n/&gt;!/0L"</f>
        <v>#VALUE!</v>
      </c>
      <c r="AJ251" t="e">
        <f>Europe!H62+"n/&gt;!/0M"</f>
        <v>#VALUE!</v>
      </c>
      <c r="AK251" t="e">
        <f>Europe!I62+"n/&gt;!/0N"</f>
        <v>#VALUE!</v>
      </c>
      <c r="AL251" t="e">
        <f>Europe!A63+"n/&gt;!/0O"</f>
        <v>#VALUE!</v>
      </c>
      <c r="AM251" t="e">
        <f>Europe!B63+"n/&gt;!/0P"</f>
        <v>#VALUE!</v>
      </c>
      <c r="AN251" t="e">
        <f>Europe!C63+"n/&gt;!/0Q"</f>
        <v>#VALUE!</v>
      </c>
      <c r="AO251" t="e">
        <f>Europe!D63+"n/&gt;!/0R"</f>
        <v>#VALUE!</v>
      </c>
      <c r="AP251" t="e">
        <f>Europe!E63+"n/&gt;!/0S"</f>
        <v>#VALUE!</v>
      </c>
      <c r="AQ251" t="e">
        <f>Europe!F63+"n/&gt;!/0T"</f>
        <v>#VALUE!</v>
      </c>
      <c r="AR251" t="e">
        <f>Europe!G63+"n/&gt;!/0U"</f>
        <v>#VALUE!</v>
      </c>
      <c r="AS251" t="e">
        <f>Europe!H63+"n/&gt;!/0V"</f>
        <v>#VALUE!</v>
      </c>
      <c r="AT251" t="e">
        <f>Europe!I63+"n/&gt;!/0W"</f>
        <v>#VALUE!</v>
      </c>
      <c r="AU251" t="e">
        <f>Europe!A64+"n/&gt;!/0X"</f>
        <v>#VALUE!</v>
      </c>
      <c r="AV251" t="e">
        <f>Europe!B64+"n/&gt;!/0Y"</f>
        <v>#VALUE!</v>
      </c>
      <c r="AW251" t="e">
        <f>Europe!C64+"n/&gt;!/0Z"</f>
        <v>#VALUE!</v>
      </c>
      <c r="AX251" t="e">
        <f>Europe!D64+"n/&gt;!/0["</f>
        <v>#VALUE!</v>
      </c>
      <c r="AY251" t="e">
        <f>Europe!E64+"n/&gt;!/0\"</f>
        <v>#VALUE!</v>
      </c>
      <c r="AZ251" t="e">
        <f>Europe!F64+"n/&gt;!/0]"</f>
        <v>#VALUE!</v>
      </c>
      <c r="BA251" t="e">
        <f>Europe!G64+"n/&gt;!/0^"</f>
        <v>#VALUE!</v>
      </c>
      <c r="BB251" t="e">
        <f>Europe!H64+"n/&gt;!/0_"</f>
        <v>#VALUE!</v>
      </c>
      <c r="BC251" t="e">
        <f>Europe!I64+"n/&gt;!/0`"</f>
        <v>#VALUE!</v>
      </c>
      <c r="BD251" t="e">
        <f>Europe!A65+"n/&gt;!/0a"</f>
        <v>#VALUE!</v>
      </c>
      <c r="BE251" t="e">
        <f>Europe!B65+"n/&gt;!/0b"</f>
        <v>#VALUE!</v>
      </c>
      <c r="BF251" t="e">
        <f>Europe!C65+"n/&gt;!/0c"</f>
        <v>#VALUE!</v>
      </c>
      <c r="BG251" t="e">
        <f>Europe!D65+"n/&gt;!/0d"</f>
        <v>#VALUE!</v>
      </c>
      <c r="BH251" t="e">
        <f>Europe!E65+"n/&gt;!/0e"</f>
        <v>#VALUE!</v>
      </c>
      <c r="BI251" t="e">
        <f>Europe!F65+"n/&gt;!/0f"</f>
        <v>#VALUE!</v>
      </c>
      <c r="BJ251" t="e">
        <f>Europe!G65+"n/&gt;!/0g"</f>
        <v>#VALUE!</v>
      </c>
      <c r="BK251" t="e">
        <f>Europe!H65+"n/&gt;!/0h"</f>
        <v>#VALUE!</v>
      </c>
      <c r="BL251" t="e">
        <f>Europe!I65+"n/&gt;!/0i"</f>
        <v>#VALUE!</v>
      </c>
      <c r="BM251" t="e">
        <f>Europe!A66+"n/&gt;!/0j"</f>
        <v>#VALUE!</v>
      </c>
      <c r="BN251" t="e">
        <f>Europe!B66+"n/&gt;!/0k"</f>
        <v>#VALUE!</v>
      </c>
      <c r="BO251" t="e">
        <f>Europe!C66+"n/&gt;!/0l"</f>
        <v>#VALUE!</v>
      </c>
      <c r="BP251" t="e">
        <f>Europe!D66+"n/&gt;!/0m"</f>
        <v>#VALUE!</v>
      </c>
      <c r="BQ251" t="e">
        <f>Europe!E66+"n/&gt;!/0n"</f>
        <v>#VALUE!</v>
      </c>
      <c r="BR251" t="e">
        <f>Europe!F66+"n/&gt;!/0o"</f>
        <v>#VALUE!</v>
      </c>
      <c r="BS251" t="e">
        <f>Europe!G66+"n/&gt;!/0p"</f>
        <v>#VALUE!</v>
      </c>
      <c r="BT251" t="e">
        <f>Europe!H66+"n/&gt;!/0q"</f>
        <v>#VALUE!</v>
      </c>
      <c r="BU251" t="e">
        <f>Europe!I66+"n/&gt;!/0r"</f>
        <v>#VALUE!</v>
      </c>
      <c r="BV251" t="e">
        <f>Europe!A67+"n/&gt;!/0s"</f>
        <v>#VALUE!</v>
      </c>
      <c r="BW251" t="e">
        <f>Europe!B67+"n/&gt;!/0t"</f>
        <v>#VALUE!</v>
      </c>
      <c r="BX251" t="e">
        <f>Europe!C67+"n/&gt;!/0u"</f>
        <v>#VALUE!</v>
      </c>
      <c r="BY251" t="e">
        <f>Europe!D67+"n/&gt;!/0v"</f>
        <v>#VALUE!</v>
      </c>
      <c r="BZ251" t="e">
        <f>Europe!E67+"n/&gt;!/0w"</f>
        <v>#VALUE!</v>
      </c>
      <c r="CA251" t="e">
        <f>Europe!F67+"n/&gt;!/0x"</f>
        <v>#VALUE!</v>
      </c>
      <c r="CB251" t="e">
        <f>Europe!G67+"n/&gt;!/0y"</f>
        <v>#VALUE!</v>
      </c>
      <c r="CC251" t="e">
        <f>Europe!H67+"n/&gt;!/0z"</f>
        <v>#VALUE!</v>
      </c>
      <c r="CD251" t="e">
        <f>Europe!I67+"n/&gt;!/0{"</f>
        <v>#VALUE!</v>
      </c>
      <c r="CE251" t="e">
        <f>Europe!A68+"n/&gt;!/0|"</f>
        <v>#VALUE!</v>
      </c>
      <c r="CF251" t="e">
        <f>Europe!B68+"n/&gt;!/0}"</f>
        <v>#VALUE!</v>
      </c>
      <c r="CG251" t="e">
        <f>Europe!C68+"n/&gt;!/0~"</f>
        <v>#VALUE!</v>
      </c>
      <c r="CH251" t="e">
        <f>Europe!D68+"n/&gt;!/1#"</f>
        <v>#VALUE!</v>
      </c>
      <c r="CI251" t="e">
        <f>Europe!E68+"n/&gt;!/1$"</f>
        <v>#VALUE!</v>
      </c>
      <c r="CJ251" t="e">
        <f>Europe!F68+"n/&gt;!/1%"</f>
        <v>#VALUE!</v>
      </c>
      <c r="CK251" t="e">
        <f>Europe!G68+"n/&gt;!/1&amp;"</f>
        <v>#VALUE!</v>
      </c>
      <c r="CL251" t="e">
        <f>Europe!H68+"n/&gt;!/1'"</f>
        <v>#VALUE!</v>
      </c>
      <c r="CM251" t="e">
        <f>Europe!I68+"n/&gt;!/1("</f>
        <v>#VALUE!</v>
      </c>
      <c r="CN251" t="e">
        <f>Europe!A69+"n/&gt;!/1)"</f>
        <v>#VALUE!</v>
      </c>
      <c r="CO251" t="e">
        <f>Europe!B69+"n/&gt;!/1."</f>
        <v>#VALUE!</v>
      </c>
      <c r="CP251" t="e">
        <f>Europe!C69+"n/&gt;!/1/"</f>
        <v>#VALUE!</v>
      </c>
      <c r="CQ251" t="e">
        <f>Europe!D69+"n/&gt;!/10"</f>
        <v>#VALUE!</v>
      </c>
      <c r="CR251" t="e">
        <f>Europe!E69+"n/&gt;!/11"</f>
        <v>#VALUE!</v>
      </c>
      <c r="CS251" t="e">
        <f>Europe!F69+"n/&gt;!/12"</f>
        <v>#VALUE!</v>
      </c>
      <c r="CT251" t="e">
        <f>Europe!G69+"n/&gt;!/13"</f>
        <v>#VALUE!</v>
      </c>
      <c r="CU251" t="e">
        <f>Europe!H69+"n/&gt;!/14"</f>
        <v>#VALUE!</v>
      </c>
      <c r="CV251" t="e">
        <f>Europe!I69+"n/&gt;!/15"</f>
        <v>#VALUE!</v>
      </c>
      <c r="CW251" t="e">
        <f>Europe!A70+"n/&gt;!/16"</f>
        <v>#VALUE!</v>
      </c>
      <c r="CX251" t="e">
        <f>Europe!B70+"n/&gt;!/17"</f>
        <v>#VALUE!</v>
      </c>
      <c r="CY251" t="e">
        <f>Europe!C70+"n/&gt;!/18"</f>
        <v>#VALUE!</v>
      </c>
      <c r="CZ251" t="e">
        <f>Europe!D70+"n/&gt;!/19"</f>
        <v>#VALUE!</v>
      </c>
      <c r="DA251" t="e">
        <f>Europe!E70+"n/&gt;!/1:"</f>
        <v>#VALUE!</v>
      </c>
      <c r="DB251" t="e">
        <f>Europe!F70+"n/&gt;!/1;"</f>
        <v>#VALUE!</v>
      </c>
      <c r="DC251" t="e">
        <f>Europe!G70+"n/&gt;!/1&lt;"</f>
        <v>#VALUE!</v>
      </c>
      <c r="DD251" t="e">
        <f>Europe!H70+"n/&gt;!/1="</f>
        <v>#VALUE!</v>
      </c>
      <c r="DE251" t="e">
        <f>Europe!I70+"n/&gt;!/1&gt;"</f>
        <v>#VALUE!</v>
      </c>
      <c r="DF251" t="e">
        <f>Europe!A71+"n/&gt;!/1?"</f>
        <v>#VALUE!</v>
      </c>
      <c r="DG251" t="e">
        <f>Europe!B71+"n/&gt;!/1@"</f>
        <v>#VALUE!</v>
      </c>
      <c r="DH251" t="e">
        <f>Europe!C71+"n/&gt;!/1A"</f>
        <v>#VALUE!</v>
      </c>
      <c r="DI251" t="e">
        <f>Europe!D71+"n/&gt;!/1B"</f>
        <v>#VALUE!</v>
      </c>
      <c r="DJ251" t="e">
        <f>Europe!E71+"n/&gt;!/1C"</f>
        <v>#VALUE!</v>
      </c>
      <c r="DK251" t="e">
        <f>Europe!F71+"n/&gt;!/1D"</f>
        <v>#VALUE!</v>
      </c>
      <c r="DL251" t="e">
        <f>Europe!G71+"n/&gt;!/1E"</f>
        <v>#VALUE!</v>
      </c>
      <c r="DM251" t="e">
        <f>Europe!H71+"n/&gt;!/1F"</f>
        <v>#VALUE!</v>
      </c>
      <c r="DN251" t="e">
        <f>Europe!I71+"n/&gt;!/1G"</f>
        <v>#VALUE!</v>
      </c>
      <c r="DO251" t="e">
        <f>Europe!A72+"n/&gt;!/1H"</f>
        <v>#VALUE!</v>
      </c>
      <c r="DP251" t="e">
        <f>Europe!B72+"n/&gt;!/1I"</f>
        <v>#VALUE!</v>
      </c>
      <c r="DQ251" t="e">
        <f>Europe!C72+"n/&gt;!/1J"</f>
        <v>#VALUE!</v>
      </c>
      <c r="DR251" t="e">
        <f>Europe!D72+"n/&gt;!/1K"</f>
        <v>#VALUE!</v>
      </c>
      <c r="DS251" t="e">
        <f>Europe!E72+"n/&gt;!/1L"</f>
        <v>#VALUE!</v>
      </c>
      <c r="DT251" t="e">
        <f>Europe!F72+"n/&gt;!/1M"</f>
        <v>#VALUE!</v>
      </c>
      <c r="DU251" t="e">
        <f>Europe!G72+"n/&gt;!/1N"</f>
        <v>#VALUE!</v>
      </c>
      <c r="DV251" t="e">
        <f>Europe!H72+"n/&gt;!/1O"</f>
        <v>#VALUE!</v>
      </c>
      <c r="DW251" t="e">
        <f>Europe!I72+"n/&gt;!/1P"</f>
        <v>#VALUE!</v>
      </c>
      <c r="DX251" t="e">
        <f>Europe!A73+"n/&gt;!/1Q"</f>
        <v>#VALUE!</v>
      </c>
      <c r="DY251" t="e">
        <f>Europe!B73+"n/&gt;!/1R"</f>
        <v>#VALUE!</v>
      </c>
      <c r="DZ251" t="e">
        <f>Europe!C73+"n/&gt;!/1S"</f>
        <v>#VALUE!</v>
      </c>
      <c r="EA251" t="e">
        <f>Europe!D73+"n/&gt;!/1T"</f>
        <v>#VALUE!</v>
      </c>
      <c r="EB251" t="e">
        <f>Europe!E73+"n/&gt;!/1U"</f>
        <v>#VALUE!</v>
      </c>
      <c r="EC251" t="e">
        <f>Europe!F73+"n/&gt;!/1V"</f>
        <v>#VALUE!</v>
      </c>
      <c r="ED251" t="e">
        <f>Europe!G73+"n/&gt;!/1W"</f>
        <v>#VALUE!</v>
      </c>
      <c r="EE251" t="e">
        <f>Europe!H73+"n/&gt;!/1X"</f>
        <v>#VALUE!</v>
      </c>
      <c r="EF251" t="e">
        <f>Europe!I73+"n/&gt;!/1Y"</f>
        <v>#VALUE!</v>
      </c>
      <c r="EG251" t="e">
        <f>Europe!A74+"n/&gt;!/1Z"</f>
        <v>#VALUE!</v>
      </c>
      <c r="EH251" t="e">
        <f>Europe!B74+"n/&gt;!/1["</f>
        <v>#VALUE!</v>
      </c>
      <c r="EI251" t="e">
        <f>Europe!C74+"n/&gt;!/1\"</f>
        <v>#VALUE!</v>
      </c>
      <c r="EJ251" t="e">
        <f>Europe!D74+"n/&gt;!/1]"</f>
        <v>#VALUE!</v>
      </c>
      <c r="EK251" t="e">
        <f>Europe!E74+"n/&gt;!/1^"</f>
        <v>#VALUE!</v>
      </c>
      <c r="EL251" t="e">
        <f>Europe!F74+"n/&gt;!/1_"</f>
        <v>#VALUE!</v>
      </c>
      <c r="EM251" t="e">
        <f>Europe!G74+"n/&gt;!/1`"</f>
        <v>#VALUE!</v>
      </c>
      <c r="EN251" t="e">
        <f>Europe!H74+"n/&gt;!/1a"</f>
        <v>#VALUE!</v>
      </c>
      <c r="EO251" t="e">
        <f>Europe!I74+"n/&gt;!/1b"</f>
        <v>#VALUE!</v>
      </c>
      <c r="EP251" t="e">
        <f>Europe!A75+"n/&gt;!/1c"</f>
        <v>#VALUE!</v>
      </c>
      <c r="EQ251" t="e">
        <f>Europe!B75+"n/&gt;!/1d"</f>
        <v>#VALUE!</v>
      </c>
      <c r="ER251" t="e">
        <f>Europe!C75+"n/&gt;!/1e"</f>
        <v>#VALUE!</v>
      </c>
      <c r="ES251" t="e">
        <f>Europe!D75+"n/&gt;!/1f"</f>
        <v>#VALUE!</v>
      </c>
      <c r="ET251" t="e">
        <f>Europe!E75+"n/&gt;!/1g"</f>
        <v>#VALUE!</v>
      </c>
      <c r="EU251" t="e">
        <f>Europe!F75+"n/&gt;!/1h"</f>
        <v>#VALUE!</v>
      </c>
      <c r="EV251" t="e">
        <f>Europe!G75+"n/&gt;!/1i"</f>
        <v>#VALUE!</v>
      </c>
      <c r="EW251" t="e">
        <f>Europe!H75+"n/&gt;!/1j"</f>
        <v>#VALUE!</v>
      </c>
      <c r="EX251" t="e">
        <f>Europe!I75+"n/&gt;!/1k"</f>
        <v>#VALUE!</v>
      </c>
      <c r="EY251" t="e">
        <f>Europe!A76+"n/&gt;!/1l"</f>
        <v>#VALUE!</v>
      </c>
      <c r="EZ251" t="e">
        <f>Europe!B76+"n/&gt;!/1m"</f>
        <v>#VALUE!</v>
      </c>
      <c r="FA251" t="e">
        <f>Europe!C76+"n/&gt;!/1n"</f>
        <v>#VALUE!</v>
      </c>
      <c r="FB251" t="e">
        <f>Europe!D76+"n/&gt;!/1o"</f>
        <v>#VALUE!</v>
      </c>
      <c r="FC251" t="e">
        <f>Europe!E76+"n/&gt;!/1p"</f>
        <v>#VALUE!</v>
      </c>
      <c r="FD251" t="e">
        <f>Europe!F76+"n/&gt;!/1q"</f>
        <v>#VALUE!</v>
      </c>
      <c r="FE251" t="e">
        <f>Europe!G76+"n/&gt;!/1r"</f>
        <v>#VALUE!</v>
      </c>
      <c r="FF251" t="e">
        <f>Europe!H76+"n/&gt;!/1s"</f>
        <v>#VALUE!</v>
      </c>
      <c r="FG251" t="e">
        <f>Europe!I76+"n/&gt;!/1t"</f>
        <v>#VALUE!</v>
      </c>
      <c r="FH251" t="e">
        <f>Europe!A77+"n/&gt;!/1u"</f>
        <v>#VALUE!</v>
      </c>
      <c r="FI251" t="e">
        <f>Europe!B77+"n/&gt;!/1v"</f>
        <v>#VALUE!</v>
      </c>
      <c r="FJ251" t="e">
        <f>Europe!C77+"n/&gt;!/1w"</f>
        <v>#VALUE!</v>
      </c>
      <c r="FK251" t="e">
        <f>Europe!D77+"n/&gt;!/1x"</f>
        <v>#VALUE!</v>
      </c>
      <c r="FL251" t="e">
        <f>Europe!E77+"n/&gt;!/1y"</f>
        <v>#VALUE!</v>
      </c>
      <c r="FM251" t="e">
        <f>Europe!F77+"n/&gt;!/1z"</f>
        <v>#VALUE!</v>
      </c>
      <c r="FN251" t="e">
        <f>Europe!G77+"n/&gt;!/1{"</f>
        <v>#VALUE!</v>
      </c>
      <c r="FO251" t="e">
        <f>Europe!H77+"n/&gt;!/1|"</f>
        <v>#VALUE!</v>
      </c>
      <c r="FP251" t="e">
        <f>Europe!I77+"n/&gt;!/1}"</f>
        <v>#VALUE!</v>
      </c>
      <c r="FQ251" t="e">
        <f>Europe!A78+"n/&gt;!/1~"</f>
        <v>#VALUE!</v>
      </c>
      <c r="FR251" t="e">
        <f>Europe!B78+"n/&gt;!/2#"</f>
        <v>#VALUE!</v>
      </c>
      <c r="FS251" t="e">
        <f>Europe!C78+"n/&gt;!/2$"</f>
        <v>#VALUE!</v>
      </c>
      <c r="FT251" t="e">
        <f>Europe!D78+"n/&gt;!/2%"</f>
        <v>#VALUE!</v>
      </c>
      <c r="FU251" t="e">
        <f>Europe!E78+"n/&gt;!/2&amp;"</f>
        <v>#VALUE!</v>
      </c>
      <c r="FV251" t="e">
        <f>Europe!F78+"n/&gt;!/2'"</f>
        <v>#VALUE!</v>
      </c>
      <c r="FW251" t="e">
        <f>Europe!G78+"n/&gt;!/2("</f>
        <v>#VALUE!</v>
      </c>
      <c r="FX251" t="e">
        <f>Europe!H78+"n/&gt;!/2)"</f>
        <v>#VALUE!</v>
      </c>
      <c r="FY251" t="e">
        <f>Europe!I78+"n/&gt;!/2."</f>
        <v>#VALUE!</v>
      </c>
      <c r="FZ251" t="e">
        <f>Europe!A79+"n/&gt;!/2/"</f>
        <v>#VALUE!</v>
      </c>
      <c r="GA251" t="e">
        <f>Europe!B79+"n/&gt;!/20"</f>
        <v>#VALUE!</v>
      </c>
      <c r="GB251" t="e">
        <f>Europe!C79+"n/&gt;!/21"</f>
        <v>#VALUE!</v>
      </c>
      <c r="GC251" t="e">
        <f>Europe!D79+"n/&gt;!/22"</f>
        <v>#VALUE!</v>
      </c>
      <c r="GD251" t="e">
        <f>Europe!E79+"n/&gt;!/23"</f>
        <v>#VALUE!</v>
      </c>
      <c r="GE251" t="e">
        <f>Europe!F79+"n/&gt;!/24"</f>
        <v>#VALUE!</v>
      </c>
      <c r="GF251" t="e">
        <f>Europe!G79+"n/&gt;!/25"</f>
        <v>#VALUE!</v>
      </c>
      <c r="GG251" t="e">
        <f>Europe!H79+"n/&gt;!/26"</f>
        <v>#VALUE!</v>
      </c>
      <c r="GH251" t="e">
        <f>Europe!I79+"n/&gt;!/27"</f>
        <v>#VALUE!</v>
      </c>
      <c r="GI251" t="e">
        <f>Europe!A80+"n/&gt;!/28"</f>
        <v>#VALUE!</v>
      </c>
      <c r="GJ251" t="e">
        <f>Europe!B80+"n/&gt;!/29"</f>
        <v>#VALUE!</v>
      </c>
      <c r="GK251" t="e">
        <f>Europe!C80+"n/&gt;!/2:"</f>
        <v>#VALUE!</v>
      </c>
      <c r="GL251" t="e">
        <f>Europe!D80+"n/&gt;!/2;"</f>
        <v>#VALUE!</v>
      </c>
      <c r="GM251" t="e">
        <f>Europe!E80+"n/&gt;!/2&lt;"</f>
        <v>#VALUE!</v>
      </c>
      <c r="GN251" t="e">
        <f>Europe!F80+"n/&gt;!/2="</f>
        <v>#VALUE!</v>
      </c>
      <c r="GO251" t="e">
        <f>Europe!G80+"n/&gt;!/2&gt;"</f>
        <v>#VALUE!</v>
      </c>
      <c r="GP251" t="e">
        <f>Europe!H80+"n/&gt;!/2?"</f>
        <v>#VALUE!</v>
      </c>
      <c r="GQ251" t="e">
        <f>Europe!I80+"n/&gt;!/2@"</f>
        <v>#VALUE!</v>
      </c>
      <c r="GR251" t="e">
        <f>Europe!A81+"n/&gt;!/2A"</f>
        <v>#VALUE!</v>
      </c>
      <c r="GS251" t="e">
        <f>Europe!B81+"n/&gt;!/2B"</f>
        <v>#VALUE!</v>
      </c>
      <c r="GT251" t="e">
        <f>Europe!C81+"n/&gt;!/2C"</f>
        <v>#VALUE!</v>
      </c>
      <c r="GU251" t="e">
        <f>Europe!D81+"n/&gt;!/2D"</f>
        <v>#VALUE!</v>
      </c>
      <c r="GV251" t="e">
        <f>Europe!E81+"n/&gt;!/2E"</f>
        <v>#VALUE!</v>
      </c>
      <c r="GW251" t="e">
        <f>Europe!F81+"n/&gt;!/2F"</f>
        <v>#VALUE!</v>
      </c>
      <c r="GX251" t="e">
        <f>Europe!G81+"n/&gt;!/2G"</f>
        <v>#VALUE!</v>
      </c>
      <c r="GY251" t="e">
        <f>Europe!H81+"n/&gt;!/2H"</f>
        <v>#VALUE!</v>
      </c>
      <c r="GZ251" t="e">
        <f>Europe!I81+"n/&gt;!/2I"</f>
        <v>#VALUE!</v>
      </c>
      <c r="HA251" t="e">
        <f>Europe!A82+"n/&gt;!/2J"</f>
        <v>#VALUE!</v>
      </c>
      <c r="HB251" t="e">
        <f>Europe!B82+"n/&gt;!/2K"</f>
        <v>#VALUE!</v>
      </c>
      <c r="HC251" t="e">
        <f>Europe!C82+"n/&gt;!/2L"</f>
        <v>#VALUE!</v>
      </c>
      <c r="HD251" t="e">
        <f>Europe!D82+"n/&gt;!/2M"</f>
        <v>#VALUE!</v>
      </c>
      <c r="HE251" t="e">
        <f>Europe!E82+"n/&gt;!/2N"</f>
        <v>#VALUE!</v>
      </c>
      <c r="HF251" t="e">
        <f>Europe!F82+"n/&gt;!/2O"</f>
        <v>#VALUE!</v>
      </c>
      <c r="HG251" t="e">
        <f>Europe!G82+"n/&gt;!/2P"</f>
        <v>#VALUE!</v>
      </c>
      <c r="HH251" t="e">
        <f>Europe!H82+"n/&gt;!/2Q"</f>
        <v>#VALUE!</v>
      </c>
      <c r="HI251" t="e">
        <f>Europe!I82+"n/&gt;!/2R"</f>
        <v>#VALUE!</v>
      </c>
      <c r="HJ251" t="e">
        <f>Europe!A83+"n/&gt;!/2S"</f>
        <v>#VALUE!</v>
      </c>
      <c r="HK251" t="e">
        <f>Europe!B83+"n/&gt;!/2T"</f>
        <v>#VALUE!</v>
      </c>
      <c r="HL251" t="e">
        <f>Europe!C83+"n/&gt;!/2U"</f>
        <v>#VALUE!</v>
      </c>
      <c r="HM251" t="e">
        <f>Europe!D83+"n/&gt;!/2V"</f>
        <v>#VALUE!</v>
      </c>
      <c r="HN251" t="e">
        <f>Europe!E83+"n/&gt;!/2W"</f>
        <v>#VALUE!</v>
      </c>
      <c r="HO251" t="e">
        <f>Europe!F83+"n/&gt;!/2X"</f>
        <v>#VALUE!</v>
      </c>
      <c r="HP251" t="e">
        <f>Europe!G83+"n/&gt;!/2Y"</f>
        <v>#VALUE!</v>
      </c>
      <c r="HQ251" t="e">
        <f>Europe!H83+"n/&gt;!/2Z"</f>
        <v>#VALUE!</v>
      </c>
      <c r="HR251" t="e">
        <f>Europe!I83+"n/&gt;!/2["</f>
        <v>#VALUE!</v>
      </c>
      <c r="HS251" t="e">
        <f>Europe!A84+"n/&gt;!/2\"</f>
        <v>#VALUE!</v>
      </c>
      <c r="HT251" t="e">
        <f>Europe!B84+"n/&gt;!/2]"</f>
        <v>#VALUE!</v>
      </c>
      <c r="HU251" t="e">
        <f>Europe!C84+"n/&gt;!/2^"</f>
        <v>#VALUE!</v>
      </c>
      <c r="HV251" t="e">
        <f>Europe!D84+"n/&gt;!/2_"</f>
        <v>#VALUE!</v>
      </c>
      <c r="HW251" t="e">
        <f>Europe!E84+"n/&gt;!/2`"</f>
        <v>#VALUE!</v>
      </c>
      <c r="HX251" t="e">
        <f>Europe!F84+"n/&gt;!/2a"</f>
        <v>#VALUE!</v>
      </c>
      <c r="HY251" t="e">
        <f>Europe!G84+"n/&gt;!/2b"</f>
        <v>#VALUE!</v>
      </c>
      <c r="HZ251" t="e">
        <f>Europe!H84+"n/&gt;!/2c"</f>
        <v>#VALUE!</v>
      </c>
      <c r="IA251" t="e">
        <f>Europe!I84+"n/&gt;!/2d"</f>
        <v>#VALUE!</v>
      </c>
      <c r="IB251" t="e">
        <f>Europe!A85+"n/&gt;!/2e"</f>
        <v>#VALUE!</v>
      </c>
      <c r="IC251" t="e">
        <f>Europe!B85+"n/&gt;!/2f"</f>
        <v>#VALUE!</v>
      </c>
      <c r="ID251" t="e">
        <f>Europe!C85+"n/&gt;!/2g"</f>
        <v>#VALUE!</v>
      </c>
      <c r="IE251" t="e">
        <f>Europe!D85+"n/&gt;!/2h"</f>
        <v>#VALUE!</v>
      </c>
      <c r="IF251" t="e">
        <f>Europe!E85+"n/&gt;!/2i"</f>
        <v>#VALUE!</v>
      </c>
      <c r="IG251" t="e">
        <f>Europe!F85+"n/&gt;!/2j"</f>
        <v>#VALUE!</v>
      </c>
      <c r="IH251" t="e">
        <f>Europe!G85+"n/&gt;!/2k"</f>
        <v>#VALUE!</v>
      </c>
      <c r="II251" t="e">
        <f>Europe!H85+"n/&gt;!/2l"</f>
        <v>#VALUE!</v>
      </c>
      <c r="IJ251" t="e">
        <f>Europe!I85+"n/&gt;!/2m"</f>
        <v>#VALUE!</v>
      </c>
      <c r="IK251" t="e">
        <f>Europe!A86+"n/&gt;!/2n"</f>
        <v>#VALUE!</v>
      </c>
      <c r="IL251" t="e">
        <f>Europe!B86+"n/&gt;!/2o"</f>
        <v>#VALUE!</v>
      </c>
      <c r="IM251" t="e">
        <f>Europe!C86+"n/&gt;!/2p"</f>
        <v>#VALUE!</v>
      </c>
      <c r="IN251" t="e">
        <f>Europe!D86+"n/&gt;!/2q"</f>
        <v>#VALUE!</v>
      </c>
      <c r="IO251" t="e">
        <f>Europe!E86+"n/&gt;!/2r"</f>
        <v>#VALUE!</v>
      </c>
      <c r="IP251" t="e">
        <f>Europe!F86+"n/&gt;!/2s"</f>
        <v>#VALUE!</v>
      </c>
      <c r="IQ251" t="e">
        <f>Europe!G86+"n/&gt;!/2t"</f>
        <v>#VALUE!</v>
      </c>
      <c r="IR251" t="e">
        <f>Europe!H86+"n/&gt;!/2u"</f>
        <v>#VALUE!</v>
      </c>
      <c r="IS251" t="e">
        <f>Europe!I86+"n/&gt;!/2v"</f>
        <v>#VALUE!</v>
      </c>
      <c r="IT251" t="e">
        <f>Europe!A87+"n/&gt;!/2w"</f>
        <v>#VALUE!</v>
      </c>
      <c r="IU251" t="e">
        <f>Europe!B87+"n/&gt;!/2x"</f>
        <v>#VALUE!</v>
      </c>
      <c r="IV251" t="e">
        <f>Europe!C87+"n/&gt;!/2y"</f>
        <v>#VALUE!</v>
      </c>
    </row>
    <row r="252" spans="6:256" x14ac:dyDescent="0.35">
      <c r="F252" t="e">
        <f>Europe!D87+"n/&gt;!/2z"</f>
        <v>#VALUE!</v>
      </c>
      <c r="G252" t="e">
        <f>Europe!E87+"n/&gt;!/2{"</f>
        <v>#VALUE!</v>
      </c>
      <c r="H252" t="e">
        <f>Europe!F87+"n/&gt;!/2|"</f>
        <v>#VALUE!</v>
      </c>
      <c r="I252" t="e">
        <f>Europe!G87+"n/&gt;!/2}"</f>
        <v>#VALUE!</v>
      </c>
      <c r="J252" t="e">
        <f>Europe!H87+"n/&gt;!/2~"</f>
        <v>#VALUE!</v>
      </c>
      <c r="K252" t="e">
        <f>Europe!I87+"n/&gt;!/3#"</f>
        <v>#VALUE!</v>
      </c>
      <c r="L252" t="e">
        <f>Europe!A88+"n/&gt;!/3$"</f>
        <v>#VALUE!</v>
      </c>
      <c r="M252" t="e">
        <f>Europe!B88+"n/&gt;!/3%"</f>
        <v>#VALUE!</v>
      </c>
      <c r="N252" t="e">
        <f>Europe!C88+"n/&gt;!/3&amp;"</f>
        <v>#VALUE!</v>
      </c>
      <c r="O252" t="e">
        <f>Europe!D88+"n/&gt;!/3'"</f>
        <v>#VALUE!</v>
      </c>
      <c r="P252" t="e">
        <f>Europe!E88+"n/&gt;!/3("</f>
        <v>#VALUE!</v>
      </c>
      <c r="Q252" t="e">
        <f>Europe!F88+"n/&gt;!/3)"</f>
        <v>#VALUE!</v>
      </c>
      <c r="R252" t="e">
        <f>Europe!G88+"n/&gt;!/3."</f>
        <v>#VALUE!</v>
      </c>
      <c r="S252" t="e">
        <f>Europe!H88+"n/&gt;!/3/"</f>
        <v>#VALUE!</v>
      </c>
      <c r="T252" t="e">
        <f>Europe!I88+"n/&gt;!/30"</f>
        <v>#VALUE!</v>
      </c>
      <c r="U252" t="e">
        <f>Europe!A89+"n/&gt;!/31"</f>
        <v>#VALUE!</v>
      </c>
      <c r="V252" t="e">
        <f>Europe!B89+"n/&gt;!/32"</f>
        <v>#VALUE!</v>
      </c>
      <c r="W252" t="e">
        <f>Europe!C89+"n/&gt;!/33"</f>
        <v>#VALUE!</v>
      </c>
      <c r="X252" t="e">
        <f>Europe!D89+"n/&gt;!/34"</f>
        <v>#VALUE!</v>
      </c>
      <c r="Y252" t="e">
        <f>Europe!E89+"n/&gt;!/35"</f>
        <v>#VALUE!</v>
      </c>
      <c r="Z252" t="e">
        <f>Europe!F89+"n/&gt;!/36"</f>
        <v>#VALUE!</v>
      </c>
      <c r="AA252" t="e">
        <f>Europe!G89+"n/&gt;!/37"</f>
        <v>#VALUE!</v>
      </c>
      <c r="AB252" t="e">
        <f>Europe!H89+"n/&gt;!/38"</f>
        <v>#VALUE!</v>
      </c>
      <c r="AC252" t="e">
        <f>Europe!I89+"n/&gt;!/39"</f>
        <v>#VALUE!</v>
      </c>
      <c r="AD252" t="e">
        <f>Europe!A90+"n/&gt;!/3:"</f>
        <v>#VALUE!</v>
      </c>
      <c r="AE252" t="e">
        <f>Europe!B90+"n/&gt;!/3;"</f>
        <v>#VALUE!</v>
      </c>
      <c r="AF252" t="e">
        <f>Europe!C90+"n/&gt;!/3&lt;"</f>
        <v>#VALUE!</v>
      </c>
      <c r="AG252" t="e">
        <f>Europe!D90+"n/&gt;!/3="</f>
        <v>#VALUE!</v>
      </c>
      <c r="AH252" t="e">
        <f>Europe!E90+"n/&gt;!/3&gt;"</f>
        <v>#VALUE!</v>
      </c>
      <c r="AI252" t="e">
        <f>Europe!F90+"n/&gt;!/3?"</f>
        <v>#VALUE!</v>
      </c>
      <c r="AJ252" t="e">
        <f>Europe!G90+"n/&gt;!/3@"</f>
        <v>#VALUE!</v>
      </c>
      <c r="AK252" t="e">
        <f>Europe!H90+"n/&gt;!/3A"</f>
        <v>#VALUE!</v>
      </c>
      <c r="AL252" t="e">
        <f>Europe!I90+"n/&gt;!/3B"</f>
        <v>#VALUE!</v>
      </c>
      <c r="AM252" t="e">
        <f>Europe!A91+"n/&gt;!/3C"</f>
        <v>#VALUE!</v>
      </c>
      <c r="AN252" t="e">
        <f>Europe!B91+"n/&gt;!/3D"</f>
        <v>#VALUE!</v>
      </c>
      <c r="AO252" t="e">
        <f>Europe!C91+"n/&gt;!/3E"</f>
        <v>#VALUE!</v>
      </c>
      <c r="AP252" t="e">
        <f>Europe!D91+"n/&gt;!/3F"</f>
        <v>#VALUE!</v>
      </c>
      <c r="AQ252" t="e">
        <f>Europe!E91+"n/&gt;!/3G"</f>
        <v>#VALUE!</v>
      </c>
      <c r="AR252" t="e">
        <f>Europe!F91+"n/&gt;!/3H"</f>
        <v>#VALUE!</v>
      </c>
      <c r="AS252" t="e">
        <f>Europe!G91+"n/&gt;!/3I"</f>
        <v>#VALUE!</v>
      </c>
      <c r="AT252" t="e">
        <f>Europe!H91+"n/&gt;!/3J"</f>
        <v>#VALUE!</v>
      </c>
      <c r="AU252" t="e">
        <f>Europe!I91+"n/&gt;!/3K"</f>
        <v>#VALUE!</v>
      </c>
      <c r="AV252" t="e">
        <f>Europe!A92+"n/&gt;!/3L"</f>
        <v>#VALUE!</v>
      </c>
      <c r="AW252" t="e">
        <f>Europe!B92+"n/&gt;!/3M"</f>
        <v>#VALUE!</v>
      </c>
      <c r="AX252" t="e">
        <f>Europe!C92+"n/&gt;!/3N"</f>
        <v>#VALUE!</v>
      </c>
      <c r="AY252" t="e">
        <f>Europe!D92+"n/&gt;!/3O"</f>
        <v>#VALUE!</v>
      </c>
      <c r="AZ252" t="e">
        <f>Europe!E92+"n/&gt;!/3P"</f>
        <v>#VALUE!</v>
      </c>
      <c r="BA252" t="e">
        <f>Europe!F92+"n/&gt;!/3Q"</f>
        <v>#VALUE!</v>
      </c>
      <c r="BB252" t="e">
        <f>Europe!G92+"n/&gt;!/3R"</f>
        <v>#VALUE!</v>
      </c>
      <c r="BC252" t="e">
        <f>Europe!H92+"n/&gt;!/3S"</f>
        <v>#VALUE!</v>
      </c>
      <c r="BD252" t="e">
        <f>Europe!I92+"n/&gt;!/3T"</f>
        <v>#VALUE!</v>
      </c>
      <c r="BE252" t="e">
        <f>Europe!A93+"n/&gt;!/3U"</f>
        <v>#VALUE!</v>
      </c>
      <c r="BF252" t="e">
        <f>Europe!B93+"n/&gt;!/3V"</f>
        <v>#VALUE!</v>
      </c>
      <c r="BG252" t="e">
        <f>Europe!C93+"n/&gt;!/3W"</f>
        <v>#VALUE!</v>
      </c>
      <c r="BH252" t="e">
        <f>Europe!D93+"n/&gt;!/3X"</f>
        <v>#VALUE!</v>
      </c>
      <c r="BI252" t="e">
        <f>Europe!E93+"n/&gt;!/3Y"</f>
        <v>#VALUE!</v>
      </c>
      <c r="BJ252" t="e">
        <f>Europe!F93+"n/&gt;!/3Z"</f>
        <v>#VALUE!</v>
      </c>
      <c r="BK252" t="e">
        <f>Europe!G93+"n/&gt;!/3["</f>
        <v>#VALUE!</v>
      </c>
      <c r="BL252" t="e">
        <f>Europe!H93+"n/&gt;!/3\"</f>
        <v>#VALUE!</v>
      </c>
      <c r="BM252" t="e">
        <f>Europe!I93+"n/&gt;!/3]"</f>
        <v>#VALUE!</v>
      </c>
      <c r="BN252" t="e">
        <f>Europe!A94+"n/&gt;!/3^"</f>
        <v>#VALUE!</v>
      </c>
      <c r="BO252" t="e">
        <f>Europe!B94+"n/&gt;!/3_"</f>
        <v>#VALUE!</v>
      </c>
      <c r="BP252" t="e">
        <f>Europe!C94+"n/&gt;!/3`"</f>
        <v>#VALUE!</v>
      </c>
      <c r="BQ252" t="e">
        <f>Europe!D94+"n/&gt;!/3a"</f>
        <v>#VALUE!</v>
      </c>
      <c r="BR252" t="e">
        <f>Europe!E94+"n/&gt;!/3b"</f>
        <v>#VALUE!</v>
      </c>
      <c r="BS252" t="e">
        <f>Europe!F94+"n/&gt;!/3c"</f>
        <v>#VALUE!</v>
      </c>
      <c r="BT252" t="e">
        <f>Europe!G94+"n/&gt;!/3d"</f>
        <v>#VALUE!</v>
      </c>
      <c r="BU252" t="e">
        <f>Europe!H94+"n/&gt;!/3e"</f>
        <v>#VALUE!</v>
      </c>
      <c r="BV252" t="e">
        <f>Europe!I94+"n/&gt;!/3f"</f>
        <v>#VALUE!</v>
      </c>
      <c r="BW252" t="e">
        <f>Europe!A95+"n/&gt;!/3g"</f>
        <v>#VALUE!</v>
      </c>
      <c r="BX252" t="e">
        <f>Europe!B95+"n/&gt;!/3h"</f>
        <v>#VALUE!</v>
      </c>
      <c r="BY252" t="e">
        <f>Europe!C95+"n/&gt;!/3i"</f>
        <v>#VALUE!</v>
      </c>
      <c r="BZ252" t="e">
        <f>Europe!D95+"n/&gt;!/3j"</f>
        <v>#VALUE!</v>
      </c>
      <c r="CA252" t="e">
        <f>Europe!E95+"n/&gt;!/3k"</f>
        <v>#VALUE!</v>
      </c>
      <c r="CB252" t="e">
        <f>Europe!F95+"n/&gt;!/3l"</f>
        <v>#VALUE!</v>
      </c>
      <c r="CC252" t="e">
        <f>Europe!G95+"n/&gt;!/3m"</f>
        <v>#VALUE!</v>
      </c>
      <c r="CD252" t="e">
        <f>Europe!H95+"n/&gt;!/3n"</f>
        <v>#VALUE!</v>
      </c>
      <c r="CE252" t="e">
        <f>Europe!I95+"n/&gt;!/3o"</f>
        <v>#VALUE!</v>
      </c>
      <c r="CF252" t="e">
        <f>Europe!A96+"n/&gt;!/3p"</f>
        <v>#VALUE!</v>
      </c>
      <c r="CG252" t="e">
        <f>Europe!B96+"n/&gt;!/3q"</f>
        <v>#VALUE!</v>
      </c>
      <c r="CH252" t="e">
        <f>Europe!C96+"n/&gt;!/3r"</f>
        <v>#VALUE!</v>
      </c>
      <c r="CI252" t="e">
        <f>Europe!D96+"n/&gt;!/3s"</f>
        <v>#VALUE!</v>
      </c>
      <c r="CJ252" t="e">
        <f>Europe!E96+"n/&gt;!/3t"</f>
        <v>#VALUE!</v>
      </c>
      <c r="CK252" t="e">
        <f>Europe!F96+"n/&gt;!/3u"</f>
        <v>#VALUE!</v>
      </c>
      <c r="CL252" t="e">
        <f>Europe!G96+"n/&gt;!/3v"</f>
        <v>#VALUE!</v>
      </c>
      <c r="CM252" t="e">
        <f>Europe!H96+"n/&gt;!/3w"</f>
        <v>#VALUE!</v>
      </c>
      <c r="CN252" t="e">
        <f>Europe!I96+"n/&gt;!/3x"</f>
        <v>#VALUE!</v>
      </c>
      <c r="CO252" t="e">
        <f>Europe!A97+"n/&gt;!/3y"</f>
        <v>#VALUE!</v>
      </c>
      <c r="CP252" t="e">
        <f>Europe!B97+"n/&gt;!/3z"</f>
        <v>#VALUE!</v>
      </c>
      <c r="CQ252" t="e">
        <f>Europe!C97+"n/&gt;!/3{"</f>
        <v>#VALUE!</v>
      </c>
      <c r="CR252" t="e">
        <f>Europe!D97+"n/&gt;!/3|"</f>
        <v>#VALUE!</v>
      </c>
      <c r="CS252" t="e">
        <f>Europe!E97+"n/&gt;!/3}"</f>
        <v>#VALUE!</v>
      </c>
      <c r="CT252" t="e">
        <f>Europe!F97+"n/&gt;!/3~"</f>
        <v>#VALUE!</v>
      </c>
      <c r="CU252" t="e">
        <f>Europe!G97+"n/&gt;!/4#"</f>
        <v>#VALUE!</v>
      </c>
      <c r="CV252" t="e">
        <f>Europe!H97+"n/&gt;!/4$"</f>
        <v>#VALUE!</v>
      </c>
      <c r="CW252" t="e">
        <f>Europe!I97+"n/&gt;!/4%"</f>
        <v>#VALUE!</v>
      </c>
      <c r="CX252" t="e">
        <f>Europe!A98+"n/&gt;!/4&amp;"</f>
        <v>#VALUE!</v>
      </c>
      <c r="CY252" t="e">
        <f>Europe!B98+"n/&gt;!/4'"</f>
        <v>#VALUE!</v>
      </c>
      <c r="CZ252" t="e">
        <f>Europe!C98+"n/&gt;!/4("</f>
        <v>#VALUE!</v>
      </c>
      <c r="DA252" t="e">
        <f>Europe!D98+"n/&gt;!/4)"</f>
        <v>#VALUE!</v>
      </c>
      <c r="DB252" t="e">
        <f>Europe!E98+"n/&gt;!/4."</f>
        <v>#VALUE!</v>
      </c>
      <c r="DC252" t="e">
        <f>Europe!F98+"n/&gt;!/4/"</f>
        <v>#VALUE!</v>
      </c>
      <c r="DD252" t="e">
        <f>Europe!G98+"n/&gt;!/40"</f>
        <v>#VALUE!</v>
      </c>
      <c r="DE252" t="e">
        <f>Europe!H98+"n/&gt;!/41"</f>
        <v>#VALUE!</v>
      </c>
      <c r="DF252" t="e">
        <f>Europe!I98+"n/&gt;!/42"</f>
        <v>#VALUE!</v>
      </c>
      <c r="DG252" t="e">
        <f>Europe!A99+"n/&gt;!/43"</f>
        <v>#VALUE!</v>
      </c>
      <c r="DH252" t="e">
        <f>Europe!B99+"n/&gt;!/44"</f>
        <v>#VALUE!</v>
      </c>
      <c r="DI252" t="e">
        <f>Europe!C99+"n/&gt;!/45"</f>
        <v>#VALUE!</v>
      </c>
      <c r="DJ252" t="e">
        <f>Europe!D99+"n/&gt;!/46"</f>
        <v>#VALUE!</v>
      </c>
      <c r="DK252" t="e">
        <f>Europe!E99+"n/&gt;!/47"</f>
        <v>#VALUE!</v>
      </c>
      <c r="DL252" t="e">
        <f>Europe!F99+"n/&gt;!/48"</f>
        <v>#VALUE!</v>
      </c>
      <c r="DM252" t="e">
        <f>Europe!G99+"n/&gt;!/49"</f>
        <v>#VALUE!</v>
      </c>
      <c r="DN252" t="e">
        <f>Europe!H99+"n/&gt;!/4:"</f>
        <v>#VALUE!</v>
      </c>
      <c r="DO252" t="e">
        <f>Europe!I99+"n/&gt;!/4;"</f>
        <v>#VALUE!</v>
      </c>
      <c r="DP252" t="e">
        <f>Europe!A100+"n/&gt;!/4&lt;"</f>
        <v>#VALUE!</v>
      </c>
      <c r="DQ252" t="e">
        <f>Europe!B100+"n/&gt;!/4="</f>
        <v>#VALUE!</v>
      </c>
      <c r="DR252" t="e">
        <f>Europe!C100+"n/&gt;!/4&gt;"</f>
        <v>#VALUE!</v>
      </c>
      <c r="DS252" t="e">
        <f>Europe!D100+"n/&gt;!/4?"</f>
        <v>#VALUE!</v>
      </c>
      <c r="DT252" t="e">
        <f>Europe!E100+"n/&gt;!/4@"</f>
        <v>#VALUE!</v>
      </c>
      <c r="DU252" t="e">
        <f>Europe!F100+"n/&gt;!/4A"</f>
        <v>#VALUE!</v>
      </c>
      <c r="DV252" t="e">
        <f>Europe!G100+"n/&gt;!/4B"</f>
        <v>#VALUE!</v>
      </c>
      <c r="DW252" t="e">
        <f>Europe!H100+"n/&gt;!/4C"</f>
        <v>#VALUE!</v>
      </c>
      <c r="DX252" t="e">
        <f>Europe!I100+"n/&gt;!/4D"</f>
        <v>#VALUE!</v>
      </c>
      <c r="DY252" t="e">
        <f>Europe!A101+"n/&gt;!/4E"</f>
        <v>#VALUE!</v>
      </c>
      <c r="DZ252" t="e">
        <f>Europe!B101+"n/&gt;!/4F"</f>
        <v>#VALUE!</v>
      </c>
      <c r="EA252" t="e">
        <f>Europe!C101+"n/&gt;!/4G"</f>
        <v>#VALUE!</v>
      </c>
      <c r="EB252" t="e">
        <f>Europe!D101+"n/&gt;!/4H"</f>
        <v>#VALUE!</v>
      </c>
      <c r="EC252" t="e">
        <f>Europe!E101+"n/&gt;!/4I"</f>
        <v>#VALUE!</v>
      </c>
      <c r="ED252" t="e">
        <f>Europe!F101+"n/&gt;!/4J"</f>
        <v>#VALUE!</v>
      </c>
      <c r="EE252" t="e">
        <f>Europe!G101+"n/&gt;!/4K"</f>
        <v>#VALUE!</v>
      </c>
      <c r="EF252" t="e">
        <f>Europe!H101+"n/&gt;!/4L"</f>
        <v>#VALUE!</v>
      </c>
      <c r="EG252" t="e">
        <f>Europe!I101+"n/&gt;!/4M"</f>
        <v>#VALUE!</v>
      </c>
      <c r="EH252" t="e">
        <f>Europe!A102+"n/&gt;!/4N"</f>
        <v>#VALUE!</v>
      </c>
      <c r="EI252" t="e">
        <f>Europe!B102+"n/&gt;!/4O"</f>
        <v>#VALUE!</v>
      </c>
      <c r="EJ252" t="e">
        <f>Europe!C102+"n/&gt;!/4P"</f>
        <v>#VALUE!</v>
      </c>
      <c r="EK252" t="e">
        <f>Europe!D102+"n/&gt;!/4Q"</f>
        <v>#VALUE!</v>
      </c>
      <c r="EL252" t="e">
        <f>Europe!E102+"n/&gt;!/4R"</f>
        <v>#VALUE!</v>
      </c>
      <c r="EM252" t="e">
        <f>Europe!F102+"n/&gt;!/4S"</f>
        <v>#VALUE!</v>
      </c>
      <c r="EN252" t="e">
        <f>Europe!G102+"n/&gt;!/4T"</f>
        <v>#VALUE!</v>
      </c>
      <c r="EO252" t="e">
        <f>Europe!H102+"n/&gt;!/4U"</f>
        <v>#VALUE!</v>
      </c>
      <c r="EP252" t="e">
        <f>Europe!I102+"n/&gt;!/4V"</f>
        <v>#VALUE!</v>
      </c>
      <c r="EQ252" t="e">
        <f>Europe!A103+"n/&gt;!/4W"</f>
        <v>#VALUE!</v>
      </c>
      <c r="ER252" t="e">
        <f>Europe!B103+"n/&gt;!/4X"</f>
        <v>#VALUE!</v>
      </c>
      <c r="ES252" t="e">
        <f>Europe!C103+"n/&gt;!/4Y"</f>
        <v>#VALUE!</v>
      </c>
      <c r="ET252" t="e">
        <f>Europe!D103+"n/&gt;!/4Z"</f>
        <v>#VALUE!</v>
      </c>
      <c r="EU252" t="e">
        <f>Europe!E103+"n/&gt;!/4["</f>
        <v>#VALUE!</v>
      </c>
      <c r="EV252" t="e">
        <f>Europe!F103+"n/&gt;!/4\"</f>
        <v>#VALUE!</v>
      </c>
      <c r="EW252" t="e">
        <f>Europe!G103+"n/&gt;!/4]"</f>
        <v>#VALUE!</v>
      </c>
      <c r="EX252" t="e">
        <f>Europe!H103+"n/&gt;!/4^"</f>
        <v>#VALUE!</v>
      </c>
      <c r="EY252" t="e">
        <f>Europe!I103+"n/&gt;!/4_"</f>
        <v>#VALUE!</v>
      </c>
      <c r="EZ252" t="e">
        <f>Europe!A104+"n/&gt;!/4`"</f>
        <v>#VALUE!</v>
      </c>
      <c r="FA252" t="e">
        <f>Europe!B104+"n/&gt;!/4a"</f>
        <v>#VALUE!</v>
      </c>
      <c r="FB252" t="e">
        <f>Europe!C104+"n/&gt;!/4b"</f>
        <v>#VALUE!</v>
      </c>
      <c r="FC252" t="e">
        <f>Europe!D104+"n/&gt;!/4c"</f>
        <v>#VALUE!</v>
      </c>
      <c r="FD252" t="e">
        <f>Europe!E104+"n/&gt;!/4d"</f>
        <v>#VALUE!</v>
      </c>
      <c r="FE252" t="e">
        <f>Europe!F104+"n/&gt;!/4e"</f>
        <v>#VALUE!</v>
      </c>
      <c r="FF252" t="e">
        <f>Europe!G104+"n/&gt;!/4f"</f>
        <v>#VALUE!</v>
      </c>
      <c r="FG252" t="e">
        <f>Europe!H104+"n/&gt;!/4g"</f>
        <v>#VALUE!</v>
      </c>
      <c r="FH252" t="e">
        <f>Europe!I104+"n/&gt;!/4h"</f>
        <v>#VALUE!</v>
      </c>
      <c r="FI252" t="e">
        <f>Europe!A105+"n/&gt;!/4i"</f>
        <v>#VALUE!</v>
      </c>
      <c r="FJ252" t="e">
        <f>Europe!B105+"n/&gt;!/4j"</f>
        <v>#VALUE!</v>
      </c>
      <c r="FK252" t="e">
        <f>Europe!C105+"n/&gt;!/4k"</f>
        <v>#VALUE!</v>
      </c>
      <c r="FL252" t="e">
        <f>Europe!D105+"n/&gt;!/4l"</f>
        <v>#VALUE!</v>
      </c>
      <c r="FM252" t="e">
        <f>Europe!E105+"n/&gt;!/4m"</f>
        <v>#VALUE!</v>
      </c>
      <c r="FN252" t="e">
        <f>Europe!F105+"n/&gt;!/4n"</f>
        <v>#VALUE!</v>
      </c>
      <c r="FO252" t="e">
        <f>Europe!G105+"n/&gt;!/4o"</f>
        <v>#VALUE!</v>
      </c>
      <c r="FP252" t="e">
        <f>Europe!H105+"n/&gt;!/4p"</f>
        <v>#VALUE!</v>
      </c>
      <c r="FQ252" t="e">
        <f>Europe!I105+"n/&gt;!/4q"</f>
        <v>#VALUE!</v>
      </c>
      <c r="FR252" t="e">
        <f>Europe!A106+"n/&gt;!/4r"</f>
        <v>#VALUE!</v>
      </c>
      <c r="FS252" t="e">
        <f>Europe!B106+"n/&gt;!/4s"</f>
        <v>#VALUE!</v>
      </c>
      <c r="FT252" t="e">
        <f>Europe!C106+"n/&gt;!/4t"</f>
        <v>#VALUE!</v>
      </c>
      <c r="FU252" t="e">
        <f>Europe!D106+"n/&gt;!/4u"</f>
        <v>#VALUE!</v>
      </c>
      <c r="FV252" t="e">
        <f>Europe!E106+"n/&gt;!/4v"</f>
        <v>#VALUE!</v>
      </c>
      <c r="FW252" t="e">
        <f>Europe!F106+"n/&gt;!/4w"</f>
        <v>#VALUE!</v>
      </c>
      <c r="FX252" t="e">
        <f>Europe!G106+"n/&gt;!/4x"</f>
        <v>#VALUE!</v>
      </c>
      <c r="FY252" t="e">
        <f>Europe!H106+"n/&gt;!/4y"</f>
        <v>#VALUE!</v>
      </c>
      <c r="FZ252" t="e">
        <f>Europe!I106+"n/&gt;!/4z"</f>
        <v>#VALUE!</v>
      </c>
      <c r="GA252" t="e">
        <f>Europe!A107+"n/&gt;!/4{"</f>
        <v>#VALUE!</v>
      </c>
      <c r="GB252" t="e">
        <f>Europe!B107+"n/&gt;!/4|"</f>
        <v>#VALUE!</v>
      </c>
      <c r="GC252" t="e">
        <f>Europe!C107+"n/&gt;!/4}"</f>
        <v>#VALUE!</v>
      </c>
      <c r="GD252" t="e">
        <f>Europe!D107+"n/&gt;!/4~"</f>
        <v>#VALUE!</v>
      </c>
      <c r="GE252" t="e">
        <f>Europe!E107+"n/&gt;!/5#"</f>
        <v>#VALUE!</v>
      </c>
      <c r="GF252" t="e">
        <f>Europe!F107+"n/&gt;!/5$"</f>
        <v>#VALUE!</v>
      </c>
      <c r="GG252" t="e">
        <f>Europe!G107+"n/&gt;!/5%"</f>
        <v>#VALUE!</v>
      </c>
      <c r="GH252" t="e">
        <f>Europe!H107+"n/&gt;!/5&amp;"</f>
        <v>#VALUE!</v>
      </c>
      <c r="GI252" t="e">
        <f>Europe!I107+"n/&gt;!/5'"</f>
        <v>#VALUE!</v>
      </c>
      <c r="GJ252" t="e">
        <f>Europe!A108+"n/&gt;!/5("</f>
        <v>#VALUE!</v>
      </c>
      <c r="GK252" t="e">
        <f>Europe!B108+"n/&gt;!/5)"</f>
        <v>#VALUE!</v>
      </c>
      <c r="GL252" t="e">
        <f>Europe!C108+"n/&gt;!/5."</f>
        <v>#VALUE!</v>
      </c>
      <c r="GM252" t="e">
        <f>Europe!D108+"n/&gt;!/5/"</f>
        <v>#VALUE!</v>
      </c>
      <c r="GN252" t="e">
        <f>Europe!E108+"n/&gt;!/50"</f>
        <v>#VALUE!</v>
      </c>
      <c r="GO252" t="e">
        <f>Europe!F108+"n/&gt;!/51"</f>
        <v>#VALUE!</v>
      </c>
      <c r="GP252" t="e">
        <f>Europe!G108+"n/&gt;!/52"</f>
        <v>#VALUE!</v>
      </c>
      <c r="GQ252" t="e">
        <f>Europe!H108+"n/&gt;!/53"</f>
        <v>#VALUE!</v>
      </c>
      <c r="GR252" t="e">
        <f>Europe!I108+"n/&gt;!/54"</f>
        <v>#VALUE!</v>
      </c>
      <c r="GS252" t="e">
        <f>Europe!A109+"n/&gt;!/55"</f>
        <v>#VALUE!</v>
      </c>
      <c r="GT252" t="e">
        <f>Europe!B109+"n/&gt;!/56"</f>
        <v>#VALUE!</v>
      </c>
      <c r="GU252" t="e">
        <f>Europe!C109+"n/&gt;!/57"</f>
        <v>#VALUE!</v>
      </c>
      <c r="GV252" t="e">
        <f>Europe!D109+"n/&gt;!/58"</f>
        <v>#VALUE!</v>
      </c>
      <c r="GW252" t="e">
        <f>Europe!E109+"n/&gt;!/59"</f>
        <v>#VALUE!</v>
      </c>
      <c r="GX252" t="e">
        <f>Europe!F109+"n/&gt;!/5:"</f>
        <v>#VALUE!</v>
      </c>
      <c r="GY252" t="e">
        <f>Europe!G109+"n/&gt;!/5;"</f>
        <v>#VALUE!</v>
      </c>
      <c r="GZ252" t="e">
        <f>Europe!H109+"n/&gt;!/5&lt;"</f>
        <v>#VALUE!</v>
      </c>
      <c r="HA252" t="e">
        <f>Europe!I109+"n/&gt;!/5="</f>
        <v>#VALUE!</v>
      </c>
      <c r="HB252" t="e">
        <f>Europe!A110+"n/&gt;!/5&gt;"</f>
        <v>#VALUE!</v>
      </c>
      <c r="HC252" t="e">
        <f>Europe!B110+"n/&gt;!/5?"</f>
        <v>#VALUE!</v>
      </c>
      <c r="HD252" t="e">
        <f>Europe!C110+"n/&gt;!/5@"</f>
        <v>#VALUE!</v>
      </c>
      <c r="HE252" t="e">
        <f>Europe!D110+"n/&gt;!/5A"</f>
        <v>#VALUE!</v>
      </c>
      <c r="HF252" t="e">
        <f>Europe!E110+"n/&gt;!/5B"</f>
        <v>#VALUE!</v>
      </c>
      <c r="HG252" t="e">
        <f>Europe!F110+"n/&gt;!/5C"</f>
        <v>#VALUE!</v>
      </c>
      <c r="HH252" t="e">
        <f>Europe!G110+"n/&gt;!/5D"</f>
        <v>#VALUE!</v>
      </c>
      <c r="HI252" t="e">
        <f>Europe!H110+"n/&gt;!/5E"</f>
        <v>#VALUE!</v>
      </c>
      <c r="HJ252" t="e">
        <f>Europe!I110+"n/&gt;!/5F"</f>
        <v>#VALUE!</v>
      </c>
      <c r="HK252" t="e">
        <f>Europe!A111+"n/&gt;!/5G"</f>
        <v>#VALUE!</v>
      </c>
      <c r="HL252" t="e">
        <f>Europe!B111+"n/&gt;!/5H"</f>
        <v>#VALUE!</v>
      </c>
      <c r="HM252" t="e">
        <f>Europe!C111+"n/&gt;!/5I"</f>
        <v>#VALUE!</v>
      </c>
      <c r="HN252" t="e">
        <f>Europe!D111+"n/&gt;!/5J"</f>
        <v>#VALUE!</v>
      </c>
      <c r="HO252" t="e">
        <f>Europe!E111+"n/&gt;!/5K"</f>
        <v>#VALUE!</v>
      </c>
      <c r="HP252" t="e">
        <f>Europe!F111+"n/&gt;!/5L"</f>
        <v>#VALUE!</v>
      </c>
      <c r="HQ252" t="e">
        <f>Europe!G111+"n/&gt;!/5M"</f>
        <v>#VALUE!</v>
      </c>
      <c r="HR252" t="e">
        <f>Europe!H111+"n/&gt;!/5N"</f>
        <v>#VALUE!</v>
      </c>
      <c r="HS252" t="e">
        <f>Europe!I111+"n/&gt;!/5O"</f>
        <v>#VALUE!</v>
      </c>
      <c r="HT252" t="e">
        <f>Europe!A112+"n/&gt;!/5P"</f>
        <v>#VALUE!</v>
      </c>
      <c r="HU252" t="e">
        <f>Europe!B112+"n/&gt;!/5Q"</f>
        <v>#VALUE!</v>
      </c>
      <c r="HV252" t="e">
        <f>Europe!C112+"n/&gt;!/5R"</f>
        <v>#VALUE!</v>
      </c>
      <c r="HW252" t="e">
        <f>Europe!D112+"n/&gt;!/5S"</f>
        <v>#VALUE!</v>
      </c>
      <c r="HX252" t="e">
        <f>Europe!E112+"n/&gt;!/5T"</f>
        <v>#VALUE!</v>
      </c>
      <c r="HY252" t="e">
        <f>Europe!F112+"n/&gt;!/5U"</f>
        <v>#VALUE!</v>
      </c>
      <c r="HZ252" t="e">
        <f>Europe!G112+"n/&gt;!/5V"</f>
        <v>#VALUE!</v>
      </c>
      <c r="IA252" t="e">
        <f>Europe!H112+"n/&gt;!/5W"</f>
        <v>#VALUE!</v>
      </c>
      <c r="IB252" t="e">
        <f>Europe!I112+"n/&gt;!/5X"</f>
        <v>#VALUE!</v>
      </c>
      <c r="IC252" t="e">
        <f>Europe!A113+"n/&gt;!/5Y"</f>
        <v>#VALUE!</v>
      </c>
      <c r="ID252" t="e">
        <f>Europe!B113+"n/&gt;!/5Z"</f>
        <v>#VALUE!</v>
      </c>
      <c r="IE252" t="e">
        <f>Europe!C113+"n/&gt;!/5["</f>
        <v>#VALUE!</v>
      </c>
      <c r="IF252" t="e">
        <f>Europe!D113+"n/&gt;!/5\"</f>
        <v>#VALUE!</v>
      </c>
      <c r="IG252" t="e">
        <f>Europe!E113+"n/&gt;!/5]"</f>
        <v>#VALUE!</v>
      </c>
      <c r="IH252" t="e">
        <f>Europe!F113+"n/&gt;!/5^"</f>
        <v>#VALUE!</v>
      </c>
      <c r="II252" t="e">
        <f>Europe!G113+"n/&gt;!/5_"</f>
        <v>#VALUE!</v>
      </c>
      <c r="IJ252" t="e">
        <f>Europe!H113+"n/&gt;!/5`"</f>
        <v>#VALUE!</v>
      </c>
      <c r="IK252" t="e">
        <f>Europe!I113+"n/&gt;!/5a"</f>
        <v>#VALUE!</v>
      </c>
      <c r="IL252" t="e">
        <f>Europe!A114+"n/&gt;!/5b"</f>
        <v>#VALUE!</v>
      </c>
      <c r="IM252" t="e">
        <f>Europe!B114+"n/&gt;!/5c"</f>
        <v>#VALUE!</v>
      </c>
      <c r="IN252" t="e">
        <f>Europe!C114+"n/&gt;!/5d"</f>
        <v>#VALUE!</v>
      </c>
      <c r="IO252" t="e">
        <f>Europe!D114+"n/&gt;!/5e"</f>
        <v>#VALUE!</v>
      </c>
      <c r="IP252" t="e">
        <f>Europe!E114+"n/&gt;!/5f"</f>
        <v>#VALUE!</v>
      </c>
      <c r="IQ252" t="e">
        <f>Europe!F114+"n/&gt;!/5g"</f>
        <v>#VALUE!</v>
      </c>
      <c r="IR252" t="e">
        <f>Europe!G114+"n/&gt;!/5h"</f>
        <v>#VALUE!</v>
      </c>
      <c r="IS252" t="e">
        <f>Europe!H114+"n/&gt;!/5i"</f>
        <v>#VALUE!</v>
      </c>
      <c r="IT252" t="e">
        <f>Europe!I114+"n/&gt;!/5j"</f>
        <v>#VALUE!</v>
      </c>
      <c r="IU252" t="e">
        <f>Europe!A115+"n/&gt;!/5k"</f>
        <v>#VALUE!</v>
      </c>
      <c r="IV252" t="e">
        <f>Europe!B115+"n/&gt;!/5l"</f>
        <v>#VALUE!</v>
      </c>
    </row>
    <row r="253" spans="6:256" x14ac:dyDescent="0.35">
      <c r="F253" t="e">
        <f>Europe!C115+"n/&gt;!/5m"</f>
        <v>#VALUE!</v>
      </c>
      <c r="G253" t="e">
        <f>Europe!D115+"n/&gt;!/5n"</f>
        <v>#VALUE!</v>
      </c>
      <c r="H253" t="e">
        <f>Europe!E115+"n/&gt;!/5o"</f>
        <v>#VALUE!</v>
      </c>
      <c r="I253" t="e">
        <f>Europe!F115+"n/&gt;!/5p"</f>
        <v>#VALUE!</v>
      </c>
      <c r="J253" t="e">
        <f>Europe!G115+"n/&gt;!/5q"</f>
        <v>#VALUE!</v>
      </c>
      <c r="K253" t="e">
        <f>Europe!H115+"n/&gt;!/5r"</f>
        <v>#VALUE!</v>
      </c>
      <c r="L253" t="e">
        <f>Europe!I115+"n/&gt;!/5s"</f>
        <v>#VALUE!</v>
      </c>
      <c r="M253" t="e">
        <f>Europe!A116+"n/&gt;!/5t"</f>
        <v>#VALUE!</v>
      </c>
      <c r="N253" t="e">
        <f>Europe!B116+"n/&gt;!/5u"</f>
        <v>#VALUE!</v>
      </c>
      <c r="O253" t="e">
        <f>Europe!C116+"n/&gt;!/5v"</f>
        <v>#VALUE!</v>
      </c>
      <c r="P253" t="e">
        <f>Europe!D116+"n/&gt;!/5w"</f>
        <v>#VALUE!</v>
      </c>
      <c r="Q253" t="e">
        <f>Europe!E116+"n/&gt;!/5x"</f>
        <v>#VALUE!</v>
      </c>
      <c r="R253" t="e">
        <f>Europe!F116+"n/&gt;!/5y"</f>
        <v>#VALUE!</v>
      </c>
      <c r="S253" t="e">
        <f>Europe!G116+"n/&gt;!/5z"</f>
        <v>#VALUE!</v>
      </c>
      <c r="T253" t="e">
        <f>Europe!H116+"n/&gt;!/5{"</f>
        <v>#VALUE!</v>
      </c>
      <c r="U253" t="e">
        <f>Europe!I116+"n/&gt;!/5|"</f>
        <v>#VALUE!</v>
      </c>
      <c r="V253" t="e">
        <f>Europe!A117+"n/&gt;!/5}"</f>
        <v>#VALUE!</v>
      </c>
      <c r="W253" t="e">
        <f>Europe!B117+"n/&gt;!/5~"</f>
        <v>#VALUE!</v>
      </c>
      <c r="X253" t="e">
        <f>Europe!C117+"n/&gt;!/6#"</f>
        <v>#VALUE!</v>
      </c>
      <c r="Y253" t="e">
        <f>Europe!D117+"n/&gt;!/6$"</f>
        <v>#VALUE!</v>
      </c>
      <c r="Z253" t="e">
        <f>Europe!E117+"n/&gt;!/6%"</f>
        <v>#VALUE!</v>
      </c>
      <c r="AA253" t="e">
        <f>Europe!F117+"n/&gt;!/6&amp;"</f>
        <v>#VALUE!</v>
      </c>
      <c r="AB253" t="e">
        <f>Europe!G117+"n/&gt;!/6'"</f>
        <v>#VALUE!</v>
      </c>
      <c r="AC253" t="e">
        <f>Europe!H117+"n/&gt;!/6("</f>
        <v>#VALUE!</v>
      </c>
      <c r="AD253" t="e">
        <f>Europe!I117+"n/&gt;!/6)"</f>
        <v>#VALUE!</v>
      </c>
      <c r="AE253" t="e">
        <f>Europe!A118+"n/&gt;!/6."</f>
        <v>#VALUE!</v>
      </c>
      <c r="AF253" t="e">
        <f>Europe!B118+"n/&gt;!/6/"</f>
        <v>#VALUE!</v>
      </c>
      <c r="AG253" t="e">
        <f>Europe!C118+"n/&gt;!/60"</f>
        <v>#VALUE!</v>
      </c>
      <c r="AH253" t="e">
        <f>Europe!D118+"n/&gt;!/61"</f>
        <v>#VALUE!</v>
      </c>
      <c r="AI253" t="e">
        <f>Europe!E118+"n/&gt;!/62"</f>
        <v>#VALUE!</v>
      </c>
      <c r="AJ253" t="e">
        <f>Europe!F118+"n/&gt;!/63"</f>
        <v>#VALUE!</v>
      </c>
      <c r="AK253" t="e">
        <f>Europe!G118+"n/&gt;!/64"</f>
        <v>#VALUE!</v>
      </c>
      <c r="AL253" t="e">
        <f>Europe!H118+"n/&gt;!/65"</f>
        <v>#VALUE!</v>
      </c>
      <c r="AM253" t="e">
        <f>Europe!I118+"n/&gt;!/66"</f>
        <v>#VALUE!</v>
      </c>
      <c r="AN253" t="e">
        <f>Europe!A119+"n/&gt;!/67"</f>
        <v>#VALUE!</v>
      </c>
      <c r="AO253" t="e">
        <f>Europe!B119+"n/&gt;!/68"</f>
        <v>#VALUE!</v>
      </c>
      <c r="AP253" t="e">
        <f>Europe!C119+"n/&gt;!/69"</f>
        <v>#VALUE!</v>
      </c>
      <c r="AQ253" t="e">
        <f>Europe!D119+"n/&gt;!/6:"</f>
        <v>#VALUE!</v>
      </c>
      <c r="AR253" t="e">
        <f>Europe!E119+"n/&gt;!/6;"</f>
        <v>#VALUE!</v>
      </c>
      <c r="AS253" t="e">
        <f>Europe!F119+"n/&gt;!/6&lt;"</f>
        <v>#VALUE!</v>
      </c>
      <c r="AT253" t="e">
        <f>Europe!G119+"n/&gt;!/6="</f>
        <v>#VALUE!</v>
      </c>
      <c r="AU253" t="e">
        <f>Europe!H119+"n/&gt;!/6&gt;"</f>
        <v>#VALUE!</v>
      </c>
      <c r="AV253" t="e">
        <f>Europe!I119+"n/&gt;!/6?"</f>
        <v>#VALUE!</v>
      </c>
      <c r="AW253" t="e">
        <f>Europe!A120+"n/&gt;!/6@"</f>
        <v>#VALUE!</v>
      </c>
      <c r="AX253" t="e">
        <f>Europe!B120+"n/&gt;!/6A"</f>
        <v>#VALUE!</v>
      </c>
      <c r="AY253" t="e">
        <f>Europe!C120+"n/&gt;!/6B"</f>
        <v>#VALUE!</v>
      </c>
      <c r="AZ253" t="e">
        <f>Europe!D120+"n/&gt;!/6C"</f>
        <v>#VALUE!</v>
      </c>
      <c r="BA253" t="e">
        <f>Europe!E120+"n/&gt;!/6D"</f>
        <v>#VALUE!</v>
      </c>
      <c r="BB253" t="e">
        <f>Europe!F120+"n/&gt;!/6E"</f>
        <v>#VALUE!</v>
      </c>
      <c r="BC253" t="e">
        <f>Europe!G120+"n/&gt;!/6F"</f>
        <v>#VALUE!</v>
      </c>
      <c r="BD253" t="e">
        <f>Europe!H120+"n/&gt;!/6G"</f>
        <v>#VALUE!</v>
      </c>
      <c r="BE253" t="e">
        <f>Europe!I120+"n/&gt;!/6H"</f>
        <v>#VALUE!</v>
      </c>
      <c r="BF253" t="e">
        <f>Europe!A121+"n/&gt;!/6I"</f>
        <v>#VALUE!</v>
      </c>
      <c r="BG253" t="e">
        <f>Europe!B121+"n/&gt;!/6J"</f>
        <v>#VALUE!</v>
      </c>
      <c r="BH253" t="e">
        <f>Europe!C121+"n/&gt;!/6K"</f>
        <v>#VALUE!</v>
      </c>
      <c r="BI253" t="e">
        <f>Europe!D121+"n/&gt;!/6L"</f>
        <v>#VALUE!</v>
      </c>
      <c r="BJ253" t="e">
        <f>Europe!E121+"n/&gt;!/6M"</f>
        <v>#VALUE!</v>
      </c>
      <c r="BK253" t="e">
        <f>Europe!F121+"n/&gt;!/6N"</f>
        <v>#VALUE!</v>
      </c>
      <c r="BL253" t="e">
        <f>Europe!G121+"n/&gt;!/6O"</f>
        <v>#VALUE!</v>
      </c>
      <c r="BM253" t="e">
        <f>Europe!H121+"n/&gt;!/6P"</f>
        <v>#VALUE!</v>
      </c>
      <c r="BN253" t="e">
        <f>Europe!I121+"n/&gt;!/6Q"</f>
        <v>#VALUE!</v>
      </c>
      <c r="BO253" t="e">
        <f>Europe!A122+"n/&gt;!/6R"</f>
        <v>#VALUE!</v>
      </c>
      <c r="BP253" t="e">
        <f>Europe!B122+"n/&gt;!/6S"</f>
        <v>#VALUE!</v>
      </c>
      <c r="BQ253" t="e">
        <f>Europe!C122+"n/&gt;!/6T"</f>
        <v>#VALUE!</v>
      </c>
      <c r="BR253" t="e">
        <f>Europe!D122+"n/&gt;!/6U"</f>
        <v>#VALUE!</v>
      </c>
      <c r="BS253" t="e">
        <f>Europe!E122+"n/&gt;!/6V"</f>
        <v>#VALUE!</v>
      </c>
      <c r="BT253" t="e">
        <f>Europe!F122+"n/&gt;!/6W"</f>
        <v>#VALUE!</v>
      </c>
      <c r="BU253" t="e">
        <f>Europe!G122+"n/&gt;!/6X"</f>
        <v>#VALUE!</v>
      </c>
      <c r="BV253" t="e">
        <f>Europe!H122+"n/&gt;!/6Y"</f>
        <v>#VALUE!</v>
      </c>
      <c r="BW253" t="e">
        <f>Europe!I122+"n/&gt;!/6Z"</f>
        <v>#VALUE!</v>
      </c>
      <c r="BX253" t="e">
        <f>Europe!A123+"n/&gt;!/6["</f>
        <v>#VALUE!</v>
      </c>
      <c r="BY253" t="e">
        <f>Europe!B123+"n/&gt;!/6\"</f>
        <v>#VALUE!</v>
      </c>
      <c r="BZ253" t="e">
        <f>Europe!C123+"n/&gt;!/6]"</f>
        <v>#VALUE!</v>
      </c>
      <c r="CA253" t="e">
        <f>Europe!D123+"n/&gt;!/6^"</f>
        <v>#VALUE!</v>
      </c>
      <c r="CB253" t="e">
        <f>Europe!E123+"n/&gt;!/6_"</f>
        <v>#VALUE!</v>
      </c>
      <c r="CC253" t="e">
        <f>Europe!F123+"n/&gt;!/6`"</f>
        <v>#VALUE!</v>
      </c>
      <c r="CD253" t="e">
        <f>Europe!G123+"n/&gt;!/6a"</f>
        <v>#VALUE!</v>
      </c>
      <c r="CE253" t="e">
        <f>Europe!H123+"n/&gt;!/6b"</f>
        <v>#VALUE!</v>
      </c>
      <c r="CF253" t="e">
        <f>Europe!I123+"n/&gt;!/6c"</f>
        <v>#VALUE!</v>
      </c>
      <c r="CG253" t="e">
        <f>Europe!A124+"n/&gt;!/6d"</f>
        <v>#VALUE!</v>
      </c>
      <c r="CH253" t="e">
        <f>Europe!B124+"n/&gt;!/6e"</f>
        <v>#VALUE!</v>
      </c>
      <c r="CI253" t="e">
        <f>Europe!C124+"n/&gt;!/6f"</f>
        <v>#VALUE!</v>
      </c>
      <c r="CJ253" t="e">
        <f>Europe!D124+"n/&gt;!/6g"</f>
        <v>#VALUE!</v>
      </c>
      <c r="CK253" t="e">
        <f>Europe!E124+"n/&gt;!/6h"</f>
        <v>#VALUE!</v>
      </c>
      <c r="CL253" t="e">
        <f>Europe!F124+"n/&gt;!/6i"</f>
        <v>#VALUE!</v>
      </c>
      <c r="CM253" t="e">
        <f>Europe!G124+"n/&gt;!/6j"</f>
        <v>#VALUE!</v>
      </c>
      <c r="CN253" t="e">
        <f>Europe!H124+"n/&gt;!/6k"</f>
        <v>#VALUE!</v>
      </c>
      <c r="CO253" t="e">
        <f>Europe!I124+"n/&gt;!/6l"</f>
        <v>#VALUE!</v>
      </c>
      <c r="CP253" t="e">
        <f>Europe!A125+"n/&gt;!/6m"</f>
        <v>#VALUE!</v>
      </c>
      <c r="CQ253" t="e">
        <f>Europe!B125+"n/&gt;!/6n"</f>
        <v>#VALUE!</v>
      </c>
      <c r="CR253" t="e">
        <f>Europe!C125+"n/&gt;!/6o"</f>
        <v>#VALUE!</v>
      </c>
      <c r="CS253" t="e">
        <f>Europe!D125+"n/&gt;!/6p"</f>
        <v>#VALUE!</v>
      </c>
      <c r="CT253" t="e">
        <f>Europe!E125+"n/&gt;!/6q"</f>
        <v>#VALUE!</v>
      </c>
      <c r="CU253" t="e">
        <f>Europe!F125+"n/&gt;!/6r"</f>
        <v>#VALUE!</v>
      </c>
      <c r="CV253" t="e">
        <f>Europe!G125+"n/&gt;!/6s"</f>
        <v>#VALUE!</v>
      </c>
      <c r="CW253" t="e">
        <f>Europe!H125+"n/&gt;!/6t"</f>
        <v>#VALUE!</v>
      </c>
      <c r="CX253" t="e">
        <f>Europe!I125+"n/&gt;!/6u"</f>
        <v>#VALUE!</v>
      </c>
      <c r="CY253" t="e">
        <f>Europe!A126+"n/&gt;!/6v"</f>
        <v>#VALUE!</v>
      </c>
      <c r="CZ253" t="e">
        <f>Europe!B126+"n/&gt;!/6w"</f>
        <v>#VALUE!</v>
      </c>
      <c r="DA253" t="e">
        <f>Europe!C126+"n/&gt;!/6x"</f>
        <v>#VALUE!</v>
      </c>
      <c r="DB253" t="e">
        <f>Europe!D126+"n/&gt;!/6y"</f>
        <v>#VALUE!</v>
      </c>
      <c r="DC253" t="e">
        <f>Europe!E126+"n/&gt;!/6z"</f>
        <v>#VALUE!</v>
      </c>
      <c r="DD253" t="e">
        <f>Europe!F126+"n/&gt;!/6{"</f>
        <v>#VALUE!</v>
      </c>
      <c r="DE253" t="e">
        <f>Europe!G126+"n/&gt;!/6|"</f>
        <v>#VALUE!</v>
      </c>
      <c r="DF253" t="e">
        <f>Europe!H126+"n/&gt;!/6}"</f>
        <v>#VALUE!</v>
      </c>
      <c r="DG253" t="e">
        <f>Europe!I126+"n/&gt;!/6~"</f>
        <v>#VALUE!</v>
      </c>
      <c r="DH253" t="e">
        <f>Europe!A127+"n/&gt;!/7#"</f>
        <v>#VALUE!</v>
      </c>
      <c r="DI253" t="e">
        <f>Europe!B127+"n/&gt;!/7$"</f>
        <v>#VALUE!</v>
      </c>
      <c r="DJ253" t="e">
        <f>Europe!C127+"n/&gt;!/7%"</f>
        <v>#VALUE!</v>
      </c>
      <c r="DK253" t="e">
        <f>Europe!D127+"n/&gt;!/7&amp;"</f>
        <v>#VALUE!</v>
      </c>
      <c r="DL253" t="e">
        <f>Europe!E127+"n/&gt;!/7'"</f>
        <v>#VALUE!</v>
      </c>
      <c r="DM253" t="e">
        <f>Europe!F127+"n/&gt;!/7("</f>
        <v>#VALUE!</v>
      </c>
      <c r="DN253" t="e">
        <f>Europe!G127+"n/&gt;!/7)"</f>
        <v>#VALUE!</v>
      </c>
      <c r="DO253" t="e">
        <f>Europe!H127+"n/&gt;!/7."</f>
        <v>#VALUE!</v>
      </c>
      <c r="DP253" t="e">
        <f>Europe!I127+"n/&gt;!/7/"</f>
        <v>#VALUE!</v>
      </c>
      <c r="DQ253" t="e">
        <f>Europe!A128+"n/&gt;!/70"</f>
        <v>#VALUE!</v>
      </c>
      <c r="DR253" t="e">
        <f>Europe!B128+"n/&gt;!/71"</f>
        <v>#VALUE!</v>
      </c>
      <c r="DS253" t="e">
        <f>Europe!C128+"n/&gt;!/72"</f>
        <v>#VALUE!</v>
      </c>
      <c r="DT253" t="e">
        <f>Europe!D128+"n/&gt;!/73"</f>
        <v>#VALUE!</v>
      </c>
      <c r="DU253" t="e">
        <f>Europe!E128+"n/&gt;!/74"</f>
        <v>#VALUE!</v>
      </c>
      <c r="DV253" t="e">
        <f>Europe!F128+"n/&gt;!/75"</f>
        <v>#VALUE!</v>
      </c>
      <c r="DW253" t="e">
        <f>Europe!G128+"n/&gt;!/76"</f>
        <v>#VALUE!</v>
      </c>
      <c r="DX253" t="e">
        <f>Europe!H128+"n/&gt;!/77"</f>
        <v>#VALUE!</v>
      </c>
      <c r="DY253" t="e">
        <f>Europe!I128+"n/&gt;!/78"</f>
        <v>#VALUE!</v>
      </c>
      <c r="DZ253" t="e">
        <f>Europe!A129+"n/&gt;!/79"</f>
        <v>#VALUE!</v>
      </c>
      <c r="EA253" t="e">
        <f>Europe!B129+"n/&gt;!/7:"</f>
        <v>#VALUE!</v>
      </c>
      <c r="EB253" t="e">
        <f>Europe!C129+"n/&gt;!/7;"</f>
        <v>#VALUE!</v>
      </c>
      <c r="EC253" t="e">
        <f>Europe!D129+"n/&gt;!/7&lt;"</f>
        <v>#VALUE!</v>
      </c>
      <c r="ED253" t="e">
        <f>Europe!E129+"n/&gt;!/7="</f>
        <v>#VALUE!</v>
      </c>
      <c r="EE253" t="e">
        <f>Europe!F129+"n/&gt;!/7&gt;"</f>
        <v>#VALUE!</v>
      </c>
      <c r="EF253" t="e">
        <f>Europe!G129+"n/&gt;!/7?"</f>
        <v>#VALUE!</v>
      </c>
      <c r="EG253" t="e">
        <f>Europe!H129+"n/&gt;!/7@"</f>
        <v>#VALUE!</v>
      </c>
      <c r="EH253" t="e">
        <f>Europe!I129+"n/&gt;!/7A"</f>
        <v>#VALUE!</v>
      </c>
      <c r="EI253" t="e">
        <f>Europe!A130+"n/&gt;!/7B"</f>
        <v>#VALUE!</v>
      </c>
      <c r="EJ253" t="e">
        <f>Europe!B130+"n/&gt;!/7C"</f>
        <v>#VALUE!</v>
      </c>
      <c r="EK253" t="e">
        <f>Europe!C130+"n/&gt;!/7D"</f>
        <v>#VALUE!</v>
      </c>
      <c r="EL253" t="e">
        <f>Europe!D130+"n/&gt;!/7E"</f>
        <v>#VALUE!</v>
      </c>
      <c r="EM253" t="e">
        <f>Europe!E130+"n/&gt;!/7F"</f>
        <v>#VALUE!</v>
      </c>
      <c r="EN253" t="e">
        <f>Europe!F130+"n/&gt;!/7G"</f>
        <v>#VALUE!</v>
      </c>
      <c r="EO253" t="e">
        <f>Europe!G130+"n/&gt;!/7H"</f>
        <v>#VALUE!</v>
      </c>
      <c r="EP253" t="e">
        <f>Europe!H130+"n/&gt;!/7I"</f>
        <v>#VALUE!</v>
      </c>
      <c r="EQ253" t="e">
        <f>Europe!I130+"n/&gt;!/7J"</f>
        <v>#VALUE!</v>
      </c>
      <c r="ER253" t="e">
        <f>Europe!A131+"n/&gt;!/7K"</f>
        <v>#VALUE!</v>
      </c>
      <c r="ES253" t="e">
        <f>Europe!B131+"n/&gt;!/7L"</f>
        <v>#VALUE!</v>
      </c>
      <c r="ET253" t="e">
        <f>Europe!C131+"n/&gt;!/7M"</f>
        <v>#VALUE!</v>
      </c>
      <c r="EU253" t="e">
        <f>Europe!D131+"n/&gt;!/7N"</f>
        <v>#VALUE!</v>
      </c>
      <c r="EV253" t="e">
        <f>Europe!E131+"n/&gt;!/7O"</f>
        <v>#VALUE!</v>
      </c>
      <c r="EW253" t="e">
        <f>Europe!F131+"n/&gt;!/7P"</f>
        <v>#VALUE!</v>
      </c>
      <c r="EX253" t="e">
        <f>Europe!G131+"n/&gt;!/7Q"</f>
        <v>#VALUE!</v>
      </c>
      <c r="EY253" t="e">
        <f>Europe!H131+"n/&gt;!/7R"</f>
        <v>#VALUE!</v>
      </c>
      <c r="EZ253" t="e">
        <f>Europe!I131+"n/&gt;!/7S"</f>
        <v>#VALUE!</v>
      </c>
      <c r="FA253" t="e">
        <f>Europe!A132+"n/&gt;!/7T"</f>
        <v>#VALUE!</v>
      </c>
      <c r="FB253" t="e">
        <f>Europe!B132+"n/&gt;!/7U"</f>
        <v>#VALUE!</v>
      </c>
      <c r="FC253" t="e">
        <f>Europe!C132+"n/&gt;!/7V"</f>
        <v>#VALUE!</v>
      </c>
      <c r="FD253" t="e">
        <f>Europe!D132+"n/&gt;!/7W"</f>
        <v>#VALUE!</v>
      </c>
      <c r="FE253" t="e">
        <f>Europe!E132+"n/&gt;!/7X"</f>
        <v>#VALUE!</v>
      </c>
      <c r="FF253" t="e">
        <f>Europe!F132+"n/&gt;!/7Y"</f>
        <v>#VALUE!</v>
      </c>
      <c r="FG253" t="e">
        <f>Europe!G132+"n/&gt;!/7Z"</f>
        <v>#VALUE!</v>
      </c>
      <c r="FH253" t="e">
        <f>Europe!H132+"n/&gt;!/7["</f>
        <v>#VALUE!</v>
      </c>
      <c r="FI253" t="e">
        <f>Europe!I132+"n/&gt;!/7\"</f>
        <v>#VALUE!</v>
      </c>
      <c r="FJ253" t="e">
        <f>Europe!A133+"n/&gt;!/7]"</f>
        <v>#VALUE!</v>
      </c>
      <c r="FK253" t="e">
        <f>Europe!B133+"n/&gt;!/7^"</f>
        <v>#VALUE!</v>
      </c>
      <c r="FL253" t="e">
        <f>Europe!C133+"n/&gt;!/7_"</f>
        <v>#VALUE!</v>
      </c>
      <c r="FM253" t="e">
        <f>Europe!D133+"n/&gt;!/7`"</f>
        <v>#VALUE!</v>
      </c>
      <c r="FN253" t="e">
        <f>Europe!E133+"n/&gt;!/7a"</f>
        <v>#VALUE!</v>
      </c>
      <c r="FO253" t="e">
        <f>Europe!F133+"n/&gt;!/7b"</f>
        <v>#VALUE!</v>
      </c>
      <c r="FP253" t="e">
        <f>Europe!G133+"n/&gt;!/7c"</f>
        <v>#VALUE!</v>
      </c>
      <c r="FQ253" t="e">
        <f>Europe!H133+"n/&gt;!/7d"</f>
        <v>#VALUE!</v>
      </c>
      <c r="FR253" t="e">
        <f>Europe!I133+"n/&gt;!/7e"</f>
        <v>#VALUE!</v>
      </c>
      <c r="FS253" t="e">
        <f>Europe!A134+"n/&gt;!/7f"</f>
        <v>#VALUE!</v>
      </c>
      <c r="FT253" t="e">
        <f>Europe!B134+"n/&gt;!/7g"</f>
        <v>#VALUE!</v>
      </c>
      <c r="FU253" t="e">
        <f>Europe!C134+"n/&gt;!/7h"</f>
        <v>#VALUE!</v>
      </c>
      <c r="FV253" t="e">
        <f>Europe!D134+"n/&gt;!/7i"</f>
        <v>#VALUE!</v>
      </c>
      <c r="FW253" t="e">
        <f>Europe!E134+"n/&gt;!/7j"</f>
        <v>#VALUE!</v>
      </c>
      <c r="FX253" t="e">
        <f>Europe!F134+"n/&gt;!/7k"</f>
        <v>#VALUE!</v>
      </c>
      <c r="FY253" t="e">
        <f>Europe!G134+"n/&gt;!/7l"</f>
        <v>#VALUE!</v>
      </c>
      <c r="FZ253" t="e">
        <f>Europe!H134+"n/&gt;!/7m"</f>
        <v>#VALUE!</v>
      </c>
      <c r="GA253" t="e">
        <f>Europe!I134+"n/&gt;!/7n"</f>
        <v>#VALUE!</v>
      </c>
      <c r="GB253" t="e">
        <f>Europe!A135+"n/&gt;!/7o"</f>
        <v>#VALUE!</v>
      </c>
      <c r="GC253" t="e">
        <f>Europe!B135+"n/&gt;!/7p"</f>
        <v>#VALUE!</v>
      </c>
      <c r="GD253" t="e">
        <f>Europe!C135+"n/&gt;!/7q"</f>
        <v>#VALUE!</v>
      </c>
      <c r="GE253" t="e">
        <f>Europe!D135+"n/&gt;!/7r"</f>
        <v>#VALUE!</v>
      </c>
      <c r="GF253" t="e">
        <f>Europe!E135+"n/&gt;!/7s"</f>
        <v>#VALUE!</v>
      </c>
      <c r="GG253" t="e">
        <f>Europe!F135+"n/&gt;!/7t"</f>
        <v>#VALUE!</v>
      </c>
      <c r="GH253" t="e">
        <f>Europe!G135+"n/&gt;!/7u"</f>
        <v>#VALUE!</v>
      </c>
      <c r="GI253" t="e">
        <f>Europe!H135+"n/&gt;!/7v"</f>
        <v>#VALUE!</v>
      </c>
      <c r="GJ253" t="e">
        <f>Europe!I135+"n/&gt;!/7w"</f>
        <v>#VALUE!</v>
      </c>
      <c r="GK253" t="e">
        <f>Europe!A136+"n/&gt;!/7x"</f>
        <v>#VALUE!</v>
      </c>
      <c r="GL253" t="e">
        <f>Europe!B136+"n/&gt;!/7y"</f>
        <v>#VALUE!</v>
      </c>
      <c r="GM253" t="e">
        <f>Europe!C136+"n/&gt;!/7z"</f>
        <v>#VALUE!</v>
      </c>
      <c r="GN253" t="e">
        <f>Europe!D136+"n/&gt;!/7{"</f>
        <v>#VALUE!</v>
      </c>
      <c r="GO253" t="e">
        <f>Europe!E136+"n/&gt;!/7|"</f>
        <v>#VALUE!</v>
      </c>
      <c r="GP253" t="e">
        <f>Europe!F136+"n/&gt;!/7}"</f>
        <v>#VALUE!</v>
      </c>
      <c r="GQ253" t="e">
        <f>Europe!G136+"n/&gt;!/7~"</f>
        <v>#VALUE!</v>
      </c>
      <c r="GR253" t="e">
        <f>Europe!H136+"n/&gt;!/8#"</f>
        <v>#VALUE!</v>
      </c>
      <c r="GS253" t="e">
        <f>Europe!I136+"n/&gt;!/8$"</f>
        <v>#VALUE!</v>
      </c>
      <c r="GT253" t="e">
        <f>Europe!A137+"n/&gt;!/8%"</f>
        <v>#VALUE!</v>
      </c>
      <c r="GU253" t="e">
        <f>Europe!B137+"n/&gt;!/8&amp;"</f>
        <v>#VALUE!</v>
      </c>
      <c r="GV253" t="e">
        <f>Europe!C137+"n/&gt;!/8'"</f>
        <v>#VALUE!</v>
      </c>
      <c r="GW253" t="e">
        <f>Europe!D137+"n/&gt;!/8("</f>
        <v>#VALUE!</v>
      </c>
      <c r="GX253" t="e">
        <f>Europe!E137+"n/&gt;!/8)"</f>
        <v>#VALUE!</v>
      </c>
      <c r="GY253" t="e">
        <f>Europe!F137+"n/&gt;!/8."</f>
        <v>#VALUE!</v>
      </c>
      <c r="GZ253" t="e">
        <f>Europe!G137+"n/&gt;!/8/"</f>
        <v>#VALUE!</v>
      </c>
      <c r="HA253" t="e">
        <f>Europe!H137+"n/&gt;!/80"</f>
        <v>#VALUE!</v>
      </c>
      <c r="HB253" t="e">
        <f>Europe!I137+"n/&gt;!/81"</f>
        <v>#VALUE!</v>
      </c>
      <c r="HC253" t="e">
        <f>Europe!A138+"n/&gt;!/82"</f>
        <v>#VALUE!</v>
      </c>
      <c r="HD253" t="e">
        <f>Europe!B138+"n/&gt;!/83"</f>
        <v>#VALUE!</v>
      </c>
      <c r="HE253" t="e">
        <f>Europe!C138+"n/&gt;!/84"</f>
        <v>#VALUE!</v>
      </c>
      <c r="HF253" t="e">
        <f>Europe!D138+"n/&gt;!/85"</f>
        <v>#VALUE!</v>
      </c>
      <c r="HG253" t="e">
        <f>Europe!E138+"n/&gt;!/86"</f>
        <v>#VALUE!</v>
      </c>
      <c r="HH253" t="e">
        <f>Europe!F138+"n/&gt;!/87"</f>
        <v>#VALUE!</v>
      </c>
      <c r="HI253" t="e">
        <f>Europe!G138+"n/&gt;!/88"</f>
        <v>#VALUE!</v>
      </c>
      <c r="HJ253" t="e">
        <f>Europe!H138+"n/&gt;!/89"</f>
        <v>#VALUE!</v>
      </c>
      <c r="HK253" t="e">
        <f>Europe!I138+"n/&gt;!/8:"</f>
        <v>#VALUE!</v>
      </c>
      <c r="HL253" t="e">
        <f>Europe!A139+"n/&gt;!/8;"</f>
        <v>#VALUE!</v>
      </c>
      <c r="HM253" t="e">
        <f>Europe!B139+"n/&gt;!/8&lt;"</f>
        <v>#VALUE!</v>
      </c>
      <c r="HN253" t="e">
        <f>Europe!C139+"n/&gt;!/8="</f>
        <v>#VALUE!</v>
      </c>
      <c r="HO253" t="e">
        <f>Europe!D139+"n/&gt;!/8&gt;"</f>
        <v>#VALUE!</v>
      </c>
      <c r="HP253" t="e">
        <f>Europe!E139+"n/&gt;!/8?"</f>
        <v>#VALUE!</v>
      </c>
      <c r="HQ253" t="e">
        <f>Europe!F139+"n/&gt;!/8@"</f>
        <v>#VALUE!</v>
      </c>
      <c r="HR253" t="e">
        <f>Europe!G139+"n/&gt;!/8A"</f>
        <v>#VALUE!</v>
      </c>
      <c r="HS253" t="e">
        <f>Europe!H139+"n/&gt;!/8B"</f>
        <v>#VALUE!</v>
      </c>
      <c r="HT253" t="e">
        <f>Europe!I139+"n/&gt;!/8C"</f>
        <v>#VALUE!</v>
      </c>
      <c r="HU253" t="e">
        <f>Europe!A140+"n/&gt;!/8D"</f>
        <v>#VALUE!</v>
      </c>
      <c r="HV253" t="e">
        <f>Europe!B140+"n/&gt;!/8E"</f>
        <v>#VALUE!</v>
      </c>
      <c r="HW253" t="e">
        <f>Europe!C140+"n/&gt;!/8F"</f>
        <v>#VALUE!</v>
      </c>
      <c r="HX253" t="e">
        <f>Europe!D140+"n/&gt;!/8G"</f>
        <v>#VALUE!</v>
      </c>
      <c r="HY253" t="e">
        <f>Europe!E140+"n/&gt;!/8H"</f>
        <v>#VALUE!</v>
      </c>
      <c r="HZ253" t="e">
        <f>Europe!F140+"n/&gt;!/8I"</f>
        <v>#VALUE!</v>
      </c>
      <c r="IA253" t="e">
        <f>Europe!G140+"n/&gt;!/8J"</f>
        <v>#VALUE!</v>
      </c>
      <c r="IB253" t="e">
        <f>Europe!H140+"n/&gt;!/8K"</f>
        <v>#VALUE!</v>
      </c>
      <c r="IC253" t="e">
        <f>Europe!I140+"n/&gt;!/8L"</f>
        <v>#VALUE!</v>
      </c>
      <c r="ID253" t="e">
        <f>Europe!A141+"n/&gt;!/8M"</f>
        <v>#VALUE!</v>
      </c>
      <c r="IE253" t="e">
        <f>Europe!B141+"n/&gt;!/8N"</f>
        <v>#VALUE!</v>
      </c>
      <c r="IF253" t="e">
        <f>Europe!C141+"n/&gt;!/8O"</f>
        <v>#VALUE!</v>
      </c>
      <c r="IG253" t="e">
        <f>Europe!D141+"n/&gt;!/8P"</f>
        <v>#VALUE!</v>
      </c>
      <c r="IH253" t="e">
        <f>Europe!E141+"n/&gt;!/8Q"</f>
        <v>#VALUE!</v>
      </c>
      <c r="II253" t="e">
        <f>Europe!F141+"n/&gt;!/8R"</f>
        <v>#VALUE!</v>
      </c>
      <c r="IJ253" t="e">
        <f>Europe!G141+"n/&gt;!/8S"</f>
        <v>#VALUE!</v>
      </c>
      <c r="IK253" t="e">
        <f>Europe!H141+"n/&gt;!/8T"</f>
        <v>#VALUE!</v>
      </c>
      <c r="IL253" t="e">
        <f>Europe!I141+"n/&gt;!/8U"</f>
        <v>#VALUE!</v>
      </c>
      <c r="IM253" t="e">
        <f>Europe!A142+"n/&gt;!/8V"</f>
        <v>#VALUE!</v>
      </c>
      <c r="IN253" t="e">
        <f>Europe!B142+"n/&gt;!/8W"</f>
        <v>#VALUE!</v>
      </c>
      <c r="IO253" t="e">
        <f>Europe!C142+"n/&gt;!/8X"</f>
        <v>#VALUE!</v>
      </c>
      <c r="IP253" t="e">
        <f>Europe!D142+"n/&gt;!/8Y"</f>
        <v>#VALUE!</v>
      </c>
      <c r="IQ253" t="e">
        <f>Europe!E142+"n/&gt;!/8Z"</f>
        <v>#VALUE!</v>
      </c>
      <c r="IR253" t="e">
        <f>Europe!F142+"n/&gt;!/8["</f>
        <v>#VALUE!</v>
      </c>
      <c r="IS253" t="e">
        <f>Europe!G142+"n/&gt;!/8\"</f>
        <v>#VALUE!</v>
      </c>
      <c r="IT253" t="e">
        <f>Europe!H142+"n/&gt;!/8]"</f>
        <v>#VALUE!</v>
      </c>
      <c r="IU253" t="e">
        <f>Europe!I142+"n/&gt;!/8^"</f>
        <v>#VALUE!</v>
      </c>
      <c r="IV253" t="e">
        <f>Europe!A143+"n/&gt;!/8_"</f>
        <v>#VALUE!</v>
      </c>
    </row>
    <row r="254" spans="6:256" x14ac:dyDescent="0.35">
      <c r="F254" t="e">
        <f>Europe!B143+"n/&gt;!/8`"</f>
        <v>#VALUE!</v>
      </c>
      <c r="G254" t="e">
        <f>Europe!C143+"n/&gt;!/8a"</f>
        <v>#VALUE!</v>
      </c>
      <c r="H254" t="e">
        <f>Europe!D143+"n/&gt;!/8b"</f>
        <v>#VALUE!</v>
      </c>
      <c r="I254" t="e">
        <f>Europe!E143+"n/&gt;!/8c"</f>
        <v>#VALUE!</v>
      </c>
      <c r="J254" t="e">
        <f>Europe!F143+"n/&gt;!/8d"</f>
        <v>#VALUE!</v>
      </c>
      <c r="K254" t="e">
        <f>Europe!G143+"n/&gt;!/8e"</f>
        <v>#VALUE!</v>
      </c>
      <c r="L254" t="e">
        <f>Europe!H143+"n/&gt;!/8f"</f>
        <v>#VALUE!</v>
      </c>
      <c r="M254" t="e">
        <f>Europe!I143+"n/&gt;!/8g"</f>
        <v>#VALUE!</v>
      </c>
      <c r="N254" t="e">
        <f>Europe!A144+"n/&gt;!/8h"</f>
        <v>#VALUE!</v>
      </c>
      <c r="O254" t="e">
        <f>Europe!B144+"n/&gt;!/8i"</f>
        <v>#VALUE!</v>
      </c>
      <c r="P254" t="e">
        <f>Europe!C144+"n/&gt;!/8j"</f>
        <v>#VALUE!</v>
      </c>
      <c r="Q254" t="e">
        <f>Europe!D144+"n/&gt;!/8k"</f>
        <v>#VALUE!</v>
      </c>
      <c r="R254" t="e">
        <f>Europe!E144+"n/&gt;!/8l"</f>
        <v>#VALUE!</v>
      </c>
      <c r="S254" t="e">
        <f>Europe!F144+"n/&gt;!/8m"</f>
        <v>#VALUE!</v>
      </c>
      <c r="T254" t="e">
        <f>Europe!G144+"n/&gt;!/8n"</f>
        <v>#VALUE!</v>
      </c>
      <c r="U254" t="e">
        <f>Europe!H144+"n/&gt;!/8o"</f>
        <v>#VALUE!</v>
      </c>
      <c r="V254" t="e">
        <f>Europe!I144+"n/&gt;!/8p"</f>
        <v>#VALUE!</v>
      </c>
      <c r="W254" t="e">
        <f>Europe!A145+"n/&gt;!/8q"</f>
        <v>#VALUE!</v>
      </c>
      <c r="X254" t="e">
        <f>Europe!B145+"n/&gt;!/8r"</f>
        <v>#VALUE!</v>
      </c>
      <c r="Y254" t="e">
        <f>Europe!C145+"n/&gt;!/8s"</f>
        <v>#VALUE!</v>
      </c>
      <c r="Z254" t="e">
        <f>Europe!D145+"n/&gt;!/8t"</f>
        <v>#VALUE!</v>
      </c>
      <c r="AA254" t="e">
        <f>Europe!E145+"n/&gt;!/8u"</f>
        <v>#VALUE!</v>
      </c>
      <c r="AB254" t="e">
        <f>Europe!F145+"n/&gt;!/8v"</f>
        <v>#VALUE!</v>
      </c>
      <c r="AC254" t="e">
        <f>Europe!G145+"n/&gt;!/8w"</f>
        <v>#VALUE!</v>
      </c>
      <c r="AD254" t="e">
        <f>Europe!H145+"n/&gt;!/8x"</f>
        <v>#VALUE!</v>
      </c>
      <c r="AE254" t="e">
        <f>Europe!I145+"n/&gt;!/8y"</f>
        <v>#VALUE!</v>
      </c>
      <c r="AF254" t="e">
        <f>Europe!A146+"n/&gt;!/8z"</f>
        <v>#VALUE!</v>
      </c>
      <c r="AG254" t="e">
        <f>Europe!B146+"n/&gt;!/8{"</f>
        <v>#VALUE!</v>
      </c>
      <c r="AH254" t="e">
        <f>Europe!C146+"n/&gt;!/8|"</f>
        <v>#VALUE!</v>
      </c>
      <c r="AI254" t="e">
        <f>Europe!D146+"n/&gt;!/8}"</f>
        <v>#VALUE!</v>
      </c>
      <c r="AJ254" t="e">
        <f>Europe!E146+"n/&gt;!/8~"</f>
        <v>#VALUE!</v>
      </c>
      <c r="AK254" t="e">
        <f>Europe!F146+"n/&gt;!/9#"</f>
        <v>#VALUE!</v>
      </c>
      <c r="AL254" t="e">
        <f>Europe!G146+"n/&gt;!/9$"</f>
        <v>#VALUE!</v>
      </c>
      <c r="AM254" t="e">
        <f>Europe!H146+"n/&gt;!/9%"</f>
        <v>#VALUE!</v>
      </c>
      <c r="AN254" t="e">
        <f>Europe!I146+"n/&gt;!/9&amp;"</f>
        <v>#VALUE!</v>
      </c>
      <c r="AO254" t="e">
        <f>Europe!A147+"n/&gt;!/9'"</f>
        <v>#VALUE!</v>
      </c>
      <c r="AP254" t="e">
        <f>Europe!B147+"n/&gt;!/9("</f>
        <v>#VALUE!</v>
      </c>
      <c r="AQ254" t="e">
        <f>Europe!C147+"n/&gt;!/9)"</f>
        <v>#VALUE!</v>
      </c>
      <c r="AR254" t="e">
        <f>Europe!D147+"n/&gt;!/9."</f>
        <v>#VALUE!</v>
      </c>
      <c r="AS254" t="e">
        <f>Europe!E147+"n/&gt;!/9/"</f>
        <v>#VALUE!</v>
      </c>
      <c r="AT254" t="e">
        <f>Europe!F147+"n/&gt;!/90"</f>
        <v>#VALUE!</v>
      </c>
      <c r="AU254" t="e">
        <f>Europe!G147+"n/&gt;!/91"</f>
        <v>#VALUE!</v>
      </c>
      <c r="AV254" t="e">
        <f>Europe!H147+"n/&gt;!/92"</f>
        <v>#VALUE!</v>
      </c>
      <c r="AW254" t="e">
        <f>Europe!I147+"n/&gt;!/93"</f>
        <v>#VALUE!</v>
      </c>
      <c r="AX254" t="e">
        <f>Europe!A148+"n/&gt;!/94"</f>
        <v>#VALUE!</v>
      </c>
      <c r="AY254" t="e">
        <f>Europe!B148+"n/&gt;!/95"</f>
        <v>#VALUE!</v>
      </c>
      <c r="AZ254" t="e">
        <f>Europe!C148+"n/&gt;!/96"</f>
        <v>#VALUE!</v>
      </c>
      <c r="BA254" t="e">
        <f>Europe!D148+"n/&gt;!/97"</f>
        <v>#VALUE!</v>
      </c>
      <c r="BB254" t="e">
        <f>Europe!E148+"n/&gt;!/98"</f>
        <v>#VALUE!</v>
      </c>
      <c r="BC254" t="e">
        <f>Europe!F148+"n/&gt;!/99"</f>
        <v>#VALUE!</v>
      </c>
      <c r="BD254" t="e">
        <f>Europe!G148+"n/&gt;!/9:"</f>
        <v>#VALUE!</v>
      </c>
      <c r="BE254" t="e">
        <f>Europe!H148+"n/&gt;!/9;"</f>
        <v>#VALUE!</v>
      </c>
      <c r="BF254" t="e">
        <f>Europe!I148+"n/&gt;!/9&lt;"</f>
        <v>#VALUE!</v>
      </c>
      <c r="BG254" t="e">
        <f>Europe!A149+"n/&gt;!/9="</f>
        <v>#VALUE!</v>
      </c>
      <c r="BH254" t="e">
        <f>Europe!B149+"n/&gt;!/9&gt;"</f>
        <v>#VALUE!</v>
      </c>
      <c r="BI254" t="e">
        <f>Europe!C149+"n/&gt;!/9?"</f>
        <v>#VALUE!</v>
      </c>
      <c r="BJ254" t="e">
        <f>Europe!D149+"n/&gt;!/9@"</f>
        <v>#VALUE!</v>
      </c>
      <c r="BK254" t="e">
        <f>Europe!E149+"n/&gt;!/9A"</f>
        <v>#VALUE!</v>
      </c>
      <c r="BL254" t="e">
        <f>Europe!F149+"n/&gt;!/9B"</f>
        <v>#VALUE!</v>
      </c>
      <c r="BM254" t="e">
        <f>Europe!G149+"n/&gt;!/9C"</f>
        <v>#VALUE!</v>
      </c>
      <c r="BN254" t="e">
        <f>Europe!H149+"n/&gt;!/9D"</f>
        <v>#VALUE!</v>
      </c>
      <c r="BO254" t="e">
        <f>Europe!I149+"n/&gt;!/9E"</f>
        <v>#VALUE!</v>
      </c>
      <c r="BP254" t="e">
        <f>Europe!A150+"n/&gt;!/9F"</f>
        <v>#VALUE!</v>
      </c>
      <c r="BQ254" t="e">
        <f>Europe!B150+"n/&gt;!/9G"</f>
        <v>#VALUE!</v>
      </c>
      <c r="BR254" t="e">
        <f>Europe!C150+"n/&gt;!/9H"</f>
        <v>#VALUE!</v>
      </c>
      <c r="BS254" t="e">
        <f>Europe!D150+"n/&gt;!/9I"</f>
        <v>#VALUE!</v>
      </c>
      <c r="BT254" t="e">
        <f>Europe!E150+"n/&gt;!/9J"</f>
        <v>#VALUE!</v>
      </c>
      <c r="BU254" t="e">
        <f>Europe!F150+"n/&gt;!/9K"</f>
        <v>#VALUE!</v>
      </c>
      <c r="BV254" t="e">
        <f>Europe!G150+"n/&gt;!/9L"</f>
        <v>#VALUE!</v>
      </c>
      <c r="BW254" t="e">
        <f>Europe!H150+"n/&gt;!/9M"</f>
        <v>#VALUE!</v>
      </c>
      <c r="BX254" t="e">
        <f>Europe!I150+"n/&gt;!/9N"</f>
        <v>#VALUE!</v>
      </c>
      <c r="BY254" t="e">
        <f>Europe!A151+"n/&gt;!/9O"</f>
        <v>#VALUE!</v>
      </c>
      <c r="BZ254" t="e">
        <f>Europe!B151+"n/&gt;!/9P"</f>
        <v>#VALUE!</v>
      </c>
      <c r="CA254" t="e">
        <f>Europe!C151+"n/&gt;!/9Q"</f>
        <v>#VALUE!</v>
      </c>
      <c r="CB254" t="e">
        <f>Europe!D151+"n/&gt;!/9R"</f>
        <v>#VALUE!</v>
      </c>
      <c r="CC254" t="e">
        <f>Europe!E151+"n/&gt;!/9S"</f>
        <v>#VALUE!</v>
      </c>
      <c r="CD254" t="e">
        <f>Europe!F151+"n/&gt;!/9T"</f>
        <v>#VALUE!</v>
      </c>
      <c r="CE254" t="e">
        <f>Europe!G151+"n/&gt;!/9U"</f>
        <v>#VALUE!</v>
      </c>
      <c r="CF254" t="e">
        <f>Europe!H151+"n/&gt;!/9V"</f>
        <v>#VALUE!</v>
      </c>
      <c r="CG254" t="e">
        <f>Europe!I151+"n/&gt;!/9W"</f>
        <v>#VALUE!</v>
      </c>
      <c r="CH254" t="e">
        <f>Europe!A152+"n/&gt;!/9X"</f>
        <v>#VALUE!</v>
      </c>
      <c r="CI254" t="e">
        <f>Europe!B152+"n/&gt;!/9Y"</f>
        <v>#VALUE!</v>
      </c>
      <c r="CJ254" t="e">
        <f>Europe!C152+"n/&gt;!/9Z"</f>
        <v>#VALUE!</v>
      </c>
      <c r="CK254" t="e">
        <f>Europe!D152+"n/&gt;!/9["</f>
        <v>#VALUE!</v>
      </c>
      <c r="CL254" t="e">
        <f>Europe!E152+"n/&gt;!/9\"</f>
        <v>#VALUE!</v>
      </c>
      <c r="CM254" t="e">
        <f>Europe!F152+"n/&gt;!/9]"</f>
        <v>#VALUE!</v>
      </c>
      <c r="CN254" t="e">
        <f>Europe!G152+"n/&gt;!/9^"</f>
        <v>#VALUE!</v>
      </c>
      <c r="CO254" t="e">
        <f>Europe!H152+"n/&gt;!/9_"</f>
        <v>#VALUE!</v>
      </c>
      <c r="CP254" t="e">
        <f>Europe!I152+"n/&gt;!/9`"</f>
        <v>#VALUE!</v>
      </c>
      <c r="CQ254" t="e">
        <f>Europe!A153+"n/&gt;!/9a"</f>
        <v>#VALUE!</v>
      </c>
      <c r="CR254" t="e">
        <f>Europe!B153+"n/&gt;!/9b"</f>
        <v>#VALUE!</v>
      </c>
      <c r="CS254" t="e">
        <f>Europe!C153+"n/&gt;!/9c"</f>
        <v>#VALUE!</v>
      </c>
      <c r="CT254" t="e">
        <f>Europe!D153+"n/&gt;!/9d"</f>
        <v>#VALUE!</v>
      </c>
      <c r="CU254" t="e">
        <f>Europe!E153+"n/&gt;!/9e"</f>
        <v>#VALUE!</v>
      </c>
      <c r="CV254" t="e">
        <f>Europe!F153+"n/&gt;!/9f"</f>
        <v>#VALUE!</v>
      </c>
      <c r="CW254" t="e">
        <f>Europe!G153+"n/&gt;!/9g"</f>
        <v>#VALUE!</v>
      </c>
      <c r="CX254" t="e">
        <f>Europe!H153+"n/&gt;!/9h"</f>
        <v>#VALUE!</v>
      </c>
      <c r="CY254" t="e">
        <f>Europe!I153+"n/&gt;!/9i"</f>
        <v>#VALUE!</v>
      </c>
      <c r="CZ254" t="e">
        <f>Europe!A154+"n/&gt;!/9j"</f>
        <v>#VALUE!</v>
      </c>
      <c r="DA254" t="e">
        <f>Europe!B154+"n/&gt;!/9k"</f>
        <v>#VALUE!</v>
      </c>
      <c r="DB254" t="e">
        <f>Europe!C154+"n/&gt;!/9l"</f>
        <v>#VALUE!</v>
      </c>
      <c r="DC254" t="e">
        <f>Europe!D154+"n/&gt;!/9m"</f>
        <v>#VALUE!</v>
      </c>
      <c r="DD254" t="e">
        <f>Europe!E154+"n/&gt;!/9n"</f>
        <v>#VALUE!</v>
      </c>
      <c r="DE254" t="e">
        <f>Europe!F154+"n/&gt;!/9o"</f>
        <v>#VALUE!</v>
      </c>
      <c r="DF254" t="e">
        <f>Europe!G154+"n/&gt;!/9p"</f>
        <v>#VALUE!</v>
      </c>
      <c r="DG254" t="e">
        <f>Europe!H154+"n/&gt;!/9q"</f>
        <v>#VALUE!</v>
      </c>
      <c r="DH254" t="e">
        <f>Europe!I154+"n/&gt;!/9r"</f>
        <v>#VALUE!</v>
      </c>
      <c r="DI254" t="e">
        <f>Europe!A155+"n/&gt;!/9s"</f>
        <v>#VALUE!</v>
      </c>
      <c r="DJ254" t="e">
        <f>Europe!B155+"n/&gt;!/9t"</f>
        <v>#VALUE!</v>
      </c>
      <c r="DK254" t="e">
        <f>Europe!C155+"n/&gt;!/9u"</f>
        <v>#VALUE!</v>
      </c>
      <c r="DL254" t="e">
        <f>Europe!D155+"n/&gt;!/9v"</f>
        <v>#VALUE!</v>
      </c>
      <c r="DM254" t="e">
        <f>Europe!E155+"n/&gt;!/9w"</f>
        <v>#VALUE!</v>
      </c>
      <c r="DN254" t="e">
        <f>Europe!F155+"n/&gt;!/9x"</f>
        <v>#VALUE!</v>
      </c>
      <c r="DO254" t="e">
        <f>Europe!G155+"n/&gt;!/9y"</f>
        <v>#VALUE!</v>
      </c>
      <c r="DP254" t="e">
        <f>Europe!H155+"n/&gt;!/9z"</f>
        <v>#VALUE!</v>
      </c>
      <c r="DQ254" t="e">
        <f>Europe!I155+"n/&gt;!/9{"</f>
        <v>#VALUE!</v>
      </c>
      <c r="DR254" t="e">
        <f>Europe!A156+"n/&gt;!/9|"</f>
        <v>#VALUE!</v>
      </c>
      <c r="DS254" t="e">
        <f>Europe!B156+"n/&gt;!/9}"</f>
        <v>#VALUE!</v>
      </c>
      <c r="DT254" t="e">
        <f>Europe!C156+"n/&gt;!/9~"</f>
        <v>#VALUE!</v>
      </c>
      <c r="DU254" t="e">
        <f>Europe!D156+"n/&gt;!/:#"</f>
        <v>#VALUE!</v>
      </c>
      <c r="DV254" t="e">
        <f>Europe!E156+"n/&gt;!/:$"</f>
        <v>#VALUE!</v>
      </c>
      <c r="DW254" t="e">
        <f>Europe!F156+"n/&gt;!/:%"</f>
        <v>#VALUE!</v>
      </c>
      <c r="DX254" t="e">
        <f>Europe!G156+"n/&gt;!/:&amp;"</f>
        <v>#VALUE!</v>
      </c>
      <c r="DY254" t="e">
        <f>Europe!H156+"n/&gt;!/:'"</f>
        <v>#VALUE!</v>
      </c>
      <c r="DZ254" t="e">
        <f>Europe!I156+"n/&gt;!/:("</f>
        <v>#VALUE!</v>
      </c>
      <c r="EA254" t="e">
        <f>Europe!A157+"n/&gt;!/:)"</f>
        <v>#VALUE!</v>
      </c>
      <c r="EB254" t="e">
        <f>Europe!B157+"n/&gt;!/:."</f>
        <v>#VALUE!</v>
      </c>
      <c r="EC254" t="e">
        <f>Europe!C157+"n/&gt;!/:/"</f>
        <v>#VALUE!</v>
      </c>
      <c r="ED254" t="e">
        <f>Europe!D157+"n/&gt;!/:0"</f>
        <v>#VALUE!</v>
      </c>
      <c r="EE254" t="e">
        <f>Europe!E157+"n/&gt;!/:1"</f>
        <v>#VALUE!</v>
      </c>
      <c r="EF254" t="e">
        <f>Europe!F157+"n/&gt;!/:2"</f>
        <v>#VALUE!</v>
      </c>
      <c r="EG254" t="e">
        <f>Europe!G157+"n/&gt;!/:3"</f>
        <v>#VALUE!</v>
      </c>
      <c r="EH254" t="e">
        <f>Europe!H157+"n/&gt;!/:4"</f>
        <v>#VALUE!</v>
      </c>
      <c r="EI254" t="e">
        <f>Europe!I157+"n/&gt;!/:5"</f>
        <v>#VALUE!</v>
      </c>
      <c r="EJ254" t="e">
        <f>Europe!A158+"n/&gt;!/:6"</f>
        <v>#VALUE!</v>
      </c>
      <c r="EK254" t="e">
        <f>Europe!B158+"n/&gt;!/:7"</f>
        <v>#VALUE!</v>
      </c>
      <c r="EL254" t="e">
        <f>Europe!C158+"n/&gt;!/:8"</f>
        <v>#VALUE!</v>
      </c>
      <c r="EM254" t="e">
        <f>Europe!D158+"n/&gt;!/:9"</f>
        <v>#VALUE!</v>
      </c>
      <c r="EN254" t="e">
        <f>Europe!E158+"n/&gt;!/::"</f>
        <v>#VALUE!</v>
      </c>
      <c r="EO254" t="e">
        <f>Europe!F158+"n/&gt;!/:;"</f>
        <v>#VALUE!</v>
      </c>
      <c r="EP254" t="e">
        <f>Europe!G158+"n/&gt;!/:&lt;"</f>
        <v>#VALUE!</v>
      </c>
      <c r="EQ254" t="e">
        <f>Europe!H158+"n/&gt;!/:="</f>
        <v>#VALUE!</v>
      </c>
      <c r="ER254" t="e">
        <f>Europe!I158+"n/&gt;!/:&gt;"</f>
        <v>#VALUE!</v>
      </c>
      <c r="ES254" t="e">
        <f>Europe!A159+"n/&gt;!/:?"</f>
        <v>#VALUE!</v>
      </c>
      <c r="ET254" t="e">
        <f>Europe!B159+"n/&gt;!/:@"</f>
        <v>#VALUE!</v>
      </c>
      <c r="EU254" t="e">
        <f>Europe!C159+"n/&gt;!/:A"</f>
        <v>#VALUE!</v>
      </c>
      <c r="EV254" t="e">
        <f>Europe!D159+"n/&gt;!/:B"</f>
        <v>#VALUE!</v>
      </c>
      <c r="EW254" t="e">
        <f>Europe!E159+"n/&gt;!/:C"</f>
        <v>#VALUE!</v>
      </c>
      <c r="EX254" t="e">
        <f>Europe!F159+"n/&gt;!/:D"</f>
        <v>#VALUE!</v>
      </c>
      <c r="EY254" t="e">
        <f>Europe!G159+"n/&gt;!/:E"</f>
        <v>#VALUE!</v>
      </c>
      <c r="EZ254" t="e">
        <f>Europe!H159+"n/&gt;!/:F"</f>
        <v>#VALUE!</v>
      </c>
      <c r="FA254" t="e">
        <f>Europe!I159+"n/&gt;!/:G"</f>
        <v>#VALUE!</v>
      </c>
      <c r="FB254" t="e">
        <f>Europe!A160+"n/&gt;!/:H"</f>
        <v>#VALUE!</v>
      </c>
      <c r="FC254" t="e">
        <f>Europe!B160+"n/&gt;!/:I"</f>
        <v>#VALUE!</v>
      </c>
      <c r="FD254" t="e">
        <f>Europe!C160+"n/&gt;!/:J"</f>
        <v>#VALUE!</v>
      </c>
      <c r="FE254" t="e">
        <f>Europe!D160+"n/&gt;!/:K"</f>
        <v>#VALUE!</v>
      </c>
      <c r="FF254" t="e">
        <f>Europe!E160+"n/&gt;!/:L"</f>
        <v>#VALUE!</v>
      </c>
      <c r="FG254" t="e">
        <f>Europe!F160+"n/&gt;!/:M"</f>
        <v>#VALUE!</v>
      </c>
      <c r="FH254" t="e">
        <f>Europe!G160+"n/&gt;!/:N"</f>
        <v>#VALUE!</v>
      </c>
      <c r="FI254" t="e">
        <f>Europe!H160+"n/&gt;!/:O"</f>
        <v>#VALUE!</v>
      </c>
      <c r="FJ254" t="e">
        <f>Europe!I160+"n/&gt;!/:P"</f>
        <v>#VALUE!</v>
      </c>
      <c r="FK254" t="e">
        <f>Europe!A161+"n/&gt;!/:Q"</f>
        <v>#VALUE!</v>
      </c>
      <c r="FL254" t="e">
        <f>Europe!B161+"n/&gt;!/:R"</f>
        <v>#VALUE!</v>
      </c>
      <c r="FM254" t="e">
        <f>Europe!C161+"n/&gt;!/:S"</f>
        <v>#VALUE!</v>
      </c>
      <c r="FN254" t="e">
        <f>Europe!D161+"n/&gt;!/:T"</f>
        <v>#VALUE!</v>
      </c>
      <c r="FO254" t="e">
        <f>Europe!E161+"n/&gt;!/:U"</f>
        <v>#VALUE!</v>
      </c>
      <c r="FP254" t="e">
        <f>Europe!F161+"n/&gt;!/:V"</f>
        <v>#VALUE!</v>
      </c>
      <c r="FQ254" t="e">
        <f>Europe!G161+"n/&gt;!/:W"</f>
        <v>#VALUE!</v>
      </c>
      <c r="FR254" t="e">
        <f>Europe!H161+"n/&gt;!/:X"</f>
        <v>#VALUE!</v>
      </c>
      <c r="FS254" t="e">
        <f>Europe!I161+"n/&gt;!/:Y"</f>
        <v>#VALUE!</v>
      </c>
      <c r="FT254" t="e">
        <f>Europe!A162+"n/&gt;!/:Z"</f>
        <v>#VALUE!</v>
      </c>
      <c r="FU254" t="e">
        <f>Europe!B162+"n/&gt;!/:["</f>
        <v>#VALUE!</v>
      </c>
      <c r="FV254" t="e">
        <f>Europe!C162+"n/&gt;!/:\"</f>
        <v>#VALUE!</v>
      </c>
      <c r="FW254" t="e">
        <f>Europe!D162+"n/&gt;!/:]"</f>
        <v>#VALUE!</v>
      </c>
      <c r="FX254" t="e">
        <f>Europe!E162+"n/&gt;!/:^"</f>
        <v>#VALUE!</v>
      </c>
      <c r="FY254" t="e">
        <f>Europe!F162+"n/&gt;!/:_"</f>
        <v>#VALUE!</v>
      </c>
      <c r="FZ254" t="e">
        <f>Europe!G162+"n/&gt;!/:`"</f>
        <v>#VALUE!</v>
      </c>
      <c r="GA254" t="e">
        <f>Europe!H162+"n/&gt;!/:a"</f>
        <v>#VALUE!</v>
      </c>
      <c r="GB254" t="e">
        <f>Europe!I162+"n/&gt;!/:b"</f>
        <v>#VALUE!</v>
      </c>
      <c r="GC254" t="e">
        <f>Europe!A163+"n/&gt;!/:c"</f>
        <v>#VALUE!</v>
      </c>
      <c r="GD254" t="e">
        <f>Europe!B163+"n/&gt;!/:d"</f>
        <v>#VALUE!</v>
      </c>
      <c r="GE254" t="e">
        <f>Europe!C163+"n/&gt;!/:e"</f>
        <v>#VALUE!</v>
      </c>
      <c r="GF254" t="e">
        <f>Europe!D163+"n/&gt;!/:f"</f>
        <v>#VALUE!</v>
      </c>
      <c r="GG254" t="e">
        <f>Europe!E163+"n/&gt;!/:g"</f>
        <v>#VALUE!</v>
      </c>
      <c r="GH254" t="e">
        <f>Europe!F163+"n/&gt;!/:h"</f>
        <v>#VALUE!</v>
      </c>
      <c r="GI254" t="e">
        <f>Europe!G163+"n/&gt;!/:i"</f>
        <v>#VALUE!</v>
      </c>
      <c r="GJ254" t="e">
        <f>Europe!H163+"n/&gt;!/:j"</f>
        <v>#VALUE!</v>
      </c>
      <c r="GK254" t="e">
        <f>Europe!I163+"n/&gt;!/:k"</f>
        <v>#VALUE!</v>
      </c>
      <c r="GL254" t="e">
        <f>Europe!A164+"n/&gt;!/:l"</f>
        <v>#VALUE!</v>
      </c>
      <c r="GM254" t="e">
        <f>Europe!B164+"n/&gt;!/:m"</f>
        <v>#VALUE!</v>
      </c>
      <c r="GN254" t="e">
        <f>Europe!C164+"n/&gt;!/:n"</f>
        <v>#VALUE!</v>
      </c>
      <c r="GO254" t="e">
        <f>Europe!D164+"n/&gt;!/:o"</f>
        <v>#VALUE!</v>
      </c>
      <c r="GP254" t="e">
        <f>Europe!E164+"n/&gt;!/:p"</f>
        <v>#VALUE!</v>
      </c>
      <c r="GQ254" t="e">
        <f>Europe!F164+"n/&gt;!/:q"</f>
        <v>#VALUE!</v>
      </c>
      <c r="GR254" t="e">
        <f>Europe!G164+"n/&gt;!/:r"</f>
        <v>#VALUE!</v>
      </c>
      <c r="GS254" t="e">
        <f>Europe!H164+"n/&gt;!/:s"</f>
        <v>#VALUE!</v>
      </c>
      <c r="GT254" t="e">
        <f>Europe!I164+"n/&gt;!/:t"</f>
        <v>#VALUE!</v>
      </c>
      <c r="GU254" t="e">
        <f>Europe!A165+"n/&gt;!/:u"</f>
        <v>#VALUE!</v>
      </c>
      <c r="GV254" t="e">
        <f>Europe!B165+"n/&gt;!/:v"</f>
        <v>#VALUE!</v>
      </c>
      <c r="GW254" t="e">
        <f>Europe!C165+"n/&gt;!/:w"</f>
        <v>#VALUE!</v>
      </c>
      <c r="GX254" t="e">
        <f>Europe!D165+"n/&gt;!/:x"</f>
        <v>#VALUE!</v>
      </c>
      <c r="GY254" t="e">
        <f>Europe!E165+"n/&gt;!/:y"</f>
        <v>#VALUE!</v>
      </c>
      <c r="GZ254" t="e">
        <f>Europe!F165+"n/&gt;!/:z"</f>
        <v>#VALUE!</v>
      </c>
      <c r="HA254" t="e">
        <f>Europe!G165+"n/&gt;!/:{"</f>
        <v>#VALUE!</v>
      </c>
      <c r="HB254" t="e">
        <f>Europe!H165+"n/&gt;!/:|"</f>
        <v>#VALUE!</v>
      </c>
      <c r="HC254" t="e">
        <f>Europe!I165+"n/&gt;!/:}"</f>
        <v>#VALUE!</v>
      </c>
      <c r="HD254" t="e">
        <f>Europe!A166+"n/&gt;!/:~"</f>
        <v>#VALUE!</v>
      </c>
      <c r="HE254" t="e">
        <f>Europe!B166+"n/&gt;!/;#"</f>
        <v>#VALUE!</v>
      </c>
      <c r="HF254" t="e">
        <f>Europe!C166+"n/&gt;!/;$"</f>
        <v>#VALUE!</v>
      </c>
      <c r="HG254" t="e">
        <f>Europe!D166+"n/&gt;!/;%"</f>
        <v>#VALUE!</v>
      </c>
      <c r="HH254" t="e">
        <f>Europe!E166+"n/&gt;!/;&amp;"</f>
        <v>#VALUE!</v>
      </c>
      <c r="HI254" t="e">
        <f>Europe!F166+"n/&gt;!/;'"</f>
        <v>#VALUE!</v>
      </c>
      <c r="HJ254" t="e">
        <f>Europe!G166+"n/&gt;!/;("</f>
        <v>#VALUE!</v>
      </c>
      <c r="HK254" t="e">
        <f>Europe!H166+"n/&gt;!/;)"</f>
        <v>#VALUE!</v>
      </c>
      <c r="HL254" t="e">
        <f>Europe!I166+"n/&gt;!/;."</f>
        <v>#VALUE!</v>
      </c>
      <c r="HM254" t="e">
        <f>Europe!A167+"n/&gt;!/;/"</f>
        <v>#VALUE!</v>
      </c>
      <c r="HN254" t="e">
        <f>Europe!B167+"n/&gt;!/;0"</f>
        <v>#VALUE!</v>
      </c>
      <c r="HO254" t="e">
        <f>Europe!C167+"n/&gt;!/;1"</f>
        <v>#VALUE!</v>
      </c>
      <c r="HP254" t="e">
        <f>Europe!D167+"n/&gt;!/;2"</f>
        <v>#VALUE!</v>
      </c>
      <c r="HQ254" t="e">
        <f>Europe!E167+"n/&gt;!/;3"</f>
        <v>#VALUE!</v>
      </c>
      <c r="HR254" t="e">
        <f>Europe!F167+"n/&gt;!/;4"</f>
        <v>#VALUE!</v>
      </c>
      <c r="HS254" t="e">
        <f>Europe!G167+"n/&gt;!/;5"</f>
        <v>#VALUE!</v>
      </c>
      <c r="HT254" t="e">
        <f>Europe!H167+"n/&gt;!/;6"</f>
        <v>#VALUE!</v>
      </c>
      <c r="HU254" t="e">
        <f>Europe!I167+"n/&gt;!/;7"</f>
        <v>#VALUE!</v>
      </c>
      <c r="HV254" t="e">
        <f>Europe!A168+"n/&gt;!/;8"</f>
        <v>#VALUE!</v>
      </c>
      <c r="HW254" t="e">
        <f>Europe!B168+"n/&gt;!/;9"</f>
        <v>#VALUE!</v>
      </c>
      <c r="HX254" t="e">
        <f>Europe!C168+"n/&gt;!/;:"</f>
        <v>#VALUE!</v>
      </c>
      <c r="HY254" t="e">
        <f>Europe!D168+"n/&gt;!/;;"</f>
        <v>#VALUE!</v>
      </c>
      <c r="HZ254" t="e">
        <f>Europe!E168+"n/&gt;!/;&lt;"</f>
        <v>#VALUE!</v>
      </c>
      <c r="IA254" t="e">
        <f>Europe!F168+"n/&gt;!/;="</f>
        <v>#VALUE!</v>
      </c>
      <c r="IB254" t="e">
        <f>Europe!G168+"n/&gt;!/;&gt;"</f>
        <v>#VALUE!</v>
      </c>
      <c r="IC254" t="e">
        <f>Europe!H168+"n/&gt;!/;?"</f>
        <v>#VALUE!</v>
      </c>
      <c r="ID254" t="e">
        <f>Europe!I168+"n/&gt;!/;@"</f>
        <v>#VALUE!</v>
      </c>
      <c r="IE254" t="e">
        <f>Europe!A169+"n/&gt;!/;A"</f>
        <v>#VALUE!</v>
      </c>
      <c r="IF254" t="e">
        <f>Europe!B169+"n/&gt;!/;B"</f>
        <v>#VALUE!</v>
      </c>
      <c r="IG254" t="e">
        <f>Europe!C169+"n/&gt;!/;C"</f>
        <v>#VALUE!</v>
      </c>
      <c r="IH254" t="e">
        <f>Europe!D169+"n/&gt;!/;D"</f>
        <v>#VALUE!</v>
      </c>
      <c r="II254" t="e">
        <f>Europe!E169+"n/&gt;!/;E"</f>
        <v>#VALUE!</v>
      </c>
      <c r="IJ254" t="e">
        <f>Europe!F169+"n/&gt;!/;F"</f>
        <v>#VALUE!</v>
      </c>
      <c r="IK254" t="e">
        <f>Europe!G169+"n/&gt;!/;G"</f>
        <v>#VALUE!</v>
      </c>
      <c r="IL254" t="e">
        <f>Europe!H169+"n/&gt;!/;H"</f>
        <v>#VALUE!</v>
      </c>
      <c r="IM254" t="e">
        <f>Europe!I169+"n/&gt;!/;I"</f>
        <v>#VALUE!</v>
      </c>
      <c r="IN254" t="e">
        <f>Europe!A170+"n/&gt;!/;J"</f>
        <v>#VALUE!</v>
      </c>
      <c r="IO254" t="e">
        <f>Europe!B170+"n/&gt;!/;K"</f>
        <v>#VALUE!</v>
      </c>
      <c r="IP254" t="e">
        <f>Europe!C170+"n/&gt;!/;L"</f>
        <v>#VALUE!</v>
      </c>
      <c r="IQ254" t="e">
        <f>Europe!D170+"n/&gt;!/;M"</f>
        <v>#VALUE!</v>
      </c>
      <c r="IR254" t="e">
        <f>Europe!E170+"n/&gt;!/;N"</f>
        <v>#VALUE!</v>
      </c>
      <c r="IS254" t="e">
        <f>Europe!F170+"n/&gt;!/;O"</f>
        <v>#VALUE!</v>
      </c>
      <c r="IT254" t="e">
        <f>Europe!G170+"n/&gt;!/;P"</f>
        <v>#VALUE!</v>
      </c>
      <c r="IU254" t="e">
        <f>Europe!H170+"n/&gt;!/;Q"</f>
        <v>#VALUE!</v>
      </c>
      <c r="IV254" t="e">
        <f>Europe!I170+"n/&gt;!/;R"</f>
        <v>#VALUE!</v>
      </c>
    </row>
    <row r="255" spans="6:256" x14ac:dyDescent="0.35">
      <c r="F255" t="e">
        <f>Europe!A171+"n/&gt;!/;S"</f>
        <v>#VALUE!</v>
      </c>
      <c r="G255" t="e">
        <f>Europe!B171+"n/&gt;!/;T"</f>
        <v>#VALUE!</v>
      </c>
      <c r="H255" t="e">
        <f>Europe!C171+"n/&gt;!/;U"</f>
        <v>#VALUE!</v>
      </c>
      <c r="I255" t="e">
        <f>Europe!D171+"n/&gt;!/;V"</f>
        <v>#VALUE!</v>
      </c>
      <c r="J255" t="e">
        <f>Europe!E171+"n/&gt;!/;W"</f>
        <v>#VALUE!</v>
      </c>
      <c r="K255" t="e">
        <f>Europe!F171+"n/&gt;!/;X"</f>
        <v>#VALUE!</v>
      </c>
      <c r="L255" t="e">
        <f>Europe!G171+"n/&gt;!/;Y"</f>
        <v>#VALUE!</v>
      </c>
      <c r="M255" t="e">
        <f>Europe!H171+"n/&gt;!/;Z"</f>
        <v>#VALUE!</v>
      </c>
      <c r="N255" t="e">
        <f>Europe!I171+"n/&gt;!/;["</f>
        <v>#VALUE!</v>
      </c>
      <c r="O255" t="e">
        <f>Europe!A172+"n/&gt;!/;\"</f>
        <v>#VALUE!</v>
      </c>
      <c r="P255" t="e">
        <f>Europe!B172+"n/&gt;!/;]"</f>
        <v>#VALUE!</v>
      </c>
      <c r="Q255" t="e">
        <f>Europe!C172+"n/&gt;!/;^"</f>
        <v>#VALUE!</v>
      </c>
      <c r="R255" t="e">
        <f>Europe!D172+"n/&gt;!/;_"</f>
        <v>#VALUE!</v>
      </c>
      <c r="S255" t="e">
        <f>Europe!E172+"n/&gt;!/;`"</f>
        <v>#VALUE!</v>
      </c>
      <c r="T255" t="e">
        <f>Europe!F172+"n/&gt;!/;a"</f>
        <v>#VALUE!</v>
      </c>
      <c r="U255" t="e">
        <f>Europe!G172+"n/&gt;!/;b"</f>
        <v>#VALUE!</v>
      </c>
      <c r="V255" t="e">
        <f>Europe!H172+"n/&gt;!/;c"</f>
        <v>#VALUE!</v>
      </c>
      <c r="W255" t="e">
        <f>Europe!I172+"n/&gt;!/;d"</f>
        <v>#VALUE!</v>
      </c>
      <c r="X255" t="e">
        <f>Europe!A173+"n/&gt;!/;e"</f>
        <v>#VALUE!</v>
      </c>
      <c r="Y255" t="e">
        <f>Europe!B173+"n/&gt;!/;f"</f>
        <v>#VALUE!</v>
      </c>
      <c r="Z255" t="e">
        <f>Europe!C173+"n/&gt;!/;g"</f>
        <v>#VALUE!</v>
      </c>
      <c r="AA255" t="e">
        <f>Europe!D173+"n/&gt;!/;h"</f>
        <v>#VALUE!</v>
      </c>
      <c r="AB255" t="e">
        <f>Europe!E173+"n/&gt;!/;i"</f>
        <v>#VALUE!</v>
      </c>
      <c r="AC255" t="e">
        <f>Europe!F173+"n/&gt;!/;j"</f>
        <v>#VALUE!</v>
      </c>
      <c r="AD255" t="e">
        <f>Europe!G173+"n/&gt;!/;k"</f>
        <v>#VALUE!</v>
      </c>
      <c r="AE255" t="e">
        <f>Europe!H173+"n/&gt;!/;l"</f>
        <v>#VALUE!</v>
      </c>
      <c r="AF255" t="e">
        <f>Europe!I173+"n/&gt;!/;m"</f>
        <v>#VALUE!</v>
      </c>
      <c r="AG255" t="e">
        <f>Europe!A174+"n/&gt;!/;n"</f>
        <v>#VALUE!</v>
      </c>
      <c r="AH255" t="e">
        <f>Europe!B174+"n/&gt;!/;o"</f>
        <v>#VALUE!</v>
      </c>
      <c r="AI255" t="e">
        <f>Europe!C174+"n/&gt;!/;p"</f>
        <v>#VALUE!</v>
      </c>
      <c r="AJ255" t="e">
        <f>Europe!D174+"n/&gt;!/;q"</f>
        <v>#VALUE!</v>
      </c>
      <c r="AK255" t="e">
        <f>Europe!E174+"n/&gt;!/;r"</f>
        <v>#VALUE!</v>
      </c>
      <c r="AL255" t="e">
        <f>Europe!F174+"n/&gt;!/;s"</f>
        <v>#VALUE!</v>
      </c>
      <c r="AM255" t="e">
        <f>Europe!G174+"n/&gt;!/;t"</f>
        <v>#VALUE!</v>
      </c>
      <c r="AN255" t="e">
        <f>Europe!H174+"n/&gt;!/;u"</f>
        <v>#VALUE!</v>
      </c>
      <c r="AO255" t="e">
        <f>Europe!I174+"n/&gt;!/;v"</f>
        <v>#VALUE!</v>
      </c>
      <c r="AP255" t="e">
        <f>Europe!A175+"n/&gt;!/;w"</f>
        <v>#VALUE!</v>
      </c>
      <c r="AQ255" t="e">
        <f>Europe!B175+"n/&gt;!/;x"</f>
        <v>#VALUE!</v>
      </c>
      <c r="AR255" t="e">
        <f>Europe!C175+"n/&gt;!/;y"</f>
        <v>#VALUE!</v>
      </c>
      <c r="AS255" t="e">
        <f>Europe!D175+"n/&gt;!/;z"</f>
        <v>#VALUE!</v>
      </c>
      <c r="AT255" t="e">
        <f>Europe!E175+"n/&gt;!/;{"</f>
        <v>#VALUE!</v>
      </c>
      <c r="AU255" t="e">
        <f>Europe!F175+"n/&gt;!/;|"</f>
        <v>#VALUE!</v>
      </c>
      <c r="AV255" t="e">
        <f>Europe!G175+"n/&gt;!/;}"</f>
        <v>#VALUE!</v>
      </c>
      <c r="AW255" t="e">
        <f>Europe!H175+"n/&gt;!/;~"</f>
        <v>#VALUE!</v>
      </c>
      <c r="AX255" t="e">
        <f>Europe!I175+"n/&gt;!/&lt;#"</f>
        <v>#VALUE!</v>
      </c>
      <c r="AY255" t="e">
        <f>Europe!A176+"n/&gt;!/&lt;$"</f>
        <v>#VALUE!</v>
      </c>
      <c r="AZ255" t="e">
        <f>Europe!B176+"n/&gt;!/&lt;%"</f>
        <v>#VALUE!</v>
      </c>
      <c r="BA255" t="e">
        <f>Europe!C176+"n/&gt;!/&lt;&amp;"</f>
        <v>#VALUE!</v>
      </c>
      <c r="BB255" t="e">
        <f>Europe!D176+"n/&gt;!/&lt;'"</f>
        <v>#VALUE!</v>
      </c>
      <c r="BC255" t="e">
        <f>Europe!E176+"n/&gt;!/&lt;("</f>
        <v>#VALUE!</v>
      </c>
      <c r="BD255" t="e">
        <f>Europe!F176+"n/&gt;!/&lt;)"</f>
        <v>#VALUE!</v>
      </c>
      <c r="BE255" t="e">
        <f>Europe!G176+"n/&gt;!/&lt;."</f>
        <v>#VALUE!</v>
      </c>
      <c r="BF255" t="e">
        <f>Europe!H176+"n/&gt;!/&lt;/"</f>
        <v>#VALUE!</v>
      </c>
      <c r="BG255" t="e">
        <f>Europe!I176+"n/&gt;!/&lt;0"</f>
        <v>#VALUE!</v>
      </c>
      <c r="BH255" t="e">
        <f>Europe!A177+"n/&gt;!/&lt;1"</f>
        <v>#VALUE!</v>
      </c>
      <c r="BI255" t="e">
        <f>Europe!B177+"n/&gt;!/&lt;2"</f>
        <v>#VALUE!</v>
      </c>
      <c r="BJ255" t="e">
        <f>Europe!C177+"n/&gt;!/&lt;3"</f>
        <v>#VALUE!</v>
      </c>
      <c r="BK255" t="e">
        <f>Europe!D177+"n/&gt;!/&lt;4"</f>
        <v>#VALUE!</v>
      </c>
      <c r="BL255" t="e">
        <f>Europe!E177+"n/&gt;!/&lt;5"</f>
        <v>#VALUE!</v>
      </c>
      <c r="BM255" t="e">
        <f>Europe!F177+"n/&gt;!/&lt;6"</f>
        <v>#VALUE!</v>
      </c>
      <c r="BN255" t="e">
        <f>Europe!G177+"n/&gt;!/&lt;7"</f>
        <v>#VALUE!</v>
      </c>
      <c r="BO255" t="e">
        <f>Europe!H177+"n/&gt;!/&lt;8"</f>
        <v>#VALUE!</v>
      </c>
      <c r="BP255" t="e">
        <f>Europe!I177+"n/&gt;!/&lt;9"</f>
        <v>#VALUE!</v>
      </c>
      <c r="BQ255" t="e">
        <f>Europe!A178+"n/&gt;!/&lt;:"</f>
        <v>#VALUE!</v>
      </c>
      <c r="BR255" t="e">
        <f>Europe!B178+"n/&gt;!/&lt;;"</f>
        <v>#VALUE!</v>
      </c>
      <c r="BS255" t="e">
        <f>Europe!C178+"n/&gt;!/&lt;&lt;"</f>
        <v>#VALUE!</v>
      </c>
      <c r="BT255" t="e">
        <f>Europe!D178+"n/&gt;!/&lt;="</f>
        <v>#VALUE!</v>
      </c>
      <c r="BU255" t="e">
        <f>Europe!E178+"n/&gt;!/&lt;&gt;"</f>
        <v>#VALUE!</v>
      </c>
      <c r="BV255" t="e">
        <f>Europe!F178+"n/&gt;!/&lt;?"</f>
        <v>#VALUE!</v>
      </c>
      <c r="BW255" t="e">
        <f>Europe!G178+"n/&gt;!/&lt;@"</f>
        <v>#VALUE!</v>
      </c>
      <c r="BX255" t="e">
        <f>Europe!H178+"n/&gt;!/&lt;A"</f>
        <v>#VALUE!</v>
      </c>
      <c r="BY255" t="e">
        <f>Europe!I178+"n/&gt;!/&lt;B"</f>
        <v>#VALUE!</v>
      </c>
      <c r="BZ255" t="e">
        <f>Europe!A179+"n/&gt;!/&lt;C"</f>
        <v>#VALUE!</v>
      </c>
      <c r="CA255" t="e">
        <f>Europe!B179+"n/&gt;!/&lt;D"</f>
        <v>#VALUE!</v>
      </c>
      <c r="CB255" t="e">
        <f>Europe!C179+"n/&gt;!/&lt;E"</f>
        <v>#VALUE!</v>
      </c>
      <c r="CC255" t="e">
        <f>Europe!D179+"n/&gt;!/&lt;F"</f>
        <v>#VALUE!</v>
      </c>
      <c r="CD255" t="e">
        <f>Europe!E179+"n/&gt;!/&lt;G"</f>
        <v>#VALUE!</v>
      </c>
      <c r="CE255" t="e">
        <f>Europe!F179+"n/&gt;!/&lt;H"</f>
        <v>#VALUE!</v>
      </c>
      <c r="CF255" t="e">
        <f>Europe!G179+"n/&gt;!/&lt;I"</f>
        <v>#VALUE!</v>
      </c>
      <c r="CG255" t="e">
        <f>Europe!H179+"n/&gt;!/&lt;J"</f>
        <v>#VALUE!</v>
      </c>
      <c r="CH255" t="e">
        <f>Europe!I179+"n/&gt;!/&lt;K"</f>
        <v>#VALUE!</v>
      </c>
      <c r="CI255" t="e">
        <f>Europe!A180+"n/&gt;!/&lt;L"</f>
        <v>#VALUE!</v>
      </c>
      <c r="CJ255" t="e">
        <f>Europe!B180+"n/&gt;!/&lt;M"</f>
        <v>#VALUE!</v>
      </c>
      <c r="CK255" t="e">
        <f>Europe!C180+"n/&gt;!/&lt;N"</f>
        <v>#VALUE!</v>
      </c>
      <c r="CL255" t="e">
        <f>Europe!D180+"n/&gt;!/&lt;O"</f>
        <v>#VALUE!</v>
      </c>
      <c r="CM255" t="e">
        <f>Europe!E180+"n/&gt;!/&lt;P"</f>
        <v>#VALUE!</v>
      </c>
      <c r="CN255" t="e">
        <f>Europe!F180+"n/&gt;!/&lt;Q"</f>
        <v>#VALUE!</v>
      </c>
      <c r="CO255" t="e">
        <f>Europe!G180+"n/&gt;!/&lt;R"</f>
        <v>#VALUE!</v>
      </c>
      <c r="CP255" t="e">
        <f>Europe!H180+"n/&gt;!/&lt;S"</f>
        <v>#VALUE!</v>
      </c>
      <c r="CQ255" t="e">
        <f>Europe!I180+"n/&gt;!/&lt;T"</f>
        <v>#VALUE!</v>
      </c>
      <c r="CR255" t="e">
        <f>Europe!A181+"n/&gt;!/&lt;U"</f>
        <v>#VALUE!</v>
      </c>
      <c r="CS255" t="e">
        <f>Europe!B181+"n/&gt;!/&lt;V"</f>
        <v>#VALUE!</v>
      </c>
      <c r="CT255" t="e">
        <f>Europe!C181+"n/&gt;!/&lt;W"</f>
        <v>#VALUE!</v>
      </c>
      <c r="CU255" t="e">
        <f>Europe!D181+"n/&gt;!/&lt;X"</f>
        <v>#VALUE!</v>
      </c>
      <c r="CV255" t="e">
        <f>Europe!E181+"n/&gt;!/&lt;Y"</f>
        <v>#VALUE!</v>
      </c>
      <c r="CW255" t="e">
        <f>Europe!F181+"n/&gt;!/&lt;Z"</f>
        <v>#VALUE!</v>
      </c>
      <c r="CX255" t="e">
        <f>Europe!G181+"n/&gt;!/&lt;["</f>
        <v>#VALUE!</v>
      </c>
      <c r="CY255" t="e">
        <f>Europe!H181+"n/&gt;!/&lt;\"</f>
        <v>#VALUE!</v>
      </c>
      <c r="CZ255" t="e">
        <f>Europe!I181+"n/&gt;!/&lt;]"</f>
        <v>#VALUE!</v>
      </c>
      <c r="DA255" t="e">
        <f>Europe!A182+"n/&gt;!/&lt;^"</f>
        <v>#VALUE!</v>
      </c>
      <c r="DB255" t="e">
        <f>Europe!B182+"n/&gt;!/&lt;_"</f>
        <v>#VALUE!</v>
      </c>
      <c r="DC255" t="e">
        <f>Europe!C182+"n/&gt;!/&lt;`"</f>
        <v>#VALUE!</v>
      </c>
      <c r="DD255" t="e">
        <f>Europe!D182+"n/&gt;!/&lt;a"</f>
        <v>#VALUE!</v>
      </c>
      <c r="DE255" t="e">
        <f>Europe!E182+"n/&gt;!/&lt;b"</f>
        <v>#VALUE!</v>
      </c>
      <c r="DF255" t="e">
        <f>Europe!F182+"n/&gt;!/&lt;c"</f>
        <v>#VALUE!</v>
      </c>
      <c r="DG255" t="e">
        <f>Europe!G182+"n/&gt;!/&lt;d"</f>
        <v>#VALUE!</v>
      </c>
      <c r="DH255" t="e">
        <f>Europe!H182+"n/&gt;!/&lt;e"</f>
        <v>#VALUE!</v>
      </c>
      <c r="DI255" t="e">
        <f>Europe!I182+"n/&gt;!/&lt;f"</f>
        <v>#VALUE!</v>
      </c>
      <c r="DJ255" t="e">
        <f>Europe!A183+"n/&gt;!/&lt;g"</f>
        <v>#VALUE!</v>
      </c>
      <c r="DK255" t="e">
        <f>Europe!B183+"n/&gt;!/&lt;h"</f>
        <v>#VALUE!</v>
      </c>
      <c r="DL255" t="e">
        <f>Europe!C183+"n/&gt;!/&lt;i"</f>
        <v>#VALUE!</v>
      </c>
      <c r="DM255" t="e">
        <f>Europe!D183+"n/&gt;!/&lt;j"</f>
        <v>#VALUE!</v>
      </c>
      <c r="DN255" t="e">
        <f>Europe!E183+"n/&gt;!/&lt;k"</f>
        <v>#VALUE!</v>
      </c>
      <c r="DO255" t="e">
        <f>Europe!F183+"n/&gt;!/&lt;l"</f>
        <v>#VALUE!</v>
      </c>
      <c r="DP255" t="e">
        <f>Europe!G183+"n/&gt;!/&lt;m"</f>
        <v>#VALUE!</v>
      </c>
      <c r="DQ255" t="e">
        <f>Europe!H183+"n/&gt;!/&lt;n"</f>
        <v>#VALUE!</v>
      </c>
      <c r="DR255" t="e">
        <f>Europe!I183+"n/&gt;!/&lt;o"</f>
        <v>#VALUE!</v>
      </c>
      <c r="DS255" t="e">
        <f>Europe!A184+"n/&gt;!/&lt;p"</f>
        <v>#VALUE!</v>
      </c>
      <c r="DT255" t="e">
        <f>Europe!B184+"n/&gt;!/&lt;q"</f>
        <v>#VALUE!</v>
      </c>
      <c r="DU255" t="e">
        <f>Europe!C184+"n/&gt;!/&lt;r"</f>
        <v>#VALUE!</v>
      </c>
      <c r="DV255" t="e">
        <f>Europe!D184+"n/&gt;!/&lt;s"</f>
        <v>#VALUE!</v>
      </c>
      <c r="DW255" t="e">
        <f>Europe!E184+"n/&gt;!/&lt;t"</f>
        <v>#VALUE!</v>
      </c>
      <c r="DX255" t="e">
        <f>Europe!F184+"n/&gt;!/&lt;u"</f>
        <v>#VALUE!</v>
      </c>
      <c r="DY255" t="e">
        <f>Europe!G184+"n/&gt;!/&lt;v"</f>
        <v>#VALUE!</v>
      </c>
      <c r="DZ255" t="e">
        <f>Europe!H184+"n/&gt;!/&lt;w"</f>
        <v>#VALUE!</v>
      </c>
      <c r="EA255" t="e">
        <f>Europe!I184+"n/&gt;!/&lt;x"</f>
        <v>#VALUE!</v>
      </c>
      <c r="EB255" t="e">
        <f>Europe!A185+"n/&gt;!/&lt;y"</f>
        <v>#VALUE!</v>
      </c>
      <c r="EC255" t="e">
        <f>Europe!B185+"n/&gt;!/&lt;z"</f>
        <v>#VALUE!</v>
      </c>
      <c r="ED255" t="e">
        <f>Europe!C185+"n/&gt;!/&lt;{"</f>
        <v>#VALUE!</v>
      </c>
      <c r="EE255" t="e">
        <f>Europe!D185+"n/&gt;!/&lt;|"</f>
        <v>#VALUE!</v>
      </c>
      <c r="EF255" t="e">
        <f>Europe!E185+"n/&gt;!/&lt;}"</f>
        <v>#VALUE!</v>
      </c>
      <c r="EG255" t="e">
        <f>Europe!F185+"n/&gt;!/&lt;~"</f>
        <v>#VALUE!</v>
      </c>
      <c r="EH255" t="e">
        <f>Europe!G185+"n/&gt;!/=#"</f>
        <v>#VALUE!</v>
      </c>
      <c r="EI255" t="e">
        <f>Europe!H185+"n/&gt;!/=$"</f>
        <v>#VALUE!</v>
      </c>
      <c r="EJ255" t="e">
        <f>Europe!I185+"n/&gt;!/=%"</f>
        <v>#VALUE!</v>
      </c>
      <c r="EK255" t="e">
        <f>Europe!A186+"n/&gt;!/=&amp;"</f>
        <v>#VALUE!</v>
      </c>
      <c r="EL255" t="e">
        <f>Europe!B186+"n/&gt;!/='"</f>
        <v>#VALUE!</v>
      </c>
      <c r="EM255" t="e">
        <f>Europe!C186+"n/&gt;!/=("</f>
        <v>#VALUE!</v>
      </c>
      <c r="EN255" t="e">
        <f>Europe!D186+"n/&gt;!/=)"</f>
        <v>#VALUE!</v>
      </c>
      <c r="EO255" t="e">
        <f>Europe!E186+"n/&gt;!/=."</f>
        <v>#VALUE!</v>
      </c>
      <c r="EP255" t="e">
        <f>Europe!F186+"n/&gt;!/=/"</f>
        <v>#VALUE!</v>
      </c>
      <c r="EQ255" t="e">
        <f>Europe!G186+"n/&gt;!/=0"</f>
        <v>#VALUE!</v>
      </c>
      <c r="ER255" t="e">
        <f>Europe!H186+"n/&gt;!/=1"</f>
        <v>#VALUE!</v>
      </c>
      <c r="ES255" t="e">
        <f>Europe!I186+"n/&gt;!/=2"</f>
        <v>#VALUE!</v>
      </c>
      <c r="ET255" t="e">
        <f>Europe!A187+"n/&gt;!/=3"</f>
        <v>#VALUE!</v>
      </c>
      <c r="EU255" t="e">
        <f>Europe!B187+"n/&gt;!/=4"</f>
        <v>#VALUE!</v>
      </c>
      <c r="EV255" t="e">
        <f>Europe!C187+"n/&gt;!/=5"</f>
        <v>#VALUE!</v>
      </c>
      <c r="EW255" t="e">
        <f>Europe!D187+"n/&gt;!/=6"</f>
        <v>#VALUE!</v>
      </c>
      <c r="EX255" t="e">
        <f>Europe!E187+"n/&gt;!/=7"</f>
        <v>#VALUE!</v>
      </c>
      <c r="EY255" t="e">
        <f>Europe!F187+"n/&gt;!/=8"</f>
        <v>#VALUE!</v>
      </c>
      <c r="EZ255" t="e">
        <f>Europe!G187+"n/&gt;!/=9"</f>
        <v>#VALUE!</v>
      </c>
      <c r="FA255" t="e">
        <f>Europe!H187+"n/&gt;!/=:"</f>
        <v>#VALUE!</v>
      </c>
      <c r="FB255" t="e">
        <f>Europe!I187+"n/&gt;!/=;"</f>
        <v>#VALUE!</v>
      </c>
      <c r="FC255" t="e">
        <f>Europe!A188+"n/&gt;!/=&lt;"</f>
        <v>#VALUE!</v>
      </c>
      <c r="FD255" t="e">
        <f>Europe!B188+"n/&gt;!/=="</f>
        <v>#VALUE!</v>
      </c>
      <c r="FE255" t="e">
        <f>Europe!C188+"n/&gt;!/=&gt;"</f>
        <v>#VALUE!</v>
      </c>
      <c r="FF255" t="e">
        <f>Europe!D188+"n/&gt;!/=?"</f>
        <v>#VALUE!</v>
      </c>
      <c r="FG255" t="e">
        <f>Europe!E188+"n/&gt;!/=@"</f>
        <v>#VALUE!</v>
      </c>
      <c r="FH255" t="e">
        <f>Europe!F188+"n/&gt;!/=A"</f>
        <v>#VALUE!</v>
      </c>
      <c r="FI255" t="e">
        <f>Europe!G188+"n/&gt;!/=B"</f>
        <v>#VALUE!</v>
      </c>
      <c r="FJ255" t="e">
        <f>Europe!H188+"n/&gt;!/=C"</f>
        <v>#VALUE!</v>
      </c>
      <c r="FK255" t="e">
        <f>Europe!I188+"n/&gt;!/=D"</f>
        <v>#VALUE!</v>
      </c>
      <c r="FL255" t="e">
        <f>Europe!A189+"n/&gt;!/=E"</f>
        <v>#VALUE!</v>
      </c>
      <c r="FM255" t="e">
        <f>Europe!B189+"n/&gt;!/=F"</f>
        <v>#VALUE!</v>
      </c>
      <c r="FN255" t="e">
        <f>Europe!C189+"n/&gt;!/=G"</f>
        <v>#VALUE!</v>
      </c>
      <c r="FO255" t="e">
        <f>Europe!D189+"n/&gt;!/=H"</f>
        <v>#VALUE!</v>
      </c>
      <c r="FP255" t="e">
        <f>Europe!E189+"n/&gt;!/=I"</f>
        <v>#VALUE!</v>
      </c>
      <c r="FQ255" t="e">
        <f>Europe!F189+"n/&gt;!/=J"</f>
        <v>#VALUE!</v>
      </c>
      <c r="FR255" t="e">
        <f>Europe!G189+"n/&gt;!/=K"</f>
        <v>#VALUE!</v>
      </c>
      <c r="FS255" t="e">
        <f>Europe!H189+"n/&gt;!/=L"</f>
        <v>#VALUE!</v>
      </c>
      <c r="FT255" t="e">
        <f>Europe!I189+"n/&gt;!/=M"</f>
        <v>#VALUE!</v>
      </c>
      <c r="FU255" t="e">
        <f>Europe!A190+"n/&gt;!/=N"</f>
        <v>#VALUE!</v>
      </c>
      <c r="FV255" t="e">
        <f>Europe!B190+"n/&gt;!/=O"</f>
        <v>#VALUE!</v>
      </c>
      <c r="FW255" t="e">
        <f>Europe!C190+"n/&gt;!/=P"</f>
        <v>#VALUE!</v>
      </c>
      <c r="FX255" t="e">
        <f>Europe!D190+"n/&gt;!/=Q"</f>
        <v>#VALUE!</v>
      </c>
      <c r="FY255" t="e">
        <f>Europe!E190+"n/&gt;!/=R"</f>
        <v>#VALUE!</v>
      </c>
      <c r="FZ255" t="e">
        <f>Europe!F190+"n/&gt;!/=S"</f>
        <v>#VALUE!</v>
      </c>
      <c r="GA255" t="e">
        <f>Europe!G190+"n/&gt;!/=T"</f>
        <v>#VALUE!</v>
      </c>
      <c r="GB255" t="e">
        <f>Europe!H190+"n/&gt;!/=U"</f>
        <v>#VALUE!</v>
      </c>
      <c r="GC255" t="e">
        <f>Europe!I190+"n/&gt;!/=V"</f>
        <v>#VALUE!</v>
      </c>
      <c r="GD255" t="e">
        <f>Europe!A191+"n/&gt;!/=W"</f>
        <v>#VALUE!</v>
      </c>
      <c r="GE255" t="e">
        <f>Europe!B191+"n/&gt;!/=X"</f>
        <v>#VALUE!</v>
      </c>
      <c r="GF255" t="e">
        <f>Europe!C191+"n/&gt;!/=Y"</f>
        <v>#VALUE!</v>
      </c>
      <c r="GG255" t="e">
        <f>Europe!D191+"n/&gt;!/=Z"</f>
        <v>#VALUE!</v>
      </c>
      <c r="GH255" t="e">
        <f>Europe!E191+"n/&gt;!/=["</f>
        <v>#VALUE!</v>
      </c>
      <c r="GI255" t="e">
        <f>Europe!F191+"n/&gt;!/=\"</f>
        <v>#VALUE!</v>
      </c>
      <c r="GJ255" t="e">
        <f>Europe!G191+"n/&gt;!/=]"</f>
        <v>#VALUE!</v>
      </c>
      <c r="GK255" t="e">
        <f>Europe!H191+"n/&gt;!/=^"</f>
        <v>#VALUE!</v>
      </c>
      <c r="GL255" t="e">
        <f>Europe!I191+"n/&gt;!/=_"</f>
        <v>#VALUE!</v>
      </c>
      <c r="GM255" t="e">
        <f>Europe!A192+"n/&gt;!/=`"</f>
        <v>#VALUE!</v>
      </c>
      <c r="GN255" t="e">
        <f>Europe!B192+"n/&gt;!/=a"</f>
        <v>#VALUE!</v>
      </c>
      <c r="GO255" t="e">
        <f>Europe!C192+"n/&gt;!/=b"</f>
        <v>#VALUE!</v>
      </c>
      <c r="GP255" t="e">
        <f>Europe!D192+"n/&gt;!/=c"</f>
        <v>#VALUE!</v>
      </c>
      <c r="GQ255" t="e">
        <f>Europe!E192+"n/&gt;!/=d"</f>
        <v>#VALUE!</v>
      </c>
      <c r="GR255" t="e">
        <f>Europe!F192+"n/&gt;!/=e"</f>
        <v>#VALUE!</v>
      </c>
      <c r="GS255" t="e">
        <f>Europe!G192+"n/&gt;!/=f"</f>
        <v>#VALUE!</v>
      </c>
      <c r="GT255" t="e">
        <f>Europe!H192+"n/&gt;!/=g"</f>
        <v>#VALUE!</v>
      </c>
      <c r="GU255" t="e">
        <f>Europe!I192+"n/&gt;!/=h"</f>
        <v>#VALUE!</v>
      </c>
      <c r="GV255" t="e">
        <f>Europe!A193+"n/&gt;!/=i"</f>
        <v>#VALUE!</v>
      </c>
      <c r="GW255" t="e">
        <f>Europe!B193+"n/&gt;!/=j"</f>
        <v>#VALUE!</v>
      </c>
      <c r="GX255" t="e">
        <f>Europe!C193+"n/&gt;!/=k"</f>
        <v>#VALUE!</v>
      </c>
      <c r="GY255" t="e">
        <f>Europe!D193+"n/&gt;!/=l"</f>
        <v>#VALUE!</v>
      </c>
      <c r="GZ255" t="e">
        <f>Europe!E193+"n/&gt;!/=m"</f>
        <v>#VALUE!</v>
      </c>
      <c r="HA255" t="e">
        <f>Europe!F193+"n/&gt;!/=n"</f>
        <v>#VALUE!</v>
      </c>
      <c r="HB255" t="e">
        <f>Europe!G193+"n/&gt;!/=o"</f>
        <v>#VALUE!</v>
      </c>
      <c r="HC255" t="e">
        <f>Europe!H193+"n/&gt;!/=p"</f>
        <v>#VALUE!</v>
      </c>
      <c r="HD255" t="e">
        <f>Europe!I193+"n/&gt;!/=q"</f>
        <v>#VALUE!</v>
      </c>
      <c r="HE255" t="e">
        <f>Europe!A194+"n/&gt;!/=r"</f>
        <v>#VALUE!</v>
      </c>
      <c r="HF255" t="e">
        <f>Europe!B194+"n/&gt;!/=s"</f>
        <v>#VALUE!</v>
      </c>
      <c r="HG255" t="e">
        <f>Europe!C194+"n/&gt;!/=t"</f>
        <v>#VALUE!</v>
      </c>
      <c r="HH255" t="e">
        <f>Europe!D194+"n/&gt;!/=u"</f>
        <v>#VALUE!</v>
      </c>
      <c r="HI255" t="e">
        <f>Europe!E194+"n/&gt;!/=v"</f>
        <v>#VALUE!</v>
      </c>
      <c r="HJ255" t="e">
        <f>Europe!F194+"n/&gt;!/=w"</f>
        <v>#VALUE!</v>
      </c>
      <c r="HK255" t="e">
        <f>Europe!G194+"n/&gt;!/=x"</f>
        <v>#VALUE!</v>
      </c>
      <c r="HL255" t="e">
        <f>Europe!H194+"n/&gt;!/=y"</f>
        <v>#VALUE!</v>
      </c>
      <c r="HM255" t="e">
        <f>Europe!I194+"n/&gt;!/=z"</f>
        <v>#VALUE!</v>
      </c>
      <c r="HN255" t="e">
        <f>Europe!A195+"n/&gt;!/={"</f>
        <v>#VALUE!</v>
      </c>
      <c r="HO255" t="e">
        <f>Europe!B195+"n/&gt;!/=|"</f>
        <v>#VALUE!</v>
      </c>
      <c r="HP255" t="e">
        <f>Europe!C195+"n/&gt;!/=}"</f>
        <v>#VALUE!</v>
      </c>
      <c r="HQ255" t="e">
        <f>Europe!D195+"n/&gt;!/=~"</f>
        <v>#VALUE!</v>
      </c>
      <c r="HR255" t="e">
        <f>Europe!E195+"n/&gt;!/&gt;#"</f>
        <v>#VALUE!</v>
      </c>
      <c r="HS255" t="e">
        <f>Europe!F195+"n/&gt;!/&gt;$"</f>
        <v>#VALUE!</v>
      </c>
      <c r="HT255" t="e">
        <f>Europe!G195+"n/&gt;!/&gt;%"</f>
        <v>#VALUE!</v>
      </c>
      <c r="HU255" t="e">
        <f>Europe!H195+"n/&gt;!/&gt;&amp;"</f>
        <v>#VALUE!</v>
      </c>
      <c r="HV255" t="e">
        <f>Europe!I195+"n/&gt;!/&gt;'"</f>
        <v>#VALUE!</v>
      </c>
      <c r="HW255" t="e">
        <f>Europe!A196+"n/&gt;!/&gt;("</f>
        <v>#VALUE!</v>
      </c>
      <c r="HX255" t="e">
        <f>Europe!B196+"n/&gt;!/&gt;)"</f>
        <v>#VALUE!</v>
      </c>
      <c r="HY255" t="e">
        <f>Europe!C196+"n/&gt;!/&gt;."</f>
        <v>#VALUE!</v>
      </c>
      <c r="HZ255" t="e">
        <f>Europe!D196+"n/&gt;!/&gt;/"</f>
        <v>#VALUE!</v>
      </c>
      <c r="IA255" t="e">
        <f>Europe!E196+"n/&gt;!/&gt;0"</f>
        <v>#VALUE!</v>
      </c>
      <c r="IB255" t="e">
        <f>Europe!F196+"n/&gt;!/&gt;1"</f>
        <v>#VALUE!</v>
      </c>
      <c r="IC255" t="e">
        <f>Europe!G196+"n/&gt;!/&gt;2"</f>
        <v>#VALUE!</v>
      </c>
      <c r="ID255" t="e">
        <f>Europe!H196+"n/&gt;!/&gt;3"</f>
        <v>#VALUE!</v>
      </c>
      <c r="IE255" t="e">
        <f>Europe!I196+"n/&gt;!/&gt;4"</f>
        <v>#VALUE!</v>
      </c>
      <c r="IF255" t="e">
        <f>Europe!A197+"n/&gt;!/&gt;5"</f>
        <v>#VALUE!</v>
      </c>
      <c r="IG255" t="e">
        <f>Europe!B197+"n/&gt;!/&gt;6"</f>
        <v>#VALUE!</v>
      </c>
      <c r="IH255" t="e">
        <f>Europe!C197+"n/&gt;!/&gt;7"</f>
        <v>#VALUE!</v>
      </c>
      <c r="II255" t="e">
        <f>Europe!D197+"n/&gt;!/&gt;8"</f>
        <v>#VALUE!</v>
      </c>
      <c r="IJ255" t="e">
        <f>Europe!E197+"n/&gt;!/&gt;9"</f>
        <v>#VALUE!</v>
      </c>
      <c r="IK255" t="e">
        <f>Europe!F197+"n/&gt;!/&gt;:"</f>
        <v>#VALUE!</v>
      </c>
      <c r="IL255" t="e">
        <f>Europe!G197+"n/&gt;!/&gt;;"</f>
        <v>#VALUE!</v>
      </c>
      <c r="IM255" t="e">
        <f>Europe!H197+"n/&gt;!/&gt;&lt;"</f>
        <v>#VALUE!</v>
      </c>
      <c r="IN255" t="e">
        <f>Europe!I197+"n/&gt;!/&gt;="</f>
        <v>#VALUE!</v>
      </c>
      <c r="IO255" t="e">
        <f>Europe!A198+"n/&gt;!/&gt;&gt;"</f>
        <v>#VALUE!</v>
      </c>
      <c r="IP255" t="e">
        <f>Europe!B198+"n/&gt;!/&gt;?"</f>
        <v>#VALUE!</v>
      </c>
      <c r="IQ255" t="e">
        <f>Europe!C198+"n/&gt;!/&gt;@"</f>
        <v>#VALUE!</v>
      </c>
      <c r="IR255" t="e">
        <f>Europe!D198+"n/&gt;!/&gt;A"</f>
        <v>#VALUE!</v>
      </c>
      <c r="IS255" t="e">
        <f>Europe!E198+"n/&gt;!/&gt;B"</f>
        <v>#VALUE!</v>
      </c>
      <c r="IT255" t="e">
        <f>Europe!F198+"n/&gt;!/&gt;C"</f>
        <v>#VALUE!</v>
      </c>
      <c r="IU255" t="e">
        <f>Europe!G198+"n/&gt;!/&gt;D"</f>
        <v>#VALUE!</v>
      </c>
      <c r="IV255" t="e">
        <f>Europe!H198+"n/&gt;!/&gt;E"</f>
        <v>#VALUE!</v>
      </c>
    </row>
    <row r="256" spans="6:256" x14ac:dyDescent="0.35">
      <c r="F256" t="e">
        <f>Europe!I198+"n/&gt;!/&gt;F"</f>
        <v>#VALUE!</v>
      </c>
      <c r="G256" t="e">
        <f>Europe!A199+"n/&gt;!/&gt;G"</f>
        <v>#VALUE!</v>
      </c>
      <c r="H256" t="e">
        <f>Europe!B199+"n/&gt;!/&gt;H"</f>
        <v>#VALUE!</v>
      </c>
      <c r="I256" t="e">
        <f>Europe!C199+"n/&gt;!/&gt;I"</f>
        <v>#VALUE!</v>
      </c>
      <c r="J256" t="e">
        <f>Europe!D199+"n/&gt;!/&gt;J"</f>
        <v>#VALUE!</v>
      </c>
      <c r="K256" t="e">
        <f>Europe!E199+"n/&gt;!/&gt;K"</f>
        <v>#VALUE!</v>
      </c>
      <c r="L256" t="e">
        <f>Europe!F199+"n/&gt;!/&gt;L"</f>
        <v>#VALUE!</v>
      </c>
      <c r="M256" t="e">
        <f>Europe!G199+"n/&gt;!/&gt;M"</f>
        <v>#VALUE!</v>
      </c>
      <c r="N256" t="e">
        <f>Europe!H199+"n/&gt;!/&gt;N"</f>
        <v>#VALUE!</v>
      </c>
      <c r="O256" t="e">
        <f>Europe!I199+"n/&gt;!/&gt;O"</f>
        <v>#VALUE!</v>
      </c>
      <c r="P256" t="e">
        <f>Europe!A200+"n/&gt;!/&gt;P"</f>
        <v>#VALUE!</v>
      </c>
      <c r="Q256" t="e">
        <f>Europe!B200+"n/&gt;!/&gt;Q"</f>
        <v>#VALUE!</v>
      </c>
      <c r="R256" t="e">
        <f>Europe!C200+"n/&gt;!/&gt;R"</f>
        <v>#VALUE!</v>
      </c>
      <c r="S256" t="e">
        <f>Europe!D200+"n/&gt;!/&gt;S"</f>
        <v>#VALUE!</v>
      </c>
      <c r="T256" t="e">
        <f>Europe!E200+"n/&gt;!/&gt;T"</f>
        <v>#VALUE!</v>
      </c>
      <c r="U256" t="e">
        <f>Europe!F200+"n/&gt;!/&gt;U"</f>
        <v>#VALUE!</v>
      </c>
      <c r="V256" t="e">
        <f>Europe!G200+"n/&gt;!/&gt;V"</f>
        <v>#VALUE!</v>
      </c>
      <c r="W256" t="e">
        <f>Europe!H200+"n/&gt;!/&gt;W"</f>
        <v>#VALUE!</v>
      </c>
      <c r="X256" t="e">
        <f>Europe!I200+"n/&gt;!/&gt;X"</f>
        <v>#VALUE!</v>
      </c>
      <c r="Y256" t="e">
        <f>Europe!A201+"n/&gt;!/&gt;Y"</f>
        <v>#VALUE!</v>
      </c>
      <c r="Z256" t="e">
        <f>Europe!B201+"n/&gt;!/&gt;Z"</f>
        <v>#VALUE!</v>
      </c>
      <c r="AA256" t="e">
        <f>Europe!C201+"n/&gt;!/&gt;["</f>
        <v>#VALUE!</v>
      </c>
      <c r="AB256" t="e">
        <f>Europe!D201+"n/&gt;!/&gt;\"</f>
        <v>#VALUE!</v>
      </c>
      <c r="AC256" t="e">
        <f>Europe!E201+"n/&gt;!/&gt;]"</f>
        <v>#VALUE!</v>
      </c>
      <c r="AD256" t="e">
        <f>Europe!F201+"n/&gt;!/&gt;^"</f>
        <v>#VALUE!</v>
      </c>
      <c r="AE256" t="e">
        <f>Europe!G201+"n/&gt;!/&gt;_"</f>
        <v>#VALUE!</v>
      </c>
      <c r="AF256" t="e">
        <f>Europe!H201+"n/&gt;!/&gt;`"</f>
        <v>#VALUE!</v>
      </c>
      <c r="AG256" t="e">
        <f>Europe!I201+"n/&gt;!/&gt;a"</f>
        <v>#VALUE!</v>
      </c>
      <c r="AH256" t="e">
        <f>Europe!A202+"n/&gt;!/&gt;b"</f>
        <v>#VALUE!</v>
      </c>
      <c r="AI256" t="e">
        <f>Europe!B202+"n/&gt;!/&gt;c"</f>
        <v>#VALUE!</v>
      </c>
      <c r="AJ256" t="e">
        <f>Europe!C202+"n/&gt;!/&gt;d"</f>
        <v>#VALUE!</v>
      </c>
      <c r="AK256" t="e">
        <f>Europe!D202+"n/&gt;!/&gt;e"</f>
        <v>#VALUE!</v>
      </c>
      <c r="AL256" t="e">
        <f>Europe!E202+"n/&gt;!/&gt;f"</f>
        <v>#VALUE!</v>
      </c>
      <c r="AM256" t="e">
        <f>Europe!F202+"n/&gt;!/&gt;g"</f>
        <v>#VALUE!</v>
      </c>
      <c r="AN256" t="e">
        <f>Europe!G202+"n/&gt;!/&gt;h"</f>
        <v>#VALUE!</v>
      </c>
      <c r="AO256" t="e">
        <f>Europe!H202+"n/&gt;!/&gt;i"</f>
        <v>#VALUE!</v>
      </c>
      <c r="AP256" t="e">
        <f>Europe!I202+"n/&gt;!/&gt;j"</f>
        <v>#VALUE!</v>
      </c>
      <c r="AQ256" t="e">
        <f>Europe!A203+"n/&gt;!/&gt;k"</f>
        <v>#VALUE!</v>
      </c>
      <c r="AR256" t="e">
        <f>Europe!B203+"n/&gt;!/&gt;l"</f>
        <v>#VALUE!</v>
      </c>
      <c r="AS256" t="e">
        <f>Europe!C203+"n/&gt;!/&gt;m"</f>
        <v>#VALUE!</v>
      </c>
      <c r="AT256" t="e">
        <f>Europe!D203+"n/&gt;!/&gt;n"</f>
        <v>#VALUE!</v>
      </c>
      <c r="AU256" t="e">
        <f>Europe!E203+"n/&gt;!/&gt;o"</f>
        <v>#VALUE!</v>
      </c>
      <c r="AV256" t="e">
        <f>Europe!F203+"n/&gt;!/&gt;p"</f>
        <v>#VALUE!</v>
      </c>
      <c r="AW256" t="e">
        <f>Europe!G203+"n/&gt;!/&gt;q"</f>
        <v>#VALUE!</v>
      </c>
      <c r="AX256" t="e">
        <f>Europe!H203+"n/&gt;!/&gt;r"</f>
        <v>#VALUE!</v>
      </c>
      <c r="AY256" t="e">
        <f>Europe!I203+"n/&gt;!/&gt;s"</f>
        <v>#VALUE!</v>
      </c>
      <c r="AZ256" t="e">
        <f>Europe!A204+"n/&gt;!/&gt;t"</f>
        <v>#VALUE!</v>
      </c>
      <c r="BA256" t="e">
        <f>Europe!B204+"n/&gt;!/&gt;u"</f>
        <v>#VALUE!</v>
      </c>
      <c r="BB256" t="e">
        <f>Europe!C204+"n/&gt;!/&gt;v"</f>
        <v>#VALUE!</v>
      </c>
      <c r="BC256" t="e">
        <f>Europe!D204+"n/&gt;!/&gt;w"</f>
        <v>#VALUE!</v>
      </c>
      <c r="BD256" t="e">
        <f>Europe!E204+"n/&gt;!/&gt;x"</f>
        <v>#VALUE!</v>
      </c>
      <c r="BE256" t="e">
        <f>Europe!F204+"n/&gt;!/&gt;y"</f>
        <v>#VALUE!</v>
      </c>
      <c r="BF256" t="e">
        <f>Europe!G204+"n/&gt;!/&gt;z"</f>
        <v>#VALUE!</v>
      </c>
      <c r="BG256" t="e">
        <f>Europe!H204+"n/&gt;!/&gt;{"</f>
        <v>#VALUE!</v>
      </c>
      <c r="BH256" t="e">
        <f>Europe!I204+"n/&gt;!/&gt;|"</f>
        <v>#VALUE!</v>
      </c>
      <c r="BI256" t="e">
        <f>Europe!A205+"n/&gt;!/&gt;}"</f>
        <v>#VALUE!</v>
      </c>
      <c r="BJ256" t="e">
        <f>Europe!B205+"n/&gt;!/&gt;~"</f>
        <v>#VALUE!</v>
      </c>
      <c r="BK256" t="e">
        <f>Europe!C205+"n/&gt;!/?#"</f>
        <v>#VALUE!</v>
      </c>
      <c r="BL256" t="e">
        <f>Europe!D205+"n/&gt;!/?$"</f>
        <v>#VALUE!</v>
      </c>
      <c r="BM256" t="e">
        <f>Europe!E205+"n/&gt;!/?%"</f>
        <v>#VALUE!</v>
      </c>
      <c r="BN256" t="e">
        <f>Europe!F205+"n/&gt;!/?&amp;"</f>
        <v>#VALUE!</v>
      </c>
      <c r="BO256" t="e">
        <f>Europe!G205+"n/&gt;!/?'"</f>
        <v>#VALUE!</v>
      </c>
      <c r="BP256" t="e">
        <f>Europe!H205+"n/&gt;!/?("</f>
        <v>#VALUE!</v>
      </c>
      <c r="BQ256" t="e">
        <f>Europe!I205+"n/&gt;!/?)"</f>
        <v>#VALUE!</v>
      </c>
      <c r="BR256" t="e">
        <f>Europe!A206+"n/&gt;!/?."</f>
        <v>#VALUE!</v>
      </c>
      <c r="BS256" t="e">
        <f>Europe!B206+"n/&gt;!/?/"</f>
        <v>#VALUE!</v>
      </c>
      <c r="BT256" t="e">
        <f>Europe!C206+"n/&gt;!/?0"</f>
        <v>#VALUE!</v>
      </c>
      <c r="BU256" t="e">
        <f>Europe!D206+"n/&gt;!/?1"</f>
        <v>#VALUE!</v>
      </c>
      <c r="BV256" t="e">
        <f>Europe!E206+"n/&gt;!/?2"</f>
        <v>#VALUE!</v>
      </c>
      <c r="BW256" t="e">
        <f>Europe!F206+"n/&gt;!/?3"</f>
        <v>#VALUE!</v>
      </c>
      <c r="BX256" t="e">
        <f>Europe!G206+"n/&gt;!/?4"</f>
        <v>#VALUE!</v>
      </c>
      <c r="BY256" t="e">
        <f>Europe!H206+"n/&gt;!/?5"</f>
        <v>#VALUE!</v>
      </c>
      <c r="BZ256" t="e">
        <f>Europe!I206+"n/&gt;!/?6"</f>
        <v>#VALUE!</v>
      </c>
      <c r="CA256" t="e">
        <f>Europe!A207+"n/&gt;!/?7"</f>
        <v>#VALUE!</v>
      </c>
      <c r="CB256" t="e">
        <f>Europe!B207+"n/&gt;!/?8"</f>
        <v>#VALUE!</v>
      </c>
      <c r="CC256" t="e">
        <f>Europe!C207+"n/&gt;!/?9"</f>
        <v>#VALUE!</v>
      </c>
      <c r="CD256" t="e">
        <f>Europe!D207+"n/&gt;!/?:"</f>
        <v>#VALUE!</v>
      </c>
      <c r="CE256" t="e">
        <f>Europe!E207+"n/&gt;!/?;"</f>
        <v>#VALUE!</v>
      </c>
      <c r="CF256" t="e">
        <f>Europe!F207+"n/&gt;!/?&lt;"</f>
        <v>#VALUE!</v>
      </c>
      <c r="CG256" t="e">
        <f>Europe!G207+"n/&gt;!/?="</f>
        <v>#VALUE!</v>
      </c>
      <c r="CH256" t="e">
        <f>Europe!H207+"n/&gt;!/?&gt;"</f>
        <v>#VALUE!</v>
      </c>
      <c r="CI256" t="e">
        <f>Europe!I207+"n/&gt;!/??"</f>
        <v>#VALUE!</v>
      </c>
      <c r="CJ256" t="e">
        <f>Europe!A208+"n/&gt;!/?@"</f>
        <v>#VALUE!</v>
      </c>
      <c r="CK256" t="e">
        <f>Europe!B208+"n/&gt;!/?A"</f>
        <v>#VALUE!</v>
      </c>
      <c r="CL256" t="e">
        <f>Europe!C208+"n/&gt;!/?B"</f>
        <v>#VALUE!</v>
      </c>
      <c r="CM256" t="e">
        <f>Europe!D208+"n/&gt;!/?C"</f>
        <v>#VALUE!</v>
      </c>
      <c r="CN256" t="e">
        <f>Europe!E208+"n/&gt;!/?D"</f>
        <v>#VALUE!</v>
      </c>
      <c r="CO256" t="e">
        <f>Europe!F208+"n/&gt;!/?E"</f>
        <v>#VALUE!</v>
      </c>
      <c r="CP256" t="e">
        <f>Europe!G208+"n/&gt;!/?F"</f>
        <v>#VALUE!</v>
      </c>
      <c r="CQ256" t="e">
        <f>Europe!H208+"n/&gt;!/?G"</f>
        <v>#VALUE!</v>
      </c>
      <c r="CR256" t="e">
        <f>Europe!I208+"n/&gt;!/?H"</f>
        <v>#VALUE!</v>
      </c>
      <c r="CS256" t="e">
        <f>Europe!A209+"n/&gt;!/?I"</f>
        <v>#VALUE!</v>
      </c>
      <c r="CT256" t="e">
        <f>Europe!B209+"n/&gt;!/?J"</f>
        <v>#VALUE!</v>
      </c>
      <c r="CU256" t="e">
        <f>Europe!C209+"n/&gt;!/?K"</f>
        <v>#VALUE!</v>
      </c>
      <c r="CV256" t="e">
        <f>Europe!D209+"n/&gt;!/?L"</f>
        <v>#VALUE!</v>
      </c>
      <c r="CW256" t="e">
        <f>Europe!E209+"n/&gt;!/?M"</f>
        <v>#VALUE!</v>
      </c>
      <c r="CX256" t="e">
        <f>Europe!F209+"n/&gt;!/?N"</f>
        <v>#VALUE!</v>
      </c>
      <c r="CY256" t="e">
        <f>Europe!G209+"n/&gt;!/?O"</f>
        <v>#VALUE!</v>
      </c>
      <c r="CZ256" t="e">
        <f>Europe!H209+"n/&gt;!/?P"</f>
        <v>#VALUE!</v>
      </c>
      <c r="DA256" t="e">
        <f>Europe!I209+"n/&gt;!/?Q"</f>
        <v>#VALUE!</v>
      </c>
      <c r="DB256" t="e">
        <f>Europe!A210+"n/&gt;!/?R"</f>
        <v>#VALUE!</v>
      </c>
      <c r="DC256" t="e">
        <f>Europe!B210+"n/&gt;!/?S"</f>
        <v>#VALUE!</v>
      </c>
      <c r="DD256" t="e">
        <f>Europe!C210+"n/&gt;!/?T"</f>
        <v>#VALUE!</v>
      </c>
      <c r="DE256" t="e">
        <f>Europe!D210+"n/&gt;!/?U"</f>
        <v>#VALUE!</v>
      </c>
      <c r="DF256" t="e">
        <f>Europe!E210+"n/&gt;!/?V"</f>
        <v>#VALUE!</v>
      </c>
      <c r="DG256" t="e">
        <f>Europe!F210+"n/&gt;!/?W"</f>
        <v>#VALUE!</v>
      </c>
      <c r="DH256" t="e">
        <f>Europe!G210+"n/&gt;!/?X"</f>
        <v>#VALUE!</v>
      </c>
      <c r="DI256" t="e">
        <f>Europe!H210+"n/&gt;!/?Y"</f>
        <v>#VALUE!</v>
      </c>
      <c r="DJ256" t="e">
        <f>Europe!I210+"n/&gt;!/?Z"</f>
        <v>#VALUE!</v>
      </c>
      <c r="DK256" t="e">
        <f>Europe!A211+"n/&gt;!/?["</f>
        <v>#VALUE!</v>
      </c>
      <c r="DL256" t="e">
        <f>Europe!B211+"n/&gt;!/?\"</f>
        <v>#VALUE!</v>
      </c>
      <c r="DM256" t="e">
        <f>Europe!C211+"n/&gt;!/?]"</f>
        <v>#VALUE!</v>
      </c>
      <c r="DN256" t="e">
        <f>Europe!D211+"n/&gt;!/?^"</f>
        <v>#VALUE!</v>
      </c>
      <c r="DO256" t="e">
        <f>Europe!E211+"n/&gt;!/?_"</f>
        <v>#VALUE!</v>
      </c>
      <c r="DP256" t="e">
        <f>Europe!F211+"n/&gt;!/?`"</f>
        <v>#VALUE!</v>
      </c>
      <c r="DQ256" t="e">
        <f>Europe!G211+"n/&gt;!/?a"</f>
        <v>#VALUE!</v>
      </c>
      <c r="DR256" t="e">
        <f>Europe!H211+"n/&gt;!/?b"</f>
        <v>#VALUE!</v>
      </c>
      <c r="DS256" t="e">
        <f>Europe!I211+"n/&gt;!/?c"</f>
        <v>#VALUE!</v>
      </c>
      <c r="DT256" t="e">
        <f>Europe!A212+"n/&gt;!/?d"</f>
        <v>#VALUE!</v>
      </c>
      <c r="DU256" t="e">
        <f>Europe!B212+"n/&gt;!/?e"</f>
        <v>#VALUE!</v>
      </c>
      <c r="DV256" t="e">
        <f>Europe!C212+"n/&gt;!/?f"</f>
        <v>#VALUE!</v>
      </c>
      <c r="DW256" t="e">
        <f>Europe!D212+"n/&gt;!/?g"</f>
        <v>#VALUE!</v>
      </c>
      <c r="DX256" t="e">
        <f>Europe!E212+"n/&gt;!/?h"</f>
        <v>#VALUE!</v>
      </c>
      <c r="DY256" t="e">
        <f>Europe!F212+"n/&gt;!/?i"</f>
        <v>#VALUE!</v>
      </c>
      <c r="DZ256" t="e">
        <f>Europe!G212+"n/&gt;!/?j"</f>
        <v>#VALUE!</v>
      </c>
      <c r="EA256" t="e">
        <f>Europe!H212+"n/&gt;!/?k"</f>
        <v>#VALUE!</v>
      </c>
      <c r="EB256" t="e">
        <f>Europe!I212+"n/&gt;!/?l"</f>
        <v>#VALUE!</v>
      </c>
      <c r="EC256" t="e">
        <f>Europe!A213+"n/&gt;!/?m"</f>
        <v>#VALUE!</v>
      </c>
      <c r="ED256" t="e">
        <f>Europe!B213+"n/&gt;!/?n"</f>
        <v>#VALUE!</v>
      </c>
      <c r="EE256" t="e">
        <f>Europe!C213+"n/&gt;!/?o"</f>
        <v>#VALUE!</v>
      </c>
      <c r="EF256" t="e">
        <f>Europe!D213+"n/&gt;!/?p"</f>
        <v>#VALUE!</v>
      </c>
      <c r="EG256" t="e">
        <f>Europe!E213+"n/&gt;!/?q"</f>
        <v>#VALUE!</v>
      </c>
      <c r="EH256" t="e">
        <f>Europe!F213+"n/&gt;!/?r"</f>
        <v>#VALUE!</v>
      </c>
      <c r="EI256" t="e">
        <f>Europe!G213+"n/&gt;!/?s"</f>
        <v>#VALUE!</v>
      </c>
      <c r="EJ256" t="e">
        <f>Europe!H213+"n/&gt;!/?t"</f>
        <v>#VALUE!</v>
      </c>
      <c r="EK256" t="e">
        <f>Europe!I213+"n/&gt;!/?u"</f>
        <v>#VALUE!</v>
      </c>
      <c r="EL256" t="e">
        <f>Europe!A214+"n/&gt;!/?v"</f>
        <v>#VALUE!</v>
      </c>
      <c r="EM256" t="e">
        <f>Europe!B214+"n/&gt;!/?w"</f>
        <v>#VALUE!</v>
      </c>
      <c r="EN256" t="e">
        <f>Europe!C214+"n/&gt;!/?x"</f>
        <v>#VALUE!</v>
      </c>
      <c r="EO256" t="e">
        <f>Europe!D214+"n/&gt;!/?y"</f>
        <v>#VALUE!</v>
      </c>
      <c r="EP256" t="e">
        <f>Europe!E214+"n/&gt;!/?z"</f>
        <v>#VALUE!</v>
      </c>
      <c r="EQ256" t="e">
        <f>Europe!F214+"n/&gt;!/?{"</f>
        <v>#VALUE!</v>
      </c>
      <c r="ER256" t="e">
        <f>Europe!G214+"n/&gt;!/?|"</f>
        <v>#VALUE!</v>
      </c>
      <c r="ES256" t="e">
        <f>Europe!H214+"n/&gt;!/?}"</f>
        <v>#VALUE!</v>
      </c>
      <c r="ET256" t="e">
        <f>Europe!I214+"n/&gt;!/?~"</f>
        <v>#VALUE!</v>
      </c>
      <c r="EU256" t="e">
        <f>Europe!A215+"n/&gt;!/@#"</f>
        <v>#VALUE!</v>
      </c>
      <c r="EV256" t="e">
        <f>Europe!B215+"n/&gt;!/@$"</f>
        <v>#VALUE!</v>
      </c>
      <c r="EW256" t="e">
        <f>Europe!C215+"n/&gt;!/@%"</f>
        <v>#VALUE!</v>
      </c>
      <c r="EX256" t="e">
        <f>Europe!D215+"n/&gt;!/@&amp;"</f>
        <v>#VALUE!</v>
      </c>
      <c r="EY256" t="e">
        <f>Europe!E215+"n/&gt;!/@'"</f>
        <v>#VALUE!</v>
      </c>
      <c r="EZ256" t="e">
        <f>Europe!F215+"n/&gt;!/@("</f>
        <v>#VALUE!</v>
      </c>
      <c r="FA256" t="e">
        <f>Europe!G215+"n/&gt;!/@)"</f>
        <v>#VALUE!</v>
      </c>
      <c r="FB256" t="e">
        <f>Europe!H215+"n/&gt;!/@."</f>
        <v>#VALUE!</v>
      </c>
      <c r="FC256" t="e">
        <f>Europe!I215+"n/&gt;!/@/"</f>
        <v>#VALUE!</v>
      </c>
      <c r="FD256" t="e">
        <f>Europe!A216+"n/&gt;!/@0"</f>
        <v>#VALUE!</v>
      </c>
      <c r="FE256" t="e">
        <f>Europe!B216+"n/&gt;!/@1"</f>
        <v>#VALUE!</v>
      </c>
      <c r="FF256" t="e">
        <f>Europe!C216+"n/&gt;!/@2"</f>
        <v>#VALUE!</v>
      </c>
      <c r="FG256" t="e">
        <f>Europe!D216+"n/&gt;!/@3"</f>
        <v>#VALUE!</v>
      </c>
      <c r="FH256" t="e">
        <f>Europe!E216+"n/&gt;!/@4"</f>
        <v>#VALUE!</v>
      </c>
      <c r="FI256" t="e">
        <f>Europe!F216+"n/&gt;!/@5"</f>
        <v>#VALUE!</v>
      </c>
      <c r="FJ256" t="e">
        <f>Europe!G216+"n/&gt;!/@6"</f>
        <v>#VALUE!</v>
      </c>
      <c r="FK256" t="e">
        <f>Europe!H216+"n/&gt;!/@7"</f>
        <v>#VALUE!</v>
      </c>
      <c r="FL256" t="e">
        <f>Europe!I216+"n/&gt;!/@8"</f>
        <v>#VALUE!</v>
      </c>
      <c r="FM256" t="e">
        <f>Europe!A217+"n/&gt;!/@9"</f>
        <v>#VALUE!</v>
      </c>
      <c r="FN256" t="e">
        <f>Europe!B217+"n/&gt;!/@:"</f>
        <v>#VALUE!</v>
      </c>
      <c r="FO256" t="e">
        <f>Europe!C217+"n/&gt;!/@;"</f>
        <v>#VALUE!</v>
      </c>
      <c r="FP256" t="e">
        <f>Europe!D217+"n/&gt;!/@&lt;"</f>
        <v>#VALUE!</v>
      </c>
      <c r="FQ256" t="e">
        <f>Europe!E217+"n/&gt;!/@="</f>
        <v>#VALUE!</v>
      </c>
      <c r="FR256" t="e">
        <f>Europe!F217+"n/&gt;!/@&gt;"</f>
        <v>#VALUE!</v>
      </c>
      <c r="FS256" t="e">
        <f>Europe!G217+"n/&gt;!/@?"</f>
        <v>#VALUE!</v>
      </c>
      <c r="FT256" t="e">
        <f>Europe!H217+"n/&gt;!/@@"</f>
        <v>#VALUE!</v>
      </c>
      <c r="FU256" t="e">
        <f>Europe!I217+"n/&gt;!/@A"</f>
        <v>#VALUE!</v>
      </c>
      <c r="FV256" t="e">
        <f>Europe!A218+"n/&gt;!/@B"</f>
        <v>#VALUE!</v>
      </c>
      <c r="FW256" t="e">
        <f>Europe!B218+"n/&gt;!/@C"</f>
        <v>#VALUE!</v>
      </c>
      <c r="FX256" t="e">
        <f>Europe!C218+"n/&gt;!/@D"</f>
        <v>#VALUE!</v>
      </c>
      <c r="FY256" t="e">
        <f>Europe!D218+"n/&gt;!/@E"</f>
        <v>#VALUE!</v>
      </c>
      <c r="FZ256" t="e">
        <f>Europe!E218+"n/&gt;!/@F"</f>
        <v>#VALUE!</v>
      </c>
      <c r="GA256" t="e">
        <f>Europe!F218+"n/&gt;!/@G"</f>
        <v>#VALUE!</v>
      </c>
      <c r="GB256" t="e">
        <f>Europe!G218+"n/&gt;!/@H"</f>
        <v>#VALUE!</v>
      </c>
      <c r="GC256" t="e">
        <f>Europe!H218+"n/&gt;!/@I"</f>
        <v>#VALUE!</v>
      </c>
      <c r="GD256" t="e">
        <f>Europe!I218+"n/&gt;!/@J"</f>
        <v>#VALUE!</v>
      </c>
      <c r="GE256" t="e">
        <f>Europe!A219+"n/&gt;!/@K"</f>
        <v>#VALUE!</v>
      </c>
      <c r="GF256" t="e">
        <f>Europe!B219+"n/&gt;!/@L"</f>
        <v>#VALUE!</v>
      </c>
      <c r="GG256" t="e">
        <f>Europe!C219+"n/&gt;!/@M"</f>
        <v>#VALUE!</v>
      </c>
      <c r="GH256" t="e">
        <f>Europe!D219+"n/&gt;!/@N"</f>
        <v>#VALUE!</v>
      </c>
      <c r="GI256" t="e">
        <f>Europe!E219+"n/&gt;!/@O"</f>
        <v>#VALUE!</v>
      </c>
      <c r="GJ256" t="e">
        <f>Europe!F219+"n/&gt;!/@P"</f>
        <v>#VALUE!</v>
      </c>
      <c r="GK256" t="e">
        <f>Europe!G219+"n/&gt;!/@Q"</f>
        <v>#VALUE!</v>
      </c>
      <c r="GL256" t="e">
        <f>Europe!H219+"n/&gt;!/@R"</f>
        <v>#VALUE!</v>
      </c>
      <c r="GM256" t="e">
        <f>Europe!I219+"n/&gt;!/@S"</f>
        <v>#VALUE!</v>
      </c>
      <c r="GN256" t="e">
        <f>Europe!A220+"n/&gt;!/@T"</f>
        <v>#VALUE!</v>
      </c>
      <c r="GO256" t="e">
        <f>Europe!B220+"n/&gt;!/@U"</f>
        <v>#VALUE!</v>
      </c>
      <c r="GP256" t="e">
        <f>Europe!C220+"n/&gt;!/@V"</f>
        <v>#VALUE!</v>
      </c>
      <c r="GQ256" t="e">
        <f>Europe!D220+"n/&gt;!/@W"</f>
        <v>#VALUE!</v>
      </c>
      <c r="GR256" t="e">
        <f>Europe!E220+"n/&gt;!/@X"</f>
        <v>#VALUE!</v>
      </c>
      <c r="GS256" t="e">
        <f>Europe!F220+"n/&gt;!/@Y"</f>
        <v>#VALUE!</v>
      </c>
      <c r="GT256" t="e">
        <f>Europe!G220+"n/&gt;!/@Z"</f>
        <v>#VALUE!</v>
      </c>
      <c r="GU256" t="e">
        <f>Europe!H220+"n/&gt;!/@["</f>
        <v>#VALUE!</v>
      </c>
      <c r="GV256" t="e">
        <f>Europe!I220+"n/&gt;!/@\"</f>
        <v>#VALUE!</v>
      </c>
      <c r="GW256" t="e">
        <f>Europe!A221+"n/&gt;!/@]"</f>
        <v>#VALUE!</v>
      </c>
      <c r="GX256" t="e">
        <f>Europe!B221+"n/&gt;!/@^"</f>
        <v>#VALUE!</v>
      </c>
      <c r="GY256" t="e">
        <f>Europe!C221+"n/&gt;!/@_"</f>
        <v>#VALUE!</v>
      </c>
      <c r="GZ256" t="e">
        <f>Europe!D221+"n/&gt;!/@`"</f>
        <v>#VALUE!</v>
      </c>
      <c r="HA256" t="e">
        <f>Europe!E221+"n/&gt;!/@a"</f>
        <v>#VALUE!</v>
      </c>
      <c r="HB256" t="e">
        <f>Europe!F221+"n/&gt;!/@b"</f>
        <v>#VALUE!</v>
      </c>
      <c r="HC256" t="e">
        <f>Europe!G221+"n/&gt;!/@c"</f>
        <v>#VALUE!</v>
      </c>
      <c r="HD256" t="e">
        <f>Europe!H221+"n/&gt;!/@d"</f>
        <v>#VALUE!</v>
      </c>
      <c r="HE256" t="e">
        <f>Europe!I221+"n/&gt;!/@e"</f>
        <v>#VALUE!</v>
      </c>
      <c r="HF256" t="e">
        <f>Europe!A222+"n/&gt;!/@f"</f>
        <v>#VALUE!</v>
      </c>
      <c r="HG256" t="e">
        <f>Europe!B222+"n/&gt;!/@g"</f>
        <v>#VALUE!</v>
      </c>
      <c r="HH256" t="e">
        <f>Europe!C222+"n/&gt;!/@h"</f>
        <v>#VALUE!</v>
      </c>
      <c r="HI256" t="e">
        <f>Europe!D222+"n/&gt;!/@i"</f>
        <v>#VALUE!</v>
      </c>
      <c r="HJ256" t="e">
        <f>Europe!E222+"n/&gt;!/@j"</f>
        <v>#VALUE!</v>
      </c>
      <c r="HK256" t="e">
        <f>Europe!F222+"n/&gt;!/@k"</f>
        <v>#VALUE!</v>
      </c>
      <c r="HL256" t="e">
        <f>Europe!G222+"n/&gt;!/@l"</f>
        <v>#VALUE!</v>
      </c>
      <c r="HM256" t="e">
        <f>Europe!H222+"n/&gt;!/@m"</f>
        <v>#VALUE!</v>
      </c>
      <c r="HN256" t="e">
        <f>Europe!I222+"n/&gt;!/@n"</f>
        <v>#VALUE!</v>
      </c>
      <c r="HO256" t="e">
        <f>Europe!A223+"n/&gt;!/@o"</f>
        <v>#VALUE!</v>
      </c>
      <c r="HP256" t="e">
        <f>Europe!B223+"n/&gt;!/@p"</f>
        <v>#VALUE!</v>
      </c>
      <c r="HQ256" t="e">
        <f>Europe!C223+"n/&gt;!/@q"</f>
        <v>#VALUE!</v>
      </c>
      <c r="HR256" t="e">
        <f>Europe!D223+"n/&gt;!/@r"</f>
        <v>#VALUE!</v>
      </c>
      <c r="HS256" t="e">
        <f>Europe!E223+"n/&gt;!/@s"</f>
        <v>#VALUE!</v>
      </c>
      <c r="HT256" t="e">
        <f>Europe!F223+"n/&gt;!/@t"</f>
        <v>#VALUE!</v>
      </c>
      <c r="HU256" t="e">
        <f>Europe!G223+"n/&gt;!/@u"</f>
        <v>#VALUE!</v>
      </c>
      <c r="HV256" t="e">
        <f>Europe!H223+"n/&gt;!/@v"</f>
        <v>#VALUE!</v>
      </c>
      <c r="HW256" t="e">
        <f>Europe!I223+"n/&gt;!/@w"</f>
        <v>#VALUE!</v>
      </c>
      <c r="HX256" t="e">
        <f>Europe!A224+"n/&gt;!/@x"</f>
        <v>#VALUE!</v>
      </c>
      <c r="HY256" t="e">
        <f>Europe!B224+"n/&gt;!/@y"</f>
        <v>#VALUE!</v>
      </c>
      <c r="HZ256" t="e">
        <f>Europe!C224+"n/&gt;!/@z"</f>
        <v>#VALUE!</v>
      </c>
      <c r="IA256" t="e">
        <f>Europe!D224+"n/&gt;!/@{"</f>
        <v>#VALUE!</v>
      </c>
      <c r="IB256" t="e">
        <f>Europe!E224+"n/&gt;!/@|"</f>
        <v>#VALUE!</v>
      </c>
      <c r="IC256" t="e">
        <f>Europe!F224+"n/&gt;!/@}"</f>
        <v>#VALUE!</v>
      </c>
      <c r="ID256" t="e">
        <f>Europe!G224+"n/&gt;!/@~"</f>
        <v>#VALUE!</v>
      </c>
      <c r="IE256" t="e">
        <f>Europe!H224+"n/&gt;!/A#"</f>
        <v>#VALUE!</v>
      </c>
      <c r="IF256" t="e">
        <f>Europe!I224+"n/&gt;!/A$"</f>
        <v>#VALUE!</v>
      </c>
      <c r="IG256" t="e">
        <f>Europe!A225+"n/&gt;!/A%"</f>
        <v>#VALUE!</v>
      </c>
      <c r="IH256" t="e">
        <f>Europe!B225+"n/&gt;!/A&amp;"</f>
        <v>#VALUE!</v>
      </c>
      <c r="II256" t="e">
        <f>Europe!C225+"n/&gt;!/A'"</f>
        <v>#VALUE!</v>
      </c>
      <c r="IJ256" t="e">
        <f>Europe!D225+"n/&gt;!/A("</f>
        <v>#VALUE!</v>
      </c>
      <c r="IK256" t="e">
        <f>Europe!E225+"n/&gt;!/A)"</f>
        <v>#VALUE!</v>
      </c>
      <c r="IL256" t="e">
        <f>Europe!F225+"n/&gt;!/A."</f>
        <v>#VALUE!</v>
      </c>
      <c r="IM256" t="e">
        <f>Europe!G225+"n/&gt;!/A/"</f>
        <v>#VALUE!</v>
      </c>
      <c r="IN256" t="e">
        <f>Europe!H225+"n/&gt;!/A0"</f>
        <v>#VALUE!</v>
      </c>
      <c r="IO256" t="e">
        <f>Europe!I225+"n/&gt;!/A1"</f>
        <v>#VALUE!</v>
      </c>
      <c r="IP256" t="e">
        <f>Europe!A226+"n/&gt;!/A2"</f>
        <v>#VALUE!</v>
      </c>
      <c r="IQ256" t="e">
        <f>Europe!B226+"n/&gt;!/A3"</f>
        <v>#VALUE!</v>
      </c>
      <c r="IR256" t="e">
        <f>Europe!C226+"n/&gt;!/A4"</f>
        <v>#VALUE!</v>
      </c>
      <c r="IS256" t="e">
        <f>Europe!D226+"n/&gt;!/A5"</f>
        <v>#VALUE!</v>
      </c>
      <c r="IT256" t="e">
        <f>Europe!E226+"n/&gt;!/A6"</f>
        <v>#VALUE!</v>
      </c>
      <c r="IU256" t="e">
        <f>Europe!F226+"n/&gt;!/A7"</f>
        <v>#VALUE!</v>
      </c>
      <c r="IV256" t="e">
        <f>Europe!G226+"n/&gt;!/A8"</f>
        <v>#VALUE!</v>
      </c>
    </row>
    <row r="257" spans="6:256" x14ac:dyDescent="0.35">
      <c r="F257" t="e">
        <f>Europe!H226+"n/&gt;!/A9"</f>
        <v>#VALUE!</v>
      </c>
      <c r="G257" t="e">
        <f>Europe!I226+"n/&gt;!/A:"</f>
        <v>#VALUE!</v>
      </c>
      <c r="H257" t="e">
        <f>Europe!A227+"n/&gt;!/A;"</f>
        <v>#VALUE!</v>
      </c>
      <c r="I257" t="e">
        <f>Europe!B227+"n/&gt;!/A&lt;"</f>
        <v>#VALUE!</v>
      </c>
      <c r="J257" t="e">
        <f>Europe!C227+"n/&gt;!/A="</f>
        <v>#VALUE!</v>
      </c>
      <c r="K257" t="e">
        <f>Europe!D227+"n/&gt;!/A&gt;"</f>
        <v>#VALUE!</v>
      </c>
      <c r="L257" t="e">
        <f>Europe!E227+"n/&gt;!/A?"</f>
        <v>#VALUE!</v>
      </c>
      <c r="M257" t="e">
        <f>Europe!F227+"n/&gt;!/A@"</f>
        <v>#VALUE!</v>
      </c>
      <c r="N257" t="e">
        <f>Europe!G227+"n/&gt;!/AA"</f>
        <v>#VALUE!</v>
      </c>
      <c r="O257" t="e">
        <f>Europe!H227+"n/&gt;!/AB"</f>
        <v>#VALUE!</v>
      </c>
      <c r="P257" t="e">
        <f>Europe!I227+"n/&gt;!/AC"</f>
        <v>#VALUE!</v>
      </c>
      <c r="Q257" t="e">
        <f>Europe!A228+"n/&gt;!/AD"</f>
        <v>#VALUE!</v>
      </c>
      <c r="R257" t="e">
        <f>Europe!B228+"n/&gt;!/AE"</f>
        <v>#VALUE!</v>
      </c>
      <c r="S257" t="e">
        <f>Europe!C228+"n/&gt;!/AF"</f>
        <v>#VALUE!</v>
      </c>
      <c r="T257" t="e">
        <f>Europe!D228+"n/&gt;!/AG"</f>
        <v>#VALUE!</v>
      </c>
      <c r="U257" t="e">
        <f>Europe!E228+"n/&gt;!/AH"</f>
        <v>#VALUE!</v>
      </c>
      <c r="V257" t="e">
        <f>Europe!F228+"n/&gt;!/AI"</f>
        <v>#VALUE!</v>
      </c>
      <c r="W257" t="e">
        <f>Europe!G228+"n/&gt;!/AJ"</f>
        <v>#VALUE!</v>
      </c>
      <c r="X257" t="e">
        <f>Europe!H228+"n/&gt;!/AK"</f>
        <v>#VALUE!</v>
      </c>
      <c r="Y257" t="e">
        <f>Europe!I228+"n/&gt;!/AL"</f>
        <v>#VALUE!</v>
      </c>
      <c r="Z257" t="e">
        <f>Europe!A229+"n/&gt;!/AM"</f>
        <v>#VALUE!</v>
      </c>
      <c r="AA257" t="e">
        <f>Europe!B229+"n/&gt;!/AN"</f>
        <v>#VALUE!</v>
      </c>
      <c r="AB257" t="e">
        <f>Europe!C229+"n/&gt;!/AO"</f>
        <v>#VALUE!</v>
      </c>
      <c r="AC257" t="e">
        <f>Europe!D229+"n/&gt;!/AP"</f>
        <v>#VALUE!</v>
      </c>
      <c r="AD257" t="e">
        <f>Europe!E229+"n/&gt;!/AQ"</f>
        <v>#VALUE!</v>
      </c>
      <c r="AE257" t="e">
        <f>Europe!F229+"n/&gt;!/AR"</f>
        <v>#VALUE!</v>
      </c>
      <c r="AF257" t="e">
        <f>Europe!G229+"n/&gt;!/AS"</f>
        <v>#VALUE!</v>
      </c>
      <c r="AG257" t="e">
        <f>Europe!H229+"n/&gt;!/AT"</f>
        <v>#VALUE!</v>
      </c>
      <c r="AH257" t="e">
        <f>Europe!I229+"n/&gt;!/AU"</f>
        <v>#VALUE!</v>
      </c>
      <c r="AI257" t="e">
        <f>Europe!A230+"n/&gt;!/AV"</f>
        <v>#VALUE!</v>
      </c>
      <c r="AJ257" t="e">
        <f>Europe!B230+"n/&gt;!/AW"</f>
        <v>#VALUE!</v>
      </c>
      <c r="AK257" t="e">
        <f>Europe!C230+"n/&gt;!/AX"</f>
        <v>#VALUE!</v>
      </c>
      <c r="AL257" t="e">
        <f>Europe!D230+"n/&gt;!/AY"</f>
        <v>#VALUE!</v>
      </c>
      <c r="AM257" t="e">
        <f>Europe!E230+"n/&gt;!/AZ"</f>
        <v>#VALUE!</v>
      </c>
      <c r="AN257" t="e">
        <f>Europe!F230+"n/&gt;!/A["</f>
        <v>#VALUE!</v>
      </c>
      <c r="AO257" t="e">
        <f>Europe!G230+"n/&gt;!/A\"</f>
        <v>#VALUE!</v>
      </c>
      <c r="AP257" t="e">
        <f>Europe!H230+"n/&gt;!/A]"</f>
        <v>#VALUE!</v>
      </c>
      <c r="AQ257" t="e">
        <f>Europe!I230+"n/&gt;!/A^"</f>
        <v>#VALUE!</v>
      </c>
      <c r="AR257" t="e">
        <f>Europe!A231+"n/&gt;!/A_"</f>
        <v>#VALUE!</v>
      </c>
      <c r="AS257" t="e">
        <f>Europe!B231+"n/&gt;!/A`"</f>
        <v>#VALUE!</v>
      </c>
      <c r="AT257" t="e">
        <f>Europe!C231+"n/&gt;!/Aa"</f>
        <v>#VALUE!</v>
      </c>
      <c r="AU257" t="e">
        <f>Europe!D231+"n/&gt;!/Ab"</f>
        <v>#VALUE!</v>
      </c>
      <c r="AV257" t="e">
        <f>Europe!E231+"n/&gt;!/Ac"</f>
        <v>#VALUE!</v>
      </c>
      <c r="AW257" t="e">
        <f>Europe!F231+"n/&gt;!/Ad"</f>
        <v>#VALUE!</v>
      </c>
      <c r="AX257" t="e">
        <f>Europe!G231+"n/&gt;!/Ae"</f>
        <v>#VALUE!</v>
      </c>
      <c r="AY257" t="e">
        <f>Europe!H231+"n/&gt;!/Af"</f>
        <v>#VALUE!</v>
      </c>
      <c r="AZ257" t="e">
        <f>Europe!I231+"n/&gt;!/Ag"</f>
        <v>#VALUE!</v>
      </c>
      <c r="BA257" t="e">
        <f>Europe!A232+"n/&gt;!/Ah"</f>
        <v>#VALUE!</v>
      </c>
      <c r="BB257" t="e">
        <f>Europe!B232+"n/&gt;!/Ai"</f>
        <v>#VALUE!</v>
      </c>
      <c r="BC257" t="e">
        <f>Europe!C232+"n/&gt;!/Aj"</f>
        <v>#VALUE!</v>
      </c>
      <c r="BD257" t="e">
        <f>Europe!D232+"n/&gt;!/Ak"</f>
        <v>#VALUE!</v>
      </c>
      <c r="BE257" t="e">
        <f>Europe!E232+"n/&gt;!/Al"</f>
        <v>#VALUE!</v>
      </c>
      <c r="BF257" t="e">
        <f>Europe!F232+"n/&gt;!/Am"</f>
        <v>#VALUE!</v>
      </c>
      <c r="BG257" t="e">
        <f>Europe!G232+"n/&gt;!/An"</f>
        <v>#VALUE!</v>
      </c>
      <c r="BH257" t="e">
        <f>Europe!H232+"n/&gt;!/Ao"</f>
        <v>#VALUE!</v>
      </c>
      <c r="BI257" t="e">
        <f>Europe!I232+"n/&gt;!/Ap"</f>
        <v>#VALUE!</v>
      </c>
      <c r="BJ257" t="e">
        <f>Europe!A233+"n/&gt;!/Aq"</f>
        <v>#VALUE!</v>
      </c>
      <c r="BK257" t="e">
        <f>Europe!B233+"n/&gt;!/Ar"</f>
        <v>#VALUE!</v>
      </c>
      <c r="BL257" t="e">
        <f>Europe!C233+"n/&gt;!/As"</f>
        <v>#VALUE!</v>
      </c>
      <c r="BM257" t="e">
        <f>Europe!D233+"n/&gt;!/At"</f>
        <v>#VALUE!</v>
      </c>
      <c r="BN257" t="e">
        <f>Europe!E233+"n/&gt;!/Au"</f>
        <v>#VALUE!</v>
      </c>
      <c r="BO257" t="e">
        <f>Europe!F233+"n/&gt;!/Av"</f>
        <v>#VALUE!</v>
      </c>
      <c r="BP257" t="e">
        <f>Europe!G233+"n/&gt;!/Aw"</f>
        <v>#VALUE!</v>
      </c>
      <c r="BQ257" t="e">
        <f>Europe!H233+"n/&gt;!/Ax"</f>
        <v>#VALUE!</v>
      </c>
      <c r="BR257" t="e">
        <f>Europe!I233+"n/&gt;!/Ay"</f>
        <v>#VALUE!</v>
      </c>
      <c r="BS257" t="e">
        <f>Europe!A234+"n/&gt;!/Az"</f>
        <v>#VALUE!</v>
      </c>
      <c r="BT257" t="e">
        <f>Europe!B234+"n/&gt;!/A{"</f>
        <v>#VALUE!</v>
      </c>
      <c r="BU257" t="e">
        <f>Europe!C234+"n/&gt;!/A|"</f>
        <v>#VALUE!</v>
      </c>
      <c r="BV257" t="e">
        <f>Europe!D234+"n/&gt;!/A}"</f>
        <v>#VALUE!</v>
      </c>
      <c r="BW257" t="e">
        <f>Europe!E234+"n/&gt;!/A~"</f>
        <v>#VALUE!</v>
      </c>
      <c r="BX257" t="e">
        <f>Europe!F234+"n/&gt;!/B#"</f>
        <v>#VALUE!</v>
      </c>
      <c r="BY257" t="e">
        <f>Europe!G234+"n/&gt;!/B$"</f>
        <v>#VALUE!</v>
      </c>
      <c r="BZ257" t="e">
        <f>Europe!H234+"n/&gt;!/B%"</f>
        <v>#VALUE!</v>
      </c>
      <c r="CA257" t="e">
        <f>Europe!I234+"n/&gt;!/B&amp;"</f>
        <v>#VALUE!</v>
      </c>
      <c r="CB257" t="e">
        <f>Europe!A235+"n/&gt;!/B'"</f>
        <v>#VALUE!</v>
      </c>
      <c r="CC257" t="e">
        <f>Europe!B235+"n/&gt;!/B("</f>
        <v>#VALUE!</v>
      </c>
      <c r="CD257" t="e">
        <f>Europe!C235+"n/&gt;!/B)"</f>
        <v>#VALUE!</v>
      </c>
      <c r="CE257" t="e">
        <f>Europe!D235+"n/&gt;!/B."</f>
        <v>#VALUE!</v>
      </c>
      <c r="CF257" t="e">
        <f>Europe!E235+"n/&gt;!/B/"</f>
        <v>#VALUE!</v>
      </c>
      <c r="CG257" t="e">
        <f>Europe!F235+"n/&gt;!/B0"</f>
        <v>#VALUE!</v>
      </c>
      <c r="CH257" t="e">
        <f>Europe!G235+"n/&gt;!/B1"</f>
        <v>#VALUE!</v>
      </c>
      <c r="CI257" t="e">
        <f>Europe!H235+"n/&gt;!/B2"</f>
        <v>#VALUE!</v>
      </c>
      <c r="CJ257" t="e">
        <f>Europe!I235+"n/&gt;!/B3"</f>
        <v>#VALUE!</v>
      </c>
      <c r="CK257" t="e">
        <f>Europe!A236+"n/&gt;!/B4"</f>
        <v>#VALUE!</v>
      </c>
      <c r="CL257" t="e">
        <f>Europe!B236+"n/&gt;!/B5"</f>
        <v>#VALUE!</v>
      </c>
      <c r="CM257" t="e">
        <f>Europe!C236+"n/&gt;!/B6"</f>
        <v>#VALUE!</v>
      </c>
      <c r="CN257" t="e">
        <f>Europe!D236+"n/&gt;!/B7"</f>
        <v>#VALUE!</v>
      </c>
      <c r="CO257" t="e">
        <f>Europe!E236+"n/&gt;!/B8"</f>
        <v>#VALUE!</v>
      </c>
      <c r="CP257" t="e">
        <f>Europe!F236+"n/&gt;!/B9"</f>
        <v>#VALUE!</v>
      </c>
      <c r="CQ257" t="e">
        <f>Europe!G236+"n/&gt;!/B:"</f>
        <v>#VALUE!</v>
      </c>
      <c r="CR257" t="e">
        <f>Europe!H236+"n/&gt;!/B;"</f>
        <v>#VALUE!</v>
      </c>
      <c r="CS257" t="e">
        <f>Europe!I236+"n/&gt;!/B&lt;"</f>
        <v>#VALUE!</v>
      </c>
      <c r="CT257" t="e">
        <f>Europe!A237+"n/&gt;!/B="</f>
        <v>#VALUE!</v>
      </c>
      <c r="CU257" t="e">
        <f>Europe!B237+"n/&gt;!/B&gt;"</f>
        <v>#VALUE!</v>
      </c>
      <c r="CV257" t="e">
        <f>Europe!C237+"n/&gt;!/B?"</f>
        <v>#VALUE!</v>
      </c>
      <c r="CW257" t="e">
        <f>Europe!D237+"n/&gt;!/B@"</f>
        <v>#VALUE!</v>
      </c>
      <c r="CX257" t="e">
        <f>Europe!E237+"n/&gt;!/BA"</f>
        <v>#VALUE!</v>
      </c>
      <c r="CY257" t="e">
        <f>Europe!F237+"n/&gt;!/BB"</f>
        <v>#VALUE!</v>
      </c>
      <c r="CZ257" t="e">
        <f>Europe!G237+"n/&gt;!/BC"</f>
        <v>#VALUE!</v>
      </c>
      <c r="DA257" t="e">
        <f>Europe!H237+"n/&gt;!/BD"</f>
        <v>#VALUE!</v>
      </c>
      <c r="DB257" t="e">
        <f>Europe!I237+"n/&gt;!/BE"</f>
        <v>#VALUE!</v>
      </c>
      <c r="DC257" t="e">
        <f>Europe!A238+"n/&gt;!/BF"</f>
        <v>#VALUE!</v>
      </c>
      <c r="DD257" t="e">
        <f>Europe!B238+"n/&gt;!/BG"</f>
        <v>#VALUE!</v>
      </c>
      <c r="DE257" t="e">
        <f>Europe!C238+"n/&gt;!/BH"</f>
        <v>#VALUE!</v>
      </c>
      <c r="DF257" t="e">
        <f>Europe!D238+"n/&gt;!/BI"</f>
        <v>#VALUE!</v>
      </c>
      <c r="DG257" t="e">
        <f>Europe!E238+"n/&gt;!/BJ"</f>
        <v>#VALUE!</v>
      </c>
      <c r="DH257" t="e">
        <f>Europe!F238+"n/&gt;!/BK"</f>
        <v>#VALUE!</v>
      </c>
      <c r="DI257" t="e">
        <f>Europe!G238+"n/&gt;!/BL"</f>
        <v>#VALUE!</v>
      </c>
      <c r="DJ257" t="e">
        <f>Europe!H238+"n/&gt;!/BM"</f>
        <v>#VALUE!</v>
      </c>
      <c r="DK257" t="e">
        <f>Europe!I238+"n/&gt;!/BN"</f>
        <v>#VALUE!</v>
      </c>
      <c r="DL257" t="e">
        <f>Europe!A239+"n/&gt;!/BO"</f>
        <v>#VALUE!</v>
      </c>
      <c r="DM257" t="e">
        <f>Europe!B239+"n/&gt;!/BP"</f>
        <v>#VALUE!</v>
      </c>
      <c r="DN257" t="e">
        <f>Europe!C239+"n/&gt;!/BQ"</f>
        <v>#VALUE!</v>
      </c>
      <c r="DO257" t="e">
        <f>Europe!D239+"n/&gt;!/BR"</f>
        <v>#VALUE!</v>
      </c>
      <c r="DP257" t="e">
        <f>Europe!E239+"n/&gt;!/BS"</f>
        <v>#VALUE!</v>
      </c>
      <c r="DQ257" t="e">
        <f>Europe!F239+"n/&gt;!/BT"</f>
        <v>#VALUE!</v>
      </c>
      <c r="DR257" t="e">
        <f>Europe!G239+"n/&gt;!/BU"</f>
        <v>#VALUE!</v>
      </c>
      <c r="DS257" t="e">
        <f>Europe!H239+"n/&gt;!/BV"</f>
        <v>#VALUE!</v>
      </c>
      <c r="DT257" t="e">
        <f>Europe!I239+"n/&gt;!/BW"</f>
        <v>#VALUE!</v>
      </c>
      <c r="DU257" t="e">
        <f>Europe!A240+"n/&gt;!/BX"</f>
        <v>#VALUE!</v>
      </c>
      <c r="DV257" t="e">
        <f>Europe!B240+"n/&gt;!/BY"</f>
        <v>#VALUE!</v>
      </c>
      <c r="DW257" t="e">
        <f>Europe!C240+"n/&gt;!/BZ"</f>
        <v>#VALUE!</v>
      </c>
      <c r="DX257" t="e">
        <f>Europe!D240+"n/&gt;!/B["</f>
        <v>#VALUE!</v>
      </c>
      <c r="DY257" t="e">
        <f>Europe!E240+"n/&gt;!/B\"</f>
        <v>#VALUE!</v>
      </c>
      <c r="DZ257" t="e">
        <f>Europe!F240+"n/&gt;!/B]"</f>
        <v>#VALUE!</v>
      </c>
      <c r="EA257" t="e">
        <f>Europe!G240+"n/&gt;!/B^"</f>
        <v>#VALUE!</v>
      </c>
      <c r="EB257" t="e">
        <f>Europe!H240+"n/&gt;!/B_"</f>
        <v>#VALUE!</v>
      </c>
      <c r="EC257" t="e">
        <f>Europe!I240+"n/&gt;!/B`"</f>
        <v>#VALUE!</v>
      </c>
      <c r="ED257" t="e">
        <f>Europe!A241+"n/&gt;!/Ba"</f>
        <v>#VALUE!</v>
      </c>
      <c r="EE257" t="e">
        <f>Europe!B241+"n/&gt;!/Bb"</f>
        <v>#VALUE!</v>
      </c>
      <c r="EF257" t="e">
        <f>Europe!C241+"n/&gt;!/Bc"</f>
        <v>#VALUE!</v>
      </c>
      <c r="EG257" t="e">
        <f>Europe!D241+"n/&gt;!/Bd"</f>
        <v>#VALUE!</v>
      </c>
      <c r="EH257" t="e">
        <f>Europe!E241+"n/&gt;!/Be"</f>
        <v>#VALUE!</v>
      </c>
      <c r="EI257" t="e">
        <f>Europe!F241+"n/&gt;!/Bf"</f>
        <v>#VALUE!</v>
      </c>
      <c r="EJ257" t="e">
        <f>Europe!G241+"n/&gt;!/Bg"</f>
        <v>#VALUE!</v>
      </c>
      <c r="EK257" t="e">
        <f>Europe!H241+"n/&gt;!/Bh"</f>
        <v>#VALUE!</v>
      </c>
      <c r="EL257" t="e">
        <f>Europe!I241+"n/&gt;!/Bi"</f>
        <v>#VALUE!</v>
      </c>
      <c r="EM257" t="e">
        <f>Europe!A242+"n/&gt;!/Bj"</f>
        <v>#VALUE!</v>
      </c>
      <c r="EN257" t="e">
        <f>Europe!B242+"n/&gt;!/Bk"</f>
        <v>#VALUE!</v>
      </c>
      <c r="EO257" t="e">
        <f>Europe!C242+"n/&gt;!/Bl"</f>
        <v>#VALUE!</v>
      </c>
      <c r="EP257" t="e">
        <f>Europe!D242+"n/&gt;!/Bm"</f>
        <v>#VALUE!</v>
      </c>
      <c r="EQ257" t="e">
        <f>Europe!E242+"n/&gt;!/Bn"</f>
        <v>#VALUE!</v>
      </c>
      <c r="ER257" t="e">
        <f>Europe!F242+"n/&gt;!/Bo"</f>
        <v>#VALUE!</v>
      </c>
      <c r="ES257" t="e">
        <f>Europe!G242+"n/&gt;!/Bp"</f>
        <v>#VALUE!</v>
      </c>
      <c r="ET257" t="e">
        <f>Europe!H242+"n/&gt;!/Bq"</f>
        <v>#VALUE!</v>
      </c>
      <c r="EU257" t="e">
        <f>Europe!I242+"n/&gt;!/Br"</f>
        <v>#VALUE!</v>
      </c>
      <c r="EV257" t="e">
        <f>Europe!A243+"n/&gt;!/Bs"</f>
        <v>#VALUE!</v>
      </c>
      <c r="EW257" t="e">
        <f>Europe!B243+"n/&gt;!/Bt"</f>
        <v>#VALUE!</v>
      </c>
      <c r="EX257" t="e">
        <f>Europe!C243+"n/&gt;!/Bu"</f>
        <v>#VALUE!</v>
      </c>
      <c r="EY257" t="e">
        <f>Europe!D243+"n/&gt;!/Bv"</f>
        <v>#VALUE!</v>
      </c>
      <c r="EZ257" t="e">
        <f>Europe!E243+"n/&gt;!/Bw"</f>
        <v>#VALUE!</v>
      </c>
      <c r="FA257" t="e">
        <f>Europe!F243+"n/&gt;!/Bx"</f>
        <v>#VALUE!</v>
      </c>
      <c r="FB257" t="e">
        <f>Europe!G243+"n/&gt;!/By"</f>
        <v>#VALUE!</v>
      </c>
      <c r="FC257" t="e">
        <f>Europe!H243+"n/&gt;!/Bz"</f>
        <v>#VALUE!</v>
      </c>
      <c r="FD257" t="e">
        <f>Europe!I243+"n/&gt;!/B{"</f>
        <v>#VALUE!</v>
      </c>
      <c r="FE257" t="e">
        <f>Europe!A244+"n/&gt;!/B|"</f>
        <v>#VALUE!</v>
      </c>
      <c r="FF257" t="e">
        <f>Europe!B244+"n/&gt;!/B}"</f>
        <v>#VALUE!</v>
      </c>
      <c r="FG257" t="e">
        <f>Europe!C244+"n/&gt;!/B~"</f>
        <v>#VALUE!</v>
      </c>
      <c r="FH257" t="e">
        <f>Europe!D244+"n/&gt;!/C#"</f>
        <v>#VALUE!</v>
      </c>
      <c r="FI257" t="e">
        <f>Europe!E244+"n/&gt;!/C$"</f>
        <v>#VALUE!</v>
      </c>
      <c r="FJ257" t="e">
        <f>Europe!F244+"n/&gt;!/C%"</f>
        <v>#VALUE!</v>
      </c>
      <c r="FK257" t="e">
        <f>Europe!G244+"n/&gt;!/C&amp;"</f>
        <v>#VALUE!</v>
      </c>
      <c r="FL257" t="e">
        <f>Europe!H244+"n/&gt;!/C'"</f>
        <v>#VALUE!</v>
      </c>
      <c r="FM257" t="e">
        <f>Europe!I244+"n/&gt;!/C("</f>
        <v>#VALUE!</v>
      </c>
      <c r="FN257" t="e">
        <f>Europe!A245+"n/&gt;!/C)"</f>
        <v>#VALUE!</v>
      </c>
      <c r="FO257" t="e">
        <f>Europe!B245+"n/&gt;!/C."</f>
        <v>#VALUE!</v>
      </c>
      <c r="FP257" t="e">
        <f>Europe!C245+"n/&gt;!/C/"</f>
        <v>#VALUE!</v>
      </c>
      <c r="FQ257" t="e">
        <f>Europe!D245+"n/&gt;!/C0"</f>
        <v>#VALUE!</v>
      </c>
      <c r="FR257" t="e">
        <f>Europe!E245+"n/&gt;!/C1"</f>
        <v>#VALUE!</v>
      </c>
      <c r="FS257" t="e">
        <f>Europe!F245+"n/&gt;!/C2"</f>
        <v>#VALUE!</v>
      </c>
      <c r="FT257" t="e">
        <f>Europe!G245+"n/&gt;!/C3"</f>
        <v>#VALUE!</v>
      </c>
      <c r="FU257" t="e">
        <f>Europe!H245+"n/&gt;!/C4"</f>
        <v>#VALUE!</v>
      </c>
      <c r="FV257" t="e">
        <f>Europe!I245+"n/&gt;!/C5"</f>
        <v>#VALUE!</v>
      </c>
      <c r="FW257" t="e">
        <f>Europe!A246+"n/&gt;!/C6"</f>
        <v>#VALUE!</v>
      </c>
      <c r="FX257" t="e">
        <f>Europe!B246+"n/&gt;!/C7"</f>
        <v>#VALUE!</v>
      </c>
      <c r="FY257" t="e">
        <f>Europe!C246+"n/&gt;!/C8"</f>
        <v>#VALUE!</v>
      </c>
      <c r="FZ257" t="e">
        <f>Europe!D246+"n/&gt;!/C9"</f>
        <v>#VALUE!</v>
      </c>
      <c r="GA257" t="e">
        <f>Europe!E246+"n/&gt;!/C:"</f>
        <v>#VALUE!</v>
      </c>
      <c r="GB257" t="e">
        <f>Europe!F246+"n/&gt;!/C;"</f>
        <v>#VALUE!</v>
      </c>
      <c r="GC257" t="e">
        <f>Europe!G246+"n/&gt;!/C&lt;"</f>
        <v>#VALUE!</v>
      </c>
      <c r="GD257" t="e">
        <f>Europe!H246+"n/&gt;!/C="</f>
        <v>#VALUE!</v>
      </c>
      <c r="GE257" t="e">
        <f>Europe!I246+"n/&gt;!/C&gt;"</f>
        <v>#VALUE!</v>
      </c>
      <c r="GF257" t="e">
        <f>Europe!A247+"n/&gt;!/C?"</f>
        <v>#VALUE!</v>
      </c>
      <c r="GG257" t="e">
        <f>Europe!B247+"n/&gt;!/C@"</f>
        <v>#VALUE!</v>
      </c>
      <c r="GH257" t="e">
        <f>Europe!C247+"n/&gt;!/CA"</f>
        <v>#VALUE!</v>
      </c>
      <c r="GI257" t="e">
        <f>Europe!D247+"n/&gt;!/CB"</f>
        <v>#VALUE!</v>
      </c>
      <c r="GJ257" t="e">
        <f>Europe!E247+"n/&gt;!/CC"</f>
        <v>#VALUE!</v>
      </c>
      <c r="GK257" t="e">
        <f>Europe!F247+"n/&gt;!/CD"</f>
        <v>#VALUE!</v>
      </c>
      <c r="GL257" t="e">
        <f>Europe!G247+"n/&gt;!/CE"</f>
        <v>#VALUE!</v>
      </c>
      <c r="GM257" t="e">
        <f>Europe!H247+"n/&gt;!/CF"</f>
        <v>#VALUE!</v>
      </c>
      <c r="GN257" t="e">
        <f>Europe!I247+"n/&gt;!/CG"</f>
        <v>#VALUE!</v>
      </c>
      <c r="GO257" t="e">
        <f>Europe!A248+"n/&gt;!/CH"</f>
        <v>#VALUE!</v>
      </c>
      <c r="GP257" t="e">
        <f>Europe!B248+"n/&gt;!/CI"</f>
        <v>#VALUE!</v>
      </c>
      <c r="GQ257" t="e">
        <f>Europe!C248+"n/&gt;!/CJ"</f>
        <v>#VALUE!</v>
      </c>
      <c r="GR257" t="e">
        <f>Europe!D248+"n/&gt;!/CK"</f>
        <v>#VALUE!</v>
      </c>
      <c r="GS257" t="e">
        <f>Europe!E248+"n/&gt;!/CL"</f>
        <v>#VALUE!</v>
      </c>
      <c r="GT257" t="e">
        <f>Europe!F248+"n/&gt;!/CM"</f>
        <v>#VALUE!</v>
      </c>
      <c r="GU257" t="e">
        <f>Europe!G248+"n/&gt;!/CN"</f>
        <v>#VALUE!</v>
      </c>
      <c r="GV257" t="e">
        <f>Europe!H248+"n/&gt;!/CO"</f>
        <v>#VALUE!</v>
      </c>
      <c r="GW257" t="e">
        <f>Europe!I248+"n/&gt;!/CP"</f>
        <v>#VALUE!</v>
      </c>
      <c r="GX257" t="e">
        <f>Europe!A249+"n/&gt;!/CQ"</f>
        <v>#VALUE!</v>
      </c>
      <c r="GY257" t="e">
        <f>Europe!B249+"n/&gt;!/CR"</f>
        <v>#VALUE!</v>
      </c>
      <c r="GZ257" t="e">
        <f>Europe!C249+"n/&gt;!/CS"</f>
        <v>#VALUE!</v>
      </c>
      <c r="HA257" t="e">
        <f>Europe!D249+"n/&gt;!/CT"</f>
        <v>#VALUE!</v>
      </c>
      <c r="HB257" t="e">
        <f>Europe!E249+"n/&gt;!/CU"</f>
        <v>#VALUE!</v>
      </c>
      <c r="HC257" t="e">
        <f>Europe!F249+"n/&gt;!/CV"</f>
        <v>#VALUE!</v>
      </c>
      <c r="HD257" t="e">
        <f>Europe!G249+"n/&gt;!/CW"</f>
        <v>#VALUE!</v>
      </c>
      <c r="HE257" t="e">
        <f>Europe!H249+"n/&gt;!/CX"</f>
        <v>#VALUE!</v>
      </c>
      <c r="HF257" t="e">
        <f>Europe!I249+"n/&gt;!/CY"</f>
        <v>#VALUE!</v>
      </c>
      <c r="HG257" t="e">
        <f>Europe!A250+"n/&gt;!/CZ"</f>
        <v>#VALUE!</v>
      </c>
      <c r="HH257" t="e">
        <f>Europe!B250+"n/&gt;!/C["</f>
        <v>#VALUE!</v>
      </c>
      <c r="HI257" t="e">
        <f>Europe!C250+"n/&gt;!/C\"</f>
        <v>#VALUE!</v>
      </c>
      <c r="HJ257" t="e">
        <f>Europe!D250+"n/&gt;!/C]"</f>
        <v>#VALUE!</v>
      </c>
      <c r="HK257" t="e">
        <f>Europe!E250+"n/&gt;!/C^"</f>
        <v>#VALUE!</v>
      </c>
      <c r="HL257" t="e">
        <f>Europe!F250+"n/&gt;!/C_"</f>
        <v>#VALUE!</v>
      </c>
      <c r="HM257" t="e">
        <f>Europe!G250+"n/&gt;!/C`"</f>
        <v>#VALUE!</v>
      </c>
      <c r="HN257" t="e">
        <f>Europe!H250+"n/&gt;!/Ca"</f>
        <v>#VALUE!</v>
      </c>
      <c r="HO257" t="e">
        <f>Europe!I250+"n/&gt;!/Cb"</f>
        <v>#VALUE!</v>
      </c>
      <c r="HP257" t="e">
        <f>Europe!A251+"n/&gt;!/Cc"</f>
        <v>#VALUE!</v>
      </c>
      <c r="HQ257" t="e">
        <f>Europe!B251+"n/&gt;!/Cd"</f>
        <v>#VALUE!</v>
      </c>
      <c r="HR257" t="e">
        <f>Europe!C251+"n/&gt;!/Ce"</f>
        <v>#VALUE!</v>
      </c>
      <c r="HS257" t="e">
        <f>Europe!D251+"n/&gt;!/Cf"</f>
        <v>#VALUE!</v>
      </c>
      <c r="HT257" t="e">
        <f>Europe!E251+"n/&gt;!/Cg"</f>
        <v>#VALUE!</v>
      </c>
      <c r="HU257" t="e">
        <f>Europe!F251+"n/&gt;!/Ch"</f>
        <v>#VALUE!</v>
      </c>
      <c r="HV257" t="e">
        <f>Europe!G251+"n/&gt;!/Ci"</f>
        <v>#VALUE!</v>
      </c>
      <c r="HW257" t="e">
        <f>Europe!H251+"n/&gt;!/Cj"</f>
        <v>#VALUE!</v>
      </c>
      <c r="HX257" t="e">
        <f>Europe!I251+"n/&gt;!/Ck"</f>
        <v>#VALUE!</v>
      </c>
      <c r="HY257" t="e">
        <f>Europe!A252+"n/&gt;!/Cl"</f>
        <v>#VALUE!</v>
      </c>
      <c r="HZ257" t="e">
        <f>Europe!B252+"n/&gt;!/Cm"</f>
        <v>#VALUE!</v>
      </c>
      <c r="IA257" t="e">
        <f>Europe!C252+"n/&gt;!/Cn"</f>
        <v>#VALUE!</v>
      </c>
      <c r="IB257" t="e">
        <f>Europe!D252+"n/&gt;!/Co"</f>
        <v>#VALUE!</v>
      </c>
      <c r="IC257" t="e">
        <f>Europe!E252+"n/&gt;!/Cp"</f>
        <v>#VALUE!</v>
      </c>
      <c r="ID257" t="e">
        <f>Europe!F252+"n/&gt;!/Cq"</f>
        <v>#VALUE!</v>
      </c>
      <c r="IE257" t="e">
        <f>Europe!G252+"n/&gt;!/Cr"</f>
        <v>#VALUE!</v>
      </c>
      <c r="IF257" t="e">
        <f>Europe!H252+"n/&gt;!/Cs"</f>
        <v>#VALUE!</v>
      </c>
      <c r="IG257" t="e">
        <f>Europe!I252+"n/&gt;!/Ct"</f>
        <v>#VALUE!</v>
      </c>
      <c r="IH257" t="e">
        <f>Europe!A253+"n/&gt;!/Cu"</f>
        <v>#VALUE!</v>
      </c>
      <c r="II257" t="e">
        <f>Europe!B253+"n/&gt;!/Cv"</f>
        <v>#VALUE!</v>
      </c>
      <c r="IJ257" t="e">
        <f>Europe!C253+"n/&gt;!/Cw"</f>
        <v>#VALUE!</v>
      </c>
      <c r="IK257" t="e">
        <f>Europe!D253+"n/&gt;!/Cx"</f>
        <v>#VALUE!</v>
      </c>
      <c r="IL257" t="e">
        <f>Europe!E253+"n/&gt;!/Cy"</f>
        <v>#VALUE!</v>
      </c>
      <c r="IM257" t="e">
        <f>Europe!F253+"n/&gt;!/Cz"</f>
        <v>#VALUE!</v>
      </c>
      <c r="IN257" t="e">
        <f>Europe!G253+"n/&gt;!/C{"</f>
        <v>#VALUE!</v>
      </c>
      <c r="IO257" t="e">
        <f>Europe!H253+"n/&gt;!/C|"</f>
        <v>#VALUE!</v>
      </c>
      <c r="IP257" t="e">
        <f>Europe!I253+"n/&gt;!/C}"</f>
        <v>#VALUE!</v>
      </c>
      <c r="IQ257" t="e">
        <f>Europe!A254+"n/&gt;!/C~"</f>
        <v>#VALUE!</v>
      </c>
      <c r="IR257" t="e">
        <f>Europe!B254+"n/&gt;!/D#"</f>
        <v>#VALUE!</v>
      </c>
      <c r="IS257" t="e">
        <f>Europe!C254+"n/&gt;!/D$"</f>
        <v>#VALUE!</v>
      </c>
      <c r="IT257" t="e">
        <f>Europe!D254+"n/&gt;!/D%"</f>
        <v>#VALUE!</v>
      </c>
      <c r="IU257" t="e">
        <f>Europe!E254+"n/&gt;!/D&amp;"</f>
        <v>#VALUE!</v>
      </c>
      <c r="IV257" t="e">
        <f>Europe!F254+"n/&gt;!/D'"</f>
        <v>#VALUE!</v>
      </c>
    </row>
    <row r="258" spans="6:256" x14ac:dyDescent="0.35">
      <c r="F258" t="e">
        <f>Europe!G254+"n/&gt;!/D("</f>
        <v>#VALUE!</v>
      </c>
      <c r="G258" t="e">
        <f>Europe!H254+"n/&gt;!/D)"</f>
        <v>#VALUE!</v>
      </c>
      <c r="H258" t="e">
        <f>Europe!I254+"n/&gt;!/D."</f>
        <v>#VALUE!</v>
      </c>
      <c r="I258" t="e">
        <f>Europe!A255+"n/&gt;!/D/"</f>
        <v>#VALUE!</v>
      </c>
      <c r="J258" t="e">
        <f>Europe!B255+"n/&gt;!/D0"</f>
        <v>#VALUE!</v>
      </c>
      <c r="K258" t="e">
        <f>Europe!C255+"n/&gt;!/D1"</f>
        <v>#VALUE!</v>
      </c>
      <c r="L258" t="e">
        <f>Europe!D255+"n/&gt;!/D2"</f>
        <v>#VALUE!</v>
      </c>
      <c r="M258" t="e">
        <f>Europe!E255+"n/&gt;!/D3"</f>
        <v>#VALUE!</v>
      </c>
      <c r="N258" t="e">
        <f>Europe!F255+"n/&gt;!/D4"</f>
        <v>#VALUE!</v>
      </c>
      <c r="O258" t="e">
        <f>Europe!G255+"n/&gt;!/D5"</f>
        <v>#VALUE!</v>
      </c>
      <c r="P258" t="e">
        <f>Europe!H255+"n/&gt;!/D6"</f>
        <v>#VALUE!</v>
      </c>
      <c r="Q258" t="e">
        <f>Europe!I255+"n/&gt;!/D7"</f>
        <v>#VALUE!</v>
      </c>
      <c r="R258" t="e">
        <f>Europe!A256+"n/&gt;!/D8"</f>
        <v>#VALUE!</v>
      </c>
      <c r="S258" t="e">
        <f>Europe!B256+"n/&gt;!/D9"</f>
        <v>#VALUE!</v>
      </c>
      <c r="T258" t="e">
        <f>Europe!C256+"n/&gt;!/D:"</f>
        <v>#VALUE!</v>
      </c>
      <c r="U258" t="e">
        <f>Europe!D256+"n/&gt;!/D;"</f>
        <v>#VALUE!</v>
      </c>
      <c r="V258" t="e">
        <f>Europe!E256+"n/&gt;!/D&lt;"</f>
        <v>#VALUE!</v>
      </c>
      <c r="W258" t="e">
        <f>Europe!F256+"n/&gt;!/D="</f>
        <v>#VALUE!</v>
      </c>
      <c r="X258" t="e">
        <f>Europe!G256+"n/&gt;!/D&gt;"</f>
        <v>#VALUE!</v>
      </c>
      <c r="Y258" t="e">
        <f>Europe!H256+"n/&gt;!/D?"</f>
        <v>#VALUE!</v>
      </c>
      <c r="Z258" t="e">
        <f>Europe!I256+"n/&gt;!/D@"</f>
        <v>#VALUE!</v>
      </c>
      <c r="AA258" t="e">
        <f>Europe!A257+"n/&gt;!/DA"</f>
        <v>#VALUE!</v>
      </c>
      <c r="AB258" t="e">
        <f>Europe!B257+"n/&gt;!/DB"</f>
        <v>#VALUE!</v>
      </c>
      <c r="AC258" t="e">
        <f>Europe!C257+"n/&gt;!/DC"</f>
        <v>#VALUE!</v>
      </c>
      <c r="AD258" t="e">
        <f>Europe!D257+"n/&gt;!/DD"</f>
        <v>#VALUE!</v>
      </c>
      <c r="AE258" t="e">
        <f>Europe!E257+"n/&gt;!/DE"</f>
        <v>#VALUE!</v>
      </c>
      <c r="AF258" t="e">
        <f>Europe!F257+"n/&gt;!/DF"</f>
        <v>#VALUE!</v>
      </c>
      <c r="AG258" t="e">
        <f>Europe!G257+"n/&gt;!/DG"</f>
        <v>#VALUE!</v>
      </c>
      <c r="AH258" t="e">
        <f>Europe!H257+"n/&gt;!/DH"</f>
        <v>#VALUE!</v>
      </c>
      <c r="AI258" t="e">
        <f>Europe!I257+"n/&gt;!/DI"</f>
        <v>#VALUE!</v>
      </c>
      <c r="AJ258" t="e">
        <f>Europe!A258+"n/&gt;!/DJ"</f>
        <v>#VALUE!</v>
      </c>
      <c r="AK258" t="e">
        <f>Europe!B258+"n/&gt;!/DK"</f>
        <v>#VALUE!</v>
      </c>
      <c r="AL258" t="e">
        <f>Europe!C258+"n/&gt;!/DL"</f>
        <v>#VALUE!</v>
      </c>
      <c r="AM258" t="e">
        <f>Europe!D258+"n/&gt;!/DM"</f>
        <v>#VALUE!</v>
      </c>
      <c r="AN258" t="e">
        <f>Europe!E258+"n/&gt;!/DN"</f>
        <v>#VALUE!</v>
      </c>
      <c r="AO258" t="e">
        <f>Europe!F258+"n/&gt;!/DO"</f>
        <v>#VALUE!</v>
      </c>
      <c r="AP258" t="e">
        <f>Europe!G258+"n/&gt;!/DP"</f>
        <v>#VALUE!</v>
      </c>
      <c r="AQ258" t="e">
        <f>Europe!H258+"n/&gt;!/DQ"</f>
        <v>#VALUE!</v>
      </c>
      <c r="AR258" t="e">
        <f>Europe!I258+"n/&gt;!/DR"</f>
        <v>#VALUE!</v>
      </c>
      <c r="AS258" t="e">
        <f>Europe!A259+"n/&gt;!/DS"</f>
        <v>#VALUE!</v>
      </c>
      <c r="AT258" t="e">
        <f>Europe!B259+"n/&gt;!/DT"</f>
        <v>#VALUE!</v>
      </c>
      <c r="AU258" t="e">
        <f>Europe!C259+"n/&gt;!/DU"</f>
        <v>#VALUE!</v>
      </c>
      <c r="AV258" t="e">
        <f>Europe!D259+"n/&gt;!/DV"</f>
        <v>#VALUE!</v>
      </c>
      <c r="AW258" t="e">
        <f>Europe!E259+"n/&gt;!/DW"</f>
        <v>#VALUE!</v>
      </c>
      <c r="AX258" t="e">
        <f>Europe!F259+"n/&gt;!/DX"</f>
        <v>#VALUE!</v>
      </c>
      <c r="AY258" t="e">
        <f>Europe!G259+"n/&gt;!/DY"</f>
        <v>#VALUE!</v>
      </c>
      <c r="AZ258" t="e">
        <f>Europe!H259+"n/&gt;!/DZ"</f>
        <v>#VALUE!</v>
      </c>
      <c r="BA258" t="e">
        <f>Europe!I259+"n/&gt;!/D["</f>
        <v>#VALUE!</v>
      </c>
      <c r="BB258" t="e">
        <f>Europe!A260+"n/&gt;!/D\"</f>
        <v>#VALUE!</v>
      </c>
      <c r="BC258" t="e">
        <f>Europe!B260+"n/&gt;!/D]"</f>
        <v>#VALUE!</v>
      </c>
      <c r="BD258" t="e">
        <f>Europe!C260+"n/&gt;!/D^"</f>
        <v>#VALUE!</v>
      </c>
      <c r="BE258" t="e">
        <f>Europe!D260+"n/&gt;!/D_"</f>
        <v>#VALUE!</v>
      </c>
      <c r="BF258" t="e">
        <f>Europe!E260+"n/&gt;!/D`"</f>
        <v>#VALUE!</v>
      </c>
      <c r="BG258" t="e">
        <f>Europe!F260+"n/&gt;!/Da"</f>
        <v>#VALUE!</v>
      </c>
      <c r="BH258" t="e">
        <f>Europe!G260+"n/&gt;!/Db"</f>
        <v>#VALUE!</v>
      </c>
      <c r="BI258" t="e">
        <f>Europe!H260+"n/&gt;!/Dc"</f>
        <v>#VALUE!</v>
      </c>
      <c r="BJ258" t="e">
        <f>Europe!I260+"n/&gt;!/Dd"</f>
        <v>#VALUE!</v>
      </c>
      <c r="BK258" t="e">
        <f>Europe!A261+"n/&gt;!/De"</f>
        <v>#VALUE!</v>
      </c>
      <c r="BL258" t="e">
        <f>Europe!B261+"n/&gt;!/Df"</f>
        <v>#VALUE!</v>
      </c>
      <c r="BM258" t="e">
        <f>Europe!C261+"n/&gt;!/Dg"</f>
        <v>#VALUE!</v>
      </c>
      <c r="BN258" t="e">
        <f>Europe!D261+"n/&gt;!/Dh"</f>
        <v>#VALUE!</v>
      </c>
      <c r="BO258" t="e">
        <f>Europe!E261+"n/&gt;!/Di"</f>
        <v>#VALUE!</v>
      </c>
      <c r="BP258" t="e">
        <f>Europe!F261+"n/&gt;!/Dj"</f>
        <v>#VALUE!</v>
      </c>
      <c r="BQ258" t="e">
        <f>Europe!G261+"n/&gt;!/Dk"</f>
        <v>#VALUE!</v>
      </c>
      <c r="BR258" t="e">
        <f>Europe!H261+"n/&gt;!/Dl"</f>
        <v>#VALUE!</v>
      </c>
      <c r="BS258" t="e">
        <f>Europe!I261+"n/&gt;!/Dm"</f>
        <v>#VALUE!</v>
      </c>
      <c r="BT258" t="e">
        <f>Europe!A262+"n/&gt;!/Dn"</f>
        <v>#VALUE!</v>
      </c>
      <c r="BU258" t="e">
        <f>Europe!B262+"n/&gt;!/Do"</f>
        <v>#VALUE!</v>
      </c>
      <c r="BV258" t="e">
        <f>Europe!C262+"n/&gt;!/Dp"</f>
        <v>#VALUE!</v>
      </c>
      <c r="BW258" t="e">
        <f>Europe!D262+"n/&gt;!/Dq"</f>
        <v>#VALUE!</v>
      </c>
      <c r="BX258" t="e">
        <f>Europe!E262+"n/&gt;!/Dr"</f>
        <v>#VALUE!</v>
      </c>
      <c r="BY258" t="e">
        <f>Europe!F262+"n/&gt;!/Ds"</f>
        <v>#VALUE!</v>
      </c>
      <c r="BZ258" t="e">
        <f>Europe!G262+"n/&gt;!/Dt"</f>
        <v>#VALUE!</v>
      </c>
      <c r="CA258" t="e">
        <f>Europe!H262+"n/&gt;!/Du"</f>
        <v>#VALUE!</v>
      </c>
      <c r="CB258" t="e">
        <f>Europe!I262+"n/&gt;!/Dv"</f>
        <v>#VALUE!</v>
      </c>
      <c r="CC258" t="e">
        <f>Europe!A263+"n/&gt;!/Dw"</f>
        <v>#VALUE!</v>
      </c>
      <c r="CD258" t="e">
        <f>Europe!B263+"n/&gt;!/Dx"</f>
        <v>#VALUE!</v>
      </c>
      <c r="CE258" t="e">
        <f>Europe!C263+"n/&gt;!/Dy"</f>
        <v>#VALUE!</v>
      </c>
      <c r="CF258" t="e">
        <f>Europe!D263+"n/&gt;!/Dz"</f>
        <v>#VALUE!</v>
      </c>
      <c r="CG258" t="e">
        <f>Europe!E263+"n/&gt;!/D{"</f>
        <v>#VALUE!</v>
      </c>
      <c r="CH258" t="e">
        <f>Europe!F263+"n/&gt;!/D|"</f>
        <v>#VALUE!</v>
      </c>
      <c r="CI258" t="e">
        <f>Europe!G263+"n/&gt;!/D}"</f>
        <v>#VALUE!</v>
      </c>
      <c r="CJ258" t="e">
        <f>Europe!H263+"n/&gt;!/D~"</f>
        <v>#VALUE!</v>
      </c>
      <c r="CK258" t="e">
        <f>Europe!I263+"n/&gt;!/E#"</f>
        <v>#VALUE!</v>
      </c>
      <c r="CL258" t="e">
        <f>Europe!A264+"n/&gt;!/E$"</f>
        <v>#VALUE!</v>
      </c>
      <c r="CM258" t="e">
        <f>Europe!B264+"n/&gt;!/E%"</f>
        <v>#VALUE!</v>
      </c>
      <c r="CN258" t="e">
        <f>Europe!C264+"n/&gt;!/E&amp;"</f>
        <v>#VALUE!</v>
      </c>
      <c r="CO258" t="e">
        <f>Europe!D264+"n/&gt;!/E'"</f>
        <v>#VALUE!</v>
      </c>
      <c r="CP258" t="e">
        <f>Europe!E264+"n/&gt;!/E("</f>
        <v>#VALUE!</v>
      </c>
      <c r="CQ258" t="e">
        <f>Europe!F264+"n/&gt;!/E)"</f>
        <v>#VALUE!</v>
      </c>
      <c r="CR258" t="e">
        <f>Europe!G264+"n/&gt;!/E."</f>
        <v>#VALUE!</v>
      </c>
      <c r="CS258" t="e">
        <f>Europe!H264+"n/&gt;!/E/"</f>
        <v>#VALUE!</v>
      </c>
      <c r="CT258" t="e">
        <f>Europe!I264+"n/&gt;!/E0"</f>
        <v>#VALUE!</v>
      </c>
      <c r="CU258" t="e">
        <f>Europe!A265+"n/&gt;!/E1"</f>
        <v>#VALUE!</v>
      </c>
      <c r="CV258" t="e">
        <f>Europe!B265+"n/&gt;!/E2"</f>
        <v>#VALUE!</v>
      </c>
      <c r="CW258" t="e">
        <f>Europe!C265+"n/&gt;!/E3"</f>
        <v>#VALUE!</v>
      </c>
      <c r="CX258" t="e">
        <f>Europe!D265+"n/&gt;!/E4"</f>
        <v>#VALUE!</v>
      </c>
      <c r="CY258" t="e">
        <f>Europe!E265+"n/&gt;!/E5"</f>
        <v>#VALUE!</v>
      </c>
      <c r="CZ258" t="e">
        <f>Europe!F265+"n/&gt;!/E6"</f>
        <v>#VALUE!</v>
      </c>
      <c r="DA258" t="e">
        <f>Europe!G265+"n/&gt;!/E7"</f>
        <v>#VALUE!</v>
      </c>
      <c r="DB258" t="e">
        <f>Europe!H265+"n/&gt;!/E8"</f>
        <v>#VALUE!</v>
      </c>
      <c r="DC258" t="e">
        <f>Europe!I265+"n/&gt;!/E9"</f>
        <v>#VALUE!</v>
      </c>
      <c r="DD258" t="e">
        <f>Europe!A266+"n/&gt;!/E:"</f>
        <v>#VALUE!</v>
      </c>
      <c r="DE258" t="e">
        <f>Europe!B266+"n/&gt;!/E;"</f>
        <v>#VALUE!</v>
      </c>
      <c r="DF258" t="e">
        <f>Europe!C266+"n/&gt;!/E&lt;"</f>
        <v>#VALUE!</v>
      </c>
      <c r="DG258" t="e">
        <f>Europe!D266+"n/&gt;!/E="</f>
        <v>#VALUE!</v>
      </c>
      <c r="DH258" t="e">
        <f>Europe!E266+"n/&gt;!/E&gt;"</f>
        <v>#VALUE!</v>
      </c>
      <c r="DI258" t="e">
        <f>Europe!F266+"n/&gt;!/E?"</f>
        <v>#VALUE!</v>
      </c>
      <c r="DJ258" t="e">
        <f>Europe!G266+"n/&gt;!/E@"</f>
        <v>#VALUE!</v>
      </c>
      <c r="DK258" t="e">
        <f>Europe!H266+"n/&gt;!/EA"</f>
        <v>#VALUE!</v>
      </c>
      <c r="DL258" t="e">
        <f>Europe!I266+"n/&gt;!/EB"</f>
        <v>#VALUE!</v>
      </c>
      <c r="DM258" t="e">
        <f>Europe!A267+"n/&gt;!/EC"</f>
        <v>#VALUE!</v>
      </c>
      <c r="DN258" t="e">
        <f>Europe!B267+"n/&gt;!/ED"</f>
        <v>#VALUE!</v>
      </c>
      <c r="DO258" t="e">
        <f>Europe!C267+"n/&gt;!/EE"</f>
        <v>#VALUE!</v>
      </c>
      <c r="DP258" t="e">
        <f>Europe!D267+"n/&gt;!/EF"</f>
        <v>#VALUE!</v>
      </c>
      <c r="DQ258" t="e">
        <f>Europe!E267+"n/&gt;!/EG"</f>
        <v>#VALUE!</v>
      </c>
      <c r="DR258" t="e">
        <f>Europe!F267+"n/&gt;!/EH"</f>
        <v>#VALUE!</v>
      </c>
      <c r="DS258" t="e">
        <f>Europe!G267+"n/&gt;!/EI"</f>
        <v>#VALUE!</v>
      </c>
      <c r="DT258" t="e">
        <f>Europe!H267+"n/&gt;!/EJ"</f>
        <v>#VALUE!</v>
      </c>
      <c r="DU258" t="e">
        <f>Europe!I267+"n/&gt;!/EK"</f>
        <v>#VALUE!</v>
      </c>
      <c r="DV258" t="e">
        <f>Europe!A268+"n/&gt;!/EL"</f>
        <v>#VALUE!</v>
      </c>
      <c r="DW258" t="e">
        <f>Europe!B268+"n/&gt;!/EM"</f>
        <v>#VALUE!</v>
      </c>
      <c r="DX258" t="e">
        <f>Europe!C268+"n/&gt;!/EN"</f>
        <v>#VALUE!</v>
      </c>
      <c r="DY258" t="e">
        <f>Europe!D268+"n/&gt;!/EO"</f>
        <v>#VALUE!</v>
      </c>
      <c r="DZ258" t="e">
        <f>Europe!E268+"n/&gt;!/EP"</f>
        <v>#VALUE!</v>
      </c>
      <c r="EA258" t="e">
        <f>Europe!F268+"n/&gt;!/EQ"</f>
        <v>#VALUE!</v>
      </c>
      <c r="EB258" t="e">
        <f>Europe!G268+"n/&gt;!/ER"</f>
        <v>#VALUE!</v>
      </c>
      <c r="EC258" t="e">
        <f>Europe!H268+"n/&gt;!/ES"</f>
        <v>#VALUE!</v>
      </c>
      <c r="ED258" t="e">
        <f>Europe!I268+"n/&gt;!/ET"</f>
        <v>#VALUE!</v>
      </c>
      <c r="EE258" t="e">
        <f>Europe!A269+"n/&gt;!/EU"</f>
        <v>#VALUE!</v>
      </c>
      <c r="EF258" t="e">
        <f>Europe!B269+"n/&gt;!/EV"</f>
        <v>#VALUE!</v>
      </c>
      <c r="EG258" t="e">
        <f>Europe!C269+"n/&gt;!/EW"</f>
        <v>#VALUE!</v>
      </c>
      <c r="EH258" t="e">
        <f>Europe!D269+"n/&gt;!/EX"</f>
        <v>#VALUE!</v>
      </c>
      <c r="EI258" t="e">
        <f>Europe!E269+"n/&gt;!/EY"</f>
        <v>#VALUE!</v>
      </c>
      <c r="EJ258" t="e">
        <f>Europe!F269+"n/&gt;!/EZ"</f>
        <v>#VALUE!</v>
      </c>
      <c r="EK258" t="e">
        <f>Europe!G269+"n/&gt;!/E["</f>
        <v>#VALUE!</v>
      </c>
      <c r="EL258" t="e">
        <f>Europe!H269+"n/&gt;!/E\"</f>
        <v>#VALUE!</v>
      </c>
      <c r="EM258" t="e">
        <f>Europe!I269+"n/&gt;!/E]"</f>
        <v>#VALUE!</v>
      </c>
      <c r="EN258" t="e">
        <f>Europe!A270+"n/&gt;!/E^"</f>
        <v>#VALUE!</v>
      </c>
      <c r="EO258" t="e">
        <f>Europe!B270+"n/&gt;!/E_"</f>
        <v>#VALUE!</v>
      </c>
      <c r="EP258" t="e">
        <f>Europe!C270+"n/&gt;!/E`"</f>
        <v>#VALUE!</v>
      </c>
      <c r="EQ258" t="e">
        <f>Europe!D270+"n/&gt;!/Ea"</f>
        <v>#VALUE!</v>
      </c>
      <c r="ER258" t="e">
        <f>Europe!E270+"n/&gt;!/Eb"</f>
        <v>#VALUE!</v>
      </c>
      <c r="ES258" t="e">
        <f>Europe!F270+"n/&gt;!/Ec"</f>
        <v>#VALUE!</v>
      </c>
      <c r="ET258" t="e">
        <f>Europe!G270+"n/&gt;!/Ed"</f>
        <v>#VALUE!</v>
      </c>
      <c r="EU258" t="e">
        <f>Europe!H270+"n/&gt;!/Ee"</f>
        <v>#VALUE!</v>
      </c>
      <c r="EV258" t="e">
        <f>Europe!I270+"n/&gt;!/Ef"</f>
        <v>#VALUE!</v>
      </c>
      <c r="EW258" t="e">
        <f>Europe!A271+"n/&gt;!/Eg"</f>
        <v>#VALUE!</v>
      </c>
      <c r="EX258" t="e">
        <f>Europe!B271+"n/&gt;!/Eh"</f>
        <v>#VALUE!</v>
      </c>
      <c r="EY258" t="e">
        <f>Europe!C271+"n/&gt;!/Ei"</f>
        <v>#VALUE!</v>
      </c>
      <c r="EZ258" t="e">
        <f>Europe!D271+"n/&gt;!/Ej"</f>
        <v>#VALUE!</v>
      </c>
      <c r="FA258" t="e">
        <f>Europe!E271+"n/&gt;!/Ek"</f>
        <v>#VALUE!</v>
      </c>
      <c r="FB258" t="e">
        <f>Europe!F271+"n/&gt;!/El"</f>
        <v>#VALUE!</v>
      </c>
      <c r="FC258" t="e">
        <f>Europe!G271+"n/&gt;!/Em"</f>
        <v>#VALUE!</v>
      </c>
      <c r="FD258" t="e">
        <f>Europe!H271+"n/&gt;!/En"</f>
        <v>#VALUE!</v>
      </c>
      <c r="FE258" t="e">
        <f>Europe!I271+"n/&gt;!/Eo"</f>
        <v>#VALUE!</v>
      </c>
      <c r="FF258" t="e">
        <f>Europe!A272+"n/&gt;!/Ep"</f>
        <v>#VALUE!</v>
      </c>
      <c r="FG258" t="e">
        <f>Europe!B272+"n/&gt;!/Eq"</f>
        <v>#VALUE!</v>
      </c>
      <c r="FH258" t="e">
        <f>Europe!C272+"n/&gt;!/Er"</f>
        <v>#VALUE!</v>
      </c>
      <c r="FI258" t="e">
        <f>Europe!D272+"n/&gt;!/Es"</f>
        <v>#VALUE!</v>
      </c>
      <c r="FJ258" t="e">
        <f>Europe!E272+"n/&gt;!/Et"</f>
        <v>#VALUE!</v>
      </c>
      <c r="FK258" t="e">
        <f>Europe!F272+"n/&gt;!/Eu"</f>
        <v>#VALUE!</v>
      </c>
      <c r="FL258" t="e">
        <f>Europe!G272+"n/&gt;!/Ev"</f>
        <v>#VALUE!</v>
      </c>
      <c r="FM258" t="e">
        <f>Europe!H272+"n/&gt;!/Ew"</f>
        <v>#VALUE!</v>
      </c>
      <c r="FN258" t="e">
        <f>Europe!I272+"n/&gt;!/Ex"</f>
        <v>#VALUE!</v>
      </c>
      <c r="FO258" t="e">
        <f>Europe!A273+"n/&gt;!/Ey"</f>
        <v>#VALUE!</v>
      </c>
      <c r="FP258" t="e">
        <f>Europe!B273+"n/&gt;!/Ez"</f>
        <v>#VALUE!</v>
      </c>
      <c r="FQ258" t="e">
        <f>Europe!C273+"n/&gt;!/E{"</f>
        <v>#VALUE!</v>
      </c>
      <c r="FR258" t="e">
        <f>Europe!D273+"n/&gt;!/E|"</f>
        <v>#VALUE!</v>
      </c>
      <c r="FS258" t="e">
        <f>Europe!E273+"n/&gt;!/E}"</f>
        <v>#VALUE!</v>
      </c>
      <c r="FT258" t="e">
        <f>Europe!F273+"n/&gt;!/E~"</f>
        <v>#VALUE!</v>
      </c>
      <c r="FU258" t="e">
        <f>Europe!G273+"n/&gt;!/F#"</f>
        <v>#VALUE!</v>
      </c>
      <c r="FV258" t="e">
        <f>Europe!H273+"n/&gt;!/F$"</f>
        <v>#VALUE!</v>
      </c>
      <c r="FW258" t="e">
        <f>Europe!I273+"n/&gt;!/F%"</f>
        <v>#VALUE!</v>
      </c>
      <c r="FX258" t="e">
        <f>Europe!A274+"n/&gt;!/F&amp;"</f>
        <v>#VALUE!</v>
      </c>
      <c r="FY258" t="e">
        <f>Europe!B274+"n/&gt;!/F'"</f>
        <v>#VALUE!</v>
      </c>
      <c r="FZ258" t="e">
        <f>Europe!C274+"n/&gt;!/F("</f>
        <v>#VALUE!</v>
      </c>
      <c r="GA258" t="e">
        <f>Europe!D274+"n/&gt;!/F)"</f>
        <v>#VALUE!</v>
      </c>
      <c r="GB258" t="e">
        <f>Europe!E274+"n/&gt;!/F."</f>
        <v>#VALUE!</v>
      </c>
      <c r="GC258" t="e">
        <f>Europe!F274+"n/&gt;!/F/"</f>
        <v>#VALUE!</v>
      </c>
      <c r="GD258" t="e">
        <f>Europe!G274+"n/&gt;!/F0"</f>
        <v>#VALUE!</v>
      </c>
      <c r="GE258" t="e">
        <f>Europe!H274+"n/&gt;!/F1"</f>
        <v>#VALUE!</v>
      </c>
      <c r="GF258" t="e">
        <f>Europe!I274+"n/&gt;!/F2"</f>
        <v>#VALUE!</v>
      </c>
      <c r="GG258" t="e">
        <f>Europe!A275+"n/&gt;!/F3"</f>
        <v>#VALUE!</v>
      </c>
      <c r="GH258" t="e">
        <f>Europe!B275+"n/&gt;!/F4"</f>
        <v>#VALUE!</v>
      </c>
      <c r="GI258" t="e">
        <f>Europe!C275+"n/&gt;!/F5"</f>
        <v>#VALUE!</v>
      </c>
      <c r="GJ258" t="e">
        <f>Europe!D275+"n/&gt;!/F6"</f>
        <v>#VALUE!</v>
      </c>
      <c r="GK258" t="e">
        <f>Europe!E275+"n/&gt;!/F7"</f>
        <v>#VALUE!</v>
      </c>
      <c r="GL258" t="e">
        <f>Europe!F275+"n/&gt;!/F8"</f>
        <v>#VALUE!</v>
      </c>
      <c r="GM258" t="e">
        <f>Europe!G275+"n/&gt;!/F9"</f>
        <v>#VALUE!</v>
      </c>
      <c r="GN258" t="e">
        <f>Europe!H275+"n/&gt;!/F:"</f>
        <v>#VALUE!</v>
      </c>
      <c r="GO258" t="e">
        <f>Europe!I275+"n/&gt;!/F;"</f>
        <v>#VALUE!</v>
      </c>
      <c r="GP258" t="e">
        <f>Europe!A276+"n/&gt;!/F&lt;"</f>
        <v>#VALUE!</v>
      </c>
      <c r="GQ258" t="e">
        <f>Europe!B276+"n/&gt;!/F="</f>
        <v>#VALUE!</v>
      </c>
      <c r="GR258" t="e">
        <f>Europe!C276+"n/&gt;!/F&gt;"</f>
        <v>#VALUE!</v>
      </c>
      <c r="GS258" t="e">
        <f>Europe!D276+"n/&gt;!/F?"</f>
        <v>#VALUE!</v>
      </c>
      <c r="GT258" t="e">
        <f>Europe!E276+"n/&gt;!/F@"</f>
        <v>#VALUE!</v>
      </c>
      <c r="GU258" t="e">
        <f>Europe!F276+"n/&gt;!/FA"</f>
        <v>#VALUE!</v>
      </c>
      <c r="GV258" t="e">
        <f>Europe!G276+"n/&gt;!/FB"</f>
        <v>#VALUE!</v>
      </c>
      <c r="GW258" t="e">
        <f>Europe!H276+"n/&gt;!/FC"</f>
        <v>#VALUE!</v>
      </c>
      <c r="GX258" t="e">
        <f>Europe!I276+"n/&gt;!/FD"</f>
        <v>#VALUE!</v>
      </c>
      <c r="GY258" t="e">
        <f>Europe!A277+"n/&gt;!/FE"</f>
        <v>#VALUE!</v>
      </c>
      <c r="GZ258" t="e">
        <f>Europe!B277+"n/&gt;!/FF"</f>
        <v>#VALUE!</v>
      </c>
      <c r="HA258" t="e">
        <f>Europe!C277+"n/&gt;!/FG"</f>
        <v>#VALUE!</v>
      </c>
      <c r="HB258" t="e">
        <f>Europe!D277+"n/&gt;!/FH"</f>
        <v>#VALUE!</v>
      </c>
      <c r="HC258" t="e">
        <f>Europe!E277+"n/&gt;!/FI"</f>
        <v>#VALUE!</v>
      </c>
      <c r="HD258" t="e">
        <f>Europe!F277+"n/&gt;!/FJ"</f>
        <v>#VALUE!</v>
      </c>
      <c r="HE258" t="e">
        <f>Europe!G277+"n/&gt;!/FK"</f>
        <v>#VALUE!</v>
      </c>
      <c r="HF258" t="e">
        <f>Europe!H277+"n/&gt;!/FL"</f>
        <v>#VALUE!</v>
      </c>
      <c r="HG258" t="e">
        <f>Europe!I277+"n/&gt;!/FM"</f>
        <v>#VALUE!</v>
      </c>
      <c r="HH258" t="e">
        <f>Europe!A278+"n/&gt;!/FN"</f>
        <v>#VALUE!</v>
      </c>
      <c r="HI258" t="e">
        <f>Europe!B278+"n/&gt;!/FO"</f>
        <v>#VALUE!</v>
      </c>
      <c r="HJ258" t="e">
        <f>Europe!C278+"n/&gt;!/FP"</f>
        <v>#VALUE!</v>
      </c>
      <c r="HK258" t="e">
        <f>Europe!D278+"n/&gt;!/FQ"</f>
        <v>#VALUE!</v>
      </c>
      <c r="HL258" t="e">
        <f>Europe!E278+"n/&gt;!/FR"</f>
        <v>#VALUE!</v>
      </c>
      <c r="HM258" t="e">
        <f>Europe!F278+"n/&gt;!/FS"</f>
        <v>#VALUE!</v>
      </c>
      <c r="HN258" t="e">
        <f>Europe!G278+"n/&gt;!/FT"</f>
        <v>#VALUE!</v>
      </c>
      <c r="HO258" t="e">
        <f>Europe!H278+"n/&gt;!/FU"</f>
        <v>#VALUE!</v>
      </c>
      <c r="HP258" t="e">
        <f>Europe!I278+"n/&gt;!/FV"</f>
        <v>#VALUE!</v>
      </c>
      <c r="HQ258" t="e">
        <f>Europe!A279+"n/&gt;!/FW"</f>
        <v>#VALUE!</v>
      </c>
      <c r="HR258" t="e">
        <f>Europe!B279+"n/&gt;!/FX"</f>
        <v>#VALUE!</v>
      </c>
      <c r="HS258" t="e">
        <f>Europe!C279+"n/&gt;!/FY"</f>
        <v>#VALUE!</v>
      </c>
      <c r="HT258" t="e">
        <f>Europe!D279+"n/&gt;!/FZ"</f>
        <v>#VALUE!</v>
      </c>
      <c r="HU258" t="e">
        <f>Europe!E279+"n/&gt;!/F["</f>
        <v>#VALUE!</v>
      </c>
      <c r="HV258" t="e">
        <f>Europe!F279+"n/&gt;!/F\"</f>
        <v>#VALUE!</v>
      </c>
      <c r="HW258" t="e">
        <f>Europe!G279+"n/&gt;!/F]"</f>
        <v>#VALUE!</v>
      </c>
      <c r="HX258" t="e">
        <f>Europe!H279+"n/&gt;!/F^"</f>
        <v>#VALUE!</v>
      </c>
      <c r="HY258" t="e">
        <f>Europe!I279+"n/&gt;!/F_"</f>
        <v>#VALUE!</v>
      </c>
      <c r="HZ258" t="e">
        <f>Europe!A280+"n/&gt;!/F`"</f>
        <v>#VALUE!</v>
      </c>
      <c r="IA258" t="e">
        <f>Europe!B280+"n/&gt;!/Fa"</f>
        <v>#VALUE!</v>
      </c>
      <c r="IB258" t="e">
        <f>Europe!C280+"n/&gt;!/Fb"</f>
        <v>#VALUE!</v>
      </c>
      <c r="IC258" t="e">
        <f>Europe!D280+"n/&gt;!/Fc"</f>
        <v>#VALUE!</v>
      </c>
      <c r="ID258" t="e">
        <f>Europe!E280+"n/&gt;!/Fd"</f>
        <v>#VALUE!</v>
      </c>
      <c r="IE258" t="e">
        <f>Europe!F280+"n/&gt;!/Fe"</f>
        <v>#VALUE!</v>
      </c>
      <c r="IF258" t="e">
        <f>Europe!G280+"n/&gt;!/Ff"</f>
        <v>#VALUE!</v>
      </c>
      <c r="IG258" t="e">
        <f>Europe!H280+"n/&gt;!/Fg"</f>
        <v>#VALUE!</v>
      </c>
      <c r="IH258" t="e">
        <f>Europe!I280+"n/&gt;!/Fh"</f>
        <v>#VALUE!</v>
      </c>
      <c r="II258" t="e">
        <f>Europe!A281+"n/&gt;!/Fi"</f>
        <v>#VALUE!</v>
      </c>
      <c r="IJ258" t="e">
        <f>Europe!B281+"n/&gt;!/Fj"</f>
        <v>#VALUE!</v>
      </c>
      <c r="IK258" t="e">
        <f>Europe!C281+"n/&gt;!/Fk"</f>
        <v>#VALUE!</v>
      </c>
      <c r="IL258" t="e">
        <f>Europe!D281+"n/&gt;!/Fl"</f>
        <v>#VALUE!</v>
      </c>
      <c r="IM258" t="e">
        <f>Europe!E281+"n/&gt;!/Fm"</f>
        <v>#VALUE!</v>
      </c>
      <c r="IN258" t="e">
        <f>Europe!F281+"n/&gt;!/Fn"</f>
        <v>#VALUE!</v>
      </c>
      <c r="IO258" t="e">
        <f>Europe!G281+"n/&gt;!/Fo"</f>
        <v>#VALUE!</v>
      </c>
      <c r="IP258" t="e">
        <f>Europe!H281+"n/&gt;!/Fp"</f>
        <v>#VALUE!</v>
      </c>
      <c r="IQ258" t="e">
        <f>Europe!I281+"n/&gt;!/Fq"</f>
        <v>#VALUE!</v>
      </c>
      <c r="IR258" t="e">
        <f>Europe!A282+"n/&gt;!/Fr"</f>
        <v>#VALUE!</v>
      </c>
      <c r="IS258" t="e">
        <f>Europe!B282+"n/&gt;!/Fs"</f>
        <v>#VALUE!</v>
      </c>
      <c r="IT258" t="e">
        <f>Europe!C282+"n/&gt;!/Ft"</f>
        <v>#VALUE!</v>
      </c>
      <c r="IU258" t="e">
        <f>Europe!D282+"n/&gt;!/Fu"</f>
        <v>#VALUE!</v>
      </c>
      <c r="IV258" t="e">
        <f>Europe!E282+"n/&gt;!/Fv"</f>
        <v>#VALUE!</v>
      </c>
    </row>
    <row r="259" spans="6:256" x14ac:dyDescent="0.35">
      <c r="F259" t="e">
        <f>Europe!F282+"n/&gt;!/Fw"</f>
        <v>#VALUE!</v>
      </c>
      <c r="G259" t="e">
        <f>Europe!G282+"n/&gt;!/Fx"</f>
        <v>#VALUE!</v>
      </c>
      <c r="H259" t="e">
        <f>Europe!H282+"n/&gt;!/Fy"</f>
        <v>#VALUE!</v>
      </c>
      <c r="I259" t="e">
        <f>Europe!I282+"n/&gt;!/Fz"</f>
        <v>#VALUE!</v>
      </c>
      <c r="J259" t="e">
        <f>Europe!A283+"n/&gt;!/F{"</f>
        <v>#VALUE!</v>
      </c>
      <c r="K259" t="e">
        <f>Europe!B283+"n/&gt;!/F|"</f>
        <v>#VALUE!</v>
      </c>
      <c r="L259" t="e">
        <f>Europe!C283+"n/&gt;!/F}"</f>
        <v>#VALUE!</v>
      </c>
      <c r="M259" t="e">
        <f>Europe!D283+"n/&gt;!/F~"</f>
        <v>#VALUE!</v>
      </c>
      <c r="N259" t="e">
        <f>Europe!E283+"n/&gt;!/G#"</f>
        <v>#VALUE!</v>
      </c>
      <c r="O259" t="e">
        <f>Europe!F283+"n/&gt;!/G$"</f>
        <v>#VALUE!</v>
      </c>
      <c r="P259" t="e">
        <f>Europe!G283+"n/&gt;!/G%"</f>
        <v>#VALUE!</v>
      </c>
      <c r="Q259" t="e">
        <f>Europe!H283+"n/&gt;!/G&amp;"</f>
        <v>#VALUE!</v>
      </c>
      <c r="R259" t="e">
        <f>Europe!I283+"n/&gt;!/G'"</f>
        <v>#VALUE!</v>
      </c>
      <c r="S259" t="e">
        <f>Europe!A284+"n/&gt;!/G("</f>
        <v>#VALUE!</v>
      </c>
      <c r="T259" t="e">
        <f>Europe!B284+"n/&gt;!/G)"</f>
        <v>#VALUE!</v>
      </c>
      <c r="U259" t="e">
        <f>Europe!C284+"n/&gt;!/G."</f>
        <v>#VALUE!</v>
      </c>
      <c r="V259" t="e">
        <f>Europe!D284+"n/&gt;!/G/"</f>
        <v>#VALUE!</v>
      </c>
      <c r="W259" t="e">
        <f>Europe!E284+"n/&gt;!/G0"</f>
        <v>#VALUE!</v>
      </c>
      <c r="X259" t="e">
        <f>Europe!F284+"n/&gt;!/G1"</f>
        <v>#VALUE!</v>
      </c>
      <c r="Y259" t="e">
        <f>Europe!G284+"n/&gt;!/G2"</f>
        <v>#VALUE!</v>
      </c>
      <c r="Z259" t="e">
        <f>Europe!H284+"n/&gt;!/G3"</f>
        <v>#VALUE!</v>
      </c>
      <c r="AA259" t="e">
        <f>Europe!I284+"n/&gt;!/G4"</f>
        <v>#VALUE!</v>
      </c>
      <c r="AB259" t="e">
        <f>Europe!A285+"n/&gt;!/G5"</f>
        <v>#VALUE!</v>
      </c>
      <c r="AC259" t="e">
        <f>Europe!B285+"n/&gt;!/G6"</f>
        <v>#VALUE!</v>
      </c>
      <c r="AD259" t="e">
        <f>Europe!C285+"n/&gt;!/G7"</f>
        <v>#VALUE!</v>
      </c>
      <c r="AE259" t="e">
        <f>Europe!D285+"n/&gt;!/G8"</f>
        <v>#VALUE!</v>
      </c>
      <c r="AF259" t="e">
        <f>Europe!E285+"n/&gt;!/G9"</f>
        <v>#VALUE!</v>
      </c>
      <c r="AG259" t="e">
        <f>Europe!F285+"n/&gt;!/G:"</f>
        <v>#VALUE!</v>
      </c>
      <c r="AH259" t="e">
        <f>Europe!G285+"n/&gt;!/G;"</f>
        <v>#VALUE!</v>
      </c>
      <c r="AI259" t="e">
        <f>Europe!H285+"n/&gt;!/G&lt;"</f>
        <v>#VALUE!</v>
      </c>
      <c r="AJ259" t="e">
        <f>Europe!I285+"n/&gt;!/G="</f>
        <v>#VALUE!</v>
      </c>
      <c r="AK259" t="e">
        <f>Europe!A286+"n/&gt;!/G&gt;"</f>
        <v>#VALUE!</v>
      </c>
      <c r="AL259" t="e">
        <f>Europe!B286+"n/&gt;!/G?"</f>
        <v>#VALUE!</v>
      </c>
      <c r="AM259" t="e">
        <f>Europe!C286+"n/&gt;!/G@"</f>
        <v>#VALUE!</v>
      </c>
      <c r="AN259" t="e">
        <f>Europe!D286+"n/&gt;!/GA"</f>
        <v>#VALUE!</v>
      </c>
      <c r="AO259" t="e">
        <f>Europe!E286+"n/&gt;!/GB"</f>
        <v>#VALUE!</v>
      </c>
      <c r="AP259" t="e">
        <f>Europe!F286+"n/&gt;!/GC"</f>
        <v>#VALUE!</v>
      </c>
      <c r="AQ259" t="e">
        <f>Europe!G286+"n/&gt;!/GD"</f>
        <v>#VALUE!</v>
      </c>
      <c r="AR259" t="e">
        <f>Europe!H286+"n/&gt;!/GE"</f>
        <v>#VALUE!</v>
      </c>
      <c r="AS259" t="e">
        <f>Europe!I286+"n/&gt;!/GF"</f>
        <v>#VALUE!</v>
      </c>
      <c r="AT259" t="e">
        <f>Europe!A287+"n/&gt;!/GG"</f>
        <v>#VALUE!</v>
      </c>
      <c r="AU259" t="e">
        <f>Europe!B287+"n/&gt;!/GH"</f>
        <v>#VALUE!</v>
      </c>
      <c r="AV259" t="e">
        <f>Europe!C287+"n/&gt;!/GI"</f>
        <v>#VALUE!</v>
      </c>
      <c r="AW259" t="e">
        <f>Europe!D287+"n/&gt;!/GJ"</f>
        <v>#VALUE!</v>
      </c>
      <c r="AX259" t="e">
        <f>Europe!E287+"n/&gt;!/GK"</f>
        <v>#VALUE!</v>
      </c>
      <c r="AY259" t="e">
        <f>Europe!F287+"n/&gt;!/GL"</f>
        <v>#VALUE!</v>
      </c>
      <c r="AZ259" t="e">
        <f>Europe!G287+"n/&gt;!/GM"</f>
        <v>#VALUE!</v>
      </c>
      <c r="BA259" t="e">
        <f>Europe!H287+"n/&gt;!/GN"</f>
        <v>#VALUE!</v>
      </c>
      <c r="BB259" t="e">
        <f>Europe!I287+"n/&gt;!/GO"</f>
        <v>#VALUE!</v>
      </c>
      <c r="BC259" t="e">
        <f>Europe!A288+"n/&gt;!/GP"</f>
        <v>#VALUE!</v>
      </c>
      <c r="BD259" t="e">
        <f>Europe!B288+"n/&gt;!/GQ"</f>
        <v>#VALUE!</v>
      </c>
      <c r="BE259" t="e">
        <f>Europe!C288+"n/&gt;!/GR"</f>
        <v>#VALUE!</v>
      </c>
      <c r="BF259" t="e">
        <f>Europe!D288+"n/&gt;!/GS"</f>
        <v>#VALUE!</v>
      </c>
      <c r="BG259" t="e">
        <f>Europe!E288+"n/&gt;!/GT"</f>
        <v>#VALUE!</v>
      </c>
      <c r="BH259" t="e">
        <f>Europe!F288+"n/&gt;!/GU"</f>
        <v>#VALUE!</v>
      </c>
      <c r="BI259" t="e">
        <f>Europe!G288+"n/&gt;!/GV"</f>
        <v>#VALUE!</v>
      </c>
      <c r="BJ259" t="e">
        <f>Europe!H288+"n/&gt;!/GW"</f>
        <v>#VALUE!</v>
      </c>
      <c r="BK259" t="e">
        <f>Europe!I288+"n/&gt;!/GX"</f>
        <v>#VALUE!</v>
      </c>
      <c r="BL259" t="e">
        <f>Europe!A289+"n/&gt;!/GY"</f>
        <v>#VALUE!</v>
      </c>
      <c r="BM259" t="e">
        <f>Europe!B289+"n/&gt;!/GZ"</f>
        <v>#VALUE!</v>
      </c>
      <c r="BN259" t="e">
        <f>Europe!C289+"n/&gt;!/G["</f>
        <v>#VALUE!</v>
      </c>
      <c r="BO259" t="e">
        <f>Europe!D289+"n/&gt;!/G\"</f>
        <v>#VALUE!</v>
      </c>
      <c r="BP259" t="e">
        <f>Europe!E289+"n/&gt;!/G]"</f>
        <v>#VALUE!</v>
      </c>
      <c r="BQ259" t="e">
        <f>Europe!F289+"n/&gt;!/G^"</f>
        <v>#VALUE!</v>
      </c>
      <c r="BR259" t="e">
        <f>Europe!G289+"n/&gt;!/G_"</f>
        <v>#VALUE!</v>
      </c>
      <c r="BS259" t="e">
        <f>Europe!H289+"n/&gt;!/G`"</f>
        <v>#VALUE!</v>
      </c>
      <c r="BT259" t="e">
        <f>Europe!I289+"n/&gt;!/Ga"</f>
        <v>#VALUE!</v>
      </c>
      <c r="BU259" t="e">
        <f>Europe!A290+"n/&gt;!/Gb"</f>
        <v>#VALUE!</v>
      </c>
      <c r="BV259" t="e">
        <f>Europe!B290+"n/&gt;!/Gc"</f>
        <v>#VALUE!</v>
      </c>
      <c r="BW259" t="e">
        <f>Europe!C290+"n/&gt;!/Gd"</f>
        <v>#VALUE!</v>
      </c>
      <c r="BX259" t="e">
        <f>Europe!D290+"n/&gt;!/Ge"</f>
        <v>#VALUE!</v>
      </c>
      <c r="BY259" t="e">
        <f>Europe!E290+"n/&gt;!/Gf"</f>
        <v>#VALUE!</v>
      </c>
      <c r="BZ259" t="e">
        <f>Europe!F290+"n/&gt;!/Gg"</f>
        <v>#VALUE!</v>
      </c>
      <c r="CA259" t="e">
        <f>Europe!G290+"n/&gt;!/Gh"</f>
        <v>#VALUE!</v>
      </c>
      <c r="CB259" t="e">
        <f>Europe!H290+"n/&gt;!/Gi"</f>
        <v>#VALUE!</v>
      </c>
      <c r="CC259" t="e">
        <f>Europe!I290+"n/&gt;!/Gj"</f>
        <v>#VALUE!</v>
      </c>
      <c r="CD259" t="e">
        <f>Europe!A291+"n/&gt;!/Gk"</f>
        <v>#VALUE!</v>
      </c>
      <c r="CE259" t="e">
        <f>Europe!B291+"n/&gt;!/Gl"</f>
        <v>#VALUE!</v>
      </c>
      <c r="CF259" t="e">
        <f>Europe!C291+"n/&gt;!/Gm"</f>
        <v>#VALUE!</v>
      </c>
      <c r="CG259" t="e">
        <f>Europe!D291+"n/&gt;!/Gn"</f>
        <v>#VALUE!</v>
      </c>
      <c r="CH259" t="e">
        <f>Europe!E291+"n/&gt;!/Go"</f>
        <v>#VALUE!</v>
      </c>
      <c r="CI259" t="e">
        <f>Europe!F291+"n/&gt;!/Gp"</f>
        <v>#VALUE!</v>
      </c>
      <c r="CJ259" t="e">
        <f>Europe!G291+"n/&gt;!/Gq"</f>
        <v>#VALUE!</v>
      </c>
      <c r="CK259" t="e">
        <f>Europe!H291+"n/&gt;!/Gr"</f>
        <v>#VALUE!</v>
      </c>
      <c r="CL259" t="e">
        <f>Europe!I291+"n/&gt;!/Gs"</f>
        <v>#VALUE!</v>
      </c>
      <c r="CM259" t="e">
        <f>Europe!A292+"n/&gt;!/Gt"</f>
        <v>#VALUE!</v>
      </c>
      <c r="CN259" t="e">
        <f>Europe!B292+"n/&gt;!/Gu"</f>
        <v>#VALUE!</v>
      </c>
      <c r="CO259" t="e">
        <f>Europe!C292+"n/&gt;!/Gv"</f>
        <v>#VALUE!</v>
      </c>
      <c r="CP259" t="e">
        <f>Europe!D292+"n/&gt;!/Gw"</f>
        <v>#VALUE!</v>
      </c>
      <c r="CQ259" t="e">
        <f>Europe!E292+"n/&gt;!/Gx"</f>
        <v>#VALUE!</v>
      </c>
      <c r="CR259" t="e">
        <f>Europe!F292+"n/&gt;!/Gy"</f>
        <v>#VALUE!</v>
      </c>
      <c r="CS259" t="e">
        <f>Europe!G292+"n/&gt;!/Gz"</f>
        <v>#VALUE!</v>
      </c>
      <c r="CT259" t="e">
        <f>Europe!H292+"n/&gt;!/G{"</f>
        <v>#VALUE!</v>
      </c>
      <c r="CU259" t="e">
        <f>Europe!I292+"n/&gt;!/G|"</f>
        <v>#VALUE!</v>
      </c>
      <c r="CV259" t="e">
        <f>Europe!A293+"n/&gt;!/G}"</f>
        <v>#VALUE!</v>
      </c>
      <c r="CW259" t="e">
        <f>Europe!B293+"n/&gt;!/G~"</f>
        <v>#VALUE!</v>
      </c>
      <c r="CX259" t="e">
        <f>Europe!C293+"n/&gt;!/H#"</f>
        <v>#VALUE!</v>
      </c>
      <c r="CY259" t="e">
        <f>Europe!D293+"n/&gt;!/H$"</f>
        <v>#VALUE!</v>
      </c>
      <c r="CZ259" t="e">
        <f>Europe!E293+"n/&gt;!/H%"</f>
        <v>#VALUE!</v>
      </c>
      <c r="DA259" t="e">
        <f>Europe!F293+"n/&gt;!/H&amp;"</f>
        <v>#VALUE!</v>
      </c>
      <c r="DB259" t="e">
        <f>Europe!G293+"n/&gt;!/H'"</f>
        <v>#VALUE!</v>
      </c>
      <c r="DC259" t="e">
        <f>Europe!H293+"n/&gt;!/H("</f>
        <v>#VALUE!</v>
      </c>
      <c r="DD259" t="e">
        <f>Europe!I293+"n/&gt;!/H)"</f>
        <v>#VALUE!</v>
      </c>
      <c r="DE259" t="e">
        <f>Europe!A294+"n/&gt;!/H."</f>
        <v>#VALUE!</v>
      </c>
      <c r="DF259" t="e">
        <f>Europe!B294+"n/&gt;!/H/"</f>
        <v>#VALUE!</v>
      </c>
      <c r="DG259" t="e">
        <f>Europe!C294+"n/&gt;!/H0"</f>
        <v>#VALUE!</v>
      </c>
      <c r="DH259" t="e">
        <f>Europe!D294+"n/&gt;!/H1"</f>
        <v>#VALUE!</v>
      </c>
      <c r="DI259" t="e">
        <f>Europe!E294+"n/&gt;!/H2"</f>
        <v>#VALUE!</v>
      </c>
      <c r="DJ259" t="e">
        <f>Europe!F294+"n/&gt;!/H3"</f>
        <v>#VALUE!</v>
      </c>
      <c r="DK259" t="e">
        <f>Europe!G294+"n/&gt;!/H4"</f>
        <v>#VALUE!</v>
      </c>
      <c r="DL259" t="e">
        <f>Europe!H294+"n/&gt;!/H5"</f>
        <v>#VALUE!</v>
      </c>
      <c r="DM259" t="e">
        <f>Europe!I294+"n/&gt;!/H6"</f>
        <v>#VALUE!</v>
      </c>
      <c r="DN259" t="e">
        <f>Europe!A295+"n/&gt;!/H7"</f>
        <v>#VALUE!</v>
      </c>
      <c r="DO259" t="e">
        <f>Europe!B295+"n/&gt;!/H8"</f>
        <v>#VALUE!</v>
      </c>
      <c r="DP259" t="e">
        <f>Europe!C295+"n/&gt;!/H9"</f>
        <v>#VALUE!</v>
      </c>
      <c r="DQ259" t="e">
        <f>Europe!D295+"n/&gt;!/H:"</f>
        <v>#VALUE!</v>
      </c>
      <c r="DR259" t="e">
        <f>Europe!E295+"n/&gt;!/H;"</f>
        <v>#VALUE!</v>
      </c>
      <c r="DS259" t="e">
        <f>Europe!F295+"n/&gt;!/H&lt;"</f>
        <v>#VALUE!</v>
      </c>
      <c r="DT259" t="e">
        <f>Europe!G295+"n/&gt;!/H="</f>
        <v>#VALUE!</v>
      </c>
      <c r="DU259" t="e">
        <f>Europe!H295+"n/&gt;!/H&gt;"</f>
        <v>#VALUE!</v>
      </c>
      <c r="DV259" t="e">
        <f>Europe!I295+"n/&gt;!/H?"</f>
        <v>#VALUE!</v>
      </c>
      <c r="DW259" t="e">
        <f>Europe!A296+"n/&gt;!/H@"</f>
        <v>#VALUE!</v>
      </c>
      <c r="DX259" t="e">
        <f>Europe!B296+"n/&gt;!/HA"</f>
        <v>#VALUE!</v>
      </c>
      <c r="DY259" t="e">
        <f>Europe!C296+"n/&gt;!/HB"</f>
        <v>#VALUE!</v>
      </c>
      <c r="DZ259" t="e">
        <f>Europe!D296+"n/&gt;!/HC"</f>
        <v>#VALUE!</v>
      </c>
      <c r="EA259" t="e">
        <f>Europe!E296+"n/&gt;!/HD"</f>
        <v>#VALUE!</v>
      </c>
      <c r="EB259" t="e">
        <f>Europe!F296+"n/&gt;!/HE"</f>
        <v>#VALUE!</v>
      </c>
      <c r="EC259" t="e">
        <f>Europe!G296+"n/&gt;!/HF"</f>
        <v>#VALUE!</v>
      </c>
      <c r="ED259" t="e">
        <f>Europe!H296+"n/&gt;!/HG"</f>
        <v>#VALUE!</v>
      </c>
      <c r="EE259" t="e">
        <f>Europe!I296+"n/&gt;!/HH"</f>
        <v>#VALUE!</v>
      </c>
      <c r="EF259" t="e">
        <f>Europe!A297+"n/&gt;!/HI"</f>
        <v>#VALUE!</v>
      </c>
      <c r="EG259" t="e">
        <f>Europe!B297+"n/&gt;!/HJ"</f>
        <v>#VALUE!</v>
      </c>
      <c r="EH259" t="e">
        <f>Europe!C297+"n/&gt;!/HK"</f>
        <v>#VALUE!</v>
      </c>
      <c r="EI259" t="e">
        <f>Europe!D297+"n/&gt;!/HL"</f>
        <v>#VALUE!</v>
      </c>
      <c r="EJ259" t="e">
        <f>Europe!E297+"n/&gt;!/HM"</f>
        <v>#VALUE!</v>
      </c>
      <c r="EK259" t="e">
        <f>Europe!F297+"n/&gt;!/HN"</f>
        <v>#VALUE!</v>
      </c>
      <c r="EL259" t="e">
        <f>Europe!G297+"n/&gt;!/HO"</f>
        <v>#VALUE!</v>
      </c>
      <c r="EM259" t="e">
        <f>Europe!H297+"n/&gt;!/HP"</f>
        <v>#VALUE!</v>
      </c>
      <c r="EN259" t="e">
        <f>Europe!I297+"n/&gt;!/HQ"</f>
        <v>#VALUE!</v>
      </c>
      <c r="EO259" t="e">
        <f>Europe!A298+"n/&gt;!/HR"</f>
        <v>#VALUE!</v>
      </c>
      <c r="EP259" t="e">
        <f>Europe!B298+"n/&gt;!/HS"</f>
        <v>#VALUE!</v>
      </c>
      <c r="EQ259" t="e">
        <f>Europe!C298+"n/&gt;!/HT"</f>
        <v>#VALUE!</v>
      </c>
      <c r="ER259" t="e">
        <f>Europe!D298+"n/&gt;!/HU"</f>
        <v>#VALUE!</v>
      </c>
      <c r="ES259" t="e">
        <f>Europe!E298+"n/&gt;!/HV"</f>
        <v>#VALUE!</v>
      </c>
      <c r="ET259" t="e">
        <f>Europe!F298+"n/&gt;!/HW"</f>
        <v>#VALUE!</v>
      </c>
      <c r="EU259" t="e">
        <f>Europe!G298+"n/&gt;!/HX"</f>
        <v>#VALUE!</v>
      </c>
      <c r="EV259" t="e">
        <f>Europe!H298+"n/&gt;!/HY"</f>
        <v>#VALUE!</v>
      </c>
      <c r="EW259" t="e">
        <f>Europe!I298+"n/&gt;!/HZ"</f>
        <v>#VALUE!</v>
      </c>
      <c r="EX259" t="e">
        <f>Europe!A299+"n/&gt;!/H["</f>
        <v>#VALUE!</v>
      </c>
      <c r="EY259" t="e">
        <f>Europe!B299+"n/&gt;!/H\"</f>
        <v>#VALUE!</v>
      </c>
      <c r="EZ259" t="e">
        <f>Europe!C299+"n/&gt;!/H]"</f>
        <v>#VALUE!</v>
      </c>
      <c r="FA259" t="e">
        <f>Europe!D299+"n/&gt;!/H^"</f>
        <v>#VALUE!</v>
      </c>
      <c r="FB259" t="e">
        <f>Europe!E299+"n/&gt;!/H_"</f>
        <v>#VALUE!</v>
      </c>
      <c r="FC259" t="e">
        <f>Europe!F299+"n/&gt;!/H`"</f>
        <v>#VALUE!</v>
      </c>
      <c r="FD259" t="e">
        <f>Europe!G299+"n/&gt;!/Ha"</f>
        <v>#VALUE!</v>
      </c>
      <c r="FE259" t="e">
        <f>Europe!H299+"n/&gt;!/Hb"</f>
        <v>#VALUE!</v>
      </c>
      <c r="FF259" t="e">
        <f>Europe!I299+"n/&gt;!/Hc"</f>
        <v>#VALUE!</v>
      </c>
      <c r="FG259" t="e">
        <f>Europe!A300+"n/&gt;!/Hd"</f>
        <v>#VALUE!</v>
      </c>
      <c r="FH259" t="e">
        <f>Europe!B300+"n/&gt;!/He"</f>
        <v>#VALUE!</v>
      </c>
      <c r="FI259" t="e">
        <f>Europe!C300+"n/&gt;!/Hf"</f>
        <v>#VALUE!</v>
      </c>
      <c r="FJ259" t="e">
        <f>Europe!D300+"n/&gt;!/Hg"</f>
        <v>#VALUE!</v>
      </c>
      <c r="FK259" t="e">
        <f>Europe!E300+"n/&gt;!/Hh"</f>
        <v>#VALUE!</v>
      </c>
      <c r="FL259" t="e">
        <f>Europe!F300+"n/&gt;!/Hi"</f>
        <v>#VALUE!</v>
      </c>
      <c r="FM259" t="e">
        <f>Europe!G300+"n/&gt;!/Hj"</f>
        <v>#VALUE!</v>
      </c>
      <c r="FN259" t="e">
        <f>Europe!H300+"n/&gt;!/Hk"</f>
        <v>#VALUE!</v>
      </c>
      <c r="FO259" t="e">
        <f>Europe!I300+"n/&gt;!/Hl"</f>
        <v>#VALUE!</v>
      </c>
      <c r="FP259" t="e">
        <f>Europe!A301+"n/&gt;!/Hm"</f>
        <v>#VALUE!</v>
      </c>
      <c r="FQ259" t="e">
        <f>Europe!B301+"n/&gt;!/Hn"</f>
        <v>#VALUE!</v>
      </c>
      <c r="FR259" t="e">
        <f>Europe!C301+"n/&gt;!/Ho"</f>
        <v>#VALUE!</v>
      </c>
      <c r="FS259" t="e">
        <f>Europe!D301+"n/&gt;!/Hp"</f>
        <v>#VALUE!</v>
      </c>
      <c r="FT259" t="e">
        <f>Europe!E301+"n/&gt;!/Hq"</f>
        <v>#VALUE!</v>
      </c>
      <c r="FU259" t="e">
        <f>Europe!F301+"n/&gt;!/Hr"</f>
        <v>#VALUE!</v>
      </c>
      <c r="FV259" t="e">
        <f>Europe!G301+"n/&gt;!/Hs"</f>
        <v>#VALUE!</v>
      </c>
      <c r="FW259" t="e">
        <f>Europe!H301+"n/&gt;!/Ht"</f>
        <v>#VALUE!</v>
      </c>
      <c r="FX259" t="e">
        <f>Europe!I301+"n/&gt;!/Hu"</f>
        <v>#VALUE!</v>
      </c>
      <c r="FY259" t="e">
        <f>Europe!A302+"n/&gt;!/Hv"</f>
        <v>#VALUE!</v>
      </c>
      <c r="FZ259" t="e">
        <f>Europe!B302+"n/&gt;!/Hw"</f>
        <v>#VALUE!</v>
      </c>
      <c r="GA259" t="e">
        <f>Europe!C302+"n/&gt;!/Hx"</f>
        <v>#VALUE!</v>
      </c>
      <c r="GB259" t="e">
        <f>Europe!D302+"n/&gt;!/Hy"</f>
        <v>#VALUE!</v>
      </c>
      <c r="GC259" t="e">
        <f>Europe!E302+"n/&gt;!/Hz"</f>
        <v>#VALUE!</v>
      </c>
      <c r="GD259" t="e">
        <f>Europe!F302+"n/&gt;!/H{"</f>
        <v>#VALUE!</v>
      </c>
      <c r="GE259" t="e">
        <f>Europe!G302+"n/&gt;!/H|"</f>
        <v>#VALUE!</v>
      </c>
      <c r="GF259" t="e">
        <f>Europe!H302+"n/&gt;!/H}"</f>
        <v>#VALUE!</v>
      </c>
      <c r="GG259" t="e">
        <f>Europe!I302+"n/&gt;!/H~"</f>
        <v>#VALUE!</v>
      </c>
      <c r="GH259" t="e">
        <f>Europe!A303+"n/&gt;!/I#"</f>
        <v>#VALUE!</v>
      </c>
      <c r="GI259" t="e">
        <f>Europe!B303+"n/&gt;!/I$"</f>
        <v>#VALUE!</v>
      </c>
      <c r="GJ259" t="e">
        <f>Europe!C303+"n/&gt;!/I%"</f>
        <v>#VALUE!</v>
      </c>
      <c r="GK259" t="e">
        <f>Europe!D303+"n/&gt;!/I&amp;"</f>
        <v>#VALUE!</v>
      </c>
      <c r="GL259" t="e">
        <f>Europe!E303+"n/&gt;!/I'"</f>
        <v>#VALUE!</v>
      </c>
      <c r="GM259" t="e">
        <f>Europe!F303+"n/&gt;!/I("</f>
        <v>#VALUE!</v>
      </c>
      <c r="GN259" t="e">
        <f>Europe!G303+"n/&gt;!/I)"</f>
        <v>#VALUE!</v>
      </c>
      <c r="GO259" t="e">
        <f>Europe!H303+"n/&gt;!/I."</f>
        <v>#VALUE!</v>
      </c>
      <c r="GP259" t="e">
        <f>Europe!I303+"n/&gt;!/I/"</f>
        <v>#VALUE!</v>
      </c>
      <c r="GQ259" t="e">
        <f>Europe!A304+"n/&gt;!/I0"</f>
        <v>#VALUE!</v>
      </c>
      <c r="GR259" t="e">
        <f>Europe!B304+"n/&gt;!/I1"</f>
        <v>#VALUE!</v>
      </c>
      <c r="GS259" t="e">
        <f>Europe!C304+"n/&gt;!/I2"</f>
        <v>#VALUE!</v>
      </c>
      <c r="GT259" t="e">
        <f>Europe!D304+"n/&gt;!/I3"</f>
        <v>#VALUE!</v>
      </c>
      <c r="GU259" t="e">
        <f>Europe!E304+"n/&gt;!/I4"</f>
        <v>#VALUE!</v>
      </c>
      <c r="GV259" t="e">
        <f>Europe!F304+"n/&gt;!/I5"</f>
        <v>#VALUE!</v>
      </c>
      <c r="GW259" t="e">
        <f>Europe!G304+"n/&gt;!/I6"</f>
        <v>#VALUE!</v>
      </c>
      <c r="GX259" t="e">
        <f>Europe!H304+"n/&gt;!/I7"</f>
        <v>#VALUE!</v>
      </c>
      <c r="GY259" t="e">
        <f>Europe!I304+"n/&gt;!/I8"</f>
        <v>#VALUE!</v>
      </c>
      <c r="GZ259" t="e">
        <f>Europe!A305+"n/&gt;!/I9"</f>
        <v>#VALUE!</v>
      </c>
      <c r="HA259" t="e">
        <f>Europe!B305+"n/&gt;!/I:"</f>
        <v>#VALUE!</v>
      </c>
      <c r="HB259" t="e">
        <f>Europe!C305+"n/&gt;!/I;"</f>
        <v>#VALUE!</v>
      </c>
      <c r="HC259" t="e">
        <f>Europe!D305+"n/&gt;!/I&lt;"</f>
        <v>#VALUE!</v>
      </c>
      <c r="HD259" t="e">
        <f>Europe!E305+"n/&gt;!/I="</f>
        <v>#VALUE!</v>
      </c>
      <c r="HE259" t="e">
        <f>Europe!F305+"n/&gt;!/I&gt;"</f>
        <v>#VALUE!</v>
      </c>
      <c r="HF259" t="e">
        <f>Europe!G305+"n/&gt;!/I?"</f>
        <v>#VALUE!</v>
      </c>
      <c r="HG259" t="e">
        <f>Europe!H305+"n/&gt;!/I@"</f>
        <v>#VALUE!</v>
      </c>
      <c r="HH259" t="e">
        <f>Europe!I305+"n/&gt;!/IA"</f>
        <v>#VALUE!</v>
      </c>
      <c r="HI259" t="e">
        <f>Europe!A306+"n/&gt;!/IB"</f>
        <v>#VALUE!</v>
      </c>
      <c r="HJ259" t="e">
        <f>Europe!B306+"n/&gt;!/IC"</f>
        <v>#VALUE!</v>
      </c>
      <c r="HK259" t="e">
        <f>Europe!C306+"n/&gt;!/ID"</f>
        <v>#VALUE!</v>
      </c>
      <c r="HL259" t="e">
        <f>Europe!D306+"n/&gt;!/IE"</f>
        <v>#VALUE!</v>
      </c>
      <c r="HM259" t="e">
        <f>Europe!E306+"n/&gt;!/IF"</f>
        <v>#VALUE!</v>
      </c>
      <c r="HN259" t="e">
        <f>Europe!F306+"n/&gt;!/IG"</f>
        <v>#VALUE!</v>
      </c>
      <c r="HO259" t="e">
        <f>Europe!G306+"n/&gt;!/IH"</f>
        <v>#VALUE!</v>
      </c>
      <c r="HP259" t="e">
        <f>Europe!H306+"n/&gt;!/II"</f>
        <v>#VALUE!</v>
      </c>
      <c r="HQ259" t="e">
        <f>Europe!I306+"n/&gt;!/IJ"</f>
        <v>#VALUE!</v>
      </c>
      <c r="HR259" t="e">
        <f>Europe!A307+"n/&gt;!/IK"</f>
        <v>#VALUE!</v>
      </c>
      <c r="HS259" t="e">
        <f>Europe!B307+"n/&gt;!/IL"</f>
        <v>#VALUE!</v>
      </c>
      <c r="HT259" t="e">
        <f>Europe!C307+"n/&gt;!/IM"</f>
        <v>#VALUE!</v>
      </c>
      <c r="HU259" t="e">
        <f>Europe!D307+"n/&gt;!/IN"</f>
        <v>#VALUE!</v>
      </c>
      <c r="HV259" t="e">
        <f>Europe!E307+"n/&gt;!/IO"</f>
        <v>#VALUE!</v>
      </c>
      <c r="HW259" t="e">
        <f>Europe!F307+"n/&gt;!/IP"</f>
        <v>#VALUE!</v>
      </c>
      <c r="HX259" t="e">
        <f>Europe!G307+"n/&gt;!/IQ"</f>
        <v>#VALUE!</v>
      </c>
      <c r="HY259" t="e">
        <f>Europe!H307+"n/&gt;!/IR"</f>
        <v>#VALUE!</v>
      </c>
      <c r="HZ259" t="e">
        <f>Europe!I307+"n/&gt;!/IS"</f>
        <v>#VALUE!</v>
      </c>
      <c r="IA259" t="e">
        <f>Europe!A308+"n/&gt;!/IT"</f>
        <v>#VALUE!</v>
      </c>
      <c r="IB259" t="e">
        <f>Europe!B308+"n/&gt;!/IU"</f>
        <v>#VALUE!</v>
      </c>
      <c r="IC259" t="e">
        <f>Europe!C308+"n/&gt;!/IV"</f>
        <v>#VALUE!</v>
      </c>
      <c r="ID259" t="e">
        <f>Europe!D308+"n/&gt;!/IW"</f>
        <v>#VALUE!</v>
      </c>
      <c r="IE259" t="e">
        <f>Europe!E308+"n/&gt;!/IX"</f>
        <v>#VALUE!</v>
      </c>
      <c r="IF259" t="e">
        <f>Europe!F308+"n/&gt;!/IY"</f>
        <v>#VALUE!</v>
      </c>
      <c r="IG259" t="e">
        <f>Europe!G308+"n/&gt;!/IZ"</f>
        <v>#VALUE!</v>
      </c>
      <c r="IH259" t="e">
        <f>Europe!H308+"n/&gt;!/I["</f>
        <v>#VALUE!</v>
      </c>
      <c r="II259" t="e">
        <f>Europe!I308+"n/&gt;!/I\"</f>
        <v>#VALUE!</v>
      </c>
      <c r="IJ259" t="e">
        <f>Europe!A309+"n/&gt;!/I]"</f>
        <v>#VALUE!</v>
      </c>
      <c r="IK259" t="e">
        <f>Europe!B309+"n/&gt;!/I^"</f>
        <v>#VALUE!</v>
      </c>
      <c r="IL259" t="e">
        <f>Europe!C309+"n/&gt;!/I_"</f>
        <v>#VALUE!</v>
      </c>
      <c r="IM259" t="e">
        <f>Europe!D309+"n/&gt;!/I`"</f>
        <v>#VALUE!</v>
      </c>
      <c r="IN259" t="e">
        <f>Europe!E309+"n/&gt;!/Ia"</f>
        <v>#VALUE!</v>
      </c>
      <c r="IO259" t="e">
        <f>Europe!F309+"n/&gt;!/Ib"</f>
        <v>#VALUE!</v>
      </c>
      <c r="IP259" t="e">
        <f>Europe!G309+"n/&gt;!/Ic"</f>
        <v>#VALUE!</v>
      </c>
      <c r="IQ259" t="e">
        <f>Europe!H309+"n/&gt;!/Id"</f>
        <v>#VALUE!</v>
      </c>
      <c r="IR259" t="e">
        <f>Europe!I309+"n/&gt;!/Ie"</f>
        <v>#VALUE!</v>
      </c>
      <c r="IS259" t="e">
        <f>Europe!A310+"n/&gt;!/If"</f>
        <v>#VALUE!</v>
      </c>
      <c r="IT259" t="e">
        <f>Europe!B310+"n/&gt;!/Ig"</f>
        <v>#VALUE!</v>
      </c>
      <c r="IU259" t="e">
        <f>Europe!C310+"n/&gt;!/Ih"</f>
        <v>#VALUE!</v>
      </c>
      <c r="IV259" t="e">
        <f>Europe!D310+"n/&gt;!/Ii"</f>
        <v>#VALUE!</v>
      </c>
    </row>
    <row r="260" spans="6:256" x14ac:dyDescent="0.35">
      <c r="F260" t="e">
        <f>Europe!E310+"n/&gt;!/Ij"</f>
        <v>#VALUE!</v>
      </c>
      <c r="G260" t="e">
        <f>Europe!F310+"n/&gt;!/Ik"</f>
        <v>#VALUE!</v>
      </c>
      <c r="H260" t="e">
        <f>Europe!G310+"n/&gt;!/Il"</f>
        <v>#VALUE!</v>
      </c>
      <c r="I260" t="e">
        <f>Europe!H310+"n/&gt;!/Im"</f>
        <v>#VALUE!</v>
      </c>
      <c r="J260" t="e">
        <f>Europe!I310+"n/&gt;!/In"</f>
        <v>#VALUE!</v>
      </c>
      <c r="K260" t="e">
        <f>Europe!A311+"n/&gt;!/Io"</f>
        <v>#VALUE!</v>
      </c>
      <c r="L260" t="e">
        <f>Europe!B311+"n/&gt;!/Ip"</f>
        <v>#VALUE!</v>
      </c>
      <c r="M260" t="e">
        <f>Europe!C311+"n/&gt;!/Iq"</f>
        <v>#VALUE!</v>
      </c>
      <c r="N260" t="e">
        <f>Europe!D311+"n/&gt;!/Ir"</f>
        <v>#VALUE!</v>
      </c>
      <c r="O260" t="e">
        <f>Europe!E311+"n/&gt;!/Is"</f>
        <v>#VALUE!</v>
      </c>
      <c r="P260" t="e">
        <f>Europe!F311+"n/&gt;!/It"</f>
        <v>#VALUE!</v>
      </c>
      <c r="Q260" t="e">
        <f>Europe!G311+"n/&gt;!/Iu"</f>
        <v>#VALUE!</v>
      </c>
      <c r="R260" t="e">
        <f>Europe!H311+"n/&gt;!/Iv"</f>
        <v>#VALUE!</v>
      </c>
      <c r="S260" t="e">
        <f>Europe!I311+"n/&gt;!/Iw"</f>
        <v>#VALUE!</v>
      </c>
      <c r="T260" t="e">
        <f>Europe!A312+"n/&gt;!/Ix"</f>
        <v>#VALUE!</v>
      </c>
      <c r="U260" t="e">
        <f>Europe!B312+"n/&gt;!/Iy"</f>
        <v>#VALUE!</v>
      </c>
      <c r="V260" t="e">
        <f>Europe!C312+"n/&gt;!/Iz"</f>
        <v>#VALUE!</v>
      </c>
      <c r="W260" t="e">
        <f>Europe!D312+"n/&gt;!/I{"</f>
        <v>#VALUE!</v>
      </c>
      <c r="X260" t="e">
        <f>Europe!E312+"n/&gt;!/I|"</f>
        <v>#VALUE!</v>
      </c>
      <c r="Y260" t="e">
        <f>Europe!F312+"n/&gt;!/I}"</f>
        <v>#VALUE!</v>
      </c>
      <c r="Z260" t="e">
        <f>Europe!G312+"n/&gt;!/I~"</f>
        <v>#VALUE!</v>
      </c>
      <c r="AA260" t="e">
        <f>Europe!H312+"n/&gt;!/J#"</f>
        <v>#VALUE!</v>
      </c>
      <c r="AB260" t="e">
        <f>Europe!I312+"n/&gt;!/J$"</f>
        <v>#VALUE!</v>
      </c>
      <c r="AC260" t="e">
        <f>Europe!A313+"n/&gt;!/J%"</f>
        <v>#VALUE!</v>
      </c>
      <c r="AD260" t="e">
        <f>Europe!B313+"n/&gt;!/J&amp;"</f>
        <v>#VALUE!</v>
      </c>
      <c r="AE260" t="e">
        <f>Europe!C313+"n/&gt;!/J'"</f>
        <v>#VALUE!</v>
      </c>
      <c r="AF260" t="e">
        <f>Europe!D313+"n/&gt;!/J("</f>
        <v>#VALUE!</v>
      </c>
      <c r="AG260" t="e">
        <f>Europe!E313+"n/&gt;!/J)"</f>
        <v>#VALUE!</v>
      </c>
      <c r="AH260" t="e">
        <f>Europe!F313+"n/&gt;!/J."</f>
        <v>#VALUE!</v>
      </c>
      <c r="AI260" t="e">
        <f>Europe!G313+"n/&gt;!/J/"</f>
        <v>#VALUE!</v>
      </c>
      <c r="AJ260" t="e">
        <f>Europe!H313+"n/&gt;!/J0"</f>
        <v>#VALUE!</v>
      </c>
      <c r="AK260" t="e">
        <f>Europe!I313+"n/&gt;!/J1"</f>
        <v>#VALUE!</v>
      </c>
      <c r="AL260" t="e">
        <f>Europe!A314+"n/&gt;!/J2"</f>
        <v>#VALUE!</v>
      </c>
      <c r="AM260" t="e">
        <f>Europe!B314+"n/&gt;!/J3"</f>
        <v>#VALUE!</v>
      </c>
      <c r="AN260" t="e">
        <f>Europe!C314+"n/&gt;!/J4"</f>
        <v>#VALUE!</v>
      </c>
      <c r="AO260" t="e">
        <f>Europe!D314+"n/&gt;!/J5"</f>
        <v>#VALUE!</v>
      </c>
      <c r="AP260" t="e">
        <f>Europe!E314+"n/&gt;!/J6"</f>
        <v>#VALUE!</v>
      </c>
      <c r="AQ260" t="e">
        <f>Europe!F314+"n/&gt;!/J7"</f>
        <v>#VALUE!</v>
      </c>
      <c r="AR260" t="e">
        <f>Europe!G314+"n/&gt;!/J8"</f>
        <v>#VALUE!</v>
      </c>
      <c r="AS260" t="e">
        <f>Europe!H314+"n/&gt;!/J9"</f>
        <v>#VALUE!</v>
      </c>
      <c r="AT260" t="e">
        <f>Europe!I314+"n/&gt;!/J:"</f>
        <v>#VALUE!</v>
      </c>
      <c r="AU260" t="e">
        <f>Europe!A315+"n/&gt;!/J;"</f>
        <v>#VALUE!</v>
      </c>
      <c r="AV260" t="e">
        <f>Europe!B315+"n/&gt;!/J&lt;"</f>
        <v>#VALUE!</v>
      </c>
      <c r="AW260" t="e">
        <f>Europe!C315+"n/&gt;!/J="</f>
        <v>#VALUE!</v>
      </c>
      <c r="AX260" t="e">
        <f>Europe!D315+"n/&gt;!/J&gt;"</f>
        <v>#VALUE!</v>
      </c>
      <c r="AY260" t="e">
        <f>Europe!E315+"n/&gt;!/J?"</f>
        <v>#VALUE!</v>
      </c>
      <c r="AZ260" t="e">
        <f>Europe!F315+"n/&gt;!/J@"</f>
        <v>#VALUE!</v>
      </c>
      <c r="BA260" t="e">
        <f>Europe!G315+"n/&gt;!/JA"</f>
        <v>#VALUE!</v>
      </c>
      <c r="BB260" t="e">
        <f>Europe!H315+"n/&gt;!/JB"</f>
        <v>#VALUE!</v>
      </c>
      <c r="BC260" t="e">
        <f>Europe!I315+"n/&gt;!/JC"</f>
        <v>#VALUE!</v>
      </c>
      <c r="BD260" t="e">
        <f>Europe!A316+"n/&gt;!/JD"</f>
        <v>#VALUE!</v>
      </c>
      <c r="BE260" t="e">
        <f>Europe!B316+"n/&gt;!/JE"</f>
        <v>#VALUE!</v>
      </c>
      <c r="BF260" t="e">
        <f>Europe!C316+"n/&gt;!/JF"</f>
        <v>#VALUE!</v>
      </c>
      <c r="BG260" t="e">
        <f>Europe!D316+"n/&gt;!/JG"</f>
        <v>#VALUE!</v>
      </c>
      <c r="BH260" t="e">
        <f>Europe!E316+"n/&gt;!/JH"</f>
        <v>#VALUE!</v>
      </c>
      <c r="BI260" t="e">
        <f>Europe!F316+"n/&gt;!/JI"</f>
        <v>#VALUE!</v>
      </c>
      <c r="BJ260" t="e">
        <f>Europe!G316+"n/&gt;!/JJ"</f>
        <v>#VALUE!</v>
      </c>
      <c r="BK260" t="e">
        <f>Europe!H316+"n/&gt;!/JK"</f>
        <v>#VALUE!</v>
      </c>
      <c r="BL260" t="e">
        <f>Europe!I316+"n/&gt;!/JL"</f>
        <v>#VALUE!</v>
      </c>
      <c r="BM260" t="e">
        <f>Europe!A317+"n/&gt;!/JM"</f>
        <v>#VALUE!</v>
      </c>
      <c r="BN260" t="e">
        <f>Europe!B317+"n/&gt;!/JN"</f>
        <v>#VALUE!</v>
      </c>
      <c r="BO260" t="e">
        <f>Europe!C317+"n/&gt;!/JO"</f>
        <v>#VALUE!</v>
      </c>
      <c r="BP260" t="e">
        <f>Europe!D317+"n/&gt;!/JP"</f>
        <v>#VALUE!</v>
      </c>
      <c r="BQ260" t="e">
        <f>Europe!E317+"n/&gt;!/JQ"</f>
        <v>#VALUE!</v>
      </c>
      <c r="BR260" t="e">
        <f>Europe!F317+"n/&gt;!/JR"</f>
        <v>#VALUE!</v>
      </c>
      <c r="BS260" t="e">
        <f>Europe!G317+"n/&gt;!/JS"</f>
        <v>#VALUE!</v>
      </c>
      <c r="BT260" t="e">
        <f>Europe!H317+"n/&gt;!/JT"</f>
        <v>#VALUE!</v>
      </c>
      <c r="BU260" t="e">
        <f>Europe!I317+"n/&gt;!/JU"</f>
        <v>#VALUE!</v>
      </c>
      <c r="BV260" t="e">
        <f>Europe!A318+"n/&gt;!/JV"</f>
        <v>#VALUE!</v>
      </c>
      <c r="BW260" t="e">
        <f>Europe!B318+"n/&gt;!/JW"</f>
        <v>#VALUE!</v>
      </c>
      <c r="BX260" t="e">
        <f>Europe!C318+"n/&gt;!/JX"</f>
        <v>#VALUE!</v>
      </c>
      <c r="BY260" t="e">
        <f>Europe!D318+"n/&gt;!/JY"</f>
        <v>#VALUE!</v>
      </c>
      <c r="BZ260" t="e">
        <f>Europe!E318+"n/&gt;!/JZ"</f>
        <v>#VALUE!</v>
      </c>
      <c r="CA260" t="e">
        <f>Europe!F318+"n/&gt;!/J["</f>
        <v>#VALUE!</v>
      </c>
      <c r="CB260" t="e">
        <f>Europe!G318+"n/&gt;!/J\"</f>
        <v>#VALUE!</v>
      </c>
      <c r="CC260" t="e">
        <f>Europe!H318+"n/&gt;!/J]"</f>
        <v>#VALUE!</v>
      </c>
      <c r="CD260" t="e">
        <f>Europe!I318+"n/&gt;!/J^"</f>
        <v>#VALUE!</v>
      </c>
      <c r="CE260" t="e">
        <f>Europe!A319+"n/&gt;!/J_"</f>
        <v>#VALUE!</v>
      </c>
      <c r="CF260" t="e">
        <f>Europe!B319+"n/&gt;!/J`"</f>
        <v>#VALUE!</v>
      </c>
      <c r="CG260" t="e">
        <f>Europe!C319+"n/&gt;!/Ja"</f>
        <v>#VALUE!</v>
      </c>
      <c r="CH260" t="e">
        <f>Europe!D319+"n/&gt;!/Jb"</f>
        <v>#VALUE!</v>
      </c>
      <c r="CI260" t="e">
        <f>Europe!E319+"n/&gt;!/Jc"</f>
        <v>#VALUE!</v>
      </c>
      <c r="CJ260" t="e">
        <f>Europe!F319+"n/&gt;!/Jd"</f>
        <v>#VALUE!</v>
      </c>
      <c r="CK260" t="e">
        <f>Europe!G319+"n/&gt;!/Je"</f>
        <v>#VALUE!</v>
      </c>
      <c r="CL260" t="e">
        <f>Europe!H319+"n/&gt;!/Jf"</f>
        <v>#VALUE!</v>
      </c>
      <c r="CM260" t="e">
        <f>Europe!I319+"n/&gt;!/Jg"</f>
        <v>#VALUE!</v>
      </c>
      <c r="CN260" t="e">
        <f>Europe!A320+"n/&gt;!/Jh"</f>
        <v>#VALUE!</v>
      </c>
      <c r="CO260" t="e">
        <f>Europe!B320+"n/&gt;!/Ji"</f>
        <v>#VALUE!</v>
      </c>
      <c r="CP260" t="e">
        <f>Europe!C320+"n/&gt;!/Jj"</f>
        <v>#VALUE!</v>
      </c>
      <c r="CQ260" t="e">
        <f>Europe!D320+"n/&gt;!/Jk"</f>
        <v>#VALUE!</v>
      </c>
      <c r="CR260" t="e">
        <f>Europe!E320+"n/&gt;!/Jl"</f>
        <v>#VALUE!</v>
      </c>
      <c r="CS260" t="e">
        <f>Europe!F320+"n/&gt;!/Jm"</f>
        <v>#VALUE!</v>
      </c>
      <c r="CT260" t="e">
        <f>Europe!G320+"n/&gt;!/Jn"</f>
        <v>#VALUE!</v>
      </c>
      <c r="CU260" t="e">
        <f>Europe!H320+"n/&gt;!/Jo"</f>
        <v>#VALUE!</v>
      </c>
      <c r="CV260" t="e">
        <f>Europe!I320+"n/&gt;!/Jp"</f>
        <v>#VALUE!</v>
      </c>
      <c r="CW260" t="e">
        <f>Europe!A321+"n/&gt;!/Jq"</f>
        <v>#VALUE!</v>
      </c>
      <c r="CX260" t="e">
        <f>Europe!B321+"n/&gt;!/Jr"</f>
        <v>#VALUE!</v>
      </c>
      <c r="CY260" t="e">
        <f>Europe!C321+"n/&gt;!/Js"</f>
        <v>#VALUE!</v>
      </c>
      <c r="CZ260" t="e">
        <f>Europe!D321+"n/&gt;!/Jt"</f>
        <v>#VALUE!</v>
      </c>
      <c r="DA260" t="e">
        <f>Europe!E321+"n/&gt;!/Ju"</f>
        <v>#VALUE!</v>
      </c>
      <c r="DB260" t="e">
        <f>Europe!F321+"n/&gt;!/Jv"</f>
        <v>#VALUE!</v>
      </c>
      <c r="DC260" t="e">
        <f>Europe!G321+"n/&gt;!/Jw"</f>
        <v>#VALUE!</v>
      </c>
      <c r="DD260" t="e">
        <f>Europe!H321+"n/&gt;!/Jx"</f>
        <v>#VALUE!</v>
      </c>
      <c r="DE260" t="e">
        <f>Europe!I321+"n/&gt;!/Jy"</f>
        <v>#VALUE!</v>
      </c>
      <c r="DF260" t="e">
        <f>Europe!A322+"n/&gt;!/Jz"</f>
        <v>#VALUE!</v>
      </c>
      <c r="DG260" t="e">
        <f>Europe!B322+"n/&gt;!/J{"</f>
        <v>#VALUE!</v>
      </c>
      <c r="DH260" t="e">
        <f>Europe!C322+"n/&gt;!/J|"</f>
        <v>#VALUE!</v>
      </c>
      <c r="DI260" t="e">
        <f>Europe!D322+"n/&gt;!/J}"</f>
        <v>#VALUE!</v>
      </c>
      <c r="DJ260" t="e">
        <f>Europe!E322+"n/&gt;!/J~"</f>
        <v>#VALUE!</v>
      </c>
      <c r="DK260" t="e">
        <f>Europe!F322+"n/&gt;!/K#"</f>
        <v>#VALUE!</v>
      </c>
      <c r="DL260" t="e">
        <f>Europe!G322+"n/&gt;!/K$"</f>
        <v>#VALUE!</v>
      </c>
      <c r="DM260" t="e">
        <f>Europe!H322+"n/&gt;!/K%"</f>
        <v>#VALUE!</v>
      </c>
      <c r="DN260" t="e">
        <f>Europe!I322+"n/&gt;!/K&amp;"</f>
        <v>#VALUE!</v>
      </c>
      <c r="DO260" t="e">
        <f>Europe!A323+"n/&gt;!/K'"</f>
        <v>#VALUE!</v>
      </c>
      <c r="DP260" t="e">
        <f>Europe!B323+"n/&gt;!/K("</f>
        <v>#VALUE!</v>
      </c>
      <c r="DQ260" t="e">
        <f>Europe!C323+"n/&gt;!/K)"</f>
        <v>#VALUE!</v>
      </c>
      <c r="DR260" t="e">
        <f>Europe!D323+"n/&gt;!/K."</f>
        <v>#VALUE!</v>
      </c>
      <c r="DS260" t="e">
        <f>Europe!E323+"n/&gt;!/K/"</f>
        <v>#VALUE!</v>
      </c>
      <c r="DT260" t="e">
        <f>Europe!F323+"n/&gt;!/K0"</f>
        <v>#VALUE!</v>
      </c>
      <c r="DU260" t="e">
        <f>Europe!G323+"n/&gt;!/K1"</f>
        <v>#VALUE!</v>
      </c>
      <c r="DV260" t="e">
        <f>Europe!H323+"n/&gt;!/K2"</f>
        <v>#VALUE!</v>
      </c>
      <c r="DW260" t="e">
        <f>Europe!I323+"n/&gt;!/K3"</f>
        <v>#VALUE!</v>
      </c>
      <c r="DX260" t="e">
        <f>Europe!A324+"n/&gt;!/K4"</f>
        <v>#VALUE!</v>
      </c>
      <c r="DY260" t="e">
        <f>Europe!B324+"n/&gt;!/K5"</f>
        <v>#VALUE!</v>
      </c>
      <c r="DZ260" t="e">
        <f>Europe!C324+"n/&gt;!/K6"</f>
        <v>#VALUE!</v>
      </c>
      <c r="EA260" t="e">
        <f>Europe!D324+"n/&gt;!/K7"</f>
        <v>#VALUE!</v>
      </c>
      <c r="EB260" t="e">
        <f>Europe!E324+"n/&gt;!/K8"</f>
        <v>#VALUE!</v>
      </c>
      <c r="EC260" t="e">
        <f>Europe!F324+"n/&gt;!/K9"</f>
        <v>#VALUE!</v>
      </c>
      <c r="ED260" t="e">
        <f>Europe!G324+"n/&gt;!/K:"</f>
        <v>#VALUE!</v>
      </c>
      <c r="EE260" t="e">
        <f>Europe!H324+"n/&gt;!/K;"</f>
        <v>#VALUE!</v>
      </c>
      <c r="EF260" t="e">
        <f>Europe!I324+"n/&gt;!/K&lt;"</f>
        <v>#VALUE!</v>
      </c>
      <c r="EG260" t="e">
        <f>Europe!A325+"n/&gt;!/K="</f>
        <v>#VALUE!</v>
      </c>
      <c r="EH260" t="e">
        <f>Europe!B325+"n/&gt;!/K&gt;"</f>
        <v>#VALUE!</v>
      </c>
      <c r="EI260" t="e">
        <f>Europe!C325+"n/&gt;!/K?"</f>
        <v>#VALUE!</v>
      </c>
      <c r="EJ260" t="e">
        <f>Europe!D325+"n/&gt;!/K@"</f>
        <v>#VALUE!</v>
      </c>
      <c r="EK260" t="e">
        <f>Europe!E325+"n/&gt;!/KA"</f>
        <v>#VALUE!</v>
      </c>
      <c r="EL260" t="e">
        <f>Europe!F325+"n/&gt;!/KB"</f>
        <v>#VALUE!</v>
      </c>
      <c r="EM260" t="e">
        <f>Europe!G325+"n/&gt;!/KC"</f>
        <v>#VALUE!</v>
      </c>
      <c r="EN260" t="e">
        <f>Europe!H325+"n/&gt;!/KD"</f>
        <v>#VALUE!</v>
      </c>
      <c r="EO260" t="e">
        <f>Europe!I325+"n/&gt;!/KE"</f>
        <v>#VALUE!</v>
      </c>
      <c r="EP260" t="e">
        <f>Europe!A326+"n/&gt;!/KF"</f>
        <v>#VALUE!</v>
      </c>
      <c r="EQ260" t="e">
        <f>Europe!B326+"n/&gt;!/KG"</f>
        <v>#VALUE!</v>
      </c>
      <c r="ER260" t="e">
        <f>Europe!C326+"n/&gt;!/KH"</f>
        <v>#VALUE!</v>
      </c>
      <c r="ES260" t="e">
        <f>Europe!D326+"n/&gt;!/KI"</f>
        <v>#VALUE!</v>
      </c>
      <c r="ET260" t="e">
        <f>Europe!E326+"n/&gt;!/KJ"</f>
        <v>#VALUE!</v>
      </c>
      <c r="EU260" t="e">
        <f>Europe!F326+"n/&gt;!/KK"</f>
        <v>#VALUE!</v>
      </c>
      <c r="EV260" t="e">
        <f>Europe!G326+"n/&gt;!/KL"</f>
        <v>#VALUE!</v>
      </c>
      <c r="EW260" t="e">
        <f>Europe!H326+"n/&gt;!/KM"</f>
        <v>#VALUE!</v>
      </c>
      <c r="EX260" t="e">
        <f>Europe!I326+"n/&gt;!/KN"</f>
        <v>#VALUE!</v>
      </c>
      <c r="EY260" t="e">
        <f>Europe!A327+"n/&gt;!/KO"</f>
        <v>#VALUE!</v>
      </c>
      <c r="EZ260" t="e">
        <f>Europe!B327+"n/&gt;!/KP"</f>
        <v>#VALUE!</v>
      </c>
      <c r="FA260" t="e">
        <f>Europe!C327+"n/&gt;!/KQ"</f>
        <v>#VALUE!</v>
      </c>
      <c r="FB260" t="e">
        <f>Europe!D327+"n/&gt;!/KR"</f>
        <v>#VALUE!</v>
      </c>
      <c r="FC260" t="e">
        <f>Europe!E327+"n/&gt;!/KS"</f>
        <v>#VALUE!</v>
      </c>
      <c r="FD260" t="e">
        <f>Europe!F327+"n/&gt;!/KT"</f>
        <v>#VALUE!</v>
      </c>
      <c r="FE260" t="e">
        <f>Europe!G327+"n/&gt;!/KU"</f>
        <v>#VALUE!</v>
      </c>
      <c r="FF260" t="e">
        <f>Europe!H327+"n/&gt;!/KV"</f>
        <v>#VALUE!</v>
      </c>
      <c r="FG260" t="e">
        <f>Europe!I327+"n/&gt;!/KW"</f>
        <v>#VALUE!</v>
      </c>
      <c r="FH260" t="e">
        <f>Europe!A328+"n/&gt;!/KX"</f>
        <v>#VALUE!</v>
      </c>
      <c r="FI260" t="e">
        <f>Europe!B328+"n/&gt;!/KY"</f>
        <v>#VALUE!</v>
      </c>
      <c r="FJ260" t="e">
        <f>Europe!C328+"n/&gt;!/KZ"</f>
        <v>#VALUE!</v>
      </c>
      <c r="FK260" t="e">
        <f>Europe!D328+"n/&gt;!/K["</f>
        <v>#VALUE!</v>
      </c>
      <c r="FL260" t="e">
        <f>Europe!E328+"n/&gt;!/K\"</f>
        <v>#VALUE!</v>
      </c>
      <c r="FM260" t="e">
        <f>Europe!F328+"n/&gt;!/K]"</f>
        <v>#VALUE!</v>
      </c>
      <c r="FN260" t="e">
        <f>Europe!G328+"n/&gt;!/K^"</f>
        <v>#VALUE!</v>
      </c>
      <c r="FO260" t="e">
        <f>Europe!H328+"n/&gt;!/K_"</f>
        <v>#VALUE!</v>
      </c>
      <c r="FP260" t="e">
        <f>Europe!I328+"n/&gt;!/K`"</f>
        <v>#VALUE!</v>
      </c>
      <c r="FQ260" t="e">
        <f>Europe!A329+"n/&gt;!/Ka"</f>
        <v>#VALUE!</v>
      </c>
      <c r="FR260" t="e">
        <f>Europe!B329+"n/&gt;!/Kb"</f>
        <v>#VALUE!</v>
      </c>
      <c r="FS260" t="e">
        <f>Europe!C329+"n/&gt;!/Kc"</f>
        <v>#VALUE!</v>
      </c>
      <c r="FT260" t="e">
        <f>Europe!D329+"n/&gt;!/Kd"</f>
        <v>#VALUE!</v>
      </c>
      <c r="FU260" t="e">
        <f>Europe!E329+"n/&gt;!/Ke"</f>
        <v>#VALUE!</v>
      </c>
      <c r="FV260" t="e">
        <f>Europe!F329+"n/&gt;!/Kf"</f>
        <v>#VALUE!</v>
      </c>
      <c r="FW260" t="e">
        <f>Europe!G329+"n/&gt;!/Kg"</f>
        <v>#VALUE!</v>
      </c>
      <c r="FX260" t="e">
        <f>Europe!H329+"n/&gt;!/Kh"</f>
        <v>#VALUE!</v>
      </c>
      <c r="FY260" t="e">
        <f>Europe!I329+"n/&gt;!/Ki"</f>
        <v>#VALUE!</v>
      </c>
      <c r="FZ260" t="e">
        <f>Europe!A330+"n/&gt;!/Kj"</f>
        <v>#VALUE!</v>
      </c>
      <c r="GA260" t="e">
        <f>Europe!B330+"n/&gt;!/Kk"</f>
        <v>#VALUE!</v>
      </c>
      <c r="GB260" t="e">
        <f>Europe!C330+"n/&gt;!/Kl"</f>
        <v>#VALUE!</v>
      </c>
      <c r="GC260" t="e">
        <f>Europe!D330+"n/&gt;!/Km"</f>
        <v>#VALUE!</v>
      </c>
      <c r="GD260" t="e">
        <f>Europe!E330+"n/&gt;!/Kn"</f>
        <v>#VALUE!</v>
      </c>
      <c r="GE260" t="e">
        <f>Europe!F330+"n/&gt;!/Ko"</f>
        <v>#VALUE!</v>
      </c>
      <c r="GF260" t="e">
        <f>Europe!G330+"n/&gt;!/Kp"</f>
        <v>#VALUE!</v>
      </c>
      <c r="GG260" t="e">
        <f>Europe!H330+"n/&gt;!/Kq"</f>
        <v>#VALUE!</v>
      </c>
      <c r="GH260" t="e">
        <f>Europe!I330+"n/&gt;!/Kr"</f>
        <v>#VALUE!</v>
      </c>
      <c r="GI260" t="e">
        <f>Europe!A331+"n/&gt;!/Ks"</f>
        <v>#VALUE!</v>
      </c>
      <c r="GJ260" t="e">
        <f>Europe!B331+"n/&gt;!/Kt"</f>
        <v>#VALUE!</v>
      </c>
      <c r="GK260" t="e">
        <f>Europe!C331+"n/&gt;!/Ku"</f>
        <v>#VALUE!</v>
      </c>
      <c r="GL260" t="e">
        <f>Europe!D331+"n/&gt;!/Kv"</f>
        <v>#VALUE!</v>
      </c>
      <c r="GM260" t="e">
        <f>Europe!E331+"n/&gt;!/Kw"</f>
        <v>#VALUE!</v>
      </c>
      <c r="GN260" t="e">
        <f>Europe!F331+"n/&gt;!/Kx"</f>
        <v>#VALUE!</v>
      </c>
      <c r="GO260" t="e">
        <f>Europe!G331+"n/&gt;!/Ky"</f>
        <v>#VALUE!</v>
      </c>
      <c r="GP260" t="e">
        <f>Europe!H331+"n/&gt;!/Kz"</f>
        <v>#VALUE!</v>
      </c>
      <c r="GQ260" t="e">
        <f>Europe!I331+"n/&gt;!/K{"</f>
        <v>#VALUE!</v>
      </c>
      <c r="GR260" t="e">
        <f>Europe!A332+"n/&gt;!/K|"</f>
        <v>#VALUE!</v>
      </c>
      <c r="GS260" t="e">
        <f>Europe!B332+"n/&gt;!/K}"</f>
        <v>#VALUE!</v>
      </c>
      <c r="GT260" t="e">
        <f>Europe!C332+"n/&gt;!/K~"</f>
        <v>#VALUE!</v>
      </c>
      <c r="GU260" t="e">
        <f>Europe!D332+"n/&gt;!/L#"</f>
        <v>#VALUE!</v>
      </c>
      <c r="GV260" t="e">
        <f>Europe!E332+"n/&gt;!/L$"</f>
        <v>#VALUE!</v>
      </c>
      <c r="GW260" t="e">
        <f>Europe!F332+"n/&gt;!/L%"</f>
        <v>#VALUE!</v>
      </c>
      <c r="GX260" t="e">
        <f>Europe!G332+"n/&gt;!/L&amp;"</f>
        <v>#VALUE!</v>
      </c>
      <c r="GY260" t="e">
        <f>Europe!H332+"n/&gt;!/L'"</f>
        <v>#VALUE!</v>
      </c>
      <c r="GZ260" t="e">
        <f>Europe!I332+"n/&gt;!/L("</f>
        <v>#VALUE!</v>
      </c>
      <c r="HA260" t="e">
        <f>Europe!A333+"n/&gt;!/L)"</f>
        <v>#VALUE!</v>
      </c>
      <c r="HB260" t="e">
        <f>Europe!B333+"n/&gt;!/L."</f>
        <v>#VALUE!</v>
      </c>
      <c r="HC260" t="e">
        <f>Europe!C333+"n/&gt;!/L/"</f>
        <v>#VALUE!</v>
      </c>
      <c r="HD260" t="e">
        <f>Europe!D333+"n/&gt;!/L0"</f>
        <v>#VALUE!</v>
      </c>
      <c r="HE260" t="e">
        <f>Europe!E333+"n/&gt;!/L1"</f>
        <v>#VALUE!</v>
      </c>
      <c r="HF260" t="e">
        <f>Europe!F333+"n/&gt;!/L2"</f>
        <v>#VALUE!</v>
      </c>
      <c r="HG260" t="e">
        <f>Europe!G333+"n/&gt;!/L3"</f>
        <v>#VALUE!</v>
      </c>
      <c r="HH260" t="e">
        <f>Europe!H333+"n/&gt;!/L4"</f>
        <v>#VALUE!</v>
      </c>
      <c r="HI260" t="e">
        <f>Europe!I333+"n/&gt;!/L5"</f>
        <v>#VALUE!</v>
      </c>
      <c r="HJ260" t="e">
        <f>Europe!A334+"n/&gt;!/L6"</f>
        <v>#VALUE!</v>
      </c>
      <c r="HK260" t="e">
        <f>Europe!B334+"n/&gt;!/L7"</f>
        <v>#VALUE!</v>
      </c>
      <c r="HL260" t="e">
        <f>Europe!C334+"n/&gt;!/L8"</f>
        <v>#VALUE!</v>
      </c>
      <c r="HM260" t="e">
        <f>Europe!D334+"n/&gt;!/L9"</f>
        <v>#VALUE!</v>
      </c>
      <c r="HN260" t="e">
        <f>Europe!E334+"n/&gt;!/L:"</f>
        <v>#VALUE!</v>
      </c>
      <c r="HO260" t="e">
        <f>Europe!F334+"n/&gt;!/L;"</f>
        <v>#VALUE!</v>
      </c>
      <c r="HP260" t="e">
        <f>Europe!G334+"n/&gt;!/L&lt;"</f>
        <v>#VALUE!</v>
      </c>
      <c r="HQ260" t="e">
        <f>Europe!H334+"n/&gt;!/L="</f>
        <v>#VALUE!</v>
      </c>
      <c r="HR260" t="e">
        <f>Europe!I334+"n/&gt;!/L&gt;"</f>
        <v>#VALUE!</v>
      </c>
      <c r="HS260" t="e">
        <f>Europe!A335+"n/&gt;!/L?"</f>
        <v>#VALUE!</v>
      </c>
      <c r="HT260" t="e">
        <f>Europe!B335+"n/&gt;!/L@"</f>
        <v>#VALUE!</v>
      </c>
      <c r="HU260" t="e">
        <f>Europe!C335+"n/&gt;!/LA"</f>
        <v>#VALUE!</v>
      </c>
      <c r="HV260" t="e">
        <f>Europe!D335+"n/&gt;!/LB"</f>
        <v>#VALUE!</v>
      </c>
      <c r="HW260" t="e">
        <f>Europe!E335+"n/&gt;!/LC"</f>
        <v>#VALUE!</v>
      </c>
      <c r="HX260" t="e">
        <f>Europe!F335+"n/&gt;!/LD"</f>
        <v>#VALUE!</v>
      </c>
      <c r="HY260" t="e">
        <f>Europe!G335+"n/&gt;!/LE"</f>
        <v>#VALUE!</v>
      </c>
      <c r="HZ260" t="e">
        <f>Europe!H335+"n/&gt;!/LF"</f>
        <v>#VALUE!</v>
      </c>
      <c r="IA260" t="e">
        <f>Europe!I335+"n/&gt;!/LG"</f>
        <v>#VALUE!</v>
      </c>
      <c r="IB260" t="e">
        <f>Europe!A336+"n/&gt;!/LH"</f>
        <v>#VALUE!</v>
      </c>
      <c r="IC260" t="e">
        <f>Europe!B336+"n/&gt;!/LI"</f>
        <v>#VALUE!</v>
      </c>
      <c r="ID260" t="e">
        <f>Europe!C336+"n/&gt;!/LJ"</f>
        <v>#VALUE!</v>
      </c>
      <c r="IE260" t="e">
        <f>Europe!D336+"n/&gt;!/LK"</f>
        <v>#VALUE!</v>
      </c>
      <c r="IF260" t="e">
        <f>Europe!E336+"n/&gt;!/LL"</f>
        <v>#VALUE!</v>
      </c>
      <c r="IG260" t="e">
        <f>Europe!F336+"n/&gt;!/LM"</f>
        <v>#VALUE!</v>
      </c>
      <c r="IH260" t="e">
        <f>Europe!G336+"n/&gt;!/LN"</f>
        <v>#VALUE!</v>
      </c>
      <c r="II260" t="e">
        <f>Europe!H336+"n/&gt;!/LO"</f>
        <v>#VALUE!</v>
      </c>
      <c r="IJ260" t="e">
        <f>Europe!I336+"n/&gt;!/LP"</f>
        <v>#VALUE!</v>
      </c>
      <c r="IK260" t="e">
        <f>Europe!A337+"n/&gt;!/LQ"</f>
        <v>#VALUE!</v>
      </c>
      <c r="IL260" t="e">
        <f>Europe!B337+"n/&gt;!/LR"</f>
        <v>#VALUE!</v>
      </c>
      <c r="IM260" t="e">
        <f>Europe!C337+"n/&gt;!/LS"</f>
        <v>#VALUE!</v>
      </c>
      <c r="IN260" t="e">
        <f>Europe!D337+"n/&gt;!/LT"</f>
        <v>#VALUE!</v>
      </c>
      <c r="IO260" t="e">
        <f>Europe!E337+"n/&gt;!/LU"</f>
        <v>#VALUE!</v>
      </c>
      <c r="IP260" t="e">
        <f>Europe!F337+"n/&gt;!/LV"</f>
        <v>#VALUE!</v>
      </c>
      <c r="IQ260" t="e">
        <f>Europe!G337+"n/&gt;!/LW"</f>
        <v>#VALUE!</v>
      </c>
      <c r="IR260" t="e">
        <f>Europe!H337+"n/&gt;!/LX"</f>
        <v>#VALUE!</v>
      </c>
      <c r="IS260" t="e">
        <f>Europe!I337+"n/&gt;!/LY"</f>
        <v>#VALUE!</v>
      </c>
      <c r="IT260" t="e">
        <f>Europe!A338+"n/&gt;!/LZ"</f>
        <v>#VALUE!</v>
      </c>
      <c r="IU260" t="e">
        <f>Europe!B338+"n/&gt;!/L["</f>
        <v>#VALUE!</v>
      </c>
      <c r="IV260" t="e">
        <f>Europe!C338+"n/&gt;!/L\"</f>
        <v>#VALUE!</v>
      </c>
    </row>
    <row r="261" spans="6:256" x14ac:dyDescent="0.35">
      <c r="F261" t="e">
        <f>Europe!D338+"n/&gt;!/L]"</f>
        <v>#VALUE!</v>
      </c>
      <c r="G261" t="e">
        <f>Europe!E338+"n/&gt;!/L^"</f>
        <v>#VALUE!</v>
      </c>
      <c r="H261" t="e">
        <f>Europe!F338+"n/&gt;!/L_"</f>
        <v>#VALUE!</v>
      </c>
      <c r="I261" t="e">
        <f>Europe!G338+"n/&gt;!/L`"</f>
        <v>#VALUE!</v>
      </c>
      <c r="J261" t="e">
        <f>Europe!H338+"n/&gt;!/La"</f>
        <v>#VALUE!</v>
      </c>
      <c r="K261" t="e">
        <f>Europe!I338+"n/&gt;!/Lb"</f>
        <v>#VALUE!</v>
      </c>
      <c r="L261" t="e">
        <f>Europe!A339+"n/&gt;!/Lc"</f>
        <v>#VALUE!</v>
      </c>
      <c r="M261" t="e">
        <f>Europe!B339+"n/&gt;!/Ld"</f>
        <v>#VALUE!</v>
      </c>
      <c r="N261" t="e">
        <f>Europe!C339+"n/&gt;!/Le"</f>
        <v>#VALUE!</v>
      </c>
      <c r="O261" t="e">
        <f>Europe!D339+"n/&gt;!/Lf"</f>
        <v>#VALUE!</v>
      </c>
      <c r="P261" t="e">
        <f>Europe!E339+"n/&gt;!/Lg"</f>
        <v>#VALUE!</v>
      </c>
      <c r="Q261" t="e">
        <f>Europe!F339+"n/&gt;!/Lh"</f>
        <v>#VALUE!</v>
      </c>
      <c r="R261" t="e">
        <f>Europe!G339+"n/&gt;!/Li"</f>
        <v>#VALUE!</v>
      </c>
      <c r="S261" t="e">
        <f>Europe!H339+"n/&gt;!/Lj"</f>
        <v>#VALUE!</v>
      </c>
      <c r="T261" t="e">
        <f>Europe!I339+"n/&gt;!/Lk"</f>
        <v>#VALUE!</v>
      </c>
      <c r="U261" t="e">
        <f>Europe!A340+"n/&gt;!/Ll"</f>
        <v>#VALUE!</v>
      </c>
      <c r="V261" t="e">
        <f>Europe!B340+"n/&gt;!/Lm"</f>
        <v>#VALUE!</v>
      </c>
      <c r="W261" t="e">
        <f>Europe!C340+"n/&gt;!/Ln"</f>
        <v>#VALUE!</v>
      </c>
      <c r="X261" t="e">
        <f>Europe!D340+"n/&gt;!/Lo"</f>
        <v>#VALUE!</v>
      </c>
      <c r="Y261" t="e">
        <f>Europe!E340+"n/&gt;!/Lp"</f>
        <v>#VALUE!</v>
      </c>
      <c r="Z261" t="e">
        <f>Europe!F340+"n/&gt;!/Lq"</f>
        <v>#VALUE!</v>
      </c>
      <c r="AA261" t="e">
        <f>Europe!G340+"n/&gt;!/Lr"</f>
        <v>#VALUE!</v>
      </c>
      <c r="AB261" t="e">
        <f>Europe!H340+"n/&gt;!/Ls"</f>
        <v>#VALUE!</v>
      </c>
      <c r="AC261" t="e">
        <f>Europe!I340+"n/&gt;!/Lt"</f>
        <v>#VALUE!</v>
      </c>
      <c r="AD261" t="e">
        <f>Europe!A341+"n/&gt;!/Lu"</f>
        <v>#VALUE!</v>
      </c>
      <c r="AE261" t="e">
        <f>Europe!B341+"n/&gt;!/Lv"</f>
        <v>#VALUE!</v>
      </c>
      <c r="AF261" t="e">
        <f>Europe!C341+"n/&gt;!/Lw"</f>
        <v>#VALUE!</v>
      </c>
      <c r="AG261" t="e">
        <f>Europe!D341+"n/&gt;!/Lx"</f>
        <v>#VALUE!</v>
      </c>
      <c r="AH261" t="e">
        <f>Europe!E341+"n/&gt;!/Ly"</f>
        <v>#VALUE!</v>
      </c>
      <c r="AI261" t="e">
        <f>Europe!F341+"n/&gt;!/Lz"</f>
        <v>#VALUE!</v>
      </c>
      <c r="AJ261" t="e">
        <f>Europe!G341+"n/&gt;!/L{"</f>
        <v>#VALUE!</v>
      </c>
      <c r="AK261" t="e">
        <f>Europe!H341+"n/&gt;!/L|"</f>
        <v>#VALUE!</v>
      </c>
      <c r="AL261" t="e">
        <f>Europe!I341+"n/&gt;!/L}"</f>
        <v>#VALUE!</v>
      </c>
      <c r="AM261" t="e">
        <f>Europe!A342+"n/&gt;!/L~"</f>
        <v>#VALUE!</v>
      </c>
      <c r="AN261" t="e">
        <f>Europe!B342+"n/&gt;!/M#"</f>
        <v>#VALUE!</v>
      </c>
      <c r="AO261" t="e">
        <f>Europe!C342+"n/&gt;!/M$"</f>
        <v>#VALUE!</v>
      </c>
      <c r="AP261" t="e">
        <f>Europe!D342+"n/&gt;!/M%"</f>
        <v>#VALUE!</v>
      </c>
      <c r="AQ261" t="e">
        <f>Europe!E342+"n/&gt;!/M&amp;"</f>
        <v>#VALUE!</v>
      </c>
      <c r="AR261" t="e">
        <f>Europe!F342+"n/&gt;!/M'"</f>
        <v>#VALUE!</v>
      </c>
      <c r="AS261" t="e">
        <f>Europe!G342+"n/&gt;!/M("</f>
        <v>#VALUE!</v>
      </c>
      <c r="AT261" t="e">
        <f>Europe!H342+"n/&gt;!/M)"</f>
        <v>#VALUE!</v>
      </c>
      <c r="AU261" t="e">
        <f>Europe!I342+"n/&gt;!/M."</f>
        <v>#VALUE!</v>
      </c>
      <c r="AV261" t="e">
        <f>Europe!A343+"n/&gt;!/M/"</f>
        <v>#VALUE!</v>
      </c>
      <c r="AW261" t="e">
        <f>Europe!B343+"n/&gt;!/M0"</f>
        <v>#VALUE!</v>
      </c>
      <c r="AX261" t="e">
        <f>Europe!C343+"n/&gt;!/M1"</f>
        <v>#VALUE!</v>
      </c>
      <c r="AY261" t="e">
        <f>Europe!D343+"n/&gt;!/M2"</f>
        <v>#VALUE!</v>
      </c>
      <c r="AZ261" t="e">
        <f>Europe!E343+"n/&gt;!/M3"</f>
        <v>#VALUE!</v>
      </c>
      <c r="BA261" t="e">
        <f>Europe!F343+"n/&gt;!/M4"</f>
        <v>#VALUE!</v>
      </c>
      <c r="BB261" t="e">
        <f>Europe!G343+"n/&gt;!/M5"</f>
        <v>#VALUE!</v>
      </c>
      <c r="BC261" t="e">
        <f>Europe!H343+"n/&gt;!/M6"</f>
        <v>#VALUE!</v>
      </c>
      <c r="BD261" t="e">
        <f>Europe!I343+"n/&gt;!/M7"</f>
        <v>#VALUE!</v>
      </c>
      <c r="BE261" t="e">
        <f>Europe!A344+"n/&gt;!/M8"</f>
        <v>#VALUE!</v>
      </c>
      <c r="BF261" t="e">
        <f>Europe!B344+"n/&gt;!/M9"</f>
        <v>#VALUE!</v>
      </c>
      <c r="BG261" t="e">
        <f>Europe!C344+"n/&gt;!/M:"</f>
        <v>#VALUE!</v>
      </c>
      <c r="BH261" t="e">
        <f>Europe!D344+"n/&gt;!/M;"</f>
        <v>#VALUE!</v>
      </c>
      <c r="BI261" t="e">
        <f>Europe!E344+"n/&gt;!/M&lt;"</f>
        <v>#VALUE!</v>
      </c>
      <c r="BJ261" t="e">
        <f>Europe!F344+"n/&gt;!/M="</f>
        <v>#VALUE!</v>
      </c>
      <c r="BK261" t="e">
        <f>Europe!G344+"n/&gt;!/M&gt;"</f>
        <v>#VALUE!</v>
      </c>
      <c r="BL261" t="e">
        <f>Europe!H344+"n/&gt;!/M?"</f>
        <v>#VALUE!</v>
      </c>
      <c r="BM261" t="e">
        <f>Europe!I344+"n/&gt;!/M@"</f>
        <v>#VALUE!</v>
      </c>
      <c r="BN261" t="e">
        <f>Europe!A345+"n/&gt;!/MA"</f>
        <v>#VALUE!</v>
      </c>
      <c r="BO261" t="e">
        <f>Europe!B345+"n/&gt;!/MB"</f>
        <v>#VALUE!</v>
      </c>
      <c r="BP261" t="e">
        <f>Europe!C345+"n/&gt;!/MC"</f>
        <v>#VALUE!</v>
      </c>
      <c r="BQ261" t="e">
        <f>Europe!D345+"n/&gt;!/MD"</f>
        <v>#VALUE!</v>
      </c>
      <c r="BR261" t="e">
        <f>Europe!E345+"n/&gt;!/ME"</f>
        <v>#VALUE!</v>
      </c>
      <c r="BS261" t="e">
        <f>Europe!F345+"n/&gt;!/MF"</f>
        <v>#VALUE!</v>
      </c>
      <c r="BT261" t="e">
        <f>Europe!G345+"n/&gt;!/MG"</f>
        <v>#VALUE!</v>
      </c>
      <c r="BU261" t="e">
        <f>Europe!H345+"n/&gt;!/MH"</f>
        <v>#VALUE!</v>
      </c>
      <c r="BV261" t="e">
        <f>Europe!I345+"n/&gt;!/MI"</f>
        <v>#VALUE!</v>
      </c>
      <c r="BW261" t="e">
        <f>Europe!A346+"n/&gt;!/MJ"</f>
        <v>#VALUE!</v>
      </c>
      <c r="BX261" t="e">
        <f>Europe!B346+"n/&gt;!/MK"</f>
        <v>#VALUE!</v>
      </c>
      <c r="BY261" t="e">
        <f>Europe!C346+"n/&gt;!/ML"</f>
        <v>#VALUE!</v>
      </c>
      <c r="BZ261" t="e">
        <f>Europe!D346+"n/&gt;!/MM"</f>
        <v>#VALUE!</v>
      </c>
      <c r="CA261" t="e">
        <f>Europe!E346+"n/&gt;!/MN"</f>
        <v>#VALUE!</v>
      </c>
      <c r="CB261" t="e">
        <f>Europe!F346+"n/&gt;!/MO"</f>
        <v>#VALUE!</v>
      </c>
      <c r="CC261" t="e">
        <f>Europe!G346+"n/&gt;!/MP"</f>
        <v>#VALUE!</v>
      </c>
      <c r="CD261" t="e">
        <f>Europe!H346+"n/&gt;!/MQ"</f>
        <v>#VALUE!</v>
      </c>
      <c r="CE261" t="e">
        <f>Europe!I346+"n/&gt;!/MR"</f>
        <v>#VALUE!</v>
      </c>
      <c r="CF261" t="e">
        <f>Europe!A347+"n/&gt;!/MS"</f>
        <v>#VALUE!</v>
      </c>
      <c r="CG261" t="e">
        <f>Europe!B347+"n/&gt;!/MT"</f>
        <v>#VALUE!</v>
      </c>
      <c r="CH261" t="e">
        <f>Europe!C347+"n/&gt;!/MU"</f>
        <v>#VALUE!</v>
      </c>
      <c r="CI261" t="e">
        <f>Europe!D347+"n/&gt;!/MV"</f>
        <v>#VALUE!</v>
      </c>
      <c r="CJ261" t="e">
        <f>Europe!E347+"n/&gt;!/MW"</f>
        <v>#VALUE!</v>
      </c>
      <c r="CK261" t="e">
        <f>Europe!F347+"n/&gt;!/MX"</f>
        <v>#VALUE!</v>
      </c>
      <c r="CL261" t="e">
        <f>Europe!G347+"n/&gt;!/MY"</f>
        <v>#VALUE!</v>
      </c>
      <c r="CM261" t="e">
        <f>Europe!H347+"n/&gt;!/MZ"</f>
        <v>#VALUE!</v>
      </c>
      <c r="CN261" t="e">
        <f>Europe!I347+"n/&gt;!/M["</f>
        <v>#VALUE!</v>
      </c>
      <c r="CO261" t="e">
        <f>Europe!A348+"n/&gt;!/M\"</f>
        <v>#VALUE!</v>
      </c>
      <c r="CP261" t="e">
        <f>Europe!B348+"n/&gt;!/M]"</f>
        <v>#VALUE!</v>
      </c>
      <c r="CQ261" t="e">
        <f>Europe!C348+"n/&gt;!/M^"</f>
        <v>#VALUE!</v>
      </c>
      <c r="CR261" t="e">
        <f>Europe!D348+"n/&gt;!/M_"</f>
        <v>#VALUE!</v>
      </c>
      <c r="CS261" t="e">
        <f>Europe!E348+"n/&gt;!/M`"</f>
        <v>#VALUE!</v>
      </c>
      <c r="CT261" t="e">
        <f>Europe!F348+"n/&gt;!/Ma"</f>
        <v>#VALUE!</v>
      </c>
      <c r="CU261" t="e">
        <f>Europe!G348+"n/&gt;!/Mb"</f>
        <v>#VALUE!</v>
      </c>
      <c r="CV261" t="e">
        <f>Europe!H348+"n/&gt;!/Mc"</f>
        <v>#VALUE!</v>
      </c>
      <c r="CW261" t="e">
        <f>Europe!I348+"n/&gt;!/Md"</f>
        <v>#VALUE!</v>
      </c>
      <c r="CX261" t="e">
        <f>Europe!A349+"n/&gt;!/Me"</f>
        <v>#VALUE!</v>
      </c>
      <c r="CY261" t="e">
        <f>Europe!B349+"n/&gt;!/Mf"</f>
        <v>#VALUE!</v>
      </c>
      <c r="CZ261" t="e">
        <f>Europe!C349+"n/&gt;!/Mg"</f>
        <v>#VALUE!</v>
      </c>
      <c r="DA261" t="e">
        <f>Europe!D349+"n/&gt;!/Mh"</f>
        <v>#VALUE!</v>
      </c>
      <c r="DB261" t="e">
        <f>Europe!E349+"n/&gt;!/Mi"</f>
        <v>#VALUE!</v>
      </c>
      <c r="DC261" t="e">
        <f>Europe!F349+"n/&gt;!/Mj"</f>
        <v>#VALUE!</v>
      </c>
      <c r="DD261" t="e">
        <f>Europe!G349+"n/&gt;!/Mk"</f>
        <v>#VALUE!</v>
      </c>
      <c r="DE261" t="e">
        <f>Europe!H349+"n/&gt;!/Ml"</f>
        <v>#VALUE!</v>
      </c>
      <c r="DF261" t="e">
        <f>Europe!I349+"n/&gt;!/Mm"</f>
        <v>#VALUE!</v>
      </c>
      <c r="DG261" t="e">
        <f>Europe!A350+"n/&gt;!/Mn"</f>
        <v>#VALUE!</v>
      </c>
      <c r="DH261" t="e">
        <f>Europe!B350+"n/&gt;!/Mo"</f>
        <v>#VALUE!</v>
      </c>
      <c r="DI261" t="e">
        <f>Europe!C350+"n/&gt;!/Mp"</f>
        <v>#VALUE!</v>
      </c>
      <c r="DJ261" t="e">
        <f>Europe!D350+"n/&gt;!/Mq"</f>
        <v>#VALUE!</v>
      </c>
      <c r="DK261" t="e">
        <f>Europe!E350+"n/&gt;!/Mr"</f>
        <v>#VALUE!</v>
      </c>
      <c r="DL261" t="e">
        <f>Europe!F350+"n/&gt;!/Ms"</f>
        <v>#VALUE!</v>
      </c>
      <c r="DM261" t="e">
        <f>Europe!G350+"n/&gt;!/Mt"</f>
        <v>#VALUE!</v>
      </c>
      <c r="DN261" t="e">
        <f>Europe!H350+"n/&gt;!/Mu"</f>
        <v>#VALUE!</v>
      </c>
      <c r="DO261" t="e">
        <f>Europe!I350+"n/&gt;!/Mv"</f>
        <v>#VALUE!</v>
      </c>
      <c r="DP261" t="e">
        <f>Europe!A351+"n/&gt;!/Mw"</f>
        <v>#VALUE!</v>
      </c>
      <c r="DQ261" t="e">
        <f>Europe!B351+"n/&gt;!/Mx"</f>
        <v>#VALUE!</v>
      </c>
      <c r="DR261" t="e">
        <f>Europe!C351+"n/&gt;!/My"</f>
        <v>#VALUE!</v>
      </c>
      <c r="DS261" t="e">
        <f>Europe!D351+"n/&gt;!/Mz"</f>
        <v>#VALUE!</v>
      </c>
      <c r="DT261" t="e">
        <f>Europe!E351+"n/&gt;!/M{"</f>
        <v>#VALUE!</v>
      </c>
      <c r="DU261" t="e">
        <f>Europe!F351+"n/&gt;!/M|"</f>
        <v>#VALUE!</v>
      </c>
      <c r="DV261" t="e">
        <f>Europe!G351+"n/&gt;!/M}"</f>
        <v>#VALUE!</v>
      </c>
      <c r="DW261" t="e">
        <f>Europe!H351+"n/&gt;!/M~"</f>
        <v>#VALUE!</v>
      </c>
      <c r="DX261" t="e">
        <f>Europe!I351+"n/&gt;!/N#"</f>
        <v>#VALUE!</v>
      </c>
      <c r="DY261" t="e">
        <f>Europe!A352+"n/&gt;!/N$"</f>
        <v>#VALUE!</v>
      </c>
      <c r="DZ261" t="e">
        <f>Europe!B352+"n/&gt;!/N%"</f>
        <v>#VALUE!</v>
      </c>
      <c r="EA261" t="e">
        <f>Europe!C352+"n/&gt;!/N&amp;"</f>
        <v>#VALUE!</v>
      </c>
      <c r="EB261" t="e">
        <f>Europe!D352+"n/&gt;!/N'"</f>
        <v>#VALUE!</v>
      </c>
      <c r="EC261" t="e">
        <f>Europe!E352+"n/&gt;!/N("</f>
        <v>#VALUE!</v>
      </c>
      <c r="ED261" t="e">
        <f>Europe!F352+"n/&gt;!/N)"</f>
        <v>#VALUE!</v>
      </c>
      <c r="EE261" t="e">
        <f>Europe!G352+"n/&gt;!/N."</f>
        <v>#VALUE!</v>
      </c>
      <c r="EF261" t="e">
        <f>Europe!H352+"n/&gt;!/N/"</f>
        <v>#VALUE!</v>
      </c>
      <c r="EG261" t="e">
        <f>Europe!I352+"n/&gt;!/N0"</f>
        <v>#VALUE!</v>
      </c>
      <c r="EH261" t="e">
        <f>Europe!A353+"n/&gt;!/N1"</f>
        <v>#VALUE!</v>
      </c>
      <c r="EI261" t="e">
        <f>Europe!B353+"n/&gt;!/N2"</f>
        <v>#VALUE!</v>
      </c>
      <c r="EJ261" t="e">
        <f>Europe!C353+"n/&gt;!/N3"</f>
        <v>#VALUE!</v>
      </c>
      <c r="EK261" t="e">
        <f>Europe!D353+"n/&gt;!/N4"</f>
        <v>#VALUE!</v>
      </c>
      <c r="EL261" t="e">
        <f>Europe!E353+"n/&gt;!/N5"</f>
        <v>#VALUE!</v>
      </c>
      <c r="EM261" t="e">
        <f>Europe!F353+"n/&gt;!/N6"</f>
        <v>#VALUE!</v>
      </c>
      <c r="EN261" t="e">
        <f>Europe!G353+"n/&gt;!/N7"</f>
        <v>#VALUE!</v>
      </c>
      <c r="EO261" t="e">
        <f>Europe!H353+"n/&gt;!/N8"</f>
        <v>#VALUE!</v>
      </c>
      <c r="EP261" t="e">
        <f>Europe!I353+"n/&gt;!/N9"</f>
        <v>#VALUE!</v>
      </c>
      <c r="EQ261" t="e">
        <f>Europe!A354+"n/&gt;!/N:"</f>
        <v>#VALUE!</v>
      </c>
      <c r="ER261" t="e">
        <f>Europe!B354+"n/&gt;!/N;"</f>
        <v>#VALUE!</v>
      </c>
      <c r="ES261" t="e">
        <f>Europe!C354+"n/&gt;!/N&lt;"</f>
        <v>#VALUE!</v>
      </c>
      <c r="ET261" t="e">
        <f>Europe!D354+"n/&gt;!/N="</f>
        <v>#VALUE!</v>
      </c>
      <c r="EU261" t="e">
        <f>Europe!E354+"n/&gt;!/N&gt;"</f>
        <v>#VALUE!</v>
      </c>
      <c r="EV261" t="e">
        <f>Europe!F354+"n/&gt;!/N?"</f>
        <v>#VALUE!</v>
      </c>
      <c r="EW261" t="e">
        <f>Europe!G354+"n/&gt;!/N@"</f>
        <v>#VALUE!</v>
      </c>
      <c r="EX261" t="e">
        <f>Europe!H354+"n/&gt;!/NA"</f>
        <v>#VALUE!</v>
      </c>
      <c r="EY261" t="e">
        <f>Europe!I354+"n/&gt;!/NB"</f>
        <v>#VALUE!</v>
      </c>
      <c r="EZ261" t="e">
        <f>Europe!A355+"n/&gt;!/NC"</f>
        <v>#VALUE!</v>
      </c>
      <c r="FA261" t="e">
        <f>Europe!B355+"n/&gt;!/ND"</f>
        <v>#VALUE!</v>
      </c>
      <c r="FB261" t="e">
        <f>Europe!C355+"n/&gt;!/NE"</f>
        <v>#VALUE!</v>
      </c>
      <c r="FC261" t="e">
        <f>Europe!D355+"n/&gt;!/NF"</f>
        <v>#VALUE!</v>
      </c>
      <c r="FD261" t="e">
        <f>Europe!E355+"n/&gt;!/NG"</f>
        <v>#VALUE!</v>
      </c>
      <c r="FE261" t="e">
        <f>Europe!F355+"n/&gt;!/NH"</f>
        <v>#VALUE!</v>
      </c>
      <c r="FF261" t="e">
        <f>Europe!G355+"n/&gt;!/NI"</f>
        <v>#VALUE!</v>
      </c>
      <c r="FG261" t="e">
        <f>Europe!H355+"n/&gt;!/NJ"</f>
        <v>#VALUE!</v>
      </c>
      <c r="FH261" t="e">
        <f>Europe!I355+"n/&gt;!/NK"</f>
        <v>#VALUE!</v>
      </c>
      <c r="FI261" t="e">
        <f>Europe!A356+"n/&gt;!/NL"</f>
        <v>#VALUE!</v>
      </c>
      <c r="FJ261" t="e">
        <f>Europe!B356+"n/&gt;!/NM"</f>
        <v>#VALUE!</v>
      </c>
      <c r="FK261" t="e">
        <f>Europe!C356+"n/&gt;!/NN"</f>
        <v>#VALUE!</v>
      </c>
      <c r="FL261" t="e">
        <f>Europe!D356+"n/&gt;!/NO"</f>
        <v>#VALUE!</v>
      </c>
      <c r="FM261" t="e">
        <f>Europe!E356+"n/&gt;!/NP"</f>
        <v>#VALUE!</v>
      </c>
      <c r="FN261" t="e">
        <f>Europe!F356+"n/&gt;!/NQ"</f>
        <v>#VALUE!</v>
      </c>
      <c r="FO261" t="e">
        <f>Europe!G356+"n/&gt;!/NR"</f>
        <v>#VALUE!</v>
      </c>
      <c r="FP261" t="e">
        <f>Europe!H356+"n/&gt;!/NS"</f>
        <v>#VALUE!</v>
      </c>
      <c r="FQ261" t="e">
        <f>Europe!I356+"n/&gt;!/NT"</f>
        <v>#VALUE!</v>
      </c>
      <c r="FR261" t="e">
        <f>Europe!A357+"n/&gt;!/NU"</f>
        <v>#VALUE!</v>
      </c>
      <c r="FS261" t="e">
        <f>Europe!B357+"n/&gt;!/NV"</f>
        <v>#VALUE!</v>
      </c>
      <c r="FT261" t="e">
        <f>Europe!C357+"n/&gt;!/NW"</f>
        <v>#VALUE!</v>
      </c>
      <c r="FU261" t="e">
        <f>Europe!D357+"n/&gt;!/NX"</f>
        <v>#VALUE!</v>
      </c>
      <c r="FV261" t="e">
        <f>Europe!E357+"n/&gt;!/NY"</f>
        <v>#VALUE!</v>
      </c>
      <c r="FW261" t="e">
        <f>Europe!F357+"n/&gt;!/NZ"</f>
        <v>#VALUE!</v>
      </c>
      <c r="FX261" t="e">
        <f>Europe!G357+"n/&gt;!/N["</f>
        <v>#VALUE!</v>
      </c>
      <c r="FY261" t="e">
        <f>Europe!H357+"n/&gt;!/N\"</f>
        <v>#VALUE!</v>
      </c>
      <c r="FZ261" t="e">
        <f>Europe!I357+"n/&gt;!/N]"</f>
        <v>#VALUE!</v>
      </c>
      <c r="GA261" t="e">
        <f>Europe!A358+"n/&gt;!/N^"</f>
        <v>#VALUE!</v>
      </c>
      <c r="GB261" t="e">
        <f>Europe!B358+"n/&gt;!/N_"</f>
        <v>#VALUE!</v>
      </c>
      <c r="GC261" t="e">
        <f>Europe!C358+"n/&gt;!/N`"</f>
        <v>#VALUE!</v>
      </c>
      <c r="GD261" t="e">
        <f>Europe!D358+"n/&gt;!/Na"</f>
        <v>#VALUE!</v>
      </c>
      <c r="GE261" t="e">
        <f>Europe!E358+"n/&gt;!/Nb"</f>
        <v>#VALUE!</v>
      </c>
      <c r="GF261" t="e">
        <f>Europe!F358+"n/&gt;!/Nc"</f>
        <v>#VALUE!</v>
      </c>
      <c r="GG261" t="e">
        <f>Europe!G358+"n/&gt;!/Nd"</f>
        <v>#VALUE!</v>
      </c>
      <c r="GH261" t="e">
        <f>Europe!H358+"n/&gt;!/Ne"</f>
        <v>#VALUE!</v>
      </c>
      <c r="GI261" t="e">
        <f>Europe!I358+"n/&gt;!/Nf"</f>
        <v>#VALUE!</v>
      </c>
      <c r="GJ261" t="e">
        <f>Europe!A359+"n/&gt;!/Ng"</f>
        <v>#VALUE!</v>
      </c>
      <c r="GK261" t="e">
        <f>Europe!B359+"n/&gt;!/Nh"</f>
        <v>#VALUE!</v>
      </c>
      <c r="GL261" t="e">
        <f>Europe!C359+"n/&gt;!/Ni"</f>
        <v>#VALUE!</v>
      </c>
      <c r="GM261" t="e">
        <f>Europe!D359+"n/&gt;!/Nj"</f>
        <v>#VALUE!</v>
      </c>
      <c r="GN261" t="e">
        <f>Europe!E359+"n/&gt;!/Nk"</f>
        <v>#VALUE!</v>
      </c>
      <c r="GO261" t="e">
        <f>Europe!F359+"n/&gt;!/Nl"</f>
        <v>#VALUE!</v>
      </c>
      <c r="GP261" t="e">
        <f>Europe!G359+"n/&gt;!/Nm"</f>
        <v>#VALUE!</v>
      </c>
      <c r="GQ261" t="e">
        <f>Europe!H359+"n/&gt;!/Nn"</f>
        <v>#VALUE!</v>
      </c>
      <c r="GR261" t="e">
        <f>Europe!I359+"n/&gt;!/No"</f>
        <v>#VALUE!</v>
      </c>
      <c r="GS261" t="e">
        <f>Europe!A360+"n/&gt;!/Np"</f>
        <v>#VALUE!</v>
      </c>
      <c r="GT261" t="e">
        <f>Europe!B360+"n/&gt;!/Nq"</f>
        <v>#VALUE!</v>
      </c>
      <c r="GU261" t="e">
        <f>Europe!C360+"n/&gt;!/Nr"</f>
        <v>#VALUE!</v>
      </c>
      <c r="GV261" t="e">
        <f>Europe!D360+"n/&gt;!/Ns"</f>
        <v>#VALUE!</v>
      </c>
      <c r="GW261" t="e">
        <f>Europe!E360+"n/&gt;!/Nt"</f>
        <v>#VALUE!</v>
      </c>
      <c r="GX261" t="e">
        <f>Europe!F360+"n/&gt;!/Nu"</f>
        <v>#VALUE!</v>
      </c>
      <c r="GY261" t="e">
        <f>Europe!G360+"n/&gt;!/Nv"</f>
        <v>#VALUE!</v>
      </c>
      <c r="GZ261" t="e">
        <f>Europe!H360+"n/&gt;!/Nw"</f>
        <v>#VALUE!</v>
      </c>
      <c r="HA261" t="e">
        <f>Europe!I360+"n/&gt;!/Nx"</f>
        <v>#VALUE!</v>
      </c>
      <c r="HB261" t="e">
        <f>Europe!A361+"n/&gt;!/Ny"</f>
        <v>#VALUE!</v>
      </c>
      <c r="HC261" t="e">
        <f>Europe!B361+"n/&gt;!/Nz"</f>
        <v>#VALUE!</v>
      </c>
      <c r="HD261" t="e">
        <f>Europe!C361+"n/&gt;!/N{"</f>
        <v>#VALUE!</v>
      </c>
      <c r="HE261" t="e">
        <f>Europe!D361+"n/&gt;!/N|"</f>
        <v>#VALUE!</v>
      </c>
      <c r="HF261" t="e">
        <f>Europe!E361+"n/&gt;!/N}"</f>
        <v>#VALUE!</v>
      </c>
      <c r="HG261" t="e">
        <f>Europe!F361+"n/&gt;!/N~"</f>
        <v>#VALUE!</v>
      </c>
      <c r="HH261" t="e">
        <f>Europe!G361+"n/&gt;!/O#"</f>
        <v>#VALUE!</v>
      </c>
      <c r="HI261" t="e">
        <f>Europe!H361+"n/&gt;!/O$"</f>
        <v>#VALUE!</v>
      </c>
      <c r="HJ261" t="e">
        <f>Europe!I361+"n/&gt;!/O%"</f>
        <v>#VALUE!</v>
      </c>
      <c r="HK261" t="e">
        <f>Europe!A362+"n/&gt;!/O&amp;"</f>
        <v>#VALUE!</v>
      </c>
      <c r="HL261" t="e">
        <f>Europe!B362+"n/&gt;!/O'"</f>
        <v>#VALUE!</v>
      </c>
      <c r="HM261" t="e">
        <f>Europe!C362+"n/&gt;!/O("</f>
        <v>#VALUE!</v>
      </c>
      <c r="HN261" t="e">
        <f>Europe!D362+"n/&gt;!/O)"</f>
        <v>#VALUE!</v>
      </c>
      <c r="HO261" t="e">
        <f>Europe!E362+"n/&gt;!/O."</f>
        <v>#VALUE!</v>
      </c>
      <c r="HP261" t="e">
        <f>Europe!F362+"n/&gt;!/O/"</f>
        <v>#VALUE!</v>
      </c>
      <c r="HQ261" t="e">
        <f>Europe!G362+"n/&gt;!/O0"</f>
        <v>#VALUE!</v>
      </c>
      <c r="HR261" t="e">
        <f>Europe!H362+"n/&gt;!/O1"</f>
        <v>#VALUE!</v>
      </c>
      <c r="HS261" t="e">
        <f>Europe!I362+"n/&gt;!/O2"</f>
        <v>#VALUE!</v>
      </c>
      <c r="HT261" t="e">
        <f>Europe!A363+"n/&gt;!/O3"</f>
        <v>#VALUE!</v>
      </c>
      <c r="HU261" t="e">
        <f>Europe!B363+"n/&gt;!/O4"</f>
        <v>#VALUE!</v>
      </c>
      <c r="HV261" t="e">
        <f>Europe!C363+"n/&gt;!/O5"</f>
        <v>#VALUE!</v>
      </c>
      <c r="HW261" t="e">
        <f>Europe!D363+"n/&gt;!/O6"</f>
        <v>#VALUE!</v>
      </c>
      <c r="HX261" t="e">
        <f>Europe!E363+"n/&gt;!/O7"</f>
        <v>#VALUE!</v>
      </c>
      <c r="HY261" t="e">
        <f>Europe!F363+"n/&gt;!/O8"</f>
        <v>#VALUE!</v>
      </c>
      <c r="HZ261" t="e">
        <f>Europe!G363+"n/&gt;!/O9"</f>
        <v>#VALUE!</v>
      </c>
      <c r="IA261" t="e">
        <f>Europe!H363+"n/&gt;!/O:"</f>
        <v>#VALUE!</v>
      </c>
      <c r="IB261" t="e">
        <f>Europe!I363+"n/&gt;!/O;"</f>
        <v>#VALUE!</v>
      </c>
      <c r="IC261" t="e">
        <f>Europe!A364+"n/&gt;!/O&lt;"</f>
        <v>#VALUE!</v>
      </c>
      <c r="ID261" t="e">
        <f>Europe!B364+"n/&gt;!/O="</f>
        <v>#VALUE!</v>
      </c>
      <c r="IE261" t="e">
        <f>Europe!C364+"n/&gt;!/O&gt;"</f>
        <v>#VALUE!</v>
      </c>
      <c r="IF261" t="e">
        <f>Europe!D364+"n/&gt;!/O?"</f>
        <v>#VALUE!</v>
      </c>
      <c r="IG261" t="e">
        <f>Europe!E364+"n/&gt;!/O@"</f>
        <v>#VALUE!</v>
      </c>
      <c r="IH261" t="e">
        <f>Europe!F364+"n/&gt;!/OA"</f>
        <v>#VALUE!</v>
      </c>
      <c r="II261" t="e">
        <f>Europe!G364+"n/&gt;!/OB"</f>
        <v>#VALUE!</v>
      </c>
      <c r="IJ261" t="e">
        <f>Europe!H364+"n/&gt;!/OC"</f>
        <v>#VALUE!</v>
      </c>
      <c r="IK261" t="e">
        <f>Europe!I364+"n/&gt;!/OD"</f>
        <v>#VALUE!</v>
      </c>
      <c r="IL261" t="e">
        <f>Europe!A365+"n/&gt;!/OE"</f>
        <v>#VALUE!</v>
      </c>
      <c r="IM261" t="e">
        <f>Europe!B365+"n/&gt;!/OF"</f>
        <v>#VALUE!</v>
      </c>
      <c r="IN261" t="e">
        <f>Europe!C365+"n/&gt;!/OG"</f>
        <v>#VALUE!</v>
      </c>
      <c r="IO261" t="e">
        <f>Europe!D365+"n/&gt;!/OH"</f>
        <v>#VALUE!</v>
      </c>
      <c r="IP261" t="e">
        <f>Europe!E365+"n/&gt;!/OI"</f>
        <v>#VALUE!</v>
      </c>
      <c r="IQ261" t="e">
        <f>Europe!F365+"n/&gt;!/OJ"</f>
        <v>#VALUE!</v>
      </c>
      <c r="IR261" t="e">
        <f>Europe!G365+"n/&gt;!/OK"</f>
        <v>#VALUE!</v>
      </c>
      <c r="IS261" t="e">
        <f>Europe!H365+"n/&gt;!/OL"</f>
        <v>#VALUE!</v>
      </c>
      <c r="IT261" t="e">
        <f>Europe!I365+"n/&gt;!/OM"</f>
        <v>#VALUE!</v>
      </c>
      <c r="IU261" t="e">
        <f>Europe!A366+"n/&gt;!/ON"</f>
        <v>#VALUE!</v>
      </c>
      <c r="IV261" t="e">
        <f>Europe!B366+"n/&gt;!/OO"</f>
        <v>#VALUE!</v>
      </c>
    </row>
    <row r="262" spans="6:256" x14ac:dyDescent="0.35">
      <c r="F262" t="e">
        <f>Europe!C366+"n/&gt;!/OP"</f>
        <v>#VALUE!</v>
      </c>
      <c r="G262" t="e">
        <f>Europe!D366+"n/&gt;!/OQ"</f>
        <v>#VALUE!</v>
      </c>
      <c r="H262" t="e">
        <f>Europe!E366+"n/&gt;!/OR"</f>
        <v>#VALUE!</v>
      </c>
      <c r="I262" t="e">
        <f>Europe!F366+"n/&gt;!/OS"</f>
        <v>#VALUE!</v>
      </c>
      <c r="J262" t="e">
        <f>Europe!G366+"n/&gt;!/OT"</f>
        <v>#VALUE!</v>
      </c>
      <c r="K262" t="e">
        <f>Europe!H366+"n/&gt;!/OU"</f>
        <v>#VALUE!</v>
      </c>
      <c r="L262" t="e">
        <f>Europe!I366+"n/&gt;!/OV"</f>
        <v>#VALUE!</v>
      </c>
      <c r="M262" t="e">
        <f>Europe!A367+"n/&gt;!/OW"</f>
        <v>#VALUE!</v>
      </c>
      <c r="N262" t="e">
        <f>Europe!B367+"n/&gt;!/OX"</f>
        <v>#VALUE!</v>
      </c>
      <c r="O262" t="e">
        <f>Europe!C367+"n/&gt;!/OY"</f>
        <v>#VALUE!</v>
      </c>
      <c r="P262" t="e">
        <f>Europe!D367+"n/&gt;!/OZ"</f>
        <v>#VALUE!</v>
      </c>
      <c r="Q262" t="e">
        <f>Europe!E367+"n/&gt;!/O["</f>
        <v>#VALUE!</v>
      </c>
      <c r="R262" t="e">
        <f>Europe!F367+"n/&gt;!/O\"</f>
        <v>#VALUE!</v>
      </c>
      <c r="S262" t="e">
        <f>Europe!G367+"n/&gt;!/O]"</f>
        <v>#VALUE!</v>
      </c>
      <c r="T262" t="e">
        <f>Europe!H367+"n/&gt;!/O^"</f>
        <v>#VALUE!</v>
      </c>
      <c r="U262" t="e">
        <f>Europe!I367+"n/&gt;!/O_"</f>
        <v>#VALUE!</v>
      </c>
      <c r="V262" t="e">
        <f>Europe!A368+"n/&gt;!/O`"</f>
        <v>#VALUE!</v>
      </c>
      <c r="W262" t="e">
        <f>Europe!B368+"n/&gt;!/Oa"</f>
        <v>#VALUE!</v>
      </c>
      <c r="X262" t="e">
        <f>Europe!C368+"n/&gt;!/Ob"</f>
        <v>#VALUE!</v>
      </c>
      <c r="Y262" t="e">
        <f>Europe!D368+"n/&gt;!/Oc"</f>
        <v>#VALUE!</v>
      </c>
      <c r="Z262" t="e">
        <f>Europe!E368+"n/&gt;!/Od"</f>
        <v>#VALUE!</v>
      </c>
      <c r="AA262" t="e">
        <f>Europe!F368+"n/&gt;!/Oe"</f>
        <v>#VALUE!</v>
      </c>
      <c r="AB262" t="e">
        <f>Europe!G368+"n/&gt;!/Of"</f>
        <v>#VALUE!</v>
      </c>
      <c r="AC262" t="e">
        <f>Europe!H368+"n/&gt;!/Og"</f>
        <v>#VALUE!</v>
      </c>
      <c r="AD262" t="e">
        <f>Europe!I368+"n/&gt;!/Oh"</f>
        <v>#VALUE!</v>
      </c>
      <c r="AE262" t="e">
        <f>Europe!A369+"n/&gt;!/Oi"</f>
        <v>#VALUE!</v>
      </c>
      <c r="AF262" t="e">
        <f>Europe!B369+"n/&gt;!/Oj"</f>
        <v>#VALUE!</v>
      </c>
      <c r="AG262" t="e">
        <f>Europe!C369+"n/&gt;!/Ok"</f>
        <v>#VALUE!</v>
      </c>
      <c r="AH262" t="e">
        <f>Europe!D369+"n/&gt;!/Ol"</f>
        <v>#VALUE!</v>
      </c>
      <c r="AI262" t="e">
        <f>Europe!E369+"n/&gt;!/Om"</f>
        <v>#VALUE!</v>
      </c>
      <c r="AJ262" t="e">
        <f>Europe!F369+"n/&gt;!/On"</f>
        <v>#VALUE!</v>
      </c>
      <c r="AK262" t="e">
        <f>Europe!G369+"n/&gt;!/Oo"</f>
        <v>#VALUE!</v>
      </c>
      <c r="AL262" t="e">
        <f>Europe!H369+"n/&gt;!/Op"</f>
        <v>#VALUE!</v>
      </c>
      <c r="AM262" t="e">
        <f>Europe!I369+"n/&gt;!/Oq"</f>
        <v>#VALUE!</v>
      </c>
      <c r="AN262" t="e">
        <f>Europe!A370+"n/&gt;!/Or"</f>
        <v>#VALUE!</v>
      </c>
      <c r="AO262" t="e">
        <f>Europe!B370+"n/&gt;!/Os"</f>
        <v>#VALUE!</v>
      </c>
      <c r="AP262" t="e">
        <f>Europe!C370+"n/&gt;!/Ot"</f>
        <v>#VALUE!</v>
      </c>
      <c r="AQ262" t="e">
        <f>Europe!D370+"n/&gt;!/Ou"</f>
        <v>#VALUE!</v>
      </c>
      <c r="AR262" t="e">
        <f>Europe!E370+"n/&gt;!/Ov"</f>
        <v>#VALUE!</v>
      </c>
      <c r="AS262" t="e">
        <f>Europe!F370+"n/&gt;!/Ow"</f>
        <v>#VALUE!</v>
      </c>
      <c r="AT262" t="e">
        <f>Europe!G370+"n/&gt;!/Ox"</f>
        <v>#VALUE!</v>
      </c>
      <c r="AU262" t="e">
        <f>Europe!H370+"n/&gt;!/Oy"</f>
        <v>#VALUE!</v>
      </c>
      <c r="AV262" t="e">
        <f>Europe!I370+"n/&gt;!/Oz"</f>
        <v>#VALUE!</v>
      </c>
      <c r="AW262" t="e">
        <f>Europe!A371+"n/&gt;!/O{"</f>
        <v>#VALUE!</v>
      </c>
      <c r="AX262" t="e">
        <f>Europe!B371+"n/&gt;!/O|"</f>
        <v>#VALUE!</v>
      </c>
      <c r="AY262" t="e">
        <f>Europe!C371+"n/&gt;!/O}"</f>
        <v>#VALUE!</v>
      </c>
      <c r="AZ262" t="e">
        <f>Europe!D371+"n/&gt;!/O~"</f>
        <v>#VALUE!</v>
      </c>
      <c r="BA262" t="e">
        <f>Europe!E371+"n/&gt;!/P#"</f>
        <v>#VALUE!</v>
      </c>
      <c r="BB262" t="e">
        <f>Europe!F371+"n/&gt;!/P$"</f>
        <v>#VALUE!</v>
      </c>
      <c r="BC262" t="e">
        <f>Europe!G371+"n/&gt;!/P%"</f>
        <v>#VALUE!</v>
      </c>
      <c r="BD262" t="e">
        <f>Europe!H371+"n/&gt;!/P&amp;"</f>
        <v>#VALUE!</v>
      </c>
      <c r="BE262" t="e">
        <f>Europe!I371+"n/&gt;!/P'"</f>
        <v>#VALUE!</v>
      </c>
      <c r="BF262" t="e">
        <f>Europe!A372+"n/&gt;!/P("</f>
        <v>#VALUE!</v>
      </c>
      <c r="BG262" t="e">
        <f>Europe!B372+"n/&gt;!/P)"</f>
        <v>#VALUE!</v>
      </c>
      <c r="BH262" t="e">
        <f>Europe!C372+"n/&gt;!/P."</f>
        <v>#VALUE!</v>
      </c>
      <c r="BI262" t="e">
        <f>Europe!D372+"n/&gt;!/P/"</f>
        <v>#VALUE!</v>
      </c>
      <c r="BJ262" t="e">
        <f>Europe!E372+"n/&gt;!/P0"</f>
        <v>#VALUE!</v>
      </c>
      <c r="BK262" t="e">
        <f>Europe!F372+"n/&gt;!/P1"</f>
        <v>#VALUE!</v>
      </c>
      <c r="BL262" t="e">
        <f>Europe!G372+"n/&gt;!/P2"</f>
        <v>#VALUE!</v>
      </c>
      <c r="BM262" t="e">
        <f>Europe!H372+"n/&gt;!/P3"</f>
        <v>#VALUE!</v>
      </c>
      <c r="BN262" t="e">
        <f>Europe!I372+"n/&gt;!/P4"</f>
        <v>#VALUE!</v>
      </c>
      <c r="BO262" t="e">
        <f>Europe!A373+"n/&gt;!/P5"</f>
        <v>#VALUE!</v>
      </c>
      <c r="BP262" t="e">
        <f>Europe!B373+"n/&gt;!/P6"</f>
        <v>#VALUE!</v>
      </c>
      <c r="BQ262" t="e">
        <f>Europe!C373+"n/&gt;!/P7"</f>
        <v>#VALUE!</v>
      </c>
      <c r="BR262" t="e">
        <f>Europe!D373+"n/&gt;!/P8"</f>
        <v>#VALUE!</v>
      </c>
      <c r="BS262" t="e">
        <f>Europe!E373+"n/&gt;!/P9"</f>
        <v>#VALUE!</v>
      </c>
      <c r="BT262" t="e">
        <f>Europe!F373+"n/&gt;!/P:"</f>
        <v>#VALUE!</v>
      </c>
      <c r="BU262" t="e">
        <f>Europe!G373+"n/&gt;!/P;"</f>
        <v>#VALUE!</v>
      </c>
      <c r="BV262" t="e">
        <f>Europe!H373+"n/&gt;!/P&lt;"</f>
        <v>#VALUE!</v>
      </c>
      <c r="BW262" t="e">
        <f>Europe!I373+"n/&gt;!/P="</f>
        <v>#VALUE!</v>
      </c>
      <c r="BX262" t="e">
        <f>Europe!A374+"n/&gt;!/P&gt;"</f>
        <v>#VALUE!</v>
      </c>
      <c r="BY262" t="e">
        <f>Europe!B374+"n/&gt;!/P?"</f>
        <v>#VALUE!</v>
      </c>
      <c r="BZ262" t="e">
        <f>Europe!C374+"n/&gt;!/P@"</f>
        <v>#VALUE!</v>
      </c>
      <c r="CA262" t="e">
        <f>Europe!D374+"n/&gt;!/PA"</f>
        <v>#VALUE!</v>
      </c>
      <c r="CB262" t="e">
        <f>Europe!E374+"n/&gt;!/PB"</f>
        <v>#VALUE!</v>
      </c>
      <c r="CC262" t="e">
        <f>Europe!F374+"n/&gt;!/PC"</f>
        <v>#VALUE!</v>
      </c>
      <c r="CD262" t="e">
        <f>Europe!G374+"n/&gt;!/PD"</f>
        <v>#VALUE!</v>
      </c>
      <c r="CE262" t="e">
        <f>Europe!H374+"n/&gt;!/PE"</f>
        <v>#VALUE!</v>
      </c>
      <c r="CF262" t="e">
        <f>Europe!I374+"n/&gt;!/PF"</f>
        <v>#VALUE!</v>
      </c>
      <c r="CG262" t="e">
        <f>Europe!A375+"n/&gt;!/PG"</f>
        <v>#VALUE!</v>
      </c>
      <c r="CH262" t="e">
        <f>Europe!B375+"n/&gt;!/PH"</f>
        <v>#VALUE!</v>
      </c>
      <c r="CI262" t="e">
        <f>Europe!C375+"n/&gt;!/PI"</f>
        <v>#VALUE!</v>
      </c>
      <c r="CJ262" t="e">
        <f>Europe!D375+"n/&gt;!/PJ"</f>
        <v>#VALUE!</v>
      </c>
      <c r="CK262" t="e">
        <f>Europe!E375+"n/&gt;!/PK"</f>
        <v>#VALUE!</v>
      </c>
      <c r="CL262" t="e">
        <f>Europe!F375+"n/&gt;!/PL"</f>
        <v>#VALUE!</v>
      </c>
      <c r="CM262" t="e">
        <f>Europe!G375+"n/&gt;!/PM"</f>
        <v>#VALUE!</v>
      </c>
      <c r="CN262" t="e">
        <f>Europe!H375+"n/&gt;!/PN"</f>
        <v>#VALUE!</v>
      </c>
      <c r="CO262" t="e">
        <f>Europe!I375+"n/&gt;!/PO"</f>
        <v>#VALUE!</v>
      </c>
      <c r="CP262" t="e">
        <f>Europe!A376+"n/&gt;!/PP"</f>
        <v>#VALUE!</v>
      </c>
      <c r="CQ262" t="e">
        <f>Europe!B376+"n/&gt;!/PQ"</f>
        <v>#VALUE!</v>
      </c>
      <c r="CR262" t="e">
        <f>Europe!C376+"n/&gt;!/PR"</f>
        <v>#VALUE!</v>
      </c>
      <c r="CS262" t="e">
        <f>Europe!D376+"n/&gt;!/PS"</f>
        <v>#VALUE!</v>
      </c>
      <c r="CT262" t="e">
        <f>Europe!E376+"n/&gt;!/PT"</f>
        <v>#VALUE!</v>
      </c>
      <c r="CU262" t="e">
        <f>Europe!F376+"n/&gt;!/PU"</f>
        <v>#VALUE!</v>
      </c>
      <c r="CV262" t="e">
        <f>Europe!G376+"n/&gt;!/PV"</f>
        <v>#VALUE!</v>
      </c>
      <c r="CW262" t="e">
        <f>Europe!H376+"n/&gt;!/PW"</f>
        <v>#VALUE!</v>
      </c>
      <c r="CX262" t="e">
        <f>Europe!I376+"n/&gt;!/PX"</f>
        <v>#VALUE!</v>
      </c>
      <c r="CY262" t="e">
        <f>Europe!A377+"n/&gt;!/PY"</f>
        <v>#VALUE!</v>
      </c>
      <c r="CZ262" t="e">
        <f>Europe!B377+"n/&gt;!/PZ"</f>
        <v>#VALUE!</v>
      </c>
      <c r="DA262" t="e">
        <f>Europe!C377+"n/&gt;!/P["</f>
        <v>#VALUE!</v>
      </c>
      <c r="DB262" t="e">
        <f>Europe!D377+"n/&gt;!/P\"</f>
        <v>#VALUE!</v>
      </c>
      <c r="DC262" t="e">
        <f>Europe!E377+"n/&gt;!/P]"</f>
        <v>#VALUE!</v>
      </c>
      <c r="DD262" t="e">
        <f>Europe!F377+"n/&gt;!/P^"</f>
        <v>#VALUE!</v>
      </c>
      <c r="DE262" t="e">
        <f>Europe!G377+"n/&gt;!/P_"</f>
        <v>#VALUE!</v>
      </c>
      <c r="DF262" t="e">
        <f>Europe!H377+"n/&gt;!/P`"</f>
        <v>#VALUE!</v>
      </c>
      <c r="DG262" t="e">
        <f>Europe!I377+"n/&gt;!/Pa"</f>
        <v>#VALUE!</v>
      </c>
      <c r="DH262" t="e">
        <f>Europe!A378+"n/&gt;!/Pb"</f>
        <v>#VALUE!</v>
      </c>
      <c r="DI262" t="e">
        <f>Europe!B378+"n/&gt;!/Pc"</f>
        <v>#VALUE!</v>
      </c>
      <c r="DJ262" t="e">
        <f>Europe!C378+"n/&gt;!/Pd"</f>
        <v>#VALUE!</v>
      </c>
      <c r="DK262" t="e">
        <f>Europe!D378+"n/&gt;!/Pe"</f>
        <v>#VALUE!</v>
      </c>
      <c r="DL262" t="e">
        <f>Europe!E378+"n/&gt;!/Pf"</f>
        <v>#VALUE!</v>
      </c>
      <c r="DM262" t="e">
        <f>Europe!F378+"n/&gt;!/Pg"</f>
        <v>#VALUE!</v>
      </c>
      <c r="DN262" t="e">
        <f>Europe!G378+"n/&gt;!/Ph"</f>
        <v>#VALUE!</v>
      </c>
      <c r="DO262" t="e">
        <f>Europe!H378+"n/&gt;!/Pi"</f>
        <v>#VALUE!</v>
      </c>
      <c r="DP262" t="e">
        <f>Europe!I378+"n/&gt;!/Pj"</f>
        <v>#VALUE!</v>
      </c>
      <c r="DQ262" t="e">
        <f>Europe!A379+"n/&gt;!/Pk"</f>
        <v>#VALUE!</v>
      </c>
      <c r="DR262" t="e">
        <f>Europe!B379+"n/&gt;!/Pl"</f>
        <v>#VALUE!</v>
      </c>
      <c r="DS262" t="e">
        <f>Europe!C379+"n/&gt;!/Pm"</f>
        <v>#VALUE!</v>
      </c>
      <c r="DT262" t="e">
        <f>Europe!D379+"n/&gt;!/Pn"</f>
        <v>#VALUE!</v>
      </c>
      <c r="DU262" t="e">
        <f>Europe!E379+"n/&gt;!/Po"</f>
        <v>#VALUE!</v>
      </c>
      <c r="DV262" t="e">
        <f>Europe!F379+"n/&gt;!/Pp"</f>
        <v>#VALUE!</v>
      </c>
      <c r="DW262" t="e">
        <f>Europe!G379+"n/&gt;!/Pq"</f>
        <v>#VALUE!</v>
      </c>
      <c r="DX262" t="e">
        <f>Europe!H379+"n/&gt;!/Pr"</f>
        <v>#VALUE!</v>
      </c>
      <c r="DY262" t="e">
        <f>Europe!I379+"n/&gt;!/Ps"</f>
        <v>#VALUE!</v>
      </c>
      <c r="DZ262" t="e">
        <f>Europe!A380+"n/&gt;!/Pt"</f>
        <v>#VALUE!</v>
      </c>
      <c r="EA262" t="e">
        <f>Europe!B380+"n/&gt;!/Pu"</f>
        <v>#VALUE!</v>
      </c>
      <c r="EB262" t="e">
        <f>Europe!C380+"n/&gt;!/Pv"</f>
        <v>#VALUE!</v>
      </c>
      <c r="EC262" t="e">
        <f>Europe!D380+"n/&gt;!/Pw"</f>
        <v>#VALUE!</v>
      </c>
      <c r="ED262" t="e">
        <f>Europe!E380+"n/&gt;!/Px"</f>
        <v>#VALUE!</v>
      </c>
      <c r="EE262" t="e">
        <f>Europe!F380+"n/&gt;!/Py"</f>
        <v>#VALUE!</v>
      </c>
      <c r="EF262" t="e">
        <f>Europe!G380+"n/&gt;!/Pz"</f>
        <v>#VALUE!</v>
      </c>
      <c r="EG262" t="e">
        <f>Europe!H380+"n/&gt;!/P{"</f>
        <v>#VALUE!</v>
      </c>
      <c r="EH262" t="e">
        <f>Europe!I380+"n/&gt;!/P|"</f>
        <v>#VALUE!</v>
      </c>
      <c r="EI262" t="e">
        <f>Europe!A381+"n/&gt;!/P}"</f>
        <v>#VALUE!</v>
      </c>
      <c r="EJ262" t="e">
        <f>Europe!B381+"n/&gt;!/P~"</f>
        <v>#VALUE!</v>
      </c>
      <c r="EK262" t="e">
        <f>Europe!C381+"n/&gt;!/Q#"</f>
        <v>#VALUE!</v>
      </c>
      <c r="EL262" t="e">
        <f>Europe!D381+"n/&gt;!/Q$"</f>
        <v>#VALUE!</v>
      </c>
      <c r="EM262" t="e">
        <f>Europe!E381+"n/&gt;!/Q%"</f>
        <v>#VALUE!</v>
      </c>
      <c r="EN262" t="e">
        <f>Europe!F381+"n/&gt;!/Q&amp;"</f>
        <v>#VALUE!</v>
      </c>
      <c r="EO262" t="e">
        <f>Europe!G381+"n/&gt;!/Q'"</f>
        <v>#VALUE!</v>
      </c>
      <c r="EP262" t="e">
        <f>Europe!H381+"n/&gt;!/Q("</f>
        <v>#VALUE!</v>
      </c>
      <c r="EQ262" t="e">
        <f>Europe!I381+"n/&gt;!/Q)"</f>
        <v>#VALUE!</v>
      </c>
      <c r="ER262" t="e">
        <f>Europe!A382+"n/&gt;!/Q."</f>
        <v>#VALUE!</v>
      </c>
      <c r="ES262" t="e">
        <f>Europe!B382+"n/&gt;!/Q/"</f>
        <v>#VALUE!</v>
      </c>
      <c r="ET262" t="e">
        <f>Europe!C382+"n/&gt;!/Q0"</f>
        <v>#VALUE!</v>
      </c>
      <c r="EU262" t="e">
        <f>Europe!D382+"n/&gt;!/Q1"</f>
        <v>#VALUE!</v>
      </c>
      <c r="EV262" t="e">
        <f>Europe!E382+"n/&gt;!/Q2"</f>
        <v>#VALUE!</v>
      </c>
      <c r="EW262" t="e">
        <f>Europe!F382+"n/&gt;!/Q3"</f>
        <v>#VALUE!</v>
      </c>
      <c r="EX262" t="e">
        <f>Europe!G382+"n/&gt;!/Q4"</f>
        <v>#VALUE!</v>
      </c>
      <c r="EY262" t="e">
        <f>Europe!H382+"n/&gt;!/Q5"</f>
        <v>#VALUE!</v>
      </c>
      <c r="EZ262" t="e">
        <f>Europe!I382+"n/&gt;!/Q6"</f>
        <v>#VALUE!</v>
      </c>
      <c r="FA262" t="e">
        <f>Europe!A383+"n/&gt;!/Q7"</f>
        <v>#VALUE!</v>
      </c>
      <c r="FB262" t="e">
        <f>Europe!B383+"n/&gt;!/Q8"</f>
        <v>#VALUE!</v>
      </c>
      <c r="FC262" t="e">
        <f>Europe!C383+"n/&gt;!/Q9"</f>
        <v>#VALUE!</v>
      </c>
      <c r="FD262" t="e">
        <f>Europe!D383+"n/&gt;!/Q:"</f>
        <v>#VALUE!</v>
      </c>
      <c r="FE262" t="e">
        <f>Europe!E383+"n/&gt;!/Q;"</f>
        <v>#VALUE!</v>
      </c>
      <c r="FF262" t="e">
        <f>Europe!F383+"n/&gt;!/Q&lt;"</f>
        <v>#VALUE!</v>
      </c>
      <c r="FG262" t="e">
        <f>Europe!G383+"n/&gt;!/Q="</f>
        <v>#VALUE!</v>
      </c>
      <c r="FH262" t="e">
        <f>Europe!H383+"n/&gt;!/Q&gt;"</f>
        <v>#VALUE!</v>
      </c>
      <c r="FI262" t="e">
        <f>Europe!I383+"n/&gt;!/Q?"</f>
        <v>#VALUE!</v>
      </c>
      <c r="FJ262" t="e">
        <f>Europe!A384+"n/&gt;!/Q@"</f>
        <v>#VALUE!</v>
      </c>
      <c r="FK262" t="e">
        <f>Europe!B384+"n/&gt;!/QA"</f>
        <v>#VALUE!</v>
      </c>
      <c r="FL262" t="e">
        <f>Europe!C384+"n/&gt;!/QB"</f>
        <v>#VALUE!</v>
      </c>
      <c r="FM262" t="e">
        <f>Europe!D384+"n/&gt;!/QC"</f>
        <v>#VALUE!</v>
      </c>
      <c r="FN262" t="e">
        <f>Europe!E384+"n/&gt;!/QD"</f>
        <v>#VALUE!</v>
      </c>
      <c r="FO262" t="e">
        <f>Europe!F384+"n/&gt;!/QE"</f>
        <v>#VALUE!</v>
      </c>
      <c r="FP262" t="e">
        <f>Europe!G384+"n/&gt;!/QF"</f>
        <v>#VALUE!</v>
      </c>
      <c r="FQ262" t="e">
        <f>Europe!H384+"n/&gt;!/QG"</f>
        <v>#VALUE!</v>
      </c>
      <c r="FR262" t="e">
        <f>Europe!I384+"n/&gt;!/QH"</f>
        <v>#VALUE!</v>
      </c>
      <c r="FS262" t="e">
        <f>Europe!A385+"n/&gt;!/QI"</f>
        <v>#VALUE!</v>
      </c>
      <c r="FT262" t="e">
        <f>Europe!B385+"n/&gt;!/QJ"</f>
        <v>#VALUE!</v>
      </c>
      <c r="FU262" t="e">
        <f>Europe!C385+"n/&gt;!/QK"</f>
        <v>#VALUE!</v>
      </c>
      <c r="FV262" t="e">
        <f>Europe!D385+"n/&gt;!/QL"</f>
        <v>#VALUE!</v>
      </c>
      <c r="FW262" t="e">
        <f>Europe!E385+"n/&gt;!/QM"</f>
        <v>#VALUE!</v>
      </c>
      <c r="FX262" t="e">
        <f>Europe!F385+"n/&gt;!/QN"</f>
        <v>#VALUE!</v>
      </c>
      <c r="FY262" t="e">
        <f>Europe!G385+"n/&gt;!/QO"</f>
        <v>#VALUE!</v>
      </c>
      <c r="FZ262" t="e">
        <f>Europe!H385+"n/&gt;!/QP"</f>
        <v>#VALUE!</v>
      </c>
      <c r="GA262" t="e">
        <f>Europe!I385+"n/&gt;!/QQ"</f>
        <v>#VALUE!</v>
      </c>
      <c r="GB262" t="e">
        <f>Europe!A386+"n/&gt;!/QR"</f>
        <v>#VALUE!</v>
      </c>
      <c r="GC262" t="e">
        <f>Europe!B386+"n/&gt;!/QS"</f>
        <v>#VALUE!</v>
      </c>
      <c r="GD262" t="e">
        <f>Europe!C386+"n/&gt;!/QT"</f>
        <v>#VALUE!</v>
      </c>
      <c r="GE262" t="e">
        <f>Europe!D386+"n/&gt;!/QU"</f>
        <v>#VALUE!</v>
      </c>
      <c r="GF262" t="e">
        <f>Europe!E386+"n/&gt;!/QV"</f>
        <v>#VALUE!</v>
      </c>
      <c r="GG262" t="e">
        <f>Europe!F386+"n/&gt;!/QW"</f>
        <v>#VALUE!</v>
      </c>
      <c r="GH262" t="e">
        <f>Europe!G386+"n/&gt;!/QX"</f>
        <v>#VALUE!</v>
      </c>
      <c r="GI262" t="e">
        <f>Europe!H386+"n/&gt;!/QY"</f>
        <v>#VALUE!</v>
      </c>
      <c r="GJ262" t="e">
        <f>Europe!I386+"n/&gt;!/QZ"</f>
        <v>#VALUE!</v>
      </c>
      <c r="GK262" t="e">
        <f>Europe!A387+"n/&gt;!/Q["</f>
        <v>#VALUE!</v>
      </c>
      <c r="GL262" t="e">
        <f>Europe!B387+"n/&gt;!/Q\"</f>
        <v>#VALUE!</v>
      </c>
      <c r="GM262" t="e">
        <f>Europe!C387+"n/&gt;!/Q]"</f>
        <v>#VALUE!</v>
      </c>
      <c r="GN262" t="e">
        <f>Europe!D387+"n/&gt;!/Q^"</f>
        <v>#VALUE!</v>
      </c>
      <c r="GO262" t="e">
        <f>Europe!E387+"n/&gt;!/Q_"</f>
        <v>#VALUE!</v>
      </c>
      <c r="GP262" t="e">
        <f>Europe!F387+"n/&gt;!/Q`"</f>
        <v>#VALUE!</v>
      </c>
      <c r="GQ262" t="e">
        <f>Europe!G387+"n/&gt;!/Qa"</f>
        <v>#VALUE!</v>
      </c>
      <c r="GR262" t="e">
        <f>Europe!H387+"n/&gt;!/Qb"</f>
        <v>#VALUE!</v>
      </c>
      <c r="GS262" t="e">
        <f>Europe!I387+"n/&gt;!/Qc"</f>
        <v>#VALUE!</v>
      </c>
      <c r="GT262" t="e">
        <f>Europe!A388+"n/&gt;!/Qd"</f>
        <v>#VALUE!</v>
      </c>
      <c r="GU262" t="e">
        <f>Europe!B388+"n/&gt;!/Qe"</f>
        <v>#VALUE!</v>
      </c>
      <c r="GV262" t="e">
        <f>Europe!C388+"n/&gt;!/Qf"</f>
        <v>#VALUE!</v>
      </c>
      <c r="GW262" t="e">
        <f>Europe!D388+"n/&gt;!/Qg"</f>
        <v>#VALUE!</v>
      </c>
      <c r="GX262" t="e">
        <f>Europe!E388+"n/&gt;!/Qh"</f>
        <v>#VALUE!</v>
      </c>
      <c r="GY262" t="e">
        <f>Europe!F388+"n/&gt;!/Qi"</f>
        <v>#VALUE!</v>
      </c>
      <c r="GZ262" t="e">
        <f>Europe!G388+"n/&gt;!/Qj"</f>
        <v>#VALUE!</v>
      </c>
      <c r="HA262" t="e">
        <f>Europe!H388+"n/&gt;!/Qk"</f>
        <v>#VALUE!</v>
      </c>
      <c r="HB262" t="e">
        <f>Europe!I388+"n/&gt;!/Ql"</f>
        <v>#VALUE!</v>
      </c>
      <c r="HC262" t="e">
        <f>Europe!A389+"n/&gt;!/Qm"</f>
        <v>#VALUE!</v>
      </c>
      <c r="HD262" t="e">
        <f>Europe!B389+"n/&gt;!/Qn"</f>
        <v>#VALUE!</v>
      </c>
      <c r="HE262" t="e">
        <f>Europe!C389+"n/&gt;!/Qo"</f>
        <v>#VALUE!</v>
      </c>
      <c r="HF262" t="e">
        <f>Europe!D389+"n/&gt;!/Qp"</f>
        <v>#VALUE!</v>
      </c>
      <c r="HG262" t="e">
        <f>Europe!E389+"n/&gt;!/Qq"</f>
        <v>#VALUE!</v>
      </c>
      <c r="HH262" t="e">
        <f>Europe!F389+"n/&gt;!/Qr"</f>
        <v>#VALUE!</v>
      </c>
      <c r="HI262" t="e">
        <f>Europe!G389+"n/&gt;!/Qs"</f>
        <v>#VALUE!</v>
      </c>
      <c r="HJ262" t="e">
        <f>Europe!H389+"n/&gt;!/Qt"</f>
        <v>#VALUE!</v>
      </c>
      <c r="HK262" t="e">
        <f>Europe!I389+"n/&gt;!/Qu"</f>
        <v>#VALUE!</v>
      </c>
      <c r="HL262" t="e">
        <f>Europe!A390+"n/&gt;!/Qv"</f>
        <v>#VALUE!</v>
      </c>
      <c r="HM262" t="e">
        <f>Europe!B390+"n/&gt;!/Qw"</f>
        <v>#VALUE!</v>
      </c>
      <c r="HN262" t="e">
        <f>Europe!C390+"n/&gt;!/Qx"</f>
        <v>#VALUE!</v>
      </c>
      <c r="HO262" t="e">
        <f>Europe!D390+"n/&gt;!/Qy"</f>
        <v>#VALUE!</v>
      </c>
      <c r="HP262" t="e">
        <f>Europe!E390+"n/&gt;!/Qz"</f>
        <v>#VALUE!</v>
      </c>
      <c r="HQ262" t="e">
        <f>Europe!F390+"n/&gt;!/Q{"</f>
        <v>#VALUE!</v>
      </c>
      <c r="HR262" t="e">
        <f>Europe!G390+"n/&gt;!/Q|"</f>
        <v>#VALUE!</v>
      </c>
      <c r="HS262" t="e">
        <f>Europe!H390+"n/&gt;!/Q}"</f>
        <v>#VALUE!</v>
      </c>
      <c r="HT262" t="e">
        <f>Europe!I390+"n/&gt;!/Q~"</f>
        <v>#VALUE!</v>
      </c>
      <c r="HU262" t="e">
        <f>Europe!A391+"n/&gt;!/R#"</f>
        <v>#VALUE!</v>
      </c>
      <c r="HV262" t="e">
        <f>Europe!B391+"n/&gt;!/R$"</f>
        <v>#VALUE!</v>
      </c>
      <c r="HW262" t="e">
        <f>Europe!C391+"n/&gt;!/R%"</f>
        <v>#VALUE!</v>
      </c>
      <c r="HX262" t="e">
        <f>Europe!D391+"n/&gt;!/R&amp;"</f>
        <v>#VALUE!</v>
      </c>
      <c r="HY262" t="e">
        <f>Europe!E391+"n/&gt;!/R'"</f>
        <v>#VALUE!</v>
      </c>
      <c r="HZ262" t="e">
        <f>Europe!F391+"n/&gt;!/R("</f>
        <v>#VALUE!</v>
      </c>
      <c r="IA262" t="e">
        <f>Europe!G391+"n/&gt;!/R)"</f>
        <v>#VALUE!</v>
      </c>
      <c r="IB262" t="e">
        <f>Europe!H391+"n/&gt;!/R."</f>
        <v>#VALUE!</v>
      </c>
      <c r="IC262" t="e">
        <f>Europe!I391+"n/&gt;!/R/"</f>
        <v>#VALUE!</v>
      </c>
      <c r="ID262" t="e">
        <f>Europe!A392+"n/&gt;!/R0"</f>
        <v>#VALUE!</v>
      </c>
      <c r="IE262" t="e">
        <f>Europe!B392+"n/&gt;!/R1"</f>
        <v>#VALUE!</v>
      </c>
      <c r="IF262" t="e">
        <f>Europe!C392+"n/&gt;!/R2"</f>
        <v>#VALUE!</v>
      </c>
      <c r="IG262" t="e">
        <f>Europe!D392+"n/&gt;!/R3"</f>
        <v>#VALUE!</v>
      </c>
      <c r="IH262" t="e">
        <f>Europe!E392+"n/&gt;!/R4"</f>
        <v>#VALUE!</v>
      </c>
      <c r="II262" t="e">
        <f>Europe!F392+"n/&gt;!/R5"</f>
        <v>#VALUE!</v>
      </c>
      <c r="IJ262" t="e">
        <f>Europe!G392+"n/&gt;!/R6"</f>
        <v>#VALUE!</v>
      </c>
      <c r="IK262" t="e">
        <f>Europe!H392+"n/&gt;!/R7"</f>
        <v>#VALUE!</v>
      </c>
      <c r="IL262" t="e">
        <f>Europe!I392+"n/&gt;!/R8"</f>
        <v>#VALUE!</v>
      </c>
      <c r="IM262" t="e">
        <f>Europe!A393+"n/&gt;!/R9"</f>
        <v>#VALUE!</v>
      </c>
      <c r="IN262" t="e">
        <f>Europe!B393+"n/&gt;!/R:"</f>
        <v>#VALUE!</v>
      </c>
      <c r="IO262" t="e">
        <f>Europe!C393+"n/&gt;!/R;"</f>
        <v>#VALUE!</v>
      </c>
      <c r="IP262" t="e">
        <f>Europe!D393+"n/&gt;!/R&lt;"</f>
        <v>#VALUE!</v>
      </c>
      <c r="IQ262" t="e">
        <f>Europe!E393+"n/&gt;!/R="</f>
        <v>#VALUE!</v>
      </c>
      <c r="IR262" t="e">
        <f>Europe!F393+"n/&gt;!/R&gt;"</f>
        <v>#VALUE!</v>
      </c>
      <c r="IS262" t="e">
        <f>Europe!G393+"n/&gt;!/R?"</f>
        <v>#VALUE!</v>
      </c>
      <c r="IT262" t="e">
        <f>Europe!H393+"n/&gt;!/R@"</f>
        <v>#VALUE!</v>
      </c>
      <c r="IU262" t="e">
        <f>Europe!I393+"n/&gt;!/RA"</f>
        <v>#VALUE!</v>
      </c>
      <c r="IV262" t="e">
        <f>Europe!A394+"n/&gt;!/RB"</f>
        <v>#VALUE!</v>
      </c>
    </row>
    <row r="263" spans="6:256" x14ac:dyDescent="0.35">
      <c r="F263" t="e">
        <f>Europe!B394+"n/&gt;!/RC"</f>
        <v>#VALUE!</v>
      </c>
      <c r="G263" t="e">
        <f>Europe!C394+"n/&gt;!/RD"</f>
        <v>#VALUE!</v>
      </c>
      <c r="H263" t="e">
        <f>Europe!D394+"n/&gt;!/RE"</f>
        <v>#VALUE!</v>
      </c>
      <c r="I263" t="e">
        <f>Europe!E394+"n/&gt;!/RF"</f>
        <v>#VALUE!</v>
      </c>
      <c r="J263" t="e">
        <f>Europe!F394+"n/&gt;!/RG"</f>
        <v>#VALUE!</v>
      </c>
      <c r="K263" t="e">
        <f>Europe!G394+"n/&gt;!/RH"</f>
        <v>#VALUE!</v>
      </c>
      <c r="L263" t="e">
        <f>Europe!H394+"n/&gt;!/RI"</f>
        <v>#VALUE!</v>
      </c>
      <c r="M263" t="e">
        <f>Europe!I394+"n/&gt;!/RJ"</f>
        <v>#VALUE!</v>
      </c>
      <c r="N263" t="e">
        <f>Europe!A395+"n/&gt;!/RK"</f>
        <v>#VALUE!</v>
      </c>
      <c r="O263" t="e">
        <f>Europe!B395+"n/&gt;!/RL"</f>
        <v>#VALUE!</v>
      </c>
      <c r="P263" t="e">
        <f>Europe!C395+"n/&gt;!/RM"</f>
        <v>#VALUE!</v>
      </c>
      <c r="Q263" t="e">
        <f>Europe!D395+"n/&gt;!/RN"</f>
        <v>#VALUE!</v>
      </c>
      <c r="R263" t="e">
        <f>Europe!E395+"n/&gt;!/RO"</f>
        <v>#VALUE!</v>
      </c>
      <c r="S263" t="e">
        <f>Europe!F395+"n/&gt;!/RP"</f>
        <v>#VALUE!</v>
      </c>
      <c r="T263" t="e">
        <f>Europe!G395+"n/&gt;!/RQ"</f>
        <v>#VALUE!</v>
      </c>
      <c r="U263" t="e">
        <f>Europe!H395+"n/&gt;!/RR"</f>
        <v>#VALUE!</v>
      </c>
      <c r="V263" t="e">
        <f>Europe!I395+"n/&gt;!/RS"</f>
        <v>#VALUE!</v>
      </c>
      <c r="W263" t="e">
        <f>Europe!A396+"n/&gt;!/RT"</f>
        <v>#VALUE!</v>
      </c>
      <c r="X263" t="e">
        <f>Europe!B396+"n/&gt;!/RU"</f>
        <v>#VALUE!</v>
      </c>
      <c r="Y263" t="e">
        <f>Europe!C396+"n/&gt;!/RV"</f>
        <v>#VALUE!</v>
      </c>
      <c r="Z263" t="e">
        <f>Europe!D396+"n/&gt;!/RW"</f>
        <v>#VALUE!</v>
      </c>
      <c r="AA263" t="e">
        <f>Europe!E396+"n/&gt;!/RX"</f>
        <v>#VALUE!</v>
      </c>
      <c r="AB263" t="e">
        <f>Europe!F396+"n/&gt;!/RY"</f>
        <v>#VALUE!</v>
      </c>
      <c r="AC263" t="e">
        <f>Europe!G396+"n/&gt;!/RZ"</f>
        <v>#VALUE!</v>
      </c>
      <c r="AD263" t="e">
        <f>Europe!H396+"n/&gt;!/R["</f>
        <v>#VALUE!</v>
      </c>
      <c r="AE263" t="e">
        <f>Europe!I396+"n/&gt;!/R\"</f>
        <v>#VALUE!</v>
      </c>
      <c r="AF263" t="e">
        <f>Europe!A397+"n/&gt;!/R]"</f>
        <v>#VALUE!</v>
      </c>
      <c r="AG263" t="e">
        <f>Europe!B397+"n/&gt;!/R^"</f>
        <v>#VALUE!</v>
      </c>
      <c r="AH263" t="e">
        <f>Europe!C397+"n/&gt;!/R_"</f>
        <v>#VALUE!</v>
      </c>
      <c r="AI263" t="e">
        <f>Europe!D397+"n/&gt;!/R`"</f>
        <v>#VALUE!</v>
      </c>
      <c r="AJ263" t="e">
        <f>Europe!E397+"n/&gt;!/Ra"</f>
        <v>#VALUE!</v>
      </c>
      <c r="AK263" t="e">
        <f>Europe!F397+"n/&gt;!/Rb"</f>
        <v>#VALUE!</v>
      </c>
      <c r="AL263" t="e">
        <f>Europe!G397+"n/&gt;!/Rc"</f>
        <v>#VALUE!</v>
      </c>
      <c r="AM263" t="e">
        <f>Europe!H397+"n/&gt;!/Rd"</f>
        <v>#VALUE!</v>
      </c>
      <c r="AN263" t="e">
        <f>Europe!I397+"n/&gt;!/Re"</f>
        <v>#VALUE!</v>
      </c>
      <c r="AO263" t="e">
        <f>Europe!A398+"n/&gt;!/Rf"</f>
        <v>#VALUE!</v>
      </c>
      <c r="AP263" t="e">
        <f>Europe!B398+"n/&gt;!/Rg"</f>
        <v>#VALUE!</v>
      </c>
      <c r="AQ263" t="e">
        <f>Europe!C398+"n/&gt;!/Rh"</f>
        <v>#VALUE!</v>
      </c>
      <c r="AR263" t="e">
        <f>Europe!D398+"n/&gt;!/Ri"</f>
        <v>#VALUE!</v>
      </c>
      <c r="AS263" t="e">
        <f>Europe!E398+"n/&gt;!/Rj"</f>
        <v>#VALUE!</v>
      </c>
      <c r="AT263" t="e">
        <f>Europe!F398+"n/&gt;!/Rk"</f>
        <v>#VALUE!</v>
      </c>
      <c r="AU263" t="e">
        <f>Europe!G398+"n/&gt;!/Rl"</f>
        <v>#VALUE!</v>
      </c>
      <c r="AV263" t="e">
        <f>Europe!H398+"n/&gt;!/Rm"</f>
        <v>#VALUE!</v>
      </c>
      <c r="AW263" t="e">
        <f>Europe!I398+"n/&gt;!/Rn"</f>
        <v>#VALUE!</v>
      </c>
      <c r="AX263" t="e">
        <f>Europe!A399+"n/&gt;!/Ro"</f>
        <v>#VALUE!</v>
      </c>
      <c r="AY263" t="e">
        <f>Europe!B399+"n/&gt;!/Rp"</f>
        <v>#VALUE!</v>
      </c>
      <c r="AZ263" t="e">
        <f>Europe!C399+"n/&gt;!/Rq"</f>
        <v>#VALUE!</v>
      </c>
      <c r="BA263" t="e">
        <f>Europe!D399+"n/&gt;!/Rr"</f>
        <v>#VALUE!</v>
      </c>
      <c r="BB263" t="e">
        <f>Europe!E399+"n/&gt;!/Rs"</f>
        <v>#VALUE!</v>
      </c>
      <c r="BC263" t="e">
        <f>Europe!F399+"n/&gt;!/Rt"</f>
        <v>#VALUE!</v>
      </c>
      <c r="BD263" t="e">
        <f>Europe!G399+"n/&gt;!/Ru"</f>
        <v>#VALUE!</v>
      </c>
      <c r="BE263" t="e">
        <f>Europe!H399+"n/&gt;!/Rv"</f>
        <v>#VALUE!</v>
      </c>
      <c r="BF263" t="e">
        <f>Europe!I399+"n/&gt;!/Rw"</f>
        <v>#VALUE!</v>
      </c>
      <c r="BG263" t="e">
        <f>Europe!A400+"n/&gt;!/Rx"</f>
        <v>#VALUE!</v>
      </c>
      <c r="BH263" t="e">
        <f>Europe!B400+"n/&gt;!/Ry"</f>
        <v>#VALUE!</v>
      </c>
      <c r="BI263" t="e">
        <f>Europe!C400+"n/&gt;!/Rz"</f>
        <v>#VALUE!</v>
      </c>
      <c r="BJ263" t="e">
        <f>Europe!D400+"n/&gt;!/R{"</f>
        <v>#VALUE!</v>
      </c>
      <c r="BK263" t="e">
        <f>Europe!E400+"n/&gt;!/R|"</f>
        <v>#VALUE!</v>
      </c>
      <c r="BL263" t="e">
        <f>Europe!F400+"n/&gt;!/R}"</f>
        <v>#VALUE!</v>
      </c>
      <c r="BM263" t="e">
        <f>Europe!G400+"n/&gt;!/R~"</f>
        <v>#VALUE!</v>
      </c>
      <c r="BN263" t="e">
        <f>Europe!H400+"n/&gt;!/S#"</f>
        <v>#VALUE!</v>
      </c>
      <c r="BO263" t="e">
        <f>Europe!I400+"n/&gt;!/S$"</f>
        <v>#VALUE!</v>
      </c>
      <c r="BP263" t="e">
        <f>Europe!A401+"n/&gt;!/S%"</f>
        <v>#VALUE!</v>
      </c>
      <c r="BQ263" t="e">
        <f>Europe!B401+"n/&gt;!/S&amp;"</f>
        <v>#VALUE!</v>
      </c>
      <c r="BR263" t="e">
        <f>Europe!C401+"n/&gt;!/S'"</f>
        <v>#VALUE!</v>
      </c>
      <c r="BS263" t="e">
        <f>Europe!D401+"n/&gt;!/S("</f>
        <v>#VALUE!</v>
      </c>
      <c r="BT263" t="e">
        <f>Europe!E401+"n/&gt;!/S)"</f>
        <v>#VALUE!</v>
      </c>
      <c r="BU263" t="e">
        <f>Europe!F401+"n/&gt;!/S."</f>
        <v>#VALUE!</v>
      </c>
      <c r="BV263" t="e">
        <f>Europe!G401+"n/&gt;!/S/"</f>
        <v>#VALUE!</v>
      </c>
      <c r="BW263" t="e">
        <f>Europe!H401+"n/&gt;!/S0"</f>
        <v>#VALUE!</v>
      </c>
      <c r="BX263" t="e">
        <f>Europe!I401+"n/&gt;!/S1"</f>
        <v>#VALUE!</v>
      </c>
      <c r="BY263" t="e">
        <f>Europe!A402+"n/&gt;!/S2"</f>
        <v>#VALUE!</v>
      </c>
      <c r="BZ263" t="e">
        <f>Europe!B402+"n/&gt;!/S3"</f>
        <v>#VALUE!</v>
      </c>
      <c r="CA263" t="e">
        <f>Europe!C402+"n/&gt;!/S4"</f>
        <v>#VALUE!</v>
      </c>
      <c r="CB263" t="e">
        <f>Europe!D402+"n/&gt;!/S5"</f>
        <v>#VALUE!</v>
      </c>
      <c r="CC263" t="e">
        <f>Europe!E402+"n/&gt;!/S6"</f>
        <v>#VALUE!</v>
      </c>
      <c r="CD263" t="e">
        <f>Europe!F402+"n/&gt;!/S7"</f>
        <v>#VALUE!</v>
      </c>
      <c r="CE263" t="e">
        <f>Europe!G402+"n/&gt;!/S8"</f>
        <v>#VALUE!</v>
      </c>
      <c r="CF263" t="e">
        <f>Europe!H402+"n/&gt;!/S9"</f>
        <v>#VALUE!</v>
      </c>
      <c r="CG263" t="e">
        <f>Europe!I402+"n/&gt;!/S:"</f>
        <v>#VALUE!</v>
      </c>
      <c r="CH263" t="e">
        <f>Europe!A403+"n/&gt;!/S;"</f>
        <v>#VALUE!</v>
      </c>
      <c r="CI263" t="e">
        <f>Europe!B403+"n/&gt;!/S&lt;"</f>
        <v>#VALUE!</v>
      </c>
      <c r="CJ263" t="e">
        <f>Europe!C403+"n/&gt;!/S="</f>
        <v>#VALUE!</v>
      </c>
      <c r="CK263" t="e">
        <f>Europe!D403+"n/&gt;!/S&gt;"</f>
        <v>#VALUE!</v>
      </c>
      <c r="CL263" t="e">
        <f>Europe!E403+"n/&gt;!/S?"</f>
        <v>#VALUE!</v>
      </c>
      <c r="CM263" t="e">
        <f>Europe!F403+"n/&gt;!/S@"</f>
        <v>#VALUE!</v>
      </c>
      <c r="CN263" t="e">
        <f>Europe!G403+"n/&gt;!/SA"</f>
        <v>#VALUE!</v>
      </c>
      <c r="CO263" t="e">
        <f>Europe!H403+"n/&gt;!/SB"</f>
        <v>#VALUE!</v>
      </c>
      <c r="CP263" t="e">
        <f>Europe!I403+"n/&gt;!/SC"</f>
        <v>#VALUE!</v>
      </c>
      <c r="CQ263" t="e">
        <f>Europe!A404+"n/&gt;!/SD"</f>
        <v>#VALUE!</v>
      </c>
      <c r="CR263" t="e">
        <f>Europe!B404+"n/&gt;!/SE"</f>
        <v>#VALUE!</v>
      </c>
      <c r="CS263" t="e">
        <f>Europe!C404+"n/&gt;!/SF"</f>
        <v>#VALUE!</v>
      </c>
      <c r="CT263" t="e">
        <f>Europe!D404+"n/&gt;!/SG"</f>
        <v>#VALUE!</v>
      </c>
      <c r="CU263" t="e">
        <f>Europe!E404+"n/&gt;!/SH"</f>
        <v>#VALUE!</v>
      </c>
      <c r="CV263" t="e">
        <f>Europe!F404+"n/&gt;!/SI"</f>
        <v>#VALUE!</v>
      </c>
      <c r="CW263" t="e">
        <f>Europe!G404+"n/&gt;!/SJ"</f>
        <v>#VALUE!</v>
      </c>
      <c r="CX263" t="e">
        <f>Europe!H404+"n/&gt;!/SK"</f>
        <v>#VALUE!</v>
      </c>
      <c r="CY263" t="e">
        <f>Europe!I404+"n/&gt;!/SL"</f>
        <v>#VALUE!</v>
      </c>
      <c r="CZ263" t="e">
        <f>Europe!A405+"n/&gt;!/SM"</f>
        <v>#VALUE!</v>
      </c>
      <c r="DA263" t="e">
        <f>Europe!B405+"n/&gt;!/SN"</f>
        <v>#VALUE!</v>
      </c>
      <c r="DB263" t="e">
        <f>Europe!C405+"n/&gt;!/SO"</f>
        <v>#VALUE!</v>
      </c>
      <c r="DC263" t="e">
        <f>Europe!D405+"n/&gt;!/SP"</f>
        <v>#VALUE!</v>
      </c>
      <c r="DD263" t="e">
        <f>Europe!E405+"n/&gt;!/SQ"</f>
        <v>#VALUE!</v>
      </c>
      <c r="DE263" t="e">
        <f>Europe!F405+"n/&gt;!/SR"</f>
        <v>#VALUE!</v>
      </c>
      <c r="DF263" t="e">
        <f>Europe!G405+"n/&gt;!/SS"</f>
        <v>#VALUE!</v>
      </c>
      <c r="DG263" t="e">
        <f>Europe!H405+"n/&gt;!/ST"</f>
        <v>#VALUE!</v>
      </c>
      <c r="DH263" t="e">
        <f>Europe!I405+"n/&gt;!/SU"</f>
        <v>#VALUE!</v>
      </c>
      <c r="DI263" t="e">
        <f>Europe!A406+"n/&gt;!/SV"</f>
        <v>#VALUE!</v>
      </c>
      <c r="DJ263" t="e">
        <f>Europe!B406+"n/&gt;!/SW"</f>
        <v>#VALUE!</v>
      </c>
      <c r="DK263" t="e">
        <f>Europe!C406+"n/&gt;!/SX"</f>
        <v>#VALUE!</v>
      </c>
      <c r="DL263" t="e">
        <f>Europe!D406+"n/&gt;!/SY"</f>
        <v>#VALUE!</v>
      </c>
      <c r="DM263" t="e">
        <f>Europe!E406+"n/&gt;!/SZ"</f>
        <v>#VALUE!</v>
      </c>
      <c r="DN263" t="e">
        <f>Europe!F406+"n/&gt;!/S["</f>
        <v>#VALUE!</v>
      </c>
      <c r="DO263" t="e">
        <f>Europe!G406+"n/&gt;!/S\"</f>
        <v>#VALUE!</v>
      </c>
      <c r="DP263" t="e">
        <f>Europe!H406+"n/&gt;!/S]"</f>
        <v>#VALUE!</v>
      </c>
      <c r="DQ263" t="e">
        <f>Europe!I406+"n/&gt;!/S^"</f>
        <v>#VALUE!</v>
      </c>
      <c r="DR263" t="e">
        <f>Europe!A407+"n/&gt;!/S_"</f>
        <v>#VALUE!</v>
      </c>
      <c r="DS263" t="e">
        <f>Europe!B407+"n/&gt;!/S`"</f>
        <v>#VALUE!</v>
      </c>
      <c r="DT263" t="e">
        <f>Europe!C407+"n/&gt;!/Sa"</f>
        <v>#VALUE!</v>
      </c>
      <c r="DU263" t="e">
        <f>Europe!D407+"n/&gt;!/Sb"</f>
        <v>#VALUE!</v>
      </c>
      <c r="DV263" t="e">
        <f>Europe!E407+"n/&gt;!/Sc"</f>
        <v>#VALUE!</v>
      </c>
      <c r="DW263" t="e">
        <f>Europe!F407+"n/&gt;!/Sd"</f>
        <v>#VALUE!</v>
      </c>
      <c r="DX263" t="e">
        <f>Europe!G407+"n/&gt;!/Se"</f>
        <v>#VALUE!</v>
      </c>
      <c r="DY263" t="e">
        <f>Europe!H407+"n/&gt;!/Sf"</f>
        <v>#VALUE!</v>
      </c>
      <c r="DZ263" t="e">
        <f>Europe!I407+"n/&gt;!/Sg"</f>
        <v>#VALUE!</v>
      </c>
      <c r="EA263" t="e">
        <f>Europe!A408+"n/&gt;!/Sh"</f>
        <v>#VALUE!</v>
      </c>
      <c r="EB263" t="e">
        <f>Europe!B408+"n/&gt;!/Si"</f>
        <v>#VALUE!</v>
      </c>
      <c r="EC263" t="e">
        <f>Europe!C408+"n/&gt;!/Sj"</f>
        <v>#VALUE!</v>
      </c>
      <c r="ED263" t="e">
        <f>Europe!D408+"n/&gt;!/Sk"</f>
        <v>#VALUE!</v>
      </c>
      <c r="EE263" t="e">
        <f>Europe!E408+"n/&gt;!/Sl"</f>
        <v>#VALUE!</v>
      </c>
      <c r="EF263" t="e">
        <f>Europe!F408+"n/&gt;!/Sm"</f>
        <v>#VALUE!</v>
      </c>
      <c r="EG263" t="e">
        <f>Europe!G408+"n/&gt;!/Sn"</f>
        <v>#VALUE!</v>
      </c>
      <c r="EH263" t="e">
        <f>Europe!H408+"n/&gt;!/So"</f>
        <v>#VALUE!</v>
      </c>
      <c r="EI263" t="e">
        <f>Europe!I408+"n/&gt;!/Sp"</f>
        <v>#VALUE!</v>
      </c>
      <c r="EJ263" t="e">
        <f>Europe!A409+"n/&gt;!/Sq"</f>
        <v>#VALUE!</v>
      </c>
      <c r="EK263" t="e">
        <f>Europe!B409+"n/&gt;!/Sr"</f>
        <v>#VALUE!</v>
      </c>
      <c r="EL263" t="e">
        <f>Europe!C409+"n/&gt;!/Ss"</f>
        <v>#VALUE!</v>
      </c>
      <c r="EM263" t="e">
        <f>Europe!D409+"n/&gt;!/St"</f>
        <v>#VALUE!</v>
      </c>
      <c r="EN263" t="e">
        <f>Europe!E409+"n/&gt;!/Su"</f>
        <v>#VALUE!</v>
      </c>
      <c r="EO263" t="e">
        <f>Europe!F409+"n/&gt;!/Sv"</f>
        <v>#VALUE!</v>
      </c>
      <c r="EP263" t="e">
        <f>Europe!G409+"n/&gt;!/Sw"</f>
        <v>#VALUE!</v>
      </c>
      <c r="EQ263" t="e">
        <f>Europe!H409+"n/&gt;!/Sx"</f>
        <v>#VALUE!</v>
      </c>
      <c r="ER263" t="e">
        <f>Europe!I409+"n/&gt;!/Sy"</f>
        <v>#VALUE!</v>
      </c>
      <c r="ES263" t="e">
        <f>Europe!A410+"n/&gt;!/Sz"</f>
        <v>#VALUE!</v>
      </c>
      <c r="ET263" t="e">
        <f>Europe!B410+"n/&gt;!/S{"</f>
        <v>#VALUE!</v>
      </c>
      <c r="EU263" t="e">
        <f>Europe!C410+"n/&gt;!/S|"</f>
        <v>#VALUE!</v>
      </c>
      <c r="EV263" t="e">
        <f>Europe!D410+"n/&gt;!/S}"</f>
        <v>#VALUE!</v>
      </c>
      <c r="EW263" t="e">
        <f>Europe!E410+"n/&gt;!/S~"</f>
        <v>#VALUE!</v>
      </c>
      <c r="EX263" t="e">
        <f>Europe!F410+"n/&gt;!/T#"</f>
        <v>#VALUE!</v>
      </c>
      <c r="EY263" t="e">
        <f>Europe!G410+"n/&gt;!/T$"</f>
        <v>#VALUE!</v>
      </c>
      <c r="EZ263" t="e">
        <f>Europe!H410+"n/&gt;!/T%"</f>
        <v>#VALUE!</v>
      </c>
      <c r="FA263" t="e">
        <f>Europe!I410+"n/&gt;!/T&amp;"</f>
        <v>#VALUE!</v>
      </c>
      <c r="FB263" t="e">
        <f>Europe!A411+"n/&gt;!/T'"</f>
        <v>#VALUE!</v>
      </c>
      <c r="FC263" t="e">
        <f>Europe!B411+"n/&gt;!/T("</f>
        <v>#VALUE!</v>
      </c>
      <c r="FD263" t="e">
        <f>Europe!C411+"n/&gt;!/T)"</f>
        <v>#VALUE!</v>
      </c>
      <c r="FE263" t="e">
        <f>Europe!D411+"n/&gt;!/T."</f>
        <v>#VALUE!</v>
      </c>
      <c r="FF263" t="e">
        <f>Europe!E411+"n/&gt;!/T/"</f>
        <v>#VALUE!</v>
      </c>
      <c r="FG263" t="e">
        <f>Europe!F411+"n/&gt;!/T0"</f>
        <v>#VALUE!</v>
      </c>
      <c r="FH263" t="e">
        <f>Europe!G411+"n/&gt;!/T1"</f>
        <v>#VALUE!</v>
      </c>
      <c r="FI263" t="e">
        <f>Europe!H411+"n/&gt;!/T2"</f>
        <v>#VALUE!</v>
      </c>
      <c r="FJ263" t="e">
        <f>Europe!I411+"n/&gt;!/T3"</f>
        <v>#VALUE!</v>
      </c>
      <c r="FK263" t="e">
        <f>Europe!A412+"n/&gt;!/T4"</f>
        <v>#VALUE!</v>
      </c>
      <c r="FL263" t="e">
        <f>Europe!B412+"n/&gt;!/T5"</f>
        <v>#VALUE!</v>
      </c>
      <c r="FM263" t="e">
        <f>Europe!C412+"n/&gt;!/T6"</f>
        <v>#VALUE!</v>
      </c>
      <c r="FN263" t="e">
        <f>Europe!D412+"n/&gt;!/T7"</f>
        <v>#VALUE!</v>
      </c>
      <c r="FO263" t="e">
        <f>Europe!E412+"n/&gt;!/T8"</f>
        <v>#VALUE!</v>
      </c>
      <c r="FP263" t="e">
        <f>Europe!F412+"n/&gt;!/T9"</f>
        <v>#VALUE!</v>
      </c>
      <c r="FQ263" t="e">
        <f>Europe!G412+"n/&gt;!/T:"</f>
        <v>#VALUE!</v>
      </c>
      <c r="FR263" t="e">
        <f>Europe!H412+"n/&gt;!/T;"</f>
        <v>#VALUE!</v>
      </c>
      <c r="FS263" t="e">
        <f>Europe!I412+"n/&gt;!/T&lt;"</f>
        <v>#VALUE!</v>
      </c>
      <c r="FT263" t="e">
        <f>Europe!A413+"n/&gt;!/T="</f>
        <v>#VALUE!</v>
      </c>
      <c r="FU263" t="e">
        <f>Europe!B413+"n/&gt;!/T&gt;"</f>
        <v>#VALUE!</v>
      </c>
      <c r="FV263" t="e">
        <f>Europe!C413+"n/&gt;!/T?"</f>
        <v>#VALUE!</v>
      </c>
      <c r="FW263" t="e">
        <f>Europe!D413+"n/&gt;!/T@"</f>
        <v>#VALUE!</v>
      </c>
      <c r="FX263" t="e">
        <f>Europe!E413+"n/&gt;!/TA"</f>
        <v>#VALUE!</v>
      </c>
      <c r="FY263" t="e">
        <f>Europe!F413+"n/&gt;!/TB"</f>
        <v>#VALUE!</v>
      </c>
      <c r="FZ263" t="e">
        <f>Europe!G413+"n/&gt;!/TC"</f>
        <v>#VALUE!</v>
      </c>
      <c r="GA263" t="e">
        <f>Europe!H413+"n/&gt;!/TD"</f>
        <v>#VALUE!</v>
      </c>
      <c r="GB263" t="e">
        <f>Europe!I413+"n/&gt;!/TE"</f>
        <v>#VALUE!</v>
      </c>
      <c r="GC263" t="e">
        <f>Europe!A414+"n/&gt;!/TF"</f>
        <v>#VALUE!</v>
      </c>
      <c r="GD263" t="e">
        <f>Europe!B414+"n/&gt;!/TG"</f>
        <v>#VALUE!</v>
      </c>
      <c r="GE263" t="e">
        <f>Europe!C414+"n/&gt;!/TH"</f>
        <v>#VALUE!</v>
      </c>
      <c r="GF263" t="e">
        <f>Europe!D414+"n/&gt;!/TI"</f>
        <v>#VALUE!</v>
      </c>
      <c r="GG263" t="e">
        <f>Europe!E414+"n/&gt;!/TJ"</f>
        <v>#VALUE!</v>
      </c>
      <c r="GH263" t="e">
        <f>Europe!F414+"n/&gt;!/TK"</f>
        <v>#VALUE!</v>
      </c>
      <c r="GI263" t="e">
        <f>Europe!G414+"n/&gt;!/TL"</f>
        <v>#VALUE!</v>
      </c>
      <c r="GJ263" t="e">
        <f>Europe!H414+"n/&gt;!/TM"</f>
        <v>#VALUE!</v>
      </c>
      <c r="GK263" t="e">
        <f>Europe!I414+"n/&gt;!/TN"</f>
        <v>#VALUE!</v>
      </c>
      <c r="GL263" t="e">
        <f>Europe!A415+"n/&gt;!/TO"</f>
        <v>#VALUE!</v>
      </c>
      <c r="GM263" t="e">
        <f>Europe!B415+"n/&gt;!/TP"</f>
        <v>#VALUE!</v>
      </c>
      <c r="GN263" t="e">
        <f>Europe!C415+"n/&gt;!/TQ"</f>
        <v>#VALUE!</v>
      </c>
      <c r="GO263" t="e">
        <f>Europe!D415+"n/&gt;!/TR"</f>
        <v>#VALUE!</v>
      </c>
      <c r="GP263" t="e">
        <f>Europe!E415+"n/&gt;!/TS"</f>
        <v>#VALUE!</v>
      </c>
      <c r="GQ263" t="e">
        <f>Europe!F415+"n/&gt;!/TT"</f>
        <v>#VALUE!</v>
      </c>
      <c r="GR263" t="e">
        <f>Europe!G415+"n/&gt;!/TU"</f>
        <v>#VALUE!</v>
      </c>
      <c r="GS263" t="e">
        <f>Europe!H415+"n/&gt;!/TV"</f>
        <v>#VALUE!</v>
      </c>
      <c r="GT263" t="e">
        <f>Europe!I415+"n/&gt;!/TW"</f>
        <v>#VALUE!</v>
      </c>
      <c r="GU263" t="e">
        <f>Europe!A416+"n/&gt;!/TX"</f>
        <v>#VALUE!</v>
      </c>
      <c r="GV263" t="e">
        <f>Europe!B416+"n/&gt;!/TY"</f>
        <v>#VALUE!</v>
      </c>
      <c r="GW263" t="e">
        <f>Europe!C416+"n/&gt;!/TZ"</f>
        <v>#VALUE!</v>
      </c>
      <c r="GX263" t="e">
        <f>Europe!D416+"n/&gt;!/T["</f>
        <v>#VALUE!</v>
      </c>
      <c r="GY263" t="e">
        <f>Europe!E416+"n/&gt;!/T\"</f>
        <v>#VALUE!</v>
      </c>
      <c r="GZ263" t="e">
        <f>Europe!F416+"n/&gt;!/T]"</f>
        <v>#VALUE!</v>
      </c>
      <c r="HA263" t="e">
        <f>Europe!G416+"n/&gt;!/T^"</f>
        <v>#VALUE!</v>
      </c>
      <c r="HB263" t="e">
        <f>Europe!H416+"n/&gt;!/T_"</f>
        <v>#VALUE!</v>
      </c>
      <c r="HC263" t="e">
        <f>Europe!I416+"n/&gt;!/T`"</f>
        <v>#VALUE!</v>
      </c>
      <c r="HD263" t="e">
        <f>Europe!A417+"n/&gt;!/Ta"</f>
        <v>#VALUE!</v>
      </c>
      <c r="HE263" t="e">
        <f>Europe!B417+"n/&gt;!/Tb"</f>
        <v>#VALUE!</v>
      </c>
      <c r="HF263" t="e">
        <f>Europe!C417+"n/&gt;!/Tc"</f>
        <v>#VALUE!</v>
      </c>
      <c r="HG263" t="e">
        <f>Europe!D417+"n/&gt;!/Td"</f>
        <v>#VALUE!</v>
      </c>
      <c r="HH263" t="e">
        <f>Europe!E417+"n/&gt;!/Te"</f>
        <v>#VALUE!</v>
      </c>
      <c r="HI263" t="e">
        <f>Europe!F417+"n/&gt;!/Tf"</f>
        <v>#VALUE!</v>
      </c>
      <c r="HJ263" t="e">
        <f>Europe!G417+"n/&gt;!/Tg"</f>
        <v>#VALUE!</v>
      </c>
      <c r="HK263" t="e">
        <f>Europe!H417+"n/&gt;!/Th"</f>
        <v>#VALUE!</v>
      </c>
      <c r="HL263" t="e">
        <f>Europe!I417+"n/&gt;!/Ti"</f>
        <v>#VALUE!</v>
      </c>
      <c r="HM263" t="e">
        <f>Europe!A418+"n/&gt;!/Tj"</f>
        <v>#VALUE!</v>
      </c>
      <c r="HN263" t="e">
        <f>Europe!B418+"n/&gt;!/Tk"</f>
        <v>#VALUE!</v>
      </c>
      <c r="HO263" t="e">
        <f>Europe!C418+"n/&gt;!/Tl"</f>
        <v>#VALUE!</v>
      </c>
      <c r="HP263" t="e">
        <f>Europe!D418+"n/&gt;!/Tm"</f>
        <v>#VALUE!</v>
      </c>
      <c r="HQ263" t="e">
        <f>Europe!E418+"n/&gt;!/Tn"</f>
        <v>#VALUE!</v>
      </c>
      <c r="HR263" t="e">
        <f>Europe!F418+"n/&gt;!/To"</f>
        <v>#VALUE!</v>
      </c>
      <c r="HS263" t="e">
        <f>Europe!G418+"n/&gt;!/Tp"</f>
        <v>#VALUE!</v>
      </c>
      <c r="HT263" t="e">
        <f>Europe!H418+"n/&gt;!/Tq"</f>
        <v>#VALUE!</v>
      </c>
      <c r="HU263" t="e">
        <f>Europe!I418+"n/&gt;!/Tr"</f>
        <v>#VALUE!</v>
      </c>
      <c r="HV263" t="e">
        <f>Europe!A419+"n/&gt;!/Ts"</f>
        <v>#VALUE!</v>
      </c>
      <c r="HW263" t="e">
        <f>Europe!B419+"n/&gt;!/Tt"</f>
        <v>#VALUE!</v>
      </c>
      <c r="HX263" t="e">
        <f>Europe!C419+"n/&gt;!/Tu"</f>
        <v>#VALUE!</v>
      </c>
      <c r="HY263" t="e">
        <f>Europe!D419+"n/&gt;!/Tv"</f>
        <v>#VALUE!</v>
      </c>
      <c r="HZ263" t="e">
        <f>Europe!E419+"n/&gt;!/Tw"</f>
        <v>#VALUE!</v>
      </c>
      <c r="IA263" t="e">
        <f>Europe!F419+"n/&gt;!/Tx"</f>
        <v>#VALUE!</v>
      </c>
      <c r="IB263" t="e">
        <f>Europe!G419+"n/&gt;!/Ty"</f>
        <v>#VALUE!</v>
      </c>
      <c r="IC263" t="e">
        <f>Europe!H419+"n/&gt;!/Tz"</f>
        <v>#VALUE!</v>
      </c>
      <c r="ID263" t="e">
        <f>Europe!I419+"n/&gt;!/T{"</f>
        <v>#VALUE!</v>
      </c>
      <c r="IE263" t="e">
        <f>Europe!A420+"n/&gt;!/T|"</f>
        <v>#VALUE!</v>
      </c>
      <c r="IF263" t="e">
        <f>Europe!B420+"n/&gt;!/T}"</f>
        <v>#VALUE!</v>
      </c>
      <c r="IG263" t="e">
        <f>Europe!C420+"n/&gt;!/T~"</f>
        <v>#VALUE!</v>
      </c>
      <c r="IH263" t="e">
        <f>Europe!D420+"n/&gt;!/U#"</f>
        <v>#VALUE!</v>
      </c>
      <c r="II263" t="e">
        <f>Europe!E420+"n/&gt;!/U$"</f>
        <v>#VALUE!</v>
      </c>
      <c r="IJ263" t="e">
        <f>Europe!F420+"n/&gt;!/U%"</f>
        <v>#VALUE!</v>
      </c>
      <c r="IK263" t="e">
        <f>Europe!G420+"n/&gt;!/U&amp;"</f>
        <v>#VALUE!</v>
      </c>
      <c r="IL263" t="e">
        <f>Europe!H420+"n/&gt;!/U'"</f>
        <v>#VALUE!</v>
      </c>
      <c r="IM263" t="e">
        <f>Europe!I420+"n/&gt;!/U("</f>
        <v>#VALUE!</v>
      </c>
      <c r="IN263" t="e">
        <f>Europe!A421+"n/&gt;!/U)"</f>
        <v>#VALUE!</v>
      </c>
      <c r="IO263" t="e">
        <f>Europe!B421+"n/&gt;!/U."</f>
        <v>#VALUE!</v>
      </c>
      <c r="IP263" t="e">
        <f>Europe!C421+"n/&gt;!/U/"</f>
        <v>#VALUE!</v>
      </c>
      <c r="IQ263" t="e">
        <f>Europe!D421+"n/&gt;!/U0"</f>
        <v>#VALUE!</v>
      </c>
      <c r="IR263" t="e">
        <f>Europe!E421+"n/&gt;!/U1"</f>
        <v>#VALUE!</v>
      </c>
      <c r="IS263" t="e">
        <f>Europe!F421+"n/&gt;!/U2"</f>
        <v>#VALUE!</v>
      </c>
      <c r="IT263" t="e">
        <f>Europe!G421+"n/&gt;!/U3"</f>
        <v>#VALUE!</v>
      </c>
      <c r="IU263" t="e">
        <f>Europe!H421+"n/&gt;!/U4"</f>
        <v>#VALUE!</v>
      </c>
      <c r="IV263" t="e">
        <f>Europe!I421+"n/&gt;!/U5"</f>
        <v>#VALUE!</v>
      </c>
    </row>
    <row r="264" spans="6:256" x14ac:dyDescent="0.35">
      <c r="F264" t="e">
        <f>Europe!A422+"n/&gt;!/U6"</f>
        <v>#VALUE!</v>
      </c>
      <c r="G264" t="e">
        <f>Europe!B422+"n/&gt;!/U7"</f>
        <v>#VALUE!</v>
      </c>
      <c r="H264" t="e">
        <f>Europe!C422+"n/&gt;!/U8"</f>
        <v>#VALUE!</v>
      </c>
      <c r="I264" t="e">
        <f>Europe!D422+"n/&gt;!/U9"</f>
        <v>#VALUE!</v>
      </c>
      <c r="J264" t="e">
        <f>Europe!E422+"n/&gt;!/U:"</f>
        <v>#VALUE!</v>
      </c>
      <c r="K264" t="e">
        <f>Europe!F422+"n/&gt;!/U;"</f>
        <v>#VALUE!</v>
      </c>
      <c r="L264" t="e">
        <f>Europe!G422+"n/&gt;!/U&lt;"</f>
        <v>#VALUE!</v>
      </c>
      <c r="M264" t="e">
        <f>Europe!H422+"n/&gt;!/U="</f>
        <v>#VALUE!</v>
      </c>
      <c r="N264" t="e">
        <f>Europe!I422+"n/&gt;!/U&gt;"</f>
        <v>#VALUE!</v>
      </c>
      <c r="O264" t="e">
        <f>Europe!A423+"n/&gt;!/U?"</f>
        <v>#VALUE!</v>
      </c>
      <c r="P264" t="e">
        <f>Europe!B423+"n/&gt;!/U@"</f>
        <v>#VALUE!</v>
      </c>
      <c r="Q264" t="e">
        <f>Europe!C423+"n/&gt;!/UA"</f>
        <v>#VALUE!</v>
      </c>
      <c r="R264" t="e">
        <f>Europe!D423+"n/&gt;!/UB"</f>
        <v>#VALUE!</v>
      </c>
      <c r="S264" t="e">
        <f>Europe!E423+"n/&gt;!/UC"</f>
        <v>#VALUE!</v>
      </c>
      <c r="T264" t="e">
        <f>Europe!F423+"n/&gt;!/UD"</f>
        <v>#VALUE!</v>
      </c>
      <c r="U264" t="e">
        <f>Europe!G423+"n/&gt;!/UE"</f>
        <v>#VALUE!</v>
      </c>
      <c r="V264" t="e">
        <f>Europe!H423+"n/&gt;!/UF"</f>
        <v>#VALUE!</v>
      </c>
      <c r="W264" t="e">
        <f>Europe!I423+"n/&gt;!/UG"</f>
        <v>#VALUE!</v>
      </c>
      <c r="X264" t="e">
        <f>Europe!A424+"n/&gt;!/UH"</f>
        <v>#VALUE!</v>
      </c>
      <c r="Y264" t="e">
        <f>Europe!B424+"n/&gt;!/UI"</f>
        <v>#VALUE!</v>
      </c>
      <c r="Z264" t="e">
        <f>Europe!C424+"n/&gt;!/UJ"</f>
        <v>#VALUE!</v>
      </c>
      <c r="AA264" t="e">
        <f>Europe!D424+"n/&gt;!/UK"</f>
        <v>#VALUE!</v>
      </c>
      <c r="AB264" t="e">
        <f>Europe!E424+"n/&gt;!/UL"</f>
        <v>#VALUE!</v>
      </c>
      <c r="AC264" t="e">
        <f>Europe!F424+"n/&gt;!/UM"</f>
        <v>#VALUE!</v>
      </c>
      <c r="AD264" t="e">
        <f>Europe!G424+"n/&gt;!/UN"</f>
        <v>#VALUE!</v>
      </c>
      <c r="AE264" t="e">
        <f>Europe!H424+"n/&gt;!/UO"</f>
        <v>#VALUE!</v>
      </c>
      <c r="AF264" t="e">
        <f>Europe!I424+"n/&gt;!/UP"</f>
        <v>#VALUE!</v>
      </c>
      <c r="AG264" t="e">
        <f>Europe!A425+"n/&gt;!/UQ"</f>
        <v>#VALUE!</v>
      </c>
      <c r="AH264" t="e">
        <f>Europe!B425+"n/&gt;!/UR"</f>
        <v>#VALUE!</v>
      </c>
      <c r="AI264" t="e">
        <f>Europe!C425+"n/&gt;!/US"</f>
        <v>#VALUE!</v>
      </c>
      <c r="AJ264" t="e">
        <f>Europe!D425+"n/&gt;!/UT"</f>
        <v>#VALUE!</v>
      </c>
      <c r="AK264" t="e">
        <f>Europe!E425+"n/&gt;!/UU"</f>
        <v>#VALUE!</v>
      </c>
      <c r="AL264" t="e">
        <f>Europe!F425+"n/&gt;!/UV"</f>
        <v>#VALUE!</v>
      </c>
      <c r="AM264" t="e">
        <f>Europe!G425+"n/&gt;!/UW"</f>
        <v>#VALUE!</v>
      </c>
      <c r="AN264" t="e">
        <f>Europe!H425+"n/&gt;!/UX"</f>
        <v>#VALUE!</v>
      </c>
      <c r="AO264" t="e">
        <f>Europe!I425+"n/&gt;!/UY"</f>
        <v>#VALUE!</v>
      </c>
      <c r="AP264" t="e">
        <f>Europe!A426+"n/&gt;!/UZ"</f>
        <v>#VALUE!</v>
      </c>
      <c r="AQ264" t="e">
        <f>Europe!B426+"n/&gt;!/U["</f>
        <v>#VALUE!</v>
      </c>
      <c r="AR264" t="e">
        <f>Europe!C426+"n/&gt;!/U\"</f>
        <v>#VALUE!</v>
      </c>
      <c r="AS264" t="e">
        <f>Europe!D426+"n/&gt;!/U]"</f>
        <v>#VALUE!</v>
      </c>
      <c r="AT264" t="e">
        <f>Europe!E426+"n/&gt;!/U^"</f>
        <v>#VALUE!</v>
      </c>
      <c r="AU264" t="e">
        <f>Europe!F426+"n/&gt;!/U_"</f>
        <v>#VALUE!</v>
      </c>
      <c r="AV264" t="e">
        <f>Europe!G426+"n/&gt;!/U`"</f>
        <v>#VALUE!</v>
      </c>
      <c r="AW264" t="e">
        <f>Europe!H426+"n/&gt;!/Ua"</f>
        <v>#VALUE!</v>
      </c>
      <c r="AX264" t="e">
        <f>Europe!I426+"n/&gt;!/Ub"</f>
        <v>#VALUE!</v>
      </c>
      <c r="AY264" t="e">
        <f>Europe!A427+"n/&gt;!/Uc"</f>
        <v>#VALUE!</v>
      </c>
      <c r="AZ264" t="e">
        <f>Europe!B427+"n/&gt;!/Ud"</f>
        <v>#VALUE!</v>
      </c>
      <c r="BA264" t="e">
        <f>Europe!C427+"n/&gt;!/Ue"</f>
        <v>#VALUE!</v>
      </c>
      <c r="BB264" t="e">
        <f>Europe!D427+"n/&gt;!/Uf"</f>
        <v>#VALUE!</v>
      </c>
      <c r="BC264" t="e">
        <f>Europe!E427+"n/&gt;!/Ug"</f>
        <v>#VALUE!</v>
      </c>
      <c r="BD264" t="e">
        <f>Europe!F427+"n/&gt;!/Uh"</f>
        <v>#VALUE!</v>
      </c>
      <c r="BE264" t="e">
        <f>Europe!G427+"n/&gt;!/Ui"</f>
        <v>#VALUE!</v>
      </c>
      <c r="BF264" t="e">
        <f>Europe!H427+"n/&gt;!/Uj"</f>
        <v>#VALUE!</v>
      </c>
      <c r="BG264" t="e">
        <f>Europe!I427+"n/&gt;!/Uk"</f>
        <v>#VALUE!</v>
      </c>
      <c r="BH264" t="e">
        <f>Europe!A428+"n/&gt;!/Ul"</f>
        <v>#VALUE!</v>
      </c>
      <c r="BI264" t="e">
        <f>Europe!B428+"n/&gt;!/Um"</f>
        <v>#VALUE!</v>
      </c>
      <c r="BJ264" t="e">
        <f>Europe!C428+"n/&gt;!/Un"</f>
        <v>#VALUE!</v>
      </c>
      <c r="BK264" t="e">
        <f>Europe!D428+"n/&gt;!/Uo"</f>
        <v>#VALUE!</v>
      </c>
      <c r="BL264" t="e">
        <f>Europe!E428+"n/&gt;!/Up"</f>
        <v>#VALUE!</v>
      </c>
      <c r="BM264" t="e">
        <f>Europe!F428+"n/&gt;!/Uq"</f>
        <v>#VALUE!</v>
      </c>
      <c r="BN264" t="e">
        <f>Europe!G428+"n/&gt;!/Ur"</f>
        <v>#VALUE!</v>
      </c>
      <c r="BO264" t="e">
        <f>Europe!H428+"n/&gt;!/Us"</f>
        <v>#VALUE!</v>
      </c>
      <c r="BP264" t="e">
        <f>Europe!I428+"n/&gt;!/Ut"</f>
        <v>#VALUE!</v>
      </c>
      <c r="BQ264" t="e">
        <f>Europe!A429+"n/&gt;!/Uu"</f>
        <v>#VALUE!</v>
      </c>
      <c r="BR264" t="e">
        <f>Europe!B429+"n/&gt;!/Uv"</f>
        <v>#VALUE!</v>
      </c>
      <c r="BS264" t="e">
        <f>Europe!C429+"n/&gt;!/Uw"</f>
        <v>#VALUE!</v>
      </c>
      <c r="BT264" t="e">
        <f>Europe!D429+"n/&gt;!/Ux"</f>
        <v>#VALUE!</v>
      </c>
      <c r="BU264" t="e">
        <f>Europe!E429+"n/&gt;!/Uy"</f>
        <v>#VALUE!</v>
      </c>
      <c r="BV264" t="e">
        <f>Europe!F429+"n/&gt;!/Uz"</f>
        <v>#VALUE!</v>
      </c>
      <c r="BW264" t="e">
        <f>Europe!G429+"n/&gt;!/U{"</f>
        <v>#VALUE!</v>
      </c>
      <c r="BX264" t="e">
        <f>Europe!H429+"n/&gt;!/U|"</f>
        <v>#VALUE!</v>
      </c>
      <c r="BY264" t="e">
        <f>Europe!I429+"n/&gt;!/U}"</f>
        <v>#VALUE!</v>
      </c>
      <c r="BZ264" t="e">
        <f>Europe!A430+"n/&gt;!/U~"</f>
        <v>#VALUE!</v>
      </c>
      <c r="CA264" t="e">
        <f>Europe!B430+"n/&gt;!/V#"</f>
        <v>#VALUE!</v>
      </c>
      <c r="CB264" t="e">
        <f>Europe!C430+"n/&gt;!/V$"</f>
        <v>#VALUE!</v>
      </c>
      <c r="CC264" t="e">
        <f>Europe!D430+"n/&gt;!/V%"</f>
        <v>#VALUE!</v>
      </c>
      <c r="CD264" t="e">
        <f>Europe!E430+"n/&gt;!/V&amp;"</f>
        <v>#VALUE!</v>
      </c>
      <c r="CE264" t="e">
        <f>Europe!F430+"n/&gt;!/V'"</f>
        <v>#VALUE!</v>
      </c>
      <c r="CF264" t="e">
        <f>Europe!G430+"n/&gt;!/V("</f>
        <v>#VALUE!</v>
      </c>
      <c r="CG264" t="e">
        <f>Europe!H430+"n/&gt;!/V)"</f>
        <v>#VALUE!</v>
      </c>
      <c r="CH264" t="e">
        <f>Europe!I430+"n/&gt;!/V."</f>
        <v>#VALUE!</v>
      </c>
      <c r="CI264" t="e">
        <f>Europe!A431+"n/&gt;!/V/"</f>
        <v>#VALUE!</v>
      </c>
      <c r="CJ264" t="e">
        <f>Europe!B431+"n/&gt;!/V0"</f>
        <v>#VALUE!</v>
      </c>
      <c r="CK264" t="e">
        <f>Europe!C431+"n/&gt;!/V1"</f>
        <v>#VALUE!</v>
      </c>
      <c r="CL264" t="e">
        <f>Europe!D431+"n/&gt;!/V2"</f>
        <v>#VALUE!</v>
      </c>
      <c r="CM264" t="e">
        <f>Europe!E431+"n/&gt;!/V3"</f>
        <v>#VALUE!</v>
      </c>
      <c r="CN264" t="e">
        <f>Europe!F431+"n/&gt;!/V4"</f>
        <v>#VALUE!</v>
      </c>
      <c r="CO264" t="e">
        <f>Europe!G431+"n/&gt;!/V5"</f>
        <v>#VALUE!</v>
      </c>
      <c r="CP264" t="e">
        <f>Europe!H431+"n/&gt;!/V6"</f>
        <v>#VALUE!</v>
      </c>
      <c r="CQ264" t="e">
        <f>Europe!I431+"n/&gt;!/V7"</f>
        <v>#VALUE!</v>
      </c>
      <c r="CR264" t="e">
        <f>Europe!A432+"n/&gt;!/V8"</f>
        <v>#VALUE!</v>
      </c>
      <c r="CS264" t="e">
        <f>Europe!B432+"n/&gt;!/V9"</f>
        <v>#VALUE!</v>
      </c>
      <c r="CT264" t="e">
        <f>Europe!C432+"n/&gt;!/V:"</f>
        <v>#VALUE!</v>
      </c>
      <c r="CU264" t="e">
        <f>Europe!D432+"n/&gt;!/V;"</f>
        <v>#VALUE!</v>
      </c>
      <c r="CV264" t="e">
        <f>Europe!E432+"n/&gt;!/V&lt;"</f>
        <v>#VALUE!</v>
      </c>
      <c r="CW264" t="e">
        <f>Europe!F432+"n/&gt;!/V="</f>
        <v>#VALUE!</v>
      </c>
      <c r="CX264" t="e">
        <f>Europe!G432+"n/&gt;!/V&gt;"</f>
        <v>#VALUE!</v>
      </c>
      <c r="CY264" t="e">
        <f>Europe!H432+"n/&gt;!/V?"</f>
        <v>#VALUE!</v>
      </c>
      <c r="CZ264" t="e">
        <f>Europe!I432+"n/&gt;!/V@"</f>
        <v>#VALUE!</v>
      </c>
      <c r="DA264" t="e">
        <f>Europe!A433+"n/&gt;!/VA"</f>
        <v>#VALUE!</v>
      </c>
      <c r="DB264" t="e">
        <f>Europe!B433+"n/&gt;!/VB"</f>
        <v>#VALUE!</v>
      </c>
      <c r="DC264" t="e">
        <f>Europe!C433+"n/&gt;!/VC"</f>
        <v>#VALUE!</v>
      </c>
      <c r="DD264" t="e">
        <f>Europe!D433+"n/&gt;!/VD"</f>
        <v>#VALUE!</v>
      </c>
      <c r="DE264" t="e">
        <f>Europe!E433+"n/&gt;!/VE"</f>
        <v>#VALUE!</v>
      </c>
      <c r="DF264" t="e">
        <f>Europe!F433+"n/&gt;!/VF"</f>
        <v>#VALUE!</v>
      </c>
      <c r="DG264" t="e">
        <f>Europe!G433+"n/&gt;!/VG"</f>
        <v>#VALUE!</v>
      </c>
      <c r="DH264" t="e">
        <f>Europe!H433+"n/&gt;!/VH"</f>
        <v>#VALUE!</v>
      </c>
      <c r="DI264" t="e">
        <f>Europe!I433+"n/&gt;!/VI"</f>
        <v>#VALUE!</v>
      </c>
      <c r="DJ264" t="e">
        <f>Europe!A434+"n/&gt;!/VJ"</f>
        <v>#VALUE!</v>
      </c>
      <c r="DK264" t="e">
        <f>Europe!B434+"n/&gt;!/VK"</f>
        <v>#VALUE!</v>
      </c>
      <c r="DL264" t="e">
        <f>Europe!C434+"n/&gt;!/VL"</f>
        <v>#VALUE!</v>
      </c>
      <c r="DM264" t="e">
        <f>Europe!D434+"n/&gt;!/VM"</f>
        <v>#VALUE!</v>
      </c>
      <c r="DN264" t="e">
        <f>Europe!E434+"n/&gt;!/VN"</f>
        <v>#VALUE!</v>
      </c>
      <c r="DO264" t="e">
        <f>Europe!F434+"n/&gt;!/VO"</f>
        <v>#VALUE!</v>
      </c>
      <c r="DP264" t="e">
        <f>Europe!G434+"n/&gt;!/VP"</f>
        <v>#VALUE!</v>
      </c>
      <c r="DQ264" t="e">
        <f>Europe!H434+"n/&gt;!/VQ"</f>
        <v>#VALUE!</v>
      </c>
      <c r="DR264" t="e">
        <f>Europe!I434+"n/&gt;!/VR"</f>
        <v>#VALUE!</v>
      </c>
      <c r="DS264" t="e">
        <f>Europe!A435+"n/&gt;!/VS"</f>
        <v>#VALUE!</v>
      </c>
      <c r="DT264" t="e">
        <f>Europe!B435+"n/&gt;!/VT"</f>
        <v>#VALUE!</v>
      </c>
      <c r="DU264" t="e">
        <f>Europe!C435+"n/&gt;!/VU"</f>
        <v>#VALUE!</v>
      </c>
      <c r="DV264" t="e">
        <f>Europe!D435+"n/&gt;!/VV"</f>
        <v>#VALUE!</v>
      </c>
      <c r="DW264" t="e">
        <f>Europe!E435+"n/&gt;!/VW"</f>
        <v>#VALUE!</v>
      </c>
      <c r="DX264" t="e">
        <f>Europe!F435+"n/&gt;!/VX"</f>
        <v>#VALUE!</v>
      </c>
      <c r="DY264" t="e">
        <f>Europe!G435+"n/&gt;!/VY"</f>
        <v>#VALUE!</v>
      </c>
      <c r="DZ264" t="e">
        <f>Europe!H435+"n/&gt;!/VZ"</f>
        <v>#VALUE!</v>
      </c>
      <c r="EA264" t="e">
        <f>Europe!I435+"n/&gt;!/V["</f>
        <v>#VALUE!</v>
      </c>
      <c r="EB264" t="e">
        <f>Europe!A436+"n/&gt;!/V\"</f>
        <v>#VALUE!</v>
      </c>
      <c r="EC264" t="e">
        <f>Europe!B436+"n/&gt;!/V]"</f>
        <v>#VALUE!</v>
      </c>
      <c r="ED264" t="e">
        <f>Europe!C436+"n/&gt;!/V^"</f>
        <v>#VALUE!</v>
      </c>
      <c r="EE264" t="e">
        <f>Europe!D436+"n/&gt;!/V_"</f>
        <v>#VALUE!</v>
      </c>
      <c r="EF264" t="e">
        <f>Europe!E436+"n/&gt;!/V`"</f>
        <v>#VALUE!</v>
      </c>
      <c r="EG264" t="e">
        <f>Europe!F436+"n/&gt;!/Va"</f>
        <v>#VALUE!</v>
      </c>
      <c r="EH264" t="e">
        <f>Europe!G436+"n/&gt;!/Vb"</f>
        <v>#VALUE!</v>
      </c>
      <c r="EI264" t="e">
        <f>Europe!H436+"n/&gt;!/Vc"</f>
        <v>#VALUE!</v>
      </c>
      <c r="EJ264" t="e">
        <f>Europe!I436+"n/&gt;!/Vd"</f>
        <v>#VALUE!</v>
      </c>
      <c r="EK264" t="e">
        <f>Europe!A437+"n/&gt;!/Ve"</f>
        <v>#VALUE!</v>
      </c>
      <c r="EL264" t="e">
        <f>Europe!B437+"n/&gt;!/Vf"</f>
        <v>#VALUE!</v>
      </c>
      <c r="EM264" t="e">
        <f>Europe!C437+"n/&gt;!/Vg"</f>
        <v>#VALUE!</v>
      </c>
      <c r="EN264" t="e">
        <f>Europe!D437+"n/&gt;!/Vh"</f>
        <v>#VALUE!</v>
      </c>
      <c r="EO264" t="e">
        <f>Europe!E437+"n/&gt;!/Vi"</f>
        <v>#VALUE!</v>
      </c>
      <c r="EP264" t="e">
        <f>Europe!F437+"n/&gt;!/Vj"</f>
        <v>#VALUE!</v>
      </c>
      <c r="EQ264" t="e">
        <f>Europe!G437+"n/&gt;!/Vk"</f>
        <v>#VALUE!</v>
      </c>
      <c r="ER264" t="e">
        <f>Europe!H437+"n/&gt;!/Vl"</f>
        <v>#VALUE!</v>
      </c>
      <c r="ES264" t="e">
        <f>Europe!I437+"n/&gt;!/Vm"</f>
        <v>#VALUE!</v>
      </c>
      <c r="ET264" t="e">
        <f>Europe!A438+"n/&gt;!/Vn"</f>
        <v>#VALUE!</v>
      </c>
      <c r="EU264" t="e">
        <f>Europe!B438+"n/&gt;!/Vo"</f>
        <v>#VALUE!</v>
      </c>
      <c r="EV264" t="e">
        <f>Europe!C438+"n/&gt;!/Vp"</f>
        <v>#VALUE!</v>
      </c>
      <c r="EW264" t="e">
        <f>Europe!D438+"n/&gt;!/Vq"</f>
        <v>#VALUE!</v>
      </c>
      <c r="EX264" t="e">
        <f>Europe!E438+"n/&gt;!/Vr"</f>
        <v>#VALUE!</v>
      </c>
      <c r="EY264" t="e">
        <f>Europe!F438+"n/&gt;!/Vs"</f>
        <v>#VALUE!</v>
      </c>
      <c r="EZ264" t="e">
        <f>Europe!G438+"n/&gt;!/Vt"</f>
        <v>#VALUE!</v>
      </c>
      <c r="FA264" t="e">
        <f>Europe!H438+"n/&gt;!/Vu"</f>
        <v>#VALUE!</v>
      </c>
      <c r="FB264" t="e">
        <f>Europe!I438+"n/&gt;!/Vv"</f>
        <v>#VALUE!</v>
      </c>
      <c r="FC264" t="e">
        <f>Europe!A439+"n/&gt;!/Vw"</f>
        <v>#VALUE!</v>
      </c>
      <c r="FD264" t="e">
        <f>Europe!B439+"n/&gt;!/Vx"</f>
        <v>#VALUE!</v>
      </c>
      <c r="FE264" t="e">
        <f>Europe!C439+"n/&gt;!/Vy"</f>
        <v>#VALUE!</v>
      </c>
      <c r="FF264" t="e">
        <f>Europe!D439+"n/&gt;!/Vz"</f>
        <v>#VALUE!</v>
      </c>
      <c r="FG264" t="e">
        <f>Europe!E439+"n/&gt;!/V{"</f>
        <v>#VALUE!</v>
      </c>
      <c r="FH264" t="e">
        <f>Europe!F439+"n/&gt;!/V|"</f>
        <v>#VALUE!</v>
      </c>
      <c r="FI264" t="e">
        <f>Europe!G439+"n/&gt;!/V}"</f>
        <v>#VALUE!</v>
      </c>
      <c r="FJ264" t="e">
        <f>Europe!H439+"n/&gt;!/V~"</f>
        <v>#VALUE!</v>
      </c>
      <c r="FK264" t="e">
        <f>Europe!I439+"n/&gt;!/W#"</f>
        <v>#VALUE!</v>
      </c>
      <c r="FL264" t="e">
        <f>Europe!A440+"n/&gt;!/W$"</f>
        <v>#VALUE!</v>
      </c>
      <c r="FM264" t="e">
        <f>Europe!B440+"n/&gt;!/W%"</f>
        <v>#VALUE!</v>
      </c>
      <c r="FN264" t="e">
        <f>Europe!C440+"n/&gt;!/W&amp;"</f>
        <v>#VALUE!</v>
      </c>
      <c r="FO264" t="e">
        <f>Europe!D440+"n/&gt;!/W'"</f>
        <v>#VALUE!</v>
      </c>
      <c r="FP264" t="e">
        <f>Europe!E440+"n/&gt;!/W("</f>
        <v>#VALUE!</v>
      </c>
      <c r="FQ264" t="e">
        <f>Europe!F440+"n/&gt;!/W)"</f>
        <v>#VALUE!</v>
      </c>
      <c r="FR264" t="e">
        <f>Europe!G440+"n/&gt;!/W."</f>
        <v>#VALUE!</v>
      </c>
      <c r="FS264" t="e">
        <f>Europe!H440+"n/&gt;!/W/"</f>
        <v>#VALUE!</v>
      </c>
      <c r="FT264" t="e">
        <f>Europe!I440+"n/&gt;!/W0"</f>
        <v>#VALUE!</v>
      </c>
      <c r="FU264" t="e">
        <f>Europe!A441+"n/&gt;!/W1"</f>
        <v>#VALUE!</v>
      </c>
      <c r="FV264" t="e">
        <f>Europe!B441+"n/&gt;!/W2"</f>
        <v>#VALUE!</v>
      </c>
      <c r="FW264" t="e">
        <f>Europe!C441+"n/&gt;!/W3"</f>
        <v>#VALUE!</v>
      </c>
      <c r="FX264" t="e">
        <f>Europe!D441+"n/&gt;!/W4"</f>
        <v>#VALUE!</v>
      </c>
      <c r="FY264" t="e">
        <f>Europe!E441+"n/&gt;!/W5"</f>
        <v>#VALUE!</v>
      </c>
      <c r="FZ264" t="e">
        <f>Europe!F441+"n/&gt;!/W6"</f>
        <v>#VALUE!</v>
      </c>
      <c r="GA264" t="e">
        <f>Europe!G441+"n/&gt;!/W7"</f>
        <v>#VALUE!</v>
      </c>
      <c r="GB264" t="e">
        <f>Europe!H441+"n/&gt;!/W8"</f>
        <v>#VALUE!</v>
      </c>
      <c r="GC264" t="e">
        <f>Europe!I441+"n/&gt;!/W9"</f>
        <v>#VALUE!</v>
      </c>
      <c r="GD264" t="e">
        <f>Europe!A442+"n/&gt;!/W:"</f>
        <v>#VALUE!</v>
      </c>
      <c r="GE264" t="e">
        <f>Europe!B442+"n/&gt;!/W;"</f>
        <v>#VALUE!</v>
      </c>
      <c r="GF264" t="e">
        <f>Europe!C442+"n/&gt;!/W&lt;"</f>
        <v>#VALUE!</v>
      </c>
      <c r="GG264" t="e">
        <f>Europe!D442+"n/&gt;!/W="</f>
        <v>#VALUE!</v>
      </c>
      <c r="GH264" t="e">
        <f>Europe!E442+"n/&gt;!/W&gt;"</f>
        <v>#VALUE!</v>
      </c>
      <c r="GI264" t="e">
        <f>Europe!F442+"n/&gt;!/W?"</f>
        <v>#VALUE!</v>
      </c>
      <c r="GJ264" t="e">
        <f>Europe!G442+"n/&gt;!/W@"</f>
        <v>#VALUE!</v>
      </c>
      <c r="GK264" t="e">
        <f>Europe!H442+"n/&gt;!/WA"</f>
        <v>#VALUE!</v>
      </c>
      <c r="GL264" t="e">
        <f>Europe!I442+"n/&gt;!/WB"</f>
        <v>#VALUE!</v>
      </c>
      <c r="GM264" t="e">
        <f>Europe!A443+"n/&gt;!/WC"</f>
        <v>#VALUE!</v>
      </c>
      <c r="GN264" t="e">
        <f>Europe!B443+"n/&gt;!/WD"</f>
        <v>#VALUE!</v>
      </c>
      <c r="GO264" t="e">
        <f>Europe!C443+"n/&gt;!/WE"</f>
        <v>#VALUE!</v>
      </c>
      <c r="GP264" t="e">
        <f>Europe!D443+"n/&gt;!/WF"</f>
        <v>#VALUE!</v>
      </c>
      <c r="GQ264" t="e">
        <f>Europe!E443+"n/&gt;!/WG"</f>
        <v>#VALUE!</v>
      </c>
      <c r="GR264" t="e">
        <f>Europe!F443+"n/&gt;!/WH"</f>
        <v>#VALUE!</v>
      </c>
      <c r="GS264" t="e">
        <f>Europe!G443+"n/&gt;!/WI"</f>
        <v>#VALUE!</v>
      </c>
      <c r="GT264" t="e">
        <f>Europe!H443+"n/&gt;!/WJ"</f>
        <v>#VALUE!</v>
      </c>
      <c r="GU264" t="e">
        <f>Europe!I443+"n/&gt;!/WK"</f>
        <v>#VALUE!</v>
      </c>
      <c r="GV264" t="e">
        <f>Europe!A444+"n/&gt;!/WL"</f>
        <v>#VALUE!</v>
      </c>
      <c r="GW264" t="e">
        <f>Europe!B444+"n/&gt;!/WM"</f>
        <v>#VALUE!</v>
      </c>
      <c r="GX264" t="e">
        <f>Europe!C444+"n/&gt;!/WN"</f>
        <v>#VALUE!</v>
      </c>
      <c r="GY264" t="e">
        <f>Europe!D444+"n/&gt;!/WO"</f>
        <v>#VALUE!</v>
      </c>
      <c r="GZ264" t="e">
        <f>Europe!E444+"n/&gt;!/WP"</f>
        <v>#VALUE!</v>
      </c>
      <c r="HA264" t="e">
        <f>Europe!F444+"n/&gt;!/WQ"</f>
        <v>#VALUE!</v>
      </c>
      <c r="HB264" t="e">
        <f>Europe!G444+"n/&gt;!/WR"</f>
        <v>#VALUE!</v>
      </c>
      <c r="HC264" t="e">
        <f>Europe!H444+"n/&gt;!/WS"</f>
        <v>#VALUE!</v>
      </c>
      <c r="HD264" t="e">
        <f>Europe!I444+"n/&gt;!/WT"</f>
        <v>#VALUE!</v>
      </c>
      <c r="HE264" t="e">
        <f>Europe!A445+"n/&gt;!/WU"</f>
        <v>#VALUE!</v>
      </c>
      <c r="HF264" t="e">
        <f>Europe!B445+"n/&gt;!/WV"</f>
        <v>#VALUE!</v>
      </c>
      <c r="HG264" t="e">
        <f>Europe!C445+"n/&gt;!/WW"</f>
        <v>#VALUE!</v>
      </c>
      <c r="HH264" t="e">
        <f>Europe!D445+"n/&gt;!/WX"</f>
        <v>#VALUE!</v>
      </c>
      <c r="HI264" t="e">
        <f>Europe!E445+"n/&gt;!/WY"</f>
        <v>#VALUE!</v>
      </c>
      <c r="HJ264" t="e">
        <f>Europe!F445+"n/&gt;!/WZ"</f>
        <v>#VALUE!</v>
      </c>
      <c r="HK264" t="e">
        <f>Europe!G445+"n/&gt;!/W["</f>
        <v>#VALUE!</v>
      </c>
      <c r="HL264" t="e">
        <f>Europe!H445+"n/&gt;!/W\"</f>
        <v>#VALUE!</v>
      </c>
      <c r="HM264" t="e">
        <f>Europe!I445+"n/&gt;!/W]"</f>
        <v>#VALUE!</v>
      </c>
      <c r="HN264" t="e">
        <f>Europe!A446+"n/&gt;!/W^"</f>
        <v>#VALUE!</v>
      </c>
      <c r="HO264" t="e">
        <f>Europe!B446+"n/&gt;!/W_"</f>
        <v>#VALUE!</v>
      </c>
      <c r="HP264" t="e">
        <f>Europe!C446+"n/&gt;!/W`"</f>
        <v>#VALUE!</v>
      </c>
      <c r="HQ264" t="e">
        <f>Europe!D446+"n/&gt;!/Wa"</f>
        <v>#VALUE!</v>
      </c>
      <c r="HR264" t="e">
        <f>Europe!E446+"n/&gt;!/Wb"</f>
        <v>#VALUE!</v>
      </c>
      <c r="HS264" t="e">
        <f>Europe!F446+"n/&gt;!/Wc"</f>
        <v>#VALUE!</v>
      </c>
      <c r="HT264" t="e">
        <f>Europe!G446+"n/&gt;!/Wd"</f>
        <v>#VALUE!</v>
      </c>
      <c r="HU264" t="e">
        <f>Europe!H446+"n/&gt;!/We"</f>
        <v>#VALUE!</v>
      </c>
      <c r="HV264" t="e">
        <f>Europe!I446+"n/&gt;!/Wf"</f>
        <v>#VALUE!</v>
      </c>
      <c r="HW264" t="e">
        <f>Europe!A447+"n/&gt;!/Wg"</f>
        <v>#VALUE!</v>
      </c>
      <c r="HX264" t="e">
        <f>Europe!B447+"n/&gt;!/Wh"</f>
        <v>#VALUE!</v>
      </c>
      <c r="HY264" t="e">
        <f>Europe!C447+"n/&gt;!/Wi"</f>
        <v>#VALUE!</v>
      </c>
      <c r="HZ264" t="e">
        <f>Europe!D447+"n/&gt;!/Wj"</f>
        <v>#VALUE!</v>
      </c>
      <c r="IA264" t="e">
        <f>Europe!E447+"n/&gt;!/Wk"</f>
        <v>#VALUE!</v>
      </c>
      <c r="IB264" t="e">
        <f>Europe!F447+"n/&gt;!/Wl"</f>
        <v>#VALUE!</v>
      </c>
      <c r="IC264" t="e">
        <f>Europe!G447+"n/&gt;!/Wm"</f>
        <v>#VALUE!</v>
      </c>
      <c r="ID264" t="e">
        <f>Europe!H447+"n/&gt;!/Wn"</f>
        <v>#VALUE!</v>
      </c>
      <c r="IE264" t="e">
        <f>Europe!I447+"n/&gt;!/Wo"</f>
        <v>#VALUE!</v>
      </c>
      <c r="IF264" t="e">
        <f>Europe!A448+"n/&gt;!/Wp"</f>
        <v>#VALUE!</v>
      </c>
      <c r="IG264" t="e">
        <f>Europe!B448+"n/&gt;!/Wq"</f>
        <v>#VALUE!</v>
      </c>
      <c r="IH264" t="e">
        <f>Europe!C448+"n/&gt;!/Wr"</f>
        <v>#VALUE!</v>
      </c>
      <c r="II264" t="e">
        <f>Europe!D448+"n/&gt;!/Ws"</f>
        <v>#VALUE!</v>
      </c>
      <c r="IJ264" t="e">
        <f>Europe!E448+"n/&gt;!/Wt"</f>
        <v>#VALUE!</v>
      </c>
      <c r="IK264" t="e">
        <f>Europe!F448+"n/&gt;!/Wu"</f>
        <v>#VALUE!</v>
      </c>
      <c r="IL264" t="e">
        <f>Europe!G448+"n/&gt;!/Wv"</f>
        <v>#VALUE!</v>
      </c>
      <c r="IM264" t="e">
        <f>Europe!H448+"n/&gt;!/Ww"</f>
        <v>#VALUE!</v>
      </c>
      <c r="IN264" t="e">
        <f>Europe!I448+"n/&gt;!/Wx"</f>
        <v>#VALUE!</v>
      </c>
      <c r="IO264" t="e">
        <f>Europe!A449+"n/&gt;!/Wy"</f>
        <v>#VALUE!</v>
      </c>
      <c r="IP264" t="e">
        <f>Europe!B449+"n/&gt;!/Wz"</f>
        <v>#VALUE!</v>
      </c>
      <c r="IQ264" t="e">
        <f>Europe!C449+"n/&gt;!/W{"</f>
        <v>#VALUE!</v>
      </c>
      <c r="IR264" t="e">
        <f>Europe!D449+"n/&gt;!/W|"</f>
        <v>#VALUE!</v>
      </c>
      <c r="IS264" t="e">
        <f>Europe!E449+"n/&gt;!/W}"</f>
        <v>#VALUE!</v>
      </c>
      <c r="IT264" t="e">
        <f>Europe!F449+"n/&gt;!/W~"</f>
        <v>#VALUE!</v>
      </c>
      <c r="IU264" t="e">
        <f>Europe!G449+"n/&gt;!/X#"</f>
        <v>#VALUE!</v>
      </c>
      <c r="IV264" t="e">
        <f>Europe!H449+"n/&gt;!/X$"</f>
        <v>#VALUE!</v>
      </c>
    </row>
    <row r="265" spans="6:256" x14ac:dyDescent="0.35">
      <c r="F265" t="e">
        <f>Europe!I449+"n/&gt;!/X%"</f>
        <v>#VALUE!</v>
      </c>
      <c r="G265" t="e">
        <f>Europe!A450+"n/&gt;!/X&amp;"</f>
        <v>#VALUE!</v>
      </c>
      <c r="H265" t="e">
        <f>Europe!B450+"n/&gt;!/X'"</f>
        <v>#VALUE!</v>
      </c>
      <c r="I265" t="e">
        <f>Europe!C450+"n/&gt;!/X("</f>
        <v>#VALUE!</v>
      </c>
      <c r="J265" t="e">
        <f>Europe!D450+"n/&gt;!/X)"</f>
        <v>#VALUE!</v>
      </c>
      <c r="K265" t="e">
        <f>Europe!E450+"n/&gt;!/X."</f>
        <v>#VALUE!</v>
      </c>
      <c r="L265" t="e">
        <f>Europe!F450+"n/&gt;!/X/"</f>
        <v>#VALUE!</v>
      </c>
      <c r="M265" t="e">
        <f>Europe!G450+"n/&gt;!/X0"</f>
        <v>#VALUE!</v>
      </c>
      <c r="N265" t="e">
        <f>Europe!H450+"n/&gt;!/X1"</f>
        <v>#VALUE!</v>
      </c>
      <c r="O265" t="e">
        <f>Europe!I450+"n/&gt;!/X2"</f>
        <v>#VALUE!</v>
      </c>
      <c r="P265" t="e">
        <f>Europe!A451+"n/&gt;!/X3"</f>
        <v>#VALUE!</v>
      </c>
      <c r="Q265" t="e">
        <f>Europe!B451+"n/&gt;!/X4"</f>
        <v>#VALUE!</v>
      </c>
      <c r="R265" t="e">
        <f>Europe!C451+"n/&gt;!/X5"</f>
        <v>#VALUE!</v>
      </c>
      <c r="S265" t="e">
        <f>Europe!D451+"n/&gt;!/X6"</f>
        <v>#VALUE!</v>
      </c>
      <c r="T265" t="e">
        <f>Europe!E451+"n/&gt;!/X7"</f>
        <v>#VALUE!</v>
      </c>
      <c r="U265" t="e">
        <f>Europe!F451+"n/&gt;!/X8"</f>
        <v>#VALUE!</v>
      </c>
      <c r="V265" t="e">
        <f>Europe!G451+"n/&gt;!/X9"</f>
        <v>#VALUE!</v>
      </c>
      <c r="W265" t="e">
        <f>Europe!H451+"n/&gt;!/X:"</f>
        <v>#VALUE!</v>
      </c>
      <c r="X265" t="e">
        <f>Europe!I451+"n/&gt;!/X;"</f>
        <v>#VALUE!</v>
      </c>
      <c r="Y265" t="e">
        <f>Europe!A452+"n/&gt;!/X&lt;"</f>
        <v>#VALUE!</v>
      </c>
      <c r="Z265" t="e">
        <f>Europe!B452+"n/&gt;!/X="</f>
        <v>#VALUE!</v>
      </c>
      <c r="AA265" t="e">
        <f>Europe!C452+"n/&gt;!/X&gt;"</f>
        <v>#VALUE!</v>
      </c>
      <c r="AB265" t="e">
        <f>Europe!D452+"n/&gt;!/X?"</f>
        <v>#VALUE!</v>
      </c>
      <c r="AC265" t="e">
        <f>Europe!E452+"n/&gt;!/X@"</f>
        <v>#VALUE!</v>
      </c>
      <c r="AD265" t="e">
        <f>Europe!F452+"n/&gt;!/XA"</f>
        <v>#VALUE!</v>
      </c>
      <c r="AE265" t="e">
        <f>Europe!G452+"n/&gt;!/XB"</f>
        <v>#VALUE!</v>
      </c>
      <c r="AF265" t="e">
        <f>Europe!H452+"n/&gt;!/XC"</f>
        <v>#VALUE!</v>
      </c>
      <c r="AG265" t="e">
        <f>Europe!I452+"n/&gt;!/XD"</f>
        <v>#VALUE!</v>
      </c>
      <c r="AH265" t="e">
        <f>Europe!A453+"n/&gt;!/XE"</f>
        <v>#VALUE!</v>
      </c>
      <c r="AI265" t="e">
        <f>Europe!B453+"n/&gt;!/XF"</f>
        <v>#VALUE!</v>
      </c>
      <c r="AJ265" t="e">
        <f>Europe!C453+"n/&gt;!/XG"</f>
        <v>#VALUE!</v>
      </c>
      <c r="AK265" t="e">
        <f>Europe!D453+"n/&gt;!/XH"</f>
        <v>#VALUE!</v>
      </c>
      <c r="AL265" t="e">
        <f>Europe!E453+"n/&gt;!/XI"</f>
        <v>#VALUE!</v>
      </c>
      <c r="AM265" t="e">
        <f>Europe!F453+"n/&gt;!/XJ"</f>
        <v>#VALUE!</v>
      </c>
      <c r="AN265" t="e">
        <f>Europe!G453+"n/&gt;!/XK"</f>
        <v>#VALUE!</v>
      </c>
      <c r="AO265" t="e">
        <f>Europe!H453+"n/&gt;!/XL"</f>
        <v>#VALUE!</v>
      </c>
      <c r="AP265" t="e">
        <f>Europe!I453+"n/&gt;!/XM"</f>
        <v>#VALUE!</v>
      </c>
      <c r="AQ265" t="e">
        <f>Europe!A454+"n/&gt;!/XN"</f>
        <v>#VALUE!</v>
      </c>
      <c r="AR265" t="e">
        <f>Europe!B454+"n/&gt;!/XO"</f>
        <v>#VALUE!</v>
      </c>
      <c r="AS265" t="e">
        <f>Europe!C454+"n/&gt;!/XP"</f>
        <v>#VALUE!</v>
      </c>
      <c r="AT265" t="e">
        <f>Europe!D454+"n/&gt;!/XQ"</f>
        <v>#VALUE!</v>
      </c>
      <c r="AU265" t="e">
        <f>Europe!E454+"n/&gt;!/XR"</f>
        <v>#VALUE!</v>
      </c>
      <c r="AV265" t="e">
        <f>Europe!F454+"n/&gt;!/XS"</f>
        <v>#VALUE!</v>
      </c>
      <c r="AW265" t="e">
        <f>Europe!G454+"n/&gt;!/XT"</f>
        <v>#VALUE!</v>
      </c>
      <c r="AX265" t="e">
        <f>Europe!H454+"n/&gt;!/XU"</f>
        <v>#VALUE!</v>
      </c>
      <c r="AY265" t="e">
        <f>Europe!I454+"n/&gt;!/XV"</f>
        <v>#VALUE!</v>
      </c>
      <c r="AZ265" t="e">
        <f>Europe!A455+"n/&gt;!/XW"</f>
        <v>#VALUE!</v>
      </c>
      <c r="BA265" t="e">
        <f>Europe!B455+"n/&gt;!/XX"</f>
        <v>#VALUE!</v>
      </c>
      <c r="BB265" t="e">
        <f>Europe!C455+"n/&gt;!/XY"</f>
        <v>#VALUE!</v>
      </c>
      <c r="BC265" t="e">
        <f>Europe!D455+"n/&gt;!/XZ"</f>
        <v>#VALUE!</v>
      </c>
      <c r="BD265" t="e">
        <f>Europe!E455+"n/&gt;!/X["</f>
        <v>#VALUE!</v>
      </c>
      <c r="BE265" t="e">
        <f>Europe!F455+"n/&gt;!/X\"</f>
        <v>#VALUE!</v>
      </c>
      <c r="BF265" t="e">
        <f>Europe!G455+"n/&gt;!/X]"</f>
        <v>#VALUE!</v>
      </c>
      <c r="BG265" t="e">
        <f>Europe!H455+"n/&gt;!/X^"</f>
        <v>#VALUE!</v>
      </c>
      <c r="BH265" t="e">
        <f>Europe!I455+"n/&gt;!/X_"</f>
        <v>#VALUE!</v>
      </c>
      <c r="BI265" t="e">
        <f>Europe!A456+"n/&gt;!/X`"</f>
        <v>#VALUE!</v>
      </c>
      <c r="BJ265" t="e">
        <f>Europe!B456+"n/&gt;!/Xa"</f>
        <v>#VALUE!</v>
      </c>
      <c r="BK265" t="e">
        <f>Europe!C456+"n/&gt;!/Xb"</f>
        <v>#VALUE!</v>
      </c>
      <c r="BL265" t="e">
        <f>Europe!D456+"n/&gt;!/Xc"</f>
        <v>#VALUE!</v>
      </c>
      <c r="BM265" t="e">
        <f>Europe!E456+"n/&gt;!/Xd"</f>
        <v>#VALUE!</v>
      </c>
      <c r="BN265" t="e">
        <f>Europe!F456+"n/&gt;!/Xe"</f>
        <v>#VALUE!</v>
      </c>
      <c r="BO265" t="e">
        <f>Europe!G456+"n/&gt;!/Xf"</f>
        <v>#VALUE!</v>
      </c>
      <c r="BP265" t="e">
        <f>Europe!H456+"n/&gt;!/Xg"</f>
        <v>#VALUE!</v>
      </c>
      <c r="BQ265" t="e">
        <f>Europe!I456+"n/&gt;!/Xh"</f>
        <v>#VALUE!</v>
      </c>
      <c r="BR265" t="e">
        <f>Europe!A457+"n/&gt;!/Xi"</f>
        <v>#VALUE!</v>
      </c>
      <c r="BS265" t="e">
        <f>Europe!B457+"n/&gt;!/Xj"</f>
        <v>#VALUE!</v>
      </c>
      <c r="BT265" t="e">
        <f>Europe!C457+"n/&gt;!/Xk"</f>
        <v>#VALUE!</v>
      </c>
      <c r="BU265" t="e">
        <f>Europe!D457+"n/&gt;!/Xl"</f>
        <v>#VALUE!</v>
      </c>
      <c r="BV265" t="e">
        <f>Europe!E457+"n/&gt;!/Xm"</f>
        <v>#VALUE!</v>
      </c>
      <c r="BW265" t="e">
        <f>Europe!F457+"n/&gt;!/Xn"</f>
        <v>#VALUE!</v>
      </c>
      <c r="BX265" t="e">
        <f>Europe!G457+"n/&gt;!/Xo"</f>
        <v>#VALUE!</v>
      </c>
      <c r="BY265" t="e">
        <f>Europe!H457+"n/&gt;!/Xp"</f>
        <v>#VALUE!</v>
      </c>
      <c r="BZ265" t="e">
        <f>Europe!I457+"n/&gt;!/Xq"</f>
        <v>#VALUE!</v>
      </c>
      <c r="CA265" t="e">
        <f>Europe!A458+"n/&gt;!/Xr"</f>
        <v>#VALUE!</v>
      </c>
      <c r="CB265" t="e">
        <f>Europe!B458+"n/&gt;!/Xs"</f>
        <v>#VALUE!</v>
      </c>
      <c r="CC265" t="e">
        <f>Europe!C458+"n/&gt;!/Xt"</f>
        <v>#VALUE!</v>
      </c>
      <c r="CD265" t="e">
        <f>Europe!D458+"n/&gt;!/Xu"</f>
        <v>#VALUE!</v>
      </c>
      <c r="CE265" t="e">
        <f>Europe!E458+"n/&gt;!/Xv"</f>
        <v>#VALUE!</v>
      </c>
      <c r="CF265" t="e">
        <f>Europe!F458+"n/&gt;!/Xw"</f>
        <v>#VALUE!</v>
      </c>
      <c r="CG265" t="e">
        <f>Europe!G458+"n/&gt;!/Xx"</f>
        <v>#VALUE!</v>
      </c>
      <c r="CH265" t="e">
        <f>Europe!H458+"n/&gt;!/Xy"</f>
        <v>#VALUE!</v>
      </c>
      <c r="CI265" t="e">
        <f>Europe!I458+"n/&gt;!/Xz"</f>
        <v>#VALUE!</v>
      </c>
      <c r="CJ265" t="e">
        <f>Europe!A459+"n/&gt;!/X{"</f>
        <v>#VALUE!</v>
      </c>
      <c r="CK265" t="e">
        <f>Europe!B459+"n/&gt;!/X|"</f>
        <v>#VALUE!</v>
      </c>
      <c r="CL265" t="e">
        <f>Europe!C459+"n/&gt;!/X}"</f>
        <v>#VALUE!</v>
      </c>
      <c r="CM265" t="e">
        <f>Europe!D459+"n/&gt;!/X~"</f>
        <v>#VALUE!</v>
      </c>
      <c r="CN265" t="e">
        <f>Europe!E459+"n/&gt;!/Y#"</f>
        <v>#VALUE!</v>
      </c>
      <c r="CO265" t="e">
        <f>Europe!F459+"n/&gt;!/Y$"</f>
        <v>#VALUE!</v>
      </c>
      <c r="CP265" t="e">
        <f>Europe!G459+"n/&gt;!/Y%"</f>
        <v>#VALUE!</v>
      </c>
      <c r="CQ265" t="e">
        <f>Europe!H459+"n/&gt;!/Y&amp;"</f>
        <v>#VALUE!</v>
      </c>
      <c r="CR265" t="e">
        <f>Europe!I459+"n/&gt;!/Y'"</f>
        <v>#VALUE!</v>
      </c>
      <c r="CS265" t="e">
        <f>Europe!A460+"n/&gt;!/Y("</f>
        <v>#VALUE!</v>
      </c>
      <c r="CT265" t="e">
        <f>Europe!B460+"n/&gt;!/Y)"</f>
        <v>#VALUE!</v>
      </c>
      <c r="CU265" t="e">
        <f>Europe!C460+"n/&gt;!/Y."</f>
        <v>#VALUE!</v>
      </c>
      <c r="CV265" t="e">
        <f>Europe!D460+"n/&gt;!/Y/"</f>
        <v>#VALUE!</v>
      </c>
      <c r="CW265" t="e">
        <f>Europe!E460+"n/&gt;!/Y0"</f>
        <v>#VALUE!</v>
      </c>
      <c r="CX265" t="e">
        <f>Europe!F460+"n/&gt;!/Y1"</f>
        <v>#VALUE!</v>
      </c>
      <c r="CY265" t="e">
        <f>Europe!G460+"n/&gt;!/Y2"</f>
        <v>#VALUE!</v>
      </c>
      <c r="CZ265" t="e">
        <f>Europe!H460+"n/&gt;!/Y3"</f>
        <v>#VALUE!</v>
      </c>
      <c r="DA265" t="e">
        <f>Europe!I460+"n/&gt;!/Y4"</f>
        <v>#VALUE!</v>
      </c>
      <c r="DB265" t="e">
        <f>Europe!A461+"n/&gt;!/Y5"</f>
        <v>#VALUE!</v>
      </c>
      <c r="DC265" t="e">
        <f>Europe!B461+"n/&gt;!/Y6"</f>
        <v>#VALUE!</v>
      </c>
      <c r="DD265" t="e">
        <f>Europe!C461+"n/&gt;!/Y7"</f>
        <v>#VALUE!</v>
      </c>
      <c r="DE265" t="e">
        <f>Europe!D461+"n/&gt;!/Y8"</f>
        <v>#VALUE!</v>
      </c>
      <c r="DF265" t="e">
        <f>Europe!E461+"n/&gt;!/Y9"</f>
        <v>#VALUE!</v>
      </c>
      <c r="DG265" t="e">
        <f>Europe!F461+"n/&gt;!/Y:"</f>
        <v>#VALUE!</v>
      </c>
      <c r="DH265" t="e">
        <f>Europe!G461+"n/&gt;!/Y;"</f>
        <v>#VALUE!</v>
      </c>
      <c r="DI265" t="e">
        <f>Europe!H461+"n/&gt;!/Y&lt;"</f>
        <v>#VALUE!</v>
      </c>
      <c r="DJ265" t="e">
        <f>Europe!I461+"n/&gt;!/Y="</f>
        <v>#VALUE!</v>
      </c>
      <c r="DK265" t="e">
        <f>Europe!A462+"n/&gt;!/Y&gt;"</f>
        <v>#VALUE!</v>
      </c>
      <c r="DL265" t="e">
        <f>Europe!B462+"n/&gt;!/Y?"</f>
        <v>#VALUE!</v>
      </c>
      <c r="DM265" t="e">
        <f>Europe!C462+"n/&gt;!/Y@"</f>
        <v>#VALUE!</v>
      </c>
      <c r="DN265" t="e">
        <f>Europe!D462+"n/&gt;!/YA"</f>
        <v>#VALUE!</v>
      </c>
      <c r="DO265" t="e">
        <f>Europe!E462+"n/&gt;!/YB"</f>
        <v>#VALUE!</v>
      </c>
      <c r="DP265" t="e">
        <f>Europe!F462+"n/&gt;!/YC"</f>
        <v>#VALUE!</v>
      </c>
      <c r="DQ265" t="e">
        <f>Europe!G462+"n/&gt;!/YD"</f>
        <v>#VALUE!</v>
      </c>
      <c r="DR265" t="e">
        <f>Europe!H462+"n/&gt;!/YE"</f>
        <v>#VALUE!</v>
      </c>
      <c r="DS265" t="e">
        <f>Europe!I462+"n/&gt;!/YF"</f>
        <v>#VALUE!</v>
      </c>
      <c r="DT265" t="e">
        <f>Europe!A463+"n/&gt;!/YG"</f>
        <v>#VALUE!</v>
      </c>
      <c r="DU265" t="e">
        <f>Europe!B463+"n/&gt;!/YH"</f>
        <v>#VALUE!</v>
      </c>
      <c r="DV265" t="e">
        <f>Europe!C463+"n/&gt;!/YI"</f>
        <v>#VALUE!</v>
      </c>
      <c r="DW265" t="e">
        <f>Europe!D463+"n/&gt;!/YJ"</f>
        <v>#VALUE!</v>
      </c>
      <c r="DX265" t="e">
        <f>Europe!E463+"n/&gt;!/YK"</f>
        <v>#VALUE!</v>
      </c>
      <c r="DY265" t="e">
        <f>Europe!F463+"n/&gt;!/YL"</f>
        <v>#VALUE!</v>
      </c>
      <c r="DZ265" t="e">
        <f>Europe!G463+"n/&gt;!/YM"</f>
        <v>#VALUE!</v>
      </c>
      <c r="EA265" t="e">
        <f>Europe!H463+"n/&gt;!/YN"</f>
        <v>#VALUE!</v>
      </c>
      <c r="EB265" t="e">
        <f>Europe!I463+"n/&gt;!/YO"</f>
        <v>#VALUE!</v>
      </c>
      <c r="EC265" t="e">
        <f>Europe!A464+"n/&gt;!/YP"</f>
        <v>#VALUE!</v>
      </c>
      <c r="ED265" t="e">
        <f>Europe!B464+"n/&gt;!/YQ"</f>
        <v>#VALUE!</v>
      </c>
      <c r="EE265" t="e">
        <f>Europe!C464+"n/&gt;!/YR"</f>
        <v>#VALUE!</v>
      </c>
      <c r="EF265" t="e">
        <f>Europe!D464+"n/&gt;!/YS"</f>
        <v>#VALUE!</v>
      </c>
      <c r="EG265" t="e">
        <f>Europe!E464+"n/&gt;!/YT"</f>
        <v>#VALUE!</v>
      </c>
      <c r="EH265" t="e">
        <f>Europe!F464+"n/&gt;!/YU"</f>
        <v>#VALUE!</v>
      </c>
      <c r="EI265" t="e">
        <f>Europe!G464+"n/&gt;!/YV"</f>
        <v>#VALUE!</v>
      </c>
      <c r="EJ265" t="e">
        <f>Europe!H464+"n/&gt;!/YW"</f>
        <v>#VALUE!</v>
      </c>
      <c r="EK265" t="e">
        <f>Europe!I464+"n/&gt;!/YX"</f>
        <v>#VALUE!</v>
      </c>
      <c r="EL265" t="e">
        <f>Europe!A465+"n/&gt;!/YY"</f>
        <v>#VALUE!</v>
      </c>
      <c r="EM265" t="e">
        <f>Europe!B465+"n/&gt;!/YZ"</f>
        <v>#VALUE!</v>
      </c>
      <c r="EN265" t="e">
        <f>Europe!C465+"n/&gt;!/Y["</f>
        <v>#VALUE!</v>
      </c>
      <c r="EO265" t="e">
        <f>Europe!D465+"n/&gt;!/Y\"</f>
        <v>#VALUE!</v>
      </c>
      <c r="EP265" t="e">
        <f>Europe!E465+"n/&gt;!/Y]"</f>
        <v>#VALUE!</v>
      </c>
      <c r="EQ265" t="e">
        <f>Europe!F465+"n/&gt;!/Y^"</f>
        <v>#VALUE!</v>
      </c>
      <c r="ER265" t="e">
        <f>Europe!G465+"n/&gt;!/Y_"</f>
        <v>#VALUE!</v>
      </c>
      <c r="ES265" t="e">
        <f>Europe!H465+"n/&gt;!/Y`"</f>
        <v>#VALUE!</v>
      </c>
      <c r="ET265" t="e">
        <f>Europe!I465+"n/&gt;!/Ya"</f>
        <v>#VALUE!</v>
      </c>
      <c r="EU265" t="e">
        <f>Europe!A466+"n/&gt;!/Yb"</f>
        <v>#VALUE!</v>
      </c>
      <c r="EV265" t="e">
        <f>Europe!B466+"n/&gt;!/Yc"</f>
        <v>#VALUE!</v>
      </c>
      <c r="EW265" t="e">
        <f>Europe!C466+"n/&gt;!/Yd"</f>
        <v>#VALUE!</v>
      </c>
      <c r="EX265" t="e">
        <f>Europe!D466+"n/&gt;!/Ye"</f>
        <v>#VALUE!</v>
      </c>
      <c r="EY265" t="e">
        <f>Europe!E466+"n/&gt;!/Yf"</f>
        <v>#VALUE!</v>
      </c>
      <c r="EZ265" t="e">
        <f>Europe!F466+"n/&gt;!/Yg"</f>
        <v>#VALUE!</v>
      </c>
      <c r="FA265" t="e">
        <f>Europe!G466+"n/&gt;!/Yh"</f>
        <v>#VALUE!</v>
      </c>
      <c r="FB265" t="e">
        <f>Europe!H466+"n/&gt;!/Yi"</f>
        <v>#VALUE!</v>
      </c>
      <c r="FC265" t="e">
        <f>Europe!I466+"n/&gt;!/Yj"</f>
        <v>#VALUE!</v>
      </c>
      <c r="FD265" t="e">
        <f>Europe!A467+"n/&gt;!/Yk"</f>
        <v>#VALUE!</v>
      </c>
      <c r="FE265" t="e">
        <f>Europe!B467+"n/&gt;!/Yl"</f>
        <v>#VALUE!</v>
      </c>
      <c r="FF265" t="e">
        <f>Europe!C467+"n/&gt;!/Ym"</f>
        <v>#VALUE!</v>
      </c>
      <c r="FG265" t="e">
        <f>Europe!D467+"n/&gt;!/Yn"</f>
        <v>#VALUE!</v>
      </c>
      <c r="FH265" t="e">
        <f>Europe!E467+"n/&gt;!/Yo"</f>
        <v>#VALUE!</v>
      </c>
      <c r="FI265" t="e">
        <f>Europe!F467+"n/&gt;!/Yp"</f>
        <v>#VALUE!</v>
      </c>
      <c r="FJ265" t="e">
        <f>Europe!G467+"n/&gt;!/Yq"</f>
        <v>#VALUE!</v>
      </c>
      <c r="FK265" t="e">
        <f>Europe!H467+"n/&gt;!/Yr"</f>
        <v>#VALUE!</v>
      </c>
      <c r="FL265" t="e">
        <f>Europe!I467+"n/&gt;!/Ys"</f>
        <v>#VALUE!</v>
      </c>
      <c r="FM265" t="e">
        <f>Europe!A468+"n/&gt;!/Yt"</f>
        <v>#VALUE!</v>
      </c>
      <c r="FN265" t="e">
        <f>Europe!B468+"n/&gt;!/Yu"</f>
        <v>#VALUE!</v>
      </c>
      <c r="FO265" t="e">
        <f>Europe!C468+"n/&gt;!/Yv"</f>
        <v>#VALUE!</v>
      </c>
      <c r="FP265" t="e">
        <f>Europe!D468+"n/&gt;!/Yw"</f>
        <v>#VALUE!</v>
      </c>
      <c r="FQ265" t="e">
        <f>Europe!E468+"n/&gt;!/Yx"</f>
        <v>#VALUE!</v>
      </c>
      <c r="FR265" t="e">
        <f>Europe!F468+"n/&gt;!/Yy"</f>
        <v>#VALUE!</v>
      </c>
      <c r="FS265" t="e">
        <f>Europe!G468+"n/&gt;!/Yz"</f>
        <v>#VALUE!</v>
      </c>
      <c r="FT265" t="e">
        <f>Europe!H468+"n/&gt;!/Y{"</f>
        <v>#VALUE!</v>
      </c>
      <c r="FU265" t="e">
        <f>Europe!I468+"n/&gt;!/Y|"</f>
        <v>#VALUE!</v>
      </c>
      <c r="FV265" t="e">
        <f>Europe!A469+"n/&gt;!/Y}"</f>
        <v>#VALUE!</v>
      </c>
      <c r="FW265" t="e">
        <f>Europe!B469+"n/&gt;!/Y~"</f>
        <v>#VALUE!</v>
      </c>
      <c r="FX265" t="e">
        <f>Europe!C469+"n/&gt;!/Z#"</f>
        <v>#VALUE!</v>
      </c>
      <c r="FY265" t="e">
        <f>Europe!D469+"n/&gt;!/Z$"</f>
        <v>#VALUE!</v>
      </c>
      <c r="FZ265" t="e">
        <f>Europe!E469+"n/&gt;!/Z%"</f>
        <v>#VALUE!</v>
      </c>
      <c r="GA265" t="e">
        <f>Europe!F469+"n/&gt;!/Z&amp;"</f>
        <v>#VALUE!</v>
      </c>
      <c r="GB265" t="e">
        <f>Europe!G469+"n/&gt;!/Z'"</f>
        <v>#VALUE!</v>
      </c>
      <c r="GC265" t="e">
        <f>Europe!H469+"n/&gt;!/Z("</f>
        <v>#VALUE!</v>
      </c>
      <c r="GD265" t="e">
        <f>Europe!I469+"n/&gt;!/Z)"</f>
        <v>#VALUE!</v>
      </c>
      <c r="GE265" t="e">
        <f>Europe!A470+"n/&gt;!/Z."</f>
        <v>#VALUE!</v>
      </c>
      <c r="GF265" t="e">
        <f>Europe!B470+"n/&gt;!/Z/"</f>
        <v>#VALUE!</v>
      </c>
      <c r="GG265" t="e">
        <f>Europe!C470+"n/&gt;!/Z0"</f>
        <v>#VALUE!</v>
      </c>
      <c r="GH265" t="e">
        <f>Europe!D470+"n/&gt;!/Z1"</f>
        <v>#VALUE!</v>
      </c>
      <c r="GI265" t="e">
        <f>Europe!E470+"n/&gt;!/Z2"</f>
        <v>#VALUE!</v>
      </c>
      <c r="GJ265" t="e">
        <f>Europe!F470+"n/&gt;!/Z3"</f>
        <v>#VALUE!</v>
      </c>
      <c r="GK265" t="e">
        <f>Europe!G470+"n/&gt;!/Z4"</f>
        <v>#VALUE!</v>
      </c>
      <c r="GL265" t="e">
        <f>Europe!H470+"n/&gt;!/Z5"</f>
        <v>#VALUE!</v>
      </c>
      <c r="GM265" t="e">
        <f>Europe!I470+"n/&gt;!/Z6"</f>
        <v>#VALUE!</v>
      </c>
      <c r="GN265" t="e">
        <f>Europe!A471+"n/&gt;!/Z7"</f>
        <v>#VALUE!</v>
      </c>
      <c r="GO265" t="e">
        <f>Europe!B471+"n/&gt;!/Z8"</f>
        <v>#VALUE!</v>
      </c>
      <c r="GP265" t="e">
        <f>Europe!C471+"n/&gt;!/Z9"</f>
        <v>#VALUE!</v>
      </c>
      <c r="GQ265" t="e">
        <f>Europe!D471+"n/&gt;!/Z:"</f>
        <v>#VALUE!</v>
      </c>
      <c r="GR265" t="e">
        <f>Europe!E471+"n/&gt;!/Z;"</f>
        <v>#VALUE!</v>
      </c>
      <c r="GS265" t="e">
        <f>Europe!F471+"n/&gt;!/Z&lt;"</f>
        <v>#VALUE!</v>
      </c>
      <c r="GT265" t="e">
        <f>Europe!G471+"n/&gt;!/Z="</f>
        <v>#VALUE!</v>
      </c>
      <c r="GU265" t="e">
        <f>Europe!H471+"n/&gt;!/Z&gt;"</f>
        <v>#VALUE!</v>
      </c>
      <c r="GV265" t="e">
        <f>Europe!I471+"n/&gt;!/Z?"</f>
        <v>#VALUE!</v>
      </c>
      <c r="GW265" t="e">
        <f>Europe!A472+"n/&gt;!/Z@"</f>
        <v>#VALUE!</v>
      </c>
      <c r="GX265" t="e">
        <f>Europe!B472+"n/&gt;!/ZA"</f>
        <v>#VALUE!</v>
      </c>
      <c r="GY265" t="e">
        <f>Europe!C472+"n/&gt;!/ZB"</f>
        <v>#VALUE!</v>
      </c>
      <c r="GZ265" t="e">
        <f>Europe!D472+"n/&gt;!/ZC"</f>
        <v>#VALUE!</v>
      </c>
      <c r="HA265" t="e">
        <f>Europe!E472+"n/&gt;!/ZD"</f>
        <v>#VALUE!</v>
      </c>
      <c r="HB265" t="e">
        <f>Europe!F472+"n/&gt;!/ZE"</f>
        <v>#VALUE!</v>
      </c>
      <c r="HC265" t="e">
        <f>Europe!G472+"n/&gt;!/ZF"</f>
        <v>#VALUE!</v>
      </c>
      <c r="HD265" t="e">
        <f>Europe!H472+"n/&gt;!/ZG"</f>
        <v>#VALUE!</v>
      </c>
      <c r="HE265" t="e">
        <f>Europe!I472+"n/&gt;!/ZH"</f>
        <v>#VALUE!</v>
      </c>
      <c r="HF265" t="e">
        <f>Europe!A473+"n/&gt;!/ZI"</f>
        <v>#VALUE!</v>
      </c>
      <c r="HG265" t="e">
        <f>Europe!B473+"n/&gt;!/ZJ"</f>
        <v>#VALUE!</v>
      </c>
      <c r="HH265" t="e">
        <f>Europe!C473+"n/&gt;!/ZK"</f>
        <v>#VALUE!</v>
      </c>
      <c r="HI265" t="e">
        <f>Europe!D473+"n/&gt;!/ZL"</f>
        <v>#VALUE!</v>
      </c>
      <c r="HJ265" t="e">
        <f>Europe!E473+"n/&gt;!/ZM"</f>
        <v>#VALUE!</v>
      </c>
      <c r="HK265" t="e">
        <f>Europe!F473+"n/&gt;!/ZN"</f>
        <v>#VALUE!</v>
      </c>
      <c r="HL265" t="e">
        <f>Europe!G473+"n/&gt;!/ZO"</f>
        <v>#VALUE!</v>
      </c>
      <c r="HM265" t="e">
        <f>Europe!H473+"n/&gt;!/ZP"</f>
        <v>#VALUE!</v>
      </c>
      <c r="HN265" t="e">
        <f>Europe!I473+"n/&gt;!/ZQ"</f>
        <v>#VALUE!</v>
      </c>
      <c r="HO265" t="e">
        <f>Europe!A474+"n/&gt;!/ZR"</f>
        <v>#VALUE!</v>
      </c>
      <c r="HP265" t="e">
        <f>Europe!B474+"n/&gt;!/ZS"</f>
        <v>#VALUE!</v>
      </c>
      <c r="HQ265" t="e">
        <f>Europe!C474+"n/&gt;!/ZT"</f>
        <v>#VALUE!</v>
      </c>
      <c r="HR265" t="e">
        <f>Europe!D474+"n/&gt;!/ZU"</f>
        <v>#VALUE!</v>
      </c>
      <c r="HS265" t="e">
        <f>Europe!E474+"n/&gt;!/ZV"</f>
        <v>#VALUE!</v>
      </c>
      <c r="HT265" t="e">
        <f>Europe!F474+"n/&gt;!/ZW"</f>
        <v>#VALUE!</v>
      </c>
      <c r="HU265" t="e">
        <f>Europe!G474+"n/&gt;!/ZX"</f>
        <v>#VALUE!</v>
      </c>
      <c r="HV265" t="e">
        <f>Europe!H474+"n/&gt;!/ZY"</f>
        <v>#VALUE!</v>
      </c>
      <c r="HW265" t="e">
        <f>Europe!I474+"n/&gt;!/ZZ"</f>
        <v>#VALUE!</v>
      </c>
      <c r="HX265" t="e">
        <f>Europe!A475+"n/&gt;!/Z["</f>
        <v>#VALUE!</v>
      </c>
      <c r="HY265" t="e">
        <f>Europe!B475+"n/&gt;!/Z\"</f>
        <v>#VALUE!</v>
      </c>
      <c r="HZ265" t="e">
        <f>Europe!C475+"n/&gt;!/Z]"</f>
        <v>#VALUE!</v>
      </c>
      <c r="IA265" t="e">
        <f>Europe!D475+"n/&gt;!/Z^"</f>
        <v>#VALUE!</v>
      </c>
      <c r="IB265" t="e">
        <f>Europe!E475+"n/&gt;!/Z_"</f>
        <v>#VALUE!</v>
      </c>
      <c r="IC265" t="e">
        <f>Europe!F475+"n/&gt;!/Z`"</f>
        <v>#VALUE!</v>
      </c>
      <c r="ID265" t="e">
        <f>Europe!G475+"n/&gt;!/Za"</f>
        <v>#VALUE!</v>
      </c>
      <c r="IE265" t="e">
        <f>Europe!H475+"n/&gt;!/Zb"</f>
        <v>#VALUE!</v>
      </c>
      <c r="IF265" t="e">
        <f>Europe!I475+"n/&gt;!/Zc"</f>
        <v>#VALUE!</v>
      </c>
      <c r="IG265" t="e">
        <f>Europe!A476+"n/&gt;!/Zd"</f>
        <v>#VALUE!</v>
      </c>
      <c r="IH265" t="e">
        <f>Europe!B476+"n/&gt;!/Ze"</f>
        <v>#VALUE!</v>
      </c>
      <c r="II265" t="e">
        <f>Europe!C476+"n/&gt;!/Zf"</f>
        <v>#VALUE!</v>
      </c>
      <c r="IJ265" t="e">
        <f>Europe!D476+"n/&gt;!/Zg"</f>
        <v>#VALUE!</v>
      </c>
      <c r="IK265" t="e">
        <f>Europe!E476+"n/&gt;!/Zh"</f>
        <v>#VALUE!</v>
      </c>
      <c r="IL265" t="e">
        <f>Europe!F476+"n/&gt;!/Zi"</f>
        <v>#VALUE!</v>
      </c>
      <c r="IM265" t="e">
        <f>Europe!G476+"n/&gt;!/Zj"</f>
        <v>#VALUE!</v>
      </c>
      <c r="IN265" t="e">
        <f>Europe!H476+"n/&gt;!/Zk"</f>
        <v>#VALUE!</v>
      </c>
      <c r="IO265" t="e">
        <f>Europe!I476+"n/&gt;!/Zl"</f>
        <v>#VALUE!</v>
      </c>
      <c r="IP265" t="e">
        <f>Europe!A477+"n/&gt;!/Zm"</f>
        <v>#VALUE!</v>
      </c>
      <c r="IQ265" t="e">
        <f>Europe!B477+"n/&gt;!/Zn"</f>
        <v>#VALUE!</v>
      </c>
      <c r="IR265" t="e">
        <f>Europe!C477+"n/&gt;!/Zo"</f>
        <v>#VALUE!</v>
      </c>
      <c r="IS265" t="e">
        <f>Europe!D477+"n/&gt;!/Zp"</f>
        <v>#VALUE!</v>
      </c>
      <c r="IT265" t="e">
        <f>Europe!E477+"n/&gt;!/Zq"</f>
        <v>#VALUE!</v>
      </c>
      <c r="IU265" t="e">
        <f>Europe!F477+"n/&gt;!/Zr"</f>
        <v>#VALUE!</v>
      </c>
      <c r="IV265" t="e">
        <f>Europe!G477+"n/&gt;!/Zs"</f>
        <v>#VALUE!</v>
      </c>
    </row>
    <row r="266" spans="6:256" x14ac:dyDescent="0.35">
      <c r="F266" t="e">
        <f>Europe!H477+"n/&gt;!/Zt"</f>
        <v>#VALUE!</v>
      </c>
      <c r="G266" t="e">
        <f>Europe!I477+"n/&gt;!/Zu"</f>
        <v>#VALUE!</v>
      </c>
      <c r="H266" t="e">
        <f>Europe!A478+"n/&gt;!/Zv"</f>
        <v>#VALUE!</v>
      </c>
      <c r="I266" t="e">
        <f>Europe!B478+"n/&gt;!/Zw"</f>
        <v>#VALUE!</v>
      </c>
      <c r="J266" t="e">
        <f>Europe!C478+"n/&gt;!/Zx"</f>
        <v>#VALUE!</v>
      </c>
      <c r="K266" t="e">
        <f>Europe!D478+"n/&gt;!/Zy"</f>
        <v>#VALUE!</v>
      </c>
      <c r="L266" t="e">
        <f>Europe!E478+"n/&gt;!/Zz"</f>
        <v>#VALUE!</v>
      </c>
      <c r="M266" t="e">
        <f>Europe!F478+"n/&gt;!/Z{"</f>
        <v>#VALUE!</v>
      </c>
      <c r="N266" t="e">
        <f>Europe!G478+"n/&gt;!/Z|"</f>
        <v>#VALUE!</v>
      </c>
      <c r="O266" t="e">
        <f>Europe!H478+"n/&gt;!/Z}"</f>
        <v>#VALUE!</v>
      </c>
      <c r="P266" t="e">
        <f>Europe!I478+"n/&gt;!/Z~"</f>
        <v>#VALUE!</v>
      </c>
      <c r="Q266" t="e">
        <f>Europe!A479+"n/&gt;!/[#"</f>
        <v>#VALUE!</v>
      </c>
      <c r="R266" t="e">
        <f>Europe!B479+"n/&gt;!/[$"</f>
        <v>#VALUE!</v>
      </c>
      <c r="S266" t="e">
        <f>Europe!C479+"n/&gt;!/[%"</f>
        <v>#VALUE!</v>
      </c>
      <c r="T266" t="e">
        <f>Europe!D479+"n/&gt;!/[&amp;"</f>
        <v>#VALUE!</v>
      </c>
      <c r="U266" t="e">
        <f>Europe!E479+"n/&gt;!/['"</f>
        <v>#VALUE!</v>
      </c>
      <c r="V266" t="e">
        <f>Europe!F479+"n/&gt;!/[("</f>
        <v>#VALUE!</v>
      </c>
      <c r="W266" t="e">
        <f>Europe!G479+"n/&gt;!/[)"</f>
        <v>#VALUE!</v>
      </c>
      <c r="X266" t="e">
        <f>Europe!H479+"n/&gt;!/[."</f>
        <v>#VALUE!</v>
      </c>
      <c r="Y266" t="e">
        <f>Europe!I479+"n/&gt;!/[/"</f>
        <v>#VALUE!</v>
      </c>
      <c r="Z266" t="e">
        <f>Europe!A480+"n/&gt;!/[0"</f>
        <v>#VALUE!</v>
      </c>
      <c r="AA266" t="e">
        <f>Europe!B480+"n/&gt;!/[1"</f>
        <v>#VALUE!</v>
      </c>
      <c r="AB266" t="e">
        <f>Europe!C480+"n/&gt;!/[2"</f>
        <v>#VALUE!</v>
      </c>
      <c r="AC266" t="e">
        <f>Europe!D480+"n/&gt;!/[3"</f>
        <v>#VALUE!</v>
      </c>
      <c r="AD266" t="e">
        <f>Europe!E480+"n/&gt;!/[4"</f>
        <v>#VALUE!</v>
      </c>
      <c r="AE266" t="e">
        <f>Europe!F480+"n/&gt;!/[5"</f>
        <v>#VALUE!</v>
      </c>
      <c r="AF266" t="e">
        <f>Europe!G480+"n/&gt;!/[6"</f>
        <v>#VALUE!</v>
      </c>
      <c r="AG266" t="e">
        <f>Europe!H480+"n/&gt;!/[7"</f>
        <v>#VALUE!</v>
      </c>
      <c r="AH266" t="e">
        <f>Europe!I480+"n/&gt;!/[8"</f>
        <v>#VALUE!</v>
      </c>
      <c r="AI266" t="e">
        <f>Europe!A481+"n/&gt;!/[9"</f>
        <v>#VALUE!</v>
      </c>
      <c r="AJ266" t="e">
        <f>Europe!B481+"n/&gt;!/[:"</f>
        <v>#VALUE!</v>
      </c>
      <c r="AK266" t="e">
        <f>Europe!C481+"n/&gt;!/[;"</f>
        <v>#VALUE!</v>
      </c>
      <c r="AL266" t="e">
        <f>Europe!D481+"n/&gt;!/[&lt;"</f>
        <v>#VALUE!</v>
      </c>
      <c r="AM266" t="e">
        <f>Europe!E481+"n/&gt;!/[="</f>
        <v>#VALUE!</v>
      </c>
      <c r="AN266" t="e">
        <f>Europe!F481+"n/&gt;!/[&gt;"</f>
        <v>#VALUE!</v>
      </c>
      <c r="AO266" t="e">
        <f>Europe!G481+"n/&gt;!/[?"</f>
        <v>#VALUE!</v>
      </c>
      <c r="AP266" t="e">
        <f>Europe!H481+"n/&gt;!/[@"</f>
        <v>#VALUE!</v>
      </c>
      <c r="AQ266" t="e">
        <f>Europe!I481+"n/&gt;!/[A"</f>
        <v>#VALUE!</v>
      </c>
      <c r="AR266" t="e">
        <f>Europe!A482+"n/&gt;!/[B"</f>
        <v>#VALUE!</v>
      </c>
      <c r="AS266" t="e">
        <f>Europe!B482+"n/&gt;!/[C"</f>
        <v>#VALUE!</v>
      </c>
      <c r="AT266" t="e">
        <f>Europe!C482+"n/&gt;!/[D"</f>
        <v>#VALUE!</v>
      </c>
      <c r="AU266" t="e">
        <f>Europe!D482+"n/&gt;!/[E"</f>
        <v>#VALUE!</v>
      </c>
      <c r="AV266" t="e">
        <f>Europe!E482+"n/&gt;!/[F"</f>
        <v>#VALUE!</v>
      </c>
      <c r="AW266" t="e">
        <f>Europe!F482+"n/&gt;!/[G"</f>
        <v>#VALUE!</v>
      </c>
      <c r="AX266" t="e">
        <f>Europe!G482+"n/&gt;!/[H"</f>
        <v>#VALUE!</v>
      </c>
      <c r="AY266" t="e">
        <f>Europe!H482+"n/&gt;!/[I"</f>
        <v>#VALUE!</v>
      </c>
      <c r="AZ266" t="e">
        <f>Europe!I482+"n/&gt;!/[J"</f>
        <v>#VALUE!</v>
      </c>
      <c r="BA266" t="e">
        <f>Europe!A483+"n/&gt;!/[K"</f>
        <v>#VALUE!</v>
      </c>
      <c r="BB266" t="e">
        <f>Europe!B483+"n/&gt;!/[L"</f>
        <v>#VALUE!</v>
      </c>
      <c r="BC266" t="e">
        <f>Europe!C483+"n/&gt;!/[M"</f>
        <v>#VALUE!</v>
      </c>
      <c r="BD266" t="e">
        <f>Europe!D483+"n/&gt;!/[N"</f>
        <v>#VALUE!</v>
      </c>
      <c r="BE266" t="e">
        <f>Europe!E483+"n/&gt;!/[O"</f>
        <v>#VALUE!</v>
      </c>
      <c r="BF266" t="e">
        <f>Europe!F483+"n/&gt;!/[P"</f>
        <v>#VALUE!</v>
      </c>
      <c r="BG266" t="e">
        <f>Europe!G483+"n/&gt;!/[Q"</f>
        <v>#VALUE!</v>
      </c>
      <c r="BH266" t="e">
        <f>Europe!H483+"n/&gt;!/[R"</f>
        <v>#VALUE!</v>
      </c>
      <c r="BI266" t="e">
        <f>Europe!I483+"n/&gt;!/[S"</f>
        <v>#VALUE!</v>
      </c>
      <c r="BJ266" t="e">
        <f>Europe!A484+"n/&gt;!/[T"</f>
        <v>#VALUE!</v>
      </c>
      <c r="BK266" t="e">
        <f>Europe!B484+"n/&gt;!/[U"</f>
        <v>#VALUE!</v>
      </c>
      <c r="BL266" t="e">
        <f>Europe!C484+"n/&gt;!/[V"</f>
        <v>#VALUE!</v>
      </c>
      <c r="BM266" t="e">
        <f>Europe!D484+"n/&gt;!/[W"</f>
        <v>#VALUE!</v>
      </c>
      <c r="BN266" t="e">
        <f>Europe!E484+"n/&gt;!/[X"</f>
        <v>#VALUE!</v>
      </c>
      <c r="BO266" t="e">
        <f>Europe!F484+"n/&gt;!/[Y"</f>
        <v>#VALUE!</v>
      </c>
      <c r="BP266" t="e">
        <f>Europe!G484+"n/&gt;!/[Z"</f>
        <v>#VALUE!</v>
      </c>
      <c r="BQ266" t="e">
        <f>Europe!H484+"n/&gt;!/[["</f>
        <v>#VALUE!</v>
      </c>
      <c r="BR266" t="e">
        <f>Europe!I484+"n/&gt;!/[\"</f>
        <v>#VALUE!</v>
      </c>
      <c r="BS266" t="e">
        <f>Europe!A485+"n/&gt;!/[]"</f>
        <v>#VALUE!</v>
      </c>
      <c r="BT266" t="e">
        <f>Europe!B485+"n/&gt;!/[^"</f>
        <v>#VALUE!</v>
      </c>
      <c r="BU266" t="e">
        <f>Europe!C485+"n/&gt;!/[_"</f>
        <v>#VALUE!</v>
      </c>
      <c r="BV266" t="e">
        <f>Europe!D485+"n/&gt;!/[`"</f>
        <v>#VALUE!</v>
      </c>
      <c r="BW266" t="e">
        <f>Europe!E485+"n/&gt;!/[a"</f>
        <v>#VALUE!</v>
      </c>
      <c r="BX266" t="e">
        <f>Europe!F485+"n/&gt;!/[b"</f>
        <v>#VALUE!</v>
      </c>
      <c r="BY266" t="e">
        <f>Europe!G485+"n/&gt;!/[c"</f>
        <v>#VALUE!</v>
      </c>
      <c r="BZ266" t="e">
        <f>Europe!H485+"n/&gt;!/[d"</f>
        <v>#VALUE!</v>
      </c>
      <c r="CA266" t="e">
        <f>Europe!I485+"n/&gt;!/[e"</f>
        <v>#VALUE!</v>
      </c>
      <c r="CB266" t="e">
        <f>Europe!A486+"n/&gt;!/[f"</f>
        <v>#VALUE!</v>
      </c>
      <c r="CC266" t="e">
        <f>Europe!B486+"n/&gt;!/[g"</f>
        <v>#VALUE!</v>
      </c>
      <c r="CD266" t="e">
        <f>Europe!C486+"n/&gt;!/[h"</f>
        <v>#VALUE!</v>
      </c>
      <c r="CE266" t="e">
        <f>Europe!D486+"n/&gt;!/[i"</f>
        <v>#VALUE!</v>
      </c>
      <c r="CF266" t="e">
        <f>Europe!E486+"n/&gt;!/[j"</f>
        <v>#VALUE!</v>
      </c>
      <c r="CG266" t="e">
        <f>Europe!F486+"n/&gt;!/[k"</f>
        <v>#VALUE!</v>
      </c>
      <c r="CH266" t="e">
        <f>Europe!G486+"n/&gt;!/[l"</f>
        <v>#VALUE!</v>
      </c>
      <c r="CI266" t="e">
        <f>Europe!H486+"n/&gt;!/[m"</f>
        <v>#VALUE!</v>
      </c>
      <c r="CJ266" t="e">
        <f>Europe!I486+"n/&gt;!/[n"</f>
        <v>#VALUE!</v>
      </c>
      <c r="CK266" t="e">
        <f>Europe!A487+"n/&gt;!/[o"</f>
        <v>#VALUE!</v>
      </c>
      <c r="CL266" t="e">
        <f>Europe!B487+"n/&gt;!/[p"</f>
        <v>#VALUE!</v>
      </c>
      <c r="CM266" t="e">
        <f>Europe!C487+"n/&gt;!/[q"</f>
        <v>#VALUE!</v>
      </c>
      <c r="CN266" t="e">
        <f>Europe!D487+"n/&gt;!/[r"</f>
        <v>#VALUE!</v>
      </c>
      <c r="CO266" t="e">
        <f>Europe!E487+"n/&gt;!/[s"</f>
        <v>#VALUE!</v>
      </c>
      <c r="CP266" t="e">
        <f>Europe!F487+"n/&gt;!/[t"</f>
        <v>#VALUE!</v>
      </c>
      <c r="CQ266" t="e">
        <f>Europe!G487+"n/&gt;!/[u"</f>
        <v>#VALUE!</v>
      </c>
      <c r="CR266" t="e">
        <f>Europe!H487+"n/&gt;!/[v"</f>
        <v>#VALUE!</v>
      </c>
      <c r="CS266" t="e">
        <f>Europe!I487+"n/&gt;!/[w"</f>
        <v>#VALUE!</v>
      </c>
      <c r="CT266" t="e">
        <f>Europe!A488+"n/&gt;!/[x"</f>
        <v>#VALUE!</v>
      </c>
      <c r="CU266" t="e">
        <f>Europe!B488+"n/&gt;!/[y"</f>
        <v>#VALUE!</v>
      </c>
      <c r="CV266" t="e">
        <f>Europe!C488+"n/&gt;!/[z"</f>
        <v>#VALUE!</v>
      </c>
      <c r="CW266" t="e">
        <f>Europe!D488+"n/&gt;!/[{"</f>
        <v>#VALUE!</v>
      </c>
      <c r="CX266" t="e">
        <f>Europe!E488+"n/&gt;!/[|"</f>
        <v>#VALUE!</v>
      </c>
      <c r="CY266" t="e">
        <f>Europe!F488+"n/&gt;!/[}"</f>
        <v>#VALUE!</v>
      </c>
      <c r="CZ266" t="e">
        <f>Europe!G488+"n/&gt;!/[~"</f>
        <v>#VALUE!</v>
      </c>
      <c r="DA266" t="e">
        <f>Europe!H488+"n/&gt;!/\#"</f>
        <v>#VALUE!</v>
      </c>
      <c r="DB266" t="e">
        <f>Europe!I488+"n/&gt;!/\$"</f>
        <v>#VALUE!</v>
      </c>
      <c r="DC266" t="e">
        <f>Europe!A489+"n/&gt;!/\%"</f>
        <v>#VALUE!</v>
      </c>
      <c r="DD266" t="e">
        <f>Europe!B489+"n/&gt;!/\&amp;"</f>
        <v>#VALUE!</v>
      </c>
      <c r="DE266" t="e">
        <f>Europe!C489+"n/&gt;!/\'"</f>
        <v>#VALUE!</v>
      </c>
      <c r="DF266" t="e">
        <f>Europe!D489+"n/&gt;!/\("</f>
        <v>#VALUE!</v>
      </c>
      <c r="DG266" t="e">
        <f>Europe!E489+"n/&gt;!/\)"</f>
        <v>#VALUE!</v>
      </c>
      <c r="DH266" t="e">
        <f>Europe!F489+"n/&gt;!/\."</f>
        <v>#VALUE!</v>
      </c>
      <c r="DI266" t="e">
        <f>Europe!G489+"n/&gt;!/\/"</f>
        <v>#VALUE!</v>
      </c>
      <c r="DJ266" t="e">
        <f>Europe!H489+"n/&gt;!/\0"</f>
        <v>#VALUE!</v>
      </c>
      <c r="DK266" t="e">
        <f>Europe!I489+"n/&gt;!/\1"</f>
        <v>#VALUE!</v>
      </c>
      <c r="DL266" t="e">
        <f>Europe!A490+"n/&gt;!/\2"</f>
        <v>#VALUE!</v>
      </c>
      <c r="DM266" t="e">
        <f>Europe!B490+"n/&gt;!/\3"</f>
        <v>#VALUE!</v>
      </c>
      <c r="DN266" t="e">
        <f>Europe!C490+"n/&gt;!/\4"</f>
        <v>#VALUE!</v>
      </c>
      <c r="DO266" t="e">
        <f>Europe!D490+"n/&gt;!/\5"</f>
        <v>#VALUE!</v>
      </c>
      <c r="DP266" t="e">
        <f>Europe!E490+"n/&gt;!/\6"</f>
        <v>#VALUE!</v>
      </c>
      <c r="DQ266" t="e">
        <f>Europe!F490+"n/&gt;!/\7"</f>
        <v>#VALUE!</v>
      </c>
      <c r="DR266" t="e">
        <f>Europe!G490+"n/&gt;!/\8"</f>
        <v>#VALUE!</v>
      </c>
      <c r="DS266" t="e">
        <f>Europe!H490+"n/&gt;!/\9"</f>
        <v>#VALUE!</v>
      </c>
      <c r="DT266" t="e">
        <f>Europe!I490+"n/&gt;!/\:"</f>
        <v>#VALUE!</v>
      </c>
      <c r="DU266" t="e">
        <f>Europe!A491+"n/&gt;!/\;"</f>
        <v>#VALUE!</v>
      </c>
      <c r="DV266" t="e">
        <f>Europe!B491+"n/&gt;!/\&lt;"</f>
        <v>#VALUE!</v>
      </c>
      <c r="DW266" t="e">
        <f>Europe!C491+"n/&gt;!/\="</f>
        <v>#VALUE!</v>
      </c>
      <c r="DX266" t="e">
        <f>Europe!D491+"n/&gt;!/\&gt;"</f>
        <v>#VALUE!</v>
      </c>
      <c r="DY266" t="e">
        <f>Europe!E491+"n/&gt;!/\?"</f>
        <v>#VALUE!</v>
      </c>
      <c r="DZ266" t="e">
        <f>Europe!F491+"n/&gt;!/\@"</f>
        <v>#VALUE!</v>
      </c>
      <c r="EA266" t="e">
        <f>Europe!G491+"n/&gt;!/\A"</f>
        <v>#VALUE!</v>
      </c>
      <c r="EB266" t="e">
        <f>Europe!H491+"n/&gt;!/\B"</f>
        <v>#VALUE!</v>
      </c>
      <c r="EC266" t="e">
        <f>Europe!I491+"n/&gt;!/\C"</f>
        <v>#VALUE!</v>
      </c>
      <c r="ED266" t="e">
        <f>Europe!A492+"n/&gt;!/\D"</f>
        <v>#VALUE!</v>
      </c>
      <c r="EE266" t="e">
        <f>Europe!B492+"n/&gt;!/\E"</f>
        <v>#VALUE!</v>
      </c>
      <c r="EF266" t="e">
        <f>Europe!C492+"n/&gt;!/\F"</f>
        <v>#VALUE!</v>
      </c>
      <c r="EG266" t="e">
        <f>Europe!D492+"n/&gt;!/\G"</f>
        <v>#VALUE!</v>
      </c>
      <c r="EH266" t="e">
        <f>Europe!E492+"n/&gt;!/\H"</f>
        <v>#VALUE!</v>
      </c>
      <c r="EI266" t="e">
        <f>Europe!F492+"n/&gt;!/\I"</f>
        <v>#VALUE!</v>
      </c>
      <c r="EJ266" t="e">
        <f>Europe!G492+"n/&gt;!/\J"</f>
        <v>#VALUE!</v>
      </c>
      <c r="EK266" t="e">
        <f>Europe!H492+"n/&gt;!/\K"</f>
        <v>#VALUE!</v>
      </c>
      <c r="EL266" t="e">
        <f>Europe!I492+"n/&gt;!/\L"</f>
        <v>#VALUE!</v>
      </c>
      <c r="EM266" t="e">
        <f>Europe!A493+"n/&gt;!/\M"</f>
        <v>#VALUE!</v>
      </c>
      <c r="EN266" t="e">
        <f>Europe!B493+"n/&gt;!/\N"</f>
        <v>#VALUE!</v>
      </c>
      <c r="EO266" t="e">
        <f>Europe!C493+"n/&gt;!/\O"</f>
        <v>#VALUE!</v>
      </c>
      <c r="EP266" t="e">
        <f>Europe!D493+"n/&gt;!/\P"</f>
        <v>#VALUE!</v>
      </c>
      <c r="EQ266" t="e">
        <f>Europe!E493+"n/&gt;!/\Q"</f>
        <v>#VALUE!</v>
      </c>
      <c r="ER266" t="e">
        <f>Europe!F493+"n/&gt;!/\R"</f>
        <v>#VALUE!</v>
      </c>
      <c r="ES266" t="e">
        <f>Europe!G493+"n/&gt;!/\S"</f>
        <v>#VALUE!</v>
      </c>
      <c r="ET266" t="e">
        <f>Europe!H493+"n/&gt;!/\T"</f>
        <v>#VALUE!</v>
      </c>
      <c r="EU266" t="e">
        <f>Europe!I493+"n/&gt;!/\U"</f>
        <v>#VALUE!</v>
      </c>
      <c r="EV266" t="e">
        <f>Europe!A494+"n/&gt;!/\V"</f>
        <v>#VALUE!</v>
      </c>
      <c r="EW266" t="e">
        <f>Europe!B494+"n/&gt;!/\W"</f>
        <v>#VALUE!</v>
      </c>
      <c r="EX266" t="e">
        <f>Europe!C494+"n/&gt;!/\X"</f>
        <v>#VALUE!</v>
      </c>
      <c r="EY266" t="e">
        <f>Europe!D494+"n/&gt;!/\Y"</f>
        <v>#VALUE!</v>
      </c>
      <c r="EZ266" t="e">
        <f>Europe!E494+"n/&gt;!/\Z"</f>
        <v>#VALUE!</v>
      </c>
      <c r="FA266" t="e">
        <f>Europe!F494+"n/&gt;!/\["</f>
        <v>#VALUE!</v>
      </c>
      <c r="FB266" t="e">
        <f>Europe!G494+"n/&gt;!/\\"</f>
        <v>#VALUE!</v>
      </c>
      <c r="FC266" t="e">
        <f>Europe!H494+"n/&gt;!/\]"</f>
        <v>#VALUE!</v>
      </c>
      <c r="FD266" t="e">
        <f>Europe!I494+"n/&gt;!/\^"</f>
        <v>#VALUE!</v>
      </c>
      <c r="FE266" t="e">
        <f>Europe!A495+"n/&gt;!/\_"</f>
        <v>#VALUE!</v>
      </c>
      <c r="FF266" t="e">
        <f>Europe!B495+"n/&gt;!/\`"</f>
        <v>#VALUE!</v>
      </c>
      <c r="FG266" t="e">
        <f>Europe!C495+"n/&gt;!/\a"</f>
        <v>#VALUE!</v>
      </c>
      <c r="FH266" t="e">
        <f>Europe!D495+"n/&gt;!/\b"</f>
        <v>#VALUE!</v>
      </c>
      <c r="FI266" t="e">
        <f>Europe!E495+"n/&gt;!/\c"</f>
        <v>#VALUE!</v>
      </c>
      <c r="FJ266" t="e">
        <f>Europe!F495+"n/&gt;!/\d"</f>
        <v>#VALUE!</v>
      </c>
      <c r="FK266" t="e">
        <f>Europe!G495+"n/&gt;!/\e"</f>
        <v>#VALUE!</v>
      </c>
      <c r="FL266" t="e">
        <f>Europe!H495+"n/&gt;!/\f"</f>
        <v>#VALUE!</v>
      </c>
      <c r="FM266" t="e">
        <f>Europe!I495+"n/&gt;!/\g"</f>
        <v>#VALUE!</v>
      </c>
      <c r="FN266" t="e">
        <f>Europe!A496+"n/&gt;!/\h"</f>
        <v>#VALUE!</v>
      </c>
      <c r="FO266" t="e">
        <f>Europe!B496+"n/&gt;!/\i"</f>
        <v>#VALUE!</v>
      </c>
      <c r="FP266" t="e">
        <f>Europe!C496+"n/&gt;!/\j"</f>
        <v>#VALUE!</v>
      </c>
      <c r="FQ266" t="e">
        <f>Europe!D496+"n/&gt;!/\k"</f>
        <v>#VALUE!</v>
      </c>
      <c r="FR266" t="e">
        <f>Europe!E496+"n/&gt;!/\l"</f>
        <v>#VALUE!</v>
      </c>
      <c r="FS266" t="e">
        <f>Europe!F496+"n/&gt;!/\m"</f>
        <v>#VALUE!</v>
      </c>
      <c r="FT266" t="e">
        <f>Europe!G496+"n/&gt;!/\n"</f>
        <v>#VALUE!</v>
      </c>
      <c r="FU266" t="e">
        <f>Europe!H496+"n/&gt;!/\o"</f>
        <v>#VALUE!</v>
      </c>
      <c r="FV266" t="e">
        <f>Europe!I496+"n/&gt;!/\p"</f>
        <v>#VALUE!</v>
      </c>
      <c r="FW266" t="e">
        <f>Europe!A497+"n/&gt;!/\q"</f>
        <v>#VALUE!</v>
      </c>
      <c r="FX266" t="e">
        <f>Europe!B497+"n/&gt;!/\r"</f>
        <v>#VALUE!</v>
      </c>
      <c r="FY266" t="e">
        <f>Europe!C497+"n/&gt;!/\s"</f>
        <v>#VALUE!</v>
      </c>
      <c r="FZ266" t="e">
        <f>Europe!D497+"n/&gt;!/\t"</f>
        <v>#VALUE!</v>
      </c>
      <c r="GA266" t="e">
        <f>Europe!E497+"n/&gt;!/\u"</f>
        <v>#VALUE!</v>
      </c>
      <c r="GB266" t="e">
        <f>Europe!F497+"n/&gt;!/\v"</f>
        <v>#VALUE!</v>
      </c>
      <c r="GC266" t="e">
        <f>Europe!G497+"n/&gt;!/\w"</f>
        <v>#VALUE!</v>
      </c>
      <c r="GD266" t="e">
        <f>Europe!H497+"n/&gt;!/\x"</f>
        <v>#VALUE!</v>
      </c>
      <c r="GE266" t="e">
        <f>Europe!I497+"n/&gt;!/\y"</f>
        <v>#VALUE!</v>
      </c>
      <c r="GF266" t="e">
        <f>Europe!A498+"n/&gt;!/\z"</f>
        <v>#VALUE!</v>
      </c>
      <c r="GG266" t="e">
        <f>Europe!B498+"n/&gt;!/\{"</f>
        <v>#VALUE!</v>
      </c>
      <c r="GH266" t="e">
        <f>Europe!C498+"n/&gt;!/\|"</f>
        <v>#VALUE!</v>
      </c>
      <c r="GI266" t="e">
        <f>Europe!D498+"n/&gt;!/\}"</f>
        <v>#VALUE!</v>
      </c>
      <c r="GJ266" t="e">
        <f>Europe!E498+"n/&gt;!/\~"</f>
        <v>#VALUE!</v>
      </c>
      <c r="GK266" t="e">
        <f>Europe!F498+"n/&gt;!/]#"</f>
        <v>#VALUE!</v>
      </c>
      <c r="GL266" t="e">
        <f>Europe!G498+"n/&gt;!/]$"</f>
        <v>#VALUE!</v>
      </c>
      <c r="GM266" t="e">
        <f>Europe!H498+"n/&gt;!/]%"</f>
        <v>#VALUE!</v>
      </c>
      <c r="GN266" t="e">
        <f>Europe!I498+"n/&gt;!/]&amp;"</f>
        <v>#VALUE!</v>
      </c>
      <c r="GO266" t="e">
        <f>Europe!A499+"n/&gt;!/]'"</f>
        <v>#VALUE!</v>
      </c>
      <c r="GP266" t="e">
        <f>Europe!B499+"n/&gt;!/]("</f>
        <v>#VALUE!</v>
      </c>
      <c r="GQ266" t="e">
        <f>Europe!C499+"n/&gt;!/])"</f>
        <v>#VALUE!</v>
      </c>
      <c r="GR266" t="e">
        <f>Europe!D499+"n/&gt;!/]."</f>
        <v>#VALUE!</v>
      </c>
      <c r="GS266" t="e">
        <f>Europe!E499+"n/&gt;!/]/"</f>
        <v>#VALUE!</v>
      </c>
      <c r="GT266" t="e">
        <f>Europe!F499+"n/&gt;!/]0"</f>
        <v>#VALUE!</v>
      </c>
      <c r="GU266" t="e">
        <f>Europe!G499+"n/&gt;!/]1"</f>
        <v>#VALUE!</v>
      </c>
      <c r="GV266" t="e">
        <f>Europe!H499+"n/&gt;!/]2"</f>
        <v>#VALUE!</v>
      </c>
      <c r="GW266" t="e">
        <f>Europe!I499+"n/&gt;!/]3"</f>
        <v>#VALUE!</v>
      </c>
      <c r="GX266" t="e">
        <f>Europe!A500+"n/&gt;!/]4"</f>
        <v>#VALUE!</v>
      </c>
      <c r="GY266" t="e">
        <f>Europe!B500+"n/&gt;!/]5"</f>
        <v>#VALUE!</v>
      </c>
      <c r="GZ266" t="e">
        <f>Europe!C500+"n/&gt;!/]6"</f>
        <v>#VALUE!</v>
      </c>
      <c r="HA266" t="e">
        <f>Europe!D500+"n/&gt;!/]7"</f>
        <v>#VALUE!</v>
      </c>
      <c r="HB266" t="e">
        <f>Europe!E500+"n/&gt;!/]8"</f>
        <v>#VALUE!</v>
      </c>
      <c r="HC266" t="e">
        <f>Europe!F500+"n/&gt;!/]9"</f>
        <v>#VALUE!</v>
      </c>
      <c r="HD266" t="e">
        <f>Europe!G500+"n/&gt;!/]:"</f>
        <v>#VALUE!</v>
      </c>
      <c r="HE266" t="e">
        <f>Europe!H500+"n/&gt;!/];"</f>
        <v>#VALUE!</v>
      </c>
      <c r="HF266" t="e">
        <f>Europe!I500+"n/&gt;!/]&lt;"</f>
        <v>#VALUE!</v>
      </c>
      <c r="HG266" t="e">
        <f>Europe!A501+"n/&gt;!/]="</f>
        <v>#VALUE!</v>
      </c>
      <c r="HH266" t="e">
        <f>Europe!B501+"n/&gt;!/]&gt;"</f>
        <v>#VALUE!</v>
      </c>
      <c r="HI266" t="e">
        <f>Europe!C501+"n/&gt;!/]?"</f>
        <v>#VALUE!</v>
      </c>
      <c r="HJ266" t="e">
        <f>Europe!D501+"n/&gt;!/]@"</f>
        <v>#VALUE!</v>
      </c>
      <c r="HK266" t="e">
        <f>Europe!E501+"n/&gt;!/]A"</f>
        <v>#VALUE!</v>
      </c>
      <c r="HL266" t="e">
        <f>Europe!F501+"n/&gt;!/]B"</f>
        <v>#VALUE!</v>
      </c>
      <c r="HM266" t="e">
        <f>Europe!G501+"n/&gt;!/]C"</f>
        <v>#VALUE!</v>
      </c>
      <c r="HN266" t="e">
        <f>Europe!H501+"n/&gt;!/]D"</f>
        <v>#VALUE!</v>
      </c>
      <c r="HO266" t="e">
        <f>Europe!I501+"n/&gt;!/]E"</f>
        <v>#VALUE!</v>
      </c>
      <c r="HP266" t="e">
        <f>Europe!A502+"n/&gt;!/]F"</f>
        <v>#VALUE!</v>
      </c>
      <c r="HQ266" t="e">
        <f>Europe!B502+"n/&gt;!/]G"</f>
        <v>#VALUE!</v>
      </c>
      <c r="HR266" t="e">
        <f>Europe!C502+"n/&gt;!/]H"</f>
        <v>#VALUE!</v>
      </c>
      <c r="HS266" t="e">
        <f>Europe!D502+"n/&gt;!/]I"</f>
        <v>#VALUE!</v>
      </c>
      <c r="HT266" t="e">
        <f>Europe!E502+"n/&gt;!/]J"</f>
        <v>#VALUE!</v>
      </c>
      <c r="HU266" t="e">
        <f>Europe!F502+"n/&gt;!/]K"</f>
        <v>#VALUE!</v>
      </c>
      <c r="HV266" t="e">
        <f>Europe!G502+"n/&gt;!/]L"</f>
        <v>#VALUE!</v>
      </c>
      <c r="HW266" t="e">
        <f>Europe!H502+"n/&gt;!/]M"</f>
        <v>#VALUE!</v>
      </c>
      <c r="HX266" t="e">
        <f>Europe!I502+"n/&gt;!/]N"</f>
        <v>#VALUE!</v>
      </c>
      <c r="HY266" t="e">
        <f>Europe!A503+"n/&gt;!/]O"</f>
        <v>#VALUE!</v>
      </c>
      <c r="HZ266" t="e">
        <f>Europe!B503+"n/&gt;!/]P"</f>
        <v>#VALUE!</v>
      </c>
      <c r="IA266" t="e">
        <f>Europe!C503+"n/&gt;!/]Q"</f>
        <v>#VALUE!</v>
      </c>
      <c r="IB266" t="e">
        <f>Europe!D503+"n/&gt;!/]R"</f>
        <v>#VALUE!</v>
      </c>
      <c r="IC266" t="e">
        <f>Europe!E503+"n/&gt;!/]S"</f>
        <v>#VALUE!</v>
      </c>
      <c r="ID266" t="e">
        <f>Europe!F503+"n/&gt;!/]T"</f>
        <v>#VALUE!</v>
      </c>
      <c r="IE266" t="e">
        <f>Europe!G503+"n/&gt;!/]U"</f>
        <v>#VALUE!</v>
      </c>
      <c r="IF266" t="e">
        <f>Europe!H503+"n/&gt;!/]V"</f>
        <v>#VALUE!</v>
      </c>
      <c r="IG266" t="e">
        <f>Europe!I503+"n/&gt;!/]W"</f>
        <v>#VALUE!</v>
      </c>
      <c r="IH266" t="e">
        <f>Europe!A504+"n/&gt;!/]X"</f>
        <v>#VALUE!</v>
      </c>
      <c r="II266" t="e">
        <f>Europe!B504+"n/&gt;!/]Y"</f>
        <v>#VALUE!</v>
      </c>
      <c r="IJ266" t="e">
        <f>Europe!C504+"n/&gt;!/]Z"</f>
        <v>#VALUE!</v>
      </c>
      <c r="IK266" t="e">
        <f>Europe!D504+"n/&gt;!/]["</f>
        <v>#VALUE!</v>
      </c>
      <c r="IL266" t="e">
        <f>Europe!E504+"n/&gt;!/]\"</f>
        <v>#VALUE!</v>
      </c>
      <c r="IM266" t="e">
        <f>Europe!F504+"n/&gt;!/]]"</f>
        <v>#VALUE!</v>
      </c>
      <c r="IN266" t="e">
        <f>Europe!G504+"n/&gt;!/]^"</f>
        <v>#VALUE!</v>
      </c>
      <c r="IO266" t="e">
        <f>Europe!H504+"n/&gt;!/]_"</f>
        <v>#VALUE!</v>
      </c>
      <c r="IP266" t="e">
        <f>Europe!I504+"n/&gt;!/]`"</f>
        <v>#VALUE!</v>
      </c>
      <c r="IQ266" t="e">
        <f>Europe!A505+"n/&gt;!/]a"</f>
        <v>#VALUE!</v>
      </c>
      <c r="IR266" t="e">
        <f>Europe!B505+"n/&gt;!/]b"</f>
        <v>#VALUE!</v>
      </c>
      <c r="IS266" t="e">
        <f>Europe!C505+"n/&gt;!/]c"</f>
        <v>#VALUE!</v>
      </c>
      <c r="IT266" t="e">
        <f>Europe!D505+"n/&gt;!/]d"</f>
        <v>#VALUE!</v>
      </c>
      <c r="IU266" t="e">
        <f>Europe!E505+"n/&gt;!/]e"</f>
        <v>#VALUE!</v>
      </c>
      <c r="IV266" t="e">
        <f>Europe!F505+"n/&gt;!/]f"</f>
        <v>#VALUE!</v>
      </c>
    </row>
    <row r="267" spans="6:256" x14ac:dyDescent="0.35">
      <c r="F267" t="e">
        <f>Europe!G505+"n/&gt;!/]g"</f>
        <v>#VALUE!</v>
      </c>
      <c r="G267" t="e">
        <f>Europe!H505+"n/&gt;!/]h"</f>
        <v>#VALUE!</v>
      </c>
      <c r="H267" t="e">
        <f>Europe!I505+"n/&gt;!/]i"</f>
        <v>#VALUE!</v>
      </c>
      <c r="I267" t="e">
        <f>Europe!A506+"n/&gt;!/]j"</f>
        <v>#VALUE!</v>
      </c>
      <c r="J267" t="e">
        <f>Europe!B506+"n/&gt;!/]k"</f>
        <v>#VALUE!</v>
      </c>
      <c r="K267" t="e">
        <f>Europe!C506+"n/&gt;!/]l"</f>
        <v>#VALUE!</v>
      </c>
      <c r="L267" t="e">
        <f>Europe!D506+"n/&gt;!/]m"</f>
        <v>#VALUE!</v>
      </c>
      <c r="M267" t="e">
        <f>Europe!E506+"n/&gt;!/]n"</f>
        <v>#VALUE!</v>
      </c>
      <c r="N267" t="e">
        <f>Europe!F506+"n/&gt;!/]o"</f>
        <v>#VALUE!</v>
      </c>
      <c r="O267" t="e">
        <f>Europe!G506+"n/&gt;!/]p"</f>
        <v>#VALUE!</v>
      </c>
      <c r="P267" t="e">
        <f>Europe!H506+"n/&gt;!/]q"</f>
        <v>#VALUE!</v>
      </c>
      <c r="Q267" t="e">
        <f>Europe!I506+"n/&gt;!/]r"</f>
        <v>#VALUE!</v>
      </c>
      <c r="R267" t="e">
        <f>Europe!A507+"n/&gt;!/]s"</f>
        <v>#VALUE!</v>
      </c>
      <c r="S267" t="e">
        <f>Europe!B507+"n/&gt;!/]t"</f>
        <v>#VALUE!</v>
      </c>
      <c r="T267" t="e">
        <f>Europe!C507+"n/&gt;!/]u"</f>
        <v>#VALUE!</v>
      </c>
      <c r="U267" t="e">
        <f>Europe!D507+"n/&gt;!/]v"</f>
        <v>#VALUE!</v>
      </c>
      <c r="V267" t="e">
        <f>Europe!E507+"n/&gt;!/]w"</f>
        <v>#VALUE!</v>
      </c>
      <c r="W267" t="e">
        <f>Europe!F507+"n/&gt;!/]x"</f>
        <v>#VALUE!</v>
      </c>
      <c r="X267" t="e">
        <f>Europe!G507+"n/&gt;!/]y"</f>
        <v>#VALUE!</v>
      </c>
      <c r="Y267" t="e">
        <f>Europe!H507+"n/&gt;!/]z"</f>
        <v>#VALUE!</v>
      </c>
      <c r="Z267" t="e">
        <f>Europe!I507+"n/&gt;!/]{"</f>
        <v>#VALUE!</v>
      </c>
      <c r="AA267" t="e">
        <f>Europe!A508+"n/&gt;!/]|"</f>
        <v>#VALUE!</v>
      </c>
      <c r="AB267" t="e">
        <f>Europe!B508+"n/&gt;!/]}"</f>
        <v>#VALUE!</v>
      </c>
      <c r="AC267" t="e">
        <f>Europe!C508+"n/&gt;!/]~"</f>
        <v>#VALUE!</v>
      </c>
      <c r="AD267" t="e">
        <f>Europe!D508+"n/&gt;!/^#"</f>
        <v>#VALUE!</v>
      </c>
      <c r="AE267" t="e">
        <f>Europe!E508+"n/&gt;!/^$"</f>
        <v>#VALUE!</v>
      </c>
      <c r="AF267" t="e">
        <f>Europe!F508+"n/&gt;!/^%"</f>
        <v>#VALUE!</v>
      </c>
      <c r="AG267" t="e">
        <f>Europe!G508+"n/&gt;!/^&amp;"</f>
        <v>#VALUE!</v>
      </c>
      <c r="AH267" t="e">
        <f>Europe!H508+"n/&gt;!/^'"</f>
        <v>#VALUE!</v>
      </c>
      <c r="AI267" t="e">
        <f>Europe!I508+"n/&gt;!/^("</f>
        <v>#VALUE!</v>
      </c>
      <c r="AJ267" t="e">
        <f>Europe!A509+"n/&gt;!/^)"</f>
        <v>#VALUE!</v>
      </c>
      <c r="AK267" t="e">
        <f>Europe!B509+"n/&gt;!/^."</f>
        <v>#VALUE!</v>
      </c>
      <c r="AL267" t="e">
        <f>Europe!C509+"n/&gt;!/^/"</f>
        <v>#VALUE!</v>
      </c>
      <c r="AM267" t="e">
        <f>Europe!D509+"n/&gt;!/^0"</f>
        <v>#VALUE!</v>
      </c>
      <c r="AN267" t="e">
        <f>Europe!E509+"n/&gt;!/^1"</f>
        <v>#VALUE!</v>
      </c>
      <c r="AO267" t="e">
        <f>Europe!F509+"n/&gt;!/^2"</f>
        <v>#VALUE!</v>
      </c>
      <c r="AP267" t="e">
        <f>Europe!G509+"n/&gt;!/^3"</f>
        <v>#VALUE!</v>
      </c>
      <c r="AQ267" t="e">
        <f>Europe!H509+"n/&gt;!/^4"</f>
        <v>#VALUE!</v>
      </c>
      <c r="AR267" t="e">
        <f>Europe!I509+"n/&gt;!/^5"</f>
        <v>#VALUE!</v>
      </c>
      <c r="AS267" t="e">
        <f>Europe!A510+"n/&gt;!/^6"</f>
        <v>#VALUE!</v>
      </c>
      <c r="AT267" t="e">
        <f>Europe!B510+"n/&gt;!/^7"</f>
        <v>#VALUE!</v>
      </c>
      <c r="AU267" t="e">
        <f>Europe!C510+"n/&gt;!/^8"</f>
        <v>#VALUE!</v>
      </c>
      <c r="AV267" t="e">
        <f>Europe!D510+"n/&gt;!/^9"</f>
        <v>#VALUE!</v>
      </c>
      <c r="AW267" t="e">
        <f>Europe!E510+"n/&gt;!/^:"</f>
        <v>#VALUE!</v>
      </c>
      <c r="AX267" t="e">
        <f>Europe!F510+"n/&gt;!/^;"</f>
        <v>#VALUE!</v>
      </c>
      <c r="AY267" t="e">
        <f>Europe!G510+"n/&gt;!/^&lt;"</f>
        <v>#VALUE!</v>
      </c>
      <c r="AZ267" t="e">
        <f>Europe!H510+"n/&gt;!/^="</f>
        <v>#VALUE!</v>
      </c>
      <c r="BA267" t="e">
        <f>Europe!I510+"n/&gt;!/^&gt;"</f>
        <v>#VALUE!</v>
      </c>
      <c r="BB267" t="e">
        <f>Europe!A511+"n/&gt;!/^?"</f>
        <v>#VALUE!</v>
      </c>
      <c r="BC267" t="e">
        <f>Europe!B511+"n/&gt;!/^@"</f>
        <v>#VALUE!</v>
      </c>
      <c r="BD267" t="e">
        <f>Europe!C511+"n/&gt;!/^A"</f>
        <v>#VALUE!</v>
      </c>
      <c r="BE267" t="e">
        <f>Europe!D511+"n/&gt;!/^B"</f>
        <v>#VALUE!</v>
      </c>
      <c r="BF267" t="e">
        <f>Europe!E511+"n/&gt;!/^C"</f>
        <v>#VALUE!</v>
      </c>
      <c r="BG267" t="e">
        <f>Europe!F511+"n/&gt;!/^D"</f>
        <v>#VALUE!</v>
      </c>
      <c r="BH267" t="e">
        <f>Europe!G511+"n/&gt;!/^E"</f>
        <v>#VALUE!</v>
      </c>
      <c r="BI267" t="e">
        <f>Europe!H511+"n/&gt;!/^F"</f>
        <v>#VALUE!</v>
      </c>
      <c r="BJ267" t="e">
        <f>Europe!I511+"n/&gt;!/^G"</f>
        <v>#VALUE!</v>
      </c>
      <c r="BK267" t="e">
        <f>Europe!A512+"n/&gt;!/^H"</f>
        <v>#VALUE!</v>
      </c>
      <c r="BL267" t="e">
        <f>Europe!B512+"n/&gt;!/^I"</f>
        <v>#VALUE!</v>
      </c>
      <c r="BM267" t="e">
        <f>Europe!C512+"n/&gt;!/^J"</f>
        <v>#VALUE!</v>
      </c>
      <c r="BN267" t="e">
        <f>Europe!D512+"n/&gt;!/^K"</f>
        <v>#VALUE!</v>
      </c>
      <c r="BO267" t="e">
        <f>Europe!E512+"n/&gt;!/^L"</f>
        <v>#VALUE!</v>
      </c>
      <c r="BP267" t="e">
        <f>Europe!F512+"n/&gt;!/^M"</f>
        <v>#VALUE!</v>
      </c>
      <c r="BQ267" t="e">
        <f>Europe!G512+"n/&gt;!/^N"</f>
        <v>#VALUE!</v>
      </c>
      <c r="BR267" t="e">
        <f>Europe!H512+"n/&gt;!/^O"</f>
        <v>#VALUE!</v>
      </c>
      <c r="BS267" t="e">
        <f>Europe!I512+"n/&gt;!/^P"</f>
        <v>#VALUE!</v>
      </c>
      <c r="BT267" t="e">
        <f>Europe!A513+"n/&gt;!/^Q"</f>
        <v>#VALUE!</v>
      </c>
      <c r="BU267" t="e">
        <f>Europe!B513+"n/&gt;!/^R"</f>
        <v>#VALUE!</v>
      </c>
      <c r="BV267" t="e">
        <f>Europe!C513+"n/&gt;!/^S"</f>
        <v>#VALUE!</v>
      </c>
      <c r="BW267" t="e">
        <f>Europe!D513+"n/&gt;!/^T"</f>
        <v>#VALUE!</v>
      </c>
      <c r="BX267" t="e">
        <f>Europe!E513+"n/&gt;!/^U"</f>
        <v>#VALUE!</v>
      </c>
      <c r="BY267" t="e">
        <f>Europe!F513+"n/&gt;!/^V"</f>
        <v>#VALUE!</v>
      </c>
      <c r="BZ267" t="e">
        <f>Europe!G513+"n/&gt;!/^W"</f>
        <v>#VALUE!</v>
      </c>
      <c r="CA267" t="e">
        <f>Europe!H513+"n/&gt;!/^X"</f>
        <v>#VALUE!</v>
      </c>
      <c r="CB267" t="e">
        <f>Europe!I513+"n/&gt;!/^Y"</f>
        <v>#VALUE!</v>
      </c>
      <c r="CC267" t="e">
        <f>Europe!A514+"n/&gt;!/^Z"</f>
        <v>#VALUE!</v>
      </c>
      <c r="CD267" t="e">
        <f>Europe!B514+"n/&gt;!/^["</f>
        <v>#VALUE!</v>
      </c>
      <c r="CE267" t="e">
        <f>Europe!C514+"n/&gt;!/^\"</f>
        <v>#VALUE!</v>
      </c>
      <c r="CF267" t="e">
        <f>Europe!D514+"n/&gt;!/^]"</f>
        <v>#VALUE!</v>
      </c>
      <c r="CG267" t="e">
        <f>Europe!E514+"n/&gt;!/^^"</f>
        <v>#VALUE!</v>
      </c>
      <c r="CH267" t="e">
        <f>Europe!F514+"n/&gt;!/^_"</f>
        <v>#VALUE!</v>
      </c>
      <c r="CI267" t="e">
        <f>Europe!G514+"n/&gt;!/^`"</f>
        <v>#VALUE!</v>
      </c>
      <c r="CJ267" t="e">
        <f>Europe!H514+"n/&gt;!/^a"</f>
        <v>#VALUE!</v>
      </c>
      <c r="CK267" t="e">
        <f>Europe!I514+"n/&gt;!/^b"</f>
        <v>#VALUE!</v>
      </c>
      <c r="CL267" t="e">
        <f>Europe!A515+"n/&gt;!/^c"</f>
        <v>#VALUE!</v>
      </c>
      <c r="CM267" t="e">
        <f>Europe!B515+"n/&gt;!/^d"</f>
        <v>#VALUE!</v>
      </c>
      <c r="CN267" t="e">
        <f>Europe!C515+"n/&gt;!/^e"</f>
        <v>#VALUE!</v>
      </c>
      <c r="CO267" t="e">
        <f>Europe!D515+"n/&gt;!/^f"</f>
        <v>#VALUE!</v>
      </c>
      <c r="CP267" t="e">
        <f>Europe!E515+"n/&gt;!/^g"</f>
        <v>#VALUE!</v>
      </c>
      <c r="CQ267" t="e">
        <f>Europe!F515+"n/&gt;!/^h"</f>
        <v>#VALUE!</v>
      </c>
      <c r="CR267" t="e">
        <f>Europe!G515+"n/&gt;!/^i"</f>
        <v>#VALUE!</v>
      </c>
      <c r="CS267" t="e">
        <f>Europe!H515+"n/&gt;!/^j"</f>
        <v>#VALUE!</v>
      </c>
      <c r="CT267" t="e">
        <f>Europe!I515+"n/&gt;!/^k"</f>
        <v>#VALUE!</v>
      </c>
      <c r="CU267" t="e">
        <f>Europe!A516+"n/&gt;!/^l"</f>
        <v>#VALUE!</v>
      </c>
      <c r="CV267" t="e">
        <f>Europe!B516+"n/&gt;!/^m"</f>
        <v>#VALUE!</v>
      </c>
      <c r="CW267" t="e">
        <f>Europe!C516+"n/&gt;!/^n"</f>
        <v>#VALUE!</v>
      </c>
      <c r="CX267" t="e">
        <f>Europe!D516+"n/&gt;!/^o"</f>
        <v>#VALUE!</v>
      </c>
      <c r="CY267" t="e">
        <f>Europe!E516+"n/&gt;!/^p"</f>
        <v>#VALUE!</v>
      </c>
      <c r="CZ267" t="e">
        <f>Europe!F516+"n/&gt;!/^q"</f>
        <v>#VALUE!</v>
      </c>
      <c r="DA267" t="e">
        <f>Europe!G516+"n/&gt;!/^r"</f>
        <v>#VALUE!</v>
      </c>
      <c r="DB267" t="e">
        <f>Europe!H516+"n/&gt;!/^s"</f>
        <v>#VALUE!</v>
      </c>
      <c r="DC267" t="e">
        <f>Europe!I516+"n/&gt;!/^t"</f>
        <v>#VALUE!</v>
      </c>
      <c r="DD267" t="e">
        <f>Europe!A517+"n/&gt;!/^u"</f>
        <v>#VALUE!</v>
      </c>
      <c r="DE267" t="e">
        <f>Europe!B517+"n/&gt;!/^v"</f>
        <v>#VALUE!</v>
      </c>
      <c r="DF267" t="e">
        <f>Europe!C517+"n/&gt;!/^w"</f>
        <v>#VALUE!</v>
      </c>
      <c r="DG267" t="e">
        <f>Europe!D517+"n/&gt;!/^x"</f>
        <v>#VALUE!</v>
      </c>
      <c r="DH267" t="e">
        <f>Europe!E517+"n/&gt;!/^y"</f>
        <v>#VALUE!</v>
      </c>
      <c r="DI267" t="e">
        <f>Europe!F517+"n/&gt;!/^z"</f>
        <v>#VALUE!</v>
      </c>
      <c r="DJ267" t="e">
        <f>Europe!G517+"n/&gt;!/^{"</f>
        <v>#VALUE!</v>
      </c>
      <c r="DK267" t="e">
        <f>Europe!H517+"n/&gt;!/^|"</f>
        <v>#VALUE!</v>
      </c>
      <c r="DL267" t="e">
        <f>Europe!I517+"n/&gt;!/^}"</f>
        <v>#VALUE!</v>
      </c>
      <c r="DM267" t="e">
        <f>Europe!A518+"n/&gt;!/^~"</f>
        <v>#VALUE!</v>
      </c>
      <c r="DN267" t="e">
        <f>Europe!B518+"n/&gt;!/_#"</f>
        <v>#VALUE!</v>
      </c>
      <c r="DO267" t="e">
        <f>Europe!C518+"n/&gt;!/_$"</f>
        <v>#VALUE!</v>
      </c>
      <c r="DP267" t="e">
        <f>Europe!D518+"n/&gt;!/_%"</f>
        <v>#VALUE!</v>
      </c>
      <c r="DQ267" t="e">
        <f>Europe!E518+"n/&gt;!/_&amp;"</f>
        <v>#VALUE!</v>
      </c>
      <c r="DR267" t="e">
        <f>Europe!F518+"n/&gt;!/_'"</f>
        <v>#VALUE!</v>
      </c>
      <c r="DS267" t="e">
        <f>Europe!G518+"n/&gt;!/_("</f>
        <v>#VALUE!</v>
      </c>
      <c r="DT267" t="e">
        <f>Europe!H518+"n/&gt;!/_)"</f>
        <v>#VALUE!</v>
      </c>
      <c r="DU267" t="e">
        <f>Europe!I518+"n/&gt;!/_."</f>
        <v>#VALUE!</v>
      </c>
      <c r="DV267" t="e">
        <f>Europe!A519+"n/&gt;!/_/"</f>
        <v>#VALUE!</v>
      </c>
      <c r="DW267" t="e">
        <f>Europe!B519+"n/&gt;!/_0"</f>
        <v>#VALUE!</v>
      </c>
      <c r="DX267" t="e">
        <f>Europe!C519+"n/&gt;!/_1"</f>
        <v>#VALUE!</v>
      </c>
      <c r="DY267" t="e">
        <f>Europe!D519+"n/&gt;!/_2"</f>
        <v>#VALUE!</v>
      </c>
      <c r="DZ267" t="e">
        <f>Europe!E519+"n/&gt;!/_3"</f>
        <v>#VALUE!</v>
      </c>
      <c r="EA267" t="e">
        <f>Europe!F519+"n/&gt;!/_4"</f>
        <v>#VALUE!</v>
      </c>
      <c r="EB267" t="e">
        <f>Europe!G519+"n/&gt;!/_5"</f>
        <v>#VALUE!</v>
      </c>
      <c r="EC267" t="e">
        <f>Europe!H519+"n/&gt;!/_6"</f>
        <v>#VALUE!</v>
      </c>
      <c r="ED267" t="e">
        <f>Europe!I519+"n/&gt;!/_7"</f>
        <v>#VALUE!</v>
      </c>
      <c r="EE267" t="e">
        <f>Europe!A520+"n/&gt;!/_8"</f>
        <v>#VALUE!</v>
      </c>
      <c r="EF267" t="e">
        <f>Europe!B520+"n/&gt;!/_9"</f>
        <v>#VALUE!</v>
      </c>
      <c r="EG267" t="e">
        <f>Europe!C520+"n/&gt;!/_:"</f>
        <v>#VALUE!</v>
      </c>
      <c r="EH267" t="e">
        <f>Europe!D520+"n/&gt;!/_;"</f>
        <v>#VALUE!</v>
      </c>
      <c r="EI267" t="e">
        <f>Europe!E520+"n/&gt;!/_&lt;"</f>
        <v>#VALUE!</v>
      </c>
      <c r="EJ267" t="e">
        <f>Europe!F520+"n/&gt;!/_="</f>
        <v>#VALUE!</v>
      </c>
      <c r="EK267" t="e">
        <f>Europe!G520+"n/&gt;!/_&gt;"</f>
        <v>#VALUE!</v>
      </c>
      <c r="EL267" t="e">
        <f>Europe!H520+"n/&gt;!/_?"</f>
        <v>#VALUE!</v>
      </c>
      <c r="EM267" t="e">
        <f>Europe!I520+"n/&gt;!/_@"</f>
        <v>#VALUE!</v>
      </c>
      <c r="EN267" t="e">
        <f>Europe!A521+"n/&gt;!/_A"</f>
        <v>#VALUE!</v>
      </c>
      <c r="EO267" t="e">
        <f>Europe!B521+"n/&gt;!/_B"</f>
        <v>#VALUE!</v>
      </c>
      <c r="EP267" t="e">
        <f>Europe!C521+"n/&gt;!/_C"</f>
        <v>#VALUE!</v>
      </c>
      <c r="EQ267" t="e">
        <f>Europe!D521+"n/&gt;!/_D"</f>
        <v>#VALUE!</v>
      </c>
      <c r="ER267" t="e">
        <f>Europe!E521+"n/&gt;!/_E"</f>
        <v>#VALUE!</v>
      </c>
      <c r="ES267" t="e">
        <f>Europe!F521+"n/&gt;!/_F"</f>
        <v>#VALUE!</v>
      </c>
      <c r="ET267" t="e">
        <f>Europe!G521+"n/&gt;!/_G"</f>
        <v>#VALUE!</v>
      </c>
      <c r="EU267" t="e">
        <f>Europe!H521+"n/&gt;!/_H"</f>
        <v>#VALUE!</v>
      </c>
      <c r="EV267" t="e">
        <f>Europe!I521+"n/&gt;!/_I"</f>
        <v>#VALUE!</v>
      </c>
      <c r="EW267" t="e">
        <f>Europe!A522+"n/&gt;!/_J"</f>
        <v>#VALUE!</v>
      </c>
      <c r="EX267" t="e">
        <f>Europe!B522+"n/&gt;!/_K"</f>
        <v>#VALUE!</v>
      </c>
      <c r="EY267" t="e">
        <f>Europe!C522+"n/&gt;!/_L"</f>
        <v>#VALUE!</v>
      </c>
      <c r="EZ267" t="e">
        <f>Europe!D522+"n/&gt;!/_M"</f>
        <v>#VALUE!</v>
      </c>
      <c r="FA267" t="e">
        <f>Europe!E522+"n/&gt;!/_N"</f>
        <v>#VALUE!</v>
      </c>
      <c r="FB267" t="e">
        <f>Europe!F522+"n/&gt;!/_O"</f>
        <v>#VALUE!</v>
      </c>
      <c r="FC267" t="e">
        <f>Europe!G522+"n/&gt;!/_P"</f>
        <v>#VALUE!</v>
      </c>
      <c r="FD267" t="e">
        <f>Europe!H522+"n/&gt;!/_Q"</f>
        <v>#VALUE!</v>
      </c>
      <c r="FE267" t="e">
        <f>Europe!I522+"n/&gt;!/_R"</f>
        <v>#VALUE!</v>
      </c>
      <c r="FF267" t="e">
        <f>Europe!A523+"n/&gt;!/_S"</f>
        <v>#VALUE!</v>
      </c>
      <c r="FG267" t="e">
        <f>Europe!B523+"n/&gt;!/_T"</f>
        <v>#VALUE!</v>
      </c>
      <c r="FH267" t="e">
        <f>Europe!C523+"n/&gt;!/_U"</f>
        <v>#VALUE!</v>
      </c>
      <c r="FI267" t="e">
        <f>Europe!D523+"n/&gt;!/_V"</f>
        <v>#VALUE!</v>
      </c>
      <c r="FJ267" t="e">
        <f>Europe!E523+"n/&gt;!/_W"</f>
        <v>#VALUE!</v>
      </c>
      <c r="FK267" t="e">
        <f>Europe!F523+"n/&gt;!/_X"</f>
        <v>#VALUE!</v>
      </c>
      <c r="FL267" t="e">
        <f>Europe!G523+"n/&gt;!/_Y"</f>
        <v>#VALUE!</v>
      </c>
      <c r="FM267" t="e">
        <f>Europe!H523+"n/&gt;!/_Z"</f>
        <v>#VALUE!</v>
      </c>
      <c r="FN267" t="e">
        <f>Europe!I523+"n/&gt;!/_["</f>
        <v>#VALUE!</v>
      </c>
      <c r="FO267" t="e">
        <f>Europe!A524+"n/&gt;!/_\"</f>
        <v>#VALUE!</v>
      </c>
      <c r="FP267" t="e">
        <f>Europe!B524+"n/&gt;!/_]"</f>
        <v>#VALUE!</v>
      </c>
      <c r="FQ267" t="e">
        <f>Europe!C524+"n/&gt;!/_^"</f>
        <v>#VALUE!</v>
      </c>
      <c r="FR267" t="e">
        <f>Europe!D524+"n/&gt;!/__"</f>
        <v>#VALUE!</v>
      </c>
      <c r="FS267" t="e">
        <f>Europe!E524+"n/&gt;!/_`"</f>
        <v>#VALUE!</v>
      </c>
      <c r="FT267" t="e">
        <f>Europe!F524+"n/&gt;!/_a"</f>
        <v>#VALUE!</v>
      </c>
      <c r="FU267" t="e">
        <f>Europe!G524+"n/&gt;!/_b"</f>
        <v>#VALUE!</v>
      </c>
      <c r="FV267" t="e">
        <f>Europe!H524+"n/&gt;!/_c"</f>
        <v>#VALUE!</v>
      </c>
      <c r="FW267" t="e">
        <f>Europe!I524+"n/&gt;!/_d"</f>
        <v>#VALUE!</v>
      </c>
      <c r="FX267" t="e">
        <f>Europe!A525+"n/&gt;!/_e"</f>
        <v>#VALUE!</v>
      </c>
      <c r="FY267" t="e">
        <f>Europe!B525+"n/&gt;!/_f"</f>
        <v>#VALUE!</v>
      </c>
      <c r="FZ267" t="e">
        <f>Europe!C525+"n/&gt;!/_g"</f>
        <v>#VALUE!</v>
      </c>
      <c r="GA267" t="e">
        <f>Europe!D525+"n/&gt;!/_h"</f>
        <v>#VALUE!</v>
      </c>
      <c r="GB267" t="e">
        <f>Europe!E525+"n/&gt;!/_i"</f>
        <v>#VALUE!</v>
      </c>
      <c r="GC267" t="e">
        <f>Europe!F525+"n/&gt;!/_j"</f>
        <v>#VALUE!</v>
      </c>
      <c r="GD267" t="e">
        <f>Europe!G525+"n/&gt;!/_k"</f>
        <v>#VALUE!</v>
      </c>
      <c r="GE267" t="e">
        <f>Europe!H525+"n/&gt;!/_l"</f>
        <v>#VALUE!</v>
      </c>
      <c r="GF267" t="e">
        <f>Europe!I525+"n/&gt;!/_m"</f>
        <v>#VALUE!</v>
      </c>
      <c r="GG267" t="e">
        <f>Europe!A526+"n/&gt;!/_n"</f>
        <v>#VALUE!</v>
      </c>
      <c r="GH267" t="e">
        <f>Europe!B526+"n/&gt;!/_o"</f>
        <v>#VALUE!</v>
      </c>
      <c r="GI267" t="e">
        <f>Europe!C526+"n/&gt;!/_p"</f>
        <v>#VALUE!</v>
      </c>
      <c r="GJ267" t="e">
        <f>Europe!D526+"n/&gt;!/_q"</f>
        <v>#VALUE!</v>
      </c>
      <c r="GK267" t="e">
        <f>Europe!E526+"n/&gt;!/_r"</f>
        <v>#VALUE!</v>
      </c>
      <c r="GL267" t="e">
        <f>Europe!F526+"n/&gt;!/_s"</f>
        <v>#VALUE!</v>
      </c>
      <c r="GM267" t="e">
        <f>Europe!G526+"n/&gt;!/_t"</f>
        <v>#VALUE!</v>
      </c>
      <c r="GN267" t="e">
        <f>Europe!H526+"n/&gt;!/_u"</f>
        <v>#VALUE!</v>
      </c>
      <c r="GO267" t="e">
        <f>Europe!I526+"n/&gt;!/_v"</f>
        <v>#VALUE!</v>
      </c>
      <c r="GP267" t="e">
        <f>Europe!A527+"n/&gt;!/_w"</f>
        <v>#VALUE!</v>
      </c>
      <c r="GQ267" t="e">
        <f>Europe!B527+"n/&gt;!/_x"</f>
        <v>#VALUE!</v>
      </c>
      <c r="GR267" t="e">
        <f>Europe!C527+"n/&gt;!/_y"</f>
        <v>#VALUE!</v>
      </c>
      <c r="GS267" t="e">
        <f>Europe!D527+"n/&gt;!/_z"</f>
        <v>#VALUE!</v>
      </c>
      <c r="GT267" t="e">
        <f>Europe!E527+"n/&gt;!/_{"</f>
        <v>#VALUE!</v>
      </c>
      <c r="GU267" t="e">
        <f>Europe!F527+"n/&gt;!/_|"</f>
        <v>#VALUE!</v>
      </c>
      <c r="GV267" t="e">
        <f>Europe!G527+"n/&gt;!/_}"</f>
        <v>#VALUE!</v>
      </c>
      <c r="GW267" t="e">
        <f>Europe!H527+"n/&gt;!/_~"</f>
        <v>#VALUE!</v>
      </c>
      <c r="GX267" t="e">
        <f>Europe!I527+"n/&gt;!/`#"</f>
        <v>#VALUE!</v>
      </c>
      <c r="GY267" t="e">
        <f>Europe!A528+"n/&gt;!/`$"</f>
        <v>#VALUE!</v>
      </c>
      <c r="GZ267" t="e">
        <f>Europe!B528+"n/&gt;!/`%"</f>
        <v>#VALUE!</v>
      </c>
      <c r="HA267" t="e">
        <f>Europe!C528+"n/&gt;!/`&amp;"</f>
        <v>#VALUE!</v>
      </c>
      <c r="HB267" t="e">
        <f>Europe!D528+"n/&gt;!/`'"</f>
        <v>#VALUE!</v>
      </c>
      <c r="HC267" t="e">
        <f>Europe!E528+"n/&gt;!/`("</f>
        <v>#VALUE!</v>
      </c>
      <c r="HD267" t="e">
        <f>Europe!F528+"n/&gt;!/`)"</f>
        <v>#VALUE!</v>
      </c>
      <c r="HE267" t="e">
        <f>Europe!G528+"n/&gt;!/`."</f>
        <v>#VALUE!</v>
      </c>
      <c r="HF267" t="e">
        <f>Europe!H528+"n/&gt;!/`/"</f>
        <v>#VALUE!</v>
      </c>
      <c r="HG267" t="e">
        <f>Europe!I528+"n/&gt;!/`0"</f>
        <v>#VALUE!</v>
      </c>
      <c r="HH267" t="e">
        <f>Europe!A529+"n/&gt;!/`1"</f>
        <v>#VALUE!</v>
      </c>
      <c r="HI267" t="e">
        <f>Europe!B529+"n/&gt;!/`2"</f>
        <v>#VALUE!</v>
      </c>
      <c r="HJ267" t="e">
        <f>Europe!C529+"n/&gt;!/`3"</f>
        <v>#VALUE!</v>
      </c>
      <c r="HK267" t="e">
        <f>Europe!D529+"n/&gt;!/`4"</f>
        <v>#VALUE!</v>
      </c>
      <c r="HL267" t="e">
        <f>Europe!E529+"n/&gt;!/`5"</f>
        <v>#VALUE!</v>
      </c>
      <c r="HM267" t="e">
        <f>Europe!F529+"n/&gt;!/`6"</f>
        <v>#VALUE!</v>
      </c>
      <c r="HN267" t="e">
        <f>Europe!G529+"n/&gt;!/`7"</f>
        <v>#VALUE!</v>
      </c>
      <c r="HO267" t="e">
        <f>Europe!H529+"n/&gt;!/`8"</f>
        <v>#VALUE!</v>
      </c>
      <c r="HP267" t="e">
        <f>Europe!I529+"n/&gt;!/`9"</f>
        <v>#VALUE!</v>
      </c>
      <c r="HQ267" t="e">
        <f>Europe!A530+"n/&gt;!/`:"</f>
        <v>#VALUE!</v>
      </c>
      <c r="HR267" t="e">
        <f>Europe!B530+"n/&gt;!/`;"</f>
        <v>#VALUE!</v>
      </c>
      <c r="HS267" t="e">
        <f>Europe!C530+"n/&gt;!/`&lt;"</f>
        <v>#VALUE!</v>
      </c>
      <c r="HT267" t="e">
        <f>Europe!D530+"n/&gt;!/`="</f>
        <v>#VALUE!</v>
      </c>
      <c r="HU267" t="e">
        <f>Europe!E530+"n/&gt;!/`&gt;"</f>
        <v>#VALUE!</v>
      </c>
      <c r="HV267" t="e">
        <f>Europe!F530+"n/&gt;!/`?"</f>
        <v>#VALUE!</v>
      </c>
      <c r="HW267" t="e">
        <f>Europe!G530+"n/&gt;!/`@"</f>
        <v>#VALUE!</v>
      </c>
      <c r="HX267" t="e">
        <f>Europe!H530+"n/&gt;!/`A"</f>
        <v>#VALUE!</v>
      </c>
      <c r="HY267" t="e">
        <f>Europe!I530+"n/&gt;!/`B"</f>
        <v>#VALUE!</v>
      </c>
      <c r="HZ267" t="e">
        <f>Europe!A531+"n/&gt;!/`C"</f>
        <v>#VALUE!</v>
      </c>
      <c r="IA267" t="e">
        <f>Europe!B531+"n/&gt;!/`D"</f>
        <v>#VALUE!</v>
      </c>
      <c r="IB267" t="e">
        <f>Europe!C531+"n/&gt;!/`E"</f>
        <v>#VALUE!</v>
      </c>
      <c r="IC267" t="e">
        <f>Europe!D531+"n/&gt;!/`F"</f>
        <v>#VALUE!</v>
      </c>
      <c r="ID267" t="e">
        <f>Europe!E531+"n/&gt;!/`G"</f>
        <v>#VALUE!</v>
      </c>
      <c r="IE267" t="e">
        <f>Europe!F531+"n/&gt;!/`H"</f>
        <v>#VALUE!</v>
      </c>
      <c r="IF267" t="e">
        <f>Europe!G531+"n/&gt;!/`I"</f>
        <v>#VALUE!</v>
      </c>
      <c r="IG267" t="e">
        <f>Europe!H531+"n/&gt;!/`J"</f>
        <v>#VALUE!</v>
      </c>
      <c r="IH267" t="e">
        <f>Europe!I531+"n/&gt;!/`K"</f>
        <v>#VALUE!</v>
      </c>
      <c r="II267" t="e">
        <f>Europe!A532+"n/&gt;!/`L"</f>
        <v>#VALUE!</v>
      </c>
      <c r="IJ267" t="e">
        <f>Europe!B532+"n/&gt;!/`M"</f>
        <v>#VALUE!</v>
      </c>
      <c r="IK267" t="e">
        <f>Europe!C532+"n/&gt;!/`N"</f>
        <v>#VALUE!</v>
      </c>
      <c r="IL267" t="e">
        <f>Europe!D532+"n/&gt;!/`O"</f>
        <v>#VALUE!</v>
      </c>
      <c r="IM267" t="e">
        <f>Europe!E532+"n/&gt;!/`P"</f>
        <v>#VALUE!</v>
      </c>
      <c r="IN267" t="e">
        <f>Europe!F532+"n/&gt;!/`Q"</f>
        <v>#VALUE!</v>
      </c>
      <c r="IO267" t="e">
        <f>Europe!G532+"n/&gt;!/`R"</f>
        <v>#VALUE!</v>
      </c>
      <c r="IP267" t="e">
        <f>Europe!H532+"n/&gt;!/`S"</f>
        <v>#VALUE!</v>
      </c>
      <c r="IQ267" t="e">
        <f>Europe!I532+"n/&gt;!/`T"</f>
        <v>#VALUE!</v>
      </c>
      <c r="IR267" t="e">
        <f>Europe!A533+"n/&gt;!/`U"</f>
        <v>#VALUE!</v>
      </c>
      <c r="IS267" t="e">
        <f>Europe!B533+"n/&gt;!/`V"</f>
        <v>#VALUE!</v>
      </c>
      <c r="IT267" t="e">
        <f>Europe!C533+"n/&gt;!/`W"</f>
        <v>#VALUE!</v>
      </c>
      <c r="IU267" t="e">
        <f>Europe!D533+"n/&gt;!/`X"</f>
        <v>#VALUE!</v>
      </c>
      <c r="IV267" t="e">
        <f>Europe!E533+"n/&gt;!/`Y"</f>
        <v>#VALUE!</v>
      </c>
    </row>
    <row r="268" spans="6:256" x14ac:dyDescent="0.35">
      <c r="F268" t="e">
        <f>Europe!F533+"n/&gt;!/`Z"</f>
        <v>#VALUE!</v>
      </c>
      <c r="G268" t="e">
        <f>Europe!G533+"n/&gt;!/`["</f>
        <v>#VALUE!</v>
      </c>
      <c r="H268" t="e">
        <f>Europe!H533+"n/&gt;!/`\"</f>
        <v>#VALUE!</v>
      </c>
      <c r="I268" t="e">
        <f>Europe!I533+"n/&gt;!/`]"</f>
        <v>#VALUE!</v>
      </c>
      <c r="J268" t="e">
        <f>Europe!A534+"n/&gt;!/`^"</f>
        <v>#VALUE!</v>
      </c>
      <c r="K268" t="e">
        <f>Europe!B534+"n/&gt;!/`_"</f>
        <v>#VALUE!</v>
      </c>
      <c r="L268" t="e">
        <f>Europe!C534+"n/&gt;!/``"</f>
        <v>#VALUE!</v>
      </c>
      <c r="M268" t="e">
        <f>Europe!D534+"n/&gt;!/`a"</f>
        <v>#VALUE!</v>
      </c>
      <c r="N268" t="e">
        <f>Europe!E534+"n/&gt;!/`b"</f>
        <v>#VALUE!</v>
      </c>
      <c r="O268" t="e">
        <f>Europe!F534+"n/&gt;!/`c"</f>
        <v>#VALUE!</v>
      </c>
      <c r="P268" t="e">
        <f>Europe!G534+"n/&gt;!/`d"</f>
        <v>#VALUE!</v>
      </c>
      <c r="Q268" t="e">
        <f>Europe!H534+"n/&gt;!/`e"</f>
        <v>#VALUE!</v>
      </c>
      <c r="R268" t="e">
        <f>Europe!I534+"n/&gt;!/`f"</f>
        <v>#VALUE!</v>
      </c>
      <c r="S268" t="e">
        <f>Europe!A535+"n/&gt;!/`g"</f>
        <v>#VALUE!</v>
      </c>
      <c r="T268" t="e">
        <f>Europe!B535+"n/&gt;!/`h"</f>
        <v>#VALUE!</v>
      </c>
      <c r="U268" t="e">
        <f>Europe!C535+"n/&gt;!/`i"</f>
        <v>#VALUE!</v>
      </c>
      <c r="V268" t="e">
        <f>Europe!D535+"n/&gt;!/`j"</f>
        <v>#VALUE!</v>
      </c>
      <c r="W268" t="e">
        <f>Europe!E535+"n/&gt;!/`k"</f>
        <v>#VALUE!</v>
      </c>
      <c r="X268" t="e">
        <f>Europe!F535+"n/&gt;!/`l"</f>
        <v>#VALUE!</v>
      </c>
      <c r="Y268" t="e">
        <f>Europe!G535+"n/&gt;!/`m"</f>
        <v>#VALUE!</v>
      </c>
      <c r="Z268" t="e">
        <f>Europe!H535+"n/&gt;!/`n"</f>
        <v>#VALUE!</v>
      </c>
      <c r="AA268" t="e">
        <f>Europe!I535+"n/&gt;!/`o"</f>
        <v>#VALUE!</v>
      </c>
      <c r="AB268" t="e">
        <f>Europe!A536+"n/&gt;!/`p"</f>
        <v>#VALUE!</v>
      </c>
      <c r="AC268" t="e">
        <f>Europe!B536+"n/&gt;!/`q"</f>
        <v>#VALUE!</v>
      </c>
      <c r="AD268" t="e">
        <f>Europe!C536+"n/&gt;!/`r"</f>
        <v>#VALUE!</v>
      </c>
      <c r="AE268" t="e">
        <f>Europe!D536+"n/&gt;!/`s"</f>
        <v>#VALUE!</v>
      </c>
      <c r="AF268" t="e">
        <f>Europe!E536+"n/&gt;!/`t"</f>
        <v>#VALUE!</v>
      </c>
      <c r="AG268" t="e">
        <f>Europe!F536+"n/&gt;!/`u"</f>
        <v>#VALUE!</v>
      </c>
      <c r="AH268" t="e">
        <f>Europe!G536+"n/&gt;!/`v"</f>
        <v>#VALUE!</v>
      </c>
      <c r="AI268" t="e">
        <f>Europe!H536+"n/&gt;!/`w"</f>
        <v>#VALUE!</v>
      </c>
      <c r="AJ268" t="e">
        <f>Europe!I536+"n/&gt;!/`x"</f>
        <v>#VALUE!</v>
      </c>
      <c r="AK268" t="e">
        <f>Europe!A537+"n/&gt;!/`y"</f>
        <v>#VALUE!</v>
      </c>
      <c r="AL268" t="e">
        <f>Europe!B537+"n/&gt;!/`z"</f>
        <v>#VALUE!</v>
      </c>
      <c r="AM268" t="e">
        <f>Europe!C537+"n/&gt;!/`{"</f>
        <v>#VALUE!</v>
      </c>
      <c r="AN268" t="e">
        <f>Europe!D537+"n/&gt;!/`|"</f>
        <v>#VALUE!</v>
      </c>
      <c r="AO268" t="e">
        <f>Europe!E537+"n/&gt;!/`}"</f>
        <v>#VALUE!</v>
      </c>
      <c r="AP268" t="e">
        <f>Europe!F537+"n/&gt;!/`~"</f>
        <v>#VALUE!</v>
      </c>
      <c r="AQ268" t="e">
        <f>Europe!G537+"n/&gt;!/a#"</f>
        <v>#VALUE!</v>
      </c>
      <c r="AR268" t="e">
        <f>Europe!H537+"n/&gt;!/a$"</f>
        <v>#VALUE!</v>
      </c>
      <c r="AS268" t="e">
        <f>Europe!I537+"n/&gt;!/a%"</f>
        <v>#VALUE!</v>
      </c>
      <c r="AT268" t="e">
        <f>Europe!A538+"n/&gt;!/a&amp;"</f>
        <v>#VALUE!</v>
      </c>
      <c r="AU268" t="e">
        <f>Europe!B538+"n/&gt;!/a'"</f>
        <v>#VALUE!</v>
      </c>
      <c r="AV268" t="e">
        <f>Europe!C538+"n/&gt;!/a("</f>
        <v>#VALUE!</v>
      </c>
      <c r="AW268" t="e">
        <f>Europe!D538+"n/&gt;!/a)"</f>
        <v>#VALUE!</v>
      </c>
      <c r="AX268" t="e">
        <f>Europe!E538+"n/&gt;!/a."</f>
        <v>#VALUE!</v>
      </c>
      <c r="AY268" t="e">
        <f>Europe!F538+"n/&gt;!/a/"</f>
        <v>#VALUE!</v>
      </c>
      <c r="AZ268" t="e">
        <f>Europe!G538+"n/&gt;!/a0"</f>
        <v>#VALUE!</v>
      </c>
      <c r="BA268" t="e">
        <f>Europe!H538+"n/&gt;!/a1"</f>
        <v>#VALUE!</v>
      </c>
      <c r="BB268" t="e">
        <f>Europe!I538+"n/&gt;!/a2"</f>
        <v>#VALUE!</v>
      </c>
      <c r="BC268" t="e">
        <f>Europe!A539+"n/&gt;!/a3"</f>
        <v>#VALUE!</v>
      </c>
      <c r="BD268" t="e">
        <f>Europe!B539+"n/&gt;!/a4"</f>
        <v>#VALUE!</v>
      </c>
      <c r="BE268" t="e">
        <f>Europe!C539+"n/&gt;!/a5"</f>
        <v>#VALUE!</v>
      </c>
      <c r="BF268" t="e">
        <f>Europe!D539+"n/&gt;!/a6"</f>
        <v>#VALUE!</v>
      </c>
      <c r="BG268" t="e">
        <f>Europe!E539+"n/&gt;!/a7"</f>
        <v>#VALUE!</v>
      </c>
      <c r="BH268" t="e">
        <f>Europe!F539+"n/&gt;!/a8"</f>
        <v>#VALUE!</v>
      </c>
      <c r="BI268" t="e">
        <f>Europe!G539+"n/&gt;!/a9"</f>
        <v>#VALUE!</v>
      </c>
      <c r="BJ268" t="e">
        <f>Europe!H539+"n/&gt;!/a:"</f>
        <v>#VALUE!</v>
      </c>
      <c r="BK268" t="e">
        <f>Europe!I539+"n/&gt;!/a;"</f>
        <v>#VALUE!</v>
      </c>
      <c r="BL268" t="e">
        <f>Europe!A540+"n/&gt;!/a&lt;"</f>
        <v>#VALUE!</v>
      </c>
      <c r="BM268" t="e">
        <f>Europe!B540+"n/&gt;!/a="</f>
        <v>#VALUE!</v>
      </c>
      <c r="BN268" t="e">
        <f>Europe!C540+"n/&gt;!/a&gt;"</f>
        <v>#VALUE!</v>
      </c>
      <c r="BO268" t="e">
        <f>Europe!D540+"n/&gt;!/a?"</f>
        <v>#VALUE!</v>
      </c>
      <c r="BP268" t="e">
        <f>Europe!E540+"n/&gt;!/a@"</f>
        <v>#VALUE!</v>
      </c>
      <c r="BQ268" t="e">
        <f>Europe!F540+"n/&gt;!/aA"</f>
        <v>#VALUE!</v>
      </c>
      <c r="BR268" t="e">
        <f>Europe!G540+"n/&gt;!/aB"</f>
        <v>#VALUE!</v>
      </c>
      <c r="BS268" t="e">
        <f>Europe!H540+"n/&gt;!/aC"</f>
        <v>#VALUE!</v>
      </c>
      <c r="BT268" t="e">
        <f>Europe!I540+"n/&gt;!/aD"</f>
        <v>#VALUE!</v>
      </c>
      <c r="BU268" t="e">
        <f>Europe!A541+"n/&gt;!/aE"</f>
        <v>#VALUE!</v>
      </c>
      <c r="BV268" t="e">
        <f>Europe!B541+"n/&gt;!/aF"</f>
        <v>#VALUE!</v>
      </c>
      <c r="BW268" t="e">
        <f>Europe!C541+"n/&gt;!/aG"</f>
        <v>#VALUE!</v>
      </c>
      <c r="BX268" t="e">
        <f>Europe!D541+"n/&gt;!/aH"</f>
        <v>#VALUE!</v>
      </c>
      <c r="BY268" t="e">
        <f>Europe!E541+"n/&gt;!/aI"</f>
        <v>#VALUE!</v>
      </c>
      <c r="BZ268" t="e">
        <f>Europe!F541+"n/&gt;!/aJ"</f>
        <v>#VALUE!</v>
      </c>
      <c r="CA268" t="e">
        <f>Europe!G541+"n/&gt;!/aK"</f>
        <v>#VALUE!</v>
      </c>
      <c r="CB268" t="e">
        <f>Europe!H541+"n/&gt;!/aL"</f>
        <v>#VALUE!</v>
      </c>
      <c r="CC268" t="e">
        <f>Europe!I541+"n/&gt;!/aM"</f>
        <v>#VALUE!</v>
      </c>
      <c r="CD268" t="e">
        <f>Europe!A542+"n/&gt;!/aN"</f>
        <v>#VALUE!</v>
      </c>
      <c r="CE268" t="e">
        <f>Europe!B542+"n/&gt;!/aO"</f>
        <v>#VALUE!</v>
      </c>
      <c r="CF268" t="e">
        <f>Europe!C542+"n/&gt;!/aP"</f>
        <v>#VALUE!</v>
      </c>
      <c r="CG268" t="e">
        <f>Europe!D542+"n/&gt;!/aQ"</f>
        <v>#VALUE!</v>
      </c>
      <c r="CH268" t="e">
        <f>Europe!E542+"n/&gt;!/aR"</f>
        <v>#VALUE!</v>
      </c>
      <c r="CI268" t="e">
        <f>Europe!F542+"n/&gt;!/aS"</f>
        <v>#VALUE!</v>
      </c>
      <c r="CJ268" t="e">
        <f>Europe!G542+"n/&gt;!/aT"</f>
        <v>#VALUE!</v>
      </c>
      <c r="CK268" t="e">
        <f>Europe!H542+"n/&gt;!/aU"</f>
        <v>#VALUE!</v>
      </c>
      <c r="CL268" t="e">
        <f>Europe!I542+"n/&gt;!/aV"</f>
        <v>#VALUE!</v>
      </c>
      <c r="CM268" t="e">
        <f>Europe!A543+"n/&gt;!/aW"</f>
        <v>#VALUE!</v>
      </c>
      <c r="CN268" t="e">
        <f>Europe!B543+"n/&gt;!/aX"</f>
        <v>#VALUE!</v>
      </c>
      <c r="CO268" t="e">
        <f>Europe!C543+"n/&gt;!/aY"</f>
        <v>#VALUE!</v>
      </c>
      <c r="CP268" t="e">
        <f>Europe!D543+"n/&gt;!/aZ"</f>
        <v>#VALUE!</v>
      </c>
      <c r="CQ268" t="e">
        <f>Europe!E543+"n/&gt;!/a["</f>
        <v>#VALUE!</v>
      </c>
      <c r="CR268" t="e">
        <f>Europe!F543+"n/&gt;!/a\"</f>
        <v>#VALUE!</v>
      </c>
      <c r="CS268" t="e">
        <f>Europe!G543+"n/&gt;!/a]"</f>
        <v>#VALUE!</v>
      </c>
      <c r="CT268" t="e">
        <f>Europe!H543+"n/&gt;!/a^"</f>
        <v>#VALUE!</v>
      </c>
      <c r="CU268" t="e">
        <f>Europe!I543+"n/&gt;!/a_"</f>
        <v>#VALUE!</v>
      </c>
      <c r="CV268" t="e">
        <f>Europe!A544+"n/&gt;!/a`"</f>
        <v>#VALUE!</v>
      </c>
      <c r="CW268" t="e">
        <f>Europe!B544+"n/&gt;!/aa"</f>
        <v>#VALUE!</v>
      </c>
      <c r="CX268" t="e">
        <f>Europe!C544+"n/&gt;!/ab"</f>
        <v>#VALUE!</v>
      </c>
      <c r="CY268" t="e">
        <f>Europe!D544+"n/&gt;!/ac"</f>
        <v>#VALUE!</v>
      </c>
      <c r="CZ268" t="e">
        <f>Europe!E544+"n/&gt;!/ad"</f>
        <v>#VALUE!</v>
      </c>
      <c r="DA268" t="e">
        <f>Europe!F544+"n/&gt;!/ae"</f>
        <v>#VALUE!</v>
      </c>
      <c r="DB268" t="e">
        <f>Europe!G544+"n/&gt;!/af"</f>
        <v>#VALUE!</v>
      </c>
      <c r="DC268" t="e">
        <f>Europe!H544+"n/&gt;!/ag"</f>
        <v>#VALUE!</v>
      </c>
      <c r="DD268" t="e">
        <f>Europe!I544+"n/&gt;!/ah"</f>
        <v>#VALUE!</v>
      </c>
      <c r="DE268" t="e">
        <f>Europe!A545+"n/&gt;!/ai"</f>
        <v>#VALUE!</v>
      </c>
      <c r="DF268" t="e">
        <f>Europe!B545+"n/&gt;!/aj"</f>
        <v>#VALUE!</v>
      </c>
      <c r="DG268" t="e">
        <f>Europe!C545+"n/&gt;!/ak"</f>
        <v>#VALUE!</v>
      </c>
      <c r="DH268" t="e">
        <f>Europe!D545+"n/&gt;!/al"</f>
        <v>#VALUE!</v>
      </c>
      <c r="DI268" t="e">
        <f>Europe!E545+"n/&gt;!/am"</f>
        <v>#VALUE!</v>
      </c>
      <c r="DJ268" t="e">
        <f>Europe!F545+"n/&gt;!/an"</f>
        <v>#VALUE!</v>
      </c>
      <c r="DK268" t="e">
        <f>Europe!G545+"n/&gt;!/ao"</f>
        <v>#VALUE!</v>
      </c>
      <c r="DL268" t="e">
        <f>Europe!H545+"n/&gt;!/ap"</f>
        <v>#VALUE!</v>
      </c>
      <c r="DM268" t="e">
        <f>Europe!I545+"n/&gt;!/aq"</f>
        <v>#VALUE!</v>
      </c>
      <c r="DN268" t="e">
        <f>Europe!A546+"n/&gt;!/ar"</f>
        <v>#VALUE!</v>
      </c>
      <c r="DO268" t="e">
        <f>Europe!B546+"n/&gt;!/as"</f>
        <v>#VALUE!</v>
      </c>
      <c r="DP268" t="e">
        <f>Europe!C546+"n/&gt;!/at"</f>
        <v>#VALUE!</v>
      </c>
      <c r="DQ268" t="e">
        <f>Europe!D546+"n/&gt;!/au"</f>
        <v>#VALUE!</v>
      </c>
      <c r="DR268" t="e">
        <f>Europe!E546+"n/&gt;!/av"</f>
        <v>#VALUE!</v>
      </c>
      <c r="DS268" t="e">
        <f>Europe!F546+"n/&gt;!/aw"</f>
        <v>#VALUE!</v>
      </c>
      <c r="DT268" t="e">
        <f>Europe!G546+"n/&gt;!/ax"</f>
        <v>#VALUE!</v>
      </c>
      <c r="DU268" t="e">
        <f>Europe!H546+"n/&gt;!/ay"</f>
        <v>#VALUE!</v>
      </c>
      <c r="DV268" t="e">
        <f>Europe!I546+"n/&gt;!/az"</f>
        <v>#VALUE!</v>
      </c>
      <c r="DW268" t="e">
        <f>Europe!A547+"n/&gt;!/a{"</f>
        <v>#VALUE!</v>
      </c>
      <c r="DX268" t="e">
        <f>Europe!B547+"n/&gt;!/a|"</f>
        <v>#VALUE!</v>
      </c>
      <c r="DY268" t="e">
        <f>Europe!C547+"n/&gt;!/a}"</f>
        <v>#VALUE!</v>
      </c>
      <c r="DZ268" t="e">
        <f>Europe!D547+"n/&gt;!/a~"</f>
        <v>#VALUE!</v>
      </c>
      <c r="EA268" t="e">
        <f>Europe!E547+"n/&gt;!/b#"</f>
        <v>#VALUE!</v>
      </c>
      <c r="EB268" t="e">
        <f>Europe!F547+"n/&gt;!/b$"</f>
        <v>#VALUE!</v>
      </c>
      <c r="EC268" t="e">
        <f>Europe!G547+"n/&gt;!/b%"</f>
        <v>#VALUE!</v>
      </c>
      <c r="ED268" t="e">
        <f>Europe!H547+"n/&gt;!/b&amp;"</f>
        <v>#VALUE!</v>
      </c>
      <c r="EE268" t="e">
        <f>Europe!I547+"n/&gt;!/b'"</f>
        <v>#VALUE!</v>
      </c>
      <c r="EF268" t="e">
        <f>Europe!A548+"n/&gt;!/b("</f>
        <v>#VALUE!</v>
      </c>
      <c r="EG268" t="e">
        <f>Europe!B548+"n/&gt;!/b)"</f>
        <v>#VALUE!</v>
      </c>
      <c r="EH268" t="e">
        <f>Europe!C548+"n/&gt;!/b."</f>
        <v>#VALUE!</v>
      </c>
      <c r="EI268" t="e">
        <f>Europe!D548+"n/&gt;!/b/"</f>
        <v>#VALUE!</v>
      </c>
      <c r="EJ268" t="e">
        <f>Europe!E548+"n/&gt;!/b0"</f>
        <v>#VALUE!</v>
      </c>
      <c r="EK268" t="e">
        <f>Europe!F548+"n/&gt;!/b1"</f>
        <v>#VALUE!</v>
      </c>
      <c r="EL268" t="e">
        <f>Europe!G548+"n/&gt;!/b2"</f>
        <v>#VALUE!</v>
      </c>
      <c r="EM268" t="e">
        <f>Europe!H548+"n/&gt;!/b3"</f>
        <v>#VALUE!</v>
      </c>
      <c r="EN268" t="e">
        <f>Europe!I548+"n/&gt;!/b4"</f>
        <v>#VALUE!</v>
      </c>
      <c r="EO268" t="e">
        <f>Europe!A549+"n/&gt;!/b5"</f>
        <v>#VALUE!</v>
      </c>
      <c r="EP268" t="e">
        <f>Europe!B549+"n/&gt;!/b6"</f>
        <v>#VALUE!</v>
      </c>
      <c r="EQ268" t="e">
        <f>Europe!C549+"n/&gt;!/b7"</f>
        <v>#VALUE!</v>
      </c>
      <c r="ER268" t="e">
        <f>Europe!D549+"n/&gt;!/b8"</f>
        <v>#VALUE!</v>
      </c>
      <c r="ES268" t="e">
        <f>Europe!E549+"n/&gt;!/b9"</f>
        <v>#VALUE!</v>
      </c>
      <c r="ET268" t="e">
        <f>Europe!F549+"n/&gt;!/b:"</f>
        <v>#VALUE!</v>
      </c>
      <c r="EU268" t="e">
        <f>Europe!G549+"n/&gt;!/b;"</f>
        <v>#VALUE!</v>
      </c>
      <c r="EV268" t="e">
        <f>Europe!H549+"n/&gt;!/b&lt;"</f>
        <v>#VALUE!</v>
      </c>
      <c r="EW268" t="e">
        <f>Europe!I549+"n/&gt;!/b="</f>
        <v>#VALUE!</v>
      </c>
      <c r="EX268" t="e">
        <f>Europe!A550+"n/&gt;!/b&gt;"</f>
        <v>#VALUE!</v>
      </c>
      <c r="EY268" t="e">
        <f>Europe!B550+"n/&gt;!/b?"</f>
        <v>#VALUE!</v>
      </c>
      <c r="EZ268" t="e">
        <f>Europe!C550+"n/&gt;!/b@"</f>
        <v>#VALUE!</v>
      </c>
      <c r="FA268" t="e">
        <f>Europe!D550+"n/&gt;!/bA"</f>
        <v>#VALUE!</v>
      </c>
      <c r="FB268" t="e">
        <f>Europe!E550+"n/&gt;!/bB"</f>
        <v>#VALUE!</v>
      </c>
      <c r="FC268" t="e">
        <f>Europe!F550+"n/&gt;!/bC"</f>
        <v>#VALUE!</v>
      </c>
      <c r="FD268" t="e">
        <f>Europe!G550+"n/&gt;!/bD"</f>
        <v>#VALUE!</v>
      </c>
      <c r="FE268" t="e">
        <f>Europe!H550+"n/&gt;!/bE"</f>
        <v>#VALUE!</v>
      </c>
      <c r="FF268" t="e">
        <f>Europe!I550+"n/&gt;!/bF"</f>
        <v>#VALUE!</v>
      </c>
      <c r="FG268" t="e">
        <f>Europe!A551+"n/&gt;!/bG"</f>
        <v>#VALUE!</v>
      </c>
      <c r="FH268" t="e">
        <f>Europe!B551+"n/&gt;!/bH"</f>
        <v>#VALUE!</v>
      </c>
      <c r="FI268" t="e">
        <f>Europe!C551+"n/&gt;!/bI"</f>
        <v>#VALUE!</v>
      </c>
      <c r="FJ268" t="e">
        <f>Europe!D551+"n/&gt;!/bJ"</f>
        <v>#VALUE!</v>
      </c>
      <c r="FK268" t="e">
        <f>Europe!E551+"n/&gt;!/bK"</f>
        <v>#VALUE!</v>
      </c>
      <c r="FL268" t="e">
        <f>Europe!F551+"n/&gt;!/bL"</f>
        <v>#VALUE!</v>
      </c>
      <c r="FM268" t="e">
        <f>Europe!G551+"n/&gt;!/bM"</f>
        <v>#VALUE!</v>
      </c>
      <c r="FN268" t="e">
        <f>Europe!H551+"n/&gt;!/bN"</f>
        <v>#VALUE!</v>
      </c>
      <c r="FO268" t="e">
        <f>Europe!I551+"n/&gt;!/bO"</f>
        <v>#VALUE!</v>
      </c>
      <c r="FP268" t="e">
        <f>Europe!A552+"n/&gt;!/bP"</f>
        <v>#VALUE!</v>
      </c>
      <c r="FQ268" t="e">
        <f>Europe!B552+"n/&gt;!/bQ"</f>
        <v>#VALUE!</v>
      </c>
      <c r="FR268" t="e">
        <f>Europe!C552+"n/&gt;!/bR"</f>
        <v>#VALUE!</v>
      </c>
      <c r="FS268" t="e">
        <f>Europe!D552+"n/&gt;!/bS"</f>
        <v>#VALUE!</v>
      </c>
      <c r="FT268" t="e">
        <f>Europe!E552+"n/&gt;!/bT"</f>
        <v>#VALUE!</v>
      </c>
      <c r="FU268" t="e">
        <f>Europe!F552+"n/&gt;!/bU"</f>
        <v>#VALUE!</v>
      </c>
      <c r="FV268" t="e">
        <f>Europe!G552+"n/&gt;!/bV"</f>
        <v>#VALUE!</v>
      </c>
      <c r="FW268" t="e">
        <f>Europe!H552+"n/&gt;!/bW"</f>
        <v>#VALUE!</v>
      </c>
      <c r="FX268" t="e">
        <f>Europe!I552+"n/&gt;!/bX"</f>
        <v>#VALUE!</v>
      </c>
      <c r="FY268" t="e">
        <f>Europe!A553+"n/&gt;!/bY"</f>
        <v>#VALUE!</v>
      </c>
      <c r="FZ268" t="e">
        <f>Europe!B553+"n/&gt;!/bZ"</f>
        <v>#VALUE!</v>
      </c>
      <c r="GA268" t="e">
        <f>Europe!C553+"n/&gt;!/b["</f>
        <v>#VALUE!</v>
      </c>
      <c r="GB268" t="e">
        <f>Europe!D553+"n/&gt;!/b\"</f>
        <v>#VALUE!</v>
      </c>
      <c r="GC268" t="e">
        <f>Europe!E553+"n/&gt;!/b]"</f>
        <v>#VALUE!</v>
      </c>
      <c r="GD268" t="e">
        <f>Europe!F553+"n/&gt;!/b^"</f>
        <v>#VALUE!</v>
      </c>
      <c r="GE268" t="e">
        <f>Europe!G553+"n/&gt;!/b_"</f>
        <v>#VALUE!</v>
      </c>
      <c r="GF268" t="e">
        <f>Europe!H553+"n/&gt;!/b`"</f>
        <v>#VALUE!</v>
      </c>
      <c r="GG268" t="e">
        <f>Europe!I553+"n/&gt;!/ba"</f>
        <v>#VALUE!</v>
      </c>
      <c r="GH268" t="e">
        <f>Europe!A554+"n/&gt;!/bb"</f>
        <v>#VALUE!</v>
      </c>
      <c r="GI268" t="e">
        <f>Europe!B554+"n/&gt;!/bc"</f>
        <v>#VALUE!</v>
      </c>
      <c r="GJ268" t="e">
        <f>Europe!C554+"n/&gt;!/bd"</f>
        <v>#VALUE!</v>
      </c>
      <c r="GK268" t="e">
        <f>Europe!D554+"n/&gt;!/be"</f>
        <v>#VALUE!</v>
      </c>
      <c r="GL268" t="e">
        <f>Europe!E554+"n/&gt;!/bf"</f>
        <v>#VALUE!</v>
      </c>
      <c r="GM268" t="e">
        <f>Europe!F554+"n/&gt;!/bg"</f>
        <v>#VALUE!</v>
      </c>
      <c r="GN268" t="e">
        <f>Europe!G554+"n/&gt;!/bh"</f>
        <v>#VALUE!</v>
      </c>
      <c r="GO268" t="e">
        <f>Europe!H554+"n/&gt;!/bi"</f>
        <v>#VALUE!</v>
      </c>
      <c r="GP268" t="e">
        <f>Europe!I554+"n/&gt;!/bj"</f>
        <v>#VALUE!</v>
      </c>
      <c r="GQ268" t="e">
        <f>Europe!A555+"n/&gt;!/bk"</f>
        <v>#VALUE!</v>
      </c>
      <c r="GR268" t="e">
        <f>Europe!B555+"n/&gt;!/bl"</f>
        <v>#VALUE!</v>
      </c>
      <c r="GS268" t="e">
        <f>Europe!C555+"n/&gt;!/bm"</f>
        <v>#VALUE!</v>
      </c>
      <c r="GT268" t="e">
        <f>Europe!D555+"n/&gt;!/bn"</f>
        <v>#VALUE!</v>
      </c>
      <c r="GU268" t="e">
        <f>Europe!E555+"n/&gt;!/bo"</f>
        <v>#VALUE!</v>
      </c>
      <c r="GV268" t="e">
        <f>Europe!F555+"n/&gt;!/bp"</f>
        <v>#VALUE!</v>
      </c>
      <c r="GW268" t="e">
        <f>Europe!G555+"n/&gt;!/bq"</f>
        <v>#VALUE!</v>
      </c>
      <c r="GX268" t="e">
        <f>Europe!H555+"n/&gt;!/br"</f>
        <v>#VALUE!</v>
      </c>
      <c r="GY268" t="e">
        <f>Europe!I555+"n/&gt;!/bs"</f>
        <v>#VALUE!</v>
      </c>
      <c r="GZ268" t="e">
        <f>Europe!A556+"n/&gt;!/bt"</f>
        <v>#VALUE!</v>
      </c>
      <c r="HA268" t="e">
        <f>Europe!B556+"n/&gt;!/bu"</f>
        <v>#VALUE!</v>
      </c>
      <c r="HB268" t="e">
        <f>Europe!C556+"n/&gt;!/bv"</f>
        <v>#VALUE!</v>
      </c>
      <c r="HC268" t="e">
        <f>Europe!D556+"n/&gt;!/bw"</f>
        <v>#VALUE!</v>
      </c>
      <c r="HD268" t="e">
        <f>Europe!E556+"n/&gt;!/bx"</f>
        <v>#VALUE!</v>
      </c>
      <c r="HE268" t="e">
        <f>Europe!F556+"n/&gt;!/by"</f>
        <v>#VALUE!</v>
      </c>
      <c r="HF268" t="e">
        <f>Europe!G556+"n/&gt;!/bz"</f>
        <v>#VALUE!</v>
      </c>
      <c r="HG268" t="e">
        <f>Europe!H556+"n/&gt;!/b{"</f>
        <v>#VALUE!</v>
      </c>
      <c r="HH268" t="e">
        <f>Europe!I556+"n/&gt;!/b|"</f>
        <v>#VALUE!</v>
      </c>
      <c r="HI268" t="e">
        <f>Europe!A557+"n/&gt;!/b}"</f>
        <v>#VALUE!</v>
      </c>
      <c r="HJ268" t="e">
        <f>Europe!B557+"n/&gt;!/b~"</f>
        <v>#VALUE!</v>
      </c>
      <c r="HK268" t="e">
        <f>Europe!C557+"n/&gt;!/c#"</f>
        <v>#VALUE!</v>
      </c>
      <c r="HL268" t="e">
        <f>Europe!D557+"n/&gt;!/c$"</f>
        <v>#VALUE!</v>
      </c>
      <c r="HM268" t="e">
        <f>Europe!E557+"n/&gt;!/c%"</f>
        <v>#VALUE!</v>
      </c>
      <c r="HN268" t="e">
        <f>Europe!F557+"n/&gt;!/c&amp;"</f>
        <v>#VALUE!</v>
      </c>
      <c r="HO268" t="e">
        <f>Europe!G557+"n/&gt;!/c'"</f>
        <v>#VALUE!</v>
      </c>
      <c r="HP268" t="e">
        <f>Europe!H557+"n/&gt;!/c("</f>
        <v>#VALUE!</v>
      </c>
      <c r="HQ268" t="e">
        <f>Europe!I557+"n/&gt;!/c)"</f>
        <v>#VALUE!</v>
      </c>
      <c r="HR268" t="e">
        <f>Europe!A558+"n/&gt;!/c."</f>
        <v>#VALUE!</v>
      </c>
      <c r="HS268" t="e">
        <f>Europe!B558+"n/&gt;!/c/"</f>
        <v>#VALUE!</v>
      </c>
      <c r="HT268" t="e">
        <f>Europe!C558+"n/&gt;!/c0"</f>
        <v>#VALUE!</v>
      </c>
      <c r="HU268" t="e">
        <f>Europe!D558+"n/&gt;!/c1"</f>
        <v>#VALUE!</v>
      </c>
      <c r="HV268" t="e">
        <f>Europe!E558+"n/&gt;!/c2"</f>
        <v>#VALUE!</v>
      </c>
      <c r="HW268" t="e">
        <f>Europe!F558+"n/&gt;!/c3"</f>
        <v>#VALUE!</v>
      </c>
      <c r="HX268" t="e">
        <f>Europe!G558+"n/&gt;!/c4"</f>
        <v>#VALUE!</v>
      </c>
      <c r="HY268" t="e">
        <f>Europe!H558+"n/&gt;!/c5"</f>
        <v>#VALUE!</v>
      </c>
      <c r="HZ268" t="e">
        <f>Europe!I558+"n/&gt;!/c6"</f>
        <v>#VALUE!</v>
      </c>
      <c r="IA268" t="e">
        <f>Europe!A559+"n/&gt;!/c7"</f>
        <v>#VALUE!</v>
      </c>
      <c r="IB268" t="e">
        <f>Europe!B559+"n/&gt;!/c8"</f>
        <v>#VALUE!</v>
      </c>
      <c r="IC268" t="e">
        <f>Europe!C559+"n/&gt;!/c9"</f>
        <v>#VALUE!</v>
      </c>
      <c r="ID268" t="e">
        <f>Europe!D559+"n/&gt;!/c:"</f>
        <v>#VALUE!</v>
      </c>
      <c r="IE268" t="e">
        <f>Europe!E559+"n/&gt;!/c;"</f>
        <v>#VALUE!</v>
      </c>
      <c r="IF268" t="e">
        <f>Europe!F559+"n/&gt;!/c&lt;"</f>
        <v>#VALUE!</v>
      </c>
      <c r="IG268" t="e">
        <f>Europe!G559+"n/&gt;!/c="</f>
        <v>#VALUE!</v>
      </c>
      <c r="IH268" t="e">
        <f>Europe!H559+"n/&gt;!/c&gt;"</f>
        <v>#VALUE!</v>
      </c>
      <c r="II268" t="e">
        <f>Europe!I559+"n/&gt;!/c?"</f>
        <v>#VALUE!</v>
      </c>
      <c r="IJ268" t="e">
        <f>Europe!A560+"n/&gt;!/c@"</f>
        <v>#VALUE!</v>
      </c>
      <c r="IK268" t="e">
        <f>Europe!B560+"n/&gt;!/cA"</f>
        <v>#VALUE!</v>
      </c>
      <c r="IL268" t="e">
        <f>Europe!C560+"n/&gt;!/cB"</f>
        <v>#VALUE!</v>
      </c>
      <c r="IM268" t="e">
        <f>Europe!D560+"n/&gt;!/cC"</f>
        <v>#VALUE!</v>
      </c>
      <c r="IN268" t="e">
        <f>Europe!E560+"n/&gt;!/cD"</f>
        <v>#VALUE!</v>
      </c>
      <c r="IO268" t="e">
        <f>Europe!F560+"n/&gt;!/cE"</f>
        <v>#VALUE!</v>
      </c>
      <c r="IP268" t="e">
        <f>Europe!G560+"n/&gt;!/cF"</f>
        <v>#VALUE!</v>
      </c>
      <c r="IQ268" t="e">
        <f>Europe!H560+"n/&gt;!/cG"</f>
        <v>#VALUE!</v>
      </c>
      <c r="IR268" t="e">
        <f>Europe!I560+"n/&gt;!/cH"</f>
        <v>#VALUE!</v>
      </c>
      <c r="IS268" t="e">
        <f>Europe!A561+"n/&gt;!/cI"</f>
        <v>#VALUE!</v>
      </c>
      <c r="IT268" t="e">
        <f>Europe!B561+"n/&gt;!/cJ"</f>
        <v>#VALUE!</v>
      </c>
      <c r="IU268" t="e">
        <f>Europe!C561+"n/&gt;!/cK"</f>
        <v>#VALUE!</v>
      </c>
      <c r="IV268" t="e">
        <f>Europe!D561+"n/&gt;!/cL"</f>
        <v>#VALUE!</v>
      </c>
    </row>
    <row r="269" spans="6:256" x14ac:dyDescent="0.35">
      <c r="F269" t="e">
        <f>Europe!E561+"n/&gt;!/cM"</f>
        <v>#VALUE!</v>
      </c>
      <c r="G269" t="e">
        <f>Europe!F561+"n/&gt;!/cN"</f>
        <v>#VALUE!</v>
      </c>
      <c r="H269" t="e">
        <f>Europe!G561+"n/&gt;!/cO"</f>
        <v>#VALUE!</v>
      </c>
      <c r="I269" t="e">
        <f>Europe!H561+"n/&gt;!/cP"</f>
        <v>#VALUE!</v>
      </c>
      <c r="J269" t="e">
        <f>Europe!I561+"n/&gt;!/cQ"</f>
        <v>#VALUE!</v>
      </c>
      <c r="K269" t="e">
        <f>Europe!A562+"n/&gt;!/cR"</f>
        <v>#VALUE!</v>
      </c>
      <c r="L269" t="e">
        <f>Europe!B562+"n/&gt;!/cS"</f>
        <v>#VALUE!</v>
      </c>
      <c r="M269" t="e">
        <f>Europe!C562+"n/&gt;!/cT"</f>
        <v>#VALUE!</v>
      </c>
      <c r="N269" t="e">
        <f>Europe!D562+"n/&gt;!/cU"</f>
        <v>#VALUE!</v>
      </c>
      <c r="O269" t="e">
        <f>Europe!E562+"n/&gt;!/cV"</f>
        <v>#VALUE!</v>
      </c>
      <c r="P269" t="e">
        <f>Europe!F562+"n/&gt;!/cW"</f>
        <v>#VALUE!</v>
      </c>
      <c r="Q269" t="e">
        <f>Europe!G562+"n/&gt;!/cX"</f>
        <v>#VALUE!</v>
      </c>
      <c r="R269" t="e">
        <f>Europe!H562+"n/&gt;!/cY"</f>
        <v>#VALUE!</v>
      </c>
      <c r="S269" t="e">
        <f>Europe!I562+"n/&gt;!/cZ"</f>
        <v>#VALUE!</v>
      </c>
      <c r="T269" t="e">
        <f>Europe!A563+"n/&gt;!/c["</f>
        <v>#VALUE!</v>
      </c>
      <c r="U269" t="e">
        <f>Europe!B563+"n/&gt;!/c\"</f>
        <v>#VALUE!</v>
      </c>
      <c r="V269" t="e">
        <f>Europe!C563+"n/&gt;!/c]"</f>
        <v>#VALUE!</v>
      </c>
      <c r="W269" t="e">
        <f>Europe!D563+"n/&gt;!/c^"</f>
        <v>#VALUE!</v>
      </c>
      <c r="X269" t="e">
        <f>Europe!E563+"n/&gt;!/c_"</f>
        <v>#VALUE!</v>
      </c>
      <c r="Y269" t="e">
        <f>Europe!F563+"n/&gt;!/c`"</f>
        <v>#VALUE!</v>
      </c>
      <c r="Z269" t="e">
        <f>Europe!G563+"n/&gt;!/ca"</f>
        <v>#VALUE!</v>
      </c>
      <c r="AA269" t="e">
        <f>Europe!H563+"n/&gt;!/cb"</f>
        <v>#VALUE!</v>
      </c>
      <c r="AB269" t="e">
        <f>Europe!I563+"n/&gt;!/cc"</f>
        <v>#VALUE!</v>
      </c>
      <c r="AC269" t="e">
        <f>Europe!A564+"n/&gt;!/cd"</f>
        <v>#VALUE!</v>
      </c>
      <c r="AD269" t="e">
        <f>Europe!B564+"n/&gt;!/ce"</f>
        <v>#VALUE!</v>
      </c>
      <c r="AE269" t="e">
        <f>Europe!C564+"n/&gt;!/cf"</f>
        <v>#VALUE!</v>
      </c>
      <c r="AF269" t="e">
        <f>Europe!D564+"n/&gt;!/cg"</f>
        <v>#VALUE!</v>
      </c>
      <c r="AG269" t="e">
        <f>Europe!E564+"n/&gt;!/ch"</f>
        <v>#VALUE!</v>
      </c>
      <c r="AH269" t="e">
        <f>Europe!F564+"n/&gt;!/ci"</f>
        <v>#VALUE!</v>
      </c>
      <c r="AI269" t="e">
        <f>Europe!G564+"n/&gt;!/cj"</f>
        <v>#VALUE!</v>
      </c>
      <c r="AJ269" t="e">
        <f>Europe!H564+"n/&gt;!/ck"</f>
        <v>#VALUE!</v>
      </c>
      <c r="AK269" t="e">
        <f>Europe!I564+"n/&gt;!/cl"</f>
        <v>#VALUE!</v>
      </c>
      <c r="AL269" t="e">
        <f>Europe!A565+"n/&gt;!/cm"</f>
        <v>#VALUE!</v>
      </c>
      <c r="AM269" t="e">
        <f>Europe!B565+"n/&gt;!/cn"</f>
        <v>#VALUE!</v>
      </c>
      <c r="AN269" t="e">
        <f>Europe!C565+"n/&gt;!/co"</f>
        <v>#VALUE!</v>
      </c>
      <c r="AO269" t="e">
        <f>Europe!D565+"n/&gt;!/cp"</f>
        <v>#VALUE!</v>
      </c>
      <c r="AP269" t="e">
        <f>Europe!E565+"n/&gt;!/cq"</f>
        <v>#VALUE!</v>
      </c>
      <c r="AQ269" t="e">
        <f>Europe!F565+"n/&gt;!/cr"</f>
        <v>#VALUE!</v>
      </c>
      <c r="AR269" t="e">
        <f>Europe!G565+"n/&gt;!/cs"</f>
        <v>#VALUE!</v>
      </c>
      <c r="AS269" t="e">
        <f>Europe!H565+"n/&gt;!/ct"</f>
        <v>#VALUE!</v>
      </c>
      <c r="AT269" t="e">
        <f>Europe!I565+"n/&gt;!/cu"</f>
        <v>#VALUE!</v>
      </c>
      <c r="AU269" t="e">
        <f>Europe!A566+"n/&gt;!/cv"</f>
        <v>#VALUE!</v>
      </c>
      <c r="AV269" t="e">
        <f>Europe!B566+"n/&gt;!/cw"</f>
        <v>#VALUE!</v>
      </c>
      <c r="AW269" t="e">
        <f>Europe!C566+"n/&gt;!/cx"</f>
        <v>#VALUE!</v>
      </c>
      <c r="AX269" t="e">
        <f>Europe!D566+"n/&gt;!/cy"</f>
        <v>#VALUE!</v>
      </c>
      <c r="AY269" t="e">
        <f>Europe!E566+"n/&gt;!/cz"</f>
        <v>#VALUE!</v>
      </c>
      <c r="AZ269" t="e">
        <f>Europe!F566+"n/&gt;!/c{"</f>
        <v>#VALUE!</v>
      </c>
      <c r="BA269" t="e">
        <f>Europe!G566+"n/&gt;!/c|"</f>
        <v>#VALUE!</v>
      </c>
      <c r="BB269" t="e">
        <f>Europe!H566+"n/&gt;!/c}"</f>
        <v>#VALUE!</v>
      </c>
      <c r="BC269" t="e">
        <f>Europe!I566+"n/&gt;!/c~"</f>
        <v>#VALUE!</v>
      </c>
      <c r="BD269" t="e">
        <f>Europe!A567+"n/&gt;!/d#"</f>
        <v>#VALUE!</v>
      </c>
      <c r="BE269" t="e">
        <f>Europe!B567+"n/&gt;!/d$"</f>
        <v>#VALUE!</v>
      </c>
      <c r="BF269" t="e">
        <f>Europe!C567+"n/&gt;!/d%"</f>
        <v>#VALUE!</v>
      </c>
      <c r="BG269" t="e">
        <f>Europe!D567+"n/&gt;!/d&amp;"</f>
        <v>#VALUE!</v>
      </c>
      <c r="BH269" t="e">
        <f>Europe!E567+"n/&gt;!/d'"</f>
        <v>#VALUE!</v>
      </c>
      <c r="BI269" t="e">
        <f>Europe!F567+"n/&gt;!/d("</f>
        <v>#VALUE!</v>
      </c>
      <c r="BJ269" t="e">
        <f>Europe!G567+"n/&gt;!/d)"</f>
        <v>#VALUE!</v>
      </c>
      <c r="BK269" t="e">
        <f>Europe!H567+"n/&gt;!/d."</f>
        <v>#VALUE!</v>
      </c>
      <c r="BL269" t="e">
        <f>Europe!I567+"n/&gt;!/d/"</f>
        <v>#VALUE!</v>
      </c>
      <c r="BM269" t="e">
        <f>Europe!A568+"n/&gt;!/d0"</f>
        <v>#VALUE!</v>
      </c>
      <c r="BN269" t="e">
        <f>Europe!B568+"n/&gt;!/d1"</f>
        <v>#VALUE!</v>
      </c>
      <c r="BO269" t="e">
        <f>Europe!C568+"n/&gt;!/d2"</f>
        <v>#VALUE!</v>
      </c>
      <c r="BP269" t="e">
        <f>Europe!D568+"n/&gt;!/d3"</f>
        <v>#VALUE!</v>
      </c>
      <c r="BQ269" t="e">
        <f>Europe!E568+"n/&gt;!/d4"</f>
        <v>#VALUE!</v>
      </c>
      <c r="BR269" t="e">
        <f>Europe!F568+"n/&gt;!/d5"</f>
        <v>#VALUE!</v>
      </c>
      <c r="BS269" t="e">
        <f>Europe!G568+"n/&gt;!/d6"</f>
        <v>#VALUE!</v>
      </c>
      <c r="BT269" t="e">
        <f>Europe!H568+"n/&gt;!/d7"</f>
        <v>#VALUE!</v>
      </c>
      <c r="BU269" t="e">
        <f>Europe!I568+"n/&gt;!/d8"</f>
        <v>#VALUE!</v>
      </c>
      <c r="BV269" t="e">
        <f>Europe!A569+"n/&gt;!/d9"</f>
        <v>#VALUE!</v>
      </c>
      <c r="BW269" t="e">
        <f>Europe!B569+"n/&gt;!/d:"</f>
        <v>#VALUE!</v>
      </c>
      <c r="BX269" t="e">
        <f>Europe!C569+"n/&gt;!/d;"</f>
        <v>#VALUE!</v>
      </c>
      <c r="BY269" t="e">
        <f>Europe!D569+"n/&gt;!/d&lt;"</f>
        <v>#VALUE!</v>
      </c>
      <c r="BZ269" t="e">
        <f>Europe!E569+"n/&gt;!/d="</f>
        <v>#VALUE!</v>
      </c>
      <c r="CA269" t="e">
        <f>Europe!F569+"n/&gt;!/d&gt;"</f>
        <v>#VALUE!</v>
      </c>
      <c r="CB269" t="e">
        <f>Europe!G569+"n/&gt;!/d?"</f>
        <v>#VALUE!</v>
      </c>
      <c r="CC269" t="e">
        <f>Europe!H569+"n/&gt;!/d@"</f>
        <v>#VALUE!</v>
      </c>
      <c r="CD269" t="e">
        <f>Europe!I569+"n/&gt;!/dA"</f>
        <v>#VALUE!</v>
      </c>
      <c r="CE269" t="e">
        <f>Europe!A570+"n/&gt;!/dB"</f>
        <v>#VALUE!</v>
      </c>
      <c r="CF269" t="e">
        <f>Europe!B570+"n/&gt;!/dC"</f>
        <v>#VALUE!</v>
      </c>
      <c r="CG269" t="e">
        <f>Europe!C570+"n/&gt;!/dD"</f>
        <v>#VALUE!</v>
      </c>
      <c r="CH269" t="e">
        <f>Europe!D570+"n/&gt;!/dE"</f>
        <v>#VALUE!</v>
      </c>
      <c r="CI269" t="e">
        <f>Europe!E570+"n/&gt;!/dF"</f>
        <v>#VALUE!</v>
      </c>
      <c r="CJ269" t="e">
        <f>Europe!F570+"n/&gt;!/dG"</f>
        <v>#VALUE!</v>
      </c>
      <c r="CK269" t="e">
        <f>Europe!G570+"n/&gt;!/dH"</f>
        <v>#VALUE!</v>
      </c>
      <c r="CL269" t="e">
        <f>Europe!H570+"n/&gt;!/dI"</f>
        <v>#VALUE!</v>
      </c>
      <c r="CM269" t="e">
        <f>Europe!I570+"n/&gt;!/dJ"</f>
        <v>#VALUE!</v>
      </c>
      <c r="CN269" t="e">
        <f>Europe!A571+"n/&gt;!/dK"</f>
        <v>#VALUE!</v>
      </c>
      <c r="CO269" t="e">
        <f>Europe!B571+"n/&gt;!/dL"</f>
        <v>#VALUE!</v>
      </c>
      <c r="CP269" t="e">
        <f>Europe!C571+"n/&gt;!/dM"</f>
        <v>#VALUE!</v>
      </c>
      <c r="CQ269" t="e">
        <f>Europe!D571+"n/&gt;!/dN"</f>
        <v>#VALUE!</v>
      </c>
      <c r="CR269" t="e">
        <f>Europe!E571+"n/&gt;!/dO"</f>
        <v>#VALUE!</v>
      </c>
      <c r="CS269" t="e">
        <f>Europe!F571+"n/&gt;!/dP"</f>
        <v>#VALUE!</v>
      </c>
      <c r="CT269" t="e">
        <f>Europe!G571+"n/&gt;!/dQ"</f>
        <v>#VALUE!</v>
      </c>
      <c r="CU269" t="e">
        <f>Europe!H571+"n/&gt;!/dR"</f>
        <v>#VALUE!</v>
      </c>
      <c r="CV269" t="e">
        <f>Europe!I571+"n/&gt;!/dS"</f>
        <v>#VALUE!</v>
      </c>
      <c r="CW269" t="e">
        <f>Europe!A572+"n/&gt;!/dT"</f>
        <v>#VALUE!</v>
      </c>
      <c r="CX269" t="e">
        <f>Europe!B572+"n/&gt;!/dU"</f>
        <v>#VALUE!</v>
      </c>
      <c r="CY269" t="e">
        <f>Europe!C572+"n/&gt;!/dV"</f>
        <v>#VALUE!</v>
      </c>
      <c r="CZ269" t="e">
        <f>Europe!D572+"n/&gt;!/dW"</f>
        <v>#VALUE!</v>
      </c>
      <c r="DA269" t="e">
        <f>Europe!E572+"n/&gt;!/dX"</f>
        <v>#VALUE!</v>
      </c>
      <c r="DB269" t="e">
        <f>Europe!F572+"n/&gt;!/dY"</f>
        <v>#VALUE!</v>
      </c>
      <c r="DC269" t="e">
        <f>Europe!G572+"n/&gt;!/dZ"</f>
        <v>#VALUE!</v>
      </c>
      <c r="DD269" t="e">
        <f>Europe!H572+"n/&gt;!/d["</f>
        <v>#VALUE!</v>
      </c>
      <c r="DE269" t="e">
        <f>Europe!I572+"n/&gt;!/d\"</f>
        <v>#VALUE!</v>
      </c>
      <c r="DF269" t="e">
        <f>Europe!A573+"n/&gt;!/d]"</f>
        <v>#VALUE!</v>
      </c>
      <c r="DG269" t="e">
        <f>Europe!B573+"n/&gt;!/d^"</f>
        <v>#VALUE!</v>
      </c>
      <c r="DH269" t="e">
        <f>Europe!C573+"n/&gt;!/d_"</f>
        <v>#VALUE!</v>
      </c>
      <c r="DI269" t="e">
        <f>Europe!D573+"n/&gt;!/d`"</f>
        <v>#VALUE!</v>
      </c>
      <c r="DJ269" t="e">
        <f>Europe!E573+"n/&gt;!/da"</f>
        <v>#VALUE!</v>
      </c>
      <c r="DK269" t="e">
        <f>Europe!F573+"n/&gt;!/db"</f>
        <v>#VALUE!</v>
      </c>
      <c r="DL269" t="e">
        <f>Europe!G573+"n/&gt;!/dc"</f>
        <v>#VALUE!</v>
      </c>
      <c r="DM269" t="e">
        <f>Europe!H573+"n/&gt;!/dd"</f>
        <v>#VALUE!</v>
      </c>
      <c r="DN269" t="e">
        <f>Europe!I573+"n/&gt;!/de"</f>
        <v>#VALUE!</v>
      </c>
      <c r="DO269" t="e">
        <f>Europe!A574+"n/&gt;!/df"</f>
        <v>#VALUE!</v>
      </c>
      <c r="DP269" t="e">
        <f>Europe!B574+"n/&gt;!/dg"</f>
        <v>#VALUE!</v>
      </c>
      <c r="DQ269" t="e">
        <f>Europe!C574+"n/&gt;!/dh"</f>
        <v>#VALUE!</v>
      </c>
      <c r="DR269" t="e">
        <f>Europe!D574+"n/&gt;!/di"</f>
        <v>#VALUE!</v>
      </c>
      <c r="DS269" t="e">
        <f>Europe!E574+"n/&gt;!/dj"</f>
        <v>#VALUE!</v>
      </c>
      <c r="DT269" t="e">
        <f>Europe!F574+"n/&gt;!/dk"</f>
        <v>#VALUE!</v>
      </c>
      <c r="DU269" t="e">
        <f>Europe!G574+"n/&gt;!/dl"</f>
        <v>#VALUE!</v>
      </c>
      <c r="DV269" t="e">
        <f>Europe!H574+"n/&gt;!/dm"</f>
        <v>#VALUE!</v>
      </c>
      <c r="DW269" t="e">
        <f>Europe!I574+"n/&gt;!/dn"</f>
        <v>#VALUE!</v>
      </c>
      <c r="DX269" t="e">
        <f>Europe!A575+"n/&gt;!/do"</f>
        <v>#VALUE!</v>
      </c>
      <c r="DY269" t="e">
        <f>Europe!B575+"n/&gt;!/dp"</f>
        <v>#VALUE!</v>
      </c>
      <c r="DZ269" t="e">
        <f>Europe!C575+"n/&gt;!/dq"</f>
        <v>#VALUE!</v>
      </c>
      <c r="EA269" t="e">
        <f>Europe!D575+"n/&gt;!/dr"</f>
        <v>#VALUE!</v>
      </c>
      <c r="EB269" t="e">
        <f>Europe!E575+"n/&gt;!/ds"</f>
        <v>#VALUE!</v>
      </c>
      <c r="EC269" t="e">
        <f>Europe!F575+"n/&gt;!/dt"</f>
        <v>#VALUE!</v>
      </c>
      <c r="ED269" t="e">
        <f>Europe!G575+"n/&gt;!/du"</f>
        <v>#VALUE!</v>
      </c>
      <c r="EE269" t="e">
        <f>Europe!H575+"n/&gt;!/dv"</f>
        <v>#VALUE!</v>
      </c>
      <c r="EF269" t="e">
        <f>Europe!I575+"n/&gt;!/dw"</f>
        <v>#VALUE!</v>
      </c>
      <c r="EG269" t="e">
        <f>Europe!A576+"n/&gt;!/dx"</f>
        <v>#VALUE!</v>
      </c>
      <c r="EH269" t="e">
        <f>Europe!B576+"n/&gt;!/dy"</f>
        <v>#VALUE!</v>
      </c>
      <c r="EI269" t="e">
        <f>Europe!C576+"n/&gt;!/dz"</f>
        <v>#VALUE!</v>
      </c>
      <c r="EJ269" t="e">
        <f>Europe!D576+"n/&gt;!/d{"</f>
        <v>#VALUE!</v>
      </c>
      <c r="EK269" t="e">
        <f>Europe!E576+"n/&gt;!/d|"</f>
        <v>#VALUE!</v>
      </c>
      <c r="EL269" t="e">
        <f>Europe!F576+"n/&gt;!/d}"</f>
        <v>#VALUE!</v>
      </c>
      <c r="EM269" t="e">
        <f>Europe!G576+"n/&gt;!/d~"</f>
        <v>#VALUE!</v>
      </c>
      <c r="EN269" t="e">
        <f>Europe!H576+"n/&gt;!/e#"</f>
        <v>#VALUE!</v>
      </c>
      <c r="EO269" t="e">
        <f>Europe!I576+"n/&gt;!/e$"</f>
        <v>#VALUE!</v>
      </c>
      <c r="EP269" t="e">
        <f>Europe!A577+"n/&gt;!/e%"</f>
        <v>#VALUE!</v>
      </c>
      <c r="EQ269" t="e">
        <f>Europe!B577+"n/&gt;!/e&amp;"</f>
        <v>#VALUE!</v>
      </c>
      <c r="ER269" t="e">
        <f>Europe!C577+"n/&gt;!/e'"</f>
        <v>#VALUE!</v>
      </c>
      <c r="ES269" t="e">
        <f>Europe!D577+"n/&gt;!/e("</f>
        <v>#VALUE!</v>
      </c>
      <c r="ET269" t="e">
        <f>Europe!E577+"n/&gt;!/e)"</f>
        <v>#VALUE!</v>
      </c>
      <c r="EU269" t="e">
        <f>Europe!F577+"n/&gt;!/e."</f>
        <v>#VALUE!</v>
      </c>
      <c r="EV269" t="e">
        <f>Europe!G577+"n/&gt;!/e/"</f>
        <v>#VALUE!</v>
      </c>
      <c r="EW269" t="e">
        <f>Europe!H577+"n/&gt;!/e0"</f>
        <v>#VALUE!</v>
      </c>
      <c r="EX269" t="e">
        <f>Europe!I577+"n/&gt;!/e1"</f>
        <v>#VALUE!</v>
      </c>
      <c r="EY269" t="e">
        <f>Europe!A578+"n/&gt;!/e2"</f>
        <v>#VALUE!</v>
      </c>
      <c r="EZ269" t="e">
        <f>Europe!B578+"n/&gt;!/e3"</f>
        <v>#VALUE!</v>
      </c>
      <c r="FA269" t="e">
        <f>Europe!C578+"n/&gt;!/e4"</f>
        <v>#VALUE!</v>
      </c>
      <c r="FB269" t="e">
        <f>Europe!D578+"n/&gt;!/e5"</f>
        <v>#VALUE!</v>
      </c>
      <c r="FC269" t="e">
        <f>Europe!E578+"n/&gt;!/e6"</f>
        <v>#VALUE!</v>
      </c>
      <c r="FD269" t="e">
        <f>Europe!F578+"n/&gt;!/e7"</f>
        <v>#VALUE!</v>
      </c>
      <c r="FE269" t="e">
        <f>Europe!G578+"n/&gt;!/e8"</f>
        <v>#VALUE!</v>
      </c>
      <c r="FF269" t="e">
        <f>Europe!H578+"n/&gt;!/e9"</f>
        <v>#VALUE!</v>
      </c>
      <c r="FG269" t="e">
        <f>Europe!I578+"n/&gt;!/e:"</f>
        <v>#VALUE!</v>
      </c>
      <c r="FH269" t="e">
        <f>Europe!A579+"n/&gt;!/e;"</f>
        <v>#VALUE!</v>
      </c>
      <c r="FI269" t="e">
        <f>Europe!B579+"n/&gt;!/e&lt;"</f>
        <v>#VALUE!</v>
      </c>
      <c r="FJ269" t="e">
        <f>Europe!C579+"n/&gt;!/e="</f>
        <v>#VALUE!</v>
      </c>
      <c r="FK269" t="e">
        <f>Europe!D579+"n/&gt;!/e&gt;"</f>
        <v>#VALUE!</v>
      </c>
      <c r="FL269" t="e">
        <f>Europe!E579+"n/&gt;!/e?"</f>
        <v>#VALUE!</v>
      </c>
      <c r="FM269" t="e">
        <f>Europe!F579+"n/&gt;!/e@"</f>
        <v>#VALUE!</v>
      </c>
      <c r="FN269" t="e">
        <f>Europe!G579+"n/&gt;!/eA"</f>
        <v>#VALUE!</v>
      </c>
      <c r="FO269" t="e">
        <f>Europe!H579+"n/&gt;!/eB"</f>
        <v>#VALUE!</v>
      </c>
      <c r="FP269" t="e">
        <f>Europe!I579+"n/&gt;!/eC"</f>
        <v>#VALUE!</v>
      </c>
      <c r="FQ269" t="e">
        <f>Europe!A580+"n/&gt;!/eD"</f>
        <v>#VALUE!</v>
      </c>
      <c r="FR269" t="e">
        <f>Europe!B580+"n/&gt;!/eE"</f>
        <v>#VALUE!</v>
      </c>
      <c r="FS269" t="e">
        <f>Europe!C580+"n/&gt;!/eF"</f>
        <v>#VALUE!</v>
      </c>
      <c r="FT269" t="e">
        <f>Europe!D580+"n/&gt;!/eG"</f>
        <v>#VALUE!</v>
      </c>
      <c r="FU269" t="e">
        <f>Europe!E580+"n/&gt;!/eH"</f>
        <v>#VALUE!</v>
      </c>
      <c r="FV269" t="e">
        <f>Europe!F580+"n/&gt;!/eI"</f>
        <v>#VALUE!</v>
      </c>
      <c r="FW269" t="e">
        <f>Europe!G580+"n/&gt;!/eJ"</f>
        <v>#VALUE!</v>
      </c>
      <c r="FX269" t="e">
        <f>Europe!H580+"n/&gt;!/eK"</f>
        <v>#VALUE!</v>
      </c>
      <c r="FY269" t="e">
        <f>Europe!I580+"n/&gt;!/eL"</f>
        <v>#VALUE!</v>
      </c>
      <c r="FZ269" t="e">
        <f>Europe!A581+"n/&gt;!/eM"</f>
        <v>#VALUE!</v>
      </c>
      <c r="GA269" t="e">
        <f>Europe!B581+"n/&gt;!/eN"</f>
        <v>#VALUE!</v>
      </c>
      <c r="GB269" t="e">
        <f>Europe!C581+"n/&gt;!/eO"</f>
        <v>#VALUE!</v>
      </c>
      <c r="GC269" t="e">
        <f>Europe!D581+"n/&gt;!/eP"</f>
        <v>#VALUE!</v>
      </c>
      <c r="GD269" t="e">
        <f>Europe!E581+"n/&gt;!/eQ"</f>
        <v>#VALUE!</v>
      </c>
      <c r="GE269" t="e">
        <f>Europe!F581+"n/&gt;!/eR"</f>
        <v>#VALUE!</v>
      </c>
      <c r="GF269" t="e">
        <f>Europe!G581+"n/&gt;!/eS"</f>
        <v>#VALUE!</v>
      </c>
      <c r="GG269" t="e">
        <f>Europe!H581+"n/&gt;!/eT"</f>
        <v>#VALUE!</v>
      </c>
      <c r="GH269" t="e">
        <f>Europe!I581+"n/&gt;!/eU"</f>
        <v>#VALUE!</v>
      </c>
      <c r="GI269" t="e">
        <f>Europe!A582+"n/&gt;!/eV"</f>
        <v>#VALUE!</v>
      </c>
      <c r="GJ269" t="e">
        <f>Europe!B582+"n/&gt;!/eW"</f>
        <v>#VALUE!</v>
      </c>
      <c r="GK269" t="e">
        <f>Europe!C582+"n/&gt;!/eX"</f>
        <v>#VALUE!</v>
      </c>
      <c r="GL269" t="e">
        <f>Europe!D582+"n/&gt;!/eY"</f>
        <v>#VALUE!</v>
      </c>
      <c r="GM269" t="e">
        <f>Europe!E582+"n/&gt;!/eZ"</f>
        <v>#VALUE!</v>
      </c>
      <c r="GN269" t="e">
        <f>Europe!F582+"n/&gt;!/e["</f>
        <v>#VALUE!</v>
      </c>
      <c r="GO269" t="e">
        <f>Europe!G582+"n/&gt;!/e\"</f>
        <v>#VALUE!</v>
      </c>
      <c r="GP269" t="e">
        <f>Europe!H582+"n/&gt;!/e]"</f>
        <v>#VALUE!</v>
      </c>
      <c r="GQ269" t="e">
        <f>Europe!I582+"n/&gt;!/e^"</f>
        <v>#VALUE!</v>
      </c>
      <c r="GR269" t="e">
        <f>Europe!A583+"n/&gt;!/e_"</f>
        <v>#VALUE!</v>
      </c>
      <c r="GS269" t="e">
        <f>Europe!B583+"n/&gt;!/e`"</f>
        <v>#VALUE!</v>
      </c>
      <c r="GT269" t="e">
        <f>Europe!C583+"n/&gt;!/ea"</f>
        <v>#VALUE!</v>
      </c>
      <c r="GU269" t="e">
        <f>Europe!D583+"n/&gt;!/eb"</f>
        <v>#VALUE!</v>
      </c>
      <c r="GV269" t="e">
        <f>Europe!E583+"n/&gt;!/ec"</f>
        <v>#VALUE!</v>
      </c>
      <c r="GW269" t="e">
        <f>Europe!F583+"n/&gt;!/ed"</f>
        <v>#VALUE!</v>
      </c>
      <c r="GX269" t="e">
        <f>Europe!G583+"n/&gt;!/ee"</f>
        <v>#VALUE!</v>
      </c>
      <c r="GY269" t="e">
        <f>Europe!H583+"n/&gt;!/ef"</f>
        <v>#VALUE!</v>
      </c>
      <c r="GZ269" t="e">
        <f>Europe!I583+"n/&gt;!/eg"</f>
        <v>#VALUE!</v>
      </c>
      <c r="HA269" t="e">
        <f>Europe!A584+"n/&gt;!/eh"</f>
        <v>#VALUE!</v>
      </c>
      <c r="HB269" t="e">
        <f>Europe!B584+"n/&gt;!/ei"</f>
        <v>#VALUE!</v>
      </c>
      <c r="HC269" t="e">
        <f>Europe!C584+"n/&gt;!/ej"</f>
        <v>#VALUE!</v>
      </c>
      <c r="HD269" t="e">
        <f>Europe!D584+"n/&gt;!/ek"</f>
        <v>#VALUE!</v>
      </c>
      <c r="HE269" t="e">
        <f>Europe!E584+"n/&gt;!/el"</f>
        <v>#VALUE!</v>
      </c>
      <c r="HF269" t="e">
        <f>Europe!F584+"n/&gt;!/em"</f>
        <v>#VALUE!</v>
      </c>
      <c r="HG269" t="e">
        <f>Europe!G584+"n/&gt;!/en"</f>
        <v>#VALUE!</v>
      </c>
      <c r="HH269" t="e">
        <f>Europe!H584+"n/&gt;!/eo"</f>
        <v>#VALUE!</v>
      </c>
      <c r="HI269" t="e">
        <f>Europe!I584+"n/&gt;!/ep"</f>
        <v>#VALUE!</v>
      </c>
      <c r="HJ269" t="e">
        <f>Europe!A585+"n/&gt;!/eq"</f>
        <v>#VALUE!</v>
      </c>
      <c r="HK269" t="e">
        <f>Europe!B585+"n/&gt;!/er"</f>
        <v>#VALUE!</v>
      </c>
      <c r="HL269" t="e">
        <f>Europe!C585+"n/&gt;!/es"</f>
        <v>#VALUE!</v>
      </c>
      <c r="HM269" t="e">
        <f>Europe!D585+"n/&gt;!/et"</f>
        <v>#VALUE!</v>
      </c>
      <c r="HN269" t="e">
        <f>Europe!E585+"n/&gt;!/eu"</f>
        <v>#VALUE!</v>
      </c>
      <c r="HO269" t="e">
        <f>Europe!F585+"n/&gt;!/ev"</f>
        <v>#VALUE!</v>
      </c>
      <c r="HP269" t="e">
        <f>Europe!G585+"n/&gt;!/ew"</f>
        <v>#VALUE!</v>
      </c>
      <c r="HQ269" t="e">
        <f>Europe!H585+"n/&gt;!/ex"</f>
        <v>#VALUE!</v>
      </c>
      <c r="HR269" t="e">
        <f>Europe!I585+"n/&gt;!/ey"</f>
        <v>#VALUE!</v>
      </c>
      <c r="HS269" t="e">
        <f>Europe!A586+"n/&gt;!/ez"</f>
        <v>#VALUE!</v>
      </c>
      <c r="HT269" t="e">
        <f>Europe!B586+"n/&gt;!/e{"</f>
        <v>#VALUE!</v>
      </c>
      <c r="HU269" t="e">
        <f>Europe!C586+"n/&gt;!/e|"</f>
        <v>#VALUE!</v>
      </c>
      <c r="HV269" t="e">
        <f>Europe!D586+"n/&gt;!/e}"</f>
        <v>#VALUE!</v>
      </c>
      <c r="HW269" t="e">
        <f>Europe!E586+"n/&gt;!/e~"</f>
        <v>#VALUE!</v>
      </c>
      <c r="HX269" t="e">
        <f>Europe!F586+"n/&gt;!/f#"</f>
        <v>#VALUE!</v>
      </c>
      <c r="HY269" t="e">
        <f>Europe!G586+"n/&gt;!/f$"</f>
        <v>#VALUE!</v>
      </c>
      <c r="HZ269" t="e">
        <f>Europe!H586+"n/&gt;!/f%"</f>
        <v>#VALUE!</v>
      </c>
      <c r="IA269" t="e">
        <f>Europe!I586+"n/&gt;!/f&amp;"</f>
        <v>#VALUE!</v>
      </c>
      <c r="IB269" t="e">
        <f>Europe!A587+"n/&gt;!/f'"</f>
        <v>#VALUE!</v>
      </c>
      <c r="IC269" t="e">
        <f>Europe!B587+"n/&gt;!/f("</f>
        <v>#VALUE!</v>
      </c>
      <c r="ID269" t="e">
        <f>Europe!C587+"n/&gt;!/f)"</f>
        <v>#VALUE!</v>
      </c>
      <c r="IE269" t="e">
        <f>Europe!D587+"n/&gt;!/f."</f>
        <v>#VALUE!</v>
      </c>
      <c r="IF269" t="e">
        <f>Europe!E587+"n/&gt;!/f/"</f>
        <v>#VALUE!</v>
      </c>
      <c r="IG269" t="e">
        <f>Europe!F587+"n/&gt;!/f0"</f>
        <v>#VALUE!</v>
      </c>
      <c r="IH269" t="e">
        <f>Europe!G587+"n/&gt;!/f1"</f>
        <v>#VALUE!</v>
      </c>
      <c r="II269" t="e">
        <f>Europe!H587+"n/&gt;!/f2"</f>
        <v>#VALUE!</v>
      </c>
      <c r="IJ269" t="e">
        <f>Europe!I587+"n/&gt;!/f3"</f>
        <v>#VALUE!</v>
      </c>
      <c r="IK269" t="e">
        <f>Europe!A588+"n/&gt;!/f4"</f>
        <v>#VALUE!</v>
      </c>
      <c r="IL269" t="e">
        <f>Europe!B588+"n/&gt;!/f5"</f>
        <v>#VALUE!</v>
      </c>
      <c r="IM269" t="e">
        <f>Europe!C588+"n/&gt;!/f6"</f>
        <v>#VALUE!</v>
      </c>
      <c r="IN269" t="e">
        <f>Europe!D588+"n/&gt;!/f7"</f>
        <v>#VALUE!</v>
      </c>
      <c r="IO269" t="e">
        <f>Europe!E588+"n/&gt;!/f8"</f>
        <v>#VALUE!</v>
      </c>
      <c r="IP269" t="e">
        <f>Europe!F588+"n/&gt;!/f9"</f>
        <v>#VALUE!</v>
      </c>
      <c r="IQ269" t="e">
        <f>Europe!G588+"n/&gt;!/f:"</f>
        <v>#VALUE!</v>
      </c>
      <c r="IR269" t="e">
        <f>Europe!H588+"n/&gt;!/f;"</f>
        <v>#VALUE!</v>
      </c>
      <c r="IS269" t="e">
        <f>Europe!I588+"n/&gt;!/f&lt;"</f>
        <v>#VALUE!</v>
      </c>
      <c r="IT269" t="e">
        <f>Europe!A589+"n/&gt;!/f="</f>
        <v>#VALUE!</v>
      </c>
      <c r="IU269" t="e">
        <f>Europe!B589+"n/&gt;!/f&gt;"</f>
        <v>#VALUE!</v>
      </c>
      <c r="IV269" t="e">
        <f>Europe!C589+"n/&gt;!/f?"</f>
        <v>#VALUE!</v>
      </c>
    </row>
    <row r="270" spans="6:256" x14ac:dyDescent="0.35">
      <c r="F270" t="e">
        <f>Europe!D589+"n/&gt;!/f@"</f>
        <v>#VALUE!</v>
      </c>
      <c r="G270" t="e">
        <f>Europe!E589+"n/&gt;!/fA"</f>
        <v>#VALUE!</v>
      </c>
      <c r="H270" t="e">
        <f>Europe!F589+"n/&gt;!/fB"</f>
        <v>#VALUE!</v>
      </c>
      <c r="I270" t="e">
        <f>Europe!G589+"n/&gt;!/fC"</f>
        <v>#VALUE!</v>
      </c>
      <c r="J270" t="e">
        <f>Europe!H589+"n/&gt;!/fD"</f>
        <v>#VALUE!</v>
      </c>
      <c r="K270" t="e">
        <f>Europe!I589+"n/&gt;!/fE"</f>
        <v>#VALUE!</v>
      </c>
      <c r="L270" t="e">
        <f>Europe!A590+"n/&gt;!/fF"</f>
        <v>#VALUE!</v>
      </c>
      <c r="M270" t="e">
        <f>Europe!B590+"n/&gt;!/fG"</f>
        <v>#VALUE!</v>
      </c>
      <c r="N270" t="e">
        <f>Europe!C590+"n/&gt;!/fH"</f>
        <v>#VALUE!</v>
      </c>
      <c r="O270" t="e">
        <f>Europe!D590+"n/&gt;!/fI"</f>
        <v>#VALUE!</v>
      </c>
      <c r="P270" t="e">
        <f>Europe!E590+"n/&gt;!/fJ"</f>
        <v>#VALUE!</v>
      </c>
      <c r="Q270" t="e">
        <f>Europe!F590+"n/&gt;!/fK"</f>
        <v>#VALUE!</v>
      </c>
      <c r="R270" t="e">
        <f>Europe!G590+"n/&gt;!/fL"</f>
        <v>#VALUE!</v>
      </c>
      <c r="S270" t="e">
        <f>Europe!H590+"n/&gt;!/fM"</f>
        <v>#VALUE!</v>
      </c>
      <c r="T270" t="e">
        <f>Europe!I590+"n/&gt;!/fN"</f>
        <v>#VALUE!</v>
      </c>
      <c r="U270" t="e">
        <f>Europe!A591+"n/&gt;!/fO"</f>
        <v>#VALUE!</v>
      </c>
      <c r="V270" t="e">
        <f>Europe!B591+"n/&gt;!/fP"</f>
        <v>#VALUE!</v>
      </c>
      <c r="W270" t="e">
        <f>Europe!C591+"n/&gt;!/fQ"</f>
        <v>#VALUE!</v>
      </c>
      <c r="X270" t="e">
        <f>Europe!D591+"n/&gt;!/fR"</f>
        <v>#VALUE!</v>
      </c>
      <c r="Y270" t="e">
        <f>Europe!E591+"n/&gt;!/fS"</f>
        <v>#VALUE!</v>
      </c>
      <c r="Z270" t="e">
        <f>Europe!F591+"n/&gt;!/fT"</f>
        <v>#VALUE!</v>
      </c>
      <c r="AA270" t="e">
        <f>Europe!G591+"n/&gt;!/fU"</f>
        <v>#VALUE!</v>
      </c>
      <c r="AB270" t="e">
        <f>Europe!H591+"n/&gt;!/fV"</f>
        <v>#VALUE!</v>
      </c>
      <c r="AC270" t="e">
        <f>Europe!I591+"n/&gt;!/fW"</f>
        <v>#VALUE!</v>
      </c>
      <c r="AD270" t="e">
        <f>Europe!A592+"n/&gt;!/fX"</f>
        <v>#VALUE!</v>
      </c>
      <c r="AE270" t="e">
        <f>Europe!B592+"n/&gt;!/fY"</f>
        <v>#VALUE!</v>
      </c>
      <c r="AF270" t="e">
        <f>Europe!C592+"n/&gt;!/fZ"</f>
        <v>#VALUE!</v>
      </c>
      <c r="AG270" t="e">
        <f>Europe!D592+"n/&gt;!/f["</f>
        <v>#VALUE!</v>
      </c>
      <c r="AH270" t="e">
        <f>Europe!E592+"n/&gt;!/f\"</f>
        <v>#VALUE!</v>
      </c>
      <c r="AI270" t="e">
        <f>Europe!F592+"n/&gt;!/f]"</f>
        <v>#VALUE!</v>
      </c>
      <c r="AJ270" t="e">
        <f>Europe!G592+"n/&gt;!/f^"</f>
        <v>#VALUE!</v>
      </c>
      <c r="AK270" t="e">
        <f>Europe!H592+"n/&gt;!/f_"</f>
        <v>#VALUE!</v>
      </c>
      <c r="AL270" t="e">
        <f>Europe!I592+"n/&gt;!/f`"</f>
        <v>#VALUE!</v>
      </c>
      <c r="AM270" t="e">
        <f>Europe!A593+"n/&gt;!/fa"</f>
        <v>#VALUE!</v>
      </c>
      <c r="AN270" t="e">
        <f>Europe!B593+"n/&gt;!/fb"</f>
        <v>#VALUE!</v>
      </c>
      <c r="AO270" t="e">
        <f>Europe!C593+"n/&gt;!/fc"</f>
        <v>#VALUE!</v>
      </c>
      <c r="AP270" t="e">
        <f>Europe!D593+"n/&gt;!/fd"</f>
        <v>#VALUE!</v>
      </c>
      <c r="AQ270" t="e">
        <f>Europe!E593+"n/&gt;!/fe"</f>
        <v>#VALUE!</v>
      </c>
      <c r="AR270" t="e">
        <f>Europe!F593+"n/&gt;!/ff"</f>
        <v>#VALUE!</v>
      </c>
      <c r="AS270" t="e">
        <f>Europe!G593+"n/&gt;!/fg"</f>
        <v>#VALUE!</v>
      </c>
      <c r="AT270" t="e">
        <f>Europe!H593+"n/&gt;!/fh"</f>
        <v>#VALUE!</v>
      </c>
      <c r="AU270" t="e">
        <f>Europe!I593+"n/&gt;!/fi"</f>
        <v>#VALUE!</v>
      </c>
      <c r="AV270" t="e">
        <f>Europe!A594+"n/&gt;!/fj"</f>
        <v>#VALUE!</v>
      </c>
      <c r="AW270" t="e">
        <f>Europe!B594+"n/&gt;!/fk"</f>
        <v>#VALUE!</v>
      </c>
      <c r="AX270" t="e">
        <f>Europe!C594+"n/&gt;!/fl"</f>
        <v>#VALUE!</v>
      </c>
      <c r="AY270" t="e">
        <f>Europe!D594+"n/&gt;!/fm"</f>
        <v>#VALUE!</v>
      </c>
      <c r="AZ270" t="e">
        <f>Europe!E594+"n/&gt;!/fn"</f>
        <v>#VALUE!</v>
      </c>
      <c r="BA270" t="e">
        <f>Europe!F594+"n/&gt;!/fo"</f>
        <v>#VALUE!</v>
      </c>
      <c r="BB270" t="e">
        <f>Europe!G594+"n/&gt;!/fp"</f>
        <v>#VALUE!</v>
      </c>
      <c r="BC270" t="e">
        <f>Europe!H594+"n/&gt;!/fq"</f>
        <v>#VALUE!</v>
      </c>
      <c r="BD270" t="e">
        <f>Europe!I594+"n/&gt;!/fr"</f>
        <v>#VALUE!</v>
      </c>
      <c r="BE270" t="e">
        <f>Europe!A595+"n/&gt;!/fs"</f>
        <v>#VALUE!</v>
      </c>
      <c r="BF270" t="e">
        <f>Europe!B595+"n/&gt;!/ft"</f>
        <v>#VALUE!</v>
      </c>
      <c r="BG270" t="e">
        <f>Europe!C595+"n/&gt;!/fu"</f>
        <v>#VALUE!</v>
      </c>
      <c r="BH270" t="e">
        <f>Europe!D595+"n/&gt;!/fv"</f>
        <v>#VALUE!</v>
      </c>
      <c r="BI270" t="e">
        <f>Europe!E595+"n/&gt;!/fw"</f>
        <v>#VALUE!</v>
      </c>
      <c r="BJ270" t="e">
        <f>Europe!F595+"n/&gt;!/fx"</f>
        <v>#VALUE!</v>
      </c>
      <c r="BK270" t="e">
        <f>Europe!G595+"n/&gt;!/fy"</f>
        <v>#VALUE!</v>
      </c>
      <c r="BL270" t="e">
        <f>Europe!H595+"n/&gt;!/fz"</f>
        <v>#VALUE!</v>
      </c>
      <c r="BM270" t="e">
        <f>Europe!I595+"n/&gt;!/f{"</f>
        <v>#VALUE!</v>
      </c>
      <c r="BN270" t="e">
        <f>Europe!A596+"n/&gt;!/f|"</f>
        <v>#VALUE!</v>
      </c>
      <c r="BO270" t="e">
        <f>Europe!B596+"n/&gt;!/f}"</f>
        <v>#VALUE!</v>
      </c>
      <c r="BP270" t="e">
        <f>Europe!C596+"n/&gt;!/f~"</f>
        <v>#VALUE!</v>
      </c>
      <c r="BQ270" t="e">
        <f>Europe!D596+"n/&gt;!/g#"</f>
        <v>#VALUE!</v>
      </c>
      <c r="BR270" t="e">
        <f>Europe!E596+"n/&gt;!/g$"</f>
        <v>#VALUE!</v>
      </c>
      <c r="BS270" t="e">
        <f>Europe!F596+"n/&gt;!/g%"</f>
        <v>#VALUE!</v>
      </c>
      <c r="BT270" t="e">
        <f>Europe!G596+"n/&gt;!/g&amp;"</f>
        <v>#VALUE!</v>
      </c>
      <c r="BU270" t="e">
        <f>Europe!H596+"n/&gt;!/g'"</f>
        <v>#VALUE!</v>
      </c>
      <c r="BV270" t="e">
        <f>Europe!I596+"n/&gt;!/g("</f>
        <v>#VALUE!</v>
      </c>
      <c r="BW270" t="e">
        <f>Europe!A597+"n/&gt;!/g)"</f>
        <v>#VALUE!</v>
      </c>
      <c r="BX270" t="e">
        <f>Europe!B597+"n/&gt;!/g."</f>
        <v>#VALUE!</v>
      </c>
      <c r="BY270" t="e">
        <f>Europe!C597+"n/&gt;!/g/"</f>
        <v>#VALUE!</v>
      </c>
      <c r="BZ270" t="e">
        <f>Europe!D597+"n/&gt;!/g0"</f>
        <v>#VALUE!</v>
      </c>
      <c r="CA270" t="e">
        <f>Europe!E597+"n/&gt;!/g1"</f>
        <v>#VALUE!</v>
      </c>
      <c r="CB270" t="e">
        <f>Europe!F597+"n/&gt;!/g2"</f>
        <v>#VALUE!</v>
      </c>
      <c r="CC270" t="e">
        <f>Europe!G597+"n/&gt;!/g3"</f>
        <v>#VALUE!</v>
      </c>
      <c r="CD270" t="e">
        <f>Europe!H597+"n/&gt;!/g4"</f>
        <v>#VALUE!</v>
      </c>
      <c r="CE270" t="e">
        <f>Europe!I597+"n/&gt;!/g5"</f>
        <v>#VALUE!</v>
      </c>
      <c r="CF270" t="e">
        <f>Europe!A598+"n/&gt;!/g6"</f>
        <v>#VALUE!</v>
      </c>
      <c r="CG270" t="e">
        <f>Europe!B598+"n/&gt;!/g7"</f>
        <v>#VALUE!</v>
      </c>
      <c r="CH270" t="e">
        <f>Europe!C598+"n/&gt;!/g8"</f>
        <v>#VALUE!</v>
      </c>
      <c r="CI270" t="e">
        <f>Europe!D598+"n/&gt;!/g9"</f>
        <v>#VALUE!</v>
      </c>
      <c r="CJ270" t="e">
        <f>Europe!E598+"n/&gt;!/g:"</f>
        <v>#VALUE!</v>
      </c>
      <c r="CK270" t="e">
        <f>Europe!F598+"n/&gt;!/g;"</f>
        <v>#VALUE!</v>
      </c>
      <c r="CL270" t="e">
        <f>Europe!G598+"n/&gt;!/g&lt;"</f>
        <v>#VALUE!</v>
      </c>
      <c r="CM270" t="e">
        <f>Europe!H598+"n/&gt;!/g="</f>
        <v>#VALUE!</v>
      </c>
      <c r="CN270" t="e">
        <f>Europe!I598+"n/&gt;!/g&gt;"</f>
        <v>#VALUE!</v>
      </c>
      <c r="CO270" t="e">
        <f>Europe!A599+"n/&gt;!/g?"</f>
        <v>#VALUE!</v>
      </c>
      <c r="CP270" t="e">
        <f>Europe!B599+"n/&gt;!/g@"</f>
        <v>#VALUE!</v>
      </c>
      <c r="CQ270" t="e">
        <f>Europe!C599+"n/&gt;!/gA"</f>
        <v>#VALUE!</v>
      </c>
      <c r="CR270" t="e">
        <f>Europe!D599+"n/&gt;!/gB"</f>
        <v>#VALUE!</v>
      </c>
      <c r="CS270" t="e">
        <f>Europe!E599+"n/&gt;!/gC"</f>
        <v>#VALUE!</v>
      </c>
      <c r="CT270" t="e">
        <f>Europe!F599+"n/&gt;!/gD"</f>
        <v>#VALUE!</v>
      </c>
      <c r="CU270" t="e">
        <f>Europe!G599+"n/&gt;!/gE"</f>
        <v>#VALUE!</v>
      </c>
      <c r="CV270" t="e">
        <f>Europe!H599+"n/&gt;!/gF"</f>
        <v>#VALUE!</v>
      </c>
      <c r="CW270" t="e">
        <f>Europe!I599+"n/&gt;!/gG"</f>
        <v>#VALUE!</v>
      </c>
      <c r="CX270" t="e">
        <f>Europe!A600+"n/&gt;!/gH"</f>
        <v>#VALUE!</v>
      </c>
      <c r="CY270" t="e">
        <f>Europe!B600+"n/&gt;!/gI"</f>
        <v>#VALUE!</v>
      </c>
      <c r="CZ270" t="e">
        <f>Europe!C600+"n/&gt;!/gJ"</f>
        <v>#VALUE!</v>
      </c>
      <c r="DA270" t="e">
        <f>Europe!D600+"n/&gt;!/gK"</f>
        <v>#VALUE!</v>
      </c>
      <c r="DB270" t="e">
        <f>Europe!E600+"n/&gt;!/gL"</f>
        <v>#VALUE!</v>
      </c>
      <c r="DC270" t="e">
        <f>Europe!F600+"n/&gt;!/gM"</f>
        <v>#VALUE!</v>
      </c>
      <c r="DD270" t="e">
        <f>Europe!G600+"n/&gt;!/gN"</f>
        <v>#VALUE!</v>
      </c>
      <c r="DE270" t="e">
        <f>Europe!H600+"n/&gt;!/gO"</f>
        <v>#VALUE!</v>
      </c>
      <c r="DF270" t="e">
        <f>Europe!I600+"n/&gt;!/gP"</f>
        <v>#VALUE!</v>
      </c>
      <c r="DG270" t="e">
        <f>Europe!A601+"n/&gt;!/gQ"</f>
        <v>#VALUE!</v>
      </c>
      <c r="DH270" t="e">
        <f>Europe!B601+"n/&gt;!/gR"</f>
        <v>#VALUE!</v>
      </c>
      <c r="DI270" t="e">
        <f>Europe!C601+"n/&gt;!/gS"</f>
        <v>#VALUE!</v>
      </c>
      <c r="DJ270" t="e">
        <f>Europe!D601+"n/&gt;!/gT"</f>
        <v>#VALUE!</v>
      </c>
      <c r="DK270" t="e">
        <f>Europe!E601+"n/&gt;!/gU"</f>
        <v>#VALUE!</v>
      </c>
      <c r="DL270" t="e">
        <f>Europe!F601+"n/&gt;!/gV"</f>
        <v>#VALUE!</v>
      </c>
      <c r="DM270" t="e">
        <f>Europe!G601+"n/&gt;!/gW"</f>
        <v>#VALUE!</v>
      </c>
      <c r="DN270" t="e">
        <f>Europe!H601+"n/&gt;!/gX"</f>
        <v>#VALUE!</v>
      </c>
      <c r="DO270" t="e">
        <f>Europe!I601+"n/&gt;!/gY"</f>
        <v>#VALUE!</v>
      </c>
      <c r="DP270" t="e">
        <f>Europe!A602+"n/&gt;!/gZ"</f>
        <v>#VALUE!</v>
      </c>
      <c r="DQ270" t="e">
        <f>Europe!B602+"n/&gt;!/g["</f>
        <v>#VALUE!</v>
      </c>
      <c r="DR270" t="e">
        <f>Europe!C602+"n/&gt;!/g\"</f>
        <v>#VALUE!</v>
      </c>
      <c r="DS270" t="e">
        <f>Europe!D602+"n/&gt;!/g]"</f>
        <v>#VALUE!</v>
      </c>
      <c r="DT270" t="e">
        <f>Europe!E602+"n/&gt;!/g^"</f>
        <v>#VALUE!</v>
      </c>
      <c r="DU270" t="e">
        <f>Europe!F602+"n/&gt;!/g_"</f>
        <v>#VALUE!</v>
      </c>
      <c r="DV270" t="e">
        <f>Europe!G602+"n/&gt;!/g`"</f>
        <v>#VALUE!</v>
      </c>
      <c r="DW270" t="e">
        <f>Europe!H602+"n/&gt;!/ga"</f>
        <v>#VALUE!</v>
      </c>
      <c r="DX270" t="e">
        <f>Europe!I602+"n/&gt;!/gb"</f>
        <v>#VALUE!</v>
      </c>
      <c r="DY270" t="e">
        <f>Europe!A603+"n/&gt;!/gc"</f>
        <v>#VALUE!</v>
      </c>
      <c r="DZ270" t="e">
        <f>Europe!B603+"n/&gt;!/gd"</f>
        <v>#VALUE!</v>
      </c>
      <c r="EA270" t="e">
        <f>Europe!C603+"n/&gt;!/ge"</f>
        <v>#VALUE!</v>
      </c>
      <c r="EB270" t="e">
        <f>Europe!D603+"n/&gt;!/gf"</f>
        <v>#VALUE!</v>
      </c>
      <c r="EC270" t="e">
        <f>Europe!E603+"n/&gt;!/gg"</f>
        <v>#VALUE!</v>
      </c>
      <c r="ED270" t="e">
        <f>Europe!F603+"n/&gt;!/gh"</f>
        <v>#VALUE!</v>
      </c>
      <c r="EE270" t="e">
        <f>Europe!G603+"n/&gt;!/gi"</f>
        <v>#VALUE!</v>
      </c>
      <c r="EF270" t="e">
        <f>Europe!H603+"n/&gt;!/gj"</f>
        <v>#VALUE!</v>
      </c>
      <c r="EG270" t="e">
        <f>Europe!I603+"n/&gt;!/gk"</f>
        <v>#VALUE!</v>
      </c>
      <c r="EH270" t="e">
        <f>Europe!A604+"n/&gt;!/gl"</f>
        <v>#VALUE!</v>
      </c>
      <c r="EI270" t="e">
        <f>Europe!B604+"n/&gt;!/gm"</f>
        <v>#VALUE!</v>
      </c>
      <c r="EJ270" t="e">
        <f>Europe!C604+"n/&gt;!/gn"</f>
        <v>#VALUE!</v>
      </c>
      <c r="EK270" t="e">
        <f>Europe!D604+"n/&gt;!/go"</f>
        <v>#VALUE!</v>
      </c>
      <c r="EL270" t="e">
        <f>Europe!E604+"n/&gt;!/gp"</f>
        <v>#VALUE!</v>
      </c>
      <c r="EM270" t="e">
        <f>Europe!F604+"n/&gt;!/gq"</f>
        <v>#VALUE!</v>
      </c>
      <c r="EN270" t="e">
        <f>Europe!G604+"n/&gt;!/gr"</f>
        <v>#VALUE!</v>
      </c>
      <c r="EO270" t="e">
        <f>Europe!H604+"n/&gt;!/gs"</f>
        <v>#VALUE!</v>
      </c>
      <c r="EP270" t="e">
        <f>Europe!I604+"n/&gt;!/gt"</f>
        <v>#VALUE!</v>
      </c>
      <c r="EQ270" t="e">
        <f>Europe!A605+"n/&gt;!/gu"</f>
        <v>#VALUE!</v>
      </c>
      <c r="ER270" t="e">
        <f>Europe!B605+"n/&gt;!/gv"</f>
        <v>#VALUE!</v>
      </c>
      <c r="ES270" t="e">
        <f>Europe!C605+"n/&gt;!/gw"</f>
        <v>#VALUE!</v>
      </c>
      <c r="ET270" t="e">
        <f>Europe!D605+"n/&gt;!/gx"</f>
        <v>#VALUE!</v>
      </c>
      <c r="EU270" t="e">
        <f>Europe!E605+"n/&gt;!/gy"</f>
        <v>#VALUE!</v>
      </c>
      <c r="EV270" t="e">
        <f>Europe!F605+"n/&gt;!/gz"</f>
        <v>#VALUE!</v>
      </c>
      <c r="EW270" t="e">
        <f>Europe!G605+"n/&gt;!/g{"</f>
        <v>#VALUE!</v>
      </c>
      <c r="EX270" t="e">
        <f>Europe!H605+"n/&gt;!/g|"</f>
        <v>#VALUE!</v>
      </c>
      <c r="EY270" t="e">
        <f>Europe!I605+"n/&gt;!/g}"</f>
        <v>#VALUE!</v>
      </c>
      <c r="EZ270" t="e">
        <f>Europe!A606+"n/&gt;!/g~"</f>
        <v>#VALUE!</v>
      </c>
      <c r="FA270" t="e">
        <f>Europe!B606+"n/&gt;!/h#"</f>
        <v>#VALUE!</v>
      </c>
      <c r="FB270" t="e">
        <f>Europe!C606+"n/&gt;!/h$"</f>
        <v>#VALUE!</v>
      </c>
      <c r="FC270" t="e">
        <f>Europe!D606+"n/&gt;!/h%"</f>
        <v>#VALUE!</v>
      </c>
      <c r="FD270" t="e">
        <f>Europe!E606+"n/&gt;!/h&amp;"</f>
        <v>#VALUE!</v>
      </c>
      <c r="FE270" t="e">
        <f>Europe!F606+"n/&gt;!/h'"</f>
        <v>#VALUE!</v>
      </c>
      <c r="FF270" t="e">
        <f>Europe!G606+"n/&gt;!/h("</f>
        <v>#VALUE!</v>
      </c>
      <c r="FG270" t="e">
        <f>Europe!H606+"n/&gt;!/h)"</f>
        <v>#VALUE!</v>
      </c>
      <c r="FH270" t="e">
        <f>Europe!I606+"n/&gt;!/h."</f>
        <v>#VALUE!</v>
      </c>
      <c r="FI270" t="e">
        <f>Europe!A607+"n/&gt;!/h/"</f>
        <v>#VALUE!</v>
      </c>
      <c r="FJ270" t="e">
        <f>Europe!B607+"n/&gt;!/h0"</f>
        <v>#VALUE!</v>
      </c>
      <c r="FK270" t="e">
        <f>Europe!C607+"n/&gt;!/h1"</f>
        <v>#VALUE!</v>
      </c>
      <c r="FL270" t="e">
        <f>Europe!D607+"n/&gt;!/h2"</f>
        <v>#VALUE!</v>
      </c>
      <c r="FM270" t="e">
        <f>Europe!E607+"n/&gt;!/h3"</f>
        <v>#VALUE!</v>
      </c>
      <c r="FN270" t="e">
        <f>Europe!F607+"n/&gt;!/h4"</f>
        <v>#VALUE!</v>
      </c>
      <c r="FO270" t="e">
        <f>Europe!G607+"n/&gt;!/h5"</f>
        <v>#VALUE!</v>
      </c>
      <c r="FP270" t="e">
        <f>Europe!H607+"n/&gt;!/h6"</f>
        <v>#VALUE!</v>
      </c>
      <c r="FQ270" t="e">
        <f>Europe!I607+"n/&gt;!/h7"</f>
        <v>#VALUE!</v>
      </c>
      <c r="FR270" t="e">
        <f>Europe!A608+"n/&gt;!/h8"</f>
        <v>#VALUE!</v>
      </c>
      <c r="FS270" t="e">
        <f>Europe!B608+"n/&gt;!/h9"</f>
        <v>#VALUE!</v>
      </c>
      <c r="FT270" t="e">
        <f>Europe!C608+"n/&gt;!/h:"</f>
        <v>#VALUE!</v>
      </c>
      <c r="FU270" t="e">
        <f>Europe!D608+"n/&gt;!/h;"</f>
        <v>#VALUE!</v>
      </c>
      <c r="FV270" t="e">
        <f>Europe!E608+"n/&gt;!/h&lt;"</f>
        <v>#VALUE!</v>
      </c>
      <c r="FW270" t="e">
        <f>Europe!F608+"n/&gt;!/h="</f>
        <v>#VALUE!</v>
      </c>
      <c r="FX270" t="e">
        <f>Europe!G608+"n/&gt;!/h&gt;"</f>
        <v>#VALUE!</v>
      </c>
      <c r="FY270" t="e">
        <f>Europe!H608+"n/&gt;!/h?"</f>
        <v>#VALUE!</v>
      </c>
      <c r="FZ270" t="e">
        <f>Europe!I608+"n/&gt;!/h@"</f>
        <v>#VALUE!</v>
      </c>
      <c r="GA270" t="e">
        <f>Europe!A609+"n/&gt;!/hA"</f>
        <v>#VALUE!</v>
      </c>
      <c r="GB270" t="e">
        <f>Europe!B609+"n/&gt;!/hB"</f>
        <v>#VALUE!</v>
      </c>
      <c r="GC270" t="e">
        <f>Europe!C609+"n/&gt;!/hC"</f>
        <v>#VALUE!</v>
      </c>
      <c r="GD270" t="e">
        <f>Europe!D609+"n/&gt;!/hD"</f>
        <v>#VALUE!</v>
      </c>
      <c r="GE270" t="e">
        <f>Europe!E609+"n/&gt;!/hE"</f>
        <v>#VALUE!</v>
      </c>
      <c r="GF270" t="e">
        <f>Europe!F609+"n/&gt;!/hF"</f>
        <v>#VALUE!</v>
      </c>
      <c r="GG270" t="e">
        <f>Europe!G609+"n/&gt;!/hG"</f>
        <v>#VALUE!</v>
      </c>
      <c r="GH270" t="e">
        <f>Europe!H609+"n/&gt;!/hH"</f>
        <v>#VALUE!</v>
      </c>
      <c r="GI270" t="e">
        <f>Europe!I609+"n/&gt;!/hI"</f>
        <v>#VALUE!</v>
      </c>
      <c r="GJ270" t="e">
        <f>Europe!A610+"n/&gt;!/hJ"</f>
        <v>#VALUE!</v>
      </c>
      <c r="GK270" t="e">
        <f>Europe!B610+"n/&gt;!/hK"</f>
        <v>#VALUE!</v>
      </c>
      <c r="GL270" t="e">
        <f>Europe!C610+"n/&gt;!/hL"</f>
        <v>#VALUE!</v>
      </c>
      <c r="GM270" t="e">
        <f>Europe!D610+"n/&gt;!/hM"</f>
        <v>#VALUE!</v>
      </c>
      <c r="GN270" t="e">
        <f>Europe!E610+"n/&gt;!/hN"</f>
        <v>#VALUE!</v>
      </c>
      <c r="GO270" t="e">
        <f>Europe!F610+"n/&gt;!/hO"</f>
        <v>#VALUE!</v>
      </c>
      <c r="GP270" t="e">
        <f>Europe!G610+"n/&gt;!/hP"</f>
        <v>#VALUE!</v>
      </c>
      <c r="GQ270" t="e">
        <f>Europe!H610+"n/&gt;!/hQ"</f>
        <v>#VALUE!</v>
      </c>
      <c r="GR270" t="e">
        <f>Europe!I610+"n/&gt;!/hR"</f>
        <v>#VALUE!</v>
      </c>
      <c r="GS270" t="e">
        <f>Europe!A611+"n/&gt;!/hS"</f>
        <v>#VALUE!</v>
      </c>
      <c r="GT270" t="e">
        <f>Europe!B611+"n/&gt;!/hT"</f>
        <v>#VALUE!</v>
      </c>
      <c r="GU270" t="e">
        <f>Europe!C611+"n/&gt;!/hU"</f>
        <v>#VALUE!</v>
      </c>
      <c r="GV270" t="e">
        <f>Europe!D611+"n/&gt;!/hV"</f>
        <v>#VALUE!</v>
      </c>
      <c r="GW270" t="e">
        <f>Europe!E611+"n/&gt;!/hW"</f>
        <v>#VALUE!</v>
      </c>
      <c r="GX270" t="e">
        <f>Europe!F611+"n/&gt;!/hX"</f>
        <v>#VALUE!</v>
      </c>
      <c r="GY270" t="e">
        <f>Europe!G611+"n/&gt;!/hY"</f>
        <v>#VALUE!</v>
      </c>
      <c r="GZ270" t="e">
        <f>Europe!H611+"n/&gt;!/hZ"</f>
        <v>#VALUE!</v>
      </c>
      <c r="HA270" t="e">
        <f>Europe!I611+"n/&gt;!/h["</f>
        <v>#VALUE!</v>
      </c>
      <c r="HB270" t="e">
        <f>Europe!A612+"n/&gt;!/h\"</f>
        <v>#VALUE!</v>
      </c>
      <c r="HC270" t="e">
        <f>Europe!B612+"n/&gt;!/h]"</f>
        <v>#VALUE!</v>
      </c>
      <c r="HD270" t="e">
        <f>Europe!C612+"n/&gt;!/h^"</f>
        <v>#VALUE!</v>
      </c>
      <c r="HE270" t="e">
        <f>Europe!D612+"n/&gt;!/h_"</f>
        <v>#VALUE!</v>
      </c>
      <c r="HF270" t="e">
        <f>Europe!E612+"n/&gt;!/h`"</f>
        <v>#VALUE!</v>
      </c>
      <c r="HG270" t="e">
        <f>Europe!F612+"n/&gt;!/ha"</f>
        <v>#VALUE!</v>
      </c>
      <c r="HH270" t="e">
        <f>Europe!G612+"n/&gt;!/hb"</f>
        <v>#VALUE!</v>
      </c>
      <c r="HI270" t="e">
        <f>Europe!H612+"n/&gt;!/hc"</f>
        <v>#VALUE!</v>
      </c>
      <c r="HJ270" t="e">
        <f>Europe!I612+"n/&gt;!/hd"</f>
        <v>#VALUE!</v>
      </c>
      <c r="HK270" t="e">
        <f>Europe!A613+"n/&gt;!/he"</f>
        <v>#VALUE!</v>
      </c>
      <c r="HL270" t="e">
        <f>Europe!B613+"n/&gt;!/hf"</f>
        <v>#VALUE!</v>
      </c>
      <c r="HM270" t="e">
        <f>Europe!C613+"n/&gt;!/hg"</f>
        <v>#VALUE!</v>
      </c>
      <c r="HN270" t="e">
        <f>Europe!D613+"n/&gt;!/hh"</f>
        <v>#VALUE!</v>
      </c>
      <c r="HO270" t="e">
        <f>Europe!E613+"n/&gt;!/hi"</f>
        <v>#VALUE!</v>
      </c>
      <c r="HP270" t="e">
        <f>Europe!F613+"n/&gt;!/hj"</f>
        <v>#VALUE!</v>
      </c>
      <c r="HQ270" t="e">
        <f>Europe!G613+"n/&gt;!/hk"</f>
        <v>#VALUE!</v>
      </c>
      <c r="HR270" t="e">
        <f>Europe!H613+"n/&gt;!/hl"</f>
        <v>#VALUE!</v>
      </c>
      <c r="HS270" t="e">
        <f>Europe!I613+"n/&gt;!/hm"</f>
        <v>#VALUE!</v>
      </c>
      <c r="HT270" t="e">
        <f>Europe!A614+"n/&gt;!/hn"</f>
        <v>#VALUE!</v>
      </c>
      <c r="HU270" t="e">
        <f>Europe!B614+"n/&gt;!/ho"</f>
        <v>#VALUE!</v>
      </c>
      <c r="HV270" t="e">
        <f>Europe!C614+"n/&gt;!/hp"</f>
        <v>#VALUE!</v>
      </c>
      <c r="HW270" t="e">
        <f>Europe!D614+"n/&gt;!/hq"</f>
        <v>#VALUE!</v>
      </c>
      <c r="HX270" t="e">
        <f>Europe!E614+"n/&gt;!/hr"</f>
        <v>#VALUE!</v>
      </c>
      <c r="HY270" t="e">
        <f>Europe!F614+"n/&gt;!/hs"</f>
        <v>#VALUE!</v>
      </c>
      <c r="HZ270" t="e">
        <f>Europe!G614+"n/&gt;!/ht"</f>
        <v>#VALUE!</v>
      </c>
      <c r="IA270" t="e">
        <f>Europe!H614+"n/&gt;!/hu"</f>
        <v>#VALUE!</v>
      </c>
      <c r="IB270" t="e">
        <f>Europe!I614+"n/&gt;!/hv"</f>
        <v>#VALUE!</v>
      </c>
      <c r="IC270" t="e">
        <f>Europe!A615+"n/&gt;!/hw"</f>
        <v>#VALUE!</v>
      </c>
      <c r="ID270" t="e">
        <f>Europe!B615+"n/&gt;!/hx"</f>
        <v>#VALUE!</v>
      </c>
      <c r="IE270" t="e">
        <f>Europe!C615+"n/&gt;!/hy"</f>
        <v>#VALUE!</v>
      </c>
      <c r="IF270" t="e">
        <f>Europe!D615+"n/&gt;!/hz"</f>
        <v>#VALUE!</v>
      </c>
      <c r="IG270" t="e">
        <f>Europe!E615+"n/&gt;!/h{"</f>
        <v>#VALUE!</v>
      </c>
      <c r="IH270" t="e">
        <f>Europe!F615+"n/&gt;!/h|"</f>
        <v>#VALUE!</v>
      </c>
      <c r="II270" t="e">
        <f>Europe!G615+"n/&gt;!/h}"</f>
        <v>#VALUE!</v>
      </c>
      <c r="IJ270" t="e">
        <f>Europe!H615+"n/&gt;!/h~"</f>
        <v>#VALUE!</v>
      </c>
      <c r="IK270" t="e">
        <f>Europe!I615+"n/&gt;!/i#"</f>
        <v>#VALUE!</v>
      </c>
      <c r="IL270" t="e">
        <f>Europe!A616+"n/&gt;!/i$"</f>
        <v>#VALUE!</v>
      </c>
      <c r="IM270" t="e">
        <f>Europe!B616+"n/&gt;!/i%"</f>
        <v>#VALUE!</v>
      </c>
      <c r="IN270" t="e">
        <f>Europe!C616+"n/&gt;!/i&amp;"</f>
        <v>#VALUE!</v>
      </c>
      <c r="IO270" t="e">
        <f>Europe!D616+"n/&gt;!/i'"</f>
        <v>#VALUE!</v>
      </c>
      <c r="IP270" t="e">
        <f>Europe!E616+"n/&gt;!/i("</f>
        <v>#VALUE!</v>
      </c>
      <c r="IQ270" t="e">
        <f>Europe!F616+"n/&gt;!/i)"</f>
        <v>#VALUE!</v>
      </c>
      <c r="IR270" t="e">
        <f>Europe!G616+"n/&gt;!/i."</f>
        <v>#VALUE!</v>
      </c>
      <c r="IS270" t="e">
        <f>Europe!H616+"n/&gt;!/i/"</f>
        <v>#VALUE!</v>
      </c>
      <c r="IT270" t="e">
        <f>Europe!I616+"n/&gt;!/i0"</f>
        <v>#VALUE!</v>
      </c>
      <c r="IU270" t="e">
        <f>Europe!A617+"n/&gt;!/i1"</f>
        <v>#VALUE!</v>
      </c>
      <c r="IV270" t="e">
        <f>Europe!B617+"n/&gt;!/i2"</f>
        <v>#VALUE!</v>
      </c>
    </row>
    <row r="271" spans="6:256" x14ac:dyDescent="0.35">
      <c r="F271" t="e">
        <f>Europe!C617+"n/&gt;!/i3"</f>
        <v>#VALUE!</v>
      </c>
      <c r="G271" t="e">
        <f>Europe!D617+"n/&gt;!/i4"</f>
        <v>#VALUE!</v>
      </c>
      <c r="H271" t="e">
        <f>Europe!E617+"n/&gt;!/i5"</f>
        <v>#VALUE!</v>
      </c>
      <c r="I271" t="e">
        <f>Europe!F617+"n/&gt;!/i6"</f>
        <v>#VALUE!</v>
      </c>
      <c r="J271" t="e">
        <f>Europe!G617+"n/&gt;!/i7"</f>
        <v>#VALUE!</v>
      </c>
      <c r="K271" t="e">
        <f>Europe!H617+"n/&gt;!/i8"</f>
        <v>#VALUE!</v>
      </c>
      <c r="L271" t="e">
        <f>Europe!I617+"n/&gt;!/i9"</f>
        <v>#VALUE!</v>
      </c>
      <c r="M271" t="e">
        <f>Europe!A618+"n/&gt;!/i:"</f>
        <v>#VALUE!</v>
      </c>
      <c r="N271" t="e">
        <f>Europe!B618+"n/&gt;!/i;"</f>
        <v>#VALUE!</v>
      </c>
      <c r="O271" t="e">
        <f>Europe!C618+"n/&gt;!/i&lt;"</f>
        <v>#VALUE!</v>
      </c>
      <c r="P271" t="e">
        <f>Europe!D618+"n/&gt;!/i="</f>
        <v>#VALUE!</v>
      </c>
      <c r="Q271" t="e">
        <f>Europe!E618+"n/&gt;!/i&gt;"</f>
        <v>#VALUE!</v>
      </c>
      <c r="R271" t="e">
        <f>Europe!F618+"n/&gt;!/i?"</f>
        <v>#VALUE!</v>
      </c>
      <c r="S271" t="e">
        <f>Europe!G618+"n/&gt;!/i@"</f>
        <v>#VALUE!</v>
      </c>
      <c r="T271" t="e">
        <f>Europe!H618+"n/&gt;!/iA"</f>
        <v>#VALUE!</v>
      </c>
      <c r="U271" t="e">
        <f>Europe!I618+"n/&gt;!/iB"</f>
        <v>#VALUE!</v>
      </c>
      <c r="V271" t="e">
        <f>Europe!A619+"n/&gt;!/iC"</f>
        <v>#VALUE!</v>
      </c>
      <c r="W271" t="e">
        <f>Europe!B619+"n/&gt;!/iD"</f>
        <v>#VALUE!</v>
      </c>
      <c r="X271" t="e">
        <f>Europe!C619+"n/&gt;!/iE"</f>
        <v>#VALUE!</v>
      </c>
      <c r="Y271" t="e">
        <f>Europe!D619+"n/&gt;!/iF"</f>
        <v>#VALUE!</v>
      </c>
      <c r="Z271" t="e">
        <f>Europe!E619+"n/&gt;!/iG"</f>
        <v>#VALUE!</v>
      </c>
      <c r="AA271" t="e">
        <f>Europe!F619+"n/&gt;!/iH"</f>
        <v>#VALUE!</v>
      </c>
      <c r="AB271" t="e">
        <f>Europe!G619+"n/&gt;!/iI"</f>
        <v>#VALUE!</v>
      </c>
      <c r="AC271" t="e">
        <f>Europe!H619+"n/&gt;!/iJ"</f>
        <v>#VALUE!</v>
      </c>
      <c r="AD271" t="e">
        <f>Europe!I619+"n/&gt;!/iK"</f>
        <v>#VALUE!</v>
      </c>
      <c r="AE271" t="e">
        <f>Europe!A620+"n/&gt;!/iL"</f>
        <v>#VALUE!</v>
      </c>
      <c r="AF271" t="e">
        <f>Europe!B620+"n/&gt;!/iM"</f>
        <v>#VALUE!</v>
      </c>
      <c r="AG271" t="e">
        <f>Europe!C620+"n/&gt;!/iN"</f>
        <v>#VALUE!</v>
      </c>
      <c r="AH271" t="e">
        <f>Europe!D620+"n/&gt;!/iO"</f>
        <v>#VALUE!</v>
      </c>
      <c r="AI271" t="e">
        <f>Europe!E620+"n/&gt;!/iP"</f>
        <v>#VALUE!</v>
      </c>
      <c r="AJ271" t="e">
        <f>Europe!F620+"n/&gt;!/iQ"</f>
        <v>#VALUE!</v>
      </c>
      <c r="AK271" t="e">
        <f>Europe!G620+"n/&gt;!/iR"</f>
        <v>#VALUE!</v>
      </c>
      <c r="AL271" t="e">
        <f>Europe!H620+"n/&gt;!/iS"</f>
        <v>#VALUE!</v>
      </c>
      <c r="AM271" t="e">
        <f>Europe!I620+"n/&gt;!/iT"</f>
        <v>#VALUE!</v>
      </c>
      <c r="AN271" t="e">
        <f>Europe!A621+"n/&gt;!/iU"</f>
        <v>#VALUE!</v>
      </c>
      <c r="AO271" t="e">
        <f>Europe!B621+"n/&gt;!/iV"</f>
        <v>#VALUE!</v>
      </c>
      <c r="AP271" t="e">
        <f>Europe!C621+"n/&gt;!/iW"</f>
        <v>#VALUE!</v>
      </c>
      <c r="AQ271" t="e">
        <f>Europe!D621+"n/&gt;!/iX"</f>
        <v>#VALUE!</v>
      </c>
      <c r="AR271" t="e">
        <f>Europe!E621+"n/&gt;!/iY"</f>
        <v>#VALUE!</v>
      </c>
      <c r="AS271" t="e">
        <f>Europe!F621+"n/&gt;!/iZ"</f>
        <v>#VALUE!</v>
      </c>
      <c r="AT271" t="e">
        <f>Europe!G621+"n/&gt;!/i["</f>
        <v>#VALUE!</v>
      </c>
      <c r="AU271" t="e">
        <f>Europe!H621+"n/&gt;!/i\"</f>
        <v>#VALUE!</v>
      </c>
      <c r="AV271" t="e">
        <f>Europe!I621+"n/&gt;!/i]"</f>
        <v>#VALUE!</v>
      </c>
      <c r="AW271" t="e">
        <f>Europe!A622+"n/&gt;!/i^"</f>
        <v>#VALUE!</v>
      </c>
      <c r="AX271" t="e">
        <f>Europe!B622+"n/&gt;!/i_"</f>
        <v>#VALUE!</v>
      </c>
      <c r="AY271" t="e">
        <f>Europe!C622+"n/&gt;!/i`"</f>
        <v>#VALUE!</v>
      </c>
      <c r="AZ271" t="e">
        <f>Europe!D622+"n/&gt;!/ia"</f>
        <v>#VALUE!</v>
      </c>
      <c r="BA271" t="e">
        <f>Europe!E622+"n/&gt;!/ib"</f>
        <v>#VALUE!</v>
      </c>
      <c r="BB271" t="e">
        <f>Europe!F622+"n/&gt;!/ic"</f>
        <v>#VALUE!</v>
      </c>
      <c r="BC271" t="e">
        <f>Europe!G622+"n/&gt;!/id"</f>
        <v>#VALUE!</v>
      </c>
      <c r="BD271" t="e">
        <f>Europe!H622+"n/&gt;!/ie"</f>
        <v>#VALUE!</v>
      </c>
      <c r="BE271" t="e">
        <f>Europe!I622+"n/&gt;!/if"</f>
        <v>#VALUE!</v>
      </c>
      <c r="BF271" t="e">
        <f>Europe!A623+"n/&gt;!/ig"</f>
        <v>#VALUE!</v>
      </c>
      <c r="BG271" t="e">
        <f>Europe!B623+"n/&gt;!/ih"</f>
        <v>#VALUE!</v>
      </c>
      <c r="BH271" t="e">
        <f>Europe!C623+"n/&gt;!/ii"</f>
        <v>#VALUE!</v>
      </c>
      <c r="BI271" t="e">
        <f>Europe!D623+"n/&gt;!/ij"</f>
        <v>#VALUE!</v>
      </c>
      <c r="BJ271" t="e">
        <f>Europe!E623+"n/&gt;!/ik"</f>
        <v>#VALUE!</v>
      </c>
      <c r="BK271" t="e">
        <f>Europe!F623+"n/&gt;!/il"</f>
        <v>#VALUE!</v>
      </c>
      <c r="BL271" t="e">
        <f>Europe!G623+"n/&gt;!/im"</f>
        <v>#VALUE!</v>
      </c>
      <c r="BM271" t="e">
        <f>Europe!H623+"n/&gt;!/in"</f>
        <v>#VALUE!</v>
      </c>
      <c r="BN271" t="e">
        <f>Europe!I623+"n/&gt;!/io"</f>
        <v>#VALUE!</v>
      </c>
      <c r="BO271" t="e">
        <f>Europe!A624+"n/&gt;!/ip"</f>
        <v>#VALUE!</v>
      </c>
      <c r="BP271" t="e">
        <f>Europe!B624+"n/&gt;!/iq"</f>
        <v>#VALUE!</v>
      </c>
      <c r="BQ271" t="e">
        <f>Europe!C624+"n/&gt;!/ir"</f>
        <v>#VALUE!</v>
      </c>
      <c r="BR271" t="e">
        <f>Europe!D624+"n/&gt;!/is"</f>
        <v>#VALUE!</v>
      </c>
      <c r="BS271" t="e">
        <f>Europe!E624+"n/&gt;!/it"</f>
        <v>#VALUE!</v>
      </c>
      <c r="BT271" t="e">
        <f>Europe!F624+"n/&gt;!/iu"</f>
        <v>#VALUE!</v>
      </c>
      <c r="BU271" t="e">
        <f>Europe!G624+"n/&gt;!/iv"</f>
        <v>#VALUE!</v>
      </c>
      <c r="BV271" t="e">
        <f>Europe!H624+"n/&gt;!/iw"</f>
        <v>#VALUE!</v>
      </c>
      <c r="BW271" t="e">
        <f>Europe!I624+"n/&gt;!/ix"</f>
        <v>#VALUE!</v>
      </c>
      <c r="BX271" t="e">
        <f>Europe!A625+"n/&gt;!/iy"</f>
        <v>#VALUE!</v>
      </c>
      <c r="BY271" t="e">
        <f>Europe!B625+"n/&gt;!/iz"</f>
        <v>#VALUE!</v>
      </c>
      <c r="BZ271" t="e">
        <f>Europe!C625+"n/&gt;!/i{"</f>
        <v>#VALUE!</v>
      </c>
      <c r="CA271" t="e">
        <f>Europe!D625+"n/&gt;!/i|"</f>
        <v>#VALUE!</v>
      </c>
      <c r="CB271" t="e">
        <f>Europe!E625+"n/&gt;!/i}"</f>
        <v>#VALUE!</v>
      </c>
      <c r="CC271" t="e">
        <f>Europe!F625+"n/&gt;!/i~"</f>
        <v>#VALUE!</v>
      </c>
      <c r="CD271" t="e">
        <f>Europe!G625+"n/&gt;!/j#"</f>
        <v>#VALUE!</v>
      </c>
      <c r="CE271" t="e">
        <f>Europe!H625+"n/&gt;!/j$"</f>
        <v>#VALUE!</v>
      </c>
      <c r="CF271" t="e">
        <f>Europe!I625+"n/&gt;!/j%"</f>
        <v>#VALUE!</v>
      </c>
      <c r="CG271" t="e">
        <f>Europe!A626+"n/&gt;!/j&amp;"</f>
        <v>#VALUE!</v>
      </c>
      <c r="CH271" t="e">
        <f>Europe!B626+"n/&gt;!/j'"</f>
        <v>#VALUE!</v>
      </c>
      <c r="CI271" t="e">
        <f>Europe!C626+"n/&gt;!/j("</f>
        <v>#VALUE!</v>
      </c>
      <c r="CJ271" t="e">
        <f>Europe!D626+"n/&gt;!/j)"</f>
        <v>#VALUE!</v>
      </c>
      <c r="CK271" t="e">
        <f>Europe!E626+"n/&gt;!/j."</f>
        <v>#VALUE!</v>
      </c>
      <c r="CL271" t="e">
        <f>Europe!F626+"n/&gt;!/j/"</f>
        <v>#VALUE!</v>
      </c>
      <c r="CM271" t="e">
        <f>Europe!G626+"n/&gt;!/j0"</f>
        <v>#VALUE!</v>
      </c>
      <c r="CN271" t="e">
        <f>Europe!H626+"n/&gt;!/j1"</f>
        <v>#VALUE!</v>
      </c>
      <c r="CO271" t="e">
        <f>Europe!I626+"n/&gt;!/j2"</f>
        <v>#VALUE!</v>
      </c>
      <c r="CP271" t="e">
        <f>Europe!A627+"n/&gt;!/j3"</f>
        <v>#VALUE!</v>
      </c>
      <c r="CQ271" t="e">
        <f>Europe!B627+"n/&gt;!/j4"</f>
        <v>#VALUE!</v>
      </c>
      <c r="CR271" t="e">
        <f>Europe!C627+"n/&gt;!/j5"</f>
        <v>#VALUE!</v>
      </c>
      <c r="CS271" t="e">
        <f>Europe!D627+"n/&gt;!/j6"</f>
        <v>#VALUE!</v>
      </c>
      <c r="CT271" t="e">
        <f>Europe!E627+"n/&gt;!/j7"</f>
        <v>#VALUE!</v>
      </c>
      <c r="CU271" t="e">
        <f>Europe!F627+"n/&gt;!/j8"</f>
        <v>#VALUE!</v>
      </c>
      <c r="CV271" t="e">
        <f>Europe!G627+"n/&gt;!/j9"</f>
        <v>#VALUE!</v>
      </c>
      <c r="CW271" t="e">
        <f>Europe!H627+"n/&gt;!/j:"</f>
        <v>#VALUE!</v>
      </c>
      <c r="CX271" t="e">
        <f>Europe!I627+"n/&gt;!/j;"</f>
        <v>#VALUE!</v>
      </c>
      <c r="CY271" t="e">
        <f>Europe!A628+"n/&gt;!/j&lt;"</f>
        <v>#VALUE!</v>
      </c>
      <c r="CZ271" t="e">
        <f>Europe!B628+"n/&gt;!/j="</f>
        <v>#VALUE!</v>
      </c>
      <c r="DA271" t="e">
        <f>Europe!C628+"n/&gt;!/j&gt;"</f>
        <v>#VALUE!</v>
      </c>
      <c r="DB271" t="e">
        <f>Europe!D628+"n/&gt;!/j?"</f>
        <v>#VALUE!</v>
      </c>
      <c r="DC271" t="e">
        <f>Europe!E628+"n/&gt;!/j@"</f>
        <v>#VALUE!</v>
      </c>
      <c r="DD271" t="e">
        <f>Europe!F628+"n/&gt;!/jA"</f>
        <v>#VALUE!</v>
      </c>
      <c r="DE271" t="e">
        <f>Europe!G628+"n/&gt;!/jB"</f>
        <v>#VALUE!</v>
      </c>
      <c r="DF271" t="e">
        <f>Europe!H628+"n/&gt;!/jC"</f>
        <v>#VALUE!</v>
      </c>
      <c r="DG271" t="e">
        <f>Europe!I628+"n/&gt;!/jD"</f>
        <v>#VALUE!</v>
      </c>
      <c r="DH271" t="e">
        <f>Europe!A629+"n/&gt;!/jE"</f>
        <v>#VALUE!</v>
      </c>
      <c r="DI271" t="e">
        <f>Europe!B629+"n/&gt;!/jF"</f>
        <v>#VALUE!</v>
      </c>
      <c r="DJ271" t="e">
        <f>Europe!C629+"n/&gt;!/jG"</f>
        <v>#VALUE!</v>
      </c>
      <c r="DK271" t="e">
        <f>Europe!D629+"n/&gt;!/jH"</f>
        <v>#VALUE!</v>
      </c>
      <c r="DL271" t="e">
        <f>Europe!E629+"n/&gt;!/jI"</f>
        <v>#VALUE!</v>
      </c>
      <c r="DM271" t="e">
        <f>Europe!F629+"n/&gt;!/jJ"</f>
        <v>#VALUE!</v>
      </c>
      <c r="DN271" t="e">
        <f>Europe!G629+"n/&gt;!/jK"</f>
        <v>#VALUE!</v>
      </c>
      <c r="DO271" t="e">
        <f>Europe!H629+"n/&gt;!/jL"</f>
        <v>#VALUE!</v>
      </c>
      <c r="DP271" t="e">
        <f>Europe!I629+"n/&gt;!/jM"</f>
        <v>#VALUE!</v>
      </c>
      <c r="DQ271" t="e">
        <f>Europe!A630+"n/&gt;!/jN"</f>
        <v>#VALUE!</v>
      </c>
      <c r="DR271" t="e">
        <f>Europe!B630+"n/&gt;!/jO"</f>
        <v>#VALUE!</v>
      </c>
      <c r="DS271" t="e">
        <f>Europe!C630+"n/&gt;!/jP"</f>
        <v>#VALUE!</v>
      </c>
      <c r="DT271" t="e">
        <f>Europe!D630+"n/&gt;!/jQ"</f>
        <v>#VALUE!</v>
      </c>
      <c r="DU271" t="e">
        <f>Europe!E630+"n/&gt;!/jR"</f>
        <v>#VALUE!</v>
      </c>
      <c r="DV271" t="e">
        <f>Europe!F630+"n/&gt;!/jS"</f>
        <v>#VALUE!</v>
      </c>
      <c r="DW271" t="e">
        <f>Europe!G630+"n/&gt;!/jT"</f>
        <v>#VALUE!</v>
      </c>
      <c r="DX271" t="e">
        <f>Europe!H630+"n/&gt;!/jU"</f>
        <v>#VALUE!</v>
      </c>
      <c r="DY271" t="e">
        <f>Europe!I630+"n/&gt;!/jV"</f>
        <v>#VALUE!</v>
      </c>
      <c r="DZ271" t="e">
        <f>Europe!A631+"n/&gt;!/jW"</f>
        <v>#VALUE!</v>
      </c>
      <c r="EA271" t="e">
        <f>Europe!B631+"n/&gt;!/jX"</f>
        <v>#VALUE!</v>
      </c>
      <c r="EB271" t="e">
        <f>Europe!C631+"n/&gt;!/jY"</f>
        <v>#VALUE!</v>
      </c>
      <c r="EC271" t="e">
        <f>Europe!D631+"n/&gt;!/jZ"</f>
        <v>#VALUE!</v>
      </c>
      <c r="ED271" t="e">
        <f>Europe!E631+"n/&gt;!/j["</f>
        <v>#VALUE!</v>
      </c>
      <c r="EE271" t="e">
        <f>Europe!F631+"n/&gt;!/j\"</f>
        <v>#VALUE!</v>
      </c>
      <c r="EF271" t="e">
        <f>Europe!G631+"n/&gt;!/j]"</f>
        <v>#VALUE!</v>
      </c>
      <c r="EG271" t="e">
        <f>Europe!H631+"n/&gt;!/j^"</f>
        <v>#VALUE!</v>
      </c>
      <c r="EH271" t="e">
        <f>Europe!I631+"n/&gt;!/j_"</f>
        <v>#VALUE!</v>
      </c>
      <c r="EI271" t="e">
        <f>Europe!A632+"n/&gt;!/j`"</f>
        <v>#VALUE!</v>
      </c>
      <c r="EJ271" t="e">
        <f>Europe!B632+"n/&gt;!/ja"</f>
        <v>#VALUE!</v>
      </c>
      <c r="EK271" t="e">
        <f>Europe!C632+"n/&gt;!/jb"</f>
        <v>#VALUE!</v>
      </c>
      <c r="EL271" t="e">
        <f>Europe!D632+"n/&gt;!/jc"</f>
        <v>#VALUE!</v>
      </c>
      <c r="EM271" t="e">
        <f>Europe!E632+"n/&gt;!/jd"</f>
        <v>#VALUE!</v>
      </c>
      <c r="EN271" t="e">
        <f>Europe!F632+"n/&gt;!/je"</f>
        <v>#VALUE!</v>
      </c>
      <c r="EO271" t="e">
        <f>Europe!G632+"n/&gt;!/jf"</f>
        <v>#VALUE!</v>
      </c>
      <c r="EP271" t="e">
        <f>Europe!H632+"n/&gt;!/jg"</f>
        <v>#VALUE!</v>
      </c>
      <c r="EQ271" t="e">
        <f>Europe!I632+"n/&gt;!/jh"</f>
        <v>#VALUE!</v>
      </c>
      <c r="ER271" t="e">
        <f>Europe!A633+"n/&gt;!/ji"</f>
        <v>#VALUE!</v>
      </c>
      <c r="ES271" t="e">
        <f>Europe!B633+"n/&gt;!/jj"</f>
        <v>#VALUE!</v>
      </c>
      <c r="ET271" t="e">
        <f>Europe!C633+"n/&gt;!/jk"</f>
        <v>#VALUE!</v>
      </c>
      <c r="EU271" t="e">
        <f>Europe!D633+"n/&gt;!/jl"</f>
        <v>#VALUE!</v>
      </c>
      <c r="EV271" t="e">
        <f>Europe!E633+"n/&gt;!/jm"</f>
        <v>#VALUE!</v>
      </c>
      <c r="EW271" t="e">
        <f>Europe!F633+"n/&gt;!/jn"</f>
        <v>#VALUE!</v>
      </c>
      <c r="EX271" t="e">
        <f>Europe!G633+"n/&gt;!/jo"</f>
        <v>#VALUE!</v>
      </c>
      <c r="EY271" t="e">
        <f>Europe!H633+"n/&gt;!/jp"</f>
        <v>#VALUE!</v>
      </c>
      <c r="EZ271" t="e">
        <f>Europe!I633+"n/&gt;!/jq"</f>
        <v>#VALUE!</v>
      </c>
      <c r="FA271" t="e">
        <f>Europe!A634+"n/&gt;!/jr"</f>
        <v>#VALUE!</v>
      </c>
      <c r="FB271" t="e">
        <f>Europe!B634+"n/&gt;!/js"</f>
        <v>#VALUE!</v>
      </c>
      <c r="FC271" t="e">
        <f>Europe!C634+"n/&gt;!/jt"</f>
        <v>#VALUE!</v>
      </c>
      <c r="FD271" t="e">
        <f>Europe!D634+"n/&gt;!/ju"</f>
        <v>#VALUE!</v>
      </c>
      <c r="FE271" t="e">
        <f>Europe!E634+"n/&gt;!/jv"</f>
        <v>#VALUE!</v>
      </c>
      <c r="FF271" t="e">
        <f>Europe!F634+"n/&gt;!/jw"</f>
        <v>#VALUE!</v>
      </c>
      <c r="FG271" t="e">
        <f>Europe!G634+"n/&gt;!/jx"</f>
        <v>#VALUE!</v>
      </c>
      <c r="FH271" t="e">
        <f>Europe!H634+"n/&gt;!/jy"</f>
        <v>#VALUE!</v>
      </c>
      <c r="FI271" t="e">
        <f>Europe!I634+"n/&gt;!/jz"</f>
        <v>#VALUE!</v>
      </c>
      <c r="FJ271" t="e">
        <f>Europe!A635+"n/&gt;!/j{"</f>
        <v>#VALUE!</v>
      </c>
      <c r="FK271" t="e">
        <f>Europe!B635+"n/&gt;!/j|"</f>
        <v>#VALUE!</v>
      </c>
      <c r="FL271" t="e">
        <f>Europe!C635+"n/&gt;!/j}"</f>
        <v>#VALUE!</v>
      </c>
      <c r="FM271" t="e">
        <f>Europe!D635+"n/&gt;!/j~"</f>
        <v>#VALUE!</v>
      </c>
      <c r="FN271" t="e">
        <f>Europe!E635+"n/&gt;!/k#"</f>
        <v>#VALUE!</v>
      </c>
      <c r="FO271" t="e">
        <f>Europe!F635+"n/&gt;!/k$"</f>
        <v>#VALUE!</v>
      </c>
      <c r="FP271" t="e">
        <f>Europe!G635+"n/&gt;!/k%"</f>
        <v>#VALUE!</v>
      </c>
      <c r="FQ271" t="e">
        <f>Europe!H635+"n/&gt;!/k&amp;"</f>
        <v>#VALUE!</v>
      </c>
      <c r="FR271" t="e">
        <f>Europe!I635+"n/&gt;!/k'"</f>
        <v>#VALUE!</v>
      </c>
      <c r="FS271" t="e">
        <f>Europe!A636+"n/&gt;!/k("</f>
        <v>#VALUE!</v>
      </c>
      <c r="FT271" t="e">
        <f>Europe!B636+"n/&gt;!/k)"</f>
        <v>#VALUE!</v>
      </c>
      <c r="FU271" t="e">
        <f>Europe!C636+"n/&gt;!/k."</f>
        <v>#VALUE!</v>
      </c>
      <c r="FV271" t="e">
        <f>Europe!D636+"n/&gt;!/k/"</f>
        <v>#VALUE!</v>
      </c>
      <c r="FW271" t="e">
        <f>Europe!E636+"n/&gt;!/k0"</f>
        <v>#VALUE!</v>
      </c>
      <c r="FX271" t="e">
        <f>Europe!F636+"n/&gt;!/k1"</f>
        <v>#VALUE!</v>
      </c>
      <c r="FY271" t="e">
        <f>Europe!G636+"n/&gt;!/k2"</f>
        <v>#VALUE!</v>
      </c>
      <c r="FZ271" t="e">
        <f>Europe!H636+"n/&gt;!/k3"</f>
        <v>#VALUE!</v>
      </c>
      <c r="GA271" t="e">
        <f>Europe!I636+"n/&gt;!/k4"</f>
        <v>#VALUE!</v>
      </c>
      <c r="GB271" t="e">
        <f>Europe!A637+"n/&gt;!/k5"</f>
        <v>#VALUE!</v>
      </c>
      <c r="GC271" t="e">
        <f>Europe!B637+"n/&gt;!/k6"</f>
        <v>#VALUE!</v>
      </c>
      <c r="GD271" t="e">
        <f>Europe!C637+"n/&gt;!/k7"</f>
        <v>#VALUE!</v>
      </c>
      <c r="GE271" t="e">
        <f>Europe!D637+"n/&gt;!/k8"</f>
        <v>#VALUE!</v>
      </c>
      <c r="GF271" t="e">
        <f>Europe!E637+"n/&gt;!/k9"</f>
        <v>#VALUE!</v>
      </c>
      <c r="GG271" t="e">
        <f>Europe!F637+"n/&gt;!/k:"</f>
        <v>#VALUE!</v>
      </c>
      <c r="GH271" t="e">
        <f>Europe!G637+"n/&gt;!/k;"</f>
        <v>#VALUE!</v>
      </c>
      <c r="GI271" t="e">
        <f>Europe!H637+"n/&gt;!/k&lt;"</f>
        <v>#VALUE!</v>
      </c>
      <c r="GJ271" t="e">
        <f>Europe!I637+"n/&gt;!/k="</f>
        <v>#VALUE!</v>
      </c>
      <c r="GK271" t="e">
        <f>Europe!A638+"n/&gt;!/k&gt;"</f>
        <v>#VALUE!</v>
      </c>
      <c r="GL271" t="e">
        <f>Europe!B638+"n/&gt;!/k?"</f>
        <v>#VALUE!</v>
      </c>
      <c r="GM271" t="e">
        <f>Europe!C638+"n/&gt;!/k@"</f>
        <v>#VALUE!</v>
      </c>
      <c r="GN271" t="e">
        <f>Europe!D638+"n/&gt;!/kA"</f>
        <v>#VALUE!</v>
      </c>
      <c r="GO271" t="e">
        <f>Europe!E638+"n/&gt;!/kB"</f>
        <v>#VALUE!</v>
      </c>
      <c r="GP271" t="e">
        <f>Europe!F638+"n/&gt;!/kC"</f>
        <v>#VALUE!</v>
      </c>
      <c r="GQ271" t="e">
        <f>Europe!G638+"n/&gt;!/kD"</f>
        <v>#VALUE!</v>
      </c>
      <c r="GR271" t="e">
        <f>Europe!H638+"n/&gt;!/kE"</f>
        <v>#VALUE!</v>
      </c>
      <c r="GS271" t="e">
        <f>Europe!I638+"n/&gt;!/kF"</f>
        <v>#VALUE!</v>
      </c>
      <c r="GT271" t="e">
        <f>Europe!A639+"n/&gt;!/kG"</f>
        <v>#VALUE!</v>
      </c>
      <c r="GU271" t="e">
        <f>Europe!B639+"n/&gt;!/kH"</f>
        <v>#VALUE!</v>
      </c>
      <c r="GV271" t="e">
        <f>Europe!C639+"n/&gt;!/kI"</f>
        <v>#VALUE!</v>
      </c>
      <c r="GW271" t="e">
        <f>Europe!D639+"n/&gt;!/kJ"</f>
        <v>#VALUE!</v>
      </c>
      <c r="GX271" t="e">
        <f>Europe!E639+"n/&gt;!/kK"</f>
        <v>#VALUE!</v>
      </c>
      <c r="GY271" t="e">
        <f>Europe!F639+"n/&gt;!/kL"</f>
        <v>#VALUE!</v>
      </c>
      <c r="GZ271" t="e">
        <f>Europe!G639+"n/&gt;!/kM"</f>
        <v>#VALUE!</v>
      </c>
      <c r="HA271" t="e">
        <f>Europe!H639+"n/&gt;!/kN"</f>
        <v>#VALUE!</v>
      </c>
      <c r="HB271" t="e">
        <f>Europe!I639+"n/&gt;!/kO"</f>
        <v>#VALUE!</v>
      </c>
      <c r="HC271" t="e">
        <f>Europe!A640+"n/&gt;!/kP"</f>
        <v>#VALUE!</v>
      </c>
      <c r="HD271" t="e">
        <f>Europe!B640+"n/&gt;!/kQ"</f>
        <v>#VALUE!</v>
      </c>
      <c r="HE271" t="e">
        <f>Europe!C640+"n/&gt;!/kR"</f>
        <v>#VALUE!</v>
      </c>
      <c r="HF271" t="e">
        <f>Europe!D640+"n/&gt;!/kS"</f>
        <v>#VALUE!</v>
      </c>
      <c r="HG271" t="e">
        <f>Europe!E640+"n/&gt;!/kT"</f>
        <v>#VALUE!</v>
      </c>
      <c r="HH271" t="e">
        <f>Europe!F640+"n/&gt;!/kU"</f>
        <v>#VALUE!</v>
      </c>
      <c r="HI271" t="e">
        <f>Europe!G640+"n/&gt;!/kV"</f>
        <v>#VALUE!</v>
      </c>
      <c r="HJ271" t="e">
        <f>Europe!H640+"n/&gt;!/kW"</f>
        <v>#VALUE!</v>
      </c>
      <c r="HK271" t="e">
        <f>Europe!I640+"n/&gt;!/kX"</f>
        <v>#VALUE!</v>
      </c>
      <c r="HL271" t="e">
        <f>Europe!A641+"n/&gt;!/kY"</f>
        <v>#VALUE!</v>
      </c>
      <c r="HM271" t="e">
        <f>Europe!B641+"n/&gt;!/kZ"</f>
        <v>#VALUE!</v>
      </c>
      <c r="HN271" t="e">
        <f>Europe!C641+"n/&gt;!/k["</f>
        <v>#VALUE!</v>
      </c>
      <c r="HO271" t="e">
        <f>Europe!D641+"n/&gt;!/k\"</f>
        <v>#VALUE!</v>
      </c>
      <c r="HP271" t="e">
        <f>Europe!E641+"n/&gt;!/k]"</f>
        <v>#VALUE!</v>
      </c>
      <c r="HQ271" t="e">
        <f>Europe!F641+"n/&gt;!/k^"</f>
        <v>#VALUE!</v>
      </c>
      <c r="HR271" t="e">
        <f>Europe!G641+"n/&gt;!/k_"</f>
        <v>#VALUE!</v>
      </c>
      <c r="HS271" t="e">
        <f>Europe!H641+"n/&gt;!/k`"</f>
        <v>#VALUE!</v>
      </c>
      <c r="HT271" t="e">
        <f>Europe!I641+"n/&gt;!/ka"</f>
        <v>#VALUE!</v>
      </c>
      <c r="HU271" t="e">
        <f>Europe!A642+"n/&gt;!/kb"</f>
        <v>#VALUE!</v>
      </c>
      <c r="HV271" t="e">
        <f>Europe!B642+"n/&gt;!/kc"</f>
        <v>#VALUE!</v>
      </c>
      <c r="HW271" t="e">
        <f>Europe!C642+"n/&gt;!/kd"</f>
        <v>#VALUE!</v>
      </c>
      <c r="HX271" t="e">
        <f>Europe!D642+"n/&gt;!/ke"</f>
        <v>#VALUE!</v>
      </c>
      <c r="HY271" t="e">
        <f>Europe!E642+"n/&gt;!/kf"</f>
        <v>#VALUE!</v>
      </c>
      <c r="HZ271" t="e">
        <f>Europe!F642+"n/&gt;!/kg"</f>
        <v>#VALUE!</v>
      </c>
      <c r="IA271" t="e">
        <f>Europe!G642+"n/&gt;!/kh"</f>
        <v>#VALUE!</v>
      </c>
      <c r="IB271" t="e">
        <f>Europe!H642+"n/&gt;!/ki"</f>
        <v>#VALUE!</v>
      </c>
      <c r="IC271" t="e">
        <f>Europe!I642+"n/&gt;!/kj"</f>
        <v>#VALUE!</v>
      </c>
      <c r="ID271" t="e">
        <f>Europe!A643+"n/&gt;!/kk"</f>
        <v>#VALUE!</v>
      </c>
      <c r="IE271" t="e">
        <f>Europe!B643+"n/&gt;!/kl"</f>
        <v>#VALUE!</v>
      </c>
      <c r="IF271" t="e">
        <f>Europe!C643+"n/&gt;!/km"</f>
        <v>#VALUE!</v>
      </c>
      <c r="IG271" t="e">
        <f>Europe!D643+"n/&gt;!/kn"</f>
        <v>#VALUE!</v>
      </c>
      <c r="IH271" t="e">
        <f>Europe!E643+"n/&gt;!/ko"</f>
        <v>#VALUE!</v>
      </c>
      <c r="II271" t="e">
        <f>Europe!F643+"n/&gt;!/kp"</f>
        <v>#VALUE!</v>
      </c>
      <c r="IJ271" t="e">
        <f>Europe!G643+"n/&gt;!/kq"</f>
        <v>#VALUE!</v>
      </c>
      <c r="IK271" t="e">
        <f>Europe!H643+"n/&gt;!/kr"</f>
        <v>#VALUE!</v>
      </c>
      <c r="IL271" t="e">
        <f>Europe!I643+"n/&gt;!/ks"</f>
        <v>#VALUE!</v>
      </c>
      <c r="IM271" t="e">
        <f>Europe!A644+"n/&gt;!/kt"</f>
        <v>#VALUE!</v>
      </c>
      <c r="IN271" t="e">
        <f>Europe!B644+"n/&gt;!/ku"</f>
        <v>#VALUE!</v>
      </c>
      <c r="IO271" t="e">
        <f>Europe!C644+"n/&gt;!/kv"</f>
        <v>#VALUE!</v>
      </c>
      <c r="IP271" t="e">
        <f>Europe!D644+"n/&gt;!/kw"</f>
        <v>#VALUE!</v>
      </c>
      <c r="IQ271" t="e">
        <f>Europe!E644+"n/&gt;!/kx"</f>
        <v>#VALUE!</v>
      </c>
      <c r="IR271" t="e">
        <f>Europe!F644+"n/&gt;!/ky"</f>
        <v>#VALUE!</v>
      </c>
      <c r="IS271" t="e">
        <f>Europe!G644+"n/&gt;!/kz"</f>
        <v>#VALUE!</v>
      </c>
      <c r="IT271" t="e">
        <f>Europe!H644+"n/&gt;!/k{"</f>
        <v>#VALUE!</v>
      </c>
      <c r="IU271" t="e">
        <f>Europe!I644+"n/&gt;!/k|"</f>
        <v>#VALUE!</v>
      </c>
      <c r="IV271" t="e">
        <f>Europe!A645+"n/&gt;!/k}"</f>
        <v>#VALUE!</v>
      </c>
    </row>
    <row r="272" spans="6:256" x14ac:dyDescent="0.35">
      <c r="F272" t="e">
        <f>Europe!B645+"n/&gt;!/k~"</f>
        <v>#VALUE!</v>
      </c>
      <c r="G272" t="e">
        <f>Europe!C645+"n/&gt;!/l#"</f>
        <v>#VALUE!</v>
      </c>
      <c r="H272" t="e">
        <f>Europe!D645+"n/&gt;!/l$"</f>
        <v>#VALUE!</v>
      </c>
      <c r="I272" t="e">
        <f>Europe!E645+"n/&gt;!/l%"</f>
        <v>#VALUE!</v>
      </c>
      <c r="J272" t="e">
        <f>Europe!F645+"n/&gt;!/l&amp;"</f>
        <v>#VALUE!</v>
      </c>
      <c r="K272" t="e">
        <f>Europe!G645+"n/&gt;!/l'"</f>
        <v>#VALUE!</v>
      </c>
      <c r="L272" t="e">
        <f>Europe!H645+"n/&gt;!/l("</f>
        <v>#VALUE!</v>
      </c>
      <c r="M272" t="e">
        <f>Europe!I645+"n/&gt;!/l)"</f>
        <v>#VALUE!</v>
      </c>
      <c r="N272" t="e">
        <f>Europe!A646+"n/&gt;!/l."</f>
        <v>#VALUE!</v>
      </c>
      <c r="O272" t="e">
        <f>Europe!B646+"n/&gt;!/l/"</f>
        <v>#VALUE!</v>
      </c>
      <c r="P272" t="e">
        <f>Europe!C646+"n/&gt;!/l0"</f>
        <v>#VALUE!</v>
      </c>
      <c r="Q272" t="e">
        <f>Europe!D646+"n/&gt;!/l1"</f>
        <v>#VALUE!</v>
      </c>
      <c r="R272" t="e">
        <f>Europe!E646+"n/&gt;!/l2"</f>
        <v>#VALUE!</v>
      </c>
      <c r="S272" t="e">
        <f>Europe!F646+"n/&gt;!/l3"</f>
        <v>#VALUE!</v>
      </c>
      <c r="T272" t="e">
        <f>Europe!G646+"n/&gt;!/l4"</f>
        <v>#VALUE!</v>
      </c>
      <c r="U272" t="e">
        <f>Europe!H646+"n/&gt;!/l5"</f>
        <v>#VALUE!</v>
      </c>
      <c r="V272" t="e">
        <f>Europe!I646+"n/&gt;!/l6"</f>
        <v>#VALUE!</v>
      </c>
      <c r="W272" t="e">
        <f>Europe!A647+"n/&gt;!/l7"</f>
        <v>#VALUE!</v>
      </c>
      <c r="X272" t="e">
        <f>Europe!B647+"n/&gt;!/l8"</f>
        <v>#VALUE!</v>
      </c>
      <c r="Y272" t="e">
        <f>Europe!C647+"n/&gt;!/l9"</f>
        <v>#VALUE!</v>
      </c>
      <c r="Z272" t="e">
        <f>Europe!D647+"n/&gt;!/l:"</f>
        <v>#VALUE!</v>
      </c>
      <c r="AA272" t="e">
        <f>Europe!E647+"n/&gt;!/l;"</f>
        <v>#VALUE!</v>
      </c>
      <c r="AB272" t="e">
        <f>Europe!F647+"n/&gt;!/l&lt;"</f>
        <v>#VALUE!</v>
      </c>
      <c r="AC272" t="e">
        <f>Europe!G647+"n/&gt;!/l="</f>
        <v>#VALUE!</v>
      </c>
      <c r="AD272" t="e">
        <f>Europe!H647+"n/&gt;!/l&gt;"</f>
        <v>#VALUE!</v>
      </c>
      <c r="AE272" t="e">
        <f>Europe!I647+"n/&gt;!/l?"</f>
        <v>#VALUE!</v>
      </c>
      <c r="AF272" t="e">
        <f>Europe!A648+"n/&gt;!/l@"</f>
        <v>#VALUE!</v>
      </c>
      <c r="AG272" t="e">
        <f>Europe!B648+"n/&gt;!/lA"</f>
        <v>#VALUE!</v>
      </c>
      <c r="AH272" t="e">
        <f>Europe!C648+"n/&gt;!/lB"</f>
        <v>#VALUE!</v>
      </c>
      <c r="AI272" t="e">
        <f>Europe!D648+"n/&gt;!/lC"</f>
        <v>#VALUE!</v>
      </c>
      <c r="AJ272" t="e">
        <f>Europe!E648+"n/&gt;!/lD"</f>
        <v>#VALUE!</v>
      </c>
      <c r="AK272" t="e">
        <f>Europe!F648+"n/&gt;!/lE"</f>
        <v>#VALUE!</v>
      </c>
      <c r="AL272" t="e">
        <f>Europe!G648+"n/&gt;!/lF"</f>
        <v>#VALUE!</v>
      </c>
      <c r="AM272" t="e">
        <f>Europe!H648+"n/&gt;!/lG"</f>
        <v>#VALUE!</v>
      </c>
      <c r="AN272" t="e">
        <f>Europe!I648+"n/&gt;!/lH"</f>
        <v>#VALUE!</v>
      </c>
      <c r="AO272" t="e">
        <f>Europe!A649+"n/&gt;!/lI"</f>
        <v>#VALUE!</v>
      </c>
      <c r="AP272" t="e">
        <f>Europe!B649+"n/&gt;!/lJ"</f>
        <v>#VALUE!</v>
      </c>
      <c r="AQ272" t="e">
        <f>Europe!C649+"n/&gt;!/lK"</f>
        <v>#VALUE!</v>
      </c>
      <c r="AR272" t="e">
        <f>Europe!D649+"n/&gt;!/lL"</f>
        <v>#VALUE!</v>
      </c>
      <c r="AS272" t="e">
        <f>Europe!E649+"n/&gt;!/lM"</f>
        <v>#VALUE!</v>
      </c>
      <c r="AT272" t="e">
        <f>Europe!F649+"n/&gt;!/lN"</f>
        <v>#VALUE!</v>
      </c>
      <c r="AU272" t="e">
        <f>Europe!G649+"n/&gt;!/lO"</f>
        <v>#VALUE!</v>
      </c>
      <c r="AV272" t="e">
        <f>Europe!H649+"n/&gt;!/lP"</f>
        <v>#VALUE!</v>
      </c>
      <c r="AW272" t="e">
        <f>Europe!I649+"n/&gt;!/lQ"</f>
        <v>#VALUE!</v>
      </c>
      <c r="AX272" t="e">
        <f>Europe!A650+"n/&gt;!/lR"</f>
        <v>#VALUE!</v>
      </c>
      <c r="AY272" t="e">
        <f>Europe!B650+"n/&gt;!/lS"</f>
        <v>#VALUE!</v>
      </c>
      <c r="AZ272" t="e">
        <f>Europe!C650+"n/&gt;!/lT"</f>
        <v>#VALUE!</v>
      </c>
      <c r="BA272" t="e">
        <f>Europe!D650+"n/&gt;!/lU"</f>
        <v>#VALUE!</v>
      </c>
      <c r="BB272" t="e">
        <f>Europe!E650+"n/&gt;!/lV"</f>
        <v>#VALUE!</v>
      </c>
      <c r="BC272" t="e">
        <f>Europe!F650+"n/&gt;!/lW"</f>
        <v>#VALUE!</v>
      </c>
      <c r="BD272" t="e">
        <f>Europe!G650+"n/&gt;!/lX"</f>
        <v>#VALUE!</v>
      </c>
      <c r="BE272" t="e">
        <f>Europe!H650+"n/&gt;!/lY"</f>
        <v>#VALUE!</v>
      </c>
      <c r="BF272" t="e">
        <f>Europe!I650+"n/&gt;!/lZ"</f>
        <v>#VALUE!</v>
      </c>
      <c r="BG272" t="e">
        <f>Europe!A651+"n/&gt;!/l["</f>
        <v>#VALUE!</v>
      </c>
      <c r="BH272" t="e">
        <f>Europe!B651+"n/&gt;!/l\"</f>
        <v>#VALUE!</v>
      </c>
      <c r="BI272" t="e">
        <f>Europe!C651+"n/&gt;!/l]"</f>
        <v>#VALUE!</v>
      </c>
      <c r="BJ272" t="e">
        <f>Europe!D651+"n/&gt;!/l^"</f>
        <v>#VALUE!</v>
      </c>
      <c r="BK272" t="e">
        <f>Europe!E651+"n/&gt;!/l_"</f>
        <v>#VALUE!</v>
      </c>
      <c r="BL272" t="e">
        <f>Europe!F651+"n/&gt;!/l`"</f>
        <v>#VALUE!</v>
      </c>
      <c r="BM272" t="e">
        <f>Europe!G651+"n/&gt;!/la"</f>
        <v>#VALUE!</v>
      </c>
      <c r="BN272" t="e">
        <f>Europe!H651+"n/&gt;!/lb"</f>
        <v>#VALUE!</v>
      </c>
      <c r="BO272" t="e">
        <f>Europe!I651+"n/&gt;!/lc"</f>
        <v>#VALUE!</v>
      </c>
      <c r="BP272" t="e">
        <f>Europe!A652+"n/&gt;!/ld"</f>
        <v>#VALUE!</v>
      </c>
      <c r="BQ272" t="e">
        <f>Europe!B652+"n/&gt;!/le"</f>
        <v>#VALUE!</v>
      </c>
      <c r="BR272" t="e">
        <f>Europe!C652+"n/&gt;!/lf"</f>
        <v>#VALUE!</v>
      </c>
      <c r="BS272" t="e">
        <f>Europe!D652+"n/&gt;!/lg"</f>
        <v>#VALUE!</v>
      </c>
      <c r="BT272" t="e">
        <f>Europe!E652+"n/&gt;!/lh"</f>
        <v>#VALUE!</v>
      </c>
      <c r="BU272" t="e">
        <f>Europe!F652+"n/&gt;!/li"</f>
        <v>#VALUE!</v>
      </c>
      <c r="BV272" t="e">
        <f>Europe!G652+"n/&gt;!/lj"</f>
        <v>#VALUE!</v>
      </c>
      <c r="BW272" t="e">
        <f>Europe!H652+"n/&gt;!/lk"</f>
        <v>#VALUE!</v>
      </c>
      <c r="BX272" t="e">
        <f>Europe!I652+"n/&gt;!/ll"</f>
        <v>#VALUE!</v>
      </c>
      <c r="BY272" t="e">
        <f>Europe!A653+"n/&gt;!/lm"</f>
        <v>#VALUE!</v>
      </c>
      <c r="BZ272" t="e">
        <f>Europe!B653+"n/&gt;!/ln"</f>
        <v>#VALUE!</v>
      </c>
      <c r="CA272" t="e">
        <f>Europe!C653+"n/&gt;!/lo"</f>
        <v>#VALUE!</v>
      </c>
      <c r="CB272" t="e">
        <f>Europe!D653+"n/&gt;!/lp"</f>
        <v>#VALUE!</v>
      </c>
      <c r="CC272" t="e">
        <f>Europe!E653+"n/&gt;!/lq"</f>
        <v>#VALUE!</v>
      </c>
      <c r="CD272" t="e">
        <f>Europe!F653+"n/&gt;!/lr"</f>
        <v>#VALUE!</v>
      </c>
      <c r="CE272" t="e">
        <f>Europe!G653+"n/&gt;!/ls"</f>
        <v>#VALUE!</v>
      </c>
      <c r="CF272" t="e">
        <f>Europe!H653+"n/&gt;!/lt"</f>
        <v>#VALUE!</v>
      </c>
      <c r="CG272" t="e">
        <f>Europe!I653+"n/&gt;!/lu"</f>
        <v>#VALUE!</v>
      </c>
      <c r="CH272" t="e">
        <f>Europe!A654+"n/&gt;!/lv"</f>
        <v>#VALUE!</v>
      </c>
      <c r="CI272" t="e">
        <f>Europe!B654+"n/&gt;!/lw"</f>
        <v>#VALUE!</v>
      </c>
      <c r="CJ272" t="e">
        <f>Europe!C654+"n/&gt;!/lx"</f>
        <v>#VALUE!</v>
      </c>
      <c r="CK272" t="e">
        <f>Europe!D654+"n/&gt;!/ly"</f>
        <v>#VALUE!</v>
      </c>
      <c r="CL272" t="e">
        <f>Europe!E654+"n/&gt;!/lz"</f>
        <v>#VALUE!</v>
      </c>
      <c r="CM272" t="e">
        <f>Europe!F654+"n/&gt;!/l{"</f>
        <v>#VALUE!</v>
      </c>
      <c r="CN272" t="e">
        <f>Europe!G654+"n/&gt;!/l|"</f>
        <v>#VALUE!</v>
      </c>
      <c r="CO272" t="e">
        <f>Europe!H654+"n/&gt;!/l}"</f>
        <v>#VALUE!</v>
      </c>
      <c r="CP272" t="e">
        <f>Europe!I654+"n/&gt;!/l~"</f>
        <v>#VALUE!</v>
      </c>
      <c r="CQ272" t="e">
        <f>Europe!A655+"n/&gt;!/m#"</f>
        <v>#VALUE!</v>
      </c>
      <c r="CR272" t="e">
        <f>Europe!B655+"n/&gt;!/m$"</f>
        <v>#VALUE!</v>
      </c>
      <c r="CS272" t="e">
        <f>Europe!C655+"n/&gt;!/m%"</f>
        <v>#VALUE!</v>
      </c>
      <c r="CT272" t="e">
        <f>Europe!D655+"n/&gt;!/m&amp;"</f>
        <v>#VALUE!</v>
      </c>
      <c r="CU272" t="e">
        <f>Europe!E655+"n/&gt;!/m'"</f>
        <v>#VALUE!</v>
      </c>
      <c r="CV272" t="e">
        <f>Europe!F655+"n/&gt;!/m("</f>
        <v>#VALUE!</v>
      </c>
      <c r="CW272" t="e">
        <f>Europe!G655+"n/&gt;!/m)"</f>
        <v>#VALUE!</v>
      </c>
      <c r="CX272" t="e">
        <f>Europe!H655+"n/&gt;!/m."</f>
        <v>#VALUE!</v>
      </c>
      <c r="CY272" t="e">
        <f>Europe!I655+"n/&gt;!/m/"</f>
        <v>#VALUE!</v>
      </c>
      <c r="CZ272" t="e">
        <f>Europe!A656+"n/&gt;!/m0"</f>
        <v>#VALUE!</v>
      </c>
      <c r="DA272" t="e">
        <f>Europe!B656+"n/&gt;!/m1"</f>
        <v>#VALUE!</v>
      </c>
      <c r="DB272" t="e">
        <f>Europe!C656+"n/&gt;!/m2"</f>
        <v>#VALUE!</v>
      </c>
      <c r="DC272" t="e">
        <f>Europe!D656+"n/&gt;!/m3"</f>
        <v>#VALUE!</v>
      </c>
      <c r="DD272" t="e">
        <f>Europe!E656+"n/&gt;!/m4"</f>
        <v>#VALUE!</v>
      </c>
      <c r="DE272" t="e">
        <f>Europe!F656+"n/&gt;!/m5"</f>
        <v>#VALUE!</v>
      </c>
      <c r="DF272" t="e">
        <f>Europe!G656+"n/&gt;!/m6"</f>
        <v>#VALUE!</v>
      </c>
      <c r="DG272" t="e">
        <f>Europe!H656+"n/&gt;!/m7"</f>
        <v>#VALUE!</v>
      </c>
      <c r="DH272" t="e">
        <f>Europe!I656+"n/&gt;!/m8"</f>
        <v>#VALUE!</v>
      </c>
      <c r="DI272" t="e">
        <f>Europe!A657+"n/&gt;!/m9"</f>
        <v>#VALUE!</v>
      </c>
      <c r="DJ272" t="e">
        <f>Europe!B657+"n/&gt;!/m:"</f>
        <v>#VALUE!</v>
      </c>
      <c r="DK272" t="e">
        <f>Europe!C657+"n/&gt;!/m;"</f>
        <v>#VALUE!</v>
      </c>
      <c r="DL272" t="e">
        <f>Europe!D657+"n/&gt;!/m&lt;"</f>
        <v>#VALUE!</v>
      </c>
      <c r="DM272" t="e">
        <f>Europe!E657+"n/&gt;!/m="</f>
        <v>#VALUE!</v>
      </c>
      <c r="DN272" t="e">
        <f>Europe!F657+"n/&gt;!/m&gt;"</f>
        <v>#VALUE!</v>
      </c>
      <c r="DO272" t="e">
        <f>Europe!G657+"n/&gt;!/m?"</f>
        <v>#VALUE!</v>
      </c>
      <c r="DP272" t="e">
        <f>Europe!H657+"n/&gt;!/m@"</f>
        <v>#VALUE!</v>
      </c>
      <c r="DQ272" t="e">
        <f>Europe!I657+"n/&gt;!/mA"</f>
        <v>#VALUE!</v>
      </c>
      <c r="DR272" t="e">
        <f>Europe!A658+"n/&gt;!/mB"</f>
        <v>#VALUE!</v>
      </c>
      <c r="DS272" t="e">
        <f>Europe!B658+"n/&gt;!/mC"</f>
        <v>#VALUE!</v>
      </c>
      <c r="DT272" t="e">
        <f>Europe!C658+"n/&gt;!/mD"</f>
        <v>#VALUE!</v>
      </c>
      <c r="DU272" t="e">
        <f>Europe!D658+"n/&gt;!/mE"</f>
        <v>#VALUE!</v>
      </c>
      <c r="DV272" t="e">
        <f>Europe!E658+"n/&gt;!/mF"</f>
        <v>#VALUE!</v>
      </c>
      <c r="DW272" t="e">
        <f>Europe!F658+"n/&gt;!/mG"</f>
        <v>#VALUE!</v>
      </c>
      <c r="DX272" t="e">
        <f>Europe!G658+"n/&gt;!/mH"</f>
        <v>#VALUE!</v>
      </c>
      <c r="DY272" t="e">
        <f>Europe!H658+"n/&gt;!/mI"</f>
        <v>#VALUE!</v>
      </c>
      <c r="DZ272" t="e">
        <f>Europe!I658+"n/&gt;!/mJ"</f>
        <v>#VALUE!</v>
      </c>
      <c r="EA272" t="e">
        <f>Europe!A659+"n/&gt;!/mK"</f>
        <v>#VALUE!</v>
      </c>
      <c r="EB272" t="e">
        <f>Europe!B659+"n/&gt;!/mL"</f>
        <v>#VALUE!</v>
      </c>
      <c r="EC272" t="e">
        <f>Europe!C659+"n/&gt;!/mM"</f>
        <v>#VALUE!</v>
      </c>
      <c r="ED272" t="e">
        <f>Europe!D659+"n/&gt;!/mN"</f>
        <v>#VALUE!</v>
      </c>
      <c r="EE272" t="e">
        <f>Europe!E659+"n/&gt;!/mO"</f>
        <v>#VALUE!</v>
      </c>
      <c r="EF272" t="e">
        <f>Europe!F659+"n/&gt;!/mP"</f>
        <v>#VALUE!</v>
      </c>
      <c r="EG272" t="e">
        <f>Europe!G659+"n/&gt;!/mQ"</f>
        <v>#VALUE!</v>
      </c>
      <c r="EH272" t="e">
        <f>Europe!H659+"n/&gt;!/mR"</f>
        <v>#VALUE!</v>
      </c>
      <c r="EI272" t="e">
        <f>Europe!I659+"n/&gt;!/mS"</f>
        <v>#VALUE!</v>
      </c>
      <c r="EJ272" t="e">
        <f>Europe!A660+"n/&gt;!/mT"</f>
        <v>#VALUE!</v>
      </c>
      <c r="EK272" t="e">
        <f>Europe!B660+"n/&gt;!/mU"</f>
        <v>#VALUE!</v>
      </c>
      <c r="EL272" t="e">
        <f>Europe!C660+"n/&gt;!/mV"</f>
        <v>#VALUE!</v>
      </c>
      <c r="EM272" t="e">
        <f>Europe!D660+"n/&gt;!/mW"</f>
        <v>#VALUE!</v>
      </c>
      <c r="EN272" t="e">
        <f>Europe!E660+"n/&gt;!/mX"</f>
        <v>#VALUE!</v>
      </c>
      <c r="EO272" t="e">
        <f>Europe!F660+"n/&gt;!/mY"</f>
        <v>#VALUE!</v>
      </c>
      <c r="EP272" t="e">
        <f>Europe!G660+"n/&gt;!/mZ"</f>
        <v>#VALUE!</v>
      </c>
      <c r="EQ272" t="e">
        <f>Europe!H660+"n/&gt;!/m["</f>
        <v>#VALUE!</v>
      </c>
      <c r="ER272" t="e">
        <f>Europe!I660+"n/&gt;!/m\"</f>
        <v>#VALUE!</v>
      </c>
      <c r="ES272" t="e">
        <f>Europe!A661+"n/&gt;!/m]"</f>
        <v>#VALUE!</v>
      </c>
      <c r="ET272" t="e">
        <f>Europe!B661+"n/&gt;!/m^"</f>
        <v>#VALUE!</v>
      </c>
      <c r="EU272" t="e">
        <f>Europe!C661+"n/&gt;!/m_"</f>
        <v>#VALUE!</v>
      </c>
      <c r="EV272" t="e">
        <f>Europe!D661+"n/&gt;!/m`"</f>
        <v>#VALUE!</v>
      </c>
      <c r="EW272" t="e">
        <f>Europe!E661+"n/&gt;!/ma"</f>
        <v>#VALUE!</v>
      </c>
      <c r="EX272" t="e">
        <f>Europe!F661+"n/&gt;!/mb"</f>
        <v>#VALUE!</v>
      </c>
      <c r="EY272" t="e">
        <f>Europe!G661+"n/&gt;!/mc"</f>
        <v>#VALUE!</v>
      </c>
      <c r="EZ272" t="e">
        <f>Europe!H661+"n/&gt;!/md"</f>
        <v>#VALUE!</v>
      </c>
      <c r="FA272" t="e">
        <f>Europe!I661+"n/&gt;!/me"</f>
        <v>#VALUE!</v>
      </c>
      <c r="FB272" t="e">
        <f>Europe!A662+"n/&gt;!/mf"</f>
        <v>#VALUE!</v>
      </c>
      <c r="FC272" t="e">
        <f>Europe!B662+"n/&gt;!/mg"</f>
        <v>#VALUE!</v>
      </c>
      <c r="FD272" t="e">
        <f>Europe!C662+"n/&gt;!/mh"</f>
        <v>#VALUE!</v>
      </c>
      <c r="FE272" t="e">
        <f>Europe!D662+"n/&gt;!/mi"</f>
        <v>#VALUE!</v>
      </c>
      <c r="FF272" t="e">
        <f>Europe!E662+"n/&gt;!/mj"</f>
        <v>#VALUE!</v>
      </c>
      <c r="FG272" t="e">
        <f>Europe!F662+"n/&gt;!/mk"</f>
        <v>#VALUE!</v>
      </c>
      <c r="FH272" t="e">
        <f>Europe!G662+"n/&gt;!/ml"</f>
        <v>#VALUE!</v>
      </c>
      <c r="FI272" t="e">
        <f>Europe!H662+"n/&gt;!/mm"</f>
        <v>#VALUE!</v>
      </c>
      <c r="FJ272" t="e">
        <f>Europe!I662+"n/&gt;!/mn"</f>
        <v>#VALUE!</v>
      </c>
      <c r="FK272" t="e">
        <f>Europe!A663+"n/&gt;!/mo"</f>
        <v>#VALUE!</v>
      </c>
      <c r="FL272" t="e">
        <f>Europe!B663+"n/&gt;!/mp"</f>
        <v>#VALUE!</v>
      </c>
      <c r="FM272" t="e">
        <f>Europe!C663+"n/&gt;!/mq"</f>
        <v>#VALUE!</v>
      </c>
      <c r="FN272" t="e">
        <f>Europe!D663+"n/&gt;!/mr"</f>
        <v>#VALUE!</v>
      </c>
      <c r="FO272" t="e">
        <f>Europe!E663+"n/&gt;!/ms"</f>
        <v>#VALUE!</v>
      </c>
      <c r="FP272" t="e">
        <f>Europe!F663+"n/&gt;!/mt"</f>
        <v>#VALUE!</v>
      </c>
      <c r="FQ272" t="e">
        <f>Europe!G663+"n/&gt;!/mu"</f>
        <v>#VALUE!</v>
      </c>
      <c r="FR272" t="e">
        <f>Europe!H663+"n/&gt;!/mv"</f>
        <v>#VALUE!</v>
      </c>
      <c r="FS272" t="e">
        <f>Europe!I663+"n/&gt;!/mw"</f>
        <v>#VALUE!</v>
      </c>
      <c r="FT272" t="e">
        <f>Europe!A664+"n/&gt;!/mx"</f>
        <v>#VALUE!</v>
      </c>
      <c r="FU272" t="e">
        <f>Europe!B664+"n/&gt;!/my"</f>
        <v>#VALUE!</v>
      </c>
      <c r="FV272" t="e">
        <f>Europe!C664+"n/&gt;!/mz"</f>
        <v>#VALUE!</v>
      </c>
      <c r="FW272" t="e">
        <f>Europe!D664+"n/&gt;!/m{"</f>
        <v>#VALUE!</v>
      </c>
      <c r="FX272" t="e">
        <f>Europe!E664+"n/&gt;!/m|"</f>
        <v>#VALUE!</v>
      </c>
      <c r="FY272" t="e">
        <f>Europe!F664+"n/&gt;!/m}"</f>
        <v>#VALUE!</v>
      </c>
      <c r="FZ272" t="e">
        <f>Europe!G664+"n/&gt;!/m~"</f>
        <v>#VALUE!</v>
      </c>
      <c r="GA272" t="e">
        <f>Europe!H664+"n/&gt;!/n#"</f>
        <v>#VALUE!</v>
      </c>
      <c r="GB272" t="e">
        <f>Europe!I664+"n/&gt;!/n$"</f>
        <v>#VALUE!</v>
      </c>
      <c r="GC272" t="e">
        <f>Europe!A665+"n/&gt;!/n%"</f>
        <v>#VALUE!</v>
      </c>
      <c r="GD272" t="e">
        <f>Europe!B665+"n/&gt;!/n&amp;"</f>
        <v>#VALUE!</v>
      </c>
      <c r="GE272" t="e">
        <f>Europe!C665+"n/&gt;!/n'"</f>
        <v>#VALUE!</v>
      </c>
      <c r="GF272" t="e">
        <f>Europe!D665+"n/&gt;!/n("</f>
        <v>#VALUE!</v>
      </c>
      <c r="GG272" t="e">
        <f>Europe!E665+"n/&gt;!/n)"</f>
        <v>#VALUE!</v>
      </c>
      <c r="GH272" t="e">
        <f>Europe!F665+"n/&gt;!/n."</f>
        <v>#VALUE!</v>
      </c>
      <c r="GI272" t="e">
        <f>Europe!G665+"n/&gt;!/n/"</f>
        <v>#VALUE!</v>
      </c>
      <c r="GJ272" t="e">
        <f>Europe!H665+"n/&gt;!/n0"</f>
        <v>#VALUE!</v>
      </c>
      <c r="GK272" t="e">
        <f>Europe!I665+"n/&gt;!/n1"</f>
        <v>#VALUE!</v>
      </c>
      <c r="GL272" t="e">
        <f>Europe!A666+"n/&gt;!/n2"</f>
        <v>#VALUE!</v>
      </c>
      <c r="GM272" t="e">
        <f>Europe!B666+"n/&gt;!/n3"</f>
        <v>#VALUE!</v>
      </c>
      <c r="GN272" t="e">
        <f>Europe!C666+"n/&gt;!/n4"</f>
        <v>#VALUE!</v>
      </c>
      <c r="GO272" t="e">
        <f>Europe!D666+"n/&gt;!/n5"</f>
        <v>#VALUE!</v>
      </c>
      <c r="GP272" t="e">
        <f>Europe!E666+"n/&gt;!/n6"</f>
        <v>#VALUE!</v>
      </c>
      <c r="GQ272" t="e">
        <f>Europe!F666+"n/&gt;!/n7"</f>
        <v>#VALUE!</v>
      </c>
      <c r="GR272" t="e">
        <f>Europe!G666+"n/&gt;!/n8"</f>
        <v>#VALUE!</v>
      </c>
      <c r="GS272" t="e">
        <f>Europe!H666+"n/&gt;!/n9"</f>
        <v>#VALUE!</v>
      </c>
      <c r="GT272" t="e">
        <f>Europe!I666+"n/&gt;!/n:"</f>
        <v>#VALUE!</v>
      </c>
      <c r="GU272" t="e">
        <f>Europe!A667+"n/&gt;!/n;"</f>
        <v>#VALUE!</v>
      </c>
      <c r="GV272" t="e">
        <f>Europe!B667+"n/&gt;!/n&lt;"</f>
        <v>#VALUE!</v>
      </c>
      <c r="GW272" t="e">
        <f>Europe!C667+"n/&gt;!/n="</f>
        <v>#VALUE!</v>
      </c>
      <c r="GX272" t="e">
        <f>Europe!D667+"n/&gt;!/n&gt;"</f>
        <v>#VALUE!</v>
      </c>
      <c r="GY272" t="e">
        <f>Europe!E667+"n/&gt;!/n?"</f>
        <v>#VALUE!</v>
      </c>
      <c r="GZ272" t="e">
        <f>Europe!F667+"n/&gt;!/n@"</f>
        <v>#VALUE!</v>
      </c>
      <c r="HA272" t="e">
        <f>Europe!G667+"n/&gt;!/nA"</f>
        <v>#VALUE!</v>
      </c>
      <c r="HB272" t="e">
        <f>Europe!H667+"n/&gt;!/nB"</f>
        <v>#VALUE!</v>
      </c>
      <c r="HC272" t="e">
        <f>Europe!I667+"n/&gt;!/nC"</f>
        <v>#VALUE!</v>
      </c>
      <c r="HD272" t="e">
        <f>Europe!A668+"n/&gt;!/nD"</f>
        <v>#VALUE!</v>
      </c>
      <c r="HE272" t="e">
        <f>Europe!B668+"n/&gt;!/nE"</f>
        <v>#VALUE!</v>
      </c>
      <c r="HF272" t="e">
        <f>Europe!C668+"n/&gt;!/nF"</f>
        <v>#VALUE!</v>
      </c>
      <c r="HG272" t="e">
        <f>Europe!D668+"n/&gt;!/nG"</f>
        <v>#VALUE!</v>
      </c>
      <c r="HH272" t="e">
        <f>Europe!E668+"n/&gt;!/nH"</f>
        <v>#VALUE!</v>
      </c>
      <c r="HI272" t="e">
        <f>Europe!F668+"n/&gt;!/nI"</f>
        <v>#VALUE!</v>
      </c>
      <c r="HJ272" t="e">
        <f>Europe!G668+"n/&gt;!/nJ"</f>
        <v>#VALUE!</v>
      </c>
      <c r="HK272" t="e">
        <f>Europe!H668+"n/&gt;!/nK"</f>
        <v>#VALUE!</v>
      </c>
      <c r="HL272" t="e">
        <f>Europe!I668+"n/&gt;!/nL"</f>
        <v>#VALUE!</v>
      </c>
      <c r="HM272" t="e">
        <f>Europe!A669+"n/&gt;!/nM"</f>
        <v>#VALUE!</v>
      </c>
      <c r="HN272" t="e">
        <f>Europe!B669+"n/&gt;!/nN"</f>
        <v>#VALUE!</v>
      </c>
      <c r="HO272" t="e">
        <f>Europe!C669+"n/&gt;!/nO"</f>
        <v>#VALUE!</v>
      </c>
      <c r="HP272" t="e">
        <f>Europe!D669+"n/&gt;!/nP"</f>
        <v>#VALUE!</v>
      </c>
      <c r="HQ272" t="e">
        <f>Europe!E669+"n/&gt;!/nQ"</f>
        <v>#VALUE!</v>
      </c>
      <c r="HR272" t="e">
        <f>Europe!F669+"n/&gt;!/nR"</f>
        <v>#VALUE!</v>
      </c>
      <c r="HS272" t="e">
        <f>Europe!G669+"n/&gt;!/nS"</f>
        <v>#VALUE!</v>
      </c>
      <c r="HT272" t="e">
        <f>Europe!H669+"n/&gt;!/nT"</f>
        <v>#VALUE!</v>
      </c>
      <c r="HU272" t="e">
        <f>Europe!I669+"n/&gt;!/nU"</f>
        <v>#VALUE!</v>
      </c>
      <c r="HV272" t="e">
        <f>Europe!A670+"n/&gt;!/nV"</f>
        <v>#VALUE!</v>
      </c>
      <c r="HW272" t="e">
        <f>Europe!B670+"n/&gt;!/nW"</f>
        <v>#VALUE!</v>
      </c>
      <c r="HX272" t="e">
        <f>Europe!C670+"n/&gt;!/nX"</f>
        <v>#VALUE!</v>
      </c>
      <c r="HY272" t="e">
        <f>Europe!D670+"n/&gt;!/nY"</f>
        <v>#VALUE!</v>
      </c>
      <c r="HZ272" t="e">
        <f>Europe!E670+"n/&gt;!/nZ"</f>
        <v>#VALUE!</v>
      </c>
      <c r="IA272" t="e">
        <f>Europe!F670+"n/&gt;!/n["</f>
        <v>#VALUE!</v>
      </c>
      <c r="IB272" t="e">
        <f>Europe!G670+"n/&gt;!/n\"</f>
        <v>#VALUE!</v>
      </c>
      <c r="IC272" t="e">
        <f>Europe!H670+"n/&gt;!/n]"</f>
        <v>#VALUE!</v>
      </c>
      <c r="ID272" t="e">
        <f>Europe!I670+"n/&gt;!/n^"</f>
        <v>#VALUE!</v>
      </c>
      <c r="IE272" t="e">
        <f>Europe!A671+"n/&gt;!/n_"</f>
        <v>#VALUE!</v>
      </c>
      <c r="IF272" t="e">
        <f>Europe!B671+"n/&gt;!/n`"</f>
        <v>#VALUE!</v>
      </c>
      <c r="IG272" t="e">
        <f>Europe!C671+"n/&gt;!/na"</f>
        <v>#VALUE!</v>
      </c>
      <c r="IH272" t="e">
        <f>Europe!D671+"n/&gt;!/nb"</f>
        <v>#VALUE!</v>
      </c>
      <c r="II272" t="e">
        <f>Europe!E671+"n/&gt;!/nc"</f>
        <v>#VALUE!</v>
      </c>
      <c r="IJ272" t="e">
        <f>Europe!F671+"n/&gt;!/nd"</f>
        <v>#VALUE!</v>
      </c>
      <c r="IK272" t="e">
        <f>Europe!G671+"n/&gt;!/ne"</f>
        <v>#VALUE!</v>
      </c>
      <c r="IL272" t="e">
        <f>Europe!H671+"n/&gt;!/nf"</f>
        <v>#VALUE!</v>
      </c>
      <c r="IM272" t="e">
        <f>Europe!I671+"n/&gt;!/ng"</f>
        <v>#VALUE!</v>
      </c>
      <c r="IN272" t="e">
        <f>Europe!A672+"n/&gt;!/nh"</f>
        <v>#VALUE!</v>
      </c>
      <c r="IO272" t="e">
        <f>Europe!B672+"n/&gt;!/ni"</f>
        <v>#VALUE!</v>
      </c>
      <c r="IP272" t="e">
        <f>Europe!C672+"n/&gt;!/nj"</f>
        <v>#VALUE!</v>
      </c>
      <c r="IQ272" t="e">
        <f>Europe!D672+"n/&gt;!/nk"</f>
        <v>#VALUE!</v>
      </c>
      <c r="IR272" t="e">
        <f>Europe!E672+"n/&gt;!/nl"</f>
        <v>#VALUE!</v>
      </c>
      <c r="IS272" t="e">
        <f>Europe!F672+"n/&gt;!/nm"</f>
        <v>#VALUE!</v>
      </c>
      <c r="IT272" t="e">
        <f>Europe!G672+"n/&gt;!/nn"</f>
        <v>#VALUE!</v>
      </c>
      <c r="IU272" t="e">
        <f>Europe!H672+"n/&gt;!/no"</f>
        <v>#VALUE!</v>
      </c>
      <c r="IV272" t="e">
        <f>Europe!I672+"n/&gt;!/np"</f>
        <v>#VALUE!</v>
      </c>
    </row>
    <row r="273" spans="6:256" x14ac:dyDescent="0.35">
      <c r="F273" t="e">
        <f>Europe!A673+"n/&gt;!/nq"</f>
        <v>#VALUE!</v>
      </c>
      <c r="G273" t="e">
        <f>Europe!B673+"n/&gt;!/nr"</f>
        <v>#VALUE!</v>
      </c>
      <c r="H273" t="e">
        <f>Europe!C673+"n/&gt;!/ns"</f>
        <v>#VALUE!</v>
      </c>
      <c r="I273" t="e">
        <f>Europe!D673+"n/&gt;!/nt"</f>
        <v>#VALUE!</v>
      </c>
      <c r="J273" t="e">
        <f>Europe!E673+"n/&gt;!/nu"</f>
        <v>#VALUE!</v>
      </c>
      <c r="K273" t="e">
        <f>Europe!F673+"n/&gt;!/nv"</f>
        <v>#VALUE!</v>
      </c>
      <c r="L273" t="e">
        <f>Europe!G673+"n/&gt;!/nw"</f>
        <v>#VALUE!</v>
      </c>
      <c r="M273" t="e">
        <f>Europe!H673+"n/&gt;!/nx"</f>
        <v>#VALUE!</v>
      </c>
      <c r="N273" t="e">
        <f>Europe!I673+"n/&gt;!/ny"</f>
        <v>#VALUE!</v>
      </c>
      <c r="O273" t="e">
        <f>Europe!A674+"n/&gt;!/nz"</f>
        <v>#VALUE!</v>
      </c>
      <c r="P273" t="e">
        <f>Europe!B674+"n/&gt;!/n{"</f>
        <v>#VALUE!</v>
      </c>
      <c r="Q273" t="e">
        <f>Europe!C674+"n/&gt;!/n|"</f>
        <v>#VALUE!</v>
      </c>
      <c r="R273" t="e">
        <f>Europe!D674+"n/&gt;!/n}"</f>
        <v>#VALUE!</v>
      </c>
      <c r="S273" t="e">
        <f>Europe!E674+"n/&gt;!/n~"</f>
        <v>#VALUE!</v>
      </c>
      <c r="T273" t="e">
        <f>Europe!F674+"n/&gt;!/o#"</f>
        <v>#VALUE!</v>
      </c>
      <c r="U273" t="e">
        <f>Europe!G674+"n/&gt;!/o$"</f>
        <v>#VALUE!</v>
      </c>
      <c r="V273" t="e">
        <f>Europe!H674+"n/&gt;!/o%"</f>
        <v>#VALUE!</v>
      </c>
      <c r="W273" t="e">
        <f>Europe!I674+"n/&gt;!/o&amp;"</f>
        <v>#VALUE!</v>
      </c>
      <c r="X273" t="e">
        <f>Europe!A675+"n/&gt;!/o'"</f>
        <v>#VALUE!</v>
      </c>
      <c r="Y273" t="e">
        <f>Europe!B675+"n/&gt;!/o("</f>
        <v>#VALUE!</v>
      </c>
      <c r="Z273" t="e">
        <f>Europe!C675+"n/&gt;!/o)"</f>
        <v>#VALUE!</v>
      </c>
      <c r="AA273" t="e">
        <f>Europe!D675+"n/&gt;!/o."</f>
        <v>#VALUE!</v>
      </c>
      <c r="AB273" t="e">
        <f>Europe!E675+"n/&gt;!/o/"</f>
        <v>#VALUE!</v>
      </c>
      <c r="AC273" t="e">
        <f>Europe!F675+"n/&gt;!/o0"</f>
        <v>#VALUE!</v>
      </c>
      <c r="AD273" t="e">
        <f>Europe!G675+"n/&gt;!/o1"</f>
        <v>#VALUE!</v>
      </c>
      <c r="AE273" t="e">
        <f>Europe!H675+"n/&gt;!/o2"</f>
        <v>#VALUE!</v>
      </c>
      <c r="AF273" t="e">
        <f>Europe!I675+"n/&gt;!/o3"</f>
        <v>#VALUE!</v>
      </c>
      <c r="AG273" t="e">
        <f>Europe!A676+"n/&gt;!/o4"</f>
        <v>#VALUE!</v>
      </c>
      <c r="AH273" t="e">
        <f>Europe!B676+"n/&gt;!/o5"</f>
        <v>#VALUE!</v>
      </c>
      <c r="AI273" t="e">
        <f>Europe!C676+"n/&gt;!/o6"</f>
        <v>#VALUE!</v>
      </c>
      <c r="AJ273" t="e">
        <f>Europe!D676+"n/&gt;!/o7"</f>
        <v>#VALUE!</v>
      </c>
      <c r="AK273" t="e">
        <f>Europe!E676+"n/&gt;!/o8"</f>
        <v>#VALUE!</v>
      </c>
      <c r="AL273" t="e">
        <f>Europe!F676+"n/&gt;!/o9"</f>
        <v>#VALUE!</v>
      </c>
      <c r="AM273" t="e">
        <f>Europe!G676+"n/&gt;!/o:"</f>
        <v>#VALUE!</v>
      </c>
      <c r="AN273" t="e">
        <f>Europe!H676+"n/&gt;!/o;"</f>
        <v>#VALUE!</v>
      </c>
      <c r="AO273" t="e">
        <f>Europe!I676+"n/&gt;!/o&lt;"</f>
        <v>#VALUE!</v>
      </c>
      <c r="AP273" t="e">
        <f>Europe!A677+"n/&gt;!/o="</f>
        <v>#VALUE!</v>
      </c>
      <c r="AQ273" t="e">
        <f>Europe!B677+"n/&gt;!/o&gt;"</f>
        <v>#VALUE!</v>
      </c>
      <c r="AR273" t="e">
        <f>Europe!C677+"n/&gt;!/o?"</f>
        <v>#VALUE!</v>
      </c>
      <c r="AS273" t="e">
        <f>Europe!D677+"n/&gt;!/o@"</f>
        <v>#VALUE!</v>
      </c>
      <c r="AT273" t="e">
        <f>Europe!E677+"n/&gt;!/oA"</f>
        <v>#VALUE!</v>
      </c>
      <c r="AU273" t="e">
        <f>Europe!F677+"n/&gt;!/oB"</f>
        <v>#VALUE!</v>
      </c>
      <c r="AV273" t="e">
        <f>Europe!G677+"n/&gt;!/oC"</f>
        <v>#VALUE!</v>
      </c>
      <c r="AW273" t="e">
        <f>Europe!H677+"n/&gt;!/oD"</f>
        <v>#VALUE!</v>
      </c>
      <c r="AX273" t="e">
        <f>Europe!I677+"n/&gt;!/oE"</f>
        <v>#VALUE!</v>
      </c>
      <c r="AY273" t="e">
        <f>Europe!A678+"n/&gt;!/oF"</f>
        <v>#VALUE!</v>
      </c>
      <c r="AZ273" t="e">
        <f>Europe!B678+"n/&gt;!/oG"</f>
        <v>#VALUE!</v>
      </c>
      <c r="BA273" t="e">
        <f>Europe!C678+"n/&gt;!/oH"</f>
        <v>#VALUE!</v>
      </c>
      <c r="BB273" t="e">
        <f>Europe!D678+"n/&gt;!/oI"</f>
        <v>#VALUE!</v>
      </c>
      <c r="BC273" t="e">
        <f>Europe!E678+"n/&gt;!/oJ"</f>
        <v>#VALUE!</v>
      </c>
      <c r="BD273" t="e">
        <f>Europe!F678+"n/&gt;!/oK"</f>
        <v>#VALUE!</v>
      </c>
      <c r="BE273" t="e">
        <f>Europe!G678+"n/&gt;!/oL"</f>
        <v>#VALUE!</v>
      </c>
      <c r="BF273" t="e">
        <f>Europe!H678+"n/&gt;!/oM"</f>
        <v>#VALUE!</v>
      </c>
      <c r="BG273" t="e">
        <f>Europe!I678+"n/&gt;!/oN"</f>
        <v>#VALUE!</v>
      </c>
      <c r="BH273" t="e">
        <f>Europe!A679+"n/&gt;!/oO"</f>
        <v>#VALUE!</v>
      </c>
      <c r="BI273" t="e">
        <f>Europe!B679+"n/&gt;!/oP"</f>
        <v>#VALUE!</v>
      </c>
      <c r="BJ273" t="e">
        <f>Europe!C679+"n/&gt;!/oQ"</f>
        <v>#VALUE!</v>
      </c>
      <c r="BK273" t="e">
        <f>Europe!D679+"n/&gt;!/oR"</f>
        <v>#VALUE!</v>
      </c>
      <c r="BL273" t="e">
        <f>Europe!E679+"n/&gt;!/oS"</f>
        <v>#VALUE!</v>
      </c>
      <c r="BM273" t="e">
        <f>Europe!F679+"n/&gt;!/oT"</f>
        <v>#VALUE!</v>
      </c>
      <c r="BN273" t="e">
        <f>Europe!G679+"n/&gt;!/oU"</f>
        <v>#VALUE!</v>
      </c>
      <c r="BO273" t="e">
        <f>Europe!H679+"n/&gt;!/oV"</f>
        <v>#VALUE!</v>
      </c>
      <c r="BP273" t="e">
        <f>Europe!I679+"n/&gt;!/oW"</f>
        <v>#VALUE!</v>
      </c>
      <c r="BQ273" t="e">
        <f>Europe!A680+"n/&gt;!/oX"</f>
        <v>#VALUE!</v>
      </c>
      <c r="BR273" t="e">
        <f>Europe!B680+"n/&gt;!/oY"</f>
        <v>#VALUE!</v>
      </c>
      <c r="BS273" t="e">
        <f>Europe!C680+"n/&gt;!/oZ"</f>
        <v>#VALUE!</v>
      </c>
      <c r="BT273" t="e">
        <f>Europe!D680+"n/&gt;!/o["</f>
        <v>#VALUE!</v>
      </c>
      <c r="BU273" t="e">
        <f>Europe!E680+"n/&gt;!/o\"</f>
        <v>#VALUE!</v>
      </c>
      <c r="BV273" t="e">
        <f>Europe!F680+"n/&gt;!/o]"</f>
        <v>#VALUE!</v>
      </c>
      <c r="BW273" t="e">
        <f>Europe!G680+"n/&gt;!/o^"</f>
        <v>#VALUE!</v>
      </c>
      <c r="BX273" t="e">
        <f>Europe!H680+"n/&gt;!/o_"</f>
        <v>#VALUE!</v>
      </c>
      <c r="BY273" t="e">
        <f>Europe!I680+"n/&gt;!/o`"</f>
        <v>#VALUE!</v>
      </c>
      <c r="BZ273" t="e">
        <f>Europe!A681+"n/&gt;!/oa"</f>
        <v>#VALUE!</v>
      </c>
      <c r="CA273" t="e">
        <f>Europe!B681+"n/&gt;!/ob"</f>
        <v>#VALUE!</v>
      </c>
      <c r="CB273" t="e">
        <f>Europe!C681+"n/&gt;!/oc"</f>
        <v>#VALUE!</v>
      </c>
      <c r="CC273" t="e">
        <f>Europe!D681+"n/&gt;!/od"</f>
        <v>#VALUE!</v>
      </c>
      <c r="CD273" t="e">
        <f>Europe!E681+"n/&gt;!/oe"</f>
        <v>#VALUE!</v>
      </c>
      <c r="CE273" t="e">
        <f>Europe!F681+"n/&gt;!/of"</f>
        <v>#VALUE!</v>
      </c>
      <c r="CF273" t="e">
        <f>Europe!G681+"n/&gt;!/og"</f>
        <v>#VALUE!</v>
      </c>
      <c r="CG273" t="e">
        <f>Europe!H681+"n/&gt;!/oh"</f>
        <v>#VALUE!</v>
      </c>
      <c r="CH273" t="e">
        <f>Europe!I681+"n/&gt;!/oi"</f>
        <v>#VALUE!</v>
      </c>
      <c r="CI273" t="e">
        <f>Europe!A682+"n/&gt;!/oj"</f>
        <v>#VALUE!</v>
      </c>
      <c r="CJ273" t="e">
        <f>Europe!B682+"n/&gt;!/ok"</f>
        <v>#VALUE!</v>
      </c>
      <c r="CK273" t="e">
        <f>Europe!C682+"n/&gt;!/ol"</f>
        <v>#VALUE!</v>
      </c>
      <c r="CL273" t="e">
        <f>Europe!D682+"n/&gt;!/om"</f>
        <v>#VALUE!</v>
      </c>
      <c r="CM273" t="e">
        <f>Europe!E682+"n/&gt;!/on"</f>
        <v>#VALUE!</v>
      </c>
      <c r="CN273" t="e">
        <f>Europe!F682+"n/&gt;!/oo"</f>
        <v>#VALUE!</v>
      </c>
      <c r="CO273" t="e">
        <f>Europe!G682+"n/&gt;!/op"</f>
        <v>#VALUE!</v>
      </c>
      <c r="CP273" t="e">
        <f>Europe!H682+"n/&gt;!/oq"</f>
        <v>#VALUE!</v>
      </c>
      <c r="CQ273" t="e">
        <f>Europe!I682+"n/&gt;!/or"</f>
        <v>#VALUE!</v>
      </c>
      <c r="CR273" t="e">
        <f>Europe!A683+"n/&gt;!/os"</f>
        <v>#VALUE!</v>
      </c>
      <c r="CS273" t="e">
        <f>Europe!B683+"n/&gt;!/ot"</f>
        <v>#VALUE!</v>
      </c>
      <c r="CT273" t="e">
        <f>Europe!C683+"n/&gt;!/ou"</f>
        <v>#VALUE!</v>
      </c>
      <c r="CU273" t="e">
        <f>Europe!D683+"n/&gt;!/ov"</f>
        <v>#VALUE!</v>
      </c>
      <c r="CV273" t="e">
        <f>Europe!E683+"n/&gt;!/ow"</f>
        <v>#VALUE!</v>
      </c>
      <c r="CW273" t="e">
        <f>Europe!F683+"n/&gt;!/ox"</f>
        <v>#VALUE!</v>
      </c>
      <c r="CX273" t="e">
        <f>Europe!G683+"n/&gt;!/oy"</f>
        <v>#VALUE!</v>
      </c>
      <c r="CY273" t="e">
        <f>Europe!H683+"n/&gt;!/oz"</f>
        <v>#VALUE!</v>
      </c>
      <c r="CZ273" t="e">
        <f>Europe!I683+"n/&gt;!/o{"</f>
        <v>#VALUE!</v>
      </c>
      <c r="DA273" t="e">
        <f>Europe!A684+"n/&gt;!/o|"</f>
        <v>#VALUE!</v>
      </c>
      <c r="DB273" t="e">
        <f>Europe!B684+"n/&gt;!/o}"</f>
        <v>#VALUE!</v>
      </c>
      <c r="DC273" t="e">
        <f>Europe!C684+"n/&gt;!/o~"</f>
        <v>#VALUE!</v>
      </c>
      <c r="DD273" t="e">
        <f>Europe!D684+"n/&gt;!/p#"</f>
        <v>#VALUE!</v>
      </c>
      <c r="DE273" t="e">
        <f>Europe!E684+"n/&gt;!/p$"</f>
        <v>#VALUE!</v>
      </c>
      <c r="DF273" t="e">
        <f>Europe!F684+"n/&gt;!/p%"</f>
        <v>#VALUE!</v>
      </c>
      <c r="DG273" t="e">
        <f>Europe!G684+"n/&gt;!/p&amp;"</f>
        <v>#VALUE!</v>
      </c>
      <c r="DH273" t="e">
        <f>Europe!H684+"n/&gt;!/p'"</f>
        <v>#VALUE!</v>
      </c>
      <c r="DI273" t="e">
        <f>Europe!I684+"n/&gt;!/p("</f>
        <v>#VALUE!</v>
      </c>
      <c r="DJ273" t="e">
        <f>Europe!A685+"n/&gt;!/p)"</f>
        <v>#VALUE!</v>
      </c>
      <c r="DK273" t="e">
        <f>Europe!B685+"n/&gt;!/p."</f>
        <v>#VALUE!</v>
      </c>
      <c r="DL273" t="e">
        <f>Europe!C685+"n/&gt;!/p/"</f>
        <v>#VALUE!</v>
      </c>
      <c r="DM273" t="e">
        <f>Europe!D685+"n/&gt;!/p0"</f>
        <v>#VALUE!</v>
      </c>
      <c r="DN273" t="e">
        <f>Europe!E685+"n/&gt;!/p1"</f>
        <v>#VALUE!</v>
      </c>
      <c r="DO273" t="e">
        <f>Europe!F685+"n/&gt;!/p2"</f>
        <v>#VALUE!</v>
      </c>
      <c r="DP273" t="e">
        <f>Europe!G685+"n/&gt;!/p3"</f>
        <v>#VALUE!</v>
      </c>
      <c r="DQ273" t="e">
        <f>Europe!H685+"n/&gt;!/p4"</f>
        <v>#VALUE!</v>
      </c>
      <c r="DR273" t="e">
        <f>Europe!I685+"n/&gt;!/p5"</f>
        <v>#VALUE!</v>
      </c>
      <c r="DS273" t="e">
        <f>Europe!A686+"n/&gt;!/p6"</f>
        <v>#VALUE!</v>
      </c>
      <c r="DT273" t="e">
        <f>Europe!B686+"n/&gt;!/p7"</f>
        <v>#VALUE!</v>
      </c>
      <c r="DU273" t="e">
        <f>Europe!C686+"n/&gt;!/p8"</f>
        <v>#VALUE!</v>
      </c>
      <c r="DV273" t="e">
        <f>Europe!D686+"n/&gt;!/p9"</f>
        <v>#VALUE!</v>
      </c>
      <c r="DW273" t="e">
        <f>Europe!E686+"n/&gt;!/p:"</f>
        <v>#VALUE!</v>
      </c>
      <c r="DX273" t="e">
        <f>Europe!F686+"n/&gt;!/p;"</f>
        <v>#VALUE!</v>
      </c>
      <c r="DY273" t="e">
        <f>Europe!G686+"n/&gt;!/p&lt;"</f>
        <v>#VALUE!</v>
      </c>
      <c r="DZ273" t="e">
        <f>Europe!H686+"n/&gt;!/p="</f>
        <v>#VALUE!</v>
      </c>
      <c r="EA273" t="e">
        <f>Europe!I686+"n/&gt;!/p&gt;"</f>
        <v>#VALUE!</v>
      </c>
      <c r="EB273" t="e">
        <f>Europe!A687+"n/&gt;!/p?"</f>
        <v>#VALUE!</v>
      </c>
      <c r="EC273" t="e">
        <f>Europe!B687+"n/&gt;!/p@"</f>
        <v>#VALUE!</v>
      </c>
      <c r="ED273" t="e">
        <f>Europe!C687+"n/&gt;!/pA"</f>
        <v>#VALUE!</v>
      </c>
      <c r="EE273" t="e">
        <f>Europe!D687+"n/&gt;!/pB"</f>
        <v>#VALUE!</v>
      </c>
      <c r="EF273" t="e">
        <f>Europe!E687+"n/&gt;!/pC"</f>
        <v>#VALUE!</v>
      </c>
      <c r="EG273" t="e">
        <f>Europe!F687+"n/&gt;!/pD"</f>
        <v>#VALUE!</v>
      </c>
      <c r="EH273" t="e">
        <f>Europe!G687+"n/&gt;!/pE"</f>
        <v>#VALUE!</v>
      </c>
      <c r="EI273" t="e">
        <f>Europe!H687+"n/&gt;!/pF"</f>
        <v>#VALUE!</v>
      </c>
      <c r="EJ273" t="e">
        <f>Europe!I687+"n/&gt;!/pG"</f>
        <v>#VALUE!</v>
      </c>
      <c r="EK273" t="e">
        <f>Europe!A688+"n/&gt;!/pH"</f>
        <v>#VALUE!</v>
      </c>
      <c r="EL273" t="e">
        <f>Europe!B688+"n/&gt;!/pI"</f>
        <v>#VALUE!</v>
      </c>
      <c r="EM273" t="e">
        <f>Europe!C688+"n/&gt;!/pJ"</f>
        <v>#VALUE!</v>
      </c>
      <c r="EN273" t="e">
        <f>Europe!D688+"n/&gt;!/pK"</f>
        <v>#VALUE!</v>
      </c>
      <c r="EO273" t="e">
        <f>Europe!E688+"n/&gt;!/pL"</f>
        <v>#VALUE!</v>
      </c>
      <c r="EP273" t="e">
        <f>Europe!F688+"n/&gt;!/pM"</f>
        <v>#VALUE!</v>
      </c>
      <c r="EQ273" t="e">
        <f>Europe!G688+"n/&gt;!/pN"</f>
        <v>#VALUE!</v>
      </c>
      <c r="ER273" t="e">
        <f>Europe!H688+"n/&gt;!/pO"</f>
        <v>#VALUE!</v>
      </c>
      <c r="ES273" t="e">
        <f>Europe!I688+"n/&gt;!/pP"</f>
        <v>#VALUE!</v>
      </c>
      <c r="ET273" t="e">
        <f>Europe!A689+"n/&gt;!/pQ"</f>
        <v>#VALUE!</v>
      </c>
      <c r="EU273" t="e">
        <f>Europe!B689+"n/&gt;!/pR"</f>
        <v>#VALUE!</v>
      </c>
      <c r="EV273" t="e">
        <f>Europe!C689+"n/&gt;!/pS"</f>
        <v>#VALUE!</v>
      </c>
      <c r="EW273" t="e">
        <f>Europe!D689+"n/&gt;!/pT"</f>
        <v>#VALUE!</v>
      </c>
      <c r="EX273" t="e">
        <f>Europe!E689+"n/&gt;!/pU"</f>
        <v>#VALUE!</v>
      </c>
      <c r="EY273" t="e">
        <f>Europe!F689+"n/&gt;!/pV"</f>
        <v>#VALUE!</v>
      </c>
      <c r="EZ273" t="e">
        <f>Europe!G689+"n/&gt;!/pW"</f>
        <v>#VALUE!</v>
      </c>
      <c r="FA273" t="e">
        <f>Europe!H689+"n/&gt;!/pX"</f>
        <v>#VALUE!</v>
      </c>
      <c r="FB273" t="e">
        <f>Europe!I689+"n/&gt;!/pY"</f>
        <v>#VALUE!</v>
      </c>
      <c r="FC273" t="e">
        <f>Europe!A690+"n/&gt;!/pZ"</f>
        <v>#VALUE!</v>
      </c>
      <c r="FD273" t="e">
        <f>Europe!B690+"n/&gt;!/p["</f>
        <v>#VALUE!</v>
      </c>
      <c r="FE273" t="e">
        <f>Europe!C690+"n/&gt;!/p\"</f>
        <v>#VALUE!</v>
      </c>
      <c r="FF273" t="e">
        <f>Europe!D690+"n/&gt;!/p]"</f>
        <v>#VALUE!</v>
      </c>
      <c r="FG273" t="e">
        <f>Europe!E690+"n/&gt;!/p^"</f>
        <v>#VALUE!</v>
      </c>
      <c r="FH273" t="e">
        <f>Europe!F690+"n/&gt;!/p_"</f>
        <v>#VALUE!</v>
      </c>
      <c r="FI273" t="e">
        <f>Europe!G690+"n/&gt;!/p`"</f>
        <v>#VALUE!</v>
      </c>
      <c r="FJ273" t="e">
        <f>Europe!H690+"n/&gt;!/pa"</f>
        <v>#VALUE!</v>
      </c>
      <c r="FK273" t="e">
        <f>Europe!I690+"n/&gt;!/pb"</f>
        <v>#VALUE!</v>
      </c>
      <c r="FL273" t="e">
        <f>Europe!A691+"n/&gt;!/pc"</f>
        <v>#VALUE!</v>
      </c>
      <c r="FM273" t="e">
        <f>Europe!B691+"n/&gt;!/pd"</f>
        <v>#VALUE!</v>
      </c>
      <c r="FN273" t="e">
        <f>Europe!C691+"n/&gt;!/pe"</f>
        <v>#VALUE!</v>
      </c>
      <c r="FO273" t="e">
        <f>Europe!D691+"n/&gt;!/pf"</f>
        <v>#VALUE!</v>
      </c>
      <c r="FP273" t="e">
        <f>Europe!E691+"n/&gt;!/pg"</f>
        <v>#VALUE!</v>
      </c>
      <c r="FQ273" t="e">
        <f>Europe!F691+"n/&gt;!/ph"</f>
        <v>#VALUE!</v>
      </c>
      <c r="FR273" t="e">
        <f>Europe!G691+"n/&gt;!/pi"</f>
        <v>#VALUE!</v>
      </c>
      <c r="FS273" t="e">
        <f>Europe!H691+"n/&gt;!/pj"</f>
        <v>#VALUE!</v>
      </c>
      <c r="FT273" t="e">
        <f>Europe!I691+"n/&gt;!/pk"</f>
        <v>#VALUE!</v>
      </c>
      <c r="FU273" t="e">
        <f>Europe!A692+"n/&gt;!/pl"</f>
        <v>#VALUE!</v>
      </c>
      <c r="FV273" t="e">
        <f>Europe!B692+"n/&gt;!/pm"</f>
        <v>#VALUE!</v>
      </c>
      <c r="FW273" t="e">
        <f>Europe!C692+"n/&gt;!/pn"</f>
        <v>#VALUE!</v>
      </c>
      <c r="FX273" t="e">
        <f>Europe!D692+"n/&gt;!/po"</f>
        <v>#VALUE!</v>
      </c>
      <c r="FY273" t="e">
        <f>Europe!E692+"n/&gt;!/pp"</f>
        <v>#VALUE!</v>
      </c>
      <c r="FZ273" t="e">
        <f>Europe!F692+"n/&gt;!/pq"</f>
        <v>#VALUE!</v>
      </c>
      <c r="GA273" t="e">
        <f>Europe!G692+"n/&gt;!/pr"</f>
        <v>#VALUE!</v>
      </c>
      <c r="GB273" t="e">
        <f>Europe!H692+"n/&gt;!/ps"</f>
        <v>#VALUE!</v>
      </c>
      <c r="GC273" t="e">
        <f>Europe!I692+"n/&gt;!/pt"</f>
        <v>#VALUE!</v>
      </c>
      <c r="GD273" t="e">
        <f>Europe!A693+"n/&gt;!/pu"</f>
        <v>#VALUE!</v>
      </c>
      <c r="GE273" t="e">
        <f>Europe!B693+"n/&gt;!/pv"</f>
        <v>#VALUE!</v>
      </c>
      <c r="GF273" t="e">
        <f>Europe!C693+"n/&gt;!/pw"</f>
        <v>#VALUE!</v>
      </c>
      <c r="GG273" t="e">
        <f>Europe!D693+"n/&gt;!/px"</f>
        <v>#VALUE!</v>
      </c>
      <c r="GH273" t="e">
        <f>Europe!E693+"n/&gt;!/py"</f>
        <v>#VALUE!</v>
      </c>
      <c r="GI273" t="e">
        <f>Europe!F693+"n/&gt;!/pz"</f>
        <v>#VALUE!</v>
      </c>
      <c r="GJ273" t="e">
        <f>Europe!G693+"n/&gt;!/p{"</f>
        <v>#VALUE!</v>
      </c>
      <c r="GK273" t="e">
        <f>Europe!H693+"n/&gt;!/p|"</f>
        <v>#VALUE!</v>
      </c>
      <c r="GL273" t="e">
        <f>Europe!I693+"n/&gt;!/p}"</f>
        <v>#VALUE!</v>
      </c>
      <c r="GM273" t="e">
        <f>Europe!A694+"n/&gt;!/p~"</f>
        <v>#VALUE!</v>
      </c>
      <c r="GN273" t="e">
        <f>Europe!B694+"n/&gt;!/q#"</f>
        <v>#VALUE!</v>
      </c>
      <c r="GO273" t="e">
        <f>Europe!C694+"n/&gt;!/q$"</f>
        <v>#VALUE!</v>
      </c>
      <c r="GP273" t="e">
        <f>Europe!D694+"n/&gt;!/q%"</f>
        <v>#VALUE!</v>
      </c>
      <c r="GQ273" t="e">
        <f>Europe!E694+"n/&gt;!/q&amp;"</f>
        <v>#VALUE!</v>
      </c>
      <c r="GR273" t="e">
        <f>Europe!F694+"n/&gt;!/q'"</f>
        <v>#VALUE!</v>
      </c>
      <c r="GS273" t="e">
        <f>Europe!G694+"n/&gt;!/q("</f>
        <v>#VALUE!</v>
      </c>
      <c r="GT273" t="e">
        <f>Europe!H694+"n/&gt;!/q)"</f>
        <v>#VALUE!</v>
      </c>
      <c r="GU273" t="e">
        <f>Europe!I694+"n/&gt;!/q."</f>
        <v>#VALUE!</v>
      </c>
      <c r="GV273" t="e">
        <f>Europe!A695+"n/&gt;!/q/"</f>
        <v>#VALUE!</v>
      </c>
      <c r="GW273" t="e">
        <f>Europe!B695+"n/&gt;!/q0"</f>
        <v>#VALUE!</v>
      </c>
      <c r="GX273" t="e">
        <f>Europe!C695+"n/&gt;!/q1"</f>
        <v>#VALUE!</v>
      </c>
      <c r="GY273" t="e">
        <f>Europe!D695+"n/&gt;!/q2"</f>
        <v>#VALUE!</v>
      </c>
      <c r="GZ273" t="e">
        <f>Europe!E695+"n/&gt;!/q3"</f>
        <v>#VALUE!</v>
      </c>
      <c r="HA273" t="e">
        <f>Europe!F695+"n/&gt;!/q4"</f>
        <v>#VALUE!</v>
      </c>
      <c r="HB273" t="e">
        <f>Europe!G695+"n/&gt;!/q5"</f>
        <v>#VALUE!</v>
      </c>
      <c r="HC273" t="e">
        <f>Europe!H695+"n/&gt;!/q6"</f>
        <v>#VALUE!</v>
      </c>
      <c r="HD273" t="e">
        <f>Europe!I695+"n/&gt;!/q7"</f>
        <v>#VALUE!</v>
      </c>
      <c r="HE273" t="e">
        <f>Europe!A696+"n/&gt;!/q8"</f>
        <v>#VALUE!</v>
      </c>
      <c r="HF273" t="e">
        <f>Europe!B696+"n/&gt;!/q9"</f>
        <v>#VALUE!</v>
      </c>
      <c r="HG273" t="e">
        <f>Europe!C696+"n/&gt;!/q:"</f>
        <v>#VALUE!</v>
      </c>
      <c r="HH273" t="e">
        <f>Europe!D696+"n/&gt;!/q;"</f>
        <v>#VALUE!</v>
      </c>
      <c r="HI273" t="e">
        <f>Europe!E696+"n/&gt;!/q&lt;"</f>
        <v>#VALUE!</v>
      </c>
      <c r="HJ273" t="e">
        <f>Europe!F696+"n/&gt;!/q="</f>
        <v>#VALUE!</v>
      </c>
      <c r="HK273" t="e">
        <f>Europe!G696+"n/&gt;!/q&gt;"</f>
        <v>#VALUE!</v>
      </c>
      <c r="HL273" t="e">
        <f>Europe!H696+"n/&gt;!/q?"</f>
        <v>#VALUE!</v>
      </c>
      <c r="HM273" t="e">
        <f>Europe!I696+"n/&gt;!/q@"</f>
        <v>#VALUE!</v>
      </c>
      <c r="HN273" t="e">
        <f>Europe!A697+"n/&gt;!/qA"</f>
        <v>#VALUE!</v>
      </c>
      <c r="HO273" t="e">
        <f>Europe!B697+"n/&gt;!/qB"</f>
        <v>#VALUE!</v>
      </c>
      <c r="HP273" t="e">
        <f>Europe!C697+"n/&gt;!/qC"</f>
        <v>#VALUE!</v>
      </c>
      <c r="HQ273" t="e">
        <f>Europe!D697+"n/&gt;!/qD"</f>
        <v>#VALUE!</v>
      </c>
      <c r="HR273" t="e">
        <f>Europe!E697+"n/&gt;!/qE"</f>
        <v>#VALUE!</v>
      </c>
      <c r="HS273" t="e">
        <f>Europe!F697+"n/&gt;!/qF"</f>
        <v>#VALUE!</v>
      </c>
      <c r="HT273" t="e">
        <f>Europe!G697+"n/&gt;!/qG"</f>
        <v>#VALUE!</v>
      </c>
      <c r="HU273" t="e">
        <f>Europe!H697+"n/&gt;!/qH"</f>
        <v>#VALUE!</v>
      </c>
      <c r="HV273" t="e">
        <f>Europe!I697+"n/&gt;!/qI"</f>
        <v>#VALUE!</v>
      </c>
      <c r="HW273" t="e">
        <f>Europe!A698+"n/&gt;!/qJ"</f>
        <v>#VALUE!</v>
      </c>
      <c r="HX273" t="e">
        <f>Europe!B698+"n/&gt;!/qK"</f>
        <v>#VALUE!</v>
      </c>
      <c r="HY273" t="e">
        <f>Europe!C698+"n/&gt;!/qL"</f>
        <v>#VALUE!</v>
      </c>
      <c r="HZ273" t="e">
        <f>Europe!D698+"n/&gt;!/qM"</f>
        <v>#VALUE!</v>
      </c>
      <c r="IA273" t="e">
        <f>Europe!E698+"n/&gt;!/qN"</f>
        <v>#VALUE!</v>
      </c>
      <c r="IB273" t="e">
        <f>Europe!F698+"n/&gt;!/qO"</f>
        <v>#VALUE!</v>
      </c>
      <c r="IC273" t="e">
        <f>Europe!G698+"n/&gt;!/qP"</f>
        <v>#VALUE!</v>
      </c>
      <c r="ID273" t="e">
        <f>Europe!H698+"n/&gt;!/qQ"</f>
        <v>#VALUE!</v>
      </c>
      <c r="IE273" t="e">
        <f>Europe!I698+"n/&gt;!/qR"</f>
        <v>#VALUE!</v>
      </c>
      <c r="IF273" t="e">
        <f>Europe!A699+"n/&gt;!/qS"</f>
        <v>#VALUE!</v>
      </c>
      <c r="IG273" t="e">
        <f>Europe!B699+"n/&gt;!/qT"</f>
        <v>#VALUE!</v>
      </c>
      <c r="IH273" t="e">
        <f>Europe!C699+"n/&gt;!/qU"</f>
        <v>#VALUE!</v>
      </c>
      <c r="II273" t="e">
        <f>Europe!D699+"n/&gt;!/qV"</f>
        <v>#VALUE!</v>
      </c>
      <c r="IJ273" t="e">
        <f>Europe!E699+"n/&gt;!/qW"</f>
        <v>#VALUE!</v>
      </c>
      <c r="IK273" t="e">
        <f>Europe!F699+"n/&gt;!/qX"</f>
        <v>#VALUE!</v>
      </c>
      <c r="IL273" t="e">
        <f>Europe!G699+"n/&gt;!/qY"</f>
        <v>#VALUE!</v>
      </c>
      <c r="IM273" t="e">
        <f>Europe!H699+"n/&gt;!/qZ"</f>
        <v>#VALUE!</v>
      </c>
      <c r="IN273" t="e">
        <f>Europe!I699+"n/&gt;!/q["</f>
        <v>#VALUE!</v>
      </c>
      <c r="IO273" t="e">
        <f>Europe!A700+"n/&gt;!/q\"</f>
        <v>#VALUE!</v>
      </c>
      <c r="IP273" t="e">
        <f>Europe!B700+"n/&gt;!/q]"</f>
        <v>#VALUE!</v>
      </c>
      <c r="IQ273" t="e">
        <f>Europe!C700+"n/&gt;!/q^"</f>
        <v>#VALUE!</v>
      </c>
      <c r="IR273" t="e">
        <f>Europe!D700+"n/&gt;!/q_"</f>
        <v>#VALUE!</v>
      </c>
      <c r="IS273" t="e">
        <f>Europe!E700+"n/&gt;!/q`"</f>
        <v>#VALUE!</v>
      </c>
      <c r="IT273" t="e">
        <f>Europe!F700+"n/&gt;!/qa"</f>
        <v>#VALUE!</v>
      </c>
      <c r="IU273" t="e">
        <f>Europe!G700+"n/&gt;!/qb"</f>
        <v>#VALUE!</v>
      </c>
      <c r="IV273" t="e">
        <f>Europe!H700+"n/&gt;!/qc"</f>
        <v>#VALUE!</v>
      </c>
    </row>
    <row r="274" spans="6:256" x14ac:dyDescent="0.35">
      <c r="F274" t="e">
        <f>Europe!I700+"n/&gt;!/qd"</f>
        <v>#VALUE!</v>
      </c>
      <c r="G274" t="e">
        <f>Europe!A701+"n/&gt;!/qe"</f>
        <v>#VALUE!</v>
      </c>
      <c r="H274" t="e">
        <f>Europe!B701+"n/&gt;!/qf"</f>
        <v>#VALUE!</v>
      </c>
      <c r="I274" t="e">
        <f>Europe!C701+"n/&gt;!/qg"</f>
        <v>#VALUE!</v>
      </c>
      <c r="J274" t="e">
        <f>Europe!D701+"n/&gt;!/qh"</f>
        <v>#VALUE!</v>
      </c>
      <c r="K274" t="e">
        <f>Europe!E701+"n/&gt;!/qi"</f>
        <v>#VALUE!</v>
      </c>
      <c r="L274" t="e">
        <f>Europe!F701+"n/&gt;!/qj"</f>
        <v>#VALUE!</v>
      </c>
      <c r="M274" t="e">
        <f>Europe!G701+"n/&gt;!/qk"</f>
        <v>#VALUE!</v>
      </c>
      <c r="N274" t="e">
        <f>Europe!H701+"n/&gt;!/ql"</f>
        <v>#VALUE!</v>
      </c>
      <c r="O274" t="e">
        <f>Europe!I701+"n/&gt;!/qm"</f>
        <v>#VALUE!</v>
      </c>
      <c r="P274" t="e">
        <f>Europe!A702+"n/&gt;!/qn"</f>
        <v>#VALUE!</v>
      </c>
      <c r="Q274" t="e">
        <f>Europe!B702+"n/&gt;!/qo"</f>
        <v>#VALUE!</v>
      </c>
      <c r="R274" t="e">
        <f>Europe!C702+"n/&gt;!/qp"</f>
        <v>#VALUE!</v>
      </c>
      <c r="S274" t="e">
        <f>Europe!D702+"n/&gt;!/qq"</f>
        <v>#VALUE!</v>
      </c>
      <c r="T274" t="e">
        <f>Europe!E702+"n/&gt;!/qr"</f>
        <v>#VALUE!</v>
      </c>
      <c r="U274" t="e">
        <f>Europe!F702+"n/&gt;!/qs"</f>
        <v>#VALUE!</v>
      </c>
      <c r="V274" t="e">
        <f>Europe!G702+"n/&gt;!/qt"</f>
        <v>#VALUE!</v>
      </c>
      <c r="W274" t="e">
        <f>Europe!H702+"n/&gt;!/qu"</f>
        <v>#VALUE!</v>
      </c>
      <c r="X274" t="e">
        <f>Europe!I702+"n/&gt;!/qv"</f>
        <v>#VALUE!</v>
      </c>
      <c r="Y274" t="e">
        <f>Europe!A703+"n/&gt;!/qw"</f>
        <v>#VALUE!</v>
      </c>
      <c r="Z274" t="e">
        <f>Europe!B703+"n/&gt;!/qx"</f>
        <v>#VALUE!</v>
      </c>
      <c r="AA274" t="e">
        <f>Europe!C703+"n/&gt;!/qy"</f>
        <v>#VALUE!</v>
      </c>
      <c r="AB274" t="e">
        <f>Europe!D703+"n/&gt;!/qz"</f>
        <v>#VALUE!</v>
      </c>
      <c r="AC274" t="e">
        <f>Europe!E703+"n/&gt;!/q{"</f>
        <v>#VALUE!</v>
      </c>
      <c r="AD274" t="e">
        <f>Europe!F703+"n/&gt;!/q|"</f>
        <v>#VALUE!</v>
      </c>
      <c r="AE274" t="e">
        <f>Europe!G703+"n/&gt;!/q}"</f>
        <v>#VALUE!</v>
      </c>
      <c r="AF274" t="e">
        <f>Europe!H703+"n/&gt;!/q~"</f>
        <v>#VALUE!</v>
      </c>
      <c r="AG274" t="e">
        <f>Europe!I703+"n/&gt;!/r#"</f>
        <v>#VALUE!</v>
      </c>
      <c r="AH274" t="e">
        <f>Europe!A704+"n/&gt;!/r$"</f>
        <v>#VALUE!</v>
      </c>
      <c r="AI274" t="e">
        <f>Europe!B704+"n/&gt;!/r%"</f>
        <v>#VALUE!</v>
      </c>
      <c r="AJ274" t="e">
        <f>Europe!C704+"n/&gt;!/r&amp;"</f>
        <v>#VALUE!</v>
      </c>
      <c r="AK274" t="e">
        <f>Europe!D704+"n/&gt;!/r'"</f>
        <v>#VALUE!</v>
      </c>
      <c r="AL274" t="e">
        <f>Europe!E704+"n/&gt;!/r("</f>
        <v>#VALUE!</v>
      </c>
      <c r="AM274" t="e">
        <f>Europe!F704+"n/&gt;!/r)"</f>
        <v>#VALUE!</v>
      </c>
      <c r="AN274" t="e">
        <f>Europe!G704+"n/&gt;!/r."</f>
        <v>#VALUE!</v>
      </c>
      <c r="AO274" t="e">
        <f>Europe!H704+"n/&gt;!/r/"</f>
        <v>#VALUE!</v>
      </c>
      <c r="AP274" t="e">
        <f>Europe!I704+"n/&gt;!/r0"</f>
        <v>#VALUE!</v>
      </c>
      <c r="AQ274" t="e">
        <f>Europe!A705+"n/&gt;!/r1"</f>
        <v>#VALUE!</v>
      </c>
      <c r="AR274" t="e">
        <f>Europe!B705+"n/&gt;!/r2"</f>
        <v>#VALUE!</v>
      </c>
      <c r="AS274" t="e">
        <f>Europe!C705+"n/&gt;!/r3"</f>
        <v>#VALUE!</v>
      </c>
      <c r="AT274" t="e">
        <f>Europe!D705+"n/&gt;!/r4"</f>
        <v>#VALUE!</v>
      </c>
      <c r="AU274" t="e">
        <f>Europe!E705+"n/&gt;!/r5"</f>
        <v>#VALUE!</v>
      </c>
      <c r="AV274" t="e">
        <f>Europe!F705+"n/&gt;!/r6"</f>
        <v>#VALUE!</v>
      </c>
      <c r="AW274" t="e">
        <f>Europe!G705+"n/&gt;!/r7"</f>
        <v>#VALUE!</v>
      </c>
      <c r="AX274" t="e">
        <f>Europe!H705+"n/&gt;!/r8"</f>
        <v>#VALUE!</v>
      </c>
      <c r="AY274" t="e">
        <f>Europe!I705+"n/&gt;!/r9"</f>
        <v>#VALUE!</v>
      </c>
      <c r="AZ274" t="e">
        <f>Europe!A706+"n/&gt;!/r:"</f>
        <v>#VALUE!</v>
      </c>
      <c r="BA274" t="e">
        <f>Europe!B706+"n/&gt;!/r;"</f>
        <v>#VALUE!</v>
      </c>
      <c r="BB274" t="e">
        <f>Europe!C706+"n/&gt;!/r&lt;"</f>
        <v>#VALUE!</v>
      </c>
      <c r="BC274" t="e">
        <f>Europe!D706+"n/&gt;!/r="</f>
        <v>#VALUE!</v>
      </c>
      <c r="BD274" t="e">
        <f>Europe!E706+"n/&gt;!/r&gt;"</f>
        <v>#VALUE!</v>
      </c>
      <c r="BE274" t="e">
        <f>Europe!F706+"n/&gt;!/r?"</f>
        <v>#VALUE!</v>
      </c>
      <c r="BF274" t="e">
        <f>Europe!G706+"n/&gt;!/r@"</f>
        <v>#VALUE!</v>
      </c>
      <c r="BG274" t="e">
        <f>Europe!H706+"n/&gt;!/rA"</f>
        <v>#VALUE!</v>
      </c>
      <c r="BH274" t="e">
        <f>Europe!I706+"n/&gt;!/rB"</f>
        <v>#VALUE!</v>
      </c>
      <c r="BI274" t="e">
        <f>Europe!A707+"n/&gt;!/rC"</f>
        <v>#VALUE!</v>
      </c>
      <c r="BJ274" t="e">
        <f>Europe!B707+"n/&gt;!/rD"</f>
        <v>#VALUE!</v>
      </c>
      <c r="BK274" t="e">
        <f>Europe!C707+"n/&gt;!/rE"</f>
        <v>#VALUE!</v>
      </c>
      <c r="BL274" t="e">
        <f>Europe!D707+"n/&gt;!/rF"</f>
        <v>#VALUE!</v>
      </c>
      <c r="BM274" t="e">
        <f>Europe!E707+"n/&gt;!/rG"</f>
        <v>#VALUE!</v>
      </c>
      <c r="BN274" t="e">
        <f>Europe!F707+"n/&gt;!/rH"</f>
        <v>#VALUE!</v>
      </c>
      <c r="BO274" t="e">
        <f>Europe!G707+"n/&gt;!/rI"</f>
        <v>#VALUE!</v>
      </c>
      <c r="BP274" t="e">
        <f>Europe!H707+"n/&gt;!/rJ"</f>
        <v>#VALUE!</v>
      </c>
      <c r="BQ274" t="e">
        <f>Europe!I707+"n/&gt;!/rK"</f>
        <v>#VALUE!</v>
      </c>
      <c r="BR274" t="e">
        <f>Europe!A708+"n/&gt;!/rL"</f>
        <v>#VALUE!</v>
      </c>
      <c r="BS274" t="e">
        <f>Europe!B708+"n/&gt;!/rM"</f>
        <v>#VALUE!</v>
      </c>
      <c r="BT274" t="e">
        <f>Europe!C708+"n/&gt;!/rN"</f>
        <v>#VALUE!</v>
      </c>
      <c r="BU274" t="e">
        <f>Europe!D708+"n/&gt;!/rO"</f>
        <v>#VALUE!</v>
      </c>
      <c r="BV274" t="e">
        <f>Europe!E708+"n/&gt;!/rP"</f>
        <v>#VALUE!</v>
      </c>
      <c r="BW274" t="e">
        <f>Europe!F708+"n/&gt;!/rQ"</f>
        <v>#VALUE!</v>
      </c>
      <c r="BX274" t="e">
        <f>Europe!G708+"n/&gt;!/rR"</f>
        <v>#VALUE!</v>
      </c>
      <c r="BY274" t="e">
        <f>Europe!H708+"n/&gt;!/rS"</f>
        <v>#VALUE!</v>
      </c>
      <c r="BZ274" t="e">
        <f>Europe!I708+"n/&gt;!/rT"</f>
        <v>#VALUE!</v>
      </c>
      <c r="CA274" t="e">
        <f>Europe!A709+"n/&gt;!/rU"</f>
        <v>#VALUE!</v>
      </c>
      <c r="CB274" t="e">
        <f>Europe!B709+"n/&gt;!/rV"</f>
        <v>#VALUE!</v>
      </c>
      <c r="CC274" t="e">
        <f>Europe!C709+"n/&gt;!/rW"</f>
        <v>#VALUE!</v>
      </c>
      <c r="CD274" t="e">
        <f>Europe!D709+"n/&gt;!/rX"</f>
        <v>#VALUE!</v>
      </c>
      <c r="CE274" t="e">
        <f>Europe!E709+"n/&gt;!/rY"</f>
        <v>#VALUE!</v>
      </c>
      <c r="CF274" t="e">
        <f>Europe!F709+"n/&gt;!/rZ"</f>
        <v>#VALUE!</v>
      </c>
      <c r="CG274" t="e">
        <f>Europe!G709+"n/&gt;!/r["</f>
        <v>#VALUE!</v>
      </c>
      <c r="CH274" t="e">
        <f>Europe!H709+"n/&gt;!/r\"</f>
        <v>#VALUE!</v>
      </c>
      <c r="CI274" t="e">
        <f>Europe!I709+"n/&gt;!/r]"</f>
        <v>#VALUE!</v>
      </c>
      <c r="CJ274" t="e">
        <f>Europe!A710+"n/&gt;!/r^"</f>
        <v>#VALUE!</v>
      </c>
      <c r="CK274" t="e">
        <f>Europe!B710+"n/&gt;!/r_"</f>
        <v>#VALUE!</v>
      </c>
      <c r="CL274" t="e">
        <f>Europe!C710+"n/&gt;!/r`"</f>
        <v>#VALUE!</v>
      </c>
      <c r="CM274" t="e">
        <f>Europe!D710+"n/&gt;!/ra"</f>
        <v>#VALUE!</v>
      </c>
      <c r="CN274" t="e">
        <f>Europe!E710+"n/&gt;!/rb"</f>
        <v>#VALUE!</v>
      </c>
      <c r="CO274" t="e">
        <f>Europe!F710+"n/&gt;!/rc"</f>
        <v>#VALUE!</v>
      </c>
      <c r="CP274" t="e">
        <f>Europe!G710+"n/&gt;!/rd"</f>
        <v>#VALUE!</v>
      </c>
      <c r="CQ274" t="e">
        <f>Europe!H710+"n/&gt;!/re"</f>
        <v>#VALUE!</v>
      </c>
      <c r="CR274" t="e">
        <f>Europe!I710+"n/&gt;!/rf"</f>
        <v>#VALUE!</v>
      </c>
      <c r="CS274" t="e">
        <f>Europe!A711+"n/&gt;!/rg"</f>
        <v>#VALUE!</v>
      </c>
      <c r="CT274" t="e">
        <f>Europe!B711+"n/&gt;!/rh"</f>
        <v>#VALUE!</v>
      </c>
      <c r="CU274" t="e">
        <f>Europe!C711+"n/&gt;!/ri"</f>
        <v>#VALUE!</v>
      </c>
      <c r="CV274" t="e">
        <f>Europe!D711+"n/&gt;!/rj"</f>
        <v>#VALUE!</v>
      </c>
      <c r="CW274" t="e">
        <f>Europe!E711+"n/&gt;!/rk"</f>
        <v>#VALUE!</v>
      </c>
      <c r="CX274" t="e">
        <f>Europe!F711+"n/&gt;!/rl"</f>
        <v>#VALUE!</v>
      </c>
      <c r="CY274" t="e">
        <f>Europe!G711+"n/&gt;!/rm"</f>
        <v>#VALUE!</v>
      </c>
      <c r="CZ274" t="e">
        <f>Europe!H711+"n/&gt;!/rn"</f>
        <v>#VALUE!</v>
      </c>
      <c r="DA274" t="e">
        <f>Europe!I711+"n/&gt;!/ro"</f>
        <v>#VALUE!</v>
      </c>
      <c r="DB274" t="e">
        <f>Europe!A712+"n/&gt;!/rp"</f>
        <v>#VALUE!</v>
      </c>
      <c r="DC274" t="e">
        <f>Europe!B712+"n/&gt;!/rq"</f>
        <v>#VALUE!</v>
      </c>
      <c r="DD274" t="e">
        <f>Europe!C712+"n/&gt;!/rr"</f>
        <v>#VALUE!</v>
      </c>
      <c r="DE274" t="e">
        <f>Europe!D712+"n/&gt;!/rs"</f>
        <v>#VALUE!</v>
      </c>
      <c r="DF274" t="e">
        <f>Europe!E712+"n/&gt;!/rt"</f>
        <v>#VALUE!</v>
      </c>
      <c r="DG274" t="e">
        <f>Europe!F712+"n/&gt;!/ru"</f>
        <v>#VALUE!</v>
      </c>
      <c r="DH274" t="e">
        <f>Europe!G712+"n/&gt;!/rv"</f>
        <v>#VALUE!</v>
      </c>
      <c r="DI274" t="e">
        <f>Europe!H712+"n/&gt;!/rw"</f>
        <v>#VALUE!</v>
      </c>
      <c r="DJ274" t="e">
        <f>Europe!I712+"n/&gt;!/rx"</f>
        <v>#VALUE!</v>
      </c>
      <c r="DK274" t="e">
        <f>Europe!A713+"n/&gt;!/ry"</f>
        <v>#VALUE!</v>
      </c>
      <c r="DL274" t="e">
        <f>Europe!B713+"n/&gt;!/rz"</f>
        <v>#VALUE!</v>
      </c>
      <c r="DM274" t="e">
        <f>Europe!C713+"n/&gt;!/r{"</f>
        <v>#VALUE!</v>
      </c>
      <c r="DN274" t="e">
        <f>Europe!D713+"n/&gt;!/r|"</f>
        <v>#VALUE!</v>
      </c>
      <c r="DO274" t="e">
        <f>Europe!E713+"n/&gt;!/r}"</f>
        <v>#VALUE!</v>
      </c>
      <c r="DP274" t="e">
        <f>Europe!F713+"n/&gt;!/r~"</f>
        <v>#VALUE!</v>
      </c>
      <c r="DQ274" t="e">
        <f>Europe!G713+"n/&gt;!/s#"</f>
        <v>#VALUE!</v>
      </c>
      <c r="DR274" t="e">
        <f>Europe!H713+"n/&gt;!/s$"</f>
        <v>#VALUE!</v>
      </c>
      <c r="DS274" t="e">
        <f>Europe!I713+"n/&gt;!/s%"</f>
        <v>#VALUE!</v>
      </c>
      <c r="DT274" t="e">
        <f>Europe!A714+"n/&gt;!/s&amp;"</f>
        <v>#VALUE!</v>
      </c>
      <c r="DU274" t="e">
        <f>Europe!B714+"n/&gt;!/s'"</f>
        <v>#VALUE!</v>
      </c>
      <c r="DV274" t="e">
        <f>Europe!C714+"n/&gt;!/s("</f>
        <v>#VALUE!</v>
      </c>
      <c r="DW274" t="e">
        <f>Europe!D714+"n/&gt;!/s)"</f>
        <v>#VALUE!</v>
      </c>
      <c r="DX274" t="e">
        <f>Europe!E714+"n/&gt;!/s."</f>
        <v>#VALUE!</v>
      </c>
      <c r="DY274" t="e">
        <f>Europe!F714+"n/&gt;!/s/"</f>
        <v>#VALUE!</v>
      </c>
      <c r="DZ274" t="e">
        <f>Europe!G714+"n/&gt;!/s0"</f>
        <v>#VALUE!</v>
      </c>
      <c r="EA274" t="e">
        <f>Europe!H714+"n/&gt;!/s1"</f>
        <v>#VALUE!</v>
      </c>
      <c r="EB274" t="e">
        <f>Europe!I714+"n/&gt;!/s2"</f>
        <v>#VALUE!</v>
      </c>
      <c r="EC274" t="e">
        <f>Europe!A715+"n/&gt;!/s3"</f>
        <v>#VALUE!</v>
      </c>
      <c r="ED274" t="e">
        <f>Europe!B715+"n/&gt;!/s4"</f>
        <v>#VALUE!</v>
      </c>
      <c r="EE274" t="e">
        <f>Europe!C715+"n/&gt;!/s5"</f>
        <v>#VALUE!</v>
      </c>
      <c r="EF274" t="e">
        <f>Europe!D715+"n/&gt;!/s6"</f>
        <v>#VALUE!</v>
      </c>
      <c r="EG274" t="e">
        <f>Europe!E715+"n/&gt;!/s7"</f>
        <v>#VALUE!</v>
      </c>
      <c r="EH274" t="e">
        <f>Europe!F715+"n/&gt;!/s8"</f>
        <v>#VALUE!</v>
      </c>
      <c r="EI274" t="e">
        <f>Europe!G715+"n/&gt;!/s9"</f>
        <v>#VALUE!</v>
      </c>
      <c r="EJ274" t="e">
        <f>Europe!H715+"n/&gt;!/s:"</f>
        <v>#VALUE!</v>
      </c>
      <c r="EK274" t="e">
        <f>Europe!I715+"n/&gt;!/s;"</f>
        <v>#VALUE!</v>
      </c>
      <c r="EL274" t="e">
        <f>Europe!A716+"n/&gt;!/s&lt;"</f>
        <v>#VALUE!</v>
      </c>
      <c r="EM274" t="e">
        <f>Europe!B716+"n/&gt;!/s="</f>
        <v>#VALUE!</v>
      </c>
      <c r="EN274" t="e">
        <f>Europe!C716+"n/&gt;!/s&gt;"</f>
        <v>#VALUE!</v>
      </c>
      <c r="EO274" t="e">
        <f>Europe!D716+"n/&gt;!/s?"</f>
        <v>#VALUE!</v>
      </c>
      <c r="EP274" t="e">
        <f>Europe!E716+"n/&gt;!/s@"</f>
        <v>#VALUE!</v>
      </c>
      <c r="EQ274" t="e">
        <f>Europe!F716+"n/&gt;!/sA"</f>
        <v>#VALUE!</v>
      </c>
      <c r="ER274" t="e">
        <f>Europe!G716+"n/&gt;!/sB"</f>
        <v>#VALUE!</v>
      </c>
      <c r="ES274" t="e">
        <f>Europe!H716+"n/&gt;!/sC"</f>
        <v>#VALUE!</v>
      </c>
      <c r="ET274" t="e">
        <f>Europe!I716+"n/&gt;!/sD"</f>
        <v>#VALUE!</v>
      </c>
      <c r="EU274" t="e">
        <f>Europe!A717+"n/&gt;!/sE"</f>
        <v>#VALUE!</v>
      </c>
      <c r="EV274" t="e">
        <f>Europe!B717+"n/&gt;!/sF"</f>
        <v>#VALUE!</v>
      </c>
      <c r="EW274" t="e">
        <f>Europe!C717+"n/&gt;!/sG"</f>
        <v>#VALUE!</v>
      </c>
      <c r="EX274" t="e">
        <f>Europe!D717+"n/&gt;!/sH"</f>
        <v>#VALUE!</v>
      </c>
      <c r="EY274" t="e">
        <f>Europe!E717+"n/&gt;!/sI"</f>
        <v>#VALUE!</v>
      </c>
      <c r="EZ274" t="e">
        <f>Europe!F717+"n/&gt;!/sJ"</f>
        <v>#VALUE!</v>
      </c>
      <c r="FA274" t="e">
        <f>Europe!G717+"n/&gt;!/sK"</f>
        <v>#VALUE!</v>
      </c>
      <c r="FB274" t="e">
        <f>Europe!H717+"n/&gt;!/sL"</f>
        <v>#VALUE!</v>
      </c>
      <c r="FC274" t="e">
        <f>Europe!I717+"n/&gt;!/sM"</f>
        <v>#VALUE!</v>
      </c>
      <c r="FD274" t="e">
        <f>Europe!A718+"n/&gt;!/sN"</f>
        <v>#VALUE!</v>
      </c>
      <c r="FE274" t="e">
        <f>Europe!B718+"n/&gt;!/sO"</f>
        <v>#VALUE!</v>
      </c>
      <c r="FF274" t="e">
        <f>Europe!C718+"n/&gt;!/sP"</f>
        <v>#VALUE!</v>
      </c>
      <c r="FG274" t="e">
        <f>Europe!D718+"n/&gt;!/sQ"</f>
        <v>#VALUE!</v>
      </c>
      <c r="FH274" t="e">
        <f>Europe!E718+"n/&gt;!/sR"</f>
        <v>#VALUE!</v>
      </c>
      <c r="FI274" t="e">
        <f>Europe!F718+"n/&gt;!/sS"</f>
        <v>#VALUE!</v>
      </c>
      <c r="FJ274" t="e">
        <f>Europe!G718+"n/&gt;!/sT"</f>
        <v>#VALUE!</v>
      </c>
      <c r="FK274" t="e">
        <f>Europe!H718+"n/&gt;!/sU"</f>
        <v>#VALUE!</v>
      </c>
      <c r="FL274" t="e">
        <f>Europe!I718+"n/&gt;!/sV"</f>
        <v>#VALUE!</v>
      </c>
      <c r="FM274" t="e">
        <f>Europe!A719+"n/&gt;!/sW"</f>
        <v>#VALUE!</v>
      </c>
      <c r="FN274" t="e">
        <f>Europe!B719+"n/&gt;!/sX"</f>
        <v>#VALUE!</v>
      </c>
      <c r="FO274" t="e">
        <f>Europe!C719+"n/&gt;!/sY"</f>
        <v>#VALUE!</v>
      </c>
      <c r="FP274" t="e">
        <f>Europe!D719+"n/&gt;!/sZ"</f>
        <v>#VALUE!</v>
      </c>
      <c r="FQ274" t="e">
        <f>Europe!E719+"n/&gt;!/s["</f>
        <v>#VALUE!</v>
      </c>
      <c r="FR274" t="e">
        <f>Europe!F719+"n/&gt;!/s\"</f>
        <v>#VALUE!</v>
      </c>
      <c r="FS274" t="e">
        <f>Europe!G719+"n/&gt;!/s]"</f>
        <v>#VALUE!</v>
      </c>
      <c r="FT274" t="e">
        <f>Europe!H719+"n/&gt;!/s^"</f>
        <v>#VALUE!</v>
      </c>
      <c r="FU274" t="e">
        <f>Europe!I719+"n/&gt;!/s_"</f>
        <v>#VALUE!</v>
      </c>
      <c r="FV274" t="e">
        <f>Europe!A720+"n/&gt;!/s`"</f>
        <v>#VALUE!</v>
      </c>
      <c r="FW274" t="e">
        <f>Europe!B720+"n/&gt;!/sa"</f>
        <v>#VALUE!</v>
      </c>
      <c r="FX274" t="e">
        <f>Europe!C720+"n/&gt;!/sb"</f>
        <v>#VALUE!</v>
      </c>
      <c r="FY274" t="e">
        <f>Europe!D720+"n/&gt;!/sc"</f>
        <v>#VALUE!</v>
      </c>
      <c r="FZ274" t="e">
        <f>Europe!E720+"n/&gt;!/sd"</f>
        <v>#VALUE!</v>
      </c>
      <c r="GA274" t="e">
        <f>Europe!F720+"n/&gt;!/se"</f>
        <v>#VALUE!</v>
      </c>
      <c r="GB274" t="e">
        <f>Europe!G720+"n/&gt;!/sf"</f>
        <v>#VALUE!</v>
      </c>
      <c r="GC274" t="e">
        <f>Europe!H720+"n/&gt;!/sg"</f>
        <v>#VALUE!</v>
      </c>
      <c r="GD274" t="e">
        <f>Europe!I720+"n/&gt;!/sh"</f>
        <v>#VALUE!</v>
      </c>
      <c r="GE274" t="e">
        <f>Europe!A721+"n/&gt;!/si"</f>
        <v>#VALUE!</v>
      </c>
      <c r="GF274" t="e">
        <f>Europe!B721+"n/&gt;!/sj"</f>
        <v>#VALUE!</v>
      </c>
      <c r="GG274" t="e">
        <f>Europe!C721+"n/&gt;!/sk"</f>
        <v>#VALUE!</v>
      </c>
      <c r="GH274" t="e">
        <f>Europe!D721+"n/&gt;!/sl"</f>
        <v>#VALUE!</v>
      </c>
      <c r="GI274" t="e">
        <f>Europe!E721+"n/&gt;!/sm"</f>
        <v>#VALUE!</v>
      </c>
      <c r="GJ274" t="e">
        <f>Europe!F721+"n/&gt;!/sn"</f>
        <v>#VALUE!</v>
      </c>
      <c r="GK274" t="e">
        <f>Europe!G721+"n/&gt;!/so"</f>
        <v>#VALUE!</v>
      </c>
      <c r="GL274" t="e">
        <f>Europe!H721+"n/&gt;!/sp"</f>
        <v>#VALUE!</v>
      </c>
      <c r="GM274" t="e">
        <f>Europe!I721+"n/&gt;!/sq"</f>
        <v>#VALUE!</v>
      </c>
      <c r="GN274" t="e">
        <f>Europe!A722+"n/&gt;!/sr"</f>
        <v>#VALUE!</v>
      </c>
      <c r="GO274" t="e">
        <f>Europe!B722+"n/&gt;!/ss"</f>
        <v>#VALUE!</v>
      </c>
      <c r="GP274" t="e">
        <f>Europe!C722+"n/&gt;!/st"</f>
        <v>#VALUE!</v>
      </c>
      <c r="GQ274" t="e">
        <f>Europe!D722+"n/&gt;!/su"</f>
        <v>#VALUE!</v>
      </c>
      <c r="GR274" t="e">
        <f>Europe!E722+"n/&gt;!/sv"</f>
        <v>#VALUE!</v>
      </c>
      <c r="GS274" t="e">
        <f>Europe!F722+"n/&gt;!/sw"</f>
        <v>#VALUE!</v>
      </c>
      <c r="GT274" t="e">
        <f>Europe!G722+"n/&gt;!/sx"</f>
        <v>#VALUE!</v>
      </c>
      <c r="GU274" t="e">
        <f>Europe!H722+"n/&gt;!/sy"</f>
        <v>#VALUE!</v>
      </c>
      <c r="GV274" t="e">
        <f>Europe!I722+"n/&gt;!/sz"</f>
        <v>#VALUE!</v>
      </c>
      <c r="GW274" t="e">
        <f>Europe!A723+"n/&gt;!/s{"</f>
        <v>#VALUE!</v>
      </c>
      <c r="GX274" t="e">
        <f>Europe!B723+"n/&gt;!/s|"</f>
        <v>#VALUE!</v>
      </c>
      <c r="GY274" t="e">
        <f>Europe!C723+"n/&gt;!/s}"</f>
        <v>#VALUE!</v>
      </c>
      <c r="GZ274" t="e">
        <f>Europe!D723+"n/&gt;!/s~"</f>
        <v>#VALUE!</v>
      </c>
      <c r="HA274" t="e">
        <f>Europe!E723+"n/&gt;!/t#"</f>
        <v>#VALUE!</v>
      </c>
      <c r="HB274" t="e">
        <f>Europe!F723+"n/&gt;!/t$"</f>
        <v>#VALUE!</v>
      </c>
      <c r="HC274" t="e">
        <f>Europe!G723+"n/&gt;!/t%"</f>
        <v>#VALUE!</v>
      </c>
      <c r="HD274" t="e">
        <f>Europe!H723+"n/&gt;!/t&amp;"</f>
        <v>#VALUE!</v>
      </c>
      <c r="HE274" t="e">
        <f>Europe!I723+"n/&gt;!/t'"</f>
        <v>#VALUE!</v>
      </c>
      <c r="HF274" t="e">
        <f>Europe!A724+"n/&gt;!/t("</f>
        <v>#VALUE!</v>
      </c>
      <c r="HG274" t="e">
        <f>Europe!B724+"n/&gt;!/t)"</f>
        <v>#VALUE!</v>
      </c>
      <c r="HH274" t="e">
        <f>Europe!C724+"n/&gt;!/t."</f>
        <v>#VALUE!</v>
      </c>
      <c r="HI274" t="e">
        <f>Europe!D724+"n/&gt;!/t/"</f>
        <v>#VALUE!</v>
      </c>
      <c r="HJ274" t="e">
        <f>Europe!E724+"n/&gt;!/t0"</f>
        <v>#VALUE!</v>
      </c>
      <c r="HK274" t="e">
        <f>Europe!F724+"n/&gt;!/t1"</f>
        <v>#VALUE!</v>
      </c>
      <c r="HL274" t="e">
        <f>Europe!G724+"n/&gt;!/t2"</f>
        <v>#VALUE!</v>
      </c>
      <c r="HM274" t="e">
        <f>Europe!H724+"n/&gt;!/t3"</f>
        <v>#VALUE!</v>
      </c>
      <c r="HN274" t="e">
        <f>Europe!I724+"n/&gt;!/t4"</f>
        <v>#VALUE!</v>
      </c>
      <c r="HO274" t="e">
        <f>Europe!A725+"n/&gt;!/t5"</f>
        <v>#VALUE!</v>
      </c>
      <c r="HP274" t="e">
        <f>Europe!B725+"n/&gt;!/t6"</f>
        <v>#VALUE!</v>
      </c>
      <c r="HQ274" t="e">
        <f>Europe!C725+"n/&gt;!/t7"</f>
        <v>#VALUE!</v>
      </c>
      <c r="HR274" t="e">
        <f>Europe!D725+"n/&gt;!/t8"</f>
        <v>#VALUE!</v>
      </c>
      <c r="HS274" t="e">
        <f>Europe!E725+"n/&gt;!/t9"</f>
        <v>#VALUE!</v>
      </c>
      <c r="HT274" t="e">
        <f>Europe!F725+"n/&gt;!/t:"</f>
        <v>#VALUE!</v>
      </c>
      <c r="HU274" t="e">
        <f>Europe!G725+"n/&gt;!/t;"</f>
        <v>#VALUE!</v>
      </c>
      <c r="HV274" t="e">
        <f>Europe!H725+"n/&gt;!/t&lt;"</f>
        <v>#VALUE!</v>
      </c>
      <c r="HW274" t="e">
        <f>Europe!I725+"n/&gt;!/t="</f>
        <v>#VALUE!</v>
      </c>
      <c r="HX274" t="e">
        <f>Europe!A726+"n/&gt;!/t&gt;"</f>
        <v>#VALUE!</v>
      </c>
      <c r="HY274" t="e">
        <f>Europe!B726+"n/&gt;!/t?"</f>
        <v>#VALUE!</v>
      </c>
      <c r="HZ274" t="e">
        <f>Europe!C726+"n/&gt;!/t@"</f>
        <v>#VALUE!</v>
      </c>
      <c r="IA274" t="e">
        <f>Europe!D726+"n/&gt;!/tA"</f>
        <v>#VALUE!</v>
      </c>
      <c r="IB274" t="e">
        <f>Europe!E726+"n/&gt;!/tB"</f>
        <v>#VALUE!</v>
      </c>
      <c r="IC274" t="e">
        <f>Europe!F726+"n/&gt;!/tC"</f>
        <v>#VALUE!</v>
      </c>
      <c r="ID274" t="e">
        <f>Europe!G726+"n/&gt;!/tD"</f>
        <v>#VALUE!</v>
      </c>
      <c r="IE274" t="e">
        <f>Europe!H726+"n/&gt;!/tE"</f>
        <v>#VALUE!</v>
      </c>
      <c r="IF274" t="e">
        <f>Europe!I726+"n/&gt;!/tF"</f>
        <v>#VALUE!</v>
      </c>
      <c r="IG274" t="e">
        <f>Europe!A727+"n/&gt;!/tG"</f>
        <v>#VALUE!</v>
      </c>
      <c r="IH274" t="e">
        <f>Europe!B727+"n/&gt;!/tH"</f>
        <v>#VALUE!</v>
      </c>
      <c r="II274" t="e">
        <f>Europe!C727+"n/&gt;!/tI"</f>
        <v>#VALUE!</v>
      </c>
      <c r="IJ274" t="e">
        <f>Europe!D727+"n/&gt;!/tJ"</f>
        <v>#VALUE!</v>
      </c>
      <c r="IK274" t="e">
        <f>Europe!E727+"n/&gt;!/tK"</f>
        <v>#VALUE!</v>
      </c>
      <c r="IL274" t="e">
        <f>Europe!F727+"n/&gt;!/tL"</f>
        <v>#VALUE!</v>
      </c>
      <c r="IM274" t="e">
        <f>Europe!G727+"n/&gt;!/tM"</f>
        <v>#VALUE!</v>
      </c>
      <c r="IN274" t="e">
        <f>Europe!H727+"n/&gt;!/tN"</f>
        <v>#VALUE!</v>
      </c>
      <c r="IO274" t="e">
        <f>Europe!I727+"n/&gt;!/tO"</f>
        <v>#VALUE!</v>
      </c>
      <c r="IP274" t="e">
        <f>Europe!A728+"n/&gt;!/tP"</f>
        <v>#VALUE!</v>
      </c>
      <c r="IQ274" t="e">
        <f>Europe!B728+"n/&gt;!/tQ"</f>
        <v>#VALUE!</v>
      </c>
      <c r="IR274" t="e">
        <f>Europe!C728+"n/&gt;!/tR"</f>
        <v>#VALUE!</v>
      </c>
      <c r="IS274" t="e">
        <f>Europe!D728+"n/&gt;!/tS"</f>
        <v>#VALUE!</v>
      </c>
      <c r="IT274" t="e">
        <f>Europe!E728+"n/&gt;!/tT"</f>
        <v>#VALUE!</v>
      </c>
      <c r="IU274" t="e">
        <f>Europe!F728+"n/&gt;!/tU"</f>
        <v>#VALUE!</v>
      </c>
      <c r="IV274" t="e">
        <f>Europe!G728+"n/&gt;!/tV"</f>
        <v>#VALUE!</v>
      </c>
    </row>
    <row r="275" spans="6:256" x14ac:dyDescent="0.35">
      <c r="F275" t="e">
        <f>Europe!H728+"n/&gt;!/tW"</f>
        <v>#VALUE!</v>
      </c>
      <c r="G275" t="e">
        <f>Europe!I728+"n/&gt;!/tX"</f>
        <v>#VALUE!</v>
      </c>
      <c r="H275" t="e">
        <f>Europe!A729+"n/&gt;!/tY"</f>
        <v>#VALUE!</v>
      </c>
      <c r="I275" t="e">
        <f>Europe!B729+"n/&gt;!/tZ"</f>
        <v>#VALUE!</v>
      </c>
      <c r="J275" t="e">
        <f>Europe!C729+"n/&gt;!/t["</f>
        <v>#VALUE!</v>
      </c>
      <c r="K275" t="e">
        <f>Europe!D729+"n/&gt;!/t\"</f>
        <v>#VALUE!</v>
      </c>
      <c r="L275" t="e">
        <f>Europe!E729+"n/&gt;!/t]"</f>
        <v>#VALUE!</v>
      </c>
      <c r="M275" t="e">
        <f>Europe!F729+"n/&gt;!/t^"</f>
        <v>#VALUE!</v>
      </c>
      <c r="N275" t="e">
        <f>Europe!G729+"n/&gt;!/t_"</f>
        <v>#VALUE!</v>
      </c>
      <c r="O275" t="e">
        <f>Europe!H729+"n/&gt;!/t`"</f>
        <v>#VALUE!</v>
      </c>
      <c r="P275" t="e">
        <f>Europe!I729+"n/&gt;!/ta"</f>
        <v>#VALUE!</v>
      </c>
      <c r="Q275" t="e">
        <f>Europe!A730+"n/&gt;!/tb"</f>
        <v>#VALUE!</v>
      </c>
      <c r="R275" t="e">
        <f>Europe!B730+"n/&gt;!/tc"</f>
        <v>#VALUE!</v>
      </c>
      <c r="S275" t="e">
        <f>Europe!C730+"n/&gt;!/td"</f>
        <v>#VALUE!</v>
      </c>
      <c r="T275" t="e">
        <f>Europe!D730+"n/&gt;!/te"</f>
        <v>#VALUE!</v>
      </c>
      <c r="U275" t="e">
        <f>Europe!E730+"n/&gt;!/tf"</f>
        <v>#VALUE!</v>
      </c>
      <c r="V275" t="e">
        <f>Europe!F730+"n/&gt;!/tg"</f>
        <v>#VALUE!</v>
      </c>
      <c r="W275" t="e">
        <f>Europe!G730+"n/&gt;!/th"</f>
        <v>#VALUE!</v>
      </c>
      <c r="X275" t="e">
        <f>Europe!H730+"n/&gt;!/ti"</f>
        <v>#VALUE!</v>
      </c>
      <c r="Y275" t="e">
        <f>Europe!I730+"n/&gt;!/tj"</f>
        <v>#VALUE!</v>
      </c>
      <c r="Z275" t="e">
        <f>Europe!A731+"n/&gt;!/tk"</f>
        <v>#VALUE!</v>
      </c>
      <c r="AA275" t="e">
        <f>Europe!B731+"n/&gt;!/tl"</f>
        <v>#VALUE!</v>
      </c>
      <c r="AB275" t="e">
        <f>Europe!C731+"n/&gt;!/tm"</f>
        <v>#VALUE!</v>
      </c>
      <c r="AC275" t="e">
        <f>Europe!D731+"n/&gt;!/tn"</f>
        <v>#VALUE!</v>
      </c>
      <c r="AD275" t="e">
        <f>Europe!E731+"n/&gt;!/to"</f>
        <v>#VALUE!</v>
      </c>
      <c r="AE275" t="e">
        <f>Europe!F731+"n/&gt;!/tp"</f>
        <v>#VALUE!</v>
      </c>
      <c r="AF275" t="e">
        <f>Europe!G731+"n/&gt;!/tq"</f>
        <v>#VALUE!</v>
      </c>
      <c r="AG275" t="e">
        <f>Europe!H731+"n/&gt;!/tr"</f>
        <v>#VALUE!</v>
      </c>
      <c r="AH275" t="e">
        <f>Europe!I731+"n/&gt;!/ts"</f>
        <v>#VALUE!</v>
      </c>
      <c r="AI275" t="e">
        <f>Europe!A732+"n/&gt;!/tt"</f>
        <v>#VALUE!</v>
      </c>
      <c r="AJ275" t="e">
        <f>Europe!B732+"n/&gt;!/tu"</f>
        <v>#VALUE!</v>
      </c>
      <c r="AK275" t="e">
        <f>Europe!C732+"n/&gt;!/tv"</f>
        <v>#VALUE!</v>
      </c>
      <c r="AL275" t="e">
        <f>Europe!D732+"n/&gt;!/tw"</f>
        <v>#VALUE!</v>
      </c>
      <c r="AM275" t="e">
        <f>Europe!E732+"n/&gt;!/tx"</f>
        <v>#VALUE!</v>
      </c>
      <c r="AN275" t="e">
        <f>Europe!F732+"n/&gt;!/ty"</f>
        <v>#VALUE!</v>
      </c>
      <c r="AO275" t="e">
        <f>Europe!G732+"n/&gt;!/tz"</f>
        <v>#VALUE!</v>
      </c>
      <c r="AP275" t="e">
        <f>Europe!H732+"n/&gt;!/t{"</f>
        <v>#VALUE!</v>
      </c>
      <c r="AQ275" t="e">
        <f>Europe!I732+"n/&gt;!/t|"</f>
        <v>#VALUE!</v>
      </c>
      <c r="AR275" t="e">
        <f>Europe!A733+"n/&gt;!/t}"</f>
        <v>#VALUE!</v>
      </c>
      <c r="AS275" t="e">
        <f>Europe!B733+"n/&gt;!/t~"</f>
        <v>#VALUE!</v>
      </c>
      <c r="AT275" t="e">
        <f>Europe!C733+"n/&gt;!/u#"</f>
        <v>#VALUE!</v>
      </c>
      <c r="AU275" t="e">
        <f>Europe!D733+"n/&gt;!/u$"</f>
        <v>#VALUE!</v>
      </c>
      <c r="AV275" t="e">
        <f>Europe!E733+"n/&gt;!/u%"</f>
        <v>#VALUE!</v>
      </c>
      <c r="AW275" t="e">
        <f>Europe!F733+"n/&gt;!/u&amp;"</f>
        <v>#VALUE!</v>
      </c>
      <c r="AX275" t="e">
        <f>Europe!G733+"n/&gt;!/u'"</f>
        <v>#VALUE!</v>
      </c>
      <c r="AY275" t="e">
        <f>Europe!H733+"n/&gt;!/u("</f>
        <v>#VALUE!</v>
      </c>
      <c r="AZ275" t="e">
        <f>Europe!I733+"n/&gt;!/u)"</f>
        <v>#VALUE!</v>
      </c>
      <c r="BA275" t="e">
        <f>Europe!A734+"n/&gt;!/u."</f>
        <v>#VALUE!</v>
      </c>
      <c r="BB275" t="e">
        <f>Europe!B734+"n/&gt;!/u/"</f>
        <v>#VALUE!</v>
      </c>
      <c r="BC275" t="e">
        <f>Europe!C734+"n/&gt;!/u0"</f>
        <v>#VALUE!</v>
      </c>
      <c r="BD275" t="e">
        <f>Europe!D734+"n/&gt;!/u1"</f>
        <v>#VALUE!</v>
      </c>
      <c r="BE275" t="e">
        <f>Europe!E734+"n/&gt;!/u2"</f>
        <v>#VALUE!</v>
      </c>
      <c r="BF275" t="e">
        <f>Europe!F734+"n/&gt;!/u3"</f>
        <v>#VALUE!</v>
      </c>
      <c r="BG275" t="e">
        <f>Europe!G734+"n/&gt;!/u4"</f>
        <v>#VALUE!</v>
      </c>
      <c r="BH275" t="e">
        <f>Europe!H734+"n/&gt;!/u5"</f>
        <v>#VALUE!</v>
      </c>
      <c r="BI275" t="e">
        <f>Europe!I734+"n/&gt;!/u6"</f>
        <v>#VALUE!</v>
      </c>
      <c r="BJ275" t="e">
        <f>Europe!A735+"n/&gt;!/u7"</f>
        <v>#VALUE!</v>
      </c>
      <c r="BK275" t="e">
        <f>Europe!B735+"n/&gt;!/u8"</f>
        <v>#VALUE!</v>
      </c>
      <c r="BL275" t="e">
        <f>Europe!C735+"n/&gt;!/u9"</f>
        <v>#VALUE!</v>
      </c>
      <c r="BM275" t="e">
        <f>Europe!D735+"n/&gt;!/u:"</f>
        <v>#VALUE!</v>
      </c>
      <c r="BN275" t="e">
        <f>Europe!E735+"n/&gt;!/u;"</f>
        <v>#VALUE!</v>
      </c>
      <c r="BO275" t="e">
        <f>Europe!F735+"n/&gt;!/u&lt;"</f>
        <v>#VALUE!</v>
      </c>
      <c r="BP275" t="e">
        <f>Europe!G735+"n/&gt;!/u="</f>
        <v>#VALUE!</v>
      </c>
      <c r="BQ275" t="e">
        <f>Europe!H735+"n/&gt;!/u&gt;"</f>
        <v>#VALUE!</v>
      </c>
      <c r="BR275" t="e">
        <f>Europe!I735+"n/&gt;!/u?"</f>
        <v>#VALUE!</v>
      </c>
      <c r="BS275" t="e">
        <f>Europe!A736+"n/&gt;!/u@"</f>
        <v>#VALUE!</v>
      </c>
      <c r="BT275" t="e">
        <f>Europe!B736+"n/&gt;!/uA"</f>
        <v>#VALUE!</v>
      </c>
      <c r="BU275" t="e">
        <f>Europe!C736+"n/&gt;!/uB"</f>
        <v>#VALUE!</v>
      </c>
      <c r="BV275" t="e">
        <f>Europe!D736+"n/&gt;!/uC"</f>
        <v>#VALUE!</v>
      </c>
      <c r="BW275" t="e">
        <f>Europe!E736+"n/&gt;!/uD"</f>
        <v>#VALUE!</v>
      </c>
      <c r="BX275" t="e">
        <f>Europe!F736+"n/&gt;!/uE"</f>
        <v>#VALUE!</v>
      </c>
      <c r="BY275" t="e">
        <f>Europe!G736+"n/&gt;!/uF"</f>
        <v>#VALUE!</v>
      </c>
      <c r="BZ275" t="e">
        <f>Europe!H736+"n/&gt;!/uG"</f>
        <v>#VALUE!</v>
      </c>
      <c r="CA275" t="e">
        <f>Europe!I736+"n/&gt;!/uH"</f>
        <v>#VALUE!</v>
      </c>
      <c r="CB275" t="e">
        <f>Europe!A737+"n/&gt;!/uI"</f>
        <v>#VALUE!</v>
      </c>
      <c r="CC275" t="e">
        <f>Europe!B737+"n/&gt;!/uJ"</f>
        <v>#VALUE!</v>
      </c>
      <c r="CD275" t="e">
        <f>Europe!C737+"n/&gt;!/uK"</f>
        <v>#VALUE!</v>
      </c>
      <c r="CE275" t="e">
        <f>Europe!D737+"n/&gt;!/uL"</f>
        <v>#VALUE!</v>
      </c>
      <c r="CF275" t="e">
        <f>Europe!E737+"n/&gt;!/uM"</f>
        <v>#VALUE!</v>
      </c>
      <c r="CG275" t="e">
        <f>Europe!F737+"n/&gt;!/uN"</f>
        <v>#VALUE!</v>
      </c>
      <c r="CH275" t="e">
        <f>Europe!G737+"n/&gt;!/uO"</f>
        <v>#VALUE!</v>
      </c>
      <c r="CI275" t="e">
        <f>Europe!H737+"n/&gt;!/uP"</f>
        <v>#VALUE!</v>
      </c>
      <c r="CJ275" t="e">
        <f>Europe!I737+"n/&gt;!/uQ"</f>
        <v>#VALUE!</v>
      </c>
      <c r="CK275" t="e">
        <f>Europe!A738+"n/&gt;!/uR"</f>
        <v>#VALUE!</v>
      </c>
      <c r="CL275" t="e">
        <f>Europe!B738+"n/&gt;!/uS"</f>
        <v>#VALUE!</v>
      </c>
      <c r="CM275" t="e">
        <f>Europe!C738+"n/&gt;!/uT"</f>
        <v>#VALUE!</v>
      </c>
      <c r="CN275" t="e">
        <f>Europe!D738+"n/&gt;!/uU"</f>
        <v>#VALUE!</v>
      </c>
      <c r="CO275" t="e">
        <f>Europe!E738+"n/&gt;!/uV"</f>
        <v>#VALUE!</v>
      </c>
      <c r="CP275" t="e">
        <f>Europe!F738+"n/&gt;!/uW"</f>
        <v>#VALUE!</v>
      </c>
      <c r="CQ275" t="e">
        <f>Europe!G738+"n/&gt;!/uX"</f>
        <v>#VALUE!</v>
      </c>
      <c r="CR275" t="e">
        <f>Europe!H738+"n/&gt;!/uY"</f>
        <v>#VALUE!</v>
      </c>
      <c r="CS275" t="e">
        <f>Europe!I738+"n/&gt;!/uZ"</f>
        <v>#VALUE!</v>
      </c>
      <c r="CT275" t="e">
        <f>Europe!A739+"n/&gt;!/u["</f>
        <v>#VALUE!</v>
      </c>
      <c r="CU275" t="e">
        <f>Europe!B739+"n/&gt;!/u\"</f>
        <v>#VALUE!</v>
      </c>
      <c r="CV275" t="e">
        <f>Europe!C739+"n/&gt;!/u]"</f>
        <v>#VALUE!</v>
      </c>
      <c r="CW275" t="e">
        <f>Europe!D739+"n/&gt;!/u^"</f>
        <v>#VALUE!</v>
      </c>
      <c r="CX275" t="e">
        <f>Europe!E739+"n/&gt;!/u_"</f>
        <v>#VALUE!</v>
      </c>
      <c r="CY275" t="e">
        <f>Europe!F739+"n/&gt;!/u`"</f>
        <v>#VALUE!</v>
      </c>
      <c r="CZ275" t="e">
        <f>Europe!G739+"n/&gt;!/ua"</f>
        <v>#VALUE!</v>
      </c>
      <c r="DA275" t="e">
        <f>Europe!H739+"n/&gt;!/ub"</f>
        <v>#VALUE!</v>
      </c>
      <c r="DB275" t="e">
        <f>Europe!I739+"n/&gt;!/uc"</f>
        <v>#VALUE!</v>
      </c>
      <c r="DC275" t="e">
        <f>Europe!A740+"n/&gt;!/ud"</f>
        <v>#VALUE!</v>
      </c>
      <c r="DD275" t="e">
        <f>Europe!B740+"n/&gt;!/ue"</f>
        <v>#VALUE!</v>
      </c>
      <c r="DE275" t="e">
        <f>Europe!C740+"n/&gt;!/uf"</f>
        <v>#VALUE!</v>
      </c>
      <c r="DF275" t="e">
        <f>Europe!D740+"n/&gt;!/ug"</f>
        <v>#VALUE!</v>
      </c>
      <c r="DG275" t="e">
        <f>Europe!E740+"n/&gt;!/uh"</f>
        <v>#VALUE!</v>
      </c>
      <c r="DH275" t="e">
        <f>Europe!F740+"n/&gt;!/ui"</f>
        <v>#VALUE!</v>
      </c>
      <c r="DI275" t="e">
        <f>Europe!G740+"n/&gt;!/uj"</f>
        <v>#VALUE!</v>
      </c>
      <c r="DJ275" t="e">
        <f>Europe!H740+"n/&gt;!/uk"</f>
        <v>#VALUE!</v>
      </c>
      <c r="DK275" t="e">
        <f>Europe!I740+"n/&gt;!/ul"</f>
        <v>#VALUE!</v>
      </c>
      <c r="DL275" t="e">
        <f>Europe!A741+"n/&gt;!/um"</f>
        <v>#VALUE!</v>
      </c>
      <c r="DM275" t="e">
        <f>Europe!B741+"n/&gt;!/un"</f>
        <v>#VALUE!</v>
      </c>
      <c r="DN275" t="e">
        <f>Europe!C741+"n/&gt;!/uo"</f>
        <v>#VALUE!</v>
      </c>
      <c r="DO275" t="e">
        <f>Europe!D741+"n/&gt;!/up"</f>
        <v>#VALUE!</v>
      </c>
      <c r="DP275" t="e">
        <f>Europe!E741+"n/&gt;!/uq"</f>
        <v>#VALUE!</v>
      </c>
      <c r="DQ275" t="e">
        <f>Europe!F741+"n/&gt;!/ur"</f>
        <v>#VALUE!</v>
      </c>
      <c r="DR275" t="e">
        <f>Europe!G741+"n/&gt;!/us"</f>
        <v>#VALUE!</v>
      </c>
      <c r="DS275" t="e">
        <f>Europe!H741+"n/&gt;!/ut"</f>
        <v>#VALUE!</v>
      </c>
      <c r="DT275" t="e">
        <f>Europe!I741+"n/&gt;!/uu"</f>
        <v>#VALUE!</v>
      </c>
      <c r="DU275" t="e">
        <f>Europe!A742+"n/&gt;!/uv"</f>
        <v>#VALUE!</v>
      </c>
      <c r="DV275" t="e">
        <f>Europe!B742+"n/&gt;!/uw"</f>
        <v>#VALUE!</v>
      </c>
      <c r="DW275" t="e">
        <f>Europe!C742+"n/&gt;!/ux"</f>
        <v>#VALUE!</v>
      </c>
      <c r="DX275" t="e">
        <f>Europe!D742+"n/&gt;!/uy"</f>
        <v>#VALUE!</v>
      </c>
      <c r="DY275" t="e">
        <f>Europe!E742+"n/&gt;!/uz"</f>
        <v>#VALUE!</v>
      </c>
      <c r="DZ275" t="e">
        <f>Europe!F742+"n/&gt;!/u{"</f>
        <v>#VALUE!</v>
      </c>
      <c r="EA275" t="e">
        <f>Europe!G742+"n/&gt;!/u|"</f>
        <v>#VALUE!</v>
      </c>
      <c r="EB275" t="e">
        <f>Europe!H742+"n/&gt;!/u}"</f>
        <v>#VALUE!</v>
      </c>
      <c r="EC275" t="e">
        <f>Europe!I742+"n/&gt;!/u~"</f>
        <v>#VALUE!</v>
      </c>
      <c r="ED275" t="e">
        <f>Europe!A743+"n/&gt;!/v#"</f>
        <v>#VALUE!</v>
      </c>
      <c r="EE275" t="e">
        <f>Europe!B743+"n/&gt;!/v$"</f>
        <v>#VALUE!</v>
      </c>
      <c r="EF275" t="e">
        <f>Europe!C743+"n/&gt;!/v%"</f>
        <v>#VALUE!</v>
      </c>
      <c r="EG275" t="e">
        <f>Europe!D743+"n/&gt;!/v&amp;"</f>
        <v>#VALUE!</v>
      </c>
      <c r="EH275" t="e">
        <f>Europe!E743+"n/&gt;!/v'"</f>
        <v>#VALUE!</v>
      </c>
      <c r="EI275" t="e">
        <f>Europe!F743+"n/&gt;!/v("</f>
        <v>#VALUE!</v>
      </c>
      <c r="EJ275" t="e">
        <f>Europe!G743+"n/&gt;!/v)"</f>
        <v>#VALUE!</v>
      </c>
      <c r="EK275" t="e">
        <f>Europe!H743+"n/&gt;!/v."</f>
        <v>#VALUE!</v>
      </c>
      <c r="EL275" t="e">
        <f>Europe!I743+"n/&gt;!/v/"</f>
        <v>#VALUE!</v>
      </c>
      <c r="EM275" t="e">
        <f>Europe!A744+"n/&gt;!/v0"</f>
        <v>#VALUE!</v>
      </c>
      <c r="EN275" t="e">
        <f>Europe!B744+"n/&gt;!/v1"</f>
        <v>#VALUE!</v>
      </c>
      <c r="EO275" t="e">
        <f>Europe!C744+"n/&gt;!/v2"</f>
        <v>#VALUE!</v>
      </c>
      <c r="EP275" t="e">
        <f>Europe!D744+"n/&gt;!/v3"</f>
        <v>#VALUE!</v>
      </c>
      <c r="EQ275" t="e">
        <f>Europe!E744+"n/&gt;!/v4"</f>
        <v>#VALUE!</v>
      </c>
      <c r="ER275" t="e">
        <f>Europe!F744+"n/&gt;!/v5"</f>
        <v>#VALUE!</v>
      </c>
      <c r="ES275" t="e">
        <f>Europe!G744+"n/&gt;!/v6"</f>
        <v>#VALUE!</v>
      </c>
      <c r="ET275" t="e">
        <f>Europe!H744+"n/&gt;!/v7"</f>
        <v>#VALUE!</v>
      </c>
      <c r="EU275" t="e">
        <f>Europe!I744+"n/&gt;!/v8"</f>
        <v>#VALUE!</v>
      </c>
      <c r="EV275" t="e">
        <f>Europe!A745+"n/&gt;!/v9"</f>
        <v>#VALUE!</v>
      </c>
      <c r="EW275" t="e">
        <f>Europe!B745+"n/&gt;!/v:"</f>
        <v>#VALUE!</v>
      </c>
      <c r="EX275" t="e">
        <f>Europe!C745+"n/&gt;!/v;"</f>
        <v>#VALUE!</v>
      </c>
      <c r="EY275" t="e">
        <f>Europe!D745+"n/&gt;!/v&lt;"</f>
        <v>#VALUE!</v>
      </c>
      <c r="EZ275" t="e">
        <f>Europe!E745+"n/&gt;!/v="</f>
        <v>#VALUE!</v>
      </c>
      <c r="FA275" t="e">
        <f>Europe!F745+"n/&gt;!/v&gt;"</f>
        <v>#VALUE!</v>
      </c>
      <c r="FB275" t="e">
        <f>Europe!G745+"n/&gt;!/v?"</f>
        <v>#VALUE!</v>
      </c>
      <c r="FC275" t="e">
        <f>Europe!H745+"n/&gt;!/v@"</f>
        <v>#VALUE!</v>
      </c>
      <c r="FD275" t="e">
        <f>Europe!I745+"n/&gt;!/vA"</f>
        <v>#VALUE!</v>
      </c>
      <c r="FE275" t="e">
        <f>Europe!A746+"n/&gt;!/vB"</f>
        <v>#VALUE!</v>
      </c>
      <c r="FF275" t="e">
        <f>Europe!B746+"n/&gt;!/vC"</f>
        <v>#VALUE!</v>
      </c>
      <c r="FG275" t="e">
        <f>Europe!C746+"n/&gt;!/vD"</f>
        <v>#VALUE!</v>
      </c>
      <c r="FH275" t="e">
        <f>Europe!D746+"n/&gt;!/vE"</f>
        <v>#VALUE!</v>
      </c>
      <c r="FI275" t="e">
        <f>Europe!E746+"n/&gt;!/vF"</f>
        <v>#VALUE!</v>
      </c>
      <c r="FJ275" t="e">
        <f>Europe!F746+"n/&gt;!/vG"</f>
        <v>#VALUE!</v>
      </c>
      <c r="FK275" t="e">
        <f>Europe!G746+"n/&gt;!/vH"</f>
        <v>#VALUE!</v>
      </c>
      <c r="FL275" t="e">
        <f>Europe!H746+"n/&gt;!/vI"</f>
        <v>#VALUE!</v>
      </c>
      <c r="FM275" t="e">
        <f>Europe!I746+"n/&gt;!/vJ"</f>
        <v>#VALUE!</v>
      </c>
      <c r="FN275" t="e">
        <f>Europe!A747+"n/&gt;!/vK"</f>
        <v>#VALUE!</v>
      </c>
      <c r="FO275" t="e">
        <f>Europe!B747+"n/&gt;!/vL"</f>
        <v>#VALUE!</v>
      </c>
      <c r="FP275" t="e">
        <f>Europe!C747+"n/&gt;!/vM"</f>
        <v>#VALUE!</v>
      </c>
      <c r="FQ275" t="e">
        <f>Europe!D747+"n/&gt;!/vN"</f>
        <v>#VALUE!</v>
      </c>
      <c r="FR275" t="e">
        <f>Europe!E747+"n/&gt;!/vO"</f>
        <v>#VALUE!</v>
      </c>
      <c r="FS275" t="e">
        <f>Europe!F747+"n/&gt;!/vP"</f>
        <v>#VALUE!</v>
      </c>
      <c r="FT275" t="e">
        <f>Europe!G747+"n/&gt;!/vQ"</f>
        <v>#VALUE!</v>
      </c>
      <c r="FU275" t="e">
        <f>Europe!H747+"n/&gt;!/vR"</f>
        <v>#VALUE!</v>
      </c>
      <c r="FV275" t="e">
        <f>Europe!I747+"n/&gt;!/vS"</f>
        <v>#VALUE!</v>
      </c>
      <c r="FW275" t="e">
        <f>Europe!A748+"n/&gt;!/vT"</f>
        <v>#VALUE!</v>
      </c>
      <c r="FX275" t="e">
        <f>Europe!B748+"n/&gt;!/vU"</f>
        <v>#VALUE!</v>
      </c>
      <c r="FY275" t="e">
        <f>Europe!C748+"n/&gt;!/vV"</f>
        <v>#VALUE!</v>
      </c>
      <c r="FZ275" t="e">
        <f>Europe!D748+"n/&gt;!/vW"</f>
        <v>#VALUE!</v>
      </c>
      <c r="GA275" t="e">
        <f>Europe!E748+"n/&gt;!/vX"</f>
        <v>#VALUE!</v>
      </c>
      <c r="GB275" t="e">
        <f>Europe!F748+"n/&gt;!/vY"</f>
        <v>#VALUE!</v>
      </c>
      <c r="GC275" t="e">
        <f>Europe!G748+"n/&gt;!/vZ"</f>
        <v>#VALUE!</v>
      </c>
      <c r="GD275" t="e">
        <f>Europe!H748+"n/&gt;!/v["</f>
        <v>#VALUE!</v>
      </c>
      <c r="GE275" t="e">
        <f>Europe!I748+"n/&gt;!/v\"</f>
        <v>#VALUE!</v>
      </c>
      <c r="GF275" t="e">
        <f>Europe!A749+"n/&gt;!/v]"</f>
        <v>#VALUE!</v>
      </c>
      <c r="GG275" t="e">
        <f>Europe!B749+"n/&gt;!/v^"</f>
        <v>#VALUE!</v>
      </c>
      <c r="GH275" t="e">
        <f>Europe!C749+"n/&gt;!/v_"</f>
        <v>#VALUE!</v>
      </c>
      <c r="GI275" t="e">
        <f>Europe!D749+"n/&gt;!/v`"</f>
        <v>#VALUE!</v>
      </c>
      <c r="GJ275" t="e">
        <f>Europe!E749+"n/&gt;!/va"</f>
        <v>#VALUE!</v>
      </c>
      <c r="GK275" t="e">
        <f>Europe!F749+"n/&gt;!/vb"</f>
        <v>#VALUE!</v>
      </c>
      <c r="GL275" t="e">
        <f>Europe!G749+"n/&gt;!/vc"</f>
        <v>#VALUE!</v>
      </c>
      <c r="GM275" t="e">
        <f>Europe!H749+"n/&gt;!/vd"</f>
        <v>#VALUE!</v>
      </c>
      <c r="GN275" t="e">
        <f>Europe!I749+"n/&gt;!/ve"</f>
        <v>#VALUE!</v>
      </c>
      <c r="GO275" t="e">
        <f>Europe!A750+"n/&gt;!/vf"</f>
        <v>#VALUE!</v>
      </c>
      <c r="GP275" t="e">
        <f>Europe!B750+"n/&gt;!/vg"</f>
        <v>#VALUE!</v>
      </c>
      <c r="GQ275" t="e">
        <f>Europe!C750+"n/&gt;!/vh"</f>
        <v>#VALUE!</v>
      </c>
      <c r="GR275" t="e">
        <f>Europe!D750+"n/&gt;!/vi"</f>
        <v>#VALUE!</v>
      </c>
      <c r="GS275" t="e">
        <f>Europe!E750+"n/&gt;!/vj"</f>
        <v>#VALUE!</v>
      </c>
      <c r="GT275" t="e">
        <f>Europe!F750+"n/&gt;!/vk"</f>
        <v>#VALUE!</v>
      </c>
      <c r="GU275" t="e">
        <f>Europe!G750+"n/&gt;!/vl"</f>
        <v>#VALUE!</v>
      </c>
      <c r="GV275" t="e">
        <f>Europe!H750+"n/&gt;!/vm"</f>
        <v>#VALUE!</v>
      </c>
      <c r="GW275" t="e">
        <f>Europe!I750+"n/&gt;!/vn"</f>
        <v>#VALUE!</v>
      </c>
      <c r="GX275" t="e">
        <f>Europe!A751+"n/&gt;!/vo"</f>
        <v>#VALUE!</v>
      </c>
      <c r="GY275" t="e">
        <f>Europe!B751+"n/&gt;!/vp"</f>
        <v>#VALUE!</v>
      </c>
      <c r="GZ275" t="e">
        <f>Europe!C751+"n/&gt;!/vq"</f>
        <v>#VALUE!</v>
      </c>
      <c r="HA275" t="e">
        <f>Europe!D751+"n/&gt;!/vr"</f>
        <v>#VALUE!</v>
      </c>
      <c r="HB275" t="e">
        <f>Europe!E751+"n/&gt;!/vs"</f>
        <v>#VALUE!</v>
      </c>
      <c r="HC275" t="e">
        <f>Europe!F751+"n/&gt;!/vt"</f>
        <v>#VALUE!</v>
      </c>
      <c r="HD275" t="e">
        <f>Europe!G751+"n/&gt;!/vu"</f>
        <v>#VALUE!</v>
      </c>
      <c r="HE275" t="e">
        <f>Europe!H751+"n/&gt;!/vv"</f>
        <v>#VALUE!</v>
      </c>
      <c r="HF275" t="e">
        <f>Europe!I751+"n/&gt;!/vw"</f>
        <v>#VALUE!</v>
      </c>
      <c r="HG275" t="e">
        <f>Europe!A752+"n/&gt;!/vx"</f>
        <v>#VALUE!</v>
      </c>
      <c r="HH275" t="e">
        <f>Europe!B752+"n/&gt;!/vy"</f>
        <v>#VALUE!</v>
      </c>
      <c r="HI275" t="e">
        <f>Europe!C752+"n/&gt;!/vz"</f>
        <v>#VALUE!</v>
      </c>
      <c r="HJ275" t="e">
        <f>Europe!D752+"n/&gt;!/v{"</f>
        <v>#VALUE!</v>
      </c>
      <c r="HK275" t="e">
        <f>Europe!E752+"n/&gt;!/v|"</f>
        <v>#VALUE!</v>
      </c>
      <c r="HL275" t="e">
        <f>Europe!F752+"n/&gt;!/v}"</f>
        <v>#VALUE!</v>
      </c>
      <c r="HM275" t="e">
        <f>Europe!G752+"n/&gt;!/v~"</f>
        <v>#VALUE!</v>
      </c>
      <c r="HN275" t="e">
        <f>Europe!H752+"n/&gt;!/w#"</f>
        <v>#VALUE!</v>
      </c>
      <c r="HO275" t="e">
        <f>Europe!I752+"n/&gt;!/w$"</f>
        <v>#VALUE!</v>
      </c>
      <c r="HP275" t="e">
        <f>Europe!A753+"n/&gt;!/w%"</f>
        <v>#VALUE!</v>
      </c>
      <c r="HQ275" t="e">
        <f>Europe!B753+"n/&gt;!/w&amp;"</f>
        <v>#VALUE!</v>
      </c>
      <c r="HR275" t="e">
        <f>Europe!C753+"n/&gt;!/w'"</f>
        <v>#VALUE!</v>
      </c>
      <c r="HS275" t="e">
        <f>Europe!D753+"n/&gt;!/w("</f>
        <v>#VALUE!</v>
      </c>
      <c r="HT275" t="e">
        <f>Europe!E753+"n/&gt;!/w)"</f>
        <v>#VALUE!</v>
      </c>
      <c r="HU275" t="e">
        <f>Europe!F753+"n/&gt;!/w."</f>
        <v>#VALUE!</v>
      </c>
      <c r="HV275" t="e">
        <f>Europe!G753+"n/&gt;!/w/"</f>
        <v>#VALUE!</v>
      </c>
      <c r="HW275" t="e">
        <f>Europe!H753+"n/&gt;!/w0"</f>
        <v>#VALUE!</v>
      </c>
      <c r="HX275" t="e">
        <f>Europe!I753+"n/&gt;!/w1"</f>
        <v>#VALUE!</v>
      </c>
      <c r="HY275" t="e">
        <f>Europe!A754+"n/&gt;!/w2"</f>
        <v>#VALUE!</v>
      </c>
      <c r="HZ275" t="e">
        <f>Europe!B754+"n/&gt;!/w3"</f>
        <v>#VALUE!</v>
      </c>
      <c r="IA275" t="e">
        <f>Europe!C754+"n/&gt;!/w4"</f>
        <v>#VALUE!</v>
      </c>
      <c r="IB275" t="e">
        <f>Europe!D754+"n/&gt;!/w5"</f>
        <v>#VALUE!</v>
      </c>
      <c r="IC275" t="e">
        <f>Europe!E754+"n/&gt;!/w6"</f>
        <v>#VALUE!</v>
      </c>
      <c r="ID275" t="e">
        <f>Europe!F754+"n/&gt;!/w7"</f>
        <v>#VALUE!</v>
      </c>
      <c r="IE275" t="e">
        <f>Europe!G754+"n/&gt;!/w8"</f>
        <v>#VALUE!</v>
      </c>
      <c r="IF275" t="e">
        <f>Europe!H754+"n/&gt;!/w9"</f>
        <v>#VALUE!</v>
      </c>
      <c r="IG275" t="e">
        <f>Europe!I754+"n/&gt;!/w:"</f>
        <v>#VALUE!</v>
      </c>
      <c r="IH275" t="e">
        <f>Europe!A755+"n/&gt;!/w;"</f>
        <v>#VALUE!</v>
      </c>
      <c r="II275" t="e">
        <f>Europe!B755+"n/&gt;!/w&lt;"</f>
        <v>#VALUE!</v>
      </c>
      <c r="IJ275" t="e">
        <f>Europe!C755+"n/&gt;!/w="</f>
        <v>#VALUE!</v>
      </c>
      <c r="IK275" t="e">
        <f>Europe!D755+"n/&gt;!/w&gt;"</f>
        <v>#VALUE!</v>
      </c>
      <c r="IL275" t="e">
        <f>Europe!E755+"n/&gt;!/w?"</f>
        <v>#VALUE!</v>
      </c>
      <c r="IM275" t="e">
        <f>Europe!F755+"n/&gt;!/w@"</f>
        <v>#VALUE!</v>
      </c>
      <c r="IN275" t="e">
        <f>Europe!G755+"n/&gt;!/wA"</f>
        <v>#VALUE!</v>
      </c>
      <c r="IO275" t="e">
        <f>Europe!H755+"n/&gt;!/wB"</f>
        <v>#VALUE!</v>
      </c>
      <c r="IP275" t="e">
        <f>Europe!I755+"n/&gt;!/wC"</f>
        <v>#VALUE!</v>
      </c>
      <c r="IQ275" t="e">
        <f>Europe!A756+"n/&gt;!/wD"</f>
        <v>#VALUE!</v>
      </c>
      <c r="IR275" t="e">
        <f>Europe!B756+"n/&gt;!/wE"</f>
        <v>#VALUE!</v>
      </c>
      <c r="IS275" t="e">
        <f>Europe!C756+"n/&gt;!/wF"</f>
        <v>#VALUE!</v>
      </c>
      <c r="IT275" t="e">
        <f>Europe!D756+"n/&gt;!/wG"</f>
        <v>#VALUE!</v>
      </c>
      <c r="IU275" t="e">
        <f>Europe!E756+"n/&gt;!/wH"</f>
        <v>#VALUE!</v>
      </c>
      <c r="IV275" t="e">
        <f>Europe!F756+"n/&gt;!/wI"</f>
        <v>#VALUE!</v>
      </c>
    </row>
    <row r="276" spans="6:256" x14ac:dyDescent="0.35">
      <c r="F276" t="e">
        <f>Europe!G756+"n/&gt;!/wJ"</f>
        <v>#VALUE!</v>
      </c>
      <c r="G276" t="e">
        <f>Europe!H756+"n/&gt;!/wK"</f>
        <v>#VALUE!</v>
      </c>
      <c r="H276" t="e">
        <f>Europe!I756+"n/&gt;!/wL"</f>
        <v>#VALUE!</v>
      </c>
      <c r="I276" t="e">
        <f>Europe!A757+"n/&gt;!/wM"</f>
        <v>#VALUE!</v>
      </c>
      <c r="J276" t="e">
        <f>Europe!B757+"n/&gt;!/wN"</f>
        <v>#VALUE!</v>
      </c>
      <c r="K276" t="e">
        <f>Europe!C757+"n/&gt;!/wO"</f>
        <v>#VALUE!</v>
      </c>
      <c r="L276" t="e">
        <f>Europe!D757+"n/&gt;!/wP"</f>
        <v>#VALUE!</v>
      </c>
      <c r="M276" t="e">
        <f>Europe!E757+"n/&gt;!/wQ"</f>
        <v>#VALUE!</v>
      </c>
      <c r="N276" t="e">
        <f>Europe!F757+"n/&gt;!/wR"</f>
        <v>#VALUE!</v>
      </c>
      <c r="O276" t="e">
        <f>Europe!G757+"n/&gt;!/wS"</f>
        <v>#VALUE!</v>
      </c>
      <c r="P276" t="e">
        <f>Europe!H757+"n/&gt;!/wT"</f>
        <v>#VALUE!</v>
      </c>
      <c r="Q276" t="e">
        <f>Europe!I757+"n/&gt;!/wU"</f>
        <v>#VALUE!</v>
      </c>
      <c r="R276" t="e">
        <f>Europe!A758+"n/&gt;!/wV"</f>
        <v>#VALUE!</v>
      </c>
      <c r="S276" t="e">
        <f>Europe!B758+"n/&gt;!/wW"</f>
        <v>#VALUE!</v>
      </c>
      <c r="T276" t="e">
        <f>Europe!C758+"n/&gt;!/wX"</f>
        <v>#VALUE!</v>
      </c>
      <c r="U276" t="e">
        <f>Europe!D758+"n/&gt;!/wY"</f>
        <v>#VALUE!</v>
      </c>
      <c r="V276" t="e">
        <f>Europe!E758+"n/&gt;!/wZ"</f>
        <v>#VALUE!</v>
      </c>
      <c r="W276" t="e">
        <f>Europe!F758+"n/&gt;!/w["</f>
        <v>#VALUE!</v>
      </c>
      <c r="X276" t="e">
        <f>Europe!G758+"n/&gt;!/w\"</f>
        <v>#VALUE!</v>
      </c>
      <c r="Y276" t="e">
        <f>Europe!H758+"n/&gt;!/w]"</f>
        <v>#VALUE!</v>
      </c>
      <c r="Z276" t="e">
        <f>Europe!I758+"n/&gt;!/w^"</f>
        <v>#VALUE!</v>
      </c>
      <c r="AA276" t="e">
        <f>Europe!A759+"n/&gt;!/w_"</f>
        <v>#VALUE!</v>
      </c>
      <c r="AB276" t="e">
        <f>Europe!B759+"n/&gt;!/w`"</f>
        <v>#VALUE!</v>
      </c>
      <c r="AC276" t="e">
        <f>Europe!C759+"n/&gt;!/wa"</f>
        <v>#VALUE!</v>
      </c>
      <c r="AD276" t="e">
        <f>Europe!D759+"n/&gt;!/wb"</f>
        <v>#VALUE!</v>
      </c>
      <c r="AE276" t="e">
        <f>Europe!E759+"n/&gt;!/wc"</f>
        <v>#VALUE!</v>
      </c>
      <c r="AF276" t="e">
        <f>Europe!F759+"n/&gt;!/wd"</f>
        <v>#VALUE!</v>
      </c>
      <c r="AG276" t="e">
        <f>Europe!G759+"n/&gt;!/we"</f>
        <v>#VALUE!</v>
      </c>
      <c r="AH276" t="e">
        <f>Europe!H759+"n/&gt;!/wf"</f>
        <v>#VALUE!</v>
      </c>
      <c r="AI276" t="e">
        <f>Europe!I759+"n/&gt;!/wg"</f>
        <v>#VALUE!</v>
      </c>
      <c r="AJ276" t="e">
        <f>Europe!A760+"n/&gt;!/wh"</f>
        <v>#VALUE!</v>
      </c>
      <c r="AK276" t="e">
        <f>Europe!B760+"n/&gt;!/wi"</f>
        <v>#VALUE!</v>
      </c>
      <c r="AL276" t="e">
        <f>Europe!C760+"n/&gt;!/wj"</f>
        <v>#VALUE!</v>
      </c>
      <c r="AM276" t="e">
        <f>Europe!D760+"n/&gt;!/wk"</f>
        <v>#VALUE!</v>
      </c>
      <c r="AN276" t="e">
        <f>Europe!E760+"n/&gt;!/wl"</f>
        <v>#VALUE!</v>
      </c>
      <c r="AO276" t="e">
        <f>Europe!F760+"n/&gt;!/wm"</f>
        <v>#VALUE!</v>
      </c>
      <c r="AP276" t="e">
        <f>Europe!G760+"n/&gt;!/wn"</f>
        <v>#VALUE!</v>
      </c>
      <c r="AQ276" t="e">
        <f>Europe!H760+"n/&gt;!/wo"</f>
        <v>#VALUE!</v>
      </c>
      <c r="AR276" t="e">
        <f>Europe!I760+"n/&gt;!/wp"</f>
        <v>#VALUE!</v>
      </c>
      <c r="AS276" t="e">
        <f>Europe!A761+"n/&gt;!/wq"</f>
        <v>#VALUE!</v>
      </c>
      <c r="AT276" t="e">
        <f>Europe!B761+"n/&gt;!/wr"</f>
        <v>#VALUE!</v>
      </c>
      <c r="AU276" t="e">
        <f>Europe!C761+"n/&gt;!/ws"</f>
        <v>#VALUE!</v>
      </c>
      <c r="AV276" t="e">
        <f>Europe!D761+"n/&gt;!/wt"</f>
        <v>#VALUE!</v>
      </c>
      <c r="AW276" t="e">
        <f>Europe!E761+"n/&gt;!/wu"</f>
        <v>#VALUE!</v>
      </c>
      <c r="AX276" t="e">
        <f>Europe!F761+"n/&gt;!/wv"</f>
        <v>#VALUE!</v>
      </c>
      <c r="AY276" t="e">
        <f>Europe!G761+"n/&gt;!/ww"</f>
        <v>#VALUE!</v>
      </c>
      <c r="AZ276" t="e">
        <f>Europe!H761+"n/&gt;!/wx"</f>
        <v>#VALUE!</v>
      </c>
      <c r="BA276" t="e">
        <f>Europe!I761+"n/&gt;!/wy"</f>
        <v>#VALUE!</v>
      </c>
      <c r="BB276" t="e">
        <f>Europe!A762+"n/&gt;!/wz"</f>
        <v>#VALUE!</v>
      </c>
      <c r="BC276" t="e">
        <f>Europe!B762+"n/&gt;!/w{"</f>
        <v>#VALUE!</v>
      </c>
      <c r="BD276" t="e">
        <f>Europe!C762+"n/&gt;!/w|"</f>
        <v>#VALUE!</v>
      </c>
      <c r="BE276" t="e">
        <f>Europe!D762+"n/&gt;!/w}"</f>
        <v>#VALUE!</v>
      </c>
      <c r="BF276" t="e">
        <f>Europe!E762+"n/&gt;!/w~"</f>
        <v>#VALUE!</v>
      </c>
      <c r="BG276" t="e">
        <f>Europe!F762+"n/&gt;!/x#"</f>
        <v>#VALUE!</v>
      </c>
      <c r="BH276" t="e">
        <f>Europe!G762+"n/&gt;!/x$"</f>
        <v>#VALUE!</v>
      </c>
      <c r="BI276" t="e">
        <f>Europe!H762+"n/&gt;!/x%"</f>
        <v>#VALUE!</v>
      </c>
      <c r="BJ276" t="e">
        <f>Europe!I762+"n/&gt;!/x&amp;"</f>
        <v>#VALUE!</v>
      </c>
      <c r="BK276" t="e">
        <f>Europe!A763+"n/&gt;!/x'"</f>
        <v>#VALUE!</v>
      </c>
      <c r="BL276" t="e">
        <f>Europe!B763+"n/&gt;!/x("</f>
        <v>#VALUE!</v>
      </c>
      <c r="BM276" t="e">
        <f>Europe!C763+"n/&gt;!/x)"</f>
        <v>#VALUE!</v>
      </c>
      <c r="BN276" t="e">
        <f>Europe!D763+"n/&gt;!/x."</f>
        <v>#VALUE!</v>
      </c>
      <c r="BO276" t="e">
        <f>Europe!E763+"n/&gt;!/x/"</f>
        <v>#VALUE!</v>
      </c>
      <c r="BP276" t="e">
        <f>Europe!F763+"n/&gt;!/x0"</f>
        <v>#VALUE!</v>
      </c>
      <c r="BQ276" t="e">
        <f>Europe!G763+"n/&gt;!/x1"</f>
        <v>#VALUE!</v>
      </c>
      <c r="BR276" t="e">
        <f>Europe!H763+"n/&gt;!/x2"</f>
        <v>#VALUE!</v>
      </c>
      <c r="BS276" t="e">
        <f>Europe!I763+"n/&gt;!/x3"</f>
        <v>#VALUE!</v>
      </c>
      <c r="BT276" t="e">
        <f>Europe!A764+"n/&gt;!/x4"</f>
        <v>#VALUE!</v>
      </c>
      <c r="BU276" t="e">
        <f>Europe!B764+"n/&gt;!/x5"</f>
        <v>#VALUE!</v>
      </c>
      <c r="BV276" t="e">
        <f>Europe!C764+"n/&gt;!/x6"</f>
        <v>#VALUE!</v>
      </c>
      <c r="BW276" t="e">
        <f>Europe!D764+"n/&gt;!/x7"</f>
        <v>#VALUE!</v>
      </c>
      <c r="BX276" t="e">
        <f>Europe!E764+"n/&gt;!/x8"</f>
        <v>#VALUE!</v>
      </c>
      <c r="BY276" t="e">
        <f>Europe!F764+"n/&gt;!/x9"</f>
        <v>#VALUE!</v>
      </c>
      <c r="BZ276" t="e">
        <f>Europe!G764+"n/&gt;!/x:"</f>
        <v>#VALUE!</v>
      </c>
      <c r="CA276" t="e">
        <f>Europe!H764+"n/&gt;!/x;"</f>
        <v>#VALUE!</v>
      </c>
      <c r="CB276" t="e">
        <f>Europe!I764+"n/&gt;!/x&lt;"</f>
        <v>#VALUE!</v>
      </c>
      <c r="CC276" t="e">
        <f>Europe!A765+"n/&gt;!/x="</f>
        <v>#VALUE!</v>
      </c>
      <c r="CD276" t="e">
        <f>Europe!B765+"n/&gt;!/x&gt;"</f>
        <v>#VALUE!</v>
      </c>
      <c r="CE276" t="e">
        <f>Europe!C765+"n/&gt;!/x?"</f>
        <v>#VALUE!</v>
      </c>
      <c r="CF276" t="e">
        <f>Europe!D765+"n/&gt;!/x@"</f>
        <v>#VALUE!</v>
      </c>
      <c r="CG276" t="e">
        <f>Europe!E765+"n/&gt;!/xA"</f>
        <v>#VALUE!</v>
      </c>
      <c r="CH276" t="e">
        <f>Europe!F765+"n/&gt;!/xB"</f>
        <v>#VALUE!</v>
      </c>
      <c r="CI276" t="e">
        <f>Europe!G765+"n/&gt;!/xC"</f>
        <v>#VALUE!</v>
      </c>
      <c r="CJ276" t="e">
        <f>Europe!H765+"n/&gt;!/xD"</f>
        <v>#VALUE!</v>
      </c>
      <c r="CK276" t="e">
        <f>Europe!I765+"n/&gt;!/xE"</f>
        <v>#VALUE!</v>
      </c>
      <c r="CL276" t="e">
        <f>Europe!A766+"n/&gt;!/xF"</f>
        <v>#VALUE!</v>
      </c>
      <c r="CM276" t="e">
        <f>Europe!B766+"n/&gt;!/xG"</f>
        <v>#VALUE!</v>
      </c>
      <c r="CN276" t="e">
        <f>Europe!C766+"n/&gt;!/xH"</f>
        <v>#VALUE!</v>
      </c>
      <c r="CO276" t="e">
        <f>Europe!D766+"n/&gt;!/xI"</f>
        <v>#VALUE!</v>
      </c>
      <c r="CP276" t="e">
        <f>Europe!E766+"n/&gt;!/xJ"</f>
        <v>#VALUE!</v>
      </c>
      <c r="CQ276" t="e">
        <f>Europe!F766+"n/&gt;!/xK"</f>
        <v>#VALUE!</v>
      </c>
      <c r="CR276" t="e">
        <f>Europe!G766+"n/&gt;!/xL"</f>
        <v>#VALUE!</v>
      </c>
      <c r="CS276" t="e">
        <f>Europe!H766+"n/&gt;!/xM"</f>
        <v>#VALUE!</v>
      </c>
      <c r="CT276" t="e">
        <f>Europe!I766+"n/&gt;!/xN"</f>
        <v>#VALUE!</v>
      </c>
      <c r="CU276" t="e">
        <f>Europe!A767+"n/&gt;!/xO"</f>
        <v>#VALUE!</v>
      </c>
      <c r="CV276" t="e">
        <f>Europe!B767+"n/&gt;!/xP"</f>
        <v>#VALUE!</v>
      </c>
      <c r="CW276" t="e">
        <f>Europe!C767+"n/&gt;!/xQ"</f>
        <v>#VALUE!</v>
      </c>
      <c r="CX276" t="e">
        <f>Europe!D767+"n/&gt;!/xR"</f>
        <v>#VALUE!</v>
      </c>
      <c r="CY276" t="e">
        <f>Europe!E767+"n/&gt;!/xS"</f>
        <v>#VALUE!</v>
      </c>
      <c r="CZ276" t="e">
        <f>Europe!F767+"n/&gt;!/xT"</f>
        <v>#VALUE!</v>
      </c>
      <c r="DA276" t="e">
        <f>Europe!G767+"n/&gt;!/xU"</f>
        <v>#VALUE!</v>
      </c>
      <c r="DB276" t="e">
        <f>Europe!H767+"n/&gt;!/xV"</f>
        <v>#VALUE!</v>
      </c>
      <c r="DC276" t="e">
        <f>Europe!I767+"n/&gt;!/xW"</f>
        <v>#VALUE!</v>
      </c>
      <c r="DD276" t="e">
        <f>Europe!A768+"n/&gt;!/xX"</f>
        <v>#VALUE!</v>
      </c>
      <c r="DE276" t="e">
        <f>Europe!B768+"n/&gt;!/xY"</f>
        <v>#VALUE!</v>
      </c>
      <c r="DF276" t="e">
        <f>Europe!C768+"n/&gt;!/xZ"</f>
        <v>#VALUE!</v>
      </c>
      <c r="DG276" t="e">
        <f>Europe!D768+"n/&gt;!/x["</f>
        <v>#VALUE!</v>
      </c>
      <c r="DH276" t="e">
        <f>Europe!E768+"n/&gt;!/x\"</f>
        <v>#VALUE!</v>
      </c>
      <c r="DI276" t="e">
        <f>Europe!F768+"n/&gt;!/x]"</f>
        <v>#VALUE!</v>
      </c>
      <c r="DJ276" t="e">
        <f>Europe!G768+"n/&gt;!/x^"</f>
        <v>#VALUE!</v>
      </c>
      <c r="DK276" t="e">
        <f>Europe!H768+"n/&gt;!/x_"</f>
        <v>#VALUE!</v>
      </c>
      <c r="DL276" t="e">
        <f>Europe!I768+"n/&gt;!/x`"</f>
        <v>#VALUE!</v>
      </c>
      <c r="DM276" t="e">
        <f>Europe!A769+"n/&gt;!/xa"</f>
        <v>#VALUE!</v>
      </c>
      <c r="DN276" t="e">
        <f>Europe!B769+"n/&gt;!/xb"</f>
        <v>#VALUE!</v>
      </c>
      <c r="DO276" t="e">
        <f>Europe!C769+"n/&gt;!/xc"</f>
        <v>#VALUE!</v>
      </c>
      <c r="DP276" t="e">
        <f>Europe!D769+"n/&gt;!/xd"</f>
        <v>#VALUE!</v>
      </c>
      <c r="DQ276" t="e">
        <f>Europe!E769+"n/&gt;!/xe"</f>
        <v>#VALUE!</v>
      </c>
      <c r="DR276" t="e">
        <f>Europe!F769+"n/&gt;!/xf"</f>
        <v>#VALUE!</v>
      </c>
      <c r="DS276" t="e">
        <f>Europe!G769+"n/&gt;!/xg"</f>
        <v>#VALUE!</v>
      </c>
      <c r="DT276" t="e">
        <f>Europe!H769+"n/&gt;!/xh"</f>
        <v>#VALUE!</v>
      </c>
      <c r="DU276" t="e">
        <f>Europe!I769+"n/&gt;!/xi"</f>
        <v>#VALUE!</v>
      </c>
      <c r="DV276" t="e">
        <f>Europe!A770+"n/&gt;!/xj"</f>
        <v>#VALUE!</v>
      </c>
      <c r="DW276" t="e">
        <f>Europe!B770+"n/&gt;!/xk"</f>
        <v>#VALUE!</v>
      </c>
      <c r="DX276" t="e">
        <f>Europe!C770+"n/&gt;!/xl"</f>
        <v>#VALUE!</v>
      </c>
      <c r="DY276" t="e">
        <f>Europe!D770+"n/&gt;!/xm"</f>
        <v>#VALUE!</v>
      </c>
      <c r="DZ276" t="e">
        <f>Europe!E770+"n/&gt;!/xn"</f>
        <v>#VALUE!</v>
      </c>
      <c r="EA276" t="e">
        <f>Europe!F770+"n/&gt;!/xo"</f>
        <v>#VALUE!</v>
      </c>
      <c r="EB276" t="e">
        <f>Europe!G770+"n/&gt;!/xp"</f>
        <v>#VALUE!</v>
      </c>
      <c r="EC276" t="e">
        <f>Europe!H770+"n/&gt;!/xq"</f>
        <v>#VALUE!</v>
      </c>
      <c r="ED276" t="e">
        <f>Europe!I770+"n/&gt;!/xr"</f>
        <v>#VALUE!</v>
      </c>
      <c r="EE276" t="e">
        <f>Europe!A771+"n/&gt;!/xs"</f>
        <v>#VALUE!</v>
      </c>
      <c r="EF276" t="e">
        <f>Europe!B771+"n/&gt;!/xt"</f>
        <v>#VALUE!</v>
      </c>
      <c r="EG276" t="e">
        <f>Europe!C771+"n/&gt;!/xu"</f>
        <v>#VALUE!</v>
      </c>
      <c r="EH276" t="e">
        <f>Europe!D771+"n/&gt;!/xv"</f>
        <v>#VALUE!</v>
      </c>
      <c r="EI276" t="e">
        <f>Europe!E771+"n/&gt;!/xw"</f>
        <v>#VALUE!</v>
      </c>
      <c r="EJ276" t="e">
        <f>Europe!F771+"n/&gt;!/xx"</f>
        <v>#VALUE!</v>
      </c>
      <c r="EK276" t="e">
        <f>Europe!G771+"n/&gt;!/xy"</f>
        <v>#VALUE!</v>
      </c>
      <c r="EL276" t="e">
        <f>Europe!H771+"n/&gt;!/xz"</f>
        <v>#VALUE!</v>
      </c>
      <c r="EM276" t="e">
        <f>Europe!I771+"n/&gt;!/x{"</f>
        <v>#VALUE!</v>
      </c>
      <c r="EN276" t="e">
        <f>Europe!A772+"n/&gt;!/x|"</f>
        <v>#VALUE!</v>
      </c>
      <c r="EO276" t="e">
        <f>Europe!B772+"n/&gt;!/x}"</f>
        <v>#VALUE!</v>
      </c>
      <c r="EP276" t="e">
        <f>Europe!C772+"n/&gt;!/x~"</f>
        <v>#VALUE!</v>
      </c>
      <c r="EQ276" t="e">
        <f>Europe!D772+"n/&gt;!/y#"</f>
        <v>#VALUE!</v>
      </c>
      <c r="ER276" t="e">
        <f>Europe!E772+"n/&gt;!/y$"</f>
        <v>#VALUE!</v>
      </c>
      <c r="ES276" t="e">
        <f>Europe!F772+"n/&gt;!/y%"</f>
        <v>#VALUE!</v>
      </c>
      <c r="ET276" t="e">
        <f>Europe!G772+"n/&gt;!/y&amp;"</f>
        <v>#VALUE!</v>
      </c>
      <c r="EU276" t="e">
        <f>Europe!H772+"n/&gt;!/y'"</f>
        <v>#VALUE!</v>
      </c>
      <c r="EV276" t="e">
        <f>Europe!I772+"n/&gt;!/y("</f>
        <v>#VALUE!</v>
      </c>
      <c r="EW276" t="e">
        <f>Europe!A773+"n/&gt;!/y)"</f>
        <v>#VALUE!</v>
      </c>
      <c r="EX276" t="e">
        <f>Europe!B773+"n/&gt;!/y."</f>
        <v>#VALUE!</v>
      </c>
      <c r="EY276" t="e">
        <f>Europe!C773+"n/&gt;!/y/"</f>
        <v>#VALUE!</v>
      </c>
      <c r="EZ276" t="e">
        <f>Europe!D773+"n/&gt;!/y0"</f>
        <v>#VALUE!</v>
      </c>
      <c r="FA276" t="e">
        <f>Europe!E773+"n/&gt;!/y1"</f>
        <v>#VALUE!</v>
      </c>
      <c r="FB276" t="e">
        <f>Europe!F773+"n/&gt;!/y2"</f>
        <v>#VALUE!</v>
      </c>
      <c r="FC276" t="e">
        <f>Europe!G773+"n/&gt;!/y3"</f>
        <v>#VALUE!</v>
      </c>
      <c r="FD276" t="e">
        <f>Europe!H773+"n/&gt;!/y4"</f>
        <v>#VALUE!</v>
      </c>
      <c r="FE276" t="e">
        <f>Europe!I773+"n/&gt;!/y5"</f>
        <v>#VALUE!</v>
      </c>
      <c r="FF276" t="e">
        <f>Europe!A774+"n/&gt;!/y6"</f>
        <v>#VALUE!</v>
      </c>
      <c r="FG276" t="e">
        <f>Europe!B774+"n/&gt;!/y7"</f>
        <v>#VALUE!</v>
      </c>
      <c r="FH276" t="e">
        <f>Europe!C774+"n/&gt;!/y8"</f>
        <v>#VALUE!</v>
      </c>
      <c r="FI276" t="e">
        <f>Europe!D774+"n/&gt;!/y9"</f>
        <v>#VALUE!</v>
      </c>
      <c r="FJ276" t="e">
        <f>Europe!E774+"n/&gt;!/y:"</f>
        <v>#VALUE!</v>
      </c>
      <c r="FK276" t="e">
        <f>Europe!F774+"n/&gt;!/y;"</f>
        <v>#VALUE!</v>
      </c>
      <c r="FL276" t="e">
        <f>Europe!G774+"n/&gt;!/y&lt;"</f>
        <v>#VALUE!</v>
      </c>
      <c r="FM276" t="e">
        <f>Europe!H774+"n/&gt;!/y="</f>
        <v>#VALUE!</v>
      </c>
      <c r="FN276" t="e">
        <f>Europe!I774+"n/&gt;!/y&gt;"</f>
        <v>#VALUE!</v>
      </c>
      <c r="FO276" t="e">
        <f>Europe!A775+"n/&gt;!/y?"</f>
        <v>#VALUE!</v>
      </c>
      <c r="FP276" t="e">
        <f>Europe!B775+"n/&gt;!/y@"</f>
        <v>#VALUE!</v>
      </c>
      <c r="FQ276" t="e">
        <f>Europe!C775+"n/&gt;!/yA"</f>
        <v>#VALUE!</v>
      </c>
      <c r="FR276" t="e">
        <f>Europe!D775+"n/&gt;!/yB"</f>
        <v>#VALUE!</v>
      </c>
      <c r="FS276" t="e">
        <f>Europe!E775+"n/&gt;!/yC"</f>
        <v>#VALUE!</v>
      </c>
      <c r="FT276" t="e">
        <f>Europe!F775+"n/&gt;!/yD"</f>
        <v>#VALUE!</v>
      </c>
      <c r="FU276" t="e">
        <f>Europe!G775+"n/&gt;!/yE"</f>
        <v>#VALUE!</v>
      </c>
      <c r="FV276" t="e">
        <f>Europe!H775+"n/&gt;!/yF"</f>
        <v>#VALUE!</v>
      </c>
      <c r="FW276" t="e">
        <f>Europe!I775+"n/&gt;!/yG"</f>
        <v>#VALUE!</v>
      </c>
      <c r="FX276" t="e">
        <f>Europe!A776+"n/&gt;!/yH"</f>
        <v>#VALUE!</v>
      </c>
      <c r="FY276" t="e">
        <f>Europe!B776+"n/&gt;!/yI"</f>
        <v>#VALUE!</v>
      </c>
      <c r="FZ276" t="e">
        <f>Europe!C776+"n/&gt;!/yJ"</f>
        <v>#VALUE!</v>
      </c>
      <c r="GA276" t="e">
        <f>Europe!D776+"n/&gt;!/yK"</f>
        <v>#VALUE!</v>
      </c>
      <c r="GB276" t="e">
        <f>Europe!E776+"n/&gt;!/yL"</f>
        <v>#VALUE!</v>
      </c>
      <c r="GC276" t="e">
        <f>Europe!F776+"n/&gt;!/yM"</f>
        <v>#VALUE!</v>
      </c>
      <c r="GD276" t="e">
        <f>Europe!G776+"n/&gt;!/yN"</f>
        <v>#VALUE!</v>
      </c>
      <c r="GE276" t="e">
        <f>Europe!H776+"n/&gt;!/yO"</f>
        <v>#VALUE!</v>
      </c>
      <c r="GF276" t="e">
        <f>Europe!I776+"n/&gt;!/yP"</f>
        <v>#VALUE!</v>
      </c>
      <c r="GG276" t="e">
        <f>Europe!A777+"n/&gt;!/yQ"</f>
        <v>#VALUE!</v>
      </c>
      <c r="GH276" t="e">
        <f>Europe!B777+"n/&gt;!/yR"</f>
        <v>#VALUE!</v>
      </c>
      <c r="GI276" t="e">
        <f>Europe!C777+"n/&gt;!/yS"</f>
        <v>#VALUE!</v>
      </c>
      <c r="GJ276" t="e">
        <f>Europe!D777+"n/&gt;!/yT"</f>
        <v>#VALUE!</v>
      </c>
      <c r="GK276" t="e">
        <f>Europe!E777+"n/&gt;!/yU"</f>
        <v>#VALUE!</v>
      </c>
      <c r="GL276" t="e">
        <f>Europe!F777+"n/&gt;!/yV"</f>
        <v>#VALUE!</v>
      </c>
      <c r="GM276" t="e">
        <f>Europe!G777+"n/&gt;!/yW"</f>
        <v>#VALUE!</v>
      </c>
      <c r="GN276" t="e">
        <f>Europe!H777+"n/&gt;!/yX"</f>
        <v>#VALUE!</v>
      </c>
      <c r="GO276" t="e">
        <f>Europe!I777+"n/&gt;!/yY"</f>
        <v>#VALUE!</v>
      </c>
      <c r="GP276" t="e">
        <f>Europe!A778+"n/&gt;!/yZ"</f>
        <v>#VALUE!</v>
      </c>
      <c r="GQ276" t="e">
        <f>Europe!B778+"n/&gt;!/y["</f>
        <v>#VALUE!</v>
      </c>
      <c r="GR276" t="e">
        <f>Europe!C778+"n/&gt;!/y\"</f>
        <v>#VALUE!</v>
      </c>
      <c r="GS276" t="e">
        <f>Europe!D778+"n/&gt;!/y]"</f>
        <v>#VALUE!</v>
      </c>
      <c r="GT276" t="e">
        <f>Europe!E778+"n/&gt;!/y^"</f>
        <v>#VALUE!</v>
      </c>
      <c r="GU276" t="e">
        <f>Europe!F778+"n/&gt;!/y_"</f>
        <v>#VALUE!</v>
      </c>
      <c r="GV276" t="e">
        <f>Europe!G778+"n/&gt;!/y`"</f>
        <v>#VALUE!</v>
      </c>
      <c r="GW276" t="e">
        <f>Europe!H778+"n/&gt;!/ya"</f>
        <v>#VALUE!</v>
      </c>
      <c r="GX276" t="e">
        <f>Europe!I778+"n/&gt;!/yb"</f>
        <v>#VALUE!</v>
      </c>
      <c r="GY276" t="e">
        <f>Europe!A779+"n/&gt;!/yc"</f>
        <v>#VALUE!</v>
      </c>
      <c r="GZ276" t="e">
        <f>Europe!B779+"n/&gt;!/yd"</f>
        <v>#VALUE!</v>
      </c>
      <c r="HA276" t="e">
        <f>Europe!C779+"n/&gt;!/ye"</f>
        <v>#VALUE!</v>
      </c>
      <c r="HB276" t="e">
        <f>Europe!D779+"n/&gt;!/yf"</f>
        <v>#VALUE!</v>
      </c>
      <c r="HC276" t="e">
        <f>Europe!E779+"n/&gt;!/yg"</f>
        <v>#VALUE!</v>
      </c>
      <c r="HD276" t="e">
        <f>Europe!F779+"n/&gt;!/yh"</f>
        <v>#VALUE!</v>
      </c>
      <c r="HE276" t="e">
        <f>Europe!G779+"n/&gt;!/yi"</f>
        <v>#VALUE!</v>
      </c>
      <c r="HF276" t="e">
        <f>Europe!H779+"n/&gt;!/yj"</f>
        <v>#VALUE!</v>
      </c>
      <c r="HG276" t="e">
        <f>Europe!I779+"n/&gt;!/yk"</f>
        <v>#VALUE!</v>
      </c>
      <c r="HH276" t="e">
        <f>Europe!A780+"n/&gt;!/yl"</f>
        <v>#VALUE!</v>
      </c>
      <c r="HI276" t="e">
        <f>Europe!B780+"n/&gt;!/ym"</f>
        <v>#VALUE!</v>
      </c>
      <c r="HJ276" t="e">
        <f>Europe!C780+"n/&gt;!/yn"</f>
        <v>#VALUE!</v>
      </c>
      <c r="HK276" t="e">
        <f>Europe!D780+"n/&gt;!/yo"</f>
        <v>#VALUE!</v>
      </c>
      <c r="HL276" t="e">
        <f>Europe!E780+"n/&gt;!/yp"</f>
        <v>#VALUE!</v>
      </c>
      <c r="HM276" t="e">
        <f>Europe!F780+"n/&gt;!/yq"</f>
        <v>#VALUE!</v>
      </c>
      <c r="HN276" t="e">
        <f>Europe!G780+"n/&gt;!/yr"</f>
        <v>#VALUE!</v>
      </c>
      <c r="HO276" t="e">
        <f>Europe!H780+"n/&gt;!/ys"</f>
        <v>#VALUE!</v>
      </c>
      <c r="HP276" t="e">
        <f>Europe!I780+"n/&gt;!/yt"</f>
        <v>#VALUE!</v>
      </c>
      <c r="HQ276" t="e">
        <f>Europe!A781+"n/&gt;!/yu"</f>
        <v>#VALUE!</v>
      </c>
      <c r="HR276" t="e">
        <f>Europe!B781+"n/&gt;!/yv"</f>
        <v>#VALUE!</v>
      </c>
      <c r="HS276" t="e">
        <f>Europe!C781+"n/&gt;!/yw"</f>
        <v>#VALUE!</v>
      </c>
      <c r="HT276" t="e">
        <f>Europe!D781+"n/&gt;!/yx"</f>
        <v>#VALUE!</v>
      </c>
      <c r="HU276" t="e">
        <f>Europe!E781+"n/&gt;!/yy"</f>
        <v>#VALUE!</v>
      </c>
      <c r="HV276" t="e">
        <f>Europe!F781+"n/&gt;!/yz"</f>
        <v>#VALUE!</v>
      </c>
      <c r="HW276" t="e">
        <f>Europe!G781+"n/&gt;!/y{"</f>
        <v>#VALUE!</v>
      </c>
      <c r="HX276" t="e">
        <f>Europe!H781+"n/&gt;!/y|"</f>
        <v>#VALUE!</v>
      </c>
      <c r="HY276" t="e">
        <f>Europe!I781+"n/&gt;!/y}"</f>
        <v>#VALUE!</v>
      </c>
      <c r="HZ276" t="e">
        <f>Europe!A782+"n/&gt;!/y~"</f>
        <v>#VALUE!</v>
      </c>
      <c r="IA276" t="e">
        <f>Europe!B782+"n/&gt;!/z#"</f>
        <v>#VALUE!</v>
      </c>
      <c r="IB276" t="e">
        <f>Europe!C782+"n/&gt;!/z$"</f>
        <v>#VALUE!</v>
      </c>
      <c r="IC276" t="e">
        <f>Europe!D782+"n/&gt;!/z%"</f>
        <v>#VALUE!</v>
      </c>
      <c r="ID276" t="e">
        <f>Europe!E782+"n/&gt;!/z&amp;"</f>
        <v>#VALUE!</v>
      </c>
      <c r="IE276" t="e">
        <f>Europe!F782+"n/&gt;!/z'"</f>
        <v>#VALUE!</v>
      </c>
      <c r="IF276" t="e">
        <f>Europe!G782+"n/&gt;!/z("</f>
        <v>#VALUE!</v>
      </c>
      <c r="IG276" t="e">
        <f>Europe!H782+"n/&gt;!/z)"</f>
        <v>#VALUE!</v>
      </c>
      <c r="IH276" t="e">
        <f>Europe!I782+"n/&gt;!/z."</f>
        <v>#VALUE!</v>
      </c>
      <c r="II276" t="e">
        <f>Europe!A783+"n/&gt;!/z/"</f>
        <v>#VALUE!</v>
      </c>
      <c r="IJ276" t="e">
        <f>Europe!B783+"n/&gt;!/z0"</f>
        <v>#VALUE!</v>
      </c>
      <c r="IK276" t="e">
        <f>Europe!C783+"n/&gt;!/z1"</f>
        <v>#VALUE!</v>
      </c>
      <c r="IL276" t="e">
        <f>Europe!D783+"n/&gt;!/z2"</f>
        <v>#VALUE!</v>
      </c>
      <c r="IM276" t="e">
        <f>Europe!E783+"n/&gt;!/z3"</f>
        <v>#VALUE!</v>
      </c>
      <c r="IN276" t="e">
        <f>Europe!F783+"n/&gt;!/z4"</f>
        <v>#VALUE!</v>
      </c>
      <c r="IO276" t="e">
        <f>Europe!G783+"n/&gt;!/z5"</f>
        <v>#VALUE!</v>
      </c>
      <c r="IP276" t="e">
        <f>Europe!H783+"n/&gt;!/z6"</f>
        <v>#VALUE!</v>
      </c>
      <c r="IQ276" t="e">
        <f>Europe!I783+"n/&gt;!/z7"</f>
        <v>#VALUE!</v>
      </c>
      <c r="IR276" t="e">
        <f>Europe!A784+"n/&gt;!/z8"</f>
        <v>#VALUE!</v>
      </c>
      <c r="IS276" t="e">
        <f>Europe!B784+"n/&gt;!/z9"</f>
        <v>#VALUE!</v>
      </c>
      <c r="IT276" t="e">
        <f>Europe!C784+"n/&gt;!/z:"</f>
        <v>#VALUE!</v>
      </c>
      <c r="IU276" t="e">
        <f>Europe!D784+"n/&gt;!/z;"</f>
        <v>#VALUE!</v>
      </c>
      <c r="IV276" t="e">
        <f>Europe!E784+"n/&gt;!/z&lt;"</f>
        <v>#VALUE!</v>
      </c>
    </row>
    <row r="277" spans="6:256" x14ac:dyDescent="0.35">
      <c r="F277" t="e">
        <f>Europe!F784+"n/&gt;!/z="</f>
        <v>#VALUE!</v>
      </c>
      <c r="G277" t="e">
        <f>Europe!G784+"n/&gt;!/z&gt;"</f>
        <v>#VALUE!</v>
      </c>
      <c r="H277" t="e">
        <f>Europe!H784+"n/&gt;!/z?"</f>
        <v>#VALUE!</v>
      </c>
      <c r="I277" t="e">
        <f>Europe!I784+"n/&gt;!/z@"</f>
        <v>#VALUE!</v>
      </c>
      <c r="J277" t="e">
        <f>Europe!A785+"n/&gt;!/zA"</f>
        <v>#VALUE!</v>
      </c>
      <c r="K277" t="e">
        <f>Europe!B785+"n/&gt;!/zB"</f>
        <v>#VALUE!</v>
      </c>
      <c r="L277" t="e">
        <f>Europe!C785+"n/&gt;!/zC"</f>
        <v>#VALUE!</v>
      </c>
      <c r="M277" t="e">
        <f>Europe!D785+"n/&gt;!/zD"</f>
        <v>#VALUE!</v>
      </c>
      <c r="N277" t="e">
        <f>Europe!E785+"n/&gt;!/zE"</f>
        <v>#VALUE!</v>
      </c>
      <c r="O277" t="e">
        <f>Europe!F785+"n/&gt;!/zF"</f>
        <v>#VALUE!</v>
      </c>
      <c r="P277" t="e">
        <f>Europe!G785+"n/&gt;!/zG"</f>
        <v>#VALUE!</v>
      </c>
      <c r="Q277" t="e">
        <f>Europe!H785+"n/&gt;!/zH"</f>
        <v>#VALUE!</v>
      </c>
      <c r="R277" t="e">
        <f>Europe!I785+"n/&gt;!/zI"</f>
        <v>#VALUE!</v>
      </c>
      <c r="S277" t="e">
        <f>Europe!A786+"n/&gt;!/zJ"</f>
        <v>#VALUE!</v>
      </c>
      <c r="T277" t="e">
        <f>Europe!B786+"n/&gt;!/zK"</f>
        <v>#VALUE!</v>
      </c>
      <c r="U277" t="e">
        <f>Europe!C786+"n/&gt;!/zL"</f>
        <v>#VALUE!</v>
      </c>
      <c r="V277" t="e">
        <f>Europe!D786+"n/&gt;!/zM"</f>
        <v>#VALUE!</v>
      </c>
      <c r="W277" t="e">
        <f>Europe!E786+"n/&gt;!/zN"</f>
        <v>#VALUE!</v>
      </c>
      <c r="X277" t="e">
        <f>Europe!F786+"n/&gt;!/zO"</f>
        <v>#VALUE!</v>
      </c>
      <c r="Y277" t="e">
        <f>Europe!G786+"n/&gt;!/zP"</f>
        <v>#VALUE!</v>
      </c>
      <c r="Z277" t="e">
        <f>Europe!H786+"n/&gt;!/zQ"</f>
        <v>#VALUE!</v>
      </c>
      <c r="AA277" t="e">
        <f>Europe!I786+"n/&gt;!/zR"</f>
        <v>#VALUE!</v>
      </c>
      <c r="AB277" t="e">
        <f>Europe!A787+"n/&gt;!/zS"</f>
        <v>#VALUE!</v>
      </c>
      <c r="AC277" t="e">
        <f>Europe!B787+"n/&gt;!/zT"</f>
        <v>#VALUE!</v>
      </c>
      <c r="AD277" t="e">
        <f>Europe!C787+"n/&gt;!/zU"</f>
        <v>#VALUE!</v>
      </c>
      <c r="AE277" t="e">
        <f>Europe!D787+"n/&gt;!/zV"</f>
        <v>#VALUE!</v>
      </c>
      <c r="AF277" t="e">
        <f>Europe!E787+"n/&gt;!/zW"</f>
        <v>#VALUE!</v>
      </c>
      <c r="AG277" t="e">
        <f>Europe!F787+"n/&gt;!/zX"</f>
        <v>#VALUE!</v>
      </c>
      <c r="AH277" t="e">
        <f>Europe!G787+"n/&gt;!/zY"</f>
        <v>#VALUE!</v>
      </c>
      <c r="AI277" t="e">
        <f>Europe!H787+"n/&gt;!/zZ"</f>
        <v>#VALUE!</v>
      </c>
      <c r="AJ277" t="e">
        <f>Europe!I787+"n/&gt;!/z["</f>
        <v>#VALUE!</v>
      </c>
      <c r="AK277" t="e">
        <f>Europe!A788+"n/&gt;!/z\"</f>
        <v>#VALUE!</v>
      </c>
      <c r="AL277" t="e">
        <f>Europe!B788+"n/&gt;!/z]"</f>
        <v>#VALUE!</v>
      </c>
      <c r="AM277" t="e">
        <f>Europe!C788+"n/&gt;!/z^"</f>
        <v>#VALUE!</v>
      </c>
      <c r="AN277" t="e">
        <f>Europe!D788+"n/&gt;!/z_"</f>
        <v>#VALUE!</v>
      </c>
      <c r="AO277" t="e">
        <f>Europe!E788+"n/&gt;!/z`"</f>
        <v>#VALUE!</v>
      </c>
      <c r="AP277" t="e">
        <f>Europe!F788+"n/&gt;!/za"</f>
        <v>#VALUE!</v>
      </c>
      <c r="AQ277" t="e">
        <f>Europe!G788+"n/&gt;!/zb"</f>
        <v>#VALUE!</v>
      </c>
      <c r="AR277" t="e">
        <f>Europe!H788+"n/&gt;!/zc"</f>
        <v>#VALUE!</v>
      </c>
      <c r="AS277" t="e">
        <f>Europe!I788+"n/&gt;!/zd"</f>
        <v>#VALUE!</v>
      </c>
      <c r="AT277" t="e">
        <f>Europe!A789+"n/&gt;!/ze"</f>
        <v>#VALUE!</v>
      </c>
      <c r="AU277" t="e">
        <f>Europe!B789+"n/&gt;!/zf"</f>
        <v>#VALUE!</v>
      </c>
      <c r="AV277" t="e">
        <f>Europe!C789+"n/&gt;!/zg"</f>
        <v>#VALUE!</v>
      </c>
      <c r="AW277" t="e">
        <f>Europe!D789+"n/&gt;!/zh"</f>
        <v>#VALUE!</v>
      </c>
      <c r="AX277" t="e">
        <f>Europe!E789+"n/&gt;!/zi"</f>
        <v>#VALUE!</v>
      </c>
      <c r="AY277" t="e">
        <f>Europe!F789+"n/&gt;!/zj"</f>
        <v>#VALUE!</v>
      </c>
      <c r="AZ277" t="e">
        <f>Europe!G789+"n/&gt;!/zk"</f>
        <v>#VALUE!</v>
      </c>
      <c r="BA277" t="e">
        <f>Europe!H789+"n/&gt;!/zl"</f>
        <v>#VALUE!</v>
      </c>
      <c r="BB277" t="e">
        <f>Europe!I789+"n/&gt;!/zm"</f>
        <v>#VALUE!</v>
      </c>
      <c r="BC277" t="e">
        <f>Europe!A790+"n/&gt;!/zn"</f>
        <v>#VALUE!</v>
      </c>
      <c r="BD277" t="e">
        <f>Europe!B790+"n/&gt;!/zo"</f>
        <v>#VALUE!</v>
      </c>
      <c r="BE277" t="e">
        <f>Europe!C790+"n/&gt;!/zp"</f>
        <v>#VALUE!</v>
      </c>
      <c r="BF277" t="e">
        <f>Europe!D790+"n/&gt;!/zq"</f>
        <v>#VALUE!</v>
      </c>
      <c r="BG277" t="e">
        <f>Europe!E790+"n/&gt;!/zr"</f>
        <v>#VALUE!</v>
      </c>
      <c r="BH277" t="e">
        <f>Europe!F790+"n/&gt;!/zs"</f>
        <v>#VALUE!</v>
      </c>
      <c r="BI277" t="e">
        <f>Europe!G790+"n/&gt;!/zt"</f>
        <v>#VALUE!</v>
      </c>
      <c r="BJ277" t="e">
        <f>Europe!H790+"n/&gt;!/zu"</f>
        <v>#VALUE!</v>
      </c>
      <c r="BK277" t="e">
        <f>Europe!I790+"n/&gt;!/zv"</f>
        <v>#VALUE!</v>
      </c>
      <c r="BL277" t="e">
        <f>Europe!A791+"n/&gt;!/zw"</f>
        <v>#VALUE!</v>
      </c>
      <c r="BM277" t="e">
        <f>Europe!B791+"n/&gt;!/zx"</f>
        <v>#VALUE!</v>
      </c>
      <c r="BN277" t="e">
        <f>Europe!C791+"n/&gt;!/zy"</f>
        <v>#VALUE!</v>
      </c>
      <c r="BO277" t="e">
        <f>Europe!D791+"n/&gt;!/zz"</f>
        <v>#VALUE!</v>
      </c>
      <c r="BP277" t="e">
        <f>Europe!E791+"n/&gt;!/z{"</f>
        <v>#VALUE!</v>
      </c>
      <c r="BQ277" t="e">
        <f>Europe!F791+"n/&gt;!/z|"</f>
        <v>#VALUE!</v>
      </c>
      <c r="BR277" t="e">
        <f>Europe!G791+"n/&gt;!/z}"</f>
        <v>#VALUE!</v>
      </c>
      <c r="BS277" t="e">
        <f>Europe!H791+"n/&gt;!/z~"</f>
        <v>#VALUE!</v>
      </c>
      <c r="BT277" t="e">
        <f>Europe!I791+"n/&gt;!/{#"</f>
        <v>#VALUE!</v>
      </c>
      <c r="BU277" t="e">
        <f>Europe!A792+"n/&gt;!/{$"</f>
        <v>#VALUE!</v>
      </c>
      <c r="BV277" t="e">
        <f>Europe!B792+"n/&gt;!/{%"</f>
        <v>#VALUE!</v>
      </c>
      <c r="BW277" t="e">
        <f>Europe!C792+"n/&gt;!/{&amp;"</f>
        <v>#VALUE!</v>
      </c>
      <c r="BX277" t="e">
        <f>Europe!D792+"n/&gt;!/{'"</f>
        <v>#VALUE!</v>
      </c>
      <c r="BY277" t="e">
        <f>Europe!E792+"n/&gt;!/{("</f>
        <v>#VALUE!</v>
      </c>
      <c r="BZ277" t="e">
        <f>Europe!F792+"n/&gt;!/{)"</f>
        <v>#VALUE!</v>
      </c>
      <c r="CA277" t="e">
        <f>Europe!G792+"n/&gt;!/{."</f>
        <v>#VALUE!</v>
      </c>
      <c r="CB277" t="e">
        <f>Europe!H792+"n/&gt;!/{/"</f>
        <v>#VALUE!</v>
      </c>
      <c r="CC277" t="e">
        <f>Europe!I792+"n/&gt;!/{0"</f>
        <v>#VALUE!</v>
      </c>
      <c r="CD277" t="e">
        <f>Europe!A793+"n/&gt;!/{1"</f>
        <v>#VALUE!</v>
      </c>
      <c r="CE277" t="e">
        <f>Europe!B793+"n/&gt;!/{2"</f>
        <v>#VALUE!</v>
      </c>
      <c r="CF277" t="e">
        <f>Europe!C793+"n/&gt;!/{3"</f>
        <v>#VALUE!</v>
      </c>
      <c r="CG277" t="e">
        <f>Europe!D793+"n/&gt;!/{4"</f>
        <v>#VALUE!</v>
      </c>
      <c r="CH277" t="e">
        <f>Europe!E793+"n/&gt;!/{5"</f>
        <v>#VALUE!</v>
      </c>
      <c r="CI277" t="e">
        <f>Europe!F793+"n/&gt;!/{6"</f>
        <v>#VALUE!</v>
      </c>
      <c r="CJ277" t="e">
        <f>Europe!G793+"n/&gt;!/{7"</f>
        <v>#VALUE!</v>
      </c>
      <c r="CK277" t="e">
        <f>Europe!H793+"n/&gt;!/{8"</f>
        <v>#VALUE!</v>
      </c>
      <c r="CL277" t="e">
        <f>Europe!I793+"n/&gt;!/{9"</f>
        <v>#VALUE!</v>
      </c>
      <c r="CM277" t="e">
        <f>Europe!A794+"n/&gt;!/{:"</f>
        <v>#VALUE!</v>
      </c>
      <c r="CN277" t="e">
        <f>Europe!B794+"n/&gt;!/{;"</f>
        <v>#VALUE!</v>
      </c>
      <c r="CO277" t="e">
        <f>Europe!C794+"n/&gt;!/{&lt;"</f>
        <v>#VALUE!</v>
      </c>
      <c r="CP277" t="e">
        <f>Europe!D794+"n/&gt;!/{="</f>
        <v>#VALUE!</v>
      </c>
      <c r="CQ277" t="e">
        <f>Europe!E794+"n/&gt;!/{&gt;"</f>
        <v>#VALUE!</v>
      </c>
      <c r="CR277" t="e">
        <f>Europe!F794+"n/&gt;!/{?"</f>
        <v>#VALUE!</v>
      </c>
      <c r="CS277" t="e">
        <f>Europe!G794+"n/&gt;!/{@"</f>
        <v>#VALUE!</v>
      </c>
      <c r="CT277" t="e">
        <f>Europe!H794+"n/&gt;!/{A"</f>
        <v>#VALUE!</v>
      </c>
      <c r="CU277" t="e">
        <f>Europe!I794+"n/&gt;!/{B"</f>
        <v>#VALUE!</v>
      </c>
      <c r="CV277" t="e">
        <f>Europe!A795+"n/&gt;!/{C"</f>
        <v>#VALUE!</v>
      </c>
      <c r="CW277" t="e">
        <f>Europe!B795+"n/&gt;!/{D"</f>
        <v>#VALUE!</v>
      </c>
      <c r="CX277" t="e">
        <f>Europe!C795+"n/&gt;!/{E"</f>
        <v>#VALUE!</v>
      </c>
      <c r="CY277" t="e">
        <f>Europe!D795+"n/&gt;!/{F"</f>
        <v>#VALUE!</v>
      </c>
      <c r="CZ277" t="e">
        <f>Europe!E795+"n/&gt;!/{G"</f>
        <v>#VALUE!</v>
      </c>
      <c r="DA277" t="e">
        <f>Europe!F795+"n/&gt;!/{H"</f>
        <v>#VALUE!</v>
      </c>
      <c r="DB277" t="e">
        <f>Europe!G795+"n/&gt;!/{I"</f>
        <v>#VALUE!</v>
      </c>
      <c r="DC277" t="e">
        <f>Europe!H795+"n/&gt;!/{J"</f>
        <v>#VALUE!</v>
      </c>
      <c r="DD277" t="e">
        <f>Europe!I795+"n/&gt;!/{K"</f>
        <v>#VALUE!</v>
      </c>
      <c r="DE277" t="e">
        <f>Europe!A796+"n/&gt;!/{L"</f>
        <v>#VALUE!</v>
      </c>
      <c r="DF277" t="e">
        <f>Europe!B796+"n/&gt;!/{M"</f>
        <v>#VALUE!</v>
      </c>
      <c r="DG277" t="e">
        <f>Europe!C796+"n/&gt;!/{N"</f>
        <v>#VALUE!</v>
      </c>
      <c r="DH277" t="e">
        <f>Europe!D796+"n/&gt;!/{O"</f>
        <v>#VALUE!</v>
      </c>
      <c r="DI277" t="e">
        <f>Europe!E796+"n/&gt;!/{P"</f>
        <v>#VALUE!</v>
      </c>
      <c r="DJ277" t="e">
        <f>Europe!F796+"n/&gt;!/{Q"</f>
        <v>#VALUE!</v>
      </c>
      <c r="DK277" t="e">
        <f>Europe!G796+"n/&gt;!/{R"</f>
        <v>#VALUE!</v>
      </c>
      <c r="DL277" t="e">
        <f>Europe!H796+"n/&gt;!/{S"</f>
        <v>#VALUE!</v>
      </c>
      <c r="DM277" t="e">
        <f>Europe!I796+"n/&gt;!/{T"</f>
        <v>#VALUE!</v>
      </c>
      <c r="DN277" t="e">
        <f>Europe!A797+"n/&gt;!/{U"</f>
        <v>#VALUE!</v>
      </c>
      <c r="DO277" t="e">
        <f>Europe!B797+"n/&gt;!/{V"</f>
        <v>#VALUE!</v>
      </c>
      <c r="DP277" t="e">
        <f>Europe!C797+"n/&gt;!/{W"</f>
        <v>#VALUE!</v>
      </c>
      <c r="DQ277" t="e">
        <f>Europe!D797+"n/&gt;!/{X"</f>
        <v>#VALUE!</v>
      </c>
      <c r="DR277" t="e">
        <f>Europe!E797+"n/&gt;!/{Y"</f>
        <v>#VALUE!</v>
      </c>
      <c r="DS277" t="e">
        <f>Europe!F797+"n/&gt;!/{Z"</f>
        <v>#VALUE!</v>
      </c>
      <c r="DT277" t="e">
        <f>Europe!G797+"n/&gt;!/{["</f>
        <v>#VALUE!</v>
      </c>
      <c r="DU277" t="e">
        <f>Europe!H797+"n/&gt;!/{\"</f>
        <v>#VALUE!</v>
      </c>
      <c r="DV277" t="e">
        <f>Europe!I797+"n/&gt;!/{]"</f>
        <v>#VALUE!</v>
      </c>
      <c r="DW277" t="e">
        <f>Europe!A798+"n/&gt;!/{^"</f>
        <v>#VALUE!</v>
      </c>
      <c r="DX277" t="e">
        <f>Europe!B798+"n/&gt;!/{_"</f>
        <v>#VALUE!</v>
      </c>
      <c r="DY277" t="e">
        <f>Europe!C798+"n/&gt;!/{`"</f>
        <v>#VALUE!</v>
      </c>
      <c r="DZ277" t="e">
        <f>Europe!D798+"n/&gt;!/{a"</f>
        <v>#VALUE!</v>
      </c>
      <c r="EA277" t="e">
        <f>Europe!E798+"n/&gt;!/{b"</f>
        <v>#VALUE!</v>
      </c>
      <c r="EB277" t="e">
        <f>Europe!F798+"n/&gt;!/{c"</f>
        <v>#VALUE!</v>
      </c>
      <c r="EC277" t="e">
        <f>Europe!G798+"n/&gt;!/{d"</f>
        <v>#VALUE!</v>
      </c>
      <c r="ED277" t="e">
        <f>Europe!H798+"n/&gt;!/{e"</f>
        <v>#VALUE!</v>
      </c>
      <c r="EE277" t="e">
        <f>Europe!I798+"n/&gt;!/{f"</f>
        <v>#VALUE!</v>
      </c>
      <c r="EF277" t="e">
        <f>Europe!A799+"n/&gt;!/{g"</f>
        <v>#VALUE!</v>
      </c>
      <c r="EG277" t="e">
        <f>Europe!B799+"n/&gt;!/{h"</f>
        <v>#VALUE!</v>
      </c>
      <c r="EH277" t="e">
        <f>Europe!C799+"n/&gt;!/{i"</f>
        <v>#VALUE!</v>
      </c>
      <c r="EI277" t="e">
        <f>Europe!D799+"n/&gt;!/{j"</f>
        <v>#VALUE!</v>
      </c>
      <c r="EJ277" t="e">
        <f>Europe!E799+"n/&gt;!/{k"</f>
        <v>#VALUE!</v>
      </c>
      <c r="EK277" t="e">
        <f>Europe!F799+"n/&gt;!/{l"</f>
        <v>#VALUE!</v>
      </c>
      <c r="EL277" t="e">
        <f>Europe!G799+"n/&gt;!/{m"</f>
        <v>#VALUE!</v>
      </c>
      <c r="EM277" t="e">
        <f>Europe!H799+"n/&gt;!/{n"</f>
        <v>#VALUE!</v>
      </c>
      <c r="EN277" t="e">
        <f>Europe!I799+"n/&gt;!/{o"</f>
        <v>#VALUE!</v>
      </c>
      <c r="EO277" t="e">
        <f>Europe!A800+"n/&gt;!/{p"</f>
        <v>#VALUE!</v>
      </c>
      <c r="EP277" t="e">
        <f>Europe!B800+"n/&gt;!/{q"</f>
        <v>#VALUE!</v>
      </c>
      <c r="EQ277" t="e">
        <f>Europe!C800+"n/&gt;!/{r"</f>
        <v>#VALUE!</v>
      </c>
      <c r="ER277" t="e">
        <f>Europe!D800+"n/&gt;!/{s"</f>
        <v>#VALUE!</v>
      </c>
      <c r="ES277" t="e">
        <f>Europe!E800+"n/&gt;!/{t"</f>
        <v>#VALUE!</v>
      </c>
      <c r="ET277" t="e">
        <f>Europe!F800+"n/&gt;!/{u"</f>
        <v>#VALUE!</v>
      </c>
      <c r="EU277" t="e">
        <f>Europe!G800+"n/&gt;!/{v"</f>
        <v>#VALUE!</v>
      </c>
      <c r="EV277" t="e">
        <f>Europe!H800+"n/&gt;!/{w"</f>
        <v>#VALUE!</v>
      </c>
      <c r="EW277" t="e">
        <f>Europe!I800+"n/&gt;!/{x"</f>
        <v>#VALUE!</v>
      </c>
      <c r="EX277" t="e">
        <f>Europe!A801+"n/&gt;!/{y"</f>
        <v>#VALUE!</v>
      </c>
      <c r="EY277" t="e">
        <f>Europe!B801+"n/&gt;!/{z"</f>
        <v>#VALUE!</v>
      </c>
      <c r="EZ277" t="e">
        <f>Europe!C801+"n/&gt;!/{{"</f>
        <v>#VALUE!</v>
      </c>
      <c r="FA277" t="e">
        <f>Europe!D801+"n/&gt;!/{|"</f>
        <v>#VALUE!</v>
      </c>
      <c r="FB277" t="e">
        <f>Europe!E801+"n/&gt;!/{}"</f>
        <v>#VALUE!</v>
      </c>
      <c r="FC277" t="e">
        <f>Europe!F801+"n/&gt;!/{~"</f>
        <v>#VALUE!</v>
      </c>
      <c r="FD277" t="e">
        <f>Europe!G801+"n/&gt;!/|#"</f>
        <v>#VALUE!</v>
      </c>
      <c r="FE277" t="e">
        <f>Europe!H801+"n/&gt;!/|$"</f>
        <v>#VALUE!</v>
      </c>
      <c r="FF277" t="e">
        <f>Europe!I801+"n/&gt;!/|%"</f>
        <v>#VALUE!</v>
      </c>
      <c r="FG277" t="e">
        <f>Europe!A802+"n/&gt;!/|&amp;"</f>
        <v>#VALUE!</v>
      </c>
      <c r="FH277" t="e">
        <f>Europe!B802+"n/&gt;!/|'"</f>
        <v>#VALUE!</v>
      </c>
      <c r="FI277" t="e">
        <f>Europe!C802+"n/&gt;!/|("</f>
        <v>#VALUE!</v>
      </c>
      <c r="FJ277" t="e">
        <f>Europe!D802+"n/&gt;!/|)"</f>
        <v>#VALUE!</v>
      </c>
      <c r="FK277" t="e">
        <f>Europe!E802+"n/&gt;!/|."</f>
        <v>#VALUE!</v>
      </c>
      <c r="FL277" t="e">
        <f>Europe!F802+"n/&gt;!/|/"</f>
        <v>#VALUE!</v>
      </c>
      <c r="FM277" t="e">
        <f>Europe!G802+"n/&gt;!/|0"</f>
        <v>#VALUE!</v>
      </c>
      <c r="FN277" t="e">
        <f>Europe!H802+"n/&gt;!/|1"</f>
        <v>#VALUE!</v>
      </c>
      <c r="FO277" t="e">
        <f>Europe!I802+"n/&gt;!/|2"</f>
        <v>#VALUE!</v>
      </c>
      <c r="FP277" t="e">
        <f>Europe!A803+"n/&gt;!/|3"</f>
        <v>#VALUE!</v>
      </c>
      <c r="FQ277" t="e">
        <f>Europe!B803+"n/&gt;!/|4"</f>
        <v>#VALUE!</v>
      </c>
      <c r="FR277" t="e">
        <f>Europe!C803+"n/&gt;!/|5"</f>
        <v>#VALUE!</v>
      </c>
      <c r="FS277" t="e">
        <f>Europe!D803+"n/&gt;!/|6"</f>
        <v>#VALUE!</v>
      </c>
      <c r="FT277" t="e">
        <f>Europe!E803+"n/&gt;!/|7"</f>
        <v>#VALUE!</v>
      </c>
      <c r="FU277" t="e">
        <f>Europe!F803+"n/&gt;!/|8"</f>
        <v>#VALUE!</v>
      </c>
      <c r="FV277" t="e">
        <f>Europe!G803+"n/&gt;!/|9"</f>
        <v>#VALUE!</v>
      </c>
      <c r="FW277" t="e">
        <f>Europe!H803+"n/&gt;!/|:"</f>
        <v>#VALUE!</v>
      </c>
      <c r="FX277" t="e">
        <f>Europe!I803+"n/&gt;!/|;"</f>
        <v>#VALUE!</v>
      </c>
      <c r="FY277" t="e">
        <f>Europe!A804+"n/&gt;!/|&lt;"</f>
        <v>#VALUE!</v>
      </c>
      <c r="FZ277" t="e">
        <f>Europe!B804+"n/&gt;!/|="</f>
        <v>#VALUE!</v>
      </c>
      <c r="GA277" t="e">
        <f>Europe!C804+"n/&gt;!/|&gt;"</f>
        <v>#VALUE!</v>
      </c>
      <c r="GB277" t="e">
        <f>Europe!D804+"n/&gt;!/|?"</f>
        <v>#VALUE!</v>
      </c>
      <c r="GC277" t="e">
        <f>Europe!E804+"n/&gt;!/|@"</f>
        <v>#VALUE!</v>
      </c>
      <c r="GD277" t="e">
        <f>Europe!F804+"n/&gt;!/|A"</f>
        <v>#VALUE!</v>
      </c>
      <c r="GE277" t="e">
        <f>Europe!G804+"n/&gt;!/|B"</f>
        <v>#VALUE!</v>
      </c>
      <c r="GF277" t="e">
        <f>Europe!H804+"n/&gt;!/|C"</f>
        <v>#VALUE!</v>
      </c>
      <c r="GG277" t="e">
        <f>Europe!I804+"n/&gt;!/|D"</f>
        <v>#VALUE!</v>
      </c>
      <c r="GH277" t="e">
        <f>Europe!A805+"n/&gt;!/|E"</f>
        <v>#VALUE!</v>
      </c>
      <c r="GI277" t="e">
        <f>Europe!B805+"n/&gt;!/|F"</f>
        <v>#VALUE!</v>
      </c>
      <c r="GJ277" t="e">
        <f>Europe!C805+"n/&gt;!/|G"</f>
        <v>#VALUE!</v>
      </c>
      <c r="GK277" t="e">
        <f>Europe!D805+"n/&gt;!/|H"</f>
        <v>#VALUE!</v>
      </c>
      <c r="GL277" t="e">
        <f>Europe!E805+"n/&gt;!/|I"</f>
        <v>#VALUE!</v>
      </c>
      <c r="GM277" t="e">
        <f>Europe!F805+"n/&gt;!/|J"</f>
        <v>#VALUE!</v>
      </c>
      <c r="GN277" t="e">
        <f>Europe!G805+"n/&gt;!/|K"</f>
        <v>#VALUE!</v>
      </c>
      <c r="GO277" t="e">
        <f>Europe!H805+"n/&gt;!/|L"</f>
        <v>#VALUE!</v>
      </c>
      <c r="GP277" t="e">
        <f>Europe!I805+"n/&gt;!/|M"</f>
        <v>#VALUE!</v>
      </c>
      <c r="GQ277" t="e">
        <f>Europe!A806+"n/&gt;!/|N"</f>
        <v>#VALUE!</v>
      </c>
      <c r="GR277" t="e">
        <f>Europe!B806+"n/&gt;!/|O"</f>
        <v>#VALUE!</v>
      </c>
      <c r="GS277" t="e">
        <f>Europe!C806+"n/&gt;!/|P"</f>
        <v>#VALUE!</v>
      </c>
      <c r="GT277" t="e">
        <f>Europe!D806+"n/&gt;!/|Q"</f>
        <v>#VALUE!</v>
      </c>
      <c r="GU277" t="e">
        <f>Europe!E806+"n/&gt;!/|R"</f>
        <v>#VALUE!</v>
      </c>
      <c r="GV277" t="e">
        <f>Europe!F806+"n/&gt;!/|S"</f>
        <v>#VALUE!</v>
      </c>
      <c r="GW277" t="e">
        <f>Europe!G806+"n/&gt;!/|T"</f>
        <v>#VALUE!</v>
      </c>
      <c r="GX277" t="e">
        <f>Europe!H806+"n/&gt;!/|U"</f>
        <v>#VALUE!</v>
      </c>
      <c r="GY277" t="e">
        <f>Europe!I806+"n/&gt;!/|V"</f>
        <v>#VALUE!</v>
      </c>
      <c r="GZ277" t="e">
        <f>Europe!A807+"n/&gt;!/|W"</f>
        <v>#VALUE!</v>
      </c>
      <c r="HA277" t="e">
        <f>Europe!B807+"n/&gt;!/|X"</f>
        <v>#VALUE!</v>
      </c>
      <c r="HB277" t="e">
        <f>Europe!C807+"n/&gt;!/|Y"</f>
        <v>#VALUE!</v>
      </c>
      <c r="HC277" t="e">
        <f>Europe!D807+"n/&gt;!/|Z"</f>
        <v>#VALUE!</v>
      </c>
      <c r="HD277" t="e">
        <f>Europe!E807+"n/&gt;!/|["</f>
        <v>#VALUE!</v>
      </c>
      <c r="HE277" t="e">
        <f>Europe!F807+"n/&gt;!/|\"</f>
        <v>#VALUE!</v>
      </c>
      <c r="HF277" t="e">
        <f>Europe!G807+"n/&gt;!/|]"</f>
        <v>#VALUE!</v>
      </c>
      <c r="HG277" t="e">
        <f>Europe!H807+"n/&gt;!/|^"</f>
        <v>#VALUE!</v>
      </c>
      <c r="HH277" t="e">
        <f>Europe!I807+"n/&gt;!/|_"</f>
        <v>#VALUE!</v>
      </c>
      <c r="HI277" t="e">
        <f>Europe!A808+"n/&gt;!/|`"</f>
        <v>#VALUE!</v>
      </c>
      <c r="HJ277" t="e">
        <f>Europe!B808+"n/&gt;!/|a"</f>
        <v>#VALUE!</v>
      </c>
      <c r="HK277" t="e">
        <f>Europe!C808+"n/&gt;!/|b"</f>
        <v>#VALUE!</v>
      </c>
      <c r="HL277" t="e">
        <f>Europe!D808+"n/&gt;!/|c"</f>
        <v>#VALUE!</v>
      </c>
      <c r="HM277" t="e">
        <f>Europe!E808+"n/&gt;!/|d"</f>
        <v>#VALUE!</v>
      </c>
      <c r="HN277" t="e">
        <f>Europe!F808+"n/&gt;!/|e"</f>
        <v>#VALUE!</v>
      </c>
      <c r="HO277" t="e">
        <f>Europe!G808+"n/&gt;!/|f"</f>
        <v>#VALUE!</v>
      </c>
      <c r="HP277" t="e">
        <f>Europe!H808+"n/&gt;!/|g"</f>
        <v>#VALUE!</v>
      </c>
      <c r="HQ277" t="e">
        <f>Europe!I808+"n/&gt;!/|h"</f>
        <v>#VALUE!</v>
      </c>
      <c r="HR277" t="e">
        <f>Europe!A809+"n/&gt;!/|i"</f>
        <v>#VALUE!</v>
      </c>
      <c r="HS277" t="e">
        <f>Europe!B809+"n/&gt;!/|j"</f>
        <v>#VALUE!</v>
      </c>
      <c r="HT277" t="e">
        <f>Europe!C809+"n/&gt;!/|k"</f>
        <v>#VALUE!</v>
      </c>
      <c r="HU277" t="e">
        <f>Europe!D809+"n/&gt;!/|l"</f>
        <v>#VALUE!</v>
      </c>
      <c r="HV277" t="e">
        <f>Europe!E809+"n/&gt;!/|m"</f>
        <v>#VALUE!</v>
      </c>
      <c r="HW277" t="e">
        <f>Europe!F809+"n/&gt;!/|n"</f>
        <v>#VALUE!</v>
      </c>
      <c r="HX277" t="e">
        <f>Europe!G809+"n/&gt;!/|o"</f>
        <v>#VALUE!</v>
      </c>
      <c r="HY277" t="e">
        <f>Europe!H809+"n/&gt;!/|p"</f>
        <v>#VALUE!</v>
      </c>
      <c r="HZ277" t="e">
        <f>Europe!I809+"n/&gt;!/|q"</f>
        <v>#VALUE!</v>
      </c>
      <c r="IA277" t="e">
        <f>Europe!A810+"n/&gt;!/|r"</f>
        <v>#VALUE!</v>
      </c>
      <c r="IB277" t="e">
        <f>Europe!B810+"n/&gt;!/|s"</f>
        <v>#VALUE!</v>
      </c>
      <c r="IC277" t="e">
        <f>Europe!C810+"n/&gt;!/|t"</f>
        <v>#VALUE!</v>
      </c>
      <c r="ID277" t="e">
        <f>Europe!D810+"n/&gt;!/|u"</f>
        <v>#VALUE!</v>
      </c>
      <c r="IE277" t="e">
        <f>Europe!E810+"n/&gt;!/|v"</f>
        <v>#VALUE!</v>
      </c>
      <c r="IF277" t="e">
        <f>Europe!F810+"n/&gt;!/|w"</f>
        <v>#VALUE!</v>
      </c>
      <c r="IG277" t="e">
        <f>Europe!G810+"n/&gt;!/|x"</f>
        <v>#VALUE!</v>
      </c>
      <c r="IH277" t="e">
        <f>Europe!H810+"n/&gt;!/|y"</f>
        <v>#VALUE!</v>
      </c>
      <c r="II277" t="e">
        <f>Europe!I810+"n/&gt;!/|z"</f>
        <v>#VALUE!</v>
      </c>
      <c r="IJ277" t="e">
        <f>Europe!A811+"n/&gt;!/|{"</f>
        <v>#VALUE!</v>
      </c>
      <c r="IK277" t="e">
        <f>Europe!B811+"n/&gt;!/||"</f>
        <v>#VALUE!</v>
      </c>
      <c r="IL277" t="e">
        <f>Europe!C811+"n/&gt;!/|}"</f>
        <v>#VALUE!</v>
      </c>
      <c r="IM277" t="e">
        <f>Europe!D811+"n/&gt;!/|~"</f>
        <v>#VALUE!</v>
      </c>
      <c r="IN277" t="e">
        <f>Europe!E811+"n/&gt;!/}#"</f>
        <v>#VALUE!</v>
      </c>
      <c r="IO277" t="e">
        <f>Europe!F811+"n/&gt;!/}$"</f>
        <v>#VALUE!</v>
      </c>
      <c r="IP277" t="e">
        <f>Europe!G811+"n/&gt;!/}%"</f>
        <v>#VALUE!</v>
      </c>
      <c r="IQ277" t="e">
        <f>Europe!H811+"n/&gt;!/}&amp;"</f>
        <v>#VALUE!</v>
      </c>
      <c r="IR277" t="e">
        <f>Europe!I811+"n/&gt;!/}'"</f>
        <v>#VALUE!</v>
      </c>
      <c r="IS277" t="e">
        <f>Europe!A812+"n/&gt;!/}("</f>
        <v>#VALUE!</v>
      </c>
      <c r="IT277" t="e">
        <f>Europe!B812+"n/&gt;!/})"</f>
        <v>#VALUE!</v>
      </c>
      <c r="IU277" t="e">
        <f>Europe!C812+"n/&gt;!/}."</f>
        <v>#VALUE!</v>
      </c>
      <c r="IV277" t="e">
        <f>Europe!D812+"n/&gt;!/}/"</f>
        <v>#VALUE!</v>
      </c>
    </row>
    <row r="278" spans="6:256" x14ac:dyDescent="0.35">
      <c r="F278" t="e">
        <f>Europe!E812+"n/&gt;!/}0"</f>
        <v>#VALUE!</v>
      </c>
      <c r="G278" t="e">
        <f>Europe!F812+"n/&gt;!/}1"</f>
        <v>#VALUE!</v>
      </c>
      <c r="H278" t="e">
        <f>Europe!G812+"n/&gt;!/}2"</f>
        <v>#VALUE!</v>
      </c>
      <c r="I278" t="e">
        <f>Europe!H812+"n/&gt;!/}3"</f>
        <v>#VALUE!</v>
      </c>
      <c r="J278" t="e">
        <f>Europe!I812+"n/&gt;!/}4"</f>
        <v>#VALUE!</v>
      </c>
      <c r="K278" t="e">
        <f>Europe!A813+"n/&gt;!/}5"</f>
        <v>#VALUE!</v>
      </c>
      <c r="L278" t="e">
        <f>Europe!B813+"n/&gt;!/}6"</f>
        <v>#VALUE!</v>
      </c>
      <c r="M278" t="e">
        <f>Europe!C813+"n/&gt;!/}7"</f>
        <v>#VALUE!</v>
      </c>
      <c r="N278" t="e">
        <f>Europe!D813+"n/&gt;!/}8"</f>
        <v>#VALUE!</v>
      </c>
      <c r="O278" t="e">
        <f>Europe!E813+"n/&gt;!/}9"</f>
        <v>#VALUE!</v>
      </c>
      <c r="P278" t="e">
        <f>Europe!F813+"n/&gt;!/}:"</f>
        <v>#VALUE!</v>
      </c>
      <c r="Q278" t="e">
        <f>Europe!G813+"n/&gt;!/};"</f>
        <v>#VALUE!</v>
      </c>
      <c r="R278" t="e">
        <f>Europe!H813+"n/&gt;!/}&lt;"</f>
        <v>#VALUE!</v>
      </c>
      <c r="S278" t="e">
        <f>Europe!I813+"n/&gt;!/}="</f>
        <v>#VALUE!</v>
      </c>
      <c r="T278" t="e">
        <f>Europe!A814+"n/&gt;!/}&gt;"</f>
        <v>#VALUE!</v>
      </c>
      <c r="U278" t="e">
        <f>Europe!B814+"n/&gt;!/}?"</f>
        <v>#VALUE!</v>
      </c>
      <c r="V278" t="e">
        <f>Europe!C814+"n/&gt;!/}@"</f>
        <v>#VALUE!</v>
      </c>
      <c r="W278" t="e">
        <f>Europe!D814+"n/&gt;!/}A"</f>
        <v>#VALUE!</v>
      </c>
      <c r="X278" t="e">
        <f>Europe!E814+"n/&gt;!/}B"</f>
        <v>#VALUE!</v>
      </c>
      <c r="Y278" t="e">
        <f>Europe!F814+"n/&gt;!/}C"</f>
        <v>#VALUE!</v>
      </c>
      <c r="Z278" t="e">
        <f>Europe!G814+"n/&gt;!/}D"</f>
        <v>#VALUE!</v>
      </c>
      <c r="AA278" t="e">
        <f>Europe!H814+"n/&gt;!/}E"</f>
        <v>#VALUE!</v>
      </c>
      <c r="AB278" t="e">
        <f>Europe!I814+"n/&gt;!/}F"</f>
        <v>#VALUE!</v>
      </c>
      <c r="AC278" t="e">
        <f>Europe!A815+"n/&gt;!/}G"</f>
        <v>#VALUE!</v>
      </c>
      <c r="AD278" t="e">
        <f>Europe!B815+"n/&gt;!/}H"</f>
        <v>#VALUE!</v>
      </c>
      <c r="AE278" t="e">
        <f>Europe!C815+"n/&gt;!/}I"</f>
        <v>#VALUE!</v>
      </c>
      <c r="AF278" t="e">
        <f>Europe!D815+"n/&gt;!/}J"</f>
        <v>#VALUE!</v>
      </c>
      <c r="AG278" t="e">
        <f>Europe!E815+"n/&gt;!/}K"</f>
        <v>#VALUE!</v>
      </c>
      <c r="AH278" t="e">
        <f>Europe!F815+"n/&gt;!/}L"</f>
        <v>#VALUE!</v>
      </c>
      <c r="AI278" t="e">
        <f>Europe!G815+"n/&gt;!/}M"</f>
        <v>#VALUE!</v>
      </c>
      <c r="AJ278" t="e">
        <f>Europe!H815+"n/&gt;!/}N"</f>
        <v>#VALUE!</v>
      </c>
      <c r="AK278" t="e">
        <f>Europe!I815+"n/&gt;!/}O"</f>
        <v>#VALUE!</v>
      </c>
      <c r="AL278" t="e">
        <f>Europe!A816+"n/&gt;!/}P"</f>
        <v>#VALUE!</v>
      </c>
      <c r="AM278" t="e">
        <f>Europe!B816+"n/&gt;!/}Q"</f>
        <v>#VALUE!</v>
      </c>
      <c r="AN278" t="e">
        <f>Europe!C816+"n/&gt;!/}R"</f>
        <v>#VALUE!</v>
      </c>
      <c r="AO278" t="e">
        <f>Europe!D816+"n/&gt;!/}S"</f>
        <v>#VALUE!</v>
      </c>
      <c r="AP278" t="e">
        <f>Europe!E816+"n/&gt;!/}T"</f>
        <v>#VALUE!</v>
      </c>
      <c r="AQ278" t="e">
        <f>Europe!F816+"n/&gt;!/}U"</f>
        <v>#VALUE!</v>
      </c>
      <c r="AR278" t="e">
        <f>Europe!G816+"n/&gt;!/}V"</f>
        <v>#VALUE!</v>
      </c>
      <c r="AS278" t="e">
        <f>Europe!H816+"n/&gt;!/}W"</f>
        <v>#VALUE!</v>
      </c>
      <c r="AT278" t="e">
        <f>Europe!I816+"n/&gt;!/}X"</f>
        <v>#VALUE!</v>
      </c>
      <c r="AU278" t="e">
        <f>Europe!A817+"n/&gt;!/}Y"</f>
        <v>#VALUE!</v>
      </c>
      <c r="AV278" t="e">
        <f>Europe!B817+"n/&gt;!/}Z"</f>
        <v>#VALUE!</v>
      </c>
      <c r="AW278" t="e">
        <f>Europe!C817+"n/&gt;!/}["</f>
        <v>#VALUE!</v>
      </c>
      <c r="AX278" t="e">
        <f>Europe!D817+"n/&gt;!/}\"</f>
        <v>#VALUE!</v>
      </c>
      <c r="AY278" t="e">
        <f>Europe!E817+"n/&gt;!/}]"</f>
        <v>#VALUE!</v>
      </c>
      <c r="AZ278" t="e">
        <f>Europe!F817+"n/&gt;!/}^"</f>
        <v>#VALUE!</v>
      </c>
      <c r="BA278" t="e">
        <f>Europe!G817+"n/&gt;!/}_"</f>
        <v>#VALUE!</v>
      </c>
      <c r="BB278" t="e">
        <f>Europe!H817+"n/&gt;!/}`"</f>
        <v>#VALUE!</v>
      </c>
      <c r="BC278" t="e">
        <f>Europe!I817+"n/&gt;!/}a"</f>
        <v>#VALUE!</v>
      </c>
      <c r="BD278" t="e">
        <f>Europe!A818+"n/&gt;!/}b"</f>
        <v>#VALUE!</v>
      </c>
      <c r="BE278" t="e">
        <f>Europe!B818+"n/&gt;!/}c"</f>
        <v>#VALUE!</v>
      </c>
      <c r="BF278" t="e">
        <f>Europe!C818+"n/&gt;!/}d"</f>
        <v>#VALUE!</v>
      </c>
      <c r="BG278" t="e">
        <f>Europe!D818+"n/&gt;!/}e"</f>
        <v>#VALUE!</v>
      </c>
      <c r="BH278" t="e">
        <f>Europe!E818+"n/&gt;!/}f"</f>
        <v>#VALUE!</v>
      </c>
      <c r="BI278" t="e">
        <f>Europe!F818+"n/&gt;!/}g"</f>
        <v>#VALUE!</v>
      </c>
      <c r="BJ278" t="e">
        <f>Europe!G818+"n/&gt;!/}h"</f>
        <v>#VALUE!</v>
      </c>
      <c r="BK278" t="e">
        <f>Europe!H818+"n/&gt;!/}i"</f>
        <v>#VALUE!</v>
      </c>
      <c r="BL278" t="e">
        <f>Europe!I818+"n/&gt;!/}j"</f>
        <v>#VALUE!</v>
      </c>
      <c r="BM278" t="e">
        <f>Europe!A819+"n/&gt;!/}k"</f>
        <v>#VALUE!</v>
      </c>
      <c r="BN278" t="e">
        <f>Europe!B819+"n/&gt;!/}l"</f>
        <v>#VALUE!</v>
      </c>
      <c r="BO278" t="e">
        <f>Europe!C819+"n/&gt;!/}m"</f>
        <v>#VALUE!</v>
      </c>
      <c r="BP278" t="e">
        <f>Europe!D819+"n/&gt;!/}n"</f>
        <v>#VALUE!</v>
      </c>
      <c r="BQ278" t="e">
        <f>Europe!E819+"n/&gt;!/}o"</f>
        <v>#VALUE!</v>
      </c>
      <c r="BR278" t="e">
        <f>Europe!F819+"n/&gt;!/}p"</f>
        <v>#VALUE!</v>
      </c>
      <c r="BS278" t="e">
        <f>Europe!G819+"n/&gt;!/}q"</f>
        <v>#VALUE!</v>
      </c>
      <c r="BT278" t="e">
        <f>Europe!H819+"n/&gt;!/}r"</f>
        <v>#VALUE!</v>
      </c>
      <c r="BU278" t="e">
        <f>Europe!I819+"n/&gt;!/}s"</f>
        <v>#VALUE!</v>
      </c>
      <c r="BV278" t="e">
        <f>Europe!A820+"n/&gt;!/}t"</f>
        <v>#VALUE!</v>
      </c>
      <c r="BW278" t="e">
        <f>Europe!B820+"n/&gt;!/}u"</f>
        <v>#VALUE!</v>
      </c>
      <c r="BX278" t="e">
        <f>Europe!C820+"n/&gt;!/}v"</f>
        <v>#VALUE!</v>
      </c>
      <c r="BY278" t="e">
        <f>Europe!D820+"n/&gt;!/}w"</f>
        <v>#VALUE!</v>
      </c>
      <c r="BZ278" t="e">
        <f>Europe!E820+"n/&gt;!/}x"</f>
        <v>#VALUE!</v>
      </c>
      <c r="CA278" t="e">
        <f>Europe!F820+"n/&gt;!/}y"</f>
        <v>#VALUE!</v>
      </c>
      <c r="CB278" t="e">
        <f>Europe!G820+"n/&gt;!/}z"</f>
        <v>#VALUE!</v>
      </c>
      <c r="CC278" t="e">
        <f>Europe!H820+"n/&gt;!/}{"</f>
        <v>#VALUE!</v>
      </c>
      <c r="CD278" t="e">
        <f>Europe!I820+"n/&gt;!/}|"</f>
        <v>#VALUE!</v>
      </c>
      <c r="CE278" t="e">
        <f>Europe!A821+"n/&gt;!/}}"</f>
        <v>#VALUE!</v>
      </c>
      <c r="CF278" t="e">
        <f>Europe!B821+"n/&gt;!/}~"</f>
        <v>#VALUE!</v>
      </c>
      <c r="CG278" t="e">
        <f>Europe!C821+"n/&gt;!/~#"</f>
        <v>#VALUE!</v>
      </c>
      <c r="CH278" t="e">
        <f>Europe!D821+"n/&gt;!/~$"</f>
        <v>#VALUE!</v>
      </c>
      <c r="CI278" t="e">
        <f>Europe!E821+"n/&gt;!/~%"</f>
        <v>#VALUE!</v>
      </c>
      <c r="CJ278" t="e">
        <f>Europe!F821+"n/&gt;!/~&amp;"</f>
        <v>#VALUE!</v>
      </c>
      <c r="CK278" t="e">
        <f>Europe!G821+"n/&gt;!/~'"</f>
        <v>#VALUE!</v>
      </c>
      <c r="CL278" t="e">
        <f>Europe!H821+"n/&gt;!/~("</f>
        <v>#VALUE!</v>
      </c>
      <c r="CM278" t="e">
        <f>Europe!I821+"n/&gt;!/~)"</f>
        <v>#VALUE!</v>
      </c>
      <c r="CN278" t="e">
        <f>Europe!A822+"n/&gt;!/~."</f>
        <v>#VALUE!</v>
      </c>
      <c r="CO278" t="e">
        <f>Europe!B822+"n/&gt;!/~/"</f>
        <v>#VALUE!</v>
      </c>
      <c r="CP278" t="e">
        <f>Europe!C822+"n/&gt;!/~0"</f>
        <v>#VALUE!</v>
      </c>
      <c r="CQ278" t="e">
        <f>Europe!D822+"n/&gt;!/~1"</f>
        <v>#VALUE!</v>
      </c>
      <c r="CR278" t="e">
        <f>Europe!E822+"n/&gt;!/~2"</f>
        <v>#VALUE!</v>
      </c>
      <c r="CS278" t="e">
        <f>Europe!F822+"n/&gt;!/~3"</f>
        <v>#VALUE!</v>
      </c>
      <c r="CT278" t="e">
        <f>Europe!G822+"n/&gt;!/~4"</f>
        <v>#VALUE!</v>
      </c>
      <c r="CU278" t="e">
        <f>Europe!H822+"n/&gt;!/~5"</f>
        <v>#VALUE!</v>
      </c>
      <c r="CV278" t="e">
        <f>Europe!I822+"n/&gt;!/~6"</f>
        <v>#VALUE!</v>
      </c>
      <c r="CW278" t="e">
        <f>Europe!A823+"n/&gt;!/~7"</f>
        <v>#VALUE!</v>
      </c>
      <c r="CX278" t="e">
        <f>Europe!B823+"n/&gt;!/~8"</f>
        <v>#VALUE!</v>
      </c>
      <c r="CY278" t="e">
        <f>Europe!C823+"n/&gt;!/~9"</f>
        <v>#VALUE!</v>
      </c>
      <c r="CZ278" t="e">
        <f>Europe!D823+"n/&gt;!/~:"</f>
        <v>#VALUE!</v>
      </c>
      <c r="DA278" t="e">
        <f>Europe!E823+"n/&gt;!/~;"</f>
        <v>#VALUE!</v>
      </c>
      <c r="DB278" t="e">
        <f>Europe!F823+"n/&gt;!/~&lt;"</f>
        <v>#VALUE!</v>
      </c>
      <c r="DC278" t="e">
        <f>Europe!G823+"n/&gt;!/~="</f>
        <v>#VALUE!</v>
      </c>
      <c r="DD278" t="e">
        <f>Europe!H823+"n/&gt;!/~&gt;"</f>
        <v>#VALUE!</v>
      </c>
      <c r="DE278" t="e">
        <f>Europe!I823+"n/&gt;!/~?"</f>
        <v>#VALUE!</v>
      </c>
      <c r="DF278" t="e">
        <f>Europe!A824+"n/&gt;!/~@"</f>
        <v>#VALUE!</v>
      </c>
      <c r="DG278" t="e">
        <f>Europe!B824+"n/&gt;!/~A"</f>
        <v>#VALUE!</v>
      </c>
      <c r="DH278" t="e">
        <f>Europe!C824+"n/&gt;!/~B"</f>
        <v>#VALUE!</v>
      </c>
      <c r="DI278" t="e">
        <f>Europe!D824+"n/&gt;!/~C"</f>
        <v>#VALUE!</v>
      </c>
      <c r="DJ278" t="e">
        <f>Europe!E824+"n/&gt;!/~D"</f>
        <v>#VALUE!</v>
      </c>
      <c r="DK278" t="e">
        <f>Europe!F824+"n/&gt;!/~E"</f>
        <v>#VALUE!</v>
      </c>
      <c r="DL278" t="e">
        <f>Europe!G824+"n/&gt;!/~F"</f>
        <v>#VALUE!</v>
      </c>
      <c r="DM278" t="e">
        <f>Europe!H824+"n/&gt;!/~G"</f>
        <v>#VALUE!</v>
      </c>
      <c r="DN278" t="e">
        <f>Europe!I824+"n/&gt;!/~H"</f>
        <v>#VALUE!</v>
      </c>
      <c r="DO278" t="e">
        <f>Europe!A825+"n/&gt;!/~I"</f>
        <v>#VALUE!</v>
      </c>
      <c r="DP278" t="e">
        <f>Europe!B825+"n/&gt;!/~J"</f>
        <v>#VALUE!</v>
      </c>
      <c r="DQ278" t="e">
        <f>Europe!C825+"n/&gt;!/~K"</f>
        <v>#VALUE!</v>
      </c>
      <c r="DR278" t="e">
        <f>Europe!D825+"n/&gt;!/~L"</f>
        <v>#VALUE!</v>
      </c>
      <c r="DS278" t="e">
        <f>Europe!E825+"n/&gt;!/~M"</f>
        <v>#VALUE!</v>
      </c>
      <c r="DT278" t="e">
        <f>Europe!F825+"n/&gt;!/~N"</f>
        <v>#VALUE!</v>
      </c>
      <c r="DU278" t="e">
        <f>Europe!G825+"n/&gt;!/~O"</f>
        <v>#VALUE!</v>
      </c>
      <c r="DV278" t="e">
        <f>Europe!H825+"n/&gt;!/~P"</f>
        <v>#VALUE!</v>
      </c>
      <c r="DW278" t="e">
        <f>Europe!I825+"n/&gt;!/~Q"</f>
        <v>#VALUE!</v>
      </c>
      <c r="DX278" t="e">
        <f>Europe!A826+"n/&gt;!/~R"</f>
        <v>#VALUE!</v>
      </c>
      <c r="DY278" t="e">
        <f>Europe!B826+"n/&gt;!/~S"</f>
        <v>#VALUE!</v>
      </c>
      <c r="DZ278" t="e">
        <f>Europe!C826+"n/&gt;!/~T"</f>
        <v>#VALUE!</v>
      </c>
      <c r="EA278" t="e">
        <f>Europe!D826+"n/&gt;!/~U"</f>
        <v>#VALUE!</v>
      </c>
      <c r="EB278" t="e">
        <f>Europe!E826+"n/&gt;!/~V"</f>
        <v>#VALUE!</v>
      </c>
      <c r="EC278" t="e">
        <f>Europe!F826+"n/&gt;!/~W"</f>
        <v>#VALUE!</v>
      </c>
      <c r="ED278" t="e">
        <f>Europe!G826+"n/&gt;!/~X"</f>
        <v>#VALUE!</v>
      </c>
      <c r="EE278" t="e">
        <f>Europe!H826+"n/&gt;!/~Y"</f>
        <v>#VALUE!</v>
      </c>
      <c r="EF278" t="e">
        <f>Europe!I826+"n/&gt;!/~Z"</f>
        <v>#VALUE!</v>
      </c>
      <c r="EG278" t="e">
        <f>Europe!A827+"n/&gt;!/~["</f>
        <v>#VALUE!</v>
      </c>
      <c r="EH278" t="e">
        <f>Europe!B827+"n/&gt;!/~\"</f>
        <v>#VALUE!</v>
      </c>
      <c r="EI278" t="e">
        <f>Europe!C827+"n/&gt;!/~]"</f>
        <v>#VALUE!</v>
      </c>
      <c r="EJ278" t="e">
        <f>Europe!D827+"n/&gt;!/~^"</f>
        <v>#VALUE!</v>
      </c>
      <c r="EK278" t="e">
        <f>Europe!E827+"n/&gt;!/~_"</f>
        <v>#VALUE!</v>
      </c>
      <c r="EL278" t="e">
        <f>Europe!F827+"n/&gt;!/~`"</f>
        <v>#VALUE!</v>
      </c>
      <c r="EM278" t="e">
        <f>Europe!G827+"n/&gt;!/~a"</f>
        <v>#VALUE!</v>
      </c>
      <c r="EN278" t="e">
        <f>Europe!H827+"n/&gt;!/~b"</f>
        <v>#VALUE!</v>
      </c>
      <c r="EO278" t="e">
        <f>Europe!I827+"n/&gt;!/~c"</f>
        <v>#VALUE!</v>
      </c>
      <c r="EP278" t="e">
        <f>Europe!A828+"n/&gt;!/~d"</f>
        <v>#VALUE!</v>
      </c>
      <c r="EQ278" t="e">
        <f>Europe!B828+"n/&gt;!/~e"</f>
        <v>#VALUE!</v>
      </c>
      <c r="ER278" t="e">
        <f>Europe!C828+"n/&gt;!/~f"</f>
        <v>#VALUE!</v>
      </c>
      <c r="ES278" t="e">
        <f>Europe!D828+"n/&gt;!/~g"</f>
        <v>#VALUE!</v>
      </c>
      <c r="ET278" t="e">
        <f>Europe!E828+"n/&gt;!/~h"</f>
        <v>#VALUE!</v>
      </c>
      <c r="EU278" t="e">
        <f>Europe!F828+"n/&gt;!/~i"</f>
        <v>#VALUE!</v>
      </c>
      <c r="EV278" t="e">
        <f>Europe!G828+"n/&gt;!/~j"</f>
        <v>#VALUE!</v>
      </c>
      <c r="EW278" t="e">
        <f>Europe!H828+"n/&gt;!/~k"</f>
        <v>#VALUE!</v>
      </c>
      <c r="EX278" t="e">
        <f>Europe!I828+"n/&gt;!/~l"</f>
        <v>#VALUE!</v>
      </c>
      <c r="EY278" t="e">
        <f>Europe!A829+"n/&gt;!/~m"</f>
        <v>#VALUE!</v>
      </c>
      <c r="EZ278" t="e">
        <f>Europe!B829+"n/&gt;!/~n"</f>
        <v>#VALUE!</v>
      </c>
      <c r="FA278" t="e">
        <f>Europe!C829+"n/&gt;!/~o"</f>
        <v>#VALUE!</v>
      </c>
      <c r="FB278" t="e">
        <f>Europe!D829+"n/&gt;!/~p"</f>
        <v>#VALUE!</v>
      </c>
      <c r="FC278" t="e">
        <f>Europe!E829+"n/&gt;!/~q"</f>
        <v>#VALUE!</v>
      </c>
      <c r="FD278" t="e">
        <f>Europe!F829+"n/&gt;!/~r"</f>
        <v>#VALUE!</v>
      </c>
      <c r="FE278" t="e">
        <f>Europe!G829+"n/&gt;!/~s"</f>
        <v>#VALUE!</v>
      </c>
      <c r="FF278" t="e">
        <f>Europe!H829+"n/&gt;!/~t"</f>
        <v>#VALUE!</v>
      </c>
      <c r="FG278" t="e">
        <f>Europe!I829+"n/&gt;!/~u"</f>
        <v>#VALUE!</v>
      </c>
      <c r="FH278" t="e">
        <f>Europe!A830+"n/&gt;!/~v"</f>
        <v>#VALUE!</v>
      </c>
      <c r="FI278" t="e">
        <f>Europe!B830+"n/&gt;!/~w"</f>
        <v>#VALUE!</v>
      </c>
      <c r="FJ278" t="e">
        <f>Europe!C830+"n/&gt;!/~x"</f>
        <v>#VALUE!</v>
      </c>
      <c r="FK278" t="e">
        <f>Europe!D830+"n/&gt;!/~y"</f>
        <v>#VALUE!</v>
      </c>
      <c r="FL278" t="e">
        <f>Europe!E830+"n/&gt;!/~z"</f>
        <v>#VALUE!</v>
      </c>
      <c r="FM278" t="e">
        <f>Europe!F830+"n/&gt;!/~{"</f>
        <v>#VALUE!</v>
      </c>
      <c r="FN278" t="e">
        <f>Europe!G830+"n/&gt;!/~|"</f>
        <v>#VALUE!</v>
      </c>
      <c r="FO278" t="e">
        <f>Europe!H830+"n/&gt;!/~}"</f>
        <v>#VALUE!</v>
      </c>
      <c r="FP278" t="e">
        <f>Europe!I830+"n/&gt;!/~~"</f>
        <v>#VALUE!</v>
      </c>
      <c r="FQ278" t="e">
        <f>Europe!A831+"n/&gt;!0##"</f>
        <v>#VALUE!</v>
      </c>
      <c r="FR278" t="e">
        <f>Europe!B831+"n/&gt;!0#$"</f>
        <v>#VALUE!</v>
      </c>
      <c r="FS278" t="e">
        <f>Europe!C831+"n/&gt;!0#%"</f>
        <v>#VALUE!</v>
      </c>
      <c r="FT278" t="e">
        <f>Europe!D831+"n/&gt;!0#&amp;"</f>
        <v>#VALUE!</v>
      </c>
      <c r="FU278" t="e">
        <f>Europe!E831+"n/&gt;!0#'"</f>
        <v>#VALUE!</v>
      </c>
      <c r="FV278" t="e">
        <f>Europe!F831+"n/&gt;!0#("</f>
        <v>#VALUE!</v>
      </c>
      <c r="FW278" t="e">
        <f>Europe!G831+"n/&gt;!0#)"</f>
        <v>#VALUE!</v>
      </c>
      <c r="FX278" t="e">
        <f>Europe!H831+"n/&gt;!0#."</f>
        <v>#VALUE!</v>
      </c>
      <c r="FY278" t="e">
        <f>Europe!I831+"n/&gt;!0#/"</f>
        <v>#VALUE!</v>
      </c>
      <c r="FZ278" t="e">
        <f>Europe!A832+"n/&gt;!0#0"</f>
        <v>#VALUE!</v>
      </c>
      <c r="GA278" t="e">
        <f>Europe!B832+"n/&gt;!0#1"</f>
        <v>#VALUE!</v>
      </c>
      <c r="GB278" t="e">
        <f>Europe!C832+"n/&gt;!0#2"</f>
        <v>#VALUE!</v>
      </c>
      <c r="GC278" t="e">
        <f>Europe!D832+"n/&gt;!0#3"</f>
        <v>#VALUE!</v>
      </c>
      <c r="GD278" t="e">
        <f>Europe!E832+"n/&gt;!0#4"</f>
        <v>#VALUE!</v>
      </c>
      <c r="GE278" t="e">
        <f>Europe!F832+"n/&gt;!0#5"</f>
        <v>#VALUE!</v>
      </c>
      <c r="GF278" t="e">
        <f>Europe!G832+"n/&gt;!0#6"</f>
        <v>#VALUE!</v>
      </c>
      <c r="GG278" t="e">
        <f>Europe!H832+"n/&gt;!0#7"</f>
        <v>#VALUE!</v>
      </c>
      <c r="GH278" t="e">
        <f>Europe!I832+"n/&gt;!0#8"</f>
        <v>#VALUE!</v>
      </c>
      <c r="GI278" t="e">
        <f>Europe!A833+"n/&gt;!0#9"</f>
        <v>#VALUE!</v>
      </c>
      <c r="GJ278" t="e">
        <f>Europe!B833+"n/&gt;!0#:"</f>
        <v>#VALUE!</v>
      </c>
      <c r="GK278" t="e">
        <f>Europe!C833+"n/&gt;!0#;"</f>
        <v>#VALUE!</v>
      </c>
      <c r="GL278" t="e">
        <f>Europe!D833+"n/&gt;!0#&lt;"</f>
        <v>#VALUE!</v>
      </c>
      <c r="GM278" t="e">
        <f>Europe!E833+"n/&gt;!0#="</f>
        <v>#VALUE!</v>
      </c>
      <c r="GN278" t="e">
        <f>Europe!F833+"n/&gt;!0#&gt;"</f>
        <v>#VALUE!</v>
      </c>
      <c r="GO278" t="e">
        <f>Europe!G833+"n/&gt;!0#?"</f>
        <v>#VALUE!</v>
      </c>
      <c r="GP278" t="e">
        <f>Europe!H833+"n/&gt;!0#@"</f>
        <v>#VALUE!</v>
      </c>
      <c r="GQ278" t="e">
        <f>Europe!I833+"n/&gt;!0#A"</f>
        <v>#VALUE!</v>
      </c>
      <c r="GR278" t="e">
        <f>Europe!A834+"n/&gt;!0#B"</f>
        <v>#VALUE!</v>
      </c>
      <c r="GS278" t="e">
        <f>Europe!B834+"n/&gt;!0#C"</f>
        <v>#VALUE!</v>
      </c>
      <c r="GT278" t="e">
        <f>Europe!C834+"n/&gt;!0#D"</f>
        <v>#VALUE!</v>
      </c>
      <c r="GU278" t="e">
        <f>Europe!D834+"n/&gt;!0#E"</f>
        <v>#VALUE!</v>
      </c>
      <c r="GV278" t="e">
        <f>Europe!E834+"n/&gt;!0#F"</f>
        <v>#VALUE!</v>
      </c>
      <c r="GW278" t="e">
        <f>Europe!F834+"n/&gt;!0#G"</f>
        <v>#VALUE!</v>
      </c>
      <c r="GX278" t="e">
        <f>Europe!G834+"n/&gt;!0#H"</f>
        <v>#VALUE!</v>
      </c>
      <c r="GY278" t="e">
        <f>Europe!H834+"n/&gt;!0#I"</f>
        <v>#VALUE!</v>
      </c>
      <c r="GZ278" t="e">
        <f>Europe!I834+"n/&gt;!0#J"</f>
        <v>#VALUE!</v>
      </c>
      <c r="HA278" t="e">
        <f>Europe!A835+"n/&gt;!0#K"</f>
        <v>#VALUE!</v>
      </c>
      <c r="HB278" t="e">
        <f>Europe!B835+"n/&gt;!0#L"</f>
        <v>#VALUE!</v>
      </c>
      <c r="HC278" t="e">
        <f>Europe!C835+"n/&gt;!0#M"</f>
        <v>#VALUE!</v>
      </c>
      <c r="HD278" t="e">
        <f>Europe!D835+"n/&gt;!0#N"</f>
        <v>#VALUE!</v>
      </c>
      <c r="HE278" t="e">
        <f>Europe!E835+"n/&gt;!0#O"</f>
        <v>#VALUE!</v>
      </c>
      <c r="HF278" t="e">
        <f>Europe!F835+"n/&gt;!0#P"</f>
        <v>#VALUE!</v>
      </c>
      <c r="HG278" t="e">
        <f>Europe!G835+"n/&gt;!0#Q"</f>
        <v>#VALUE!</v>
      </c>
      <c r="HH278" t="e">
        <f>Europe!H835+"n/&gt;!0#R"</f>
        <v>#VALUE!</v>
      </c>
      <c r="HI278" t="e">
        <f>Europe!I835+"n/&gt;!0#S"</f>
        <v>#VALUE!</v>
      </c>
      <c r="HJ278" t="e">
        <f>Europe!A836+"n/&gt;!0#T"</f>
        <v>#VALUE!</v>
      </c>
      <c r="HK278" t="e">
        <f>Europe!B836+"n/&gt;!0#U"</f>
        <v>#VALUE!</v>
      </c>
      <c r="HL278" t="e">
        <f>Europe!C836+"n/&gt;!0#V"</f>
        <v>#VALUE!</v>
      </c>
      <c r="HM278" t="e">
        <f>Europe!D836+"n/&gt;!0#W"</f>
        <v>#VALUE!</v>
      </c>
      <c r="HN278" t="e">
        <f>Europe!E836+"n/&gt;!0#X"</f>
        <v>#VALUE!</v>
      </c>
      <c r="HO278" t="e">
        <f>Europe!F836+"n/&gt;!0#Y"</f>
        <v>#VALUE!</v>
      </c>
      <c r="HP278" t="e">
        <f>Europe!G836+"n/&gt;!0#Z"</f>
        <v>#VALUE!</v>
      </c>
      <c r="HQ278" t="e">
        <f>Europe!H836+"n/&gt;!0#["</f>
        <v>#VALUE!</v>
      </c>
      <c r="HR278" t="e">
        <f>Europe!I836+"n/&gt;!0#\"</f>
        <v>#VALUE!</v>
      </c>
      <c r="HS278" t="e">
        <f>Europe!A837+"n/&gt;!0#]"</f>
        <v>#VALUE!</v>
      </c>
      <c r="HT278" t="e">
        <f>Europe!B837+"n/&gt;!0#^"</f>
        <v>#VALUE!</v>
      </c>
      <c r="HU278" t="e">
        <f>Europe!C837+"n/&gt;!0#_"</f>
        <v>#VALUE!</v>
      </c>
      <c r="HV278" t="e">
        <f>Europe!D837+"n/&gt;!0#`"</f>
        <v>#VALUE!</v>
      </c>
      <c r="HW278" t="e">
        <f>Europe!E837+"n/&gt;!0#a"</f>
        <v>#VALUE!</v>
      </c>
      <c r="HX278" t="e">
        <f>Europe!F837+"n/&gt;!0#b"</f>
        <v>#VALUE!</v>
      </c>
      <c r="HY278" t="e">
        <f>Europe!G837+"n/&gt;!0#c"</f>
        <v>#VALUE!</v>
      </c>
      <c r="HZ278" t="e">
        <f>Europe!H837+"n/&gt;!0#d"</f>
        <v>#VALUE!</v>
      </c>
      <c r="IA278" t="e">
        <f>Europe!I837+"n/&gt;!0#e"</f>
        <v>#VALUE!</v>
      </c>
      <c r="IB278" t="e">
        <f>Europe!A838+"n/&gt;!0#f"</f>
        <v>#VALUE!</v>
      </c>
      <c r="IC278" t="e">
        <f>Europe!B838+"n/&gt;!0#g"</f>
        <v>#VALUE!</v>
      </c>
      <c r="ID278" t="e">
        <f>Europe!C838+"n/&gt;!0#h"</f>
        <v>#VALUE!</v>
      </c>
      <c r="IE278" t="e">
        <f>Europe!D838+"n/&gt;!0#i"</f>
        <v>#VALUE!</v>
      </c>
      <c r="IF278" t="e">
        <f>Europe!E838+"n/&gt;!0#j"</f>
        <v>#VALUE!</v>
      </c>
      <c r="IG278" t="e">
        <f>Europe!F838+"n/&gt;!0#k"</f>
        <v>#VALUE!</v>
      </c>
      <c r="IH278" t="e">
        <f>Europe!G838+"n/&gt;!0#l"</f>
        <v>#VALUE!</v>
      </c>
      <c r="II278" t="e">
        <f>Europe!H838+"n/&gt;!0#m"</f>
        <v>#VALUE!</v>
      </c>
      <c r="IJ278" t="e">
        <f>Europe!I838+"n/&gt;!0#n"</f>
        <v>#VALUE!</v>
      </c>
      <c r="IK278" t="e">
        <f>Europe!A839+"n/&gt;!0#o"</f>
        <v>#VALUE!</v>
      </c>
      <c r="IL278" t="e">
        <f>Europe!B839+"n/&gt;!0#p"</f>
        <v>#VALUE!</v>
      </c>
      <c r="IM278" t="e">
        <f>Europe!C839+"n/&gt;!0#q"</f>
        <v>#VALUE!</v>
      </c>
      <c r="IN278" t="e">
        <f>Europe!D839+"n/&gt;!0#r"</f>
        <v>#VALUE!</v>
      </c>
      <c r="IO278" t="e">
        <f>Europe!E839+"n/&gt;!0#s"</f>
        <v>#VALUE!</v>
      </c>
      <c r="IP278" t="e">
        <f>Europe!F839+"n/&gt;!0#t"</f>
        <v>#VALUE!</v>
      </c>
      <c r="IQ278" t="e">
        <f>Europe!G839+"n/&gt;!0#u"</f>
        <v>#VALUE!</v>
      </c>
      <c r="IR278" t="e">
        <f>Europe!H839+"n/&gt;!0#v"</f>
        <v>#VALUE!</v>
      </c>
      <c r="IS278" t="e">
        <f>Europe!I839+"n/&gt;!0#w"</f>
        <v>#VALUE!</v>
      </c>
      <c r="IT278" t="e">
        <f>Europe!A840+"n/&gt;!0#x"</f>
        <v>#VALUE!</v>
      </c>
      <c r="IU278" t="e">
        <f>Europe!B840+"n/&gt;!0#y"</f>
        <v>#VALUE!</v>
      </c>
      <c r="IV278" t="e">
        <f>Europe!C840+"n/&gt;!0#z"</f>
        <v>#VALUE!</v>
      </c>
    </row>
    <row r="279" spans="6:256" x14ac:dyDescent="0.35">
      <c r="F279" t="e">
        <f>Europe!D840+"n/&gt;!0#{"</f>
        <v>#VALUE!</v>
      </c>
      <c r="G279" t="e">
        <f>Europe!E840+"n/&gt;!0#|"</f>
        <v>#VALUE!</v>
      </c>
      <c r="H279" t="e">
        <f>Europe!F840+"n/&gt;!0#}"</f>
        <v>#VALUE!</v>
      </c>
      <c r="I279" t="e">
        <f>Europe!G840+"n/&gt;!0#~"</f>
        <v>#VALUE!</v>
      </c>
      <c r="J279" t="e">
        <f>Europe!H840+"n/&gt;!0$#"</f>
        <v>#VALUE!</v>
      </c>
      <c r="K279" t="e">
        <f>Europe!I840+"n/&gt;!0$$"</f>
        <v>#VALUE!</v>
      </c>
      <c r="L279" t="e">
        <f>Europe!A841+"n/&gt;!0$%"</f>
        <v>#VALUE!</v>
      </c>
      <c r="M279" t="e">
        <f>Europe!B841+"n/&gt;!0$&amp;"</f>
        <v>#VALUE!</v>
      </c>
      <c r="N279" t="e">
        <f>Europe!C841+"n/&gt;!0$'"</f>
        <v>#VALUE!</v>
      </c>
      <c r="O279" t="e">
        <f>Europe!D841+"n/&gt;!0$("</f>
        <v>#VALUE!</v>
      </c>
      <c r="P279" t="e">
        <f>Europe!E841+"n/&gt;!0$)"</f>
        <v>#VALUE!</v>
      </c>
      <c r="Q279" t="e">
        <f>Europe!F841+"n/&gt;!0$."</f>
        <v>#VALUE!</v>
      </c>
      <c r="R279" t="e">
        <f>Europe!G841+"n/&gt;!0$/"</f>
        <v>#VALUE!</v>
      </c>
      <c r="S279" t="e">
        <f>Europe!H841+"n/&gt;!0$0"</f>
        <v>#VALUE!</v>
      </c>
      <c r="T279" t="e">
        <f>Europe!I841+"n/&gt;!0$1"</f>
        <v>#VALUE!</v>
      </c>
      <c r="U279" t="e">
        <f>Europe!A842+"n/&gt;!0$2"</f>
        <v>#VALUE!</v>
      </c>
      <c r="V279" t="e">
        <f>Europe!B842+"n/&gt;!0$3"</f>
        <v>#VALUE!</v>
      </c>
      <c r="W279" t="e">
        <f>Europe!C842+"n/&gt;!0$4"</f>
        <v>#VALUE!</v>
      </c>
      <c r="X279" t="e">
        <f>Europe!D842+"n/&gt;!0$5"</f>
        <v>#VALUE!</v>
      </c>
      <c r="Y279" t="e">
        <f>Europe!E842+"n/&gt;!0$6"</f>
        <v>#VALUE!</v>
      </c>
      <c r="Z279" t="e">
        <f>Europe!F842+"n/&gt;!0$7"</f>
        <v>#VALUE!</v>
      </c>
      <c r="AA279" t="e">
        <f>Europe!G842+"n/&gt;!0$8"</f>
        <v>#VALUE!</v>
      </c>
      <c r="AB279" t="e">
        <f>Europe!H842+"n/&gt;!0$9"</f>
        <v>#VALUE!</v>
      </c>
      <c r="AC279" t="e">
        <f>Europe!I842+"n/&gt;!0$:"</f>
        <v>#VALUE!</v>
      </c>
      <c r="AD279" t="e">
        <f>Europe!A843+"n/&gt;!0$;"</f>
        <v>#VALUE!</v>
      </c>
      <c r="AE279" t="e">
        <f>Europe!B843+"n/&gt;!0$&lt;"</f>
        <v>#VALUE!</v>
      </c>
      <c r="AF279" t="e">
        <f>Europe!C843+"n/&gt;!0$="</f>
        <v>#VALUE!</v>
      </c>
      <c r="AG279" t="e">
        <f>Europe!D843+"n/&gt;!0$&gt;"</f>
        <v>#VALUE!</v>
      </c>
      <c r="AH279" t="e">
        <f>Europe!E843+"n/&gt;!0$?"</f>
        <v>#VALUE!</v>
      </c>
      <c r="AI279" t="e">
        <f>Europe!F843+"n/&gt;!0$@"</f>
        <v>#VALUE!</v>
      </c>
      <c r="AJ279" t="e">
        <f>Europe!G843+"n/&gt;!0$A"</f>
        <v>#VALUE!</v>
      </c>
      <c r="AK279" t="e">
        <f>Europe!H843+"n/&gt;!0$B"</f>
        <v>#VALUE!</v>
      </c>
      <c r="AL279" t="e">
        <f>Europe!I843+"n/&gt;!0$C"</f>
        <v>#VALUE!</v>
      </c>
      <c r="AM279" t="e">
        <f>Europe!A844+"n/&gt;!0$D"</f>
        <v>#VALUE!</v>
      </c>
      <c r="AN279" t="e">
        <f>Europe!B844+"n/&gt;!0$E"</f>
        <v>#VALUE!</v>
      </c>
      <c r="AO279" t="e">
        <f>Europe!C844+"n/&gt;!0$F"</f>
        <v>#VALUE!</v>
      </c>
      <c r="AP279" t="e">
        <f>Europe!D844+"n/&gt;!0$G"</f>
        <v>#VALUE!</v>
      </c>
      <c r="AQ279" t="e">
        <f>Europe!E844+"n/&gt;!0$H"</f>
        <v>#VALUE!</v>
      </c>
      <c r="AR279" t="e">
        <f>Europe!F844+"n/&gt;!0$I"</f>
        <v>#VALUE!</v>
      </c>
      <c r="AS279" t="e">
        <f>Europe!G844+"n/&gt;!0$J"</f>
        <v>#VALUE!</v>
      </c>
      <c r="AT279" t="e">
        <f>Europe!H844+"n/&gt;!0$K"</f>
        <v>#VALUE!</v>
      </c>
      <c r="AU279" t="e">
        <f>Europe!I844+"n/&gt;!0$L"</f>
        <v>#VALUE!</v>
      </c>
      <c r="AV279" t="e">
        <f>Europe!A845+"n/&gt;!0$M"</f>
        <v>#VALUE!</v>
      </c>
      <c r="AW279" t="e">
        <f>Europe!B845+"n/&gt;!0$N"</f>
        <v>#VALUE!</v>
      </c>
      <c r="AX279" t="e">
        <f>Europe!C845+"n/&gt;!0$O"</f>
        <v>#VALUE!</v>
      </c>
      <c r="AY279" t="e">
        <f>Europe!D845+"n/&gt;!0$P"</f>
        <v>#VALUE!</v>
      </c>
      <c r="AZ279" t="e">
        <f>Europe!E845+"n/&gt;!0$Q"</f>
        <v>#VALUE!</v>
      </c>
      <c r="BA279" t="e">
        <f>Europe!F845+"n/&gt;!0$R"</f>
        <v>#VALUE!</v>
      </c>
      <c r="BB279" t="e">
        <f>Europe!G845+"n/&gt;!0$S"</f>
        <v>#VALUE!</v>
      </c>
      <c r="BC279" t="e">
        <f>Europe!H845+"n/&gt;!0$T"</f>
        <v>#VALUE!</v>
      </c>
      <c r="BD279" t="e">
        <f>Europe!I845+"n/&gt;!0$U"</f>
        <v>#VALUE!</v>
      </c>
      <c r="BE279" t="e">
        <f>Europe!A846+"n/&gt;!0$V"</f>
        <v>#VALUE!</v>
      </c>
      <c r="BF279" t="e">
        <f>Europe!B846+"n/&gt;!0$W"</f>
        <v>#VALUE!</v>
      </c>
      <c r="BG279" t="e">
        <f>Europe!C846+"n/&gt;!0$X"</f>
        <v>#VALUE!</v>
      </c>
      <c r="BH279" t="e">
        <f>Europe!D846+"n/&gt;!0$Y"</f>
        <v>#VALUE!</v>
      </c>
      <c r="BI279" t="e">
        <f>Europe!E846+"n/&gt;!0$Z"</f>
        <v>#VALUE!</v>
      </c>
      <c r="BJ279" t="e">
        <f>Europe!F846+"n/&gt;!0$["</f>
        <v>#VALUE!</v>
      </c>
      <c r="BK279" t="e">
        <f>Europe!G846+"n/&gt;!0$\"</f>
        <v>#VALUE!</v>
      </c>
      <c r="BL279" t="e">
        <f>Europe!H846+"n/&gt;!0$]"</f>
        <v>#VALUE!</v>
      </c>
      <c r="BM279" t="e">
        <f>Europe!I846+"n/&gt;!0$^"</f>
        <v>#VALUE!</v>
      </c>
      <c r="BN279" t="e">
        <f>Europe!A847+"n/&gt;!0$_"</f>
        <v>#VALUE!</v>
      </c>
      <c r="BO279" t="e">
        <f>Europe!B847+"n/&gt;!0$`"</f>
        <v>#VALUE!</v>
      </c>
      <c r="BP279" t="e">
        <f>Europe!C847+"n/&gt;!0$a"</f>
        <v>#VALUE!</v>
      </c>
      <c r="BQ279" t="e">
        <f>Europe!D847+"n/&gt;!0$b"</f>
        <v>#VALUE!</v>
      </c>
      <c r="BR279" t="e">
        <f>Europe!E847+"n/&gt;!0$c"</f>
        <v>#VALUE!</v>
      </c>
      <c r="BS279" t="e">
        <f>Europe!F847+"n/&gt;!0$d"</f>
        <v>#VALUE!</v>
      </c>
      <c r="BT279" t="e">
        <f>Europe!G847+"n/&gt;!0$e"</f>
        <v>#VALUE!</v>
      </c>
      <c r="BU279" t="e">
        <f>Europe!H847+"n/&gt;!0$f"</f>
        <v>#VALUE!</v>
      </c>
      <c r="BV279" t="e">
        <f>Europe!I847+"n/&gt;!0$g"</f>
        <v>#VALUE!</v>
      </c>
      <c r="BW279" t="e">
        <f>Europe!A848+"n/&gt;!0$h"</f>
        <v>#VALUE!</v>
      </c>
      <c r="BX279" t="e">
        <f>Europe!B848+"n/&gt;!0$i"</f>
        <v>#VALUE!</v>
      </c>
      <c r="BY279" t="e">
        <f>Europe!C848+"n/&gt;!0$j"</f>
        <v>#VALUE!</v>
      </c>
      <c r="BZ279" t="e">
        <f>Europe!D848+"n/&gt;!0$k"</f>
        <v>#VALUE!</v>
      </c>
      <c r="CA279" t="e">
        <f>Europe!E848+"n/&gt;!0$l"</f>
        <v>#VALUE!</v>
      </c>
      <c r="CB279" t="e">
        <f>Europe!F848+"n/&gt;!0$m"</f>
        <v>#VALUE!</v>
      </c>
      <c r="CC279" t="e">
        <f>Europe!G848+"n/&gt;!0$n"</f>
        <v>#VALUE!</v>
      </c>
      <c r="CD279" t="e">
        <f>Europe!H848+"n/&gt;!0$o"</f>
        <v>#VALUE!</v>
      </c>
      <c r="CE279" t="e">
        <f>Europe!I848+"n/&gt;!0$p"</f>
        <v>#VALUE!</v>
      </c>
      <c r="CF279" t="e">
        <f>Europe!A849+"n/&gt;!0$q"</f>
        <v>#VALUE!</v>
      </c>
      <c r="CG279" t="e">
        <f>Europe!B849+"n/&gt;!0$r"</f>
        <v>#VALUE!</v>
      </c>
      <c r="CH279" t="e">
        <f>Europe!C849+"n/&gt;!0$s"</f>
        <v>#VALUE!</v>
      </c>
      <c r="CI279" t="e">
        <f>Europe!D849+"n/&gt;!0$t"</f>
        <v>#VALUE!</v>
      </c>
      <c r="CJ279" t="e">
        <f>Europe!E849+"n/&gt;!0$u"</f>
        <v>#VALUE!</v>
      </c>
      <c r="CK279" t="e">
        <f>Europe!F849+"n/&gt;!0$v"</f>
        <v>#VALUE!</v>
      </c>
      <c r="CL279" t="e">
        <f>Europe!G849+"n/&gt;!0$w"</f>
        <v>#VALUE!</v>
      </c>
      <c r="CM279" t="e">
        <f>Europe!H849+"n/&gt;!0$x"</f>
        <v>#VALUE!</v>
      </c>
      <c r="CN279" t="e">
        <f>Europe!I849+"n/&gt;!0$y"</f>
        <v>#VALUE!</v>
      </c>
      <c r="CO279" t="e">
        <f>Europe!A850+"n/&gt;!0$z"</f>
        <v>#VALUE!</v>
      </c>
      <c r="CP279" t="e">
        <f>Europe!B850+"n/&gt;!0${"</f>
        <v>#VALUE!</v>
      </c>
      <c r="CQ279" t="e">
        <f>Europe!C850+"n/&gt;!0$|"</f>
        <v>#VALUE!</v>
      </c>
      <c r="CR279" t="e">
        <f>Europe!D850+"n/&gt;!0$}"</f>
        <v>#VALUE!</v>
      </c>
      <c r="CS279" t="e">
        <f>Europe!E850+"n/&gt;!0$~"</f>
        <v>#VALUE!</v>
      </c>
      <c r="CT279" t="e">
        <f>Europe!F850+"n/&gt;!0%#"</f>
        <v>#VALUE!</v>
      </c>
      <c r="CU279" t="e">
        <f>Europe!G850+"n/&gt;!0%$"</f>
        <v>#VALUE!</v>
      </c>
      <c r="CV279" t="e">
        <f>Europe!H850+"n/&gt;!0%%"</f>
        <v>#VALUE!</v>
      </c>
      <c r="CW279" t="e">
        <f>Europe!I850+"n/&gt;!0%&amp;"</f>
        <v>#VALUE!</v>
      </c>
      <c r="CX279" t="e">
        <f>Europe!A851+"n/&gt;!0%'"</f>
        <v>#VALUE!</v>
      </c>
      <c r="CY279" t="e">
        <f>Europe!B851+"n/&gt;!0%("</f>
        <v>#VALUE!</v>
      </c>
      <c r="CZ279" t="e">
        <f>Europe!C851+"n/&gt;!0%)"</f>
        <v>#VALUE!</v>
      </c>
      <c r="DA279" t="e">
        <f>Europe!D851+"n/&gt;!0%."</f>
        <v>#VALUE!</v>
      </c>
      <c r="DB279" t="e">
        <f>Europe!E851+"n/&gt;!0%/"</f>
        <v>#VALUE!</v>
      </c>
      <c r="DC279" t="e">
        <f>Europe!F851+"n/&gt;!0%0"</f>
        <v>#VALUE!</v>
      </c>
      <c r="DD279" t="e">
        <f>Europe!G851+"n/&gt;!0%1"</f>
        <v>#VALUE!</v>
      </c>
      <c r="DE279" t="e">
        <f>Europe!H851+"n/&gt;!0%2"</f>
        <v>#VALUE!</v>
      </c>
      <c r="DF279" t="e">
        <f>Europe!I851+"n/&gt;!0%3"</f>
        <v>#VALUE!</v>
      </c>
      <c r="DG279" t="e">
        <f>Europe!A852+"n/&gt;!0%4"</f>
        <v>#VALUE!</v>
      </c>
      <c r="DH279" t="e">
        <f>Europe!B852+"n/&gt;!0%5"</f>
        <v>#VALUE!</v>
      </c>
      <c r="DI279" t="e">
        <f>Europe!C852+"n/&gt;!0%6"</f>
        <v>#VALUE!</v>
      </c>
      <c r="DJ279" t="e">
        <f>Europe!D852+"n/&gt;!0%7"</f>
        <v>#VALUE!</v>
      </c>
      <c r="DK279" t="e">
        <f>Europe!E852+"n/&gt;!0%8"</f>
        <v>#VALUE!</v>
      </c>
      <c r="DL279" t="e">
        <f>Europe!F852+"n/&gt;!0%9"</f>
        <v>#VALUE!</v>
      </c>
      <c r="DM279" t="e">
        <f>Europe!G852+"n/&gt;!0%:"</f>
        <v>#VALUE!</v>
      </c>
      <c r="DN279" t="e">
        <f>Europe!H852+"n/&gt;!0%;"</f>
        <v>#VALUE!</v>
      </c>
      <c r="DO279" t="e">
        <f>Europe!I852+"n/&gt;!0%&lt;"</f>
        <v>#VALUE!</v>
      </c>
      <c r="DP279" t="e">
        <f>Europe!A853+"n/&gt;!0%="</f>
        <v>#VALUE!</v>
      </c>
      <c r="DQ279" t="e">
        <f>Europe!B853+"n/&gt;!0%&gt;"</f>
        <v>#VALUE!</v>
      </c>
      <c r="DR279" t="e">
        <f>Europe!C853+"n/&gt;!0%?"</f>
        <v>#VALUE!</v>
      </c>
      <c r="DS279" t="e">
        <f>Europe!D853+"n/&gt;!0%@"</f>
        <v>#VALUE!</v>
      </c>
      <c r="DT279" t="e">
        <f>Europe!E853+"n/&gt;!0%A"</f>
        <v>#VALUE!</v>
      </c>
      <c r="DU279" t="e">
        <f>Europe!F853+"n/&gt;!0%B"</f>
        <v>#VALUE!</v>
      </c>
      <c r="DV279" t="e">
        <f>Europe!G853+"n/&gt;!0%C"</f>
        <v>#VALUE!</v>
      </c>
      <c r="DW279" t="e">
        <f>Europe!H853+"n/&gt;!0%D"</f>
        <v>#VALUE!</v>
      </c>
      <c r="DX279" t="e">
        <f>Europe!I853+"n/&gt;!0%E"</f>
        <v>#VALUE!</v>
      </c>
      <c r="DY279" t="e">
        <f>Europe!A854+"n/&gt;!0%F"</f>
        <v>#VALUE!</v>
      </c>
      <c r="DZ279" t="e">
        <f>Europe!B854+"n/&gt;!0%G"</f>
        <v>#VALUE!</v>
      </c>
      <c r="EA279" t="e">
        <f>Europe!C854+"n/&gt;!0%H"</f>
        <v>#VALUE!</v>
      </c>
      <c r="EB279" t="e">
        <f>Europe!D854+"n/&gt;!0%I"</f>
        <v>#VALUE!</v>
      </c>
      <c r="EC279" t="e">
        <f>Europe!E854+"n/&gt;!0%J"</f>
        <v>#VALUE!</v>
      </c>
      <c r="ED279" t="e">
        <f>Europe!F854+"n/&gt;!0%K"</f>
        <v>#VALUE!</v>
      </c>
      <c r="EE279" t="e">
        <f>Europe!G854+"n/&gt;!0%L"</f>
        <v>#VALUE!</v>
      </c>
      <c r="EF279" t="e">
        <f>Europe!H854+"n/&gt;!0%M"</f>
        <v>#VALUE!</v>
      </c>
      <c r="EG279" t="e">
        <f>Europe!I854+"n/&gt;!0%N"</f>
        <v>#VALUE!</v>
      </c>
      <c r="EH279" t="e">
        <f>Europe!A855+"n/&gt;!0%O"</f>
        <v>#VALUE!</v>
      </c>
      <c r="EI279" t="e">
        <f>Europe!B855+"n/&gt;!0%P"</f>
        <v>#VALUE!</v>
      </c>
      <c r="EJ279" t="e">
        <f>Europe!C855+"n/&gt;!0%Q"</f>
        <v>#VALUE!</v>
      </c>
      <c r="EK279" t="e">
        <f>Europe!D855+"n/&gt;!0%R"</f>
        <v>#VALUE!</v>
      </c>
      <c r="EL279" t="e">
        <f>Europe!E855+"n/&gt;!0%S"</f>
        <v>#VALUE!</v>
      </c>
      <c r="EM279" t="e">
        <f>Europe!F855+"n/&gt;!0%T"</f>
        <v>#VALUE!</v>
      </c>
      <c r="EN279" t="e">
        <f>Europe!G855+"n/&gt;!0%U"</f>
        <v>#VALUE!</v>
      </c>
      <c r="EO279" t="e">
        <f>Europe!H855+"n/&gt;!0%V"</f>
        <v>#VALUE!</v>
      </c>
      <c r="EP279" t="e">
        <f>Europe!I855+"n/&gt;!0%W"</f>
        <v>#VALUE!</v>
      </c>
      <c r="EQ279" t="e">
        <f>Europe!A856+"n/&gt;!0%X"</f>
        <v>#VALUE!</v>
      </c>
      <c r="ER279" t="e">
        <f>Europe!B856+"n/&gt;!0%Y"</f>
        <v>#VALUE!</v>
      </c>
      <c r="ES279" t="e">
        <f>Europe!C856+"n/&gt;!0%Z"</f>
        <v>#VALUE!</v>
      </c>
      <c r="ET279" t="e">
        <f>Europe!D856+"n/&gt;!0%["</f>
        <v>#VALUE!</v>
      </c>
      <c r="EU279" t="e">
        <f>Europe!E856+"n/&gt;!0%\"</f>
        <v>#VALUE!</v>
      </c>
      <c r="EV279" t="e">
        <f>Europe!F856+"n/&gt;!0%]"</f>
        <v>#VALUE!</v>
      </c>
      <c r="EW279" t="e">
        <f>Europe!G856+"n/&gt;!0%^"</f>
        <v>#VALUE!</v>
      </c>
      <c r="EX279" t="e">
        <f>Europe!H856+"n/&gt;!0%_"</f>
        <v>#VALUE!</v>
      </c>
      <c r="EY279" t="e">
        <f>Europe!I856+"n/&gt;!0%`"</f>
        <v>#VALUE!</v>
      </c>
      <c r="EZ279" t="e">
        <f>Europe!A857+"n/&gt;!0%a"</f>
        <v>#VALUE!</v>
      </c>
      <c r="FA279" t="e">
        <f>Europe!B857+"n/&gt;!0%b"</f>
        <v>#VALUE!</v>
      </c>
      <c r="FB279" t="e">
        <f>Europe!C857+"n/&gt;!0%c"</f>
        <v>#VALUE!</v>
      </c>
      <c r="FC279" t="e">
        <f>Europe!D857+"n/&gt;!0%d"</f>
        <v>#VALUE!</v>
      </c>
      <c r="FD279" t="e">
        <f>Europe!E857+"n/&gt;!0%e"</f>
        <v>#VALUE!</v>
      </c>
      <c r="FE279" t="e">
        <f>Europe!F857+"n/&gt;!0%f"</f>
        <v>#VALUE!</v>
      </c>
      <c r="FF279" t="e">
        <f>Europe!G857+"n/&gt;!0%g"</f>
        <v>#VALUE!</v>
      </c>
      <c r="FG279" t="e">
        <f>Europe!H857+"n/&gt;!0%h"</f>
        <v>#VALUE!</v>
      </c>
      <c r="FH279" t="e">
        <f>Europe!I857+"n/&gt;!0%i"</f>
        <v>#VALUE!</v>
      </c>
      <c r="FI279" t="e">
        <f>Europe!A858+"n/&gt;!0%j"</f>
        <v>#VALUE!</v>
      </c>
      <c r="FJ279" t="e">
        <f>Europe!B858+"n/&gt;!0%k"</f>
        <v>#VALUE!</v>
      </c>
      <c r="FK279" t="e">
        <f>Europe!C858+"n/&gt;!0%l"</f>
        <v>#VALUE!</v>
      </c>
      <c r="FL279" t="e">
        <f>Europe!D858+"n/&gt;!0%m"</f>
        <v>#VALUE!</v>
      </c>
      <c r="FM279" t="e">
        <f>Europe!E858+"n/&gt;!0%n"</f>
        <v>#VALUE!</v>
      </c>
      <c r="FN279" t="e">
        <f>Europe!F858+"n/&gt;!0%o"</f>
        <v>#VALUE!</v>
      </c>
      <c r="FO279" t="e">
        <f>Europe!G858+"n/&gt;!0%p"</f>
        <v>#VALUE!</v>
      </c>
      <c r="FP279" t="e">
        <f>Europe!H858+"n/&gt;!0%q"</f>
        <v>#VALUE!</v>
      </c>
      <c r="FQ279" t="e">
        <f>Europe!I858+"n/&gt;!0%r"</f>
        <v>#VALUE!</v>
      </c>
      <c r="FR279" t="e">
        <f>Europe!A859+"n/&gt;!0%s"</f>
        <v>#VALUE!</v>
      </c>
      <c r="FS279" t="e">
        <f>Europe!B859+"n/&gt;!0%t"</f>
        <v>#VALUE!</v>
      </c>
      <c r="FT279" t="e">
        <f>Europe!C859+"n/&gt;!0%u"</f>
        <v>#VALUE!</v>
      </c>
      <c r="FU279" t="e">
        <f>Europe!D859+"n/&gt;!0%v"</f>
        <v>#VALUE!</v>
      </c>
      <c r="FV279" t="e">
        <f>Europe!E859+"n/&gt;!0%w"</f>
        <v>#VALUE!</v>
      </c>
      <c r="FW279" t="e">
        <f>Europe!F859+"n/&gt;!0%x"</f>
        <v>#VALUE!</v>
      </c>
      <c r="FX279" t="e">
        <f>Europe!G859+"n/&gt;!0%y"</f>
        <v>#VALUE!</v>
      </c>
      <c r="FY279" t="e">
        <f>Europe!H859+"n/&gt;!0%z"</f>
        <v>#VALUE!</v>
      </c>
      <c r="FZ279" t="e">
        <f>Europe!I859+"n/&gt;!0%{"</f>
        <v>#VALUE!</v>
      </c>
      <c r="GA279" t="e">
        <f>Europe!A860+"n/&gt;!0%|"</f>
        <v>#VALUE!</v>
      </c>
      <c r="GB279" t="e">
        <f>Europe!B860+"n/&gt;!0%}"</f>
        <v>#VALUE!</v>
      </c>
      <c r="GC279" t="e">
        <f>Europe!C860+"n/&gt;!0%~"</f>
        <v>#VALUE!</v>
      </c>
      <c r="GD279" t="e">
        <f>Europe!D860+"n/&gt;!0&amp;#"</f>
        <v>#VALUE!</v>
      </c>
      <c r="GE279" t="e">
        <f>Europe!E860+"n/&gt;!0&amp;$"</f>
        <v>#VALUE!</v>
      </c>
      <c r="GF279" t="e">
        <f>Europe!F860+"n/&gt;!0&amp;%"</f>
        <v>#VALUE!</v>
      </c>
      <c r="GG279" t="e">
        <f>Europe!G860+"n/&gt;!0&amp;&amp;"</f>
        <v>#VALUE!</v>
      </c>
      <c r="GH279" t="e">
        <f>Europe!H860+"n/&gt;!0&amp;'"</f>
        <v>#VALUE!</v>
      </c>
      <c r="GI279" t="e">
        <f>Europe!I860+"n/&gt;!0&amp;("</f>
        <v>#VALUE!</v>
      </c>
      <c r="GJ279" t="e">
        <f>Europe!A861+"n/&gt;!0&amp;)"</f>
        <v>#VALUE!</v>
      </c>
      <c r="GK279" t="e">
        <f>Europe!B861+"n/&gt;!0&amp;."</f>
        <v>#VALUE!</v>
      </c>
      <c r="GL279" t="e">
        <f>Europe!C861+"n/&gt;!0&amp;/"</f>
        <v>#VALUE!</v>
      </c>
      <c r="GM279" t="e">
        <f>Europe!D861+"n/&gt;!0&amp;0"</f>
        <v>#VALUE!</v>
      </c>
      <c r="GN279" t="e">
        <f>Europe!E861+"n/&gt;!0&amp;1"</f>
        <v>#VALUE!</v>
      </c>
      <c r="GO279" t="e">
        <f>Europe!F861+"n/&gt;!0&amp;2"</f>
        <v>#VALUE!</v>
      </c>
      <c r="GP279" t="e">
        <f>Europe!G861+"n/&gt;!0&amp;3"</f>
        <v>#VALUE!</v>
      </c>
      <c r="GQ279" t="e">
        <f>Europe!H861+"n/&gt;!0&amp;4"</f>
        <v>#VALUE!</v>
      </c>
      <c r="GR279" t="e">
        <f>Europe!I861+"n/&gt;!0&amp;5"</f>
        <v>#VALUE!</v>
      </c>
      <c r="GS279" t="e">
        <f>Europe!A862+"n/&gt;!0&amp;6"</f>
        <v>#VALUE!</v>
      </c>
      <c r="GT279" t="e">
        <f>Europe!B862+"n/&gt;!0&amp;7"</f>
        <v>#VALUE!</v>
      </c>
      <c r="GU279" t="e">
        <f>Europe!C862+"n/&gt;!0&amp;8"</f>
        <v>#VALUE!</v>
      </c>
      <c r="GV279" t="e">
        <f>Europe!D862+"n/&gt;!0&amp;9"</f>
        <v>#VALUE!</v>
      </c>
      <c r="GW279" t="e">
        <f>Europe!E862+"n/&gt;!0&amp;:"</f>
        <v>#VALUE!</v>
      </c>
      <c r="GX279" t="e">
        <f>Europe!F862+"n/&gt;!0&amp;;"</f>
        <v>#VALUE!</v>
      </c>
      <c r="GY279" t="e">
        <f>Europe!G862+"n/&gt;!0&amp;&lt;"</f>
        <v>#VALUE!</v>
      </c>
      <c r="GZ279" t="e">
        <f>Europe!H862+"n/&gt;!0&amp;="</f>
        <v>#VALUE!</v>
      </c>
      <c r="HA279" t="e">
        <f>Europe!I862+"n/&gt;!0&amp;&gt;"</f>
        <v>#VALUE!</v>
      </c>
      <c r="HB279" t="e">
        <f>Europe!A863+"n/&gt;!0&amp;?"</f>
        <v>#VALUE!</v>
      </c>
      <c r="HC279" t="e">
        <f>Europe!B863+"n/&gt;!0&amp;@"</f>
        <v>#VALUE!</v>
      </c>
      <c r="HD279" t="e">
        <f>Europe!C863+"n/&gt;!0&amp;A"</f>
        <v>#VALUE!</v>
      </c>
      <c r="HE279" t="e">
        <f>Europe!D863+"n/&gt;!0&amp;B"</f>
        <v>#VALUE!</v>
      </c>
      <c r="HF279" t="e">
        <f>Europe!E863+"n/&gt;!0&amp;C"</f>
        <v>#VALUE!</v>
      </c>
      <c r="HG279" t="e">
        <f>Europe!F863+"n/&gt;!0&amp;D"</f>
        <v>#VALUE!</v>
      </c>
      <c r="HH279" t="e">
        <f>Europe!G863+"n/&gt;!0&amp;E"</f>
        <v>#VALUE!</v>
      </c>
      <c r="HI279" t="e">
        <f>Europe!H863+"n/&gt;!0&amp;F"</f>
        <v>#VALUE!</v>
      </c>
      <c r="HJ279" t="e">
        <f>Europe!I863+"n/&gt;!0&amp;G"</f>
        <v>#VALUE!</v>
      </c>
      <c r="HK279" t="e">
        <f>Europe!A864+"n/&gt;!0&amp;H"</f>
        <v>#VALUE!</v>
      </c>
      <c r="HL279" t="e">
        <f>Europe!B864+"n/&gt;!0&amp;I"</f>
        <v>#VALUE!</v>
      </c>
      <c r="HM279" t="e">
        <f>Europe!C864+"n/&gt;!0&amp;J"</f>
        <v>#VALUE!</v>
      </c>
      <c r="HN279" t="e">
        <f>Europe!D864+"n/&gt;!0&amp;K"</f>
        <v>#VALUE!</v>
      </c>
      <c r="HO279" t="e">
        <f>Europe!E864+"n/&gt;!0&amp;L"</f>
        <v>#VALUE!</v>
      </c>
      <c r="HP279" t="e">
        <f>Europe!F864+"n/&gt;!0&amp;M"</f>
        <v>#VALUE!</v>
      </c>
      <c r="HQ279" t="e">
        <f>Europe!G864+"n/&gt;!0&amp;N"</f>
        <v>#VALUE!</v>
      </c>
      <c r="HR279" t="e">
        <f>Europe!H864+"n/&gt;!0&amp;O"</f>
        <v>#VALUE!</v>
      </c>
      <c r="HS279" t="e">
        <f>Europe!I864+"n/&gt;!0&amp;P"</f>
        <v>#VALUE!</v>
      </c>
      <c r="HT279" t="e">
        <f>Europe!A865+"n/&gt;!0&amp;Q"</f>
        <v>#VALUE!</v>
      </c>
      <c r="HU279" t="e">
        <f>Europe!B865+"n/&gt;!0&amp;R"</f>
        <v>#VALUE!</v>
      </c>
      <c r="HV279" t="e">
        <f>Europe!C865+"n/&gt;!0&amp;S"</f>
        <v>#VALUE!</v>
      </c>
      <c r="HW279" t="e">
        <f>Europe!D865+"n/&gt;!0&amp;T"</f>
        <v>#VALUE!</v>
      </c>
      <c r="HX279" t="e">
        <f>Europe!E865+"n/&gt;!0&amp;U"</f>
        <v>#VALUE!</v>
      </c>
      <c r="HY279" t="e">
        <f>Europe!F865+"n/&gt;!0&amp;V"</f>
        <v>#VALUE!</v>
      </c>
      <c r="HZ279" t="e">
        <f>Europe!G865+"n/&gt;!0&amp;W"</f>
        <v>#VALUE!</v>
      </c>
      <c r="IA279" t="e">
        <f>Europe!H865+"n/&gt;!0&amp;X"</f>
        <v>#VALUE!</v>
      </c>
      <c r="IB279" t="e">
        <f>Europe!I865+"n/&gt;!0&amp;Y"</f>
        <v>#VALUE!</v>
      </c>
      <c r="IC279" t="e">
        <f>Europe!A866+"n/&gt;!0&amp;Z"</f>
        <v>#VALUE!</v>
      </c>
      <c r="ID279" t="e">
        <f>Europe!B866+"n/&gt;!0&amp;["</f>
        <v>#VALUE!</v>
      </c>
      <c r="IE279" t="e">
        <f>Europe!C866+"n/&gt;!0&amp;\"</f>
        <v>#VALUE!</v>
      </c>
      <c r="IF279" t="e">
        <f>Europe!D866+"n/&gt;!0&amp;]"</f>
        <v>#VALUE!</v>
      </c>
      <c r="IG279" t="e">
        <f>Europe!E866+"n/&gt;!0&amp;^"</f>
        <v>#VALUE!</v>
      </c>
      <c r="IH279" t="e">
        <f>Europe!F866+"n/&gt;!0&amp;_"</f>
        <v>#VALUE!</v>
      </c>
      <c r="II279" t="e">
        <f>Europe!G866+"n/&gt;!0&amp;`"</f>
        <v>#VALUE!</v>
      </c>
      <c r="IJ279" t="e">
        <f>Europe!H866+"n/&gt;!0&amp;a"</f>
        <v>#VALUE!</v>
      </c>
      <c r="IK279" t="e">
        <f>Europe!I866+"n/&gt;!0&amp;b"</f>
        <v>#VALUE!</v>
      </c>
      <c r="IL279" t="e">
        <f>Europe!A867+"n/&gt;!0&amp;c"</f>
        <v>#VALUE!</v>
      </c>
      <c r="IM279" t="e">
        <f>Europe!B867+"n/&gt;!0&amp;d"</f>
        <v>#VALUE!</v>
      </c>
      <c r="IN279" t="e">
        <f>Europe!C867+"n/&gt;!0&amp;e"</f>
        <v>#VALUE!</v>
      </c>
      <c r="IO279" t="e">
        <f>Europe!D867+"n/&gt;!0&amp;f"</f>
        <v>#VALUE!</v>
      </c>
      <c r="IP279" t="e">
        <f>Europe!E867+"n/&gt;!0&amp;g"</f>
        <v>#VALUE!</v>
      </c>
      <c r="IQ279" t="e">
        <f>Europe!F867+"n/&gt;!0&amp;h"</f>
        <v>#VALUE!</v>
      </c>
      <c r="IR279" t="e">
        <f>Europe!G867+"n/&gt;!0&amp;i"</f>
        <v>#VALUE!</v>
      </c>
      <c r="IS279" t="e">
        <f>Europe!H867+"n/&gt;!0&amp;j"</f>
        <v>#VALUE!</v>
      </c>
      <c r="IT279" t="e">
        <f>Europe!I867+"n/&gt;!0&amp;k"</f>
        <v>#VALUE!</v>
      </c>
      <c r="IU279" t="e">
        <f>Europe!A868+"n/&gt;!0&amp;l"</f>
        <v>#VALUE!</v>
      </c>
      <c r="IV279" t="e">
        <f>Europe!B868+"n/&gt;!0&amp;m"</f>
        <v>#VALUE!</v>
      </c>
    </row>
    <row r="280" spans="6:256" x14ac:dyDescent="0.35">
      <c r="F280" t="e">
        <f>Europe!C868+"n/&gt;!0&amp;n"</f>
        <v>#VALUE!</v>
      </c>
      <c r="G280" t="e">
        <f>Europe!D868+"n/&gt;!0&amp;o"</f>
        <v>#VALUE!</v>
      </c>
      <c r="H280" t="e">
        <f>Europe!E868+"n/&gt;!0&amp;p"</f>
        <v>#VALUE!</v>
      </c>
      <c r="I280" t="e">
        <f>Europe!F868+"n/&gt;!0&amp;q"</f>
        <v>#VALUE!</v>
      </c>
      <c r="J280" t="e">
        <f>Europe!G868+"n/&gt;!0&amp;r"</f>
        <v>#VALUE!</v>
      </c>
      <c r="K280" t="e">
        <f>Europe!H868+"n/&gt;!0&amp;s"</f>
        <v>#VALUE!</v>
      </c>
      <c r="L280" t="e">
        <f>Europe!I868+"n/&gt;!0&amp;t"</f>
        <v>#VALUE!</v>
      </c>
      <c r="M280" t="e">
        <f>Europe!A869+"n/&gt;!0&amp;u"</f>
        <v>#VALUE!</v>
      </c>
      <c r="N280" t="e">
        <f>Europe!B869+"n/&gt;!0&amp;v"</f>
        <v>#VALUE!</v>
      </c>
      <c r="O280" t="e">
        <f>Europe!C869+"n/&gt;!0&amp;w"</f>
        <v>#VALUE!</v>
      </c>
      <c r="P280" t="e">
        <f>Europe!D869+"n/&gt;!0&amp;x"</f>
        <v>#VALUE!</v>
      </c>
      <c r="Q280" t="e">
        <f>Europe!E869+"n/&gt;!0&amp;y"</f>
        <v>#VALUE!</v>
      </c>
      <c r="R280" t="e">
        <f>Europe!F869+"n/&gt;!0&amp;z"</f>
        <v>#VALUE!</v>
      </c>
      <c r="S280" t="e">
        <f>Europe!G869+"n/&gt;!0&amp;{"</f>
        <v>#VALUE!</v>
      </c>
      <c r="T280" t="e">
        <f>Europe!H869+"n/&gt;!0&amp;|"</f>
        <v>#VALUE!</v>
      </c>
      <c r="U280" t="e">
        <f>Europe!I869+"n/&gt;!0&amp;}"</f>
        <v>#VALUE!</v>
      </c>
      <c r="V280" t="e">
        <f>Europe!A870+"n/&gt;!0&amp;~"</f>
        <v>#VALUE!</v>
      </c>
      <c r="W280" t="e">
        <f>Europe!B870+"n/&gt;!0'#"</f>
        <v>#VALUE!</v>
      </c>
      <c r="X280" t="e">
        <f>Europe!C870+"n/&gt;!0'$"</f>
        <v>#VALUE!</v>
      </c>
      <c r="Y280" t="e">
        <f>Europe!D870+"n/&gt;!0'%"</f>
        <v>#VALUE!</v>
      </c>
      <c r="Z280" t="e">
        <f>Europe!E870+"n/&gt;!0'&amp;"</f>
        <v>#VALUE!</v>
      </c>
      <c r="AA280" t="e">
        <f>Europe!F870+"n/&gt;!0''"</f>
        <v>#VALUE!</v>
      </c>
      <c r="AB280" t="e">
        <f>Europe!G870+"n/&gt;!0'("</f>
        <v>#VALUE!</v>
      </c>
      <c r="AC280" t="e">
        <f>Europe!H870+"n/&gt;!0')"</f>
        <v>#VALUE!</v>
      </c>
      <c r="AD280" t="e">
        <f>Europe!I870+"n/&gt;!0'."</f>
        <v>#VALUE!</v>
      </c>
      <c r="AE280" t="e">
        <f>Europe!A871+"n/&gt;!0'/"</f>
        <v>#VALUE!</v>
      </c>
      <c r="AF280" t="e">
        <f>Europe!B871+"n/&gt;!0'0"</f>
        <v>#VALUE!</v>
      </c>
      <c r="AG280" t="e">
        <f>Europe!C871+"n/&gt;!0'1"</f>
        <v>#VALUE!</v>
      </c>
      <c r="AH280" t="e">
        <f>Europe!D871+"n/&gt;!0'2"</f>
        <v>#VALUE!</v>
      </c>
      <c r="AI280" t="e">
        <f>Europe!E871+"n/&gt;!0'3"</f>
        <v>#VALUE!</v>
      </c>
      <c r="AJ280" t="e">
        <f>Europe!F871+"n/&gt;!0'4"</f>
        <v>#VALUE!</v>
      </c>
      <c r="AK280" t="e">
        <f>Europe!G871+"n/&gt;!0'5"</f>
        <v>#VALUE!</v>
      </c>
      <c r="AL280" t="e">
        <f>Europe!H871+"n/&gt;!0'6"</f>
        <v>#VALUE!</v>
      </c>
      <c r="AM280" t="e">
        <f>Europe!I871+"n/&gt;!0'7"</f>
        <v>#VALUE!</v>
      </c>
      <c r="AN280" t="e">
        <f>Europe!A872+"n/&gt;!0'8"</f>
        <v>#VALUE!</v>
      </c>
      <c r="AO280" t="e">
        <f>Europe!B872+"n/&gt;!0'9"</f>
        <v>#VALUE!</v>
      </c>
      <c r="AP280" t="e">
        <f>Europe!C872+"n/&gt;!0':"</f>
        <v>#VALUE!</v>
      </c>
      <c r="AQ280" t="e">
        <f>Europe!D872+"n/&gt;!0';"</f>
        <v>#VALUE!</v>
      </c>
      <c r="AR280" t="e">
        <f>Europe!E872+"n/&gt;!0'&lt;"</f>
        <v>#VALUE!</v>
      </c>
      <c r="AS280" t="e">
        <f>Europe!F872+"n/&gt;!0'="</f>
        <v>#VALUE!</v>
      </c>
      <c r="AT280" t="e">
        <f>Europe!G872+"n/&gt;!0'&gt;"</f>
        <v>#VALUE!</v>
      </c>
      <c r="AU280" t="e">
        <f>Europe!H872+"n/&gt;!0'?"</f>
        <v>#VALUE!</v>
      </c>
      <c r="AV280" t="e">
        <f>Europe!I872+"n/&gt;!0'@"</f>
        <v>#VALUE!</v>
      </c>
      <c r="AW280" t="e">
        <f>Europe!A873+"n/&gt;!0'A"</f>
        <v>#VALUE!</v>
      </c>
      <c r="AX280" t="e">
        <f>Europe!B873+"n/&gt;!0'B"</f>
        <v>#VALUE!</v>
      </c>
      <c r="AY280" t="e">
        <f>Europe!C873+"n/&gt;!0'C"</f>
        <v>#VALUE!</v>
      </c>
      <c r="AZ280" t="e">
        <f>Europe!D873+"n/&gt;!0'D"</f>
        <v>#VALUE!</v>
      </c>
      <c r="BA280" t="e">
        <f>Europe!E873+"n/&gt;!0'E"</f>
        <v>#VALUE!</v>
      </c>
      <c r="BB280" t="e">
        <f>Europe!F873+"n/&gt;!0'F"</f>
        <v>#VALUE!</v>
      </c>
      <c r="BC280" t="e">
        <f>Europe!G873+"n/&gt;!0'G"</f>
        <v>#VALUE!</v>
      </c>
      <c r="BD280" t="e">
        <f>Europe!H873+"n/&gt;!0'H"</f>
        <v>#VALUE!</v>
      </c>
      <c r="BE280" t="e">
        <f>Europe!I873+"n/&gt;!0'I"</f>
        <v>#VALUE!</v>
      </c>
      <c r="BF280" t="e">
        <f>Europe!A874+"n/&gt;!0'J"</f>
        <v>#VALUE!</v>
      </c>
      <c r="BG280" t="e">
        <f>Europe!B874+"n/&gt;!0'K"</f>
        <v>#VALUE!</v>
      </c>
      <c r="BH280" t="e">
        <f>Europe!C874+"n/&gt;!0'L"</f>
        <v>#VALUE!</v>
      </c>
      <c r="BI280" t="e">
        <f>Europe!D874+"n/&gt;!0'M"</f>
        <v>#VALUE!</v>
      </c>
      <c r="BJ280" t="e">
        <f>Europe!E874+"n/&gt;!0'N"</f>
        <v>#VALUE!</v>
      </c>
      <c r="BK280" t="e">
        <f>Europe!F874+"n/&gt;!0'O"</f>
        <v>#VALUE!</v>
      </c>
      <c r="BL280" t="e">
        <f>Europe!G874+"n/&gt;!0'P"</f>
        <v>#VALUE!</v>
      </c>
      <c r="BM280" t="e">
        <f>Europe!H874+"n/&gt;!0'Q"</f>
        <v>#VALUE!</v>
      </c>
      <c r="BN280" t="e">
        <f>Europe!I874+"n/&gt;!0'R"</f>
        <v>#VALUE!</v>
      </c>
      <c r="BO280" t="e">
        <f>Europe!A875+"n/&gt;!0'S"</f>
        <v>#VALUE!</v>
      </c>
      <c r="BP280" t="e">
        <f>Europe!B875+"n/&gt;!0'T"</f>
        <v>#VALUE!</v>
      </c>
      <c r="BQ280" t="e">
        <f>Europe!C875+"n/&gt;!0'U"</f>
        <v>#VALUE!</v>
      </c>
      <c r="BR280" t="e">
        <f>Europe!D875+"n/&gt;!0'V"</f>
        <v>#VALUE!</v>
      </c>
      <c r="BS280" t="e">
        <f>Europe!E875+"n/&gt;!0'W"</f>
        <v>#VALUE!</v>
      </c>
      <c r="BT280" t="e">
        <f>Europe!F875+"n/&gt;!0'X"</f>
        <v>#VALUE!</v>
      </c>
      <c r="BU280" t="e">
        <f>Europe!G875+"n/&gt;!0'Y"</f>
        <v>#VALUE!</v>
      </c>
      <c r="BV280" t="e">
        <f>Europe!H875+"n/&gt;!0'Z"</f>
        <v>#VALUE!</v>
      </c>
      <c r="BW280" t="e">
        <f>Europe!I875+"n/&gt;!0'["</f>
        <v>#VALUE!</v>
      </c>
      <c r="BX280" t="e">
        <f>Europe!A876+"n/&gt;!0'\"</f>
        <v>#VALUE!</v>
      </c>
      <c r="BY280" t="e">
        <f>Europe!B876+"n/&gt;!0']"</f>
        <v>#VALUE!</v>
      </c>
      <c r="BZ280" t="e">
        <f>Europe!C876+"n/&gt;!0'^"</f>
        <v>#VALUE!</v>
      </c>
      <c r="CA280" t="e">
        <f>Europe!D876+"n/&gt;!0'_"</f>
        <v>#VALUE!</v>
      </c>
      <c r="CB280" t="e">
        <f>Europe!E876+"n/&gt;!0'`"</f>
        <v>#VALUE!</v>
      </c>
      <c r="CC280" t="e">
        <f>Europe!F876+"n/&gt;!0'a"</f>
        <v>#VALUE!</v>
      </c>
      <c r="CD280" t="e">
        <f>Europe!G876+"n/&gt;!0'b"</f>
        <v>#VALUE!</v>
      </c>
      <c r="CE280" t="e">
        <f>Europe!H876+"n/&gt;!0'c"</f>
        <v>#VALUE!</v>
      </c>
      <c r="CF280" t="e">
        <f>Europe!I876+"n/&gt;!0'd"</f>
        <v>#VALUE!</v>
      </c>
      <c r="CG280" t="e">
        <f>Europe!A877+"n/&gt;!0'e"</f>
        <v>#VALUE!</v>
      </c>
      <c r="CH280" t="e">
        <f>Europe!B877+"n/&gt;!0'f"</f>
        <v>#VALUE!</v>
      </c>
      <c r="CI280" t="e">
        <f>Europe!C877+"n/&gt;!0'g"</f>
        <v>#VALUE!</v>
      </c>
      <c r="CJ280" t="e">
        <f>Europe!D877+"n/&gt;!0'h"</f>
        <v>#VALUE!</v>
      </c>
      <c r="CK280" t="e">
        <f>Europe!E877+"n/&gt;!0'i"</f>
        <v>#VALUE!</v>
      </c>
      <c r="CL280" t="e">
        <f>Europe!F877+"n/&gt;!0'j"</f>
        <v>#VALUE!</v>
      </c>
      <c r="CM280" t="e">
        <f>Europe!G877+"n/&gt;!0'k"</f>
        <v>#VALUE!</v>
      </c>
      <c r="CN280" t="e">
        <f>Europe!H877+"n/&gt;!0'l"</f>
        <v>#VALUE!</v>
      </c>
      <c r="CO280" t="e">
        <f>Europe!I877+"n/&gt;!0'm"</f>
        <v>#VALUE!</v>
      </c>
      <c r="CP280" t="e">
        <f>Europe!A878+"n/&gt;!0'n"</f>
        <v>#VALUE!</v>
      </c>
      <c r="CQ280" t="e">
        <f>Europe!B878+"n/&gt;!0'o"</f>
        <v>#VALUE!</v>
      </c>
      <c r="CR280" t="e">
        <f>Europe!C878+"n/&gt;!0'p"</f>
        <v>#VALUE!</v>
      </c>
      <c r="CS280" t="e">
        <f>Europe!D878+"n/&gt;!0'q"</f>
        <v>#VALUE!</v>
      </c>
      <c r="CT280" t="e">
        <f>Europe!E878+"n/&gt;!0'r"</f>
        <v>#VALUE!</v>
      </c>
      <c r="CU280" t="e">
        <f>Europe!F878+"n/&gt;!0's"</f>
        <v>#VALUE!</v>
      </c>
      <c r="CV280" t="e">
        <f>Europe!G878+"n/&gt;!0't"</f>
        <v>#VALUE!</v>
      </c>
      <c r="CW280" t="e">
        <f>Europe!H878+"n/&gt;!0'u"</f>
        <v>#VALUE!</v>
      </c>
      <c r="CX280" t="e">
        <f>Europe!I878+"n/&gt;!0'v"</f>
        <v>#VALUE!</v>
      </c>
      <c r="CY280" t="e">
        <f>Europe!A879+"n/&gt;!0'w"</f>
        <v>#VALUE!</v>
      </c>
      <c r="CZ280" t="e">
        <f>Europe!B879+"n/&gt;!0'x"</f>
        <v>#VALUE!</v>
      </c>
      <c r="DA280" t="e">
        <f>Europe!C879+"n/&gt;!0'y"</f>
        <v>#VALUE!</v>
      </c>
      <c r="DB280" t="e">
        <f>Europe!D879+"n/&gt;!0'z"</f>
        <v>#VALUE!</v>
      </c>
      <c r="DC280" t="e">
        <f>Europe!E879+"n/&gt;!0'{"</f>
        <v>#VALUE!</v>
      </c>
      <c r="DD280" t="e">
        <f>Europe!F879+"n/&gt;!0'|"</f>
        <v>#VALUE!</v>
      </c>
      <c r="DE280" t="e">
        <f>Europe!G879+"n/&gt;!0'}"</f>
        <v>#VALUE!</v>
      </c>
      <c r="DF280" t="e">
        <f>Europe!H879+"n/&gt;!0'~"</f>
        <v>#VALUE!</v>
      </c>
      <c r="DG280" t="e">
        <f>Europe!I879+"n/&gt;!0(#"</f>
        <v>#VALUE!</v>
      </c>
      <c r="DH280" t="e">
        <f>Europe!A880+"n/&gt;!0($"</f>
        <v>#VALUE!</v>
      </c>
      <c r="DI280" t="e">
        <f>Europe!B880+"n/&gt;!0(%"</f>
        <v>#VALUE!</v>
      </c>
      <c r="DJ280" t="e">
        <f>Europe!C880+"n/&gt;!0(&amp;"</f>
        <v>#VALUE!</v>
      </c>
      <c r="DK280" t="e">
        <f>Europe!D880+"n/&gt;!0('"</f>
        <v>#VALUE!</v>
      </c>
      <c r="DL280" t="e">
        <f>Europe!E880+"n/&gt;!0(("</f>
        <v>#VALUE!</v>
      </c>
      <c r="DM280" t="e">
        <f>Europe!F880+"n/&gt;!0()"</f>
        <v>#VALUE!</v>
      </c>
      <c r="DN280" t="e">
        <f>Europe!G880+"n/&gt;!0(."</f>
        <v>#VALUE!</v>
      </c>
      <c r="DO280" t="e">
        <f>Europe!H880+"n/&gt;!0(/"</f>
        <v>#VALUE!</v>
      </c>
      <c r="DP280" t="e">
        <f>Europe!I880+"n/&gt;!0(0"</f>
        <v>#VALUE!</v>
      </c>
      <c r="DQ280" t="e">
        <f>Europe!A881+"n/&gt;!0(1"</f>
        <v>#VALUE!</v>
      </c>
      <c r="DR280" t="e">
        <f>Europe!B881+"n/&gt;!0(2"</f>
        <v>#VALUE!</v>
      </c>
      <c r="DS280" t="e">
        <f>Europe!C881+"n/&gt;!0(3"</f>
        <v>#VALUE!</v>
      </c>
      <c r="DT280" t="e">
        <f>Europe!D881+"n/&gt;!0(4"</f>
        <v>#VALUE!</v>
      </c>
      <c r="DU280" t="e">
        <f>Europe!E881+"n/&gt;!0(5"</f>
        <v>#VALUE!</v>
      </c>
      <c r="DV280" t="e">
        <f>Europe!F881+"n/&gt;!0(6"</f>
        <v>#VALUE!</v>
      </c>
      <c r="DW280" t="e">
        <f>Europe!G881+"n/&gt;!0(7"</f>
        <v>#VALUE!</v>
      </c>
      <c r="DX280" t="e">
        <f>Europe!H881+"n/&gt;!0(8"</f>
        <v>#VALUE!</v>
      </c>
      <c r="DY280" t="e">
        <f>Europe!I881+"n/&gt;!0(9"</f>
        <v>#VALUE!</v>
      </c>
      <c r="DZ280" t="e">
        <f>Europe!A882+"n/&gt;!0(:"</f>
        <v>#VALUE!</v>
      </c>
      <c r="EA280" t="e">
        <f>Europe!B882+"n/&gt;!0(;"</f>
        <v>#VALUE!</v>
      </c>
      <c r="EB280" t="e">
        <f>Europe!C882+"n/&gt;!0(&lt;"</f>
        <v>#VALUE!</v>
      </c>
      <c r="EC280" t="e">
        <f>Europe!D882+"n/&gt;!0(="</f>
        <v>#VALUE!</v>
      </c>
      <c r="ED280" t="e">
        <f>Europe!E882+"n/&gt;!0(&gt;"</f>
        <v>#VALUE!</v>
      </c>
      <c r="EE280" t="e">
        <f>Europe!F882+"n/&gt;!0(?"</f>
        <v>#VALUE!</v>
      </c>
      <c r="EF280" t="e">
        <f>Europe!G882+"n/&gt;!0(@"</f>
        <v>#VALUE!</v>
      </c>
      <c r="EG280" t="e">
        <f>Europe!H882+"n/&gt;!0(A"</f>
        <v>#VALUE!</v>
      </c>
      <c r="EH280" t="e">
        <f>Europe!I882+"n/&gt;!0(B"</f>
        <v>#VALUE!</v>
      </c>
      <c r="EI280" t="e">
        <f>Europe!A883+"n/&gt;!0(C"</f>
        <v>#VALUE!</v>
      </c>
      <c r="EJ280" t="e">
        <f>Europe!B883+"n/&gt;!0(D"</f>
        <v>#VALUE!</v>
      </c>
      <c r="EK280" t="e">
        <f>Europe!C883+"n/&gt;!0(E"</f>
        <v>#VALUE!</v>
      </c>
      <c r="EL280" t="e">
        <f>Europe!D883+"n/&gt;!0(F"</f>
        <v>#VALUE!</v>
      </c>
      <c r="EM280" t="e">
        <f>Europe!E883+"n/&gt;!0(G"</f>
        <v>#VALUE!</v>
      </c>
      <c r="EN280" t="e">
        <f>Europe!F883+"n/&gt;!0(H"</f>
        <v>#VALUE!</v>
      </c>
      <c r="EO280" t="e">
        <f>Europe!G883+"n/&gt;!0(I"</f>
        <v>#VALUE!</v>
      </c>
      <c r="EP280" t="e">
        <f>Europe!H883+"n/&gt;!0(J"</f>
        <v>#VALUE!</v>
      </c>
      <c r="EQ280" t="e">
        <f>Europe!I883+"n/&gt;!0(K"</f>
        <v>#VALUE!</v>
      </c>
      <c r="ER280" t="e">
        <f>Europe!A884+"n/&gt;!0(L"</f>
        <v>#VALUE!</v>
      </c>
      <c r="ES280" t="e">
        <f>Europe!B884+"n/&gt;!0(M"</f>
        <v>#VALUE!</v>
      </c>
      <c r="ET280" t="e">
        <f>Europe!C884+"n/&gt;!0(N"</f>
        <v>#VALUE!</v>
      </c>
      <c r="EU280" t="e">
        <f>Europe!D884+"n/&gt;!0(O"</f>
        <v>#VALUE!</v>
      </c>
      <c r="EV280" t="e">
        <f>Europe!E884+"n/&gt;!0(P"</f>
        <v>#VALUE!</v>
      </c>
      <c r="EW280" t="e">
        <f>Europe!F884+"n/&gt;!0(Q"</f>
        <v>#VALUE!</v>
      </c>
      <c r="EX280" t="e">
        <f>Europe!G884+"n/&gt;!0(R"</f>
        <v>#VALUE!</v>
      </c>
      <c r="EY280" t="e">
        <f>Europe!H884+"n/&gt;!0(S"</f>
        <v>#VALUE!</v>
      </c>
      <c r="EZ280" t="e">
        <f>Europe!I884+"n/&gt;!0(T"</f>
        <v>#VALUE!</v>
      </c>
      <c r="FA280" t="e">
        <f>Europe!A885+"n/&gt;!0(U"</f>
        <v>#VALUE!</v>
      </c>
      <c r="FB280" t="e">
        <f>Europe!B885+"n/&gt;!0(V"</f>
        <v>#VALUE!</v>
      </c>
      <c r="FC280" t="e">
        <f>Europe!C885+"n/&gt;!0(W"</f>
        <v>#VALUE!</v>
      </c>
      <c r="FD280" t="e">
        <f>Europe!D885+"n/&gt;!0(X"</f>
        <v>#VALUE!</v>
      </c>
      <c r="FE280" t="e">
        <f>Europe!E885+"n/&gt;!0(Y"</f>
        <v>#VALUE!</v>
      </c>
      <c r="FF280" t="e">
        <f>Europe!F885+"n/&gt;!0(Z"</f>
        <v>#VALUE!</v>
      </c>
      <c r="FG280" t="e">
        <f>Europe!G885+"n/&gt;!0(["</f>
        <v>#VALUE!</v>
      </c>
      <c r="FH280" t="e">
        <f>Europe!H885+"n/&gt;!0(\"</f>
        <v>#VALUE!</v>
      </c>
      <c r="FI280" t="e">
        <f>Europe!I885+"n/&gt;!0(]"</f>
        <v>#VALUE!</v>
      </c>
      <c r="FJ280" t="e">
        <f>Europe!A886+"n/&gt;!0(^"</f>
        <v>#VALUE!</v>
      </c>
      <c r="FK280" t="e">
        <f>Europe!B886+"n/&gt;!0(_"</f>
        <v>#VALUE!</v>
      </c>
      <c r="FL280" t="e">
        <f>Europe!C886+"n/&gt;!0(`"</f>
        <v>#VALUE!</v>
      </c>
      <c r="FM280" t="e">
        <f>Europe!D886+"n/&gt;!0(a"</f>
        <v>#VALUE!</v>
      </c>
      <c r="FN280" t="e">
        <f>Europe!E886+"n/&gt;!0(b"</f>
        <v>#VALUE!</v>
      </c>
      <c r="FO280" t="e">
        <f>Europe!F886+"n/&gt;!0(c"</f>
        <v>#VALUE!</v>
      </c>
      <c r="FP280" t="e">
        <f>Europe!G886+"n/&gt;!0(d"</f>
        <v>#VALUE!</v>
      </c>
      <c r="FQ280" t="e">
        <f>Europe!H886+"n/&gt;!0(e"</f>
        <v>#VALUE!</v>
      </c>
      <c r="FR280" t="e">
        <f>Europe!I886+"n/&gt;!0(f"</f>
        <v>#VALUE!</v>
      </c>
      <c r="FS280" t="e">
        <f>Europe!A887+"n/&gt;!0(g"</f>
        <v>#VALUE!</v>
      </c>
      <c r="FT280" t="e">
        <f>Europe!B887+"n/&gt;!0(h"</f>
        <v>#VALUE!</v>
      </c>
      <c r="FU280" t="e">
        <f>Europe!C887+"n/&gt;!0(i"</f>
        <v>#VALUE!</v>
      </c>
      <c r="FV280" t="e">
        <f>Europe!D887+"n/&gt;!0(j"</f>
        <v>#VALUE!</v>
      </c>
      <c r="FW280" t="e">
        <f>Europe!E887+"n/&gt;!0(k"</f>
        <v>#VALUE!</v>
      </c>
      <c r="FX280" t="e">
        <f>Europe!F887+"n/&gt;!0(l"</f>
        <v>#VALUE!</v>
      </c>
      <c r="FY280" t="e">
        <f>Europe!G887+"n/&gt;!0(m"</f>
        <v>#VALUE!</v>
      </c>
      <c r="FZ280" t="e">
        <f>Europe!H887+"n/&gt;!0(n"</f>
        <v>#VALUE!</v>
      </c>
      <c r="GA280" t="e">
        <f>Europe!I887+"n/&gt;!0(o"</f>
        <v>#VALUE!</v>
      </c>
      <c r="GB280" t="e">
        <f>Europe!A888+"n/&gt;!0(p"</f>
        <v>#VALUE!</v>
      </c>
      <c r="GC280" t="e">
        <f>Europe!B888+"n/&gt;!0(q"</f>
        <v>#VALUE!</v>
      </c>
      <c r="GD280" t="e">
        <f>Europe!C888+"n/&gt;!0(r"</f>
        <v>#VALUE!</v>
      </c>
      <c r="GE280" t="e">
        <f>Europe!D888+"n/&gt;!0(s"</f>
        <v>#VALUE!</v>
      </c>
      <c r="GF280" t="e">
        <f>Europe!E888+"n/&gt;!0(t"</f>
        <v>#VALUE!</v>
      </c>
      <c r="GG280" t="e">
        <f>Europe!F888+"n/&gt;!0(u"</f>
        <v>#VALUE!</v>
      </c>
      <c r="GH280" t="e">
        <f>Europe!G888+"n/&gt;!0(v"</f>
        <v>#VALUE!</v>
      </c>
      <c r="GI280" t="e">
        <f>Europe!H888+"n/&gt;!0(w"</f>
        <v>#VALUE!</v>
      </c>
      <c r="GJ280" t="e">
        <f>Europe!I888+"n/&gt;!0(x"</f>
        <v>#VALUE!</v>
      </c>
      <c r="GK280" t="e">
        <f>Europe!A889+"n/&gt;!0(y"</f>
        <v>#VALUE!</v>
      </c>
      <c r="GL280" t="e">
        <f>Europe!B889+"n/&gt;!0(z"</f>
        <v>#VALUE!</v>
      </c>
      <c r="GM280" t="e">
        <f>Europe!C889+"n/&gt;!0({"</f>
        <v>#VALUE!</v>
      </c>
      <c r="GN280" t="e">
        <f>Europe!D889+"n/&gt;!0(|"</f>
        <v>#VALUE!</v>
      </c>
      <c r="GO280" t="e">
        <f>Europe!E889+"n/&gt;!0(}"</f>
        <v>#VALUE!</v>
      </c>
      <c r="GP280" t="e">
        <f>Europe!F889+"n/&gt;!0(~"</f>
        <v>#VALUE!</v>
      </c>
      <c r="GQ280" t="e">
        <f>Europe!G889+"n/&gt;!0)#"</f>
        <v>#VALUE!</v>
      </c>
      <c r="GR280" t="e">
        <f>Europe!H889+"n/&gt;!0)$"</f>
        <v>#VALUE!</v>
      </c>
      <c r="GS280" t="e">
        <f>Europe!I889+"n/&gt;!0)%"</f>
        <v>#VALUE!</v>
      </c>
      <c r="GT280" t="e">
        <f>Europe!A890+"n/&gt;!0)&amp;"</f>
        <v>#VALUE!</v>
      </c>
      <c r="GU280" t="e">
        <f>Europe!B890+"n/&gt;!0)'"</f>
        <v>#VALUE!</v>
      </c>
      <c r="GV280" t="e">
        <f>Europe!C890+"n/&gt;!0)("</f>
        <v>#VALUE!</v>
      </c>
      <c r="GW280" t="e">
        <f>Europe!D890+"n/&gt;!0))"</f>
        <v>#VALUE!</v>
      </c>
      <c r="GX280" t="e">
        <f>Europe!E890+"n/&gt;!0)."</f>
        <v>#VALUE!</v>
      </c>
      <c r="GY280" t="e">
        <f>Europe!F890+"n/&gt;!0)/"</f>
        <v>#VALUE!</v>
      </c>
      <c r="GZ280" t="e">
        <f>Europe!G890+"n/&gt;!0)0"</f>
        <v>#VALUE!</v>
      </c>
      <c r="HA280" t="e">
        <f>Europe!H890+"n/&gt;!0)1"</f>
        <v>#VALUE!</v>
      </c>
      <c r="HB280" t="e">
        <f>Europe!I890+"n/&gt;!0)2"</f>
        <v>#VALUE!</v>
      </c>
      <c r="HC280" t="e">
        <f>Europe!A891+"n/&gt;!0)3"</f>
        <v>#VALUE!</v>
      </c>
      <c r="HD280" t="e">
        <f>Europe!B891+"n/&gt;!0)4"</f>
        <v>#VALUE!</v>
      </c>
      <c r="HE280" t="e">
        <f>Europe!C891+"n/&gt;!0)5"</f>
        <v>#VALUE!</v>
      </c>
      <c r="HF280" t="e">
        <f>Europe!D891+"n/&gt;!0)6"</f>
        <v>#VALUE!</v>
      </c>
      <c r="HG280" t="e">
        <f>Europe!E891+"n/&gt;!0)7"</f>
        <v>#VALUE!</v>
      </c>
      <c r="HH280" t="e">
        <f>Europe!F891+"n/&gt;!0)8"</f>
        <v>#VALUE!</v>
      </c>
      <c r="HI280" t="e">
        <f>Europe!G891+"n/&gt;!0)9"</f>
        <v>#VALUE!</v>
      </c>
      <c r="HJ280" t="e">
        <f>Europe!H891+"n/&gt;!0):"</f>
        <v>#VALUE!</v>
      </c>
      <c r="HK280" t="e">
        <f>Europe!I891+"n/&gt;!0);"</f>
        <v>#VALUE!</v>
      </c>
      <c r="HL280" t="e">
        <f>Europe!A892+"n/&gt;!0)&lt;"</f>
        <v>#VALUE!</v>
      </c>
      <c r="HM280" t="e">
        <f>Europe!B892+"n/&gt;!0)="</f>
        <v>#VALUE!</v>
      </c>
      <c r="HN280" t="e">
        <f>Europe!C892+"n/&gt;!0)&gt;"</f>
        <v>#VALUE!</v>
      </c>
      <c r="HO280" t="e">
        <f>Europe!D892+"n/&gt;!0)?"</f>
        <v>#VALUE!</v>
      </c>
      <c r="HP280" t="e">
        <f>Europe!E892+"n/&gt;!0)@"</f>
        <v>#VALUE!</v>
      </c>
      <c r="HQ280" t="e">
        <f>Europe!F892+"n/&gt;!0)A"</f>
        <v>#VALUE!</v>
      </c>
      <c r="HR280" t="e">
        <f>Europe!G892+"n/&gt;!0)B"</f>
        <v>#VALUE!</v>
      </c>
      <c r="HS280" t="e">
        <f>Europe!H892+"n/&gt;!0)C"</f>
        <v>#VALUE!</v>
      </c>
      <c r="HT280" t="e">
        <f>Europe!I892+"n/&gt;!0)D"</f>
        <v>#VALUE!</v>
      </c>
      <c r="HU280" t="e">
        <f>Europe!A893+"n/&gt;!0)E"</f>
        <v>#VALUE!</v>
      </c>
      <c r="HV280" t="e">
        <f>Europe!B893+"n/&gt;!0)F"</f>
        <v>#VALUE!</v>
      </c>
      <c r="HW280" t="e">
        <f>Europe!C893+"n/&gt;!0)G"</f>
        <v>#VALUE!</v>
      </c>
      <c r="HX280" t="e">
        <f>Europe!D893+"n/&gt;!0)H"</f>
        <v>#VALUE!</v>
      </c>
      <c r="HY280" t="e">
        <f>Europe!E893+"n/&gt;!0)I"</f>
        <v>#VALUE!</v>
      </c>
      <c r="HZ280" t="e">
        <f>Europe!F893+"n/&gt;!0)J"</f>
        <v>#VALUE!</v>
      </c>
      <c r="IA280" t="e">
        <f>Europe!G893+"n/&gt;!0)K"</f>
        <v>#VALUE!</v>
      </c>
      <c r="IB280" t="e">
        <f>Europe!H893+"n/&gt;!0)L"</f>
        <v>#VALUE!</v>
      </c>
      <c r="IC280" t="e">
        <f>Europe!I893+"n/&gt;!0)M"</f>
        <v>#VALUE!</v>
      </c>
      <c r="ID280" t="e">
        <f>Europe!A894+"n/&gt;!0)N"</f>
        <v>#VALUE!</v>
      </c>
      <c r="IE280" t="e">
        <f>Europe!B894+"n/&gt;!0)O"</f>
        <v>#VALUE!</v>
      </c>
      <c r="IF280" t="e">
        <f>Europe!C894+"n/&gt;!0)P"</f>
        <v>#VALUE!</v>
      </c>
      <c r="IG280" t="e">
        <f>Europe!D894+"n/&gt;!0)Q"</f>
        <v>#VALUE!</v>
      </c>
      <c r="IH280" t="e">
        <f>Europe!E894+"n/&gt;!0)R"</f>
        <v>#VALUE!</v>
      </c>
      <c r="II280" t="e">
        <f>Europe!F894+"n/&gt;!0)S"</f>
        <v>#VALUE!</v>
      </c>
      <c r="IJ280" t="e">
        <f>Europe!G894+"n/&gt;!0)T"</f>
        <v>#VALUE!</v>
      </c>
      <c r="IK280" t="e">
        <f>Europe!H894+"n/&gt;!0)U"</f>
        <v>#VALUE!</v>
      </c>
      <c r="IL280" t="e">
        <f>Europe!I894+"n/&gt;!0)V"</f>
        <v>#VALUE!</v>
      </c>
      <c r="IM280" t="e">
        <f>Europe!A895+"n/&gt;!0)W"</f>
        <v>#VALUE!</v>
      </c>
      <c r="IN280" t="e">
        <f>Europe!B895+"n/&gt;!0)X"</f>
        <v>#VALUE!</v>
      </c>
      <c r="IO280" t="e">
        <f>Europe!C895+"n/&gt;!0)Y"</f>
        <v>#VALUE!</v>
      </c>
      <c r="IP280" t="e">
        <f>Europe!D895+"n/&gt;!0)Z"</f>
        <v>#VALUE!</v>
      </c>
      <c r="IQ280" t="e">
        <f>Europe!E895+"n/&gt;!0)["</f>
        <v>#VALUE!</v>
      </c>
      <c r="IR280" t="e">
        <f>Europe!F895+"n/&gt;!0)\"</f>
        <v>#VALUE!</v>
      </c>
      <c r="IS280" t="e">
        <f>Europe!G895+"n/&gt;!0)]"</f>
        <v>#VALUE!</v>
      </c>
      <c r="IT280" t="e">
        <f>Europe!H895+"n/&gt;!0)^"</f>
        <v>#VALUE!</v>
      </c>
      <c r="IU280" t="e">
        <f>Europe!I895+"n/&gt;!0)_"</f>
        <v>#VALUE!</v>
      </c>
      <c r="IV280" t="e">
        <f>Europe!A896+"n/&gt;!0)`"</f>
        <v>#VALUE!</v>
      </c>
    </row>
    <row r="281" spans="6:256" x14ac:dyDescent="0.35">
      <c r="F281" t="e">
        <f>Europe!B896+"n/&gt;!0)a"</f>
        <v>#VALUE!</v>
      </c>
      <c r="G281" t="e">
        <f>Europe!C896+"n/&gt;!0)b"</f>
        <v>#VALUE!</v>
      </c>
      <c r="H281" t="e">
        <f>Europe!D896+"n/&gt;!0)c"</f>
        <v>#VALUE!</v>
      </c>
      <c r="I281" t="e">
        <f>Europe!E896+"n/&gt;!0)d"</f>
        <v>#VALUE!</v>
      </c>
      <c r="J281" t="e">
        <f>Europe!F896+"n/&gt;!0)e"</f>
        <v>#VALUE!</v>
      </c>
      <c r="K281" t="e">
        <f>Europe!G896+"n/&gt;!0)f"</f>
        <v>#VALUE!</v>
      </c>
      <c r="L281" t="e">
        <f>Europe!H896+"n/&gt;!0)g"</f>
        <v>#VALUE!</v>
      </c>
      <c r="M281" t="e">
        <f>Europe!I896+"n/&gt;!0)h"</f>
        <v>#VALUE!</v>
      </c>
      <c r="N281" t="e">
        <f>Europe!A897+"n/&gt;!0)i"</f>
        <v>#VALUE!</v>
      </c>
      <c r="O281" t="e">
        <f>Europe!B897+"n/&gt;!0)j"</f>
        <v>#VALUE!</v>
      </c>
      <c r="P281" t="e">
        <f>Europe!C897+"n/&gt;!0)k"</f>
        <v>#VALUE!</v>
      </c>
      <c r="Q281" t="e">
        <f>Europe!D897+"n/&gt;!0)l"</f>
        <v>#VALUE!</v>
      </c>
      <c r="R281" t="e">
        <f>Europe!E897+"n/&gt;!0)m"</f>
        <v>#VALUE!</v>
      </c>
      <c r="S281" t="e">
        <f>Europe!F897+"n/&gt;!0)n"</f>
        <v>#VALUE!</v>
      </c>
      <c r="T281" t="e">
        <f>Europe!G897+"n/&gt;!0)o"</f>
        <v>#VALUE!</v>
      </c>
      <c r="U281" t="e">
        <f>Europe!H897+"n/&gt;!0)p"</f>
        <v>#VALUE!</v>
      </c>
      <c r="V281" t="e">
        <f>Europe!I897+"n/&gt;!0)q"</f>
        <v>#VALUE!</v>
      </c>
      <c r="W281" t="e">
        <f>Europe!A898+"n/&gt;!0)r"</f>
        <v>#VALUE!</v>
      </c>
      <c r="X281" t="e">
        <f>Europe!B898+"n/&gt;!0)s"</f>
        <v>#VALUE!</v>
      </c>
      <c r="Y281" t="e">
        <f>Europe!C898+"n/&gt;!0)t"</f>
        <v>#VALUE!</v>
      </c>
      <c r="Z281" t="e">
        <f>Europe!D898+"n/&gt;!0)u"</f>
        <v>#VALUE!</v>
      </c>
      <c r="AA281" t="e">
        <f>Europe!E898+"n/&gt;!0)v"</f>
        <v>#VALUE!</v>
      </c>
      <c r="AB281" t="e">
        <f>Europe!F898+"n/&gt;!0)w"</f>
        <v>#VALUE!</v>
      </c>
      <c r="AC281" t="e">
        <f>Europe!G898+"n/&gt;!0)x"</f>
        <v>#VALUE!</v>
      </c>
      <c r="AD281" t="e">
        <f>Europe!H898+"n/&gt;!0)y"</f>
        <v>#VALUE!</v>
      </c>
      <c r="AE281" t="e">
        <f>Europe!I898+"n/&gt;!0)z"</f>
        <v>#VALUE!</v>
      </c>
      <c r="AF281" t="e">
        <f>Europe!A899+"n/&gt;!0){"</f>
        <v>#VALUE!</v>
      </c>
      <c r="AG281" t="e">
        <f>Europe!B899+"n/&gt;!0)|"</f>
        <v>#VALUE!</v>
      </c>
      <c r="AH281" t="e">
        <f>Europe!C899+"n/&gt;!0)}"</f>
        <v>#VALUE!</v>
      </c>
      <c r="AI281" t="e">
        <f>Europe!D899+"n/&gt;!0)~"</f>
        <v>#VALUE!</v>
      </c>
      <c r="AJ281" t="e">
        <f>Europe!E899+"n/&gt;!0.#"</f>
        <v>#VALUE!</v>
      </c>
      <c r="AK281" t="e">
        <f>Europe!F899+"n/&gt;!0.$"</f>
        <v>#VALUE!</v>
      </c>
      <c r="AL281" t="e">
        <f>Europe!G899+"n/&gt;!0.%"</f>
        <v>#VALUE!</v>
      </c>
      <c r="AM281" t="e">
        <f>Europe!H899+"n/&gt;!0.&amp;"</f>
        <v>#VALUE!</v>
      </c>
      <c r="AN281" t="e">
        <f>Europe!I899+"n/&gt;!0.'"</f>
        <v>#VALUE!</v>
      </c>
      <c r="AO281" t="e">
        <f>Europe!A900+"n/&gt;!0.("</f>
        <v>#VALUE!</v>
      </c>
      <c r="AP281" t="e">
        <f>Europe!B900+"n/&gt;!0.)"</f>
        <v>#VALUE!</v>
      </c>
      <c r="AQ281" t="e">
        <f>Europe!C900+"n/&gt;!0.."</f>
        <v>#VALUE!</v>
      </c>
      <c r="AR281" t="e">
        <f>Europe!D900+"n/&gt;!0./"</f>
        <v>#VALUE!</v>
      </c>
      <c r="AS281" t="e">
        <f>Europe!E900+"n/&gt;!0.0"</f>
        <v>#VALUE!</v>
      </c>
      <c r="AT281" t="e">
        <f>Europe!F900+"n/&gt;!0.1"</f>
        <v>#VALUE!</v>
      </c>
      <c r="AU281" t="e">
        <f>Europe!G900+"n/&gt;!0.2"</f>
        <v>#VALUE!</v>
      </c>
      <c r="AV281" t="e">
        <f>Europe!H900+"n/&gt;!0.3"</f>
        <v>#VALUE!</v>
      </c>
      <c r="AW281" t="e">
        <f>Europe!I900+"n/&gt;!0.4"</f>
        <v>#VALUE!</v>
      </c>
      <c r="AX281" t="e">
        <f>Europe!A901+"n/&gt;!0.5"</f>
        <v>#VALUE!</v>
      </c>
      <c r="AY281" t="e">
        <f>Europe!B901+"n/&gt;!0.6"</f>
        <v>#VALUE!</v>
      </c>
      <c r="AZ281" t="e">
        <f>Europe!C901+"n/&gt;!0.7"</f>
        <v>#VALUE!</v>
      </c>
      <c r="BA281" t="e">
        <f>Europe!D901+"n/&gt;!0.8"</f>
        <v>#VALUE!</v>
      </c>
      <c r="BB281" t="e">
        <f>Europe!E901+"n/&gt;!0.9"</f>
        <v>#VALUE!</v>
      </c>
      <c r="BC281" t="e">
        <f>Europe!F901+"n/&gt;!0.:"</f>
        <v>#VALUE!</v>
      </c>
      <c r="BD281" t="e">
        <f>Europe!G901+"n/&gt;!0.;"</f>
        <v>#VALUE!</v>
      </c>
      <c r="BE281" t="e">
        <f>Europe!H901+"n/&gt;!0.&lt;"</f>
        <v>#VALUE!</v>
      </c>
      <c r="BF281" t="e">
        <f>Europe!I901+"n/&gt;!0.="</f>
        <v>#VALUE!</v>
      </c>
      <c r="BG281" t="e">
        <f>Europe!A902+"n/&gt;!0.&gt;"</f>
        <v>#VALUE!</v>
      </c>
      <c r="BH281" t="e">
        <f>Europe!B902+"n/&gt;!0.?"</f>
        <v>#VALUE!</v>
      </c>
      <c r="BI281" t="e">
        <f>Europe!C902+"n/&gt;!0.@"</f>
        <v>#VALUE!</v>
      </c>
      <c r="BJ281" t="e">
        <f>Europe!D902+"n/&gt;!0.A"</f>
        <v>#VALUE!</v>
      </c>
      <c r="BK281" t="e">
        <f>Europe!E902+"n/&gt;!0.B"</f>
        <v>#VALUE!</v>
      </c>
      <c r="BL281" t="e">
        <f>Europe!F902+"n/&gt;!0.C"</f>
        <v>#VALUE!</v>
      </c>
      <c r="BM281" t="e">
        <f>Europe!G902+"n/&gt;!0.D"</f>
        <v>#VALUE!</v>
      </c>
      <c r="BN281" t="e">
        <f>Europe!H902+"n/&gt;!0.E"</f>
        <v>#VALUE!</v>
      </c>
      <c r="BO281" t="e">
        <f>Europe!I902+"n/&gt;!0.F"</f>
        <v>#VALUE!</v>
      </c>
      <c r="BP281" t="e">
        <f>Europe!A903+"n/&gt;!0.G"</f>
        <v>#VALUE!</v>
      </c>
      <c r="BQ281" t="e">
        <f>Europe!B903+"n/&gt;!0.H"</f>
        <v>#VALUE!</v>
      </c>
      <c r="BR281" t="e">
        <f>Europe!C903+"n/&gt;!0.I"</f>
        <v>#VALUE!</v>
      </c>
      <c r="BS281" t="e">
        <f>Europe!D903+"n/&gt;!0.J"</f>
        <v>#VALUE!</v>
      </c>
      <c r="BT281" t="e">
        <f>Europe!E903+"n/&gt;!0.K"</f>
        <v>#VALUE!</v>
      </c>
      <c r="BU281" t="e">
        <f>Europe!F903+"n/&gt;!0.L"</f>
        <v>#VALUE!</v>
      </c>
      <c r="BV281" t="e">
        <f>Europe!G903+"n/&gt;!0.M"</f>
        <v>#VALUE!</v>
      </c>
      <c r="BW281" t="e">
        <f>Europe!H903+"n/&gt;!0.N"</f>
        <v>#VALUE!</v>
      </c>
      <c r="BX281" t="e">
        <f>Europe!I903+"n/&gt;!0.O"</f>
        <v>#VALUE!</v>
      </c>
      <c r="BY281" t="e">
        <f>Europe!A904+"n/&gt;!0.P"</f>
        <v>#VALUE!</v>
      </c>
      <c r="BZ281" t="e">
        <f>Europe!B904+"n/&gt;!0.Q"</f>
        <v>#VALUE!</v>
      </c>
      <c r="CA281" t="e">
        <f>Europe!C904+"n/&gt;!0.R"</f>
        <v>#VALUE!</v>
      </c>
      <c r="CB281" t="e">
        <f>Europe!D904+"n/&gt;!0.S"</f>
        <v>#VALUE!</v>
      </c>
      <c r="CC281" t="e">
        <f>Europe!E904+"n/&gt;!0.T"</f>
        <v>#VALUE!</v>
      </c>
      <c r="CD281" t="e">
        <f>Europe!F904+"n/&gt;!0.U"</f>
        <v>#VALUE!</v>
      </c>
      <c r="CE281" t="e">
        <f>Europe!G904+"n/&gt;!0.V"</f>
        <v>#VALUE!</v>
      </c>
      <c r="CF281" t="e">
        <f>Europe!H904+"n/&gt;!0.W"</f>
        <v>#VALUE!</v>
      </c>
      <c r="CG281" t="e">
        <f>Europe!I904+"n/&gt;!0.X"</f>
        <v>#VALUE!</v>
      </c>
      <c r="CH281" t="e">
        <f>Europe!A905+"n/&gt;!0.Y"</f>
        <v>#VALUE!</v>
      </c>
      <c r="CI281" t="e">
        <f>Europe!B905+"n/&gt;!0.Z"</f>
        <v>#VALUE!</v>
      </c>
      <c r="CJ281" t="e">
        <f>Europe!C905+"n/&gt;!0.["</f>
        <v>#VALUE!</v>
      </c>
      <c r="CK281" t="e">
        <f>Europe!D905+"n/&gt;!0.\"</f>
        <v>#VALUE!</v>
      </c>
      <c r="CL281" t="e">
        <f>Europe!E905+"n/&gt;!0.]"</f>
        <v>#VALUE!</v>
      </c>
      <c r="CM281" t="e">
        <f>Europe!F905+"n/&gt;!0.^"</f>
        <v>#VALUE!</v>
      </c>
      <c r="CN281" t="e">
        <f>Europe!G905+"n/&gt;!0._"</f>
        <v>#VALUE!</v>
      </c>
      <c r="CO281" t="e">
        <f>Europe!H905+"n/&gt;!0.`"</f>
        <v>#VALUE!</v>
      </c>
      <c r="CP281" t="e">
        <f>Europe!I905+"n/&gt;!0.a"</f>
        <v>#VALUE!</v>
      </c>
      <c r="CQ281" t="e">
        <f>Europe!A906+"n/&gt;!0.b"</f>
        <v>#VALUE!</v>
      </c>
      <c r="CR281" t="e">
        <f>Europe!B906+"n/&gt;!0.c"</f>
        <v>#VALUE!</v>
      </c>
      <c r="CS281" t="e">
        <f>Europe!C906+"n/&gt;!0.d"</f>
        <v>#VALUE!</v>
      </c>
      <c r="CT281" t="e">
        <f>Europe!D906+"n/&gt;!0.e"</f>
        <v>#VALUE!</v>
      </c>
      <c r="CU281" t="e">
        <f>Europe!E906+"n/&gt;!0.f"</f>
        <v>#VALUE!</v>
      </c>
      <c r="CV281" t="e">
        <f>Europe!F906+"n/&gt;!0.g"</f>
        <v>#VALUE!</v>
      </c>
      <c r="CW281" t="e">
        <f>Europe!G906+"n/&gt;!0.h"</f>
        <v>#VALUE!</v>
      </c>
      <c r="CX281" t="e">
        <f>Europe!H906+"n/&gt;!0.i"</f>
        <v>#VALUE!</v>
      </c>
      <c r="CY281" t="e">
        <f>Europe!I906+"n/&gt;!0.j"</f>
        <v>#VALUE!</v>
      </c>
      <c r="CZ281" t="e">
        <f>Europe!A907+"n/&gt;!0.k"</f>
        <v>#VALUE!</v>
      </c>
      <c r="DA281" t="e">
        <f>Europe!B907+"n/&gt;!0.l"</f>
        <v>#VALUE!</v>
      </c>
      <c r="DB281" t="e">
        <f>Europe!C907+"n/&gt;!0.m"</f>
        <v>#VALUE!</v>
      </c>
      <c r="DC281" t="e">
        <f>Europe!D907+"n/&gt;!0.n"</f>
        <v>#VALUE!</v>
      </c>
      <c r="DD281" t="e">
        <f>Europe!E907+"n/&gt;!0.o"</f>
        <v>#VALUE!</v>
      </c>
      <c r="DE281" t="e">
        <f>Europe!F907+"n/&gt;!0.p"</f>
        <v>#VALUE!</v>
      </c>
      <c r="DF281" t="e">
        <f>Europe!G907+"n/&gt;!0.q"</f>
        <v>#VALUE!</v>
      </c>
      <c r="DG281" t="e">
        <f>Europe!H907+"n/&gt;!0.r"</f>
        <v>#VALUE!</v>
      </c>
      <c r="DH281" t="e">
        <f>Europe!I907+"n/&gt;!0.s"</f>
        <v>#VALUE!</v>
      </c>
      <c r="DI281" t="e">
        <f>Europe!A908+"n/&gt;!0.t"</f>
        <v>#VALUE!</v>
      </c>
      <c r="DJ281" t="e">
        <f>Europe!B908+"n/&gt;!0.u"</f>
        <v>#VALUE!</v>
      </c>
      <c r="DK281" t="e">
        <f>Europe!C908+"n/&gt;!0.v"</f>
        <v>#VALUE!</v>
      </c>
      <c r="DL281" t="e">
        <f>Europe!D908+"n/&gt;!0.w"</f>
        <v>#VALUE!</v>
      </c>
      <c r="DM281" t="e">
        <f>Europe!E908+"n/&gt;!0.x"</f>
        <v>#VALUE!</v>
      </c>
      <c r="DN281" t="e">
        <f>Europe!F908+"n/&gt;!0.y"</f>
        <v>#VALUE!</v>
      </c>
      <c r="DO281" t="e">
        <f>Europe!G908+"n/&gt;!0.z"</f>
        <v>#VALUE!</v>
      </c>
      <c r="DP281" t="e">
        <f>Europe!H908+"n/&gt;!0.{"</f>
        <v>#VALUE!</v>
      </c>
      <c r="DQ281" t="e">
        <f>Europe!I908+"n/&gt;!0.|"</f>
        <v>#VALUE!</v>
      </c>
      <c r="DR281" t="e">
        <f>Europe!A909+"n/&gt;!0.}"</f>
        <v>#VALUE!</v>
      </c>
      <c r="DS281" t="e">
        <f>Europe!B909+"n/&gt;!0.~"</f>
        <v>#VALUE!</v>
      </c>
      <c r="DT281" t="e">
        <f>Europe!C909+"n/&gt;!0/#"</f>
        <v>#VALUE!</v>
      </c>
      <c r="DU281" t="e">
        <f>Europe!D909+"n/&gt;!0/$"</f>
        <v>#VALUE!</v>
      </c>
      <c r="DV281" t="e">
        <f>Europe!E909+"n/&gt;!0/%"</f>
        <v>#VALUE!</v>
      </c>
      <c r="DW281" t="e">
        <f>Europe!F909+"n/&gt;!0/&amp;"</f>
        <v>#VALUE!</v>
      </c>
      <c r="DX281" t="e">
        <f>Europe!G909+"n/&gt;!0/'"</f>
        <v>#VALUE!</v>
      </c>
      <c r="DY281" t="e">
        <f>Europe!H909+"n/&gt;!0/("</f>
        <v>#VALUE!</v>
      </c>
      <c r="DZ281" t="e">
        <f>Europe!I909+"n/&gt;!0/)"</f>
        <v>#VALUE!</v>
      </c>
      <c r="EA281" t="e">
        <f>Europe!A910+"n/&gt;!0/."</f>
        <v>#VALUE!</v>
      </c>
      <c r="EB281" t="e">
        <f>Europe!B910+"n/&gt;!0//"</f>
        <v>#VALUE!</v>
      </c>
      <c r="EC281" t="e">
        <f>Europe!C910+"n/&gt;!0/0"</f>
        <v>#VALUE!</v>
      </c>
      <c r="ED281" t="e">
        <f>Europe!D910+"n/&gt;!0/1"</f>
        <v>#VALUE!</v>
      </c>
      <c r="EE281" t="e">
        <f>Europe!E910+"n/&gt;!0/2"</f>
        <v>#VALUE!</v>
      </c>
      <c r="EF281" t="e">
        <f>Europe!F910+"n/&gt;!0/3"</f>
        <v>#VALUE!</v>
      </c>
      <c r="EG281" t="e">
        <f>Europe!G910+"n/&gt;!0/4"</f>
        <v>#VALUE!</v>
      </c>
      <c r="EH281" t="e">
        <f>Europe!H910+"n/&gt;!0/5"</f>
        <v>#VALUE!</v>
      </c>
      <c r="EI281" t="e">
        <f>Europe!I910+"n/&gt;!0/6"</f>
        <v>#VALUE!</v>
      </c>
      <c r="EJ281" t="e">
        <f>Europe!A911+"n/&gt;!0/7"</f>
        <v>#VALUE!</v>
      </c>
      <c r="EK281" t="e">
        <f>Europe!B911+"n/&gt;!0/8"</f>
        <v>#VALUE!</v>
      </c>
      <c r="EL281" t="e">
        <f>Europe!C911+"n/&gt;!0/9"</f>
        <v>#VALUE!</v>
      </c>
      <c r="EM281" t="e">
        <f>Europe!D911+"n/&gt;!0/:"</f>
        <v>#VALUE!</v>
      </c>
      <c r="EN281" t="e">
        <f>Europe!E911+"n/&gt;!0/;"</f>
        <v>#VALUE!</v>
      </c>
      <c r="EO281" t="e">
        <f>Europe!F911+"n/&gt;!0/&lt;"</f>
        <v>#VALUE!</v>
      </c>
      <c r="EP281" t="e">
        <f>Europe!G911+"n/&gt;!0/="</f>
        <v>#VALUE!</v>
      </c>
      <c r="EQ281" t="e">
        <f>Europe!H911+"n/&gt;!0/&gt;"</f>
        <v>#VALUE!</v>
      </c>
      <c r="ER281" t="e">
        <f>Europe!I911+"n/&gt;!0/?"</f>
        <v>#VALUE!</v>
      </c>
      <c r="ES281" t="e">
        <f>Europe!A912+"n/&gt;!0/@"</f>
        <v>#VALUE!</v>
      </c>
      <c r="ET281" t="e">
        <f>Europe!B912+"n/&gt;!0/A"</f>
        <v>#VALUE!</v>
      </c>
      <c r="EU281" t="e">
        <f>Europe!C912+"n/&gt;!0/B"</f>
        <v>#VALUE!</v>
      </c>
      <c r="EV281" t="e">
        <f>Europe!D912+"n/&gt;!0/C"</f>
        <v>#VALUE!</v>
      </c>
      <c r="EW281" t="e">
        <f>Europe!E912+"n/&gt;!0/D"</f>
        <v>#VALUE!</v>
      </c>
      <c r="EX281" t="e">
        <f>Europe!F912+"n/&gt;!0/E"</f>
        <v>#VALUE!</v>
      </c>
      <c r="EY281" t="e">
        <f>Europe!G912+"n/&gt;!0/F"</f>
        <v>#VALUE!</v>
      </c>
      <c r="EZ281" t="e">
        <f>Europe!H912+"n/&gt;!0/G"</f>
        <v>#VALUE!</v>
      </c>
      <c r="FA281" t="e">
        <f>Europe!I912+"n/&gt;!0/H"</f>
        <v>#VALUE!</v>
      </c>
      <c r="FB281" t="e">
        <f>Europe!A913+"n/&gt;!0/I"</f>
        <v>#VALUE!</v>
      </c>
      <c r="FC281" t="e">
        <f>Europe!B913+"n/&gt;!0/J"</f>
        <v>#VALUE!</v>
      </c>
      <c r="FD281" t="e">
        <f>Europe!C913+"n/&gt;!0/K"</f>
        <v>#VALUE!</v>
      </c>
      <c r="FE281" t="e">
        <f>Europe!D913+"n/&gt;!0/L"</f>
        <v>#VALUE!</v>
      </c>
      <c r="FF281" t="e">
        <f>Europe!E913+"n/&gt;!0/M"</f>
        <v>#VALUE!</v>
      </c>
      <c r="FG281" t="e">
        <f>Europe!F913+"n/&gt;!0/N"</f>
        <v>#VALUE!</v>
      </c>
      <c r="FH281" t="e">
        <f>Europe!G913+"n/&gt;!0/O"</f>
        <v>#VALUE!</v>
      </c>
      <c r="FI281" t="e">
        <f>Europe!H913+"n/&gt;!0/P"</f>
        <v>#VALUE!</v>
      </c>
      <c r="FJ281" t="e">
        <f>Europe!I913+"n/&gt;!0/Q"</f>
        <v>#VALUE!</v>
      </c>
      <c r="FK281" t="e">
        <f>Europe!A914+"n/&gt;!0/R"</f>
        <v>#VALUE!</v>
      </c>
      <c r="FL281" t="e">
        <f>Europe!B914+"n/&gt;!0/S"</f>
        <v>#VALUE!</v>
      </c>
      <c r="FM281" t="e">
        <f>Europe!C914+"n/&gt;!0/T"</f>
        <v>#VALUE!</v>
      </c>
      <c r="FN281" t="e">
        <f>Europe!D914+"n/&gt;!0/U"</f>
        <v>#VALUE!</v>
      </c>
      <c r="FO281" t="e">
        <f>Europe!E914+"n/&gt;!0/V"</f>
        <v>#VALUE!</v>
      </c>
      <c r="FP281" t="e">
        <f>Europe!F914+"n/&gt;!0/W"</f>
        <v>#VALUE!</v>
      </c>
      <c r="FQ281" t="e">
        <f>Europe!G914+"n/&gt;!0/X"</f>
        <v>#VALUE!</v>
      </c>
      <c r="FR281" t="e">
        <f>Europe!H914+"n/&gt;!0/Y"</f>
        <v>#VALUE!</v>
      </c>
      <c r="FS281" t="e">
        <f>Europe!I914+"n/&gt;!0/Z"</f>
        <v>#VALUE!</v>
      </c>
      <c r="FT281" t="e">
        <f>Europe!A915+"n/&gt;!0/["</f>
        <v>#VALUE!</v>
      </c>
      <c r="FU281" t="e">
        <f>Europe!B915+"n/&gt;!0/\"</f>
        <v>#VALUE!</v>
      </c>
      <c r="FV281" t="e">
        <f>Europe!C915+"n/&gt;!0/]"</f>
        <v>#VALUE!</v>
      </c>
      <c r="FW281" t="e">
        <f>Europe!D915+"n/&gt;!0/^"</f>
        <v>#VALUE!</v>
      </c>
      <c r="FX281" t="e">
        <f>Europe!E915+"n/&gt;!0/_"</f>
        <v>#VALUE!</v>
      </c>
      <c r="FY281" t="e">
        <f>Europe!F915+"n/&gt;!0/`"</f>
        <v>#VALUE!</v>
      </c>
      <c r="FZ281" t="e">
        <f>Europe!G915+"n/&gt;!0/a"</f>
        <v>#VALUE!</v>
      </c>
      <c r="GA281" t="e">
        <f>Europe!H915+"n/&gt;!0/b"</f>
        <v>#VALUE!</v>
      </c>
      <c r="GB281" t="e">
        <f>Europe!I915+"n/&gt;!0/c"</f>
        <v>#VALUE!</v>
      </c>
      <c r="GC281" t="e">
        <f>Europe!A916+"n/&gt;!0/d"</f>
        <v>#VALUE!</v>
      </c>
      <c r="GD281" t="e">
        <f>Europe!B916+"n/&gt;!0/e"</f>
        <v>#VALUE!</v>
      </c>
      <c r="GE281" t="e">
        <f>Europe!C916+"n/&gt;!0/f"</f>
        <v>#VALUE!</v>
      </c>
      <c r="GF281" t="e">
        <f>Europe!D916+"n/&gt;!0/g"</f>
        <v>#VALUE!</v>
      </c>
      <c r="GG281" t="e">
        <f>Europe!E916+"n/&gt;!0/h"</f>
        <v>#VALUE!</v>
      </c>
      <c r="GH281" t="e">
        <f>Europe!F916+"n/&gt;!0/i"</f>
        <v>#VALUE!</v>
      </c>
      <c r="GI281" t="e">
        <f>Europe!G916+"n/&gt;!0/j"</f>
        <v>#VALUE!</v>
      </c>
      <c r="GJ281" t="e">
        <f>Europe!H916+"n/&gt;!0/k"</f>
        <v>#VALUE!</v>
      </c>
      <c r="GK281" t="e">
        <f>Europe!I916+"n/&gt;!0/l"</f>
        <v>#VALUE!</v>
      </c>
      <c r="GL281" t="e">
        <f>Europe!A917+"n/&gt;!0/m"</f>
        <v>#VALUE!</v>
      </c>
      <c r="GM281" t="e">
        <f>Europe!B917+"n/&gt;!0/n"</f>
        <v>#VALUE!</v>
      </c>
      <c r="GN281" t="e">
        <f>Europe!C917+"n/&gt;!0/o"</f>
        <v>#VALUE!</v>
      </c>
      <c r="GO281" t="e">
        <f>Europe!D917+"n/&gt;!0/p"</f>
        <v>#VALUE!</v>
      </c>
      <c r="GP281" t="e">
        <f>Europe!E917+"n/&gt;!0/q"</f>
        <v>#VALUE!</v>
      </c>
      <c r="GQ281" t="e">
        <f>Europe!F917+"n/&gt;!0/r"</f>
        <v>#VALUE!</v>
      </c>
      <c r="GR281" t="e">
        <f>Europe!G917+"n/&gt;!0/s"</f>
        <v>#VALUE!</v>
      </c>
      <c r="GS281" t="e">
        <f>Europe!H917+"n/&gt;!0/t"</f>
        <v>#VALUE!</v>
      </c>
      <c r="GT281" t="e">
        <f>Europe!I917+"n/&gt;!0/u"</f>
        <v>#VALUE!</v>
      </c>
      <c r="GU281" t="e">
        <f>Europe!A918+"n/&gt;!0/v"</f>
        <v>#VALUE!</v>
      </c>
      <c r="GV281" t="e">
        <f>Europe!B918+"n/&gt;!0/w"</f>
        <v>#VALUE!</v>
      </c>
      <c r="GW281" t="e">
        <f>Europe!C918+"n/&gt;!0/x"</f>
        <v>#VALUE!</v>
      </c>
      <c r="GX281" t="e">
        <f>Europe!D918+"n/&gt;!0/y"</f>
        <v>#VALUE!</v>
      </c>
      <c r="GY281" t="e">
        <f>Europe!E918+"n/&gt;!0/z"</f>
        <v>#VALUE!</v>
      </c>
      <c r="GZ281" t="e">
        <f>Europe!F918+"n/&gt;!0/{"</f>
        <v>#VALUE!</v>
      </c>
      <c r="HA281" t="e">
        <f>Europe!G918+"n/&gt;!0/|"</f>
        <v>#VALUE!</v>
      </c>
      <c r="HB281" t="e">
        <f>Europe!H918+"n/&gt;!0/}"</f>
        <v>#VALUE!</v>
      </c>
      <c r="HC281" t="e">
        <f>Europe!I918+"n/&gt;!0/~"</f>
        <v>#VALUE!</v>
      </c>
      <c r="HD281" t="e">
        <f>Europe!A919+"n/&gt;!00#"</f>
        <v>#VALUE!</v>
      </c>
      <c r="HE281" t="e">
        <f>Europe!B919+"n/&gt;!00$"</f>
        <v>#VALUE!</v>
      </c>
      <c r="HF281" t="e">
        <f>Europe!C919+"n/&gt;!00%"</f>
        <v>#VALUE!</v>
      </c>
      <c r="HG281" t="e">
        <f>Europe!D919+"n/&gt;!00&amp;"</f>
        <v>#VALUE!</v>
      </c>
      <c r="HH281" t="e">
        <f>Europe!E919+"n/&gt;!00'"</f>
        <v>#VALUE!</v>
      </c>
      <c r="HI281" t="e">
        <f>Europe!F919+"n/&gt;!00("</f>
        <v>#VALUE!</v>
      </c>
      <c r="HJ281" t="e">
        <f>Europe!G919+"n/&gt;!00)"</f>
        <v>#VALUE!</v>
      </c>
      <c r="HK281" t="e">
        <f>Europe!H919+"n/&gt;!00."</f>
        <v>#VALUE!</v>
      </c>
      <c r="HL281" t="e">
        <f>Europe!I919+"n/&gt;!00/"</f>
        <v>#VALUE!</v>
      </c>
      <c r="HM281" t="e">
        <f>Europe!A920+"n/&gt;!000"</f>
        <v>#VALUE!</v>
      </c>
      <c r="HN281" t="e">
        <f>Europe!B920+"n/&gt;!001"</f>
        <v>#VALUE!</v>
      </c>
      <c r="HO281" t="e">
        <f>Europe!C920+"n/&gt;!002"</f>
        <v>#VALUE!</v>
      </c>
      <c r="HP281" t="e">
        <f>Europe!D920+"n/&gt;!003"</f>
        <v>#VALUE!</v>
      </c>
      <c r="HQ281" t="e">
        <f>Europe!E920+"n/&gt;!004"</f>
        <v>#VALUE!</v>
      </c>
      <c r="HR281" t="e">
        <f>Europe!F920+"n/&gt;!005"</f>
        <v>#VALUE!</v>
      </c>
      <c r="HS281" t="e">
        <f>Europe!G920+"n/&gt;!006"</f>
        <v>#VALUE!</v>
      </c>
      <c r="HT281" t="e">
        <f>Europe!H920+"n/&gt;!007"</f>
        <v>#VALUE!</v>
      </c>
      <c r="HU281" t="e">
        <f>Europe!I920+"n/&gt;!008"</f>
        <v>#VALUE!</v>
      </c>
      <c r="HV281" t="e">
        <f>Europe!A921+"n/&gt;!009"</f>
        <v>#VALUE!</v>
      </c>
      <c r="HW281" t="e">
        <f>Europe!B921+"n/&gt;!00:"</f>
        <v>#VALUE!</v>
      </c>
      <c r="HX281" t="e">
        <f>Europe!C921+"n/&gt;!00;"</f>
        <v>#VALUE!</v>
      </c>
      <c r="HY281" t="e">
        <f>Europe!D921+"n/&gt;!00&lt;"</f>
        <v>#VALUE!</v>
      </c>
      <c r="HZ281" t="e">
        <f>Europe!E921+"n/&gt;!00="</f>
        <v>#VALUE!</v>
      </c>
      <c r="IA281" t="e">
        <f>Europe!F921+"n/&gt;!00&gt;"</f>
        <v>#VALUE!</v>
      </c>
      <c r="IB281" t="e">
        <f>Europe!G921+"n/&gt;!00?"</f>
        <v>#VALUE!</v>
      </c>
      <c r="IC281" t="e">
        <f>Europe!H921+"n/&gt;!00@"</f>
        <v>#VALUE!</v>
      </c>
      <c r="ID281" t="e">
        <f>Europe!I921+"n/&gt;!00A"</f>
        <v>#VALUE!</v>
      </c>
      <c r="IE281" t="e">
        <f>Europe!A922+"n/&gt;!00B"</f>
        <v>#VALUE!</v>
      </c>
      <c r="IF281" t="e">
        <f>Europe!B922+"n/&gt;!00C"</f>
        <v>#VALUE!</v>
      </c>
      <c r="IG281" t="e">
        <f>Europe!C922+"n/&gt;!00D"</f>
        <v>#VALUE!</v>
      </c>
      <c r="IH281" t="e">
        <f>Europe!D922+"n/&gt;!00E"</f>
        <v>#VALUE!</v>
      </c>
      <c r="II281" t="e">
        <f>Europe!E922+"n/&gt;!00F"</f>
        <v>#VALUE!</v>
      </c>
      <c r="IJ281" t="e">
        <f>Europe!F922+"n/&gt;!00G"</f>
        <v>#VALUE!</v>
      </c>
      <c r="IK281" t="e">
        <f>Europe!G922+"n/&gt;!00H"</f>
        <v>#VALUE!</v>
      </c>
      <c r="IL281" t="e">
        <f>Europe!H922+"n/&gt;!00I"</f>
        <v>#VALUE!</v>
      </c>
      <c r="IM281" t="e">
        <f>Europe!I922+"n/&gt;!00J"</f>
        <v>#VALUE!</v>
      </c>
      <c r="IN281" t="e">
        <f>Europe!A923+"n/&gt;!00K"</f>
        <v>#VALUE!</v>
      </c>
      <c r="IO281" t="e">
        <f>Europe!B923+"n/&gt;!00L"</f>
        <v>#VALUE!</v>
      </c>
      <c r="IP281" t="e">
        <f>Europe!C923+"n/&gt;!00M"</f>
        <v>#VALUE!</v>
      </c>
      <c r="IQ281" t="e">
        <f>Europe!D923+"n/&gt;!00N"</f>
        <v>#VALUE!</v>
      </c>
      <c r="IR281" t="e">
        <f>Europe!E923+"n/&gt;!00O"</f>
        <v>#VALUE!</v>
      </c>
      <c r="IS281" t="e">
        <f>Europe!F923+"n/&gt;!00P"</f>
        <v>#VALUE!</v>
      </c>
      <c r="IT281" t="e">
        <f>Europe!G923+"n/&gt;!00Q"</f>
        <v>#VALUE!</v>
      </c>
      <c r="IU281" t="e">
        <f>Europe!H923+"n/&gt;!00R"</f>
        <v>#VALUE!</v>
      </c>
      <c r="IV281" t="e">
        <f>Europe!I923+"n/&gt;!00S"</f>
        <v>#VALUE!</v>
      </c>
    </row>
    <row r="282" spans="6:256" x14ac:dyDescent="0.35">
      <c r="F282" t="e">
        <f>Europe!A924+"n/&gt;!00T"</f>
        <v>#VALUE!</v>
      </c>
      <c r="G282" t="e">
        <f>Europe!B924+"n/&gt;!00U"</f>
        <v>#VALUE!</v>
      </c>
      <c r="H282" t="e">
        <f>Europe!C924+"n/&gt;!00V"</f>
        <v>#VALUE!</v>
      </c>
      <c r="I282" t="e">
        <f>Europe!D924+"n/&gt;!00W"</f>
        <v>#VALUE!</v>
      </c>
      <c r="J282" t="e">
        <f>Europe!E924+"n/&gt;!00X"</f>
        <v>#VALUE!</v>
      </c>
      <c r="K282" t="e">
        <f>Europe!F924+"n/&gt;!00Y"</f>
        <v>#VALUE!</v>
      </c>
      <c r="L282" t="e">
        <f>Europe!G924+"n/&gt;!00Z"</f>
        <v>#VALUE!</v>
      </c>
      <c r="M282" t="e">
        <f>Europe!H924+"n/&gt;!00["</f>
        <v>#VALUE!</v>
      </c>
      <c r="N282" t="e">
        <f>Europe!I924+"n/&gt;!00\"</f>
        <v>#VALUE!</v>
      </c>
      <c r="O282" t="e">
        <f>Europe!A925+"n/&gt;!00]"</f>
        <v>#VALUE!</v>
      </c>
      <c r="P282" t="e">
        <f>Europe!B925+"n/&gt;!00^"</f>
        <v>#VALUE!</v>
      </c>
      <c r="Q282" t="e">
        <f>Europe!C925+"n/&gt;!00_"</f>
        <v>#VALUE!</v>
      </c>
      <c r="R282" t="e">
        <f>Europe!D925+"n/&gt;!00`"</f>
        <v>#VALUE!</v>
      </c>
      <c r="S282" t="e">
        <f>Europe!E925+"n/&gt;!00a"</f>
        <v>#VALUE!</v>
      </c>
      <c r="T282" t="e">
        <f>Europe!F925+"n/&gt;!00b"</f>
        <v>#VALUE!</v>
      </c>
      <c r="U282" t="e">
        <f>Europe!G925+"n/&gt;!00c"</f>
        <v>#VALUE!</v>
      </c>
      <c r="V282" t="e">
        <f>Europe!H925+"n/&gt;!00d"</f>
        <v>#VALUE!</v>
      </c>
      <c r="W282" t="e">
        <f>Europe!I925+"n/&gt;!00e"</f>
        <v>#VALUE!</v>
      </c>
      <c r="X282" t="e">
        <f>Europe!A926+"n/&gt;!00f"</f>
        <v>#VALUE!</v>
      </c>
      <c r="Y282" t="e">
        <f>Europe!B926+"n/&gt;!00g"</f>
        <v>#VALUE!</v>
      </c>
      <c r="Z282" t="e">
        <f>Europe!C926+"n/&gt;!00h"</f>
        <v>#VALUE!</v>
      </c>
      <c r="AA282" t="e">
        <f>Europe!D926+"n/&gt;!00i"</f>
        <v>#VALUE!</v>
      </c>
      <c r="AB282" t="e">
        <f>Europe!E926+"n/&gt;!00j"</f>
        <v>#VALUE!</v>
      </c>
      <c r="AC282" t="e">
        <f>Europe!F926+"n/&gt;!00k"</f>
        <v>#VALUE!</v>
      </c>
      <c r="AD282" t="e">
        <f>Europe!G926+"n/&gt;!00l"</f>
        <v>#VALUE!</v>
      </c>
      <c r="AE282" t="e">
        <f>Europe!H926+"n/&gt;!00m"</f>
        <v>#VALUE!</v>
      </c>
      <c r="AF282" t="e">
        <f>Europe!I926+"n/&gt;!00n"</f>
        <v>#VALUE!</v>
      </c>
      <c r="AG282" t="e">
        <f>Europe!A927+"n/&gt;!00o"</f>
        <v>#VALUE!</v>
      </c>
      <c r="AH282" t="e">
        <f>Europe!B927+"n/&gt;!00p"</f>
        <v>#VALUE!</v>
      </c>
      <c r="AI282" t="e">
        <f>Europe!C927+"n/&gt;!00q"</f>
        <v>#VALUE!</v>
      </c>
      <c r="AJ282" t="e">
        <f>Europe!D927+"n/&gt;!00r"</f>
        <v>#VALUE!</v>
      </c>
      <c r="AK282" t="e">
        <f>Europe!E927+"n/&gt;!00s"</f>
        <v>#VALUE!</v>
      </c>
      <c r="AL282" t="e">
        <f>Europe!F927+"n/&gt;!00t"</f>
        <v>#VALUE!</v>
      </c>
      <c r="AM282" t="e">
        <f>Europe!G927+"n/&gt;!00u"</f>
        <v>#VALUE!</v>
      </c>
      <c r="AN282" t="e">
        <f>Europe!H927+"n/&gt;!00v"</f>
        <v>#VALUE!</v>
      </c>
      <c r="AO282" t="e">
        <f>Europe!I927+"n/&gt;!00w"</f>
        <v>#VALUE!</v>
      </c>
      <c r="AP282" t="e">
        <f>Europe!A928+"n/&gt;!00x"</f>
        <v>#VALUE!</v>
      </c>
      <c r="AQ282" t="e">
        <f>Europe!B928+"n/&gt;!00y"</f>
        <v>#VALUE!</v>
      </c>
      <c r="AR282" t="e">
        <f>Europe!C928+"n/&gt;!00z"</f>
        <v>#VALUE!</v>
      </c>
      <c r="AS282" t="e">
        <f>Europe!D928+"n/&gt;!00{"</f>
        <v>#VALUE!</v>
      </c>
      <c r="AT282" t="e">
        <f>Europe!E928+"n/&gt;!00|"</f>
        <v>#VALUE!</v>
      </c>
      <c r="AU282" t="e">
        <f>Europe!F928+"n/&gt;!00}"</f>
        <v>#VALUE!</v>
      </c>
      <c r="AV282" t="e">
        <f>Europe!G928+"n/&gt;!00~"</f>
        <v>#VALUE!</v>
      </c>
      <c r="AW282" t="e">
        <f>Europe!H928+"n/&gt;!01#"</f>
        <v>#VALUE!</v>
      </c>
      <c r="AX282" t="e">
        <f>Europe!I928+"n/&gt;!01$"</f>
        <v>#VALUE!</v>
      </c>
      <c r="AY282" t="e">
        <f>Europe!A929+"n/&gt;!01%"</f>
        <v>#VALUE!</v>
      </c>
      <c r="AZ282" t="e">
        <f>Europe!B929+"n/&gt;!01&amp;"</f>
        <v>#VALUE!</v>
      </c>
      <c r="BA282" t="e">
        <f>Europe!C929+"n/&gt;!01'"</f>
        <v>#VALUE!</v>
      </c>
      <c r="BB282" t="e">
        <f>Europe!D929+"n/&gt;!01("</f>
        <v>#VALUE!</v>
      </c>
      <c r="BC282" t="e">
        <f>Europe!E929+"n/&gt;!01)"</f>
        <v>#VALUE!</v>
      </c>
      <c r="BD282" t="e">
        <f>Europe!F929+"n/&gt;!01."</f>
        <v>#VALUE!</v>
      </c>
      <c r="BE282" t="e">
        <f>Europe!G929+"n/&gt;!01/"</f>
        <v>#VALUE!</v>
      </c>
      <c r="BF282" t="e">
        <f>Europe!H929+"n/&gt;!010"</f>
        <v>#VALUE!</v>
      </c>
      <c r="BG282" t="e">
        <f>Europe!I929+"n/&gt;!011"</f>
        <v>#VALUE!</v>
      </c>
      <c r="BH282" t="e">
        <f>Europe!A930+"n/&gt;!012"</f>
        <v>#VALUE!</v>
      </c>
      <c r="BI282" t="e">
        <f>Europe!B930+"n/&gt;!013"</f>
        <v>#VALUE!</v>
      </c>
      <c r="BJ282" t="e">
        <f>Europe!C930+"n/&gt;!014"</f>
        <v>#VALUE!</v>
      </c>
      <c r="BK282" t="e">
        <f>Europe!D930+"n/&gt;!015"</f>
        <v>#VALUE!</v>
      </c>
      <c r="BL282" t="e">
        <f>Europe!E930+"n/&gt;!016"</f>
        <v>#VALUE!</v>
      </c>
      <c r="BM282" t="e">
        <f>Europe!F930+"n/&gt;!017"</f>
        <v>#VALUE!</v>
      </c>
      <c r="BN282" t="e">
        <f>Europe!G930+"n/&gt;!018"</f>
        <v>#VALUE!</v>
      </c>
      <c r="BO282" t="e">
        <f>Europe!H930+"n/&gt;!019"</f>
        <v>#VALUE!</v>
      </c>
      <c r="BP282" t="e">
        <f>Europe!I930+"n/&gt;!01:"</f>
        <v>#VALUE!</v>
      </c>
      <c r="BQ282" t="e">
        <f>Europe!A931+"n/&gt;!01;"</f>
        <v>#VALUE!</v>
      </c>
      <c r="BR282" t="e">
        <f>Europe!B931+"n/&gt;!01&lt;"</f>
        <v>#VALUE!</v>
      </c>
      <c r="BS282" t="e">
        <f>Europe!C931+"n/&gt;!01="</f>
        <v>#VALUE!</v>
      </c>
      <c r="BT282" t="e">
        <f>Europe!D931+"n/&gt;!01&gt;"</f>
        <v>#VALUE!</v>
      </c>
      <c r="BU282" t="e">
        <f>Europe!E931+"n/&gt;!01?"</f>
        <v>#VALUE!</v>
      </c>
      <c r="BV282" t="e">
        <f>Europe!F931+"n/&gt;!01@"</f>
        <v>#VALUE!</v>
      </c>
      <c r="BW282" t="e">
        <f>Europe!G931+"n/&gt;!01A"</f>
        <v>#VALUE!</v>
      </c>
      <c r="BX282" t="e">
        <f>Europe!H931+"n/&gt;!01B"</f>
        <v>#VALUE!</v>
      </c>
      <c r="BY282" t="e">
        <f>Europe!I931+"n/&gt;!01C"</f>
        <v>#VALUE!</v>
      </c>
      <c r="BZ282" t="e">
        <f>Europe!A932+"n/&gt;!01D"</f>
        <v>#VALUE!</v>
      </c>
      <c r="CA282" t="e">
        <f>Europe!B932+"n/&gt;!01E"</f>
        <v>#VALUE!</v>
      </c>
      <c r="CB282" t="e">
        <f>Europe!C932+"n/&gt;!01F"</f>
        <v>#VALUE!</v>
      </c>
      <c r="CC282" t="e">
        <f>Europe!D932+"n/&gt;!01G"</f>
        <v>#VALUE!</v>
      </c>
      <c r="CD282" t="e">
        <f>Europe!E932+"n/&gt;!01H"</f>
        <v>#VALUE!</v>
      </c>
      <c r="CE282" t="e">
        <f>Europe!F932+"n/&gt;!01I"</f>
        <v>#VALUE!</v>
      </c>
      <c r="CF282" t="e">
        <f>Europe!G932+"n/&gt;!01J"</f>
        <v>#VALUE!</v>
      </c>
      <c r="CG282" t="e">
        <f>Europe!H932+"n/&gt;!01K"</f>
        <v>#VALUE!</v>
      </c>
      <c r="CH282" t="e">
        <f>Europe!I932+"n/&gt;!01L"</f>
        <v>#VALUE!</v>
      </c>
      <c r="CI282" t="e">
        <f>Europe!A933+"n/&gt;!01M"</f>
        <v>#VALUE!</v>
      </c>
      <c r="CJ282" t="e">
        <f>Europe!B933+"n/&gt;!01N"</f>
        <v>#VALUE!</v>
      </c>
      <c r="CK282" t="e">
        <f>Europe!C933+"n/&gt;!01O"</f>
        <v>#VALUE!</v>
      </c>
      <c r="CL282" t="e">
        <f>Europe!D933+"n/&gt;!01P"</f>
        <v>#VALUE!</v>
      </c>
      <c r="CM282" t="e">
        <f>Europe!E933+"n/&gt;!01Q"</f>
        <v>#VALUE!</v>
      </c>
      <c r="CN282" t="e">
        <f>Europe!F933+"n/&gt;!01R"</f>
        <v>#VALUE!</v>
      </c>
      <c r="CO282" t="e">
        <f>Europe!G933+"n/&gt;!01S"</f>
        <v>#VALUE!</v>
      </c>
      <c r="CP282" t="e">
        <f>Europe!H933+"n/&gt;!01T"</f>
        <v>#VALUE!</v>
      </c>
      <c r="CQ282" t="e">
        <f>Europe!I933+"n/&gt;!01U"</f>
        <v>#VALUE!</v>
      </c>
      <c r="CR282" t="e">
        <f>Europe!A934+"n/&gt;!01V"</f>
        <v>#VALUE!</v>
      </c>
      <c r="CS282" t="e">
        <f>Europe!B934+"n/&gt;!01W"</f>
        <v>#VALUE!</v>
      </c>
      <c r="CT282" t="e">
        <f>Europe!C934+"n/&gt;!01X"</f>
        <v>#VALUE!</v>
      </c>
      <c r="CU282" t="e">
        <f>Europe!D934+"n/&gt;!01Y"</f>
        <v>#VALUE!</v>
      </c>
      <c r="CV282" t="e">
        <f>Europe!E934+"n/&gt;!01Z"</f>
        <v>#VALUE!</v>
      </c>
      <c r="CW282" t="e">
        <f>Europe!F934+"n/&gt;!01["</f>
        <v>#VALUE!</v>
      </c>
      <c r="CX282" t="e">
        <f>Europe!G934+"n/&gt;!01\"</f>
        <v>#VALUE!</v>
      </c>
      <c r="CY282" t="e">
        <f>Europe!H934+"n/&gt;!01]"</f>
        <v>#VALUE!</v>
      </c>
      <c r="CZ282" t="e">
        <f>Europe!I934+"n/&gt;!01^"</f>
        <v>#VALUE!</v>
      </c>
      <c r="DA282" t="e">
        <f>Europe!A935+"n/&gt;!01_"</f>
        <v>#VALUE!</v>
      </c>
      <c r="DB282" t="e">
        <f>Europe!B935+"n/&gt;!01`"</f>
        <v>#VALUE!</v>
      </c>
      <c r="DC282" t="e">
        <f>Europe!C935+"n/&gt;!01a"</f>
        <v>#VALUE!</v>
      </c>
      <c r="DD282" t="e">
        <f>Europe!D935+"n/&gt;!01b"</f>
        <v>#VALUE!</v>
      </c>
      <c r="DE282" t="e">
        <f>Europe!E935+"n/&gt;!01c"</f>
        <v>#VALUE!</v>
      </c>
      <c r="DF282" t="e">
        <f>Europe!F935+"n/&gt;!01d"</f>
        <v>#VALUE!</v>
      </c>
      <c r="DG282" t="e">
        <f>Europe!G935+"n/&gt;!01e"</f>
        <v>#VALUE!</v>
      </c>
      <c r="DH282" t="e">
        <f>Europe!H935+"n/&gt;!01f"</f>
        <v>#VALUE!</v>
      </c>
      <c r="DI282" t="e">
        <f>Europe!I935+"n/&gt;!01g"</f>
        <v>#VALUE!</v>
      </c>
      <c r="DJ282" t="e">
        <f>Europe!A936+"n/&gt;!01h"</f>
        <v>#VALUE!</v>
      </c>
      <c r="DK282" t="e">
        <f>Europe!B936+"n/&gt;!01i"</f>
        <v>#VALUE!</v>
      </c>
      <c r="DL282" t="e">
        <f>Europe!C936+"n/&gt;!01j"</f>
        <v>#VALUE!</v>
      </c>
      <c r="DM282" t="e">
        <f>Europe!D936+"n/&gt;!01k"</f>
        <v>#VALUE!</v>
      </c>
      <c r="DN282" t="e">
        <f>Europe!E936+"n/&gt;!01l"</f>
        <v>#VALUE!</v>
      </c>
      <c r="DO282" t="e">
        <f>Europe!F936+"n/&gt;!01m"</f>
        <v>#VALUE!</v>
      </c>
      <c r="DP282" t="e">
        <f>Europe!G936+"n/&gt;!01n"</f>
        <v>#VALUE!</v>
      </c>
      <c r="DQ282" t="e">
        <f>Europe!H936+"n/&gt;!01o"</f>
        <v>#VALUE!</v>
      </c>
      <c r="DR282" t="e">
        <f>Europe!I936+"n/&gt;!01p"</f>
        <v>#VALUE!</v>
      </c>
      <c r="DS282" t="e">
        <f>Europe!A937+"n/&gt;!01q"</f>
        <v>#VALUE!</v>
      </c>
      <c r="DT282" t="e">
        <f>Europe!B937+"n/&gt;!01r"</f>
        <v>#VALUE!</v>
      </c>
      <c r="DU282" t="e">
        <f>Europe!C937+"n/&gt;!01s"</f>
        <v>#VALUE!</v>
      </c>
      <c r="DV282" t="e">
        <f>Europe!D937+"n/&gt;!01t"</f>
        <v>#VALUE!</v>
      </c>
      <c r="DW282" t="e">
        <f>Europe!E937+"n/&gt;!01u"</f>
        <v>#VALUE!</v>
      </c>
      <c r="DX282" t="e">
        <f>Europe!F937+"n/&gt;!01v"</f>
        <v>#VALUE!</v>
      </c>
      <c r="DY282" t="e">
        <f>Europe!G937+"n/&gt;!01w"</f>
        <v>#VALUE!</v>
      </c>
      <c r="DZ282" t="e">
        <f>Europe!H937+"n/&gt;!01x"</f>
        <v>#VALUE!</v>
      </c>
      <c r="EA282" t="e">
        <f>Europe!I937+"n/&gt;!01y"</f>
        <v>#VALUE!</v>
      </c>
      <c r="EB282" t="e">
        <f>Europe!A938+"n/&gt;!01z"</f>
        <v>#VALUE!</v>
      </c>
      <c r="EC282" t="e">
        <f>Europe!B938+"n/&gt;!01{"</f>
        <v>#VALUE!</v>
      </c>
      <c r="ED282" t="e">
        <f>Europe!C938+"n/&gt;!01|"</f>
        <v>#VALUE!</v>
      </c>
      <c r="EE282" t="e">
        <f>Europe!D938+"n/&gt;!01}"</f>
        <v>#VALUE!</v>
      </c>
      <c r="EF282" t="e">
        <f>Europe!E938+"n/&gt;!01~"</f>
        <v>#VALUE!</v>
      </c>
      <c r="EG282" t="e">
        <f>Europe!F938+"n/&gt;!02#"</f>
        <v>#VALUE!</v>
      </c>
      <c r="EH282" t="e">
        <f>Europe!G938+"n/&gt;!02$"</f>
        <v>#VALUE!</v>
      </c>
      <c r="EI282" t="e">
        <f>Europe!H938+"n/&gt;!02%"</f>
        <v>#VALUE!</v>
      </c>
      <c r="EJ282" t="e">
        <f>Europe!I938+"n/&gt;!02&amp;"</f>
        <v>#VALUE!</v>
      </c>
      <c r="EK282" t="e">
        <f>Europe!A939+"n/&gt;!02'"</f>
        <v>#VALUE!</v>
      </c>
      <c r="EL282" t="e">
        <f>Europe!B939+"n/&gt;!02("</f>
        <v>#VALUE!</v>
      </c>
      <c r="EM282" t="e">
        <f>Europe!C939+"n/&gt;!02)"</f>
        <v>#VALUE!</v>
      </c>
      <c r="EN282" t="e">
        <f>Europe!D939+"n/&gt;!02."</f>
        <v>#VALUE!</v>
      </c>
      <c r="EO282" t="e">
        <f>Europe!E939+"n/&gt;!02/"</f>
        <v>#VALUE!</v>
      </c>
      <c r="EP282" t="e">
        <f>Europe!F939+"n/&gt;!020"</f>
        <v>#VALUE!</v>
      </c>
      <c r="EQ282" t="e">
        <f>Europe!G939+"n/&gt;!021"</f>
        <v>#VALUE!</v>
      </c>
      <c r="ER282" t="e">
        <f>Europe!H939+"n/&gt;!022"</f>
        <v>#VALUE!</v>
      </c>
      <c r="ES282" t="e">
        <f>Europe!I939+"n/&gt;!023"</f>
        <v>#VALUE!</v>
      </c>
      <c r="ET282" t="e">
        <f>Europe!A940+"n/&gt;!024"</f>
        <v>#VALUE!</v>
      </c>
      <c r="EU282" t="e">
        <f>Europe!B940+"n/&gt;!025"</f>
        <v>#VALUE!</v>
      </c>
      <c r="EV282" t="e">
        <f>Europe!C940+"n/&gt;!026"</f>
        <v>#VALUE!</v>
      </c>
      <c r="EW282" t="e">
        <f>Europe!D940+"n/&gt;!027"</f>
        <v>#VALUE!</v>
      </c>
      <c r="EX282" t="e">
        <f>Europe!E940+"n/&gt;!028"</f>
        <v>#VALUE!</v>
      </c>
      <c r="EY282" t="e">
        <f>Europe!F940+"n/&gt;!029"</f>
        <v>#VALUE!</v>
      </c>
      <c r="EZ282" t="e">
        <f>Europe!G940+"n/&gt;!02:"</f>
        <v>#VALUE!</v>
      </c>
      <c r="FA282" t="e">
        <f>Europe!H940+"n/&gt;!02;"</f>
        <v>#VALUE!</v>
      </c>
      <c r="FB282" t="e">
        <f>Europe!I940+"n/&gt;!02&lt;"</f>
        <v>#VALUE!</v>
      </c>
      <c r="FC282" t="e">
        <f>Europe!A941+"n/&gt;!02="</f>
        <v>#VALUE!</v>
      </c>
      <c r="FD282" t="e">
        <f>Europe!B941+"n/&gt;!02&gt;"</f>
        <v>#VALUE!</v>
      </c>
      <c r="FE282" t="e">
        <f>Europe!C941+"n/&gt;!02?"</f>
        <v>#VALUE!</v>
      </c>
      <c r="FF282" t="e">
        <f>Europe!D941+"n/&gt;!02@"</f>
        <v>#VALUE!</v>
      </c>
      <c r="FG282" t="e">
        <f>Europe!E941+"n/&gt;!02A"</f>
        <v>#VALUE!</v>
      </c>
      <c r="FH282" t="e">
        <f>Europe!F941+"n/&gt;!02B"</f>
        <v>#VALUE!</v>
      </c>
      <c r="FI282" t="e">
        <f>Europe!G941+"n/&gt;!02C"</f>
        <v>#VALUE!</v>
      </c>
      <c r="FJ282" t="e">
        <f>Europe!H941+"n/&gt;!02D"</f>
        <v>#VALUE!</v>
      </c>
      <c r="FK282" t="e">
        <f>Europe!I941+"n/&gt;!02E"</f>
        <v>#VALUE!</v>
      </c>
      <c r="FL282" t="e">
        <f>Europe!A942+"n/&gt;!02F"</f>
        <v>#VALUE!</v>
      </c>
      <c r="FM282" t="e">
        <f>Europe!B942+"n/&gt;!02G"</f>
        <v>#VALUE!</v>
      </c>
      <c r="FN282" t="e">
        <f>Europe!C942+"n/&gt;!02H"</f>
        <v>#VALUE!</v>
      </c>
      <c r="FO282" t="e">
        <f>Europe!D942+"n/&gt;!02I"</f>
        <v>#VALUE!</v>
      </c>
      <c r="FP282" t="e">
        <f>Europe!E942+"n/&gt;!02J"</f>
        <v>#VALUE!</v>
      </c>
      <c r="FQ282" t="e">
        <f>Europe!F942+"n/&gt;!02K"</f>
        <v>#VALUE!</v>
      </c>
      <c r="FR282" t="e">
        <f>Europe!G942+"n/&gt;!02L"</f>
        <v>#VALUE!</v>
      </c>
      <c r="FS282" t="e">
        <f>Europe!H942+"n/&gt;!02M"</f>
        <v>#VALUE!</v>
      </c>
      <c r="FT282" t="e">
        <f>Europe!I942+"n/&gt;!02N"</f>
        <v>#VALUE!</v>
      </c>
      <c r="FU282" t="e">
        <f>Europe!A943+"n/&gt;!02O"</f>
        <v>#VALUE!</v>
      </c>
      <c r="FV282" t="e">
        <f>Europe!B943+"n/&gt;!02P"</f>
        <v>#VALUE!</v>
      </c>
      <c r="FW282" t="e">
        <f>Europe!C943+"n/&gt;!02Q"</f>
        <v>#VALUE!</v>
      </c>
      <c r="FX282" t="e">
        <f>Europe!D943+"n/&gt;!02R"</f>
        <v>#VALUE!</v>
      </c>
      <c r="FY282" t="e">
        <f>Europe!E943+"n/&gt;!02S"</f>
        <v>#VALUE!</v>
      </c>
      <c r="FZ282" t="e">
        <f>Europe!F943+"n/&gt;!02T"</f>
        <v>#VALUE!</v>
      </c>
      <c r="GA282" t="e">
        <f>Europe!G943+"n/&gt;!02U"</f>
        <v>#VALUE!</v>
      </c>
      <c r="GB282" t="e">
        <f>Europe!H943+"n/&gt;!02V"</f>
        <v>#VALUE!</v>
      </c>
      <c r="GC282" t="e">
        <f>Europe!I943+"n/&gt;!02W"</f>
        <v>#VALUE!</v>
      </c>
      <c r="GD282" t="e">
        <f>Europe!A944+"n/&gt;!02X"</f>
        <v>#VALUE!</v>
      </c>
      <c r="GE282" t="e">
        <f>Europe!B944+"n/&gt;!02Y"</f>
        <v>#VALUE!</v>
      </c>
      <c r="GF282" t="e">
        <f>Europe!C944+"n/&gt;!02Z"</f>
        <v>#VALUE!</v>
      </c>
      <c r="GG282" t="e">
        <f>Europe!D944+"n/&gt;!02["</f>
        <v>#VALUE!</v>
      </c>
      <c r="GH282" t="e">
        <f>Europe!E944+"n/&gt;!02\"</f>
        <v>#VALUE!</v>
      </c>
      <c r="GI282" t="e">
        <f>Europe!F944+"n/&gt;!02]"</f>
        <v>#VALUE!</v>
      </c>
      <c r="GJ282" t="e">
        <f>Europe!G944+"n/&gt;!02^"</f>
        <v>#VALUE!</v>
      </c>
      <c r="GK282" t="e">
        <f>Europe!H944+"n/&gt;!02_"</f>
        <v>#VALUE!</v>
      </c>
      <c r="GL282" t="e">
        <f>Europe!I944+"n/&gt;!02`"</f>
        <v>#VALUE!</v>
      </c>
      <c r="GM282" t="e">
        <f>Europe!A945+"n/&gt;!02a"</f>
        <v>#VALUE!</v>
      </c>
      <c r="GN282" t="e">
        <f>Europe!B945+"n/&gt;!02b"</f>
        <v>#VALUE!</v>
      </c>
      <c r="GO282" t="e">
        <f>Europe!C945+"n/&gt;!02c"</f>
        <v>#VALUE!</v>
      </c>
      <c r="GP282" t="e">
        <f>Europe!D945+"n/&gt;!02d"</f>
        <v>#VALUE!</v>
      </c>
      <c r="GQ282" t="e">
        <f>Europe!E945+"n/&gt;!02e"</f>
        <v>#VALUE!</v>
      </c>
      <c r="GR282" t="e">
        <f>Europe!F945+"n/&gt;!02f"</f>
        <v>#VALUE!</v>
      </c>
      <c r="GS282" t="e">
        <f>Europe!G945+"n/&gt;!02g"</f>
        <v>#VALUE!</v>
      </c>
      <c r="GT282" t="e">
        <f>Europe!H945+"n/&gt;!02h"</f>
        <v>#VALUE!</v>
      </c>
      <c r="GU282" t="e">
        <f>Europe!I945+"n/&gt;!02i"</f>
        <v>#VALUE!</v>
      </c>
      <c r="GV282" t="e">
        <f>Europe!A946+"n/&gt;!02j"</f>
        <v>#VALUE!</v>
      </c>
      <c r="GW282" t="e">
        <f>Europe!B946+"n/&gt;!02k"</f>
        <v>#VALUE!</v>
      </c>
      <c r="GX282" t="e">
        <f>Europe!C946+"n/&gt;!02l"</f>
        <v>#VALUE!</v>
      </c>
      <c r="GY282" t="e">
        <f>Europe!D946+"n/&gt;!02m"</f>
        <v>#VALUE!</v>
      </c>
      <c r="GZ282" t="e">
        <f>Europe!E946+"n/&gt;!02n"</f>
        <v>#VALUE!</v>
      </c>
      <c r="HA282" t="e">
        <f>Europe!F946+"n/&gt;!02o"</f>
        <v>#VALUE!</v>
      </c>
      <c r="HB282" t="e">
        <f>Europe!G946+"n/&gt;!02p"</f>
        <v>#VALUE!</v>
      </c>
      <c r="HC282" t="e">
        <f>Europe!H946+"n/&gt;!02q"</f>
        <v>#VALUE!</v>
      </c>
      <c r="HD282" t="e">
        <f>Europe!I946+"n/&gt;!02r"</f>
        <v>#VALUE!</v>
      </c>
      <c r="HE282" t="e">
        <f>Europe!A947+"n/&gt;!02s"</f>
        <v>#VALUE!</v>
      </c>
      <c r="HF282" t="e">
        <f>Europe!B947+"n/&gt;!02t"</f>
        <v>#VALUE!</v>
      </c>
      <c r="HG282" t="e">
        <f>Europe!C947+"n/&gt;!02u"</f>
        <v>#VALUE!</v>
      </c>
      <c r="HH282" t="e">
        <f>Europe!D947+"n/&gt;!02v"</f>
        <v>#VALUE!</v>
      </c>
      <c r="HI282" t="e">
        <f>Europe!E947+"n/&gt;!02w"</f>
        <v>#VALUE!</v>
      </c>
      <c r="HJ282" t="e">
        <f>Europe!F947+"n/&gt;!02x"</f>
        <v>#VALUE!</v>
      </c>
      <c r="HK282" t="e">
        <f>Europe!G947+"n/&gt;!02y"</f>
        <v>#VALUE!</v>
      </c>
      <c r="HL282" t="e">
        <f>Europe!H947+"n/&gt;!02z"</f>
        <v>#VALUE!</v>
      </c>
      <c r="HM282" t="e">
        <f>Europe!I947+"n/&gt;!02{"</f>
        <v>#VALUE!</v>
      </c>
      <c r="HN282" t="e">
        <f>Europe!A948+"n/&gt;!02|"</f>
        <v>#VALUE!</v>
      </c>
      <c r="HO282" t="e">
        <f>Europe!B948+"n/&gt;!02}"</f>
        <v>#VALUE!</v>
      </c>
      <c r="HP282" t="e">
        <f>Europe!C948+"n/&gt;!02~"</f>
        <v>#VALUE!</v>
      </c>
      <c r="HQ282" t="e">
        <f>Europe!D948+"n/&gt;!03#"</f>
        <v>#VALUE!</v>
      </c>
      <c r="HR282" t="e">
        <f>Europe!E948+"n/&gt;!03$"</f>
        <v>#VALUE!</v>
      </c>
      <c r="HS282" t="e">
        <f>Europe!F948+"n/&gt;!03%"</f>
        <v>#VALUE!</v>
      </c>
      <c r="HT282" t="e">
        <f>Europe!G948+"n/&gt;!03&amp;"</f>
        <v>#VALUE!</v>
      </c>
      <c r="HU282" t="e">
        <f>Europe!H948+"n/&gt;!03'"</f>
        <v>#VALUE!</v>
      </c>
      <c r="HV282" t="e">
        <f>Europe!I948+"n/&gt;!03("</f>
        <v>#VALUE!</v>
      </c>
      <c r="HW282" t="e">
        <f>Europe!A949+"n/&gt;!03)"</f>
        <v>#VALUE!</v>
      </c>
      <c r="HX282" t="e">
        <f>Europe!B949+"n/&gt;!03."</f>
        <v>#VALUE!</v>
      </c>
      <c r="HY282" t="e">
        <f>Europe!C949+"n/&gt;!03/"</f>
        <v>#VALUE!</v>
      </c>
      <c r="HZ282" t="e">
        <f>Europe!D949+"n/&gt;!030"</f>
        <v>#VALUE!</v>
      </c>
      <c r="IA282" t="e">
        <f>Europe!E949+"n/&gt;!031"</f>
        <v>#VALUE!</v>
      </c>
      <c r="IB282" t="e">
        <f>Europe!F949+"n/&gt;!032"</f>
        <v>#VALUE!</v>
      </c>
      <c r="IC282" t="e">
        <f>Europe!G949+"n/&gt;!033"</f>
        <v>#VALUE!</v>
      </c>
      <c r="ID282" t="e">
        <f>Europe!H949+"n/&gt;!034"</f>
        <v>#VALUE!</v>
      </c>
      <c r="IE282" t="e">
        <f>Europe!I949+"n/&gt;!035"</f>
        <v>#VALUE!</v>
      </c>
      <c r="IF282" t="e">
        <f>Europe!A950+"n/&gt;!036"</f>
        <v>#VALUE!</v>
      </c>
      <c r="IG282" t="e">
        <f>Europe!B950+"n/&gt;!037"</f>
        <v>#VALUE!</v>
      </c>
      <c r="IH282" t="e">
        <f>Europe!C950+"n/&gt;!038"</f>
        <v>#VALUE!</v>
      </c>
      <c r="II282" t="e">
        <f>Europe!D950+"n/&gt;!039"</f>
        <v>#VALUE!</v>
      </c>
      <c r="IJ282" t="e">
        <f>Europe!E950+"n/&gt;!03:"</f>
        <v>#VALUE!</v>
      </c>
      <c r="IK282" t="e">
        <f>Europe!F950+"n/&gt;!03;"</f>
        <v>#VALUE!</v>
      </c>
      <c r="IL282" t="e">
        <f>Europe!G950+"n/&gt;!03&lt;"</f>
        <v>#VALUE!</v>
      </c>
      <c r="IM282" t="e">
        <f>Europe!H950+"n/&gt;!03="</f>
        <v>#VALUE!</v>
      </c>
      <c r="IN282" t="e">
        <f>Europe!I950+"n/&gt;!03&gt;"</f>
        <v>#VALUE!</v>
      </c>
      <c r="IO282" t="e">
        <f>Europe!A951+"n/&gt;!03?"</f>
        <v>#VALUE!</v>
      </c>
      <c r="IP282" t="e">
        <f>Europe!B951+"n/&gt;!03@"</f>
        <v>#VALUE!</v>
      </c>
      <c r="IQ282" t="e">
        <f>Europe!C951+"n/&gt;!03A"</f>
        <v>#VALUE!</v>
      </c>
      <c r="IR282" t="e">
        <f>Europe!D951+"n/&gt;!03B"</f>
        <v>#VALUE!</v>
      </c>
      <c r="IS282" t="e">
        <f>Europe!E951+"n/&gt;!03C"</f>
        <v>#VALUE!</v>
      </c>
      <c r="IT282" t="e">
        <f>Europe!F951+"n/&gt;!03D"</f>
        <v>#VALUE!</v>
      </c>
      <c r="IU282" t="e">
        <f>Europe!G951+"n/&gt;!03E"</f>
        <v>#VALUE!</v>
      </c>
      <c r="IV282" t="e">
        <f>Europe!H951+"n/&gt;!03F"</f>
        <v>#VALUE!</v>
      </c>
    </row>
    <row r="283" spans="6:256" x14ac:dyDescent="0.35">
      <c r="F283" t="e">
        <f>Europe!I951+"n/&gt;!03G"</f>
        <v>#VALUE!</v>
      </c>
      <c r="G283" t="e">
        <f>Europe!A952+"n/&gt;!03H"</f>
        <v>#VALUE!</v>
      </c>
      <c r="H283" t="e">
        <f>Europe!B952+"n/&gt;!03I"</f>
        <v>#VALUE!</v>
      </c>
      <c r="I283" t="e">
        <f>Europe!C952+"n/&gt;!03J"</f>
        <v>#VALUE!</v>
      </c>
      <c r="J283" t="e">
        <f>Europe!D952+"n/&gt;!03K"</f>
        <v>#VALUE!</v>
      </c>
      <c r="K283" t="e">
        <f>Europe!E952+"n/&gt;!03L"</f>
        <v>#VALUE!</v>
      </c>
      <c r="L283" t="e">
        <f>Europe!F952+"n/&gt;!03M"</f>
        <v>#VALUE!</v>
      </c>
      <c r="M283" t="e">
        <f>Europe!G952+"n/&gt;!03N"</f>
        <v>#VALUE!</v>
      </c>
      <c r="N283" t="e">
        <f>Europe!H952+"n/&gt;!03O"</f>
        <v>#VALUE!</v>
      </c>
      <c r="O283" t="e">
        <f>Europe!I952+"n/&gt;!03P"</f>
        <v>#VALUE!</v>
      </c>
      <c r="P283" t="e">
        <f>Europe!A953+"n/&gt;!03Q"</f>
        <v>#VALUE!</v>
      </c>
      <c r="Q283" t="e">
        <f>Europe!B953+"n/&gt;!03R"</f>
        <v>#VALUE!</v>
      </c>
      <c r="R283" t="e">
        <f>Europe!C953+"n/&gt;!03S"</f>
        <v>#VALUE!</v>
      </c>
      <c r="S283" t="e">
        <f>Europe!D953+"n/&gt;!03T"</f>
        <v>#VALUE!</v>
      </c>
      <c r="T283" t="e">
        <f>Europe!E953+"n/&gt;!03U"</f>
        <v>#VALUE!</v>
      </c>
      <c r="U283" t="e">
        <f>Europe!F953+"n/&gt;!03V"</f>
        <v>#VALUE!</v>
      </c>
      <c r="V283" t="e">
        <f>Europe!G953+"n/&gt;!03W"</f>
        <v>#VALUE!</v>
      </c>
      <c r="W283" t="e">
        <f>Europe!H953+"n/&gt;!03X"</f>
        <v>#VALUE!</v>
      </c>
      <c r="X283" t="e">
        <f>Europe!I953+"n/&gt;!03Y"</f>
        <v>#VALUE!</v>
      </c>
      <c r="Y283" t="e">
        <f>Europe!A954+"n/&gt;!03Z"</f>
        <v>#VALUE!</v>
      </c>
      <c r="Z283" t="e">
        <f>Europe!B954+"n/&gt;!03["</f>
        <v>#VALUE!</v>
      </c>
      <c r="AA283" t="e">
        <f>Europe!C954+"n/&gt;!03\"</f>
        <v>#VALUE!</v>
      </c>
      <c r="AB283" t="e">
        <f>Europe!D954+"n/&gt;!03]"</f>
        <v>#VALUE!</v>
      </c>
      <c r="AC283" t="e">
        <f>Europe!E954+"n/&gt;!03^"</f>
        <v>#VALUE!</v>
      </c>
      <c r="AD283" t="e">
        <f>Europe!F954+"n/&gt;!03_"</f>
        <v>#VALUE!</v>
      </c>
      <c r="AE283" t="e">
        <f>Europe!G954+"n/&gt;!03`"</f>
        <v>#VALUE!</v>
      </c>
      <c r="AF283" t="e">
        <f>Europe!H954+"n/&gt;!03a"</f>
        <v>#VALUE!</v>
      </c>
      <c r="AG283" t="e">
        <f>Europe!I954+"n/&gt;!03b"</f>
        <v>#VALUE!</v>
      </c>
      <c r="AH283" t="e">
        <f>Europe!A955+"n/&gt;!03c"</f>
        <v>#VALUE!</v>
      </c>
      <c r="AI283" t="e">
        <f>Europe!B955+"n/&gt;!03d"</f>
        <v>#VALUE!</v>
      </c>
      <c r="AJ283" t="e">
        <f>Europe!C955+"n/&gt;!03e"</f>
        <v>#VALUE!</v>
      </c>
      <c r="AK283" t="e">
        <f>Europe!D955+"n/&gt;!03f"</f>
        <v>#VALUE!</v>
      </c>
      <c r="AL283" t="e">
        <f>Europe!E955+"n/&gt;!03g"</f>
        <v>#VALUE!</v>
      </c>
      <c r="AM283" t="e">
        <f>Europe!F955+"n/&gt;!03h"</f>
        <v>#VALUE!</v>
      </c>
      <c r="AN283" t="e">
        <f>Europe!G955+"n/&gt;!03i"</f>
        <v>#VALUE!</v>
      </c>
      <c r="AO283" t="e">
        <f>Europe!H955+"n/&gt;!03j"</f>
        <v>#VALUE!</v>
      </c>
      <c r="AP283" t="e">
        <f>Europe!I955+"n/&gt;!03k"</f>
        <v>#VALUE!</v>
      </c>
      <c r="AQ283" t="e">
        <f>Europe!A956+"n/&gt;!03l"</f>
        <v>#VALUE!</v>
      </c>
      <c r="AR283" t="e">
        <f>Europe!B956+"n/&gt;!03m"</f>
        <v>#VALUE!</v>
      </c>
      <c r="AS283" t="e">
        <f>Europe!C956+"n/&gt;!03n"</f>
        <v>#VALUE!</v>
      </c>
      <c r="AT283" t="e">
        <f>Europe!D956+"n/&gt;!03o"</f>
        <v>#VALUE!</v>
      </c>
      <c r="AU283" t="e">
        <f>Europe!E956+"n/&gt;!03p"</f>
        <v>#VALUE!</v>
      </c>
      <c r="AV283" t="e">
        <f>Europe!F956+"n/&gt;!03q"</f>
        <v>#VALUE!</v>
      </c>
      <c r="AW283" t="e">
        <f>Europe!G956+"n/&gt;!03r"</f>
        <v>#VALUE!</v>
      </c>
      <c r="AX283" t="e">
        <f>Europe!H956+"n/&gt;!03s"</f>
        <v>#VALUE!</v>
      </c>
      <c r="AY283" t="e">
        <f>Europe!I956+"n/&gt;!03t"</f>
        <v>#VALUE!</v>
      </c>
      <c r="AZ283" t="e">
        <f>Europe!A957+"n/&gt;!03u"</f>
        <v>#VALUE!</v>
      </c>
      <c r="BA283" t="e">
        <f>Europe!B957+"n/&gt;!03v"</f>
        <v>#VALUE!</v>
      </c>
      <c r="BB283" t="e">
        <f>Europe!C957+"n/&gt;!03w"</f>
        <v>#VALUE!</v>
      </c>
      <c r="BC283" t="e">
        <f>Europe!D957+"n/&gt;!03x"</f>
        <v>#VALUE!</v>
      </c>
      <c r="BD283" t="e">
        <f>Europe!E957+"n/&gt;!03y"</f>
        <v>#VALUE!</v>
      </c>
      <c r="BE283" t="e">
        <f>Europe!F957+"n/&gt;!03z"</f>
        <v>#VALUE!</v>
      </c>
      <c r="BF283" t="e">
        <f>Europe!G957+"n/&gt;!03{"</f>
        <v>#VALUE!</v>
      </c>
      <c r="BG283" t="e">
        <f>Europe!H957+"n/&gt;!03|"</f>
        <v>#VALUE!</v>
      </c>
      <c r="BH283" t="e">
        <f>Europe!I957+"n/&gt;!03}"</f>
        <v>#VALUE!</v>
      </c>
      <c r="BI283" t="e">
        <f>Europe!A958+"n/&gt;!03~"</f>
        <v>#VALUE!</v>
      </c>
      <c r="BJ283" t="e">
        <f>Europe!B958+"n/&gt;!04#"</f>
        <v>#VALUE!</v>
      </c>
      <c r="BK283" t="e">
        <f>Europe!C958+"n/&gt;!04$"</f>
        <v>#VALUE!</v>
      </c>
      <c r="BL283" t="e">
        <f>Europe!D958+"n/&gt;!04%"</f>
        <v>#VALUE!</v>
      </c>
      <c r="BM283" t="e">
        <f>Europe!E958+"n/&gt;!04&amp;"</f>
        <v>#VALUE!</v>
      </c>
      <c r="BN283" t="e">
        <f>Europe!F958+"n/&gt;!04'"</f>
        <v>#VALUE!</v>
      </c>
      <c r="BO283" t="e">
        <f>Europe!G958+"n/&gt;!04("</f>
        <v>#VALUE!</v>
      </c>
      <c r="BP283" t="e">
        <f>Europe!H958+"n/&gt;!04)"</f>
        <v>#VALUE!</v>
      </c>
      <c r="BQ283" t="e">
        <f>Europe!I958+"n/&gt;!04."</f>
        <v>#VALUE!</v>
      </c>
      <c r="BR283" t="e">
        <f>Europe!A959+"n/&gt;!04/"</f>
        <v>#VALUE!</v>
      </c>
      <c r="BS283" t="e">
        <f>Europe!B959+"n/&gt;!040"</f>
        <v>#VALUE!</v>
      </c>
      <c r="BT283" t="e">
        <f>Europe!C959+"n/&gt;!041"</f>
        <v>#VALUE!</v>
      </c>
      <c r="BU283" t="e">
        <f>Europe!D959+"n/&gt;!042"</f>
        <v>#VALUE!</v>
      </c>
      <c r="BV283" t="e">
        <f>Europe!E959+"n/&gt;!043"</f>
        <v>#VALUE!</v>
      </c>
      <c r="BW283" t="e">
        <f>Europe!F959+"n/&gt;!044"</f>
        <v>#VALUE!</v>
      </c>
      <c r="BX283" t="e">
        <f>Europe!G959+"n/&gt;!045"</f>
        <v>#VALUE!</v>
      </c>
      <c r="BY283" t="e">
        <f>Europe!H959+"n/&gt;!046"</f>
        <v>#VALUE!</v>
      </c>
      <c r="BZ283" t="e">
        <f>Europe!I959+"n/&gt;!047"</f>
        <v>#VALUE!</v>
      </c>
      <c r="CA283" t="e">
        <f>Europe!A960+"n/&gt;!048"</f>
        <v>#VALUE!</v>
      </c>
      <c r="CB283" t="e">
        <f>Europe!B960+"n/&gt;!049"</f>
        <v>#VALUE!</v>
      </c>
      <c r="CC283" t="e">
        <f>Europe!C960+"n/&gt;!04:"</f>
        <v>#VALUE!</v>
      </c>
      <c r="CD283" t="e">
        <f>Europe!D960+"n/&gt;!04;"</f>
        <v>#VALUE!</v>
      </c>
      <c r="CE283" t="e">
        <f>Europe!E960+"n/&gt;!04&lt;"</f>
        <v>#VALUE!</v>
      </c>
      <c r="CF283" t="e">
        <f>Europe!F960+"n/&gt;!04="</f>
        <v>#VALUE!</v>
      </c>
      <c r="CG283" t="e">
        <f>Europe!G960+"n/&gt;!04&gt;"</f>
        <v>#VALUE!</v>
      </c>
      <c r="CH283" t="e">
        <f>Europe!H960+"n/&gt;!04?"</f>
        <v>#VALUE!</v>
      </c>
      <c r="CI283" t="e">
        <f>Europe!I960+"n/&gt;!04@"</f>
        <v>#VALUE!</v>
      </c>
      <c r="CJ283" t="e">
        <f>Europe!A961+"n/&gt;!04A"</f>
        <v>#VALUE!</v>
      </c>
      <c r="CK283" t="e">
        <f>Europe!B961+"n/&gt;!04B"</f>
        <v>#VALUE!</v>
      </c>
      <c r="CL283" t="e">
        <f>Europe!C961+"n/&gt;!04C"</f>
        <v>#VALUE!</v>
      </c>
      <c r="CM283" t="e">
        <f>Europe!D961+"n/&gt;!04D"</f>
        <v>#VALUE!</v>
      </c>
      <c r="CN283" t="e">
        <f>Europe!E961+"n/&gt;!04E"</f>
        <v>#VALUE!</v>
      </c>
      <c r="CO283" t="e">
        <f>Europe!F961+"n/&gt;!04F"</f>
        <v>#VALUE!</v>
      </c>
      <c r="CP283" t="e">
        <f>Europe!G961+"n/&gt;!04G"</f>
        <v>#VALUE!</v>
      </c>
      <c r="CQ283" t="e">
        <f>Europe!H961+"n/&gt;!04H"</f>
        <v>#VALUE!</v>
      </c>
      <c r="CR283" t="e">
        <f>Europe!I961+"n/&gt;!04I"</f>
        <v>#VALUE!</v>
      </c>
      <c r="CS283" t="e">
        <f>Europe!A962+"n/&gt;!04J"</f>
        <v>#VALUE!</v>
      </c>
      <c r="CT283" t="e">
        <f>Europe!B962+"n/&gt;!04K"</f>
        <v>#VALUE!</v>
      </c>
      <c r="CU283" t="e">
        <f>Europe!C962+"n/&gt;!04L"</f>
        <v>#VALUE!</v>
      </c>
      <c r="CV283" t="e">
        <f>Europe!D962+"n/&gt;!04M"</f>
        <v>#VALUE!</v>
      </c>
      <c r="CW283" t="e">
        <f>Europe!E962+"n/&gt;!04N"</f>
        <v>#VALUE!</v>
      </c>
      <c r="CX283" t="e">
        <f>Europe!F962+"n/&gt;!04O"</f>
        <v>#VALUE!</v>
      </c>
      <c r="CY283" t="e">
        <f>Europe!G962+"n/&gt;!04P"</f>
        <v>#VALUE!</v>
      </c>
      <c r="CZ283" t="e">
        <f>Europe!H962+"n/&gt;!04Q"</f>
        <v>#VALUE!</v>
      </c>
      <c r="DA283" t="e">
        <f>Europe!I962+"n/&gt;!04R"</f>
        <v>#VALUE!</v>
      </c>
      <c r="DB283" t="e">
        <f>Europe!A963+"n/&gt;!04S"</f>
        <v>#VALUE!</v>
      </c>
      <c r="DC283" t="e">
        <f>Europe!B963+"n/&gt;!04T"</f>
        <v>#VALUE!</v>
      </c>
      <c r="DD283" t="e">
        <f>Europe!C963+"n/&gt;!04U"</f>
        <v>#VALUE!</v>
      </c>
      <c r="DE283" t="e">
        <f>Europe!D963+"n/&gt;!04V"</f>
        <v>#VALUE!</v>
      </c>
      <c r="DF283" t="e">
        <f>Europe!E963+"n/&gt;!04W"</f>
        <v>#VALUE!</v>
      </c>
      <c r="DG283" t="e">
        <f>Europe!F963+"n/&gt;!04X"</f>
        <v>#VALUE!</v>
      </c>
      <c r="DH283" t="e">
        <f>Europe!G963+"n/&gt;!04Y"</f>
        <v>#VALUE!</v>
      </c>
      <c r="DI283" t="e">
        <f>Europe!H963+"n/&gt;!04Z"</f>
        <v>#VALUE!</v>
      </c>
      <c r="DJ283" t="e">
        <f>Europe!I963+"n/&gt;!04["</f>
        <v>#VALUE!</v>
      </c>
      <c r="DK283" t="e">
        <f>Europe!A964+"n/&gt;!04\"</f>
        <v>#VALUE!</v>
      </c>
      <c r="DL283" t="e">
        <f>Europe!B964+"n/&gt;!04]"</f>
        <v>#VALUE!</v>
      </c>
      <c r="DM283" t="e">
        <f>Europe!C964+"n/&gt;!04^"</f>
        <v>#VALUE!</v>
      </c>
      <c r="DN283" t="e">
        <f>Europe!D964+"n/&gt;!04_"</f>
        <v>#VALUE!</v>
      </c>
      <c r="DO283" t="e">
        <f>Europe!E964+"n/&gt;!04`"</f>
        <v>#VALUE!</v>
      </c>
      <c r="DP283" t="e">
        <f>Europe!F964+"n/&gt;!04a"</f>
        <v>#VALUE!</v>
      </c>
      <c r="DQ283" t="e">
        <f>Europe!G964+"n/&gt;!04b"</f>
        <v>#VALUE!</v>
      </c>
      <c r="DR283" t="e">
        <f>Europe!H964+"n/&gt;!04c"</f>
        <v>#VALUE!</v>
      </c>
      <c r="DS283" t="e">
        <f>Europe!I964+"n/&gt;!04d"</f>
        <v>#VALUE!</v>
      </c>
      <c r="DT283" t="e">
        <f>Europe!A965+"n/&gt;!04e"</f>
        <v>#VALUE!</v>
      </c>
      <c r="DU283" t="e">
        <f>Europe!B965+"n/&gt;!04f"</f>
        <v>#VALUE!</v>
      </c>
      <c r="DV283" t="e">
        <f>Europe!C965+"n/&gt;!04g"</f>
        <v>#VALUE!</v>
      </c>
      <c r="DW283" t="e">
        <f>Europe!D965+"n/&gt;!04h"</f>
        <v>#VALUE!</v>
      </c>
      <c r="DX283" t="e">
        <f>Europe!E965+"n/&gt;!04i"</f>
        <v>#VALUE!</v>
      </c>
      <c r="DY283" t="e">
        <f>Europe!F965+"n/&gt;!04j"</f>
        <v>#VALUE!</v>
      </c>
      <c r="DZ283" t="e">
        <f>Europe!G965+"n/&gt;!04k"</f>
        <v>#VALUE!</v>
      </c>
      <c r="EA283" t="e">
        <f>Europe!H965+"n/&gt;!04l"</f>
        <v>#VALUE!</v>
      </c>
      <c r="EB283" t="e">
        <f>Europe!I965+"n/&gt;!04m"</f>
        <v>#VALUE!</v>
      </c>
      <c r="EC283" t="e">
        <f>Europe!A966+"n/&gt;!04n"</f>
        <v>#VALUE!</v>
      </c>
      <c r="ED283" t="e">
        <f>Europe!B966+"n/&gt;!04o"</f>
        <v>#VALUE!</v>
      </c>
      <c r="EE283" t="e">
        <f>Europe!C966+"n/&gt;!04p"</f>
        <v>#VALUE!</v>
      </c>
      <c r="EF283" t="e">
        <f>Europe!D966+"n/&gt;!04q"</f>
        <v>#VALUE!</v>
      </c>
      <c r="EG283" t="e">
        <f>Europe!E966+"n/&gt;!04r"</f>
        <v>#VALUE!</v>
      </c>
      <c r="EH283" t="e">
        <f>Europe!F966+"n/&gt;!04s"</f>
        <v>#VALUE!</v>
      </c>
      <c r="EI283" t="e">
        <f>Europe!G966+"n/&gt;!04t"</f>
        <v>#VALUE!</v>
      </c>
      <c r="EJ283" t="e">
        <f>Europe!H966+"n/&gt;!04u"</f>
        <v>#VALUE!</v>
      </c>
      <c r="EK283" t="e">
        <f>Europe!I966+"n/&gt;!04v"</f>
        <v>#VALUE!</v>
      </c>
      <c r="EL283" t="e">
        <f>Europe!A967+"n/&gt;!04w"</f>
        <v>#VALUE!</v>
      </c>
      <c r="EM283" t="e">
        <f>Europe!B967+"n/&gt;!04x"</f>
        <v>#VALUE!</v>
      </c>
      <c r="EN283" t="e">
        <f>Europe!C967+"n/&gt;!04y"</f>
        <v>#VALUE!</v>
      </c>
      <c r="EO283" t="e">
        <f>Europe!D967+"n/&gt;!04z"</f>
        <v>#VALUE!</v>
      </c>
      <c r="EP283" t="e">
        <f>Europe!E967+"n/&gt;!04{"</f>
        <v>#VALUE!</v>
      </c>
      <c r="EQ283" t="e">
        <f>Europe!F967+"n/&gt;!04|"</f>
        <v>#VALUE!</v>
      </c>
      <c r="ER283" t="e">
        <f>Europe!G967+"n/&gt;!04}"</f>
        <v>#VALUE!</v>
      </c>
      <c r="ES283" t="e">
        <f>Europe!H967+"n/&gt;!04~"</f>
        <v>#VALUE!</v>
      </c>
      <c r="ET283" t="e">
        <f>Europe!I967+"n/&gt;!05#"</f>
        <v>#VALUE!</v>
      </c>
      <c r="EU283" t="e">
        <f>Europe!A968+"n/&gt;!05$"</f>
        <v>#VALUE!</v>
      </c>
      <c r="EV283" t="e">
        <f>Europe!B968+"n/&gt;!05%"</f>
        <v>#VALUE!</v>
      </c>
      <c r="EW283" t="e">
        <f>Europe!C968+"n/&gt;!05&amp;"</f>
        <v>#VALUE!</v>
      </c>
      <c r="EX283" t="e">
        <f>Europe!D968+"n/&gt;!05'"</f>
        <v>#VALUE!</v>
      </c>
      <c r="EY283" t="e">
        <f>Europe!E968+"n/&gt;!05("</f>
        <v>#VALUE!</v>
      </c>
      <c r="EZ283" t="e">
        <f>Europe!F968+"n/&gt;!05)"</f>
        <v>#VALUE!</v>
      </c>
      <c r="FA283" t="e">
        <f>Europe!G968+"n/&gt;!05."</f>
        <v>#VALUE!</v>
      </c>
      <c r="FB283" t="e">
        <f>Europe!H968+"n/&gt;!05/"</f>
        <v>#VALUE!</v>
      </c>
      <c r="FC283" t="e">
        <f>Europe!I968+"n/&gt;!050"</f>
        <v>#VALUE!</v>
      </c>
      <c r="FD283" t="e">
        <f>Europe!A969+"n/&gt;!051"</f>
        <v>#VALUE!</v>
      </c>
      <c r="FE283" t="e">
        <f>Europe!B969+"n/&gt;!052"</f>
        <v>#VALUE!</v>
      </c>
      <c r="FF283" t="e">
        <f>Europe!C969+"n/&gt;!053"</f>
        <v>#VALUE!</v>
      </c>
      <c r="FG283" t="e">
        <f>Europe!D969+"n/&gt;!054"</f>
        <v>#VALUE!</v>
      </c>
      <c r="FH283" t="e">
        <f>Europe!E969+"n/&gt;!055"</f>
        <v>#VALUE!</v>
      </c>
      <c r="FI283" t="e">
        <f>Europe!F969+"n/&gt;!056"</f>
        <v>#VALUE!</v>
      </c>
      <c r="FJ283" t="e">
        <f>Europe!G969+"n/&gt;!057"</f>
        <v>#VALUE!</v>
      </c>
      <c r="FK283" t="e">
        <f>Europe!H969+"n/&gt;!058"</f>
        <v>#VALUE!</v>
      </c>
      <c r="FL283" t="e">
        <f>Europe!I969+"n/&gt;!059"</f>
        <v>#VALUE!</v>
      </c>
      <c r="FM283" t="e">
        <f>Europe!A970+"n/&gt;!05:"</f>
        <v>#VALUE!</v>
      </c>
      <c r="FN283" t="e">
        <f>Europe!B970+"n/&gt;!05;"</f>
        <v>#VALUE!</v>
      </c>
      <c r="FO283" t="e">
        <f>Europe!C970+"n/&gt;!05&lt;"</f>
        <v>#VALUE!</v>
      </c>
      <c r="FP283" t="e">
        <f>Europe!D970+"n/&gt;!05="</f>
        <v>#VALUE!</v>
      </c>
      <c r="FQ283" t="e">
        <f>Europe!E970+"n/&gt;!05&gt;"</f>
        <v>#VALUE!</v>
      </c>
      <c r="FR283" t="e">
        <f>Europe!F970+"n/&gt;!05?"</f>
        <v>#VALUE!</v>
      </c>
      <c r="FS283" t="e">
        <f>Europe!G970+"n/&gt;!05@"</f>
        <v>#VALUE!</v>
      </c>
      <c r="FT283" t="e">
        <f>Europe!H970+"n/&gt;!05A"</f>
        <v>#VALUE!</v>
      </c>
      <c r="FU283" t="e">
        <f>Europe!I970+"n/&gt;!05B"</f>
        <v>#VALUE!</v>
      </c>
      <c r="FV283" t="e">
        <f>Europe!A971+"n/&gt;!05C"</f>
        <v>#VALUE!</v>
      </c>
      <c r="FW283" t="e">
        <f>Europe!B971+"n/&gt;!05D"</f>
        <v>#VALUE!</v>
      </c>
      <c r="FX283" t="e">
        <f>Europe!C971+"n/&gt;!05E"</f>
        <v>#VALUE!</v>
      </c>
      <c r="FY283" t="e">
        <f>Europe!D971+"n/&gt;!05F"</f>
        <v>#VALUE!</v>
      </c>
      <c r="FZ283" t="e">
        <f>Europe!E971+"n/&gt;!05G"</f>
        <v>#VALUE!</v>
      </c>
      <c r="GA283" t="e">
        <f>Europe!F971+"n/&gt;!05H"</f>
        <v>#VALUE!</v>
      </c>
      <c r="GB283" t="e">
        <f>Europe!G971+"n/&gt;!05I"</f>
        <v>#VALUE!</v>
      </c>
      <c r="GC283" t="e">
        <f>Europe!H971+"n/&gt;!05J"</f>
        <v>#VALUE!</v>
      </c>
      <c r="GD283" t="e">
        <f>Europe!I971+"n/&gt;!05K"</f>
        <v>#VALUE!</v>
      </c>
      <c r="GE283" t="e">
        <f>Europe!A972+"n/&gt;!05L"</f>
        <v>#VALUE!</v>
      </c>
      <c r="GF283" t="e">
        <f>Europe!B972+"n/&gt;!05M"</f>
        <v>#VALUE!</v>
      </c>
      <c r="GG283" t="e">
        <f>Europe!C972+"n/&gt;!05N"</f>
        <v>#VALUE!</v>
      </c>
      <c r="GH283" t="e">
        <f>Europe!D972+"n/&gt;!05O"</f>
        <v>#VALUE!</v>
      </c>
      <c r="GI283" t="e">
        <f>Europe!E972+"n/&gt;!05P"</f>
        <v>#VALUE!</v>
      </c>
      <c r="GJ283" t="e">
        <f>Europe!F972+"n/&gt;!05Q"</f>
        <v>#VALUE!</v>
      </c>
      <c r="GK283" t="e">
        <f>Europe!G972+"n/&gt;!05R"</f>
        <v>#VALUE!</v>
      </c>
      <c r="GL283" t="e">
        <f>Europe!H972+"n/&gt;!05S"</f>
        <v>#VALUE!</v>
      </c>
      <c r="GM283" t="e">
        <f>Europe!I972+"n/&gt;!05T"</f>
        <v>#VALUE!</v>
      </c>
      <c r="GN283" t="e">
        <f>Europe!A973+"n/&gt;!05U"</f>
        <v>#VALUE!</v>
      </c>
      <c r="GO283" t="e">
        <f>Europe!B973+"n/&gt;!05V"</f>
        <v>#VALUE!</v>
      </c>
      <c r="GP283" t="e">
        <f>Europe!C973+"n/&gt;!05W"</f>
        <v>#VALUE!</v>
      </c>
      <c r="GQ283" t="e">
        <f>Europe!D973+"n/&gt;!05X"</f>
        <v>#VALUE!</v>
      </c>
      <c r="GR283" t="e">
        <f>Europe!E973+"n/&gt;!05Y"</f>
        <v>#VALUE!</v>
      </c>
      <c r="GS283" t="e">
        <f>Europe!F973+"n/&gt;!05Z"</f>
        <v>#VALUE!</v>
      </c>
      <c r="GT283" t="e">
        <f>Europe!G973+"n/&gt;!05["</f>
        <v>#VALUE!</v>
      </c>
      <c r="GU283" t="e">
        <f>Europe!H973+"n/&gt;!05\"</f>
        <v>#VALUE!</v>
      </c>
      <c r="GV283" t="e">
        <f>Europe!I973+"n/&gt;!05]"</f>
        <v>#VALUE!</v>
      </c>
      <c r="GW283" t="e">
        <f>Europe!A974+"n/&gt;!05^"</f>
        <v>#VALUE!</v>
      </c>
      <c r="GX283" t="e">
        <f>Europe!B974+"n/&gt;!05_"</f>
        <v>#VALUE!</v>
      </c>
      <c r="GY283" t="e">
        <f>Europe!C974+"n/&gt;!05`"</f>
        <v>#VALUE!</v>
      </c>
      <c r="GZ283" t="e">
        <f>Europe!D974+"n/&gt;!05a"</f>
        <v>#VALUE!</v>
      </c>
      <c r="HA283" t="e">
        <f>Europe!E974+"n/&gt;!05b"</f>
        <v>#VALUE!</v>
      </c>
      <c r="HB283" t="e">
        <f>Europe!F974+"n/&gt;!05c"</f>
        <v>#VALUE!</v>
      </c>
      <c r="HC283" t="e">
        <f>Europe!G974+"n/&gt;!05d"</f>
        <v>#VALUE!</v>
      </c>
      <c r="HD283" t="e">
        <f>Europe!H974+"n/&gt;!05e"</f>
        <v>#VALUE!</v>
      </c>
      <c r="HE283" t="e">
        <f>Europe!I974+"n/&gt;!05f"</f>
        <v>#VALUE!</v>
      </c>
      <c r="HF283" t="e">
        <f>Europe!A975+"n/&gt;!05g"</f>
        <v>#VALUE!</v>
      </c>
      <c r="HG283" t="e">
        <f>Europe!B975+"n/&gt;!05h"</f>
        <v>#VALUE!</v>
      </c>
      <c r="HH283" t="e">
        <f>Europe!C975+"n/&gt;!05i"</f>
        <v>#VALUE!</v>
      </c>
      <c r="HI283" t="e">
        <f>Europe!D975+"n/&gt;!05j"</f>
        <v>#VALUE!</v>
      </c>
      <c r="HJ283" t="e">
        <f>Europe!E975+"n/&gt;!05k"</f>
        <v>#VALUE!</v>
      </c>
      <c r="HK283" t="e">
        <f>Europe!F975+"n/&gt;!05l"</f>
        <v>#VALUE!</v>
      </c>
      <c r="HL283" t="e">
        <f>Europe!G975+"n/&gt;!05m"</f>
        <v>#VALUE!</v>
      </c>
      <c r="HM283" t="e">
        <f>Europe!H975+"n/&gt;!05n"</f>
        <v>#VALUE!</v>
      </c>
      <c r="HN283" t="e">
        <f>Europe!I975+"n/&gt;!05o"</f>
        <v>#VALUE!</v>
      </c>
      <c r="HO283" t="e">
        <f>Europe!A976+"n/&gt;!05p"</f>
        <v>#VALUE!</v>
      </c>
      <c r="HP283" t="e">
        <f>Europe!B976+"n/&gt;!05q"</f>
        <v>#VALUE!</v>
      </c>
      <c r="HQ283" t="e">
        <f>Europe!C976+"n/&gt;!05r"</f>
        <v>#VALUE!</v>
      </c>
      <c r="HR283" t="e">
        <f>Europe!D976+"n/&gt;!05s"</f>
        <v>#VALUE!</v>
      </c>
      <c r="HS283" t="e">
        <f>Europe!E976+"n/&gt;!05t"</f>
        <v>#VALUE!</v>
      </c>
      <c r="HT283" t="e">
        <f>Europe!F976+"n/&gt;!05u"</f>
        <v>#VALUE!</v>
      </c>
      <c r="HU283" t="e">
        <f>Europe!G976+"n/&gt;!05v"</f>
        <v>#VALUE!</v>
      </c>
      <c r="HV283" t="e">
        <f>Europe!H976+"n/&gt;!05w"</f>
        <v>#VALUE!</v>
      </c>
      <c r="HW283" t="e">
        <f>Europe!I976+"n/&gt;!05x"</f>
        <v>#VALUE!</v>
      </c>
      <c r="HX283" t="e">
        <f>Europe!A977+"n/&gt;!05y"</f>
        <v>#VALUE!</v>
      </c>
      <c r="HY283" t="e">
        <f>Europe!B977+"n/&gt;!05z"</f>
        <v>#VALUE!</v>
      </c>
      <c r="HZ283" t="e">
        <f>Europe!C977+"n/&gt;!05{"</f>
        <v>#VALUE!</v>
      </c>
      <c r="IA283" t="e">
        <f>Europe!D977+"n/&gt;!05|"</f>
        <v>#VALUE!</v>
      </c>
      <c r="IB283" t="e">
        <f>Europe!E977+"n/&gt;!05}"</f>
        <v>#VALUE!</v>
      </c>
      <c r="IC283" t="e">
        <f>Europe!F977+"n/&gt;!05~"</f>
        <v>#VALUE!</v>
      </c>
      <c r="ID283" t="e">
        <f>Europe!G977+"n/&gt;!06#"</f>
        <v>#VALUE!</v>
      </c>
      <c r="IE283" t="e">
        <f>Europe!H977+"n/&gt;!06$"</f>
        <v>#VALUE!</v>
      </c>
      <c r="IF283" t="e">
        <f>Europe!I977+"n/&gt;!06%"</f>
        <v>#VALUE!</v>
      </c>
      <c r="IG283" t="e">
        <f>Europe!A978+"n/&gt;!06&amp;"</f>
        <v>#VALUE!</v>
      </c>
      <c r="IH283" t="e">
        <f>Europe!B978+"n/&gt;!06'"</f>
        <v>#VALUE!</v>
      </c>
      <c r="II283" t="e">
        <f>Europe!C978+"n/&gt;!06("</f>
        <v>#VALUE!</v>
      </c>
      <c r="IJ283" t="e">
        <f>Europe!D978+"n/&gt;!06)"</f>
        <v>#VALUE!</v>
      </c>
      <c r="IK283" t="e">
        <f>Europe!E978+"n/&gt;!06."</f>
        <v>#VALUE!</v>
      </c>
      <c r="IL283" t="e">
        <f>Europe!F978+"n/&gt;!06/"</f>
        <v>#VALUE!</v>
      </c>
      <c r="IM283" t="e">
        <f>Europe!G978+"n/&gt;!060"</f>
        <v>#VALUE!</v>
      </c>
      <c r="IN283" t="e">
        <f>Europe!H978+"n/&gt;!061"</f>
        <v>#VALUE!</v>
      </c>
      <c r="IO283" t="e">
        <f>Europe!I978+"n/&gt;!062"</f>
        <v>#VALUE!</v>
      </c>
      <c r="IP283" t="e">
        <f>Europe!A979+"n/&gt;!063"</f>
        <v>#VALUE!</v>
      </c>
      <c r="IQ283" t="e">
        <f>Europe!B979+"n/&gt;!064"</f>
        <v>#VALUE!</v>
      </c>
      <c r="IR283" t="e">
        <f>Europe!C979+"n/&gt;!065"</f>
        <v>#VALUE!</v>
      </c>
      <c r="IS283" t="e">
        <f>Europe!D979+"n/&gt;!066"</f>
        <v>#VALUE!</v>
      </c>
      <c r="IT283" t="e">
        <f>Europe!E979+"n/&gt;!067"</f>
        <v>#VALUE!</v>
      </c>
      <c r="IU283" t="e">
        <f>Europe!F979+"n/&gt;!068"</f>
        <v>#VALUE!</v>
      </c>
      <c r="IV283" t="e">
        <f>Europe!G979+"n/&gt;!069"</f>
        <v>#VALUE!</v>
      </c>
    </row>
    <row r="284" spans="6:256" x14ac:dyDescent="0.35">
      <c r="F284" t="e">
        <f>Europe!H979+"n/&gt;!06:"</f>
        <v>#VALUE!</v>
      </c>
      <c r="G284" t="e">
        <f>Europe!I979+"n/&gt;!06;"</f>
        <v>#VALUE!</v>
      </c>
      <c r="H284" t="e">
        <f>Europe!A980+"n/&gt;!06&lt;"</f>
        <v>#VALUE!</v>
      </c>
      <c r="I284" t="e">
        <f>Europe!B980+"n/&gt;!06="</f>
        <v>#VALUE!</v>
      </c>
      <c r="J284" t="e">
        <f>Europe!C980+"n/&gt;!06&gt;"</f>
        <v>#VALUE!</v>
      </c>
      <c r="K284" t="e">
        <f>Europe!D980+"n/&gt;!06?"</f>
        <v>#VALUE!</v>
      </c>
      <c r="L284" t="e">
        <f>Europe!E980+"n/&gt;!06@"</f>
        <v>#VALUE!</v>
      </c>
      <c r="M284" t="e">
        <f>Europe!F980+"n/&gt;!06A"</f>
        <v>#VALUE!</v>
      </c>
      <c r="N284" t="e">
        <f>Europe!G980+"n/&gt;!06B"</f>
        <v>#VALUE!</v>
      </c>
      <c r="O284" t="e">
        <f>Europe!H980+"n/&gt;!06C"</f>
        <v>#VALUE!</v>
      </c>
      <c r="P284" t="e">
        <f>Europe!I980+"n/&gt;!06D"</f>
        <v>#VALUE!</v>
      </c>
      <c r="Q284" t="e">
        <f>Europe!A981+"n/&gt;!06E"</f>
        <v>#VALUE!</v>
      </c>
      <c r="R284" t="e">
        <f>Europe!B981+"n/&gt;!06F"</f>
        <v>#VALUE!</v>
      </c>
      <c r="S284" t="e">
        <f>Europe!C981+"n/&gt;!06G"</f>
        <v>#VALUE!</v>
      </c>
      <c r="T284" t="e">
        <f>Europe!D981+"n/&gt;!06H"</f>
        <v>#VALUE!</v>
      </c>
      <c r="U284" t="e">
        <f>Europe!E981+"n/&gt;!06I"</f>
        <v>#VALUE!</v>
      </c>
      <c r="V284" t="e">
        <f>Europe!F981+"n/&gt;!06J"</f>
        <v>#VALUE!</v>
      </c>
      <c r="W284" t="e">
        <f>Europe!G981+"n/&gt;!06K"</f>
        <v>#VALUE!</v>
      </c>
      <c r="X284" t="e">
        <f>Europe!H981+"n/&gt;!06L"</f>
        <v>#VALUE!</v>
      </c>
      <c r="Y284" t="e">
        <f>Europe!I981+"n/&gt;!06M"</f>
        <v>#VALUE!</v>
      </c>
      <c r="Z284" t="e">
        <f>Europe!A982+"n/&gt;!06N"</f>
        <v>#VALUE!</v>
      </c>
      <c r="AA284" t="e">
        <f>Europe!B982+"n/&gt;!06O"</f>
        <v>#VALUE!</v>
      </c>
      <c r="AB284" t="e">
        <f>Europe!C982+"n/&gt;!06P"</f>
        <v>#VALUE!</v>
      </c>
      <c r="AC284" t="e">
        <f>Europe!D982+"n/&gt;!06Q"</f>
        <v>#VALUE!</v>
      </c>
      <c r="AD284" t="e">
        <f>Europe!E982+"n/&gt;!06R"</f>
        <v>#VALUE!</v>
      </c>
      <c r="AE284" t="e">
        <f>Europe!F982+"n/&gt;!06S"</f>
        <v>#VALUE!</v>
      </c>
      <c r="AF284" t="e">
        <f>Europe!G982+"n/&gt;!06T"</f>
        <v>#VALUE!</v>
      </c>
      <c r="AG284" t="e">
        <f>Europe!H982+"n/&gt;!06U"</f>
        <v>#VALUE!</v>
      </c>
      <c r="AH284" t="e">
        <f>Europe!I982+"n/&gt;!06V"</f>
        <v>#VALUE!</v>
      </c>
      <c r="AI284" t="e">
        <f>Europe!A983+"n/&gt;!06W"</f>
        <v>#VALUE!</v>
      </c>
      <c r="AJ284" t="e">
        <f>Europe!B983+"n/&gt;!06X"</f>
        <v>#VALUE!</v>
      </c>
      <c r="AK284" t="e">
        <f>Europe!C983+"n/&gt;!06Y"</f>
        <v>#VALUE!</v>
      </c>
      <c r="AL284" t="e">
        <f>Europe!D983+"n/&gt;!06Z"</f>
        <v>#VALUE!</v>
      </c>
      <c r="AM284" t="e">
        <f>Europe!E983+"n/&gt;!06["</f>
        <v>#VALUE!</v>
      </c>
      <c r="AN284" t="e">
        <f>Europe!F983+"n/&gt;!06\"</f>
        <v>#VALUE!</v>
      </c>
      <c r="AO284" t="e">
        <f>Europe!G983+"n/&gt;!06]"</f>
        <v>#VALUE!</v>
      </c>
      <c r="AP284" t="e">
        <f>Europe!H983+"n/&gt;!06^"</f>
        <v>#VALUE!</v>
      </c>
      <c r="AQ284" t="e">
        <f>Europe!I983+"n/&gt;!06_"</f>
        <v>#VALUE!</v>
      </c>
      <c r="AR284" t="e">
        <f>Europe!A984+"n/&gt;!06`"</f>
        <v>#VALUE!</v>
      </c>
      <c r="AS284" t="e">
        <f>Europe!B984+"n/&gt;!06a"</f>
        <v>#VALUE!</v>
      </c>
      <c r="AT284" t="e">
        <f>Europe!C984+"n/&gt;!06b"</f>
        <v>#VALUE!</v>
      </c>
      <c r="AU284" t="e">
        <f>Europe!D984+"n/&gt;!06c"</f>
        <v>#VALUE!</v>
      </c>
      <c r="AV284" t="e">
        <f>Europe!E984+"n/&gt;!06d"</f>
        <v>#VALUE!</v>
      </c>
      <c r="AW284" t="e">
        <f>Europe!F984+"n/&gt;!06e"</f>
        <v>#VALUE!</v>
      </c>
      <c r="AX284" t="e">
        <f>Europe!G984+"n/&gt;!06f"</f>
        <v>#VALUE!</v>
      </c>
      <c r="AY284" t="e">
        <f>Europe!H984+"n/&gt;!06g"</f>
        <v>#VALUE!</v>
      </c>
      <c r="AZ284" t="e">
        <f>Europe!I984+"n/&gt;!06h"</f>
        <v>#VALUE!</v>
      </c>
      <c r="BA284" t="e">
        <f>Europe!A985+"n/&gt;!06i"</f>
        <v>#VALUE!</v>
      </c>
      <c r="BB284" t="e">
        <f>Europe!B985+"n/&gt;!06j"</f>
        <v>#VALUE!</v>
      </c>
      <c r="BC284" t="e">
        <f>Europe!C985+"n/&gt;!06k"</f>
        <v>#VALUE!</v>
      </c>
      <c r="BD284" t="e">
        <f>Europe!D985+"n/&gt;!06l"</f>
        <v>#VALUE!</v>
      </c>
      <c r="BE284" t="e">
        <f>Europe!E985+"n/&gt;!06m"</f>
        <v>#VALUE!</v>
      </c>
      <c r="BF284" t="e">
        <f>Europe!F985+"n/&gt;!06n"</f>
        <v>#VALUE!</v>
      </c>
      <c r="BG284" t="e">
        <f>Europe!G985+"n/&gt;!06o"</f>
        <v>#VALUE!</v>
      </c>
      <c r="BH284" t="e">
        <f>Europe!H985+"n/&gt;!06p"</f>
        <v>#VALUE!</v>
      </c>
      <c r="BI284" t="e">
        <f>Europe!I985+"n/&gt;!06q"</f>
        <v>#VALUE!</v>
      </c>
      <c r="BJ284" t="e">
        <f>Europe!A986+"n/&gt;!06r"</f>
        <v>#VALUE!</v>
      </c>
      <c r="BK284" t="e">
        <f>Europe!B986+"n/&gt;!06s"</f>
        <v>#VALUE!</v>
      </c>
      <c r="BL284" t="e">
        <f>Europe!C986+"n/&gt;!06t"</f>
        <v>#VALUE!</v>
      </c>
      <c r="BM284" t="e">
        <f>Europe!D986+"n/&gt;!06u"</f>
        <v>#VALUE!</v>
      </c>
      <c r="BN284" t="e">
        <f>Europe!E986+"n/&gt;!06v"</f>
        <v>#VALUE!</v>
      </c>
      <c r="BO284" t="e">
        <f>Europe!F986+"n/&gt;!06w"</f>
        <v>#VALUE!</v>
      </c>
      <c r="BP284" t="e">
        <f>Europe!G986+"n/&gt;!06x"</f>
        <v>#VALUE!</v>
      </c>
      <c r="BQ284" t="e">
        <f>Europe!H986+"n/&gt;!06y"</f>
        <v>#VALUE!</v>
      </c>
      <c r="BR284" t="e">
        <f>Europe!I986+"n/&gt;!06z"</f>
        <v>#VALUE!</v>
      </c>
      <c r="BS284" t="e">
        <f>Europe!A987+"n/&gt;!06{"</f>
        <v>#VALUE!</v>
      </c>
      <c r="BT284" t="e">
        <f>Europe!B987+"n/&gt;!06|"</f>
        <v>#VALUE!</v>
      </c>
      <c r="BU284" t="e">
        <f>Europe!C987+"n/&gt;!06}"</f>
        <v>#VALUE!</v>
      </c>
      <c r="BV284" t="e">
        <f>Europe!D987+"n/&gt;!06~"</f>
        <v>#VALUE!</v>
      </c>
      <c r="BW284" t="e">
        <f>Europe!E987+"n/&gt;!07#"</f>
        <v>#VALUE!</v>
      </c>
      <c r="BX284" t="e">
        <f>Europe!F987+"n/&gt;!07$"</f>
        <v>#VALUE!</v>
      </c>
      <c r="BY284" t="e">
        <f>Europe!G987+"n/&gt;!07%"</f>
        <v>#VALUE!</v>
      </c>
      <c r="BZ284" t="e">
        <f>Europe!H987+"n/&gt;!07&amp;"</f>
        <v>#VALUE!</v>
      </c>
      <c r="CA284" t="e">
        <f>Europe!I987+"n/&gt;!07'"</f>
        <v>#VALUE!</v>
      </c>
      <c r="CB284" t="e">
        <f>Europe!A988+"n/&gt;!07("</f>
        <v>#VALUE!</v>
      </c>
      <c r="CC284" t="e">
        <f>Europe!B988+"n/&gt;!07)"</f>
        <v>#VALUE!</v>
      </c>
      <c r="CD284" t="e">
        <f>Europe!C988+"n/&gt;!07."</f>
        <v>#VALUE!</v>
      </c>
      <c r="CE284" t="e">
        <f>Europe!D988+"n/&gt;!07/"</f>
        <v>#VALUE!</v>
      </c>
      <c r="CF284" t="e">
        <f>Europe!E988+"n/&gt;!070"</f>
        <v>#VALUE!</v>
      </c>
      <c r="CG284" t="e">
        <f>Europe!F988+"n/&gt;!071"</f>
        <v>#VALUE!</v>
      </c>
      <c r="CH284" t="e">
        <f>Europe!G988+"n/&gt;!072"</f>
        <v>#VALUE!</v>
      </c>
      <c r="CI284" t="e">
        <f>Europe!H988+"n/&gt;!073"</f>
        <v>#VALUE!</v>
      </c>
      <c r="CJ284" t="e">
        <f>Europe!I988+"n/&gt;!074"</f>
        <v>#VALUE!</v>
      </c>
      <c r="CK284" t="e">
        <f>Europe!A989+"n/&gt;!075"</f>
        <v>#VALUE!</v>
      </c>
      <c r="CL284" t="e">
        <f>Europe!B989+"n/&gt;!076"</f>
        <v>#VALUE!</v>
      </c>
      <c r="CM284" t="e">
        <f>Europe!C989+"n/&gt;!077"</f>
        <v>#VALUE!</v>
      </c>
      <c r="CN284" t="e">
        <f>Europe!D989+"n/&gt;!078"</f>
        <v>#VALUE!</v>
      </c>
      <c r="CO284" t="e">
        <f>Europe!E989+"n/&gt;!079"</f>
        <v>#VALUE!</v>
      </c>
      <c r="CP284" t="e">
        <f>Europe!F989+"n/&gt;!07:"</f>
        <v>#VALUE!</v>
      </c>
      <c r="CQ284" t="e">
        <f>Europe!G989+"n/&gt;!07;"</f>
        <v>#VALUE!</v>
      </c>
      <c r="CR284" t="e">
        <f>Europe!H989+"n/&gt;!07&lt;"</f>
        <v>#VALUE!</v>
      </c>
      <c r="CS284" t="e">
        <f>Europe!I989+"n/&gt;!07="</f>
        <v>#VALUE!</v>
      </c>
      <c r="CT284" t="e">
        <f>Europe!A990+"n/&gt;!07&gt;"</f>
        <v>#VALUE!</v>
      </c>
      <c r="CU284" t="e">
        <f>Europe!B990+"n/&gt;!07?"</f>
        <v>#VALUE!</v>
      </c>
      <c r="CV284" t="e">
        <f>Europe!C990+"n/&gt;!07@"</f>
        <v>#VALUE!</v>
      </c>
      <c r="CW284" t="e">
        <f>Europe!D990+"n/&gt;!07A"</f>
        <v>#VALUE!</v>
      </c>
      <c r="CX284" t="e">
        <f>Europe!E990+"n/&gt;!07B"</f>
        <v>#VALUE!</v>
      </c>
      <c r="CY284" t="e">
        <f>Europe!F990+"n/&gt;!07C"</f>
        <v>#VALUE!</v>
      </c>
      <c r="CZ284" t="e">
        <f>Europe!G990+"n/&gt;!07D"</f>
        <v>#VALUE!</v>
      </c>
      <c r="DA284" t="e">
        <f>Europe!H990+"n/&gt;!07E"</f>
        <v>#VALUE!</v>
      </c>
      <c r="DB284" t="e">
        <f>Europe!I990+"n/&gt;!07F"</f>
        <v>#VALUE!</v>
      </c>
      <c r="DC284" t="e">
        <f>Europe!A991+"n/&gt;!07G"</f>
        <v>#VALUE!</v>
      </c>
      <c r="DD284" t="e">
        <f>Europe!B991+"n/&gt;!07H"</f>
        <v>#VALUE!</v>
      </c>
      <c r="DE284" t="e">
        <f>Europe!C991+"n/&gt;!07I"</f>
        <v>#VALUE!</v>
      </c>
      <c r="DF284" t="e">
        <f>Europe!D991+"n/&gt;!07J"</f>
        <v>#VALUE!</v>
      </c>
      <c r="DG284" t="e">
        <f>Europe!E991+"n/&gt;!07K"</f>
        <v>#VALUE!</v>
      </c>
      <c r="DH284" t="e">
        <f>Europe!F991+"n/&gt;!07L"</f>
        <v>#VALUE!</v>
      </c>
      <c r="DI284" t="e">
        <f>Europe!G991+"n/&gt;!07M"</f>
        <v>#VALUE!</v>
      </c>
      <c r="DJ284" t="e">
        <f>Europe!H991+"n/&gt;!07N"</f>
        <v>#VALUE!</v>
      </c>
      <c r="DK284" t="e">
        <f>Europe!I991+"n/&gt;!07O"</f>
        <v>#VALUE!</v>
      </c>
      <c r="DL284" t="e">
        <f>Europe!A992+"n/&gt;!07P"</f>
        <v>#VALUE!</v>
      </c>
      <c r="DM284" t="e">
        <f>Europe!B992+"n/&gt;!07Q"</f>
        <v>#VALUE!</v>
      </c>
      <c r="DN284" t="e">
        <f>Europe!C992+"n/&gt;!07R"</f>
        <v>#VALUE!</v>
      </c>
      <c r="DO284" t="e">
        <f>Europe!D992+"n/&gt;!07S"</f>
        <v>#VALUE!</v>
      </c>
      <c r="DP284" t="e">
        <f>Europe!E992+"n/&gt;!07T"</f>
        <v>#VALUE!</v>
      </c>
      <c r="DQ284" t="e">
        <f>Europe!F992+"n/&gt;!07U"</f>
        <v>#VALUE!</v>
      </c>
      <c r="DR284" t="e">
        <f>Europe!G992+"n/&gt;!07V"</f>
        <v>#VALUE!</v>
      </c>
      <c r="DS284" t="e">
        <f>Europe!H992+"n/&gt;!07W"</f>
        <v>#VALUE!</v>
      </c>
      <c r="DT284" t="e">
        <f>Europe!I992+"n/&gt;!07X"</f>
        <v>#VALUE!</v>
      </c>
      <c r="DU284" t="e">
        <f>Europe!A993+"n/&gt;!07Y"</f>
        <v>#VALUE!</v>
      </c>
      <c r="DV284" t="e">
        <f>Europe!B993+"n/&gt;!07Z"</f>
        <v>#VALUE!</v>
      </c>
      <c r="DW284" t="e">
        <f>Europe!C993+"n/&gt;!07["</f>
        <v>#VALUE!</v>
      </c>
      <c r="DX284" t="e">
        <f>Europe!D993+"n/&gt;!07\"</f>
        <v>#VALUE!</v>
      </c>
      <c r="DY284" t="e">
        <f>Europe!E993+"n/&gt;!07]"</f>
        <v>#VALUE!</v>
      </c>
      <c r="DZ284" t="e">
        <f>Europe!F993+"n/&gt;!07^"</f>
        <v>#VALUE!</v>
      </c>
      <c r="EA284" t="e">
        <f>Europe!G993+"n/&gt;!07_"</f>
        <v>#VALUE!</v>
      </c>
      <c r="EB284" t="e">
        <f>Europe!H993+"n/&gt;!07`"</f>
        <v>#VALUE!</v>
      </c>
      <c r="EC284" t="e">
        <f>Europe!I993+"n/&gt;!07a"</f>
        <v>#VALUE!</v>
      </c>
      <c r="ED284" t="e">
        <f>Europe!A994+"n/&gt;!07b"</f>
        <v>#VALUE!</v>
      </c>
      <c r="EE284" t="e">
        <f>Europe!B994+"n/&gt;!07c"</f>
        <v>#VALUE!</v>
      </c>
      <c r="EF284" t="e">
        <f>Europe!C994+"n/&gt;!07d"</f>
        <v>#VALUE!</v>
      </c>
      <c r="EG284" t="e">
        <f>Europe!D994+"n/&gt;!07e"</f>
        <v>#VALUE!</v>
      </c>
      <c r="EH284" t="e">
        <f>Europe!E994+"n/&gt;!07f"</f>
        <v>#VALUE!</v>
      </c>
      <c r="EI284" t="e">
        <f>Europe!F994+"n/&gt;!07g"</f>
        <v>#VALUE!</v>
      </c>
      <c r="EJ284" t="e">
        <f>Europe!G994+"n/&gt;!07h"</f>
        <v>#VALUE!</v>
      </c>
      <c r="EK284" t="e">
        <f>Europe!H994+"n/&gt;!07i"</f>
        <v>#VALUE!</v>
      </c>
      <c r="EL284" t="e">
        <f>Europe!I994+"n/&gt;!07j"</f>
        <v>#VALUE!</v>
      </c>
      <c r="EM284" t="e">
        <f>Europe!A995+"n/&gt;!07k"</f>
        <v>#VALUE!</v>
      </c>
      <c r="EN284" t="e">
        <f>Europe!B995+"n/&gt;!07l"</f>
        <v>#VALUE!</v>
      </c>
      <c r="EO284" t="e">
        <f>Europe!C995+"n/&gt;!07m"</f>
        <v>#VALUE!</v>
      </c>
      <c r="EP284" t="e">
        <f>Europe!D995+"n/&gt;!07n"</f>
        <v>#VALUE!</v>
      </c>
      <c r="EQ284" t="e">
        <f>Europe!E995+"n/&gt;!07o"</f>
        <v>#VALUE!</v>
      </c>
      <c r="ER284" t="e">
        <f>Europe!F995+"n/&gt;!07p"</f>
        <v>#VALUE!</v>
      </c>
      <c r="ES284" t="e">
        <f>Europe!G995+"n/&gt;!07q"</f>
        <v>#VALUE!</v>
      </c>
      <c r="ET284" t="e">
        <f>Europe!H995+"n/&gt;!07r"</f>
        <v>#VALUE!</v>
      </c>
      <c r="EU284" t="e">
        <f>Europe!I995+"n/&gt;!07s"</f>
        <v>#VALUE!</v>
      </c>
      <c r="EV284" t="e">
        <f>Europe!A996+"n/&gt;!07t"</f>
        <v>#VALUE!</v>
      </c>
      <c r="EW284" t="e">
        <f>Europe!B996+"n/&gt;!07u"</f>
        <v>#VALUE!</v>
      </c>
      <c r="EX284" t="e">
        <f>Europe!C996+"n/&gt;!07v"</f>
        <v>#VALUE!</v>
      </c>
      <c r="EY284" t="e">
        <f>Europe!D996+"n/&gt;!07w"</f>
        <v>#VALUE!</v>
      </c>
      <c r="EZ284" t="e">
        <f>Europe!E996+"n/&gt;!07x"</f>
        <v>#VALUE!</v>
      </c>
      <c r="FA284" t="e">
        <f>Europe!F996+"n/&gt;!07y"</f>
        <v>#VALUE!</v>
      </c>
      <c r="FB284" t="e">
        <f>Europe!G996+"n/&gt;!07z"</f>
        <v>#VALUE!</v>
      </c>
      <c r="FC284" t="e">
        <f>Europe!H996+"n/&gt;!07{"</f>
        <v>#VALUE!</v>
      </c>
      <c r="FD284" t="e">
        <f>Europe!I996+"n/&gt;!07|"</f>
        <v>#VALUE!</v>
      </c>
      <c r="FE284" t="e">
        <f>Europe!A997+"n/&gt;!07}"</f>
        <v>#VALUE!</v>
      </c>
      <c r="FF284" t="e">
        <f>Europe!B997+"n/&gt;!07~"</f>
        <v>#VALUE!</v>
      </c>
      <c r="FG284" t="e">
        <f>Europe!C997+"n/&gt;!08#"</f>
        <v>#VALUE!</v>
      </c>
      <c r="FH284" t="e">
        <f>Europe!D997+"n/&gt;!08$"</f>
        <v>#VALUE!</v>
      </c>
      <c r="FI284" t="e">
        <f>Europe!E997+"n/&gt;!08%"</f>
        <v>#VALUE!</v>
      </c>
      <c r="FJ284" t="e">
        <f>Europe!F997+"n/&gt;!08&amp;"</f>
        <v>#VALUE!</v>
      </c>
      <c r="FK284" t="e">
        <f>Europe!G997+"n/&gt;!08'"</f>
        <v>#VALUE!</v>
      </c>
      <c r="FL284" t="e">
        <f>Europe!H997+"n/&gt;!08("</f>
        <v>#VALUE!</v>
      </c>
      <c r="FM284" t="e">
        <f>Europe!I997+"n/&gt;!08)"</f>
        <v>#VALUE!</v>
      </c>
      <c r="FN284" t="e">
        <f>Europe!A998+"n/&gt;!08."</f>
        <v>#VALUE!</v>
      </c>
      <c r="FO284" t="e">
        <f>Europe!B998+"n/&gt;!08/"</f>
        <v>#VALUE!</v>
      </c>
      <c r="FP284" t="e">
        <f>Europe!C998+"n/&gt;!080"</f>
        <v>#VALUE!</v>
      </c>
      <c r="FQ284" t="e">
        <f>Europe!D998+"n/&gt;!081"</f>
        <v>#VALUE!</v>
      </c>
      <c r="FR284" t="e">
        <f>Europe!E998+"n/&gt;!082"</f>
        <v>#VALUE!</v>
      </c>
      <c r="FS284" t="e">
        <f>Europe!F998+"n/&gt;!083"</f>
        <v>#VALUE!</v>
      </c>
      <c r="FT284" t="e">
        <f>Europe!G998+"n/&gt;!084"</f>
        <v>#VALUE!</v>
      </c>
      <c r="FU284" t="e">
        <f>Europe!H998+"n/&gt;!085"</f>
        <v>#VALUE!</v>
      </c>
      <c r="FV284" t="e">
        <f>Europe!I998+"n/&gt;!086"</f>
        <v>#VALUE!</v>
      </c>
      <c r="FW284" t="e">
        <f>Europe!A999+"n/&gt;!087"</f>
        <v>#VALUE!</v>
      </c>
      <c r="FX284" t="e">
        <f>Europe!B999+"n/&gt;!088"</f>
        <v>#VALUE!</v>
      </c>
      <c r="FY284" t="e">
        <f>Europe!C999+"n/&gt;!089"</f>
        <v>#VALUE!</v>
      </c>
      <c r="FZ284" t="e">
        <f>Europe!D999+"n/&gt;!08:"</f>
        <v>#VALUE!</v>
      </c>
      <c r="GA284" t="e">
        <f>Europe!E999+"n/&gt;!08;"</f>
        <v>#VALUE!</v>
      </c>
      <c r="GB284" t="e">
        <f>Europe!F999+"n/&gt;!08&lt;"</f>
        <v>#VALUE!</v>
      </c>
      <c r="GC284" t="e">
        <f>Europe!G999+"n/&gt;!08="</f>
        <v>#VALUE!</v>
      </c>
      <c r="GD284" t="e">
        <f>Europe!H999+"n/&gt;!08&gt;"</f>
        <v>#VALUE!</v>
      </c>
      <c r="GE284" t="e">
        <f>Europe!I999+"n/&gt;!08?"</f>
        <v>#VALUE!</v>
      </c>
      <c r="GF284" t="e">
        <f>Europe!A1000+"n/&gt;!08@"</f>
        <v>#VALUE!</v>
      </c>
      <c r="GG284" t="e">
        <f>Europe!B1000+"n/&gt;!08A"</f>
        <v>#VALUE!</v>
      </c>
      <c r="GH284" t="e">
        <f>Europe!C1000+"n/&gt;!08B"</f>
        <v>#VALUE!</v>
      </c>
      <c r="GI284" t="e">
        <f>Europe!D1000+"n/&gt;!08C"</f>
        <v>#VALUE!</v>
      </c>
      <c r="GJ284" t="e">
        <f>Europe!E1000+"n/&gt;!08D"</f>
        <v>#VALUE!</v>
      </c>
      <c r="GK284" t="e">
        <f>Europe!F1000+"n/&gt;!08E"</f>
        <v>#VALUE!</v>
      </c>
      <c r="GL284" t="e">
        <f>Europe!G1000+"n/&gt;!08F"</f>
        <v>#VALUE!</v>
      </c>
      <c r="GM284" t="e">
        <f>Europe!H1000+"n/&gt;!08G"</f>
        <v>#VALUE!</v>
      </c>
      <c r="GN284" t="e">
        <f>Europe!I1000+"n/&gt;!08H"</f>
        <v>#VALUE!</v>
      </c>
      <c r="GO284" t="e">
        <f>Europe!A1001+"n/&gt;!08I"</f>
        <v>#VALUE!</v>
      </c>
      <c r="GP284" t="e">
        <f>Europe!B1001+"n/&gt;!08J"</f>
        <v>#VALUE!</v>
      </c>
      <c r="GQ284" t="e">
        <f>Europe!C1001+"n/&gt;!08K"</f>
        <v>#VALUE!</v>
      </c>
      <c r="GR284" t="e">
        <f>Europe!D1001+"n/&gt;!08L"</f>
        <v>#VALUE!</v>
      </c>
      <c r="GS284" t="e">
        <f>Europe!E1001+"n/&gt;!08M"</f>
        <v>#VALUE!</v>
      </c>
      <c r="GT284" t="e">
        <f>Europe!F1001+"n/&gt;!08N"</f>
        <v>#VALUE!</v>
      </c>
      <c r="GU284" t="e">
        <f>Europe!G1001+"n/&gt;!08O"</f>
        <v>#VALUE!</v>
      </c>
      <c r="GV284" t="e">
        <f>Europe!H1001+"n/&gt;!08P"</f>
        <v>#VALUE!</v>
      </c>
      <c r="GW284" t="e">
        <f>Europe!I1001+"n/&gt;!08Q"</f>
        <v>#VALUE!</v>
      </c>
      <c r="GX284" t="e">
        <f>Europe!A1002+"n/&gt;!08R"</f>
        <v>#VALUE!</v>
      </c>
      <c r="GY284" t="e">
        <f>Europe!B1002+"n/&gt;!08S"</f>
        <v>#VALUE!</v>
      </c>
      <c r="GZ284" t="e">
        <f>Europe!C1002+"n/&gt;!08T"</f>
        <v>#VALUE!</v>
      </c>
      <c r="HA284" t="e">
        <f>Europe!D1002+"n/&gt;!08U"</f>
        <v>#VALUE!</v>
      </c>
      <c r="HB284" t="e">
        <f>Europe!E1002+"n/&gt;!08V"</f>
        <v>#VALUE!</v>
      </c>
      <c r="HC284" t="e">
        <f>Europe!F1002+"n/&gt;!08W"</f>
        <v>#VALUE!</v>
      </c>
      <c r="HD284" t="e">
        <f>Europe!G1002+"n/&gt;!08X"</f>
        <v>#VALUE!</v>
      </c>
      <c r="HE284" t="e">
        <f>Europe!H1002+"n/&gt;!08Y"</f>
        <v>#VALUE!</v>
      </c>
      <c r="HF284" t="e">
        <f>Europe!I1002+"n/&gt;!08Z"</f>
        <v>#VALUE!</v>
      </c>
      <c r="HG284" t="e">
        <f>Europe!A1003+"n/&gt;!08["</f>
        <v>#VALUE!</v>
      </c>
      <c r="HH284" t="e">
        <f>Europe!B1003+"n/&gt;!08\"</f>
        <v>#VALUE!</v>
      </c>
      <c r="HI284" t="e">
        <f>Europe!C1003+"n/&gt;!08]"</f>
        <v>#VALUE!</v>
      </c>
      <c r="HJ284" t="e">
        <f>Europe!D1003+"n/&gt;!08^"</f>
        <v>#VALUE!</v>
      </c>
      <c r="HK284" t="e">
        <f>Europe!E1003+"n/&gt;!08_"</f>
        <v>#VALUE!</v>
      </c>
      <c r="HL284" t="e">
        <f>Europe!F1003+"n/&gt;!08`"</f>
        <v>#VALUE!</v>
      </c>
      <c r="HM284" t="e">
        <f>Europe!G1003+"n/&gt;!08a"</f>
        <v>#VALUE!</v>
      </c>
      <c r="HN284" t="e">
        <f>Europe!H1003+"n/&gt;!08b"</f>
        <v>#VALUE!</v>
      </c>
      <c r="HO284" t="e">
        <f>Europe!I1003+"n/&gt;!08c"</f>
        <v>#VALUE!</v>
      </c>
      <c r="HP284" t="e">
        <f>Europe!A1004+"n/&gt;!08d"</f>
        <v>#VALUE!</v>
      </c>
      <c r="HQ284" t="e">
        <f>Europe!B1004+"n/&gt;!08e"</f>
        <v>#VALUE!</v>
      </c>
      <c r="HR284" t="e">
        <f>Europe!C1004+"n/&gt;!08f"</f>
        <v>#VALUE!</v>
      </c>
      <c r="HS284" t="e">
        <f>Europe!D1004+"n/&gt;!08g"</f>
        <v>#VALUE!</v>
      </c>
      <c r="HT284" t="e">
        <f>Europe!E1004+"n/&gt;!08h"</f>
        <v>#VALUE!</v>
      </c>
      <c r="HU284" t="e">
        <f>Europe!F1004+"n/&gt;!08i"</f>
        <v>#VALUE!</v>
      </c>
      <c r="HV284" t="e">
        <f>Europe!G1004+"n/&gt;!08j"</f>
        <v>#VALUE!</v>
      </c>
      <c r="HW284" t="e">
        <f>Europe!H1004+"n/&gt;!08k"</f>
        <v>#VALUE!</v>
      </c>
      <c r="HX284" t="e">
        <f>Europe!I1004+"n/&gt;!08l"</f>
        <v>#VALUE!</v>
      </c>
      <c r="HY284" t="e">
        <f>Europe!A1005+"n/&gt;!08m"</f>
        <v>#VALUE!</v>
      </c>
      <c r="HZ284" t="e">
        <f>Europe!B1005+"n/&gt;!08n"</f>
        <v>#VALUE!</v>
      </c>
      <c r="IA284" t="e">
        <f>Europe!C1005+"n/&gt;!08o"</f>
        <v>#VALUE!</v>
      </c>
      <c r="IB284" t="e">
        <f>Europe!D1005+"n/&gt;!08p"</f>
        <v>#VALUE!</v>
      </c>
      <c r="IC284" t="e">
        <f>Europe!E1005+"n/&gt;!08q"</f>
        <v>#VALUE!</v>
      </c>
      <c r="ID284" t="e">
        <f>Europe!F1005+"n/&gt;!08r"</f>
        <v>#VALUE!</v>
      </c>
      <c r="IE284" t="e">
        <f>Europe!G1005+"n/&gt;!08s"</f>
        <v>#VALUE!</v>
      </c>
      <c r="IF284" t="e">
        <f>Europe!H1005+"n/&gt;!08t"</f>
        <v>#VALUE!</v>
      </c>
      <c r="IG284" t="e">
        <f>Europe!I1005+"n/&gt;!08u"</f>
        <v>#VALUE!</v>
      </c>
      <c r="IH284" t="e">
        <f>Europe!A1006+"n/&gt;!08v"</f>
        <v>#VALUE!</v>
      </c>
      <c r="II284" t="e">
        <f>Europe!B1006+"n/&gt;!08w"</f>
        <v>#VALUE!</v>
      </c>
      <c r="IJ284" t="e">
        <f>Europe!C1006+"n/&gt;!08x"</f>
        <v>#VALUE!</v>
      </c>
      <c r="IK284" t="e">
        <f>Europe!D1006+"n/&gt;!08y"</f>
        <v>#VALUE!</v>
      </c>
      <c r="IL284" t="e">
        <f>Europe!E1006+"n/&gt;!08z"</f>
        <v>#VALUE!</v>
      </c>
      <c r="IM284" t="e">
        <f>Europe!F1006+"n/&gt;!08{"</f>
        <v>#VALUE!</v>
      </c>
      <c r="IN284" t="e">
        <f>Europe!G1006+"n/&gt;!08|"</f>
        <v>#VALUE!</v>
      </c>
      <c r="IO284" t="e">
        <f>Europe!H1006+"n/&gt;!08}"</f>
        <v>#VALUE!</v>
      </c>
      <c r="IP284" t="e">
        <f>Europe!I1006+"n/&gt;!08~"</f>
        <v>#VALUE!</v>
      </c>
      <c r="IQ284" t="e">
        <f>Europe!A1007+"n/&gt;!09#"</f>
        <v>#VALUE!</v>
      </c>
      <c r="IR284" t="e">
        <f>Europe!B1007+"n/&gt;!09$"</f>
        <v>#VALUE!</v>
      </c>
      <c r="IS284" t="e">
        <f>Europe!C1007+"n/&gt;!09%"</f>
        <v>#VALUE!</v>
      </c>
      <c r="IT284" t="e">
        <f>Europe!D1007+"n/&gt;!09&amp;"</f>
        <v>#VALUE!</v>
      </c>
      <c r="IU284" t="e">
        <f>Europe!E1007+"n/&gt;!09'"</f>
        <v>#VALUE!</v>
      </c>
      <c r="IV284" t="e">
        <f>Europe!F1007+"n/&gt;!09("</f>
        <v>#VALUE!</v>
      </c>
    </row>
    <row r="285" spans="6:256" x14ac:dyDescent="0.35">
      <c r="F285" t="e">
        <f>Europe!G1007+"n/&gt;!09)"</f>
        <v>#VALUE!</v>
      </c>
      <c r="G285" t="e">
        <f>Europe!H1007+"n/&gt;!09."</f>
        <v>#VALUE!</v>
      </c>
      <c r="H285" t="e">
        <f>Europe!I1007+"n/&gt;!09/"</f>
        <v>#VALUE!</v>
      </c>
      <c r="I285" t="e">
        <f>Europe!A1008+"n/&gt;!090"</f>
        <v>#VALUE!</v>
      </c>
      <c r="J285" t="e">
        <f>Europe!B1008+"n/&gt;!091"</f>
        <v>#VALUE!</v>
      </c>
      <c r="K285" t="e">
        <f>Europe!C1008+"n/&gt;!092"</f>
        <v>#VALUE!</v>
      </c>
      <c r="L285" t="e">
        <f>Europe!D1008+"n/&gt;!093"</f>
        <v>#VALUE!</v>
      </c>
      <c r="M285" t="e">
        <f>Europe!E1008+"n/&gt;!094"</f>
        <v>#VALUE!</v>
      </c>
      <c r="N285" t="e">
        <f>Europe!F1008+"n/&gt;!095"</f>
        <v>#VALUE!</v>
      </c>
      <c r="O285" t="e">
        <f>Europe!G1008+"n/&gt;!096"</f>
        <v>#VALUE!</v>
      </c>
      <c r="P285" t="e">
        <f>Europe!H1008+"n/&gt;!097"</f>
        <v>#VALUE!</v>
      </c>
      <c r="Q285" t="e">
        <f>Europe!I1008+"n/&gt;!098"</f>
        <v>#VALUE!</v>
      </c>
      <c r="R285" t="e">
        <f>Europe!A1009+"n/&gt;!099"</f>
        <v>#VALUE!</v>
      </c>
      <c r="S285" t="e">
        <f>Europe!B1009+"n/&gt;!09:"</f>
        <v>#VALUE!</v>
      </c>
      <c r="T285" t="e">
        <f>Europe!C1009+"n/&gt;!09;"</f>
        <v>#VALUE!</v>
      </c>
      <c r="U285" t="e">
        <f>Europe!D1009+"n/&gt;!09&lt;"</f>
        <v>#VALUE!</v>
      </c>
      <c r="V285" t="e">
        <f>Europe!E1009+"n/&gt;!09="</f>
        <v>#VALUE!</v>
      </c>
      <c r="W285" t="e">
        <f>Europe!F1009+"n/&gt;!09&gt;"</f>
        <v>#VALUE!</v>
      </c>
      <c r="X285" t="e">
        <f>Europe!G1009+"n/&gt;!09?"</f>
        <v>#VALUE!</v>
      </c>
      <c r="Y285" t="e">
        <f>Europe!H1009+"n/&gt;!09@"</f>
        <v>#VALUE!</v>
      </c>
      <c r="Z285" t="e">
        <f>Europe!I1009+"n/&gt;!09A"</f>
        <v>#VALUE!</v>
      </c>
      <c r="AA285" t="e">
        <f>Europe!A1010+"n/&gt;!09B"</f>
        <v>#VALUE!</v>
      </c>
      <c r="AB285" t="e">
        <f>Europe!B1010+"n/&gt;!09C"</f>
        <v>#VALUE!</v>
      </c>
      <c r="AC285" t="e">
        <f>Europe!C1010+"n/&gt;!09D"</f>
        <v>#VALUE!</v>
      </c>
      <c r="AD285" t="e">
        <f>Europe!D1010+"n/&gt;!09E"</f>
        <v>#VALUE!</v>
      </c>
      <c r="AE285" t="e">
        <f>Europe!E1010+"n/&gt;!09F"</f>
        <v>#VALUE!</v>
      </c>
      <c r="AF285" t="e">
        <f>Europe!F1010+"n/&gt;!09G"</f>
        <v>#VALUE!</v>
      </c>
      <c r="AG285" t="e">
        <f>Europe!G1010+"n/&gt;!09H"</f>
        <v>#VALUE!</v>
      </c>
      <c r="AH285" t="e">
        <f>Europe!H1010+"n/&gt;!09I"</f>
        <v>#VALUE!</v>
      </c>
      <c r="AI285" t="e">
        <f>Europe!I1010+"n/&gt;!09J"</f>
        <v>#VALUE!</v>
      </c>
      <c r="AJ285" t="e">
        <f>Europe!A1011+"n/&gt;!09K"</f>
        <v>#VALUE!</v>
      </c>
      <c r="AK285" t="e">
        <f>Europe!B1011+"n/&gt;!09L"</f>
        <v>#VALUE!</v>
      </c>
      <c r="AL285" t="e">
        <f>Europe!C1011+"n/&gt;!09M"</f>
        <v>#VALUE!</v>
      </c>
      <c r="AM285" t="e">
        <f>Europe!D1011+"n/&gt;!09N"</f>
        <v>#VALUE!</v>
      </c>
      <c r="AN285" t="e">
        <f>Europe!E1011+"n/&gt;!09O"</f>
        <v>#VALUE!</v>
      </c>
      <c r="AO285" t="e">
        <f>Europe!F1011+"n/&gt;!09P"</f>
        <v>#VALUE!</v>
      </c>
      <c r="AP285" t="e">
        <f>Europe!G1011+"n/&gt;!09Q"</f>
        <v>#VALUE!</v>
      </c>
      <c r="AQ285" t="e">
        <f>Europe!H1011+"n/&gt;!09R"</f>
        <v>#VALUE!</v>
      </c>
      <c r="AR285" t="e">
        <f>Europe!I1011+"n/&gt;!09S"</f>
        <v>#VALUE!</v>
      </c>
      <c r="AS285" t="e">
        <f>Europe!A1012+"n/&gt;!09T"</f>
        <v>#VALUE!</v>
      </c>
      <c r="AT285" t="e">
        <f>Europe!B1012+"n/&gt;!09U"</f>
        <v>#VALUE!</v>
      </c>
      <c r="AU285" t="e">
        <f>Europe!C1012+"n/&gt;!09V"</f>
        <v>#VALUE!</v>
      </c>
      <c r="AV285" t="e">
        <f>Europe!D1012+"n/&gt;!09W"</f>
        <v>#VALUE!</v>
      </c>
      <c r="AW285" t="e">
        <f>Europe!E1012+"n/&gt;!09X"</f>
        <v>#VALUE!</v>
      </c>
      <c r="AX285" t="e">
        <f>Europe!F1012+"n/&gt;!09Y"</f>
        <v>#VALUE!</v>
      </c>
      <c r="AY285" t="e">
        <f>Europe!G1012+"n/&gt;!09Z"</f>
        <v>#VALUE!</v>
      </c>
      <c r="AZ285" t="e">
        <f>Europe!H1012+"n/&gt;!09["</f>
        <v>#VALUE!</v>
      </c>
      <c r="BA285" t="e">
        <f>Europe!I1012+"n/&gt;!09\"</f>
        <v>#VALUE!</v>
      </c>
      <c r="BB285" t="e">
        <f>Europe!A1013+"n/&gt;!09]"</f>
        <v>#VALUE!</v>
      </c>
      <c r="BC285" t="e">
        <f>Europe!B1013+"n/&gt;!09^"</f>
        <v>#VALUE!</v>
      </c>
      <c r="BD285" t="e">
        <f>Europe!C1013+"n/&gt;!09_"</f>
        <v>#VALUE!</v>
      </c>
      <c r="BE285" t="e">
        <f>Europe!D1013+"n/&gt;!09`"</f>
        <v>#VALUE!</v>
      </c>
      <c r="BF285" t="e">
        <f>Europe!E1013+"n/&gt;!09a"</f>
        <v>#VALUE!</v>
      </c>
      <c r="BG285" t="e">
        <f>Europe!F1013+"n/&gt;!09b"</f>
        <v>#VALUE!</v>
      </c>
      <c r="BH285" t="e">
        <f>Europe!G1013+"n/&gt;!09c"</f>
        <v>#VALUE!</v>
      </c>
      <c r="BI285" t="e">
        <f>Europe!H1013+"n/&gt;!09d"</f>
        <v>#VALUE!</v>
      </c>
      <c r="BJ285" t="e">
        <f>Europe!I1013+"n/&gt;!09e"</f>
        <v>#VALUE!</v>
      </c>
      <c r="BK285" t="e">
        <f>Europe!A1014+"n/&gt;!09f"</f>
        <v>#VALUE!</v>
      </c>
      <c r="BL285" t="e">
        <f>Europe!B1014+"n/&gt;!09g"</f>
        <v>#VALUE!</v>
      </c>
      <c r="BM285" t="e">
        <f>Europe!C1014+"n/&gt;!09h"</f>
        <v>#VALUE!</v>
      </c>
      <c r="BN285" t="e">
        <f>Europe!D1014+"n/&gt;!09i"</f>
        <v>#VALUE!</v>
      </c>
      <c r="BO285" t="e">
        <f>Europe!E1014+"n/&gt;!09j"</f>
        <v>#VALUE!</v>
      </c>
      <c r="BP285" t="e">
        <f>Europe!F1014+"n/&gt;!09k"</f>
        <v>#VALUE!</v>
      </c>
      <c r="BQ285" t="e">
        <f>Europe!G1014+"n/&gt;!09l"</f>
        <v>#VALUE!</v>
      </c>
      <c r="BR285" t="e">
        <f>Europe!H1014+"n/&gt;!09m"</f>
        <v>#VALUE!</v>
      </c>
      <c r="BS285" t="e">
        <f>Europe!I1014+"n/&gt;!09n"</f>
        <v>#VALUE!</v>
      </c>
      <c r="BT285" t="e">
        <f>Europe!A1015+"n/&gt;!09o"</f>
        <v>#VALUE!</v>
      </c>
      <c r="BU285" t="e">
        <f>Europe!B1015+"n/&gt;!09p"</f>
        <v>#VALUE!</v>
      </c>
      <c r="BV285" t="e">
        <f>Europe!C1015+"n/&gt;!09q"</f>
        <v>#VALUE!</v>
      </c>
      <c r="BW285" t="e">
        <f>Europe!D1015+"n/&gt;!09r"</f>
        <v>#VALUE!</v>
      </c>
      <c r="BX285" t="e">
        <f>Europe!E1015+"n/&gt;!09s"</f>
        <v>#VALUE!</v>
      </c>
      <c r="BY285" t="e">
        <f>Europe!F1015+"n/&gt;!09t"</f>
        <v>#VALUE!</v>
      </c>
      <c r="BZ285" t="e">
        <f>Europe!G1015+"n/&gt;!09u"</f>
        <v>#VALUE!</v>
      </c>
      <c r="CA285" t="e">
        <f>Europe!H1015+"n/&gt;!09v"</f>
        <v>#VALUE!</v>
      </c>
      <c r="CB285" t="e">
        <f>Europe!I1015+"n/&gt;!09w"</f>
        <v>#VALUE!</v>
      </c>
      <c r="CC285" t="e">
        <f>Europe!A1016+"n/&gt;!09x"</f>
        <v>#VALUE!</v>
      </c>
      <c r="CD285" t="e">
        <f>Europe!B1016+"n/&gt;!09y"</f>
        <v>#VALUE!</v>
      </c>
      <c r="CE285" t="e">
        <f>Europe!C1016+"n/&gt;!09z"</f>
        <v>#VALUE!</v>
      </c>
      <c r="CF285" t="e">
        <f>Europe!D1016+"n/&gt;!09{"</f>
        <v>#VALUE!</v>
      </c>
      <c r="CG285" t="e">
        <f>Europe!E1016+"n/&gt;!09|"</f>
        <v>#VALUE!</v>
      </c>
      <c r="CH285" t="e">
        <f>Europe!F1016+"n/&gt;!09}"</f>
        <v>#VALUE!</v>
      </c>
      <c r="CI285" t="e">
        <f>Europe!G1016+"n/&gt;!09~"</f>
        <v>#VALUE!</v>
      </c>
      <c r="CJ285" t="e">
        <f>Europe!H1016+"n/&gt;!0:#"</f>
        <v>#VALUE!</v>
      </c>
      <c r="CK285" t="e">
        <f>Europe!I1016+"n/&gt;!0:$"</f>
        <v>#VALUE!</v>
      </c>
      <c r="CL285" t="e">
        <f>Europe!A1017+"n/&gt;!0:%"</f>
        <v>#VALUE!</v>
      </c>
      <c r="CM285" t="e">
        <f>Europe!B1017+"n/&gt;!0:&amp;"</f>
        <v>#VALUE!</v>
      </c>
      <c r="CN285" t="e">
        <f>Europe!C1017+"n/&gt;!0:'"</f>
        <v>#VALUE!</v>
      </c>
      <c r="CO285" t="e">
        <f>Europe!D1017+"n/&gt;!0:("</f>
        <v>#VALUE!</v>
      </c>
      <c r="CP285" t="e">
        <f>Europe!E1017+"n/&gt;!0:)"</f>
        <v>#VALUE!</v>
      </c>
      <c r="CQ285" t="e">
        <f>Europe!F1017+"n/&gt;!0:."</f>
        <v>#VALUE!</v>
      </c>
      <c r="CR285" t="e">
        <f>Europe!G1017+"n/&gt;!0:/"</f>
        <v>#VALUE!</v>
      </c>
      <c r="CS285" t="e">
        <f>Europe!H1017+"n/&gt;!0:0"</f>
        <v>#VALUE!</v>
      </c>
      <c r="CT285" t="e">
        <f>Europe!I1017+"n/&gt;!0:1"</f>
        <v>#VALUE!</v>
      </c>
      <c r="CU285" t="e">
        <f>Europe!A1018+"n/&gt;!0:2"</f>
        <v>#VALUE!</v>
      </c>
      <c r="CV285" t="e">
        <f>Europe!B1018+"n/&gt;!0:3"</f>
        <v>#VALUE!</v>
      </c>
      <c r="CW285" t="e">
        <f>Europe!C1018+"n/&gt;!0:4"</f>
        <v>#VALUE!</v>
      </c>
      <c r="CX285" t="e">
        <f>Europe!D1018+"n/&gt;!0:5"</f>
        <v>#VALUE!</v>
      </c>
      <c r="CY285" t="e">
        <f>Europe!E1018+"n/&gt;!0:6"</f>
        <v>#VALUE!</v>
      </c>
      <c r="CZ285" t="e">
        <f>Europe!F1018+"n/&gt;!0:7"</f>
        <v>#VALUE!</v>
      </c>
      <c r="DA285" t="e">
        <f>Europe!G1018+"n/&gt;!0:8"</f>
        <v>#VALUE!</v>
      </c>
      <c r="DB285" t="e">
        <f>Europe!H1018+"n/&gt;!0:9"</f>
        <v>#VALUE!</v>
      </c>
      <c r="DC285" t="e">
        <f>Europe!I1018+"n/&gt;!0::"</f>
        <v>#VALUE!</v>
      </c>
      <c r="DD285" t="e">
        <f>Europe!A1019+"n/&gt;!0:;"</f>
        <v>#VALUE!</v>
      </c>
      <c r="DE285" t="e">
        <f>Europe!B1019+"n/&gt;!0:&lt;"</f>
        <v>#VALUE!</v>
      </c>
      <c r="DF285" t="e">
        <f>Europe!C1019+"n/&gt;!0:="</f>
        <v>#VALUE!</v>
      </c>
      <c r="DG285" t="e">
        <f>Europe!D1019+"n/&gt;!0:&gt;"</f>
        <v>#VALUE!</v>
      </c>
      <c r="DH285" t="e">
        <f>Europe!E1019+"n/&gt;!0:?"</f>
        <v>#VALUE!</v>
      </c>
      <c r="DI285" t="e">
        <f>Europe!F1019+"n/&gt;!0:@"</f>
        <v>#VALUE!</v>
      </c>
      <c r="DJ285" t="e">
        <f>Europe!G1019+"n/&gt;!0:A"</f>
        <v>#VALUE!</v>
      </c>
      <c r="DK285" t="e">
        <f>Europe!H1019+"n/&gt;!0:B"</f>
        <v>#VALUE!</v>
      </c>
      <c r="DL285" t="e">
        <f>Europe!I1019+"n/&gt;!0:C"</f>
        <v>#VALUE!</v>
      </c>
      <c r="DM285" t="e">
        <f>Europe!A1020+"n/&gt;!0:D"</f>
        <v>#VALUE!</v>
      </c>
      <c r="DN285" t="e">
        <f>Europe!B1020+"n/&gt;!0:E"</f>
        <v>#VALUE!</v>
      </c>
      <c r="DO285" t="e">
        <f>Europe!C1020+"n/&gt;!0:F"</f>
        <v>#VALUE!</v>
      </c>
      <c r="DP285" t="e">
        <f>Europe!D1020+"n/&gt;!0:G"</f>
        <v>#VALUE!</v>
      </c>
      <c r="DQ285" t="e">
        <f>Europe!E1020+"n/&gt;!0:H"</f>
        <v>#VALUE!</v>
      </c>
      <c r="DR285" t="e">
        <f>Europe!F1020+"n/&gt;!0:I"</f>
        <v>#VALUE!</v>
      </c>
      <c r="DS285" t="e">
        <f>Europe!G1020+"n/&gt;!0:J"</f>
        <v>#VALUE!</v>
      </c>
      <c r="DT285" t="e">
        <f>Europe!H1020+"n/&gt;!0:K"</f>
        <v>#VALUE!</v>
      </c>
      <c r="DU285" t="e">
        <f>Europe!I1020+"n/&gt;!0:L"</f>
        <v>#VALUE!</v>
      </c>
      <c r="DV285" t="e">
        <f>Europe!A1021+"n/&gt;!0:M"</f>
        <v>#VALUE!</v>
      </c>
      <c r="DW285" t="e">
        <f>Europe!B1021+"n/&gt;!0:N"</f>
        <v>#VALUE!</v>
      </c>
      <c r="DX285" t="e">
        <f>Europe!C1021+"n/&gt;!0:O"</f>
        <v>#VALUE!</v>
      </c>
      <c r="DY285" t="e">
        <f>Europe!D1021+"n/&gt;!0:P"</f>
        <v>#VALUE!</v>
      </c>
      <c r="DZ285" t="e">
        <f>Europe!E1021+"n/&gt;!0:Q"</f>
        <v>#VALUE!</v>
      </c>
      <c r="EA285" t="e">
        <f>Europe!F1021+"n/&gt;!0:R"</f>
        <v>#VALUE!</v>
      </c>
      <c r="EB285" t="e">
        <f>Europe!G1021+"n/&gt;!0:S"</f>
        <v>#VALUE!</v>
      </c>
      <c r="EC285" t="e">
        <f>Europe!H1021+"n/&gt;!0:T"</f>
        <v>#VALUE!</v>
      </c>
      <c r="ED285" t="e">
        <f>Europe!I1021+"n/&gt;!0:U"</f>
        <v>#VALUE!</v>
      </c>
      <c r="EE285" t="e">
        <f>Europe!A1022+"n/&gt;!0:V"</f>
        <v>#VALUE!</v>
      </c>
      <c r="EF285" t="e">
        <f>Europe!B1022+"n/&gt;!0:W"</f>
        <v>#VALUE!</v>
      </c>
      <c r="EG285" t="e">
        <f>Europe!C1022+"n/&gt;!0:X"</f>
        <v>#VALUE!</v>
      </c>
      <c r="EH285" t="e">
        <f>Europe!D1022+"n/&gt;!0:Y"</f>
        <v>#VALUE!</v>
      </c>
      <c r="EI285" t="e">
        <f>Europe!E1022+"n/&gt;!0:Z"</f>
        <v>#VALUE!</v>
      </c>
      <c r="EJ285" t="e">
        <f>Europe!F1022+"n/&gt;!0:["</f>
        <v>#VALUE!</v>
      </c>
      <c r="EK285" t="e">
        <f>Europe!G1022+"n/&gt;!0:\"</f>
        <v>#VALUE!</v>
      </c>
      <c r="EL285" t="e">
        <f>Europe!H1022+"n/&gt;!0:]"</f>
        <v>#VALUE!</v>
      </c>
      <c r="EM285" t="e">
        <f>Europe!I1022+"n/&gt;!0:^"</f>
        <v>#VALUE!</v>
      </c>
      <c r="EN285" t="e">
        <f>Europe!A1023+"n/&gt;!0:_"</f>
        <v>#VALUE!</v>
      </c>
      <c r="EO285" t="e">
        <f>Europe!B1023+"n/&gt;!0:`"</f>
        <v>#VALUE!</v>
      </c>
      <c r="EP285" t="e">
        <f>Europe!C1023+"n/&gt;!0:a"</f>
        <v>#VALUE!</v>
      </c>
      <c r="EQ285" t="e">
        <f>Europe!D1023+"n/&gt;!0:b"</f>
        <v>#VALUE!</v>
      </c>
      <c r="ER285" t="e">
        <f>Europe!E1023+"n/&gt;!0:c"</f>
        <v>#VALUE!</v>
      </c>
      <c r="ES285" t="e">
        <f>Europe!F1023+"n/&gt;!0:d"</f>
        <v>#VALUE!</v>
      </c>
      <c r="ET285" t="e">
        <f>Europe!G1023+"n/&gt;!0:e"</f>
        <v>#VALUE!</v>
      </c>
      <c r="EU285" t="e">
        <f>Europe!H1023+"n/&gt;!0:f"</f>
        <v>#VALUE!</v>
      </c>
      <c r="EV285" t="e">
        <f>Europe!I1023+"n/&gt;!0:g"</f>
        <v>#VALUE!</v>
      </c>
      <c r="EW285" t="e">
        <f>Europe!A1024+"n/&gt;!0:h"</f>
        <v>#VALUE!</v>
      </c>
      <c r="EX285" t="e">
        <f>Europe!B1024+"n/&gt;!0:i"</f>
        <v>#VALUE!</v>
      </c>
      <c r="EY285" t="e">
        <f>Europe!C1024+"n/&gt;!0:j"</f>
        <v>#VALUE!</v>
      </c>
      <c r="EZ285" t="e">
        <f>Europe!D1024+"n/&gt;!0:k"</f>
        <v>#VALUE!</v>
      </c>
      <c r="FA285" t="e">
        <f>Europe!E1024+"n/&gt;!0:l"</f>
        <v>#VALUE!</v>
      </c>
      <c r="FB285" t="e">
        <f>Europe!F1024+"n/&gt;!0:m"</f>
        <v>#VALUE!</v>
      </c>
      <c r="FC285" t="e">
        <f>Europe!G1024+"n/&gt;!0:n"</f>
        <v>#VALUE!</v>
      </c>
      <c r="FD285" t="e">
        <f>Europe!H1024+"n/&gt;!0:o"</f>
        <v>#VALUE!</v>
      </c>
      <c r="FE285" t="e">
        <f>Europe!I1024+"n/&gt;!0:p"</f>
        <v>#VALUE!</v>
      </c>
      <c r="FF285" t="e">
        <f>Europe!A1025+"n/&gt;!0:q"</f>
        <v>#VALUE!</v>
      </c>
      <c r="FG285" t="e">
        <f>Europe!B1025+"n/&gt;!0:r"</f>
        <v>#VALUE!</v>
      </c>
      <c r="FH285" t="e">
        <f>Europe!C1025+"n/&gt;!0:s"</f>
        <v>#VALUE!</v>
      </c>
      <c r="FI285" t="e">
        <f>Europe!D1025+"n/&gt;!0:t"</f>
        <v>#VALUE!</v>
      </c>
      <c r="FJ285" t="e">
        <f>Europe!E1025+"n/&gt;!0:u"</f>
        <v>#VALUE!</v>
      </c>
      <c r="FK285" t="e">
        <f>Europe!F1025+"n/&gt;!0:v"</f>
        <v>#VALUE!</v>
      </c>
      <c r="FL285" t="e">
        <f>Europe!G1025+"n/&gt;!0:w"</f>
        <v>#VALUE!</v>
      </c>
      <c r="FM285" t="e">
        <f>Europe!H1025+"n/&gt;!0:x"</f>
        <v>#VALUE!</v>
      </c>
      <c r="FN285" t="e">
        <f>Europe!I1025+"n/&gt;!0:y"</f>
        <v>#VALUE!</v>
      </c>
      <c r="FO285" t="e">
        <f>Europe!A1026+"n/&gt;!0:z"</f>
        <v>#VALUE!</v>
      </c>
      <c r="FP285" t="e">
        <f>Europe!B1026+"n/&gt;!0:{"</f>
        <v>#VALUE!</v>
      </c>
      <c r="FQ285" t="e">
        <f>Europe!C1026+"n/&gt;!0:|"</f>
        <v>#VALUE!</v>
      </c>
      <c r="FR285" t="e">
        <f>Europe!D1026+"n/&gt;!0:}"</f>
        <v>#VALUE!</v>
      </c>
      <c r="FS285" t="e">
        <f>Europe!E1026+"n/&gt;!0:~"</f>
        <v>#VALUE!</v>
      </c>
      <c r="FT285" t="e">
        <f>Europe!F1026+"n/&gt;!0;#"</f>
        <v>#VALUE!</v>
      </c>
      <c r="FU285" t="e">
        <f>Europe!G1026+"n/&gt;!0;$"</f>
        <v>#VALUE!</v>
      </c>
      <c r="FV285" t="e">
        <f>Europe!H1026+"n/&gt;!0;%"</f>
        <v>#VALUE!</v>
      </c>
      <c r="FW285" t="e">
        <f>Europe!I1026+"n/&gt;!0;&amp;"</f>
        <v>#VALUE!</v>
      </c>
      <c r="FX285" t="e">
        <f>Europe!A1027+"n/&gt;!0;'"</f>
        <v>#VALUE!</v>
      </c>
      <c r="FY285" t="e">
        <f>Europe!B1027+"n/&gt;!0;("</f>
        <v>#VALUE!</v>
      </c>
      <c r="FZ285" t="e">
        <f>Europe!C1027+"n/&gt;!0;)"</f>
        <v>#VALUE!</v>
      </c>
      <c r="GA285" t="e">
        <f>Europe!D1027+"n/&gt;!0;."</f>
        <v>#VALUE!</v>
      </c>
      <c r="GB285" t="e">
        <f>Europe!E1027+"n/&gt;!0;/"</f>
        <v>#VALUE!</v>
      </c>
      <c r="GC285" t="e">
        <f>Europe!F1027+"n/&gt;!0;0"</f>
        <v>#VALUE!</v>
      </c>
      <c r="GD285" t="e">
        <f>Europe!G1027+"n/&gt;!0;1"</f>
        <v>#VALUE!</v>
      </c>
      <c r="GE285" t="e">
        <f>Europe!H1027+"n/&gt;!0;2"</f>
        <v>#VALUE!</v>
      </c>
      <c r="GF285" t="e">
        <f>Europe!I1027+"n/&gt;!0;3"</f>
        <v>#VALUE!</v>
      </c>
      <c r="GG285" t="e">
        <f>Europe!A1028+"n/&gt;!0;4"</f>
        <v>#VALUE!</v>
      </c>
      <c r="GH285" t="e">
        <f>Europe!B1028+"n/&gt;!0;5"</f>
        <v>#VALUE!</v>
      </c>
      <c r="GI285" t="e">
        <f>Europe!C1028+"n/&gt;!0;6"</f>
        <v>#VALUE!</v>
      </c>
      <c r="GJ285" t="e">
        <f>Europe!D1028+"n/&gt;!0;7"</f>
        <v>#VALUE!</v>
      </c>
      <c r="GK285" t="e">
        <f>Europe!E1028+"n/&gt;!0;8"</f>
        <v>#VALUE!</v>
      </c>
      <c r="GL285" t="e">
        <f>Europe!F1028+"n/&gt;!0;9"</f>
        <v>#VALUE!</v>
      </c>
      <c r="GM285" t="e">
        <f>Europe!G1028+"n/&gt;!0;:"</f>
        <v>#VALUE!</v>
      </c>
      <c r="GN285" t="e">
        <f>Europe!H1028+"n/&gt;!0;;"</f>
        <v>#VALUE!</v>
      </c>
      <c r="GO285" t="e">
        <f>Europe!I1028+"n/&gt;!0;&lt;"</f>
        <v>#VALUE!</v>
      </c>
      <c r="GP285" t="e">
        <f>Europe!A1029+"n/&gt;!0;="</f>
        <v>#VALUE!</v>
      </c>
      <c r="GQ285" t="e">
        <f>Europe!B1029+"n/&gt;!0;&gt;"</f>
        <v>#VALUE!</v>
      </c>
      <c r="GR285" t="e">
        <f>Europe!C1029+"n/&gt;!0;?"</f>
        <v>#VALUE!</v>
      </c>
      <c r="GS285" t="e">
        <f>Europe!D1029+"n/&gt;!0;@"</f>
        <v>#VALUE!</v>
      </c>
      <c r="GT285" t="e">
        <f>Europe!E1029+"n/&gt;!0;A"</f>
        <v>#VALUE!</v>
      </c>
      <c r="GU285" t="e">
        <f>Europe!F1029+"n/&gt;!0;B"</f>
        <v>#VALUE!</v>
      </c>
      <c r="GV285" t="e">
        <f>Europe!G1029+"n/&gt;!0;C"</f>
        <v>#VALUE!</v>
      </c>
      <c r="GW285" t="e">
        <f>Europe!H1029+"n/&gt;!0;D"</f>
        <v>#VALUE!</v>
      </c>
      <c r="GX285" t="e">
        <f>Europe!I1029+"n/&gt;!0;E"</f>
        <v>#VALUE!</v>
      </c>
      <c r="GY285" t="e">
        <f>Europe!A1030+"n/&gt;!0;F"</f>
        <v>#VALUE!</v>
      </c>
      <c r="GZ285" t="e">
        <f>Europe!B1030+"n/&gt;!0;G"</f>
        <v>#VALUE!</v>
      </c>
      <c r="HA285" t="e">
        <f>Europe!C1030+"n/&gt;!0;H"</f>
        <v>#VALUE!</v>
      </c>
      <c r="HB285" t="e">
        <f>Europe!D1030+"n/&gt;!0;I"</f>
        <v>#VALUE!</v>
      </c>
      <c r="HC285" t="e">
        <f>Europe!E1030+"n/&gt;!0;J"</f>
        <v>#VALUE!</v>
      </c>
      <c r="HD285" t="e">
        <f>Europe!F1030+"n/&gt;!0;K"</f>
        <v>#VALUE!</v>
      </c>
      <c r="HE285" t="e">
        <f>Europe!G1030+"n/&gt;!0;L"</f>
        <v>#VALUE!</v>
      </c>
      <c r="HF285" t="e">
        <f>Europe!H1030+"n/&gt;!0;M"</f>
        <v>#VALUE!</v>
      </c>
      <c r="HG285" t="e">
        <f>Europe!I1030+"n/&gt;!0;N"</f>
        <v>#VALUE!</v>
      </c>
      <c r="HH285" t="e">
        <f>Europe!A1031+"n/&gt;!0;O"</f>
        <v>#VALUE!</v>
      </c>
      <c r="HI285" t="e">
        <f>Europe!B1031+"n/&gt;!0;P"</f>
        <v>#VALUE!</v>
      </c>
      <c r="HJ285" t="e">
        <f>Europe!C1031+"n/&gt;!0;Q"</f>
        <v>#VALUE!</v>
      </c>
      <c r="HK285" t="e">
        <f>Europe!D1031+"n/&gt;!0;R"</f>
        <v>#VALUE!</v>
      </c>
      <c r="HL285" t="e">
        <f>Europe!E1031+"n/&gt;!0;S"</f>
        <v>#VALUE!</v>
      </c>
      <c r="HM285" t="e">
        <f>Europe!F1031+"n/&gt;!0;T"</f>
        <v>#VALUE!</v>
      </c>
      <c r="HN285" t="e">
        <f>Europe!G1031+"n/&gt;!0;U"</f>
        <v>#VALUE!</v>
      </c>
      <c r="HO285" t="e">
        <f>Europe!H1031+"n/&gt;!0;V"</f>
        <v>#VALUE!</v>
      </c>
      <c r="HP285" t="e">
        <f>Europe!I1031+"n/&gt;!0;W"</f>
        <v>#VALUE!</v>
      </c>
      <c r="HQ285" t="e">
        <f>Europe!A1032+"n/&gt;!0;X"</f>
        <v>#VALUE!</v>
      </c>
      <c r="HR285" t="e">
        <f>Europe!B1032+"n/&gt;!0;Y"</f>
        <v>#VALUE!</v>
      </c>
      <c r="HS285" t="e">
        <f>Europe!C1032+"n/&gt;!0;Z"</f>
        <v>#VALUE!</v>
      </c>
      <c r="HT285" t="e">
        <f>Europe!D1032+"n/&gt;!0;["</f>
        <v>#VALUE!</v>
      </c>
      <c r="HU285" t="e">
        <f>Europe!E1032+"n/&gt;!0;\"</f>
        <v>#VALUE!</v>
      </c>
      <c r="HV285" t="e">
        <f>Europe!F1032+"n/&gt;!0;]"</f>
        <v>#VALUE!</v>
      </c>
      <c r="HW285" t="e">
        <f>Europe!G1032+"n/&gt;!0;^"</f>
        <v>#VALUE!</v>
      </c>
      <c r="HX285" t="e">
        <f>Europe!H1032+"n/&gt;!0;_"</f>
        <v>#VALUE!</v>
      </c>
      <c r="HY285" t="e">
        <f>Europe!I1032+"n/&gt;!0;`"</f>
        <v>#VALUE!</v>
      </c>
      <c r="HZ285" t="e">
        <f>Europe!A1033+"n/&gt;!0;a"</f>
        <v>#VALUE!</v>
      </c>
      <c r="IA285" t="e">
        <f>Europe!B1033+"n/&gt;!0;b"</f>
        <v>#VALUE!</v>
      </c>
      <c r="IB285" t="e">
        <f>Europe!C1033+"n/&gt;!0;c"</f>
        <v>#VALUE!</v>
      </c>
      <c r="IC285" t="e">
        <f>Europe!D1033+"n/&gt;!0;d"</f>
        <v>#VALUE!</v>
      </c>
      <c r="ID285" t="e">
        <f>Europe!E1033+"n/&gt;!0;e"</f>
        <v>#VALUE!</v>
      </c>
      <c r="IE285" t="e">
        <f>Europe!F1033+"n/&gt;!0;f"</f>
        <v>#VALUE!</v>
      </c>
      <c r="IF285" t="e">
        <f>Europe!G1033+"n/&gt;!0;g"</f>
        <v>#VALUE!</v>
      </c>
      <c r="IG285" t="e">
        <f>Europe!H1033+"n/&gt;!0;h"</f>
        <v>#VALUE!</v>
      </c>
      <c r="IH285" t="e">
        <f>Europe!I1033+"n/&gt;!0;i"</f>
        <v>#VALUE!</v>
      </c>
      <c r="II285" t="e">
        <f>Europe!A1034+"n/&gt;!0;j"</f>
        <v>#VALUE!</v>
      </c>
      <c r="IJ285" t="e">
        <f>Europe!B1034+"n/&gt;!0;k"</f>
        <v>#VALUE!</v>
      </c>
      <c r="IK285" t="e">
        <f>Europe!C1034+"n/&gt;!0;l"</f>
        <v>#VALUE!</v>
      </c>
      <c r="IL285" t="e">
        <f>Europe!D1034+"n/&gt;!0;m"</f>
        <v>#VALUE!</v>
      </c>
      <c r="IM285" t="e">
        <f>Europe!E1034+"n/&gt;!0;n"</f>
        <v>#VALUE!</v>
      </c>
      <c r="IN285" t="e">
        <f>Europe!F1034+"n/&gt;!0;o"</f>
        <v>#VALUE!</v>
      </c>
      <c r="IO285" t="e">
        <f>Europe!G1034+"n/&gt;!0;p"</f>
        <v>#VALUE!</v>
      </c>
      <c r="IP285" t="e">
        <f>Europe!H1034+"n/&gt;!0;q"</f>
        <v>#VALUE!</v>
      </c>
      <c r="IQ285" t="e">
        <f>Europe!I1034+"n/&gt;!0;r"</f>
        <v>#VALUE!</v>
      </c>
      <c r="IR285" t="e">
        <f>Europe!A1035+"n/&gt;!0;s"</f>
        <v>#VALUE!</v>
      </c>
      <c r="IS285" t="e">
        <f>Europe!B1035+"n/&gt;!0;t"</f>
        <v>#VALUE!</v>
      </c>
      <c r="IT285" t="e">
        <f>Europe!C1035+"n/&gt;!0;u"</f>
        <v>#VALUE!</v>
      </c>
      <c r="IU285" t="e">
        <f>Europe!D1035+"n/&gt;!0;v"</f>
        <v>#VALUE!</v>
      </c>
      <c r="IV285" t="e">
        <f>Europe!E1035+"n/&gt;!0;w"</f>
        <v>#VALUE!</v>
      </c>
    </row>
    <row r="286" spans="6:256" x14ac:dyDescent="0.35">
      <c r="F286" t="e">
        <f>Europe!F1035+"n/&gt;!0;x"</f>
        <v>#VALUE!</v>
      </c>
      <c r="G286" t="e">
        <f>Europe!G1035+"n/&gt;!0;y"</f>
        <v>#VALUE!</v>
      </c>
      <c r="H286" t="e">
        <f>Europe!H1035+"n/&gt;!0;z"</f>
        <v>#VALUE!</v>
      </c>
      <c r="I286" t="e">
        <f>Europe!I1035+"n/&gt;!0;{"</f>
        <v>#VALUE!</v>
      </c>
      <c r="J286" t="e">
        <f>Europe!A1036+"n/&gt;!0;|"</f>
        <v>#VALUE!</v>
      </c>
      <c r="K286" t="e">
        <f>Europe!B1036+"n/&gt;!0;}"</f>
        <v>#VALUE!</v>
      </c>
      <c r="L286" t="e">
        <f>Europe!C1036+"n/&gt;!0;~"</f>
        <v>#VALUE!</v>
      </c>
      <c r="M286" t="e">
        <f>Europe!D1036+"n/&gt;!0&lt;#"</f>
        <v>#VALUE!</v>
      </c>
      <c r="N286" t="e">
        <f>Europe!E1036+"n/&gt;!0&lt;$"</f>
        <v>#VALUE!</v>
      </c>
      <c r="O286" t="e">
        <f>Europe!F1036+"n/&gt;!0&lt;%"</f>
        <v>#VALUE!</v>
      </c>
      <c r="P286" t="e">
        <f>Europe!G1036+"n/&gt;!0&lt;&amp;"</f>
        <v>#VALUE!</v>
      </c>
      <c r="Q286" t="e">
        <f>Europe!H1036+"n/&gt;!0&lt;'"</f>
        <v>#VALUE!</v>
      </c>
      <c r="R286" t="e">
        <f>Europe!I1036+"n/&gt;!0&lt;("</f>
        <v>#VALUE!</v>
      </c>
      <c r="S286" t="e">
        <f>Europe!A1037+"n/&gt;!0&lt;)"</f>
        <v>#VALUE!</v>
      </c>
      <c r="T286" t="e">
        <f>Europe!B1037+"n/&gt;!0&lt;."</f>
        <v>#VALUE!</v>
      </c>
      <c r="U286" t="e">
        <f>Europe!C1037+"n/&gt;!0&lt;/"</f>
        <v>#VALUE!</v>
      </c>
      <c r="V286" t="e">
        <f>Europe!D1037+"n/&gt;!0&lt;0"</f>
        <v>#VALUE!</v>
      </c>
      <c r="W286" t="e">
        <f>Europe!E1037+"n/&gt;!0&lt;1"</f>
        <v>#VALUE!</v>
      </c>
      <c r="X286" t="e">
        <f>Europe!F1037+"n/&gt;!0&lt;2"</f>
        <v>#VALUE!</v>
      </c>
      <c r="Y286" t="e">
        <f>Europe!G1037+"n/&gt;!0&lt;3"</f>
        <v>#VALUE!</v>
      </c>
      <c r="Z286" t="e">
        <f>Europe!H1037+"n/&gt;!0&lt;4"</f>
        <v>#VALUE!</v>
      </c>
      <c r="AA286" t="e">
        <f>Europe!I1037+"n/&gt;!0&lt;5"</f>
        <v>#VALUE!</v>
      </c>
      <c r="AB286" t="e">
        <f>Europe!A1038+"n/&gt;!0&lt;6"</f>
        <v>#VALUE!</v>
      </c>
      <c r="AC286" t="e">
        <f>Europe!B1038+"n/&gt;!0&lt;7"</f>
        <v>#VALUE!</v>
      </c>
      <c r="AD286" t="e">
        <f>Europe!C1038+"n/&gt;!0&lt;8"</f>
        <v>#VALUE!</v>
      </c>
      <c r="AE286" t="e">
        <f>Europe!D1038+"n/&gt;!0&lt;9"</f>
        <v>#VALUE!</v>
      </c>
      <c r="AF286" t="e">
        <f>Europe!E1038+"n/&gt;!0&lt;:"</f>
        <v>#VALUE!</v>
      </c>
      <c r="AG286" t="e">
        <f>Europe!F1038+"n/&gt;!0&lt;;"</f>
        <v>#VALUE!</v>
      </c>
      <c r="AH286" t="e">
        <f>Europe!G1038+"n/&gt;!0&lt;&lt;"</f>
        <v>#VALUE!</v>
      </c>
      <c r="AI286" t="e">
        <f>Europe!H1038+"n/&gt;!0&lt;="</f>
        <v>#VALUE!</v>
      </c>
      <c r="AJ286" t="e">
        <f>Europe!I1038+"n/&gt;!0&lt;&gt;"</f>
        <v>#VALUE!</v>
      </c>
      <c r="AK286" t="e">
        <f>Europe!A1039+"n/&gt;!0&lt;?"</f>
        <v>#VALUE!</v>
      </c>
      <c r="AL286" t="e">
        <f>Europe!B1039+"n/&gt;!0&lt;@"</f>
        <v>#VALUE!</v>
      </c>
      <c r="AM286" t="e">
        <f>Europe!C1039+"n/&gt;!0&lt;A"</f>
        <v>#VALUE!</v>
      </c>
      <c r="AN286" t="e">
        <f>Europe!D1039+"n/&gt;!0&lt;B"</f>
        <v>#VALUE!</v>
      </c>
      <c r="AO286" t="e">
        <f>Europe!E1039+"n/&gt;!0&lt;C"</f>
        <v>#VALUE!</v>
      </c>
      <c r="AP286" t="e">
        <f>Europe!F1039+"n/&gt;!0&lt;D"</f>
        <v>#VALUE!</v>
      </c>
      <c r="AQ286" t="e">
        <f>Europe!G1039+"n/&gt;!0&lt;E"</f>
        <v>#VALUE!</v>
      </c>
      <c r="AR286" t="e">
        <f>Europe!H1039+"n/&gt;!0&lt;F"</f>
        <v>#VALUE!</v>
      </c>
      <c r="AS286" t="e">
        <f>Europe!I1039+"n/&gt;!0&lt;G"</f>
        <v>#VALUE!</v>
      </c>
      <c r="AT286" t="e">
        <f>Europe!A1040+"n/&gt;!0&lt;H"</f>
        <v>#VALUE!</v>
      </c>
      <c r="AU286" t="e">
        <f>Europe!B1040+"n/&gt;!0&lt;I"</f>
        <v>#VALUE!</v>
      </c>
      <c r="AV286" t="e">
        <f>Europe!C1040+"n/&gt;!0&lt;J"</f>
        <v>#VALUE!</v>
      </c>
      <c r="AW286" t="e">
        <f>Europe!D1040+"n/&gt;!0&lt;K"</f>
        <v>#VALUE!</v>
      </c>
      <c r="AX286" t="e">
        <f>Europe!E1040+"n/&gt;!0&lt;L"</f>
        <v>#VALUE!</v>
      </c>
      <c r="AY286" t="e">
        <f>Europe!F1040+"n/&gt;!0&lt;M"</f>
        <v>#VALUE!</v>
      </c>
      <c r="AZ286" t="e">
        <f>Europe!G1040+"n/&gt;!0&lt;N"</f>
        <v>#VALUE!</v>
      </c>
      <c r="BA286" t="e">
        <f>Europe!H1040+"n/&gt;!0&lt;O"</f>
        <v>#VALUE!</v>
      </c>
      <c r="BB286" t="e">
        <f>Europe!I1040+"n/&gt;!0&lt;P"</f>
        <v>#VALUE!</v>
      </c>
      <c r="BC286" t="e">
        <f>Europe!A1041+"n/&gt;!0&lt;Q"</f>
        <v>#VALUE!</v>
      </c>
      <c r="BD286" t="e">
        <f>Europe!B1041+"n/&gt;!0&lt;R"</f>
        <v>#VALUE!</v>
      </c>
      <c r="BE286" t="e">
        <f>Europe!C1041+"n/&gt;!0&lt;S"</f>
        <v>#VALUE!</v>
      </c>
      <c r="BF286" t="e">
        <f>Europe!D1041+"n/&gt;!0&lt;T"</f>
        <v>#VALUE!</v>
      </c>
      <c r="BG286" t="e">
        <f>Europe!E1041+"n/&gt;!0&lt;U"</f>
        <v>#VALUE!</v>
      </c>
      <c r="BH286" t="e">
        <f>Europe!F1041+"n/&gt;!0&lt;V"</f>
        <v>#VALUE!</v>
      </c>
      <c r="BI286" t="e">
        <f>Europe!G1041+"n/&gt;!0&lt;W"</f>
        <v>#VALUE!</v>
      </c>
      <c r="BJ286" t="e">
        <f>Europe!H1041+"n/&gt;!0&lt;X"</f>
        <v>#VALUE!</v>
      </c>
      <c r="BK286" t="e">
        <f>Europe!I1041+"n/&gt;!0&lt;Y"</f>
        <v>#VALUE!</v>
      </c>
      <c r="BL286" t="e">
        <f>Europe!A1042+"n/&gt;!0&lt;Z"</f>
        <v>#VALUE!</v>
      </c>
      <c r="BM286" t="e">
        <f>Europe!B1042+"n/&gt;!0&lt;["</f>
        <v>#VALUE!</v>
      </c>
      <c r="BN286" t="e">
        <f>Europe!C1042+"n/&gt;!0&lt;\"</f>
        <v>#VALUE!</v>
      </c>
      <c r="BO286" t="e">
        <f>Europe!D1042+"n/&gt;!0&lt;]"</f>
        <v>#VALUE!</v>
      </c>
      <c r="BP286" t="e">
        <f>Europe!E1042+"n/&gt;!0&lt;^"</f>
        <v>#VALUE!</v>
      </c>
      <c r="BQ286" t="e">
        <f>Europe!F1042+"n/&gt;!0&lt;_"</f>
        <v>#VALUE!</v>
      </c>
      <c r="BR286" t="e">
        <f>Europe!G1042+"n/&gt;!0&lt;`"</f>
        <v>#VALUE!</v>
      </c>
      <c r="BS286" t="e">
        <f>Europe!H1042+"n/&gt;!0&lt;a"</f>
        <v>#VALUE!</v>
      </c>
      <c r="BT286" t="e">
        <f>Europe!I1042+"n/&gt;!0&lt;b"</f>
        <v>#VALUE!</v>
      </c>
      <c r="BU286" t="e">
        <f>Europe!A1043+"n/&gt;!0&lt;c"</f>
        <v>#VALUE!</v>
      </c>
      <c r="BV286" t="e">
        <f>Europe!B1043+"n/&gt;!0&lt;d"</f>
        <v>#VALUE!</v>
      </c>
      <c r="BW286" t="e">
        <f>Europe!C1043+"n/&gt;!0&lt;e"</f>
        <v>#VALUE!</v>
      </c>
      <c r="BX286" t="e">
        <f>Europe!D1043+"n/&gt;!0&lt;f"</f>
        <v>#VALUE!</v>
      </c>
      <c r="BY286" t="e">
        <f>Europe!E1043+"n/&gt;!0&lt;g"</f>
        <v>#VALUE!</v>
      </c>
      <c r="BZ286" t="e">
        <f>Europe!F1043+"n/&gt;!0&lt;h"</f>
        <v>#VALUE!</v>
      </c>
      <c r="CA286" t="e">
        <f>Europe!G1043+"n/&gt;!0&lt;i"</f>
        <v>#VALUE!</v>
      </c>
      <c r="CB286" t="e">
        <f>Europe!H1043+"n/&gt;!0&lt;j"</f>
        <v>#VALUE!</v>
      </c>
      <c r="CC286" t="e">
        <f>Europe!I1043+"n/&gt;!0&lt;k"</f>
        <v>#VALUE!</v>
      </c>
      <c r="CD286" t="e">
        <f>Europe!A1044+"n/&gt;!0&lt;l"</f>
        <v>#VALUE!</v>
      </c>
      <c r="CE286" t="e">
        <f>Europe!B1044+"n/&gt;!0&lt;m"</f>
        <v>#VALUE!</v>
      </c>
      <c r="CF286" t="e">
        <f>Europe!C1044+"n/&gt;!0&lt;n"</f>
        <v>#VALUE!</v>
      </c>
      <c r="CG286" t="e">
        <f>Europe!D1044+"n/&gt;!0&lt;o"</f>
        <v>#VALUE!</v>
      </c>
      <c r="CH286" t="e">
        <f>Europe!E1044+"n/&gt;!0&lt;p"</f>
        <v>#VALUE!</v>
      </c>
      <c r="CI286" t="e">
        <f>Europe!F1044+"n/&gt;!0&lt;q"</f>
        <v>#VALUE!</v>
      </c>
      <c r="CJ286" t="e">
        <f>Europe!G1044+"n/&gt;!0&lt;r"</f>
        <v>#VALUE!</v>
      </c>
      <c r="CK286" t="e">
        <f>Europe!H1044+"n/&gt;!0&lt;s"</f>
        <v>#VALUE!</v>
      </c>
      <c r="CL286" t="e">
        <f>Europe!I1044+"n/&gt;!0&lt;t"</f>
        <v>#VALUE!</v>
      </c>
      <c r="CM286" t="e">
        <f>Europe!A1045+"n/&gt;!0&lt;u"</f>
        <v>#VALUE!</v>
      </c>
      <c r="CN286" t="e">
        <f>Europe!B1045+"n/&gt;!0&lt;v"</f>
        <v>#VALUE!</v>
      </c>
      <c r="CO286" t="e">
        <f>Europe!C1045+"n/&gt;!0&lt;w"</f>
        <v>#VALUE!</v>
      </c>
      <c r="CP286" t="e">
        <f>Europe!D1045+"n/&gt;!0&lt;x"</f>
        <v>#VALUE!</v>
      </c>
      <c r="CQ286" t="e">
        <f>Europe!E1045+"n/&gt;!0&lt;y"</f>
        <v>#VALUE!</v>
      </c>
      <c r="CR286" t="e">
        <f>Europe!F1045+"n/&gt;!0&lt;z"</f>
        <v>#VALUE!</v>
      </c>
      <c r="CS286" t="e">
        <f>Europe!G1045+"n/&gt;!0&lt;{"</f>
        <v>#VALUE!</v>
      </c>
      <c r="CT286" t="e">
        <f>Europe!H1045+"n/&gt;!0&lt;|"</f>
        <v>#VALUE!</v>
      </c>
      <c r="CU286" t="e">
        <f>Europe!I1045+"n/&gt;!0&lt;}"</f>
        <v>#VALUE!</v>
      </c>
      <c r="CV286" t="e">
        <f>Europe!A1046+"n/&gt;!0&lt;~"</f>
        <v>#VALUE!</v>
      </c>
      <c r="CW286" t="e">
        <f>Europe!B1046+"n/&gt;!0=#"</f>
        <v>#VALUE!</v>
      </c>
      <c r="CX286" t="e">
        <f>Europe!C1046+"n/&gt;!0=$"</f>
        <v>#VALUE!</v>
      </c>
      <c r="CY286" t="e">
        <f>Europe!D1046+"n/&gt;!0=%"</f>
        <v>#VALUE!</v>
      </c>
      <c r="CZ286" t="e">
        <f>Europe!E1046+"n/&gt;!0=&amp;"</f>
        <v>#VALUE!</v>
      </c>
      <c r="DA286" t="e">
        <f>Europe!F1046+"n/&gt;!0='"</f>
        <v>#VALUE!</v>
      </c>
      <c r="DB286" t="e">
        <f>Europe!G1046+"n/&gt;!0=("</f>
        <v>#VALUE!</v>
      </c>
      <c r="DC286" t="e">
        <f>Europe!H1046+"n/&gt;!0=)"</f>
        <v>#VALUE!</v>
      </c>
      <c r="DD286" t="e">
        <f>Europe!I1046+"n/&gt;!0=."</f>
        <v>#VALUE!</v>
      </c>
      <c r="DE286" t="e">
        <f>Europe!A1047+"n/&gt;!0=/"</f>
        <v>#VALUE!</v>
      </c>
      <c r="DF286" t="e">
        <f>Europe!B1047+"n/&gt;!0=0"</f>
        <v>#VALUE!</v>
      </c>
      <c r="DG286" t="e">
        <f>Europe!C1047+"n/&gt;!0=1"</f>
        <v>#VALUE!</v>
      </c>
      <c r="DH286" t="e">
        <f>Europe!D1047+"n/&gt;!0=2"</f>
        <v>#VALUE!</v>
      </c>
      <c r="DI286" t="e">
        <f>Europe!E1047+"n/&gt;!0=3"</f>
        <v>#VALUE!</v>
      </c>
      <c r="DJ286" t="e">
        <f>Europe!F1047+"n/&gt;!0=4"</f>
        <v>#VALUE!</v>
      </c>
      <c r="DK286" t="e">
        <f>Europe!G1047+"n/&gt;!0=5"</f>
        <v>#VALUE!</v>
      </c>
      <c r="DL286" t="e">
        <f>Europe!H1047+"n/&gt;!0=6"</f>
        <v>#VALUE!</v>
      </c>
      <c r="DM286" t="e">
        <f>Europe!I1047+"n/&gt;!0=7"</f>
        <v>#VALUE!</v>
      </c>
      <c r="DN286" t="e">
        <f>Europe!A1048+"n/&gt;!0=8"</f>
        <v>#VALUE!</v>
      </c>
      <c r="DO286" t="e">
        <f>Europe!B1048+"n/&gt;!0=9"</f>
        <v>#VALUE!</v>
      </c>
      <c r="DP286" t="e">
        <f>Europe!C1048+"n/&gt;!0=:"</f>
        <v>#VALUE!</v>
      </c>
      <c r="DQ286" t="e">
        <f>Europe!D1048+"n/&gt;!0=;"</f>
        <v>#VALUE!</v>
      </c>
      <c r="DR286" t="e">
        <f>Europe!E1048+"n/&gt;!0=&lt;"</f>
        <v>#VALUE!</v>
      </c>
      <c r="DS286" t="e">
        <f>Europe!F1048+"n/&gt;!0=="</f>
        <v>#VALUE!</v>
      </c>
      <c r="DT286" t="e">
        <f>Europe!G1048+"n/&gt;!0=&gt;"</f>
        <v>#VALUE!</v>
      </c>
      <c r="DU286" t="e">
        <f>Europe!H1048+"n/&gt;!0=?"</f>
        <v>#VALUE!</v>
      </c>
      <c r="DV286" t="e">
        <f>Europe!I1048+"n/&gt;!0=@"</f>
        <v>#VALUE!</v>
      </c>
      <c r="DW286" t="e">
        <f>Europe!A1049+"n/&gt;!0=A"</f>
        <v>#VALUE!</v>
      </c>
      <c r="DX286" t="e">
        <f>Europe!B1049+"n/&gt;!0=B"</f>
        <v>#VALUE!</v>
      </c>
      <c r="DY286" t="e">
        <f>Europe!C1049+"n/&gt;!0=C"</f>
        <v>#VALUE!</v>
      </c>
      <c r="DZ286" t="e">
        <f>Europe!D1049+"n/&gt;!0=D"</f>
        <v>#VALUE!</v>
      </c>
      <c r="EA286" t="e">
        <f>Europe!E1049+"n/&gt;!0=E"</f>
        <v>#VALUE!</v>
      </c>
      <c r="EB286" t="e">
        <f>Europe!F1049+"n/&gt;!0=F"</f>
        <v>#VALUE!</v>
      </c>
      <c r="EC286" t="e">
        <f>Europe!G1049+"n/&gt;!0=G"</f>
        <v>#VALUE!</v>
      </c>
      <c r="ED286" t="e">
        <f>Europe!H1049+"n/&gt;!0=H"</f>
        <v>#VALUE!</v>
      </c>
      <c r="EE286" t="e">
        <f>Europe!I1049+"n/&gt;!0=I"</f>
        <v>#VALUE!</v>
      </c>
      <c r="EF286" t="e">
        <f>Europe!A1050+"n/&gt;!0=J"</f>
        <v>#VALUE!</v>
      </c>
      <c r="EG286" t="e">
        <f>Europe!B1050+"n/&gt;!0=K"</f>
        <v>#VALUE!</v>
      </c>
      <c r="EH286" t="e">
        <f>Europe!C1050+"n/&gt;!0=L"</f>
        <v>#VALUE!</v>
      </c>
      <c r="EI286" t="e">
        <f>Europe!D1050+"n/&gt;!0=M"</f>
        <v>#VALUE!</v>
      </c>
      <c r="EJ286" t="e">
        <f>Europe!E1050+"n/&gt;!0=N"</f>
        <v>#VALUE!</v>
      </c>
      <c r="EK286" t="e">
        <f>Europe!F1050+"n/&gt;!0=O"</f>
        <v>#VALUE!</v>
      </c>
      <c r="EL286" t="e">
        <f>Europe!G1050+"n/&gt;!0=P"</f>
        <v>#VALUE!</v>
      </c>
      <c r="EM286" t="e">
        <f>Europe!H1050+"n/&gt;!0=Q"</f>
        <v>#VALUE!</v>
      </c>
      <c r="EN286" t="e">
        <f>Europe!I1050+"n/&gt;!0=R"</f>
        <v>#VALUE!</v>
      </c>
      <c r="EO286" t="e">
        <f>Europe!A1051+"n/&gt;!0=S"</f>
        <v>#VALUE!</v>
      </c>
      <c r="EP286" t="e">
        <f>Europe!B1051+"n/&gt;!0=T"</f>
        <v>#VALUE!</v>
      </c>
      <c r="EQ286" t="e">
        <f>Europe!C1051+"n/&gt;!0=U"</f>
        <v>#VALUE!</v>
      </c>
      <c r="ER286" t="e">
        <f>Europe!D1051+"n/&gt;!0=V"</f>
        <v>#VALUE!</v>
      </c>
      <c r="ES286" t="e">
        <f>Europe!E1051+"n/&gt;!0=W"</f>
        <v>#VALUE!</v>
      </c>
      <c r="ET286" t="e">
        <f>Europe!F1051+"n/&gt;!0=X"</f>
        <v>#VALUE!</v>
      </c>
      <c r="EU286" t="e">
        <f>Europe!G1051+"n/&gt;!0=Y"</f>
        <v>#VALUE!</v>
      </c>
      <c r="EV286" t="e">
        <f>Europe!H1051+"n/&gt;!0=Z"</f>
        <v>#VALUE!</v>
      </c>
      <c r="EW286" t="e">
        <f>Europe!I1051+"n/&gt;!0=["</f>
        <v>#VALUE!</v>
      </c>
      <c r="EX286" t="e">
        <f>Europe!A1052+"n/&gt;!0=\"</f>
        <v>#VALUE!</v>
      </c>
      <c r="EY286" t="e">
        <f>Europe!B1052+"n/&gt;!0=]"</f>
        <v>#VALUE!</v>
      </c>
      <c r="EZ286" t="e">
        <f>Europe!C1052+"n/&gt;!0=^"</f>
        <v>#VALUE!</v>
      </c>
      <c r="FA286" t="e">
        <f>Europe!D1052+"n/&gt;!0=_"</f>
        <v>#VALUE!</v>
      </c>
      <c r="FB286" t="e">
        <f>Europe!E1052+"n/&gt;!0=`"</f>
        <v>#VALUE!</v>
      </c>
      <c r="FC286" t="e">
        <f>Europe!F1052+"n/&gt;!0=a"</f>
        <v>#VALUE!</v>
      </c>
      <c r="FD286" t="e">
        <f>Europe!G1052+"n/&gt;!0=b"</f>
        <v>#VALUE!</v>
      </c>
      <c r="FE286" t="e">
        <f>Europe!H1052+"n/&gt;!0=c"</f>
        <v>#VALUE!</v>
      </c>
      <c r="FF286" t="e">
        <f>Europe!I1052+"n/&gt;!0=d"</f>
        <v>#VALUE!</v>
      </c>
      <c r="FG286" t="e">
        <f>Europe!A1053+"n/&gt;!0=e"</f>
        <v>#VALUE!</v>
      </c>
      <c r="FH286" t="e">
        <f>Europe!B1053+"n/&gt;!0=f"</f>
        <v>#VALUE!</v>
      </c>
      <c r="FI286" t="e">
        <f>Europe!C1053+"n/&gt;!0=g"</f>
        <v>#VALUE!</v>
      </c>
      <c r="FJ286" t="e">
        <f>Europe!D1053+"n/&gt;!0=h"</f>
        <v>#VALUE!</v>
      </c>
      <c r="FK286" t="e">
        <f>Europe!E1053+"n/&gt;!0=i"</f>
        <v>#VALUE!</v>
      </c>
      <c r="FL286" t="e">
        <f>Europe!F1053+"n/&gt;!0=j"</f>
        <v>#VALUE!</v>
      </c>
      <c r="FM286" t="e">
        <f>Europe!G1053+"n/&gt;!0=k"</f>
        <v>#VALUE!</v>
      </c>
      <c r="FN286" t="e">
        <f>Europe!H1053+"n/&gt;!0=l"</f>
        <v>#VALUE!</v>
      </c>
      <c r="FO286" t="e">
        <f>Europe!I1053+"n/&gt;!0=m"</f>
        <v>#VALUE!</v>
      </c>
      <c r="FP286" t="e">
        <f>Europe!A1054+"n/&gt;!0=n"</f>
        <v>#VALUE!</v>
      </c>
      <c r="FQ286" t="e">
        <f>Europe!B1054+"n/&gt;!0=o"</f>
        <v>#VALUE!</v>
      </c>
      <c r="FR286" t="e">
        <f>Europe!C1054+"n/&gt;!0=p"</f>
        <v>#VALUE!</v>
      </c>
      <c r="FS286" t="e">
        <f>Europe!D1054+"n/&gt;!0=q"</f>
        <v>#VALUE!</v>
      </c>
      <c r="FT286" t="e">
        <f>Europe!E1054+"n/&gt;!0=r"</f>
        <v>#VALUE!</v>
      </c>
      <c r="FU286" t="e">
        <f>Europe!F1054+"n/&gt;!0=s"</f>
        <v>#VALUE!</v>
      </c>
      <c r="FV286" t="e">
        <f>Europe!G1054+"n/&gt;!0=t"</f>
        <v>#VALUE!</v>
      </c>
      <c r="FW286" t="e">
        <f>Europe!H1054+"n/&gt;!0=u"</f>
        <v>#VALUE!</v>
      </c>
      <c r="FX286" t="e">
        <f>Europe!I1054+"n/&gt;!0=v"</f>
        <v>#VALUE!</v>
      </c>
      <c r="FY286" t="e">
        <f>Europe!A1055+"n/&gt;!0=w"</f>
        <v>#VALUE!</v>
      </c>
      <c r="FZ286" t="e">
        <f>Europe!B1055+"n/&gt;!0=x"</f>
        <v>#VALUE!</v>
      </c>
      <c r="GA286" t="e">
        <f>Europe!C1055+"n/&gt;!0=y"</f>
        <v>#VALUE!</v>
      </c>
      <c r="GB286" t="e">
        <f>Europe!D1055+"n/&gt;!0=z"</f>
        <v>#VALUE!</v>
      </c>
      <c r="GC286" t="e">
        <f>Europe!E1055+"n/&gt;!0={"</f>
        <v>#VALUE!</v>
      </c>
      <c r="GD286" t="e">
        <f>Europe!F1055+"n/&gt;!0=|"</f>
        <v>#VALUE!</v>
      </c>
      <c r="GE286" t="e">
        <f>Europe!G1055+"n/&gt;!0=}"</f>
        <v>#VALUE!</v>
      </c>
      <c r="GF286" t="e">
        <f>Europe!H1055+"n/&gt;!0=~"</f>
        <v>#VALUE!</v>
      </c>
      <c r="GG286" t="e">
        <f>Europe!I1055+"n/&gt;!0&gt;#"</f>
        <v>#VALUE!</v>
      </c>
      <c r="GH286" t="e">
        <f>Europe!A1056+"n/&gt;!0&gt;$"</f>
        <v>#VALUE!</v>
      </c>
      <c r="GI286" t="e">
        <f>Europe!B1056+"n/&gt;!0&gt;%"</f>
        <v>#VALUE!</v>
      </c>
      <c r="GJ286" t="e">
        <f>Europe!C1056+"n/&gt;!0&gt;&amp;"</f>
        <v>#VALUE!</v>
      </c>
      <c r="GK286" t="e">
        <f>Europe!D1056+"n/&gt;!0&gt;'"</f>
        <v>#VALUE!</v>
      </c>
      <c r="GL286" t="e">
        <f>Europe!E1056+"n/&gt;!0&gt;("</f>
        <v>#VALUE!</v>
      </c>
      <c r="GM286" t="e">
        <f>Europe!F1056+"n/&gt;!0&gt;)"</f>
        <v>#VALUE!</v>
      </c>
      <c r="GN286" t="e">
        <f>Europe!G1056+"n/&gt;!0&gt;."</f>
        <v>#VALUE!</v>
      </c>
      <c r="GO286" t="e">
        <f>Europe!H1056+"n/&gt;!0&gt;/"</f>
        <v>#VALUE!</v>
      </c>
      <c r="GP286" t="e">
        <f>Europe!I1056+"n/&gt;!0&gt;0"</f>
        <v>#VALUE!</v>
      </c>
      <c r="GQ286" t="e">
        <f>Europe!A1057+"n/&gt;!0&gt;1"</f>
        <v>#VALUE!</v>
      </c>
      <c r="GR286" t="e">
        <f>Europe!B1057+"n/&gt;!0&gt;2"</f>
        <v>#VALUE!</v>
      </c>
      <c r="GS286" t="e">
        <f>Europe!C1057+"n/&gt;!0&gt;3"</f>
        <v>#VALUE!</v>
      </c>
      <c r="GT286" t="e">
        <f>Europe!D1057+"n/&gt;!0&gt;4"</f>
        <v>#VALUE!</v>
      </c>
      <c r="GU286" t="e">
        <f>Europe!E1057+"n/&gt;!0&gt;5"</f>
        <v>#VALUE!</v>
      </c>
      <c r="GV286" t="e">
        <f>Europe!F1057+"n/&gt;!0&gt;6"</f>
        <v>#VALUE!</v>
      </c>
      <c r="GW286" t="e">
        <f>Europe!G1057+"n/&gt;!0&gt;7"</f>
        <v>#VALUE!</v>
      </c>
      <c r="GX286" t="e">
        <f>Europe!H1057+"n/&gt;!0&gt;8"</f>
        <v>#VALUE!</v>
      </c>
      <c r="GY286" t="e">
        <f>Europe!I1057+"n/&gt;!0&gt;9"</f>
        <v>#VALUE!</v>
      </c>
      <c r="GZ286" t="e">
        <f>Europe!A1058+"n/&gt;!0&gt;:"</f>
        <v>#VALUE!</v>
      </c>
      <c r="HA286" t="e">
        <f>Europe!B1058+"n/&gt;!0&gt;;"</f>
        <v>#VALUE!</v>
      </c>
      <c r="HB286" t="e">
        <f>Europe!C1058+"n/&gt;!0&gt;&lt;"</f>
        <v>#VALUE!</v>
      </c>
      <c r="HC286" t="e">
        <f>Europe!D1058+"n/&gt;!0&gt;="</f>
        <v>#VALUE!</v>
      </c>
      <c r="HD286" t="e">
        <f>Europe!E1058+"n/&gt;!0&gt;&gt;"</f>
        <v>#VALUE!</v>
      </c>
      <c r="HE286" t="e">
        <f>Europe!F1058+"n/&gt;!0&gt;?"</f>
        <v>#VALUE!</v>
      </c>
      <c r="HF286" t="e">
        <f>Europe!G1058+"n/&gt;!0&gt;@"</f>
        <v>#VALUE!</v>
      </c>
      <c r="HG286" t="e">
        <f>Europe!H1058+"n/&gt;!0&gt;A"</f>
        <v>#VALUE!</v>
      </c>
      <c r="HH286" t="e">
        <f>Europe!I1058+"n/&gt;!0&gt;B"</f>
        <v>#VALUE!</v>
      </c>
      <c r="HI286" t="e">
        <f>Europe!A1059+"n/&gt;!0&gt;C"</f>
        <v>#VALUE!</v>
      </c>
      <c r="HJ286" t="e">
        <f>Europe!B1059+"n/&gt;!0&gt;D"</f>
        <v>#VALUE!</v>
      </c>
      <c r="HK286" t="e">
        <f>Europe!C1059+"n/&gt;!0&gt;E"</f>
        <v>#VALUE!</v>
      </c>
      <c r="HL286" t="e">
        <f>Europe!D1059+"n/&gt;!0&gt;F"</f>
        <v>#VALUE!</v>
      </c>
      <c r="HM286" t="e">
        <f>Europe!E1059+"n/&gt;!0&gt;G"</f>
        <v>#VALUE!</v>
      </c>
      <c r="HN286" t="e">
        <f>Europe!F1059+"n/&gt;!0&gt;H"</f>
        <v>#VALUE!</v>
      </c>
      <c r="HO286" t="e">
        <f>Europe!G1059+"n/&gt;!0&gt;I"</f>
        <v>#VALUE!</v>
      </c>
      <c r="HP286" t="e">
        <f>Europe!H1059+"n/&gt;!0&gt;J"</f>
        <v>#VALUE!</v>
      </c>
      <c r="HQ286" t="e">
        <f>Europe!I1059+"n/&gt;!0&gt;K"</f>
        <v>#VALUE!</v>
      </c>
      <c r="HR286" t="e">
        <f>Europe!A1060+"n/&gt;!0&gt;L"</f>
        <v>#VALUE!</v>
      </c>
      <c r="HS286" t="e">
        <f>Europe!B1060+"n/&gt;!0&gt;M"</f>
        <v>#VALUE!</v>
      </c>
      <c r="HT286" t="e">
        <f>Europe!C1060+"n/&gt;!0&gt;N"</f>
        <v>#VALUE!</v>
      </c>
      <c r="HU286" t="e">
        <f>Europe!D1060+"n/&gt;!0&gt;O"</f>
        <v>#VALUE!</v>
      </c>
      <c r="HV286" t="e">
        <f>Europe!E1060+"n/&gt;!0&gt;P"</f>
        <v>#VALUE!</v>
      </c>
      <c r="HW286" t="e">
        <f>Europe!F1060+"n/&gt;!0&gt;Q"</f>
        <v>#VALUE!</v>
      </c>
      <c r="HX286" t="e">
        <f>Europe!G1060+"n/&gt;!0&gt;R"</f>
        <v>#VALUE!</v>
      </c>
      <c r="HY286" t="e">
        <f>Europe!H1060+"n/&gt;!0&gt;S"</f>
        <v>#VALUE!</v>
      </c>
      <c r="HZ286" t="e">
        <f>Europe!I1060+"n/&gt;!0&gt;T"</f>
        <v>#VALUE!</v>
      </c>
      <c r="IA286" t="e">
        <f>Europe!A1061+"n/&gt;!0&gt;U"</f>
        <v>#VALUE!</v>
      </c>
      <c r="IB286" t="e">
        <f>Europe!B1061+"n/&gt;!0&gt;V"</f>
        <v>#VALUE!</v>
      </c>
      <c r="IC286" t="e">
        <f>Europe!C1061+"n/&gt;!0&gt;W"</f>
        <v>#VALUE!</v>
      </c>
      <c r="ID286" t="e">
        <f>Europe!D1061+"n/&gt;!0&gt;X"</f>
        <v>#VALUE!</v>
      </c>
      <c r="IE286" t="e">
        <f>Europe!E1061+"n/&gt;!0&gt;Y"</f>
        <v>#VALUE!</v>
      </c>
      <c r="IF286" t="e">
        <f>Europe!F1061+"n/&gt;!0&gt;Z"</f>
        <v>#VALUE!</v>
      </c>
      <c r="IG286" t="e">
        <f>Europe!G1061+"n/&gt;!0&gt;["</f>
        <v>#VALUE!</v>
      </c>
      <c r="IH286" t="e">
        <f>Europe!H1061+"n/&gt;!0&gt;\"</f>
        <v>#VALUE!</v>
      </c>
      <c r="II286" t="e">
        <f>Europe!I1061+"n/&gt;!0&gt;]"</f>
        <v>#VALUE!</v>
      </c>
      <c r="IJ286" t="e">
        <f>Europe!A1062+"n/&gt;!0&gt;^"</f>
        <v>#VALUE!</v>
      </c>
      <c r="IK286" t="e">
        <f>Europe!B1062+"n/&gt;!0&gt;_"</f>
        <v>#VALUE!</v>
      </c>
      <c r="IL286" t="e">
        <f>Europe!C1062+"n/&gt;!0&gt;`"</f>
        <v>#VALUE!</v>
      </c>
      <c r="IM286" t="e">
        <f>Europe!D1062+"n/&gt;!0&gt;a"</f>
        <v>#VALUE!</v>
      </c>
      <c r="IN286" t="e">
        <f>Europe!E1062+"n/&gt;!0&gt;b"</f>
        <v>#VALUE!</v>
      </c>
      <c r="IO286" t="e">
        <f>Europe!F1062+"n/&gt;!0&gt;c"</f>
        <v>#VALUE!</v>
      </c>
      <c r="IP286" t="e">
        <f>Europe!G1062+"n/&gt;!0&gt;d"</f>
        <v>#VALUE!</v>
      </c>
      <c r="IQ286" t="e">
        <f>Europe!H1062+"n/&gt;!0&gt;e"</f>
        <v>#VALUE!</v>
      </c>
      <c r="IR286" t="e">
        <f>Europe!I1062+"n/&gt;!0&gt;f"</f>
        <v>#VALUE!</v>
      </c>
      <c r="IS286" t="e">
        <f>Europe!A1063+"n/&gt;!0&gt;g"</f>
        <v>#VALUE!</v>
      </c>
      <c r="IT286" t="e">
        <f>Europe!B1063+"n/&gt;!0&gt;h"</f>
        <v>#VALUE!</v>
      </c>
      <c r="IU286" t="e">
        <f>Europe!C1063+"n/&gt;!0&gt;i"</f>
        <v>#VALUE!</v>
      </c>
      <c r="IV286" t="e">
        <f>Europe!D1063+"n/&gt;!0&gt;j"</f>
        <v>#VALUE!</v>
      </c>
    </row>
    <row r="287" spans="6:256" x14ac:dyDescent="0.35">
      <c r="F287" t="e">
        <f>Europe!E1063+"n/&gt;!0&gt;k"</f>
        <v>#VALUE!</v>
      </c>
      <c r="G287" t="e">
        <f>Europe!F1063+"n/&gt;!0&gt;l"</f>
        <v>#VALUE!</v>
      </c>
      <c r="H287" t="e">
        <f>Europe!G1063+"n/&gt;!0&gt;m"</f>
        <v>#VALUE!</v>
      </c>
      <c r="I287" t="e">
        <f>Europe!H1063+"n/&gt;!0&gt;n"</f>
        <v>#VALUE!</v>
      </c>
      <c r="J287" t="e">
        <f>Europe!I1063+"n/&gt;!0&gt;o"</f>
        <v>#VALUE!</v>
      </c>
      <c r="K287" t="e">
        <f>Europe!A1064+"n/&gt;!0&gt;p"</f>
        <v>#VALUE!</v>
      </c>
      <c r="L287" t="e">
        <f>Europe!B1064+"n/&gt;!0&gt;q"</f>
        <v>#VALUE!</v>
      </c>
      <c r="M287" t="e">
        <f>Europe!C1064+"n/&gt;!0&gt;r"</f>
        <v>#VALUE!</v>
      </c>
      <c r="N287" t="e">
        <f>Europe!D1064+"n/&gt;!0&gt;s"</f>
        <v>#VALUE!</v>
      </c>
      <c r="O287" t="e">
        <f>Europe!E1064+"n/&gt;!0&gt;t"</f>
        <v>#VALUE!</v>
      </c>
      <c r="P287" t="e">
        <f>Europe!F1064+"n/&gt;!0&gt;u"</f>
        <v>#VALUE!</v>
      </c>
      <c r="Q287" t="e">
        <f>Europe!G1064+"n/&gt;!0&gt;v"</f>
        <v>#VALUE!</v>
      </c>
      <c r="R287" t="e">
        <f>Europe!H1064+"n/&gt;!0&gt;w"</f>
        <v>#VALUE!</v>
      </c>
      <c r="S287" t="e">
        <f>Europe!I1064+"n/&gt;!0&gt;x"</f>
        <v>#VALUE!</v>
      </c>
      <c r="T287" t="e">
        <f>Europe!A1065+"n/&gt;!0&gt;y"</f>
        <v>#VALUE!</v>
      </c>
      <c r="U287" t="e">
        <f>Europe!B1065+"n/&gt;!0&gt;z"</f>
        <v>#VALUE!</v>
      </c>
      <c r="V287" t="e">
        <f>Europe!C1065+"n/&gt;!0&gt;{"</f>
        <v>#VALUE!</v>
      </c>
      <c r="W287" t="e">
        <f>Europe!D1065+"n/&gt;!0&gt;|"</f>
        <v>#VALUE!</v>
      </c>
      <c r="X287" t="e">
        <f>Europe!E1065+"n/&gt;!0&gt;}"</f>
        <v>#VALUE!</v>
      </c>
      <c r="Y287" t="e">
        <f>Europe!F1065+"n/&gt;!0&gt;~"</f>
        <v>#VALUE!</v>
      </c>
      <c r="Z287" t="e">
        <f>Europe!G1065+"n/&gt;!0?#"</f>
        <v>#VALUE!</v>
      </c>
      <c r="AA287" t="e">
        <f>Europe!H1065+"n/&gt;!0?$"</f>
        <v>#VALUE!</v>
      </c>
      <c r="AB287" t="e">
        <f>Europe!I1065+"n/&gt;!0?%"</f>
        <v>#VALUE!</v>
      </c>
      <c r="AC287" t="e">
        <f>Europe!A1066+"n/&gt;!0?&amp;"</f>
        <v>#VALUE!</v>
      </c>
      <c r="AD287" t="e">
        <f>Europe!B1066+"n/&gt;!0?'"</f>
        <v>#VALUE!</v>
      </c>
      <c r="AE287" t="e">
        <f>Europe!C1066+"n/&gt;!0?("</f>
        <v>#VALUE!</v>
      </c>
      <c r="AF287" t="e">
        <f>Europe!D1066+"n/&gt;!0?)"</f>
        <v>#VALUE!</v>
      </c>
      <c r="AG287" t="e">
        <f>Europe!E1066+"n/&gt;!0?."</f>
        <v>#VALUE!</v>
      </c>
      <c r="AH287" t="e">
        <f>Europe!F1066+"n/&gt;!0?/"</f>
        <v>#VALUE!</v>
      </c>
      <c r="AI287" t="e">
        <f>Europe!G1066+"n/&gt;!0?0"</f>
        <v>#VALUE!</v>
      </c>
      <c r="AJ287" t="e">
        <f>Europe!H1066+"n/&gt;!0?1"</f>
        <v>#VALUE!</v>
      </c>
      <c r="AK287" t="e">
        <f>Europe!I1066+"n/&gt;!0?2"</f>
        <v>#VALUE!</v>
      </c>
      <c r="AL287" t="e">
        <f>Europe!A1067+"n/&gt;!0?3"</f>
        <v>#VALUE!</v>
      </c>
      <c r="AM287" t="e">
        <f>Europe!B1067+"n/&gt;!0?4"</f>
        <v>#VALUE!</v>
      </c>
      <c r="AN287" t="e">
        <f>Europe!C1067+"n/&gt;!0?5"</f>
        <v>#VALUE!</v>
      </c>
      <c r="AO287" t="e">
        <f>Europe!D1067+"n/&gt;!0?6"</f>
        <v>#VALUE!</v>
      </c>
      <c r="AP287" t="e">
        <f>Europe!E1067+"n/&gt;!0?7"</f>
        <v>#VALUE!</v>
      </c>
      <c r="AQ287" t="e">
        <f>Europe!F1067+"n/&gt;!0?8"</f>
        <v>#VALUE!</v>
      </c>
      <c r="AR287" t="e">
        <f>Europe!G1067+"n/&gt;!0?9"</f>
        <v>#VALUE!</v>
      </c>
      <c r="AS287" t="e">
        <f>Europe!H1067+"n/&gt;!0?:"</f>
        <v>#VALUE!</v>
      </c>
      <c r="AT287" t="e">
        <f>Europe!I1067+"n/&gt;!0?;"</f>
        <v>#VALUE!</v>
      </c>
      <c r="AU287" t="e">
        <f>Europe!A1068+"n/&gt;!0?&lt;"</f>
        <v>#VALUE!</v>
      </c>
      <c r="AV287" t="e">
        <f>Europe!B1068+"n/&gt;!0?="</f>
        <v>#VALUE!</v>
      </c>
      <c r="AW287" t="e">
        <f>Europe!C1068+"n/&gt;!0?&gt;"</f>
        <v>#VALUE!</v>
      </c>
      <c r="AX287" t="e">
        <f>Europe!D1068+"n/&gt;!0??"</f>
        <v>#VALUE!</v>
      </c>
      <c r="AY287" t="e">
        <f>Europe!E1068+"n/&gt;!0?@"</f>
        <v>#VALUE!</v>
      </c>
      <c r="AZ287" t="e">
        <f>Europe!F1068+"n/&gt;!0?A"</f>
        <v>#VALUE!</v>
      </c>
      <c r="BA287" t="e">
        <f>Europe!G1068+"n/&gt;!0?B"</f>
        <v>#VALUE!</v>
      </c>
      <c r="BB287" t="e">
        <f>Europe!H1068+"n/&gt;!0?C"</f>
        <v>#VALUE!</v>
      </c>
      <c r="BC287" t="e">
        <f>Europe!I1068+"n/&gt;!0?D"</f>
        <v>#VALUE!</v>
      </c>
      <c r="BD287" t="e">
        <f>Europe!A1069+"n/&gt;!0?E"</f>
        <v>#VALUE!</v>
      </c>
      <c r="BE287" t="e">
        <f>Europe!B1069+"n/&gt;!0?F"</f>
        <v>#VALUE!</v>
      </c>
      <c r="BF287" t="e">
        <f>Europe!C1069+"n/&gt;!0?G"</f>
        <v>#VALUE!</v>
      </c>
      <c r="BG287" t="e">
        <f>Europe!D1069+"n/&gt;!0?H"</f>
        <v>#VALUE!</v>
      </c>
      <c r="BH287" t="e">
        <f>Europe!E1069+"n/&gt;!0?I"</f>
        <v>#VALUE!</v>
      </c>
      <c r="BI287" t="e">
        <f>Europe!F1069+"n/&gt;!0?J"</f>
        <v>#VALUE!</v>
      </c>
      <c r="BJ287" t="e">
        <f>Europe!G1069+"n/&gt;!0?K"</f>
        <v>#VALUE!</v>
      </c>
      <c r="BK287" t="e">
        <f>Europe!H1069+"n/&gt;!0?L"</f>
        <v>#VALUE!</v>
      </c>
      <c r="BL287" t="e">
        <f>Europe!I1069+"n/&gt;!0?M"</f>
        <v>#VALUE!</v>
      </c>
      <c r="BM287" t="e">
        <f>Europe!A1070+"n/&gt;!0?N"</f>
        <v>#VALUE!</v>
      </c>
      <c r="BN287" t="e">
        <f>Europe!B1070+"n/&gt;!0?O"</f>
        <v>#VALUE!</v>
      </c>
      <c r="BO287" t="e">
        <f>Europe!C1070+"n/&gt;!0?P"</f>
        <v>#VALUE!</v>
      </c>
      <c r="BP287" t="e">
        <f>Europe!D1070+"n/&gt;!0?Q"</f>
        <v>#VALUE!</v>
      </c>
      <c r="BQ287" t="e">
        <f>Europe!E1070+"n/&gt;!0?R"</f>
        <v>#VALUE!</v>
      </c>
      <c r="BR287" t="e">
        <f>Europe!F1070+"n/&gt;!0?S"</f>
        <v>#VALUE!</v>
      </c>
      <c r="BS287" t="e">
        <f>Europe!G1070+"n/&gt;!0?T"</f>
        <v>#VALUE!</v>
      </c>
      <c r="BT287" t="e">
        <f>Europe!H1070+"n/&gt;!0?U"</f>
        <v>#VALUE!</v>
      </c>
      <c r="BU287" t="e">
        <f>Europe!I1070+"n/&gt;!0?V"</f>
        <v>#VALUE!</v>
      </c>
      <c r="BV287" t="e">
        <f>Europe!A1071+"n/&gt;!0?W"</f>
        <v>#VALUE!</v>
      </c>
      <c r="BW287" t="e">
        <f>Europe!B1071+"n/&gt;!0?X"</f>
        <v>#VALUE!</v>
      </c>
      <c r="BX287" t="e">
        <f>Europe!C1071+"n/&gt;!0?Y"</f>
        <v>#VALUE!</v>
      </c>
      <c r="BY287" t="e">
        <f>Europe!D1071+"n/&gt;!0?Z"</f>
        <v>#VALUE!</v>
      </c>
      <c r="BZ287" t="e">
        <f>Europe!E1071+"n/&gt;!0?["</f>
        <v>#VALUE!</v>
      </c>
      <c r="CA287" t="e">
        <f>Europe!F1071+"n/&gt;!0?\"</f>
        <v>#VALUE!</v>
      </c>
      <c r="CB287" t="e">
        <f>Europe!G1071+"n/&gt;!0?]"</f>
        <v>#VALUE!</v>
      </c>
      <c r="CC287" t="e">
        <f>Europe!H1071+"n/&gt;!0?^"</f>
        <v>#VALUE!</v>
      </c>
      <c r="CD287" t="e">
        <f>Europe!I1071+"n/&gt;!0?_"</f>
        <v>#VALUE!</v>
      </c>
      <c r="CE287" t="e">
        <f>Europe!A1072+"n/&gt;!0?`"</f>
        <v>#VALUE!</v>
      </c>
      <c r="CF287" t="e">
        <f>Europe!B1072+"n/&gt;!0?a"</f>
        <v>#VALUE!</v>
      </c>
      <c r="CG287" t="e">
        <f>Europe!C1072+"n/&gt;!0?b"</f>
        <v>#VALUE!</v>
      </c>
      <c r="CH287" t="e">
        <f>Europe!D1072+"n/&gt;!0?c"</f>
        <v>#VALUE!</v>
      </c>
      <c r="CI287" t="e">
        <f>Europe!E1072+"n/&gt;!0?d"</f>
        <v>#VALUE!</v>
      </c>
      <c r="CJ287" t="e">
        <f>Europe!F1072+"n/&gt;!0?e"</f>
        <v>#VALUE!</v>
      </c>
      <c r="CK287" t="e">
        <f>Europe!G1072+"n/&gt;!0?f"</f>
        <v>#VALUE!</v>
      </c>
      <c r="CL287" t="e">
        <f>Europe!H1072+"n/&gt;!0?g"</f>
        <v>#VALUE!</v>
      </c>
      <c r="CM287" t="e">
        <f>Europe!I1072+"n/&gt;!0?h"</f>
        <v>#VALUE!</v>
      </c>
      <c r="CN287" t="e">
        <f>Europe!A1073+"n/&gt;!0?i"</f>
        <v>#VALUE!</v>
      </c>
      <c r="CO287" t="e">
        <f>Europe!B1073+"n/&gt;!0?j"</f>
        <v>#VALUE!</v>
      </c>
      <c r="CP287" t="e">
        <f>Europe!C1073+"n/&gt;!0?k"</f>
        <v>#VALUE!</v>
      </c>
      <c r="CQ287" t="e">
        <f>Europe!D1073+"n/&gt;!0?l"</f>
        <v>#VALUE!</v>
      </c>
      <c r="CR287" t="e">
        <f>Europe!E1073+"n/&gt;!0?m"</f>
        <v>#VALUE!</v>
      </c>
      <c r="CS287" t="e">
        <f>Europe!F1073+"n/&gt;!0?n"</f>
        <v>#VALUE!</v>
      </c>
      <c r="CT287" t="e">
        <f>Europe!G1073+"n/&gt;!0?o"</f>
        <v>#VALUE!</v>
      </c>
      <c r="CU287" t="e">
        <f>Europe!H1073+"n/&gt;!0?p"</f>
        <v>#VALUE!</v>
      </c>
      <c r="CV287" t="e">
        <f>Europe!I1073+"n/&gt;!0?q"</f>
        <v>#VALUE!</v>
      </c>
      <c r="CW287" t="e">
        <f>Europe!A1074+"n/&gt;!0?r"</f>
        <v>#VALUE!</v>
      </c>
      <c r="CX287" t="e">
        <f>Europe!B1074+"n/&gt;!0?s"</f>
        <v>#VALUE!</v>
      </c>
      <c r="CY287" t="e">
        <f>Europe!C1074+"n/&gt;!0?t"</f>
        <v>#VALUE!</v>
      </c>
      <c r="CZ287" t="e">
        <f>Europe!D1074+"n/&gt;!0?u"</f>
        <v>#VALUE!</v>
      </c>
      <c r="DA287" t="e">
        <f>Europe!E1074+"n/&gt;!0?v"</f>
        <v>#VALUE!</v>
      </c>
      <c r="DB287" t="e">
        <f>Europe!F1074+"n/&gt;!0?w"</f>
        <v>#VALUE!</v>
      </c>
      <c r="DC287" t="e">
        <f>Europe!G1074+"n/&gt;!0?x"</f>
        <v>#VALUE!</v>
      </c>
      <c r="DD287" t="e">
        <f>Europe!H1074+"n/&gt;!0?y"</f>
        <v>#VALUE!</v>
      </c>
      <c r="DE287" t="e">
        <f>Europe!I1074+"n/&gt;!0?z"</f>
        <v>#VALUE!</v>
      </c>
      <c r="DF287" t="e">
        <f>Europe!A1075+"n/&gt;!0?{"</f>
        <v>#VALUE!</v>
      </c>
      <c r="DG287" t="e">
        <f>Europe!B1075+"n/&gt;!0?|"</f>
        <v>#VALUE!</v>
      </c>
      <c r="DH287" t="e">
        <f>Europe!C1075+"n/&gt;!0?}"</f>
        <v>#VALUE!</v>
      </c>
      <c r="DI287" t="e">
        <f>Europe!D1075+"n/&gt;!0?~"</f>
        <v>#VALUE!</v>
      </c>
      <c r="DJ287" t="e">
        <f>Europe!E1075+"n/&gt;!0@#"</f>
        <v>#VALUE!</v>
      </c>
      <c r="DK287" t="e">
        <f>Europe!F1075+"n/&gt;!0@$"</f>
        <v>#VALUE!</v>
      </c>
      <c r="DL287" t="e">
        <f>Europe!G1075+"n/&gt;!0@%"</f>
        <v>#VALUE!</v>
      </c>
      <c r="DM287" t="e">
        <f>Europe!H1075+"n/&gt;!0@&amp;"</f>
        <v>#VALUE!</v>
      </c>
      <c r="DN287" t="e">
        <f>Europe!I1075+"n/&gt;!0@'"</f>
        <v>#VALUE!</v>
      </c>
      <c r="DO287" t="e">
        <f>Europe!A1076+"n/&gt;!0@("</f>
        <v>#VALUE!</v>
      </c>
      <c r="DP287" t="e">
        <f>Europe!B1076+"n/&gt;!0@)"</f>
        <v>#VALUE!</v>
      </c>
      <c r="DQ287" t="e">
        <f>Europe!C1076+"n/&gt;!0@."</f>
        <v>#VALUE!</v>
      </c>
      <c r="DR287" t="e">
        <f>Europe!D1076+"n/&gt;!0@/"</f>
        <v>#VALUE!</v>
      </c>
      <c r="DS287" t="e">
        <f>Europe!E1076+"n/&gt;!0@0"</f>
        <v>#VALUE!</v>
      </c>
      <c r="DT287" t="e">
        <f>Europe!F1076+"n/&gt;!0@1"</f>
        <v>#VALUE!</v>
      </c>
      <c r="DU287" t="e">
        <f>Europe!G1076+"n/&gt;!0@2"</f>
        <v>#VALUE!</v>
      </c>
      <c r="DV287" t="e">
        <f>Europe!H1076+"n/&gt;!0@3"</f>
        <v>#VALUE!</v>
      </c>
      <c r="DW287" t="e">
        <f>Europe!I1076+"n/&gt;!0@4"</f>
        <v>#VALUE!</v>
      </c>
      <c r="DX287" t="e">
        <f>Europe!A1077+"n/&gt;!0@5"</f>
        <v>#VALUE!</v>
      </c>
      <c r="DY287" t="e">
        <f>Europe!B1077+"n/&gt;!0@6"</f>
        <v>#VALUE!</v>
      </c>
      <c r="DZ287" t="e">
        <f>Europe!C1077+"n/&gt;!0@7"</f>
        <v>#VALUE!</v>
      </c>
      <c r="EA287" t="e">
        <f>Europe!D1077+"n/&gt;!0@8"</f>
        <v>#VALUE!</v>
      </c>
      <c r="EB287" t="e">
        <f>Europe!E1077+"n/&gt;!0@9"</f>
        <v>#VALUE!</v>
      </c>
      <c r="EC287" t="e">
        <f>Europe!F1077+"n/&gt;!0@:"</f>
        <v>#VALUE!</v>
      </c>
      <c r="ED287" t="e">
        <f>Europe!G1077+"n/&gt;!0@;"</f>
        <v>#VALUE!</v>
      </c>
      <c r="EE287" t="e">
        <f>Europe!H1077+"n/&gt;!0@&lt;"</f>
        <v>#VALUE!</v>
      </c>
      <c r="EF287" t="e">
        <f>Europe!I1077+"n/&gt;!0@="</f>
        <v>#VALUE!</v>
      </c>
      <c r="EG287" t="e">
        <f>Europe!A1078+"n/&gt;!0@&gt;"</f>
        <v>#VALUE!</v>
      </c>
      <c r="EH287" t="e">
        <f>Europe!B1078+"n/&gt;!0@?"</f>
        <v>#VALUE!</v>
      </c>
      <c r="EI287" t="e">
        <f>Europe!C1078+"n/&gt;!0@@"</f>
        <v>#VALUE!</v>
      </c>
      <c r="EJ287" t="e">
        <f>Europe!D1078+"n/&gt;!0@A"</f>
        <v>#VALUE!</v>
      </c>
      <c r="EK287" t="e">
        <f>Europe!E1078+"n/&gt;!0@B"</f>
        <v>#VALUE!</v>
      </c>
      <c r="EL287" t="e">
        <f>Europe!F1078+"n/&gt;!0@C"</f>
        <v>#VALUE!</v>
      </c>
      <c r="EM287" t="e">
        <f>Europe!G1078+"n/&gt;!0@D"</f>
        <v>#VALUE!</v>
      </c>
      <c r="EN287" t="e">
        <f>Europe!H1078+"n/&gt;!0@E"</f>
        <v>#VALUE!</v>
      </c>
      <c r="EO287" t="e">
        <f>Europe!I1078+"n/&gt;!0@F"</f>
        <v>#VALUE!</v>
      </c>
      <c r="EP287" t="e">
        <f>Europe!A1079+"n/&gt;!0@G"</f>
        <v>#VALUE!</v>
      </c>
      <c r="EQ287" t="e">
        <f>Europe!B1079+"n/&gt;!0@H"</f>
        <v>#VALUE!</v>
      </c>
      <c r="ER287" t="e">
        <f>Europe!C1079+"n/&gt;!0@I"</f>
        <v>#VALUE!</v>
      </c>
      <c r="ES287" t="e">
        <f>Europe!D1079+"n/&gt;!0@J"</f>
        <v>#VALUE!</v>
      </c>
      <c r="ET287" t="e">
        <f>Europe!E1079+"n/&gt;!0@K"</f>
        <v>#VALUE!</v>
      </c>
      <c r="EU287" t="e">
        <f>Europe!F1079+"n/&gt;!0@L"</f>
        <v>#VALUE!</v>
      </c>
      <c r="EV287" t="e">
        <f>Europe!G1079+"n/&gt;!0@M"</f>
        <v>#VALUE!</v>
      </c>
      <c r="EW287" t="e">
        <f>Europe!H1079+"n/&gt;!0@N"</f>
        <v>#VALUE!</v>
      </c>
      <c r="EX287" t="e">
        <f>Europe!I1079+"n/&gt;!0@O"</f>
        <v>#VALUE!</v>
      </c>
      <c r="EY287" t="e">
        <f>Europe!A1080+"n/&gt;!0@P"</f>
        <v>#VALUE!</v>
      </c>
      <c r="EZ287" t="e">
        <f>Europe!B1080+"n/&gt;!0@Q"</f>
        <v>#VALUE!</v>
      </c>
      <c r="FA287" t="e">
        <f>Europe!C1080+"n/&gt;!0@R"</f>
        <v>#VALUE!</v>
      </c>
      <c r="FB287" t="e">
        <f>Europe!D1080+"n/&gt;!0@S"</f>
        <v>#VALUE!</v>
      </c>
      <c r="FC287" t="e">
        <f>Europe!E1080+"n/&gt;!0@T"</f>
        <v>#VALUE!</v>
      </c>
      <c r="FD287" t="e">
        <f>Europe!F1080+"n/&gt;!0@U"</f>
        <v>#VALUE!</v>
      </c>
      <c r="FE287" t="e">
        <f>Europe!G1080+"n/&gt;!0@V"</f>
        <v>#VALUE!</v>
      </c>
      <c r="FF287" t="e">
        <f>Europe!H1080+"n/&gt;!0@W"</f>
        <v>#VALUE!</v>
      </c>
      <c r="FG287" t="e">
        <f>Europe!I1080+"n/&gt;!0@X"</f>
        <v>#VALUE!</v>
      </c>
      <c r="FH287" t="e">
        <f>Europe!A1081+"n/&gt;!0@Y"</f>
        <v>#VALUE!</v>
      </c>
      <c r="FI287" t="e">
        <f>Europe!B1081+"n/&gt;!0@Z"</f>
        <v>#VALUE!</v>
      </c>
      <c r="FJ287" t="e">
        <f>Europe!C1081+"n/&gt;!0@["</f>
        <v>#VALUE!</v>
      </c>
      <c r="FK287" t="e">
        <f>Europe!D1081+"n/&gt;!0@\"</f>
        <v>#VALUE!</v>
      </c>
      <c r="FL287" t="e">
        <f>Europe!E1081+"n/&gt;!0@]"</f>
        <v>#VALUE!</v>
      </c>
      <c r="FM287" t="e">
        <f>Europe!F1081+"n/&gt;!0@^"</f>
        <v>#VALUE!</v>
      </c>
      <c r="FN287" t="e">
        <f>Europe!G1081+"n/&gt;!0@_"</f>
        <v>#VALUE!</v>
      </c>
      <c r="FO287" t="e">
        <f>Europe!H1081+"n/&gt;!0@`"</f>
        <v>#VALUE!</v>
      </c>
      <c r="FP287" t="e">
        <f>Europe!I1081+"n/&gt;!0@a"</f>
        <v>#VALUE!</v>
      </c>
      <c r="FQ287" t="e">
        <f>Europe!A1082+"n/&gt;!0@b"</f>
        <v>#VALUE!</v>
      </c>
      <c r="FR287" t="e">
        <f>Europe!B1082+"n/&gt;!0@c"</f>
        <v>#VALUE!</v>
      </c>
      <c r="FS287" t="e">
        <f>Europe!C1082+"n/&gt;!0@d"</f>
        <v>#VALUE!</v>
      </c>
      <c r="FT287" t="e">
        <f>Europe!D1082+"n/&gt;!0@e"</f>
        <v>#VALUE!</v>
      </c>
      <c r="FU287" t="e">
        <f>Europe!E1082+"n/&gt;!0@f"</f>
        <v>#VALUE!</v>
      </c>
      <c r="FV287" t="e">
        <f>Europe!F1082+"n/&gt;!0@g"</f>
        <v>#VALUE!</v>
      </c>
      <c r="FW287" t="e">
        <f>Europe!G1082+"n/&gt;!0@h"</f>
        <v>#VALUE!</v>
      </c>
      <c r="FX287" t="e">
        <f>Europe!H1082+"n/&gt;!0@i"</f>
        <v>#VALUE!</v>
      </c>
      <c r="FY287" t="e">
        <f>Europe!I1082+"n/&gt;!0@j"</f>
        <v>#VALUE!</v>
      </c>
      <c r="FZ287" t="e">
        <f>Europe!A1083+"n/&gt;!0@k"</f>
        <v>#VALUE!</v>
      </c>
      <c r="GA287" t="e">
        <f>Europe!B1083+"n/&gt;!0@l"</f>
        <v>#VALUE!</v>
      </c>
      <c r="GB287" t="e">
        <f>Europe!C1083+"n/&gt;!0@m"</f>
        <v>#VALUE!</v>
      </c>
      <c r="GC287" t="e">
        <f>Europe!D1083+"n/&gt;!0@n"</f>
        <v>#VALUE!</v>
      </c>
      <c r="GD287" t="e">
        <f>Europe!E1083+"n/&gt;!0@o"</f>
        <v>#VALUE!</v>
      </c>
      <c r="GE287" t="e">
        <f>Europe!F1083+"n/&gt;!0@p"</f>
        <v>#VALUE!</v>
      </c>
      <c r="GF287" t="e">
        <f>Europe!G1083+"n/&gt;!0@q"</f>
        <v>#VALUE!</v>
      </c>
      <c r="GG287" t="e">
        <f>Europe!H1083+"n/&gt;!0@r"</f>
        <v>#VALUE!</v>
      </c>
      <c r="GH287" t="e">
        <f>Europe!I1083+"n/&gt;!0@s"</f>
        <v>#VALUE!</v>
      </c>
      <c r="GI287" t="e">
        <f>Europe!A1084+"n/&gt;!0@t"</f>
        <v>#VALUE!</v>
      </c>
      <c r="GJ287" t="e">
        <f>Europe!B1084+"n/&gt;!0@u"</f>
        <v>#VALUE!</v>
      </c>
      <c r="GK287" t="e">
        <f>Europe!C1084+"n/&gt;!0@v"</f>
        <v>#VALUE!</v>
      </c>
      <c r="GL287" t="e">
        <f>Europe!D1084+"n/&gt;!0@w"</f>
        <v>#VALUE!</v>
      </c>
      <c r="GM287" t="e">
        <f>Europe!E1084+"n/&gt;!0@x"</f>
        <v>#VALUE!</v>
      </c>
      <c r="GN287" t="e">
        <f>Europe!F1084+"n/&gt;!0@y"</f>
        <v>#VALUE!</v>
      </c>
      <c r="GO287" t="e">
        <f>Europe!G1084+"n/&gt;!0@z"</f>
        <v>#VALUE!</v>
      </c>
      <c r="GP287" t="e">
        <f>Europe!H1084+"n/&gt;!0@{"</f>
        <v>#VALUE!</v>
      </c>
      <c r="GQ287" t="e">
        <f>Europe!I1084+"n/&gt;!0@|"</f>
        <v>#VALUE!</v>
      </c>
      <c r="GR287" t="e">
        <f>Europe!A1085+"n/&gt;!0@}"</f>
        <v>#VALUE!</v>
      </c>
      <c r="GS287" t="e">
        <f>Europe!B1085+"n/&gt;!0@~"</f>
        <v>#VALUE!</v>
      </c>
      <c r="GT287" t="e">
        <f>Europe!C1085+"n/&gt;!0A#"</f>
        <v>#VALUE!</v>
      </c>
      <c r="GU287" t="e">
        <f>Europe!D1085+"n/&gt;!0A$"</f>
        <v>#VALUE!</v>
      </c>
      <c r="GV287" t="e">
        <f>Europe!E1085+"n/&gt;!0A%"</f>
        <v>#VALUE!</v>
      </c>
      <c r="GW287" t="e">
        <f>Europe!F1085+"n/&gt;!0A&amp;"</f>
        <v>#VALUE!</v>
      </c>
      <c r="GX287" t="e">
        <f>Europe!G1085+"n/&gt;!0A'"</f>
        <v>#VALUE!</v>
      </c>
      <c r="GY287" t="e">
        <f>Europe!H1085+"n/&gt;!0A("</f>
        <v>#VALUE!</v>
      </c>
      <c r="GZ287" t="e">
        <f>Europe!I1085+"n/&gt;!0A)"</f>
        <v>#VALUE!</v>
      </c>
      <c r="HA287" t="e">
        <f>Europe!A1086+"n/&gt;!0A."</f>
        <v>#VALUE!</v>
      </c>
      <c r="HB287" t="e">
        <f>Europe!B1086+"n/&gt;!0A/"</f>
        <v>#VALUE!</v>
      </c>
      <c r="HC287" t="e">
        <f>Europe!C1086+"n/&gt;!0A0"</f>
        <v>#VALUE!</v>
      </c>
      <c r="HD287" t="e">
        <f>Europe!D1086+"n/&gt;!0A1"</f>
        <v>#VALUE!</v>
      </c>
      <c r="HE287" t="e">
        <f>Europe!E1086+"n/&gt;!0A2"</f>
        <v>#VALUE!</v>
      </c>
      <c r="HF287" t="e">
        <f>Europe!F1086+"n/&gt;!0A3"</f>
        <v>#VALUE!</v>
      </c>
      <c r="HG287" t="e">
        <f>Europe!G1086+"n/&gt;!0A4"</f>
        <v>#VALUE!</v>
      </c>
      <c r="HH287" t="e">
        <f>Europe!H1086+"n/&gt;!0A5"</f>
        <v>#VALUE!</v>
      </c>
      <c r="HI287" t="e">
        <f>Europe!I1086+"n/&gt;!0A6"</f>
        <v>#VALUE!</v>
      </c>
      <c r="HJ287" t="e">
        <f>Europe!A1087+"n/&gt;!0A7"</f>
        <v>#VALUE!</v>
      </c>
      <c r="HK287" t="e">
        <f>Europe!B1087+"n/&gt;!0A8"</f>
        <v>#VALUE!</v>
      </c>
      <c r="HL287" t="e">
        <f>Europe!C1087+"n/&gt;!0A9"</f>
        <v>#VALUE!</v>
      </c>
      <c r="HM287" t="e">
        <f>Europe!D1087+"n/&gt;!0A:"</f>
        <v>#VALUE!</v>
      </c>
      <c r="HN287" t="e">
        <f>Europe!E1087+"n/&gt;!0A;"</f>
        <v>#VALUE!</v>
      </c>
      <c r="HO287" t="e">
        <f>Europe!F1087+"n/&gt;!0A&lt;"</f>
        <v>#VALUE!</v>
      </c>
      <c r="HP287" t="e">
        <f>Europe!G1087+"n/&gt;!0A="</f>
        <v>#VALUE!</v>
      </c>
      <c r="HQ287" t="e">
        <f>Europe!H1087+"n/&gt;!0A&gt;"</f>
        <v>#VALUE!</v>
      </c>
      <c r="HR287" t="e">
        <f>Europe!I1087+"n/&gt;!0A?"</f>
        <v>#VALUE!</v>
      </c>
      <c r="HS287" t="e">
        <f>Europe!A1088+"n/&gt;!0A@"</f>
        <v>#VALUE!</v>
      </c>
      <c r="HT287" t="e">
        <f>Europe!B1088+"n/&gt;!0AA"</f>
        <v>#VALUE!</v>
      </c>
      <c r="HU287" t="e">
        <f>Europe!C1088+"n/&gt;!0AB"</f>
        <v>#VALUE!</v>
      </c>
      <c r="HV287" t="e">
        <f>Europe!D1088+"n/&gt;!0AC"</f>
        <v>#VALUE!</v>
      </c>
      <c r="HW287" t="e">
        <f>Europe!E1088+"n/&gt;!0AD"</f>
        <v>#VALUE!</v>
      </c>
      <c r="HX287" t="e">
        <f>Europe!F1088+"n/&gt;!0AE"</f>
        <v>#VALUE!</v>
      </c>
      <c r="HY287" t="e">
        <f>Europe!G1088+"n/&gt;!0AF"</f>
        <v>#VALUE!</v>
      </c>
      <c r="HZ287" t="e">
        <f>Europe!H1088+"n/&gt;!0AG"</f>
        <v>#VALUE!</v>
      </c>
      <c r="IA287" t="e">
        <f>Europe!I1088+"n/&gt;!0AH"</f>
        <v>#VALUE!</v>
      </c>
      <c r="IB287" t="e">
        <f>Europe!A1089+"n/&gt;!0AI"</f>
        <v>#VALUE!</v>
      </c>
      <c r="IC287" t="e">
        <f>Europe!B1089+"n/&gt;!0AJ"</f>
        <v>#VALUE!</v>
      </c>
      <c r="ID287" t="e">
        <f>Europe!C1089+"n/&gt;!0AK"</f>
        <v>#VALUE!</v>
      </c>
      <c r="IE287" t="e">
        <f>Europe!D1089+"n/&gt;!0AL"</f>
        <v>#VALUE!</v>
      </c>
      <c r="IF287" t="e">
        <f>Europe!E1089+"n/&gt;!0AM"</f>
        <v>#VALUE!</v>
      </c>
      <c r="IG287" t="e">
        <f>Europe!F1089+"n/&gt;!0AN"</f>
        <v>#VALUE!</v>
      </c>
      <c r="IH287" t="e">
        <f>Europe!G1089+"n/&gt;!0AO"</f>
        <v>#VALUE!</v>
      </c>
      <c r="II287" t="e">
        <f>Europe!H1089+"n/&gt;!0AP"</f>
        <v>#VALUE!</v>
      </c>
      <c r="IJ287" t="e">
        <f>Europe!I1089+"n/&gt;!0AQ"</f>
        <v>#VALUE!</v>
      </c>
      <c r="IK287" t="e">
        <f>Europe!A1090+"n/&gt;!0AR"</f>
        <v>#VALUE!</v>
      </c>
      <c r="IL287" t="e">
        <f>Europe!B1090+"n/&gt;!0AS"</f>
        <v>#VALUE!</v>
      </c>
      <c r="IM287" t="e">
        <f>Europe!C1090+"n/&gt;!0AT"</f>
        <v>#VALUE!</v>
      </c>
      <c r="IN287" t="e">
        <f>Europe!D1090+"n/&gt;!0AU"</f>
        <v>#VALUE!</v>
      </c>
      <c r="IO287" t="e">
        <f>Europe!E1090+"n/&gt;!0AV"</f>
        <v>#VALUE!</v>
      </c>
      <c r="IP287" t="e">
        <f>Europe!F1090+"n/&gt;!0AW"</f>
        <v>#VALUE!</v>
      </c>
      <c r="IQ287" t="e">
        <f>Europe!G1090+"n/&gt;!0AX"</f>
        <v>#VALUE!</v>
      </c>
      <c r="IR287" t="e">
        <f>Europe!H1090+"n/&gt;!0AY"</f>
        <v>#VALUE!</v>
      </c>
      <c r="IS287" t="e">
        <f>Europe!I1090+"n/&gt;!0AZ"</f>
        <v>#VALUE!</v>
      </c>
      <c r="IT287" t="e">
        <f>Europe!A1091+"n/&gt;!0A["</f>
        <v>#VALUE!</v>
      </c>
      <c r="IU287" t="e">
        <f>Europe!B1091+"n/&gt;!0A\"</f>
        <v>#VALUE!</v>
      </c>
      <c r="IV287" t="e">
        <f>Europe!C1091+"n/&gt;!0A]"</f>
        <v>#VALUE!</v>
      </c>
    </row>
    <row r="288" spans="6:256" x14ac:dyDescent="0.35">
      <c r="F288" t="e">
        <f>Europe!D1091+"n/&gt;!0A^"</f>
        <v>#VALUE!</v>
      </c>
      <c r="G288" t="e">
        <f>Europe!E1091+"n/&gt;!0A_"</f>
        <v>#VALUE!</v>
      </c>
      <c r="H288" t="e">
        <f>Europe!F1091+"n/&gt;!0A`"</f>
        <v>#VALUE!</v>
      </c>
      <c r="I288" t="e">
        <f>Europe!G1091+"n/&gt;!0Aa"</f>
        <v>#VALUE!</v>
      </c>
      <c r="J288" t="e">
        <f>Europe!H1091+"n/&gt;!0Ab"</f>
        <v>#VALUE!</v>
      </c>
      <c r="K288" t="e">
        <f>Europe!I1091+"n/&gt;!0Ac"</f>
        <v>#VALUE!</v>
      </c>
      <c r="L288" t="e">
        <f>Europe!A1092+"n/&gt;!0Ad"</f>
        <v>#VALUE!</v>
      </c>
      <c r="M288" t="e">
        <f>Europe!B1092+"n/&gt;!0Ae"</f>
        <v>#VALUE!</v>
      </c>
      <c r="N288" t="e">
        <f>Europe!C1092+"n/&gt;!0Af"</f>
        <v>#VALUE!</v>
      </c>
      <c r="O288" t="e">
        <f>Europe!D1092+"n/&gt;!0Ag"</f>
        <v>#VALUE!</v>
      </c>
      <c r="P288" t="e">
        <f>Europe!E1092+"n/&gt;!0Ah"</f>
        <v>#VALUE!</v>
      </c>
      <c r="Q288" t="e">
        <f>Europe!F1092+"n/&gt;!0Ai"</f>
        <v>#VALUE!</v>
      </c>
      <c r="R288" t="e">
        <f>Europe!G1092+"n/&gt;!0Aj"</f>
        <v>#VALUE!</v>
      </c>
      <c r="S288" t="e">
        <f>Europe!H1092+"n/&gt;!0Ak"</f>
        <v>#VALUE!</v>
      </c>
      <c r="T288" t="e">
        <f>Europe!I1092+"n/&gt;!0Al"</f>
        <v>#VALUE!</v>
      </c>
      <c r="U288" t="e">
        <f>Europe!A1093+"n/&gt;!0Am"</f>
        <v>#VALUE!</v>
      </c>
      <c r="V288" t="e">
        <f>Europe!B1093+"n/&gt;!0An"</f>
        <v>#VALUE!</v>
      </c>
      <c r="W288" t="e">
        <f>Europe!C1093+"n/&gt;!0Ao"</f>
        <v>#VALUE!</v>
      </c>
      <c r="X288" t="e">
        <f>Europe!D1093+"n/&gt;!0Ap"</f>
        <v>#VALUE!</v>
      </c>
      <c r="Y288" t="e">
        <f>Europe!E1093+"n/&gt;!0Aq"</f>
        <v>#VALUE!</v>
      </c>
      <c r="Z288" t="e">
        <f>Europe!F1093+"n/&gt;!0Ar"</f>
        <v>#VALUE!</v>
      </c>
      <c r="AA288" t="e">
        <f>Europe!G1093+"n/&gt;!0As"</f>
        <v>#VALUE!</v>
      </c>
      <c r="AB288" t="e">
        <f>Europe!H1093+"n/&gt;!0At"</f>
        <v>#VALUE!</v>
      </c>
      <c r="AC288" t="e">
        <f>Europe!I1093+"n/&gt;!0Au"</f>
        <v>#VALUE!</v>
      </c>
      <c r="AD288" t="e">
        <f>Europe!A1094+"n/&gt;!0Av"</f>
        <v>#VALUE!</v>
      </c>
      <c r="AE288" t="e">
        <f>Europe!B1094+"n/&gt;!0Aw"</f>
        <v>#VALUE!</v>
      </c>
      <c r="AF288" t="e">
        <f>Europe!C1094+"n/&gt;!0Ax"</f>
        <v>#VALUE!</v>
      </c>
      <c r="AG288" t="e">
        <f>Europe!D1094+"n/&gt;!0Ay"</f>
        <v>#VALUE!</v>
      </c>
      <c r="AH288" t="e">
        <f>Europe!E1094+"n/&gt;!0Az"</f>
        <v>#VALUE!</v>
      </c>
      <c r="AI288" t="e">
        <f>Europe!F1094+"n/&gt;!0A{"</f>
        <v>#VALUE!</v>
      </c>
      <c r="AJ288" t="e">
        <f>Europe!G1094+"n/&gt;!0A|"</f>
        <v>#VALUE!</v>
      </c>
      <c r="AK288" t="e">
        <f>Europe!H1094+"n/&gt;!0A}"</f>
        <v>#VALUE!</v>
      </c>
      <c r="AL288" t="e">
        <f>Europe!I1094+"n/&gt;!0A~"</f>
        <v>#VALUE!</v>
      </c>
      <c r="AM288" t="e">
        <f>Europe!A1095+"n/&gt;!0B#"</f>
        <v>#VALUE!</v>
      </c>
      <c r="AN288" t="e">
        <f>Europe!B1095+"n/&gt;!0B$"</f>
        <v>#VALUE!</v>
      </c>
      <c r="AO288" t="e">
        <f>Europe!C1095+"n/&gt;!0B%"</f>
        <v>#VALUE!</v>
      </c>
      <c r="AP288" t="e">
        <f>Europe!D1095+"n/&gt;!0B&amp;"</f>
        <v>#VALUE!</v>
      </c>
      <c r="AQ288" t="e">
        <f>Europe!E1095+"n/&gt;!0B'"</f>
        <v>#VALUE!</v>
      </c>
      <c r="AR288" t="e">
        <f>Europe!F1095+"n/&gt;!0B("</f>
        <v>#VALUE!</v>
      </c>
      <c r="AS288" t="e">
        <f>Europe!G1095+"n/&gt;!0B)"</f>
        <v>#VALUE!</v>
      </c>
      <c r="AT288" t="e">
        <f>Europe!H1095+"n/&gt;!0B."</f>
        <v>#VALUE!</v>
      </c>
      <c r="AU288" t="e">
        <f>Europe!I1095+"n/&gt;!0B/"</f>
        <v>#VALUE!</v>
      </c>
      <c r="AV288" t="e">
        <f>Europe!A1096+"n/&gt;!0B0"</f>
        <v>#VALUE!</v>
      </c>
      <c r="AW288" t="e">
        <f>Europe!B1096+"n/&gt;!0B1"</f>
        <v>#VALUE!</v>
      </c>
      <c r="AX288" t="e">
        <f>Europe!C1096+"n/&gt;!0B2"</f>
        <v>#VALUE!</v>
      </c>
      <c r="AY288" t="e">
        <f>Europe!D1096+"n/&gt;!0B3"</f>
        <v>#VALUE!</v>
      </c>
      <c r="AZ288" t="e">
        <f>Europe!E1096+"n/&gt;!0B4"</f>
        <v>#VALUE!</v>
      </c>
      <c r="BA288" t="e">
        <f>Europe!F1096+"n/&gt;!0B5"</f>
        <v>#VALUE!</v>
      </c>
      <c r="BB288" t="e">
        <f>Europe!G1096+"n/&gt;!0B6"</f>
        <v>#VALUE!</v>
      </c>
      <c r="BC288" t="e">
        <f>Europe!H1096+"n/&gt;!0B7"</f>
        <v>#VALUE!</v>
      </c>
      <c r="BD288" t="e">
        <f>Europe!I1096+"n/&gt;!0B8"</f>
        <v>#VALUE!</v>
      </c>
      <c r="BE288" t="e">
        <f>Europe!A1097+"n/&gt;!0B9"</f>
        <v>#VALUE!</v>
      </c>
      <c r="BF288" t="e">
        <f>Europe!B1097+"n/&gt;!0B:"</f>
        <v>#VALUE!</v>
      </c>
      <c r="BG288" t="e">
        <f>Europe!C1097+"n/&gt;!0B;"</f>
        <v>#VALUE!</v>
      </c>
      <c r="BH288" t="e">
        <f>Europe!D1097+"n/&gt;!0B&lt;"</f>
        <v>#VALUE!</v>
      </c>
      <c r="BI288" t="e">
        <f>Europe!E1097+"n/&gt;!0B="</f>
        <v>#VALUE!</v>
      </c>
      <c r="BJ288" t="e">
        <f>Europe!F1097+"n/&gt;!0B&gt;"</f>
        <v>#VALUE!</v>
      </c>
      <c r="BK288" t="e">
        <f>Europe!G1097+"n/&gt;!0B?"</f>
        <v>#VALUE!</v>
      </c>
      <c r="BL288" t="e">
        <f>Europe!H1097+"n/&gt;!0B@"</f>
        <v>#VALUE!</v>
      </c>
      <c r="BM288" t="e">
        <f>Europe!I1097+"n/&gt;!0BA"</f>
        <v>#VALUE!</v>
      </c>
      <c r="BN288" t="e">
        <f>Europe!A1098+"n/&gt;!0BB"</f>
        <v>#VALUE!</v>
      </c>
      <c r="BO288" t="e">
        <f>Europe!B1098+"n/&gt;!0BC"</f>
        <v>#VALUE!</v>
      </c>
      <c r="BP288" t="e">
        <f>Europe!C1098+"n/&gt;!0BD"</f>
        <v>#VALUE!</v>
      </c>
      <c r="BQ288" t="e">
        <f>Europe!D1098+"n/&gt;!0BE"</f>
        <v>#VALUE!</v>
      </c>
      <c r="BR288" t="e">
        <f>Europe!E1098+"n/&gt;!0BF"</f>
        <v>#VALUE!</v>
      </c>
      <c r="BS288" t="e">
        <f>Europe!F1098+"n/&gt;!0BG"</f>
        <v>#VALUE!</v>
      </c>
      <c r="BT288" t="e">
        <f>Europe!G1098+"n/&gt;!0BH"</f>
        <v>#VALUE!</v>
      </c>
      <c r="BU288" t="e">
        <f>Europe!H1098+"n/&gt;!0BI"</f>
        <v>#VALUE!</v>
      </c>
      <c r="BV288" t="e">
        <f>Europe!I1098+"n/&gt;!0BJ"</f>
        <v>#VALUE!</v>
      </c>
      <c r="BW288" t="e">
        <f>Europe!A1099+"n/&gt;!0BK"</f>
        <v>#VALUE!</v>
      </c>
      <c r="BX288" t="e">
        <f>Europe!B1099+"n/&gt;!0BL"</f>
        <v>#VALUE!</v>
      </c>
      <c r="BY288" t="e">
        <f>Europe!C1099+"n/&gt;!0BM"</f>
        <v>#VALUE!</v>
      </c>
      <c r="BZ288" t="e">
        <f>Europe!D1099+"n/&gt;!0BN"</f>
        <v>#VALUE!</v>
      </c>
      <c r="CA288" t="e">
        <f>Europe!E1099+"n/&gt;!0BO"</f>
        <v>#VALUE!</v>
      </c>
      <c r="CB288" t="e">
        <f>Europe!F1099+"n/&gt;!0BP"</f>
        <v>#VALUE!</v>
      </c>
      <c r="CC288" t="e">
        <f>Europe!G1099+"n/&gt;!0BQ"</f>
        <v>#VALUE!</v>
      </c>
      <c r="CD288" t="e">
        <f>Europe!H1099+"n/&gt;!0BR"</f>
        <v>#VALUE!</v>
      </c>
      <c r="CE288" t="e">
        <f>Europe!I1099+"n/&gt;!0BS"</f>
        <v>#VALUE!</v>
      </c>
      <c r="CF288" t="e">
        <f>Europe!A1100+"n/&gt;!0BT"</f>
        <v>#VALUE!</v>
      </c>
      <c r="CG288" t="e">
        <f>Europe!B1100+"n/&gt;!0BU"</f>
        <v>#VALUE!</v>
      </c>
      <c r="CH288" t="e">
        <f>Europe!C1100+"n/&gt;!0BV"</f>
        <v>#VALUE!</v>
      </c>
      <c r="CI288" t="e">
        <f>Europe!D1100+"n/&gt;!0BW"</f>
        <v>#VALUE!</v>
      </c>
      <c r="CJ288" t="e">
        <f>Europe!E1100+"n/&gt;!0BX"</f>
        <v>#VALUE!</v>
      </c>
      <c r="CK288" t="e">
        <f>Europe!F1100+"n/&gt;!0BY"</f>
        <v>#VALUE!</v>
      </c>
      <c r="CL288" t="e">
        <f>Europe!G1100+"n/&gt;!0BZ"</f>
        <v>#VALUE!</v>
      </c>
      <c r="CM288" t="e">
        <f>Europe!H1100+"n/&gt;!0B["</f>
        <v>#VALUE!</v>
      </c>
      <c r="CN288" t="e">
        <f>Europe!I1100+"n/&gt;!0B\"</f>
        <v>#VALUE!</v>
      </c>
      <c r="CO288" t="e">
        <f>Europe!A1101+"n/&gt;!0B]"</f>
        <v>#VALUE!</v>
      </c>
      <c r="CP288" t="e">
        <f>Europe!B1101+"n/&gt;!0B^"</f>
        <v>#VALUE!</v>
      </c>
      <c r="CQ288" t="e">
        <f>Europe!C1101+"n/&gt;!0B_"</f>
        <v>#VALUE!</v>
      </c>
      <c r="CR288" t="e">
        <f>Europe!D1101+"n/&gt;!0B`"</f>
        <v>#VALUE!</v>
      </c>
      <c r="CS288" t="e">
        <f>Europe!E1101+"n/&gt;!0Ba"</f>
        <v>#VALUE!</v>
      </c>
      <c r="CT288" t="e">
        <f>Europe!F1101+"n/&gt;!0Bb"</f>
        <v>#VALUE!</v>
      </c>
      <c r="CU288" t="e">
        <f>Europe!G1101+"n/&gt;!0Bc"</f>
        <v>#VALUE!</v>
      </c>
      <c r="CV288" t="e">
        <f>Europe!H1101+"n/&gt;!0Bd"</f>
        <v>#VALUE!</v>
      </c>
      <c r="CW288" t="e">
        <f>Europe!I1101+"n/&gt;!0Be"</f>
        <v>#VALUE!</v>
      </c>
      <c r="CX288" t="e">
        <f>Europe!A1102+"n/&gt;!0Bf"</f>
        <v>#VALUE!</v>
      </c>
      <c r="CY288" t="e">
        <f>Europe!B1102+"n/&gt;!0Bg"</f>
        <v>#VALUE!</v>
      </c>
      <c r="CZ288" t="e">
        <f>Europe!C1102+"n/&gt;!0Bh"</f>
        <v>#VALUE!</v>
      </c>
      <c r="DA288" t="e">
        <f>Europe!D1102+"n/&gt;!0Bi"</f>
        <v>#VALUE!</v>
      </c>
      <c r="DB288" t="e">
        <f>Europe!E1102+"n/&gt;!0Bj"</f>
        <v>#VALUE!</v>
      </c>
      <c r="DC288" t="e">
        <f>Europe!F1102+"n/&gt;!0Bk"</f>
        <v>#VALUE!</v>
      </c>
      <c r="DD288" t="e">
        <f>Europe!G1102+"n/&gt;!0Bl"</f>
        <v>#VALUE!</v>
      </c>
      <c r="DE288" t="e">
        <f>Europe!H1102+"n/&gt;!0Bm"</f>
        <v>#VALUE!</v>
      </c>
      <c r="DF288" t="e">
        <f>Europe!I1102+"n/&gt;!0Bn"</f>
        <v>#VALUE!</v>
      </c>
      <c r="DG288" t="e">
        <f>Europe!A1103+"n/&gt;!0Bo"</f>
        <v>#VALUE!</v>
      </c>
      <c r="DH288" t="e">
        <f>Europe!B1103+"n/&gt;!0Bp"</f>
        <v>#VALUE!</v>
      </c>
      <c r="DI288" t="e">
        <f>Europe!C1103+"n/&gt;!0Bq"</f>
        <v>#VALUE!</v>
      </c>
      <c r="DJ288" t="e">
        <f>Europe!D1103+"n/&gt;!0Br"</f>
        <v>#VALUE!</v>
      </c>
      <c r="DK288" t="e">
        <f>Europe!E1103+"n/&gt;!0Bs"</f>
        <v>#VALUE!</v>
      </c>
      <c r="DL288" t="e">
        <f>Europe!F1103+"n/&gt;!0Bt"</f>
        <v>#VALUE!</v>
      </c>
      <c r="DM288" t="e">
        <f>Europe!G1103+"n/&gt;!0Bu"</f>
        <v>#VALUE!</v>
      </c>
      <c r="DN288" t="e">
        <f>Europe!H1103+"n/&gt;!0Bv"</f>
        <v>#VALUE!</v>
      </c>
      <c r="DO288" t="e">
        <f>Europe!I1103+"n/&gt;!0Bw"</f>
        <v>#VALUE!</v>
      </c>
      <c r="DP288" t="e">
        <f>Europe!A1104+"n/&gt;!0Bx"</f>
        <v>#VALUE!</v>
      </c>
      <c r="DQ288" t="e">
        <f>Europe!B1104+"n/&gt;!0By"</f>
        <v>#VALUE!</v>
      </c>
      <c r="DR288" t="e">
        <f>Europe!C1104+"n/&gt;!0Bz"</f>
        <v>#VALUE!</v>
      </c>
      <c r="DS288" t="e">
        <f>Europe!D1104+"n/&gt;!0B{"</f>
        <v>#VALUE!</v>
      </c>
      <c r="DT288" t="e">
        <f>Europe!E1104+"n/&gt;!0B|"</f>
        <v>#VALUE!</v>
      </c>
      <c r="DU288" t="e">
        <f>Europe!F1104+"n/&gt;!0B}"</f>
        <v>#VALUE!</v>
      </c>
      <c r="DV288" t="e">
        <f>Europe!G1104+"n/&gt;!0B~"</f>
        <v>#VALUE!</v>
      </c>
      <c r="DW288" t="e">
        <f>Europe!H1104+"n/&gt;!0C#"</f>
        <v>#VALUE!</v>
      </c>
      <c r="DX288" t="e">
        <f>Europe!I1104+"n/&gt;!0C$"</f>
        <v>#VALUE!</v>
      </c>
      <c r="DY288" t="e">
        <f>Europe!A1105+"n/&gt;!0C%"</f>
        <v>#VALUE!</v>
      </c>
      <c r="DZ288" t="e">
        <f>Europe!B1105+"n/&gt;!0C&amp;"</f>
        <v>#VALUE!</v>
      </c>
      <c r="EA288" t="e">
        <f>Europe!C1105+"n/&gt;!0C'"</f>
        <v>#VALUE!</v>
      </c>
      <c r="EB288" t="e">
        <f>Europe!D1105+"n/&gt;!0C("</f>
        <v>#VALUE!</v>
      </c>
      <c r="EC288" t="e">
        <f>Europe!E1105+"n/&gt;!0C)"</f>
        <v>#VALUE!</v>
      </c>
      <c r="ED288" t="e">
        <f>Europe!F1105+"n/&gt;!0C."</f>
        <v>#VALUE!</v>
      </c>
      <c r="EE288" t="e">
        <f>Europe!G1105+"n/&gt;!0C/"</f>
        <v>#VALUE!</v>
      </c>
      <c r="EF288" t="e">
        <f>Europe!H1105+"n/&gt;!0C0"</f>
        <v>#VALUE!</v>
      </c>
      <c r="EG288" t="e">
        <f>Europe!I1105+"n/&gt;!0C1"</f>
        <v>#VALUE!</v>
      </c>
      <c r="EH288" t="e">
        <f>Europe!A1106+"n/&gt;!0C2"</f>
        <v>#VALUE!</v>
      </c>
      <c r="EI288" t="e">
        <f>Europe!B1106+"n/&gt;!0C3"</f>
        <v>#VALUE!</v>
      </c>
      <c r="EJ288" t="e">
        <f>Europe!C1106+"n/&gt;!0C4"</f>
        <v>#VALUE!</v>
      </c>
      <c r="EK288" t="e">
        <f>Europe!D1106+"n/&gt;!0C5"</f>
        <v>#VALUE!</v>
      </c>
      <c r="EL288" t="e">
        <f>Europe!E1106+"n/&gt;!0C6"</f>
        <v>#VALUE!</v>
      </c>
      <c r="EM288" t="e">
        <f>Europe!F1106+"n/&gt;!0C7"</f>
        <v>#VALUE!</v>
      </c>
      <c r="EN288" t="e">
        <f>Europe!G1106+"n/&gt;!0C8"</f>
        <v>#VALUE!</v>
      </c>
      <c r="EO288" t="e">
        <f>Europe!H1106+"n/&gt;!0C9"</f>
        <v>#VALUE!</v>
      </c>
      <c r="EP288" t="e">
        <f>Europe!I1106+"n/&gt;!0C:"</f>
        <v>#VALUE!</v>
      </c>
      <c r="EQ288" t="e">
        <f>Europe!A1107+"n/&gt;!0C;"</f>
        <v>#VALUE!</v>
      </c>
      <c r="ER288" t="e">
        <f>Europe!B1107+"n/&gt;!0C&lt;"</f>
        <v>#VALUE!</v>
      </c>
      <c r="ES288" t="e">
        <f>Europe!C1107+"n/&gt;!0C="</f>
        <v>#VALUE!</v>
      </c>
      <c r="ET288" t="e">
        <f>Europe!D1107+"n/&gt;!0C&gt;"</f>
        <v>#VALUE!</v>
      </c>
      <c r="EU288" t="e">
        <f>Europe!E1107+"n/&gt;!0C?"</f>
        <v>#VALUE!</v>
      </c>
      <c r="EV288" t="e">
        <f>Europe!F1107+"n/&gt;!0C@"</f>
        <v>#VALUE!</v>
      </c>
      <c r="EW288" t="e">
        <f>Europe!G1107+"n/&gt;!0CA"</f>
        <v>#VALUE!</v>
      </c>
      <c r="EX288" t="e">
        <f>Europe!H1107+"n/&gt;!0CB"</f>
        <v>#VALUE!</v>
      </c>
      <c r="EY288" t="e">
        <f>Europe!I1107+"n/&gt;!0CC"</f>
        <v>#VALUE!</v>
      </c>
      <c r="EZ288" t="e">
        <f>Europe!A1108+"n/&gt;!0CD"</f>
        <v>#VALUE!</v>
      </c>
      <c r="FA288" t="e">
        <f>Europe!B1108+"n/&gt;!0CE"</f>
        <v>#VALUE!</v>
      </c>
      <c r="FB288" t="e">
        <f>Europe!C1108+"n/&gt;!0CF"</f>
        <v>#VALUE!</v>
      </c>
      <c r="FC288" t="e">
        <f>Europe!D1108+"n/&gt;!0CG"</f>
        <v>#VALUE!</v>
      </c>
      <c r="FD288" t="e">
        <f>Europe!E1108+"n/&gt;!0CH"</f>
        <v>#VALUE!</v>
      </c>
      <c r="FE288" t="e">
        <f>Europe!F1108+"n/&gt;!0CI"</f>
        <v>#VALUE!</v>
      </c>
      <c r="FF288" t="e">
        <f>Europe!G1108+"n/&gt;!0CJ"</f>
        <v>#VALUE!</v>
      </c>
      <c r="FG288" t="e">
        <f>Europe!H1108+"n/&gt;!0CK"</f>
        <v>#VALUE!</v>
      </c>
      <c r="FH288" t="e">
        <f>Europe!I1108+"n/&gt;!0CL"</f>
        <v>#VALUE!</v>
      </c>
      <c r="FI288" t="e">
        <f>Europe!A1109+"n/&gt;!0CM"</f>
        <v>#VALUE!</v>
      </c>
      <c r="FJ288" t="e">
        <f>Europe!B1109+"n/&gt;!0CN"</f>
        <v>#VALUE!</v>
      </c>
      <c r="FK288" t="e">
        <f>Europe!C1109+"n/&gt;!0CO"</f>
        <v>#VALUE!</v>
      </c>
      <c r="FL288" t="e">
        <f>Europe!D1109+"n/&gt;!0CP"</f>
        <v>#VALUE!</v>
      </c>
      <c r="FM288" t="e">
        <f>Europe!E1109+"n/&gt;!0CQ"</f>
        <v>#VALUE!</v>
      </c>
      <c r="FN288" t="e">
        <f>Europe!F1109+"n/&gt;!0CR"</f>
        <v>#VALUE!</v>
      </c>
      <c r="FO288" t="e">
        <f>Europe!G1109+"n/&gt;!0CS"</f>
        <v>#VALUE!</v>
      </c>
      <c r="FP288" t="e">
        <f>Europe!H1109+"n/&gt;!0CT"</f>
        <v>#VALUE!</v>
      </c>
      <c r="FQ288" t="e">
        <f>Europe!I1109+"n/&gt;!0CU"</f>
        <v>#VALUE!</v>
      </c>
      <c r="FR288" t="e">
        <f>Europe!A1110+"n/&gt;!0CV"</f>
        <v>#VALUE!</v>
      </c>
      <c r="FS288" t="e">
        <f>Europe!B1110+"n/&gt;!0CW"</f>
        <v>#VALUE!</v>
      </c>
      <c r="FT288" t="e">
        <f>Europe!C1110+"n/&gt;!0CX"</f>
        <v>#VALUE!</v>
      </c>
      <c r="FU288" t="e">
        <f>Europe!D1110+"n/&gt;!0CY"</f>
        <v>#VALUE!</v>
      </c>
      <c r="FV288" t="e">
        <f>Europe!E1110+"n/&gt;!0CZ"</f>
        <v>#VALUE!</v>
      </c>
      <c r="FW288" t="e">
        <f>Europe!F1110+"n/&gt;!0C["</f>
        <v>#VALUE!</v>
      </c>
      <c r="FX288" t="e">
        <f>Europe!G1110+"n/&gt;!0C\"</f>
        <v>#VALUE!</v>
      </c>
      <c r="FY288" t="e">
        <f>Europe!H1110+"n/&gt;!0C]"</f>
        <v>#VALUE!</v>
      </c>
      <c r="FZ288" t="e">
        <f>Europe!I1110+"n/&gt;!0C^"</f>
        <v>#VALUE!</v>
      </c>
      <c r="GA288" t="e">
        <f>Europe!A1111+"n/&gt;!0C_"</f>
        <v>#VALUE!</v>
      </c>
      <c r="GB288" t="e">
        <f>Europe!B1111+"n/&gt;!0C`"</f>
        <v>#VALUE!</v>
      </c>
      <c r="GC288" t="e">
        <f>Europe!C1111+"n/&gt;!0Ca"</f>
        <v>#VALUE!</v>
      </c>
      <c r="GD288" t="e">
        <f>Europe!D1111+"n/&gt;!0Cb"</f>
        <v>#VALUE!</v>
      </c>
      <c r="GE288" t="e">
        <f>Europe!E1111+"n/&gt;!0Cc"</f>
        <v>#VALUE!</v>
      </c>
      <c r="GF288" t="e">
        <f>Europe!F1111+"n/&gt;!0Cd"</f>
        <v>#VALUE!</v>
      </c>
      <c r="GG288" t="e">
        <f>Europe!G1111+"n/&gt;!0Ce"</f>
        <v>#VALUE!</v>
      </c>
      <c r="GH288" t="e">
        <f>Europe!H1111+"n/&gt;!0Cf"</f>
        <v>#VALUE!</v>
      </c>
      <c r="GI288" t="e">
        <f>Europe!I1111+"n/&gt;!0Cg"</f>
        <v>#VALUE!</v>
      </c>
      <c r="GJ288" t="e">
        <f>Europe!A1112+"n/&gt;!0Ch"</f>
        <v>#VALUE!</v>
      </c>
      <c r="GK288" t="e">
        <f>Europe!B1112+"n/&gt;!0Ci"</f>
        <v>#VALUE!</v>
      </c>
      <c r="GL288" t="e">
        <f>Europe!C1112+"n/&gt;!0Cj"</f>
        <v>#VALUE!</v>
      </c>
      <c r="GM288" t="e">
        <f>Europe!D1112+"n/&gt;!0Ck"</f>
        <v>#VALUE!</v>
      </c>
      <c r="GN288" t="e">
        <f>Europe!E1112+"n/&gt;!0Cl"</f>
        <v>#VALUE!</v>
      </c>
      <c r="GO288" t="e">
        <f>Europe!F1112+"n/&gt;!0Cm"</f>
        <v>#VALUE!</v>
      </c>
      <c r="GP288" t="e">
        <f>Europe!G1112+"n/&gt;!0Cn"</f>
        <v>#VALUE!</v>
      </c>
      <c r="GQ288" t="e">
        <f>Europe!H1112+"n/&gt;!0Co"</f>
        <v>#VALUE!</v>
      </c>
      <c r="GR288" t="e">
        <f>Europe!I1112+"n/&gt;!0Cp"</f>
        <v>#VALUE!</v>
      </c>
      <c r="GS288" t="e">
        <f>Europe!A1113+"n/&gt;!0Cq"</f>
        <v>#VALUE!</v>
      </c>
      <c r="GT288" t="e">
        <f>Europe!B1113+"n/&gt;!0Cr"</f>
        <v>#VALUE!</v>
      </c>
      <c r="GU288" t="e">
        <f>Europe!C1113+"n/&gt;!0Cs"</f>
        <v>#VALUE!</v>
      </c>
      <c r="GV288" t="e">
        <f>Europe!D1113+"n/&gt;!0Ct"</f>
        <v>#VALUE!</v>
      </c>
      <c r="GW288" t="e">
        <f>Europe!E1113+"n/&gt;!0Cu"</f>
        <v>#VALUE!</v>
      </c>
      <c r="GX288" t="e">
        <f>Europe!F1113+"n/&gt;!0Cv"</f>
        <v>#VALUE!</v>
      </c>
      <c r="GY288" t="e">
        <f>Europe!G1113+"n/&gt;!0Cw"</f>
        <v>#VALUE!</v>
      </c>
      <c r="GZ288" t="e">
        <f>Europe!H1113+"n/&gt;!0Cx"</f>
        <v>#VALUE!</v>
      </c>
      <c r="HA288" t="e">
        <f>Europe!I1113+"n/&gt;!0Cy"</f>
        <v>#VALUE!</v>
      </c>
      <c r="HB288" t="e">
        <f>Europe!A1114+"n/&gt;!0Cz"</f>
        <v>#VALUE!</v>
      </c>
      <c r="HC288" t="e">
        <f>Europe!B1114+"n/&gt;!0C{"</f>
        <v>#VALUE!</v>
      </c>
      <c r="HD288" t="e">
        <f>Europe!C1114+"n/&gt;!0C|"</f>
        <v>#VALUE!</v>
      </c>
      <c r="HE288" t="e">
        <f>Europe!D1114+"n/&gt;!0C}"</f>
        <v>#VALUE!</v>
      </c>
      <c r="HF288" t="e">
        <f>Europe!E1114+"n/&gt;!0C~"</f>
        <v>#VALUE!</v>
      </c>
      <c r="HG288" t="e">
        <f>Europe!F1114+"n/&gt;!0D#"</f>
        <v>#VALUE!</v>
      </c>
      <c r="HH288" t="e">
        <f>Europe!G1114+"n/&gt;!0D$"</f>
        <v>#VALUE!</v>
      </c>
      <c r="HI288" t="e">
        <f>Europe!H1114+"n/&gt;!0D%"</f>
        <v>#VALUE!</v>
      </c>
      <c r="HJ288" t="e">
        <f>Europe!I1114+"n/&gt;!0D&amp;"</f>
        <v>#VALUE!</v>
      </c>
      <c r="HK288" t="e">
        <f>Europe!A1115+"n/&gt;!0D'"</f>
        <v>#VALUE!</v>
      </c>
      <c r="HL288" t="e">
        <f>Europe!B1115+"n/&gt;!0D("</f>
        <v>#VALUE!</v>
      </c>
      <c r="HM288" t="e">
        <f>Europe!C1115+"n/&gt;!0D)"</f>
        <v>#VALUE!</v>
      </c>
      <c r="HN288" t="e">
        <f>Europe!D1115+"n/&gt;!0D."</f>
        <v>#VALUE!</v>
      </c>
      <c r="HO288" t="e">
        <f>Europe!E1115+"n/&gt;!0D/"</f>
        <v>#VALUE!</v>
      </c>
      <c r="HP288" t="e">
        <f>Europe!F1115+"n/&gt;!0D0"</f>
        <v>#VALUE!</v>
      </c>
      <c r="HQ288" t="e">
        <f>Europe!G1115+"n/&gt;!0D1"</f>
        <v>#VALUE!</v>
      </c>
      <c r="HR288" t="e">
        <f>Europe!H1115+"n/&gt;!0D2"</f>
        <v>#VALUE!</v>
      </c>
      <c r="HS288" t="e">
        <f>Europe!I1115+"n/&gt;!0D3"</f>
        <v>#VALUE!</v>
      </c>
      <c r="HT288" t="e">
        <f>Europe!A1116+"n/&gt;!0D4"</f>
        <v>#VALUE!</v>
      </c>
      <c r="HU288" t="e">
        <f>Europe!B1116+"n/&gt;!0D5"</f>
        <v>#VALUE!</v>
      </c>
      <c r="HV288" t="e">
        <f>Europe!C1116+"n/&gt;!0D6"</f>
        <v>#VALUE!</v>
      </c>
      <c r="HW288" t="e">
        <f>Europe!D1116+"n/&gt;!0D7"</f>
        <v>#VALUE!</v>
      </c>
      <c r="HX288" t="e">
        <f>Europe!E1116+"n/&gt;!0D8"</f>
        <v>#VALUE!</v>
      </c>
      <c r="HY288" t="e">
        <f>Europe!F1116+"n/&gt;!0D9"</f>
        <v>#VALUE!</v>
      </c>
      <c r="HZ288" t="e">
        <f>Europe!G1116+"n/&gt;!0D:"</f>
        <v>#VALUE!</v>
      </c>
      <c r="IA288" t="e">
        <f>Europe!H1116+"n/&gt;!0D;"</f>
        <v>#VALUE!</v>
      </c>
      <c r="IB288" t="e">
        <f>Europe!I1116+"n/&gt;!0D&lt;"</f>
        <v>#VALUE!</v>
      </c>
      <c r="IC288" t="e">
        <f>Europe!A1117+"n/&gt;!0D="</f>
        <v>#VALUE!</v>
      </c>
      <c r="ID288" t="e">
        <f>Europe!B1117+"n/&gt;!0D&gt;"</f>
        <v>#VALUE!</v>
      </c>
      <c r="IE288" t="e">
        <f>Europe!C1117+"n/&gt;!0D?"</f>
        <v>#VALUE!</v>
      </c>
      <c r="IF288" t="e">
        <f>Europe!D1117+"n/&gt;!0D@"</f>
        <v>#VALUE!</v>
      </c>
      <c r="IG288" t="e">
        <f>Europe!E1117+"n/&gt;!0DA"</f>
        <v>#VALUE!</v>
      </c>
      <c r="IH288" t="e">
        <f>Europe!F1117+"n/&gt;!0DB"</f>
        <v>#VALUE!</v>
      </c>
      <c r="II288" t="e">
        <f>Europe!G1117+"n/&gt;!0DC"</f>
        <v>#VALUE!</v>
      </c>
      <c r="IJ288" t="e">
        <f>Europe!H1117+"n/&gt;!0DD"</f>
        <v>#VALUE!</v>
      </c>
      <c r="IK288" t="e">
        <f>Europe!I1117+"n/&gt;!0DE"</f>
        <v>#VALUE!</v>
      </c>
      <c r="IL288" t="e">
        <f>Europe!A1118+"n/&gt;!0DF"</f>
        <v>#VALUE!</v>
      </c>
      <c r="IM288" t="e">
        <f>Europe!B1118+"n/&gt;!0DG"</f>
        <v>#VALUE!</v>
      </c>
      <c r="IN288" t="e">
        <f>Europe!C1118+"n/&gt;!0DH"</f>
        <v>#VALUE!</v>
      </c>
      <c r="IO288" t="e">
        <f>Europe!D1118+"n/&gt;!0DI"</f>
        <v>#VALUE!</v>
      </c>
      <c r="IP288" t="e">
        <f>Europe!E1118+"n/&gt;!0DJ"</f>
        <v>#VALUE!</v>
      </c>
      <c r="IQ288" t="e">
        <f>Europe!F1118+"n/&gt;!0DK"</f>
        <v>#VALUE!</v>
      </c>
      <c r="IR288" t="e">
        <f>Europe!G1118+"n/&gt;!0DL"</f>
        <v>#VALUE!</v>
      </c>
      <c r="IS288" t="e">
        <f>Europe!H1118+"n/&gt;!0DM"</f>
        <v>#VALUE!</v>
      </c>
      <c r="IT288" t="e">
        <f>Europe!I1118+"n/&gt;!0DN"</f>
        <v>#VALUE!</v>
      </c>
      <c r="IU288" t="e">
        <f>Europe!A1119+"n/&gt;!0DO"</f>
        <v>#VALUE!</v>
      </c>
      <c r="IV288" t="e">
        <f>Europe!B1119+"n/&gt;!0DP"</f>
        <v>#VALUE!</v>
      </c>
    </row>
    <row r="289" spans="6:256" x14ac:dyDescent="0.35">
      <c r="F289" t="e">
        <f>Europe!C1119+"n/&gt;!0DQ"</f>
        <v>#VALUE!</v>
      </c>
      <c r="G289" t="e">
        <f>Europe!D1119+"n/&gt;!0DR"</f>
        <v>#VALUE!</v>
      </c>
      <c r="H289" t="e">
        <f>Europe!E1119+"n/&gt;!0DS"</f>
        <v>#VALUE!</v>
      </c>
      <c r="I289" t="e">
        <f>Europe!F1119+"n/&gt;!0DT"</f>
        <v>#VALUE!</v>
      </c>
      <c r="J289" t="e">
        <f>Europe!G1119+"n/&gt;!0DU"</f>
        <v>#VALUE!</v>
      </c>
      <c r="K289" t="e">
        <f>Europe!H1119+"n/&gt;!0DV"</f>
        <v>#VALUE!</v>
      </c>
      <c r="L289" t="e">
        <f>Europe!I1119+"n/&gt;!0DW"</f>
        <v>#VALUE!</v>
      </c>
      <c r="M289" t="e">
        <f>Europe!A1120+"n/&gt;!0DX"</f>
        <v>#VALUE!</v>
      </c>
      <c r="N289" t="e">
        <f>Europe!B1120+"n/&gt;!0DY"</f>
        <v>#VALUE!</v>
      </c>
      <c r="O289" t="e">
        <f>Europe!C1120+"n/&gt;!0DZ"</f>
        <v>#VALUE!</v>
      </c>
      <c r="P289" t="e">
        <f>Europe!D1120+"n/&gt;!0D["</f>
        <v>#VALUE!</v>
      </c>
      <c r="Q289" t="e">
        <f>Europe!E1120+"n/&gt;!0D\"</f>
        <v>#VALUE!</v>
      </c>
      <c r="R289" t="e">
        <f>Europe!F1120+"n/&gt;!0D]"</f>
        <v>#VALUE!</v>
      </c>
      <c r="S289" t="e">
        <f>Europe!G1120+"n/&gt;!0D^"</f>
        <v>#VALUE!</v>
      </c>
      <c r="T289" t="e">
        <f>Europe!H1120+"n/&gt;!0D_"</f>
        <v>#VALUE!</v>
      </c>
      <c r="U289" t="e">
        <f>Europe!I1120+"n/&gt;!0D`"</f>
        <v>#VALUE!</v>
      </c>
      <c r="V289" t="e">
        <f>Europe!A1121+"n/&gt;!0Da"</f>
        <v>#VALUE!</v>
      </c>
      <c r="W289" t="e">
        <f>Europe!B1121+"n/&gt;!0Db"</f>
        <v>#VALUE!</v>
      </c>
      <c r="X289" t="e">
        <f>Europe!C1121+"n/&gt;!0Dc"</f>
        <v>#VALUE!</v>
      </c>
      <c r="Y289" t="e">
        <f>Europe!D1121+"n/&gt;!0Dd"</f>
        <v>#VALUE!</v>
      </c>
      <c r="Z289" t="e">
        <f>Europe!E1121+"n/&gt;!0De"</f>
        <v>#VALUE!</v>
      </c>
      <c r="AA289" t="e">
        <f>Europe!F1121+"n/&gt;!0Df"</f>
        <v>#VALUE!</v>
      </c>
      <c r="AB289" t="e">
        <f>Europe!G1121+"n/&gt;!0Dg"</f>
        <v>#VALUE!</v>
      </c>
      <c r="AC289" t="e">
        <f>Europe!H1121+"n/&gt;!0Dh"</f>
        <v>#VALUE!</v>
      </c>
      <c r="AD289" t="e">
        <f>Europe!I1121+"n/&gt;!0Di"</f>
        <v>#VALUE!</v>
      </c>
      <c r="AE289" t="e">
        <f>Europe!A1122+"n/&gt;!0Dj"</f>
        <v>#VALUE!</v>
      </c>
      <c r="AF289" t="e">
        <f>Europe!B1122+"n/&gt;!0Dk"</f>
        <v>#VALUE!</v>
      </c>
      <c r="AG289" t="e">
        <f>Europe!C1122+"n/&gt;!0Dl"</f>
        <v>#VALUE!</v>
      </c>
      <c r="AH289" t="e">
        <f>Europe!D1122+"n/&gt;!0Dm"</f>
        <v>#VALUE!</v>
      </c>
      <c r="AI289" t="e">
        <f>Europe!E1122+"n/&gt;!0Dn"</f>
        <v>#VALUE!</v>
      </c>
      <c r="AJ289" t="e">
        <f>Europe!F1122+"n/&gt;!0Do"</f>
        <v>#VALUE!</v>
      </c>
      <c r="AK289" t="e">
        <f>Europe!G1122+"n/&gt;!0Dp"</f>
        <v>#VALUE!</v>
      </c>
      <c r="AL289" t="e">
        <f>Europe!H1122+"n/&gt;!0Dq"</f>
        <v>#VALUE!</v>
      </c>
      <c r="AM289" t="e">
        <f>Europe!I1122+"n/&gt;!0Dr"</f>
        <v>#VALUE!</v>
      </c>
      <c r="AN289" t="e">
        <f>Europe!A1123+"n/&gt;!0Ds"</f>
        <v>#VALUE!</v>
      </c>
      <c r="AO289" t="e">
        <f>Europe!B1123+"n/&gt;!0Dt"</f>
        <v>#VALUE!</v>
      </c>
      <c r="AP289" t="e">
        <f>Europe!C1123+"n/&gt;!0Du"</f>
        <v>#VALUE!</v>
      </c>
      <c r="AQ289" t="e">
        <f>Europe!D1123+"n/&gt;!0Dv"</f>
        <v>#VALUE!</v>
      </c>
      <c r="AR289" t="e">
        <f>Europe!E1123+"n/&gt;!0Dw"</f>
        <v>#VALUE!</v>
      </c>
      <c r="AS289" t="e">
        <f>Europe!F1123+"n/&gt;!0Dx"</f>
        <v>#VALUE!</v>
      </c>
      <c r="AT289" t="e">
        <f>Europe!G1123+"n/&gt;!0Dy"</f>
        <v>#VALUE!</v>
      </c>
      <c r="AU289" t="e">
        <f>Europe!H1123+"n/&gt;!0Dz"</f>
        <v>#VALUE!</v>
      </c>
      <c r="AV289" t="e">
        <f>Europe!I1123+"n/&gt;!0D{"</f>
        <v>#VALUE!</v>
      </c>
      <c r="AW289" t="e">
        <f>Europe!A1124+"n/&gt;!0D|"</f>
        <v>#VALUE!</v>
      </c>
      <c r="AX289" t="e">
        <f>Europe!B1124+"n/&gt;!0D}"</f>
        <v>#VALUE!</v>
      </c>
      <c r="AY289" t="e">
        <f>Europe!C1124+"n/&gt;!0D~"</f>
        <v>#VALUE!</v>
      </c>
      <c r="AZ289" t="e">
        <f>Europe!D1124+"n/&gt;!0E#"</f>
        <v>#VALUE!</v>
      </c>
      <c r="BA289" t="e">
        <f>Europe!E1124+"n/&gt;!0E$"</f>
        <v>#VALUE!</v>
      </c>
      <c r="BB289" t="e">
        <f>Europe!F1124+"n/&gt;!0E%"</f>
        <v>#VALUE!</v>
      </c>
      <c r="BC289" t="e">
        <f>Europe!G1124+"n/&gt;!0E&amp;"</f>
        <v>#VALUE!</v>
      </c>
      <c r="BD289" t="e">
        <f>Europe!H1124+"n/&gt;!0E'"</f>
        <v>#VALUE!</v>
      </c>
      <c r="BE289" t="e">
        <f>Europe!I1124+"n/&gt;!0E("</f>
        <v>#VALUE!</v>
      </c>
      <c r="BF289" t="e">
        <f>Europe!A1125+"n/&gt;!0E)"</f>
        <v>#VALUE!</v>
      </c>
      <c r="BG289" t="e">
        <f>Europe!B1125+"n/&gt;!0E."</f>
        <v>#VALUE!</v>
      </c>
      <c r="BH289" t="e">
        <f>Europe!C1125+"n/&gt;!0E/"</f>
        <v>#VALUE!</v>
      </c>
      <c r="BI289" t="e">
        <f>Europe!D1125+"n/&gt;!0E0"</f>
        <v>#VALUE!</v>
      </c>
      <c r="BJ289" t="e">
        <f>Europe!E1125+"n/&gt;!0E1"</f>
        <v>#VALUE!</v>
      </c>
      <c r="BK289" t="e">
        <f>Europe!F1125+"n/&gt;!0E2"</f>
        <v>#VALUE!</v>
      </c>
      <c r="BL289" t="e">
        <f>Europe!G1125+"n/&gt;!0E3"</f>
        <v>#VALUE!</v>
      </c>
      <c r="BM289" t="e">
        <f>Europe!H1125+"n/&gt;!0E4"</f>
        <v>#VALUE!</v>
      </c>
      <c r="BN289" t="e">
        <f>Europe!I1125+"n/&gt;!0E5"</f>
        <v>#VALUE!</v>
      </c>
      <c r="BO289" t="e">
        <f>Europe!A1126+"n/&gt;!0E6"</f>
        <v>#VALUE!</v>
      </c>
      <c r="BP289" t="e">
        <f>Europe!B1126+"n/&gt;!0E7"</f>
        <v>#VALUE!</v>
      </c>
      <c r="BQ289" t="e">
        <f>Europe!C1126+"n/&gt;!0E8"</f>
        <v>#VALUE!</v>
      </c>
      <c r="BR289" t="e">
        <f>Europe!D1126+"n/&gt;!0E9"</f>
        <v>#VALUE!</v>
      </c>
      <c r="BS289" t="e">
        <f>Europe!E1126+"n/&gt;!0E:"</f>
        <v>#VALUE!</v>
      </c>
      <c r="BT289" t="e">
        <f>Europe!F1126+"n/&gt;!0E;"</f>
        <v>#VALUE!</v>
      </c>
      <c r="BU289" t="e">
        <f>Europe!G1126+"n/&gt;!0E&lt;"</f>
        <v>#VALUE!</v>
      </c>
      <c r="BV289" t="e">
        <f>Europe!H1126+"n/&gt;!0E="</f>
        <v>#VALUE!</v>
      </c>
      <c r="BW289" t="e">
        <f>Europe!I1126+"n/&gt;!0E&gt;"</f>
        <v>#VALUE!</v>
      </c>
      <c r="BX289" t="e">
        <f>Europe!A1127+"n/&gt;!0E?"</f>
        <v>#VALUE!</v>
      </c>
      <c r="BY289" t="e">
        <f>Europe!B1127+"n/&gt;!0E@"</f>
        <v>#VALUE!</v>
      </c>
      <c r="BZ289" t="e">
        <f>Europe!C1127+"n/&gt;!0EA"</f>
        <v>#VALUE!</v>
      </c>
      <c r="CA289" t="e">
        <f>Europe!D1127+"n/&gt;!0EB"</f>
        <v>#VALUE!</v>
      </c>
      <c r="CB289" t="e">
        <f>Europe!E1127+"n/&gt;!0EC"</f>
        <v>#VALUE!</v>
      </c>
      <c r="CC289" t="e">
        <f>Europe!F1127+"n/&gt;!0ED"</f>
        <v>#VALUE!</v>
      </c>
      <c r="CD289" t="e">
        <f>Europe!G1127+"n/&gt;!0EE"</f>
        <v>#VALUE!</v>
      </c>
      <c r="CE289" t="e">
        <f>Europe!H1127+"n/&gt;!0EF"</f>
        <v>#VALUE!</v>
      </c>
      <c r="CF289" t="e">
        <f>Europe!I1127+"n/&gt;!0EG"</f>
        <v>#VALUE!</v>
      </c>
      <c r="CG289" t="e">
        <f>Europe!A1128+"n/&gt;!0EH"</f>
        <v>#VALUE!</v>
      </c>
      <c r="CH289" t="e">
        <f>Europe!B1128+"n/&gt;!0EI"</f>
        <v>#VALUE!</v>
      </c>
      <c r="CI289" t="e">
        <f>Europe!C1128+"n/&gt;!0EJ"</f>
        <v>#VALUE!</v>
      </c>
      <c r="CJ289" t="e">
        <f>Europe!D1128+"n/&gt;!0EK"</f>
        <v>#VALUE!</v>
      </c>
      <c r="CK289" t="e">
        <f>Europe!E1128+"n/&gt;!0EL"</f>
        <v>#VALUE!</v>
      </c>
      <c r="CL289" t="e">
        <f>Europe!F1128+"n/&gt;!0EM"</f>
        <v>#VALUE!</v>
      </c>
      <c r="CM289" t="e">
        <f>Europe!G1128+"n/&gt;!0EN"</f>
        <v>#VALUE!</v>
      </c>
      <c r="CN289" t="e">
        <f>Europe!H1128+"n/&gt;!0EO"</f>
        <v>#VALUE!</v>
      </c>
      <c r="CO289" t="e">
        <f>Europe!I1128+"n/&gt;!0EP"</f>
        <v>#VALUE!</v>
      </c>
      <c r="CP289" t="e">
        <f>Europe!A1129+"n/&gt;!0EQ"</f>
        <v>#VALUE!</v>
      </c>
      <c r="CQ289" t="e">
        <f>Europe!B1129+"n/&gt;!0ER"</f>
        <v>#VALUE!</v>
      </c>
      <c r="CR289" t="e">
        <f>Europe!C1129+"n/&gt;!0ES"</f>
        <v>#VALUE!</v>
      </c>
      <c r="CS289" t="e">
        <f>Europe!D1129+"n/&gt;!0ET"</f>
        <v>#VALUE!</v>
      </c>
      <c r="CT289" t="e">
        <f>Europe!E1129+"n/&gt;!0EU"</f>
        <v>#VALUE!</v>
      </c>
      <c r="CU289" t="e">
        <f>Europe!F1129+"n/&gt;!0EV"</f>
        <v>#VALUE!</v>
      </c>
      <c r="CV289" t="e">
        <f>Europe!G1129+"n/&gt;!0EW"</f>
        <v>#VALUE!</v>
      </c>
      <c r="CW289" t="e">
        <f>Europe!H1129+"n/&gt;!0EX"</f>
        <v>#VALUE!</v>
      </c>
      <c r="CX289" t="e">
        <f>Europe!I1129+"n/&gt;!0EY"</f>
        <v>#VALUE!</v>
      </c>
      <c r="CY289" t="e">
        <f>Europe!A1130+"n/&gt;!0EZ"</f>
        <v>#VALUE!</v>
      </c>
      <c r="CZ289" t="e">
        <f>Europe!B1130+"n/&gt;!0E["</f>
        <v>#VALUE!</v>
      </c>
      <c r="DA289" t="e">
        <f>Europe!C1130+"n/&gt;!0E\"</f>
        <v>#VALUE!</v>
      </c>
      <c r="DB289" t="e">
        <f>Europe!D1130+"n/&gt;!0E]"</f>
        <v>#VALUE!</v>
      </c>
      <c r="DC289" t="e">
        <f>Europe!E1130+"n/&gt;!0E^"</f>
        <v>#VALUE!</v>
      </c>
      <c r="DD289" t="e">
        <f>Europe!F1130+"n/&gt;!0E_"</f>
        <v>#VALUE!</v>
      </c>
      <c r="DE289" t="e">
        <f>Europe!G1130+"n/&gt;!0E`"</f>
        <v>#VALUE!</v>
      </c>
      <c r="DF289" t="e">
        <f>Europe!H1130+"n/&gt;!0Ea"</f>
        <v>#VALUE!</v>
      </c>
      <c r="DG289" t="e">
        <f>Europe!I1130+"n/&gt;!0Eb"</f>
        <v>#VALUE!</v>
      </c>
      <c r="DH289" t="e">
        <f>Europe!A1131+"n/&gt;!0Ec"</f>
        <v>#VALUE!</v>
      </c>
      <c r="DI289" t="e">
        <f>Europe!B1131+"n/&gt;!0Ed"</f>
        <v>#VALUE!</v>
      </c>
      <c r="DJ289" t="e">
        <f>Europe!C1131+"n/&gt;!0Ee"</f>
        <v>#VALUE!</v>
      </c>
      <c r="DK289" t="e">
        <f>Europe!D1131+"n/&gt;!0Ef"</f>
        <v>#VALUE!</v>
      </c>
      <c r="DL289" t="e">
        <f>Europe!E1131+"n/&gt;!0Eg"</f>
        <v>#VALUE!</v>
      </c>
      <c r="DM289" t="e">
        <f>Europe!F1131+"n/&gt;!0Eh"</f>
        <v>#VALUE!</v>
      </c>
      <c r="DN289" t="e">
        <f>Europe!G1131+"n/&gt;!0Ei"</f>
        <v>#VALUE!</v>
      </c>
      <c r="DO289" t="e">
        <f>Europe!H1131+"n/&gt;!0Ej"</f>
        <v>#VALUE!</v>
      </c>
      <c r="DP289" t="e">
        <f>Europe!I1131+"n/&gt;!0Ek"</f>
        <v>#VALUE!</v>
      </c>
      <c r="DQ289" t="e">
        <f>Europe!A1132+"n/&gt;!0El"</f>
        <v>#VALUE!</v>
      </c>
      <c r="DR289" t="e">
        <f>Europe!B1132+"n/&gt;!0Em"</f>
        <v>#VALUE!</v>
      </c>
      <c r="DS289" t="e">
        <f>Europe!C1132+"n/&gt;!0En"</f>
        <v>#VALUE!</v>
      </c>
      <c r="DT289" t="e">
        <f>Europe!D1132+"n/&gt;!0Eo"</f>
        <v>#VALUE!</v>
      </c>
      <c r="DU289" t="e">
        <f>Europe!E1132+"n/&gt;!0Ep"</f>
        <v>#VALUE!</v>
      </c>
      <c r="DV289" t="e">
        <f>Europe!F1132+"n/&gt;!0Eq"</f>
        <v>#VALUE!</v>
      </c>
      <c r="DW289" t="e">
        <f>Europe!G1132+"n/&gt;!0Er"</f>
        <v>#VALUE!</v>
      </c>
      <c r="DX289" t="e">
        <f>Europe!H1132+"n/&gt;!0Es"</f>
        <v>#VALUE!</v>
      </c>
      <c r="DY289" t="e">
        <f>Europe!I1132+"n/&gt;!0Et"</f>
        <v>#VALUE!</v>
      </c>
      <c r="DZ289" t="e">
        <f>Europe!A1133+"n/&gt;!0Eu"</f>
        <v>#VALUE!</v>
      </c>
      <c r="EA289" t="e">
        <f>Europe!B1133+"n/&gt;!0Ev"</f>
        <v>#VALUE!</v>
      </c>
      <c r="EB289" t="e">
        <f>Europe!C1133+"n/&gt;!0Ew"</f>
        <v>#VALUE!</v>
      </c>
      <c r="EC289" t="e">
        <f>Europe!D1133+"n/&gt;!0Ex"</f>
        <v>#VALUE!</v>
      </c>
      <c r="ED289" t="e">
        <f>Europe!E1133+"n/&gt;!0Ey"</f>
        <v>#VALUE!</v>
      </c>
      <c r="EE289" t="e">
        <f>Europe!F1133+"n/&gt;!0Ez"</f>
        <v>#VALUE!</v>
      </c>
      <c r="EF289" t="e">
        <f>Europe!G1133+"n/&gt;!0E{"</f>
        <v>#VALUE!</v>
      </c>
      <c r="EG289" t="e">
        <f>Europe!H1133+"n/&gt;!0E|"</f>
        <v>#VALUE!</v>
      </c>
      <c r="EH289" t="e">
        <f>Europe!I1133+"n/&gt;!0E}"</f>
        <v>#VALUE!</v>
      </c>
      <c r="EI289" t="e">
        <f>Europe!A1134+"n/&gt;!0E~"</f>
        <v>#VALUE!</v>
      </c>
      <c r="EJ289" t="e">
        <f>Europe!B1134+"n/&gt;!0F#"</f>
        <v>#VALUE!</v>
      </c>
      <c r="EK289" t="e">
        <f>Europe!C1134+"n/&gt;!0F$"</f>
        <v>#VALUE!</v>
      </c>
      <c r="EL289" t="e">
        <f>Europe!D1134+"n/&gt;!0F%"</f>
        <v>#VALUE!</v>
      </c>
      <c r="EM289" t="e">
        <f>Europe!E1134+"n/&gt;!0F&amp;"</f>
        <v>#VALUE!</v>
      </c>
      <c r="EN289" t="e">
        <f>Europe!F1134+"n/&gt;!0F'"</f>
        <v>#VALUE!</v>
      </c>
      <c r="EO289" t="e">
        <f>Europe!G1134+"n/&gt;!0F("</f>
        <v>#VALUE!</v>
      </c>
      <c r="EP289" t="e">
        <f>Europe!H1134+"n/&gt;!0F)"</f>
        <v>#VALUE!</v>
      </c>
      <c r="EQ289" t="e">
        <f>Europe!I1134+"n/&gt;!0F."</f>
        <v>#VALUE!</v>
      </c>
      <c r="ER289" t="e">
        <f>Europe!A1135+"n/&gt;!0F/"</f>
        <v>#VALUE!</v>
      </c>
      <c r="ES289" t="e">
        <f>Europe!B1135+"n/&gt;!0F0"</f>
        <v>#VALUE!</v>
      </c>
      <c r="ET289" t="e">
        <f>Europe!C1135+"n/&gt;!0F1"</f>
        <v>#VALUE!</v>
      </c>
      <c r="EU289" t="e">
        <f>Europe!D1135+"n/&gt;!0F2"</f>
        <v>#VALUE!</v>
      </c>
      <c r="EV289" t="e">
        <f>Europe!E1135+"n/&gt;!0F3"</f>
        <v>#VALUE!</v>
      </c>
      <c r="EW289" t="e">
        <f>Europe!F1135+"n/&gt;!0F4"</f>
        <v>#VALUE!</v>
      </c>
      <c r="EX289" t="e">
        <f>Europe!G1135+"n/&gt;!0F5"</f>
        <v>#VALUE!</v>
      </c>
      <c r="EY289" t="e">
        <f>Europe!H1135+"n/&gt;!0F6"</f>
        <v>#VALUE!</v>
      </c>
      <c r="EZ289" t="e">
        <f>Europe!I1135+"n/&gt;!0F7"</f>
        <v>#VALUE!</v>
      </c>
      <c r="FA289" t="e">
        <f>Europe!A1136+"n/&gt;!0F8"</f>
        <v>#VALUE!</v>
      </c>
      <c r="FB289" t="e">
        <f>Europe!B1136+"n/&gt;!0F9"</f>
        <v>#VALUE!</v>
      </c>
      <c r="FC289" t="e">
        <f>Europe!C1136+"n/&gt;!0F:"</f>
        <v>#VALUE!</v>
      </c>
      <c r="FD289" t="e">
        <f>Europe!D1136+"n/&gt;!0F;"</f>
        <v>#VALUE!</v>
      </c>
      <c r="FE289" t="e">
        <f>Europe!E1136+"n/&gt;!0F&lt;"</f>
        <v>#VALUE!</v>
      </c>
      <c r="FF289" t="e">
        <f>Europe!F1136+"n/&gt;!0F="</f>
        <v>#VALUE!</v>
      </c>
      <c r="FG289" t="e">
        <f>Europe!G1136+"n/&gt;!0F&gt;"</f>
        <v>#VALUE!</v>
      </c>
      <c r="FH289" t="e">
        <f>Europe!H1136+"n/&gt;!0F?"</f>
        <v>#VALUE!</v>
      </c>
      <c r="FI289" t="e">
        <f>Europe!I1136+"n/&gt;!0F@"</f>
        <v>#VALUE!</v>
      </c>
      <c r="FJ289" t="e">
        <f>Europe!A1137+"n/&gt;!0FA"</f>
        <v>#VALUE!</v>
      </c>
      <c r="FK289" t="e">
        <f>Europe!B1137+"n/&gt;!0FB"</f>
        <v>#VALUE!</v>
      </c>
      <c r="FL289" t="e">
        <f>Europe!C1137+"n/&gt;!0FC"</f>
        <v>#VALUE!</v>
      </c>
      <c r="FM289" t="e">
        <f>Europe!D1137+"n/&gt;!0FD"</f>
        <v>#VALUE!</v>
      </c>
      <c r="FN289" t="e">
        <f>Europe!E1137+"n/&gt;!0FE"</f>
        <v>#VALUE!</v>
      </c>
      <c r="FO289" t="e">
        <f>Europe!F1137+"n/&gt;!0FF"</f>
        <v>#VALUE!</v>
      </c>
      <c r="FP289" t="e">
        <f>Europe!G1137+"n/&gt;!0FG"</f>
        <v>#VALUE!</v>
      </c>
      <c r="FQ289" t="e">
        <f>Europe!H1137+"n/&gt;!0FH"</f>
        <v>#VALUE!</v>
      </c>
      <c r="FR289" t="e">
        <f>Europe!I1137+"n/&gt;!0FI"</f>
        <v>#VALUE!</v>
      </c>
      <c r="FS289" t="e">
        <f>Europe!A1138+"n/&gt;!0FJ"</f>
        <v>#VALUE!</v>
      </c>
      <c r="FT289" t="e">
        <f>Europe!B1138+"n/&gt;!0FK"</f>
        <v>#VALUE!</v>
      </c>
      <c r="FU289" t="e">
        <f>Europe!C1138+"n/&gt;!0FL"</f>
        <v>#VALUE!</v>
      </c>
      <c r="FV289" t="e">
        <f>Europe!D1138+"n/&gt;!0FM"</f>
        <v>#VALUE!</v>
      </c>
      <c r="FW289" t="e">
        <f>Europe!E1138+"n/&gt;!0FN"</f>
        <v>#VALUE!</v>
      </c>
      <c r="FX289" t="e">
        <f>Europe!F1138+"n/&gt;!0FO"</f>
        <v>#VALUE!</v>
      </c>
      <c r="FY289" t="e">
        <f>Europe!G1138+"n/&gt;!0FP"</f>
        <v>#VALUE!</v>
      </c>
      <c r="FZ289" t="e">
        <f>Europe!H1138+"n/&gt;!0FQ"</f>
        <v>#VALUE!</v>
      </c>
      <c r="GA289" t="e">
        <f>Europe!I1138+"n/&gt;!0FR"</f>
        <v>#VALUE!</v>
      </c>
      <c r="GB289" t="e">
        <f>Europe!A1139+"n/&gt;!0FS"</f>
        <v>#VALUE!</v>
      </c>
      <c r="GC289" t="e">
        <f>Europe!B1139+"n/&gt;!0FT"</f>
        <v>#VALUE!</v>
      </c>
      <c r="GD289" t="e">
        <f>Europe!C1139+"n/&gt;!0FU"</f>
        <v>#VALUE!</v>
      </c>
      <c r="GE289" t="e">
        <f>Europe!D1139+"n/&gt;!0FV"</f>
        <v>#VALUE!</v>
      </c>
      <c r="GF289" t="e">
        <f>Europe!E1139+"n/&gt;!0FW"</f>
        <v>#VALUE!</v>
      </c>
      <c r="GG289" t="e">
        <f>Europe!F1139+"n/&gt;!0FX"</f>
        <v>#VALUE!</v>
      </c>
      <c r="GH289" t="e">
        <f>Europe!G1139+"n/&gt;!0FY"</f>
        <v>#VALUE!</v>
      </c>
      <c r="GI289" t="e">
        <f>Europe!H1139+"n/&gt;!0FZ"</f>
        <v>#VALUE!</v>
      </c>
      <c r="GJ289" t="e">
        <f>Europe!I1139+"n/&gt;!0F["</f>
        <v>#VALUE!</v>
      </c>
      <c r="GK289" t="e">
        <f>Europe!A1140+"n/&gt;!0F\"</f>
        <v>#VALUE!</v>
      </c>
      <c r="GL289" t="e">
        <f>Europe!B1140+"n/&gt;!0F]"</f>
        <v>#VALUE!</v>
      </c>
      <c r="GM289" t="e">
        <f>Europe!C1140+"n/&gt;!0F^"</f>
        <v>#VALUE!</v>
      </c>
      <c r="GN289" t="e">
        <f>Europe!D1140+"n/&gt;!0F_"</f>
        <v>#VALUE!</v>
      </c>
      <c r="GO289" t="e">
        <f>Europe!E1140+"n/&gt;!0F`"</f>
        <v>#VALUE!</v>
      </c>
      <c r="GP289" t="e">
        <f>Europe!F1140+"n/&gt;!0Fa"</f>
        <v>#VALUE!</v>
      </c>
      <c r="GQ289" t="e">
        <f>Europe!G1140+"n/&gt;!0Fb"</f>
        <v>#VALUE!</v>
      </c>
      <c r="GR289" t="e">
        <f>Europe!H1140+"n/&gt;!0Fc"</f>
        <v>#VALUE!</v>
      </c>
      <c r="GS289" t="e">
        <f>Europe!I1140+"n/&gt;!0Fd"</f>
        <v>#VALUE!</v>
      </c>
      <c r="GT289" t="e">
        <f>Europe!A1141+"n/&gt;!0Fe"</f>
        <v>#VALUE!</v>
      </c>
      <c r="GU289" t="e">
        <f>Europe!B1141+"n/&gt;!0Ff"</f>
        <v>#VALUE!</v>
      </c>
      <c r="GV289" t="e">
        <f>Europe!C1141+"n/&gt;!0Fg"</f>
        <v>#VALUE!</v>
      </c>
      <c r="GW289" t="e">
        <f>Europe!D1141+"n/&gt;!0Fh"</f>
        <v>#VALUE!</v>
      </c>
      <c r="GX289" t="e">
        <f>Europe!E1141+"n/&gt;!0Fi"</f>
        <v>#VALUE!</v>
      </c>
      <c r="GY289" t="e">
        <f>Europe!F1141+"n/&gt;!0Fj"</f>
        <v>#VALUE!</v>
      </c>
      <c r="GZ289" t="e">
        <f>Europe!G1141+"n/&gt;!0Fk"</f>
        <v>#VALUE!</v>
      </c>
      <c r="HA289" t="e">
        <f>Europe!H1141+"n/&gt;!0Fl"</f>
        <v>#VALUE!</v>
      </c>
      <c r="HB289" t="e">
        <f>Europe!I1141+"n/&gt;!0Fm"</f>
        <v>#VALUE!</v>
      </c>
      <c r="HC289" t="e">
        <f>Europe!A1142+"n/&gt;!0Fn"</f>
        <v>#VALUE!</v>
      </c>
      <c r="HD289" t="e">
        <f>Europe!B1142+"n/&gt;!0Fo"</f>
        <v>#VALUE!</v>
      </c>
      <c r="HE289" t="e">
        <f>Europe!C1142+"n/&gt;!0Fp"</f>
        <v>#VALUE!</v>
      </c>
      <c r="HF289" t="e">
        <f>Europe!D1142+"n/&gt;!0Fq"</f>
        <v>#VALUE!</v>
      </c>
      <c r="HG289" t="e">
        <f>Europe!E1142+"n/&gt;!0Fr"</f>
        <v>#VALUE!</v>
      </c>
      <c r="HH289" t="e">
        <f>Europe!F1142+"n/&gt;!0Fs"</f>
        <v>#VALUE!</v>
      </c>
      <c r="HI289" t="e">
        <f>Europe!G1142+"n/&gt;!0Ft"</f>
        <v>#VALUE!</v>
      </c>
      <c r="HJ289" t="e">
        <f>Europe!H1142+"n/&gt;!0Fu"</f>
        <v>#VALUE!</v>
      </c>
      <c r="HK289" t="e">
        <f>Europe!I1142+"n/&gt;!0Fv"</f>
        <v>#VALUE!</v>
      </c>
      <c r="HL289" t="e">
        <f>Europe!A1143+"n/&gt;!0Fw"</f>
        <v>#VALUE!</v>
      </c>
      <c r="HM289" t="e">
        <f>Europe!B1143+"n/&gt;!0Fx"</f>
        <v>#VALUE!</v>
      </c>
      <c r="HN289" t="e">
        <f>Europe!C1143+"n/&gt;!0Fy"</f>
        <v>#VALUE!</v>
      </c>
      <c r="HO289" t="e">
        <f>Europe!D1143+"n/&gt;!0Fz"</f>
        <v>#VALUE!</v>
      </c>
      <c r="HP289" t="e">
        <f>Europe!E1143+"n/&gt;!0F{"</f>
        <v>#VALUE!</v>
      </c>
      <c r="HQ289" t="e">
        <f>Europe!F1143+"n/&gt;!0F|"</f>
        <v>#VALUE!</v>
      </c>
      <c r="HR289" t="e">
        <f>Europe!G1143+"n/&gt;!0F}"</f>
        <v>#VALUE!</v>
      </c>
      <c r="HS289" t="e">
        <f>Europe!H1143+"n/&gt;!0F~"</f>
        <v>#VALUE!</v>
      </c>
      <c r="HT289" t="e">
        <f>Europe!I1143+"n/&gt;!0G#"</f>
        <v>#VALUE!</v>
      </c>
      <c r="HU289" t="e">
        <f>Europe!A1144+"n/&gt;!0G$"</f>
        <v>#VALUE!</v>
      </c>
      <c r="HV289" t="e">
        <f>Europe!B1144+"n/&gt;!0G%"</f>
        <v>#VALUE!</v>
      </c>
      <c r="HW289" t="e">
        <f>Europe!C1144+"n/&gt;!0G&amp;"</f>
        <v>#VALUE!</v>
      </c>
      <c r="HX289" t="e">
        <f>Europe!D1144+"n/&gt;!0G'"</f>
        <v>#VALUE!</v>
      </c>
      <c r="HY289" t="e">
        <f>Europe!E1144+"n/&gt;!0G("</f>
        <v>#VALUE!</v>
      </c>
      <c r="HZ289" t="e">
        <f>Europe!F1144+"n/&gt;!0G)"</f>
        <v>#VALUE!</v>
      </c>
      <c r="IA289" t="e">
        <f>Europe!G1144+"n/&gt;!0G."</f>
        <v>#VALUE!</v>
      </c>
      <c r="IB289" t="e">
        <f>Europe!H1144+"n/&gt;!0G/"</f>
        <v>#VALUE!</v>
      </c>
      <c r="IC289" t="e">
        <f>Europe!I1144+"n/&gt;!0G0"</f>
        <v>#VALUE!</v>
      </c>
      <c r="ID289" t="e">
        <f>Europe!A1145+"n/&gt;!0G1"</f>
        <v>#VALUE!</v>
      </c>
      <c r="IE289" t="e">
        <f>Europe!B1145+"n/&gt;!0G2"</f>
        <v>#VALUE!</v>
      </c>
      <c r="IF289" t="e">
        <f>Europe!C1145+"n/&gt;!0G3"</f>
        <v>#VALUE!</v>
      </c>
      <c r="IG289" t="e">
        <f>Europe!D1145+"n/&gt;!0G4"</f>
        <v>#VALUE!</v>
      </c>
      <c r="IH289" t="e">
        <f>Europe!E1145+"n/&gt;!0G5"</f>
        <v>#VALUE!</v>
      </c>
      <c r="II289" t="e">
        <f>Europe!F1145+"n/&gt;!0G6"</f>
        <v>#VALUE!</v>
      </c>
      <c r="IJ289" t="e">
        <f>Europe!G1145+"n/&gt;!0G7"</f>
        <v>#VALUE!</v>
      </c>
      <c r="IK289" t="e">
        <f>Europe!H1145+"n/&gt;!0G8"</f>
        <v>#VALUE!</v>
      </c>
      <c r="IL289" t="e">
        <f>Europe!I1145+"n/&gt;!0G9"</f>
        <v>#VALUE!</v>
      </c>
      <c r="IM289" t="e">
        <f>Europe!A1146+"n/&gt;!0G:"</f>
        <v>#VALUE!</v>
      </c>
      <c r="IN289" t="e">
        <f>Europe!B1146+"n/&gt;!0G;"</f>
        <v>#VALUE!</v>
      </c>
      <c r="IO289" t="e">
        <f>Europe!C1146+"n/&gt;!0G&lt;"</f>
        <v>#VALUE!</v>
      </c>
      <c r="IP289" t="e">
        <f>Europe!D1146+"n/&gt;!0G="</f>
        <v>#VALUE!</v>
      </c>
      <c r="IQ289" t="e">
        <f>Europe!E1146+"n/&gt;!0G&gt;"</f>
        <v>#VALUE!</v>
      </c>
      <c r="IR289" t="e">
        <f>Europe!F1146+"n/&gt;!0G?"</f>
        <v>#VALUE!</v>
      </c>
      <c r="IS289" t="e">
        <f>Europe!G1146+"n/&gt;!0G@"</f>
        <v>#VALUE!</v>
      </c>
      <c r="IT289" t="e">
        <f>Europe!H1146+"n/&gt;!0GA"</f>
        <v>#VALUE!</v>
      </c>
      <c r="IU289" t="e">
        <f>Europe!I1146+"n/&gt;!0GB"</f>
        <v>#VALUE!</v>
      </c>
      <c r="IV289" t="e">
        <f>Europe!A1147+"n/&gt;!0GC"</f>
        <v>#VALUE!</v>
      </c>
    </row>
    <row r="290" spans="6:256" x14ac:dyDescent="0.35">
      <c r="F290" t="e">
        <f>Europe!B1147+"n/&gt;!0GD"</f>
        <v>#VALUE!</v>
      </c>
      <c r="G290" t="e">
        <f>Europe!C1147+"n/&gt;!0GE"</f>
        <v>#VALUE!</v>
      </c>
      <c r="H290" t="e">
        <f>Europe!D1147+"n/&gt;!0GF"</f>
        <v>#VALUE!</v>
      </c>
      <c r="I290" t="e">
        <f>Europe!E1147+"n/&gt;!0GG"</f>
        <v>#VALUE!</v>
      </c>
      <c r="J290" t="e">
        <f>Europe!F1147+"n/&gt;!0GH"</f>
        <v>#VALUE!</v>
      </c>
      <c r="K290" t="e">
        <f>Europe!G1147+"n/&gt;!0GI"</f>
        <v>#VALUE!</v>
      </c>
      <c r="L290" t="e">
        <f>Europe!H1147+"n/&gt;!0GJ"</f>
        <v>#VALUE!</v>
      </c>
      <c r="M290" t="e">
        <f>Europe!I1147+"n/&gt;!0GK"</f>
        <v>#VALUE!</v>
      </c>
      <c r="N290" t="e">
        <f>Europe!A1148+"n/&gt;!0GL"</f>
        <v>#VALUE!</v>
      </c>
      <c r="O290" t="e">
        <f>Europe!B1148+"n/&gt;!0GM"</f>
        <v>#VALUE!</v>
      </c>
      <c r="P290" t="e">
        <f>Europe!C1148+"n/&gt;!0GN"</f>
        <v>#VALUE!</v>
      </c>
      <c r="Q290" t="e">
        <f>Europe!D1148+"n/&gt;!0GO"</f>
        <v>#VALUE!</v>
      </c>
      <c r="R290" t="e">
        <f>Europe!E1148+"n/&gt;!0GP"</f>
        <v>#VALUE!</v>
      </c>
      <c r="S290" t="e">
        <f>Europe!F1148+"n/&gt;!0GQ"</f>
        <v>#VALUE!</v>
      </c>
      <c r="T290" t="e">
        <f>Europe!G1148+"n/&gt;!0GR"</f>
        <v>#VALUE!</v>
      </c>
      <c r="U290" t="e">
        <f>Europe!H1148+"n/&gt;!0GS"</f>
        <v>#VALUE!</v>
      </c>
      <c r="V290" t="e">
        <f>Europe!I1148+"n/&gt;!0GT"</f>
        <v>#VALUE!</v>
      </c>
      <c r="W290" t="e">
        <f>Europe!A1149+"n/&gt;!0GU"</f>
        <v>#VALUE!</v>
      </c>
      <c r="X290" t="e">
        <f>Europe!B1149+"n/&gt;!0GV"</f>
        <v>#VALUE!</v>
      </c>
      <c r="Y290" t="e">
        <f>Europe!C1149+"n/&gt;!0GW"</f>
        <v>#VALUE!</v>
      </c>
      <c r="Z290" t="e">
        <f>Europe!D1149+"n/&gt;!0GX"</f>
        <v>#VALUE!</v>
      </c>
      <c r="AA290" t="e">
        <f>Europe!E1149+"n/&gt;!0GY"</f>
        <v>#VALUE!</v>
      </c>
      <c r="AB290" t="e">
        <f>Europe!F1149+"n/&gt;!0GZ"</f>
        <v>#VALUE!</v>
      </c>
      <c r="AC290" t="e">
        <f>Europe!G1149+"n/&gt;!0G["</f>
        <v>#VALUE!</v>
      </c>
      <c r="AD290" t="e">
        <f>Europe!H1149+"n/&gt;!0G\"</f>
        <v>#VALUE!</v>
      </c>
      <c r="AE290" t="e">
        <f>Europe!I1149+"n/&gt;!0G]"</f>
        <v>#VALUE!</v>
      </c>
      <c r="AF290" t="e">
        <f>Europe!A1150+"n/&gt;!0G^"</f>
        <v>#VALUE!</v>
      </c>
      <c r="AG290" t="e">
        <f>Europe!B1150+"n/&gt;!0G_"</f>
        <v>#VALUE!</v>
      </c>
      <c r="AH290" t="e">
        <f>Europe!C1150+"n/&gt;!0G`"</f>
        <v>#VALUE!</v>
      </c>
      <c r="AI290" t="e">
        <f>Europe!D1150+"n/&gt;!0Ga"</f>
        <v>#VALUE!</v>
      </c>
      <c r="AJ290" t="e">
        <f>Europe!E1150+"n/&gt;!0Gb"</f>
        <v>#VALUE!</v>
      </c>
      <c r="AK290" t="e">
        <f>Europe!F1150+"n/&gt;!0Gc"</f>
        <v>#VALUE!</v>
      </c>
      <c r="AL290" t="e">
        <f>Europe!G1150+"n/&gt;!0Gd"</f>
        <v>#VALUE!</v>
      </c>
      <c r="AM290" t="e">
        <f>Europe!H1150+"n/&gt;!0Ge"</f>
        <v>#VALUE!</v>
      </c>
      <c r="AN290" t="e">
        <f>Europe!I1150+"n/&gt;!0Gf"</f>
        <v>#VALUE!</v>
      </c>
      <c r="AO290" t="e">
        <f>Europe!A1151+"n/&gt;!0Gg"</f>
        <v>#VALUE!</v>
      </c>
      <c r="AP290" t="e">
        <f>Europe!B1151+"n/&gt;!0Gh"</f>
        <v>#VALUE!</v>
      </c>
      <c r="AQ290" t="e">
        <f>Europe!C1151+"n/&gt;!0Gi"</f>
        <v>#VALUE!</v>
      </c>
      <c r="AR290" t="e">
        <f>Europe!D1151+"n/&gt;!0Gj"</f>
        <v>#VALUE!</v>
      </c>
      <c r="AS290" t="e">
        <f>Europe!E1151+"n/&gt;!0Gk"</f>
        <v>#VALUE!</v>
      </c>
      <c r="AT290" t="e">
        <f>Europe!F1151+"n/&gt;!0Gl"</f>
        <v>#VALUE!</v>
      </c>
      <c r="AU290" t="e">
        <f>Europe!G1151+"n/&gt;!0Gm"</f>
        <v>#VALUE!</v>
      </c>
      <c r="AV290" t="e">
        <f>Europe!H1151+"n/&gt;!0Gn"</f>
        <v>#VALUE!</v>
      </c>
      <c r="AW290" t="e">
        <f>Europe!I1151+"n/&gt;!0Go"</f>
        <v>#VALUE!</v>
      </c>
      <c r="AX290" t="e">
        <f>Europe!A1152+"n/&gt;!0Gp"</f>
        <v>#VALUE!</v>
      </c>
      <c r="AY290" t="e">
        <f>Europe!B1152+"n/&gt;!0Gq"</f>
        <v>#VALUE!</v>
      </c>
      <c r="AZ290" t="e">
        <f>Europe!C1152+"n/&gt;!0Gr"</f>
        <v>#VALUE!</v>
      </c>
      <c r="BA290" t="e">
        <f>Europe!D1152+"n/&gt;!0Gs"</f>
        <v>#VALUE!</v>
      </c>
      <c r="BB290" t="e">
        <f>Europe!E1152+"n/&gt;!0Gt"</f>
        <v>#VALUE!</v>
      </c>
      <c r="BC290" t="e">
        <f>Europe!F1152+"n/&gt;!0Gu"</f>
        <v>#VALUE!</v>
      </c>
      <c r="BD290" t="e">
        <f>Europe!G1152+"n/&gt;!0Gv"</f>
        <v>#VALUE!</v>
      </c>
      <c r="BE290" t="e">
        <f>Europe!H1152+"n/&gt;!0Gw"</f>
        <v>#VALUE!</v>
      </c>
      <c r="BF290" t="e">
        <f>Europe!I1152+"n/&gt;!0Gx"</f>
        <v>#VALUE!</v>
      </c>
      <c r="BG290" t="e">
        <f>Europe!A1153+"n/&gt;!0Gy"</f>
        <v>#VALUE!</v>
      </c>
      <c r="BH290" t="e">
        <f>Europe!B1153+"n/&gt;!0Gz"</f>
        <v>#VALUE!</v>
      </c>
      <c r="BI290" t="e">
        <f>Europe!C1153+"n/&gt;!0G{"</f>
        <v>#VALUE!</v>
      </c>
      <c r="BJ290" t="e">
        <f>Europe!D1153+"n/&gt;!0G|"</f>
        <v>#VALUE!</v>
      </c>
      <c r="BK290" t="e">
        <f>Europe!E1153+"n/&gt;!0G}"</f>
        <v>#VALUE!</v>
      </c>
      <c r="BL290" t="e">
        <f>Europe!F1153+"n/&gt;!0G~"</f>
        <v>#VALUE!</v>
      </c>
      <c r="BM290" t="e">
        <f>Europe!G1153+"n/&gt;!0H#"</f>
        <v>#VALUE!</v>
      </c>
      <c r="BN290" t="e">
        <f>Europe!H1153+"n/&gt;!0H$"</f>
        <v>#VALUE!</v>
      </c>
      <c r="BO290" t="e">
        <f>Europe!I1153+"n/&gt;!0H%"</f>
        <v>#VALUE!</v>
      </c>
      <c r="BP290" t="e">
        <f>Europe!A1154+"n/&gt;!0H&amp;"</f>
        <v>#VALUE!</v>
      </c>
      <c r="BQ290" t="e">
        <f>Europe!B1154+"n/&gt;!0H'"</f>
        <v>#VALUE!</v>
      </c>
      <c r="BR290" t="e">
        <f>Europe!C1154+"n/&gt;!0H("</f>
        <v>#VALUE!</v>
      </c>
      <c r="BS290" t="e">
        <f>Europe!D1154+"n/&gt;!0H)"</f>
        <v>#VALUE!</v>
      </c>
      <c r="BT290" t="e">
        <f>Europe!E1154+"n/&gt;!0H."</f>
        <v>#VALUE!</v>
      </c>
      <c r="BU290" t="e">
        <f>Europe!F1154+"n/&gt;!0H/"</f>
        <v>#VALUE!</v>
      </c>
      <c r="BV290" t="e">
        <f>Europe!G1154+"n/&gt;!0H0"</f>
        <v>#VALUE!</v>
      </c>
      <c r="BW290" t="e">
        <f>Europe!H1154+"n/&gt;!0H1"</f>
        <v>#VALUE!</v>
      </c>
      <c r="BX290" t="e">
        <f>Europe!I1154+"n/&gt;!0H2"</f>
        <v>#VALUE!</v>
      </c>
      <c r="BY290" t="e">
        <f>Europe!A1155+"n/&gt;!0H3"</f>
        <v>#VALUE!</v>
      </c>
      <c r="BZ290" t="e">
        <f>Europe!B1155+"n/&gt;!0H4"</f>
        <v>#VALUE!</v>
      </c>
      <c r="CA290" t="e">
        <f>Europe!C1155+"n/&gt;!0H5"</f>
        <v>#VALUE!</v>
      </c>
      <c r="CB290" t="e">
        <f>Europe!D1155+"n/&gt;!0H6"</f>
        <v>#VALUE!</v>
      </c>
      <c r="CC290" t="e">
        <f>Europe!E1155+"n/&gt;!0H7"</f>
        <v>#VALUE!</v>
      </c>
      <c r="CD290" t="e">
        <f>Europe!F1155+"n/&gt;!0H8"</f>
        <v>#VALUE!</v>
      </c>
      <c r="CE290" t="e">
        <f>Europe!G1155+"n/&gt;!0H9"</f>
        <v>#VALUE!</v>
      </c>
      <c r="CF290" t="e">
        <f>Europe!H1155+"n/&gt;!0H:"</f>
        <v>#VALUE!</v>
      </c>
      <c r="CG290" t="e">
        <f>Europe!I1155+"n/&gt;!0H;"</f>
        <v>#VALUE!</v>
      </c>
      <c r="CH290" t="e">
        <f>Europe!A1156+"n/&gt;!0H&lt;"</f>
        <v>#VALUE!</v>
      </c>
      <c r="CI290" t="e">
        <f>Europe!B1156+"n/&gt;!0H="</f>
        <v>#VALUE!</v>
      </c>
      <c r="CJ290" t="e">
        <f>Europe!C1156+"n/&gt;!0H&gt;"</f>
        <v>#VALUE!</v>
      </c>
      <c r="CK290" t="e">
        <f>Europe!D1156+"n/&gt;!0H?"</f>
        <v>#VALUE!</v>
      </c>
      <c r="CL290" t="e">
        <f>Europe!E1156+"n/&gt;!0H@"</f>
        <v>#VALUE!</v>
      </c>
      <c r="CM290" t="e">
        <f>Europe!F1156+"n/&gt;!0HA"</f>
        <v>#VALUE!</v>
      </c>
      <c r="CN290" t="e">
        <f>Europe!G1156+"n/&gt;!0HB"</f>
        <v>#VALUE!</v>
      </c>
      <c r="CO290" t="e">
        <f>Europe!H1156+"n/&gt;!0HC"</f>
        <v>#VALUE!</v>
      </c>
      <c r="CP290" t="e">
        <f>Europe!I1156+"n/&gt;!0HD"</f>
        <v>#VALUE!</v>
      </c>
      <c r="CQ290" t="e">
        <f>Europe!A1157+"n/&gt;!0HE"</f>
        <v>#VALUE!</v>
      </c>
      <c r="CR290" t="e">
        <f>Europe!B1157+"n/&gt;!0HF"</f>
        <v>#VALUE!</v>
      </c>
      <c r="CS290" t="e">
        <f>Europe!C1157+"n/&gt;!0HG"</f>
        <v>#VALUE!</v>
      </c>
      <c r="CT290" t="e">
        <f>Europe!D1157+"n/&gt;!0HH"</f>
        <v>#VALUE!</v>
      </c>
      <c r="CU290" t="e">
        <f>Europe!E1157+"n/&gt;!0HI"</f>
        <v>#VALUE!</v>
      </c>
      <c r="CV290" t="e">
        <f>Europe!F1157+"n/&gt;!0HJ"</f>
        <v>#VALUE!</v>
      </c>
      <c r="CW290" t="e">
        <f>Europe!G1157+"n/&gt;!0HK"</f>
        <v>#VALUE!</v>
      </c>
      <c r="CX290" t="e">
        <f>Europe!H1157+"n/&gt;!0HL"</f>
        <v>#VALUE!</v>
      </c>
      <c r="CY290" t="e">
        <f>Europe!I1157+"n/&gt;!0HM"</f>
        <v>#VALUE!</v>
      </c>
      <c r="CZ290" t="e">
        <f>Europe!A1158+"n/&gt;!0HN"</f>
        <v>#VALUE!</v>
      </c>
      <c r="DA290" t="e">
        <f>Europe!B1158+"n/&gt;!0HO"</f>
        <v>#VALUE!</v>
      </c>
      <c r="DB290" t="e">
        <f>Europe!C1158+"n/&gt;!0HP"</f>
        <v>#VALUE!</v>
      </c>
      <c r="DC290" t="e">
        <f>Europe!D1158+"n/&gt;!0HQ"</f>
        <v>#VALUE!</v>
      </c>
      <c r="DD290" t="e">
        <f>Europe!E1158+"n/&gt;!0HR"</f>
        <v>#VALUE!</v>
      </c>
      <c r="DE290" t="e">
        <f>Europe!F1158+"n/&gt;!0HS"</f>
        <v>#VALUE!</v>
      </c>
      <c r="DF290" t="e">
        <f>Europe!G1158+"n/&gt;!0HT"</f>
        <v>#VALUE!</v>
      </c>
      <c r="DG290" t="e">
        <f>Europe!H1158+"n/&gt;!0HU"</f>
        <v>#VALUE!</v>
      </c>
      <c r="DH290" t="e">
        <f>Europe!I1158+"n/&gt;!0HV"</f>
        <v>#VALUE!</v>
      </c>
      <c r="DI290" t="e">
        <f>Europe!A1159+"n/&gt;!0HW"</f>
        <v>#VALUE!</v>
      </c>
      <c r="DJ290" t="e">
        <f>Europe!B1159+"n/&gt;!0HX"</f>
        <v>#VALUE!</v>
      </c>
      <c r="DK290" t="e">
        <f>Europe!C1159+"n/&gt;!0HY"</f>
        <v>#VALUE!</v>
      </c>
      <c r="DL290" t="e">
        <f>Europe!D1159+"n/&gt;!0HZ"</f>
        <v>#VALUE!</v>
      </c>
      <c r="DM290" t="e">
        <f>Europe!E1159+"n/&gt;!0H["</f>
        <v>#VALUE!</v>
      </c>
      <c r="DN290" t="e">
        <f>Europe!F1159+"n/&gt;!0H\"</f>
        <v>#VALUE!</v>
      </c>
      <c r="DO290" t="e">
        <f>Europe!G1159+"n/&gt;!0H]"</f>
        <v>#VALUE!</v>
      </c>
      <c r="DP290" t="e">
        <f>Europe!H1159+"n/&gt;!0H^"</f>
        <v>#VALUE!</v>
      </c>
      <c r="DQ290" t="e">
        <f>Europe!I1159+"n/&gt;!0H_"</f>
        <v>#VALUE!</v>
      </c>
      <c r="DR290" t="e">
        <f>Europe!A1160+"n/&gt;!0H`"</f>
        <v>#VALUE!</v>
      </c>
      <c r="DS290" t="e">
        <f>Europe!B1160+"n/&gt;!0Ha"</f>
        <v>#VALUE!</v>
      </c>
      <c r="DT290" t="e">
        <f>Europe!C1160+"n/&gt;!0Hb"</f>
        <v>#VALUE!</v>
      </c>
      <c r="DU290" t="e">
        <f>Europe!D1160+"n/&gt;!0Hc"</f>
        <v>#VALUE!</v>
      </c>
      <c r="DV290" t="e">
        <f>Europe!E1160+"n/&gt;!0Hd"</f>
        <v>#VALUE!</v>
      </c>
      <c r="DW290" t="e">
        <f>Europe!F1160+"n/&gt;!0He"</f>
        <v>#VALUE!</v>
      </c>
      <c r="DX290" t="e">
        <f>Europe!G1160+"n/&gt;!0Hf"</f>
        <v>#VALUE!</v>
      </c>
      <c r="DY290" t="e">
        <f>Europe!H1160+"n/&gt;!0Hg"</f>
        <v>#VALUE!</v>
      </c>
      <c r="DZ290" t="e">
        <f>Europe!I1160+"n/&gt;!0Hh"</f>
        <v>#VALUE!</v>
      </c>
      <c r="EA290" t="e">
        <f>Europe!A1161+"n/&gt;!0Hi"</f>
        <v>#VALUE!</v>
      </c>
      <c r="EB290" t="e">
        <f>Europe!B1161+"n/&gt;!0Hj"</f>
        <v>#VALUE!</v>
      </c>
      <c r="EC290" t="e">
        <f>Europe!C1161+"n/&gt;!0Hk"</f>
        <v>#VALUE!</v>
      </c>
      <c r="ED290" t="e">
        <f>Europe!D1161+"n/&gt;!0Hl"</f>
        <v>#VALUE!</v>
      </c>
      <c r="EE290" t="e">
        <f>Europe!E1161+"n/&gt;!0Hm"</f>
        <v>#VALUE!</v>
      </c>
      <c r="EF290" t="e">
        <f>Europe!F1161+"n/&gt;!0Hn"</f>
        <v>#VALUE!</v>
      </c>
      <c r="EG290" t="e">
        <f>Europe!G1161+"n/&gt;!0Ho"</f>
        <v>#VALUE!</v>
      </c>
      <c r="EH290" t="e">
        <f>Europe!H1161+"n/&gt;!0Hp"</f>
        <v>#VALUE!</v>
      </c>
      <c r="EI290" t="e">
        <f>Europe!I1161+"n/&gt;!0Hq"</f>
        <v>#VALUE!</v>
      </c>
      <c r="EJ290" t="e">
        <f>Europe!A1162+"n/&gt;!0Hr"</f>
        <v>#VALUE!</v>
      </c>
      <c r="EK290" t="e">
        <f>Europe!B1162+"n/&gt;!0Hs"</f>
        <v>#VALUE!</v>
      </c>
      <c r="EL290" t="e">
        <f>Europe!C1162+"n/&gt;!0Ht"</f>
        <v>#VALUE!</v>
      </c>
      <c r="EM290" t="e">
        <f>Europe!D1162+"n/&gt;!0Hu"</f>
        <v>#VALUE!</v>
      </c>
      <c r="EN290" t="e">
        <f>Europe!E1162+"n/&gt;!0Hv"</f>
        <v>#VALUE!</v>
      </c>
      <c r="EO290" t="e">
        <f>Europe!F1162+"n/&gt;!0Hw"</f>
        <v>#VALUE!</v>
      </c>
      <c r="EP290" t="e">
        <f>Europe!G1162+"n/&gt;!0Hx"</f>
        <v>#VALUE!</v>
      </c>
      <c r="EQ290" t="e">
        <f>Europe!H1162+"n/&gt;!0Hy"</f>
        <v>#VALUE!</v>
      </c>
      <c r="ER290" t="e">
        <f>Europe!I1162+"n/&gt;!0Hz"</f>
        <v>#VALUE!</v>
      </c>
      <c r="ES290" t="e">
        <f>Europe!A1163+"n/&gt;!0H{"</f>
        <v>#VALUE!</v>
      </c>
      <c r="ET290" t="e">
        <f>Europe!B1163+"n/&gt;!0H|"</f>
        <v>#VALUE!</v>
      </c>
      <c r="EU290" t="e">
        <f>Europe!C1163+"n/&gt;!0H}"</f>
        <v>#VALUE!</v>
      </c>
      <c r="EV290" t="e">
        <f>Europe!D1163+"n/&gt;!0H~"</f>
        <v>#VALUE!</v>
      </c>
      <c r="EW290" t="e">
        <f>Europe!E1163+"n/&gt;!0I#"</f>
        <v>#VALUE!</v>
      </c>
      <c r="EX290" t="e">
        <f>Europe!F1163+"n/&gt;!0I$"</f>
        <v>#VALUE!</v>
      </c>
      <c r="EY290" t="e">
        <f>Europe!G1163+"n/&gt;!0I%"</f>
        <v>#VALUE!</v>
      </c>
      <c r="EZ290" t="e">
        <f>Europe!H1163+"n/&gt;!0I&amp;"</f>
        <v>#VALUE!</v>
      </c>
      <c r="FA290" t="e">
        <f>Europe!I1163+"n/&gt;!0I'"</f>
        <v>#VALUE!</v>
      </c>
      <c r="FB290" t="e">
        <f>Europe!A1164+"n/&gt;!0I("</f>
        <v>#VALUE!</v>
      </c>
      <c r="FC290" t="e">
        <f>Europe!B1164+"n/&gt;!0I)"</f>
        <v>#VALUE!</v>
      </c>
      <c r="FD290" t="e">
        <f>Europe!C1164+"n/&gt;!0I."</f>
        <v>#VALUE!</v>
      </c>
      <c r="FE290" t="e">
        <f>Europe!D1164+"n/&gt;!0I/"</f>
        <v>#VALUE!</v>
      </c>
      <c r="FF290" t="e">
        <f>Europe!E1164+"n/&gt;!0I0"</f>
        <v>#VALUE!</v>
      </c>
      <c r="FG290" t="e">
        <f>Europe!F1164+"n/&gt;!0I1"</f>
        <v>#VALUE!</v>
      </c>
      <c r="FH290" t="e">
        <f>Europe!G1164+"n/&gt;!0I2"</f>
        <v>#VALUE!</v>
      </c>
      <c r="FI290" t="e">
        <f>Europe!H1164+"n/&gt;!0I3"</f>
        <v>#VALUE!</v>
      </c>
      <c r="FJ290" t="e">
        <f>Europe!I1164+"n/&gt;!0I4"</f>
        <v>#VALUE!</v>
      </c>
      <c r="FK290" t="e">
        <f>Europe!A1165+"n/&gt;!0I5"</f>
        <v>#VALUE!</v>
      </c>
      <c r="FL290" t="e">
        <f>Europe!B1165+"n/&gt;!0I6"</f>
        <v>#VALUE!</v>
      </c>
      <c r="FM290" t="e">
        <f>Europe!C1165+"n/&gt;!0I7"</f>
        <v>#VALUE!</v>
      </c>
      <c r="FN290" t="e">
        <f>Europe!D1165+"n/&gt;!0I8"</f>
        <v>#VALUE!</v>
      </c>
      <c r="FO290" t="e">
        <f>Europe!E1165+"n/&gt;!0I9"</f>
        <v>#VALUE!</v>
      </c>
      <c r="FP290" t="e">
        <f>Europe!F1165+"n/&gt;!0I:"</f>
        <v>#VALUE!</v>
      </c>
      <c r="FQ290" t="e">
        <f>Europe!G1165+"n/&gt;!0I;"</f>
        <v>#VALUE!</v>
      </c>
      <c r="FR290" t="e">
        <f>Europe!H1165+"n/&gt;!0I&lt;"</f>
        <v>#VALUE!</v>
      </c>
      <c r="FS290" t="e">
        <f>Europe!I1165+"n/&gt;!0I="</f>
        <v>#VALUE!</v>
      </c>
      <c r="FT290" t="e">
        <f>Europe!A1166+"n/&gt;!0I&gt;"</f>
        <v>#VALUE!</v>
      </c>
      <c r="FU290" t="e">
        <f>Europe!B1166+"n/&gt;!0I?"</f>
        <v>#VALUE!</v>
      </c>
      <c r="FV290" t="e">
        <f>Europe!C1166+"n/&gt;!0I@"</f>
        <v>#VALUE!</v>
      </c>
      <c r="FW290" t="e">
        <f>Europe!D1166+"n/&gt;!0IA"</f>
        <v>#VALUE!</v>
      </c>
      <c r="FX290" t="e">
        <f>Europe!E1166+"n/&gt;!0IB"</f>
        <v>#VALUE!</v>
      </c>
      <c r="FY290" t="e">
        <f>Europe!F1166+"n/&gt;!0IC"</f>
        <v>#VALUE!</v>
      </c>
      <c r="FZ290" t="e">
        <f>Europe!G1166+"n/&gt;!0ID"</f>
        <v>#VALUE!</v>
      </c>
      <c r="GA290" t="e">
        <f>Europe!H1166+"n/&gt;!0IE"</f>
        <v>#VALUE!</v>
      </c>
      <c r="GB290" t="e">
        <f>Europe!I1166+"n/&gt;!0IF"</f>
        <v>#VALUE!</v>
      </c>
      <c r="GC290" t="e">
        <f>Europe!A1167+"n/&gt;!0IG"</f>
        <v>#VALUE!</v>
      </c>
      <c r="GD290" t="e">
        <f>Europe!B1167+"n/&gt;!0IH"</f>
        <v>#VALUE!</v>
      </c>
      <c r="GE290" t="e">
        <f>Europe!C1167+"n/&gt;!0II"</f>
        <v>#VALUE!</v>
      </c>
      <c r="GF290" t="e">
        <f>Europe!D1167+"n/&gt;!0IJ"</f>
        <v>#VALUE!</v>
      </c>
      <c r="GG290" t="e">
        <f>Europe!E1167+"n/&gt;!0IK"</f>
        <v>#VALUE!</v>
      </c>
      <c r="GH290" t="e">
        <f>Europe!F1167+"n/&gt;!0IL"</f>
        <v>#VALUE!</v>
      </c>
      <c r="GI290" t="e">
        <f>Europe!G1167+"n/&gt;!0IM"</f>
        <v>#VALUE!</v>
      </c>
      <c r="GJ290" t="e">
        <f>Europe!H1167+"n/&gt;!0IN"</f>
        <v>#VALUE!</v>
      </c>
      <c r="GK290" t="e">
        <f>Europe!I1167+"n/&gt;!0IO"</f>
        <v>#VALUE!</v>
      </c>
      <c r="GL290" t="e">
        <f>Europe!A1168+"n/&gt;!0IP"</f>
        <v>#VALUE!</v>
      </c>
      <c r="GM290" t="e">
        <f>Europe!B1168+"n/&gt;!0IQ"</f>
        <v>#VALUE!</v>
      </c>
      <c r="GN290" t="e">
        <f>Europe!C1168+"n/&gt;!0IR"</f>
        <v>#VALUE!</v>
      </c>
      <c r="GO290" t="e">
        <f>Europe!D1168+"n/&gt;!0IS"</f>
        <v>#VALUE!</v>
      </c>
      <c r="GP290" t="e">
        <f>Europe!E1168+"n/&gt;!0IT"</f>
        <v>#VALUE!</v>
      </c>
      <c r="GQ290" t="e">
        <f>Europe!F1168+"n/&gt;!0IU"</f>
        <v>#VALUE!</v>
      </c>
      <c r="GR290" t="e">
        <f>Europe!G1168+"n/&gt;!0IV"</f>
        <v>#VALUE!</v>
      </c>
      <c r="GS290" t="e">
        <f>Europe!H1168+"n/&gt;!0IW"</f>
        <v>#VALUE!</v>
      </c>
      <c r="GT290" t="e">
        <f>Europe!I1168+"n/&gt;!0IX"</f>
        <v>#VALUE!</v>
      </c>
      <c r="GU290" t="e">
        <f>Europe!A1169+"n/&gt;!0IY"</f>
        <v>#VALUE!</v>
      </c>
      <c r="GV290" t="e">
        <f>Europe!B1169+"n/&gt;!0IZ"</f>
        <v>#VALUE!</v>
      </c>
      <c r="GW290" t="e">
        <f>Europe!C1169+"n/&gt;!0I["</f>
        <v>#VALUE!</v>
      </c>
      <c r="GX290" t="e">
        <f>Europe!D1169+"n/&gt;!0I\"</f>
        <v>#VALUE!</v>
      </c>
      <c r="GY290" t="e">
        <f>Europe!E1169+"n/&gt;!0I]"</f>
        <v>#VALUE!</v>
      </c>
      <c r="GZ290" t="e">
        <f>Europe!F1169+"n/&gt;!0I^"</f>
        <v>#VALUE!</v>
      </c>
      <c r="HA290" t="e">
        <f>Europe!G1169+"n/&gt;!0I_"</f>
        <v>#VALUE!</v>
      </c>
      <c r="HB290" t="e">
        <f>Europe!H1169+"n/&gt;!0I`"</f>
        <v>#VALUE!</v>
      </c>
      <c r="HC290" t="e">
        <f>Europe!I1169+"n/&gt;!0Ia"</f>
        <v>#VALUE!</v>
      </c>
      <c r="HD290" t="e">
        <f>Europe!A1170+"n/&gt;!0Ib"</f>
        <v>#VALUE!</v>
      </c>
      <c r="HE290" t="e">
        <f>Europe!B1170+"n/&gt;!0Ic"</f>
        <v>#VALUE!</v>
      </c>
      <c r="HF290" t="e">
        <f>Europe!C1170+"n/&gt;!0Id"</f>
        <v>#VALUE!</v>
      </c>
      <c r="HG290" t="e">
        <f>Europe!D1170+"n/&gt;!0Ie"</f>
        <v>#VALUE!</v>
      </c>
      <c r="HH290" t="e">
        <f>Europe!E1170+"n/&gt;!0If"</f>
        <v>#VALUE!</v>
      </c>
      <c r="HI290" t="e">
        <f>Europe!F1170+"n/&gt;!0Ig"</f>
        <v>#VALUE!</v>
      </c>
      <c r="HJ290" t="e">
        <f>Europe!G1170+"n/&gt;!0Ih"</f>
        <v>#VALUE!</v>
      </c>
      <c r="HK290" t="e">
        <f>Europe!H1170+"n/&gt;!0Ii"</f>
        <v>#VALUE!</v>
      </c>
      <c r="HL290" t="e">
        <f>Europe!I1170+"n/&gt;!0Ij"</f>
        <v>#VALUE!</v>
      </c>
      <c r="HM290" t="e">
        <f>Europe!A1171+"n/&gt;!0Ik"</f>
        <v>#VALUE!</v>
      </c>
      <c r="HN290" t="e">
        <f>Europe!B1171+"n/&gt;!0Il"</f>
        <v>#VALUE!</v>
      </c>
      <c r="HO290" t="e">
        <f>Europe!C1171+"n/&gt;!0Im"</f>
        <v>#VALUE!</v>
      </c>
      <c r="HP290" t="e">
        <f>Europe!D1171+"n/&gt;!0In"</f>
        <v>#VALUE!</v>
      </c>
      <c r="HQ290" t="e">
        <f>Europe!E1171+"n/&gt;!0Io"</f>
        <v>#VALUE!</v>
      </c>
      <c r="HR290" t="e">
        <f>Europe!F1171+"n/&gt;!0Ip"</f>
        <v>#VALUE!</v>
      </c>
      <c r="HS290" t="e">
        <f>Europe!G1171+"n/&gt;!0Iq"</f>
        <v>#VALUE!</v>
      </c>
      <c r="HT290" t="e">
        <f>Europe!H1171+"n/&gt;!0Ir"</f>
        <v>#VALUE!</v>
      </c>
      <c r="HU290" t="e">
        <f>Europe!I1171+"n/&gt;!0Is"</f>
        <v>#VALUE!</v>
      </c>
      <c r="HV290" t="e">
        <f>Europe!A1172+"n/&gt;!0It"</f>
        <v>#VALUE!</v>
      </c>
      <c r="HW290" t="e">
        <f>Europe!B1172+"n/&gt;!0Iu"</f>
        <v>#VALUE!</v>
      </c>
      <c r="HX290" t="e">
        <f>Europe!C1172+"n/&gt;!0Iv"</f>
        <v>#VALUE!</v>
      </c>
      <c r="HY290" t="e">
        <f>Europe!D1172+"n/&gt;!0Iw"</f>
        <v>#VALUE!</v>
      </c>
      <c r="HZ290" t="e">
        <f>Europe!E1172+"n/&gt;!0Ix"</f>
        <v>#VALUE!</v>
      </c>
      <c r="IA290" t="e">
        <f>Europe!F1172+"n/&gt;!0Iy"</f>
        <v>#VALUE!</v>
      </c>
      <c r="IB290" t="e">
        <f>Europe!G1172+"n/&gt;!0Iz"</f>
        <v>#VALUE!</v>
      </c>
      <c r="IC290" t="e">
        <f>Europe!H1172+"n/&gt;!0I{"</f>
        <v>#VALUE!</v>
      </c>
      <c r="ID290" t="e">
        <f>Europe!I1172+"n/&gt;!0I|"</f>
        <v>#VALUE!</v>
      </c>
      <c r="IE290" t="e">
        <f>Europe!A1173+"n/&gt;!0I}"</f>
        <v>#VALUE!</v>
      </c>
      <c r="IF290" t="e">
        <f>Europe!B1173+"n/&gt;!0I~"</f>
        <v>#VALUE!</v>
      </c>
      <c r="IG290" t="e">
        <f>Europe!C1173+"n/&gt;!0J#"</f>
        <v>#VALUE!</v>
      </c>
      <c r="IH290" t="e">
        <f>Europe!D1173+"n/&gt;!0J$"</f>
        <v>#VALUE!</v>
      </c>
      <c r="II290" t="e">
        <f>Europe!E1173+"n/&gt;!0J%"</f>
        <v>#VALUE!</v>
      </c>
      <c r="IJ290" t="e">
        <f>Europe!F1173+"n/&gt;!0J&amp;"</f>
        <v>#VALUE!</v>
      </c>
      <c r="IK290" t="e">
        <f>Europe!G1173+"n/&gt;!0J'"</f>
        <v>#VALUE!</v>
      </c>
      <c r="IL290" t="e">
        <f>Europe!H1173+"n/&gt;!0J("</f>
        <v>#VALUE!</v>
      </c>
      <c r="IM290" t="e">
        <f>Europe!I1173+"n/&gt;!0J)"</f>
        <v>#VALUE!</v>
      </c>
      <c r="IN290" t="e">
        <f>Europe!A1174+"n/&gt;!0J."</f>
        <v>#VALUE!</v>
      </c>
      <c r="IO290" t="e">
        <f>Europe!B1174+"n/&gt;!0J/"</f>
        <v>#VALUE!</v>
      </c>
      <c r="IP290" t="e">
        <f>Europe!C1174+"n/&gt;!0J0"</f>
        <v>#VALUE!</v>
      </c>
      <c r="IQ290" t="e">
        <f>Europe!D1174+"n/&gt;!0J1"</f>
        <v>#VALUE!</v>
      </c>
      <c r="IR290" t="e">
        <f>Europe!E1174+"n/&gt;!0J2"</f>
        <v>#VALUE!</v>
      </c>
      <c r="IS290" t="e">
        <f>Europe!F1174+"n/&gt;!0J3"</f>
        <v>#VALUE!</v>
      </c>
      <c r="IT290" t="e">
        <f>Europe!G1174+"n/&gt;!0J4"</f>
        <v>#VALUE!</v>
      </c>
      <c r="IU290" t="e">
        <f>Europe!H1174+"n/&gt;!0J5"</f>
        <v>#VALUE!</v>
      </c>
      <c r="IV290" t="e">
        <f>Europe!I1174+"n/&gt;!0J6"</f>
        <v>#VALUE!</v>
      </c>
    </row>
    <row r="291" spans="6:256" x14ac:dyDescent="0.35">
      <c r="F291" t="e">
        <f>Europe!A1175+"n/&gt;!0J7"</f>
        <v>#VALUE!</v>
      </c>
      <c r="G291" t="e">
        <f>Europe!B1175+"n/&gt;!0J8"</f>
        <v>#VALUE!</v>
      </c>
      <c r="H291" t="e">
        <f>Europe!C1175+"n/&gt;!0J9"</f>
        <v>#VALUE!</v>
      </c>
      <c r="I291" t="e">
        <f>Europe!D1175+"n/&gt;!0J:"</f>
        <v>#VALUE!</v>
      </c>
      <c r="J291" t="e">
        <f>Europe!E1175+"n/&gt;!0J;"</f>
        <v>#VALUE!</v>
      </c>
      <c r="K291" t="e">
        <f>Europe!F1175+"n/&gt;!0J&lt;"</f>
        <v>#VALUE!</v>
      </c>
      <c r="L291" t="e">
        <f>Europe!G1175+"n/&gt;!0J="</f>
        <v>#VALUE!</v>
      </c>
      <c r="M291" t="e">
        <f>Europe!H1175+"n/&gt;!0J&gt;"</f>
        <v>#VALUE!</v>
      </c>
      <c r="N291" t="e">
        <f>Europe!I1175+"n/&gt;!0J?"</f>
        <v>#VALUE!</v>
      </c>
      <c r="O291" t="e">
        <f>Europe!A1176+"n/&gt;!0J@"</f>
        <v>#VALUE!</v>
      </c>
      <c r="P291" t="e">
        <f>Europe!B1176+"n/&gt;!0JA"</f>
        <v>#VALUE!</v>
      </c>
      <c r="Q291" t="e">
        <f>Europe!C1176+"n/&gt;!0JB"</f>
        <v>#VALUE!</v>
      </c>
      <c r="R291" t="e">
        <f>Europe!D1176+"n/&gt;!0JC"</f>
        <v>#VALUE!</v>
      </c>
      <c r="S291" t="e">
        <f>Europe!E1176+"n/&gt;!0JD"</f>
        <v>#VALUE!</v>
      </c>
      <c r="T291" t="e">
        <f>Europe!F1176+"n/&gt;!0JE"</f>
        <v>#VALUE!</v>
      </c>
      <c r="U291" t="e">
        <f>Europe!G1176+"n/&gt;!0JF"</f>
        <v>#VALUE!</v>
      </c>
      <c r="V291" t="e">
        <f>Europe!H1176+"n/&gt;!0JG"</f>
        <v>#VALUE!</v>
      </c>
      <c r="W291" t="e">
        <f>Europe!I1176+"n/&gt;!0JH"</f>
        <v>#VALUE!</v>
      </c>
      <c r="X291" t="e">
        <f>Europe!A1177+"n/&gt;!0JI"</f>
        <v>#VALUE!</v>
      </c>
      <c r="Y291" t="e">
        <f>Europe!B1177+"n/&gt;!0JJ"</f>
        <v>#VALUE!</v>
      </c>
      <c r="Z291" t="e">
        <f>Europe!C1177+"n/&gt;!0JK"</f>
        <v>#VALUE!</v>
      </c>
      <c r="AA291" t="e">
        <f>Europe!D1177+"n/&gt;!0JL"</f>
        <v>#VALUE!</v>
      </c>
      <c r="AB291" t="e">
        <f>Europe!E1177+"n/&gt;!0JM"</f>
        <v>#VALUE!</v>
      </c>
      <c r="AC291" t="e">
        <f>Europe!F1177+"n/&gt;!0JN"</f>
        <v>#VALUE!</v>
      </c>
      <c r="AD291" t="e">
        <f>Europe!G1177+"n/&gt;!0JO"</f>
        <v>#VALUE!</v>
      </c>
      <c r="AE291" t="e">
        <f>Europe!H1177+"n/&gt;!0JP"</f>
        <v>#VALUE!</v>
      </c>
      <c r="AF291" t="e">
        <f>Europe!I1177+"n/&gt;!0JQ"</f>
        <v>#VALUE!</v>
      </c>
      <c r="AG291" t="e">
        <f>Europe!A1178+"n/&gt;!0JR"</f>
        <v>#VALUE!</v>
      </c>
      <c r="AH291" t="e">
        <f>Europe!B1178+"n/&gt;!0JS"</f>
        <v>#VALUE!</v>
      </c>
      <c r="AI291" t="e">
        <f>Europe!C1178+"n/&gt;!0JT"</f>
        <v>#VALUE!</v>
      </c>
      <c r="AJ291" t="e">
        <f>Europe!D1178+"n/&gt;!0JU"</f>
        <v>#VALUE!</v>
      </c>
      <c r="AK291" t="e">
        <f>Europe!E1178+"n/&gt;!0JV"</f>
        <v>#VALUE!</v>
      </c>
      <c r="AL291" t="e">
        <f>Europe!F1178+"n/&gt;!0JW"</f>
        <v>#VALUE!</v>
      </c>
      <c r="AM291" t="e">
        <f>Europe!G1178+"n/&gt;!0JX"</f>
        <v>#VALUE!</v>
      </c>
      <c r="AN291" t="e">
        <f>Europe!H1178+"n/&gt;!0JY"</f>
        <v>#VALUE!</v>
      </c>
      <c r="AO291" t="e">
        <f>Europe!I1178+"n/&gt;!0JZ"</f>
        <v>#VALUE!</v>
      </c>
      <c r="AP291" t="e">
        <f>Europe!A1179+"n/&gt;!0J["</f>
        <v>#VALUE!</v>
      </c>
      <c r="AQ291" t="e">
        <f>Europe!B1179+"n/&gt;!0J\"</f>
        <v>#VALUE!</v>
      </c>
      <c r="AR291" t="e">
        <f>Europe!C1179+"n/&gt;!0J]"</f>
        <v>#VALUE!</v>
      </c>
      <c r="AS291" t="e">
        <f>Europe!D1179+"n/&gt;!0J^"</f>
        <v>#VALUE!</v>
      </c>
      <c r="AT291" t="e">
        <f>Europe!E1179+"n/&gt;!0J_"</f>
        <v>#VALUE!</v>
      </c>
      <c r="AU291" t="e">
        <f>Europe!F1179+"n/&gt;!0J`"</f>
        <v>#VALUE!</v>
      </c>
      <c r="AV291" t="e">
        <f>Europe!G1179+"n/&gt;!0Ja"</f>
        <v>#VALUE!</v>
      </c>
      <c r="AW291" t="e">
        <f>Europe!H1179+"n/&gt;!0Jb"</f>
        <v>#VALUE!</v>
      </c>
      <c r="AX291" t="e">
        <f>Europe!I1179+"n/&gt;!0Jc"</f>
        <v>#VALUE!</v>
      </c>
      <c r="AY291" t="e">
        <f>Europe!A1180+"n/&gt;!0Jd"</f>
        <v>#VALUE!</v>
      </c>
      <c r="AZ291" t="e">
        <f>Europe!B1180+"n/&gt;!0Je"</f>
        <v>#VALUE!</v>
      </c>
      <c r="BA291" t="e">
        <f>Europe!C1180+"n/&gt;!0Jf"</f>
        <v>#VALUE!</v>
      </c>
      <c r="BB291" t="e">
        <f>Europe!D1180+"n/&gt;!0Jg"</f>
        <v>#VALUE!</v>
      </c>
      <c r="BC291" t="e">
        <f>Europe!E1180+"n/&gt;!0Jh"</f>
        <v>#VALUE!</v>
      </c>
      <c r="BD291" t="e">
        <f>Europe!F1180+"n/&gt;!0Ji"</f>
        <v>#VALUE!</v>
      </c>
      <c r="BE291" t="e">
        <f>Europe!G1180+"n/&gt;!0Jj"</f>
        <v>#VALUE!</v>
      </c>
      <c r="BF291" t="e">
        <f>Europe!H1180+"n/&gt;!0Jk"</f>
        <v>#VALUE!</v>
      </c>
      <c r="BG291" t="e">
        <f>Europe!I1180+"n/&gt;!0Jl"</f>
        <v>#VALUE!</v>
      </c>
      <c r="BH291" t="e">
        <f>Europe!A1181+"n/&gt;!0Jm"</f>
        <v>#VALUE!</v>
      </c>
      <c r="BI291" t="e">
        <f>Europe!B1181+"n/&gt;!0Jn"</f>
        <v>#VALUE!</v>
      </c>
      <c r="BJ291" t="e">
        <f>Europe!C1181+"n/&gt;!0Jo"</f>
        <v>#VALUE!</v>
      </c>
      <c r="BK291" t="e">
        <f>Europe!D1181+"n/&gt;!0Jp"</f>
        <v>#VALUE!</v>
      </c>
      <c r="BL291" t="e">
        <f>Europe!E1181+"n/&gt;!0Jq"</f>
        <v>#VALUE!</v>
      </c>
      <c r="BM291" t="e">
        <f>Europe!F1181+"n/&gt;!0Jr"</f>
        <v>#VALUE!</v>
      </c>
      <c r="BN291" t="e">
        <f>Europe!G1181+"n/&gt;!0Js"</f>
        <v>#VALUE!</v>
      </c>
      <c r="BO291" t="e">
        <f>Europe!H1181+"n/&gt;!0Jt"</f>
        <v>#VALUE!</v>
      </c>
      <c r="BP291" t="e">
        <f>Europe!I1181+"n/&gt;!0Ju"</f>
        <v>#VALUE!</v>
      </c>
      <c r="BQ291" t="e">
        <f>Europe!A1182+"n/&gt;!0Jv"</f>
        <v>#VALUE!</v>
      </c>
      <c r="BR291" t="e">
        <f>Europe!B1182+"n/&gt;!0Jw"</f>
        <v>#VALUE!</v>
      </c>
      <c r="BS291" t="e">
        <f>Europe!C1182+"n/&gt;!0Jx"</f>
        <v>#VALUE!</v>
      </c>
      <c r="BT291" t="e">
        <f>Europe!D1182+"n/&gt;!0Jy"</f>
        <v>#VALUE!</v>
      </c>
      <c r="BU291" t="e">
        <f>Europe!E1182+"n/&gt;!0Jz"</f>
        <v>#VALUE!</v>
      </c>
      <c r="BV291" t="e">
        <f>Europe!F1182+"n/&gt;!0J{"</f>
        <v>#VALUE!</v>
      </c>
      <c r="BW291" t="e">
        <f>Europe!G1182+"n/&gt;!0J|"</f>
        <v>#VALUE!</v>
      </c>
      <c r="BX291" t="e">
        <f>Europe!H1182+"n/&gt;!0J}"</f>
        <v>#VALUE!</v>
      </c>
      <c r="BY291" t="e">
        <f>Europe!I1182+"n/&gt;!0J~"</f>
        <v>#VALUE!</v>
      </c>
      <c r="BZ291" t="e">
        <f>Europe!A1183+"n/&gt;!0K#"</f>
        <v>#VALUE!</v>
      </c>
      <c r="CA291" t="e">
        <f>Europe!B1183+"n/&gt;!0K$"</f>
        <v>#VALUE!</v>
      </c>
      <c r="CB291" t="e">
        <f>Europe!C1183+"n/&gt;!0K%"</f>
        <v>#VALUE!</v>
      </c>
      <c r="CC291" t="e">
        <f>Europe!D1183+"n/&gt;!0K&amp;"</f>
        <v>#VALUE!</v>
      </c>
      <c r="CD291" t="e">
        <f>Europe!E1183+"n/&gt;!0K'"</f>
        <v>#VALUE!</v>
      </c>
      <c r="CE291" t="e">
        <f>Europe!F1183+"n/&gt;!0K("</f>
        <v>#VALUE!</v>
      </c>
      <c r="CF291" t="e">
        <f>Europe!G1183+"n/&gt;!0K)"</f>
        <v>#VALUE!</v>
      </c>
      <c r="CG291" t="e">
        <f>Europe!H1183+"n/&gt;!0K."</f>
        <v>#VALUE!</v>
      </c>
      <c r="CH291" t="e">
        <f>Europe!I1183+"n/&gt;!0K/"</f>
        <v>#VALUE!</v>
      </c>
      <c r="CI291" t="e">
        <f>Europe!A1184+"n/&gt;!0K0"</f>
        <v>#VALUE!</v>
      </c>
      <c r="CJ291" t="e">
        <f>Europe!B1184+"n/&gt;!0K1"</f>
        <v>#VALUE!</v>
      </c>
      <c r="CK291" t="e">
        <f>Europe!C1184+"n/&gt;!0K2"</f>
        <v>#VALUE!</v>
      </c>
      <c r="CL291" t="e">
        <f>Europe!D1184+"n/&gt;!0K3"</f>
        <v>#VALUE!</v>
      </c>
      <c r="CM291" t="e">
        <f>Europe!E1184+"n/&gt;!0K4"</f>
        <v>#VALUE!</v>
      </c>
      <c r="CN291" t="e">
        <f>Europe!F1184+"n/&gt;!0K5"</f>
        <v>#VALUE!</v>
      </c>
      <c r="CO291" t="e">
        <f>Europe!G1184+"n/&gt;!0K6"</f>
        <v>#VALUE!</v>
      </c>
      <c r="CP291" t="e">
        <f>Europe!H1184+"n/&gt;!0K7"</f>
        <v>#VALUE!</v>
      </c>
      <c r="CQ291" t="e">
        <f>Europe!I1184+"n/&gt;!0K8"</f>
        <v>#VALUE!</v>
      </c>
      <c r="CR291" t="e">
        <f>Europe!A1185+"n/&gt;!0K9"</f>
        <v>#VALUE!</v>
      </c>
      <c r="CS291" t="e">
        <f>Europe!B1185+"n/&gt;!0K:"</f>
        <v>#VALUE!</v>
      </c>
      <c r="CT291" t="e">
        <f>Europe!C1185+"n/&gt;!0K;"</f>
        <v>#VALUE!</v>
      </c>
      <c r="CU291" t="e">
        <f>Europe!D1185+"n/&gt;!0K&lt;"</f>
        <v>#VALUE!</v>
      </c>
      <c r="CV291" t="e">
        <f>Europe!E1185+"n/&gt;!0K="</f>
        <v>#VALUE!</v>
      </c>
      <c r="CW291" t="e">
        <f>Europe!F1185+"n/&gt;!0K&gt;"</f>
        <v>#VALUE!</v>
      </c>
      <c r="CX291" t="e">
        <f>Europe!G1185+"n/&gt;!0K?"</f>
        <v>#VALUE!</v>
      </c>
      <c r="CY291" t="e">
        <f>Europe!H1185+"n/&gt;!0K@"</f>
        <v>#VALUE!</v>
      </c>
      <c r="CZ291" t="e">
        <f>Europe!I1185+"n/&gt;!0KA"</f>
        <v>#VALUE!</v>
      </c>
      <c r="DA291" t="e">
        <f>Europe!A1186+"n/&gt;!0KB"</f>
        <v>#VALUE!</v>
      </c>
      <c r="DB291" t="e">
        <f>Europe!B1186+"n/&gt;!0KC"</f>
        <v>#VALUE!</v>
      </c>
      <c r="DC291" t="e">
        <f>Europe!C1186+"n/&gt;!0KD"</f>
        <v>#VALUE!</v>
      </c>
      <c r="DD291" t="e">
        <f>Europe!D1186+"n/&gt;!0KE"</f>
        <v>#VALUE!</v>
      </c>
      <c r="DE291" t="e">
        <f>Europe!E1186+"n/&gt;!0KF"</f>
        <v>#VALUE!</v>
      </c>
      <c r="DF291" t="e">
        <f>Europe!F1186+"n/&gt;!0KG"</f>
        <v>#VALUE!</v>
      </c>
      <c r="DG291" t="e">
        <f>Europe!G1186+"n/&gt;!0KH"</f>
        <v>#VALUE!</v>
      </c>
      <c r="DH291" t="e">
        <f>Europe!H1186+"n/&gt;!0KI"</f>
        <v>#VALUE!</v>
      </c>
      <c r="DI291" t="e">
        <f>Europe!I1186+"n/&gt;!0KJ"</f>
        <v>#VALUE!</v>
      </c>
      <c r="DJ291" t="e">
        <f>Europe!A1187+"n/&gt;!0KK"</f>
        <v>#VALUE!</v>
      </c>
      <c r="DK291" t="e">
        <f>Europe!B1187+"n/&gt;!0KL"</f>
        <v>#VALUE!</v>
      </c>
      <c r="DL291" t="e">
        <f>Europe!C1187+"n/&gt;!0KM"</f>
        <v>#VALUE!</v>
      </c>
      <c r="DM291" t="e">
        <f>Europe!D1187+"n/&gt;!0KN"</f>
        <v>#VALUE!</v>
      </c>
      <c r="DN291" t="e">
        <f>Europe!E1187+"n/&gt;!0KO"</f>
        <v>#VALUE!</v>
      </c>
      <c r="DO291" t="e">
        <f>Europe!F1187+"n/&gt;!0KP"</f>
        <v>#VALUE!</v>
      </c>
      <c r="DP291" t="e">
        <f>Europe!G1187+"n/&gt;!0KQ"</f>
        <v>#VALUE!</v>
      </c>
      <c r="DQ291" t="e">
        <f>Europe!H1187+"n/&gt;!0KR"</f>
        <v>#VALUE!</v>
      </c>
      <c r="DR291" t="e">
        <f>Europe!I1187+"n/&gt;!0KS"</f>
        <v>#VALUE!</v>
      </c>
      <c r="DS291" t="e">
        <f>Europe!A1188+"n/&gt;!0KT"</f>
        <v>#VALUE!</v>
      </c>
      <c r="DT291" t="e">
        <f>Europe!B1188+"n/&gt;!0KU"</f>
        <v>#VALUE!</v>
      </c>
      <c r="DU291" t="e">
        <f>Europe!C1188+"n/&gt;!0KV"</f>
        <v>#VALUE!</v>
      </c>
      <c r="DV291" t="e">
        <f>Europe!D1188+"n/&gt;!0KW"</f>
        <v>#VALUE!</v>
      </c>
      <c r="DW291" t="e">
        <f>Europe!E1188+"n/&gt;!0KX"</f>
        <v>#VALUE!</v>
      </c>
      <c r="DX291" t="e">
        <f>Europe!F1188+"n/&gt;!0KY"</f>
        <v>#VALUE!</v>
      </c>
      <c r="DY291" t="e">
        <f>Europe!G1188+"n/&gt;!0KZ"</f>
        <v>#VALUE!</v>
      </c>
      <c r="DZ291" t="e">
        <f>Europe!H1188+"n/&gt;!0K["</f>
        <v>#VALUE!</v>
      </c>
      <c r="EA291" t="e">
        <f>Europe!I1188+"n/&gt;!0K\"</f>
        <v>#VALUE!</v>
      </c>
      <c r="EB291" t="e">
        <f>Europe!A1189+"n/&gt;!0K]"</f>
        <v>#VALUE!</v>
      </c>
      <c r="EC291" t="e">
        <f>Europe!B1189+"n/&gt;!0K^"</f>
        <v>#VALUE!</v>
      </c>
      <c r="ED291" t="e">
        <f>Europe!C1189+"n/&gt;!0K_"</f>
        <v>#VALUE!</v>
      </c>
      <c r="EE291" t="e">
        <f>Europe!D1189+"n/&gt;!0K`"</f>
        <v>#VALUE!</v>
      </c>
      <c r="EF291" t="e">
        <f>Europe!E1189+"n/&gt;!0Ka"</f>
        <v>#VALUE!</v>
      </c>
      <c r="EG291" t="e">
        <f>Europe!F1189+"n/&gt;!0Kb"</f>
        <v>#VALUE!</v>
      </c>
      <c r="EH291" t="e">
        <f>Europe!G1189+"n/&gt;!0Kc"</f>
        <v>#VALUE!</v>
      </c>
      <c r="EI291" t="e">
        <f>Europe!H1189+"n/&gt;!0Kd"</f>
        <v>#VALUE!</v>
      </c>
      <c r="EJ291" t="e">
        <f>Europe!I1189+"n/&gt;!0Ke"</f>
        <v>#VALUE!</v>
      </c>
      <c r="EK291" t="e">
        <f>Europe!A1190+"n/&gt;!0Kf"</f>
        <v>#VALUE!</v>
      </c>
      <c r="EL291" t="e">
        <f>Europe!B1190+"n/&gt;!0Kg"</f>
        <v>#VALUE!</v>
      </c>
      <c r="EM291" t="e">
        <f>Europe!C1190+"n/&gt;!0Kh"</f>
        <v>#VALUE!</v>
      </c>
      <c r="EN291" t="e">
        <f>Europe!D1190+"n/&gt;!0Ki"</f>
        <v>#VALUE!</v>
      </c>
      <c r="EO291" t="e">
        <f>Europe!E1190+"n/&gt;!0Kj"</f>
        <v>#VALUE!</v>
      </c>
      <c r="EP291" t="e">
        <f>Europe!F1190+"n/&gt;!0Kk"</f>
        <v>#VALUE!</v>
      </c>
      <c r="EQ291" t="e">
        <f>Europe!G1190+"n/&gt;!0Kl"</f>
        <v>#VALUE!</v>
      </c>
      <c r="ER291" t="e">
        <f>Europe!H1190+"n/&gt;!0Km"</f>
        <v>#VALUE!</v>
      </c>
      <c r="ES291" t="e">
        <f>Europe!I1190+"n/&gt;!0Kn"</f>
        <v>#VALUE!</v>
      </c>
      <c r="ET291" t="e">
        <f>Europe!A1191+"n/&gt;!0Ko"</f>
        <v>#VALUE!</v>
      </c>
      <c r="EU291" t="e">
        <f>Europe!B1191+"n/&gt;!0Kp"</f>
        <v>#VALUE!</v>
      </c>
      <c r="EV291" t="e">
        <f>Europe!C1191+"n/&gt;!0Kq"</f>
        <v>#VALUE!</v>
      </c>
      <c r="EW291" t="e">
        <f>Europe!D1191+"n/&gt;!0Kr"</f>
        <v>#VALUE!</v>
      </c>
      <c r="EX291" t="e">
        <f>Europe!E1191+"n/&gt;!0Ks"</f>
        <v>#VALUE!</v>
      </c>
      <c r="EY291" t="e">
        <f>Europe!F1191+"n/&gt;!0Kt"</f>
        <v>#VALUE!</v>
      </c>
      <c r="EZ291" t="e">
        <f>Europe!G1191+"n/&gt;!0Ku"</f>
        <v>#VALUE!</v>
      </c>
      <c r="FA291" t="e">
        <f>Europe!H1191+"n/&gt;!0Kv"</f>
        <v>#VALUE!</v>
      </c>
      <c r="FB291" t="e">
        <f>Europe!I1191+"n/&gt;!0Kw"</f>
        <v>#VALUE!</v>
      </c>
      <c r="FC291" t="e">
        <f>Europe!A1192+"n/&gt;!0Kx"</f>
        <v>#VALUE!</v>
      </c>
      <c r="FD291" t="e">
        <f>Europe!B1192+"n/&gt;!0Ky"</f>
        <v>#VALUE!</v>
      </c>
      <c r="FE291" t="e">
        <f>Europe!C1192+"n/&gt;!0Kz"</f>
        <v>#VALUE!</v>
      </c>
      <c r="FF291" t="e">
        <f>Europe!D1192+"n/&gt;!0K{"</f>
        <v>#VALUE!</v>
      </c>
      <c r="FG291" t="e">
        <f>Europe!E1192+"n/&gt;!0K|"</f>
        <v>#VALUE!</v>
      </c>
      <c r="FH291" t="e">
        <f>Europe!F1192+"n/&gt;!0K}"</f>
        <v>#VALUE!</v>
      </c>
      <c r="FI291" t="e">
        <f>Europe!G1192+"n/&gt;!0K~"</f>
        <v>#VALUE!</v>
      </c>
      <c r="FJ291" t="e">
        <f>Europe!H1192+"n/&gt;!0L#"</f>
        <v>#VALUE!</v>
      </c>
      <c r="FK291" t="e">
        <f>Europe!I1192+"n/&gt;!0L$"</f>
        <v>#VALUE!</v>
      </c>
      <c r="FL291" t="e">
        <f>Europe!A1193+"n/&gt;!0L%"</f>
        <v>#VALUE!</v>
      </c>
      <c r="FM291" t="e">
        <f>Europe!B1193+"n/&gt;!0L&amp;"</f>
        <v>#VALUE!</v>
      </c>
      <c r="FN291" t="e">
        <f>Europe!C1193+"n/&gt;!0L'"</f>
        <v>#VALUE!</v>
      </c>
      <c r="FO291" t="e">
        <f>Europe!D1193+"n/&gt;!0L("</f>
        <v>#VALUE!</v>
      </c>
      <c r="FP291" t="e">
        <f>Europe!E1193+"n/&gt;!0L)"</f>
        <v>#VALUE!</v>
      </c>
      <c r="FQ291" t="e">
        <f>Europe!F1193+"n/&gt;!0L."</f>
        <v>#VALUE!</v>
      </c>
      <c r="FR291" t="e">
        <f>Europe!G1193+"n/&gt;!0L/"</f>
        <v>#VALUE!</v>
      </c>
      <c r="FS291" t="e">
        <f>Europe!H1193+"n/&gt;!0L0"</f>
        <v>#VALUE!</v>
      </c>
      <c r="FT291" t="e">
        <f>Europe!I1193+"n/&gt;!0L1"</f>
        <v>#VALUE!</v>
      </c>
      <c r="FU291" t="e">
        <f>Europe!A1194+"n/&gt;!0L2"</f>
        <v>#VALUE!</v>
      </c>
      <c r="FV291" t="e">
        <f>Europe!B1194+"n/&gt;!0L3"</f>
        <v>#VALUE!</v>
      </c>
      <c r="FW291" t="e">
        <f>Europe!C1194+"n/&gt;!0L4"</f>
        <v>#VALUE!</v>
      </c>
      <c r="FX291" t="e">
        <f>Europe!D1194+"n/&gt;!0L5"</f>
        <v>#VALUE!</v>
      </c>
      <c r="FY291" t="e">
        <f>Europe!E1194+"n/&gt;!0L6"</f>
        <v>#VALUE!</v>
      </c>
      <c r="FZ291" t="e">
        <f>Europe!F1194+"n/&gt;!0L7"</f>
        <v>#VALUE!</v>
      </c>
      <c r="GA291" t="e">
        <f>Europe!G1194+"n/&gt;!0L8"</f>
        <v>#VALUE!</v>
      </c>
      <c r="GB291" t="e">
        <f>Europe!H1194+"n/&gt;!0L9"</f>
        <v>#VALUE!</v>
      </c>
      <c r="GC291" t="e">
        <f>Europe!I1194+"n/&gt;!0L:"</f>
        <v>#VALUE!</v>
      </c>
      <c r="GD291" t="e">
        <f>Europe!A1195+"n/&gt;!0L;"</f>
        <v>#VALUE!</v>
      </c>
      <c r="GE291" t="e">
        <f>Europe!B1195+"n/&gt;!0L&lt;"</f>
        <v>#VALUE!</v>
      </c>
      <c r="GF291" t="e">
        <f>Europe!C1195+"n/&gt;!0L="</f>
        <v>#VALUE!</v>
      </c>
      <c r="GG291" t="e">
        <f>Europe!D1195+"n/&gt;!0L&gt;"</f>
        <v>#VALUE!</v>
      </c>
      <c r="GH291" t="e">
        <f>Europe!E1195+"n/&gt;!0L?"</f>
        <v>#VALUE!</v>
      </c>
      <c r="GI291" t="e">
        <f>Europe!F1195+"n/&gt;!0L@"</f>
        <v>#VALUE!</v>
      </c>
      <c r="GJ291" t="e">
        <f>Europe!G1195+"n/&gt;!0LA"</f>
        <v>#VALUE!</v>
      </c>
      <c r="GK291" t="e">
        <f>Europe!H1195+"n/&gt;!0LB"</f>
        <v>#VALUE!</v>
      </c>
      <c r="GL291" t="e">
        <f>Europe!I1195+"n/&gt;!0LC"</f>
        <v>#VALUE!</v>
      </c>
      <c r="GM291" t="e">
        <f>Europe!A1196+"n/&gt;!0LD"</f>
        <v>#VALUE!</v>
      </c>
      <c r="GN291" t="e">
        <f>Europe!B1196+"n/&gt;!0LE"</f>
        <v>#VALUE!</v>
      </c>
      <c r="GO291" t="e">
        <f>Europe!C1196+"n/&gt;!0LF"</f>
        <v>#VALUE!</v>
      </c>
      <c r="GP291" t="e">
        <f>Europe!D1196+"n/&gt;!0LG"</f>
        <v>#VALUE!</v>
      </c>
      <c r="GQ291" t="e">
        <f>Europe!E1196+"n/&gt;!0LH"</f>
        <v>#VALUE!</v>
      </c>
      <c r="GR291" t="e">
        <f>Europe!F1196+"n/&gt;!0LI"</f>
        <v>#VALUE!</v>
      </c>
      <c r="GS291" t="e">
        <f>Europe!G1196+"n/&gt;!0LJ"</f>
        <v>#VALUE!</v>
      </c>
      <c r="GT291" t="e">
        <f>Europe!H1196+"n/&gt;!0LK"</f>
        <v>#VALUE!</v>
      </c>
      <c r="GU291" t="e">
        <f>Europe!I1196+"n/&gt;!0LL"</f>
        <v>#VALUE!</v>
      </c>
      <c r="GV291" t="e">
        <f>Europe!A1197+"n/&gt;!0LM"</f>
        <v>#VALUE!</v>
      </c>
      <c r="GW291" t="e">
        <f>Europe!B1197+"n/&gt;!0LN"</f>
        <v>#VALUE!</v>
      </c>
      <c r="GX291" t="e">
        <f>Europe!C1197+"n/&gt;!0LO"</f>
        <v>#VALUE!</v>
      </c>
      <c r="GY291" t="e">
        <f>Europe!D1197+"n/&gt;!0LP"</f>
        <v>#VALUE!</v>
      </c>
      <c r="GZ291" t="e">
        <f>Europe!E1197+"n/&gt;!0LQ"</f>
        <v>#VALUE!</v>
      </c>
      <c r="HA291" t="e">
        <f>Europe!F1197+"n/&gt;!0LR"</f>
        <v>#VALUE!</v>
      </c>
      <c r="HB291" t="e">
        <f>Europe!G1197+"n/&gt;!0LS"</f>
        <v>#VALUE!</v>
      </c>
      <c r="HC291" t="e">
        <f>Europe!H1197+"n/&gt;!0LT"</f>
        <v>#VALUE!</v>
      </c>
      <c r="HD291" t="e">
        <f>Europe!I1197+"n/&gt;!0LU"</f>
        <v>#VALUE!</v>
      </c>
      <c r="HE291" t="e">
        <f>Europe!A1198+"n/&gt;!0LV"</f>
        <v>#VALUE!</v>
      </c>
      <c r="HF291" t="e">
        <f>Europe!B1198+"n/&gt;!0LW"</f>
        <v>#VALUE!</v>
      </c>
      <c r="HG291" t="e">
        <f>Europe!C1198+"n/&gt;!0LX"</f>
        <v>#VALUE!</v>
      </c>
      <c r="HH291" t="e">
        <f>Europe!D1198+"n/&gt;!0LY"</f>
        <v>#VALUE!</v>
      </c>
      <c r="HI291" t="e">
        <f>Europe!E1198+"n/&gt;!0LZ"</f>
        <v>#VALUE!</v>
      </c>
      <c r="HJ291" t="e">
        <f>Europe!F1198+"n/&gt;!0L["</f>
        <v>#VALUE!</v>
      </c>
      <c r="HK291" t="e">
        <f>Europe!G1198+"n/&gt;!0L\"</f>
        <v>#VALUE!</v>
      </c>
      <c r="HL291" t="e">
        <f>Europe!H1198+"n/&gt;!0L]"</f>
        <v>#VALUE!</v>
      </c>
      <c r="HM291" t="e">
        <f>Europe!I1198+"n/&gt;!0L^"</f>
        <v>#VALUE!</v>
      </c>
      <c r="HN291" t="e">
        <f>Europe!A1199+"n/&gt;!0L_"</f>
        <v>#VALUE!</v>
      </c>
      <c r="HO291" t="e">
        <f>Europe!B1199+"n/&gt;!0L`"</f>
        <v>#VALUE!</v>
      </c>
      <c r="HP291" t="e">
        <f>Europe!C1199+"n/&gt;!0La"</f>
        <v>#VALUE!</v>
      </c>
      <c r="HQ291" t="e">
        <f>Europe!D1199+"n/&gt;!0Lb"</f>
        <v>#VALUE!</v>
      </c>
      <c r="HR291" t="e">
        <f>Europe!E1199+"n/&gt;!0Lc"</f>
        <v>#VALUE!</v>
      </c>
      <c r="HS291" t="e">
        <f>Europe!F1199+"n/&gt;!0Ld"</f>
        <v>#VALUE!</v>
      </c>
      <c r="HT291" t="e">
        <f>Europe!G1199+"n/&gt;!0Le"</f>
        <v>#VALUE!</v>
      </c>
      <c r="HU291" t="e">
        <f>Europe!H1199+"n/&gt;!0Lf"</f>
        <v>#VALUE!</v>
      </c>
      <c r="HV291" t="e">
        <f>Europe!I1199+"n/&gt;!0Lg"</f>
        <v>#VALUE!</v>
      </c>
      <c r="HW291" t="e">
        <f>Europe!A1200+"n/&gt;!0Lh"</f>
        <v>#VALUE!</v>
      </c>
      <c r="HX291" t="e">
        <f>Europe!B1200+"n/&gt;!0Li"</f>
        <v>#VALUE!</v>
      </c>
      <c r="HY291" t="e">
        <f>Europe!C1200+"n/&gt;!0Lj"</f>
        <v>#VALUE!</v>
      </c>
      <c r="HZ291" t="e">
        <f>Europe!D1200+"n/&gt;!0Lk"</f>
        <v>#VALUE!</v>
      </c>
      <c r="IA291" t="e">
        <f>Europe!E1200+"n/&gt;!0Ll"</f>
        <v>#VALUE!</v>
      </c>
      <c r="IB291" t="e">
        <f>Europe!F1200+"n/&gt;!0Lm"</f>
        <v>#VALUE!</v>
      </c>
      <c r="IC291" t="e">
        <f>Europe!G1200+"n/&gt;!0Ln"</f>
        <v>#VALUE!</v>
      </c>
      <c r="ID291" t="e">
        <f>Europe!H1200+"n/&gt;!0Lo"</f>
        <v>#VALUE!</v>
      </c>
      <c r="IE291" t="e">
        <f>Europe!I1200+"n/&gt;!0Lp"</f>
        <v>#VALUE!</v>
      </c>
      <c r="IF291" t="e">
        <f>Europe!A1201+"n/&gt;!0Lq"</f>
        <v>#VALUE!</v>
      </c>
      <c r="IG291" t="e">
        <f>Europe!B1201+"n/&gt;!0Lr"</f>
        <v>#VALUE!</v>
      </c>
      <c r="IH291" t="e">
        <f>Europe!C1201+"n/&gt;!0Ls"</f>
        <v>#VALUE!</v>
      </c>
      <c r="II291" t="e">
        <f>Europe!D1201+"n/&gt;!0Lt"</f>
        <v>#VALUE!</v>
      </c>
      <c r="IJ291" t="e">
        <f>Europe!E1201+"n/&gt;!0Lu"</f>
        <v>#VALUE!</v>
      </c>
      <c r="IK291" t="e">
        <f>Europe!F1201+"n/&gt;!0Lv"</f>
        <v>#VALUE!</v>
      </c>
      <c r="IL291" t="e">
        <f>Europe!G1201+"n/&gt;!0Lw"</f>
        <v>#VALUE!</v>
      </c>
      <c r="IM291" t="e">
        <f>Europe!H1201+"n/&gt;!0Lx"</f>
        <v>#VALUE!</v>
      </c>
      <c r="IN291" t="e">
        <f>Europe!I1201+"n/&gt;!0Ly"</f>
        <v>#VALUE!</v>
      </c>
      <c r="IO291" t="e">
        <f>Europe!A1202+"n/&gt;!0Lz"</f>
        <v>#VALUE!</v>
      </c>
      <c r="IP291" t="e">
        <f>Europe!B1202+"n/&gt;!0L{"</f>
        <v>#VALUE!</v>
      </c>
      <c r="IQ291" t="e">
        <f>Europe!C1202+"n/&gt;!0L|"</f>
        <v>#VALUE!</v>
      </c>
      <c r="IR291" t="e">
        <f>Europe!D1202+"n/&gt;!0L}"</f>
        <v>#VALUE!</v>
      </c>
      <c r="IS291" t="e">
        <f>Europe!E1202+"n/&gt;!0L~"</f>
        <v>#VALUE!</v>
      </c>
      <c r="IT291" t="e">
        <f>Europe!F1202+"n/&gt;!0M#"</f>
        <v>#VALUE!</v>
      </c>
      <c r="IU291" t="e">
        <f>Europe!G1202+"n/&gt;!0M$"</f>
        <v>#VALUE!</v>
      </c>
      <c r="IV291" t="e">
        <f>Europe!H1202+"n/&gt;!0M%"</f>
        <v>#VALUE!</v>
      </c>
    </row>
    <row r="292" spans="6:256" x14ac:dyDescent="0.35">
      <c r="F292" t="e">
        <f>Europe!I1202+"n/&gt;!0M&amp;"</f>
        <v>#VALUE!</v>
      </c>
      <c r="G292" t="e">
        <f>Europe!A1203+"n/&gt;!0M'"</f>
        <v>#VALUE!</v>
      </c>
      <c r="H292" t="e">
        <f>Europe!B1203+"n/&gt;!0M("</f>
        <v>#VALUE!</v>
      </c>
      <c r="I292" t="e">
        <f>Europe!C1203+"n/&gt;!0M)"</f>
        <v>#VALUE!</v>
      </c>
      <c r="J292" t="e">
        <f>Europe!D1203+"n/&gt;!0M."</f>
        <v>#VALUE!</v>
      </c>
      <c r="K292" t="e">
        <f>Europe!E1203+"n/&gt;!0M/"</f>
        <v>#VALUE!</v>
      </c>
      <c r="L292" t="e">
        <f>Europe!F1203+"n/&gt;!0M0"</f>
        <v>#VALUE!</v>
      </c>
      <c r="M292" t="e">
        <f>Europe!G1203+"n/&gt;!0M1"</f>
        <v>#VALUE!</v>
      </c>
      <c r="N292" t="e">
        <f>Europe!H1203+"n/&gt;!0M2"</f>
        <v>#VALUE!</v>
      </c>
      <c r="O292" t="e">
        <f>Europe!I1203+"n/&gt;!0M3"</f>
        <v>#VALUE!</v>
      </c>
      <c r="P292" t="e">
        <f>Europe!A1204+"n/&gt;!0M4"</f>
        <v>#VALUE!</v>
      </c>
      <c r="Q292" t="e">
        <f>Europe!B1204+"n/&gt;!0M5"</f>
        <v>#VALUE!</v>
      </c>
      <c r="R292" t="e">
        <f>Europe!C1204+"n/&gt;!0M6"</f>
        <v>#VALUE!</v>
      </c>
      <c r="S292" t="e">
        <f>Europe!D1204+"n/&gt;!0M7"</f>
        <v>#VALUE!</v>
      </c>
      <c r="T292" t="e">
        <f>Europe!E1204+"n/&gt;!0M8"</f>
        <v>#VALUE!</v>
      </c>
      <c r="U292" t="e">
        <f>Europe!F1204+"n/&gt;!0M9"</f>
        <v>#VALUE!</v>
      </c>
      <c r="V292" t="e">
        <f>Europe!G1204+"n/&gt;!0M:"</f>
        <v>#VALUE!</v>
      </c>
      <c r="W292" t="e">
        <f>Europe!H1204+"n/&gt;!0M;"</f>
        <v>#VALUE!</v>
      </c>
      <c r="X292" t="e">
        <f>Europe!I1204+"n/&gt;!0M&lt;"</f>
        <v>#VALUE!</v>
      </c>
      <c r="Y292" t="e">
        <f>Europe!A1205+"n/&gt;!0M="</f>
        <v>#VALUE!</v>
      </c>
      <c r="Z292" t="e">
        <f>Europe!B1205+"n/&gt;!0M&gt;"</f>
        <v>#VALUE!</v>
      </c>
      <c r="AA292" t="e">
        <f>Europe!C1205+"n/&gt;!0M?"</f>
        <v>#VALUE!</v>
      </c>
      <c r="AB292" t="e">
        <f>Europe!D1205+"n/&gt;!0M@"</f>
        <v>#VALUE!</v>
      </c>
      <c r="AC292" t="e">
        <f>Europe!E1205+"n/&gt;!0MA"</f>
        <v>#VALUE!</v>
      </c>
      <c r="AD292" t="e">
        <f>Europe!F1205+"n/&gt;!0MB"</f>
        <v>#VALUE!</v>
      </c>
      <c r="AE292" t="e">
        <f>Europe!G1205+"n/&gt;!0MC"</f>
        <v>#VALUE!</v>
      </c>
      <c r="AF292" t="e">
        <f>Europe!H1205+"n/&gt;!0MD"</f>
        <v>#VALUE!</v>
      </c>
      <c r="AG292" t="e">
        <f>Europe!I1205+"n/&gt;!0ME"</f>
        <v>#VALUE!</v>
      </c>
      <c r="AH292" t="e">
        <f>Europe!A1206+"n/&gt;!0MF"</f>
        <v>#VALUE!</v>
      </c>
      <c r="AI292" t="e">
        <f>Europe!B1206+"n/&gt;!0MG"</f>
        <v>#VALUE!</v>
      </c>
      <c r="AJ292" t="e">
        <f>Europe!C1206+"n/&gt;!0MH"</f>
        <v>#VALUE!</v>
      </c>
      <c r="AK292" t="e">
        <f>Europe!D1206+"n/&gt;!0MI"</f>
        <v>#VALUE!</v>
      </c>
      <c r="AL292" t="e">
        <f>Europe!E1206+"n/&gt;!0MJ"</f>
        <v>#VALUE!</v>
      </c>
      <c r="AM292" t="e">
        <f>Europe!F1206+"n/&gt;!0MK"</f>
        <v>#VALUE!</v>
      </c>
      <c r="AN292" t="e">
        <f>Europe!G1206+"n/&gt;!0ML"</f>
        <v>#VALUE!</v>
      </c>
      <c r="AO292" t="e">
        <f>Europe!H1206+"n/&gt;!0MM"</f>
        <v>#VALUE!</v>
      </c>
      <c r="AP292" t="e">
        <f>Europe!I1206+"n/&gt;!0MN"</f>
        <v>#VALUE!</v>
      </c>
      <c r="AQ292" t="e">
        <f>Europe!A1207+"n/&gt;!0MO"</f>
        <v>#VALUE!</v>
      </c>
      <c r="AR292" t="e">
        <f>Europe!B1207+"n/&gt;!0MP"</f>
        <v>#VALUE!</v>
      </c>
      <c r="AS292" t="e">
        <f>Europe!C1207+"n/&gt;!0MQ"</f>
        <v>#VALUE!</v>
      </c>
      <c r="AT292" t="e">
        <f>Europe!D1207+"n/&gt;!0MR"</f>
        <v>#VALUE!</v>
      </c>
      <c r="AU292" t="e">
        <f>Europe!E1207+"n/&gt;!0MS"</f>
        <v>#VALUE!</v>
      </c>
      <c r="AV292" t="e">
        <f>Europe!F1207+"n/&gt;!0MT"</f>
        <v>#VALUE!</v>
      </c>
      <c r="AW292" t="e">
        <f>Europe!G1207+"n/&gt;!0MU"</f>
        <v>#VALUE!</v>
      </c>
      <c r="AX292" t="e">
        <f>Europe!H1207+"n/&gt;!0MV"</f>
        <v>#VALUE!</v>
      </c>
      <c r="AY292" t="e">
        <f>Europe!I1207+"n/&gt;!0MW"</f>
        <v>#VALUE!</v>
      </c>
      <c r="AZ292" t="e">
        <f>Europe!A1208+"n/&gt;!0MX"</f>
        <v>#VALUE!</v>
      </c>
      <c r="BA292" t="e">
        <f>Europe!B1208+"n/&gt;!0MY"</f>
        <v>#VALUE!</v>
      </c>
      <c r="BB292" t="e">
        <f>Europe!C1208+"n/&gt;!0MZ"</f>
        <v>#VALUE!</v>
      </c>
      <c r="BC292" t="e">
        <f>Europe!D1208+"n/&gt;!0M["</f>
        <v>#VALUE!</v>
      </c>
      <c r="BD292" t="e">
        <f>Europe!E1208+"n/&gt;!0M\"</f>
        <v>#VALUE!</v>
      </c>
      <c r="BE292" t="e">
        <f>Europe!F1208+"n/&gt;!0M]"</f>
        <v>#VALUE!</v>
      </c>
      <c r="BF292" t="e">
        <f>Europe!G1208+"n/&gt;!0M^"</f>
        <v>#VALUE!</v>
      </c>
      <c r="BG292" t="e">
        <f>Europe!H1208+"n/&gt;!0M_"</f>
        <v>#VALUE!</v>
      </c>
      <c r="BH292" t="e">
        <f>Europe!I1208+"n/&gt;!0M`"</f>
        <v>#VALUE!</v>
      </c>
      <c r="BI292" t="e">
        <f>Europe!A1209+"n/&gt;!0Ma"</f>
        <v>#VALUE!</v>
      </c>
      <c r="BJ292" t="e">
        <f>Europe!B1209+"n/&gt;!0Mb"</f>
        <v>#VALUE!</v>
      </c>
      <c r="BK292" t="e">
        <f>Europe!C1209+"n/&gt;!0Mc"</f>
        <v>#VALUE!</v>
      </c>
      <c r="BL292" t="e">
        <f>Europe!D1209+"n/&gt;!0Md"</f>
        <v>#VALUE!</v>
      </c>
      <c r="BM292" t="e">
        <f>Europe!E1209+"n/&gt;!0Me"</f>
        <v>#VALUE!</v>
      </c>
      <c r="BN292" t="e">
        <f>Europe!F1209+"n/&gt;!0Mf"</f>
        <v>#VALUE!</v>
      </c>
      <c r="BO292" t="e">
        <f>Europe!G1209+"n/&gt;!0Mg"</f>
        <v>#VALUE!</v>
      </c>
      <c r="BP292" t="e">
        <f>Europe!H1209+"n/&gt;!0Mh"</f>
        <v>#VALUE!</v>
      </c>
      <c r="BQ292" t="e">
        <f>Europe!I1209+"n/&gt;!0Mi"</f>
        <v>#VALUE!</v>
      </c>
      <c r="BR292" t="e">
        <f>Europe!A1210+"n/&gt;!0Mj"</f>
        <v>#VALUE!</v>
      </c>
      <c r="BS292" t="e">
        <f>Europe!B1210+"n/&gt;!0Mk"</f>
        <v>#VALUE!</v>
      </c>
      <c r="BT292" t="e">
        <f>Europe!C1210+"n/&gt;!0Ml"</f>
        <v>#VALUE!</v>
      </c>
      <c r="BU292" t="e">
        <f>Europe!D1210+"n/&gt;!0Mm"</f>
        <v>#VALUE!</v>
      </c>
      <c r="BV292" t="e">
        <f>Europe!E1210+"n/&gt;!0Mn"</f>
        <v>#VALUE!</v>
      </c>
      <c r="BW292" t="e">
        <f>Europe!F1210+"n/&gt;!0Mo"</f>
        <v>#VALUE!</v>
      </c>
      <c r="BX292" t="e">
        <f>Europe!G1210+"n/&gt;!0Mp"</f>
        <v>#VALUE!</v>
      </c>
      <c r="BY292" t="e">
        <f>Europe!H1210+"n/&gt;!0Mq"</f>
        <v>#VALUE!</v>
      </c>
      <c r="BZ292" t="e">
        <f>Europe!I1210+"n/&gt;!0Mr"</f>
        <v>#VALUE!</v>
      </c>
      <c r="CA292" t="e">
        <f>Europe!A1211+"n/&gt;!0Ms"</f>
        <v>#VALUE!</v>
      </c>
      <c r="CB292" t="e">
        <f>Europe!B1211+"n/&gt;!0Mt"</f>
        <v>#VALUE!</v>
      </c>
      <c r="CC292" t="e">
        <f>Europe!C1211+"n/&gt;!0Mu"</f>
        <v>#VALUE!</v>
      </c>
      <c r="CD292" t="e">
        <f>Europe!D1211+"n/&gt;!0Mv"</f>
        <v>#VALUE!</v>
      </c>
      <c r="CE292" t="e">
        <f>Europe!E1211+"n/&gt;!0Mw"</f>
        <v>#VALUE!</v>
      </c>
      <c r="CF292" t="e">
        <f>Europe!F1211+"n/&gt;!0Mx"</f>
        <v>#VALUE!</v>
      </c>
      <c r="CG292" t="e">
        <f>Europe!G1211+"n/&gt;!0My"</f>
        <v>#VALUE!</v>
      </c>
      <c r="CH292" t="e">
        <f>Europe!H1211+"n/&gt;!0Mz"</f>
        <v>#VALUE!</v>
      </c>
      <c r="CI292" t="e">
        <f>Europe!I1211+"n/&gt;!0M{"</f>
        <v>#VALUE!</v>
      </c>
      <c r="CJ292" t="e">
        <f>Europe!A1212+"n/&gt;!0M|"</f>
        <v>#VALUE!</v>
      </c>
      <c r="CK292" t="e">
        <f>Europe!B1212+"n/&gt;!0M}"</f>
        <v>#VALUE!</v>
      </c>
      <c r="CL292" t="e">
        <f>Europe!C1212+"n/&gt;!0M~"</f>
        <v>#VALUE!</v>
      </c>
      <c r="CM292" t="e">
        <f>Europe!D1212+"n/&gt;!0N#"</f>
        <v>#VALUE!</v>
      </c>
      <c r="CN292" t="e">
        <f>Europe!E1212+"n/&gt;!0N$"</f>
        <v>#VALUE!</v>
      </c>
      <c r="CO292" t="e">
        <f>Europe!F1212+"n/&gt;!0N%"</f>
        <v>#VALUE!</v>
      </c>
      <c r="CP292" t="e">
        <f>Europe!G1212+"n/&gt;!0N&amp;"</f>
        <v>#VALUE!</v>
      </c>
      <c r="CQ292" t="e">
        <f>Europe!H1212+"n/&gt;!0N'"</f>
        <v>#VALUE!</v>
      </c>
      <c r="CR292" t="e">
        <f>Europe!I1212+"n/&gt;!0N("</f>
        <v>#VALUE!</v>
      </c>
      <c r="CS292" t="e">
        <f>Europe!A1213+"n/&gt;!0N)"</f>
        <v>#VALUE!</v>
      </c>
      <c r="CT292" t="e">
        <f>Europe!B1213+"n/&gt;!0N."</f>
        <v>#VALUE!</v>
      </c>
      <c r="CU292" t="e">
        <f>Europe!C1213+"n/&gt;!0N/"</f>
        <v>#VALUE!</v>
      </c>
      <c r="CV292" t="e">
        <f>Europe!D1213+"n/&gt;!0N0"</f>
        <v>#VALUE!</v>
      </c>
      <c r="CW292" t="e">
        <f>Europe!E1213+"n/&gt;!0N1"</f>
        <v>#VALUE!</v>
      </c>
      <c r="CX292" t="e">
        <f>Europe!F1213+"n/&gt;!0N2"</f>
        <v>#VALUE!</v>
      </c>
      <c r="CY292" t="e">
        <f>Europe!G1213+"n/&gt;!0N3"</f>
        <v>#VALUE!</v>
      </c>
      <c r="CZ292" t="e">
        <f>Europe!H1213+"n/&gt;!0N4"</f>
        <v>#VALUE!</v>
      </c>
      <c r="DA292" t="e">
        <f>Europe!I1213+"n/&gt;!0N5"</f>
        <v>#VALUE!</v>
      </c>
      <c r="DB292" t="e">
        <f>Europe!A1214+"n/&gt;!0N6"</f>
        <v>#VALUE!</v>
      </c>
      <c r="DC292" t="e">
        <f>Europe!B1214+"n/&gt;!0N7"</f>
        <v>#VALUE!</v>
      </c>
      <c r="DD292" t="e">
        <f>Europe!C1214+"n/&gt;!0N8"</f>
        <v>#VALUE!</v>
      </c>
      <c r="DE292" t="e">
        <f>Europe!D1214+"n/&gt;!0N9"</f>
        <v>#VALUE!</v>
      </c>
      <c r="DF292" t="e">
        <f>Europe!E1214+"n/&gt;!0N:"</f>
        <v>#VALUE!</v>
      </c>
      <c r="DG292" t="e">
        <f>Europe!F1214+"n/&gt;!0N;"</f>
        <v>#VALUE!</v>
      </c>
      <c r="DH292" t="e">
        <f>Europe!G1214+"n/&gt;!0N&lt;"</f>
        <v>#VALUE!</v>
      </c>
      <c r="DI292" t="e">
        <f>Europe!H1214+"n/&gt;!0N="</f>
        <v>#VALUE!</v>
      </c>
      <c r="DJ292" t="e">
        <f>Europe!I1214+"n/&gt;!0N&gt;"</f>
        <v>#VALUE!</v>
      </c>
      <c r="DK292" t="e">
        <f>Europe!A1215+"n/&gt;!0N?"</f>
        <v>#VALUE!</v>
      </c>
      <c r="DL292" t="e">
        <f>Europe!B1215+"n/&gt;!0N@"</f>
        <v>#VALUE!</v>
      </c>
      <c r="DM292" t="e">
        <f>Europe!C1215+"n/&gt;!0NA"</f>
        <v>#VALUE!</v>
      </c>
      <c r="DN292" t="e">
        <f>Europe!D1215+"n/&gt;!0NB"</f>
        <v>#VALUE!</v>
      </c>
      <c r="DO292" t="e">
        <f>Europe!E1215+"n/&gt;!0NC"</f>
        <v>#VALUE!</v>
      </c>
      <c r="DP292" t="e">
        <f>Europe!F1215+"n/&gt;!0ND"</f>
        <v>#VALUE!</v>
      </c>
      <c r="DQ292" t="e">
        <f>Europe!G1215+"n/&gt;!0NE"</f>
        <v>#VALUE!</v>
      </c>
      <c r="DR292" t="e">
        <f>Europe!H1215+"n/&gt;!0NF"</f>
        <v>#VALUE!</v>
      </c>
      <c r="DS292" t="e">
        <f>Europe!I1215+"n/&gt;!0NG"</f>
        <v>#VALUE!</v>
      </c>
      <c r="DT292" t="e">
        <f>Europe!A1216+"n/&gt;!0NH"</f>
        <v>#VALUE!</v>
      </c>
      <c r="DU292" t="e">
        <f>Europe!B1216+"n/&gt;!0NI"</f>
        <v>#VALUE!</v>
      </c>
      <c r="DV292" t="e">
        <f>Europe!C1216+"n/&gt;!0NJ"</f>
        <v>#VALUE!</v>
      </c>
      <c r="DW292" t="e">
        <f>Europe!D1216+"n/&gt;!0NK"</f>
        <v>#VALUE!</v>
      </c>
      <c r="DX292" t="e">
        <f>Europe!E1216+"n/&gt;!0NL"</f>
        <v>#VALUE!</v>
      </c>
      <c r="DY292" t="e">
        <f>Europe!F1216+"n/&gt;!0NM"</f>
        <v>#VALUE!</v>
      </c>
      <c r="DZ292" t="e">
        <f>Europe!G1216+"n/&gt;!0NN"</f>
        <v>#VALUE!</v>
      </c>
      <c r="EA292" t="e">
        <f>Europe!H1216+"n/&gt;!0NO"</f>
        <v>#VALUE!</v>
      </c>
      <c r="EB292" t="e">
        <f>Europe!I1216+"n/&gt;!0NP"</f>
        <v>#VALUE!</v>
      </c>
      <c r="EC292" t="e">
        <f>Europe!A1217+"n/&gt;!0NQ"</f>
        <v>#VALUE!</v>
      </c>
      <c r="ED292" t="e">
        <f>Europe!B1217+"n/&gt;!0NR"</f>
        <v>#VALUE!</v>
      </c>
      <c r="EE292" t="e">
        <f>Europe!C1217+"n/&gt;!0NS"</f>
        <v>#VALUE!</v>
      </c>
      <c r="EF292" t="e">
        <f>Europe!D1217+"n/&gt;!0NT"</f>
        <v>#VALUE!</v>
      </c>
      <c r="EG292" t="e">
        <f>Europe!E1217+"n/&gt;!0NU"</f>
        <v>#VALUE!</v>
      </c>
      <c r="EH292" t="e">
        <f>Europe!F1217+"n/&gt;!0NV"</f>
        <v>#VALUE!</v>
      </c>
      <c r="EI292" t="e">
        <f>Europe!G1217+"n/&gt;!0NW"</f>
        <v>#VALUE!</v>
      </c>
      <c r="EJ292" t="e">
        <f>Europe!H1217+"n/&gt;!0NX"</f>
        <v>#VALUE!</v>
      </c>
      <c r="EK292" t="e">
        <f>Europe!I1217+"n/&gt;!0NY"</f>
        <v>#VALUE!</v>
      </c>
      <c r="EL292" t="e">
        <f>Europe!A1218+"n/&gt;!0NZ"</f>
        <v>#VALUE!</v>
      </c>
      <c r="EM292" t="e">
        <f>Europe!B1218+"n/&gt;!0N["</f>
        <v>#VALUE!</v>
      </c>
      <c r="EN292" t="e">
        <f>Europe!C1218+"n/&gt;!0N\"</f>
        <v>#VALUE!</v>
      </c>
      <c r="EO292" t="e">
        <f>Europe!D1218+"n/&gt;!0N]"</f>
        <v>#VALUE!</v>
      </c>
      <c r="EP292" t="e">
        <f>Europe!E1218+"n/&gt;!0N^"</f>
        <v>#VALUE!</v>
      </c>
      <c r="EQ292" t="e">
        <f>Europe!F1218+"n/&gt;!0N_"</f>
        <v>#VALUE!</v>
      </c>
      <c r="ER292" t="e">
        <f>Europe!G1218+"n/&gt;!0N`"</f>
        <v>#VALUE!</v>
      </c>
      <c r="ES292" t="e">
        <f>Europe!H1218+"n/&gt;!0Na"</f>
        <v>#VALUE!</v>
      </c>
      <c r="ET292" t="e">
        <f>Europe!I1218+"n/&gt;!0Nb"</f>
        <v>#VALUE!</v>
      </c>
      <c r="EU292" t="e">
        <f>Europe!A1219+"n/&gt;!0Nc"</f>
        <v>#VALUE!</v>
      </c>
      <c r="EV292" t="e">
        <f>Europe!B1219+"n/&gt;!0Nd"</f>
        <v>#VALUE!</v>
      </c>
      <c r="EW292" t="e">
        <f>Europe!C1219+"n/&gt;!0Ne"</f>
        <v>#VALUE!</v>
      </c>
      <c r="EX292" t="e">
        <f>Europe!D1219+"n/&gt;!0Nf"</f>
        <v>#VALUE!</v>
      </c>
      <c r="EY292" t="e">
        <f>Europe!E1219+"n/&gt;!0Ng"</f>
        <v>#VALUE!</v>
      </c>
      <c r="EZ292" t="e">
        <f>Europe!F1219+"n/&gt;!0Nh"</f>
        <v>#VALUE!</v>
      </c>
      <c r="FA292" t="e">
        <f>Europe!G1219+"n/&gt;!0Ni"</f>
        <v>#VALUE!</v>
      </c>
      <c r="FB292" t="e">
        <f>Europe!H1219+"n/&gt;!0Nj"</f>
        <v>#VALUE!</v>
      </c>
      <c r="FC292" t="e">
        <f>Europe!I1219+"n/&gt;!0Nk"</f>
        <v>#VALUE!</v>
      </c>
      <c r="FD292" t="e">
        <f>Europe!A1220+"n/&gt;!0Nl"</f>
        <v>#VALUE!</v>
      </c>
      <c r="FE292" t="e">
        <f>Europe!B1220+"n/&gt;!0Nm"</f>
        <v>#VALUE!</v>
      </c>
      <c r="FF292" t="e">
        <f>Europe!C1220+"n/&gt;!0Nn"</f>
        <v>#VALUE!</v>
      </c>
      <c r="FG292" t="e">
        <f>Europe!D1220+"n/&gt;!0No"</f>
        <v>#VALUE!</v>
      </c>
      <c r="FH292" t="e">
        <f>Europe!E1220+"n/&gt;!0Np"</f>
        <v>#VALUE!</v>
      </c>
      <c r="FI292" t="e">
        <f>Europe!F1220+"n/&gt;!0Nq"</f>
        <v>#VALUE!</v>
      </c>
      <c r="FJ292" t="e">
        <f>Europe!G1220+"n/&gt;!0Nr"</f>
        <v>#VALUE!</v>
      </c>
      <c r="FK292" t="e">
        <f>Europe!H1220+"n/&gt;!0Ns"</f>
        <v>#VALUE!</v>
      </c>
      <c r="FL292" t="e">
        <f>Europe!I1220+"n/&gt;!0Nt"</f>
        <v>#VALUE!</v>
      </c>
      <c r="FM292" t="e">
        <f>Europe!A1221+"n/&gt;!0Nu"</f>
        <v>#VALUE!</v>
      </c>
      <c r="FN292" t="e">
        <f>Europe!B1221+"n/&gt;!0Nv"</f>
        <v>#VALUE!</v>
      </c>
      <c r="FO292" t="e">
        <f>Europe!C1221+"n/&gt;!0Nw"</f>
        <v>#VALUE!</v>
      </c>
      <c r="FP292" t="e">
        <f>Europe!D1221+"n/&gt;!0Nx"</f>
        <v>#VALUE!</v>
      </c>
      <c r="FQ292" t="e">
        <f>Europe!E1221+"n/&gt;!0Ny"</f>
        <v>#VALUE!</v>
      </c>
      <c r="FR292" t="e">
        <f>Europe!F1221+"n/&gt;!0Nz"</f>
        <v>#VALUE!</v>
      </c>
      <c r="FS292" t="e">
        <f>Europe!G1221+"n/&gt;!0N{"</f>
        <v>#VALUE!</v>
      </c>
      <c r="FT292" t="e">
        <f>Europe!H1221+"n/&gt;!0N|"</f>
        <v>#VALUE!</v>
      </c>
      <c r="FU292" t="e">
        <f>Europe!I1221+"n/&gt;!0N}"</f>
        <v>#VALUE!</v>
      </c>
      <c r="FV292" t="e">
        <f>Europe!A1222+"n/&gt;!0N~"</f>
        <v>#VALUE!</v>
      </c>
      <c r="FW292" t="e">
        <f>Europe!B1222+"n/&gt;!0O#"</f>
        <v>#VALUE!</v>
      </c>
      <c r="FX292" t="e">
        <f>Europe!C1222+"n/&gt;!0O$"</f>
        <v>#VALUE!</v>
      </c>
      <c r="FY292" t="e">
        <f>Europe!D1222+"n/&gt;!0O%"</f>
        <v>#VALUE!</v>
      </c>
      <c r="FZ292" t="e">
        <f>Europe!E1222+"n/&gt;!0O&amp;"</f>
        <v>#VALUE!</v>
      </c>
      <c r="GA292" t="e">
        <f>Europe!F1222+"n/&gt;!0O'"</f>
        <v>#VALUE!</v>
      </c>
      <c r="GB292" t="e">
        <f>Europe!G1222+"n/&gt;!0O("</f>
        <v>#VALUE!</v>
      </c>
      <c r="GC292" t="e">
        <f>Europe!H1222+"n/&gt;!0O)"</f>
        <v>#VALUE!</v>
      </c>
      <c r="GD292" t="e">
        <f>Europe!I1222+"n/&gt;!0O."</f>
        <v>#VALUE!</v>
      </c>
      <c r="GE292" t="e">
        <f>Europe!A1223+"n/&gt;!0O/"</f>
        <v>#VALUE!</v>
      </c>
      <c r="GF292" t="e">
        <f>Europe!B1223+"n/&gt;!0O0"</f>
        <v>#VALUE!</v>
      </c>
      <c r="GG292" t="e">
        <f>Europe!C1223+"n/&gt;!0O1"</f>
        <v>#VALUE!</v>
      </c>
      <c r="GH292" t="e">
        <f>Europe!D1223+"n/&gt;!0O2"</f>
        <v>#VALUE!</v>
      </c>
      <c r="GI292" t="e">
        <f>Europe!E1223+"n/&gt;!0O3"</f>
        <v>#VALUE!</v>
      </c>
      <c r="GJ292" t="e">
        <f>Europe!F1223+"n/&gt;!0O4"</f>
        <v>#VALUE!</v>
      </c>
      <c r="GK292" t="e">
        <f>Europe!G1223+"n/&gt;!0O5"</f>
        <v>#VALUE!</v>
      </c>
      <c r="GL292" t="e">
        <f>Europe!H1223+"n/&gt;!0O6"</f>
        <v>#VALUE!</v>
      </c>
      <c r="GM292" t="e">
        <f>Europe!I1223+"n/&gt;!0O7"</f>
        <v>#VALUE!</v>
      </c>
      <c r="GN292" t="e">
        <f>Europe!A1224+"n/&gt;!0O8"</f>
        <v>#VALUE!</v>
      </c>
      <c r="GO292" t="e">
        <f>Europe!B1224+"n/&gt;!0O9"</f>
        <v>#VALUE!</v>
      </c>
      <c r="GP292" t="e">
        <f>Europe!C1224+"n/&gt;!0O:"</f>
        <v>#VALUE!</v>
      </c>
      <c r="GQ292" t="e">
        <f>Europe!D1224+"n/&gt;!0O;"</f>
        <v>#VALUE!</v>
      </c>
      <c r="GR292" t="e">
        <f>Europe!E1224+"n/&gt;!0O&lt;"</f>
        <v>#VALUE!</v>
      </c>
      <c r="GS292" t="e">
        <f>Europe!F1224+"n/&gt;!0O="</f>
        <v>#VALUE!</v>
      </c>
      <c r="GT292" t="e">
        <f>Europe!G1224+"n/&gt;!0O&gt;"</f>
        <v>#VALUE!</v>
      </c>
      <c r="GU292" t="e">
        <f>Europe!H1224+"n/&gt;!0O?"</f>
        <v>#VALUE!</v>
      </c>
      <c r="GV292" t="e">
        <f>Europe!I1224+"n/&gt;!0O@"</f>
        <v>#VALUE!</v>
      </c>
      <c r="GW292" t="e">
        <f>Europe!A1225+"n/&gt;!0OA"</f>
        <v>#VALUE!</v>
      </c>
      <c r="GX292" t="e">
        <f>Europe!B1225+"n/&gt;!0OB"</f>
        <v>#VALUE!</v>
      </c>
      <c r="GY292" t="e">
        <f>Europe!C1225+"n/&gt;!0OC"</f>
        <v>#VALUE!</v>
      </c>
      <c r="GZ292" t="e">
        <f>Europe!D1225+"n/&gt;!0OD"</f>
        <v>#VALUE!</v>
      </c>
      <c r="HA292" t="e">
        <f>Europe!E1225+"n/&gt;!0OE"</f>
        <v>#VALUE!</v>
      </c>
      <c r="HB292" t="e">
        <f>Europe!F1225+"n/&gt;!0OF"</f>
        <v>#VALUE!</v>
      </c>
      <c r="HC292" t="e">
        <f>Europe!G1225+"n/&gt;!0OG"</f>
        <v>#VALUE!</v>
      </c>
      <c r="HD292" t="e">
        <f>Europe!H1225+"n/&gt;!0OH"</f>
        <v>#VALUE!</v>
      </c>
      <c r="HE292" t="e">
        <f>Europe!I1225+"n/&gt;!0OI"</f>
        <v>#VALUE!</v>
      </c>
      <c r="HF292" t="e">
        <f>Europe!A1226+"n/&gt;!0OJ"</f>
        <v>#VALUE!</v>
      </c>
      <c r="HG292" t="e">
        <f>Europe!B1226+"n/&gt;!0OK"</f>
        <v>#VALUE!</v>
      </c>
      <c r="HH292" t="e">
        <f>Europe!C1226+"n/&gt;!0OL"</f>
        <v>#VALUE!</v>
      </c>
      <c r="HI292" t="e">
        <f>Europe!D1226+"n/&gt;!0OM"</f>
        <v>#VALUE!</v>
      </c>
      <c r="HJ292" t="e">
        <f>Europe!E1226+"n/&gt;!0ON"</f>
        <v>#VALUE!</v>
      </c>
      <c r="HK292" t="e">
        <f>Europe!F1226+"n/&gt;!0OO"</f>
        <v>#VALUE!</v>
      </c>
      <c r="HL292" t="e">
        <f>Europe!G1226+"n/&gt;!0OP"</f>
        <v>#VALUE!</v>
      </c>
      <c r="HM292" t="e">
        <f>Europe!H1226+"n/&gt;!0OQ"</f>
        <v>#VALUE!</v>
      </c>
      <c r="HN292" t="e">
        <f>Europe!I1226+"n/&gt;!0OR"</f>
        <v>#VALUE!</v>
      </c>
      <c r="HO292" t="e">
        <f>Europe!A1227+"n/&gt;!0OS"</f>
        <v>#VALUE!</v>
      </c>
      <c r="HP292" t="e">
        <f>Europe!B1227+"n/&gt;!0OT"</f>
        <v>#VALUE!</v>
      </c>
      <c r="HQ292" t="e">
        <f>Europe!C1227+"n/&gt;!0OU"</f>
        <v>#VALUE!</v>
      </c>
      <c r="HR292" t="e">
        <f>Europe!D1227+"n/&gt;!0OV"</f>
        <v>#VALUE!</v>
      </c>
      <c r="HS292" t="e">
        <f>Europe!E1227+"n/&gt;!0OW"</f>
        <v>#VALUE!</v>
      </c>
      <c r="HT292" t="e">
        <f>Europe!F1227+"n/&gt;!0OX"</f>
        <v>#VALUE!</v>
      </c>
      <c r="HU292" t="e">
        <f>Europe!G1227+"n/&gt;!0OY"</f>
        <v>#VALUE!</v>
      </c>
      <c r="HV292" t="e">
        <f>Europe!H1227+"n/&gt;!0OZ"</f>
        <v>#VALUE!</v>
      </c>
      <c r="HW292" t="e">
        <f>Europe!I1227+"n/&gt;!0O["</f>
        <v>#VALUE!</v>
      </c>
      <c r="HX292" t="e">
        <f>Europe!A1228+"n/&gt;!0O\"</f>
        <v>#VALUE!</v>
      </c>
      <c r="HY292" t="e">
        <f>Europe!B1228+"n/&gt;!0O]"</f>
        <v>#VALUE!</v>
      </c>
      <c r="HZ292" t="e">
        <f>Europe!C1228+"n/&gt;!0O^"</f>
        <v>#VALUE!</v>
      </c>
      <c r="IA292" t="e">
        <f>Europe!D1228+"n/&gt;!0O_"</f>
        <v>#VALUE!</v>
      </c>
      <c r="IB292" t="e">
        <f>Europe!E1228+"n/&gt;!0O`"</f>
        <v>#VALUE!</v>
      </c>
      <c r="IC292" t="e">
        <f>Europe!F1228+"n/&gt;!0Oa"</f>
        <v>#VALUE!</v>
      </c>
      <c r="ID292" t="e">
        <f>Europe!G1228+"n/&gt;!0Ob"</f>
        <v>#VALUE!</v>
      </c>
      <c r="IE292" t="e">
        <f>Europe!H1228+"n/&gt;!0Oc"</f>
        <v>#VALUE!</v>
      </c>
      <c r="IF292" t="e">
        <f>Europe!I1228+"n/&gt;!0Od"</f>
        <v>#VALUE!</v>
      </c>
      <c r="IG292" t="e">
        <f>Europe!A1229+"n/&gt;!0Oe"</f>
        <v>#VALUE!</v>
      </c>
      <c r="IH292" t="e">
        <f>Europe!B1229+"n/&gt;!0Of"</f>
        <v>#VALUE!</v>
      </c>
      <c r="II292" t="e">
        <f>Europe!C1229+"n/&gt;!0Og"</f>
        <v>#VALUE!</v>
      </c>
      <c r="IJ292" t="e">
        <f>Europe!D1229+"n/&gt;!0Oh"</f>
        <v>#VALUE!</v>
      </c>
      <c r="IK292" t="e">
        <f>Europe!E1229+"n/&gt;!0Oi"</f>
        <v>#VALUE!</v>
      </c>
      <c r="IL292" t="e">
        <f>Europe!F1229+"n/&gt;!0Oj"</f>
        <v>#VALUE!</v>
      </c>
      <c r="IM292" t="e">
        <f>Europe!G1229+"n/&gt;!0Ok"</f>
        <v>#VALUE!</v>
      </c>
      <c r="IN292" t="e">
        <f>Europe!H1229+"n/&gt;!0Ol"</f>
        <v>#VALUE!</v>
      </c>
      <c r="IO292" t="e">
        <f>Europe!I1229+"n/&gt;!0Om"</f>
        <v>#VALUE!</v>
      </c>
      <c r="IP292" t="e">
        <f>Europe!A1230+"n/&gt;!0On"</f>
        <v>#VALUE!</v>
      </c>
      <c r="IQ292" t="e">
        <f>Europe!B1230+"n/&gt;!0Oo"</f>
        <v>#VALUE!</v>
      </c>
      <c r="IR292" t="e">
        <f>Europe!C1230+"n/&gt;!0Op"</f>
        <v>#VALUE!</v>
      </c>
      <c r="IS292" t="e">
        <f>Europe!D1230+"n/&gt;!0Oq"</f>
        <v>#VALUE!</v>
      </c>
      <c r="IT292" t="e">
        <f>Europe!E1230+"n/&gt;!0Or"</f>
        <v>#VALUE!</v>
      </c>
      <c r="IU292" t="e">
        <f>Europe!F1230+"n/&gt;!0Os"</f>
        <v>#VALUE!</v>
      </c>
      <c r="IV292" t="e">
        <f>Europe!G1230+"n/&gt;!0Ot"</f>
        <v>#VALUE!</v>
      </c>
    </row>
    <row r="293" spans="6:256" x14ac:dyDescent="0.35">
      <c r="F293" t="e">
        <f>Europe!H1230+"n/&gt;!0Ou"</f>
        <v>#VALUE!</v>
      </c>
      <c r="G293" t="e">
        <f>Europe!I1230+"n/&gt;!0Ov"</f>
        <v>#VALUE!</v>
      </c>
      <c r="H293" t="e">
        <f>Europe!A1231+"n/&gt;!0Ow"</f>
        <v>#VALUE!</v>
      </c>
      <c r="I293" t="e">
        <f>Europe!B1231+"n/&gt;!0Ox"</f>
        <v>#VALUE!</v>
      </c>
      <c r="J293" t="e">
        <f>Europe!C1231+"n/&gt;!0Oy"</f>
        <v>#VALUE!</v>
      </c>
      <c r="K293" t="e">
        <f>Europe!D1231+"n/&gt;!0Oz"</f>
        <v>#VALUE!</v>
      </c>
      <c r="L293" t="e">
        <f>Europe!E1231+"n/&gt;!0O{"</f>
        <v>#VALUE!</v>
      </c>
      <c r="M293" t="e">
        <f>Europe!F1231+"n/&gt;!0O|"</f>
        <v>#VALUE!</v>
      </c>
      <c r="N293" t="e">
        <f>Europe!G1231+"n/&gt;!0O}"</f>
        <v>#VALUE!</v>
      </c>
      <c r="O293" t="e">
        <f>Europe!H1231+"n/&gt;!0O~"</f>
        <v>#VALUE!</v>
      </c>
      <c r="P293" t="e">
        <f>Europe!I1231+"n/&gt;!0P#"</f>
        <v>#VALUE!</v>
      </c>
      <c r="Q293" t="e">
        <f>Europe!A1232+"n/&gt;!0P$"</f>
        <v>#VALUE!</v>
      </c>
      <c r="R293" t="e">
        <f>Europe!B1232+"n/&gt;!0P%"</f>
        <v>#VALUE!</v>
      </c>
      <c r="S293" t="e">
        <f>Europe!C1232+"n/&gt;!0P&amp;"</f>
        <v>#VALUE!</v>
      </c>
      <c r="T293" t="e">
        <f>Europe!D1232+"n/&gt;!0P'"</f>
        <v>#VALUE!</v>
      </c>
      <c r="U293" t="e">
        <f>Europe!E1232+"n/&gt;!0P("</f>
        <v>#VALUE!</v>
      </c>
      <c r="V293" t="e">
        <f>Europe!F1232+"n/&gt;!0P)"</f>
        <v>#VALUE!</v>
      </c>
      <c r="W293" t="e">
        <f>Europe!G1232+"n/&gt;!0P."</f>
        <v>#VALUE!</v>
      </c>
      <c r="X293" t="e">
        <f>Europe!H1232+"n/&gt;!0P/"</f>
        <v>#VALUE!</v>
      </c>
      <c r="Y293" t="e">
        <f>Europe!I1232+"n/&gt;!0P0"</f>
        <v>#VALUE!</v>
      </c>
      <c r="Z293" t="e">
        <f>Europe!A1233+"n/&gt;!0P1"</f>
        <v>#VALUE!</v>
      </c>
      <c r="AA293" t="e">
        <f>Europe!B1233+"n/&gt;!0P2"</f>
        <v>#VALUE!</v>
      </c>
      <c r="AB293" t="e">
        <f>Europe!C1233+"n/&gt;!0P3"</f>
        <v>#VALUE!</v>
      </c>
      <c r="AC293" t="e">
        <f>Europe!D1233+"n/&gt;!0P4"</f>
        <v>#VALUE!</v>
      </c>
      <c r="AD293" t="e">
        <f>Europe!E1233+"n/&gt;!0P5"</f>
        <v>#VALUE!</v>
      </c>
      <c r="AE293" t="e">
        <f>Europe!F1233+"n/&gt;!0P6"</f>
        <v>#VALUE!</v>
      </c>
      <c r="AF293" t="e">
        <f>Europe!G1233+"n/&gt;!0P7"</f>
        <v>#VALUE!</v>
      </c>
      <c r="AG293" t="e">
        <f>Europe!H1233+"n/&gt;!0P8"</f>
        <v>#VALUE!</v>
      </c>
      <c r="AH293" t="e">
        <f>Europe!I1233+"n/&gt;!0P9"</f>
        <v>#VALUE!</v>
      </c>
      <c r="AI293" t="e">
        <f>Europe!A1234+"n/&gt;!0P:"</f>
        <v>#VALUE!</v>
      </c>
      <c r="AJ293" t="e">
        <f>Europe!B1234+"n/&gt;!0P;"</f>
        <v>#VALUE!</v>
      </c>
      <c r="AK293" t="e">
        <f>Europe!C1234+"n/&gt;!0P&lt;"</f>
        <v>#VALUE!</v>
      </c>
      <c r="AL293" t="e">
        <f>Europe!D1234+"n/&gt;!0P="</f>
        <v>#VALUE!</v>
      </c>
      <c r="AM293" t="e">
        <f>Europe!E1234+"n/&gt;!0P&gt;"</f>
        <v>#VALUE!</v>
      </c>
      <c r="AN293" t="e">
        <f>Europe!F1234+"n/&gt;!0P?"</f>
        <v>#VALUE!</v>
      </c>
      <c r="AO293" t="e">
        <f>Europe!G1234+"n/&gt;!0P@"</f>
        <v>#VALUE!</v>
      </c>
      <c r="AP293" t="e">
        <f>Europe!H1234+"n/&gt;!0PA"</f>
        <v>#VALUE!</v>
      </c>
      <c r="AQ293" t="e">
        <f>Europe!I1234+"n/&gt;!0PB"</f>
        <v>#VALUE!</v>
      </c>
      <c r="AR293" t="e">
        <f>Europe!A1235+"n/&gt;!0PC"</f>
        <v>#VALUE!</v>
      </c>
      <c r="AS293" t="e">
        <f>Europe!B1235+"n/&gt;!0PD"</f>
        <v>#VALUE!</v>
      </c>
      <c r="AT293" t="e">
        <f>Europe!C1235+"n/&gt;!0PE"</f>
        <v>#VALUE!</v>
      </c>
      <c r="AU293" t="e">
        <f>Europe!D1235+"n/&gt;!0PF"</f>
        <v>#VALUE!</v>
      </c>
      <c r="AV293" t="e">
        <f>Europe!E1235+"n/&gt;!0PG"</f>
        <v>#VALUE!</v>
      </c>
      <c r="AW293" t="e">
        <f>Europe!F1235+"n/&gt;!0PH"</f>
        <v>#VALUE!</v>
      </c>
      <c r="AX293" t="e">
        <f>Europe!G1235+"n/&gt;!0PI"</f>
        <v>#VALUE!</v>
      </c>
      <c r="AY293" t="e">
        <f>Europe!H1235+"n/&gt;!0PJ"</f>
        <v>#VALUE!</v>
      </c>
      <c r="AZ293" t="e">
        <f>Europe!I1235+"n/&gt;!0PK"</f>
        <v>#VALUE!</v>
      </c>
      <c r="BA293" t="e">
        <f>Europe!A1236+"n/&gt;!0PL"</f>
        <v>#VALUE!</v>
      </c>
      <c r="BB293" t="e">
        <f>Europe!B1236+"n/&gt;!0PM"</f>
        <v>#VALUE!</v>
      </c>
      <c r="BC293" t="e">
        <f>Europe!C1236+"n/&gt;!0PN"</f>
        <v>#VALUE!</v>
      </c>
      <c r="BD293" t="e">
        <f>Europe!D1236+"n/&gt;!0PO"</f>
        <v>#VALUE!</v>
      </c>
      <c r="BE293" t="e">
        <f>Europe!E1236+"n/&gt;!0PP"</f>
        <v>#VALUE!</v>
      </c>
      <c r="BF293" t="e">
        <f>Europe!F1236+"n/&gt;!0PQ"</f>
        <v>#VALUE!</v>
      </c>
      <c r="BG293" t="e">
        <f>Europe!G1236+"n/&gt;!0PR"</f>
        <v>#VALUE!</v>
      </c>
      <c r="BH293" t="e">
        <f>Europe!H1236+"n/&gt;!0PS"</f>
        <v>#VALUE!</v>
      </c>
      <c r="BI293" t="e">
        <f>Europe!I1236+"n/&gt;!0PT"</f>
        <v>#VALUE!</v>
      </c>
      <c r="BJ293" t="e">
        <f>Europe!A1237+"n/&gt;!0PU"</f>
        <v>#VALUE!</v>
      </c>
      <c r="BK293" t="e">
        <f>Europe!B1237+"n/&gt;!0PV"</f>
        <v>#VALUE!</v>
      </c>
      <c r="BL293" t="e">
        <f>Europe!C1237+"n/&gt;!0PW"</f>
        <v>#VALUE!</v>
      </c>
      <c r="BM293" t="e">
        <f>Europe!D1237+"n/&gt;!0PX"</f>
        <v>#VALUE!</v>
      </c>
      <c r="BN293" t="e">
        <f>Europe!E1237+"n/&gt;!0PY"</f>
        <v>#VALUE!</v>
      </c>
      <c r="BO293" t="e">
        <f>Europe!F1237+"n/&gt;!0PZ"</f>
        <v>#VALUE!</v>
      </c>
      <c r="BP293" t="e">
        <f>Europe!G1237+"n/&gt;!0P["</f>
        <v>#VALUE!</v>
      </c>
      <c r="BQ293" t="e">
        <f>Europe!H1237+"n/&gt;!0P\"</f>
        <v>#VALUE!</v>
      </c>
      <c r="BR293" t="e">
        <f>Europe!I1237+"n/&gt;!0P]"</f>
        <v>#VALUE!</v>
      </c>
      <c r="BS293" t="e">
        <f>Europe!A1238+"n/&gt;!0P^"</f>
        <v>#VALUE!</v>
      </c>
      <c r="BT293" t="e">
        <f>Europe!B1238+"n/&gt;!0P_"</f>
        <v>#VALUE!</v>
      </c>
      <c r="BU293" t="e">
        <f>Europe!C1238+"n/&gt;!0P`"</f>
        <v>#VALUE!</v>
      </c>
      <c r="BV293" t="e">
        <f>Europe!D1238+"n/&gt;!0Pa"</f>
        <v>#VALUE!</v>
      </c>
      <c r="BW293" t="e">
        <f>Europe!E1238+"n/&gt;!0Pb"</f>
        <v>#VALUE!</v>
      </c>
      <c r="BX293" t="e">
        <f>Europe!F1238+"n/&gt;!0Pc"</f>
        <v>#VALUE!</v>
      </c>
      <c r="BY293" t="e">
        <f>Europe!G1238+"n/&gt;!0Pd"</f>
        <v>#VALUE!</v>
      </c>
      <c r="BZ293" t="e">
        <f>Europe!H1238+"n/&gt;!0Pe"</f>
        <v>#VALUE!</v>
      </c>
      <c r="CA293" t="e">
        <f>Europe!I1238+"n/&gt;!0Pf"</f>
        <v>#VALUE!</v>
      </c>
      <c r="CB293" t="e">
        <f>Europe!A1239+"n/&gt;!0Pg"</f>
        <v>#VALUE!</v>
      </c>
      <c r="CC293" t="e">
        <f>Europe!B1239+"n/&gt;!0Ph"</f>
        <v>#VALUE!</v>
      </c>
      <c r="CD293" t="e">
        <f>Europe!C1239+"n/&gt;!0Pi"</f>
        <v>#VALUE!</v>
      </c>
      <c r="CE293" t="e">
        <f>Europe!D1239+"n/&gt;!0Pj"</f>
        <v>#VALUE!</v>
      </c>
      <c r="CF293" t="e">
        <f>Europe!E1239+"n/&gt;!0Pk"</f>
        <v>#VALUE!</v>
      </c>
      <c r="CG293" t="e">
        <f>Europe!F1239+"n/&gt;!0Pl"</f>
        <v>#VALUE!</v>
      </c>
      <c r="CH293" t="e">
        <f>Europe!G1239+"n/&gt;!0Pm"</f>
        <v>#VALUE!</v>
      </c>
      <c r="CI293" t="e">
        <f>Europe!H1239+"n/&gt;!0Pn"</f>
        <v>#VALUE!</v>
      </c>
      <c r="CJ293" t="e">
        <f>Europe!I1239+"n/&gt;!0Po"</f>
        <v>#VALUE!</v>
      </c>
      <c r="CK293" t="e">
        <f>Europe!A1240+"n/&gt;!0Pp"</f>
        <v>#VALUE!</v>
      </c>
      <c r="CL293" t="e">
        <f>Europe!B1240+"n/&gt;!0Pq"</f>
        <v>#VALUE!</v>
      </c>
      <c r="CM293" t="e">
        <f>Europe!C1240+"n/&gt;!0Pr"</f>
        <v>#VALUE!</v>
      </c>
      <c r="CN293" t="e">
        <f>Europe!D1240+"n/&gt;!0Ps"</f>
        <v>#VALUE!</v>
      </c>
      <c r="CO293" t="e">
        <f>Europe!E1240+"n/&gt;!0Pt"</f>
        <v>#VALUE!</v>
      </c>
      <c r="CP293" t="e">
        <f>Europe!F1240+"n/&gt;!0Pu"</f>
        <v>#VALUE!</v>
      </c>
      <c r="CQ293" t="e">
        <f>Europe!G1240+"n/&gt;!0Pv"</f>
        <v>#VALUE!</v>
      </c>
      <c r="CR293" t="e">
        <f>Europe!H1240+"n/&gt;!0Pw"</f>
        <v>#VALUE!</v>
      </c>
      <c r="CS293" t="e">
        <f>Europe!I1240+"n/&gt;!0Px"</f>
        <v>#VALUE!</v>
      </c>
      <c r="CT293" t="e">
        <f>Europe!A1241+"n/&gt;!0Py"</f>
        <v>#VALUE!</v>
      </c>
      <c r="CU293" t="e">
        <f>Europe!B1241+"n/&gt;!0Pz"</f>
        <v>#VALUE!</v>
      </c>
      <c r="CV293" t="e">
        <f>Europe!C1241+"n/&gt;!0P{"</f>
        <v>#VALUE!</v>
      </c>
      <c r="CW293" t="e">
        <f>Europe!D1241+"n/&gt;!0P|"</f>
        <v>#VALUE!</v>
      </c>
      <c r="CX293" t="e">
        <f>Europe!E1241+"n/&gt;!0P}"</f>
        <v>#VALUE!</v>
      </c>
      <c r="CY293" t="e">
        <f>Europe!F1241+"n/&gt;!0P~"</f>
        <v>#VALUE!</v>
      </c>
      <c r="CZ293" t="e">
        <f>Europe!G1241+"n/&gt;!0Q#"</f>
        <v>#VALUE!</v>
      </c>
      <c r="DA293" t="e">
        <f>Europe!H1241+"n/&gt;!0Q$"</f>
        <v>#VALUE!</v>
      </c>
      <c r="DB293" t="e">
        <f>Europe!I1241+"n/&gt;!0Q%"</f>
        <v>#VALUE!</v>
      </c>
      <c r="DC293" t="e">
        <f>Europe!A1242+"n/&gt;!0Q&amp;"</f>
        <v>#VALUE!</v>
      </c>
      <c r="DD293" t="e">
        <f>Europe!B1242+"n/&gt;!0Q'"</f>
        <v>#VALUE!</v>
      </c>
      <c r="DE293" t="e">
        <f>Europe!C1242+"n/&gt;!0Q("</f>
        <v>#VALUE!</v>
      </c>
      <c r="DF293" t="e">
        <f>Europe!D1242+"n/&gt;!0Q)"</f>
        <v>#VALUE!</v>
      </c>
      <c r="DG293" t="e">
        <f>Europe!E1242+"n/&gt;!0Q."</f>
        <v>#VALUE!</v>
      </c>
      <c r="DH293" t="e">
        <f>Europe!F1242+"n/&gt;!0Q/"</f>
        <v>#VALUE!</v>
      </c>
      <c r="DI293" t="e">
        <f>Europe!G1242+"n/&gt;!0Q0"</f>
        <v>#VALUE!</v>
      </c>
      <c r="DJ293" t="e">
        <f>Europe!H1242+"n/&gt;!0Q1"</f>
        <v>#VALUE!</v>
      </c>
      <c r="DK293" t="e">
        <f>Europe!I1242+"n/&gt;!0Q2"</f>
        <v>#VALUE!</v>
      </c>
      <c r="DL293" t="e">
        <f>Europe!A1243+"n/&gt;!0Q3"</f>
        <v>#VALUE!</v>
      </c>
      <c r="DM293" t="e">
        <f>Europe!B1243+"n/&gt;!0Q4"</f>
        <v>#VALUE!</v>
      </c>
      <c r="DN293" t="e">
        <f>Europe!C1243+"n/&gt;!0Q5"</f>
        <v>#VALUE!</v>
      </c>
      <c r="DO293" t="e">
        <f>Europe!D1243+"n/&gt;!0Q6"</f>
        <v>#VALUE!</v>
      </c>
      <c r="DP293" t="e">
        <f>Europe!E1243+"n/&gt;!0Q7"</f>
        <v>#VALUE!</v>
      </c>
      <c r="DQ293" t="e">
        <f>Europe!F1243+"n/&gt;!0Q8"</f>
        <v>#VALUE!</v>
      </c>
      <c r="DR293" t="e">
        <f>Europe!G1243+"n/&gt;!0Q9"</f>
        <v>#VALUE!</v>
      </c>
      <c r="DS293" t="e">
        <f>Europe!H1243+"n/&gt;!0Q:"</f>
        <v>#VALUE!</v>
      </c>
      <c r="DT293" t="e">
        <f>Europe!I1243+"n/&gt;!0Q;"</f>
        <v>#VALUE!</v>
      </c>
      <c r="DU293" t="e">
        <f>Europe!A1244+"n/&gt;!0Q&lt;"</f>
        <v>#VALUE!</v>
      </c>
      <c r="DV293" t="e">
        <f>Europe!B1244+"n/&gt;!0Q="</f>
        <v>#VALUE!</v>
      </c>
      <c r="DW293" t="e">
        <f>Europe!C1244+"n/&gt;!0Q&gt;"</f>
        <v>#VALUE!</v>
      </c>
      <c r="DX293" t="e">
        <f>Europe!D1244+"n/&gt;!0Q?"</f>
        <v>#VALUE!</v>
      </c>
      <c r="DY293" t="e">
        <f>Europe!E1244+"n/&gt;!0Q@"</f>
        <v>#VALUE!</v>
      </c>
      <c r="DZ293" t="e">
        <f>Europe!F1244+"n/&gt;!0QA"</f>
        <v>#VALUE!</v>
      </c>
      <c r="EA293" t="e">
        <f>Europe!G1244+"n/&gt;!0QB"</f>
        <v>#VALUE!</v>
      </c>
      <c r="EB293" t="e">
        <f>Europe!H1244+"n/&gt;!0QC"</f>
        <v>#VALUE!</v>
      </c>
      <c r="EC293" t="e">
        <f>Europe!I1244+"n/&gt;!0QD"</f>
        <v>#VALUE!</v>
      </c>
      <c r="ED293" t="e">
        <f>Europe!A1245+"n/&gt;!0QE"</f>
        <v>#VALUE!</v>
      </c>
      <c r="EE293" t="e">
        <f>Europe!B1245+"n/&gt;!0QF"</f>
        <v>#VALUE!</v>
      </c>
      <c r="EF293" t="e">
        <f>Europe!C1245+"n/&gt;!0QG"</f>
        <v>#VALUE!</v>
      </c>
      <c r="EG293" t="e">
        <f>Europe!D1245+"n/&gt;!0QH"</f>
        <v>#VALUE!</v>
      </c>
      <c r="EH293" t="e">
        <f>Europe!E1245+"n/&gt;!0QI"</f>
        <v>#VALUE!</v>
      </c>
      <c r="EI293" t="e">
        <f>Europe!F1245+"n/&gt;!0QJ"</f>
        <v>#VALUE!</v>
      </c>
      <c r="EJ293" t="e">
        <f>Europe!G1245+"n/&gt;!0QK"</f>
        <v>#VALUE!</v>
      </c>
      <c r="EK293" t="e">
        <f>Europe!H1245+"n/&gt;!0QL"</f>
        <v>#VALUE!</v>
      </c>
      <c r="EL293" t="e">
        <f>Europe!I1245+"n/&gt;!0QM"</f>
        <v>#VALUE!</v>
      </c>
      <c r="EM293" t="e">
        <f>Europe!A1246+"n/&gt;!0QN"</f>
        <v>#VALUE!</v>
      </c>
      <c r="EN293" t="e">
        <f>Europe!B1246+"n/&gt;!0QO"</f>
        <v>#VALUE!</v>
      </c>
      <c r="EO293" t="e">
        <f>Europe!C1246+"n/&gt;!0QP"</f>
        <v>#VALUE!</v>
      </c>
      <c r="EP293" t="e">
        <f>Europe!D1246+"n/&gt;!0QQ"</f>
        <v>#VALUE!</v>
      </c>
      <c r="EQ293" t="e">
        <f>Europe!E1246+"n/&gt;!0QR"</f>
        <v>#VALUE!</v>
      </c>
      <c r="ER293" t="e">
        <f>Europe!F1246+"n/&gt;!0QS"</f>
        <v>#VALUE!</v>
      </c>
      <c r="ES293" t="e">
        <f>Europe!G1246+"n/&gt;!0QT"</f>
        <v>#VALUE!</v>
      </c>
      <c r="ET293" t="e">
        <f>Europe!H1246+"n/&gt;!0QU"</f>
        <v>#VALUE!</v>
      </c>
      <c r="EU293" t="e">
        <f>Europe!I1246+"n/&gt;!0QV"</f>
        <v>#VALUE!</v>
      </c>
      <c r="EV293" t="e">
        <f>Europe!A1247+"n/&gt;!0QW"</f>
        <v>#VALUE!</v>
      </c>
      <c r="EW293" t="e">
        <f>Europe!B1247+"n/&gt;!0QX"</f>
        <v>#VALUE!</v>
      </c>
      <c r="EX293" t="e">
        <f>Europe!C1247+"n/&gt;!0QY"</f>
        <v>#VALUE!</v>
      </c>
      <c r="EY293" t="e">
        <f>Europe!D1247+"n/&gt;!0QZ"</f>
        <v>#VALUE!</v>
      </c>
      <c r="EZ293" t="e">
        <f>Europe!E1247+"n/&gt;!0Q["</f>
        <v>#VALUE!</v>
      </c>
      <c r="FA293" t="e">
        <f>Europe!F1247+"n/&gt;!0Q\"</f>
        <v>#VALUE!</v>
      </c>
      <c r="FB293" t="e">
        <f>Europe!G1247+"n/&gt;!0Q]"</f>
        <v>#VALUE!</v>
      </c>
      <c r="FC293" t="e">
        <f>Europe!H1247+"n/&gt;!0Q^"</f>
        <v>#VALUE!</v>
      </c>
      <c r="FD293" t="e">
        <f>Europe!I1247+"n/&gt;!0Q_"</f>
        <v>#VALUE!</v>
      </c>
      <c r="FE293" t="e">
        <f>Europe!A1248+"n/&gt;!0Q`"</f>
        <v>#VALUE!</v>
      </c>
      <c r="FF293" t="e">
        <f>Europe!B1248+"n/&gt;!0Qa"</f>
        <v>#VALUE!</v>
      </c>
      <c r="FG293" t="e">
        <f>Europe!C1248+"n/&gt;!0Qb"</f>
        <v>#VALUE!</v>
      </c>
      <c r="FH293" t="e">
        <f>Europe!D1248+"n/&gt;!0Qc"</f>
        <v>#VALUE!</v>
      </c>
      <c r="FI293" t="e">
        <f>Europe!E1248+"n/&gt;!0Qd"</f>
        <v>#VALUE!</v>
      </c>
      <c r="FJ293" t="e">
        <f>Europe!F1248+"n/&gt;!0Qe"</f>
        <v>#VALUE!</v>
      </c>
      <c r="FK293" t="e">
        <f>Europe!G1248+"n/&gt;!0Qf"</f>
        <v>#VALUE!</v>
      </c>
      <c r="FL293" t="e">
        <f>Europe!H1248+"n/&gt;!0Qg"</f>
        <v>#VALUE!</v>
      </c>
      <c r="FM293" t="e">
        <f>Europe!I1248+"n/&gt;!0Qh"</f>
        <v>#VALUE!</v>
      </c>
      <c r="FN293" t="e">
        <f>Europe!A1249+"n/&gt;!0Qi"</f>
        <v>#VALUE!</v>
      </c>
      <c r="FO293" t="e">
        <f>Europe!B1249+"n/&gt;!0Qj"</f>
        <v>#VALUE!</v>
      </c>
      <c r="FP293" t="e">
        <f>Europe!C1249+"n/&gt;!0Qk"</f>
        <v>#VALUE!</v>
      </c>
      <c r="FQ293" t="e">
        <f>Europe!D1249+"n/&gt;!0Ql"</f>
        <v>#VALUE!</v>
      </c>
      <c r="FR293" t="e">
        <f>Europe!E1249+"n/&gt;!0Qm"</f>
        <v>#VALUE!</v>
      </c>
      <c r="FS293" t="e">
        <f>Europe!F1249+"n/&gt;!0Qn"</f>
        <v>#VALUE!</v>
      </c>
      <c r="FT293" t="e">
        <f>Europe!G1249+"n/&gt;!0Qo"</f>
        <v>#VALUE!</v>
      </c>
      <c r="FU293" t="e">
        <f>Europe!H1249+"n/&gt;!0Qp"</f>
        <v>#VALUE!</v>
      </c>
      <c r="FV293" t="e">
        <f>Europe!I1249+"n/&gt;!0Qq"</f>
        <v>#VALUE!</v>
      </c>
      <c r="FW293" t="e">
        <f>Europe!A1250+"n/&gt;!0Qr"</f>
        <v>#VALUE!</v>
      </c>
      <c r="FX293" t="e">
        <f>Europe!B1250+"n/&gt;!0Qs"</f>
        <v>#VALUE!</v>
      </c>
      <c r="FY293" t="e">
        <f>Europe!C1250+"n/&gt;!0Qt"</f>
        <v>#VALUE!</v>
      </c>
      <c r="FZ293" t="e">
        <f>Europe!D1250+"n/&gt;!0Qu"</f>
        <v>#VALUE!</v>
      </c>
      <c r="GA293" t="e">
        <f>Europe!E1250+"n/&gt;!0Qv"</f>
        <v>#VALUE!</v>
      </c>
      <c r="GB293" t="e">
        <f>Europe!F1250+"n/&gt;!0Qw"</f>
        <v>#VALUE!</v>
      </c>
      <c r="GC293" t="e">
        <f>Europe!G1250+"n/&gt;!0Qx"</f>
        <v>#VALUE!</v>
      </c>
      <c r="GD293" t="e">
        <f>Europe!H1250+"n/&gt;!0Qy"</f>
        <v>#VALUE!</v>
      </c>
      <c r="GE293" t="e">
        <f>Europe!I1250+"n/&gt;!0Qz"</f>
        <v>#VALUE!</v>
      </c>
      <c r="GF293" t="e">
        <f>Europe!A1251+"n/&gt;!0Q{"</f>
        <v>#VALUE!</v>
      </c>
      <c r="GG293" t="e">
        <f>Europe!B1251+"n/&gt;!0Q|"</f>
        <v>#VALUE!</v>
      </c>
      <c r="GH293" t="e">
        <f>Europe!C1251+"n/&gt;!0Q}"</f>
        <v>#VALUE!</v>
      </c>
      <c r="GI293" t="e">
        <f>Europe!D1251+"n/&gt;!0Q~"</f>
        <v>#VALUE!</v>
      </c>
      <c r="GJ293" t="e">
        <f>Europe!E1251+"n/&gt;!0R#"</f>
        <v>#VALUE!</v>
      </c>
      <c r="GK293" t="e">
        <f>Europe!F1251+"n/&gt;!0R$"</f>
        <v>#VALUE!</v>
      </c>
      <c r="GL293" t="e">
        <f>Europe!G1251+"n/&gt;!0R%"</f>
        <v>#VALUE!</v>
      </c>
      <c r="GM293" t="e">
        <f>Europe!H1251+"n/&gt;!0R&amp;"</f>
        <v>#VALUE!</v>
      </c>
      <c r="GN293" t="e">
        <f>Europe!I1251+"n/&gt;!0R'"</f>
        <v>#VALUE!</v>
      </c>
      <c r="GO293" t="e">
        <f>Europe!A1252+"n/&gt;!0R("</f>
        <v>#VALUE!</v>
      </c>
      <c r="GP293" t="e">
        <f>Europe!B1252+"n/&gt;!0R)"</f>
        <v>#VALUE!</v>
      </c>
      <c r="GQ293" t="e">
        <f>Europe!C1252+"n/&gt;!0R."</f>
        <v>#VALUE!</v>
      </c>
      <c r="GR293" t="e">
        <f>Europe!D1252+"n/&gt;!0R/"</f>
        <v>#VALUE!</v>
      </c>
      <c r="GS293" t="e">
        <f>Europe!E1252+"n/&gt;!0R0"</f>
        <v>#VALUE!</v>
      </c>
      <c r="GT293" t="e">
        <f>Europe!F1252+"n/&gt;!0R1"</f>
        <v>#VALUE!</v>
      </c>
      <c r="GU293" t="e">
        <f>Europe!G1252+"n/&gt;!0R2"</f>
        <v>#VALUE!</v>
      </c>
      <c r="GV293" t="e">
        <f>Europe!H1252+"n/&gt;!0R3"</f>
        <v>#VALUE!</v>
      </c>
      <c r="GW293" t="e">
        <f>Europe!I1252+"n/&gt;!0R4"</f>
        <v>#VALUE!</v>
      </c>
      <c r="GX293" t="e">
        <f>Europe!A1253+"n/&gt;!0R5"</f>
        <v>#VALUE!</v>
      </c>
      <c r="GY293" t="e">
        <f>Europe!B1253+"n/&gt;!0R6"</f>
        <v>#VALUE!</v>
      </c>
      <c r="GZ293" t="e">
        <f>Europe!C1253+"n/&gt;!0R7"</f>
        <v>#VALUE!</v>
      </c>
      <c r="HA293" t="e">
        <f>Europe!D1253+"n/&gt;!0R8"</f>
        <v>#VALUE!</v>
      </c>
      <c r="HB293" t="e">
        <f>Europe!E1253+"n/&gt;!0R9"</f>
        <v>#VALUE!</v>
      </c>
      <c r="HC293" t="e">
        <f>Europe!F1253+"n/&gt;!0R:"</f>
        <v>#VALUE!</v>
      </c>
      <c r="HD293" t="e">
        <f>Europe!G1253+"n/&gt;!0R;"</f>
        <v>#VALUE!</v>
      </c>
      <c r="HE293" t="e">
        <f>Europe!H1253+"n/&gt;!0R&lt;"</f>
        <v>#VALUE!</v>
      </c>
      <c r="HF293" t="e">
        <f>Europe!I1253+"n/&gt;!0R="</f>
        <v>#VALUE!</v>
      </c>
      <c r="HG293" t="e">
        <f>Europe!A1254+"n/&gt;!0R&gt;"</f>
        <v>#VALUE!</v>
      </c>
      <c r="HH293" t="e">
        <f>Europe!B1254+"n/&gt;!0R?"</f>
        <v>#VALUE!</v>
      </c>
      <c r="HI293" t="e">
        <f>Europe!C1254+"n/&gt;!0R@"</f>
        <v>#VALUE!</v>
      </c>
      <c r="HJ293" t="e">
        <f>Europe!D1254+"n/&gt;!0RA"</f>
        <v>#VALUE!</v>
      </c>
      <c r="HK293" t="e">
        <f>Europe!E1254+"n/&gt;!0RB"</f>
        <v>#VALUE!</v>
      </c>
      <c r="HL293" t="e">
        <f>Europe!F1254+"n/&gt;!0RC"</f>
        <v>#VALUE!</v>
      </c>
      <c r="HM293" t="e">
        <f>Europe!G1254+"n/&gt;!0RD"</f>
        <v>#VALUE!</v>
      </c>
      <c r="HN293" t="e">
        <f>Europe!H1254+"n/&gt;!0RE"</f>
        <v>#VALUE!</v>
      </c>
      <c r="HO293" t="e">
        <f>Europe!I1254+"n/&gt;!0RF"</f>
        <v>#VALUE!</v>
      </c>
      <c r="HP293" t="e">
        <f>Europe!A1255+"n/&gt;!0RG"</f>
        <v>#VALUE!</v>
      </c>
      <c r="HQ293" t="e">
        <f>Europe!B1255+"n/&gt;!0RH"</f>
        <v>#VALUE!</v>
      </c>
      <c r="HR293" t="e">
        <f>Europe!C1255+"n/&gt;!0RI"</f>
        <v>#VALUE!</v>
      </c>
      <c r="HS293" t="e">
        <f>Europe!D1255+"n/&gt;!0RJ"</f>
        <v>#VALUE!</v>
      </c>
      <c r="HT293" t="e">
        <f>Europe!E1255+"n/&gt;!0RK"</f>
        <v>#VALUE!</v>
      </c>
      <c r="HU293" t="e">
        <f>Europe!F1255+"n/&gt;!0RL"</f>
        <v>#VALUE!</v>
      </c>
      <c r="HV293" t="e">
        <f>Europe!G1255+"n/&gt;!0RM"</f>
        <v>#VALUE!</v>
      </c>
      <c r="HW293" t="e">
        <f>Europe!H1255+"n/&gt;!0RN"</f>
        <v>#VALUE!</v>
      </c>
      <c r="HX293" t="e">
        <f>Europe!I1255+"n/&gt;!0RO"</f>
        <v>#VALUE!</v>
      </c>
      <c r="HY293" t="e">
        <f>Europe!A1256+"n/&gt;!0RP"</f>
        <v>#VALUE!</v>
      </c>
      <c r="HZ293" t="e">
        <f>Europe!B1256+"n/&gt;!0RQ"</f>
        <v>#VALUE!</v>
      </c>
      <c r="IA293" t="e">
        <f>Europe!C1256+"n/&gt;!0RR"</f>
        <v>#VALUE!</v>
      </c>
      <c r="IB293" t="e">
        <f>Europe!D1256+"n/&gt;!0RS"</f>
        <v>#VALUE!</v>
      </c>
      <c r="IC293" t="e">
        <f>Europe!E1256+"n/&gt;!0RT"</f>
        <v>#VALUE!</v>
      </c>
      <c r="ID293" t="e">
        <f>Europe!F1256+"n/&gt;!0RU"</f>
        <v>#VALUE!</v>
      </c>
      <c r="IE293" t="e">
        <f>Europe!G1256+"n/&gt;!0RV"</f>
        <v>#VALUE!</v>
      </c>
      <c r="IF293" t="e">
        <f>Europe!H1256+"n/&gt;!0RW"</f>
        <v>#VALUE!</v>
      </c>
      <c r="IG293" t="e">
        <f>Europe!I1256+"n/&gt;!0RX"</f>
        <v>#VALUE!</v>
      </c>
      <c r="IH293" t="e">
        <f>Europe!A1257+"n/&gt;!0RY"</f>
        <v>#VALUE!</v>
      </c>
      <c r="II293" t="e">
        <f>Europe!B1257+"n/&gt;!0RZ"</f>
        <v>#VALUE!</v>
      </c>
      <c r="IJ293" t="e">
        <f>Europe!C1257+"n/&gt;!0R["</f>
        <v>#VALUE!</v>
      </c>
      <c r="IK293" t="e">
        <f>Europe!D1257+"n/&gt;!0R\"</f>
        <v>#VALUE!</v>
      </c>
      <c r="IL293" t="e">
        <f>Europe!E1257+"n/&gt;!0R]"</f>
        <v>#VALUE!</v>
      </c>
      <c r="IM293" t="e">
        <f>Europe!F1257+"n/&gt;!0R^"</f>
        <v>#VALUE!</v>
      </c>
      <c r="IN293" t="e">
        <f>Europe!G1257+"n/&gt;!0R_"</f>
        <v>#VALUE!</v>
      </c>
      <c r="IO293" t="e">
        <f>Europe!H1257+"n/&gt;!0R`"</f>
        <v>#VALUE!</v>
      </c>
      <c r="IP293" t="e">
        <f>Europe!I1257+"n/&gt;!0Ra"</f>
        <v>#VALUE!</v>
      </c>
      <c r="IQ293" t="e">
        <f>Europe!A1258+"n/&gt;!0Rb"</f>
        <v>#VALUE!</v>
      </c>
      <c r="IR293" t="e">
        <f>Europe!B1258+"n/&gt;!0Rc"</f>
        <v>#VALUE!</v>
      </c>
      <c r="IS293" t="e">
        <f>Europe!C1258+"n/&gt;!0Rd"</f>
        <v>#VALUE!</v>
      </c>
      <c r="IT293" t="e">
        <f>Europe!D1258+"n/&gt;!0Re"</f>
        <v>#VALUE!</v>
      </c>
      <c r="IU293" t="e">
        <f>Europe!E1258+"n/&gt;!0Rf"</f>
        <v>#VALUE!</v>
      </c>
      <c r="IV293" t="e">
        <f>Europe!F1258+"n/&gt;!0Rg"</f>
        <v>#VALUE!</v>
      </c>
    </row>
    <row r="294" spans="6:256" x14ac:dyDescent="0.35">
      <c r="F294" t="e">
        <f>Europe!G1258+"n/&gt;!0Rh"</f>
        <v>#VALUE!</v>
      </c>
      <c r="G294" t="e">
        <f>Europe!H1258+"n/&gt;!0Ri"</f>
        <v>#VALUE!</v>
      </c>
      <c r="H294" t="e">
        <f>Europe!I1258+"n/&gt;!0Rj"</f>
        <v>#VALUE!</v>
      </c>
      <c r="I294" t="e">
        <f>Europe!A1259+"n/&gt;!0Rk"</f>
        <v>#VALUE!</v>
      </c>
      <c r="J294" t="e">
        <f>Europe!B1259+"n/&gt;!0Rl"</f>
        <v>#VALUE!</v>
      </c>
      <c r="K294" t="e">
        <f>Europe!C1259+"n/&gt;!0Rm"</f>
        <v>#VALUE!</v>
      </c>
      <c r="L294" t="e">
        <f>Europe!D1259+"n/&gt;!0Rn"</f>
        <v>#VALUE!</v>
      </c>
      <c r="M294" t="e">
        <f>Europe!E1259+"n/&gt;!0Ro"</f>
        <v>#VALUE!</v>
      </c>
      <c r="N294" t="e">
        <f>Europe!F1259+"n/&gt;!0Rp"</f>
        <v>#VALUE!</v>
      </c>
      <c r="O294" t="e">
        <f>Europe!G1259+"n/&gt;!0Rq"</f>
        <v>#VALUE!</v>
      </c>
      <c r="P294" t="e">
        <f>Europe!H1259+"n/&gt;!0Rr"</f>
        <v>#VALUE!</v>
      </c>
      <c r="Q294" t="e">
        <f>Europe!I1259+"n/&gt;!0Rs"</f>
        <v>#VALUE!</v>
      </c>
      <c r="R294" t="e">
        <f>Europe!A1260+"n/&gt;!0Rt"</f>
        <v>#VALUE!</v>
      </c>
      <c r="S294" t="e">
        <f>Europe!B1260+"n/&gt;!0Ru"</f>
        <v>#VALUE!</v>
      </c>
      <c r="T294" t="e">
        <f>Europe!C1260+"n/&gt;!0Rv"</f>
        <v>#VALUE!</v>
      </c>
      <c r="U294" t="e">
        <f>Europe!D1260+"n/&gt;!0Rw"</f>
        <v>#VALUE!</v>
      </c>
      <c r="V294" t="e">
        <f>Europe!E1260+"n/&gt;!0Rx"</f>
        <v>#VALUE!</v>
      </c>
      <c r="W294" t="e">
        <f>Europe!F1260+"n/&gt;!0Ry"</f>
        <v>#VALUE!</v>
      </c>
      <c r="X294" t="e">
        <f>Europe!G1260+"n/&gt;!0Rz"</f>
        <v>#VALUE!</v>
      </c>
      <c r="Y294" t="e">
        <f>Europe!H1260+"n/&gt;!0R{"</f>
        <v>#VALUE!</v>
      </c>
      <c r="Z294" t="e">
        <f>Europe!I1260+"n/&gt;!0R|"</f>
        <v>#VALUE!</v>
      </c>
      <c r="AA294" t="e">
        <f>Europe!A1261+"n/&gt;!0R}"</f>
        <v>#VALUE!</v>
      </c>
      <c r="AB294" t="e">
        <f>Europe!B1261+"n/&gt;!0R~"</f>
        <v>#VALUE!</v>
      </c>
      <c r="AC294" t="e">
        <f>Europe!C1261+"n/&gt;!0S#"</f>
        <v>#VALUE!</v>
      </c>
      <c r="AD294" t="e">
        <f>Europe!D1261+"n/&gt;!0S$"</f>
        <v>#VALUE!</v>
      </c>
      <c r="AE294" t="e">
        <f>Europe!E1261+"n/&gt;!0S%"</f>
        <v>#VALUE!</v>
      </c>
      <c r="AF294" t="e">
        <f>Europe!F1261+"n/&gt;!0S&amp;"</f>
        <v>#VALUE!</v>
      </c>
      <c r="AG294" t="e">
        <f>Europe!G1261+"n/&gt;!0S'"</f>
        <v>#VALUE!</v>
      </c>
      <c r="AH294" t="e">
        <f>Europe!H1261+"n/&gt;!0S("</f>
        <v>#VALUE!</v>
      </c>
      <c r="AI294" t="e">
        <f>Europe!I1261+"n/&gt;!0S)"</f>
        <v>#VALUE!</v>
      </c>
      <c r="AJ294" t="e">
        <f>Europe!A1262+"n/&gt;!0S."</f>
        <v>#VALUE!</v>
      </c>
      <c r="AK294" t="e">
        <f>Europe!B1262+"n/&gt;!0S/"</f>
        <v>#VALUE!</v>
      </c>
      <c r="AL294" t="e">
        <f>Europe!C1262+"n/&gt;!0S0"</f>
        <v>#VALUE!</v>
      </c>
      <c r="AM294" t="e">
        <f>Europe!D1262+"n/&gt;!0S1"</f>
        <v>#VALUE!</v>
      </c>
      <c r="AN294" t="e">
        <f>Europe!E1262+"n/&gt;!0S2"</f>
        <v>#VALUE!</v>
      </c>
      <c r="AO294" t="e">
        <f>Europe!F1262+"n/&gt;!0S3"</f>
        <v>#VALUE!</v>
      </c>
      <c r="AP294" t="e">
        <f>Europe!G1262+"n/&gt;!0S4"</f>
        <v>#VALUE!</v>
      </c>
      <c r="AQ294" t="e">
        <f>Europe!H1262+"n/&gt;!0S5"</f>
        <v>#VALUE!</v>
      </c>
      <c r="AR294" t="e">
        <f>Europe!I1262+"n/&gt;!0S6"</f>
        <v>#VALUE!</v>
      </c>
      <c r="AS294" t="e">
        <f>Europe!A1263+"n/&gt;!0S7"</f>
        <v>#VALUE!</v>
      </c>
      <c r="AT294" t="e">
        <f>Europe!B1263+"n/&gt;!0S8"</f>
        <v>#VALUE!</v>
      </c>
      <c r="AU294" t="e">
        <f>Europe!C1263+"n/&gt;!0S9"</f>
        <v>#VALUE!</v>
      </c>
      <c r="AV294" t="e">
        <f>Europe!D1263+"n/&gt;!0S:"</f>
        <v>#VALUE!</v>
      </c>
      <c r="AW294" t="e">
        <f>Europe!E1263+"n/&gt;!0S;"</f>
        <v>#VALUE!</v>
      </c>
      <c r="AX294" t="e">
        <f>Europe!F1263+"n/&gt;!0S&lt;"</f>
        <v>#VALUE!</v>
      </c>
      <c r="AY294" t="e">
        <f>Europe!G1263+"n/&gt;!0S="</f>
        <v>#VALUE!</v>
      </c>
      <c r="AZ294" t="e">
        <f>Europe!H1263+"n/&gt;!0S&gt;"</f>
        <v>#VALUE!</v>
      </c>
      <c r="BA294" t="e">
        <f>Europe!I1263+"n/&gt;!0S?"</f>
        <v>#VALUE!</v>
      </c>
      <c r="BB294" t="e">
        <f>Europe!A1264+"n/&gt;!0S@"</f>
        <v>#VALUE!</v>
      </c>
      <c r="BC294" t="e">
        <f>Europe!B1264+"n/&gt;!0SA"</f>
        <v>#VALUE!</v>
      </c>
      <c r="BD294" t="e">
        <f>Europe!C1264+"n/&gt;!0SB"</f>
        <v>#VALUE!</v>
      </c>
      <c r="BE294" t="e">
        <f>Europe!D1264+"n/&gt;!0SC"</f>
        <v>#VALUE!</v>
      </c>
      <c r="BF294" t="e">
        <f>Europe!E1264+"n/&gt;!0SD"</f>
        <v>#VALUE!</v>
      </c>
      <c r="BG294" t="e">
        <f>Europe!F1264+"n/&gt;!0SE"</f>
        <v>#VALUE!</v>
      </c>
      <c r="BH294" t="e">
        <f>Europe!G1264+"n/&gt;!0SF"</f>
        <v>#VALUE!</v>
      </c>
      <c r="BI294" t="e">
        <f>Europe!H1264+"n/&gt;!0SG"</f>
        <v>#VALUE!</v>
      </c>
      <c r="BJ294" t="e">
        <f>Europe!I1264+"n/&gt;!0SH"</f>
        <v>#VALUE!</v>
      </c>
      <c r="BK294" t="e">
        <f>Europe!A1265+"n/&gt;!0SI"</f>
        <v>#VALUE!</v>
      </c>
      <c r="BL294" t="e">
        <f>Europe!B1265+"n/&gt;!0SJ"</f>
        <v>#VALUE!</v>
      </c>
      <c r="BM294" t="e">
        <f>Europe!C1265+"n/&gt;!0SK"</f>
        <v>#VALUE!</v>
      </c>
      <c r="BN294" t="e">
        <f>Europe!D1265+"n/&gt;!0SL"</f>
        <v>#VALUE!</v>
      </c>
      <c r="BO294" t="e">
        <f>Europe!E1265+"n/&gt;!0SM"</f>
        <v>#VALUE!</v>
      </c>
      <c r="BP294" t="e">
        <f>Europe!F1265+"n/&gt;!0SN"</f>
        <v>#VALUE!</v>
      </c>
      <c r="BQ294" t="e">
        <f>Europe!G1265+"n/&gt;!0SO"</f>
        <v>#VALUE!</v>
      </c>
      <c r="BR294" t="e">
        <f>Europe!H1265+"n/&gt;!0SP"</f>
        <v>#VALUE!</v>
      </c>
      <c r="BS294" t="e">
        <f>Europe!I1265+"n/&gt;!0SQ"</f>
        <v>#VALUE!</v>
      </c>
      <c r="BT294" t="e">
        <f>Europe!A1266+"n/&gt;!0SR"</f>
        <v>#VALUE!</v>
      </c>
      <c r="BU294" t="e">
        <f>Europe!B1266+"n/&gt;!0SS"</f>
        <v>#VALUE!</v>
      </c>
      <c r="BV294" t="e">
        <f>Europe!C1266+"n/&gt;!0ST"</f>
        <v>#VALUE!</v>
      </c>
      <c r="BW294" t="e">
        <f>Europe!D1266+"n/&gt;!0SU"</f>
        <v>#VALUE!</v>
      </c>
      <c r="BX294" t="e">
        <f>Europe!E1266+"n/&gt;!0SV"</f>
        <v>#VALUE!</v>
      </c>
      <c r="BY294" t="e">
        <f>Europe!F1266+"n/&gt;!0SW"</f>
        <v>#VALUE!</v>
      </c>
      <c r="BZ294" t="e">
        <f>Europe!G1266+"n/&gt;!0SX"</f>
        <v>#VALUE!</v>
      </c>
      <c r="CA294" t="e">
        <f>Europe!H1266+"n/&gt;!0SY"</f>
        <v>#VALUE!</v>
      </c>
      <c r="CB294" t="e">
        <f>Europe!I1266+"n/&gt;!0SZ"</f>
        <v>#VALUE!</v>
      </c>
      <c r="CC294" t="e">
        <f>Europe!A1267+"n/&gt;!0S["</f>
        <v>#VALUE!</v>
      </c>
      <c r="CD294" t="e">
        <f>Europe!B1267+"n/&gt;!0S\"</f>
        <v>#VALUE!</v>
      </c>
      <c r="CE294" t="e">
        <f>Europe!C1267+"n/&gt;!0S]"</f>
        <v>#VALUE!</v>
      </c>
      <c r="CF294" t="e">
        <f>Europe!D1267+"n/&gt;!0S^"</f>
        <v>#VALUE!</v>
      </c>
      <c r="CG294" t="e">
        <f>Europe!E1267+"n/&gt;!0S_"</f>
        <v>#VALUE!</v>
      </c>
      <c r="CH294" t="e">
        <f>Europe!F1267+"n/&gt;!0S`"</f>
        <v>#VALUE!</v>
      </c>
      <c r="CI294" t="e">
        <f>Europe!G1267+"n/&gt;!0Sa"</f>
        <v>#VALUE!</v>
      </c>
      <c r="CJ294" t="e">
        <f>Europe!H1267+"n/&gt;!0Sb"</f>
        <v>#VALUE!</v>
      </c>
      <c r="CK294" t="e">
        <f>Europe!I1267+"n/&gt;!0Sc"</f>
        <v>#VALUE!</v>
      </c>
      <c r="CL294" t="e">
        <f>Europe!A1268+"n/&gt;!0Sd"</f>
        <v>#VALUE!</v>
      </c>
      <c r="CM294" t="e">
        <f>Europe!B1268+"n/&gt;!0Se"</f>
        <v>#VALUE!</v>
      </c>
      <c r="CN294" t="e">
        <f>Europe!C1268+"n/&gt;!0Sf"</f>
        <v>#VALUE!</v>
      </c>
      <c r="CO294" t="e">
        <f>Europe!D1268+"n/&gt;!0Sg"</f>
        <v>#VALUE!</v>
      </c>
      <c r="CP294" t="e">
        <f>Europe!E1268+"n/&gt;!0Sh"</f>
        <v>#VALUE!</v>
      </c>
      <c r="CQ294" t="e">
        <f>Europe!F1268+"n/&gt;!0Si"</f>
        <v>#VALUE!</v>
      </c>
      <c r="CR294" t="e">
        <f>Europe!G1268+"n/&gt;!0Sj"</f>
        <v>#VALUE!</v>
      </c>
      <c r="CS294" t="e">
        <f>Europe!H1268+"n/&gt;!0Sk"</f>
        <v>#VALUE!</v>
      </c>
      <c r="CT294" t="e">
        <f>Europe!I1268+"n/&gt;!0Sl"</f>
        <v>#VALUE!</v>
      </c>
      <c r="CU294" t="e">
        <f>Europe!A1269+"n/&gt;!0Sm"</f>
        <v>#VALUE!</v>
      </c>
      <c r="CV294" t="e">
        <f>Europe!B1269+"n/&gt;!0Sn"</f>
        <v>#VALUE!</v>
      </c>
      <c r="CW294" t="e">
        <f>Europe!C1269+"n/&gt;!0So"</f>
        <v>#VALUE!</v>
      </c>
      <c r="CX294" t="e">
        <f>Europe!D1269+"n/&gt;!0Sp"</f>
        <v>#VALUE!</v>
      </c>
      <c r="CY294" t="e">
        <f>Europe!E1269+"n/&gt;!0Sq"</f>
        <v>#VALUE!</v>
      </c>
      <c r="CZ294" t="e">
        <f>Europe!F1269+"n/&gt;!0Sr"</f>
        <v>#VALUE!</v>
      </c>
      <c r="DA294" t="e">
        <f>Europe!G1269+"n/&gt;!0Ss"</f>
        <v>#VALUE!</v>
      </c>
      <c r="DB294" t="e">
        <f>Europe!H1269+"n/&gt;!0St"</f>
        <v>#VALUE!</v>
      </c>
      <c r="DC294" t="e">
        <f>Europe!I1269+"n/&gt;!0Su"</f>
        <v>#VALUE!</v>
      </c>
      <c r="DD294" t="e">
        <f>Europe!A1270+"n/&gt;!0Sv"</f>
        <v>#VALUE!</v>
      </c>
      <c r="DE294" t="e">
        <f>Europe!B1270+"n/&gt;!0Sw"</f>
        <v>#VALUE!</v>
      </c>
      <c r="DF294" t="e">
        <f>Europe!C1270+"n/&gt;!0Sx"</f>
        <v>#VALUE!</v>
      </c>
      <c r="DG294" t="e">
        <f>Europe!D1270+"n/&gt;!0Sy"</f>
        <v>#VALUE!</v>
      </c>
      <c r="DH294" t="e">
        <f>Europe!E1270+"n/&gt;!0Sz"</f>
        <v>#VALUE!</v>
      </c>
      <c r="DI294" t="e">
        <f>Europe!F1270+"n/&gt;!0S{"</f>
        <v>#VALUE!</v>
      </c>
      <c r="DJ294" t="e">
        <f>Europe!G1270+"n/&gt;!0S|"</f>
        <v>#VALUE!</v>
      </c>
      <c r="DK294" t="e">
        <f>Europe!H1270+"n/&gt;!0S}"</f>
        <v>#VALUE!</v>
      </c>
      <c r="DL294" t="e">
        <f>Europe!I1270+"n/&gt;!0S~"</f>
        <v>#VALUE!</v>
      </c>
      <c r="DM294" t="e">
        <f>Europe!A1271+"n/&gt;!0T#"</f>
        <v>#VALUE!</v>
      </c>
      <c r="DN294" t="e">
        <f>Europe!B1271+"n/&gt;!0T$"</f>
        <v>#VALUE!</v>
      </c>
      <c r="DO294" t="e">
        <f>Europe!C1271+"n/&gt;!0T%"</f>
        <v>#VALUE!</v>
      </c>
      <c r="DP294" t="e">
        <f>Europe!D1271+"n/&gt;!0T&amp;"</f>
        <v>#VALUE!</v>
      </c>
      <c r="DQ294" t="e">
        <f>Europe!E1271+"n/&gt;!0T'"</f>
        <v>#VALUE!</v>
      </c>
      <c r="DR294" t="e">
        <f>Europe!F1271+"n/&gt;!0T("</f>
        <v>#VALUE!</v>
      </c>
      <c r="DS294" t="e">
        <f>Europe!G1271+"n/&gt;!0T)"</f>
        <v>#VALUE!</v>
      </c>
      <c r="DT294" t="e">
        <f>Europe!H1271+"n/&gt;!0T."</f>
        <v>#VALUE!</v>
      </c>
      <c r="DU294" t="e">
        <f>Europe!I1271+"n/&gt;!0T/"</f>
        <v>#VALUE!</v>
      </c>
      <c r="DV294" t="e">
        <f>Europe!A1272+"n/&gt;!0T0"</f>
        <v>#VALUE!</v>
      </c>
      <c r="DW294" t="e">
        <f>Europe!B1272+"n/&gt;!0T1"</f>
        <v>#VALUE!</v>
      </c>
      <c r="DX294" t="e">
        <f>Europe!C1272+"n/&gt;!0T2"</f>
        <v>#VALUE!</v>
      </c>
      <c r="DY294" t="e">
        <f>Europe!D1272+"n/&gt;!0T3"</f>
        <v>#VALUE!</v>
      </c>
      <c r="DZ294" t="e">
        <f>Europe!E1272+"n/&gt;!0T4"</f>
        <v>#VALUE!</v>
      </c>
      <c r="EA294" t="e">
        <f>Europe!F1272+"n/&gt;!0T5"</f>
        <v>#VALUE!</v>
      </c>
      <c r="EB294" t="e">
        <f>Europe!G1272+"n/&gt;!0T6"</f>
        <v>#VALUE!</v>
      </c>
      <c r="EC294" t="e">
        <f>Europe!H1272+"n/&gt;!0T7"</f>
        <v>#VALUE!</v>
      </c>
      <c r="ED294" t="e">
        <f>Europe!I1272+"n/&gt;!0T8"</f>
        <v>#VALUE!</v>
      </c>
      <c r="EE294" t="e">
        <f>Europe!A1273+"n/&gt;!0T9"</f>
        <v>#VALUE!</v>
      </c>
      <c r="EF294" t="e">
        <f>Europe!B1273+"n/&gt;!0T:"</f>
        <v>#VALUE!</v>
      </c>
      <c r="EG294" t="e">
        <f>Europe!C1273+"n/&gt;!0T;"</f>
        <v>#VALUE!</v>
      </c>
      <c r="EH294" t="e">
        <f>Europe!D1273+"n/&gt;!0T&lt;"</f>
        <v>#VALUE!</v>
      </c>
      <c r="EI294" t="e">
        <f>Europe!E1273+"n/&gt;!0T="</f>
        <v>#VALUE!</v>
      </c>
      <c r="EJ294" t="e">
        <f>Europe!F1273+"n/&gt;!0T&gt;"</f>
        <v>#VALUE!</v>
      </c>
      <c r="EK294" t="e">
        <f>Europe!G1273+"n/&gt;!0T?"</f>
        <v>#VALUE!</v>
      </c>
      <c r="EL294" t="e">
        <f>Europe!H1273+"n/&gt;!0T@"</f>
        <v>#VALUE!</v>
      </c>
      <c r="EM294" t="e">
        <f>Europe!I1273+"n/&gt;!0TA"</f>
        <v>#VALUE!</v>
      </c>
      <c r="EN294" t="e">
        <f>Europe!A1274+"n/&gt;!0TB"</f>
        <v>#VALUE!</v>
      </c>
      <c r="EO294" t="e">
        <f>Europe!B1274+"n/&gt;!0TC"</f>
        <v>#VALUE!</v>
      </c>
      <c r="EP294" t="e">
        <f>Europe!C1274+"n/&gt;!0TD"</f>
        <v>#VALUE!</v>
      </c>
      <c r="EQ294" t="e">
        <f>Europe!D1274+"n/&gt;!0TE"</f>
        <v>#VALUE!</v>
      </c>
      <c r="ER294" t="e">
        <f>Europe!E1274+"n/&gt;!0TF"</f>
        <v>#VALUE!</v>
      </c>
      <c r="ES294" t="e">
        <f>Europe!F1274+"n/&gt;!0TG"</f>
        <v>#VALUE!</v>
      </c>
      <c r="ET294" t="e">
        <f>Europe!G1274+"n/&gt;!0TH"</f>
        <v>#VALUE!</v>
      </c>
      <c r="EU294" t="e">
        <f>Europe!H1274+"n/&gt;!0TI"</f>
        <v>#VALUE!</v>
      </c>
      <c r="EV294" t="e">
        <f>Europe!I1274+"n/&gt;!0TJ"</f>
        <v>#VALUE!</v>
      </c>
      <c r="EW294" t="e">
        <f>Europe!A1275+"n/&gt;!0TK"</f>
        <v>#VALUE!</v>
      </c>
      <c r="EX294" t="e">
        <f>Europe!B1275+"n/&gt;!0TL"</f>
        <v>#VALUE!</v>
      </c>
      <c r="EY294" t="e">
        <f>Europe!C1275+"n/&gt;!0TM"</f>
        <v>#VALUE!</v>
      </c>
      <c r="EZ294" t="e">
        <f>Europe!D1275+"n/&gt;!0TN"</f>
        <v>#VALUE!</v>
      </c>
      <c r="FA294" t="e">
        <f>Europe!E1275+"n/&gt;!0TO"</f>
        <v>#VALUE!</v>
      </c>
      <c r="FB294" t="e">
        <f>Europe!F1275+"n/&gt;!0TP"</f>
        <v>#VALUE!</v>
      </c>
      <c r="FC294" t="e">
        <f>Europe!G1275+"n/&gt;!0TQ"</f>
        <v>#VALUE!</v>
      </c>
      <c r="FD294" t="e">
        <f>Europe!H1275+"n/&gt;!0TR"</f>
        <v>#VALUE!</v>
      </c>
      <c r="FE294" t="e">
        <f>Europe!I1275+"n/&gt;!0TS"</f>
        <v>#VALUE!</v>
      </c>
      <c r="FF294" t="e">
        <f>Europe!A1276+"n/&gt;!0TT"</f>
        <v>#VALUE!</v>
      </c>
      <c r="FG294" t="e">
        <f>Europe!B1276+"n/&gt;!0TU"</f>
        <v>#VALUE!</v>
      </c>
      <c r="FH294" t="e">
        <f>Europe!C1276+"n/&gt;!0TV"</f>
        <v>#VALUE!</v>
      </c>
      <c r="FI294" t="e">
        <f>Europe!D1276+"n/&gt;!0TW"</f>
        <v>#VALUE!</v>
      </c>
      <c r="FJ294" t="e">
        <f>Europe!E1276+"n/&gt;!0TX"</f>
        <v>#VALUE!</v>
      </c>
      <c r="FK294" t="e">
        <f>Europe!F1276+"n/&gt;!0TY"</f>
        <v>#VALUE!</v>
      </c>
      <c r="FL294" t="e">
        <f>Europe!G1276+"n/&gt;!0TZ"</f>
        <v>#VALUE!</v>
      </c>
      <c r="FM294" t="e">
        <f>Europe!H1276+"n/&gt;!0T["</f>
        <v>#VALUE!</v>
      </c>
      <c r="FN294" t="e">
        <f>Europe!I1276+"n/&gt;!0T\"</f>
        <v>#VALUE!</v>
      </c>
      <c r="FO294" t="e">
        <f>Europe!A1277+"n/&gt;!0T]"</f>
        <v>#VALUE!</v>
      </c>
      <c r="FP294" t="e">
        <f>Europe!B1277+"n/&gt;!0T^"</f>
        <v>#VALUE!</v>
      </c>
      <c r="FQ294" t="e">
        <f>Europe!C1277+"n/&gt;!0T_"</f>
        <v>#VALUE!</v>
      </c>
      <c r="FR294" t="e">
        <f>Europe!D1277+"n/&gt;!0T`"</f>
        <v>#VALUE!</v>
      </c>
      <c r="FS294" t="e">
        <f>Europe!E1277+"n/&gt;!0Ta"</f>
        <v>#VALUE!</v>
      </c>
      <c r="FT294" t="e">
        <f>Europe!F1277+"n/&gt;!0Tb"</f>
        <v>#VALUE!</v>
      </c>
      <c r="FU294" t="e">
        <f>Europe!G1277+"n/&gt;!0Tc"</f>
        <v>#VALUE!</v>
      </c>
      <c r="FV294" t="e">
        <f>Europe!H1277+"n/&gt;!0Td"</f>
        <v>#VALUE!</v>
      </c>
      <c r="FW294" t="e">
        <f>Europe!I1277+"n/&gt;!0Te"</f>
        <v>#VALUE!</v>
      </c>
      <c r="FX294" t="e">
        <f>Europe!A1278+"n/&gt;!0Tf"</f>
        <v>#VALUE!</v>
      </c>
      <c r="FY294" t="e">
        <f>Europe!B1278+"n/&gt;!0Tg"</f>
        <v>#VALUE!</v>
      </c>
      <c r="FZ294" t="e">
        <f>Europe!C1278+"n/&gt;!0Th"</f>
        <v>#VALUE!</v>
      </c>
      <c r="GA294" t="e">
        <f>Europe!D1278+"n/&gt;!0Ti"</f>
        <v>#VALUE!</v>
      </c>
      <c r="GB294" t="e">
        <f>Europe!E1278+"n/&gt;!0Tj"</f>
        <v>#VALUE!</v>
      </c>
      <c r="GC294" t="e">
        <f>Europe!F1278+"n/&gt;!0Tk"</f>
        <v>#VALUE!</v>
      </c>
      <c r="GD294" t="e">
        <f>Europe!G1278+"n/&gt;!0Tl"</f>
        <v>#VALUE!</v>
      </c>
      <c r="GE294" t="e">
        <f>Europe!H1278+"n/&gt;!0Tm"</f>
        <v>#VALUE!</v>
      </c>
      <c r="GF294" t="e">
        <f>Europe!I1278+"n/&gt;!0Tn"</f>
        <v>#VALUE!</v>
      </c>
      <c r="GG294" t="e">
        <f>Europe!A1279+"n/&gt;!0To"</f>
        <v>#VALUE!</v>
      </c>
      <c r="GH294" t="e">
        <f>Europe!B1279+"n/&gt;!0Tp"</f>
        <v>#VALUE!</v>
      </c>
      <c r="GI294" t="e">
        <f>Europe!C1279+"n/&gt;!0Tq"</f>
        <v>#VALUE!</v>
      </c>
      <c r="GJ294" t="e">
        <f>Europe!D1279+"n/&gt;!0Tr"</f>
        <v>#VALUE!</v>
      </c>
      <c r="GK294" t="e">
        <f>Europe!E1279+"n/&gt;!0Ts"</f>
        <v>#VALUE!</v>
      </c>
      <c r="GL294" t="e">
        <f>Europe!F1279+"n/&gt;!0Tt"</f>
        <v>#VALUE!</v>
      </c>
      <c r="GM294" t="e">
        <f>Europe!G1279+"n/&gt;!0Tu"</f>
        <v>#VALUE!</v>
      </c>
      <c r="GN294" t="e">
        <f>Europe!H1279+"n/&gt;!0Tv"</f>
        <v>#VALUE!</v>
      </c>
      <c r="GO294" t="e">
        <f>Europe!I1279+"n/&gt;!0Tw"</f>
        <v>#VALUE!</v>
      </c>
      <c r="GP294" t="e">
        <f>Europe!A1280+"n/&gt;!0Tx"</f>
        <v>#VALUE!</v>
      </c>
      <c r="GQ294" t="e">
        <f>Europe!B1280+"n/&gt;!0Ty"</f>
        <v>#VALUE!</v>
      </c>
      <c r="GR294" t="e">
        <f>Europe!C1280+"n/&gt;!0Tz"</f>
        <v>#VALUE!</v>
      </c>
      <c r="GS294" t="e">
        <f>Europe!D1280+"n/&gt;!0T{"</f>
        <v>#VALUE!</v>
      </c>
      <c r="GT294" t="e">
        <f>Europe!E1280+"n/&gt;!0T|"</f>
        <v>#VALUE!</v>
      </c>
      <c r="GU294" t="e">
        <f>Europe!F1280+"n/&gt;!0T}"</f>
        <v>#VALUE!</v>
      </c>
      <c r="GV294" t="e">
        <f>Europe!G1280+"n/&gt;!0T~"</f>
        <v>#VALUE!</v>
      </c>
      <c r="GW294" t="e">
        <f>Europe!H1280+"n/&gt;!0U#"</f>
        <v>#VALUE!</v>
      </c>
      <c r="GX294" t="e">
        <f>Europe!I1280+"n/&gt;!0U$"</f>
        <v>#VALUE!</v>
      </c>
      <c r="GY294" t="e">
        <f>Europe!A1281+"n/&gt;!0U%"</f>
        <v>#VALUE!</v>
      </c>
      <c r="GZ294" t="e">
        <f>Europe!B1281+"n/&gt;!0U&amp;"</f>
        <v>#VALUE!</v>
      </c>
      <c r="HA294" t="e">
        <f>Europe!C1281+"n/&gt;!0U'"</f>
        <v>#VALUE!</v>
      </c>
      <c r="HB294" t="e">
        <f>Europe!D1281+"n/&gt;!0U("</f>
        <v>#VALUE!</v>
      </c>
      <c r="HC294" t="e">
        <f>Europe!E1281+"n/&gt;!0U)"</f>
        <v>#VALUE!</v>
      </c>
      <c r="HD294" t="e">
        <f>Europe!F1281+"n/&gt;!0U."</f>
        <v>#VALUE!</v>
      </c>
      <c r="HE294" t="e">
        <f>Europe!G1281+"n/&gt;!0U/"</f>
        <v>#VALUE!</v>
      </c>
      <c r="HF294" t="e">
        <f>Europe!H1281+"n/&gt;!0U0"</f>
        <v>#VALUE!</v>
      </c>
      <c r="HG294" t="e">
        <f>Europe!I1281+"n/&gt;!0U1"</f>
        <v>#VALUE!</v>
      </c>
      <c r="HH294" t="e">
        <f>Europe!A1282+"n/&gt;!0U2"</f>
        <v>#VALUE!</v>
      </c>
      <c r="HI294" t="e">
        <f>Europe!B1282+"n/&gt;!0U3"</f>
        <v>#VALUE!</v>
      </c>
      <c r="HJ294" t="e">
        <f>Europe!C1282+"n/&gt;!0U4"</f>
        <v>#VALUE!</v>
      </c>
      <c r="HK294" t="e">
        <f>Europe!D1282+"n/&gt;!0U5"</f>
        <v>#VALUE!</v>
      </c>
      <c r="HL294" t="e">
        <f>Europe!E1282+"n/&gt;!0U6"</f>
        <v>#VALUE!</v>
      </c>
      <c r="HM294" t="e">
        <f>Europe!F1282+"n/&gt;!0U7"</f>
        <v>#VALUE!</v>
      </c>
      <c r="HN294" t="e">
        <f>Europe!G1282+"n/&gt;!0U8"</f>
        <v>#VALUE!</v>
      </c>
      <c r="HO294" t="e">
        <f>Europe!H1282+"n/&gt;!0U9"</f>
        <v>#VALUE!</v>
      </c>
      <c r="HP294" t="e">
        <f>Europe!I1282+"n/&gt;!0U:"</f>
        <v>#VALUE!</v>
      </c>
      <c r="HQ294" t="e">
        <f>Europe!A1283+"n/&gt;!0U;"</f>
        <v>#VALUE!</v>
      </c>
      <c r="HR294" t="e">
        <f>Europe!B1283+"n/&gt;!0U&lt;"</f>
        <v>#VALUE!</v>
      </c>
      <c r="HS294" t="e">
        <f>Europe!C1283+"n/&gt;!0U="</f>
        <v>#VALUE!</v>
      </c>
      <c r="HT294" t="e">
        <f>Europe!D1283+"n/&gt;!0U&gt;"</f>
        <v>#VALUE!</v>
      </c>
      <c r="HU294" t="e">
        <f>Europe!E1283+"n/&gt;!0U?"</f>
        <v>#VALUE!</v>
      </c>
      <c r="HV294" t="e">
        <f>Europe!F1283+"n/&gt;!0U@"</f>
        <v>#VALUE!</v>
      </c>
      <c r="HW294" t="e">
        <f>Europe!G1283+"n/&gt;!0UA"</f>
        <v>#VALUE!</v>
      </c>
      <c r="HX294" t="e">
        <f>Europe!H1283+"n/&gt;!0UB"</f>
        <v>#VALUE!</v>
      </c>
      <c r="HY294" t="e">
        <f>Europe!I1283+"n/&gt;!0UC"</f>
        <v>#VALUE!</v>
      </c>
      <c r="HZ294" t="e">
        <f>Europe!A1284+"n/&gt;!0UD"</f>
        <v>#VALUE!</v>
      </c>
      <c r="IA294" t="e">
        <f>Europe!B1284+"n/&gt;!0UE"</f>
        <v>#VALUE!</v>
      </c>
      <c r="IB294" t="e">
        <f>Europe!C1284+"n/&gt;!0UF"</f>
        <v>#VALUE!</v>
      </c>
      <c r="IC294" t="e">
        <f>Europe!D1284+"n/&gt;!0UG"</f>
        <v>#VALUE!</v>
      </c>
      <c r="ID294" t="e">
        <f>Europe!E1284+"n/&gt;!0UH"</f>
        <v>#VALUE!</v>
      </c>
      <c r="IE294" t="e">
        <f>Europe!F1284+"n/&gt;!0UI"</f>
        <v>#VALUE!</v>
      </c>
      <c r="IF294" t="e">
        <f>Europe!G1284+"n/&gt;!0UJ"</f>
        <v>#VALUE!</v>
      </c>
      <c r="IG294" t="e">
        <f>Europe!H1284+"n/&gt;!0UK"</f>
        <v>#VALUE!</v>
      </c>
      <c r="IH294" t="e">
        <f>Europe!I1284+"n/&gt;!0UL"</f>
        <v>#VALUE!</v>
      </c>
      <c r="II294" t="e">
        <f>Europe!A1285+"n/&gt;!0UM"</f>
        <v>#VALUE!</v>
      </c>
      <c r="IJ294" t="e">
        <f>Europe!B1285+"n/&gt;!0UN"</f>
        <v>#VALUE!</v>
      </c>
      <c r="IK294" t="e">
        <f>Europe!C1285+"n/&gt;!0UO"</f>
        <v>#VALUE!</v>
      </c>
      <c r="IL294" t="e">
        <f>Europe!D1285+"n/&gt;!0UP"</f>
        <v>#VALUE!</v>
      </c>
      <c r="IM294" t="e">
        <f>Europe!E1285+"n/&gt;!0UQ"</f>
        <v>#VALUE!</v>
      </c>
      <c r="IN294" t="e">
        <f>Europe!F1285+"n/&gt;!0UR"</f>
        <v>#VALUE!</v>
      </c>
      <c r="IO294" t="e">
        <f>Europe!G1285+"n/&gt;!0US"</f>
        <v>#VALUE!</v>
      </c>
      <c r="IP294" t="e">
        <f>Europe!H1285+"n/&gt;!0UT"</f>
        <v>#VALUE!</v>
      </c>
      <c r="IQ294" t="e">
        <f>Europe!I1285+"n/&gt;!0UU"</f>
        <v>#VALUE!</v>
      </c>
      <c r="IR294" t="e">
        <f>Europe!A1286+"n/&gt;!0UV"</f>
        <v>#VALUE!</v>
      </c>
      <c r="IS294" t="e">
        <f>Europe!B1286+"n/&gt;!0UW"</f>
        <v>#VALUE!</v>
      </c>
      <c r="IT294" t="e">
        <f>Europe!C1286+"n/&gt;!0UX"</f>
        <v>#VALUE!</v>
      </c>
      <c r="IU294" t="e">
        <f>Europe!D1286+"n/&gt;!0UY"</f>
        <v>#VALUE!</v>
      </c>
      <c r="IV294" t="e">
        <f>Europe!E1286+"n/&gt;!0UZ"</f>
        <v>#VALUE!</v>
      </c>
    </row>
    <row r="295" spans="6:256" x14ac:dyDescent="0.35">
      <c r="F295" t="e">
        <f>Europe!F1286+"n/&gt;!0U["</f>
        <v>#VALUE!</v>
      </c>
      <c r="G295" t="e">
        <f>Europe!G1286+"n/&gt;!0U\"</f>
        <v>#VALUE!</v>
      </c>
      <c r="H295" t="e">
        <f>Europe!H1286+"n/&gt;!0U]"</f>
        <v>#VALUE!</v>
      </c>
      <c r="I295" t="e">
        <f>Europe!I1286+"n/&gt;!0U^"</f>
        <v>#VALUE!</v>
      </c>
      <c r="J295" t="e">
        <f>Europe!A1287+"n/&gt;!0U_"</f>
        <v>#VALUE!</v>
      </c>
      <c r="K295" t="e">
        <f>Europe!B1287+"n/&gt;!0U`"</f>
        <v>#VALUE!</v>
      </c>
      <c r="L295" t="e">
        <f>Europe!C1287+"n/&gt;!0Ua"</f>
        <v>#VALUE!</v>
      </c>
      <c r="M295" t="e">
        <f>Europe!D1287+"n/&gt;!0Ub"</f>
        <v>#VALUE!</v>
      </c>
      <c r="N295" t="e">
        <f>Europe!E1287+"n/&gt;!0Uc"</f>
        <v>#VALUE!</v>
      </c>
      <c r="O295" t="e">
        <f>Europe!F1287+"n/&gt;!0Ud"</f>
        <v>#VALUE!</v>
      </c>
      <c r="P295" t="e">
        <f>Europe!G1287+"n/&gt;!0Ue"</f>
        <v>#VALUE!</v>
      </c>
      <c r="Q295" t="e">
        <f>Europe!H1287+"n/&gt;!0Uf"</f>
        <v>#VALUE!</v>
      </c>
      <c r="R295" t="e">
        <f>Europe!I1287+"n/&gt;!0Ug"</f>
        <v>#VALUE!</v>
      </c>
      <c r="S295" t="e">
        <f>Europe!A1288+"n/&gt;!0Uh"</f>
        <v>#VALUE!</v>
      </c>
      <c r="T295" t="e">
        <f>Europe!B1288+"n/&gt;!0Ui"</f>
        <v>#VALUE!</v>
      </c>
      <c r="U295" t="e">
        <f>Europe!C1288+"n/&gt;!0Uj"</f>
        <v>#VALUE!</v>
      </c>
      <c r="V295" t="e">
        <f>Europe!D1288+"n/&gt;!0Uk"</f>
        <v>#VALUE!</v>
      </c>
      <c r="W295" t="e">
        <f>Europe!E1288+"n/&gt;!0Ul"</f>
        <v>#VALUE!</v>
      </c>
      <c r="X295" t="e">
        <f>Europe!F1288+"n/&gt;!0Um"</f>
        <v>#VALUE!</v>
      </c>
      <c r="Y295" t="e">
        <f>Europe!G1288+"n/&gt;!0Un"</f>
        <v>#VALUE!</v>
      </c>
      <c r="Z295" t="e">
        <f>Europe!H1288+"n/&gt;!0Uo"</f>
        <v>#VALUE!</v>
      </c>
      <c r="AA295" t="e">
        <f>Europe!I1288+"n/&gt;!0Up"</f>
        <v>#VALUE!</v>
      </c>
      <c r="AB295" t="e">
        <f>Europe!A1289+"n/&gt;!0Uq"</f>
        <v>#VALUE!</v>
      </c>
      <c r="AC295" t="e">
        <f>Europe!B1289+"n/&gt;!0Ur"</f>
        <v>#VALUE!</v>
      </c>
      <c r="AD295" t="e">
        <f>Europe!C1289+"n/&gt;!0Us"</f>
        <v>#VALUE!</v>
      </c>
      <c r="AE295" t="e">
        <f>Europe!D1289+"n/&gt;!0Ut"</f>
        <v>#VALUE!</v>
      </c>
      <c r="AF295" t="e">
        <f>Europe!E1289+"n/&gt;!0Uu"</f>
        <v>#VALUE!</v>
      </c>
      <c r="AG295" t="e">
        <f>Europe!F1289+"n/&gt;!0Uv"</f>
        <v>#VALUE!</v>
      </c>
      <c r="AH295" t="e">
        <f>Europe!G1289+"n/&gt;!0Uw"</f>
        <v>#VALUE!</v>
      </c>
      <c r="AI295" t="e">
        <f>Europe!H1289+"n/&gt;!0Ux"</f>
        <v>#VALUE!</v>
      </c>
      <c r="AJ295" t="e">
        <f>Europe!I1289+"n/&gt;!0Uy"</f>
        <v>#VALUE!</v>
      </c>
      <c r="AK295" t="e">
        <f>Europe!A1290+"n/&gt;!0Uz"</f>
        <v>#VALUE!</v>
      </c>
      <c r="AL295" t="e">
        <f>Europe!B1290+"n/&gt;!0U{"</f>
        <v>#VALUE!</v>
      </c>
      <c r="AM295" t="e">
        <f>Europe!C1290+"n/&gt;!0U|"</f>
        <v>#VALUE!</v>
      </c>
      <c r="AN295" t="e">
        <f>Europe!D1290+"n/&gt;!0U}"</f>
        <v>#VALUE!</v>
      </c>
      <c r="AO295" t="e">
        <f>Europe!E1290+"n/&gt;!0U~"</f>
        <v>#VALUE!</v>
      </c>
      <c r="AP295" t="e">
        <f>Europe!F1290+"n/&gt;!0V#"</f>
        <v>#VALUE!</v>
      </c>
      <c r="AQ295" t="e">
        <f>Europe!G1290+"n/&gt;!0V$"</f>
        <v>#VALUE!</v>
      </c>
      <c r="AR295" t="e">
        <f>Europe!H1290+"n/&gt;!0V%"</f>
        <v>#VALUE!</v>
      </c>
      <c r="AS295" t="e">
        <f>Europe!I1290+"n/&gt;!0V&amp;"</f>
        <v>#VALUE!</v>
      </c>
      <c r="AT295" t="e">
        <f>Europe!A1291+"n/&gt;!0V'"</f>
        <v>#VALUE!</v>
      </c>
      <c r="AU295" t="e">
        <f>Europe!B1291+"n/&gt;!0V("</f>
        <v>#VALUE!</v>
      </c>
      <c r="AV295" t="e">
        <f>Europe!C1291+"n/&gt;!0V)"</f>
        <v>#VALUE!</v>
      </c>
      <c r="AW295" t="e">
        <f>Europe!D1291+"n/&gt;!0V."</f>
        <v>#VALUE!</v>
      </c>
      <c r="AX295" t="e">
        <f>Europe!E1291+"n/&gt;!0V/"</f>
        <v>#VALUE!</v>
      </c>
      <c r="AY295" t="e">
        <f>Europe!F1291+"n/&gt;!0V0"</f>
        <v>#VALUE!</v>
      </c>
      <c r="AZ295" t="e">
        <f>Europe!G1291+"n/&gt;!0V1"</f>
        <v>#VALUE!</v>
      </c>
      <c r="BA295" t="e">
        <f>Europe!H1291+"n/&gt;!0V2"</f>
        <v>#VALUE!</v>
      </c>
      <c r="BB295" t="e">
        <f>Europe!I1291+"n/&gt;!0V3"</f>
        <v>#VALUE!</v>
      </c>
      <c r="BC295" t="e">
        <f>Europe!A1292+"n/&gt;!0V4"</f>
        <v>#VALUE!</v>
      </c>
      <c r="BD295" t="e">
        <f>Europe!B1292+"n/&gt;!0V5"</f>
        <v>#VALUE!</v>
      </c>
      <c r="BE295" t="e">
        <f>Europe!C1292+"n/&gt;!0V6"</f>
        <v>#VALUE!</v>
      </c>
      <c r="BF295" t="e">
        <f>Europe!D1292+"n/&gt;!0V7"</f>
        <v>#VALUE!</v>
      </c>
      <c r="BG295" t="e">
        <f>Europe!E1292+"n/&gt;!0V8"</f>
        <v>#VALUE!</v>
      </c>
      <c r="BH295" t="e">
        <f>Europe!F1292+"n/&gt;!0V9"</f>
        <v>#VALUE!</v>
      </c>
      <c r="BI295" t="e">
        <f>Europe!G1292+"n/&gt;!0V:"</f>
        <v>#VALUE!</v>
      </c>
      <c r="BJ295" t="e">
        <f>Europe!H1292+"n/&gt;!0V;"</f>
        <v>#VALUE!</v>
      </c>
      <c r="BK295" t="e">
        <f>Europe!I1292+"n/&gt;!0V&lt;"</f>
        <v>#VALUE!</v>
      </c>
      <c r="BL295" t="e">
        <f>Europe!A1293+"n/&gt;!0V="</f>
        <v>#VALUE!</v>
      </c>
      <c r="BM295" t="e">
        <f>Europe!B1293+"n/&gt;!0V&gt;"</f>
        <v>#VALUE!</v>
      </c>
      <c r="BN295" t="e">
        <f>Europe!C1293+"n/&gt;!0V?"</f>
        <v>#VALUE!</v>
      </c>
      <c r="BO295" t="e">
        <f>Europe!D1293+"n/&gt;!0V@"</f>
        <v>#VALUE!</v>
      </c>
      <c r="BP295" t="e">
        <f>Europe!E1293+"n/&gt;!0VA"</f>
        <v>#VALUE!</v>
      </c>
      <c r="BQ295" t="e">
        <f>Europe!F1293+"n/&gt;!0VB"</f>
        <v>#VALUE!</v>
      </c>
      <c r="BR295" t="e">
        <f>Europe!G1293+"n/&gt;!0VC"</f>
        <v>#VALUE!</v>
      </c>
      <c r="BS295" t="e">
        <f>Europe!H1293+"n/&gt;!0VD"</f>
        <v>#VALUE!</v>
      </c>
      <c r="BT295" t="e">
        <f>Europe!I1293+"n/&gt;!0VE"</f>
        <v>#VALUE!</v>
      </c>
      <c r="BU295" t="e">
        <f>Europe!A1294+"n/&gt;!0VF"</f>
        <v>#VALUE!</v>
      </c>
      <c r="BV295" t="e">
        <f>Europe!B1294+"n/&gt;!0VG"</f>
        <v>#VALUE!</v>
      </c>
      <c r="BW295" t="e">
        <f>Europe!C1294+"n/&gt;!0VH"</f>
        <v>#VALUE!</v>
      </c>
      <c r="BX295" t="e">
        <f>Europe!D1294+"n/&gt;!0VI"</f>
        <v>#VALUE!</v>
      </c>
      <c r="BY295" t="e">
        <f>Europe!E1294+"n/&gt;!0VJ"</f>
        <v>#VALUE!</v>
      </c>
      <c r="BZ295" t="e">
        <f>Europe!F1294+"n/&gt;!0VK"</f>
        <v>#VALUE!</v>
      </c>
      <c r="CA295" t="e">
        <f>Europe!G1294+"n/&gt;!0VL"</f>
        <v>#VALUE!</v>
      </c>
      <c r="CB295" t="e">
        <f>Europe!H1294+"n/&gt;!0VM"</f>
        <v>#VALUE!</v>
      </c>
      <c r="CC295" t="e">
        <f>Europe!I1294+"n/&gt;!0VN"</f>
        <v>#VALUE!</v>
      </c>
      <c r="CD295" t="e">
        <f>Europe!A1295+"n/&gt;!0VO"</f>
        <v>#VALUE!</v>
      </c>
      <c r="CE295" t="e">
        <f>Europe!B1295+"n/&gt;!0VP"</f>
        <v>#VALUE!</v>
      </c>
      <c r="CF295" t="e">
        <f>Europe!C1295+"n/&gt;!0VQ"</f>
        <v>#VALUE!</v>
      </c>
      <c r="CG295" t="e">
        <f>Europe!D1295+"n/&gt;!0VR"</f>
        <v>#VALUE!</v>
      </c>
      <c r="CH295" t="e">
        <f>Europe!E1295+"n/&gt;!0VS"</f>
        <v>#VALUE!</v>
      </c>
      <c r="CI295" t="e">
        <f>Europe!F1295+"n/&gt;!0VT"</f>
        <v>#VALUE!</v>
      </c>
      <c r="CJ295" t="e">
        <f>Europe!G1295+"n/&gt;!0VU"</f>
        <v>#VALUE!</v>
      </c>
      <c r="CK295" t="e">
        <f>Europe!H1295+"n/&gt;!0VV"</f>
        <v>#VALUE!</v>
      </c>
      <c r="CL295" t="e">
        <f>Europe!I1295+"n/&gt;!0VW"</f>
        <v>#VALUE!</v>
      </c>
      <c r="CM295" t="e">
        <f>Europe!A1296+"n/&gt;!0VX"</f>
        <v>#VALUE!</v>
      </c>
      <c r="CN295" t="e">
        <f>Europe!B1296+"n/&gt;!0VY"</f>
        <v>#VALUE!</v>
      </c>
      <c r="CO295" t="e">
        <f>Europe!C1296+"n/&gt;!0VZ"</f>
        <v>#VALUE!</v>
      </c>
      <c r="CP295" t="e">
        <f>Europe!D1296+"n/&gt;!0V["</f>
        <v>#VALUE!</v>
      </c>
      <c r="CQ295" t="e">
        <f>Europe!E1296+"n/&gt;!0V\"</f>
        <v>#VALUE!</v>
      </c>
      <c r="CR295" t="e">
        <f>Europe!F1296+"n/&gt;!0V]"</f>
        <v>#VALUE!</v>
      </c>
      <c r="CS295" t="e">
        <f>Europe!G1296+"n/&gt;!0V^"</f>
        <v>#VALUE!</v>
      </c>
      <c r="CT295" t="e">
        <f>Europe!H1296+"n/&gt;!0V_"</f>
        <v>#VALUE!</v>
      </c>
      <c r="CU295" t="e">
        <f>Europe!I1296+"n/&gt;!0V`"</f>
        <v>#VALUE!</v>
      </c>
      <c r="CV295" t="e">
        <f>Europe!A1297+"n/&gt;!0Va"</f>
        <v>#VALUE!</v>
      </c>
      <c r="CW295" t="e">
        <f>Europe!B1297+"n/&gt;!0Vb"</f>
        <v>#VALUE!</v>
      </c>
      <c r="CX295" t="e">
        <f>Europe!C1297+"n/&gt;!0Vc"</f>
        <v>#VALUE!</v>
      </c>
      <c r="CY295" t="e">
        <f>Europe!D1297+"n/&gt;!0Vd"</f>
        <v>#VALUE!</v>
      </c>
      <c r="CZ295" t="e">
        <f>Europe!E1297+"n/&gt;!0Ve"</f>
        <v>#VALUE!</v>
      </c>
      <c r="DA295" t="e">
        <f>Europe!F1297+"n/&gt;!0Vf"</f>
        <v>#VALUE!</v>
      </c>
      <c r="DB295" t="e">
        <f>Europe!G1297+"n/&gt;!0Vg"</f>
        <v>#VALUE!</v>
      </c>
      <c r="DC295" t="e">
        <f>Europe!H1297+"n/&gt;!0Vh"</f>
        <v>#VALUE!</v>
      </c>
      <c r="DD295" t="e">
        <f>Europe!I1297+"n/&gt;!0Vi"</f>
        <v>#VALUE!</v>
      </c>
      <c r="DE295" t="e">
        <f>Europe!A1298+"n/&gt;!0Vj"</f>
        <v>#VALUE!</v>
      </c>
      <c r="DF295" t="e">
        <f>Europe!B1298+"n/&gt;!0Vk"</f>
        <v>#VALUE!</v>
      </c>
      <c r="DG295" t="e">
        <f>Europe!C1298+"n/&gt;!0Vl"</f>
        <v>#VALUE!</v>
      </c>
      <c r="DH295" t="e">
        <f>Europe!D1298+"n/&gt;!0Vm"</f>
        <v>#VALUE!</v>
      </c>
      <c r="DI295" t="e">
        <f>Europe!E1298+"n/&gt;!0Vn"</f>
        <v>#VALUE!</v>
      </c>
      <c r="DJ295" t="e">
        <f>Europe!F1298+"n/&gt;!0Vo"</f>
        <v>#VALUE!</v>
      </c>
      <c r="DK295" t="e">
        <f>Europe!G1298+"n/&gt;!0Vp"</f>
        <v>#VALUE!</v>
      </c>
      <c r="DL295" t="e">
        <f>Europe!H1298+"n/&gt;!0Vq"</f>
        <v>#VALUE!</v>
      </c>
      <c r="DM295" t="e">
        <f>Europe!I1298+"n/&gt;!0Vr"</f>
        <v>#VALUE!</v>
      </c>
      <c r="DN295" t="e">
        <f>Europe!A1299+"n/&gt;!0Vs"</f>
        <v>#VALUE!</v>
      </c>
      <c r="DO295" t="e">
        <f>Europe!B1299+"n/&gt;!0Vt"</f>
        <v>#VALUE!</v>
      </c>
      <c r="DP295" t="e">
        <f>Europe!C1299+"n/&gt;!0Vu"</f>
        <v>#VALUE!</v>
      </c>
      <c r="DQ295" t="e">
        <f>Europe!D1299+"n/&gt;!0Vv"</f>
        <v>#VALUE!</v>
      </c>
      <c r="DR295" t="e">
        <f>Europe!E1299+"n/&gt;!0Vw"</f>
        <v>#VALUE!</v>
      </c>
      <c r="DS295" t="e">
        <f>Europe!F1299+"n/&gt;!0Vx"</f>
        <v>#VALUE!</v>
      </c>
      <c r="DT295" t="e">
        <f>Europe!G1299+"n/&gt;!0Vy"</f>
        <v>#VALUE!</v>
      </c>
      <c r="DU295" t="e">
        <f>Europe!H1299+"n/&gt;!0Vz"</f>
        <v>#VALUE!</v>
      </c>
      <c r="DV295" t="e">
        <f>Europe!I1299+"n/&gt;!0V{"</f>
        <v>#VALUE!</v>
      </c>
      <c r="DW295" t="e">
        <f>Europe!A1300+"n/&gt;!0V|"</f>
        <v>#VALUE!</v>
      </c>
      <c r="DX295" t="e">
        <f>Europe!B1300+"n/&gt;!0V}"</f>
        <v>#VALUE!</v>
      </c>
      <c r="DY295" t="e">
        <f>Europe!C1300+"n/&gt;!0V~"</f>
        <v>#VALUE!</v>
      </c>
      <c r="DZ295" t="e">
        <f>Europe!D1300+"n/&gt;!0W#"</f>
        <v>#VALUE!</v>
      </c>
      <c r="EA295" t="e">
        <f>Europe!E1300+"n/&gt;!0W$"</f>
        <v>#VALUE!</v>
      </c>
      <c r="EB295" t="e">
        <f>Europe!F1300+"n/&gt;!0W%"</f>
        <v>#VALUE!</v>
      </c>
      <c r="EC295" t="e">
        <f>Europe!G1300+"n/&gt;!0W&amp;"</f>
        <v>#VALUE!</v>
      </c>
      <c r="ED295" t="e">
        <f>Europe!H1300+"n/&gt;!0W'"</f>
        <v>#VALUE!</v>
      </c>
      <c r="EE295" t="e">
        <f>Europe!I1300+"n/&gt;!0W("</f>
        <v>#VALUE!</v>
      </c>
      <c r="EF295" t="e">
        <f>Europe!A1301+"n/&gt;!0W)"</f>
        <v>#VALUE!</v>
      </c>
      <c r="EG295" t="e">
        <f>Europe!B1301+"n/&gt;!0W."</f>
        <v>#VALUE!</v>
      </c>
      <c r="EH295" t="e">
        <f>Europe!C1301+"n/&gt;!0W/"</f>
        <v>#VALUE!</v>
      </c>
      <c r="EI295" t="e">
        <f>Europe!D1301+"n/&gt;!0W0"</f>
        <v>#VALUE!</v>
      </c>
      <c r="EJ295" t="e">
        <f>Europe!E1301+"n/&gt;!0W1"</f>
        <v>#VALUE!</v>
      </c>
      <c r="EK295" t="e">
        <f>Europe!F1301+"n/&gt;!0W2"</f>
        <v>#VALUE!</v>
      </c>
      <c r="EL295" t="e">
        <f>Europe!G1301+"n/&gt;!0W3"</f>
        <v>#VALUE!</v>
      </c>
      <c r="EM295" t="e">
        <f>Europe!H1301+"n/&gt;!0W4"</f>
        <v>#VALUE!</v>
      </c>
      <c r="EN295" t="e">
        <f>Europe!I1301+"n/&gt;!0W5"</f>
        <v>#VALUE!</v>
      </c>
      <c r="EO295" t="e">
        <f>Europe!A1302+"n/&gt;!0W6"</f>
        <v>#VALUE!</v>
      </c>
      <c r="EP295" t="e">
        <f>Europe!B1302+"n/&gt;!0W7"</f>
        <v>#VALUE!</v>
      </c>
      <c r="EQ295" t="e">
        <f>Europe!C1302+"n/&gt;!0W8"</f>
        <v>#VALUE!</v>
      </c>
      <c r="ER295" t="e">
        <f>Europe!D1302+"n/&gt;!0W9"</f>
        <v>#VALUE!</v>
      </c>
      <c r="ES295" t="e">
        <f>Europe!E1302+"n/&gt;!0W:"</f>
        <v>#VALUE!</v>
      </c>
      <c r="ET295" t="e">
        <f>Europe!F1302+"n/&gt;!0W;"</f>
        <v>#VALUE!</v>
      </c>
      <c r="EU295" t="e">
        <f>Europe!G1302+"n/&gt;!0W&lt;"</f>
        <v>#VALUE!</v>
      </c>
      <c r="EV295" t="e">
        <f>Europe!H1302+"n/&gt;!0W="</f>
        <v>#VALUE!</v>
      </c>
      <c r="EW295" t="e">
        <f>Europe!I1302+"n/&gt;!0W&gt;"</f>
        <v>#VALUE!</v>
      </c>
      <c r="EX295" t="e">
        <f>Europe!A1303+"n/&gt;!0W?"</f>
        <v>#VALUE!</v>
      </c>
      <c r="EY295" t="e">
        <f>Europe!B1303+"n/&gt;!0W@"</f>
        <v>#VALUE!</v>
      </c>
      <c r="EZ295" t="e">
        <f>Europe!C1303+"n/&gt;!0WA"</f>
        <v>#VALUE!</v>
      </c>
      <c r="FA295" t="e">
        <f>Europe!D1303+"n/&gt;!0WB"</f>
        <v>#VALUE!</v>
      </c>
      <c r="FB295" t="e">
        <f>Europe!E1303+"n/&gt;!0WC"</f>
        <v>#VALUE!</v>
      </c>
      <c r="FC295" t="e">
        <f>Europe!F1303+"n/&gt;!0WD"</f>
        <v>#VALUE!</v>
      </c>
      <c r="FD295" t="e">
        <f>Europe!G1303+"n/&gt;!0WE"</f>
        <v>#VALUE!</v>
      </c>
      <c r="FE295" t="e">
        <f>Europe!H1303+"n/&gt;!0WF"</f>
        <v>#VALUE!</v>
      </c>
      <c r="FF295" t="e">
        <f>Europe!I1303+"n/&gt;!0WG"</f>
        <v>#VALUE!</v>
      </c>
      <c r="FG295" t="e">
        <f>Europe!A1304+"n/&gt;!0WH"</f>
        <v>#VALUE!</v>
      </c>
      <c r="FH295" t="e">
        <f>Europe!B1304+"n/&gt;!0WI"</f>
        <v>#VALUE!</v>
      </c>
      <c r="FI295" t="e">
        <f>Europe!C1304+"n/&gt;!0WJ"</f>
        <v>#VALUE!</v>
      </c>
      <c r="FJ295" t="e">
        <f>Europe!D1304+"n/&gt;!0WK"</f>
        <v>#VALUE!</v>
      </c>
      <c r="FK295" t="e">
        <f>Europe!E1304+"n/&gt;!0WL"</f>
        <v>#VALUE!</v>
      </c>
      <c r="FL295" t="e">
        <f>Europe!F1304+"n/&gt;!0WM"</f>
        <v>#VALUE!</v>
      </c>
      <c r="FM295" t="e">
        <f>Europe!G1304+"n/&gt;!0WN"</f>
        <v>#VALUE!</v>
      </c>
      <c r="FN295" t="e">
        <f>Europe!H1304+"n/&gt;!0WO"</f>
        <v>#VALUE!</v>
      </c>
      <c r="FO295" t="e">
        <f>Europe!I1304+"n/&gt;!0WP"</f>
        <v>#VALUE!</v>
      </c>
      <c r="FP295" t="e">
        <f>Europe!A1305+"n/&gt;!0WQ"</f>
        <v>#VALUE!</v>
      </c>
      <c r="FQ295" t="e">
        <f>Europe!B1305+"n/&gt;!0WR"</f>
        <v>#VALUE!</v>
      </c>
      <c r="FR295" t="e">
        <f>Europe!C1305+"n/&gt;!0WS"</f>
        <v>#VALUE!</v>
      </c>
      <c r="FS295" t="e">
        <f>Europe!D1305+"n/&gt;!0WT"</f>
        <v>#VALUE!</v>
      </c>
      <c r="FT295" t="e">
        <f>Europe!E1305+"n/&gt;!0WU"</f>
        <v>#VALUE!</v>
      </c>
      <c r="FU295" t="e">
        <f>Europe!F1305+"n/&gt;!0WV"</f>
        <v>#VALUE!</v>
      </c>
      <c r="FV295" t="e">
        <f>Europe!G1305+"n/&gt;!0WW"</f>
        <v>#VALUE!</v>
      </c>
      <c r="FW295" t="e">
        <f>Europe!H1305+"n/&gt;!0WX"</f>
        <v>#VALUE!</v>
      </c>
      <c r="FX295" t="e">
        <f>Europe!I1305+"n/&gt;!0WY"</f>
        <v>#VALUE!</v>
      </c>
      <c r="FY295" t="e">
        <f>Europe!A1306+"n/&gt;!0WZ"</f>
        <v>#VALUE!</v>
      </c>
      <c r="FZ295" t="e">
        <f>Europe!B1306+"n/&gt;!0W["</f>
        <v>#VALUE!</v>
      </c>
      <c r="GA295" t="e">
        <f>Europe!C1306+"n/&gt;!0W\"</f>
        <v>#VALUE!</v>
      </c>
      <c r="GB295" t="e">
        <f>Europe!D1306+"n/&gt;!0W]"</f>
        <v>#VALUE!</v>
      </c>
      <c r="GC295" t="e">
        <f>Europe!E1306+"n/&gt;!0W^"</f>
        <v>#VALUE!</v>
      </c>
      <c r="GD295" t="e">
        <f>Europe!F1306+"n/&gt;!0W_"</f>
        <v>#VALUE!</v>
      </c>
      <c r="GE295" t="e">
        <f>Europe!G1306+"n/&gt;!0W`"</f>
        <v>#VALUE!</v>
      </c>
      <c r="GF295" t="e">
        <f>Europe!H1306+"n/&gt;!0Wa"</f>
        <v>#VALUE!</v>
      </c>
      <c r="GG295" t="e">
        <f>Europe!I1306+"n/&gt;!0Wb"</f>
        <v>#VALUE!</v>
      </c>
      <c r="GH295" t="e">
        <f>Europe!A1307+"n/&gt;!0Wc"</f>
        <v>#VALUE!</v>
      </c>
      <c r="GI295" t="e">
        <f>Europe!B1307+"n/&gt;!0Wd"</f>
        <v>#VALUE!</v>
      </c>
      <c r="GJ295" t="e">
        <f>Europe!C1307+"n/&gt;!0We"</f>
        <v>#VALUE!</v>
      </c>
      <c r="GK295" t="e">
        <f>Europe!D1307+"n/&gt;!0Wf"</f>
        <v>#VALUE!</v>
      </c>
      <c r="GL295" t="e">
        <f>Europe!E1307+"n/&gt;!0Wg"</f>
        <v>#VALUE!</v>
      </c>
      <c r="GM295" t="e">
        <f>Europe!F1307+"n/&gt;!0Wh"</f>
        <v>#VALUE!</v>
      </c>
      <c r="GN295" t="e">
        <f>Europe!G1307+"n/&gt;!0Wi"</f>
        <v>#VALUE!</v>
      </c>
      <c r="GO295" t="e">
        <f>Europe!H1307+"n/&gt;!0Wj"</f>
        <v>#VALUE!</v>
      </c>
      <c r="GP295" t="e">
        <f>Europe!I1307+"n/&gt;!0Wk"</f>
        <v>#VALUE!</v>
      </c>
      <c r="GQ295" t="e">
        <f>Europe!A1308+"n/&gt;!0Wl"</f>
        <v>#VALUE!</v>
      </c>
      <c r="GR295" t="e">
        <f>Europe!B1308+"n/&gt;!0Wm"</f>
        <v>#VALUE!</v>
      </c>
      <c r="GS295" t="e">
        <f>Europe!C1308+"n/&gt;!0Wn"</f>
        <v>#VALUE!</v>
      </c>
      <c r="GT295" t="e">
        <f>Europe!D1308+"n/&gt;!0Wo"</f>
        <v>#VALUE!</v>
      </c>
      <c r="GU295" t="e">
        <f>Europe!E1308+"n/&gt;!0Wp"</f>
        <v>#VALUE!</v>
      </c>
      <c r="GV295" t="e">
        <f>Europe!F1308+"n/&gt;!0Wq"</f>
        <v>#VALUE!</v>
      </c>
      <c r="GW295" t="e">
        <f>Europe!G1308+"n/&gt;!0Wr"</f>
        <v>#VALUE!</v>
      </c>
      <c r="GX295" t="e">
        <f>Europe!H1308+"n/&gt;!0Ws"</f>
        <v>#VALUE!</v>
      </c>
      <c r="GY295" t="e">
        <f>Europe!I1308+"n/&gt;!0Wt"</f>
        <v>#VALUE!</v>
      </c>
      <c r="GZ295" t="e">
        <f>Europe!A1309+"n/&gt;!0Wu"</f>
        <v>#VALUE!</v>
      </c>
      <c r="HA295" t="e">
        <f>Europe!B1309+"n/&gt;!0Wv"</f>
        <v>#VALUE!</v>
      </c>
      <c r="HB295" t="e">
        <f>Europe!C1309+"n/&gt;!0Ww"</f>
        <v>#VALUE!</v>
      </c>
      <c r="HC295" t="e">
        <f>Europe!D1309+"n/&gt;!0Wx"</f>
        <v>#VALUE!</v>
      </c>
      <c r="HD295" t="e">
        <f>Europe!E1309+"n/&gt;!0Wy"</f>
        <v>#VALUE!</v>
      </c>
      <c r="HE295" t="e">
        <f>Europe!F1309+"n/&gt;!0Wz"</f>
        <v>#VALUE!</v>
      </c>
      <c r="HF295" t="e">
        <f>Europe!G1309+"n/&gt;!0W{"</f>
        <v>#VALUE!</v>
      </c>
      <c r="HG295" t="e">
        <f>Europe!H1309+"n/&gt;!0W|"</f>
        <v>#VALUE!</v>
      </c>
      <c r="HH295" t="e">
        <f>Europe!I1309+"n/&gt;!0W}"</f>
        <v>#VALUE!</v>
      </c>
      <c r="HI295" t="e">
        <f>Europe!A1310+"n/&gt;!0W~"</f>
        <v>#VALUE!</v>
      </c>
      <c r="HJ295" t="e">
        <f>Europe!B1310+"n/&gt;!0X#"</f>
        <v>#VALUE!</v>
      </c>
      <c r="HK295" t="e">
        <f>Europe!C1310+"n/&gt;!0X$"</f>
        <v>#VALUE!</v>
      </c>
      <c r="HL295" t="e">
        <f>Europe!D1310+"n/&gt;!0X%"</f>
        <v>#VALUE!</v>
      </c>
      <c r="HM295" t="e">
        <f>Europe!E1310+"n/&gt;!0X&amp;"</f>
        <v>#VALUE!</v>
      </c>
      <c r="HN295" t="e">
        <f>Europe!F1310+"n/&gt;!0X'"</f>
        <v>#VALUE!</v>
      </c>
      <c r="HO295" t="e">
        <f>Europe!G1310+"n/&gt;!0X("</f>
        <v>#VALUE!</v>
      </c>
      <c r="HP295" t="e">
        <f>Europe!H1310+"n/&gt;!0X)"</f>
        <v>#VALUE!</v>
      </c>
      <c r="HQ295" t="e">
        <f>Europe!I1310+"n/&gt;!0X."</f>
        <v>#VALUE!</v>
      </c>
      <c r="HR295" t="e">
        <f>Europe!A1311+"n/&gt;!0X/"</f>
        <v>#VALUE!</v>
      </c>
      <c r="HS295" t="e">
        <f>Europe!B1311+"n/&gt;!0X0"</f>
        <v>#VALUE!</v>
      </c>
      <c r="HT295" t="e">
        <f>Europe!C1311+"n/&gt;!0X1"</f>
        <v>#VALUE!</v>
      </c>
      <c r="HU295" t="e">
        <f>Europe!D1311+"n/&gt;!0X2"</f>
        <v>#VALUE!</v>
      </c>
      <c r="HV295" t="e">
        <f>Europe!E1311+"n/&gt;!0X3"</f>
        <v>#VALUE!</v>
      </c>
      <c r="HW295" t="e">
        <f>Europe!F1311+"n/&gt;!0X4"</f>
        <v>#VALUE!</v>
      </c>
      <c r="HX295" t="e">
        <f>Europe!G1311+"n/&gt;!0X5"</f>
        <v>#VALUE!</v>
      </c>
      <c r="HY295" t="e">
        <f>Europe!H1311+"n/&gt;!0X6"</f>
        <v>#VALUE!</v>
      </c>
      <c r="HZ295" t="e">
        <f>Europe!I1311+"n/&gt;!0X7"</f>
        <v>#VALUE!</v>
      </c>
      <c r="IA295" t="e">
        <f>Europe!A1312+"n/&gt;!0X8"</f>
        <v>#VALUE!</v>
      </c>
      <c r="IB295" t="e">
        <f>Europe!B1312+"n/&gt;!0X9"</f>
        <v>#VALUE!</v>
      </c>
      <c r="IC295" t="e">
        <f>Europe!C1312+"n/&gt;!0X:"</f>
        <v>#VALUE!</v>
      </c>
      <c r="ID295" t="e">
        <f>Europe!D1312+"n/&gt;!0X;"</f>
        <v>#VALUE!</v>
      </c>
      <c r="IE295" t="e">
        <f>Europe!E1312+"n/&gt;!0X&lt;"</f>
        <v>#VALUE!</v>
      </c>
      <c r="IF295" t="e">
        <f>Europe!F1312+"n/&gt;!0X="</f>
        <v>#VALUE!</v>
      </c>
      <c r="IG295" t="e">
        <f>Europe!G1312+"n/&gt;!0X&gt;"</f>
        <v>#VALUE!</v>
      </c>
      <c r="IH295" t="e">
        <f>Europe!H1312+"n/&gt;!0X?"</f>
        <v>#VALUE!</v>
      </c>
      <c r="II295" t="e">
        <f>Europe!I1312+"n/&gt;!0X@"</f>
        <v>#VALUE!</v>
      </c>
      <c r="IJ295" t="e">
        <f>Europe!A1313+"n/&gt;!0XA"</f>
        <v>#VALUE!</v>
      </c>
      <c r="IK295" t="e">
        <f>Europe!B1313+"n/&gt;!0XB"</f>
        <v>#VALUE!</v>
      </c>
      <c r="IL295" t="e">
        <f>Europe!C1313+"n/&gt;!0XC"</f>
        <v>#VALUE!</v>
      </c>
      <c r="IM295" t="e">
        <f>Europe!D1313+"n/&gt;!0XD"</f>
        <v>#VALUE!</v>
      </c>
      <c r="IN295" t="e">
        <f>Europe!E1313+"n/&gt;!0XE"</f>
        <v>#VALUE!</v>
      </c>
      <c r="IO295" t="e">
        <f>Europe!F1313+"n/&gt;!0XF"</f>
        <v>#VALUE!</v>
      </c>
      <c r="IP295" t="e">
        <f>Europe!G1313+"n/&gt;!0XG"</f>
        <v>#VALUE!</v>
      </c>
      <c r="IQ295" t="e">
        <f>Europe!H1313+"n/&gt;!0XH"</f>
        <v>#VALUE!</v>
      </c>
      <c r="IR295" t="e">
        <f>Europe!I1313+"n/&gt;!0XI"</f>
        <v>#VALUE!</v>
      </c>
      <c r="IS295" t="e">
        <f>Europe!A1314+"n/&gt;!0XJ"</f>
        <v>#VALUE!</v>
      </c>
      <c r="IT295" t="e">
        <f>Europe!B1314+"n/&gt;!0XK"</f>
        <v>#VALUE!</v>
      </c>
      <c r="IU295" t="e">
        <f>Europe!C1314+"n/&gt;!0XL"</f>
        <v>#VALUE!</v>
      </c>
      <c r="IV295" t="e">
        <f>Europe!D1314+"n/&gt;!0XM"</f>
        <v>#VALUE!</v>
      </c>
    </row>
    <row r="296" spans="6:256" x14ac:dyDescent="0.35">
      <c r="F296" t="e">
        <f>Europe!E1314+"n/&gt;!0XN"</f>
        <v>#VALUE!</v>
      </c>
      <c r="G296" t="e">
        <f>Europe!F1314+"n/&gt;!0XO"</f>
        <v>#VALUE!</v>
      </c>
      <c r="H296" t="e">
        <f>Europe!G1314+"n/&gt;!0XP"</f>
        <v>#VALUE!</v>
      </c>
      <c r="I296" t="e">
        <f>Europe!H1314+"n/&gt;!0XQ"</f>
        <v>#VALUE!</v>
      </c>
      <c r="J296" t="e">
        <f>Europe!I1314+"n/&gt;!0XR"</f>
        <v>#VALUE!</v>
      </c>
      <c r="K296" t="e">
        <f>Europe!A1315+"n/&gt;!0XS"</f>
        <v>#VALUE!</v>
      </c>
      <c r="L296" t="e">
        <f>Europe!B1315+"n/&gt;!0XT"</f>
        <v>#VALUE!</v>
      </c>
      <c r="M296" t="e">
        <f>Europe!C1315+"n/&gt;!0XU"</f>
        <v>#VALUE!</v>
      </c>
      <c r="N296" t="e">
        <f>Europe!D1315+"n/&gt;!0XV"</f>
        <v>#VALUE!</v>
      </c>
      <c r="O296" t="e">
        <f>Europe!E1315+"n/&gt;!0XW"</f>
        <v>#VALUE!</v>
      </c>
      <c r="P296" t="e">
        <f>Europe!F1315+"n/&gt;!0XX"</f>
        <v>#VALUE!</v>
      </c>
      <c r="Q296" t="e">
        <f>Europe!G1315+"n/&gt;!0XY"</f>
        <v>#VALUE!</v>
      </c>
      <c r="R296" t="e">
        <f>Europe!H1315+"n/&gt;!0XZ"</f>
        <v>#VALUE!</v>
      </c>
      <c r="S296" t="e">
        <f>Europe!I1315+"n/&gt;!0X["</f>
        <v>#VALUE!</v>
      </c>
      <c r="T296" t="e">
        <f>Europe!A1316+"n/&gt;!0X\"</f>
        <v>#VALUE!</v>
      </c>
      <c r="U296" t="e">
        <f>Europe!B1316+"n/&gt;!0X]"</f>
        <v>#VALUE!</v>
      </c>
      <c r="V296" t="e">
        <f>Europe!C1316+"n/&gt;!0X^"</f>
        <v>#VALUE!</v>
      </c>
      <c r="W296" t="e">
        <f>Europe!D1316+"n/&gt;!0X_"</f>
        <v>#VALUE!</v>
      </c>
      <c r="X296" t="e">
        <f>Europe!E1316+"n/&gt;!0X`"</f>
        <v>#VALUE!</v>
      </c>
      <c r="Y296" t="e">
        <f>Europe!F1316+"n/&gt;!0Xa"</f>
        <v>#VALUE!</v>
      </c>
      <c r="Z296" t="e">
        <f>Europe!G1316+"n/&gt;!0Xb"</f>
        <v>#VALUE!</v>
      </c>
      <c r="AA296" t="e">
        <f>Europe!H1316+"n/&gt;!0Xc"</f>
        <v>#VALUE!</v>
      </c>
      <c r="AB296" t="e">
        <f>Europe!I1316+"n/&gt;!0Xd"</f>
        <v>#VALUE!</v>
      </c>
      <c r="AC296" t="e">
        <f>Europe!A1317+"n/&gt;!0Xe"</f>
        <v>#VALUE!</v>
      </c>
      <c r="AD296" t="e">
        <f>Europe!B1317+"n/&gt;!0Xf"</f>
        <v>#VALUE!</v>
      </c>
      <c r="AE296" t="e">
        <f>Europe!C1317+"n/&gt;!0Xg"</f>
        <v>#VALUE!</v>
      </c>
      <c r="AF296" t="e">
        <f>Europe!D1317+"n/&gt;!0Xh"</f>
        <v>#VALUE!</v>
      </c>
      <c r="AG296" t="e">
        <f>Europe!E1317+"n/&gt;!0Xi"</f>
        <v>#VALUE!</v>
      </c>
      <c r="AH296" t="e">
        <f>Europe!F1317+"n/&gt;!0Xj"</f>
        <v>#VALUE!</v>
      </c>
      <c r="AI296" t="e">
        <f>Europe!G1317+"n/&gt;!0Xk"</f>
        <v>#VALUE!</v>
      </c>
      <c r="AJ296" t="e">
        <f>Europe!H1317+"n/&gt;!0Xl"</f>
        <v>#VALUE!</v>
      </c>
      <c r="AK296" t="e">
        <f>Europe!I1317+"n/&gt;!0Xm"</f>
        <v>#VALUE!</v>
      </c>
      <c r="AL296" t="e">
        <f>Europe!A1318+"n/&gt;!0Xn"</f>
        <v>#VALUE!</v>
      </c>
      <c r="AM296" t="e">
        <f>Europe!B1318+"n/&gt;!0Xo"</f>
        <v>#VALUE!</v>
      </c>
      <c r="AN296" t="e">
        <f>Europe!C1318+"n/&gt;!0Xp"</f>
        <v>#VALUE!</v>
      </c>
      <c r="AO296" t="e">
        <f>Europe!D1318+"n/&gt;!0Xq"</f>
        <v>#VALUE!</v>
      </c>
      <c r="AP296" t="e">
        <f>Europe!E1318+"n/&gt;!0Xr"</f>
        <v>#VALUE!</v>
      </c>
      <c r="AQ296" t="e">
        <f>Europe!F1318+"n/&gt;!0Xs"</f>
        <v>#VALUE!</v>
      </c>
      <c r="AR296" t="e">
        <f>Europe!G1318+"n/&gt;!0Xt"</f>
        <v>#VALUE!</v>
      </c>
      <c r="AS296" t="e">
        <f>Europe!H1318+"n/&gt;!0Xu"</f>
        <v>#VALUE!</v>
      </c>
      <c r="AT296" t="e">
        <f>Europe!I1318+"n/&gt;!0Xv"</f>
        <v>#VALUE!</v>
      </c>
      <c r="AU296" t="e">
        <f>Europe!A1319+"n/&gt;!0Xw"</f>
        <v>#VALUE!</v>
      </c>
      <c r="AV296" t="e">
        <f>Europe!B1319+"n/&gt;!0Xx"</f>
        <v>#VALUE!</v>
      </c>
      <c r="AW296" t="e">
        <f>Europe!C1319+"n/&gt;!0Xy"</f>
        <v>#VALUE!</v>
      </c>
      <c r="AX296" t="e">
        <f>Europe!D1319+"n/&gt;!0Xz"</f>
        <v>#VALUE!</v>
      </c>
      <c r="AY296" t="e">
        <f>Europe!E1319+"n/&gt;!0X{"</f>
        <v>#VALUE!</v>
      </c>
      <c r="AZ296" t="e">
        <f>Europe!F1319+"n/&gt;!0X|"</f>
        <v>#VALUE!</v>
      </c>
      <c r="BA296" t="e">
        <f>Europe!G1319+"n/&gt;!0X}"</f>
        <v>#VALUE!</v>
      </c>
      <c r="BB296" t="e">
        <f>Europe!H1319+"n/&gt;!0X~"</f>
        <v>#VALUE!</v>
      </c>
      <c r="BC296" t="e">
        <f>Europe!I1319+"n/&gt;!0Y#"</f>
        <v>#VALUE!</v>
      </c>
      <c r="BD296" t="e">
        <f>Europe!A1320+"n/&gt;!0Y$"</f>
        <v>#VALUE!</v>
      </c>
      <c r="BE296" t="e">
        <f>Europe!B1320+"n/&gt;!0Y%"</f>
        <v>#VALUE!</v>
      </c>
      <c r="BF296" t="e">
        <f>Europe!C1320+"n/&gt;!0Y&amp;"</f>
        <v>#VALUE!</v>
      </c>
      <c r="BG296" t="e">
        <f>Europe!D1320+"n/&gt;!0Y'"</f>
        <v>#VALUE!</v>
      </c>
      <c r="BH296" t="e">
        <f>Europe!E1320+"n/&gt;!0Y("</f>
        <v>#VALUE!</v>
      </c>
      <c r="BI296" t="e">
        <f>Europe!F1320+"n/&gt;!0Y)"</f>
        <v>#VALUE!</v>
      </c>
      <c r="BJ296" t="e">
        <f>Europe!G1320+"n/&gt;!0Y."</f>
        <v>#VALUE!</v>
      </c>
      <c r="BK296" t="e">
        <f>Europe!H1320+"n/&gt;!0Y/"</f>
        <v>#VALUE!</v>
      </c>
      <c r="BL296" t="e">
        <f>Europe!I1320+"n/&gt;!0Y0"</f>
        <v>#VALUE!</v>
      </c>
      <c r="BM296" t="e">
        <f>Europe!A1321+"n/&gt;!0Y1"</f>
        <v>#VALUE!</v>
      </c>
      <c r="BN296" t="e">
        <f>Europe!B1321+"n/&gt;!0Y2"</f>
        <v>#VALUE!</v>
      </c>
      <c r="BO296" t="e">
        <f>Europe!C1321+"n/&gt;!0Y3"</f>
        <v>#VALUE!</v>
      </c>
      <c r="BP296" t="e">
        <f>Europe!D1321+"n/&gt;!0Y4"</f>
        <v>#VALUE!</v>
      </c>
      <c r="BQ296" t="e">
        <f>Europe!E1321+"n/&gt;!0Y5"</f>
        <v>#VALUE!</v>
      </c>
      <c r="BR296" t="e">
        <f>Europe!F1321+"n/&gt;!0Y6"</f>
        <v>#VALUE!</v>
      </c>
      <c r="BS296" t="e">
        <f>Europe!G1321+"n/&gt;!0Y7"</f>
        <v>#VALUE!</v>
      </c>
      <c r="BT296" t="e">
        <f>Europe!H1321+"n/&gt;!0Y8"</f>
        <v>#VALUE!</v>
      </c>
      <c r="BU296" t="e">
        <f>Europe!I1321+"n/&gt;!0Y9"</f>
        <v>#VALUE!</v>
      </c>
      <c r="BV296" t="e">
        <f>Europe!A1322+"n/&gt;!0Y:"</f>
        <v>#VALUE!</v>
      </c>
      <c r="BW296" t="e">
        <f>Europe!B1322+"n/&gt;!0Y;"</f>
        <v>#VALUE!</v>
      </c>
      <c r="BX296" t="e">
        <f>Europe!C1322+"n/&gt;!0Y&lt;"</f>
        <v>#VALUE!</v>
      </c>
      <c r="BY296" t="e">
        <f>Europe!D1322+"n/&gt;!0Y="</f>
        <v>#VALUE!</v>
      </c>
      <c r="BZ296" t="e">
        <f>Europe!E1322+"n/&gt;!0Y&gt;"</f>
        <v>#VALUE!</v>
      </c>
      <c r="CA296" t="e">
        <f>Europe!F1322+"n/&gt;!0Y?"</f>
        <v>#VALUE!</v>
      </c>
      <c r="CB296" t="e">
        <f>Europe!G1322+"n/&gt;!0Y@"</f>
        <v>#VALUE!</v>
      </c>
      <c r="CC296" t="e">
        <f>Europe!H1322+"n/&gt;!0YA"</f>
        <v>#VALUE!</v>
      </c>
      <c r="CD296" t="e">
        <f>Europe!I1322+"n/&gt;!0YB"</f>
        <v>#VALUE!</v>
      </c>
      <c r="CE296" t="e">
        <f>Europe!A1323+"n/&gt;!0YC"</f>
        <v>#VALUE!</v>
      </c>
      <c r="CF296" t="e">
        <f>Europe!B1323+"n/&gt;!0YD"</f>
        <v>#VALUE!</v>
      </c>
      <c r="CG296" t="e">
        <f>Europe!C1323+"n/&gt;!0YE"</f>
        <v>#VALUE!</v>
      </c>
      <c r="CH296" t="e">
        <f>Europe!D1323+"n/&gt;!0YF"</f>
        <v>#VALUE!</v>
      </c>
      <c r="CI296" t="e">
        <f>Europe!E1323+"n/&gt;!0YG"</f>
        <v>#VALUE!</v>
      </c>
      <c r="CJ296" t="e">
        <f>Europe!F1323+"n/&gt;!0YH"</f>
        <v>#VALUE!</v>
      </c>
      <c r="CK296" t="e">
        <f>Europe!G1323+"n/&gt;!0YI"</f>
        <v>#VALUE!</v>
      </c>
      <c r="CL296" t="e">
        <f>Europe!H1323+"n/&gt;!0YJ"</f>
        <v>#VALUE!</v>
      </c>
      <c r="CM296" t="e">
        <f>Europe!I1323+"n/&gt;!0YK"</f>
        <v>#VALUE!</v>
      </c>
      <c r="CN296" t="e">
        <f>Europe!A1324+"n/&gt;!0YL"</f>
        <v>#VALUE!</v>
      </c>
      <c r="CO296" t="e">
        <f>Europe!B1324+"n/&gt;!0YM"</f>
        <v>#VALUE!</v>
      </c>
      <c r="CP296" t="e">
        <f>Europe!C1324+"n/&gt;!0YN"</f>
        <v>#VALUE!</v>
      </c>
      <c r="CQ296" t="e">
        <f>Europe!D1324+"n/&gt;!0YO"</f>
        <v>#VALUE!</v>
      </c>
      <c r="CR296" t="e">
        <f>Europe!E1324+"n/&gt;!0YP"</f>
        <v>#VALUE!</v>
      </c>
      <c r="CS296" t="e">
        <f>Europe!F1324+"n/&gt;!0YQ"</f>
        <v>#VALUE!</v>
      </c>
      <c r="CT296" t="e">
        <f>Europe!G1324+"n/&gt;!0YR"</f>
        <v>#VALUE!</v>
      </c>
      <c r="CU296" t="e">
        <f>Europe!H1324+"n/&gt;!0YS"</f>
        <v>#VALUE!</v>
      </c>
      <c r="CV296" t="e">
        <f>Europe!I1324+"n/&gt;!0YT"</f>
        <v>#VALUE!</v>
      </c>
      <c r="CW296" t="e">
        <f>Europe!A1325+"n/&gt;!0YU"</f>
        <v>#VALUE!</v>
      </c>
      <c r="CX296" t="e">
        <f>Europe!B1325+"n/&gt;!0YV"</f>
        <v>#VALUE!</v>
      </c>
      <c r="CY296" t="e">
        <f>Europe!C1325+"n/&gt;!0YW"</f>
        <v>#VALUE!</v>
      </c>
      <c r="CZ296" t="e">
        <f>Europe!D1325+"n/&gt;!0YX"</f>
        <v>#VALUE!</v>
      </c>
      <c r="DA296" t="e">
        <f>Europe!E1325+"n/&gt;!0YY"</f>
        <v>#VALUE!</v>
      </c>
      <c r="DB296" t="e">
        <f>Europe!F1325+"n/&gt;!0YZ"</f>
        <v>#VALUE!</v>
      </c>
      <c r="DC296" t="e">
        <f>Europe!G1325+"n/&gt;!0Y["</f>
        <v>#VALUE!</v>
      </c>
      <c r="DD296" t="e">
        <f>Europe!H1325+"n/&gt;!0Y\"</f>
        <v>#VALUE!</v>
      </c>
      <c r="DE296" t="e">
        <f>Europe!I1325+"n/&gt;!0Y]"</f>
        <v>#VALUE!</v>
      </c>
      <c r="DF296" t="e">
        <f>Europe!A1326+"n/&gt;!0Y^"</f>
        <v>#VALUE!</v>
      </c>
      <c r="DG296" t="e">
        <f>Europe!B1326+"n/&gt;!0Y_"</f>
        <v>#VALUE!</v>
      </c>
      <c r="DH296" t="e">
        <f>Europe!C1326+"n/&gt;!0Y`"</f>
        <v>#VALUE!</v>
      </c>
      <c r="DI296" t="e">
        <f>Europe!D1326+"n/&gt;!0Ya"</f>
        <v>#VALUE!</v>
      </c>
      <c r="DJ296" t="e">
        <f>Europe!E1326+"n/&gt;!0Yb"</f>
        <v>#VALUE!</v>
      </c>
      <c r="DK296" t="e">
        <f>Europe!F1326+"n/&gt;!0Yc"</f>
        <v>#VALUE!</v>
      </c>
      <c r="DL296" t="e">
        <f>Europe!G1326+"n/&gt;!0Yd"</f>
        <v>#VALUE!</v>
      </c>
      <c r="DM296" t="e">
        <f>Europe!H1326+"n/&gt;!0Ye"</f>
        <v>#VALUE!</v>
      </c>
      <c r="DN296" t="e">
        <f>Europe!I1326+"n/&gt;!0Yf"</f>
        <v>#VALUE!</v>
      </c>
      <c r="DO296" t="e">
        <f>Europe!A1327+"n/&gt;!0Yg"</f>
        <v>#VALUE!</v>
      </c>
      <c r="DP296" t="e">
        <f>Europe!B1327+"n/&gt;!0Yh"</f>
        <v>#VALUE!</v>
      </c>
      <c r="DQ296" t="e">
        <f>Europe!C1327+"n/&gt;!0Yi"</f>
        <v>#VALUE!</v>
      </c>
      <c r="DR296" t="e">
        <f>Europe!D1327+"n/&gt;!0Yj"</f>
        <v>#VALUE!</v>
      </c>
      <c r="DS296" t="e">
        <f>Europe!E1327+"n/&gt;!0Yk"</f>
        <v>#VALUE!</v>
      </c>
      <c r="DT296" t="e">
        <f>Europe!F1327+"n/&gt;!0Yl"</f>
        <v>#VALUE!</v>
      </c>
      <c r="DU296" t="e">
        <f>Europe!G1327+"n/&gt;!0Ym"</f>
        <v>#VALUE!</v>
      </c>
      <c r="DV296" t="e">
        <f>Europe!H1327+"n/&gt;!0Yn"</f>
        <v>#VALUE!</v>
      </c>
      <c r="DW296" t="e">
        <f>Europe!I1327+"n/&gt;!0Yo"</f>
        <v>#VALUE!</v>
      </c>
      <c r="DX296" t="e">
        <f>Europe!A1328+"n/&gt;!0Yp"</f>
        <v>#VALUE!</v>
      </c>
      <c r="DY296" t="e">
        <f>Europe!B1328+"n/&gt;!0Yq"</f>
        <v>#VALUE!</v>
      </c>
      <c r="DZ296" t="e">
        <f>Europe!C1328+"n/&gt;!0Yr"</f>
        <v>#VALUE!</v>
      </c>
      <c r="EA296" t="e">
        <f>Europe!D1328+"n/&gt;!0Ys"</f>
        <v>#VALUE!</v>
      </c>
      <c r="EB296" t="e">
        <f>Europe!E1328+"n/&gt;!0Yt"</f>
        <v>#VALUE!</v>
      </c>
      <c r="EC296" t="e">
        <f>Europe!F1328+"n/&gt;!0Yu"</f>
        <v>#VALUE!</v>
      </c>
      <c r="ED296" t="e">
        <f>Europe!G1328+"n/&gt;!0Yv"</f>
        <v>#VALUE!</v>
      </c>
      <c r="EE296" t="e">
        <f>Europe!H1328+"n/&gt;!0Yw"</f>
        <v>#VALUE!</v>
      </c>
      <c r="EF296" t="e">
        <f>Europe!I1328+"n/&gt;!0Yx"</f>
        <v>#VALUE!</v>
      </c>
      <c r="EG296" t="e">
        <f>Europe!A1329+"n/&gt;!0Yy"</f>
        <v>#VALUE!</v>
      </c>
      <c r="EH296" t="e">
        <f>Europe!B1329+"n/&gt;!0Yz"</f>
        <v>#VALUE!</v>
      </c>
      <c r="EI296" t="e">
        <f>Europe!C1329+"n/&gt;!0Y{"</f>
        <v>#VALUE!</v>
      </c>
      <c r="EJ296" t="e">
        <f>Europe!D1329+"n/&gt;!0Y|"</f>
        <v>#VALUE!</v>
      </c>
      <c r="EK296" t="e">
        <f>Europe!E1329+"n/&gt;!0Y}"</f>
        <v>#VALUE!</v>
      </c>
      <c r="EL296" t="e">
        <f>Europe!F1329+"n/&gt;!0Y~"</f>
        <v>#VALUE!</v>
      </c>
      <c r="EM296" t="e">
        <f>Europe!G1329+"n/&gt;!0Z#"</f>
        <v>#VALUE!</v>
      </c>
      <c r="EN296" t="e">
        <f>Europe!H1329+"n/&gt;!0Z$"</f>
        <v>#VALUE!</v>
      </c>
      <c r="EO296" t="e">
        <f>Europe!I1329+"n/&gt;!0Z%"</f>
        <v>#VALUE!</v>
      </c>
      <c r="EP296" t="e">
        <f>Europe!A1330+"n/&gt;!0Z&amp;"</f>
        <v>#VALUE!</v>
      </c>
      <c r="EQ296" t="e">
        <f>Europe!B1330+"n/&gt;!0Z'"</f>
        <v>#VALUE!</v>
      </c>
      <c r="ER296" t="e">
        <f>Europe!C1330+"n/&gt;!0Z("</f>
        <v>#VALUE!</v>
      </c>
      <c r="ES296" t="e">
        <f>Europe!D1330+"n/&gt;!0Z)"</f>
        <v>#VALUE!</v>
      </c>
      <c r="ET296" t="e">
        <f>Europe!E1330+"n/&gt;!0Z."</f>
        <v>#VALUE!</v>
      </c>
      <c r="EU296" t="e">
        <f>Europe!F1330+"n/&gt;!0Z/"</f>
        <v>#VALUE!</v>
      </c>
      <c r="EV296" t="e">
        <f>Europe!G1330+"n/&gt;!0Z0"</f>
        <v>#VALUE!</v>
      </c>
      <c r="EW296" t="e">
        <f>Europe!H1330+"n/&gt;!0Z1"</f>
        <v>#VALUE!</v>
      </c>
      <c r="EX296" t="e">
        <f>Europe!I1330+"n/&gt;!0Z2"</f>
        <v>#VALUE!</v>
      </c>
      <c r="EY296" t="e">
        <f>Europe!A1331+"n/&gt;!0Z3"</f>
        <v>#VALUE!</v>
      </c>
      <c r="EZ296" t="e">
        <f>Europe!B1331+"n/&gt;!0Z4"</f>
        <v>#VALUE!</v>
      </c>
      <c r="FA296" t="e">
        <f>Europe!C1331+"n/&gt;!0Z5"</f>
        <v>#VALUE!</v>
      </c>
      <c r="FB296" t="e">
        <f>Europe!D1331+"n/&gt;!0Z6"</f>
        <v>#VALUE!</v>
      </c>
      <c r="FC296" t="e">
        <f>Europe!E1331+"n/&gt;!0Z7"</f>
        <v>#VALUE!</v>
      </c>
      <c r="FD296" t="e">
        <f>Europe!F1331+"n/&gt;!0Z8"</f>
        <v>#VALUE!</v>
      </c>
      <c r="FE296" t="e">
        <f>Europe!G1331+"n/&gt;!0Z9"</f>
        <v>#VALUE!</v>
      </c>
      <c r="FF296" t="e">
        <f>Europe!H1331+"n/&gt;!0Z:"</f>
        <v>#VALUE!</v>
      </c>
      <c r="FG296" t="e">
        <f>Europe!I1331+"n/&gt;!0Z;"</f>
        <v>#VALUE!</v>
      </c>
      <c r="FH296" t="e">
        <f>Europe!A1332+"n/&gt;!0Z&lt;"</f>
        <v>#VALUE!</v>
      </c>
      <c r="FI296" t="e">
        <f>Europe!B1332+"n/&gt;!0Z="</f>
        <v>#VALUE!</v>
      </c>
      <c r="FJ296" t="e">
        <f>Europe!C1332+"n/&gt;!0Z&gt;"</f>
        <v>#VALUE!</v>
      </c>
      <c r="FK296" t="e">
        <f>Europe!D1332+"n/&gt;!0Z?"</f>
        <v>#VALUE!</v>
      </c>
      <c r="FL296" t="e">
        <f>Europe!E1332+"n/&gt;!0Z@"</f>
        <v>#VALUE!</v>
      </c>
      <c r="FM296" t="e">
        <f>Europe!F1332+"n/&gt;!0ZA"</f>
        <v>#VALUE!</v>
      </c>
      <c r="FN296" t="e">
        <f>Europe!G1332+"n/&gt;!0ZB"</f>
        <v>#VALUE!</v>
      </c>
      <c r="FO296" t="e">
        <f>Europe!H1332+"n/&gt;!0ZC"</f>
        <v>#VALUE!</v>
      </c>
      <c r="FP296" t="e">
        <f>Europe!I1332+"n/&gt;!0ZD"</f>
        <v>#VALUE!</v>
      </c>
      <c r="FQ296" t="e">
        <f>Europe!A1333+"n/&gt;!0ZE"</f>
        <v>#VALUE!</v>
      </c>
      <c r="FR296" t="e">
        <f>Europe!B1333+"n/&gt;!0ZF"</f>
        <v>#VALUE!</v>
      </c>
      <c r="FS296" t="e">
        <f>Europe!C1333+"n/&gt;!0ZG"</f>
        <v>#VALUE!</v>
      </c>
      <c r="FT296" t="e">
        <f>Europe!D1333+"n/&gt;!0ZH"</f>
        <v>#VALUE!</v>
      </c>
      <c r="FU296" t="e">
        <f>Europe!E1333+"n/&gt;!0ZI"</f>
        <v>#VALUE!</v>
      </c>
      <c r="FV296" t="e">
        <f>Europe!F1333+"n/&gt;!0ZJ"</f>
        <v>#VALUE!</v>
      </c>
      <c r="FW296" t="e">
        <f>Europe!G1333+"n/&gt;!0ZK"</f>
        <v>#VALUE!</v>
      </c>
      <c r="FX296" t="e">
        <f>Europe!H1333+"n/&gt;!0ZL"</f>
        <v>#VALUE!</v>
      </c>
      <c r="FY296" t="e">
        <f>Europe!I1333+"n/&gt;!0ZM"</f>
        <v>#VALUE!</v>
      </c>
      <c r="FZ296" t="e">
        <f>Europe!A1334+"n/&gt;!0ZN"</f>
        <v>#VALUE!</v>
      </c>
      <c r="GA296" t="e">
        <f>Europe!B1334+"n/&gt;!0ZO"</f>
        <v>#VALUE!</v>
      </c>
      <c r="GB296" t="e">
        <f>Europe!C1334+"n/&gt;!0ZP"</f>
        <v>#VALUE!</v>
      </c>
      <c r="GC296" t="e">
        <f>Europe!D1334+"n/&gt;!0ZQ"</f>
        <v>#VALUE!</v>
      </c>
      <c r="GD296" t="e">
        <f>Europe!E1334+"n/&gt;!0ZR"</f>
        <v>#VALUE!</v>
      </c>
      <c r="GE296" t="e">
        <f>Europe!F1334+"n/&gt;!0ZS"</f>
        <v>#VALUE!</v>
      </c>
      <c r="GF296" t="e">
        <f>Europe!G1334+"n/&gt;!0ZT"</f>
        <v>#VALUE!</v>
      </c>
      <c r="GG296" t="e">
        <f>Europe!H1334+"n/&gt;!0ZU"</f>
        <v>#VALUE!</v>
      </c>
      <c r="GH296" t="e">
        <f>Europe!I1334+"n/&gt;!0ZV"</f>
        <v>#VALUE!</v>
      </c>
      <c r="GI296" t="e">
        <f>Europe!A1335+"n/&gt;!0ZW"</f>
        <v>#VALUE!</v>
      </c>
      <c r="GJ296" t="e">
        <f>Europe!B1335+"n/&gt;!0ZX"</f>
        <v>#VALUE!</v>
      </c>
      <c r="GK296" t="e">
        <f>Europe!C1335+"n/&gt;!0ZY"</f>
        <v>#VALUE!</v>
      </c>
      <c r="GL296" t="e">
        <f>Europe!D1335+"n/&gt;!0ZZ"</f>
        <v>#VALUE!</v>
      </c>
      <c r="GM296" t="e">
        <f>Europe!E1335+"n/&gt;!0Z["</f>
        <v>#VALUE!</v>
      </c>
      <c r="GN296" t="e">
        <f>Europe!F1335+"n/&gt;!0Z\"</f>
        <v>#VALUE!</v>
      </c>
      <c r="GO296" t="e">
        <f>Europe!G1335+"n/&gt;!0Z]"</f>
        <v>#VALUE!</v>
      </c>
      <c r="GP296" t="e">
        <f>Europe!H1335+"n/&gt;!0Z^"</f>
        <v>#VALUE!</v>
      </c>
      <c r="GQ296" t="e">
        <f>Europe!I1335+"n/&gt;!0Z_"</f>
        <v>#VALUE!</v>
      </c>
      <c r="GR296" t="e">
        <f>Europe!A1336+"n/&gt;!0Z`"</f>
        <v>#VALUE!</v>
      </c>
      <c r="GS296" t="e">
        <f>Europe!B1336+"n/&gt;!0Za"</f>
        <v>#VALUE!</v>
      </c>
      <c r="GT296" t="e">
        <f>Europe!C1336+"n/&gt;!0Zb"</f>
        <v>#VALUE!</v>
      </c>
      <c r="GU296" t="e">
        <f>Europe!D1336+"n/&gt;!0Zc"</f>
        <v>#VALUE!</v>
      </c>
      <c r="GV296" t="e">
        <f>Europe!E1336+"n/&gt;!0Zd"</f>
        <v>#VALUE!</v>
      </c>
      <c r="GW296" t="e">
        <f>Europe!F1336+"n/&gt;!0Ze"</f>
        <v>#VALUE!</v>
      </c>
      <c r="GX296" t="e">
        <f>Europe!G1336+"n/&gt;!0Zf"</f>
        <v>#VALUE!</v>
      </c>
      <c r="GY296" t="e">
        <f>Europe!H1336+"n/&gt;!0Zg"</f>
        <v>#VALUE!</v>
      </c>
      <c r="GZ296" t="e">
        <f>Europe!I1336+"n/&gt;!0Zh"</f>
        <v>#VALUE!</v>
      </c>
      <c r="HA296" t="e">
        <f>Europe!A1337+"n/&gt;!0Zi"</f>
        <v>#VALUE!</v>
      </c>
      <c r="HB296" t="e">
        <f>Europe!B1337+"n/&gt;!0Zj"</f>
        <v>#VALUE!</v>
      </c>
      <c r="HC296" t="e">
        <f>Europe!C1337+"n/&gt;!0Zk"</f>
        <v>#VALUE!</v>
      </c>
      <c r="HD296" t="e">
        <f>Europe!D1337+"n/&gt;!0Zl"</f>
        <v>#VALUE!</v>
      </c>
      <c r="HE296" t="e">
        <f>Europe!E1337+"n/&gt;!0Zm"</f>
        <v>#VALUE!</v>
      </c>
      <c r="HF296" t="e">
        <f>Europe!F1337+"n/&gt;!0Zn"</f>
        <v>#VALUE!</v>
      </c>
      <c r="HG296" t="e">
        <f>Europe!G1337+"n/&gt;!0Zo"</f>
        <v>#VALUE!</v>
      </c>
      <c r="HH296" t="e">
        <f>Europe!H1337+"n/&gt;!0Zp"</f>
        <v>#VALUE!</v>
      </c>
      <c r="HI296" t="e">
        <f>Europe!I1337+"n/&gt;!0Zq"</f>
        <v>#VALUE!</v>
      </c>
      <c r="HJ296" t="e">
        <f>Europe!A1338+"n/&gt;!0Zr"</f>
        <v>#VALUE!</v>
      </c>
      <c r="HK296" t="e">
        <f>Europe!B1338+"n/&gt;!0Zs"</f>
        <v>#VALUE!</v>
      </c>
      <c r="HL296" t="e">
        <f>Europe!C1338+"n/&gt;!0Zt"</f>
        <v>#VALUE!</v>
      </c>
      <c r="HM296" t="e">
        <f>Europe!D1338+"n/&gt;!0Zu"</f>
        <v>#VALUE!</v>
      </c>
      <c r="HN296" t="e">
        <f>Europe!E1338+"n/&gt;!0Zv"</f>
        <v>#VALUE!</v>
      </c>
      <c r="HO296" t="e">
        <f>Europe!F1338+"n/&gt;!0Zw"</f>
        <v>#VALUE!</v>
      </c>
      <c r="HP296" t="e">
        <f>Europe!G1338+"n/&gt;!0Zx"</f>
        <v>#VALUE!</v>
      </c>
      <c r="HQ296" t="e">
        <f>Europe!H1338+"n/&gt;!0Zy"</f>
        <v>#VALUE!</v>
      </c>
      <c r="HR296" t="e">
        <f>Europe!I1338+"n/&gt;!0Zz"</f>
        <v>#VALUE!</v>
      </c>
      <c r="HS296" t="e">
        <f>Europe!A1339+"n/&gt;!0Z{"</f>
        <v>#VALUE!</v>
      </c>
      <c r="HT296" t="e">
        <f>Europe!B1339+"n/&gt;!0Z|"</f>
        <v>#VALUE!</v>
      </c>
      <c r="HU296" t="e">
        <f>Europe!C1339+"n/&gt;!0Z}"</f>
        <v>#VALUE!</v>
      </c>
      <c r="HV296" t="e">
        <f>Europe!D1339+"n/&gt;!0Z~"</f>
        <v>#VALUE!</v>
      </c>
      <c r="HW296" t="e">
        <f>Europe!E1339+"n/&gt;!0[#"</f>
        <v>#VALUE!</v>
      </c>
      <c r="HX296" t="e">
        <f>Europe!F1339+"n/&gt;!0[$"</f>
        <v>#VALUE!</v>
      </c>
      <c r="HY296" t="e">
        <f>Europe!G1339+"n/&gt;!0[%"</f>
        <v>#VALUE!</v>
      </c>
      <c r="HZ296" t="e">
        <f>Europe!H1339+"n/&gt;!0[&amp;"</f>
        <v>#VALUE!</v>
      </c>
      <c r="IA296" t="e">
        <f>Europe!I1339+"n/&gt;!0['"</f>
        <v>#VALUE!</v>
      </c>
      <c r="IB296" t="e">
        <f>Europe!A1340+"n/&gt;!0[("</f>
        <v>#VALUE!</v>
      </c>
      <c r="IC296" t="e">
        <f>Europe!B1340+"n/&gt;!0[)"</f>
        <v>#VALUE!</v>
      </c>
      <c r="ID296" t="e">
        <f>Europe!C1340+"n/&gt;!0[."</f>
        <v>#VALUE!</v>
      </c>
      <c r="IE296" t="e">
        <f>Europe!D1340+"n/&gt;!0[/"</f>
        <v>#VALUE!</v>
      </c>
      <c r="IF296" t="e">
        <f>Europe!E1340+"n/&gt;!0[0"</f>
        <v>#VALUE!</v>
      </c>
      <c r="IG296" t="e">
        <f>Europe!F1340+"n/&gt;!0[1"</f>
        <v>#VALUE!</v>
      </c>
      <c r="IH296" t="e">
        <f>Europe!G1340+"n/&gt;!0[2"</f>
        <v>#VALUE!</v>
      </c>
      <c r="II296" t="e">
        <f>Europe!H1340+"n/&gt;!0[3"</f>
        <v>#VALUE!</v>
      </c>
      <c r="IJ296" t="e">
        <f>Europe!I1340+"n/&gt;!0[4"</f>
        <v>#VALUE!</v>
      </c>
      <c r="IK296" t="e">
        <f>Europe!A1341+"n/&gt;!0[5"</f>
        <v>#VALUE!</v>
      </c>
      <c r="IL296" t="e">
        <f>Europe!B1341+"n/&gt;!0[6"</f>
        <v>#VALUE!</v>
      </c>
      <c r="IM296" t="e">
        <f>Europe!C1341+"n/&gt;!0[7"</f>
        <v>#VALUE!</v>
      </c>
      <c r="IN296" t="e">
        <f>Europe!D1341+"n/&gt;!0[8"</f>
        <v>#VALUE!</v>
      </c>
      <c r="IO296" t="e">
        <f>Europe!E1341+"n/&gt;!0[9"</f>
        <v>#VALUE!</v>
      </c>
      <c r="IP296" t="e">
        <f>Europe!F1341+"n/&gt;!0[:"</f>
        <v>#VALUE!</v>
      </c>
      <c r="IQ296" t="e">
        <f>Europe!G1341+"n/&gt;!0[;"</f>
        <v>#VALUE!</v>
      </c>
      <c r="IR296" t="e">
        <f>Europe!H1341+"n/&gt;!0[&lt;"</f>
        <v>#VALUE!</v>
      </c>
      <c r="IS296" t="e">
        <f>Europe!I1341+"n/&gt;!0[="</f>
        <v>#VALUE!</v>
      </c>
      <c r="IT296" t="e">
        <f>Europe!A1342+"n/&gt;!0[&gt;"</f>
        <v>#VALUE!</v>
      </c>
      <c r="IU296" t="e">
        <f>Europe!B1342+"n/&gt;!0[?"</f>
        <v>#VALUE!</v>
      </c>
      <c r="IV296" t="e">
        <f>Europe!C1342+"n/&gt;!0[@"</f>
        <v>#VALUE!</v>
      </c>
    </row>
    <row r="297" spans="6:256" x14ac:dyDescent="0.35">
      <c r="F297" t="e">
        <f>Europe!D1342+"n/&gt;!0[A"</f>
        <v>#VALUE!</v>
      </c>
      <c r="G297" t="e">
        <f>Europe!E1342+"n/&gt;!0[B"</f>
        <v>#VALUE!</v>
      </c>
      <c r="H297" t="e">
        <f>Europe!F1342+"n/&gt;!0[C"</f>
        <v>#VALUE!</v>
      </c>
      <c r="I297" t="e">
        <f>Europe!G1342+"n/&gt;!0[D"</f>
        <v>#VALUE!</v>
      </c>
      <c r="J297" t="e">
        <f>Europe!H1342+"n/&gt;!0[E"</f>
        <v>#VALUE!</v>
      </c>
      <c r="K297" t="e">
        <f>Europe!I1342+"n/&gt;!0[F"</f>
        <v>#VALUE!</v>
      </c>
      <c r="L297" t="e">
        <f>Europe!A1343+"n/&gt;!0[G"</f>
        <v>#VALUE!</v>
      </c>
      <c r="M297" t="e">
        <f>Europe!B1343+"n/&gt;!0[H"</f>
        <v>#VALUE!</v>
      </c>
      <c r="N297" t="e">
        <f>Europe!C1343+"n/&gt;!0[I"</f>
        <v>#VALUE!</v>
      </c>
      <c r="O297" t="e">
        <f>Europe!D1343+"n/&gt;!0[J"</f>
        <v>#VALUE!</v>
      </c>
      <c r="P297" t="e">
        <f>Europe!E1343+"n/&gt;!0[K"</f>
        <v>#VALUE!</v>
      </c>
      <c r="Q297" t="e">
        <f>Europe!F1343+"n/&gt;!0[L"</f>
        <v>#VALUE!</v>
      </c>
      <c r="R297" t="e">
        <f>Europe!G1343+"n/&gt;!0[M"</f>
        <v>#VALUE!</v>
      </c>
      <c r="S297" t="e">
        <f>Europe!H1343+"n/&gt;!0[N"</f>
        <v>#VALUE!</v>
      </c>
      <c r="T297" t="e">
        <f>Europe!I1343+"n/&gt;!0[O"</f>
        <v>#VALUE!</v>
      </c>
      <c r="U297" t="e">
        <f>Europe!A1344+"n/&gt;!0[P"</f>
        <v>#VALUE!</v>
      </c>
      <c r="V297" t="e">
        <f>Europe!B1344+"n/&gt;!0[Q"</f>
        <v>#VALUE!</v>
      </c>
      <c r="W297" t="e">
        <f>Europe!C1344+"n/&gt;!0[R"</f>
        <v>#VALUE!</v>
      </c>
      <c r="X297" t="e">
        <f>Europe!D1344+"n/&gt;!0[S"</f>
        <v>#VALUE!</v>
      </c>
      <c r="Y297" t="e">
        <f>Europe!E1344+"n/&gt;!0[T"</f>
        <v>#VALUE!</v>
      </c>
      <c r="Z297" t="e">
        <f>Europe!F1344+"n/&gt;!0[U"</f>
        <v>#VALUE!</v>
      </c>
      <c r="AA297" t="e">
        <f>Europe!G1344+"n/&gt;!0[V"</f>
        <v>#VALUE!</v>
      </c>
      <c r="AB297" t="e">
        <f>Europe!H1344+"n/&gt;!0[W"</f>
        <v>#VALUE!</v>
      </c>
      <c r="AC297" t="e">
        <f>Europe!I1344+"n/&gt;!0[X"</f>
        <v>#VALUE!</v>
      </c>
      <c r="AD297" t="e">
        <f>Europe!A1345+"n/&gt;!0[Y"</f>
        <v>#VALUE!</v>
      </c>
      <c r="AE297" t="e">
        <f>Europe!B1345+"n/&gt;!0[Z"</f>
        <v>#VALUE!</v>
      </c>
      <c r="AF297" t="e">
        <f>Europe!C1345+"n/&gt;!0[["</f>
        <v>#VALUE!</v>
      </c>
      <c r="AG297" t="e">
        <f>Europe!D1345+"n/&gt;!0[\"</f>
        <v>#VALUE!</v>
      </c>
      <c r="AH297" t="e">
        <f>Europe!E1345+"n/&gt;!0[]"</f>
        <v>#VALUE!</v>
      </c>
      <c r="AI297" t="e">
        <f>Europe!F1345+"n/&gt;!0[^"</f>
        <v>#VALUE!</v>
      </c>
      <c r="AJ297" t="e">
        <f>Europe!G1345+"n/&gt;!0[_"</f>
        <v>#VALUE!</v>
      </c>
      <c r="AK297" t="e">
        <f>Europe!H1345+"n/&gt;!0[`"</f>
        <v>#VALUE!</v>
      </c>
      <c r="AL297" t="e">
        <f>Europe!I1345+"n/&gt;!0[a"</f>
        <v>#VALUE!</v>
      </c>
      <c r="AM297" t="e">
        <f>Europe!A1346+"n/&gt;!0[b"</f>
        <v>#VALUE!</v>
      </c>
      <c r="AN297" t="e">
        <f>Europe!B1346+"n/&gt;!0[c"</f>
        <v>#VALUE!</v>
      </c>
      <c r="AO297" t="e">
        <f>Europe!C1346+"n/&gt;!0[d"</f>
        <v>#VALUE!</v>
      </c>
      <c r="AP297" t="e">
        <f>Europe!D1346+"n/&gt;!0[e"</f>
        <v>#VALUE!</v>
      </c>
      <c r="AQ297" t="e">
        <f>Europe!E1346+"n/&gt;!0[f"</f>
        <v>#VALUE!</v>
      </c>
      <c r="AR297" t="e">
        <f>Europe!F1346+"n/&gt;!0[g"</f>
        <v>#VALUE!</v>
      </c>
      <c r="AS297" t="e">
        <f>Europe!G1346+"n/&gt;!0[h"</f>
        <v>#VALUE!</v>
      </c>
      <c r="AT297" t="e">
        <f>Europe!H1346+"n/&gt;!0[i"</f>
        <v>#VALUE!</v>
      </c>
      <c r="AU297" t="e">
        <f>Europe!I1346+"n/&gt;!0[j"</f>
        <v>#VALUE!</v>
      </c>
      <c r="AV297" t="e">
        <f>Europe!A1347+"n/&gt;!0[k"</f>
        <v>#VALUE!</v>
      </c>
      <c r="AW297" t="e">
        <f>Europe!B1347+"n/&gt;!0[l"</f>
        <v>#VALUE!</v>
      </c>
      <c r="AX297" t="e">
        <f>Europe!C1347+"n/&gt;!0[m"</f>
        <v>#VALUE!</v>
      </c>
      <c r="AY297" t="e">
        <f>Europe!D1347+"n/&gt;!0[n"</f>
        <v>#VALUE!</v>
      </c>
      <c r="AZ297" t="e">
        <f>Europe!E1347+"n/&gt;!0[o"</f>
        <v>#VALUE!</v>
      </c>
      <c r="BA297" t="e">
        <f>Europe!F1347+"n/&gt;!0[p"</f>
        <v>#VALUE!</v>
      </c>
      <c r="BB297" t="e">
        <f>Europe!G1347+"n/&gt;!0[q"</f>
        <v>#VALUE!</v>
      </c>
      <c r="BC297" t="e">
        <f>Europe!H1347+"n/&gt;!0[r"</f>
        <v>#VALUE!</v>
      </c>
      <c r="BD297" t="e">
        <f>Europe!I1347+"n/&gt;!0[s"</f>
        <v>#VALUE!</v>
      </c>
      <c r="BE297" t="e">
        <f>Europe!A1348+"n/&gt;!0[t"</f>
        <v>#VALUE!</v>
      </c>
      <c r="BF297" t="e">
        <f>Europe!B1348+"n/&gt;!0[u"</f>
        <v>#VALUE!</v>
      </c>
      <c r="BG297" t="e">
        <f>Europe!C1348+"n/&gt;!0[v"</f>
        <v>#VALUE!</v>
      </c>
      <c r="BH297" t="e">
        <f>Europe!D1348+"n/&gt;!0[w"</f>
        <v>#VALUE!</v>
      </c>
      <c r="BI297" t="e">
        <f>Europe!E1348+"n/&gt;!0[x"</f>
        <v>#VALUE!</v>
      </c>
      <c r="BJ297" t="e">
        <f>Europe!F1348+"n/&gt;!0[y"</f>
        <v>#VALUE!</v>
      </c>
      <c r="BK297" t="e">
        <f>Europe!G1348+"n/&gt;!0[z"</f>
        <v>#VALUE!</v>
      </c>
      <c r="BL297" t="e">
        <f>Europe!H1348+"n/&gt;!0[{"</f>
        <v>#VALUE!</v>
      </c>
      <c r="BM297" t="e">
        <f>Europe!I1348+"n/&gt;!0[|"</f>
        <v>#VALUE!</v>
      </c>
      <c r="BN297" t="e">
        <f>Europe!A1349+"n/&gt;!0[}"</f>
        <v>#VALUE!</v>
      </c>
      <c r="BO297" t="e">
        <f>Europe!B1349+"n/&gt;!0[~"</f>
        <v>#VALUE!</v>
      </c>
      <c r="BP297" t="e">
        <f>Europe!C1349+"n/&gt;!0\#"</f>
        <v>#VALUE!</v>
      </c>
      <c r="BQ297" t="e">
        <f>Europe!D1349+"n/&gt;!0\$"</f>
        <v>#VALUE!</v>
      </c>
      <c r="BR297" t="e">
        <f>Europe!E1349+"n/&gt;!0\%"</f>
        <v>#VALUE!</v>
      </c>
      <c r="BS297" t="e">
        <f>Europe!F1349+"n/&gt;!0\&amp;"</f>
        <v>#VALUE!</v>
      </c>
      <c r="BT297" t="e">
        <f>Europe!G1349+"n/&gt;!0\'"</f>
        <v>#VALUE!</v>
      </c>
      <c r="BU297" t="e">
        <f>Europe!H1349+"n/&gt;!0\("</f>
        <v>#VALUE!</v>
      </c>
      <c r="BV297" t="e">
        <f>Europe!I1349+"n/&gt;!0\)"</f>
        <v>#VALUE!</v>
      </c>
      <c r="BW297" t="e">
        <f>Europe!A1350+"n/&gt;!0\."</f>
        <v>#VALUE!</v>
      </c>
      <c r="BX297" t="e">
        <f>Europe!B1350+"n/&gt;!0\/"</f>
        <v>#VALUE!</v>
      </c>
      <c r="BY297" t="e">
        <f>Europe!C1350+"n/&gt;!0\0"</f>
        <v>#VALUE!</v>
      </c>
      <c r="BZ297" t="e">
        <f>Europe!D1350+"n/&gt;!0\1"</f>
        <v>#VALUE!</v>
      </c>
      <c r="CA297" t="e">
        <f>Europe!E1350+"n/&gt;!0\2"</f>
        <v>#VALUE!</v>
      </c>
      <c r="CB297" t="e">
        <f>Europe!F1350+"n/&gt;!0\3"</f>
        <v>#VALUE!</v>
      </c>
      <c r="CC297" t="e">
        <f>Europe!G1350+"n/&gt;!0\4"</f>
        <v>#VALUE!</v>
      </c>
      <c r="CD297" t="e">
        <f>Europe!H1350+"n/&gt;!0\5"</f>
        <v>#VALUE!</v>
      </c>
      <c r="CE297" t="e">
        <f>Europe!I1350+"n/&gt;!0\6"</f>
        <v>#VALUE!</v>
      </c>
      <c r="CF297" t="e">
        <f>Europe!A1351+"n/&gt;!0\7"</f>
        <v>#VALUE!</v>
      </c>
      <c r="CG297" t="e">
        <f>Europe!B1351+"n/&gt;!0\8"</f>
        <v>#VALUE!</v>
      </c>
      <c r="CH297" t="e">
        <f>Europe!C1351+"n/&gt;!0\9"</f>
        <v>#VALUE!</v>
      </c>
      <c r="CI297" t="e">
        <f>Europe!D1351+"n/&gt;!0\:"</f>
        <v>#VALUE!</v>
      </c>
      <c r="CJ297" t="e">
        <f>Europe!E1351+"n/&gt;!0\;"</f>
        <v>#VALUE!</v>
      </c>
      <c r="CK297" t="e">
        <f>Europe!F1351+"n/&gt;!0\&lt;"</f>
        <v>#VALUE!</v>
      </c>
      <c r="CL297" t="e">
        <f>Europe!G1351+"n/&gt;!0\="</f>
        <v>#VALUE!</v>
      </c>
      <c r="CM297" t="e">
        <f>Europe!H1351+"n/&gt;!0\&gt;"</f>
        <v>#VALUE!</v>
      </c>
      <c r="CN297" t="e">
        <f>Europe!I1351+"n/&gt;!0\?"</f>
        <v>#VALUE!</v>
      </c>
      <c r="CO297" t="e">
        <f>Europe!A1352+"n/&gt;!0\@"</f>
        <v>#VALUE!</v>
      </c>
      <c r="CP297" t="e">
        <f>Europe!B1352+"n/&gt;!0\A"</f>
        <v>#VALUE!</v>
      </c>
      <c r="CQ297" t="e">
        <f>Europe!C1352+"n/&gt;!0\B"</f>
        <v>#VALUE!</v>
      </c>
      <c r="CR297" t="e">
        <f>Europe!D1352+"n/&gt;!0\C"</f>
        <v>#VALUE!</v>
      </c>
      <c r="CS297" t="e">
        <f>Europe!E1352+"n/&gt;!0\D"</f>
        <v>#VALUE!</v>
      </c>
      <c r="CT297" t="e">
        <f>Europe!F1352+"n/&gt;!0\E"</f>
        <v>#VALUE!</v>
      </c>
      <c r="CU297" t="e">
        <f>Europe!G1352+"n/&gt;!0\F"</f>
        <v>#VALUE!</v>
      </c>
      <c r="CV297" t="e">
        <f>Europe!H1352+"n/&gt;!0\G"</f>
        <v>#VALUE!</v>
      </c>
      <c r="CW297" t="e">
        <f>Europe!I1352+"n/&gt;!0\H"</f>
        <v>#VALUE!</v>
      </c>
      <c r="CX297" t="e">
        <f>Europe!A1353+"n/&gt;!0\I"</f>
        <v>#VALUE!</v>
      </c>
      <c r="CY297" t="e">
        <f>Europe!B1353+"n/&gt;!0\J"</f>
        <v>#VALUE!</v>
      </c>
      <c r="CZ297" t="e">
        <f>Europe!C1353+"n/&gt;!0\K"</f>
        <v>#VALUE!</v>
      </c>
      <c r="DA297" t="e">
        <f>Europe!D1353+"n/&gt;!0\L"</f>
        <v>#VALUE!</v>
      </c>
      <c r="DB297" t="e">
        <f>Europe!E1353+"n/&gt;!0\M"</f>
        <v>#VALUE!</v>
      </c>
      <c r="DC297" t="e">
        <f>Europe!F1353+"n/&gt;!0\N"</f>
        <v>#VALUE!</v>
      </c>
      <c r="DD297" t="e">
        <f>Europe!G1353+"n/&gt;!0\O"</f>
        <v>#VALUE!</v>
      </c>
      <c r="DE297" t="e">
        <f>Europe!H1353+"n/&gt;!0\P"</f>
        <v>#VALUE!</v>
      </c>
      <c r="DF297" t="e">
        <f>Europe!I1353+"n/&gt;!0\Q"</f>
        <v>#VALUE!</v>
      </c>
      <c r="DG297" t="e">
        <f>Europe!A1354+"n/&gt;!0\R"</f>
        <v>#VALUE!</v>
      </c>
      <c r="DH297" t="e">
        <f>Europe!B1354+"n/&gt;!0\S"</f>
        <v>#VALUE!</v>
      </c>
      <c r="DI297" t="e">
        <f>Europe!C1354+"n/&gt;!0\T"</f>
        <v>#VALUE!</v>
      </c>
      <c r="DJ297" t="e">
        <f>Europe!D1354+"n/&gt;!0\U"</f>
        <v>#VALUE!</v>
      </c>
      <c r="DK297" t="e">
        <f>Europe!E1354+"n/&gt;!0\V"</f>
        <v>#VALUE!</v>
      </c>
      <c r="DL297" t="e">
        <f>Europe!F1354+"n/&gt;!0\W"</f>
        <v>#VALUE!</v>
      </c>
      <c r="DM297" t="e">
        <f>Europe!G1354+"n/&gt;!0\X"</f>
        <v>#VALUE!</v>
      </c>
      <c r="DN297" t="e">
        <f>Europe!H1354+"n/&gt;!0\Y"</f>
        <v>#VALUE!</v>
      </c>
      <c r="DO297" t="e">
        <f>Europe!I1354+"n/&gt;!0\Z"</f>
        <v>#VALUE!</v>
      </c>
      <c r="DP297" t="e">
        <f>Europe!A1355+"n/&gt;!0\["</f>
        <v>#VALUE!</v>
      </c>
      <c r="DQ297" t="e">
        <f>Europe!B1355+"n/&gt;!0\\"</f>
        <v>#VALUE!</v>
      </c>
      <c r="DR297" t="e">
        <f>Europe!C1355+"n/&gt;!0\]"</f>
        <v>#VALUE!</v>
      </c>
      <c r="DS297" t="e">
        <f>Europe!D1355+"n/&gt;!0\^"</f>
        <v>#VALUE!</v>
      </c>
      <c r="DT297" t="e">
        <f>Europe!E1355+"n/&gt;!0\_"</f>
        <v>#VALUE!</v>
      </c>
      <c r="DU297" t="e">
        <f>Europe!F1355+"n/&gt;!0\`"</f>
        <v>#VALUE!</v>
      </c>
      <c r="DV297" t="e">
        <f>Europe!G1355+"n/&gt;!0\a"</f>
        <v>#VALUE!</v>
      </c>
      <c r="DW297" t="e">
        <f>Europe!H1355+"n/&gt;!0\b"</f>
        <v>#VALUE!</v>
      </c>
      <c r="DX297" t="e">
        <f>Europe!I1355+"n/&gt;!0\c"</f>
        <v>#VALUE!</v>
      </c>
      <c r="DY297" t="e">
        <f>Europe!A1356+"n/&gt;!0\d"</f>
        <v>#VALUE!</v>
      </c>
      <c r="DZ297" t="e">
        <f>Europe!B1356+"n/&gt;!0\e"</f>
        <v>#VALUE!</v>
      </c>
      <c r="EA297" t="e">
        <f>Europe!C1356+"n/&gt;!0\f"</f>
        <v>#VALUE!</v>
      </c>
      <c r="EB297" t="e">
        <f>Europe!D1356+"n/&gt;!0\g"</f>
        <v>#VALUE!</v>
      </c>
      <c r="EC297" t="e">
        <f>Europe!E1356+"n/&gt;!0\h"</f>
        <v>#VALUE!</v>
      </c>
      <c r="ED297" t="e">
        <f>Europe!F1356+"n/&gt;!0\i"</f>
        <v>#VALUE!</v>
      </c>
      <c r="EE297" t="e">
        <f>Europe!G1356+"n/&gt;!0\j"</f>
        <v>#VALUE!</v>
      </c>
      <c r="EF297" t="e">
        <f>Europe!H1356+"n/&gt;!0\k"</f>
        <v>#VALUE!</v>
      </c>
      <c r="EG297" t="e">
        <f>Europe!I1356+"n/&gt;!0\l"</f>
        <v>#VALUE!</v>
      </c>
      <c r="EH297" t="e">
        <f>Europe!A1357+"n/&gt;!0\m"</f>
        <v>#VALUE!</v>
      </c>
      <c r="EI297" t="e">
        <f>Europe!B1357+"n/&gt;!0\n"</f>
        <v>#VALUE!</v>
      </c>
      <c r="EJ297" t="e">
        <f>Europe!C1357+"n/&gt;!0\o"</f>
        <v>#VALUE!</v>
      </c>
      <c r="EK297" t="e">
        <f>Europe!D1357+"n/&gt;!0\p"</f>
        <v>#VALUE!</v>
      </c>
      <c r="EL297" t="e">
        <f>Europe!E1357+"n/&gt;!0\q"</f>
        <v>#VALUE!</v>
      </c>
      <c r="EM297" t="e">
        <f>Europe!F1357+"n/&gt;!0\r"</f>
        <v>#VALUE!</v>
      </c>
      <c r="EN297" t="e">
        <f>Europe!G1357+"n/&gt;!0\s"</f>
        <v>#VALUE!</v>
      </c>
      <c r="EO297" t="e">
        <f>Europe!H1357+"n/&gt;!0\t"</f>
        <v>#VALUE!</v>
      </c>
      <c r="EP297" t="e">
        <f>Europe!I1357+"n/&gt;!0\u"</f>
        <v>#VALUE!</v>
      </c>
      <c r="EQ297" t="e">
        <f>Europe!A1358+"n/&gt;!0\v"</f>
        <v>#VALUE!</v>
      </c>
      <c r="ER297" t="e">
        <f>Europe!B1358+"n/&gt;!0\w"</f>
        <v>#VALUE!</v>
      </c>
      <c r="ES297" t="e">
        <f>Europe!C1358+"n/&gt;!0\x"</f>
        <v>#VALUE!</v>
      </c>
      <c r="ET297" t="e">
        <f>Europe!D1358+"n/&gt;!0\y"</f>
        <v>#VALUE!</v>
      </c>
      <c r="EU297" t="e">
        <f>Europe!E1358+"n/&gt;!0\z"</f>
        <v>#VALUE!</v>
      </c>
      <c r="EV297" t="e">
        <f>Europe!F1358+"n/&gt;!0\{"</f>
        <v>#VALUE!</v>
      </c>
      <c r="EW297" t="e">
        <f>Europe!G1358+"n/&gt;!0\|"</f>
        <v>#VALUE!</v>
      </c>
      <c r="EX297" t="e">
        <f>Europe!H1358+"n/&gt;!0\}"</f>
        <v>#VALUE!</v>
      </c>
      <c r="EY297" t="e">
        <f>Europe!I1358+"n/&gt;!0\~"</f>
        <v>#VALUE!</v>
      </c>
      <c r="EZ297" t="e">
        <f>Europe!A1359+"n/&gt;!0]#"</f>
        <v>#VALUE!</v>
      </c>
      <c r="FA297" t="e">
        <f>Europe!B1359+"n/&gt;!0]$"</f>
        <v>#VALUE!</v>
      </c>
      <c r="FB297" t="e">
        <f>Europe!C1359+"n/&gt;!0]%"</f>
        <v>#VALUE!</v>
      </c>
      <c r="FC297" t="e">
        <f>Europe!D1359+"n/&gt;!0]&amp;"</f>
        <v>#VALUE!</v>
      </c>
      <c r="FD297" t="e">
        <f>Europe!E1359+"n/&gt;!0]'"</f>
        <v>#VALUE!</v>
      </c>
      <c r="FE297" t="e">
        <f>Europe!F1359+"n/&gt;!0]("</f>
        <v>#VALUE!</v>
      </c>
      <c r="FF297" t="e">
        <f>Europe!G1359+"n/&gt;!0])"</f>
        <v>#VALUE!</v>
      </c>
      <c r="FG297" t="e">
        <f>Europe!H1359+"n/&gt;!0]."</f>
        <v>#VALUE!</v>
      </c>
      <c r="FH297" t="e">
        <f>Europe!I1359+"n/&gt;!0]/"</f>
        <v>#VALUE!</v>
      </c>
      <c r="FI297" t="e">
        <f>Europe!A1360+"n/&gt;!0]0"</f>
        <v>#VALUE!</v>
      </c>
      <c r="FJ297" t="e">
        <f>Europe!B1360+"n/&gt;!0]1"</f>
        <v>#VALUE!</v>
      </c>
      <c r="FK297" t="e">
        <f>Europe!C1360+"n/&gt;!0]2"</f>
        <v>#VALUE!</v>
      </c>
      <c r="FL297" t="e">
        <f>Europe!D1360+"n/&gt;!0]3"</f>
        <v>#VALUE!</v>
      </c>
      <c r="FM297" t="e">
        <f>Europe!E1360+"n/&gt;!0]4"</f>
        <v>#VALUE!</v>
      </c>
      <c r="FN297" t="e">
        <f>Europe!F1360+"n/&gt;!0]5"</f>
        <v>#VALUE!</v>
      </c>
      <c r="FO297" t="e">
        <f>Europe!G1360+"n/&gt;!0]6"</f>
        <v>#VALUE!</v>
      </c>
      <c r="FP297" t="e">
        <f>Europe!H1360+"n/&gt;!0]7"</f>
        <v>#VALUE!</v>
      </c>
      <c r="FQ297" t="e">
        <f>Europe!I1360+"n/&gt;!0]8"</f>
        <v>#VALUE!</v>
      </c>
      <c r="FR297" t="e">
        <f>Europe!A1361+"n/&gt;!0]9"</f>
        <v>#VALUE!</v>
      </c>
      <c r="FS297" t="e">
        <f>Europe!B1361+"n/&gt;!0]:"</f>
        <v>#VALUE!</v>
      </c>
      <c r="FT297" t="e">
        <f>Europe!C1361+"n/&gt;!0];"</f>
        <v>#VALUE!</v>
      </c>
      <c r="FU297" t="e">
        <f>Europe!D1361+"n/&gt;!0]&lt;"</f>
        <v>#VALUE!</v>
      </c>
      <c r="FV297" t="e">
        <f>Europe!E1361+"n/&gt;!0]="</f>
        <v>#VALUE!</v>
      </c>
      <c r="FW297" t="e">
        <f>Europe!F1361+"n/&gt;!0]&gt;"</f>
        <v>#VALUE!</v>
      </c>
      <c r="FX297" t="e">
        <f>Europe!G1361+"n/&gt;!0]?"</f>
        <v>#VALUE!</v>
      </c>
      <c r="FY297" t="e">
        <f>Europe!H1361+"n/&gt;!0]@"</f>
        <v>#VALUE!</v>
      </c>
      <c r="FZ297" t="e">
        <f>Europe!I1361+"n/&gt;!0]A"</f>
        <v>#VALUE!</v>
      </c>
      <c r="GA297" t="e">
        <f>Europe!A1362+"n/&gt;!0]B"</f>
        <v>#VALUE!</v>
      </c>
      <c r="GB297" t="e">
        <f>Europe!B1362+"n/&gt;!0]C"</f>
        <v>#VALUE!</v>
      </c>
      <c r="GC297" t="e">
        <f>Europe!C1362+"n/&gt;!0]D"</f>
        <v>#VALUE!</v>
      </c>
      <c r="GD297" t="e">
        <f>Europe!D1362+"n/&gt;!0]E"</f>
        <v>#VALUE!</v>
      </c>
      <c r="GE297" t="e">
        <f>Europe!E1362+"n/&gt;!0]F"</f>
        <v>#VALUE!</v>
      </c>
      <c r="GF297" t="e">
        <f>Europe!F1362+"n/&gt;!0]G"</f>
        <v>#VALUE!</v>
      </c>
      <c r="GG297" t="e">
        <f>Europe!G1362+"n/&gt;!0]H"</f>
        <v>#VALUE!</v>
      </c>
      <c r="GH297" t="e">
        <f>Europe!H1362+"n/&gt;!0]I"</f>
        <v>#VALUE!</v>
      </c>
      <c r="GI297" t="e">
        <f>Europe!I1362+"n/&gt;!0]J"</f>
        <v>#VALUE!</v>
      </c>
      <c r="GJ297" t="e">
        <f>Europe!A1363+"n/&gt;!0]K"</f>
        <v>#VALUE!</v>
      </c>
      <c r="GK297" t="e">
        <f>Europe!B1363+"n/&gt;!0]L"</f>
        <v>#VALUE!</v>
      </c>
      <c r="GL297" t="e">
        <f>Europe!C1363+"n/&gt;!0]M"</f>
        <v>#VALUE!</v>
      </c>
      <c r="GM297" t="e">
        <f>Europe!D1363+"n/&gt;!0]N"</f>
        <v>#VALUE!</v>
      </c>
      <c r="GN297" t="e">
        <f>Europe!E1363+"n/&gt;!0]O"</f>
        <v>#VALUE!</v>
      </c>
      <c r="GO297" t="e">
        <f>Europe!F1363+"n/&gt;!0]P"</f>
        <v>#VALUE!</v>
      </c>
      <c r="GP297" t="e">
        <f>Europe!G1363+"n/&gt;!0]Q"</f>
        <v>#VALUE!</v>
      </c>
      <c r="GQ297" t="e">
        <f>Europe!H1363+"n/&gt;!0]R"</f>
        <v>#VALUE!</v>
      </c>
      <c r="GR297" t="e">
        <f>Europe!I1363+"n/&gt;!0]S"</f>
        <v>#VALUE!</v>
      </c>
      <c r="GS297" t="e">
        <f>Europe!A1364+"n/&gt;!0]T"</f>
        <v>#VALUE!</v>
      </c>
      <c r="GT297" t="e">
        <f>Europe!B1364+"n/&gt;!0]U"</f>
        <v>#VALUE!</v>
      </c>
      <c r="GU297" t="e">
        <f>Europe!C1364+"n/&gt;!0]V"</f>
        <v>#VALUE!</v>
      </c>
      <c r="GV297" t="e">
        <f>Europe!D1364+"n/&gt;!0]W"</f>
        <v>#VALUE!</v>
      </c>
      <c r="GW297" t="e">
        <f>Europe!E1364+"n/&gt;!0]X"</f>
        <v>#VALUE!</v>
      </c>
      <c r="GX297" t="e">
        <f>Europe!F1364+"n/&gt;!0]Y"</f>
        <v>#VALUE!</v>
      </c>
      <c r="GY297" t="e">
        <f>Europe!G1364+"n/&gt;!0]Z"</f>
        <v>#VALUE!</v>
      </c>
      <c r="GZ297" t="e">
        <f>Europe!H1364+"n/&gt;!0]["</f>
        <v>#VALUE!</v>
      </c>
      <c r="HA297" t="e">
        <f>Europe!I1364+"n/&gt;!0]\"</f>
        <v>#VALUE!</v>
      </c>
      <c r="HB297" t="e">
        <f>Europe!A1365+"n/&gt;!0]]"</f>
        <v>#VALUE!</v>
      </c>
      <c r="HC297" t="e">
        <f>Europe!B1365+"n/&gt;!0]^"</f>
        <v>#VALUE!</v>
      </c>
      <c r="HD297" t="e">
        <f>Europe!C1365+"n/&gt;!0]_"</f>
        <v>#VALUE!</v>
      </c>
      <c r="HE297" t="e">
        <f>Europe!D1365+"n/&gt;!0]`"</f>
        <v>#VALUE!</v>
      </c>
      <c r="HF297" t="e">
        <f>Europe!E1365+"n/&gt;!0]a"</f>
        <v>#VALUE!</v>
      </c>
      <c r="HG297" t="e">
        <f>Europe!F1365+"n/&gt;!0]b"</f>
        <v>#VALUE!</v>
      </c>
      <c r="HH297" t="e">
        <f>Europe!G1365+"n/&gt;!0]c"</f>
        <v>#VALUE!</v>
      </c>
      <c r="HI297" t="e">
        <f>Europe!H1365+"n/&gt;!0]d"</f>
        <v>#VALUE!</v>
      </c>
      <c r="HJ297" t="e">
        <f>Europe!I1365+"n/&gt;!0]e"</f>
        <v>#VALUE!</v>
      </c>
      <c r="HK297" t="e">
        <f>Europe!A1366+"n/&gt;!0]f"</f>
        <v>#VALUE!</v>
      </c>
      <c r="HL297" t="e">
        <f>Europe!B1366+"n/&gt;!0]g"</f>
        <v>#VALUE!</v>
      </c>
      <c r="HM297" t="e">
        <f>Europe!C1366+"n/&gt;!0]h"</f>
        <v>#VALUE!</v>
      </c>
      <c r="HN297" t="e">
        <f>Europe!D1366+"n/&gt;!0]i"</f>
        <v>#VALUE!</v>
      </c>
      <c r="HO297" t="e">
        <f>Europe!E1366+"n/&gt;!0]j"</f>
        <v>#VALUE!</v>
      </c>
      <c r="HP297" t="e">
        <f>Europe!F1366+"n/&gt;!0]k"</f>
        <v>#VALUE!</v>
      </c>
      <c r="HQ297" t="e">
        <f>Europe!G1366+"n/&gt;!0]l"</f>
        <v>#VALUE!</v>
      </c>
      <c r="HR297" t="e">
        <f>Europe!H1366+"n/&gt;!0]m"</f>
        <v>#VALUE!</v>
      </c>
      <c r="HS297" t="e">
        <f>Europe!I1366+"n/&gt;!0]n"</f>
        <v>#VALUE!</v>
      </c>
      <c r="HT297" t="e">
        <f>Europe!A1367+"n/&gt;!0]o"</f>
        <v>#VALUE!</v>
      </c>
      <c r="HU297" t="e">
        <f>Europe!B1367+"n/&gt;!0]p"</f>
        <v>#VALUE!</v>
      </c>
      <c r="HV297" t="e">
        <f>Europe!C1367+"n/&gt;!0]q"</f>
        <v>#VALUE!</v>
      </c>
      <c r="HW297" t="e">
        <f>Europe!D1367+"n/&gt;!0]r"</f>
        <v>#VALUE!</v>
      </c>
      <c r="HX297" t="e">
        <f>Europe!E1367+"n/&gt;!0]s"</f>
        <v>#VALUE!</v>
      </c>
      <c r="HY297" t="e">
        <f>Europe!F1367+"n/&gt;!0]t"</f>
        <v>#VALUE!</v>
      </c>
      <c r="HZ297" t="e">
        <f>Europe!G1367+"n/&gt;!0]u"</f>
        <v>#VALUE!</v>
      </c>
      <c r="IA297" t="e">
        <f>Europe!H1367+"n/&gt;!0]v"</f>
        <v>#VALUE!</v>
      </c>
      <c r="IB297" t="e">
        <f>Europe!I1367+"n/&gt;!0]w"</f>
        <v>#VALUE!</v>
      </c>
      <c r="IC297" t="e">
        <f>Europe!A1368+"n/&gt;!0]x"</f>
        <v>#VALUE!</v>
      </c>
      <c r="ID297" t="e">
        <f>Europe!B1368+"n/&gt;!0]y"</f>
        <v>#VALUE!</v>
      </c>
      <c r="IE297" t="e">
        <f>Europe!C1368+"n/&gt;!0]z"</f>
        <v>#VALUE!</v>
      </c>
      <c r="IF297" t="e">
        <f>Europe!D1368+"n/&gt;!0]{"</f>
        <v>#VALUE!</v>
      </c>
      <c r="IG297" t="e">
        <f>Europe!E1368+"n/&gt;!0]|"</f>
        <v>#VALUE!</v>
      </c>
      <c r="IH297" t="e">
        <f>Europe!F1368+"n/&gt;!0]}"</f>
        <v>#VALUE!</v>
      </c>
      <c r="II297" t="e">
        <f>Europe!G1368+"n/&gt;!0]~"</f>
        <v>#VALUE!</v>
      </c>
      <c r="IJ297" t="e">
        <f>Europe!H1368+"n/&gt;!0^#"</f>
        <v>#VALUE!</v>
      </c>
      <c r="IK297" t="e">
        <f>Europe!I1368+"n/&gt;!0^$"</f>
        <v>#VALUE!</v>
      </c>
      <c r="IL297" t="e">
        <f>Europe!A1369+"n/&gt;!0^%"</f>
        <v>#VALUE!</v>
      </c>
      <c r="IM297" t="e">
        <f>Europe!B1369+"n/&gt;!0^&amp;"</f>
        <v>#VALUE!</v>
      </c>
      <c r="IN297" t="e">
        <f>Europe!C1369+"n/&gt;!0^'"</f>
        <v>#VALUE!</v>
      </c>
      <c r="IO297" t="e">
        <f>Europe!D1369+"n/&gt;!0^("</f>
        <v>#VALUE!</v>
      </c>
      <c r="IP297" t="e">
        <f>Europe!E1369+"n/&gt;!0^)"</f>
        <v>#VALUE!</v>
      </c>
      <c r="IQ297" t="e">
        <f>Europe!F1369+"n/&gt;!0^."</f>
        <v>#VALUE!</v>
      </c>
      <c r="IR297" t="e">
        <f>Europe!G1369+"n/&gt;!0^/"</f>
        <v>#VALUE!</v>
      </c>
      <c r="IS297" t="e">
        <f>Europe!H1369+"n/&gt;!0^0"</f>
        <v>#VALUE!</v>
      </c>
      <c r="IT297" t="e">
        <f>Europe!I1369+"n/&gt;!0^1"</f>
        <v>#VALUE!</v>
      </c>
      <c r="IU297" t="e">
        <f>Europe!A1370+"n/&gt;!0^2"</f>
        <v>#VALUE!</v>
      </c>
      <c r="IV297" t="e">
        <f>Europe!B1370+"n/&gt;!0^3"</f>
        <v>#VALUE!</v>
      </c>
    </row>
    <row r="298" spans="6:256" x14ac:dyDescent="0.35">
      <c r="F298" t="e">
        <f>Europe!C1370+"n/&gt;!0^4"</f>
        <v>#VALUE!</v>
      </c>
      <c r="G298" t="e">
        <f>Europe!D1370+"n/&gt;!0^5"</f>
        <v>#VALUE!</v>
      </c>
      <c r="H298" t="e">
        <f>Europe!E1370+"n/&gt;!0^6"</f>
        <v>#VALUE!</v>
      </c>
      <c r="I298" t="e">
        <f>Europe!F1370+"n/&gt;!0^7"</f>
        <v>#VALUE!</v>
      </c>
      <c r="J298" t="e">
        <f>Europe!G1370+"n/&gt;!0^8"</f>
        <v>#VALUE!</v>
      </c>
      <c r="K298" t="e">
        <f>Europe!H1370+"n/&gt;!0^9"</f>
        <v>#VALUE!</v>
      </c>
      <c r="L298" t="e">
        <f>Europe!I1370+"n/&gt;!0^:"</f>
        <v>#VALUE!</v>
      </c>
      <c r="M298" t="e">
        <f>Europe!A1371+"n/&gt;!0^;"</f>
        <v>#VALUE!</v>
      </c>
      <c r="N298" t="e">
        <f>Europe!B1371+"n/&gt;!0^&lt;"</f>
        <v>#VALUE!</v>
      </c>
      <c r="O298" t="e">
        <f>Europe!C1371+"n/&gt;!0^="</f>
        <v>#VALUE!</v>
      </c>
      <c r="P298" t="e">
        <f>Europe!D1371+"n/&gt;!0^&gt;"</f>
        <v>#VALUE!</v>
      </c>
      <c r="Q298" t="e">
        <f>Europe!E1371+"n/&gt;!0^?"</f>
        <v>#VALUE!</v>
      </c>
      <c r="R298" t="e">
        <f>Europe!F1371+"n/&gt;!0^@"</f>
        <v>#VALUE!</v>
      </c>
      <c r="S298" t="e">
        <f>Europe!G1371+"n/&gt;!0^A"</f>
        <v>#VALUE!</v>
      </c>
      <c r="T298" t="e">
        <f>Europe!H1371+"n/&gt;!0^B"</f>
        <v>#VALUE!</v>
      </c>
      <c r="U298" t="e">
        <f>Europe!I1371+"n/&gt;!0^C"</f>
        <v>#VALUE!</v>
      </c>
      <c r="V298" t="e">
        <f>Europe!A1372+"n/&gt;!0^D"</f>
        <v>#VALUE!</v>
      </c>
      <c r="W298" t="e">
        <f>Europe!B1372+"n/&gt;!0^E"</f>
        <v>#VALUE!</v>
      </c>
      <c r="X298" t="e">
        <f>Europe!C1372+"n/&gt;!0^F"</f>
        <v>#VALUE!</v>
      </c>
      <c r="Y298" t="e">
        <f>Europe!D1372+"n/&gt;!0^G"</f>
        <v>#VALUE!</v>
      </c>
      <c r="Z298" t="e">
        <f>Europe!E1372+"n/&gt;!0^H"</f>
        <v>#VALUE!</v>
      </c>
      <c r="AA298" t="e">
        <f>Europe!F1372+"n/&gt;!0^I"</f>
        <v>#VALUE!</v>
      </c>
      <c r="AB298" t="e">
        <f>Europe!G1372+"n/&gt;!0^J"</f>
        <v>#VALUE!</v>
      </c>
      <c r="AC298" t="e">
        <f>Europe!H1372+"n/&gt;!0^K"</f>
        <v>#VALUE!</v>
      </c>
      <c r="AD298" t="e">
        <f>Europe!I1372+"n/&gt;!0^L"</f>
        <v>#VALUE!</v>
      </c>
      <c r="AE298" t="e">
        <f>Europe!A1373+"n/&gt;!0^M"</f>
        <v>#VALUE!</v>
      </c>
      <c r="AF298" t="e">
        <f>Europe!B1373+"n/&gt;!0^N"</f>
        <v>#VALUE!</v>
      </c>
      <c r="AG298" t="e">
        <f>Europe!C1373+"n/&gt;!0^O"</f>
        <v>#VALUE!</v>
      </c>
      <c r="AH298" t="e">
        <f>Europe!D1373+"n/&gt;!0^P"</f>
        <v>#VALUE!</v>
      </c>
      <c r="AI298" t="e">
        <f>Europe!E1373+"n/&gt;!0^Q"</f>
        <v>#VALUE!</v>
      </c>
      <c r="AJ298" t="e">
        <f>Europe!F1373+"n/&gt;!0^R"</f>
        <v>#VALUE!</v>
      </c>
      <c r="AK298" t="e">
        <f>Europe!G1373+"n/&gt;!0^S"</f>
        <v>#VALUE!</v>
      </c>
      <c r="AL298" t="e">
        <f>Europe!H1373+"n/&gt;!0^T"</f>
        <v>#VALUE!</v>
      </c>
      <c r="AM298" t="e">
        <f>Europe!I1373+"n/&gt;!0^U"</f>
        <v>#VALUE!</v>
      </c>
      <c r="AN298" t="e">
        <f>Europe!A1374+"n/&gt;!0^V"</f>
        <v>#VALUE!</v>
      </c>
      <c r="AO298" t="e">
        <f>Europe!B1374+"n/&gt;!0^W"</f>
        <v>#VALUE!</v>
      </c>
      <c r="AP298" t="e">
        <f>Europe!C1374+"n/&gt;!0^X"</f>
        <v>#VALUE!</v>
      </c>
      <c r="AQ298" t="e">
        <f>Europe!D1374+"n/&gt;!0^Y"</f>
        <v>#VALUE!</v>
      </c>
      <c r="AR298" t="e">
        <f>Europe!E1374+"n/&gt;!0^Z"</f>
        <v>#VALUE!</v>
      </c>
      <c r="AS298" t="e">
        <f>Europe!F1374+"n/&gt;!0^["</f>
        <v>#VALUE!</v>
      </c>
      <c r="AT298" t="e">
        <f>Europe!G1374+"n/&gt;!0^\"</f>
        <v>#VALUE!</v>
      </c>
      <c r="AU298" t="e">
        <f>Europe!H1374+"n/&gt;!0^]"</f>
        <v>#VALUE!</v>
      </c>
      <c r="AV298" t="e">
        <f>Europe!I1374+"n/&gt;!0^^"</f>
        <v>#VALUE!</v>
      </c>
      <c r="AW298" t="e">
        <f>Europe!A1375+"n/&gt;!0^_"</f>
        <v>#VALUE!</v>
      </c>
      <c r="AX298" t="e">
        <f>Europe!B1375+"n/&gt;!0^`"</f>
        <v>#VALUE!</v>
      </c>
      <c r="AY298" t="e">
        <f>Europe!C1375+"n/&gt;!0^a"</f>
        <v>#VALUE!</v>
      </c>
      <c r="AZ298" t="e">
        <f>Europe!D1375+"n/&gt;!0^b"</f>
        <v>#VALUE!</v>
      </c>
      <c r="BA298" t="e">
        <f>Europe!E1375+"n/&gt;!0^c"</f>
        <v>#VALUE!</v>
      </c>
      <c r="BB298" t="e">
        <f>Europe!F1375+"n/&gt;!0^d"</f>
        <v>#VALUE!</v>
      </c>
      <c r="BC298" t="e">
        <f>Europe!G1375+"n/&gt;!0^e"</f>
        <v>#VALUE!</v>
      </c>
      <c r="BD298" t="e">
        <f>Europe!H1375+"n/&gt;!0^f"</f>
        <v>#VALUE!</v>
      </c>
      <c r="BE298" t="e">
        <f>Europe!I1375+"n/&gt;!0^g"</f>
        <v>#VALUE!</v>
      </c>
      <c r="BF298" t="e">
        <f>Europe!A1376+"n/&gt;!0^h"</f>
        <v>#VALUE!</v>
      </c>
      <c r="BG298" t="e">
        <f>Europe!B1376+"n/&gt;!0^i"</f>
        <v>#VALUE!</v>
      </c>
      <c r="BH298" t="e">
        <f>Europe!C1376+"n/&gt;!0^j"</f>
        <v>#VALUE!</v>
      </c>
      <c r="BI298" t="e">
        <f>Europe!D1376+"n/&gt;!0^k"</f>
        <v>#VALUE!</v>
      </c>
      <c r="BJ298" t="e">
        <f>Europe!E1376+"n/&gt;!0^l"</f>
        <v>#VALUE!</v>
      </c>
      <c r="BK298" t="e">
        <f>Europe!F1376+"n/&gt;!0^m"</f>
        <v>#VALUE!</v>
      </c>
      <c r="BL298" t="e">
        <f>Europe!G1376+"n/&gt;!0^n"</f>
        <v>#VALUE!</v>
      </c>
      <c r="BM298" t="e">
        <f>Europe!H1376+"n/&gt;!0^o"</f>
        <v>#VALUE!</v>
      </c>
      <c r="BN298" t="e">
        <f>Europe!I1376+"n/&gt;!0^p"</f>
        <v>#VALUE!</v>
      </c>
      <c r="BO298" t="e">
        <f>Europe!A1377+"n/&gt;!0^q"</f>
        <v>#VALUE!</v>
      </c>
      <c r="BP298" t="e">
        <f>Europe!B1377+"n/&gt;!0^r"</f>
        <v>#VALUE!</v>
      </c>
      <c r="BQ298" t="e">
        <f>Europe!C1377+"n/&gt;!0^s"</f>
        <v>#VALUE!</v>
      </c>
      <c r="BR298" t="e">
        <f>Europe!D1377+"n/&gt;!0^t"</f>
        <v>#VALUE!</v>
      </c>
      <c r="BS298" t="e">
        <f>Europe!E1377+"n/&gt;!0^u"</f>
        <v>#VALUE!</v>
      </c>
      <c r="BT298" t="e">
        <f>Europe!F1377+"n/&gt;!0^v"</f>
        <v>#VALUE!</v>
      </c>
      <c r="BU298" t="e">
        <f>Europe!G1377+"n/&gt;!0^w"</f>
        <v>#VALUE!</v>
      </c>
      <c r="BV298" t="e">
        <f>Europe!H1377+"n/&gt;!0^x"</f>
        <v>#VALUE!</v>
      </c>
      <c r="BW298" t="e">
        <f>Europe!I1377+"n/&gt;!0^y"</f>
        <v>#VALUE!</v>
      </c>
      <c r="BX298" t="e">
        <f>Europe!A1378+"n/&gt;!0^z"</f>
        <v>#VALUE!</v>
      </c>
      <c r="BY298" t="e">
        <f>Europe!B1378+"n/&gt;!0^{"</f>
        <v>#VALUE!</v>
      </c>
      <c r="BZ298" t="e">
        <f>Europe!C1378+"n/&gt;!0^|"</f>
        <v>#VALUE!</v>
      </c>
      <c r="CA298" t="e">
        <f>Europe!D1378+"n/&gt;!0^}"</f>
        <v>#VALUE!</v>
      </c>
      <c r="CB298" t="e">
        <f>Europe!E1378+"n/&gt;!0^~"</f>
        <v>#VALUE!</v>
      </c>
      <c r="CC298" t="e">
        <f>Europe!F1378+"n/&gt;!0_#"</f>
        <v>#VALUE!</v>
      </c>
      <c r="CD298" t="e">
        <f>Europe!G1378+"n/&gt;!0_$"</f>
        <v>#VALUE!</v>
      </c>
      <c r="CE298" t="e">
        <f>Europe!H1378+"n/&gt;!0_%"</f>
        <v>#VALUE!</v>
      </c>
      <c r="CF298" t="e">
        <f>Europe!I1378+"n/&gt;!0_&amp;"</f>
        <v>#VALUE!</v>
      </c>
      <c r="CG298" t="e">
        <f>Europe!A1379+"n/&gt;!0_'"</f>
        <v>#VALUE!</v>
      </c>
      <c r="CH298" t="e">
        <f>Europe!B1379+"n/&gt;!0_("</f>
        <v>#VALUE!</v>
      </c>
      <c r="CI298" t="e">
        <f>Europe!C1379+"n/&gt;!0_)"</f>
        <v>#VALUE!</v>
      </c>
      <c r="CJ298" t="e">
        <f>Europe!D1379+"n/&gt;!0_."</f>
        <v>#VALUE!</v>
      </c>
      <c r="CK298" t="e">
        <f>Europe!E1379+"n/&gt;!0_/"</f>
        <v>#VALUE!</v>
      </c>
      <c r="CL298" t="e">
        <f>Europe!F1379+"n/&gt;!0_0"</f>
        <v>#VALUE!</v>
      </c>
      <c r="CM298" t="e">
        <f>Europe!G1379+"n/&gt;!0_1"</f>
        <v>#VALUE!</v>
      </c>
      <c r="CN298" t="e">
        <f>Europe!H1379+"n/&gt;!0_2"</f>
        <v>#VALUE!</v>
      </c>
      <c r="CO298" t="e">
        <f>Europe!I1379+"n/&gt;!0_3"</f>
        <v>#VALUE!</v>
      </c>
      <c r="CP298" t="e">
        <f>Europe!A1380+"n/&gt;!0_4"</f>
        <v>#VALUE!</v>
      </c>
      <c r="CQ298" t="e">
        <f>Europe!B1380+"n/&gt;!0_5"</f>
        <v>#VALUE!</v>
      </c>
      <c r="CR298" t="e">
        <f>Europe!C1380+"n/&gt;!0_6"</f>
        <v>#VALUE!</v>
      </c>
      <c r="CS298" t="e">
        <f>Europe!D1380+"n/&gt;!0_7"</f>
        <v>#VALUE!</v>
      </c>
      <c r="CT298" t="e">
        <f>Europe!E1380+"n/&gt;!0_8"</f>
        <v>#VALUE!</v>
      </c>
      <c r="CU298" t="e">
        <f>Europe!F1380+"n/&gt;!0_9"</f>
        <v>#VALUE!</v>
      </c>
      <c r="CV298" t="e">
        <f>Europe!G1380+"n/&gt;!0_:"</f>
        <v>#VALUE!</v>
      </c>
      <c r="CW298" t="e">
        <f>Europe!H1380+"n/&gt;!0_;"</f>
        <v>#VALUE!</v>
      </c>
      <c r="CX298" t="e">
        <f>Europe!I1380+"n/&gt;!0_&lt;"</f>
        <v>#VALUE!</v>
      </c>
      <c r="CY298" t="e">
        <f>Europe!A1381+"n/&gt;!0_="</f>
        <v>#VALUE!</v>
      </c>
      <c r="CZ298" t="e">
        <f>Europe!B1381+"n/&gt;!0_&gt;"</f>
        <v>#VALUE!</v>
      </c>
      <c r="DA298" t="e">
        <f>Europe!C1381+"n/&gt;!0_?"</f>
        <v>#VALUE!</v>
      </c>
      <c r="DB298" t="e">
        <f>Europe!D1381+"n/&gt;!0_@"</f>
        <v>#VALUE!</v>
      </c>
      <c r="DC298" t="e">
        <f>Europe!E1381+"n/&gt;!0_A"</f>
        <v>#VALUE!</v>
      </c>
      <c r="DD298" t="e">
        <f>Europe!F1381+"n/&gt;!0_B"</f>
        <v>#VALUE!</v>
      </c>
      <c r="DE298" t="e">
        <f>Europe!G1381+"n/&gt;!0_C"</f>
        <v>#VALUE!</v>
      </c>
      <c r="DF298" t="e">
        <f>Europe!H1381+"n/&gt;!0_D"</f>
        <v>#VALUE!</v>
      </c>
      <c r="DG298" t="e">
        <f>Europe!I1381+"n/&gt;!0_E"</f>
        <v>#VALUE!</v>
      </c>
      <c r="DH298" t="e">
        <f>Europe!A1382+"n/&gt;!0_F"</f>
        <v>#VALUE!</v>
      </c>
      <c r="DI298" t="e">
        <f>Europe!B1382+"n/&gt;!0_G"</f>
        <v>#VALUE!</v>
      </c>
      <c r="DJ298" t="e">
        <f>Europe!C1382+"n/&gt;!0_H"</f>
        <v>#VALUE!</v>
      </c>
      <c r="DK298" t="e">
        <f>Europe!D1382+"n/&gt;!0_I"</f>
        <v>#VALUE!</v>
      </c>
      <c r="DL298" t="e">
        <f>Europe!E1382+"n/&gt;!0_J"</f>
        <v>#VALUE!</v>
      </c>
      <c r="DM298" t="e">
        <f>Europe!F1382+"n/&gt;!0_K"</f>
        <v>#VALUE!</v>
      </c>
      <c r="DN298" t="e">
        <f>Europe!G1382+"n/&gt;!0_L"</f>
        <v>#VALUE!</v>
      </c>
      <c r="DO298" t="e">
        <f>Europe!H1382+"n/&gt;!0_M"</f>
        <v>#VALUE!</v>
      </c>
      <c r="DP298" t="e">
        <f>Europe!I1382+"n/&gt;!0_N"</f>
        <v>#VALUE!</v>
      </c>
      <c r="DQ298" t="e">
        <f>Europe!A1383+"n/&gt;!0_O"</f>
        <v>#VALUE!</v>
      </c>
      <c r="DR298" t="e">
        <f>Europe!B1383+"n/&gt;!0_P"</f>
        <v>#VALUE!</v>
      </c>
      <c r="DS298" t="e">
        <f>Europe!C1383+"n/&gt;!0_Q"</f>
        <v>#VALUE!</v>
      </c>
      <c r="DT298" t="e">
        <f>Europe!D1383+"n/&gt;!0_R"</f>
        <v>#VALUE!</v>
      </c>
      <c r="DU298" t="e">
        <f>Europe!E1383+"n/&gt;!0_S"</f>
        <v>#VALUE!</v>
      </c>
      <c r="DV298" t="e">
        <f>Europe!F1383+"n/&gt;!0_T"</f>
        <v>#VALUE!</v>
      </c>
      <c r="DW298" t="e">
        <f>Europe!G1383+"n/&gt;!0_U"</f>
        <v>#VALUE!</v>
      </c>
      <c r="DX298" t="e">
        <f>Europe!H1383+"n/&gt;!0_V"</f>
        <v>#VALUE!</v>
      </c>
      <c r="DY298" t="e">
        <f>Europe!I1383+"n/&gt;!0_W"</f>
        <v>#VALUE!</v>
      </c>
      <c r="DZ298" t="e">
        <f>Europe!A1384+"n/&gt;!0_X"</f>
        <v>#VALUE!</v>
      </c>
      <c r="EA298" t="e">
        <f>Europe!B1384+"n/&gt;!0_Y"</f>
        <v>#VALUE!</v>
      </c>
      <c r="EB298" t="e">
        <f>Europe!C1384+"n/&gt;!0_Z"</f>
        <v>#VALUE!</v>
      </c>
      <c r="EC298" t="e">
        <f>Europe!D1384+"n/&gt;!0_["</f>
        <v>#VALUE!</v>
      </c>
      <c r="ED298" t="e">
        <f>Europe!E1384+"n/&gt;!0_\"</f>
        <v>#VALUE!</v>
      </c>
      <c r="EE298" t="e">
        <f>Europe!F1384+"n/&gt;!0_]"</f>
        <v>#VALUE!</v>
      </c>
      <c r="EF298" t="e">
        <f>Europe!G1384+"n/&gt;!0_^"</f>
        <v>#VALUE!</v>
      </c>
      <c r="EG298" t="e">
        <f>Europe!H1384+"n/&gt;!0__"</f>
        <v>#VALUE!</v>
      </c>
      <c r="EH298" t="e">
        <f>Europe!I1384+"n/&gt;!0_`"</f>
        <v>#VALUE!</v>
      </c>
      <c r="EI298" t="e">
        <f>Europe!A1385+"n/&gt;!0_a"</f>
        <v>#VALUE!</v>
      </c>
      <c r="EJ298" t="e">
        <f>Europe!B1385+"n/&gt;!0_b"</f>
        <v>#VALUE!</v>
      </c>
      <c r="EK298" t="e">
        <f>Europe!C1385+"n/&gt;!0_c"</f>
        <v>#VALUE!</v>
      </c>
      <c r="EL298" t="e">
        <f>Europe!D1385+"n/&gt;!0_d"</f>
        <v>#VALUE!</v>
      </c>
      <c r="EM298" t="e">
        <f>Europe!E1385+"n/&gt;!0_e"</f>
        <v>#VALUE!</v>
      </c>
      <c r="EN298" t="e">
        <f>Europe!F1385+"n/&gt;!0_f"</f>
        <v>#VALUE!</v>
      </c>
      <c r="EO298" t="e">
        <f>Europe!G1385+"n/&gt;!0_g"</f>
        <v>#VALUE!</v>
      </c>
      <c r="EP298" t="e">
        <f>Europe!H1385+"n/&gt;!0_h"</f>
        <v>#VALUE!</v>
      </c>
      <c r="EQ298" t="e">
        <f>Europe!I1385+"n/&gt;!0_i"</f>
        <v>#VALUE!</v>
      </c>
      <c r="ER298" t="e">
        <f>Europe!A1386+"n/&gt;!0_j"</f>
        <v>#VALUE!</v>
      </c>
      <c r="ES298" t="e">
        <f>Europe!B1386+"n/&gt;!0_k"</f>
        <v>#VALUE!</v>
      </c>
      <c r="ET298" t="e">
        <f>Europe!C1386+"n/&gt;!0_l"</f>
        <v>#VALUE!</v>
      </c>
      <c r="EU298" t="e">
        <f>Europe!D1386+"n/&gt;!0_m"</f>
        <v>#VALUE!</v>
      </c>
      <c r="EV298" t="e">
        <f>Europe!E1386+"n/&gt;!0_n"</f>
        <v>#VALUE!</v>
      </c>
      <c r="EW298" t="e">
        <f>Europe!F1386+"n/&gt;!0_o"</f>
        <v>#VALUE!</v>
      </c>
      <c r="EX298" t="e">
        <f>Europe!G1386+"n/&gt;!0_p"</f>
        <v>#VALUE!</v>
      </c>
      <c r="EY298" t="e">
        <f>Europe!H1386+"n/&gt;!0_q"</f>
        <v>#VALUE!</v>
      </c>
      <c r="EZ298" t="e">
        <f>Europe!I1386+"n/&gt;!0_r"</f>
        <v>#VALUE!</v>
      </c>
      <c r="FA298" t="e">
        <f>Europe!A1387+"n/&gt;!0_s"</f>
        <v>#VALUE!</v>
      </c>
      <c r="FB298" t="e">
        <f>Europe!B1387+"n/&gt;!0_t"</f>
        <v>#VALUE!</v>
      </c>
      <c r="FC298" t="e">
        <f>Europe!C1387+"n/&gt;!0_u"</f>
        <v>#VALUE!</v>
      </c>
      <c r="FD298" t="e">
        <f>Europe!D1387+"n/&gt;!0_v"</f>
        <v>#VALUE!</v>
      </c>
      <c r="FE298" t="e">
        <f>Europe!E1387+"n/&gt;!0_w"</f>
        <v>#VALUE!</v>
      </c>
      <c r="FF298" t="e">
        <f>Europe!F1387+"n/&gt;!0_x"</f>
        <v>#VALUE!</v>
      </c>
      <c r="FG298" t="e">
        <f>Europe!G1387+"n/&gt;!0_y"</f>
        <v>#VALUE!</v>
      </c>
      <c r="FH298" t="e">
        <f>Europe!H1387+"n/&gt;!0_z"</f>
        <v>#VALUE!</v>
      </c>
      <c r="FI298" t="e">
        <f>Europe!I1387+"n/&gt;!0_{"</f>
        <v>#VALUE!</v>
      </c>
      <c r="FJ298" t="e">
        <f>Europe!A1388+"n/&gt;!0_|"</f>
        <v>#VALUE!</v>
      </c>
      <c r="FK298" t="e">
        <f>Europe!B1388+"n/&gt;!0_}"</f>
        <v>#VALUE!</v>
      </c>
      <c r="FL298" t="e">
        <f>Europe!C1388+"n/&gt;!0_~"</f>
        <v>#VALUE!</v>
      </c>
      <c r="FM298" t="e">
        <f>Europe!D1388+"n/&gt;!0`#"</f>
        <v>#VALUE!</v>
      </c>
      <c r="FN298" t="e">
        <f>Europe!E1388+"n/&gt;!0`$"</f>
        <v>#VALUE!</v>
      </c>
      <c r="FO298" t="e">
        <f>Europe!F1388+"n/&gt;!0`%"</f>
        <v>#VALUE!</v>
      </c>
      <c r="FP298" t="e">
        <f>Europe!G1388+"n/&gt;!0`&amp;"</f>
        <v>#VALUE!</v>
      </c>
      <c r="FQ298" t="e">
        <f>Europe!H1388+"n/&gt;!0`'"</f>
        <v>#VALUE!</v>
      </c>
      <c r="FR298" t="e">
        <f>Europe!I1388+"n/&gt;!0`("</f>
        <v>#VALUE!</v>
      </c>
      <c r="FS298" t="e">
        <f>Europe!A1389+"n/&gt;!0`)"</f>
        <v>#VALUE!</v>
      </c>
      <c r="FT298" t="e">
        <f>Europe!B1389+"n/&gt;!0`."</f>
        <v>#VALUE!</v>
      </c>
      <c r="FU298" t="e">
        <f>Europe!C1389+"n/&gt;!0`/"</f>
        <v>#VALUE!</v>
      </c>
      <c r="FV298" t="e">
        <f>Europe!D1389+"n/&gt;!0`0"</f>
        <v>#VALUE!</v>
      </c>
      <c r="FW298" t="e">
        <f>Europe!E1389+"n/&gt;!0`1"</f>
        <v>#VALUE!</v>
      </c>
      <c r="FX298" t="e">
        <f>Europe!F1389+"n/&gt;!0`2"</f>
        <v>#VALUE!</v>
      </c>
      <c r="FY298" t="e">
        <f>Europe!G1389+"n/&gt;!0`3"</f>
        <v>#VALUE!</v>
      </c>
      <c r="FZ298" t="e">
        <f>Europe!H1389+"n/&gt;!0`4"</f>
        <v>#VALUE!</v>
      </c>
      <c r="GA298" t="e">
        <f>Europe!I1389+"n/&gt;!0`5"</f>
        <v>#VALUE!</v>
      </c>
      <c r="GB298" t="e">
        <f>Europe!A1390+"n/&gt;!0`6"</f>
        <v>#VALUE!</v>
      </c>
      <c r="GC298" t="e">
        <f>Europe!B1390+"n/&gt;!0`7"</f>
        <v>#VALUE!</v>
      </c>
      <c r="GD298" t="e">
        <f>Europe!C1390+"n/&gt;!0`8"</f>
        <v>#VALUE!</v>
      </c>
      <c r="GE298" t="e">
        <f>Europe!D1390+"n/&gt;!0`9"</f>
        <v>#VALUE!</v>
      </c>
      <c r="GF298" t="e">
        <f>Europe!E1390+"n/&gt;!0`:"</f>
        <v>#VALUE!</v>
      </c>
      <c r="GG298" t="e">
        <f>Europe!F1390+"n/&gt;!0`;"</f>
        <v>#VALUE!</v>
      </c>
      <c r="GH298" t="e">
        <f>Europe!G1390+"n/&gt;!0`&lt;"</f>
        <v>#VALUE!</v>
      </c>
      <c r="GI298" t="e">
        <f>Europe!H1390+"n/&gt;!0`="</f>
        <v>#VALUE!</v>
      </c>
      <c r="GJ298" t="e">
        <f>Europe!I1390+"n/&gt;!0`&gt;"</f>
        <v>#VALUE!</v>
      </c>
      <c r="GK298" t="e">
        <f>Europe!A1391+"n/&gt;!0`?"</f>
        <v>#VALUE!</v>
      </c>
      <c r="GL298" t="e">
        <f>Europe!B1391+"n/&gt;!0`@"</f>
        <v>#VALUE!</v>
      </c>
      <c r="GM298" t="e">
        <f>Europe!C1391+"n/&gt;!0`A"</f>
        <v>#VALUE!</v>
      </c>
      <c r="GN298" t="e">
        <f>Europe!D1391+"n/&gt;!0`B"</f>
        <v>#VALUE!</v>
      </c>
      <c r="GO298" t="e">
        <f>Europe!E1391+"n/&gt;!0`C"</f>
        <v>#VALUE!</v>
      </c>
      <c r="GP298" t="e">
        <f>Europe!F1391+"n/&gt;!0`D"</f>
        <v>#VALUE!</v>
      </c>
      <c r="GQ298" t="e">
        <f>Europe!G1391+"n/&gt;!0`E"</f>
        <v>#VALUE!</v>
      </c>
      <c r="GR298" t="e">
        <f>Europe!H1391+"n/&gt;!0`F"</f>
        <v>#VALUE!</v>
      </c>
      <c r="GS298" t="e">
        <f>Europe!I1391+"n/&gt;!0`G"</f>
        <v>#VALUE!</v>
      </c>
      <c r="GT298" t="e">
        <f>Europe!A1392+"n/&gt;!0`H"</f>
        <v>#VALUE!</v>
      </c>
      <c r="GU298" t="e">
        <f>Europe!B1392+"n/&gt;!0`I"</f>
        <v>#VALUE!</v>
      </c>
      <c r="GV298" t="e">
        <f>Europe!C1392+"n/&gt;!0`J"</f>
        <v>#VALUE!</v>
      </c>
      <c r="GW298" t="e">
        <f>Europe!D1392+"n/&gt;!0`K"</f>
        <v>#VALUE!</v>
      </c>
      <c r="GX298" t="e">
        <f>Europe!E1392+"n/&gt;!0`L"</f>
        <v>#VALUE!</v>
      </c>
      <c r="GY298" t="e">
        <f>Europe!F1392+"n/&gt;!0`M"</f>
        <v>#VALUE!</v>
      </c>
      <c r="GZ298" t="e">
        <f>Europe!G1392+"n/&gt;!0`N"</f>
        <v>#VALUE!</v>
      </c>
      <c r="HA298" t="e">
        <f>Europe!H1392+"n/&gt;!0`O"</f>
        <v>#VALUE!</v>
      </c>
      <c r="HB298" t="e">
        <f>Europe!I1392+"n/&gt;!0`P"</f>
        <v>#VALUE!</v>
      </c>
      <c r="HC298" t="e">
        <f>Europe!A1393+"n/&gt;!0`Q"</f>
        <v>#VALUE!</v>
      </c>
      <c r="HD298" t="e">
        <f>Europe!B1393+"n/&gt;!0`R"</f>
        <v>#VALUE!</v>
      </c>
      <c r="HE298" t="e">
        <f>Europe!C1393+"n/&gt;!0`S"</f>
        <v>#VALUE!</v>
      </c>
      <c r="HF298" t="e">
        <f>Europe!D1393+"n/&gt;!0`T"</f>
        <v>#VALUE!</v>
      </c>
      <c r="HG298" t="e">
        <f>Europe!E1393+"n/&gt;!0`U"</f>
        <v>#VALUE!</v>
      </c>
      <c r="HH298" t="e">
        <f>Europe!F1393+"n/&gt;!0`V"</f>
        <v>#VALUE!</v>
      </c>
      <c r="HI298" t="e">
        <f>Europe!G1393+"n/&gt;!0`W"</f>
        <v>#VALUE!</v>
      </c>
      <c r="HJ298" t="e">
        <f>Europe!H1393+"n/&gt;!0`X"</f>
        <v>#VALUE!</v>
      </c>
      <c r="HK298" t="e">
        <f>Europe!I1393+"n/&gt;!0`Y"</f>
        <v>#VALUE!</v>
      </c>
      <c r="HL298" t="e">
        <f>Europe!A1394+"n/&gt;!0`Z"</f>
        <v>#VALUE!</v>
      </c>
      <c r="HM298" t="e">
        <f>Europe!B1394+"n/&gt;!0`["</f>
        <v>#VALUE!</v>
      </c>
      <c r="HN298" t="e">
        <f>Europe!C1394+"n/&gt;!0`\"</f>
        <v>#VALUE!</v>
      </c>
      <c r="HO298" t="e">
        <f>Europe!D1394+"n/&gt;!0`]"</f>
        <v>#VALUE!</v>
      </c>
      <c r="HP298" t="e">
        <f>Europe!E1394+"n/&gt;!0`^"</f>
        <v>#VALUE!</v>
      </c>
      <c r="HQ298" t="e">
        <f>Europe!F1394+"n/&gt;!0`_"</f>
        <v>#VALUE!</v>
      </c>
      <c r="HR298" t="e">
        <f>Europe!G1394+"n/&gt;!0``"</f>
        <v>#VALUE!</v>
      </c>
      <c r="HS298" t="e">
        <f>Europe!H1394+"n/&gt;!0`a"</f>
        <v>#VALUE!</v>
      </c>
      <c r="HT298" t="e">
        <f>Europe!I1394+"n/&gt;!0`b"</f>
        <v>#VALUE!</v>
      </c>
      <c r="HU298" t="e">
        <f>Europe!A1395+"n/&gt;!0`c"</f>
        <v>#VALUE!</v>
      </c>
      <c r="HV298" t="e">
        <f>Europe!B1395+"n/&gt;!0`d"</f>
        <v>#VALUE!</v>
      </c>
      <c r="HW298" t="e">
        <f>Europe!C1395+"n/&gt;!0`e"</f>
        <v>#VALUE!</v>
      </c>
      <c r="HX298" t="e">
        <f>Europe!D1395+"n/&gt;!0`f"</f>
        <v>#VALUE!</v>
      </c>
      <c r="HY298" t="e">
        <f>Europe!E1395+"n/&gt;!0`g"</f>
        <v>#VALUE!</v>
      </c>
      <c r="HZ298" t="e">
        <f>Europe!F1395+"n/&gt;!0`h"</f>
        <v>#VALUE!</v>
      </c>
      <c r="IA298" t="e">
        <f>Europe!G1395+"n/&gt;!0`i"</f>
        <v>#VALUE!</v>
      </c>
      <c r="IB298" t="e">
        <f>Europe!H1395+"n/&gt;!0`j"</f>
        <v>#VALUE!</v>
      </c>
      <c r="IC298" t="e">
        <f>Europe!I1395+"n/&gt;!0`k"</f>
        <v>#VALUE!</v>
      </c>
      <c r="ID298" t="e">
        <f>Europe!A1396+"n/&gt;!0`l"</f>
        <v>#VALUE!</v>
      </c>
      <c r="IE298" t="e">
        <f>Europe!B1396+"n/&gt;!0`m"</f>
        <v>#VALUE!</v>
      </c>
      <c r="IF298" t="e">
        <f>Europe!C1396+"n/&gt;!0`n"</f>
        <v>#VALUE!</v>
      </c>
      <c r="IG298" t="e">
        <f>Europe!D1396+"n/&gt;!0`o"</f>
        <v>#VALUE!</v>
      </c>
      <c r="IH298" t="e">
        <f>Europe!E1396+"n/&gt;!0`p"</f>
        <v>#VALUE!</v>
      </c>
      <c r="II298" t="e">
        <f>Europe!F1396+"n/&gt;!0`q"</f>
        <v>#VALUE!</v>
      </c>
      <c r="IJ298" t="e">
        <f>Europe!G1396+"n/&gt;!0`r"</f>
        <v>#VALUE!</v>
      </c>
      <c r="IK298" t="e">
        <f>Europe!H1396+"n/&gt;!0`s"</f>
        <v>#VALUE!</v>
      </c>
      <c r="IL298" t="e">
        <f>Europe!I1396+"n/&gt;!0`t"</f>
        <v>#VALUE!</v>
      </c>
      <c r="IM298" t="e">
        <f>Europe!A1397+"n/&gt;!0`u"</f>
        <v>#VALUE!</v>
      </c>
      <c r="IN298" t="e">
        <f>Europe!B1397+"n/&gt;!0`v"</f>
        <v>#VALUE!</v>
      </c>
      <c r="IO298" t="e">
        <f>Europe!C1397+"n/&gt;!0`w"</f>
        <v>#VALUE!</v>
      </c>
      <c r="IP298" t="e">
        <f>Europe!D1397+"n/&gt;!0`x"</f>
        <v>#VALUE!</v>
      </c>
      <c r="IQ298" t="e">
        <f>Europe!E1397+"n/&gt;!0`y"</f>
        <v>#VALUE!</v>
      </c>
      <c r="IR298" t="e">
        <f>Europe!F1397+"n/&gt;!0`z"</f>
        <v>#VALUE!</v>
      </c>
      <c r="IS298" t="e">
        <f>Europe!G1397+"n/&gt;!0`{"</f>
        <v>#VALUE!</v>
      </c>
      <c r="IT298" t="e">
        <f>Europe!H1397+"n/&gt;!0`|"</f>
        <v>#VALUE!</v>
      </c>
      <c r="IU298" t="e">
        <f>Europe!I1397+"n/&gt;!0`}"</f>
        <v>#VALUE!</v>
      </c>
      <c r="IV298" t="e">
        <f>Europe!A1398+"n/&gt;!0`~"</f>
        <v>#VALUE!</v>
      </c>
    </row>
    <row r="299" spans="6:256" x14ac:dyDescent="0.35">
      <c r="F299" t="e">
        <f>Europe!B1398+"n/&gt;!0a#"</f>
        <v>#VALUE!</v>
      </c>
      <c r="G299" t="e">
        <f>Europe!C1398+"n/&gt;!0a$"</f>
        <v>#VALUE!</v>
      </c>
      <c r="H299" t="e">
        <f>Europe!D1398+"n/&gt;!0a%"</f>
        <v>#VALUE!</v>
      </c>
      <c r="I299" t="e">
        <f>Europe!E1398+"n/&gt;!0a&amp;"</f>
        <v>#VALUE!</v>
      </c>
      <c r="J299" t="e">
        <f>Europe!F1398+"n/&gt;!0a'"</f>
        <v>#VALUE!</v>
      </c>
      <c r="K299" t="e">
        <f>Europe!G1398+"n/&gt;!0a("</f>
        <v>#VALUE!</v>
      </c>
      <c r="L299" t="e">
        <f>Europe!H1398+"n/&gt;!0a)"</f>
        <v>#VALUE!</v>
      </c>
      <c r="M299" t="e">
        <f>Europe!I1398+"n/&gt;!0a."</f>
        <v>#VALUE!</v>
      </c>
      <c r="N299" t="e">
        <f>Europe!A1399+"n/&gt;!0a/"</f>
        <v>#VALUE!</v>
      </c>
      <c r="O299" t="e">
        <f>Europe!B1399+"n/&gt;!0a0"</f>
        <v>#VALUE!</v>
      </c>
      <c r="P299" t="e">
        <f>Europe!C1399+"n/&gt;!0a1"</f>
        <v>#VALUE!</v>
      </c>
      <c r="Q299" t="e">
        <f>Europe!D1399+"n/&gt;!0a2"</f>
        <v>#VALUE!</v>
      </c>
      <c r="R299" t="e">
        <f>Europe!E1399+"n/&gt;!0a3"</f>
        <v>#VALUE!</v>
      </c>
      <c r="S299" t="e">
        <f>Europe!F1399+"n/&gt;!0a4"</f>
        <v>#VALUE!</v>
      </c>
      <c r="T299" t="e">
        <f>Europe!G1399+"n/&gt;!0a5"</f>
        <v>#VALUE!</v>
      </c>
      <c r="U299" t="e">
        <f>Europe!H1399+"n/&gt;!0a6"</f>
        <v>#VALUE!</v>
      </c>
      <c r="V299" t="e">
        <f>Europe!I1399+"n/&gt;!0a7"</f>
        <v>#VALUE!</v>
      </c>
      <c r="W299" t="e">
        <f>Europe!A1400+"n/&gt;!0a8"</f>
        <v>#VALUE!</v>
      </c>
      <c r="X299" t="e">
        <f>Europe!B1400+"n/&gt;!0a9"</f>
        <v>#VALUE!</v>
      </c>
      <c r="Y299" t="e">
        <f>Europe!C1400+"n/&gt;!0a:"</f>
        <v>#VALUE!</v>
      </c>
      <c r="Z299" t="e">
        <f>Europe!D1400+"n/&gt;!0a;"</f>
        <v>#VALUE!</v>
      </c>
      <c r="AA299" t="e">
        <f>Europe!E1400+"n/&gt;!0a&lt;"</f>
        <v>#VALUE!</v>
      </c>
      <c r="AB299" t="e">
        <f>Europe!F1400+"n/&gt;!0a="</f>
        <v>#VALUE!</v>
      </c>
      <c r="AC299" t="e">
        <f>Europe!G1400+"n/&gt;!0a&gt;"</f>
        <v>#VALUE!</v>
      </c>
      <c r="AD299" t="e">
        <f>Europe!H1400+"n/&gt;!0a?"</f>
        <v>#VALUE!</v>
      </c>
      <c r="AE299" t="e">
        <f>Europe!I1400+"n/&gt;!0a@"</f>
        <v>#VALUE!</v>
      </c>
      <c r="AF299" t="e">
        <f>Europe!A1401+"n/&gt;!0aA"</f>
        <v>#VALUE!</v>
      </c>
      <c r="AG299" t="e">
        <f>Europe!B1401+"n/&gt;!0aB"</f>
        <v>#VALUE!</v>
      </c>
      <c r="AH299" t="e">
        <f>Europe!C1401+"n/&gt;!0aC"</f>
        <v>#VALUE!</v>
      </c>
      <c r="AI299" t="e">
        <f>Europe!D1401+"n/&gt;!0aD"</f>
        <v>#VALUE!</v>
      </c>
      <c r="AJ299" t="e">
        <f>Europe!E1401+"n/&gt;!0aE"</f>
        <v>#VALUE!</v>
      </c>
      <c r="AK299" t="e">
        <f>Europe!F1401+"n/&gt;!0aF"</f>
        <v>#VALUE!</v>
      </c>
      <c r="AL299" t="e">
        <f>Europe!G1401+"n/&gt;!0aG"</f>
        <v>#VALUE!</v>
      </c>
      <c r="AM299" t="e">
        <f>Europe!H1401+"n/&gt;!0aH"</f>
        <v>#VALUE!</v>
      </c>
      <c r="AN299" t="e">
        <f>Europe!I1401+"n/&gt;!0aI"</f>
        <v>#VALUE!</v>
      </c>
      <c r="AO299" t="e">
        <f>Europe!A1402+"n/&gt;!0aJ"</f>
        <v>#VALUE!</v>
      </c>
      <c r="AP299" t="e">
        <f>Europe!B1402+"n/&gt;!0aK"</f>
        <v>#VALUE!</v>
      </c>
      <c r="AQ299" t="e">
        <f>Europe!C1402+"n/&gt;!0aL"</f>
        <v>#VALUE!</v>
      </c>
      <c r="AR299" t="e">
        <f>Europe!D1402+"n/&gt;!0aM"</f>
        <v>#VALUE!</v>
      </c>
      <c r="AS299" t="e">
        <f>Europe!E1402+"n/&gt;!0aN"</f>
        <v>#VALUE!</v>
      </c>
      <c r="AT299" t="e">
        <f>Europe!F1402+"n/&gt;!0aO"</f>
        <v>#VALUE!</v>
      </c>
      <c r="AU299" t="e">
        <f>Europe!G1402+"n/&gt;!0aP"</f>
        <v>#VALUE!</v>
      </c>
      <c r="AV299" t="e">
        <f>Europe!H1402+"n/&gt;!0aQ"</f>
        <v>#VALUE!</v>
      </c>
      <c r="AW299" t="e">
        <f>Europe!I1402+"n/&gt;!0aR"</f>
        <v>#VALUE!</v>
      </c>
      <c r="AX299" t="e">
        <f>Europe!A1403+"n/&gt;!0aS"</f>
        <v>#VALUE!</v>
      </c>
      <c r="AY299" t="e">
        <f>Europe!B1403+"n/&gt;!0aT"</f>
        <v>#VALUE!</v>
      </c>
      <c r="AZ299" t="e">
        <f>Europe!C1403+"n/&gt;!0aU"</f>
        <v>#VALUE!</v>
      </c>
      <c r="BA299" t="e">
        <f>Europe!D1403+"n/&gt;!0aV"</f>
        <v>#VALUE!</v>
      </c>
      <c r="BB299" t="e">
        <f>Europe!E1403+"n/&gt;!0aW"</f>
        <v>#VALUE!</v>
      </c>
      <c r="BC299" t="e">
        <f>Europe!F1403+"n/&gt;!0aX"</f>
        <v>#VALUE!</v>
      </c>
      <c r="BD299" t="e">
        <f>Europe!G1403+"n/&gt;!0aY"</f>
        <v>#VALUE!</v>
      </c>
      <c r="BE299" t="e">
        <f>Europe!H1403+"n/&gt;!0aZ"</f>
        <v>#VALUE!</v>
      </c>
      <c r="BF299" t="e">
        <f>Europe!I1403+"n/&gt;!0a["</f>
        <v>#VALUE!</v>
      </c>
      <c r="BG299" t="e">
        <f>Europe!A1404+"n/&gt;!0a\"</f>
        <v>#VALUE!</v>
      </c>
      <c r="BH299" t="e">
        <f>Europe!B1404+"n/&gt;!0a]"</f>
        <v>#VALUE!</v>
      </c>
      <c r="BI299" t="e">
        <f>Europe!C1404+"n/&gt;!0a^"</f>
        <v>#VALUE!</v>
      </c>
      <c r="BJ299" t="e">
        <f>Europe!D1404+"n/&gt;!0a_"</f>
        <v>#VALUE!</v>
      </c>
      <c r="BK299" t="e">
        <f>Europe!E1404+"n/&gt;!0a`"</f>
        <v>#VALUE!</v>
      </c>
      <c r="BL299" t="e">
        <f>Europe!F1404+"n/&gt;!0aa"</f>
        <v>#VALUE!</v>
      </c>
      <c r="BM299" t="e">
        <f>Europe!G1404+"n/&gt;!0ab"</f>
        <v>#VALUE!</v>
      </c>
      <c r="BN299" t="e">
        <f>Europe!H1404+"n/&gt;!0ac"</f>
        <v>#VALUE!</v>
      </c>
      <c r="BO299" t="e">
        <f>Europe!I1404+"n/&gt;!0ad"</f>
        <v>#VALUE!</v>
      </c>
      <c r="BP299" t="e">
        <f>Europe!A1405+"n/&gt;!0ae"</f>
        <v>#VALUE!</v>
      </c>
      <c r="BQ299" t="e">
        <f>Europe!B1405+"n/&gt;!0af"</f>
        <v>#VALUE!</v>
      </c>
      <c r="BR299" t="e">
        <f>Europe!C1405+"n/&gt;!0ag"</f>
        <v>#VALUE!</v>
      </c>
      <c r="BS299" t="e">
        <f>Europe!D1405+"n/&gt;!0ah"</f>
        <v>#VALUE!</v>
      </c>
      <c r="BT299" t="e">
        <f>Europe!E1405+"n/&gt;!0ai"</f>
        <v>#VALUE!</v>
      </c>
      <c r="BU299" t="e">
        <f>Europe!F1405+"n/&gt;!0aj"</f>
        <v>#VALUE!</v>
      </c>
      <c r="BV299" t="e">
        <f>Europe!G1405+"n/&gt;!0ak"</f>
        <v>#VALUE!</v>
      </c>
      <c r="BW299" t="e">
        <f>Europe!H1405+"n/&gt;!0al"</f>
        <v>#VALUE!</v>
      </c>
      <c r="BX299" t="e">
        <f>Europe!I1405+"n/&gt;!0am"</f>
        <v>#VALUE!</v>
      </c>
      <c r="BY299" t="e">
        <f>Europe!A1406+"n/&gt;!0an"</f>
        <v>#VALUE!</v>
      </c>
      <c r="BZ299" t="e">
        <f>Europe!B1406+"n/&gt;!0ao"</f>
        <v>#VALUE!</v>
      </c>
      <c r="CA299" t="e">
        <f>Europe!C1406+"n/&gt;!0ap"</f>
        <v>#VALUE!</v>
      </c>
      <c r="CB299" t="e">
        <f>Europe!D1406+"n/&gt;!0aq"</f>
        <v>#VALUE!</v>
      </c>
      <c r="CC299" t="e">
        <f>Europe!E1406+"n/&gt;!0ar"</f>
        <v>#VALUE!</v>
      </c>
      <c r="CD299" t="e">
        <f>Europe!F1406+"n/&gt;!0as"</f>
        <v>#VALUE!</v>
      </c>
      <c r="CE299" t="e">
        <f>Europe!G1406+"n/&gt;!0at"</f>
        <v>#VALUE!</v>
      </c>
      <c r="CF299" t="e">
        <f>Europe!H1406+"n/&gt;!0au"</f>
        <v>#VALUE!</v>
      </c>
      <c r="CG299" t="e">
        <f>Europe!I1406+"n/&gt;!0av"</f>
        <v>#VALUE!</v>
      </c>
      <c r="CH299" t="e">
        <f>Europe!A1407+"n/&gt;!0aw"</f>
        <v>#VALUE!</v>
      </c>
      <c r="CI299" t="e">
        <f>Europe!B1407+"n/&gt;!0ax"</f>
        <v>#VALUE!</v>
      </c>
      <c r="CJ299" t="e">
        <f>Europe!C1407+"n/&gt;!0ay"</f>
        <v>#VALUE!</v>
      </c>
      <c r="CK299" t="e">
        <f>Europe!D1407+"n/&gt;!0az"</f>
        <v>#VALUE!</v>
      </c>
      <c r="CL299" t="e">
        <f>Europe!E1407+"n/&gt;!0a{"</f>
        <v>#VALUE!</v>
      </c>
      <c r="CM299" t="e">
        <f>Europe!F1407+"n/&gt;!0a|"</f>
        <v>#VALUE!</v>
      </c>
      <c r="CN299" t="e">
        <f>Europe!G1407+"n/&gt;!0a}"</f>
        <v>#VALUE!</v>
      </c>
      <c r="CO299" t="e">
        <f>Europe!H1407+"n/&gt;!0a~"</f>
        <v>#VALUE!</v>
      </c>
      <c r="CP299" t="e">
        <f>Europe!I1407+"n/&gt;!0b#"</f>
        <v>#VALUE!</v>
      </c>
      <c r="CQ299" t="e">
        <f>Europe!A1408+"n/&gt;!0b$"</f>
        <v>#VALUE!</v>
      </c>
      <c r="CR299" t="e">
        <f>Europe!B1408+"n/&gt;!0b%"</f>
        <v>#VALUE!</v>
      </c>
      <c r="CS299" t="e">
        <f>Europe!C1408+"n/&gt;!0b&amp;"</f>
        <v>#VALUE!</v>
      </c>
      <c r="CT299" t="e">
        <f>Europe!D1408+"n/&gt;!0b'"</f>
        <v>#VALUE!</v>
      </c>
      <c r="CU299" t="e">
        <f>Europe!E1408+"n/&gt;!0b("</f>
        <v>#VALUE!</v>
      </c>
      <c r="CV299" t="e">
        <f>Europe!F1408+"n/&gt;!0b)"</f>
        <v>#VALUE!</v>
      </c>
      <c r="CW299" t="e">
        <f>Europe!G1408+"n/&gt;!0b."</f>
        <v>#VALUE!</v>
      </c>
      <c r="CX299" t="e">
        <f>Europe!H1408+"n/&gt;!0b/"</f>
        <v>#VALUE!</v>
      </c>
      <c r="CY299" t="e">
        <f>Europe!I1408+"n/&gt;!0b0"</f>
        <v>#VALUE!</v>
      </c>
      <c r="CZ299" t="e">
        <f>Europe!A1409+"n/&gt;!0b1"</f>
        <v>#VALUE!</v>
      </c>
      <c r="DA299" t="e">
        <f>Europe!B1409+"n/&gt;!0b2"</f>
        <v>#VALUE!</v>
      </c>
      <c r="DB299" t="e">
        <f>Europe!C1409+"n/&gt;!0b3"</f>
        <v>#VALUE!</v>
      </c>
      <c r="DC299" t="e">
        <f>Europe!D1409+"n/&gt;!0b4"</f>
        <v>#VALUE!</v>
      </c>
      <c r="DD299" t="e">
        <f>Europe!E1409+"n/&gt;!0b5"</f>
        <v>#VALUE!</v>
      </c>
      <c r="DE299" t="e">
        <f>Europe!F1409+"n/&gt;!0b6"</f>
        <v>#VALUE!</v>
      </c>
      <c r="DF299" t="e">
        <f>Europe!G1409+"n/&gt;!0b7"</f>
        <v>#VALUE!</v>
      </c>
      <c r="DG299" t="e">
        <f>Europe!H1409+"n/&gt;!0b8"</f>
        <v>#VALUE!</v>
      </c>
      <c r="DH299" t="e">
        <f>Europe!I1409+"n/&gt;!0b9"</f>
        <v>#VALUE!</v>
      </c>
      <c r="DI299" t="e">
        <f>Europe!A1410+"n/&gt;!0b:"</f>
        <v>#VALUE!</v>
      </c>
      <c r="DJ299" t="e">
        <f>Europe!B1410+"n/&gt;!0b;"</f>
        <v>#VALUE!</v>
      </c>
      <c r="DK299" t="e">
        <f>Europe!C1410+"n/&gt;!0b&lt;"</f>
        <v>#VALUE!</v>
      </c>
      <c r="DL299" t="e">
        <f>Europe!D1410+"n/&gt;!0b="</f>
        <v>#VALUE!</v>
      </c>
      <c r="DM299" t="e">
        <f>Europe!E1410+"n/&gt;!0b&gt;"</f>
        <v>#VALUE!</v>
      </c>
      <c r="DN299" t="e">
        <f>Europe!F1410+"n/&gt;!0b?"</f>
        <v>#VALUE!</v>
      </c>
      <c r="DO299" t="e">
        <f>Europe!G1410+"n/&gt;!0b@"</f>
        <v>#VALUE!</v>
      </c>
      <c r="DP299" t="e">
        <f>Europe!H1410+"n/&gt;!0bA"</f>
        <v>#VALUE!</v>
      </c>
      <c r="DQ299" t="e">
        <f>Europe!I1410+"n/&gt;!0bB"</f>
        <v>#VALUE!</v>
      </c>
      <c r="DR299" t="e">
        <f>Europe!A1411+"n/&gt;!0bC"</f>
        <v>#VALUE!</v>
      </c>
      <c r="DS299" t="e">
        <f>Europe!B1411+"n/&gt;!0bD"</f>
        <v>#VALUE!</v>
      </c>
      <c r="DT299" t="e">
        <f>Europe!C1411+"n/&gt;!0bE"</f>
        <v>#VALUE!</v>
      </c>
      <c r="DU299" t="e">
        <f>Europe!D1411+"n/&gt;!0bF"</f>
        <v>#VALUE!</v>
      </c>
      <c r="DV299" t="e">
        <f>Europe!E1411+"n/&gt;!0bG"</f>
        <v>#VALUE!</v>
      </c>
      <c r="DW299" t="e">
        <f>Europe!F1411+"n/&gt;!0bH"</f>
        <v>#VALUE!</v>
      </c>
      <c r="DX299" t="e">
        <f>Europe!G1411+"n/&gt;!0bI"</f>
        <v>#VALUE!</v>
      </c>
      <c r="DY299" t="e">
        <f>Europe!H1411+"n/&gt;!0bJ"</f>
        <v>#VALUE!</v>
      </c>
      <c r="DZ299" t="e">
        <f>Europe!I1411+"n/&gt;!0bK"</f>
        <v>#VALUE!</v>
      </c>
      <c r="EA299" t="e">
        <f>Europe!A1412+"n/&gt;!0bL"</f>
        <v>#VALUE!</v>
      </c>
      <c r="EB299" t="e">
        <f>Europe!B1412+"n/&gt;!0bM"</f>
        <v>#VALUE!</v>
      </c>
      <c r="EC299" t="e">
        <f>Europe!C1412+"n/&gt;!0bN"</f>
        <v>#VALUE!</v>
      </c>
      <c r="ED299" t="e">
        <f>Europe!D1412+"n/&gt;!0bO"</f>
        <v>#VALUE!</v>
      </c>
      <c r="EE299" t="e">
        <f>Europe!E1412+"n/&gt;!0bP"</f>
        <v>#VALUE!</v>
      </c>
      <c r="EF299" t="e">
        <f>Europe!F1412+"n/&gt;!0bQ"</f>
        <v>#VALUE!</v>
      </c>
      <c r="EG299" t="e">
        <f>Europe!G1412+"n/&gt;!0bR"</f>
        <v>#VALUE!</v>
      </c>
      <c r="EH299" t="e">
        <f>Europe!H1412+"n/&gt;!0bS"</f>
        <v>#VALUE!</v>
      </c>
      <c r="EI299" t="e">
        <f>Europe!I1412+"n/&gt;!0bT"</f>
        <v>#VALUE!</v>
      </c>
      <c r="EJ299" t="e">
        <f>Europe!A1413+"n/&gt;!0bU"</f>
        <v>#VALUE!</v>
      </c>
      <c r="EK299" t="e">
        <f>Europe!B1413+"n/&gt;!0bV"</f>
        <v>#VALUE!</v>
      </c>
      <c r="EL299" t="e">
        <f>Europe!C1413+"n/&gt;!0bW"</f>
        <v>#VALUE!</v>
      </c>
      <c r="EM299" t="e">
        <f>Europe!D1413+"n/&gt;!0bX"</f>
        <v>#VALUE!</v>
      </c>
      <c r="EN299" t="e">
        <f>Europe!E1413+"n/&gt;!0bY"</f>
        <v>#VALUE!</v>
      </c>
      <c r="EO299" t="e">
        <f>Europe!F1413+"n/&gt;!0bZ"</f>
        <v>#VALUE!</v>
      </c>
      <c r="EP299" t="e">
        <f>Europe!G1413+"n/&gt;!0b["</f>
        <v>#VALUE!</v>
      </c>
      <c r="EQ299" t="e">
        <f>Europe!H1413+"n/&gt;!0b\"</f>
        <v>#VALUE!</v>
      </c>
      <c r="ER299" t="e">
        <f>Europe!I1413+"n/&gt;!0b]"</f>
        <v>#VALUE!</v>
      </c>
      <c r="ES299" t="e">
        <f>Europe!A1414+"n/&gt;!0b^"</f>
        <v>#VALUE!</v>
      </c>
      <c r="ET299" t="e">
        <f>Europe!B1414+"n/&gt;!0b_"</f>
        <v>#VALUE!</v>
      </c>
      <c r="EU299" t="e">
        <f>Europe!C1414+"n/&gt;!0b`"</f>
        <v>#VALUE!</v>
      </c>
      <c r="EV299" t="e">
        <f>Europe!D1414+"n/&gt;!0ba"</f>
        <v>#VALUE!</v>
      </c>
      <c r="EW299" t="e">
        <f>Europe!E1414+"n/&gt;!0bb"</f>
        <v>#VALUE!</v>
      </c>
      <c r="EX299" t="e">
        <f>Europe!F1414+"n/&gt;!0bc"</f>
        <v>#VALUE!</v>
      </c>
      <c r="EY299" t="e">
        <f>Europe!G1414+"n/&gt;!0bd"</f>
        <v>#VALUE!</v>
      </c>
      <c r="EZ299" t="e">
        <f>Europe!H1414+"n/&gt;!0be"</f>
        <v>#VALUE!</v>
      </c>
      <c r="FA299" t="e">
        <f>Europe!I1414+"n/&gt;!0bf"</f>
        <v>#VALUE!</v>
      </c>
      <c r="FB299" t="e">
        <f>Europe!A1415+"n/&gt;!0bg"</f>
        <v>#VALUE!</v>
      </c>
      <c r="FC299" t="e">
        <f>Europe!B1415+"n/&gt;!0bh"</f>
        <v>#VALUE!</v>
      </c>
      <c r="FD299" t="e">
        <f>Europe!C1415+"n/&gt;!0bi"</f>
        <v>#VALUE!</v>
      </c>
      <c r="FE299" t="e">
        <f>Europe!D1415+"n/&gt;!0bj"</f>
        <v>#VALUE!</v>
      </c>
      <c r="FF299" t="e">
        <f>Europe!E1415+"n/&gt;!0bk"</f>
        <v>#VALUE!</v>
      </c>
      <c r="FG299" t="e">
        <f>Europe!F1415+"n/&gt;!0bl"</f>
        <v>#VALUE!</v>
      </c>
      <c r="FH299" t="e">
        <f>Europe!G1415+"n/&gt;!0bm"</f>
        <v>#VALUE!</v>
      </c>
      <c r="FI299" t="e">
        <f>Europe!H1415+"n/&gt;!0bn"</f>
        <v>#VALUE!</v>
      </c>
      <c r="FJ299" t="e">
        <f>Europe!I1415+"n/&gt;!0bo"</f>
        <v>#VALUE!</v>
      </c>
      <c r="FK299" t="e">
        <f>Europe!A1416+"n/&gt;!0bp"</f>
        <v>#VALUE!</v>
      </c>
      <c r="FL299" t="e">
        <f>Europe!B1416+"n/&gt;!0bq"</f>
        <v>#VALUE!</v>
      </c>
      <c r="FM299" t="e">
        <f>Europe!C1416+"n/&gt;!0br"</f>
        <v>#VALUE!</v>
      </c>
      <c r="FN299" t="e">
        <f>Europe!D1416+"n/&gt;!0bs"</f>
        <v>#VALUE!</v>
      </c>
      <c r="FO299" t="e">
        <f>Europe!E1416+"n/&gt;!0bt"</f>
        <v>#VALUE!</v>
      </c>
      <c r="FP299" t="e">
        <f>Europe!F1416+"n/&gt;!0bu"</f>
        <v>#VALUE!</v>
      </c>
      <c r="FQ299" t="e">
        <f>Europe!G1416+"n/&gt;!0bv"</f>
        <v>#VALUE!</v>
      </c>
      <c r="FR299" t="e">
        <f>Europe!H1416+"n/&gt;!0bw"</f>
        <v>#VALUE!</v>
      </c>
      <c r="FS299" t="e">
        <f>Europe!I1416+"n/&gt;!0bx"</f>
        <v>#VALUE!</v>
      </c>
      <c r="FT299" t="e">
        <f>Europe!A1417+"n/&gt;!0by"</f>
        <v>#VALUE!</v>
      </c>
      <c r="FU299" t="e">
        <f>Europe!B1417+"n/&gt;!0bz"</f>
        <v>#VALUE!</v>
      </c>
      <c r="FV299" t="e">
        <f>Europe!C1417+"n/&gt;!0b{"</f>
        <v>#VALUE!</v>
      </c>
      <c r="FW299" t="e">
        <f>Europe!D1417+"n/&gt;!0b|"</f>
        <v>#VALUE!</v>
      </c>
      <c r="FX299" t="e">
        <f>Europe!E1417+"n/&gt;!0b}"</f>
        <v>#VALUE!</v>
      </c>
      <c r="FY299" t="e">
        <f>Europe!F1417+"n/&gt;!0b~"</f>
        <v>#VALUE!</v>
      </c>
      <c r="FZ299" t="e">
        <f>Europe!G1417+"n/&gt;!0c#"</f>
        <v>#VALUE!</v>
      </c>
      <c r="GA299" t="e">
        <f>Europe!H1417+"n/&gt;!0c$"</f>
        <v>#VALUE!</v>
      </c>
      <c r="GB299" t="e">
        <f>Europe!I1417+"n/&gt;!0c%"</f>
        <v>#VALUE!</v>
      </c>
      <c r="GC299" t="e">
        <f>Europe!A1418+"n/&gt;!0c&amp;"</f>
        <v>#VALUE!</v>
      </c>
      <c r="GD299" t="e">
        <f>Europe!B1418+"n/&gt;!0c'"</f>
        <v>#VALUE!</v>
      </c>
      <c r="GE299" t="e">
        <f>Europe!C1418+"n/&gt;!0c("</f>
        <v>#VALUE!</v>
      </c>
      <c r="GF299" t="e">
        <f>Europe!D1418+"n/&gt;!0c)"</f>
        <v>#VALUE!</v>
      </c>
      <c r="GG299" t="e">
        <f>Europe!E1418+"n/&gt;!0c."</f>
        <v>#VALUE!</v>
      </c>
      <c r="GH299" t="e">
        <f>Europe!F1418+"n/&gt;!0c/"</f>
        <v>#VALUE!</v>
      </c>
      <c r="GI299" t="e">
        <f>Europe!G1418+"n/&gt;!0c0"</f>
        <v>#VALUE!</v>
      </c>
      <c r="GJ299" t="e">
        <f>Europe!H1418+"n/&gt;!0c1"</f>
        <v>#VALUE!</v>
      </c>
      <c r="GK299" t="e">
        <f>Europe!I1418+"n/&gt;!0c2"</f>
        <v>#VALUE!</v>
      </c>
      <c r="GL299" t="e">
        <f>Europe!A1419+"n/&gt;!0c3"</f>
        <v>#VALUE!</v>
      </c>
      <c r="GM299" t="e">
        <f>Europe!B1419+"n/&gt;!0c4"</f>
        <v>#VALUE!</v>
      </c>
      <c r="GN299" t="e">
        <f>Europe!C1419+"n/&gt;!0c5"</f>
        <v>#VALUE!</v>
      </c>
      <c r="GO299" t="e">
        <f>Europe!D1419+"n/&gt;!0c6"</f>
        <v>#VALUE!</v>
      </c>
      <c r="GP299" t="e">
        <f>Europe!E1419+"n/&gt;!0c7"</f>
        <v>#VALUE!</v>
      </c>
      <c r="GQ299" t="e">
        <f>Europe!F1419+"n/&gt;!0c8"</f>
        <v>#VALUE!</v>
      </c>
      <c r="GR299" t="e">
        <f>Europe!G1419+"n/&gt;!0c9"</f>
        <v>#VALUE!</v>
      </c>
      <c r="GS299" t="e">
        <f>Europe!H1419+"n/&gt;!0c:"</f>
        <v>#VALUE!</v>
      </c>
      <c r="GT299" t="e">
        <f>Europe!I1419+"n/&gt;!0c;"</f>
        <v>#VALUE!</v>
      </c>
      <c r="GU299" t="e">
        <f>Europe!A1420+"n/&gt;!0c&lt;"</f>
        <v>#VALUE!</v>
      </c>
      <c r="GV299" t="e">
        <f>Europe!B1420+"n/&gt;!0c="</f>
        <v>#VALUE!</v>
      </c>
      <c r="GW299" t="e">
        <f>Europe!C1420+"n/&gt;!0c&gt;"</f>
        <v>#VALUE!</v>
      </c>
      <c r="GX299" t="e">
        <f>Europe!D1420+"n/&gt;!0c?"</f>
        <v>#VALUE!</v>
      </c>
      <c r="GY299" t="e">
        <f>Europe!E1420+"n/&gt;!0c@"</f>
        <v>#VALUE!</v>
      </c>
      <c r="GZ299" t="e">
        <f>Europe!F1420+"n/&gt;!0cA"</f>
        <v>#VALUE!</v>
      </c>
      <c r="HA299" t="e">
        <f>Europe!G1420+"n/&gt;!0cB"</f>
        <v>#VALUE!</v>
      </c>
      <c r="HB299" t="e">
        <f>Europe!H1420+"n/&gt;!0cC"</f>
        <v>#VALUE!</v>
      </c>
      <c r="HC299" t="e">
        <f>Europe!I1420+"n/&gt;!0cD"</f>
        <v>#VALUE!</v>
      </c>
      <c r="HD299" t="e">
        <f>Europe!A1421+"n/&gt;!0cE"</f>
        <v>#VALUE!</v>
      </c>
      <c r="HE299" t="e">
        <f>Europe!B1421+"n/&gt;!0cF"</f>
        <v>#VALUE!</v>
      </c>
      <c r="HF299" t="e">
        <f>Europe!C1421+"n/&gt;!0cG"</f>
        <v>#VALUE!</v>
      </c>
      <c r="HG299" t="e">
        <f>Europe!D1421+"n/&gt;!0cH"</f>
        <v>#VALUE!</v>
      </c>
      <c r="HH299" t="e">
        <f>Europe!E1421+"n/&gt;!0cI"</f>
        <v>#VALUE!</v>
      </c>
      <c r="HI299" t="e">
        <f>Europe!F1421+"n/&gt;!0cJ"</f>
        <v>#VALUE!</v>
      </c>
      <c r="HJ299" t="e">
        <f>Europe!G1421+"n/&gt;!0cK"</f>
        <v>#VALUE!</v>
      </c>
      <c r="HK299" t="e">
        <f>Europe!H1421+"n/&gt;!0cL"</f>
        <v>#VALUE!</v>
      </c>
      <c r="HL299" t="e">
        <f>Europe!I1421+"n/&gt;!0cM"</f>
        <v>#VALUE!</v>
      </c>
      <c r="HM299" t="e">
        <f>Europe!A1422+"n/&gt;!0cN"</f>
        <v>#VALUE!</v>
      </c>
      <c r="HN299" t="e">
        <f>Europe!B1422+"n/&gt;!0cO"</f>
        <v>#VALUE!</v>
      </c>
      <c r="HO299" t="e">
        <f>Europe!C1422+"n/&gt;!0cP"</f>
        <v>#VALUE!</v>
      </c>
      <c r="HP299" t="e">
        <f>Europe!D1422+"n/&gt;!0cQ"</f>
        <v>#VALUE!</v>
      </c>
      <c r="HQ299" t="e">
        <f>Europe!E1422+"n/&gt;!0cR"</f>
        <v>#VALUE!</v>
      </c>
      <c r="HR299" t="e">
        <f>Europe!F1422+"n/&gt;!0cS"</f>
        <v>#VALUE!</v>
      </c>
      <c r="HS299" t="e">
        <f>Europe!G1422+"n/&gt;!0cT"</f>
        <v>#VALUE!</v>
      </c>
      <c r="HT299" t="e">
        <f>Europe!H1422+"n/&gt;!0cU"</f>
        <v>#VALUE!</v>
      </c>
      <c r="HU299" t="e">
        <f>Europe!I1422+"n/&gt;!0cV"</f>
        <v>#VALUE!</v>
      </c>
      <c r="HV299" t="e">
        <f>Europe!A1423+"n/&gt;!0cW"</f>
        <v>#VALUE!</v>
      </c>
      <c r="HW299" t="e">
        <f>Europe!B1423+"n/&gt;!0cX"</f>
        <v>#VALUE!</v>
      </c>
      <c r="HX299" t="e">
        <f>Europe!C1423+"n/&gt;!0cY"</f>
        <v>#VALUE!</v>
      </c>
      <c r="HY299" t="e">
        <f>Europe!D1423+"n/&gt;!0cZ"</f>
        <v>#VALUE!</v>
      </c>
      <c r="HZ299" t="e">
        <f>Europe!E1423+"n/&gt;!0c["</f>
        <v>#VALUE!</v>
      </c>
      <c r="IA299" t="e">
        <f>Europe!F1423+"n/&gt;!0c\"</f>
        <v>#VALUE!</v>
      </c>
      <c r="IB299" t="e">
        <f>Europe!G1423+"n/&gt;!0c]"</f>
        <v>#VALUE!</v>
      </c>
      <c r="IC299" t="e">
        <f>Europe!H1423+"n/&gt;!0c^"</f>
        <v>#VALUE!</v>
      </c>
      <c r="ID299" t="e">
        <f>Europe!I1423+"n/&gt;!0c_"</f>
        <v>#VALUE!</v>
      </c>
      <c r="IE299" t="e">
        <f>Europe!A1424+"n/&gt;!0c`"</f>
        <v>#VALUE!</v>
      </c>
      <c r="IF299" t="e">
        <f>Europe!B1424+"n/&gt;!0ca"</f>
        <v>#VALUE!</v>
      </c>
      <c r="IG299" t="e">
        <f>Europe!C1424+"n/&gt;!0cb"</f>
        <v>#VALUE!</v>
      </c>
      <c r="IH299" t="e">
        <f>Europe!D1424+"n/&gt;!0cc"</f>
        <v>#VALUE!</v>
      </c>
      <c r="II299" t="e">
        <f>Europe!E1424+"n/&gt;!0cd"</f>
        <v>#VALUE!</v>
      </c>
      <c r="IJ299" t="e">
        <f>Europe!F1424+"n/&gt;!0ce"</f>
        <v>#VALUE!</v>
      </c>
      <c r="IK299" t="e">
        <f>Europe!G1424+"n/&gt;!0cf"</f>
        <v>#VALUE!</v>
      </c>
      <c r="IL299" t="e">
        <f>Europe!H1424+"n/&gt;!0cg"</f>
        <v>#VALUE!</v>
      </c>
      <c r="IM299" t="e">
        <f>Europe!I1424+"n/&gt;!0ch"</f>
        <v>#VALUE!</v>
      </c>
      <c r="IN299" t="e">
        <f>Europe!A1425+"n/&gt;!0ci"</f>
        <v>#VALUE!</v>
      </c>
      <c r="IO299" t="e">
        <f>Europe!B1425+"n/&gt;!0cj"</f>
        <v>#VALUE!</v>
      </c>
      <c r="IP299" t="e">
        <f>Europe!C1425+"n/&gt;!0ck"</f>
        <v>#VALUE!</v>
      </c>
      <c r="IQ299" t="e">
        <f>Europe!D1425+"n/&gt;!0cl"</f>
        <v>#VALUE!</v>
      </c>
      <c r="IR299" t="e">
        <f>Europe!E1425+"n/&gt;!0cm"</f>
        <v>#VALUE!</v>
      </c>
      <c r="IS299" t="e">
        <f>Europe!F1425+"n/&gt;!0cn"</f>
        <v>#VALUE!</v>
      </c>
      <c r="IT299" t="e">
        <f>Europe!G1425+"n/&gt;!0co"</f>
        <v>#VALUE!</v>
      </c>
      <c r="IU299" t="e">
        <f>Europe!H1425+"n/&gt;!0cp"</f>
        <v>#VALUE!</v>
      </c>
      <c r="IV299" t="e">
        <f>Europe!I1425+"n/&gt;!0cq"</f>
        <v>#VALUE!</v>
      </c>
    </row>
    <row r="300" spans="6:256" x14ac:dyDescent="0.35">
      <c r="F300" t="e">
        <f>Europe!A1426+"n/&gt;!0cr"</f>
        <v>#VALUE!</v>
      </c>
      <c r="G300" t="e">
        <f>Europe!B1426+"n/&gt;!0cs"</f>
        <v>#VALUE!</v>
      </c>
      <c r="H300" t="e">
        <f>Europe!C1426+"n/&gt;!0ct"</f>
        <v>#VALUE!</v>
      </c>
      <c r="I300" t="e">
        <f>Europe!D1426+"n/&gt;!0cu"</f>
        <v>#VALUE!</v>
      </c>
      <c r="J300" t="e">
        <f>Europe!E1426+"n/&gt;!0cv"</f>
        <v>#VALUE!</v>
      </c>
      <c r="K300" t="e">
        <f>Europe!F1426+"n/&gt;!0cw"</f>
        <v>#VALUE!</v>
      </c>
      <c r="L300" t="e">
        <f>Europe!G1426+"n/&gt;!0cx"</f>
        <v>#VALUE!</v>
      </c>
      <c r="M300" t="e">
        <f>Europe!H1426+"n/&gt;!0cy"</f>
        <v>#VALUE!</v>
      </c>
      <c r="N300" t="e">
        <f>Europe!I1426+"n/&gt;!0cz"</f>
        <v>#VALUE!</v>
      </c>
      <c r="O300" t="e">
        <f>Europe!A1427+"n/&gt;!0c{"</f>
        <v>#VALUE!</v>
      </c>
      <c r="P300" t="e">
        <f>Europe!B1427+"n/&gt;!0c|"</f>
        <v>#VALUE!</v>
      </c>
      <c r="Q300" t="e">
        <f>Europe!C1427+"n/&gt;!0c}"</f>
        <v>#VALUE!</v>
      </c>
      <c r="R300" t="e">
        <f>Europe!D1427+"n/&gt;!0c~"</f>
        <v>#VALUE!</v>
      </c>
      <c r="S300" t="e">
        <f>Europe!E1427+"n/&gt;!0d#"</f>
        <v>#VALUE!</v>
      </c>
      <c r="T300" t="e">
        <f>Europe!F1427+"n/&gt;!0d$"</f>
        <v>#VALUE!</v>
      </c>
      <c r="U300" t="e">
        <f>Europe!G1427+"n/&gt;!0d%"</f>
        <v>#VALUE!</v>
      </c>
      <c r="V300" t="e">
        <f>Europe!H1427+"n/&gt;!0d&amp;"</f>
        <v>#VALUE!</v>
      </c>
      <c r="W300" t="e">
        <f>Europe!I1427+"n/&gt;!0d'"</f>
        <v>#VALUE!</v>
      </c>
      <c r="X300" t="e">
        <f>Europe!A1428+"n/&gt;!0d("</f>
        <v>#VALUE!</v>
      </c>
      <c r="Y300" t="e">
        <f>Europe!B1428+"n/&gt;!0d)"</f>
        <v>#VALUE!</v>
      </c>
      <c r="Z300" t="e">
        <f>Europe!C1428+"n/&gt;!0d."</f>
        <v>#VALUE!</v>
      </c>
      <c r="AA300" t="e">
        <f>Europe!D1428+"n/&gt;!0d/"</f>
        <v>#VALUE!</v>
      </c>
      <c r="AB300" t="e">
        <f>Europe!E1428+"n/&gt;!0d0"</f>
        <v>#VALUE!</v>
      </c>
      <c r="AC300" t="e">
        <f>Europe!F1428+"n/&gt;!0d1"</f>
        <v>#VALUE!</v>
      </c>
      <c r="AD300" t="e">
        <f>Europe!G1428+"n/&gt;!0d2"</f>
        <v>#VALUE!</v>
      </c>
      <c r="AE300" t="e">
        <f>Europe!H1428+"n/&gt;!0d3"</f>
        <v>#VALUE!</v>
      </c>
      <c r="AF300" t="e">
        <f>Europe!I1428+"n/&gt;!0d4"</f>
        <v>#VALUE!</v>
      </c>
      <c r="AG300" t="e">
        <f>Europe!A1429+"n/&gt;!0d5"</f>
        <v>#VALUE!</v>
      </c>
      <c r="AH300" t="e">
        <f>Europe!B1429+"n/&gt;!0d6"</f>
        <v>#VALUE!</v>
      </c>
      <c r="AI300" t="e">
        <f>Europe!C1429+"n/&gt;!0d7"</f>
        <v>#VALUE!</v>
      </c>
      <c r="AJ300" t="e">
        <f>Europe!D1429+"n/&gt;!0d8"</f>
        <v>#VALUE!</v>
      </c>
      <c r="AK300" t="e">
        <f>Europe!E1429+"n/&gt;!0d9"</f>
        <v>#VALUE!</v>
      </c>
      <c r="AL300" t="e">
        <f>Europe!F1429+"n/&gt;!0d:"</f>
        <v>#VALUE!</v>
      </c>
      <c r="AM300" t="e">
        <f>Europe!G1429+"n/&gt;!0d;"</f>
        <v>#VALUE!</v>
      </c>
      <c r="AN300" t="e">
        <f>Europe!H1429+"n/&gt;!0d&lt;"</f>
        <v>#VALUE!</v>
      </c>
      <c r="AO300" t="e">
        <f>Europe!I1429+"n/&gt;!0d="</f>
        <v>#VALUE!</v>
      </c>
      <c r="AP300" t="e">
        <f>Europe!A1430+"n/&gt;!0d&gt;"</f>
        <v>#VALUE!</v>
      </c>
      <c r="AQ300" t="e">
        <f>Europe!B1430+"n/&gt;!0d?"</f>
        <v>#VALUE!</v>
      </c>
      <c r="AR300" t="e">
        <f>Europe!C1430+"n/&gt;!0d@"</f>
        <v>#VALUE!</v>
      </c>
      <c r="AS300" t="e">
        <f>Europe!D1430+"n/&gt;!0dA"</f>
        <v>#VALUE!</v>
      </c>
      <c r="AT300" t="e">
        <f>Europe!E1430+"n/&gt;!0dB"</f>
        <v>#VALUE!</v>
      </c>
      <c r="AU300" t="e">
        <f>Europe!F1430+"n/&gt;!0dC"</f>
        <v>#VALUE!</v>
      </c>
      <c r="AV300" t="e">
        <f>Europe!G1430+"n/&gt;!0dD"</f>
        <v>#VALUE!</v>
      </c>
      <c r="AW300" t="e">
        <f>Europe!H1430+"n/&gt;!0dE"</f>
        <v>#VALUE!</v>
      </c>
      <c r="AX300" t="e">
        <f>Europe!I1430+"n/&gt;!0dF"</f>
        <v>#VALUE!</v>
      </c>
      <c r="AY300" t="e">
        <f>Europe!A1431+"n/&gt;!0dG"</f>
        <v>#VALUE!</v>
      </c>
      <c r="AZ300" t="e">
        <f>Europe!B1431+"n/&gt;!0dH"</f>
        <v>#VALUE!</v>
      </c>
      <c r="BA300" t="e">
        <f>Europe!C1431+"n/&gt;!0dI"</f>
        <v>#VALUE!</v>
      </c>
      <c r="BB300" t="e">
        <f>Europe!D1431+"n/&gt;!0dJ"</f>
        <v>#VALUE!</v>
      </c>
      <c r="BC300" t="e">
        <f>Europe!E1431+"n/&gt;!0dK"</f>
        <v>#VALUE!</v>
      </c>
      <c r="BD300" t="e">
        <f>Europe!F1431+"n/&gt;!0dL"</f>
        <v>#VALUE!</v>
      </c>
      <c r="BE300" t="e">
        <f>Europe!G1431+"n/&gt;!0dM"</f>
        <v>#VALUE!</v>
      </c>
      <c r="BF300" t="e">
        <f>Europe!H1431+"n/&gt;!0dN"</f>
        <v>#VALUE!</v>
      </c>
      <c r="BG300" t="e">
        <f>Europe!I1431+"n/&gt;!0dO"</f>
        <v>#VALUE!</v>
      </c>
      <c r="BH300" t="e">
        <f>Europe!A1432+"n/&gt;!0dP"</f>
        <v>#VALUE!</v>
      </c>
      <c r="BI300" t="e">
        <f>Europe!B1432+"n/&gt;!0dQ"</f>
        <v>#VALUE!</v>
      </c>
      <c r="BJ300" t="e">
        <f>Europe!C1432+"n/&gt;!0dR"</f>
        <v>#VALUE!</v>
      </c>
      <c r="BK300" t="e">
        <f>Europe!D1432+"n/&gt;!0dS"</f>
        <v>#VALUE!</v>
      </c>
      <c r="BL300" t="e">
        <f>Europe!E1432+"n/&gt;!0dT"</f>
        <v>#VALUE!</v>
      </c>
      <c r="BM300" t="e">
        <f>Europe!F1432+"n/&gt;!0dU"</f>
        <v>#VALUE!</v>
      </c>
      <c r="BN300" t="e">
        <f>Europe!G1432+"n/&gt;!0dV"</f>
        <v>#VALUE!</v>
      </c>
      <c r="BO300" t="e">
        <f>Europe!H1432+"n/&gt;!0dW"</f>
        <v>#VALUE!</v>
      </c>
      <c r="BP300" t="e">
        <f>Europe!I1432+"n/&gt;!0dX"</f>
        <v>#VALUE!</v>
      </c>
      <c r="BQ300" t="e">
        <f>Europe!A1433+"n/&gt;!0dY"</f>
        <v>#VALUE!</v>
      </c>
      <c r="BR300" t="e">
        <f>Europe!B1433+"n/&gt;!0dZ"</f>
        <v>#VALUE!</v>
      </c>
      <c r="BS300" t="e">
        <f>Europe!C1433+"n/&gt;!0d["</f>
        <v>#VALUE!</v>
      </c>
      <c r="BT300" t="e">
        <f>Europe!D1433+"n/&gt;!0d\"</f>
        <v>#VALUE!</v>
      </c>
      <c r="BU300" t="e">
        <f>Europe!E1433+"n/&gt;!0d]"</f>
        <v>#VALUE!</v>
      </c>
      <c r="BV300" t="e">
        <f>Europe!F1433+"n/&gt;!0d^"</f>
        <v>#VALUE!</v>
      </c>
      <c r="BW300" t="e">
        <f>Europe!G1433+"n/&gt;!0d_"</f>
        <v>#VALUE!</v>
      </c>
      <c r="BX300" t="e">
        <f>Europe!H1433+"n/&gt;!0d`"</f>
        <v>#VALUE!</v>
      </c>
      <c r="BY300" t="e">
        <f>Europe!I1433+"n/&gt;!0da"</f>
        <v>#VALUE!</v>
      </c>
      <c r="BZ300" t="e">
        <f>Europe!A1434+"n/&gt;!0db"</f>
        <v>#VALUE!</v>
      </c>
      <c r="CA300" t="e">
        <f>Europe!B1434+"n/&gt;!0dc"</f>
        <v>#VALUE!</v>
      </c>
      <c r="CB300" t="e">
        <f>Europe!C1434+"n/&gt;!0dd"</f>
        <v>#VALUE!</v>
      </c>
      <c r="CC300" t="e">
        <f>Europe!D1434+"n/&gt;!0de"</f>
        <v>#VALUE!</v>
      </c>
      <c r="CD300" t="e">
        <f>Europe!E1434+"n/&gt;!0df"</f>
        <v>#VALUE!</v>
      </c>
      <c r="CE300" t="e">
        <f>Europe!F1434+"n/&gt;!0dg"</f>
        <v>#VALUE!</v>
      </c>
      <c r="CF300" t="e">
        <f>Europe!G1434+"n/&gt;!0dh"</f>
        <v>#VALUE!</v>
      </c>
      <c r="CG300" t="e">
        <f>Europe!H1434+"n/&gt;!0di"</f>
        <v>#VALUE!</v>
      </c>
      <c r="CH300" t="e">
        <f>Europe!I1434+"n/&gt;!0dj"</f>
        <v>#VALUE!</v>
      </c>
      <c r="CI300" t="e">
        <f>Europe!A1435+"n/&gt;!0dk"</f>
        <v>#VALUE!</v>
      </c>
      <c r="CJ300" t="e">
        <f>Europe!B1435+"n/&gt;!0dl"</f>
        <v>#VALUE!</v>
      </c>
      <c r="CK300" t="e">
        <f>Europe!C1435+"n/&gt;!0dm"</f>
        <v>#VALUE!</v>
      </c>
      <c r="CL300" t="e">
        <f>Europe!D1435+"n/&gt;!0dn"</f>
        <v>#VALUE!</v>
      </c>
      <c r="CM300" t="e">
        <f>Europe!E1435+"n/&gt;!0do"</f>
        <v>#VALUE!</v>
      </c>
      <c r="CN300" t="e">
        <f>Europe!F1435+"n/&gt;!0dp"</f>
        <v>#VALUE!</v>
      </c>
      <c r="CO300" t="e">
        <f>Europe!G1435+"n/&gt;!0dq"</f>
        <v>#VALUE!</v>
      </c>
      <c r="CP300" t="e">
        <f>Europe!H1435+"n/&gt;!0dr"</f>
        <v>#VALUE!</v>
      </c>
      <c r="CQ300" t="e">
        <f>Europe!I1435+"n/&gt;!0ds"</f>
        <v>#VALUE!</v>
      </c>
      <c r="CR300" t="e">
        <f>Europe!A1436+"n/&gt;!0dt"</f>
        <v>#VALUE!</v>
      </c>
      <c r="CS300" t="e">
        <f>Europe!B1436+"n/&gt;!0du"</f>
        <v>#VALUE!</v>
      </c>
      <c r="CT300" t="e">
        <f>Europe!C1436+"n/&gt;!0dv"</f>
        <v>#VALUE!</v>
      </c>
      <c r="CU300" t="e">
        <f>Europe!D1436+"n/&gt;!0dw"</f>
        <v>#VALUE!</v>
      </c>
      <c r="CV300" t="e">
        <f>Europe!E1436+"n/&gt;!0dx"</f>
        <v>#VALUE!</v>
      </c>
      <c r="CW300" t="e">
        <f>Europe!F1436+"n/&gt;!0dy"</f>
        <v>#VALUE!</v>
      </c>
      <c r="CX300" t="e">
        <f>Europe!G1436+"n/&gt;!0dz"</f>
        <v>#VALUE!</v>
      </c>
      <c r="CY300" t="e">
        <f>Europe!H1436+"n/&gt;!0d{"</f>
        <v>#VALUE!</v>
      </c>
      <c r="CZ300" t="e">
        <f>Europe!I1436+"n/&gt;!0d|"</f>
        <v>#VALUE!</v>
      </c>
      <c r="DA300" t="e">
        <f>Europe!A1437+"n/&gt;!0d}"</f>
        <v>#VALUE!</v>
      </c>
      <c r="DB300" t="e">
        <f>Europe!B1437+"n/&gt;!0d~"</f>
        <v>#VALUE!</v>
      </c>
      <c r="DC300" t="e">
        <f>Europe!C1437+"n/&gt;!0e#"</f>
        <v>#VALUE!</v>
      </c>
      <c r="DD300" t="e">
        <f>Europe!D1437+"n/&gt;!0e$"</f>
        <v>#VALUE!</v>
      </c>
      <c r="DE300" t="e">
        <f>Europe!E1437+"n/&gt;!0e%"</f>
        <v>#VALUE!</v>
      </c>
      <c r="DF300" t="e">
        <f>Europe!F1437+"n/&gt;!0e&amp;"</f>
        <v>#VALUE!</v>
      </c>
      <c r="DG300" t="e">
        <f>Europe!G1437+"n/&gt;!0e'"</f>
        <v>#VALUE!</v>
      </c>
      <c r="DH300" t="e">
        <f>Europe!H1437+"n/&gt;!0e("</f>
        <v>#VALUE!</v>
      </c>
      <c r="DI300" t="e">
        <f>Europe!I1437+"n/&gt;!0e)"</f>
        <v>#VALUE!</v>
      </c>
      <c r="DJ300" t="e">
        <f>Europe!A1438+"n/&gt;!0e."</f>
        <v>#VALUE!</v>
      </c>
      <c r="DK300" t="e">
        <f>Europe!B1438+"n/&gt;!0e/"</f>
        <v>#VALUE!</v>
      </c>
      <c r="DL300" t="e">
        <f>Europe!C1438+"n/&gt;!0e0"</f>
        <v>#VALUE!</v>
      </c>
      <c r="DM300" t="e">
        <f>Europe!D1438+"n/&gt;!0e1"</f>
        <v>#VALUE!</v>
      </c>
      <c r="DN300" t="e">
        <f>Europe!E1438+"n/&gt;!0e2"</f>
        <v>#VALUE!</v>
      </c>
      <c r="DO300" t="e">
        <f>Europe!F1438+"n/&gt;!0e3"</f>
        <v>#VALUE!</v>
      </c>
      <c r="DP300" t="e">
        <f>Europe!G1438+"n/&gt;!0e4"</f>
        <v>#VALUE!</v>
      </c>
      <c r="DQ300" t="e">
        <f>Europe!H1438+"n/&gt;!0e5"</f>
        <v>#VALUE!</v>
      </c>
      <c r="DR300" t="e">
        <f>Europe!I1438+"n/&gt;!0e6"</f>
        <v>#VALUE!</v>
      </c>
      <c r="DS300" t="e">
        <f>Europe!A1439+"n/&gt;!0e7"</f>
        <v>#VALUE!</v>
      </c>
      <c r="DT300" t="e">
        <f>Europe!B1439+"n/&gt;!0e8"</f>
        <v>#VALUE!</v>
      </c>
      <c r="DU300" t="e">
        <f>Europe!C1439+"n/&gt;!0e9"</f>
        <v>#VALUE!</v>
      </c>
      <c r="DV300" t="e">
        <f>Europe!D1439+"n/&gt;!0e:"</f>
        <v>#VALUE!</v>
      </c>
      <c r="DW300" t="e">
        <f>Europe!E1439+"n/&gt;!0e;"</f>
        <v>#VALUE!</v>
      </c>
      <c r="DX300" t="e">
        <f>Europe!F1439+"n/&gt;!0e&lt;"</f>
        <v>#VALUE!</v>
      </c>
      <c r="DY300" t="e">
        <f>Europe!G1439+"n/&gt;!0e="</f>
        <v>#VALUE!</v>
      </c>
      <c r="DZ300" t="e">
        <f>Europe!H1439+"n/&gt;!0e&gt;"</f>
        <v>#VALUE!</v>
      </c>
      <c r="EA300" t="e">
        <f>Europe!I1439+"n/&gt;!0e?"</f>
        <v>#VALUE!</v>
      </c>
      <c r="EB300" t="e">
        <f>Europe!A1440+"n/&gt;!0e@"</f>
        <v>#VALUE!</v>
      </c>
      <c r="EC300" t="e">
        <f>Europe!B1440+"n/&gt;!0eA"</f>
        <v>#VALUE!</v>
      </c>
      <c r="ED300" t="e">
        <f>Europe!C1440+"n/&gt;!0eB"</f>
        <v>#VALUE!</v>
      </c>
      <c r="EE300" t="e">
        <f>Europe!D1440+"n/&gt;!0eC"</f>
        <v>#VALUE!</v>
      </c>
      <c r="EF300" t="e">
        <f>Europe!E1440+"n/&gt;!0eD"</f>
        <v>#VALUE!</v>
      </c>
      <c r="EG300" t="e">
        <f>Europe!F1440+"n/&gt;!0eE"</f>
        <v>#VALUE!</v>
      </c>
      <c r="EH300" t="e">
        <f>Europe!G1440+"n/&gt;!0eF"</f>
        <v>#VALUE!</v>
      </c>
      <c r="EI300" t="e">
        <f>Europe!H1440+"n/&gt;!0eG"</f>
        <v>#VALUE!</v>
      </c>
      <c r="EJ300" t="e">
        <f>Europe!I1440+"n/&gt;!0eH"</f>
        <v>#VALUE!</v>
      </c>
      <c r="EK300" t="e">
        <f>Europe!A1441+"n/&gt;!0eI"</f>
        <v>#VALUE!</v>
      </c>
      <c r="EL300" t="e">
        <f>Europe!B1441+"n/&gt;!0eJ"</f>
        <v>#VALUE!</v>
      </c>
      <c r="EM300" t="e">
        <f>Europe!C1441+"n/&gt;!0eK"</f>
        <v>#VALUE!</v>
      </c>
      <c r="EN300" t="e">
        <f>Europe!D1441+"n/&gt;!0eL"</f>
        <v>#VALUE!</v>
      </c>
      <c r="EO300" t="e">
        <f>Europe!E1441+"n/&gt;!0eM"</f>
        <v>#VALUE!</v>
      </c>
      <c r="EP300" t="e">
        <f>Europe!F1441+"n/&gt;!0eN"</f>
        <v>#VALUE!</v>
      </c>
      <c r="EQ300" t="e">
        <f>Europe!G1441+"n/&gt;!0eO"</f>
        <v>#VALUE!</v>
      </c>
      <c r="ER300" t="e">
        <f>Europe!H1441+"n/&gt;!0eP"</f>
        <v>#VALUE!</v>
      </c>
      <c r="ES300" t="e">
        <f>Europe!I1441+"n/&gt;!0eQ"</f>
        <v>#VALUE!</v>
      </c>
      <c r="ET300" t="e">
        <f>Europe!A1442+"n/&gt;!0eR"</f>
        <v>#VALUE!</v>
      </c>
      <c r="EU300" t="e">
        <f>Europe!B1442+"n/&gt;!0eS"</f>
        <v>#VALUE!</v>
      </c>
      <c r="EV300" t="e">
        <f>Europe!C1442+"n/&gt;!0eT"</f>
        <v>#VALUE!</v>
      </c>
      <c r="EW300" t="e">
        <f>Europe!D1442+"n/&gt;!0eU"</f>
        <v>#VALUE!</v>
      </c>
      <c r="EX300" t="e">
        <f>Europe!E1442+"n/&gt;!0eV"</f>
        <v>#VALUE!</v>
      </c>
      <c r="EY300" t="e">
        <f>Europe!F1442+"n/&gt;!0eW"</f>
        <v>#VALUE!</v>
      </c>
      <c r="EZ300" t="e">
        <f>Europe!G1442+"n/&gt;!0eX"</f>
        <v>#VALUE!</v>
      </c>
      <c r="FA300" t="e">
        <f>Europe!H1442+"n/&gt;!0eY"</f>
        <v>#VALUE!</v>
      </c>
      <c r="FB300" t="e">
        <f>Europe!I1442+"n/&gt;!0eZ"</f>
        <v>#VALUE!</v>
      </c>
      <c r="FC300" t="e">
        <f>Europe!A1443+"n/&gt;!0e["</f>
        <v>#VALUE!</v>
      </c>
      <c r="FD300" t="e">
        <f>Europe!B1443+"n/&gt;!0e\"</f>
        <v>#VALUE!</v>
      </c>
      <c r="FE300" t="e">
        <f>Europe!C1443+"n/&gt;!0e]"</f>
        <v>#VALUE!</v>
      </c>
      <c r="FF300" t="e">
        <f>Europe!D1443+"n/&gt;!0e^"</f>
        <v>#VALUE!</v>
      </c>
      <c r="FG300" t="e">
        <f>Europe!E1443+"n/&gt;!0e_"</f>
        <v>#VALUE!</v>
      </c>
      <c r="FH300" t="e">
        <f>Europe!F1443+"n/&gt;!0e`"</f>
        <v>#VALUE!</v>
      </c>
      <c r="FI300" t="e">
        <f>Europe!G1443+"n/&gt;!0ea"</f>
        <v>#VALUE!</v>
      </c>
      <c r="FJ300" t="e">
        <f>Europe!H1443+"n/&gt;!0eb"</f>
        <v>#VALUE!</v>
      </c>
      <c r="FK300" t="e">
        <f>Europe!I1443+"n/&gt;!0ec"</f>
        <v>#VALUE!</v>
      </c>
      <c r="FL300" t="e">
        <f>Europe!A1444+"n/&gt;!0ed"</f>
        <v>#VALUE!</v>
      </c>
      <c r="FM300" t="e">
        <f>Europe!B1444+"n/&gt;!0ee"</f>
        <v>#VALUE!</v>
      </c>
      <c r="FN300" t="e">
        <f>Europe!C1444+"n/&gt;!0ef"</f>
        <v>#VALUE!</v>
      </c>
      <c r="FO300" t="e">
        <f>Europe!D1444+"n/&gt;!0eg"</f>
        <v>#VALUE!</v>
      </c>
      <c r="FP300" t="e">
        <f>Europe!E1444+"n/&gt;!0eh"</f>
        <v>#VALUE!</v>
      </c>
      <c r="FQ300" t="e">
        <f>Europe!F1444+"n/&gt;!0ei"</f>
        <v>#VALUE!</v>
      </c>
      <c r="FR300" t="e">
        <f>Europe!G1444+"n/&gt;!0ej"</f>
        <v>#VALUE!</v>
      </c>
      <c r="FS300" t="e">
        <f>Europe!H1444+"n/&gt;!0ek"</f>
        <v>#VALUE!</v>
      </c>
      <c r="FT300" t="e">
        <f>Europe!I1444+"n/&gt;!0el"</f>
        <v>#VALUE!</v>
      </c>
      <c r="FU300" t="e">
        <f>Europe!A1445+"n/&gt;!0em"</f>
        <v>#VALUE!</v>
      </c>
      <c r="FV300" t="e">
        <f>Europe!B1445+"n/&gt;!0en"</f>
        <v>#VALUE!</v>
      </c>
      <c r="FW300" t="e">
        <f>Europe!C1445+"n/&gt;!0eo"</f>
        <v>#VALUE!</v>
      </c>
      <c r="FX300" t="e">
        <f>Europe!D1445+"n/&gt;!0ep"</f>
        <v>#VALUE!</v>
      </c>
      <c r="FY300" t="e">
        <f>Europe!E1445+"n/&gt;!0eq"</f>
        <v>#VALUE!</v>
      </c>
      <c r="FZ300" t="e">
        <f>Europe!F1445+"n/&gt;!0er"</f>
        <v>#VALUE!</v>
      </c>
      <c r="GA300" t="e">
        <f>Europe!G1445+"n/&gt;!0es"</f>
        <v>#VALUE!</v>
      </c>
      <c r="GB300" t="e">
        <f>Europe!H1445+"n/&gt;!0et"</f>
        <v>#VALUE!</v>
      </c>
      <c r="GC300" t="e">
        <f>Europe!I1445+"n/&gt;!0eu"</f>
        <v>#VALUE!</v>
      </c>
      <c r="GD300" t="e">
        <f>Europe!A1446+"n/&gt;!0ev"</f>
        <v>#VALUE!</v>
      </c>
      <c r="GE300" t="e">
        <f>Europe!B1446+"n/&gt;!0ew"</f>
        <v>#VALUE!</v>
      </c>
      <c r="GF300" t="e">
        <f>Europe!C1446+"n/&gt;!0ex"</f>
        <v>#VALUE!</v>
      </c>
      <c r="GG300" t="e">
        <f>Europe!D1446+"n/&gt;!0ey"</f>
        <v>#VALUE!</v>
      </c>
      <c r="GH300" t="e">
        <f>Europe!E1446+"n/&gt;!0ez"</f>
        <v>#VALUE!</v>
      </c>
      <c r="GI300" t="e">
        <f>Europe!F1446+"n/&gt;!0e{"</f>
        <v>#VALUE!</v>
      </c>
      <c r="GJ300" t="e">
        <f>Europe!G1446+"n/&gt;!0e|"</f>
        <v>#VALUE!</v>
      </c>
      <c r="GK300" t="e">
        <f>Europe!H1446+"n/&gt;!0e}"</f>
        <v>#VALUE!</v>
      </c>
      <c r="GL300" t="e">
        <f>Europe!I1446+"n/&gt;!0e~"</f>
        <v>#VALUE!</v>
      </c>
      <c r="GM300" t="e">
        <f>Europe!A1447+"n/&gt;!0f#"</f>
        <v>#VALUE!</v>
      </c>
      <c r="GN300" t="e">
        <f>Europe!B1447+"n/&gt;!0f$"</f>
        <v>#VALUE!</v>
      </c>
      <c r="GO300" t="e">
        <f>Europe!C1447+"n/&gt;!0f%"</f>
        <v>#VALUE!</v>
      </c>
      <c r="GP300" t="e">
        <f>Europe!D1447+"n/&gt;!0f&amp;"</f>
        <v>#VALUE!</v>
      </c>
      <c r="GQ300" t="e">
        <f>Europe!E1447+"n/&gt;!0f'"</f>
        <v>#VALUE!</v>
      </c>
      <c r="GR300" t="e">
        <f>Europe!F1447+"n/&gt;!0f("</f>
        <v>#VALUE!</v>
      </c>
      <c r="GS300" t="e">
        <f>Europe!G1447+"n/&gt;!0f)"</f>
        <v>#VALUE!</v>
      </c>
      <c r="GT300" t="e">
        <f>Europe!H1447+"n/&gt;!0f."</f>
        <v>#VALUE!</v>
      </c>
      <c r="GU300" t="e">
        <f>Europe!I1447+"n/&gt;!0f/"</f>
        <v>#VALUE!</v>
      </c>
      <c r="GV300" t="e">
        <f>Europe!A1448+"n/&gt;!0f0"</f>
        <v>#VALUE!</v>
      </c>
      <c r="GW300" t="e">
        <f>Europe!B1448+"n/&gt;!0f1"</f>
        <v>#VALUE!</v>
      </c>
      <c r="GX300" t="e">
        <f>Europe!C1448+"n/&gt;!0f2"</f>
        <v>#VALUE!</v>
      </c>
      <c r="GY300" t="e">
        <f>Europe!D1448+"n/&gt;!0f3"</f>
        <v>#VALUE!</v>
      </c>
      <c r="GZ300" t="e">
        <f>Europe!E1448+"n/&gt;!0f4"</f>
        <v>#VALUE!</v>
      </c>
      <c r="HA300" t="e">
        <f>Europe!F1448+"n/&gt;!0f5"</f>
        <v>#VALUE!</v>
      </c>
      <c r="HB300" t="e">
        <f>Europe!G1448+"n/&gt;!0f6"</f>
        <v>#VALUE!</v>
      </c>
      <c r="HC300" t="e">
        <f>Europe!H1448+"n/&gt;!0f7"</f>
        <v>#VALUE!</v>
      </c>
      <c r="HD300" t="e">
        <f>Europe!I1448+"n/&gt;!0f8"</f>
        <v>#VALUE!</v>
      </c>
      <c r="HE300" t="e">
        <f>Europe!A1449+"n/&gt;!0f9"</f>
        <v>#VALUE!</v>
      </c>
      <c r="HF300" t="e">
        <f>Europe!B1449+"n/&gt;!0f:"</f>
        <v>#VALUE!</v>
      </c>
      <c r="HG300" t="e">
        <f>Europe!C1449+"n/&gt;!0f;"</f>
        <v>#VALUE!</v>
      </c>
      <c r="HH300" t="e">
        <f>Europe!D1449+"n/&gt;!0f&lt;"</f>
        <v>#VALUE!</v>
      </c>
      <c r="HI300" t="e">
        <f>Europe!E1449+"n/&gt;!0f="</f>
        <v>#VALUE!</v>
      </c>
      <c r="HJ300" t="e">
        <f>Europe!F1449+"n/&gt;!0f&gt;"</f>
        <v>#VALUE!</v>
      </c>
      <c r="HK300" t="e">
        <f>Europe!G1449+"n/&gt;!0f?"</f>
        <v>#VALUE!</v>
      </c>
      <c r="HL300" t="e">
        <f>Europe!H1449+"n/&gt;!0f@"</f>
        <v>#VALUE!</v>
      </c>
      <c r="HM300" t="e">
        <f>Europe!I1449+"n/&gt;!0fA"</f>
        <v>#VALUE!</v>
      </c>
      <c r="HN300" t="e">
        <f>Europe!A1450+"n/&gt;!0fB"</f>
        <v>#VALUE!</v>
      </c>
      <c r="HO300" t="e">
        <f>Europe!B1450+"n/&gt;!0fC"</f>
        <v>#VALUE!</v>
      </c>
      <c r="HP300" t="e">
        <f>Europe!C1450+"n/&gt;!0fD"</f>
        <v>#VALUE!</v>
      </c>
      <c r="HQ300" t="e">
        <f>Europe!D1450+"n/&gt;!0fE"</f>
        <v>#VALUE!</v>
      </c>
      <c r="HR300" t="e">
        <f>Europe!E1450+"n/&gt;!0fF"</f>
        <v>#VALUE!</v>
      </c>
      <c r="HS300" t="e">
        <f>Europe!F1450+"n/&gt;!0fG"</f>
        <v>#VALUE!</v>
      </c>
      <c r="HT300" t="e">
        <f>Europe!G1450+"n/&gt;!0fH"</f>
        <v>#VALUE!</v>
      </c>
      <c r="HU300" t="e">
        <f>Europe!H1450+"n/&gt;!0fI"</f>
        <v>#VALUE!</v>
      </c>
      <c r="HV300" t="e">
        <f>Europe!I1450+"n/&gt;!0fJ"</f>
        <v>#VALUE!</v>
      </c>
      <c r="HW300" t="e">
        <f>Europe!A1451+"n/&gt;!0fK"</f>
        <v>#VALUE!</v>
      </c>
      <c r="HX300" t="e">
        <f>Europe!B1451+"n/&gt;!0fL"</f>
        <v>#VALUE!</v>
      </c>
      <c r="HY300" t="e">
        <f>Europe!C1451+"n/&gt;!0fM"</f>
        <v>#VALUE!</v>
      </c>
      <c r="HZ300" t="e">
        <f>Europe!D1451+"n/&gt;!0fN"</f>
        <v>#VALUE!</v>
      </c>
      <c r="IA300" t="e">
        <f>Europe!E1451+"n/&gt;!0fO"</f>
        <v>#VALUE!</v>
      </c>
      <c r="IB300" t="e">
        <f>Europe!F1451+"n/&gt;!0fP"</f>
        <v>#VALUE!</v>
      </c>
      <c r="IC300" t="e">
        <f>Europe!G1451+"n/&gt;!0fQ"</f>
        <v>#VALUE!</v>
      </c>
      <c r="ID300" t="e">
        <f>Europe!H1451+"n/&gt;!0fR"</f>
        <v>#VALUE!</v>
      </c>
      <c r="IE300" t="e">
        <f>Europe!I1451+"n/&gt;!0fS"</f>
        <v>#VALUE!</v>
      </c>
      <c r="IF300" t="e">
        <f>Europe!A1452+"n/&gt;!0fT"</f>
        <v>#VALUE!</v>
      </c>
      <c r="IG300" t="e">
        <f>Europe!B1452+"n/&gt;!0fU"</f>
        <v>#VALUE!</v>
      </c>
      <c r="IH300" t="e">
        <f>Europe!C1452+"n/&gt;!0fV"</f>
        <v>#VALUE!</v>
      </c>
      <c r="II300" t="e">
        <f>Europe!D1452+"n/&gt;!0fW"</f>
        <v>#VALUE!</v>
      </c>
      <c r="IJ300" t="e">
        <f>Europe!E1452+"n/&gt;!0fX"</f>
        <v>#VALUE!</v>
      </c>
      <c r="IK300" t="e">
        <f>Europe!F1452+"n/&gt;!0fY"</f>
        <v>#VALUE!</v>
      </c>
      <c r="IL300" t="e">
        <f>Europe!G1452+"n/&gt;!0fZ"</f>
        <v>#VALUE!</v>
      </c>
      <c r="IM300" t="e">
        <f>Europe!H1452+"n/&gt;!0f["</f>
        <v>#VALUE!</v>
      </c>
      <c r="IN300" t="e">
        <f>Europe!I1452+"n/&gt;!0f\"</f>
        <v>#VALUE!</v>
      </c>
      <c r="IO300" t="e">
        <f>Europe!A1453+"n/&gt;!0f]"</f>
        <v>#VALUE!</v>
      </c>
      <c r="IP300" t="e">
        <f>Europe!B1453+"n/&gt;!0f^"</f>
        <v>#VALUE!</v>
      </c>
      <c r="IQ300" t="e">
        <f>Europe!C1453+"n/&gt;!0f_"</f>
        <v>#VALUE!</v>
      </c>
      <c r="IR300" t="e">
        <f>Europe!D1453+"n/&gt;!0f`"</f>
        <v>#VALUE!</v>
      </c>
      <c r="IS300" t="e">
        <f>Europe!E1453+"n/&gt;!0fa"</f>
        <v>#VALUE!</v>
      </c>
      <c r="IT300" t="e">
        <f>Europe!F1453+"n/&gt;!0fb"</f>
        <v>#VALUE!</v>
      </c>
      <c r="IU300" t="e">
        <f>Europe!G1453+"n/&gt;!0fc"</f>
        <v>#VALUE!</v>
      </c>
      <c r="IV300" t="e">
        <f>Europe!H1453+"n/&gt;!0fd"</f>
        <v>#VALUE!</v>
      </c>
    </row>
    <row r="301" spans="6:256" x14ac:dyDescent="0.35">
      <c r="F301" t="e">
        <f>Europe!I1453+"n/&gt;!0fe"</f>
        <v>#VALUE!</v>
      </c>
      <c r="G301" t="e">
        <f>Europe!A1454+"n/&gt;!0ff"</f>
        <v>#VALUE!</v>
      </c>
      <c r="H301" t="e">
        <f>Europe!B1454+"n/&gt;!0fg"</f>
        <v>#VALUE!</v>
      </c>
      <c r="I301" t="e">
        <f>Europe!C1454+"n/&gt;!0fh"</f>
        <v>#VALUE!</v>
      </c>
      <c r="J301" t="e">
        <f>Europe!D1454+"n/&gt;!0fi"</f>
        <v>#VALUE!</v>
      </c>
      <c r="K301" t="e">
        <f>Europe!E1454+"n/&gt;!0fj"</f>
        <v>#VALUE!</v>
      </c>
      <c r="L301" t="e">
        <f>Europe!F1454+"n/&gt;!0fk"</f>
        <v>#VALUE!</v>
      </c>
      <c r="M301" t="e">
        <f>Europe!G1454+"n/&gt;!0fl"</f>
        <v>#VALUE!</v>
      </c>
      <c r="N301" t="e">
        <f>Europe!H1454+"n/&gt;!0fm"</f>
        <v>#VALUE!</v>
      </c>
      <c r="O301" t="e">
        <f>Europe!I1454+"n/&gt;!0fn"</f>
        <v>#VALUE!</v>
      </c>
      <c r="P301" t="e">
        <f>Europe!A1455+"n/&gt;!0fo"</f>
        <v>#VALUE!</v>
      </c>
      <c r="Q301" t="e">
        <f>Europe!B1455+"n/&gt;!0fp"</f>
        <v>#VALUE!</v>
      </c>
      <c r="R301" t="e">
        <f>Europe!C1455+"n/&gt;!0fq"</f>
        <v>#VALUE!</v>
      </c>
      <c r="S301" t="e">
        <f>Europe!D1455+"n/&gt;!0fr"</f>
        <v>#VALUE!</v>
      </c>
      <c r="T301" t="e">
        <f>Europe!E1455+"n/&gt;!0fs"</f>
        <v>#VALUE!</v>
      </c>
      <c r="U301" t="e">
        <f>Europe!F1455+"n/&gt;!0ft"</f>
        <v>#VALUE!</v>
      </c>
      <c r="V301" t="e">
        <f>Europe!G1455+"n/&gt;!0fu"</f>
        <v>#VALUE!</v>
      </c>
      <c r="W301" t="e">
        <f>Europe!H1455+"n/&gt;!0fv"</f>
        <v>#VALUE!</v>
      </c>
      <c r="X301" t="e">
        <f>Europe!I1455+"n/&gt;!0fw"</f>
        <v>#VALUE!</v>
      </c>
      <c r="Y301" t="e">
        <f>Europe!A1456+"n/&gt;!0fx"</f>
        <v>#VALUE!</v>
      </c>
      <c r="Z301" t="e">
        <f>Europe!B1456+"n/&gt;!0fy"</f>
        <v>#VALUE!</v>
      </c>
      <c r="AA301" t="e">
        <f>Europe!C1456+"n/&gt;!0fz"</f>
        <v>#VALUE!</v>
      </c>
      <c r="AB301" t="e">
        <f>Europe!D1456+"n/&gt;!0f{"</f>
        <v>#VALUE!</v>
      </c>
      <c r="AC301" t="e">
        <f>Europe!E1456+"n/&gt;!0f|"</f>
        <v>#VALUE!</v>
      </c>
      <c r="AD301" t="e">
        <f>Europe!F1456+"n/&gt;!0f}"</f>
        <v>#VALUE!</v>
      </c>
      <c r="AE301" t="e">
        <f>Europe!G1456+"n/&gt;!0f~"</f>
        <v>#VALUE!</v>
      </c>
      <c r="AF301" t="e">
        <f>Europe!H1456+"n/&gt;!0g#"</f>
        <v>#VALUE!</v>
      </c>
      <c r="AG301" t="e">
        <f>Europe!I1456+"n/&gt;!0g$"</f>
        <v>#VALUE!</v>
      </c>
      <c r="AH301" t="e">
        <f>Europe!A1457+"n/&gt;!0g%"</f>
        <v>#VALUE!</v>
      </c>
      <c r="AI301" t="e">
        <f>Europe!B1457+"n/&gt;!0g&amp;"</f>
        <v>#VALUE!</v>
      </c>
      <c r="AJ301" t="e">
        <f>Europe!C1457+"n/&gt;!0g'"</f>
        <v>#VALUE!</v>
      </c>
      <c r="AK301" t="e">
        <f>Europe!D1457+"n/&gt;!0g("</f>
        <v>#VALUE!</v>
      </c>
      <c r="AL301" t="e">
        <f>Europe!E1457+"n/&gt;!0g)"</f>
        <v>#VALUE!</v>
      </c>
      <c r="AM301" t="e">
        <f>Europe!F1457+"n/&gt;!0g."</f>
        <v>#VALUE!</v>
      </c>
      <c r="AN301" t="e">
        <f>Europe!G1457+"n/&gt;!0g/"</f>
        <v>#VALUE!</v>
      </c>
      <c r="AO301" t="e">
        <f>Europe!H1457+"n/&gt;!0g0"</f>
        <v>#VALUE!</v>
      </c>
      <c r="AP301" t="e">
        <f>Europe!I1457+"n/&gt;!0g1"</f>
        <v>#VALUE!</v>
      </c>
      <c r="AQ301" t="e">
        <f>Europe!A1458+"n/&gt;!0g2"</f>
        <v>#VALUE!</v>
      </c>
      <c r="AR301" t="e">
        <f>Europe!B1458+"n/&gt;!0g3"</f>
        <v>#VALUE!</v>
      </c>
      <c r="AS301" t="e">
        <f>Europe!C1458+"n/&gt;!0g4"</f>
        <v>#VALUE!</v>
      </c>
      <c r="AT301" t="e">
        <f>Europe!D1458+"n/&gt;!0g5"</f>
        <v>#VALUE!</v>
      </c>
      <c r="AU301" t="e">
        <f>Europe!E1458+"n/&gt;!0g6"</f>
        <v>#VALUE!</v>
      </c>
      <c r="AV301" t="e">
        <f>Europe!F1458+"n/&gt;!0g7"</f>
        <v>#VALUE!</v>
      </c>
      <c r="AW301" t="e">
        <f>Europe!G1458+"n/&gt;!0g8"</f>
        <v>#VALUE!</v>
      </c>
      <c r="AX301" t="e">
        <f>Europe!H1458+"n/&gt;!0g9"</f>
        <v>#VALUE!</v>
      </c>
      <c r="AY301" t="e">
        <f>Europe!I1458+"n/&gt;!0g:"</f>
        <v>#VALUE!</v>
      </c>
      <c r="AZ301" t="e">
        <f>Europe!A1459+"n/&gt;!0g;"</f>
        <v>#VALUE!</v>
      </c>
      <c r="BA301" t="e">
        <f>Europe!B1459+"n/&gt;!0g&lt;"</f>
        <v>#VALUE!</v>
      </c>
      <c r="BB301" t="e">
        <f>Europe!C1459+"n/&gt;!0g="</f>
        <v>#VALUE!</v>
      </c>
      <c r="BC301" t="e">
        <f>Europe!D1459+"n/&gt;!0g&gt;"</f>
        <v>#VALUE!</v>
      </c>
      <c r="BD301" t="e">
        <f>Europe!E1459+"n/&gt;!0g?"</f>
        <v>#VALUE!</v>
      </c>
      <c r="BE301" t="e">
        <f>Europe!F1459+"n/&gt;!0g@"</f>
        <v>#VALUE!</v>
      </c>
      <c r="BF301" t="e">
        <f>Europe!G1459+"n/&gt;!0gA"</f>
        <v>#VALUE!</v>
      </c>
      <c r="BG301" t="e">
        <f>Europe!H1459+"n/&gt;!0gB"</f>
        <v>#VALUE!</v>
      </c>
      <c r="BH301" t="e">
        <f>Europe!I1459+"n/&gt;!0gC"</f>
        <v>#VALUE!</v>
      </c>
      <c r="BI301" t="e">
        <f>Europe!A1460+"n/&gt;!0gD"</f>
        <v>#VALUE!</v>
      </c>
      <c r="BJ301" t="e">
        <f>Europe!B1460+"n/&gt;!0gE"</f>
        <v>#VALUE!</v>
      </c>
      <c r="BK301" t="e">
        <f>Europe!C1460+"n/&gt;!0gF"</f>
        <v>#VALUE!</v>
      </c>
      <c r="BL301" t="e">
        <f>Europe!D1460+"n/&gt;!0gG"</f>
        <v>#VALUE!</v>
      </c>
      <c r="BM301" t="e">
        <f>Europe!E1460+"n/&gt;!0gH"</f>
        <v>#VALUE!</v>
      </c>
      <c r="BN301" t="e">
        <f>Europe!F1460+"n/&gt;!0gI"</f>
        <v>#VALUE!</v>
      </c>
      <c r="BO301" t="e">
        <f>Europe!G1460+"n/&gt;!0gJ"</f>
        <v>#VALUE!</v>
      </c>
      <c r="BP301" t="e">
        <f>Europe!H1460+"n/&gt;!0gK"</f>
        <v>#VALUE!</v>
      </c>
      <c r="BQ301" t="e">
        <f>Europe!I1460+"n/&gt;!0gL"</f>
        <v>#VALUE!</v>
      </c>
      <c r="BR301" t="e">
        <f>Europe!A1461+"n/&gt;!0gM"</f>
        <v>#VALUE!</v>
      </c>
      <c r="BS301" t="e">
        <f>Europe!B1461+"n/&gt;!0gN"</f>
        <v>#VALUE!</v>
      </c>
      <c r="BT301" t="e">
        <f>Europe!C1461+"n/&gt;!0gO"</f>
        <v>#VALUE!</v>
      </c>
      <c r="BU301" t="e">
        <f>Europe!D1461+"n/&gt;!0gP"</f>
        <v>#VALUE!</v>
      </c>
      <c r="BV301" t="e">
        <f>Europe!E1461+"n/&gt;!0gQ"</f>
        <v>#VALUE!</v>
      </c>
      <c r="BW301" t="e">
        <f>Europe!F1461+"n/&gt;!0gR"</f>
        <v>#VALUE!</v>
      </c>
      <c r="BX301" t="e">
        <f>Europe!G1461+"n/&gt;!0gS"</f>
        <v>#VALUE!</v>
      </c>
      <c r="BY301" t="e">
        <f>Europe!H1461+"n/&gt;!0gT"</f>
        <v>#VALUE!</v>
      </c>
      <c r="BZ301" t="e">
        <f>Europe!I1461+"n/&gt;!0gU"</f>
        <v>#VALUE!</v>
      </c>
      <c r="CA301" t="e">
        <f>Europe!A1462+"n/&gt;!0gV"</f>
        <v>#VALUE!</v>
      </c>
      <c r="CB301" t="e">
        <f>Europe!B1462+"n/&gt;!0gW"</f>
        <v>#VALUE!</v>
      </c>
      <c r="CC301" t="e">
        <f>Europe!C1462+"n/&gt;!0gX"</f>
        <v>#VALUE!</v>
      </c>
      <c r="CD301" t="e">
        <f>Europe!D1462+"n/&gt;!0gY"</f>
        <v>#VALUE!</v>
      </c>
      <c r="CE301" t="e">
        <f>Europe!E1462+"n/&gt;!0gZ"</f>
        <v>#VALUE!</v>
      </c>
      <c r="CF301" t="e">
        <f>Europe!F1462+"n/&gt;!0g["</f>
        <v>#VALUE!</v>
      </c>
      <c r="CG301" t="e">
        <f>Europe!G1462+"n/&gt;!0g\"</f>
        <v>#VALUE!</v>
      </c>
      <c r="CH301" t="e">
        <f>Europe!H1462+"n/&gt;!0g]"</f>
        <v>#VALUE!</v>
      </c>
      <c r="CI301" t="e">
        <f>Europe!I1462+"n/&gt;!0g^"</f>
        <v>#VALUE!</v>
      </c>
      <c r="CJ301" t="e">
        <f>Europe!A1463+"n/&gt;!0g_"</f>
        <v>#VALUE!</v>
      </c>
      <c r="CK301" t="e">
        <f>Europe!B1463+"n/&gt;!0g`"</f>
        <v>#VALUE!</v>
      </c>
      <c r="CL301" t="e">
        <f>Europe!C1463+"n/&gt;!0ga"</f>
        <v>#VALUE!</v>
      </c>
      <c r="CM301" t="e">
        <f>Europe!D1463+"n/&gt;!0gb"</f>
        <v>#VALUE!</v>
      </c>
      <c r="CN301" t="e">
        <f>Europe!E1463+"n/&gt;!0gc"</f>
        <v>#VALUE!</v>
      </c>
      <c r="CO301" t="e">
        <f>Europe!F1463+"n/&gt;!0gd"</f>
        <v>#VALUE!</v>
      </c>
      <c r="CP301" t="e">
        <f>Europe!G1463+"n/&gt;!0ge"</f>
        <v>#VALUE!</v>
      </c>
      <c r="CQ301" t="e">
        <f>Europe!H1463+"n/&gt;!0gf"</f>
        <v>#VALUE!</v>
      </c>
      <c r="CR301" t="e">
        <f>Europe!I1463+"n/&gt;!0gg"</f>
        <v>#VALUE!</v>
      </c>
      <c r="CS301" t="e">
        <f>Europe!A1464+"n/&gt;!0gh"</f>
        <v>#VALUE!</v>
      </c>
      <c r="CT301" t="e">
        <f>Europe!B1464+"n/&gt;!0gi"</f>
        <v>#VALUE!</v>
      </c>
      <c r="CU301" t="e">
        <f>Europe!C1464+"n/&gt;!0gj"</f>
        <v>#VALUE!</v>
      </c>
      <c r="CV301" t="e">
        <f>Europe!D1464+"n/&gt;!0gk"</f>
        <v>#VALUE!</v>
      </c>
      <c r="CW301" t="e">
        <f>Europe!E1464+"n/&gt;!0gl"</f>
        <v>#VALUE!</v>
      </c>
      <c r="CX301" t="e">
        <f>Europe!F1464+"n/&gt;!0gm"</f>
        <v>#VALUE!</v>
      </c>
      <c r="CY301" t="e">
        <f>Europe!G1464+"n/&gt;!0gn"</f>
        <v>#VALUE!</v>
      </c>
      <c r="CZ301" t="e">
        <f>Europe!H1464+"n/&gt;!0go"</f>
        <v>#VALUE!</v>
      </c>
      <c r="DA301" t="e">
        <f>Europe!I1464+"n/&gt;!0gp"</f>
        <v>#VALUE!</v>
      </c>
      <c r="DB301" t="e">
        <f>Europe!A1465+"n/&gt;!0gq"</f>
        <v>#VALUE!</v>
      </c>
      <c r="DC301" t="e">
        <f>Europe!B1465+"n/&gt;!0gr"</f>
        <v>#VALUE!</v>
      </c>
      <c r="DD301" t="e">
        <f>Europe!C1465+"n/&gt;!0gs"</f>
        <v>#VALUE!</v>
      </c>
      <c r="DE301" t="e">
        <f>Europe!D1465+"n/&gt;!0gt"</f>
        <v>#VALUE!</v>
      </c>
      <c r="DF301" t="e">
        <f>Europe!E1465+"n/&gt;!0gu"</f>
        <v>#VALUE!</v>
      </c>
      <c r="DG301" t="e">
        <f>Europe!F1465+"n/&gt;!0gv"</f>
        <v>#VALUE!</v>
      </c>
      <c r="DH301" t="e">
        <f>Europe!G1465+"n/&gt;!0gw"</f>
        <v>#VALUE!</v>
      </c>
      <c r="DI301" t="e">
        <f>Europe!H1465+"n/&gt;!0gx"</f>
        <v>#VALUE!</v>
      </c>
      <c r="DJ301" t="e">
        <f>Europe!I1465+"n/&gt;!0gy"</f>
        <v>#VALUE!</v>
      </c>
      <c r="DK301" t="e">
        <f>Europe!A1466+"n/&gt;!0gz"</f>
        <v>#VALUE!</v>
      </c>
      <c r="DL301" t="e">
        <f>Europe!B1466+"n/&gt;!0g{"</f>
        <v>#VALUE!</v>
      </c>
      <c r="DM301" t="e">
        <f>Europe!C1466+"n/&gt;!0g|"</f>
        <v>#VALUE!</v>
      </c>
      <c r="DN301" t="e">
        <f>Europe!D1466+"n/&gt;!0g}"</f>
        <v>#VALUE!</v>
      </c>
      <c r="DO301" t="e">
        <f>Europe!E1466+"n/&gt;!0g~"</f>
        <v>#VALUE!</v>
      </c>
      <c r="DP301" t="e">
        <f>Europe!F1466+"n/&gt;!0h#"</f>
        <v>#VALUE!</v>
      </c>
      <c r="DQ301" t="e">
        <f>Europe!G1466+"n/&gt;!0h$"</f>
        <v>#VALUE!</v>
      </c>
      <c r="DR301" t="e">
        <f>Europe!H1466+"n/&gt;!0h%"</f>
        <v>#VALUE!</v>
      </c>
      <c r="DS301" t="e">
        <f>Europe!I1466+"n/&gt;!0h&amp;"</f>
        <v>#VALUE!</v>
      </c>
      <c r="DT301" t="e">
        <f>Europe!A1467+"n/&gt;!0h'"</f>
        <v>#VALUE!</v>
      </c>
      <c r="DU301" t="e">
        <f>Europe!B1467+"n/&gt;!0h("</f>
        <v>#VALUE!</v>
      </c>
      <c r="DV301" t="e">
        <f>Europe!C1467+"n/&gt;!0h)"</f>
        <v>#VALUE!</v>
      </c>
      <c r="DW301" t="e">
        <f>Europe!D1467+"n/&gt;!0h."</f>
        <v>#VALUE!</v>
      </c>
      <c r="DX301" t="e">
        <f>Europe!E1467+"n/&gt;!0h/"</f>
        <v>#VALUE!</v>
      </c>
      <c r="DY301" t="e">
        <f>Europe!F1467+"n/&gt;!0h0"</f>
        <v>#VALUE!</v>
      </c>
      <c r="DZ301" t="e">
        <f>Europe!G1467+"n/&gt;!0h1"</f>
        <v>#VALUE!</v>
      </c>
      <c r="EA301" t="e">
        <f>Europe!H1467+"n/&gt;!0h2"</f>
        <v>#VALUE!</v>
      </c>
      <c r="EB301" t="e">
        <f>Europe!I1467+"n/&gt;!0h3"</f>
        <v>#VALUE!</v>
      </c>
      <c r="EC301" t="e">
        <f>Europe!A1468+"n/&gt;!0h4"</f>
        <v>#VALUE!</v>
      </c>
      <c r="ED301" t="e">
        <f>Europe!B1468+"n/&gt;!0h5"</f>
        <v>#VALUE!</v>
      </c>
      <c r="EE301" t="e">
        <f>Europe!C1468+"n/&gt;!0h6"</f>
        <v>#VALUE!</v>
      </c>
      <c r="EF301" t="e">
        <f>Europe!D1468+"n/&gt;!0h7"</f>
        <v>#VALUE!</v>
      </c>
      <c r="EG301" t="e">
        <f>Europe!E1468+"n/&gt;!0h8"</f>
        <v>#VALUE!</v>
      </c>
      <c r="EH301" t="e">
        <f>Europe!F1468+"n/&gt;!0h9"</f>
        <v>#VALUE!</v>
      </c>
      <c r="EI301" t="e">
        <f>Europe!G1468+"n/&gt;!0h:"</f>
        <v>#VALUE!</v>
      </c>
      <c r="EJ301" t="e">
        <f>Europe!H1468+"n/&gt;!0h;"</f>
        <v>#VALUE!</v>
      </c>
      <c r="EK301" t="e">
        <f>Europe!I1468+"n/&gt;!0h&lt;"</f>
        <v>#VALUE!</v>
      </c>
      <c r="EL301" t="e">
        <f>Europe!A1469+"n/&gt;!0h="</f>
        <v>#VALUE!</v>
      </c>
      <c r="EM301" t="e">
        <f>Europe!B1469+"n/&gt;!0h&gt;"</f>
        <v>#VALUE!</v>
      </c>
      <c r="EN301" t="e">
        <f>Europe!C1469+"n/&gt;!0h?"</f>
        <v>#VALUE!</v>
      </c>
      <c r="EO301" t="e">
        <f>Europe!D1469+"n/&gt;!0h@"</f>
        <v>#VALUE!</v>
      </c>
      <c r="EP301" t="e">
        <f>Europe!E1469+"n/&gt;!0hA"</f>
        <v>#VALUE!</v>
      </c>
      <c r="EQ301" t="e">
        <f>Europe!F1469+"n/&gt;!0hB"</f>
        <v>#VALUE!</v>
      </c>
      <c r="ER301" t="e">
        <f>Europe!G1469+"n/&gt;!0hC"</f>
        <v>#VALUE!</v>
      </c>
      <c r="ES301" t="e">
        <f>Europe!H1469+"n/&gt;!0hD"</f>
        <v>#VALUE!</v>
      </c>
      <c r="ET301" t="e">
        <f>Europe!I1469+"n/&gt;!0hE"</f>
        <v>#VALUE!</v>
      </c>
      <c r="EU301" t="e">
        <f>Europe!A1470+"n/&gt;!0hF"</f>
        <v>#VALUE!</v>
      </c>
      <c r="EV301" t="e">
        <f>Europe!B1470+"n/&gt;!0hG"</f>
        <v>#VALUE!</v>
      </c>
      <c r="EW301" t="e">
        <f>Europe!C1470+"n/&gt;!0hH"</f>
        <v>#VALUE!</v>
      </c>
      <c r="EX301" t="e">
        <f>Europe!D1470+"n/&gt;!0hI"</f>
        <v>#VALUE!</v>
      </c>
      <c r="EY301" t="e">
        <f>Europe!E1470+"n/&gt;!0hJ"</f>
        <v>#VALUE!</v>
      </c>
      <c r="EZ301" t="e">
        <f>Europe!F1470+"n/&gt;!0hK"</f>
        <v>#VALUE!</v>
      </c>
      <c r="FA301" t="e">
        <f>Europe!G1470+"n/&gt;!0hL"</f>
        <v>#VALUE!</v>
      </c>
      <c r="FB301" t="e">
        <f>Europe!H1470+"n/&gt;!0hM"</f>
        <v>#VALUE!</v>
      </c>
      <c r="FC301" t="e">
        <f>Europe!I1470+"n/&gt;!0hN"</f>
        <v>#VALUE!</v>
      </c>
      <c r="FD301" t="e">
        <f>Europe!A1471+"n/&gt;!0hO"</f>
        <v>#VALUE!</v>
      </c>
      <c r="FE301" t="e">
        <f>Europe!B1471+"n/&gt;!0hP"</f>
        <v>#VALUE!</v>
      </c>
      <c r="FF301" t="e">
        <f>Europe!C1471+"n/&gt;!0hQ"</f>
        <v>#VALUE!</v>
      </c>
      <c r="FG301" t="e">
        <f>Europe!D1471+"n/&gt;!0hR"</f>
        <v>#VALUE!</v>
      </c>
      <c r="FH301" t="e">
        <f>Europe!E1471+"n/&gt;!0hS"</f>
        <v>#VALUE!</v>
      </c>
      <c r="FI301" t="e">
        <f>Europe!F1471+"n/&gt;!0hT"</f>
        <v>#VALUE!</v>
      </c>
      <c r="FJ301" t="e">
        <f>Europe!G1471+"n/&gt;!0hU"</f>
        <v>#VALUE!</v>
      </c>
      <c r="FK301" t="e">
        <f>Europe!H1471+"n/&gt;!0hV"</f>
        <v>#VALUE!</v>
      </c>
      <c r="FL301" t="e">
        <f>Europe!I1471+"n/&gt;!0hW"</f>
        <v>#VALUE!</v>
      </c>
      <c r="FM301" t="e">
        <f>Europe!A1472+"n/&gt;!0hX"</f>
        <v>#VALUE!</v>
      </c>
      <c r="FN301" t="e">
        <f>Europe!B1472+"n/&gt;!0hY"</f>
        <v>#VALUE!</v>
      </c>
      <c r="FO301" t="e">
        <f>Europe!C1472+"n/&gt;!0hZ"</f>
        <v>#VALUE!</v>
      </c>
      <c r="FP301" t="e">
        <f>Europe!D1472+"n/&gt;!0h["</f>
        <v>#VALUE!</v>
      </c>
      <c r="FQ301" t="e">
        <f>Europe!E1472+"n/&gt;!0h\"</f>
        <v>#VALUE!</v>
      </c>
      <c r="FR301" t="e">
        <f>Europe!F1472+"n/&gt;!0h]"</f>
        <v>#VALUE!</v>
      </c>
      <c r="FS301" t="e">
        <f>Europe!G1472+"n/&gt;!0h^"</f>
        <v>#VALUE!</v>
      </c>
      <c r="FT301" t="e">
        <f>Europe!H1472+"n/&gt;!0h_"</f>
        <v>#VALUE!</v>
      </c>
      <c r="FU301" t="e">
        <f>Europe!I1472+"n/&gt;!0h`"</f>
        <v>#VALUE!</v>
      </c>
      <c r="FV301" t="e">
        <f>Europe!A1473+"n/&gt;!0ha"</f>
        <v>#VALUE!</v>
      </c>
      <c r="FW301" t="e">
        <f>Europe!B1473+"n/&gt;!0hb"</f>
        <v>#VALUE!</v>
      </c>
      <c r="FX301" t="e">
        <f>Europe!C1473+"n/&gt;!0hc"</f>
        <v>#VALUE!</v>
      </c>
      <c r="FY301" t="e">
        <f>Europe!D1473+"n/&gt;!0hd"</f>
        <v>#VALUE!</v>
      </c>
      <c r="FZ301" t="e">
        <f>Europe!E1473+"n/&gt;!0he"</f>
        <v>#VALUE!</v>
      </c>
      <c r="GA301" t="e">
        <f>Europe!F1473+"n/&gt;!0hf"</f>
        <v>#VALUE!</v>
      </c>
      <c r="GB301" t="e">
        <f>Europe!G1473+"n/&gt;!0hg"</f>
        <v>#VALUE!</v>
      </c>
      <c r="GC301" t="e">
        <f>Europe!H1473+"n/&gt;!0hh"</f>
        <v>#VALUE!</v>
      </c>
      <c r="GD301" t="e">
        <f>Europe!I1473+"n/&gt;!0hi"</f>
        <v>#VALUE!</v>
      </c>
      <c r="GE301" t="e">
        <f>Europe!A1474+"n/&gt;!0hj"</f>
        <v>#VALUE!</v>
      </c>
      <c r="GF301" t="e">
        <f>Europe!B1474+"n/&gt;!0hk"</f>
        <v>#VALUE!</v>
      </c>
      <c r="GG301" t="e">
        <f>Europe!C1474+"n/&gt;!0hl"</f>
        <v>#VALUE!</v>
      </c>
      <c r="GH301" t="e">
        <f>Europe!D1474+"n/&gt;!0hm"</f>
        <v>#VALUE!</v>
      </c>
      <c r="GI301" t="e">
        <f>Europe!E1474+"n/&gt;!0hn"</f>
        <v>#VALUE!</v>
      </c>
      <c r="GJ301" t="e">
        <f>Europe!F1474+"n/&gt;!0ho"</f>
        <v>#VALUE!</v>
      </c>
      <c r="GK301" t="e">
        <f>Europe!G1474+"n/&gt;!0hp"</f>
        <v>#VALUE!</v>
      </c>
      <c r="GL301" t="e">
        <f>Europe!H1474+"n/&gt;!0hq"</f>
        <v>#VALUE!</v>
      </c>
      <c r="GM301" t="e">
        <f>Europe!I1474+"n/&gt;!0hr"</f>
        <v>#VALUE!</v>
      </c>
      <c r="GN301" t="e">
        <f>Europe!A1475+"n/&gt;!0hs"</f>
        <v>#VALUE!</v>
      </c>
      <c r="GO301" t="e">
        <f>Europe!B1475+"n/&gt;!0ht"</f>
        <v>#VALUE!</v>
      </c>
      <c r="GP301" t="e">
        <f>Europe!C1475+"n/&gt;!0hu"</f>
        <v>#VALUE!</v>
      </c>
      <c r="GQ301" t="e">
        <f>Europe!D1475+"n/&gt;!0hv"</f>
        <v>#VALUE!</v>
      </c>
      <c r="GR301" t="e">
        <f>Europe!E1475+"n/&gt;!0hw"</f>
        <v>#VALUE!</v>
      </c>
      <c r="GS301" t="e">
        <f>Europe!F1475+"n/&gt;!0hx"</f>
        <v>#VALUE!</v>
      </c>
      <c r="GT301" t="e">
        <f>Europe!G1475+"n/&gt;!0hy"</f>
        <v>#VALUE!</v>
      </c>
      <c r="GU301" t="e">
        <f>Europe!H1475+"n/&gt;!0hz"</f>
        <v>#VALUE!</v>
      </c>
      <c r="GV301" t="e">
        <f>Europe!I1475+"n/&gt;!0h{"</f>
        <v>#VALUE!</v>
      </c>
      <c r="GW301" t="e">
        <f>Europe!A1476+"n/&gt;!0h|"</f>
        <v>#VALUE!</v>
      </c>
      <c r="GX301" t="e">
        <f>Europe!B1476+"n/&gt;!0h}"</f>
        <v>#VALUE!</v>
      </c>
      <c r="GY301" t="e">
        <f>Europe!C1476+"n/&gt;!0h~"</f>
        <v>#VALUE!</v>
      </c>
      <c r="GZ301" t="e">
        <f>Europe!D1476+"n/&gt;!0i#"</f>
        <v>#VALUE!</v>
      </c>
      <c r="HA301" t="e">
        <f>Europe!E1476+"n/&gt;!0i$"</f>
        <v>#VALUE!</v>
      </c>
      <c r="HB301" t="e">
        <f>Europe!F1476+"n/&gt;!0i%"</f>
        <v>#VALUE!</v>
      </c>
      <c r="HC301" t="e">
        <f>Europe!G1476+"n/&gt;!0i&amp;"</f>
        <v>#VALUE!</v>
      </c>
      <c r="HD301" t="e">
        <f>Europe!H1476+"n/&gt;!0i'"</f>
        <v>#VALUE!</v>
      </c>
      <c r="HE301" t="e">
        <f>Europe!I1476+"n/&gt;!0i("</f>
        <v>#VALUE!</v>
      </c>
      <c r="HF301" t="e">
        <f>Europe!A1477+"n/&gt;!0i)"</f>
        <v>#VALUE!</v>
      </c>
      <c r="HG301" t="e">
        <f>Europe!B1477+"n/&gt;!0i."</f>
        <v>#VALUE!</v>
      </c>
      <c r="HH301" t="e">
        <f>Europe!C1477+"n/&gt;!0i/"</f>
        <v>#VALUE!</v>
      </c>
      <c r="HI301" t="e">
        <f>Europe!D1477+"n/&gt;!0i0"</f>
        <v>#VALUE!</v>
      </c>
      <c r="HJ301" t="e">
        <f>Europe!E1477+"n/&gt;!0i1"</f>
        <v>#VALUE!</v>
      </c>
      <c r="HK301" t="e">
        <f>Europe!F1477+"n/&gt;!0i2"</f>
        <v>#VALUE!</v>
      </c>
      <c r="HL301" t="e">
        <f>Europe!G1477+"n/&gt;!0i3"</f>
        <v>#VALUE!</v>
      </c>
      <c r="HM301" t="e">
        <f>Europe!H1477+"n/&gt;!0i4"</f>
        <v>#VALUE!</v>
      </c>
      <c r="HN301" t="e">
        <f>Europe!I1477+"n/&gt;!0i5"</f>
        <v>#VALUE!</v>
      </c>
      <c r="HO301" t="e">
        <f>Europe!A1478+"n/&gt;!0i6"</f>
        <v>#VALUE!</v>
      </c>
      <c r="HP301" t="e">
        <f>Europe!B1478+"n/&gt;!0i7"</f>
        <v>#VALUE!</v>
      </c>
      <c r="HQ301" t="e">
        <f>Europe!C1478+"n/&gt;!0i8"</f>
        <v>#VALUE!</v>
      </c>
      <c r="HR301" t="e">
        <f>Europe!D1478+"n/&gt;!0i9"</f>
        <v>#VALUE!</v>
      </c>
      <c r="HS301" t="e">
        <f>Europe!E1478+"n/&gt;!0i:"</f>
        <v>#VALUE!</v>
      </c>
      <c r="HT301" t="e">
        <f>Europe!F1478+"n/&gt;!0i;"</f>
        <v>#VALUE!</v>
      </c>
      <c r="HU301" t="e">
        <f>Europe!G1478+"n/&gt;!0i&lt;"</f>
        <v>#VALUE!</v>
      </c>
      <c r="HV301" t="e">
        <f>Europe!H1478+"n/&gt;!0i="</f>
        <v>#VALUE!</v>
      </c>
      <c r="HW301" t="e">
        <f>Europe!I1478+"n/&gt;!0i&gt;"</f>
        <v>#VALUE!</v>
      </c>
      <c r="HX301" t="e">
        <f>Europe!A1479+"n/&gt;!0i?"</f>
        <v>#VALUE!</v>
      </c>
      <c r="HY301" t="e">
        <f>Europe!B1479+"n/&gt;!0i@"</f>
        <v>#VALUE!</v>
      </c>
      <c r="HZ301" t="e">
        <f>Europe!C1479+"n/&gt;!0iA"</f>
        <v>#VALUE!</v>
      </c>
      <c r="IA301" t="e">
        <f>Europe!D1479+"n/&gt;!0iB"</f>
        <v>#VALUE!</v>
      </c>
      <c r="IB301" t="e">
        <f>Europe!E1479+"n/&gt;!0iC"</f>
        <v>#VALUE!</v>
      </c>
      <c r="IC301" t="e">
        <f>Europe!F1479+"n/&gt;!0iD"</f>
        <v>#VALUE!</v>
      </c>
      <c r="ID301" t="e">
        <f>Europe!G1479+"n/&gt;!0iE"</f>
        <v>#VALUE!</v>
      </c>
      <c r="IE301" t="e">
        <f>Europe!H1479+"n/&gt;!0iF"</f>
        <v>#VALUE!</v>
      </c>
      <c r="IF301" t="e">
        <f>Europe!I1479+"n/&gt;!0iG"</f>
        <v>#VALUE!</v>
      </c>
      <c r="IG301" t="e">
        <f>Europe!A1480+"n/&gt;!0iH"</f>
        <v>#VALUE!</v>
      </c>
      <c r="IH301" t="e">
        <f>Europe!B1480+"n/&gt;!0iI"</f>
        <v>#VALUE!</v>
      </c>
      <c r="II301" t="e">
        <f>Europe!C1480+"n/&gt;!0iJ"</f>
        <v>#VALUE!</v>
      </c>
      <c r="IJ301" t="e">
        <f>Europe!D1480+"n/&gt;!0iK"</f>
        <v>#VALUE!</v>
      </c>
      <c r="IK301" t="e">
        <f>Europe!E1480+"n/&gt;!0iL"</f>
        <v>#VALUE!</v>
      </c>
      <c r="IL301" t="e">
        <f>Europe!F1480+"n/&gt;!0iM"</f>
        <v>#VALUE!</v>
      </c>
      <c r="IM301" t="e">
        <f>Europe!G1480+"n/&gt;!0iN"</f>
        <v>#VALUE!</v>
      </c>
      <c r="IN301" t="e">
        <f>Europe!H1480+"n/&gt;!0iO"</f>
        <v>#VALUE!</v>
      </c>
      <c r="IO301" t="e">
        <f>Europe!I1480+"n/&gt;!0iP"</f>
        <v>#VALUE!</v>
      </c>
      <c r="IP301" t="e">
        <f>Europe!A1481+"n/&gt;!0iQ"</f>
        <v>#VALUE!</v>
      </c>
      <c r="IQ301" t="e">
        <f>Europe!B1481+"n/&gt;!0iR"</f>
        <v>#VALUE!</v>
      </c>
      <c r="IR301" t="e">
        <f>Europe!C1481+"n/&gt;!0iS"</f>
        <v>#VALUE!</v>
      </c>
      <c r="IS301" t="e">
        <f>Europe!D1481+"n/&gt;!0iT"</f>
        <v>#VALUE!</v>
      </c>
      <c r="IT301" t="e">
        <f>Europe!E1481+"n/&gt;!0iU"</f>
        <v>#VALUE!</v>
      </c>
      <c r="IU301" t="e">
        <f>Europe!F1481+"n/&gt;!0iV"</f>
        <v>#VALUE!</v>
      </c>
      <c r="IV301" t="e">
        <f>Europe!G1481+"n/&gt;!0iW"</f>
        <v>#VALUE!</v>
      </c>
    </row>
    <row r="302" spans="6:256" x14ac:dyDescent="0.35">
      <c r="F302" t="e">
        <f>Europe!H1481+"n/&gt;!0iX"</f>
        <v>#VALUE!</v>
      </c>
      <c r="G302" t="e">
        <f>Europe!I1481+"n/&gt;!0iY"</f>
        <v>#VALUE!</v>
      </c>
      <c r="H302" t="e">
        <f>Europe!A1482+"n/&gt;!0iZ"</f>
        <v>#VALUE!</v>
      </c>
      <c r="I302" t="e">
        <f>Europe!B1482+"n/&gt;!0i["</f>
        <v>#VALUE!</v>
      </c>
      <c r="J302" t="e">
        <f>Europe!C1482+"n/&gt;!0i\"</f>
        <v>#VALUE!</v>
      </c>
      <c r="K302" t="e">
        <f>Europe!D1482+"n/&gt;!0i]"</f>
        <v>#VALUE!</v>
      </c>
      <c r="L302" t="e">
        <f>Europe!E1482+"n/&gt;!0i^"</f>
        <v>#VALUE!</v>
      </c>
      <c r="M302" t="e">
        <f>Europe!F1482+"n/&gt;!0i_"</f>
        <v>#VALUE!</v>
      </c>
      <c r="N302" t="e">
        <f>Europe!G1482+"n/&gt;!0i`"</f>
        <v>#VALUE!</v>
      </c>
      <c r="O302" t="e">
        <f>Europe!H1482+"n/&gt;!0ia"</f>
        <v>#VALUE!</v>
      </c>
      <c r="P302" t="e">
        <f>Europe!I1482+"n/&gt;!0ib"</f>
        <v>#VALUE!</v>
      </c>
      <c r="Q302" t="e">
        <f>Europe!A1483+"n/&gt;!0ic"</f>
        <v>#VALUE!</v>
      </c>
      <c r="R302" t="e">
        <f>Europe!B1483+"n/&gt;!0id"</f>
        <v>#VALUE!</v>
      </c>
      <c r="S302" t="e">
        <f>Europe!C1483+"n/&gt;!0ie"</f>
        <v>#VALUE!</v>
      </c>
      <c r="T302" t="e">
        <f>Europe!D1483+"n/&gt;!0if"</f>
        <v>#VALUE!</v>
      </c>
      <c r="U302" t="e">
        <f>Europe!E1483+"n/&gt;!0ig"</f>
        <v>#VALUE!</v>
      </c>
      <c r="V302" t="e">
        <f>Europe!F1483+"n/&gt;!0ih"</f>
        <v>#VALUE!</v>
      </c>
      <c r="W302" t="e">
        <f>Europe!G1483+"n/&gt;!0ii"</f>
        <v>#VALUE!</v>
      </c>
      <c r="X302" t="e">
        <f>Europe!H1483+"n/&gt;!0ij"</f>
        <v>#VALUE!</v>
      </c>
      <c r="Y302" t="e">
        <f>Europe!I1483+"n/&gt;!0ik"</f>
        <v>#VALUE!</v>
      </c>
      <c r="Z302" t="e">
        <f>Europe!A1484+"n/&gt;!0il"</f>
        <v>#VALUE!</v>
      </c>
      <c r="AA302" t="e">
        <f>Europe!B1484+"n/&gt;!0im"</f>
        <v>#VALUE!</v>
      </c>
      <c r="AB302" t="e">
        <f>Europe!C1484+"n/&gt;!0in"</f>
        <v>#VALUE!</v>
      </c>
      <c r="AC302" t="e">
        <f>Europe!D1484+"n/&gt;!0io"</f>
        <v>#VALUE!</v>
      </c>
      <c r="AD302" t="e">
        <f>Europe!E1484+"n/&gt;!0ip"</f>
        <v>#VALUE!</v>
      </c>
      <c r="AE302" t="e">
        <f>Europe!F1484+"n/&gt;!0iq"</f>
        <v>#VALUE!</v>
      </c>
      <c r="AF302" t="e">
        <f>Europe!G1484+"n/&gt;!0ir"</f>
        <v>#VALUE!</v>
      </c>
      <c r="AG302" t="e">
        <f>Europe!H1484+"n/&gt;!0is"</f>
        <v>#VALUE!</v>
      </c>
      <c r="AH302" t="e">
        <f>Europe!I1484+"n/&gt;!0it"</f>
        <v>#VALUE!</v>
      </c>
      <c r="AI302" t="e">
        <f>Europe!A1485+"n/&gt;!0iu"</f>
        <v>#VALUE!</v>
      </c>
      <c r="AJ302" t="e">
        <f>Europe!B1485+"n/&gt;!0iv"</f>
        <v>#VALUE!</v>
      </c>
      <c r="AK302" t="e">
        <f>Europe!C1485+"n/&gt;!0iw"</f>
        <v>#VALUE!</v>
      </c>
      <c r="AL302" t="e">
        <f>Europe!D1485+"n/&gt;!0ix"</f>
        <v>#VALUE!</v>
      </c>
      <c r="AM302" t="e">
        <f>Europe!E1485+"n/&gt;!0iy"</f>
        <v>#VALUE!</v>
      </c>
      <c r="AN302" t="e">
        <f>Europe!F1485+"n/&gt;!0iz"</f>
        <v>#VALUE!</v>
      </c>
      <c r="AO302" t="e">
        <f>Europe!G1485+"n/&gt;!0i{"</f>
        <v>#VALUE!</v>
      </c>
      <c r="AP302" t="e">
        <f>Europe!H1485+"n/&gt;!0i|"</f>
        <v>#VALUE!</v>
      </c>
      <c r="AQ302" t="e">
        <f>Europe!I1485+"n/&gt;!0i}"</f>
        <v>#VALUE!</v>
      </c>
      <c r="AR302" t="e">
        <f>Europe!A1486+"n/&gt;!0i~"</f>
        <v>#VALUE!</v>
      </c>
      <c r="AS302" t="e">
        <f>Europe!B1486+"n/&gt;!0j#"</f>
        <v>#VALUE!</v>
      </c>
      <c r="AT302" t="e">
        <f>Europe!C1486+"n/&gt;!0j$"</f>
        <v>#VALUE!</v>
      </c>
      <c r="AU302" t="e">
        <f>Europe!D1486+"n/&gt;!0j%"</f>
        <v>#VALUE!</v>
      </c>
      <c r="AV302" t="e">
        <f>Europe!E1486+"n/&gt;!0j&amp;"</f>
        <v>#VALUE!</v>
      </c>
      <c r="AW302" t="e">
        <f>Europe!F1486+"n/&gt;!0j'"</f>
        <v>#VALUE!</v>
      </c>
      <c r="AX302" t="e">
        <f>Europe!G1486+"n/&gt;!0j("</f>
        <v>#VALUE!</v>
      </c>
      <c r="AY302" t="e">
        <f>Europe!H1486+"n/&gt;!0j)"</f>
        <v>#VALUE!</v>
      </c>
      <c r="AZ302" t="e">
        <f>Europe!I1486+"n/&gt;!0j."</f>
        <v>#VALUE!</v>
      </c>
      <c r="BA302" t="e">
        <f>Europe!A1487+"n/&gt;!0j/"</f>
        <v>#VALUE!</v>
      </c>
      <c r="BB302" t="e">
        <f>Europe!B1487+"n/&gt;!0j0"</f>
        <v>#VALUE!</v>
      </c>
      <c r="BC302" t="e">
        <f>Europe!C1487+"n/&gt;!0j1"</f>
        <v>#VALUE!</v>
      </c>
      <c r="BD302" t="e">
        <f>Europe!D1487+"n/&gt;!0j2"</f>
        <v>#VALUE!</v>
      </c>
      <c r="BE302" t="e">
        <f>Europe!E1487+"n/&gt;!0j3"</f>
        <v>#VALUE!</v>
      </c>
      <c r="BF302" t="e">
        <f>Europe!F1487+"n/&gt;!0j4"</f>
        <v>#VALUE!</v>
      </c>
      <c r="BG302" t="e">
        <f>Europe!G1487+"n/&gt;!0j5"</f>
        <v>#VALUE!</v>
      </c>
      <c r="BH302" t="e">
        <f>Europe!H1487+"n/&gt;!0j6"</f>
        <v>#VALUE!</v>
      </c>
      <c r="BI302" t="e">
        <f>Europe!I1487+"n/&gt;!0j7"</f>
        <v>#VALUE!</v>
      </c>
      <c r="BJ302" t="e">
        <f>Europe!A1488+"n/&gt;!0j8"</f>
        <v>#VALUE!</v>
      </c>
      <c r="BK302" t="e">
        <f>Europe!B1488+"n/&gt;!0j9"</f>
        <v>#VALUE!</v>
      </c>
      <c r="BL302" t="e">
        <f>Europe!C1488+"n/&gt;!0j:"</f>
        <v>#VALUE!</v>
      </c>
      <c r="BM302" t="e">
        <f>Europe!D1488+"n/&gt;!0j;"</f>
        <v>#VALUE!</v>
      </c>
      <c r="BN302" t="e">
        <f>Europe!E1488+"n/&gt;!0j&lt;"</f>
        <v>#VALUE!</v>
      </c>
      <c r="BO302" t="e">
        <f>Europe!F1488+"n/&gt;!0j="</f>
        <v>#VALUE!</v>
      </c>
      <c r="BP302" t="e">
        <f>Europe!G1488+"n/&gt;!0j&gt;"</f>
        <v>#VALUE!</v>
      </c>
      <c r="BQ302" t="e">
        <f>Europe!H1488+"n/&gt;!0j?"</f>
        <v>#VALUE!</v>
      </c>
      <c r="BR302" t="e">
        <f>Europe!I1488+"n/&gt;!0j@"</f>
        <v>#VALUE!</v>
      </c>
      <c r="BS302" t="e">
        <f>Europe!A1489+"n/&gt;!0jA"</f>
        <v>#VALUE!</v>
      </c>
      <c r="BT302" t="e">
        <f>Europe!B1489+"n/&gt;!0jB"</f>
        <v>#VALUE!</v>
      </c>
      <c r="BU302" t="e">
        <f>Europe!C1489+"n/&gt;!0jC"</f>
        <v>#VALUE!</v>
      </c>
      <c r="BV302" t="e">
        <f>Europe!D1489+"n/&gt;!0jD"</f>
        <v>#VALUE!</v>
      </c>
      <c r="BW302" t="e">
        <f>Europe!E1489+"n/&gt;!0jE"</f>
        <v>#VALUE!</v>
      </c>
      <c r="BX302" t="e">
        <f>Europe!F1489+"n/&gt;!0jF"</f>
        <v>#VALUE!</v>
      </c>
      <c r="BY302" t="e">
        <f>Europe!G1489+"n/&gt;!0jG"</f>
        <v>#VALUE!</v>
      </c>
      <c r="BZ302" t="e">
        <f>Europe!H1489+"n/&gt;!0jH"</f>
        <v>#VALUE!</v>
      </c>
      <c r="CA302" t="e">
        <f>Europe!I1489+"n/&gt;!0jI"</f>
        <v>#VALUE!</v>
      </c>
      <c r="CB302" t="e">
        <f>Europe!A1490+"n/&gt;!0jJ"</f>
        <v>#VALUE!</v>
      </c>
      <c r="CC302" t="e">
        <f>Europe!B1490+"n/&gt;!0jK"</f>
        <v>#VALUE!</v>
      </c>
      <c r="CD302" t="e">
        <f>Europe!C1490+"n/&gt;!0jL"</f>
        <v>#VALUE!</v>
      </c>
      <c r="CE302" t="e">
        <f>Europe!D1490+"n/&gt;!0jM"</f>
        <v>#VALUE!</v>
      </c>
      <c r="CF302" t="e">
        <f>Europe!E1490+"n/&gt;!0jN"</f>
        <v>#VALUE!</v>
      </c>
      <c r="CG302" t="e">
        <f>Europe!F1490+"n/&gt;!0jO"</f>
        <v>#VALUE!</v>
      </c>
      <c r="CH302" t="e">
        <f>Europe!G1490+"n/&gt;!0jP"</f>
        <v>#VALUE!</v>
      </c>
      <c r="CI302" t="e">
        <f>Europe!H1490+"n/&gt;!0jQ"</f>
        <v>#VALUE!</v>
      </c>
      <c r="CJ302" t="e">
        <f>Europe!I1490+"n/&gt;!0jR"</f>
        <v>#VALUE!</v>
      </c>
      <c r="CK302" t="e">
        <f>Europe!A1491+"n/&gt;!0jS"</f>
        <v>#VALUE!</v>
      </c>
      <c r="CL302" t="e">
        <f>Europe!B1491+"n/&gt;!0jT"</f>
        <v>#VALUE!</v>
      </c>
      <c r="CM302" t="e">
        <f>Europe!C1491+"n/&gt;!0jU"</f>
        <v>#VALUE!</v>
      </c>
      <c r="CN302" t="e">
        <f>Europe!D1491+"n/&gt;!0jV"</f>
        <v>#VALUE!</v>
      </c>
      <c r="CO302" t="e">
        <f>Europe!E1491+"n/&gt;!0jW"</f>
        <v>#VALUE!</v>
      </c>
      <c r="CP302" t="e">
        <f>Europe!F1491+"n/&gt;!0jX"</f>
        <v>#VALUE!</v>
      </c>
      <c r="CQ302" t="e">
        <f>Europe!G1491+"n/&gt;!0jY"</f>
        <v>#VALUE!</v>
      </c>
      <c r="CR302" t="e">
        <f>Europe!H1491+"n/&gt;!0jZ"</f>
        <v>#VALUE!</v>
      </c>
      <c r="CS302" t="e">
        <f>Europe!I1491+"n/&gt;!0j["</f>
        <v>#VALUE!</v>
      </c>
      <c r="CT302" t="e">
        <f>Europe!A1492+"n/&gt;!0j\"</f>
        <v>#VALUE!</v>
      </c>
      <c r="CU302" t="e">
        <f>Europe!B1492+"n/&gt;!0j]"</f>
        <v>#VALUE!</v>
      </c>
      <c r="CV302" t="e">
        <f>Europe!C1492+"n/&gt;!0j^"</f>
        <v>#VALUE!</v>
      </c>
      <c r="CW302" t="e">
        <f>Europe!D1492+"n/&gt;!0j_"</f>
        <v>#VALUE!</v>
      </c>
      <c r="CX302" t="e">
        <f>Europe!E1492+"n/&gt;!0j`"</f>
        <v>#VALUE!</v>
      </c>
      <c r="CY302" t="e">
        <f>Europe!F1492+"n/&gt;!0ja"</f>
        <v>#VALUE!</v>
      </c>
      <c r="CZ302" t="e">
        <f>Europe!G1492+"n/&gt;!0jb"</f>
        <v>#VALUE!</v>
      </c>
      <c r="DA302" t="e">
        <f>Europe!H1492+"n/&gt;!0jc"</f>
        <v>#VALUE!</v>
      </c>
      <c r="DB302" t="e">
        <f>Europe!I1492+"n/&gt;!0jd"</f>
        <v>#VALUE!</v>
      </c>
      <c r="DC302" t="e">
        <f>Europe!A1493+"n/&gt;!0je"</f>
        <v>#VALUE!</v>
      </c>
      <c r="DD302" t="e">
        <f>Europe!B1493+"n/&gt;!0jf"</f>
        <v>#VALUE!</v>
      </c>
      <c r="DE302" t="e">
        <f>Europe!C1493+"n/&gt;!0jg"</f>
        <v>#VALUE!</v>
      </c>
      <c r="DF302" t="e">
        <f>Europe!D1493+"n/&gt;!0jh"</f>
        <v>#VALUE!</v>
      </c>
      <c r="DG302" t="e">
        <f>Europe!E1493+"n/&gt;!0ji"</f>
        <v>#VALUE!</v>
      </c>
      <c r="DH302" t="e">
        <f>Europe!F1493+"n/&gt;!0jj"</f>
        <v>#VALUE!</v>
      </c>
      <c r="DI302" t="e">
        <f>Europe!G1493+"n/&gt;!0jk"</f>
        <v>#VALUE!</v>
      </c>
      <c r="DJ302" t="e">
        <f>Europe!H1493+"n/&gt;!0jl"</f>
        <v>#VALUE!</v>
      </c>
      <c r="DK302" t="e">
        <f>Europe!I1493+"n/&gt;!0jm"</f>
        <v>#VALUE!</v>
      </c>
      <c r="DL302" t="e">
        <f>Europe!A1494+"n/&gt;!0jn"</f>
        <v>#VALUE!</v>
      </c>
      <c r="DM302" t="e">
        <f>Europe!B1494+"n/&gt;!0jo"</f>
        <v>#VALUE!</v>
      </c>
      <c r="DN302" t="e">
        <f>Europe!C1494+"n/&gt;!0jp"</f>
        <v>#VALUE!</v>
      </c>
      <c r="DO302" t="e">
        <f>Europe!D1494+"n/&gt;!0jq"</f>
        <v>#VALUE!</v>
      </c>
      <c r="DP302" t="e">
        <f>Europe!E1494+"n/&gt;!0jr"</f>
        <v>#VALUE!</v>
      </c>
      <c r="DQ302" t="e">
        <f>Europe!F1494+"n/&gt;!0js"</f>
        <v>#VALUE!</v>
      </c>
      <c r="DR302" t="e">
        <f>Europe!G1494+"n/&gt;!0jt"</f>
        <v>#VALUE!</v>
      </c>
      <c r="DS302" t="e">
        <f>Europe!H1494+"n/&gt;!0ju"</f>
        <v>#VALUE!</v>
      </c>
      <c r="DT302" t="e">
        <f>Europe!I1494+"n/&gt;!0jv"</f>
        <v>#VALUE!</v>
      </c>
      <c r="DU302" t="e">
        <f>Europe!A1495+"n/&gt;!0jw"</f>
        <v>#VALUE!</v>
      </c>
      <c r="DV302" t="e">
        <f>Europe!B1495+"n/&gt;!0jx"</f>
        <v>#VALUE!</v>
      </c>
      <c r="DW302" t="e">
        <f>Europe!C1495+"n/&gt;!0jy"</f>
        <v>#VALUE!</v>
      </c>
      <c r="DX302" t="e">
        <f>Europe!D1495+"n/&gt;!0jz"</f>
        <v>#VALUE!</v>
      </c>
      <c r="DY302" t="e">
        <f>Europe!E1495+"n/&gt;!0j{"</f>
        <v>#VALUE!</v>
      </c>
      <c r="DZ302" t="e">
        <f>Europe!F1495+"n/&gt;!0j|"</f>
        <v>#VALUE!</v>
      </c>
      <c r="EA302" t="e">
        <f>Europe!G1495+"n/&gt;!0j}"</f>
        <v>#VALUE!</v>
      </c>
      <c r="EB302" t="e">
        <f>Europe!H1495+"n/&gt;!0j~"</f>
        <v>#VALUE!</v>
      </c>
      <c r="EC302" t="e">
        <f>Europe!I1495+"n/&gt;!0k#"</f>
        <v>#VALUE!</v>
      </c>
      <c r="ED302" t="e">
        <f>Europe!A1496+"n/&gt;!0k$"</f>
        <v>#VALUE!</v>
      </c>
      <c r="EE302" t="e">
        <f>Europe!B1496+"n/&gt;!0k%"</f>
        <v>#VALUE!</v>
      </c>
      <c r="EF302" t="e">
        <f>Europe!C1496+"n/&gt;!0k&amp;"</f>
        <v>#VALUE!</v>
      </c>
      <c r="EG302" t="e">
        <f>Europe!D1496+"n/&gt;!0k'"</f>
        <v>#VALUE!</v>
      </c>
      <c r="EH302" t="e">
        <f>Europe!E1496+"n/&gt;!0k("</f>
        <v>#VALUE!</v>
      </c>
      <c r="EI302" t="e">
        <f>Europe!F1496+"n/&gt;!0k)"</f>
        <v>#VALUE!</v>
      </c>
      <c r="EJ302" t="e">
        <f>Europe!G1496+"n/&gt;!0k."</f>
        <v>#VALUE!</v>
      </c>
      <c r="EK302" t="e">
        <f>Europe!H1496+"n/&gt;!0k/"</f>
        <v>#VALUE!</v>
      </c>
      <c r="EL302" t="e">
        <f>Europe!I1496+"n/&gt;!0k0"</f>
        <v>#VALUE!</v>
      </c>
      <c r="EM302" t="e">
        <f>Europe!A1497+"n/&gt;!0k1"</f>
        <v>#VALUE!</v>
      </c>
      <c r="EN302" t="e">
        <f>Europe!B1497+"n/&gt;!0k2"</f>
        <v>#VALUE!</v>
      </c>
      <c r="EO302" t="e">
        <f>Europe!C1497+"n/&gt;!0k3"</f>
        <v>#VALUE!</v>
      </c>
      <c r="EP302" t="e">
        <f>Europe!D1497+"n/&gt;!0k4"</f>
        <v>#VALUE!</v>
      </c>
      <c r="EQ302" t="e">
        <f>Europe!E1497+"n/&gt;!0k5"</f>
        <v>#VALUE!</v>
      </c>
      <c r="ER302" t="e">
        <f>Europe!F1497+"n/&gt;!0k6"</f>
        <v>#VALUE!</v>
      </c>
      <c r="ES302" t="e">
        <f>Europe!G1497+"n/&gt;!0k7"</f>
        <v>#VALUE!</v>
      </c>
      <c r="ET302" t="e">
        <f>Europe!H1497+"n/&gt;!0k8"</f>
        <v>#VALUE!</v>
      </c>
      <c r="EU302" t="e">
        <f>Europe!I1497+"n/&gt;!0k9"</f>
        <v>#VALUE!</v>
      </c>
      <c r="EV302" t="e">
        <f>Europe!A1498+"n/&gt;!0k:"</f>
        <v>#VALUE!</v>
      </c>
      <c r="EW302" t="e">
        <f>Europe!B1498+"n/&gt;!0k;"</f>
        <v>#VALUE!</v>
      </c>
      <c r="EX302" t="e">
        <f>Europe!C1498+"n/&gt;!0k&lt;"</f>
        <v>#VALUE!</v>
      </c>
      <c r="EY302" t="e">
        <f>Europe!D1498+"n/&gt;!0k="</f>
        <v>#VALUE!</v>
      </c>
      <c r="EZ302" t="e">
        <f>Europe!E1498+"n/&gt;!0k&gt;"</f>
        <v>#VALUE!</v>
      </c>
      <c r="FA302" t="e">
        <f>Europe!F1498+"n/&gt;!0k?"</f>
        <v>#VALUE!</v>
      </c>
      <c r="FB302" t="e">
        <f>Europe!G1498+"n/&gt;!0k@"</f>
        <v>#VALUE!</v>
      </c>
      <c r="FC302" t="e">
        <f>Europe!H1498+"n/&gt;!0kA"</f>
        <v>#VALUE!</v>
      </c>
      <c r="FD302" t="e">
        <f>Europe!I1498+"n/&gt;!0kB"</f>
        <v>#VALUE!</v>
      </c>
      <c r="FE302" t="e">
        <f>Europe!A1499+"n/&gt;!0kC"</f>
        <v>#VALUE!</v>
      </c>
      <c r="FF302" t="e">
        <f>Europe!B1499+"n/&gt;!0kD"</f>
        <v>#VALUE!</v>
      </c>
      <c r="FG302" t="e">
        <f>Europe!C1499+"n/&gt;!0kE"</f>
        <v>#VALUE!</v>
      </c>
      <c r="FH302" t="e">
        <f>Europe!D1499+"n/&gt;!0kF"</f>
        <v>#VALUE!</v>
      </c>
      <c r="FI302" t="e">
        <f>Europe!E1499+"n/&gt;!0kG"</f>
        <v>#VALUE!</v>
      </c>
      <c r="FJ302" t="e">
        <f>Europe!F1499+"n/&gt;!0kH"</f>
        <v>#VALUE!</v>
      </c>
      <c r="FK302" t="e">
        <f>Europe!G1499+"n/&gt;!0kI"</f>
        <v>#VALUE!</v>
      </c>
      <c r="FL302" t="e">
        <f>Europe!H1499+"n/&gt;!0kJ"</f>
        <v>#VALUE!</v>
      </c>
      <c r="FM302" t="e">
        <f>Europe!I1499+"n/&gt;!0kK"</f>
        <v>#VALUE!</v>
      </c>
      <c r="FN302" t="e">
        <f>Europe!A1500+"n/&gt;!0kL"</f>
        <v>#VALUE!</v>
      </c>
      <c r="FO302" t="e">
        <f>Europe!B1500+"n/&gt;!0kM"</f>
        <v>#VALUE!</v>
      </c>
      <c r="FP302" t="e">
        <f>Europe!C1500+"n/&gt;!0kN"</f>
        <v>#VALUE!</v>
      </c>
      <c r="FQ302" t="e">
        <f>Europe!D1500+"n/&gt;!0kO"</f>
        <v>#VALUE!</v>
      </c>
      <c r="FR302" t="e">
        <f>Europe!E1500+"n/&gt;!0kP"</f>
        <v>#VALUE!</v>
      </c>
      <c r="FS302" t="e">
        <f>Europe!F1500+"n/&gt;!0kQ"</f>
        <v>#VALUE!</v>
      </c>
      <c r="FT302" t="e">
        <f>Europe!G1500+"n/&gt;!0kR"</f>
        <v>#VALUE!</v>
      </c>
      <c r="FU302" t="e">
        <f>Europe!H1500+"n/&gt;!0kS"</f>
        <v>#VALUE!</v>
      </c>
      <c r="FV302" t="e">
        <f>Europe!I1500+"n/&gt;!0kT"</f>
        <v>#VALUE!</v>
      </c>
      <c r="FW302" t="e">
        <f>Europe!A1501+"n/&gt;!0kU"</f>
        <v>#VALUE!</v>
      </c>
      <c r="FX302" t="e">
        <f>Europe!B1501+"n/&gt;!0kV"</f>
        <v>#VALUE!</v>
      </c>
      <c r="FY302" t="e">
        <f>Europe!C1501+"n/&gt;!0kW"</f>
        <v>#VALUE!</v>
      </c>
      <c r="FZ302" t="e">
        <f>Europe!D1501+"n/&gt;!0kX"</f>
        <v>#VALUE!</v>
      </c>
      <c r="GA302" t="e">
        <f>Europe!E1501+"n/&gt;!0kY"</f>
        <v>#VALUE!</v>
      </c>
      <c r="GB302" t="e">
        <f>Europe!F1501+"n/&gt;!0kZ"</f>
        <v>#VALUE!</v>
      </c>
      <c r="GC302" t="e">
        <f>Europe!G1501+"n/&gt;!0k["</f>
        <v>#VALUE!</v>
      </c>
      <c r="GD302" t="e">
        <f>Europe!H1501+"n/&gt;!0k\"</f>
        <v>#VALUE!</v>
      </c>
      <c r="GE302" t="e">
        <f>Europe!I1501+"n/&gt;!0k]"</f>
        <v>#VALUE!</v>
      </c>
      <c r="GF302" t="e">
        <f>Europe!A1502+"n/&gt;!0k^"</f>
        <v>#VALUE!</v>
      </c>
      <c r="GG302" t="e">
        <f>Europe!B1502+"n/&gt;!0k_"</f>
        <v>#VALUE!</v>
      </c>
      <c r="GH302" t="e">
        <f>Europe!C1502+"n/&gt;!0k`"</f>
        <v>#VALUE!</v>
      </c>
      <c r="GI302" t="e">
        <f>Europe!D1502+"n/&gt;!0ka"</f>
        <v>#VALUE!</v>
      </c>
      <c r="GJ302" t="e">
        <f>Europe!E1502+"n/&gt;!0kb"</f>
        <v>#VALUE!</v>
      </c>
      <c r="GK302" t="e">
        <f>Europe!F1502+"n/&gt;!0kc"</f>
        <v>#VALUE!</v>
      </c>
      <c r="GL302" t="e">
        <f>Europe!G1502+"n/&gt;!0kd"</f>
        <v>#VALUE!</v>
      </c>
      <c r="GM302" t="e">
        <f>Europe!H1502+"n/&gt;!0ke"</f>
        <v>#VALUE!</v>
      </c>
      <c r="GN302" t="e">
        <f>Europe!I1502+"n/&gt;!0kf"</f>
        <v>#VALUE!</v>
      </c>
      <c r="GO302" t="e">
        <f>Europe!A1503+"n/&gt;!0kg"</f>
        <v>#VALUE!</v>
      </c>
      <c r="GP302" t="e">
        <f>Europe!B1503+"n/&gt;!0kh"</f>
        <v>#VALUE!</v>
      </c>
      <c r="GQ302" t="e">
        <f>Europe!C1503+"n/&gt;!0ki"</f>
        <v>#VALUE!</v>
      </c>
      <c r="GR302" t="e">
        <f>Europe!D1503+"n/&gt;!0kj"</f>
        <v>#VALUE!</v>
      </c>
      <c r="GS302" t="e">
        <f>Europe!E1503+"n/&gt;!0kk"</f>
        <v>#VALUE!</v>
      </c>
      <c r="GT302" t="e">
        <f>Europe!F1503+"n/&gt;!0kl"</f>
        <v>#VALUE!</v>
      </c>
      <c r="GU302" t="e">
        <f>Europe!G1503+"n/&gt;!0km"</f>
        <v>#VALUE!</v>
      </c>
      <c r="GV302" t="e">
        <f>Europe!H1503+"n/&gt;!0kn"</f>
        <v>#VALUE!</v>
      </c>
      <c r="GW302" t="e">
        <f>Europe!I1503+"n/&gt;!0ko"</f>
        <v>#VALUE!</v>
      </c>
      <c r="GX302" t="e">
        <f>Europe!A1504+"n/&gt;!0kp"</f>
        <v>#VALUE!</v>
      </c>
      <c r="GY302" t="e">
        <f>Europe!B1504+"n/&gt;!0kq"</f>
        <v>#VALUE!</v>
      </c>
      <c r="GZ302" t="e">
        <f>Europe!C1504+"n/&gt;!0kr"</f>
        <v>#VALUE!</v>
      </c>
      <c r="HA302" t="e">
        <f>Europe!D1504+"n/&gt;!0ks"</f>
        <v>#VALUE!</v>
      </c>
      <c r="HB302" t="e">
        <f>Europe!E1504+"n/&gt;!0kt"</f>
        <v>#VALUE!</v>
      </c>
      <c r="HC302" t="e">
        <f>Europe!F1504+"n/&gt;!0ku"</f>
        <v>#VALUE!</v>
      </c>
      <c r="HD302" t="e">
        <f>Europe!G1504+"n/&gt;!0kv"</f>
        <v>#VALUE!</v>
      </c>
      <c r="HE302" t="e">
        <f>Europe!H1504+"n/&gt;!0kw"</f>
        <v>#VALUE!</v>
      </c>
      <c r="HF302" t="e">
        <f>Europe!I1504+"n/&gt;!0kx"</f>
        <v>#VALUE!</v>
      </c>
      <c r="HG302" t="e">
        <f>Europe!A1505+"n/&gt;!0ky"</f>
        <v>#VALUE!</v>
      </c>
      <c r="HH302" t="e">
        <f>Europe!B1505+"n/&gt;!0kz"</f>
        <v>#VALUE!</v>
      </c>
      <c r="HI302" t="e">
        <f>Europe!C1505+"n/&gt;!0k{"</f>
        <v>#VALUE!</v>
      </c>
      <c r="HJ302" t="e">
        <f>Europe!D1505+"n/&gt;!0k|"</f>
        <v>#VALUE!</v>
      </c>
      <c r="HK302" t="e">
        <f>Europe!E1505+"n/&gt;!0k}"</f>
        <v>#VALUE!</v>
      </c>
      <c r="HL302" t="e">
        <f>Europe!F1505+"n/&gt;!0k~"</f>
        <v>#VALUE!</v>
      </c>
      <c r="HM302" t="e">
        <f>Europe!G1505+"n/&gt;!0l#"</f>
        <v>#VALUE!</v>
      </c>
      <c r="HN302" t="e">
        <f>Europe!H1505+"n/&gt;!0l$"</f>
        <v>#VALUE!</v>
      </c>
      <c r="HO302" t="e">
        <f>Europe!I1505+"n/&gt;!0l%"</f>
        <v>#VALUE!</v>
      </c>
      <c r="HP302" t="e">
        <f>Europe!A1506+"n/&gt;!0l&amp;"</f>
        <v>#VALUE!</v>
      </c>
      <c r="HQ302" t="e">
        <f>Europe!B1506+"n/&gt;!0l'"</f>
        <v>#VALUE!</v>
      </c>
      <c r="HR302" t="e">
        <f>Europe!C1506+"n/&gt;!0l("</f>
        <v>#VALUE!</v>
      </c>
      <c r="HS302" t="e">
        <f>Europe!D1506+"n/&gt;!0l)"</f>
        <v>#VALUE!</v>
      </c>
      <c r="HT302" t="e">
        <f>Europe!E1506+"n/&gt;!0l."</f>
        <v>#VALUE!</v>
      </c>
      <c r="HU302" t="e">
        <f>Europe!F1506+"n/&gt;!0l/"</f>
        <v>#VALUE!</v>
      </c>
      <c r="HV302" t="e">
        <f>Europe!G1506+"n/&gt;!0l0"</f>
        <v>#VALUE!</v>
      </c>
      <c r="HW302" t="e">
        <f>Europe!H1506+"n/&gt;!0l1"</f>
        <v>#VALUE!</v>
      </c>
      <c r="HX302" t="e">
        <f>Europe!I1506+"n/&gt;!0l2"</f>
        <v>#VALUE!</v>
      </c>
      <c r="HY302" t="e">
        <f>Europe!A1507+"n/&gt;!0l3"</f>
        <v>#VALUE!</v>
      </c>
      <c r="HZ302" t="e">
        <f>Europe!B1507+"n/&gt;!0l4"</f>
        <v>#VALUE!</v>
      </c>
      <c r="IA302" t="e">
        <f>Europe!C1507+"n/&gt;!0l5"</f>
        <v>#VALUE!</v>
      </c>
      <c r="IB302" t="e">
        <f>Europe!D1507+"n/&gt;!0l6"</f>
        <v>#VALUE!</v>
      </c>
      <c r="IC302" t="e">
        <f>Europe!E1507+"n/&gt;!0l7"</f>
        <v>#VALUE!</v>
      </c>
      <c r="ID302" t="e">
        <f>Europe!F1507+"n/&gt;!0l8"</f>
        <v>#VALUE!</v>
      </c>
      <c r="IE302" t="e">
        <f>Europe!G1507+"n/&gt;!0l9"</f>
        <v>#VALUE!</v>
      </c>
      <c r="IF302" t="e">
        <f>Europe!H1507+"n/&gt;!0l:"</f>
        <v>#VALUE!</v>
      </c>
      <c r="IG302" t="e">
        <f>Europe!I1507+"n/&gt;!0l;"</f>
        <v>#VALUE!</v>
      </c>
      <c r="IH302" t="e">
        <f>Europe!A1508+"n/&gt;!0l&lt;"</f>
        <v>#VALUE!</v>
      </c>
      <c r="II302" t="e">
        <f>Europe!B1508+"n/&gt;!0l="</f>
        <v>#VALUE!</v>
      </c>
      <c r="IJ302" t="e">
        <f>Europe!C1508+"n/&gt;!0l&gt;"</f>
        <v>#VALUE!</v>
      </c>
      <c r="IK302" t="e">
        <f>Europe!D1508+"n/&gt;!0l?"</f>
        <v>#VALUE!</v>
      </c>
      <c r="IL302" t="e">
        <f>Europe!E1508+"n/&gt;!0l@"</f>
        <v>#VALUE!</v>
      </c>
      <c r="IM302" t="e">
        <f>Europe!F1508+"n/&gt;!0lA"</f>
        <v>#VALUE!</v>
      </c>
      <c r="IN302" t="e">
        <f>Europe!G1508+"n/&gt;!0lB"</f>
        <v>#VALUE!</v>
      </c>
      <c r="IO302" t="e">
        <f>Europe!H1508+"n/&gt;!0lC"</f>
        <v>#VALUE!</v>
      </c>
      <c r="IP302" t="e">
        <f>Europe!I1508+"n/&gt;!0lD"</f>
        <v>#VALUE!</v>
      </c>
      <c r="IQ302" t="e">
        <f>Europe!A1509+"n/&gt;!0lE"</f>
        <v>#VALUE!</v>
      </c>
      <c r="IR302" t="e">
        <f>Europe!B1509+"n/&gt;!0lF"</f>
        <v>#VALUE!</v>
      </c>
      <c r="IS302" t="e">
        <f>Europe!C1509+"n/&gt;!0lG"</f>
        <v>#VALUE!</v>
      </c>
      <c r="IT302" t="e">
        <f>Europe!D1509+"n/&gt;!0lH"</f>
        <v>#VALUE!</v>
      </c>
      <c r="IU302" t="e">
        <f>Europe!E1509+"n/&gt;!0lI"</f>
        <v>#VALUE!</v>
      </c>
      <c r="IV302" t="e">
        <f>Europe!F1509+"n/&gt;!0lJ"</f>
        <v>#VALUE!</v>
      </c>
    </row>
    <row r="303" spans="6:256" x14ac:dyDescent="0.35">
      <c r="F303" t="e">
        <f>Europe!G1509+"n/&gt;!0lK"</f>
        <v>#VALUE!</v>
      </c>
      <c r="G303" t="e">
        <f>Europe!H1509+"n/&gt;!0lL"</f>
        <v>#VALUE!</v>
      </c>
      <c r="H303" t="e">
        <f>Europe!I1509+"n/&gt;!0lM"</f>
        <v>#VALUE!</v>
      </c>
      <c r="I303" t="e">
        <f>Europe!A1510+"n/&gt;!0lN"</f>
        <v>#VALUE!</v>
      </c>
      <c r="J303" t="e">
        <f>Europe!B1510+"n/&gt;!0lO"</f>
        <v>#VALUE!</v>
      </c>
      <c r="K303" t="e">
        <f>Europe!C1510+"n/&gt;!0lP"</f>
        <v>#VALUE!</v>
      </c>
      <c r="L303" t="e">
        <f>Europe!D1510+"n/&gt;!0lQ"</f>
        <v>#VALUE!</v>
      </c>
      <c r="M303" t="e">
        <f>Europe!E1510+"n/&gt;!0lR"</f>
        <v>#VALUE!</v>
      </c>
      <c r="N303" t="e">
        <f>Europe!F1510+"n/&gt;!0lS"</f>
        <v>#VALUE!</v>
      </c>
      <c r="O303" t="e">
        <f>Europe!G1510+"n/&gt;!0lT"</f>
        <v>#VALUE!</v>
      </c>
      <c r="P303" t="e">
        <f>Europe!H1510+"n/&gt;!0lU"</f>
        <v>#VALUE!</v>
      </c>
      <c r="Q303" t="e">
        <f>Europe!I1510+"n/&gt;!0lV"</f>
        <v>#VALUE!</v>
      </c>
      <c r="R303" t="e">
        <f>Europe!A1511+"n/&gt;!0lW"</f>
        <v>#VALUE!</v>
      </c>
      <c r="S303" t="e">
        <f>Europe!B1511+"n/&gt;!0lX"</f>
        <v>#VALUE!</v>
      </c>
      <c r="T303" t="e">
        <f>Europe!C1511+"n/&gt;!0lY"</f>
        <v>#VALUE!</v>
      </c>
      <c r="U303" t="e">
        <f>Europe!D1511+"n/&gt;!0lZ"</f>
        <v>#VALUE!</v>
      </c>
      <c r="V303" t="e">
        <f>Europe!E1511+"n/&gt;!0l["</f>
        <v>#VALUE!</v>
      </c>
      <c r="W303" t="e">
        <f>Europe!F1511+"n/&gt;!0l\"</f>
        <v>#VALUE!</v>
      </c>
      <c r="X303" t="e">
        <f>Europe!G1511+"n/&gt;!0l]"</f>
        <v>#VALUE!</v>
      </c>
      <c r="Y303" t="e">
        <f>Europe!H1511+"n/&gt;!0l^"</f>
        <v>#VALUE!</v>
      </c>
      <c r="Z303" t="e">
        <f>Europe!I1511+"n/&gt;!0l_"</f>
        <v>#VALUE!</v>
      </c>
      <c r="AA303" t="e">
        <f>Europe!A1512+"n/&gt;!0l`"</f>
        <v>#VALUE!</v>
      </c>
      <c r="AB303" t="e">
        <f>Europe!B1512+"n/&gt;!0la"</f>
        <v>#VALUE!</v>
      </c>
      <c r="AC303" t="e">
        <f>Europe!C1512+"n/&gt;!0lb"</f>
        <v>#VALUE!</v>
      </c>
      <c r="AD303" t="e">
        <f>Europe!D1512+"n/&gt;!0lc"</f>
        <v>#VALUE!</v>
      </c>
      <c r="AE303" t="e">
        <f>Europe!E1512+"n/&gt;!0ld"</f>
        <v>#VALUE!</v>
      </c>
      <c r="AF303" t="e">
        <f>Europe!F1512+"n/&gt;!0le"</f>
        <v>#VALUE!</v>
      </c>
      <c r="AG303" t="e">
        <f>Europe!G1512+"n/&gt;!0lf"</f>
        <v>#VALUE!</v>
      </c>
      <c r="AH303" t="e">
        <f>Europe!H1512+"n/&gt;!0lg"</f>
        <v>#VALUE!</v>
      </c>
      <c r="AI303" t="e">
        <f>Europe!I1512+"n/&gt;!0lh"</f>
        <v>#VALUE!</v>
      </c>
      <c r="AJ303" t="e">
        <f>Europe!A1513+"n/&gt;!0li"</f>
        <v>#VALUE!</v>
      </c>
      <c r="AK303" t="e">
        <f>Europe!B1513+"n/&gt;!0lj"</f>
        <v>#VALUE!</v>
      </c>
      <c r="AL303" t="e">
        <f>Europe!C1513+"n/&gt;!0lk"</f>
        <v>#VALUE!</v>
      </c>
      <c r="AM303" t="e">
        <f>Europe!D1513+"n/&gt;!0ll"</f>
        <v>#VALUE!</v>
      </c>
      <c r="AN303" t="e">
        <f>Europe!E1513+"n/&gt;!0lm"</f>
        <v>#VALUE!</v>
      </c>
      <c r="AO303" t="e">
        <f>Europe!F1513+"n/&gt;!0ln"</f>
        <v>#VALUE!</v>
      </c>
      <c r="AP303" t="e">
        <f>Europe!G1513+"n/&gt;!0lo"</f>
        <v>#VALUE!</v>
      </c>
      <c r="AQ303" t="e">
        <f>Europe!H1513+"n/&gt;!0lp"</f>
        <v>#VALUE!</v>
      </c>
      <c r="AR303" t="e">
        <f>Europe!I1513+"n/&gt;!0lq"</f>
        <v>#VALUE!</v>
      </c>
      <c r="AS303" t="e">
        <f>Europe!A1514+"n/&gt;!0lr"</f>
        <v>#VALUE!</v>
      </c>
      <c r="AT303" t="e">
        <f>Europe!B1514+"n/&gt;!0ls"</f>
        <v>#VALUE!</v>
      </c>
      <c r="AU303" t="e">
        <f>Europe!C1514+"n/&gt;!0lt"</f>
        <v>#VALUE!</v>
      </c>
      <c r="AV303" t="e">
        <f>Europe!D1514+"n/&gt;!0lu"</f>
        <v>#VALUE!</v>
      </c>
      <c r="AW303" t="e">
        <f>Europe!E1514+"n/&gt;!0lv"</f>
        <v>#VALUE!</v>
      </c>
      <c r="AX303" t="e">
        <f>Europe!F1514+"n/&gt;!0lw"</f>
        <v>#VALUE!</v>
      </c>
      <c r="AY303" t="e">
        <f>Europe!G1514+"n/&gt;!0lx"</f>
        <v>#VALUE!</v>
      </c>
      <c r="AZ303" t="e">
        <f>Europe!H1514+"n/&gt;!0ly"</f>
        <v>#VALUE!</v>
      </c>
      <c r="BA303" t="e">
        <f>Europe!I1514+"n/&gt;!0lz"</f>
        <v>#VALUE!</v>
      </c>
      <c r="BB303" t="e">
        <f>Europe!A1515+"n/&gt;!0l{"</f>
        <v>#VALUE!</v>
      </c>
      <c r="BC303" t="e">
        <f>Europe!B1515+"n/&gt;!0l|"</f>
        <v>#VALUE!</v>
      </c>
      <c r="BD303" t="e">
        <f>Europe!C1515+"n/&gt;!0l}"</f>
        <v>#VALUE!</v>
      </c>
      <c r="BE303" t="e">
        <f>Europe!D1515+"n/&gt;!0l~"</f>
        <v>#VALUE!</v>
      </c>
      <c r="BF303" t="e">
        <f>Europe!E1515+"n/&gt;!0m#"</f>
        <v>#VALUE!</v>
      </c>
      <c r="BG303" t="e">
        <f>Europe!F1515+"n/&gt;!0m$"</f>
        <v>#VALUE!</v>
      </c>
      <c r="BH303" t="e">
        <f>Europe!G1515+"n/&gt;!0m%"</f>
        <v>#VALUE!</v>
      </c>
      <c r="BI303" t="e">
        <f>Europe!H1515+"n/&gt;!0m&amp;"</f>
        <v>#VALUE!</v>
      </c>
      <c r="BJ303" t="e">
        <f>Europe!I1515+"n/&gt;!0m'"</f>
        <v>#VALUE!</v>
      </c>
      <c r="BK303" t="e">
        <f>Europe!A1516+"n/&gt;!0m("</f>
        <v>#VALUE!</v>
      </c>
      <c r="BL303" t="e">
        <f>Europe!B1516+"n/&gt;!0m)"</f>
        <v>#VALUE!</v>
      </c>
      <c r="BM303" t="e">
        <f>Europe!C1516+"n/&gt;!0m."</f>
        <v>#VALUE!</v>
      </c>
      <c r="BN303" t="e">
        <f>Europe!D1516+"n/&gt;!0m/"</f>
        <v>#VALUE!</v>
      </c>
      <c r="BO303" t="e">
        <f>Europe!E1516+"n/&gt;!0m0"</f>
        <v>#VALUE!</v>
      </c>
      <c r="BP303" t="e">
        <f>Europe!F1516+"n/&gt;!0m1"</f>
        <v>#VALUE!</v>
      </c>
      <c r="BQ303" t="e">
        <f>Europe!G1516+"n/&gt;!0m2"</f>
        <v>#VALUE!</v>
      </c>
      <c r="BR303" t="e">
        <f>Europe!H1516+"n/&gt;!0m3"</f>
        <v>#VALUE!</v>
      </c>
      <c r="BS303" t="e">
        <f>Europe!I1516+"n/&gt;!0m4"</f>
        <v>#VALUE!</v>
      </c>
      <c r="BT303" t="e">
        <f>Europe!A1517+"n/&gt;!0m5"</f>
        <v>#VALUE!</v>
      </c>
      <c r="BU303" t="e">
        <f>Europe!B1517+"n/&gt;!0m6"</f>
        <v>#VALUE!</v>
      </c>
      <c r="BV303" t="e">
        <f>Europe!C1517+"n/&gt;!0m7"</f>
        <v>#VALUE!</v>
      </c>
      <c r="BW303" t="e">
        <f>Europe!D1517+"n/&gt;!0m8"</f>
        <v>#VALUE!</v>
      </c>
      <c r="BX303" t="e">
        <f>Europe!E1517+"n/&gt;!0m9"</f>
        <v>#VALUE!</v>
      </c>
      <c r="BY303" t="e">
        <f>Europe!F1517+"n/&gt;!0m:"</f>
        <v>#VALUE!</v>
      </c>
      <c r="BZ303" t="e">
        <f>Europe!G1517+"n/&gt;!0m;"</f>
        <v>#VALUE!</v>
      </c>
      <c r="CA303" t="e">
        <f>Europe!H1517+"n/&gt;!0m&lt;"</f>
        <v>#VALUE!</v>
      </c>
      <c r="CB303" t="e">
        <f>Europe!I1517+"n/&gt;!0m="</f>
        <v>#VALUE!</v>
      </c>
      <c r="CC303" t="e">
        <f>Europe!A1518+"n/&gt;!0m&gt;"</f>
        <v>#VALUE!</v>
      </c>
      <c r="CD303" t="e">
        <f>Europe!B1518+"n/&gt;!0m?"</f>
        <v>#VALUE!</v>
      </c>
      <c r="CE303" t="e">
        <f>Europe!C1518+"n/&gt;!0m@"</f>
        <v>#VALUE!</v>
      </c>
      <c r="CF303" t="e">
        <f>Europe!D1518+"n/&gt;!0mA"</f>
        <v>#VALUE!</v>
      </c>
      <c r="CG303" t="e">
        <f>Europe!E1518+"n/&gt;!0mB"</f>
        <v>#VALUE!</v>
      </c>
      <c r="CH303" t="e">
        <f>Europe!F1518+"n/&gt;!0mC"</f>
        <v>#VALUE!</v>
      </c>
      <c r="CI303" t="e">
        <f>Europe!G1518+"n/&gt;!0mD"</f>
        <v>#VALUE!</v>
      </c>
      <c r="CJ303" t="e">
        <f>Europe!H1518+"n/&gt;!0mE"</f>
        <v>#VALUE!</v>
      </c>
      <c r="CK303" t="e">
        <f>Europe!I1518+"n/&gt;!0mF"</f>
        <v>#VALUE!</v>
      </c>
      <c r="CL303" t="e">
        <f>Europe!A1519+"n/&gt;!0mG"</f>
        <v>#VALUE!</v>
      </c>
      <c r="CM303" t="e">
        <f>Europe!B1519+"n/&gt;!0mH"</f>
        <v>#VALUE!</v>
      </c>
      <c r="CN303" t="e">
        <f>Europe!C1519+"n/&gt;!0mI"</f>
        <v>#VALUE!</v>
      </c>
      <c r="CO303" t="e">
        <f>Europe!D1519+"n/&gt;!0mJ"</f>
        <v>#VALUE!</v>
      </c>
      <c r="CP303" t="e">
        <f>Europe!E1519+"n/&gt;!0mK"</f>
        <v>#VALUE!</v>
      </c>
      <c r="CQ303" t="e">
        <f>Europe!F1519+"n/&gt;!0mL"</f>
        <v>#VALUE!</v>
      </c>
      <c r="CR303" t="e">
        <f>Europe!G1519+"n/&gt;!0mM"</f>
        <v>#VALUE!</v>
      </c>
      <c r="CS303" t="e">
        <f>Europe!H1519+"n/&gt;!0mN"</f>
        <v>#VALUE!</v>
      </c>
      <c r="CT303" t="e">
        <f>Europe!I1519+"n/&gt;!0mO"</f>
        <v>#VALUE!</v>
      </c>
      <c r="CU303" t="e">
        <f>Europe!A1520+"n/&gt;!0mP"</f>
        <v>#VALUE!</v>
      </c>
      <c r="CV303" t="e">
        <f>Europe!B1520+"n/&gt;!0mQ"</f>
        <v>#VALUE!</v>
      </c>
      <c r="CW303" t="e">
        <f>Europe!C1520+"n/&gt;!0mR"</f>
        <v>#VALUE!</v>
      </c>
      <c r="CX303" t="e">
        <f>Europe!D1520+"n/&gt;!0mS"</f>
        <v>#VALUE!</v>
      </c>
      <c r="CY303" t="e">
        <f>Europe!E1520+"n/&gt;!0mT"</f>
        <v>#VALUE!</v>
      </c>
      <c r="CZ303" t="e">
        <f>Europe!F1520+"n/&gt;!0mU"</f>
        <v>#VALUE!</v>
      </c>
      <c r="DA303" t="e">
        <f>Europe!G1520+"n/&gt;!0mV"</f>
        <v>#VALUE!</v>
      </c>
      <c r="DB303" t="e">
        <f>Europe!H1520+"n/&gt;!0mW"</f>
        <v>#VALUE!</v>
      </c>
      <c r="DC303" t="e">
        <f>Europe!I1520+"n/&gt;!0mX"</f>
        <v>#VALUE!</v>
      </c>
      <c r="DD303" t="e">
        <f>Europe!A1521+"n/&gt;!0mY"</f>
        <v>#VALUE!</v>
      </c>
      <c r="DE303" t="e">
        <f>Europe!B1521+"n/&gt;!0mZ"</f>
        <v>#VALUE!</v>
      </c>
      <c r="DF303" t="e">
        <f>Europe!C1521+"n/&gt;!0m["</f>
        <v>#VALUE!</v>
      </c>
      <c r="DG303" t="e">
        <f>Europe!D1521+"n/&gt;!0m\"</f>
        <v>#VALUE!</v>
      </c>
      <c r="DH303" t="e">
        <f>Europe!E1521+"n/&gt;!0m]"</f>
        <v>#VALUE!</v>
      </c>
      <c r="DI303" t="e">
        <f>Europe!F1521+"n/&gt;!0m^"</f>
        <v>#VALUE!</v>
      </c>
      <c r="DJ303" t="e">
        <f>Europe!G1521+"n/&gt;!0m_"</f>
        <v>#VALUE!</v>
      </c>
      <c r="DK303" t="e">
        <f>Europe!H1521+"n/&gt;!0m`"</f>
        <v>#VALUE!</v>
      </c>
      <c r="DL303" t="e">
        <f>Europe!I1521+"n/&gt;!0ma"</f>
        <v>#VALUE!</v>
      </c>
      <c r="DM303" t="e">
        <f>Europe!A1522+"n/&gt;!0mb"</f>
        <v>#VALUE!</v>
      </c>
      <c r="DN303" t="e">
        <f>Europe!B1522+"n/&gt;!0mc"</f>
        <v>#VALUE!</v>
      </c>
      <c r="DO303" t="e">
        <f>Europe!C1522+"n/&gt;!0md"</f>
        <v>#VALUE!</v>
      </c>
      <c r="DP303" t="e">
        <f>Europe!D1522+"n/&gt;!0me"</f>
        <v>#VALUE!</v>
      </c>
      <c r="DQ303" t="e">
        <f>Europe!E1522+"n/&gt;!0mf"</f>
        <v>#VALUE!</v>
      </c>
      <c r="DR303" t="e">
        <f>Europe!F1522+"n/&gt;!0mg"</f>
        <v>#VALUE!</v>
      </c>
      <c r="DS303" t="e">
        <f>Europe!G1522+"n/&gt;!0mh"</f>
        <v>#VALUE!</v>
      </c>
      <c r="DT303" t="e">
        <f>Europe!H1522+"n/&gt;!0mi"</f>
        <v>#VALUE!</v>
      </c>
      <c r="DU303" t="e">
        <f>Europe!I1522+"n/&gt;!0mj"</f>
        <v>#VALUE!</v>
      </c>
      <c r="DV303" t="e">
        <f>Europe!A1523+"n/&gt;!0mk"</f>
        <v>#VALUE!</v>
      </c>
      <c r="DW303" t="e">
        <f>Europe!B1523+"n/&gt;!0ml"</f>
        <v>#VALUE!</v>
      </c>
      <c r="DX303" t="e">
        <f>Europe!C1523+"n/&gt;!0mm"</f>
        <v>#VALUE!</v>
      </c>
      <c r="DY303" t="e">
        <f>Europe!D1523+"n/&gt;!0mn"</f>
        <v>#VALUE!</v>
      </c>
      <c r="DZ303" t="e">
        <f>Europe!E1523+"n/&gt;!0mo"</f>
        <v>#VALUE!</v>
      </c>
      <c r="EA303" t="e">
        <f>Europe!F1523+"n/&gt;!0mp"</f>
        <v>#VALUE!</v>
      </c>
      <c r="EB303" t="e">
        <f>Europe!G1523+"n/&gt;!0mq"</f>
        <v>#VALUE!</v>
      </c>
      <c r="EC303" t="e">
        <f>Europe!H1523+"n/&gt;!0mr"</f>
        <v>#VALUE!</v>
      </c>
      <c r="ED303" t="e">
        <f>Europe!I1523+"n/&gt;!0ms"</f>
        <v>#VALUE!</v>
      </c>
      <c r="EE303" t="e">
        <f>Europe!A1524+"n/&gt;!0mt"</f>
        <v>#VALUE!</v>
      </c>
      <c r="EF303" t="e">
        <f>Europe!B1524+"n/&gt;!0mu"</f>
        <v>#VALUE!</v>
      </c>
      <c r="EG303" t="e">
        <f>Europe!C1524+"n/&gt;!0mv"</f>
        <v>#VALUE!</v>
      </c>
      <c r="EH303" t="e">
        <f>Europe!D1524+"n/&gt;!0mw"</f>
        <v>#VALUE!</v>
      </c>
      <c r="EI303" t="e">
        <f>Europe!E1524+"n/&gt;!0mx"</f>
        <v>#VALUE!</v>
      </c>
      <c r="EJ303" t="e">
        <f>Europe!F1524+"n/&gt;!0my"</f>
        <v>#VALUE!</v>
      </c>
      <c r="EK303" t="e">
        <f>Europe!G1524+"n/&gt;!0mz"</f>
        <v>#VALUE!</v>
      </c>
      <c r="EL303" t="e">
        <f>Europe!H1524+"n/&gt;!0m{"</f>
        <v>#VALUE!</v>
      </c>
      <c r="EM303" t="e">
        <f>Europe!I1524+"n/&gt;!0m|"</f>
        <v>#VALUE!</v>
      </c>
      <c r="EN303" t="e">
        <f>Europe!A1525+"n/&gt;!0m}"</f>
        <v>#VALUE!</v>
      </c>
      <c r="EO303" t="e">
        <f>Europe!B1525+"n/&gt;!0m~"</f>
        <v>#VALUE!</v>
      </c>
      <c r="EP303" t="e">
        <f>Europe!C1525+"n/&gt;!0n#"</f>
        <v>#VALUE!</v>
      </c>
      <c r="EQ303" t="e">
        <f>Europe!D1525+"n/&gt;!0n$"</f>
        <v>#VALUE!</v>
      </c>
      <c r="ER303" t="e">
        <f>Europe!E1525+"n/&gt;!0n%"</f>
        <v>#VALUE!</v>
      </c>
      <c r="ES303" t="e">
        <f>Europe!F1525+"n/&gt;!0n&amp;"</f>
        <v>#VALUE!</v>
      </c>
      <c r="ET303" t="e">
        <f>Europe!G1525+"n/&gt;!0n'"</f>
        <v>#VALUE!</v>
      </c>
      <c r="EU303" t="e">
        <f>Europe!H1525+"n/&gt;!0n("</f>
        <v>#VALUE!</v>
      </c>
      <c r="EV303" t="e">
        <f>Europe!I1525+"n/&gt;!0n)"</f>
        <v>#VALUE!</v>
      </c>
      <c r="EW303" t="e">
        <f>Europe!A1526+"n/&gt;!0n."</f>
        <v>#VALUE!</v>
      </c>
      <c r="EX303" t="e">
        <f>Europe!B1526+"n/&gt;!0n/"</f>
        <v>#VALUE!</v>
      </c>
      <c r="EY303" t="e">
        <f>Europe!C1526+"n/&gt;!0n0"</f>
        <v>#VALUE!</v>
      </c>
      <c r="EZ303" t="e">
        <f>Europe!D1526+"n/&gt;!0n1"</f>
        <v>#VALUE!</v>
      </c>
      <c r="FA303" t="e">
        <f>Europe!E1526+"n/&gt;!0n2"</f>
        <v>#VALUE!</v>
      </c>
      <c r="FB303" t="e">
        <f>Europe!F1526+"n/&gt;!0n3"</f>
        <v>#VALUE!</v>
      </c>
      <c r="FC303" t="e">
        <f>Europe!G1526+"n/&gt;!0n4"</f>
        <v>#VALUE!</v>
      </c>
      <c r="FD303" t="e">
        <f>Europe!H1526+"n/&gt;!0n5"</f>
        <v>#VALUE!</v>
      </c>
      <c r="FE303" t="e">
        <f>Europe!I1526+"n/&gt;!0n6"</f>
        <v>#VALUE!</v>
      </c>
      <c r="FF303" t="e">
        <f>Europe!A1527+"n/&gt;!0n7"</f>
        <v>#VALUE!</v>
      </c>
      <c r="FG303" t="e">
        <f>Europe!B1527+"n/&gt;!0n8"</f>
        <v>#VALUE!</v>
      </c>
      <c r="FH303" t="e">
        <f>Europe!C1527+"n/&gt;!0n9"</f>
        <v>#VALUE!</v>
      </c>
      <c r="FI303" t="e">
        <f>Europe!D1527+"n/&gt;!0n:"</f>
        <v>#VALUE!</v>
      </c>
      <c r="FJ303" t="e">
        <f>Europe!E1527+"n/&gt;!0n;"</f>
        <v>#VALUE!</v>
      </c>
      <c r="FK303" t="e">
        <f>Europe!F1527+"n/&gt;!0n&lt;"</f>
        <v>#VALUE!</v>
      </c>
      <c r="FL303" t="e">
        <f>Europe!G1527+"n/&gt;!0n="</f>
        <v>#VALUE!</v>
      </c>
      <c r="FM303" t="e">
        <f>Europe!H1527+"n/&gt;!0n&gt;"</f>
        <v>#VALUE!</v>
      </c>
      <c r="FN303" t="e">
        <f>Europe!I1527+"n/&gt;!0n?"</f>
        <v>#VALUE!</v>
      </c>
      <c r="FO303" t="e">
        <f>Europe!A1528+"n/&gt;!0n@"</f>
        <v>#VALUE!</v>
      </c>
      <c r="FP303" t="e">
        <f>Europe!B1528+"n/&gt;!0nA"</f>
        <v>#VALUE!</v>
      </c>
      <c r="FQ303" t="e">
        <f>Europe!C1528+"n/&gt;!0nB"</f>
        <v>#VALUE!</v>
      </c>
      <c r="FR303" t="e">
        <f>Europe!D1528+"n/&gt;!0nC"</f>
        <v>#VALUE!</v>
      </c>
      <c r="FS303" t="e">
        <f>Europe!E1528+"n/&gt;!0nD"</f>
        <v>#VALUE!</v>
      </c>
      <c r="FT303" t="e">
        <f>Europe!F1528+"n/&gt;!0nE"</f>
        <v>#VALUE!</v>
      </c>
      <c r="FU303" t="e">
        <f>Europe!G1528+"n/&gt;!0nF"</f>
        <v>#VALUE!</v>
      </c>
      <c r="FV303" t="e">
        <f>Europe!H1528+"n/&gt;!0nG"</f>
        <v>#VALUE!</v>
      </c>
      <c r="FW303" t="e">
        <f>Europe!I1528+"n/&gt;!0nH"</f>
        <v>#VALUE!</v>
      </c>
      <c r="FX303" t="e">
        <f>Europe!A1529+"n/&gt;!0nI"</f>
        <v>#VALUE!</v>
      </c>
      <c r="FY303" t="e">
        <f>Europe!B1529+"n/&gt;!0nJ"</f>
        <v>#VALUE!</v>
      </c>
      <c r="FZ303" t="e">
        <f>Europe!C1529+"n/&gt;!0nK"</f>
        <v>#VALUE!</v>
      </c>
      <c r="GA303" t="e">
        <f>Europe!D1529+"n/&gt;!0nL"</f>
        <v>#VALUE!</v>
      </c>
      <c r="GB303" t="e">
        <f>Europe!E1529+"n/&gt;!0nM"</f>
        <v>#VALUE!</v>
      </c>
      <c r="GC303" t="e">
        <f>Europe!F1529+"n/&gt;!0nN"</f>
        <v>#VALUE!</v>
      </c>
      <c r="GD303" t="e">
        <f>Europe!G1529+"n/&gt;!0nO"</f>
        <v>#VALUE!</v>
      </c>
      <c r="GE303" t="e">
        <f>Europe!H1529+"n/&gt;!0nP"</f>
        <v>#VALUE!</v>
      </c>
      <c r="GF303" t="e">
        <f>Europe!I1529+"n/&gt;!0nQ"</f>
        <v>#VALUE!</v>
      </c>
      <c r="GG303" t="e">
        <f>Europe!A1530+"n/&gt;!0nR"</f>
        <v>#VALUE!</v>
      </c>
      <c r="GH303" t="e">
        <f>Europe!B1530+"n/&gt;!0nS"</f>
        <v>#VALUE!</v>
      </c>
      <c r="GI303" t="e">
        <f>Europe!C1530+"n/&gt;!0nT"</f>
        <v>#VALUE!</v>
      </c>
      <c r="GJ303" t="e">
        <f>Europe!D1530+"n/&gt;!0nU"</f>
        <v>#VALUE!</v>
      </c>
      <c r="GK303" t="e">
        <f>Europe!E1530+"n/&gt;!0nV"</f>
        <v>#VALUE!</v>
      </c>
      <c r="GL303" t="e">
        <f>Europe!F1530+"n/&gt;!0nW"</f>
        <v>#VALUE!</v>
      </c>
      <c r="GM303" t="e">
        <f>Europe!G1530+"n/&gt;!0nX"</f>
        <v>#VALUE!</v>
      </c>
      <c r="GN303" t="e">
        <f>Europe!H1530+"n/&gt;!0nY"</f>
        <v>#VALUE!</v>
      </c>
      <c r="GO303" t="e">
        <f>Europe!I1530+"n/&gt;!0nZ"</f>
        <v>#VALUE!</v>
      </c>
      <c r="GP303" t="e">
        <f>Europe!A1531+"n/&gt;!0n["</f>
        <v>#VALUE!</v>
      </c>
      <c r="GQ303" t="e">
        <f>Europe!B1531+"n/&gt;!0n\"</f>
        <v>#VALUE!</v>
      </c>
      <c r="GR303" t="e">
        <f>Europe!C1531+"n/&gt;!0n]"</f>
        <v>#VALUE!</v>
      </c>
      <c r="GS303" t="e">
        <f>Europe!D1531+"n/&gt;!0n^"</f>
        <v>#VALUE!</v>
      </c>
      <c r="GT303" t="e">
        <f>Europe!E1531+"n/&gt;!0n_"</f>
        <v>#VALUE!</v>
      </c>
      <c r="GU303" t="e">
        <f>Europe!F1531+"n/&gt;!0n`"</f>
        <v>#VALUE!</v>
      </c>
      <c r="GV303" t="e">
        <f>Europe!G1531+"n/&gt;!0na"</f>
        <v>#VALUE!</v>
      </c>
      <c r="GW303" t="e">
        <f>Europe!H1531+"n/&gt;!0nb"</f>
        <v>#VALUE!</v>
      </c>
      <c r="GX303" t="e">
        <f>Europe!I1531+"n/&gt;!0nc"</f>
        <v>#VALUE!</v>
      </c>
      <c r="GY303" t="e">
        <f>Europe!A1532+"n/&gt;!0nd"</f>
        <v>#VALUE!</v>
      </c>
      <c r="GZ303" t="e">
        <f>Europe!B1532+"n/&gt;!0ne"</f>
        <v>#VALUE!</v>
      </c>
      <c r="HA303" t="e">
        <f>Europe!C1532+"n/&gt;!0nf"</f>
        <v>#VALUE!</v>
      </c>
      <c r="HB303" t="e">
        <f>Europe!D1532+"n/&gt;!0ng"</f>
        <v>#VALUE!</v>
      </c>
      <c r="HC303" t="e">
        <f>Europe!E1532+"n/&gt;!0nh"</f>
        <v>#VALUE!</v>
      </c>
      <c r="HD303" t="e">
        <f>Europe!F1532+"n/&gt;!0ni"</f>
        <v>#VALUE!</v>
      </c>
      <c r="HE303" t="e">
        <f>Europe!G1532+"n/&gt;!0nj"</f>
        <v>#VALUE!</v>
      </c>
      <c r="HF303" t="e">
        <f>Europe!H1532+"n/&gt;!0nk"</f>
        <v>#VALUE!</v>
      </c>
      <c r="HG303" t="e">
        <f>Europe!I1532+"n/&gt;!0nl"</f>
        <v>#VALUE!</v>
      </c>
      <c r="HH303" t="e">
        <f>Europe!A1533+"n/&gt;!0nm"</f>
        <v>#VALUE!</v>
      </c>
      <c r="HI303" t="e">
        <f>Europe!B1533+"n/&gt;!0nn"</f>
        <v>#VALUE!</v>
      </c>
      <c r="HJ303" t="e">
        <f>Europe!C1533+"n/&gt;!0no"</f>
        <v>#VALUE!</v>
      </c>
      <c r="HK303" t="e">
        <f>Europe!D1533+"n/&gt;!0np"</f>
        <v>#VALUE!</v>
      </c>
      <c r="HL303" t="e">
        <f>Europe!E1533+"n/&gt;!0nq"</f>
        <v>#VALUE!</v>
      </c>
      <c r="HM303" t="e">
        <f>Europe!F1533+"n/&gt;!0nr"</f>
        <v>#VALUE!</v>
      </c>
      <c r="HN303" t="e">
        <f>Europe!G1533+"n/&gt;!0ns"</f>
        <v>#VALUE!</v>
      </c>
      <c r="HO303" t="e">
        <f>Europe!H1533+"n/&gt;!0nt"</f>
        <v>#VALUE!</v>
      </c>
      <c r="HP303" t="e">
        <f>Europe!I1533+"n/&gt;!0nu"</f>
        <v>#VALUE!</v>
      </c>
      <c r="HQ303" t="e">
        <f>Europe!A1534+"n/&gt;!0nv"</f>
        <v>#VALUE!</v>
      </c>
      <c r="HR303" t="e">
        <f>Europe!B1534+"n/&gt;!0nw"</f>
        <v>#VALUE!</v>
      </c>
      <c r="HS303" t="e">
        <f>Europe!C1534+"n/&gt;!0nx"</f>
        <v>#VALUE!</v>
      </c>
      <c r="HT303" t="e">
        <f>Europe!D1534+"n/&gt;!0ny"</f>
        <v>#VALUE!</v>
      </c>
      <c r="HU303" t="e">
        <f>Europe!E1534+"n/&gt;!0nz"</f>
        <v>#VALUE!</v>
      </c>
      <c r="HV303" t="e">
        <f>Europe!F1534+"n/&gt;!0n{"</f>
        <v>#VALUE!</v>
      </c>
      <c r="HW303" t="e">
        <f>Europe!G1534+"n/&gt;!0n|"</f>
        <v>#VALUE!</v>
      </c>
      <c r="HX303" t="e">
        <f>Europe!H1534+"n/&gt;!0n}"</f>
        <v>#VALUE!</v>
      </c>
      <c r="HY303" t="e">
        <f>Europe!I1534+"n/&gt;!0n~"</f>
        <v>#VALUE!</v>
      </c>
      <c r="HZ303" t="e">
        <f>Europe!A1535+"n/&gt;!0o#"</f>
        <v>#VALUE!</v>
      </c>
      <c r="IA303" t="e">
        <f>Europe!B1535+"n/&gt;!0o$"</f>
        <v>#VALUE!</v>
      </c>
      <c r="IB303" t="e">
        <f>Europe!C1535+"n/&gt;!0o%"</f>
        <v>#VALUE!</v>
      </c>
      <c r="IC303" t="e">
        <f>Europe!D1535+"n/&gt;!0o&amp;"</f>
        <v>#VALUE!</v>
      </c>
      <c r="ID303" t="e">
        <f>Europe!E1535+"n/&gt;!0o'"</f>
        <v>#VALUE!</v>
      </c>
      <c r="IE303" t="e">
        <f>Europe!F1535+"n/&gt;!0o("</f>
        <v>#VALUE!</v>
      </c>
      <c r="IF303" t="e">
        <f>Europe!G1535+"n/&gt;!0o)"</f>
        <v>#VALUE!</v>
      </c>
      <c r="IG303" t="e">
        <f>Europe!H1535+"n/&gt;!0o."</f>
        <v>#VALUE!</v>
      </c>
      <c r="IH303" t="e">
        <f>Europe!I1535+"n/&gt;!0o/"</f>
        <v>#VALUE!</v>
      </c>
      <c r="II303" t="e">
        <f>Europe!A1536+"n/&gt;!0o0"</f>
        <v>#VALUE!</v>
      </c>
      <c r="IJ303" t="e">
        <f>Europe!B1536+"n/&gt;!0o1"</f>
        <v>#VALUE!</v>
      </c>
      <c r="IK303" t="e">
        <f>Europe!C1536+"n/&gt;!0o2"</f>
        <v>#VALUE!</v>
      </c>
      <c r="IL303" t="e">
        <f>Europe!D1536+"n/&gt;!0o3"</f>
        <v>#VALUE!</v>
      </c>
      <c r="IM303" t="e">
        <f>Europe!E1536+"n/&gt;!0o4"</f>
        <v>#VALUE!</v>
      </c>
      <c r="IN303" t="e">
        <f>Europe!F1536+"n/&gt;!0o5"</f>
        <v>#VALUE!</v>
      </c>
      <c r="IO303" t="e">
        <f>Europe!G1536+"n/&gt;!0o6"</f>
        <v>#VALUE!</v>
      </c>
      <c r="IP303" t="e">
        <f>Europe!H1536+"n/&gt;!0o7"</f>
        <v>#VALUE!</v>
      </c>
      <c r="IQ303" t="e">
        <f>Europe!I1536+"n/&gt;!0o8"</f>
        <v>#VALUE!</v>
      </c>
      <c r="IR303" t="e">
        <f>Europe!A1537+"n/&gt;!0o9"</f>
        <v>#VALUE!</v>
      </c>
      <c r="IS303" t="e">
        <f>Europe!B1537+"n/&gt;!0o:"</f>
        <v>#VALUE!</v>
      </c>
      <c r="IT303" t="e">
        <f>Europe!C1537+"n/&gt;!0o;"</f>
        <v>#VALUE!</v>
      </c>
      <c r="IU303" t="e">
        <f>Europe!D1537+"n/&gt;!0o&lt;"</f>
        <v>#VALUE!</v>
      </c>
      <c r="IV303" t="e">
        <f>Europe!E1537+"n/&gt;!0o="</f>
        <v>#VALUE!</v>
      </c>
    </row>
    <row r="304" spans="6:256" x14ac:dyDescent="0.35">
      <c r="F304" t="e">
        <f>Europe!F1537+"n/&gt;!0o&gt;"</f>
        <v>#VALUE!</v>
      </c>
      <c r="G304" t="e">
        <f>Europe!G1537+"n/&gt;!0o?"</f>
        <v>#VALUE!</v>
      </c>
      <c r="H304" t="e">
        <f>Europe!H1537+"n/&gt;!0o@"</f>
        <v>#VALUE!</v>
      </c>
      <c r="I304" t="e">
        <f>Europe!I1537+"n/&gt;!0oA"</f>
        <v>#VALUE!</v>
      </c>
      <c r="J304" t="e">
        <f>Europe!A1538+"n/&gt;!0oB"</f>
        <v>#VALUE!</v>
      </c>
      <c r="K304" t="e">
        <f>Europe!B1538+"n/&gt;!0oC"</f>
        <v>#VALUE!</v>
      </c>
      <c r="L304" t="e">
        <f>Europe!C1538+"n/&gt;!0oD"</f>
        <v>#VALUE!</v>
      </c>
      <c r="M304" t="e">
        <f>Europe!D1538+"n/&gt;!0oE"</f>
        <v>#VALUE!</v>
      </c>
      <c r="N304" t="e">
        <f>Europe!E1538+"n/&gt;!0oF"</f>
        <v>#VALUE!</v>
      </c>
      <c r="O304" t="e">
        <f>Europe!F1538+"n/&gt;!0oG"</f>
        <v>#VALUE!</v>
      </c>
      <c r="P304" t="e">
        <f>Europe!G1538+"n/&gt;!0oH"</f>
        <v>#VALUE!</v>
      </c>
      <c r="Q304" t="e">
        <f>Europe!H1538+"n/&gt;!0oI"</f>
        <v>#VALUE!</v>
      </c>
      <c r="R304" t="e">
        <f>Europe!I1538+"n/&gt;!0oJ"</f>
        <v>#VALUE!</v>
      </c>
      <c r="S304" t="e">
        <f>Europe!A1539+"n/&gt;!0oK"</f>
        <v>#VALUE!</v>
      </c>
      <c r="T304" t="e">
        <f>Europe!B1539+"n/&gt;!0oL"</f>
        <v>#VALUE!</v>
      </c>
      <c r="U304" t="e">
        <f>Europe!C1539+"n/&gt;!0oM"</f>
        <v>#VALUE!</v>
      </c>
      <c r="V304" t="e">
        <f>Europe!D1539+"n/&gt;!0oN"</f>
        <v>#VALUE!</v>
      </c>
      <c r="W304" t="e">
        <f>Europe!E1539+"n/&gt;!0oO"</f>
        <v>#VALUE!</v>
      </c>
      <c r="X304" t="e">
        <f>Europe!F1539+"n/&gt;!0oP"</f>
        <v>#VALUE!</v>
      </c>
      <c r="Y304" t="e">
        <f>Europe!G1539+"n/&gt;!0oQ"</f>
        <v>#VALUE!</v>
      </c>
      <c r="Z304" t="e">
        <f>Europe!H1539+"n/&gt;!0oR"</f>
        <v>#VALUE!</v>
      </c>
      <c r="AA304" t="e">
        <f>Europe!I1539+"n/&gt;!0oS"</f>
        <v>#VALUE!</v>
      </c>
      <c r="AB304" t="e">
        <f>Europe!A1540+"n/&gt;!0oT"</f>
        <v>#VALUE!</v>
      </c>
      <c r="AC304" t="e">
        <f>Europe!B1540+"n/&gt;!0oU"</f>
        <v>#VALUE!</v>
      </c>
      <c r="AD304" t="e">
        <f>Europe!C1540+"n/&gt;!0oV"</f>
        <v>#VALUE!</v>
      </c>
      <c r="AE304" t="e">
        <f>Europe!D1540+"n/&gt;!0oW"</f>
        <v>#VALUE!</v>
      </c>
      <c r="AF304" t="e">
        <f>Europe!E1540+"n/&gt;!0oX"</f>
        <v>#VALUE!</v>
      </c>
      <c r="AG304" t="e">
        <f>Europe!F1540+"n/&gt;!0oY"</f>
        <v>#VALUE!</v>
      </c>
      <c r="AH304" t="e">
        <f>Europe!G1540+"n/&gt;!0oZ"</f>
        <v>#VALUE!</v>
      </c>
      <c r="AI304" t="e">
        <f>Europe!H1540+"n/&gt;!0o["</f>
        <v>#VALUE!</v>
      </c>
      <c r="AJ304" t="e">
        <f>Europe!I1540+"n/&gt;!0o\"</f>
        <v>#VALUE!</v>
      </c>
      <c r="AK304" t="e">
        <f>Europe!A1541+"n/&gt;!0o]"</f>
        <v>#VALUE!</v>
      </c>
      <c r="AL304" t="e">
        <f>Europe!B1541+"n/&gt;!0o^"</f>
        <v>#VALUE!</v>
      </c>
      <c r="AM304" t="e">
        <f>Europe!C1541+"n/&gt;!0o_"</f>
        <v>#VALUE!</v>
      </c>
      <c r="AN304" t="e">
        <f>Europe!D1541+"n/&gt;!0o`"</f>
        <v>#VALUE!</v>
      </c>
      <c r="AO304" t="e">
        <f>Europe!E1541+"n/&gt;!0oa"</f>
        <v>#VALUE!</v>
      </c>
      <c r="AP304" t="e">
        <f>Europe!F1541+"n/&gt;!0ob"</f>
        <v>#VALUE!</v>
      </c>
      <c r="AQ304" t="e">
        <f>Europe!G1541+"n/&gt;!0oc"</f>
        <v>#VALUE!</v>
      </c>
      <c r="AR304" t="e">
        <f>Europe!H1541+"n/&gt;!0od"</f>
        <v>#VALUE!</v>
      </c>
      <c r="AS304" t="e">
        <f>Europe!I1541+"n/&gt;!0oe"</f>
        <v>#VALUE!</v>
      </c>
      <c r="AT304" t="e">
        <f>Europe!A1542+"n/&gt;!0of"</f>
        <v>#VALUE!</v>
      </c>
      <c r="AU304" t="e">
        <f>Europe!B1542+"n/&gt;!0og"</f>
        <v>#VALUE!</v>
      </c>
      <c r="AV304" t="e">
        <f>Europe!C1542+"n/&gt;!0oh"</f>
        <v>#VALUE!</v>
      </c>
      <c r="AW304" t="e">
        <f>Europe!D1542+"n/&gt;!0oi"</f>
        <v>#VALUE!</v>
      </c>
      <c r="AX304" t="e">
        <f>Europe!E1542+"n/&gt;!0oj"</f>
        <v>#VALUE!</v>
      </c>
      <c r="AY304" t="e">
        <f>Europe!F1542+"n/&gt;!0ok"</f>
        <v>#VALUE!</v>
      </c>
      <c r="AZ304" t="e">
        <f>Europe!G1542+"n/&gt;!0ol"</f>
        <v>#VALUE!</v>
      </c>
      <c r="BA304" t="e">
        <f>Europe!H1542+"n/&gt;!0om"</f>
        <v>#VALUE!</v>
      </c>
      <c r="BB304" t="e">
        <f>Europe!I1542+"n/&gt;!0on"</f>
        <v>#VALUE!</v>
      </c>
      <c r="BC304" t="e">
        <f>Europe!A1543+"n/&gt;!0oo"</f>
        <v>#VALUE!</v>
      </c>
      <c r="BD304" t="e">
        <f>Europe!B1543+"n/&gt;!0op"</f>
        <v>#VALUE!</v>
      </c>
      <c r="BE304" t="e">
        <f>Europe!C1543+"n/&gt;!0oq"</f>
        <v>#VALUE!</v>
      </c>
      <c r="BF304" t="e">
        <f>Europe!D1543+"n/&gt;!0or"</f>
        <v>#VALUE!</v>
      </c>
      <c r="BG304" t="e">
        <f>Europe!E1543+"n/&gt;!0os"</f>
        <v>#VALUE!</v>
      </c>
      <c r="BH304" t="e">
        <f>Europe!F1543+"n/&gt;!0ot"</f>
        <v>#VALUE!</v>
      </c>
      <c r="BI304" t="e">
        <f>Europe!G1543+"n/&gt;!0ou"</f>
        <v>#VALUE!</v>
      </c>
      <c r="BJ304" t="e">
        <f>Europe!H1543+"n/&gt;!0ov"</f>
        <v>#VALUE!</v>
      </c>
      <c r="BK304" t="e">
        <f>Europe!I1543+"n/&gt;!0ow"</f>
        <v>#VALUE!</v>
      </c>
      <c r="BL304" t="e">
        <f>Europe!A1544+"n/&gt;!0ox"</f>
        <v>#VALUE!</v>
      </c>
      <c r="BM304" t="e">
        <f>Europe!B1544+"n/&gt;!0oy"</f>
        <v>#VALUE!</v>
      </c>
      <c r="BN304" t="e">
        <f>Europe!C1544+"n/&gt;!0oz"</f>
        <v>#VALUE!</v>
      </c>
      <c r="BO304" t="e">
        <f>Europe!D1544+"n/&gt;!0o{"</f>
        <v>#VALUE!</v>
      </c>
      <c r="BP304" t="e">
        <f>Europe!E1544+"n/&gt;!0o|"</f>
        <v>#VALUE!</v>
      </c>
      <c r="BQ304" t="e">
        <f>Europe!F1544+"n/&gt;!0o}"</f>
        <v>#VALUE!</v>
      </c>
      <c r="BR304" t="e">
        <f>Europe!G1544+"n/&gt;!0o~"</f>
        <v>#VALUE!</v>
      </c>
      <c r="BS304" t="e">
        <f>Europe!H1544+"n/&gt;!0p#"</f>
        <v>#VALUE!</v>
      </c>
      <c r="BT304" t="e">
        <f>Europe!I1544+"n/&gt;!0p$"</f>
        <v>#VALUE!</v>
      </c>
      <c r="BU304" t="e">
        <f>Europe!A1545+"n/&gt;!0p%"</f>
        <v>#VALUE!</v>
      </c>
      <c r="BV304" t="e">
        <f>Europe!B1545+"n/&gt;!0p&amp;"</f>
        <v>#VALUE!</v>
      </c>
      <c r="BW304" t="e">
        <f>Europe!C1545+"n/&gt;!0p'"</f>
        <v>#VALUE!</v>
      </c>
      <c r="BX304" t="e">
        <f>Europe!D1545+"n/&gt;!0p("</f>
        <v>#VALUE!</v>
      </c>
      <c r="BY304" t="e">
        <f>Europe!E1545+"n/&gt;!0p)"</f>
        <v>#VALUE!</v>
      </c>
      <c r="BZ304" t="e">
        <f>Europe!F1545+"n/&gt;!0p."</f>
        <v>#VALUE!</v>
      </c>
      <c r="CA304" t="e">
        <f>Europe!G1545+"n/&gt;!0p/"</f>
        <v>#VALUE!</v>
      </c>
      <c r="CB304" t="e">
        <f>Europe!H1545+"n/&gt;!0p0"</f>
        <v>#VALUE!</v>
      </c>
      <c r="CC304" t="e">
        <f>Europe!I1545+"n/&gt;!0p1"</f>
        <v>#VALUE!</v>
      </c>
      <c r="CD304" t="e">
        <f>Europe!A1546+"n/&gt;!0p2"</f>
        <v>#VALUE!</v>
      </c>
      <c r="CE304" t="e">
        <f>Europe!B1546+"n/&gt;!0p3"</f>
        <v>#VALUE!</v>
      </c>
      <c r="CF304" t="e">
        <f>Europe!C1546+"n/&gt;!0p4"</f>
        <v>#VALUE!</v>
      </c>
      <c r="CG304" t="e">
        <f>Europe!D1546+"n/&gt;!0p5"</f>
        <v>#VALUE!</v>
      </c>
      <c r="CH304" t="e">
        <f>Europe!E1546+"n/&gt;!0p6"</f>
        <v>#VALUE!</v>
      </c>
      <c r="CI304" t="e">
        <f>Europe!F1546+"n/&gt;!0p7"</f>
        <v>#VALUE!</v>
      </c>
      <c r="CJ304" t="e">
        <f>Europe!G1546+"n/&gt;!0p8"</f>
        <v>#VALUE!</v>
      </c>
      <c r="CK304" t="e">
        <f>Europe!H1546+"n/&gt;!0p9"</f>
        <v>#VALUE!</v>
      </c>
      <c r="CL304" t="e">
        <f>Europe!I1546+"n/&gt;!0p:"</f>
        <v>#VALUE!</v>
      </c>
      <c r="CM304" t="e">
        <f>Europe!A1547+"n/&gt;!0p;"</f>
        <v>#VALUE!</v>
      </c>
      <c r="CN304" t="e">
        <f>Europe!B1547+"n/&gt;!0p&lt;"</f>
        <v>#VALUE!</v>
      </c>
      <c r="CO304" t="e">
        <f>Europe!C1547+"n/&gt;!0p="</f>
        <v>#VALUE!</v>
      </c>
      <c r="CP304" t="e">
        <f>Europe!D1547+"n/&gt;!0p&gt;"</f>
        <v>#VALUE!</v>
      </c>
      <c r="CQ304" t="e">
        <f>Europe!E1547+"n/&gt;!0p?"</f>
        <v>#VALUE!</v>
      </c>
      <c r="CR304" t="e">
        <f>Europe!F1547+"n/&gt;!0p@"</f>
        <v>#VALUE!</v>
      </c>
      <c r="CS304" t="e">
        <f>Europe!G1547+"n/&gt;!0pA"</f>
        <v>#VALUE!</v>
      </c>
      <c r="CT304" t="e">
        <f>Europe!H1547+"n/&gt;!0pB"</f>
        <v>#VALUE!</v>
      </c>
      <c r="CU304" t="e">
        <f>Europe!I1547+"n/&gt;!0pC"</f>
        <v>#VALUE!</v>
      </c>
      <c r="CV304" t="e">
        <f>Europe!A1548+"n/&gt;!0pD"</f>
        <v>#VALUE!</v>
      </c>
      <c r="CW304" t="e">
        <f>Europe!B1548+"n/&gt;!0pE"</f>
        <v>#VALUE!</v>
      </c>
      <c r="CX304" t="e">
        <f>Europe!C1548+"n/&gt;!0pF"</f>
        <v>#VALUE!</v>
      </c>
      <c r="CY304" t="e">
        <f>Europe!D1548+"n/&gt;!0pG"</f>
        <v>#VALUE!</v>
      </c>
      <c r="CZ304" t="e">
        <f>Europe!E1548+"n/&gt;!0pH"</f>
        <v>#VALUE!</v>
      </c>
      <c r="DA304" t="e">
        <f>Europe!F1548+"n/&gt;!0pI"</f>
        <v>#VALUE!</v>
      </c>
      <c r="DB304" t="e">
        <f>Europe!G1548+"n/&gt;!0pJ"</f>
        <v>#VALUE!</v>
      </c>
      <c r="DC304" t="e">
        <f>Europe!H1548+"n/&gt;!0pK"</f>
        <v>#VALUE!</v>
      </c>
      <c r="DD304" t="e">
        <f>Europe!I1548+"n/&gt;!0pL"</f>
        <v>#VALUE!</v>
      </c>
      <c r="DE304" t="e">
        <f>Europe!A1549+"n/&gt;!0pM"</f>
        <v>#VALUE!</v>
      </c>
      <c r="DF304" t="e">
        <f>Europe!B1549+"n/&gt;!0pN"</f>
        <v>#VALUE!</v>
      </c>
      <c r="DG304" t="e">
        <f>Europe!C1549+"n/&gt;!0pO"</f>
        <v>#VALUE!</v>
      </c>
      <c r="DH304" t="e">
        <f>Europe!D1549+"n/&gt;!0pP"</f>
        <v>#VALUE!</v>
      </c>
      <c r="DI304" t="e">
        <f>Europe!E1549+"n/&gt;!0pQ"</f>
        <v>#VALUE!</v>
      </c>
      <c r="DJ304" t="e">
        <f>Europe!F1549+"n/&gt;!0pR"</f>
        <v>#VALUE!</v>
      </c>
      <c r="DK304" t="e">
        <f>Europe!G1549+"n/&gt;!0pS"</f>
        <v>#VALUE!</v>
      </c>
      <c r="DL304" t="e">
        <f>Europe!H1549+"n/&gt;!0pT"</f>
        <v>#VALUE!</v>
      </c>
      <c r="DM304" t="e">
        <f>Europe!I1549+"n/&gt;!0pU"</f>
        <v>#VALUE!</v>
      </c>
      <c r="DN304" t="e">
        <f>Europe!A1550+"n/&gt;!0pV"</f>
        <v>#VALUE!</v>
      </c>
      <c r="DO304" t="e">
        <f>Europe!B1550+"n/&gt;!0pW"</f>
        <v>#VALUE!</v>
      </c>
      <c r="DP304" t="e">
        <f>Europe!C1550+"n/&gt;!0pX"</f>
        <v>#VALUE!</v>
      </c>
      <c r="DQ304" t="e">
        <f>Europe!D1550+"n/&gt;!0pY"</f>
        <v>#VALUE!</v>
      </c>
      <c r="DR304" t="e">
        <f>Europe!E1550+"n/&gt;!0pZ"</f>
        <v>#VALUE!</v>
      </c>
      <c r="DS304" t="e">
        <f>Europe!F1550+"n/&gt;!0p["</f>
        <v>#VALUE!</v>
      </c>
      <c r="DT304" t="e">
        <f>Europe!G1550+"n/&gt;!0p\"</f>
        <v>#VALUE!</v>
      </c>
      <c r="DU304" t="e">
        <f>Europe!H1550+"n/&gt;!0p]"</f>
        <v>#VALUE!</v>
      </c>
      <c r="DV304" t="e">
        <f>Europe!I1550+"n/&gt;!0p^"</f>
        <v>#VALUE!</v>
      </c>
      <c r="DW304" t="e">
        <f>Europe!A1551+"n/&gt;!0p_"</f>
        <v>#VALUE!</v>
      </c>
      <c r="DX304" t="e">
        <f>Europe!B1551+"n/&gt;!0p`"</f>
        <v>#VALUE!</v>
      </c>
      <c r="DY304" t="e">
        <f>Europe!C1551+"n/&gt;!0pa"</f>
        <v>#VALUE!</v>
      </c>
      <c r="DZ304" t="e">
        <f>Europe!D1551+"n/&gt;!0pb"</f>
        <v>#VALUE!</v>
      </c>
      <c r="EA304" t="e">
        <f>Europe!E1551+"n/&gt;!0pc"</f>
        <v>#VALUE!</v>
      </c>
      <c r="EB304" t="e">
        <f>Europe!F1551+"n/&gt;!0pd"</f>
        <v>#VALUE!</v>
      </c>
      <c r="EC304" t="e">
        <f>Europe!G1551+"n/&gt;!0pe"</f>
        <v>#VALUE!</v>
      </c>
      <c r="ED304" t="e">
        <f>Europe!H1551+"n/&gt;!0pf"</f>
        <v>#VALUE!</v>
      </c>
      <c r="EE304" t="e">
        <f>Europe!I1551+"n/&gt;!0pg"</f>
        <v>#VALUE!</v>
      </c>
      <c r="EF304" t="e">
        <f>Europe!A1552+"n/&gt;!0ph"</f>
        <v>#VALUE!</v>
      </c>
      <c r="EG304" t="e">
        <f>Europe!B1552+"n/&gt;!0pi"</f>
        <v>#VALUE!</v>
      </c>
      <c r="EH304" t="e">
        <f>Europe!C1552+"n/&gt;!0pj"</f>
        <v>#VALUE!</v>
      </c>
      <c r="EI304" t="e">
        <f>Europe!D1552+"n/&gt;!0pk"</f>
        <v>#VALUE!</v>
      </c>
      <c r="EJ304" t="e">
        <f>Europe!E1552+"n/&gt;!0pl"</f>
        <v>#VALUE!</v>
      </c>
      <c r="EK304" t="e">
        <f>Europe!F1552+"n/&gt;!0pm"</f>
        <v>#VALUE!</v>
      </c>
      <c r="EL304" t="e">
        <f>Europe!G1552+"n/&gt;!0pn"</f>
        <v>#VALUE!</v>
      </c>
      <c r="EM304" t="e">
        <f>Europe!H1552+"n/&gt;!0po"</f>
        <v>#VALUE!</v>
      </c>
      <c r="EN304" t="e">
        <f>Europe!I1552+"n/&gt;!0pp"</f>
        <v>#VALUE!</v>
      </c>
      <c r="EO304" t="e">
        <f>Europe!A1553+"n/&gt;!0pq"</f>
        <v>#VALUE!</v>
      </c>
      <c r="EP304" t="e">
        <f>Europe!B1553+"n/&gt;!0pr"</f>
        <v>#VALUE!</v>
      </c>
      <c r="EQ304" t="e">
        <f>Europe!C1553+"n/&gt;!0ps"</f>
        <v>#VALUE!</v>
      </c>
      <c r="ER304" t="e">
        <f>Europe!D1553+"n/&gt;!0pt"</f>
        <v>#VALUE!</v>
      </c>
      <c r="ES304" t="e">
        <f>Europe!E1553+"n/&gt;!0pu"</f>
        <v>#VALUE!</v>
      </c>
      <c r="ET304" t="e">
        <f>Europe!F1553+"n/&gt;!0pv"</f>
        <v>#VALUE!</v>
      </c>
      <c r="EU304" t="e">
        <f>Europe!G1553+"n/&gt;!0pw"</f>
        <v>#VALUE!</v>
      </c>
      <c r="EV304" t="e">
        <f>Europe!H1553+"n/&gt;!0px"</f>
        <v>#VALUE!</v>
      </c>
      <c r="EW304" t="e">
        <f>Europe!I1553+"n/&gt;!0py"</f>
        <v>#VALUE!</v>
      </c>
      <c r="EX304" t="e">
        <f>Europe!A1554+"n/&gt;!0pz"</f>
        <v>#VALUE!</v>
      </c>
      <c r="EY304" t="e">
        <f>Europe!B1554+"n/&gt;!0p{"</f>
        <v>#VALUE!</v>
      </c>
      <c r="EZ304" t="e">
        <f>Europe!C1554+"n/&gt;!0p|"</f>
        <v>#VALUE!</v>
      </c>
      <c r="FA304" t="e">
        <f>Europe!D1554+"n/&gt;!0p}"</f>
        <v>#VALUE!</v>
      </c>
      <c r="FB304" t="e">
        <f>Europe!E1554+"n/&gt;!0p~"</f>
        <v>#VALUE!</v>
      </c>
      <c r="FC304" t="e">
        <f>Europe!F1554+"n/&gt;!0q#"</f>
        <v>#VALUE!</v>
      </c>
      <c r="FD304" t="e">
        <f>Europe!G1554+"n/&gt;!0q$"</f>
        <v>#VALUE!</v>
      </c>
      <c r="FE304" t="e">
        <f>Europe!H1554+"n/&gt;!0q%"</f>
        <v>#VALUE!</v>
      </c>
      <c r="FF304" t="e">
        <f>Europe!I1554+"n/&gt;!0q&amp;"</f>
        <v>#VALUE!</v>
      </c>
      <c r="FG304" t="e">
        <f>Europe!A1555+"n/&gt;!0q'"</f>
        <v>#VALUE!</v>
      </c>
      <c r="FH304" t="e">
        <f>Europe!B1555+"n/&gt;!0q("</f>
        <v>#VALUE!</v>
      </c>
      <c r="FI304" t="e">
        <f>Europe!C1555+"n/&gt;!0q)"</f>
        <v>#VALUE!</v>
      </c>
      <c r="FJ304" t="e">
        <f>Europe!D1555+"n/&gt;!0q."</f>
        <v>#VALUE!</v>
      </c>
      <c r="FK304" t="e">
        <f>Europe!E1555+"n/&gt;!0q/"</f>
        <v>#VALUE!</v>
      </c>
      <c r="FL304" t="e">
        <f>Europe!F1555+"n/&gt;!0q0"</f>
        <v>#VALUE!</v>
      </c>
      <c r="FM304" t="e">
        <f>Europe!G1555+"n/&gt;!0q1"</f>
        <v>#VALUE!</v>
      </c>
      <c r="FN304" t="e">
        <f>Europe!H1555+"n/&gt;!0q2"</f>
        <v>#VALUE!</v>
      </c>
      <c r="FO304" t="e">
        <f>Europe!I1555+"n/&gt;!0q3"</f>
        <v>#VALUE!</v>
      </c>
      <c r="FP304" t="e">
        <f>Europe!A1556+"n/&gt;!0q4"</f>
        <v>#VALUE!</v>
      </c>
      <c r="FQ304" t="e">
        <f>Europe!B1556+"n/&gt;!0q5"</f>
        <v>#VALUE!</v>
      </c>
      <c r="FR304" t="e">
        <f>Europe!C1556+"n/&gt;!0q6"</f>
        <v>#VALUE!</v>
      </c>
      <c r="FS304" t="e">
        <f>Europe!D1556+"n/&gt;!0q7"</f>
        <v>#VALUE!</v>
      </c>
      <c r="FT304" t="e">
        <f>Europe!E1556+"n/&gt;!0q8"</f>
        <v>#VALUE!</v>
      </c>
      <c r="FU304" t="e">
        <f>Europe!F1556+"n/&gt;!0q9"</f>
        <v>#VALUE!</v>
      </c>
      <c r="FV304" t="e">
        <f>Europe!G1556+"n/&gt;!0q:"</f>
        <v>#VALUE!</v>
      </c>
      <c r="FW304" t="e">
        <f>Europe!H1556+"n/&gt;!0q;"</f>
        <v>#VALUE!</v>
      </c>
      <c r="FX304" t="e">
        <f>Europe!I1556+"n/&gt;!0q&lt;"</f>
        <v>#VALUE!</v>
      </c>
      <c r="FY304" t="e">
        <f>Europe!A1557+"n/&gt;!0q="</f>
        <v>#VALUE!</v>
      </c>
      <c r="FZ304" t="e">
        <f>Europe!B1557+"n/&gt;!0q&gt;"</f>
        <v>#VALUE!</v>
      </c>
      <c r="GA304" t="e">
        <f>Europe!C1557+"n/&gt;!0q?"</f>
        <v>#VALUE!</v>
      </c>
      <c r="GB304" t="e">
        <f>Europe!D1557+"n/&gt;!0q@"</f>
        <v>#VALUE!</v>
      </c>
      <c r="GC304" t="e">
        <f>Europe!E1557+"n/&gt;!0qA"</f>
        <v>#VALUE!</v>
      </c>
      <c r="GD304" t="e">
        <f>Europe!F1557+"n/&gt;!0qB"</f>
        <v>#VALUE!</v>
      </c>
      <c r="GE304" t="e">
        <f>Europe!G1557+"n/&gt;!0qC"</f>
        <v>#VALUE!</v>
      </c>
      <c r="GF304" t="e">
        <f>Europe!H1557+"n/&gt;!0qD"</f>
        <v>#VALUE!</v>
      </c>
      <c r="GG304" t="e">
        <f>Europe!I1557+"n/&gt;!0qE"</f>
        <v>#VALUE!</v>
      </c>
      <c r="GH304" t="e">
        <f>Europe!A1558+"n/&gt;!0qF"</f>
        <v>#VALUE!</v>
      </c>
      <c r="GI304" t="e">
        <f>Europe!B1558+"n/&gt;!0qG"</f>
        <v>#VALUE!</v>
      </c>
      <c r="GJ304" t="e">
        <f>Europe!C1558+"n/&gt;!0qH"</f>
        <v>#VALUE!</v>
      </c>
      <c r="GK304" t="e">
        <f>Europe!D1558+"n/&gt;!0qI"</f>
        <v>#VALUE!</v>
      </c>
      <c r="GL304" t="e">
        <f>Europe!E1558+"n/&gt;!0qJ"</f>
        <v>#VALUE!</v>
      </c>
      <c r="GM304" t="e">
        <f>Europe!F1558+"n/&gt;!0qK"</f>
        <v>#VALUE!</v>
      </c>
      <c r="GN304" t="e">
        <f>Europe!G1558+"n/&gt;!0qL"</f>
        <v>#VALUE!</v>
      </c>
      <c r="GO304" t="e">
        <f>Europe!H1558+"n/&gt;!0qM"</f>
        <v>#VALUE!</v>
      </c>
      <c r="GP304" t="e">
        <f>Europe!I1558+"n/&gt;!0qN"</f>
        <v>#VALUE!</v>
      </c>
      <c r="GQ304" t="e">
        <f>Europe!A1559+"n/&gt;!0qO"</f>
        <v>#VALUE!</v>
      </c>
      <c r="GR304" t="e">
        <f>Europe!B1559+"n/&gt;!0qP"</f>
        <v>#VALUE!</v>
      </c>
      <c r="GS304" t="e">
        <f>Europe!C1559+"n/&gt;!0qQ"</f>
        <v>#VALUE!</v>
      </c>
      <c r="GT304" t="e">
        <f>Europe!D1559+"n/&gt;!0qR"</f>
        <v>#VALUE!</v>
      </c>
      <c r="GU304" t="e">
        <f>Europe!E1559+"n/&gt;!0qS"</f>
        <v>#VALUE!</v>
      </c>
      <c r="GV304" t="e">
        <f>Europe!F1559+"n/&gt;!0qT"</f>
        <v>#VALUE!</v>
      </c>
      <c r="GW304" t="e">
        <f>Europe!G1559+"n/&gt;!0qU"</f>
        <v>#VALUE!</v>
      </c>
      <c r="GX304" t="e">
        <f>Europe!H1559+"n/&gt;!0qV"</f>
        <v>#VALUE!</v>
      </c>
      <c r="GY304" t="e">
        <f>Europe!I1559+"n/&gt;!0qW"</f>
        <v>#VALUE!</v>
      </c>
      <c r="GZ304" t="e">
        <f>Europe!A1560+"n/&gt;!0qX"</f>
        <v>#VALUE!</v>
      </c>
      <c r="HA304" t="e">
        <f>Europe!B1560+"n/&gt;!0qY"</f>
        <v>#VALUE!</v>
      </c>
      <c r="HB304" t="e">
        <f>Europe!C1560+"n/&gt;!0qZ"</f>
        <v>#VALUE!</v>
      </c>
      <c r="HC304" t="e">
        <f>Europe!D1560+"n/&gt;!0q["</f>
        <v>#VALUE!</v>
      </c>
      <c r="HD304" t="e">
        <f>Europe!E1560+"n/&gt;!0q\"</f>
        <v>#VALUE!</v>
      </c>
      <c r="HE304" t="e">
        <f>Europe!F1560+"n/&gt;!0q]"</f>
        <v>#VALUE!</v>
      </c>
      <c r="HF304" t="e">
        <f>Europe!G1560+"n/&gt;!0q^"</f>
        <v>#VALUE!</v>
      </c>
      <c r="HG304" t="e">
        <f>Europe!H1560+"n/&gt;!0q_"</f>
        <v>#VALUE!</v>
      </c>
      <c r="HH304" t="e">
        <f>Europe!I1560+"n/&gt;!0q`"</f>
        <v>#VALUE!</v>
      </c>
      <c r="HI304" t="e">
        <f>Europe!A1561+"n/&gt;!0qa"</f>
        <v>#VALUE!</v>
      </c>
      <c r="HJ304" t="e">
        <f>Europe!B1561+"n/&gt;!0qb"</f>
        <v>#VALUE!</v>
      </c>
      <c r="HK304" t="e">
        <f>Europe!C1561+"n/&gt;!0qc"</f>
        <v>#VALUE!</v>
      </c>
      <c r="HL304" t="e">
        <f>Europe!D1561+"n/&gt;!0qd"</f>
        <v>#VALUE!</v>
      </c>
      <c r="HM304" t="e">
        <f>Europe!E1561+"n/&gt;!0qe"</f>
        <v>#VALUE!</v>
      </c>
      <c r="HN304" t="e">
        <f>Europe!F1561+"n/&gt;!0qf"</f>
        <v>#VALUE!</v>
      </c>
      <c r="HO304" t="e">
        <f>Europe!G1561+"n/&gt;!0qg"</f>
        <v>#VALUE!</v>
      </c>
      <c r="HP304" t="e">
        <f>Europe!H1561+"n/&gt;!0qh"</f>
        <v>#VALUE!</v>
      </c>
      <c r="HQ304" t="e">
        <f>Europe!I1561+"n/&gt;!0qi"</f>
        <v>#VALUE!</v>
      </c>
      <c r="HR304" t="e">
        <f>Europe!A1562+"n/&gt;!0qj"</f>
        <v>#VALUE!</v>
      </c>
      <c r="HS304" t="e">
        <f>Europe!B1562+"n/&gt;!0qk"</f>
        <v>#VALUE!</v>
      </c>
      <c r="HT304" t="e">
        <f>Europe!C1562+"n/&gt;!0ql"</f>
        <v>#VALUE!</v>
      </c>
      <c r="HU304" t="e">
        <f>Europe!D1562+"n/&gt;!0qm"</f>
        <v>#VALUE!</v>
      </c>
      <c r="HV304" t="e">
        <f>Europe!E1562+"n/&gt;!0qn"</f>
        <v>#VALUE!</v>
      </c>
      <c r="HW304" t="e">
        <f>Europe!F1562+"n/&gt;!0qo"</f>
        <v>#VALUE!</v>
      </c>
      <c r="HX304" t="e">
        <f>Europe!G1562+"n/&gt;!0qp"</f>
        <v>#VALUE!</v>
      </c>
      <c r="HY304" t="e">
        <f>Europe!H1562+"n/&gt;!0qq"</f>
        <v>#VALUE!</v>
      </c>
      <c r="HZ304" t="e">
        <f>Europe!I1562+"n/&gt;!0qr"</f>
        <v>#VALUE!</v>
      </c>
      <c r="IA304" t="e">
        <f>Europe!A1563+"n/&gt;!0qs"</f>
        <v>#VALUE!</v>
      </c>
      <c r="IB304" t="e">
        <f>Europe!B1563+"n/&gt;!0qt"</f>
        <v>#VALUE!</v>
      </c>
      <c r="IC304" t="e">
        <f>Europe!C1563+"n/&gt;!0qu"</f>
        <v>#VALUE!</v>
      </c>
      <c r="ID304" t="e">
        <f>Europe!D1563+"n/&gt;!0qv"</f>
        <v>#VALUE!</v>
      </c>
      <c r="IE304" t="e">
        <f>Europe!E1563+"n/&gt;!0qw"</f>
        <v>#VALUE!</v>
      </c>
      <c r="IF304" t="e">
        <f>Europe!F1563+"n/&gt;!0qx"</f>
        <v>#VALUE!</v>
      </c>
      <c r="IG304" t="e">
        <f>Europe!G1563+"n/&gt;!0qy"</f>
        <v>#VALUE!</v>
      </c>
      <c r="IH304" t="e">
        <f>Europe!H1563+"n/&gt;!0qz"</f>
        <v>#VALUE!</v>
      </c>
      <c r="II304" t="e">
        <f>Europe!I1563+"n/&gt;!0q{"</f>
        <v>#VALUE!</v>
      </c>
      <c r="IJ304" t="e">
        <f>Europe!A1564+"n/&gt;!0q|"</f>
        <v>#VALUE!</v>
      </c>
      <c r="IK304" t="e">
        <f>Europe!B1564+"n/&gt;!0q}"</f>
        <v>#VALUE!</v>
      </c>
      <c r="IL304" t="e">
        <f>Europe!C1564+"n/&gt;!0q~"</f>
        <v>#VALUE!</v>
      </c>
      <c r="IM304" t="e">
        <f>Europe!D1564+"n/&gt;!0r#"</f>
        <v>#VALUE!</v>
      </c>
      <c r="IN304" t="e">
        <f>Europe!E1564+"n/&gt;!0r$"</f>
        <v>#VALUE!</v>
      </c>
      <c r="IO304" t="e">
        <f>Europe!F1564+"n/&gt;!0r%"</f>
        <v>#VALUE!</v>
      </c>
      <c r="IP304" t="e">
        <f>Europe!G1564+"n/&gt;!0r&amp;"</f>
        <v>#VALUE!</v>
      </c>
      <c r="IQ304" t="e">
        <f>Europe!H1564+"n/&gt;!0r'"</f>
        <v>#VALUE!</v>
      </c>
      <c r="IR304" t="e">
        <f>Europe!I1564+"n/&gt;!0r("</f>
        <v>#VALUE!</v>
      </c>
      <c r="IS304" t="e">
        <f>Europe!A1565+"n/&gt;!0r)"</f>
        <v>#VALUE!</v>
      </c>
      <c r="IT304" t="e">
        <f>Europe!B1565+"n/&gt;!0r."</f>
        <v>#VALUE!</v>
      </c>
      <c r="IU304" t="e">
        <f>Europe!C1565+"n/&gt;!0r/"</f>
        <v>#VALUE!</v>
      </c>
      <c r="IV304" t="e">
        <f>Europe!D1565+"n/&gt;!0r0"</f>
        <v>#VALUE!</v>
      </c>
    </row>
    <row r="305" spans="6:256" x14ac:dyDescent="0.35">
      <c r="F305" t="e">
        <f>Europe!E1565+"n/&gt;!0r1"</f>
        <v>#VALUE!</v>
      </c>
      <c r="G305" t="e">
        <f>Europe!F1565+"n/&gt;!0r2"</f>
        <v>#VALUE!</v>
      </c>
      <c r="H305" t="e">
        <f>Europe!G1565+"n/&gt;!0r3"</f>
        <v>#VALUE!</v>
      </c>
      <c r="I305" t="e">
        <f>Europe!H1565+"n/&gt;!0r4"</f>
        <v>#VALUE!</v>
      </c>
      <c r="J305" t="e">
        <f>Europe!I1565+"n/&gt;!0r5"</f>
        <v>#VALUE!</v>
      </c>
      <c r="K305" t="e">
        <f>Europe!A1566+"n/&gt;!0r6"</f>
        <v>#VALUE!</v>
      </c>
      <c r="L305" t="e">
        <f>Europe!B1566+"n/&gt;!0r7"</f>
        <v>#VALUE!</v>
      </c>
      <c r="M305" t="e">
        <f>Europe!C1566+"n/&gt;!0r8"</f>
        <v>#VALUE!</v>
      </c>
      <c r="N305" t="e">
        <f>Europe!D1566+"n/&gt;!0r9"</f>
        <v>#VALUE!</v>
      </c>
      <c r="O305" t="e">
        <f>Europe!E1566+"n/&gt;!0r:"</f>
        <v>#VALUE!</v>
      </c>
      <c r="P305" t="e">
        <f>Europe!F1566+"n/&gt;!0r;"</f>
        <v>#VALUE!</v>
      </c>
      <c r="Q305" t="e">
        <f>Europe!G1566+"n/&gt;!0r&lt;"</f>
        <v>#VALUE!</v>
      </c>
      <c r="R305" t="e">
        <f>Europe!H1566+"n/&gt;!0r="</f>
        <v>#VALUE!</v>
      </c>
      <c r="S305" t="e">
        <f>Europe!I1566+"n/&gt;!0r&gt;"</f>
        <v>#VALUE!</v>
      </c>
      <c r="T305" t="e">
        <f>Europe!A1567+"n/&gt;!0r?"</f>
        <v>#VALUE!</v>
      </c>
      <c r="U305" t="e">
        <f>Europe!B1567+"n/&gt;!0r@"</f>
        <v>#VALUE!</v>
      </c>
      <c r="V305" t="e">
        <f>Europe!C1567+"n/&gt;!0rA"</f>
        <v>#VALUE!</v>
      </c>
      <c r="W305" t="e">
        <f>Europe!D1567+"n/&gt;!0rB"</f>
        <v>#VALUE!</v>
      </c>
      <c r="X305" t="e">
        <f>Europe!E1567+"n/&gt;!0rC"</f>
        <v>#VALUE!</v>
      </c>
      <c r="Y305" t="e">
        <f>Europe!F1567+"n/&gt;!0rD"</f>
        <v>#VALUE!</v>
      </c>
      <c r="Z305" t="e">
        <f>Europe!G1567+"n/&gt;!0rE"</f>
        <v>#VALUE!</v>
      </c>
      <c r="AA305" t="e">
        <f>Europe!H1567+"n/&gt;!0rF"</f>
        <v>#VALUE!</v>
      </c>
      <c r="AB305" t="e">
        <f>Europe!I1567+"n/&gt;!0rG"</f>
        <v>#VALUE!</v>
      </c>
      <c r="AC305" t="e">
        <f>Europe!A1568+"n/&gt;!0rH"</f>
        <v>#VALUE!</v>
      </c>
      <c r="AD305" t="e">
        <f>Europe!B1568+"n/&gt;!0rI"</f>
        <v>#VALUE!</v>
      </c>
      <c r="AE305" t="e">
        <f>Europe!C1568+"n/&gt;!0rJ"</f>
        <v>#VALUE!</v>
      </c>
      <c r="AF305" t="e">
        <f>Europe!D1568+"n/&gt;!0rK"</f>
        <v>#VALUE!</v>
      </c>
      <c r="AG305" t="e">
        <f>Europe!E1568+"n/&gt;!0rL"</f>
        <v>#VALUE!</v>
      </c>
      <c r="AH305" t="e">
        <f>Europe!F1568+"n/&gt;!0rM"</f>
        <v>#VALUE!</v>
      </c>
      <c r="AI305" t="e">
        <f>Europe!G1568+"n/&gt;!0rN"</f>
        <v>#VALUE!</v>
      </c>
      <c r="AJ305" t="e">
        <f>Europe!H1568+"n/&gt;!0rO"</f>
        <v>#VALUE!</v>
      </c>
      <c r="AK305" t="e">
        <f>Europe!I1568+"n/&gt;!0rP"</f>
        <v>#VALUE!</v>
      </c>
      <c r="AL305" t="e">
        <f>Europe!A1569+"n/&gt;!0rQ"</f>
        <v>#VALUE!</v>
      </c>
      <c r="AM305" t="e">
        <f>Europe!B1569+"n/&gt;!0rR"</f>
        <v>#VALUE!</v>
      </c>
      <c r="AN305" t="e">
        <f>Europe!C1569+"n/&gt;!0rS"</f>
        <v>#VALUE!</v>
      </c>
      <c r="AO305" t="e">
        <f>Europe!D1569+"n/&gt;!0rT"</f>
        <v>#VALUE!</v>
      </c>
      <c r="AP305" t="e">
        <f>Europe!E1569+"n/&gt;!0rU"</f>
        <v>#VALUE!</v>
      </c>
      <c r="AQ305" t="e">
        <f>Europe!F1569+"n/&gt;!0rV"</f>
        <v>#VALUE!</v>
      </c>
      <c r="AR305" t="e">
        <f>Europe!G1569+"n/&gt;!0rW"</f>
        <v>#VALUE!</v>
      </c>
      <c r="AS305" t="e">
        <f>Europe!H1569+"n/&gt;!0rX"</f>
        <v>#VALUE!</v>
      </c>
      <c r="AT305" t="e">
        <f>Europe!I1569+"n/&gt;!0rY"</f>
        <v>#VALUE!</v>
      </c>
      <c r="AU305" t="e">
        <f>Europe!A1570+"n/&gt;!0rZ"</f>
        <v>#VALUE!</v>
      </c>
      <c r="AV305" t="e">
        <f>Europe!B1570+"n/&gt;!0r["</f>
        <v>#VALUE!</v>
      </c>
      <c r="AW305" t="e">
        <f>Europe!C1570+"n/&gt;!0r\"</f>
        <v>#VALUE!</v>
      </c>
      <c r="AX305" t="e">
        <f>Europe!D1570+"n/&gt;!0r]"</f>
        <v>#VALUE!</v>
      </c>
      <c r="AY305" t="e">
        <f>Europe!E1570+"n/&gt;!0r^"</f>
        <v>#VALUE!</v>
      </c>
      <c r="AZ305" t="e">
        <f>Europe!F1570+"n/&gt;!0r_"</f>
        <v>#VALUE!</v>
      </c>
      <c r="BA305" t="e">
        <f>Europe!G1570+"n/&gt;!0r`"</f>
        <v>#VALUE!</v>
      </c>
      <c r="BB305" t="e">
        <f>Europe!H1570+"n/&gt;!0ra"</f>
        <v>#VALUE!</v>
      </c>
      <c r="BC305" t="e">
        <f>Europe!I1570+"n/&gt;!0rb"</f>
        <v>#VALUE!</v>
      </c>
      <c r="BD305" t="e">
        <f>Europe!A1571+"n/&gt;!0rc"</f>
        <v>#VALUE!</v>
      </c>
      <c r="BE305" t="e">
        <f>Europe!B1571+"n/&gt;!0rd"</f>
        <v>#VALUE!</v>
      </c>
      <c r="BF305" t="e">
        <f>Europe!C1571+"n/&gt;!0re"</f>
        <v>#VALUE!</v>
      </c>
      <c r="BG305" t="e">
        <f>Europe!D1571+"n/&gt;!0rf"</f>
        <v>#VALUE!</v>
      </c>
      <c r="BH305" t="e">
        <f>Europe!E1571+"n/&gt;!0rg"</f>
        <v>#VALUE!</v>
      </c>
      <c r="BI305" t="e">
        <f>Europe!F1571+"n/&gt;!0rh"</f>
        <v>#VALUE!</v>
      </c>
      <c r="BJ305" t="e">
        <f>Europe!G1571+"n/&gt;!0ri"</f>
        <v>#VALUE!</v>
      </c>
      <c r="BK305" t="e">
        <f>Europe!H1571+"n/&gt;!0rj"</f>
        <v>#VALUE!</v>
      </c>
      <c r="BL305" t="e">
        <f>Europe!I1571+"n/&gt;!0rk"</f>
        <v>#VALUE!</v>
      </c>
      <c r="BM305" t="e">
        <f>Europe!A1572+"n/&gt;!0rl"</f>
        <v>#VALUE!</v>
      </c>
      <c r="BN305" t="e">
        <f>Europe!B1572+"n/&gt;!0rm"</f>
        <v>#VALUE!</v>
      </c>
      <c r="BO305" t="e">
        <f>Europe!C1572+"n/&gt;!0rn"</f>
        <v>#VALUE!</v>
      </c>
      <c r="BP305" t="e">
        <f>Europe!D1572+"n/&gt;!0ro"</f>
        <v>#VALUE!</v>
      </c>
      <c r="BQ305" t="e">
        <f>Europe!E1572+"n/&gt;!0rp"</f>
        <v>#VALUE!</v>
      </c>
      <c r="BR305" t="e">
        <f>Europe!F1572+"n/&gt;!0rq"</f>
        <v>#VALUE!</v>
      </c>
      <c r="BS305" t="e">
        <f>Europe!G1572+"n/&gt;!0rr"</f>
        <v>#VALUE!</v>
      </c>
      <c r="BT305" t="e">
        <f>Europe!H1572+"n/&gt;!0rs"</f>
        <v>#VALUE!</v>
      </c>
      <c r="BU305" t="e">
        <f>Europe!I1572+"n/&gt;!0rt"</f>
        <v>#VALUE!</v>
      </c>
      <c r="BV305" t="e">
        <f>Europe!A1573+"n/&gt;!0ru"</f>
        <v>#VALUE!</v>
      </c>
      <c r="BW305" t="e">
        <f>Europe!B1573+"n/&gt;!0rv"</f>
        <v>#VALUE!</v>
      </c>
      <c r="BX305" t="e">
        <f>Europe!C1573+"n/&gt;!0rw"</f>
        <v>#VALUE!</v>
      </c>
      <c r="BY305" t="e">
        <f>Europe!D1573+"n/&gt;!0rx"</f>
        <v>#VALUE!</v>
      </c>
      <c r="BZ305" t="e">
        <f>Europe!E1573+"n/&gt;!0ry"</f>
        <v>#VALUE!</v>
      </c>
      <c r="CA305" t="e">
        <f>Europe!F1573+"n/&gt;!0rz"</f>
        <v>#VALUE!</v>
      </c>
      <c r="CB305" t="e">
        <f>Europe!G1573+"n/&gt;!0r{"</f>
        <v>#VALUE!</v>
      </c>
      <c r="CC305" t="e">
        <f>Europe!H1573+"n/&gt;!0r|"</f>
        <v>#VALUE!</v>
      </c>
      <c r="CD305" t="e">
        <f>Europe!I1573+"n/&gt;!0r}"</f>
        <v>#VALUE!</v>
      </c>
      <c r="CE305" t="e">
        <f>Europe!A1574+"n/&gt;!0r~"</f>
        <v>#VALUE!</v>
      </c>
      <c r="CF305" t="e">
        <f>Europe!B1574+"n/&gt;!0s#"</f>
        <v>#VALUE!</v>
      </c>
      <c r="CG305" t="e">
        <f>Europe!C1574+"n/&gt;!0s$"</f>
        <v>#VALUE!</v>
      </c>
      <c r="CH305" t="e">
        <f>Europe!D1574+"n/&gt;!0s%"</f>
        <v>#VALUE!</v>
      </c>
      <c r="CI305" t="e">
        <f>Europe!E1574+"n/&gt;!0s&amp;"</f>
        <v>#VALUE!</v>
      </c>
      <c r="CJ305" t="e">
        <f>Europe!F1574+"n/&gt;!0s'"</f>
        <v>#VALUE!</v>
      </c>
      <c r="CK305" t="e">
        <f>Europe!G1574+"n/&gt;!0s("</f>
        <v>#VALUE!</v>
      </c>
      <c r="CL305" t="e">
        <f>Europe!H1574+"n/&gt;!0s)"</f>
        <v>#VALUE!</v>
      </c>
      <c r="CM305" t="e">
        <f>Europe!I1574+"n/&gt;!0s."</f>
        <v>#VALUE!</v>
      </c>
      <c r="CN305" t="e">
        <f>Europe!A1575+"n/&gt;!0s/"</f>
        <v>#VALUE!</v>
      </c>
      <c r="CO305" t="e">
        <f>Europe!B1575+"n/&gt;!0s0"</f>
        <v>#VALUE!</v>
      </c>
      <c r="CP305" t="e">
        <f>Europe!C1575+"n/&gt;!0s1"</f>
        <v>#VALUE!</v>
      </c>
      <c r="CQ305" t="e">
        <f>Europe!D1575+"n/&gt;!0s2"</f>
        <v>#VALUE!</v>
      </c>
      <c r="CR305" t="e">
        <f>Europe!E1575+"n/&gt;!0s3"</f>
        <v>#VALUE!</v>
      </c>
      <c r="CS305" t="e">
        <f>Europe!F1575+"n/&gt;!0s4"</f>
        <v>#VALUE!</v>
      </c>
      <c r="CT305" t="e">
        <f>Europe!G1575+"n/&gt;!0s5"</f>
        <v>#VALUE!</v>
      </c>
      <c r="CU305" t="e">
        <f>Europe!H1575+"n/&gt;!0s6"</f>
        <v>#VALUE!</v>
      </c>
      <c r="CV305" t="e">
        <f>Europe!I1575+"n/&gt;!0s7"</f>
        <v>#VALUE!</v>
      </c>
      <c r="CW305" t="e">
        <f>Europe!A1576+"n/&gt;!0s8"</f>
        <v>#VALUE!</v>
      </c>
      <c r="CX305" t="e">
        <f>Europe!B1576+"n/&gt;!0s9"</f>
        <v>#VALUE!</v>
      </c>
      <c r="CY305" t="e">
        <f>Europe!C1576+"n/&gt;!0s:"</f>
        <v>#VALUE!</v>
      </c>
      <c r="CZ305" t="e">
        <f>Europe!D1576+"n/&gt;!0s;"</f>
        <v>#VALUE!</v>
      </c>
      <c r="DA305" t="e">
        <f>Europe!E1576+"n/&gt;!0s&lt;"</f>
        <v>#VALUE!</v>
      </c>
      <c r="DB305" t="e">
        <f>Europe!F1576+"n/&gt;!0s="</f>
        <v>#VALUE!</v>
      </c>
      <c r="DC305" t="e">
        <f>Europe!G1576+"n/&gt;!0s&gt;"</f>
        <v>#VALUE!</v>
      </c>
      <c r="DD305" t="e">
        <f>Europe!H1576+"n/&gt;!0s?"</f>
        <v>#VALUE!</v>
      </c>
      <c r="DE305" t="e">
        <f>Europe!I1576+"n/&gt;!0s@"</f>
        <v>#VALUE!</v>
      </c>
      <c r="DF305" t="e">
        <f>Europe!A1577+"n/&gt;!0sA"</f>
        <v>#VALUE!</v>
      </c>
      <c r="DG305" t="e">
        <f>Europe!B1577+"n/&gt;!0sB"</f>
        <v>#VALUE!</v>
      </c>
      <c r="DH305" t="e">
        <f>Europe!C1577+"n/&gt;!0sC"</f>
        <v>#VALUE!</v>
      </c>
      <c r="DI305" t="e">
        <f>Europe!D1577+"n/&gt;!0sD"</f>
        <v>#VALUE!</v>
      </c>
      <c r="DJ305" t="e">
        <f>Europe!E1577+"n/&gt;!0sE"</f>
        <v>#VALUE!</v>
      </c>
      <c r="DK305" t="e">
        <f>Europe!F1577+"n/&gt;!0sF"</f>
        <v>#VALUE!</v>
      </c>
      <c r="DL305" t="e">
        <f>Europe!G1577+"n/&gt;!0sG"</f>
        <v>#VALUE!</v>
      </c>
      <c r="DM305" t="e">
        <f>Europe!H1577+"n/&gt;!0sH"</f>
        <v>#VALUE!</v>
      </c>
      <c r="DN305" t="e">
        <f>Europe!I1577+"n/&gt;!0sI"</f>
        <v>#VALUE!</v>
      </c>
      <c r="DO305" t="e">
        <f>Europe!A1578+"n/&gt;!0sJ"</f>
        <v>#VALUE!</v>
      </c>
      <c r="DP305" t="e">
        <f>Europe!B1578+"n/&gt;!0sK"</f>
        <v>#VALUE!</v>
      </c>
      <c r="DQ305" t="e">
        <f>Europe!C1578+"n/&gt;!0sL"</f>
        <v>#VALUE!</v>
      </c>
      <c r="DR305" t="e">
        <f>Europe!D1578+"n/&gt;!0sM"</f>
        <v>#VALUE!</v>
      </c>
      <c r="DS305" t="e">
        <f>Europe!E1578+"n/&gt;!0sN"</f>
        <v>#VALUE!</v>
      </c>
      <c r="DT305" t="e">
        <f>Europe!F1578+"n/&gt;!0sO"</f>
        <v>#VALUE!</v>
      </c>
      <c r="DU305" t="e">
        <f>Europe!G1578+"n/&gt;!0sP"</f>
        <v>#VALUE!</v>
      </c>
      <c r="DV305" t="e">
        <f>Europe!H1578+"n/&gt;!0sQ"</f>
        <v>#VALUE!</v>
      </c>
      <c r="DW305" t="e">
        <f>Europe!I1578+"n/&gt;!0sR"</f>
        <v>#VALUE!</v>
      </c>
      <c r="DX305" t="e">
        <f>Europe!A1579+"n/&gt;!0sS"</f>
        <v>#VALUE!</v>
      </c>
      <c r="DY305" t="e">
        <f>Europe!B1579+"n/&gt;!0sT"</f>
        <v>#VALUE!</v>
      </c>
      <c r="DZ305" t="e">
        <f>Europe!C1579+"n/&gt;!0sU"</f>
        <v>#VALUE!</v>
      </c>
      <c r="EA305" t="e">
        <f>Europe!D1579+"n/&gt;!0sV"</f>
        <v>#VALUE!</v>
      </c>
      <c r="EB305" t="e">
        <f>Europe!E1579+"n/&gt;!0sW"</f>
        <v>#VALUE!</v>
      </c>
      <c r="EC305" t="e">
        <f>Europe!F1579+"n/&gt;!0sX"</f>
        <v>#VALUE!</v>
      </c>
      <c r="ED305" t="e">
        <f>Europe!G1579+"n/&gt;!0sY"</f>
        <v>#VALUE!</v>
      </c>
      <c r="EE305" t="e">
        <f>Europe!H1579+"n/&gt;!0sZ"</f>
        <v>#VALUE!</v>
      </c>
      <c r="EF305" t="e">
        <f>Europe!I1579+"n/&gt;!0s["</f>
        <v>#VALUE!</v>
      </c>
      <c r="EG305" t="e">
        <f>Europe!A1580+"n/&gt;!0s\"</f>
        <v>#VALUE!</v>
      </c>
      <c r="EH305" t="e">
        <f>Europe!B1580+"n/&gt;!0s]"</f>
        <v>#VALUE!</v>
      </c>
      <c r="EI305" t="e">
        <f>Europe!C1580+"n/&gt;!0s^"</f>
        <v>#VALUE!</v>
      </c>
      <c r="EJ305" t="e">
        <f>Europe!D1580+"n/&gt;!0s_"</f>
        <v>#VALUE!</v>
      </c>
      <c r="EK305" t="e">
        <f>Europe!E1580+"n/&gt;!0s`"</f>
        <v>#VALUE!</v>
      </c>
      <c r="EL305" t="e">
        <f>Europe!F1580+"n/&gt;!0sa"</f>
        <v>#VALUE!</v>
      </c>
      <c r="EM305" t="e">
        <f>Europe!G1580+"n/&gt;!0sb"</f>
        <v>#VALUE!</v>
      </c>
      <c r="EN305" t="e">
        <f>Europe!H1580+"n/&gt;!0sc"</f>
        <v>#VALUE!</v>
      </c>
      <c r="EO305" t="e">
        <f>Europe!I1580+"n/&gt;!0sd"</f>
        <v>#VALUE!</v>
      </c>
      <c r="EP305" t="e">
        <f>Europe!A1581+"n/&gt;!0se"</f>
        <v>#VALUE!</v>
      </c>
      <c r="EQ305" t="e">
        <f>Europe!B1581+"n/&gt;!0sf"</f>
        <v>#VALUE!</v>
      </c>
      <c r="ER305" t="e">
        <f>Europe!C1581+"n/&gt;!0sg"</f>
        <v>#VALUE!</v>
      </c>
      <c r="ES305" t="e">
        <f>Europe!D1581+"n/&gt;!0sh"</f>
        <v>#VALUE!</v>
      </c>
      <c r="ET305" t="e">
        <f>Europe!E1581+"n/&gt;!0si"</f>
        <v>#VALUE!</v>
      </c>
      <c r="EU305" t="e">
        <f>Europe!F1581+"n/&gt;!0sj"</f>
        <v>#VALUE!</v>
      </c>
      <c r="EV305" t="e">
        <f>Europe!G1581+"n/&gt;!0sk"</f>
        <v>#VALUE!</v>
      </c>
      <c r="EW305" t="e">
        <f>Europe!H1581+"n/&gt;!0sl"</f>
        <v>#VALUE!</v>
      </c>
      <c r="EX305" t="e">
        <f>Europe!I1581+"n/&gt;!0sm"</f>
        <v>#VALUE!</v>
      </c>
      <c r="EY305" t="e">
        <f>Europe!A1582+"n/&gt;!0sn"</f>
        <v>#VALUE!</v>
      </c>
      <c r="EZ305" t="e">
        <f>Europe!B1582+"n/&gt;!0so"</f>
        <v>#VALUE!</v>
      </c>
      <c r="FA305" t="e">
        <f>Europe!C1582+"n/&gt;!0sp"</f>
        <v>#VALUE!</v>
      </c>
      <c r="FB305" t="e">
        <f>Europe!D1582+"n/&gt;!0sq"</f>
        <v>#VALUE!</v>
      </c>
      <c r="FC305" t="e">
        <f>Europe!E1582+"n/&gt;!0sr"</f>
        <v>#VALUE!</v>
      </c>
      <c r="FD305" t="e">
        <f>Europe!F1582+"n/&gt;!0ss"</f>
        <v>#VALUE!</v>
      </c>
      <c r="FE305" t="e">
        <f>Europe!G1582+"n/&gt;!0st"</f>
        <v>#VALUE!</v>
      </c>
      <c r="FF305" t="e">
        <f>Europe!H1582+"n/&gt;!0su"</f>
        <v>#VALUE!</v>
      </c>
      <c r="FG305" t="e">
        <f>Europe!I1582+"n/&gt;!0sv"</f>
        <v>#VALUE!</v>
      </c>
      <c r="FH305" t="e">
        <f>Europe!A1583+"n/&gt;!0sw"</f>
        <v>#VALUE!</v>
      </c>
      <c r="FI305" t="e">
        <f>Europe!B1583+"n/&gt;!0sx"</f>
        <v>#VALUE!</v>
      </c>
      <c r="FJ305" t="e">
        <f>Europe!C1583+"n/&gt;!0sy"</f>
        <v>#VALUE!</v>
      </c>
      <c r="FK305" t="e">
        <f>Europe!D1583+"n/&gt;!0sz"</f>
        <v>#VALUE!</v>
      </c>
      <c r="FL305" t="e">
        <f>Europe!E1583+"n/&gt;!0s{"</f>
        <v>#VALUE!</v>
      </c>
      <c r="FM305" t="e">
        <f>Europe!F1583+"n/&gt;!0s|"</f>
        <v>#VALUE!</v>
      </c>
      <c r="FN305" t="e">
        <f>Europe!G1583+"n/&gt;!0s}"</f>
        <v>#VALUE!</v>
      </c>
      <c r="FO305" t="e">
        <f>Europe!H1583+"n/&gt;!0s~"</f>
        <v>#VALUE!</v>
      </c>
      <c r="FP305" t="e">
        <f>Europe!I1583+"n/&gt;!0t#"</f>
        <v>#VALUE!</v>
      </c>
      <c r="FQ305" t="e">
        <f>Europe!A1584+"n/&gt;!0t$"</f>
        <v>#VALUE!</v>
      </c>
      <c r="FR305" t="e">
        <f>Europe!B1584+"n/&gt;!0t%"</f>
        <v>#VALUE!</v>
      </c>
      <c r="FS305" t="e">
        <f>Europe!C1584+"n/&gt;!0t&amp;"</f>
        <v>#VALUE!</v>
      </c>
      <c r="FT305" t="e">
        <f>Europe!D1584+"n/&gt;!0t'"</f>
        <v>#VALUE!</v>
      </c>
      <c r="FU305" t="e">
        <f>Europe!E1584+"n/&gt;!0t("</f>
        <v>#VALUE!</v>
      </c>
      <c r="FV305" t="e">
        <f>Europe!F1584+"n/&gt;!0t)"</f>
        <v>#VALUE!</v>
      </c>
      <c r="FW305" t="e">
        <f>Europe!G1584+"n/&gt;!0t."</f>
        <v>#VALUE!</v>
      </c>
      <c r="FX305" t="e">
        <f>Europe!H1584+"n/&gt;!0t/"</f>
        <v>#VALUE!</v>
      </c>
      <c r="FY305" t="e">
        <f>Europe!I1584+"n/&gt;!0t0"</f>
        <v>#VALUE!</v>
      </c>
      <c r="FZ305" t="e">
        <f>Europe!A1585+"n/&gt;!0t1"</f>
        <v>#VALUE!</v>
      </c>
      <c r="GA305" t="e">
        <f>Europe!B1585+"n/&gt;!0t2"</f>
        <v>#VALUE!</v>
      </c>
      <c r="GB305" t="e">
        <f>Europe!C1585+"n/&gt;!0t3"</f>
        <v>#VALUE!</v>
      </c>
      <c r="GC305" t="e">
        <f>Europe!D1585+"n/&gt;!0t4"</f>
        <v>#VALUE!</v>
      </c>
      <c r="GD305" t="e">
        <f>Europe!E1585+"n/&gt;!0t5"</f>
        <v>#VALUE!</v>
      </c>
      <c r="GE305" t="e">
        <f>Europe!F1585+"n/&gt;!0t6"</f>
        <v>#VALUE!</v>
      </c>
      <c r="GF305" t="e">
        <f>Europe!G1585+"n/&gt;!0t7"</f>
        <v>#VALUE!</v>
      </c>
      <c r="GG305" t="e">
        <f>Europe!H1585+"n/&gt;!0t8"</f>
        <v>#VALUE!</v>
      </c>
      <c r="GH305" t="e">
        <f>Europe!I1585+"n/&gt;!0t9"</f>
        <v>#VALUE!</v>
      </c>
      <c r="GI305" t="e">
        <f>Europe!A1586+"n/&gt;!0t:"</f>
        <v>#VALUE!</v>
      </c>
      <c r="GJ305" t="e">
        <f>Europe!B1586+"n/&gt;!0t;"</f>
        <v>#VALUE!</v>
      </c>
      <c r="GK305" t="e">
        <f>Europe!C1586+"n/&gt;!0t&lt;"</f>
        <v>#VALUE!</v>
      </c>
      <c r="GL305" t="e">
        <f>Europe!D1586+"n/&gt;!0t="</f>
        <v>#VALUE!</v>
      </c>
      <c r="GM305" t="e">
        <f>Europe!E1586+"n/&gt;!0t&gt;"</f>
        <v>#VALUE!</v>
      </c>
      <c r="GN305" t="e">
        <f>Europe!F1586+"n/&gt;!0t?"</f>
        <v>#VALUE!</v>
      </c>
      <c r="GO305" t="e">
        <f>Europe!G1586+"n/&gt;!0t@"</f>
        <v>#VALUE!</v>
      </c>
      <c r="GP305" t="e">
        <f>Europe!H1586+"n/&gt;!0tA"</f>
        <v>#VALUE!</v>
      </c>
      <c r="GQ305" t="e">
        <f>Europe!I1586+"n/&gt;!0tB"</f>
        <v>#VALUE!</v>
      </c>
      <c r="GR305" t="e">
        <f>Europe!A1587+"n/&gt;!0tC"</f>
        <v>#VALUE!</v>
      </c>
      <c r="GS305" t="e">
        <f>Europe!B1587+"n/&gt;!0tD"</f>
        <v>#VALUE!</v>
      </c>
      <c r="GT305" t="e">
        <f>Europe!C1587+"n/&gt;!0tE"</f>
        <v>#VALUE!</v>
      </c>
      <c r="GU305" t="e">
        <f>Europe!D1587+"n/&gt;!0tF"</f>
        <v>#VALUE!</v>
      </c>
      <c r="GV305" t="e">
        <f>Europe!E1587+"n/&gt;!0tG"</f>
        <v>#VALUE!</v>
      </c>
      <c r="GW305" t="e">
        <f>Europe!F1587+"n/&gt;!0tH"</f>
        <v>#VALUE!</v>
      </c>
      <c r="GX305" t="e">
        <f>Europe!G1587+"n/&gt;!0tI"</f>
        <v>#VALUE!</v>
      </c>
      <c r="GY305" t="e">
        <f>Europe!H1587+"n/&gt;!0tJ"</f>
        <v>#VALUE!</v>
      </c>
      <c r="GZ305" t="e">
        <f>Europe!I1587+"n/&gt;!0tK"</f>
        <v>#VALUE!</v>
      </c>
      <c r="HA305" t="e">
        <f>Europe!A1588+"n/&gt;!0tL"</f>
        <v>#VALUE!</v>
      </c>
      <c r="HB305" t="e">
        <f>Europe!B1588+"n/&gt;!0tM"</f>
        <v>#VALUE!</v>
      </c>
      <c r="HC305" t="e">
        <f>Europe!C1588+"n/&gt;!0tN"</f>
        <v>#VALUE!</v>
      </c>
      <c r="HD305" t="e">
        <f>Europe!D1588+"n/&gt;!0tO"</f>
        <v>#VALUE!</v>
      </c>
      <c r="HE305" t="e">
        <f>Europe!E1588+"n/&gt;!0tP"</f>
        <v>#VALUE!</v>
      </c>
      <c r="HF305" t="e">
        <f>Europe!F1588+"n/&gt;!0tQ"</f>
        <v>#VALUE!</v>
      </c>
      <c r="HG305" t="e">
        <f>Europe!G1588+"n/&gt;!0tR"</f>
        <v>#VALUE!</v>
      </c>
      <c r="HH305" t="e">
        <f>Europe!H1588+"n/&gt;!0tS"</f>
        <v>#VALUE!</v>
      </c>
      <c r="HI305" t="e">
        <f>Europe!I1588+"n/&gt;!0tT"</f>
        <v>#VALUE!</v>
      </c>
      <c r="HJ305" t="e">
        <f>Europe!A1589+"n/&gt;!0tU"</f>
        <v>#VALUE!</v>
      </c>
      <c r="HK305" t="e">
        <f>Europe!B1589+"n/&gt;!0tV"</f>
        <v>#VALUE!</v>
      </c>
      <c r="HL305" t="e">
        <f>Europe!C1589+"n/&gt;!0tW"</f>
        <v>#VALUE!</v>
      </c>
      <c r="HM305" t="e">
        <f>Europe!D1589+"n/&gt;!0tX"</f>
        <v>#VALUE!</v>
      </c>
      <c r="HN305" t="e">
        <f>Europe!E1589+"n/&gt;!0tY"</f>
        <v>#VALUE!</v>
      </c>
      <c r="HO305" t="e">
        <f>Europe!F1589+"n/&gt;!0tZ"</f>
        <v>#VALUE!</v>
      </c>
      <c r="HP305" t="e">
        <f>Europe!G1589+"n/&gt;!0t["</f>
        <v>#VALUE!</v>
      </c>
      <c r="HQ305" t="e">
        <f>Europe!H1589+"n/&gt;!0t\"</f>
        <v>#VALUE!</v>
      </c>
      <c r="HR305" t="e">
        <f>Europe!I1589+"n/&gt;!0t]"</f>
        <v>#VALUE!</v>
      </c>
      <c r="HS305" t="e">
        <f>Europe!A1590+"n/&gt;!0t^"</f>
        <v>#VALUE!</v>
      </c>
      <c r="HT305" t="e">
        <f>Europe!B1590+"n/&gt;!0t_"</f>
        <v>#VALUE!</v>
      </c>
      <c r="HU305" t="e">
        <f>Europe!C1590+"n/&gt;!0t`"</f>
        <v>#VALUE!</v>
      </c>
      <c r="HV305" t="e">
        <f>Europe!D1590+"n/&gt;!0ta"</f>
        <v>#VALUE!</v>
      </c>
      <c r="HW305" t="e">
        <f>Europe!E1590+"n/&gt;!0tb"</f>
        <v>#VALUE!</v>
      </c>
      <c r="HX305" t="e">
        <f>Europe!F1590+"n/&gt;!0tc"</f>
        <v>#VALUE!</v>
      </c>
      <c r="HY305" t="e">
        <f>Europe!G1590+"n/&gt;!0td"</f>
        <v>#VALUE!</v>
      </c>
      <c r="HZ305" t="e">
        <f>Europe!H1590+"n/&gt;!0te"</f>
        <v>#VALUE!</v>
      </c>
      <c r="IA305" t="e">
        <f>Europe!I1590+"n/&gt;!0tf"</f>
        <v>#VALUE!</v>
      </c>
      <c r="IB305" t="e">
        <f>Europe!A1591+"n/&gt;!0tg"</f>
        <v>#VALUE!</v>
      </c>
      <c r="IC305" t="e">
        <f>Europe!B1591+"n/&gt;!0th"</f>
        <v>#VALUE!</v>
      </c>
      <c r="ID305" t="e">
        <f>Europe!C1591+"n/&gt;!0ti"</f>
        <v>#VALUE!</v>
      </c>
      <c r="IE305" t="e">
        <f>Europe!D1591+"n/&gt;!0tj"</f>
        <v>#VALUE!</v>
      </c>
      <c r="IF305" t="e">
        <f>Europe!E1591+"n/&gt;!0tk"</f>
        <v>#VALUE!</v>
      </c>
      <c r="IG305" t="e">
        <f>Europe!F1591+"n/&gt;!0tl"</f>
        <v>#VALUE!</v>
      </c>
      <c r="IH305" t="e">
        <f>Europe!G1591+"n/&gt;!0tm"</f>
        <v>#VALUE!</v>
      </c>
      <c r="II305" t="e">
        <f>Europe!H1591+"n/&gt;!0tn"</f>
        <v>#VALUE!</v>
      </c>
      <c r="IJ305" t="e">
        <f>Europe!I1591+"n/&gt;!0to"</f>
        <v>#VALUE!</v>
      </c>
      <c r="IK305" t="e">
        <f>Europe!A1592+"n/&gt;!0tp"</f>
        <v>#VALUE!</v>
      </c>
      <c r="IL305" t="e">
        <f>Europe!B1592+"n/&gt;!0tq"</f>
        <v>#VALUE!</v>
      </c>
      <c r="IM305" t="e">
        <f>Europe!C1592+"n/&gt;!0tr"</f>
        <v>#VALUE!</v>
      </c>
      <c r="IN305" t="e">
        <f>Europe!D1592+"n/&gt;!0ts"</f>
        <v>#VALUE!</v>
      </c>
      <c r="IO305" t="e">
        <f>Europe!E1592+"n/&gt;!0tt"</f>
        <v>#VALUE!</v>
      </c>
      <c r="IP305" t="e">
        <f>Europe!F1592+"n/&gt;!0tu"</f>
        <v>#VALUE!</v>
      </c>
      <c r="IQ305" t="e">
        <f>Europe!G1592+"n/&gt;!0tv"</f>
        <v>#VALUE!</v>
      </c>
      <c r="IR305" t="e">
        <f>Europe!H1592+"n/&gt;!0tw"</f>
        <v>#VALUE!</v>
      </c>
      <c r="IS305" t="e">
        <f>Europe!I1592+"n/&gt;!0tx"</f>
        <v>#VALUE!</v>
      </c>
      <c r="IT305" t="e">
        <f>Europe!A1593+"n/&gt;!0ty"</f>
        <v>#VALUE!</v>
      </c>
      <c r="IU305" t="e">
        <f>Europe!B1593+"n/&gt;!0tz"</f>
        <v>#VALUE!</v>
      </c>
      <c r="IV305" t="e">
        <f>Europe!C1593+"n/&gt;!0t{"</f>
        <v>#VALUE!</v>
      </c>
    </row>
    <row r="306" spans="6:256" x14ac:dyDescent="0.35">
      <c r="F306" t="e">
        <f>Europe!D1593+"n/&gt;!0t|"</f>
        <v>#VALUE!</v>
      </c>
      <c r="G306" t="e">
        <f>Europe!E1593+"n/&gt;!0t}"</f>
        <v>#VALUE!</v>
      </c>
      <c r="H306" t="e">
        <f>Europe!F1593+"n/&gt;!0t~"</f>
        <v>#VALUE!</v>
      </c>
      <c r="I306" t="e">
        <f>Europe!G1593+"n/&gt;!0u#"</f>
        <v>#VALUE!</v>
      </c>
      <c r="J306" t="e">
        <f>Europe!H1593+"n/&gt;!0u$"</f>
        <v>#VALUE!</v>
      </c>
      <c r="K306" t="e">
        <f>Europe!I1593+"n/&gt;!0u%"</f>
        <v>#VALUE!</v>
      </c>
      <c r="L306" t="e">
        <f>Europe!A1594+"n/&gt;!0u&amp;"</f>
        <v>#VALUE!</v>
      </c>
      <c r="M306" t="e">
        <f>Europe!B1594+"n/&gt;!0u'"</f>
        <v>#VALUE!</v>
      </c>
      <c r="N306" t="e">
        <f>Europe!C1594+"n/&gt;!0u("</f>
        <v>#VALUE!</v>
      </c>
      <c r="O306" t="e">
        <f>Europe!D1594+"n/&gt;!0u)"</f>
        <v>#VALUE!</v>
      </c>
      <c r="P306" t="e">
        <f>Europe!E1594+"n/&gt;!0u."</f>
        <v>#VALUE!</v>
      </c>
      <c r="Q306" t="e">
        <f>Europe!F1594+"n/&gt;!0u/"</f>
        <v>#VALUE!</v>
      </c>
      <c r="R306" t="e">
        <f>Europe!G1594+"n/&gt;!0u0"</f>
        <v>#VALUE!</v>
      </c>
      <c r="S306" t="e">
        <f>Europe!H1594+"n/&gt;!0u1"</f>
        <v>#VALUE!</v>
      </c>
      <c r="T306" t="e">
        <f>Europe!I1594+"n/&gt;!0u2"</f>
        <v>#VALUE!</v>
      </c>
      <c r="U306" t="e">
        <f>Europe!A1595+"n/&gt;!0u3"</f>
        <v>#VALUE!</v>
      </c>
      <c r="V306" t="e">
        <f>Europe!B1595+"n/&gt;!0u4"</f>
        <v>#VALUE!</v>
      </c>
      <c r="W306" t="e">
        <f>Europe!C1595+"n/&gt;!0u5"</f>
        <v>#VALUE!</v>
      </c>
      <c r="X306" t="e">
        <f>Europe!D1595+"n/&gt;!0u6"</f>
        <v>#VALUE!</v>
      </c>
      <c r="Y306" t="e">
        <f>Europe!E1595+"n/&gt;!0u7"</f>
        <v>#VALUE!</v>
      </c>
      <c r="Z306" t="e">
        <f>Europe!F1595+"n/&gt;!0u8"</f>
        <v>#VALUE!</v>
      </c>
      <c r="AA306" t="e">
        <f>Europe!G1595+"n/&gt;!0u9"</f>
        <v>#VALUE!</v>
      </c>
      <c r="AB306" t="e">
        <f>Europe!H1595+"n/&gt;!0u:"</f>
        <v>#VALUE!</v>
      </c>
      <c r="AC306" t="e">
        <f>Europe!I1595+"n/&gt;!0u;"</f>
        <v>#VALUE!</v>
      </c>
      <c r="AD306" t="e">
        <f>Europe!A1596+"n/&gt;!0u&lt;"</f>
        <v>#VALUE!</v>
      </c>
      <c r="AE306" t="e">
        <f>Europe!B1596+"n/&gt;!0u="</f>
        <v>#VALUE!</v>
      </c>
      <c r="AF306" t="e">
        <f>Europe!C1596+"n/&gt;!0u&gt;"</f>
        <v>#VALUE!</v>
      </c>
      <c r="AG306" t="e">
        <f>Europe!D1596+"n/&gt;!0u?"</f>
        <v>#VALUE!</v>
      </c>
      <c r="AH306" t="e">
        <f>Europe!E1596+"n/&gt;!0u@"</f>
        <v>#VALUE!</v>
      </c>
      <c r="AI306" t="e">
        <f>Europe!F1596+"n/&gt;!0uA"</f>
        <v>#VALUE!</v>
      </c>
      <c r="AJ306" t="e">
        <f>Europe!G1596+"n/&gt;!0uB"</f>
        <v>#VALUE!</v>
      </c>
      <c r="AK306" t="e">
        <f>Europe!H1596+"n/&gt;!0uC"</f>
        <v>#VALUE!</v>
      </c>
      <c r="AL306" t="e">
        <f>Europe!I1596+"n/&gt;!0uD"</f>
        <v>#VALUE!</v>
      </c>
      <c r="AM306" t="e">
        <f>Europe!A1597+"n/&gt;!0uE"</f>
        <v>#VALUE!</v>
      </c>
      <c r="AN306" t="e">
        <f>Europe!B1597+"n/&gt;!0uF"</f>
        <v>#VALUE!</v>
      </c>
      <c r="AO306" t="e">
        <f>Europe!C1597+"n/&gt;!0uG"</f>
        <v>#VALUE!</v>
      </c>
      <c r="AP306" t="e">
        <f>Europe!D1597+"n/&gt;!0uH"</f>
        <v>#VALUE!</v>
      </c>
      <c r="AQ306" t="e">
        <f>Europe!E1597+"n/&gt;!0uI"</f>
        <v>#VALUE!</v>
      </c>
      <c r="AR306" t="e">
        <f>Europe!F1597+"n/&gt;!0uJ"</f>
        <v>#VALUE!</v>
      </c>
      <c r="AS306" t="e">
        <f>Europe!G1597+"n/&gt;!0uK"</f>
        <v>#VALUE!</v>
      </c>
      <c r="AT306" t="e">
        <f>Europe!H1597+"n/&gt;!0uL"</f>
        <v>#VALUE!</v>
      </c>
      <c r="AU306" t="e">
        <f>Europe!I1597+"n/&gt;!0uM"</f>
        <v>#VALUE!</v>
      </c>
      <c r="AV306" t="e">
        <f>Europe!A1598+"n/&gt;!0uN"</f>
        <v>#VALUE!</v>
      </c>
      <c r="AW306" t="e">
        <f>Europe!B1598+"n/&gt;!0uO"</f>
        <v>#VALUE!</v>
      </c>
      <c r="AX306" t="e">
        <f>Europe!C1598+"n/&gt;!0uP"</f>
        <v>#VALUE!</v>
      </c>
      <c r="AY306" t="e">
        <f>Europe!D1598+"n/&gt;!0uQ"</f>
        <v>#VALUE!</v>
      </c>
      <c r="AZ306" t="e">
        <f>Europe!E1598+"n/&gt;!0uR"</f>
        <v>#VALUE!</v>
      </c>
      <c r="BA306" t="e">
        <f>Europe!F1598+"n/&gt;!0uS"</f>
        <v>#VALUE!</v>
      </c>
      <c r="BB306" t="e">
        <f>Europe!G1598+"n/&gt;!0uT"</f>
        <v>#VALUE!</v>
      </c>
      <c r="BC306" t="e">
        <f>Europe!H1598+"n/&gt;!0uU"</f>
        <v>#VALUE!</v>
      </c>
      <c r="BD306" t="e">
        <f>Europe!I1598+"n/&gt;!0uV"</f>
        <v>#VALUE!</v>
      </c>
      <c r="BE306" t="e">
        <f>Europe!A1599+"n/&gt;!0uW"</f>
        <v>#VALUE!</v>
      </c>
      <c r="BF306" t="e">
        <f>Europe!B1599+"n/&gt;!0uX"</f>
        <v>#VALUE!</v>
      </c>
      <c r="BG306" t="e">
        <f>Europe!C1599+"n/&gt;!0uY"</f>
        <v>#VALUE!</v>
      </c>
      <c r="BH306" t="e">
        <f>Europe!D1599+"n/&gt;!0uZ"</f>
        <v>#VALUE!</v>
      </c>
      <c r="BI306" t="e">
        <f>Europe!E1599+"n/&gt;!0u["</f>
        <v>#VALUE!</v>
      </c>
      <c r="BJ306" t="e">
        <f>Europe!F1599+"n/&gt;!0u\"</f>
        <v>#VALUE!</v>
      </c>
      <c r="BK306" t="e">
        <f>Europe!G1599+"n/&gt;!0u]"</f>
        <v>#VALUE!</v>
      </c>
      <c r="BL306" t="e">
        <f>Europe!H1599+"n/&gt;!0u^"</f>
        <v>#VALUE!</v>
      </c>
      <c r="BM306" t="e">
        <f>Europe!I1599+"n/&gt;!0u_"</f>
        <v>#VALUE!</v>
      </c>
      <c r="BN306" t="e">
        <f>Europe!A1600+"n/&gt;!0u`"</f>
        <v>#VALUE!</v>
      </c>
      <c r="BO306" t="e">
        <f>Europe!B1600+"n/&gt;!0ua"</f>
        <v>#VALUE!</v>
      </c>
      <c r="BP306" t="e">
        <f>Europe!C1600+"n/&gt;!0ub"</f>
        <v>#VALUE!</v>
      </c>
      <c r="BQ306" t="e">
        <f>Europe!D1600+"n/&gt;!0uc"</f>
        <v>#VALUE!</v>
      </c>
      <c r="BR306" t="e">
        <f>Europe!E1600+"n/&gt;!0ud"</f>
        <v>#VALUE!</v>
      </c>
      <c r="BS306" t="e">
        <f>Europe!F1600+"n/&gt;!0ue"</f>
        <v>#VALUE!</v>
      </c>
      <c r="BT306" t="e">
        <f>Europe!G1600+"n/&gt;!0uf"</f>
        <v>#VALUE!</v>
      </c>
      <c r="BU306" t="e">
        <f>Europe!H1600+"n/&gt;!0ug"</f>
        <v>#VALUE!</v>
      </c>
      <c r="BV306" t="e">
        <f>Europe!I1600+"n/&gt;!0uh"</f>
        <v>#VALUE!</v>
      </c>
      <c r="BW306" t="e">
        <f>Europe!A1601+"n/&gt;!0ui"</f>
        <v>#VALUE!</v>
      </c>
      <c r="BX306" t="e">
        <f>Europe!B1601+"n/&gt;!0uj"</f>
        <v>#VALUE!</v>
      </c>
      <c r="BY306" t="e">
        <f>Europe!C1601+"n/&gt;!0uk"</f>
        <v>#VALUE!</v>
      </c>
      <c r="BZ306" t="e">
        <f>Europe!D1601+"n/&gt;!0ul"</f>
        <v>#VALUE!</v>
      </c>
      <c r="CA306" t="e">
        <f>Europe!E1601+"n/&gt;!0um"</f>
        <v>#VALUE!</v>
      </c>
      <c r="CB306" t="e">
        <f>Europe!F1601+"n/&gt;!0un"</f>
        <v>#VALUE!</v>
      </c>
      <c r="CC306" t="e">
        <f>Europe!G1601+"n/&gt;!0uo"</f>
        <v>#VALUE!</v>
      </c>
      <c r="CD306" t="e">
        <f>Europe!H1601+"n/&gt;!0up"</f>
        <v>#VALUE!</v>
      </c>
      <c r="CE306" t="e">
        <f>Europe!I1601+"n/&gt;!0uq"</f>
        <v>#VALUE!</v>
      </c>
      <c r="CF306" t="e">
        <f>Europe!A1602+"n/&gt;!0ur"</f>
        <v>#VALUE!</v>
      </c>
      <c r="CG306" t="e">
        <f>Europe!B1602+"n/&gt;!0us"</f>
        <v>#VALUE!</v>
      </c>
      <c r="CH306" t="e">
        <f>Europe!C1602+"n/&gt;!0ut"</f>
        <v>#VALUE!</v>
      </c>
      <c r="CI306" t="e">
        <f>Europe!D1602+"n/&gt;!0uu"</f>
        <v>#VALUE!</v>
      </c>
      <c r="CJ306" t="e">
        <f>Europe!E1602+"n/&gt;!0uv"</f>
        <v>#VALUE!</v>
      </c>
      <c r="CK306" t="e">
        <f>Europe!F1602+"n/&gt;!0uw"</f>
        <v>#VALUE!</v>
      </c>
      <c r="CL306" t="e">
        <f>Europe!G1602+"n/&gt;!0ux"</f>
        <v>#VALUE!</v>
      </c>
      <c r="CM306" t="e">
        <f>Europe!H1602+"n/&gt;!0uy"</f>
        <v>#VALUE!</v>
      </c>
      <c r="CN306" t="e">
        <f>Europe!I1602+"n/&gt;!0uz"</f>
        <v>#VALUE!</v>
      </c>
      <c r="CO306" t="e">
        <f>Europe!A1603+"n/&gt;!0u{"</f>
        <v>#VALUE!</v>
      </c>
      <c r="CP306" t="e">
        <f>Europe!B1603+"n/&gt;!0u|"</f>
        <v>#VALUE!</v>
      </c>
      <c r="CQ306" t="e">
        <f>Europe!C1603+"n/&gt;!0u}"</f>
        <v>#VALUE!</v>
      </c>
      <c r="CR306" t="e">
        <f>Europe!D1603+"n/&gt;!0u~"</f>
        <v>#VALUE!</v>
      </c>
      <c r="CS306" t="e">
        <f>Europe!E1603+"n/&gt;!0v#"</f>
        <v>#VALUE!</v>
      </c>
      <c r="CT306" t="e">
        <f>Europe!F1603+"n/&gt;!0v$"</f>
        <v>#VALUE!</v>
      </c>
      <c r="CU306" t="e">
        <f>Europe!G1603+"n/&gt;!0v%"</f>
        <v>#VALUE!</v>
      </c>
      <c r="CV306" t="e">
        <f>Europe!H1603+"n/&gt;!0v&amp;"</f>
        <v>#VALUE!</v>
      </c>
      <c r="CW306" t="e">
        <f>Europe!I1603+"n/&gt;!0v'"</f>
        <v>#VALUE!</v>
      </c>
      <c r="CX306" t="e">
        <f>Europe!A1604+"n/&gt;!0v("</f>
        <v>#VALUE!</v>
      </c>
      <c r="CY306" t="e">
        <f>Europe!B1604+"n/&gt;!0v)"</f>
        <v>#VALUE!</v>
      </c>
      <c r="CZ306" t="e">
        <f>Europe!C1604+"n/&gt;!0v."</f>
        <v>#VALUE!</v>
      </c>
      <c r="DA306" t="e">
        <f>Europe!D1604+"n/&gt;!0v/"</f>
        <v>#VALUE!</v>
      </c>
      <c r="DB306" t="e">
        <f>Europe!E1604+"n/&gt;!0v0"</f>
        <v>#VALUE!</v>
      </c>
      <c r="DC306" t="e">
        <f>Europe!F1604+"n/&gt;!0v1"</f>
        <v>#VALUE!</v>
      </c>
      <c r="DD306" t="e">
        <f>Europe!G1604+"n/&gt;!0v2"</f>
        <v>#VALUE!</v>
      </c>
      <c r="DE306" t="e">
        <f>Europe!H1604+"n/&gt;!0v3"</f>
        <v>#VALUE!</v>
      </c>
      <c r="DF306" t="e">
        <f>Europe!I1604+"n/&gt;!0v4"</f>
        <v>#VALUE!</v>
      </c>
      <c r="DG306" t="e">
        <f>Europe!A1605+"n/&gt;!0v5"</f>
        <v>#VALUE!</v>
      </c>
      <c r="DH306" t="e">
        <f>Europe!B1605+"n/&gt;!0v6"</f>
        <v>#VALUE!</v>
      </c>
      <c r="DI306" t="e">
        <f>Europe!C1605+"n/&gt;!0v7"</f>
        <v>#VALUE!</v>
      </c>
      <c r="DJ306" t="e">
        <f>Europe!D1605+"n/&gt;!0v8"</f>
        <v>#VALUE!</v>
      </c>
      <c r="DK306" t="e">
        <f>Europe!E1605+"n/&gt;!0v9"</f>
        <v>#VALUE!</v>
      </c>
      <c r="DL306" t="e">
        <f>Europe!F1605+"n/&gt;!0v:"</f>
        <v>#VALUE!</v>
      </c>
      <c r="DM306" t="e">
        <f>Europe!G1605+"n/&gt;!0v;"</f>
        <v>#VALUE!</v>
      </c>
      <c r="DN306" t="e">
        <f>Europe!H1605+"n/&gt;!0v&lt;"</f>
        <v>#VALUE!</v>
      </c>
      <c r="DO306" t="e">
        <f>Europe!I1605+"n/&gt;!0v="</f>
        <v>#VALUE!</v>
      </c>
      <c r="DP306" t="e">
        <f>Europe!A1606+"n/&gt;!0v&gt;"</f>
        <v>#VALUE!</v>
      </c>
      <c r="DQ306" t="e">
        <f>Europe!B1606+"n/&gt;!0v?"</f>
        <v>#VALUE!</v>
      </c>
      <c r="DR306" t="e">
        <f>Europe!C1606+"n/&gt;!0v@"</f>
        <v>#VALUE!</v>
      </c>
      <c r="DS306" t="e">
        <f>Europe!D1606+"n/&gt;!0vA"</f>
        <v>#VALUE!</v>
      </c>
      <c r="DT306" t="e">
        <f>Europe!E1606+"n/&gt;!0vB"</f>
        <v>#VALUE!</v>
      </c>
      <c r="DU306" t="e">
        <f>Europe!F1606+"n/&gt;!0vC"</f>
        <v>#VALUE!</v>
      </c>
      <c r="DV306" t="e">
        <f>Europe!G1606+"n/&gt;!0vD"</f>
        <v>#VALUE!</v>
      </c>
      <c r="DW306" t="e">
        <f>Europe!H1606+"n/&gt;!0vE"</f>
        <v>#VALUE!</v>
      </c>
      <c r="DX306" t="e">
        <f>Europe!I1606+"n/&gt;!0vF"</f>
        <v>#VALUE!</v>
      </c>
      <c r="DY306" t="e">
        <f>Europe!A1607+"n/&gt;!0vG"</f>
        <v>#VALUE!</v>
      </c>
      <c r="DZ306" t="e">
        <f>Europe!B1607+"n/&gt;!0vH"</f>
        <v>#VALUE!</v>
      </c>
      <c r="EA306" t="e">
        <f>Europe!C1607+"n/&gt;!0vI"</f>
        <v>#VALUE!</v>
      </c>
      <c r="EB306" t="e">
        <f>Europe!D1607+"n/&gt;!0vJ"</f>
        <v>#VALUE!</v>
      </c>
      <c r="EC306" t="e">
        <f>Europe!E1607+"n/&gt;!0vK"</f>
        <v>#VALUE!</v>
      </c>
      <c r="ED306" t="e">
        <f>Europe!F1607+"n/&gt;!0vL"</f>
        <v>#VALUE!</v>
      </c>
      <c r="EE306" t="e">
        <f>Europe!G1607+"n/&gt;!0vM"</f>
        <v>#VALUE!</v>
      </c>
      <c r="EF306" t="e">
        <f>Europe!H1607+"n/&gt;!0vN"</f>
        <v>#VALUE!</v>
      </c>
      <c r="EG306" t="e">
        <f>Europe!I1607+"n/&gt;!0vO"</f>
        <v>#VALUE!</v>
      </c>
      <c r="EH306" t="e">
        <f>Europe!A1608+"n/&gt;!0vP"</f>
        <v>#VALUE!</v>
      </c>
      <c r="EI306" t="e">
        <f>Europe!B1608+"n/&gt;!0vQ"</f>
        <v>#VALUE!</v>
      </c>
      <c r="EJ306" t="e">
        <f>Europe!C1608+"n/&gt;!0vR"</f>
        <v>#VALUE!</v>
      </c>
      <c r="EK306" t="e">
        <f>Europe!D1608+"n/&gt;!0vS"</f>
        <v>#VALUE!</v>
      </c>
      <c r="EL306" t="e">
        <f>Europe!E1608+"n/&gt;!0vT"</f>
        <v>#VALUE!</v>
      </c>
      <c r="EM306" t="e">
        <f>Europe!F1608+"n/&gt;!0vU"</f>
        <v>#VALUE!</v>
      </c>
      <c r="EN306" t="e">
        <f>Europe!G1608+"n/&gt;!0vV"</f>
        <v>#VALUE!</v>
      </c>
      <c r="EO306" t="e">
        <f>Europe!H1608+"n/&gt;!0vW"</f>
        <v>#VALUE!</v>
      </c>
      <c r="EP306" t="e">
        <f>Europe!I1608+"n/&gt;!0vX"</f>
        <v>#VALUE!</v>
      </c>
      <c r="EQ306" t="e">
        <f>Europe!A1609+"n/&gt;!0vY"</f>
        <v>#VALUE!</v>
      </c>
      <c r="ER306" t="e">
        <f>Europe!B1609+"n/&gt;!0vZ"</f>
        <v>#VALUE!</v>
      </c>
      <c r="ES306" t="e">
        <f>Europe!C1609+"n/&gt;!0v["</f>
        <v>#VALUE!</v>
      </c>
      <c r="ET306" t="e">
        <f>Europe!D1609+"n/&gt;!0v\"</f>
        <v>#VALUE!</v>
      </c>
      <c r="EU306" t="e">
        <f>Europe!E1609+"n/&gt;!0v]"</f>
        <v>#VALUE!</v>
      </c>
      <c r="EV306" t="e">
        <f>Europe!F1609+"n/&gt;!0v^"</f>
        <v>#VALUE!</v>
      </c>
      <c r="EW306" t="e">
        <f>Europe!G1609+"n/&gt;!0v_"</f>
        <v>#VALUE!</v>
      </c>
      <c r="EX306" t="e">
        <f>Europe!H1609+"n/&gt;!0v`"</f>
        <v>#VALUE!</v>
      </c>
      <c r="EY306" t="e">
        <f>Europe!I1609+"n/&gt;!0va"</f>
        <v>#VALUE!</v>
      </c>
      <c r="EZ306" t="e">
        <f>Europe!A1610+"n/&gt;!0vb"</f>
        <v>#VALUE!</v>
      </c>
      <c r="FA306" t="e">
        <f>Europe!B1610+"n/&gt;!0vc"</f>
        <v>#VALUE!</v>
      </c>
      <c r="FB306" t="e">
        <f>Europe!C1610+"n/&gt;!0vd"</f>
        <v>#VALUE!</v>
      </c>
      <c r="FC306" t="e">
        <f>Europe!D1610+"n/&gt;!0ve"</f>
        <v>#VALUE!</v>
      </c>
      <c r="FD306" t="e">
        <f>Europe!E1610+"n/&gt;!0vf"</f>
        <v>#VALUE!</v>
      </c>
      <c r="FE306" t="e">
        <f>Europe!F1610+"n/&gt;!0vg"</f>
        <v>#VALUE!</v>
      </c>
      <c r="FF306" t="e">
        <f>Europe!G1610+"n/&gt;!0vh"</f>
        <v>#VALUE!</v>
      </c>
      <c r="FG306" t="e">
        <f>Europe!H1610+"n/&gt;!0vi"</f>
        <v>#VALUE!</v>
      </c>
      <c r="FH306" t="e">
        <f>Europe!I1610+"n/&gt;!0vj"</f>
        <v>#VALUE!</v>
      </c>
      <c r="FI306" t="e">
        <f>Europe!A1611+"n/&gt;!0vk"</f>
        <v>#VALUE!</v>
      </c>
      <c r="FJ306" t="e">
        <f>Europe!B1611+"n/&gt;!0vl"</f>
        <v>#VALUE!</v>
      </c>
      <c r="FK306" t="e">
        <f>Europe!C1611+"n/&gt;!0vm"</f>
        <v>#VALUE!</v>
      </c>
      <c r="FL306" t="e">
        <f>Europe!D1611+"n/&gt;!0vn"</f>
        <v>#VALUE!</v>
      </c>
      <c r="FM306" t="e">
        <f>Europe!E1611+"n/&gt;!0vo"</f>
        <v>#VALUE!</v>
      </c>
      <c r="FN306" t="e">
        <f>Europe!F1611+"n/&gt;!0vp"</f>
        <v>#VALUE!</v>
      </c>
      <c r="FO306" t="e">
        <f>Europe!G1611+"n/&gt;!0vq"</f>
        <v>#VALUE!</v>
      </c>
      <c r="FP306" t="e">
        <f>Europe!H1611+"n/&gt;!0vr"</f>
        <v>#VALUE!</v>
      </c>
      <c r="FQ306" t="e">
        <f>Europe!I1611+"n/&gt;!0vs"</f>
        <v>#VALUE!</v>
      </c>
      <c r="FR306" t="e">
        <f>Europe!A1612+"n/&gt;!0vt"</f>
        <v>#VALUE!</v>
      </c>
      <c r="FS306" t="e">
        <f>Europe!B1612+"n/&gt;!0vu"</f>
        <v>#VALUE!</v>
      </c>
      <c r="FT306" t="e">
        <f>Europe!C1612+"n/&gt;!0vv"</f>
        <v>#VALUE!</v>
      </c>
      <c r="FU306" t="e">
        <f>Europe!D1612+"n/&gt;!0vw"</f>
        <v>#VALUE!</v>
      </c>
      <c r="FV306" t="e">
        <f>Europe!E1612+"n/&gt;!0vx"</f>
        <v>#VALUE!</v>
      </c>
      <c r="FW306" t="e">
        <f>Europe!F1612+"n/&gt;!0vy"</f>
        <v>#VALUE!</v>
      </c>
      <c r="FX306" t="e">
        <f>Europe!G1612+"n/&gt;!0vz"</f>
        <v>#VALUE!</v>
      </c>
      <c r="FY306" t="e">
        <f>Europe!H1612+"n/&gt;!0v{"</f>
        <v>#VALUE!</v>
      </c>
      <c r="FZ306" t="e">
        <f>Europe!I1612+"n/&gt;!0v|"</f>
        <v>#VALUE!</v>
      </c>
      <c r="GA306" t="e">
        <f>Europe!A1613+"n/&gt;!0v}"</f>
        <v>#VALUE!</v>
      </c>
      <c r="GB306" t="e">
        <f>Europe!B1613+"n/&gt;!0v~"</f>
        <v>#VALUE!</v>
      </c>
      <c r="GC306" t="e">
        <f>Europe!C1613+"n/&gt;!0w#"</f>
        <v>#VALUE!</v>
      </c>
      <c r="GD306" t="e">
        <f>Europe!D1613+"n/&gt;!0w$"</f>
        <v>#VALUE!</v>
      </c>
      <c r="GE306" t="e">
        <f>Europe!E1613+"n/&gt;!0w%"</f>
        <v>#VALUE!</v>
      </c>
      <c r="GF306" t="e">
        <f>Europe!F1613+"n/&gt;!0w&amp;"</f>
        <v>#VALUE!</v>
      </c>
      <c r="GG306" t="e">
        <f>Europe!G1613+"n/&gt;!0w'"</f>
        <v>#VALUE!</v>
      </c>
      <c r="GH306" t="e">
        <f>Europe!H1613+"n/&gt;!0w("</f>
        <v>#VALUE!</v>
      </c>
      <c r="GI306" t="e">
        <f>Europe!I1613+"n/&gt;!0w)"</f>
        <v>#VALUE!</v>
      </c>
      <c r="GJ306" t="e">
        <f>Europe!A1614+"n/&gt;!0w."</f>
        <v>#VALUE!</v>
      </c>
      <c r="GK306" t="e">
        <f>Europe!B1614+"n/&gt;!0w/"</f>
        <v>#VALUE!</v>
      </c>
      <c r="GL306" t="e">
        <f>Europe!C1614+"n/&gt;!0w0"</f>
        <v>#VALUE!</v>
      </c>
      <c r="GM306" t="e">
        <f>Europe!D1614+"n/&gt;!0w1"</f>
        <v>#VALUE!</v>
      </c>
      <c r="GN306" t="e">
        <f>Europe!E1614+"n/&gt;!0w2"</f>
        <v>#VALUE!</v>
      </c>
      <c r="GO306" t="e">
        <f>Europe!F1614+"n/&gt;!0w3"</f>
        <v>#VALUE!</v>
      </c>
      <c r="GP306" t="e">
        <f>Europe!G1614+"n/&gt;!0w4"</f>
        <v>#VALUE!</v>
      </c>
      <c r="GQ306" t="e">
        <f>Europe!H1614+"n/&gt;!0w5"</f>
        <v>#VALUE!</v>
      </c>
      <c r="GR306" t="e">
        <f>Europe!I1614+"n/&gt;!0w6"</f>
        <v>#VALUE!</v>
      </c>
      <c r="GS306" t="e">
        <f>Europe!A1615+"n/&gt;!0w7"</f>
        <v>#VALUE!</v>
      </c>
      <c r="GT306" t="e">
        <f>Europe!B1615+"n/&gt;!0w8"</f>
        <v>#VALUE!</v>
      </c>
      <c r="GU306" t="e">
        <f>Europe!C1615+"n/&gt;!0w9"</f>
        <v>#VALUE!</v>
      </c>
      <c r="GV306" t="e">
        <f>Europe!D1615+"n/&gt;!0w:"</f>
        <v>#VALUE!</v>
      </c>
      <c r="GW306" t="e">
        <f>Europe!E1615+"n/&gt;!0w;"</f>
        <v>#VALUE!</v>
      </c>
      <c r="GX306" t="e">
        <f>Europe!F1615+"n/&gt;!0w&lt;"</f>
        <v>#VALUE!</v>
      </c>
      <c r="GY306" t="e">
        <f>Europe!G1615+"n/&gt;!0w="</f>
        <v>#VALUE!</v>
      </c>
      <c r="GZ306" t="e">
        <f>Europe!H1615+"n/&gt;!0w&gt;"</f>
        <v>#VALUE!</v>
      </c>
      <c r="HA306" t="e">
        <f>Europe!I1615+"n/&gt;!0w?"</f>
        <v>#VALUE!</v>
      </c>
      <c r="HB306" t="e">
        <f>Europe!A1616+"n/&gt;!0w@"</f>
        <v>#VALUE!</v>
      </c>
      <c r="HC306" t="e">
        <f>Europe!B1616+"n/&gt;!0wA"</f>
        <v>#VALUE!</v>
      </c>
      <c r="HD306" t="e">
        <f>Europe!C1616+"n/&gt;!0wB"</f>
        <v>#VALUE!</v>
      </c>
      <c r="HE306" t="e">
        <f>Europe!D1616+"n/&gt;!0wC"</f>
        <v>#VALUE!</v>
      </c>
      <c r="HF306" t="e">
        <f>Europe!E1616+"n/&gt;!0wD"</f>
        <v>#VALUE!</v>
      </c>
      <c r="HG306" t="e">
        <f>Europe!F1616+"n/&gt;!0wE"</f>
        <v>#VALUE!</v>
      </c>
      <c r="HH306" t="e">
        <f>Europe!G1616+"n/&gt;!0wF"</f>
        <v>#VALUE!</v>
      </c>
      <c r="HI306" t="e">
        <f>Europe!H1616+"n/&gt;!0wG"</f>
        <v>#VALUE!</v>
      </c>
      <c r="HJ306" t="e">
        <f>Europe!I1616+"n/&gt;!0wH"</f>
        <v>#VALUE!</v>
      </c>
      <c r="HK306" t="e">
        <f>Europe!A1617+"n/&gt;!0wI"</f>
        <v>#VALUE!</v>
      </c>
      <c r="HL306" t="e">
        <f>Europe!B1617+"n/&gt;!0wJ"</f>
        <v>#VALUE!</v>
      </c>
      <c r="HM306" t="e">
        <f>Europe!C1617+"n/&gt;!0wK"</f>
        <v>#VALUE!</v>
      </c>
      <c r="HN306" t="e">
        <f>Europe!D1617+"n/&gt;!0wL"</f>
        <v>#VALUE!</v>
      </c>
      <c r="HO306" t="e">
        <f>Europe!E1617+"n/&gt;!0wM"</f>
        <v>#VALUE!</v>
      </c>
      <c r="HP306" t="e">
        <f>Europe!F1617+"n/&gt;!0wN"</f>
        <v>#VALUE!</v>
      </c>
      <c r="HQ306" t="e">
        <f>Europe!G1617+"n/&gt;!0wO"</f>
        <v>#VALUE!</v>
      </c>
      <c r="HR306" t="e">
        <f>Europe!H1617+"n/&gt;!0wP"</f>
        <v>#VALUE!</v>
      </c>
      <c r="HS306" t="e">
        <f>Europe!I1617+"n/&gt;!0wQ"</f>
        <v>#VALUE!</v>
      </c>
      <c r="HT306" t="e">
        <f>Europe!A1618+"n/&gt;!0wR"</f>
        <v>#VALUE!</v>
      </c>
      <c r="HU306" t="e">
        <f>Europe!B1618+"n/&gt;!0wS"</f>
        <v>#VALUE!</v>
      </c>
      <c r="HV306" t="e">
        <f>Europe!C1618+"n/&gt;!0wT"</f>
        <v>#VALUE!</v>
      </c>
      <c r="HW306" t="e">
        <f>Europe!D1618+"n/&gt;!0wU"</f>
        <v>#VALUE!</v>
      </c>
      <c r="HX306" t="e">
        <f>Europe!E1618+"n/&gt;!0wV"</f>
        <v>#VALUE!</v>
      </c>
      <c r="HY306" t="e">
        <f>Europe!F1618+"n/&gt;!0wW"</f>
        <v>#VALUE!</v>
      </c>
      <c r="HZ306" t="e">
        <f>Europe!G1618+"n/&gt;!0wX"</f>
        <v>#VALUE!</v>
      </c>
      <c r="IA306" t="e">
        <f>Europe!H1618+"n/&gt;!0wY"</f>
        <v>#VALUE!</v>
      </c>
      <c r="IB306" t="e">
        <f>Europe!I1618+"n/&gt;!0wZ"</f>
        <v>#VALUE!</v>
      </c>
      <c r="IC306" t="e">
        <f>Europe!A1619+"n/&gt;!0w["</f>
        <v>#VALUE!</v>
      </c>
      <c r="ID306" t="e">
        <f>Europe!B1619+"n/&gt;!0w\"</f>
        <v>#VALUE!</v>
      </c>
      <c r="IE306" t="e">
        <f>Europe!C1619+"n/&gt;!0w]"</f>
        <v>#VALUE!</v>
      </c>
      <c r="IF306" t="e">
        <f>Europe!D1619+"n/&gt;!0w^"</f>
        <v>#VALUE!</v>
      </c>
      <c r="IG306" t="e">
        <f>Europe!E1619+"n/&gt;!0w_"</f>
        <v>#VALUE!</v>
      </c>
      <c r="IH306" t="e">
        <f>Europe!F1619+"n/&gt;!0w`"</f>
        <v>#VALUE!</v>
      </c>
      <c r="II306" t="e">
        <f>Europe!G1619+"n/&gt;!0wa"</f>
        <v>#VALUE!</v>
      </c>
      <c r="IJ306" t="e">
        <f>Europe!H1619+"n/&gt;!0wb"</f>
        <v>#VALUE!</v>
      </c>
      <c r="IK306" t="e">
        <f>Europe!I1619+"n/&gt;!0wc"</f>
        <v>#VALUE!</v>
      </c>
      <c r="IL306" t="e">
        <f>Europe!A1620+"n/&gt;!0wd"</f>
        <v>#VALUE!</v>
      </c>
      <c r="IM306" t="e">
        <f>Europe!B1620+"n/&gt;!0we"</f>
        <v>#VALUE!</v>
      </c>
      <c r="IN306" t="e">
        <f>Europe!C1620+"n/&gt;!0wf"</f>
        <v>#VALUE!</v>
      </c>
      <c r="IO306" t="e">
        <f>Europe!D1620+"n/&gt;!0wg"</f>
        <v>#VALUE!</v>
      </c>
      <c r="IP306" t="e">
        <f>Europe!E1620+"n/&gt;!0wh"</f>
        <v>#VALUE!</v>
      </c>
      <c r="IQ306" t="e">
        <f>Europe!F1620+"n/&gt;!0wi"</f>
        <v>#VALUE!</v>
      </c>
      <c r="IR306" t="e">
        <f>Europe!G1620+"n/&gt;!0wj"</f>
        <v>#VALUE!</v>
      </c>
      <c r="IS306" t="e">
        <f>Europe!H1620+"n/&gt;!0wk"</f>
        <v>#VALUE!</v>
      </c>
      <c r="IT306" t="e">
        <f>Europe!I1620+"n/&gt;!0wl"</f>
        <v>#VALUE!</v>
      </c>
      <c r="IU306" t="e">
        <f>Europe!A1621+"n/&gt;!0wm"</f>
        <v>#VALUE!</v>
      </c>
      <c r="IV306" t="e">
        <f>Europe!B1621+"n/&gt;!0wn"</f>
        <v>#VALUE!</v>
      </c>
    </row>
    <row r="307" spans="6:256" x14ac:dyDescent="0.35">
      <c r="F307" t="e">
        <f>Europe!C1621+"n/&gt;!0wo"</f>
        <v>#VALUE!</v>
      </c>
      <c r="G307" t="e">
        <f>Europe!D1621+"n/&gt;!0wp"</f>
        <v>#VALUE!</v>
      </c>
      <c r="H307" t="e">
        <f>Europe!E1621+"n/&gt;!0wq"</f>
        <v>#VALUE!</v>
      </c>
      <c r="I307" t="e">
        <f>Europe!F1621+"n/&gt;!0wr"</f>
        <v>#VALUE!</v>
      </c>
      <c r="J307" t="e">
        <f>Europe!G1621+"n/&gt;!0ws"</f>
        <v>#VALUE!</v>
      </c>
      <c r="K307" t="e">
        <f>Europe!H1621+"n/&gt;!0wt"</f>
        <v>#VALUE!</v>
      </c>
      <c r="L307" t="e">
        <f>Europe!I1621+"n/&gt;!0wu"</f>
        <v>#VALUE!</v>
      </c>
      <c r="M307" t="e">
        <f>Europe!A1622+"n/&gt;!0wv"</f>
        <v>#VALUE!</v>
      </c>
      <c r="N307" t="e">
        <f>Europe!B1622+"n/&gt;!0ww"</f>
        <v>#VALUE!</v>
      </c>
      <c r="O307" t="e">
        <f>Europe!C1622+"n/&gt;!0wx"</f>
        <v>#VALUE!</v>
      </c>
      <c r="P307" t="e">
        <f>Europe!D1622+"n/&gt;!0wy"</f>
        <v>#VALUE!</v>
      </c>
      <c r="Q307" t="e">
        <f>Europe!E1622+"n/&gt;!0wz"</f>
        <v>#VALUE!</v>
      </c>
      <c r="R307" t="e">
        <f>Europe!F1622+"n/&gt;!0w{"</f>
        <v>#VALUE!</v>
      </c>
      <c r="S307" t="e">
        <f>Europe!G1622+"n/&gt;!0w|"</f>
        <v>#VALUE!</v>
      </c>
      <c r="T307" t="e">
        <f>Europe!H1622+"n/&gt;!0w}"</f>
        <v>#VALUE!</v>
      </c>
      <c r="U307" t="e">
        <f>Europe!I1622+"n/&gt;!0w~"</f>
        <v>#VALUE!</v>
      </c>
      <c r="V307" t="e">
        <f>Europe!A1623+"n/&gt;!0x#"</f>
        <v>#VALUE!</v>
      </c>
      <c r="W307" t="e">
        <f>Europe!B1623+"n/&gt;!0x$"</f>
        <v>#VALUE!</v>
      </c>
      <c r="X307" t="e">
        <f>Europe!C1623+"n/&gt;!0x%"</f>
        <v>#VALUE!</v>
      </c>
      <c r="Y307" t="e">
        <f>Europe!D1623+"n/&gt;!0x&amp;"</f>
        <v>#VALUE!</v>
      </c>
      <c r="Z307" t="e">
        <f>Europe!E1623+"n/&gt;!0x'"</f>
        <v>#VALUE!</v>
      </c>
      <c r="AA307" t="e">
        <f>Europe!F1623+"n/&gt;!0x("</f>
        <v>#VALUE!</v>
      </c>
      <c r="AB307" t="e">
        <f>Europe!G1623+"n/&gt;!0x)"</f>
        <v>#VALUE!</v>
      </c>
      <c r="AC307" t="e">
        <f>Europe!H1623+"n/&gt;!0x."</f>
        <v>#VALUE!</v>
      </c>
      <c r="AD307" t="e">
        <f>Europe!I1623+"n/&gt;!0x/"</f>
        <v>#VALUE!</v>
      </c>
      <c r="AE307" t="e">
        <f>Europe!A1624+"n/&gt;!0x0"</f>
        <v>#VALUE!</v>
      </c>
      <c r="AF307" t="e">
        <f>Europe!B1624+"n/&gt;!0x1"</f>
        <v>#VALUE!</v>
      </c>
      <c r="AG307" t="e">
        <f>Europe!C1624+"n/&gt;!0x2"</f>
        <v>#VALUE!</v>
      </c>
      <c r="AH307" t="e">
        <f>Europe!D1624+"n/&gt;!0x3"</f>
        <v>#VALUE!</v>
      </c>
      <c r="AI307" t="e">
        <f>Europe!E1624+"n/&gt;!0x4"</f>
        <v>#VALUE!</v>
      </c>
      <c r="AJ307" t="e">
        <f>Europe!F1624+"n/&gt;!0x5"</f>
        <v>#VALUE!</v>
      </c>
      <c r="AK307" t="e">
        <f>Europe!G1624+"n/&gt;!0x6"</f>
        <v>#VALUE!</v>
      </c>
      <c r="AL307" t="e">
        <f>Europe!H1624+"n/&gt;!0x7"</f>
        <v>#VALUE!</v>
      </c>
      <c r="AM307" t="e">
        <f>Europe!I1624+"n/&gt;!0x8"</f>
        <v>#VALUE!</v>
      </c>
      <c r="AN307" t="e">
        <f>Europe!A1625+"n/&gt;!0x9"</f>
        <v>#VALUE!</v>
      </c>
      <c r="AO307" t="e">
        <f>Europe!B1625+"n/&gt;!0x:"</f>
        <v>#VALUE!</v>
      </c>
      <c r="AP307" t="e">
        <f>Europe!C1625+"n/&gt;!0x;"</f>
        <v>#VALUE!</v>
      </c>
      <c r="AQ307" t="e">
        <f>Europe!D1625+"n/&gt;!0x&lt;"</f>
        <v>#VALUE!</v>
      </c>
      <c r="AR307" t="e">
        <f>Europe!E1625+"n/&gt;!0x="</f>
        <v>#VALUE!</v>
      </c>
      <c r="AS307" t="e">
        <f>Europe!F1625+"n/&gt;!0x&gt;"</f>
        <v>#VALUE!</v>
      </c>
      <c r="AT307" t="e">
        <f>Europe!G1625+"n/&gt;!0x?"</f>
        <v>#VALUE!</v>
      </c>
      <c r="AU307" t="e">
        <f>Europe!H1625+"n/&gt;!0x@"</f>
        <v>#VALUE!</v>
      </c>
      <c r="AV307" t="e">
        <f>Europe!I1625+"n/&gt;!0xA"</f>
        <v>#VALUE!</v>
      </c>
      <c r="AW307" t="e">
        <f>Europe!A1626+"n/&gt;!0xB"</f>
        <v>#VALUE!</v>
      </c>
      <c r="AX307" t="e">
        <f>Europe!B1626+"n/&gt;!0xC"</f>
        <v>#VALUE!</v>
      </c>
      <c r="AY307" t="e">
        <f>Europe!C1626+"n/&gt;!0xD"</f>
        <v>#VALUE!</v>
      </c>
      <c r="AZ307" t="e">
        <f>Europe!D1626+"n/&gt;!0xE"</f>
        <v>#VALUE!</v>
      </c>
      <c r="BA307" t="e">
        <f>Europe!E1626+"n/&gt;!0xF"</f>
        <v>#VALUE!</v>
      </c>
      <c r="BB307" t="e">
        <f>Europe!F1626+"n/&gt;!0xG"</f>
        <v>#VALUE!</v>
      </c>
      <c r="BC307" t="e">
        <f>Europe!G1626+"n/&gt;!0xH"</f>
        <v>#VALUE!</v>
      </c>
      <c r="BD307" t="e">
        <f>Europe!H1626+"n/&gt;!0xI"</f>
        <v>#VALUE!</v>
      </c>
      <c r="BE307" t="e">
        <f>Europe!I1626+"n/&gt;!0xJ"</f>
        <v>#VALUE!</v>
      </c>
      <c r="BF307" t="e">
        <f>Europe!A1627+"n/&gt;!0xK"</f>
        <v>#VALUE!</v>
      </c>
      <c r="BG307" t="e">
        <f>Europe!B1627+"n/&gt;!0xL"</f>
        <v>#VALUE!</v>
      </c>
      <c r="BH307" t="e">
        <f>Europe!C1627+"n/&gt;!0xM"</f>
        <v>#VALUE!</v>
      </c>
      <c r="BI307" t="e">
        <f>Europe!D1627+"n/&gt;!0xN"</f>
        <v>#VALUE!</v>
      </c>
      <c r="BJ307" t="e">
        <f>Europe!E1627+"n/&gt;!0xO"</f>
        <v>#VALUE!</v>
      </c>
      <c r="BK307" t="e">
        <f>Europe!F1627+"n/&gt;!0xP"</f>
        <v>#VALUE!</v>
      </c>
      <c r="BL307" t="e">
        <f>Europe!G1627+"n/&gt;!0xQ"</f>
        <v>#VALUE!</v>
      </c>
      <c r="BM307" t="e">
        <f>Europe!H1627+"n/&gt;!0xR"</f>
        <v>#VALUE!</v>
      </c>
      <c r="BN307" t="e">
        <f>Europe!I1627+"n/&gt;!0xS"</f>
        <v>#VALUE!</v>
      </c>
      <c r="BO307" t="e">
        <f>Europe!A1628+"n/&gt;!0xT"</f>
        <v>#VALUE!</v>
      </c>
      <c r="BP307" t="e">
        <f>Europe!B1628+"n/&gt;!0xU"</f>
        <v>#VALUE!</v>
      </c>
      <c r="BQ307" t="e">
        <f>Europe!C1628+"n/&gt;!0xV"</f>
        <v>#VALUE!</v>
      </c>
      <c r="BR307" t="e">
        <f>Europe!D1628+"n/&gt;!0xW"</f>
        <v>#VALUE!</v>
      </c>
      <c r="BS307" t="e">
        <f>Europe!E1628+"n/&gt;!0xX"</f>
        <v>#VALUE!</v>
      </c>
      <c r="BT307" t="e">
        <f>Europe!F1628+"n/&gt;!0xY"</f>
        <v>#VALUE!</v>
      </c>
      <c r="BU307" t="e">
        <f>Europe!G1628+"n/&gt;!0xZ"</f>
        <v>#VALUE!</v>
      </c>
      <c r="BV307" t="e">
        <f>Europe!H1628+"n/&gt;!0x["</f>
        <v>#VALUE!</v>
      </c>
      <c r="BW307" t="e">
        <f>Europe!I1628+"n/&gt;!0x\"</f>
        <v>#VALUE!</v>
      </c>
      <c r="BX307" t="e">
        <f>Europe!A1629+"n/&gt;!0x]"</f>
        <v>#VALUE!</v>
      </c>
      <c r="BY307" t="e">
        <f>Europe!B1629+"n/&gt;!0x^"</f>
        <v>#VALUE!</v>
      </c>
      <c r="BZ307" t="e">
        <f>Europe!C1629+"n/&gt;!0x_"</f>
        <v>#VALUE!</v>
      </c>
      <c r="CA307" t="e">
        <f>Europe!D1629+"n/&gt;!0x`"</f>
        <v>#VALUE!</v>
      </c>
      <c r="CB307" t="e">
        <f>Europe!E1629+"n/&gt;!0xa"</f>
        <v>#VALUE!</v>
      </c>
      <c r="CC307" t="e">
        <f>Europe!F1629+"n/&gt;!0xb"</f>
        <v>#VALUE!</v>
      </c>
      <c r="CD307" t="e">
        <f>Europe!G1629+"n/&gt;!0xc"</f>
        <v>#VALUE!</v>
      </c>
      <c r="CE307" t="e">
        <f>Europe!H1629+"n/&gt;!0xd"</f>
        <v>#VALUE!</v>
      </c>
      <c r="CF307" t="e">
        <f>Europe!I1629+"n/&gt;!0xe"</f>
        <v>#VALUE!</v>
      </c>
      <c r="CG307" t="e">
        <f>Europe!A1630+"n/&gt;!0xf"</f>
        <v>#VALUE!</v>
      </c>
      <c r="CH307" t="e">
        <f>Europe!B1630+"n/&gt;!0xg"</f>
        <v>#VALUE!</v>
      </c>
      <c r="CI307" t="e">
        <f>Europe!C1630+"n/&gt;!0xh"</f>
        <v>#VALUE!</v>
      </c>
      <c r="CJ307" t="e">
        <f>Europe!D1630+"n/&gt;!0xi"</f>
        <v>#VALUE!</v>
      </c>
      <c r="CK307" t="e">
        <f>Europe!E1630+"n/&gt;!0xj"</f>
        <v>#VALUE!</v>
      </c>
      <c r="CL307" t="e">
        <f>Europe!F1630+"n/&gt;!0xk"</f>
        <v>#VALUE!</v>
      </c>
      <c r="CM307" t="e">
        <f>Europe!G1630+"n/&gt;!0xl"</f>
        <v>#VALUE!</v>
      </c>
      <c r="CN307" t="e">
        <f>Europe!H1630+"n/&gt;!0xm"</f>
        <v>#VALUE!</v>
      </c>
      <c r="CO307" t="e">
        <f>Europe!I1630+"n/&gt;!0xn"</f>
        <v>#VALUE!</v>
      </c>
      <c r="CP307" t="e">
        <f>Europe!A1631+"n/&gt;!0xo"</f>
        <v>#VALUE!</v>
      </c>
      <c r="CQ307" t="e">
        <f>Europe!B1631+"n/&gt;!0xp"</f>
        <v>#VALUE!</v>
      </c>
      <c r="CR307" t="e">
        <f>Europe!C1631+"n/&gt;!0xq"</f>
        <v>#VALUE!</v>
      </c>
      <c r="CS307" t="e">
        <f>Europe!D1631+"n/&gt;!0xr"</f>
        <v>#VALUE!</v>
      </c>
      <c r="CT307" t="e">
        <f>Europe!E1631+"n/&gt;!0xs"</f>
        <v>#VALUE!</v>
      </c>
      <c r="CU307" t="e">
        <f>Europe!F1631+"n/&gt;!0xt"</f>
        <v>#VALUE!</v>
      </c>
      <c r="CV307" t="e">
        <f>Europe!G1631+"n/&gt;!0xu"</f>
        <v>#VALUE!</v>
      </c>
      <c r="CW307" t="e">
        <f>Europe!H1631+"n/&gt;!0xv"</f>
        <v>#VALUE!</v>
      </c>
      <c r="CX307" t="e">
        <f>Europe!I1631+"n/&gt;!0xw"</f>
        <v>#VALUE!</v>
      </c>
      <c r="CY307" t="e">
        <f>Europe!A1632+"n/&gt;!0xx"</f>
        <v>#VALUE!</v>
      </c>
      <c r="CZ307" t="e">
        <f>Europe!B1632+"n/&gt;!0xy"</f>
        <v>#VALUE!</v>
      </c>
      <c r="DA307" t="e">
        <f>Europe!C1632+"n/&gt;!0xz"</f>
        <v>#VALUE!</v>
      </c>
      <c r="DB307" t="e">
        <f>Europe!D1632+"n/&gt;!0x{"</f>
        <v>#VALUE!</v>
      </c>
      <c r="DC307" t="e">
        <f>Europe!E1632+"n/&gt;!0x|"</f>
        <v>#VALUE!</v>
      </c>
      <c r="DD307" t="e">
        <f>Europe!F1632+"n/&gt;!0x}"</f>
        <v>#VALUE!</v>
      </c>
      <c r="DE307" t="e">
        <f>Europe!G1632+"n/&gt;!0x~"</f>
        <v>#VALUE!</v>
      </c>
      <c r="DF307" t="e">
        <f>Europe!H1632+"n/&gt;!0y#"</f>
        <v>#VALUE!</v>
      </c>
      <c r="DG307" t="e">
        <f>Europe!I1632+"n/&gt;!0y$"</f>
        <v>#VALUE!</v>
      </c>
      <c r="DH307" t="e">
        <f>Europe!A1633+"n/&gt;!0y%"</f>
        <v>#VALUE!</v>
      </c>
      <c r="DI307" t="e">
        <f>Europe!B1633+"n/&gt;!0y&amp;"</f>
        <v>#VALUE!</v>
      </c>
      <c r="DJ307" t="e">
        <f>Europe!C1633+"n/&gt;!0y'"</f>
        <v>#VALUE!</v>
      </c>
      <c r="DK307" t="e">
        <f>Europe!D1633+"n/&gt;!0y("</f>
        <v>#VALUE!</v>
      </c>
      <c r="DL307" t="e">
        <f>Europe!E1633+"n/&gt;!0y)"</f>
        <v>#VALUE!</v>
      </c>
      <c r="DM307" t="e">
        <f>Europe!F1633+"n/&gt;!0y."</f>
        <v>#VALUE!</v>
      </c>
      <c r="DN307" t="e">
        <f>Europe!G1633+"n/&gt;!0y/"</f>
        <v>#VALUE!</v>
      </c>
      <c r="DO307" t="e">
        <f>Europe!H1633+"n/&gt;!0y0"</f>
        <v>#VALUE!</v>
      </c>
      <c r="DP307" t="e">
        <f>Europe!I1633+"n/&gt;!0y1"</f>
        <v>#VALUE!</v>
      </c>
      <c r="DQ307" t="e">
        <f>Europe!A1634+"n/&gt;!0y2"</f>
        <v>#VALUE!</v>
      </c>
      <c r="DR307" t="e">
        <f>Europe!B1634+"n/&gt;!0y3"</f>
        <v>#VALUE!</v>
      </c>
      <c r="DS307" t="e">
        <f>Europe!C1634+"n/&gt;!0y4"</f>
        <v>#VALUE!</v>
      </c>
      <c r="DT307" t="e">
        <f>Europe!D1634+"n/&gt;!0y5"</f>
        <v>#VALUE!</v>
      </c>
      <c r="DU307" t="e">
        <f>Europe!E1634+"n/&gt;!0y6"</f>
        <v>#VALUE!</v>
      </c>
      <c r="DV307" t="e">
        <f>Europe!F1634+"n/&gt;!0y7"</f>
        <v>#VALUE!</v>
      </c>
      <c r="DW307" t="e">
        <f>Europe!G1634+"n/&gt;!0y8"</f>
        <v>#VALUE!</v>
      </c>
      <c r="DX307" t="e">
        <f>Europe!H1634+"n/&gt;!0y9"</f>
        <v>#VALUE!</v>
      </c>
      <c r="DY307" t="e">
        <f>Europe!I1634+"n/&gt;!0y:"</f>
        <v>#VALUE!</v>
      </c>
      <c r="DZ307" t="e">
        <f>Europe!A1635+"n/&gt;!0y;"</f>
        <v>#VALUE!</v>
      </c>
      <c r="EA307" t="e">
        <f>Europe!B1635+"n/&gt;!0y&lt;"</f>
        <v>#VALUE!</v>
      </c>
      <c r="EB307" t="e">
        <f>Europe!C1635+"n/&gt;!0y="</f>
        <v>#VALUE!</v>
      </c>
      <c r="EC307" t="e">
        <f>Europe!D1635+"n/&gt;!0y&gt;"</f>
        <v>#VALUE!</v>
      </c>
      <c r="ED307" t="e">
        <f>Europe!E1635+"n/&gt;!0y?"</f>
        <v>#VALUE!</v>
      </c>
      <c r="EE307" t="e">
        <f>Europe!F1635+"n/&gt;!0y@"</f>
        <v>#VALUE!</v>
      </c>
      <c r="EF307" t="e">
        <f>Europe!G1635+"n/&gt;!0yA"</f>
        <v>#VALUE!</v>
      </c>
      <c r="EG307" t="e">
        <f>Europe!H1635+"n/&gt;!0yB"</f>
        <v>#VALUE!</v>
      </c>
      <c r="EH307" t="e">
        <f>Europe!I1635+"n/&gt;!0yC"</f>
        <v>#VALUE!</v>
      </c>
      <c r="EI307" t="e">
        <f>Europe!A1636+"n/&gt;!0yD"</f>
        <v>#VALUE!</v>
      </c>
      <c r="EJ307" t="e">
        <f>Europe!B1636+"n/&gt;!0yE"</f>
        <v>#VALUE!</v>
      </c>
      <c r="EK307" t="e">
        <f>Europe!C1636+"n/&gt;!0yF"</f>
        <v>#VALUE!</v>
      </c>
      <c r="EL307" t="e">
        <f>Europe!D1636+"n/&gt;!0yG"</f>
        <v>#VALUE!</v>
      </c>
      <c r="EM307" t="e">
        <f>Europe!E1636+"n/&gt;!0yH"</f>
        <v>#VALUE!</v>
      </c>
      <c r="EN307" t="e">
        <f>Europe!F1636+"n/&gt;!0yI"</f>
        <v>#VALUE!</v>
      </c>
      <c r="EO307" t="e">
        <f>Europe!G1636+"n/&gt;!0yJ"</f>
        <v>#VALUE!</v>
      </c>
      <c r="EP307" t="e">
        <f>Europe!H1636+"n/&gt;!0yK"</f>
        <v>#VALUE!</v>
      </c>
      <c r="EQ307" t="e">
        <f>Europe!I1636+"n/&gt;!0yL"</f>
        <v>#VALUE!</v>
      </c>
      <c r="ER307" t="e">
        <f>Europe!A1637+"n/&gt;!0yM"</f>
        <v>#VALUE!</v>
      </c>
      <c r="ES307" t="e">
        <f>Europe!B1637+"n/&gt;!0yN"</f>
        <v>#VALUE!</v>
      </c>
      <c r="ET307" t="e">
        <f>Europe!C1637+"n/&gt;!0yO"</f>
        <v>#VALUE!</v>
      </c>
      <c r="EU307" t="e">
        <f>Europe!D1637+"n/&gt;!0yP"</f>
        <v>#VALUE!</v>
      </c>
      <c r="EV307" t="e">
        <f>Europe!E1637+"n/&gt;!0yQ"</f>
        <v>#VALUE!</v>
      </c>
      <c r="EW307" t="e">
        <f>Europe!F1637+"n/&gt;!0yR"</f>
        <v>#VALUE!</v>
      </c>
      <c r="EX307" t="e">
        <f>Europe!G1637+"n/&gt;!0yS"</f>
        <v>#VALUE!</v>
      </c>
      <c r="EY307" t="e">
        <f>Europe!H1637+"n/&gt;!0yT"</f>
        <v>#VALUE!</v>
      </c>
      <c r="EZ307" t="e">
        <f>Europe!I1637+"n/&gt;!0yU"</f>
        <v>#VALUE!</v>
      </c>
      <c r="FA307" t="e">
        <f>Europe!A1638+"n/&gt;!0yV"</f>
        <v>#VALUE!</v>
      </c>
      <c r="FB307" t="e">
        <f>Europe!B1638+"n/&gt;!0yW"</f>
        <v>#VALUE!</v>
      </c>
      <c r="FC307" t="e">
        <f>Europe!C1638+"n/&gt;!0yX"</f>
        <v>#VALUE!</v>
      </c>
      <c r="FD307" t="e">
        <f>Europe!D1638+"n/&gt;!0yY"</f>
        <v>#VALUE!</v>
      </c>
      <c r="FE307" t="e">
        <f>Europe!E1638+"n/&gt;!0yZ"</f>
        <v>#VALUE!</v>
      </c>
      <c r="FF307" t="e">
        <f>Europe!F1638+"n/&gt;!0y["</f>
        <v>#VALUE!</v>
      </c>
      <c r="FG307" t="e">
        <f>Europe!G1638+"n/&gt;!0y\"</f>
        <v>#VALUE!</v>
      </c>
      <c r="FH307" t="e">
        <f>Europe!H1638+"n/&gt;!0y]"</f>
        <v>#VALUE!</v>
      </c>
      <c r="FI307" t="e">
        <f>Europe!I1638+"n/&gt;!0y^"</f>
        <v>#VALUE!</v>
      </c>
      <c r="FJ307" t="e">
        <f>Europe!A1639+"n/&gt;!0y_"</f>
        <v>#VALUE!</v>
      </c>
      <c r="FK307" t="e">
        <f>Europe!B1639+"n/&gt;!0y`"</f>
        <v>#VALUE!</v>
      </c>
      <c r="FL307" t="e">
        <f>Europe!C1639+"n/&gt;!0ya"</f>
        <v>#VALUE!</v>
      </c>
      <c r="FM307" t="e">
        <f>Europe!D1639+"n/&gt;!0yb"</f>
        <v>#VALUE!</v>
      </c>
      <c r="FN307" t="e">
        <f>Europe!E1639+"n/&gt;!0yc"</f>
        <v>#VALUE!</v>
      </c>
      <c r="FO307" t="e">
        <f>Europe!F1639+"n/&gt;!0yd"</f>
        <v>#VALUE!</v>
      </c>
      <c r="FP307" t="e">
        <f>Europe!G1639+"n/&gt;!0ye"</f>
        <v>#VALUE!</v>
      </c>
      <c r="FQ307" t="e">
        <f>Europe!H1639+"n/&gt;!0yf"</f>
        <v>#VALUE!</v>
      </c>
      <c r="FR307" t="e">
        <f>Europe!I1639+"n/&gt;!0yg"</f>
        <v>#VALUE!</v>
      </c>
      <c r="FS307" t="e">
        <f>Europe!A1640+"n/&gt;!0yh"</f>
        <v>#VALUE!</v>
      </c>
      <c r="FT307" t="e">
        <f>Europe!B1640+"n/&gt;!0yi"</f>
        <v>#VALUE!</v>
      </c>
      <c r="FU307" t="e">
        <f>Europe!C1640+"n/&gt;!0yj"</f>
        <v>#VALUE!</v>
      </c>
      <c r="FV307" t="e">
        <f>Europe!D1640+"n/&gt;!0yk"</f>
        <v>#VALUE!</v>
      </c>
      <c r="FW307" t="e">
        <f>Europe!E1640+"n/&gt;!0yl"</f>
        <v>#VALUE!</v>
      </c>
      <c r="FX307" t="e">
        <f>Europe!F1640+"n/&gt;!0ym"</f>
        <v>#VALUE!</v>
      </c>
      <c r="FY307" t="e">
        <f>Europe!G1640+"n/&gt;!0yn"</f>
        <v>#VALUE!</v>
      </c>
      <c r="FZ307" t="e">
        <f>Europe!H1640+"n/&gt;!0yo"</f>
        <v>#VALUE!</v>
      </c>
      <c r="GA307" t="e">
        <f>Europe!I1640+"n/&gt;!0yp"</f>
        <v>#VALUE!</v>
      </c>
      <c r="GB307" t="e">
        <f>Europe!A1641+"n/&gt;!0yq"</f>
        <v>#VALUE!</v>
      </c>
      <c r="GC307" t="e">
        <f>Europe!B1641+"n/&gt;!0yr"</f>
        <v>#VALUE!</v>
      </c>
      <c r="GD307" t="e">
        <f>Europe!C1641+"n/&gt;!0ys"</f>
        <v>#VALUE!</v>
      </c>
      <c r="GE307" t="e">
        <f>Europe!D1641+"n/&gt;!0yt"</f>
        <v>#VALUE!</v>
      </c>
      <c r="GF307" t="e">
        <f>Europe!E1641+"n/&gt;!0yu"</f>
        <v>#VALUE!</v>
      </c>
      <c r="GG307" t="e">
        <f>Europe!F1641+"n/&gt;!0yv"</f>
        <v>#VALUE!</v>
      </c>
      <c r="GH307" t="e">
        <f>Europe!G1641+"n/&gt;!0yw"</f>
        <v>#VALUE!</v>
      </c>
      <c r="GI307" t="e">
        <f>Europe!H1641+"n/&gt;!0yx"</f>
        <v>#VALUE!</v>
      </c>
      <c r="GJ307" t="e">
        <f>Europe!I1641+"n/&gt;!0yy"</f>
        <v>#VALUE!</v>
      </c>
      <c r="GK307" t="e">
        <f>Europe!A1642+"n/&gt;!0yz"</f>
        <v>#VALUE!</v>
      </c>
      <c r="GL307" t="e">
        <f>Europe!B1642+"n/&gt;!0y{"</f>
        <v>#VALUE!</v>
      </c>
      <c r="GM307" t="e">
        <f>Europe!C1642+"n/&gt;!0y|"</f>
        <v>#VALUE!</v>
      </c>
      <c r="GN307" t="e">
        <f>Europe!D1642+"n/&gt;!0y}"</f>
        <v>#VALUE!</v>
      </c>
      <c r="GO307" t="e">
        <f>Europe!E1642+"n/&gt;!0y~"</f>
        <v>#VALUE!</v>
      </c>
      <c r="GP307" t="e">
        <f>Europe!F1642+"n/&gt;!0z#"</f>
        <v>#VALUE!</v>
      </c>
      <c r="GQ307" t="e">
        <f>Europe!G1642+"n/&gt;!0z$"</f>
        <v>#VALUE!</v>
      </c>
      <c r="GR307" t="e">
        <f>Europe!H1642+"n/&gt;!0z%"</f>
        <v>#VALUE!</v>
      </c>
      <c r="GS307" t="e">
        <f>Europe!I1642+"n/&gt;!0z&amp;"</f>
        <v>#VALUE!</v>
      </c>
      <c r="GT307" t="e">
        <f>Europe!A1643+"n/&gt;!0z'"</f>
        <v>#VALUE!</v>
      </c>
      <c r="GU307" t="e">
        <f>Europe!B1643+"n/&gt;!0z("</f>
        <v>#VALUE!</v>
      </c>
      <c r="GV307" t="e">
        <f>Europe!C1643+"n/&gt;!0z)"</f>
        <v>#VALUE!</v>
      </c>
      <c r="GW307" t="e">
        <f>Europe!D1643+"n/&gt;!0z."</f>
        <v>#VALUE!</v>
      </c>
      <c r="GX307" t="e">
        <f>Europe!E1643+"n/&gt;!0z/"</f>
        <v>#VALUE!</v>
      </c>
      <c r="GY307" t="e">
        <f>Europe!F1643+"n/&gt;!0z0"</f>
        <v>#VALUE!</v>
      </c>
      <c r="GZ307" t="e">
        <f>Europe!G1643+"n/&gt;!0z1"</f>
        <v>#VALUE!</v>
      </c>
      <c r="HA307" t="e">
        <f>Europe!H1643+"n/&gt;!0z2"</f>
        <v>#VALUE!</v>
      </c>
      <c r="HB307" t="e">
        <f>Europe!I1643+"n/&gt;!0z3"</f>
        <v>#VALUE!</v>
      </c>
      <c r="HC307" t="e">
        <f>Europe!A1644+"n/&gt;!0z4"</f>
        <v>#VALUE!</v>
      </c>
      <c r="HD307" t="e">
        <f>Europe!B1644+"n/&gt;!0z5"</f>
        <v>#VALUE!</v>
      </c>
      <c r="HE307" t="e">
        <f>Europe!C1644+"n/&gt;!0z6"</f>
        <v>#VALUE!</v>
      </c>
      <c r="HF307" t="e">
        <f>Europe!D1644+"n/&gt;!0z7"</f>
        <v>#VALUE!</v>
      </c>
      <c r="HG307" t="e">
        <f>Europe!E1644+"n/&gt;!0z8"</f>
        <v>#VALUE!</v>
      </c>
      <c r="HH307" t="e">
        <f>Europe!F1644+"n/&gt;!0z9"</f>
        <v>#VALUE!</v>
      </c>
      <c r="HI307" t="e">
        <f>Europe!G1644+"n/&gt;!0z:"</f>
        <v>#VALUE!</v>
      </c>
      <c r="HJ307" t="e">
        <f>Europe!H1644+"n/&gt;!0z;"</f>
        <v>#VALUE!</v>
      </c>
      <c r="HK307" t="e">
        <f>Europe!I1644+"n/&gt;!0z&lt;"</f>
        <v>#VALUE!</v>
      </c>
      <c r="HL307" t="e">
        <f>Europe!A1645+"n/&gt;!0z="</f>
        <v>#VALUE!</v>
      </c>
      <c r="HM307" t="e">
        <f>Europe!B1645+"n/&gt;!0z&gt;"</f>
        <v>#VALUE!</v>
      </c>
      <c r="HN307" t="e">
        <f>Europe!C1645+"n/&gt;!0z?"</f>
        <v>#VALUE!</v>
      </c>
      <c r="HO307" t="e">
        <f>Europe!D1645+"n/&gt;!0z@"</f>
        <v>#VALUE!</v>
      </c>
      <c r="HP307" t="e">
        <f>Europe!E1645+"n/&gt;!0zA"</f>
        <v>#VALUE!</v>
      </c>
      <c r="HQ307" t="e">
        <f>Europe!F1645+"n/&gt;!0zB"</f>
        <v>#VALUE!</v>
      </c>
      <c r="HR307" t="e">
        <f>Europe!G1645+"n/&gt;!0zC"</f>
        <v>#VALUE!</v>
      </c>
      <c r="HS307" t="e">
        <f>Europe!H1645+"n/&gt;!0zD"</f>
        <v>#VALUE!</v>
      </c>
      <c r="HT307" t="e">
        <f>Europe!I1645+"n/&gt;!0zE"</f>
        <v>#VALUE!</v>
      </c>
      <c r="HU307" t="e">
        <f>Europe!A1646+"n/&gt;!0zF"</f>
        <v>#VALUE!</v>
      </c>
      <c r="HV307" t="e">
        <f>Europe!B1646+"n/&gt;!0zG"</f>
        <v>#VALUE!</v>
      </c>
      <c r="HW307" t="e">
        <f>Europe!C1646+"n/&gt;!0zH"</f>
        <v>#VALUE!</v>
      </c>
      <c r="HX307" t="e">
        <f>Europe!D1646+"n/&gt;!0zI"</f>
        <v>#VALUE!</v>
      </c>
      <c r="HY307" t="e">
        <f>Europe!E1646+"n/&gt;!0zJ"</f>
        <v>#VALUE!</v>
      </c>
      <c r="HZ307" t="e">
        <f>Europe!F1646+"n/&gt;!0zK"</f>
        <v>#VALUE!</v>
      </c>
      <c r="IA307" t="e">
        <f>Europe!G1646+"n/&gt;!0zL"</f>
        <v>#VALUE!</v>
      </c>
      <c r="IB307" t="e">
        <f>Europe!H1646+"n/&gt;!0zM"</f>
        <v>#VALUE!</v>
      </c>
      <c r="IC307" t="e">
        <f>Europe!I1646+"n/&gt;!0zN"</f>
        <v>#VALUE!</v>
      </c>
      <c r="ID307" t="e">
        <f>Europe!A1647+"n/&gt;!0zO"</f>
        <v>#VALUE!</v>
      </c>
      <c r="IE307" t="e">
        <f>Europe!B1647+"n/&gt;!0zP"</f>
        <v>#VALUE!</v>
      </c>
      <c r="IF307" t="e">
        <f>Europe!C1647+"n/&gt;!0zQ"</f>
        <v>#VALUE!</v>
      </c>
      <c r="IG307" t="e">
        <f>Europe!D1647+"n/&gt;!0zR"</f>
        <v>#VALUE!</v>
      </c>
      <c r="IH307" t="e">
        <f>Europe!E1647+"n/&gt;!0zS"</f>
        <v>#VALUE!</v>
      </c>
      <c r="II307" t="e">
        <f>Europe!F1647+"n/&gt;!0zT"</f>
        <v>#VALUE!</v>
      </c>
      <c r="IJ307" t="e">
        <f>Europe!G1647+"n/&gt;!0zU"</f>
        <v>#VALUE!</v>
      </c>
      <c r="IK307" t="e">
        <f>Europe!H1647+"n/&gt;!0zV"</f>
        <v>#VALUE!</v>
      </c>
      <c r="IL307" t="e">
        <f>Europe!I1647+"n/&gt;!0zW"</f>
        <v>#VALUE!</v>
      </c>
      <c r="IM307" t="e">
        <f>Europe!A1648+"n/&gt;!0zX"</f>
        <v>#VALUE!</v>
      </c>
      <c r="IN307" t="e">
        <f>Europe!B1648+"n/&gt;!0zY"</f>
        <v>#VALUE!</v>
      </c>
      <c r="IO307" t="e">
        <f>Europe!C1648+"n/&gt;!0zZ"</f>
        <v>#VALUE!</v>
      </c>
      <c r="IP307" t="e">
        <f>Europe!D1648+"n/&gt;!0z["</f>
        <v>#VALUE!</v>
      </c>
      <c r="IQ307" t="e">
        <f>Europe!E1648+"n/&gt;!0z\"</f>
        <v>#VALUE!</v>
      </c>
      <c r="IR307" t="e">
        <f>Europe!F1648+"n/&gt;!0z]"</f>
        <v>#VALUE!</v>
      </c>
      <c r="IS307" t="e">
        <f>Europe!G1648+"n/&gt;!0z^"</f>
        <v>#VALUE!</v>
      </c>
      <c r="IT307" t="e">
        <f>Europe!H1648+"n/&gt;!0z_"</f>
        <v>#VALUE!</v>
      </c>
      <c r="IU307" t="e">
        <f>Europe!I1648+"n/&gt;!0z`"</f>
        <v>#VALUE!</v>
      </c>
      <c r="IV307" t="e">
        <f>Europe!A1649+"n/&gt;!0za"</f>
        <v>#VALUE!</v>
      </c>
    </row>
    <row r="308" spans="6:256" x14ac:dyDescent="0.35">
      <c r="F308" t="e">
        <f>Europe!B1649+"n/&gt;!0zb"</f>
        <v>#VALUE!</v>
      </c>
      <c r="G308" t="e">
        <f>Europe!C1649+"n/&gt;!0zc"</f>
        <v>#VALUE!</v>
      </c>
      <c r="H308" t="e">
        <f>Europe!D1649+"n/&gt;!0zd"</f>
        <v>#VALUE!</v>
      </c>
      <c r="I308" t="e">
        <f>Europe!E1649+"n/&gt;!0ze"</f>
        <v>#VALUE!</v>
      </c>
      <c r="J308" t="e">
        <f>Europe!F1649+"n/&gt;!0zf"</f>
        <v>#VALUE!</v>
      </c>
      <c r="K308" t="e">
        <f>Europe!G1649+"n/&gt;!0zg"</f>
        <v>#VALUE!</v>
      </c>
      <c r="L308" t="e">
        <f>Europe!H1649+"n/&gt;!0zh"</f>
        <v>#VALUE!</v>
      </c>
      <c r="M308" t="e">
        <f>Europe!I1649+"n/&gt;!0zi"</f>
        <v>#VALUE!</v>
      </c>
      <c r="N308" t="e">
        <f>Europe!A1650+"n/&gt;!0zj"</f>
        <v>#VALUE!</v>
      </c>
      <c r="O308" t="e">
        <f>Europe!B1650+"n/&gt;!0zk"</f>
        <v>#VALUE!</v>
      </c>
      <c r="P308" t="e">
        <f>Europe!C1650+"n/&gt;!0zl"</f>
        <v>#VALUE!</v>
      </c>
      <c r="Q308" t="e">
        <f>Europe!D1650+"n/&gt;!0zm"</f>
        <v>#VALUE!</v>
      </c>
      <c r="R308" t="e">
        <f>Europe!E1650+"n/&gt;!0zn"</f>
        <v>#VALUE!</v>
      </c>
      <c r="S308" t="e">
        <f>Europe!F1650+"n/&gt;!0zo"</f>
        <v>#VALUE!</v>
      </c>
      <c r="T308" t="e">
        <f>Europe!G1650+"n/&gt;!0zp"</f>
        <v>#VALUE!</v>
      </c>
      <c r="U308" t="e">
        <f>Europe!H1650+"n/&gt;!0zq"</f>
        <v>#VALUE!</v>
      </c>
      <c r="V308" t="e">
        <f>Europe!I1650+"n/&gt;!0zr"</f>
        <v>#VALUE!</v>
      </c>
      <c r="W308" t="e">
        <f>Europe!A1651+"n/&gt;!0zs"</f>
        <v>#VALUE!</v>
      </c>
      <c r="X308" t="e">
        <f>Europe!B1651+"n/&gt;!0zt"</f>
        <v>#VALUE!</v>
      </c>
      <c r="Y308" t="e">
        <f>Europe!C1651+"n/&gt;!0zu"</f>
        <v>#VALUE!</v>
      </c>
      <c r="Z308" t="e">
        <f>Europe!D1651+"n/&gt;!0zv"</f>
        <v>#VALUE!</v>
      </c>
      <c r="AA308" t="e">
        <f>Europe!E1651+"n/&gt;!0zw"</f>
        <v>#VALUE!</v>
      </c>
      <c r="AB308" t="e">
        <f>Europe!F1651+"n/&gt;!0zx"</f>
        <v>#VALUE!</v>
      </c>
      <c r="AC308" t="e">
        <f>Europe!G1651+"n/&gt;!0zy"</f>
        <v>#VALUE!</v>
      </c>
      <c r="AD308" t="e">
        <f>Europe!H1651+"n/&gt;!0zz"</f>
        <v>#VALUE!</v>
      </c>
      <c r="AE308" t="e">
        <f>Europe!I1651+"n/&gt;!0z{"</f>
        <v>#VALUE!</v>
      </c>
      <c r="AF308" t="e">
        <f>Europe!A1652+"n/&gt;!0z|"</f>
        <v>#VALUE!</v>
      </c>
      <c r="AG308" t="e">
        <f>Europe!B1652+"n/&gt;!0z}"</f>
        <v>#VALUE!</v>
      </c>
      <c r="AH308" t="e">
        <f>Europe!C1652+"n/&gt;!0z~"</f>
        <v>#VALUE!</v>
      </c>
      <c r="AI308" t="e">
        <f>Europe!D1652+"n/&gt;!0{#"</f>
        <v>#VALUE!</v>
      </c>
      <c r="AJ308" t="e">
        <f>Europe!E1652+"n/&gt;!0{$"</f>
        <v>#VALUE!</v>
      </c>
      <c r="AK308" t="e">
        <f>Europe!F1652+"n/&gt;!0{%"</f>
        <v>#VALUE!</v>
      </c>
      <c r="AL308" t="e">
        <f>Europe!G1652+"n/&gt;!0{&amp;"</f>
        <v>#VALUE!</v>
      </c>
      <c r="AM308" t="e">
        <f>Europe!H1652+"n/&gt;!0{'"</f>
        <v>#VALUE!</v>
      </c>
      <c r="AN308" t="e">
        <f>Europe!I1652+"n/&gt;!0{("</f>
        <v>#VALUE!</v>
      </c>
      <c r="AO308" t="e">
        <f>Europe!A1653+"n/&gt;!0{)"</f>
        <v>#VALUE!</v>
      </c>
      <c r="AP308" t="e">
        <f>Europe!B1653+"n/&gt;!0{."</f>
        <v>#VALUE!</v>
      </c>
      <c r="AQ308" t="e">
        <f>Europe!C1653+"n/&gt;!0{/"</f>
        <v>#VALUE!</v>
      </c>
      <c r="AR308" t="e">
        <f>Europe!D1653+"n/&gt;!0{0"</f>
        <v>#VALUE!</v>
      </c>
      <c r="AS308" t="e">
        <f>Europe!E1653+"n/&gt;!0{1"</f>
        <v>#VALUE!</v>
      </c>
      <c r="AT308" t="e">
        <f>Europe!F1653+"n/&gt;!0{2"</f>
        <v>#VALUE!</v>
      </c>
      <c r="AU308" t="e">
        <f>Europe!G1653+"n/&gt;!0{3"</f>
        <v>#VALUE!</v>
      </c>
      <c r="AV308" t="e">
        <f>Europe!H1653+"n/&gt;!0{4"</f>
        <v>#VALUE!</v>
      </c>
      <c r="AW308" t="e">
        <f>Europe!I1653+"n/&gt;!0{5"</f>
        <v>#VALUE!</v>
      </c>
      <c r="AX308" t="e">
        <f>Europe!A1654+"n/&gt;!0{6"</f>
        <v>#VALUE!</v>
      </c>
      <c r="AY308" t="e">
        <f>Europe!B1654+"n/&gt;!0{7"</f>
        <v>#VALUE!</v>
      </c>
      <c r="AZ308" t="e">
        <f>Europe!C1654+"n/&gt;!0{8"</f>
        <v>#VALUE!</v>
      </c>
      <c r="BA308" t="e">
        <f>Europe!D1654+"n/&gt;!0{9"</f>
        <v>#VALUE!</v>
      </c>
      <c r="BB308" t="e">
        <f>Europe!E1654+"n/&gt;!0{:"</f>
        <v>#VALUE!</v>
      </c>
      <c r="BC308" t="e">
        <f>Europe!F1654+"n/&gt;!0{;"</f>
        <v>#VALUE!</v>
      </c>
      <c r="BD308" t="e">
        <f>Europe!G1654+"n/&gt;!0{&lt;"</f>
        <v>#VALUE!</v>
      </c>
      <c r="BE308" t="e">
        <f>Europe!H1654+"n/&gt;!0{="</f>
        <v>#VALUE!</v>
      </c>
      <c r="BF308" t="e">
        <f>Europe!I1654+"n/&gt;!0{&gt;"</f>
        <v>#VALUE!</v>
      </c>
      <c r="BG308" t="e">
        <f>Europe!A1655+"n/&gt;!0{?"</f>
        <v>#VALUE!</v>
      </c>
      <c r="BH308" t="e">
        <f>Europe!B1655+"n/&gt;!0{@"</f>
        <v>#VALUE!</v>
      </c>
      <c r="BI308" t="e">
        <f>Europe!C1655+"n/&gt;!0{A"</f>
        <v>#VALUE!</v>
      </c>
      <c r="BJ308" t="e">
        <f>Europe!D1655+"n/&gt;!0{B"</f>
        <v>#VALUE!</v>
      </c>
      <c r="BK308" t="e">
        <f>Europe!E1655+"n/&gt;!0{C"</f>
        <v>#VALUE!</v>
      </c>
      <c r="BL308" t="e">
        <f>Europe!F1655+"n/&gt;!0{D"</f>
        <v>#VALUE!</v>
      </c>
      <c r="BM308" t="e">
        <f>Europe!G1655+"n/&gt;!0{E"</f>
        <v>#VALUE!</v>
      </c>
      <c r="BN308" t="e">
        <f>Europe!H1655+"n/&gt;!0{F"</f>
        <v>#VALUE!</v>
      </c>
      <c r="BO308" t="e">
        <f>Europe!I1655+"n/&gt;!0{G"</f>
        <v>#VALUE!</v>
      </c>
      <c r="BP308" t="e">
        <f>Europe!A1656+"n/&gt;!0{H"</f>
        <v>#VALUE!</v>
      </c>
      <c r="BQ308" t="e">
        <f>Europe!B1656+"n/&gt;!0{I"</f>
        <v>#VALUE!</v>
      </c>
      <c r="BR308" t="e">
        <f>Europe!C1656+"n/&gt;!0{J"</f>
        <v>#VALUE!</v>
      </c>
      <c r="BS308" t="e">
        <f>Europe!D1656+"n/&gt;!0{K"</f>
        <v>#VALUE!</v>
      </c>
      <c r="BT308" t="e">
        <f>Europe!E1656+"n/&gt;!0{L"</f>
        <v>#VALUE!</v>
      </c>
      <c r="BU308" t="e">
        <f>Europe!F1656+"n/&gt;!0{M"</f>
        <v>#VALUE!</v>
      </c>
      <c r="BV308" t="e">
        <f>Europe!G1656+"n/&gt;!0{N"</f>
        <v>#VALUE!</v>
      </c>
      <c r="BW308" t="e">
        <f>Europe!H1656+"n/&gt;!0{O"</f>
        <v>#VALUE!</v>
      </c>
      <c r="BX308" t="e">
        <f>Europe!I1656+"n/&gt;!0{P"</f>
        <v>#VALUE!</v>
      </c>
      <c r="BY308" t="e">
        <f>Europe!A1657+"n/&gt;!0{Q"</f>
        <v>#VALUE!</v>
      </c>
      <c r="BZ308" t="e">
        <f>Europe!B1657+"n/&gt;!0{R"</f>
        <v>#VALUE!</v>
      </c>
      <c r="CA308" t="e">
        <f>Europe!C1657+"n/&gt;!0{S"</f>
        <v>#VALUE!</v>
      </c>
      <c r="CB308" t="e">
        <f>Europe!D1657+"n/&gt;!0{T"</f>
        <v>#VALUE!</v>
      </c>
      <c r="CC308" t="e">
        <f>Europe!E1657+"n/&gt;!0{U"</f>
        <v>#VALUE!</v>
      </c>
      <c r="CD308" t="e">
        <f>Europe!F1657+"n/&gt;!0{V"</f>
        <v>#VALUE!</v>
      </c>
      <c r="CE308" t="e">
        <f>Europe!G1657+"n/&gt;!0{W"</f>
        <v>#VALUE!</v>
      </c>
      <c r="CF308" t="e">
        <f>Europe!H1657+"n/&gt;!0{X"</f>
        <v>#VALUE!</v>
      </c>
      <c r="CG308" t="e">
        <f>Europe!I1657+"n/&gt;!0{Y"</f>
        <v>#VALUE!</v>
      </c>
      <c r="CH308" t="e">
        <f>Europe!A1658+"n/&gt;!0{Z"</f>
        <v>#VALUE!</v>
      </c>
      <c r="CI308" t="e">
        <f>Europe!B1658+"n/&gt;!0{["</f>
        <v>#VALUE!</v>
      </c>
      <c r="CJ308" t="e">
        <f>Europe!C1658+"n/&gt;!0{\"</f>
        <v>#VALUE!</v>
      </c>
      <c r="CK308" t="e">
        <f>Europe!D1658+"n/&gt;!0{]"</f>
        <v>#VALUE!</v>
      </c>
      <c r="CL308" t="e">
        <f>Europe!E1658+"n/&gt;!0{^"</f>
        <v>#VALUE!</v>
      </c>
      <c r="CM308" t="e">
        <f>Europe!F1658+"n/&gt;!0{_"</f>
        <v>#VALUE!</v>
      </c>
      <c r="CN308" t="e">
        <f>Europe!G1658+"n/&gt;!0{`"</f>
        <v>#VALUE!</v>
      </c>
      <c r="CO308" t="e">
        <f>Europe!H1658+"n/&gt;!0{a"</f>
        <v>#VALUE!</v>
      </c>
      <c r="CP308" t="e">
        <f>Europe!I1658+"n/&gt;!0{b"</f>
        <v>#VALUE!</v>
      </c>
      <c r="CQ308" t="e">
        <f>Europe!A1659+"n/&gt;!0{c"</f>
        <v>#VALUE!</v>
      </c>
      <c r="CR308" t="e">
        <f>Europe!B1659+"n/&gt;!0{d"</f>
        <v>#VALUE!</v>
      </c>
      <c r="CS308" t="e">
        <f>Europe!C1659+"n/&gt;!0{e"</f>
        <v>#VALUE!</v>
      </c>
      <c r="CT308" t="e">
        <f>Europe!D1659+"n/&gt;!0{f"</f>
        <v>#VALUE!</v>
      </c>
      <c r="CU308" t="e">
        <f>Europe!E1659+"n/&gt;!0{g"</f>
        <v>#VALUE!</v>
      </c>
      <c r="CV308" t="e">
        <f>Europe!F1659+"n/&gt;!0{h"</f>
        <v>#VALUE!</v>
      </c>
      <c r="CW308" t="e">
        <f>Europe!G1659+"n/&gt;!0{i"</f>
        <v>#VALUE!</v>
      </c>
      <c r="CX308" t="e">
        <f>Europe!H1659+"n/&gt;!0{j"</f>
        <v>#VALUE!</v>
      </c>
      <c r="CY308" t="e">
        <f>Europe!I1659+"n/&gt;!0{k"</f>
        <v>#VALUE!</v>
      </c>
      <c r="CZ308" t="e">
        <f>Europe!A1660+"n/&gt;!0{l"</f>
        <v>#VALUE!</v>
      </c>
      <c r="DA308" t="e">
        <f>Europe!B1660+"n/&gt;!0{m"</f>
        <v>#VALUE!</v>
      </c>
      <c r="DB308" t="e">
        <f>Europe!C1660+"n/&gt;!0{n"</f>
        <v>#VALUE!</v>
      </c>
      <c r="DC308" t="e">
        <f>Europe!D1660+"n/&gt;!0{o"</f>
        <v>#VALUE!</v>
      </c>
      <c r="DD308" t="e">
        <f>Europe!E1660+"n/&gt;!0{p"</f>
        <v>#VALUE!</v>
      </c>
      <c r="DE308" t="e">
        <f>Europe!F1660+"n/&gt;!0{q"</f>
        <v>#VALUE!</v>
      </c>
      <c r="DF308" t="e">
        <f>Europe!G1660+"n/&gt;!0{r"</f>
        <v>#VALUE!</v>
      </c>
      <c r="DG308" t="e">
        <f>Europe!H1660+"n/&gt;!0{s"</f>
        <v>#VALUE!</v>
      </c>
      <c r="DH308" t="e">
        <f>Europe!I1660+"n/&gt;!0{t"</f>
        <v>#VALUE!</v>
      </c>
      <c r="DI308" t="e">
        <f>Europe!A1661+"n/&gt;!0{u"</f>
        <v>#VALUE!</v>
      </c>
      <c r="DJ308" t="e">
        <f>Europe!B1661+"n/&gt;!0{v"</f>
        <v>#VALUE!</v>
      </c>
      <c r="DK308" t="e">
        <f>Europe!C1661+"n/&gt;!0{w"</f>
        <v>#VALUE!</v>
      </c>
      <c r="DL308" t="e">
        <f>Europe!D1661+"n/&gt;!0{x"</f>
        <v>#VALUE!</v>
      </c>
      <c r="DM308" t="e">
        <f>Europe!E1661+"n/&gt;!0{y"</f>
        <v>#VALUE!</v>
      </c>
      <c r="DN308" t="e">
        <f>Europe!F1661+"n/&gt;!0{z"</f>
        <v>#VALUE!</v>
      </c>
      <c r="DO308" t="e">
        <f>Europe!G1661+"n/&gt;!0{{"</f>
        <v>#VALUE!</v>
      </c>
      <c r="DP308" t="e">
        <f>Europe!H1661+"n/&gt;!0{|"</f>
        <v>#VALUE!</v>
      </c>
      <c r="DQ308" t="e">
        <f>Europe!I1661+"n/&gt;!0{}"</f>
        <v>#VALUE!</v>
      </c>
      <c r="DR308" t="e">
        <f>Europe!A1662+"n/&gt;!0{~"</f>
        <v>#VALUE!</v>
      </c>
      <c r="DS308" t="e">
        <f>Europe!B1662+"n/&gt;!0|#"</f>
        <v>#VALUE!</v>
      </c>
      <c r="DT308" t="e">
        <f>Europe!C1662+"n/&gt;!0|$"</f>
        <v>#VALUE!</v>
      </c>
      <c r="DU308" t="e">
        <f>Europe!D1662+"n/&gt;!0|%"</f>
        <v>#VALUE!</v>
      </c>
      <c r="DV308" t="e">
        <f>Europe!E1662+"n/&gt;!0|&amp;"</f>
        <v>#VALUE!</v>
      </c>
      <c r="DW308" t="e">
        <f>Europe!F1662+"n/&gt;!0|'"</f>
        <v>#VALUE!</v>
      </c>
      <c r="DX308" t="e">
        <f>Europe!G1662+"n/&gt;!0|("</f>
        <v>#VALUE!</v>
      </c>
      <c r="DY308" t="e">
        <f>Europe!H1662+"n/&gt;!0|)"</f>
        <v>#VALUE!</v>
      </c>
      <c r="DZ308" t="e">
        <f>Europe!I1662+"n/&gt;!0|."</f>
        <v>#VALUE!</v>
      </c>
      <c r="EA308" t="e">
        <f>Europe!A1663+"n/&gt;!0|/"</f>
        <v>#VALUE!</v>
      </c>
      <c r="EB308" t="e">
        <f>Europe!B1663+"n/&gt;!0|0"</f>
        <v>#VALUE!</v>
      </c>
      <c r="EC308" t="e">
        <f>Europe!C1663+"n/&gt;!0|1"</f>
        <v>#VALUE!</v>
      </c>
      <c r="ED308" t="e">
        <f>Europe!D1663+"n/&gt;!0|2"</f>
        <v>#VALUE!</v>
      </c>
      <c r="EE308" t="e">
        <f>Europe!E1663+"n/&gt;!0|3"</f>
        <v>#VALUE!</v>
      </c>
      <c r="EF308" t="e">
        <f>Europe!F1663+"n/&gt;!0|4"</f>
        <v>#VALUE!</v>
      </c>
      <c r="EG308" t="e">
        <f>Europe!G1663+"n/&gt;!0|5"</f>
        <v>#VALUE!</v>
      </c>
      <c r="EH308" t="e">
        <f>Europe!H1663+"n/&gt;!0|6"</f>
        <v>#VALUE!</v>
      </c>
      <c r="EI308" t="e">
        <f>Europe!I1663+"n/&gt;!0|7"</f>
        <v>#VALUE!</v>
      </c>
      <c r="EJ308" t="e">
        <f>Europe!A1664+"n/&gt;!0|8"</f>
        <v>#VALUE!</v>
      </c>
      <c r="EK308" t="e">
        <f>Europe!B1664+"n/&gt;!0|9"</f>
        <v>#VALUE!</v>
      </c>
      <c r="EL308" t="e">
        <f>Europe!C1664+"n/&gt;!0|:"</f>
        <v>#VALUE!</v>
      </c>
      <c r="EM308" t="e">
        <f>Europe!D1664+"n/&gt;!0|;"</f>
        <v>#VALUE!</v>
      </c>
      <c r="EN308" t="e">
        <f>Europe!E1664+"n/&gt;!0|&lt;"</f>
        <v>#VALUE!</v>
      </c>
      <c r="EO308" t="e">
        <f>Europe!F1664+"n/&gt;!0|="</f>
        <v>#VALUE!</v>
      </c>
      <c r="EP308" t="e">
        <f>Europe!G1664+"n/&gt;!0|&gt;"</f>
        <v>#VALUE!</v>
      </c>
      <c r="EQ308" t="e">
        <f>Europe!H1664+"n/&gt;!0|?"</f>
        <v>#VALUE!</v>
      </c>
      <c r="ER308" t="e">
        <f>Europe!I1664+"n/&gt;!0|@"</f>
        <v>#VALUE!</v>
      </c>
      <c r="ES308" t="e">
        <f>Europe!A1665+"n/&gt;!0|A"</f>
        <v>#VALUE!</v>
      </c>
      <c r="ET308" t="e">
        <f>Europe!B1665+"n/&gt;!0|B"</f>
        <v>#VALUE!</v>
      </c>
      <c r="EU308" t="e">
        <f>Europe!C1665+"n/&gt;!0|C"</f>
        <v>#VALUE!</v>
      </c>
      <c r="EV308" t="e">
        <f>Europe!D1665+"n/&gt;!0|D"</f>
        <v>#VALUE!</v>
      </c>
      <c r="EW308" t="e">
        <f>Europe!E1665+"n/&gt;!0|E"</f>
        <v>#VALUE!</v>
      </c>
      <c r="EX308" t="e">
        <f>Europe!F1665+"n/&gt;!0|F"</f>
        <v>#VALUE!</v>
      </c>
      <c r="EY308" t="e">
        <f>Europe!G1665+"n/&gt;!0|G"</f>
        <v>#VALUE!</v>
      </c>
      <c r="EZ308" t="e">
        <f>Europe!H1665+"n/&gt;!0|H"</f>
        <v>#VALUE!</v>
      </c>
      <c r="FA308" t="e">
        <f>Europe!I1665+"n/&gt;!0|I"</f>
        <v>#VALUE!</v>
      </c>
      <c r="FB308" t="e">
        <f>Europe!A1666+"n/&gt;!0|J"</f>
        <v>#VALUE!</v>
      </c>
      <c r="FC308" t="e">
        <f>Europe!B1666+"n/&gt;!0|K"</f>
        <v>#VALUE!</v>
      </c>
      <c r="FD308" t="e">
        <f>Europe!C1666+"n/&gt;!0|L"</f>
        <v>#VALUE!</v>
      </c>
      <c r="FE308" t="e">
        <f>Europe!D1666+"n/&gt;!0|M"</f>
        <v>#VALUE!</v>
      </c>
      <c r="FF308" t="e">
        <f>Europe!E1666+"n/&gt;!0|N"</f>
        <v>#VALUE!</v>
      </c>
      <c r="FG308" t="e">
        <f>Europe!F1666+"n/&gt;!0|O"</f>
        <v>#VALUE!</v>
      </c>
      <c r="FH308" t="e">
        <f>Europe!G1666+"n/&gt;!0|P"</f>
        <v>#VALUE!</v>
      </c>
      <c r="FI308" t="e">
        <f>Europe!H1666+"n/&gt;!0|Q"</f>
        <v>#VALUE!</v>
      </c>
      <c r="FJ308" t="e">
        <f>Europe!I1666+"n/&gt;!0|R"</f>
        <v>#VALUE!</v>
      </c>
      <c r="FK308" t="e">
        <f>Europe!A1667+"n/&gt;!0|S"</f>
        <v>#VALUE!</v>
      </c>
      <c r="FL308" t="e">
        <f>Europe!B1667+"n/&gt;!0|T"</f>
        <v>#VALUE!</v>
      </c>
      <c r="FM308" t="e">
        <f>Europe!C1667+"n/&gt;!0|U"</f>
        <v>#VALUE!</v>
      </c>
      <c r="FN308" t="e">
        <f>Europe!D1667+"n/&gt;!0|V"</f>
        <v>#VALUE!</v>
      </c>
      <c r="FO308" t="e">
        <f>Europe!E1667+"n/&gt;!0|W"</f>
        <v>#VALUE!</v>
      </c>
      <c r="FP308" t="e">
        <f>Europe!F1667+"n/&gt;!0|X"</f>
        <v>#VALUE!</v>
      </c>
      <c r="FQ308" t="e">
        <f>Europe!G1667+"n/&gt;!0|Y"</f>
        <v>#VALUE!</v>
      </c>
      <c r="FR308" t="e">
        <f>Europe!H1667+"n/&gt;!0|Z"</f>
        <v>#VALUE!</v>
      </c>
      <c r="FS308" t="e">
        <f>Europe!I1667+"n/&gt;!0|["</f>
        <v>#VALUE!</v>
      </c>
      <c r="FT308" t="e">
        <f>Europe!A1668+"n/&gt;!0|\"</f>
        <v>#VALUE!</v>
      </c>
      <c r="FU308" t="e">
        <f>Europe!B1668+"n/&gt;!0|]"</f>
        <v>#VALUE!</v>
      </c>
      <c r="FV308" t="e">
        <f>Europe!C1668+"n/&gt;!0|^"</f>
        <v>#VALUE!</v>
      </c>
      <c r="FW308" t="e">
        <f>Europe!D1668+"n/&gt;!0|_"</f>
        <v>#VALUE!</v>
      </c>
      <c r="FX308" t="e">
        <f>Europe!E1668+"n/&gt;!0|`"</f>
        <v>#VALUE!</v>
      </c>
      <c r="FY308" t="e">
        <f>Europe!F1668+"n/&gt;!0|a"</f>
        <v>#VALUE!</v>
      </c>
      <c r="FZ308" t="e">
        <f>Europe!G1668+"n/&gt;!0|b"</f>
        <v>#VALUE!</v>
      </c>
      <c r="GA308" t="e">
        <f>Europe!H1668+"n/&gt;!0|c"</f>
        <v>#VALUE!</v>
      </c>
      <c r="GB308" t="e">
        <f>Europe!I1668+"n/&gt;!0|d"</f>
        <v>#VALUE!</v>
      </c>
      <c r="GC308" t="e">
        <f>Europe!A1669+"n/&gt;!0|e"</f>
        <v>#VALUE!</v>
      </c>
      <c r="GD308" t="e">
        <f>Europe!B1669+"n/&gt;!0|f"</f>
        <v>#VALUE!</v>
      </c>
      <c r="GE308" t="e">
        <f>Europe!C1669+"n/&gt;!0|g"</f>
        <v>#VALUE!</v>
      </c>
      <c r="GF308" t="e">
        <f>Europe!D1669+"n/&gt;!0|h"</f>
        <v>#VALUE!</v>
      </c>
      <c r="GG308" t="e">
        <f>Europe!E1669+"n/&gt;!0|i"</f>
        <v>#VALUE!</v>
      </c>
      <c r="GH308" t="e">
        <f>Europe!F1669+"n/&gt;!0|j"</f>
        <v>#VALUE!</v>
      </c>
      <c r="GI308" t="e">
        <f>Europe!G1669+"n/&gt;!0|k"</f>
        <v>#VALUE!</v>
      </c>
      <c r="GJ308" t="e">
        <f>Europe!H1669+"n/&gt;!0|l"</f>
        <v>#VALUE!</v>
      </c>
      <c r="GK308" t="e">
        <f>Europe!I1669+"n/&gt;!0|m"</f>
        <v>#VALUE!</v>
      </c>
      <c r="GL308" t="e">
        <f>Europe!A1670+"n/&gt;!0|n"</f>
        <v>#VALUE!</v>
      </c>
      <c r="GM308" t="e">
        <f>Europe!B1670+"n/&gt;!0|o"</f>
        <v>#VALUE!</v>
      </c>
      <c r="GN308" t="e">
        <f>Europe!C1670+"n/&gt;!0|p"</f>
        <v>#VALUE!</v>
      </c>
      <c r="GO308" t="e">
        <f>Europe!D1670+"n/&gt;!0|q"</f>
        <v>#VALUE!</v>
      </c>
      <c r="GP308" t="e">
        <f>Europe!E1670+"n/&gt;!0|r"</f>
        <v>#VALUE!</v>
      </c>
      <c r="GQ308" t="e">
        <f>Europe!F1670+"n/&gt;!0|s"</f>
        <v>#VALUE!</v>
      </c>
      <c r="GR308" t="e">
        <f>Europe!G1670+"n/&gt;!0|t"</f>
        <v>#VALUE!</v>
      </c>
      <c r="GS308" t="e">
        <f>Europe!H1670+"n/&gt;!0|u"</f>
        <v>#VALUE!</v>
      </c>
      <c r="GT308" t="e">
        <f>Europe!I1670+"n/&gt;!0|v"</f>
        <v>#VALUE!</v>
      </c>
      <c r="GU308" t="e">
        <f>Europe!A1671+"n/&gt;!0|w"</f>
        <v>#VALUE!</v>
      </c>
      <c r="GV308" t="e">
        <f>Europe!B1671+"n/&gt;!0|x"</f>
        <v>#VALUE!</v>
      </c>
      <c r="GW308" t="e">
        <f>Europe!C1671+"n/&gt;!0|y"</f>
        <v>#VALUE!</v>
      </c>
      <c r="GX308" t="e">
        <f>Europe!D1671+"n/&gt;!0|z"</f>
        <v>#VALUE!</v>
      </c>
      <c r="GY308" t="e">
        <f>Europe!E1671+"n/&gt;!0|{"</f>
        <v>#VALUE!</v>
      </c>
      <c r="GZ308" t="e">
        <f>Europe!F1671+"n/&gt;!0||"</f>
        <v>#VALUE!</v>
      </c>
      <c r="HA308" t="e">
        <f>Europe!G1671+"n/&gt;!0|}"</f>
        <v>#VALUE!</v>
      </c>
      <c r="HB308" t="e">
        <f>Europe!H1671+"n/&gt;!0|~"</f>
        <v>#VALUE!</v>
      </c>
      <c r="HC308" t="e">
        <f>Europe!I1671+"n/&gt;!0}#"</f>
        <v>#VALUE!</v>
      </c>
      <c r="HD308" t="e">
        <f>Europe!A1672+"n/&gt;!0}$"</f>
        <v>#VALUE!</v>
      </c>
      <c r="HE308" t="e">
        <f>Europe!B1672+"n/&gt;!0}%"</f>
        <v>#VALUE!</v>
      </c>
      <c r="HF308" t="e">
        <f>Europe!C1672+"n/&gt;!0}&amp;"</f>
        <v>#VALUE!</v>
      </c>
      <c r="HG308" t="e">
        <f>Europe!D1672+"n/&gt;!0}'"</f>
        <v>#VALUE!</v>
      </c>
      <c r="HH308" t="e">
        <f>Europe!E1672+"n/&gt;!0}("</f>
        <v>#VALUE!</v>
      </c>
      <c r="HI308" t="e">
        <f>Europe!F1672+"n/&gt;!0})"</f>
        <v>#VALUE!</v>
      </c>
      <c r="HJ308" t="e">
        <f>Europe!G1672+"n/&gt;!0}."</f>
        <v>#VALUE!</v>
      </c>
      <c r="HK308" t="e">
        <f>Europe!H1672+"n/&gt;!0}/"</f>
        <v>#VALUE!</v>
      </c>
      <c r="HL308" t="e">
        <f>Europe!I1672+"n/&gt;!0}0"</f>
        <v>#VALUE!</v>
      </c>
      <c r="HM308" t="e">
        <f>Europe!A1673+"n/&gt;!0}1"</f>
        <v>#VALUE!</v>
      </c>
      <c r="HN308" t="e">
        <f>Europe!B1673+"n/&gt;!0}2"</f>
        <v>#VALUE!</v>
      </c>
      <c r="HO308" t="e">
        <f>Europe!C1673+"n/&gt;!0}3"</f>
        <v>#VALUE!</v>
      </c>
      <c r="HP308" t="e">
        <f>Europe!D1673+"n/&gt;!0}4"</f>
        <v>#VALUE!</v>
      </c>
      <c r="HQ308" t="e">
        <f>Europe!E1673+"n/&gt;!0}5"</f>
        <v>#VALUE!</v>
      </c>
      <c r="HR308" t="e">
        <f>Europe!F1673+"n/&gt;!0}6"</f>
        <v>#VALUE!</v>
      </c>
      <c r="HS308" t="e">
        <f>Europe!G1673+"n/&gt;!0}7"</f>
        <v>#VALUE!</v>
      </c>
      <c r="HT308" t="e">
        <f>Europe!H1673+"n/&gt;!0}8"</f>
        <v>#VALUE!</v>
      </c>
      <c r="HU308" t="e">
        <f>Europe!I1673+"n/&gt;!0}9"</f>
        <v>#VALUE!</v>
      </c>
      <c r="HV308" t="e">
        <f>Europe!A1674+"n/&gt;!0}:"</f>
        <v>#VALUE!</v>
      </c>
      <c r="HW308" t="e">
        <f>Europe!B1674+"n/&gt;!0};"</f>
        <v>#VALUE!</v>
      </c>
      <c r="HX308" t="e">
        <f>Europe!C1674+"n/&gt;!0}&lt;"</f>
        <v>#VALUE!</v>
      </c>
      <c r="HY308" t="e">
        <f>Europe!D1674+"n/&gt;!0}="</f>
        <v>#VALUE!</v>
      </c>
      <c r="HZ308" t="e">
        <f>Europe!E1674+"n/&gt;!0}&gt;"</f>
        <v>#VALUE!</v>
      </c>
      <c r="IA308" t="e">
        <f>Europe!F1674+"n/&gt;!0}?"</f>
        <v>#VALUE!</v>
      </c>
      <c r="IB308" t="e">
        <f>Europe!G1674+"n/&gt;!0}@"</f>
        <v>#VALUE!</v>
      </c>
      <c r="IC308" t="e">
        <f>Europe!H1674+"n/&gt;!0}A"</f>
        <v>#VALUE!</v>
      </c>
      <c r="ID308" t="e">
        <f>Europe!I1674+"n/&gt;!0}B"</f>
        <v>#VALUE!</v>
      </c>
      <c r="IE308" t="e">
        <f>Europe!A1675+"n/&gt;!0}C"</f>
        <v>#VALUE!</v>
      </c>
      <c r="IF308" t="e">
        <f>Europe!B1675+"n/&gt;!0}D"</f>
        <v>#VALUE!</v>
      </c>
      <c r="IG308" t="e">
        <f>Europe!C1675+"n/&gt;!0}E"</f>
        <v>#VALUE!</v>
      </c>
      <c r="IH308" t="e">
        <f>Europe!D1675+"n/&gt;!0}F"</f>
        <v>#VALUE!</v>
      </c>
      <c r="II308" t="e">
        <f>Europe!E1675+"n/&gt;!0}G"</f>
        <v>#VALUE!</v>
      </c>
      <c r="IJ308" t="e">
        <f>Europe!F1675+"n/&gt;!0}H"</f>
        <v>#VALUE!</v>
      </c>
      <c r="IK308" t="e">
        <f>Europe!G1675+"n/&gt;!0}I"</f>
        <v>#VALUE!</v>
      </c>
      <c r="IL308" t="e">
        <f>Europe!H1675+"n/&gt;!0}J"</f>
        <v>#VALUE!</v>
      </c>
      <c r="IM308" t="e">
        <f>Europe!I1675+"n/&gt;!0}K"</f>
        <v>#VALUE!</v>
      </c>
      <c r="IN308" t="e">
        <f>Europe!A1676+"n/&gt;!0}L"</f>
        <v>#VALUE!</v>
      </c>
      <c r="IO308" t="e">
        <f>Europe!B1676+"n/&gt;!0}M"</f>
        <v>#VALUE!</v>
      </c>
      <c r="IP308" t="e">
        <f>Europe!C1676+"n/&gt;!0}N"</f>
        <v>#VALUE!</v>
      </c>
      <c r="IQ308" t="e">
        <f>Europe!D1676+"n/&gt;!0}O"</f>
        <v>#VALUE!</v>
      </c>
      <c r="IR308" t="e">
        <f>Europe!E1676+"n/&gt;!0}P"</f>
        <v>#VALUE!</v>
      </c>
      <c r="IS308" t="e">
        <f>Europe!F1676+"n/&gt;!0}Q"</f>
        <v>#VALUE!</v>
      </c>
      <c r="IT308" t="e">
        <f>Europe!G1676+"n/&gt;!0}R"</f>
        <v>#VALUE!</v>
      </c>
      <c r="IU308" t="e">
        <f>Europe!H1676+"n/&gt;!0}S"</f>
        <v>#VALUE!</v>
      </c>
      <c r="IV308" t="e">
        <f>Europe!I1676+"n/&gt;!0}T"</f>
        <v>#VALUE!</v>
      </c>
    </row>
    <row r="309" spans="6:256" x14ac:dyDescent="0.35">
      <c r="F309" t="e">
        <f>Europe!A:A*"n/&gt;!0}U"</f>
        <v>#VALUE!</v>
      </c>
      <c r="G309" t="e">
        <f>Europe!B:B*"n/&gt;!0}V"</f>
        <v>#VALUE!</v>
      </c>
      <c r="H309" t="e">
        <f>Europe!C:C*"n/&gt;!0}W"</f>
        <v>#VALUE!</v>
      </c>
      <c r="I309" t="e">
        <f>Europe!D:D*"n/&gt;!0}X"</f>
        <v>#VALUE!</v>
      </c>
      <c r="J309" t="e">
        <f>Europe!E:E*"n/&gt;!0}Y"</f>
        <v>#VALUE!</v>
      </c>
      <c r="K309" t="e">
        <f>Europe!F:F*"n/&gt;!0}Z"</f>
        <v>#VALUE!</v>
      </c>
      <c r="L309" t="e">
        <f>Europe!G:G*"n/&gt;!0}["</f>
        <v>#VALUE!</v>
      </c>
      <c r="M309" t="e">
        <f>Europe!H:H*"n/&gt;!0}\"</f>
        <v>#VALUE!</v>
      </c>
      <c r="N309" t="e">
        <f>Europe!I:I*"n/&gt;!0}]"</f>
        <v>#VALUE!</v>
      </c>
      <c r="O309" t="e">
        <f>Europe!J:J*"n/&gt;!0}^"</f>
        <v>#VALUE!</v>
      </c>
      <c r="P309" t="e">
        <f>Europe!K:K*"n/&gt;!0}_"</f>
        <v>#VALUE!</v>
      </c>
      <c r="Q309" t="e">
        <f>Europe!L:L*"n/&gt;!0}`"</f>
        <v>#VALUE!</v>
      </c>
      <c r="R309" t="e">
        <f>Europe!M:M*"n/&gt;!0}a"</f>
        <v>#VALUE!</v>
      </c>
      <c r="S309" t="e">
        <f>Europe!N:N*"n/&gt;!0}b"</f>
        <v>#VALUE!</v>
      </c>
      <c r="T309" t="e">
        <f>Europe!O:O*"n/&gt;!0}c"</f>
        <v>#VALUE!</v>
      </c>
      <c r="U309" t="e">
        <f>Europe!P:P*"n/&gt;!0}d"</f>
        <v>#VALUE!</v>
      </c>
      <c r="V309" t="e">
        <f>Europe!Q:Q*"n/&gt;!0}e"</f>
        <v>#VALUE!</v>
      </c>
      <c r="W309" t="e">
        <f>Europe!R:R*"n/&gt;!0}f"</f>
        <v>#VALUE!</v>
      </c>
      <c r="X309" t="e">
        <f>Europe!S:S*"n/&gt;!0}g"</f>
        <v>#VALUE!</v>
      </c>
      <c r="Y309" t="e">
        <f>Europe!T:T*"n/&gt;!0}h"</f>
        <v>#VALUE!</v>
      </c>
      <c r="Z309" t="e">
        <f>Europe!U:U*"n/&gt;!0}i"</f>
        <v>#VALUE!</v>
      </c>
      <c r="AA309" t="e">
        <f>Europe!V:V*"n/&gt;!0}j"</f>
        <v>#VALUE!</v>
      </c>
      <c r="AB309" t="e">
        <f>Europe!W:W*"n/&gt;!0}k"</f>
        <v>#VALUE!</v>
      </c>
      <c r="AC309" t="e">
        <f>Europe!X:X*"n/&gt;!0}l"</f>
        <v>#VALUE!</v>
      </c>
      <c r="AD309" t="e">
        <f>Europe!Y:Y*"n/&gt;!0}m"</f>
        <v>#VALUE!</v>
      </c>
      <c r="AE309" t="e">
        <f>Europe!Z:Z*"n/&gt;!0}n"</f>
        <v>#VALUE!</v>
      </c>
      <c r="AF309" t="e">
        <f>Europe!AA:AA*"n/&gt;!0}o"</f>
        <v>#VALUE!</v>
      </c>
      <c r="AG309" t="e">
        <f>Europe!AB:AB*"n/&gt;!0}p"</f>
        <v>#VALUE!</v>
      </c>
      <c r="AH309" t="e">
        <f>Europe!AC:AC*"n/&gt;!0}q"</f>
        <v>#VALUE!</v>
      </c>
      <c r="AI309" t="e">
        <f>Europe!AD:AD*"n/&gt;!0}r"</f>
        <v>#VALUE!</v>
      </c>
      <c r="AJ309" t="e">
        <f>Europe!AE:AE*"n/&gt;!0}s"</f>
        <v>#VALUE!</v>
      </c>
      <c r="AK309" t="e">
        <f>Europe!AF:AF*"n/&gt;!0}t"</f>
        <v>#VALUE!</v>
      </c>
      <c r="AL309" t="e">
        <f>Europe!AG:AG*"n/&gt;!0}u"</f>
        <v>#VALUE!</v>
      </c>
      <c r="AM309" t="e">
        <f>Europe!AH:AH*"n/&gt;!0}v"</f>
        <v>#VALUE!</v>
      </c>
      <c r="AN309" t="e">
        <f>Europe!AI:AI*"n/&gt;!0}w"</f>
        <v>#VALUE!</v>
      </c>
      <c r="AO309" t="e">
        <f>Europe!AJ:AJ*"n/&gt;!0}x"</f>
        <v>#VALUE!</v>
      </c>
      <c r="AP309" t="e">
        <f>Europe!AK:AK*"n/&gt;!0}y"</f>
        <v>#VALUE!</v>
      </c>
      <c r="AQ309" t="e">
        <f>Europe!AL:AL*"n/&gt;!0}z"</f>
        <v>#VALUE!</v>
      </c>
      <c r="AR309" t="e">
        <f>Europe!AM:AM*"n/&gt;!0}{"</f>
        <v>#VALUE!</v>
      </c>
      <c r="AS309" t="e">
        <f>Europe!AN:AN*"n/&gt;!0}|"</f>
        <v>#VALUE!</v>
      </c>
      <c r="AT309" t="e">
        <f>Europe!AO:AO*"n/&gt;!0}}"</f>
        <v>#VALUE!</v>
      </c>
      <c r="AU309" t="e">
        <f>Europe!AP:AP*"n/&gt;!0}~"</f>
        <v>#VALUE!</v>
      </c>
      <c r="AV309" t="e">
        <f>Europe!AQ:AQ*"n/&gt;!0~#"</f>
        <v>#VALUE!</v>
      </c>
      <c r="AW309" t="e">
        <f>Europe!AR:AR*"n/&gt;!0~$"</f>
        <v>#VALUE!</v>
      </c>
      <c r="AX309" t="e">
        <f>Europe!AS:AS*"n/&gt;!0~%"</f>
        <v>#VALUE!</v>
      </c>
      <c r="AY309" t="e">
        <f>Europe!AT:AT*"n/&gt;!0~&amp;"</f>
        <v>#VALUE!</v>
      </c>
      <c r="AZ309" t="e">
        <f>Europe!AU:AU*"n/&gt;!0~'"</f>
        <v>#VALUE!</v>
      </c>
      <c r="BA309" t="e">
        <f>Europe!AV:AV*"n/&gt;!0~("</f>
        <v>#VALUE!</v>
      </c>
      <c r="BB309" t="e">
        <f>Europe!AW:AW*"n/&gt;!0~)"</f>
        <v>#VALUE!</v>
      </c>
      <c r="BC309" t="e">
        <f>Europe!AX:AX*"n/&gt;!0~."</f>
        <v>#VALUE!</v>
      </c>
      <c r="BD309" t="e">
        <f>Europe!AY:AY*"n/&gt;!0~/"</f>
        <v>#VALUE!</v>
      </c>
      <c r="BE309" t="e">
        <f>Europe!AZ:AZ*"n/&gt;!0~0"</f>
        <v>#VALUE!</v>
      </c>
      <c r="BF309" t="e">
        <f>Europe!BA:BA*"n/&gt;!0~1"</f>
        <v>#VALUE!</v>
      </c>
      <c r="BG309" t="e">
        <f>Europe!BB:BB*"n/&gt;!0~2"</f>
        <v>#VALUE!</v>
      </c>
      <c r="BH309" t="e">
        <f>Europe!BC:BC*"n/&gt;!0~3"</f>
        <v>#VALUE!</v>
      </c>
      <c r="BI309" t="e">
        <f>Europe!BD:BD*"n/&gt;!0~4"</f>
        <v>#VALUE!</v>
      </c>
      <c r="BJ309" t="e">
        <f>Europe!BE:BE*"n/&gt;!0~5"</f>
        <v>#VALUE!</v>
      </c>
      <c r="BK309" t="e">
        <f>Europe!BF:BF*"n/&gt;!0~6"</f>
        <v>#VALUE!</v>
      </c>
      <c r="BL309" t="e">
        <f>Europe!BG:BG*"n/&gt;!0~7"</f>
        <v>#VALUE!</v>
      </c>
      <c r="BM309" t="e">
        <f>Europe!1:1-"n/&gt;!0~8"</f>
        <v>#VALUE!</v>
      </c>
      <c r="BN309" t="e">
        <f>Europe!2:2-"n/&gt;!0~9"</f>
        <v>#VALUE!</v>
      </c>
      <c r="BO309" t="e">
        <f>Europe!3:3-"n/&gt;!0~:"</f>
        <v>#VALUE!</v>
      </c>
      <c r="BP309" t="e">
        <f>Europe!4:4-"n/&gt;!0~;"</f>
        <v>#VALUE!</v>
      </c>
      <c r="BQ309" t="e">
        <f>Europe!5:5-"n/&gt;!0~&lt;"</f>
        <v>#VALUE!</v>
      </c>
      <c r="BR309" t="e">
        <f>Europe!6:6-"n/&gt;!0~="</f>
        <v>#VALUE!</v>
      </c>
      <c r="BS309" t="e">
        <f>Europe!7:7-"n/&gt;!0~&gt;"</f>
        <v>#VALUE!</v>
      </c>
      <c r="BT309" t="e">
        <f>Europe!8:8-"n/&gt;!0~?"</f>
        <v>#VALUE!</v>
      </c>
      <c r="BU309" t="e">
        <f>Europe!9:9-"n/&gt;!0~@"</f>
        <v>#VALUE!</v>
      </c>
      <c r="BV309" t="e">
        <f>Europe!10:10-"n/&gt;!0~A"</f>
        <v>#VALUE!</v>
      </c>
      <c r="BW309" t="e">
        <f>Europe!11:11-"n/&gt;!0~B"</f>
        <v>#VALUE!</v>
      </c>
      <c r="BX309" t="e">
        <f>Europe!12:12-"n/&gt;!0~C"</f>
        <v>#VALUE!</v>
      </c>
      <c r="BY309" t="e">
        <f>Europe!13:13-"n/&gt;!0~D"</f>
        <v>#VALUE!</v>
      </c>
      <c r="BZ309" t="e">
        <f>Europe!14:14-"n/&gt;!0~E"</f>
        <v>#VALUE!</v>
      </c>
      <c r="CA309" t="e">
        <f>Europe!15:15-"n/&gt;!0~F"</f>
        <v>#VALUE!</v>
      </c>
      <c r="CB309" t="e">
        <f>Europe!16:16-"n/&gt;!0~G"</f>
        <v>#VALUE!</v>
      </c>
      <c r="CC309" t="e">
        <f>Europe!17:17-"n/&gt;!0~H"</f>
        <v>#VALUE!</v>
      </c>
      <c r="CD309" t="e">
        <f>Europe!18:18-"n/&gt;!0~I"</f>
        <v>#VALUE!</v>
      </c>
      <c r="CE309" t="e">
        <f>Europe!19:19-"n/&gt;!0~J"</f>
        <v>#VALUE!</v>
      </c>
      <c r="CF309" t="e">
        <f>Europe!20:20-"n/&gt;!0~K"</f>
        <v>#VALUE!</v>
      </c>
      <c r="CG309" t="e">
        <f>Europe!21:21-"n/&gt;!0~L"</f>
        <v>#VALUE!</v>
      </c>
      <c r="CH309" t="e">
        <f>Europe!22:22-"n/&gt;!0~M"</f>
        <v>#VALUE!</v>
      </c>
      <c r="CI309" t="e">
        <f>Europe!23:23-"n/&gt;!0~N"</f>
        <v>#VALUE!</v>
      </c>
      <c r="CJ309" t="e">
        <f>Europe!24:24-"n/&gt;!0~O"</f>
        <v>#VALUE!</v>
      </c>
      <c r="CK309" t="e">
        <f>Europe!25:25-"n/&gt;!0~P"</f>
        <v>#VALUE!</v>
      </c>
      <c r="CL309" t="e">
        <f>Europe!26:26-"n/&gt;!0~Q"</f>
        <v>#VALUE!</v>
      </c>
      <c r="CM309" t="e">
        <f>Europe!27:27-"n/&gt;!0~R"</f>
        <v>#VALUE!</v>
      </c>
      <c r="CN309" t="e">
        <f>Europe!28:28-"n/&gt;!0~S"</f>
        <v>#VALUE!</v>
      </c>
      <c r="CO309" t="e">
        <f>Europe!29:29-"n/&gt;!0~T"</f>
        <v>#VALUE!</v>
      </c>
      <c r="CP309" t="e">
        <f>Europe!30:30-"n/&gt;!0~U"</f>
        <v>#VALUE!</v>
      </c>
      <c r="CQ309" t="e">
        <f>Europe!31:31-"n/&gt;!0~V"</f>
        <v>#VALUE!</v>
      </c>
      <c r="CR309" t="e">
        <f>Europe!32:32-"n/&gt;!0~W"</f>
        <v>#VALUE!</v>
      </c>
      <c r="CS309" t="e">
        <f>Europe!33:33-"n/&gt;!0~X"</f>
        <v>#VALUE!</v>
      </c>
      <c r="CT309" t="e">
        <f>Europe!34:34-"n/&gt;!0~Y"</f>
        <v>#VALUE!</v>
      </c>
      <c r="CU309" t="e">
        <f>Europe!35:35-"n/&gt;!0~Z"</f>
        <v>#VALUE!</v>
      </c>
      <c r="CV309" t="e">
        <f>Europe!36:36-"n/&gt;!0~["</f>
        <v>#VALUE!</v>
      </c>
      <c r="CW309" t="e">
        <f>Europe!37:37-"n/&gt;!0~\"</f>
        <v>#VALUE!</v>
      </c>
      <c r="CX309" t="e">
        <f>Europe!38:38-"n/&gt;!0~]"</f>
        <v>#VALUE!</v>
      </c>
      <c r="CY309" t="e">
        <f>Europe!39:39-"n/&gt;!0~^"</f>
        <v>#VALUE!</v>
      </c>
      <c r="CZ309" t="e">
        <f>Europe!40:40-"n/&gt;!0~_"</f>
        <v>#VALUE!</v>
      </c>
      <c r="DA309" t="e">
        <f>Europe!41:41-"n/&gt;!0~`"</f>
        <v>#VALUE!</v>
      </c>
      <c r="DB309" t="e">
        <f>Europe!42:42-"n/&gt;!0~a"</f>
        <v>#VALUE!</v>
      </c>
      <c r="DC309" t="e">
        <f>Europe!43:43-"n/&gt;!0~b"</f>
        <v>#VALUE!</v>
      </c>
      <c r="DD309" t="e">
        <f>Europe!44:44-"n/&gt;!0~c"</f>
        <v>#VALUE!</v>
      </c>
      <c r="DE309" t="e">
        <f>Europe!45:45-"n/&gt;!0~d"</f>
        <v>#VALUE!</v>
      </c>
      <c r="DF309" t="e">
        <f>Europe!46:46-"n/&gt;!0~e"</f>
        <v>#VALUE!</v>
      </c>
      <c r="DG309" t="e">
        <f>Europe!47:47-"n/&gt;!0~f"</f>
        <v>#VALUE!</v>
      </c>
      <c r="DH309" t="e">
        <f>Europe!48:48-"n/&gt;!0~g"</f>
        <v>#VALUE!</v>
      </c>
      <c r="DI309" t="e">
        <f>Europe!49:49-"n/&gt;!0~h"</f>
        <v>#VALUE!</v>
      </c>
      <c r="DJ309" t="e">
        <f>Europe!50:50-"n/&gt;!0~i"</f>
        <v>#VALUE!</v>
      </c>
      <c r="DK309" t="e">
        <f>Europe!51:51-"n/&gt;!0~j"</f>
        <v>#VALUE!</v>
      </c>
      <c r="DL309" t="e">
        <f>Europe!52:52-"n/&gt;!0~k"</f>
        <v>#VALUE!</v>
      </c>
      <c r="DM309" t="e">
        <f>Europe!53:53-"n/&gt;!0~l"</f>
        <v>#VALUE!</v>
      </c>
      <c r="DN309" t="e">
        <f>Europe!54:54-"n/&gt;!0~m"</f>
        <v>#VALUE!</v>
      </c>
      <c r="DO309" t="e">
        <f>Europe!55:55-"n/&gt;!0~n"</f>
        <v>#VALUE!</v>
      </c>
      <c r="DP309" t="e">
        <f>Europe!56:56-"n/&gt;!0~o"</f>
        <v>#VALUE!</v>
      </c>
      <c r="DQ309" t="e">
        <f>Europe!57:57-"n/&gt;!0~p"</f>
        <v>#VALUE!</v>
      </c>
      <c r="DR309" t="e">
        <f>Europe!58:58-"n/&gt;!0~q"</f>
        <v>#VALUE!</v>
      </c>
      <c r="DS309" t="e">
        <f>Europe!59:59-"n/&gt;!0~r"</f>
        <v>#VALUE!</v>
      </c>
      <c r="DT309" t="e">
        <f>Europe!60:60-"n/&gt;!0~s"</f>
        <v>#VALUE!</v>
      </c>
      <c r="DU309" t="e">
        <f>Europe!61:61-"n/&gt;!0~t"</f>
        <v>#VALUE!</v>
      </c>
      <c r="DV309" t="e">
        <f>Europe!62:62-"n/&gt;!0~u"</f>
        <v>#VALUE!</v>
      </c>
      <c r="DW309" t="e">
        <f>Europe!63:63-"n/&gt;!0~v"</f>
        <v>#VALUE!</v>
      </c>
      <c r="DX309" t="e">
        <f>Europe!64:64-"n/&gt;!0~w"</f>
        <v>#VALUE!</v>
      </c>
      <c r="DY309" t="e">
        <f>Europe!65:65-"n/&gt;!0~x"</f>
        <v>#VALUE!</v>
      </c>
      <c r="DZ309" t="e">
        <f>Europe!66:66-"n/&gt;!0~y"</f>
        <v>#VALUE!</v>
      </c>
      <c r="EA309" t="e">
        <f>Europe!67:67-"n/&gt;!0~z"</f>
        <v>#VALUE!</v>
      </c>
      <c r="EB309" t="e">
        <f>Europe!68:68-"n/&gt;!0~{"</f>
        <v>#VALUE!</v>
      </c>
      <c r="EC309" t="e">
        <f>Europe!69:69-"n/&gt;!0~|"</f>
        <v>#VALUE!</v>
      </c>
      <c r="ED309" t="e">
        <f>Europe!70:70-"n/&gt;!0~}"</f>
        <v>#VALUE!</v>
      </c>
      <c r="EE309" t="e">
        <f>Europe!71:71-"n/&gt;!0~~"</f>
        <v>#VALUE!</v>
      </c>
      <c r="EF309" t="e">
        <f>Europe!72:72-"n/&gt;!1##"</f>
        <v>#VALUE!</v>
      </c>
      <c r="EG309" t="e">
        <f>Europe!73:73-"n/&gt;!1#$"</f>
        <v>#VALUE!</v>
      </c>
      <c r="EH309" t="e">
        <f>Europe!74:74-"n/&gt;!1#%"</f>
        <v>#VALUE!</v>
      </c>
      <c r="EI309" t="e">
        <f>Europe!75:75-"n/&gt;!1#&amp;"</f>
        <v>#VALUE!</v>
      </c>
      <c r="EJ309" t="e">
        <f>Europe!76:76-"n/&gt;!1#'"</f>
        <v>#VALUE!</v>
      </c>
      <c r="EK309" t="e">
        <f>Europe!77:77-"n/&gt;!1#("</f>
        <v>#VALUE!</v>
      </c>
      <c r="EL309" t="e">
        <f>Europe!78:78-"n/&gt;!1#)"</f>
        <v>#VALUE!</v>
      </c>
      <c r="EM309" t="e">
        <f>Europe!79:79-"n/&gt;!1#."</f>
        <v>#VALUE!</v>
      </c>
      <c r="EN309" t="e">
        <f>Europe!80:80-"n/&gt;!1#/"</f>
        <v>#VALUE!</v>
      </c>
      <c r="EO309" t="e">
        <f>Europe!81:81-"n/&gt;!1#0"</f>
        <v>#VALUE!</v>
      </c>
      <c r="EP309" t="e">
        <f>Europe!82:82-"n/&gt;!1#1"</f>
        <v>#VALUE!</v>
      </c>
      <c r="EQ309" t="e">
        <f>Europe!83:83-"n/&gt;!1#2"</f>
        <v>#VALUE!</v>
      </c>
      <c r="ER309" t="e">
        <f>Europe!84:84-"n/&gt;!1#3"</f>
        <v>#VALUE!</v>
      </c>
      <c r="ES309" t="e">
        <f>Europe!85:85-"n/&gt;!1#4"</f>
        <v>#VALUE!</v>
      </c>
      <c r="ET309" t="e">
        <f>Europe!86:86-"n/&gt;!1#5"</f>
        <v>#VALUE!</v>
      </c>
      <c r="EU309" t="e">
        <f>Europe!87:87-"n/&gt;!1#6"</f>
        <v>#VALUE!</v>
      </c>
      <c r="EV309" t="e">
        <f>Europe!88:88-"n/&gt;!1#7"</f>
        <v>#VALUE!</v>
      </c>
      <c r="EW309" t="e">
        <f>Europe!89:89-"n/&gt;!1#8"</f>
        <v>#VALUE!</v>
      </c>
      <c r="EX309" t="e">
        <f>Europe!90:90-"n/&gt;!1#9"</f>
        <v>#VALUE!</v>
      </c>
      <c r="EY309" t="e">
        <f>Europe!91:91-"n/&gt;!1#:"</f>
        <v>#VALUE!</v>
      </c>
      <c r="EZ309" t="e">
        <f>Europe!92:92-"n/&gt;!1#;"</f>
        <v>#VALUE!</v>
      </c>
      <c r="FA309" t="e">
        <f>Europe!93:93-"n/&gt;!1#&lt;"</f>
        <v>#VALUE!</v>
      </c>
      <c r="FB309" t="e">
        <f>Europe!94:94-"n/&gt;!1#="</f>
        <v>#VALUE!</v>
      </c>
      <c r="FC309" t="e">
        <f>Europe!95:95-"n/&gt;!1#&gt;"</f>
        <v>#VALUE!</v>
      </c>
      <c r="FD309" t="e">
        <f>Europe!96:96-"n/&gt;!1#?"</f>
        <v>#VALUE!</v>
      </c>
      <c r="FE309" t="e">
        <f>Europe!97:97-"n/&gt;!1#@"</f>
        <v>#VALUE!</v>
      </c>
      <c r="FF309" t="e">
        <f>Europe!98:98-"n/&gt;!1#A"</f>
        <v>#VALUE!</v>
      </c>
      <c r="FG309" t="e">
        <f>Europe!99:99-"n/&gt;!1#B"</f>
        <v>#VALUE!</v>
      </c>
      <c r="FH309" t="e">
        <f>Europe!100:100-"n/&gt;!1#C"</f>
        <v>#VALUE!</v>
      </c>
      <c r="FI309" t="e">
        <f>Europe!101:101-"n/&gt;!1#D"</f>
        <v>#VALUE!</v>
      </c>
      <c r="FJ309" t="e">
        <f>Europe!102:102-"n/&gt;!1#E"</f>
        <v>#VALUE!</v>
      </c>
      <c r="FK309" t="e">
        <f>Europe!103:103-"n/&gt;!1#F"</f>
        <v>#VALUE!</v>
      </c>
      <c r="FL309" t="e">
        <f>Europe!104:104-"n/&gt;!1#G"</f>
        <v>#VALUE!</v>
      </c>
      <c r="FM309" t="e">
        <f>Europe!105:105-"n/&gt;!1#H"</f>
        <v>#VALUE!</v>
      </c>
      <c r="FN309" t="e">
        <f>Europe!106:106-"n/&gt;!1#I"</f>
        <v>#VALUE!</v>
      </c>
      <c r="FO309" t="e">
        <f>Europe!107:107-"n/&gt;!1#J"</f>
        <v>#VALUE!</v>
      </c>
      <c r="FP309" t="e">
        <f>Europe!108:108-"n/&gt;!1#K"</f>
        <v>#VALUE!</v>
      </c>
      <c r="FQ309" t="e">
        <f>Europe!109:109-"n/&gt;!1#L"</f>
        <v>#VALUE!</v>
      </c>
      <c r="FR309" t="e">
        <f>Europe!110:110-"n/&gt;!1#M"</f>
        <v>#VALUE!</v>
      </c>
      <c r="FS309" t="e">
        <f>Europe!111:111-"n/&gt;!1#N"</f>
        <v>#VALUE!</v>
      </c>
      <c r="FT309" t="e">
        <f>Europe!112:112-"n/&gt;!1#O"</f>
        <v>#VALUE!</v>
      </c>
      <c r="FU309" t="e">
        <f>Europe!113:113-"n/&gt;!1#P"</f>
        <v>#VALUE!</v>
      </c>
      <c r="FV309" t="e">
        <f>Europe!114:114-"n/&gt;!1#Q"</f>
        <v>#VALUE!</v>
      </c>
      <c r="FW309" t="e">
        <f>Europe!115:115-"n/&gt;!1#R"</f>
        <v>#VALUE!</v>
      </c>
      <c r="FX309" t="e">
        <f>Europe!116:116-"n/&gt;!1#S"</f>
        <v>#VALUE!</v>
      </c>
      <c r="FY309" t="e">
        <f>Europe!117:117-"n/&gt;!1#T"</f>
        <v>#VALUE!</v>
      </c>
      <c r="FZ309" t="e">
        <f>Europe!118:118-"n/&gt;!1#U"</f>
        <v>#VALUE!</v>
      </c>
      <c r="GA309" t="e">
        <f>Europe!119:119-"n/&gt;!1#V"</f>
        <v>#VALUE!</v>
      </c>
      <c r="GB309" t="e">
        <f>Europe!120:120-"n/&gt;!1#W"</f>
        <v>#VALUE!</v>
      </c>
      <c r="GC309" t="e">
        <f>Europe!121:121-"n/&gt;!1#X"</f>
        <v>#VALUE!</v>
      </c>
      <c r="GD309" t="e">
        <f>Europe!122:122-"n/&gt;!1#Y"</f>
        <v>#VALUE!</v>
      </c>
      <c r="GE309" t="e">
        <f>Europe!123:123-"n/&gt;!1#Z"</f>
        <v>#VALUE!</v>
      </c>
      <c r="GF309" t="e">
        <f>Europe!124:124-"n/&gt;!1#["</f>
        <v>#VALUE!</v>
      </c>
      <c r="GG309" t="e">
        <f>Europe!125:125-"n/&gt;!1#\"</f>
        <v>#VALUE!</v>
      </c>
      <c r="GH309" t="e">
        <f>Europe!126:126-"n/&gt;!1#]"</f>
        <v>#VALUE!</v>
      </c>
      <c r="GI309" t="e">
        <f>Europe!127:127-"n/&gt;!1#^"</f>
        <v>#VALUE!</v>
      </c>
      <c r="GJ309" t="e">
        <f>Europe!128:128-"n/&gt;!1#_"</f>
        <v>#VALUE!</v>
      </c>
      <c r="GK309" t="e">
        <f>Europe!129:129-"n/&gt;!1#`"</f>
        <v>#VALUE!</v>
      </c>
      <c r="GL309" t="e">
        <f>Europe!130:130-"n/&gt;!1#a"</f>
        <v>#VALUE!</v>
      </c>
      <c r="GM309" t="e">
        <f>Europe!131:131-"n/&gt;!1#b"</f>
        <v>#VALUE!</v>
      </c>
      <c r="GN309" t="e">
        <f>Europe!132:132-"n/&gt;!1#c"</f>
        <v>#VALUE!</v>
      </c>
      <c r="GO309" t="e">
        <f>Europe!133:133-"n/&gt;!1#d"</f>
        <v>#VALUE!</v>
      </c>
      <c r="GP309" t="e">
        <f>Europe!134:134-"n/&gt;!1#e"</f>
        <v>#VALUE!</v>
      </c>
      <c r="GQ309" t="e">
        <f>Europe!135:135-"n/&gt;!1#f"</f>
        <v>#VALUE!</v>
      </c>
      <c r="GR309" t="e">
        <f>Europe!136:136-"n/&gt;!1#g"</f>
        <v>#VALUE!</v>
      </c>
      <c r="GS309" t="e">
        <f>Europe!137:137-"n/&gt;!1#h"</f>
        <v>#VALUE!</v>
      </c>
      <c r="GT309" t="e">
        <f>Europe!138:138-"n/&gt;!1#i"</f>
        <v>#VALUE!</v>
      </c>
      <c r="GU309" t="e">
        <f>Europe!139:139-"n/&gt;!1#j"</f>
        <v>#VALUE!</v>
      </c>
      <c r="GV309" t="e">
        <f>Europe!140:140-"n/&gt;!1#k"</f>
        <v>#VALUE!</v>
      </c>
      <c r="GW309" t="e">
        <f>Europe!141:141-"n/&gt;!1#l"</f>
        <v>#VALUE!</v>
      </c>
      <c r="GX309" t="e">
        <f>Europe!142:142-"n/&gt;!1#m"</f>
        <v>#VALUE!</v>
      </c>
      <c r="GY309" t="e">
        <f>Europe!143:143-"n/&gt;!1#n"</f>
        <v>#VALUE!</v>
      </c>
      <c r="GZ309" t="e">
        <f>Europe!144:144-"n/&gt;!1#o"</f>
        <v>#VALUE!</v>
      </c>
      <c r="HA309" t="e">
        <f>Europe!145:145-"n/&gt;!1#p"</f>
        <v>#VALUE!</v>
      </c>
      <c r="HB309" t="e">
        <f>Europe!146:146-"n/&gt;!1#q"</f>
        <v>#VALUE!</v>
      </c>
      <c r="HC309" t="e">
        <f>Europe!147:147-"n/&gt;!1#r"</f>
        <v>#VALUE!</v>
      </c>
      <c r="HD309" t="e">
        <f>Europe!148:148-"n/&gt;!1#s"</f>
        <v>#VALUE!</v>
      </c>
      <c r="HE309" t="e">
        <f>Europe!149:149-"n/&gt;!1#t"</f>
        <v>#VALUE!</v>
      </c>
      <c r="HF309" t="e">
        <f>Europe!150:150-"n/&gt;!1#u"</f>
        <v>#VALUE!</v>
      </c>
      <c r="HG309" t="e">
        <f>Europe!151:151-"n/&gt;!1#v"</f>
        <v>#VALUE!</v>
      </c>
      <c r="HH309" t="e">
        <f>Europe!152:152-"n/&gt;!1#w"</f>
        <v>#VALUE!</v>
      </c>
      <c r="HI309" t="e">
        <f>Europe!153:153-"n/&gt;!1#x"</f>
        <v>#VALUE!</v>
      </c>
      <c r="HJ309" t="e">
        <f>Europe!154:154-"n/&gt;!1#y"</f>
        <v>#VALUE!</v>
      </c>
      <c r="HK309" t="e">
        <f>Europe!155:155-"n/&gt;!1#z"</f>
        <v>#VALUE!</v>
      </c>
      <c r="HL309" t="e">
        <f>Europe!156:156-"n/&gt;!1#{"</f>
        <v>#VALUE!</v>
      </c>
      <c r="HM309" t="e">
        <f>Europe!157:157-"n/&gt;!1#|"</f>
        <v>#VALUE!</v>
      </c>
      <c r="HN309" t="e">
        <f>Europe!158:158-"n/&gt;!1#}"</f>
        <v>#VALUE!</v>
      </c>
      <c r="HO309" t="e">
        <f>Europe!159:159-"n/&gt;!1#~"</f>
        <v>#VALUE!</v>
      </c>
      <c r="HP309" t="e">
        <f>Europe!160:160-"n/&gt;!1$#"</f>
        <v>#VALUE!</v>
      </c>
      <c r="HQ309" t="e">
        <f>Europe!161:161-"n/&gt;!1$$"</f>
        <v>#VALUE!</v>
      </c>
      <c r="HR309" t="e">
        <f>Europe!162:162-"n/&gt;!1$%"</f>
        <v>#VALUE!</v>
      </c>
      <c r="HS309" t="e">
        <f>Europe!163:163-"n/&gt;!1$&amp;"</f>
        <v>#VALUE!</v>
      </c>
      <c r="HT309" t="e">
        <f>Europe!164:164-"n/&gt;!1$'"</f>
        <v>#VALUE!</v>
      </c>
      <c r="HU309" t="e">
        <f>Europe!165:165-"n/&gt;!1$("</f>
        <v>#VALUE!</v>
      </c>
      <c r="HV309" t="e">
        <f>Europe!166:166-"n/&gt;!1$)"</f>
        <v>#VALUE!</v>
      </c>
      <c r="HW309" t="e">
        <f>Europe!167:167-"n/&gt;!1$."</f>
        <v>#VALUE!</v>
      </c>
      <c r="HX309" t="e">
        <f>Europe!168:168-"n/&gt;!1$/"</f>
        <v>#VALUE!</v>
      </c>
      <c r="HY309" t="e">
        <f>Europe!169:169-"n/&gt;!1$0"</f>
        <v>#VALUE!</v>
      </c>
      <c r="HZ309" t="e">
        <f>Europe!170:170-"n/&gt;!1$1"</f>
        <v>#VALUE!</v>
      </c>
      <c r="IA309" t="e">
        <f>Europe!171:171-"n/&gt;!1$2"</f>
        <v>#VALUE!</v>
      </c>
      <c r="IB309" t="e">
        <f>Europe!172:172-"n/&gt;!1$3"</f>
        <v>#VALUE!</v>
      </c>
      <c r="IC309" t="e">
        <f>Europe!173:173-"n/&gt;!1$4"</f>
        <v>#VALUE!</v>
      </c>
      <c r="ID309" t="e">
        <f>Europe!174:174-"n/&gt;!1$5"</f>
        <v>#VALUE!</v>
      </c>
      <c r="IE309" t="e">
        <f>Europe!175:175-"n/&gt;!1$6"</f>
        <v>#VALUE!</v>
      </c>
      <c r="IF309" t="e">
        <f>Europe!176:176-"n/&gt;!1$7"</f>
        <v>#VALUE!</v>
      </c>
      <c r="IG309" t="e">
        <f>Europe!177:177-"n/&gt;!1$8"</f>
        <v>#VALUE!</v>
      </c>
      <c r="IH309" t="e">
        <f>Europe!178:178-"n/&gt;!1$9"</f>
        <v>#VALUE!</v>
      </c>
      <c r="II309" t="e">
        <f>Europe!179:179-"n/&gt;!1$:"</f>
        <v>#VALUE!</v>
      </c>
      <c r="IJ309" t="e">
        <f>Europe!180:180-"n/&gt;!1$;"</f>
        <v>#VALUE!</v>
      </c>
      <c r="IK309" t="e">
        <f>Europe!181:181-"n/&gt;!1$&lt;"</f>
        <v>#VALUE!</v>
      </c>
      <c r="IL309" t="e">
        <f>Europe!182:182-"n/&gt;!1$="</f>
        <v>#VALUE!</v>
      </c>
      <c r="IM309" t="e">
        <f>Europe!183:183-"n/&gt;!1$&gt;"</f>
        <v>#VALUE!</v>
      </c>
      <c r="IN309" t="e">
        <f>Europe!184:184-"n/&gt;!1$?"</f>
        <v>#VALUE!</v>
      </c>
      <c r="IO309" t="e">
        <f>Europe!185:185-"n/&gt;!1$@"</f>
        <v>#VALUE!</v>
      </c>
      <c r="IP309" t="e">
        <f>Europe!186:186-"n/&gt;!1$A"</f>
        <v>#VALUE!</v>
      </c>
      <c r="IQ309" t="e">
        <f>Europe!187:187-"n/&gt;!1$B"</f>
        <v>#VALUE!</v>
      </c>
      <c r="IR309" t="e">
        <f>Europe!188:188-"n/&gt;!1$C"</f>
        <v>#VALUE!</v>
      </c>
      <c r="IS309" t="e">
        <f>Europe!189:189-"n/&gt;!1$D"</f>
        <v>#VALUE!</v>
      </c>
      <c r="IT309" t="e">
        <f>Europe!190:190-"n/&gt;!1$E"</f>
        <v>#VALUE!</v>
      </c>
      <c r="IU309" t="e">
        <f>Europe!191:191-"n/&gt;!1$F"</f>
        <v>#VALUE!</v>
      </c>
      <c r="IV309" t="e">
        <f>Europe!192:192-"n/&gt;!1$G"</f>
        <v>#VALUE!</v>
      </c>
    </row>
    <row r="310" spans="6:256" x14ac:dyDescent="0.35">
      <c r="F310" t="e">
        <f>Europe!193:193-"n/&gt;!1$H"</f>
        <v>#VALUE!</v>
      </c>
      <c r="G310" t="e">
        <f>Europe!194:194-"n/&gt;!1$I"</f>
        <v>#VALUE!</v>
      </c>
      <c r="H310" t="e">
        <f>Europe!195:195-"n/&gt;!1$J"</f>
        <v>#VALUE!</v>
      </c>
      <c r="I310" t="e">
        <f>Europe!196:196-"n/&gt;!1$K"</f>
        <v>#VALUE!</v>
      </c>
      <c r="J310" t="e">
        <f>Europe!197:197-"n/&gt;!1$L"</f>
        <v>#VALUE!</v>
      </c>
      <c r="K310" t="e">
        <f>Europe!198:198-"n/&gt;!1$M"</f>
        <v>#VALUE!</v>
      </c>
      <c r="L310" t="e">
        <f>Europe!199:199-"n/&gt;!1$N"</f>
        <v>#VALUE!</v>
      </c>
      <c r="M310" t="e">
        <f>Europe!200:200-"n/&gt;!1$O"</f>
        <v>#VALUE!</v>
      </c>
      <c r="N310" t="e">
        <f>Europe!201:201-"n/&gt;!1$P"</f>
        <v>#VALUE!</v>
      </c>
      <c r="O310" t="e">
        <f>Europe!202:202-"n/&gt;!1$Q"</f>
        <v>#VALUE!</v>
      </c>
      <c r="P310" t="e">
        <f>Europe!203:203-"n/&gt;!1$R"</f>
        <v>#VALUE!</v>
      </c>
      <c r="Q310" t="e">
        <f>Europe!204:204-"n/&gt;!1$S"</f>
        <v>#VALUE!</v>
      </c>
      <c r="R310" t="e">
        <f>Europe!205:205-"n/&gt;!1$T"</f>
        <v>#VALUE!</v>
      </c>
      <c r="S310" t="e">
        <f>Europe!206:206-"n/&gt;!1$U"</f>
        <v>#VALUE!</v>
      </c>
      <c r="T310" t="e">
        <f>Europe!207:207-"n/&gt;!1$V"</f>
        <v>#VALUE!</v>
      </c>
      <c r="U310" t="e">
        <f>Europe!208:208-"n/&gt;!1$W"</f>
        <v>#VALUE!</v>
      </c>
      <c r="V310" t="e">
        <f>Europe!209:209-"n/&gt;!1$X"</f>
        <v>#VALUE!</v>
      </c>
      <c r="W310" t="e">
        <f>Europe!210:210-"n/&gt;!1$Y"</f>
        <v>#VALUE!</v>
      </c>
      <c r="X310" t="e">
        <f>Europe!211:211-"n/&gt;!1$Z"</f>
        <v>#VALUE!</v>
      </c>
      <c r="Y310" t="e">
        <f>Europe!212:212-"n/&gt;!1$["</f>
        <v>#VALUE!</v>
      </c>
      <c r="Z310" t="e">
        <f>Europe!213:213-"n/&gt;!1$\"</f>
        <v>#VALUE!</v>
      </c>
      <c r="AA310" t="e">
        <f>Europe!214:214-"n/&gt;!1$]"</f>
        <v>#VALUE!</v>
      </c>
      <c r="AB310" t="e">
        <f>Europe!215:215-"n/&gt;!1$^"</f>
        <v>#VALUE!</v>
      </c>
      <c r="AC310" t="e">
        <f>Europe!216:216-"n/&gt;!1$_"</f>
        <v>#VALUE!</v>
      </c>
      <c r="AD310" t="e">
        <f>Europe!217:217-"n/&gt;!1$`"</f>
        <v>#VALUE!</v>
      </c>
      <c r="AE310" t="e">
        <f>Europe!218:218-"n/&gt;!1$a"</f>
        <v>#VALUE!</v>
      </c>
      <c r="AF310" t="e">
        <f>Europe!219:219-"n/&gt;!1$b"</f>
        <v>#VALUE!</v>
      </c>
      <c r="AG310" t="e">
        <f>Europe!220:220-"n/&gt;!1$c"</f>
        <v>#VALUE!</v>
      </c>
      <c r="AH310" t="e">
        <f>Europe!221:221-"n/&gt;!1$d"</f>
        <v>#VALUE!</v>
      </c>
      <c r="AI310" t="e">
        <f>Europe!222:222-"n/&gt;!1$e"</f>
        <v>#VALUE!</v>
      </c>
      <c r="AJ310" t="e">
        <f>Europe!223:223-"n/&gt;!1$f"</f>
        <v>#VALUE!</v>
      </c>
      <c r="AK310" t="e">
        <f>Europe!224:224-"n/&gt;!1$g"</f>
        <v>#VALUE!</v>
      </c>
      <c r="AL310" t="e">
        <f>Europe!225:225-"n/&gt;!1$h"</f>
        <v>#VALUE!</v>
      </c>
      <c r="AM310" t="e">
        <f>Europe!226:226-"n/&gt;!1$i"</f>
        <v>#VALUE!</v>
      </c>
      <c r="AN310" t="e">
        <f>Europe!227:227-"n/&gt;!1$j"</f>
        <v>#VALUE!</v>
      </c>
      <c r="AO310" t="e">
        <f>Europe!228:228-"n/&gt;!1$k"</f>
        <v>#VALUE!</v>
      </c>
      <c r="AP310" t="e">
        <f>Europe!229:229-"n/&gt;!1$l"</f>
        <v>#VALUE!</v>
      </c>
      <c r="AQ310" t="e">
        <f>Europe!230:230-"n/&gt;!1$m"</f>
        <v>#VALUE!</v>
      </c>
      <c r="AR310" t="e">
        <f>Europe!231:231-"n/&gt;!1$n"</f>
        <v>#VALUE!</v>
      </c>
      <c r="AS310" t="e">
        <f>Europe!232:232-"n/&gt;!1$o"</f>
        <v>#VALUE!</v>
      </c>
      <c r="AT310" t="e">
        <f>Europe!233:233-"n/&gt;!1$p"</f>
        <v>#VALUE!</v>
      </c>
      <c r="AU310" t="e">
        <f>Europe!234:234-"n/&gt;!1$q"</f>
        <v>#VALUE!</v>
      </c>
      <c r="AV310" t="e">
        <f>Europe!235:235-"n/&gt;!1$r"</f>
        <v>#VALUE!</v>
      </c>
      <c r="AW310" t="e">
        <f>Europe!236:236-"n/&gt;!1$s"</f>
        <v>#VALUE!</v>
      </c>
      <c r="AX310" t="e">
        <f>Europe!237:237-"n/&gt;!1$t"</f>
        <v>#VALUE!</v>
      </c>
      <c r="AY310" t="e">
        <f>Europe!238:238-"n/&gt;!1$u"</f>
        <v>#VALUE!</v>
      </c>
      <c r="AZ310" t="e">
        <f>Europe!239:239-"n/&gt;!1$v"</f>
        <v>#VALUE!</v>
      </c>
      <c r="BA310" t="e">
        <f>Europe!240:240-"n/&gt;!1$w"</f>
        <v>#VALUE!</v>
      </c>
      <c r="BB310" t="e">
        <f>Europe!241:241-"n/&gt;!1$x"</f>
        <v>#VALUE!</v>
      </c>
      <c r="BC310" t="e">
        <f>Europe!242:242-"n/&gt;!1$y"</f>
        <v>#VALUE!</v>
      </c>
      <c r="BD310" t="e">
        <f>Europe!243:243-"n/&gt;!1$z"</f>
        <v>#VALUE!</v>
      </c>
      <c r="BE310" t="e">
        <f>Europe!244:244-"n/&gt;!1${"</f>
        <v>#VALUE!</v>
      </c>
      <c r="BF310" t="e">
        <f>Europe!245:245-"n/&gt;!1$|"</f>
        <v>#VALUE!</v>
      </c>
      <c r="BG310" t="e">
        <f>Europe!246:246-"n/&gt;!1$}"</f>
        <v>#VALUE!</v>
      </c>
      <c r="BH310" t="e">
        <f>Europe!247:247-"n/&gt;!1$~"</f>
        <v>#VALUE!</v>
      </c>
      <c r="BI310" t="e">
        <f>Europe!248:248-"n/&gt;!1%#"</f>
        <v>#VALUE!</v>
      </c>
      <c r="BJ310" t="e">
        <f>Europe!249:249-"n/&gt;!1%$"</f>
        <v>#VALUE!</v>
      </c>
      <c r="BK310" t="e">
        <f>Europe!250:250-"n/&gt;!1%%"</f>
        <v>#VALUE!</v>
      </c>
      <c r="BL310" t="e">
        <f>Europe!251:251-"n/&gt;!1%&amp;"</f>
        <v>#VALUE!</v>
      </c>
      <c r="BM310" t="e">
        <f>Europe!252:252-"n/&gt;!1%'"</f>
        <v>#VALUE!</v>
      </c>
      <c r="BN310" t="e">
        <f>Europe!253:253-"n/&gt;!1%("</f>
        <v>#VALUE!</v>
      </c>
      <c r="BO310" t="e">
        <f>Europe!254:254-"n/&gt;!1%)"</f>
        <v>#VALUE!</v>
      </c>
      <c r="BP310" t="e">
        <f>Europe!255:255-"n/&gt;!1%."</f>
        <v>#VALUE!</v>
      </c>
      <c r="BQ310" t="e">
        <f>Europe!256:256-"n/&gt;!1%/"</f>
        <v>#VALUE!</v>
      </c>
      <c r="BR310" t="e">
        <f>Europe!257:257-"n/&gt;!1%0"</f>
        <v>#VALUE!</v>
      </c>
      <c r="BS310" t="e">
        <f>Europe!258:258-"n/&gt;!1%1"</f>
        <v>#VALUE!</v>
      </c>
      <c r="BT310" t="e">
        <f>Europe!259:259-"n/&gt;!1%2"</f>
        <v>#VALUE!</v>
      </c>
      <c r="BU310" t="e">
        <f>Europe!260:260-"n/&gt;!1%3"</f>
        <v>#VALUE!</v>
      </c>
      <c r="BV310" t="e">
        <f>Europe!261:261-"n/&gt;!1%4"</f>
        <v>#VALUE!</v>
      </c>
      <c r="BW310" t="e">
        <f>Europe!262:262-"n/&gt;!1%5"</f>
        <v>#VALUE!</v>
      </c>
      <c r="BX310" t="e">
        <f>Europe!263:263-"n/&gt;!1%6"</f>
        <v>#VALUE!</v>
      </c>
      <c r="BY310" t="e">
        <f>Europe!264:264-"n/&gt;!1%7"</f>
        <v>#VALUE!</v>
      </c>
      <c r="BZ310" t="e">
        <f>Europe!265:265-"n/&gt;!1%8"</f>
        <v>#VALUE!</v>
      </c>
      <c r="CA310" t="e">
        <f>Europe!266:266-"n/&gt;!1%9"</f>
        <v>#VALUE!</v>
      </c>
      <c r="CB310" t="e">
        <f>Europe!267:267-"n/&gt;!1%:"</f>
        <v>#VALUE!</v>
      </c>
      <c r="CC310" t="e">
        <f>Europe!268:268-"n/&gt;!1%;"</f>
        <v>#VALUE!</v>
      </c>
      <c r="CD310" t="e">
        <f>Europe!269:269-"n/&gt;!1%&lt;"</f>
        <v>#VALUE!</v>
      </c>
      <c r="CE310" t="e">
        <f>Europe!270:270-"n/&gt;!1%="</f>
        <v>#VALUE!</v>
      </c>
      <c r="CF310" t="e">
        <f>Europe!271:271-"n/&gt;!1%&gt;"</f>
        <v>#VALUE!</v>
      </c>
      <c r="CG310" t="e">
        <f>Europe!272:272-"n/&gt;!1%?"</f>
        <v>#VALUE!</v>
      </c>
      <c r="CH310" t="e">
        <f>Europe!273:273-"n/&gt;!1%@"</f>
        <v>#VALUE!</v>
      </c>
      <c r="CI310" t="e">
        <f>Europe!274:274-"n/&gt;!1%A"</f>
        <v>#VALUE!</v>
      </c>
      <c r="CJ310" t="e">
        <f>Europe!275:275-"n/&gt;!1%B"</f>
        <v>#VALUE!</v>
      </c>
      <c r="CK310" t="e">
        <f>Europe!276:276-"n/&gt;!1%C"</f>
        <v>#VALUE!</v>
      </c>
      <c r="CL310" t="e">
        <f>Europe!277:277-"n/&gt;!1%D"</f>
        <v>#VALUE!</v>
      </c>
      <c r="CM310" t="e">
        <f>Europe!278:278-"n/&gt;!1%E"</f>
        <v>#VALUE!</v>
      </c>
      <c r="CN310" t="e">
        <f>Europe!279:279-"n/&gt;!1%F"</f>
        <v>#VALUE!</v>
      </c>
      <c r="CO310" t="e">
        <f>Europe!280:280-"n/&gt;!1%G"</f>
        <v>#VALUE!</v>
      </c>
      <c r="CP310" t="e">
        <f>Europe!281:281-"n/&gt;!1%H"</f>
        <v>#VALUE!</v>
      </c>
      <c r="CQ310" t="e">
        <f>Europe!282:282-"n/&gt;!1%I"</f>
        <v>#VALUE!</v>
      </c>
      <c r="CR310" t="e">
        <f>Europe!283:283-"n/&gt;!1%J"</f>
        <v>#VALUE!</v>
      </c>
      <c r="CS310" t="e">
        <f>Europe!284:284-"n/&gt;!1%K"</f>
        <v>#VALUE!</v>
      </c>
      <c r="CT310" t="e">
        <f>Europe!285:285-"n/&gt;!1%L"</f>
        <v>#VALUE!</v>
      </c>
      <c r="CU310" t="e">
        <f>Europe!286:286-"n/&gt;!1%M"</f>
        <v>#VALUE!</v>
      </c>
      <c r="CV310" t="e">
        <f>Europe!287:287-"n/&gt;!1%N"</f>
        <v>#VALUE!</v>
      </c>
      <c r="CW310" t="e">
        <f>Europe!288:288-"n/&gt;!1%O"</f>
        <v>#VALUE!</v>
      </c>
      <c r="CX310" t="e">
        <f>Europe!289:289-"n/&gt;!1%P"</f>
        <v>#VALUE!</v>
      </c>
      <c r="CY310" t="e">
        <f>Europe!290:290-"n/&gt;!1%Q"</f>
        <v>#VALUE!</v>
      </c>
      <c r="CZ310" t="e">
        <f>Europe!291:291-"n/&gt;!1%R"</f>
        <v>#VALUE!</v>
      </c>
      <c r="DA310" t="e">
        <f>Europe!292:292-"n/&gt;!1%S"</f>
        <v>#VALUE!</v>
      </c>
      <c r="DB310" t="e">
        <f>Europe!293:293-"n/&gt;!1%T"</f>
        <v>#VALUE!</v>
      </c>
      <c r="DC310" t="e">
        <f>Europe!294:294-"n/&gt;!1%U"</f>
        <v>#VALUE!</v>
      </c>
      <c r="DD310" t="e">
        <f>Europe!295:295-"n/&gt;!1%V"</f>
        <v>#VALUE!</v>
      </c>
      <c r="DE310" t="e">
        <f>Europe!296:296-"n/&gt;!1%W"</f>
        <v>#VALUE!</v>
      </c>
      <c r="DF310" t="e">
        <f>Europe!297:297-"n/&gt;!1%X"</f>
        <v>#VALUE!</v>
      </c>
      <c r="DG310" t="e">
        <f>Europe!298:298-"n/&gt;!1%Y"</f>
        <v>#VALUE!</v>
      </c>
      <c r="DH310" t="e">
        <f>Europe!299:299-"n/&gt;!1%Z"</f>
        <v>#VALUE!</v>
      </c>
      <c r="DI310" t="e">
        <f>Europe!300:300-"n/&gt;!1%["</f>
        <v>#VALUE!</v>
      </c>
      <c r="DJ310" t="e">
        <f>Europe!301:301-"n/&gt;!1%\"</f>
        <v>#VALUE!</v>
      </c>
      <c r="DK310" t="e">
        <f>Europe!302:302-"n/&gt;!1%]"</f>
        <v>#VALUE!</v>
      </c>
      <c r="DL310" t="e">
        <f>Europe!303:303-"n/&gt;!1%^"</f>
        <v>#VALUE!</v>
      </c>
      <c r="DM310" t="e">
        <f>Europe!304:304-"n/&gt;!1%_"</f>
        <v>#VALUE!</v>
      </c>
      <c r="DN310" t="e">
        <f>Europe!305:305-"n/&gt;!1%`"</f>
        <v>#VALUE!</v>
      </c>
      <c r="DO310" t="e">
        <f>Europe!306:306-"n/&gt;!1%a"</f>
        <v>#VALUE!</v>
      </c>
      <c r="DP310" t="e">
        <f>Europe!307:307-"n/&gt;!1%b"</f>
        <v>#VALUE!</v>
      </c>
      <c r="DQ310" t="e">
        <f>Europe!308:308-"n/&gt;!1%c"</f>
        <v>#VALUE!</v>
      </c>
      <c r="DR310" t="e">
        <f>Europe!309:309-"n/&gt;!1%d"</f>
        <v>#VALUE!</v>
      </c>
      <c r="DS310" t="e">
        <f>Europe!310:310-"n/&gt;!1%e"</f>
        <v>#VALUE!</v>
      </c>
      <c r="DT310" t="e">
        <f>Europe!311:311-"n/&gt;!1%f"</f>
        <v>#VALUE!</v>
      </c>
      <c r="DU310" t="e">
        <f>Europe!312:312-"n/&gt;!1%g"</f>
        <v>#VALUE!</v>
      </c>
      <c r="DV310" t="e">
        <f>Europe!313:313-"n/&gt;!1%h"</f>
        <v>#VALUE!</v>
      </c>
      <c r="DW310" t="e">
        <f>Europe!314:314-"n/&gt;!1%i"</f>
        <v>#VALUE!</v>
      </c>
      <c r="DX310" t="e">
        <f>Europe!315:315-"n/&gt;!1%j"</f>
        <v>#VALUE!</v>
      </c>
      <c r="DY310" t="e">
        <f>Europe!316:316-"n/&gt;!1%k"</f>
        <v>#VALUE!</v>
      </c>
      <c r="DZ310" t="e">
        <f>Europe!317:317-"n/&gt;!1%l"</f>
        <v>#VALUE!</v>
      </c>
      <c r="EA310" t="e">
        <f>Europe!318:318-"n/&gt;!1%m"</f>
        <v>#VALUE!</v>
      </c>
      <c r="EB310" t="e">
        <f>Europe!319:319-"n/&gt;!1%n"</f>
        <v>#VALUE!</v>
      </c>
      <c r="EC310" t="e">
        <f>Europe!320:320-"n/&gt;!1%o"</f>
        <v>#VALUE!</v>
      </c>
      <c r="ED310" t="e">
        <f>Europe!321:321-"n/&gt;!1%p"</f>
        <v>#VALUE!</v>
      </c>
      <c r="EE310" t="e">
        <f>Europe!322:322-"n/&gt;!1%q"</f>
        <v>#VALUE!</v>
      </c>
      <c r="EF310" t="e">
        <f>Europe!323:323-"n/&gt;!1%r"</f>
        <v>#VALUE!</v>
      </c>
      <c r="EG310" t="e">
        <f>Europe!324:324-"n/&gt;!1%s"</f>
        <v>#VALUE!</v>
      </c>
      <c r="EH310" t="e">
        <f>Europe!325:325-"n/&gt;!1%t"</f>
        <v>#VALUE!</v>
      </c>
      <c r="EI310" t="e">
        <f>Europe!326:326-"n/&gt;!1%u"</f>
        <v>#VALUE!</v>
      </c>
      <c r="EJ310" t="e">
        <f>Europe!327:327-"n/&gt;!1%v"</f>
        <v>#VALUE!</v>
      </c>
      <c r="EK310" t="e">
        <f>Europe!328:328-"n/&gt;!1%w"</f>
        <v>#VALUE!</v>
      </c>
      <c r="EL310" t="e">
        <f>Europe!329:329-"n/&gt;!1%x"</f>
        <v>#VALUE!</v>
      </c>
      <c r="EM310" t="e">
        <f>Europe!330:330-"n/&gt;!1%y"</f>
        <v>#VALUE!</v>
      </c>
      <c r="EN310" t="e">
        <f>Europe!331:331-"n/&gt;!1%z"</f>
        <v>#VALUE!</v>
      </c>
      <c r="EO310" t="e">
        <f>Europe!332:332-"n/&gt;!1%{"</f>
        <v>#VALUE!</v>
      </c>
      <c r="EP310" t="e">
        <f>Europe!333:333-"n/&gt;!1%|"</f>
        <v>#VALUE!</v>
      </c>
      <c r="EQ310" t="e">
        <f>Europe!334:334-"n/&gt;!1%}"</f>
        <v>#VALUE!</v>
      </c>
      <c r="ER310" t="e">
        <f>Europe!335:335-"n/&gt;!1%~"</f>
        <v>#VALUE!</v>
      </c>
      <c r="ES310" t="e">
        <f>Europe!336:336-"n/&gt;!1&amp;#"</f>
        <v>#VALUE!</v>
      </c>
      <c r="ET310" t="e">
        <f>Europe!337:337-"n/&gt;!1&amp;$"</f>
        <v>#VALUE!</v>
      </c>
      <c r="EU310" t="e">
        <f>Europe!338:338-"n/&gt;!1&amp;%"</f>
        <v>#VALUE!</v>
      </c>
      <c r="EV310" t="e">
        <f>Europe!339:339-"n/&gt;!1&amp;&amp;"</f>
        <v>#VALUE!</v>
      </c>
      <c r="EW310" t="e">
        <f>Europe!340:340-"n/&gt;!1&amp;'"</f>
        <v>#VALUE!</v>
      </c>
      <c r="EX310" t="e">
        <f>Europe!341:341-"n/&gt;!1&amp;("</f>
        <v>#VALUE!</v>
      </c>
      <c r="EY310" t="e">
        <f>Europe!342:342-"n/&gt;!1&amp;)"</f>
        <v>#VALUE!</v>
      </c>
      <c r="EZ310" t="e">
        <f>Europe!343:343-"n/&gt;!1&amp;."</f>
        <v>#VALUE!</v>
      </c>
      <c r="FA310" t="e">
        <f>Europe!344:344-"n/&gt;!1&amp;/"</f>
        <v>#VALUE!</v>
      </c>
      <c r="FB310" t="e">
        <f>Europe!345:345-"n/&gt;!1&amp;0"</f>
        <v>#VALUE!</v>
      </c>
      <c r="FC310" t="e">
        <f>Europe!346:346-"n/&gt;!1&amp;1"</f>
        <v>#VALUE!</v>
      </c>
      <c r="FD310" t="e">
        <f>Europe!347:347-"n/&gt;!1&amp;2"</f>
        <v>#VALUE!</v>
      </c>
      <c r="FE310" t="e">
        <f>Europe!348:348-"n/&gt;!1&amp;3"</f>
        <v>#VALUE!</v>
      </c>
      <c r="FF310" t="e">
        <f>Europe!349:349-"n/&gt;!1&amp;4"</f>
        <v>#VALUE!</v>
      </c>
      <c r="FG310" t="e">
        <f>Europe!350:350-"n/&gt;!1&amp;5"</f>
        <v>#VALUE!</v>
      </c>
      <c r="FH310" t="e">
        <f>Europe!351:351-"n/&gt;!1&amp;6"</f>
        <v>#VALUE!</v>
      </c>
      <c r="FI310" t="e">
        <f>Europe!352:352-"n/&gt;!1&amp;7"</f>
        <v>#VALUE!</v>
      </c>
      <c r="FJ310" t="e">
        <f>Europe!353:353-"n/&gt;!1&amp;8"</f>
        <v>#VALUE!</v>
      </c>
      <c r="FK310" t="e">
        <f>Europe!354:354-"n/&gt;!1&amp;9"</f>
        <v>#VALUE!</v>
      </c>
      <c r="FL310" t="e">
        <f>Europe!355:355-"n/&gt;!1&amp;:"</f>
        <v>#VALUE!</v>
      </c>
      <c r="FM310" t="e">
        <f>Europe!356:356-"n/&gt;!1&amp;;"</f>
        <v>#VALUE!</v>
      </c>
      <c r="FN310" t="e">
        <f>Europe!357:357-"n/&gt;!1&amp;&lt;"</f>
        <v>#VALUE!</v>
      </c>
      <c r="FO310" t="e">
        <f>Europe!358:358-"n/&gt;!1&amp;="</f>
        <v>#VALUE!</v>
      </c>
      <c r="FP310" t="e">
        <f>Europe!359:359-"n/&gt;!1&amp;&gt;"</f>
        <v>#VALUE!</v>
      </c>
      <c r="FQ310" t="e">
        <f>Europe!360:360-"n/&gt;!1&amp;?"</f>
        <v>#VALUE!</v>
      </c>
      <c r="FR310" t="e">
        <f>Europe!361:361-"n/&gt;!1&amp;@"</f>
        <v>#VALUE!</v>
      </c>
      <c r="FS310" t="e">
        <f>Europe!362:362-"n/&gt;!1&amp;A"</f>
        <v>#VALUE!</v>
      </c>
      <c r="FT310" t="e">
        <f>Europe!363:363-"n/&gt;!1&amp;B"</f>
        <v>#VALUE!</v>
      </c>
      <c r="FU310" t="e">
        <f>Europe!364:364-"n/&gt;!1&amp;C"</f>
        <v>#VALUE!</v>
      </c>
      <c r="FV310" t="e">
        <f>Europe!365:365-"n/&gt;!1&amp;D"</f>
        <v>#VALUE!</v>
      </c>
      <c r="FW310" t="e">
        <f>Europe!366:366-"n/&gt;!1&amp;E"</f>
        <v>#VALUE!</v>
      </c>
      <c r="FX310" t="e">
        <f>Europe!367:367-"n/&gt;!1&amp;F"</f>
        <v>#VALUE!</v>
      </c>
      <c r="FY310" t="e">
        <f>Europe!368:368-"n/&gt;!1&amp;G"</f>
        <v>#VALUE!</v>
      </c>
      <c r="FZ310" t="e">
        <f>Europe!369:369-"n/&gt;!1&amp;H"</f>
        <v>#VALUE!</v>
      </c>
      <c r="GA310" t="e">
        <f>Europe!370:370-"n/&gt;!1&amp;I"</f>
        <v>#VALUE!</v>
      </c>
      <c r="GB310" t="e">
        <f>Europe!371:371-"n/&gt;!1&amp;J"</f>
        <v>#VALUE!</v>
      </c>
      <c r="GC310" t="e">
        <f>Europe!372:372-"n/&gt;!1&amp;K"</f>
        <v>#VALUE!</v>
      </c>
      <c r="GD310" t="e">
        <f>Europe!373:373-"n/&gt;!1&amp;L"</f>
        <v>#VALUE!</v>
      </c>
      <c r="GE310" t="e">
        <f>Europe!374:374-"n/&gt;!1&amp;M"</f>
        <v>#VALUE!</v>
      </c>
      <c r="GF310" t="e">
        <f>Europe!375:375-"n/&gt;!1&amp;N"</f>
        <v>#VALUE!</v>
      </c>
      <c r="GG310" t="e">
        <f>Europe!376:376-"n/&gt;!1&amp;O"</f>
        <v>#VALUE!</v>
      </c>
      <c r="GH310" t="e">
        <f>Europe!377:377-"n/&gt;!1&amp;P"</f>
        <v>#VALUE!</v>
      </c>
      <c r="GI310" t="e">
        <f>Europe!378:378-"n/&gt;!1&amp;Q"</f>
        <v>#VALUE!</v>
      </c>
      <c r="GJ310" t="e">
        <f>Europe!379:379-"n/&gt;!1&amp;R"</f>
        <v>#VALUE!</v>
      </c>
      <c r="GK310" t="e">
        <f>Europe!380:380-"n/&gt;!1&amp;S"</f>
        <v>#VALUE!</v>
      </c>
      <c r="GL310" t="e">
        <f>Europe!381:381-"n/&gt;!1&amp;T"</f>
        <v>#VALUE!</v>
      </c>
      <c r="GM310" t="e">
        <f>Europe!382:382-"n/&gt;!1&amp;U"</f>
        <v>#VALUE!</v>
      </c>
      <c r="GN310" t="e">
        <f>Europe!383:383-"n/&gt;!1&amp;V"</f>
        <v>#VALUE!</v>
      </c>
      <c r="GO310" t="e">
        <f>Europe!384:384-"n/&gt;!1&amp;W"</f>
        <v>#VALUE!</v>
      </c>
      <c r="GP310" t="e">
        <f>Europe!385:385-"n/&gt;!1&amp;X"</f>
        <v>#VALUE!</v>
      </c>
      <c r="GQ310" t="e">
        <f>Europe!386:386-"n/&gt;!1&amp;Y"</f>
        <v>#VALUE!</v>
      </c>
      <c r="GR310" t="e">
        <f>Europe!387:387-"n/&gt;!1&amp;Z"</f>
        <v>#VALUE!</v>
      </c>
      <c r="GS310" t="e">
        <f>Europe!388:388-"n/&gt;!1&amp;["</f>
        <v>#VALUE!</v>
      </c>
      <c r="GT310" t="e">
        <f>Europe!389:389-"n/&gt;!1&amp;\"</f>
        <v>#VALUE!</v>
      </c>
      <c r="GU310" t="e">
        <f>Europe!390:390-"n/&gt;!1&amp;]"</f>
        <v>#VALUE!</v>
      </c>
      <c r="GV310" t="e">
        <f>Europe!391:391-"n/&gt;!1&amp;^"</f>
        <v>#VALUE!</v>
      </c>
      <c r="GW310" t="e">
        <f>Europe!392:392-"n/&gt;!1&amp;_"</f>
        <v>#VALUE!</v>
      </c>
      <c r="GX310" t="e">
        <f>Europe!393:393-"n/&gt;!1&amp;`"</f>
        <v>#VALUE!</v>
      </c>
      <c r="GY310" t="e">
        <f>Europe!394:394-"n/&gt;!1&amp;a"</f>
        <v>#VALUE!</v>
      </c>
      <c r="GZ310" t="e">
        <f>Europe!395:395-"n/&gt;!1&amp;b"</f>
        <v>#VALUE!</v>
      </c>
      <c r="HA310" t="e">
        <f>Europe!396:396-"n/&gt;!1&amp;c"</f>
        <v>#VALUE!</v>
      </c>
      <c r="HB310" t="e">
        <f>Europe!397:397-"n/&gt;!1&amp;d"</f>
        <v>#VALUE!</v>
      </c>
      <c r="HC310" t="e">
        <f>Europe!398:398-"n/&gt;!1&amp;e"</f>
        <v>#VALUE!</v>
      </c>
      <c r="HD310" t="e">
        <f>Europe!399:399-"n/&gt;!1&amp;f"</f>
        <v>#VALUE!</v>
      </c>
      <c r="HE310" t="e">
        <f>Europe!400:400-"n/&gt;!1&amp;g"</f>
        <v>#VALUE!</v>
      </c>
      <c r="HF310" t="e">
        <f>Europe!401:401-"n/&gt;!1&amp;h"</f>
        <v>#VALUE!</v>
      </c>
      <c r="HG310" t="e">
        <f>Europe!402:402-"n/&gt;!1&amp;i"</f>
        <v>#VALUE!</v>
      </c>
      <c r="HH310" t="e">
        <f>Europe!403:403-"n/&gt;!1&amp;j"</f>
        <v>#VALUE!</v>
      </c>
      <c r="HI310" t="e">
        <f>Europe!404:404-"n/&gt;!1&amp;k"</f>
        <v>#VALUE!</v>
      </c>
      <c r="HJ310" t="e">
        <f>Europe!405:405-"n/&gt;!1&amp;l"</f>
        <v>#VALUE!</v>
      </c>
      <c r="HK310" t="e">
        <f>Europe!406:406-"n/&gt;!1&amp;m"</f>
        <v>#VALUE!</v>
      </c>
      <c r="HL310" t="e">
        <f>Europe!407:407-"n/&gt;!1&amp;n"</f>
        <v>#VALUE!</v>
      </c>
      <c r="HM310" t="e">
        <f>Europe!408:408-"n/&gt;!1&amp;o"</f>
        <v>#VALUE!</v>
      </c>
      <c r="HN310" t="e">
        <f>Europe!409:409-"n/&gt;!1&amp;p"</f>
        <v>#VALUE!</v>
      </c>
      <c r="HO310" t="e">
        <f>Europe!410:410-"n/&gt;!1&amp;q"</f>
        <v>#VALUE!</v>
      </c>
      <c r="HP310" t="e">
        <f>Europe!411:411-"n/&gt;!1&amp;r"</f>
        <v>#VALUE!</v>
      </c>
      <c r="HQ310" t="e">
        <f>Europe!412:412-"n/&gt;!1&amp;s"</f>
        <v>#VALUE!</v>
      </c>
      <c r="HR310" t="e">
        <f>Europe!413:413-"n/&gt;!1&amp;t"</f>
        <v>#VALUE!</v>
      </c>
      <c r="HS310" t="e">
        <f>Europe!414:414-"n/&gt;!1&amp;u"</f>
        <v>#VALUE!</v>
      </c>
      <c r="HT310" t="e">
        <f>Europe!415:415-"n/&gt;!1&amp;v"</f>
        <v>#VALUE!</v>
      </c>
      <c r="HU310" t="e">
        <f>Europe!416:416-"n/&gt;!1&amp;w"</f>
        <v>#VALUE!</v>
      </c>
      <c r="HV310" t="e">
        <f>Europe!417:417-"n/&gt;!1&amp;x"</f>
        <v>#VALUE!</v>
      </c>
      <c r="HW310" t="e">
        <f>Europe!418:418-"n/&gt;!1&amp;y"</f>
        <v>#VALUE!</v>
      </c>
      <c r="HX310" t="e">
        <f>Europe!419:419-"n/&gt;!1&amp;z"</f>
        <v>#VALUE!</v>
      </c>
      <c r="HY310" t="e">
        <f>Europe!420:420-"n/&gt;!1&amp;{"</f>
        <v>#VALUE!</v>
      </c>
      <c r="HZ310" t="e">
        <f>Europe!421:421-"n/&gt;!1&amp;|"</f>
        <v>#VALUE!</v>
      </c>
      <c r="IA310" t="e">
        <f>Europe!422:422-"n/&gt;!1&amp;}"</f>
        <v>#VALUE!</v>
      </c>
      <c r="IB310" t="e">
        <f>Europe!423:423-"n/&gt;!1&amp;~"</f>
        <v>#VALUE!</v>
      </c>
      <c r="IC310" t="e">
        <f>Europe!424:424-"n/&gt;!1'#"</f>
        <v>#VALUE!</v>
      </c>
      <c r="ID310" t="e">
        <f>Europe!425:425-"n/&gt;!1'$"</f>
        <v>#VALUE!</v>
      </c>
      <c r="IE310" t="e">
        <f>Europe!426:426-"n/&gt;!1'%"</f>
        <v>#VALUE!</v>
      </c>
      <c r="IF310" t="e">
        <f>Europe!427:427-"n/&gt;!1'&amp;"</f>
        <v>#VALUE!</v>
      </c>
      <c r="IG310" t="e">
        <f>Europe!428:428-"n/&gt;!1''"</f>
        <v>#VALUE!</v>
      </c>
      <c r="IH310" t="e">
        <f>Europe!429:429-"n/&gt;!1'("</f>
        <v>#VALUE!</v>
      </c>
      <c r="II310" t="e">
        <f>Europe!430:430-"n/&gt;!1')"</f>
        <v>#VALUE!</v>
      </c>
      <c r="IJ310" t="e">
        <f>Europe!431:431-"n/&gt;!1'."</f>
        <v>#VALUE!</v>
      </c>
      <c r="IK310" t="e">
        <f>Europe!432:432-"n/&gt;!1'/"</f>
        <v>#VALUE!</v>
      </c>
      <c r="IL310" t="e">
        <f>Europe!433:433-"n/&gt;!1'0"</f>
        <v>#VALUE!</v>
      </c>
      <c r="IM310" t="e">
        <f>Europe!434:434-"n/&gt;!1'1"</f>
        <v>#VALUE!</v>
      </c>
      <c r="IN310" t="e">
        <f>Europe!435:435-"n/&gt;!1'2"</f>
        <v>#VALUE!</v>
      </c>
      <c r="IO310" t="e">
        <f>Europe!436:436-"n/&gt;!1'3"</f>
        <v>#VALUE!</v>
      </c>
      <c r="IP310" t="e">
        <f>Europe!437:437-"n/&gt;!1'4"</f>
        <v>#VALUE!</v>
      </c>
      <c r="IQ310" t="e">
        <f>Europe!438:438-"n/&gt;!1'5"</f>
        <v>#VALUE!</v>
      </c>
      <c r="IR310" t="e">
        <f>Europe!439:439-"n/&gt;!1'6"</f>
        <v>#VALUE!</v>
      </c>
      <c r="IS310" t="e">
        <f>Europe!440:440-"n/&gt;!1'7"</f>
        <v>#VALUE!</v>
      </c>
      <c r="IT310" t="e">
        <f>Europe!441:441-"n/&gt;!1'8"</f>
        <v>#VALUE!</v>
      </c>
      <c r="IU310" t="e">
        <f>Europe!442:442-"n/&gt;!1'9"</f>
        <v>#VALUE!</v>
      </c>
      <c r="IV310" t="e">
        <f>Europe!443:443-"n/&gt;!1':"</f>
        <v>#VALUE!</v>
      </c>
    </row>
    <row r="311" spans="6:256" x14ac:dyDescent="0.35">
      <c r="F311" t="e">
        <f>Europe!444:444-"n/&gt;!1';"</f>
        <v>#VALUE!</v>
      </c>
      <c r="G311" t="e">
        <f>Europe!445:445-"n/&gt;!1'&lt;"</f>
        <v>#VALUE!</v>
      </c>
      <c r="H311" t="e">
        <f>Europe!446:446-"n/&gt;!1'="</f>
        <v>#VALUE!</v>
      </c>
      <c r="I311" t="e">
        <f>Europe!447:447-"n/&gt;!1'&gt;"</f>
        <v>#VALUE!</v>
      </c>
      <c r="J311" t="e">
        <f>Europe!448:448-"n/&gt;!1'?"</f>
        <v>#VALUE!</v>
      </c>
      <c r="K311" t="e">
        <f>Europe!449:449-"n/&gt;!1'@"</f>
        <v>#VALUE!</v>
      </c>
      <c r="L311" t="e">
        <f>Europe!450:450-"n/&gt;!1'A"</f>
        <v>#VALUE!</v>
      </c>
      <c r="M311" t="e">
        <f>Europe!451:451-"n/&gt;!1'B"</f>
        <v>#VALUE!</v>
      </c>
      <c r="N311" t="e">
        <f>Europe!452:452-"n/&gt;!1'C"</f>
        <v>#VALUE!</v>
      </c>
      <c r="O311" t="e">
        <f>Europe!453:453-"n/&gt;!1'D"</f>
        <v>#VALUE!</v>
      </c>
      <c r="P311" t="e">
        <f>Europe!454:454-"n/&gt;!1'E"</f>
        <v>#VALUE!</v>
      </c>
      <c r="Q311" t="e">
        <f>Europe!455:455-"n/&gt;!1'F"</f>
        <v>#VALUE!</v>
      </c>
      <c r="R311" t="e">
        <f>Europe!456:456-"n/&gt;!1'G"</f>
        <v>#VALUE!</v>
      </c>
      <c r="S311" t="e">
        <f>Europe!457:457-"n/&gt;!1'H"</f>
        <v>#VALUE!</v>
      </c>
      <c r="T311" t="e">
        <f>Europe!458:458-"n/&gt;!1'I"</f>
        <v>#VALUE!</v>
      </c>
      <c r="U311" t="e">
        <f>Europe!459:459-"n/&gt;!1'J"</f>
        <v>#VALUE!</v>
      </c>
      <c r="V311" t="e">
        <f>Europe!460:460-"n/&gt;!1'K"</f>
        <v>#VALUE!</v>
      </c>
      <c r="W311" t="e">
        <f>Europe!461:461-"n/&gt;!1'L"</f>
        <v>#VALUE!</v>
      </c>
      <c r="X311" t="e">
        <f>Europe!462:462-"n/&gt;!1'M"</f>
        <v>#VALUE!</v>
      </c>
      <c r="Y311" t="e">
        <f>Europe!463:463-"n/&gt;!1'N"</f>
        <v>#VALUE!</v>
      </c>
      <c r="Z311" t="e">
        <f>Europe!464:464-"n/&gt;!1'O"</f>
        <v>#VALUE!</v>
      </c>
      <c r="AA311" t="e">
        <f>Europe!465:465-"n/&gt;!1'P"</f>
        <v>#VALUE!</v>
      </c>
      <c r="AB311" t="e">
        <f>Europe!466:466-"n/&gt;!1'Q"</f>
        <v>#VALUE!</v>
      </c>
      <c r="AC311" t="e">
        <f>Europe!467:467-"n/&gt;!1'R"</f>
        <v>#VALUE!</v>
      </c>
      <c r="AD311" t="e">
        <f>Europe!468:468-"n/&gt;!1'S"</f>
        <v>#VALUE!</v>
      </c>
      <c r="AE311" t="e">
        <f>Europe!469:469-"n/&gt;!1'T"</f>
        <v>#VALUE!</v>
      </c>
      <c r="AF311" t="e">
        <f>Europe!470:470-"n/&gt;!1'U"</f>
        <v>#VALUE!</v>
      </c>
      <c r="AG311" t="e">
        <f>Europe!471:471-"n/&gt;!1'V"</f>
        <v>#VALUE!</v>
      </c>
      <c r="AH311" t="e">
        <f>Europe!472:472-"n/&gt;!1'W"</f>
        <v>#VALUE!</v>
      </c>
      <c r="AI311" t="e">
        <f>Europe!473:473-"n/&gt;!1'X"</f>
        <v>#VALUE!</v>
      </c>
      <c r="AJ311" t="e">
        <f>Europe!474:474-"n/&gt;!1'Y"</f>
        <v>#VALUE!</v>
      </c>
      <c r="AK311" t="e">
        <f>Europe!475:475-"n/&gt;!1'Z"</f>
        <v>#VALUE!</v>
      </c>
      <c r="AL311" t="e">
        <f>Europe!476:476-"n/&gt;!1'["</f>
        <v>#VALUE!</v>
      </c>
      <c r="AM311" t="e">
        <f>Europe!477:477-"n/&gt;!1'\"</f>
        <v>#VALUE!</v>
      </c>
      <c r="AN311" t="e">
        <f>Europe!478:478-"n/&gt;!1']"</f>
        <v>#VALUE!</v>
      </c>
      <c r="AO311" t="e">
        <f>Europe!479:479-"n/&gt;!1'^"</f>
        <v>#VALUE!</v>
      </c>
      <c r="AP311" t="e">
        <f>Europe!480:480-"n/&gt;!1'_"</f>
        <v>#VALUE!</v>
      </c>
      <c r="AQ311" t="e">
        <f>Europe!481:481-"n/&gt;!1'`"</f>
        <v>#VALUE!</v>
      </c>
      <c r="AR311" t="e">
        <f>Europe!482:482-"n/&gt;!1'a"</f>
        <v>#VALUE!</v>
      </c>
      <c r="AS311" t="e">
        <f>Europe!483:483-"n/&gt;!1'b"</f>
        <v>#VALUE!</v>
      </c>
      <c r="AT311" t="e">
        <f>Europe!484:484-"n/&gt;!1'c"</f>
        <v>#VALUE!</v>
      </c>
      <c r="AU311" t="e">
        <f>Europe!485:485-"n/&gt;!1'd"</f>
        <v>#VALUE!</v>
      </c>
      <c r="AV311" t="e">
        <f>Europe!486:486-"n/&gt;!1'e"</f>
        <v>#VALUE!</v>
      </c>
      <c r="AW311" t="e">
        <f>Europe!487:487-"n/&gt;!1'f"</f>
        <v>#VALUE!</v>
      </c>
      <c r="AX311" t="e">
        <f>Europe!488:488-"n/&gt;!1'g"</f>
        <v>#VALUE!</v>
      </c>
      <c r="AY311" t="e">
        <f>Europe!489:489-"n/&gt;!1'h"</f>
        <v>#VALUE!</v>
      </c>
      <c r="AZ311" t="e">
        <f>Europe!490:490-"n/&gt;!1'i"</f>
        <v>#VALUE!</v>
      </c>
      <c r="BA311" t="e">
        <f>Europe!491:491-"n/&gt;!1'j"</f>
        <v>#VALUE!</v>
      </c>
      <c r="BB311" t="e">
        <f>Europe!492:492-"n/&gt;!1'k"</f>
        <v>#VALUE!</v>
      </c>
      <c r="BC311" t="e">
        <f>Europe!493:493-"n/&gt;!1'l"</f>
        <v>#VALUE!</v>
      </c>
      <c r="BD311" t="e">
        <f>Europe!494:494-"n/&gt;!1'm"</f>
        <v>#VALUE!</v>
      </c>
      <c r="BE311" t="e">
        <f>Europe!495:495-"n/&gt;!1'n"</f>
        <v>#VALUE!</v>
      </c>
      <c r="BF311" t="e">
        <f>Europe!496:496-"n/&gt;!1'o"</f>
        <v>#VALUE!</v>
      </c>
      <c r="BG311" t="e">
        <f>Europe!497:497-"n/&gt;!1'p"</f>
        <v>#VALUE!</v>
      </c>
      <c r="BH311" t="e">
        <f>Europe!498:498-"n/&gt;!1'q"</f>
        <v>#VALUE!</v>
      </c>
      <c r="BI311" t="e">
        <f>Europe!499:499-"n/&gt;!1'r"</f>
        <v>#VALUE!</v>
      </c>
      <c r="BJ311" t="e">
        <f>Europe!500:500-"n/&gt;!1's"</f>
        <v>#VALUE!</v>
      </c>
      <c r="BK311" t="e">
        <f>Europe!501:501-"n/&gt;!1't"</f>
        <v>#VALUE!</v>
      </c>
      <c r="BL311" t="e">
        <f>Europe!502:502-"n/&gt;!1'u"</f>
        <v>#VALUE!</v>
      </c>
      <c r="BM311" t="e">
        <f>Europe!503:503-"n/&gt;!1'v"</f>
        <v>#VALUE!</v>
      </c>
      <c r="BN311" t="e">
        <f>Europe!504:504-"n/&gt;!1'w"</f>
        <v>#VALUE!</v>
      </c>
      <c r="BO311" t="e">
        <f>Europe!505:505-"n/&gt;!1'x"</f>
        <v>#VALUE!</v>
      </c>
      <c r="BP311" t="e">
        <f>Europe!506:506-"n/&gt;!1'y"</f>
        <v>#VALUE!</v>
      </c>
      <c r="BQ311" t="e">
        <f>Europe!507:507-"n/&gt;!1'z"</f>
        <v>#VALUE!</v>
      </c>
      <c r="BR311" t="e">
        <f>Europe!508:508-"n/&gt;!1'{"</f>
        <v>#VALUE!</v>
      </c>
      <c r="BS311" t="e">
        <f>Europe!509:509-"n/&gt;!1'|"</f>
        <v>#VALUE!</v>
      </c>
      <c r="BT311" t="e">
        <f>Europe!510:510-"n/&gt;!1'}"</f>
        <v>#VALUE!</v>
      </c>
      <c r="BU311" t="e">
        <f>Europe!511:511-"n/&gt;!1'~"</f>
        <v>#VALUE!</v>
      </c>
      <c r="BV311" t="e">
        <f>Europe!512:512-"n/&gt;!1(#"</f>
        <v>#VALUE!</v>
      </c>
      <c r="BW311" t="e">
        <f>Europe!513:513-"n/&gt;!1($"</f>
        <v>#VALUE!</v>
      </c>
      <c r="BX311" t="e">
        <f>Europe!514:514-"n/&gt;!1(%"</f>
        <v>#VALUE!</v>
      </c>
      <c r="BY311" t="e">
        <f>Europe!515:515-"n/&gt;!1(&amp;"</f>
        <v>#VALUE!</v>
      </c>
      <c r="BZ311" t="e">
        <f>Europe!516:516-"n/&gt;!1('"</f>
        <v>#VALUE!</v>
      </c>
      <c r="CA311" t="e">
        <f>Europe!517:517-"n/&gt;!1(("</f>
        <v>#VALUE!</v>
      </c>
      <c r="CB311" t="e">
        <f>Europe!518:518-"n/&gt;!1()"</f>
        <v>#VALUE!</v>
      </c>
      <c r="CC311" t="e">
        <f>Europe!519:519-"n/&gt;!1(."</f>
        <v>#VALUE!</v>
      </c>
      <c r="CD311" t="e">
        <f>Europe!520:520-"n/&gt;!1(/"</f>
        <v>#VALUE!</v>
      </c>
      <c r="CE311" t="e">
        <f>Europe!521:521-"n/&gt;!1(0"</f>
        <v>#VALUE!</v>
      </c>
      <c r="CF311" t="e">
        <f>Europe!522:522-"n/&gt;!1(1"</f>
        <v>#VALUE!</v>
      </c>
      <c r="CG311" t="e">
        <f>Europe!523:523-"n/&gt;!1(2"</f>
        <v>#VALUE!</v>
      </c>
      <c r="CH311" t="e">
        <f>Europe!524:524-"n/&gt;!1(3"</f>
        <v>#VALUE!</v>
      </c>
      <c r="CI311" t="e">
        <f>Europe!525:525-"n/&gt;!1(4"</f>
        <v>#VALUE!</v>
      </c>
      <c r="CJ311" t="e">
        <f>Europe!526:526-"n/&gt;!1(5"</f>
        <v>#VALUE!</v>
      </c>
      <c r="CK311" t="e">
        <f>Europe!527:527-"n/&gt;!1(6"</f>
        <v>#VALUE!</v>
      </c>
      <c r="CL311" t="e">
        <f>Europe!528:528-"n/&gt;!1(7"</f>
        <v>#VALUE!</v>
      </c>
      <c r="CM311" t="e">
        <f>Europe!529:529-"n/&gt;!1(8"</f>
        <v>#VALUE!</v>
      </c>
      <c r="CN311" t="e">
        <f>Europe!530:530-"n/&gt;!1(9"</f>
        <v>#VALUE!</v>
      </c>
      <c r="CO311" t="e">
        <f>Europe!531:531-"n/&gt;!1(:"</f>
        <v>#VALUE!</v>
      </c>
      <c r="CP311" t="e">
        <f>Europe!532:532-"n/&gt;!1(;"</f>
        <v>#VALUE!</v>
      </c>
      <c r="CQ311" t="e">
        <f>Europe!533:533-"n/&gt;!1(&lt;"</f>
        <v>#VALUE!</v>
      </c>
      <c r="CR311" t="e">
        <f>Europe!534:534-"n/&gt;!1(="</f>
        <v>#VALUE!</v>
      </c>
      <c r="CS311" t="e">
        <f>Europe!535:535-"n/&gt;!1(&gt;"</f>
        <v>#VALUE!</v>
      </c>
      <c r="CT311" t="e">
        <f>Europe!536:536-"n/&gt;!1(?"</f>
        <v>#VALUE!</v>
      </c>
      <c r="CU311" t="e">
        <f>Europe!537:537-"n/&gt;!1(@"</f>
        <v>#VALUE!</v>
      </c>
      <c r="CV311" t="e">
        <f>Europe!538:538-"n/&gt;!1(A"</f>
        <v>#VALUE!</v>
      </c>
      <c r="CW311" t="e">
        <f>Europe!539:539-"n/&gt;!1(B"</f>
        <v>#VALUE!</v>
      </c>
      <c r="CX311" t="e">
        <f>Europe!540:540-"n/&gt;!1(C"</f>
        <v>#VALUE!</v>
      </c>
      <c r="CY311" t="e">
        <f>Europe!541:541-"n/&gt;!1(D"</f>
        <v>#VALUE!</v>
      </c>
      <c r="CZ311" t="e">
        <f>Europe!542:542-"n/&gt;!1(E"</f>
        <v>#VALUE!</v>
      </c>
      <c r="DA311" t="e">
        <f>Europe!543:543-"n/&gt;!1(F"</f>
        <v>#VALUE!</v>
      </c>
      <c r="DB311" t="e">
        <f>Europe!544:544-"n/&gt;!1(G"</f>
        <v>#VALUE!</v>
      </c>
      <c r="DC311" t="e">
        <f>Europe!545:545-"n/&gt;!1(H"</f>
        <v>#VALUE!</v>
      </c>
      <c r="DD311" t="e">
        <f>Europe!546:546-"n/&gt;!1(I"</f>
        <v>#VALUE!</v>
      </c>
      <c r="DE311" t="e">
        <f>Europe!547:547-"n/&gt;!1(J"</f>
        <v>#VALUE!</v>
      </c>
      <c r="DF311" t="e">
        <f>Europe!548:548-"n/&gt;!1(K"</f>
        <v>#VALUE!</v>
      </c>
      <c r="DG311" t="e">
        <f>Europe!549:549-"n/&gt;!1(L"</f>
        <v>#VALUE!</v>
      </c>
      <c r="DH311" t="e">
        <f>Europe!550:550-"n/&gt;!1(M"</f>
        <v>#VALUE!</v>
      </c>
      <c r="DI311" t="e">
        <f>Europe!551:551-"n/&gt;!1(N"</f>
        <v>#VALUE!</v>
      </c>
      <c r="DJ311" t="e">
        <f>Europe!552:552-"n/&gt;!1(O"</f>
        <v>#VALUE!</v>
      </c>
      <c r="DK311" t="e">
        <f>Europe!553:553-"n/&gt;!1(P"</f>
        <v>#VALUE!</v>
      </c>
      <c r="DL311" t="e">
        <f>Europe!554:554-"n/&gt;!1(Q"</f>
        <v>#VALUE!</v>
      </c>
      <c r="DM311" t="e">
        <f>Europe!555:555-"n/&gt;!1(R"</f>
        <v>#VALUE!</v>
      </c>
      <c r="DN311" t="e">
        <f>Europe!556:556-"n/&gt;!1(S"</f>
        <v>#VALUE!</v>
      </c>
      <c r="DO311" t="e">
        <f>Europe!557:557-"n/&gt;!1(T"</f>
        <v>#VALUE!</v>
      </c>
      <c r="DP311" t="e">
        <f>Europe!558:558-"n/&gt;!1(U"</f>
        <v>#VALUE!</v>
      </c>
      <c r="DQ311" t="e">
        <f>Europe!559:559-"n/&gt;!1(V"</f>
        <v>#VALUE!</v>
      </c>
      <c r="DR311" t="e">
        <f>Europe!560:560-"n/&gt;!1(W"</f>
        <v>#VALUE!</v>
      </c>
      <c r="DS311" t="e">
        <f>Europe!561:561-"n/&gt;!1(X"</f>
        <v>#VALUE!</v>
      </c>
      <c r="DT311" t="e">
        <f>Europe!562:562-"n/&gt;!1(Y"</f>
        <v>#VALUE!</v>
      </c>
      <c r="DU311" t="e">
        <f>Europe!563:563-"n/&gt;!1(Z"</f>
        <v>#VALUE!</v>
      </c>
      <c r="DV311" t="e">
        <f>Europe!564:564-"n/&gt;!1(["</f>
        <v>#VALUE!</v>
      </c>
      <c r="DW311" t="e">
        <f>Europe!565:565-"n/&gt;!1(\"</f>
        <v>#VALUE!</v>
      </c>
      <c r="DX311" t="e">
        <f>Europe!566:566-"n/&gt;!1(]"</f>
        <v>#VALUE!</v>
      </c>
      <c r="DY311" t="e">
        <f>Europe!567:567-"n/&gt;!1(^"</f>
        <v>#VALUE!</v>
      </c>
      <c r="DZ311" t="e">
        <f>Europe!568:568-"n/&gt;!1(_"</f>
        <v>#VALUE!</v>
      </c>
      <c r="EA311" t="e">
        <f>Europe!569:569-"n/&gt;!1(`"</f>
        <v>#VALUE!</v>
      </c>
      <c r="EB311" t="e">
        <f>Europe!570:570-"n/&gt;!1(a"</f>
        <v>#VALUE!</v>
      </c>
      <c r="EC311" t="e">
        <f>Europe!571:571-"n/&gt;!1(b"</f>
        <v>#VALUE!</v>
      </c>
      <c r="ED311" t="e">
        <f>Europe!572:572-"n/&gt;!1(c"</f>
        <v>#VALUE!</v>
      </c>
      <c r="EE311" t="e">
        <f>Europe!573:573-"n/&gt;!1(d"</f>
        <v>#VALUE!</v>
      </c>
      <c r="EF311" t="e">
        <f>Europe!574:574-"n/&gt;!1(e"</f>
        <v>#VALUE!</v>
      </c>
      <c r="EG311" t="e">
        <f>Europe!575:575-"n/&gt;!1(f"</f>
        <v>#VALUE!</v>
      </c>
      <c r="EH311" t="e">
        <f>Europe!576:576-"n/&gt;!1(g"</f>
        <v>#VALUE!</v>
      </c>
      <c r="EI311" t="e">
        <f>Europe!577:577-"n/&gt;!1(h"</f>
        <v>#VALUE!</v>
      </c>
      <c r="EJ311" t="e">
        <f>Europe!578:578-"n/&gt;!1(i"</f>
        <v>#VALUE!</v>
      </c>
      <c r="EK311" t="e">
        <f>Europe!579:579-"n/&gt;!1(j"</f>
        <v>#VALUE!</v>
      </c>
      <c r="EL311" t="e">
        <f>Europe!580:580-"n/&gt;!1(k"</f>
        <v>#VALUE!</v>
      </c>
      <c r="EM311" t="e">
        <f>Europe!581:581-"n/&gt;!1(l"</f>
        <v>#VALUE!</v>
      </c>
      <c r="EN311" t="e">
        <f>Europe!582:582-"n/&gt;!1(m"</f>
        <v>#VALUE!</v>
      </c>
      <c r="EO311" t="e">
        <f>Europe!583:583-"n/&gt;!1(n"</f>
        <v>#VALUE!</v>
      </c>
      <c r="EP311" t="e">
        <f>Europe!584:584-"n/&gt;!1(o"</f>
        <v>#VALUE!</v>
      </c>
      <c r="EQ311" t="e">
        <f>Europe!585:585-"n/&gt;!1(p"</f>
        <v>#VALUE!</v>
      </c>
      <c r="ER311" t="e">
        <f>Europe!586:586-"n/&gt;!1(q"</f>
        <v>#VALUE!</v>
      </c>
      <c r="ES311" t="e">
        <f>Europe!587:587-"n/&gt;!1(r"</f>
        <v>#VALUE!</v>
      </c>
      <c r="ET311" t="e">
        <f>Europe!588:588-"n/&gt;!1(s"</f>
        <v>#VALUE!</v>
      </c>
      <c r="EU311" t="e">
        <f>Europe!589:589-"n/&gt;!1(t"</f>
        <v>#VALUE!</v>
      </c>
      <c r="EV311" t="e">
        <f>Europe!590:590-"n/&gt;!1(u"</f>
        <v>#VALUE!</v>
      </c>
      <c r="EW311" t="e">
        <f>Europe!591:591-"n/&gt;!1(v"</f>
        <v>#VALUE!</v>
      </c>
      <c r="EX311" t="e">
        <f>Europe!592:592-"n/&gt;!1(w"</f>
        <v>#VALUE!</v>
      </c>
      <c r="EY311" t="e">
        <f>Europe!593:593-"n/&gt;!1(x"</f>
        <v>#VALUE!</v>
      </c>
      <c r="EZ311" t="e">
        <f>Europe!594:594-"n/&gt;!1(y"</f>
        <v>#VALUE!</v>
      </c>
      <c r="FA311" t="e">
        <f>Europe!595:595-"n/&gt;!1(z"</f>
        <v>#VALUE!</v>
      </c>
      <c r="FB311" t="e">
        <f>Europe!596:596-"n/&gt;!1({"</f>
        <v>#VALUE!</v>
      </c>
      <c r="FC311" t="e">
        <f>Europe!597:597-"n/&gt;!1(|"</f>
        <v>#VALUE!</v>
      </c>
      <c r="FD311" t="e">
        <f>Europe!598:598-"n/&gt;!1(}"</f>
        <v>#VALUE!</v>
      </c>
      <c r="FE311" t="e">
        <f>Europe!599:599-"n/&gt;!1(~"</f>
        <v>#VALUE!</v>
      </c>
      <c r="FF311" t="e">
        <f>Europe!600:600-"n/&gt;!1)#"</f>
        <v>#VALUE!</v>
      </c>
      <c r="FG311" t="e">
        <f>Europe!601:601-"n/&gt;!1)$"</f>
        <v>#VALUE!</v>
      </c>
      <c r="FH311" t="e">
        <f>Europe!602:602-"n/&gt;!1)%"</f>
        <v>#VALUE!</v>
      </c>
      <c r="FI311" t="e">
        <f>Europe!603:603-"n/&gt;!1)&amp;"</f>
        <v>#VALUE!</v>
      </c>
      <c r="FJ311" t="e">
        <f>Europe!604:604-"n/&gt;!1)'"</f>
        <v>#VALUE!</v>
      </c>
      <c r="FK311" t="e">
        <f>Europe!605:605-"n/&gt;!1)("</f>
        <v>#VALUE!</v>
      </c>
      <c r="FL311" t="e">
        <f>Europe!606:606-"n/&gt;!1))"</f>
        <v>#VALUE!</v>
      </c>
      <c r="FM311" t="e">
        <f>Europe!607:607-"n/&gt;!1)."</f>
        <v>#VALUE!</v>
      </c>
      <c r="FN311" t="e">
        <f>Europe!608:608-"n/&gt;!1)/"</f>
        <v>#VALUE!</v>
      </c>
      <c r="FO311" t="e">
        <f>Europe!609:609-"n/&gt;!1)0"</f>
        <v>#VALUE!</v>
      </c>
      <c r="FP311" t="e">
        <f>Europe!610:610-"n/&gt;!1)1"</f>
        <v>#VALUE!</v>
      </c>
      <c r="FQ311" t="e">
        <f>Europe!611:611-"n/&gt;!1)2"</f>
        <v>#VALUE!</v>
      </c>
      <c r="FR311" t="e">
        <f>Europe!612:612-"n/&gt;!1)3"</f>
        <v>#VALUE!</v>
      </c>
      <c r="FS311" t="e">
        <f>Europe!613:613-"n/&gt;!1)4"</f>
        <v>#VALUE!</v>
      </c>
      <c r="FT311" t="e">
        <f>Europe!614:614-"n/&gt;!1)5"</f>
        <v>#VALUE!</v>
      </c>
      <c r="FU311" t="e">
        <f>Europe!615:615-"n/&gt;!1)6"</f>
        <v>#VALUE!</v>
      </c>
      <c r="FV311" t="e">
        <f>Europe!616:616-"n/&gt;!1)7"</f>
        <v>#VALUE!</v>
      </c>
      <c r="FW311" t="e">
        <f>Europe!617:617-"n/&gt;!1)8"</f>
        <v>#VALUE!</v>
      </c>
      <c r="FX311" t="e">
        <f>Europe!618:618-"n/&gt;!1)9"</f>
        <v>#VALUE!</v>
      </c>
      <c r="FY311" t="e">
        <f>Europe!619:619-"n/&gt;!1):"</f>
        <v>#VALUE!</v>
      </c>
      <c r="FZ311" t="e">
        <f>Europe!620:620-"n/&gt;!1);"</f>
        <v>#VALUE!</v>
      </c>
      <c r="GA311" t="e">
        <f>Europe!621:621-"n/&gt;!1)&lt;"</f>
        <v>#VALUE!</v>
      </c>
      <c r="GB311" t="e">
        <f>Europe!622:622-"n/&gt;!1)="</f>
        <v>#VALUE!</v>
      </c>
      <c r="GC311" t="e">
        <f>Europe!623:623-"n/&gt;!1)&gt;"</f>
        <v>#VALUE!</v>
      </c>
      <c r="GD311" t="e">
        <f>Europe!624:624-"n/&gt;!1)?"</f>
        <v>#VALUE!</v>
      </c>
      <c r="GE311" t="e">
        <f>Europe!625:625-"n/&gt;!1)@"</f>
        <v>#VALUE!</v>
      </c>
      <c r="GF311" t="e">
        <f>Europe!626:626-"n/&gt;!1)A"</f>
        <v>#VALUE!</v>
      </c>
      <c r="GG311" t="e">
        <f>Europe!627:627-"n/&gt;!1)B"</f>
        <v>#VALUE!</v>
      </c>
      <c r="GH311" t="e">
        <f>Europe!628:628-"n/&gt;!1)C"</f>
        <v>#VALUE!</v>
      </c>
      <c r="GI311" t="e">
        <f>Europe!629:629-"n/&gt;!1)D"</f>
        <v>#VALUE!</v>
      </c>
      <c r="GJ311" t="e">
        <f>Europe!630:630-"n/&gt;!1)E"</f>
        <v>#VALUE!</v>
      </c>
      <c r="GK311" t="e">
        <f>Europe!631:631-"n/&gt;!1)F"</f>
        <v>#VALUE!</v>
      </c>
      <c r="GL311" t="e">
        <f>Europe!632:632-"n/&gt;!1)G"</f>
        <v>#VALUE!</v>
      </c>
      <c r="GM311" t="e">
        <f>Europe!633:633-"n/&gt;!1)H"</f>
        <v>#VALUE!</v>
      </c>
      <c r="GN311" t="e">
        <f>Europe!634:634-"n/&gt;!1)I"</f>
        <v>#VALUE!</v>
      </c>
      <c r="GO311" t="e">
        <f>Europe!635:635-"n/&gt;!1)J"</f>
        <v>#VALUE!</v>
      </c>
      <c r="GP311" t="e">
        <f>Europe!636:636-"n/&gt;!1)K"</f>
        <v>#VALUE!</v>
      </c>
      <c r="GQ311" t="e">
        <f>Europe!637:637-"n/&gt;!1)L"</f>
        <v>#VALUE!</v>
      </c>
      <c r="GR311" t="e">
        <f>Europe!638:638-"n/&gt;!1)M"</f>
        <v>#VALUE!</v>
      </c>
      <c r="GS311" t="e">
        <f>Europe!639:639-"n/&gt;!1)N"</f>
        <v>#VALUE!</v>
      </c>
      <c r="GT311" t="e">
        <f>Europe!640:640-"n/&gt;!1)O"</f>
        <v>#VALUE!</v>
      </c>
      <c r="GU311" t="e">
        <f>Europe!641:641-"n/&gt;!1)P"</f>
        <v>#VALUE!</v>
      </c>
      <c r="GV311" t="e">
        <f>Europe!642:642-"n/&gt;!1)Q"</f>
        <v>#VALUE!</v>
      </c>
      <c r="GW311" t="e">
        <f>Europe!643:643-"n/&gt;!1)R"</f>
        <v>#VALUE!</v>
      </c>
      <c r="GX311" t="e">
        <f>Europe!644:644-"n/&gt;!1)S"</f>
        <v>#VALUE!</v>
      </c>
      <c r="GY311" t="e">
        <f>Europe!645:645-"n/&gt;!1)T"</f>
        <v>#VALUE!</v>
      </c>
      <c r="GZ311" t="e">
        <f>Europe!646:646-"n/&gt;!1)U"</f>
        <v>#VALUE!</v>
      </c>
      <c r="HA311" t="e">
        <f>Europe!647:647-"n/&gt;!1)V"</f>
        <v>#VALUE!</v>
      </c>
      <c r="HB311" t="e">
        <f>Europe!648:648-"n/&gt;!1)W"</f>
        <v>#VALUE!</v>
      </c>
      <c r="HC311" t="e">
        <f>Europe!649:649-"n/&gt;!1)X"</f>
        <v>#VALUE!</v>
      </c>
      <c r="HD311" t="e">
        <f>Europe!650:650-"n/&gt;!1)Y"</f>
        <v>#VALUE!</v>
      </c>
      <c r="HE311" t="e">
        <f>Europe!651:651-"n/&gt;!1)Z"</f>
        <v>#VALUE!</v>
      </c>
      <c r="HF311" t="e">
        <f>Europe!652:652-"n/&gt;!1)["</f>
        <v>#VALUE!</v>
      </c>
      <c r="HG311" t="e">
        <f>Europe!653:653-"n/&gt;!1)\"</f>
        <v>#VALUE!</v>
      </c>
      <c r="HH311" t="e">
        <f>Europe!654:654-"n/&gt;!1)]"</f>
        <v>#VALUE!</v>
      </c>
      <c r="HI311" t="e">
        <f>Europe!655:655-"n/&gt;!1)^"</f>
        <v>#VALUE!</v>
      </c>
      <c r="HJ311" t="e">
        <f>Europe!656:656-"n/&gt;!1)_"</f>
        <v>#VALUE!</v>
      </c>
      <c r="HK311" t="e">
        <f>Europe!657:657-"n/&gt;!1)`"</f>
        <v>#VALUE!</v>
      </c>
      <c r="HL311" t="e">
        <f>Europe!658:658-"n/&gt;!1)a"</f>
        <v>#VALUE!</v>
      </c>
      <c r="HM311" t="e">
        <f>Europe!659:659-"n/&gt;!1)b"</f>
        <v>#VALUE!</v>
      </c>
      <c r="HN311" t="e">
        <f>Europe!660:660-"n/&gt;!1)c"</f>
        <v>#VALUE!</v>
      </c>
      <c r="HO311" t="e">
        <f>Europe!661:661-"n/&gt;!1)d"</f>
        <v>#VALUE!</v>
      </c>
      <c r="HP311" t="e">
        <f>Europe!662:662-"n/&gt;!1)e"</f>
        <v>#VALUE!</v>
      </c>
      <c r="HQ311" t="e">
        <f>Europe!663:663-"n/&gt;!1)f"</f>
        <v>#VALUE!</v>
      </c>
      <c r="HR311" t="e">
        <f>Europe!664:664-"n/&gt;!1)g"</f>
        <v>#VALUE!</v>
      </c>
      <c r="HS311" t="e">
        <f>Europe!665:665-"n/&gt;!1)h"</f>
        <v>#VALUE!</v>
      </c>
      <c r="HT311" t="e">
        <f>Europe!666:666-"n/&gt;!1)i"</f>
        <v>#VALUE!</v>
      </c>
      <c r="HU311" t="e">
        <f>Europe!667:667-"n/&gt;!1)j"</f>
        <v>#VALUE!</v>
      </c>
      <c r="HV311" t="e">
        <f>Europe!668:668-"n/&gt;!1)k"</f>
        <v>#VALUE!</v>
      </c>
      <c r="HW311" t="e">
        <f>Europe!669:669-"n/&gt;!1)l"</f>
        <v>#VALUE!</v>
      </c>
      <c r="HX311" t="e">
        <f>Europe!670:670-"n/&gt;!1)m"</f>
        <v>#VALUE!</v>
      </c>
      <c r="HY311" t="e">
        <f>Europe!671:671-"n/&gt;!1)n"</f>
        <v>#VALUE!</v>
      </c>
      <c r="HZ311" t="e">
        <f>Europe!672:672-"n/&gt;!1)o"</f>
        <v>#VALUE!</v>
      </c>
      <c r="IA311" t="e">
        <f>Europe!673:673-"n/&gt;!1)p"</f>
        <v>#VALUE!</v>
      </c>
      <c r="IB311" t="e">
        <f>Europe!674:674-"n/&gt;!1)q"</f>
        <v>#VALUE!</v>
      </c>
      <c r="IC311" t="e">
        <f>Europe!675:675-"n/&gt;!1)r"</f>
        <v>#VALUE!</v>
      </c>
      <c r="ID311" t="e">
        <f>Europe!676:676-"n/&gt;!1)s"</f>
        <v>#VALUE!</v>
      </c>
      <c r="IE311" t="e">
        <f>Europe!677:677-"n/&gt;!1)t"</f>
        <v>#VALUE!</v>
      </c>
      <c r="IF311" t="e">
        <f>Europe!678:678-"n/&gt;!1)u"</f>
        <v>#VALUE!</v>
      </c>
      <c r="IG311" t="e">
        <f>Europe!679:679-"n/&gt;!1)v"</f>
        <v>#VALUE!</v>
      </c>
      <c r="IH311" t="e">
        <f>Europe!680:680-"n/&gt;!1)w"</f>
        <v>#VALUE!</v>
      </c>
      <c r="II311" t="e">
        <f>Europe!681:681-"n/&gt;!1)x"</f>
        <v>#VALUE!</v>
      </c>
      <c r="IJ311" t="e">
        <f>Europe!682:682-"n/&gt;!1)y"</f>
        <v>#VALUE!</v>
      </c>
      <c r="IK311" t="e">
        <f>Europe!683:683-"n/&gt;!1)z"</f>
        <v>#VALUE!</v>
      </c>
      <c r="IL311" t="e">
        <f>Europe!684:684-"n/&gt;!1){"</f>
        <v>#VALUE!</v>
      </c>
      <c r="IM311" t="e">
        <f>Europe!685:685-"n/&gt;!1)|"</f>
        <v>#VALUE!</v>
      </c>
      <c r="IN311" t="e">
        <f>Europe!686:686-"n/&gt;!1)}"</f>
        <v>#VALUE!</v>
      </c>
      <c r="IO311" t="e">
        <f>Europe!687:687-"n/&gt;!1)~"</f>
        <v>#VALUE!</v>
      </c>
      <c r="IP311" t="e">
        <f>Europe!688:688-"n/&gt;!1.#"</f>
        <v>#VALUE!</v>
      </c>
      <c r="IQ311" t="e">
        <f>Europe!689:689-"n/&gt;!1.$"</f>
        <v>#VALUE!</v>
      </c>
      <c r="IR311" t="e">
        <f>Europe!690:690-"n/&gt;!1.%"</f>
        <v>#VALUE!</v>
      </c>
      <c r="IS311" t="e">
        <f>Europe!691:691-"n/&gt;!1.&amp;"</f>
        <v>#VALUE!</v>
      </c>
      <c r="IT311" t="e">
        <f>Europe!692:692-"n/&gt;!1.'"</f>
        <v>#VALUE!</v>
      </c>
      <c r="IU311" t="e">
        <f>Europe!693:693-"n/&gt;!1.("</f>
        <v>#VALUE!</v>
      </c>
      <c r="IV311" t="e">
        <f>Europe!694:694-"n/&gt;!1.)"</f>
        <v>#VALUE!</v>
      </c>
    </row>
    <row r="312" spans="6:256" x14ac:dyDescent="0.35">
      <c r="F312" t="e">
        <f>Europe!695:695-"n/&gt;!1.."</f>
        <v>#VALUE!</v>
      </c>
      <c r="G312" t="e">
        <f>Europe!696:696-"n/&gt;!1./"</f>
        <v>#VALUE!</v>
      </c>
      <c r="H312" t="e">
        <f>Europe!697:697-"n/&gt;!1.0"</f>
        <v>#VALUE!</v>
      </c>
      <c r="I312" t="e">
        <f>Europe!698:698-"n/&gt;!1.1"</f>
        <v>#VALUE!</v>
      </c>
      <c r="J312" t="e">
        <f>Europe!699:699-"n/&gt;!1.2"</f>
        <v>#VALUE!</v>
      </c>
      <c r="K312" t="e">
        <f>Europe!700:700-"n/&gt;!1.3"</f>
        <v>#VALUE!</v>
      </c>
      <c r="L312" t="e">
        <f>Europe!701:701-"n/&gt;!1.4"</f>
        <v>#VALUE!</v>
      </c>
      <c r="M312" t="e">
        <f>Europe!702:702-"n/&gt;!1.5"</f>
        <v>#VALUE!</v>
      </c>
      <c r="N312" t="e">
        <f>Europe!703:703-"n/&gt;!1.6"</f>
        <v>#VALUE!</v>
      </c>
      <c r="O312" t="e">
        <f>Europe!704:704-"n/&gt;!1.7"</f>
        <v>#VALUE!</v>
      </c>
      <c r="P312" t="e">
        <f>Europe!705:705-"n/&gt;!1.8"</f>
        <v>#VALUE!</v>
      </c>
      <c r="Q312" t="e">
        <f>Europe!706:706-"n/&gt;!1.9"</f>
        <v>#VALUE!</v>
      </c>
      <c r="R312" t="e">
        <f>Europe!707:707-"n/&gt;!1.:"</f>
        <v>#VALUE!</v>
      </c>
      <c r="S312" t="e">
        <f>Europe!708:708-"n/&gt;!1.;"</f>
        <v>#VALUE!</v>
      </c>
      <c r="T312" t="e">
        <f>Europe!709:709-"n/&gt;!1.&lt;"</f>
        <v>#VALUE!</v>
      </c>
      <c r="U312" t="e">
        <f>Europe!710:710-"n/&gt;!1.="</f>
        <v>#VALUE!</v>
      </c>
      <c r="V312" t="e">
        <f>Europe!711:711-"n/&gt;!1.&gt;"</f>
        <v>#VALUE!</v>
      </c>
      <c r="W312" t="e">
        <f>Europe!712:712-"n/&gt;!1.?"</f>
        <v>#VALUE!</v>
      </c>
      <c r="X312" t="e">
        <f>Europe!713:713-"n/&gt;!1.@"</f>
        <v>#VALUE!</v>
      </c>
      <c r="Y312" t="e">
        <f>Europe!714:714-"n/&gt;!1.A"</f>
        <v>#VALUE!</v>
      </c>
      <c r="Z312" t="e">
        <f>Europe!715:715-"n/&gt;!1.B"</f>
        <v>#VALUE!</v>
      </c>
      <c r="AA312" t="e">
        <f>Europe!716:716-"n/&gt;!1.C"</f>
        <v>#VALUE!</v>
      </c>
      <c r="AB312" t="e">
        <f>Europe!717:717-"n/&gt;!1.D"</f>
        <v>#VALUE!</v>
      </c>
      <c r="AC312" t="e">
        <f>Europe!718:718-"n/&gt;!1.E"</f>
        <v>#VALUE!</v>
      </c>
      <c r="AD312" t="e">
        <f>Europe!719:719-"n/&gt;!1.F"</f>
        <v>#VALUE!</v>
      </c>
      <c r="AE312" t="e">
        <f>Europe!720:720-"n/&gt;!1.G"</f>
        <v>#VALUE!</v>
      </c>
      <c r="AF312" t="e">
        <f>Europe!721:721-"n/&gt;!1.H"</f>
        <v>#VALUE!</v>
      </c>
      <c r="AG312" t="e">
        <f>Europe!722:722-"n/&gt;!1.I"</f>
        <v>#VALUE!</v>
      </c>
      <c r="AH312" t="e">
        <f>Europe!723:723-"n/&gt;!1.J"</f>
        <v>#VALUE!</v>
      </c>
      <c r="AI312" t="e">
        <f>Europe!724:724-"n/&gt;!1.K"</f>
        <v>#VALUE!</v>
      </c>
      <c r="AJ312" t="e">
        <f>Europe!725:725-"n/&gt;!1.L"</f>
        <v>#VALUE!</v>
      </c>
      <c r="AK312" t="e">
        <f>Europe!726:726-"n/&gt;!1.M"</f>
        <v>#VALUE!</v>
      </c>
      <c r="AL312" t="e">
        <f>Europe!727:727-"n/&gt;!1.N"</f>
        <v>#VALUE!</v>
      </c>
      <c r="AM312" t="e">
        <f>Europe!728:728-"n/&gt;!1.O"</f>
        <v>#VALUE!</v>
      </c>
      <c r="AN312" t="e">
        <f>Europe!729:729-"n/&gt;!1.P"</f>
        <v>#VALUE!</v>
      </c>
      <c r="AO312" t="e">
        <f>Europe!730:730-"n/&gt;!1.Q"</f>
        <v>#VALUE!</v>
      </c>
      <c r="AP312" t="e">
        <f>Europe!731:731-"n/&gt;!1.R"</f>
        <v>#VALUE!</v>
      </c>
      <c r="AQ312" t="e">
        <f>Europe!732:732-"n/&gt;!1.S"</f>
        <v>#VALUE!</v>
      </c>
      <c r="AR312" t="e">
        <f>Europe!733:733-"n/&gt;!1.T"</f>
        <v>#VALUE!</v>
      </c>
      <c r="AS312" t="e">
        <f>Europe!734:734-"n/&gt;!1.U"</f>
        <v>#VALUE!</v>
      </c>
      <c r="AT312" t="e">
        <f>Europe!735:735-"n/&gt;!1.V"</f>
        <v>#VALUE!</v>
      </c>
      <c r="AU312" t="e">
        <f>Europe!736:736-"n/&gt;!1.W"</f>
        <v>#VALUE!</v>
      </c>
      <c r="AV312" t="e">
        <f>Europe!737:737-"n/&gt;!1.X"</f>
        <v>#VALUE!</v>
      </c>
      <c r="AW312" t="e">
        <f>Europe!738:738-"n/&gt;!1.Y"</f>
        <v>#VALUE!</v>
      </c>
      <c r="AX312" t="e">
        <f>Europe!739:739-"n/&gt;!1.Z"</f>
        <v>#VALUE!</v>
      </c>
      <c r="AY312" t="e">
        <f>Europe!740:740-"n/&gt;!1.["</f>
        <v>#VALUE!</v>
      </c>
      <c r="AZ312" t="e">
        <f>Europe!741:741-"n/&gt;!1.\"</f>
        <v>#VALUE!</v>
      </c>
      <c r="BA312" t="e">
        <f>Europe!742:742-"n/&gt;!1.]"</f>
        <v>#VALUE!</v>
      </c>
      <c r="BB312" t="e">
        <f>Europe!743:743-"n/&gt;!1.^"</f>
        <v>#VALUE!</v>
      </c>
      <c r="BC312" t="e">
        <f>Europe!744:744-"n/&gt;!1._"</f>
        <v>#VALUE!</v>
      </c>
      <c r="BD312" t="e">
        <f>Europe!745:745-"n/&gt;!1.`"</f>
        <v>#VALUE!</v>
      </c>
      <c r="BE312" t="e">
        <f>Europe!746:746-"n/&gt;!1.a"</f>
        <v>#VALUE!</v>
      </c>
      <c r="BF312" t="e">
        <f>Europe!747:747-"n/&gt;!1.b"</f>
        <v>#VALUE!</v>
      </c>
      <c r="BG312" t="e">
        <f>Europe!748:748-"n/&gt;!1.c"</f>
        <v>#VALUE!</v>
      </c>
      <c r="BH312" t="e">
        <f>Europe!749:749-"n/&gt;!1.d"</f>
        <v>#VALUE!</v>
      </c>
      <c r="BI312" t="e">
        <f>Europe!750:750-"n/&gt;!1.e"</f>
        <v>#VALUE!</v>
      </c>
      <c r="BJ312" t="e">
        <f>Europe!751:751-"n/&gt;!1.f"</f>
        <v>#VALUE!</v>
      </c>
      <c r="BK312" t="e">
        <f>Europe!752:752-"n/&gt;!1.g"</f>
        <v>#VALUE!</v>
      </c>
      <c r="BL312" t="e">
        <f>Europe!753:753-"n/&gt;!1.h"</f>
        <v>#VALUE!</v>
      </c>
      <c r="BM312" t="e">
        <f>Europe!754:754-"n/&gt;!1.i"</f>
        <v>#VALUE!</v>
      </c>
      <c r="BN312" t="e">
        <f>Europe!755:755-"n/&gt;!1.j"</f>
        <v>#VALUE!</v>
      </c>
      <c r="BO312" t="e">
        <f>Europe!756:756-"n/&gt;!1.k"</f>
        <v>#VALUE!</v>
      </c>
      <c r="BP312" t="e">
        <f>Europe!757:757-"n/&gt;!1.l"</f>
        <v>#VALUE!</v>
      </c>
      <c r="BQ312" t="e">
        <f>Europe!758:758-"n/&gt;!1.m"</f>
        <v>#VALUE!</v>
      </c>
      <c r="BR312" t="e">
        <f>Europe!759:759-"n/&gt;!1.n"</f>
        <v>#VALUE!</v>
      </c>
      <c r="BS312" t="e">
        <f>Europe!760:760-"n/&gt;!1.o"</f>
        <v>#VALUE!</v>
      </c>
      <c r="BT312" t="e">
        <f>Europe!761:761-"n/&gt;!1.p"</f>
        <v>#VALUE!</v>
      </c>
      <c r="BU312" t="e">
        <f>Europe!762:762-"n/&gt;!1.q"</f>
        <v>#VALUE!</v>
      </c>
      <c r="BV312" t="e">
        <f>Europe!763:763-"n/&gt;!1.r"</f>
        <v>#VALUE!</v>
      </c>
      <c r="BW312" t="e">
        <f>Europe!764:764-"n/&gt;!1.s"</f>
        <v>#VALUE!</v>
      </c>
      <c r="BX312" t="e">
        <f>Europe!765:765-"n/&gt;!1.t"</f>
        <v>#VALUE!</v>
      </c>
      <c r="BY312" t="e">
        <f>Europe!766:766-"n/&gt;!1.u"</f>
        <v>#VALUE!</v>
      </c>
      <c r="BZ312" t="e">
        <f>Europe!767:767-"n/&gt;!1.v"</f>
        <v>#VALUE!</v>
      </c>
      <c r="CA312" t="e">
        <f>Europe!768:768-"n/&gt;!1.w"</f>
        <v>#VALUE!</v>
      </c>
      <c r="CB312" t="e">
        <f>Europe!769:769-"n/&gt;!1.x"</f>
        <v>#VALUE!</v>
      </c>
      <c r="CC312" t="e">
        <f>Europe!770:770-"n/&gt;!1.y"</f>
        <v>#VALUE!</v>
      </c>
      <c r="CD312" t="e">
        <f>Europe!771:771-"n/&gt;!1.z"</f>
        <v>#VALUE!</v>
      </c>
      <c r="CE312" t="e">
        <f>Europe!772:772-"n/&gt;!1.{"</f>
        <v>#VALUE!</v>
      </c>
      <c r="CF312" t="e">
        <f>Europe!773:773-"n/&gt;!1.|"</f>
        <v>#VALUE!</v>
      </c>
      <c r="CG312" t="e">
        <f>Europe!774:774-"n/&gt;!1.}"</f>
        <v>#VALUE!</v>
      </c>
      <c r="CH312" t="e">
        <f>Europe!775:775-"n/&gt;!1.~"</f>
        <v>#VALUE!</v>
      </c>
      <c r="CI312" t="e">
        <f>Europe!776:776-"n/&gt;!1/#"</f>
        <v>#VALUE!</v>
      </c>
      <c r="CJ312" t="e">
        <f>Europe!777:777-"n/&gt;!1/$"</f>
        <v>#VALUE!</v>
      </c>
      <c r="CK312" t="e">
        <f>Europe!778:778-"n/&gt;!1/%"</f>
        <v>#VALUE!</v>
      </c>
      <c r="CL312" t="e">
        <f>Europe!779:779-"n/&gt;!1/&amp;"</f>
        <v>#VALUE!</v>
      </c>
      <c r="CM312" t="e">
        <f>Europe!780:780-"n/&gt;!1/'"</f>
        <v>#VALUE!</v>
      </c>
      <c r="CN312" t="e">
        <f>Europe!781:781-"n/&gt;!1/("</f>
        <v>#VALUE!</v>
      </c>
      <c r="CO312" t="e">
        <f>Europe!782:782-"n/&gt;!1/)"</f>
        <v>#VALUE!</v>
      </c>
      <c r="CP312" t="e">
        <f>Europe!783:783-"n/&gt;!1/."</f>
        <v>#VALUE!</v>
      </c>
      <c r="CQ312" t="e">
        <f>Europe!784:784-"n/&gt;!1//"</f>
        <v>#VALUE!</v>
      </c>
      <c r="CR312" t="e">
        <f>Europe!785:785-"n/&gt;!1/0"</f>
        <v>#VALUE!</v>
      </c>
      <c r="CS312" t="e">
        <f>Europe!786:786-"n/&gt;!1/1"</f>
        <v>#VALUE!</v>
      </c>
      <c r="CT312" t="e">
        <f>Europe!787:787-"n/&gt;!1/2"</f>
        <v>#VALUE!</v>
      </c>
      <c r="CU312" t="e">
        <f>Europe!788:788-"n/&gt;!1/3"</f>
        <v>#VALUE!</v>
      </c>
      <c r="CV312" t="e">
        <f>Europe!789:789-"n/&gt;!1/4"</f>
        <v>#VALUE!</v>
      </c>
      <c r="CW312" t="e">
        <f>Europe!790:790-"n/&gt;!1/5"</f>
        <v>#VALUE!</v>
      </c>
      <c r="CX312" t="e">
        <f>Europe!791:791-"n/&gt;!1/6"</f>
        <v>#VALUE!</v>
      </c>
      <c r="CY312" t="e">
        <f>Europe!792:792-"n/&gt;!1/7"</f>
        <v>#VALUE!</v>
      </c>
      <c r="CZ312" t="e">
        <f>Europe!793:793-"n/&gt;!1/8"</f>
        <v>#VALUE!</v>
      </c>
      <c r="DA312" t="e">
        <f>Europe!794:794-"n/&gt;!1/9"</f>
        <v>#VALUE!</v>
      </c>
      <c r="DB312" t="e">
        <f>Europe!795:795-"n/&gt;!1/:"</f>
        <v>#VALUE!</v>
      </c>
      <c r="DC312" t="e">
        <f>Europe!796:796-"n/&gt;!1/;"</f>
        <v>#VALUE!</v>
      </c>
      <c r="DD312" t="e">
        <f>Europe!797:797-"n/&gt;!1/&lt;"</f>
        <v>#VALUE!</v>
      </c>
      <c r="DE312" t="e">
        <f>Europe!798:798-"n/&gt;!1/="</f>
        <v>#VALUE!</v>
      </c>
      <c r="DF312" t="e">
        <f>Europe!799:799-"n/&gt;!1/&gt;"</f>
        <v>#VALUE!</v>
      </c>
      <c r="DG312" t="e">
        <f>Europe!800:800-"n/&gt;!1/?"</f>
        <v>#VALUE!</v>
      </c>
      <c r="DH312" t="e">
        <f>Europe!801:801-"n/&gt;!1/@"</f>
        <v>#VALUE!</v>
      </c>
      <c r="DI312" t="e">
        <f>Europe!802:802-"n/&gt;!1/A"</f>
        <v>#VALUE!</v>
      </c>
      <c r="DJ312" t="e">
        <f>Europe!803:803-"n/&gt;!1/B"</f>
        <v>#VALUE!</v>
      </c>
      <c r="DK312" t="e">
        <f>Europe!804:804-"n/&gt;!1/C"</f>
        <v>#VALUE!</v>
      </c>
      <c r="DL312" t="e">
        <f>Europe!805:805-"n/&gt;!1/D"</f>
        <v>#VALUE!</v>
      </c>
      <c r="DM312" t="e">
        <f>Europe!806:806-"n/&gt;!1/E"</f>
        <v>#VALUE!</v>
      </c>
      <c r="DN312" t="e">
        <f>Europe!807:807-"n/&gt;!1/F"</f>
        <v>#VALUE!</v>
      </c>
      <c r="DO312" t="e">
        <f>Europe!808:808-"n/&gt;!1/G"</f>
        <v>#VALUE!</v>
      </c>
      <c r="DP312" t="e">
        <f>Europe!809:809-"n/&gt;!1/H"</f>
        <v>#VALUE!</v>
      </c>
      <c r="DQ312" t="e">
        <f>Europe!810:810-"n/&gt;!1/I"</f>
        <v>#VALUE!</v>
      </c>
      <c r="DR312" t="e">
        <f>Europe!811:811-"n/&gt;!1/J"</f>
        <v>#VALUE!</v>
      </c>
      <c r="DS312" t="e">
        <f>Europe!812:812-"n/&gt;!1/K"</f>
        <v>#VALUE!</v>
      </c>
      <c r="DT312" t="e">
        <f>Europe!813:813-"n/&gt;!1/L"</f>
        <v>#VALUE!</v>
      </c>
      <c r="DU312" t="e">
        <f>Europe!814:814-"n/&gt;!1/M"</f>
        <v>#VALUE!</v>
      </c>
      <c r="DV312" t="e">
        <f>Europe!815:815-"n/&gt;!1/N"</f>
        <v>#VALUE!</v>
      </c>
      <c r="DW312" t="e">
        <f>Europe!816:816-"n/&gt;!1/O"</f>
        <v>#VALUE!</v>
      </c>
      <c r="DX312" t="e">
        <f>Europe!817:817-"n/&gt;!1/P"</f>
        <v>#VALUE!</v>
      </c>
      <c r="DY312" t="e">
        <f>Europe!818:818-"n/&gt;!1/Q"</f>
        <v>#VALUE!</v>
      </c>
      <c r="DZ312" t="e">
        <f>Europe!819:819-"n/&gt;!1/R"</f>
        <v>#VALUE!</v>
      </c>
      <c r="EA312" t="e">
        <f>Europe!820:820-"n/&gt;!1/S"</f>
        <v>#VALUE!</v>
      </c>
      <c r="EB312" t="e">
        <f>Europe!821:821-"n/&gt;!1/T"</f>
        <v>#VALUE!</v>
      </c>
      <c r="EC312" t="e">
        <f>Europe!822:822-"n/&gt;!1/U"</f>
        <v>#VALUE!</v>
      </c>
      <c r="ED312" t="e">
        <f>Europe!823:823-"n/&gt;!1/V"</f>
        <v>#VALUE!</v>
      </c>
      <c r="EE312" t="e">
        <f>Europe!824:824-"n/&gt;!1/W"</f>
        <v>#VALUE!</v>
      </c>
      <c r="EF312" t="e">
        <f>Europe!825:825-"n/&gt;!1/X"</f>
        <v>#VALUE!</v>
      </c>
      <c r="EG312" t="e">
        <f>Europe!826:826-"n/&gt;!1/Y"</f>
        <v>#VALUE!</v>
      </c>
      <c r="EH312" t="e">
        <f>Europe!827:827-"n/&gt;!1/Z"</f>
        <v>#VALUE!</v>
      </c>
      <c r="EI312" t="e">
        <f>Europe!828:828-"n/&gt;!1/["</f>
        <v>#VALUE!</v>
      </c>
      <c r="EJ312" t="e">
        <f>Europe!829:829-"n/&gt;!1/\"</f>
        <v>#VALUE!</v>
      </c>
      <c r="EK312" t="e">
        <f>Europe!830:830-"n/&gt;!1/]"</f>
        <v>#VALUE!</v>
      </c>
      <c r="EL312" t="e">
        <f>Europe!831:831-"n/&gt;!1/^"</f>
        <v>#VALUE!</v>
      </c>
      <c r="EM312" t="e">
        <f>Europe!832:832-"n/&gt;!1/_"</f>
        <v>#VALUE!</v>
      </c>
      <c r="EN312" t="e">
        <f>Europe!833:833-"n/&gt;!1/`"</f>
        <v>#VALUE!</v>
      </c>
      <c r="EO312" t="e">
        <f>Europe!834:834-"n/&gt;!1/a"</f>
        <v>#VALUE!</v>
      </c>
      <c r="EP312" t="e">
        <f>Europe!835:835-"n/&gt;!1/b"</f>
        <v>#VALUE!</v>
      </c>
      <c r="EQ312" t="e">
        <f>Europe!836:836-"n/&gt;!1/c"</f>
        <v>#VALUE!</v>
      </c>
      <c r="ER312" t="e">
        <f>Europe!837:837-"n/&gt;!1/d"</f>
        <v>#VALUE!</v>
      </c>
      <c r="ES312" t="e">
        <f>Europe!838:838-"n/&gt;!1/e"</f>
        <v>#VALUE!</v>
      </c>
      <c r="ET312" t="e">
        <f>Europe!839:839-"n/&gt;!1/f"</f>
        <v>#VALUE!</v>
      </c>
      <c r="EU312" t="e">
        <f>Europe!840:840-"n/&gt;!1/g"</f>
        <v>#VALUE!</v>
      </c>
      <c r="EV312" t="e">
        <f>Europe!841:841-"n/&gt;!1/h"</f>
        <v>#VALUE!</v>
      </c>
      <c r="EW312" t="e">
        <f>Europe!842:842-"n/&gt;!1/i"</f>
        <v>#VALUE!</v>
      </c>
      <c r="EX312" t="e">
        <f>Europe!843:843-"n/&gt;!1/j"</f>
        <v>#VALUE!</v>
      </c>
      <c r="EY312" t="e">
        <f>Europe!844:844-"n/&gt;!1/k"</f>
        <v>#VALUE!</v>
      </c>
      <c r="EZ312" t="e">
        <f>Europe!845:845-"n/&gt;!1/l"</f>
        <v>#VALUE!</v>
      </c>
      <c r="FA312" t="e">
        <f>Europe!846:846-"n/&gt;!1/m"</f>
        <v>#VALUE!</v>
      </c>
      <c r="FB312" t="e">
        <f>Europe!847:847-"n/&gt;!1/n"</f>
        <v>#VALUE!</v>
      </c>
      <c r="FC312" t="e">
        <f>Europe!848:848-"n/&gt;!1/o"</f>
        <v>#VALUE!</v>
      </c>
      <c r="FD312" t="e">
        <f>Europe!849:849-"n/&gt;!1/p"</f>
        <v>#VALUE!</v>
      </c>
      <c r="FE312" t="e">
        <f>Europe!850:850-"n/&gt;!1/q"</f>
        <v>#VALUE!</v>
      </c>
      <c r="FF312" t="e">
        <f>Europe!851:851-"n/&gt;!1/r"</f>
        <v>#VALUE!</v>
      </c>
      <c r="FG312" t="e">
        <f>Europe!852:852-"n/&gt;!1/s"</f>
        <v>#VALUE!</v>
      </c>
      <c r="FH312" t="e">
        <f>Europe!853:853-"n/&gt;!1/t"</f>
        <v>#VALUE!</v>
      </c>
      <c r="FI312" t="e">
        <f>Europe!854:854-"n/&gt;!1/u"</f>
        <v>#VALUE!</v>
      </c>
      <c r="FJ312" t="e">
        <f>Europe!855:855-"n/&gt;!1/v"</f>
        <v>#VALUE!</v>
      </c>
      <c r="FK312" t="e">
        <f>Europe!856:856-"n/&gt;!1/w"</f>
        <v>#VALUE!</v>
      </c>
      <c r="FL312" t="e">
        <f>Europe!857:857-"n/&gt;!1/x"</f>
        <v>#VALUE!</v>
      </c>
      <c r="FM312" t="e">
        <f>Europe!858:858-"n/&gt;!1/y"</f>
        <v>#VALUE!</v>
      </c>
      <c r="FN312" t="e">
        <f>Europe!859:859-"n/&gt;!1/z"</f>
        <v>#VALUE!</v>
      </c>
      <c r="FO312" t="e">
        <f>Europe!860:860-"n/&gt;!1/{"</f>
        <v>#VALUE!</v>
      </c>
      <c r="FP312" t="e">
        <f>Europe!861:861-"n/&gt;!1/|"</f>
        <v>#VALUE!</v>
      </c>
      <c r="FQ312" t="e">
        <f>Europe!862:862-"n/&gt;!1/}"</f>
        <v>#VALUE!</v>
      </c>
      <c r="FR312" t="e">
        <f>Europe!863:863-"n/&gt;!1/~"</f>
        <v>#VALUE!</v>
      </c>
      <c r="FS312" t="e">
        <f>Europe!864:864-"n/&gt;!10#"</f>
        <v>#VALUE!</v>
      </c>
      <c r="FT312" t="e">
        <f>Europe!865:865-"n/&gt;!10$"</f>
        <v>#VALUE!</v>
      </c>
      <c r="FU312" t="e">
        <f>Europe!866:866-"n/&gt;!10%"</f>
        <v>#VALUE!</v>
      </c>
      <c r="FV312" t="e">
        <f>Europe!867:867-"n/&gt;!10&amp;"</f>
        <v>#VALUE!</v>
      </c>
      <c r="FW312" t="e">
        <f>Europe!868:868-"n/&gt;!10'"</f>
        <v>#VALUE!</v>
      </c>
      <c r="FX312" t="e">
        <f>Europe!869:869-"n/&gt;!10("</f>
        <v>#VALUE!</v>
      </c>
      <c r="FY312" t="e">
        <f>Europe!870:870-"n/&gt;!10)"</f>
        <v>#VALUE!</v>
      </c>
      <c r="FZ312" t="e">
        <f>Europe!871:871-"n/&gt;!10."</f>
        <v>#VALUE!</v>
      </c>
      <c r="GA312" t="e">
        <f>Europe!872:872-"n/&gt;!10/"</f>
        <v>#VALUE!</v>
      </c>
      <c r="GB312" t="e">
        <f>Europe!873:873-"n/&gt;!100"</f>
        <v>#VALUE!</v>
      </c>
      <c r="GC312" t="e">
        <f>Europe!874:874-"n/&gt;!101"</f>
        <v>#VALUE!</v>
      </c>
      <c r="GD312" t="e">
        <f>Europe!875:875-"n/&gt;!102"</f>
        <v>#VALUE!</v>
      </c>
      <c r="GE312" t="e">
        <f>Europe!876:876-"n/&gt;!103"</f>
        <v>#VALUE!</v>
      </c>
      <c r="GF312" t="e">
        <f>Europe!877:877-"n/&gt;!104"</f>
        <v>#VALUE!</v>
      </c>
      <c r="GG312" t="e">
        <f>Europe!878:878-"n/&gt;!105"</f>
        <v>#VALUE!</v>
      </c>
      <c r="GH312" t="e">
        <f>Europe!879:879-"n/&gt;!106"</f>
        <v>#VALUE!</v>
      </c>
      <c r="GI312" t="e">
        <f>Europe!880:880-"n/&gt;!107"</f>
        <v>#VALUE!</v>
      </c>
      <c r="GJ312" t="e">
        <f>Europe!881:881-"n/&gt;!108"</f>
        <v>#VALUE!</v>
      </c>
      <c r="GK312" t="e">
        <f>Europe!882:882-"n/&gt;!109"</f>
        <v>#VALUE!</v>
      </c>
      <c r="GL312" t="e">
        <f>Europe!883:883-"n/&gt;!10:"</f>
        <v>#VALUE!</v>
      </c>
      <c r="GM312" t="e">
        <f>Europe!884:884-"n/&gt;!10;"</f>
        <v>#VALUE!</v>
      </c>
      <c r="GN312" t="e">
        <f>Europe!885:885-"n/&gt;!10&lt;"</f>
        <v>#VALUE!</v>
      </c>
      <c r="GO312" t="e">
        <f>Europe!886:886-"n/&gt;!10="</f>
        <v>#VALUE!</v>
      </c>
      <c r="GP312" t="e">
        <f>Europe!887:887-"n/&gt;!10&gt;"</f>
        <v>#VALUE!</v>
      </c>
      <c r="GQ312" t="e">
        <f>Europe!888:888-"n/&gt;!10?"</f>
        <v>#VALUE!</v>
      </c>
      <c r="GR312" t="e">
        <f>Europe!889:889-"n/&gt;!10@"</f>
        <v>#VALUE!</v>
      </c>
      <c r="GS312" t="e">
        <f>Europe!890:890-"n/&gt;!10A"</f>
        <v>#VALUE!</v>
      </c>
      <c r="GT312" t="e">
        <f>Europe!891:891-"n/&gt;!10B"</f>
        <v>#VALUE!</v>
      </c>
      <c r="GU312" t="e">
        <f>Europe!892:892-"n/&gt;!10C"</f>
        <v>#VALUE!</v>
      </c>
      <c r="GV312" t="e">
        <f>Europe!893:893-"n/&gt;!10D"</f>
        <v>#VALUE!</v>
      </c>
      <c r="GW312" t="e">
        <f>Europe!894:894-"n/&gt;!10E"</f>
        <v>#VALUE!</v>
      </c>
      <c r="GX312" t="e">
        <f>Europe!895:895-"n/&gt;!10F"</f>
        <v>#VALUE!</v>
      </c>
      <c r="GY312" t="e">
        <f>Europe!896:896-"n/&gt;!10G"</f>
        <v>#VALUE!</v>
      </c>
      <c r="GZ312" t="e">
        <f>Europe!897:897-"n/&gt;!10H"</f>
        <v>#VALUE!</v>
      </c>
      <c r="HA312" t="e">
        <f>Europe!898:898-"n/&gt;!10I"</f>
        <v>#VALUE!</v>
      </c>
      <c r="HB312" t="e">
        <f>Europe!899:899-"n/&gt;!10J"</f>
        <v>#VALUE!</v>
      </c>
      <c r="HC312" t="e">
        <f>Europe!900:900-"n/&gt;!10K"</f>
        <v>#VALUE!</v>
      </c>
      <c r="HD312" t="e">
        <f>Europe!901:901-"n/&gt;!10L"</f>
        <v>#VALUE!</v>
      </c>
      <c r="HE312" t="e">
        <f>Europe!902:902-"n/&gt;!10M"</f>
        <v>#VALUE!</v>
      </c>
      <c r="HF312" t="e">
        <f>Europe!903:903-"n/&gt;!10N"</f>
        <v>#VALUE!</v>
      </c>
      <c r="HG312" t="e">
        <f>Europe!904:904-"n/&gt;!10O"</f>
        <v>#VALUE!</v>
      </c>
      <c r="HH312" t="e">
        <f>Europe!905:905-"n/&gt;!10P"</f>
        <v>#VALUE!</v>
      </c>
      <c r="HI312" t="e">
        <f>Europe!906:906-"n/&gt;!10Q"</f>
        <v>#VALUE!</v>
      </c>
      <c r="HJ312" t="e">
        <f>Europe!907:907-"n/&gt;!10R"</f>
        <v>#VALUE!</v>
      </c>
      <c r="HK312" t="e">
        <f>Europe!908:908-"n/&gt;!10S"</f>
        <v>#VALUE!</v>
      </c>
      <c r="HL312" t="e">
        <f>Europe!909:909-"n/&gt;!10T"</f>
        <v>#VALUE!</v>
      </c>
      <c r="HM312" t="e">
        <f>Europe!910:910-"n/&gt;!10U"</f>
        <v>#VALUE!</v>
      </c>
      <c r="HN312" t="e">
        <f>Europe!911:911-"n/&gt;!10V"</f>
        <v>#VALUE!</v>
      </c>
      <c r="HO312" t="e">
        <f>Europe!912:912-"n/&gt;!10W"</f>
        <v>#VALUE!</v>
      </c>
      <c r="HP312" t="e">
        <f>Europe!913:913-"n/&gt;!10X"</f>
        <v>#VALUE!</v>
      </c>
      <c r="HQ312" t="e">
        <f>Europe!914:914-"n/&gt;!10Y"</f>
        <v>#VALUE!</v>
      </c>
      <c r="HR312" t="e">
        <f>Europe!915:915-"n/&gt;!10Z"</f>
        <v>#VALUE!</v>
      </c>
      <c r="HS312" t="e">
        <f>Europe!916:916-"n/&gt;!10["</f>
        <v>#VALUE!</v>
      </c>
      <c r="HT312" t="e">
        <f>Europe!917:917-"n/&gt;!10\"</f>
        <v>#VALUE!</v>
      </c>
      <c r="HU312" t="e">
        <f>Europe!918:918-"n/&gt;!10]"</f>
        <v>#VALUE!</v>
      </c>
      <c r="HV312" t="e">
        <f>Europe!919:919-"n/&gt;!10^"</f>
        <v>#VALUE!</v>
      </c>
      <c r="HW312" t="e">
        <f>Europe!920:920-"n/&gt;!10_"</f>
        <v>#VALUE!</v>
      </c>
      <c r="HX312" t="e">
        <f>Europe!921:921-"n/&gt;!10`"</f>
        <v>#VALUE!</v>
      </c>
      <c r="HY312" t="e">
        <f>Europe!922:922-"n/&gt;!10a"</f>
        <v>#VALUE!</v>
      </c>
      <c r="HZ312" t="e">
        <f>Europe!923:923-"n/&gt;!10b"</f>
        <v>#VALUE!</v>
      </c>
      <c r="IA312" t="e">
        <f>Europe!924:924-"n/&gt;!10c"</f>
        <v>#VALUE!</v>
      </c>
      <c r="IB312" t="e">
        <f>Europe!925:925-"n/&gt;!10d"</f>
        <v>#VALUE!</v>
      </c>
      <c r="IC312" t="e">
        <f>Europe!926:926-"n/&gt;!10e"</f>
        <v>#VALUE!</v>
      </c>
      <c r="ID312" t="e">
        <f>Europe!927:927-"n/&gt;!10f"</f>
        <v>#VALUE!</v>
      </c>
      <c r="IE312" t="e">
        <f>Europe!928:928-"n/&gt;!10g"</f>
        <v>#VALUE!</v>
      </c>
      <c r="IF312" t="e">
        <f>Europe!929:929-"n/&gt;!10h"</f>
        <v>#VALUE!</v>
      </c>
      <c r="IG312" t="e">
        <f>Europe!930:930-"n/&gt;!10i"</f>
        <v>#VALUE!</v>
      </c>
      <c r="IH312" t="e">
        <f>Europe!931:931-"n/&gt;!10j"</f>
        <v>#VALUE!</v>
      </c>
      <c r="II312" t="e">
        <f>Europe!932:932-"n/&gt;!10k"</f>
        <v>#VALUE!</v>
      </c>
      <c r="IJ312" t="e">
        <f>Europe!933:933-"n/&gt;!10l"</f>
        <v>#VALUE!</v>
      </c>
      <c r="IK312" t="e">
        <f>Europe!934:934-"n/&gt;!10m"</f>
        <v>#VALUE!</v>
      </c>
      <c r="IL312" t="e">
        <f>Europe!935:935-"n/&gt;!10n"</f>
        <v>#VALUE!</v>
      </c>
      <c r="IM312" t="e">
        <f>Europe!936:936-"n/&gt;!10o"</f>
        <v>#VALUE!</v>
      </c>
      <c r="IN312" t="e">
        <f>Europe!937:937-"n/&gt;!10p"</f>
        <v>#VALUE!</v>
      </c>
      <c r="IO312" t="e">
        <f>Europe!938:938-"n/&gt;!10q"</f>
        <v>#VALUE!</v>
      </c>
      <c r="IP312" t="e">
        <f>Europe!939:939-"n/&gt;!10r"</f>
        <v>#VALUE!</v>
      </c>
      <c r="IQ312" t="e">
        <f>Europe!940:940-"n/&gt;!10s"</f>
        <v>#VALUE!</v>
      </c>
      <c r="IR312" t="e">
        <f>Europe!941:941-"n/&gt;!10t"</f>
        <v>#VALUE!</v>
      </c>
      <c r="IS312" t="e">
        <f>Europe!942:942-"n/&gt;!10u"</f>
        <v>#VALUE!</v>
      </c>
      <c r="IT312" t="e">
        <f>Europe!943:943-"n/&gt;!10v"</f>
        <v>#VALUE!</v>
      </c>
      <c r="IU312" t="e">
        <f>Europe!944:944-"n/&gt;!10w"</f>
        <v>#VALUE!</v>
      </c>
      <c r="IV312" t="e">
        <f>Europe!945:945-"n/&gt;!10x"</f>
        <v>#VALUE!</v>
      </c>
    </row>
    <row r="313" spans="6:256" x14ac:dyDescent="0.35">
      <c r="F313" t="e">
        <f>Europe!946:946-"n/&gt;!10y"</f>
        <v>#VALUE!</v>
      </c>
      <c r="G313" t="e">
        <f>Europe!947:947-"n/&gt;!10z"</f>
        <v>#VALUE!</v>
      </c>
      <c r="H313" t="e">
        <f>Europe!948:948-"n/&gt;!10{"</f>
        <v>#VALUE!</v>
      </c>
      <c r="I313" t="e">
        <f>Europe!949:949-"n/&gt;!10|"</f>
        <v>#VALUE!</v>
      </c>
      <c r="J313" t="e">
        <f>Europe!950:950-"n/&gt;!10}"</f>
        <v>#VALUE!</v>
      </c>
      <c r="K313" t="e">
        <f>Europe!951:951-"n/&gt;!10~"</f>
        <v>#VALUE!</v>
      </c>
      <c r="L313" t="e">
        <f>Europe!952:952-"n/&gt;!11#"</f>
        <v>#VALUE!</v>
      </c>
      <c r="M313" t="e">
        <f>Europe!953:953-"n/&gt;!11$"</f>
        <v>#VALUE!</v>
      </c>
      <c r="N313" t="e">
        <f>Europe!954:954-"n/&gt;!11%"</f>
        <v>#VALUE!</v>
      </c>
      <c r="O313" t="e">
        <f>Europe!955:955-"n/&gt;!11&amp;"</f>
        <v>#VALUE!</v>
      </c>
      <c r="P313" t="e">
        <f>Europe!956:956-"n/&gt;!11'"</f>
        <v>#VALUE!</v>
      </c>
      <c r="Q313" t="e">
        <f>Europe!957:957-"n/&gt;!11("</f>
        <v>#VALUE!</v>
      </c>
      <c r="R313" t="e">
        <f>Europe!958:958-"n/&gt;!11)"</f>
        <v>#VALUE!</v>
      </c>
      <c r="S313" t="e">
        <f>Europe!959:959-"n/&gt;!11."</f>
        <v>#VALUE!</v>
      </c>
      <c r="T313" t="e">
        <f>Europe!960:960-"n/&gt;!11/"</f>
        <v>#VALUE!</v>
      </c>
      <c r="U313" t="e">
        <f>Europe!961:961-"n/&gt;!110"</f>
        <v>#VALUE!</v>
      </c>
      <c r="V313" t="e">
        <f>Europe!962:962-"n/&gt;!111"</f>
        <v>#VALUE!</v>
      </c>
      <c r="W313" t="e">
        <f>Europe!963:963-"n/&gt;!112"</f>
        <v>#VALUE!</v>
      </c>
      <c r="X313" t="e">
        <f>Europe!964:964-"n/&gt;!113"</f>
        <v>#VALUE!</v>
      </c>
      <c r="Y313" t="e">
        <f>Europe!965:965-"n/&gt;!114"</f>
        <v>#VALUE!</v>
      </c>
      <c r="Z313" t="e">
        <f>Europe!966:966-"n/&gt;!115"</f>
        <v>#VALUE!</v>
      </c>
      <c r="AA313" t="e">
        <f>Europe!967:967-"n/&gt;!116"</f>
        <v>#VALUE!</v>
      </c>
      <c r="AB313" t="e">
        <f>Europe!968:968-"n/&gt;!117"</f>
        <v>#VALUE!</v>
      </c>
      <c r="AC313" t="e">
        <f>Europe!969:969-"n/&gt;!118"</f>
        <v>#VALUE!</v>
      </c>
      <c r="AD313" t="e">
        <f>Europe!970:970-"n/&gt;!119"</f>
        <v>#VALUE!</v>
      </c>
      <c r="AE313" t="e">
        <f>Europe!971:971-"n/&gt;!11:"</f>
        <v>#VALUE!</v>
      </c>
      <c r="AF313" t="e">
        <f>Europe!972:972-"n/&gt;!11;"</f>
        <v>#VALUE!</v>
      </c>
      <c r="AG313" t="e">
        <f>Europe!973:973-"n/&gt;!11&lt;"</f>
        <v>#VALUE!</v>
      </c>
      <c r="AH313" t="e">
        <f>Europe!974:974-"n/&gt;!11="</f>
        <v>#VALUE!</v>
      </c>
      <c r="AI313" t="e">
        <f>Europe!975:975-"n/&gt;!11&gt;"</f>
        <v>#VALUE!</v>
      </c>
      <c r="AJ313" t="e">
        <f>Europe!976:976-"n/&gt;!11?"</f>
        <v>#VALUE!</v>
      </c>
      <c r="AK313" t="e">
        <f>Europe!977:977-"n/&gt;!11@"</f>
        <v>#VALUE!</v>
      </c>
      <c r="AL313" t="e">
        <f>Europe!978:978-"n/&gt;!11A"</f>
        <v>#VALUE!</v>
      </c>
      <c r="AM313" t="e">
        <f>Europe!979:979-"n/&gt;!11B"</f>
        <v>#VALUE!</v>
      </c>
      <c r="AN313" t="e">
        <f>Europe!980:980-"n/&gt;!11C"</f>
        <v>#VALUE!</v>
      </c>
      <c r="AO313" t="e">
        <f>Europe!981:981-"n/&gt;!11D"</f>
        <v>#VALUE!</v>
      </c>
      <c r="AP313" t="e">
        <f>Europe!982:982-"n/&gt;!11E"</f>
        <v>#VALUE!</v>
      </c>
      <c r="AQ313" t="e">
        <f>Europe!983:983-"n/&gt;!11F"</f>
        <v>#VALUE!</v>
      </c>
      <c r="AR313" t="e">
        <f>Europe!984:984-"n/&gt;!11G"</f>
        <v>#VALUE!</v>
      </c>
      <c r="AS313" t="e">
        <f>Europe!985:985-"n/&gt;!11H"</f>
        <v>#VALUE!</v>
      </c>
      <c r="AT313" t="e">
        <f>Europe!986:986-"n/&gt;!11I"</f>
        <v>#VALUE!</v>
      </c>
      <c r="AU313" t="e">
        <f>Europe!987:987-"n/&gt;!11J"</f>
        <v>#VALUE!</v>
      </c>
      <c r="AV313" t="e">
        <f>Europe!988:988-"n/&gt;!11K"</f>
        <v>#VALUE!</v>
      </c>
      <c r="AW313" t="e">
        <f>Europe!989:989-"n/&gt;!11L"</f>
        <v>#VALUE!</v>
      </c>
      <c r="AX313" t="e">
        <f>Europe!990:990-"n/&gt;!11M"</f>
        <v>#VALUE!</v>
      </c>
      <c r="AY313" t="e">
        <f>Europe!991:991-"n/&gt;!11N"</f>
        <v>#VALUE!</v>
      </c>
      <c r="AZ313" t="e">
        <f>Europe!992:992-"n/&gt;!11O"</f>
        <v>#VALUE!</v>
      </c>
      <c r="BA313" t="e">
        <f>Europe!993:993-"n/&gt;!11P"</f>
        <v>#VALUE!</v>
      </c>
      <c r="BB313" t="e">
        <f>Europe!994:994-"n/&gt;!11Q"</f>
        <v>#VALUE!</v>
      </c>
      <c r="BC313" t="e">
        <f>Europe!995:995-"n/&gt;!11R"</f>
        <v>#VALUE!</v>
      </c>
      <c r="BD313" t="e">
        <f>Europe!996:996-"n/&gt;!11S"</f>
        <v>#VALUE!</v>
      </c>
      <c r="BE313" t="e">
        <f>Europe!997:997-"n/&gt;!11T"</f>
        <v>#VALUE!</v>
      </c>
      <c r="BF313" t="e">
        <f>Europe!998:998-"n/&gt;!11U"</f>
        <v>#VALUE!</v>
      </c>
      <c r="BG313" t="e">
        <f>Europe!999:999-"n/&gt;!11V"</f>
        <v>#VALUE!</v>
      </c>
      <c r="BH313" t="e">
        <f>Europe!1000:1000-"n/&gt;!11W"</f>
        <v>#VALUE!</v>
      </c>
      <c r="BI313" t="e">
        <f>Europe!1001:1001-"n/&gt;!11X"</f>
        <v>#VALUE!</v>
      </c>
      <c r="BJ313" t="e">
        <f>Europe!1002:1002-"n/&gt;!11Y"</f>
        <v>#VALUE!</v>
      </c>
      <c r="BK313" t="e">
        <f>Europe!1003:1003-"n/&gt;!11Z"</f>
        <v>#VALUE!</v>
      </c>
      <c r="BL313" t="e">
        <f>Europe!1004:1004-"n/&gt;!11["</f>
        <v>#VALUE!</v>
      </c>
      <c r="BM313" t="e">
        <f>Europe!1005:1005-"n/&gt;!11\"</f>
        <v>#VALUE!</v>
      </c>
      <c r="BN313" t="e">
        <f>Europe!1006:1006-"n/&gt;!11]"</f>
        <v>#VALUE!</v>
      </c>
      <c r="BO313" t="e">
        <f>Europe!1007:1007-"n/&gt;!11^"</f>
        <v>#VALUE!</v>
      </c>
      <c r="BP313" t="e">
        <f>Europe!1008:1008-"n/&gt;!11_"</f>
        <v>#VALUE!</v>
      </c>
      <c r="BQ313" t="e">
        <f>Europe!1009:1009-"n/&gt;!11`"</f>
        <v>#VALUE!</v>
      </c>
      <c r="BR313" t="e">
        <f>Europe!1010:1010-"n/&gt;!11a"</f>
        <v>#VALUE!</v>
      </c>
      <c r="BS313" t="e">
        <f>Europe!1011:1011-"n/&gt;!11b"</f>
        <v>#VALUE!</v>
      </c>
      <c r="BT313" t="e">
        <f>Europe!1012:1012-"n/&gt;!11c"</f>
        <v>#VALUE!</v>
      </c>
      <c r="BU313" t="e">
        <f>Europe!1013:1013-"n/&gt;!11d"</f>
        <v>#VALUE!</v>
      </c>
      <c r="BV313" t="e">
        <f>Europe!1014:1014-"n/&gt;!11e"</f>
        <v>#VALUE!</v>
      </c>
      <c r="BW313" t="e">
        <f>Europe!1015:1015-"n/&gt;!11f"</f>
        <v>#VALUE!</v>
      </c>
      <c r="BX313" t="e">
        <f>Europe!1016:1016-"n/&gt;!11g"</f>
        <v>#VALUE!</v>
      </c>
      <c r="BY313" t="e">
        <f>Europe!1017:1017-"n/&gt;!11h"</f>
        <v>#VALUE!</v>
      </c>
      <c r="BZ313" t="e">
        <f>Europe!1018:1018-"n/&gt;!11i"</f>
        <v>#VALUE!</v>
      </c>
      <c r="CA313" t="e">
        <f>Europe!1019:1019-"n/&gt;!11j"</f>
        <v>#VALUE!</v>
      </c>
      <c r="CB313" t="e">
        <f>Europe!1020:1020-"n/&gt;!11k"</f>
        <v>#VALUE!</v>
      </c>
      <c r="CC313" t="e">
        <f>Europe!1021:1021-"n/&gt;!11l"</f>
        <v>#VALUE!</v>
      </c>
      <c r="CD313" t="e">
        <f>Europe!1022:1022-"n/&gt;!11m"</f>
        <v>#VALUE!</v>
      </c>
      <c r="CE313" t="e">
        <f>Europe!1023:1023-"n/&gt;!11n"</f>
        <v>#VALUE!</v>
      </c>
      <c r="CF313" t="e">
        <f>Europe!1024:1024-"n/&gt;!11o"</f>
        <v>#VALUE!</v>
      </c>
      <c r="CG313" t="e">
        <f>Europe!1025:1025-"n/&gt;!11p"</f>
        <v>#VALUE!</v>
      </c>
      <c r="CH313" t="e">
        <f>Europe!1026:1026-"n/&gt;!11q"</f>
        <v>#VALUE!</v>
      </c>
      <c r="CI313" t="e">
        <f>Europe!1027:1027-"n/&gt;!11r"</f>
        <v>#VALUE!</v>
      </c>
      <c r="CJ313" t="e">
        <f>Europe!1028:1028-"n/&gt;!11s"</f>
        <v>#VALUE!</v>
      </c>
      <c r="CK313" t="e">
        <f>Europe!1029:1029-"n/&gt;!11t"</f>
        <v>#VALUE!</v>
      </c>
      <c r="CL313" t="e">
        <f>Europe!1030:1030-"n/&gt;!11u"</f>
        <v>#VALUE!</v>
      </c>
      <c r="CM313" t="e">
        <f>Europe!1031:1031-"n/&gt;!11v"</f>
        <v>#VALUE!</v>
      </c>
      <c r="CN313" t="e">
        <f>Europe!1032:1032-"n/&gt;!11w"</f>
        <v>#VALUE!</v>
      </c>
      <c r="CO313" t="e">
        <f>Europe!1033:1033-"n/&gt;!11x"</f>
        <v>#VALUE!</v>
      </c>
      <c r="CP313" t="e">
        <f>Europe!1034:1034-"n/&gt;!11y"</f>
        <v>#VALUE!</v>
      </c>
      <c r="CQ313" t="e">
        <f>Europe!1035:1035-"n/&gt;!11z"</f>
        <v>#VALUE!</v>
      </c>
      <c r="CR313" t="e">
        <f>Europe!1036:1036-"n/&gt;!11{"</f>
        <v>#VALUE!</v>
      </c>
      <c r="CS313" t="e">
        <f>Europe!1037:1037-"n/&gt;!11|"</f>
        <v>#VALUE!</v>
      </c>
      <c r="CT313" t="e">
        <f>Europe!1038:1038-"n/&gt;!11}"</f>
        <v>#VALUE!</v>
      </c>
      <c r="CU313" t="e">
        <f>Europe!1039:1039-"n/&gt;!11~"</f>
        <v>#VALUE!</v>
      </c>
      <c r="CV313" t="e">
        <f>Europe!1040:1040-"n/&gt;!12#"</f>
        <v>#VALUE!</v>
      </c>
      <c r="CW313" t="e">
        <f>Europe!1041:1041-"n/&gt;!12$"</f>
        <v>#VALUE!</v>
      </c>
      <c r="CX313" t="e">
        <f>Europe!1042:1042-"n/&gt;!12%"</f>
        <v>#VALUE!</v>
      </c>
      <c r="CY313" t="e">
        <f>Europe!1043:1043-"n/&gt;!12&amp;"</f>
        <v>#VALUE!</v>
      </c>
      <c r="CZ313" t="e">
        <f>Europe!1044:1044-"n/&gt;!12'"</f>
        <v>#VALUE!</v>
      </c>
      <c r="DA313" t="e">
        <f>Europe!1045:1045-"n/&gt;!12("</f>
        <v>#VALUE!</v>
      </c>
      <c r="DB313" t="e">
        <f>Europe!1046:1046-"n/&gt;!12)"</f>
        <v>#VALUE!</v>
      </c>
      <c r="DC313" t="e">
        <f>Europe!1047:1047-"n/&gt;!12."</f>
        <v>#VALUE!</v>
      </c>
      <c r="DD313" t="e">
        <f>Europe!1048:1048-"n/&gt;!12/"</f>
        <v>#VALUE!</v>
      </c>
      <c r="DE313" t="e">
        <f>Europe!1049:1049-"n/&gt;!120"</f>
        <v>#VALUE!</v>
      </c>
      <c r="DF313" t="e">
        <f>Europe!1050:1050-"n/&gt;!121"</f>
        <v>#VALUE!</v>
      </c>
      <c r="DG313" t="e">
        <f>Europe!1051:1051-"n/&gt;!122"</f>
        <v>#VALUE!</v>
      </c>
      <c r="DH313" t="e">
        <f>Europe!1052:1052-"n/&gt;!123"</f>
        <v>#VALUE!</v>
      </c>
      <c r="DI313" t="e">
        <f>Europe!1053:1053-"n/&gt;!124"</f>
        <v>#VALUE!</v>
      </c>
      <c r="DJ313" t="e">
        <f>Europe!1054:1054-"n/&gt;!125"</f>
        <v>#VALUE!</v>
      </c>
      <c r="DK313" t="e">
        <f>Europe!1055:1055-"n/&gt;!126"</f>
        <v>#VALUE!</v>
      </c>
      <c r="DL313" t="e">
        <f>Europe!1056:1056-"n/&gt;!127"</f>
        <v>#VALUE!</v>
      </c>
      <c r="DM313" t="e">
        <f>Europe!1057:1057-"n/&gt;!128"</f>
        <v>#VALUE!</v>
      </c>
      <c r="DN313" t="e">
        <f>Europe!1058:1058-"n/&gt;!129"</f>
        <v>#VALUE!</v>
      </c>
      <c r="DO313" t="e">
        <f>Europe!1059:1059-"n/&gt;!12:"</f>
        <v>#VALUE!</v>
      </c>
      <c r="DP313" t="e">
        <f>Europe!1060:1060-"n/&gt;!12;"</f>
        <v>#VALUE!</v>
      </c>
      <c r="DQ313" t="e">
        <f>Europe!1061:1061-"n/&gt;!12&lt;"</f>
        <v>#VALUE!</v>
      </c>
      <c r="DR313" t="e">
        <f>Europe!1062:1062-"n/&gt;!12="</f>
        <v>#VALUE!</v>
      </c>
      <c r="DS313" t="e">
        <f>Europe!1063:1063-"n/&gt;!12&gt;"</f>
        <v>#VALUE!</v>
      </c>
      <c r="DT313" t="e">
        <f>Europe!1064:1064-"n/&gt;!12?"</f>
        <v>#VALUE!</v>
      </c>
      <c r="DU313" t="e">
        <f>Europe!1065:1065-"n/&gt;!12@"</f>
        <v>#VALUE!</v>
      </c>
      <c r="DV313" t="e">
        <f>Europe!1066:1066-"n/&gt;!12A"</f>
        <v>#VALUE!</v>
      </c>
      <c r="DW313" t="e">
        <f>Europe!1067:1067-"n/&gt;!12B"</f>
        <v>#VALUE!</v>
      </c>
      <c r="DX313" t="e">
        <f>Europe!1068:1068-"n/&gt;!12C"</f>
        <v>#VALUE!</v>
      </c>
      <c r="DY313" t="e">
        <f>Europe!1069:1069-"n/&gt;!12D"</f>
        <v>#VALUE!</v>
      </c>
      <c r="DZ313" t="e">
        <f>Europe!1070:1070-"n/&gt;!12E"</f>
        <v>#VALUE!</v>
      </c>
      <c r="EA313" t="e">
        <f>Europe!1071:1071-"n/&gt;!12F"</f>
        <v>#VALUE!</v>
      </c>
      <c r="EB313" t="e">
        <f>Europe!1072:1072-"n/&gt;!12G"</f>
        <v>#VALUE!</v>
      </c>
      <c r="EC313" t="e">
        <f>Europe!1073:1073-"n/&gt;!12H"</f>
        <v>#VALUE!</v>
      </c>
      <c r="ED313" t="e">
        <f>Europe!1074:1074-"n/&gt;!12I"</f>
        <v>#VALUE!</v>
      </c>
      <c r="EE313" t="e">
        <f>Europe!1075:1075-"n/&gt;!12J"</f>
        <v>#VALUE!</v>
      </c>
      <c r="EF313" t="e">
        <f>Europe!1076:1076-"n/&gt;!12K"</f>
        <v>#VALUE!</v>
      </c>
      <c r="EG313" t="e">
        <f>Europe!1077:1077-"n/&gt;!12L"</f>
        <v>#VALUE!</v>
      </c>
      <c r="EH313" t="e">
        <f>Europe!1078:1078-"n/&gt;!12M"</f>
        <v>#VALUE!</v>
      </c>
      <c r="EI313" t="e">
        <f>Europe!1079:1079-"n/&gt;!12N"</f>
        <v>#VALUE!</v>
      </c>
      <c r="EJ313" t="e">
        <f>Europe!1080:1080-"n/&gt;!12O"</f>
        <v>#VALUE!</v>
      </c>
      <c r="EK313" t="e">
        <f>Europe!1081:1081-"n/&gt;!12P"</f>
        <v>#VALUE!</v>
      </c>
      <c r="EL313" t="e">
        <f>Europe!1082:1082-"n/&gt;!12Q"</f>
        <v>#VALUE!</v>
      </c>
      <c r="EM313" t="e">
        <f>Europe!1083:1083-"n/&gt;!12R"</f>
        <v>#VALUE!</v>
      </c>
      <c r="EN313" t="e">
        <f>Europe!1084:1084-"n/&gt;!12S"</f>
        <v>#VALUE!</v>
      </c>
      <c r="EO313" t="e">
        <f>Europe!1085:1085-"n/&gt;!12T"</f>
        <v>#VALUE!</v>
      </c>
      <c r="EP313" t="e">
        <f>Europe!1086:1086-"n/&gt;!12U"</f>
        <v>#VALUE!</v>
      </c>
      <c r="EQ313" t="e">
        <f>Europe!1087:1087-"n/&gt;!12V"</f>
        <v>#VALUE!</v>
      </c>
      <c r="ER313" t="e">
        <f>Europe!1088:1088-"n/&gt;!12W"</f>
        <v>#VALUE!</v>
      </c>
      <c r="ES313" t="e">
        <f>Europe!1089:1089-"n/&gt;!12X"</f>
        <v>#VALUE!</v>
      </c>
      <c r="ET313" t="e">
        <f>Europe!1090:1090-"n/&gt;!12Y"</f>
        <v>#VALUE!</v>
      </c>
      <c r="EU313" t="e">
        <f>Europe!1091:1091-"n/&gt;!12Z"</f>
        <v>#VALUE!</v>
      </c>
      <c r="EV313" t="e">
        <f>Europe!1092:1092-"n/&gt;!12["</f>
        <v>#VALUE!</v>
      </c>
      <c r="EW313" t="e">
        <f>Europe!1093:1093-"n/&gt;!12\"</f>
        <v>#VALUE!</v>
      </c>
      <c r="EX313" t="e">
        <f>Europe!1094:1094-"n/&gt;!12]"</f>
        <v>#VALUE!</v>
      </c>
      <c r="EY313" t="e">
        <f>Europe!1095:1095-"n/&gt;!12^"</f>
        <v>#VALUE!</v>
      </c>
      <c r="EZ313" t="e">
        <f>Europe!1096:1096-"n/&gt;!12_"</f>
        <v>#VALUE!</v>
      </c>
      <c r="FA313" t="e">
        <f>Europe!1097:1097-"n/&gt;!12`"</f>
        <v>#VALUE!</v>
      </c>
      <c r="FB313" t="e">
        <f>Europe!1098:1098-"n/&gt;!12a"</f>
        <v>#VALUE!</v>
      </c>
      <c r="FC313" t="e">
        <f>Europe!1099:1099-"n/&gt;!12b"</f>
        <v>#VALUE!</v>
      </c>
      <c r="FD313" t="e">
        <f>Europe!1100:1100-"n/&gt;!12c"</f>
        <v>#VALUE!</v>
      </c>
      <c r="FE313" t="e">
        <f>Europe!1101:1101-"n/&gt;!12d"</f>
        <v>#VALUE!</v>
      </c>
      <c r="FF313" t="e">
        <f>Europe!1102:1102-"n/&gt;!12e"</f>
        <v>#VALUE!</v>
      </c>
      <c r="FG313" t="e">
        <f>Europe!1103:1103-"n/&gt;!12f"</f>
        <v>#VALUE!</v>
      </c>
      <c r="FH313" t="e">
        <f>Europe!1104:1104-"n/&gt;!12g"</f>
        <v>#VALUE!</v>
      </c>
      <c r="FI313" t="e">
        <f>Europe!1105:1105-"n/&gt;!12h"</f>
        <v>#VALUE!</v>
      </c>
      <c r="FJ313" t="e">
        <f>Europe!1106:1106-"n/&gt;!12i"</f>
        <v>#VALUE!</v>
      </c>
      <c r="FK313" t="e">
        <f>Europe!1107:1107-"n/&gt;!12j"</f>
        <v>#VALUE!</v>
      </c>
      <c r="FL313" t="e">
        <f>Europe!1108:1108-"n/&gt;!12k"</f>
        <v>#VALUE!</v>
      </c>
      <c r="FM313" t="e">
        <f>Europe!1109:1109-"n/&gt;!12l"</f>
        <v>#VALUE!</v>
      </c>
      <c r="FN313" t="e">
        <f>Europe!1110:1110-"n/&gt;!12m"</f>
        <v>#VALUE!</v>
      </c>
      <c r="FO313" t="e">
        <f>Europe!1111:1111-"n/&gt;!12n"</f>
        <v>#VALUE!</v>
      </c>
      <c r="FP313" t="e">
        <f>Europe!1112:1112-"n/&gt;!12o"</f>
        <v>#VALUE!</v>
      </c>
      <c r="FQ313" t="e">
        <f>Europe!1113:1113-"n/&gt;!12p"</f>
        <v>#VALUE!</v>
      </c>
      <c r="FR313" t="e">
        <f>Europe!1114:1114-"n/&gt;!12q"</f>
        <v>#VALUE!</v>
      </c>
      <c r="FS313" t="e">
        <f>Europe!1115:1115-"n/&gt;!12r"</f>
        <v>#VALUE!</v>
      </c>
      <c r="FT313" t="e">
        <f>Europe!1116:1116-"n/&gt;!12s"</f>
        <v>#VALUE!</v>
      </c>
      <c r="FU313" t="e">
        <f>Europe!1117:1117-"n/&gt;!12t"</f>
        <v>#VALUE!</v>
      </c>
      <c r="FV313" t="e">
        <f>Europe!1118:1118-"n/&gt;!12u"</f>
        <v>#VALUE!</v>
      </c>
      <c r="FW313" t="e">
        <f>Europe!1119:1119-"n/&gt;!12v"</f>
        <v>#VALUE!</v>
      </c>
      <c r="FX313" t="e">
        <f>Europe!1120:1120-"n/&gt;!12w"</f>
        <v>#VALUE!</v>
      </c>
      <c r="FY313" t="e">
        <f>Europe!1121:1121-"n/&gt;!12x"</f>
        <v>#VALUE!</v>
      </c>
      <c r="FZ313" t="e">
        <f>Europe!1122:1122-"n/&gt;!12y"</f>
        <v>#VALUE!</v>
      </c>
      <c r="GA313" t="e">
        <f>Europe!1123:1123-"n/&gt;!12z"</f>
        <v>#VALUE!</v>
      </c>
      <c r="GB313" t="e">
        <f>Europe!1124:1124-"n/&gt;!12{"</f>
        <v>#VALUE!</v>
      </c>
      <c r="GC313" t="e">
        <f>Europe!1125:1125-"n/&gt;!12|"</f>
        <v>#VALUE!</v>
      </c>
      <c r="GD313" t="e">
        <f>Europe!1126:1126-"n/&gt;!12}"</f>
        <v>#VALUE!</v>
      </c>
      <c r="GE313" t="e">
        <f>Europe!1127:1127-"n/&gt;!12~"</f>
        <v>#VALUE!</v>
      </c>
      <c r="GF313" t="e">
        <f>Europe!1128:1128-"n/&gt;!13#"</f>
        <v>#VALUE!</v>
      </c>
      <c r="GG313" t="e">
        <f>Europe!1129:1129-"n/&gt;!13$"</f>
        <v>#VALUE!</v>
      </c>
      <c r="GH313" t="e">
        <f>Europe!1130:1130-"n/&gt;!13%"</f>
        <v>#VALUE!</v>
      </c>
      <c r="GI313" t="e">
        <f>Europe!1131:1131-"n/&gt;!13&amp;"</f>
        <v>#VALUE!</v>
      </c>
      <c r="GJ313" t="e">
        <f>Europe!1132:1132-"n/&gt;!13'"</f>
        <v>#VALUE!</v>
      </c>
      <c r="GK313" t="e">
        <f>Europe!1133:1133-"n/&gt;!13("</f>
        <v>#VALUE!</v>
      </c>
      <c r="GL313" t="e">
        <f>Europe!1134:1134-"n/&gt;!13)"</f>
        <v>#VALUE!</v>
      </c>
      <c r="GM313" t="e">
        <f>Europe!1135:1135-"n/&gt;!13."</f>
        <v>#VALUE!</v>
      </c>
      <c r="GN313" t="e">
        <f>Europe!1136:1136-"n/&gt;!13/"</f>
        <v>#VALUE!</v>
      </c>
      <c r="GO313" t="e">
        <f>Europe!1137:1137-"n/&gt;!130"</f>
        <v>#VALUE!</v>
      </c>
      <c r="GP313" t="e">
        <f>Europe!1138:1138-"n/&gt;!131"</f>
        <v>#VALUE!</v>
      </c>
      <c r="GQ313" t="e">
        <f>Europe!1139:1139-"n/&gt;!132"</f>
        <v>#VALUE!</v>
      </c>
      <c r="GR313" t="e">
        <f>Europe!1140:1140-"n/&gt;!133"</f>
        <v>#VALUE!</v>
      </c>
      <c r="GS313" t="e">
        <f>Europe!1141:1141-"n/&gt;!134"</f>
        <v>#VALUE!</v>
      </c>
      <c r="GT313" t="e">
        <f>Europe!1142:1142-"n/&gt;!135"</f>
        <v>#VALUE!</v>
      </c>
      <c r="GU313" t="e">
        <f>Europe!1143:1143-"n/&gt;!136"</f>
        <v>#VALUE!</v>
      </c>
      <c r="GV313" t="e">
        <f>Europe!1144:1144-"n/&gt;!137"</f>
        <v>#VALUE!</v>
      </c>
      <c r="GW313" t="e">
        <f>Europe!1145:1145-"n/&gt;!138"</f>
        <v>#VALUE!</v>
      </c>
      <c r="GX313" t="e">
        <f>Europe!1146:1146-"n/&gt;!139"</f>
        <v>#VALUE!</v>
      </c>
      <c r="GY313" t="e">
        <f>Europe!1147:1147-"n/&gt;!13:"</f>
        <v>#VALUE!</v>
      </c>
      <c r="GZ313" t="e">
        <f>Europe!1148:1148-"n/&gt;!13;"</f>
        <v>#VALUE!</v>
      </c>
      <c r="HA313" t="e">
        <f>Europe!1149:1149-"n/&gt;!13&lt;"</f>
        <v>#VALUE!</v>
      </c>
      <c r="HB313" t="e">
        <f>Europe!1150:1150-"n/&gt;!13="</f>
        <v>#VALUE!</v>
      </c>
      <c r="HC313" t="e">
        <f>Europe!1151:1151-"n/&gt;!13&gt;"</f>
        <v>#VALUE!</v>
      </c>
      <c r="HD313" t="e">
        <f>Europe!1152:1152-"n/&gt;!13?"</f>
        <v>#VALUE!</v>
      </c>
      <c r="HE313" t="e">
        <f>Europe!1153:1153-"n/&gt;!13@"</f>
        <v>#VALUE!</v>
      </c>
      <c r="HF313" t="e">
        <f>Europe!1154:1154-"n/&gt;!13A"</f>
        <v>#VALUE!</v>
      </c>
      <c r="HG313" t="e">
        <f>Europe!1155:1155-"n/&gt;!13B"</f>
        <v>#VALUE!</v>
      </c>
      <c r="HH313" t="e">
        <f>Europe!1156:1156-"n/&gt;!13C"</f>
        <v>#VALUE!</v>
      </c>
      <c r="HI313" t="e">
        <f>Europe!1157:1157-"n/&gt;!13D"</f>
        <v>#VALUE!</v>
      </c>
      <c r="HJ313" t="e">
        <f>Europe!1158:1158-"n/&gt;!13E"</f>
        <v>#VALUE!</v>
      </c>
      <c r="HK313" t="e">
        <f>Europe!1159:1159-"n/&gt;!13F"</f>
        <v>#VALUE!</v>
      </c>
      <c r="HL313" t="e">
        <f>Europe!1160:1160-"n/&gt;!13G"</f>
        <v>#VALUE!</v>
      </c>
      <c r="HM313" t="e">
        <f>Europe!1161:1161-"n/&gt;!13H"</f>
        <v>#VALUE!</v>
      </c>
      <c r="HN313" t="e">
        <f>Europe!1162:1162-"n/&gt;!13I"</f>
        <v>#VALUE!</v>
      </c>
      <c r="HO313" t="e">
        <f>Europe!1163:1163-"n/&gt;!13J"</f>
        <v>#VALUE!</v>
      </c>
      <c r="HP313" t="e">
        <f>Europe!1164:1164-"n/&gt;!13K"</f>
        <v>#VALUE!</v>
      </c>
      <c r="HQ313" t="e">
        <f>Europe!1165:1165-"n/&gt;!13L"</f>
        <v>#VALUE!</v>
      </c>
      <c r="HR313" t="e">
        <f>Europe!1166:1166-"n/&gt;!13M"</f>
        <v>#VALUE!</v>
      </c>
      <c r="HS313" t="e">
        <f>Europe!1167:1167-"n/&gt;!13N"</f>
        <v>#VALUE!</v>
      </c>
      <c r="HT313" t="e">
        <f>Europe!1168:1168-"n/&gt;!13O"</f>
        <v>#VALUE!</v>
      </c>
      <c r="HU313" t="e">
        <f>Europe!1169:1169-"n/&gt;!13P"</f>
        <v>#VALUE!</v>
      </c>
      <c r="HV313" t="e">
        <f>Europe!1170:1170-"n/&gt;!13Q"</f>
        <v>#VALUE!</v>
      </c>
      <c r="HW313" t="e">
        <f>Europe!1171:1171-"n/&gt;!13R"</f>
        <v>#VALUE!</v>
      </c>
      <c r="HX313" t="e">
        <f>Europe!1172:1172-"n/&gt;!13S"</f>
        <v>#VALUE!</v>
      </c>
      <c r="HY313" t="e">
        <f>Europe!1173:1173-"n/&gt;!13T"</f>
        <v>#VALUE!</v>
      </c>
      <c r="HZ313" t="e">
        <f>Europe!1174:1174-"n/&gt;!13U"</f>
        <v>#VALUE!</v>
      </c>
      <c r="IA313" t="e">
        <f>Europe!1175:1175-"n/&gt;!13V"</f>
        <v>#VALUE!</v>
      </c>
      <c r="IB313" t="e">
        <f>Europe!1176:1176-"n/&gt;!13W"</f>
        <v>#VALUE!</v>
      </c>
      <c r="IC313" t="e">
        <f>Europe!1177:1177-"n/&gt;!13X"</f>
        <v>#VALUE!</v>
      </c>
      <c r="ID313" t="e">
        <f>Europe!1178:1178-"n/&gt;!13Y"</f>
        <v>#VALUE!</v>
      </c>
      <c r="IE313" t="e">
        <f>Europe!1179:1179-"n/&gt;!13Z"</f>
        <v>#VALUE!</v>
      </c>
      <c r="IF313" t="e">
        <f>Europe!1180:1180-"n/&gt;!13["</f>
        <v>#VALUE!</v>
      </c>
      <c r="IG313" t="e">
        <f>Europe!1181:1181-"n/&gt;!13\"</f>
        <v>#VALUE!</v>
      </c>
      <c r="IH313" t="e">
        <f>Europe!1182:1182-"n/&gt;!13]"</f>
        <v>#VALUE!</v>
      </c>
      <c r="II313" t="e">
        <f>Europe!1183:1183-"n/&gt;!13^"</f>
        <v>#VALUE!</v>
      </c>
      <c r="IJ313" t="e">
        <f>Europe!1184:1184-"n/&gt;!13_"</f>
        <v>#VALUE!</v>
      </c>
      <c r="IK313" t="e">
        <f>Europe!1185:1185-"n/&gt;!13`"</f>
        <v>#VALUE!</v>
      </c>
      <c r="IL313" t="e">
        <f>Europe!1186:1186-"n/&gt;!13a"</f>
        <v>#VALUE!</v>
      </c>
      <c r="IM313" t="e">
        <f>Europe!1187:1187-"n/&gt;!13b"</f>
        <v>#VALUE!</v>
      </c>
      <c r="IN313" t="e">
        <f>Europe!1188:1188-"n/&gt;!13c"</f>
        <v>#VALUE!</v>
      </c>
      <c r="IO313" t="e">
        <f>Europe!1189:1189-"n/&gt;!13d"</f>
        <v>#VALUE!</v>
      </c>
      <c r="IP313" t="e">
        <f>Europe!1190:1190-"n/&gt;!13e"</f>
        <v>#VALUE!</v>
      </c>
      <c r="IQ313" t="e">
        <f>Europe!1191:1191-"n/&gt;!13f"</f>
        <v>#VALUE!</v>
      </c>
      <c r="IR313" t="e">
        <f>Europe!1192:1192-"n/&gt;!13g"</f>
        <v>#VALUE!</v>
      </c>
      <c r="IS313" t="e">
        <f>Europe!1193:1193-"n/&gt;!13h"</f>
        <v>#VALUE!</v>
      </c>
      <c r="IT313" t="e">
        <f>Europe!1194:1194-"n/&gt;!13i"</f>
        <v>#VALUE!</v>
      </c>
      <c r="IU313" t="e">
        <f>Europe!1195:1195-"n/&gt;!13j"</f>
        <v>#VALUE!</v>
      </c>
      <c r="IV313" t="e">
        <f>Europe!1196:1196-"n/&gt;!13k"</f>
        <v>#VALUE!</v>
      </c>
    </row>
    <row r="314" spans="6:256" x14ac:dyDescent="0.35">
      <c r="F314" t="e">
        <f>Europe!1197:1197-"n/&gt;!13l"</f>
        <v>#VALUE!</v>
      </c>
      <c r="G314" t="e">
        <f>Europe!1198:1198-"n/&gt;!13m"</f>
        <v>#VALUE!</v>
      </c>
      <c r="H314" t="e">
        <f>Europe!1199:1199-"n/&gt;!13n"</f>
        <v>#VALUE!</v>
      </c>
      <c r="I314" t="e">
        <f>Europe!1200:1200-"n/&gt;!13o"</f>
        <v>#VALUE!</v>
      </c>
      <c r="J314" t="e">
        <f>Europe!1201:1201-"n/&gt;!13p"</f>
        <v>#VALUE!</v>
      </c>
      <c r="K314" t="e">
        <f>Europe!1202:1202-"n/&gt;!13q"</f>
        <v>#VALUE!</v>
      </c>
      <c r="L314" t="e">
        <f>Europe!1203:1203-"n/&gt;!13r"</f>
        <v>#VALUE!</v>
      </c>
      <c r="M314" t="e">
        <f>Europe!1204:1204-"n/&gt;!13s"</f>
        <v>#VALUE!</v>
      </c>
      <c r="N314" t="e">
        <f>Europe!1205:1205-"n/&gt;!13t"</f>
        <v>#VALUE!</v>
      </c>
      <c r="O314" t="e">
        <f>Europe!1206:1206-"n/&gt;!13u"</f>
        <v>#VALUE!</v>
      </c>
      <c r="P314" t="e">
        <f>Europe!1207:1207-"n/&gt;!13v"</f>
        <v>#VALUE!</v>
      </c>
      <c r="Q314" t="e">
        <f>Europe!1208:1208-"n/&gt;!13w"</f>
        <v>#VALUE!</v>
      </c>
      <c r="R314" t="e">
        <f>Europe!1209:1209-"n/&gt;!13x"</f>
        <v>#VALUE!</v>
      </c>
      <c r="S314" t="e">
        <f>Europe!1210:1210-"n/&gt;!13y"</f>
        <v>#VALUE!</v>
      </c>
      <c r="T314" t="e">
        <f>Europe!1211:1211-"n/&gt;!13z"</f>
        <v>#VALUE!</v>
      </c>
      <c r="U314" t="e">
        <f>Europe!1212:1212-"n/&gt;!13{"</f>
        <v>#VALUE!</v>
      </c>
      <c r="V314" t="e">
        <f>Europe!1213:1213-"n/&gt;!13|"</f>
        <v>#VALUE!</v>
      </c>
      <c r="W314" t="e">
        <f>Europe!1214:1214-"n/&gt;!13}"</f>
        <v>#VALUE!</v>
      </c>
      <c r="X314" t="e">
        <f>Europe!1215:1215-"n/&gt;!13~"</f>
        <v>#VALUE!</v>
      </c>
      <c r="Y314" t="e">
        <f>Europe!1216:1216-"n/&gt;!14#"</f>
        <v>#VALUE!</v>
      </c>
      <c r="Z314" t="e">
        <f>Europe!1217:1217-"n/&gt;!14$"</f>
        <v>#VALUE!</v>
      </c>
      <c r="AA314" t="e">
        <f>Europe!1218:1218-"n/&gt;!14%"</f>
        <v>#VALUE!</v>
      </c>
      <c r="AB314" t="e">
        <f>Europe!1219:1219-"n/&gt;!14&amp;"</f>
        <v>#VALUE!</v>
      </c>
      <c r="AC314" t="e">
        <f>Europe!1220:1220-"n/&gt;!14'"</f>
        <v>#VALUE!</v>
      </c>
      <c r="AD314" t="e">
        <f>Europe!1221:1221-"n/&gt;!14("</f>
        <v>#VALUE!</v>
      </c>
      <c r="AE314" t="e">
        <f>Europe!1222:1222-"n/&gt;!14)"</f>
        <v>#VALUE!</v>
      </c>
      <c r="AF314" t="e">
        <f>Europe!1223:1223-"n/&gt;!14."</f>
        <v>#VALUE!</v>
      </c>
      <c r="AG314" t="e">
        <f>Europe!1224:1224-"n/&gt;!14/"</f>
        <v>#VALUE!</v>
      </c>
      <c r="AH314" t="e">
        <f>Europe!1225:1225-"n/&gt;!140"</f>
        <v>#VALUE!</v>
      </c>
      <c r="AI314" t="e">
        <f>Europe!1226:1226-"n/&gt;!141"</f>
        <v>#VALUE!</v>
      </c>
      <c r="AJ314" t="e">
        <f>Europe!1227:1227-"n/&gt;!142"</f>
        <v>#VALUE!</v>
      </c>
      <c r="AK314" t="e">
        <f>Europe!1228:1228-"n/&gt;!143"</f>
        <v>#VALUE!</v>
      </c>
      <c r="AL314" t="e">
        <f>Europe!1229:1229-"n/&gt;!144"</f>
        <v>#VALUE!</v>
      </c>
      <c r="AM314" t="e">
        <f>Europe!1230:1230-"n/&gt;!145"</f>
        <v>#VALUE!</v>
      </c>
      <c r="AN314" t="e">
        <f>Europe!1231:1231-"n/&gt;!146"</f>
        <v>#VALUE!</v>
      </c>
      <c r="AO314" t="e">
        <f>Europe!1232:1232-"n/&gt;!147"</f>
        <v>#VALUE!</v>
      </c>
      <c r="AP314" t="e">
        <f>Europe!1233:1233-"n/&gt;!148"</f>
        <v>#VALUE!</v>
      </c>
      <c r="AQ314" t="e">
        <f>Europe!1234:1234-"n/&gt;!149"</f>
        <v>#VALUE!</v>
      </c>
      <c r="AR314" t="e">
        <f>Europe!1235:1235-"n/&gt;!14:"</f>
        <v>#VALUE!</v>
      </c>
      <c r="AS314" t="e">
        <f>Europe!1236:1236-"n/&gt;!14;"</f>
        <v>#VALUE!</v>
      </c>
      <c r="AT314" t="e">
        <f>Europe!1237:1237-"n/&gt;!14&lt;"</f>
        <v>#VALUE!</v>
      </c>
      <c r="AU314" t="e">
        <f>Europe!1238:1238-"n/&gt;!14="</f>
        <v>#VALUE!</v>
      </c>
      <c r="AV314" t="e">
        <f>Europe!1239:1239-"n/&gt;!14&gt;"</f>
        <v>#VALUE!</v>
      </c>
      <c r="AW314" t="e">
        <f>Europe!1240:1240-"n/&gt;!14?"</f>
        <v>#VALUE!</v>
      </c>
      <c r="AX314" t="e">
        <f>Europe!1241:1241-"n/&gt;!14@"</f>
        <v>#VALUE!</v>
      </c>
      <c r="AY314" t="e">
        <f>Europe!1242:1242-"n/&gt;!14A"</f>
        <v>#VALUE!</v>
      </c>
      <c r="AZ314" t="e">
        <f>Europe!1243:1243-"n/&gt;!14B"</f>
        <v>#VALUE!</v>
      </c>
      <c r="BA314" t="e">
        <f>Europe!1244:1244-"n/&gt;!14C"</f>
        <v>#VALUE!</v>
      </c>
      <c r="BB314" t="e">
        <f>Europe!1245:1245-"n/&gt;!14D"</f>
        <v>#VALUE!</v>
      </c>
      <c r="BC314" t="e">
        <f>Europe!1246:1246-"n/&gt;!14E"</f>
        <v>#VALUE!</v>
      </c>
      <c r="BD314" t="e">
        <f>Europe!1247:1247-"n/&gt;!14F"</f>
        <v>#VALUE!</v>
      </c>
      <c r="BE314" t="e">
        <f>Europe!1248:1248-"n/&gt;!14G"</f>
        <v>#VALUE!</v>
      </c>
      <c r="BF314" t="e">
        <f>Europe!1249:1249-"n/&gt;!14H"</f>
        <v>#VALUE!</v>
      </c>
      <c r="BG314" t="e">
        <f>Europe!1250:1250-"n/&gt;!14I"</f>
        <v>#VALUE!</v>
      </c>
      <c r="BH314" t="e">
        <f>Europe!1251:1251-"n/&gt;!14J"</f>
        <v>#VALUE!</v>
      </c>
      <c r="BI314" t="e">
        <f>Europe!1252:1252-"n/&gt;!14K"</f>
        <v>#VALUE!</v>
      </c>
      <c r="BJ314" t="e">
        <f>Europe!1253:1253-"n/&gt;!14L"</f>
        <v>#VALUE!</v>
      </c>
      <c r="BK314" t="e">
        <f>Europe!1254:1254-"n/&gt;!14M"</f>
        <v>#VALUE!</v>
      </c>
      <c r="BL314" t="e">
        <f>Europe!1255:1255-"n/&gt;!14N"</f>
        <v>#VALUE!</v>
      </c>
      <c r="BM314" t="e">
        <f>Europe!1256:1256-"n/&gt;!14O"</f>
        <v>#VALUE!</v>
      </c>
      <c r="BN314" t="e">
        <f>Europe!1257:1257-"n/&gt;!14P"</f>
        <v>#VALUE!</v>
      </c>
      <c r="BO314" t="e">
        <f>Europe!1258:1258-"n/&gt;!14Q"</f>
        <v>#VALUE!</v>
      </c>
      <c r="BP314" t="e">
        <f>Europe!1259:1259-"n/&gt;!14R"</f>
        <v>#VALUE!</v>
      </c>
      <c r="BQ314" t="e">
        <f>Europe!1260:1260-"n/&gt;!14S"</f>
        <v>#VALUE!</v>
      </c>
      <c r="BR314" t="e">
        <f>Europe!1261:1261-"n/&gt;!14T"</f>
        <v>#VALUE!</v>
      </c>
      <c r="BS314" t="e">
        <f>Europe!1262:1262-"n/&gt;!14U"</f>
        <v>#VALUE!</v>
      </c>
      <c r="BT314" t="e">
        <f>Europe!1263:1263-"n/&gt;!14V"</f>
        <v>#VALUE!</v>
      </c>
      <c r="BU314" t="e">
        <f>Europe!1264:1264-"n/&gt;!14W"</f>
        <v>#VALUE!</v>
      </c>
      <c r="BV314" t="e">
        <f>Europe!1265:1265-"n/&gt;!14X"</f>
        <v>#VALUE!</v>
      </c>
      <c r="BW314" t="e">
        <f>Europe!1266:1266-"n/&gt;!14Y"</f>
        <v>#VALUE!</v>
      </c>
      <c r="BX314" t="e">
        <f>Europe!1267:1267-"n/&gt;!14Z"</f>
        <v>#VALUE!</v>
      </c>
      <c r="BY314" t="e">
        <f>Europe!1268:1268-"n/&gt;!14["</f>
        <v>#VALUE!</v>
      </c>
      <c r="BZ314" t="e">
        <f>Europe!1269:1269-"n/&gt;!14\"</f>
        <v>#VALUE!</v>
      </c>
      <c r="CA314" t="e">
        <f>Europe!1270:1270-"n/&gt;!14]"</f>
        <v>#VALUE!</v>
      </c>
      <c r="CB314" t="e">
        <f>Europe!1271:1271-"n/&gt;!14^"</f>
        <v>#VALUE!</v>
      </c>
      <c r="CC314" t="e">
        <f>Europe!1272:1272-"n/&gt;!14_"</f>
        <v>#VALUE!</v>
      </c>
      <c r="CD314" t="e">
        <f>Europe!1273:1273-"n/&gt;!14`"</f>
        <v>#VALUE!</v>
      </c>
      <c r="CE314" t="e">
        <f>Europe!1274:1274-"n/&gt;!14a"</f>
        <v>#VALUE!</v>
      </c>
      <c r="CF314" t="e">
        <f>Europe!1275:1275-"n/&gt;!14b"</f>
        <v>#VALUE!</v>
      </c>
      <c r="CG314" t="e">
        <f>Europe!1276:1276-"n/&gt;!14c"</f>
        <v>#VALUE!</v>
      </c>
      <c r="CH314" t="e">
        <f>Europe!1277:1277-"n/&gt;!14d"</f>
        <v>#VALUE!</v>
      </c>
      <c r="CI314" t="e">
        <f>Europe!1278:1278-"n/&gt;!14e"</f>
        <v>#VALUE!</v>
      </c>
      <c r="CJ314" t="e">
        <f>Europe!1279:1279-"n/&gt;!14f"</f>
        <v>#VALUE!</v>
      </c>
      <c r="CK314" t="e">
        <f>Europe!1280:1280-"n/&gt;!14g"</f>
        <v>#VALUE!</v>
      </c>
      <c r="CL314" t="e">
        <f>Europe!1281:1281-"n/&gt;!14h"</f>
        <v>#VALUE!</v>
      </c>
      <c r="CM314" t="e">
        <f>Europe!1282:1282-"n/&gt;!14i"</f>
        <v>#VALUE!</v>
      </c>
      <c r="CN314" t="e">
        <f>Europe!1283:1283-"n/&gt;!14j"</f>
        <v>#VALUE!</v>
      </c>
      <c r="CO314" t="e">
        <f>Europe!1284:1284-"n/&gt;!14k"</f>
        <v>#VALUE!</v>
      </c>
      <c r="CP314" t="e">
        <f>Europe!1285:1285-"n/&gt;!14l"</f>
        <v>#VALUE!</v>
      </c>
      <c r="CQ314" t="e">
        <f>Europe!1286:1286-"n/&gt;!14m"</f>
        <v>#VALUE!</v>
      </c>
      <c r="CR314" t="e">
        <f>Europe!1287:1287-"n/&gt;!14n"</f>
        <v>#VALUE!</v>
      </c>
      <c r="CS314" t="e">
        <f>Europe!1288:1288-"n/&gt;!14o"</f>
        <v>#VALUE!</v>
      </c>
      <c r="CT314" t="e">
        <f>Europe!1289:1289-"n/&gt;!14p"</f>
        <v>#VALUE!</v>
      </c>
      <c r="CU314" t="e">
        <f>Europe!1290:1290-"n/&gt;!14q"</f>
        <v>#VALUE!</v>
      </c>
      <c r="CV314" t="e">
        <f>Europe!1291:1291-"n/&gt;!14r"</f>
        <v>#VALUE!</v>
      </c>
      <c r="CW314" t="e">
        <f>Europe!1292:1292-"n/&gt;!14s"</f>
        <v>#VALUE!</v>
      </c>
      <c r="CX314" t="e">
        <f>Europe!1293:1293-"n/&gt;!14t"</f>
        <v>#VALUE!</v>
      </c>
      <c r="CY314" t="e">
        <f>Europe!1294:1294-"n/&gt;!14u"</f>
        <v>#VALUE!</v>
      </c>
      <c r="CZ314" t="e">
        <f>Europe!1295:1295-"n/&gt;!14v"</f>
        <v>#VALUE!</v>
      </c>
      <c r="DA314" t="e">
        <f>Europe!1296:1296-"n/&gt;!14w"</f>
        <v>#VALUE!</v>
      </c>
      <c r="DB314" t="e">
        <f>Europe!1297:1297-"n/&gt;!14x"</f>
        <v>#VALUE!</v>
      </c>
      <c r="DC314" t="e">
        <f>Europe!1298:1298-"n/&gt;!14y"</f>
        <v>#VALUE!</v>
      </c>
      <c r="DD314" t="e">
        <f>Europe!1299:1299-"n/&gt;!14z"</f>
        <v>#VALUE!</v>
      </c>
      <c r="DE314" t="e">
        <f>Europe!1300:1300-"n/&gt;!14{"</f>
        <v>#VALUE!</v>
      </c>
      <c r="DF314" t="e">
        <f>Europe!1301:1301-"n/&gt;!14|"</f>
        <v>#VALUE!</v>
      </c>
      <c r="DG314" t="e">
        <f>Europe!1302:1302-"n/&gt;!14}"</f>
        <v>#VALUE!</v>
      </c>
      <c r="DH314" t="e">
        <f>Europe!1303:1303-"n/&gt;!14~"</f>
        <v>#VALUE!</v>
      </c>
      <c r="DI314" t="e">
        <f>Europe!1304:1304-"n/&gt;!15#"</f>
        <v>#VALUE!</v>
      </c>
      <c r="DJ314" t="e">
        <f>Europe!1305:1305-"n/&gt;!15$"</f>
        <v>#VALUE!</v>
      </c>
      <c r="DK314" t="e">
        <f>Europe!1306:1306-"n/&gt;!15%"</f>
        <v>#VALUE!</v>
      </c>
      <c r="DL314" t="e">
        <f>Europe!1307:1307-"n/&gt;!15&amp;"</f>
        <v>#VALUE!</v>
      </c>
      <c r="DM314" t="e">
        <f>Europe!1308:1308-"n/&gt;!15'"</f>
        <v>#VALUE!</v>
      </c>
      <c r="DN314" t="e">
        <f>Europe!1309:1309-"n/&gt;!15("</f>
        <v>#VALUE!</v>
      </c>
      <c r="DO314" t="e">
        <f>Europe!1310:1310-"n/&gt;!15)"</f>
        <v>#VALUE!</v>
      </c>
      <c r="DP314" t="e">
        <f>Europe!1311:1311-"n/&gt;!15."</f>
        <v>#VALUE!</v>
      </c>
      <c r="DQ314" t="e">
        <f>Europe!1312:1312-"n/&gt;!15/"</f>
        <v>#VALUE!</v>
      </c>
      <c r="DR314" t="e">
        <f>Europe!1313:1313-"n/&gt;!150"</f>
        <v>#VALUE!</v>
      </c>
      <c r="DS314" t="e">
        <f>Europe!1314:1314-"n/&gt;!151"</f>
        <v>#VALUE!</v>
      </c>
      <c r="DT314" t="e">
        <f>Europe!1315:1315-"n/&gt;!152"</f>
        <v>#VALUE!</v>
      </c>
      <c r="DU314" t="e">
        <f>Europe!1316:1316-"n/&gt;!153"</f>
        <v>#VALUE!</v>
      </c>
      <c r="DV314" t="e">
        <f>Europe!1317:1317-"n/&gt;!154"</f>
        <v>#VALUE!</v>
      </c>
      <c r="DW314" t="e">
        <f>Europe!1318:1318-"n/&gt;!155"</f>
        <v>#VALUE!</v>
      </c>
      <c r="DX314" t="e">
        <f>Europe!1319:1319-"n/&gt;!156"</f>
        <v>#VALUE!</v>
      </c>
      <c r="DY314" t="e">
        <f>Europe!1320:1320-"n/&gt;!157"</f>
        <v>#VALUE!</v>
      </c>
      <c r="DZ314" t="e">
        <f>Europe!1321:1321-"n/&gt;!158"</f>
        <v>#VALUE!</v>
      </c>
      <c r="EA314" t="e">
        <f>Europe!1322:1322-"n/&gt;!159"</f>
        <v>#VALUE!</v>
      </c>
      <c r="EB314" t="e">
        <f>Europe!1323:1323-"n/&gt;!15:"</f>
        <v>#VALUE!</v>
      </c>
      <c r="EC314" t="e">
        <f>Europe!1324:1324-"n/&gt;!15;"</f>
        <v>#VALUE!</v>
      </c>
      <c r="ED314" t="e">
        <f>Europe!1325:1325-"n/&gt;!15&lt;"</f>
        <v>#VALUE!</v>
      </c>
      <c r="EE314" t="e">
        <f>Europe!1326:1326-"n/&gt;!15="</f>
        <v>#VALUE!</v>
      </c>
      <c r="EF314" t="e">
        <f>Europe!1327:1327-"n/&gt;!15&gt;"</f>
        <v>#VALUE!</v>
      </c>
      <c r="EG314" t="e">
        <f>Europe!1328:1328-"n/&gt;!15?"</f>
        <v>#VALUE!</v>
      </c>
      <c r="EH314" t="e">
        <f>Europe!1329:1329-"n/&gt;!15@"</f>
        <v>#VALUE!</v>
      </c>
      <c r="EI314" t="e">
        <f>Europe!1330:1330-"n/&gt;!15A"</f>
        <v>#VALUE!</v>
      </c>
      <c r="EJ314" t="e">
        <f>Europe!1331:1331-"n/&gt;!15B"</f>
        <v>#VALUE!</v>
      </c>
      <c r="EK314" t="e">
        <f>Europe!1332:1332-"n/&gt;!15C"</f>
        <v>#VALUE!</v>
      </c>
      <c r="EL314" t="e">
        <f>Europe!1333:1333-"n/&gt;!15D"</f>
        <v>#VALUE!</v>
      </c>
      <c r="EM314" t="e">
        <f>Europe!1334:1334-"n/&gt;!15E"</f>
        <v>#VALUE!</v>
      </c>
      <c r="EN314" t="e">
        <f>Europe!1335:1335-"n/&gt;!15F"</f>
        <v>#VALUE!</v>
      </c>
      <c r="EO314" t="e">
        <f>Europe!1336:1336-"n/&gt;!15G"</f>
        <v>#VALUE!</v>
      </c>
      <c r="EP314" t="e">
        <f>Europe!1337:1337-"n/&gt;!15H"</f>
        <v>#VALUE!</v>
      </c>
      <c r="EQ314" t="e">
        <f>Europe!1338:1338-"n/&gt;!15I"</f>
        <v>#VALUE!</v>
      </c>
      <c r="ER314" t="e">
        <f>Europe!1339:1339-"n/&gt;!15J"</f>
        <v>#VALUE!</v>
      </c>
      <c r="ES314" t="e">
        <f>Europe!1340:1340-"n/&gt;!15K"</f>
        <v>#VALUE!</v>
      </c>
      <c r="ET314" t="e">
        <f>Europe!1341:1341-"n/&gt;!15L"</f>
        <v>#VALUE!</v>
      </c>
      <c r="EU314" t="e">
        <f>Europe!1342:1342-"n/&gt;!15M"</f>
        <v>#VALUE!</v>
      </c>
      <c r="EV314" t="e">
        <f>Europe!1343:1343-"n/&gt;!15N"</f>
        <v>#VALUE!</v>
      </c>
      <c r="EW314" t="e">
        <f>Europe!1344:1344-"n/&gt;!15O"</f>
        <v>#VALUE!</v>
      </c>
      <c r="EX314" t="e">
        <f>Europe!1345:1345-"n/&gt;!15P"</f>
        <v>#VALUE!</v>
      </c>
      <c r="EY314" t="e">
        <f>Europe!1346:1346-"n/&gt;!15Q"</f>
        <v>#VALUE!</v>
      </c>
      <c r="EZ314" t="e">
        <f>Europe!1347:1347-"n/&gt;!15R"</f>
        <v>#VALUE!</v>
      </c>
      <c r="FA314" t="e">
        <f>Europe!1348:1348-"n/&gt;!15S"</f>
        <v>#VALUE!</v>
      </c>
      <c r="FB314" t="e">
        <f>Europe!1349:1349-"n/&gt;!15T"</f>
        <v>#VALUE!</v>
      </c>
      <c r="FC314" t="e">
        <f>Europe!1350:1350-"n/&gt;!15U"</f>
        <v>#VALUE!</v>
      </c>
      <c r="FD314" t="e">
        <f>Europe!1351:1351-"n/&gt;!15V"</f>
        <v>#VALUE!</v>
      </c>
      <c r="FE314" t="e">
        <f>Europe!1352:1352-"n/&gt;!15W"</f>
        <v>#VALUE!</v>
      </c>
      <c r="FF314" t="e">
        <f>Europe!1353:1353-"n/&gt;!15X"</f>
        <v>#VALUE!</v>
      </c>
      <c r="FG314" t="e">
        <f>Europe!1354:1354-"n/&gt;!15Y"</f>
        <v>#VALUE!</v>
      </c>
      <c r="FH314" t="e">
        <f>Europe!1355:1355-"n/&gt;!15Z"</f>
        <v>#VALUE!</v>
      </c>
      <c r="FI314" t="e">
        <f>Europe!1356:1356-"n/&gt;!15["</f>
        <v>#VALUE!</v>
      </c>
      <c r="FJ314" t="e">
        <f>Europe!1357:1357-"n/&gt;!15\"</f>
        <v>#VALUE!</v>
      </c>
      <c r="FK314" t="e">
        <f>Europe!1358:1358-"n/&gt;!15]"</f>
        <v>#VALUE!</v>
      </c>
      <c r="FL314" t="e">
        <f>Europe!1359:1359-"n/&gt;!15^"</f>
        <v>#VALUE!</v>
      </c>
      <c r="FM314" t="e">
        <f>Europe!1360:1360-"n/&gt;!15_"</f>
        <v>#VALUE!</v>
      </c>
      <c r="FN314" t="e">
        <f>Europe!1361:1361-"n/&gt;!15`"</f>
        <v>#VALUE!</v>
      </c>
      <c r="FO314" t="e">
        <f>Europe!1362:1362-"n/&gt;!15a"</f>
        <v>#VALUE!</v>
      </c>
      <c r="FP314" t="e">
        <f>Europe!1363:1363-"n/&gt;!15b"</f>
        <v>#VALUE!</v>
      </c>
      <c r="FQ314" t="e">
        <f>Europe!1364:1364-"n/&gt;!15c"</f>
        <v>#VALUE!</v>
      </c>
      <c r="FR314" t="e">
        <f>Europe!1365:1365-"n/&gt;!15d"</f>
        <v>#VALUE!</v>
      </c>
      <c r="FS314" t="e">
        <f>Europe!1366:1366-"n/&gt;!15e"</f>
        <v>#VALUE!</v>
      </c>
      <c r="FT314" t="e">
        <f>Europe!1367:1367-"n/&gt;!15f"</f>
        <v>#VALUE!</v>
      </c>
      <c r="FU314" t="e">
        <f>Europe!1368:1368-"n/&gt;!15g"</f>
        <v>#VALUE!</v>
      </c>
      <c r="FV314" t="e">
        <f>Europe!1369:1369-"n/&gt;!15h"</f>
        <v>#VALUE!</v>
      </c>
      <c r="FW314" t="e">
        <f>Europe!1370:1370-"n/&gt;!15i"</f>
        <v>#VALUE!</v>
      </c>
      <c r="FX314" t="e">
        <f>Europe!1371:1371-"n/&gt;!15j"</f>
        <v>#VALUE!</v>
      </c>
      <c r="FY314" t="e">
        <f>Europe!1372:1372-"n/&gt;!15k"</f>
        <v>#VALUE!</v>
      </c>
      <c r="FZ314" t="e">
        <f>Europe!1373:1373-"n/&gt;!15l"</f>
        <v>#VALUE!</v>
      </c>
      <c r="GA314" t="e">
        <f>Europe!1374:1374-"n/&gt;!15m"</f>
        <v>#VALUE!</v>
      </c>
      <c r="GB314" t="e">
        <f>Europe!1375:1375-"n/&gt;!15n"</f>
        <v>#VALUE!</v>
      </c>
      <c r="GC314" t="e">
        <f>Europe!1376:1376-"n/&gt;!15o"</f>
        <v>#VALUE!</v>
      </c>
      <c r="GD314" t="e">
        <f>Europe!1377:1377-"n/&gt;!15p"</f>
        <v>#VALUE!</v>
      </c>
      <c r="GE314" t="e">
        <f>Europe!1378:1378-"n/&gt;!15q"</f>
        <v>#VALUE!</v>
      </c>
      <c r="GF314" t="e">
        <f>Europe!1379:1379-"n/&gt;!15r"</f>
        <v>#VALUE!</v>
      </c>
      <c r="GG314" t="e">
        <f>Europe!1380:1380-"n/&gt;!15s"</f>
        <v>#VALUE!</v>
      </c>
      <c r="GH314" t="e">
        <f>Europe!1381:1381-"n/&gt;!15t"</f>
        <v>#VALUE!</v>
      </c>
      <c r="GI314" t="e">
        <f>Europe!1382:1382-"n/&gt;!15u"</f>
        <v>#VALUE!</v>
      </c>
      <c r="GJ314" t="e">
        <f>Europe!1383:1383-"n/&gt;!15v"</f>
        <v>#VALUE!</v>
      </c>
      <c r="GK314" t="e">
        <f>Europe!1384:1384-"n/&gt;!15w"</f>
        <v>#VALUE!</v>
      </c>
      <c r="GL314" t="e">
        <f>Europe!1385:1385-"n/&gt;!15x"</f>
        <v>#VALUE!</v>
      </c>
      <c r="GM314" t="e">
        <f>Europe!1386:1386-"n/&gt;!15y"</f>
        <v>#VALUE!</v>
      </c>
      <c r="GN314" t="e">
        <f>Europe!1387:1387-"n/&gt;!15z"</f>
        <v>#VALUE!</v>
      </c>
      <c r="GO314" t="e">
        <f>Europe!1388:1388-"n/&gt;!15{"</f>
        <v>#VALUE!</v>
      </c>
      <c r="GP314" t="e">
        <f>Europe!1389:1389-"n/&gt;!15|"</f>
        <v>#VALUE!</v>
      </c>
      <c r="GQ314" t="e">
        <f>Europe!1390:1390-"n/&gt;!15}"</f>
        <v>#VALUE!</v>
      </c>
      <c r="GR314" t="e">
        <f>Europe!1391:1391-"n/&gt;!15~"</f>
        <v>#VALUE!</v>
      </c>
      <c r="GS314" t="e">
        <f>Europe!1392:1392-"n/&gt;!16#"</f>
        <v>#VALUE!</v>
      </c>
      <c r="GT314" t="e">
        <f>Europe!1393:1393-"n/&gt;!16$"</f>
        <v>#VALUE!</v>
      </c>
      <c r="GU314" t="e">
        <f>Europe!1394:1394-"n/&gt;!16%"</f>
        <v>#VALUE!</v>
      </c>
      <c r="GV314" t="e">
        <f>Europe!1395:1395-"n/&gt;!16&amp;"</f>
        <v>#VALUE!</v>
      </c>
      <c r="GW314" t="e">
        <f>Europe!1396:1396-"n/&gt;!16'"</f>
        <v>#VALUE!</v>
      </c>
      <c r="GX314" t="e">
        <f>Europe!1397:1397-"n/&gt;!16("</f>
        <v>#VALUE!</v>
      </c>
      <c r="GY314" t="e">
        <f>Europe!1398:1398-"n/&gt;!16)"</f>
        <v>#VALUE!</v>
      </c>
      <c r="GZ314" t="e">
        <f>Europe!1399:1399-"n/&gt;!16."</f>
        <v>#VALUE!</v>
      </c>
      <c r="HA314" t="e">
        <f>Europe!1400:1400-"n/&gt;!16/"</f>
        <v>#VALUE!</v>
      </c>
      <c r="HB314" t="e">
        <f>Europe!1401:1401-"n/&gt;!160"</f>
        <v>#VALUE!</v>
      </c>
      <c r="HC314" t="e">
        <f>Europe!1402:1402-"n/&gt;!161"</f>
        <v>#VALUE!</v>
      </c>
      <c r="HD314" t="e">
        <f>Europe!1403:1403-"n/&gt;!162"</f>
        <v>#VALUE!</v>
      </c>
      <c r="HE314" t="e">
        <f>Europe!1404:1404-"n/&gt;!163"</f>
        <v>#VALUE!</v>
      </c>
      <c r="HF314" t="e">
        <f>Europe!1405:1405-"n/&gt;!164"</f>
        <v>#VALUE!</v>
      </c>
      <c r="HG314" t="e">
        <f>Europe!1406:1406-"n/&gt;!165"</f>
        <v>#VALUE!</v>
      </c>
      <c r="HH314" t="e">
        <f>Europe!1407:1407-"n/&gt;!166"</f>
        <v>#VALUE!</v>
      </c>
      <c r="HI314" t="e">
        <f>Europe!1408:1408-"n/&gt;!167"</f>
        <v>#VALUE!</v>
      </c>
      <c r="HJ314" t="e">
        <f>Europe!1409:1409-"n/&gt;!168"</f>
        <v>#VALUE!</v>
      </c>
      <c r="HK314" t="e">
        <f>Europe!1410:1410-"n/&gt;!169"</f>
        <v>#VALUE!</v>
      </c>
      <c r="HL314" t="e">
        <f>Europe!1411:1411-"n/&gt;!16:"</f>
        <v>#VALUE!</v>
      </c>
      <c r="HM314" t="e">
        <f>Europe!1412:1412-"n/&gt;!16;"</f>
        <v>#VALUE!</v>
      </c>
      <c r="HN314" t="e">
        <f>Europe!1413:1413-"n/&gt;!16&lt;"</f>
        <v>#VALUE!</v>
      </c>
      <c r="HO314" t="e">
        <f>Europe!1414:1414-"n/&gt;!16="</f>
        <v>#VALUE!</v>
      </c>
      <c r="HP314" t="e">
        <f>Europe!1415:1415-"n/&gt;!16&gt;"</f>
        <v>#VALUE!</v>
      </c>
      <c r="HQ314" t="e">
        <f>Europe!1416:1416-"n/&gt;!16?"</f>
        <v>#VALUE!</v>
      </c>
      <c r="HR314" t="e">
        <f>Europe!1417:1417-"n/&gt;!16@"</f>
        <v>#VALUE!</v>
      </c>
      <c r="HS314" t="e">
        <f>Europe!1418:1418-"n/&gt;!16A"</f>
        <v>#VALUE!</v>
      </c>
      <c r="HT314" t="e">
        <f>Europe!1419:1419-"n/&gt;!16B"</f>
        <v>#VALUE!</v>
      </c>
      <c r="HU314" t="e">
        <f>Europe!1420:1420-"n/&gt;!16C"</f>
        <v>#VALUE!</v>
      </c>
      <c r="HV314" t="e">
        <f>Europe!1421:1421-"n/&gt;!16D"</f>
        <v>#VALUE!</v>
      </c>
      <c r="HW314" t="e">
        <f>Europe!1422:1422-"n/&gt;!16E"</f>
        <v>#VALUE!</v>
      </c>
      <c r="HX314" t="e">
        <f>Europe!1423:1423-"n/&gt;!16F"</f>
        <v>#VALUE!</v>
      </c>
      <c r="HY314" t="e">
        <f>Europe!1424:1424-"n/&gt;!16G"</f>
        <v>#VALUE!</v>
      </c>
      <c r="HZ314" t="e">
        <f>Europe!1425:1425-"n/&gt;!16H"</f>
        <v>#VALUE!</v>
      </c>
      <c r="IA314" t="e">
        <f>Europe!1426:1426-"n/&gt;!16I"</f>
        <v>#VALUE!</v>
      </c>
      <c r="IB314" t="e">
        <f>Europe!1427:1427-"n/&gt;!16J"</f>
        <v>#VALUE!</v>
      </c>
      <c r="IC314" t="e">
        <f>Europe!1428:1428-"n/&gt;!16K"</f>
        <v>#VALUE!</v>
      </c>
      <c r="ID314" t="e">
        <f>Europe!1429:1429-"n/&gt;!16L"</f>
        <v>#VALUE!</v>
      </c>
      <c r="IE314" t="e">
        <f>Europe!1430:1430-"n/&gt;!16M"</f>
        <v>#VALUE!</v>
      </c>
      <c r="IF314" t="e">
        <f>Europe!1431:1431-"n/&gt;!16N"</f>
        <v>#VALUE!</v>
      </c>
      <c r="IG314" t="e">
        <f>Europe!1432:1432-"n/&gt;!16O"</f>
        <v>#VALUE!</v>
      </c>
      <c r="IH314" t="e">
        <f>Europe!1433:1433-"n/&gt;!16P"</f>
        <v>#VALUE!</v>
      </c>
      <c r="II314" t="e">
        <f>Europe!1434:1434-"n/&gt;!16Q"</f>
        <v>#VALUE!</v>
      </c>
      <c r="IJ314" t="e">
        <f>Europe!1435:1435-"n/&gt;!16R"</f>
        <v>#VALUE!</v>
      </c>
      <c r="IK314" t="e">
        <f>Europe!1436:1436-"n/&gt;!16S"</f>
        <v>#VALUE!</v>
      </c>
      <c r="IL314" t="e">
        <f>Europe!1437:1437-"n/&gt;!16T"</f>
        <v>#VALUE!</v>
      </c>
      <c r="IM314" t="e">
        <f>Europe!1438:1438-"n/&gt;!16U"</f>
        <v>#VALUE!</v>
      </c>
      <c r="IN314" t="e">
        <f>Europe!1439:1439-"n/&gt;!16V"</f>
        <v>#VALUE!</v>
      </c>
      <c r="IO314" t="e">
        <f>Europe!1440:1440-"n/&gt;!16W"</f>
        <v>#VALUE!</v>
      </c>
      <c r="IP314" t="e">
        <f>Europe!1441:1441-"n/&gt;!16X"</f>
        <v>#VALUE!</v>
      </c>
      <c r="IQ314" t="e">
        <f>Europe!1442:1442-"n/&gt;!16Y"</f>
        <v>#VALUE!</v>
      </c>
      <c r="IR314" t="e">
        <f>Europe!1443:1443-"n/&gt;!16Z"</f>
        <v>#VALUE!</v>
      </c>
      <c r="IS314" t="e">
        <f>Europe!1444:1444-"n/&gt;!16["</f>
        <v>#VALUE!</v>
      </c>
      <c r="IT314" t="e">
        <f>Europe!1445:1445-"n/&gt;!16\"</f>
        <v>#VALUE!</v>
      </c>
      <c r="IU314" t="e">
        <f>Europe!1446:1446-"n/&gt;!16]"</f>
        <v>#VALUE!</v>
      </c>
      <c r="IV314" t="e">
        <f>Europe!1447:1447-"n/&gt;!16^"</f>
        <v>#VALUE!</v>
      </c>
    </row>
    <row r="315" spans="6:256" x14ac:dyDescent="0.35">
      <c r="F315" t="e">
        <f>Europe!1448:1448-"n/&gt;!16_"</f>
        <v>#VALUE!</v>
      </c>
      <c r="G315" t="e">
        <f>Europe!1449:1449-"n/&gt;!16`"</f>
        <v>#VALUE!</v>
      </c>
      <c r="H315" t="e">
        <f>Europe!1450:1450-"n/&gt;!16a"</f>
        <v>#VALUE!</v>
      </c>
      <c r="I315" t="e">
        <f>Europe!1451:1451-"n/&gt;!16b"</f>
        <v>#VALUE!</v>
      </c>
      <c r="J315" t="e">
        <f>Europe!1452:1452-"n/&gt;!16c"</f>
        <v>#VALUE!</v>
      </c>
      <c r="K315" t="e">
        <f>Europe!1453:1453-"n/&gt;!16d"</f>
        <v>#VALUE!</v>
      </c>
      <c r="L315" t="e">
        <f>Europe!1454:1454-"n/&gt;!16e"</f>
        <v>#VALUE!</v>
      </c>
      <c r="M315" t="e">
        <f>Europe!1455:1455-"n/&gt;!16f"</f>
        <v>#VALUE!</v>
      </c>
      <c r="N315" t="e">
        <f>Europe!1456:1456-"n/&gt;!16g"</f>
        <v>#VALUE!</v>
      </c>
      <c r="O315" t="e">
        <f>Europe!1457:1457-"n/&gt;!16h"</f>
        <v>#VALUE!</v>
      </c>
      <c r="P315" t="e">
        <f>Europe!1458:1458-"n/&gt;!16i"</f>
        <v>#VALUE!</v>
      </c>
      <c r="Q315" t="e">
        <f>Europe!1459:1459-"n/&gt;!16j"</f>
        <v>#VALUE!</v>
      </c>
      <c r="R315" t="e">
        <f>Europe!1460:1460-"n/&gt;!16k"</f>
        <v>#VALUE!</v>
      </c>
      <c r="S315" t="e">
        <f>Europe!1461:1461-"n/&gt;!16l"</f>
        <v>#VALUE!</v>
      </c>
      <c r="T315" t="e">
        <f>Europe!1462:1462-"n/&gt;!16m"</f>
        <v>#VALUE!</v>
      </c>
      <c r="U315" t="e">
        <f>Europe!1463:1463-"n/&gt;!16n"</f>
        <v>#VALUE!</v>
      </c>
      <c r="V315" t="e">
        <f>Europe!1464:1464-"n/&gt;!16o"</f>
        <v>#VALUE!</v>
      </c>
      <c r="W315" t="e">
        <f>Europe!1465:1465-"n/&gt;!16p"</f>
        <v>#VALUE!</v>
      </c>
      <c r="X315" t="e">
        <f>Europe!1466:1466-"n/&gt;!16q"</f>
        <v>#VALUE!</v>
      </c>
      <c r="Y315" t="e">
        <f>Europe!1467:1467-"n/&gt;!16r"</f>
        <v>#VALUE!</v>
      </c>
      <c r="Z315" t="e">
        <f>Europe!1468:1468-"n/&gt;!16s"</f>
        <v>#VALUE!</v>
      </c>
      <c r="AA315" t="e">
        <f>Europe!1469:1469-"n/&gt;!16t"</f>
        <v>#VALUE!</v>
      </c>
      <c r="AB315" t="e">
        <f>Europe!1470:1470-"n/&gt;!16u"</f>
        <v>#VALUE!</v>
      </c>
      <c r="AC315" t="e">
        <f>Europe!1471:1471-"n/&gt;!16v"</f>
        <v>#VALUE!</v>
      </c>
      <c r="AD315" t="e">
        <f>Europe!1472:1472-"n/&gt;!16w"</f>
        <v>#VALUE!</v>
      </c>
      <c r="AE315" t="e">
        <f>Europe!1473:1473-"n/&gt;!16x"</f>
        <v>#VALUE!</v>
      </c>
      <c r="AF315" t="e">
        <f>Europe!1474:1474-"n/&gt;!16y"</f>
        <v>#VALUE!</v>
      </c>
      <c r="AG315" t="e">
        <f>Europe!1475:1475-"n/&gt;!16z"</f>
        <v>#VALUE!</v>
      </c>
      <c r="AH315" t="e">
        <f>Europe!1476:1476-"n/&gt;!16{"</f>
        <v>#VALUE!</v>
      </c>
      <c r="AI315" t="e">
        <f>Europe!1477:1477-"n/&gt;!16|"</f>
        <v>#VALUE!</v>
      </c>
      <c r="AJ315" t="e">
        <f>Europe!1478:1478-"n/&gt;!16}"</f>
        <v>#VALUE!</v>
      </c>
      <c r="AK315" t="e">
        <f>Europe!1479:1479-"n/&gt;!16~"</f>
        <v>#VALUE!</v>
      </c>
      <c r="AL315" t="e">
        <f>Europe!1480:1480-"n/&gt;!17#"</f>
        <v>#VALUE!</v>
      </c>
      <c r="AM315" t="e">
        <f>Europe!1481:1481-"n/&gt;!17$"</f>
        <v>#VALUE!</v>
      </c>
      <c r="AN315" t="e">
        <f>Europe!1482:1482-"n/&gt;!17%"</f>
        <v>#VALUE!</v>
      </c>
      <c r="AO315" t="e">
        <f>Europe!1483:1483-"n/&gt;!17&amp;"</f>
        <v>#VALUE!</v>
      </c>
      <c r="AP315" t="e">
        <f>Europe!1484:1484-"n/&gt;!17'"</f>
        <v>#VALUE!</v>
      </c>
      <c r="AQ315" t="e">
        <f>Europe!1485:1485-"n/&gt;!17("</f>
        <v>#VALUE!</v>
      </c>
      <c r="AR315" t="e">
        <f>Europe!1486:1486-"n/&gt;!17)"</f>
        <v>#VALUE!</v>
      </c>
      <c r="AS315" t="e">
        <f>Europe!1487:1487-"n/&gt;!17."</f>
        <v>#VALUE!</v>
      </c>
      <c r="AT315" t="e">
        <f>Europe!1488:1488-"n/&gt;!17/"</f>
        <v>#VALUE!</v>
      </c>
      <c r="AU315" t="e">
        <f>Europe!1489:1489-"n/&gt;!170"</f>
        <v>#VALUE!</v>
      </c>
      <c r="AV315" t="e">
        <f>Europe!1490:1490-"n/&gt;!171"</f>
        <v>#VALUE!</v>
      </c>
      <c r="AW315" t="e">
        <f>Europe!1491:1491-"n/&gt;!172"</f>
        <v>#VALUE!</v>
      </c>
      <c r="AX315" t="e">
        <f>Europe!1492:1492-"n/&gt;!173"</f>
        <v>#VALUE!</v>
      </c>
      <c r="AY315" t="e">
        <f>Europe!1493:1493-"n/&gt;!174"</f>
        <v>#VALUE!</v>
      </c>
      <c r="AZ315" t="e">
        <f>Europe!1494:1494-"n/&gt;!175"</f>
        <v>#VALUE!</v>
      </c>
      <c r="BA315" t="e">
        <f>Europe!1495:1495-"n/&gt;!176"</f>
        <v>#VALUE!</v>
      </c>
      <c r="BB315" t="e">
        <f>Europe!1496:1496-"n/&gt;!177"</f>
        <v>#VALUE!</v>
      </c>
      <c r="BC315" t="e">
        <f>Europe!1497:1497-"n/&gt;!178"</f>
        <v>#VALUE!</v>
      </c>
      <c r="BD315" t="e">
        <f>Europe!1498:1498-"n/&gt;!179"</f>
        <v>#VALUE!</v>
      </c>
      <c r="BE315" t="e">
        <f>Europe!1499:1499-"n/&gt;!17:"</f>
        <v>#VALUE!</v>
      </c>
      <c r="BF315" t="e">
        <f>Europe!1500:1500-"n/&gt;!17;"</f>
        <v>#VALUE!</v>
      </c>
      <c r="BG315" t="e">
        <f>Europe!1501:1501-"n/&gt;!17&lt;"</f>
        <v>#VALUE!</v>
      </c>
      <c r="BH315" t="e">
        <f>Europe!1502:1502-"n/&gt;!17="</f>
        <v>#VALUE!</v>
      </c>
      <c r="BI315" t="e">
        <f>Europe!1503:1503-"n/&gt;!17&gt;"</f>
        <v>#VALUE!</v>
      </c>
      <c r="BJ315" t="e">
        <f>Europe!1504:1504-"n/&gt;!17?"</f>
        <v>#VALUE!</v>
      </c>
      <c r="BK315" t="e">
        <f>Europe!1505:1505-"n/&gt;!17@"</f>
        <v>#VALUE!</v>
      </c>
      <c r="BL315" t="e">
        <f>Europe!1506:1506-"n/&gt;!17A"</f>
        <v>#VALUE!</v>
      </c>
      <c r="BM315" t="e">
        <f>Europe!1507:1507-"n/&gt;!17B"</f>
        <v>#VALUE!</v>
      </c>
      <c r="BN315" t="e">
        <f>Europe!1508:1508-"n/&gt;!17C"</f>
        <v>#VALUE!</v>
      </c>
      <c r="BO315" t="e">
        <f>Europe!1509:1509-"n/&gt;!17D"</f>
        <v>#VALUE!</v>
      </c>
      <c r="BP315" t="e">
        <f>Europe!1510:1510-"n/&gt;!17E"</f>
        <v>#VALUE!</v>
      </c>
      <c r="BQ315" t="e">
        <f>Europe!1511:1511-"n/&gt;!17F"</f>
        <v>#VALUE!</v>
      </c>
      <c r="BR315" t="e">
        <f>Europe!1512:1512-"n/&gt;!17G"</f>
        <v>#VALUE!</v>
      </c>
      <c r="BS315" t="e">
        <f>Europe!1513:1513-"n/&gt;!17H"</f>
        <v>#VALUE!</v>
      </c>
      <c r="BT315" t="e">
        <f>Europe!1514:1514-"n/&gt;!17I"</f>
        <v>#VALUE!</v>
      </c>
      <c r="BU315" t="e">
        <f>Europe!1515:1515-"n/&gt;!17J"</f>
        <v>#VALUE!</v>
      </c>
      <c r="BV315" t="e">
        <f>Europe!1516:1516-"n/&gt;!17K"</f>
        <v>#VALUE!</v>
      </c>
      <c r="BW315" t="e">
        <f>Europe!1517:1517-"n/&gt;!17L"</f>
        <v>#VALUE!</v>
      </c>
      <c r="BX315" t="e">
        <f>Europe!1518:1518-"n/&gt;!17M"</f>
        <v>#VALUE!</v>
      </c>
      <c r="BY315" t="e">
        <f>Europe!1519:1519-"n/&gt;!17N"</f>
        <v>#VALUE!</v>
      </c>
      <c r="BZ315" t="e">
        <f>Europe!1520:1520-"n/&gt;!17O"</f>
        <v>#VALUE!</v>
      </c>
      <c r="CA315" t="e">
        <f>Europe!1521:1521-"n/&gt;!17P"</f>
        <v>#VALUE!</v>
      </c>
      <c r="CB315" t="e">
        <f>Europe!1522:1522-"n/&gt;!17Q"</f>
        <v>#VALUE!</v>
      </c>
      <c r="CC315" t="e">
        <f>Europe!1523:1523-"n/&gt;!17R"</f>
        <v>#VALUE!</v>
      </c>
      <c r="CD315" t="e">
        <f>Europe!1524:1524-"n/&gt;!17S"</f>
        <v>#VALUE!</v>
      </c>
      <c r="CE315" t="e">
        <f>Europe!1525:1525-"n/&gt;!17T"</f>
        <v>#VALUE!</v>
      </c>
      <c r="CF315" t="e">
        <f>Europe!1526:1526-"n/&gt;!17U"</f>
        <v>#VALUE!</v>
      </c>
      <c r="CG315" t="e">
        <f>Europe!1527:1527-"n/&gt;!17V"</f>
        <v>#VALUE!</v>
      </c>
      <c r="CH315" t="e">
        <f>Europe!1528:1528-"n/&gt;!17W"</f>
        <v>#VALUE!</v>
      </c>
      <c r="CI315" t="e">
        <f>Europe!1529:1529-"n/&gt;!17X"</f>
        <v>#VALUE!</v>
      </c>
      <c r="CJ315" t="e">
        <f>Europe!1530:1530-"n/&gt;!17Y"</f>
        <v>#VALUE!</v>
      </c>
      <c r="CK315" t="e">
        <f>Europe!1531:1531-"n/&gt;!17Z"</f>
        <v>#VALUE!</v>
      </c>
      <c r="CL315" t="e">
        <f>Europe!1532:1532-"n/&gt;!17["</f>
        <v>#VALUE!</v>
      </c>
      <c r="CM315" t="e">
        <f>Europe!1533:1533-"n/&gt;!17\"</f>
        <v>#VALUE!</v>
      </c>
      <c r="CN315" t="e">
        <f>Europe!1534:1534-"n/&gt;!17]"</f>
        <v>#VALUE!</v>
      </c>
      <c r="CO315" t="e">
        <f>Europe!1535:1535-"n/&gt;!17^"</f>
        <v>#VALUE!</v>
      </c>
      <c r="CP315" t="e">
        <f>Europe!1536:1536-"n/&gt;!17_"</f>
        <v>#VALUE!</v>
      </c>
      <c r="CQ315" t="e">
        <f>Europe!1537:1537-"n/&gt;!17`"</f>
        <v>#VALUE!</v>
      </c>
      <c r="CR315" t="e">
        <f>Europe!1538:1538-"n/&gt;!17a"</f>
        <v>#VALUE!</v>
      </c>
      <c r="CS315" t="e">
        <f>Europe!1539:1539-"n/&gt;!17b"</f>
        <v>#VALUE!</v>
      </c>
      <c r="CT315" t="e">
        <f>Europe!1540:1540-"n/&gt;!17c"</f>
        <v>#VALUE!</v>
      </c>
      <c r="CU315" t="e">
        <f>Europe!1541:1541-"n/&gt;!17d"</f>
        <v>#VALUE!</v>
      </c>
      <c r="CV315" t="e">
        <f>Europe!1542:1542-"n/&gt;!17e"</f>
        <v>#VALUE!</v>
      </c>
      <c r="CW315" t="e">
        <f>Europe!1543:1543-"n/&gt;!17f"</f>
        <v>#VALUE!</v>
      </c>
      <c r="CX315" t="e">
        <f>Europe!1544:1544-"n/&gt;!17g"</f>
        <v>#VALUE!</v>
      </c>
      <c r="CY315" t="e">
        <f>Europe!1545:1545-"n/&gt;!17h"</f>
        <v>#VALUE!</v>
      </c>
      <c r="CZ315" t="e">
        <f>Europe!1546:1546-"n/&gt;!17i"</f>
        <v>#VALUE!</v>
      </c>
      <c r="DA315" t="e">
        <f>Europe!1547:1547-"n/&gt;!17j"</f>
        <v>#VALUE!</v>
      </c>
      <c r="DB315" t="e">
        <f>Europe!1548:1548-"n/&gt;!17k"</f>
        <v>#VALUE!</v>
      </c>
      <c r="DC315" t="e">
        <f>Europe!1549:1549-"n/&gt;!17l"</f>
        <v>#VALUE!</v>
      </c>
      <c r="DD315" t="e">
        <f>Europe!1550:1550-"n/&gt;!17m"</f>
        <v>#VALUE!</v>
      </c>
      <c r="DE315" t="e">
        <f>Europe!1551:1551-"n/&gt;!17n"</f>
        <v>#VALUE!</v>
      </c>
      <c r="DF315" t="e">
        <f>Europe!1552:1552-"n/&gt;!17o"</f>
        <v>#VALUE!</v>
      </c>
      <c r="DG315" t="e">
        <f>Europe!1553:1553-"n/&gt;!17p"</f>
        <v>#VALUE!</v>
      </c>
      <c r="DH315" t="e">
        <f>Europe!1554:1554-"n/&gt;!17q"</f>
        <v>#VALUE!</v>
      </c>
      <c r="DI315" t="e">
        <f>Europe!1555:1555-"n/&gt;!17r"</f>
        <v>#VALUE!</v>
      </c>
      <c r="DJ315" t="e">
        <f>Europe!1556:1556-"n/&gt;!17s"</f>
        <v>#VALUE!</v>
      </c>
      <c r="DK315" t="e">
        <f>Europe!1557:1557-"n/&gt;!17t"</f>
        <v>#VALUE!</v>
      </c>
      <c r="DL315" t="e">
        <f>Europe!1558:1558-"n/&gt;!17u"</f>
        <v>#VALUE!</v>
      </c>
      <c r="DM315" t="e">
        <f>Europe!1559:1559-"n/&gt;!17v"</f>
        <v>#VALUE!</v>
      </c>
      <c r="DN315" t="e">
        <f>Europe!1560:1560-"n/&gt;!17w"</f>
        <v>#VALUE!</v>
      </c>
      <c r="DO315" t="e">
        <f>Europe!1561:1561-"n/&gt;!17x"</f>
        <v>#VALUE!</v>
      </c>
      <c r="DP315" t="e">
        <f>Europe!1562:1562-"n/&gt;!17y"</f>
        <v>#VALUE!</v>
      </c>
      <c r="DQ315" t="e">
        <f>Europe!1563:1563-"n/&gt;!17z"</f>
        <v>#VALUE!</v>
      </c>
      <c r="DR315" t="e">
        <f>Europe!1564:1564-"n/&gt;!17{"</f>
        <v>#VALUE!</v>
      </c>
      <c r="DS315" t="e">
        <f>Europe!1565:1565-"n/&gt;!17|"</f>
        <v>#VALUE!</v>
      </c>
      <c r="DT315" t="e">
        <f>Europe!1566:1566-"n/&gt;!17}"</f>
        <v>#VALUE!</v>
      </c>
      <c r="DU315" t="e">
        <f>Europe!1567:1567-"n/&gt;!17~"</f>
        <v>#VALUE!</v>
      </c>
      <c r="DV315" t="e">
        <f>Europe!1568:1568-"n/&gt;!18#"</f>
        <v>#VALUE!</v>
      </c>
      <c r="DW315" t="e">
        <f>Europe!1569:1569-"n/&gt;!18$"</f>
        <v>#VALUE!</v>
      </c>
      <c r="DX315" t="e">
        <f>Europe!1570:1570-"n/&gt;!18%"</f>
        <v>#VALUE!</v>
      </c>
      <c r="DY315" t="e">
        <f>Europe!1571:1571-"n/&gt;!18&amp;"</f>
        <v>#VALUE!</v>
      </c>
      <c r="DZ315" t="e">
        <f>Europe!1572:1572-"n/&gt;!18'"</f>
        <v>#VALUE!</v>
      </c>
      <c r="EA315" t="e">
        <f>Europe!1573:1573-"n/&gt;!18("</f>
        <v>#VALUE!</v>
      </c>
      <c r="EB315" t="e">
        <f>Europe!1574:1574-"n/&gt;!18)"</f>
        <v>#VALUE!</v>
      </c>
      <c r="EC315" t="e">
        <f>Europe!1575:1575-"n/&gt;!18."</f>
        <v>#VALUE!</v>
      </c>
      <c r="ED315" t="e">
        <f>Europe!1576:1576-"n/&gt;!18/"</f>
        <v>#VALUE!</v>
      </c>
      <c r="EE315" t="e">
        <f>Europe!1577:1577-"n/&gt;!180"</f>
        <v>#VALUE!</v>
      </c>
      <c r="EF315" t="e">
        <f>Europe!1578:1578-"n/&gt;!181"</f>
        <v>#VALUE!</v>
      </c>
      <c r="EG315" t="e">
        <f>Europe!1579:1579-"n/&gt;!182"</f>
        <v>#VALUE!</v>
      </c>
      <c r="EH315" t="e">
        <f>Europe!1580:1580-"n/&gt;!183"</f>
        <v>#VALUE!</v>
      </c>
      <c r="EI315" t="e">
        <f>Europe!1581:1581-"n/&gt;!184"</f>
        <v>#VALUE!</v>
      </c>
      <c r="EJ315" t="e">
        <f>Europe!1582:1582-"n/&gt;!185"</f>
        <v>#VALUE!</v>
      </c>
      <c r="EK315" t="e">
        <f>Europe!1583:1583-"n/&gt;!186"</f>
        <v>#VALUE!</v>
      </c>
      <c r="EL315" t="e">
        <f>Europe!1584:1584-"n/&gt;!187"</f>
        <v>#VALUE!</v>
      </c>
      <c r="EM315" t="e">
        <f>Europe!1585:1585-"n/&gt;!188"</f>
        <v>#VALUE!</v>
      </c>
      <c r="EN315" t="e">
        <f>Europe!1586:1586-"n/&gt;!189"</f>
        <v>#VALUE!</v>
      </c>
      <c r="EO315" t="e">
        <f>Europe!1587:1587-"n/&gt;!18:"</f>
        <v>#VALUE!</v>
      </c>
      <c r="EP315" t="e">
        <f>Europe!1588:1588-"n/&gt;!18;"</f>
        <v>#VALUE!</v>
      </c>
      <c r="EQ315" t="e">
        <f>Europe!1589:1589-"n/&gt;!18&lt;"</f>
        <v>#VALUE!</v>
      </c>
      <c r="ER315" t="e">
        <f>Europe!1590:1590-"n/&gt;!18="</f>
        <v>#VALUE!</v>
      </c>
      <c r="ES315" t="e">
        <f>Europe!1591:1591-"n/&gt;!18&gt;"</f>
        <v>#VALUE!</v>
      </c>
      <c r="ET315" t="e">
        <f>Europe!1592:1592-"n/&gt;!18?"</f>
        <v>#VALUE!</v>
      </c>
      <c r="EU315" t="e">
        <f>Europe!1593:1593-"n/&gt;!18@"</f>
        <v>#VALUE!</v>
      </c>
      <c r="EV315" t="e">
        <f>Europe!1594:1594-"n/&gt;!18A"</f>
        <v>#VALUE!</v>
      </c>
      <c r="EW315" t="e">
        <f>Europe!1595:1595-"n/&gt;!18B"</f>
        <v>#VALUE!</v>
      </c>
      <c r="EX315" t="e">
        <f>Europe!1596:1596-"n/&gt;!18C"</f>
        <v>#VALUE!</v>
      </c>
      <c r="EY315" t="e">
        <f>Europe!1597:1597-"n/&gt;!18D"</f>
        <v>#VALUE!</v>
      </c>
      <c r="EZ315" t="e">
        <f>Europe!1598:1598-"n/&gt;!18E"</f>
        <v>#VALUE!</v>
      </c>
      <c r="FA315" t="e">
        <f>Europe!1599:1599-"n/&gt;!18F"</f>
        <v>#VALUE!</v>
      </c>
      <c r="FB315" t="e">
        <f>Europe!1600:1600-"n/&gt;!18G"</f>
        <v>#VALUE!</v>
      </c>
      <c r="FC315" t="e">
        <f>Europe!1601:1601-"n/&gt;!18H"</f>
        <v>#VALUE!</v>
      </c>
      <c r="FD315" t="e">
        <f>Europe!1602:1602-"n/&gt;!18I"</f>
        <v>#VALUE!</v>
      </c>
      <c r="FE315" t="e">
        <f>Europe!1603:1603-"n/&gt;!18J"</f>
        <v>#VALUE!</v>
      </c>
      <c r="FF315" t="e">
        <f>Europe!1604:1604-"n/&gt;!18K"</f>
        <v>#VALUE!</v>
      </c>
      <c r="FG315" t="e">
        <f>Europe!1605:1605-"n/&gt;!18L"</f>
        <v>#VALUE!</v>
      </c>
      <c r="FH315" t="e">
        <f>Europe!1606:1606-"n/&gt;!18M"</f>
        <v>#VALUE!</v>
      </c>
      <c r="FI315" t="e">
        <f>Europe!1607:1607-"n/&gt;!18N"</f>
        <v>#VALUE!</v>
      </c>
      <c r="FJ315" t="e">
        <f>Europe!1608:1608-"n/&gt;!18O"</f>
        <v>#VALUE!</v>
      </c>
      <c r="FK315" t="e">
        <f>Europe!1609:1609-"n/&gt;!18P"</f>
        <v>#VALUE!</v>
      </c>
      <c r="FL315" t="e">
        <f>Europe!1610:1610-"n/&gt;!18Q"</f>
        <v>#VALUE!</v>
      </c>
      <c r="FM315" t="e">
        <f>Europe!1611:1611-"n/&gt;!18R"</f>
        <v>#VALUE!</v>
      </c>
      <c r="FN315" t="e">
        <f>Europe!1612:1612-"n/&gt;!18S"</f>
        <v>#VALUE!</v>
      </c>
      <c r="FO315" t="e">
        <f>Europe!1613:1613-"n/&gt;!18T"</f>
        <v>#VALUE!</v>
      </c>
      <c r="FP315" t="e">
        <f>Europe!1614:1614-"n/&gt;!18U"</f>
        <v>#VALUE!</v>
      </c>
      <c r="FQ315" t="e">
        <f>Europe!1615:1615-"n/&gt;!18V"</f>
        <v>#VALUE!</v>
      </c>
      <c r="FR315" t="e">
        <f>Europe!1616:1616-"n/&gt;!18W"</f>
        <v>#VALUE!</v>
      </c>
      <c r="FS315" t="e">
        <f>Europe!1617:1617-"n/&gt;!18X"</f>
        <v>#VALUE!</v>
      </c>
      <c r="FT315" t="e">
        <f>Europe!1618:1618-"n/&gt;!18Y"</f>
        <v>#VALUE!</v>
      </c>
      <c r="FU315" t="e">
        <f>Europe!1619:1619-"n/&gt;!18Z"</f>
        <v>#VALUE!</v>
      </c>
      <c r="FV315" t="e">
        <f>Europe!1620:1620-"n/&gt;!18["</f>
        <v>#VALUE!</v>
      </c>
      <c r="FW315" t="e">
        <f>Europe!1621:1621-"n/&gt;!18\"</f>
        <v>#VALUE!</v>
      </c>
      <c r="FX315" t="e">
        <f>Europe!1622:1622-"n/&gt;!18]"</f>
        <v>#VALUE!</v>
      </c>
      <c r="FY315" t="e">
        <f>Europe!1623:1623-"n/&gt;!18^"</f>
        <v>#VALUE!</v>
      </c>
      <c r="FZ315" t="e">
        <f>Europe!1624:1624-"n/&gt;!18_"</f>
        <v>#VALUE!</v>
      </c>
      <c r="GA315" t="e">
        <f>Europe!1625:1625-"n/&gt;!18`"</f>
        <v>#VALUE!</v>
      </c>
      <c r="GB315" t="e">
        <f>Europe!1626:1626-"n/&gt;!18a"</f>
        <v>#VALUE!</v>
      </c>
      <c r="GC315" t="e">
        <f>Europe!1627:1627-"n/&gt;!18b"</f>
        <v>#VALUE!</v>
      </c>
      <c r="GD315" t="e">
        <f>Europe!1628:1628-"n/&gt;!18c"</f>
        <v>#VALUE!</v>
      </c>
      <c r="GE315" t="e">
        <f>Europe!1629:1629-"n/&gt;!18d"</f>
        <v>#VALUE!</v>
      </c>
      <c r="GF315" t="e">
        <f>Europe!1630:1630-"n/&gt;!18e"</f>
        <v>#VALUE!</v>
      </c>
      <c r="GG315" t="e">
        <f>Europe!1631:1631-"n/&gt;!18f"</f>
        <v>#VALUE!</v>
      </c>
      <c r="GH315" t="e">
        <f>Europe!1632:1632-"n/&gt;!18g"</f>
        <v>#VALUE!</v>
      </c>
      <c r="GI315" t="e">
        <f>Europe!1633:1633-"n/&gt;!18h"</f>
        <v>#VALUE!</v>
      </c>
      <c r="GJ315" t="e">
        <f>Europe!1634:1634-"n/&gt;!18i"</f>
        <v>#VALUE!</v>
      </c>
      <c r="GK315" t="e">
        <f>Europe!1635:1635-"n/&gt;!18j"</f>
        <v>#VALUE!</v>
      </c>
      <c r="GL315" t="e">
        <f>Europe!1636:1636-"n/&gt;!18k"</f>
        <v>#VALUE!</v>
      </c>
      <c r="GM315" t="e">
        <f>Europe!1637:1637-"n/&gt;!18l"</f>
        <v>#VALUE!</v>
      </c>
      <c r="GN315" t="e">
        <f>Europe!1638:1638-"n/&gt;!18m"</f>
        <v>#VALUE!</v>
      </c>
      <c r="GO315" t="e">
        <f>Europe!1639:1639-"n/&gt;!18n"</f>
        <v>#VALUE!</v>
      </c>
      <c r="GP315" t="e">
        <f>Europe!1640:1640-"n/&gt;!18o"</f>
        <v>#VALUE!</v>
      </c>
      <c r="GQ315" t="e">
        <f>Europe!1641:1641-"n/&gt;!18p"</f>
        <v>#VALUE!</v>
      </c>
      <c r="GR315" t="e">
        <f>Europe!1642:1642-"n/&gt;!18q"</f>
        <v>#VALUE!</v>
      </c>
      <c r="GS315" t="e">
        <f>Europe!1643:1643-"n/&gt;!18r"</f>
        <v>#VALUE!</v>
      </c>
      <c r="GT315" t="e">
        <f>Europe!1644:1644-"n/&gt;!18s"</f>
        <v>#VALUE!</v>
      </c>
      <c r="GU315" t="e">
        <f>Europe!1645:1645-"n/&gt;!18t"</f>
        <v>#VALUE!</v>
      </c>
      <c r="GV315" t="e">
        <f>Europe!1646:1646-"n/&gt;!18u"</f>
        <v>#VALUE!</v>
      </c>
      <c r="GW315" t="e">
        <f>Europe!1647:1647-"n/&gt;!18v"</f>
        <v>#VALUE!</v>
      </c>
      <c r="GX315" t="e">
        <f>Europe!1648:1648-"n/&gt;!18w"</f>
        <v>#VALUE!</v>
      </c>
      <c r="GY315" t="e">
        <f>Europe!1649:1649-"n/&gt;!18x"</f>
        <v>#VALUE!</v>
      </c>
      <c r="GZ315" t="e">
        <f>Europe!1650:1650-"n/&gt;!18y"</f>
        <v>#VALUE!</v>
      </c>
      <c r="HA315" t="e">
        <f>Europe!1651:1651-"n/&gt;!18z"</f>
        <v>#VALUE!</v>
      </c>
      <c r="HB315" t="e">
        <f>Europe!1652:1652-"n/&gt;!18{"</f>
        <v>#VALUE!</v>
      </c>
      <c r="HC315" t="e">
        <f>Europe!1653:1653-"n/&gt;!18|"</f>
        <v>#VALUE!</v>
      </c>
      <c r="HD315" t="e">
        <f>Europe!1654:1654-"n/&gt;!18}"</f>
        <v>#VALUE!</v>
      </c>
      <c r="HE315" t="e">
        <f>Europe!1655:1655-"n/&gt;!18~"</f>
        <v>#VALUE!</v>
      </c>
      <c r="HF315" t="e">
        <f>Europe!1656:1656-"n/&gt;!19#"</f>
        <v>#VALUE!</v>
      </c>
      <c r="HG315" t="e">
        <f>Europe!1657:1657-"n/&gt;!19$"</f>
        <v>#VALUE!</v>
      </c>
      <c r="HH315" t="e">
        <f>Europe!1658:1658-"n/&gt;!19%"</f>
        <v>#VALUE!</v>
      </c>
      <c r="HI315" t="e">
        <f>Europe!1659:1659-"n/&gt;!19&amp;"</f>
        <v>#VALUE!</v>
      </c>
      <c r="HJ315" t="e">
        <f>Europe!1660:1660-"n/&gt;!19'"</f>
        <v>#VALUE!</v>
      </c>
      <c r="HK315" t="e">
        <f>Europe!1661:1661-"n/&gt;!19("</f>
        <v>#VALUE!</v>
      </c>
      <c r="HL315" t="e">
        <f>Europe!1662:1662-"n/&gt;!19)"</f>
        <v>#VALUE!</v>
      </c>
      <c r="HM315" t="e">
        <f>Europe!1663:1663-"n/&gt;!19."</f>
        <v>#VALUE!</v>
      </c>
      <c r="HN315" t="e">
        <f>Europe!1664:1664-"n/&gt;!19/"</f>
        <v>#VALUE!</v>
      </c>
      <c r="HO315" t="e">
        <f>Europe!1665:1665-"n/&gt;!190"</f>
        <v>#VALUE!</v>
      </c>
      <c r="HP315" t="e">
        <f>Europe!1666:1666-"n/&gt;!191"</f>
        <v>#VALUE!</v>
      </c>
      <c r="HQ315" t="e">
        <f>Europe!1667:1667-"n/&gt;!192"</f>
        <v>#VALUE!</v>
      </c>
      <c r="HR315" t="e">
        <f>Europe!1668:1668-"n/&gt;!193"</f>
        <v>#VALUE!</v>
      </c>
      <c r="HS315" t="e">
        <f>Europe!1669:1669-"n/&gt;!194"</f>
        <v>#VALUE!</v>
      </c>
      <c r="HT315" t="e">
        <f>Europe!1670:1670-"n/&gt;!195"</f>
        <v>#VALUE!</v>
      </c>
      <c r="HU315" t="e">
        <f>Europe!1671:1671-"n/&gt;!196"</f>
        <v>#VALUE!</v>
      </c>
      <c r="HV315" t="e">
        <f>Europe!1672:1672-"n/&gt;!197"</f>
        <v>#VALUE!</v>
      </c>
      <c r="HW315" t="e">
        <f>Europe!1673:1673-"n/&gt;!198"</f>
        <v>#VALUE!</v>
      </c>
      <c r="HX315" t="e">
        <f>Europe!1674:1674-"n/&gt;!199"</f>
        <v>#VALUE!</v>
      </c>
      <c r="HY315" t="e">
        <f>Europe!1675:1675-"n/&gt;!19:"</f>
        <v>#VALUE!</v>
      </c>
      <c r="HZ315" t="e">
        <f>Europe!1676:1676-"n/&gt;!19;"</f>
        <v>#VALUE!</v>
      </c>
      <c r="IA315" t="e">
        <f>Europe!1677:1677-"n/&gt;!19&lt;"</f>
        <v>#VALUE!</v>
      </c>
      <c r="IB315" t="e">
        <f>Europe!1678:1678-"n/&gt;!19="</f>
        <v>#VALUE!</v>
      </c>
      <c r="IC315" t="e">
        <f>Europe!1679:1679-"n/&gt;!19&gt;"</f>
        <v>#VALUE!</v>
      </c>
      <c r="ID315" t="e">
        <f>Europe!1680:1680-"n/&gt;!19?"</f>
        <v>#VALUE!</v>
      </c>
      <c r="IE315" t="e">
        <f>Europe!1681:1681-"n/&gt;!19@"</f>
        <v>#VALUE!</v>
      </c>
      <c r="IF315" t="e">
        <f>Europe!1682:1682-"n/&gt;!19A"</f>
        <v>#VALUE!</v>
      </c>
      <c r="IG315" t="e">
        <f>Europe!1683:1683-"n/&gt;!19B"</f>
        <v>#VALUE!</v>
      </c>
      <c r="IH315" t="e">
        <f>Europe!1684:1684-"n/&gt;!19C"</f>
        <v>#VALUE!</v>
      </c>
      <c r="II315" t="e">
        <f>Europe!1685:1685-"n/&gt;!19D"</f>
        <v>#VALUE!</v>
      </c>
      <c r="IJ315" t="e">
        <f>Europe!1686:1686-"n/&gt;!19E"</f>
        <v>#VALUE!</v>
      </c>
      <c r="IK315" t="e">
        <f>Europe!1687:1687-"n/&gt;!19F"</f>
        <v>#VALUE!</v>
      </c>
      <c r="IL315" t="e">
        <f>Europe!1688:1688-"n/&gt;!19G"</f>
        <v>#VALUE!</v>
      </c>
      <c r="IM315" t="e">
        <f>Europe!1689:1689-"n/&gt;!19H"</f>
        <v>#VALUE!</v>
      </c>
      <c r="IN315" t="e">
        <f>Europe!1690:1690-"n/&gt;!19I"</f>
        <v>#VALUE!</v>
      </c>
      <c r="IO315" t="e">
        <f>Europe!1691:1691-"n/&gt;!19J"</f>
        <v>#VALUE!</v>
      </c>
      <c r="IP315" t="e">
        <f>Europe!1692:1692-"n/&gt;!19K"</f>
        <v>#VALUE!</v>
      </c>
      <c r="IQ315" t="e">
        <f>Europe!1693:1693-"n/&gt;!19L"</f>
        <v>#VALUE!</v>
      </c>
      <c r="IR315" t="e">
        <f>Europe!1694:1694-"n/&gt;!19M"</f>
        <v>#VALUE!</v>
      </c>
      <c r="IS315" t="e">
        <f>Europe!1695:1695-"n/&gt;!19N"</f>
        <v>#VALUE!</v>
      </c>
      <c r="IT315" t="e">
        <f>Europe!1696:1696-"n/&gt;!19O"</f>
        <v>#VALUE!</v>
      </c>
      <c r="IU315" t="e">
        <f>Europe!1697:1697-"n/&gt;!19P"</f>
        <v>#VALUE!</v>
      </c>
      <c r="IV315" t="e">
        <f>Europe!1698:1698-"n/&gt;!19Q"</f>
        <v>#VALUE!</v>
      </c>
    </row>
    <row r="316" spans="6:256" x14ac:dyDescent="0.35">
      <c r="F316" t="e">
        <f>Europe!1699:1699-"n/&gt;!19R"</f>
        <v>#VALUE!</v>
      </c>
      <c r="G316" t="e">
        <f>Europe!1700:1700-"n/&gt;!19S"</f>
        <v>#VALUE!</v>
      </c>
      <c r="H316" t="e">
        <f>Europe!1701:1701-"n/&gt;!19T"</f>
        <v>#VALUE!</v>
      </c>
      <c r="I316" t="e">
        <f>Europe!1702:1702-"n/&gt;!19U"</f>
        <v>#VALUE!</v>
      </c>
      <c r="J316" t="e">
        <f>Europe!1703:1703-"n/&gt;!19V"</f>
        <v>#VALUE!</v>
      </c>
      <c r="K316" t="e">
        <f>Europe!1704:1704-"n/&gt;!19W"</f>
        <v>#VALUE!</v>
      </c>
      <c r="L316" t="e">
        <f>Europe!1705:1705-"n/&gt;!19X"</f>
        <v>#VALUE!</v>
      </c>
      <c r="M316" t="e">
        <f>Europe!1706:1706-"n/&gt;!19Y"</f>
        <v>#VALUE!</v>
      </c>
      <c r="N316" t="e">
        <f>Europe!1707:1707-"n/&gt;!19Z"</f>
        <v>#VALUE!</v>
      </c>
      <c r="O316" t="e">
        <f>Europe!1708:1708-"n/&gt;!19["</f>
        <v>#VALUE!</v>
      </c>
      <c r="P316" t="e">
        <f>Europe!1709:1709-"n/&gt;!19\"</f>
        <v>#VALUE!</v>
      </c>
      <c r="Q316" t="e">
        <f>Europe!1710:1710-"n/&gt;!19]"</f>
        <v>#VALUE!</v>
      </c>
      <c r="R316" t="e">
        <f>Europe!1711:1711-"n/&gt;!19^"</f>
        <v>#VALUE!</v>
      </c>
      <c r="S316" t="e">
        <f>Europe!1712:1712-"n/&gt;!19_"</f>
        <v>#VALUE!</v>
      </c>
      <c r="T316" t="e">
        <f>Europe!1713:1713-"n/&gt;!19`"</f>
        <v>#VALUE!</v>
      </c>
      <c r="U316" t="e">
        <f>Europe!1714:1714-"n/&gt;!19a"</f>
        <v>#VALUE!</v>
      </c>
      <c r="V316" t="e">
        <f>Europe!1715:1715-"n/&gt;!19b"</f>
        <v>#VALUE!</v>
      </c>
      <c r="W316" t="e">
        <f>Europe!1716:1716-"n/&gt;!19c"</f>
        <v>#VALUE!</v>
      </c>
      <c r="X316" t="e">
        <f>Europe!1717:1717-"n/&gt;!19d"</f>
        <v>#VALUE!</v>
      </c>
      <c r="Y316" t="e">
        <f>Europe!1718:1718-"n/&gt;!19e"</f>
        <v>#VALUE!</v>
      </c>
      <c r="Z316" t="e">
        <f>Europe!1719:1719-"n/&gt;!19f"</f>
        <v>#VALUE!</v>
      </c>
      <c r="AA316" t="e">
        <f>Europe!1720:1720-"n/&gt;!19g"</f>
        <v>#VALUE!</v>
      </c>
      <c r="AB316" t="e">
        <f>Europe!1721:1721-"n/&gt;!19h"</f>
        <v>#VALUE!</v>
      </c>
      <c r="AC316" t="e">
        <f>Europe!1722:1722-"n/&gt;!19i"</f>
        <v>#VALUE!</v>
      </c>
      <c r="AD316" t="e">
        <f>Europe!1723:1723-"n/&gt;!19j"</f>
        <v>#VALUE!</v>
      </c>
      <c r="AE316" t="e">
        <f>Europe!1724:1724-"n/&gt;!19k"</f>
        <v>#VALUE!</v>
      </c>
      <c r="AF316" t="e">
        <f>Europe!1725:1725-"n/&gt;!19l"</f>
        <v>#VALUE!</v>
      </c>
      <c r="AG316" t="e">
        <f>Europe!1726:1726-"n/&gt;!19m"</f>
        <v>#VALUE!</v>
      </c>
      <c r="AH316" t="e">
        <f>Europe!1727:1727-"n/&gt;!19n"</f>
        <v>#VALUE!</v>
      </c>
      <c r="AI316" t="e">
        <f>Europe!1728:1728-"n/&gt;!19o"</f>
        <v>#VALUE!</v>
      </c>
      <c r="AJ316" t="e">
        <f>Europe!1729:1729-"n/&gt;!19p"</f>
        <v>#VALUE!</v>
      </c>
      <c r="AK316" t="e">
        <f>Europe!1730:1730-"n/&gt;!19q"</f>
        <v>#VALUE!</v>
      </c>
      <c r="AL316" t="e">
        <f>Europe!1731:1731-"n/&gt;!19r"</f>
        <v>#VALUE!</v>
      </c>
      <c r="AM316" t="e">
        <f>Europe!1732:1732-"n/&gt;!19s"</f>
        <v>#VALUE!</v>
      </c>
      <c r="AN316" t="e">
        <f>Europe!1733:1733-"n/&gt;!19t"</f>
        <v>#VALUE!</v>
      </c>
      <c r="AO316" t="e">
        <f>Europe!1734:1734-"n/&gt;!19u"</f>
        <v>#VALUE!</v>
      </c>
      <c r="AP316" t="e">
        <f>Europe!1735:1735-"n/&gt;!19v"</f>
        <v>#VALUE!</v>
      </c>
      <c r="AQ316" t="e">
        <f>Europe!1736:1736-"n/&gt;!19w"</f>
        <v>#VALUE!</v>
      </c>
      <c r="AR316" t="e">
        <f>Europe!1737:1737-"n/&gt;!19x"</f>
        <v>#VALUE!</v>
      </c>
      <c r="AS316" t="e">
        <f>Europe!1738:1738-"n/&gt;!19y"</f>
        <v>#VALUE!</v>
      </c>
      <c r="AT316" t="e">
        <f>Europe!1739:1739-"n/&gt;!19z"</f>
        <v>#VALUE!</v>
      </c>
      <c r="AU316" t="e">
        <f>Europe!1740:1740-"n/&gt;!19{"</f>
        <v>#VALUE!</v>
      </c>
      <c r="AV316" t="e">
        <f>Europe!1741:1741-"n/&gt;!19|"</f>
        <v>#VALUE!</v>
      </c>
      <c r="AW316" t="e">
        <f>Europe!1742:1742-"n/&gt;!19}"</f>
        <v>#VALUE!</v>
      </c>
      <c r="AX316" t="e">
        <f>Europe!1743:1743-"n/&gt;!19~"</f>
        <v>#VALUE!</v>
      </c>
      <c r="AY316" t="e">
        <f>Europe!1744:1744-"n/&gt;!1:#"</f>
        <v>#VALUE!</v>
      </c>
      <c r="AZ316" t="e">
        <f>Europe!1745:1745-"n/&gt;!1:$"</f>
        <v>#VALUE!</v>
      </c>
      <c r="BA316" t="e">
        <f>Europe!1746:1746-"n/&gt;!1:%"</f>
        <v>#VALUE!</v>
      </c>
      <c r="BB316" t="e">
        <f>Europe!1747:1747-"n/&gt;!1:&amp;"</f>
        <v>#VALUE!</v>
      </c>
      <c r="BC316" t="e">
        <f>Europe!1748:1748-"n/&gt;!1:'"</f>
        <v>#VALUE!</v>
      </c>
      <c r="BD316" t="e">
        <f>Europe!1749:1749-"n/&gt;!1:("</f>
        <v>#VALUE!</v>
      </c>
      <c r="BE316" t="e">
        <f>Europe!1750:1750-"n/&gt;!1:)"</f>
        <v>#VALUE!</v>
      </c>
      <c r="BF316" t="e">
        <f>Europe!1751:1751-"n/&gt;!1:."</f>
        <v>#VALUE!</v>
      </c>
      <c r="BG316" t="e">
        <f>Europe!1752:1752-"n/&gt;!1:/"</f>
        <v>#VALUE!</v>
      </c>
      <c r="BH316" t="e">
        <f>Europe!1753:1753-"n/&gt;!1:0"</f>
        <v>#VALUE!</v>
      </c>
      <c r="BI316" t="e">
        <f>Europe!1754:1754-"n/&gt;!1:1"</f>
        <v>#VALUE!</v>
      </c>
      <c r="BJ316" t="e">
        <f>Europe!1755:1755-"n/&gt;!1:2"</f>
        <v>#VALUE!</v>
      </c>
      <c r="BK316" t="e">
        <f>Europe!1756:1756-"n/&gt;!1:3"</f>
        <v>#VALUE!</v>
      </c>
      <c r="BL316" t="e">
        <f>Europe!1757:1757-"n/&gt;!1:4"</f>
        <v>#VALUE!</v>
      </c>
      <c r="BM316" t="e">
        <f>Europe!1758:1758-"n/&gt;!1:5"</f>
        <v>#VALUE!</v>
      </c>
      <c r="BN316" t="e">
        <f>Europe!1759:1759-"n/&gt;!1:6"</f>
        <v>#VALUE!</v>
      </c>
      <c r="BO316" t="e">
        <f>Europe!1760:1760-"n/&gt;!1:7"</f>
        <v>#VALUE!</v>
      </c>
      <c r="BP316" t="e">
        <f>Europe!1761:1761-"n/&gt;!1:8"</f>
        <v>#VALUE!</v>
      </c>
      <c r="BQ316" t="e">
        <f>Europe!1762:1762-"n/&gt;!1:9"</f>
        <v>#VALUE!</v>
      </c>
      <c r="BR316" t="e">
        <f>Europe!1763:1763-"n/&gt;!1::"</f>
        <v>#VALUE!</v>
      </c>
      <c r="BS316" t="e">
        <f>Europe!1764:1764-"n/&gt;!1:;"</f>
        <v>#VALUE!</v>
      </c>
      <c r="BT316" t="e">
        <f>Europe!1765:1765-"n/&gt;!1:&lt;"</f>
        <v>#VALUE!</v>
      </c>
      <c r="BU316" t="e">
        <f>Europe!1766:1766-"n/&gt;!1:="</f>
        <v>#VALUE!</v>
      </c>
      <c r="BV316" t="e">
        <f>Europe!1767:1767-"n/&gt;!1:&gt;"</f>
        <v>#VALUE!</v>
      </c>
      <c r="BW316" t="e">
        <f>Europe!1768:1768-"n/&gt;!1:?"</f>
        <v>#VALUE!</v>
      </c>
      <c r="BX316" t="e">
        <f>Europe!1769:1769-"n/&gt;!1:@"</f>
        <v>#VALUE!</v>
      </c>
      <c r="BY316" t="e">
        <f>Europe!1770:1770-"n/&gt;!1:A"</f>
        <v>#VALUE!</v>
      </c>
      <c r="BZ316" t="e">
        <f>Europe!1771:1771-"n/&gt;!1:B"</f>
        <v>#VALUE!</v>
      </c>
      <c r="CA316" t="e">
        <f>Europe!1772:1772-"n/&gt;!1:C"</f>
        <v>#VALUE!</v>
      </c>
      <c r="CB316" t="e">
        <f>Europe!1773:1773-"n/&gt;!1:D"</f>
        <v>#VALUE!</v>
      </c>
      <c r="CC316" t="e">
        <f>Europe!1774:1774-"n/&gt;!1:E"</f>
        <v>#VALUE!</v>
      </c>
      <c r="CD316" t="e">
        <f>Europe!1775:1775-"n/&gt;!1:F"</f>
        <v>#VALUE!</v>
      </c>
      <c r="CE316" t="e">
        <f>Europe!1776:1776-"n/&gt;!1:G"</f>
        <v>#VALUE!</v>
      </c>
      <c r="CF316" t="e">
        <f>Europe!1777:1777-"n/&gt;!1:H"</f>
        <v>#VALUE!</v>
      </c>
      <c r="CG316" t="e">
        <f>Europe!1778:1778-"n/&gt;!1:I"</f>
        <v>#VALUE!</v>
      </c>
      <c r="CH316" t="e">
        <f>Europe!1779:1779-"n/&gt;!1:J"</f>
        <v>#VALUE!</v>
      </c>
      <c r="CI316" t="e">
        <f>Europe!1780:1780-"n/&gt;!1:K"</f>
        <v>#VALUE!</v>
      </c>
      <c r="CJ316" t="e">
        <f>Europe!1781:1781-"n/&gt;!1:L"</f>
        <v>#VALUE!</v>
      </c>
      <c r="CK316" t="e">
        <f>Europe!1782:1782-"n/&gt;!1:M"</f>
        <v>#VALUE!</v>
      </c>
      <c r="CL316" t="e">
        <f>Europe!1783:1783-"n/&gt;!1:N"</f>
        <v>#VALUE!</v>
      </c>
      <c r="CM316" t="e">
        <f>Europe!1784:1784-"n/&gt;!1:O"</f>
        <v>#VALUE!</v>
      </c>
      <c r="CN316" t="e">
        <f>Europe!1785:1785-"n/&gt;!1:P"</f>
        <v>#VALUE!</v>
      </c>
      <c r="CO316" t="e">
        <f>Europe!1786:1786-"n/&gt;!1:Q"</f>
        <v>#VALUE!</v>
      </c>
      <c r="CP316" t="e">
        <f>Europe!1787:1787-"n/&gt;!1:R"</f>
        <v>#VALUE!</v>
      </c>
      <c r="CQ316" t="e">
        <f>Europe!1788:1788-"n/&gt;!1:S"</f>
        <v>#VALUE!</v>
      </c>
      <c r="CR316" t="e">
        <f>Europe!1789:1789-"n/&gt;!1:T"</f>
        <v>#VALUE!</v>
      </c>
      <c r="CS316" t="e">
        <f>Europe!1790:1790-"n/&gt;!1:U"</f>
        <v>#VALUE!</v>
      </c>
      <c r="CT316" t="e">
        <f>Europe!1791:1791-"n/&gt;!1:V"</f>
        <v>#VALUE!</v>
      </c>
      <c r="CU316" t="e">
        <f>Europe!1792:1792-"n/&gt;!1:W"</f>
        <v>#VALUE!</v>
      </c>
      <c r="CV316" t="e">
        <f>Europe!1793:1793-"n/&gt;!1:X"</f>
        <v>#VALUE!</v>
      </c>
      <c r="CW316" t="e">
        <f>Europe!1794:1794-"n/&gt;!1:Y"</f>
        <v>#VALUE!</v>
      </c>
      <c r="CX316" t="e">
        <f>Europe!1795:1795-"n/&gt;!1:Z"</f>
        <v>#VALUE!</v>
      </c>
      <c r="CY316" t="e">
        <f>Europe!1796:1796-"n/&gt;!1:["</f>
        <v>#VALUE!</v>
      </c>
      <c r="CZ316" t="e">
        <f>Europe!1797:1797-"n/&gt;!1:\"</f>
        <v>#VALUE!</v>
      </c>
      <c r="DA316" t="e">
        <f>Europe!1798:1798-"n/&gt;!1:]"</f>
        <v>#VALUE!</v>
      </c>
      <c r="DB316" t="e">
        <f>Europe!1799:1799-"n/&gt;!1:^"</f>
        <v>#VALUE!</v>
      </c>
      <c r="DC316" t="e">
        <f>Europe!1800:1800-"n/&gt;!1:_"</f>
        <v>#VALUE!</v>
      </c>
      <c r="DD316" t="e">
        <f>Europe!1801:1801-"n/&gt;!1:`"</f>
        <v>#VALUE!</v>
      </c>
      <c r="DE316" t="e">
        <f>Europe!1802:1802-"n/&gt;!1:a"</f>
        <v>#VALUE!</v>
      </c>
      <c r="DF316" t="e">
        <f>Europe!1803:1803-"n/&gt;!1:b"</f>
        <v>#VALUE!</v>
      </c>
      <c r="DG316" t="e">
        <f>Europe!1804:1804-"n/&gt;!1:c"</f>
        <v>#VALUE!</v>
      </c>
      <c r="DH316" t="e">
        <f>Europe!1805:1805-"n/&gt;!1:d"</f>
        <v>#VALUE!</v>
      </c>
      <c r="DI316" t="e">
        <f>Europe!1806:1806-"n/&gt;!1:e"</f>
        <v>#VALUE!</v>
      </c>
      <c r="DJ316" t="e">
        <f>Europe!1807:1807-"n/&gt;!1:f"</f>
        <v>#VALUE!</v>
      </c>
      <c r="DK316" t="e">
        <f>Europe!1808:1808-"n/&gt;!1:g"</f>
        <v>#VALUE!</v>
      </c>
      <c r="DL316" t="e">
        <f>Europe!1809:1809-"n/&gt;!1:h"</f>
        <v>#VALUE!</v>
      </c>
      <c r="DM316" t="e">
        <f>Europe!1810:1810-"n/&gt;!1:i"</f>
        <v>#VALUE!</v>
      </c>
      <c r="DN316" t="e">
        <f>Europe!1811:1811-"n/&gt;!1:j"</f>
        <v>#VALUE!</v>
      </c>
      <c r="DO316" t="e">
        <f>Europe!1812:1812-"n/&gt;!1:k"</f>
        <v>#VALUE!</v>
      </c>
      <c r="DP316" t="e">
        <f>Europe!1813:1813-"n/&gt;!1:l"</f>
        <v>#VALUE!</v>
      </c>
      <c r="DQ316" t="e">
        <f>Europe!1814:1814-"n/&gt;!1:m"</f>
        <v>#VALUE!</v>
      </c>
      <c r="DR316" t="e">
        <f>Europe!1815:1815-"n/&gt;!1:n"</f>
        <v>#VALUE!</v>
      </c>
      <c r="DS316" t="e">
        <f>Europe!1816:1816-"n/&gt;!1:o"</f>
        <v>#VALUE!</v>
      </c>
      <c r="DT316" t="e">
        <f>Europe!1817:1817-"n/&gt;!1:p"</f>
        <v>#VALUE!</v>
      </c>
      <c r="DU316" t="e">
        <f>Europe!1818:1818-"n/&gt;!1:q"</f>
        <v>#VALUE!</v>
      </c>
      <c r="DV316" t="e">
        <f>Europe!1819:1819-"n/&gt;!1:r"</f>
        <v>#VALUE!</v>
      </c>
      <c r="DW316" t="e">
        <f>Europe!1820:1820-"n/&gt;!1:s"</f>
        <v>#VALUE!</v>
      </c>
      <c r="DX316" t="e">
        <f>Europe!1821:1821-"n/&gt;!1:t"</f>
        <v>#VALUE!</v>
      </c>
      <c r="DY316" t="e">
        <f>Europe!1822:1822-"n/&gt;!1:u"</f>
        <v>#VALUE!</v>
      </c>
      <c r="DZ316" t="e">
        <f>Europe!1823:1823-"n/&gt;!1:v"</f>
        <v>#VALUE!</v>
      </c>
      <c r="EA316" t="e">
        <f>Europe!1824:1824-"n/&gt;!1:w"</f>
        <v>#VALUE!</v>
      </c>
      <c r="EB316" t="e">
        <f>Europe!1825:1825-"n/&gt;!1:x"</f>
        <v>#VALUE!</v>
      </c>
      <c r="EC316" t="e">
        <f>Europe!1826:1826-"n/&gt;!1:y"</f>
        <v>#VALUE!</v>
      </c>
      <c r="ED316" t="e">
        <f>Europe!1827:1827-"n/&gt;!1:z"</f>
        <v>#VALUE!</v>
      </c>
      <c r="EE316" t="e">
        <f>Europe!1828:1828-"n/&gt;!1:{"</f>
        <v>#VALUE!</v>
      </c>
      <c r="EF316" t="e">
        <f>Europe!1829:1829-"n/&gt;!1:|"</f>
        <v>#VALUE!</v>
      </c>
      <c r="EG316" t="e">
        <f>Europe!1830:1830-"n/&gt;!1:}"</f>
        <v>#VALUE!</v>
      </c>
      <c r="EH316" t="e">
        <f>Europe!1831:1831-"n/&gt;!1:~"</f>
        <v>#VALUE!</v>
      </c>
      <c r="EI316" t="e">
        <f>Europe!1832:1832-"n/&gt;!1;#"</f>
        <v>#VALUE!</v>
      </c>
      <c r="EJ316" t="e">
        <f>Europe!1833:1833-"n/&gt;!1;$"</f>
        <v>#VALUE!</v>
      </c>
      <c r="EK316" t="e">
        <f>Europe!1834:1834-"n/&gt;!1;%"</f>
        <v>#VALUE!</v>
      </c>
      <c r="EL316" t="e">
        <f>Europe!1835:1835-"n/&gt;!1;&amp;"</f>
        <v>#VALUE!</v>
      </c>
      <c r="EM316" t="e">
        <f>Europe!1836:1836-"n/&gt;!1;'"</f>
        <v>#VALUE!</v>
      </c>
      <c r="EN316" t="e">
        <f>Europe!1837:1837-"n/&gt;!1;("</f>
        <v>#VALUE!</v>
      </c>
      <c r="EO316" t="e">
        <f>Europe!1838:1838-"n/&gt;!1;)"</f>
        <v>#VALUE!</v>
      </c>
      <c r="EP316" t="e">
        <f>Europe!1839:1839-"n/&gt;!1;."</f>
        <v>#VALUE!</v>
      </c>
      <c r="EQ316" t="e">
        <f>Europe!1840:1840-"n/&gt;!1;/"</f>
        <v>#VALUE!</v>
      </c>
      <c r="ER316" t="e">
        <f>Europe!1841:1841-"n/&gt;!1;0"</f>
        <v>#VALUE!</v>
      </c>
      <c r="ES316" t="e">
        <f>Europe!1842:1842-"n/&gt;!1;1"</f>
        <v>#VALUE!</v>
      </c>
      <c r="ET316" t="e">
        <f>Europe!1843:1843-"n/&gt;!1;2"</f>
        <v>#VALUE!</v>
      </c>
      <c r="EU316" t="e">
        <f>Europe!1844:1844-"n/&gt;!1;3"</f>
        <v>#VALUE!</v>
      </c>
      <c r="EV316" t="e">
        <f>Europe!1845:1845-"n/&gt;!1;4"</f>
        <v>#VALUE!</v>
      </c>
      <c r="EW316" t="e">
        <f>Europe!1846:1846-"n/&gt;!1;5"</f>
        <v>#VALUE!</v>
      </c>
      <c r="EX316" t="e">
        <f>Europe!1847:1847-"n/&gt;!1;6"</f>
        <v>#VALUE!</v>
      </c>
      <c r="EY316" t="e">
        <f>Europe!1848:1848-"n/&gt;!1;7"</f>
        <v>#VALUE!</v>
      </c>
      <c r="EZ316" t="e">
        <f>Europe!1849:1849-"n/&gt;!1;8"</f>
        <v>#VALUE!</v>
      </c>
      <c r="FA316" t="e">
        <f>Europe!1850:1850-"n/&gt;!1;9"</f>
        <v>#VALUE!</v>
      </c>
      <c r="FB316" t="e">
        <f>Europe!1851:1851-"n/&gt;!1;:"</f>
        <v>#VALUE!</v>
      </c>
      <c r="FC316" t="e">
        <f>Europe!1852:1852-"n/&gt;!1;;"</f>
        <v>#VALUE!</v>
      </c>
      <c r="FD316" t="e">
        <f>Europe!1853:1853-"n/&gt;!1;&lt;"</f>
        <v>#VALUE!</v>
      </c>
      <c r="FE316" t="e">
        <f>Europe!1854:1854-"n/&gt;!1;="</f>
        <v>#VALUE!</v>
      </c>
      <c r="FF316" t="e">
        <f>Europe!1855:1855-"n/&gt;!1;&gt;"</f>
        <v>#VALUE!</v>
      </c>
      <c r="FG316" t="e">
        <f>Europe!1856:1856-"n/&gt;!1;?"</f>
        <v>#VALUE!</v>
      </c>
      <c r="FH316" t="e">
        <f>Europe!1857:1857-"n/&gt;!1;@"</f>
        <v>#VALUE!</v>
      </c>
      <c r="FI316" t="e">
        <f>Europe!1858:1858-"n/&gt;!1;A"</f>
        <v>#VALUE!</v>
      </c>
      <c r="FJ316" t="e">
        <f>Europe!1859:1859-"n/&gt;!1;B"</f>
        <v>#VALUE!</v>
      </c>
      <c r="FK316" t="e">
        <f>Europe!1860:1860-"n/&gt;!1;C"</f>
        <v>#VALUE!</v>
      </c>
      <c r="FL316" t="e">
        <f>Europe!1861:1861-"n/&gt;!1;D"</f>
        <v>#VALUE!</v>
      </c>
      <c r="FM316" t="e">
        <f>Europe!1862:1862-"n/&gt;!1;E"</f>
        <v>#VALUE!</v>
      </c>
      <c r="FN316" t="e">
        <f>Europe!1863:1863-"n/&gt;!1;F"</f>
        <v>#VALUE!</v>
      </c>
      <c r="FO316" t="e">
        <f>Europe!1864:1864-"n/&gt;!1;G"</f>
        <v>#VALUE!</v>
      </c>
      <c r="FP316" t="e">
        <f>Europe!1865:1865-"n/&gt;!1;H"</f>
        <v>#VALUE!</v>
      </c>
      <c r="FQ316" t="e">
        <f>Europe!1866:1866-"n/&gt;!1;I"</f>
        <v>#VALUE!</v>
      </c>
      <c r="FR316" t="e">
        <f>Europe!1867:1867-"n/&gt;!1;J"</f>
        <v>#VALUE!</v>
      </c>
      <c r="FS316" t="e">
        <f>Europe!1868:1868-"n/&gt;!1;K"</f>
        <v>#VALUE!</v>
      </c>
      <c r="FT316" t="e">
        <f>Europe!1869:1869-"n/&gt;!1;L"</f>
        <v>#VALUE!</v>
      </c>
      <c r="FU316" t="e">
        <f>Europe!1870:1870-"n/&gt;!1;M"</f>
        <v>#VALUE!</v>
      </c>
      <c r="FV316" t="e">
        <f>Europe!1871:1871-"n/&gt;!1;N"</f>
        <v>#VALUE!</v>
      </c>
      <c r="FW316" t="e">
        <f>Europe!1872:1872-"n/&gt;!1;O"</f>
        <v>#VALUE!</v>
      </c>
      <c r="FX316" t="e">
        <f>Europe!1873:1873-"n/&gt;!1;P"</f>
        <v>#VALUE!</v>
      </c>
      <c r="FY316" t="e">
        <f>Europe!1874:1874-"n/&gt;!1;Q"</f>
        <v>#VALUE!</v>
      </c>
      <c r="FZ316" t="e">
        <f>Europe!1875:1875-"n/&gt;!1;R"</f>
        <v>#VALUE!</v>
      </c>
      <c r="GA316" t="e">
        <f>Europe!1876:1876-"n/&gt;!1;S"</f>
        <v>#VALUE!</v>
      </c>
      <c r="GB316" t="e">
        <f>'Middle East'!A1+"n/&gt;!1;T"</f>
        <v>#VALUE!</v>
      </c>
      <c r="GC316" t="e">
        <f>'Middle East'!B1+"n/&gt;!1;U"</f>
        <v>#VALUE!</v>
      </c>
      <c r="GD316" t="e">
        <f>'Middle East'!C1+"n/&gt;!1;V"</f>
        <v>#VALUE!</v>
      </c>
      <c r="GE316" t="e">
        <f>'Middle East'!D1+"n/&gt;!1;W"</f>
        <v>#VALUE!</v>
      </c>
      <c r="GF316" t="e">
        <f>'Middle East'!E1+"n/&gt;!1;X"</f>
        <v>#VALUE!</v>
      </c>
      <c r="GG316" t="e">
        <f>'Middle East'!F1+"n/&gt;!1;Y"</f>
        <v>#VALUE!</v>
      </c>
      <c r="GH316" t="e">
        <f>'Middle East'!G1+"n/&gt;!1;Z"</f>
        <v>#VALUE!</v>
      </c>
      <c r="GI316" t="e">
        <f>'Middle East'!H1+"n/&gt;!1;["</f>
        <v>#VALUE!</v>
      </c>
      <c r="GJ316" t="e">
        <f>'Middle East'!I1+"n/&gt;!1;\"</f>
        <v>#VALUE!</v>
      </c>
      <c r="GK316" t="e">
        <f>'Middle East'!A2+"n/&gt;!1;]"</f>
        <v>#VALUE!</v>
      </c>
      <c r="GL316" t="e">
        <f>'Middle East'!B2+"n/&gt;!1;^"</f>
        <v>#VALUE!</v>
      </c>
      <c r="GM316" t="e">
        <f>'Middle East'!C2+"n/&gt;!1;_"</f>
        <v>#VALUE!</v>
      </c>
      <c r="GN316" t="e">
        <f>'Middle East'!D2+"n/&gt;!1;`"</f>
        <v>#VALUE!</v>
      </c>
      <c r="GO316" t="e">
        <f>'Middle East'!E2+"n/&gt;!1;a"</f>
        <v>#VALUE!</v>
      </c>
      <c r="GP316" t="e">
        <f>'Middle East'!F2+"n/&gt;!1;b"</f>
        <v>#VALUE!</v>
      </c>
      <c r="GQ316" t="e">
        <f>'Middle East'!G2+"n/&gt;!1;c"</f>
        <v>#VALUE!</v>
      </c>
      <c r="GR316" t="e">
        <f>'Middle East'!H2+"n/&gt;!1;d"</f>
        <v>#VALUE!</v>
      </c>
      <c r="GS316" t="e">
        <f>'Middle East'!I2+"n/&gt;!1;e"</f>
        <v>#VALUE!</v>
      </c>
      <c r="GT316" t="e">
        <f>'Middle East'!A3+"n/&gt;!1;f"</f>
        <v>#VALUE!</v>
      </c>
      <c r="GU316" t="e">
        <f>'Middle East'!B3+"n/&gt;!1;g"</f>
        <v>#VALUE!</v>
      </c>
      <c r="GV316" t="e">
        <f>'Middle East'!C3+"n/&gt;!1;h"</f>
        <v>#VALUE!</v>
      </c>
      <c r="GW316" t="e">
        <f>'Middle East'!D3+"n/&gt;!1;i"</f>
        <v>#VALUE!</v>
      </c>
      <c r="GX316" t="e">
        <f>'Middle East'!E3+"n/&gt;!1;j"</f>
        <v>#VALUE!</v>
      </c>
      <c r="GY316" t="e">
        <f>'Middle East'!F3+"n/&gt;!1;k"</f>
        <v>#VALUE!</v>
      </c>
      <c r="GZ316" t="e">
        <f>'Middle East'!G3+"n/&gt;!1;l"</f>
        <v>#VALUE!</v>
      </c>
      <c r="HA316" t="e">
        <f>'Middle East'!H3+"n/&gt;!1;m"</f>
        <v>#VALUE!</v>
      </c>
      <c r="HB316" t="e">
        <f>'Middle East'!I3+"n/&gt;!1;n"</f>
        <v>#VALUE!</v>
      </c>
      <c r="HC316" t="e">
        <f>'Middle East'!A4+"n/&gt;!1;o"</f>
        <v>#VALUE!</v>
      </c>
      <c r="HD316" t="e">
        <f>'Middle East'!B4+"n/&gt;!1;p"</f>
        <v>#VALUE!</v>
      </c>
      <c r="HE316" t="e">
        <f>'Middle East'!C4+"n/&gt;!1;q"</f>
        <v>#VALUE!</v>
      </c>
      <c r="HF316" t="e">
        <f>'Middle East'!D4+"n/&gt;!1;r"</f>
        <v>#VALUE!</v>
      </c>
      <c r="HG316" t="e">
        <f>'Middle East'!E4+"n/&gt;!1;s"</f>
        <v>#VALUE!</v>
      </c>
      <c r="HH316" t="e">
        <f>'Middle East'!F4+"n/&gt;!1;t"</f>
        <v>#VALUE!</v>
      </c>
      <c r="HI316" t="e">
        <f>'Middle East'!G4+"n/&gt;!1;u"</f>
        <v>#VALUE!</v>
      </c>
      <c r="HJ316" t="e">
        <f>'Middle East'!H4+"n/&gt;!1;v"</f>
        <v>#VALUE!</v>
      </c>
      <c r="HK316" t="e">
        <f>'Middle East'!I4+"n/&gt;!1;w"</f>
        <v>#VALUE!</v>
      </c>
      <c r="HL316" t="e">
        <f>'Middle East'!A5+"n/&gt;!1;x"</f>
        <v>#VALUE!</v>
      </c>
      <c r="HM316" t="e">
        <f>'Middle East'!B5+"n/&gt;!1;y"</f>
        <v>#VALUE!</v>
      </c>
      <c r="HN316" t="e">
        <f>'Middle East'!C5+"n/&gt;!1;z"</f>
        <v>#VALUE!</v>
      </c>
      <c r="HO316" t="e">
        <f>'Middle East'!D5+"n/&gt;!1;{"</f>
        <v>#VALUE!</v>
      </c>
      <c r="HP316" t="e">
        <f>'Middle East'!E5+"n/&gt;!1;|"</f>
        <v>#VALUE!</v>
      </c>
      <c r="HQ316" t="e">
        <f>'Middle East'!F5+"n/&gt;!1;}"</f>
        <v>#VALUE!</v>
      </c>
      <c r="HR316" t="e">
        <f>'Middle East'!G5+"n/&gt;!1;~"</f>
        <v>#VALUE!</v>
      </c>
      <c r="HS316" t="e">
        <f>'Middle East'!H5+"n/&gt;!1&lt;#"</f>
        <v>#VALUE!</v>
      </c>
      <c r="HT316" t="e">
        <f>'Middle East'!I5+"n/&gt;!1&lt;$"</f>
        <v>#VALUE!</v>
      </c>
      <c r="HU316" t="e">
        <f>'Middle East'!A6+"n/&gt;!1&lt;%"</f>
        <v>#VALUE!</v>
      </c>
      <c r="HV316" t="e">
        <f>'Middle East'!B6+"n/&gt;!1&lt;&amp;"</f>
        <v>#VALUE!</v>
      </c>
      <c r="HW316" t="e">
        <f>'Middle East'!C6+"n/&gt;!1&lt;'"</f>
        <v>#VALUE!</v>
      </c>
      <c r="HX316" t="e">
        <f>'Middle East'!D6+"n/&gt;!1&lt;("</f>
        <v>#VALUE!</v>
      </c>
      <c r="HY316" t="e">
        <f>'Middle East'!E6+"n/&gt;!1&lt;)"</f>
        <v>#VALUE!</v>
      </c>
      <c r="HZ316" t="e">
        <f>'Middle East'!F6+"n/&gt;!1&lt;."</f>
        <v>#VALUE!</v>
      </c>
      <c r="IA316" t="e">
        <f>'Middle East'!G6+"n/&gt;!1&lt;/"</f>
        <v>#VALUE!</v>
      </c>
      <c r="IB316" t="e">
        <f>'Middle East'!H6+"n/&gt;!1&lt;0"</f>
        <v>#VALUE!</v>
      </c>
      <c r="IC316" t="e">
        <f>'Middle East'!I6+"n/&gt;!1&lt;1"</f>
        <v>#VALUE!</v>
      </c>
      <c r="ID316" t="e">
        <f>'Middle East'!A7+"n/&gt;!1&lt;2"</f>
        <v>#VALUE!</v>
      </c>
      <c r="IE316" t="e">
        <f>'Middle East'!B7+"n/&gt;!1&lt;3"</f>
        <v>#VALUE!</v>
      </c>
      <c r="IF316" t="e">
        <f>'Middle East'!C7+"n/&gt;!1&lt;4"</f>
        <v>#VALUE!</v>
      </c>
      <c r="IG316" t="e">
        <f>'Middle East'!D7+"n/&gt;!1&lt;5"</f>
        <v>#VALUE!</v>
      </c>
      <c r="IH316" t="e">
        <f>'Middle East'!E7+"n/&gt;!1&lt;6"</f>
        <v>#VALUE!</v>
      </c>
      <c r="II316" t="e">
        <f>'Middle East'!F7+"n/&gt;!1&lt;7"</f>
        <v>#VALUE!</v>
      </c>
      <c r="IJ316" t="e">
        <f>'Middle East'!G7+"n/&gt;!1&lt;8"</f>
        <v>#VALUE!</v>
      </c>
      <c r="IK316" t="e">
        <f>'Middle East'!H7+"n/&gt;!1&lt;9"</f>
        <v>#VALUE!</v>
      </c>
      <c r="IL316" t="e">
        <f>'Middle East'!I7+"n/&gt;!1&lt;:"</f>
        <v>#VALUE!</v>
      </c>
      <c r="IM316" t="e">
        <f>'Middle East'!A8+"n/&gt;!1&lt;;"</f>
        <v>#VALUE!</v>
      </c>
      <c r="IN316" t="e">
        <f>'Middle East'!B8+"n/&gt;!1&lt;&lt;"</f>
        <v>#VALUE!</v>
      </c>
      <c r="IO316" t="e">
        <f>'Middle East'!C8+"n/&gt;!1&lt;="</f>
        <v>#VALUE!</v>
      </c>
      <c r="IP316" t="e">
        <f>'Middle East'!D8+"n/&gt;!1&lt;&gt;"</f>
        <v>#VALUE!</v>
      </c>
      <c r="IQ316" t="e">
        <f>'Middle East'!E8+"n/&gt;!1&lt;?"</f>
        <v>#VALUE!</v>
      </c>
      <c r="IR316" t="e">
        <f>'Middle East'!F8+"n/&gt;!1&lt;@"</f>
        <v>#VALUE!</v>
      </c>
      <c r="IS316" t="e">
        <f>'Middle East'!G8+"n/&gt;!1&lt;A"</f>
        <v>#VALUE!</v>
      </c>
      <c r="IT316" t="e">
        <f>'Middle East'!H8+"n/&gt;!1&lt;B"</f>
        <v>#VALUE!</v>
      </c>
      <c r="IU316" t="e">
        <f>'Middle East'!I8+"n/&gt;!1&lt;C"</f>
        <v>#VALUE!</v>
      </c>
      <c r="IV316" t="e">
        <f>'Middle East'!A9+"n/&gt;!1&lt;D"</f>
        <v>#VALUE!</v>
      </c>
    </row>
    <row r="317" spans="6:256" x14ac:dyDescent="0.35">
      <c r="F317" t="e">
        <f>'Middle East'!B9+"n/&gt;!1&lt;E"</f>
        <v>#VALUE!</v>
      </c>
      <c r="G317" t="e">
        <f>'Middle East'!C9+"n/&gt;!1&lt;F"</f>
        <v>#VALUE!</v>
      </c>
      <c r="H317" t="e">
        <f>'Middle East'!D9+"n/&gt;!1&lt;G"</f>
        <v>#VALUE!</v>
      </c>
      <c r="I317" t="e">
        <f>'Middle East'!E9+"n/&gt;!1&lt;H"</f>
        <v>#VALUE!</v>
      </c>
      <c r="J317" t="e">
        <f>'Middle East'!F9+"n/&gt;!1&lt;I"</f>
        <v>#VALUE!</v>
      </c>
      <c r="K317" t="e">
        <f>'Middle East'!G9+"n/&gt;!1&lt;J"</f>
        <v>#VALUE!</v>
      </c>
      <c r="L317" t="e">
        <f>'Middle East'!H9+"n/&gt;!1&lt;K"</f>
        <v>#VALUE!</v>
      </c>
      <c r="M317" t="e">
        <f>'Middle East'!I9+"n/&gt;!1&lt;L"</f>
        <v>#VALUE!</v>
      </c>
      <c r="N317" t="e">
        <f>'Middle East'!A10+"n/&gt;!1&lt;M"</f>
        <v>#VALUE!</v>
      </c>
      <c r="O317" t="e">
        <f>'Middle East'!B10+"n/&gt;!1&lt;N"</f>
        <v>#VALUE!</v>
      </c>
      <c r="P317" t="e">
        <f>'Middle East'!C10+"n/&gt;!1&lt;O"</f>
        <v>#VALUE!</v>
      </c>
      <c r="Q317" t="e">
        <f>'Middle East'!D10+"n/&gt;!1&lt;P"</f>
        <v>#VALUE!</v>
      </c>
      <c r="R317" t="e">
        <f>'Middle East'!E10+"n/&gt;!1&lt;Q"</f>
        <v>#VALUE!</v>
      </c>
      <c r="S317" t="e">
        <f>'Middle East'!F10+"n/&gt;!1&lt;R"</f>
        <v>#VALUE!</v>
      </c>
      <c r="T317" t="e">
        <f>'Middle East'!G10+"n/&gt;!1&lt;S"</f>
        <v>#VALUE!</v>
      </c>
      <c r="U317" t="e">
        <f>'Middle East'!H10+"n/&gt;!1&lt;T"</f>
        <v>#VALUE!</v>
      </c>
      <c r="V317" t="e">
        <f>'Middle East'!I10+"n/&gt;!1&lt;U"</f>
        <v>#VALUE!</v>
      </c>
      <c r="W317" t="e">
        <f>'Middle East'!A11+"n/&gt;!1&lt;V"</f>
        <v>#VALUE!</v>
      </c>
      <c r="X317" t="e">
        <f>'Middle East'!B11+"n/&gt;!1&lt;W"</f>
        <v>#VALUE!</v>
      </c>
      <c r="Y317" t="e">
        <f>'Middle East'!C11+"n/&gt;!1&lt;X"</f>
        <v>#VALUE!</v>
      </c>
      <c r="Z317" t="e">
        <f>'Middle East'!D11+"n/&gt;!1&lt;Y"</f>
        <v>#VALUE!</v>
      </c>
      <c r="AA317" t="e">
        <f>'Middle East'!E11+"n/&gt;!1&lt;Z"</f>
        <v>#VALUE!</v>
      </c>
      <c r="AB317" t="e">
        <f>'Middle East'!F11+"n/&gt;!1&lt;["</f>
        <v>#VALUE!</v>
      </c>
      <c r="AC317" t="e">
        <f>'Middle East'!G11+"n/&gt;!1&lt;\"</f>
        <v>#VALUE!</v>
      </c>
      <c r="AD317" t="e">
        <f>'Middle East'!H11+"n/&gt;!1&lt;]"</f>
        <v>#VALUE!</v>
      </c>
      <c r="AE317" t="e">
        <f>'Middle East'!I11+"n/&gt;!1&lt;^"</f>
        <v>#VALUE!</v>
      </c>
      <c r="AF317" t="e">
        <f>'Middle East'!A12+"n/&gt;!1&lt;_"</f>
        <v>#VALUE!</v>
      </c>
      <c r="AG317" t="e">
        <f>'Middle East'!B12+"n/&gt;!1&lt;`"</f>
        <v>#VALUE!</v>
      </c>
      <c r="AH317" t="e">
        <f>'Middle East'!C12+"n/&gt;!1&lt;a"</f>
        <v>#VALUE!</v>
      </c>
      <c r="AI317" t="e">
        <f>'Middle East'!D12+"n/&gt;!1&lt;b"</f>
        <v>#VALUE!</v>
      </c>
      <c r="AJ317" t="e">
        <f>'Middle East'!E12+"n/&gt;!1&lt;c"</f>
        <v>#VALUE!</v>
      </c>
      <c r="AK317" t="e">
        <f>'Middle East'!F12+"n/&gt;!1&lt;d"</f>
        <v>#VALUE!</v>
      </c>
      <c r="AL317" t="e">
        <f>'Middle East'!G12+"n/&gt;!1&lt;e"</f>
        <v>#VALUE!</v>
      </c>
      <c r="AM317" t="e">
        <f>'Middle East'!H12+"n/&gt;!1&lt;f"</f>
        <v>#VALUE!</v>
      </c>
      <c r="AN317" t="e">
        <f>'Middle East'!I12+"n/&gt;!1&lt;g"</f>
        <v>#VALUE!</v>
      </c>
      <c r="AO317" t="e">
        <f>'Middle East'!A13+"n/&gt;!1&lt;h"</f>
        <v>#VALUE!</v>
      </c>
      <c r="AP317" t="e">
        <f>'Middle East'!B13+"n/&gt;!1&lt;i"</f>
        <v>#VALUE!</v>
      </c>
      <c r="AQ317" t="e">
        <f>'Middle East'!C13+"n/&gt;!1&lt;j"</f>
        <v>#VALUE!</v>
      </c>
      <c r="AR317" t="e">
        <f>'Middle East'!D13+"n/&gt;!1&lt;k"</f>
        <v>#VALUE!</v>
      </c>
      <c r="AS317" t="e">
        <f>'Middle East'!E13+"n/&gt;!1&lt;l"</f>
        <v>#VALUE!</v>
      </c>
      <c r="AT317" t="e">
        <f>'Middle East'!F13+"n/&gt;!1&lt;m"</f>
        <v>#VALUE!</v>
      </c>
      <c r="AU317" t="e">
        <f>'Middle East'!G13+"n/&gt;!1&lt;n"</f>
        <v>#VALUE!</v>
      </c>
      <c r="AV317" t="e">
        <f>'Middle East'!H13+"n/&gt;!1&lt;o"</f>
        <v>#VALUE!</v>
      </c>
      <c r="AW317" t="e">
        <f>'Middle East'!I13+"n/&gt;!1&lt;p"</f>
        <v>#VALUE!</v>
      </c>
      <c r="AX317" t="e">
        <f>'Middle East'!A14+"n/&gt;!1&lt;q"</f>
        <v>#VALUE!</v>
      </c>
      <c r="AY317" t="e">
        <f>'Middle East'!B14+"n/&gt;!1&lt;r"</f>
        <v>#VALUE!</v>
      </c>
      <c r="AZ317" t="e">
        <f>'Middle East'!C14+"n/&gt;!1&lt;s"</f>
        <v>#VALUE!</v>
      </c>
      <c r="BA317" t="e">
        <f>'Middle East'!D14+"n/&gt;!1&lt;t"</f>
        <v>#VALUE!</v>
      </c>
      <c r="BB317" t="e">
        <f>'Middle East'!E14+"n/&gt;!1&lt;u"</f>
        <v>#VALUE!</v>
      </c>
      <c r="BC317" t="e">
        <f>'Middle East'!F14+"n/&gt;!1&lt;v"</f>
        <v>#VALUE!</v>
      </c>
      <c r="BD317" t="e">
        <f>'Middle East'!G14+"n/&gt;!1&lt;w"</f>
        <v>#VALUE!</v>
      </c>
      <c r="BE317" t="e">
        <f>'Middle East'!H14+"n/&gt;!1&lt;x"</f>
        <v>#VALUE!</v>
      </c>
      <c r="BF317" t="e">
        <f>'Middle East'!I14+"n/&gt;!1&lt;y"</f>
        <v>#VALUE!</v>
      </c>
      <c r="BG317" t="e">
        <f>'Middle East'!A15+"n/&gt;!1&lt;z"</f>
        <v>#VALUE!</v>
      </c>
      <c r="BH317" t="e">
        <f>'Middle East'!B15+"n/&gt;!1&lt;{"</f>
        <v>#VALUE!</v>
      </c>
      <c r="BI317" t="e">
        <f>'Middle East'!C15+"n/&gt;!1&lt;|"</f>
        <v>#VALUE!</v>
      </c>
      <c r="BJ317" t="e">
        <f>'Middle East'!D15+"n/&gt;!1&lt;}"</f>
        <v>#VALUE!</v>
      </c>
      <c r="BK317" t="e">
        <f>'Middle East'!E15+"n/&gt;!1&lt;~"</f>
        <v>#VALUE!</v>
      </c>
      <c r="BL317" t="e">
        <f>'Middle East'!F15+"n/&gt;!1=#"</f>
        <v>#VALUE!</v>
      </c>
      <c r="BM317" t="e">
        <f>'Middle East'!G15+"n/&gt;!1=$"</f>
        <v>#VALUE!</v>
      </c>
      <c r="BN317" t="e">
        <f>'Middle East'!H15+"n/&gt;!1=%"</f>
        <v>#VALUE!</v>
      </c>
      <c r="BO317" t="e">
        <f>'Middle East'!I15+"n/&gt;!1=&amp;"</f>
        <v>#VALUE!</v>
      </c>
      <c r="BP317" t="e">
        <f>'Middle East'!A16+"n/&gt;!1='"</f>
        <v>#VALUE!</v>
      </c>
      <c r="BQ317" t="e">
        <f>'Middle East'!B16+"n/&gt;!1=("</f>
        <v>#VALUE!</v>
      </c>
      <c r="BR317" t="e">
        <f>'Middle East'!C16+"n/&gt;!1=)"</f>
        <v>#VALUE!</v>
      </c>
      <c r="BS317" t="e">
        <f>'Middle East'!D16+"n/&gt;!1=."</f>
        <v>#VALUE!</v>
      </c>
      <c r="BT317" t="e">
        <f>'Middle East'!E16+"n/&gt;!1=/"</f>
        <v>#VALUE!</v>
      </c>
      <c r="BU317" t="e">
        <f>'Middle East'!F16+"n/&gt;!1=0"</f>
        <v>#VALUE!</v>
      </c>
      <c r="BV317" t="e">
        <f>'Middle East'!G16+"n/&gt;!1=1"</f>
        <v>#VALUE!</v>
      </c>
      <c r="BW317" t="e">
        <f>'Middle East'!H16+"n/&gt;!1=2"</f>
        <v>#VALUE!</v>
      </c>
      <c r="BX317" t="e">
        <f>'Middle East'!I16+"n/&gt;!1=3"</f>
        <v>#VALUE!</v>
      </c>
      <c r="BY317" t="e">
        <f>'Middle East'!A17+"n/&gt;!1=4"</f>
        <v>#VALUE!</v>
      </c>
      <c r="BZ317" t="e">
        <f>'Middle East'!B17+"n/&gt;!1=5"</f>
        <v>#VALUE!</v>
      </c>
      <c r="CA317" t="e">
        <f>'Middle East'!C17+"n/&gt;!1=6"</f>
        <v>#VALUE!</v>
      </c>
      <c r="CB317" t="e">
        <f>'Middle East'!D17+"n/&gt;!1=7"</f>
        <v>#VALUE!</v>
      </c>
      <c r="CC317" t="e">
        <f>'Middle East'!E17+"n/&gt;!1=8"</f>
        <v>#VALUE!</v>
      </c>
      <c r="CD317" t="e">
        <f>'Middle East'!F17+"n/&gt;!1=9"</f>
        <v>#VALUE!</v>
      </c>
      <c r="CE317" t="e">
        <f>'Middle East'!G17+"n/&gt;!1=:"</f>
        <v>#VALUE!</v>
      </c>
      <c r="CF317" t="e">
        <f>'Middle East'!H17+"n/&gt;!1=;"</f>
        <v>#VALUE!</v>
      </c>
      <c r="CG317" t="e">
        <f>'Middle East'!I17+"n/&gt;!1=&lt;"</f>
        <v>#VALUE!</v>
      </c>
      <c r="CH317" t="e">
        <f>'Middle East'!A18+"n/&gt;!1=="</f>
        <v>#VALUE!</v>
      </c>
      <c r="CI317" t="e">
        <f>'Middle East'!B18+"n/&gt;!1=&gt;"</f>
        <v>#VALUE!</v>
      </c>
      <c r="CJ317" t="e">
        <f>'Middle East'!C18+"n/&gt;!1=?"</f>
        <v>#VALUE!</v>
      </c>
      <c r="CK317" t="e">
        <f>'Middle East'!D18+"n/&gt;!1=@"</f>
        <v>#VALUE!</v>
      </c>
      <c r="CL317" t="e">
        <f>'Middle East'!E18+"n/&gt;!1=A"</f>
        <v>#VALUE!</v>
      </c>
      <c r="CM317" t="e">
        <f>'Middle East'!F18+"n/&gt;!1=B"</f>
        <v>#VALUE!</v>
      </c>
      <c r="CN317" t="e">
        <f>'Middle East'!G18+"n/&gt;!1=C"</f>
        <v>#VALUE!</v>
      </c>
      <c r="CO317" t="e">
        <f>'Middle East'!H18+"n/&gt;!1=D"</f>
        <v>#VALUE!</v>
      </c>
      <c r="CP317" t="e">
        <f>'Middle East'!I18+"n/&gt;!1=E"</f>
        <v>#VALUE!</v>
      </c>
      <c r="CQ317" t="e">
        <f>'Middle East'!A19+"n/&gt;!1=F"</f>
        <v>#VALUE!</v>
      </c>
      <c r="CR317" t="e">
        <f>'Middle East'!B19+"n/&gt;!1=G"</f>
        <v>#VALUE!</v>
      </c>
      <c r="CS317" t="e">
        <f>'Middle East'!C19+"n/&gt;!1=H"</f>
        <v>#VALUE!</v>
      </c>
      <c r="CT317" t="e">
        <f>'Middle East'!D19+"n/&gt;!1=I"</f>
        <v>#VALUE!</v>
      </c>
      <c r="CU317" t="e">
        <f>'Middle East'!E19+"n/&gt;!1=J"</f>
        <v>#VALUE!</v>
      </c>
      <c r="CV317" t="e">
        <f>'Middle East'!F19+"n/&gt;!1=K"</f>
        <v>#VALUE!</v>
      </c>
      <c r="CW317" t="e">
        <f>'Middle East'!G19+"n/&gt;!1=L"</f>
        <v>#VALUE!</v>
      </c>
      <c r="CX317" t="e">
        <f>'Middle East'!H19+"n/&gt;!1=M"</f>
        <v>#VALUE!</v>
      </c>
      <c r="CY317" t="e">
        <f>'Middle East'!I19+"n/&gt;!1=N"</f>
        <v>#VALUE!</v>
      </c>
      <c r="CZ317" t="e">
        <f>'Middle East'!A20+"n/&gt;!1=O"</f>
        <v>#VALUE!</v>
      </c>
      <c r="DA317" t="e">
        <f>'Middle East'!B20+"n/&gt;!1=P"</f>
        <v>#VALUE!</v>
      </c>
      <c r="DB317" t="e">
        <f>'Middle East'!C20+"n/&gt;!1=Q"</f>
        <v>#VALUE!</v>
      </c>
      <c r="DC317" t="e">
        <f>'Middle East'!D20+"n/&gt;!1=R"</f>
        <v>#VALUE!</v>
      </c>
      <c r="DD317" t="e">
        <f>'Middle East'!E20+"n/&gt;!1=S"</f>
        <v>#VALUE!</v>
      </c>
      <c r="DE317" t="e">
        <f>'Middle East'!F20+"n/&gt;!1=T"</f>
        <v>#VALUE!</v>
      </c>
      <c r="DF317" t="e">
        <f>'Middle East'!G20+"n/&gt;!1=U"</f>
        <v>#VALUE!</v>
      </c>
      <c r="DG317" t="e">
        <f>'Middle East'!H20+"n/&gt;!1=V"</f>
        <v>#VALUE!</v>
      </c>
      <c r="DH317" t="e">
        <f>'Middle East'!I20+"n/&gt;!1=W"</f>
        <v>#VALUE!</v>
      </c>
      <c r="DI317" t="e">
        <f>'Middle East'!A21+"n/&gt;!1=X"</f>
        <v>#VALUE!</v>
      </c>
      <c r="DJ317" t="e">
        <f>'Middle East'!B21+"n/&gt;!1=Y"</f>
        <v>#VALUE!</v>
      </c>
      <c r="DK317" t="e">
        <f>'Middle East'!C21+"n/&gt;!1=Z"</f>
        <v>#VALUE!</v>
      </c>
      <c r="DL317" t="e">
        <f>'Middle East'!D21+"n/&gt;!1=["</f>
        <v>#VALUE!</v>
      </c>
      <c r="DM317" t="e">
        <f>'Middle East'!E21+"n/&gt;!1=\"</f>
        <v>#VALUE!</v>
      </c>
      <c r="DN317" t="e">
        <f>'Middle East'!F21+"n/&gt;!1=]"</f>
        <v>#VALUE!</v>
      </c>
      <c r="DO317" t="e">
        <f>'Middle East'!G21+"n/&gt;!1=^"</f>
        <v>#VALUE!</v>
      </c>
      <c r="DP317" t="e">
        <f>'Middle East'!H21+"n/&gt;!1=_"</f>
        <v>#VALUE!</v>
      </c>
      <c r="DQ317" t="e">
        <f>'Middle East'!I21+"n/&gt;!1=`"</f>
        <v>#VALUE!</v>
      </c>
      <c r="DR317" t="e">
        <f>'Middle East'!A22+"n/&gt;!1=a"</f>
        <v>#VALUE!</v>
      </c>
      <c r="DS317" t="e">
        <f>'Middle East'!B22+"n/&gt;!1=b"</f>
        <v>#VALUE!</v>
      </c>
      <c r="DT317" t="e">
        <f>'Middle East'!C22+"n/&gt;!1=c"</f>
        <v>#VALUE!</v>
      </c>
      <c r="DU317" t="e">
        <f>'Middle East'!D22+"n/&gt;!1=d"</f>
        <v>#VALUE!</v>
      </c>
      <c r="DV317" t="e">
        <f>'Middle East'!E22+"n/&gt;!1=e"</f>
        <v>#VALUE!</v>
      </c>
      <c r="DW317" t="e">
        <f>'Middle East'!F22+"n/&gt;!1=f"</f>
        <v>#VALUE!</v>
      </c>
      <c r="DX317" t="e">
        <f>'Middle East'!G22+"n/&gt;!1=g"</f>
        <v>#VALUE!</v>
      </c>
      <c r="DY317" t="e">
        <f>'Middle East'!H22+"n/&gt;!1=h"</f>
        <v>#VALUE!</v>
      </c>
      <c r="DZ317" t="e">
        <f>'Middle East'!I22+"n/&gt;!1=i"</f>
        <v>#VALUE!</v>
      </c>
      <c r="EA317" t="e">
        <f>'Middle East'!A23+"n/&gt;!1=j"</f>
        <v>#VALUE!</v>
      </c>
      <c r="EB317" t="e">
        <f>'Middle East'!B23+"n/&gt;!1=k"</f>
        <v>#VALUE!</v>
      </c>
      <c r="EC317" t="e">
        <f>'Middle East'!C23+"n/&gt;!1=l"</f>
        <v>#VALUE!</v>
      </c>
      <c r="ED317" t="e">
        <f>'Middle East'!D23+"n/&gt;!1=m"</f>
        <v>#VALUE!</v>
      </c>
      <c r="EE317" t="e">
        <f>'Middle East'!E23+"n/&gt;!1=n"</f>
        <v>#VALUE!</v>
      </c>
      <c r="EF317" t="e">
        <f>'Middle East'!F23+"n/&gt;!1=o"</f>
        <v>#VALUE!</v>
      </c>
      <c r="EG317" t="e">
        <f>'Middle East'!G23+"n/&gt;!1=p"</f>
        <v>#VALUE!</v>
      </c>
      <c r="EH317" t="e">
        <f>'Middle East'!H23+"n/&gt;!1=q"</f>
        <v>#VALUE!</v>
      </c>
      <c r="EI317" t="e">
        <f>'Middle East'!I23+"n/&gt;!1=r"</f>
        <v>#VALUE!</v>
      </c>
      <c r="EJ317" t="e">
        <f>'Middle East'!A24+"n/&gt;!1=s"</f>
        <v>#VALUE!</v>
      </c>
      <c r="EK317" t="e">
        <f>'Middle East'!B24+"n/&gt;!1=t"</f>
        <v>#VALUE!</v>
      </c>
      <c r="EL317" t="e">
        <f>'Middle East'!C24+"n/&gt;!1=u"</f>
        <v>#VALUE!</v>
      </c>
      <c r="EM317" t="e">
        <f>'Middle East'!D24+"n/&gt;!1=v"</f>
        <v>#VALUE!</v>
      </c>
      <c r="EN317" t="e">
        <f>'Middle East'!E24+"n/&gt;!1=w"</f>
        <v>#VALUE!</v>
      </c>
      <c r="EO317" t="e">
        <f>'Middle East'!F24+"n/&gt;!1=x"</f>
        <v>#VALUE!</v>
      </c>
      <c r="EP317" t="e">
        <f>'Middle East'!G24+"n/&gt;!1=y"</f>
        <v>#VALUE!</v>
      </c>
      <c r="EQ317" t="e">
        <f>'Middle East'!H24+"n/&gt;!1=z"</f>
        <v>#VALUE!</v>
      </c>
      <c r="ER317" t="e">
        <f>'Middle East'!I24+"n/&gt;!1={"</f>
        <v>#VALUE!</v>
      </c>
      <c r="ES317" t="e">
        <f>'Middle East'!A25+"n/&gt;!1=|"</f>
        <v>#VALUE!</v>
      </c>
      <c r="ET317" t="e">
        <f>'Middle East'!B25+"n/&gt;!1=}"</f>
        <v>#VALUE!</v>
      </c>
      <c r="EU317" t="e">
        <f>'Middle East'!C25+"n/&gt;!1=~"</f>
        <v>#VALUE!</v>
      </c>
      <c r="EV317" t="e">
        <f>'Middle East'!D25+"n/&gt;!1&gt;#"</f>
        <v>#VALUE!</v>
      </c>
      <c r="EW317" t="e">
        <f>'Middle East'!E25+"n/&gt;!1&gt;$"</f>
        <v>#VALUE!</v>
      </c>
      <c r="EX317" t="e">
        <f>'Middle East'!F25+"n/&gt;!1&gt;%"</f>
        <v>#VALUE!</v>
      </c>
      <c r="EY317" t="e">
        <f>'Middle East'!G25+"n/&gt;!1&gt;&amp;"</f>
        <v>#VALUE!</v>
      </c>
      <c r="EZ317" t="e">
        <f>'Middle East'!H25+"n/&gt;!1&gt;'"</f>
        <v>#VALUE!</v>
      </c>
      <c r="FA317" t="e">
        <f>'Middle East'!I25+"n/&gt;!1&gt;("</f>
        <v>#VALUE!</v>
      </c>
      <c r="FB317" t="e">
        <f>'Middle East'!A26+"n/&gt;!1&gt;)"</f>
        <v>#VALUE!</v>
      </c>
      <c r="FC317" t="e">
        <f>'Middle East'!B26+"n/&gt;!1&gt;."</f>
        <v>#VALUE!</v>
      </c>
      <c r="FD317" t="e">
        <f>'Middle East'!C26+"n/&gt;!1&gt;/"</f>
        <v>#VALUE!</v>
      </c>
      <c r="FE317" t="e">
        <f>'Middle East'!D26+"n/&gt;!1&gt;0"</f>
        <v>#VALUE!</v>
      </c>
      <c r="FF317" t="e">
        <f>'Middle East'!E26+"n/&gt;!1&gt;1"</f>
        <v>#VALUE!</v>
      </c>
      <c r="FG317" t="e">
        <f>'Middle East'!F26+"n/&gt;!1&gt;2"</f>
        <v>#VALUE!</v>
      </c>
      <c r="FH317" t="e">
        <f>'Middle East'!G26+"n/&gt;!1&gt;3"</f>
        <v>#VALUE!</v>
      </c>
      <c r="FI317" t="e">
        <f>'Middle East'!H26+"n/&gt;!1&gt;4"</f>
        <v>#VALUE!</v>
      </c>
      <c r="FJ317" t="e">
        <f>'Middle East'!I26+"n/&gt;!1&gt;5"</f>
        <v>#VALUE!</v>
      </c>
      <c r="FK317" t="e">
        <f>'Middle East'!A27+"n/&gt;!1&gt;6"</f>
        <v>#VALUE!</v>
      </c>
      <c r="FL317" t="e">
        <f>'Middle East'!B27+"n/&gt;!1&gt;7"</f>
        <v>#VALUE!</v>
      </c>
      <c r="FM317" t="e">
        <f>'Middle East'!C27+"n/&gt;!1&gt;8"</f>
        <v>#VALUE!</v>
      </c>
      <c r="FN317" t="e">
        <f>'Middle East'!D27+"n/&gt;!1&gt;9"</f>
        <v>#VALUE!</v>
      </c>
      <c r="FO317" t="e">
        <f>'Middle East'!E27+"n/&gt;!1&gt;:"</f>
        <v>#VALUE!</v>
      </c>
      <c r="FP317" t="e">
        <f>'Middle East'!F27+"n/&gt;!1&gt;;"</f>
        <v>#VALUE!</v>
      </c>
      <c r="FQ317" t="e">
        <f>'Middle East'!G27+"n/&gt;!1&gt;&lt;"</f>
        <v>#VALUE!</v>
      </c>
      <c r="FR317" t="e">
        <f>'Middle East'!H27+"n/&gt;!1&gt;="</f>
        <v>#VALUE!</v>
      </c>
      <c r="FS317" t="e">
        <f>'Middle East'!I27+"n/&gt;!1&gt;&gt;"</f>
        <v>#VALUE!</v>
      </c>
      <c r="FT317" t="e">
        <f>'Middle East'!A28+"n/&gt;!1&gt;?"</f>
        <v>#VALUE!</v>
      </c>
      <c r="FU317" t="e">
        <f>'Middle East'!B28+"n/&gt;!1&gt;@"</f>
        <v>#VALUE!</v>
      </c>
      <c r="FV317" t="e">
        <f>'Middle East'!C28+"n/&gt;!1&gt;A"</f>
        <v>#VALUE!</v>
      </c>
      <c r="FW317" t="e">
        <f>'Middle East'!D28+"n/&gt;!1&gt;B"</f>
        <v>#VALUE!</v>
      </c>
      <c r="FX317" t="e">
        <f>'Middle East'!E28+"n/&gt;!1&gt;C"</f>
        <v>#VALUE!</v>
      </c>
      <c r="FY317" t="e">
        <f>'Middle East'!F28+"n/&gt;!1&gt;D"</f>
        <v>#VALUE!</v>
      </c>
      <c r="FZ317" t="e">
        <f>'Middle East'!G28+"n/&gt;!1&gt;E"</f>
        <v>#VALUE!</v>
      </c>
      <c r="GA317" t="e">
        <f>'Middle East'!H28+"n/&gt;!1&gt;F"</f>
        <v>#VALUE!</v>
      </c>
      <c r="GB317" t="e">
        <f>'Middle East'!I28+"n/&gt;!1&gt;G"</f>
        <v>#VALUE!</v>
      </c>
      <c r="GC317" t="e">
        <f>'Middle East'!A29+"n/&gt;!1&gt;H"</f>
        <v>#VALUE!</v>
      </c>
      <c r="GD317" t="e">
        <f>'Middle East'!B29+"n/&gt;!1&gt;I"</f>
        <v>#VALUE!</v>
      </c>
      <c r="GE317" t="e">
        <f>'Middle East'!C29+"n/&gt;!1&gt;J"</f>
        <v>#VALUE!</v>
      </c>
      <c r="GF317" t="e">
        <f>'Middle East'!D29+"n/&gt;!1&gt;K"</f>
        <v>#VALUE!</v>
      </c>
      <c r="GG317" t="e">
        <f>'Middle East'!E29+"n/&gt;!1&gt;L"</f>
        <v>#VALUE!</v>
      </c>
      <c r="GH317" t="e">
        <f>'Middle East'!F29+"n/&gt;!1&gt;M"</f>
        <v>#VALUE!</v>
      </c>
      <c r="GI317" t="e">
        <f>'Middle East'!G29+"n/&gt;!1&gt;N"</f>
        <v>#VALUE!</v>
      </c>
      <c r="GJ317" t="e">
        <f>'Middle East'!H29+"n/&gt;!1&gt;O"</f>
        <v>#VALUE!</v>
      </c>
      <c r="GK317" t="e">
        <f>'Middle East'!I29+"n/&gt;!1&gt;P"</f>
        <v>#VALUE!</v>
      </c>
      <c r="GL317" t="e">
        <f>'Middle East'!A30+"n/&gt;!1&gt;Q"</f>
        <v>#VALUE!</v>
      </c>
      <c r="GM317" t="e">
        <f>'Middle East'!B30+"n/&gt;!1&gt;R"</f>
        <v>#VALUE!</v>
      </c>
      <c r="GN317" t="e">
        <f>'Middle East'!C30+"n/&gt;!1&gt;S"</f>
        <v>#VALUE!</v>
      </c>
      <c r="GO317" t="e">
        <f>'Middle East'!D30+"n/&gt;!1&gt;T"</f>
        <v>#VALUE!</v>
      </c>
      <c r="GP317" t="e">
        <f>'Middle East'!E30+"n/&gt;!1&gt;U"</f>
        <v>#VALUE!</v>
      </c>
      <c r="GQ317" t="e">
        <f>'Middle East'!F30+"n/&gt;!1&gt;V"</f>
        <v>#VALUE!</v>
      </c>
      <c r="GR317" t="e">
        <f>'Middle East'!G30+"n/&gt;!1&gt;W"</f>
        <v>#VALUE!</v>
      </c>
      <c r="GS317" t="e">
        <f>'Middle East'!H30+"n/&gt;!1&gt;X"</f>
        <v>#VALUE!</v>
      </c>
      <c r="GT317" t="e">
        <f>'Middle East'!I30+"n/&gt;!1&gt;Y"</f>
        <v>#VALUE!</v>
      </c>
      <c r="GU317" t="e">
        <f>'Middle East'!A31+"n/&gt;!1&gt;Z"</f>
        <v>#VALUE!</v>
      </c>
      <c r="GV317" t="e">
        <f>'Middle East'!B31+"n/&gt;!1&gt;["</f>
        <v>#VALUE!</v>
      </c>
      <c r="GW317" t="e">
        <f>'Middle East'!C31+"n/&gt;!1&gt;\"</f>
        <v>#VALUE!</v>
      </c>
      <c r="GX317" t="e">
        <f>'Middle East'!D31+"n/&gt;!1&gt;]"</f>
        <v>#VALUE!</v>
      </c>
      <c r="GY317" t="e">
        <f>'Middle East'!E31+"n/&gt;!1&gt;^"</f>
        <v>#VALUE!</v>
      </c>
      <c r="GZ317" t="e">
        <f>'Middle East'!F31+"n/&gt;!1&gt;_"</f>
        <v>#VALUE!</v>
      </c>
      <c r="HA317" t="e">
        <f>'Middle East'!G31+"n/&gt;!1&gt;`"</f>
        <v>#VALUE!</v>
      </c>
      <c r="HB317" t="e">
        <f>'Middle East'!H31+"n/&gt;!1&gt;a"</f>
        <v>#VALUE!</v>
      </c>
      <c r="HC317" t="e">
        <f>'Middle East'!I31+"n/&gt;!1&gt;b"</f>
        <v>#VALUE!</v>
      </c>
      <c r="HD317" t="e">
        <f>'Middle East'!A32+"n/&gt;!1&gt;c"</f>
        <v>#VALUE!</v>
      </c>
      <c r="HE317" t="e">
        <f>'Middle East'!B32+"n/&gt;!1&gt;d"</f>
        <v>#VALUE!</v>
      </c>
      <c r="HF317" t="e">
        <f>'Middle East'!C32+"n/&gt;!1&gt;e"</f>
        <v>#VALUE!</v>
      </c>
      <c r="HG317" t="e">
        <f>'Middle East'!D32+"n/&gt;!1&gt;f"</f>
        <v>#VALUE!</v>
      </c>
      <c r="HH317" t="e">
        <f>'Middle East'!E32+"n/&gt;!1&gt;g"</f>
        <v>#VALUE!</v>
      </c>
      <c r="HI317" t="e">
        <f>'Middle East'!F32+"n/&gt;!1&gt;h"</f>
        <v>#VALUE!</v>
      </c>
      <c r="HJ317" t="e">
        <f>'Middle East'!G32+"n/&gt;!1&gt;i"</f>
        <v>#VALUE!</v>
      </c>
      <c r="HK317" t="e">
        <f>'Middle East'!H32+"n/&gt;!1&gt;j"</f>
        <v>#VALUE!</v>
      </c>
      <c r="HL317" t="e">
        <f>'Middle East'!I32+"n/&gt;!1&gt;k"</f>
        <v>#VALUE!</v>
      </c>
      <c r="HM317" t="e">
        <f>'Middle East'!A33+"n/&gt;!1&gt;l"</f>
        <v>#VALUE!</v>
      </c>
      <c r="HN317" t="e">
        <f>'Middle East'!B33+"n/&gt;!1&gt;m"</f>
        <v>#VALUE!</v>
      </c>
      <c r="HO317" t="e">
        <f>'Middle East'!C33+"n/&gt;!1&gt;n"</f>
        <v>#VALUE!</v>
      </c>
      <c r="HP317" t="e">
        <f>'Middle East'!D33+"n/&gt;!1&gt;o"</f>
        <v>#VALUE!</v>
      </c>
      <c r="HQ317" t="e">
        <f>'Middle East'!E33+"n/&gt;!1&gt;p"</f>
        <v>#VALUE!</v>
      </c>
      <c r="HR317" t="e">
        <f>'Middle East'!F33+"n/&gt;!1&gt;q"</f>
        <v>#VALUE!</v>
      </c>
      <c r="HS317" t="e">
        <f>'Middle East'!G33+"n/&gt;!1&gt;r"</f>
        <v>#VALUE!</v>
      </c>
      <c r="HT317" t="e">
        <f>'Middle East'!H33+"n/&gt;!1&gt;s"</f>
        <v>#VALUE!</v>
      </c>
      <c r="HU317" t="e">
        <f>'Middle East'!I33+"n/&gt;!1&gt;t"</f>
        <v>#VALUE!</v>
      </c>
      <c r="HV317" t="e">
        <f>'Middle East'!A34+"n/&gt;!1&gt;u"</f>
        <v>#VALUE!</v>
      </c>
      <c r="HW317" t="e">
        <f>'Middle East'!B34+"n/&gt;!1&gt;v"</f>
        <v>#VALUE!</v>
      </c>
      <c r="HX317" t="e">
        <f>'Middle East'!C34+"n/&gt;!1&gt;w"</f>
        <v>#VALUE!</v>
      </c>
      <c r="HY317" t="e">
        <f>'Middle East'!D34+"n/&gt;!1&gt;x"</f>
        <v>#VALUE!</v>
      </c>
      <c r="HZ317" t="e">
        <f>'Middle East'!E34+"n/&gt;!1&gt;y"</f>
        <v>#VALUE!</v>
      </c>
      <c r="IA317" t="e">
        <f>'Middle East'!F34+"n/&gt;!1&gt;z"</f>
        <v>#VALUE!</v>
      </c>
      <c r="IB317" t="e">
        <f>'Middle East'!G34+"n/&gt;!1&gt;{"</f>
        <v>#VALUE!</v>
      </c>
      <c r="IC317" t="e">
        <f>'Middle East'!H34+"n/&gt;!1&gt;|"</f>
        <v>#VALUE!</v>
      </c>
      <c r="ID317" t="e">
        <f>'Middle East'!I34+"n/&gt;!1&gt;}"</f>
        <v>#VALUE!</v>
      </c>
      <c r="IE317" t="e">
        <f>'Middle East'!A35+"n/&gt;!1&gt;~"</f>
        <v>#VALUE!</v>
      </c>
      <c r="IF317" t="e">
        <f>'Middle East'!B35+"n/&gt;!1?#"</f>
        <v>#VALUE!</v>
      </c>
      <c r="IG317" t="e">
        <f>'Middle East'!C35+"n/&gt;!1?$"</f>
        <v>#VALUE!</v>
      </c>
      <c r="IH317" t="e">
        <f>'Middle East'!D35+"n/&gt;!1?%"</f>
        <v>#VALUE!</v>
      </c>
      <c r="II317" t="e">
        <f>'Middle East'!E35+"n/&gt;!1?&amp;"</f>
        <v>#VALUE!</v>
      </c>
      <c r="IJ317" t="e">
        <f>'Middle East'!F35+"n/&gt;!1?'"</f>
        <v>#VALUE!</v>
      </c>
      <c r="IK317" t="e">
        <f>'Middle East'!G35+"n/&gt;!1?("</f>
        <v>#VALUE!</v>
      </c>
      <c r="IL317" t="e">
        <f>'Middle East'!H35+"n/&gt;!1?)"</f>
        <v>#VALUE!</v>
      </c>
      <c r="IM317" t="e">
        <f>'Middle East'!I35+"n/&gt;!1?."</f>
        <v>#VALUE!</v>
      </c>
      <c r="IN317" t="e">
        <f>'Middle East'!A36+"n/&gt;!1?/"</f>
        <v>#VALUE!</v>
      </c>
      <c r="IO317" t="e">
        <f>'Middle East'!B36+"n/&gt;!1?0"</f>
        <v>#VALUE!</v>
      </c>
      <c r="IP317" t="e">
        <f>'Middle East'!C36+"n/&gt;!1?1"</f>
        <v>#VALUE!</v>
      </c>
      <c r="IQ317" t="e">
        <f>'Middle East'!D36+"n/&gt;!1?2"</f>
        <v>#VALUE!</v>
      </c>
      <c r="IR317" t="e">
        <f>'Middle East'!E36+"n/&gt;!1?3"</f>
        <v>#VALUE!</v>
      </c>
      <c r="IS317" t="e">
        <f>'Middle East'!F36+"n/&gt;!1?4"</f>
        <v>#VALUE!</v>
      </c>
      <c r="IT317" t="e">
        <f>'Middle East'!G36+"n/&gt;!1?5"</f>
        <v>#VALUE!</v>
      </c>
      <c r="IU317" t="e">
        <f>'Middle East'!H36+"n/&gt;!1?6"</f>
        <v>#VALUE!</v>
      </c>
      <c r="IV317" t="e">
        <f>'Middle East'!I36+"n/&gt;!1?7"</f>
        <v>#VALUE!</v>
      </c>
    </row>
    <row r="318" spans="6:256" x14ac:dyDescent="0.35">
      <c r="F318" t="e">
        <f>'Middle East'!A37+"n/&gt;!1?8"</f>
        <v>#VALUE!</v>
      </c>
      <c r="G318" t="e">
        <f>'Middle East'!B37+"n/&gt;!1?9"</f>
        <v>#VALUE!</v>
      </c>
      <c r="H318" t="e">
        <f>'Middle East'!C37+"n/&gt;!1?:"</f>
        <v>#VALUE!</v>
      </c>
      <c r="I318" t="e">
        <f>'Middle East'!D37+"n/&gt;!1?;"</f>
        <v>#VALUE!</v>
      </c>
      <c r="J318" t="e">
        <f>'Middle East'!E37+"n/&gt;!1?&lt;"</f>
        <v>#VALUE!</v>
      </c>
      <c r="K318" t="e">
        <f>'Middle East'!F37+"n/&gt;!1?="</f>
        <v>#VALUE!</v>
      </c>
      <c r="L318" t="e">
        <f>'Middle East'!G37+"n/&gt;!1?&gt;"</f>
        <v>#VALUE!</v>
      </c>
      <c r="M318" t="e">
        <f>'Middle East'!H37+"n/&gt;!1??"</f>
        <v>#VALUE!</v>
      </c>
      <c r="N318" t="e">
        <f>'Middle East'!I37+"n/&gt;!1?@"</f>
        <v>#VALUE!</v>
      </c>
      <c r="O318" t="e">
        <f>'Middle East'!A38+"n/&gt;!1?A"</f>
        <v>#VALUE!</v>
      </c>
      <c r="P318" t="e">
        <f>'Middle East'!B38+"n/&gt;!1?B"</f>
        <v>#VALUE!</v>
      </c>
      <c r="Q318" t="e">
        <f>'Middle East'!C38+"n/&gt;!1?C"</f>
        <v>#VALUE!</v>
      </c>
      <c r="R318" t="e">
        <f>'Middle East'!D38+"n/&gt;!1?D"</f>
        <v>#VALUE!</v>
      </c>
      <c r="S318" t="e">
        <f>'Middle East'!E38+"n/&gt;!1?E"</f>
        <v>#VALUE!</v>
      </c>
      <c r="T318" t="e">
        <f>'Middle East'!F38+"n/&gt;!1?F"</f>
        <v>#VALUE!</v>
      </c>
      <c r="U318" t="e">
        <f>'Middle East'!G38+"n/&gt;!1?G"</f>
        <v>#VALUE!</v>
      </c>
      <c r="V318" t="e">
        <f>'Middle East'!H38+"n/&gt;!1?H"</f>
        <v>#VALUE!</v>
      </c>
      <c r="W318" t="e">
        <f>'Middle East'!I38+"n/&gt;!1?I"</f>
        <v>#VALUE!</v>
      </c>
      <c r="X318" t="e">
        <f>'Middle East'!A39+"n/&gt;!1?J"</f>
        <v>#VALUE!</v>
      </c>
      <c r="Y318" t="e">
        <f>'Middle East'!B39+"n/&gt;!1?K"</f>
        <v>#VALUE!</v>
      </c>
      <c r="Z318" t="e">
        <f>'Middle East'!C39+"n/&gt;!1?L"</f>
        <v>#VALUE!</v>
      </c>
      <c r="AA318" t="e">
        <f>'Middle East'!D39+"n/&gt;!1?M"</f>
        <v>#VALUE!</v>
      </c>
      <c r="AB318" t="e">
        <f>'Middle East'!E39+"n/&gt;!1?N"</f>
        <v>#VALUE!</v>
      </c>
      <c r="AC318" t="e">
        <f>'Middle East'!F39+"n/&gt;!1?O"</f>
        <v>#VALUE!</v>
      </c>
      <c r="AD318" t="e">
        <f>'Middle East'!G39+"n/&gt;!1?P"</f>
        <v>#VALUE!</v>
      </c>
      <c r="AE318" t="e">
        <f>'Middle East'!H39+"n/&gt;!1?Q"</f>
        <v>#VALUE!</v>
      </c>
      <c r="AF318" t="e">
        <f>'Middle East'!I39+"n/&gt;!1?R"</f>
        <v>#VALUE!</v>
      </c>
      <c r="AG318" t="e">
        <f>'Middle East'!A40+"n/&gt;!1?S"</f>
        <v>#VALUE!</v>
      </c>
      <c r="AH318" t="e">
        <f>'Middle East'!B40+"n/&gt;!1?T"</f>
        <v>#VALUE!</v>
      </c>
      <c r="AI318" t="e">
        <f>'Middle East'!C40+"n/&gt;!1?U"</f>
        <v>#VALUE!</v>
      </c>
      <c r="AJ318" t="e">
        <f>'Middle East'!D40+"n/&gt;!1?V"</f>
        <v>#VALUE!</v>
      </c>
      <c r="AK318" t="e">
        <f>'Middle East'!E40+"n/&gt;!1?W"</f>
        <v>#VALUE!</v>
      </c>
      <c r="AL318" t="e">
        <f>'Middle East'!F40+"n/&gt;!1?X"</f>
        <v>#VALUE!</v>
      </c>
      <c r="AM318" t="e">
        <f>'Middle East'!G40+"n/&gt;!1?Y"</f>
        <v>#VALUE!</v>
      </c>
      <c r="AN318" t="e">
        <f>'Middle East'!H40+"n/&gt;!1?Z"</f>
        <v>#VALUE!</v>
      </c>
      <c r="AO318" t="e">
        <f>'Middle East'!I40+"n/&gt;!1?["</f>
        <v>#VALUE!</v>
      </c>
      <c r="AP318" t="e">
        <f>'Middle East'!A41+"n/&gt;!1?\"</f>
        <v>#VALUE!</v>
      </c>
      <c r="AQ318" t="e">
        <f>'Middle East'!B41+"n/&gt;!1?]"</f>
        <v>#VALUE!</v>
      </c>
      <c r="AR318" t="e">
        <f>'Middle East'!C41+"n/&gt;!1?^"</f>
        <v>#VALUE!</v>
      </c>
      <c r="AS318" t="e">
        <f>'Middle East'!D41+"n/&gt;!1?_"</f>
        <v>#VALUE!</v>
      </c>
      <c r="AT318" t="e">
        <f>'Middle East'!E41+"n/&gt;!1?`"</f>
        <v>#VALUE!</v>
      </c>
      <c r="AU318" t="e">
        <f>'Middle East'!F41+"n/&gt;!1?a"</f>
        <v>#VALUE!</v>
      </c>
      <c r="AV318" t="e">
        <f>'Middle East'!G41+"n/&gt;!1?b"</f>
        <v>#VALUE!</v>
      </c>
      <c r="AW318" t="e">
        <f>'Middle East'!H41+"n/&gt;!1?c"</f>
        <v>#VALUE!</v>
      </c>
      <c r="AX318" t="e">
        <f>'Middle East'!I41+"n/&gt;!1?d"</f>
        <v>#VALUE!</v>
      </c>
      <c r="AY318" t="e">
        <f>'Middle East'!A42+"n/&gt;!1?e"</f>
        <v>#VALUE!</v>
      </c>
      <c r="AZ318" t="e">
        <f>'Middle East'!B42+"n/&gt;!1?f"</f>
        <v>#VALUE!</v>
      </c>
      <c r="BA318" t="e">
        <f>'Middle East'!C42+"n/&gt;!1?g"</f>
        <v>#VALUE!</v>
      </c>
      <c r="BB318" t="e">
        <f>'Middle East'!D42+"n/&gt;!1?h"</f>
        <v>#VALUE!</v>
      </c>
      <c r="BC318" t="e">
        <f>'Middle East'!E42+"n/&gt;!1?i"</f>
        <v>#VALUE!</v>
      </c>
      <c r="BD318" t="e">
        <f>'Middle East'!F42+"n/&gt;!1?j"</f>
        <v>#VALUE!</v>
      </c>
      <c r="BE318" t="e">
        <f>'Middle East'!G42+"n/&gt;!1?k"</f>
        <v>#VALUE!</v>
      </c>
      <c r="BF318" t="e">
        <f>'Middle East'!H42+"n/&gt;!1?l"</f>
        <v>#VALUE!</v>
      </c>
      <c r="BG318" t="e">
        <f>'Middle East'!I42+"n/&gt;!1?m"</f>
        <v>#VALUE!</v>
      </c>
      <c r="BH318" t="e">
        <f>'Middle East'!A43+"n/&gt;!1?n"</f>
        <v>#VALUE!</v>
      </c>
      <c r="BI318" t="e">
        <f>'Middle East'!B43+"n/&gt;!1?o"</f>
        <v>#VALUE!</v>
      </c>
      <c r="BJ318" t="e">
        <f>'Middle East'!C43+"n/&gt;!1?p"</f>
        <v>#VALUE!</v>
      </c>
      <c r="BK318" t="e">
        <f>'Middle East'!D43+"n/&gt;!1?q"</f>
        <v>#VALUE!</v>
      </c>
      <c r="BL318" t="e">
        <f>'Middle East'!E43+"n/&gt;!1?r"</f>
        <v>#VALUE!</v>
      </c>
      <c r="BM318" t="e">
        <f>'Middle East'!F43+"n/&gt;!1?s"</f>
        <v>#VALUE!</v>
      </c>
      <c r="BN318" t="e">
        <f>'Middle East'!G43+"n/&gt;!1?t"</f>
        <v>#VALUE!</v>
      </c>
      <c r="BO318" t="e">
        <f>'Middle East'!H43+"n/&gt;!1?u"</f>
        <v>#VALUE!</v>
      </c>
      <c r="BP318" t="e">
        <f>'Middle East'!I43+"n/&gt;!1?v"</f>
        <v>#VALUE!</v>
      </c>
      <c r="BQ318" t="e">
        <f>'Middle East'!A44+"n/&gt;!1?w"</f>
        <v>#VALUE!</v>
      </c>
      <c r="BR318" t="e">
        <f>'Middle East'!B44+"n/&gt;!1?x"</f>
        <v>#VALUE!</v>
      </c>
      <c r="BS318" t="e">
        <f>'Middle East'!C44+"n/&gt;!1?y"</f>
        <v>#VALUE!</v>
      </c>
      <c r="BT318" t="e">
        <f>'Middle East'!D44+"n/&gt;!1?z"</f>
        <v>#VALUE!</v>
      </c>
      <c r="BU318" t="e">
        <f>'Middle East'!E44+"n/&gt;!1?{"</f>
        <v>#VALUE!</v>
      </c>
      <c r="BV318" t="e">
        <f>'Middle East'!F44+"n/&gt;!1?|"</f>
        <v>#VALUE!</v>
      </c>
      <c r="BW318" t="e">
        <f>'Middle East'!G44+"n/&gt;!1?}"</f>
        <v>#VALUE!</v>
      </c>
      <c r="BX318" t="e">
        <f>'Middle East'!H44+"n/&gt;!1?~"</f>
        <v>#VALUE!</v>
      </c>
      <c r="BY318" t="e">
        <f>'Middle East'!I44+"n/&gt;!1@#"</f>
        <v>#VALUE!</v>
      </c>
      <c r="BZ318" t="e">
        <f>'Middle East'!A45+"n/&gt;!1@$"</f>
        <v>#VALUE!</v>
      </c>
      <c r="CA318" t="e">
        <f>'Middle East'!B45+"n/&gt;!1@%"</f>
        <v>#VALUE!</v>
      </c>
      <c r="CB318" t="e">
        <f>'Middle East'!C45+"n/&gt;!1@&amp;"</f>
        <v>#VALUE!</v>
      </c>
      <c r="CC318" t="e">
        <f>'Middle East'!D45+"n/&gt;!1@'"</f>
        <v>#VALUE!</v>
      </c>
      <c r="CD318" t="e">
        <f>'Middle East'!E45+"n/&gt;!1@("</f>
        <v>#VALUE!</v>
      </c>
      <c r="CE318" t="e">
        <f>'Middle East'!F45+"n/&gt;!1@)"</f>
        <v>#VALUE!</v>
      </c>
      <c r="CF318" t="e">
        <f>'Middle East'!G45+"n/&gt;!1@."</f>
        <v>#VALUE!</v>
      </c>
      <c r="CG318" t="e">
        <f>'Middle East'!H45+"n/&gt;!1@/"</f>
        <v>#VALUE!</v>
      </c>
      <c r="CH318" t="e">
        <f>'Middle East'!I45+"n/&gt;!1@0"</f>
        <v>#VALUE!</v>
      </c>
      <c r="CI318" t="e">
        <f>'Middle East'!A46+"n/&gt;!1@1"</f>
        <v>#VALUE!</v>
      </c>
      <c r="CJ318" t="e">
        <f>'Middle East'!B46+"n/&gt;!1@2"</f>
        <v>#VALUE!</v>
      </c>
      <c r="CK318" t="e">
        <f>'Middle East'!C46+"n/&gt;!1@3"</f>
        <v>#VALUE!</v>
      </c>
      <c r="CL318" t="e">
        <f>'Middle East'!D46+"n/&gt;!1@4"</f>
        <v>#VALUE!</v>
      </c>
      <c r="CM318" t="e">
        <f>'Middle East'!E46+"n/&gt;!1@5"</f>
        <v>#VALUE!</v>
      </c>
      <c r="CN318" t="e">
        <f>'Middle East'!F46+"n/&gt;!1@6"</f>
        <v>#VALUE!</v>
      </c>
      <c r="CO318" t="e">
        <f>'Middle East'!G46+"n/&gt;!1@7"</f>
        <v>#VALUE!</v>
      </c>
      <c r="CP318" t="e">
        <f>'Middle East'!H46+"n/&gt;!1@8"</f>
        <v>#VALUE!</v>
      </c>
      <c r="CQ318" t="e">
        <f>'Middle East'!I46+"n/&gt;!1@9"</f>
        <v>#VALUE!</v>
      </c>
      <c r="CR318" t="e">
        <f>'Middle East'!A47+"n/&gt;!1@:"</f>
        <v>#VALUE!</v>
      </c>
      <c r="CS318" t="e">
        <f>'Middle East'!B47+"n/&gt;!1@;"</f>
        <v>#VALUE!</v>
      </c>
      <c r="CT318" t="e">
        <f>'Middle East'!C47+"n/&gt;!1@&lt;"</f>
        <v>#VALUE!</v>
      </c>
      <c r="CU318" t="e">
        <f>'Middle East'!D47+"n/&gt;!1@="</f>
        <v>#VALUE!</v>
      </c>
      <c r="CV318" t="e">
        <f>'Middle East'!E47+"n/&gt;!1@&gt;"</f>
        <v>#VALUE!</v>
      </c>
      <c r="CW318" t="e">
        <f>'Middle East'!F47+"n/&gt;!1@?"</f>
        <v>#VALUE!</v>
      </c>
      <c r="CX318" t="e">
        <f>'Middle East'!G47+"n/&gt;!1@@"</f>
        <v>#VALUE!</v>
      </c>
      <c r="CY318" t="e">
        <f>'Middle East'!H47+"n/&gt;!1@A"</f>
        <v>#VALUE!</v>
      </c>
      <c r="CZ318" t="e">
        <f>'Middle East'!I47+"n/&gt;!1@B"</f>
        <v>#VALUE!</v>
      </c>
      <c r="DA318" t="e">
        <f>'Middle East'!A48+"n/&gt;!1@C"</f>
        <v>#VALUE!</v>
      </c>
      <c r="DB318" t="e">
        <f>'Middle East'!B48+"n/&gt;!1@D"</f>
        <v>#VALUE!</v>
      </c>
      <c r="DC318" t="e">
        <f>'Middle East'!C48+"n/&gt;!1@E"</f>
        <v>#VALUE!</v>
      </c>
      <c r="DD318" t="e">
        <f>'Middle East'!D48+"n/&gt;!1@F"</f>
        <v>#VALUE!</v>
      </c>
      <c r="DE318" t="e">
        <f>'Middle East'!E48+"n/&gt;!1@G"</f>
        <v>#VALUE!</v>
      </c>
      <c r="DF318" t="e">
        <f>'Middle East'!F48+"n/&gt;!1@H"</f>
        <v>#VALUE!</v>
      </c>
      <c r="DG318" t="e">
        <f>'Middle East'!G48+"n/&gt;!1@I"</f>
        <v>#VALUE!</v>
      </c>
      <c r="DH318" t="e">
        <f>'Middle East'!H48+"n/&gt;!1@J"</f>
        <v>#VALUE!</v>
      </c>
      <c r="DI318" t="e">
        <f>'Middle East'!I48+"n/&gt;!1@K"</f>
        <v>#VALUE!</v>
      </c>
      <c r="DJ318" t="e">
        <f>'Middle East'!A49+"n/&gt;!1@L"</f>
        <v>#VALUE!</v>
      </c>
      <c r="DK318" t="e">
        <f>'Middle East'!B49+"n/&gt;!1@M"</f>
        <v>#VALUE!</v>
      </c>
      <c r="DL318" t="e">
        <f>'Middle East'!C49+"n/&gt;!1@N"</f>
        <v>#VALUE!</v>
      </c>
      <c r="DM318" t="e">
        <f>'Middle East'!D49+"n/&gt;!1@O"</f>
        <v>#VALUE!</v>
      </c>
      <c r="DN318" t="e">
        <f>'Middle East'!E49+"n/&gt;!1@P"</f>
        <v>#VALUE!</v>
      </c>
      <c r="DO318" t="e">
        <f>'Middle East'!F49+"n/&gt;!1@Q"</f>
        <v>#VALUE!</v>
      </c>
      <c r="DP318" t="e">
        <f>'Middle East'!G49+"n/&gt;!1@R"</f>
        <v>#VALUE!</v>
      </c>
      <c r="DQ318" t="e">
        <f>'Middle East'!H49+"n/&gt;!1@S"</f>
        <v>#VALUE!</v>
      </c>
      <c r="DR318" t="e">
        <f>'Middle East'!I49+"n/&gt;!1@T"</f>
        <v>#VALUE!</v>
      </c>
      <c r="DS318" t="e">
        <f>'Middle East'!A50+"n/&gt;!1@U"</f>
        <v>#VALUE!</v>
      </c>
      <c r="DT318" t="e">
        <f>'Middle East'!B50+"n/&gt;!1@V"</f>
        <v>#VALUE!</v>
      </c>
      <c r="DU318" t="e">
        <f>'Middle East'!C50+"n/&gt;!1@W"</f>
        <v>#VALUE!</v>
      </c>
      <c r="DV318" t="e">
        <f>'Middle East'!D50+"n/&gt;!1@X"</f>
        <v>#VALUE!</v>
      </c>
      <c r="DW318" t="e">
        <f>'Middle East'!E50+"n/&gt;!1@Y"</f>
        <v>#VALUE!</v>
      </c>
      <c r="DX318" t="e">
        <f>'Middle East'!F50+"n/&gt;!1@Z"</f>
        <v>#VALUE!</v>
      </c>
      <c r="DY318" t="e">
        <f>'Middle East'!G50+"n/&gt;!1@["</f>
        <v>#VALUE!</v>
      </c>
      <c r="DZ318" t="e">
        <f>'Middle East'!H50+"n/&gt;!1@\"</f>
        <v>#VALUE!</v>
      </c>
      <c r="EA318" t="e">
        <f>'Middle East'!I50+"n/&gt;!1@]"</f>
        <v>#VALUE!</v>
      </c>
      <c r="EB318" t="e">
        <f>'Middle East'!A51+"n/&gt;!1@^"</f>
        <v>#VALUE!</v>
      </c>
      <c r="EC318" t="e">
        <f>'Middle East'!B51+"n/&gt;!1@_"</f>
        <v>#VALUE!</v>
      </c>
      <c r="ED318" t="e">
        <f>'Middle East'!C51+"n/&gt;!1@`"</f>
        <v>#VALUE!</v>
      </c>
      <c r="EE318" t="e">
        <f>'Middle East'!D51+"n/&gt;!1@a"</f>
        <v>#VALUE!</v>
      </c>
      <c r="EF318" t="e">
        <f>'Middle East'!E51+"n/&gt;!1@b"</f>
        <v>#VALUE!</v>
      </c>
      <c r="EG318" t="e">
        <f>'Middle East'!F51+"n/&gt;!1@c"</f>
        <v>#VALUE!</v>
      </c>
      <c r="EH318" t="e">
        <f>'Middle East'!G51+"n/&gt;!1@d"</f>
        <v>#VALUE!</v>
      </c>
      <c r="EI318" t="e">
        <f>'Middle East'!H51+"n/&gt;!1@e"</f>
        <v>#VALUE!</v>
      </c>
      <c r="EJ318" t="e">
        <f>'Middle East'!I51+"n/&gt;!1@f"</f>
        <v>#VALUE!</v>
      </c>
      <c r="EK318" t="e">
        <f>'Middle East'!A52+"n/&gt;!1@g"</f>
        <v>#VALUE!</v>
      </c>
      <c r="EL318" t="e">
        <f>'Middle East'!B52+"n/&gt;!1@h"</f>
        <v>#VALUE!</v>
      </c>
      <c r="EM318" t="e">
        <f>'Middle East'!C52+"n/&gt;!1@i"</f>
        <v>#VALUE!</v>
      </c>
      <c r="EN318" t="e">
        <f>'Middle East'!D52+"n/&gt;!1@j"</f>
        <v>#VALUE!</v>
      </c>
      <c r="EO318" t="e">
        <f>'Middle East'!E52+"n/&gt;!1@k"</f>
        <v>#VALUE!</v>
      </c>
      <c r="EP318" t="e">
        <f>'Middle East'!F52+"n/&gt;!1@l"</f>
        <v>#VALUE!</v>
      </c>
      <c r="EQ318" t="e">
        <f>'Middle East'!G52+"n/&gt;!1@m"</f>
        <v>#VALUE!</v>
      </c>
      <c r="ER318" t="e">
        <f>'Middle East'!H52+"n/&gt;!1@n"</f>
        <v>#VALUE!</v>
      </c>
      <c r="ES318" t="e">
        <f>'Middle East'!I52+"n/&gt;!1@o"</f>
        <v>#VALUE!</v>
      </c>
      <c r="ET318" t="e">
        <f>'Middle East'!A53+"n/&gt;!1@p"</f>
        <v>#VALUE!</v>
      </c>
      <c r="EU318" t="e">
        <f>'Middle East'!B53+"n/&gt;!1@q"</f>
        <v>#VALUE!</v>
      </c>
      <c r="EV318" t="e">
        <f>'Middle East'!C53+"n/&gt;!1@r"</f>
        <v>#VALUE!</v>
      </c>
      <c r="EW318" t="e">
        <f>'Middle East'!D53+"n/&gt;!1@s"</f>
        <v>#VALUE!</v>
      </c>
      <c r="EX318" t="e">
        <f>'Middle East'!E53+"n/&gt;!1@t"</f>
        <v>#VALUE!</v>
      </c>
      <c r="EY318" t="e">
        <f>'Middle East'!F53+"n/&gt;!1@u"</f>
        <v>#VALUE!</v>
      </c>
      <c r="EZ318" t="e">
        <f>'Middle East'!G53+"n/&gt;!1@v"</f>
        <v>#VALUE!</v>
      </c>
      <c r="FA318" t="e">
        <f>'Middle East'!H53+"n/&gt;!1@w"</f>
        <v>#VALUE!</v>
      </c>
      <c r="FB318" t="e">
        <f>'Middle East'!I53+"n/&gt;!1@x"</f>
        <v>#VALUE!</v>
      </c>
      <c r="FC318" t="e">
        <f>'Middle East'!A54+"n/&gt;!1@y"</f>
        <v>#VALUE!</v>
      </c>
      <c r="FD318" t="e">
        <f>'Middle East'!B54+"n/&gt;!1@z"</f>
        <v>#VALUE!</v>
      </c>
      <c r="FE318" t="e">
        <f>'Middle East'!C54+"n/&gt;!1@{"</f>
        <v>#VALUE!</v>
      </c>
      <c r="FF318" t="e">
        <f>'Middle East'!D54+"n/&gt;!1@|"</f>
        <v>#VALUE!</v>
      </c>
      <c r="FG318" t="e">
        <f>'Middle East'!E54+"n/&gt;!1@}"</f>
        <v>#VALUE!</v>
      </c>
      <c r="FH318" t="e">
        <f>'Middle East'!F54+"n/&gt;!1@~"</f>
        <v>#VALUE!</v>
      </c>
      <c r="FI318" t="e">
        <f>'Middle East'!G54+"n/&gt;!1A#"</f>
        <v>#VALUE!</v>
      </c>
      <c r="FJ318" t="e">
        <f>'Middle East'!H54+"n/&gt;!1A$"</f>
        <v>#VALUE!</v>
      </c>
      <c r="FK318" t="e">
        <f>'Middle East'!I54+"n/&gt;!1A%"</f>
        <v>#VALUE!</v>
      </c>
      <c r="FL318" t="e">
        <f>'Middle East'!A55+"n/&gt;!1A&amp;"</f>
        <v>#VALUE!</v>
      </c>
      <c r="FM318" t="e">
        <f>'Middle East'!B55+"n/&gt;!1A'"</f>
        <v>#VALUE!</v>
      </c>
      <c r="FN318" t="e">
        <f>'Middle East'!C55+"n/&gt;!1A("</f>
        <v>#VALUE!</v>
      </c>
      <c r="FO318" t="e">
        <f>'Middle East'!D55+"n/&gt;!1A)"</f>
        <v>#VALUE!</v>
      </c>
      <c r="FP318" t="e">
        <f>'Middle East'!E55+"n/&gt;!1A."</f>
        <v>#VALUE!</v>
      </c>
      <c r="FQ318" t="e">
        <f>'Middle East'!F55+"n/&gt;!1A/"</f>
        <v>#VALUE!</v>
      </c>
      <c r="FR318" t="e">
        <f>'Middle East'!G55+"n/&gt;!1A0"</f>
        <v>#VALUE!</v>
      </c>
      <c r="FS318" t="e">
        <f>'Middle East'!H55+"n/&gt;!1A1"</f>
        <v>#VALUE!</v>
      </c>
      <c r="FT318" t="e">
        <f>'Middle East'!I55+"n/&gt;!1A2"</f>
        <v>#VALUE!</v>
      </c>
      <c r="FU318" t="e">
        <f>'Middle East'!A56+"n/&gt;!1A3"</f>
        <v>#VALUE!</v>
      </c>
      <c r="FV318" t="e">
        <f>'Middle East'!B56+"n/&gt;!1A4"</f>
        <v>#VALUE!</v>
      </c>
      <c r="FW318" t="e">
        <f>'Middle East'!C56+"n/&gt;!1A5"</f>
        <v>#VALUE!</v>
      </c>
      <c r="FX318" t="e">
        <f>'Middle East'!D56+"n/&gt;!1A6"</f>
        <v>#VALUE!</v>
      </c>
      <c r="FY318" t="e">
        <f>'Middle East'!E56+"n/&gt;!1A7"</f>
        <v>#VALUE!</v>
      </c>
      <c r="FZ318" t="e">
        <f>'Middle East'!F56+"n/&gt;!1A8"</f>
        <v>#VALUE!</v>
      </c>
      <c r="GA318" t="e">
        <f>'Middle East'!G56+"n/&gt;!1A9"</f>
        <v>#VALUE!</v>
      </c>
      <c r="GB318" t="e">
        <f>'Middle East'!H56+"n/&gt;!1A:"</f>
        <v>#VALUE!</v>
      </c>
      <c r="GC318" t="e">
        <f>'Middle East'!I56+"n/&gt;!1A;"</f>
        <v>#VALUE!</v>
      </c>
      <c r="GD318" t="e">
        <f>'Middle East'!A57+"n/&gt;!1A&lt;"</f>
        <v>#VALUE!</v>
      </c>
      <c r="GE318" t="e">
        <f>'Middle East'!B57+"n/&gt;!1A="</f>
        <v>#VALUE!</v>
      </c>
      <c r="GF318" t="e">
        <f>'Middle East'!C57+"n/&gt;!1A&gt;"</f>
        <v>#VALUE!</v>
      </c>
      <c r="GG318" t="e">
        <f>'Middle East'!D57+"n/&gt;!1A?"</f>
        <v>#VALUE!</v>
      </c>
      <c r="GH318" t="e">
        <f>'Middle East'!E57+"n/&gt;!1A@"</f>
        <v>#VALUE!</v>
      </c>
      <c r="GI318" t="e">
        <f>'Middle East'!F57+"n/&gt;!1AA"</f>
        <v>#VALUE!</v>
      </c>
      <c r="GJ318" t="e">
        <f>'Middle East'!G57+"n/&gt;!1AB"</f>
        <v>#VALUE!</v>
      </c>
      <c r="GK318" t="e">
        <f>'Middle East'!H57+"n/&gt;!1AC"</f>
        <v>#VALUE!</v>
      </c>
      <c r="GL318" t="e">
        <f>'Middle East'!I57+"n/&gt;!1AD"</f>
        <v>#VALUE!</v>
      </c>
      <c r="GM318" t="e">
        <f>'Middle East'!A58+"n/&gt;!1AE"</f>
        <v>#VALUE!</v>
      </c>
      <c r="GN318" t="e">
        <f>'Middle East'!B58+"n/&gt;!1AF"</f>
        <v>#VALUE!</v>
      </c>
      <c r="GO318" t="e">
        <f>'Middle East'!C58+"n/&gt;!1AG"</f>
        <v>#VALUE!</v>
      </c>
      <c r="GP318" t="e">
        <f>'Middle East'!D58+"n/&gt;!1AH"</f>
        <v>#VALUE!</v>
      </c>
      <c r="GQ318" t="e">
        <f>'Middle East'!E58+"n/&gt;!1AI"</f>
        <v>#VALUE!</v>
      </c>
      <c r="GR318" t="e">
        <f>'Middle East'!F58+"n/&gt;!1AJ"</f>
        <v>#VALUE!</v>
      </c>
      <c r="GS318" t="e">
        <f>'Middle East'!G58+"n/&gt;!1AK"</f>
        <v>#VALUE!</v>
      </c>
      <c r="GT318" t="e">
        <f>'Middle East'!H58+"n/&gt;!1AL"</f>
        <v>#VALUE!</v>
      </c>
      <c r="GU318" t="e">
        <f>'Middle East'!I58+"n/&gt;!1AM"</f>
        <v>#VALUE!</v>
      </c>
      <c r="GV318" t="e">
        <f>'Middle East'!A59+"n/&gt;!1AN"</f>
        <v>#VALUE!</v>
      </c>
      <c r="GW318" t="e">
        <f>'Middle East'!B59+"n/&gt;!1AO"</f>
        <v>#VALUE!</v>
      </c>
      <c r="GX318" t="e">
        <f>'Middle East'!C59+"n/&gt;!1AP"</f>
        <v>#VALUE!</v>
      </c>
      <c r="GY318" t="e">
        <f>'Middle East'!D59+"n/&gt;!1AQ"</f>
        <v>#VALUE!</v>
      </c>
      <c r="GZ318" t="e">
        <f>'Middle East'!E59+"n/&gt;!1AR"</f>
        <v>#VALUE!</v>
      </c>
      <c r="HA318" t="e">
        <f>'Middle East'!F59+"n/&gt;!1AS"</f>
        <v>#VALUE!</v>
      </c>
      <c r="HB318" t="e">
        <f>'Middle East'!G59+"n/&gt;!1AT"</f>
        <v>#VALUE!</v>
      </c>
      <c r="HC318" t="e">
        <f>'Middle East'!H59+"n/&gt;!1AU"</f>
        <v>#VALUE!</v>
      </c>
      <c r="HD318" t="e">
        <f>'Middle East'!I59+"n/&gt;!1AV"</f>
        <v>#VALUE!</v>
      </c>
      <c r="HE318" t="e">
        <f>'Middle East'!A60+"n/&gt;!1AW"</f>
        <v>#VALUE!</v>
      </c>
      <c r="HF318" t="e">
        <f>'Middle East'!B60+"n/&gt;!1AX"</f>
        <v>#VALUE!</v>
      </c>
      <c r="HG318" t="e">
        <f>'Middle East'!C60+"n/&gt;!1AY"</f>
        <v>#VALUE!</v>
      </c>
      <c r="HH318" t="e">
        <f>'Middle East'!D60+"n/&gt;!1AZ"</f>
        <v>#VALUE!</v>
      </c>
      <c r="HI318" t="e">
        <f>'Middle East'!E60+"n/&gt;!1A["</f>
        <v>#VALUE!</v>
      </c>
      <c r="HJ318" t="e">
        <f>'Middle East'!F60+"n/&gt;!1A\"</f>
        <v>#VALUE!</v>
      </c>
      <c r="HK318" t="e">
        <f>'Middle East'!G60+"n/&gt;!1A]"</f>
        <v>#VALUE!</v>
      </c>
      <c r="HL318" t="e">
        <f>'Middle East'!H60+"n/&gt;!1A^"</f>
        <v>#VALUE!</v>
      </c>
      <c r="HM318" t="e">
        <f>'Middle East'!I60+"n/&gt;!1A_"</f>
        <v>#VALUE!</v>
      </c>
      <c r="HN318" t="e">
        <f>'Middle East'!A61+"n/&gt;!1A`"</f>
        <v>#VALUE!</v>
      </c>
      <c r="HO318" t="e">
        <f>'Middle East'!B61+"n/&gt;!1Aa"</f>
        <v>#VALUE!</v>
      </c>
      <c r="HP318" t="e">
        <f>'Middle East'!C61+"n/&gt;!1Ab"</f>
        <v>#VALUE!</v>
      </c>
      <c r="HQ318" t="e">
        <f>'Middle East'!D61+"n/&gt;!1Ac"</f>
        <v>#VALUE!</v>
      </c>
      <c r="HR318" t="e">
        <f>'Middle East'!E61+"n/&gt;!1Ad"</f>
        <v>#VALUE!</v>
      </c>
      <c r="HS318" t="e">
        <f>'Middle East'!F61+"n/&gt;!1Ae"</f>
        <v>#VALUE!</v>
      </c>
      <c r="HT318" t="e">
        <f>'Middle East'!G61+"n/&gt;!1Af"</f>
        <v>#VALUE!</v>
      </c>
      <c r="HU318" t="e">
        <f>'Middle East'!H61+"n/&gt;!1Ag"</f>
        <v>#VALUE!</v>
      </c>
      <c r="HV318" t="e">
        <f>'Middle East'!I61+"n/&gt;!1Ah"</f>
        <v>#VALUE!</v>
      </c>
      <c r="HW318" t="e">
        <f>'Middle East'!A62+"n/&gt;!1Ai"</f>
        <v>#VALUE!</v>
      </c>
      <c r="HX318" t="e">
        <f>'Middle East'!B62+"n/&gt;!1Aj"</f>
        <v>#VALUE!</v>
      </c>
      <c r="HY318" t="e">
        <f>'Middle East'!C62+"n/&gt;!1Ak"</f>
        <v>#VALUE!</v>
      </c>
      <c r="HZ318" t="e">
        <f>'Middle East'!D62+"n/&gt;!1Al"</f>
        <v>#VALUE!</v>
      </c>
      <c r="IA318" t="e">
        <f>'Middle East'!E62+"n/&gt;!1Am"</f>
        <v>#VALUE!</v>
      </c>
      <c r="IB318" t="e">
        <f>'Middle East'!F62+"n/&gt;!1An"</f>
        <v>#VALUE!</v>
      </c>
      <c r="IC318" t="e">
        <f>'Middle East'!G62+"n/&gt;!1Ao"</f>
        <v>#VALUE!</v>
      </c>
      <c r="ID318" t="e">
        <f>'Middle East'!H62+"n/&gt;!1Ap"</f>
        <v>#VALUE!</v>
      </c>
      <c r="IE318" t="e">
        <f>'Middle East'!I62+"n/&gt;!1Aq"</f>
        <v>#VALUE!</v>
      </c>
      <c r="IF318" t="e">
        <f>'Middle East'!A63+"n/&gt;!1Ar"</f>
        <v>#VALUE!</v>
      </c>
      <c r="IG318" t="e">
        <f>'Middle East'!B63+"n/&gt;!1As"</f>
        <v>#VALUE!</v>
      </c>
      <c r="IH318" t="e">
        <f>'Middle East'!C63+"n/&gt;!1At"</f>
        <v>#VALUE!</v>
      </c>
      <c r="II318" t="e">
        <f>'Middle East'!D63+"n/&gt;!1Au"</f>
        <v>#VALUE!</v>
      </c>
      <c r="IJ318" t="e">
        <f>'Middle East'!E63+"n/&gt;!1Av"</f>
        <v>#VALUE!</v>
      </c>
      <c r="IK318" t="e">
        <f>'Middle East'!F63+"n/&gt;!1Aw"</f>
        <v>#VALUE!</v>
      </c>
      <c r="IL318" t="e">
        <f>'Middle East'!G63+"n/&gt;!1Ax"</f>
        <v>#VALUE!</v>
      </c>
      <c r="IM318" t="e">
        <f>'Middle East'!H63+"n/&gt;!1Ay"</f>
        <v>#VALUE!</v>
      </c>
      <c r="IN318" t="e">
        <f>'Middle East'!I63+"n/&gt;!1Az"</f>
        <v>#VALUE!</v>
      </c>
      <c r="IO318" t="e">
        <f>'Middle East'!A64+"n/&gt;!1A{"</f>
        <v>#VALUE!</v>
      </c>
      <c r="IP318" t="e">
        <f>'Middle East'!B64+"n/&gt;!1A|"</f>
        <v>#VALUE!</v>
      </c>
      <c r="IQ318" t="e">
        <f>'Middle East'!C64+"n/&gt;!1A}"</f>
        <v>#VALUE!</v>
      </c>
      <c r="IR318" t="e">
        <f>'Middle East'!D64+"n/&gt;!1A~"</f>
        <v>#VALUE!</v>
      </c>
      <c r="IS318" t="e">
        <f>'Middle East'!E64+"n/&gt;!1B#"</f>
        <v>#VALUE!</v>
      </c>
      <c r="IT318" t="e">
        <f>'Middle East'!F64+"n/&gt;!1B$"</f>
        <v>#VALUE!</v>
      </c>
      <c r="IU318" t="e">
        <f>'Middle East'!G64+"n/&gt;!1B%"</f>
        <v>#VALUE!</v>
      </c>
      <c r="IV318" t="e">
        <f>'Middle East'!H64+"n/&gt;!1B&amp;"</f>
        <v>#VALUE!</v>
      </c>
    </row>
    <row r="319" spans="6:256" x14ac:dyDescent="0.35">
      <c r="F319" t="e">
        <f>'Middle East'!I64+"n/&gt;!1B'"</f>
        <v>#VALUE!</v>
      </c>
      <c r="G319" t="e">
        <f>'Middle East'!A65+"n/&gt;!1B("</f>
        <v>#VALUE!</v>
      </c>
      <c r="H319" t="e">
        <f>'Middle East'!B65+"n/&gt;!1B)"</f>
        <v>#VALUE!</v>
      </c>
      <c r="I319" t="e">
        <f>'Middle East'!C65+"n/&gt;!1B."</f>
        <v>#VALUE!</v>
      </c>
      <c r="J319" t="e">
        <f>'Middle East'!D65+"n/&gt;!1B/"</f>
        <v>#VALUE!</v>
      </c>
      <c r="K319" t="e">
        <f>'Middle East'!E65+"n/&gt;!1B0"</f>
        <v>#VALUE!</v>
      </c>
      <c r="L319" t="e">
        <f>'Middle East'!F65+"n/&gt;!1B1"</f>
        <v>#VALUE!</v>
      </c>
      <c r="M319" t="e">
        <f>'Middle East'!G65+"n/&gt;!1B2"</f>
        <v>#VALUE!</v>
      </c>
      <c r="N319" t="e">
        <f>'Middle East'!H65+"n/&gt;!1B3"</f>
        <v>#VALUE!</v>
      </c>
      <c r="O319" t="e">
        <f>'Middle East'!I65+"n/&gt;!1B4"</f>
        <v>#VALUE!</v>
      </c>
      <c r="P319" t="e">
        <f>'Middle East'!A66+"n/&gt;!1B5"</f>
        <v>#VALUE!</v>
      </c>
      <c r="Q319" t="e">
        <f>'Middle East'!B66+"n/&gt;!1B6"</f>
        <v>#VALUE!</v>
      </c>
      <c r="R319" t="e">
        <f>'Middle East'!C66+"n/&gt;!1B7"</f>
        <v>#VALUE!</v>
      </c>
      <c r="S319" t="e">
        <f>'Middle East'!D66+"n/&gt;!1B8"</f>
        <v>#VALUE!</v>
      </c>
      <c r="T319" t="e">
        <f>'Middle East'!E66+"n/&gt;!1B9"</f>
        <v>#VALUE!</v>
      </c>
      <c r="U319" t="e">
        <f>'Middle East'!F66+"n/&gt;!1B:"</f>
        <v>#VALUE!</v>
      </c>
      <c r="V319" t="e">
        <f>'Middle East'!G66+"n/&gt;!1B;"</f>
        <v>#VALUE!</v>
      </c>
      <c r="W319" t="e">
        <f>'Middle East'!H66+"n/&gt;!1B&lt;"</f>
        <v>#VALUE!</v>
      </c>
      <c r="X319" t="e">
        <f>'Middle East'!I66+"n/&gt;!1B="</f>
        <v>#VALUE!</v>
      </c>
      <c r="Y319" t="e">
        <f>'Middle East'!A67+"n/&gt;!1B&gt;"</f>
        <v>#VALUE!</v>
      </c>
      <c r="Z319" t="e">
        <f>'Middle East'!B67+"n/&gt;!1B?"</f>
        <v>#VALUE!</v>
      </c>
      <c r="AA319" t="e">
        <f>'Middle East'!C67+"n/&gt;!1B@"</f>
        <v>#VALUE!</v>
      </c>
      <c r="AB319" t="e">
        <f>'Middle East'!D67+"n/&gt;!1BA"</f>
        <v>#VALUE!</v>
      </c>
      <c r="AC319" t="e">
        <f>'Middle East'!E67+"n/&gt;!1BB"</f>
        <v>#VALUE!</v>
      </c>
      <c r="AD319" t="e">
        <f>'Middle East'!F67+"n/&gt;!1BC"</f>
        <v>#VALUE!</v>
      </c>
      <c r="AE319" t="e">
        <f>'Middle East'!G67+"n/&gt;!1BD"</f>
        <v>#VALUE!</v>
      </c>
      <c r="AF319" t="e">
        <f>'Middle East'!H67+"n/&gt;!1BE"</f>
        <v>#VALUE!</v>
      </c>
      <c r="AG319" t="e">
        <f>'Middle East'!I67+"n/&gt;!1BF"</f>
        <v>#VALUE!</v>
      </c>
      <c r="AH319" t="e">
        <f>'Middle East'!A68+"n/&gt;!1BG"</f>
        <v>#VALUE!</v>
      </c>
      <c r="AI319" t="e">
        <f>'Middle East'!B68+"n/&gt;!1BH"</f>
        <v>#VALUE!</v>
      </c>
      <c r="AJ319" t="e">
        <f>'Middle East'!C68+"n/&gt;!1BI"</f>
        <v>#VALUE!</v>
      </c>
      <c r="AK319" t="e">
        <f>'Middle East'!D68+"n/&gt;!1BJ"</f>
        <v>#VALUE!</v>
      </c>
      <c r="AL319" t="e">
        <f>'Middle East'!E68+"n/&gt;!1BK"</f>
        <v>#VALUE!</v>
      </c>
      <c r="AM319" t="e">
        <f>'Middle East'!F68+"n/&gt;!1BL"</f>
        <v>#VALUE!</v>
      </c>
      <c r="AN319" t="e">
        <f>'Middle East'!G68+"n/&gt;!1BM"</f>
        <v>#VALUE!</v>
      </c>
      <c r="AO319" t="e">
        <f>'Middle East'!H68+"n/&gt;!1BN"</f>
        <v>#VALUE!</v>
      </c>
      <c r="AP319" t="e">
        <f>'Middle East'!I68+"n/&gt;!1BO"</f>
        <v>#VALUE!</v>
      </c>
      <c r="AQ319" t="e">
        <f>'Middle East'!A69+"n/&gt;!1BP"</f>
        <v>#VALUE!</v>
      </c>
      <c r="AR319" t="e">
        <f>'Middle East'!B69+"n/&gt;!1BQ"</f>
        <v>#VALUE!</v>
      </c>
      <c r="AS319" t="e">
        <f>'Middle East'!C69+"n/&gt;!1BR"</f>
        <v>#VALUE!</v>
      </c>
      <c r="AT319" t="e">
        <f>'Middle East'!D69+"n/&gt;!1BS"</f>
        <v>#VALUE!</v>
      </c>
      <c r="AU319" t="e">
        <f>'Middle East'!E69+"n/&gt;!1BT"</f>
        <v>#VALUE!</v>
      </c>
      <c r="AV319" t="e">
        <f>'Middle East'!F69+"n/&gt;!1BU"</f>
        <v>#VALUE!</v>
      </c>
      <c r="AW319" t="e">
        <f>'Middle East'!G69+"n/&gt;!1BV"</f>
        <v>#VALUE!</v>
      </c>
      <c r="AX319" t="e">
        <f>'Middle East'!H69+"n/&gt;!1BW"</f>
        <v>#VALUE!</v>
      </c>
      <c r="AY319" t="e">
        <f>'Middle East'!I69+"n/&gt;!1BX"</f>
        <v>#VALUE!</v>
      </c>
      <c r="AZ319" t="e">
        <f>'Middle East'!A70+"n/&gt;!1BY"</f>
        <v>#VALUE!</v>
      </c>
      <c r="BA319" t="e">
        <f>'Middle East'!B70+"n/&gt;!1BZ"</f>
        <v>#VALUE!</v>
      </c>
      <c r="BB319" t="e">
        <f>'Middle East'!C70+"n/&gt;!1B["</f>
        <v>#VALUE!</v>
      </c>
      <c r="BC319" t="e">
        <f>'Middle East'!D70+"n/&gt;!1B\"</f>
        <v>#VALUE!</v>
      </c>
      <c r="BD319" t="e">
        <f>'Middle East'!E70+"n/&gt;!1B]"</f>
        <v>#VALUE!</v>
      </c>
      <c r="BE319" t="e">
        <f>'Middle East'!F70+"n/&gt;!1B^"</f>
        <v>#VALUE!</v>
      </c>
      <c r="BF319" t="e">
        <f>'Middle East'!G70+"n/&gt;!1B_"</f>
        <v>#VALUE!</v>
      </c>
      <c r="BG319" t="e">
        <f>'Middle East'!H70+"n/&gt;!1B`"</f>
        <v>#VALUE!</v>
      </c>
      <c r="BH319" t="e">
        <f>'Middle East'!I70+"n/&gt;!1Ba"</f>
        <v>#VALUE!</v>
      </c>
      <c r="BI319" t="e">
        <f>'Middle East'!A71+"n/&gt;!1Bb"</f>
        <v>#VALUE!</v>
      </c>
      <c r="BJ319" t="e">
        <f>'Middle East'!B71+"n/&gt;!1Bc"</f>
        <v>#VALUE!</v>
      </c>
      <c r="BK319" t="e">
        <f>'Middle East'!C71+"n/&gt;!1Bd"</f>
        <v>#VALUE!</v>
      </c>
      <c r="BL319" t="e">
        <f>'Middle East'!D71+"n/&gt;!1Be"</f>
        <v>#VALUE!</v>
      </c>
      <c r="BM319" t="e">
        <f>'Middle East'!E71+"n/&gt;!1Bf"</f>
        <v>#VALUE!</v>
      </c>
      <c r="BN319" t="e">
        <f>'Middle East'!F71+"n/&gt;!1Bg"</f>
        <v>#VALUE!</v>
      </c>
      <c r="BO319" t="e">
        <f>'Middle East'!G71+"n/&gt;!1Bh"</f>
        <v>#VALUE!</v>
      </c>
      <c r="BP319" t="e">
        <f>'Middle East'!H71+"n/&gt;!1Bi"</f>
        <v>#VALUE!</v>
      </c>
      <c r="BQ319" t="e">
        <f>'Middle East'!I71+"n/&gt;!1Bj"</f>
        <v>#VALUE!</v>
      </c>
      <c r="BR319" t="e">
        <f>'Middle East'!A72+"n/&gt;!1Bk"</f>
        <v>#VALUE!</v>
      </c>
      <c r="BS319" t="e">
        <f>'Middle East'!B72+"n/&gt;!1Bl"</f>
        <v>#VALUE!</v>
      </c>
      <c r="BT319" t="e">
        <f>'Middle East'!C72+"n/&gt;!1Bm"</f>
        <v>#VALUE!</v>
      </c>
      <c r="BU319" t="e">
        <f>'Middle East'!D72+"n/&gt;!1Bn"</f>
        <v>#VALUE!</v>
      </c>
      <c r="BV319" t="e">
        <f>'Middle East'!E72+"n/&gt;!1Bo"</f>
        <v>#VALUE!</v>
      </c>
      <c r="BW319" t="e">
        <f>'Middle East'!F72+"n/&gt;!1Bp"</f>
        <v>#VALUE!</v>
      </c>
      <c r="BX319" t="e">
        <f>'Middle East'!G72+"n/&gt;!1Bq"</f>
        <v>#VALUE!</v>
      </c>
      <c r="BY319" t="e">
        <f>'Middle East'!H72+"n/&gt;!1Br"</f>
        <v>#VALUE!</v>
      </c>
      <c r="BZ319" t="e">
        <f>'Middle East'!I72+"n/&gt;!1Bs"</f>
        <v>#VALUE!</v>
      </c>
      <c r="CA319" t="e">
        <f>'Middle East'!A73+"n/&gt;!1Bt"</f>
        <v>#VALUE!</v>
      </c>
      <c r="CB319" t="e">
        <f>'Middle East'!B73+"n/&gt;!1Bu"</f>
        <v>#VALUE!</v>
      </c>
      <c r="CC319" t="e">
        <f>'Middle East'!C73+"n/&gt;!1Bv"</f>
        <v>#VALUE!</v>
      </c>
      <c r="CD319" t="e">
        <f>'Middle East'!D73+"n/&gt;!1Bw"</f>
        <v>#VALUE!</v>
      </c>
      <c r="CE319" t="e">
        <f>'Middle East'!E73+"n/&gt;!1Bx"</f>
        <v>#VALUE!</v>
      </c>
      <c r="CF319" t="e">
        <f>'Middle East'!F73+"n/&gt;!1By"</f>
        <v>#VALUE!</v>
      </c>
      <c r="CG319" t="e">
        <f>'Middle East'!G73+"n/&gt;!1Bz"</f>
        <v>#VALUE!</v>
      </c>
      <c r="CH319" t="e">
        <f>'Middle East'!H73+"n/&gt;!1B{"</f>
        <v>#VALUE!</v>
      </c>
      <c r="CI319" t="e">
        <f>'Middle East'!I73+"n/&gt;!1B|"</f>
        <v>#VALUE!</v>
      </c>
      <c r="CJ319" t="e">
        <f>'Middle East'!A74+"n/&gt;!1B}"</f>
        <v>#VALUE!</v>
      </c>
      <c r="CK319" t="e">
        <f>'Middle East'!B74+"n/&gt;!1B~"</f>
        <v>#VALUE!</v>
      </c>
      <c r="CL319" t="e">
        <f>'Middle East'!C74+"n/&gt;!1C#"</f>
        <v>#VALUE!</v>
      </c>
      <c r="CM319" t="e">
        <f>'Middle East'!D74+"n/&gt;!1C$"</f>
        <v>#VALUE!</v>
      </c>
      <c r="CN319" t="e">
        <f>'Middle East'!E74+"n/&gt;!1C%"</f>
        <v>#VALUE!</v>
      </c>
      <c r="CO319" t="e">
        <f>'Middle East'!F74+"n/&gt;!1C&amp;"</f>
        <v>#VALUE!</v>
      </c>
      <c r="CP319" t="e">
        <f>'Middle East'!G74+"n/&gt;!1C'"</f>
        <v>#VALUE!</v>
      </c>
      <c r="CQ319" t="e">
        <f>'Middle East'!H74+"n/&gt;!1C("</f>
        <v>#VALUE!</v>
      </c>
      <c r="CR319" t="e">
        <f>'Middle East'!I74+"n/&gt;!1C)"</f>
        <v>#VALUE!</v>
      </c>
      <c r="CS319" t="e">
        <f>'Middle East'!A75+"n/&gt;!1C."</f>
        <v>#VALUE!</v>
      </c>
      <c r="CT319" t="e">
        <f>'Middle East'!B75+"n/&gt;!1C/"</f>
        <v>#VALUE!</v>
      </c>
      <c r="CU319" t="e">
        <f>'Middle East'!C75+"n/&gt;!1C0"</f>
        <v>#VALUE!</v>
      </c>
      <c r="CV319" t="e">
        <f>'Middle East'!D75+"n/&gt;!1C1"</f>
        <v>#VALUE!</v>
      </c>
      <c r="CW319" t="e">
        <f>'Middle East'!E75+"n/&gt;!1C2"</f>
        <v>#VALUE!</v>
      </c>
      <c r="CX319" t="e">
        <f>'Middle East'!F75+"n/&gt;!1C3"</f>
        <v>#VALUE!</v>
      </c>
      <c r="CY319" t="e">
        <f>'Middle East'!G75+"n/&gt;!1C4"</f>
        <v>#VALUE!</v>
      </c>
      <c r="CZ319" t="e">
        <f>'Middle East'!H75+"n/&gt;!1C5"</f>
        <v>#VALUE!</v>
      </c>
      <c r="DA319" t="e">
        <f>'Middle East'!I75+"n/&gt;!1C6"</f>
        <v>#VALUE!</v>
      </c>
      <c r="DB319" t="e">
        <f>'Middle East'!A76+"n/&gt;!1C7"</f>
        <v>#VALUE!</v>
      </c>
      <c r="DC319" t="e">
        <f>'Middle East'!B76+"n/&gt;!1C8"</f>
        <v>#VALUE!</v>
      </c>
      <c r="DD319" t="e">
        <f>'Middle East'!C76+"n/&gt;!1C9"</f>
        <v>#VALUE!</v>
      </c>
      <c r="DE319" t="e">
        <f>'Middle East'!D76+"n/&gt;!1C:"</f>
        <v>#VALUE!</v>
      </c>
      <c r="DF319" t="e">
        <f>'Middle East'!E76+"n/&gt;!1C;"</f>
        <v>#VALUE!</v>
      </c>
      <c r="DG319" t="e">
        <f>'Middle East'!F76+"n/&gt;!1C&lt;"</f>
        <v>#VALUE!</v>
      </c>
      <c r="DH319" t="e">
        <f>'Middle East'!G76+"n/&gt;!1C="</f>
        <v>#VALUE!</v>
      </c>
      <c r="DI319" t="e">
        <f>'Middle East'!H76+"n/&gt;!1C&gt;"</f>
        <v>#VALUE!</v>
      </c>
      <c r="DJ319" t="e">
        <f>'Middle East'!I76+"n/&gt;!1C?"</f>
        <v>#VALUE!</v>
      </c>
      <c r="DK319" t="e">
        <f>'Middle East'!A77+"n/&gt;!1C@"</f>
        <v>#VALUE!</v>
      </c>
      <c r="DL319" t="e">
        <f>'Middle East'!B77+"n/&gt;!1CA"</f>
        <v>#VALUE!</v>
      </c>
      <c r="DM319" t="e">
        <f>'Middle East'!C77+"n/&gt;!1CB"</f>
        <v>#VALUE!</v>
      </c>
      <c r="DN319" t="e">
        <f>'Middle East'!D77+"n/&gt;!1CC"</f>
        <v>#VALUE!</v>
      </c>
      <c r="DO319" t="e">
        <f>'Middle East'!E77+"n/&gt;!1CD"</f>
        <v>#VALUE!</v>
      </c>
      <c r="DP319" t="e">
        <f>'Middle East'!F77+"n/&gt;!1CE"</f>
        <v>#VALUE!</v>
      </c>
      <c r="DQ319" t="e">
        <f>'Middle East'!G77+"n/&gt;!1CF"</f>
        <v>#VALUE!</v>
      </c>
      <c r="DR319" t="e">
        <f>'Middle East'!H77+"n/&gt;!1CG"</f>
        <v>#VALUE!</v>
      </c>
      <c r="DS319" t="e">
        <f>'Middle East'!I77+"n/&gt;!1CH"</f>
        <v>#VALUE!</v>
      </c>
      <c r="DT319" t="e">
        <f>'Middle East'!A78+"n/&gt;!1CI"</f>
        <v>#VALUE!</v>
      </c>
      <c r="DU319" t="e">
        <f>'Middle East'!B78+"n/&gt;!1CJ"</f>
        <v>#VALUE!</v>
      </c>
      <c r="DV319" t="e">
        <f>'Middle East'!C78+"n/&gt;!1CK"</f>
        <v>#VALUE!</v>
      </c>
      <c r="DW319" t="e">
        <f>'Middle East'!D78+"n/&gt;!1CL"</f>
        <v>#VALUE!</v>
      </c>
      <c r="DX319" t="e">
        <f>'Middle East'!E78+"n/&gt;!1CM"</f>
        <v>#VALUE!</v>
      </c>
      <c r="DY319" t="e">
        <f>'Middle East'!F78+"n/&gt;!1CN"</f>
        <v>#VALUE!</v>
      </c>
      <c r="DZ319" t="e">
        <f>'Middle East'!G78+"n/&gt;!1CO"</f>
        <v>#VALUE!</v>
      </c>
      <c r="EA319" t="e">
        <f>'Middle East'!H78+"n/&gt;!1CP"</f>
        <v>#VALUE!</v>
      </c>
      <c r="EB319" t="e">
        <f>'Middle East'!I78+"n/&gt;!1CQ"</f>
        <v>#VALUE!</v>
      </c>
      <c r="EC319" t="e">
        <f>'Middle East'!A79+"n/&gt;!1CR"</f>
        <v>#VALUE!</v>
      </c>
      <c r="ED319" t="e">
        <f>'Middle East'!B79+"n/&gt;!1CS"</f>
        <v>#VALUE!</v>
      </c>
      <c r="EE319" t="e">
        <f>'Middle East'!C79+"n/&gt;!1CT"</f>
        <v>#VALUE!</v>
      </c>
      <c r="EF319" t="e">
        <f>'Middle East'!D79+"n/&gt;!1CU"</f>
        <v>#VALUE!</v>
      </c>
      <c r="EG319" t="e">
        <f>'Middle East'!E79+"n/&gt;!1CV"</f>
        <v>#VALUE!</v>
      </c>
      <c r="EH319" t="e">
        <f>'Middle East'!F79+"n/&gt;!1CW"</f>
        <v>#VALUE!</v>
      </c>
      <c r="EI319" t="e">
        <f>'Middle East'!G79+"n/&gt;!1CX"</f>
        <v>#VALUE!</v>
      </c>
      <c r="EJ319" t="e">
        <f>'Middle East'!H79+"n/&gt;!1CY"</f>
        <v>#VALUE!</v>
      </c>
      <c r="EK319" t="e">
        <f>'Middle East'!I79+"n/&gt;!1CZ"</f>
        <v>#VALUE!</v>
      </c>
      <c r="EL319" t="e">
        <f>'Middle East'!A80+"n/&gt;!1C["</f>
        <v>#VALUE!</v>
      </c>
      <c r="EM319" t="e">
        <f>'Middle East'!B80+"n/&gt;!1C\"</f>
        <v>#VALUE!</v>
      </c>
      <c r="EN319" t="e">
        <f>'Middle East'!C80+"n/&gt;!1C]"</f>
        <v>#VALUE!</v>
      </c>
      <c r="EO319" t="e">
        <f>'Middle East'!D80+"n/&gt;!1C^"</f>
        <v>#VALUE!</v>
      </c>
      <c r="EP319" t="e">
        <f>'Middle East'!E80+"n/&gt;!1C_"</f>
        <v>#VALUE!</v>
      </c>
      <c r="EQ319" t="e">
        <f>'Middle East'!F80+"n/&gt;!1C`"</f>
        <v>#VALUE!</v>
      </c>
      <c r="ER319" t="e">
        <f>'Middle East'!G80+"n/&gt;!1Ca"</f>
        <v>#VALUE!</v>
      </c>
      <c r="ES319" t="e">
        <f>'Middle East'!H80+"n/&gt;!1Cb"</f>
        <v>#VALUE!</v>
      </c>
      <c r="ET319" t="e">
        <f>'Middle East'!I80+"n/&gt;!1Cc"</f>
        <v>#VALUE!</v>
      </c>
      <c r="EU319" t="e">
        <f>'Middle East'!A81+"n/&gt;!1Cd"</f>
        <v>#VALUE!</v>
      </c>
      <c r="EV319" t="e">
        <f>'Middle East'!B81+"n/&gt;!1Ce"</f>
        <v>#VALUE!</v>
      </c>
      <c r="EW319" t="e">
        <f>'Middle East'!C81+"n/&gt;!1Cf"</f>
        <v>#VALUE!</v>
      </c>
      <c r="EX319" t="e">
        <f>'Middle East'!D81+"n/&gt;!1Cg"</f>
        <v>#VALUE!</v>
      </c>
      <c r="EY319" t="e">
        <f>'Middle East'!E81+"n/&gt;!1Ch"</f>
        <v>#VALUE!</v>
      </c>
      <c r="EZ319" t="e">
        <f>'Middle East'!F81+"n/&gt;!1Ci"</f>
        <v>#VALUE!</v>
      </c>
      <c r="FA319" t="e">
        <f>'Middle East'!G81+"n/&gt;!1Cj"</f>
        <v>#VALUE!</v>
      </c>
      <c r="FB319" t="e">
        <f>'Middle East'!H81+"n/&gt;!1Ck"</f>
        <v>#VALUE!</v>
      </c>
      <c r="FC319" t="e">
        <f>'Middle East'!I81+"n/&gt;!1Cl"</f>
        <v>#VALUE!</v>
      </c>
      <c r="FD319" t="e">
        <f>'Middle East'!A82+"n/&gt;!1Cm"</f>
        <v>#VALUE!</v>
      </c>
      <c r="FE319" t="e">
        <f>'Middle East'!B82+"n/&gt;!1Cn"</f>
        <v>#VALUE!</v>
      </c>
      <c r="FF319" t="e">
        <f>'Middle East'!C82+"n/&gt;!1Co"</f>
        <v>#VALUE!</v>
      </c>
      <c r="FG319" t="e">
        <f>'Middle East'!D82+"n/&gt;!1Cp"</f>
        <v>#VALUE!</v>
      </c>
      <c r="FH319" t="e">
        <f>'Middle East'!E82+"n/&gt;!1Cq"</f>
        <v>#VALUE!</v>
      </c>
      <c r="FI319" t="e">
        <f>'Middle East'!F82+"n/&gt;!1Cr"</f>
        <v>#VALUE!</v>
      </c>
      <c r="FJ319" t="e">
        <f>'Middle East'!G82+"n/&gt;!1Cs"</f>
        <v>#VALUE!</v>
      </c>
      <c r="FK319" t="e">
        <f>'Middle East'!H82+"n/&gt;!1Ct"</f>
        <v>#VALUE!</v>
      </c>
      <c r="FL319" t="e">
        <f>'Middle East'!I82+"n/&gt;!1Cu"</f>
        <v>#VALUE!</v>
      </c>
      <c r="FM319" t="e">
        <f>'Middle East'!A83+"n/&gt;!1Cv"</f>
        <v>#VALUE!</v>
      </c>
      <c r="FN319" t="e">
        <f>'Middle East'!B83+"n/&gt;!1Cw"</f>
        <v>#VALUE!</v>
      </c>
      <c r="FO319" t="e">
        <f>'Middle East'!C83+"n/&gt;!1Cx"</f>
        <v>#VALUE!</v>
      </c>
      <c r="FP319" t="e">
        <f>'Middle East'!D83+"n/&gt;!1Cy"</f>
        <v>#VALUE!</v>
      </c>
      <c r="FQ319" t="e">
        <f>'Middle East'!E83+"n/&gt;!1Cz"</f>
        <v>#VALUE!</v>
      </c>
      <c r="FR319" t="e">
        <f>'Middle East'!F83+"n/&gt;!1C{"</f>
        <v>#VALUE!</v>
      </c>
      <c r="FS319" t="e">
        <f>'Middle East'!G83+"n/&gt;!1C|"</f>
        <v>#VALUE!</v>
      </c>
      <c r="FT319" t="e">
        <f>'Middle East'!H83+"n/&gt;!1C}"</f>
        <v>#VALUE!</v>
      </c>
      <c r="FU319" t="e">
        <f>'Middle East'!I83+"n/&gt;!1C~"</f>
        <v>#VALUE!</v>
      </c>
      <c r="FV319" t="e">
        <f>'Middle East'!A84+"n/&gt;!1D#"</f>
        <v>#VALUE!</v>
      </c>
      <c r="FW319" t="e">
        <f>'Middle East'!B84+"n/&gt;!1D$"</f>
        <v>#VALUE!</v>
      </c>
      <c r="FX319" t="e">
        <f>'Middle East'!C84+"n/&gt;!1D%"</f>
        <v>#VALUE!</v>
      </c>
      <c r="FY319" t="e">
        <f>'Middle East'!D84+"n/&gt;!1D&amp;"</f>
        <v>#VALUE!</v>
      </c>
      <c r="FZ319" t="e">
        <f>'Middle East'!E84+"n/&gt;!1D'"</f>
        <v>#VALUE!</v>
      </c>
      <c r="GA319" t="e">
        <f>'Middle East'!F84+"n/&gt;!1D("</f>
        <v>#VALUE!</v>
      </c>
      <c r="GB319" t="e">
        <f>'Middle East'!G84+"n/&gt;!1D)"</f>
        <v>#VALUE!</v>
      </c>
      <c r="GC319" t="e">
        <f>'Middle East'!H84+"n/&gt;!1D."</f>
        <v>#VALUE!</v>
      </c>
      <c r="GD319" t="e">
        <f>'Middle East'!I84+"n/&gt;!1D/"</f>
        <v>#VALUE!</v>
      </c>
      <c r="GE319" t="e">
        <f>'Middle East'!A85+"n/&gt;!1D0"</f>
        <v>#VALUE!</v>
      </c>
      <c r="GF319" t="e">
        <f>'Middle East'!B85+"n/&gt;!1D1"</f>
        <v>#VALUE!</v>
      </c>
      <c r="GG319" t="e">
        <f>'Middle East'!C85+"n/&gt;!1D2"</f>
        <v>#VALUE!</v>
      </c>
      <c r="GH319" t="e">
        <f>'Middle East'!D85+"n/&gt;!1D3"</f>
        <v>#VALUE!</v>
      </c>
      <c r="GI319" t="e">
        <f>'Middle East'!E85+"n/&gt;!1D4"</f>
        <v>#VALUE!</v>
      </c>
      <c r="GJ319" t="e">
        <f>'Middle East'!F85+"n/&gt;!1D5"</f>
        <v>#VALUE!</v>
      </c>
      <c r="GK319" t="e">
        <f>'Middle East'!G85+"n/&gt;!1D6"</f>
        <v>#VALUE!</v>
      </c>
      <c r="GL319" t="e">
        <f>'Middle East'!H85+"n/&gt;!1D7"</f>
        <v>#VALUE!</v>
      </c>
      <c r="GM319" t="e">
        <f>'Middle East'!I85+"n/&gt;!1D8"</f>
        <v>#VALUE!</v>
      </c>
      <c r="GN319" t="e">
        <f>'Middle East'!A86+"n/&gt;!1D9"</f>
        <v>#VALUE!</v>
      </c>
      <c r="GO319" t="e">
        <f>'Middle East'!B86+"n/&gt;!1D:"</f>
        <v>#VALUE!</v>
      </c>
      <c r="GP319" t="e">
        <f>'Middle East'!C86+"n/&gt;!1D;"</f>
        <v>#VALUE!</v>
      </c>
      <c r="GQ319" t="e">
        <f>'Middle East'!D86+"n/&gt;!1D&lt;"</f>
        <v>#VALUE!</v>
      </c>
      <c r="GR319" t="e">
        <f>'Middle East'!E86+"n/&gt;!1D="</f>
        <v>#VALUE!</v>
      </c>
      <c r="GS319" t="e">
        <f>'Middle East'!F86+"n/&gt;!1D&gt;"</f>
        <v>#VALUE!</v>
      </c>
      <c r="GT319" t="e">
        <f>'Middle East'!G86+"n/&gt;!1D?"</f>
        <v>#VALUE!</v>
      </c>
      <c r="GU319" t="e">
        <f>'Middle East'!H86+"n/&gt;!1D@"</f>
        <v>#VALUE!</v>
      </c>
      <c r="GV319" t="e">
        <f>'Middle East'!I86+"n/&gt;!1DA"</f>
        <v>#VALUE!</v>
      </c>
      <c r="GW319" t="e">
        <f>'Middle East'!A87+"n/&gt;!1DB"</f>
        <v>#VALUE!</v>
      </c>
      <c r="GX319" t="e">
        <f>'Middle East'!B87+"n/&gt;!1DC"</f>
        <v>#VALUE!</v>
      </c>
      <c r="GY319" t="e">
        <f>'Middle East'!C87+"n/&gt;!1DD"</f>
        <v>#VALUE!</v>
      </c>
      <c r="GZ319" t="e">
        <f>'Middle East'!D87+"n/&gt;!1DE"</f>
        <v>#VALUE!</v>
      </c>
      <c r="HA319" t="e">
        <f>'Middle East'!E87+"n/&gt;!1DF"</f>
        <v>#VALUE!</v>
      </c>
      <c r="HB319" t="e">
        <f>'Middle East'!F87+"n/&gt;!1DG"</f>
        <v>#VALUE!</v>
      </c>
      <c r="HC319" t="e">
        <f>'Middle East'!G87+"n/&gt;!1DH"</f>
        <v>#VALUE!</v>
      </c>
      <c r="HD319" t="e">
        <f>'Middle East'!H87+"n/&gt;!1DI"</f>
        <v>#VALUE!</v>
      </c>
      <c r="HE319" t="e">
        <f>'Middle East'!I87+"n/&gt;!1DJ"</f>
        <v>#VALUE!</v>
      </c>
      <c r="HF319" t="e">
        <f>'Middle East'!A88+"n/&gt;!1DK"</f>
        <v>#VALUE!</v>
      </c>
      <c r="HG319" t="e">
        <f>'Middle East'!B88+"n/&gt;!1DL"</f>
        <v>#VALUE!</v>
      </c>
      <c r="HH319" t="e">
        <f>'Middle East'!C88+"n/&gt;!1DM"</f>
        <v>#VALUE!</v>
      </c>
      <c r="HI319" t="e">
        <f>'Middle East'!D88+"n/&gt;!1DN"</f>
        <v>#VALUE!</v>
      </c>
      <c r="HJ319" t="e">
        <f>'Middle East'!E88+"n/&gt;!1DO"</f>
        <v>#VALUE!</v>
      </c>
      <c r="HK319" t="e">
        <f>'Middle East'!F88+"n/&gt;!1DP"</f>
        <v>#VALUE!</v>
      </c>
      <c r="HL319" t="e">
        <f>'Middle East'!G88+"n/&gt;!1DQ"</f>
        <v>#VALUE!</v>
      </c>
      <c r="HM319" t="e">
        <f>'Middle East'!H88+"n/&gt;!1DR"</f>
        <v>#VALUE!</v>
      </c>
      <c r="HN319" t="e">
        <f>'Middle East'!I88+"n/&gt;!1DS"</f>
        <v>#VALUE!</v>
      </c>
      <c r="HO319" t="e">
        <f>'Middle East'!A89+"n/&gt;!1DT"</f>
        <v>#VALUE!</v>
      </c>
      <c r="HP319" t="e">
        <f>'Middle East'!B89+"n/&gt;!1DU"</f>
        <v>#VALUE!</v>
      </c>
      <c r="HQ319" t="e">
        <f>'Middle East'!C89+"n/&gt;!1DV"</f>
        <v>#VALUE!</v>
      </c>
      <c r="HR319" t="e">
        <f>'Middle East'!D89+"n/&gt;!1DW"</f>
        <v>#VALUE!</v>
      </c>
      <c r="HS319" t="e">
        <f>'Middle East'!E89+"n/&gt;!1DX"</f>
        <v>#VALUE!</v>
      </c>
      <c r="HT319" t="e">
        <f>'Middle East'!F89+"n/&gt;!1DY"</f>
        <v>#VALUE!</v>
      </c>
      <c r="HU319" t="e">
        <f>'Middle East'!G89+"n/&gt;!1DZ"</f>
        <v>#VALUE!</v>
      </c>
      <c r="HV319" t="e">
        <f>'Middle East'!H89+"n/&gt;!1D["</f>
        <v>#VALUE!</v>
      </c>
      <c r="HW319" t="e">
        <f>'Middle East'!I89+"n/&gt;!1D\"</f>
        <v>#VALUE!</v>
      </c>
      <c r="HX319" t="e">
        <f>'Middle East'!A90+"n/&gt;!1D]"</f>
        <v>#VALUE!</v>
      </c>
      <c r="HY319" t="e">
        <f>'Middle East'!B90+"n/&gt;!1D^"</f>
        <v>#VALUE!</v>
      </c>
      <c r="HZ319" t="e">
        <f>'Middle East'!C90+"n/&gt;!1D_"</f>
        <v>#VALUE!</v>
      </c>
      <c r="IA319" t="e">
        <f>'Middle East'!D90+"n/&gt;!1D`"</f>
        <v>#VALUE!</v>
      </c>
      <c r="IB319" t="e">
        <f>'Middle East'!E90+"n/&gt;!1Da"</f>
        <v>#VALUE!</v>
      </c>
      <c r="IC319" t="e">
        <f>'Middle East'!F90+"n/&gt;!1Db"</f>
        <v>#VALUE!</v>
      </c>
      <c r="ID319" t="e">
        <f>'Middle East'!G90+"n/&gt;!1Dc"</f>
        <v>#VALUE!</v>
      </c>
      <c r="IE319" t="e">
        <f>'Middle East'!H90+"n/&gt;!1Dd"</f>
        <v>#VALUE!</v>
      </c>
      <c r="IF319" t="e">
        <f>'Middle East'!I90+"n/&gt;!1De"</f>
        <v>#VALUE!</v>
      </c>
      <c r="IG319" t="e">
        <f>'Middle East'!A91+"n/&gt;!1Df"</f>
        <v>#VALUE!</v>
      </c>
      <c r="IH319" t="e">
        <f>'Middle East'!B91+"n/&gt;!1Dg"</f>
        <v>#VALUE!</v>
      </c>
      <c r="II319" t="e">
        <f>'Middle East'!C91+"n/&gt;!1Dh"</f>
        <v>#VALUE!</v>
      </c>
      <c r="IJ319" t="e">
        <f>'Middle East'!D91+"n/&gt;!1Di"</f>
        <v>#VALUE!</v>
      </c>
      <c r="IK319" t="e">
        <f>'Middle East'!E91+"n/&gt;!1Dj"</f>
        <v>#VALUE!</v>
      </c>
      <c r="IL319" t="e">
        <f>'Middle East'!F91+"n/&gt;!1Dk"</f>
        <v>#VALUE!</v>
      </c>
      <c r="IM319" t="e">
        <f>'Middle East'!G91+"n/&gt;!1Dl"</f>
        <v>#VALUE!</v>
      </c>
      <c r="IN319" t="e">
        <f>'Middle East'!H91+"n/&gt;!1Dm"</f>
        <v>#VALUE!</v>
      </c>
      <c r="IO319" t="e">
        <f>'Middle East'!I91+"n/&gt;!1Dn"</f>
        <v>#VALUE!</v>
      </c>
      <c r="IP319" t="e">
        <f>'Middle East'!A92+"n/&gt;!1Do"</f>
        <v>#VALUE!</v>
      </c>
      <c r="IQ319" t="e">
        <f>'Middle East'!B92+"n/&gt;!1Dp"</f>
        <v>#VALUE!</v>
      </c>
      <c r="IR319" t="e">
        <f>'Middle East'!C92+"n/&gt;!1Dq"</f>
        <v>#VALUE!</v>
      </c>
      <c r="IS319" t="e">
        <f>'Middle East'!D92+"n/&gt;!1Dr"</f>
        <v>#VALUE!</v>
      </c>
      <c r="IT319" t="e">
        <f>'Middle East'!E92+"n/&gt;!1Ds"</f>
        <v>#VALUE!</v>
      </c>
      <c r="IU319" t="e">
        <f>'Middle East'!F92+"n/&gt;!1Dt"</f>
        <v>#VALUE!</v>
      </c>
      <c r="IV319" t="e">
        <f>'Middle East'!G92+"n/&gt;!1Du"</f>
        <v>#VALUE!</v>
      </c>
    </row>
    <row r="320" spans="6:256" x14ac:dyDescent="0.35">
      <c r="F320" t="e">
        <f>'Middle East'!H92+"n/&gt;!1Dv"</f>
        <v>#VALUE!</v>
      </c>
      <c r="G320" t="e">
        <f>'Middle East'!I92+"n/&gt;!1Dw"</f>
        <v>#VALUE!</v>
      </c>
      <c r="H320" t="e">
        <f>'Middle East'!A93+"n/&gt;!1Dx"</f>
        <v>#VALUE!</v>
      </c>
      <c r="I320" t="e">
        <f>'Middle East'!B93+"n/&gt;!1Dy"</f>
        <v>#VALUE!</v>
      </c>
      <c r="J320" t="e">
        <f>'Middle East'!C93+"n/&gt;!1Dz"</f>
        <v>#VALUE!</v>
      </c>
      <c r="K320" t="e">
        <f>'Middle East'!D93+"n/&gt;!1D{"</f>
        <v>#VALUE!</v>
      </c>
      <c r="L320" t="e">
        <f>'Middle East'!E93+"n/&gt;!1D|"</f>
        <v>#VALUE!</v>
      </c>
      <c r="M320" t="e">
        <f>'Middle East'!F93+"n/&gt;!1D}"</f>
        <v>#VALUE!</v>
      </c>
      <c r="N320" t="e">
        <f>'Middle East'!G93+"n/&gt;!1D~"</f>
        <v>#VALUE!</v>
      </c>
      <c r="O320" t="e">
        <f>'Middle East'!H93+"n/&gt;!1E#"</f>
        <v>#VALUE!</v>
      </c>
      <c r="P320" t="e">
        <f>'Middle East'!I93+"n/&gt;!1E$"</f>
        <v>#VALUE!</v>
      </c>
      <c r="Q320" t="e">
        <f>'Middle East'!A94+"n/&gt;!1E%"</f>
        <v>#VALUE!</v>
      </c>
      <c r="R320" t="e">
        <f>'Middle East'!B94+"n/&gt;!1E&amp;"</f>
        <v>#VALUE!</v>
      </c>
      <c r="S320" t="e">
        <f>'Middle East'!C94+"n/&gt;!1E'"</f>
        <v>#VALUE!</v>
      </c>
      <c r="T320" t="e">
        <f>'Middle East'!D94+"n/&gt;!1E("</f>
        <v>#VALUE!</v>
      </c>
      <c r="U320" t="e">
        <f>'Middle East'!E94+"n/&gt;!1E)"</f>
        <v>#VALUE!</v>
      </c>
      <c r="V320" t="e">
        <f>'Middle East'!F94+"n/&gt;!1E."</f>
        <v>#VALUE!</v>
      </c>
      <c r="W320" t="e">
        <f>'Middle East'!G94+"n/&gt;!1E/"</f>
        <v>#VALUE!</v>
      </c>
      <c r="X320" t="e">
        <f>'Middle East'!H94+"n/&gt;!1E0"</f>
        <v>#VALUE!</v>
      </c>
      <c r="Y320" t="e">
        <f>'Middle East'!I94+"n/&gt;!1E1"</f>
        <v>#VALUE!</v>
      </c>
      <c r="Z320" t="e">
        <f>'Middle East'!A95+"n/&gt;!1E2"</f>
        <v>#VALUE!</v>
      </c>
      <c r="AA320" t="e">
        <f>'Middle East'!B95+"n/&gt;!1E3"</f>
        <v>#VALUE!</v>
      </c>
      <c r="AB320" t="e">
        <f>'Middle East'!C95+"n/&gt;!1E4"</f>
        <v>#VALUE!</v>
      </c>
      <c r="AC320" t="e">
        <f>'Middle East'!D95+"n/&gt;!1E5"</f>
        <v>#VALUE!</v>
      </c>
      <c r="AD320" t="e">
        <f>'Middle East'!E95+"n/&gt;!1E6"</f>
        <v>#VALUE!</v>
      </c>
      <c r="AE320" t="e">
        <f>'Middle East'!F95+"n/&gt;!1E7"</f>
        <v>#VALUE!</v>
      </c>
      <c r="AF320" t="e">
        <f>'Middle East'!G95+"n/&gt;!1E8"</f>
        <v>#VALUE!</v>
      </c>
      <c r="AG320" t="e">
        <f>'Middle East'!H95+"n/&gt;!1E9"</f>
        <v>#VALUE!</v>
      </c>
      <c r="AH320" t="e">
        <f>'Middle East'!I95+"n/&gt;!1E:"</f>
        <v>#VALUE!</v>
      </c>
      <c r="AI320" t="e">
        <f>'Middle East'!A96+"n/&gt;!1E;"</f>
        <v>#VALUE!</v>
      </c>
      <c r="AJ320" t="e">
        <f>'Middle East'!B96+"n/&gt;!1E&lt;"</f>
        <v>#VALUE!</v>
      </c>
      <c r="AK320" t="e">
        <f>'Middle East'!C96+"n/&gt;!1E="</f>
        <v>#VALUE!</v>
      </c>
      <c r="AL320" t="e">
        <f>'Middle East'!D96+"n/&gt;!1E&gt;"</f>
        <v>#VALUE!</v>
      </c>
      <c r="AM320" t="e">
        <f>'Middle East'!E96+"n/&gt;!1E?"</f>
        <v>#VALUE!</v>
      </c>
      <c r="AN320" t="e">
        <f>'Middle East'!F96+"n/&gt;!1E@"</f>
        <v>#VALUE!</v>
      </c>
      <c r="AO320" t="e">
        <f>'Middle East'!G96+"n/&gt;!1EA"</f>
        <v>#VALUE!</v>
      </c>
      <c r="AP320" t="e">
        <f>'Middle East'!H96+"n/&gt;!1EB"</f>
        <v>#VALUE!</v>
      </c>
      <c r="AQ320" t="e">
        <f>'Middle East'!I96+"n/&gt;!1EC"</f>
        <v>#VALUE!</v>
      </c>
      <c r="AR320" t="e">
        <f>'Middle East'!A97+"n/&gt;!1ED"</f>
        <v>#VALUE!</v>
      </c>
      <c r="AS320" t="e">
        <f>'Middle East'!B97+"n/&gt;!1EE"</f>
        <v>#VALUE!</v>
      </c>
      <c r="AT320" t="e">
        <f>'Middle East'!C97+"n/&gt;!1EF"</f>
        <v>#VALUE!</v>
      </c>
      <c r="AU320" t="e">
        <f>'Middle East'!D97+"n/&gt;!1EG"</f>
        <v>#VALUE!</v>
      </c>
      <c r="AV320" t="e">
        <f>'Middle East'!E97+"n/&gt;!1EH"</f>
        <v>#VALUE!</v>
      </c>
      <c r="AW320" t="e">
        <f>'Middle East'!F97+"n/&gt;!1EI"</f>
        <v>#VALUE!</v>
      </c>
      <c r="AX320" t="e">
        <f>'Middle East'!G97+"n/&gt;!1EJ"</f>
        <v>#VALUE!</v>
      </c>
      <c r="AY320" t="e">
        <f>'Middle East'!H97+"n/&gt;!1EK"</f>
        <v>#VALUE!</v>
      </c>
      <c r="AZ320" t="e">
        <f>'Middle East'!I97+"n/&gt;!1EL"</f>
        <v>#VALUE!</v>
      </c>
      <c r="BA320" t="e">
        <f>'Middle East'!A98+"n/&gt;!1EM"</f>
        <v>#VALUE!</v>
      </c>
      <c r="BB320" t="e">
        <f>'Middle East'!B98+"n/&gt;!1EN"</f>
        <v>#VALUE!</v>
      </c>
      <c r="BC320" t="e">
        <f>'Middle East'!C98+"n/&gt;!1EO"</f>
        <v>#VALUE!</v>
      </c>
      <c r="BD320" t="e">
        <f>'Middle East'!D98+"n/&gt;!1EP"</f>
        <v>#VALUE!</v>
      </c>
      <c r="BE320" t="e">
        <f>'Middle East'!E98+"n/&gt;!1EQ"</f>
        <v>#VALUE!</v>
      </c>
      <c r="BF320" t="e">
        <f>'Middle East'!F98+"n/&gt;!1ER"</f>
        <v>#VALUE!</v>
      </c>
      <c r="BG320" t="e">
        <f>'Middle East'!G98+"n/&gt;!1ES"</f>
        <v>#VALUE!</v>
      </c>
      <c r="BH320" t="e">
        <f>'Middle East'!H98+"n/&gt;!1ET"</f>
        <v>#VALUE!</v>
      </c>
      <c r="BI320" t="e">
        <f>'Middle East'!I98+"n/&gt;!1EU"</f>
        <v>#VALUE!</v>
      </c>
      <c r="BJ320" t="e">
        <f>'Middle East'!A99+"n/&gt;!1EV"</f>
        <v>#VALUE!</v>
      </c>
      <c r="BK320" t="e">
        <f>'Middle East'!B99+"n/&gt;!1EW"</f>
        <v>#VALUE!</v>
      </c>
      <c r="BL320" t="e">
        <f>'Middle East'!C99+"n/&gt;!1EX"</f>
        <v>#VALUE!</v>
      </c>
      <c r="BM320" t="e">
        <f>'Middle East'!D99+"n/&gt;!1EY"</f>
        <v>#VALUE!</v>
      </c>
      <c r="BN320" t="e">
        <f>'Middle East'!E99+"n/&gt;!1EZ"</f>
        <v>#VALUE!</v>
      </c>
      <c r="BO320" t="e">
        <f>'Middle East'!F99+"n/&gt;!1E["</f>
        <v>#VALUE!</v>
      </c>
      <c r="BP320" t="e">
        <f>'Middle East'!G99+"n/&gt;!1E\"</f>
        <v>#VALUE!</v>
      </c>
      <c r="BQ320" t="e">
        <f>'Middle East'!H99+"n/&gt;!1E]"</f>
        <v>#VALUE!</v>
      </c>
      <c r="BR320" t="e">
        <f>'Middle East'!I99+"n/&gt;!1E^"</f>
        <v>#VALUE!</v>
      </c>
      <c r="BS320" t="e">
        <f>'Middle East'!A100+"n/&gt;!1E_"</f>
        <v>#VALUE!</v>
      </c>
      <c r="BT320" t="e">
        <f>'Middle East'!B100+"n/&gt;!1E`"</f>
        <v>#VALUE!</v>
      </c>
      <c r="BU320" t="e">
        <f>'Middle East'!C100+"n/&gt;!1Ea"</f>
        <v>#VALUE!</v>
      </c>
      <c r="BV320" t="e">
        <f>'Middle East'!D100+"n/&gt;!1Eb"</f>
        <v>#VALUE!</v>
      </c>
      <c r="BW320" t="e">
        <f>'Middle East'!E100+"n/&gt;!1Ec"</f>
        <v>#VALUE!</v>
      </c>
      <c r="BX320" t="e">
        <f>'Middle East'!F100+"n/&gt;!1Ed"</f>
        <v>#VALUE!</v>
      </c>
      <c r="BY320" t="e">
        <f>'Middle East'!G100+"n/&gt;!1Ee"</f>
        <v>#VALUE!</v>
      </c>
      <c r="BZ320" t="e">
        <f>'Middle East'!H100+"n/&gt;!1Ef"</f>
        <v>#VALUE!</v>
      </c>
      <c r="CA320" t="e">
        <f>'Middle East'!I100+"n/&gt;!1Eg"</f>
        <v>#VALUE!</v>
      </c>
      <c r="CB320" t="e">
        <f>'Middle East'!A101+"n/&gt;!1Eh"</f>
        <v>#VALUE!</v>
      </c>
      <c r="CC320" t="e">
        <f>'Middle East'!B101+"n/&gt;!1Ei"</f>
        <v>#VALUE!</v>
      </c>
      <c r="CD320" t="e">
        <f>'Middle East'!C101+"n/&gt;!1Ej"</f>
        <v>#VALUE!</v>
      </c>
      <c r="CE320" t="e">
        <f>'Middle East'!D101+"n/&gt;!1Ek"</f>
        <v>#VALUE!</v>
      </c>
      <c r="CF320" t="e">
        <f>'Middle East'!E101+"n/&gt;!1El"</f>
        <v>#VALUE!</v>
      </c>
      <c r="CG320" t="e">
        <f>'Middle East'!F101+"n/&gt;!1Em"</f>
        <v>#VALUE!</v>
      </c>
      <c r="CH320" t="e">
        <f>'Middle East'!G101+"n/&gt;!1En"</f>
        <v>#VALUE!</v>
      </c>
      <c r="CI320" t="e">
        <f>'Middle East'!H101+"n/&gt;!1Eo"</f>
        <v>#VALUE!</v>
      </c>
      <c r="CJ320" t="e">
        <f>'Middle East'!I101+"n/&gt;!1Ep"</f>
        <v>#VALUE!</v>
      </c>
      <c r="CK320" t="e">
        <f>'Middle East'!A102+"n/&gt;!1Eq"</f>
        <v>#VALUE!</v>
      </c>
      <c r="CL320" t="e">
        <f>'Middle East'!B102+"n/&gt;!1Er"</f>
        <v>#VALUE!</v>
      </c>
      <c r="CM320" t="e">
        <f>'Middle East'!C102+"n/&gt;!1Es"</f>
        <v>#VALUE!</v>
      </c>
      <c r="CN320" t="e">
        <f>'Middle East'!D102+"n/&gt;!1Et"</f>
        <v>#VALUE!</v>
      </c>
      <c r="CO320" t="e">
        <f>'Middle East'!E102+"n/&gt;!1Eu"</f>
        <v>#VALUE!</v>
      </c>
      <c r="CP320" t="e">
        <f>'Middle East'!F102+"n/&gt;!1Ev"</f>
        <v>#VALUE!</v>
      </c>
      <c r="CQ320" t="e">
        <f>'Middle East'!G102+"n/&gt;!1Ew"</f>
        <v>#VALUE!</v>
      </c>
      <c r="CR320" t="e">
        <f>'Middle East'!H102+"n/&gt;!1Ex"</f>
        <v>#VALUE!</v>
      </c>
      <c r="CS320" t="e">
        <f>'Middle East'!I102+"n/&gt;!1Ey"</f>
        <v>#VALUE!</v>
      </c>
      <c r="CT320" t="e">
        <f>'Middle East'!A103+"n/&gt;!1Ez"</f>
        <v>#VALUE!</v>
      </c>
      <c r="CU320" t="e">
        <f>'Middle East'!B103+"n/&gt;!1E{"</f>
        <v>#VALUE!</v>
      </c>
      <c r="CV320" t="e">
        <f>'Middle East'!C103+"n/&gt;!1E|"</f>
        <v>#VALUE!</v>
      </c>
      <c r="CW320" t="e">
        <f>'Middle East'!D103+"n/&gt;!1E}"</f>
        <v>#VALUE!</v>
      </c>
      <c r="CX320" t="e">
        <f>'Middle East'!E103+"n/&gt;!1E~"</f>
        <v>#VALUE!</v>
      </c>
      <c r="CY320" t="e">
        <f>'Middle East'!F103+"n/&gt;!1F#"</f>
        <v>#VALUE!</v>
      </c>
      <c r="CZ320" t="e">
        <f>'Middle East'!G103+"n/&gt;!1F$"</f>
        <v>#VALUE!</v>
      </c>
      <c r="DA320" t="e">
        <f>'Middle East'!H103+"n/&gt;!1F%"</f>
        <v>#VALUE!</v>
      </c>
      <c r="DB320" t="e">
        <f>'Middle East'!I103+"n/&gt;!1F&amp;"</f>
        <v>#VALUE!</v>
      </c>
      <c r="DC320" t="e">
        <f>'Middle East'!A104+"n/&gt;!1F'"</f>
        <v>#VALUE!</v>
      </c>
      <c r="DD320" t="e">
        <f>'Middle East'!B104+"n/&gt;!1F("</f>
        <v>#VALUE!</v>
      </c>
      <c r="DE320" t="e">
        <f>'Middle East'!C104+"n/&gt;!1F)"</f>
        <v>#VALUE!</v>
      </c>
      <c r="DF320" t="e">
        <f>'Middle East'!D104+"n/&gt;!1F."</f>
        <v>#VALUE!</v>
      </c>
      <c r="DG320" t="e">
        <f>'Middle East'!E104+"n/&gt;!1F/"</f>
        <v>#VALUE!</v>
      </c>
      <c r="DH320" t="e">
        <f>'Middle East'!F104+"n/&gt;!1F0"</f>
        <v>#VALUE!</v>
      </c>
      <c r="DI320" t="e">
        <f>'Middle East'!G104+"n/&gt;!1F1"</f>
        <v>#VALUE!</v>
      </c>
      <c r="DJ320" t="e">
        <f>'Middle East'!H104+"n/&gt;!1F2"</f>
        <v>#VALUE!</v>
      </c>
      <c r="DK320" t="e">
        <f>'Middle East'!I104+"n/&gt;!1F3"</f>
        <v>#VALUE!</v>
      </c>
      <c r="DL320" t="e">
        <f>'Middle East'!A105+"n/&gt;!1F4"</f>
        <v>#VALUE!</v>
      </c>
      <c r="DM320" t="e">
        <f>'Middle East'!B105+"n/&gt;!1F5"</f>
        <v>#VALUE!</v>
      </c>
      <c r="DN320" t="e">
        <f>'Middle East'!C105+"n/&gt;!1F6"</f>
        <v>#VALUE!</v>
      </c>
      <c r="DO320" t="e">
        <f>'Middle East'!D105+"n/&gt;!1F7"</f>
        <v>#VALUE!</v>
      </c>
      <c r="DP320" t="e">
        <f>'Middle East'!E105+"n/&gt;!1F8"</f>
        <v>#VALUE!</v>
      </c>
      <c r="DQ320" t="e">
        <f>'Middle East'!F105+"n/&gt;!1F9"</f>
        <v>#VALUE!</v>
      </c>
      <c r="DR320" t="e">
        <f>'Middle East'!G105+"n/&gt;!1F:"</f>
        <v>#VALUE!</v>
      </c>
      <c r="DS320" t="e">
        <f>'Middle East'!H105+"n/&gt;!1F;"</f>
        <v>#VALUE!</v>
      </c>
      <c r="DT320" t="e">
        <f>'Middle East'!I105+"n/&gt;!1F&lt;"</f>
        <v>#VALUE!</v>
      </c>
      <c r="DU320" t="e">
        <f>'Middle East'!A106+"n/&gt;!1F="</f>
        <v>#VALUE!</v>
      </c>
      <c r="DV320" t="e">
        <f>'Middle East'!B106+"n/&gt;!1F&gt;"</f>
        <v>#VALUE!</v>
      </c>
      <c r="DW320" t="e">
        <f>'Middle East'!C106+"n/&gt;!1F?"</f>
        <v>#VALUE!</v>
      </c>
      <c r="DX320" t="e">
        <f>'Middle East'!D106+"n/&gt;!1F@"</f>
        <v>#VALUE!</v>
      </c>
      <c r="DY320" t="e">
        <f>'Middle East'!E106+"n/&gt;!1FA"</f>
        <v>#VALUE!</v>
      </c>
      <c r="DZ320" t="e">
        <f>'Middle East'!F106+"n/&gt;!1FB"</f>
        <v>#VALUE!</v>
      </c>
      <c r="EA320" t="e">
        <f>'Middle East'!G106+"n/&gt;!1FC"</f>
        <v>#VALUE!</v>
      </c>
      <c r="EB320" t="e">
        <f>'Middle East'!H106+"n/&gt;!1FD"</f>
        <v>#VALUE!</v>
      </c>
      <c r="EC320" t="e">
        <f>'Middle East'!I106+"n/&gt;!1FE"</f>
        <v>#VALUE!</v>
      </c>
      <c r="ED320" t="e">
        <f>'Middle East'!A107+"n/&gt;!1FF"</f>
        <v>#VALUE!</v>
      </c>
      <c r="EE320" t="e">
        <f>'Middle East'!B107+"n/&gt;!1FG"</f>
        <v>#VALUE!</v>
      </c>
      <c r="EF320" t="e">
        <f>'Middle East'!C107+"n/&gt;!1FH"</f>
        <v>#VALUE!</v>
      </c>
      <c r="EG320" t="e">
        <f>'Middle East'!D107+"n/&gt;!1FI"</f>
        <v>#VALUE!</v>
      </c>
      <c r="EH320" t="e">
        <f>'Middle East'!E107+"n/&gt;!1FJ"</f>
        <v>#VALUE!</v>
      </c>
      <c r="EI320" t="e">
        <f>'Middle East'!F107+"n/&gt;!1FK"</f>
        <v>#VALUE!</v>
      </c>
      <c r="EJ320" t="e">
        <f>'Middle East'!G107+"n/&gt;!1FL"</f>
        <v>#VALUE!</v>
      </c>
      <c r="EK320" t="e">
        <f>'Middle East'!H107+"n/&gt;!1FM"</f>
        <v>#VALUE!</v>
      </c>
      <c r="EL320" t="e">
        <f>'Middle East'!I107+"n/&gt;!1FN"</f>
        <v>#VALUE!</v>
      </c>
      <c r="EM320" t="e">
        <f>'Middle East'!A108+"n/&gt;!1FO"</f>
        <v>#VALUE!</v>
      </c>
      <c r="EN320" t="e">
        <f>'Middle East'!B108+"n/&gt;!1FP"</f>
        <v>#VALUE!</v>
      </c>
      <c r="EO320" t="e">
        <f>'Middle East'!C108+"n/&gt;!1FQ"</f>
        <v>#VALUE!</v>
      </c>
      <c r="EP320" t="e">
        <f>'Middle East'!D108+"n/&gt;!1FR"</f>
        <v>#VALUE!</v>
      </c>
      <c r="EQ320" t="e">
        <f>'Middle East'!E108+"n/&gt;!1FS"</f>
        <v>#VALUE!</v>
      </c>
      <c r="ER320" t="e">
        <f>'Middle East'!F108+"n/&gt;!1FT"</f>
        <v>#VALUE!</v>
      </c>
      <c r="ES320" t="e">
        <f>'Middle East'!G108+"n/&gt;!1FU"</f>
        <v>#VALUE!</v>
      </c>
      <c r="ET320" t="e">
        <f>'Middle East'!H108+"n/&gt;!1FV"</f>
        <v>#VALUE!</v>
      </c>
      <c r="EU320" t="e">
        <f>'Middle East'!I108+"n/&gt;!1FW"</f>
        <v>#VALUE!</v>
      </c>
      <c r="EV320" t="e">
        <f>'Middle East'!A109+"n/&gt;!1FX"</f>
        <v>#VALUE!</v>
      </c>
      <c r="EW320" t="e">
        <f>'Middle East'!B109+"n/&gt;!1FY"</f>
        <v>#VALUE!</v>
      </c>
      <c r="EX320" t="e">
        <f>'Middle East'!C109+"n/&gt;!1FZ"</f>
        <v>#VALUE!</v>
      </c>
      <c r="EY320" t="e">
        <f>'Middle East'!D109+"n/&gt;!1F["</f>
        <v>#VALUE!</v>
      </c>
      <c r="EZ320" t="e">
        <f>'Middle East'!E109+"n/&gt;!1F\"</f>
        <v>#VALUE!</v>
      </c>
      <c r="FA320" t="e">
        <f>'Middle East'!F109+"n/&gt;!1F]"</f>
        <v>#VALUE!</v>
      </c>
      <c r="FB320" t="e">
        <f>'Middle East'!G109+"n/&gt;!1F^"</f>
        <v>#VALUE!</v>
      </c>
      <c r="FC320" t="e">
        <f>'Middle East'!H109+"n/&gt;!1F_"</f>
        <v>#VALUE!</v>
      </c>
      <c r="FD320" t="e">
        <f>'Middle East'!I109+"n/&gt;!1F`"</f>
        <v>#VALUE!</v>
      </c>
      <c r="FE320" t="e">
        <f>'Middle East'!A110+"n/&gt;!1Fa"</f>
        <v>#VALUE!</v>
      </c>
      <c r="FF320" t="e">
        <f>'Middle East'!B110+"n/&gt;!1Fb"</f>
        <v>#VALUE!</v>
      </c>
      <c r="FG320" t="e">
        <f>'Middle East'!C110+"n/&gt;!1Fc"</f>
        <v>#VALUE!</v>
      </c>
      <c r="FH320" t="e">
        <f>'Middle East'!D110+"n/&gt;!1Fd"</f>
        <v>#VALUE!</v>
      </c>
      <c r="FI320" t="e">
        <f>'Middle East'!E110+"n/&gt;!1Fe"</f>
        <v>#VALUE!</v>
      </c>
      <c r="FJ320" t="e">
        <f>'Middle East'!F110+"n/&gt;!1Ff"</f>
        <v>#VALUE!</v>
      </c>
      <c r="FK320" t="e">
        <f>'Middle East'!G110+"n/&gt;!1Fg"</f>
        <v>#VALUE!</v>
      </c>
      <c r="FL320" t="e">
        <f>'Middle East'!H110+"n/&gt;!1Fh"</f>
        <v>#VALUE!</v>
      </c>
      <c r="FM320" t="e">
        <f>'Middle East'!I110+"n/&gt;!1Fi"</f>
        <v>#VALUE!</v>
      </c>
      <c r="FN320" t="e">
        <f>'Middle East'!A111+"n/&gt;!1Fj"</f>
        <v>#VALUE!</v>
      </c>
      <c r="FO320" t="e">
        <f>'Middle East'!B111+"n/&gt;!1Fk"</f>
        <v>#VALUE!</v>
      </c>
      <c r="FP320" t="e">
        <f>'Middle East'!C111+"n/&gt;!1Fl"</f>
        <v>#VALUE!</v>
      </c>
      <c r="FQ320" t="e">
        <f>'Middle East'!D111+"n/&gt;!1Fm"</f>
        <v>#VALUE!</v>
      </c>
      <c r="FR320" t="e">
        <f>'Middle East'!E111+"n/&gt;!1Fn"</f>
        <v>#VALUE!</v>
      </c>
      <c r="FS320" t="e">
        <f>'Middle East'!F111+"n/&gt;!1Fo"</f>
        <v>#VALUE!</v>
      </c>
      <c r="FT320" t="e">
        <f>'Middle East'!G111+"n/&gt;!1Fp"</f>
        <v>#VALUE!</v>
      </c>
      <c r="FU320" t="e">
        <f>'Middle East'!H111+"n/&gt;!1Fq"</f>
        <v>#VALUE!</v>
      </c>
      <c r="FV320" t="e">
        <f>'Middle East'!I111+"n/&gt;!1Fr"</f>
        <v>#VALUE!</v>
      </c>
      <c r="FW320" t="e">
        <f>'Middle East'!A112+"n/&gt;!1Fs"</f>
        <v>#VALUE!</v>
      </c>
      <c r="FX320" t="e">
        <f>'Middle East'!B112+"n/&gt;!1Ft"</f>
        <v>#VALUE!</v>
      </c>
      <c r="FY320" t="e">
        <f>'Middle East'!C112+"n/&gt;!1Fu"</f>
        <v>#VALUE!</v>
      </c>
      <c r="FZ320" t="e">
        <f>'Middle East'!D112+"n/&gt;!1Fv"</f>
        <v>#VALUE!</v>
      </c>
      <c r="GA320" t="e">
        <f>'Middle East'!E112+"n/&gt;!1Fw"</f>
        <v>#VALUE!</v>
      </c>
      <c r="GB320" t="e">
        <f>'Middle East'!F112+"n/&gt;!1Fx"</f>
        <v>#VALUE!</v>
      </c>
      <c r="GC320" t="e">
        <f>'Middle East'!G112+"n/&gt;!1Fy"</f>
        <v>#VALUE!</v>
      </c>
      <c r="GD320" t="e">
        <f>'Middle East'!H112+"n/&gt;!1Fz"</f>
        <v>#VALUE!</v>
      </c>
      <c r="GE320" t="e">
        <f>'Middle East'!I112+"n/&gt;!1F{"</f>
        <v>#VALUE!</v>
      </c>
      <c r="GF320" t="e">
        <f>'Middle East'!A113+"n/&gt;!1F|"</f>
        <v>#VALUE!</v>
      </c>
      <c r="GG320" t="e">
        <f>'Middle East'!B113+"n/&gt;!1F}"</f>
        <v>#VALUE!</v>
      </c>
      <c r="GH320" t="e">
        <f>'Middle East'!C113+"n/&gt;!1F~"</f>
        <v>#VALUE!</v>
      </c>
      <c r="GI320" t="e">
        <f>'Middle East'!D113+"n/&gt;!1G#"</f>
        <v>#VALUE!</v>
      </c>
      <c r="GJ320" t="e">
        <f>'Middle East'!E113+"n/&gt;!1G$"</f>
        <v>#VALUE!</v>
      </c>
      <c r="GK320" t="e">
        <f>'Middle East'!F113+"n/&gt;!1G%"</f>
        <v>#VALUE!</v>
      </c>
      <c r="GL320" t="e">
        <f>'Middle East'!G113+"n/&gt;!1G&amp;"</f>
        <v>#VALUE!</v>
      </c>
      <c r="GM320" t="e">
        <f>'Middle East'!H113+"n/&gt;!1G'"</f>
        <v>#VALUE!</v>
      </c>
      <c r="GN320" t="e">
        <f>'Middle East'!I113+"n/&gt;!1G("</f>
        <v>#VALUE!</v>
      </c>
      <c r="GO320" t="e">
        <f>'Middle East'!A114+"n/&gt;!1G)"</f>
        <v>#VALUE!</v>
      </c>
      <c r="GP320" t="e">
        <f>'Middle East'!B114+"n/&gt;!1G."</f>
        <v>#VALUE!</v>
      </c>
      <c r="GQ320" t="e">
        <f>'Middle East'!C114+"n/&gt;!1G/"</f>
        <v>#VALUE!</v>
      </c>
      <c r="GR320" t="e">
        <f>'Middle East'!D114+"n/&gt;!1G0"</f>
        <v>#VALUE!</v>
      </c>
      <c r="GS320" t="e">
        <f>'Middle East'!E114+"n/&gt;!1G1"</f>
        <v>#VALUE!</v>
      </c>
      <c r="GT320" t="e">
        <f>'Middle East'!F114+"n/&gt;!1G2"</f>
        <v>#VALUE!</v>
      </c>
      <c r="GU320" t="e">
        <f>'Middle East'!G114+"n/&gt;!1G3"</f>
        <v>#VALUE!</v>
      </c>
      <c r="GV320" t="e">
        <f>'Middle East'!H114+"n/&gt;!1G4"</f>
        <v>#VALUE!</v>
      </c>
      <c r="GW320" t="e">
        <f>'Middle East'!I114+"n/&gt;!1G5"</f>
        <v>#VALUE!</v>
      </c>
      <c r="GX320" t="e">
        <f>'Middle East'!A115+"n/&gt;!1G6"</f>
        <v>#VALUE!</v>
      </c>
      <c r="GY320" t="e">
        <f>'Middle East'!B115+"n/&gt;!1G7"</f>
        <v>#VALUE!</v>
      </c>
      <c r="GZ320" t="e">
        <f>'Middle East'!C115+"n/&gt;!1G8"</f>
        <v>#VALUE!</v>
      </c>
      <c r="HA320" t="e">
        <f>'Middle East'!D115+"n/&gt;!1G9"</f>
        <v>#VALUE!</v>
      </c>
      <c r="HB320" t="e">
        <f>'Middle East'!E115+"n/&gt;!1G:"</f>
        <v>#VALUE!</v>
      </c>
      <c r="HC320" t="e">
        <f>'Middle East'!F115+"n/&gt;!1G;"</f>
        <v>#VALUE!</v>
      </c>
      <c r="HD320" t="e">
        <f>'Middle East'!G115+"n/&gt;!1G&lt;"</f>
        <v>#VALUE!</v>
      </c>
      <c r="HE320" t="e">
        <f>'Middle East'!H115+"n/&gt;!1G="</f>
        <v>#VALUE!</v>
      </c>
      <c r="HF320" t="e">
        <f>'Middle East'!I115+"n/&gt;!1G&gt;"</f>
        <v>#VALUE!</v>
      </c>
      <c r="HG320" t="e">
        <f>'Middle East'!A116+"n/&gt;!1G?"</f>
        <v>#VALUE!</v>
      </c>
      <c r="HH320" t="e">
        <f>'Middle East'!B116+"n/&gt;!1G@"</f>
        <v>#VALUE!</v>
      </c>
      <c r="HI320" t="e">
        <f>'Middle East'!C116+"n/&gt;!1GA"</f>
        <v>#VALUE!</v>
      </c>
      <c r="HJ320" t="e">
        <f>'Middle East'!D116+"n/&gt;!1GB"</f>
        <v>#VALUE!</v>
      </c>
      <c r="HK320" t="e">
        <f>'Middle East'!E116+"n/&gt;!1GC"</f>
        <v>#VALUE!</v>
      </c>
      <c r="HL320" t="e">
        <f>'Middle East'!F116+"n/&gt;!1GD"</f>
        <v>#VALUE!</v>
      </c>
      <c r="HM320" t="e">
        <f>'Middle East'!G116+"n/&gt;!1GE"</f>
        <v>#VALUE!</v>
      </c>
      <c r="HN320" t="e">
        <f>'Middle East'!H116+"n/&gt;!1GF"</f>
        <v>#VALUE!</v>
      </c>
      <c r="HO320" t="e">
        <f>'Middle East'!I116+"n/&gt;!1GG"</f>
        <v>#VALUE!</v>
      </c>
      <c r="HP320" t="e">
        <f>'Middle East'!A117+"n/&gt;!1GH"</f>
        <v>#VALUE!</v>
      </c>
      <c r="HQ320" t="e">
        <f>'Middle East'!B117+"n/&gt;!1GI"</f>
        <v>#VALUE!</v>
      </c>
      <c r="HR320" t="e">
        <f>'Middle East'!C117+"n/&gt;!1GJ"</f>
        <v>#VALUE!</v>
      </c>
      <c r="HS320" t="e">
        <f>'Middle East'!D117+"n/&gt;!1GK"</f>
        <v>#VALUE!</v>
      </c>
      <c r="HT320" t="e">
        <f>'Middle East'!E117+"n/&gt;!1GL"</f>
        <v>#VALUE!</v>
      </c>
      <c r="HU320" t="e">
        <f>'Middle East'!F117+"n/&gt;!1GM"</f>
        <v>#VALUE!</v>
      </c>
      <c r="HV320" t="e">
        <f>'Middle East'!G117+"n/&gt;!1GN"</f>
        <v>#VALUE!</v>
      </c>
      <c r="HW320" t="e">
        <f>'Middle East'!H117+"n/&gt;!1GO"</f>
        <v>#VALUE!</v>
      </c>
      <c r="HX320" t="e">
        <f>'Middle East'!I117+"n/&gt;!1GP"</f>
        <v>#VALUE!</v>
      </c>
      <c r="HY320" t="e">
        <f>'Middle East'!A118+"n/&gt;!1GQ"</f>
        <v>#VALUE!</v>
      </c>
      <c r="HZ320" t="e">
        <f>'Middle East'!B118+"n/&gt;!1GR"</f>
        <v>#VALUE!</v>
      </c>
      <c r="IA320" t="e">
        <f>'Middle East'!C118+"n/&gt;!1GS"</f>
        <v>#VALUE!</v>
      </c>
      <c r="IB320" t="e">
        <f>'Middle East'!D118+"n/&gt;!1GT"</f>
        <v>#VALUE!</v>
      </c>
      <c r="IC320" t="e">
        <f>'Middle East'!E118+"n/&gt;!1GU"</f>
        <v>#VALUE!</v>
      </c>
      <c r="ID320" t="e">
        <f>'Middle East'!F118+"n/&gt;!1GV"</f>
        <v>#VALUE!</v>
      </c>
      <c r="IE320" t="e">
        <f>'Middle East'!G118+"n/&gt;!1GW"</f>
        <v>#VALUE!</v>
      </c>
      <c r="IF320" t="e">
        <f>'Middle East'!H118+"n/&gt;!1GX"</f>
        <v>#VALUE!</v>
      </c>
      <c r="IG320" t="e">
        <f>'Middle East'!I118+"n/&gt;!1GY"</f>
        <v>#VALUE!</v>
      </c>
      <c r="IH320" t="e">
        <f>'Middle East'!A119+"n/&gt;!1GZ"</f>
        <v>#VALUE!</v>
      </c>
      <c r="II320" t="e">
        <f>'Middle East'!B119+"n/&gt;!1G["</f>
        <v>#VALUE!</v>
      </c>
      <c r="IJ320" t="e">
        <f>'Middle East'!C119+"n/&gt;!1G\"</f>
        <v>#VALUE!</v>
      </c>
      <c r="IK320" t="e">
        <f>'Middle East'!D119+"n/&gt;!1G]"</f>
        <v>#VALUE!</v>
      </c>
      <c r="IL320" t="e">
        <f>'Middle East'!E119+"n/&gt;!1G^"</f>
        <v>#VALUE!</v>
      </c>
      <c r="IM320" t="e">
        <f>'Middle East'!F119+"n/&gt;!1G_"</f>
        <v>#VALUE!</v>
      </c>
      <c r="IN320" t="e">
        <f>'Middle East'!G119+"n/&gt;!1G`"</f>
        <v>#VALUE!</v>
      </c>
      <c r="IO320" t="e">
        <f>'Middle East'!H119+"n/&gt;!1Ga"</f>
        <v>#VALUE!</v>
      </c>
      <c r="IP320" t="e">
        <f>'Middle East'!I119+"n/&gt;!1Gb"</f>
        <v>#VALUE!</v>
      </c>
      <c r="IQ320" t="e">
        <f>'Middle East'!A120+"n/&gt;!1Gc"</f>
        <v>#VALUE!</v>
      </c>
      <c r="IR320" t="e">
        <f>'Middle East'!B120+"n/&gt;!1Gd"</f>
        <v>#VALUE!</v>
      </c>
      <c r="IS320" t="e">
        <f>'Middle East'!C120+"n/&gt;!1Ge"</f>
        <v>#VALUE!</v>
      </c>
      <c r="IT320" t="e">
        <f>'Middle East'!D120+"n/&gt;!1Gf"</f>
        <v>#VALUE!</v>
      </c>
      <c r="IU320" t="e">
        <f>'Middle East'!E120+"n/&gt;!1Gg"</f>
        <v>#VALUE!</v>
      </c>
      <c r="IV320" t="e">
        <f>'Middle East'!F120+"n/&gt;!1Gh"</f>
        <v>#VALUE!</v>
      </c>
    </row>
    <row r="321" spans="6:256" x14ac:dyDescent="0.35">
      <c r="F321" t="e">
        <f>'Middle East'!G120+"n/&gt;!1Gi"</f>
        <v>#VALUE!</v>
      </c>
      <c r="G321" t="e">
        <f>'Middle East'!H120+"n/&gt;!1Gj"</f>
        <v>#VALUE!</v>
      </c>
      <c r="H321" t="e">
        <f>'Middle East'!I120+"n/&gt;!1Gk"</f>
        <v>#VALUE!</v>
      </c>
      <c r="I321" t="e">
        <f>'Middle East'!A121+"n/&gt;!1Gl"</f>
        <v>#VALUE!</v>
      </c>
      <c r="J321" t="e">
        <f>'Middle East'!B121+"n/&gt;!1Gm"</f>
        <v>#VALUE!</v>
      </c>
      <c r="K321" t="e">
        <f>'Middle East'!C121+"n/&gt;!1Gn"</f>
        <v>#VALUE!</v>
      </c>
      <c r="L321" t="e">
        <f>'Middle East'!D121+"n/&gt;!1Go"</f>
        <v>#VALUE!</v>
      </c>
      <c r="M321" t="e">
        <f>'Middle East'!E121+"n/&gt;!1Gp"</f>
        <v>#VALUE!</v>
      </c>
      <c r="N321" t="e">
        <f>'Middle East'!F121+"n/&gt;!1Gq"</f>
        <v>#VALUE!</v>
      </c>
      <c r="O321" t="e">
        <f>'Middle East'!G121+"n/&gt;!1Gr"</f>
        <v>#VALUE!</v>
      </c>
      <c r="P321" t="e">
        <f>'Middle East'!H121+"n/&gt;!1Gs"</f>
        <v>#VALUE!</v>
      </c>
      <c r="Q321" t="e">
        <f>'Middle East'!I121+"n/&gt;!1Gt"</f>
        <v>#VALUE!</v>
      </c>
      <c r="R321" t="e">
        <f>'Middle East'!A122+"n/&gt;!1Gu"</f>
        <v>#VALUE!</v>
      </c>
      <c r="S321" t="e">
        <f>'Middle East'!B122+"n/&gt;!1Gv"</f>
        <v>#VALUE!</v>
      </c>
      <c r="T321" t="e">
        <f>'Middle East'!C122+"n/&gt;!1Gw"</f>
        <v>#VALUE!</v>
      </c>
      <c r="U321" t="e">
        <f>'Middle East'!D122+"n/&gt;!1Gx"</f>
        <v>#VALUE!</v>
      </c>
      <c r="V321" t="e">
        <f>'Middle East'!E122+"n/&gt;!1Gy"</f>
        <v>#VALUE!</v>
      </c>
      <c r="W321" t="e">
        <f>'Middle East'!F122+"n/&gt;!1Gz"</f>
        <v>#VALUE!</v>
      </c>
      <c r="X321" t="e">
        <f>'Middle East'!G122+"n/&gt;!1G{"</f>
        <v>#VALUE!</v>
      </c>
      <c r="Y321" t="e">
        <f>'Middle East'!H122+"n/&gt;!1G|"</f>
        <v>#VALUE!</v>
      </c>
      <c r="Z321" t="e">
        <f>'Middle East'!I122+"n/&gt;!1G}"</f>
        <v>#VALUE!</v>
      </c>
      <c r="AA321" t="e">
        <f>'Middle East'!A123+"n/&gt;!1G~"</f>
        <v>#VALUE!</v>
      </c>
      <c r="AB321" t="e">
        <f>'Middle East'!B123+"n/&gt;!1H#"</f>
        <v>#VALUE!</v>
      </c>
      <c r="AC321" t="e">
        <f>'Middle East'!C123+"n/&gt;!1H$"</f>
        <v>#VALUE!</v>
      </c>
      <c r="AD321" t="e">
        <f>'Middle East'!D123+"n/&gt;!1H%"</f>
        <v>#VALUE!</v>
      </c>
      <c r="AE321" t="e">
        <f>'Middle East'!E123+"n/&gt;!1H&amp;"</f>
        <v>#VALUE!</v>
      </c>
      <c r="AF321" t="e">
        <f>'Middle East'!F123+"n/&gt;!1H'"</f>
        <v>#VALUE!</v>
      </c>
      <c r="AG321" t="e">
        <f>'Middle East'!G123+"n/&gt;!1H("</f>
        <v>#VALUE!</v>
      </c>
      <c r="AH321" t="e">
        <f>'Middle East'!H123+"n/&gt;!1H)"</f>
        <v>#VALUE!</v>
      </c>
      <c r="AI321" t="e">
        <f>'Middle East'!I123+"n/&gt;!1H."</f>
        <v>#VALUE!</v>
      </c>
      <c r="AJ321" t="e">
        <f>'Middle East'!A124+"n/&gt;!1H/"</f>
        <v>#VALUE!</v>
      </c>
      <c r="AK321" t="e">
        <f>'Middle East'!B124+"n/&gt;!1H0"</f>
        <v>#VALUE!</v>
      </c>
      <c r="AL321" t="e">
        <f>'Middle East'!C124+"n/&gt;!1H1"</f>
        <v>#VALUE!</v>
      </c>
      <c r="AM321" t="e">
        <f>'Middle East'!D124+"n/&gt;!1H2"</f>
        <v>#VALUE!</v>
      </c>
      <c r="AN321" t="e">
        <f>'Middle East'!E124+"n/&gt;!1H3"</f>
        <v>#VALUE!</v>
      </c>
      <c r="AO321" t="e">
        <f>'Middle East'!F124+"n/&gt;!1H4"</f>
        <v>#VALUE!</v>
      </c>
      <c r="AP321" t="e">
        <f>'Middle East'!G124+"n/&gt;!1H5"</f>
        <v>#VALUE!</v>
      </c>
      <c r="AQ321" t="e">
        <f>'Middle East'!H124+"n/&gt;!1H6"</f>
        <v>#VALUE!</v>
      </c>
      <c r="AR321" t="e">
        <f>'Middle East'!I124+"n/&gt;!1H7"</f>
        <v>#VALUE!</v>
      </c>
      <c r="AS321" t="e">
        <f>'Middle East'!A125+"n/&gt;!1H8"</f>
        <v>#VALUE!</v>
      </c>
      <c r="AT321" t="e">
        <f>'Middle East'!B125+"n/&gt;!1H9"</f>
        <v>#VALUE!</v>
      </c>
      <c r="AU321" t="e">
        <f>'Middle East'!C125+"n/&gt;!1H:"</f>
        <v>#VALUE!</v>
      </c>
      <c r="AV321" t="e">
        <f>'Middle East'!D125+"n/&gt;!1H;"</f>
        <v>#VALUE!</v>
      </c>
      <c r="AW321" t="e">
        <f>'Middle East'!E125+"n/&gt;!1H&lt;"</f>
        <v>#VALUE!</v>
      </c>
      <c r="AX321" t="e">
        <f>'Middle East'!F125+"n/&gt;!1H="</f>
        <v>#VALUE!</v>
      </c>
      <c r="AY321" t="e">
        <f>'Middle East'!G125+"n/&gt;!1H&gt;"</f>
        <v>#VALUE!</v>
      </c>
      <c r="AZ321" t="e">
        <f>'Middle East'!H125+"n/&gt;!1H?"</f>
        <v>#VALUE!</v>
      </c>
      <c r="BA321" t="e">
        <f>'Middle East'!I125+"n/&gt;!1H@"</f>
        <v>#VALUE!</v>
      </c>
      <c r="BB321" t="e">
        <f>'Middle East'!A126+"n/&gt;!1HA"</f>
        <v>#VALUE!</v>
      </c>
      <c r="BC321" t="e">
        <f>'Middle East'!B126+"n/&gt;!1HB"</f>
        <v>#VALUE!</v>
      </c>
      <c r="BD321" t="e">
        <f>'Middle East'!C126+"n/&gt;!1HC"</f>
        <v>#VALUE!</v>
      </c>
      <c r="BE321" t="e">
        <f>'Middle East'!D126+"n/&gt;!1HD"</f>
        <v>#VALUE!</v>
      </c>
      <c r="BF321" t="e">
        <f>'Middle East'!E126+"n/&gt;!1HE"</f>
        <v>#VALUE!</v>
      </c>
      <c r="BG321" t="e">
        <f>'Middle East'!F126+"n/&gt;!1HF"</f>
        <v>#VALUE!</v>
      </c>
      <c r="BH321" t="e">
        <f>'Middle East'!G126+"n/&gt;!1HG"</f>
        <v>#VALUE!</v>
      </c>
      <c r="BI321" t="e">
        <f>'Middle East'!H126+"n/&gt;!1HH"</f>
        <v>#VALUE!</v>
      </c>
      <c r="BJ321" t="e">
        <f>'Middle East'!I126+"n/&gt;!1HI"</f>
        <v>#VALUE!</v>
      </c>
      <c r="BK321" t="e">
        <f>'Middle East'!A127+"n/&gt;!1HJ"</f>
        <v>#VALUE!</v>
      </c>
      <c r="BL321" t="e">
        <f>'Middle East'!B127+"n/&gt;!1HK"</f>
        <v>#VALUE!</v>
      </c>
      <c r="BM321" t="e">
        <f>'Middle East'!C127+"n/&gt;!1HL"</f>
        <v>#VALUE!</v>
      </c>
      <c r="BN321" t="e">
        <f>'Middle East'!D127+"n/&gt;!1HM"</f>
        <v>#VALUE!</v>
      </c>
      <c r="BO321" t="e">
        <f>'Middle East'!E127+"n/&gt;!1HN"</f>
        <v>#VALUE!</v>
      </c>
      <c r="BP321" t="e">
        <f>'Middle East'!F127+"n/&gt;!1HO"</f>
        <v>#VALUE!</v>
      </c>
      <c r="BQ321" t="e">
        <f>'Middle East'!G127+"n/&gt;!1HP"</f>
        <v>#VALUE!</v>
      </c>
      <c r="BR321" t="e">
        <f>'Middle East'!H127+"n/&gt;!1HQ"</f>
        <v>#VALUE!</v>
      </c>
      <c r="BS321" t="e">
        <f>'Middle East'!I127+"n/&gt;!1HR"</f>
        <v>#VALUE!</v>
      </c>
      <c r="BT321" t="e">
        <f>'Middle East'!A128+"n/&gt;!1HS"</f>
        <v>#VALUE!</v>
      </c>
      <c r="BU321" t="e">
        <f>'Middle East'!B128+"n/&gt;!1HT"</f>
        <v>#VALUE!</v>
      </c>
      <c r="BV321" t="e">
        <f>'Middle East'!C128+"n/&gt;!1HU"</f>
        <v>#VALUE!</v>
      </c>
      <c r="BW321" t="e">
        <f>'Middle East'!D128+"n/&gt;!1HV"</f>
        <v>#VALUE!</v>
      </c>
      <c r="BX321" t="e">
        <f>'Middle East'!E128+"n/&gt;!1HW"</f>
        <v>#VALUE!</v>
      </c>
      <c r="BY321" t="e">
        <f>'Middle East'!F128+"n/&gt;!1HX"</f>
        <v>#VALUE!</v>
      </c>
      <c r="BZ321" t="e">
        <f>'Middle East'!G128+"n/&gt;!1HY"</f>
        <v>#VALUE!</v>
      </c>
      <c r="CA321" t="e">
        <f>'Middle East'!H128+"n/&gt;!1HZ"</f>
        <v>#VALUE!</v>
      </c>
      <c r="CB321" t="e">
        <f>'Middle East'!I128+"n/&gt;!1H["</f>
        <v>#VALUE!</v>
      </c>
      <c r="CC321" t="e">
        <f>'Middle East'!A129+"n/&gt;!1H\"</f>
        <v>#VALUE!</v>
      </c>
      <c r="CD321" t="e">
        <f>'Middle East'!B129+"n/&gt;!1H]"</f>
        <v>#VALUE!</v>
      </c>
      <c r="CE321" t="e">
        <f>'Middle East'!C129+"n/&gt;!1H^"</f>
        <v>#VALUE!</v>
      </c>
      <c r="CF321" t="e">
        <f>'Middle East'!D129+"n/&gt;!1H_"</f>
        <v>#VALUE!</v>
      </c>
      <c r="CG321" t="e">
        <f>'Middle East'!E129+"n/&gt;!1H`"</f>
        <v>#VALUE!</v>
      </c>
      <c r="CH321" t="e">
        <f>'Middle East'!F129+"n/&gt;!1Ha"</f>
        <v>#VALUE!</v>
      </c>
      <c r="CI321" t="e">
        <f>'Middle East'!G129+"n/&gt;!1Hb"</f>
        <v>#VALUE!</v>
      </c>
      <c r="CJ321" t="e">
        <f>'Middle East'!H129+"n/&gt;!1Hc"</f>
        <v>#VALUE!</v>
      </c>
      <c r="CK321" t="e">
        <f>'Middle East'!I129+"n/&gt;!1Hd"</f>
        <v>#VALUE!</v>
      </c>
      <c r="CL321" t="e">
        <f>'Middle East'!A130+"n/&gt;!1He"</f>
        <v>#VALUE!</v>
      </c>
      <c r="CM321" t="e">
        <f>'Middle East'!B130+"n/&gt;!1Hf"</f>
        <v>#VALUE!</v>
      </c>
      <c r="CN321" t="e">
        <f>'Middle East'!C130+"n/&gt;!1Hg"</f>
        <v>#VALUE!</v>
      </c>
      <c r="CO321" t="e">
        <f>'Middle East'!D130+"n/&gt;!1Hh"</f>
        <v>#VALUE!</v>
      </c>
      <c r="CP321" t="e">
        <f>'Middle East'!E130+"n/&gt;!1Hi"</f>
        <v>#VALUE!</v>
      </c>
      <c r="CQ321" t="e">
        <f>'Middle East'!F130+"n/&gt;!1Hj"</f>
        <v>#VALUE!</v>
      </c>
      <c r="CR321" t="e">
        <f>'Middle East'!G130+"n/&gt;!1Hk"</f>
        <v>#VALUE!</v>
      </c>
      <c r="CS321" t="e">
        <f>'Middle East'!H130+"n/&gt;!1Hl"</f>
        <v>#VALUE!</v>
      </c>
      <c r="CT321" t="e">
        <f>'Middle East'!I130+"n/&gt;!1Hm"</f>
        <v>#VALUE!</v>
      </c>
      <c r="CU321" t="e">
        <f>'Middle East'!A131+"n/&gt;!1Hn"</f>
        <v>#VALUE!</v>
      </c>
      <c r="CV321" t="e">
        <f>'Middle East'!B131+"n/&gt;!1Ho"</f>
        <v>#VALUE!</v>
      </c>
      <c r="CW321" t="e">
        <f>'Middle East'!C131+"n/&gt;!1Hp"</f>
        <v>#VALUE!</v>
      </c>
      <c r="CX321" t="e">
        <f>'Middle East'!D131+"n/&gt;!1Hq"</f>
        <v>#VALUE!</v>
      </c>
      <c r="CY321" t="e">
        <f>'Middle East'!E131+"n/&gt;!1Hr"</f>
        <v>#VALUE!</v>
      </c>
      <c r="CZ321" t="e">
        <f>'Middle East'!F131+"n/&gt;!1Hs"</f>
        <v>#VALUE!</v>
      </c>
      <c r="DA321" t="e">
        <f>'Middle East'!G131+"n/&gt;!1Ht"</f>
        <v>#VALUE!</v>
      </c>
      <c r="DB321" t="e">
        <f>'Middle East'!H131+"n/&gt;!1Hu"</f>
        <v>#VALUE!</v>
      </c>
      <c r="DC321" t="e">
        <f>'Middle East'!I131+"n/&gt;!1Hv"</f>
        <v>#VALUE!</v>
      </c>
      <c r="DD321" t="e">
        <f>'Middle East'!A132+"n/&gt;!1Hw"</f>
        <v>#VALUE!</v>
      </c>
      <c r="DE321" t="e">
        <f>'Middle East'!B132+"n/&gt;!1Hx"</f>
        <v>#VALUE!</v>
      </c>
      <c r="DF321" t="e">
        <f>'Middle East'!C132+"n/&gt;!1Hy"</f>
        <v>#VALUE!</v>
      </c>
      <c r="DG321" t="e">
        <f>'Middle East'!D132+"n/&gt;!1Hz"</f>
        <v>#VALUE!</v>
      </c>
      <c r="DH321" t="e">
        <f>'Middle East'!E132+"n/&gt;!1H{"</f>
        <v>#VALUE!</v>
      </c>
      <c r="DI321" t="e">
        <f>'Middle East'!F132+"n/&gt;!1H|"</f>
        <v>#VALUE!</v>
      </c>
      <c r="DJ321" t="e">
        <f>'Middle East'!G132+"n/&gt;!1H}"</f>
        <v>#VALUE!</v>
      </c>
      <c r="DK321" t="e">
        <f>'Middle East'!H132+"n/&gt;!1H~"</f>
        <v>#VALUE!</v>
      </c>
      <c r="DL321" t="e">
        <f>'Middle East'!I132+"n/&gt;!1I#"</f>
        <v>#VALUE!</v>
      </c>
      <c r="DM321" t="e">
        <f>'Middle East'!A133+"n/&gt;!1I$"</f>
        <v>#VALUE!</v>
      </c>
      <c r="DN321" t="e">
        <f>'Middle East'!B133+"n/&gt;!1I%"</f>
        <v>#VALUE!</v>
      </c>
      <c r="DO321" t="e">
        <f>'Middle East'!C133+"n/&gt;!1I&amp;"</f>
        <v>#VALUE!</v>
      </c>
      <c r="DP321" t="e">
        <f>'Middle East'!D133+"n/&gt;!1I'"</f>
        <v>#VALUE!</v>
      </c>
      <c r="DQ321" t="e">
        <f>'Middle East'!E133+"n/&gt;!1I("</f>
        <v>#VALUE!</v>
      </c>
      <c r="DR321" t="e">
        <f>'Middle East'!F133+"n/&gt;!1I)"</f>
        <v>#VALUE!</v>
      </c>
      <c r="DS321" t="e">
        <f>'Middle East'!G133+"n/&gt;!1I."</f>
        <v>#VALUE!</v>
      </c>
      <c r="DT321" t="e">
        <f>'Middle East'!H133+"n/&gt;!1I/"</f>
        <v>#VALUE!</v>
      </c>
      <c r="DU321" t="e">
        <f>'Middle East'!I133+"n/&gt;!1I0"</f>
        <v>#VALUE!</v>
      </c>
      <c r="DV321" t="e">
        <f>'Middle East'!A134+"n/&gt;!1I1"</f>
        <v>#VALUE!</v>
      </c>
      <c r="DW321" t="e">
        <f>'Middle East'!B134+"n/&gt;!1I2"</f>
        <v>#VALUE!</v>
      </c>
      <c r="DX321" t="e">
        <f>'Middle East'!C134+"n/&gt;!1I3"</f>
        <v>#VALUE!</v>
      </c>
      <c r="DY321" t="e">
        <f>'Middle East'!D134+"n/&gt;!1I4"</f>
        <v>#VALUE!</v>
      </c>
      <c r="DZ321" t="e">
        <f>'Middle East'!E134+"n/&gt;!1I5"</f>
        <v>#VALUE!</v>
      </c>
      <c r="EA321" t="e">
        <f>'Middle East'!F134+"n/&gt;!1I6"</f>
        <v>#VALUE!</v>
      </c>
      <c r="EB321" t="e">
        <f>'Middle East'!G134+"n/&gt;!1I7"</f>
        <v>#VALUE!</v>
      </c>
      <c r="EC321" t="e">
        <f>'Middle East'!H134+"n/&gt;!1I8"</f>
        <v>#VALUE!</v>
      </c>
      <c r="ED321" t="e">
        <f>'Middle East'!I134+"n/&gt;!1I9"</f>
        <v>#VALUE!</v>
      </c>
      <c r="EE321" t="e">
        <f>'Middle East'!A135+"n/&gt;!1I:"</f>
        <v>#VALUE!</v>
      </c>
      <c r="EF321" t="e">
        <f>'Middle East'!B135+"n/&gt;!1I;"</f>
        <v>#VALUE!</v>
      </c>
      <c r="EG321" t="e">
        <f>'Middle East'!C135+"n/&gt;!1I&lt;"</f>
        <v>#VALUE!</v>
      </c>
      <c r="EH321" t="e">
        <f>'Middle East'!D135+"n/&gt;!1I="</f>
        <v>#VALUE!</v>
      </c>
      <c r="EI321" t="e">
        <f>'Middle East'!E135+"n/&gt;!1I&gt;"</f>
        <v>#VALUE!</v>
      </c>
      <c r="EJ321" t="e">
        <f>'Middle East'!F135+"n/&gt;!1I?"</f>
        <v>#VALUE!</v>
      </c>
      <c r="EK321" t="e">
        <f>'Middle East'!G135+"n/&gt;!1I@"</f>
        <v>#VALUE!</v>
      </c>
      <c r="EL321" t="e">
        <f>'Middle East'!H135+"n/&gt;!1IA"</f>
        <v>#VALUE!</v>
      </c>
      <c r="EM321" t="e">
        <f>'Middle East'!I135+"n/&gt;!1IB"</f>
        <v>#VALUE!</v>
      </c>
      <c r="EN321" t="e">
        <f>'Middle East'!A136+"n/&gt;!1IC"</f>
        <v>#VALUE!</v>
      </c>
      <c r="EO321" t="e">
        <f>'Middle East'!B136+"n/&gt;!1ID"</f>
        <v>#VALUE!</v>
      </c>
      <c r="EP321" t="e">
        <f>'Middle East'!C136+"n/&gt;!1IE"</f>
        <v>#VALUE!</v>
      </c>
      <c r="EQ321" t="e">
        <f>'Middle East'!D136+"n/&gt;!1IF"</f>
        <v>#VALUE!</v>
      </c>
      <c r="ER321" t="e">
        <f>'Middle East'!E136+"n/&gt;!1IG"</f>
        <v>#VALUE!</v>
      </c>
      <c r="ES321" t="e">
        <f>'Middle East'!F136+"n/&gt;!1IH"</f>
        <v>#VALUE!</v>
      </c>
      <c r="ET321" t="e">
        <f>'Middle East'!G136+"n/&gt;!1II"</f>
        <v>#VALUE!</v>
      </c>
      <c r="EU321" t="e">
        <f>'Middle East'!H136+"n/&gt;!1IJ"</f>
        <v>#VALUE!</v>
      </c>
      <c r="EV321" t="e">
        <f>'Middle East'!I136+"n/&gt;!1IK"</f>
        <v>#VALUE!</v>
      </c>
      <c r="EW321" t="e">
        <f>'Middle East'!A137+"n/&gt;!1IL"</f>
        <v>#VALUE!</v>
      </c>
      <c r="EX321" t="e">
        <f>'Middle East'!B137+"n/&gt;!1IM"</f>
        <v>#VALUE!</v>
      </c>
      <c r="EY321" t="e">
        <f>'Middle East'!C137+"n/&gt;!1IN"</f>
        <v>#VALUE!</v>
      </c>
      <c r="EZ321" t="e">
        <f>'Middle East'!D137+"n/&gt;!1IO"</f>
        <v>#VALUE!</v>
      </c>
      <c r="FA321" t="e">
        <f>'Middle East'!E137+"n/&gt;!1IP"</f>
        <v>#VALUE!</v>
      </c>
      <c r="FB321" t="e">
        <f>'Middle East'!F137+"n/&gt;!1IQ"</f>
        <v>#VALUE!</v>
      </c>
      <c r="FC321" t="e">
        <f>'Middle East'!G137+"n/&gt;!1IR"</f>
        <v>#VALUE!</v>
      </c>
      <c r="FD321" t="e">
        <f>'Middle East'!H137+"n/&gt;!1IS"</f>
        <v>#VALUE!</v>
      </c>
      <c r="FE321" t="e">
        <f>'Middle East'!I137+"n/&gt;!1IT"</f>
        <v>#VALUE!</v>
      </c>
      <c r="FF321" t="e">
        <f>'Middle East'!A138+"n/&gt;!1IU"</f>
        <v>#VALUE!</v>
      </c>
      <c r="FG321" t="e">
        <f>'Middle East'!B138+"n/&gt;!1IV"</f>
        <v>#VALUE!</v>
      </c>
      <c r="FH321" t="e">
        <f>'Middle East'!C138+"n/&gt;!1IW"</f>
        <v>#VALUE!</v>
      </c>
      <c r="FI321" t="e">
        <f>'Middle East'!D138+"n/&gt;!1IX"</f>
        <v>#VALUE!</v>
      </c>
      <c r="FJ321" t="e">
        <f>'Middle East'!E138+"n/&gt;!1IY"</f>
        <v>#VALUE!</v>
      </c>
      <c r="FK321" t="e">
        <f>'Middle East'!F138+"n/&gt;!1IZ"</f>
        <v>#VALUE!</v>
      </c>
      <c r="FL321" t="e">
        <f>'Middle East'!G138+"n/&gt;!1I["</f>
        <v>#VALUE!</v>
      </c>
      <c r="FM321" t="e">
        <f>'Middle East'!H138+"n/&gt;!1I\"</f>
        <v>#VALUE!</v>
      </c>
      <c r="FN321" t="e">
        <f>'Middle East'!I138+"n/&gt;!1I]"</f>
        <v>#VALUE!</v>
      </c>
      <c r="FO321" t="e">
        <f>'Middle East'!A139+"n/&gt;!1I^"</f>
        <v>#VALUE!</v>
      </c>
      <c r="FP321" t="e">
        <f>'Middle East'!B139+"n/&gt;!1I_"</f>
        <v>#VALUE!</v>
      </c>
      <c r="FQ321" t="e">
        <f>'Middle East'!C139+"n/&gt;!1I`"</f>
        <v>#VALUE!</v>
      </c>
      <c r="FR321" t="e">
        <f>'Middle East'!D139+"n/&gt;!1Ia"</f>
        <v>#VALUE!</v>
      </c>
      <c r="FS321" t="e">
        <f>'Middle East'!E139+"n/&gt;!1Ib"</f>
        <v>#VALUE!</v>
      </c>
      <c r="FT321" t="e">
        <f>'Middle East'!F139+"n/&gt;!1Ic"</f>
        <v>#VALUE!</v>
      </c>
      <c r="FU321" t="e">
        <f>'Middle East'!G139+"n/&gt;!1Id"</f>
        <v>#VALUE!</v>
      </c>
      <c r="FV321" t="e">
        <f>'Middle East'!H139+"n/&gt;!1Ie"</f>
        <v>#VALUE!</v>
      </c>
      <c r="FW321" t="e">
        <f>'Middle East'!I139+"n/&gt;!1If"</f>
        <v>#VALUE!</v>
      </c>
      <c r="FX321" t="e">
        <f>'Middle East'!A140+"n/&gt;!1Ig"</f>
        <v>#VALUE!</v>
      </c>
      <c r="FY321" t="e">
        <f>'Middle East'!B140+"n/&gt;!1Ih"</f>
        <v>#VALUE!</v>
      </c>
      <c r="FZ321" t="e">
        <f>'Middle East'!C140+"n/&gt;!1Ii"</f>
        <v>#VALUE!</v>
      </c>
      <c r="GA321" t="e">
        <f>'Middle East'!D140+"n/&gt;!1Ij"</f>
        <v>#VALUE!</v>
      </c>
      <c r="GB321" t="e">
        <f>'Middle East'!E140+"n/&gt;!1Ik"</f>
        <v>#VALUE!</v>
      </c>
      <c r="GC321" t="e">
        <f>'Middle East'!F140+"n/&gt;!1Il"</f>
        <v>#VALUE!</v>
      </c>
      <c r="GD321" t="e">
        <f>'Middle East'!G140+"n/&gt;!1Im"</f>
        <v>#VALUE!</v>
      </c>
      <c r="GE321" t="e">
        <f>'Middle East'!H140+"n/&gt;!1In"</f>
        <v>#VALUE!</v>
      </c>
      <c r="GF321" t="e">
        <f>'Middle East'!I140+"n/&gt;!1Io"</f>
        <v>#VALUE!</v>
      </c>
      <c r="GG321" t="e">
        <f>'Middle East'!A141+"n/&gt;!1Ip"</f>
        <v>#VALUE!</v>
      </c>
      <c r="GH321" t="e">
        <f>'Middle East'!B141+"n/&gt;!1Iq"</f>
        <v>#VALUE!</v>
      </c>
      <c r="GI321" t="e">
        <f>'Middle East'!C141+"n/&gt;!1Ir"</f>
        <v>#VALUE!</v>
      </c>
      <c r="GJ321" t="e">
        <f>'Middle East'!D141+"n/&gt;!1Is"</f>
        <v>#VALUE!</v>
      </c>
      <c r="GK321" t="e">
        <f>'Middle East'!E141+"n/&gt;!1It"</f>
        <v>#VALUE!</v>
      </c>
      <c r="GL321" t="e">
        <f>'Middle East'!F141+"n/&gt;!1Iu"</f>
        <v>#VALUE!</v>
      </c>
      <c r="GM321" t="e">
        <f>'Middle East'!G141+"n/&gt;!1Iv"</f>
        <v>#VALUE!</v>
      </c>
      <c r="GN321" t="e">
        <f>'Middle East'!H141+"n/&gt;!1Iw"</f>
        <v>#VALUE!</v>
      </c>
      <c r="GO321" t="e">
        <f>'Middle East'!I141+"n/&gt;!1Ix"</f>
        <v>#VALUE!</v>
      </c>
      <c r="GP321" t="e">
        <f>'Middle East'!A142+"n/&gt;!1Iy"</f>
        <v>#VALUE!</v>
      </c>
      <c r="GQ321" t="e">
        <f>'Middle East'!B142+"n/&gt;!1Iz"</f>
        <v>#VALUE!</v>
      </c>
      <c r="GR321" t="e">
        <f>'Middle East'!C142+"n/&gt;!1I{"</f>
        <v>#VALUE!</v>
      </c>
      <c r="GS321" t="e">
        <f>'Middle East'!D142+"n/&gt;!1I|"</f>
        <v>#VALUE!</v>
      </c>
      <c r="GT321" t="e">
        <f>'Middle East'!E142+"n/&gt;!1I}"</f>
        <v>#VALUE!</v>
      </c>
      <c r="GU321" t="e">
        <f>'Middle East'!F142+"n/&gt;!1I~"</f>
        <v>#VALUE!</v>
      </c>
      <c r="GV321" t="e">
        <f>'Middle East'!G142+"n/&gt;!1J#"</f>
        <v>#VALUE!</v>
      </c>
      <c r="GW321" t="e">
        <f>'Middle East'!H142+"n/&gt;!1J$"</f>
        <v>#VALUE!</v>
      </c>
      <c r="GX321" t="e">
        <f>'Middle East'!I142+"n/&gt;!1J%"</f>
        <v>#VALUE!</v>
      </c>
      <c r="GY321" t="e">
        <f>'Middle East'!A143+"n/&gt;!1J&amp;"</f>
        <v>#VALUE!</v>
      </c>
      <c r="GZ321" t="e">
        <f>'Middle East'!B143+"n/&gt;!1J'"</f>
        <v>#VALUE!</v>
      </c>
      <c r="HA321" t="e">
        <f>'Middle East'!C143+"n/&gt;!1J("</f>
        <v>#VALUE!</v>
      </c>
      <c r="HB321" t="e">
        <f>'Middle East'!D143+"n/&gt;!1J)"</f>
        <v>#VALUE!</v>
      </c>
      <c r="HC321" t="e">
        <f>'Middle East'!E143+"n/&gt;!1J."</f>
        <v>#VALUE!</v>
      </c>
      <c r="HD321" t="e">
        <f>'Middle East'!F143+"n/&gt;!1J/"</f>
        <v>#VALUE!</v>
      </c>
      <c r="HE321" t="e">
        <f>'Middle East'!G143+"n/&gt;!1J0"</f>
        <v>#VALUE!</v>
      </c>
      <c r="HF321" t="e">
        <f>'Middle East'!H143+"n/&gt;!1J1"</f>
        <v>#VALUE!</v>
      </c>
      <c r="HG321" t="e">
        <f>'Middle East'!I143+"n/&gt;!1J2"</f>
        <v>#VALUE!</v>
      </c>
      <c r="HH321" t="e">
        <f>'Middle East'!A144+"n/&gt;!1J3"</f>
        <v>#VALUE!</v>
      </c>
      <c r="HI321" t="e">
        <f>'Middle East'!B144+"n/&gt;!1J4"</f>
        <v>#VALUE!</v>
      </c>
      <c r="HJ321" t="e">
        <f>'Middle East'!C144+"n/&gt;!1J5"</f>
        <v>#VALUE!</v>
      </c>
      <c r="HK321" t="e">
        <f>'Middle East'!D144+"n/&gt;!1J6"</f>
        <v>#VALUE!</v>
      </c>
      <c r="HL321" t="e">
        <f>'Middle East'!E144+"n/&gt;!1J7"</f>
        <v>#VALUE!</v>
      </c>
      <c r="HM321" t="e">
        <f>'Middle East'!F144+"n/&gt;!1J8"</f>
        <v>#VALUE!</v>
      </c>
      <c r="HN321" t="e">
        <f>'Middle East'!G144+"n/&gt;!1J9"</f>
        <v>#VALUE!</v>
      </c>
      <c r="HO321" t="e">
        <f>'Middle East'!H144+"n/&gt;!1J:"</f>
        <v>#VALUE!</v>
      </c>
      <c r="HP321" t="e">
        <f>'Middle East'!I144+"n/&gt;!1J;"</f>
        <v>#VALUE!</v>
      </c>
      <c r="HQ321" t="e">
        <f>'Middle East'!A145+"n/&gt;!1J&lt;"</f>
        <v>#VALUE!</v>
      </c>
      <c r="HR321" t="e">
        <f>'Middle East'!B145+"n/&gt;!1J="</f>
        <v>#VALUE!</v>
      </c>
      <c r="HS321" t="e">
        <f>'Middle East'!C145+"n/&gt;!1J&gt;"</f>
        <v>#VALUE!</v>
      </c>
      <c r="HT321" t="e">
        <f>'Middle East'!D145+"n/&gt;!1J?"</f>
        <v>#VALUE!</v>
      </c>
      <c r="HU321" t="e">
        <f>'Middle East'!E145+"n/&gt;!1J@"</f>
        <v>#VALUE!</v>
      </c>
      <c r="HV321" t="e">
        <f>'Middle East'!F145+"n/&gt;!1JA"</f>
        <v>#VALUE!</v>
      </c>
      <c r="HW321" t="e">
        <f>'Middle East'!G145+"n/&gt;!1JB"</f>
        <v>#VALUE!</v>
      </c>
      <c r="HX321" t="e">
        <f>'Middle East'!H145+"n/&gt;!1JC"</f>
        <v>#VALUE!</v>
      </c>
      <c r="HY321" t="e">
        <f>'Middle East'!I145+"n/&gt;!1JD"</f>
        <v>#VALUE!</v>
      </c>
      <c r="HZ321" t="e">
        <f>'Middle East'!A146+"n/&gt;!1JE"</f>
        <v>#VALUE!</v>
      </c>
      <c r="IA321" t="e">
        <f>'Middle East'!B146+"n/&gt;!1JF"</f>
        <v>#VALUE!</v>
      </c>
      <c r="IB321" t="e">
        <f>'Middle East'!C146+"n/&gt;!1JG"</f>
        <v>#VALUE!</v>
      </c>
      <c r="IC321" t="e">
        <f>'Middle East'!D146+"n/&gt;!1JH"</f>
        <v>#VALUE!</v>
      </c>
      <c r="ID321" t="e">
        <f>'Middle East'!E146+"n/&gt;!1JI"</f>
        <v>#VALUE!</v>
      </c>
      <c r="IE321" t="e">
        <f>'Middle East'!F146+"n/&gt;!1JJ"</f>
        <v>#VALUE!</v>
      </c>
      <c r="IF321" t="e">
        <f>'Middle East'!G146+"n/&gt;!1JK"</f>
        <v>#VALUE!</v>
      </c>
      <c r="IG321" t="e">
        <f>'Middle East'!H146+"n/&gt;!1JL"</f>
        <v>#VALUE!</v>
      </c>
      <c r="IH321" t="e">
        <f>'Middle East'!I146+"n/&gt;!1JM"</f>
        <v>#VALUE!</v>
      </c>
      <c r="II321" t="e">
        <f>'Middle East'!A147+"n/&gt;!1JN"</f>
        <v>#VALUE!</v>
      </c>
      <c r="IJ321" t="e">
        <f>'Middle East'!B147+"n/&gt;!1JO"</f>
        <v>#VALUE!</v>
      </c>
      <c r="IK321" t="e">
        <f>'Middle East'!C147+"n/&gt;!1JP"</f>
        <v>#VALUE!</v>
      </c>
      <c r="IL321" t="e">
        <f>'Middle East'!D147+"n/&gt;!1JQ"</f>
        <v>#VALUE!</v>
      </c>
      <c r="IM321" t="e">
        <f>'Middle East'!E147+"n/&gt;!1JR"</f>
        <v>#VALUE!</v>
      </c>
      <c r="IN321" t="e">
        <f>'Middle East'!F147+"n/&gt;!1JS"</f>
        <v>#VALUE!</v>
      </c>
      <c r="IO321" t="e">
        <f>'Middle East'!G147+"n/&gt;!1JT"</f>
        <v>#VALUE!</v>
      </c>
      <c r="IP321" t="e">
        <f>'Middle East'!H147+"n/&gt;!1JU"</f>
        <v>#VALUE!</v>
      </c>
      <c r="IQ321" t="e">
        <f>'Middle East'!I147+"n/&gt;!1JV"</f>
        <v>#VALUE!</v>
      </c>
      <c r="IR321" t="e">
        <f>'Middle East'!A148+"n/&gt;!1JW"</f>
        <v>#VALUE!</v>
      </c>
      <c r="IS321" t="e">
        <f>'Middle East'!B148+"n/&gt;!1JX"</f>
        <v>#VALUE!</v>
      </c>
      <c r="IT321" t="e">
        <f>'Middle East'!C148+"n/&gt;!1JY"</f>
        <v>#VALUE!</v>
      </c>
      <c r="IU321" t="e">
        <f>'Middle East'!D148+"n/&gt;!1JZ"</f>
        <v>#VALUE!</v>
      </c>
      <c r="IV321" t="e">
        <f>'Middle East'!E148+"n/&gt;!1J["</f>
        <v>#VALUE!</v>
      </c>
    </row>
    <row r="322" spans="6:256" x14ac:dyDescent="0.35">
      <c r="F322" t="e">
        <f>'Middle East'!F148+"n/&gt;!1J\"</f>
        <v>#VALUE!</v>
      </c>
      <c r="G322" t="e">
        <f>'Middle East'!G148+"n/&gt;!1J]"</f>
        <v>#VALUE!</v>
      </c>
      <c r="H322" t="e">
        <f>'Middle East'!H148+"n/&gt;!1J^"</f>
        <v>#VALUE!</v>
      </c>
      <c r="I322" t="e">
        <f>'Middle East'!I148+"n/&gt;!1J_"</f>
        <v>#VALUE!</v>
      </c>
      <c r="J322" t="e">
        <f>'Middle East'!A149+"n/&gt;!1J`"</f>
        <v>#VALUE!</v>
      </c>
      <c r="K322" t="e">
        <f>'Middle East'!B149+"n/&gt;!1Ja"</f>
        <v>#VALUE!</v>
      </c>
      <c r="L322" t="e">
        <f>'Middle East'!C149+"n/&gt;!1Jb"</f>
        <v>#VALUE!</v>
      </c>
      <c r="M322" t="e">
        <f>'Middle East'!D149+"n/&gt;!1Jc"</f>
        <v>#VALUE!</v>
      </c>
      <c r="N322" t="e">
        <f>'Middle East'!E149+"n/&gt;!1Jd"</f>
        <v>#VALUE!</v>
      </c>
      <c r="O322" t="e">
        <f>'Middle East'!F149+"n/&gt;!1Je"</f>
        <v>#VALUE!</v>
      </c>
      <c r="P322" t="e">
        <f>'Middle East'!G149+"n/&gt;!1Jf"</f>
        <v>#VALUE!</v>
      </c>
      <c r="Q322" t="e">
        <f>'Middle East'!H149+"n/&gt;!1Jg"</f>
        <v>#VALUE!</v>
      </c>
      <c r="R322" t="e">
        <f>'Middle East'!I149+"n/&gt;!1Jh"</f>
        <v>#VALUE!</v>
      </c>
      <c r="S322" t="e">
        <f>'Middle East'!A150+"n/&gt;!1Ji"</f>
        <v>#VALUE!</v>
      </c>
      <c r="T322" t="e">
        <f>'Middle East'!B150+"n/&gt;!1Jj"</f>
        <v>#VALUE!</v>
      </c>
      <c r="U322" t="e">
        <f>'Middle East'!C150+"n/&gt;!1Jk"</f>
        <v>#VALUE!</v>
      </c>
      <c r="V322" t="e">
        <f>'Middle East'!D150+"n/&gt;!1Jl"</f>
        <v>#VALUE!</v>
      </c>
      <c r="W322" t="e">
        <f>'Middle East'!E150+"n/&gt;!1Jm"</f>
        <v>#VALUE!</v>
      </c>
      <c r="X322" t="e">
        <f>'Middle East'!F150+"n/&gt;!1Jn"</f>
        <v>#VALUE!</v>
      </c>
      <c r="Y322" t="e">
        <f>'Middle East'!G150+"n/&gt;!1Jo"</f>
        <v>#VALUE!</v>
      </c>
      <c r="Z322" t="e">
        <f>'Middle East'!H150+"n/&gt;!1Jp"</f>
        <v>#VALUE!</v>
      </c>
      <c r="AA322" t="e">
        <f>'Middle East'!I150+"n/&gt;!1Jq"</f>
        <v>#VALUE!</v>
      </c>
      <c r="AB322" t="e">
        <f>'Middle East'!A151+"n/&gt;!1Jr"</f>
        <v>#VALUE!</v>
      </c>
      <c r="AC322" t="e">
        <f>'Middle East'!B151+"n/&gt;!1Js"</f>
        <v>#VALUE!</v>
      </c>
      <c r="AD322" t="e">
        <f>'Middle East'!C151+"n/&gt;!1Jt"</f>
        <v>#VALUE!</v>
      </c>
      <c r="AE322" t="e">
        <f>'Middle East'!D151+"n/&gt;!1Ju"</f>
        <v>#VALUE!</v>
      </c>
      <c r="AF322" t="e">
        <f>'Middle East'!E151+"n/&gt;!1Jv"</f>
        <v>#VALUE!</v>
      </c>
      <c r="AG322" t="e">
        <f>'Middle East'!F151+"n/&gt;!1Jw"</f>
        <v>#VALUE!</v>
      </c>
      <c r="AH322" t="e">
        <f>'Middle East'!G151+"n/&gt;!1Jx"</f>
        <v>#VALUE!</v>
      </c>
      <c r="AI322" t="e">
        <f>'Middle East'!H151+"n/&gt;!1Jy"</f>
        <v>#VALUE!</v>
      </c>
      <c r="AJ322" t="e">
        <f>'Middle East'!I151+"n/&gt;!1Jz"</f>
        <v>#VALUE!</v>
      </c>
      <c r="AK322" t="e">
        <f>'Middle East'!A152+"n/&gt;!1J{"</f>
        <v>#VALUE!</v>
      </c>
      <c r="AL322" t="e">
        <f>'Middle East'!B152+"n/&gt;!1J|"</f>
        <v>#VALUE!</v>
      </c>
      <c r="AM322" t="e">
        <f>'Middle East'!C152+"n/&gt;!1J}"</f>
        <v>#VALUE!</v>
      </c>
      <c r="AN322" t="e">
        <f>'Middle East'!D152+"n/&gt;!1J~"</f>
        <v>#VALUE!</v>
      </c>
      <c r="AO322" t="e">
        <f>'Middle East'!E152+"n/&gt;!1K#"</f>
        <v>#VALUE!</v>
      </c>
      <c r="AP322" t="e">
        <f>'Middle East'!F152+"n/&gt;!1K$"</f>
        <v>#VALUE!</v>
      </c>
      <c r="AQ322" t="e">
        <f>'Middle East'!G152+"n/&gt;!1K%"</f>
        <v>#VALUE!</v>
      </c>
      <c r="AR322" t="e">
        <f>'Middle East'!H152+"n/&gt;!1K&amp;"</f>
        <v>#VALUE!</v>
      </c>
      <c r="AS322" t="e">
        <f>'Middle East'!I152+"n/&gt;!1K'"</f>
        <v>#VALUE!</v>
      </c>
      <c r="AT322" t="e">
        <f>'Middle East'!A153+"n/&gt;!1K("</f>
        <v>#VALUE!</v>
      </c>
      <c r="AU322" t="e">
        <f>'Middle East'!B153+"n/&gt;!1K)"</f>
        <v>#VALUE!</v>
      </c>
      <c r="AV322" t="e">
        <f>'Middle East'!C153+"n/&gt;!1K."</f>
        <v>#VALUE!</v>
      </c>
      <c r="AW322" t="e">
        <f>'Middle East'!D153+"n/&gt;!1K/"</f>
        <v>#VALUE!</v>
      </c>
      <c r="AX322" t="e">
        <f>'Middle East'!E153+"n/&gt;!1K0"</f>
        <v>#VALUE!</v>
      </c>
      <c r="AY322" t="e">
        <f>'Middle East'!F153+"n/&gt;!1K1"</f>
        <v>#VALUE!</v>
      </c>
      <c r="AZ322" t="e">
        <f>'Middle East'!G153+"n/&gt;!1K2"</f>
        <v>#VALUE!</v>
      </c>
      <c r="BA322" t="e">
        <f>'Middle East'!H153+"n/&gt;!1K3"</f>
        <v>#VALUE!</v>
      </c>
      <c r="BB322" t="e">
        <f>'Middle East'!I153+"n/&gt;!1K4"</f>
        <v>#VALUE!</v>
      </c>
      <c r="BC322" t="e">
        <f>'Middle East'!A154+"n/&gt;!1K5"</f>
        <v>#VALUE!</v>
      </c>
      <c r="BD322" t="e">
        <f>'Middle East'!B154+"n/&gt;!1K6"</f>
        <v>#VALUE!</v>
      </c>
      <c r="BE322" t="e">
        <f>'Middle East'!C154+"n/&gt;!1K7"</f>
        <v>#VALUE!</v>
      </c>
      <c r="BF322" t="e">
        <f>'Middle East'!D154+"n/&gt;!1K8"</f>
        <v>#VALUE!</v>
      </c>
      <c r="BG322" t="e">
        <f>'Middle East'!E154+"n/&gt;!1K9"</f>
        <v>#VALUE!</v>
      </c>
      <c r="BH322" t="e">
        <f>'Middle East'!F154+"n/&gt;!1K:"</f>
        <v>#VALUE!</v>
      </c>
      <c r="BI322" t="e">
        <f>'Middle East'!G154+"n/&gt;!1K;"</f>
        <v>#VALUE!</v>
      </c>
      <c r="BJ322" t="e">
        <f>'Middle East'!H154+"n/&gt;!1K&lt;"</f>
        <v>#VALUE!</v>
      </c>
      <c r="BK322" t="e">
        <f>'Middle East'!I154+"n/&gt;!1K="</f>
        <v>#VALUE!</v>
      </c>
      <c r="BL322" t="e">
        <f>'Middle East'!A155+"n/&gt;!1K&gt;"</f>
        <v>#VALUE!</v>
      </c>
      <c r="BM322" t="e">
        <f>'Middle East'!B155+"n/&gt;!1K?"</f>
        <v>#VALUE!</v>
      </c>
      <c r="BN322" t="e">
        <f>'Middle East'!C155+"n/&gt;!1K@"</f>
        <v>#VALUE!</v>
      </c>
      <c r="BO322" t="e">
        <f>'Middle East'!D155+"n/&gt;!1KA"</f>
        <v>#VALUE!</v>
      </c>
      <c r="BP322" t="e">
        <f>'Middle East'!E155+"n/&gt;!1KB"</f>
        <v>#VALUE!</v>
      </c>
      <c r="BQ322" t="e">
        <f>'Middle East'!F155+"n/&gt;!1KC"</f>
        <v>#VALUE!</v>
      </c>
      <c r="BR322" t="e">
        <f>'Middle East'!G155+"n/&gt;!1KD"</f>
        <v>#VALUE!</v>
      </c>
      <c r="BS322" t="e">
        <f>'Middle East'!H155+"n/&gt;!1KE"</f>
        <v>#VALUE!</v>
      </c>
      <c r="BT322" t="e">
        <f>'Middle East'!I155+"n/&gt;!1KF"</f>
        <v>#VALUE!</v>
      </c>
      <c r="BU322" t="e">
        <f>'Middle East'!A156+"n/&gt;!1KG"</f>
        <v>#VALUE!</v>
      </c>
      <c r="BV322" t="e">
        <f>'Middle East'!B156+"n/&gt;!1KH"</f>
        <v>#VALUE!</v>
      </c>
      <c r="BW322" t="e">
        <f>'Middle East'!C156+"n/&gt;!1KI"</f>
        <v>#VALUE!</v>
      </c>
      <c r="BX322" t="e">
        <f>'Middle East'!D156+"n/&gt;!1KJ"</f>
        <v>#VALUE!</v>
      </c>
      <c r="BY322" t="e">
        <f>'Middle East'!E156+"n/&gt;!1KK"</f>
        <v>#VALUE!</v>
      </c>
      <c r="BZ322" t="e">
        <f>'Middle East'!F156+"n/&gt;!1KL"</f>
        <v>#VALUE!</v>
      </c>
      <c r="CA322" t="e">
        <f>'Middle East'!G156+"n/&gt;!1KM"</f>
        <v>#VALUE!</v>
      </c>
      <c r="CB322" t="e">
        <f>'Middle East'!H156+"n/&gt;!1KN"</f>
        <v>#VALUE!</v>
      </c>
      <c r="CC322" t="e">
        <f>'Middle East'!I156+"n/&gt;!1KO"</f>
        <v>#VALUE!</v>
      </c>
      <c r="CD322" t="e">
        <f>'Middle East'!A157+"n/&gt;!1KP"</f>
        <v>#VALUE!</v>
      </c>
      <c r="CE322" t="e">
        <f>'Middle East'!B157+"n/&gt;!1KQ"</f>
        <v>#VALUE!</v>
      </c>
      <c r="CF322" t="e">
        <f>'Middle East'!C157+"n/&gt;!1KR"</f>
        <v>#VALUE!</v>
      </c>
      <c r="CG322" t="e">
        <f>'Middle East'!D157+"n/&gt;!1KS"</f>
        <v>#VALUE!</v>
      </c>
      <c r="CH322" t="e">
        <f>'Middle East'!E157+"n/&gt;!1KT"</f>
        <v>#VALUE!</v>
      </c>
      <c r="CI322" t="e">
        <f>'Middle East'!F157+"n/&gt;!1KU"</f>
        <v>#VALUE!</v>
      </c>
      <c r="CJ322" t="e">
        <f>'Middle East'!G157+"n/&gt;!1KV"</f>
        <v>#VALUE!</v>
      </c>
      <c r="CK322" t="e">
        <f>'Middle East'!H157+"n/&gt;!1KW"</f>
        <v>#VALUE!</v>
      </c>
      <c r="CL322" t="e">
        <f>'Middle East'!I157+"n/&gt;!1KX"</f>
        <v>#VALUE!</v>
      </c>
      <c r="CM322" t="e">
        <f>'Middle East'!A158+"n/&gt;!1KY"</f>
        <v>#VALUE!</v>
      </c>
      <c r="CN322" t="e">
        <f>'Middle East'!B158+"n/&gt;!1KZ"</f>
        <v>#VALUE!</v>
      </c>
      <c r="CO322" t="e">
        <f>'Middle East'!C158+"n/&gt;!1K["</f>
        <v>#VALUE!</v>
      </c>
      <c r="CP322" t="e">
        <f>'Middle East'!D158+"n/&gt;!1K\"</f>
        <v>#VALUE!</v>
      </c>
      <c r="CQ322" t="e">
        <f>'Middle East'!E158+"n/&gt;!1K]"</f>
        <v>#VALUE!</v>
      </c>
      <c r="CR322" t="e">
        <f>'Middle East'!F158+"n/&gt;!1K^"</f>
        <v>#VALUE!</v>
      </c>
      <c r="CS322" t="e">
        <f>'Middle East'!G158+"n/&gt;!1K_"</f>
        <v>#VALUE!</v>
      </c>
      <c r="CT322" t="e">
        <f>'Middle East'!H158+"n/&gt;!1K`"</f>
        <v>#VALUE!</v>
      </c>
      <c r="CU322" t="e">
        <f>'Middle East'!I158+"n/&gt;!1Ka"</f>
        <v>#VALUE!</v>
      </c>
      <c r="CV322" t="e">
        <f>'Middle East'!A159+"n/&gt;!1Kb"</f>
        <v>#VALUE!</v>
      </c>
      <c r="CW322" t="e">
        <f>'Middle East'!B159+"n/&gt;!1Kc"</f>
        <v>#VALUE!</v>
      </c>
      <c r="CX322" t="e">
        <f>'Middle East'!C159+"n/&gt;!1Kd"</f>
        <v>#VALUE!</v>
      </c>
      <c r="CY322" t="e">
        <f>'Middle East'!D159+"n/&gt;!1Ke"</f>
        <v>#VALUE!</v>
      </c>
      <c r="CZ322" t="e">
        <f>'Middle East'!E159+"n/&gt;!1Kf"</f>
        <v>#VALUE!</v>
      </c>
      <c r="DA322" t="e">
        <f>'Middle East'!F159+"n/&gt;!1Kg"</f>
        <v>#VALUE!</v>
      </c>
      <c r="DB322" t="e">
        <f>'Middle East'!G159+"n/&gt;!1Kh"</f>
        <v>#VALUE!</v>
      </c>
      <c r="DC322" t="e">
        <f>'Middle East'!H159+"n/&gt;!1Ki"</f>
        <v>#VALUE!</v>
      </c>
      <c r="DD322" t="e">
        <f>'Middle East'!I159+"n/&gt;!1Kj"</f>
        <v>#VALUE!</v>
      </c>
      <c r="DE322" t="e">
        <f>'Middle East'!A160+"n/&gt;!1Kk"</f>
        <v>#VALUE!</v>
      </c>
      <c r="DF322" t="e">
        <f>'Middle East'!B160+"n/&gt;!1Kl"</f>
        <v>#VALUE!</v>
      </c>
      <c r="DG322" t="e">
        <f>'Middle East'!C160+"n/&gt;!1Km"</f>
        <v>#VALUE!</v>
      </c>
      <c r="DH322" t="e">
        <f>'Middle East'!D160+"n/&gt;!1Kn"</f>
        <v>#VALUE!</v>
      </c>
      <c r="DI322" t="e">
        <f>'Middle East'!E160+"n/&gt;!1Ko"</f>
        <v>#VALUE!</v>
      </c>
      <c r="DJ322" t="e">
        <f>'Middle East'!F160+"n/&gt;!1Kp"</f>
        <v>#VALUE!</v>
      </c>
      <c r="DK322" t="e">
        <f>'Middle East'!G160+"n/&gt;!1Kq"</f>
        <v>#VALUE!</v>
      </c>
      <c r="DL322" t="e">
        <f>'Middle East'!H160+"n/&gt;!1Kr"</f>
        <v>#VALUE!</v>
      </c>
      <c r="DM322" t="e">
        <f>'Middle East'!I160+"n/&gt;!1Ks"</f>
        <v>#VALUE!</v>
      </c>
      <c r="DN322" t="e">
        <f>'Middle East'!A161+"n/&gt;!1Kt"</f>
        <v>#VALUE!</v>
      </c>
      <c r="DO322" t="e">
        <f>'Middle East'!B161+"n/&gt;!1Ku"</f>
        <v>#VALUE!</v>
      </c>
      <c r="DP322" t="e">
        <f>'Middle East'!C161+"n/&gt;!1Kv"</f>
        <v>#VALUE!</v>
      </c>
      <c r="DQ322" t="e">
        <f>'Middle East'!D161+"n/&gt;!1Kw"</f>
        <v>#VALUE!</v>
      </c>
      <c r="DR322" t="e">
        <f>'Middle East'!E161+"n/&gt;!1Kx"</f>
        <v>#VALUE!</v>
      </c>
      <c r="DS322" t="e">
        <f>'Middle East'!F161+"n/&gt;!1Ky"</f>
        <v>#VALUE!</v>
      </c>
      <c r="DT322" t="e">
        <f>'Middle East'!G161+"n/&gt;!1Kz"</f>
        <v>#VALUE!</v>
      </c>
      <c r="DU322" t="e">
        <f>'Middle East'!H161+"n/&gt;!1K{"</f>
        <v>#VALUE!</v>
      </c>
      <c r="DV322" t="e">
        <f>'Middle East'!I161+"n/&gt;!1K|"</f>
        <v>#VALUE!</v>
      </c>
      <c r="DW322" t="e">
        <f>'Middle East'!A162+"n/&gt;!1K}"</f>
        <v>#VALUE!</v>
      </c>
      <c r="DX322" t="e">
        <f>'Middle East'!B162+"n/&gt;!1K~"</f>
        <v>#VALUE!</v>
      </c>
      <c r="DY322" t="e">
        <f>'Middle East'!C162+"n/&gt;!1L#"</f>
        <v>#VALUE!</v>
      </c>
      <c r="DZ322" t="e">
        <f>'Middle East'!D162+"n/&gt;!1L$"</f>
        <v>#VALUE!</v>
      </c>
      <c r="EA322" t="e">
        <f>'Middle East'!E162+"n/&gt;!1L%"</f>
        <v>#VALUE!</v>
      </c>
      <c r="EB322" t="e">
        <f>'Middle East'!F162+"n/&gt;!1L&amp;"</f>
        <v>#VALUE!</v>
      </c>
      <c r="EC322" t="e">
        <f>'Middle East'!G162+"n/&gt;!1L'"</f>
        <v>#VALUE!</v>
      </c>
      <c r="ED322" t="e">
        <f>'Middle East'!H162+"n/&gt;!1L("</f>
        <v>#VALUE!</v>
      </c>
      <c r="EE322" t="e">
        <f>'Middle East'!I162+"n/&gt;!1L)"</f>
        <v>#VALUE!</v>
      </c>
      <c r="EF322" t="e">
        <f>'Middle East'!A163+"n/&gt;!1L."</f>
        <v>#VALUE!</v>
      </c>
      <c r="EG322" t="e">
        <f>'Middle East'!B163+"n/&gt;!1L/"</f>
        <v>#VALUE!</v>
      </c>
      <c r="EH322" t="e">
        <f>'Middle East'!C163+"n/&gt;!1L0"</f>
        <v>#VALUE!</v>
      </c>
      <c r="EI322" t="e">
        <f>'Middle East'!D163+"n/&gt;!1L1"</f>
        <v>#VALUE!</v>
      </c>
      <c r="EJ322" t="e">
        <f>'Middle East'!E163+"n/&gt;!1L2"</f>
        <v>#VALUE!</v>
      </c>
      <c r="EK322" t="e">
        <f>'Middle East'!F163+"n/&gt;!1L3"</f>
        <v>#VALUE!</v>
      </c>
      <c r="EL322" t="e">
        <f>'Middle East'!G163+"n/&gt;!1L4"</f>
        <v>#VALUE!</v>
      </c>
      <c r="EM322" t="e">
        <f>'Middle East'!H163+"n/&gt;!1L5"</f>
        <v>#VALUE!</v>
      </c>
      <c r="EN322" t="e">
        <f>'Middle East'!I163+"n/&gt;!1L6"</f>
        <v>#VALUE!</v>
      </c>
      <c r="EO322" t="e">
        <f>'Middle East'!A164+"n/&gt;!1L7"</f>
        <v>#VALUE!</v>
      </c>
      <c r="EP322" t="e">
        <f>'Middle East'!B164+"n/&gt;!1L8"</f>
        <v>#VALUE!</v>
      </c>
      <c r="EQ322" t="e">
        <f>'Middle East'!C164+"n/&gt;!1L9"</f>
        <v>#VALUE!</v>
      </c>
      <c r="ER322" t="e">
        <f>'Middle East'!D164+"n/&gt;!1L:"</f>
        <v>#VALUE!</v>
      </c>
      <c r="ES322" t="e">
        <f>'Middle East'!E164+"n/&gt;!1L;"</f>
        <v>#VALUE!</v>
      </c>
      <c r="ET322" t="e">
        <f>'Middle East'!F164+"n/&gt;!1L&lt;"</f>
        <v>#VALUE!</v>
      </c>
      <c r="EU322" t="e">
        <f>'Middle East'!G164+"n/&gt;!1L="</f>
        <v>#VALUE!</v>
      </c>
      <c r="EV322" t="e">
        <f>'Middle East'!H164+"n/&gt;!1L&gt;"</f>
        <v>#VALUE!</v>
      </c>
      <c r="EW322" t="e">
        <f>'Middle East'!I164+"n/&gt;!1L?"</f>
        <v>#VALUE!</v>
      </c>
      <c r="EX322" t="e">
        <f>'Middle East'!A165+"n/&gt;!1L@"</f>
        <v>#VALUE!</v>
      </c>
      <c r="EY322" t="e">
        <f>'Middle East'!B165+"n/&gt;!1LA"</f>
        <v>#VALUE!</v>
      </c>
      <c r="EZ322" t="e">
        <f>'Middle East'!C165+"n/&gt;!1LB"</f>
        <v>#VALUE!</v>
      </c>
      <c r="FA322" t="e">
        <f>'Middle East'!D165+"n/&gt;!1LC"</f>
        <v>#VALUE!</v>
      </c>
      <c r="FB322" t="e">
        <f>'Middle East'!E165+"n/&gt;!1LD"</f>
        <v>#VALUE!</v>
      </c>
      <c r="FC322" t="e">
        <f>'Middle East'!F165+"n/&gt;!1LE"</f>
        <v>#VALUE!</v>
      </c>
      <c r="FD322" t="e">
        <f>'Middle East'!G165+"n/&gt;!1LF"</f>
        <v>#VALUE!</v>
      </c>
      <c r="FE322" t="e">
        <f>'Middle East'!H165+"n/&gt;!1LG"</f>
        <v>#VALUE!</v>
      </c>
      <c r="FF322" t="e">
        <f>'Middle East'!I165+"n/&gt;!1LH"</f>
        <v>#VALUE!</v>
      </c>
      <c r="FG322" t="e">
        <f>'Middle East'!A166+"n/&gt;!1LI"</f>
        <v>#VALUE!</v>
      </c>
      <c r="FH322" t="e">
        <f>'Middle East'!B166+"n/&gt;!1LJ"</f>
        <v>#VALUE!</v>
      </c>
      <c r="FI322" t="e">
        <f>'Middle East'!C166+"n/&gt;!1LK"</f>
        <v>#VALUE!</v>
      </c>
      <c r="FJ322" t="e">
        <f>'Middle East'!D166+"n/&gt;!1LL"</f>
        <v>#VALUE!</v>
      </c>
      <c r="FK322" t="e">
        <f>'Middle East'!E166+"n/&gt;!1LM"</f>
        <v>#VALUE!</v>
      </c>
      <c r="FL322" t="e">
        <f>'Middle East'!F166+"n/&gt;!1LN"</f>
        <v>#VALUE!</v>
      </c>
      <c r="FM322" t="e">
        <f>'Middle East'!G166+"n/&gt;!1LO"</f>
        <v>#VALUE!</v>
      </c>
      <c r="FN322" t="e">
        <f>'Middle East'!H166+"n/&gt;!1LP"</f>
        <v>#VALUE!</v>
      </c>
      <c r="FO322" t="e">
        <f>'Middle East'!I166+"n/&gt;!1LQ"</f>
        <v>#VALUE!</v>
      </c>
      <c r="FP322" t="e">
        <f>'Middle East'!A167+"n/&gt;!1LR"</f>
        <v>#VALUE!</v>
      </c>
      <c r="FQ322" t="e">
        <f>'Middle East'!B167+"n/&gt;!1LS"</f>
        <v>#VALUE!</v>
      </c>
      <c r="FR322" t="e">
        <f>'Middle East'!C167+"n/&gt;!1LT"</f>
        <v>#VALUE!</v>
      </c>
      <c r="FS322" t="e">
        <f>'Middle East'!D167+"n/&gt;!1LU"</f>
        <v>#VALUE!</v>
      </c>
      <c r="FT322" t="e">
        <f>'Middle East'!E167+"n/&gt;!1LV"</f>
        <v>#VALUE!</v>
      </c>
      <c r="FU322" t="e">
        <f>'Middle East'!F167+"n/&gt;!1LW"</f>
        <v>#VALUE!</v>
      </c>
      <c r="FV322" t="e">
        <f>'Middle East'!G167+"n/&gt;!1LX"</f>
        <v>#VALUE!</v>
      </c>
      <c r="FW322" t="e">
        <f>'Middle East'!H167+"n/&gt;!1LY"</f>
        <v>#VALUE!</v>
      </c>
      <c r="FX322" t="e">
        <f>'Middle East'!I167+"n/&gt;!1LZ"</f>
        <v>#VALUE!</v>
      </c>
      <c r="FY322" t="e">
        <f>'Middle East'!A168+"n/&gt;!1L["</f>
        <v>#VALUE!</v>
      </c>
      <c r="FZ322" t="e">
        <f>'Middle East'!B168+"n/&gt;!1L\"</f>
        <v>#VALUE!</v>
      </c>
      <c r="GA322" t="e">
        <f>'Middle East'!C168+"n/&gt;!1L]"</f>
        <v>#VALUE!</v>
      </c>
      <c r="GB322" t="e">
        <f>'Middle East'!D168+"n/&gt;!1L^"</f>
        <v>#VALUE!</v>
      </c>
      <c r="GC322" t="e">
        <f>'Middle East'!E168+"n/&gt;!1L_"</f>
        <v>#VALUE!</v>
      </c>
      <c r="GD322" t="e">
        <f>'Middle East'!F168+"n/&gt;!1L`"</f>
        <v>#VALUE!</v>
      </c>
      <c r="GE322" t="e">
        <f>'Middle East'!G168+"n/&gt;!1La"</f>
        <v>#VALUE!</v>
      </c>
      <c r="GF322" t="e">
        <f>'Middle East'!H168+"n/&gt;!1Lb"</f>
        <v>#VALUE!</v>
      </c>
      <c r="GG322" t="e">
        <f>'Middle East'!I168+"n/&gt;!1Lc"</f>
        <v>#VALUE!</v>
      </c>
      <c r="GH322" t="e">
        <f>'Middle East'!A169+"n/&gt;!1Ld"</f>
        <v>#VALUE!</v>
      </c>
      <c r="GI322" t="e">
        <f>'Middle East'!B169+"n/&gt;!1Le"</f>
        <v>#VALUE!</v>
      </c>
      <c r="GJ322" t="e">
        <f>'Middle East'!C169+"n/&gt;!1Lf"</f>
        <v>#VALUE!</v>
      </c>
      <c r="GK322" t="e">
        <f>'Middle East'!D169+"n/&gt;!1Lg"</f>
        <v>#VALUE!</v>
      </c>
      <c r="GL322" t="e">
        <f>'Middle East'!E169+"n/&gt;!1Lh"</f>
        <v>#VALUE!</v>
      </c>
      <c r="GM322" t="e">
        <f>'Middle East'!F169+"n/&gt;!1Li"</f>
        <v>#VALUE!</v>
      </c>
      <c r="GN322" t="e">
        <f>'Middle East'!G169+"n/&gt;!1Lj"</f>
        <v>#VALUE!</v>
      </c>
      <c r="GO322" t="e">
        <f>'Middle East'!H169+"n/&gt;!1Lk"</f>
        <v>#VALUE!</v>
      </c>
      <c r="GP322" t="e">
        <f>'Middle East'!I169+"n/&gt;!1Ll"</f>
        <v>#VALUE!</v>
      </c>
      <c r="GQ322" t="e">
        <f>'Middle East'!A170+"n/&gt;!1Lm"</f>
        <v>#VALUE!</v>
      </c>
      <c r="GR322" t="e">
        <f>'Middle East'!B170+"n/&gt;!1Ln"</f>
        <v>#VALUE!</v>
      </c>
      <c r="GS322" t="e">
        <f>'Middle East'!C170+"n/&gt;!1Lo"</f>
        <v>#VALUE!</v>
      </c>
      <c r="GT322" t="e">
        <f>'Middle East'!D170+"n/&gt;!1Lp"</f>
        <v>#VALUE!</v>
      </c>
      <c r="GU322" t="e">
        <f>'Middle East'!E170+"n/&gt;!1Lq"</f>
        <v>#VALUE!</v>
      </c>
      <c r="GV322" t="e">
        <f>'Middle East'!F170+"n/&gt;!1Lr"</f>
        <v>#VALUE!</v>
      </c>
      <c r="GW322" t="e">
        <f>'Middle East'!G170+"n/&gt;!1Ls"</f>
        <v>#VALUE!</v>
      </c>
      <c r="GX322" t="e">
        <f>'Middle East'!H170+"n/&gt;!1Lt"</f>
        <v>#VALUE!</v>
      </c>
      <c r="GY322" t="e">
        <f>'Middle East'!I170+"n/&gt;!1Lu"</f>
        <v>#VALUE!</v>
      </c>
      <c r="GZ322" t="e">
        <f>'Middle East'!A171+"n/&gt;!1Lv"</f>
        <v>#VALUE!</v>
      </c>
      <c r="HA322" t="e">
        <f>'Middle East'!B171+"n/&gt;!1Lw"</f>
        <v>#VALUE!</v>
      </c>
      <c r="HB322" t="e">
        <f>'Middle East'!C171+"n/&gt;!1Lx"</f>
        <v>#VALUE!</v>
      </c>
      <c r="HC322" t="e">
        <f>'Middle East'!D171+"n/&gt;!1Ly"</f>
        <v>#VALUE!</v>
      </c>
      <c r="HD322" t="e">
        <f>'Middle East'!E171+"n/&gt;!1Lz"</f>
        <v>#VALUE!</v>
      </c>
      <c r="HE322" t="e">
        <f>'Middle East'!F171+"n/&gt;!1L{"</f>
        <v>#VALUE!</v>
      </c>
      <c r="HF322" t="e">
        <f>'Middle East'!G171+"n/&gt;!1L|"</f>
        <v>#VALUE!</v>
      </c>
      <c r="HG322" t="e">
        <f>'Middle East'!H171+"n/&gt;!1L}"</f>
        <v>#VALUE!</v>
      </c>
      <c r="HH322" t="e">
        <f>'Middle East'!I171+"n/&gt;!1L~"</f>
        <v>#VALUE!</v>
      </c>
      <c r="HI322" t="e">
        <f>'Middle East'!A172+"n/&gt;!1M#"</f>
        <v>#VALUE!</v>
      </c>
      <c r="HJ322" t="e">
        <f>'Middle East'!B172+"n/&gt;!1M$"</f>
        <v>#VALUE!</v>
      </c>
      <c r="HK322" t="e">
        <f>'Middle East'!C172+"n/&gt;!1M%"</f>
        <v>#VALUE!</v>
      </c>
      <c r="HL322" t="e">
        <f>'Middle East'!D172+"n/&gt;!1M&amp;"</f>
        <v>#VALUE!</v>
      </c>
      <c r="HM322" t="e">
        <f>'Middle East'!E172+"n/&gt;!1M'"</f>
        <v>#VALUE!</v>
      </c>
      <c r="HN322" t="e">
        <f>'Middle East'!F172+"n/&gt;!1M("</f>
        <v>#VALUE!</v>
      </c>
      <c r="HO322" t="e">
        <f>'Middle East'!G172+"n/&gt;!1M)"</f>
        <v>#VALUE!</v>
      </c>
      <c r="HP322" t="e">
        <f>'Middle East'!H172+"n/&gt;!1M."</f>
        <v>#VALUE!</v>
      </c>
      <c r="HQ322" t="e">
        <f>'Middle East'!I172+"n/&gt;!1M/"</f>
        <v>#VALUE!</v>
      </c>
      <c r="HR322" t="e">
        <f>'Middle East'!A173+"n/&gt;!1M0"</f>
        <v>#VALUE!</v>
      </c>
      <c r="HS322" t="e">
        <f>'Middle East'!B173+"n/&gt;!1M1"</f>
        <v>#VALUE!</v>
      </c>
      <c r="HT322" t="e">
        <f>'Middle East'!C173+"n/&gt;!1M2"</f>
        <v>#VALUE!</v>
      </c>
      <c r="HU322" t="e">
        <f>'Middle East'!D173+"n/&gt;!1M3"</f>
        <v>#VALUE!</v>
      </c>
      <c r="HV322" t="e">
        <f>'Middle East'!E173+"n/&gt;!1M4"</f>
        <v>#VALUE!</v>
      </c>
      <c r="HW322" t="e">
        <f>'Middle East'!F173+"n/&gt;!1M5"</f>
        <v>#VALUE!</v>
      </c>
      <c r="HX322" t="e">
        <f>'Middle East'!G173+"n/&gt;!1M6"</f>
        <v>#VALUE!</v>
      </c>
      <c r="HY322" t="e">
        <f>'Middle East'!H173+"n/&gt;!1M7"</f>
        <v>#VALUE!</v>
      </c>
      <c r="HZ322" t="e">
        <f>'Middle East'!I173+"n/&gt;!1M8"</f>
        <v>#VALUE!</v>
      </c>
      <c r="IA322" t="e">
        <f>'Middle East'!A174+"n/&gt;!1M9"</f>
        <v>#VALUE!</v>
      </c>
      <c r="IB322" t="e">
        <f>'Middle East'!B174+"n/&gt;!1M:"</f>
        <v>#VALUE!</v>
      </c>
      <c r="IC322" t="e">
        <f>'Middle East'!C174+"n/&gt;!1M;"</f>
        <v>#VALUE!</v>
      </c>
      <c r="ID322" t="e">
        <f>'Middle East'!D174+"n/&gt;!1M&lt;"</f>
        <v>#VALUE!</v>
      </c>
      <c r="IE322" t="e">
        <f>'Middle East'!E174+"n/&gt;!1M="</f>
        <v>#VALUE!</v>
      </c>
      <c r="IF322" t="e">
        <f>'Middle East'!F174+"n/&gt;!1M&gt;"</f>
        <v>#VALUE!</v>
      </c>
      <c r="IG322" t="e">
        <f>'Middle East'!G174+"n/&gt;!1M?"</f>
        <v>#VALUE!</v>
      </c>
      <c r="IH322" t="e">
        <f>'Middle East'!H174+"n/&gt;!1M@"</f>
        <v>#VALUE!</v>
      </c>
      <c r="II322" t="e">
        <f>'Middle East'!I174+"n/&gt;!1MA"</f>
        <v>#VALUE!</v>
      </c>
      <c r="IJ322" t="e">
        <f>'Middle East'!A175+"n/&gt;!1MB"</f>
        <v>#VALUE!</v>
      </c>
      <c r="IK322" t="e">
        <f>'Middle East'!B175+"n/&gt;!1MC"</f>
        <v>#VALUE!</v>
      </c>
      <c r="IL322" t="e">
        <f>'Middle East'!C175+"n/&gt;!1MD"</f>
        <v>#VALUE!</v>
      </c>
      <c r="IM322" t="e">
        <f>'Middle East'!D175+"n/&gt;!1ME"</f>
        <v>#VALUE!</v>
      </c>
      <c r="IN322" t="e">
        <f>'Middle East'!E175+"n/&gt;!1MF"</f>
        <v>#VALUE!</v>
      </c>
      <c r="IO322" t="e">
        <f>'Middle East'!F175+"n/&gt;!1MG"</f>
        <v>#VALUE!</v>
      </c>
      <c r="IP322" t="e">
        <f>'Middle East'!G175+"n/&gt;!1MH"</f>
        <v>#VALUE!</v>
      </c>
      <c r="IQ322" t="e">
        <f>'Middle East'!H175+"n/&gt;!1MI"</f>
        <v>#VALUE!</v>
      </c>
      <c r="IR322" t="e">
        <f>'Middle East'!I175+"n/&gt;!1MJ"</f>
        <v>#VALUE!</v>
      </c>
      <c r="IS322" t="e">
        <f>'Middle East'!A176+"n/&gt;!1MK"</f>
        <v>#VALUE!</v>
      </c>
      <c r="IT322" t="e">
        <f>'Middle East'!B176+"n/&gt;!1ML"</f>
        <v>#VALUE!</v>
      </c>
      <c r="IU322" t="e">
        <f>'Middle East'!C176+"n/&gt;!1MM"</f>
        <v>#VALUE!</v>
      </c>
      <c r="IV322" t="e">
        <f>'Middle East'!D176+"n/&gt;!1MN"</f>
        <v>#VALUE!</v>
      </c>
    </row>
    <row r="323" spans="6:256" x14ac:dyDescent="0.35">
      <c r="F323" t="e">
        <f>'Middle East'!E176+"n/&gt;!1MO"</f>
        <v>#VALUE!</v>
      </c>
      <c r="G323" t="e">
        <f>'Middle East'!F176+"n/&gt;!1MP"</f>
        <v>#VALUE!</v>
      </c>
      <c r="H323" t="e">
        <f>'Middle East'!G176+"n/&gt;!1MQ"</f>
        <v>#VALUE!</v>
      </c>
      <c r="I323" t="e">
        <f>'Middle East'!H176+"n/&gt;!1MR"</f>
        <v>#VALUE!</v>
      </c>
      <c r="J323" t="e">
        <f>'Middle East'!I176+"n/&gt;!1MS"</f>
        <v>#VALUE!</v>
      </c>
      <c r="K323" t="e">
        <f>'Middle East'!A177+"n/&gt;!1MT"</f>
        <v>#VALUE!</v>
      </c>
      <c r="L323" t="e">
        <f>'Middle East'!B177+"n/&gt;!1MU"</f>
        <v>#VALUE!</v>
      </c>
      <c r="M323" t="e">
        <f>'Middle East'!C177+"n/&gt;!1MV"</f>
        <v>#VALUE!</v>
      </c>
      <c r="N323" t="e">
        <f>'Middle East'!D177+"n/&gt;!1MW"</f>
        <v>#VALUE!</v>
      </c>
      <c r="O323" t="e">
        <f>'Middle East'!E177+"n/&gt;!1MX"</f>
        <v>#VALUE!</v>
      </c>
      <c r="P323" t="e">
        <f>'Middle East'!F177+"n/&gt;!1MY"</f>
        <v>#VALUE!</v>
      </c>
      <c r="Q323" t="e">
        <f>'Middle East'!G177+"n/&gt;!1MZ"</f>
        <v>#VALUE!</v>
      </c>
      <c r="R323" t="e">
        <f>'Middle East'!H177+"n/&gt;!1M["</f>
        <v>#VALUE!</v>
      </c>
      <c r="S323" t="e">
        <f>'Middle East'!I177+"n/&gt;!1M\"</f>
        <v>#VALUE!</v>
      </c>
      <c r="T323" t="e">
        <f>'Middle East'!A178+"n/&gt;!1M]"</f>
        <v>#VALUE!</v>
      </c>
      <c r="U323" t="e">
        <f>'Middle East'!B178+"n/&gt;!1M^"</f>
        <v>#VALUE!</v>
      </c>
      <c r="V323" t="e">
        <f>'Middle East'!C178+"n/&gt;!1M_"</f>
        <v>#VALUE!</v>
      </c>
      <c r="W323" t="e">
        <f>'Middle East'!D178+"n/&gt;!1M`"</f>
        <v>#VALUE!</v>
      </c>
      <c r="X323" t="e">
        <f>'Middle East'!E178+"n/&gt;!1Ma"</f>
        <v>#VALUE!</v>
      </c>
      <c r="Y323" t="e">
        <f>'Middle East'!F178+"n/&gt;!1Mb"</f>
        <v>#VALUE!</v>
      </c>
      <c r="Z323" t="e">
        <f>'Middle East'!G178+"n/&gt;!1Mc"</f>
        <v>#VALUE!</v>
      </c>
      <c r="AA323" t="e">
        <f>'Middle East'!H178+"n/&gt;!1Md"</f>
        <v>#VALUE!</v>
      </c>
      <c r="AB323" t="e">
        <f>'Middle East'!I178+"n/&gt;!1Me"</f>
        <v>#VALUE!</v>
      </c>
      <c r="AC323" t="e">
        <f>'Middle East'!A179+"n/&gt;!1Mf"</f>
        <v>#VALUE!</v>
      </c>
      <c r="AD323" t="e">
        <f>'Middle East'!B179+"n/&gt;!1Mg"</f>
        <v>#VALUE!</v>
      </c>
      <c r="AE323" t="e">
        <f>'Middle East'!C179+"n/&gt;!1Mh"</f>
        <v>#VALUE!</v>
      </c>
      <c r="AF323" t="e">
        <f>'Middle East'!D179+"n/&gt;!1Mi"</f>
        <v>#VALUE!</v>
      </c>
      <c r="AG323" t="e">
        <f>'Middle East'!E179+"n/&gt;!1Mj"</f>
        <v>#VALUE!</v>
      </c>
      <c r="AH323" t="e">
        <f>'Middle East'!F179+"n/&gt;!1Mk"</f>
        <v>#VALUE!</v>
      </c>
      <c r="AI323" t="e">
        <f>'Middle East'!G179+"n/&gt;!1Ml"</f>
        <v>#VALUE!</v>
      </c>
      <c r="AJ323" t="e">
        <f>'Middle East'!H179+"n/&gt;!1Mm"</f>
        <v>#VALUE!</v>
      </c>
      <c r="AK323" t="e">
        <f>'Middle East'!I179+"n/&gt;!1Mn"</f>
        <v>#VALUE!</v>
      </c>
      <c r="AL323" t="e">
        <f>'Middle East'!A180+"n/&gt;!1Mo"</f>
        <v>#VALUE!</v>
      </c>
      <c r="AM323" t="e">
        <f>'Middle East'!B180+"n/&gt;!1Mp"</f>
        <v>#VALUE!</v>
      </c>
      <c r="AN323" t="e">
        <f>'Middle East'!C180+"n/&gt;!1Mq"</f>
        <v>#VALUE!</v>
      </c>
      <c r="AO323" t="e">
        <f>'Middle East'!D180+"n/&gt;!1Mr"</f>
        <v>#VALUE!</v>
      </c>
      <c r="AP323" t="e">
        <f>'Middle East'!E180+"n/&gt;!1Ms"</f>
        <v>#VALUE!</v>
      </c>
      <c r="AQ323" t="e">
        <f>'Middle East'!F180+"n/&gt;!1Mt"</f>
        <v>#VALUE!</v>
      </c>
      <c r="AR323" t="e">
        <f>'Middle East'!G180+"n/&gt;!1Mu"</f>
        <v>#VALUE!</v>
      </c>
      <c r="AS323" t="e">
        <f>'Middle East'!H180+"n/&gt;!1Mv"</f>
        <v>#VALUE!</v>
      </c>
      <c r="AT323" t="e">
        <f>'Middle East'!I180+"n/&gt;!1Mw"</f>
        <v>#VALUE!</v>
      </c>
      <c r="AU323" t="e">
        <f>'Middle East'!A181+"n/&gt;!1Mx"</f>
        <v>#VALUE!</v>
      </c>
      <c r="AV323" t="e">
        <f>'Middle East'!B181+"n/&gt;!1My"</f>
        <v>#VALUE!</v>
      </c>
      <c r="AW323" t="e">
        <f>'Middle East'!C181+"n/&gt;!1Mz"</f>
        <v>#VALUE!</v>
      </c>
      <c r="AX323" t="e">
        <f>'Middle East'!D181+"n/&gt;!1M{"</f>
        <v>#VALUE!</v>
      </c>
      <c r="AY323" t="e">
        <f>'Middle East'!E181+"n/&gt;!1M|"</f>
        <v>#VALUE!</v>
      </c>
      <c r="AZ323" t="e">
        <f>'Middle East'!F181+"n/&gt;!1M}"</f>
        <v>#VALUE!</v>
      </c>
      <c r="BA323" t="e">
        <f>'Middle East'!G181+"n/&gt;!1M~"</f>
        <v>#VALUE!</v>
      </c>
      <c r="BB323" t="e">
        <f>'Middle East'!H181+"n/&gt;!1N#"</f>
        <v>#VALUE!</v>
      </c>
      <c r="BC323" t="e">
        <f>'Middle East'!I181+"n/&gt;!1N$"</f>
        <v>#VALUE!</v>
      </c>
      <c r="BD323" t="e">
        <f>'Middle East'!A182+"n/&gt;!1N%"</f>
        <v>#VALUE!</v>
      </c>
      <c r="BE323" t="e">
        <f>'Middle East'!B182+"n/&gt;!1N&amp;"</f>
        <v>#VALUE!</v>
      </c>
      <c r="BF323" t="e">
        <f>'Middle East'!C182+"n/&gt;!1N'"</f>
        <v>#VALUE!</v>
      </c>
      <c r="BG323" t="e">
        <f>'Middle East'!D182+"n/&gt;!1N("</f>
        <v>#VALUE!</v>
      </c>
      <c r="BH323" t="e">
        <f>'Middle East'!E182+"n/&gt;!1N)"</f>
        <v>#VALUE!</v>
      </c>
      <c r="BI323" t="e">
        <f>'Middle East'!F182+"n/&gt;!1N."</f>
        <v>#VALUE!</v>
      </c>
      <c r="BJ323" t="e">
        <f>'Middle East'!G182+"n/&gt;!1N/"</f>
        <v>#VALUE!</v>
      </c>
      <c r="BK323" t="e">
        <f>'Middle East'!H182+"n/&gt;!1N0"</f>
        <v>#VALUE!</v>
      </c>
      <c r="BL323" t="e">
        <f>'Middle East'!I182+"n/&gt;!1N1"</f>
        <v>#VALUE!</v>
      </c>
      <c r="BM323" t="e">
        <f>'Middle East'!A183+"n/&gt;!1N2"</f>
        <v>#VALUE!</v>
      </c>
      <c r="BN323" t="e">
        <f>'Middle East'!B183+"n/&gt;!1N3"</f>
        <v>#VALUE!</v>
      </c>
      <c r="BO323" t="e">
        <f>'Middle East'!C183+"n/&gt;!1N4"</f>
        <v>#VALUE!</v>
      </c>
      <c r="BP323" t="e">
        <f>'Middle East'!D183+"n/&gt;!1N5"</f>
        <v>#VALUE!</v>
      </c>
      <c r="BQ323" t="e">
        <f>'Middle East'!E183+"n/&gt;!1N6"</f>
        <v>#VALUE!</v>
      </c>
      <c r="BR323" t="e">
        <f>'Middle East'!F183+"n/&gt;!1N7"</f>
        <v>#VALUE!</v>
      </c>
      <c r="BS323" t="e">
        <f>'Middle East'!G183+"n/&gt;!1N8"</f>
        <v>#VALUE!</v>
      </c>
      <c r="BT323" t="e">
        <f>'Middle East'!H183+"n/&gt;!1N9"</f>
        <v>#VALUE!</v>
      </c>
      <c r="BU323" t="e">
        <f>'Middle East'!I183+"n/&gt;!1N:"</f>
        <v>#VALUE!</v>
      </c>
      <c r="BV323" t="e">
        <f>'Middle East'!A184+"n/&gt;!1N;"</f>
        <v>#VALUE!</v>
      </c>
      <c r="BW323" t="e">
        <f>'Middle East'!B184+"n/&gt;!1N&lt;"</f>
        <v>#VALUE!</v>
      </c>
      <c r="BX323" t="e">
        <f>'Middle East'!C184+"n/&gt;!1N="</f>
        <v>#VALUE!</v>
      </c>
      <c r="BY323" t="e">
        <f>'Middle East'!D184+"n/&gt;!1N&gt;"</f>
        <v>#VALUE!</v>
      </c>
      <c r="BZ323" t="e">
        <f>'Middle East'!E184+"n/&gt;!1N?"</f>
        <v>#VALUE!</v>
      </c>
      <c r="CA323" t="e">
        <f>'Middle East'!F184+"n/&gt;!1N@"</f>
        <v>#VALUE!</v>
      </c>
      <c r="CB323" t="e">
        <f>'Middle East'!G184+"n/&gt;!1NA"</f>
        <v>#VALUE!</v>
      </c>
      <c r="CC323" t="e">
        <f>'Middle East'!H184+"n/&gt;!1NB"</f>
        <v>#VALUE!</v>
      </c>
      <c r="CD323" t="e">
        <f>'Middle East'!I184+"n/&gt;!1NC"</f>
        <v>#VALUE!</v>
      </c>
      <c r="CE323" t="e">
        <f>'Middle East'!A185+"n/&gt;!1ND"</f>
        <v>#VALUE!</v>
      </c>
      <c r="CF323" t="e">
        <f>'Middle East'!B185+"n/&gt;!1NE"</f>
        <v>#VALUE!</v>
      </c>
      <c r="CG323" t="e">
        <f>'Middle East'!C185+"n/&gt;!1NF"</f>
        <v>#VALUE!</v>
      </c>
      <c r="CH323" t="e">
        <f>'Middle East'!D185+"n/&gt;!1NG"</f>
        <v>#VALUE!</v>
      </c>
      <c r="CI323" t="e">
        <f>'Middle East'!E185+"n/&gt;!1NH"</f>
        <v>#VALUE!</v>
      </c>
      <c r="CJ323" t="e">
        <f>'Middle East'!F185+"n/&gt;!1NI"</f>
        <v>#VALUE!</v>
      </c>
      <c r="CK323" t="e">
        <f>'Middle East'!G185+"n/&gt;!1NJ"</f>
        <v>#VALUE!</v>
      </c>
      <c r="CL323" t="e">
        <f>'Middle East'!H185+"n/&gt;!1NK"</f>
        <v>#VALUE!</v>
      </c>
      <c r="CM323" t="e">
        <f>'Middle East'!I185+"n/&gt;!1NL"</f>
        <v>#VALUE!</v>
      </c>
      <c r="CN323" t="e">
        <f>'Middle East'!A186+"n/&gt;!1NM"</f>
        <v>#VALUE!</v>
      </c>
      <c r="CO323" t="e">
        <f>'Middle East'!B186+"n/&gt;!1NN"</f>
        <v>#VALUE!</v>
      </c>
      <c r="CP323" t="e">
        <f>'Middle East'!C186+"n/&gt;!1NO"</f>
        <v>#VALUE!</v>
      </c>
      <c r="CQ323" t="e">
        <f>'Middle East'!D186+"n/&gt;!1NP"</f>
        <v>#VALUE!</v>
      </c>
      <c r="CR323" t="e">
        <f>'Middle East'!E186+"n/&gt;!1NQ"</f>
        <v>#VALUE!</v>
      </c>
      <c r="CS323" t="e">
        <f>'Middle East'!F186+"n/&gt;!1NR"</f>
        <v>#VALUE!</v>
      </c>
      <c r="CT323" t="e">
        <f>'Middle East'!G186+"n/&gt;!1NS"</f>
        <v>#VALUE!</v>
      </c>
      <c r="CU323" t="e">
        <f>'Middle East'!H186+"n/&gt;!1NT"</f>
        <v>#VALUE!</v>
      </c>
      <c r="CV323" t="e">
        <f>'Middle East'!I186+"n/&gt;!1NU"</f>
        <v>#VALUE!</v>
      </c>
      <c r="CW323" t="e">
        <f>'Middle East'!A187+"n/&gt;!1NV"</f>
        <v>#VALUE!</v>
      </c>
      <c r="CX323" t="e">
        <f>'Middle East'!B187+"n/&gt;!1NW"</f>
        <v>#VALUE!</v>
      </c>
      <c r="CY323" t="e">
        <f>'Middle East'!C187+"n/&gt;!1NX"</f>
        <v>#VALUE!</v>
      </c>
      <c r="CZ323" t="e">
        <f>'Middle East'!D187+"n/&gt;!1NY"</f>
        <v>#VALUE!</v>
      </c>
      <c r="DA323" t="e">
        <f>'Middle East'!E187+"n/&gt;!1NZ"</f>
        <v>#VALUE!</v>
      </c>
      <c r="DB323" t="e">
        <f>'Middle East'!F187+"n/&gt;!1N["</f>
        <v>#VALUE!</v>
      </c>
      <c r="DC323" t="e">
        <f>'Middle East'!G187+"n/&gt;!1N\"</f>
        <v>#VALUE!</v>
      </c>
      <c r="DD323" t="e">
        <f>'Middle East'!H187+"n/&gt;!1N]"</f>
        <v>#VALUE!</v>
      </c>
      <c r="DE323" t="e">
        <f>'Middle East'!I187+"n/&gt;!1N^"</f>
        <v>#VALUE!</v>
      </c>
      <c r="DF323" t="e">
        <f>'Middle East'!A188+"n/&gt;!1N_"</f>
        <v>#VALUE!</v>
      </c>
      <c r="DG323" t="e">
        <f>'Middle East'!B188+"n/&gt;!1N`"</f>
        <v>#VALUE!</v>
      </c>
      <c r="DH323" t="e">
        <f>'Middle East'!C188+"n/&gt;!1Na"</f>
        <v>#VALUE!</v>
      </c>
      <c r="DI323" t="e">
        <f>'Middle East'!D188+"n/&gt;!1Nb"</f>
        <v>#VALUE!</v>
      </c>
      <c r="DJ323" t="e">
        <f>'Middle East'!E188+"n/&gt;!1Nc"</f>
        <v>#VALUE!</v>
      </c>
      <c r="DK323" t="e">
        <f>'Middle East'!F188+"n/&gt;!1Nd"</f>
        <v>#VALUE!</v>
      </c>
      <c r="DL323" t="e">
        <f>'Middle East'!G188+"n/&gt;!1Ne"</f>
        <v>#VALUE!</v>
      </c>
      <c r="DM323" t="e">
        <f>'Middle East'!H188+"n/&gt;!1Nf"</f>
        <v>#VALUE!</v>
      </c>
      <c r="DN323" t="e">
        <f>'Middle East'!I188+"n/&gt;!1Ng"</f>
        <v>#VALUE!</v>
      </c>
      <c r="DO323" t="e">
        <f>'Middle East'!A189+"n/&gt;!1Nh"</f>
        <v>#VALUE!</v>
      </c>
      <c r="DP323" t="e">
        <f>'Middle East'!B189+"n/&gt;!1Ni"</f>
        <v>#VALUE!</v>
      </c>
      <c r="DQ323" t="e">
        <f>'Middle East'!C189+"n/&gt;!1Nj"</f>
        <v>#VALUE!</v>
      </c>
      <c r="DR323" t="e">
        <f>'Middle East'!D189+"n/&gt;!1Nk"</f>
        <v>#VALUE!</v>
      </c>
      <c r="DS323" t="e">
        <f>'Middle East'!E189+"n/&gt;!1Nl"</f>
        <v>#VALUE!</v>
      </c>
      <c r="DT323" t="e">
        <f>'Middle East'!F189+"n/&gt;!1Nm"</f>
        <v>#VALUE!</v>
      </c>
      <c r="DU323" t="e">
        <f>'Middle East'!G189+"n/&gt;!1Nn"</f>
        <v>#VALUE!</v>
      </c>
      <c r="DV323" t="e">
        <f>'Middle East'!H189+"n/&gt;!1No"</f>
        <v>#VALUE!</v>
      </c>
      <c r="DW323" t="e">
        <f>'Middle East'!I189+"n/&gt;!1Np"</f>
        <v>#VALUE!</v>
      </c>
      <c r="DX323" t="e">
        <f>'Middle East'!A190+"n/&gt;!1Nq"</f>
        <v>#VALUE!</v>
      </c>
      <c r="DY323" t="e">
        <f>'Middle East'!B190+"n/&gt;!1Nr"</f>
        <v>#VALUE!</v>
      </c>
      <c r="DZ323" t="e">
        <f>'Middle East'!C190+"n/&gt;!1Ns"</f>
        <v>#VALUE!</v>
      </c>
      <c r="EA323" t="e">
        <f>'Middle East'!D190+"n/&gt;!1Nt"</f>
        <v>#VALUE!</v>
      </c>
      <c r="EB323" t="e">
        <f>'Middle East'!E190+"n/&gt;!1Nu"</f>
        <v>#VALUE!</v>
      </c>
      <c r="EC323" t="e">
        <f>'Middle East'!F190+"n/&gt;!1Nv"</f>
        <v>#VALUE!</v>
      </c>
      <c r="ED323" t="e">
        <f>'Middle East'!G190+"n/&gt;!1Nw"</f>
        <v>#VALUE!</v>
      </c>
      <c r="EE323" t="e">
        <f>'Middle East'!H190+"n/&gt;!1Nx"</f>
        <v>#VALUE!</v>
      </c>
      <c r="EF323" t="e">
        <f>'Middle East'!I190+"n/&gt;!1Ny"</f>
        <v>#VALUE!</v>
      </c>
      <c r="EG323" t="e">
        <f>'Middle East'!A191+"n/&gt;!1Nz"</f>
        <v>#VALUE!</v>
      </c>
      <c r="EH323" t="e">
        <f>'Middle East'!B191+"n/&gt;!1N{"</f>
        <v>#VALUE!</v>
      </c>
      <c r="EI323" t="e">
        <f>'Middle East'!C191+"n/&gt;!1N|"</f>
        <v>#VALUE!</v>
      </c>
      <c r="EJ323" t="e">
        <f>'Middle East'!D191+"n/&gt;!1N}"</f>
        <v>#VALUE!</v>
      </c>
      <c r="EK323" t="e">
        <f>'Middle East'!E191+"n/&gt;!1N~"</f>
        <v>#VALUE!</v>
      </c>
      <c r="EL323" t="e">
        <f>'Middle East'!F191+"n/&gt;!1O#"</f>
        <v>#VALUE!</v>
      </c>
      <c r="EM323" t="e">
        <f>'Middle East'!G191+"n/&gt;!1O$"</f>
        <v>#VALUE!</v>
      </c>
      <c r="EN323" t="e">
        <f>'Middle East'!H191+"n/&gt;!1O%"</f>
        <v>#VALUE!</v>
      </c>
      <c r="EO323" t="e">
        <f>'Middle East'!I191+"n/&gt;!1O&amp;"</f>
        <v>#VALUE!</v>
      </c>
      <c r="EP323" t="e">
        <f>'Middle East'!A192+"n/&gt;!1O'"</f>
        <v>#VALUE!</v>
      </c>
      <c r="EQ323" t="e">
        <f>'Middle East'!B192+"n/&gt;!1O("</f>
        <v>#VALUE!</v>
      </c>
      <c r="ER323" t="e">
        <f>'Middle East'!C192+"n/&gt;!1O)"</f>
        <v>#VALUE!</v>
      </c>
      <c r="ES323" t="e">
        <f>'Middle East'!D192+"n/&gt;!1O."</f>
        <v>#VALUE!</v>
      </c>
      <c r="ET323" t="e">
        <f>'Middle East'!E192+"n/&gt;!1O/"</f>
        <v>#VALUE!</v>
      </c>
      <c r="EU323" t="e">
        <f>'Middle East'!F192+"n/&gt;!1O0"</f>
        <v>#VALUE!</v>
      </c>
      <c r="EV323" t="e">
        <f>'Middle East'!G192+"n/&gt;!1O1"</f>
        <v>#VALUE!</v>
      </c>
      <c r="EW323" t="e">
        <f>'Middle East'!H192+"n/&gt;!1O2"</f>
        <v>#VALUE!</v>
      </c>
      <c r="EX323" t="e">
        <f>'Middle East'!I192+"n/&gt;!1O3"</f>
        <v>#VALUE!</v>
      </c>
      <c r="EY323" t="e">
        <f>'Middle East'!A193+"n/&gt;!1O4"</f>
        <v>#VALUE!</v>
      </c>
      <c r="EZ323" t="e">
        <f>'Middle East'!B193+"n/&gt;!1O5"</f>
        <v>#VALUE!</v>
      </c>
      <c r="FA323" t="e">
        <f>'Middle East'!C193+"n/&gt;!1O6"</f>
        <v>#VALUE!</v>
      </c>
      <c r="FB323" t="e">
        <f>'Middle East'!D193+"n/&gt;!1O7"</f>
        <v>#VALUE!</v>
      </c>
      <c r="FC323" t="e">
        <f>'Middle East'!E193+"n/&gt;!1O8"</f>
        <v>#VALUE!</v>
      </c>
      <c r="FD323" t="e">
        <f>'Middle East'!F193+"n/&gt;!1O9"</f>
        <v>#VALUE!</v>
      </c>
      <c r="FE323" t="e">
        <f>'Middle East'!G193+"n/&gt;!1O:"</f>
        <v>#VALUE!</v>
      </c>
      <c r="FF323" t="e">
        <f>'Middle East'!H193+"n/&gt;!1O;"</f>
        <v>#VALUE!</v>
      </c>
      <c r="FG323" t="e">
        <f>'Middle East'!I193+"n/&gt;!1O&lt;"</f>
        <v>#VALUE!</v>
      </c>
      <c r="FH323" t="e">
        <f>'Middle East'!A194+"n/&gt;!1O="</f>
        <v>#VALUE!</v>
      </c>
      <c r="FI323" t="e">
        <f>'Middle East'!B194+"n/&gt;!1O&gt;"</f>
        <v>#VALUE!</v>
      </c>
      <c r="FJ323" t="e">
        <f>'Middle East'!C194+"n/&gt;!1O?"</f>
        <v>#VALUE!</v>
      </c>
      <c r="FK323" t="e">
        <f>'Middle East'!D194+"n/&gt;!1O@"</f>
        <v>#VALUE!</v>
      </c>
      <c r="FL323" t="e">
        <f>'Middle East'!E194+"n/&gt;!1OA"</f>
        <v>#VALUE!</v>
      </c>
      <c r="FM323" t="e">
        <f>'Middle East'!F194+"n/&gt;!1OB"</f>
        <v>#VALUE!</v>
      </c>
      <c r="FN323" t="e">
        <f>'Middle East'!G194+"n/&gt;!1OC"</f>
        <v>#VALUE!</v>
      </c>
      <c r="FO323" t="e">
        <f>'Middle East'!H194+"n/&gt;!1OD"</f>
        <v>#VALUE!</v>
      </c>
      <c r="FP323" t="e">
        <f>'Middle East'!I194+"n/&gt;!1OE"</f>
        <v>#VALUE!</v>
      </c>
      <c r="FQ323" t="e">
        <f>'Middle East'!A195+"n/&gt;!1OF"</f>
        <v>#VALUE!</v>
      </c>
      <c r="FR323" t="e">
        <f>'Middle East'!B195+"n/&gt;!1OG"</f>
        <v>#VALUE!</v>
      </c>
      <c r="FS323" t="e">
        <f>'Middle East'!C195+"n/&gt;!1OH"</f>
        <v>#VALUE!</v>
      </c>
      <c r="FT323" t="e">
        <f>'Middle East'!D195+"n/&gt;!1OI"</f>
        <v>#VALUE!</v>
      </c>
      <c r="FU323" t="e">
        <f>'Middle East'!E195+"n/&gt;!1OJ"</f>
        <v>#VALUE!</v>
      </c>
      <c r="FV323" t="e">
        <f>'Middle East'!F195+"n/&gt;!1OK"</f>
        <v>#VALUE!</v>
      </c>
      <c r="FW323" t="e">
        <f>'Middle East'!G195+"n/&gt;!1OL"</f>
        <v>#VALUE!</v>
      </c>
      <c r="FX323" t="e">
        <f>'Middle East'!H195+"n/&gt;!1OM"</f>
        <v>#VALUE!</v>
      </c>
      <c r="FY323" t="e">
        <f>'Middle East'!I195+"n/&gt;!1ON"</f>
        <v>#VALUE!</v>
      </c>
      <c r="FZ323" t="e">
        <f>'Middle East'!A196+"n/&gt;!1OO"</f>
        <v>#VALUE!</v>
      </c>
      <c r="GA323" t="e">
        <f>'Middle East'!B196+"n/&gt;!1OP"</f>
        <v>#VALUE!</v>
      </c>
      <c r="GB323" t="e">
        <f>'Middle East'!C196+"n/&gt;!1OQ"</f>
        <v>#VALUE!</v>
      </c>
      <c r="GC323" t="e">
        <f>'Middle East'!D196+"n/&gt;!1OR"</f>
        <v>#VALUE!</v>
      </c>
      <c r="GD323" t="e">
        <f>'Middle East'!E196+"n/&gt;!1OS"</f>
        <v>#VALUE!</v>
      </c>
      <c r="GE323" t="e">
        <f>'Middle East'!F196+"n/&gt;!1OT"</f>
        <v>#VALUE!</v>
      </c>
      <c r="GF323" t="e">
        <f>'Middle East'!G196+"n/&gt;!1OU"</f>
        <v>#VALUE!</v>
      </c>
      <c r="GG323" t="e">
        <f>'Middle East'!H196+"n/&gt;!1OV"</f>
        <v>#VALUE!</v>
      </c>
      <c r="GH323" t="e">
        <f>'Middle East'!I196+"n/&gt;!1OW"</f>
        <v>#VALUE!</v>
      </c>
      <c r="GI323" t="e">
        <f>'Middle East'!A197+"n/&gt;!1OX"</f>
        <v>#VALUE!</v>
      </c>
      <c r="GJ323" t="e">
        <f>'Middle East'!B197+"n/&gt;!1OY"</f>
        <v>#VALUE!</v>
      </c>
      <c r="GK323" t="e">
        <f>'Middle East'!C197+"n/&gt;!1OZ"</f>
        <v>#VALUE!</v>
      </c>
      <c r="GL323" t="e">
        <f>'Middle East'!D197+"n/&gt;!1O["</f>
        <v>#VALUE!</v>
      </c>
      <c r="GM323" t="e">
        <f>'Middle East'!E197+"n/&gt;!1O\"</f>
        <v>#VALUE!</v>
      </c>
      <c r="GN323" t="e">
        <f>'Middle East'!F197+"n/&gt;!1O]"</f>
        <v>#VALUE!</v>
      </c>
      <c r="GO323" t="e">
        <f>'Middle East'!G197+"n/&gt;!1O^"</f>
        <v>#VALUE!</v>
      </c>
      <c r="GP323" t="e">
        <f>'Middle East'!H197+"n/&gt;!1O_"</f>
        <v>#VALUE!</v>
      </c>
      <c r="GQ323" t="e">
        <f>'Middle East'!I197+"n/&gt;!1O`"</f>
        <v>#VALUE!</v>
      </c>
      <c r="GR323" t="e">
        <f>'Middle East'!A198+"n/&gt;!1Oa"</f>
        <v>#VALUE!</v>
      </c>
      <c r="GS323" t="e">
        <f>'Middle East'!B198+"n/&gt;!1Ob"</f>
        <v>#VALUE!</v>
      </c>
      <c r="GT323" t="e">
        <f>'Middle East'!C198+"n/&gt;!1Oc"</f>
        <v>#VALUE!</v>
      </c>
      <c r="GU323" t="e">
        <f>'Middle East'!D198+"n/&gt;!1Od"</f>
        <v>#VALUE!</v>
      </c>
      <c r="GV323" t="e">
        <f>'Middle East'!E198+"n/&gt;!1Oe"</f>
        <v>#VALUE!</v>
      </c>
      <c r="GW323" t="e">
        <f>'Middle East'!F198+"n/&gt;!1Of"</f>
        <v>#VALUE!</v>
      </c>
      <c r="GX323" t="e">
        <f>'Middle East'!G198+"n/&gt;!1Og"</f>
        <v>#VALUE!</v>
      </c>
      <c r="GY323" t="e">
        <f>'Middle East'!H198+"n/&gt;!1Oh"</f>
        <v>#VALUE!</v>
      </c>
      <c r="GZ323" t="e">
        <f>'Middle East'!I198+"n/&gt;!1Oi"</f>
        <v>#VALUE!</v>
      </c>
      <c r="HA323" t="e">
        <f>'Middle East'!A199+"n/&gt;!1Oj"</f>
        <v>#VALUE!</v>
      </c>
      <c r="HB323" t="e">
        <f>'Middle East'!B199+"n/&gt;!1Ok"</f>
        <v>#VALUE!</v>
      </c>
      <c r="HC323" t="e">
        <f>'Middle East'!C199+"n/&gt;!1Ol"</f>
        <v>#VALUE!</v>
      </c>
      <c r="HD323" t="e">
        <f>'Middle East'!D199+"n/&gt;!1Om"</f>
        <v>#VALUE!</v>
      </c>
      <c r="HE323" t="e">
        <f>'Middle East'!E199+"n/&gt;!1On"</f>
        <v>#VALUE!</v>
      </c>
      <c r="HF323" t="e">
        <f>'Middle East'!F199+"n/&gt;!1Oo"</f>
        <v>#VALUE!</v>
      </c>
      <c r="HG323" t="e">
        <f>'Middle East'!G199+"n/&gt;!1Op"</f>
        <v>#VALUE!</v>
      </c>
      <c r="HH323" t="e">
        <f>'Middle East'!H199+"n/&gt;!1Oq"</f>
        <v>#VALUE!</v>
      </c>
      <c r="HI323" t="e">
        <f>'Middle East'!I199+"n/&gt;!1Or"</f>
        <v>#VALUE!</v>
      </c>
      <c r="HJ323" t="e">
        <f>'Middle East'!A200+"n/&gt;!1Os"</f>
        <v>#VALUE!</v>
      </c>
      <c r="HK323" t="e">
        <f>'Middle East'!B200+"n/&gt;!1Ot"</f>
        <v>#VALUE!</v>
      </c>
      <c r="HL323" t="e">
        <f>'Middle East'!C200+"n/&gt;!1Ou"</f>
        <v>#VALUE!</v>
      </c>
      <c r="HM323" t="e">
        <f>'Middle East'!D200+"n/&gt;!1Ov"</f>
        <v>#VALUE!</v>
      </c>
      <c r="HN323" t="e">
        <f>'Middle East'!E200+"n/&gt;!1Ow"</f>
        <v>#VALUE!</v>
      </c>
      <c r="HO323" t="e">
        <f>'Middle East'!F200+"n/&gt;!1Ox"</f>
        <v>#VALUE!</v>
      </c>
      <c r="HP323" t="e">
        <f>'Middle East'!G200+"n/&gt;!1Oy"</f>
        <v>#VALUE!</v>
      </c>
      <c r="HQ323" t="e">
        <f>'Middle East'!H200+"n/&gt;!1Oz"</f>
        <v>#VALUE!</v>
      </c>
      <c r="HR323" t="e">
        <f>'Middle East'!I200+"n/&gt;!1O{"</f>
        <v>#VALUE!</v>
      </c>
      <c r="HS323" t="e">
        <f>'Middle East'!A201+"n/&gt;!1O|"</f>
        <v>#VALUE!</v>
      </c>
      <c r="HT323" t="e">
        <f>'Middle East'!B201+"n/&gt;!1O}"</f>
        <v>#VALUE!</v>
      </c>
      <c r="HU323" t="e">
        <f>'Middle East'!C201+"n/&gt;!1O~"</f>
        <v>#VALUE!</v>
      </c>
      <c r="HV323" t="e">
        <f>'Middle East'!D201+"n/&gt;!1P#"</f>
        <v>#VALUE!</v>
      </c>
      <c r="HW323" t="e">
        <f>'Middle East'!E201+"n/&gt;!1P$"</f>
        <v>#VALUE!</v>
      </c>
      <c r="HX323" t="e">
        <f>'Middle East'!F201+"n/&gt;!1P%"</f>
        <v>#VALUE!</v>
      </c>
      <c r="HY323" t="e">
        <f>'Middle East'!G201+"n/&gt;!1P&amp;"</f>
        <v>#VALUE!</v>
      </c>
      <c r="HZ323" t="e">
        <f>'Middle East'!H201+"n/&gt;!1P'"</f>
        <v>#VALUE!</v>
      </c>
      <c r="IA323" t="e">
        <f>'Middle East'!I201+"n/&gt;!1P("</f>
        <v>#VALUE!</v>
      </c>
      <c r="IB323" t="e">
        <f>'Middle East'!A:A*"n/&gt;!1P)"</f>
        <v>#VALUE!</v>
      </c>
      <c r="IC323" t="e">
        <f>'Middle East'!B:B*"n/&gt;!1P."</f>
        <v>#VALUE!</v>
      </c>
      <c r="ID323" t="e">
        <f>'Middle East'!C:C*"n/&gt;!1P/"</f>
        <v>#VALUE!</v>
      </c>
      <c r="IE323" t="e">
        <f>'Middle East'!D:D*"n/&gt;!1P0"</f>
        <v>#VALUE!</v>
      </c>
      <c r="IF323" t="e">
        <f>'Middle East'!E:E*"n/&gt;!1P1"</f>
        <v>#VALUE!</v>
      </c>
      <c r="IG323" t="e">
        <f>'Middle East'!F:F*"n/&gt;!1P2"</f>
        <v>#VALUE!</v>
      </c>
      <c r="IH323" t="e">
        <f>'Middle East'!G:G*"n/&gt;!1P3"</f>
        <v>#VALUE!</v>
      </c>
      <c r="II323" t="e">
        <f>'Middle East'!H:H*"n/&gt;!1P4"</f>
        <v>#VALUE!</v>
      </c>
      <c r="IJ323" t="e">
        <f>'Middle East'!I:I*"n/&gt;!1P5"</f>
        <v>#VALUE!</v>
      </c>
      <c r="IK323" t="e">
        <f>'Middle East'!J:J*"n/&gt;!1P6"</f>
        <v>#VALUE!</v>
      </c>
      <c r="IL323" t="e">
        <f>'Middle East'!K:K*"n/&gt;!1P7"</f>
        <v>#VALUE!</v>
      </c>
      <c r="IM323" t="e">
        <f>'Middle East'!L:L*"n/&gt;!1P8"</f>
        <v>#VALUE!</v>
      </c>
      <c r="IN323" t="e">
        <f>'Middle East'!M:M*"n/&gt;!1P9"</f>
        <v>#VALUE!</v>
      </c>
      <c r="IO323" t="e">
        <f>'Middle East'!N:N*"n/&gt;!1P:"</f>
        <v>#VALUE!</v>
      </c>
      <c r="IP323" t="e">
        <f>'Middle East'!O:O*"n/&gt;!1P;"</f>
        <v>#VALUE!</v>
      </c>
      <c r="IQ323" t="e">
        <f>'Middle East'!P:P*"n/&gt;!1P&lt;"</f>
        <v>#VALUE!</v>
      </c>
      <c r="IR323" t="e">
        <f>'Middle East'!Q:Q*"n/&gt;!1P="</f>
        <v>#VALUE!</v>
      </c>
      <c r="IS323" t="e">
        <f>'Middle East'!R:R*"n/&gt;!1P&gt;"</f>
        <v>#VALUE!</v>
      </c>
      <c r="IT323" t="e">
        <f>'Middle East'!S:S*"n/&gt;!1P?"</f>
        <v>#VALUE!</v>
      </c>
      <c r="IU323" t="e">
        <f>'Middle East'!T:T*"n/&gt;!1P@"</f>
        <v>#VALUE!</v>
      </c>
      <c r="IV323" t="e">
        <f>'Middle East'!U:U*"n/&gt;!1PA"</f>
        <v>#VALUE!</v>
      </c>
    </row>
    <row r="324" spans="6:256" x14ac:dyDescent="0.35">
      <c r="F324" t="e">
        <f>'Middle East'!V:V*"n/&gt;!1PB"</f>
        <v>#VALUE!</v>
      </c>
      <c r="G324" t="e">
        <f>'Middle East'!W:W*"n/&gt;!1PC"</f>
        <v>#VALUE!</v>
      </c>
      <c r="H324" t="e">
        <f>'Middle East'!X:X*"n/&gt;!1PD"</f>
        <v>#VALUE!</v>
      </c>
      <c r="I324" t="e">
        <f>'Middle East'!Y:Y*"n/&gt;!1PE"</f>
        <v>#VALUE!</v>
      </c>
      <c r="J324" t="e">
        <f>'Middle East'!Z:Z*"n/&gt;!1PF"</f>
        <v>#VALUE!</v>
      </c>
      <c r="K324" t="e">
        <f>'Middle East'!AA:AA*"n/&gt;!1PG"</f>
        <v>#VALUE!</v>
      </c>
      <c r="L324" t="e">
        <f>'Middle East'!AB:AB*"n/&gt;!1PH"</f>
        <v>#VALUE!</v>
      </c>
      <c r="M324" t="e">
        <f>'Middle East'!AC:AC*"n/&gt;!1PI"</f>
        <v>#VALUE!</v>
      </c>
      <c r="N324" t="e">
        <f>'Middle East'!AD:AD*"n/&gt;!1PJ"</f>
        <v>#VALUE!</v>
      </c>
      <c r="O324" t="e">
        <f>'Middle East'!AE:AE*"n/&gt;!1PK"</f>
        <v>#VALUE!</v>
      </c>
      <c r="P324" t="e">
        <f>'Middle East'!AF:AF*"n/&gt;!1PL"</f>
        <v>#VALUE!</v>
      </c>
      <c r="Q324" t="e">
        <f>'Middle East'!AG:AG*"n/&gt;!1PM"</f>
        <v>#VALUE!</v>
      </c>
      <c r="R324" t="e">
        <f>'Middle East'!AH:AH*"n/&gt;!1PN"</f>
        <v>#VALUE!</v>
      </c>
      <c r="S324" t="e">
        <f>'Middle East'!AI:AI*"n/&gt;!1PO"</f>
        <v>#VALUE!</v>
      </c>
      <c r="T324" t="e">
        <f>'Middle East'!AJ:AJ*"n/&gt;!1PP"</f>
        <v>#VALUE!</v>
      </c>
      <c r="U324" t="e">
        <f>'Middle East'!AK:AK*"n/&gt;!1PQ"</f>
        <v>#VALUE!</v>
      </c>
      <c r="V324" t="e">
        <f>'Middle East'!AL:AL*"n/&gt;!1PR"</f>
        <v>#VALUE!</v>
      </c>
      <c r="W324" t="e">
        <f>'Middle East'!AM:AM*"n/&gt;!1PS"</f>
        <v>#VALUE!</v>
      </c>
      <c r="X324" t="e">
        <f>'Middle East'!AN:AN*"n/&gt;!1PT"</f>
        <v>#VALUE!</v>
      </c>
      <c r="Y324" t="e">
        <f>'Middle East'!AO:AO*"n/&gt;!1PU"</f>
        <v>#VALUE!</v>
      </c>
      <c r="Z324" t="e">
        <f>'Middle East'!AP:AP*"n/&gt;!1PV"</f>
        <v>#VALUE!</v>
      </c>
      <c r="AA324" t="e">
        <f>'Middle East'!AQ:AQ*"n/&gt;!1PW"</f>
        <v>#VALUE!</v>
      </c>
      <c r="AB324" t="e">
        <f>'Middle East'!AR:AR*"n/&gt;!1PX"</f>
        <v>#VALUE!</v>
      </c>
      <c r="AC324" t="e">
        <f>'Middle East'!AS:AS*"n/&gt;!1PY"</f>
        <v>#VALUE!</v>
      </c>
      <c r="AD324" t="e">
        <f>'Middle East'!AT:AT*"n/&gt;!1PZ"</f>
        <v>#VALUE!</v>
      </c>
      <c r="AE324" t="e">
        <f>'Middle East'!AU:AU*"n/&gt;!1P["</f>
        <v>#VALUE!</v>
      </c>
      <c r="AF324" t="e">
        <f>'Middle East'!AV:AV*"n/&gt;!1P\"</f>
        <v>#VALUE!</v>
      </c>
      <c r="AG324" t="e">
        <f>'Middle East'!AW:AW*"n/&gt;!1P]"</f>
        <v>#VALUE!</v>
      </c>
      <c r="AH324" t="e">
        <f>'Middle East'!AX:AX*"n/&gt;!1P^"</f>
        <v>#VALUE!</v>
      </c>
      <c r="AI324" t="e">
        <f>'Middle East'!AY:AY*"n/&gt;!1P_"</f>
        <v>#VALUE!</v>
      </c>
      <c r="AJ324" t="e">
        <f>'Middle East'!AZ:AZ*"n/&gt;!1P`"</f>
        <v>#VALUE!</v>
      </c>
      <c r="AK324" t="e">
        <f>'Middle East'!BA:BA*"n/&gt;!1Pa"</f>
        <v>#VALUE!</v>
      </c>
      <c r="AL324" t="e">
        <f>'Middle East'!BB:BB*"n/&gt;!1Pb"</f>
        <v>#VALUE!</v>
      </c>
      <c r="AM324" t="e">
        <f>'Middle East'!BC:BC*"n/&gt;!1Pc"</f>
        <v>#VALUE!</v>
      </c>
      <c r="AN324" t="e">
        <f>'Middle East'!BD:BD*"n/&gt;!1Pd"</f>
        <v>#VALUE!</v>
      </c>
      <c r="AO324" t="e">
        <f>'Middle East'!BE:BE*"n/&gt;!1Pe"</f>
        <v>#VALUE!</v>
      </c>
      <c r="AP324" t="e">
        <f>'Middle East'!BF:BF*"n/&gt;!1Pf"</f>
        <v>#VALUE!</v>
      </c>
      <c r="AQ324" t="e">
        <f>'Middle East'!BG:BG*"n/&gt;!1Pg"</f>
        <v>#VALUE!</v>
      </c>
      <c r="AR324" t="e">
        <f>'Middle East'!1:1-"n/&gt;!1Ph"</f>
        <v>#VALUE!</v>
      </c>
      <c r="AS324" t="e">
        <f>'Middle East'!2:2-"n/&gt;!1Pi"</f>
        <v>#VALUE!</v>
      </c>
      <c r="AT324" t="e">
        <f>'Middle East'!3:3-"n/&gt;!1Pj"</f>
        <v>#VALUE!</v>
      </c>
      <c r="AU324" t="e">
        <f>'Middle East'!4:4-"n/&gt;!1Pk"</f>
        <v>#VALUE!</v>
      </c>
      <c r="AV324" t="e">
        <f>'Middle East'!5:5-"n/&gt;!1Pl"</f>
        <v>#VALUE!</v>
      </c>
      <c r="AW324" t="e">
        <f>'Middle East'!6:6-"n/&gt;!1Pm"</f>
        <v>#VALUE!</v>
      </c>
      <c r="AX324" t="e">
        <f>'Middle East'!7:7-"n/&gt;!1Pn"</f>
        <v>#VALUE!</v>
      </c>
      <c r="AY324" t="e">
        <f>'Middle East'!8:8-"n/&gt;!1Po"</f>
        <v>#VALUE!</v>
      </c>
      <c r="AZ324" t="e">
        <f>'Middle East'!9:9-"n/&gt;!1Pp"</f>
        <v>#VALUE!</v>
      </c>
      <c r="BA324" t="e">
        <f>'Middle East'!10:10-"n/&gt;!1Pq"</f>
        <v>#VALUE!</v>
      </c>
      <c r="BB324" t="e">
        <f>'Middle East'!11:11-"n/&gt;!1Pr"</f>
        <v>#VALUE!</v>
      </c>
      <c r="BC324" t="e">
        <f>'Middle East'!12:12-"n/&gt;!1Ps"</f>
        <v>#VALUE!</v>
      </c>
      <c r="BD324" t="e">
        <f>'Middle East'!13:13-"n/&gt;!1Pt"</f>
        <v>#VALUE!</v>
      </c>
      <c r="BE324" t="e">
        <f>'Middle East'!14:14-"n/&gt;!1Pu"</f>
        <v>#VALUE!</v>
      </c>
      <c r="BF324" t="e">
        <f>'Middle East'!15:15-"n/&gt;!1Pv"</f>
        <v>#VALUE!</v>
      </c>
      <c r="BG324" t="e">
        <f>'Middle East'!16:16-"n/&gt;!1Pw"</f>
        <v>#VALUE!</v>
      </c>
      <c r="BH324" t="e">
        <f>'Middle East'!17:17-"n/&gt;!1Px"</f>
        <v>#VALUE!</v>
      </c>
      <c r="BI324" t="e">
        <f>'Middle East'!18:18-"n/&gt;!1Py"</f>
        <v>#VALUE!</v>
      </c>
      <c r="BJ324" t="e">
        <f>'Middle East'!19:19-"n/&gt;!1Pz"</f>
        <v>#VALUE!</v>
      </c>
      <c r="BK324" t="e">
        <f>'Middle East'!20:20-"n/&gt;!1P{"</f>
        <v>#VALUE!</v>
      </c>
      <c r="BL324" t="e">
        <f>'Middle East'!21:21-"n/&gt;!1P|"</f>
        <v>#VALUE!</v>
      </c>
      <c r="BM324" t="e">
        <f>'Middle East'!22:22-"n/&gt;!1P}"</f>
        <v>#VALUE!</v>
      </c>
      <c r="BN324" t="e">
        <f>'Middle East'!23:23-"n/&gt;!1P~"</f>
        <v>#VALUE!</v>
      </c>
      <c r="BO324" t="e">
        <f>'Middle East'!24:24-"n/&gt;!1Q#"</f>
        <v>#VALUE!</v>
      </c>
      <c r="BP324" t="e">
        <f>'Middle East'!25:25-"n/&gt;!1Q$"</f>
        <v>#VALUE!</v>
      </c>
      <c r="BQ324" t="e">
        <f>'Middle East'!26:26-"n/&gt;!1Q%"</f>
        <v>#VALUE!</v>
      </c>
      <c r="BR324" t="e">
        <f>'Middle East'!27:27-"n/&gt;!1Q&amp;"</f>
        <v>#VALUE!</v>
      </c>
      <c r="BS324" t="e">
        <f>'Middle East'!28:28-"n/&gt;!1Q'"</f>
        <v>#VALUE!</v>
      </c>
      <c r="BT324" t="e">
        <f>'Middle East'!29:29-"n/&gt;!1Q("</f>
        <v>#VALUE!</v>
      </c>
      <c r="BU324" t="e">
        <f>'Middle East'!30:30-"n/&gt;!1Q)"</f>
        <v>#VALUE!</v>
      </c>
      <c r="BV324" t="e">
        <f>'Middle East'!31:31-"n/&gt;!1Q."</f>
        <v>#VALUE!</v>
      </c>
      <c r="BW324" t="e">
        <f>'Middle East'!32:32-"n/&gt;!1Q/"</f>
        <v>#VALUE!</v>
      </c>
      <c r="BX324" t="e">
        <f>'Middle East'!33:33-"n/&gt;!1Q0"</f>
        <v>#VALUE!</v>
      </c>
      <c r="BY324" t="e">
        <f>'Middle East'!34:34-"n/&gt;!1Q1"</f>
        <v>#VALUE!</v>
      </c>
      <c r="BZ324" t="e">
        <f>'Middle East'!35:35-"n/&gt;!1Q2"</f>
        <v>#VALUE!</v>
      </c>
      <c r="CA324" t="e">
        <f>'Middle East'!36:36-"n/&gt;!1Q3"</f>
        <v>#VALUE!</v>
      </c>
      <c r="CB324" t="e">
        <f>'Middle East'!37:37-"n/&gt;!1Q4"</f>
        <v>#VALUE!</v>
      </c>
      <c r="CC324" t="e">
        <f>'Middle East'!38:38-"n/&gt;!1Q5"</f>
        <v>#VALUE!</v>
      </c>
      <c r="CD324" t="e">
        <f>'Middle East'!39:39-"n/&gt;!1Q6"</f>
        <v>#VALUE!</v>
      </c>
      <c r="CE324" t="e">
        <f>'Middle East'!40:40-"n/&gt;!1Q7"</f>
        <v>#VALUE!</v>
      </c>
      <c r="CF324" t="e">
        <f>'Middle East'!41:41-"n/&gt;!1Q8"</f>
        <v>#VALUE!</v>
      </c>
      <c r="CG324" t="e">
        <f>'Middle East'!42:42-"n/&gt;!1Q9"</f>
        <v>#VALUE!</v>
      </c>
      <c r="CH324" t="e">
        <f>'Middle East'!43:43-"n/&gt;!1Q:"</f>
        <v>#VALUE!</v>
      </c>
      <c r="CI324" t="e">
        <f>'Middle East'!44:44-"n/&gt;!1Q;"</f>
        <v>#VALUE!</v>
      </c>
      <c r="CJ324" t="e">
        <f>'Middle East'!45:45-"n/&gt;!1Q&lt;"</f>
        <v>#VALUE!</v>
      </c>
      <c r="CK324" t="e">
        <f>'Middle East'!46:46-"n/&gt;!1Q="</f>
        <v>#VALUE!</v>
      </c>
      <c r="CL324" t="e">
        <f>'Middle East'!47:47-"n/&gt;!1Q&gt;"</f>
        <v>#VALUE!</v>
      </c>
      <c r="CM324" t="e">
        <f>'Middle East'!48:48-"n/&gt;!1Q?"</f>
        <v>#VALUE!</v>
      </c>
      <c r="CN324" t="e">
        <f>'Middle East'!49:49-"n/&gt;!1Q@"</f>
        <v>#VALUE!</v>
      </c>
      <c r="CO324" t="e">
        <f>'Middle East'!50:50-"n/&gt;!1QA"</f>
        <v>#VALUE!</v>
      </c>
      <c r="CP324" t="e">
        <f>'Middle East'!51:51-"n/&gt;!1QB"</f>
        <v>#VALUE!</v>
      </c>
      <c r="CQ324" t="e">
        <f>'Middle East'!52:52-"n/&gt;!1QC"</f>
        <v>#VALUE!</v>
      </c>
      <c r="CR324" t="e">
        <f>'Middle East'!53:53-"n/&gt;!1QD"</f>
        <v>#VALUE!</v>
      </c>
      <c r="CS324" t="e">
        <f>'Middle East'!54:54-"n/&gt;!1QE"</f>
        <v>#VALUE!</v>
      </c>
      <c r="CT324" t="e">
        <f>'Middle East'!55:55-"n/&gt;!1QF"</f>
        <v>#VALUE!</v>
      </c>
      <c r="CU324" t="e">
        <f>'Middle East'!56:56-"n/&gt;!1QG"</f>
        <v>#VALUE!</v>
      </c>
      <c r="CV324" t="e">
        <f>'Middle East'!57:57-"n/&gt;!1QH"</f>
        <v>#VALUE!</v>
      </c>
      <c r="CW324" t="e">
        <f>'Middle East'!58:58-"n/&gt;!1QI"</f>
        <v>#VALUE!</v>
      </c>
      <c r="CX324" t="e">
        <f>'Middle East'!59:59-"n/&gt;!1QJ"</f>
        <v>#VALUE!</v>
      </c>
      <c r="CY324" t="e">
        <f>'Middle East'!60:60-"n/&gt;!1QK"</f>
        <v>#VALUE!</v>
      </c>
      <c r="CZ324" t="e">
        <f>'Middle East'!61:61-"n/&gt;!1QL"</f>
        <v>#VALUE!</v>
      </c>
      <c r="DA324" t="e">
        <f>'Middle East'!62:62-"n/&gt;!1QM"</f>
        <v>#VALUE!</v>
      </c>
      <c r="DB324" t="e">
        <f>'Middle East'!63:63-"n/&gt;!1QN"</f>
        <v>#VALUE!</v>
      </c>
      <c r="DC324" t="e">
        <f>'Middle East'!64:64-"n/&gt;!1QO"</f>
        <v>#VALUE!</v>
      </c>
      <c r="DD324" t="e">
        <f>'Middle East'!65:65-"n/&gt;!1QP"</f>
        <v>#VALUE!</v>
      </c>
      <c r="DE324" t="e">
        <f>'Middle East'!66:66-"n/&gt;!1QQ"</f>
        <v>#VALUE!</v>
      </c>
      <c r="DF324" t="e">
        <f>'Middle East'!67:67-"n/&gt;!1QR"</f>
        <v>#VALUE!</v>
      </c>
      <c r="DG324" t="e">
        <f>'Middle East'!68:68-"n/&gt;!1QS"</f>
        <v>#VALUE!</v>
      </c>
      <c r="DH324" t="e">
        <f>'Middle East'!69:69-"n/&gt;!1QT"</f>
        <v>#VALUE!</v>
      </c>
      <c r="DI324" t="e">
        <f>'Middle East'!70:70-"n/&gt;!1QU"</f>
        <v>#VALUE!</v>
      </c>
      <c r="DJ324" t="e">
        <f>'Middle East'!71:71-"n/&gt;!1QV"</f>
        <v>#VALUE!</v>
      </c>
      <c r="DK324" t="e">
        <f>'Middle East'!72:72-"n/&gt;!1QW"</f>
        <v>#VALUE!</v>
      </c>
      <c r="DL324" t="e">
        <f>'Middle East'!73:73-"n/&gt;!1QX"</f>
        <v>#VALUE!</v>
      </c>
      <c r="DM324" t="e">
        <f>'Middle East'!74:74-"n/&gt;!1QY"</f>
        <v>#VALUE!</v>
      </c>
      <c r="DN324" t="e">
        <f>'Middle East'!75:75-"n/&gt;!1QZ"</f>
        <v>#VALUE!</v>
      </c>
      <c r="DO324" t="e">
        <f>'Middle East'!76:76-"n/&gt;!1Q["</f>
        <v>#VALUE!</v>
      </c>
      <c r="DP324" t="e">
        <f>'Middle East'!77:77-"n/&gt;!1Q\"</f>
        <v>#VALUE!</v>
      </c>
      <c r="DQ324" t="e">
        <f>'Middle East'!78:78-"n/&gt;!1Q]"</f>
        <v>#VALUE!</v>
      </c>
      <c r="DR324" t="e">
        <f>'Middle East'!79:79-"n/&gt;!1Q^"</f>
        <v>#VALUE!</v>
      </c>
      <c r="DS324" t="e">
        <f>'Middle East'!80:80-"n/&gt;!1Q_"</f>
        <v>#VALUE!</v>
      </c>
      <c r="DT324" t="e">
        <f>'Middle East'!81:81-"n/&gt;!1Q`"</f>
        <v>#VALUE!</v>
      </c>
      <c r="DU324" t="e">
        <f>'Middle East'!82:82-"n/&gt;!1Qa"</f>
        <v>#VALUE!</v>
      </c>
      <c r="DV324" t="e">
        <f>'Middle East'!83:83-"n/&gt;!1Qb"</f>
        <v>#VALUE!</v>
      </c>
      <c r="DW324" t="e">
        <f>'Middle East'!84:84-"n/&gt;!1Qc"</f>
        <v>#VALUE!</v>
      </c>
      <c r="DX324" t="e">
        <f>'Middle East'!85:85-"n/&gt;!1Qd"</f>
        <v>#VALUE!</v>
      </c>
      <c r="DY324" t="e">
        <f>'Middle East'!86:86-"n/&gt;!1Qe"</f>
        <v>#VALUE!</v>
      </c>
      <c r="DZ324" t="e">
        <f>'Middle East'!87:87-"n/&gt;!1Qf"</f>
        <v>#VALUE!</v>
      </c>
      <c r="EA324" t="e">
        <f>'Middle East'!88:88-"n/&gt;!1Qg"</f>
        <v>#VALUE!</v>
      </c>
      <c r="EB324" t="e">
        <f>'Middle East'!89:89-"n/&gt;!1Qh"</f>
        <v>#VALUE!</v>
      </c>
      <c r="EC324" t="e">
        <f>'Middle East'!90:90-"n/&gt;!1Qi"</f>
        <v>#VALUE!</v>
      </c>
      <c r="ED324" t="e">
        <f>'Middle East'!91:91-"n/&gt;!1Qj"</f>
        <v>#VALUE!</v>
      </c>
      <c r="EE324" t="e">
        <f>'Middle East'!92:92-"n/&gt;!1Qk"</f>
        <v>#VALUE!</v>
      </c>
      <c r="EF324" t="e">
        <f>'Middle East'!93:93-"n/&gt;!1Ql"</f>
        <v>#VALUE!</v>
      </c>
      <c r="EG324" t="e">
        <f>'Middle East'!94:94-"n/&gt;!1Qm"</f>
        <v>#VALUE!</v>
      </c>
      <c r="EH324" t="e">
        <f>'Middle East'!95:95-"n/&gt;!1Qn"</f>
        <v>#VALUE!</v>
      </c>
      <c r="EI324" t="e">
        <f>'Middle East'!96:96-"n/&gt;!1Qo"</f>
        <v>#VALUE!</v>
      </c>
      <c r="EJ324" t="e">
        <f>'Middle East'!97:97-"n/&gt;!1Qp"</f>
        <v>#VALUE!</v>
      </c>
      <c r="EK324" t="e">
        <f>'Middle East'!98:98-"n/&gt;!1Qq"</f>
        <v>#VALUE!</v>
      </c>
      <c r="EL324" t="e">
        <f>'Middle East'!99:99-"n/&gt;!1Qr"</f>
        <v>#VALUE!</v>
      </c>
      <c r="EM324" t="e">
        <f>'Middle East'!100:100-"n/&gt;!1Qs"</f>
        <v>#VALUE!</v>
      </c>
      <c r="EN324" t="e">
        <f>'Middle East'!101:101-"n/&gt;!1Qt"</f>
        <v>#VALUE!</v>
      </c>
      <c r="EO324" t="e">
        <f>'Middle East'!102:102-"n/&gt;!1Qu"</f>
        <v>#VALUE!</v>
      </c>
      <c r="EP324" t="e">
        <f>'Middle East'!103:103-"n/&gt;!1Qv"</f>
        <v>#VALUE!</v>
      </c>
      <c r="EQ324" t="e">
        <f>'Middle East'!104:104-"n/&gt;!1Qw"</f>
        <v>#VALUE!</v>
      </c>
      <c r="ER324" t="e">
        <f>'Middle East'!105:105-"n/&gt;!1Qx"</f>
        <v>#VALUE!</v>
      </c>
      <c r="ES324" t="e">
        <f>'Middle East'!106:106-"n/&gt;!1Qy"</f>
        <v>#VALUE!</v>
      </c>
      <c r="ET324" t="e">
        <f>'Middle East'!107:107-"n/&gt;!1Qz"</f>
        <v>#VALUE!</v>
      </c>
      <c r="EU324" t="e">
        <f>'Middle East'!108:108-"n/&gt;!1Q{"</f>
        <v>#VALUE!</v>
      </c>
      <c r="EV324" t="e">
        <f>'Middle East'!109:109-"n/&gt;!1Q|"</f>
        <v>#VALUE!</v>
      </c>
      <c r="EW324" t="e">
        <f>'Middle East'!110:110-"n/&gt;!1Q}"</f>
        <v>#VALUE!</v>
      </c>
      <c r="EX324" t="e">
        <f>'Middle East'!111:111-"n/&gt;!1Q~"</f>
        <v>#VALUE!</v>
      </c>
      <c r="EY324" t="e">
        <f>'Middle East'!112:112-"n/&gt;!1R#"</f>
        <v>#VALUE!</v>
      </c>
      <c r="EZ324" t="e">
        <f>'Middle East'!113:113-"n/&gt;!1R$"</f>
        <v>#VALUE!</v>
      </c>
      <c r="FA324" t="e">
        <f>'Middle East'!114:114-"n/&gt;!1R%"</f>
        <v>#VALUE!</v>
      </c>
      <c r="FB324" t="e">
        <f>'Middle East'!115:115-"n/&gt;!1R&amp;"</f>
        <v>#VALUE!</v>
      </c>
      <c r="FC324" t="e">
        <f>'Middle East'!116:116-"n/&gt;!1R'"</f>
        <v>#VALUE!</v>
      </c>
      <c r="FD324" t="e">
        <f>'Middle East'!117:117-"n/&gt;!1R("</f>
        <v>#VALUE!</v>
      </c>
      <c r="FE324" t="e">
        <f>'Middle East'!118:118-"n/&gt;!1R)"</f>
        <v>#VALUE!</v>
      </c>
      <c r="FF324" t="e">
        <f>'Middle East'!119:119-"n/&gt;!1R."</f>
        <v>#VALUE!</v>
      </c>
      <c r="FG324" t="e">
        <f>'Middle East'!120:120-"n/&gt;!1R/"</f>
        <v>#VALUE!</v>
      </c>
      <c r="FH324" t="e">
        <f>'Middle East'!121:121-"n/&gt;!1R0"</f>
        <v>#VALUE!</v>
      </c>
      <c r="FI324" t="e">
        <f>'Middle East'!122:122-"n/&gt;!1R1"</f>
        <v>#VALUE!</v>
      </c>
      <c r="FJ324" t="e">
        <f>'Middle East'!123:123-"n/&gt;!1R2"</f>
        <v>#VALUE!</v>
      </c>
      <c r="FK324" t="e">
        <f>'Middle East'!124:124-"n/&gt;!1R3"</f>
        <v>#VALUE!</v>
      </c>
      <c r="FL324" t="e">
        <f>'Middle East'!125:125-"n/&gt;!1R4"</f>
        <v>#VALUE!</v>
      </c>
      <c r="FM324" t="e">
        <f>'Middle East'!126:126-"n/&gt;!1R5"</f>
        <v>#VALUE!</v>
      </c>
      <c r="FN324" t="e">
        <f>'Middle East'!127:127-"n/&gt;!1R6"</f>
        <v>#VALUE!</v>
      </c>
      <c r="FO324" t="e">
        <f>'Middle East'!128:128-"n/&gt;!1R7"</f>
        <v>#VALUE!</v>
      </c>
      <c r="FP324" t="e">
        <f>'Middle East'!129:129-"n/&gt;!1R8"</f>
        <v>#VALUE!</v>
      </c>
      <c r="FQ324" t="e">
        <f>'Middle East'!130:130-"n/&gt;!1R9"</f>
        <v>#VALUE!</v>
      </c>
      <c r="FR324" t="e">
        <f>'Middle East'!131:131-"n/&gt;!1R:"</f>
        <v>#VALUE!</v>
      </c>
      <c r="FS324" t="e">
        <f>'Middle East'!132:132-"n/&gt;!1R;"</f>
        <v>#VALUE!</v>
      </c>
      <c r="FT324" t="e">
        <f>'Middle East'!133:133-"n/&gt;!1R&lt;"</f>
        <v>#VALUE!</v>
      </c>
      <c r="FU324" t="e">
        <f>'Middle East'!134:134-"n/&gt;!1R="</f>
        <v>#VALUE!</v>
      </c>
      <c r="FV324" t="e">
        <f>'Middle East'!135:135-"n/&gt;!1R&gt;"</f>
        <v>#VALUE!</v>
      </c>
      <c r="FW324" t="e">
        <f>'Middle East'!136:136-"n/&gt;!1R?"</f>
        <v>#VALUE!</v>
      </c>
      <c r="FX324" t="e">
        <f>'Middle East'!137:137-"n/&gt;!1R@"</f>
        <v>#VALUE!</v>
      </c>
      <c r="FY324" t="e">
        <f>'Middle East'!138:138-"n/&gt;!1RA"</f>
        <v>#VALUE!</v>
      </c>
      <c r="FZ324" t="e">
        <f>'Middle East'!139:139-"n/&gt;!1RB"</f>
        <v>#VALUE!</v>
      </c>
      <c r="GA324" t="e">
        <f>'Middle East'!140:140-"n/&gt;!1RC"</f>
        <v>#VALUE!</v>
      </c>
      <c r="GB324" t="e">
        <f>'Middle East'!141:141-"n/&gt;!1RD"</f>
        <v>#VALUE!</v>
      </c>
      <c r="GC324" t="e">
        <f>'Middle East'!142:142-"n/&gt;!1RE"</f>
        <v>#VALUE!</v>
      </c>
      <c r="GD324" t="e">
        <f>'Middle East'!143:143-"n/&gt;!1RF"</f>
        <v>#VALUE!</v>
      </c>
      <c r="GE324" t="e">
        <f>'Middle East'!144:144-"n/&gt;!1RG"</f>
        <v>#VALUE!</v>
      </c>
      <c r="GF324" t="e">
        <f>'Middle East'!145:145-"n/&gt;!1RH"</f>
        <v>#VALUE!</v>
      </c>
      <c r="GG324" t="e">
        <f>'Middle East'!146:146-"n/&gt;!1RI"</f>
        <v>#VALUE!</v>
      </c>
      <c r="GH324" t="e">
        <f>'Middle East'!147:147-"n/&gt;!1RJ"</f>
        <v>#VALUE!</v>
      </c>
      <c r="GI324" t="e">
        <f>'Middle East'!148:148-"n/&gt;!1RK"</f>
        <v>#VALUE!</v>
      </c>
      <c r="GJ324" t="e">
        <f>'Middle East'!149:149-"n/&gt;!1RL"</f>
        <v>#VALUE!</v>
      </c>
      <c r="GK324" t="e">
        <f>'Middle East'!150:150-"n/&gt;!1RM"</f>
        <v>#VALUE!</v>
      </c>
      <c r="GL324" t="e">
        <f>'Middle East'!151:151-"n/&gt;!1RN"</f>
        <v>#VALUE!</v>
      </c>
      <c r="GM324" t="e">
        <f>'Middle East'!152:152-"n/&gt;!1RO"</f>
        <v>#VALUE!</v>
      </c>
      <c r="GN324" t="e">
        <f>'Middle East'!153:153-"n/&gt;!1RP"</f>
        <v>#VALUE!</v>
      </c>
      <c r="GO324" t="e">
        <f>'Middle East'!154:154-"n/&gt;!1RQ"</f>
        <v>#VALUE!</v>
      </c>
      <c r="GP324" t="e">
        <f>'Middle East'!155:155-"n/&gt;!1RR"</f>
        <v>#VALUE!</v>
      </c>
      <c r="GQ324" t="e">
        <f>'Middle East'!156:156-"n/&gt;!1RS"</f>
        <v>#VALUE!</v>
      </c>
      <c r="GR324" t="e">
        <f>'Middle East'!157:157-"n/&gt;!1RT"</f>
        <v>#VALUE!</v>
      </c>
      <c r="GS324" t="e">
        <f>'Middle East'!158:158-"n/&gt;!1RU"</f>
        <v>#VALUE!</v>
      </c>
      <c r="GT324" t="e">
        <f>'Middle East'!159:159-"n/&gt;!1RV"</f>
        <v>#VALUE!</v>
      </c>
      <c r="GU324" t="e">
        <f>'Middle East'!160:160-"n/&gt;!1RW"</f>
        <v>#VALUE!</v>
      </c>
      <c r="GV324" t="e">
        <f>'Middle East'!161:161-"n/&gt;!1RX"</f>
        <v>#VALUE!</v>
      </c>
      <c r="GW324" t="e">
        <f>'Middle East'!162:162-"n/&gt;!1RY"</f>
        <v>#VALUE!</v>
      </c>
      <c r="GX324" t="e">
        <f>'Middle East'!163:163-"n/&gt;!1RZ"</f>
        <v>#VALUE!</v>
      </c>
      <c r="GY324" t="e">
        <f>'Middle East'!164:164-"n/&gt;!1R["</f>
        <v>#VALUE!</v>
      </c>
      <c r="GZ324" t="e">
        <f>'Middle East'!165:165-"n/&gt;!1R\"</f>
        <v>#VALUE!</v>
      </c>
      <c r="HA324" t="e">
        <f>'Middle East'!166:166-"n/&gt;!1R]"</f>
        <v>#VALUE!</v>
      </c>
      <c r="HB324" t="e">
        <f>'Middle East'!167:167-"n/&gt;!1R^"</f>
        <v>#VALUE!</v>
      </c>
      <c r="HC324" t="e">
        <f>'Middle East'!168:168-"n/&gt;!1R_"</f>
        <v>#VALUE!</v>
      </c>
      <c r="HD324" t="e">
        <f>'Middle East'!169:169-"n/&gt;!1R`"</f>
        <v>#VALUE!</v>
      </c>
      <c r="HE324" t="e">
        <f>'Middle East'!170:170-"n/&gt;!1Ra"</f>
        <v>#VALUE!</v>
      </c>
      <c r="HF324" t="e">
        <f>'Middle East'!171:171-"n/&gt;!1Rb"</f>
        <v>#VALUE!</v>
      </c>
      <c r="HG324" t="e">
        <f>'Middle East'!172:172-"n/&gt;!1Rc"</f>
        <v>#VALUE!</v>
      </c>
      <c r="HH324" t="e">
        <f>'Middle East'!173:173-"n/&gt;!1Rd"</f>
        <v>#VALUE!</v>
      </c>
      <c r="HI324" t="e">
        <f>'Middle East'!174:174-"n/&gt;!1Re"</f>
        <v>#VALUE!</v>
      </c>
      <c r="HJ324" t="e">
        <f>'Middle East'!175:175-"n/&gt;!1Rf"</f>
        <v>#VALUE!</v>
      </c>
      <c r="HK324" t="e">
        <f>'Middle East'!176:176-"n/&gt;!1Rg"</f>
        <v>#VALUE!</v>
      </c>
      <c r="HL324" t="e">
        <f>'Middle East'!177:177-"n/&gt;!1Rh"</f>
        <v>#VALUE!</v>
      </c>
      <c r="HM324" t="e">
        <f>'Middle East'!178:178-"n/&gt;!1Ri"</f>
        <v>#VALUE!</v>
      </c>
      <c r="HN324" t="e">
        <f>'Middle East'!179:179-"n/&gt;!1Rj"</f>
        <v>#VALUE!</v>
      </c>
      <c r="HO324" t="e">
        <f>'Middle East'!180:180-"n/&gt;!1Rk"</f>
        <v>#VALUE!</v>
      </c>
      <c r="HP324" t="e">
        <f>'Middle East'!181:181-"n/&gt;!1Rl"</f>
        <v>#VALUE!</v>
      </c>
      <c r="HQ324" t="e">
        <f>'Middle East'!182:182-"n/&gt;!1Rm"</f>
        <v>#VALUE!</v>
      </c>
      <c r="HR324" t="e">
        <f>'Middle East'!183:183-"n/&gt;!1Rn"</f>
        <v>#VALUE!</v>
      </c>
      <c r="HS324" t="e">
        <f>'Middle East'!184:184-"n/&gt;!1Ro"</f>
        <v>#VALUE!</v>
      </c>
      <c r="HT324" t="e">
        <f>'Middle East'!185:185-"n/&gt;!1Rp"</f>
        <v>#VALUE!</v>
      </c>
      <c r="HU324" t="e">
        <f>'Middle East'!186:186-"n/&gt;!1Rq"</f>
        <v>#VALUE!</v>
      </c>
      <c r="HV324" t="e">
        <f>'Middle East'!187:187-"n/&gt;!1Rr"</f>
        <v>#VALUE!</v>
      </c>
      <c r="HW324" t="e">
        <f>'Middle East'!188:188-"n/&gt;!1Rs"</f>
        <v>#VALUE!</v>
      </c>
      <c r="HX324" t="e">
        <f>'Middle East'!189:189-"n/&gt;!1Rt"</f>
        <v>#VALUE!</v>
      </c>
      <c r="HY324" t="e">
        <f>'Middle East'!190:190-"n/&gt;!1Ru"</f>
        <v>#VALUE!</v>
      </c>
      <c r="HZ324" t="e">
        <f>'Middle East'!191:191-"n/&gt;!1Rv"</f>
        <v>#VALUE!</v>
      </c>
      <c r="IA324" t="e">
        <f>'Middle East'!192:192-"n/&gt;!1Rw"</f>
        <v>#VALUE!</v>
      </c>
      <c r="IB324" t="e">
        <f>'Middle East'!193:193-"n/&gt;!1Rx"</f>
        <v>#VALUE!</v>
      </c>
      <c r="IC324" t="e">
        <f>'Middle East'!194:194-"n/&gt;!1Ry"</f>
        <v>#VALUE!</v>
      </c>
      <c r="ID324" t="e">
        <f>'Middle East'!195:195-"n/&gt;!1Rz"</f>
        <v>#VALUE!</v>
      </c>
      <c r="IE324" t="e">
        <f>'Middle East'!196:196-"n/&gt;!1R{"</f>
        <v>#VALUE!</v>
      </c>
      <c r="IF324" t="e">
        <f>'Middle East'!197:197-"n/&gt;!1R|"</f>
        <v>#VALUE!</v>
      </c>
      <c r="IG324" t="e">
        <f>'Middle East'!198:198-"n/&gt;!1R}"</f>
        <v>#VALUE!</v>
      </c>
      <c r="IH324" t="e">
        <f>'Middle East'!199:199-"n/&gt;!1R~"</f>
        <v>#VALUE!</v>
      </c>
      <c r="II324" t="e">
        <f>'Middle East'!200:200-"n/&gt;!1S#"</f>
        <v>#VALUE!</v>
      </c>
      <c r="IJ324" t="e">
        <f>'Middle East'!201:201-"n/&gt;!1S$"</f>
        <v>#VALUE!</v>
      </c>
      <c r="IK324" t="e">
        <f>'Middle East'!202:202-"n/&gt;!1S%"</f>
        <v>#VALUE!</v>
      </c>
      <c r="IL324" t="e">
        <f>'Middle East'!203:203-"n/&gt;!1S&amp;"</f>
        <v>#VALUE!</v>
      </c>
      <c r="IM324" t="e">
        <f>'Middle East'!204:204-"n/&gt;!1S'"</f>
        <v>#VALUE!</v>
      </c>
      <c r="IN324" t="e">
        <f>'Middle East'!205:205-"n/&gt;!1S("</f>
        <v>#VALUE!</v>
      </c>
      <c r="IO324" t="e">
        <f>'Middle East'!206:206-"n/&gt;!1S)"</f>
        <v>#VALUE!</v>
      </c>
      <c r="IP324" t="e">
        <f>'Middle East'!207:207-"n/&gt;!1S."</f>
        <v>#VALUE!</v>
      </c>
      <c r="IQ324" t="e">
        <f>'Middle East'!208:208-"n/&gt;!1S/"</f>
        <v>#VALUE!</v>
      </c>
      <c r="IR324" t="e">
        <f>'Middle East'!209:209-"n/&gt;!1S0"</f>
        <v>#VALUE!</v>
      </c>
      <c r="IS324" t="e">
        <f>'Middle East'!210:210-"n/&gt;!1S1"</f>
        <v>#VALUE!</v>
      </c>
      <c r="IT324" t="e">
        <f>'Middle East'!211:211-"n/&gt;!1S2"</f>
        <v>#VALUE!</v>
      </c>
      <c r="IU324" t="e">
        <f>'Middle East'!212:212-"n/&gt;!1S3"</f>
        <v>#VALUE!</v>
      </c>
      <c r="IV324" t="e">
        <f>'Middle East'!213:213-"n/&gt;!1S4"</f>
        <v>#VALUE!</v>
      </c>
    </row>
    <row r="325" spans="6:256" x14ac:dyDescent="0.35">
      <c r="F325" t="e">
        <f>'Middle East'!214:214-"n/&gt;!1S5"</f>
        <v>#VALUE!</v>
      </c>
      <c r="G325" t="e">
        <f>'Middle East'!215:215-"n/&gt;!1S6"</f>
        <v>#VALUE!</v>
      </c>
      <c r="H325" t="e">
        <f>'Middle East'!216:216-"n/&gt;!1S7"</f>
        <v>#VALUE!</v>
      </c>
      <c r="I325" t="e">
        <f>'Middle East'!217:217-"n/&gt;!1S8"</f>
        <v>#VALUE!</v>
      </c>
      <c r="J325" t="e">
        <f>'Middle East'!218:218-"n/&gt;!1S9"</f>
        <v>#VALUE!</v>
      </c>
      <c r="K325" t="e">
        <f>'Middle East'!219:219-"n/&gt;!1S:"</f>
        <v>#VALUE!</v>
      </c>
      <c r="L325" t="e">
        <f>'Middle East'!220:220-"n/&gt;!1S;"</f>
        <v>#VALUE!</v>
      </c>
      <c r="M325" t="e">
        <f>'Middle East'!221:221-"n/&gt;!1S&lt;"</f>
        <v>#VALUE!</v>
      </c>
      <c r="N325" t="e">
        <f>'Middle East'!222:222-"n/&gt;!1S="</f>
        <v>#VALUE!</v>
      </c>
      <c r="O325" t="e">
        <f>'Middle East'!223:223-"n/&gt;!1S&gt;"</f>
        <v>#VALUE!</v>
      </c>
      <c r="P325" t="e">
        <f>'Middle East'!224:224-"n/&gt;!1S?"</f>
        <v>#VALUE!</v>
      </c>
      <c r="Q325" t="e">
        <f>'Middle East'!225:225-"n/&gt;!1S@"</f>
        <v>#VALUE!</v>
      </c>
      <c r="R325" t="e">
        <f>'Middle East'!226:226-"n/&gt;!1SA"</f>
        <v>#VALUE!</v>
      </c>
      <c r="S325" t="e">
        <f>'Middle East'!227:227-"n/&gt;!1SB"</f>
        <v>#VALUE!</v>
      </c>
      <c r="T325" t="e">
        <f>'Middle East'!228:228-"n/&gt;!1SC"</f>
        <v>#VALUE!</v>
      </c>
      <c r="U325" t="e">
        <f>'Middle East'!229:229-"n/&gt;!1SD"</f>
        <v>#VALUE!</v>
      </c>
      <c r="V325" t="e">
        <f>'Middle East'!230:230-"n/&gt;!1SE"</f>
        <v>#VALUE!</v>
      </c>
      <c r="W325" t="e">
        <f>'Middle East'!231:231-"n/&gt;!1SF"</f>
        <v>#VALUE!</v>
      </c>
      <c r="X325" t="e">
        <f>'Middle East'!232:232-"n/&gt;!1SG"</f>
        <v>#VALUE!</v>
      </c>
      <c r="Y325" t="e">
        <f>'Middle East'!233:233-"n/&gt;!1SH"</f>
        <v>#VALUE!</v>
      </c>
      <c r="Z325" t="e">
        <f>'Middle East'!234:234-"n/&gt;!1SI"</f>
        <v>#VALUE!</v>
      </c>
      <c r="AA325" t="e">
        <f>'Middle East'!235:235-"n/&gt;!1SJ"</f>
        <v>#VALUE!</v>
      </c>
      <c r="AB325" t="e">
        <f>'Middle East'!236:236-"n/&gt;!1SK"</f>
        <v>#VALUE!</v>
      </c>
      <c r="AC325" t="e">
        <f>'Middle East'!237:237-"n/&gt;!1SL"</f>
        <v>#VALUE!</v>
      </c>
      <c r="AD325" t="e">
        <f>'Middle East'!238:238-"n/&gt;!1SM"</f>
        <v>#VALUE!</v>
      </c>
      <c r="AE325" t="e">
        <f>'Middle East'!239:239-"n/&gt;!1SN"</f>
        <v>#VALUE!</v>
      </c>
      <c r="AF325" t="e">
        <f>'Middle East'!240:240-"n/&gt;!1SO"</f>
        <v>#VALUE!</v>
      </c>
      <c r="AG325" t="e">
        <f>'Middle East'!241:241-"n/&gt;!1SP"</f>
        <v>#VALUE!</v>
      </c>
      <c r="AH325" t="e">
        <f>'Middle East'!242:242-"n/&gt;!1SQ"</f>
        <v>#VALUE!</v>
      </c>
      <c r="AI325" t="e">
        <f>'Middle East'!243:243-"n/&gt;!1SR"</f>
        <v>#VALUE!</v>
      </c>
      <c r="AJ325" t="e">
        <f>'Middle East'!244:244-"n/&gt;!1SS"</f>
        <v>#VALUE!</v>
      </c>
      <c r="AK325" t="e">
        <f>'Middle East'!245:245-"n/&gt;!1ST"</f>
        <v>#VALUE!</v>
      </c>
      <c r="AL325" t="e">
        <f>'Middle East'!246:246-"n/&gt;!1SU"</f>
        <v>#VALUE!</v>
      </c>
      <c r="AM325" t="e">
        <f>'Middle East'!247:247-"n/&gt;!1SV"</f>
        <v>#VALUE!</v>
      </c>
      <c r="AN325" t="e">
        <f>'Middle East'!248:248-"n/&gt;!1SW"</f>
        <v>#VALUE!</v>
      </c>
      <c r="AO325" t="e">
        <f>'Middle East'!249:249-"n/&gt;!1SX"</f>
        <v>#VALUE!</v>
      </c>
      <c r="AP325" t="e">
        <f>'Middle East'!250:250-"n/&gt;!1SY"</f>
        <v>#VALUE!</v>
      </c>
      <c r="AQ325" t="e">
        <f>'Middle East'!251:251-"n/&gt;!1SZ"</f>
        <v>#VALUE!</v>
      </c>
      <c r="AR325" t="e">
        <f>'Middle East'!252:252-"n/&gt;!1S["</f>
        <v>#VALUE!</v>
      </c>
      <c r="AS325" t="e">
        <f>'Middle East'!253:253-"n/&gt;!1S\"</f>
        <v>#VALUE!</v>
      </c>
      <c r="AT325" t="e">
        <f>'Middle East'!254:254-"n/&gt;!1S]"</f>
        <v>#VALUE!</v>
      </c>
      <c r="AU325" t="e">
        <f>'Middle East'!255:255-"n/&gt;!1S^"</f>
        <v>#VALUE!</v>
      </c>
      <c r="AV325" t="e">
        <f>'Middle East'!256:256-"n/&gt;!1S_"</f>
        <v>#VALUE!</v>
      </c>
      <c r="AW325" t="e">
        <f>'Middle East'!257:257-"n/&gt;!1S`"</f>
        <v>#VALUE!</v>
      </c>
      <c r="AX325" t="e">
        <f>'Middle East'!258:258-"n/&gt;!1Sa"</f>
        <v>#VALUE!</v>
      </c>
      <c r="AY325" t="e">
        <f>'Middle East'!259:259-"n/&gt;!1Sb"</f>
        <v>#VALUE!</v>
      </c>
      <c r="AZ325" t="e">
        <f>'Middle East'!260:260-"n/&gt;!1Sc"</f>
        <v>#VALUE!</v>
      </c>
      <c r="BA325" t="e">
        <f>'Middle East'!261:261-"n/&gt;!1Sd"</f>
        <v>#VALUE!</v>
      </c>
      <c r="BB325" t="e">
        <f>'Middle East'!262:262-"n/&gt;!1Se"</f>
        <v>#VALUE!</v>
      </c>
      <c r="BC325" t="e">
        <f>'Middle East'!263:263-"n/&gt;!1Sf"</f>
        <v>#VALUE!</v>
      </c>
      <c r="BD325" t="e">
        <f>'Middle East'!264:264-"n/&gt;!1Sg"</f>
        <v>#VALUE!</v>
      </c>
      <c r="BE325" t="e">
        <f>'Middle East'!265:265-"n/&gt;!1Sh"</f>
        <v>#VALUE!</v>
      </c>
      <c r="BF325" t="e">
        <f>'Middle East'!266:266-"n/&gt;!1Si"</f>
        <v>#VALUE!</v>
      </c>
      <c r="BG325" t="e">
        <f>'Middle East'!267:267-"n/&gt;!1Sj"</f>
        <v>#VALUE!</v>
      </c>
      <c r="BH325" t="e">
        <f>'Middle East'!268:268-"n/&gt;!1Sk"</f>
        <v>#VALUE!</v>
      </c>
      <c r="BI325" t="e">
        <f>'Middle East'!269:269-"n/&gt;!1Sl"</f>
        <v>#VALUE!</v>
      </c>
      <c r="BJ325" t="e">
        <f>'Middle East'!270:270-"n/&gt;!1Sm"</f>
        <v>#VALUE!</v>
      </c>
      <c r="BK325" t="e">
        <f>'Middle East'!271:271-"n/&gt;!1Sn"</f>
        <v>#VALUE!</v>
      </c>
      <c r="BL325" t="e">
        <f>'Middle East'!272:272-"n/&gt;!1So"</f>
        <v>#VALUE!</v>
      </c>
      <c r="BM325" t="e">
        <f>'Middle East'!273:273-"n/&gt;!1Sp"</f>
        <v>#VALUE!</v>
      </c>
      <c r="BN325" t="e">
        <f>'Middle East'!274:274-"n/&gt;!1Sq"</f>
        <v>#VALUE!</v>
      </c>
      <c r="BO325" t="e">
        <f>'Middle East'!275:275-"n/&gt;!1Sr"</f>
        <v>#VALUE!</v>
      </c>
      <c r="BP325" t="e">
        <f>'Middle East'!276:276-"n/&gt;!1Ss"</f>
        <v>#VALUE!</v>
      </c>
      <c r="BQ325" t="e">
        <f>'Middle East'!277:277-"n/&gt;!1St"</f>
        <v>#VALUE!</v>
      </c>
      <c r="BR325" t="e">
        <f>'Middle East'!278:278-"n/&gt;!1Su"</f>
        <v>#VALUE!</v>
      </c>
      <c r="BS325" t="e">
        <f>'Middle East'!279:279-"n/&gt;!1Sv"</f>
        <v>#VALUE!</v>
      </c>
      <c r="BT325" t="e">
        <f>'Middle East'!280:280-"n/&gt;!1Sw"</f>
        <v>#VALUE!</v>
      </c>
      <c r="BU325" t="e">
        <f>'Middle East'!281:281-"n/&gt;!1Sx"</f>
        <v>#VALUE!</v>
      </c>
      <c r="BV325" t="e">
        <f>'Middle East'!282:282-"n/&gt;!1Sy"</f>
        <v>#VALUE!</v>
      </c>
      <c r="BW325" t="e">
        <f>'Middle East'!283:283-"n/&gt;!1Sz"</f>
        <v>#VALUE!</v>
      </c>
      <c r="BX325" t="e">
        <f>'Middle East'!284:284-"n/&gt;!1S{"</f>
        <v>#VALUE!</v>
      </c>
      <c r="BY325" t="e">
        <f>'Middle East'!285:285-"n/&gt;!1S|"</f>
        <v>#VALUE!</v>
      </c>
      <c r="BZ325" t="e">
        <f>'Middle East'!286:286-"n/&gt;!1S}"</f>
        <v>#VALUE!</v>
      </c>
      <c r="CA325" t="e">
        <f>'Middle East'!287:287-"n/&gt;!1S~"</f>
        <v>#VALUE!</v>
      </c>
      <c r="CB325" t="e">
        <f>'Middle East'!288:288-"n/&gt;!1T#"</f>
        <v>#VALUE!</v>
      </c>
      <c r="CC325" t="e">
        <f>'Middle East'!289:289-"n/&gt;!1T$"</f>
        <v>#VALUE!</v>
      </c>
      <c r="CD325" t="e">
        <f>'Middle East'!290:290-"n/&gt;!1T%"</f>
        <v>#VALUE!</v>
      </c>
      <c r="CE325" t="e">
        <f>'Middle East'!291:291-"n/&gt;!1T&amp;"</f>
        <v>#VALUE!</v>
      </c>
      <c r="CF325" t="e">
        <f>'Middle East'!292:292-"n/&gt;!1T'"</f>
        <v>#VALUE!</v>
      </c>
      <c r="CG325" t="e">
        <f>'Middle East'!293:293-"n/&gt;!1T("</f>
        <v>#VALUE!</v>
      </c>
      <c r="CH325" t="e">
        <f>'Middle East'!294:294-"n/&gt;!1T)"</f>
        <v>#VALUE!</v>
      </c>
      <c r="CI325" t="e">
        <f>'Middle East'!295:295-"n/&gt;!1T."</f>
        <v>#VALUE!</v>
      </c>
      <c r="CJ325" t="e">
        <f>'Middle East'!296:296-"n/&gt;!1T/"</f>
        <v>#VALUE!</v>
      </c>
      <c r="CK325" t="e">
        <f>'Middle East'!297:297-"n/&gt;!1T0"</f>
        <v>#VALUE!</v>
      </c>
      <c r="CL325" t="e">
        <f>'Middle East'!298:298-"n/&gt;!1T1"</f>
        <v>#VALUE!</v>
      </c>
      <c r="CM325" t="e">
        <f>'Middle East'!299:299-"n/&gt;!1T2"</f>
        <v>#VALUE!</v>
      </c>
      <c r="CN325" t="e">
        <f>'Middle East'!300:300-"n/&gt;!1T3"</f>
        <v>#VALUE!</v>
      </c>
      <c r="CO325" t="e">
        <f>'Middle East'!301:301-"n/&gt;!1T4"</f>
        <v>#VALUE!</v>
      </c>
      <c r="CP325" t="e">
        <f>'Middle East'!302:302-"n/&gt;!1T5"</f>
        <v>#VALUE!</v>
      </c>
      <c r="CQ325" t="e">
        <f>'Middle East'!303:303-"n/&gt;!1T6"</f>
        <v>#VALUE!</v>
      </c>
      <c r="CR325" t="e">
        <f>'Middle East'!304:304-"n/&gt;!1T7"</f>
        <v>#VALUE!</v>
      </c>
      <c r="CS325" t="e">
        <f>'Middle East'!305:305-"n/&gt;!1T8"</f>
        <v>#VALUE!</v>
      </c>
      <c r="CT325" t="e">
        <f>'Middle East'!306:306-"n/&gt;!1T9"</f>
        <v>#VALUE!</v>
      </c>
      <c r="CU325" t="e">
        <f>'Middle East'!307:307-"n/&gt;!1T:"</f>
        <v>#VALUE!</v>
      </c>
      <c r="CV325" t="e">
        <f>'Middle East'!308:308-"n/&gt;!1T;"</f>
        <v>#VALUE!</v>
      </c>
      <c r="CW325" t="e">
        <f>'Middle East'!309:309-"n/&gt;!1T&lt;"</f>
        <v>#VALUE!</v>
      </c>
      <c r="CX325" t="e">
        <f>'Middle East'!310:310-"n/&gt;!1T="</f>
        <v>#VALUE!</v>
      </c>
      <c r="CY325" t="e">
        <f>'Middle East'!311:311-"n/&gt;!1T&gt;"</f>
        <v>#VALUE!</v>
      </c>
      <c r="CZ325" t="e">
        <f>'Middle East'!312:312-"n/&gt;!1T?"</f>
        <v>#VALUE!</v>
      </c>
      <c r="DA325" t="e">
        <f>'Middle East'!313:313-"n/&gt;!1T@"</f>
        <v>#VALUE!</v>
      </c>
      <c r="DB325" t="e">
        <f>'Middle East'!314:314-"n/&gt;!1TA"</f>
        <v>#VALUE!</v>
      </c>
      <c r="DC325" t="e">
        <f>'Middle East'!315:315-"n/&gt;!1TB"</f>
        <v>#VALUE!</v>
      </c>
      <c r="DD325" t="e">
        <f>'Middle East'!316:316-"n/&gt;!1TC"</f>
        <v>#VALUE!</v>
      </c>
      <c r="DE325" t="e">
        <f>'Middle East'!317:317-"n/&gt;!1TD"</f>
        <v>#VALUE!</v>
      </c>
      <c r="DF325" t="e">
        <f>'Middle East'!318:318-"n/&gt;!1TE"</f>
        <v>#VALUE!</v>
      </c>
      <c r="DG325" t="e">
        <f>'Middle East'!319:319-"n/&gt;!1TF"</f>
        <v>#VALUE!</v>
      </c>
      <c r="DH325" t="e">
        <f>'Middle East'!320:320-"n/&gt;!1TG"</f>
        <v>#VALUE!</v>
      </c>
      <c r="DI325" t="e">
        <f>'Middle East'!321:321-"n/&gt;!1TH"</f>
        <v>#VALUE!</v>
      </c>
      <c r="DJ325" t="e">
        <f>'Middle East'!322:322-"n/&gt;!1TI"</f>
        <v>#VALUE!</v>
      </c>
      <c r="DK325" t="e">
        <f>'Middle East'!323:323-"n/&gt;!1TJ"</f>
        <v>#VALUE!</v>
      </c>
      <c r="DL325" t="e">
        <f>'Middle East'!324:324-"n/&gt;!1TK"</f>
        <v>#VALUE!</v>
      </c>
      <c r="DM325" t="e">
        <f>'Middle East'!325:325-"n/&gt;!1TL"</f>
        <v>#VALUE!</v>
      </c>
      <c r="DN325" t="e">
        <f>'Middle East'!326:326-"n/&gt;!1TM"</f>
        <v>#VALUE!</v>
      </c>
      <c r="DO325" t="e">
        <f>'Middle East'!327:327-"n/&gt;!1TN"</f>
        <v>#VALUE!</v>
      </c>
      <c r="DP325" t="e">
        <f>'Middle East'!328:328-"n/&gt;!1TO"</f>
        <v>#VALUE!</v>
      </c>
      <c r="DQ325" t="e">
        <f>'Middle East'!329:329-"n/&gt;!1TP"</f>
        <v>#VALUE!</v>
      </c>
      <c r="DR325" t="e">
        <f>'Middle East'!330:330-"n/&gt;!1TQ"</f>
        <v>#VALUE!</v>
      </c>
      <c r="DS325" t="e">
        <f>'Middle East'!331:331-"n/&gt;!1TR"</f>
        <v>#VALUE!</v>
      </c>
      <c r="DT325" t="e">
        <f>'Middle East'!332:332-"n/&gt;!1TS"</f>
        <v>#VALUE!</v>
      </c>
      <c r="DU325" t="e">
        <f>'Middle East'!333:333-"n/&gt;!1TT"</f>
        <v>#VALUE!</v>
      </c>
      <c r="DV325" t="e">
        <f>'Middle East'!334:334-"n/&gt;!1TU"</f>
        <v>#VALUE!</v>
      </c>
      <c r="DW325" t="e">
        <f>'Middle East'!335:335-"n/&gt;!1TV"</f>
        <v>#VALUE!</v>
      </c>
      <c r="DX325" t="e">
        <f>'Middle East'!336:336-"n/&gt;!1TW"</f>
        <v>#VALUE!</v>
      </c>
      <c r="DY325" t="e">
        <f>'Middle East'!337:337-"n/&gt;!1TX"</f>
        <v>#VALUE!</v>
      </c>
      <c r="DZ325" t="e">
        <f>'Middle East'!338:338-"n/&gt;!1TY"</f>
        <v>#VALUE!</v>
      </c>
      <c r="EA325" t="e">
        <f>'Middle East'!339:339-"n/&gt;!1TZ"</f>
        <v>#VALUE!</v>
      </c>
      <c r="EB325" t="e">
        <f>'Middle East'!340:340-"n/&gt;!1T["</f>
        <v>#VALUE!</v>
      </c>
      <c r="EC325" t="e">
        <f>'Middle East'!341:341-"n/&gt;!1T\"</f>
        <v>#VALUE!</v>
      </c>
      <c r="ED325" t="e">
        <f>'Middle East'!342:342-"n/&gt;!1T]"</f>
        <v>#VALUE!</v>
      </c>
      <c r="EE325" t="e">
        <f>'Middle East'!343:343-"n/&gt;!1T^"</f>
        <v>#VALUE!</v>
      </c>
      <c r="EF325" t="e">
        <f>'Middle East'!344:344-"n/&gt;!1T_"</f>
        <v>#VALUE!</v>
      </c>
      <c r="EG325" t="e">
        <f>'Middle East'!345:345-"n/&gt;!1T`"</f>
        <v>#VALUE!</v>
      </c>
      <c r="EH325" t="e">
        <f>'Middle East'!346:346-"n/&gt;!1Ta"</f>
        <v>#VALUE!</v>
      </c>
      <c r="EI325" t="e">
        <f>'Middle East'!347:347-"n/&gt;!1Tb"</f>
        <v>#VALUE!</v>
      </c>
      <c r="EJ325" t="e">
        <f>'Middle East'!348:348-"n/&gt;!1Tc"</f>
        <v>#VALUE!</v>
      </c>
      <c r="EK325" t="e">
        <f>'Middle East'!349:349-"n/&gt;!1Td"</f>
        <v>#VALUE!</v>
      </c>
      <c r="EL325" t="e">
        <f>'Middle East'!350:350-"n/&gt;!1Te"</f>
        <v>#VALUE!</v>
      </c>
      <c r="EM325" t="e">
        <f>'Middle East'!351:351-"n/&gt;!1Tf"</f>
        <v>#VALUE!</v>
      </c>
      <c r="EN325" t="e">
        <f>'Middle East'!352:352-"n/&gt;!1Tg"</f>
        <v>#VALUE!</v>
      </c>
      <c r="EO325" t="e">
        <f>'Middle East'!353:353-"n/&gt;!1Th"</f>
        <v>#VALUE!</v>
      </c>
      <c r="EP325" t="e">
        <f>'Middle East'!354:354-"n/&gt;!1Ti"</f>
        <v>#VALUE!</v>
      </c>
      <c r="EQ325" t="e">
        <f>'Middle East'!355:355-"n/&gt;!1Tj"</f>
        <v>#VALUE!</v>
      </c>
      <c r="ER325" t="e">
        <f>'Middle East'!356:356-"n/&gt;!1Tk"</f>
        <v>#VALUE!</v>
      </c>
      <c r="ES325" t="e">
        <f>'Middle East'!357:357-"n/&gt;!1Tl"</f>
        <v>#VALUE!</v>
      </c>
      <c r="ET325" t="e">
        <f>'Middle East'!358:358-"n/&gt;!1Tm"</f>
        <v>#VALUE!</v>
      </c>
      <c r="EU325" t="e">
        <f>'Middle East'!359:359-"n/&gt;!1Tn"</f>
        <v>#VALUE!</v>
      </c>
      <c r="EV325" t="e">
        <f>'Middle East'!360:360-"n/&gt;!1To"</f>
        <v>#VALUE!</v>
      </c>
      <c r="EW325" t="e">
        <f>'Middle East'!361:361-"n/&gt;!1Tp"</f>
        <v>#VALUE!</v>
      </c>
      <c r="EX325" t="e">
        <f>'Middle East'!362:362-"n/&gt;!1Tq"</f>
        <v>#VALUE!</v>
      </c>
      <c r="EY325" t="e">
        <f>'Middle East'!363:363-"n/&gt;!1Tr"</f>
        <v>#VALUE!</v>
      </c>
      <c r="EZ325" t="e">
        <f>'Middle East'!364:364-"n/&gt;!1Ts"</f>
        <v>#VALUE!</v>
      </c>
      <c r="FA325" t="e">
        <f>'Middle East'!365:365-"n/&gt;!1Tt"</f>
        <v>#VALUE!</v>
      </c>
      <c r="FB325" t="e">
        <f>'Middle East'!366:366-"n/&gt;!1Tu"</f>
        <v>#VALUE!</v>
      </c>
      <c r="FC325" t="e">
        <f>'Middle East'!367:367-"n/&gt;!1Tv"</f>
        <v>#VALUE!</v>
      </c>
      <c r="FD325" t="e">
        <f>'Middle East'!368:368-"n/&gt;!1Tw"</f>
        <v>#VALUE!</v>
      </c>
      <c r="FE325" t="e">
        <f>'Middle East'!369:369-"n/&gt;!1Tx"</f>
        <v>#VALUE!</v>
      </c>
      <c r="FF325" t="e">
        <f>'Middle East'!370:370-"n/&gt;!1Ty"</f>
        <v>#VALUE!</v>
      </c>
      <c r="FG325" t="e">
        <f>'Middle East'!371:371-"n/&gt;!1Tz"</f>
        <v>#VALUE!</v>
      </c>
      <c r="FH325" t="e">
        <f>'Middle East'!372:372-"n/&gt;!1T{"</f>
        <v>#VALUE!</v>
      </c>
      <c r="FI325" t="e">
        <f>'Middle East'!373:373-"n/&gt;!1T|"</f>
        <v>#VALUE!</v>
      </c>
      <c r="FJ325" t="e">
        <f>'Middle East'!374:374-"n/&gt;!1T}"</f>
        <v>#VALUE!</v>
      </c>
      <c r="FK325" t="e">
        <f>'Middle East'!375:375-"n/&gt;!1T~"</f>
        <v>#VALUE!</v>
      </c>
      <c r="FL325" t="e">
        <f>'Middle East'!376:376-"n/&gt;!1U#"</f>
        <v>#VALUE!</v>
      </c>
      <c r="FM325" t="e">
        <f>'Middle East'!377:377-"n/&gt;!1U$"</f>
        <v>#VALUE!</v>
      </c>
      <c r="FN325" t="e">
        <f>'Middle East'!378:378-"n/&gt;!1U%"</f>
        <v>#VALUE!</v>
      </c>
      <c r="FO325" t="e">
        <f>'Middle East'!379:379-"n/&gt;!1U&amp;"</f>
        <v>#VALUE!</v>
      </c>
      <c r="FP325" t="e">
        <f>'Middle East'!380:380-"n/&gt;!1U'"</f>
        <v>#VALUE!</v>
      </c>
      <c r="FQ325" t="e">
        <f>'Middle East'!381:381-"n/&gt;!1U("</f>
        <v>#VALUE!</v>
      </c>
      <c r="FR325" t="e">
        <f>'Middle East'!382:382-"n/&gt;!1U)"</f>
        <v>#VALUE!</v>
      </c>
      <c r="FS325" t="e">
        <f>'Middle East'!383:383-"n/&gt;!1U."</f>
        <v>#VALUE!</v>
      </c>
      <c r="FT325" t="e">
        <f>'Middle East'!384:384-"n/&gt;!1U/"</f>
        <v>#VALUE!</v>
      </c>
      <c r="FU325" t="e">
        <f>'Middle East'!385:385-"n/&gt;!1U0"</f>
        <v>#VALUE!</v>
      </c>
      <c r="FV325" t="e">
        <f>'Middle East'!386:386-"n/&gt;!1U1"</f>
        <v>#VALUE!</v>
      </c>
      <c r="FW325" t="e">
        <f>'Middle East'!387:387-"n/&gt;!1U2"</f>
        <v>#VALUE!</v>
      </c>
      <c r="FX325" t="e">
        <f>'Middle East'!388:388-"n/&gt;!1U3"</f>
        <v>#VALUE!</v>
      </c>
      <c r="FY325" t="e">
        <f>'Middle East'!389:389-"n/&gt;!1U4"</f>
        <v>#VALUE!</v>
      </c>
      <c r="FZ325" t="e">
        <f>'Middle East'!390:390-"n/&gt;!1U5"</f>
        <v>#VALUE!</v>
      </c>
      <c r="GA325" t="e">
        <f>'Middle East'!391:391-"n/&gt;!1U6"</f>
        <v>#VALUE!</v>
      </c>
      <c r="GB325" t="e">
        <f>'Middle East'!392:392-"n/&gt;!1U7"</f>
        <v>#VALUE!</v>
      </c>
      <c r="GC325" t="e">
        <f>'Middle East'!393:393-"n/&gt;!1U8"</f>
        <v>#VALUE!</v>
      </c>
      <c r="GD325" t="e">
        <f>'Middle East'!394:394-"n/&gt;!1U9"</f>
        <v>#VALUE!</v>
      </c>
      <c r="GE325" t="e">
        <f>'Middle East'!395:395-"n/&gt;!1U:"</f>
        <v>#VALUE!</v>
      </c>
      <c r="GF325" t="e">
        <f>'Middle East'!396:396-"n/&gt;!1U;"</f>
        <v>#VALUE!</v>
      </c>
      <c r="GG325" t="e">
        <f>'Middle East'!397:397-"n/&gt;!1U&lt;"</f>
        <v>#VALUE!</v>
      </c>
      <c r="GH325" t="e">
        <f>'Middle East'!398:398-"n/&gt;!1U="</f>
        <v>#VALUE!</v>
      </c>
      <c r="GI325" t="e">
        <f>'Middle East'!399:399-"n/&gt;!1U&gt;"</f>
        <v>#VALUE!</v>
      </c>
      <c r="GJ325" t="e">
        <f>'Middle East'!400:400-"n/&gt;!1U?"</f>
        <v>#VALUE!</v>
      </c>
      <c r="GK325" t="e">
        <f>'Middle East'!401:401-"n/&gt;!1U@"</f>
        <v>#VALUE!</v>
      </c>
      <c r="GL325" t="e">
        <f>'North America'!A1+"n/&gt;!1UA"</f>
        <v>#VALUE!</v>
      </c>
      <c r="GM325" t="e">
        <f>'North America'!B1+"n/&gt;!1UB"</f>
        <v>#VALUE!</v>
      </c>
      <c r="GN325" t="e">
        <f>'North America'!C1+"n/&gt;!1UC"</f>
        <v>#VALUE!</v>
      </c>
      <c r="GO325" t="e">
        <f>'North America'!D1+"n/&gt;!1UD"</f>
        <v>#VALUE!</v>
      </c>
      <c r="GP325" t="e">
        <f>'North America'!E1+"n/&gt;!1UE"</f>
        <v>#VALUE!</v>
      </c>
      <c r="GQ325" t="e">
        <f>'North America'!F1+"n/&gt;!1UF"</f>
        <v>#VALUE!</v>
      </c>
      <c r="GR325" t="e">
        <f>'North America'!G1+"n/&gt;!1UG"</f>
        <v>#VALUE!</v>
      </c>
      <c r="GS325" t="e">
        <f>'North America'!H1+"n/&gt;!1UH"</f>
        <v>#VALUE!</v>
      </c>
      <c r="GT325" t="e">
        <f>'North America'!I1+"n/&gt;!1UI"</f>
        <v>#VALUE!</v>
      </c>
      <c r="GU325" t="e">
        <f>'North America'!A2+"n/&gt;!1UJ"</f>
        <v>#VALUE!</v>
      </c>
      <c r="GV325" t="e">
        <f>'North America'!B2+"n/&gt;!1UK"</f>
        <v>#VALUE!</v>
      </c>
      <c r="GW325" t="e">
        <f>'North America'!C2+"n/&gt;!1UL"</f>
        <v>#VALUE!</v>
      </c>
      <c r="GX325" t="e">
        <f>'North America'!D2+"n/&gt;!1UM"</f>
        <v>#VALUE!</v>
      </c>
      <c r="GY325" t="e">
        <f>'North America'!E2+"n/&gt;!1UN"</f>
        <v>#VALUE!</v>
      </c>
      <c r="GZ325" t="e">
        <f>'North America'!F2+"n/&gt;!1UO"</f>
        <v>#VALUE!</v>
      </c>
      <c r="HA325" t="e">
        <f>'North America'!G2+"n/&gt;!1UP"</f>
        <v>#VALUE!</v>
      </c>
      <c r="HB325" t="e">
        <f>'North America'!H2+"n/&gt;!1UQ"</f>
        <v>#VALUE!</v>
      </c>
      <c r="HC325" t="e">
        <f>'North America'!I2+"n/&gt;!1UR"</f>
        <v>#VALUE!</v>
      </c>
      <c r="HD325" t="e">
        <f>'North America'!A3+"n/&gt;!1US"</f>
        <v>#VALUE!</v>
      </c>
      <c r="HE325" t="e">
        <f>'North America'!B3+"n/&gt;!1UT"</f>
        <v>#VALUE!</v>
      </c>
      <c r="HF325" t="e">
        <f>'North America'!C3+"n/&gt;!1UU"</f>
        <v>#VALUE!</v>
      </c>
      <c r="HG325" t="e">
        <f>'North America'!D3+"n/&gt;!1UV"</f>
        <v>#VALUE!</v>
      </c>
      <c r="HH325" t="e">
        <f>'North America'!E3+"n/&gt;!1UW"</f>
        <v>#VALUE!</v>
      </c>
      <c r="HI325" t="e">
        <f>'North America'!F3+"n/&gt;!1UX"</f>
        <v>#VALUE!</v>
      </c>
      <c r="HJ325" t="e">
        <f>'North America'!G3+"n/&gt;!1UY"</f>
        <v>#VALUE!</v>
      </c>
      <c r="HK325" t="e">
        <f>'North America'!H3+"n/&gt;!1UZ"</f>
        <v>#VALUE!</v>
      </c>
      <c r="HL325" t="e">
        <f>'North America'!I3+"n/&gt;!1U["</f>
        <v>#VALUE!</v>
      </c>
      <c r="HM325" t="e">
        <f>'North America'!A4+"n/&gt;!1U\"</f>
        <v>#VALUE!</v>
      </c>
      <c r="HN325" t="e">
        <f>'North America'!B4+"n/&gt;!1U]"</f>
        <v>#VALUE!</v>
      </c>
      <c r="HO325" t="e">
        <f>'North America'!C4+"n/&gt;!1U^"</f>
        <v>#VALUE!</v>
      </c>
      <c r="HP325" t="e">
        <f>'North America'!D4+"n/&gt;!1U_"</f>
        <v>#VALUE!</v>
      </c>
      <c r="HQ325" t="e">
        <f>'North America'!E4+"n/&gt;!1U`"</f>
        <v>#VALUE!</v>
      </c>
      <c r="HR325" t="e">
        <f>'North America'!F4+"n/&gt;!1Ua"</f>
        <v>#VALUE!</v>
      </c>
      <c r="HS325" t="e">
        <f>'North America'!G4+"n/&gt;!1Ub"</f>
        <v>#VALUE!</v>
      </c>
      <c r="HT325" t="e">
        <f>'North America'!H4+"n/&gt;!1Uc"</f>
        <v>#VALUE!</v>
      </c>
      <c r="HU325" t="e">
        <f>'North America'!I4+"n/&gt;!1Ud"</f>
        <v>#VALUE!</v>
      </c>
      <c r="HV325" t="e">
        <f>'North America'!A5+"n/&gt;!1Ue"</f>
        <v>#VALUE!</v>
      </c>
      <c r="HW325" t="e">
        <f>'North America'!B5+"n/&gt;!1Uf"</f>
        <v>#VALUE!</v>
      </c>
      <c r="HX325" t="e">
        <f>'North America'!C5+"n/&gt;!1Ug"</f>
        <v>#VALUE!</v>
      </c>
      <c r="HY325" t="e">
        <f>'North America'!D5+"n/&gt;!1Uh"</f>
        <v>#VALUE!</v>
      </c>
      <c r="HZ325" t="e">
        <f>'North America'!E5+"n/&gt;!1Ui"</f>
        <v>#VALUE!</v>
      </c>
      <c r="IA325" t="e">
        <f>'North America'!F5+"n/&gt;!1Uj"</f>
        <v>#VALUE!</v>
      </c>
      <c r="IB325" t="e">
        <f>'North America'!G5+"n/&gt;!1Uk"</f>
        <v>#VALUE!</v>
      </c>
      <c r="IC325" t="e">
        <f>'North America'!H5+"n/&gt;!1Ul"</f>
        <v>#VALUE!</v>
      </c>
      <c r="ID325" t="e">
        <f>'North America'!I5+"n/&gt;!1Um"</f>
        <v>#VALUE!</v>
      </c>
      <c r="IE325" t="e">
        <f>'North America'!A6+"n/&gt;!1Un"</f>
        <v>#VALUE!</v>
      </c>
      <c r="IF325" t="e">
        <f>'North America'!B6+"n/&gt;!1Uo"</f>
        <v>#VALUE!</v>
      </c>
      <c r="IG325" t="e">
        <f>'North America'!C6+"n/&gt;!1Up"</f>
        <v>#VALUE!</v>
      </c>
      <c r="IH325" t="e">
        <f>'North America'!D6+"n/&gt;!1Uq"</f>
        <v>#VALUE!</v>
      </c>
      <c r="II325" t="e">
        <f>'North America'!E6+"n/&gt;!1Ur"</f>
        <v>#VALUE!</v>
      </c>
      <c r="IJ325" t="e">
        <f>'North America'!F6+"n/&gt;!1Us"</f>
        <v>#VALUE!</v>
      </c>
      <c r="IK325" t="e">
        <f>'North America'!G6+"n/&gt;!1Ut"</f>
        <v>#VALUE!</v>
      </c>
      <c r="IL325" t="e">
        <f>'North America'!H6+"n/&gt;!1Uu"</f>
        <v>#VALUE!</v>
      </c>
      <c r="IM325" t="e">
        <f>'North America'!I6+"n/&gt;!1Uv"</f>
        <v>#VALUE!</v>
      </c>
      <c r="IN325" t="e">
        <f>'North America'!A7+"n/&gt;!1Uw"</f>
        <v>#VALUE!</v>
      </c>
      <c r="IO325" t="e">
        <f>'North America'!B7+"n/&gt;!1Ux"</f>
        <v>#VALUE!</v>
      </c>
      <c r="IP325" t="e">
        <f>'North America'!C7+"n/&gt;!1Uy"</f>
        <v>#VALUE!</v>
      </c>
      <c r="IQ325" t="e">
        <f>'North America'!D7+"n/&gt;!1Uz"</f>
        <v>#VALUE!</v>
      </c>
      <c r="IR325" t="e">
        <f>'North America'!E7+"n/&gt;!1U{"</f>
        <v>#VALUE!</v>
      </c>
      <c r="IS325" t="e">
        <f>'North America'!F7+"n/&gt;!1U|"</f>
        <v>#VALUE!</v>
      </c>
      <c r="IT325" t="e">
        <f>'North America'!G7+"n/&gt;!1U}"</f>
        <v>#VALUE!</v>
      </c>
      <c r="IU325" t="e">
        <f>'North America'!H7+"n/&gt;!1U~"</f>
        <v>#VALUE!</v>
      </c>
      <c r="IV325" t="e">
        <f>'North America'!I7+"n/&gt;!1V#"</f>
        <v>#VALUE!</v>
      </c>
    </row>
    <row r="326" spans="6:256" x14ac:dyDescent="0.35">
      <c r="F326" t="e">
        <f>'North America'!A8+"n/&gt;!1V$"</f>
        <v>#VALUE!</v>
      </c>
      <c r="G326" t="e">
        <f>'North America'!B8+"n/&gt;!1V%"</f>
        <v>#VALUE!</v>
      </c>
      <c r="H326" t="e">
        <f>'North America'!C8+"n/&gt;!1V&amp;"</f>
        <v>#VALUE!</v>
      </c>
      <c r="I326" t="e">
        <f>'North America'!D8+"n/&gt;!1V'"</f>
        <v>#VALUE!</v>
      </c>
      <c r="J326" t="e">
        <f>'North America'!E8+"n/&gt;!1V("</f>
        <v>#VALUE!</v>
      </c>
      <c r="K326" t="e">
        <f>'North America'!F8+"n/&gt;!1V)"</f>
        <v>#VALUE!</v>
      </c>
      <c r="L326" t="e">
        <f>'North America'!G8+"n/&gt;!1V."</f>
        <v>#VALUE!</v>
      </c>
      <c r="M326" t="e">
        <f>'North America'!H8+"n/&gt;!1V/"</f>
        <v>#VALUE!</v>
      </c>
      <c r="N326" t="e">
        <f>'North America'!I8+"n/&gt;!1V0"</f>
        <v>#VALUE!</v>
      </c>
      <c r="O326" t="e">
        <f>'North America'!A9+"n/&gt;!1V1"</f>
        <v>#VALUE!</v>
      </c>
      <c r="P326" t="e">
        <f>'North America'!B9+"n/&gt;!1V2"</f>
        <v>#VALUE!</v>
      </c>
      <c r="Q326" t="e">
        <f>'North America'!C9+"n/&gt;!1V3"</f>
        <v>#VALUE!</v>
      </c>
      <c r="R326" t="e">
        <f>'North America'!D9+"n/&gt;!1V4"</f>
        <v>#VALUE!</v>
      </c>
      <c r="S326" t="e">
        <f>'North America'!E9+"n/&gt;!1V5"</f>
        <v>#VALUE!</v>
      </c>
      <c r="T326" t="e">
        <f>'North America'!F9+"n/&gt;!1V6"</f>
        <v>#VALUE!</v>
      </c>
      <c r="U326" t="e">
        <f>'North America'!G9+"n/&gt;!1V7"</f>
        <v>#VALUE!</v>
      </c>
      <c r="V326" t="e">
        <f>'North America'!H9+"n/&gt;!1V8"</f>
        <v>#VALUE!</v>
      </c>
      <c r="W326" t="e">
        <f>'North America'!I9+"n/&gt;!1V9"</f>
        <v>#VALUE!</v>
      </c>
      <c r="X326" t="e">
        <f>'North America'!A10+"n/&gt;!1V:"</f>
        <v>#VALUE!</v>
      </c>
      <c r="Y326" t="e">
        <f>'North America'!B10+"n/&gt;!1V;"</f>
        <v>#VALUE!</v>
      </c>
      <c r="Z326" t="e">
        <f>'North America'!C10+"n/&gt;!1V&lt;"</f>
        <v>#VALUE!</v>
      </c>
      <c r="AA326" t="e">
        <f>'North America'!D10+"n/&gt;!1V="</f>
        <v>#VALUE!</v>
      </c>
      <c r="AB326" t="e">
        <f>'North America'!E10+"n/&gt;!1V&gt;"</f>
        <v>#VALUE!</v>
      </c>
      <c r="AC326" t="e">
        <f>'North America'!F10+"n/&gt;!1V?"</f>
        <v>#VALUE!</v>
      </c>
      <c r="AD326" t="e">
        <f>'North America'!G10+"n/&gt;!1V@"</f>
        <v>#VALUE!</v>
      </c>
      <c r="AE326" t="e">
        <f>'North America'!H10+"n/&gt;!1VA"</f>
        <v>#VALUE!</v>
      </c>
      <c r="AF326" t="e">
        <f>'North America'!I10+"n/&gt;!1VB"</f>
        <v>#VALUE!</v>
      </c>
      <c r="AG326" t="e">
        <f>'North America'!A11+"n/&gt;!1VC"</f>
        <v>#VALUE!</v>
      </c>
      <c r="AH326" t="e">
        <f>'North America'!B11+"n/&gt;!1VD"</f>
        <v>#VALUE!</v>
      </c>
      <c r="AI326" t="e">
        <f>'North America'!C11+"n/&gt;!1VE"</f>
        <v>#VALUE!</v>
      </c>
      <c r="AJ326" t="e">
        <f>'North America'!D11+"n/&gt;!1VF"</f>
        <v>#VALUE!</v>
      </c>
      <c r="AK326" t="e">
        <f>'North America'!E11+"n/&gt;!1VG"</f>
        <v>#VALUE!</v>
      </c>
      <c r="AL326" t="e">
        <f>'North America'!F11+"n/&gt;!1VH"</f>
        <v>#VALUE!</v>
      </c>
      <c r="AM326" t="e">
        <f>'North America'!G11+"n/&gt;!1VI"</f>
        <v>#VALUE!</v>
      </c>
      <c r="AN326" t="e">
        <f>'North America'!H11+"n/&gt;!1VJ"</f>
        <v>#VALUE!</v>
      </c>
      <c r="AO326" t="e">
        <f>'North America'!I11+"n/&gt;!1VK"</f>
        <v>#VALUE!</v>
      </c>
      <c r="AP326" t="e">
        <f>'North America'!A12+"n/&gt;!1VL"</f>
        <v>#VALUE!</v>
      </c>
      <c r="AQ326" t="e">
        <f>'North America'!B12+"n/&gt;!1VM"</f>
        <v>#VALUE!</v>
      </c>
      <c r="AR326" t="e">
        <f>'North America'!C12+"n/&gt;!1VN"</f>
        <v>#VALUE!</v>
      </c>
      <c r="AS326" t="e">
        <f>'North America'!D12+"n/&gt;!1VO"</f>
        <v>#VALUE!</v>
      </c>
      <c r="AT326" t="e">
        <f>'North America'!E12+"n/&gt;!1VP"</f>
        <v>#VALUE!</v>
      </c>
      <c r="AU326" t="e">
        <f>'North America'!F12+"n/&gt;!1VQ"</f>
        <v>#VALUE!</v>
      </c>
      <c r="AV326" t="e">
        <f>'North America'!G12+"n/&gt;!1VR"</f>
        <v>#VALUE!</v>
      </c>
      <c r="AW326" t="e">
        <f>'North America'!H12+"n/&gt;!1VS"</f>
        <v>#VALUE!</v>
      </c>
      <c r="AX326" t="e">
        <f>'North America'!I12+"n/&gt;!1VT"</f>
        <v>#VALUE!</v>
      </c>
      <c r="AY326" t="e">
        <f>'North America'!A13+"n/&gt;!1VU"</f>
        <v>#VALUE!</v>
      </c>
      <c r="AZ326" t="e">
        <f>'North America'!B13+"n/&gt;!1VV"</f>
        <v>#VALUE!</v>
      </c>
      <c r="BA326" t="e">
        <f>'North America'!C13+"n/&gt;!1VW"</f>
        <v>#VALUE!</v>
      </c>
      <c r="BB326" t="e">
        <f>'North America'!D13+"n/&gt;!1VX"</f>
        <v>#VALUE!</v>
      </c>
      <c r="BC326" t="e">
        <f>'North America'!E13+"n/&gt;!1VY"</f>
        <v>#VALUE!</v>
      </c>
      <c r="BD326" t="e">
        <f>'North America'!F13+"n/&gt;!1VZ"</f>
        <v>#VALUE!</v>
      </c>
      <c r="BE326" t="e">
        <f>'North America'!G13+"n/&gt;!1V["</f>
        <v>#VALUE!</v>
      </c>
      <c r="BF326" t="e">
        <f>'North America'!H13+"n/&gt;!1V\"</f>
        <v>#VALUE!</v>
      </c>
      <c r="BG326" t="e">
        <f>'North America'!I13+"n/&gt;!1V]"</f>
        <v>#VALUE!</v>
      </c>
      <c r="BH326" t="e">
        <f>'North America'!A14+"n/&gt;!1V^"</f>
        <v>#VALUE!</v>
      </c>
      <c r="BI326" t="e">
        <f>'North America'!B14+"n/&gt;!1V_"</f>
        <v>#VALUE!</v>
      </c>
      <c r="BJ326" t="e">
        <f>'North America'!C14+"n/&gt;!1V`"</f>
        <v>#VALUE!</v>
      </c>
      <c r="BK326" t="e">
        <f>'North America'!D14+"n/&gt;!1Va"</f>
        <v>#VALUE!</v>
      </c>
      <c r="BL326" t="e">
        <f>'North America'!E14+"n/&gt;!1Vb"</f>
        <v>#VALUE!</v>
      </c>
      <c r="BM326" t="e">
        <f>'North America'!F14+"n/&gt;!1Vc"</f>
        <v>#VALUE!</v>
      </c>
      <c r="BN326" t="e">
        <f>'North America'!G14+"n/&gt;!1Vd"</f>
        <v>#VALUE!</v>
      </c>
      <c r="BO326" t="e">
        <f>'North America'!H14+"n/&gt;!1Ve"</f>
        <v>#VALUE!</v>
      </c>
      <c r="BP326" t="e">
        <f>'North America'!I14+"n/&gt;!1Vf"</f>
        <v>#VALUE!</v>
      </c>
      <c r="BQ326" t="e">
        <f>'North America'!A15+"n/&gt;!1Vg"</f>
        <v>#VALUE!</v>
      </c>
      <c r="BR326" t="e">
        <f>'North America'!B15+"n/&gt;!1Vh"</f>
        <v>#VALUE!</v>
      </c>
      <c r="BS326" t="e">
        <f>'North America'!C15+"n/&gt;!1Vi"</f>
        <v>#VALUE!</v>
      </c>
      <c r="BT326" t="e">
        <f>'North America'!D15+"n/&gt;!1Vj"</f>
        <v>#VALUE!</v>
      </c>
      <c r="BU326" t="e">
        <f>'North America'!E15+"n/&gt;!1Vk"</f>
        <v>#VALUE!</v>
      </c>
      <c r="BV326" t="e">
        <f>'North America'!F15+"n/&gt;!1Vl"</f>
        <v>#VALUE!</v>
      </c>
      <c r="BW326" t="e">
        <f>'North America'!G15+"n/&gt;!1Vm"</f>
        <v>#VALUE!</v>
      </c>
      <c r="BX326" t="e">
        <f>'North America'!H15+"n/&gt;!1Vn"</f>
        <v>#VALUE!</v>
      </c>
      <c r="BY326" t="e">
        <f>'North America'!I15+"n/&gt;!1Vo"</f>
        <v>#VALUE!</v>
      </c>
      <c r="BZ326" t="e">
        <f>'North America'!A16+"n/&gt;!1Vp"</f>
        <v>#VALUE!</v>
      </c>
      <c r="CA326" t="e">
        <f>'North America'!B16+"n/&gt;!1Vq"</f>
        <v>#VALUE!</v>
      </c>
      <c r="CB326" t="e">
        <f>'North America'!C16+"n/&gt;!1Vr"</f>
        <v>#VALUE!</v>
      </c>
      <c r="CC326" t="e">
        <f>'North America'!D16+"n/&gt;!1Vs"</f>
        <v>#VALUE!</v>
      </c>
      <c r="CD326" t="e">
        <f>'North America'!E16+"n/&gt;!1Vt"</f>
        <v>#VALUE!</v>
      </c>
      <c r="CE326" t="e">
        <f>'North America'!F16+"n/&gt;!1Vu"</f>
        <v>#VALUE!</v>
      </c>
      <c r="CF326" t="e">
        <f>'North America'!G16+"n/&gt;!1Vv"</f>
        <v>#VALUE!</v>
      </c>
      <c r="CG326" t="e">
        <f>'North America'!H16+"n/&gt;!1Vw"</f>
        <v>#VALUE!</v>
      </c>
      <c r="CH326" t="e">
        <f>'North America'!I16+"n/&gt;!1Vx"</f>
        <v>#VALUE!</v>
      </c>
      <c r="CI326" t="e">
        <f>'North America'!A17+"n/&gt;!1Vy"</f>
        <v>#VALUE!</v>
      </c>
      <c r="CJ326" t="e">
        <f>'North America'!B17+"n/&gt;!1Vz"</f>
        <v>#VALUE!</v>
      </c>
      <c r="CK326" t="e">
        <f>'North America'!C17+"n/&gt;!1V{"</f>
        <v>#VALUE!</v>
      </c>
      <c r="CL326" t="e">
        <f>'North America'!D17+"n/&gt;!1V|"</f>
        <v>#VALUE!</v>
      </c>
      <c r="CM326" t="e">
        <f>'North America'!E17+"n/&gt;!1V}"</f>
        <v>#VALUE!</v>
      </c>
      <c r="CN326" t="e">
        <f>'North America'!F17+"n/&gt;!1V~"</f>
        <v>#VALUE!</v>
      </c>
      <c r="CO326" t="e">
        <f>'North America'!G17+"n/&gt;!1W#"</f>
        <v>#VALUE!</v>
      </c>
      <c r="CP326" t="e">
        <f>'North America'!H17+"n/&gt;!1W$"</f>
        <v>#VALUE!</v>
      </c>
      <c r="CQ326" t="e">
        <f>'North America'!I17+"n/&gt;!1W%"</f>
        <v>#VALUE!</v>
      </c>
      <c r="CR326" t="e">
        <f>'North America'!A18+"n/&gt;!1W&amp;"</f>
        <v>#VALUE!</v>
      </c>
      <c r="CS326" t="e">
        <f>'North America'!B18+"n/&gt;!1W'"</f>
        <v>#VALUE!</v>
      </c>
      <c r="CT326" t="e">
        <f>'North America'!C18+"n/&gt;!1W("</f>
        <v>#VALUE!</v>
      </c>
      <c r="CU326" t="e">
        <f>'North America'!D18+"n/&gt;!1W)"</f>
        <v>#VALUE!</v>
      </c>
      <c r="CV326" t="e">
        <f>'North America'!E18+"n/&gt;!1W."</f>
        <v>#VALUE!</v>
      </c>
      <c r="CW326" t="e">
        <f>'North America'!F18+"n/&gt;!1W/"</f>
        <v>#VALUE!</v>
      </c>
      <c r="CX326" t="e">
        <f>'North America'!G18+"n/&gt;!1W0"</f>
        <v>#VALUE!</v>
      </c>
      <c r="CY326" t="e">
        <f>'North America'!H18+"n/&gt;!1W1"</f>
        <v>#VALUE!</v>
      </c>
      <c r="CZ326" t="e">
        <f>'North America'!I18+"n/&gt;!1W2"</f>
        <v>#VALUE!</v>
      </c>
      <c r="DA326" t="e">
        <f>'North America'!A19+"n/&gt;!1W3"</f>
        <v>#VALUE!</v>
      </c>
      <c r="DB326" t="e">
        <f>'North America'!B19+"n/&gt;!1W4"</f>
        <v>#VALUE!</v>
      </c>
      <c r="DC326" t="e">
        <f>'North America'!C19+"n/&gt;!1W5"</f>
        <v>#VALUE!</v>
      </c>
      <c r="DD326" t="e">
        <f>'North America'!D19+"n/&gt;!1W6"</f>
        <v>#VALUE!</v>
      </c>
      <c r="DE326" t="e">
        <f>'North America'!E19+"n/&gt;!1W7"</f>
        <v>#VALUE!</v>
      </c>
      <c r="DF326" t="e">
        <f>'North America'!F19+"n/&gt;!1W8"</f>
        <v>#VALUE!</v>
      </c>
      <c r="DG326" t="e">
        <f>'North America'!G19+"n/&gt;!1W9"</f>
        <v>#VALUE!</v>
      </c>
      <c r="DH326" t="e">
        <f>'North America'!H19+"n/&gt;!1W:"</f>
        <v>#VALUE!</v>
      </c>
      <c r="DI326" t="e">
        <f>'North America'!I19+"n/&gt;!1W;"</f>
        <v>#VALUE!</v>
      </c>
      <c r="DJ326" t="e">
        <f>'North America'!A20+"n/&gt;!1W&lt;"</f>
        <v>#VALUE!</v>
      </c>
      <c r="DK326" t="e">
        <f>'North America'!B20+"n/&gt;!1W="</f>
        <v>#VALUE!</v>
      </c>
      <c r="DL326" t="e">
        <f>'North America'!C20+"n/&gt;!1W&gt;"</f>
        <v>#VALUE!</v>
      </c>
      <c r="DM326" t="e">
        <f>'North America'!D20+"n/&gt;!1W?"</f>
        <v>#VALUE!</v>
      </c>
      <c r="DN326" t="e">
        <f>'North America'!E20+"n/&gt;!1W@"</f>
        <v>#VALUE!</v>
      </c>
      <c r="DO326" t="e">
        <f>'North America'!F20+"n/&gt;!1WA"</f>
        <v>#VALUE!</v>
      </c>
      <c r="DP326" t="e">
        <f>'North America'!G20+"n/&gt;!1WB"</f>
        <v>#VALUE!</v>
      </c>
      <c r="DQ326" t="e">
        <f>'North America'!H20+"n/&gt;!1WC"</f>
        <v>#VALUE!</v>
      </c>
      <c r="DR326" t="e">
        <f>'North America'!I20+"n/&gt;!1WD"</f>
        <v>#VALUE!</v>
      </c>
      <c r="DS326" t="e">
        <f>'North America'!A21+"n/&gt;!1WE"</f>
        <v>#VALUE!</v>
      </c>
      <c r="DT326" t="e">
        <f>'North America'!B21+"n/&gt;!1WF"</f>
        <v>#VALUE!</v>
      </c>
      <c r="DU326" t="e">
        <f>'North America'!C21+"n/&gt;!1WG"</f>
        <v>#VALUE!</v>
      </c>
      <c r="DV326" t="e">
        <f>'North America'!D21+"n/&gt;!1WH"</f>
        <v>#VALUE!</v>
      </c>
      <c r="DW326" t="e">
        <f>'North America'!E21+"n/&gt;!1WI"</f>
        <v>#VALUE!</v>
      </c>
      <c r="DX326" t="e">
        <f>'North America'!F21+"n/&gt;!1WJ"</f>
        <v>#VALUE!</v>
      </c>
      <c r="DY326" t="e">
        <f>'North America'!G21+"n/&gt;!1WK"</f>
        <v>#VALUE!</v>
      </c>
      <c r="DZ326" t="e">
        <f>'North America'!H21+"n/&gt;!1WL"</f>
        <v>#VALUE!</v>
      </c>
      <c r="EA326" t="e">
        <f>'North America'!I21+"n/&gt;!1WM"</f>
        <v>#VALUE!</v>
      </c>
      <c r="EB326" t="e">
        <f>'North America'!A22+"n/&gt;!1WN"</f>
        <v>#VALUE!</v>
      </c>
      <c r="EC326" t="e">
        <f>'North America'!B22+"n/&gt;!1WO"</f>
        <v>#VALUE!</v>
      </c>
      <c r="ED326" t="e">
        <f>'North America'!C22+"n/&gt;!1WP"</f>
        <v>#VALUE!</v>
      </c>
      <c r="EE326" t="e">
        <f>'North America'!D22+"n/&gt;!1WQ"</f>
        <v>#VALUE!</v>
      </c>
      <c r="EF326" t="e">
        <f>'North America'!E22+"n/&gt;!1WR"</f>
        <v>#VALUE!</v>
      </c>
      <c r="EG326" t="e">
        <f>'North America'!F22+"n/&gt;!1WS"</f>
        <v>#VALUE!</v>
      </c>
      <c r="EH326" t="e">
        <f>'North America'!G22+"n/&gt;!1WT"</f>
        <v>#VALUE!</v>
      </c>
      <c r="EI326" t="e">
        <f>'North America'!H22+"n/&gt;!1WU"</f>
        <v>#VALUE!</v>
      </c>
      <c r="EJ326" t="e">
        <f>'North America'!I22+"n/&gt;!1WV"</f>
        <v>#VALUE!</v>
      </c>
      <c r="EK326" t="e">
        <f>'North America'!A23+"n/&gt;!1WW"</f>
        <v>#VALUE!</v>
      </c>
      <c r="EL326" t="e">
        <f>'North America'!B23+"n/&gt;!1WX"</f>
        <v>#VALUE!</v>
      </c>
      <c r="EM326" t="e">
        <f>'North America'!C23+"n/&gt;!1WY"</f>
        <v>#VALUE!</v>
      </c>
      <c r="EN326" t="e">
        <f>'North America'!D23+"n/&gt;!1WZ"</f>
        <v>#VALUE!</v>
      </c>
      <c r="EO326" t="e">
        <f>'North America'!E23+"n/&gt;!1W["</f>
        <v>#VALUE!</v>
      </c>
      <c r="EP326" t="e">
        <f>'North America'!F23+"n/&gt;!1W\"</f>
        <v>#VALUE!</v>
      </c>
      <c r="EQ326" t="e">
        <f>'North America'!G23+"n/&gt;!1W]"</f>
        <v>#VALUE!</v>
      </c>
      <c r="ER326" t="e">
        <f>'North America'!H23+"n/&gt;!1W^"</f>
        <v>#VALUE!</v>
      </c>
      <c r="ES326" t="e">
        <f>'North America'!I23+"n/&gt;!1W_"</f>
        <v>#VALUE!</v>
      </c>
      <c r="ET326" t="e">
        <f>'North America'!A24+"n/&gt;!1W`"</f>
        <v>#VALUE!</v>
      </c>
      <c r="EU326" t="e">
        <f>'North America'!B24+"n/&gt;!1Wa"</f>
        <v>#VALUE!</v>
      </c>
      <c r="EV326" t="e">
        <f>'North America'!C24+"n/&gt;!1Wb"</f>
        <v>#VALUE!</v>
      </c>
      <c r="EW326" t="e">
        <f>'North America'!D24+"n/&gt;!1Wc"</f>
        <v>#VALUE!</v>
      </c>
      <c r="EX326" t="e">
        <f>'North America'!E24+"n/&gt;!1Wd"</f>
        <v>#VALUE!</v>
      </c>
      <c r="EY326" t="e">
        <f>'North America'!F24+"n/&gt;!1We"</f>
        <v>#VALUE!</v>
      </c>
      <c r="EZ326" t="e">
        <f>'North America'!G24+"n/&gt;!1Wf"</f>
        <v>#VALUE!</v>
      </c>
      <c r="FA326" t="e">
        <f>'North America'!H24+"n/&gt;!1Wg"</f>
        <v>#VALUE!</v>
      </c>
      <c r="FB326" t="e">
        <f>'North America'!I24+"n/&gt;!1Wh"</f>
        <v>#VALUE!</v>
      </c>
      <c r="FC326" t="e">
        <f>'North America'!A25+"n/&gt;!1Wi"</f>
        <v>#VALUE!</v>
      </c>
      <c r="FD326" t="e">
        <f>'North America'!B25+"n/&gt;!1Wj"</f>
        <v>#VALUE!</v>
      </c>
      <c r="FE326" t="e">
        <f>'North America'!C25+"n/&gt;!1Wk"</f>
        <v>#VALUE!</v>
      </c>
      <c r="FF326" t="e">
        <f>'North America'!D25+"n/&gt;!1Wl"</f>
        <v>#VALUE!</v>
      </c>
      <c r="FG326" t="e">
        <f>'North America'!E25+"n/&gt;!1Wm"</f>
        <v>#VALUE!</v>
      </c>
      <c r="FH326" t="e">
        <f>'North America'!F25+"n/&gt;!1Wn"</f>
        <v>#VALUE!</v>
      </c>
      <c r="FI326" t="e">
        <f>'North America'!G25+"n/&gt;!1Wo"</f>
        <v>#VALUE!</v>
      </c>
      <c r="FJ326" t="e">
        <f>'North America'!H25+"n/&gt;!1Wp"</f>
        <v>#VALUE!</v>
      </c>
      <c r="FK326" t="e">
        <f>'North America'!I25+"n/&gt;!1Wq"</f>
        <v>#VALUE!</v>
      </c>
      <c r="FL326" t="e">
        <f>'North America'!A26+"n/&gt;!1Wr"</f>
        <v>#VALUE!</v>
      </c>
      <c r="FM326" t="e">
        <f>'North America'!B26+"n/&gt;!1Ws"</f>
        <v>#VALUE!</v>
      </c>
      <c r="FN326" t="e">
        <f>'North America'!C26+"n/&gt;!1Wt"</f>
        <v>#VALUE!</v>
      </c>
      <c r="FO326" t="e">
        <f>'North America'!D26+"n/&gt;!1Wu"</f>
        <v>#VALUE!</v>
      </c>
      <c r="FP326" t="e">
        <f>'North America'!E26+"n/&gt;!1Wv"</f>
        <v>#VALUE!</v>
      </c>
      <c r="FQ326" t="e">
        <f>'North America'!F26+"n/&gt;!1Ww"</f>
        <v>#VALUE!</v>
      </c>
      <c r="FR326" t="e">
        <f>'North America'!G26+"n/&gt;!1Wx"</f>
        <v>#VALUE!</v>
      </c>
      <c r="FS326" t="e">
        <f>'North America'!H26+"n/&gt;!1Wy"</f>
        <v>#VALUE!</v>
      </c>
      <c r="FT326" t="e">
        <f>'North America'!I26+"n/&gt;!1Wz"</f>
        <v>#VALUE!</v>
      </c>
      <c r="FU326" t="e">
        <f>'North America'!A27+"n/&gt;!1W{"</f>
        <v>#VALUE!</v>
      </c>
      <c r="FV326" t="e">
        <f>'North America'!B27+"n/&gt;!1W|"</f>
        <v>#VALUE!</v>
      </c>
      <c r="FW326" t="e">
        <f>'North America'!C27+"n/&gt;!1W}"</f>
        <v>#VALUE!</v>
      </c>
      <c r="FX326" t="e">
        <f>'North America'!D27+"n/&gt;!1W~"</f>
        <v>#VALUE!</v>
      </c>
      <c r="FY326" t="e">
        <f>'North America'!E27+"n/&gt;!1X#"</f>
        <v>#VALUE!</v>
      </c>
      <c r="FZ326" t="e">
        <f>'North America'!F27+"n/&gt;!1X$"</f>
        <v>#VALUE!</v>
      </c>
      <c r="GA326" t="e">
        <f>'North America'!G27+"n/&gt;!1X%"</f>
        <v>#VALUE!</v>
      </c>
      <c r="GB326" t="e">
        <f>'North America'!H27+"n/&gt;!1X&amp;"</f>
        <v>#VALUE!</v>
      </c>
      <c r="GC326" t="e">
        <f>'North America'!I27+"n/&gt;!1X'"</f>
        <v>#VALUE!</v>
      </c>
      <c r="GD326" t="e">
        <f>'North America'!A28+"n/&gt;!1X("</f>
        <v>#VALUE!</v>
      </c>
      <c r="GE326" t="e">
        <f>'North America'!B28+"n/&gt;!1X)"</f>
        <v>#VALUE!</v>
      </c>
      <c r="GF326" t="e">
        <f>'North America'!C28+"n/&gt;!1X."</f>
        <v>#VALUE!</v>
      </c>
      <c r="GG326" t="e">
        <f>'North America'!D28+"n/&gt;!1X/"</f>
        <v>#VALUE!</v>
      </c>
      <c r="GH326" t="e">
        <f>'North America'!E28+"n/&gt;!1X0"</f>
        <v>#VALUE!</v>
      </c>
      <c r="GI326" t="e">
        <f>'North America'!F28+"n/&gt;!1X1"</f>
        <v>#VALUE!</v>
      </c>
      <c r="GJ326" t="e">
        <f>'North America'!G28+"n/&gt;!1X2"</f>
        <v>#VALUE!</v>
      </c>
      <c r="GK326" t="e">
        <f>'North America'!H28+"n/&gt;!1X3"</f>
        <v>#VALUE!</v>
      </c>
      <c r="GL326" t="e">
        <f>'North America'!I28+"n/&gt;!1X4"</f>
        <v>#VALUE!</v>
      </c>
      <c r="GM326" t="e">
        <f>'North America'!A29+"n/&gt;!1X5"</f>
        <v>#VALUE!</v>
      </c>
      <c r="GN326" t="e">
        <f>'North America'!B29+"n/&gt;!1X6"</f>
        <v>#VALUE!</v>
      </c>
      <c r="GO326" t="e">
        <f>'North America'!C29+"n/&gt;!1X7"</f>
        <v>#VALUE!</v>
      </c>
      <c r="GP326" t="e">
        <f>'North America'!D29+"n/&gt;!1X8"</f>
        <v>#VALUE!</v>
      </c>
      <c r="GQ326" t="e">
        <f>'North America'!E29+"n/&gt;!1X9"</f>
        <v>#VALUE!</v>
      </c>
      <c r="GR326" t="e">
        <f>'North America'!F29+"n/&gt;!1X:"</f>
        <v>#VALUE!</v>
      </c>
      <c r="GS326" t="e">
        <f>'North America'!G29+"n/&gt;!1X;"</f>
        <v>#VALUE!</v>
      </c>
      <c r="GT326" t="e">
        <f>'North America'!H29+"n/&gt;!1X&lt;"</f>
        <v>#VALUE!</v>
      </c>
      <c r="GU326" t="e">
        <f>'North America'!I29+"n/&gt;!1X="</f>
        <v>#VALUE!</v>
      </c>
      <c r="GV326" t="e">
        <f>'North America'!A30+"n/&gt;!1X&gt;"</f>
        <v>#VALUE!</v>
      </c>
      <c r="GW326" t="e">
        <f>'North America'!B30+"n/&gt;!1X?"</f>
        <v>#VALUE!</v>
      </c>
      <c r="GX326" t="e">
        <f>'North America'!C30+"n/&gt;!1X@"</f>
        <v>#VALUE!</v>
      </c>
      <c r="GY326" t="e">
        <f>'North America'!D30+"n/&gt;!1XA"</f>
        <v>#VALUE!</v>
      </c>
      <c r="GZ326" t="e">
        <f>'North America'!E30+"n/&gt;!1XB"</f>
        <v>#VALUE!</v>
      </c>
      <c r="HA326" t="e">
        <f>'North America'!F30+"n/&gt;!1XC"</f>
        <v>#VALUE!</v>
      </c>
      <c r="HB326" t="e">
        <f>'North America'!G30+"n/&gt;!1XD"</f>
        <v>#VALUE!</v>
      </c>
      <c r="HC326" t="e">
        <f>'North America'!H30+"n/&gt;!1XE"</f>
        <v>#VALUE!</v>
      </c>
      <c r="HD326" t="e">
        <f>'North America'!I30+"n/&gt;!1XF"</f>
        <v>#VALUE!</v>
      </c>
      <c r="HE326" t="e">
        <f>'North America'!A31+"n/&gt;!1XG"</f>
        <v>#VALUE!</v>
      </c>
      <c r="HF326" t="e">
        <f>'North America'!B31+"n/&gt;!1XH"</f>
        <v>#VALUE!</v>
      </c>
      <c r="HG326" t="e">
        <f>'North America'!C31+"n/&gt;!1XI"</f>
        <v>#VALUE!</v>
      </c>
      <c r="HH326" t="e">
        <f>'North America'!D31+"n/&gt;!1XJ"</f>
        <v>#VALUE!</v>
      </c>
      <c r="HI326" t="e">
        <f>'North America'!E31+"n/&gt;!1XK"</f>
        <v>#VALUE!</v>
      </c>
      <c r="HJ326" t="e">
        <f>'North America'!F31+"n/&gt;!1XL"</f>
        <v>#VALUE!</v>
      </c>
      <c r="HK326" t="e">
        <f>'North America'!G31+"n/&gt;!1XM"</f>
        <v>#VALUE!</v>
      </c>
      <c r="HL326" t="e">
        <f>'North America'!H31+"n/&gt;!1XN"</f>
        <v>#VALUE!</v>
      </c>
      <c r="HM326" t="e">
        <f>'North America'!I31+"n/&gt;!1XO"</f>
        <v>#VALUE!</v>
      </c>
      <c r="HN326" t="e">
        <f>'North America'!A32+"n/&gt;!1XP"</f>
        <v>#VALUE!</v>
      </c>
      <c r="HO326" t="e">
        <f>'North America'!B32+"n/&gt;!1XQ"</f>
        <v>#VALUE!</v>
      </c>
      <c r="HP326" t="e">
        <f>'North America'!C32+"n/&gt;!1XR"</f>
        <v>#VALUE!</v>
      </c>
      <c r="HQ326" t="e">
        <f>'North America'!D32+"n/&gt;!1XS"</f>
        <v>#VALUE!</v>
      </c>
      <c r="HR326" t="e">
        <f>'North America'!E32+"n/&gt;!1XT"</f>
        <v>#VALUE!</v>
      </c>
      <c r="HS326" t="e">
        <f>'North America'!F32+"n/&gt;!1XU"</f>
        <v>#VALUE!</v>
      </c>
      <c r="HT326" t="e">
        <f>'North America'!G32+"n/&gt;!1XV"</f>
        <v>#VALUE!</v>
      </c>
      <c r="HU326" t="e">
        <f>'North America'!H32+"n/&gt;!1XW"</f>
        <v>#VALUE!</v>
      </c>
      <c r="HV326" t="e">
        <f>'North America'!I32+"n/&gt;!1XX"</f>
        <v>#VALUE!</v>
      </c>
      <c r="HW326" t="e">
        <f>'North America'!A33+"n/&gt;!1XY"</f>
        <v>#VALUE!</v>
      </c>
      <c r="HX326" t="e">
        <f>'North America'!B33+"n/&gt;!1XZ"</f>
        <v>#VALUE!</v>
      </c>
      <c r="HY326" t="e">
        <f>'North America'!C33+"n/&gt;!1X["</f>
        <v>#VALUE!</v>
      </c>
      <c r="HZ326" t="e">
        <f>'North America'!D33+"n/&gt;!1X\"</f>
        <v>#VALUE!</v>
      </c>
      <c r="IA326" t="e">
        <f>'North America'!E33+"n/&gt;!1X]"</f>
        <v>#VALUE!</v>
      </c>
      <c r="IB326" t="e">
        <f>'North America'!F33+"n/&gt;!1X^"</f>
        <v>#VALUE!</v>
      </c>
      <c r="IC326" t="e">
        <f>'North America'!G33+"n/&gt;!1X_"</f>
        <v>#VALUE!</v>
      </c>
      <c r="ID326" t="e">
        <f>'North America'!H33+"n/&gt;!1X`"</f>
        <v>#VALUE!</v>
      </c>
      <c r="IE326" t="e">
        <f>'North America'!I33+"n/&gt;!1Xa"</f>
        <v>#VALUE!</v>
      </c>
      <c r="IF326" t="e">
        <f>'North America'!A34+"n/&gt;!1Xb"</f>
        <v>#VALUE!</v>
      </c>
      <c r="IG326" t="e">
        <f>'North America'!B34+"n/&gt;!1Xc"</f>
        <v>#VALUE!</v>
      </c>
      <c r="IH326" t="e">
        <f>'North America'!C34+"n/&gt;!1Xd"</f>
        <v>#VALUE!</v>
      </c>
      <c r="II326" t="e">
        <f>'North America'!D34+"n/&gt;!1Xe"</f>
        <v>#VALUE!</v>
      </c>
      <c r="IJ326" t="e">
        <f>'North America'!E34+"n/&gt;!1Xf"</f>
        <v>#VALUE!</v>
      </c>
      <c r="IK326" t="e">
        <f>'North America'!F34+"n/&gt;!1Xg"</f>
        <v>#VALUE!</v>
      </c>
      <c r="IL326" t="e">
        <f>'North America'!G34+"n/&gt;!1Xh"</f>
        <v>#VALUE!</v>
      </c>
      <c r="IM326" t="e">
        <f>'North America'!H34+"n/&gt;!1Xi"</f>
        <v>#VALUE!</v>
      </c>
      <c r="IN326" t="e">
        <f>'North America'!I34+"n/&gt;!1Xj"</f>
        <v>#VALUE!</v>
      </c>
      <c r="IO326" t="e">
        <f>'North America'!A35+"n/&gt;!1Xk"</f>
        <v>#VALUE!</v>
      </c>
      <c r="IP326" t="e">
        <f>'North America'!B35+"n/&gt;!1Xl"</f>
        <v>#VALUE!</v>
      </c>
      <c r="IQ326" t="e">
        <f>'North America'!C35+"n/&gt;!1Xm"</f>
        <v>#VALUE!</v>
      </c>
      <c r="IR326" t="e">
        <f>'North America'!D35+"n/&gt;!1Xn"</f>
        <v>#VALUE!</v>
      </c>
      <c r="IS326" t="e">
        <f>'North America'!E35+"n/&gt;!1Xo"</f>
        <v>#VALUE!</v>
      </c>
      <c r="IT326" t="e">
        <f>'North America'!F35+"n/&gt;!1Xp"</f>
        <v>#VALUE!</v>
      </c>
      <c r="IU326" t="e">
        <f>'North America'!G35+"n/&gt;!1Xq"</f>
        <v>#VALUE!</v>
      </c>
      <c r="IV326" t="e">
        <f>'North America'!H35+"n/&gt;!1Xr"</f>
        <v>#VALUE!</v>
      </c>
    </row>
    <row r="327" spans="6:256" x14ac:dyDescent="0.35">
      <c r="F327" t="e">
        <f>'North America'!I35+"n/&gt;!1Xs"</f>
        <v>#VALUE!</v>
      </c>
      <c r="G327" t="e">
        <f>'North America'!A36+"n/&gt;!1Xt"</f>
        <v>#VALUE!</v>
      </c>
      <c r="H327" t="e">
        <f>'North America'!B36+"n/&gt;!1Xu"</f>
        <v>#VALUE!</v>
      </c>
      <c r="I327" t="e">
        <f>'North America'!C36+"n/&gt;!1Xv"</f>
        <v>#VALUE!</v>
      </c>
      <c r="J327" t="e">
        <f>'North America'!D36+"n/&gt;!1Xw"</f>
        <v>#VALUE!</v>
      </c>
      <c r="K327" t="e">
        <f>'North America'!E36+"n/&gt;!1Xx"</f>
        <v>#VALUE!</v>
      </c>
      <c r="L327" t="e">
        <f>'North America'!F36+"n/&gt;!1Xy"</f>
        <v>#VALUE!</v>
      </c>
      <c r="M327" t="e">
        <f>'North America'!G36+"n/&gt;!1Xz"</f>
        <v>#VALUE!</v>
      </c>
      <c r="N327" t="e">
        <f>'North America'!H36+"n/&gt;!1X{"</f>
        <v>#VALUE!</v>
      </c>
      <c r="O327" t="e">
        <f>'North America'!I36+"n/&gt;!1X|"</f>
        <v>#VALUE!</v>
      </c>
      <c r="P327" t="e">
        <f>'North America'!A37+"n/&gt;!1X}"</f>
        <v>#VALUE!</v>
      </c>
      <c r="Q327" t="e">
        <f>'North America'!B37+"n/&gt;!1X~"</f>
        <v>#VALUE!</v>
      </c>
      <c r="R327" t="e">
        <f>'North America'!C37+"n/&gt;!1Y#"</f>
        <v>#VALUE!</v>
      </c>
      <c r="S327" t="e">
        <f>'North America'!D37+"n/&gt;!1Y$"</f>
        <v>#VALUE!</v>
      </c>
      <c r="T327" t="e">
        <f>'North America'!E37+"n/&gt;!1Y%"</f>
        <v>#VALUE!</v>
      </c>
      <c r="U327" t="e">
        <f>'North America'!F37+"n/&gt;!1Y&amp;"</f>
        <v>#VALUE!</v>
      </c>
      <c r="V327" t="e">
        <f>'North America'!G37+"n/&gt;!1Y'"</f>
        <v>#VALUE!</v>
      </c>
      <c r="W327" t="e">
        <f>'North America'!H37+"n/&gt;!1Y("</f>
        <v>#VALUE!</v>
      </c>
      <c r="X327" t="e">
        <f>'North America'!I37+"n/&gt;!1Y)"</f>
        <v>#VALUE!</v>
      </c>
      <c r="Y327" t="e">
        <f>'North America'!A38+"n/&gt;!1Y."</f>
        <v>#VALUE!</v>
      </c>
      <c r="Z327" t="e">
        <f>'North America'!B38+"n/&gt;!1Y/"</f>
        <v>#VALUE!</v>
      </c>
      <c r="AA327" t="e">
        <f>'North America'!C38+"n/&gt;!1Y0"</f>
        <v>#VALUE!</v>
      </c>
      <c r="AB327" t="e">
        <f>'North America'!D38+"n/&gt;!1Y1"</f>
        <v>#VALUE!</v>
      </c>
      <c r="AC327" t="e">
        <f>'North America'!E38+"n/&gt;!1Y2"</f>
        <v>#VALUE!</v>
      </c>
      <c r="AD327" t="e">
        <f>'North America'!F38+"n/&gt;!1Y3"</f>
        <v>#VALUE!</v>
      </c>
      <c r="AE327" t="e">
        <f>'North America'!G38+"n/&gt;!1Y4"</f>
        <v>#VALUE!</v>
      </c>
      <c r="AF327" t="e">
        <f>'North America'!H38+"n/&gt;!1Y5"</f>
        <v>#VALUE!</v>
      </c>
      <c r="AG327" t="e">
        <f>'North America'!I38+"n/&gt;!1Y6"</f>
        <v>#VALUE!</v>
      </c>
      <c r="AH327" t="e">
        <f>'North America'!A39+"n/&gt;!1Y7"</f>
        <v>#VALUE!</v>
      </c>
      <c r="AI327" t="e">
        <f>'North America'!B39+"n/&gt;!1Y8"</f>
        <v>#VALUE!</v>
      </c>
      <c r="AJ327" t="e">
        <f>'North America'!C39+"n/&gt;!1Y9"</f>
        <v>#VALUE!</v>
      </c>
      <c r="AK327" t="e">
        <f>'North America'!D39+"n/&gt;!1Y:"</f>
        <v>#VALUE!</v>
      </c>
      <c r="AL327" t="e">
        <f>'North America'!E39+"n/&gt;!1Y;"</f>
        <v>#VALUE!</v>
      </c>
      <c r="AM327" t="e">
        <f>'North America'!F39+"n/&gt;!1Y&lt;"</f>
        <v>#VALUE!</v>
      </c>
      <c r="AN327" t="e">
        <f>'North America'!G39+"n/&gt;!1Y="</f>
        <v>#VALUE!</v>
      </c>
      <c r="AO327" t="e">
        <f>'North America'!H39+"n/&gt;!1Y&gt;"</f>
        <v>#VALUE!</v>
      </c>
      <c r="AP327" t="e">
        <f>'North America'!I39+"n/&gt;!1Y?"</f>
        <v>#VALUE!</v>
      </c>
      <c r="AQ327" t="e">
        <f>'North America'!A40+"n/&gt;!1Y@"</f>
        <v>#VALUE!</v>
      </c>
      <c r="AR327" t="e">
        <f>'North America'!B40+"n/&gt;!1YA"</f>
        <v>#VALUE!</v>
      </c>
      <c r="AS327" t="e">
        <f>'North America'!C40+"n/&gt;!1YB"</f>
        <v>#VALUE!</v>
      </c>
      <c r="AT327" t="e">
        <f>'North America'!D40+"n/&gt;!1YC"</f>
        <v>#VALUE!</v>
      </c>
      <c r="AU327" t="e">
        <f>'North America'!E40+"n/&gt;!1YD"</f>
        <v>#VALUE!</v>
      </c>
      <c r="AV327" t="e">
        <f>'North America'!F40+"n/&gt;!1YE"</f>
        <v>#VALUE!</v>
      </c>
      <c r="AW327" t="e">
        <f>'North America'!G40+"n/&gt;!1YF"</f>
        <v>#VALUE!</v>
      </c>
      <c r="AX327" t="e">
        <f>'North America'!H40+"n/&gt;!1YG"</f>
        <v>#VALUE!</v>
      </c>
      <c r="AY327" t="e">
        <f>'North America'!I40+"n/&gt;!1YH"</f>
        <v>#VALUE!</v>
      </c>
      <c r="AZ327" t="e">
        <f>'North America'!A41+"n/&gt;!1YI"</f>
        <v>#VALUE!</v>
      </c>
      <c r="BA327" t="e">
        <f>'North America'!B41+"n/&gt;!1YJ"</f>
        <v>#VALUE!</v>
      </c>
      <c r="BB327" t="e">
        <f>'North America'!C41+"n/&gt;!1YK"</f>
        <v>#VALUE!</v>
      </c>
      <c r="BC327" t="e">
        <f>'North America'!D41+"n/&gt;!1YL"</f>
        <v>#VALUE!</v>
      </c>
      <c r="BD327" t="e">
        <f>'North America'!E41+"n/&gt;!1YM"</f>
        <v>#VALUE!</v>
      </c>
      <c r="BE327" t="e">
        <f>'North America'!F41+"n/&gt;!1YN"</f>
        <v>#VALUE!</v>
      </c>
      <c r="BF327" t="e">
        <f>'North America'!G41+"n/&gt;!1YO"</f>
        <v>#VALUE!</v>
      </c>
      <c r="BG327" t="e">
        <f>'North America'!H41+"n/&gt;!1YP"</f>
        <v>#VALUE!</v>
      </c>
      <c r="BH327" t="e">
        <f>'North America'!I41+"n/&gt;!1YQ"</f>
        <v>#VALUE!</v>
      </c>
      <c r="BI327" t="e">
        <f>'North America'!A42+"n/&gt;!1YR"</f>
        <v>#VALUE!</v>
      </c>
      <c r="BJ327" t="e">
        <f>'North America'!B42+"n/&gt;!1YS"</f>
        <v>#VALUE!</v>
      </c>
      <c r="BK327" t="e">
        <f>'North America'!C42+"n/&gt;!1YT"</f>
        <v>#VALUE!</v>
      </c>
      <c r="BL327" t="e">
        <f>'North America'!D42+"n/&gt;!1YU"</f>
        <v>#VALUE!</v>
      </c>
      <c r="BM327" t="e">
        <f>'North America'!E42+"n/&gt;!1YV"</f>
        <v>#VALUE!</v>
      </c>
      <c r="BN327" t="e">
        <f>'North America'!F42+"n/&gt;!1YW"</f>
        <v>#VALUE!</v>
      </c>
      <c r="BO327" t="e">
        <f>'North America'!G42+"n/&gt;!1YX"</f>
        <v>#VALUE!</v>
      </c>
      <c r="BP327" t="e">
        <f>'North America'!H42+"n/&gt;!1YY"</f>
        <v>#VALUE!</v>
      </c>
      <c r="BQ327" t="e">
        <f>'North America'!I42+"n/&gt;!1YZ"</f>
        <v>#VALUE!</v>
      </c>
      <c r="BR327" t="e">
        <f>'North America'!A43+"n/&gt;!1Y["</f>
        <v>#VALUE!</v>
      </c>
      <c r="BS327" t="e">
        <f>'North America'!B43+"n/&gt;!1Y\"</f>
        <v>#VALUE!</v>
      </c>
      <c r="BT327" t="e">
        <f>'North America'!C43+"n/&gt;!1Y]"</f>
        <v>#VALUE!</v>
      </c>
      <c r="BU327" t="e">
        <f>'North America'!D43+"n/&gt;!1Y^"</f>
        <v>#VALUE!</v>
      </c>
      <c r="BV327" t="e">
        <f>'North America'!E43+"n/&gt;!1Y_"</f>
        <v>#VALUE!</v>
      </c>
      <c r="BW327" t="e">
        <f>'North America'!F43+"n/&gt;!1Y`"</f>
        <v>#VALUE!</v>
      </c>
      <c r="BX327" t="e">
        <f>'North America'!G43+"n/&gt;!1Ya"</f>
        <v>#VALUE!</v>
      </c>
      <c r="BY327" t="e">
        <f>'North America'!H43+"n/&gt;!1Yb"</f>
        <v>#VALUE!</v>
      </c>
      <c r="BZ327" t="e">
        <f>'North America'!I43+"n/&gt;!1Yc"</f>
        <v>#VALUE!</v>
      </c>
      <c r="CA327" t="e">
        <f>'North America'!A44+"n/&gt;!1Yd"</f>
        <v>#VALUE!</v>
      </c>
      <c r="CB327" t="e">
        <f>'North America'!B44+"n/&gt;!1Ye"</f>
        <v>#VALUE!</v>
      </c>
      <c r="CC327" t="e">
        <f>'North America'!C44+"n/&gt;!1Yf"</f>
        <v>#VALUE!</v>
      </c>
      <c r="CD327" t="e">
        <f>'North America'!D44+"n/&gt;!1Yg"</f>
        <v>#VALUE!</v>
      </c>
      <c r="CE327" t="e">
        <f>'North America'!E44+"n/&gt;!1Yh"</f>
        <v>#VALUE!</v>
      </c>
      <c r="CF327" t="e">
        <f>'North America'!F44+"n/&gt;!1Yi"</f>
        <v>#VALUE!</v>
      </c>
      <c r="CG327" t="e">
        <f>'North America'!G44+"n/&gt;!1Yj"</f>
        <v>#VALUE!</v>
      </c>
      <c r="CH327" t="e">
        <f>'North America'!H44+"n/&gt;!1Yk"</f>
        <v>#VALUE!</v>
      </c>
      <c r="CI327" t="e">
        <f>'North America'!I44+"n/&gt;!1Yl"</f>
        <v>#VALUE!</v>
      </c>
      <c r="CJ327" t="e">
        <f>'North America'!A45+"n/&gt;!1Ym"</f>
        <v>#VALUE!</v>
      </c>
      <c r="CK327" t="e">
        <f>'North America'!B45+"n/&gt;!1Yn"</f>
        <v>#VALUE!</v>
      </c>
      <c r="CL327" t="e">
        <f>'North America'!C45+"n/&gt;!1Yo"</f>
        <v>#VALUE!</v>
      </c>
      <c r="CM327" t="e">
        <f>'North America'!D45+"n/&gt;!1Yp"</f>
        <v>#VALUE!</v>
      </c>
      <c r="CN327" t="e">
        <f>'North America'!E45+"n/&gt;!1Yq"</f>
        <v>#VALUE!</v>
      </c>
      <c r="CO327" t="e">
        <f>'North America'!F45+"n/&gt;!1Yr"</f>
        <v>#VALUE!</v>
      </c>
      <c r="CP327" t="e">
        <f>'North America'!G45+"n/&gt;!1Ys"</f>
        <v>#VALUE!</v>
      </c>
      <c r="CQ327" t="e">
        <f>'North America'!H45+"n/&gt;!1Yt"</f>
        <v>#VALUE!</v>
      </c>
      <c r="CR327" t="e">
        <f>'North America'!I45+"n/&gt;!1Yu"</f>
        <v>#VALUE!</v>
      </c>
      <c r="CS327" t="e">
        <f>'North America'!A46+"n/&gt;!1Yv"</f>
        <v>#VALUE!</v>
      </c>
      <c r="CT327" t="e">
        <f>'North America'!B46+"n/&gt;!1Yw"</f>
        <v>#VALUE!</v>
      </c>
      <c r="CU327" t="e">
        <f>'North America'!C46+"n/&gt;!1Yx"</f>
        <v>#VALUE!</v>
      </c>
      <c r="CV327" t="e">
        <f>'North America'!D46+"n/&gt;!1Yy"</f>
        <v>#VALUE!</v>
      </c>
      <c r="CW327" t="e">
        <f>'North America'!E46+"n/&gt;!1Yz"</f>
        <v>#VALUE!</v>
      </c>
      <c r="CX327" t="e">
        <f>'North America'!F46+"n/&gt;!1Y{"</f>
        <v>#VALUE!</v>
      </c>
      <c r="CY327" t="e">
        <f>'North America'!G46+"n/&gt;!1Y|"</f>
        <v>#VALUE!</v>
      </c>
      <c r="CZ327" t="e">
        <f>'North America'!H46+"n/&gt;!1Y}"</f>
        <v>#VALUE!</v>
      </c>
      <c r="DA327" t="e">
        <f>'North America'!I46+"n/&gt;!1Y~"</f>
        <v>#VALUE!</v>
      </c>
      <c r="DB327" t="e">
        <f>'North America'!A47+"n/&gt;!1Z#"</f>
        <v>#VALUE!</v>
      </c>
      <c r="DC327" t="e">
        <f>'North America'!B47+"n/&gt;!1Z$"</f>
        <v>#VALUE!</v>
      </c>
      <c r="DD327" t="e">
        <f>'North America'!C47+"n/&gt;!1Z%"</f>
        <v>#VALUE!</v>
      </c>
      <c r="DE327" t="e">
        <f>'North America'!D47+"n/&gt;!1Z&amp;"</f>
        <v>#VALUE!</v>
      </c>
      <c r="DF327" t="e">
        <f>'North America'!E47+"n/&gt;!1Z'"</f>
        <v>#VALUE!</v>
      </c>
      <c r="DG327" t="e">
        <f>'North America'!F47+"n/&gt;!1Z("</f>
        <v>#VALUE!</v>
      </c>
      <c r="DH327" t="e">
        <f>'North America'!G47+"n/&gt;!1Z)"</f>
        <v>#VALUE!</v>
      </c>
      <c r="DI327" t="e">
        <f>'North America'!H47+"n/&gt;!1Z."</f>
        <v>#VALUE!</v>
      </c>
      <c r="DJ327" t="e">
        <f>'North America'!I47+"n/&gt;!1Z/"</f>
        <v>#VALUE!</v>
      </c>
      <c r="DK327" t="e">
        <f>'North America'!A48+"n/&gt;!1Z0"</f>
        <v>#VALUE!</v>
      </c>
      <c r="DL327" t="e">
        <f>'North America'!B48+"n/&gt;!1Z1"</f>
        <v>#VALUE!</v>
      </c>
      <c r="DM327" t="e">
        <f>'North America'!C48+"n/&gt;!1Z2"</f>
        <v>#VALUE!</v>
      </c>
      <c r="DN327" t="e">
        <f>'North America'!D48+"n/&gt;!1Z3"</f>
        <v>#VALUE!</v>
      </c>
      <c r="DO327" t="e">
        <f>'North America'!E48+"n/&gt;!1Z4"</f>
        <v>#VALUE!</v>
      </c>
      <c r="DP327" t="e">
        <f>'North America'!F48+"n/&gt;!1Z5"</f>
        <v>#VALUE!</v>
      </c>
      <c r="DQ327" t="e">
        <f>'North America'!G48+"n/&gt;!1Z6"</f>
        <v>#VALUE!</v>
      </c>
      <c r="DR327" t="e">
        <f>'North America'!H48+"n/&gt;!1Z7"</f>
        <v>#VALUE!</v>
      </c>
      <c r="DS327" t="e">
        <f>'North America'!I48+"n/&gt;!1Z8"</f>
        <v>#VALUE!</v>
      </c>
      <c r="DT327" t="e">
        <f>'North America'!A49+"n/&gt;!1Z9"</f>
        <v>#VALUE!</v>
      </c>
      <c r="DU327" t="e">
        <f>'North America'!B49+"n/&gt;!1Z:"</f>
        <v>#VALUE!</v>
      </c>
      <c r="DV327" t="e">
        <f>'North America'!C49+"n/&gt;!1Z;"</f>
        <v>#VALUE!</v>
      </c>
      <c r="DW327" t="e">
        <f>'North America'!D49+"n/&gt;!1Z&lt;"</f>
        <v>#VALUE!</v>
      </c>
      <c r="DX327" t="e">
        <f>'North America'!E49+"n/&gt;!1Z="</f>
        <v>#VALUE!</v>
      </c>
      <c r="DY327" t="e">
        <f>'North America'!F49+"n/&gt;!1Z&gt;"</f>
        <v>#VALUE!</v>
      </c>
      <c r="DZ327" t="e">
        <f>'North America'!G49+"n/&gt;!1Z?"</f>
        <v>#VALUE!</v>
      </c>
      <c r="EA327" t="e">
        <f>'North America'!H49+"n/&gt;!1Z@"</f>
        <v>#VALUE!</v>
      </c>
      <c r="EB327" t="e">
        <f>'North America'!I49+"n/&gt;!1ZA"</f>
        <v>#VALUE!</v>
      </c>
      <c r="EC327" t="e">
        <f>'North America'!A50+"n/&gt;!1ZB"</f>
        <v>#VALUE!</v>
      </c>
      <c r="ED327" t="e">
        <f>'North America'!B50+"n/&gt;!1ZC"</f>
        <v>#VALUE!</v>
      </c>
      <c r="EE327" t="e">
        <f>'North America'!C50+"n/&gt;!1ZD"</f>
        <v>#VALUE!</v>
      </c>
      <c r="EF327" t="e">
        <f>'North America'!D50+"n/&gt;!1ZE"</f>
        <v>#VALUE!</v>
      </c>
      <c r="EG327" t="e">
        <f>'North America'!E50+"n/&gt;!1ZF"</f>
        <v>#VALUE!</v>
      </c>
      <c r="EH327" t="e">
        <f>'North America'!F50+"n/&gt;!1ZG"</f>
        <v>#VALUE!</v>
      </c>
      <c r="EI327" t="e">
        <f>'North America'!G50+"n/&gt;!1ZH"</f>
        <v>#VALUE!</v>
      </c>
      <c r="EJ327" t="e">
        <f>'North America'!H50+"n/&gt;!1ZI"</f>
        <v>#VALUE!</v>
      </c>
      <c r="EK327" t="e">
        <f>'North America'!I50+"n/&gt;!1ZJ"</f>
        <v>#VALUE!</v>
      </c>
      <c r="EL327" t="e">
        <f>'North America'!A51+"n/&gt;!1ZK"</f>
        <v>#VALUE!</v>
      </c>
      <c r="EM327" t="e">
        <f>'North America'!B51+"n/&gt;!1ZL"</f>
        <v>#VALUE!</v>
      </c>
      <c r="EN327" t="e">
        <f>'North America'!C51+"n/&gt;!1ZM"</f>
        <v>#VALUE!</v>
      </c>
      <c r="EO327" t="e">
        <f>'North America'!D51+"n/&gt;!1ZN"</f>
        <v>#VALUE!</v>
      </c>
      <c r="EP327" t="e">
        <f>'North America'!E51+"n/&gt;!1ZO"</f>
        <v>#VALUE!</v>
      </c>
      <c r="EQ327" t="e">
        <f>'North America'!F51+"n/&gt;!1ZP"</f>
        <v>#VALUE!</v>
      </c>
      <c r="ER327" t="e">
        <f>'North America'!G51+"n/&gt;!1ZQ"</f>
        <v>#VALUE!</v>
      </c>
      <c r="ES327" t="e">
        <f>'North America'!H51+"n/&gt;!1ZR"</f>
        <v>#VALUE!</v>
      </c>
      <c r="ET327" t="e">
        <f>'North America'!I51+"n/&gt;!1ZS"</f>
        <v>#VALUE!</v>
      </c>
      <c r="EU327" t="e">
        <f>'North America'!A52+"n/&gt;!1ZT"</f>
        <v>#VALUE!</v>
      </c>
      <c r="EV327" t="e">
        <f>'North America'!B52+"n/&gt;!1ZU"</f>
        <v>#VALUE!</v>
      </c>
      <c r="EW327" t="e">
        <f>'North America'!C52+"n/&gt;!1ZV"</f>
        <v>#VALUE!</v>
      </c>
      <c r="EX327" t="e">
        <f>'North America'!D52+"n/&gt;!1ZW"</f>
        <v>#VALUE!</v>
      </c>
      <c r="EY327" t="e">
        <f>'North America'!E52+"n/&gt;!1ZX"</f>
        <v>#VALUE!</v>
      </c>
      <c r="EZ327" t="e">
        <f>'North America'!F52+"n/&gt;!1ZY"</f>
        <v>#VALUE!</v>
      </c>
      <c r="FA327" t="e">
        <f>'North America'!G52+"n/&gt;!1ZZ"</f>
        <v>#VALUE!</v>
      </c>
      <c r="FB327" t="e">
        <f>'North America'!H52+"n/&gt;!1Z["</f>
        <v>#VALUE!</v>
      </c>
      <c r="FC327" t="e">
        <f>'North America'!I52+"n/&gt;!1Z\"</f>
        <v>#VALUE!</v>
      </c>
      <c r="FD327" t="e">
        <f>'North America'!A53+"n/&gt;!1Z]"</f>
        <v>#VALUE!</v>
      </c>
      <c r="FE327" t="e">
        <f>'North America'!B53+"n/&gt;!1Z^"</f>
        <v>#VALUE!</v>
      </c>
      <c r="FF327" t="e">
        <f>'North America'!C53+"n/&gt;!1Z_"</f>
        <v>#VALUE!</v>
      </c>
      <c r="FG327" t="e">
        <f>'North America'!D53+"n/&gt;!1Z`"</f>
        <v>#VALUE!</v>
      </c>
      <c r="FH327" t="e">
        <f>'North America'!E53+"n/&gt;!1Za"</f>
        <v>#VALUE!</v>
      </c>
      <c r="FI327" t="e">
        <f>'North America'!F53+"n/&gt;!1Zb"</f>
        <v>#VALUE!</v>
      </c>
      <c r="FJ327" t="e">
        <f>'North America'!G53+"n/&gt;!1Zc"</f>
        <v>#VALUE!</v>
      </c>
      <c r="FK327" t="e">
        <f>'North America'!H53+"n/&gt;!1Zd"</f>
        <v>#VALUE!</v>
      </c>
      <c r="FL327" t="e">
        <f>'North America'!I53+"n/&gt;!1Ze"</f>
        <v>#VALUE!</v>
      </c>
      <c r="FM327" t="e">
        <f>'North America'!A54+"n/&gt;!1Zf"</f>
        <v>#VALUE!</v>
      </c>
      <c r="FN327" t="e">
        <f>'North America'!B54+"n/&gt;!1Zg"</f>
        <v>#VALUE!</v>
      </c>
      <c r="FO327" t="e">
        <f>'North America'!C54+"n/&gt;!1Zh"</f>
        <v>#VALUE!</v>
      </c>
      <c r="FP327" t="e">
        <f>'North America'!D54+"n/&gt;!1Zi"</f>
        <v>#VALUE!</v>
      </c>
      <c r="FQ327" t="e">
        <f>'North America'!E54+"n/&gt;!1Zj"</f>
        <v>#VALUE!</v>
      </c>
      <c r="FR327" t="e">
        <f>'North America'!F54+"n/&gt;!1Zk"</f>
        <v>#VALUE!</v>
      </c>
      <c r="FS327" t="e">
        <f>'North America'!G54+"n/&gt;!1Zl"</f>
        <v>#VALUE!</v>
      </c>
      <c r="FT327" t="e">
        <f>'North America'!H54+"n/&gt;!1Zm"</f>
        <v>#VALUE!</v>
      </c>
      <c r="FU327" t="e">
        <f>'North America'!I54+"n/&gt;!1Zn"</f>
        <v>#VALUE!</v>
      </c>
      <c r="FV327" t="e">
        <f>'North America'!A55+"n/&gt;!1Zo"</f>
        <v>#VALUE!</v>
      </c>
      <c r="FW327" t="e">
        <f>'North America'!B55+"n/&gt;!1Zp"</f>
        <v>#VALUE!</v>
      </c>
      <c r="FX327" t="e">
        <f>'North America'!C55+"n/&gt;!1Zq"</f>
        <v>#VALUE!</v>
      </c>
      <c r="FY327" t="e">
        <f>'North America'!D55+"n/&gt;!1Zr"</f>
        <v>#VALUE!</v>
      </c>
      <c r="FZ327" t="e">
        <f>'North America'!E55+"n/&gt;!1Zs"</f>
        <v>#VALUE!</v>
      </c>
      <c r="GA327" t="e">
        <f>'North America'!F55+"n/&gt;!1Zt"</f>
        <v>#VALUE!</v>
      </c>
      <c r="GB327" t="e">
        <f>'North America'!G55+"n/&gt;!1Zu"</f>
        <v>#VALUE!</v>
      </c>
      <c r="GC327" t="e">
        <f>'North America'!H55+"n/&gt;!1Zv"</f>
        <v>#VALUE!</v>
      </c>
      <c r="GD327" t="e">
        <f>'North America'!I55+"n/&gt;!1Zw"</f>
        <v>#VALUE!</v>
      </c>
      <c r="GE327" t="e">
        <f>'North America'!A56+"n/&gt;!1Zx"</f>
        <v>#VALUE!</v>
      </c>
      <c r="GF327" t="e">
        <f>'North America'!B56+"n/&gt;!1Zy"</f>
        <v>#VALUE!</v>
      </c>
      <c r="GG327" t="e">
        <f>'North America'!C56+"n/&gt;!1Zz"</f>
        <v>#VALUE!</v>
      </c>
      <c r="GH327" t="e">
        <f>'North America'!D56+"n/&gt;!1Z{"</f>
        <v>#VALUE!</v>
      </c>
      <c r="GI327" t="e">
        <f>'North America'!E56+"n/&gt;!1Z|"</f>
        <v>#VALUE!</v>
      </c>
      <c r="GJ327" t="e">
        <f>'North America'!F56+"n/&gt;!1Z}"</f>
        <v>#VALUE!</v>
      </c>
      <c r="GK327" t="e">
        <f>'North America'!G56+"n/&gt;!1Z~"</f>
        <v>#VALUE!</v>
      </c>
      <c r="GL327" t="e">
        <f>'North America'!H56+"n/&gt;!1[#"</f>
        <v>#VALUE!</v>
      </c>
      <c r="GM327" t="e">
        <f>'North America'!I56+"n/&gt;!1[$"</f>
        <v>#VALUE!</v>
      </c>
      <c r="GN327" t="e">
        <f>'North America'!A57+"n/&gt;!1[%"</f>
        <v>#VALUE!</v>
      </c>
      <c r="GO327" t="e">
        <f>'North America'!B57+"n/&gt;!1[&amp;"</f>
        <v>#VALUE!</v>
      </c>
      <c r="GP327" t="e">
        <f>'North America'!C57+"n/&gt;!1['"</f>
        <v>#VALUE!</v>
      </c>
      <c r="GQ327" t="e">
        <f>'North America'!D57+"n/&gt;!1[("</f>
        <v>#VALUE!</v>
      </c>
      <c r="GR327" t="e">
        <f>'North America'!E57+"n/&gt;!1[)"</f>
        <v>#VALUE!</v>
      </c>
      <c r="GS327" t="e">
        <f>'North America'!F57+"n/&gt;!1[."</f>
        <v>#VALUE!</v>
      </c>
      <c r="GT327" t="e">
        <f>'North America'!G57+"n/&gt;!1[/"</f>
        <v>#VALUE!</v>
      </c>
      <c r="GU327" t="e">
        <f>'North America'!H57+"n/&gt;!1[0"</f>
        <v>#VALUE!</v>
      </c>
      <c r="GV327" t="e">
        <f>'North America'!I57+"n/&gt;!1[1"</f>
        <v>#VALUE!</v>
      </c>
      <c r="GW327" t="e">
        <f>'North America'!A58+"n/&gt;!1[2"</f>
        <v>#VALUE!</v>
      </c>
      <c r="GX327" t="e">
        <f>'North America'!B58+"n/&gt;!1[3"</f>
        <v>#VALUE!</v>
      </c>
      <c r="GY327" t="e">
        <f>'North America'!C58+"n/&gt;!1[4"</f>
        <v>#VALUE!</v>
      </c>
      <c r="GZ327" t="e">
        <f>'North America'!D58+"n/&gt;!1[5"</f>
        <v>#VALUE!</v>
      </c>
      <c r="HA327" t="e">
        <f>'North America'!E58+"n/&gt;!1[6"</f>
        <v>#VALUE!</v>
      </c>
      <c r="HB327" t="e">
        <f>'North America'!F58+"n/&gt;!1[7"</f>
        <v>#VALUE!</v>
      </c>
      <c r="HC327" t="e">
        <f>'North America'!G58+"n/&gt;!1[8"</f>
        <v>#VALUE!</v>
      </c>
      <c r="HD327" t="e">
        <f>'North America'!H58+"n/&gt;!1[9"</f>
        <v>#VALUE!</v>
      </c>
      <c r="HE327" t="e">
        <f>'North America'!I58+"n/&gt;!1[:"</f>
        <v>#VALUE!</v>
      </c>
      <c r="HF327" t="e">
        <f>'North America'!A59+"n/&gt;!1[;"</f>
        <v>#VALUE!</v>
      </c>
      <c r="HG327" t="e">
        <f>'North America'!B59+"n/&gt;!1[&lt;"</f>
        <v>#VALUE!</v>
      </c>
      <c r="HH327" t="e">
        <f>'North America'!C59+"n/&gt;!1[="</f>
        <v>#VALUE!</v>
      </c>
      <c r="HI327" t="e">
        <f>'North America'!D59+"n/&gt;!1[&gt;"</f>
        <v>#VALUE!</v>
      </c>
      <c r="HJ327" t="e">
        <f>'North America'!E59+"n/&gt;!1[?"</f>
        <v>#VALUE!</v>
      </c>
      <c r="HK327" t="e">
        <f>'North America'!F59+"n/&gt;!1[@"</f>
        <v>#VALUE!</v>
      </c>
      <c r="HL327" t="e">
        <f>'North America'!G59+"n/&gt;!1[A"</f>
        <v>#VALUE!</v>
      </c>
      <c r="HM327" t="e">
        <f>'North America'!H59+"n/&gt;!1[B"</f>
        <v>#VALUE!</v>
      </c>
      <c r="HN327" t="e">
        <f>'North America'!I59+"n/&gt;!1[C"</f>
        <v>#VALUE!</v>
      </c>
      <c r="HO327" t="e">
        <f>'North America'!A60+"n/&gt;!1[D"</f>
        <v>#VALUE!</v>
      </c>
      <c r="HP327" t="e">
        <f>'North America'!B60+"n/&gt;!1[E"</f>
        <v>#VALUE!</v>
      </c>
      <c r="HQ327" t="e">
        <f>'North America'!C60+"n/&gt;!1[F"</f>
        <v>#VALUE!</v>
      </c>
      <c r="HR327" t="e">
        <f>'North America'!D60+"n/&gt;!1[G"</f>
        <v>#VALUE!</v>
      </c>
      <c r="HS327" t="e">
        <f>'North America'!E60+"n/&gt;!1[H"</f>
        <v>#VALUE!</v>
      </c>
      <c r="HT327" t="e">
        <f>'North America'!F60+"n/&gt;!1[I"</f>
        <v>#VALUE!</v>
      </c>
      <c r="HU327" t="e">
        <f>'North America'!G60+"n/&gt;!1[J"</f>
        <v>#VALUE!</v>
      </c>
      <c r="HV327" t="e">
        <f>'North America'!H60+"n/&gt;!1[K"</f>
        <v>#VALUE!</v>
      </c>
      <c r="HW327" t="e">
        <f>'North America'!I60+"n/&gt;!1[L"</f>
        <v>#VALUE!</v>
      </c>
      <c r="HX327" t="e">
        <f>'North America'!A61+"n/&gt;!1[M"</f>
        <v>#VALUE!</v>
      </c>
      <c r="HY327" t="e">
        <f>'North America'!B61+"n/&gt;!1[N"</f>
        <v>#VALUE!</v>
      </c>
      <c r="HZ327" t="e">
        <f>'North America'!C61+"n/&gt;!1[O"</f>
        <v>#VALUE!</v>
      </c>
      <c r="IA327" t="e">
        <f>'North America'!D61+"n/&gt;!1[P"</f>
        <v>#VALUE!</v>
      </c>
      <c r="IB327" t="e">
        <f>'North America'!E61+"n/&gt;!1[Q"</f>
        <v>#VALUE!</v>
      </c>
      <c r="IC327" t="e">
        <f>'North America'!F61+"n/&gt;!1[R"</f>
        <v>#VALUE!</v>
      </c>
      <c r="ID327" t="e">
        <f>'North America'!G61+"n/&gt;!1[S"</f>
        <v>#VALUE!</v>
      </c>
      <c r="IE327" t="e">
        <f>'North America'!H61+"n/&gt;!1[T"</f>
        <v>#VALUE!</v>
      </c>
      <c r="IF327" t="e">
        <f>'North America'!I61+"n/&gt;!1[U"</f>
        <v>#VALUE!</v>
      </c>
      <c r="IG327" t="e">
        <f>'North America'!A62+"n/&gt;!1[V"</f>
        <v>#VALUE!</v>
      </c>
      <c r="IH327" t="e">
        <f>'North America'!B62+"n/&gt;!1[W"</f>
        <v>#VALUE!</v>
      </c>
      <c r="II327" t="e">
        <f>'North America'!C62+"n/&gt;!1[X"</f>
        <v>#VALUE!</v>
      </c>
      <c r="IJ327" t="e">
        <f>'North America'!D62+"n/&gt;!1[Y"</f>
        <v>#VALUE!</v>
      </c>
      <c r="IK327" t="e">
        <f>'North America'!E62+"n/&gt;!1[Z"</f>
        <v>#VALUE!</v>
      </c>
      <c r="IL327" t="e">
        <f>'North America'!F62+"n/&gt;!1[["</f>
        <v>#VALUE!</v>
      </c>
      <c r="IM327" t="e">
        <f>'North America'!G62+"n/&gt;!1[\"</f>
        <v>#VALUE!</v>
      </c>
      <c r="IN327" t="e">
        <f>'North America'!H62+"n/&gt;!1[]"</f>
        <v>#VALUE!</v>
      </c>
      <c r="IO327" t="e">
        <f>'North America'!I62+"n/&gt;!1[^"</f>
        <v>#VALUE!</v>
      </c>
      <c r="IP327" t="e">
        <f>'North America'!A63+"n/&gt;!1[_"</f>
        <v>#VALUE!</v>
      </c>
      <c r="IQ327" t="e">
        <f>'North America'!B63+"n/&gt;!1[`"</f>
        <v>#VALUE!</v>
      </c>
      <c r="IR327" t="e">
        <f>'North America'!C63+"n/&gt;!1[a"</f>
        <v>#VALUE!</v>
      </c>
      <c r="IS327" t="e">
        <f>'North America'!D63+"n/&gt;!1[b"</f>
        <v>#VALUE!</v>
      </c>
      <c r="IT327" t="e">
        <f>'North America'!E63+"n/&gt;!1[c"</f>
        <v>#VALUE!</v>
      </c>
      <c r="IU327" t="e">
        <f>'North America'!F63+"n/&gt;!1[d"</f>
        <v>#VALUE!</v>
      </c>
      <c r="IV327" t="e">
        <f>'North America'!G63+"n/&gt;!1[e"</f>
        <v>#VALUE!</v>
      </c>
    </row>
    <row r="328" spans="6:256" x14ac:dyDescent="0.35">
      <c r="F328" t="e">
        <f>'North America'!H63+"n/&gt;!1[f"</f>
        <v>#VALUE!</v>
      </c>
      <c r="G328" t="e">
        <f>'North America'!I63+"n/&gt;!1[g"</f>
        <v>#VALUE!</v>
      </c>
      <c r="H328" t="e">
        <f>'North America'!A64+"n/&gt;!1[h"</f>
        <v>#VALUE!</v>
      </c>
      <c r="I328" t="e">
        <f>'North America'!B64+"n/&gt;!1[i"</f>
        <v>#VALUE!</v>
      </c>
      <c r="J328" t="e">
        <f>'North America'!C64+"n/&gt;!1[j"</f>
        <v>#VALUE!</v>
      </c>
      <c r="K328" t="e">
        <f>'North America'!D64+"n/&gt;!1[k"</f>
        <v>#VALUE!</v>
      </c>
      <c r="L328" t="e">
        <f>'North America'!E64+"n/&gt;!1[l"</f>
        <v>#VALUE!</v>
      </c>
      <c r="M328" t="e">
        <f>'North America'!F64+"n/&gt;!1[m"</f>
        <v>#VALUE!</v>
      </c>
      <c r="N328" t="e">
        <f>'North America'!G64+"n/&gt;!1[n"</f>
        <v>#VALUE!</v>
      </c>
      <c r="O328" t="e">
        <f>'North America'!H64+"n/&gt;!1[o"</f>
        <v>#VALUE!</v>
      </c>
      <c r="P328" t="e">
        <f>'North America'!I64+"n/&gt;!1[p"</f>
        <v>#VALUE!</v>
      </c>
      <c r="Q328" t="e">
        <f>'North America'!A65+"n/&gt;!1[q"</f>
        <v>#VALUE!</v>
      </c>
      <c r="R328" t="e">
        <f>'North America'!B65+"n/&gt;!1[r"</f>
        <v>#VALUE!</v>
      </c>
      <c r="S328" t="e">
        <f>'North America'!C65+"n/&gt;!1[s"</f>
        <v>#VALUE!</v>
      </c>
      <c r="T328" t="e">
        <f>'North America'!D65+"n/&gt;!1[t"</f>
        <v>#VALUE!</v>
      </c>
      <c r="U328" t="e">
        <f>'North America'!E65+"n/&gt;!1[u"</f>
        <v>#VALUE!</v>
      </c>
      <c r="V328" t="e">
        <f>'North America'!F65+"n/&gt;!1[v"</f>
        <v>#VALUE!</v>
      </c>
      <c r="W328" t="e">
        <f>'North America'!G65+"n/&gt;!1[w"</f>
        <v>#VALUE!</v>
      </c>
      <c r="X328" t="e">
        <f>'North America'!H65+"n/&gt;!1[x"</f>
        <v>#VALUE!</v>
      </c>
      <c r="Y328" t="e">
        <f>'North America'!I65+"n/&gt;!1[y"</f>
        <v>#VALUE!</v>
      </c>
      <c r="Z328" t="e">
        <f>'North America'!A66+"n/&gt;!1[z"</f>
        <v>#VALUE!</v>
      </c>
      <c r="AA328" t="e">
        <f>'North America'!B66+"n/&gt;!1[{"</f>
        <v>#VALUE!</v>
      </c>
      <c r="AB328" t="e">
        <f>'North America'!C66+"n/&gt;!1[|"</f>
        <v>#VALUE!</v>
      </c>
      <c r="AC328" t="e">
        <f>'North America'!D66+"n/&gt;!1[}"</f>
        <v>#VALUE!</v>
      </c>
      <c r="AD328" t="e">
        <f>'North America'!E66+"n/&gt;!1[~"</f>
        <v>#VALUE!</v>
      </c>
      <c r="AE328" t="e">
        <f>'North America'!F66+"n/&gt;!1\#"</f>
        <v>#VALUE!</v>
      </c>
      <c r="AF328" t="e">
        <f>'North America'!G66+"n/&gt;!1\$"</f>
        <v>#VALUE!</v>
      </c>
      <c r="AG328" t="e">
        <f>'North America'!H66+"n/&gt;!1\%"</f>
        <v>#VALUE!</v>
      </c>
      <c r="AH328" t="e">
        <f>'North America'!I66+"n/&gt;!1\&amp;"</f>
        <v>#VALUE!</v>
      </c>
      <c r="AI328" t="e">
        <f>'North America'!A67+"n/&gt;!1\'"</f>
        <v>#VALUE!</v>
      </c>
      <c r="AJ328" t="e">
        <f>'North America'!B67+"n/&gt;!1\("</f>
        <v>#VALUE!</v>
      </c>
      <c r="AK328" t="e">
        <f>'North America'!C67+"n/&gt;!1\)"</f>
        <v>#VALUE!</v>
      </c>
      <c r="AL328" t="e">
        <f>'North America'!D67+"n/&gt;!1\."</f>
        <v>#VALUE!</v>
      </c>
      <c r="AM328" t="e">
        <f>'North America'!E67+"n/&gt;!1\/"</f>
        <v>#VALUE!</v>
      </c>
      <c r="AN328" t="e">
        <f>'North America'!F67+"n/&gt;!1\0"</f>
        <v>#VALUE!</v>
      </c>
      <c r="AO328" t="e">
        <f>'North America'!G67+"n/&gt;!1\1"</f>
        <v>#VALUE!</v>
      </c>
      <c r="AP328" t="e">
        <f>'North America'!H67+"n/&gt;!1\2"</f>
        <v>#VALUE!</v>
      </c>
      <c r="AQ328" t="e">
        <f>'North America'!I67+"n/&gt;!1\3"</f>
        <v>#VALUE!</v>
      </c>
      <c r="AR328" t="e">
        <f>'North America'!A68+"n/&gt;!1\4"</f>
        <v>#VALUE!</v>
      </c>
      <c r="AS328" t="e">
        <f>'North America'!B68+"n/&gt;!1\5"</f>
        <v>#VALUE!</v>
      </c>
      <c r="AT328" t="e">
        <f>'North America'!C68+"n/&gt;!1\6"</f>
        <v>#VALUE!</v>
      </c>
      <c r="AU328" t="e">
        <f>'North America'!D68+"n/&gt;!1\7"</f>
        <v>#VALUE!</v>
      </c>
      <c r="AV328" t="e">
        <f>'North America'!E68+"n/&gt;!1\8"</f>
        <v>#VALUE!</v>
      </c>
      <c r="AW328" t="e">
        <f>'North America'!F68+"n/&gt;!1\9"</f>
        <v>#VALUE!</v>
      </c>
      <c r="AX328" t="e">
        <f>'North America'!G68+"n/&gt;!1\:"</f>
        <v>#VALUE!</v>
      </c>
      <c r="AY328" t="e">
        <f>'North America'!H68+"n/&gt;!1\;"</f>
        <v>#VALUE!</v>
      </c>
      <c r="AZ328" t="e">
        <f>'North America'!I68+"n/&gt;!1\&lt;"</f>
        <v>#VALUE!</v>
      </c>
      <c r="BA328" t="e">
        <f>'North America'!A69+"n/&gt;!1\="</f>
        <v>#VALUE!</v>
      </c>
      <c r="BB328" t="e">
        <f>'North America'!B69+"n/&gt;!1\&gt;"</f>
        <v>#VALUE!</v>
      </c>
      <c r="BC328" t="e">
        <f>'North America'!C69+"n/&gt;!1\?"</f>
        <v>#VALUE!</v>
      </c>
      <c r="BD328" t="e">
        <f>'North America'!D69+"n/&gt;!1\@"</f>
        <v>#VALUE!</v>
      </c>
      <c r="BE328" t="e">
        <f>'North America'!E69+"n/&gt;!1\A"</f>
        <v>#VALUE!</v>
      </c>
      <c r="BF328" t="e">
        <f>'North America'!F69+"n/&gt;!1\B"</f>
        <v>#VALUE!</v>
      </c>
      <c r="BG328" t="e">
        <f>'North America'!G69+"n/&gt;!1\C"</f>
        <v>#VALUE!</v>
      </c>
      <c r="BH328" t="e">
        <f>'North America'!H69+"n/&gt;!1\D"</f>
        <v>#VALUE!</v>
      </c>
      <c r="BI328" t="e">
        <f>'North America'!I69+"n/&gt;!1\E"</f>
        <v>#VALUE!</v>
      </c>
      <c r="BJ328" t="e">
        <f>'North America'!A70+"n/&gt;!1\F"</f>
        <v>#VALUE!</v>
      </c>
      <c r="BK328" t="e">
        <f>'North America'!B70+"n/&gt;!1\G"</f>
        <v>#VALUE!</v>
      </c>
      <c r="BL328" t="e">
        <f>'North America'!C70+"n/&gt;!1\H"</f>
        <v>#VALUE!</v>
      </c>
      <c r="BM328" t="e">
        <f>'North America'!D70+"n/&gt;!1\I"</f>
        <v>#VALUE!</v>
      </c>
      <c r="BN328" t="e">
        <f>'North America'!E70+"n/&gt;!1\J"</f>
        <v>#VALUE!</v>
      </c>
      <c r="BO328" t="e">
        <f>'North America'!F70+"n/&gt;!1\K"</f>
        <v>#VALUE!</v>
      </c>
      <c r="BP328" t="e">
        <f>'North America'!G70+"n/&gt;!1\L"</f>
        <v>#VALUE!</v>
      </c>
      <c r="BQ328" t="e">
        <f>'North America'!H70+"n/&gt;!1\M"</f>
        <v>#VALUE!</v>
      </c>
      <c r="BR328" t="e">
        <f>'North America'!I70+"n/&gt;!1\N"</f>
        <v>#VALUE!</v>
      </c>
      <c r="BS328" t="e">
        <f>'North America'!A71+"n/&gt;!1\O"</f>
        <v>#VALUE!</v>
      </c>
      <c r="BT328" t="e">
        <f>'North America'!B71+"n/&gt;!1\P"</f>
        <v>#VALUE!</v>
      </c>
      <c r="BU328" t="e">
        <f>'North America'!C71+"n/&gt;!1\Q"</f>
        <v>#VALUE!</v>
      </c>
      <c r="BV328" t="e">
        <f>'North America'!D71+"n/&gt;!1\R"</f>
        <v>#VALUE!</v>
      </c>
      <c r="BW328" t="e">
        <f>'North America'!E71+"n/&gt;!1\S"</f>
        <v>#VALUE!</v>
      </c>
      <c r="BX328" t="e">
        <f>'North America'!F71+"n/&gt;!1\T"</f>
        <v>#VALUE!</v>
      </c>
      <c r="BY328" t="e">
        <f>'North America'!G71+"n/&gt;!1\U"</f>
        <v>#VALUE!</v>
      </c>
      <c r="BZ328" t="e">
        <f>'North America'!H71+"n/&gt;!1\V"</f>
        <v>#VALUE!</v>
      </c>
      <c r="CA328" t="e">
        <f>'North America'!I71+"n/&gt;!1\W"</f>
        <v>#VALUE!</v>
      </c>
      <c r="CB328" t="e">
        <f>'North America'!A72+"n/&gt;!1\X"</f>
        <v>#VALUE!</v>
      </c>
      <c r="CC328" t="e">
        <f>'North America'!B72+"n/&gt;!1\Y"</f>
        <v>#VALUE!</v>
      </c>
      <c r="CD328" t="e">
        <f>'North America'!C72+"n/&gt;!1\Z"</f>
        <v>#VALUE!</v>
      </c>
      <c r="CE328" t="e">
        <f>'North America'!D72+"n/&gt;!1\["</f>
        <v>#VALUE!</v>
      </c>
      <c r="CF328" t="e">
        <f>'North America'!E72+"n/&gt;!1\\"</f>
        <v>#VALUE!</v>
      </c>
      <c r="CG328" t="e">
        <f>'North America'!F72+"n/&gt;!1\]"</f>
        <v>#VALUE!</v>
      </c>
      <c r="CH328" t="e">
        <f>'North America'!G72+"n/&gt;!1\^"</f>
        <v>#VALUE!</v>
      </c>
      <c r="CI328" t="e">
        <f>'North America'!H72+"n/&gt;!1\_"</f>
        <v>#VALUE!</v>
      </c>
      <c r="CJ328" t="e">
        <f>'North America'!I72+"n/&gt;!1\`"</f>
        <v>#VALUE!</v>
      </c>
      <c r="CK328" t="e">
        <f>'North America'!A73+"n/&gt;!1\a"</f>
        <v>#VALUE!</v>
      </c>
      <c r="CL328" t="e">
        <f>'North America'!B73+"n/&gt;!1\b"</f>
        <v>#VALUE!</v>
      </c>
      <c r="CM328" t="e">
        <f>'North America'!C73+"n/&gt;!1\c"</f>
        <v>#VALUE!</v>
      </c>
      <c r="CN328" t="e">
        <f>'North America'!D73+"n/&gt;!1\d"</f>
        <v>#VALUE!</v>
      </c>
      <c r="CO328" t="e">
        <f>'North America'!E73+"n/&gt;!1\e"</f>
        <v>#VALUE!</v>
      </c>
      <c r="CP328" t="e">
        <f>'North America'!F73+"n/&gt;!1\f"</f>
        <v>#VALUE!</v>
      </c>
      <c r="CQ328" t="e">
        <f>'North America'!G73+"n/&gt;!1\g"</f>
        <v>#VALUE!</v>
      </c>
      <c r="CR328" t="e">
        <f>'North America'!H73+"n/&gt;!1\h"</f>
        <v>#VALUE!</v>
      </c>
      <c r="CS328" t="e">
        <f>'North America'!I73+"n/&gt;!1\i"</f>
        <v>#VALUE!</v>
      </c>
      <c r="CT328" t="e">
        <f>'North America'!A74+"n/&gt;!1\j"</f>
        <v>#VALUE!</v>
      </c>
      <c r="CU328" t="e">
        <f>'North America'!B74+"n/&gt;!1\k"</f>
        <v>#VALUE!</v>
      </c>
      <c r="CV328" t="e">
        <f>'North America'!C74+"n/&gt;!1\l"</f>
        <v>#VALUE!</v>
      </c>
      <c r="CW328" t="e">
        <f>'North America'!D74+"n/&gt;!1\m"</f>
        <v>#VALUE!</v>
      </c>
      <c r="CX328" t="e">
        <f>'North America'!E74+"n/&gt;!1\n"</f>
        <v>#VALUE!</v>
      </c>
      <c r="CY328" t="e">
        <f>'North America'!F74+"n/&gt;!1\o"</f>
        <v>#VALUE!</v>
      </c>
      <c r="CZ328" t="e">
        <f>'North America'!G74+"n/&gt;!1\p"</f>
        <v>#VALUE!</v>
      </c>
      <c r="DA328" t="e">
        <f>'North America'!H74+"n/&gt;!1\q"</f>
        <v>#VALUE!</v>
      </c>
      <c r="DB328" t="e">
        <f>'North America'!I74+"n/&gt;!1\r"</f>
        <v>#VALUE!</v>
      </c>
      <c r="DC328" t="e">
        <f>'North America'!A75+"n/&gt;!1\s"</f>
        <v>#VALUE!</v>
      </c>
      <c r="DD328" t="e">
        <f>'North America'!B75+"n/&gt;!1\t"</f>
        <v>#VALUE!</v>
      </c>
      <c r="DE328" t="e">
        <f>'North America'!C75+"n/&gt;!1\u"</f>
        <v>#VALUE!</v>
      </c>
      <c r="DF328" t="e">
        <f>'North America'!D75+"n/&gt;!1\v"</f>
        <v>#VALUE!</v>
      </c>
      <c r="DG328" t="e">
        <f>'North America'!E75+"n/&gt;!1\w"</f>
        <v>#VALUE!</v>
      </c>
      <c r="DH328" t="e">
        <f>'North America'!F75+"n/&gt;!1\x"</f>
        <v>#VALUE!</v>
      </c>
      <c r="DI328" t="e">
        <f>'North America'!G75+"n/&gt;!1\y"</f>
        <v>#VALUE!</v>
      </c>
      <c r="DJ328" t="e">
        <f>'North America'!H75+"n/&gt;!1\z"</f>
        <v>#VALUE!</v>
      </c>
      <c r="DK328" t="e">
        <f>'North America'!I75+"n/&gt;!1\{"</f>
        <v>#VALUE!</v>
      </c>
      <c r="DL328" t="e">
        <f>'North America'!A76+"n/&gt;!1\|"</f>
        <v>#VALUE!</v>
      </c>
      <c r="DM328" t="e">
        <f>'North America'!B76+"n/&gt;!1\}"</f>
        <v>#VALUE!</v>
      </c>
      <c r="DN328" t="e">
        <f>'North America'!C76+"n/&gt;!1\~"</f>
        <v>#VALUE!</v>
      </c>
      <c r="DO328" t="e">
        <f>'North America'!D76+"n/&gt;!1]#"</f>
        <v>#VALUE!</v>
      </c>
      <c r="DP328" t="e">
        <f>'North America'!E76+"n/&gt;!1]$"</f>
        <v>#VALUE!</v>
      </c>
      <c r="DQ328" t="e">
        <f>'North America'!F76+"n/&gt;!1]%"</f>
        <v>#VALUE!</v>
      </c>
      <c r="DR328" t="e">
        <f>'North America'!G76+"n/&gt;!1]&amp;"</f>
        <v>#VALUE!</v>
      </c>
      <c r="DS328" t="e">
        <f>'North America'!H76+"n/&gt;!1]'"</f>
        <v>#VALUE!</v>
      </c>
      <c r="DT328" t="e">
        <f>'North America'!I76+"n/&gt;!1]("</f>
        <v>#VALUE!</v>
      </c>
      <c r="DU328" t="e">
        <f>'North America'!A77+"n/&gt;!1])"</f>
        <v>#VALUE!</v>
      </c>
      <c r="DV328" t="e">
        <f>'North America'!B77+"n/&gt;!1]."</f>
        <v>#VALUE!</v>
      </c>
      <c r="DW328" t="e">
        <f>'North America'!C77+"n/&gt;!1]/"</f>
        <v>#VALUE!</v>
      </c>
      <c r="DX328" t="e">
        <f>'North America'!D77+"n/&gt;!1]0"</f>
        <v>#VALUE!</v>
      </c>
      <c r="DY328" t="e">
        <f>'North America'!E77+"n/&gt;!1]1"</f>
        <v>#VALUE!</v>
      </c>
      <c r="DZ328" t="e">
        <f>'North America'!F77+"n/&gt;!1]2"</f>
        <v>#VALUE!</v>
      </c>
      <c r="EA328" t="e">
        <f>'North America'!G77+"n/&gt;!1]3"</f>
        <v>#VALUE!</v>
      </c>
      <c r="EB328" t="e">
        <f>'North America'!H77+"n/&gt;!1]4"</f>
        <v>#VALUE!</v>
      </c>
      <c r="EC328" t="e">
        <f>'North America'!I77+"n/&gt;!1]5"</f>
        <v>#VALUE!</v>
      </c>
      <c r="ED328" t="e">
        <f>'North America'!A78+"n/&gt;!1]6"</f>
        <v>#VALUE!</v>
      </c>
      <c r="EE328" t="e">
        <f>'North America'!B78+"n/&gt;!1]7"</f>
        <v>#VALUE!</v>
      </c>
      <c r="EF328" t="e">
        <f>'North America'!C78+"n/&gt;!1]8"</f>
        <v>#VALUE!</v>
      </c>
      <c r="EG328" t="e">
        <f>'North America'!D78+"n/&gt;!1]9"</f>
        <v>#VALUE!</v>
      </c>
      <c r="EH328" t="e">
        <f>'North America'!E78+"n/&gt;!1]:"</f>
        <v>#VALUE!</v>
      </c>
      <c r="EI328" t="e">
        <f>'North America'!F78+"n/&gt;!1];"</f>
        <v>#VALUE!</v>
      </c>
      <c r="EJ328" t="e">
        <f>'North America'!G78+"n/&gt;!1]&lt;"</f>
        <v>#VALUE!</v>
      </c>
      <c r="EK328" t="e">
        <f>'North America'!H78+"n/&gt;!1]="</f>
        <v>#VALUE!</v>
      </c>
      <c r="EL328" t="e">
        <f>'North America'!I78+"n/&gt;!1]&gt;"</f>
        <v>#VALUE!</v>
      </c>
      <c r="EM328" t="e">
        <f>'North America'!A79+"n/&gt;!1]?"</f>
        <v>#VALUE!</v>
      </c>
      <c r="EN328" t="e">
        <f>'North America'!B79+"n/&gt;!1]@"</f>
        <v>#VALUE!</v>
      </c>
      <c r="EO328" t="e">
        <f>'North America'!C79+"n/&gt;!1]A"</f>
        <v>#VALUE!</v>
      </c>
      <c r="EP328" t="e">
        <f>'North America'!D79+"n/&gt;!1]B"</f>
        <v>#VALUE!</v>
      </c>
      <c r="EQ328" t="e">
        <f>'North America'!E79+"n/&gt;!1]C"</f>
        <v>#VALUE!</v>
      </c>
      <c r="ER328" t="e">
        <f>'North America'!F79+"n/&gt;!1]D"</f>
        <v>#VALUE!</v>
      </c>
      <c r="ES328" t="e">
        <f>'North America'!G79+"n/&gt;!1]E"</f>
        <v>#VALUE!</v>
      </c>
      <c r="ET328" t="e">
        <f>'North America'!H79+"n/&gt;!1]F"</f>
        <v>#VALUE!</v>
      </c>
      <c r="EU328" t="e">
        <f>'North America'!I79+"n/&gt;!1]G"</f>
        <v>#VALUE!</v>
      </c>
      <c r="EV328" t="e">
        <f>'North America'!A80+"n/&gt;!1]H"</f>
        <v>#VALUE!</v>
      </c>
      <c r="EW328" t="e">
        <f>'North America'!B80+"n/&gt;!1]I"</f>
        <v>#VALUE!</v>
      </c>
      <c r="EX328" t="e">
        <f>'North America'!C80+"n/&gt;!1]J"</f>
        <v>#VALUE!</v>
      </c>
      <c r="EY328" t="e">
        <f>'North America'!D80+"n/&gt;!1]K"</f>
        <v>#VALUE!</v>
      </c>
      <c r="EZ328" t="e">
        <f>'North America'!E80+"n/&gt;!1]L"</f>
        <v>#VALUE!</v>
      </c>
      <c r="FA328" t="e">
        <f>'North America'!F80+"n/&gt;!1]M"</f>
        <v>#VALUE!</v>
      </c>
      <c r="FB328" t="e">
        <f>'North America'!G80+"n/&gt;!1]N"</f>
        <v>#VALUE!</v>
      </c>
      <c r="FC328" t="e">
        <f>'North America'!H80+"n/&gt;!1]O"</f>
        <v>#VALUE!</v>
      </c>
      <c r="FD328" t="e">
        <f>'North America'!I80+"n/&gt;!1]P"</f>
        <v>#VALUE!</v>
      </c>
      <c r="FE328" t="e">
        <f>'North America'!A81+"n/&gt;!1]Q"</f>
        <v>#VALUE!</v>
      </c>
      <c r="FF328" t="e">
        <f>'North America'!B81+"n/&gt;!1]R"</f>
        <v>#VALUE!</v>
      </c>
      <c r="FG328" t="e">
        <f>'North America'!C81+"n/&gt;!1]S"</f>
        <v>#VALUE!</v>
      </c>
      <c r="FH328" t="e">
        <f>'North America'!D81+"n/&gt;!1]T"</f>
        <v>#VALUE!</v>
      </c>
      <c r="FI328" t="e">
        <f>'North America'!E81+"n/&gt;!1]U"</f>
        <v>#VALUE!</v>
      </c>
      <c r="FJ328" t="e">
        <f>'North America'!F81+"n/&gt;!1]V"</f>
        <v>#VALUE!</v>
      </c>
      <c r="FK328" t="e">
        <f>'North America'!G81+"n/&gt;!1]W"</f>
        <v>#VALUE!</v>
      </c>
      <c r="FL328" t="e">
        <f>'North America'!H81+"n/&gt;!1]X"</f>
        <v>#VALUE!</v>
      </c>
      <c r="FM328" t="e">
        <f>'North America'!I81+"n/&gt;!1]Y"</f>
        <v>#VALUE!</v>
      </c>
      <c r="FN328" t="e">
        <f>'North America'!A82+"n/&gt;!1]Z"</f>
        <v>#VALUE!</v>
      </c>
      <c r="FO328" t="e">
        <f>'North America'!B82+"n/&gt;!1]["</f>
        <v>#VALUE!</v>
      </c>
      <c r="FP328" t="e">
        <f>'North America'!C82+"n/&gt;!1]\"</f>
        <v>#VALUE!</v>
      </c>
      <c r="FQ328" t="e">
        <f>'North America'!D82+"n/&gt;!1]]"</f>
        <v>#VALUE!</v>
      </c>
      <c r="FR328" t="e">
        <f>'North America'!E82+"n/&gt;!1]^"</f>
        <v>#VALUE!</v>
      </c>
      <c r="FS328" t="e">
        <f>'North America'!F82+"n/&gt;!1]_"</f>
        <v>#VALUE!</v>
      </c>
      <c r="FT328" t="e">
        <f>'North America'!G82+"n/&gt;!1]`"</f>
        <v>#VALUE!</v>
      </c>
      <c r="FU328" t="e">
        <f>'North America'!H82+"n/&gt;!1]a"</f>
        <v>#VALUE!</v>
      </c>
      <c r="FV328" t="e">
        <f>'North America'!I82+"n/&gt;!1]b"</f>
        <v>#VALUE!</v>
      </c>
      <c r="FW328" t="e">
        <f>'North America'!A83+"n/&gt;!1]c"</f>
        <v>#VALUE!</v>
      </c>
      <c r="FX328" t="e">
        <f>'North America'!B83+"n/&gt;!1]d"</f>
        <v>#VALUE!</v>
      </c>
      <c r="FY328" t="e">
        <f>'North America'!C83+"n/&gt;!1]e"</f>
        <v>#VALUE!</v>
      </c>
      <c r="FZ328" t="e">
        <f>'North America'!D83+"n/&gt;!1]f"</f>
        <v>#VALUE!</v>
      </c>
      <c r="GA328" t="e">
        <f>'North America'!E83+"n/&gt;!1]g"</f>
        <v>#VALUE!</v>
      </c>
      <c r="GB328" t="e">
        <f>'North America'!F83+"n/&gt;!1]h"</f>
        <v>#VALUE!</v>
      </c>
      <c r="GC328" t="e">
        <f>'North America'!G83+"n/&gt;!1]i"</f>
        <v>#VALUE!</v>
      </c>
      <c r="GD328" t="e">
        <f>'North America'!H83+"n/&gt;!1]j"</f>
        <v>#VALUE!</v>
      </c>
      <c r="GE328" t="e">
        <f>'North America'!I83+"n/&gt;!1]k"</f>
        <v>#VALUE!</v>
      </c>
      <c r="GF328" t="e">
        <f>'North America'!A84+"n/&gt;!1]l"</f>
        <v>#VALUE!</v>
      </c>
      <c r="GG328" t="e">
        <f>'North America'!B84+"n/&gt;!1]m"</f>
        <v>#VALUE!</v>
      </c>
      <c r="GH328" t="e">
        <f>'North America'!C84+"n/&gt;!1]n"</f>
        <v>#VALUE!</v>
      </c>
      <c r="GI328" t="e">
        <f>'North America'!D84+"n/&gt;!1]o"</f>
        <v>#VALUE!</v>
      </c>
      <c r="GJ328" t="e">
        <f>'North America'!E84+"n/&gt;!1]p"</f>
        <v>#VALUE!</v>
      </c>
      <c r="GK328" t="e">
        <f>'North America'!F84+"n/&gt;!1]q"</f>
        <v>#VALUE!</v>
      </c>
      <c r="GL328" t="e">
        <f>'North America'!G84+"n/&gt;!1]r"</f>
        <v>#VALUE!</v>
      </c>
      <c r="GM328" t="e">
        <f>'North America'!H84+"n/&gt;!1]s"</f>
        <v>#VALUE!</v>
      </c>
      <c r="GN328" t="e">
        <f>'North America'!I84+"n/&gt;!1]t"</f>
        <v>#VALUE!</v>
      </c>
      <c r="GO328" t="e">
        <f>'North America'!A85+"n/&gt;!1]u"</f>
        <v>#VALUE!</v>
      </c>
      <c r="GP328" t="e">
        <f>'North America'!B85+"n/&gt;!1]v"</f>
        <v>#VALUE!</v>
      </c>
      <c r="GQ328" t="e">
        <f>'North America'!C85+"n/&gt;!1]w"</f>
        <v>#VALUE!</v>
      </c>
      <c r="GR328" t="e">
        <f>'North America'!D85+"n/&gt;!1]x"</f>
        <v>#VALUE!</v>
      </c>
      <c r="GS328" t="e">
        <f>'North America'!E85+"n/&gt;!1]y"</f>
        <v>#VALUE!</v>
      </c>
      <c r="GT328" t="e">
        <f>'North America'!F85+"n/&gt;!1]z"</f>
        <v>#VALUE!</v>
      </c>
      <c r="GU328" t="e">
        <f>'North America'!G85+"n/&gt;!1]{"</f>
        <v>#VALUE!</v>
      </c>
      <c r="GV328" t="e">
        <f>'North America'!H85+"n/&gt;!1]|"</f>
        <v>#VALUE!</v>
      </c>
      <c r="GW328" t="e">
        <f>'North America'!I85+"n/&gt;!1]}"</f>
        <v>#VALUE!</v>
      </c>
      <c r="GX328" t="e">
        <f>'North America'!A86+"n/&gt;!1]~"</f>
        <v>#VALUE!</v>
      </c>
      <c r="GY328" t="e">
        <f>'North America'!B86+"n/&gt;!1^#"</f>
        <v>#VALUE!</v>
      </c>
      <c r="GZ328" t="e">
        <f>'North America'!C86+"n/&gt;!1^$"</f>
        <v>#VALUE!</v>
      </c>
      <c r="HA328" t="e">
        <f>'North America'!D86+"n/&gt;!1^%"</f>
        <v>#VALUE!</v>
      </c>
      <c r="HB328" t="e">
        <f>'North America'!E86+"n/&gt;!1^&amp;"</f>
        <v>#VALUE!</v>
      </c>
      <c r="HC328" t="e">
        <f>'North America'!F86+"n/&gt;!1^'"</f>
        <v>#VALUE!</v>
      </c>
      <c r="HD328" t="e">
        <f>'North America'!G86+"n/&gt;!1^("</f>
        <v>#VALUE!</v>
      </c>
      <c r="HE328" t="e">
        <f>'North America'!H86+"n/&gt;!1^)"</f>
        <v>#VALUE!</v>
      </c>
      <c r="HF328" t="e">
        <f>'North America'!I86+"n/&gt;!1^."</f>
        <v>#VALUE!</v>
      </c>
      <c r="HG328" t="e">
        <f>'North America'!A87+"n/&gt;!1^/"</f>
        <v>#VALUE!</v>
      </c>
      <c r="HH328" t="e">
        <f>'North America'!B87+"n/&gt;!1^0"</f>
        <v>#VALUE!</v>
      </c>
      <c r="HI328" t="e">
        <f>'North America'!C87+"n/&gt;!1^1"</f>
        <v>#VALUE!</v>
      </c>
      <c r="HJ328" t="e">
        <f>'North America'!D87+"n/&gt;!1^2"</f>
        <v>#VALUE!</v>
      </c>
      <c r="HK328" t="e">
        <f>'North America'!E87+"n/&gt;!1^3"</f>
        <v>#VALUE!</v>
      </c>
      <c r="HL328" t="e">
        <f>'North America'!F87+"n/&gt;!1^4"</f>
        <v>#VALUE!</v>
      </c>
      <c r="HM328" t="e">
        <f>'North America'!G87+"n/&gt;!1^5"</f>
        <v>#VALUE!</v>
      </c>
      <c r="HN328" t="e">
        <f>'North America'!H87+"n/&gt;!1^6"</f>
        <v>#VALUE!</v>
      </c>
      <c r="HO328" t="e">
        <f>'North America'!I87+"n/&gt;!1^7"</f>
        <v>#VALUE!</v>
      </c>
      <c r="HP328" t="e">
        <f>'North America'!A88+"n/&gt;!1^8"</f>
        <v>#VALUE!</v>
      </c>
      <c r="HQ328" t="e">
        <f>'North America'!B88+"n/&gt;!1^9"</f>
        <v>#VALUE!</v>
      </c>
      <c r="HR328" t="e">
        <f>'North America'!C88+"n/&gt;!1^:"</f>
        <v>#VALUE!</v>
      </c>
      <c r="HS328" t="e">
        <f>'North America'!D88+"n/&gt;!1^;"</f>
        <v>#VALUE!</v>
      </c>
      <c r="HT328" t="e">
        <f>'North America'!E88+"n/&gt;!1^&lt;"</f>
        <v>#VALUE!</v>
      </c>
      <c r="HU328" t="e">
        <f>'North America'!F88+"n/&gt;!1^="</f>
        <v>#VALUE!</v>
      </c>
      <c r="HV328" t="e">
        <f>'North America'!G88+"n/&gt;!1^&gt;"</f>
        <v>#VALUE!</v>
      </c>
      <c r="HW328" t="e">
        <f>'North America'!H88+"n/&gt;!1^?"</f>
        <v>#VALUE!</v>
      </c>
      <c r="HX328" t="e">
        <f>'North America'!I88+"n/&gt;!1^@"</f>
        <v>#VALUE!</v>
      </c>
      <c r="HY328" t="e">
        <f>'North America'!A89+"n/&gt;!1^A"</f>
        <v>#VALUE!</v>
      </c>
      <c r="HZ328" t="e">
        <f>'North America'!B89+"n/&gt;!1^B"</f>
        <v>#VALUE!</v>
      </c>
      <c r="IA328" t="e">
        <f>'North America'!C89+"n/&gt;!1^C"</f>
        <v>#VALUE!</v>
      </c>
      <c r="IB328" t="e">
        <f>'North America'!D89+"n/&gt;!1^D"</f>
        <v>#VALUE!</v>
      </c>
      <c r="IC328" t="e">
        <f>'North America'!E89+"n/&gt;!1^E"</f>
        <v>#VALUE!</v>
      </c>
      <c r="ID328" t="e">
        <f>'North America'!F89+"n/&gt;!1^F"</f>
        <v>#VALUE!</v>
      </c>
      <c r="IE328" t="e">
        <f>'North America'!G89+"n/&gt;!1^G"</f>
        <v>#VALUE!</v>
      </c>
      <c r="IF328" t="e">
        <f>'North America'!H89+"n/&gt;!1^H"</f>
        <v>#VALUE!</v>
      </c>
      <c r="IG328" t="e">
        <f>'North America'!I89+"n/&gt;!1^I"</f>
        <v>#VALUE!</v>
      </c>
      <c r="IH328" t="e">
        <f>'North America'!A90+"n/&gt;!1^J"</f>
        <v>#VALUE!</v>
      </c>
      <c r="II328" t="e">
        <f>'North America'!B90+"n/&gt;!1^K"</f>
        <v>#VALUE!</v>
      </c>
      <c r="IJ328" t="e">
        <f>'North America'!C90+"n/&gt;!1^L"</f>
        <v>#VALUE!</v>
      </c>
      <c r="IK328" t="e">
        <f>'North America'!D90+"n/&gt;!1^M"</f>
        <v>#VALUE!</v>
      </c>
      <c r="IL328" t="e">
        <f>'North America'!E90+"n/&gt;!1^N"</f>
        <v>#VALUE!</v>
      </c>
      <c r="IM328" t="e">
        <f>'North America'!F90+"n/&gt;!1^O"</f>
        <v>#VALUE!</v>
      </c>
      <c r="IN328" t="e">
        <f>'North America'!G90+"n/&gt;!1^P"</f>
        <v>#VALUE!</v>
      </c>
      <c r="IO328" t="e">
        <f>'North America'!H90+"n/&gt;!1^Q"</f>
        <v>#VALUE!</v>
      </c>
      <c r="IP328" t="e">
        <f>'North America'!I90+"n/&gt;!1^R"</f>
        <v>#VALUE!</v>
      </c>
      <c r="IQ328" t="e">
        <f>'North America'!A91+"n/&gt;!1^S"</f>
        <v>#VALUE!</v>
      </c>
      <c r="IR328" t="e">
        <f>'North America'!B91+"n/&gt;!1^T"</f>
        <v>#VALUE!</v>
      </c>
      <c r="IS328" t="e">
        <f>'North America'!C91+"n/&gt;!1^U"</f>
        <v>#VALUE!</v>
      </c>
      <c r="IT328" t="e">
        <f>'North America'!D91+"n/&gt;!1^V"</f>
        <v>#VALUE!</v>
      </c>
      <c r="IU328" t="e">
        <f>'North America'!E91+"n/&gt;!1^W"</f>
        <v>#VALUE!</v>
      </c>
      <c r="IV328" t="e">
        <f>'North America'!F91+"n/&gt;!1^X"</f>
        <v>#VALUE!</v>
      </c>
    </row>
    <row r="329" spans="6:256" x14ac:dyDescent="0.35">
      <c r="F329" t="e">
        <f>'North America'!G91+"n/&gt;!1^Y"</f>
        <v>#VALUE!</v>
      </c>
      <c r="G329" t="e">
        <f>'North America'!H91+"n/&gt;!1^Z"</f>
        <v>#VALUE!</v>
      </c>
      <c r="H329" t="e">
        <f>'North America'!I91+"n/&gt;!1^["</f>
        <v>#VALUE!</v>
      </c>
      <c r="I329" t="e">
        <f>'North America'!A92+"n/&gt;!1^\"</f>
        <v>#VALUE!</v>
      </c>
      <c r="J329" t="e">
        <f>'North America'!B92+"n/&gt;!1^]"</f>
        <v>#VALUE!</v>
      </c>
      <c r="K329" t="e">
        <f>'North America'!C92+"n/&gt;!1^^"</f>
        <v>#VALUE!</v>
      </c>
      <c r="L329" t="e">
        <f>'North America'!D92+"n/&gt;!1^_"</f>
        <v>#VALUE!</v>
      </c>
      <c r="M329" t="e">
        <f>'North America'!E92+"n/&gt;!1^`"</f>
        <v>#VALUE!</v>
      </c>
      <c r="N329" t="e">
        <f>'North America'!F92+"n/&gt;!1^a"</f>
        <v>#VALUE!</v>
      </c>
      <c r="O329" t="e">
        <f>'North America'!G92+"n/&gt;!1^b"</f>
        <v>#VALUE!</v>
      </c>
      <c r="P329" t="e">
        <f>'North America'!H92+"n/&gt;!1^c"</f>
        <v>#VALUE!</v>
      </c>
      <c r="Q329" t="e">
        <f>'North America'!I92+"n/&gt;!1^d"</f>
        <v>#VALUE!</v>
      </c>
      <c r="R329" t="e">
        <f>'North America'!A93+"n/&gt;!1^e"</f>
        <v>#VALUE!</v>
      </c>
      <c r="S329" t="e">
        <f>'North America'!B93+"n/&gt;!1^f"</f>
        <v>#VALUE!</v>
      </c>
      <c r="T329" t="e">
        <f>'North America'!C93+"n/&gt;!1^g"</f>
        <v>#VALUE!</v>
      </c>
      <c r="U329" t="e">
        <f>'North America'!D93+"n/&gt;!1^h"</f>
        <v>#VALUE!</v>
      </c>
      <c r="V329" t="e">
        <f>'North America'!E93+"n/&gt;!1^i"</f>
        <v>#VALUE!</v>
      </c>
      <c r="W329" t="e">
        <f>'North America'!F93+"n/&gt;!1^j"</f>
        <v>#VALUE!</v>
      </c>
      <c r="X329" t="e">
        <f>'North America'!G93+"n/&gt;!1^k"</f>
        <v>#VALUE!</v>
      </c>
      <c r="Y329" t="e">
        <f>'North America'!H93+"n/&gt;!1^l"</f>
        <v>#VALUE!</v>
      </c>
      <c r="Z329" t="e">
        <f>'North America'!I93+"n/&gt;!1^m"</f>
        <v>#VALUE!</v>
      </c>
      <c r="AA329" t="e">
        <f>'North America'!A94+"n/&gt;!1^n"</f>
        <v>#VALUE!</v>
      </c>
      <c r="AB329" t="e">
        <f>'North America'!B94+"n/&gt;!1^o"</f>
        <v>#VALUE!</v>
      </c>
      <c r="AC329" t="e">
        <f>'North America'!C94+"n/&gt;!1^p"</f>
        <v>#VALUE!</v>
      </c>
      <c r="AD329" t="e">
        <f>'North America'!D94+"n/&gt;!1^q"</f>
        <v>#VALUE!</v>
      </c>
      <c r="AE329" t="e">
        <f>'North America'!E94+"n/&gt;!1^r"</f>
        <v>#VALUE!</v>
      </c>
      <c r="AF329" t="e">
        <f>'North America'!F94+"n/&gt;!1^s"</f>
        <v>#VALUE!</v>
      </c>
      <c r="AG329" t="e">
        <f>'North America'!G94+"n/&gt;!1^t"</f>
        <v>#VALUE!</v>
      </c>
      <c r="AH329" t="e">
        <f>'North America'!H94+"n/&gt;!1^u"</f>
        <v>#VALUE!</v>
      </c>
      <c r="AI329" t="e">
        <f>'North America'!I94+"n/&gt;!1^v"</f>
        <v>#VALUE!</v>
      </c>
      <c r="AJ329" t="e">
        <f>'North America'!A95+"n/&gt;!1^w"</f>
        <v>#VALUE!</v>
      </c>
      <c r="AK329" t="e">
        <f>'North America'!B95+"n/&gt;!1^x"</f>
        <v>#VALUE!</v>
      </c>
      <c r="AL329" t="e">
        <f>'North America'!C95+"n/&gt;!1^y"</f>
        <v>#VALUE!</v>
      </c>
      <c r="AM329" t="e">
        <f>'North America'!D95+"n/&gt;!1^z"</f>
        <v>#VALUE!</v>
      </c>
      <c r="AN329" t="e">
        <f>'North America'!E95+"n/&gt;!1^{"</f>
        <v>#VALUE!</v>
      </c>
      <c r="AO329" t="e">
        <f>'North America'!F95+"n/&gt;!1^|"</f>
        <v>#VALUE!</v>
      </c>
      <c r="AP329" t="e">
        <f>'North America'!G95+"n/&gt;!1^}"</f>
        <v>#VALUE!</v>
      </c>
      <c r="AQ329" t="e">
        <f>'North America'!H95+"n/&gt;!1^~"</f>
        <v>#VALUE!</v>
      </c>
      <c r="AR329" t="e">
        <f>'North America'!I95+"n/&gt;!1_#"</f>
        <v>#VALUE!</v>
      </c>
      <c r="AS329" t="e">
        <f>'North America'!A96+"n/&gt;!1_$"</f>
        <v>#VALUE!</v>
      </c>
      <c r="AT329" t="e">
        <f>'North America'!B96+"n/&gt;!1_%"</f>
        <v>#VALUE!</v>
      </c>
      <c r="AU329" t="e">
        <f>'North America'!C96+"n/&gt;!1_&amp;"</f>
        <v>#VALUE!</v>
      </c>
      <c r="AV329" t="e">
        <f>'North America'!D96+"n/&gt;!1_'"</f>
        <v>#VALUE!</v>
      </c>
      <c r="AW329" t="e">
        <f>'North America'!E96+"n/&gt;!1_("</f>
        <v>#VALUE!</v>
      </c>
      <c r="AX329" t="e">
        <f>'North America'!F96+"n/&gt;!1_)"</f>
        <v>#VALUE!</v>
      </c>
      <c r="AY329" t="e">
        <f>'North America'!G96+"n/&gt;!1_."</f>
        <v>#VALUE!</v>
      </c>
      <c r="AZ329" t="e">
        <f>'North America'!H96+"n/&gt;!1_/"</f>
        <v>#VALUE!</v>
      </c>
      <c r="BA329" t="e">
        <f>'North America'!I96+"n/&gt;!1_0"</f>
        <v>#VALUE!</v>
      </c>
      <c r="BB329" t="e">
        <f>'North America'!A97+"n/&gt;!1_1"</f>
        <v>#VALUE!</v>
      </c>
      <c r="BC329" t="e">
        <f>'North America'!B97+"n/&gt;!1_2"</f>
        <v>#VALUE!</v>
      </c>
      <c r="BD329" t="e">
        <f>'North America'!C97+"n/&gt;!1_3"</f>
        <v>#VALUE!</v>
      </c>
      <c r="BE329" t="e">
        <f>'North America'!D97+"n/&gt;!1_4"</f>
        <v>#VALUE!</v>
      </c>
      <c r="BF329" t="e">
        <f>'North America'!E97+"n/&gt;!1_5"</f>
        <v>#VALUE!</v>
      </c>
      <c r="BG329" t="e">
        <f>'North America'!F97+"n/&gt;!1_6"</f>
        <v>#VALUE!</v>
      </c>
      <c r="BH329" t="e">
        <f>'North America'!G97+"n/&gt;!1_7"</f>
        <v>#VALUE!</v>
      </c>
      <c r="BI329" t="e">
        <f>'North America'!H97+"n/&gt;!1_8"</f>
        <v>#VALUE!</v>
      </c>
      <c r="BJ329" t="e">
        <f>'North America'!I97+"n/&gt;!1_9"</f>
        <v>#VALUE!</v>
      </c>
      <c r="BK329" t="e">
        <f>'North America'!A98+"n/&gt;!1_:"</f>
        <v>#VALUE!</v>
      </c>
      <c r="BL329" t="e">
        <f>'North America'!B98+"n/&gt;!1_;"</f>
        <v>#VALUE!</v>
      </c>
      <c r="BM329" t="e">
        <f>'North America'!C98+"n/&gt;!1_&lt;"</f>
        <v>#VALUE!</v>
      </c>
      <c r="BN329" t="e">
        <f>'North America'!D98+"n/&gt;!1_="</f>
        <v>#VALUE!</v>
      </c>
      <c r="BO329" t="e">
        <f>'North America'!E98+"n/&gt;!1_&gt;"</f>
        <v>#VALUE!</v>
      </c>
      <c r="BP329" t="e">
        <f>'North America'!F98+"n/&gt;!1_?"</f>
        <v>#VALUE!</v>
      </c>
      <c r="BQ329" t="e">
        <f>'North America'!G98+"n/&gt;!1_@"</f>
        <v>#VALUE!</v>
      </c>
      <c r="BR329" t="e">
        <f>'North America'!H98+"n/&gt;!1_A"</f>
        <v>#VALUE!</v>
      </c>
      <c r="BS329" t="e">
        <f>'North America'!I98+"n/&gt;!1_B"</f>
        <v>#VALUE!</v>
      </c>
      <c r="BT329" t="e">
        <f>'North America'!A99+"n/&gt;!1_C"</f>
        <v>#VALUE!</v>
      </c>
      <c r="BU329" t="e">
        <f>'North America'!B99+"n/&gt;!1_D"</f>
        <v>#VALUE!</v>
      </c>
      <c r="BV329" t="e">
        <f>'North America'!C99+"n/&gt;!1_E"</f>
        <v>#VALUE!</v>
      </c>
      <c r="BW329" t="e">
        <f>'North America'!D99+"n/&gt;!1_F"</f>
        <v>#VALUE!</v>
      </c>
      <c r="BX329" t="e">
        <f>'North America'!E99+"n/&gt;!1_G"</f>
        <v>#VALUE!</v>
      </c>
      <c r="BY329" t="e">
        <f>'North America'!F99+"n/&gt;!1_H"</f>
        <v>#VALUE!</v>
      </c>
      <c r="BZ329" t="e">
        <f>'North America'!G99+"n/&gt;!1_I"</f>
        <v>#VALUE!</v>
      </c>
      <c r="CA329" t="e">
        <f>'North America'!H99+"n/&gt;!1_J"</f>
        <v>#VALUE!</v>
      </c>
      <c r="CB329" t="e">
        <f>'North America'!I99+"n/&gt;!1_K"</f>
        <v>#VALUE!</v>
      </c>
      <c r="CC329" t="e">
        <f>'North America'!A100+"n/&gt;!1_L"</f>
        <v>#VALUE!</v>
      </c>
      <c r="CD329" t="e">
        <f>'North America'!B100+"n/&gt;!1_M"</f>
        <v>#VALUE!</v>
      </c>
      <c r="CE329" t="e">
        <f>'North America'!C100+"n/&gt;!1_N"</f>
        <v>#VALUE!</v>
      </c>
      <c r="CF329" t="e">
        <f>'North America'!D100+"n/&gt;!1_O"</f>
        <v>#VALUE!</v>
      </c>
      <c r="CG329" t="e">
        <f>'North America'!E100+"n/&gt;!1_P"</f>
        <v>#VALUE!</v>
      </c>
      <c r="CH329" t="e">
        <f>'North America'!F100+"n/&gt;!1_Q"</f>
        <v>#VALUE!</v>
      </c>
      <c r="CI329" t="e">
        <f>'North America'!G100+"n/&gt;!1_R"</f>
        <v>#VALUE!</v>
      </c>
      <c r="CJ329" t="e">
        <f>'North America'!H100+"n/&gt;!1_S"</f>
        <v>#VALUE!</v>
      </c>
      <c r="CK329" t="e">
        <f>'North America'!I100+"n/&gt;!1_T"</f>
        <v>#VALUE!</v>
      </c>
      <c r="CL329" t="e">
        <f>'North America'!A101+"n/&gt;!1_U"</f>
        <v>#VALUE!</v>
      </c>
      <c r="CM329" t="e">
        <f>'North America'!B101+"n/&gt;!1_V"</f>
        <v>#VALUE!</v>
      </c>
      <c r="CN329" t="e">
        <f>'North America'!C101+"n/&gt;!1_W"</f>
        <v>#VALUE!</v>
      </c>
      <c r="CO329" t="e">
        <f>'North America'!D101+"n/&gt;!1_X"</f>
        <v>#VALUE!</v>
      </c>
      <c r="CP329" t="e">
        <f>'North America'!E101+"n/&gt;!1_Y"</f>
        <v>#VALUE!</v>
      </c>
      <c r="CQ329" t="e">
        <f>'North America'!F101+"n/&gt;!1_Z"</f>
        <v>#VALUE!</v>
      </c>
      <c r="CR329" t="e">
        <f>'North America'!G101+"n/&gt;!1_["</f>
        <v>#VALUE!</v>
      </c>
      <c r="CS329" t="e">
        <f>'North America'!H101+"n/&gt;!1_\"</f>
        <v>#VALUE!</v>
      </c>
      <c r="CT329" t="e">
        <f>'North America'!I101+"n/&gt;!1_]"</f>
        <v>#VALUE!</v>
      </c>
      <c r="CU329" t="e">
        <f>'North America'!A102+"n/&gt;!1_^"</f>
        <v>#VALUE!</v>
      </c>
      <c r="CV329" t="e">
        <f>'North America'!B102+"n/&gt;!1__"</f>
        <v>#VALUE!</v>
      </c>
      <c r="CW329" t="e">
        <f>'North America'!C102+"n/&gt;!1_`"</f>
        <v>#VALUE!</v>
      </c>
      <c r="CX329" t="e">
        <f>'North America'!D102+"n/&gt;!1_a"</f>
        <v>#VALUE!</v>
      </c>
      <c r="CY329" t="e">
        <f>'North America'!E102+"n/&gt;!1_b"</f>
        <v>#VALUE!</v>
      </c>
      <c r="CZ329" t="e">
        <f>'North America'!F102+"n/&gt;!1_c"</f>
        <v>#VALUE!</v>
      </c>
      <c r="DA329" t="e">
        <f>'North America'!G102+"n/&gt;!1_d"</f>
        <v>#VALUE!</v>
      </c>
      <c r="DB329" t="e">
        <f>'North America'!H102+"n/&gt;!1_e"</f>
        <v>#VALUE!</v>
      </c>
      <c r="DC329" t="e">
        <f>'North America'!I102+"n/&gt;!1_f"</f>
        <v>#VALUE!</v>
      </c>
      <c r="DD329" t="e">
        <f>'North America'!A103+"n/&gt;!1_g"</f>
        <v>#VALUE!</v>
      </c>
      <c r="DE329" t="e">
        <f>'North America'!B103+"n/&gt;!1_h"</f>
        <v>#VALUE!</v>
      </c>
      <c r="DF329" t="e">
        <f>'North America'!C103+"n/&gt;!1_i"</f>
        <v>#VALUE!</v>
      </c>
      <c r="DG329" t="e">
        <f>'North America'!D103+"n/&gt;!1_j"</f>
        <v>#VALUE!</v>
      </c>
      <c r="DH329" t="e">
        <f>'North America'!E103+"n/&gt;!1_k"</f>
        <v>#VALUE!</v>
      </c>
      <c r="DI329" t="e">
        <f>'North America'!F103+"n/&gt;!1_l"</f>
        <v>#VALUE!</v>
      </c>
      <c r="DJ329" t="e">
        <f>'North America'!G103+"n/&gt;!1_m"</f>
        <v>#VALUE!</v>
      </c>
      <c r="DK329" t="e">
        <f>'North America'!H103+"n/&gt;!1_n"</f>
        <v>#VALUE!</v>
      </c>
      <c r="DL329" t="e">
        <f>'North America'!I103+"n/&gt;!1_o"</f>
        <v>#VALUE!</v>
      </c>
      <c r="DM329" t="e">
        <f>'North America'!A104+"n/&gt;!1_p"</f>
        <v>#VALUE!</v>
      </c>
      <c r="DN329" t="e">
        <f>'North America'!B104+"n/&gt;!1_q"</f>
        <v>#VALUE!</v>
      </c>
      <c r="DO329" t="e">
        <f>'North America'!C104+"n/&gt;!1_r"</f>
        <v>#VALUE!</v>
      </c>
      <c r="DP329" t="e">
        <f>'North America'!D104+"n/&gt;!1_s"</f>
        <v>#VALUE!</v>
      </c>
      <c r="DQ329" t="e">
        <f>'North America'!E104+"n/&gt;!1_t"</f>
        <v>#VALUE!</v>
      </c>
      <c r="DR329" t="e">
        <f>'North America'!F104+"n/&gt;!1_u"</f>
        <v>#VALUE!</v>
      </c>
      <c r="DS329" t="e">
        <f>'North America'!G104+"n/&gt;!1_v"</f>
        <v>#VALUE!</v>
      </c>
      <c r="DT329" t="e">
        <f>'North America'!H104+"n/&gt;!1_w"</f>
        <v>#VALUE!</v>
      </c>
      <c r="DU329" t="e">
        <f>'North America'!I104+"n/&gt;!1_x"</f>
        <v>#VALUE!</v>
      </c>
      <c r="DV329" t="e">
        <f>'North America'!A105+"n/&gt;!1_y"</f>
        <v>#VALUE!</v>
      </c>
      <c r="DW329" t="e">
        <f>'North America'!B105+"n/&gt;!1_z"</f>
        <v>#VALUE!</v>
      </c>
      <c r="DX329" t="e">
        <f>'North America'!C105+"n/&gt;!1_{"</f>
        <v>#VALUE!</v>
      </c>
      <c r="DY329" t="e">
        <f>'North America'!D105+"n/&gt;!1_|"</f>
        <v>#VALUE!</v>
      </c>
      <c r="DZ329" t="e">
        <f>'North America'!E105+"n/&gt;!1_}"</f>
        <v>#VALUE!</v>
      </c>
      <c r="EA329" t="e">
        <f>'North America'!F105+"n/&gt;!1_~"</f>
        <v>#VALUE!</v>
      </c>
      <c r="EB329" t="e">
        <f>'North America'!G105+"n/&gt;!1`#"</f>
        <v>#VALUE!</v>
      </c>
      <c r="EC329" t="e">
        <f>'North America'!H105+"n/&gt;!1`$"</f>
        <v>#VALUE!</v>
      </c>
      <c r="ED329" t="e">
        <f>'North America'!I105+"n/&gt;!1`%"</f>
        <v>#VALUE!</v>
      </c>
      <c r="EE329" t="e">
        <f>'North America'!A106+"n/&gt;!1`&amp;"</f>
        <v>#VALUE!</v>
      </c>
      <c r="EF329" t="e">
        <f>'North America'!B106+"n/&gt;!1`'"</f>
        <v>#VALUE!</v>
      </c>
      <c r="EG329" t="e">
        <f>'North America'!C106+"n/&gt;!1`("</f>
        <v>#VALUE!</v>
      </c>
      <c r="EH329" t="e">
        <f>'North America'!D106+"n/&gt;!1`)"</f>
        <v>#VALUE!</v>
      </c>
      <c r="EI329" t="e">
        <f>'North America'!E106+"n/&gt;!1`."</f>
        <v>#VALUE!</v>
      </c>
      <c r="EJ329" t="e">
        <f>'North America'!F106+"n/&gt;!1`/"</f>
        <v>#VALUE!</v>
      </c>
      <c r="EK329" t="e">
        <f>'North America'!G106+"n/&gt;!1`0"</f>
        <v>#VALUE!</v>
      </c>
      <c r="EL329" t="e">
        <f>'North America'!H106+"n/&gt;!1`1"</f>
        <v>#VALUE!</v>
      </c>
      <c r="EM329" t="e">
        <f>'North America'!I106+"n/&gt;!1`2"</f>
        <v>#VALUE!</v>
      </c>
      <c r="EN329" t="e">
        <f>'North America'!A107+"n/&gt;!1`3"</f>
        <v>#VALUE!</v>
      </c>
      <c r="EO329" t="e">
        <f>'North America'!B107+"n/&gt;!1`4"</f>
        <v>#VALUE!</v>
      </c>
      <c r="EP329" t="e">
        <f>'North America'!C107+"n/&gt;!1`5"</f>
        <v>#VALUE!</v>
      </c>
      <c r="EQ329" t="e">
        <f>'North America'!D107+"n/&gt;!1`6"</f>
        <v>#VALUE!</v>
      </c>
      <c r="ER329" t="e">
        <f>'North America'!E107+"n/&gt;!1`7"</f>
        <v>#VALUE!</v>
      </c>
      <c r="ES329" t="e">
        <f>'North America'!F107+"n/&gt;!1`8"</f>
        <v>#VALUE!</v>
      </c>
      <c r="ET329" t="e">
        <f>'North America'!G107+"n/&gt;!1`9"</f>
        <v>#VALUE!</v>
      </c>
      <c r="EU329" t="e">
        <f>'North America'!H107+"n/&gt;!1`:"</f>
        <v>#VALUE!</v>
      </c>
      <c r="EV329" t="e">
        <f>'North America'!I107+"n/&gt;!1`;"</f>
        <v>#VALUE!</v>
      </c>
      <c r="EW329" t="e">
        <f>'North America'!A108+"n/&gt;!1`&lt;"</f>
        <v>#VALUE!</v>
      </c>
      <c r="EX329" t="e">
        <f>'North America'!B108+"n/&gt;!1`="</f>
        <v>#VALUE!</v>
      </c>
      <c r="EY329" t="e">
        <f>'North America'!C108+"n/&gt;!1`&gt;"</f>
        <v>#VALUE!</v>
      </c>
      <c r="EZ329" t="e">
        <f>'North America'!D108+"n/&gt;!1`?"</f>
        <v>#VALUE!</v>
      </c>
      <c r="FA329" t="e">
        <f>'North America'!E108+"n/&gt;!1`@"</f>
        <v>#VALUE!</v>
      </c>
      <c r="FB329" t="e">
        <f>'North America'!F108+"n/&gt;!1`A"</f>
        <v>#VALUE!</v>
      </c>
      <c r="FC329" t="e">
        <f>'North America'!G108+"n/&gt;!1`B"</f>
        <v>#VALUE!</v>
      </c>
      <c r="FD329" t="e">
        <f>'North America'!H108+"n/&gt;!1`C"</f>
        <v>#VALUE!</v>
      </c>
      <c r="FE329" t="e">
        <f>'North America'!I108+"n/&gt;!1`D"</f>
        <v>#VALUE!</v>
      </c>
      <c r="FF329" t="e">
        <f>'North America'!A109+"n/&gt;!1`E"</f>
        <v>#VALUE!</v>
      </c>
      <c r="FG329" t="e">
        <f>'North America'!B109+"n/&gt;!1`F"</f>
        <v>#VALUE!</v>
      </c>
      <c r="FH329" t="e">
        <f>'North America'!C109+"n/&gt;!1`G"</f>
        <v>#VALUE!</v>
      </c>
      <c r="FI329" t="e">
        <f>'North America'!D109+"n/&gt;!1`H"</f>
        <v>#VALUE!</v>
      </c>
      <c r="FJ329" t="e">
        <f>'North America'!E109+"n/&gt;!1`I"</f>
        <v>#VALUE!</v>
      </c>
      <c r="FK329" t="e">
        <f>'North America'!F109+"n/&gt;!1`J"</f>
        <v>#VALUE!</v>
      </c>
      <c r="FL329" t="e">
        <f>'North America'!G109+"n/&gt;!1`K"</f>
        <v>#VALUE!</v>
      </c>
      <c r="FM329" t="e">
        <f>'North America'!H109+"n/&gt;!1`L"</f>
        <v>#VALUE!</v>
      </c>
      <c r="FN329" t="e">
        <f>'North America'!I109+"n/&gt;!1`M"</f>
        <v>#VALUE!</v>
      </c>
      <c r="FO329" t="e">
        <f>'North America'!A110+"n/&gt;!1`N"</f>
        <v>#VALUE!</v>
      </c>
      <c r="FP329" t="e">
        <f>'North America'!B110+"n/&gt;!1`O"</f>
        <v>#VALUE!</v>
      </c>
      <c r="FQ329" t="e">
        <f>'North America'!C110+"n/&gt;!1`P"</f>
        <v>#VALUE!</v>
      </c>
      <c r="FR329" t="e">
        <f>'North America'!D110+"n/&gt;!1`Q"</f>
        <v>#VALUE!</v>
      </c>
      <c r="FS329" t="e">
        <f>'North America'!E110+"n/&gt;!1`R"</f>
        <v>#VALUE!</v>
      </c>
      <c r="FT329" t="e">
        <f>'North America'!F110+"n/&gt;!1`S"</f>
        <v>#VALUE!</v>
      </c>
      <c r="FU329" t="e">
        <f>'North America'!G110+"n/&gt;!1`T"</f>
        <v>#VALUE!</v>
      </c>
      <c r="FV329" t="e">
        <f>'North America'!H110+"n/&gt;!1`U"</f>
        <v>#VALUE!</v>
      </c>
      <c r="FW329" t="e">
        <f>'North America'!I110+"n/&gt;!1`V"</f>
        <v>#VALUE!</v>
      </c>
      <c r="FX329" t="e">
        <f>'North America'!A111+"n/&gt;!1`W"</f>
        <v>#VALUE!</v>
      </c>
      <c r="FY329" t="e">
        <f>'North America'!B111+"n/&gt;!1`X"</f>
        <v>#VALUE!</v>
      </c>
      <c r="FZ329" t="e">
        <f>'North America'!C111+"n/&gt;!1`Y"</f>
        <v>#VALUE!</v>
      </c>
      <c r="GA329" t="e">
        <f>'North America'!D111+"n/&gt;!1`Z"</f>
        <v>#VALUE!</v>
      </c>
      <c r="GB329" t="e">
        <f>'North America'!E111+"n/&gt;!1`["</f>
        <v>#VALUE!</v>
      </c>
      <c r="GC329" t="e">
        <f>'North America'!F111+"n/&gt;!1`\"</f>
        <v>#VALUE!</v>
      </c>
      <c r="GD329" t="e">
        <f>'North America'!G111+"n/&gt;!1`]"</f>
        <v>#VALUE!</v>
      </c>
      <c r="GE329" t="e">
        <f>'North America'!H111+"n/&gt;!1`^"</f>
        <v>#VALUE!</v>
      </c>
      <c r="GF329" t="e">
        <f>'North America'!I111+"n/&gt;!1`_"</f>
        <v>#VALUE!</v>
      </c>
      <c r="GG329" t="e">
        <f>'North America'!A112+"n/&gt;!1``"</f>
        <v>#VALUE!</v>
      </c>
      <c r="GH329" t="e">
        <f>'North America'!B112+"n/&gt;!1`a"</f>
        <v>#VALUE!</v>
      </c>
      <c r="GI329" t="e">
        <f>'North America'!C112+"n/&gt;!1`b"</f>
        <v>#VALUE!</v>
      </c>
      <c r="GJ329" t="e">
        <f>'North America'!D112+"n/&gt;!1`c"</f>
        <v>#VALUE!</v>
      </c>
      <c r="GK329" t="e">
        <f>'North America'!E112+"n/&gt;!1`d"</f>
        <v>#VALUE!</v>
      </c>
      <c r="GL329" t="e">
        <f>'North America'!F112+"n/&gt;!1`e"</f>
        <v>#VALUE!</v>
      </c>
      <c r="GM329" t="e">
        <f>'North America'!G112+"n/&gt;!1`f"</f>
        <v>#VALUE!</v>
      </c>
      <c r="GN329" t="e">
        <f>'North America'!H112+"n/&gt;!1`g"</f>
        <v>#VALUE!</v>
      </c>
      <c r="GO329" t="e">
        <f>'North America'!I112+"n/&gt;!1`h"</f>
        <v>#VALUE!</v>
      </c>
      <c r="GP329" t="e">
        <f>'North America'!A113+"n/&gt;!1`i"</f>
        <v>#VALUE!</v>
      </c>
      <c r="GQ329" t="e">
        <f>'North America'!B113+"n/&gt;!1`j"</f>
        <v>#VALUE!</v>
      </c>
      <c r="GR329" t="e">
        <f>'North America'!C113+"n/&gt;!1`k"</f>
        <v>#VALUE!</v>
      </c>
      <c r="GS329" t="e">
        <f>'North America'!D113+"n/&gt;!1`l"</f>
        <v>#VALUE!</v>
      </c>
      <c r="GT329" t="e">
        <f>'North America'!E113+"n/&gt;!1`m"</f>
        <v>#VALUE!</v>
      </c>
      <c r="GU329" t="e">
        <f>'North America'!F113+"n/&gt;!1`n"</f>
        <v>#VALUE!</v>
      </c>
      <c r="GV329" t="e">
        <f>'North America'!G113+"n/&gt;!1`o"</f>
        <v>#VALUE!</v>
      </c>
      <c r="GW329" t="e">
        <f>'North America'!H113+"n/&gt;!1`p"</f>
        <v>#VALUE!</v>
      </c>
      <c r="GX329" t="e">
        <f>'North America'!I113+"n/&gt;!1`q"</f>
        <v>#VALUE!</v>
      </c>
      <c r="GY329" t="e">
        <f>'North America'!A114+"n/&gt;!1`r"</f>
        <v>#VALUE!</v>
      </c>
      <c r="GZ329" t="e">
        <f>'North America'!B114+"n/&gt;!1`s"</f>
        <v>#VALUE!</v>
      </c>
      <c r="HA329" t="e">
        <f>'North America'!C114+"n/&gt;!1`t"</f>
        <v>#VALUE!</v>
      </c>
      <c r="HB329" t="e">
        <f>'North America'!D114+"n/&gt;!1`u"</f>
        <v>#VALUE!</v>
      </c>
      <c r="HC329" t="e">
        <f>'North America'!E114+"n/&gt;!1`v"</f>
        <v>#VALUE!</v>
      </c>
      <c r="HD329" t="e">
        <f>'North America'!F114+"n/&gt;!1`w"</f>
        <v>#VALUE!</v>
      </c>
      <c r="HE329" t="e">
        <f>'North America'!G114+"n/&gt;!1`x"</f>
        <v>#VALUE!</v>
      </c>
      <c r="HF329" t="e">
        <f>'North America'!H114+"n/&gt;!1`y"</f>
        <v>#VALUE!</v>
      </c>
      <c r="HG329" t="e">
        <f>'North America'!I114+"n/&gt;!1`z"</f>
        <v>#VALUE!</v>
      </c>
      <c r="HH329" t="e">
        <f>'North America'!A115+"n/&gt;!1`{"</f>
        <v>#VALUE!</v>
      </c>
      <c r="HI329" t="e">
        <f>'North America'!B115+"n/&gt;!1`|"</f>
        <v>#VALUE!</v>
      </c>
      <c r="HJ329" t="e">
        <f>'North America'!C115+"n/&gt;!1`}"</f>
        <v>#VALUE!</v>
      </c>
      <c r="HK329" t="e">
        <f>'North America'!D115+"n/&gt;!1`~"</f>
        <v>#VALUE!</v>
      </c>
      <c r="HL329" t="e">
        <f>'North America'!E115+"n/&gt;!1a#"</f>
        <v>#VALUE!</v>
      </c>
      <c r="HM329" t="e">
        <f>'North America'!F115+"n/&gt;!1a$"</f>
        <v>#VALUE!</v>
      </c>
      <c r="HN329" t="e">
        <f>'North America'!G115+"n/&gt;!1a%"</f>
        <v>#VALUE!</v>
      </c>
      <c r="HO329" t="e">
        <f>'North America'!H115+"n/&gt;!1a&amp;"</f>
        <v>#VALUE!</v>
      </c>
      <c r="HP329" t="e">
        <f>'North America'!I115+"n/&gt;!1a'"</f>
        <v>#VALUE!</v>
      </c>
      <c r="HQ329" t="e">
        <f>'North America'!A116+"n/&gt;!1a("</f>
        <v>#VALUE!</v>
      </c>
      <c r="HR329" t="e">
        <f>'North America'!B116+"n/&gt;!1a)"</f>
        <v>#VALUE!</v>
      </c>
      <c r="HS329" t="e">
        <f>'North America'!C116+"n/&gt;!1a."</f>
        <v>#VALUE!</v>
      </c>
      <c r="HT329" t="e">
        <f>'North America'!D116+"n/&gt;!1a/"</f>
        <v>#VALUE!</v>
      </c>
      <c r="HU329" t="e">
        <f>'North America'!E116+"n/&gt;!1a0"</f>
        <v>#VALUE!</v>
      </c>
      <c r="HV329" t="e">
        <f>'North America'!F116+"n/&gt;!1a1"</f>
        <v>#VALUE!</v>
      </c>
      <c r="HW329" t="e">
        <f>'North America'!G116+"n/&gt;!1a2"</f>
        <v>#VALUE!</v>
      </c>
      <c r="HX329" t="e">
        <f>'North America'!H116+"n/&gt;!1a3"</f>
        <v>#VALUE!</v>
      </c>
      <c r="HY329" t="e">
        <f>'North America'!I116+"n/&gt;!1a4"</f>
        <v>#VALUE!</v>
      </c>
      <c r="HZ329" t="e">
        <f>'North America'!A117+"n/&gt;!1a5"</f>
        <v>#VALUE!</v>
      </c>
      <c r="IA329" t="e">
        <f>'North America'!B117+"n/&gt;!1a6"</f>
        <v>#VALUE!</v>
      </c>
      <c r="IB329" t="e">
        <f>'North America'!C117+"n/&gt;!1a7"</f>
        <v>#VALUE!</v>
      </c>
      <c r="IC329" t="e">
        <f>'North America'!D117+"n/&gt;!1a8"</f>
        <v>#VALUE!</v>
      </c>
      <c r="ID329" t="e">
        <f>'North America'!E117+"n/&gt;!1a9"</f>
        <v>#VALUE!</v>
      </c>
      <c r="IE329" t="e">
        <f>'North America'!F117+"n/&gt;!1a:"</f>
        <v>#VALUE!</v>
      </c>
      <c r="IF329" t="e">
        <f>'North America'!G117+"n/&gt;!1a;"</f>
        <v>#VALUE!</v>
      </c>
      <c r="IG329" t="e">
        <f>'North America'!H117+"n/&gt;!1a&lt;"</f>
        <v>#VALUE!</v>
      </c>
      <c r="IH329" t="e">
        <f>'North America'!I117+"n/&gt;!1a="</f>
        <v>#VALUE!</v>
      </c>
      <c r="II329" t="e">
        <f>'North America'!A118+"n/&gt;!1a&gt;"</f>
        <v>#VALUE!</v>
      </c>
      <c r="IJ329" t="e">
        <f>'North America'!B118+"n/&gt;!1a?"</f>
        <v>#VALUE!</v>
      </c>
      <c r="IK329" t="e">
        <f>'North America'!C118+"n/&gt;!1a@"</f>
        <v>#VALUE!</v>
      </c>
      <c r="IL329" t="e">
        <f>'North America'!D118+"n/&gt;!1aA"</f>
        <v>#VALUE!</v>
      </c>
      <c r="IM329" t="e">
        <f>'North America'!E118+"n/&gt;!1aB"</f>
        <v>#VALUE!</v>
      </c>
      <c r="IN329" t="e">
        <f>'North America'!F118+"n/&gt;!1aC"</f>
        <v>#VALUE!</v>
      </c>
      <c r="IO329" t="e">
        <f>'North America'!G118+"n/&gt;!1aD"</f>
        <v>#VALUE!</v>
      </c>
      <c r="IP329" t="e">
        <f>'North America'!H118+"n/&gt;!1aE"</f>
        <v>#VALUE!</v>
      </c>
      <c r="IQ329" t="e">
        <f>'North America'!I118+"n/&gt;!1aF"</f>
        <v>#VALUE!</v>
      </c>
      <c r="IR329" t="e">
        <f>'North America'!A119+"n/&gt;!1aG"</f>
        <v>#VALUE!</v>
      </c>
      <c r="IS329" t="e">
        <f>'North America'!B119+"n/&gt;!1aH"</f>
        <v>#VALUE!</v>
      </c>
      <c r="IT329" t="e">
        <f>'North America'!C119+"n/&gt;!1aI"</f>
        <v>#VALUE!</v>
      </c>
      <c r="IU329" t="e">
        <f>'North America'!D119+"n/&gt;!1aJ"</f>
        <v>#VALUE!</v>
      </c>
      <c r="IV329" t="e">
        <f>'North America'!E119+"n/&gt;!1aK"</f>
        <v>#VALUE!</v>
      </c>
    </row>
    <row r="330" spans="6:256" x14ac:dyDescent="0.35">
      <c r="F330" t="e">
        <f>'North America'!F119+"n/&gt;!1aL"</f>
        <v>#VALUE!</v>
      </c>
      <c r="G330" t="e">
        <f>'North America'!G119+"n/&gt;!1aM"</f>
        <v>#VALUE!</v>
      </c>
      <c r="H330" t="e">
        <f>'North America'!H119+"n/&gt;!1aN"</f>
        <v>#VALUE!</v>
      </c>
      <c r="I330" t="e">
        <f>'North America'!I119+"n/&gt;!1aO"</f>
        <v>#VALUE!</v>
      </c>
      <c r="J330" t="e">
        <f>'North America'!A120+"n/&gt;!1aP"</f>
        <v>#VALUE!</v>
      </c>
      <c r="K330" t="e">
        <f>'North America'!B120+"n/&gt;!1aQ"</f>
        <v>#VALUE!</v>
      </c>
      <c r="L330" t="e">
        <f>'North America'!C120+"n/&gt;!1aR"</f>
        <v>#VALUE!</v>
      </c>
      <c r="M330" t="e">
        <f>'North America'!D120+"n/&gt;!1aS"</f>
        <v>#VALUE!</v>
      </c>
      <c r="N330" t="e">
        <f>'North America'!E120+"n/&gt;!1aT"</f>
        <v>#VALUE!</v>
      </c>
      <c r="O330" t="e">
        <f>'North America'!F120+"n/&gt;!1aU"</f>
        <v>#VALUE!</v>
      </c>
      <c r="P330" t="e">
        <f>'North America'!G120+"n/&gt;!1aV"</f>
        <v>#VALUE!</v>
      </c>
      <c r="Q330" t="e">
        <f>'North America'!H120+"n/&gt;!1aW"</f>
        <v>#VALUE!</v>
      </c>
      <c r="R330" t="e">
        <f>'North America'!I120+"n/&gt;!1aX"</f>
        <v>#VALUE!</v>
      </c>
      <c r="S330" t="e">
        <f>'North America'!A121+"n/&gt;!1aY"</f>
        <v>#VALUE!</v>
      </c>
      <c r="T330" t="e">
        <f>'North America'!B121+"n/&gt;!1aZ"</f>
        <v>#VALUE!</v>
      </c>
      <c r="U330" t="e">
        <f>'North America'!C121+"n/&gt;!1a["</f>
        <v>#VALUE!</v>
      </c>
      <c r="V330" t="e">
        <f>'North America'!D121+"n/&gt;!1a\"</f>
        <v>#VALUE!</v>
      </c>
      <c r="W330" t="e">
        <f>'North America'!E121+"n/&gt;!1a]"</f>
        <v>#VALUE!</v>
      </c>
      <c r="X330" t="e">
        <f>'North America'!F121+"n/&gt;!1a^"</f>
        <v>#VALUE!</v>
      </c>
      <c r="Y330" t="e">
        <f>'North America'!G121+"n/&gt;!1a_"</f>
        <v>#VALUE!</v>
      </c>
      <c r="Z330" t="e">
        <f>'North America'!H121+"n/&gt;!1a`"</f>
        <v>#VALUE!</v>
      </c>
      <c r="AA330" t="e">
        <f>'North America'!I121+"n/&gt;!1aa"</f>
        <v>#VALUE!</v>
      </c>
      <c r="AB330" t="e">
        <f>'North America'!A122+"n/&gt;!1ab"</f>
        <v>#VALUE!</v>
      </c>
      <c r="AC330" t="e">
        <f>'North America'!B122+"n/&gt;!1ac"</f>
        <v>#VALUE!</v>
      </c>
      <c r="AD330" t="e">
        <f>'North America'!C122+"n/&gt;!1ad"</f>
        <v>#VALUE!</v>
      </c>
      <c r="AE330" t="e">
        <f>'North America'!D122+"n/&gt;!1ae"</f>
        <v>#VALUE!</v>
      </c>
      <c r="AF330" t="e">
        <f>'North America'!E122+"n/&gt;!1af"</f>
        <v>#VALUE!</v>
      </c>
      <c r="AG330" t="e">
        <f>'North America'!F122+"n/&gt;!1ag"</f>
        <v>#VALUE!</v>
      </c>
      <c r="AH330" t="e">
        <f>'North America'!G122+"n/&gt;!1ah"</f>
        <v>#VALUE!</v>
      </c>
      <c r="AI330" t="e">
        <f>'North America'!H122+"n/&gt;!1ai"</f>
        <v>#VALUE!</v>
      </c>
      <c r="AJ330" t="e">
        <f>'North America'!I122+"n/&gt;!1aj"</f>
        <v>#VALUE!</v>
      </c>
      <c r="AK330" t="e">
        <f>'North America'!A123+"n/&gt;!1ak"</f>
        <v>#VALUE!</v>
      </c>
      <c r="AL330" t="e">
        <f>'North America'!B123+"n/&gt;!1al"</f>
        <v>#VALUE!</v>
      </c>
      <c r="AM330" t="e">
        <f>'North America'!C123+"n/&gt;!1am"</f>
        <v>#VALUE!</v>
      </c>
      <c r="AN330" t="e">
        <f>'North America'!D123+"n/&gt;!1an"</f>
        <v>#VALUE!</v>
      </c>
      <c r="AO330" t="e">
        <f>'North America'!E123+"n/&gt;!1ao"</f>
        <v>#VALUE!</v>
      </c>
      <c r="AP330" t="e">
        <f>'North America'!F123+"n/&gt;!1ap"</f>
        <v>#VALUE!</v>
      </c>
      <c r="AQ330" t="e">
        <f>'North America'!G123+"n/&gt;!1aq"</f>
        <v>#VALUE!</v>
      </c>
      <c r="AR330" t="e">
        <f>'North America'!H123+"n/&gt;!1ar"</f>
        <v>#VALUE!</v>
      </c>
      <c r="AS330" t="e">
        <f>'North America'!I123+"n/&gt;!1as"</f>
        <v>#VALUE!</v>
      </c>
      <c r="AT330" t="e">
        <f>'North America'!A124+"n/&gt;!1at"</f>
        <v>#VALUE!</v>
      </c>
      <c r="AU330" t="e">
        <f>'North America'!B124+"n/&gt;!1au"</f>
        <v>#VALUE!</v>
      </c>
      <c r="AV330" t="e">
        <f>'North America'!C124+"n/&gt;!1av"</f>
        <v>#VALUE!</v>
      </c>
      <c r="AW330" t="e">
        <f>'North America'!D124+"n/&gt;!1aw"</f>
        <v>#VALUE!</v>
      </c>
      <c r="AX330" t="e">
        <f>'North America'!E124+"n/&gt;!1ax"</f>
        <v>#VALUE!</v>
      </c>
      <c r="AY330" t="e">
        <f>'North America'!F124+"n/&gt;!1ay"</f>
        <v>#VALUE!</v>
      </c>
      <c r="AZ330" t="e">
        <f>'North America'!G124+"n/&gt;!1az"</f>
        <v>#VALUE!</v>
      </c>
      <c r="BA330" t="e">
        <f>'North America'!H124+"n/&gt;!1a{"</f>
        <v>#VALUE!</v>
      </c>
      <c r="BB330" t="e">
        <f>'North America'!I124+"n/&gt;!1a|"</f>
        <v>#VALUE!</v>
      </c>
      <c r="BC330" t="e">
        <f>'North America'!A125+"n/&gt;!1a}"</f>
        <v>#VALUE!</v>
      </c>
      <c r="BD330" t="e">
        <f>'North America'!B125+"n/&gt;!1a~"</f>
        <v>#VALUE!</v>
      </c>
      <c r="BE330" t="e">
        <f>'North America'!C125+"n/&gt;!1b#"</f>
        <v>#VALUE!</v>
      </c>
      <c r="BF330" t="e">
        <f>'North America'!D125+"n/&gt;!1b$"</f>
        <v>#VALUE!</v>
      </c>
      <c r="BG330" t="e">
        <f>'North America'!E125+"n/&gt;!1b%"</f>
        <v>#VALUE!</v>
      </c>
      <c r="BH330" t="e">
        <f>'North America'!F125+"n/&gt;!1b&amp;"</f>
        <v>#VALUE!</v>
      </c>
      <c r="BI330" t="e">
        <f>'North America'!G125+"n/&gt;!1b'"</f>
        <v>#VALUE!</v>
      </c>
      <c r="BJ330" t="e">
        <f>'North America'!H125+"n/&gt;!1b("</f>
        <v>#VALUE!</v>
      </c>
      <c r="BK330" t="e">
        <f>'North America'!I125+"n/&gt;!1b)"</f>
        <v>#VALUE!</v>
      </c>
      <c r="BL330" t="e">
        <f>'North America'!A126+"n/&gt;!1b."</f>
        <v>#VALUE!</v>
      </c>
      <c r="BM330" t="e">
        <f>'North America'!B126+"n/&gt;!1b/"</f>
        <v>#VALUE!</v>
      </c>
      <c r="BN330" t="e">
        <f>'North America'!C126+"n/&gt;!1b0"</f>
        <v>#VALUE!</v>
      </c>
      <c r="BO330" t="e">
        <f>'North America'!D126+"n/&gt;!1b1"</f>
        <v>#VALUE!</v>
      </c>
      <c r="BP330" t="e">
        <f>'North America'!E126+"n/&gt;!1b2"</f>
        <v>#VALUE!</v>
      </c>
      <c r="BQ330" t="e">
        <f>'North America'!F126+"n/&gt;!1b3"</f>
        <v>#VALUE!</v>
      </c>
      <c r="BR330" t="e">
        <f>'North America'!G126+"n/&gt;!1b4"</f>
        <v>#VALUE!</v>
      </c>
      <c r="BS330" t="e">
        <f>'North America'!H126+"n/&gt;!1b5"</f>
        <v>#VALUE!</v>
      </c>
      <c r="BT330" t="e">
        <f>'North America'!I126+"n/&gt;!1b6"</f>
        <v>#VALUE!</v>
      </c>
      <c r="BU330" t="e">
        <f>'North America'!A127+"n/&gt;!1b7"</f>
        <v>#VALUE!</v>
      </c>
      <c r="BV330" t="e">
        <f>'North America'!B127+"n/&gt;!1b8"</f>
        <v>#VALUE!</v>
      </c>
      <c r="BW330" t="e">
        <f>'North America'!C127+"n/&gt;!1b9"</f>
        <v>#VALUE!</v>
      </c>
      <c r="BX330" t="e">
        <f>'North America'!D127+"n/&gt;!1b:"</f>
        <v>#VALUE!</v>
      </c>
      <c r="BY330" t="e">
        <f>'North America'!E127+"n/&gt;!1b;"</f>
        <v>#VALUE!</v>
      </c>
      <c r="BZ330" t="e">
        <f>'North America'!F127+"n/&gt;!1b&lt;"</f>
        <v>#VALUE!</v>
      </c>
      <c r="CA330" t="e">
        <f>'North America'!G127+"n/&gt;!1b="</f>
        <v>#VALUE!</v>
      </c>
      <c r="CB330" t="e">
        <f>'North America'!H127+"n/&gt;!1b&gt;"</f>
        <v>#VALUE!</v>
      </c>
      <c r="CC330" t="e">
        <f>'North America'!I127+"n/&gt;!1b?"</f>
        <v>#VALUE!</v>
      </c>
      <c r="CD330" t="e">
        <f>'North America'!A128+"n/&gt;!1b@"</f>
        <v>#VALUE!</v>
      </c>
      <c r="CE330" t="e">
        <f>'North America'!B128+"n/&gt;!1bA"</f>
        <v>#VALUE!</v>
      </c>
      <c r="CF330" t="e">
        <f>'North America'!C128+"n/&gt;!1bB"</f>
        <v>#VALUE!</v>
      </c>
      <c r="CG330" t="e">
        <f>'North America'!D128+"n/&gt;!1bC"</f>
        <v>#VALUE!</v>
      </c>
      <c r="CH330" t="e">
        <f>'North America'!E128+"n/&gt;!1bD"</f>
        <v>#VALUE!</v>
      </c>
      <c r="CI330" t="e">
        <f>'North America'!F128+"n/&gt;!1bE"</f>
        <v>#VALUE!</v>
      </c>
      <c r="CJ330" t="e">
        <f>'North America'!G128+"n/&gt;!1bF"</f>
        <v>#VALUE!</v>
      </c>
      <c r="CK330" t="e">
        <f>'North America'!H128+"n/&gt;!1bG"</f>
        <v>#VALUE!</v>
      </c>
      <c r="CL330" t="e">
        <f>'North America'!I128+"n/&gt;!1bH"</f>
        <v>#VALUE!</v>
      </c>
      <c r="CM330" t="e">
        <f>'North America'!A129+"n/&gt;!1bI"</f>
        <v>#VALUE!</v>
      </c>
      <c r="CN330" t="e">
        <f>'North America'!B129+"n/&gt;!1bJ"</f>
        <v>#VALUE!</v>
      </c>
      <c r="CO330" t="e">
        <f>'North America'!C129+"n/&gt;!1bK"</f>
        <v>#VALUE!</v>
      </c>
      <c r="CP330" t="e">
        <f>'North America'!D129+"n/&gt;!1bL"</f>
        <v>#VALUE!</v>
      </c>
      <c r="CQ330" t="e">
        <f>'North America'!E129+"n/&gt;!1bM"</f>
        <v>#VALUE!</v>
      </c>
      <c r="CR330" t="e">
        <f>'North America'!F129+"n/&gt;!1bN"</f>
        <v>#VALUE!</v>
      </c>
      <c r="CS330" t="e">
        <f>'North America'!G129+"n/&gt;!1bO"</f>
        <v>#VALUE!</v>
      </c>
      <c r="CT330" t="e">
        <f>'North America'!H129+"n/&gt;!1bP"</f>
        <v>#VALUE!</v>
      </c>
      <c r="CU330" t="e">
        <f>'North America'!I129+"n/&gt;!1bQ"</f>
        <v>#VALUE!</v>
      </c>
      <c r="CV330" t="e">
        <f>'North America'!A130+"n/&gt;!1bR"</f>
        <v>#VALUE!</v>
      </c>
      <c r="CW330" t="e">
        <f>'North America'!B130+"n/&gt;!1bS"</f>
        <v>#VALUE!</v>
      </c>
      <c r="CX330" t="e">
        <f>'North America'!C130+"n/&gt;!1bT"</f>
        <v>#VALUE!</v>
      </c>
      <c r="CY330" t="e">
        <f>'North America'!D130+"n/&gt;!1bU"</f>
        <v>#VALUE!</v>
      </c>
      <c r="CZ330" t="e">
        <f>'North America'!E130+"n/&gt;!1bV"</f>
        <v>#VALUE!</v>
      </c>
      <c r="DA330" t="e">
        <f>'North America'!F130+"n/&gt;!1bW"</f>
        <v>#VALUE!</v>
      </c>
      <c r="DB330" t="e">
        <f>'North America'!G130+"n/&gt;!1bX"</f>
        <v>#VALUE!</v>
      </c>
      <c r="DC330" t="e">
        <f>'North America'!H130+"n/&gt;!1bY"</f>
        <v>#VALUE!</v>
      </c>
      <c r="DD330" t="e">
        <f>'North America'!I130+"n/&gt;!1bZ"</f>
        <v>#VALUE!</v>
      </c>
      <c r="DE330" t="e">
        <f>'North America'!A131+"n/&gt;!1b["</f>
        <v>#VALUE!</v>
      </c>
      <c r="DF330" t="e">
        <f>'North America'!B131+"n/&gt;!1b\"</f>
        <v>#VALUE!</v>
      </c>
      <c r="DG330" t="e">
        <f>'North America'!C131+"n/&gt;!1b]"</f>
        <v>#VALUE!</v>
      </c>
      <c r="DH330" t="e">
        <f>'North America'!D131+"n/&gt;!1b^"</f>
        <v>#VALUE!</v>
      </c>
      <c r="DI330" t="e">
        <f>'North America'!E131+"n/&gt;!1b_"</f>
        <v>#VALUE!</v>
      </c>
      <c r="DJ330" t="e">
        <f>'North America'!F131+"n/&gt;!1b`"</f>
        <v>#VALUE!</v>
      </c>
      <c r="DK330" t="e">
        <f>'North America'!G131+"n/&gt;!1ba"</f>
        <v>#VALUE!</v>
      </c>
      <c r="DL330" t="e">
        <f>'North America'!H131+"n/&gt;!1bb"</f>
        <v>#VALUE!</v>
      </c>
      <c r="DM330" t="e">
        <f>'North America'!I131+"n/&gt;!1bc"</f>
        <v>#VALUE!</v>
      </c>
      <c r="DN330" t="e">
        <f>'North America'!A132+"n/&gt;!1bd"</f>
        <v>#VALUE!</v>
      </c>
      <c r="DO330" t="e">
        <f>'North America'!B132+"n/&gt;!1be"</f>
        <v>#VALUE!</v>
      </c>
      <c r="DP330" t="e">
        <f>'North America'!C132+"n/&gt;!1bf"</f>
        <v>#VALUE!</v>
      </c>
      <c r="DQ330" t="e">
        <f>'North America'!D132+"n/&gt;!1bg"</f>
        <v>#VALUE!</v>
      </c>
      <c r="DR330" t="e">
        <f>'North America'!E132+"n/&gt;!1bh"</f>
        <v>#VALUE!</v>
      </c>
      <c r="DS330" t="e">
        <f>'North America'!F132+"n/&gt;!1bi"</f>
        <v>#VALUE!</v>
      </c>
      <c r="DT330" t="e">
        <f>'North America'!G132+"n/&gt;!1bj"</f>
        <v>#VALUE!</v>
      </c>
      <c r="DU330" t="e">
        <f>'North America'!H132+"n/&gt;!1bk"</f>
        <v>#VALUE!</v>
      </c>
      <c r="DV330" t="e">
        <f>'North America'!I132+"n/&gt;!1bl"</f>
        <v>#VALUE!</v>
      </c>
      <c r="DW330" t="e">
        <f>'North America'!A133+"n/&gt;!1bm"</f>
        <v>#VALUE!</v>
      </c>
      <c r="DX330" t="e">
        <f>'North America'!B133+"n/&gt;!1bn"</f>
        <v>#VALUE!</v>
      </c>
      <c r="DY330" t="e">
        <f>'North America'!C133+"n/&gt;!1bo"</f>
        <v>#VALUE!</v>
      </c>
      <c r="DZ330" t="e">
        <f>'North America'!D133+"n/&gt;!1bp"</f>
        <v>#VALUE!</v>
      </c>
      <c r="EA330" t="e">
        <f>'North America'!E133+"n/&gt;!1bq"</f>
        <v>#VALUE!</v>
      </c>
      <c r="EB330" t="e">
        <f>'North America'!F133+"n/&gt;!1br"</f>
        <v>#VALUE!</v>
      </c>
      <c r="EC330" t="e">
        <f>'North America'!G133+"n/&gt;!1bs"</f>
        <v>#VALUE!</v>
      </c>
      <c r="ED330" t="e">
        <f>'North America'!H133+"n/&gt;!1bt"</f>
        <v>#VALUE!</v>
      </c>
      <c r="EE330" t="e">
        <f>'North America'!I133+"n/&gt;!1bu"</f>
        <v>#VALUE!</v>
      </c>
      <c r="EF330" t="e">
        <f>'North America'!A134+"n/&gt;!1bv"</f>
        <v>#VALUE!</v>
      </c>
      <c r="EG330" t="e">
        <f>'North America'!B134+"n/&gt;!1bw"</f>
        <v>#VALUE!</v>
      </c>
      <c r="EH330" t="e">
        <f>'North America'!C134+"n/&gt;!1bx"</f>
        <v>#VALUE!</v>
      </c>
      <c r="EI330" t="e">
        <f>'North America'!D134+"n/&gt;!1by"</f>
        <v>#VALUE!</v>
      </c>
      <c r="EJ330" t="e">
        <f>'North America'!E134+"n/&gt;!1bz"</f>
        <v>#VALUE!</v>
      </c>
      <c r="EK330" t="e">
        <f>'North America'!F134+"n/&gt;!1b{"</f>
        <v>#VALUE!</v>
      </c>
      <c r="EL330" t="e">
        <f>'North America'!G134+"n/&gt;!1b|"</f>
        <v>#VALUE!</v>
      </c>
      <c r="EM330" t="e">
        <f>'North America'!H134+"n/&gt;!1b}"</f>
        <v>#VALUE!</v>
      </c>
      <c r="EN330" t="e">
        <f>'North America'!I134+"n/&gt;!1b~"</f>
        <v>#VALUE!</v>
      </c>
      <c r="EO330" t="e">
        <f>'North America'!A135+"n/&gt;!1c#"</f>
        <v>#VALUE!</v>
      </c>
      <c r="EP330" t="e">
        <f>'North America'!B135+"n/&gt;!1c$"</f>
        <v>#VALUE!</v>
      </c>
      <c r="EQ330" t="e">
        <f>'North America'!C135+"n/&gt;!1c%"</f>
        <v>#VALUE!</v>
      </c>
      <c r="ER330" t="e">
        <f>'North America'!D135+"n/&gt;!1c&amp;"</f>
        <v>#VALUE!</v>
      </c>
      <c r="ES330" t="e">
        <f>'North America'!E135+"n/&gt;!1c'"</f>
        <v>#VALUE!</v>
      </c>
      <c r="ET330" t="e">
        <f>'North America'!F135+"n/&gt;!1c("</f>
        <v>#VALUE!</v>
      </c>
      <c r="EU330" t="e">
        <f>'North America'!G135+"n/&gt;!1c)"</f>
        <v>#VALUE!</v>
      </c>
      <c r="EV330" t="e">
        <f>'North America'!H135+"n/&gt;!1c."</f>
        <v>#VALUE!</v>
      </c>
      <c r="EW330" t="e">
        <f>'North America'!I135+"n/&gt;!1c/"</f>
        <v>#VALUE!</v>
      </c>
      <c r="EX330" t="e">
        <f>'North America'!A136+"n/&gt;!1c0"</f>
        <v>#VALUE!</v>
      </c>
      <c r="EY330" t="e">
        <f>'North America'!B136+"n/&gt;!1c1"</f>
        <v>#VALUE!</v>
      </c>
      <c r="EZ330" t="e">
        <f>'North America'!C136+"n/&gt;!1c2"</f>
        <v>#VALUE!</v>
      </c>
      <c r="FA330" t="e">
        <f>'North America'!D136+"n/&gt;!1c3"</f>
        <v>#VALUE!</v>
      </c>
      <c r="FB330" t="e">
        <f>'North America'!E136+"n/&gt;!1c4"</f>
        <v>#VALUE!</v>
      </c>
      <c r="FC330" t="e">
        <f>'North America'!F136+"n/&gt;!1c5"</f>
        <v>#VALUE!</v>
      </c>
      <c r="FD330" t="e">
        <f>'North America'!G136+"n/&gt;!1c6"</f>
        <v>#VALUE!</v>
      </c>
      <c r="FE330" t="e">
        <f>'North America'!H136+"n/&gt;!1c7"</f>
        <v>#VALUE!</v>
      </c>
      <c r="FF330" t="e">
        <f>'North America'!I136+"n/&gt;!1c8"</f>
        <v>#VALUE!</v>
      </c>
      <c r="FG330" t="e">
        <f>'North America'!A137+"n/&gt;!1c9"</f>
        <v>#VALUE!</v>
      </c>
      <c r="FH330" t="e">
        <f>'North America'!B137+"n/&gt;!1c:"</f>
        <v>#VALUE!</v>
      </c>
      <c r="FI330" t="e">
        <f>'North America'!C137+"n/&gt;!1c;"</f>
        <v>#VALUE!</v>
      </c>
      <c r="FJ330" t="e">
        <f>'North America'!D137+"n/&gt;!1c&lt;"</f>
        <v>#VALUE!</v>
      </c>
      <c r="FK330" t="e">
        <f>'North America'!E137+"n/&gt;!1c="</f>
        <v>#VALUE!</v>
      </c>
      <c r="FL330" t="e">
        <f>'North America'!F137+"n/&gt;!1c&gt;"</f>
        <v>#VALUE!</v>
      </c>
      <c r="FM330" t="e">
        <f>'North America'!G137+"n/&gt;!1c?"</f>
        <v>#VALUE!</v>
      </c>
      <c r="FN330" t="e">
        <f>'North America'!H137+"n/&gt;!1c@"</f>
        <v>#VALUE!</v>
      </c>
      <c r="FO330" t="e">
        <f>'North America'!I137+"n/&gt;!1cA"</f>
        <v>#VALUE!</v>
      </c>
      <c r="FP330" t="e">
        <f>'North America'!A138+"n/&gt;!1cB"</f>
        <v>#VALUE!</v>
      </c>
      <c r="FQ330" t="e">
        <f>'North America'!B138+"n/&gt;!1cC"</f>
        <v>#VALUE!</v>
      </c>
      <c r="FR330" t="e">
        <f>'North America'!C138+"n/&gt;!1cD"</f>
        <v>#VALUE!</v>
      </c>
      <c r="FS330" t="e">
        <f>'North America'!D138+"n/&gt;!1cE"</f>
        <v>#VALUE!</v>
      </c>
      <c r="FT330" t="e">
        <f>'North America'!E138+"n/&gt;!1cF"</f>
        <v>#VALUE!</v>
      </c>
      <c r="FU330" t="e">
        <f>'North America'!F138+"n/&gt;!1cG"</f>
        <v>#VALUE!</v>
      </c>
      <c r="FV330" t="e">
        <f>'North America'!G138+"n/&gt;!1cH"</f>
        <v>#VALUE!</v>
      </c>
      <c r="FW330" t="e">
        <f>'North America'!H138+"n/&gt;!1cI"</f>
        <v>#VALUE!</v>
      </c>
      <c r="FX330" t="e">
        <f>'North America'!I138+"n/&gt;!1cJ"</f>
        <v>#VALUE!</v>
      </c>
      <c r="FY330" t="e">
        <f>'North America'!A139+"n/&gt;!1cK"</f>
        <v>#VALUE!</v>
      </c>
      <c r="FZ330" t="e">
        <f>'North America'!B139+"n/&gt;!1cL"</f>
        <v>#VALUE!</v>
      </c>
      <c r="GA330" t="e">
        <f>'North America'!C139+"n/&gt;!1cM"</f>
        <v>#VALUE!</v>
      </c>
      <c r="GB330" t="e">
        <f>'North America'!D139+"n/&gt;!1cN"</f>
        <v>#VALUE!</v>
      </c>
      <c r="GC330" t="e">
        <f>'North America'!E139+"n/&gt;!1cO"</f>
        <v>#VALUE!</v>
      </c>
      <c r="GD330" t="e">
        <f>'North America'!F139+"n/&gt;!1cP"</f>
        <v>#VALUE!</v>
      </c>
      <c r="GE330" t="e">
        <f>'North America'!G139+"n/&gt;!1cQ"</f>
        <v>#VALUE!</v>
      </c>
      <c r="GF330" t="e">
        <f>'North America'!H139+"n/&gt;!1cR"</f>
        <v>#VALUE!</v>
      </c>
      <c r="GG330" t="e">
        <f>'North America'!I139+"n/&gt;!1cS"</f>
        <v>#VALUE!</v>
      </c>
      <c r="GH330" t="e">
        <f>'North America'!A140+"n/&gt;!1cT"</f>
        <v>#VALUE!</v>
      </c>
      <c r="GI330" t="e">
        <f>'North America'!B140+"n/&gt;!1cU"</f>
        <v>#VALUE!</v>
      </c>
      <c r="GJ330" t="e">
        <f>'North America'!C140+"n/&gt;!1cV"</f>
        <v>#VALUE!</v>
      </c>
      <c r="GK330" t="e">
        <f>'North America'!D140+"n/&gt;!1cW"</f>
        <v>#VALUE!</v>
      </c>
      <c r="GL330" t="e">
        <f>'North America'!E140+"n/&gt;!1cX"</f>
        <v>#VALUE!</v>
      </c>
      <c r="GM330" t="e">
        <f>'North America'!F140+"n/&gt;!1cY"</f>
        <v>#VALUE!</v>
      </c>
      <c r="GN330" t="e">
        <f>'North America'!G140+"n/&gt;!1cZ"</f>
        <v>#VALUE!</v>
      </c>
      <c r="GO330" t="e">
        <f>'North America'!H140+"n/&gt;!1c["</f>
        <v>#VALUE!</v>
      </c>
      <c r="GP330" t="e">
        <f>'North America'!I140+"n/&gt;!1c\"</f>
        <v>#VALUE!</v>
      </c>
      <c r="GQ330" t="e">
        <f>'North America'!A141+"n/&gt;!1c]"</f>
        <v>#VALUE!</v>
      </c>
      <c r="GR330" t="e">
        <f>'North America'!B141+"n/&gt;!1c^"</f>
        <v>#VALUE!</v>
      </c>
      <c r="GS330" t="e">
        <f>'North America'!C141+"n/&gt;!1c_"</f>
        <v>#VALUE!</v>
      </c>
      <c r="GT330" t="e">
        <f>'North America'!D141+"n/&gt;!1c`"</f>
        <v>#VALUE!</v>
      </c>
      <c r="GU330" t="e">
        <f>'North America'!E141+"n/&gt;!1ca"</f>
        <v>#VALUE!</v>
      </c>
      <c r="GV330" t="e">
        <f>'North America'!F141+"n/&gt;!1cb"</f>
        <v>#VALUE!</v>
      </c>
      <c r="GW330" t="e">
        <f>'North America'!G141+"n/&gt;!1cc"</f>
        <v>#VALUE!</v>
      </c>
      <c r="GX330" t="e">
        <f>'North America'!H141+"n/&gt;!1cd"</f>
        <v>#VALUE!</v>
      </c>
      <c r="GY330" t="e">
        <f>'North America'!I141+"n/&gt;!1ce"</f>
        <v>#VALUE!</v>
      </c>
      <c r="GZ330" t="e">
        <f>'North America'!A142+"n/&gt;!1cf"</f>
        <v>#VALUE!</v>
      </c>
      <c r="HA330" t="e">
        <f>'North America'!B142+"n/&gt;!1cg"</f>
        <v>#VALUE!</v>
      </c>
      <c r="HB330" t="e">
        <f>'North America'!C142+"n/&gt;!1ch"</f>
        <v>#VALUE!</v>
      </c>
      <c r="HC330" t="e">
        <f>'North America'!D142+"n/&gt;!1ci"</f>
        <v>#VALUE!</v>
      </c>
      <c r="HD330" t="e">
        <f>'North America'!E142+"n/&gt;!1cj"</f>
        <v>#VALUE!</v>
      </c>
      <c r="HE330" t="e">
        <f>'North America'!F142+"n/&gt;!1ck"</f>
        <v>#VALUE!</v>
      </c>
      <c r="HF330" t="e">
        <f>'North America'!G142+"n/&gt;!1cl"</f>
        <v>#VALUE!</v>
      </c>
      <c r="HG330" t="e">
        <f>'North America'!H142+"n/&gt;!1cm"</f>
        <v>#VALUE!</v>
      </c>
      <c r="HH330" t="e">
        <f>'North America'!I142+"n/&gt;!1cn"</f>
        <v>#VALUE!</v>
      </c>
      <c r="HI330" t="e">
        <f>'North America'!A143+"n/&gt;!1co"</f>
        <v>#VALUE!</v>
      </c>
      <c r="HJ330" t="e">
        <f>'North America'!B143+"n/&gt;!1cp"</f>
        <v>#VALUE!</v>
      </c>
      <c r="HK330" t="e">
        <f>'North America'!C143+"n/&gt;!1cq"</f>
        <v>#VALUE!</v>
      </c>
      <c r="HL330" t="e">
        <f>'North America'!D143+"n/&gt;!1cr"</f>
        <v>#VALUE!</v>
      </c>
      <c r="HM330" t="e">
        <f>'North America'!E143+"n/&gt;!1cs"</f>
        <v>#VALUE!</v>
      </c>
      <c r="HN330" t="e">
        <f>'North America'!F143+"n/&gt;!1ct"</f>
        <v>#VALUE!</v>
      </c>
      <c r="HO330" t="e">
        <f>'North America'!G143+"n/&gt;!1cu"</f>
        <v>#VALUE!</v>
      </c>
      <c r="HP330" t="e">
        <f>'North America'!H143+"n/&gt;!1cv"</f>
        <v>#VALUE!</v>
      </c>
      <c r="HQ330" t="e">
        <f>'North America'!I143+"n/&gt;!1cw"</f>
        <v>#VALUE!</v>
      </c>
      <c r="HR330" t="e">
        <f>'North America'!A144+"n/&gt;!1cx"</f>
        <v>#VALUE!</v>
      </c>
      <c r="HS330" t="e">
        <f>'North America'!B144+"n/&gt;!1cy"</f>
        <v>#VALUE!</v>
      </c>
      <c r="HT330" t="e">
        <f>'North America'!C144+"n/&gt;!1cz"</f>
        <v>#VALUE!</v>
      </c>
      <c r="HU330" t="e">
        <f>'North America'!D144+"n/&gt;!1c{"</f>
        <v>#VALUE!</v>
      </c>
      <c r="HV330" t="e">
        <f>'North America'!E144+"n/&gt;!1c|"</f>
        <v>#VALUE!</v>
      </c>
      <c r="HW330" t="e">
        <f>'North America'!F144+"n/&gt;!1c}"</f>
        <v>#VALUE!</v>
      </c>
      <c r="HX330" t="e">
        <f>'North America'!G144+"n/&gt;!1c~"</f>
        <v>#VALUE!</v>
      </c>
      <c r="HY330" t="e">
        <f>'North America'!H144+"n/&gt;!1d#"</f>
        <v>#VALUE!</v>
      </c>
      <c r="HZ330" t="e">
        <f>'North America'!I144+"n/&gt;!1d$"</f>
        <v>#VALUE!</v>
      </c>
      <c r="IA330" t="e">
        <f>'North America'!A145+"n/&gt;!1d%"</f>
        <v>#VALUE!</v>
      </c>
      <c r="IB330" t="e">
        <f>'North America'!B145+"n/&gt;!1d&amp;"</f>
        <v>#VALUE!</v>
      </c>
      <c r="IC330" t="e">
        <f>'North America'!C145+"n/&gt;!1d'"</f>
        <v>#VALUE!</v>
      </c>
      <c r="ID330" t="e">
        <f>'North America'!D145+"n/&gt;!1d("</f>
        <v>#VALUE!</v>
      </c>
      <c r="IE330" t="e">
        <f>'North America'!E145+"n/&gt;!1d)"</f>
        <v>#VALUE!</v>
      </c>
      <c r="IF330" t="e">
        <f>'North America'!F145+"n/&gt;!1d."</f>
        <v>#VALUE!</v>
      </c>
      <c r="IG330" t="e">
        <f>'North America'!G145+"n/&gt;!1d/"</f>
        <v>#VALUE!</v>
      </c>
      <c r="IH330" t="e">
        <f>'North America'!H145+"n/&gt;!1d0"</f>
        <v>#VALUE!</v>
      </c>
      <c r="II330" t="e">
        <f>'North America'!I145+"n/&gt;!1d1"</f>
        <v>#VALUE!</v>
      </c>
      <c r="IJ330" t="e">
        <f>'North America'!A146+"n/&gt;!1d2"</f>
        <v>#VALUE!</v>
      </c>
      <c r="IK330" t="e">
        <f>'North America'!B146+"n/&gt;!1d3"</f>
        <v>#VALUE!</v>
      </c>
      <c r="IL330" t="e">
        <f>'North America'!C146+"n/&gt;!1d4"</f>
        <v>#VALUE!</v>
      </c>
      <c r="IM330" t="e">
        <f>'North America'!D146+"n/&gt;!1d5"</f>
        <v>#VALUE!</v>
      </c>
      <c r="IN330" t="e">
        <f>'North America'!E146+"n/&gt;!1d6"</f>
        <v>#VALUE!</v>
      </c>
      <c r="IO330" t="e">
        <f>'North America'!F146+"n/&gt;!1d7"</f>
        <v>#VALUE!</v>
      </c>
      <c r="IP330" t="e">
        <f>'North America'!G146+"n/&gt;!1d8"</f>
        <v>#VALUE!</v>
      </c>
      <c r="IQ330" t="e">
        <f>'North America'!H146+"n/&gt;!1d9"</f>
        <v>#VALUE!</v>
      </c>
      <c r="IR330" t="e">
        <f>'North America'!I146+"n/&gt;!1d:"</f>
        <v>#VALUE!</v>
      </c>
      <c r="IS330" t="e">
        <f>'North America'!A147+"n/&gt;!1d;"</f>
        <v>#VALUE!</v>
      </c>
      <c r="IT330" t="e">
        <f>'North America'!B147+"n/&gt;!1d&lt;"</f>
        <v>#VALUE!</v>
      </c>
      <c r="IU330" t="e">
        <f>'North America'!C147+"n/&gt;!1d="</f>
        <v>#VALUE!</v>
      </c>
      <c r="IV330" t="e">
        <f>'North America'!D147+"n/&gt;!1d&gt;"</f>
        <v>#VALUE!</v>
      </c>
    </row>
    <row r="331" spans="6:256" x14ac:dyDescent="0.35">
      <c r="F331" t="e">
        <f>'North America'!E147+"n/&gt;!1d?"</f>
        <v>#VALUE!</v>
      </c>
      <c r="G331" t="e">
        <f>'North America'!F147+"n/&gt;!1d@"</f>
        <v>#VALUE!</v>
      </c>
      <c r="H331" t="e">
        <f>'North America'!G147+"n/&gt;!1dA"</f>
        <v>#VALUE!</v>
      </c>
      <c r="I331" t="e">
        <f>'North America'!H147+"n/&gt;!1dB"</f>
        <v>#VALUE!</v>
      </c>
      <c r="J331" t="e">
        <f>'North America'!I147+"n/&gt;!1dC"</f>
        <v>#VALUE!</v>
      </c>
      <c r="K331" t="e">
        <f>'North America'!A148+"n/&gt;!1dD"</f>
        <v>#VALUE!</v>
      </c>
      <c r="L331" t="e">
        <f>'North America'!B148+"n/&gt;!1dE"</f>
        <v>#VALUE!</v>
      </c>
      <c r="M331" t="e">
        <f>'North America'!C148+"n/&gt;!1dF"</f>
        <v>#VALUE!</v>
      </c>
      <c r="N331" t="e">
        <f>'North America'!D148+"n/&gt;!1dG"</f>
        <v>#VALUE!</v>
      </c>
      <c r="O331" t="e">
        <f>'North America'!E148+"n/&gt;!1dH"</f>
        <v>#VALUE!</v>
      </c>
      <c r="P331" t="e">
        <f>'North America'!F148+"n/&gt;!1dI"</f>
        <v>#VALUE!</v>
      </c>
      <c r="Q331" t="e">
        <f>'North America'!G148+"n/&gt;!1dJ"</f>
        <v>#VALUE!</v>
      </c>
      <c r="R331" t="e">
        <f>'North America'!H148+"n/&gt;!1dK"</f>
        <v>#VALUE!</v>
      </c>
      <c r="S331" t="e">
        <f>'North America'!I148+"n/&gt;!1dL"</f>
        <v>#VALUE!</v>
      </c>
      <c r="T331" t="e">
        <f>'North America'!A149+"n/&gt;!1dM"</f>
        <v>#VALUE!</v>
      </c>
      <c r="U331" t="e">
        <f>'North America'!B149+"n/&gt;!1dN"</f>
        <v>#VALUE!</v>
      </c>
      <c r="V331" t="e">
        <f>'North America'!C149+"n/&gt;!1dO"</f>
        <v>#VALUE!</v>
      </c>
      <c r="W331" t="e">
        <f>'North America'!D149+"n/&gt;!1dP"</f>
        <v>#VALUE!</v>
      </c>
      <c r="X331" t="e">
        <f>'North America'!E149+"n/&gt;!1dQ"</f>
        <v>#VALUE!</v>
      </c>
      <c r="Y331" t="e">
        <f>'North America'!F149+"n/&gt;!1dR"</f>
        <v>#VALUE!</v>
      </c>
      <c r="Z331" t="e">
        <f>'North America'!G149+"n/&gt;!1dS"</f>
        <v>#VALUE!</v>
      </c>
      <c r="AA331" t="e">
        <f>'North America'!H149+"n/&gt;!1dT"</f>
        <v>#VALUE!</v>
      </c>
      <c r="AB331" t="e">
        <f>'North America'!I149+"n/&gt;!1dU"</f>
        <v>#VALUE!</v>
      </c>
      <c r="AC331" t="e">
        <f>'North America'!A150+"n/&gt;!1dV"</f>
        <v>#VALUE!</v>
      </c>
      <c r="AD331" t="e">
        <f>'North America'!B150+"n/&gt;!1dW"</f>
        <v>#VALUE!</v>
      </c>
      <c r="AE331" t="e">
        <f>'North America'!C150+"n/&gt;!1dX"</f>
        <v>#VALUE!</v>
      </c>
      <c r="AF331" t="e">
        <f>'North America'!D150+"n/&gt;!1dY"</f>
        <v>#VALUE!</v>
      </c>
      <c r="AG331" t="e">
        <f>'North America'!E150+"n/&gt;!1dZ"</f>
        <v>#VALUE!</v>
      </c>
      <c r="AH331" t="e">
        <f>'North America'!F150+"n/&gt;!1d["</f>
        <v>#VALUE!</v>
      </c>
      <c r="AI331" t="e">
        <f>'North America'!G150+"n/&gt;!1d\"</f>
        <v>#VALUE!</v>
      </c>
      <c r="AJ331" t="e">
        <f>'North America'!H150+"n/&gt;!1d]"</f>
        <v>#VALUE!</v>
      </c>
      <c r="AK331" t="e">
        <f>'North America'!I150+"n/&gt;!1d^"</f>
        <v>#VALUE!</v>
      </c>
      <c r="AL331" t="e">
        <f>'North America'!A151+"n/&gt;!1d_"</f>
        <v>#VALUE!</v>
      </c>
      <c r="AM331" t="e">
        <f>'North America'!B151+"n/&gt;!1d`"</f>
        <v>#VALUE!</v>
      </c>
      <c r="AN331" t="e">
        <f>'North America'!C151+"n/&gt;!1da"</f>
        <v>#VALUE!</v>
      </c>
      <c r="AO331" t="e">
        <f>'North America'!D151+"n/&gt;!1db"</f>
        <v>#VALUE!</v>
      </c>
      <c r="AP331" t="e">
        <f>'North America'!E151+"n/&gt;!1dc"</f>
        <v>#VALUE!</v>
      </c>
      <c r="AQ331" t="e">
        <f>'North America'!F151+"n/&gt;!1dd"</f>
        <v>#VALUE!</v>
      </c>
      <c r="AR331" t="e">
        <f>'North America'!G151+"n/&gt;!1de"</f>
        <v>#VALUE!</v>
      </c>
      <c r="AS331" t="e">
        <f>'North America'!H151+"n/&gt;!1df"</f>
        <v>#VALUE!</v>
      </c>
      <c r="AT331" t="e">
        <f>'North America'!I151+"n/&gt;!1dg"</f>
        <v>#VALUE!</v>
      </c>
      <c r="AU331" t="e">
        <f>'North America'!A152+"n/&gt;!1dh"</f>
        <v>#VALUE!</v>
      </c>
      <c r="AV331" t="e">
        <f>'North America'!B152+"n/&gt;!1di"</f>
        <v>#VALUE!</v>
      </c>
      <c r="AW331" t="e">
        <f>'North America'!C152+"n/&gt;!1dj"</f>
        <v>#VALUE!</v>
      </c>
      <c r="AX331" t="e">
        <f>'North America'!D152+"n/&gt;!1dk"</f>
        <v>#VALUE!</v>
      </c>
      <c r="AY331" t="e">
        <f>'North America'!E152+"n/&gt;!1dl"</f>
        <v>#VALUE!</v>
      </c>
      <c r="AZ331" t="e">
        <f>'North America'!F152+"n/&gt;!1dm"</f>
        <v>#VALUE!</v>
      </c>
      <c r="BA331" t="e">
        <f>'North America'!G152+"n/&gt;!1dn"</f>
        <v>#VALUE!</v>
      </c>
      <c r="BB331" t="e">
        <f>'North America'!H152+"n/&gt;!1do"</f>
        <v>#VALUE!</v>
      </c>
      <c r="BC331" t="e">
        <f>'North America'!I152+"n/&gt;!1dp"</f>
        <v>#VALUE!</v>
      </c>
      <c r="BD331" t="e">
        <f>'North America'!A153+"n/&gt;!1dq"</f>
        <v>#VALUE!</v>
      </c>
      <c r="BE331" t="e">
        <f>'North America'!B153+"n/&gt;!1dr"</f>
        <v>#VALUE!</v>
      </c>
      <c r="BF331" t="e">
        <f>'North America'!C153+"n/&gt;!1ds"</f>
        <v>#VALUE!</v>
      </c>
      <c r="BG331" t="e">
        <f>'North America'!D153+"n/&gt;!1dt"</f>
        <v>#VALUE!</v>
      </c>
      <c r="BH331" t="e">
        <f>'North America'!E153+"n/&gt;!1du"</f>
        <v>#VALUE!</v>
      </c>
      <c r="BI331" t="e">
        <f>'North America'!F153+"n/&gt;!1dv"</f>
        <v>#VALUE!</v>
      </c>
      <c r="BJ331" t="e">
        <f>'North America'!G153+"n/&gt;!1dw"</f>
        <v>#VALUE!</v>
      </c>
      <c r="BK331" t="e">
        <f>'North America'!H153+"n/&gt;!1dx"</f>
        <v>#VALUE!</v>
      </c>
      <c r="BL331" t="e">
        <f>'North America'!I153+"n/&gt;!1dy"</f>
        <v>#VALUE!</v>
      </c>
      <c r="BM331" t="e">
        <f>'North America'!A154+"n/&gt;!1dz"</f>
        <v>#VALUE!</v>
      </c>
      <c r="BN331" t="e">
        <f>'North America'!B154+"n/&gt;!1d{"</f>
        <v>#VALUE!</v>
      </c>
      <c r="BO331" t="e">
        <f>'North America'!C154+"n/&gt;!1d|"</f>
        <v>#VALUE!</v>
      </c>
      <c r="BP331" t="e">
        <f>'North America'!D154+"n/&gt;!1d}"</f>
        <v>#VALUE!</v>
      </c>
      <c r="BQ331" t="e">
        <f>'North America'!E154+"n/&gt;!1d~"</f>
        <v>#VALUE!</v>
      </c>
      <c r="BR331" t="e">
        <f>'North America'!F154+"n/&gt;!1e#"</f>
        <v>#VALUE!</v>
      </c>
      <c r="BS331" t="e">
        <f>'North America'!G154+"n/&gt;!1e$"</f>
        <v>#VALUE!</v>
      </c>
      <c r="BT331" t="e">
        <f>'North America'!H154+"n/&gt;!1e%"</f>
        <v>#VALUE!</v>
      </c>
      <c r="BU331" t="e">
        <f>'North America'!I154+"n/&gt;!1e&amp;"</f>
        <v>#VALUE!</v>
      </c>
      <c r="BV331" t="e">
        <f>'North America'!A155+"n/&gt;!1e'"</f>
        <v>#VALUE!</v>
      </c>
      <c r="BW331" t="e">
        <f>'North America'!B155+"n/&gt;!1e("</f>
        <v>#VALUE!</v>
      </c>
      <c r="BX331" t="e">
        <f>'North America'!C155+"n/&gt;!1e)"</f>
        <v>#VALUE!</v>
      </c>
      <c r="BY331" t="e">
        <f>'North America'!D155+"n/&gt;!1e."</f>
        <v>#VALUE!</v>
      </c>
      <c r="BZ331" t="e">
        <f>'North America'!E155+"n/&gt;!1e/"</f>
        <v>#VALUE!</v>
      </c>
      <c r="CA331" t="e">
        <f>'North America'!F155+"n/&gt;!1e0"</f>
        <v>#VALUE!</v>
      </c>
      <c r="CB331" t="e">
        <f>'North America'!G155+"n/&gt;!1e1"</f>
        <v>#VALUE!</v>
      </c>
      <c r="CC331" t="e">
        <f>'North America'!H155+"n/&gt;!1e2"</f>
        <v>#VALUE!</v>
      </c>
      <c r="CD331" t="e">
        <f>'North America'!I155+"n/&gt;!1e3"</f>
        <v>#VALUE!</v>
      </c>
      <c r="CE331" t="e">
        <f>'North America'!A156+"n/&gt;!1e4"</f>
        <v>#VALUE!</v>
      </c>
      <c r="CF331" t="e">
        <f>'North America'!B156+"n/&gt;!1e5"</f>
        <v>#VALUE!</v>
      </c>
      <c r="CG331" t="e">
        <f>'North America'!C156+"n/&gt;!1e6"</f>
        <v>#VALUE!</v>
      </c>
      <c r="CH331" t="e">
        <f>'North America'!D156+"n/&gt;!1e7"</f>
        <v>#VALUE!</v>
      </c>
      <c r="CI331" t="e">
        <f>'North America'!E156+"n/&gt;!1e8"</f>
        <v>#VALUE!</v>
      </c>
      <c r="CJ331" t="e">
        <f>'North America'!F156+"n/&gt;!1e9"</f>
        <v>#VALUE!</v>
      </c>
      <c r="CK331" t="e">
        <f>'North America'!G156+"n/&gt;!1e:"</f>
        <v>#VALUE!</v>
      </c>
      <c r="CL331" t="e">
        <f>'North America'!H156+"n/&gt;!1e;"</f>
        <v>#VALUE!</v>
      </c>
      <c r="CM331" t="e">
        <f>'North America'!I156+"n/&gt;!1e&lt;"</f>
        <v>#VALUE!</v>
      </c>
      <c r="CN331" t="e">
        <f>'North America'!A157+"n/&gt;!1e="</f>
        <v>#VALUE!</v>
      </c>
      <c r="CO331" t="e">
        <f>'North America'!B157+"n/&gt;!1e&gt;"</f>
        <v>#VALUE!</v>
      </c>
      <c r="CP331" t="e">
        <f>'North America'!C157+"n/&gt;!1e?"</f>
        <v>#VALUE!</v>
      </c>
      <c r="CQ331" t="e">
        <f>'North America'!D157+"n/&gt;!1e@"</f>
        <v>#VALUE!</v>
      </c>
      <c r="CR331" t="e">
        <f>'North America'!E157+"n/&gt;!1eA"</f>
        <v>#VALUE!</v>
      </c>
      <c r="CS331" t="e">
        <f>'North America'!F157+"n/&gt;!1eB"</f>
        <v>#VALUE!</v>
      </c>
      <c r="CT331" t="e">
        <f>'North America'!G157+"n/&gt;!1eC"</f>
        <v>#VALUE!</v>
      </c>
      <c r="CU331" t="e">
        <f>'North America'!H157+"n/&gt;!1eD"</f>
        <v>#VALUE!</v>
      </c>
      <c r="CV331" t="e">
        <f>'North America'!I157+"n/&gt;!1eE"</f>
        <v>#VALUE!</v>
      </c>
      <c r="CW331" t="e">
        <f>'North America'!A158+"n/&gt;!1eF"</f>
        <v>#VALUE!</v>
      </c>
      <c r="CX331" t="e">
        <f>'North America'!B158+"n/&gt;!1eG"</f>
        <v>#VALUE!</v>
      </c>
      <c r="CY331" t="e">
        <f>'North America'!C158+"n/&gt;!1eH"</f>
        <v>#VALUE!</v>
      </c>
      <c r="CZ331" t="e">
        <f>'North America'!D158+"n/&gt;!1eI"</f>
        <v>#VALUE!</v>
      </c>
      <c r="DA331" t="e">
        <f>'North America'!E158+"n/&gt;!1eJ"</f>
        <v>#VALUE!</v>
      </c>
      <c r="DB331" t="e">
        <f>'North America'!F158+"n/&gt;!1eK"</f>
        <v>#VALUE!</v>
      </c>
      <c r="DC331" t="e">
        <f>'North America'!G158+"n/&gt;!1eL"</f>
        <v>#VALUE!</v>
      </c>
      <c r="DD331" t="e">
        <f>'North America'!H158+"n/&gt;!1eM"</f>
        <v>#VALUE!</v>
      </c>
      <c r="DE331" t="e">
        <f>'North America'!I158+"n/&gt;!1eN"</f>
        <v>#VALUE!</v>
      </c>
      <c r="DF331" t="e">
        <f>'North America'!A159+"n/&gt;!1eO"</f>
        <v>#VALUE!</v>
      </c>
      <c r="DG331" t="e">
        <f>'North America'!B159+"n/&gt;!1eP"</f>
        <v>#VALUE!</v>
      </c>
      <c r="DH331" t="e">
        <f>'North America'!C159+"n/&gt;!1eQ"</f>
        <v>#VALUE!</v>
      </c>
      <c r="DI331" t="e">
        <f>'North America'!D159+"n/&gt;!1eR"</f>
        <v>#VALUE!</v>
      </c>
      <c r="DJ331" t="e">
        <f>'North America'!E159+"n/&gt;!1eS"</f>
        <v>#VALUE!</v>
      </c>
      <c r="DK331" t="e">
        <f>'North America'!F159+"n/&gt;!1eT"</f>
        <v>#VALUE!</v>
      </c>
      <c r="DL331" t="e">
        <f>'North America'!G159+"n/&gt;!1eU"</f>
        <v>#VALUE!</v>
      </c>
      <c r="DM331" t="e">
        <f>'North America'!H159+"n/&gt;!1eV"</f>
        <v>#VALUE!</v>
      </c>
      <c r="DN331" t="e">
        <f>'North America'!I159+"n/&gt;!1eW"</f>
        <v>#VALUE!</v>
      </c>
      <c r="DO331" t="e">
        <f>'North America'!A160+"n/&gt;!1eX"</f>
        <v>#VALUE!</v>
      </c>
      <c r="DP331" t="e">
        <f>'North America'!B160+"n/&gt;!1eY"</f>
        <v>#VALUE!</v>
      </c>
      <c r="DQ331" t="e">
        <f>'North America'!C160+"n/&gt;!1eZ"</f>
        <v>#VALUE!</v>
      </c>
      <c r="DR331" t="e">
        <f>'North America'!D160+"n/&gt;!1e["</f>
        <v>#VALUE!</v>
      </c>
      <c r="DS331" t="e">
        <f>'North America'!E160+"n/&gt;!1e\"</f>
        <v>#VALUE!</v>
      </c>
      <c r="DT331" t="e">
        <f>'North America'!F160+"n/&gt;!1e]"</f>
        <v>#VALUE!</v>
      </c>
      <c r="DU331" t="e">
        <f>'North America'!G160+"n/&gt;!1e^"</f>
        <v>#VALUE!</v>
      </c>
      <c r="DV331" t="e">
        <f>'North America'!H160+"n/&gt;!1e_"</f>
        <v>#VALUE!</v>
      </c>
      <c r="DW331" t="e">
        <f>'North America'!I160+"n/&gt;!1e`"</f>
        <v>#VALUE!</v>
      </c>
      <c r="DX331" t="e">
        <f>'North America'!A161+"n/&gt;!1ea"</f>
        <v>#VALUE!</v>
      </c>
      <c r="DY331" t="e">
        <f>'North America'!B161+"n/&gt;!1eb"</f>
        <v>#VALUE!</v>
      </c>
      <c r="DZ331" t="e">
        <f>'North America'!C161+"n/&gt;!1ec"</f>
        <v>#VALUE!</v>
      </c>
      <c r="EA331" t="e">
        <f>'North America'!D161+"n/&gt;!1ed"</f>
        <v>#VALUE!</v>
      </c>
      <c r="EB331" t="e">
        <f>'North America'!E161+"n/&gt;!1ee"</f>
        <v>#VALUE!</v>
      </c>
      <c r="EC331" t="e">
        <f>'North America'!F161+"n/&gt;!1ef"</f>
        <v>#VALUE!</v>
      </c>
      <c r="ED331" t="e">
        <f>'North America'!G161+"n/&gt;!1eg"</f>
        <v>#VALUE!</v>
      </c>
      <c r="EE331" t="e">
        <f>'North America'!H161+"n/&gt;!1eh"</f>
        <v>#VALUE!</v>
      </c>
      <c r="EF331" t="e">
        <f>'North America'!I161+"n/&gt;!1ei"</f>
        <v>#VALUE!</v>
      </c>
      <c r="EG331" t="e">
        <f>'North America'!A162+"n/&gt;!1ej"</f>
        <v>#VALUE!</v>
      </c>
      <c r="EH331" t="e">
        <f>'North America'!B162+"n/&gt;!1ek"</f>
        <v>#VALUE!</v>
      </c>
      <c r="EI331" t="e">
        <f>'North America'!C162+"n/&gt;!1el"</f>
        <v>#VALUE!</v>
      </c>
      <c r="EJ331" t="e">
        <f>'North America'!D162+"n/&gt;!1em"</f>
        <v>#VALUE!</v>
      </c>
      <c r="EK331" t="e">
        <f>'North America'!E162+"n/&gt;!1en"</f>
        <v>#VALUE!</v>
      </c>
      <c r="EL331" t="e">
        <f>'North America'!F162+"n/&gt;!1eo"</f>
        <v>#VALUE!</v>
      </c>
      <c r="EM331" t="e">
        <f>'North America'!G162+"n/&gt;!1ep"</f>
        <v>#VALUE!</v>
      </c>
      <c r="EN331" t="e">
        <f>'North America'!H162+"n/&gt;!1eq"</f>
        <v>#VALUE!</v>
      </c>
      <c r="EO331" t="e">
        <f>'North America'!I162+"n/&gt;!1er"</f>
        <v>#VALUE!</v>
      </c>
      <c r="EP331" t="e">
        <f>'North America'!A163+"n/&gt;!1es"</f>
        <v>#VALUE!</v>
      </c>
      <c r="EQ331" t="e">
        <f>'North America'!B163+"n/&gt;!1et"</f>
        <v>#VALUE!</v>
      </c>
      <c r="ER331" t="e">
        <f>'North America'!C163+"n/&gt;!1eu"</f>
        <v>#VALUE!</v>
      </c>
      <c r="ES331" t="e">
        <f>'North America'!D163+"n/&gt;!1ev"</f>
        <v>#VALUE!</v>
      </c>
      <c r="ET331" t="e">
        <f>'North America'!E163+"n/&gt;!1ew"</f>
        <v>#VALUE!</v>
      </c>
      <c r="EU331" t="e">
        <f>'North America'!F163+"n/&gt;!1ex"</f>
        <v>#VALUE!</v>
      </c>
      <c r="EV331" t="e">
        <f>'North America'!G163+"n/&gt;!1ey"</f>
        <v>#VALUE!</v>
      </c>
      <c r="EW331" t="e">
        <f>'North America'!H163+"n/&gt;!1ez"</f>
        <v>#VALUE!</v>
      </c>
      <c r="EX331" t="e">
        <f>'North America'!I163+"n/&gt;!1e{"</f>
        <v>#VALUE!</v>
      </c>
      <c r="EY331" t="e">
        <f>'North America'!A164+"n/&gt;!1e|"</f>
        <v>#VALUE!</v>
      </c>
      <c r="EZ331" t="e">
        <f>'North America'!B164+"n/&gt;!1e}"</f>
        <v>#VALUE!</v>
      </c>
      <c r="FA331" t="e">
        <f>'North America'!C164+"n/&gt;!1e~"</f>
        <v>#VALUE!</v>
      </c>
      <c r="FB331" t="e">
        <f>'North America'!D164+"n/&gt;!1f#"</f>
        <v>#VALUE!</v>
      </c>
      <c r="FC331" t="e">
        <f>'North America'!E164+"n/&gt;!1f$"</f>
        <v>#VALUE!</v>
      </c>
      <c r="FD331" t="e">
        <f>'North America'!F164+"n/&gt;!1f%"</f>
        <v>#VALUE!</v>
      </c>
      <c r="FE331" t="e">
        <f>'North America'!G164+"n/&gt;!1f&amp;"</f>
        <v>#VALUE!</v>
      </c>
      <c r="FF331" t="e">
        <f>'North America'!H164+"n/&gt;!1f'"</f>
        <v>#VALUE!</v>
      </c>
      <c r="FG331" t="e">
        <f>'North America'!I164+"n/&gt;!1f("</f>
        <v>#VALUE!</v>
      </c>
      <c r="FH331" t="e">
        <f>'North America'!A165+"n/&gt;!1f)"</f>
        <v>#VALUE!</v>
      </c>
      <c r="FI331" t="e">
        <f>'North America'!B165+"n/&gt;!1f."</f>
        <v>#VALUE!</v>
      </c>
      <c r="FJ331" t="e">
        <f>'North America'!C165+"n/&gt;!1f/"</f>
        <v>#VALUE!</v>
      </c>
      <c r="FK331" t="e">
        <f>'North America'!D165+"n/&gt;!1f0"</f>
        <v>#VALUE!</v>
      </c>
      <c r="FL331" t="e">
        <f>'North America'!E165+"n/&gt;!1f1"</f>
        <v>#VALUE!</v>
      </c>
      <c r="FM331" t="e">
        <f>'North America'!F165+"n/&gt;!1f2"</f>
        <v>#VALUE!</v>
      </c>
      <c r="FN331" t="e">
        <f>'North America'!G165+"n/&gt;!1f3"</f>
        <v>#VALUE!</v>
      </c>
      <c r="FO331" t="e">
        <f>'North America'!H165+"n/&gt;!1f4"</f>
        <v>#VALUE!</v>
      </c>
      <c r="FP331" t="e">
        <f>'North America'!I165+"n/&gt;!1f5"</f>
        <v>#VALUE!</v>
      </c>
      <c r="FQ331" t="e">
        <f>'North America'!A166+"n/&gt;!1f6"</f>
        <v>#VALUE!</v>
      </c>
      <c r="FR331" t="e">
        <f>'North America'!B166+"n/&gt;!1f7"</f>
        <v>#VALUE!</v>
      </c>
      <c r="FS331" t="e">
        <f>'North America'!C166+"n/&gt;!1f8"</f>
        <v>#VALUE!</v>
      </c>
      <c r="FT331" t="e">
        <f>'North America'!D166+"n/&gt;!1f9"</f>
        <v>#VALUE!</v>
      </c>
      <c r="FU331" t="e">
        <f>'North America'!E166+"n/&gt;!1f:"</f>
        <v>#VALUE!</v>
      </c>
      <c r="FV331" t="e">
        <f>'North America'!F166+"n/&gt;!1f;"</f>
        <v>#VALUE!</v>
      </c>
      <c r="FW331" t="e">
        <f>'North America'!G166+"n/&gt;!1f&lt;"</f>
        <v>#VALUE!</v>
      </c>
      <c r="FX331" t="e">
        <f>'North America'!H166+"n/&gt;!1f="</f>
        <v>#VALUE!</v>
      </c>
      <c r="FY331" t="e">
        <f>'North America'!I166+"n/&gt;!1f&gt;"</f>
        <v>#VALUE!</v>
      </c>
      <c r="FZ331" t="e">
        <f>'North America'!A167+"n/&gt;!1f?"</f>
        <v>#VALUE!</v>
      </c>
      <c r="GA331" t="e">
        <f>'North America'!B167+"n/&gt;!1f@"</f>
        <v>#VALUE!</v>
      </c>
      <c r="GB331" t="e">
        <f>'North America'!C167+"n/&gt;!1fA"</f>
        <v>#VALUE!</v>
      </c>
      <c r="GC331" t="e">
        <f>'North America'!D167+"n/&gt;!1fB"</f>
        <v>#VALUE!</v>
      </c>
      <c r="GD331" t="e">
        <f>'North America'!E167+"n/&gt;!1fC"</f>
        <v>#VALUE!</v>
      </c>
      <c r="GE331" t="e">
        <f>'North America'!F167+"n/&gt;!1fD"</f>
        <v>#VALUE!</v>
      </c>
      <c r="GF331" t="e">
        <f>'North America'!G167+"n/&gt;!1fE"</f>
        <v>#VALUE!</v>
      </c>
      <c r="GG331" t="e">
        <f>'North America'!H167+"n/&gt;!1fF"</f>
        <v>#VALUE!</v>
      </c>
      <c r="GH331" t="e">
        <f>'North America'!I167+"n/&gt;!1fG"</f>
        <v>#VALUE!</v>
      </c>
      <c r="GI331" t="e">
        <f>'North America'!A168+"n/&gt;!1fH"</f>
        <v>#VALUE!</v>
      </c>
      <c r="GJ331" t="e">
        <f>'North America'!B168+"n/&gt;!1fI"</f>
        <v>#VALUE!</v>
      </c>
      <c r="GK331" t="e">
        <f>'North America'!C168+"n/&gt;!1fJ"</f>
        <v>#VALUE!</v>
      </c>
      <c r="GL331" t="e">
        <f>'North America'!D168+"n/&gt;!1fK"</f>
        <v>#VALUE!</v>
      </c>
      <c r="GM331" t="e">
        <f>'North America'!E168+"n/&gt;!1fL"</f>
        <v>#VALUE!</v>
      </c>
      <c r="GN331" t="e">
        <f>'North America'!F168+"n/&gt;!1fM"</f>
        <v>#VALUE!</v>
      </c>
      <c r="GO331" t="e">
        <f>'North America'!G168+"n/&gt;!1fN"</f>
        <v>#VALUE!</v>
      </c>
      <c r="GP331" t="e">
        <f>'North America'!H168+"n/&gt;!1fO"</f>
        <v>#VALUE!</v>
      </c>
      <c r="GQ331" t="e">
        <f>'North America'!I168+"n/&gt;!1fP"</f>
        <v>#VALUE!</v>
      </c>
      <c r="GR331" t="e">
        <f>'North America'!A169+"n/&gt;!1fQ"</f>
        <v>#VALUE!</v>
      </c>
      <c r="GS331" t="e">
        <f>'North America'!B169+"n/&gt;!1fR"</f>
        <v>#VALUE!</v>
      </c>
      <c r="GT331" t="e">
        <f>'North America'!C169+"n/&gt;!1fS"</f>
        <v>#VALUE!</v>
      </c>
      <c r="GU331" t="e">
        <f>'North America'!D169+"n/&gt;!1fT"</f>
        <v>#VALUE!</v>
      </c>
      <c r="GV331" t="e">
        <f>'North America'!E169+"n/&gt;!1fU"</f>
        <v>#VALUE!</v>
      </c>
      <c r="GW331" t="e">
        <f>'North America'!F169+"n/&gt;!1fV"</f>
        <v>#VALUE!</v>
      </c>
      <c r="GX331" t="e">
        <f>'North America'!G169+"n/&gt;!1fW"</f>
        <v>#VALUE!</v>
      </c>
      <c r="GY331" t="e">
        <f>'North America'!H169+"n/&gt;!1fX"</f>
        <v>#VALUE!</v>
      </c>
      <c r="GZ331" t="e">
        <f>'North America'!I169+"n/&gt;!1fY"</f>
        <v>#VALUE!</v>
      </c>
      <c r="HA331" t="e">
        <f>'North America'!A170+"n/&gt;!1fZ"</f>
        <v>#VALUE!</v>
      </c>
      <c r="HB331" t="e">
        <f>'North America'!B170+"n/&gt;!1f["</f>
        <v>#VALUE!</v>
      </c>
      <c r="HC331" t="e">
        <f>'North America'!C170+"n/&gt;!1f\"</f>
        <v>#VALUE!</v>
      </c>
      <c r="HD331" t="e">
        <f>'North America'!D170+"n/&gt;!1f]"</f>
        <v>#VALUE!</v>
      </c>
      <c r="HE331" t="e">
        <f>'North America'!E170+"n/&gt;!1f^"</f>
        <v>#VALUE!</v>
      </c>
      <c r="HF331" t="e">
        <f>'North America'!F170+"n/&gt;!1f_"</f>
        <v>#VALUE!</v>
      </c>
      <c r="HG331" t="e">
        <f>'North America'!G170+"n/&gt;!1f`"</f>
        <v>#VALUE!</v>
      </c>
      <c r="HH331" t="e">
        <f>'North America'!H170+"n/&gt;!1fa"</f>
        <v>#VALUE!</v>
      </c>
      <c r="HI331" t="e">
        <f>'North America'!I170+"n/&gt;!1fb"</f>
        <v>#VALUE!</v>
      </c>
      <c r="HJ331" t="e">
        <f>'North America'!A171+"n/&gt;!1fc"</f>
        <v>#VALUE!</v>
      </c>
      <c r="HK331" t="e">
        <f>'North America'!B171+"n/&gt;!1fd"</f>
        <v>#VALUE!</v>
      </c>
      <c r="HL331" t="e">
        <f>'North America'!C171+"n/&gt;!1fe"</f>
        <v>#VALUE!</v>
      </c>
      <c r="HM331" t="e">
        <f>'North America'!D171+"n/&gt;!1ff"</f>
        <v>#VALUE!</v>
      </c>
      <c r="HN331" t="e">
        <f>'North America'!E171+"n/&gt;!1fg"</f>
        <v>#VALUE!</v>
      </c>
      <c r="HO331" t="e">
        <f>'North America'!F171+"n/&gt;!1fh"</f>
        <v>#VALUE!</v>
      </c>
      <c r="HP331" t="e">
        <f>'North America'!G171+"n/&gt;!1fi"</f>
        <v>#VALUE!</v>
      </c>
      <c r="HQ331" t="e">
        <f>'North America'!H171+"n/&gt;!1fj"</f>
        <v>#VALUE!</v>
      </c>
      <c r="HR331" t="e">
        <f>'North America'!I171+"n/&gt;!1fk"</f>
        <v>#VALUE!</v>
      </c>
      <c r="HS331" t="e">
        <f>'North America'!A172+"n/&gt;!1fl"</f>
        <v>#VALUE!</v>
      </c>
      <c r="HT331" t="e">
        <f>'North America'!B172+"n/&gt;!1fm"</f>
        <v>#VALUE!</v>
      </c>
      <c r="HU331" t="e">
        <f>'North America'!C172+"n/&gt;!1fn"</f>
        <v>#VALUE!</v>
      </c>
      <c r="HV331" t="e">
        <f>'North America'!D172+"n/&gt;!1fo"</f>
        <v>#VALUE!</v>
      </c>
      <c r="HW331" t="e">
        <f>'North America'!E172+"n/&gt;!1fp"</f>
        <v>#VALUE!</v>
      </c>
      <c r="HX331" t="e">
        <f>'North America'!F172+"n/&gt;!1fq"</f>
        <v>#VALUE!</v>
      </c>
      <c r="HY331" t="e">
        <f>'North America'!G172+"n/&gt;!1fr"</f>
        <v>#VALUE!</v>
      </c>
      <c r="HZ331" t="e">
        <f>'North America'!H172+"n/&gt;!1fs"</f>
        <v>#VALUE!</v>
      </c>
      <c r="IA331" t="e">
        <f>'North America'!I172+"n/&gt;!1ft"</f>
        <v>#VALUE!</v>
      </c>
      <c r="IB331" t="e">
        <f>'North America'!A173+"n/&gt;!1fu"</f>
        <v>#VALUE!</v>
      </c>
      <c r="IC331" t="e">
        <f>'North America'!B173+"n/&gt;!1fv"</f>
        <v>#VALUE!</v>
      </c>
      <c r="ID331" t="e">
        <f>'North America'!C173+"n/&gt;!1fw"</f>
        <v>#VALUE!</v>
      </c>
      <c r="IE331" t="e">
        <f>'North America'!D173+"n/&gt;!1fx"</f>
        <v>#VALUE!</v>
      </c>
      <c r="IF331" t="e">
        <f>'North America'!E173+"n/&gt;!1fy"</f>
        <v>#VALUE!</v>
      </c>
      <c r="IG331" t="e">
        <f>'North America'!F173+"n/&gt;!1fz"</f>
        <v>#VALUE!</v>
      </c>
      <c r="IH331" t="e">
        <f>'North America'!G173+"n/&gt;!1f{"</f>
        <v>#VALUE!</v>
      </c>
      <c r="II331" t="e">
        <f>'North America'!H173+"n/&gt;!1f|"</f>
        <v>#VALUE!</v>
      </c>
      <c r="IJ331" t="e">
        <f>'North America'!I173+"n/&gt;!1f}"</f>
        <v>#VALUE!</v>
      </c>
      <c r="IK331" t="e">
        <f>'North America'!A174+"n/&gt;!1f~"</f>
        <v>#VALUE!</v>
      </c>
      <c r="IL331" t="e">
        <f>'North America'!B174+"n/&gt;!1g#"</f>
        <v>#VALUE!</v>
      </c>
      <c r="IM331" t="e">
        <f>'North America'!C174+"n/&gt;!1g$"</f>
        <v>#VALUE!</v>
      </c>
      <c r="IN331" t="e">
        <f>'North America'!D174+"n/&gt;!1g%"</f>
        <v>#VALUE!</v>
      </c>
      <c r="IO331" t="e">
        <f>'North America'!E174+"n/&gt;!1g&amp;"</f>
        <v>#VALUE!</v>
      </c>
      <c r="IP331" t="e">
        <f>'North America'!F174+"n/&gt;!1g'"</f>
        <v>#VALUE!</v>
      </c>
      <c r="IQ331" t="e">
        <f>'North America'!G174+"n/&gt;!1g("</f>
        <v>#VALUE!</v>
      </c>
      <c r="IR331" t="e">
        <f>'North America'!H174+"n/&gt;!1g)"</f>
        <v>#VALUE!</v>
      </c>
      <c r="IS331" t="e">
        <f>'North America'!I174+"n/&gt;!1g."</f>
        <v>#VALUE!</v>
      </c>
      <c r="IT331" t="e">
        <f>'North America'!A175+"n/&gt;!1g/"</f>
        <v>#VALUE!</v>
      </c>
      <c r="IU331" t="e">
        <f>'North America'!B175+"n/&gt;!1g0"</f>
        <v>#VALUE!</v>
      </c>
      <c r="IV331" t="e">
        <f>'North America'!C175+"n/&gt;!1g1"</f>
        <v>#VALUE!</v>
      </c>
    </row>
    <row r="332" spans="6:256" x14ac:dyDescent="0.35">
      <c r="F332" t="e">
        <f>'North America'!D175+"n/&gt;!1g2"</f>
        <v>#VALUE!</v>
      </c>
      <c r="G332" t="e">
        <f>'North America'!E175+"n/&gt;!1g3"</f>
        <v>#VALUE!</v>
      </c>
      <c r="H332" t="e">
        <f>'North America'!F175+"n/&gt;!1g4"</f>
        <v>#VALUE!</v>
      </c>
      <c r="I332" t="e">
        <f>'North America'!G175+"n/&gt;!1g5"</f>
        <v>#VALUE!</v>
      </c>
      <c r="J332" t="e">
        <f>'North America'!H175+"n/&gt;!1g6"</f>
        <v>#VALUE!</v>
      </c>
      <c r="K332" t="e">
        <f>'North America'!I175+"n/&gt;!1g7"</f>
        <v>#VALUE!</v>
      </c>
      <c r="L332" t="e">
        <f>'North America'!A176+"n/&gt;!1g8"</f>
        <v>#VALUE!</v>
      </c>
      <c r="M332" t="e">
        <f>'North America'!B176+"n/&gt;!1g9"</f>
        <v>#VALUE!</v>
      </c>
      <c r="N332" t="e">
        <f>'North America'!C176+"n/&gt;!1g:"</f>
        <v>#VALUE!</v>
      </c>
      <c r="O332" t="e">
        <f>'North America'!D176+"n/&gt;!1g;"</f>
        <v>#VALUE!</v>
      </c>
      <c r="P332" t="e">
        <f>'North America'!E176+"n/&gt;!1g&lt;"</f>
        <v>#VALUE!</v>
      </c>
      <c r="Q332" t="e">
        <f>'North America'!F176+"n/&gt;!1g="</f>
        <v>#VALUE!</v>
      </c>
      <c r="R332" t="e">
        <f>'North America'!G176+"n/&gt;!1g&gt;"</f>
        <v>#VALUE!</v>
      </c>
      <c r="S332" t="e">
        <f>'North America'!H176+"n/&gt;!1g?"</f>
        <v>#VALUE!</v>
      </c>
      <c r="T332" t="e">
        <f>'North America'!I176+"n/&gt;!1g@"</f>
        <v>#VALUE!</v>
      </c>
      <c r="U332" t="e">
        <f>'North America'!A177+"n/&gt;!1gA"</f>
        <v>#VALUE!</v>
      </c>
      <c r="V332" t="e">
        <f>'North America'!B177+"n/&gt;!1gB"</f>
        <v>#VALUE!</v>
      </c>
      <c r="W332" t="e">
        <f>'North America'!C177+"n/&gt;!1gC"</f>
        <v>#VALUE!</v>
      </c>
      <c r="X332" t="e">
        <f>'North America'!D177+"n/&gt;!1gD"</f>
        <v>#VALUE!</v>
      </c>
      <c r="Y332" t="e">
        <f>'North America'!E177+"n/&gt;!1gE"</f>
        <v>#VALUE!</v>
      </c>
      <c r="Z332" t="e">
        <f>'North America'!F177+"n/&gt;!1gF"</f>
        <v>#VALUE!</v>
      </c>
      <c r="AA332" t="e">
        <f>'North America'!G177+"n/&gt;!1gG"</f>
        <v>#VALUE!</v>
      </c>
      <c r="AB332" t="e">
        <f>'North America'!H177+"n/&gt;!1gH"</f>
        <v>#VALUE!</v>
      </c>
      <c r="AC332" t="e">
        <f>'North America'!I177+"n/&gt;!1gI"</f>
        <v>#VALUE!</v>
      </c>
      <c r="AD332" t="e">
        <f>'North America'!A178+"n/&gt;!1gJ"</f>
        <v>#VALUE!</v>
      </c>
      <c r="AE332" t="e">
        <f>'North America'!B178+"n/&gt;!1gK"</f>
        <v>#VALUE!</v>
      </c>
      <c r="AF332" t="e">
        <f>'North America'!C178+"n/&gt;!1gL"</f>
        <v>#VALUE!</v>
      </c>
      <c r="AG332" t="e">
        <f>'North America'!D178+"n/&gt;!1gM"</f>
        <v>#VALUE!</v>
      </c>
      <c r="AH332" t="e">
        <f>'North America'!E178+"n/&gt;!1gN"</f>
        <v>#VALUE!</v>
      </c>
      <c r="AI332" t="e">
        <f>'North America'!F178+"n/&gt;!1gO"</f>
        <v>#VALUE!</v>
      </c>
      <c r="AJ332" t="e">
        <f>'North America'!G178+"n/&gt;!1gP"</f>
        <v>#VALUE!</v>
      </c>
      <c r="AK332" t="e">
        <f>'North America'!H178+"n/&gt;!1gQ"</f>
        <v>#VALUE!</v>
      </c>
      <c r="AL332" t="e">
        <f>'North America'!I178+"n/&gt;!1gR"</f>
        <v>#VALUE!</v>
      </c>
      <c r="AM332" t="e">
        <f>'North America'!A179+"n/&gt;!1gS"</f>
        <v>#VALUE!</v>
      </c>
      <c r="AN332" t="e">
        <f>'North America'!B179+"n/&gt;!1gT"</f>
        <v>#VALUE!</v>
      </c>
      <c r="AO332" t="e">
        <f>'North America'!C179+"n/&gt;!1gU"</f>
        <v>#VALUE!</v>
      </c>
      <c r="AP332" t="e">
        <f>'North America'!D179+"n/&gt;!1gV"</f>
        <v>#VALUE!</v>
      </c>
      <c r="AQ332" t="e">
        <f>'North America'!E179+"n/&gt;!1gW"</f>
        <v>#VALUE!</v>
      </c>
      <c r="AR332" t="e">
        <f>'North America'!F179+"n/&gt;!1gX"</f>
        <v>#VALUE!</v>
      </c>
      <c r="AS332" t="e">
        <f>'North America'!G179+"n/&gt;!1gY"</f>
        <v>#VALUE!</v>
      </c>
      <c r="AT332" t="e">
        <f>'North America'!H179+"n/&gt;!1gZ"</f>
        <v>#VALUE!</v>
      </c>
      <c r="AU332" t="e">
        <f>'North America'!I179+"n/&gt;!1g["</f>
        <v>#VALUE!</v>
      </c>
      <c r="AV332" t="e">
        <f>'North America'!A180+"n/&gt;!1g\"</f>
        <v>#VALUE!</v>
      </c>
      <c r="AW332" t="e">
        <f>'North America'!B180+"n/&gt;!1g]"</f>
        <v>#VALUE!</v>
      </c>
      <c r="AX332" t="e">
        <f>'North America'!C180+"n/&gt;!1g^"</f>
        <v>#VALUE!</v>
      </c>
      <c r="AY332" t="e">
        <f>'North America'!D180+"n/&gt;!1g_"</f>
        <v>#VALUE!</v>
      </c>
      <c r="AZ332" t="e">
        <f>'North America'!E180+"n/&gt;!1g`"</f>
        <v>#VALUE!</v>
      </c>
      <c r="BA332" t="e">
        <f>'North America'!F180+"n/&gt;!1ga"</f>
        <v>#VALUE!</v>
      </c>
      <c r="BB332" t="e">
        <f>'North America'!G180+"n/&gt;!1gb"</f>
        <v>#VALUE!</v>
      </c>
      <c r="BC332" t="e">
        <f>'North America'!H180+"n/&gt;!1gc"</f>
        <v>#VALUE!</v>
      </c>
      <c r="BD332" t="e">
        <f>'North America'!I180+"n/&gt;!1gd"</f>
        <v>#VALUE!</v>
      </c>
      <c r="BE332" t="e">
        <f>'North America'!A181+"n/&gt;!1ge"</f>
        <v>#VALUE!</v>
      </c>
      <c r="BF332" t="e">
        <f>'North America'!B181+"n/&gt;!1gf"</f>
        <v>#VALUE!</v>
      </c>
      <c r="BG332" t="e">
        <f>'North America'!C181+"n/&gt;!1gg"</f>
        <v>#VALUE!</v>
      </c>
      <c r="BH332" t="e">
        <f>'North America'!D181+"n/&gt;!1gh"</f>
        <v>#VALUE!</v>
      </c>
      <c r="BI332" t="e">
        <f>'North America'!E181+"n/&gt;!1gi"</f>
        <v>#VALUE!</v>
      </c>
      <c r="BJ332" t="e">
        <f>'North America'!F181+"n/&gt;!1gj"</f>
        <v>#VALUE!</v>
      </c>
      <c r="BK332" t="e">
        <f>'North America'!G181+"n/&gt;!1gk"</f>
        <v>#VALUE!</v>
      </c>
      <c r="BL332" t="e">
        <f>'North America'!H181+"n/&gt;!1gl"</f>
        <v>#VALUE!</v>
      </c>
      <c r="BM332" t="e">
        <f>'North America'!I181+"n/&gt;!1gm"</f>
        <v>#VALUE!</v>
      </c>
      <c r="BN332" t="e">
        <f>'North America'!A182+"n/&gt;!1gn"</f>
        <v>#VALUE!</v>
      </c>
      <c r="BO332" t="e">
        <f>'North America'!B182+"n/&gt;!1go"</f>
        <v>#VALUE!</v>
      </c>
      <c r="BP332" t="e">
        <f>'North America'!C182+"n/&gt;!1gp"</f>
        <v>#VALUE!</v>
      </c>
      <c r="BQ332" t="e">
        <f>'North America'!D182+"n/&gt;!1gq"</f>
        <v>#VALUE!</v>
      </c>
      <c r="BR332" t="e">
        <f>'North America'!E182+"n/&gt;!1gr"</f>
        <v>#VALUE!</v>
      </c>
      <c r="BS332" t="e">
        <f>'North America'!F182+"n/&gt;!1gs"</f>
        <v>#VALUE!</v>
      </c>
      <c r="BT332" t="e">
        <f>'North America'!G182+"n/&gt;!1gt"</f>
        <v>#VALUE!</v>
      </c>
      <c r="BU332" t="e">
        <f>'North America'!H182+"n/&gt;!1gu"</f>
        <v>#VALUE!</v>
      </c>
      <c r="BV332" t="e">
        <f>'North America'!I182+"n/&gt;!1gv"</f>
        <v>#VALUE!</v>
      </c>
      <c r="BW332" t="e">
        <f>'North America'!A183+"n/&gt;!1gw"</f>
        <v>#VALUE!</v>
      </c>
      <c r="BX332" t="e">
        <f>'North America'!B183+"n/&gt;!1gx"</f>
        <v>#VALUE!</v>
      </c>
      <c r="BY332" t="e">
        <f>'North America'!C183+"n/&gt;!1gy"</f>
        <v>#VALUE!</v>
      </c>
      <c r="BZ332" t="e">
        <f>'North America'!D183+"n/&gt;!1gz"</f>
        <v>#VALUE!</v>
      </c>
      <c r="CA332" t="e">
        <f>'North America'!E183+"n/&gt;!1g{"</f>
        <v>#VALUE!</v>
      </c>
      <c r="CB332" t="e">
        <f>'North America'!F183+"n/&gt;!1g|"</f>
        <v>#VALUE!</v>
      </c>
      <c r="CC332" t="e">
        <f>'North America'!G183+"n/&gt;!1g}"</f>
        <v>#VALUE!</v>
      </c>
      <c r="CD332" t="e">
        <f>'North America'!H183+"n/&gt;!1g~"</f>
        <v>#VALUE!</v>
      </c>
      <c r="CE332" t="e">
        <f>'North America'!I183+"n/&gt;!1h#"</f>
        <v>#VALUE!</v>
      </c>
      <c r="CF332" t="e">
        <f>'North America'!A184+"n/&gt;!1h$"</f>
        <v>#VALUE!</v>
      </c>
      <c r="CG332" t="e">
        <f>'North America'!B184+"n/&gt;!1h%"</f>
        <v>#VALUE!</v>
      </c>
      <c r="CH332" t="e">
        <f>'North America'!C184+"n/&gt;!1h&amp;"</f>
        <v>#VALUE!</v>
      </c>
      <c r="CI332" t="e">
        <f>'North America'!D184+"n/&gt;!1h'"</f>
        <v>#VALUE!</v>
      </c>
      <c r="CJ332" t="e">
        <f>'North America'!E184+"n/&gt;!1h("</f>
        <v>#VALUE!</v>
      </c>
      <c r="CK332" t="e">
        <f>'North America'!F184+"n/&gt;!1h)"</f>
        <v>#VALUE!</v>
      </c>
      <c r="CL332" t="e">
        <f>'North America'!G184+"n/&gt;!1h."</f>
        <v>#VALUE!</v>
      </c>
      <c r="CM332" t="e">
        <f>'North America'!H184+"n/&gt;!1h/"</f>
        <v>#VALUE!</v>
      </c>
      <c r="CN332" t="e">
        <f>'North America'!I184+"n/&gt;!1h0"</f>
        <v>#VALUE!</v>
      </c>
      <c r="CO332" t="e">
        <f>'North America'!A185+"n/&gt;!1h1"</f>
        <v>#VALUE!</v>
      </c>
      <c r="CP332" t="e">
        <f>'North America'!B185+"n/&gt;!1h2"</f>
        <v>#VALUE!</v>
      </c>
      <c r="CQ332" t="e">
        <f>'North America'!C185+"n/&gt;!1h3"</f>
        <v>#VALUE!</v>
      </c>
      <c r="CR332" t="e">
        <f>'North America'!D185+"n/&gt;!1h4"</f>
        <v>#VALUE!</v>
      </c>
      <c r="CS332" t="e">
        <f>'North America'!E185+"n/&gt;!1h5"</f>
        <v>#VALUE!</v>
      </c>
      <c r="CT332" t="e">
        <f>'North America'!F185+"n/&gt;!1h6"</f>
        <v>#VALUE!</v>
      </c>
      <c r="CU332" t="e">
        <f>'North America'!G185+"n/&gt;!1h7"</f>
        <v>#VALUE!</v>
      </c>
      <c r="CV332" t="e">
        <f>'North America'!H185+"n/&gt;!1h8"</f>
        <v>#VALUE!</v>
      </c>
      <c r="CW332" t="e">
        <f>'North America'!I185+"n/&gt;!1h9"</f>
        <v>#VALUE!</v>
      </c>
      <c r="CX332" t="e">
        <f>'North America'!A186+"n/&gt;!1h:"</f>
        <v>#VALUE!</v>
      </c>
      <c r="CY332" t="e">
        <f>'North America'!B186+"n/&gt;!1h;"</f>
        <v>#VALUE!</v>
      </c>
      <c r="CZ332" t="e">
        <f>'North America'!C186+"n/&gt;!1h&lt;"</f>
        <v>#VALUE!</v>
      </c>
      <c r="DA332" t="e">
        <f>'North America'!D186+"n/&gt;!1h="</f>
        <v>#VALUE!</v>
      </c>
      <c r="DB332" t="e">
        <f>'North America'!E186+"n/&gt;!1h&gt;"</f>
        <v>#VALUE!</v>
      </c>
      <c r="DC332" t="e">
        <f>'North America'!F186+"n/&gt;!1h?"</f>
        <v>#VALUE!</v>
      </c>
      <c r="DD332" t="e">
        <f>'North America'!G186+"n/&gt;!1h@"</f>
        <v>#VALUE!</v>
      </c>
      <c r="DE332" t="e">
        <f>'North America'!H186+"n/&gt;!1hA"</f>
        <v>#VALUE!</v>
      </c>
      <c r="DF332" t="e">
        <f>'North America'!I186+"n/&gt;!1hB"</f>
        <v>#VALUE!</v>
      </c>
      <c r="DG332" t="e">
        <f>'North America'!A187+"n/&gt;!1hC"</f>
        <v>#VALUE!</v>
      </c>
      <c r="DH332" t="e">
        <f>'North America'!B187+"n/&gt;!1hD"</f>
        <v>#VALUE!</v>
      </c>
      <c r="DI332" t="e">
        <f>'North America'!C187+"n/&gt;!1hE"</f>
        <v>#VALUE!</v>
      </c>
      <c r="DJ332" t="e">
        <f>'North America'!D187+"n/&gt;!1hF"</f>
        <v>#VALUE!</v>
      </c>
      <c r="DK332" t="e">
        <f>'North America'!E187+"n/&gt;!1hG"</f>
        <v>#VALUE!</v>
      </c>
      <c r="DL332" t="e">
        <f>'North America'!F187+"n/&gt;!1hH"</f>
        <v>#VALUE!</v>
      </c>
      <c r="DM332" t="e">
        <f>'North America'!G187+"n/&gt;!1hI"</f>
        <v>#VALUE!</v>
      </c>
      <c r="DN332" t="e">
        <f>'North America'!H187+"n/&gt;!1hJ"</f>
        <v>#VALUE!</v>
      </c>
      <c r="DO332" t="e">
        <f>'North America'!I187+"n/&gt;!1hK"</f>
        <v>#VALUE!</v>
      </c>
      <c r="DP332" t="e">
        <f>'North America'!A188+"n/&gt;!1hL"</f>
        <v>#VALUE!</v>
      </c>
      <c r="DQ332" t="e">
        <f>'North America'!B188+"n/&gt;!1hM"</f>
        <v>#VALUE!</v>
      </c>
      <c r="DR332" t="e">
        <f>'North America'!C188+"n/&gt;!1hN"</f>
        <v>#VALUE!</v>
      </c>
      <c r="DS332" t="e">
        <f>'North America'!D188+"n/&gt;!1hO"</f>
        <v>#VALUE!</v>
      </c>
      <c r="DT332" t="e">
        <f>'North America'!E188+"n/&gt;!1hP"</f>
        <v>#VALUE!</v>
      </c>
      <c r="DU332" t="e">
        <f>'North America'!F188+"n/&gt;!1hQ"</f>
        <v>#VALUE!</v>
      </c>
      <c r="DV332" t="e">
        <f>'North America'!G188+"n/&gt;!1hR"</f>
        <v>#VALUE!</v>
      </c>
      <c r="DW332" t="e">
        <f>'North America'!H188+"n/&gt;!1hS"</f>
        <v>#VALUE!</v>
      </c>
      <c r="DX332" t="e">
        <f>'North America'!I188+"n/&gt;!1hT"</f>
        <v>#VALUE!</v>
      </c>
      <c r="DY332" t="e">
        <f>'North America'!A189+"n/&gt;!1hU"</f>
        <v>#VALUE!</v>
      </c>
      <c r="DZ332" t="e">
        <f>'North America'!B189+"n/&gt;!1hV"</f>
        <v>#VALUE!</v>
      </c>
      <c r="EA332" t="e">
        <f>'North America'!C189+"n/&gt;!1hW"</f>
        <v>#VALUE!</v>
      </c>
      <c r="EB332" t="e">
        <f>'North America'!D189+"n/&gt;!1hX"</f>
        <v>#VALUE!</v>
      </c>
      <c r="EC332" t="e">
        <f>'North America'!E189+"n/&gt;!1hY"</f>
        <v>#VALUE!</v>
      </c>
      <c r="ED332" t="e">
        <f>'North America'!F189+"n/&gt;!1hZ"</f>
        <v>#VALUE!</v>
      </c>
      <c r="EE332" t="e">
        <f>'North America'!G189+"n/&gt;!1h["</f>
        <v>#VALUE!</v>
      </c>
      <c r="EF332" t="e">
        <f>'North America'!H189+"n/&gt;!1h\"</f>
        <v>#VALUE!</v>
      </c>
      <c r="EG332" t="e">
        <f>'North America'!I189+"n/&gt;!1h]"</f>
        <v>#VALUE!</v>
      </c>
      <c r="EH332" t="e">
        <f>'North America'!A190+"n/&gt;!1h^"</f>
        <v>#VALUE!</v>
      </c>
      <c r="EI332" t="e">
        <f>'North America'!B190+"n/&gt;!1h_"</f>
        <v>#VALUE!</v>
      </c>
      <c r="EJ332" t="e">
        <f>'North America'!C190+"n/&gt;!1h`"</f>
        <v>#VALUE!</v>
      </c>
      <c r="EK332" t="e">
        <f>'North America'!D190+"n/&gt;!1ha"</f>
        <v>#VALUE!</v>
      </c>
      <c r="EL332" t="e">
        <f>'North America'!E190+"n/&gt;!1hb"</f>
        <v>#VALUE!</v>
      </c>
      <c r="EM332" t="e">
        <f>'North America'!F190+"n/&gt;!1hc"</f>
        <v>#VALUE!</v>
      </c>
      <c r="EN332" t="e">
        <f>'North America'!G190+"n/&gt;!1hd"</f>
        <v>#VALUE!</v>
      </c>
      <c r="EO332" t="e">
        <f>'North America'!H190+"n/&gt;!1he"</f>
        <v>#VALUE!</v>
      </c>
      <c r="EP332" t="e">
        <f>'North America'!I190+"n/&gt;!1hf"</f>
        <v>#VALUE!</v>
      </c>
      <c r="EQ332" t="e">
        <f>'North America'!A191+"n/&gt;!1hg"</f>
        <v>#VALUE!</v>
      </c>
      <c r="ER332" t="e">
        <f>'North America'!B191+"n/&gt;!1hh"</f>
        <v>#VALUE!</v>
      </c>
      <c r="ES332" t="e">
        <f>'North America'!C191+"n/&gt;!1hi"</f>
        <v>#VALUE!</v>
      </c>
      <c r="ET332" t="e">
        <f>'North America'!D191+"n/&gt;!1hj"</f>
        <v>#VALUE!</v>
      </c>
      <c r="EU332" t="e">
        <f>'North America'!E191+"n/&gt;!1hk"</f>
        <v>#VALUE!</v>
      </c>
      <c r="EV332" t="e">
        <f>'North America'!F191+"n/&gt;!1hl"</f>
        <v>#VALUE!</v>
      </c>
      <c r="EW332" t="e">
        <f>'North America'!G191+"n/&gt;!1hm"</f>
        <v>#VALUE!</v>
      </c>
      <c r="EX332" t="e">
        <f>'North America'!H191+"n/&gt;!1hn"</f>
        <v>#VALUE!</v>
      </c>
      <c r="EY332" t="e">
        <f>'North America'!I191+"n/&gt;!1ho"</f>
        <v>#VALUE!</v>
      </c>
      <c r="EZ332" t="e">
        <f>'North America'!A192+"n/&gt;!1hp"</f>
        <v>#VALUE!</v>
      </c>
      <c r="FA332" t="e">
        <f>'North America'!B192+"n/&gt;!1hq"</f>
        <v>#VALUE!</v>
      </c>
      <c r="FB332" t="e">
        <f>'North America'!C192+"n/&gt;!1hr"</f>
        <v>#VALUE!</v>
      </c>
      <c r="FC332" t="e">
        <f>'North America'!D192+"n/&gt;!1hs"</f>
        <v>#VALUE!</v>
      </c>
      <c r="FD332" t="e">
        <f>'North America'!E192+"n/&gt;!1ht"</f>
        <v>#VALUE!</v>
      </c>
      <c r="FE332" t="e">
        <f>'North America'!F192+"n/&gt;!1hu"</f>
        <v>#VALUE!</v>
      </c>
      <c r="FF332" t="e">
        <f>'North America'!G192+"n/&gt;!1hv"</f>
        <v>#VALUE!</v>
      </c>
      <c r="FG332" t="e">
        <f>'North America'!H192+"n/&gt;!1hw"</f>
        <v>#VALUE!</v>
      </c>
      <c r="FH332" t="e">
        <f>'North America'!I192+"n/&gt;!1hx"</f>
        <v>#VALUE!</v>
      </c>
      <c r="FI332" t="e">
        <f>'North America'!A193+"n/&gt;!1hy"</f>
        <v>#VALUE!</v>
      </c>
      <c r="FJ332" t="e">
        <f>'North America'!B193+"n/&gt;!1hz"</f>
        <v>#VALUE!</v>
      </c>
      <c r="FK332" t="e">
        <f>'North America'!C193+"n/&gt;!1h{"</f>
        <v>#VALUE!</v>
      </c>
      <c r="FL332" t="e">
        <f>'North America'!D193+"n/&gt;!1h|"</f>
        <v>#VALUE!</v>
      </c>
      <c r="FM332" t="e">
        <f>'North America'!E193+"n/&gt;!1h}"</f>
        <v>#VALUE!</v>
      </c>
      <c r="FN332" t="e">
        <f>'North America'!F193+"n/&gt;!1h~"</f>
        <v>#VALUE!</v>
      </c>
      <c r="FO332" t="e">
        <f>'North America'!G193+"n/&gt;!1i#"</f>
        <v>#VALUE!</v>
      </c>
      <c r="FP332" t="e">
        <f>'North America'!H193+"n/&gt;!1i$"</f>
        <v>#VALUE!</v>
      </c>
      <c r="FQ332" t="e">
        <f>'North America'!I193+"n/&gt;!1i%"</f>
        <v>#VALUE!</v>
      </c>
      <c r="FR332" t="e">
        <f>'North America'!A194+"n/&gt;!1i&amp;"</f>
        <v>#VALUE!</v>
      </c>
      <c r="FS332" t="e">
        <f>'North America'!B194+"n/&gt;!1i'"</f>
        <v>#VALUE!</v>
      </c>
      <c r="FT332" t="e">
        <f>'North America'!C194+"n/&gt;!1i("</f>
        <v>#VALUE!</v>
      </c>
      <c r="FU332" t="e">
        <f>'North America'!D194+"n/&gt;!1i)"</f>
        <v>#VALUE!</v>
      </c>
      <c r="FV332" t="e">
        <f>'North America'!E194+"n/&gt;!1i."</f>
        <v>#VALUE!</v>
      </c>
      <c r="FW332" t="e">
        <f>'North America'!F194+"n/&gt;!1i/"</f>
        <v>#VALUE!</v>
      </c>
      <c r="FX332" t="e">
        <f>'North America'!G194+"n/&gt;!1i0"</f>
        <v>#VALUE!</v>
      </c>
      <c r="FY332" t="e">
        <f>'North America'!H194+"n/&gt;!1i1"</f>
        <v>#VALUE!</v>
      </c>
      <c r="FZ332" t="e">
        <f>'North America'!I194+"n/&gt;!1i2"</f>
        <v>#VALUE!</v>
      </c>
      <c r="GA332" t="e">
        <f>'North America'!A195+"n/&gt;!1i3"</f>
        <v>#VALUE!</v>
      </c>
      <c r="GB332" t="e">
        <f>'North America'!B195+"n/&gt;!1i4"</f>
        <v>#VALUE!</v>
      </c>
      <c r="GC332" t="e">
        <f>'North America'!C195+"n/&gt;!1i5"</f>
        <v>#VALUE!</v>
      </c>
      <c r="GD332" t="e">
        <f>'North America'!D195+"n/&gt;!1i6"</f>
        <v>#VALUE!</v>
      </c>
      <c r="GE332" t="e">
        <f>'North America'!E195+"n/&gt;!1i7"</f>
        <v>#VALUE!</v>
      </c>
      <c r="GF332" t="e">
        <f>'North America'!F195+"n/&gt;!1i8"</f>
        <v>#VALUE!</v>
      </c>
      <c r="GG332" t="e">
        <f>'North America'!G195+"n/&gt;!1i9"</f>
        <v>#VALUE!</v>
      </c>
      <c r="GH332" t="e">
        <f>'North America'!H195+"n/&gt;!1i:"</f>
        <v>#VALUE!</v>
      </c>
      <c r="GI332" t="e">
        <f>'North America'!I195+"n/&gt;!1i;"</f>
        <v>#VALUE!</v>
      </c>
      <c r="GJ332" t="e">
        <f>'North America'!A196+"n/&gt;!1i&lt;"</f>
        <v>#VALUE!</v>
      </c>
      <c r="GK332" t="e">
        <f>'North America'!B196+"n/&gt;!1i="</f>
        <v>#VALUE!</v>
      </c>
      <c r="GL332" t="e">
        <f>'North America'!C196+"n/&gt;!1i&gt;"</f>
        <v>#VALUE!</v>
      </c>
      <c r="GM332" t="e">
        <f>'North America'!D196+"n/&gt;!1i?"</f>
        <v>#VALUE!</v>
      </c>
      <c r="GN332" t="e">
        <f>'North America'!E196+"n/&gt;!1i@"</f>
        <v>#VALUE!</v>
      </c>
      <c r="GO332" t="e">
        <f>'North America'!F196+"n/&gt;!1iA"</f>
        <v>#VALUE!</v>
      </c>
      <c r="GP332" t="e">
        <f>'North America'!G196+"n/&gt;!1iB"</f>
        <v>#VALUE!</v>
      </c>
      <c r="GQ332" t="e">
        <f>'North America'!H196+"n/&gt;!1iC"</f>
        <v>#VALUE!</v>
      </c>
      <c r="GR332" t="e">
        <f>'North America'!I196+"n/&gt;!1iD"</f>
        <v>#VALUE!</v>
      </c>
      <c r="GS332" t="e">
        <f>'North America'!A197+"n/&gt;!1iE"</f>
        <v>#VALUE!</v>
      </c>
      <c r="GT332" t="e">
        <f>'North America'!B197+"n/&gt;!1iF"</f>
        <v>#VALUE!</v>
      </c>
      <c r="GU332" t="e">
        <f>'North America'!C197+"n/&gt;!1iG"</f>
        <v>#VALUE!</v>
      </c>
      <c r="GV332" t="e">
        <f>'North America'!D197+"n/&gt;!1iH"</f>
        <v>#VALUE!</v>
      </c>
      <c r="GW332" t="e">
        <f>'North America'!E197+"n/&gt;!1iI"</f>
        <v>#VALUE!</v>
      </c>
      <c r="GX332" t="e">
        <f>'North America'!F197+"n/&gt;!1iJ"</f>
        <v>#VALUE!</v>
      </c>
      <c r="GY332" t="e">
        <f>'North America'!G197+"n/&gt;!1iK"</f>
        <v>#VALUE!</v>
      </c>
      <c r="GZ332" t="e">
        <f>'North America'!H197+"n/&gt;!1iL"</f>
        <v>#VALUE!</v>
      </c>
      <c r="HA332" t="e">
        <f>'North America'!I197+"n/&gt;!1iM"</f>
        <v>#VALUE!</v>
      </c>
      <c r="HB332" t="e">
        <f>'North America'!A198+"n/&gt;!1iN"</f>
        <v>#VALUE!</v>
      </c>
      <c r="HC332" t="e">
        <f>'North America'!B198+"n/&gt;!1iO"</f>
        <v>#VALUE!</v>
      </c>
      <c r="HD332" t="e">
        <f>'North America'!C198+"n/&gt;!1iP"</f>
        <v>#VALUE!</v>
      </c>
      <c r="HE332" t="e">
        <f>'North America'!D198+"n/&gt;!1iQ"</f>
        <v>#VALUE!</v>
      </c>
      <c r="HF332" t="e">
        <f>'North America'!E198+"n/&gt;!1iR"</f>
        <v>#VALUE!</v>
      </c>
      <c r="HG332" t="e">
        <f>'North America'!F198+"n/&gt;!1iS"</f>
        <v>#VALUE!</v>
      </c>
      <c r="HH332" t="e">
        <f>'North America'!G198+"n/&gt;!1iT"</f>
        <v>#VALUE!</v>
      </c>
      <c r="HI332" t="e">
        <f>'North America'!H198+"n/&gt;!1iU"</f>
        <v>#VALUE!</v>
      </c>
      <c r="HJ332" t="e">
        <f>'North America'!I198+"n/&gt;!1iV"</f>
        <v>#VALUE!</v>
      </c>
      <c r="HK332" t="e">
        <f>'North America'!A199+"n/&gt;!1iW"</f>
        <v>#VALUE!</v>
      </c>
      <c r="HL332" t="e">
        <f>'North America'!B199+"n/&gt;!1iX"</f>
        <v>#VALUE!</v>
      </c>
      <c r="HM332" t="e">
        <f>'North America'!C199+"n/&gt;!1iY"</f>
        <v>#VALUE!</v>
      </c>
      <c r="HN332" t="e">
        <f>'North America'!D199+"n/&gt;!1iZ"</f>
        <v>#VALUE!</v>
      </c>
      <c r="HO332" t="e">
        <f>'North America'!E199+"n/&gt;!1i["</f>
        <v>#VALUE!</v>
      </c>
      <c r="HP332" t="e">
        <f>'North America'!F199+"n/&gt;!1i\"</f>
        <v>#VALUE!</v>
      </c>
      <c r="HQ332" t="e">
        <f>'North America'!G199+"n/&gt;!1i]"</f>
        <v>#VALUE!</v>
      </c>
      <c r="HR332" t="e">
        <f>'North America'!H199+"n/&gt;!1i^"</f>
        <v>#VALUE!</v>
      </c>
      <c r="HS332" t="e">
        <f>'North America'!I199+"n/&gt;!1i_"</f>
        <v>#VALUE!</v>
      </c>
      <c r="HT332" t="e">
        <f>'North America'!A200+"n/&gt;!1i`"</f>
        <v>#VALUE!</v>
      </c>
      <c r="HU332" t="e">
        <f>'North America'!B200+"n/&gt;!1ia"</f>
        <v>#VALUE!</v>
      </c>
      <c r="HV332" t="e">
        <f>'North America'!C200+"n/&gt;!1ib"</f>
        <v>#VALUE!</v>
      </c>
      <c r="HW332" t="e">
        <f>'North America'!D200+"n/&gt;!1ic"</f>
        <v>#VALUE!</v>
      </c>
      <c r="HX332" t="e">
        <f>'North America'!E200+"n/&gt;!1id"</f>
        <v>#VALUE!</v>
      </c>
      <c r="HY332" t="e">
        <f>'North America'!F200+"n/&gt;!1ie"</f>
        <v>#VALUE!</v>
      </c>
      <c r="HZ332" t="e">
        <f>'North America'!G200+"n/&gt;!1if"</f>
        <v>#VALUE!</v>
      </c>
      <c r="IA332" t="e">
        <f>'North America'!H200+"n/&gt;!1ig"</f>
        <v>#VALUE!</v>
      </c>
      <c r="IB332" t="e">
        <f>'North America'!I200+"n/&gt;!1ih"</f>
        <v>#VALUE!</v>
      </c>
      <c r="IC332" t="e">
        <f>'North America'!A201+"n/&gt;!1ii"</f>
        <v>#VALUE!</v>
      </c>
      <c r="ID332" t="e">
        <f>'North America'!B201+"n/&gt;!1ij"</f>
        <v>#VALUE!</v>
      </c>
      <c r="IE332" t="e">
        <f>'North America'!C201+"n/&gt;!1ik"</f>
        <v>#VALUE!</v>
      </c>
      <c r="IF332" t="e">
        <f>'North America'!D201+"n/&gt;!1il"</f>
        <v>#VALUE!</v>
      </c>
      <c r="IG332" t="e">
        <f>'North America'!E201+"n/&gt;!1im"</f>
        <v>#VALUE!</v>
      </c>
      <c r="IH332" t="e">
        <f>'North America'!F201+"n/&gt;!1in"</f>
        <v>#VALUE!</v>
      </c>
      <c r="II332" t="e">
        <f>'North America'!G201+"n/&gt;!1io"</f>
        <v>#VALUE!</v>
      </c>
      <c r="IJ332" t="e">
        <f>'North America'!H201+"n/&gt;!1ip"</f>
        <v>#VALUE!</v>
      </c>
      <c r="IK332" t="e">
        <f>'North America'!I201+"n/&gt;!1iq"</f>
        <v>#VALUE!</v>
      </c>
      <c r="IL332" t="e">
        <f>'North America'!A202+"n/&gt;!1ir"</f>
        <v>#VALUE!</v>
      </c>
      <c r="IM332" t="e">
        <f>'North America'!B202+"n/&gt;!1is"</f>
        <v>#VALUE!</v>
      </c>
      <c r="IN332" t="e">
        <f>'North America'!C202+"n/&gt;!1it"</f>
        <v>#VALUE!</v>
      </c>
      <c r="IO332" t="e">
        <f>'North America'!D202+"n/&gt;!1iu"</f>
        <v>#VALUE!</v>
      </c>
      <c r="IP332" t="e">
        <f>'North America'!E202+"n/&gt;!1iv"</f>
        <v>#VALUE!</v>
      </c>
      <c r="IQ332" t="e">
        <f>'North America'!F202+"n/&gt;!1iw"</f>
        <v>#VALUE!</v>
      </c>
      <c r="IR332" t="e">
        <f>'North America'!G202+"n/&gt;!1ix"</f>
        <v>#VALUE!</v>
      </c>
      <c r="IS332" t="e">
        <f>'North America'!H202+"n/&gt;!1iy"</f>
        <v>#VALUE!</v>
      </c>
      <c r="IT332" t="e">
        <f>'North America'!I202+"n/&gt;!1iz"</f>
        <v>#VALUE!</v>
      </c>
      <c r="IU332" t="e">
        <f>'North America'!A203+"n/&gt;!1i{"</f>
        <v>#VALUE!</v>
      </c>
      <c r="IV332" t="e">
        <f>'North America'!B203+"n/&gt;!1i|"</f>
        <v>#VALUE!</v>
      </c>
    </row>
    <row r="333" spans="6:256" x14ac:dyDescent="0.35">
      <c r="F333" t="e">
        <f>'North America'!C203+"n/&gt;!1i}"</f>
        <v>#VALUE!</v>
      </c>
      <c r="G333" t="e">
        <f>'North America'!D203+"n/&gt;!1i~"</f>
        <v>#VALUE!</v>
      </c>
      <c r="H333" t="e">
        <f>'North America'!E203+"n/&gt;!1j#"</f>
        <v>#VALUE!</v>
      </c>
      <c r="I333" t="e">
        <f>'North America'!F203+"n/&gt;!1j$"</f>
        <v>#VALUE!</v>
      </c>
      <c r="J333" t="e">
        <f>'North America'!G203+"n/&gt;!1j%"</f>
        <v>#VALUE!</v>
      </c>
      <c r="K333" t="e">
        <f>'North America'!H203+"n/&gt;!1j&amp;"</f>
        <v>#VALUE!</v>
      </c>
      <c r="L333" t="e">
        <f>'North America'!I203+"n/&gt;!1j'"</f>
        <v>#VALUE!</v>
      </c>
      <c r="M333" t="e">
        <f>'North America'!A204+"n/&gt;!1j("</f>
        <v>#VALUE!</v>
      </c>
      <c r="N333" t="e">
        <f>'North America'!B204+"n/&gt;!1j)"</f>
        <v>#VALUE!</v>
      </c>
      <c r="O333" t="e">
        <f>'North America'!C204+"n/&gt;!1j."</f>
        <v>#VALUE!</v>
      </c>
      <c r="P333" t="e">
        <f>'North America'!D204+"n/&gt;!1j/"</f>
        <v>#VALUE!</v>
      </c>
      <c r="Q333" t="e">
        <f>'North America'!E204+"n/&gt;!1j0"</f>
        <v>#VALUE!</v>
      </c>
      <c r="R333" t="e">
        <f>'North America'!F204+"n/&gt;!1j1"</f>
        <v>#VALUE!</v>
      </c>
      <c r="S333" t="e">
        <f>'North America'!G204+"n/&gt;!1j2"</f>
        <v>#VALUE!</v>
      </c>
      <c r="T333" t="e">
        <f>'North America'!H204+"n/&gt;!1j3"</f>
        <v>#VALUE!</v>
      </c>
      <c r="U333" t="e">
        <f>'North America'!I204+"n/&gt;!1j4"</f>
        <v>#VALUE!</v>
      </c>
      <c r="V333" t="e">
        <f>'North America'!A205+"n/&gt;!1j5"</f>
        <v>#VALUE!</v>
      </c>
      <c r="W333" t="e">
        <f>'North America'!B205+"n/&gt;!1j6"</f>
        <v>#VALUE!</v>
      </c>
      <c r="X333" t="e">
        <f>'North America'!C205+"n/&gt;!1j7"</f>
        <v>#VALUE!</v>
      </c>
      <c r="Y333" t="e">
        <f>'North America'!D205+"n/&gt;!1j8"</f>
        <v>#VALUE!</v>
      </c>
      <c r="Z333" t="e">
        <f>'North America'!E205+"n/&gt;!1j9"</f>
        <v>#VALUE!</v>
      </c>
      <c r="AA333" t="e">
        <f>'North America'!F205+"n/&gt;!1j:"</f>
        <v>#VALUE!</v>
      </c>
      <c r="AB333" t="e">
        <f>'North America'!G205+"n/&gt;!1j;"</f>
        <v>#VALUE!</v>
      </c>
      <c r="AC333" t="e">
        <f>'North America'!H205+"n/&gt;!1j&lt;"</f>
        <v>#VALUE!</v>
      </c>
      <c r="AD333" t="e">
        <f>'North America'!I205+"n/&gt;!1j="</f>
        <v>#VALUE!</v>
      </c>
      <c r="AE333" t="e">
        <f>'North America'!A206+"n/&gt;!1j&gt;"</f>
        <v>#VALUE!</v>
      </c>
      <c r="AF333" t="e">
        <f>'North America'!B206+"n/&gt;!1j?"</f>
        <v>#VALUE!</v>
      </c>
      <c r="AG333" t="e">
        <f>'North America'!C206+"n/&gt;!1j@"</f>
        <v>#VALUE!</v>
      </c>
      <c r="AH333" t="e">
        <f>'North America'!D206+"n/&gt;!1jA"</f>
        <v>#VALUE!</v>
      </c>
      <c r="AI333" t="e">
        <f>'North America'!E206+"n/&gt;!1jB"</f>
        <v>#VALUE!</v>
      </c>
      <c r="AJ333" t="e">
        <f>'North America'!F206+"n/&gt;!1jC"</f>
        <v>#VALUE!</v>
      </c>
      <c r="AK333" t="e">
        <f>'North America'!G206+"n/&gt;!1jD"</f>
        <v>#VALUE!</v>
      </c>
      <c r="AL333" t="e">
        <f>'North America'!H206+"n/&gt;!1jE"</f>
        <v>#VALUE!</v>
      </c>
      <c r="AM333" t="e">
        <f>'North America'!I206+"n/&gt;!1jF"</f>
        <v>#VALUE!</v>
      </c>
      <c r="AN333" t="e">
        <f>'North America'!A207+"n/&gt;!1jG"</f>
        <v>#VALUE!</v>
      </c>
      <c r="AO333" t="e">
        <f>'North America'!B207+"n/&gt;!1jH"</f>
        <v>#VALUE!</v>
      </c>
      <c r="AP333" t="e">
        <f>'North America'!C207+"n/&gt;!1jI"</f>
        <v>#VALUE!</v>
      </c>
      <c r="AQ333" t="e">
        <f>'North America'!D207+"n/&gt;!1jJ"</f>
        <v>#VALUE!</v>
      </c>
      <c r="AR333" t="e">
        <f>'North America'!E207+"n/&gt;!1jK"</f>
        <v>#VALUE!</v>
      </c>
      <c r="AS333" t="e">
        <f>'North America'!F207+"n/&gt;!1jL"</f>
        <v>#VALUE!</v>
      </c>
      <c r="AT333" t="e">
        <f>'North America'!G207+"n/&gt;!1jM"</f>
        <v>#VALUE!</v>
      </c>
      <c r="AU333" t="e">
        <f>'North America'!H207+"n/&gt;!1jN"</f>
        <v>#VALUE!</v>
      </c>
      <c r="AV333" t="e">
        <f>'North America'!I207+"n/&gt;!1jO"</f>
        <v>#VALUE!</v>
      </c>
      <c r="AW333" t="e">
        <f>'North America'!A208+"n/&gt;!1jP"</f>
        <v>#VALUE!</v>
      </c>
      <c r="AX333" t="e">
        <f>'North America'!B208+"n/&gt;!1jQ"</f>
        <v>#VALUE!</v>
      </c>
      <c r="AY333" t="e">
        <f>'North America'!C208+"n/&gt;!1jR"</f>
        <v>#VALUE!</v>
      </c>
      <c r="AZ333" t="e">
        <f>'North America'!D208+"n/&gt;!1jS"</f>
        <v>#VALUE!</v>
      </c>
      <c r="BA333" t="e">
        <f>'North America'!E208+"n/&gt;!1jT"</f>
        <v>#VALUE!</v>
      </c>
      <c r="BB333" t="e">
        <f>'North America'!F208+"n/&gt;!1jU"</f>
        <v>#VALUE!</v>
      </c>
      <c r="BC333" t="e">
        <f>'North America'!G208+"n/&gt;!1jV"</f>
        <v>#VALUE!</v>
      </c>
      <c r="BD333" t="e">
        <f>'North America'!H208+"n/&gt;!1jW"</f>
        <v>#VALUE!</v>
      </c>
      <c r="BE333" t="e">
        <f>'North America'!I208+"n/&gt;!1jX"</f>
        <v>#VALUE!</v>
      </c>
      <c r="BF333" t="e">
        <f>'North America'!A209+"n/&gt;!1jY"</f>
        <v>#VALUE!</v>
      </c>
      <c r="BG333" t="e">
        <f>'North America'!B209+"n/&gt;!1jZ"</f>
        <v>#VALUE!</v>
      </c>
      <c r="BH333" t="e">
        <f>'North America'!C209+"n/&gt;!1j["</f>
        <v>#VALUE!</v>
      </c>
      <c r="BI333" t="e">
        <f>'North America'!D209+"n/&gt;!1j\"</f>
        <v>#VALUE!</v>
      </c>
      <c r="BJ333" t="e">
        <f>'North America'!E209+"n/&gt;!1j]"</f>
        <v>#VALUE!</v>
      </c>
      <c r="BK333" t="e">
        <f>'North America'!F209+"n/&gt;!1j^"</f>
        <v>#VALUE!</v>
      </c>
      <c r="BL333" t="e">
        <f>'North America'!G209+"n/&gt;!1j_"</f>
        <v>#VALUE!</v>
      </c>
      <c r="BM333" t="e">
        <f>'North America'!H209+"n/&gt;!1j`"</f>
        <v>#VALUE!</v>
      </c>
      <c r="BN333" t="e">
        <f>'North America'!I209+"n/&gt;!1ja"</f>
        <v>#VALUE!</v>
      </c>
      <c r="BO333" t="e">
        <f>'North America'!A210+"n/&gt;!1jb"</f>
        <v>#VALUE!</v>
      </c>
      <c r="BP333" t="e">
        <f>'North America'!B210+"n/&gt;!1jc"</f>
        <v>#VALUE!</v>
      </c>
      <c r="BQ333" t="e">
        <f>'North America'!C210+"n/&gt;!1jd"</f>
        <v>#VALUE!</v>
      </c>
      <c r="BR333" t="e">
        <f>'North America'!D210+"n/&gt;!1je"</f>
        <v>#VALUE!</v>
      </c>
      <c r="BS333" t="e">
        <f>'North America'!E210+"n/&gt;!1jf"</f>
        <v>#VALUE!</v>
      </c>
      <c r="BT333" t="e">
        <f>'North America'!F210+"n/&gt;!1jg"</f>
        <v>#VALUE!</v>
      </c>
      <c r="BU333" t="e">
        <f>'North America'!G210+"n/&gt;!1jh"</f>
        <v>#VALUE!</v>
      </c>
      <c r="BV333" t="e">
        <f>'North America'!H210+"n/&gt;!1ji"</f>
        <v>#VALUE!</v>
      </c>
      <c r="BW333" t="e">
        <f>'North America'!I210+"n/&gt;!1jj"</f>
        <v>#VALUE!</v>
      </c>
      <c r="BX333" t="e">
        <f>'North America'!A211+"n/&gt;!1jk"</f>
        <v>#VALUE!</v>
      </c>
      <c r="BY333" t="e">
        <f>'North America'!B211+"n/&gt;!1jl"</f>
        <v>#VALUE!</v>
      </c>
      <c r="BZ333" t="e">
        <f>'North America'!C211+"n/&gt;!1jm"</f>
        <v>#VALUE!</v>
      </c>
      <c r="CA333" t="e">
        <f>'North America'!D211+"n/&gt;!1jn"</f>
        <v>#VALUE!</v>
      </c>
      <c r="CB333" t="e">
        <f>'North America'!E211+"n/&gt;!1jo"</f>
        <v>#VALUE!</v>
      </c>
      <c r="CC333" t="e">
        <f>'North America'!F211+"n/&gt;!1jp"</f>
        <v>#VALUE!</v>
      </c>
      <c r="CD333" t="e">
        <f>'North America'!G211+"n/&gt;!1jq"</f>
        <v>#VALUE!</v>
      </c>
      <c r="CE333" t="e">
        <f>'North America'!H211+"n/&gt;!1jr"</f>
        <v>#VALUE!</v>
      </c>
      <c r="CF333" t="e">
        <f>'North America'!I211+"n/&gt;!1js"</f>
        <v>#VALUE!</v>
      </c>
      <c r="CG333" t="e">
        <f>'North America'!A212+"n/&gt;!1jt"</f>
        <v>#VALUE!</v>
      </c>
      <c r="CH333" t="e">
        <f>'North America'!B212+"n/&gt;!1ju"</f>
        <v>#VALUE!</v>
      </c>
      <c r="CI333" t="e">
        <f>'North America'!C212+"n/&gt;!1jv"</f>
        <v>#VALUE!</v>
      </c>
      <c r="CJ333" t="e">
        <f>'North America'!D212+"n/&gt;!1jw"</f>
        <v>#VALUE!</v>
      </c>
      <c r="CK333" t="e">
        <f>'North America'!E212+"n/&gt;!1jx"</f>
        <v>#VALUE!</v>
      </c>
      <c r="CL333" t="e">
        <f>'North America'!F212+"n/&gt;!1jy"</f>
        <v>#VALUE!</v>
      </c>
      <c r="CM333" t="e">
        <f>'North America'!G212+"n/&gt;!1jz"</f>
        <v>#VALUE!</v>
      </c>
      <c r="CN333" t="e">
        <f>'North America'!H212+"n/&gt;!1j{"</f>
        <v>#VALUE!</v>
      </c>
      <c r="CO333" t="e">
        <f>'North America'!I212+"n/&gt;!1j|"</f>
        <v>#VALUE!</v>
      </c>
      <c r="CP333" t="e">
        <f>'North America'!A213+"n/&gt;!1j}"</f>
        <v>#VALUE!</v>
      </c>
      <c r="CQ333" t="e">
        <f>'North America'!B213+"n/&gt;!1j~"</f>
        <v>#VALUE!</v>
      </c>
      <c r="CR333" t="e">
        <f>'North America'!C213+"n/&gt;!1k#"</f>
        <v>#VALUE!</v>
      </c>
      <c r="CS333" t="e">
        <f>'North America'!D213+"n/&gt;!1k$"</f>
        <v>#VALUE!</v>
      </c>
      <c r="CT333" t="e">
        <f>'North America'!E213+"n/&gt;!1k%"</f>
        <v>#VALUE!</v>
      </c>
      <c r="CU333" t="e">
        <f>'North America'!F213+"n/&gt;!1k&amp;"</f>
        <v>#VALUE!</v>
      </c>
      <c r="CV333" t="e">
        <f>'North America'!G213+"n/&gt;!1k'"</f>
        <v>#VALUE!</v>
      </c>
      <c r="CW333" t="e">
        <f>'North America'!H213+"n/&gt;!1k("</f>
        <v>#VALUE!</v>
      </c>
      <c r="CX333" t="e">
        <f>'North America'!I213+"n/&gt;!1k)"</f>
        <v>#VALUE!</v>
      </c>
      <c r="CY333" t="e">
        <f>'North America'!A214+"n/&gt;!1k."</f>
        <v>#VALUE!</v>
      </c>
      <c r="CZ333" t="e">
        <f>'North America'!B214+"n/&gt;!1k/"</f>
        <v>#VALUE!</v>
      </c>
      <c r="DA333" t="e">
        <f>'North America'!C214+"n/&gt;!1k0"</f>
        <v>#VALUE!</v>
      </c>
      <c r="DB333" t="e">
        <f>'North America'!D214+"n/&gt;!1k1"</f>
        <v>#VALUE!</v>
      </c>
      <c r="DC333" t="e">
        <f>'North America'!E214+"n/&gt;!1k2"</f>
        <v>#VALUE!</v>
      </c>
      <c r="DD333" t="e">
        <f>'North America'!F214+"n/&gt;!1k3"</f>
        <v>#VALUE!</v>
      </c>
      <c r="DE333" t="e">
        <f>'North America'!G214+"n/&gt;!1k4"</f>
        <v>#VALUE!</v>
      </c>
      <c r="DF333" t="e">
        <f>'North America'!H214+"n/&gt;!1k5"</f>
        <v>#VALUE!</v>
      </c>
      <c r="DG333" t="e">
        <f>'North America'!I214+"n/&gt;!1k6"</f>
        <v>#VALUE!</v>
      </c>
      <c r="DH333" t="e">
        <f>'North America'!A215+"n/&gt;!1k7"</f>
        <v>#VALUE!</v>
      </c>
      <c r="DI333" t="e">
        <f>'North America'!B215+"n/&gt;!1k8"</f>
        <v>#VALUE!</v>
      </c>
      <c r="DJ333" t="e">
        <f>'North America'!C215+"n/&gt;!1k9"</f>
        <v>#VALUE!</v>
      </c>
      <c r="DK333" t="e">
        <f>'North America'!D215+"n/&gt;!1k:"</f>
        <v>#VALUE!</v>
      </c>
      <c r="DL333" t="e">
        <f>'North America'!E215+"n/&gt;!1k;"</f>
        <v>#VALUE!</v>
      </c>
      <c r="DM333" t="e">
        <f>'North America'!F215+"n/&gt;!1k&lt;"</f>
        <v>#VALUE!</v>
      </c>
      <c r="DN333" t="e">
        <f>'North America'!G215+"n/&gt;!1k="</f>
        <v>#VALUE!</v>
      </c>
      <c r="DO333" t="e">
        <f>'North America'!H215+"n/&gt;!1k&gt;"</f>
        <v>#VALUE!</v>
      </c>
      <c r="DP333" t="e">
        <f>'North America'!I215+"n/&gt;!1k?"</f>
        <v>#VALUE!</v>
      </c>
      <c r="DQ333" t="e">
        <f>'North America'!A216+"n/&gt;!1k@"</f>
        <v>#VALUE!</v>
      </c>
      <c r="DR333" t="e">
        <f>'North America'!B216+"n/&gt;!1kA"</f>
        <v>#VALUE!</v>
      </c>
      <c r="DS333" t="e">
        <f>'North America'!C216+"n/&gt;!1kB"</f>
        <v>#VALUE!</v>
      </c>
      <c r="DT333" t="e">
        <f>'North America'!D216+"n/&gt;!1kC"</f>
        <v>#VALUE!</v>
      </c>
      <c r="DU333" t="e">
        <f>'North America'!E216+"n/&gt;!1kD"</f>
        <v>#VALUE!</v>
      </c>
      <c r="DV333" t="e">
        <f>'North America'!F216+"n/&gt;!1kE"</f>
        <v>#VALUE!</v>
      </c>
      <c r="DW333" t="e">
        <f>'North America'!G216+"n/&gt;!1kF"</f>
        <v>#VALUE!</v>
      </c>
      <c r="DX333" t="e">
        <f>'North America'!H216+"n/&gt;!1kG"</f>
        <v>#VALUE!</v>
      </c>
      <c r="DY333" t="e">
        <f>'North America'!I216+"n/&gt;!1kH"</f>
        <v>#VALUE!</v>
      </c>
      <c r="DZ333" t="e">
        <f>'North America'!A217+"n/&gt;!1kI"</f>
        <v>#VALUE!</v>
      </c>
      <c r="EA333" t="e">
        <f>'North America'!B217+"n/&gt;!1kJ"</f>
        <v>#VALUE!</v>
      </c>
      <c r="EB333" t="e">
        <f>'North America'!C217+"n/&gt;!1kK"</f>
        <v>#VALUE!</v>
      </c>
      <c r="EC333" t="e">
        <f>'North America'!D217+"n/&gt;!1kL"</f>
        <v>#VALUE!</v>
      </c>
      <c r="ED333" t="e">
        <f>'North America'!E217+"n/&gt;!1kM"</f>
        <v>#VALUE!</v>
      </c>
      <c r="EE333" t="e">
        <f>'North America'!F217+"n/&gt;!1kN"</f>
        <v>#VALUE!</v>
      </c>
      <c r="EF333" t="e">
        <f>'North America'!G217+"n/&gt;!1kO"</f>
        <v>#VALUE!</v>
      </c>
      <c r="EG333" t="e">
        <f>'North America'!H217+"n/&gt;!1kP"</f>
        <v>#VALUE!</v>
      </c>
      <c r="EH333" t="e">
        <f>'North America'!I217+"n/&gt;!1kQ"</f>
        <v>#VALUE!</v>
      </c>
      <c r="EI333" t="e">
        <f>'North America'!A218+"n/&gt;!1kR"</f>
        <v>#VALUE!</v>
      </c>
      <c r="EJ333" t="e">
        <f>'North America'!B218+"n/&gt;!1kS"</f>
        <v>#VALUE!</v>
      </c>
      <c r="EK333" t="e">
        <f>'North America'!C218+"n/&gt;!1kT"</f>
        <v>#VALUE!</v>
      </c>
      <c r="EL333" t="e">
        <f>'North America'!D218+"n/&gt;!1kU"</f>
        <v>#VALUE!</v>
      </c>
      <c r="EM333" t="e">
        <f>'North America'!E218+"n/&gt;!1kV"</f>
        <v>#VALUE!</v>
      </c>
      <c r="EN333" t="e">
        <f>'North America'!F218+"n/&gt;!1kW"</f>
        <v>#VALUE!</v>
      </c>
      <c r="EO333" t="e">
        <f>'North America'!G218+"n/&gt;!1kX"</f>
        <v>#VALUE!</v>
      </c>
      <c r="EP333" t="e">
        <f>'North America'!H218+"n/&gt;!1kY"</f>
        <v>#VALUE!</v>
      </c>
      <c r="EQ333" t="e">
        <f>'North America'!I218+"n/&gt;!1kZ"</f>
        <v>#VALUE!</v>
      </c>
      <c r="ER333" t="e">
        <f>'North America'!A219+"n/&gt;!1k["</f>
        <v>#VALUE!</v>
      </c>
      <c r="ES333" t="e">
        <f>'North America'!B219+"n/&gt;!1k\"</f>
        <v>#VALUE!</v>
      </c>
      <c r="ET333" t="e">
        <f>'North America'!C219+"n/&gt;!1k]"</f>
        <v>#VALUE!</v>
      </c>
      <c r="EU333" t="e">
        <f>'North America'!D219+"n/&gt;!1k^"</f>
        <v>#VALUE!</v>
      </c>
      <c r="EV333" t="e">
        <f>'North America'!E219+"n/&gt;!1k_"</f>
        <v>#VALUE!</v>
      </c>
      <c r="EW333" t="e">
        <f>'North America'!F219+"n/&gt;!1k`"</f>
        <v>#VALUE!</v>
      </c>
      <c r="EX333" t="e">
        <f>'North America'!G219+"n/&gt;!1ka"</f>
        <v>#VALUE!</v>
      </c>
      <c r="EY333" t="e">
        <f>'North America'!H219+"n/&gt;!1kb"</f>
        <v>#VALUE!</v>
      </c>
      <c r="EZ333" t="e">
        <f>'North America'!I219+"n/&gt;!1kc"</f>
        <v>#VALUE!</v>
      </c>
      <c r="FA333" t="e">
        <f>'North America'!A220+"n/&gt;!1kd"</f>
        <v>#VALUE!</v>
      </c>
      <c r="FB333" t="e">
        <f>'North America'!B220+"n/&gt;!1ke"</f>
        <v>#VALUE!</v>
      </c>
      <c r="FC333" t="e">
        <f>'North America'!C220+"n/&gt;!1kf"</f>
        <v>#VALUE!</v>
      </c>
      <c r="FD333" t="e">
        <f>'North America'!D220+"n/&gt;!1kg"</f>
        <v>#VALUE!</v>
      </c>
      <c r="FE333" t="e">
        <f>'North America'!E220+"n/&gt;!1kh"</f>
        <v>#VALUE!</v>
      </c>
      <c r="FF333" t="e">
        <f>'North America'!F220+"n/&gt;!1ki"</f>
        <v>#VALUE!</v>
      </c>
      <c r="FG333" t="e">
        <f>'North America'!G220+"n/&gt;!1kj"</f>
        <v>#VALUE!</v>
      </c>
      <c r="FH333" t="e">
        <f>'North America'!H220+"n/&gt;!1kk"</f>
        <v>#VALUE!</v>
      </c>
      <c r="FI333" t="e">
        <f>'North America'!I220+"n/&gt;!1kl"</f>
        <v>#VALUE!</v>
      </c>
      <c r="FJ333" t="e">
        <f>'North America'!A221+"n/&gt;!1km"</f>
        <v>#VALUE!</v>
      </c>
      <c r="FK333" t="e">
        <f>'North America'!B221+"n/&gt;!1kn"</f>
        <v>#VALUE!</v>
      </c>
      <c r="FL333" t="e">
        <f>'North America'!C221+"n/&gt;!1ko"</f>
        <v>#VALUE!</v>
      </c>
      <c r="FM333" t="e">
        <f>'North America'!D221+"n/&gt;!1kp"</f>
        <v>#VALUE!</v>
      </c>
      <c r="FN333" t="e">
        <f>'North America'!E221+"n/&gt;!1kq"</f>
        <v>#VALUE!</v>
      </c>
      <c r="FO333" t="e">
        <f>'North America'!F221+"n/&gt;!1kr"</f>
        <v>#VALUE!</v>
      </c>
      <c r="FP333" t="e">
        <f>'North America'!G221+"n/&gt;!1ks"</f>
        <v>#VALUE!</v>
      </c>
      <c r="FQ333" t="e">
        <f>'North America'!H221+"n/&gt;!1kt"</f>
        <v>#VALUE!</v>
      </c>
      <c r="FR333" t="e">
        <f>'North America'!I221+"n/&gt;!1ku"</f>
        <v>#VALUE!</v>
      </c>
      <c r="FS333" t="e">
        <f>'North America'!A222+"n/&gt;!1kv"</f>
        <v>#VALUE!</v>
      </c>
      <c r="FT333" t="e">
        <f>'North America'!B222+"n/&gt;!1kw"</f>
        <v>#VALUE!</v>
      </c>
      <c r="FU333" t="e">
        <f>'North America'!C222+"n/&gt;!1kx"</f>
        <v>#VALUE!</v>
      </c>
      <c r="FV333" t="e">
        <f>'North America'!D222+"n/&gt;!1ky"</f>
        <v>#VALUE!</v>
      </c>
      <c r="FW333" t="e">
        <f>'North America'!E222+"n/&gt;!1kz"</f>
        <v>#VALUE!</v>
      </c>
      <c r="FX333" t="e">
        <f>'North America'!F222+"n/&gt;!1k{"</f>
        <v>#VALUE!</v>
      </c>
      <c r="FY333" t="e">
        <f>'North America'!G222+"n/&gt;!1k|"</f>
        <v>#VALUE!</v>
      </c>
      <c r="FZ333" t="e">
        <f>'North America'!H222+"n/&gt;!1k}"</f>
        <v>#VALUE!</v>
      </c>
      <c r="GA333" t="e">
        <f>'North America'!I222+"n/&gt;!1k~"</f>
        <v>#VALUE!</v>
      </c>
      <c r="GB333" t="e">
        <f>'North America'!A223+"n/&gt;!1l#"</f>
        <v>#VALUE!</v>
      </c>
      <c r="GC333" t="e">
        <f>'North America'!B223+"n/&gt;!1l$"</f>
        <v>#VALUE!</v>
      </c>
      <c r="GD333" t="e">
        <f>'North America'!C223+"n/&gt;!1l%"</f>
        <v>#VALUE!</v>
      </c>
      <c r="GE333" t="e">
        <f>'North America'!D223+"n/&gt;!1l&amp;"</f>
        <v>#VALUE!</v>
      </c>
      <c r="GF333" t="e">
        <f>'North America'!E223+"n/&gt;!1l'"</f>
        <v>#VALUE!</v>
      </c>
      <c r="GG333" t="e">
        <f>'North America'!F223+"n/&gt;!1l("</f>
        <v>#VALUE!</v>
      </c>
      <c r="GH333" t="e">
        <f>'North America'!G223+"n/&gt;!1l)"</f>
        <v>#VALUE!</v>
      </c>
      <c r="GI333" t="e">
        <f>'North America'!H223+"n/&gt;!1l."</f>
        <v>#VALUE!</v>
      </c>
      <c r="GJ333" t="e">
        <f>'North America'!I223+"n/&gt;!1l/"</f>
        <v>#VALUE!</v>
      </c>
      <c r="GK333" t="e">
        <f>'North America'!A224+"n/&gt;!1l0"</f>
        <v>#VALUE!</v>
      </c>
      <c r="GL333" t="e">
        <f>'North America'!B224+"n/&gt;!1l1"</f>
        <v>#VALUE!</v>
      </c>
      <c r="GM333" t="e">
        <f>'North America'!C224+"n/&gt;!1l2"</f>
        <v>#VALUE!</v>
      </c>
      <c r="GN333" t="e">
        <f>'North America'!D224+"n/&gt;!1l3"</f>
        <v>#VALUE!</v>
      </c>
      <c r="GO333" t="e">
        <f>'North America'!E224+"n/&gt;!1l4"</f>
        <v>#VALUE!</v>
      </c>
      <c r="GP333" t="e">
        <f>'North America'!F224+"n/&gt;!1l5"</f>
        <v>#VALUE!</v>
      </c>
      <c r="GQ333" t="e">
        <f>'North America'!G224+"n/&gt;!1l6"</f>
        <v>#VALUE!</v>
      </c>
      <c r="GR333" t="e">
        <f>'North America'!H224+"n/&gt;!1l7"</f>
        <v>#VALUE!</v>
      </c>
      <c r="GS333" t="e">
        <f>'North America'!I224+"n/&gt;!1l8"</f>
        <v>#VALUE!</v>
      </c>
      <c r="GT333" t="e">
        <f>'North America'!A225+"n/&gt;!1l9"</f>
        <v>#VALUE!</v>
      </c>
      <c r="GU333" t="e">
        <f>'North America'!B225+"n/&gt;!1l:"</f>
        <v>#VALUE!</v>
      </c>
      <c r="GV333" t="e">
        <f>'North America'!C225+"n/&gt;!1l;"</f>
        <v>#VALUE!</v>
      </c>
      <c r="GW333" t="e">
        <f>'North America'!D225+"n/&gt;!1l&lt;"</f>
        <v>#VALUE!</v>
      </c>
      <c r="GX333" t="e">
        <f>'North America'!E225+"n/&gt;!1l="</f>
        <v>#VALUE!</v>
      </c>
      <c r="GY333" t="e">
        <f>'North America'!F225+"n/&gt;!1l&gt;"</f>
        <v>#VALUE!</v>
      </c>
      <c r="GZ333" t="e">
        <f>'North America'!G225+"n/&gt;!1l?"</f>
        <v>#VALUE!</v>
      </c>
      <c r="HA333" t="e">
        <f>'North America'!H225+"n/&gt;!1l@"</f>
        <v>#VALUE!</v>
      </c>
      <c r="HB333" t="e">
        <f>'North America'!I225+"n/&gt;!1lA"</f>
        <v>#VALUE!</v>
      </c>
      <c r="HC333" t="e">
        <f>'North America'!A226+"n/&gt;!1lB"</f>
        <v>#VALUE!</v>
      </c>
      <c r="HD333" t="e">
        <f>'North America'!B226+"n/&gt;!1lC"</f>
        <v>#VALUE!</v>
      </c>
      <c r="HE333" t="e">
        <f>'North America'!C226+"n/&gt;!1lD"</f>
        <v>#VALUE!</v>
      </c>
      <c r="HF333" t="e">
        <f>'North America'!D226+"n/&gt;!1lE"</f>
        <v>#VALUE!</v>
      </c>
      <c r="HG333" t="e">
        <f>'North America'!E226+"n/&gt;!1lF"</f>
        <v>#VALUE!</v>
      </c>
      <c r="HH333" t="e">
        <f>'North America'!F226+"n/&gt;!1lG"</f>
        <v>#VALUE!</v>
      </c>
      <c r="HI333" t="e">
        <f>'North America'!G226+"n/&gt;!1lH"</f>
        <v>#VALUE!</v>
      </c>
      <c r="HJ333" t="e">
        <f>'North America'!H226+"n/&gt;!1lI"</f>
        <v>#VALUE!</v>
      </c>
      <c r="HK333" t="e">
        <f>'North America'!I226+"n/&gt;!1lJ"</f>
        <v>#VALUE!</v>
      </c>
      <c r="HL333" t="e">
        <f>'North America'!A227+"n/&gt;!1lK"</f>
        <v>#VALUE!</v>
      </c>
      <c r="HM333" t="e">
        <f>'North America'!B227+"n/&gt;!1lL"</f>
        <v>#VALUE!</v>
      </c>
      <c r="HN333" t="e">
        <f>'North America'!C227+"n/&gt;!1lM"</f>
        <v>#VALUE!</v>
      </c>
      <c r="HO333" t="e">
        <f>'North America'!D227+"n/&gt;!1lN"</f>
        <v>#VALUE!</v>
      </c>
      <c r="HP333" t="e">
        <f>'North America'!E227+"n/&gt;!1lO"</f>
        <v>#VALUE!</v>
      </c>
      <c r="HQ333" t="e">
        <f>'North America'!F227+"n/&gt;!1lP"</f>
        <v>#VALUE!</v>
      </c>
      <c r="HR333" t="e">
        <f>'North America'!G227+"n/&gt;!1lQ"</f>
        <v>#VALUE!</v>
      </c>
      <c r="HS333" t="e">
        <f>'North America'!H227+"n/&gt;!1lR"</f>
        <v>#VALUE!</v>
      </c>
      <c r="HT333" t="e">
        <f>'North America'!I227+"n/&gt;!1lS"</f>
        <v>#VALUE!</v>
      </c>
      <c r="HU333" t="e">
        <f>'North America'!A228+"n/&gt;!1lT"</f>
        <v>#VALUE!</v>
      </c>
      <c r="HV333" t="e">
        <f>'North America'!B228+"n/&gt;!1lU"</f>
        <v>#VALUE!</v>
      </c>
      <c r="HW333" t="e">
        <f>'North America'!C228+"n/&gt;!1lV"</f>
        <v>#VALUE!</v>
      </c>
      <c r="HX333" t="e">
        <f>'North America'!D228+"n/&gt;!1lW"</f>
        <v>#VALUE!</v>
      </c>
      <c r="HY333" t="e">
        <f>'North America'!E228+"n/&gt;!1lX"</f>
        <v>#VALUE!</v>
      </c>
      <c r="HZ333" t="e">
        <f>'North America'!F228+"n/&gt;!1lY"</f>
        <v>#VALUE!</v>
      </c>
      <c r="IA333" t="e">
        <f>'North America'!G228+"n/&gt;!1lZ"</f>
        <v>#VALUE!</v>
      </c>
      <c r="IB333" t="e">
        <f>'North America'!H228+"n/&gt;!1l["</f>
        <v>#VALUE!</v>
      </c>
      <c r="IC333" t="e">
        <f>'North America'!I228+"n/&gt;!1l\"</f>
        <v>#VALUE!</v>
      </c>
      <c r="ID333" t="e">
        <f>'North America'!A229+"n/&gt;!1l]"</f>
        <v>#VALUE!</v>
      </c>
      <c r="IE333" t="e">
        <f>'North America'!B229+"n/&gt;!1l^"</f>
        <v>#VALUE!</v>
      </c>
      <c r="IF333" t="e">
        <f>'North America'!C229+"n/&gt;!1l_"</f>
        <v>#VALUE!</v>
      </c>
      <c r="IG333" t="e">
        <f>'North America'!D229+"n/&gt;!1l`"</f>
        <v>#VALUE!</v>
      </c>
      <c r="IH333" t="e">
        <f>'North America'!E229+"n/&gt;!1la"</f>
        <v>#VALUE!</v>
      </c>
      <c r="II333" t="e">
        <f>'North America'!F229+"n/&gt;!1lb"</f>
        <v>#VALUE!</v>
      </c>
      <c r="IJ333" t="e">
        <f>'North America'!G229+"n/&gt;!1lc"</f>
        <v>#VALUE!</v>
      </c>
      <c r="IK333" t="e">
        <f>'North America'!H229+"n/&gt;!1ld"</f>
        <v>#VALUE!</v>
      </c>
      <c r="IL333" t="e">
        <f>'North America'!I229+"n/&gt;!1le"</f>
        <v>#VALUE!</v>
      </c>
      <c r="IM333" t="e">
        <f>'North America'!A230+"n/&gt;!1lf"</f>
        <v>#VALUE!</v>
      </c>
      <c r="IN333" t="e">
        <f>'North America'!B230+"n/&gt;!1lg"</f>
        <v>#VALUE!</v>
      </c>
      <c r="IO333" t="e">
        <f>'North America'!C230+"n/&gt;!1lh"</f>
        <v>#VALUE!</v>
      </c>
      <c r="IP333" t="e">
        <f>'North America'!D230+"n/&gt;!1li"</f>
        <v>#VALUE!</v>
      </c>
      <c r="IQ333" t="e">
        <f>'North America'!E230+"n/&gt;!1lj"</f>
        <v>#VALUE!</v>
      </c>
      <c r="IR333" t="e">
        <f>'North America'!F230+"n/&gt;!1lk"</f>
        <v>#VALUE!</v>
      </c>
      <c r="IS333" t="e">
        <f>'North America'!G230+"n/&gt;!1ll"</f>
        <v>#VALUE!</v>
      </c>
      <c r="IT333" t="e">
        <f>'North America'!H230+"n/&gt;!1lm"</f>
        <v>#VALUE!</v>
      </c>
      <c r="IU333" t="e">
        <f>'North America'!I230+"n/&gt;!1ln"</f>
        <v>#VALUE!</v>
      </c>
      <c r="IV333" t="e">
        <f>'North America'!A231+"n/&gt;!1lo"</f>
        <v>#VALUE!</v>
      </c>
    </row>
    <row r="334" spans="6:256" x14ac:dyDescent="0.35">
      <c r="F334" t="e">
        <f>'North America'!B231+"n/&gt;!1lp"</f>
        <v>#VALUE!</v>
      </c>
      <c r="G334" t="e">
        <f>'North America'!C231+"n/&gt;!1lq"</f>
        <v>#VALUE!</v>
      </c>
      <c r="H334" t="e">
        <f>'North America'!D231+"n/&gt;!1lr"</f>
        <v>#VALUE!</v>
      </c>
      <c r="I334" t="e">
        <f>'North America'!E231+"n/&gt;!1ls"</f>
        <v>#VALUE!</v>
      </c>
      <c r="J334" t="e">
        <f>'North America'!F231+"n/&gt;!1lt"</f>
        <v>#VALUE!</v>
      </c>
      <c r="K334" t="e">
        <f>'North America'!G231+"n/&gt;!1lu"</f>
        <v>#VALUE!</v>
      </c>
      <c r="L334" t="e">
        <f>'North America'!H231+"n/&gt;!1lv"</f>
        <v>#VALUE!</v>
      </c>
      <c r="M334" t="e">
        <f>'North America'!I231+"n/&gt;!1lw"</f>
        <v>#VALUE!</v>
      </c>
      <c r="N334" t="e">
        <f>'North America'!A232+"n/&gt;!1lx"</f>
        <v>#VALUE!</v>
      </c>
      <c r="O334" t="e">
        <f>'North America'!B232+"n/&gt;!1ly"</f>
        <v>#VALUE!</v>
      </c>
      <c r="P334" t="e">
        <f>'North America'!C232+"n/&gt;!1lz"</f>
        <v>#VALUE!</v>
      </c>
      <c r="Q334" t="e">
        <f>'North America'!D232+"n/&gt;!1l{"</f>
        <v>#VALUE!</v>
      </c>
      <c r="R334" t="e">
        <f>'North America'!E232+"n/&gt;!1l|"</f>
        <v>#VALUE!</v>
      </c>
      <c r="S334" t="e">
        <f>'North America'!F232+"n/&gt;!1l}"</f>
        <v>#VALUE!</v>
      </c>
      <c r="T334" t="e">
        <f>'North America'!G232+"n/&gt;!1l~"</f>
        <v>#VALUE!</v>
      </c>
      <c r="U334" t="e">
        <f>'North America'!H232+"n/&gt;!1m#"</f>
        <v>#VALUE!</v>
      </c>
      <c r="V334" t="e">
        <f>'North America'!I232+"n/&gt;!1m$"</f>
        <v>#VALUE!</v>
      </c>
      <c r="W334" t="e">
        <f>'North America'!A233+"n/&gt;!1m%"</f>
        <v>#VALUE!</v>
      </c>
      <c r="X334" t="e">
        <f>'North America'!B233+"n/&gt;!1m&amp;"</f>
        <v>#VALUE!</v>
      </c>
      <c r="Y334" t="e">
        <f>'North America'!C233+"n/&gt;!1m'"</f>
        <v>#VALUE!</v>
      </c>
      <c r="Z334" t="e">
        <f>'North America'!D233+"n/&gt;!1m("</f>
        <v>#VALUE!</v>
      </c>
      <c r="AA334" t="e">
        <f>'North America'!E233+"n/&gt;!1m)"</f>
        <v>#VALUE!</v>
      </c>
      <c r="AB334" t="e">
        <f>'North America'!F233+"n/&gt;!1m."</f>
        <v>#VALUE!</v>
      </c>
      <c r="AC334" t="e">
        <f>'North America'!G233+"n/&gt;!1m/"</f>
        <v>#VALUE!</v>
      </c>
      <c r="AD334" t="e">
        <f>'North America'!H233+"n/&gt;!1m0"</f>
        <v>#VALUE!</v>
      </c>
      <c r="AE334" t="e">
        <f>'North America'!I233+"n/&gt;!1m1"</f>
        <v>#VALUE!</v>
      </c>
      <c r="AF334" t="e">
        <f>'North America'!A234+"n/&gt;!1m2"</f>
        <v>#VALUE!</v>
      </c>
      <c r="AG334" t="e">
        <f>'North America'!B234+"n/&gt;!1m3"</f>
        <v>#VALUE!</v>
      </c>
      <c r="AH334" t="e">
        <f>'North America'!C234+"n/&gt;!1m4"</f>
        <v>#VALUE!</v>
      </c>
      <c r="AI334" t="e">
        <f>'North America'!D234+"n/&gt;!1m5"</f>
        <v>#VALUE!</v>
      </c>
      <c r="AJ334" t="e">
        <f>'North America'!E234+"n/&gt;!1m6"</f>
        <v>#VALUE!</v>
      </c>
      <c r="AK334" t="e">
        <f>'North America'!F234+"n/&gt;!1m7"</f>
        <v>#VALUE!</v>
      </c>
      <c r="AL334" t="e">
        <f>'North America'!G234+"n/&gt;!1m8"</f>
        <v>#VALUE!</v>
      </c>
      <c r="AM334" t="e">
        <f>'North America'!H234+"n/&gt;!1m9"</f>
        <v>#VALUE!</v>
      </c>
      <c r="AN334" t="e">
        <f>'North America'!I234+"n/&gt;!1m:"</f>
        <v>#VALUE!</v>
      </c>
      <c r="AO334" t="e">
        <f>'North America'!A235+"n/&gt;!1m;"</f>
        <v>#VALUE!</v>
      </c>
      <c r="AP334" t="e">
        <f>'North America'!B235+"n/&gt;!1m&lt;"</f>
        <v>#VALUE!</v>
      </c>
      <c r="AQ334" t="e">
        <f>'North America'!C235+"n/&gt;!1m="</f>
        <v>#VALUE!</v>
      </c>
      <c r="AR334" t="e">
        <f>'North America'!D235+"n/&gt;!1m&gt;"</f>
        <v>#VALUE!</v>
      </c>
      <c r="AS334" t="e">
        <f>'North America'!E235+"n/&gt;!1m?"</f>
        <v>#VALUE!</v>
      </c>
      <c r="AT334" t="e">
        <f>'North America'!F235+"n/&gt;!1m@"</f>
        <v>#VALUE!</v>
      </c>
      <c r="AU334" t="e">
        <f>'North America'!G235+"n/&gt;!1mA"</f>
        <v>#VALUE!</v>
      </c>
      <c r="AV334" t="e">
        <f>'North America'!H235+"n/&gt;!1mB"</f>
        <v>#VALUE!</v>
      </c>
      <c r="AW334" t="e">
        <f>'North America'!I235+"n/&gt;!1mC"</f>
        <v>#VALUE!</v>
      </c>
      <c r="AX334" t="e">
        <f>'North America'!A236+"n/&gt;!1mD"</f>
        <v>#VALUE!</v>
      </c>
      <c r="AY334" t="e">
        <f>'North America'!B236+"n/&gt;!1mE"</f>
        <v>#VALUE!</v>
      </c>
      <c r="AZ334" t="e">
        <f>'North America'!C236+"n/&gt;!1mF"</f>
        <v>#VALUE!</v>
      </c>
      <c r="BA334" t="e">
        <f>'North America'!D236+"n/&gt;!1mG"</f>
        <v>#VALUE!</v>
      </c>
      <c r="BB334" t="e">
        <f>'North America'!E236+"n/&gt;!1mH"</f>
        <v>#VALUE!</v>
      </c>
      <c r="BC334" t="e">
        <f>'North America'!F236+"n/&gt;!1mI"</f>
        <v>#VALUE!</v>
      </c>
      <c r="BD334" t="e">
        <f>'North America'!G236+"n/&gt;!1mJ"</f>
        <v>#VALUE!</v>
      </c>
      <c r="BE334" t="e">
        <f>'North America'!H236+"n/&gt;!1mK"</f>
        <v>#VALUE!</v>
      </c>
      <c r="BF334" t="e">
        <f>'North America'!I236+"n/&gt;!1mL"</f>
        <v>#VALUE!</v>
      </c>
      <c r="BG334" t="e">
        <f>'North America'!A237+"n/&gt;!1mM"</f>
        <v>#VALUE!</v>
      </c>
      <c r="BH334" t="e">
        <f>'North America'!B237+"n/&gt;!1mN"</f>
        <v>#VALUE!</v>
      </c>
      <c r="BI334" t="e">
        <f>'North America'!C237+"n/&gt;!1mO"</f>
        <v>#VALUE!</v>
      </c>
      <c r="BJ334" t="e">
        <f>'North America'!D237+"n/&gt;!1mP"</f>
        <v>#VALUE!</v>
      </c>
      <c r="BK334" t="e">
        <f>'North America'!E237+"n/&gt;!1mQ"</f>
        <v>#VALUE!</v>
      </c>
      <c r="BL334" t="e">
        <f>'North America'!F237+"n/&gt;!1mR"</f>
        <v>#VALUE!</v>
      </c>
      <c r="BM334" t="e">
        <f>'North America'!G237+"n/&gt;!1mS"</f>
        <v>#VALUE!</v>
      </c>
      <c r="BN334" t="e">
        <f>'North America'!H237+"n/&gt;!1mT"</f>
        <v>#VALUE!</v>
      </c>
      <c r="BO334" t="e">
        <f>'North America'!I237+"n/&gt;!1mU"</f>
        <v>#VALUE!</v>
      </c>
      <c r="BP334" t="e">
        <f>'North America'!A238+"n/&gt;!1mV"</f>
        <v>#VALUE!</v>
      </c>
      <c r="BQ334" t="e">
        <f>'North America'!B238+"n/&gt;!1mW"</f>
        <v>#VALUE!</v>
      </c>
      <c r="BR334" t="e">
        <f>'North America'!C238+"n/&gt;!1mX"</f>
        <v>#VALUE!</v>
      </c>
      <c r="BS334" t="e">
        <f>'North America'!D238+"n/&gt;!1mY"</f>
        <v>#VALUE!</v>
      </c>
      <c r="BT334" t="e">
        <f>'North America'!E238+"n/&gt;!1mZ"</f>
        <v>#VALUE!</v>
      </c>
      <c r="BU334" t="e">
        <f>'North America'!F238+"n/&gt;!1m["</f>
        <v>#VALUE!</v>
      </c>
      <c r="BV334" t="e">
        <f>'North America'!G238+"n/&gt;!1m\"</f>
        <v>#VALUE!</v>
      </c>
      <c r="BW334" t="e">
        <f>'North America'!H238+"n/&gt;!1m]"</f>
        <v>#VALUE!</v>
      </c>
      <c r="BX334" t="e">
        <f>'North America'!I238+"n/&gt;!1m^"</f>
        <v>#VALUE!</v>
      </c>
      <c r="BY334" t="e">
        <f>'North America'!A239+"n/&gt;!1m_"</f>
        <v>#VALUE!</v>
      </c>
      <c r="BZ334" t="e">
        <f>'North America'!B239+"n/&gt;!1m`"</f>
        <v>#VALUE!</v>
      </c>
      <c r="CA334" t="e">
        <f>'North America'!C239+"n/&gt;!1ma"</f>
        <v>#VALUE!</v>
      </c>
      <c r="CB334" t="e">
        <f>'North America'!D239+"n/&gt;!1mb"</f>
        <v>#VALUE!</v>
      </c>
      <c r="CC334" t="e">
        <f>'North America'!E239+"n/&gt;!1mc"</f>
        <v>#VALUE!</v>
      </c>
      <c r="CD334" t="e">
        <f>'North America'!F239+"n/&gt;!1md"</f>
        <v>#VALUE!</v>
      </c>
      <c r="CE334" t="e">
        <f>'North America'!G239+"n/&gt;!1me"</f>
        <v>#VALUE!</v>
      </c>
      <c r="CF334" t="e">
        <f>'North America'!H239+"n/&gt;!1mf"</f>
        <v>#VALUE!</v>
      </c>
      <c r="CG334" t="e">
        <f>'North America'!I239+"n/&gt;!1mg"</f>
        <v>#VALUE!</v>
      </c>
      <c r="CH334" t="e">
        <f>'North America'!A240+"n/&gt;!1mh"</f>
        <v>#VALUE!</v>
      </c>
      <c r="CI334" t="e">
        <f>'North America'!B240+"n/&gt;!1mi"</f>
        <v>#VALUE!</v>
      </c>
      <c r="CJ334" t="e">
        <f>'North America'!C240+"n/&gt;!1mj"</f>
        <v>#VALUE!</v>
      </c>
      <c r="CK334" t="e">
        <f>'North America'!D240+"n/&gt;!1mk"</f>
        <v>#VALUE!</v>
      </c>
      <c r="CL334" t="e">
        <f>'North America'!E240+"n/&gt;!1ml"</f>
        <v>#VALUE!</v>
      </c>
      <c r="CM334" t="e">
        <f>'North America'!F240+"n/&gt;!1mm"</f>
        <v>#VALUE!</v>
      </c>
      <c r="CN334" t="e">
        <f>'North America'!G240+"n/&gt;!1mn"</f>
        <v>#VALUE!</v>
      </c>
      <c r="CO334" t="e">
        <f>'North America'!H240+"n/&gt;!1mo"</f>
        <v>#VALUE!</v>
      </c>
      <c r="CP334" t="e">
        <f>'North America'!I240+"n/&gt;!1mp"</f>
        <v>#VALUE!</v>
      </c>
      <c r="CQ334" t="e">
        <f>'North America'!A241+"n/&gt;!1mq"</f>
        <v>#VALUE!</v>
      </c>
      <c r="CR334" t="e">
        <f>'North America'!B241+"n/&gt;!1mr"</f>
        <v>#VALUE!</v>
      </c>
      <c r="CS334" t="e">
        <f>'North America'!C241+"n/&gt;!1ms"</f>
        <v>#VALUE!</v>
      </c>
      <c r="CT334" t="e">
        <f>'North America'!D241+"n/&gt;!1mt"</f>
        <v>#VALUE!</v>
      </c>
      <c r="CU334" t="e">
        <f>'North America'!E241+"n/&gt;!1mu"</f>
        <v>#VALUE!</v>
      </c>
      <c r="CV334" t="e">
        <f>'North America'!F241+"n/&gt;!1mv"</f>
        <v>#VALUE!</v>
      </c>
      <c r="CW334" t="e">
        <f>'North America'!G241+"n/&gt;!1mw"</f>
        <v>#VALUE!</v>
      </c>
      <c r="CX334" t="e">
        <f>'North America'!H241+"n/&gt;!1mx"</f>
        <v>#VALUE!</v>
      </c>
      <c r="CY334" t="e">
        <f>'North America'!I241+"n/&gt;!1my"</f>
        <v>#VALUE!</v>
      </c>
      <c r="CZ334" t="e">
        <f>'North America'!A242+"n/&gt;!1mz"</f>
        <v>#VALUE!</v>
      </c>
      <c r="DA334" t="e">
        <f>'North America'!B242+"n/&gt;!1m{"</f>
        <v>#VALUE!</v>
      </c>
      <c r="DB334" t="e">
        <f>'North America'!C242+"n/&gt;!1m|"</f>
        <v>#VALUE!</v>
      </c>
      <c r="DC334" t="e">
        <f>'North America'!D242+"n/&gt;!1m}"</f>
        <v>#VALUE!</v>
      </c>
      <c r="DD334" t="e">
        <f>'North America'!E242+"n/&gt;!1m~"</f>
        <v>#VALUE!</v>
      </c>
      <c r="DE334" t="e">
        <f>'North America'!F242+"n/&gt;!1n#"</f>
        <v>#VALUE!</v>
      </c>
      <c r="DF334" t="e">
        <f>'North America'!G242+"n/&gt;!1n$"</f>
        <v>#VALUE!</v>
      </c>
      <c r="DG334" t="e">
        <f>'North America'!H242+"n/&gt;!1n%"</f>
        <v>#VALUE!</v>
      </c>
      <c r="DH334" t="e">
        <f>'North America'!I242+"n/&gt;!1n&amp;"</f>
        <v>#VALUE!</v>
      </c>
      <c r="DI334" t="e">
        <f>'North America'!A243+"n/&gt;!1n'"</f>
        <v>#VALUE!</v>
      </c>
      <c r="DJ334" t="e">
        <f>'North America'!B243+"n/&gt;!1n("</f>
        <v>#VALUE!</v>
      </c>
      <c r="DK334" t="e">
        <f>'North America'!C243+"n/&gt;!1n)"</f>
        <v>#VALUE!</v>
      </c>
      <c r="DL334" t="e">
        <f>'North America'!D243+"n/&gt;!1n."</f>
        <v>#VALUE!</v>
      </c>
      <c r="DM334" t="e">
        <f>'North America'!E243+"n/&gt;!1n/"</f>
        <v>#VALUE!</v>
      </c>
      <c r="DN334" t="e">
        <f>'North America'!F243+"n/&gt;!1n0"</f>
        <v>#VALUE!</v>
      </c>
      <c r="DO334" t="e">
        <f>'North America'!G243+"n/&gt;!1n1"</f>
        <v>#VALUE!</v>
      </c>
      <c r="DP334" t="e">
        <f>'North America'!H243+"n/&gt;!1n2"</f>
        <v>#VALUE!</v>
      </c>
      <c r="DQ334" t="e">
        <f>'North America'!I243+"n/&gt;!1n3"</f>
        <v>#VALUE!</v>
      </c>
      <c r="DR334" t="e">
        <f>'North America'!A244+"n/&gt;!1n4"</f>
        <v>#VALUE!</v>
      </c>
      <c r="DS334" t="e">
        <f>'North America'!B244+"n/&gt;!1n5"</f>
        <v>#VALUE!</v>
      </c>
      <c r="DT334" t="e">
        <f>'North America'!C244+"n/&gt;!1n6"</f>
        <v>#VALUE!</v>
      </c>
      <c r="DU334" t="e">
        <f>'North America'!D244+"n/&gt;!1n7"</f>
        <v>#VALUE!</v>
      </c>
      <c r="DV334" t="e">
        <f>'North America'!E244+"n/&gt;!1n8"</f>
        <v>#VALUE!</v>
      </c>
      <c r="DW334" t="e">
        <f>'North America'!F244+"n/&gt;!1n9"</f>
        <v>#VALUE!</v>
      </c>
      <c r="DX334" t="e">
        <f>'North America'!G244+"n/&gt;!1n:"</f>
        <v>#VALUE!</v>
      </c>
      <c r="DY334" t="e">
        <f>'North America'!H244+"n/&gt;!1n;"</f>
        <v>#VALUE!</v>
      </c>
      <c r="DZ334" t="e">
        <f>'North America'!I244+"n/&gt;!1n&lt;"</f>
        <v>#VALUE!</v>
      </c>
      <c r="EA334" t="e">
        <f>'North America'!A245+"n/&gt;!1n="</f>
        <v>#VALUE!</v>
      </c>
      <c r="EB334" t="e">
        <f>'North America'!B245+"n/&gt;!1n&gt;"</f>
        <v>#VALUE!</v>
      </c>
      <c r="EC334" t="e">
        <f>'North America'!C245+"n/&gt;!1n?"</f>
        <v>#VALUE!</v>
      </c>
      <c r="ED334" t="e">
        <f>'North America'!D245+"n/&gt;!1n@"</f>
        <v>#VALUE!</v>
      </c>
      <c r="EE334" t="e">
        <f>'North America'!E245+"n/&gt;!1nA"</f>
        <v>#VALUE!</v>
      </c>
      <c r="EF334" t="e">
        <f>'North America'!F245+"n/&gt;!1nB"</f>
        <v>#VALUE!</v>
      </c>
      <c r="EG334" t="e">
        <f>'North America'!G245+"n/&gt;!1nC"</f>
        <v>#VALUE!</v>
      </c>
      <c r="EH334" t="e">
        <f>'North America'!H245+"n/&gt;!1nD"</f>
        <v>#VALUE!</v>
      </c>
      <c r="EI334" t="e">
        <f>'North America'!I245+"n/&gt;!1nE"</f>
        <v>#VALUE!</v>
      </c>
      <c r="EJ334" t="e">
        <f>'North America'!A246+"n/&gt;!1nF"</f>
        <v>#VALUE!</v>
      </c>
      <c r="EK334" t="e">
        <f>'North America'!B246+"n/&gt;!1nG"</f>
        <v>#VALUE!</v>
      </c>
      <c r="EL334" t="e">
        <f>'North America'!C246+"n/&gt;!1nH"</f>
        <v>#VALUE!</v>
      </c>
      <c r="EM334" t="e">
        <f>'North America'!D246+"n/&gt;!1nI"</f>
        <v>#VALUE!</v>
      </c>
      <c r="EN334" t="e">
        <f>'North America'!E246+"n/&gt;!1nJ"</f>
        <v>#VALUE!</v>
      </c>
      <c r="EO334" t="e">
        <f>'North America'!F246+"n/&gt;!1nK"</f>
        <v>#VALUE!</v>
      </c>
      <c r="EP334" t="e">
        <f>'North America'!G246+"n/&gt;!1nL"</f>
        <v>#VALUE!</v>
      </c>
      <c r="EQ334" t="e">
        <f>'North America'!H246+"n/&gt;!1nM"</f>
        <v>#VALUE!</v>
      </c>
      <c r="ER334" t="e">
        <f>'North America'!I246+"n/&gt;!1nN"</f>
        <v>#VALUE!</v>
      </c>
      <c r="ES334" t="e">
        <f>'North America'!A247+"n/&gt;!1nO"</f>
        <v>#VALUE!</v>
      </c>
      <c r="ET334" t="e">
        <f>'North America'!B247+"n/&gt;!1nP"</f>
        <v>#VALUE!</v>
      </c>
      <c r="EU334" t="e">
        <f>'North America'!C247+"n/&gt;!1nQ"</f>
        <v>#VALUE!</v>
      </c>
      <c r="EV334" t="e">
        <f>'North America'!D247+"n/&gt;!1nR"</f>
        <v>#VALUE!</v>
      </c>
      <c r="EW334" t="e">
        <f>'North America'!E247+"n/&gt;!1nS"</f>
        <v>#VALUE!</v>
      </c>
      <c r="EX334" t="e">
        <f>'North America'!F247+"n/&gt;!1nT"</f>
        <v>#VALUE!</v>
      </c>
      <c r="EY334" t="e">
        <f>'North America'!G247+"n/&gt;!1nU"</f>
        <v>#VALUE!</v>
      </c>
      <c r="EZ334" t="e">
        <f>'North America'!H247+"n/&gt;!1nV"</f>
        <v>#VALUE!</v>
      </c>
      <c r="FA334" t="e">
        <f>'North America'!I247+"n/&gt;!1nW"</f>
        <v>#VALUE!</v>
      </c>
      <c r="FB334" t="e">
        <f>'North America'!A248+"n/&gt;!1nX"</f>
        <v>#VALUE!</v>
      </c>
      <c r="FC334" t="e">
        <f>'North America'!B248+"n/&gt;!1nY"</f>
        <v>#VALUE!</v>
      </c>
      <c r="FD334" t="e">
        <f>'North America'!C248+"n/&gt;!1nZ"</f>
        <v>#VALUE!</v>
      </c>
      <c r="FE334" t="e">
        <f>'North America'!D248+"n/&gt;!1n["</f>
        <v>#VALUE!</v>
      </c>
      <c r="FF334" t="e">
        <f>'North America'!E248+"n/&gt;!1n\"</f>
        <v>#VALUE!</v>
      </c>
      <c r="FG334" t="e">
        <f>'North America'!F248+"n/&gt;!1n]"</f>
        <v>#VALUE!</v>
      </c>
      <c r="FH334" t="e">
        <f>'North America'!G248+"n/&gt;!1n^"</f>
        <v>#VALUE!</v>
      </c>
      <c r="FI334" t="e">
        <f>'North America'!H248+"n/&gt;!1n_"</f>
        <v>#VALUE!</v>
      </c>
      <c r="FJ334" t="e">
        <f>'North America'!I248+"n/&gt;!1n`"</f>
        <v>#VALUE!</v>
      </c>
      <c r="FK334" t="e">
        <f>'North America'!A249+"n/&gt;!1na"</f>
        <v>#VALUE!</v>
      </c>
      <c r="FL334" t="e">
        <f>'North America'!B249+"n/&gt;!1nb"</f>
        <v>#VALUE!</v>
      </c>
      <c r="FM334" t="e">
        <f>'North America'!C249+"n/&gt;!1nc"</f>
        <v>#VALUE!</v>
      </c>
      <c r="FN334" t="e">
        <f>'North America'!D249+"n/&gt;!1nd"</f>
        <v>#VALUE!</v>
      </c>
      <c r="FO334" t="e">
        <f>'North America'!E249+"n/&gt;!1ne"</f>
        <v>#VALUE!</v>
      </c>
      <c r="FP334" t="e">
        <f>'North America'!F249+"n/&gt;!1nf"</f>
        <v>#VALUE!</v>
      </c>
      <c r="FQ334" t="e">
        <f>'North America'!G249+"n/&gt;!1ng"</f>
        <v>#VALUE!</v>
      </c>
      <c r="FR334" t="e">
        <f>'North America'!H249+"n/&gt;!1nh"</f>
        <v>#VALUE!</v>
      </c>
      <c r="FS334" t="e">
        <f>'North America'!I249+"n/&gt;!1ni"</f>
        <v>#VALUE!</v>
      </c>
      <c r="FT334" t="e">
        <f>'North America'!A250+"n/&gt;!1nj"</f>
        <v>#VALUE!</v>
      </c>
      <c r="FU334" t="e">
        <f>'North America'!B250+"n/&gt;!1nk"</f>
        <v>#VALUE!</v>
      </c>
      <c r="FV334" t="e">
        <f>'North America'!C250+"n/&gt;!1nl"</f>
        <v>#VALUE!</v>
      </c>
      <c r="FW334" t="e">
        <f>'North America'!D250+"n/&gt;!1nm"</f>
        <v>#VALUE!</v>
      </c>
      <c r="FX334" t="e">
        <f>'North America'!E250+"n/&gt;!1nn"</f>
        <v>#VALUE!</v>
      </c>
      <c r="FY334" t="e">
        <f>'North America'!F250+"n/&gt;!1no"</f>
        <v>#VALUE!</v>
      </c>
      <c r="FZ334" t="e">
        <f>'North America'!G250+"n/&gt;!1np"</f>
        <v>#VALUE!</v>
      </c>
      <c r="GA334" t="e">
        <f>'North America'!H250+"n/&gt;!1nq"</f>
        <v>#VALUE!</v>
      </c>
      <c r="GB334" t="e">
        <f>'North America'!I250+"n/&gt;!1nr"</f>
        <v>#VALUE!</v>
      </c>
      <c r="GC334" t="e">
        <f>'North America'!A251+"n/&gt;!1ns"</f>
        <v>#VALUE!</v>
      </c>
      <c r="GD334" t="e">
        <f>'North America'!B251+"n/&gt;!1nt"</f>
        <v>#VALUE!</v>
      </c>
      <c r="GE334" t="e">
        <f>'North America'!C251+"n/&gt;!1nu"</f>
        <v>#VALUE!</v>
      </c>
      <c r="GF334" t="e">
        <f>'North America'!D251+"n/&gt;!1nv"</f>
        <v>#VALUE!</v>
      </c>
      <c r="GG334" t="e">
        <f>'North America'!E251+"n/&gt;!1nw"</f>
        <v>#VALUE!</v>
      </c>
      <c r="GH334" t="e">
        <f>'North America'!F251+"n/&gt;!1nx"</f>
        <v>#VALUE!</v>
      </c>
      <c r="GI334" t="e">
        <f>'North America'!G251+"n/&gt;!1ny"</f>
        <v>#VALUE!</v>
      </c>
      <c r="GJ334" t="e">
        <f>'North America'!H251+"n/&gt;!1nz"</f>
        <v>#VALUE!</v>
      </c>
      <c r="GK334" t="e">
        <f>'North America'!I251+"n/&gt;!1n{"</f>
        <v>#VALUE!</v>
      </c>
      <c r="GL334" t="e">
        <f>'North America'!A252+"n/&gt;!1n|"</f>
        <v>#VALUE!</v>
      </c>
      <c r="GM334" t="e">
        <f>'North America'!B252+"n/&gt;!1n}"</f>
        <v>#VALUE!</v>
      </c>
      <c r="GN334" t="e">
        <f>'North America'!C252+"n/&gt;!1n~"</f>
        <v>#VALUE!</v>
      </c>
      <c r="GO334" t="e">
        <f>'North America'!D252+"n/&gt;!1o#"</f>
        <v>#VALUE!</v>
      </c>
      <c r="GP334" t="e">
        <f>'North America'!E252+"n/&gt;!1o$"</f>
        <v>#VALUE!</v>
      </c>
      <c r="GQ334" t="e">
        <f>'North America'!F252+"n/&gt;!1o%"</f>
        <v>#VALUE!</v>
      </c>
      <c r="GR334" t="e">
        <f>'North America'!G252+"n/&gt;!1o&amp;"</f>
        <v>#VALUE!</v>
      </c>
      <c r="GS334" t="e">
        <f>'North America'!H252+"n/&gt;!1o'"</f>
        <v>#VALUE!</v>
      </c>
      <c r="GT334" t="e">
        <f>'North America'!I252+"n/&gt;!1o("</f>
        <v>#VALUE!</v>
      </c>
      <c r="GU334" t="e">
        <f>'North America'!A253+"n/&gt;!1o)"</f>
        <v>#VALUE!</v>
      </c>
      <c r="GV334" t="e">
        <f>'North America'!B253+"n/&gt;!1o."</f>
        <v>#VALUE!</v>
      </c>
      <c r="GW334" t="e">
        <f>'North America'!C253+"n/&gt;!1o/"</f>
        <v>#VALUE!</v>
      </c>
      <c r="GX334" t="e">
        <f>'North America'!D253+"n/&gt;!1o0"</f>
        <v>#VALUE!</v>
      </c>
      <c r="GY334" t="e">
        <f>'North America'!E253+"n/&gt;!1o1"</f>
        <v>#VALUE!</v>
      </c>
      <c r="GZ334" t="e">
        <f>'North America'!F253+"n/&gt;!1o2"</f>
        <v>#VALUE!</v>
      </c>
      <c r="HA334" t="e">
        <f>'North America'!G253+"n/&gt;!1o3"</f>
        <v>#VALUE!</v>
      </c>
      <c r="HB334" t="e">
        <f>'North America'!H253+"n/&gt;!1o4"</f>
        <v>#VALUE!</v>
      </c>
      <c r="HC334" t="e">
        <f>'North America'!I253+"n/&gt;!1o5"</f>
        <v>#VALUE!</v>
      </c>
      <c r="HD334" t="e">
        <f>'North America'!A254+"n/&gt;!1o6"</f>
        <v>#VALUE!</v>
      </c>
      <c r="HE334" t="e">
        <f>'North America'!B254+"n/&gt;!1o7"</f>
        <v>#VALUE!</v>
      </c>
      <c r="HF334" t="e">
        <f>'North America'!C254+"n/&gt;!1o8"</f>
        <v>#VALUE!</v>
      </c>
      <c r="HG334" t="e">
        <f>'North America'!D254+"n/&gt;!1o9"</f>
        <v>#VALUE!</v>
      </c>
      <c r="HH334" t="e">
        <f>'North America'!E254+"n/&gt;!1o:"</f>
        <v>#VALUE!</v>
      </c>
      <c r="HI334" t="e">
        <f>'North America'!F254+"n/&gt;!1o;"</f>
        <v>#VALUE!</v>
      </c>
      <c r="HJ334" t="e">
        <f>'North America'!G254+"n/&gt;!1o&lt;"</f>
        <v>#VALUE!</v>
      </c>
      <c r="HK334" t="e">
        <f>'North America'!H254+"n/&gt;!1o="</f>
        <v>#VALUE!</v>
      </c>
      <c r="HL334" t="e">
        <f>'North America'!I254+"n/&gt;!1o&gt;"</f>
        <v>#VALUE!</v>
      </c>
      <c r="HM334" t="e">
        <f>'North America'!A255+"n/&gt;!1o?"</f>
        <v>#VALUE!</v>
      </c>
      <c r="HN334" t="e">
        <f>'North America'!B255+"n/&gt;!1o@"</f>
        <v>#VALUE!</v>
      </c>
      <c r="HO334" t="e">
        <f>'North America'!C255+"n/&gt;!1oA"</f>
        <v>#VALUE!</v>
      </c>
      <c r="HP334" t="e">
        <f>'North America'!D255+"n/&gt;!1oB"</f>
        <v>#VALUE!</v>
      </c>
      <c r="HQ334" t="e">
        <f>'North America'!E255+"n/&gt;!1oC"</f>
        <v>#VALUE!</v>
      </c>
      <c r="HR334" t="e">
        <f>'North America'!F255+"n/&gt;!1oD"</f>
        <v>#VALUE!</v>
      </c>
      <c r="HS334" t="e">
        <f>'North America'!G255+"n/&gt;!1oE"</f>
        <v>#VALUE!</v>
      </c>
      <c r="HT334" t="e">
        <f>'North America'!H255+"n/&gt;!1oF"</f>
        <v>#VALUE!</v>
      </c>
      <c r="HU334" t="e">
        <f>'North America'!I255+"n/&gt;!1oG"</f>
        <v>#VALUE!</v>
      </c>
      <c r="HV334" t="e">
        <f>'North America'!A256+"n/&gt;!1oH"</f>
        <v>#VALUE!</v>
      </c>
      <c r="HW334" t="e">
        <f>'North America'!B256+"n/&gt;!1oI"</f>
        <v>#VALUE!</v>
      </c>
      <c r="HX334" t="e">
        <f>'North America'!C256+"n/&gt;!1oJ"</f>
        <v>#VALUE!</v>
      </c>
      <c r="HY334" t="e">
        <f>'North America'!D256+"n/&gt;!1oK"</f>
        <v>#VALUE!</v>
      </c>
      <c r="HZ334" t="e">
        <f>'North America'!E256+"n/&gt;!1oL"</f>
        <v>#VALUE!</v>
      </c>
      <c r="IA334" t="e">
        <f>'North America'!F256+"n/&gt;!1oM"</f>
        <v>#VALUE!</v>
      </c>
      <c r="IB334" t="e">
        <f>'North America'!G256+"n/&gt;!1oN"</f>
        <v>#VALUE!</v>
      </c>
      <c r="IC334" t="e">
        <f>'North America'!H256+"n/&gt;!1oO"</f>
        <v>#VALUE!</v>
      </c>
      <c r="ID334" t="e">
        <f>'North America'!I256+"n/&gt;!1oP"</f>
        <v>#VALUE!</v>
      </c>
      <c r="IE334" t="e">
        <f>'North America'!A257+"n/&gt;!1oQ"</f>
        <v>#VALUE!</v>
      </c>
      <c r="IF334" t="e">
        <f>'North America'!B257+"n/&gt;!1oR"</f>
        <v>#VALUE!</v>
      </c>
      <c r="IG334" t="e">
        <f>'North America'!C257+"n/&gt;!1oS"</f>
        <v>#VALUE!</v>
      </c>
      <c r="IH334" t="e">
        <f>'North America'!D257+"n/&gt;!1oT"</f>
        <v>#VALUE!</v>
      </c>
      <c r="II334" t="e">
        <f>'North America'!E257+"n/&gt;!1oU"</f>
        <v>#VALUE!</v>
      </c>
      <c r="IJ334" t="e">
        <f>'North America'!F257+"n/&gt;!1oV"</f>
        <v>#VALUE!</v>
      </c>
      <c r="IK334" t="e">
        <f>'North America'!G257+"n/&gt;!1oW"</f>
        <v>#VALUE!</v>
      </c>
      <c r="IL334" t="e">
        <f>'North America'!H257+"n/&gt;!1oX"</f>
        <v>#VALUE!</v>
      </c>
      <c r="IM334" t="e">
        <f>'North America'!I257+"n/&gt;!1oY"</f>
        <v>#VALUE!</v>
      </c>
      <c r="IN334" t="e">
        <f>'North America'!A258+"n/&gt;!1oZ"</f>
        <v>#VALUE!</v>
      </c>
      <c r="IO334" t="e">
        <f>'North America'!B258+"n/&gt;!1o["</f>
        <v>#VALUE!</v>
      </c>
      <c r="IP334" t="e">
        <f>'North America'!C258+"n/&gt;!1o\"</f>
        <v>#VALUE!</v>
      </c>
      <c r="IQ334" t="e">
        <f>'North America'!D258+"n/&gt;!1o]"</f>
        <v>#VALUE!</v>
      </c>
      <c r="IR334" t="e">
        <f>'North America'!E258+"n/&gt;!1o^"</f>
        <v>#VALUE!</v>
      </c>
      <c r="IS334" t="e">
        <f>'North America'!F258+"n/&gt;!1o_"</f>
        <v>#VALUE!</v>
      </c>
      <c r="IT334" t="e">
        <f>'North America'!G258+"n/&gt;!1o`"</f>
        <v>#VALUE!</v>
      </c>
      <c r="IU334" t="e">
        <f>'North America'!H258+"n/&gt;!1oa"</f>
        <v>#VALUE!</v>
      </c>
      <c r="IV334" t="e">
        <f>'North America'!I258+"n/&gt;!1ob"</f>
        <v>#VALUE!</v>
      </c>
    </row>
    <row r="335" spans="6:256" x14ac:dyDescent="0.35">
      <c r="F335" t="e">
        <f>'North America'!A259+"n/&gt;!1oc"</f>
        <v>#VALUE!</v>
      </c>
      <c r="G335" t="e">
        <f>'North America'!B259+"n/&gt;!1od"</f>
        <v>#VALUE!</v>
      </c>
      <c r="H335" t="e">
        <f>'North America'!C259+"n/&gt;!1oe"</f>
        <v>#VALUE!</v>
      </c>
      <c r="I335" t="e">
        <f>'North America'!D259+"n/&gt;!1of"</f>
        <v>#VALUE!</v>
      </c>
      <c r="J335" t="e">
        <f>'North America'!E259+"n/&gt;!1og"</f>
        <v>#VALUE!</v>
      </c>
      <c r="K335" t="e">
        <f>'North America'!F259+"n/&gt;!1oh"</f>
        <v>#VALUE!</v>
      </c>
      <c r="L335" t="e">
        <f>'North America'!G259+"n/&gt;!1oi"</f>
        <v>#VALUE!</v>
      </c>
      <c r="M335" t="e">
        <f>'North America'!H259+"n/&gt;!1oj"</f>
        <v>#VALUE!</v>
      </c>
      <c r="N335" t="e">
        <f>'North America'!I259+"n/&gt;!1ok"</f>
        <v>#VALUE!</v>
      </c>
      <c r="O335" t="e">
        <f>'North America'!A260+"n/&gt;!1ol"</f>
        <v>#VALUE!</v>
      </c>
      <c r="P335" t="e">
        <f>'North America'!B260+"n/&gt;!1om"</f>
        <v>#VALUE!</v>
      </c>
      <c r="Q335" t="e">
        <f>'North America'!C260+"n/&gt;!1on"</f>
        <v>#VALUE!</v>
      </c>
      <c r="R335" t="e">
        <f>'North America'!D260+"n/&gt;!1oo"</f>
        <v>#VALUE!</v>
      </c>
      <c r="S335" t="e">
        <f>'North America'!E260+"n/&gt;!1op"</f>
        <v>#VALUE!</v>
      </c>
      <c r="T335" t="e">
        <f>'North America'!F260+"n/&gt;!1oq"</f>
        <v>#VALUE!</v>
      </c>
      <c r="U335" t="e">
        <f>'North America'!G260+"n/&gt;!1or"</f>
        <v>#VALUE!</v>
      </c>
      <c r="V335" t="e">
        <f>'North America'!H260+"n/&gt;!1os"</f>
        <v>#VALUE!</v>
      </c>
      <c r="W335" t="e">
        <f>'North America'!I260+"n/&gt;!1ot"</f>
        <v>#VALUE!</v>
      </c>
      <c r="X335" t="e">
        <f>'North America'!A261+"n/&gt;!1ou"</f>
        <v>#VALUE!</v>
      </c>
      <c r="Y335" t="e">
        <f>'North America'!B261+"n/&gt;!1ov"</f>
        <v>#VALUE!</v>
      </c>
      <c r="Z335" t="e">
        <f>'North America'!C261+"n/&gt;!1ow"</f>
        <v>#VALUE!</v>
      </c>
      <c r="AA335" t="e">
        <f>'North America'!D261+"n/&gt;!1ox"</f>
        <v>#VALUE!</v>
      </c>
      <c r="AB335" t="e">
        <f>'North America'!E261+"n/&gt;!1oy"</f>
        <v>#VALUE!</v>
      </c>
      <c r="AC335" t="e">
        <f>'North America'!F261+"n/&gt;!1oz"</f>
        <v>#VALUE!</v>
      </c>
      <c r="AD335" t="e">
        <f>'North America'!G261+"n/&gt;!1o{"</f>
        <v>#VALUE!</v>
      </c>
      <c r="AE335" t="e">
        <f>'North America'!H261+"n/&gt;!1o|"</f>
        <v>#VALUE!</v>
      </c>
      <c r="AF335" t="e">
        <f>'North America'!I261+"n/&gt;!1o}"</f>
        <v>#VALUE!</v>
      </c>
      <c r="AG335" t="e">
        <f>'North America'!A262+"n/&gt;!1o~"</f>
        <v>#VALUE!</v>
      </c>
      <c r="AH335" t="e">
        <f>'North America'!B262+"n/&gt;!1p#"</f>
        <v>#VALUE!</v>
      </c>
      <c r="AI335" t="e">
        <f>'North America'!C262+"n/&gt;!1p$"</f>
        <v>#VALUE!</v>
      </c>
      <c r="AJ335" t="e">
        <f>'North America'!D262+"n/&gt;!1p%"</f>
        <v>#VALUE!</v>
      </c>
      <c r="AK335" t="e">
        <f>'North America'!E262+"n/&gt;!1p&amp;"</f>
        <v>#VALUE!</v>
      </c>
      <c r="AL335" t="e">
        <f>'North America'!F262+"n/&gt;!1p'"</f>
        <v>#VALUE!</v>
      </c>
      <c r="AM335" t="e">
        <f>'North America'!G262+"n/&gt;!1p("</f>
        <v>#VALUE!</v>
      </c>
      <c r="AN335" t="e">
        <f>'North America'!H262+"n/&gt;!1p)"</f>
        <v>#VALUE!</v>
      </c>
      <c r="AO335" t="e">
        <f>'North America'!I262+"n/&gt;!1p."</f>
        <v>#VALUE!</v>
      </c>
      <c r="AP335" t="e">
        <f>'North America'!A263+"n/&gt;!1p/"</f>
        <v>#VALUE!</v>
      </c>
      <c r="AQ335" t="e">
        <f>'North America'!B263+"n/&gt;!1p0"</f>
        <v>#VALUE!</v>
      </c>
      <c r="AR335" t="e">
        <f>'North America'!C263+"n/&gt;!1p1"</f>
        <v>#VALUE!</v>
      </c>
      <c r="AS335" t="e">
        <f>'North America'!D263+"n/&gt;!1p2"</f>
        <v>#VALUE!</v>
      </c>
      <c r="AT335" t="e">
        <f>'North America'!E263+"n/&gt;!1p3"</f>
        <v>#VALUE!</v>
      </c>
      <c r="AU335" t="e">
        <f>'North America'!F263+"n/&gt;!1p4"</f>
        <v>#VALUE!</v>
      </c>
      <c r="AV335" t="e">
        <f>'North America'!G263+"n/&gt;!1p5"</f>
        <v>#VALUE!</v>
      </c>
      <c r="AW335" t="e">
        <f>'North America'!H263+"n/&gt;!1p6"</f>
        <v>#VALUE!</v>
      </c>
      <c r="AX335" t="e">
        <f>'North America'!I263+"n/&gt;!1p7"</f>
        <v>#VALUE!</v>
      </c>
      <c r="AY335" t="e">
        <f>'North America'!A264+"n/&gt;!1p8"</f>
        <v>#VALUE!</v>
      </c>
      <c r="AZ335" t="e">
        <f>'North America'!B264+"n/&gt;!1p9"</f>
        <v>#VALUE!</v>
      </c>
      <c r="BA335" t="e">
        <f>'North America'!C264+"n/&gt;!1p:"</f>
        <v>#VALUE!</v>
      </c>
      <c r="BB335" t="e">
        <f>'North America'!D264+"n/&gt;!1p;"</f>
        <v>#VALUE!</v>
      </c>
      <c r="BC335" t="e">
        <f>'North America'!E264+"n/&gt;!1p&lt;"</f>
        <v>#VALUE!</v>
      </c>
      <c r="BD335" t="e">
        <f>'North America'!F264+"n/&gt;!1p="</f>
        <v>#VALUE!</v>
      </c>
      <c r="BE335" t="e">
        <f>'North America'!G264+"n/&gt;!1p&gt;"</f>
        <v>#VALUE!</v>
      </c>
      <c r="BF335" t="e">
        <f>'North America'!H264+"n/&gt;!1p?"</f>
        <v>#VALUE!</v>
      </c>
      <c r="BG335" t="e">
        <f>'North America'!I264+"n/&gt;!1p@"</f>
        <v>#VALUE!</v>
      </c>
      <c r="BH335" t="e">
        <f>'North America'!A265+"n/&gt;!1pA"</f>
        <v>#VALUE!</v>
      </c>
      <c r="BI335" t="e">
        <f>'North America'!B265+"n/&gt;!1pB"</f>
        <v>#VALUE!</v>
      </c>
      <c r="BJ335" t="e">
        <f>'North America'!C265+"n/&gt;!1pC"</f>
        <v>#VALUE!</v>
      </c>
      <c r="BK335" t="e">
        <f>'North America'!D265+"n/&gt;!1pD"</f>
        <v>#VALUE!</v>
      </c>
      <c r="BL335" t="e">
        <f>'North America'!E265+"n/&gt;!1pE"</f>
        <v>#VALUE!</v>
      </c>
      <c r="BM335" t="e">
        <f>'North America'!F265+"n/&gt;!1pF"</f>
        <v>#VALUE!</v>
      </c>
      <c r="BN335" t="e">
        <f>'North America'!G265+"n/&gt;!1pG"</f>
        <v>#VALUE!</v>
      </c>
      <c r="BO335" t="e">
        <f>'North America'!H265+"n/&gt;!1pH"</f>
        <v>#VALUE!</v>
      </c>
      <c r="BP335" t="e">
        <f>'North America'!I265+"n/&gt;!1pI"</f>
        <v>#VALUE!</v>
      </c>
      <c r="BQ335" t="e">
        <f>'North America'!A266+"n/&gt;!1pJ"</f>
        <v>#VALUE!</v>
      </c>
      <c r="BR335" t="e">
        <f>'North America'!B266+"n/&gt;!1pK"</f>
        <v>#VALUE!</v>
      </c>
      <c r="BS335" t="e">
        <f>'North America'!C266+"n/&gt;!1pL"</f>
        <v>#VALUE!</v>
      </c>
      <c r="BT335" t="e">
        <f>'North America'!D266+"n/&gt;!1pM"</f>
        <v>#VALUE!</v>
      </c>
      <c r="BU335" t="e">
        <f>'North America'!E266+"n/&gt;!1pN"</f>
        <v>#VALUE!</v>
      </c>
      <c r="BV335" t="e">
        <f>'North America'!F266+"n/&gt;!1pO"</f>
        <v>#VALUE!</v>
      </c>
      <c r="BW335" t="e">
        <f>'North America'!G266+"n/&gt;!1pP"</f>
        <v>#VALUE!</v>
      </c>
      <c r="BX335" t="e">
        <f>'North America'!H266+"n/&gt;!1pQ"</f>
        <v>#VALUE!</v>
      </c>
      <c r="BY335" t="e">
        <f>'North America'!I266+"n/&gt;!1pR"</f>
        <v>#VALUE!</v>
      </c>
      <c r="BZ335" t="e">
        <f>'North America'!A267+"n/&gt;!1pS"</f>
        <v>#VALUE!</v>
      </c>
      <c r="CA335" t="e">
        <f>'North America'!B267+"n/&gt;!1pT"</f>
        <v>#VALUE!</v>
      </c>
      <c r="CB335" t="e">
        <f>'North America'!C267+"n/&gt;!1pU"</f>
        <v>#VALUE!</v>
      </c>
      <c r="CC335" t="e">
        <f>'North America'!D267+"n/&gt;!1pV"</f>
        <v>#VALUE!</v>
      </c>
      <c r="CD335" t="e">
        <f>'North America'!E267+"n/&gt;!1pW"</f>
        <v>#VALUE!</v>
      </c>
      <c r="CE335" t="e">
        <f>'North America'!F267+"n/&gt;!1pX"</f>
        <v>#VALUE!</v>
      </c>
      <c r="CF335" t="e">
        <f>'North America'!G267+"n/&gt;!1pY"</f>
        <v>#VALUE!</v>
      </c>
      <c r="CG335" t="e">
        <f>'North America'!H267+"n/&gt;!1pZ"</f>
        <v>#VALUE!</v>
      </c>
      <c r="CH335" t="e">
        <f>'North America'!I267+"n/&gt;!1p["</f>
        <v>#VALUE!</v>
      </c>
      <c r="CI335" t="e">
        <f>'North America'!A268+"n/&gt;!1p\"</f>
        <v>#VALUE!</v>
      </c>
      <c r="CJ335" t="e">
        <f>'North America'!B268+"n/&gt;!1p]"</f>
        <v>#VALUE!</v>
      </c>
      <c r="CK335" t="e">
        <f>'North America'!C268+"n/&gt;!1p^"</f>
        <v>#VALUE!</v>
      </c>
      <c r="CL335" t="e">
        <f>'North America'!D268+"n/&gt;!1p_"</f>
        <v>#VALUE!</v>
      </c>
      <c r="CM335" t="e">
        <f>'North America'!E268+"n/&gt;!1p`"</f>
        <v>#VALUE!</v>
      </c>
      <c r="CN335" t="e">
        <f>'North America'!F268+"n/&gt;!1pa"</f>
        <v>#VALUE!</v>
      </c>
      <c r="CO335" t="e">
        <f>'North America'!G268+"n/&gt;!1pb"</f>
        <v>#VALUE!</v>
      </c>
      <c r="CP335" t="e">
        <f>'North America'!H268+"n/&gt;!1pc"</f>
        <v>#VALUE!</v>
      </c>
      <c r="CQ335" t="e">
        <f>'North America'!I268+"n/&gt;!1pd"</f>
        <v>#VALUE!</v>
      </c>
      <c r="CR335" t="e">
        <f>'North America'!A269+"n/&gt;!1pe"</f>
        <v>#VALUE!</v>
      </c>
      <c r="CS335" t="e">
        <f>'North America'!B269+"n/&gt;!1pf"</f>
        <v>#VALUE!</v>
      </c>
      <c r="CT335" t="e">
        <f>'North America'!C269+"n/&gt;!1pg"</f>
        <v>#VALUE!</v>
      </c>
      <c r="CU335" t="e">
        <f>'North America'!D269+"n/&gt;!1ph"</f>
        <v>#VALUE!</v>
      </c>
      <c r="CV335" t="e">
        <f>'North America'!E269+"n/&gt;!1pi"</f>
        <v>#VALUE!</v>
      </c>
      <c r="CW335" t="e">
        <f>'North America'!F269+"n/&gt;!1pj"</f>
        <v>#VALUE!</v>
      </c>
      <c r="CX335" t="e">
        <f>'North America'!G269+"n/&gt;!1pk"</f>
        <v>#VALUE!</v>
      </c>
      <c r="CY335" t="e">
        <f>'North America'!H269+"n/&gt;!1pl"</f>
        <v>#VALUE!</v>
      </c>
      <c r="CZ335" t="e">
        <f>'North America'!I269+"n/&gt;!1pm"</f>
        <v>#VALUE!</v>
      </c>
      <c r="DA335" t="e">
        <f>'North America'!A270+"n/&gt;!1pn"</f>
        <v>#VALUE!</v>
      </c>
      <c r="DB335" t="e">
        <f>'North America'!B270+"n/&gt;!1po"</f>
        <v>#VALUE!</v>
      </c>
      <c r="DC335" t="e">
        <f>'North America'!C270+"n/&gt;!1pp"</f>
        <v>#VALUE!</v>
      </c>
      <c r="DD335" t="e">
        <f>'North America'!D270+"n/&gt;!1pq"</f>
        <v>#VALUE!</v>
      </c>
      <c r="DE335" t="e">
        <f>'North America'!E270+"n/&gt;!1pr"</f>
        <v>#VALUE!</v>
      </c>
      <c r="DF335" t="e">
        <f>'North America'!F270+"n/&gt;!1ps"</f>
        <v>#VALUE!</v>
      </c>
      <c r="DG335" t="e">
        <f>'North America'!G270+"n/&gt;!1pt"</f>
        <v>#VALUE!</v>
      </c>
      <c r="DH335" t="e">
        <f>'North America'!H270+"n/&gt;!1pu"</f>
        <v>#VALUE!</v>
      </c>
      <c r="DI335" t="e">
        <f>'North America'!I270+"n/&gt;!1pv"</f>
        <v>#VALUE!</v>
      </c>
      <c r="DJ335" t="e">
        <f>'North America'!A271+"n/&gt;!1pw"</f>
        <v>#VALUE!</v>
      </c>
      <c r="DK335" t="e">
        <f>'North America'!B271+"n/&gt;!1px"</f>
        <v>#VALUE!</v>
      </c>
      <c r="DL335" t="e">
        <f>'North America'!C271+"n/&gt;!1py"</f>
        <v>#VALUE!</v>
      </c>
      <c r="DM335" t="e">
        <f>'North America'!D271+"n/&gt;!1pz"</f>
        <v>#VALUE!</v>
      </c>
      <c r="DN335" t="e">
        <f>'North America'!E271+"n/&gt;!1p{"</f>
        <v>#VALUE!</v>
      </c>
      <c r="DO335" t="e">
        <f>'North America'!F271+"n/&gt;!1p|"</f>
        <v>#VALUE!</v>
      </c>
      <c r="DP335" t="e">
        <f>'North America'!G271+"n/&gt;!1p}"</f>
        <v>#VALUE!</v>
      </c>
      <c r="DQ335" t="e">
        <f>'North America'!H271+"n/&gt;!1p~"</f>
        <v>#VALUE!</v>
      </c>
      <c r="DR335" t="e">
        <f>'North America'!I271+"n/&gt;!1q#"</f>
        <v>#VALUE!</v>
      </c>
      <c r="DS335" t="e">
        <f>'North America'!A272+"n/&gt;!1q$"</f>
        <v>#VALUE!</v>
      </c>
      <c r="DT335" t="e">
        <f>'North America'!B272+"n/&gt;!1q%"</f>
        <v>#VALUE!</v>
      </c>
      <c r="DU335" t="e">
        <f>'North America'!C272+"n/&gt;!1q&amp;"</f>
        <v>#VALUE!</v>
      </c>
      <c r="DV335" t="e">
        <f>'North America'!D272+"n/&gt;!1q'"</f>
        <v>#VALUE!</v>
      </c>
      <c r="DW335" t="e">
        <f>'North America'!E272+"n/&gt;!1q("</f>
        <v>#VALUE!</v>
      </c>
      <c r="DX335" t="e">
        <f>'North America'!F272+"n/&gt;!1q)"</f>
        <v>#VALUE!</v>
      </c>
      <c r="DY335" t="e">
        <f>'North America'!G272+"n/&gt;!1q."</f>
        <v>#VALUE!</v>
      </c>
      <c r="DZ335" t="e">
        <f>'North America'!H272+"n/&gt;!1q/"</f>
        <v>#VALUE!</v>
      </c>
      <c r="EA335" t="e">
        <f>'North America'!I272+"n/&gt;!1q0"</f>
        <v>#VALUE!</v>
      </c>
      <c r="EB335" t="e">
        <f>'North America'!A273+"n/&gt;!1q1"</f>
        <v>#VALUE!</v>
      </c>
      <c r="EC335" t="e">
        <f>'North America'!B273+"n/&gt;!1q2"</f>
        <v>#VALUE!</v>
      </c>
      <c r="ED335" t="e">
        <f>'North America'!C273+"n/&gt;!1q3"</f>
        <v>#VALUE!</v>
      </c>
      <c r="EE335" t="e">
        <f>'North America'!D273+"n/&gt;!1q4"</f>
        <v>#VALUE!</v>
      </c>
      <c r="EF335" t="e">
        <f>'North America'!E273+"n/&gt;!1q5"</f>
        <v>#VALUE!</v>
      </c>
      <c r="EG335" t="e">
        <f>'North America'!F273+"n/&gt;!1q6"</f>
        <v>#VALUE!</v>
      </c>
      <c r="EH335" t="e">
        <f>'North America'!G273+"n/&gt;!1q7"</f>
        <v>#VALUE!</v>
      </c>
      <c r="EI335" t="e">
        <f>'North America'!H273+"n/&gt;!1q8"</f>
        <v>#VALUE!</v>
      </c>
      <c r="EJ335" t="e">
        <f>'North America'!I273+"n/&gt;!1q9"</f>
        <v>#VALUE!</v>
      </c>
      <c r="EK335" t="e">
        <f>'North America'!A274+"n/&gt;!1q:"</f>
        <v>#VALUE!</v>
      </c>
      <c r="EL335" t="e">
        <f>'North America'!B274+"n/&gt;!1q;"</f>
        <v>#VALUE!</v>
      </c>
      <c r="EM335" t="e">
        <f>'North America'!C274+"n/&gt;!1q&lt;"</f>
        <v>#VALUE!</v>
      </c>
      <c r="EN335" t="e">
        <f>'North America'!D274+"n/&gt;!1q="</f>
        <v>#VALUE!</v>
      </c>
      <c r="EO335" t="e">
        <f>'North America'!E274+"n/&gt;!1q&gt;"</f>
        <v>#VALUE!</v>
      </c>
      <c r="EP335" t="e">
        <f>'North America'!F274+"n/&gt;!1q?"</f>
        <v>#VALUE!</v>
      </c>
      <c r="EQ335" t="e">
        <f>'North America'!G274+"n/&gt;!1q@"</f>
        <v>#VALUE!</v>
      </c>
      <c r="ER335" t="e">
        <f>'North America'!H274+"n/&gt;!1qA"</f>
        <v>#VALUE!</v>
      </c>
      <c r="ES335" t="e">
        <f>'North America'!I274+"n/&gt;!1qB"</f>
        <v>#VALUE!</v>
      </c>
      <c r="ET335" t="e">
        <f>'North America'!A275+"n/&gt;!1qC"</f>
        <v>#VALUE!</v>
      </c>
      <c r="EU335" t="e">
        <f>'North America'!B275+"n/&gt;!1qD"</f>
        <v>#VALUE!</v>
      </c>
      <c r="EV335" t="e">
        <f>'North America'!C275+"n/&gt;!1qE"</f>
        <v>#VALUE!</v>
      </c>
      <c r="EW335" t="e">
        <f>'North America'!D275+"n/&gt;!1qF"</f>
        <v>#VALUE!</v>
      </c>
      <c r="EX335" t="e">
        <f>'North America'!E275+"n/&gt;!1qG"</f>
        <v>#VALUE!</v>
      </c>
      <c r="EY335" t="e">
        <f>'North America'!F275+"n/&gt;!1qH"</f>
        <v>#VALUE!</v>
      </c>
      <c r="EZ335" t="e">
        <f>'North America'!G275+"n/&gt;!1qI"</f>
        <v>#VALUE!</v>
      </c>
      <c r="FA335" t="e">
        <f>'North America'!H275+"n/&gt;!1qJ"</f>
        <v>#VALUE!</v>
      </c>
      <c r="FB335" t="e">
        <f>'North America'!I275+"n/&gt;!1qK"</f>
        <v>#VALUE!</v>
      </c>
      <c r="FC335" t="e">
        <f>'North America'!A276+"n/&gt;!1qL"</f>
        <v>#VALUE!</v>
      </c>
      <c r="FD335" t="e">
        <f>'North America'!B276+"n/&gt;!1qM"</f>
        <v>#VALUE!</v>
      </c>
      <c r="FE335" t="e">
        <f>'North America'!C276+"n/&gt;!1qN"</f>
        <v>#VALUE!</v>
      </c>
      <c r="FF335" t="e">
        <f>'North America'!D276+"n/&gt;!1qO"</f>
        <v>#VALUE!</v>
      </c>
      <c r="FG335" t="e">
        <f>'North America'!E276+"n/&gt;!1qP"</f>
        <v>#VALUE!</v>
      </c>
      <c r="FH335" t="e">
        <f>'North America'!F276+"n/&gt;!1qQ"</f>
        <v>#VALUE!</v>
      </c>
      <c r="FI335" t="e">
        <f>'North America'!G276+"n/&gt;!1qR"</f>
        <v>#VALUE!</v>
      </c>
      <c r="FJ335" t="e">
        <f>'North America'!H276+"n/&gt;!1qS"</f>
        <v>#VALUE!</v>
      </c>
      <c r="FK335" t="e">
        <f>'North America'!I276+"n/&gt;!1qT"</f>
        <v>#VALUE!</v>
      </c>
      <c r="FL335" t="e">
        <f>'North America'!A277+"n/&gt;!1qU"</f>
        <v>#VALUE!</v>
      </c>
      <c r="FM335" t="e">
        <f>'North America'!B277+"n/&gt;!1qV"</f>
        <v>#VALUE!</v>
      </c>
      <c r="FN335" t="e">
        <f>'North America'!C277+"n/&gt;!1qW"</f>
        <v>#VALUE!</v>
      </c>
      <c r="FO335" t="e">
        <f>'North America'!D277+"n/&gt;!1qX"</f>
        <v>#VALUE!</v>
      </c>
      <c r="FP335" t="e">
        <f>'North America'!E277+"n/&gt;!1qY"</f>
        <v>#VALUE!</v>
      </c>
      <c r="FQ335" t="e">
        <f>'North America'!F277+"n/&gt;!1qZ"</f>
        <v>#VALUE!</v>
      </c>
      <c r="FR335" t="e">
        <f>'North America'!G277+"n/&gt;!1q["</f>
        <v>#VALUE!</v>
      </c>
      <c r="FS335" t="e">
        <f>'North America'!H277+"n/&gt;!1q\"</f>
        <v>#VALUE!</v>
      </c>
      <c r="FT335" t="e">
        <f>'North America'!I277+"n/&gt;!1q]"</f>
        <v>#VALUE!</v>
      </c>
      <c r="FU335" t="e">
        <f>'North America'!A278+"n/&gt;!1q^"</f>
        <v>#VALUE!</v>
      </c>
      <c r="FV335" t="e">
        <f>'North America'!B278+"n/&gt;!1q_"</f>
        <v>#VALUE!</v>
      </c>
      <c r="FW335" t="e">
        <f>'North America'!C278+"n/&gt;!1q`"</f>
        <v>#VALUE!</v>
      </c>
      <c r="FX335" t="e">
        <f>'North America'!D278+"n/&gt;!1qa"</f>
        <v>#VALUE!</v>
      </c>
      <c r="FY335" t="e">
        <f>'North America'!E278+"n/&gt;!1qb"</f>
        <v>#VALUE!</v>
      </c>
      <c r="FZ335" t="e">
        <f>'North America'!F278+"n/&gt;!1qc"</f>
        <v>#VALUE!</v>
      </c>
      <c r="GA335" t="e">
        <f>'North America'!G278+"n/&gt;!1qd"</f>
        <v>#VALUE!</v>
      </c>
      <c r="GB335" t="e">
        <f>'North America'!H278+"n/&gt;!1qe"</f>
        <v>#VALUE!</v>
      </c>
      <c r="GC335" t="e">
        <f>'North America'!I278+"n/&gt;!1qf"</f>
        <v>#VALUE!</v>
      </c>
      <c r="GD335" t="e">
        <f>'North America'!A279+"n/&gt;!1qg"</f>
        <v>#VALUE!</v>
      </c>
      <c r="GE335" t="e">
        <f>'North America'!B279+"n/&gt;!1qh"</f>
        <v>#VALUE!</v>
      </c>
      <c r="GF335" t="e">
        <f>'North America'!C279+"n/&gt;!1qi"</f>
        <v>#VALUE!</v>
      </c>
      <c r="GG335" t="e">
        <f>'North America'!D279+"n/&gt;!1qj"</f>
        <v>#VALUE!</v>
      </c>
      <c r="GH335" t="e">
        <f>'North America'!E279+"n/&gt;!1qk"</f>
        <v>#VALUE!</v>
      </c>
      <c r="GI335" t="e">
        <f>'North America'!F279+"n/&gt;!1ql"</f>
        <v>#VALUE!</v>
      </c>
      <c r="GJ335" t="e">
        <f>'North America'!G279+"n/&gt;!1qm"</f>
        <v>#VALUE!</v>
      </c>
      <c r="GK335" t="e">
        <f>'North America'!H279+"n/&gt;!1qn"</f>
        <v>#VALUE!</v>
      </c>
      <c r="GL335" t="e">
        <f>'North America'!I279+"n/&gt;!1qo"</f>
        <v>#VALUE!</v>
      </c>
      <c r="GM335" t="e">
        <f>'North America'!A280+"n/&gt;!1qp"</f>
        <v>#VALUE!</v>
      </c>
      <c r="GN335" t="e">
        <f>'North America'!B280+"n/&gt;!1qq"</f>
        <v>#VALUE!</v>
      </c>
      <c r="GO335" t="e">
        <f>'North America'!C280+"n/&gt;!1qr"</f>
        <v>#VALUE!</v>
      </c>
      <c r="GP335" t="e">
        <f>'North America'!D280+"n/&gt;!1qs"</f>
        <v>#VALUE!</v>
      </c>
      <c r="GQ335" t="e">
        <f>'North America'!E280+"n/&gt;!1qt"</f>
        <v>#VALUE!</v>
      </c>
      <c r="GR335" t="e">
        <f>'North America'!F280+"n/&gt;!1qu"</f>
        <v>#VALUE!</v>
      </c>
      <c r="GS335" t="e">
        <f>'North America'!G280+"n/&gt;!1qv"</f>
        <v>#VALUE!</v>
      </c>
      <c r="GT335" t="e">
        <f>'North America'!H280+"n/&gt;!1qw"</f>
        <v>#VALUE!</v>
      </c>
      <c r="GU335" t="e">
        <f>'North America'!I280+"n/&gt;!1qx"</f>
        <v>#VALUE!</v>
      </c>
      <c r="GV335" t="e">
        <f>'North America'!A281+"n/&gt;!1qy"</f>
        <v>#VALUE!</v>
      </c>
      <c r="GW335" t="e">
        <f>'North America'!B281+"n/&gt;!1qz"</f>
        <v>#VALUE!</v>
      </c>
      <c r="GX335" t="e">
        <f>'North America'!C281+"n/&gt;!1q{"</f>
        <v>#VALUE!</v>
      </c>
      <c r="GY335" t="e">
        <f>'North America'!D281+"n/&gt;!1q|"</f>
        <v>#VALUE!</v>
      </c>
      <c r="GZ335" t="e">
        <f>'North America'!E281+"n/&gt;!1q}"</f>
        <v>#VALUE!</v>
      </c>
      <c r="HA335" t="e">
        <f>'North America'!F281+"n/&gt;!1q~"</f>
        <v>#VALUE!</v>
      </c>
      <c r="HB335" t="e">
        <f>'North America'!G281+"n/&gt;!1r#"</f>
        <v>#VALUE!</v>
      </c>
      <c r="HC335" t="e">
        <f>'North America'!H281+"n/&gt;!1r$"</f>
        <v>#VALUE!</v>
      </c>
      <c r="HD335" t="e">
        <f>'North America'!I281+"n/&gt;!1r%"</f>
        <v>#VALUE!</v>
      </c>
      <c r="HE335" t="e">
        <f>'North America'!A282+"n/&gt;!1r&amp;"</f>
        <v>#VALUE!</v>
      </c>
      <c r="HF335" t="e">
        <f>'North America'!B282+"n/&gt;!1r'"</f>
        <v>#VALUE!</v>
      </c>
      <c r="HG335" t="e">
        <f>'North America'!C282+"n/&gt;!1r("</f>
        <v>#VALUE!</v>
      </c>
      <c r="HH335" t="e">
        <f>'North America'!D282+"n/&gt;!1r)"</f>
        <v>#VALUE!</v>
      </c>
      <c r="HI335" t="e">
        <f>'North America'!E282+"n/&gt;!1r."</f>
        <v>#VALUE!</v>
      </c>
      <c r="HJ335" t="e">
        <f>'North America'!F282+"n/&gt;!1r/"</f>
        <v>#VALUE!</v>
      </c>
      <c r="HK335" t="e">
        <f>'North America'!G282+"n/&gt;!1r0"</f>
        <v>#VALUE!</v>
      </c>
      <c r="HL335" t="e">
        <f>'North America'!H282+"n/&gt;!1r1"</f>
        <v>#VALUE!</v>
      </c>
      <c r="HM335" t="e">
        <f>'North America'!I282+"n/&gt;!1r2"</f>
        <v>#VALUE!</v>
      </c>
      <c r="HN335" t="e">
        <f>'North America'!A283+"n/&gt;!1r3"</f>
        <v>#VALUE!</v>
      </c>
      <c r="HO335" t="e">
        <f>'North America'!B283+"n/&gt;!1r4"</f>
        <v>#VALUE!</v>
      </c>
      <c r="HP335" t="e">
        <f>'North America'!C283+"n/&gt;!1r5"</f>
        <v>#VALUE!</v>
      </c>
      <c r="HQ335" t="e">
        <f>'North America'!D283+"n/&gt;!1r6"</f>
        <v>#VALUE!</v>
      </c>
      <c r="HR335" t="e">
        <f>'North America'!E283+"n/&gt;!1r7"</f>
        <v>#VALUE!</v>
      </c>
      <c r="HS335" t="e">
        <f>'North America'!F283+"n/&gt;!1r8"</f>
        <v>#VALUE!</v>
      </c>
      <c r="HT335" t="e">
        <f>'North America'!G283+"n/&gt;!1r9"</f>
        <v>#VALUE!</v>
      </c>
      <c r="HU335" t="e">
        <f>'North America'!H283+"n/&gt;!1r:"</f>
        <v>#VALUE!</v>
      </c>
      <c r="HV335" t="e">
        <f>'North America'!I283+"n/&gt;!1r;"</f>
        <v>#VALUE!</v>
      </c>
      <c r="HW335" t="e">
        <f>'North America'!A284+"n/&gt;!1r&lt;"</f>
        <v>#VALUE!</v>
      </c>
      <c r="HX335" t="e">
        <f>'North America'!B284+"n/&gt;!1r="</f>
        <v>#VALUE!</v>
      </c>
      <c r="HY335" t="e">
        <f>'North America'!C284+"n/&gt;!1r&gt;"</f>
        <v>#VALUE!</v>
      </c>
      <c r="HZ335" t="e">
        <f>'North America'!D284+"n/&gt;!1r?"</f>
        <v>#VALUE!</v>
      </c>
      <c r="IA335" t="e">
        <f>'North America'!E284+"n/&gt;!1r@"</f>
        <v>#VALUE!</v>
      </c>
      <c r="IB335" t="e">
        <f>'North America'!F284+"n/&gt;!1rA"</f>
        <v>#VALUE!</v>
      </c>
      <c r="IC335" t="e">
        <f>'North America'!G284+"n/&gt;!1rB"</f>
        <v>#VALUE!</v>
      </c>
      <c r="ID335" t="e">
        <f>'North America'!H284+"n/&gt;!1rC"</f>
        <v>#VALUE!</v>
      </c>
      <c r="IE335" t="e">
        <f>'North America'!I284+"n/&gt;!1rD"</f>
        <v>#VALUE!</v>
      </c>
      <c r="IF335" t="e">
        <f>'North America'!A285+"n/&gt;!1rE"</f>
        <v>#VALUE!</v>
      </c>
      <c r="IG335" t="e">
        <f>'North America'!B285+"n/&gt;!1rF"</f>
        <v>#VALUE!</v>
      </c>
      <c r="IH335" t="e">
        <f>'North America'!C285+"n/&gt;!1rG"</f>
        <v>#VALUE!</v>
      </c>
      <c r="II335" t="e">
        <f>'North America'!D285+"n/&gt;!1rH"</f>
        <v>#VALUE!</v>
      </c>
      <c r="IJ335" t="e">
        <f>'North America'!E285+"n/&gt;!1rI"</f>
        <v>#VALUE!</v>
      </c>
      <c r="IK335" t="e">
        <f>'North America'!F285+"n/&gt;!1rJ"</f>
        <v>#VALUE!</v>
      </c>
      <c r="IL335" t="e">
        <f>'North America'!G285+"n/&gt;!1rK"</f>
        <v>#VALUE!</v>
      </c>
      <c r="IM335" t="e">
        <f>'North America'!H285+"n/&gt;!1rL"</f>
        <v>#VALUE!</v>
      </c>
      <c r="IN335" t="e">
        <f>'North America'!I285+"n/&gt;!1rM"</f>
        <v>#VALUE!</v>
      </c>
      <c r="IO335" t="e">
        <f>'North America'!A286+"n/&gt;!1rN"</f>
        <v>#VALUE!</v>
      </c>
      <c r="IP335" t="e">
        <f>'North America'!B286+"n/&gt;!1rO"</f>
        <v>#VALUE!</v>
      </c>
      <c r="IQ335" t="e">
        <f>'North America'!C286+"n/&gt;!1rP"</f>
        <v>#VALUE!</v>
      </c>
      <c r="IR335" t="e">
        <f>'North America'!D286+"n/&gt;!1rQ"</f>
        <v>#VALUE!</v>
      </c>
      <c r="IS335" t="e">
        <f>'North America'!E286+"n/&gt;!1rR"</f>
        <v>#VALUE!</v>
      </c>
      <c r="IT335" t="e">
        <f>'North America'!F286+"n/&gt;!1rS"</f>
        <v>#VALUE!</v>
      </c>
      <c r="IU335" t="e">
        <f>'North America'!G286+"n/&gt;!1rT"</f>
        <v>#VALUE!</v>
      </c>
      <c r="IV335" t="e">
        <f>'North America'!H286+"n/&gt;!1rU"</f>
        <v>#VALUE!</v>
      </c>
    </row>
    <row r="336" spans="6:256" x14ac:dyDescent="0.35">
      <c r="F336" t="e">
        <f>'North America'!I286+"n/&gt;!1rV"</f>
        <v>#VALUE!</v>
      </c>
      <c r="G336" t="e">
        <f>'North America'!A287+"n/&gt;!1rW"</f>
        <v>#VALUE!</v>
      </c>
      <c r="H336" t="e">
        <f>'North America'!B287+"n/&gt;!1rX"</f>
        <v>#VALUE!</v>
      </c>
      <c r="I336" t="e">
        <f>'North America'!C287+"n/&gt;!1rY"</f>
        <v>#VALUE!</v>
      </c>
      <c r="J336" t="e">
        <f>'North America'!D287+"n/&gt;!1rZ"</f>
        <v>#VALUE!</v>
      </c>
      <c r="K336" t="e">
        <f>'North America'!E287+"n/&gt;!1r["</f>
        <v>#VALUE!</v>
      </c>
      <c r="L336" t="e">
        <f>'North America'!F287+"n/&gt;!1r\"</f>
        <v>#VALUE!</v>
      </c>
      <c r="M336" t="e">
        <f>'North America'!G287+"n/&gt;!1r]"</f>
        <v>#VALUE!</v>
      </c>
      <c r="N336" t="e">
        <f>'North America'!H287+"n/&gt;!1r^"</f>
        <v>#VALUE!</v>
      </c>
      <c r="O336" t="e">
        <f>'North America'!I287+"n/&gt;!1r_"</f>
        <v>#VALUE!</v>
      </c>
      <c r="P336" t="e">
        <f>'North America'!A288+"n/&gt;!1r`"</f>
        <v>#VALUE!</v>
      </c>
      <c r="Q336" t="e">
        <f>'North America'!B288+"n/&gt;!1ra"</f>
        <v>#VALUE!</v>
      </c>
      <c r="R336" t="e">
        <f>'North America'!C288+"n/&gt;!1rb"</f>
        <v>#VALUE!</v>
      </c>
      <c r="S336" t="e">
        <f>'North America'!D288+"n/&gt;!1rc"</f>
        <v>#VALUE!</v>
      </c>
      <c r="T336" t="e">
        <f>'North America'!E288+"n/&gt;!1rd"</f>
        <v>#VALUE!</v>
      </c>
      <c r="U336" t="e">
        <f>'North America'!F288+"n/&gt;!1re"</f>
        <v>#VALUE!</v>
      </c>
      <c r="V336" t="e">
        <f>'North America'!G288+"n/&gt;!1rf"</f>
        <v>#VALUE!</v>
      </c>
      <c r="W336" t="e">
        <f>'North America'!H288+"n/&gt;!1rg"</f>
        <v>#VALUE!</v>
      </c>
      <c r="X336" t="e">
        <f>'North America'!I288+"n/&gt;!1rh"</f>
        <v>#VALUE!</v>
      </c>
      <c r="Y336" t="e">
        <f>'North America'!A289+"n/&gt;!1ri"</f>
        <v>#VALUE!</v>
      </c>
      <c r="Z336" t="e">
        <f>'North America'!B289+"n/&gt;!1rj"</f>
        <v>#VALUE!</v>
      </c>
      <c r="AA336" t="e">
        <f>'North America'!C289+"n/&gt;!1rk"</f>
        <v>#VALUE!</v>
      </c>
      <c r="AB336" t="e">
        <f>'North America'!D289+"n/&gt;!1rl"</f>
        <v>#VALUE!</v>
      </c>
      <c r="AC336" t="e">
        <f>'North America'!E289+"n/&gt;!1rm"</f>
        <v>#VALUE!</v>
      </c>
      <c r="AD336" t="e">
        <f>'North America'!F289+"n/&gt;!1rn"</f>
        <v>#VALUE!</v>
      </c>
      <c r="AE336" t="e">
        <f>'North America'!G289+"n/&gt;!1ro"</f>
        <v>#VALUE!</v>
      </c>
      <c r="AF336" t="e">
        <f>'North America'!H289+"n/&gt;!1rp"</f>
        <v>#VALUE!</v>
      </c>
      <c r="AG336" t="e">
        <f>'North America'!I289+"n/&gt;!1rq"</f>
        <v>#VALUE!</v>
      </c>
      <c r="AH336" t="e">
        <f>'North America'!A290+"n/&gt;!1rr"</f>
        <v>#VALUE!</v>
      </c>
      <c r="AI336" t="e">
        <f>'North America'!B290+"n/&gt;!1rs"</f>
        <v>#VALUE!</v>
      </c>
      <c r="AJ336" t="e">
        <f>'North America'!C290+"n/&gt;!1rt"</f>
        <v>#VALUE!</v>
      </c>
      <c r="AK336" t="e">
        <f>'North America'!D290+"n/&gt;!1ru"</f>
        <v>#VALUE!</v>
      </c>
      <c r="AL336" t="e">
        <f>'North America'!E290+"n/&gt;!1rv"</f>
        <v>#VALUE!</v>
      </c>
      <c r="AM336" t="e">
        <f>'North America'!F290+"n/&gt;!1rw"</f>
        <v>#VALUE!</v>
      </c>
      <c r="AN336" t="e">
        <f>'North America'!G290+"n/&gt;!1rx"</f>
        <v>#VALUE!</v>
      </c>
      <c r="AO336" t="e">
        <f>'North America'!H290+"n/&gt;!1ry"</f>
        <v>#VALUE!</v>
      </c>
      <c r="AP336" t="e">
        <f>'North America'!I290+"n/&gt;!1rz"</f>
        <v>#VALUE!</v>
      </c>
      <c r="AQ336" t="e">
        <f>'North America'!A291+"n/&gt;!1r{"</f>
        <v>#VALUE!</v>
      </c>
      <c r="AR336" t="e">
        <f>'North America'!B291+"n/&gt;!1r|"</f>
        <v>#VALUE!</v>
      </c>
      <c r="AS336" t="e">
        <f>'North America'!C291+"n/&gt;!1r}"</f>
        <v>#VALUE!</v>
      </c>
      <c r="AT336" t="e">
        <f>'North America'!D291+"n/&gt;!1r~"</f>
        <v>#VALUE!</v>
      </c>
      <c r="AU336" t="e">
        <f>'North America'!E291+"n/&gt;!1s#"</f>
        <v>#VALUE!</v>
      </c>
      <c r="AV336" t="e">
        <f>'North America'!F291+"n/&gt;!1s$"</f>
        <v>#VALUE!</v>
      </c>
      <c r="AW336" t="e">
        <f>'North America'!G291+"n/&gt;!1s%"</f>
        <v>#VALUE!</v>
      </c>
      <c r="AX336" t="e">
        <f>'North America'!H291+"n/&gt;!1s&amp;"</f>
        <v>#VALUE!</v>
      </c>
      <c r="AY336" t="e">
        <f>'North America'!I291+"n/&gt;!1s'"</f>
        <v>#VALUE!</v>
      </c>
      <c r="AZ336" t="e">
        <f>'North America'!A292+"n/&gt;!1s("</f>
        <v>#VALUE!</v>
      </c>
      <c r="BA336" t="e">
        <f>'North America'!B292+"n/&gt;!1s)"</f>
        <v>#VALUE!</v>
      </c>
      <c r="BB336" t="e">
        <f>'North America'!C292+"n/&gt;!1s."</f>
        <v>#VALUE!</v>
      </c>
      <c r="BC336" t="e">
        <f>'North America'!D292+"n/&gt;!1s/"</f>
        <v>#VALUE!</v>
      </c>
      <c r="BD336" t="e">
        <f>'North America'!E292+"n/&gt;!1s0"</f>
        <v>#VALUE!</v>
      </c>
      <c r="BE336" t="e">
        <f>'North America'!F292+"n/&gt;!1s1"</f>
        <v>#VALUE!</v>
      </c>
      <c r="BF336" t="e">
        <f>'North America'!G292+"n/&gt;!1s2"</f>
        <v>#VALUE!</v>
      </c>
      <c r="BG336" t="e">
        <f>'North America'!H292+"n/&gt;!1s3"</f>
        <v>#VALUE!</v>
      </c>
      <c r="BH336" t="e">
        <f>'North America'!I292+"n/&gt;!1s4"</f>
        <v>#VALUE!</v>
      </c>
      <c r="BI336" t="e">
        <f>'North America'!A293+"n/&gt;!1s5"</f>
        <v>#VALUE!</v>
      </c>
      <c r="BJ336" t="e">
        <f>'North America'!B293+"n/&gt;!1s6"</f>
        <v>#VALUE!</v>
      </c>
      <c r="BK336" t="e">
        <f>'North America'!C293+"n/&gt;!1s7"</f>
        <v>#VALUE!</v>
      </c>
      <c r="BL336" t="e">
        <f>'North America'!D293+"n/&gt;!1s8"</f>
        <v>#VALUE!</v>
      </c>
      <c r="BM336" t="e">
        <f>'North America'!E293+"n/&gt;!1s9"</f>
        <v>#VALUE!</v>
      </c>
      <c r="BN336" t="e">
        <f>'North America'!F293+"n/&gt;!1s:"</f>
        <v>#VALUE!</v>
      </c>
      <c r="BO336" t="e">
        <f>'North America'!G293+"n/&gt;!1s;"</f>
        <v>#VALUE!</v>
      </c>
      <c r="BP336" t="e">
        <f>'North America'!H293+"n/&gt;!1s&lt;"</f>
        <v>#VALUE!</v>
      </c>
      <c r="BQ336" t="e">
        <f>'North America'!I293+"n/&gt;!1s="</f>
        <v>#VALUE!</v>
      </c>
      <c r="BR336" t="e">
        <f>'North America'!A294+"n/&gt;!1s&gt;"</f>
        <v>#VALUE!</v>
      </c>
      <c r="BS336" t="e">
        <f>'North America'!B294+"n/&gt;!1s?"</f>
        <v>#VALUE!</v>
      </c>
      <c r="BT336" t="e">
        <f>'North America'!C294+"n/&gt;!1s@"</f>
        <v>#VALUE!</v>
      </c>
      <c r="BU336" t="e">
        <f>'North America'!D294+"n/&gt;!1sA"</f>
        <v>#VALUE!</v>
      </c>
      <c r="BV336" t="e">
        <f>'North America'!E294+"n/&gt;!1sB"</f>
        <v>#VALUE!</v>
      </c>
      <c r="BW336" t="e">
        <f>'North America'!F294+"n/&gt;!1sC"</f>
        <v>#VALUE!</v>
      </c>
      <c r="BX336" t="e">
        <f>'North America'!G294+"n/&gt;!1sD"</f>
        <v>#VALUE!</v>
      </c>
      <c r="BY336" t="e">
        <f>'North America'!H294+"n/&gt;!1sE"</f>
        <v>#VALUE!</v>
      </c>
      <c r="BZ336" t="e">
        <f>'North America'!I294+"n/&gt;!1sF"</f>
        <v>#VALUE!</v>
      </c>
      <c r="CA336" t="e">
        <f>'North America'!A295+"n/&gt;!1sG"</f>
        <v>#VALUE!</v>
      </c>
      <c r="CB336" t="e">
        <f>'North America'!B295+"n/&gt;!1sH"</f>
        <v>#VALUE!</v>
      </c>
      <c r="CC336" t="e">
        <f>'North America'!C295+"n/&gt;!1sI"</f>
        <v>#VALUE!</v>
      </c>
      <c r="CD336" t="e">
        <f>'North America'!D295+"n/&gt;!1sJ"</f>
        <v>#VALUE!</v>
      </c>
      <c r="CE336" t="e">
        <f>'North America'!E295+"n/&gt;!1sK"</f>
        <v>#VALUE!</v>
      </c>
      <c r="CF336" t="e">
        <f>'North America'!F295+"n/&gt;!1sL"</f>
        <v>#VALUE!</v>
      </c>
      <c r="CG336" t="e">
        <f>'North America'!G295+"n/&gt;!1sM"</f>
        <v>#VALUE!</v>
      </c>
      <c r="CH336" t="e">
        <f>'North America'!H295+"n/&gt;!1sN"</f>
        <v>#VALUE!</v>
      </c>
      <c r="CI336" t="e">
        <f>'North America'!I295+"n/&gt;!1sO"</f>
        <v>#VALUE!</v>
      </c>
      <c r="CJ336" t="e">
        <f>'North America'!A296+"n/&gt;!1sP"</f>
        <v>#VALUE!</v>
      </c>
      <c r="CK336" t="e">
        <f>'North America'!B296+"n/&gt;!1sQ"</f>
        <v>#VALUE!</v>
      </c>
      <c r="CL336" t="e">
        <f>'North America'!C296+"n/&gt;!1sR"</f>
        <v>#VALUE!</v>
      </c>
      <c r="CM336" t="e">
        <f>'North America'!D296+"n/&gt;!1sS"</f>
        <v>#VALUE!</v>
      </c>
      <c r="CN336" t="e">
        <f>'North America'!E296+"n/&gt;!1sT"</f>
        <v>#VALUE!</v>
      </c>
      <c r="CO336" t="e">
        <f>'North America'!F296+"n/&gt;!1sU"</f>
        <v>#VALUE!</v>
      </c>
      <c r="CP336" t="e">
        <f>'North America'!G296+"n/&gt;!1sV"</f>
        <v>#VALUE!</v>
      </c>
      <c r="CQ336" t="e">
        <f>'North America'!H296+"n/&gt;!1sW"</f>
        <v>#VALUE!</v>
      </c>
      <c r="CR336" t="e">
        <f>'North America'!I296+"n/&gt;!1sX"</f>
        <v>#VALUE!</v>
      </c>
      <c r="CS336" t="e">
        <f>'North America'!A297+"n/&gt;!1sY"</f>
        <v>#VALUE!</v>
      </c>
      <c r="CT336" t="e">
        <f>'North America'!B297+"n/&gt;!1sZ"</f>
        <v>#VALUE!</v>
      </c>
      <c r="CU336" t="e">
        <f>'North America'!C297+"n/&gt;!1s["</f>
        <v>#VALUE!</v>
      </c>
      <c r="CV336" t="e">
        <f>'North America'!D297+"n/&gt;!1s\"</f>
        <v>#VALUE!</v>
      </c>
      <c r="CW336" t="e">
        <f>'North America'!E297+"n/&gt;!1s]"</f>
        <v>#VALUE!</v>
      </c>
      <c r="CX336" t="e">
        <f>'North America'!F297+"n/&gt;!1s^"</f>
        <v>#VALUE!</v>
      </c>
      <c r="CY336" t="e">
        <f>'North America'!G297+"n/&gt;!1s_"</f>
        <v>#VALUE!</v>
      </c>
      <c r="CZ336" t="e">
        <f>'North America'!H297+"n/&gt;!1s`"</f>
        <v>#VALUE!</v>
      </c>
      <c r="DA336" t="e">
        <f>'North America'!I297+"n/&gt;!1sa"</f>
        <v>#VALUE!</v>
      </c>
      <c r="DB336" t="e">
        <f>'North America'!A298+"n/&gt;!1sb"</f>
        <v>#VALUE!</v>
      </c>
      <c r="DC336" t="e">
        <f>'North America'!B298+"n/&gt;!1sc"</f>
        <v>#VALUE!</v>
      </c>
      <c r="DD336" t="e">
        <f>'North America'!C298+"n/&gt;!1sd"</f>
        <v>#VALUE!</v>
      </c>
      <c r="DE336" t="e">
        <f>'North America'!D298+"n/&gt;!1se"</f>
        <v>#VALUE!</v>
      </c>
      <c r="DF336" t="e">
        <f>'North America'!E298+"n/&gt;!1sf"</f>
        <v>#VALUE!</v>
      </c>
      <c r="DG336" t="e">
        <f>'North America'!F298+"n/&gt;!1sg"</f>
        <v>#VALUE!</v>
      </c>
      <c r="DH336" t="e">
        <f>'North America'!G298+"n/&gt;!1sh"</f>
        <v>#VALUE!</v>
      </c>
      <c r="DI336" t="e">
        <f>'North America'!H298+"n/&gt;!1si"</f>
        <v>#VALUE!</v>
      </c>
      <c r="DJ336" t="e">
        <f>'North America'!I298+"n/&gt;!1sj"</f>
        <v>#VALUE!</v>
      </c>
      <c r="DK336" t="e">
        <f>'North America'!A299+"n/&gt;!1sk"</f>
        <v>#VALUE!</v>
      </c>
      <c r="DL336" t="e">
        <f>'North America'!B299+"n/&gt;!1sl"</f>
        <v>#VALUE!</v>
      </c>
      <c r="DM336" t="e">
        <f>'North America'!C299+"n/&gt;!1sm"</f>
        <v>#VALUE!</v>
      </c>
      <c r="DN336" t="e">
        <f>'North America'!D299+"n/&gt;!1sn"</f>
        <v>#VALUE!</v>
      </c>
      <c r="DO336" t="e">
        <f>'North America'!E299+"n/&gt;!1so"</f>
        <v>#VALUE!</v>
      </c>
      <c r="DP336" t="e">
        <f>'North America'!F299+"n/&gt;!1sp"</f>
        <v>#VALUE!</v>
      </c>
      <c r="DQ336" t="e">
        <f>'North America'!G299+"n/&gt;!1sq"</f>
        <v>#VALUE!</v>
      </c>
      <c r="DR336" t="e">
        <f>'North America'!H299+"n/&gt;!1sr"</f>
        <v>#VALUE!</v>
      </c>
      <c r="DS336" t="e">
        <f>'North America'!I299+"n/&gt;!1ss"</f>
        <v>#VALUE!</v>
      </c>
      <c r="DT336" t="e">
        <f>'North America'!A300+"n/&gt;!1st"</f>
        <v>#VALUE!</v>
      </c>
      <c r="DU336" t="e">
        <f>'North America'!B300+"n/&gt;!1su"</f>
        <v>#VALUE!</v>
      </c>
      <c r="DV336" t="e">
        <f>'North America'!C300+"n/&gt;!1sv"</f>
        <v>#VALUE!</v>
      </c>
      <c r="DW336" t="e">
        <f>'North America'!D300+"n/&gt;!1sw"</f>
        <v>#VALUE!</v>
      </c>
      <c r="DX336" t="e">
        <f>'North America'!E300+"n/&gt;!1sx"</f>
        <v>#VALUE!</v>
      </c>
      <c r="DY336" t="e">
        <f>'North America'!F300+"n/&gt;!1sy"</f>
        <v>#VALUE!</v>
      </c>
      <c r="DZ336" t="e">
        <f>'North America'!G300+"n/&gt;!1sz"</f>
        <v>#VALUE!</v>
      </c>
      <c r="EA336" t="e">
        <f>'North America'!H300+"n/&gt;!1s{"</f>
        <v>#VALUE!</v>
      </c>
      <c r="EB336" t="e">
        <f>'North America'!I300+"n/&gt;!1s|"</f>
        <v>#VALUE!</v>
      </c>
      <c r="EC336" t="e">
        <f>'North America'!A301+"n/&gt;!1s}"</f>
        <v>#VALUE!</v>
      </c>
      <c r="ED336" t="e">
        <f>'North America'!B301+"n/&gt;!1s~"</f>
        <v>#VALUE!</v>
      </c>
      <c r="EE336" t="e">
        <f>'North America'!C301+"n/&gt;!1t#"</f>
        <v>#VALUE!</v>
      </c>
      <c r="EF336" t="e">
        <f>'North America'!D301+"n/&gt;!1t$"</f>
        <v>#VALUE!</v>
      </c>
      <c r="EG336" t="e">
        <f>'North America'!E301+"n/&gt;!1t%"</f>
        <v>#VALUE!</v>
      </c>
      <c r="EH336" t="e">
        <f>'North America'!F301+"n/&gt;!1t&amp;"</f>
        <v>#VALUE!</v>
      </c>
      <c r="EI336" t="e">
        <f>'North America'!G301+"n/&gt;!1t'"</f>
        <v>#VALUE!</v>
      </c>
      <c r="EJ336" t="e">
        <f>'North America'!H301+"n/&gt;!1t("</f>
        <v>#VALUE!</v>
      </c>
      <c r="EK336" t="e">
        <f>'North America'!I301+"n/&gt;!1t)"</f>
        <v>#VALUE!</v>
      </c>
      <c r="EL336" t="e">
        <f>'North America'!A302+"n/&gt;!1t."</f>
        <v>#VALUE!</v>
      </c>
      <c r="EM336" t="e">
        <f>'North America'!B302+"n/&gt;!1t/"</f>
        <v>#VALUE!</v>
      </c>
      <c r="EN336" t="e">
        <f>'North America'!C302+"n/&gt;!1t0"</f>
        <v>#VALUE!</v>
      </c>
      <c r="EO336" t="e">
        <f>'North America'!D302+"n/&gt;!1t1"</f>
        <v>#VALUE!</v>
      </c>
      <c r="EP336" t="e">
        <f>'North America'!E302+"n/&gt;!1t2"</f>
        <v>#VALUE!</v>
      </c>
      <c r="EQ336" t="e">
        <f>'North America'!F302+"n/&gt;!1t3"</f>
        <v>#VALUE!</v>
      </c>
      <c r="ER336" t="e">
        <f>'North America'!G302+"n/&gt;!1t4"</f>
        <v>#VALUE!</v>
      </c>
      <c r="ES336" t="e">
        <f>'North America'!H302+"n/&gt;!1t5"</f>
        <v>#VALUE!</v>
      </c>
      <c r="ET336" t="e">
        <f>'North America'!I302+"n/&gt;!1t6"</f>
        <v>#VALUE!</v>
      </c>
      <c r="EU336" t="e">
        <f>'North America'!A303+"n/&gt;!1t7"</f>
        <v>#VALUE!</v>
      </c>
      <c r="EV336" t="e">
        <f>'North America'!B303+"n/&gt;!1t8"</f>
        <v>#VALUE!</v>
      </c>
      <c r="EW336" t="e">
        <f>'North America'!C303+"n/&gt;!1t9"</f>
        <v>#VALUE!</v>
      </c>
      <c r="EX336" t="e">
        <f>'North America'!D303+"n/&gt;!1t:"</f>
        <v>#VALUE!</v>
      </c>
      <c r="EY336" t="e">
        <f>'North America'!E303+"n/&gt;!1t;"</f>
        <v>#VALUE!</v>
      </c>
      <c r="EZ336" t="e">
        <f>'North America'!F303+"n/&gt;!1t&lt;"</f>
        <v>#VALUE!</v>
      </c>
      <c r="FA336" t="e">
        <f>'North America'!G303+"n/&gt;!1t="</f>
        <v>#VALUE!</v>
      </c>
      <c r="FB336" t="e">
        <f>'North America'!H303+"n/&gt;!1t&gt;"</f>
        <v>#VALUE!</v>
      </c>
      <c r="FC336" t="e">
        <f>'North America'!I303+"n/&gt;!1t?"</f>
        <v>#VALUE!</v>
      </c>
      <c r="FD336" t="e">
        <f>'North America'!A304+"n/&gt;!1t@"</f>
        <v>#VALUE!</v>
      </c>
      <c r="FE336" t="e">
        <f>'North America'!B304+"n/&gt;!1tA"</f>
        <v>#VALUE!</v>
      </c>
      <c r="FF336" t="e">
        <f>'North America'!C304+"n/&gt;!1tB"</f>
        <v>#VALUE!</v>
      </c>
      <c r="FG336" t="e">
        <f>'North America'!D304+"n/&gt;!1tC"</f>
        <v>#VALUE!</v>
      </c>
      <c r="FH336" t="e">
        <f>'North America'!E304+"n/&gt;!1tD"</f>
        <v>#VALUE!</v>
      </c>
      <c r="FI336" t="e">
        <f>'North America'!F304+"n/&gt;!1tE"</f>
        <v>#VALUE!</v>
      </c>
      <c r="FJ336" t="e">
        <f>'North America'!G304+"n/&gt;!1tF"</f>
        <v>#VALUE!</v>
      </c>
      <c r="FK336" t="e">
        <f>'North America'!H304+"n/&gt;!1tG"</f>
        <v>#VALUE!</v>
      </c>
      <c r="FL336" t="e">
        <f>'North America'!I304+"n/&gt;!1tH"</f>
        <v>#VALUE!</v>
      </c>
      <c r="FM336" t="e">
        <f>'North America'!A305+"n/&gt;!1tI"</f>
        <v>#VALUE!</v>
      </c>
      <c r="FN336" t="e">
        <f>'North America'!B305+"n/&gt;!1tJ"</f>
        <v>#VALUE!</v>
      </c>
      <c r="FO336" t="e">
        <f>'North America'!C305+"n/&gt;!1tK"</f>
        <v>#VALUE!</v>
      </c>
      <c r="FP336" t="e">
        <f>'North America'!D305+"n/&gt;!1tL"</f>
        <v>#VALUE!</v>
      </c>
      <c r="FQ336" t="e">
        <f>'North America'!E305+"n/&gt;!1tM"</f>
        <v>#VALUE!</v>
      </c>
      <c r="FR336" t="e">
        <f>'North America'!F305+"n/&gt;!1tN"</f>
        <v>#VALUE!</v>
      </c>
      <c r="FS336" t="e">
        <f>'North America'!G305+"n/&gt;!1tO"</f>
        <v>#VALUE!</v>
      </c>
      <c r="FT336" t="e">
        <f>'North America'!H305+"n/&gt;!1tP"</f>
        <v>#VALUE!</v>
      </c>
      <c r="FU336" t="e">
        <f>'North America'!I305+"n/&gt;!1tQ"</f>
        <v>#VALUE!</v>
      </c>
      <c r="FV336" t="e">
        <f>'North America'!A306+"n/&gt;!1tR"</f>
        <v>#VALUE!</v>
      </c>
      <c r="FW336" t="e">
        <f>'North America'!B306+"n/&gt;!1tS"</f>
        <v>#VALUE!</v>
      </c>
      <c r="FX336" t="e">
        <f>'North America'!C306+"n/&gt;!1tT"</f>
        <v>#VALUE!</v>
      </c>
      <c r="FY336" t="e">
        <f>'North America'!D306+"n/&gt;!1tU"</f>
        <v>#VALUE!</v>
      </c>
      <c r="FZ336" t="e">
        <f>'North America'!E306+"n/&gt;!1tV"</f>
        <v>#VALUE!</v>
      </c>
      <c r="GA336" t="e">
        <f>'North America'!F306+"n/&gt;!1tW"</f>
        <v>#VALUE!</v>
      </c>
      <c r="GB336" t="e">
        <f>'North America'!G306+"n/&gt;!1tX"</f>
        <v>#VALUE!</v>
      </c>
      <c r="GC336" t="e">
        <f>'North America'!H306+"n/&gt;!1tY"</f>
        <v>#VALUE!</v>
      </c>
      <c r="GD336" t="e">
        <f>'North America'!I306+"n/&gt;!1tZ"</f>
        <v>#VALUE!</v>
      </c>
      <c r="GE336" t="e">
        <f>'North America'!A307+"n/&gt;!1t["</f>
        <v>#VALUE!</v>
      </c>
      <c r="GF336" t="e">
        <f>'North America'!B307+"n/&gt;!1t\"</f>
        <v>#VALUE!</v>
      </c>
      <c r="GG336" t="e">
        <f>'North America'!C307+"n/&gt;!1t]"</f>
        <v>#VALUE!</v>
      </c>
      <c r="GH336" t="e">
        <f>'North America'!D307+"n/&gt;!1t^"</f>
        <v>#VALUE!</v>
      </c>
      <c r="GI336" t="e">
        <f>'North America'!E307+"n/&gt;!1t_"</f>
        <v>#VALUE!</v>
      </c>
      <c r="GJ336" t="e">
        <f>'North America'!F307+"n/&gt;!1t`"</f>
        <v>#VALUE!</v>
      </c>
      <c r="GK336" t="e">
        <f>'North America'!G307+"n/&gt;!1ta"</f>
        <v>#VALUE!</v>
      </c>
      <c r="GL336" t="e">
        <f>'North America'!H307+"n/&gt;!1tb"</f>
        <v>#VALUE!</v>
      </c>
      <c r="GM336" t="e">
        <f>'North America'!I307+"n/&gt;!1tc"</f>
        <v>#VALUE!</v>
      </c>
      <c r="GN336" t="e">
        <f>'North America'!A308+"n/&gt;!1td"</f>
        <v>#VALUE!</v>
      </c>
      <c r="GO336" t="e">
        <f>'North America'!B308+"n/&gt;!1te"</f>
        <v>#VALUE!</v>
      </c>
      <c r="GP336" t="e">
        <f>'North America'!C308+"n/&gt;!1tf"</f>
        <v>#VALUE!</v>
      </c>
      <c r="GQ336" t="e">
        <f>'North America'!D308+"n/&gt;!1tg"</f>
        <v>#VALUE!</v>
      </c>
      <c r="GR336" t="e">
        <f>'North America'!E308+"n/&gt;!1th"</f>
        <v>#VALUE!</v>
      </c>
      <c r="GS336" t="e">
        <f>'North America'!F308+"n/&gt;!1ti"</f>
        <v>#VALUE!</v>
      </c>
      <c r="GT336" t="e">
        <f>'North America'!G308+"n/&gt;!1tj"</f>
        <v>#VALUE!</v>
      </c>
      <c r="GU336" t="e">
        <f>'North America'!H308+"n/&gt;!1tk"</f>
        <v>#VALUE!</v>
      </c>
      <c r="GV336" t="e">
        <f>'North America'!I308+"n/&gt;!1tl"</f>
        <v>#VALUE!</v>
      </c>
      <c r="GW336" t="e">
        <f>'North America'!A309+"n/&gt;!1tm"</f>
        <v>#VALUE!</v>
      </c>
      <c r="GX336" t="e">
        <f>'North America'!B309+"n/&gt;!1tn"</f>
        <v>#VALUE!</v>
      </c>
      <c r="GY336" t="e">
        <f>'North America'!C309+"n/&gt;!1to"</f>
        <v>#VALUE!</v>
      </c>
      <c r="GZ336" t="e">
        <f>'North America'!D309+"n/&gt;!1tp"</f>
        <v>#VALUE!</v>
      </c>
      <c r="HA336" t="e">
        <f>'North America'!E309+"n/&gt;!1tq"</f>
        <v>#VALUE!</v>
      </c>
      <c r="HB336" t="e">
        <f>'North America'!F309+"n/&gt;!1tr"</f>
        <v>#VALUE!</v>
      </c>
      <c r="HC336" t="e">
        <f>'North America'!G309+"n/&gt;!1ts"</f>
        <v>#VALUE!</v>
      </c>
      <c r="HD336" t="e">
        <f>'North America'!H309+"n/&gt;!1tt"</f>
        <v>#VALUE!</v>
      </c>
      <c r="HE336" t="e">
        <f>'North America'!I309+"n/&gt;!1tu"</f>
        <v>#VALUE!</v>
      </c>
      <c r="HF336" t="e">
        <f>'North America'!A310+"n/&gt;!1tv"</f>
        <v>#VALUE!</v>
      </c>
      <c r="HG336" t="e">
        <f>'North America'!B310+"n/&gt;!1tw"</f>
        <v>#VALUE!</v>
      </c>
      <c r="HH336" t="e">
        <f>'North America'!C310+"n/&gt;!1tx"</f>
        <v>#VALUE!</v>
      </c>
      <c r="HI336" t="e">
        <f>'North America'!D310+"n/&gt;!1ty"</f>
        <v>#VALUE!</v>
      </c>
      <c r="HJ336" t="e">
        <f>'North America'!E310+"n/&gt;!1tz"</f>
        <v>#VALUE!</v>
      </c>
      <c r="HK336" t="e">
        <f>'North America'!F310+"n/&gt;!1t{"</f>
        <v>#VALUE!</v>
      </c>
      <c r="HL336" t="e">
        <f>'North America'!G310+"n/&gt;!1t|"</f>
        <v>#VALUE!</v>
      </c>
      <c r="HM336" t="e">
        <f>'North America'!H310+"n/&gt;!1t}"</f>
        <v>#VALUE!</v>
      </c>
      <c r="HN336" t="e">
        <f>'North America'!I310+"n/&gt;!1t~"</f>
        <v>#VALUE!</v>
      </c>
      <c r="HO336" t="e">
        <f>'North America'!A311+"n/&gt;!1u#"</f>
        <v>#VALUE!</v>
      </c>
      <c r="HP336" t="e">
        <f>'North America'!B311+"n/&gt;!1u$"</f>
        <v>#VALUE!</v>
      </c>
      <c r="HQ336" t="e">
        <f>'North America'!C311+"n/&gt;!1u%"</f>
        <v>#VALUE!</v>
      </c>
      <c r="HR336" t="e">
        <f>'North America'!D311+"n/&gt;!1u&amp;"</f>
        <v>#VALUE!</v>
      </c>
      <c r="HS336" t="e">
        <f>'North America'!E311+"n/&gt;!1u'"</f>
        <v>#VALUE!</v>
      </c>
      <c r="HT336" t="e">
        <f>'North America'!F311+"n/&gt;!1u("</f>
        <v>#VALUE!</v>
      </c>
      <c r="HU336" t="e">
        <f>'North America'!G311+"n/&gt;!1u)"</f>
        <v>#VALUE!</v>
      </c>
      <c r="HV336" t="e">
        <f>'North America'!H311+"n/&gt;!1u."</f>
        <v>#VALUE!</v>
      </c>
      <c r="HW336" t="e">
        <f>'North America'!I311+"n/&gt;!1u/"</f>
        <v>#VALUE!</v>
      </c>
      <c r="HX336" t="e">
        <f>'North America'!A312+"n/&gt;!1u0"</f>
        <v>#VALUE!</v>
      </c>
      <c r="HY336" t="e">
        <f>'North America'!B312+"n/&gt;!1u1"</f>
        <v>#VALUE!</v>
      </c>
      <c r="HZ336" t="e">
        <f>'North America'!C312+"n/&gt;!1u2"</f>
        <v>#VALUE!</v>
      </c>
      <c r="IA336" t="e">
        <f>'North America'!D312+"n/&gt;!1u3"</f>
        <v>#VALUE!</v>
      </c>
      <c r="IB336" t="e">
        <f>'North America'!E312+"n/&gt;!1u4"</f>
        <v>#VALUE!</v>
      </c>
      <c r="IC336" t="e">
        <f>'North America'!F312+"n/&gt;!1u5"</f>
        <v>#VALUE!</v>
      </c>
      <c r="ID336" t="e">
        <f>'North America'!G312+"n/&gt;!1u6"</f>
        <v>#VALUE!</v>
      </c>
      <c r="IE336" t="e">
        <f>'North America'!H312+"n/&gt;!1u7"</f>
        <v>#VALUE!</v>
      </c>
      <c r="IF336" t="e">
        <f>'North America'!I312+"n/&gt;!1u8"</f>
        <v>#VALUE!</v>
      </c>
      <c r="IG336" t="e">
        <f>'North America'!A313+"n/&gt;!1u9"</f>
        <v>#VALUE!</v>
      </c>
      <c r="IH336" t="e">
        <f>'North America'!B313+"n/&gt;!1u:"</f>
        <v>#VALUE!</v>
      </c>
      <c r="II336" t="e">
        <f>'North America'!C313+"n/&gt;!1u;"</f>
        <v>#VALUE!</v>
      </c>
      <c r="IJ336" t="e">
        <f>'North America'!D313+"n/&gt;!1u&lt;"</f>
        <v>#VALUE!</v>
      </c>
      <c r="IK336" t="e">
        <f>'North America'!E313+"n/&gt;!1u="</f>
        <v>#VALUE!</v>
      </c>
      <c r="IL336" t="e">
        <f>'North America'!F313+"n/&gt;!1u&gt;"</f>
        <v>#VALUE!</v>
      </c>
      <c r="IM336" t="e">
        <f>'North America'!G313+"n/&gt;!1u?"</f>
        <v>#VALUE!</v>
      </c>
      <c r="IN336" t="e">
        <f>'North America'!H313+"n/&gt;!1u@"</f>
        <v>#VALUE!</v>
      </c>
      <c r="IO336" t="e">
        <f>'North America'!I313+"n/&gt;!1uA"</f>
        <v>#VALUE!</v>
      </c>
      <c r="IP336" t="e">
        <f>'North America'!A314+"n/&gt;!1uB"</f>
        <v>#VALUE!</v>
      </c>
      <c r="IQ336" t="e">
        <f>'North America'!B314+"n/&gt;!1uC"</f>
        <v>#VALUE!</v>
      </c>
      <c r="IR336" t="e">
        <f>'North America'!C314+"n/&gt;!1uD"</f>
        <v>#VALUE!</v>
      </c>
      <c r="IS336" t="e">
        <f>'North America'!D314+"n/&gt;!1uE"</f>
        <v>#VALUE!</v>
      </c>
      <c r="IT336" t="e">
        <f>'North America'!E314+"n/&gt;!1uF"</f>
        <v>#VALUE!</v>
      </c>
      <c r="IU336" t="e">
        <f>'North America'!F314+"n/&gt;!1uG"</f>
        <v>#VALUE!</v>
      </c>
      <c r="IV336" t="e">
        <f>'North America'!G314+"n/&gt;!1uH"</f>
        <v>#VALUE!</v>
      </c>
    </row>
    <row r="337" spans="6:256" x14ac:dyDescent="0.35">
      <c r="F337" t="e">
        <f>'North America'!H314+"n/&gt;!1uI"</f>
        <v>#VALUE!</v>
      </c>
      <c r="G337" t="e">
        <f>'North America'!I314+"n/&gt;!1uJ"</f>
        <v>#VALUE!</v>
      </c>
      <c r="H337" t="e">
        <f>'North America'!A315+"n/&gt;!1uK"</f>
        <v>#VALUE!</v>
      </c>
      <c r="I337" t="e">
        <f>'North America'!B315+"n/&gt;!1uL"</f>
        <v>#VALUE!</v>
      </c>
      <c r="J337" t="e">
        <f>'North America'!C315+"n/&gt;!1uM"</f>
        <v>#VALUE!</v>
      </c>
      <c r="K337" t="e">
        <f>'North America'!D315+"n/&gt;!1uN"</f>
        <v>#VALUE!</v>
      </c>
      <c r="L337" t="e">
        <f>'North America'!E315+"n/&gt;!1uO"</f>
        <v>#VALUE!</v>
      </c>
      <c r="M337" t="e">
        <f>'North America'!F315+"n/&gt;!1uP"</f>
        <v>#VALUE!</v>
      </c>
      <c r="N337" t="e">
        <f>'North America'!G315+"n/&gt;!1uQ"</f>
        <v>#VALUE!</v>
      </c>
      <c r="O337" t="e">
        <f>'North America'!H315+"n/&gt;!1uR"</f>
        <v>#VALUE!</v>
      </c>
      <c r="P337" t="e">
        <f>'North America'!I315+"n/&gt;!1uS"</f>
        <v>#VALUE!</v>
      </c>
      <c r="Q337" t="e">
        <f>'North America'!A316+"n/&gt;!1uT"</f>
        <v>#VALUE!</v>
      </c>
      <c r="R337" t="e">
        <f>'North America'!B316+"n/&gt;!1uU"</f>
        <v>#VALUE!</v>
      </c>
      <c r="S337" t="e">
        <f>'North America'!C316+"n/&gt;!1uV"</f>
        <v>#VALUE!</v>
      </c>
      <c r="T337" t="e">
        <f>'North America'!D316+"n/&gt;!1uW"</f>
        <v>#VALUE!</v>
      </c>
      <c r="U337" t="e">
        <f>'North America'!E316+"n/&gt;!1uX"</f>
        <v>#VALUE!</v>
      </c>
      <c r="V337" t="e">
        <f>'North America'!F316+"n/&gt;!1uY"</f>
        <v>#VALUE!</v>
      </c>
      <c r="W337" t="e">
        <f>'North America'!G316+"n/&gt;!1uZ"</f>
        <v>#VALUE!</v>
      </c>
      <c r="X337" t="e">
        <f>'North America'!H316+"n/&gt;!1u["</f>
        <v>#VALUE!</v>
      </c>
      <c r="Y337" t="e">
        <f>'North America'!I316+"n/&gt;!1u\"</f>
        <v>#VALUE!</v>
      </c>
      <c r="Z337" t="e">
        <f>'North America'!A317+"n/&gt;!1u]"</f>
        <v>#VALUE!</v>
      </c>
      <c r="AA337" t="e">
        <f>'North America'!B317+"n/&gt;!1u^"</f>
        <v>#VALUE!</v>
      </c>
      <c r="AB337" t="e">
        <f>'North America'!C317+"n/&gt;!1u_"</f>
        <v>#VALUE!</v>
      </c>
      <c r="AC337" t="e">
        <f>'North America'!D317+"n/&gt;!1u`"</f>
        <v>#VALUE!</v>
      </c>
      <c r="AD337" t="e">
        <f>'North America'!E317+"n/&gt;!1ua"</f>
        <v>#VALUE!</v>
      </c>
      <c r="AE337" t="e">
        <f>'North America'!F317+"n/&gt;!1ub"</f>
        <v>#VALUE!</v>
      </c>
      <c r="AF337" t="e">
        <f>'North America'!G317+"n/&gt;!1uc"</f>
        <v>#VALUE!</v>
      </c>
      <c r="AG337" t="e">
        <f>'North America'!H317+"n/&gt;!1ud"</f>
        <v>#VALUE!</v>
      </c>
      <c r="AH337" t="e">
        <f>'North America'!I317+"n/&gt;!1ue"</f>
        <v>#VALUE!</v>
      </c>
      <c r="AI337" t="e">
        <f>'North America'!A318+"n/&gt;!1uf"</f>
        <v>#VALUE!</v>
      </c>
      <c r="AJ337" t="e">
        <f>'North America'!B318+"n/&gt;!1ug"</f>
        <v>#VALUE!</v>
      </c>
      <c r="AK337" t="e">
        <f>'North America'!C318+"n/&gt;!1uh"</f>
        <v>#VALUE!</v>
      </c>
      <c r="AL337" t="e">
        <f>'North America'!D318+"n/&gt;!1ui"</f>
        <v>#VALUE!</v>
      </c>
      <c r="AM337" t="e">
        <f>'North America'!E318+"n/&gt;!1uj"</f>
        <v>#VALUE!</v>
      </c>
      <c r="AN337" t="e">
        <f>'North America'!F318+"n/&gt;!1uk"</f>
        <v>#VALUE!</v>
      </c>
      <c r="AO337" t="e">
        <f>'North America'!G318+"n/&gt;!1ul"</f>
        <v>#VALUE!</v>
      </c>
      <c r="AP337" t="e">
        <f>'North America'!H318+"n/&gt;!1um"</f>
        <v>#VALUE!</v>
      </c>
      <c r="AQ337" t="e">
        <f>'North America'!I318+"n/&gt;!1un"</f>
        <v>#VALUE!</v>
      </c>
      <c r="AR337" t="e">
        <f>'North America'!A319+"n/&gt;!1uo"</f>
        <v>#VALUE!</v>
      </c>
      <c r="AS337" t="e">
        <f>'North America'!B319+"n/&gt;!1up"</f>
        <v>#VALUE!</v>
      </c>
      <c r="AT337" t="e">
        <f>'North America'!C319+"n/&gt;!1uq"</f>
        <v>#VALUE!</v>
      </c>
      <c r="AU337" t="e">
        <f>'North America'!D319+"n/&gt;!1ur"</f>
        <v>#VALUE!</v>
      </c>
      <c r="AV337" t="e">
        <f>'North America'!E319+"n/&gt;!1us"</f>
        <v>#VALUE!</v>
      </c>
      <c r="AW337" t="e">
        <f>'North America'!F319+"n/&gt;!1ut"</f>
        <v>#VALUE!</v>
      </c>
      <c r="AX337" t="e">
        <f>'North America'!G319+"n/&gt;!1uu"</f>
        <v>#VALUE!</v>
      </c>
      <c r="AY337" t="e">
        <f>'North America'!H319+"n/&gt;!1uv"</f>
        <v>#VALUE!</v>
      </c>
      <c r="AZ337" t="e">
        <f>'North America'!I319+"n/&gt;!1uw"</f>
        <v>#VALUE!</v>
      </c>
      <c r="BA337" t="e">
        <f>'North America'!A320+"n/&gt;!1ux"</f>
        <v>#VALUE!</v>
      </c>
      <c r="BB337" t="e">
        <f>'North America'!B320+"n/&gt;!1uy"</f>
        <v>#VALUE!</v>
      </c>
      <c r="BC337" t="e">
        <f>'North America'!C320+"n/&gt;!1uz"</f>
        <v>#VALUE!</v>
      </c>
      <c r="BD337" t="e">
        <f>'North America'!D320+"n/&gt;!1u{"</f>
        <v>#VALUE!</v>
      </c>
      <c r="BE337" t="e">
        <f>'North America'!E320+"n/&gt;!1u|"</f>
        <v>#VALUE!</v>
      </c>
      <c r="BF337" t="e">
        <f>'North America'!F320+"n/&gt;!1u}"</f>
        <v>#VALUE!</v>
      </c>
      <c r="BG337" t="e">
        <f>'North America'!G320+"n/&gt;!1u~"</f>
        <v>#VALUE!</v>
      </c>
      <c r="BH337" t="e">
        <f>'North America'!H320+"n/&gt;!1v#"</f>
        <v>#VALUE!</v>
      </c>
      <c r="BI337" t="e">
        <f>'North America'!I320+"n/&gt;!1v$"</f>
        <v>#VALUE!</v>
      </c>
      <c r="BJ337" t="e">
        <f>'North America'!A321+"n/&gt;!1v%"</f>
        <v>#VALUE!</v>
      </c>
      <c r="BK337" t="e">
        <f>'North America'!B321+"n/&gt;!1v&amp;"</f>
        <v>#VALUE!</v>
      </c>
      <c r="BL337" t="e">
        <f>'North America'!C321+"n/&gt;!1v'"</f>
        <v>#VALUE!</v>
      </c>
      <c r="BM337" t="e">
        <f>'North America'!D321+"n/&gt;!1v("</f>
        <v>#VALUE!</v>
      </c>
      <c r="BN337" t="e">
        <f>'North America'!E321+"n/&gt;!1v)"</f>
        <v>#VALUE!</v>
      </c>
      <c r="BO337" t="e">
        <f>'North America'!F321+"n/&gt;!1v."</f>
        <v>#VALUE!</v>
      </c>
      <c r="BP337" t="e">
        <f>'North America'!G321+"n/&gt;!1v/"</f>
        <v>#VALUE!</v>
      </c>
      <c r="BQ337" t="e">
        <f>'North America'!H321+"n/&gt;!1v0"</f>
        <v>#VALUE!</v>
      </c>
      <c r="BR337" t="e">
        <f>'North America'!I321+"n/&gt;!1v1"</f>
        <v>#VALUE!</v>
      </c>
      <c r="BS337" t="e">
        <f>'North America'!A322+"n/&gt;!1v2"</f>
        <v>#VALUE!</v>
      </c>
      <c r="BT337" t="e">
        <f>'North America'!B322+"n/&gt;!1v3"</f>
        <v>#VALUE!</v>
      </c>
      <c r="BU337" t="e">
        <f>'North America'!C322+"n/&gt;!1v4"</f>
        <v>#VALUE!</v>
      </c>
      <c r="BV337" t="e">
        <f>'North America'!D322+"n/&gt;!1v5"</f>
        <v>#VALUE!</v>
      </c>
      <c r="BW337" t="e">
        <f>'North America'!E322+"n/&gt;!1v6"</f>
        <v>#VALUE!</v>
      </c>
      <c r="BX337" t="e">
        <f>'North America'!F322+"n/&gt;!1v7"</f>
        <v>#VALUE!</v>
      </c>
      <c r="BY337" t="e">
        <f>'North America'!G322+"n/&gt;!1v8"</f>
        <v>#VALUE!</v>
      </c>
      <c r="BZ337" t="e">
        <f>'North America'!H322+"n/&gt;!1v9"</f>
        <v>#VALUE!</v>
      </c>
      <c r="CA337" t="e">
        <f>'North America'!I322+"n/&gt;!1v:"</f>
        <v>#VALUE!</v>
      </c>
      <c r="CB337" t="e">
        <f>'North America'!A323+"n/&gt;!1v;"</f>
        <v>#VALUE!</v>
      </c>
      <c r="CC337" t="e">
        <f>'North America'!B323+"n/&gt;!1v&lt;"</f>
        <v>#VALUE!</v>
      </c>
      <c r="CD337" t="e">
        <f>'North America'!C323+"n/&gt;!1v="</f>
        <v>#VALUE!</v>
      </c>
      <c r="CE337" t="e">
        <f>'North America'!D323+"n/&gt;!1v&gt;"</f>
        <v>#VALUE!</v>
      </c>
      <c r="CF337" t="e">
        <f>'North America'!E323+"n/&gt;!1v?"</f>
        <v>#VALUE!</v>
      </c>
      <c r="CG337" t="e">
        <f>'North America'!F323+"n/&gt;!1v@"</f>
        <v>#VALUE!</v>
      </c>
      <c r="CH337" t="e">
        <f>'North America'!G323+"n/&gt;!1vA"</f>
        <v>#VALUE!</v>
      </c>
      <c r="CI337" t="e">
        <f>'North America'!H323+"n/&gt;!1vB"</f>
        <v>#VALUE!</v>
      </c>
      <c r="CJ337" t="e">
        <f>'North America'!I323+"n/&gt;!1vC"</f>
        <v>#VALUE!</v>
      </c>
      <c r="CK337" t="e">
        <f>'North America'!A324+"n/&gt;!1vD"</f>
        <v>#VALUE!</v>
      </c>
      <c r="CL337" t="e">
        <f>'North America'!B324+"n/&gt;!1vE"</f>
        <v>#VALUE!</v>
      </c>
      <c r="CM337" t="e">
        <f>'North America'!C324+"n/&gt;!1vF"</f>
        <v>#VALUE!</v>
      </c>
      <c r="CN337" t="e">
        <f>'North America'!D324+"n/&gt;!1vG"</f>
        <v>#VALUE!</v>
      </c>
      <c r="CO337" t="e">
        <f>'North America'!E324+"n/&gt;!1vH"</f>
        <v>#VALUE!</v>
      </c>
      <c r="CP337" t="e">
        <f>'North America'!F324+"n/&gt;!1vI"</f>
        <v>#VALUE!</v>
      </c>
      <c r="CQ337" t="e">
        <f>'North America'!G324+"n/&gt;!1vJ"</f>
        <v>#VALUE!</v>
      </c>
      <c r="CR337" t="e">
        <f>'North America'!H324+"n/&gt;!1vK"</f>
        <v>#VALUE!</v>
      </c>
      <c r="CS337" t="e">
        <f>'North America'!I324+"n/&gt;!1vL"</f>
        <v>#VALUE!</v>
      </c>
      <c r="CT337" t="e">
        <f>'North America'!A325+"n/&gt;!1vM"</f>
        <v>#VALUE!</v>
      </c>
      <c r="CU337" t="e">
        <f>'North America'!B325+"n/&gt;!1vN"</f>
        <v>#VALUE!</v>
      </c>
      <c r="CV337" t="e">
        <f>'North America'!C325+"n/&gt;!1vO"</f>
        <v>#VALUE!</v>
      </c>
      <c r="CW337" t="e">
        <f>'North America'!D325+"n/&gt;!1vP"</f>
        <v>#VALUE!</v>
      </c>
      <c r="CX337" t="e">
        <f>'North America'!E325+"n/&gt;!1vQ"</f>
        <v>#VALUE!</v>
      </c>
      <c r="CY337" t="e">
        <f>'North America'!F325+"n/&gt;!1vR"</f>
        <v>#VALUE!</v>
      </c>
      <c r="CZ337" t="e">
        <f>'North America'!G325+"n/&gt;!1vS"</f>
        <v>#VALUE!</v>
      </c>
      <c r="DA337" t="e">
        <f>'North America'!H325+"n/&gt;!1vT"</f>
        <v>#VALUE!</v>
      </c>
      <c r="DB337" t="e">
        <f>'North America'!I325+"n/&gt;!1vU"</f>
        <v>#VALUE!</v>
      </c>
      <c r="DC337" t="e">
        <f>'North America'!A326+"n/&gt;!1vV"</f>
        <v>#VALUE!</v>
      </c>
      <c r="DD337" t="e">
        <f>'North America'!B326+"n/&gt;!1vW"</f>
        <v>#VALUE!</v>
      </c>
      <c r="DE337" t="e">
        <f>'North America'!C326+"n/&gt;!1vX"</f>
        <v>#VALUE!</v>
      </c>
      <c r="DF337" t="e">
        <f>'North America'!D326+"n/&gt;!1vY"</f>
        <v>#VALUE!</v>
      </c>
      <c r="DG337" t="e">
        <f>'North America'!E326+"n/&gt;!1vZ"</f>
        <v>#VALUE!</v>
      </c>
      <c r="DH337" t="e">
        <f>'North America'!F326+"n/&gt;!1v["</f>
        <v>#VALUE!</v>
      </c>
      <c r="DI337" t="e">
        <f>'North America'!G326+"n/&gt;!1v\"</f>
        <v>#VALUE!</v>
      </c>
      <c r="DJ337" t="e">
        <f>'North America'!H326+"n/&gt;!1v]"</f>
        <v>#VALUE!</v>
      </c>
      <c r="DK337" t="e">
        <f>'North America'!I326+"n/&gt;!1v^"</f>
        <v>#VALUE!</v>
      </c>
      <c r="DL337" t="e">
        <f>'North America'!A327+"n/&gt;!1v_"</f>
        <v>#VALUE!</v>
      </c>
      <c r="DM337" t="e">
        <f>'North America'!B327+"n/&gt;!1v`"</f>
        <v>#VALUE!</v>
      </c>
      <c r="DN337" t="e">
        <f>'North America'!C327+"n/&gt;!1va"</f>
        <v>#VALUE!</v>
      </c>
      <c r="DO337" t="e">
        <f>'North America'!D327+"n/&gt;!1vb"</f>
        <v>#VALUE!</v>
      </c>
      <c r="DP337" t="e">
        <f>'North America'!E327+"n/&gt;!1vc"</f>
        <v>#VALUE!</v>
      </c>
      <c r="DQ337" t="e">
        <f>'North America'!F327+"n/&gt;!1vd"</f>
        <v>#VALUE!</v>
      </c>
      <c r="DR337" t="e">
        <f>'North America'!G327+"n/&gt;!1ve"</f>
        <v>#VALUE!</v>
      </c>
      <c r="DS337" t="e">
        <f>'North America'!H327+"n/&gt;!1vf"</f>
        <v>#VALUE!</v>
      </c>
      <c r="DT337" t="e">
        <f>'North America'!I327+"n/&gt;!1vg"</f>
        <v>#VALUE!</v>
      </c>
      <c r="DU337" t="e">
        <f>'North America'!A328+"n/&gt;!1vh"</f>
        <v>#VALUE!</v>
      </c>
      <c r="DV337" t="e">
        <f>'North America'!B328+"n/&gt;!1vi"</f>
        <v>#VALUE!</v>
      </c>
      <c r="DW337" t="e">
        <f>'North America'!C328+"n/&gt;!1vj"</f>
        <v>#VALUE!</v>
      </c>
      <c r="DX337" t="e">
        <f>'North America'!D328+"n/&gt;!1vk"</f>
        <v>#VALUE!</v>
      </c>
      <c r="DY337" t="e">
        <f>'North America'!E328+"n/&gt;!1vl"</f>
        <v>#VALUE!</v>
      </c>
      <c r="DZ337" t="e">
        <f>'North America'!F328+"n/&gt;!1vm"</f>
        <v>#VALUE!</v>
      </c>
      <c r="EA337" t="e">
        <f>'North America'!G328+"n/&gt;!1vn"</f>
        <v>#VALUE!</v>
      </c>
      <c r="EB337" t="e">
        <f>'North America'!H328+"n/&gt;!1vo"</f>
        <v>#VALUE!</v>
      </c>
      <c r="EC337" t="e">
        <f>'North America'!I328+"n/&gt;!1vp"</f>
        <v>#VALUE!</v>
      </c>
      <c r="ED337" t="e">
        <f>'North America'!A329+"n/&gt;!1vq"</f>
        <v>#VALUE!</v>
      </c>
      <c r="EE337" t="e">
        <f>'North America'!B329+"n/&gt;!1vr"</f>
        <v>#VALUE!</v>
      </c>
      <c r="EF337" t="e">
        <f>'North America'!C329+"n/&gt;!1vs"</f>
        <v>#VALUE!</v>
      </c>
      <c r="EG337" t="e">
        <f>'North America'!D329+"n/&gt;!1vt"</f>
        <v>#VALUE!</v>
      </c>
      <c r="EH337" t="e">
        <f>'North America'!E329+"n/&gt;!1vu"</f>
        <v>#VALUE!</v>
      </c>
      <c r="EI337" t="e">
        <f>'North America'!F329+"n/&gt;!1vv"</f>
        <v>#VALUE!</v>
      </c>
      <c r="EJ337" t="e">
        <f>'North America'!G329+"n/&gt;!1vw"</f>
        <v>#VALUE!</v>
      </c>
      <c r="EK337" t="e">
        <f>'North America'!H329+"n/&gt;!1vx"</f>
        <v>#VALUE!</v>
      </c>
      <c r="EL337" t="e">
        <f>'North America'!I329+"n/&gt;!1vy"</f>
        <v>#VALUE!</v>
      </c>
      <c r="EM337" t="e">
        <f>'North America'!A330+"n/&gt;!1vz"</f>
        <v>#VALUE!</v>
      </c>
      <c r="EN337" t="e">
        <f>'North America'!B330+"n/&gt;!1v{"</f>
        <v>#VALUE!</v>
      </c>
      <c r="EO337" t="e">
        <f>'North America'!C330+"n/&gt;!1v|"</f>
        <v>#VALUE!</v>
      </c>
      <c r="EP337" t="e">
        <f>'North America'!D330+"n/&gt;!1v}"</f>
        <v>#VALUE!</v>
      </c>
      <c r="EQ337" t="e">
        <f>'North America'!E330+"n/&gt;!1v~"</f>
        <v>#VALUE!</v>
      </c>
      <c r="ER337" t="e">
        <f>'North America'!F330+"n/&gt;!1w#"</f>
        <v>#VALUE!</v>
      </c>
      <c r="ES337" t="e">
        <f>'North America'!G330+"n/&gt;!1w$"</f>
        <v>#VALUE!</v>
      </c>
      <c r="ET337" t="e">
        <f>'North America'!H330+"n/&gt;!1w%"</f>
        <v>#VALUE!</v>
      </c>
      <c r="EU337" t="e">
        <f>'North America'!I330+"n/&gt;!1w&amp;"</f>
        <v>#VALUE!</v>
      </c>
      <c r="EV337" t="e">
        <f>'North America'!A331+"n/&gt;!1w'"</f>
        <v>#VALUE!</v>
      </c>
      <c r="EW337" t="e">
        <f>'North America'!B331+"n/&gt;!1w("</f>
        <v>#VALUE!</v>
      </c>
      <c r="EX337" t="e">
        <f>'North America'!C331+"n/&gt;!1w)"</f>
        <v>#VALUE!</v>
      </c>
      <c r="EY337" t="e">
        <f>'North America'!D331+"n/&gt;!1w."</f>
        <v>#VALUE!</v>
      </c>
      <c r="EZ337" t="e">
        <f>'North America'!E331+"n/&gt;!1w/"</f>
        <v>#VALUE!</v>
      </c>
      <c r="FA337" t="e">
        <f>'North America'!F331+"n/&gt;!1w0"</f>
        <v>#VALUE!</v>
      </c>
      <c r="FB337" t="e">
        <f>'North America'!G331+"n/&gt;!1w1"</f>
        <v>#VALUE!</v>
      </c>
      <c r="FC337" t="e">
        <f>'North America'!H331+"n/&gt;!1w2"</f>
        <v>#VALUE!</v>
      </c>
      <c r="FD337" t="e">
        <f>'North America'!I331+"n/&gt;!1w3"</f>
        <v>#VALUE!</v>
      </c>
      <c r="FE337" t="e">
        <f>'North America'!A332+"n/&gt;!1w4"</f>
        <v>#VALUE!</v>
      </c>
      <c r="FF337" t="e">
        <f>'North America'!B332+"n/&gt;!1w5"</f>
        <v>#VALUE!</v>
      </c>
      <c r="FG337" t="e">
        <f>'North America'!C332+"n/&gt;!1w6"</f>
        <v>#VALUE!</v>
      </c>
      <c r="FH337" t="e">
        <f>'North America'!D332+"n/&gt;!1w7"</f>
        <v>#VALUE!</v>
      </c>
      <c r="FI337" t="e">
        <f>'North America'!E332+"n/&gt;!1w8"</f>
        <v>#VALUE!</v>
      </c>
      <c r="FJ337" t="e">
        <f>'North America'!F332+"n/&gt;!1w9"</f>
        <v>#VALUE!</v>
      </c>
      <c r="FK337" t="e">
        <f>'North America'!G332+"n/&gt;!1w:"</f>
        <v>#VALUE!</v>
      </c>
      <c r="FL337" t="e">
        <f>'North America'!H332+"n/&gt;!1w;"</f>
        <v>#VALUE!</v>
      </c>
      <c r="FM337" t="e">
        <f>'North America'!I332+"n/&gt;!1w&lt;"</f>
        <v>#VALUE!</v>
      </c>
      <c r="FN337" t="e">
        <f>'North America'!A333+"n/&gt;!1w="</f>
        <v>#VALUE!</v>
      </c>
      <c r="FO337" t="e">
        <f>'North America'!B333+"n/&gt;!1w&gt;"</f>
        <v>#VALUE!</v>
      </c>
      <c r="FP337" t="e">
        <f>'North America'!C333+"n/&gt;!1w?"</f>
        <v>#VALUE!</v>
      </c>
      <c r="FQ337" t="e">
        <f>'North America'!D333+"n/&gt;!1w@"</f>
        <v>#VALUE!</v>
      </c>
      <c r="FR337" t="e">
        <f>'North America'!E333+"n/&gt;!1wA"</f>
        <v>#VALUE!</v>
      </c>
      <c r="FS337" t="e">
        <f>'North America'!F333+"n/&gt;!1wB"</f>
        <v>#VALUE!</v>
      </c>
      <c r="FT337" t="e">
        <f>'North America'!G333+"n/&gt;!1wC"</f>
        <v>#VALUE!</v>
      </c>
      <c r="FU337" t="e">
        <f>'North America'!H333+"n/&gt;!1wD"</f>
        <v>#VALUE!</v>
      </c>
      <c r="FV337" t="e">
        <f>'North America'!I333+"n/&gt;!1wE"</f>
        <v>#VALUE!</v>
      </c>
      <c r="FW337" t="e">
        <f>'North America'!A334+"n/&gt;!1wF"</f>
        <v>#VALUE!</v>
      </c>
      <c r="FX337" t="e">
        <f>'North America'!B334+"n/&gt;!1wG"</f>
        <v>#VALUE!</v>
      </c>
      <c r="FY337" t="e">
        <f>'North America'!C334+"n/&gt;!1wH"</f>
        <v>#VALUE!</v>
      </c>
      <c r="FZ337" t="e">
        <f>'North America'!D334+"n/&gt;!1wI"</f>
        <v>#VALUE!</v>
      </c>
      <c r="GA337" t="e">
        <f>'North America'!E334+"n/&gt;!1wJ"</f>
        <v>#VALUE!</v>
      </c>
      <c r="GB337" t="e">
        <f>'North America'!F334+"n/&gt;!1wK"</f>
        <v>#VALUE!</v>
      </c>
      <c r="GC337" t="e">
        <f>'North America'!G334+"n/&gt;!1wL"</f>
        <v>#VALUE!</v>
      </c>
      <c r="GD337" t="e">
        <f>'North America'!H334+"n/&gt;!1wM"</f>
        <v>#VALUE!</v>
      </c>
      <c r="GE337" t="e">
        <f>'North America'!I334+"n/&gt;!1wN"</f>
        <v>#VALUE!</v>
      </c>
      <c r="GF337" t="e">
        <f>'North America'!A335+"n/&gt;!1wO"</f>
        <v>#VALUE!</v>
      </c>
      <c r="GG337" t="e">
        <f>'North America'!B335+"n/&gt;!1wP"</f>
        <v>#VALUE!</v>
      </c>
      <c r="GH337" t="e">
        <f>'North America'!C335+"n/&gt;!1wQ"</f>
        <v>#VALUE!</v>
      </c>
      <c r="GI337" t="e">
        <f>'North America'!D335+"n/&gt;!1wR"</f>
        <v>#VALUE!</v>
      </c>
      <c r="GJ337" t="e">
        <f>'North America'!E335+"n/&gt;!1wS"</f>
        <v>#VALUE!</v>
      </c>
      <c r="GK337" t="e">
        <f>'North America'!F335+"n/&gt;!1wT"</f>
        <v>#VALUE!</v>
      </c>
      <c r="GL337" t="e">
        <f>'North America'!G335+"n/&gt;!1wU"</f>
        <v>#VALUE!</v>
      </c>
      <c r="GM337" t="e">
        <f>'North America'!H335+"n/&gt;!1wV"</f>
        <v>#VALUE!</v>
      </c>
      <c r="GN337" t="e">
        <f>'North America'!I335+"n/&gt;!1wW"</f>
        <v>#VALUE!</v>
      </c>
      <c r="GO337" t="e">
        <f>'North America'!A336+"n/&gt;!1wX"</f>
        <v>#VALUE!</v>
      </c>
      <c r="GP337" t="e">
        <f>'North America'!B336+"n/&gt;!1wY"</f>
        <v>#VALUE!</v>
      </c>
      <c r="GQ337" t="e">
        <f>'North America'!C336+"n/&gt;!1wZ"</f>
        <v>#VALUE!</v>
      </c>
      <c r="GR337" t="e">
        <f>'North America'!D336+"n/&gt;!1w["</f>
        <v>#VALUE!</v>
      </c>
      <c r="GS337" t="e">
        <f>'North America'!E336+"n/&gt;!1w\"</f>
        <v>#VALUE!</v>
      </c>
      <c r="GT337" t="e">
        <f>'North America'!F336+"n/&gt;!1w]"</f>
        <v>#VALUE!</v>
      </c>
      <c r="GU337" t="e">
        <f>'North America'!G336+"n/&gt;!1w^"</f>
        <v>#VALUE!</v>
      </c>
      <c r="GV337" t="e">
        <f>'North America'!H336+"n/&gt;!1w_"</f>
        <v>#VALUE!</v>
      </c>
      <c r="GW337" t="e">
        <f>'North America'!I336+"n/&gt;!1w`"</f>
        <v>#VALUE!</v>
      </c>
      <c r="GX337" t="e">
        <f>'North America'!A337+"n/&gt;!1wa"</f>
        <v>#VALUE!</v>
      </c>
      <c r="GY337" t="e">
        <f>'North America'!B337+"n/&gt;!1wb"</f>
        <v>#VALUE!</v>
      </c>
      <c r="GZ337" t="e">
        <f>'North America'!C337+"n/&gt;!1wc"</f>
        <v>#VALUE!</v>
      </c>
      <c r="HA337" t="e">
        <f>'North America'!D337+"n/&gt;!1wd"</f>
        <v>#VALUE!</v>
      </c>
      <c r="HB337" t="e">
        <f>'North America'!E337+"n/&gt;!1we"</f>
        <v>#VALUE!</v>
      </c>
      <c r="HC337" t="e">
        <f>'North America'!F337+"n/&gt;!1wf"</f>
        <v>#VALUE!</v>
      </c>
      <c r="HD337" t="e">
        <f>'North America'!G337+"n/&gt;!1wg"</f>
        <v>#VALUE!</v>
      </c>
      <c r="HE337" t="e">
        <f>'North America'!H337+"n/&gt;!1wh"</f>
        <v>#VALUE!</v>
      </c>
      <c r="HF337" t="e">
        <f>'North America'!I337+"n/&gt;!1wi"</f>
        <v>#VALUE!</v>
      </c>
      <c r="HG337" t="e">
        <f>'North America'!A338+"n/&gt;!1wj"</f>
        <v>#VALUE!</v>
      </c>
      <c r="HH337" t="e">
        <f>'North America'!B338+"n/&gt;!1wk"</f>
        <v>#VALUE!</v>
      </c>
      <c r="HI337" t="e">
        <f>'North America'!C338+"n/&gt;!1wl"</f>
        <v>#VALUE!</v>
      </c>
      <c r="HJ337" t="e">
        <f>'North America'!D338+"n/&gt;!1wm"</f>
        <v>#VALUE!</v>
      </c>
      <c r="HK337" t="e">
        <f>'North America'!E338+"n/&gt;!1wn"</f>
        <v>#VALUE!</v>
      </c>
      <c r="HL337" t="e">
        <f>'North America'!F338+"n/&gt;!1wo"</f>
        <v>#VALUE!</v>
      </c>
      <c r="HM337" t="e">
        <f>'North America'!G338+"n/&gt;!1wp"</f>
        <v>#VALUE!</v>
      </c>
      <c r="HN337" t="e">
        <f>'North America'!H338+"n/&gt;!1wq"</f>
        <v>#VALUE!</v>
      </c>
      <c r="HO337" t="e">
        <f>'North America'!I338+"n/&gt;!1wr"</f>
        <v>#VALUE!</v>
      </c>
      <c r="HP337" t="e">
        <f>'North America'!A339+"n/&gt;!1ws"</f>
        <v>#VALUE!</v>
      </c>
      <c r="HQ337" t="e">
        <f>'North America'!B339+"n/&gt;!1wt"</f>
        <v>#VALUE!</v>
      </c>
      <c r="HR337" t="e">
        <f>'North America'!C339+"n/&gt;!1wu"</f>
        <v>#VALUE!</v>
      </c>
      <c r="HS337" t="e">
        <f>'North America'!D339+"n/&gt;!1wv"</f>
        <v>#VALUE!</v>
      </c>
      <c r="HT337" t="e">
        <f>'North America'!E339+"n/&gt;!1ww"</f>
        <v>#VALUE!</v>
      </c>
      <c r="HU337" t="e">
        <f>'North America'!F339+"n/&gt;!1wx"</f>
        <v>#VALUE!</v>
      </c>
      <c r="HV337" t="e">
        <f>'North America'!G339+"n/&gt;!1wy"</f>
        <v>#VALUE!</v>
      </c>
      <c r="HW337" t="e">
        <f>'North America'!H339+"n/&gt;!1wz"</f>
        <v>#VALUE!</v>
      </c>
      <c r="HX337" t="e">
        <f>'North America'!I339+"n/&gt;!1w{"</f>
        <v>#VALUE!</v>
      </c>
      <c r="HY337" t="e">
        <f>'North America'!A340+"n/&gt;!1w|"</f>
        <v>#VALUE!</v>
      </c>
      <c r="HZ337" t="e">
        <f>'North America'!B340+"n/&gt;!1w}"</f>
        <v>#VALUE!</v>
      </c>
      <c r="IA337" t="e">
        <f>'North America'!C340+"n/&gt;!1w~"</f>
        <v>#VALUE!</v>
      </c>
      <c r="IB337" t="e">
        <f>'North America'!D340+"n/&gt;!1x#"</f>
        <v>#VALUE!</v>
      </c>
      <c r="IC337" t="e">
        <f>'North America'!E340+"n/&gt;!1x$"</f>
        <v>#VALUE!</v>
      </c>
      <c r="ID337" t="e">
        <f>'North America'!F340+"n/&gt;!1x%"</f>
        <v>#VALUE!</v>
      </c>
      <c r="IE337" t="e">
        <f>'North America'!G340+"n/&gt;!1x&amp;"</f>
        <v>#VALUE!</v>
      </c>
      <c r="IF337" t="e">
        <f>'North America'!H340+"n/&gt;!1x'"</f>
        <v>#VALUE!</v>
      </c>
      <c r="IG337" t="e">
        <f>'North America'!I340+"n/&gt;!1x("</f>
        <v>#VALUE!</v>
      </c>
      <c r="IH337" t="e">
        <f>'North America'!A341+"n/&gt;!1x)"</f>
        <v>#VALUE!</v>
      </c>
      <c r="II337" t="e">
        <f>'North America'!B341+"n/&gt;!1x."</f>
        <v>#VALUE!</v>
      </c>
      <c r="IJ337" t="e">
        <f>'North America'!C341+"n/&gt;!1x/"</f>
        <v>#VALUE!</v>
      </c>
      <c r="IK337" t="e">
        <f>'North America'!D341+"n/&gt;!1x0"</f>
        <v>#VALUE!</v>
      </c>
      <c r="IL337" t="e">
        <f>'North America'!E341+"n/&gt;!1x1"</f>
        <v>#VALUE!</v>
      </c>
      <c r="IM337" t="e">
        <f>'North America'!F341+"n/&gt;!1x2"</f>
        <v>#VALUE!</v>
      </c>
      <c r="IN337" t="e">
        <f>'North America'!G341+"n/&gt;!1x3"</f>
        <v>#VALUE!</v>
      </c>
      <c r="IO337" t="e">
        <f>'North America'!H341+"n/&gt;!1x4"</f>
        <v>#VALUE!</v>
      </c>
      <c r="IP337" t="e">
        <f>'North America'!I341+"n/&gt;!1x5"</f>
        <v>#VALUE!</v>
      </c>
      <c r="IQ337" t="e">
        <f>'North America'!A342+"n/&gt;!1x6"</f>
        <v>#VALUE!</v>
      </c>
      <c r="IR337" t="e">
        <f>'North America'!B342+"n/&gt;!1x7"</f>
        <v>#VALUE!</v>
      </c>
      <c r="IS337" t="e">
        <f>'North America'!C342+"n/&gt;!1x8"</f>
        <v>#VALUE!</v>
      </c>
      <c r="IT337" t="e">
        <f>'North America'!D342+"n/&gt;!1x9"</f>
        <v>#VALUE!</v>
      </c>
      <c r="IU337" t="e">
        <f>'North America'!E342+"n/&gt;!1x:"</f>
        <v>#VALUE!</v>
      </c>
      <c r="IV337" t="e">
        <f>'North America'!F342+"n/&gt;!1x;"</f>
        <v>#VALUE!</v>
      </c>
    </row>
    <row r="338" spans="6:256" x14ac:dyDescent="0.35">
      <c r="F338" t="e">
        <f>'North America'!G342+"n/&gt;!1x&lt;"</f>
        <v>#VALUE!</v>
      </c>
      <c r="G338" t="e">
        <f>'North America'!H342+"n/&gt;!1x="</f>
        <v>#VALUE!</v>
      </c>
      <c r="H338" t="e">
        <f>'North America'!I342+"n/&gt;!1x&gt;"</f>
        <v>#VALUE!</v>
      </c>
      <c r="I338" t="e">
        <f>'North America'!A343+"n/&gt;!1x?"</f>
        <v>#VALUE!</v>
      </c>
      <c r="J338" t="e">
        <f>'North America'!B343+"n/&gt;!1x@"</f>
        <v>#VALUE!</v>
      </c>
      <c r="K338" t="e">
        <f>'North America'!C343+"n/&gt;!1xA"</f>
        <v>#VALUE!</v>
      </c>
      <c r="L338" t="e">
        <f>'North America'!D343+"n/&gt;!1xB"</f>
        <v>#VALUE!</v>
      </c>
      <c r="M338" t="e">
        <f>'North America'!E343+"n/&gt;!1xC"</f>
        <v>#VALUE!</v>
      </c>
      <c r="N338" t="e">
        <f>'North America'!F343+"n/&gt;!1xD"</f>
        <v>#VALUE!</v>
      </c>
      <c r="O338" t="e">
        <f>'North America'!G343+"n/&gt;!1xE"</f>
        <v>#VALUE!</v>
      </c>
      <c r="P338" t="e">
        <f>'North America'!H343+"n/&gt;!1xF"</f>
        <v>#VALUE!</v>
      </c>
      <c r="Q338" t="e">
        <f>'North America'!I343+"n/&gt;!1xG"</f>
        <v>#VALUE!</v>
      </c>
      <c r="R338" t="e">
        <f>'North America'!A344+"n/&gt;!1xH"</f>
        <v>#VALUE!</v>
      </c>
      <c r="S338" t="e">
        <f>'North America'!B344+"n/&gt;!1xI"</f>
        <v>#VALUE!</v>
      </c>
      <c r="T338" t="e">
        <f>'North America'!C344+"n/&gt;!1xJ"</f>
        <v>#VALUE!</v>
      </c>
      <c r="U338" t="e">
        <f>'North America'!D344+"n/&gt;!1xK"</f>
        <v>#VALUE!</v>
      </c>
      <c r="V338" t="e">
        <f>'North America'!E344+"n/&gt;!1xL"</f>
        <v>#VALUE!</v>
      </c>
      <c r="W338" t="e">
        <f>'North America'!F344+"n/&gt;!1xM"</f>
        <v>#VALUE!</v>
      </c>
      <c r="X338" t="e">
        <f>'North America'!G344+"n/&gt;!1xN"</f>
        <v>#VALUE!</v>
      </c>
      <c r="Y338" t="e">
        <f>'North America'!H344+"n/&gt;!1xO"</f>
        <v>#VALUE!</v>
      </c>
      <c r="Z338" t="e">
        <f>'North America'!I344+"n/&gt;!1xP"</f>
        <v>#VALUE!</v>
      </c>
      <c r="AA338" t="e">
        <f>'North America'!A345+"n/&gt;!1xQ"</f>
        <v>#VALUE!</v>
      </c>
      <c r="AB338" t="e">
        <f>'North America'!B345+"n/&gt;!1xR"</f>
        <v>#VALUE!</v>
      </c>
      <c r="AC338" t="e">
        <f>'North America'!C345+"n/&gt;!1xS"</f>
        <v>#VALUE!</v>
      </c>
      <c r="AD338" t="e">
        <f>'North America'!D345+"n/&gt;!1xT"</f>
        <v>#VALUE!</v>
      </c>
      <c r="AE338" t="e">
        <f>'North America'!E345+"n/&gt;!1xU"</f>
        <v>#VALUE!</v>
      </c>
      <c r="AF338" t="e">
        <f>'North America'!H345+"n/&gt;!1xV"</f>
        <v>#VALUE!</v>
      </c>
      <c r="AG338" t="e">
        <f>'North America'!I345+"n/&gt;!1xW"</f>
        <v>#VALUE!</v>
      </c>
      <c r="AH338" t="e">
        <f>'North America'!A346+"n/&gt;!1xX"</f>
        <v>#VALUE!</v>
      </c>
      <c r="AI338" t="e">
        <f>'North America'!B346+"n/&gt;!1xY"</f>
        <v>#VALUE!</v>
      </c>
      <c r="AJ338" t="e">
        <f>'North America'!C346+"n/&gt;!1xZ"</f>
        <v>#VALUE!</v>
      </c>
      <c r="AK338" t="e">
        <f>'North America'!D346+"n/&gt;!1x["</f>
        <v>#VALUE!</v>
      </c>
      <c r="AL338" t="e">
        <f>'North America'!E346+"n/&gt;!1x\"</f>
        <v>#VALUE!</v>
      </c>
      <c r="AM338" t="e">
        <f>'North America'!F346+"n/&gt;!1x]"</f>
        <v>#VALUE!</v>
      </c>
      <c r="AN338" t="e">
        <f>'North America'!G346+"n/&gt;!1x^"</f>
        <v>#VALUE!</v>
      </c>
      <c r="AO338" t="e">
        <f>'North America'!H346+"n/&gt;!1x_"</f>
        <v>#VALUE!</v>
      </c>
      <c r="AP338" t="e">
        <f>'North America'!I346+"n/&gt;!1x`"</f>
        <v>#VALUE!</v>
      </c>
      <c r="AQ338" t="e">
        <f>'North America'!A347+"n/&gt;!1xa"</f>
        <v>#VALUE!</v>
      </c>
      <c r="AR338" t="e">
        <f>'North America'!B347+"n/&gt;!1xb"</f>
        <v>#VALUE!</v>
      </c>
      <c r="AS338" t="e">
        <f>'North America'!C347+"n/&gt;!1xc"</f>
        <v>#VALUE!</v>
      </c>
      <c r="AT338" t="e">
        <f>'North America'!D347+"n/&gt;!1xd"</f>
        <v>#VALUE!</v>
      </c>
      <c r="AU338" t="e">
        <f>'North America'!E347+"n/&gt;!1xe"</f>
        <v>#VALUE!</v>
      </c>
      <c r="AV338" t="e">
        <f>'North America'!F347+"n/&gt;!1xf"</f>
        <v>#VALUE!</v>
      </c>
      <c r="AW338" t="e">
        <f>'North America'!G347+"n/&gt;!1xg"</f>
        <v>#VALUE!</v>
      </c>
      <c r="AX338" t="e">
        <f>'North America'!H347+"n/&gt;!1xh"</f>
        <v>#VALUE!</v>
      </c>
      <c r="AY338" t="e">
        <f>'North America'!I347+"n/&gt;!1xi"</f>
        <v>#VALUE!</v>
      </c>
      <c r="AZ338" t="e">
        <f>'North America'!A348+"n/&gt;!1xj"</f>
        <v>#VALUE!</v>
      </c>
      <c r="BA338" t="e">
        <f>'North America'!B348+"n/&gt;!1xk"</f>
        <v>#VALUE!</v>
      </c>
      <c r="BB338" t="e">
        <f>'North America'!C348+"n/&gt;!1xl"</f>
        <v>#VALUE!</v>
      </c>
      <c r="BC338" t="e">
        <f>'North America'!D348+"n/&gt;!1xm"</f>
        <v>#VALUE!</v>
      </c>
      <c r="BD338" t="e">
        <f>'North America'!E348+"n/&gt;!1xn"</f>
        <v>#VALUE!</v>
      </c>
      <c r="BE338" t="e">
        <f>'North America'!F348+"n/&gt;!1xo"</f>
        <v>#VALUE!</v>
      </c>
      <c r="BF338" t="e">
        <f>'North America'!G348+"n/&gt;!1xp"</f>
        <v>#VALUE!</v>
      </c>
      <c r="BG338" t="e">
        <f>'North America'!H348+"n/&gt;!1xq"</f>
        <v>#VALUE!</v>
      </c>
      <c r="BH338" t="e">
        <f>'North America'!I348+"n/&gt;!1xr"</f>
        <v>#VALUE!</v>
      </c>
      <c r="BI338" t="e">
        <f>'North America'!A349+"n/&gt;!1xs"</f>
        <v>#VALUE!</v>
      </c>
      <c r="BJ338" t="e">
        <f>'North America'!B349+"n/&gt;!1xt"</f>
        <v>#VALUE!</v>
      </c>
      <c r="BK338" t="e">
        <f>'North America'!C349+"n/&gt;!1xu"</f>
        <v>#VALUE!</v>
      </c>
      <c r="BL338" t="e">
        <f>'North America'!D349+"n/&gt;!1xv"</f>
        <v>#VALUE!</v>
      </c>
      <c r="BM338" t="e">
        <f>'North America'!E349+"n/&gt;!1xw"</f>
        <v>#VALUE!</v>
      </c>
      <c r="BN338" t="e">
        <f>'North America'!F349+"n/&gt;!1xx"</f>
        <v>#VALUE!</v>
      </c>
      <c r="BO338" t="e">
        <f>'North America'!G349+"n/&gt;!1xy"</f>
        <v>#VALUE!</v>
      </c>
      <c r="BP338" t="e">
        <f>'North America'!H349+"n/&gt;!1xz"</f>
        <v>#VALUE!</v>
      </c>
      <c r="BQ338" t="e">
        <f>'North America'!I349+"n/&gt;!1x{"</f>
        <v>#VALUE!</v>
      </c>
      <c r="BR338" t="e">
        <f>'North America'!A350+"n/&gt;!1x|"</f>
        <v>#VALUE!</v>
      </c>
      <c r="BS338" t="e">
        <f>'North America'!B350+"n/&gt;!1x}"</f>
        <v>#VALUE!</v>
      </c>
      <c r="BT338" t="e">
        <f>'North America'!C350+"n/&gt;!1x~"</f>
        <v>#VALUE!</v>
      </c>
      <c r="BU338" t="e">
        <f>'North America'!D350+"n/&gt;!1y#"</f>
        <v>#VALUE!</v>
      </c>
      <c r="BV338" t="e">
        <f>'North America'!E350+"n/&gt;!1y$"</f>
        <v>#VALUE!</v>
      </c>
      <c r="BW338" t="e">
        <f>'North America'!F350+"n/&gt;!1y%"</f>
        <v>#VALUE!</v>
      </c>
      <c r="BX338" t="e">
        <f>'North America'!G350+"n/&gt;!1y&amp;"</f>
        <v>#VALUE!</v>
      </c>
      <c r="BY338" t="e">
        <f>'North America'!H350+"n/&gt;!1y'"</f>
        <v>#VALUE!</v>
      </c>
      <c r="BZ338" t="e">
        <f>'North America'!I350+"n/&gt;!1y("</f>
        <v>#VALUE!</v>
      </c>
      <c r="CA338" t="e">
        <f>'North America'!A351+"n/&gt;!1y)"</f>
        <v>#VALUE!</v>
      </c>
      <c r="CB338" t="e">
        <f>'North America'!B351+"n/&gt;!1y."</f>
        <v>#VALUE!</v>
      </c>
      <c r="CC338" t="e">
        <f>'North America'!C351+"n/&gt;!1y/"</f>
        <v>#VALUE!</v>
      </c>
      <c r="CD338" t="e">
        <f>'North America'!D351+"n/&gt;!1y0"</f>
        <v>#VALUE!</v>
      </c>
      <c r="CE338" t="e">
        <f>'North America'!E351+"n/&gt;!1y1"</f>
        <v>#VALUE!</v>
      </c>
      <c r="CF338" t="e">
        <f>'North America'!F351+"n/&gt;!1y2"</f>
        <v>#VALUE!</v>
      </c>
      <c r="CG338" t="e">
        <f>'North America'!G351+"n/&gt;!1y3"</f>
        <v>#VALUE!</v>
      </c>
      <c r="CH338" t="e">
        <f>'North America'!H351+"n/&gt;!1y4"</f>
        <v>#VALUE!</v>
      </c>
      <c r="CI338" t="e">
        <f>'North America'!I351+"n/&gt;!1y5"</f>
        <v>#VALUE!</v>
      </c>
      <c r="CJ338" t="e">
        <f>'North America'!A352+"n/&gt;!1y6"</f>
        <v>#VALUE!</v>
      </c>
      <c r="CK338" t="e">
        <f>'North America'!B352+"n/&gt;!1y7"</f>
        <v>#VALUE!</v>
      </c>
      <c r="CL338" t="e">
        <f>'North America'!C352+"n/&gt;!1y8"</f>
        <v>#VALUE!</v>
      </c>
      <c r="CM338" t="e">
        <f>'North America'!D352+"n/&gt;!1y9"</f>
        <v>#VALUE!</v>
      </c>
      <c r="CN338" t="e">
        <f>'North America'!E352+"n/&gt;!1y:"</f>
        <v>#VALUE!</v>
      </c>
      <c r="CO338" t="e">
        <f>'North America'!F352+"n/&gt;!1y;"</f>
        <v>#VALUE!</v>
      </c>
      <c r="CP338" t="e">
        <f>'North America'!G352+"n/&gt;!1y&lt;"</f>
        <v>#VALUE!</v>
      </c>
      <c r="CQ338" t="e">
        <f>'North America'!H352+"n/&gt;!1y="</f>
        <v>#VALUE!</v>
      </c>
      <c r="CR338" t="e">
        <f>'North America'!I352+"n/&gt;!1y&gt;"</f>
        <v>#VALUE!</v>
      </c>
      <c r="CS338" t="e">
        <f>'North America'!A353+"n/&gt;!1y?"</f>
        <v>#VALUE!</v>
      </c>
      <c r="CT338" t="e">
        <f>'North America'!B353+"n/&gt;!1y@"</f>
        <v>#VALUE!</v>
      </c>
      <c r="CU338" t="e">
        <f>'North America'!C353+"n/&gt;!1yA"</f>
        <v>#VALUE!</v>
      </c>
      <c r="CV338" t="e">
        <f>'North America'!D353+"n/&gt;!1yB"</f>
        <v>#VALUE!</v>
      </c>
      <c r="CW338" t="e">
        <f>'North America'!E353+"n/&gt;!1yC"</f>
        <v>#VALUE!</v>
      </c>
      <c r="CX338" t="e">
        <f>'North America'!F353+"n/&gt;!1yD"</f>
        <v>#VALUE!</v>
      </c>
      <c r="CY338" t="e">
        <f>'North America'!G353+"n/&gt;!1yE"</f>
        <v>#VALUE!</v>
      </c>
      <c r="CZ338" t="e">
        <f>'North America'!H353+"n/&gt;!1yF"</f>
        <v>#VALUE!</v>
      </c>
      <c r="DA338" t="e">
        <f>'North America'!I353+"n/&gt;!1yG"</f>
        <v>#VALUE!</v>
      </c>
      <c r="DB338" t="e">
        <f>'North America'!A354+"n/&gt;!1yH"</f>
        <v>#VALUE!</v>
      </c>
      <c r="DC338" t="e">
        <f>'North America'!B354+"n/&gt;!1yI"</f>
        <v>#VALUE!</v>
      </c>
      <c r="DD338" t="e">
        <f>'North America'!C354+"n/&gt;!1yJ"</f>
        <v>#VALUE!</v>
      </c>
      <c r="DE338" t="e">
        <f>'North America'!D354+"n/&gt;!1yK"</f>
        <v>#VALUE!</v>
      </c>
      <c r="DF338" t="e">
        <f>'North America'!E354+"n/&gt;!1yL"</f>
        <v>#VALUE!</v>
      </c>
      <c r="DG338" t="e">
        <f>'North America'!F354+"n/&gt;!1yM"</f>
        <v>#VALUE!</v>
      </c>
      <c r="DH338" t="e">
        <f>'North America'!G354+"n/&gt;!1yN"</f>
        <v>#VALUE!</v>
      </c>
      <c r="DI338" t="e">
        <f>'North America'!H354+"n/&gt;!1yO"</f>
        <v>#VALUE!</v>
      </c>
      <c r="DJ338" t="e">
        <f>'North America'!I354+"n/&gt;!1yP"</f>
        <v>#VALUE!</v>
      </c>
      <c r="DK338" t="e">
        <f>'North America'!A355+"n/&gt;!1yQ"</f>
        <v>#VALUE!</v>
      </c>
      <c r="DL338" t="e">
        <f>'North America'!B355+"n/&gt;!1yR"</f>
        <v>#VALUE!</v>
      </c>
      <c r="DM338" t="e">
        <f>'North America'!C355+"n/&gt;!1yS"</f>
        <v>#VALUE!</v>
      </c>
      <c r="DN338" t="e">
        <f>'North America'!D355+"n/&gt;!1yT"</f>
        <v>#VALUE!</v>
      </c>
      <c r="DO338" t="e">
        <f>'North America'!E355+"n/&gt;!1yU"</f>
        <v>#VALUE!</v>
      </c>
      <c r="DP338" t="e">
        <f>'North America'!F355+"n/&gt;!1yV"</f>
        <v>#VALUE!</v>
      </c>
      <c r="DQ338" t="e">
        <f>'North America'!G355+"n/&gt;!1yW"</f>
        <v>#VALUE!</v>
      </c>
      <c r="DR338" t="e">
        <f>'North America'!H355+"n/&gt;!1yX"</f>
        <v>#VALUE!</v>
      </c>
      <c r="DS338" t="e">
        <f>'North America'!I355+"n/&gt;!1yY"</f>
        <v>#VALUE!</v>
      </c>
      <c r="DT338" t="e">
        <f>'North America'!A356+"n/&gt;!1yZ"</f>
        <v>#VALUE!</v>
      </c>
      <c r="DU338" t="e">
        <f>'North America'!B356+"n/&gt;!1y["</f>
        <v>#VALUE!</v>
      </c>
      <c r="DV338" t="e">
        <f>'North America'!C356+"n/&gt;!1y\"</f>
        <v>#VALUE!</v>
      </c>
      <c r="DW338" t="e">
        <f>'North America'!D356+"n/&gt;!1y]"</f>
        <v>#VALUE!</v>
      </c>
      <c r="DX338" t="e">
        <f>'North America'!E356+"n/&gt;!1y^"</f>
        <v>#VALUE!</v>
      </c>
      <c r="DY338" t="e">
        <f>'North America'!F356+"n/&gt;!1y_"</f>
        <v>#VALUE!</v>
      </c>
      <c r="DZ338" t="e">
        <f>'North America'!G356+"n/&gt;!1y`"</f>
        <v>#VALUE!</v>
      </c>
      <c r="EA338" t="e">
        <f>'North America'!H356+"n/&gt;!1ya"</f>
        <v>#VALUE!</v>
      </c>
      <c r="EB338" t="e">
        <f>'North America'!I356+"n/&gt;!1yb"</f>
        <v>#VALUE!</v>
      </c>
      <c r="EC338" t="e">
        <f>'North America'!A357+"n/&gt;!1yc"</f>
        <v>#VALUE!</v>
      </c>
      <c r="ED338" t="e">
        <f>'North America'!B357+"n/&gt;!1yd"</f>
        <v>#VALUE!</v>
      </c>
      <c r="EE338" t="e">
        <f>'North America'!C357+"n/&gt;!1ye"</f>
        <v>#VALUE!</v>
      </c>
      <c r="EF338" t="e">
        <f>'North America'!D357+"n/&gt;!1yf"</f>
        <v>#VALUE!</v>
      </c>
      <c r="EG338" t="e">
        <f>'North America'!E357+"n/&gt;!1yg"</f>
        <v>#VALUE!</v>
      </c>
      <c r="EH338" t="e">
        <f>'North America'!F357+"n/&gt;!1yh"</f>
        <v>#VALUE!</v>
      </c>
      <c r="EI338" t="e">
        <f>'North America'!G357+"n/&gt;!1yi"</f>
        <v>#VALUE!</v>
      </c>
      <c r="EJ338" t="e">
        <f>'North America'!H357+"n/&gt;!1yj"</f>
        <v>#VALUE!</v>
      </c>
      <c r="EK338" t="e">
        <f>'North America'!I357+"n/&gt;!1yk"</f>
        <v>#VALUE!</v>
      </c>
      <c r="EL338" t="e">
        <f>'North America'!A358+"n/&gt;!1yl"</f>
        <v>#VALUE!</v>
      </c>
      <c r="EM338" t="e">
        <f>'North America'!B358+"n/&gt;!1ym"</f>
        <v>#VALUE!</v>
      </c>
      <c r="EN338" t="e">
        <f>'North America'!C358+"n/&gt;!1yn"</f>
        <v>#VALUE!</v>
      </c>
      <c r="EO338" t="e">
        <f>'North America'!D358+"n/&gt;!1yo"</f>
        <v>#VALUE!</v>
      </c>
      <c r="EP338" t="e">
        <f>'North America'!E358+"n/&gt;!1yp"</f>
        <v>#VALUE!</v>
      </c>
      <c r="EQ338" t="e">
        <f>'North America'!F358+"n/&gt;!1yq"</f>
        <v>#VALUE!</v>
      </c>
      <c r="ER338" t="e">
        <f>'North America'!G358+"n/&gt;!1yr"</f>
        <v>#VALUE!</v>
      </c>
      <c r="ES338" t="e">
        <f>'North America'!H358+"n/&gt;!1ys"</f>
        <v>#VALUE!</v>
      </c>
      <c r="ET338" t="e">
        <f>'North America'!I358+"n/&gt;!1yt"</f>
        <v>#VALUE!</v>
      </c>
      <c r="EU338" t="e">
        <f>'North America'!A359+"n/&gt;!1yu"</f>
        <v>#VALUE!</v>
      </c>
      <c r="EV338" t="e">
        <f>'North America'!B359+"n/&gt;!1yv"</f>
        <v>#VALUE!</v>
      </c>
      <c r="EW338" t="e">
        <f>'North America'!C359+"n/&gt;!1yw"</f>
        <v>#VALUE!</v>
      </c>
      <c r="EX338" t="e">
        <f>'North America'!D359+"n/&gt;!1yx"</f>
        <v>#VALUE!</v>
      </c>
      <c r="EY338" t="e">
        <f>'North America'!E359+"n/&gt;!1yy"</f>
        <v>#VALUE!</v>
      </c>
      <c r="EZ338" t="e">
        <f>'North America'!F359+"n/&gt;!1yz"</f>
        <v>#VALUE!</v>
      </c>
      <c r="FA338" t="e">
        <f>'North America'!G359+"n/&gt;!1y{"</f>
        <v>#VALUE!</v>
      </c>
      <c r="FB338" t="e">
        <f>'North America'!H359+"n/&gt;!1y|"</f>
        <v>#VALUE!</v>
      </c>
      <c r="FC338" t="e">
        <f>'North America'!I359+"n/&gt;!1y}"</f>
        <v>#VALUE!</v>
      </c>
      <c r="FD338" t="e">
        <f>'North America'!A360+"n/&gt;!1y~"</f>
        <v>#VALUE!</v>
      </c>
      <c r="FE338" t="e">
        <f>'North America'!B360+"n/&gt;!1z#"</f>
        <v>#VALUE!</v>
      </c>
      <c r="FF338" t="e">
        <f>'North America'!C360+"n/&gt;!1z$"</f>
        <v>#VALUE!</v>
      </c>
      <c r="FG338" t="e">
        <f>'North America'!D360+"n/&gt;!1z%"</f>
        <v>#VALUE!</v>
      </c>
      <c r="FH338" t="e">
        <f>'North America'!E360+"n/&gt;!1z&amp;"</f>
        <v>#VALUE!</v>
      </c>
      <c r="FI338" t="e">
        <f>'North America'!F360+"n/&gt;!1z'"</f>
        <v>#VALUE!</v>
      </c>
      <c r="FJ338" t="e">
        <f>'North America'!G360+"n/&gt;!1z("</f>
        <v>#VALUE!</v>
      </c>
      <c r="FK338" t="e">
        <f>'North America'!H360+"n/&gt;!1z)"</f>
        <v>#VALUE!</v>
      </c>
      <c r="FL338" t="e">
        <f>'North America'!I360+"n/&gt;!1z."</f>
        <v>#VALUE!</v>
      </c>
      <c r="FM338" t="e">
        <f>'North America'!A361+"n/&gt;!1z/"</f>
        <v>#VALUE!</v>
      </c>
      <c r="FN338" t="e">
        <f>'North America'!B361+"n/&gt;!1z0"</f>
        <v>#VALUE!</v>
      </c>
      <c r="FO338" t="e">
        <f>'North America'!C361+"n/&gt;!1z1"</f>
        <v>#VALUE!</v>
      </c>
      <c r="FP338" t="e">
        <f>'North America'!D361+"n/&gt;!1z2"</f>
        <v>#VALUE!</v>
      </c>
      <c r="FQ338" t="e">
        <f>'North America'!E361+"n/&gt;!1z3"</f>
        <v>#VALUE!</v>
      </c>
      <c r="FR338" t="e">
        <f>'North America'!F361+"n/&gt;!1z4"</f>
        <v>#VALUE!</v>
      </c>
      <c r="FS338" t="e">
        <f>'North America'!G361+"n/&gt;!1z5"</f>
        <v>#VALUE!</v>
      </c>
      <c r="FT338" t="e">
        <f>'North America'!H361+"n/&gt;!1z6"</f>
        <v>#VALUE!</v>
      </c>
      <c r="FU338" t="e">
        <f>'North America'!I361+"n/&gt;!1z7"</f>
        <v>#VALUE!</v>
      </c>
      <c r="FV338" t="e">
        <f>'North America'!A362+"n/&gt;!1z8"</f>
        <v>#VALUE!</v>
      </c>
      <c r="FW338" t="e">
        <f>'North America'!B362+"n/&gt;!1z9"</f>
        <v>#VALUE!</v>
      </c>
      <c r="FX338" t="e">
        <f>'North America'!C362+"n/&gt;!1z:"</f>
        <v>#VALUE!</v>
      </c>
      <c r="FY338" t="e">
        <f>'North America'!D362+"n/&gt;!1z;"</f>
        <v>#VALUE!</v>
      </c>
      <c r="FZ338" t="e">
        <f>'North America'!E362+"n/&gt;!1z&lt;"</f>
        <v>#VALUE!</v>
      </c>
      <c r="GA338" t="e">
        <f>'North America'!F362+"n/&gt;!1z="</f>
        <v>#VALUE!</v>
      </c>
      <c r="GB338" t="e">
        <f>'North America'!G362+"n/&gt;!1z&gt;"</f>
        <v>#VALUE!</v>
      </c>
      <c r="GC338" t="e">
        <f>'North America'!H362+"n/&gt;!1z?"</f>
        <v>#VALUE!</v>
      </c>
      <c r="GD338" t="e">
        <f>'North America'!I362+"n/&gt;!1z@"</f>
        <v>#VALUE!</v>
      </c>
      <c r="GE338" t="e">
        <f>'North America'!A363+"n/&gt;!1zA"</f>
        <v>#VALUE!</v>
      </c>
      <c r="GF338" t="e">
        <f>'North America'!B363+"n/&gt;!1zB"</f>
        <v>#VALUE!</v>
      </c>
      <c r="GG338" t="e">
        <f>'North America'!C363+"n/&gt;!1zC"</f>
        <v>#VALUE!</v>
      </c>
      <c r="GH338" t="e">
        <f>'North America'!D363+"n/&gt;!1zD"</f>
        <v>#VALUE!</v>
      </c>
      <c r="GI338" t="e">
        <f>'North America'!E363+"n/&gt;!1zE"</f>
        <v>#VALUE!</v>
      </c>
      <c r="GJ338" t="e">
        <f>'North America'!F363+"n/&gt;!1zF"</f>
        <v>#VALUE!</v>
      </c>
      <c r="GK338" t="e">
        <f>'North America'!G363+"n/&gt;!1zG"</f>
        <v>#VALUE!</v>
      </c>
      <c r="GL338" t="e">
        <f>'North America'!H363+"n/&gt;!1zH"</f>
        <v>#VALUE!</v>
      </c>
      <c r="GM338" t="e">
        <f>'North America'!I363+"n/&gt;!1zI"</f>
        <v>#VALUE!</v>
      </c>
      <c r="GN338" t="e">
        <f>'North America'!A364+"n/&gt;!1zJ"</f>
        <v>#VALUE!</v>
      </c>
      <c r="GO338" t="e">
        <f>'North America'!B364+"n/&gt;!1zK"</f>
        <v>#VALUE!</v>
      </c>
      <c r="GP338" t="e">
        <f>'North America'!C364+"n/&gt;!1zL"</f>
        <v>#VALUE!</v>
      </c>
      <c r="GQ338" t="e">
        <f>'North America'!D364+"n/&gt;!1zM"</f>
        <v>#VALUE!</v>
      </c>
      <c r="GR338" t="e">
        <f>'North America'!E364+"n/&gt;!1zN"</f>
        <v>#VALUE!</v>
      </c>
      <c r="GS338" t="e">
        <f>'North America'!F364+"n/&gt;!1zO"</f>
        <v>#VALUE!</v>
      </c>
      <c r="GT338" t="e">
        <f>'North America'!G364+"n/&gt;!1zP"</f>
        <v>#VALUE!</v>
      </c>
      <c r="GU338" t="e">
        <f>'North America'!H364+"n/&gt;!1zQ"</f>
        <v>#VALUE!</v>
      </c>
      <c r="GV338" t="e">
        <f>'North America'!I364+"n/&gt;!1zR"</f>
        <v>#VALUE!</v>
      </c>
      <c r="GW338" t="e">
        <f>'North America'!A365+"n/&gt;!1zS"</f>
        <v>#VALUE!</v>
      </c>
      <c r="GX338" t="e">
        <f>'North America'!B365+"n/&gt;!1zT"</f>
        <v>#VALUE!</v>
      </c>
      <c r="GY338" t="e">
        <f>'North America'!C365+"n/&gt;!1zU"</f>
        <v>#VALUE!</v>
      </c>
      <c r="GZ338" t="e">
        <f>'North America'!D365+"n/&gt;!1zV"</f>
        <v>#VALUE!</v>
      </c>
      <c r="HA338" t="e">
        <f>'North America'!E365+"n/&gt;!1zW"</f>
        <v>#VALUE!</v>
      </c>
      <c r="HB338" t="e">
        <f>'North America'!F365+"n/&gt;!1zX"</f>
        <v>#VALUE!</v>
      </c>
      <c r="HC338" t="e">
        <f>'North America'!G365+"n/&gt;!1zY"</f>
        <v>#VALUE!</v>
      </c>
      <c r="HD338" t="e">
        <f>'North America'!H365+"n/&gt;!1zZ"</f>
        <v>#VALUE!</v>
      </c>
      <c r="HE338" t="e">
        <f>'North America'!I365+"n/&gt;!1z["</f>
        <v>#VALUE!</v>
      </c>
      <c r="HF338" t="e">
        <f>'North America'!A366+"n/&gt;!1z\"</f>
        <v>#VALUE!</v>
      </c>
      <c r="HG338" t="e">
        <f>'North America'!B366+"n/&gt;!1z]"</f>
        <v>#VALUE!</v>
      </c>
      <c r="HH338" t="e">
        <f>'North America'!C366+"n/&gt;!1z^"</f>
        <v>#VALUE!</v>
      </c>
      <c r="HI338" t="e">
        <f>'North America'!D366+"n/&gt;!1z_"</f>
        <v>#VALUE!</v>
      </c>
      <c r="HJ338" t="e">
        <f>'North America'!E366+"n/&gt;!1z`"</f>
        <v>#VALUE!</v>
      </c>
      <c r="HK338" t="e">
        <f>'North America'!F366+"n/&gt;!1za"</f>
        <v>#VALUE!</v>
      </c>
      <c r="HL338" t="e">
        <f>'North America'!G366+"n/&gt;!1zb"</f>
        <v>#VALUE!</v>
      </c>
      <c r="HM338" t="e">
        <f>'North America'!H366+"n/&gt;!1zc"</f>
        <v>#VALUE!</v>
      </c>
      <c r="HN338" t="e">
        <f>'North America'!I366+"n/&gt;!1zd"</f>
        <v>#VALUE!</v>
      </c>
      <c r="HO338" t="e">
        <f>'North America'!A367+"n/&gt;!1ze"</f>
        <v>#VALUE!</v>
      </c>
      <c r="HP338" t="e">
        <f>'North America'!B367+"n/&gt;!1zf"</f>
        <v>#VALUE!</v>
      </c>
      <c r="HQ338" t="e">
        <f>'North America'!C367+"n/&gt;!1zg"</f>
        <v>#VALUE!</v>
      </c>
      <c r="HR338" t="e">
        <f>'North America'!D367+"n/&gt;!1zh"</f>
        <v>#VALUE!</v>
      </c>
      <c r="HS338" t="e">
        <f>'North America'!E367+"n/&gt;!1zi"</f>
        <v>#VALUE!</v>
      </c>
      <c r="HT338" t="e">
        <f>'North America'!F367+"n/&gt;!1zj"</f>
        <v>#VALUE!</v>
      </c>
      <c r="HU338" t="e">
        <f>'North America'!G367+"n/&gt;!1zk"</f>
        <v>#VALUE!</v>
      </c>
      <c r="HV338" t="e">
        <f>'North America'!H367+"n/&gt;!1zl"</f>
        <v>#VALUE!</v>
      </c>
      <c r="HW338" t="e">
        <f>'North America'!I367+"n/&gt;!1zm"</f>
        <v>#VALUE!</v>
      </c>
      <c r="HX338" t="e">
        <f>'North America'!A368+"n/&gt;!1zn"</f>
        <v>#VALUE!</v>
      </c>
      <c r="HY338" t="e">
        <f>'North America'!B368+"n/&gt;!1zo"</f>
        <v>#VALUE!</v>
      </c>
      <c r="HZ338" t="e">
        <f>'North America'!C368+"n/&gt;!1zp"</f>
        <v>#VALUE!</v>
      </c>
      <c r="IA338" t="e">
        <f>'North America'!D368+"n/&gt;!1zq"</f>
        <v>#VALUE!</v>
      </c>
      <c r="IB338" t="e">
        <f>'North America'!E368+"n/&gt;!1zr"</f>
        <v>#VALUE!</v>
      </c>
      <c r="IC338" t="e">
        <f>'North America'!F368+"n/&gt;!1zs"</f>
        <v>#VALUE!</v>
      </c>
      <c r="ID338" t="e">
        <f>'North America'!G368+"n/&gt;!1zt"</f>
        <v>#VALUE!</v>
      </c>
      <c r="IE338" t="e">
        <f>'North America'!H368+"n/&gt;!1zu"</f>
        <v>#VALUE!</v>
      </c>
      <c r="IF338" t="e">
        <f>'North America'!I368+"n/&gt;!1zv"</f>
        <v>#VALUE!</v>
      </c>
      <c r="IG338" t="e">
        <f>'North America'!A369+"n/&gt;!1zw"</f>
        <v>#VALUE!</v>
      </c>
      <c r="IH338" t="e">
        <f>'North America'!B369+"n/&gt;!1zx"</f>
        <v>#VALUE!</v>
      </c>
      <c r="II338" t="e">
        <f>'North America'!C369+"n/&gt;!1zy"</f>
        <v>#VALUE!</v>
      </c>
      <c r="IJ338" t="e">
        <f>'North America'!D369+"n/&gt;!1zz"</f>
        <v>#VALUE!</v>
      </c>
      <c r="IK338" t="e">
        <f>'North America'!E369+"n/&gt;!1z{"</f>
        <v>#VALUE!</v>
      </c>
      <c r="IL338" t="e">
        <f>'North America'!F369+"n/&gt;!1z|"</f>
        <v>#VALUE!</v>
      </c>
      <c r="IM338" t="e">
        <f>'North America'!G369+"n/&gt;!1z}"</f>
        <v>#VALUE!</v>
      </c>
      <c r="IN338" t="e">
        <f>'North America'!H369+"n/&gt;!1z~"</f>
        <v>#VALUE!</v>
      </c>
      <c r="IO338" t="e">
        <f>'North America'!I369+"n/&gt;!1{#"</f>
        <v>#VALUE!</v>
      </c>
      <c r="IP338" t="e">
        <f>'North America'!A370+"n/&gt;!1{$"</f>
        <v>#VALUE!</v>
      </c>
      <c r="IQ338" t="e">
        <f>'North America'!B370+"n/&gt;!1{%"</f>
        <v>#VALUE!</v>
      </c>
      <c r="IR338" t="e">
        <f>'North America'!C370+"n/&gt;!1{&amp;"</f>
        <v>#VALUE!</v>
      </c>
      <c r="IS338" t="e">
        <f>'North America'!D370+"n/&gt;!1{'"</f>
        <v>#VALUE!</v>
      </c>
      <c r="IT338" t="e">
        <f>'North America'!E370+"n/&gt;!1{("</f>
        <v>#VALUE!</v>
      </c>
      <c r="IU338" t="e">
        <f>'North America'!F370+"n/&gt;!1{)"</f>
        <v>#VALUE!</v>
      </c>
      <c r="IV338" t="e">
        <f>'North America'!G370+"n/&gt;!1{."</f>
        <v>#VALUE!</v>
      </c>
    </row>
    <row r="339" spans="6:256" x14ac:dyDescent="0.35">
      <c r="F339" t="e">
        <f>'North America'!H370+"n/&gt;!1{/"</f>
        <v>#VALUE!</v>
      </c>
      <c r="G339" t="e">
        <f>'North America'!I370+"n/&gt;!1{0"</f>
        <v>#VALUE!</v>
      </c>
      <c r="H339" t="e">
        <f>'North America'!A371+"n/&gt;!1{1"</f>
        <v>#VALUE!</v>
      </c>
      <c r="I339" t="e">
        <f>'North America'!B371+"n/&gt;!1{2"</f>
        <v>#VALUE!</v>
      </c>
      <c r="J339" t="e">
        <f>'North America'!C371+"n/&gt;!1{3"</f>
        <v>#VALUE!</v>
      </c>
      <c r="K339" t="e">
        <f>'North America'!D371+"n/&gt;!1{4"</f>
        <v>#VALUE!</v>
      </c>
      <c r="L339" t="e">
        <f>'North America'!E371+"n/&gt;!1{5"</f>
        <v>#VALUE!</v>
      </c>
      <c r="M339" t="e">
        <f>'North America'!F371+"n/&gt;!1{6"</f>
        <v>#VALUE!</v>
      </c>
      <c r="N339" t="e">
        <f>'North America'!G371+"n/&gt;!1{7"</f>
        <v>#VALUE!</v>
      </c>
      <c r="O339" t="e">
        <f>'North America'!H371+"n/&gt;!1{8"</f>
        <v>#VALUE!</v>
      </c>
      <c r="P339" t="e">
        <f>'North America'!I371+"n/&gt;!1{9"</f>
        <v>#VALUE!</v>
      </c>
      <c r="Q339" t="e">
        <f>'North America'!A372+"n/&gt;!1{:"</f>
        <v>#VALUE!</v>
      </c>
      <c r="R339" t="e">
        <f>'North America'!B372+"n/&gt;!1{;"</f>
        <v>#VALUE!</v>
      </c>
      <c r="S339" t="e">
        <f>'North America'!C372+"n/&gt;!1{&lt;"</f>
        <v>#VALUE!</v>
      </c>
      <c r="T339" t="e">
        <f>'North America'!D372+"n/&gt;!1{="</f>
        <v>#VALUE!</v>
      </c>
      <c r="U339" t="e">
        <f>'North America'!E372+"n/&gt;!1{&gt;"</f>
        <v>#VALUE!</v>
      </c>
      <c r="V339" t="e">
        <f>'North America'!F372+"n/&gt;!1{?"</f>
        <v>#VALUE!</v>
      </c>
      <c r="W339" t="e">
        <f>'North America'!G372+"n/&gt;!1{@"</f>
        <v>#VALUE!</v>
      </c>
      <c r="X339" t="e">
        <f>'North America'!H372+"n/&gt;!1{A"</f>
        <v>#VALUE!</v>
      </c>
      <c r="Y339" t="e">
        <f>'North America'!I372+"n/&gt;!1{B"</f>
        <v>#VALUE!</v>
      </c>
      <c r="Z339" t="e">
        <f>'North America'!A373+"n/&gt;!1{C"</f>
        <v>#VALUE!</v>
      </c>
      <c r="AA339" t="e">
        <f>'North America'!B373+"n/&gt;!1{D"</f>
        <v>#VALUE!</v>
      </c>
      <c r="AB339" t="e">
        <f>'North America'!C373+"n/&gt;!1{E"</f>
        <v>#VALUE!</v>
      </c>
      <c r="AC339" t="e">
        <f>'North America'!D373+"n/&gt;!1{F"</f>
        <v>#VALUE!</v>
      </c>
      <c r="AD339" t="e">
        <f>'North America'!E373+"n/&gt;!1{G"</f>
        <v>#VALUE!</v>
      </c>
      <c r="AE339" t="e">
        <f>'North America'!F373+"n/&gt;!1{H"</f>
        <v>#VALUE!</v>
      </c>
      <c r="AF339" t="e">
        <f>'North America'!G373+"n/&gt;!1{I"</f>
        <v>#VALUE!</v>
      </c>
      <c r="AG339" t="e">
        <f>'North America'!H373+"n/&gt;!1{J"</f>
        <v>#VALUE!</v>
      </c>
      <c r="AH339" t="e">
        <f>'North America'!I373+"n/&gt;!1{K"</f>
        <v>#VALUE!</v>
      </c>
      <c r="AI339" t="e">
        <f>'North America'!A374+"n/&gt;!1{L"</f>
        <v>#VALUE!</v>
      </c>
      <c r="AJ339" t="e">
        <f>'North America'!B374+"n/&gt;!1{M"</f>
        <v>#VALUE!</v>
      </c>
      <c r="AK339" t="e">
        <f>'North America'!C374+"n/&gt;!1{N"</f>
        <v>#VALUE!</v>
      </c>
      <c r="AL339" t="e">
        <f>'North America'!D374+"n/&gt;!1{O"</f>
        <v>#VALUE!</v>
      </c>
      <c r="AM339" t="e">
        <f>'North America'!E374+"n/&gt;!1{P"</f>
        <v>#VALUE!</v>
      </c>
      <c r="AN339" t="e">
        <f>'North America'!F374+"n/&gt;!1{Q"</f>
        <v>#VALUE!</v>
      </c>
      <c r="AO339" t="e">
        <f>'North America'!G374+"n/&gt;!1{R"</f>
        <v>#VALUE!</v>
      </c>
      <c r="AP339" t="e">
        <f>'North America'!H374+"n/&gt;!1{S"</f>
        <v>#VALUE!</v>
      </c>
      <c r="AQ339" t="e">
        <f>'North America'!I374+"n/&gt;!1{T"</f>
        <v>#VALUE!</v>
      </c>
      <c r="AR339" t="e">
        <f>'North America'!A375+"n/&gt;!1{U"</f>
        <v>#VALUE!</v>
      </c>
      <c r="AS339" t="e">
        <f>'North America'!B375+"n/&gt;!1{V"</f>
        <v>#VALUE!</v>
      </c>
      <c r="AT339" t="e">
        <f>'North America'!C375+"n/&gt;!1{W"</f>
        <v>#VALUE!</v>
      </c>
      <c r="AU339" t="e">
        <f>'North America'!D375+"n/&gt;!1{X"</f>
        <v>#VALUE!</v>
      </c>
      <c r="AV339" t="e">
        <f>'North America'!E375+"n/&gt;!1{Y"</f>
        <v>#VALUE!</v>
      </c>
      <c r="AW339" t="e">
        <f>'North America'!F375+"n/&gt;!1{Z"</f>
        <v>#VALUE!</v>
      </c>
      <c r="AX339" t="e">
        <f>'North America'!G375+"n/&gt;!1{["</f>
        <v>#VALUE!</v>
      </c>
      <c r="AY339" t="e">
        <f>'North America'!H375+"n/&gt;!1{\"</f>
        <v>#VALUE!</v>
      </c>
      <c r="AZ339" t="e">
        <f>'North America'!I375+"n/&gt;!1{]"</f>
        <v>#VALUE!</v>
      </c>
      <c r="BA339" t="e">
        <f>'North America'!A376+"n/&gt;!1{^"</f>
        <v>#VALUE!</v>
      </c>
      <c r="BB339" t="e">
        <f>'North America'!B376+"n/&gt;!1{_"</f>
        <v>#VALUE!</v>
      </c>
      <c r="BC339" t="e">
        <f>'North America'!C376+"n/&gt;!1{`"</f>
        <v>#VALUE!</v>
      </c>
      <c r="BD339" t="e">
        <f>'North America'!D376+"n/&gt;!1{a"</f>
        <v>#VALUE!</v>
      </c>
      <c r="BE339" t="e">
        <f>'North America'!E376+"n/&gt;!1{b"</f>
        <v>#VALUE!</v>
      </c>
      <c r="BF339" t="e">
        <f>'North America'!F376+"n/&gt;!1{c"</f>
        <v>#VALUE!</v>
      </c>
      <c r="BG339" t="e">
        <f>'North America'!G376+"n/&gt;!1{d"</f>
        <v>#VALUE!</v>
      </c>
      <c r="BH339" t="e">
        <f>'North America'!H376+"n/&gt;!1{e"</f>
        <v>#VALUE!</v>
      </c>
      <c r="BI339" t="e">
        <f>'North America'!I376+"n/&gt;!1{f"</f>
        <v>#VALUE!</v>
      </c>
      <c r="BJ339" t="e">
        <f>'North America'!A377+"n/&gt;!1{g"</f>
        <v>#VALUE!</v>
      </c>
      <c r="BK339" t="e">
        <f>'North America'!B377+"n/&gt;!1{h"</f>
        <v>#VALUE!</v>
      </c>
      <c r="BL339" t="e">
        <f>'North America'!C377+"n/&gt;!1{i"</f>
        <v>#VALUE!</v>
      </c>
      <c r="BM339" t="e">
        <f>'North America'!D377+"n/&gt;!1{j"</f>
        <v>#VALUE!</v>
      </c>
      <c r="BN339" t="e">
        <f>'North America'!E377+"n/&gt;!1{k"</f>
        <v>#VALUE!</v>
      </c>
      <c r="BO339" t="e">
        <f>'North America'!F377+"n/&gt;!1{l"</f>
        <v>#VALUE!</v>
      </c>
      <c r="BP339" t="e">
        <f>'North America'!G377+"n/&gt;!1{m"</f>
        <v>#VALUE!</v>
      </c>
      <c r="BQ339" t="e">
        <f>'North America'!H377+"n/&gt;!1{n"</f>
        <v>#VALUE!</v>
      </c>
      <c r="BR339" t="e">
        <f>'North America'!I377+"n/&gt;!1{o"</f>
        <v>#VALUE!</v>
      </c>
      <c r="BS339" t="e">
        <f>'North America'!A378+"n/&gt;!1{p"</f>
        <v>#VALUE!</v>
      </c>
      <c r="BT339" t="e">
        <f>'North America'!B378+"n/&gt;!1{q"</f>
        <v>#VALUE!</v>
      </c>
      <c r="BU339" t="e">
        <f>'North America'!C378+"n/&gt;!1{r"</f>
        <v>#VALUE!</v>
      </c>
      <c r="BV339" t="e">
        <f>'North America'!D378+"n/&gt;!1{s"</f>
        <v>#VALUE!</v>
      </c>
      <c r="BW339" t="e">
        <f>'North America'!E378+"n/&gt;!1{t"</f>
        <v>#VALUE!</v>
      </c>
      <c r="BX339" t="e">
        <f>'North America'!F378+"n/&gt;!1{u"</f>
        <v>#VALUE!</v>
      </c>
      <c r="BY339" t="e">
        <f>'North America'!G378+"n/&gt;!1{v"</f>
        <v>#VALUE!</v>
      </c>
      <c r="BZ339" t="e">
        <f>'North America'!H378+"n/&gt;!1{w"</f>
        <v>#VALUE!</v>
      </c>
      <c r="CA339" t="e">
        <f>'North America'!I378+"n/&gt;!1{x"</f>
        <v>#VALUE!</v>
      </c>
      <c r="CB339" t="e">
        <f>'North America'!A379+"n/&gt;!1{y"</f>
        <v>#VALUE!</v>
      </c>
      <c r="CC339" t="e">
        <f>'North America'!B379+"n/&gt;!1{z"</f>
        <v>#VALUE!</v>
      </c>
      <c r="CD339" t="e">
        <f>'North America'!C379+"n/&gt;!1{{"</f>
        <v>#VALUE!</v>
      </c>
      <c r="CE339" t="e">
        <f>'North America'!D379+"n/&gt;!1{|"</f>
        <v>#VALUE!</v>
      </c>
      <c r="CF339" t="e">
        <f>'North America'!E379+"n/&gt;!1{}"</f>
        <v>#VALUE!</v>
      </c>
      <c r="CG339" t="e">
        <f>'North America'!F379+"n/&gt;!1{~"</f>
        <v>#VALUE!</v>
      </c>
      <c r="CH339" t="e">
        <f>'North America'!G379+"n/&gt;!1|#"</f>
        <v>#VALUE!</v>
      </c>
      <c r="CI339" t="e">
        <f>'North America'!H379+"n/&gt;!1|$"</f>
        <v>#VALUE!</v>
      </c>
      <c r="CJ339" t="e">
        <f>'North America'!I379+"n/&gt;!1|%"</f>
        <v>#VALUE!</v>
      </c>
      <c r="CK339" t="e">
        <f>'North America'!A380+"n/&gt;!1|&amp;"</f>
        <v>#VALUE!</v>
      </c>
      <c r="CL339" t="e">
        <f>'North America'!B380+"n/&gt;!1|'"</f>
        <v>#VALUE!</v>
      </c>
      <c r="CM339" t="e">
        <f>'North America'!C380+"n/&gt;!1|("</f>
        <v>#VALUE!</v>
      </c>
      <c r="CN339" t="e">
        <f>'North America'!D380+"n/&gt;!1|)"</f>
        <v>#VALUE!</v>
      </c>
      <c r="CO339" t="e">
        <f>'North America'!E380+"n/&gt;!1|."</f>
        <v>#VALUE!</v>
      </c>
      <c r="CP339" t="e">
        <f>'North America'!F380+"n/&gt;!1|/"</f>
        <v>#VALUE!</v>
      </c>
      <c r="CQ339" t="e">
        <f>'North America'!G380+"n/&gt;!1|0"</f>
        <v>#VALUE!</v>
      </c>
      <c r="CR339" t="e">
        <f>'North America'!H380+"n/&gt;!1|1"</f>
        <v>#VALUE!</v>
      </c>
      <c r="CS339" t="e">
        <f>'North America'!I380+"n/&gt;!1|2"</f>
        <v>#VALUE!</v>
      </c>
      <c r="CT339" t="e">
        <f>'North America'!A381+"n/&gt;!1|3"</f>
        <v>#VALUE!</v>
      </c>
      <c r="CU339" t="e">
        <f>'North America'!B381+"n/&gt;!1|4"</f>
        <v>#VALUE!</v>
      </c>
      <c r="CV339" t="e">
        <f>'North America'!C381+"n/&gt;!1|5"</f>
        <v>#VALUE!</v>
      </c>
      <c r="CW339" t="e">
        <f>'North America'!D381+"n/&gt;!1|6"</f>
        <v>#VALUE!</v>
      </c>
      <c r="CX339" t="e">
        <f>'North America'!E381+"n/&gt;!1|7"</f>
        <v>#VALUE!</v>
      </c>
      <c r="CY339" t="e">
        <f>'North America'!F381+"n/&gt;!1|8"</f>
        <v>#VALUE!</v>
      </c>
      <c r="CZ339" t="e">
        <f>'North America'!G381+"n/&gt;!1|9"</f>
        <v>#VALUE!</v>
      </c>
      <c r="DA339" t="e">
        <f>'North America'!H381+"n/&gt;!1|:"</f>
        <v>#VALUE!</v>
      </c>
      <c r="DB339" t="e">
        <f>'North America'!I381+"n/&gt;!1|;"</f>
        <v>#VALUE!</v>
      </c>
      <c r="DC339" t="e">
        <f>'North America'!A382+"n/&gt;!1|&lt;"</f>
        <v>#VALUE!</v>
      </c>
      <c r="DD339" t="e">
        <f>'North America'!B382+"n/&gt;!1|="</f>
        <v>#VALUE!</v>
      </c>
      <c r="DE339" t="e">
        <f>'North America'!C382+"n/&gt;!1|&gt;"</f>
        <v>#VALUE!</v>
      </c>
      <c r="DF339" t="e">
        <f>'North America'!D382+"n/&gt;!1|?"</f>
        <v>#VALUE!</v>
      </c>
      <c r="DG339" t="e">
        <f>'North America'!E382+"n/&gt;!1|@"</f>
        <v>#VALUE!</v>
      </c>
      <c r="DH339" t="e">
        <f>'North America'!F382+"n/&gt;!1|A"</f>
        <v>#VALUE!</v>
      </c>
      <c r="DI339" t="e">
        <f>'North America'!G382+"n/&gt;!1|B"</f>
        <v>#VALUE!</v>
      </c>
      <c r="DJ339" t="e">
        <f>'North America'!H382+"n/&gt;!1|C"</f>
        <v>#VALUE!</v>
      </c>
      <c r="DK339" t="e">
        <f>'North America'!I382+"n/&gt;!1|D"</f>
        <v>#VALUE!</v>
      </c>
      <c r="DL339" t="e">
        <f>'North America'!A383+"n/&gt;!1|E"</f>
        <v>#VALUE!</v>
      </c>
      <c r="DM339" t="e">
        <f>'North America'!B383+"n/&gt;!1|F"</f>
        <v>#VALUE!</v>
      </c>
      <c r="DN339" t="e">
        <f>'North America'!C383+"n/&gt;!1|G"</f>
        <v>#VALUE!</v>
      </c>
      <c r="DO339" t="e">
        <f>'North America'!D383+"n/&gt;!1|H"</f>
        <v>#VALUE!</v>
      </c>
      <c r="DP339" t="e">
        <f>'North America'!E383+"n/&gt;!1|I"</f>
        <v>#VALUE!</v>
      </c>
      <c r="DQ339" t="e">
        <f>'North America'!F383+"n/&gt;!1|J"</f>
        <v>#VALUE!</v>
      </c>
      <c r="DR339" t="e">
        <f>'North America'!G383+"n/&gt;!1|K"</f>
        <v>#VALUE!</v>
      </c>
      <c r="DS339" t="e">
        <f>'North America'!H383+"n/&gt;!1|L"</f>
        <v>#VALUE!</v>
      </c>
      <c r="DT339" t="e">
        <f>'North America'!I383+"n/&gt;!1|M"</f>
        <v>#VALUE!</v>
      </c>
      <c r="DU339" t="e">
        <f>'North America'!A384+"n/&gt;!1|N"</f>
        <v>#VALUE!</v>
      </c>
      <c r="DV339" t="e">
        <f>'North America'!B384+"n/&gt;!1|O"</f>
        <v>#VALUE!</v>
      </c>
      <c r="DW339" t="e">
        <f>'North America'!C384+"n/&gt;!1|P"</f>
        <v>#VALUE!</v>
      </c>
      <c r="DX339" t="e">
        <f>'North America'!D384+"n/&gt;!1|Q"</f>
        <v>#VALUE!</v>
      </c>
      <c r="DY339" t="e">
        <f>'North America'!E384+"n/&gt;!1|R"</f>
        <v>#VALUE!</v>
      </c>
      <c r="DZ339" t="e">
        <f>'North America'!F384+"n/&gt;!1|S"</f>
        <v>#VALUE!</v>
      </c>
      <c r="EA339" t="e">
        <f>'North America'!G384+"n/&gt;!1|T"</f>
        <v>#VALUE!</v>
      </c>
      <c r="EB339" t="e">
        <f>'North America'!H384+"n/&gt;!1|U"</f>
        <v>#VALUE!</v>
      </c>
      <c r="EC339" t="e">
        <f>'North America'!I384+"n/&gt;!1|V"</f>
        <v>#VALUE!</v>
      </c>
      <c r="ED339" t="e">
        <f>'North America'!A385+"n/&gt;!1|W"</f>
        <v>#VALUE!</v>
      </c>
      <c r="EE339" t="e">
        <f>'North America'!B385+"n/&gt;!1|X"</f>
        <v>#VALUE!</v>
      </c>
      <c r="EF339" t="e">
        <f>'North America'!C385+"n/&gt;!1|Y"</f>
        <v>#VALUE!</v>
      </c>
      <c r="EG339" t="e">
        <f>'North America'!D385+"n/&gt;!1|Z"</f>
        <v>#VALUE!</v>
      </c>
      <c r="EH339" t="e">
        <f>'North America'!E385+"n/&gt;!1|["</f>
        <v>#VALUE!</v>
      </c>
      <c r="EI339" t="e">
        <f>'North America'!F385+"n/&gt;!1|\"</f>
        <v>#VALUE!</v>
      </c>
      <c r="EJ339" t="e">
        <f>'North America'!G385+"n/&gt;!1|]"</f>
        <v>#VALUE!</v>
      </c>
      <c r="EK339" t="e">
        <f>'North America'!H385+"n/&gt;!1|^"</f>
        <v>#VALUE!</v>
      </c>
      <c r="EL339" t="e">
        <f>'North America'!I385+"n/&gt;!1|_"</f>
        <v>#VALUE!</v>
      </c>
      <c r="EM339" t="e">
        <f>'North America'!A386+"n/&gt;!1|`"</f>
        <v>#VALUE!</v>
      </c>
      <c r="EN339" t="e">
        <f>'North America'!B386+"n/&gt;!1|a"</f>
        <v>#VALUE!</v>
      </c>
      <c r="EO339" t="e">
        <f>'North America'!C386+"n/&gt;!1|b"</f>
        <v>#VALUE!</v>
      </c>
      <c r="EP339" t="e">
        <f>'North America'!D386+"n/&gt;!1|c"</f>
        <v>#VALUE!</v>
      </c>
      <c r="EQ339" t="e">
        <f>'North America'!E386+"n/&gt;!1|d"</f>
        <v>#VALUE!</v>
      </c>
      <c r="ER339" t="e">
        <f>'North America'!F386+"n/&gt;!1|e"</f>
        <v>#VALUE!</v>
      </c>
      <c r="ES339" t="e">
        <f>'North America'!G386+"n/&gt;!1|f"</f>
        <v>#VALUE!</v>
      </c>
      <c r="ET339" t="e">
        <f>'North America'!H386+"n/&gt;!1|g"</f>
        <v>#VALUE!</v>
      </c>
      <c r="EU339" t="e">
        <f>'North America'!I386+"n/&gt;!1|h"</f>
        <v>#VALUE!</v>
      </c>
      <c r="EV339" t="e">
        <f>'North America'!A387+"n/&gt;!1|i"</f>
        <v>#VALUE!</v>
      </c>
      <c r="EW339" t="e">
        <f>'North America'!B387+"n/&gt;!1|j"</f>
        <v>#VALUE!</v>
      </c>
      <c r="EX339" t="e">
        <f>'North America'!C387+"n/&gt;!1|k"</f>
        <v>#VALUE!</v>
      </c>
      <c r="EY339" t="e">
        <f>'North America'!D387+"n/&gt;!1|l"</f>
        <v>#VALUE!</v>
      </c>
      <c r="EZ339" t="e">
        <f>'North America'!E387+"n/&gt;!1|m"</f>
        <v>#VALUE!</v>
      </c>
      <c r="FA339" t="e">
        <f>'North America'!F387+"n/&gt;!1|n"</f>
        <v>#VALUE!</v>
      </c>
      <c r="FB339" t="e">
        <f>'North America'!G387+"n/&gt;!1|o"</f>
        <v>#VALUE!</v>
      </c>
      <c r="FC339" t="e">
        <f>'North America'!H387+"n/&gt;!1|p"</f>
        <v>#VALUE!</v>
      </c>
      <c r="FD339" t="e">
        <f>'North America'!I387+"n/&gt;!1|q"</f>
        <v>#VALUE!</v>
      </c>
      <c r="FE339" t="e">
        <f>'North America'!A388+"n/&gt;!1|r"</f>
        <v>#VALUE!</v>
      </c>
      <c r="FF339" t="e">
        <f>'North America'!B388+"n/&gt;!1|s"</f>
        <v>#VALUE!</v>
      </c>
      <c r="FG339" t="e">
        <f>'North America'!C388+"n/&gt;!1|t"</f>
        <v>#VALUE!</v>
      </c>
      <c r="FH339" t="e">
        <f>'North America'!D388+"n/&gt;!1|u"</f>
        <v>#VALUE!</v>
      </c>
      <c r="FI339" t="e">
        <f>'North America'!E388+"n/&gt;!1|v"</f>
        <v>#VALUE!</v>
      </c>
      <c r="FJ339" t="e">
        <f>'North America'!F388+"n/&gt;!1|w"</f>
        <v>#VALUE!</v>
      </c>
      <c r="FK339" t="e">
        <f>'North America'!G388+"n/&gt;!1|x"</f>
        <v>#VALUE!</v>
      </c>
      <c r="FL339" t="e">
        <f>'North America'!H388+"n/&gt;!1|y"</f>
        <v>#VALUE!</v>
      </c>
      <c r="FM339" t="e">
        <f>'North America'!I388+"n/&gt;!1|z"</f>
        <v>#VALUE!</v>
      </c>
      <c r="FN339" t="e">
        <f>'North America'!A389+"n/&gt;!1|{"</f>
        <v>#VALUE!</v>
      </c>
      <c r="FO339" t="e">
        <f>'North America'!B389+"n/&gt;!1||"</f>
        <v>#VALUE!</v>
      </c>
      <c r="FP339" t="e">
        <f>'North America'!C389+"n/&gt;!1|}"</f>
        <v>#VALUE!</v>
      </c>
      <c r="FQ339" t="e">
        <f>'North America'!D389+"n/&gt;!1|~"</f>
        <v>#VALUE!</v>
      </c>
      <c r="FR339" t="e">
        <f>'North America'!E389+"n/&gt;!1}#"</f>
        <v>#VALUE!</v>
      </c>
      <c r="FS339" t="e">
        <f>'North America'!F389+"n/&gt;!1}$"</f>
        <v>#VALUE!</v>
      </c>
      <c r="FT339" t="e">
        <f>'North America'!G389+"n/&gt;!1}%"</f>
        <v>#VALUE!</v>
      </c>
      <c r="FU339" t="e">
        <f>'North America'!H389+"n/&gt;!1}&amp;"</f>
        <v>#VALUE!</v>
      </c>
      <c r="FV339" t="e">
        <f>'North America'!I389+"n/&gt;!1}'"</f>
        <v>#VALUE!</v>
      </c>
      <c r="FW339" t="e">
        <f>'North America'!A390+"n/&gt;!1}("</f>
        <v>#VALUE!</v>
      </c>
      <c r="FX339" t="e">
        <f>'North America'!B390+"n/&gt;!1})"</f>
        <v>#VALUE!</v>
      </c>
      <c r="FY339" t="e">
        <f>'North America'!C390+"n/&gt;!1}."</f>
        <v>#VALUE!</v>
      </c>
      <c r="FZ339" t="e">
        <f>'North America'!D390+"n/&gt;!1}/"</f>
        <v>#VALUE!</v>
      </c>
      <c r="GA339" t="e">
        <f>'North America'!E390+"n/&gt;!1}0"</f>
        <v>#VALUE!</v>
      </c>
      <c r="GB339" t="e">
        <f>'North America'!F390+"n/&gt;!1}1"</f>
        <v>#VALUE!</v>
      </c>
      <c r="GC339" t="e">
        <f>'North America'!G390+"n/&gt;!1}2"</f>
        <v>#VALUE!</v>
      </c>
      <c r="GD339" t="e">
        <f>'North America'!H390+"n/&gt;!1}3"</f>
        <v>#VALUE!</v>
      </c>
      <c r="GE339" t="e">
        <f>'North America'!I390+"n/&gt;!1}4"</f>
        <v>#VALUE!</v>
      </c>
      <c r="GF339" t="e">
        <f>'North America'!A391+"n/&gt;!1}5"</f>
        <v>#VALUE!</v>
      </c>
      <c r="GG339" t="e">
        <f>'North America'!B391+"n/&gt;!1}6"</f>
        <v>#VALUE!</v>
      </c>
      <c r="GH339" t="e">
        <f>'North America'!C391+"n/&gt;!1}7"</f>
        <v>#VALUE!</v>
      </c>
      <c r="GI339" t="e">
        <f>'North America'!D391+"n/&gt;!1}8"</f>
        <v>#VALUE!</v>
      </c>
      <c r="GJ339" t="e">
        <f>'North America'!E391+"n/&gt;!1}9"</f>
        <v>#VALUE!</v>
      </c>
      <c r="GK339" t="e">
        <f>'North America'!F391+"n/&gt;!1}:"</f>
        <v>#VALUE!</v>
      </c>
      <c r="GL339" t="e">
        <f>'North America'!G391+"n/&gt;!1};"</f>
        <v>#VALUE!</v>
      </c>
      <c r="GM339" t="e">
        <f>'North America'!H391+"n/&gt;!1}&lt;"</f>
        <v>#VALUE!</v>
      </c>
      <c r="GN339" t="e">
        <f>'North America'!I391+"n/&gt;!1}="</f>
        <v>#VALUE!</v>
      </c>
      <c r="GO339" t="e">
        <f>'North America'!A392+"n/&gt;!1}&gt;"</f>
        <v>#VALUE!</v>
      </c>
      <c r="GP339" t="e">
        <f>'North America'!B392+"n/&gt;!1}?"</f>
        <v>#VALUE!</v>
      </c>
      <c r="GQ339" t="e">
        <f>'North America'!C392+"n/&gt;!1}@"</f>
        <v>#VALUE!</v>
      </c>
      <c r="GR339" t="e">
        <f>'North America'!D392+"n/&gt;!1}A"</f>
        <v>#VALUE!</v>
      </c>
      <c r="GS339" t="e">
        <f>'North America'!E392+"n/&gt;!1}B"</f>
        <v>#VALUE!</v>
      </c>
      <c r="GT339" t="e">
        <f>'North America'!F392+"n/&gt;!1}C"</f>
        <v>#VALUE!</v>
      </c>
      <c r="GU339" t="e">
        <f>'North America'!G392+"n/&gt;!1}D"</f>
        <v>#VALUE!</v>
      </c>
      <c r="GV339" t="e">
        <f>'North America'!H392+"n/&gt;!1}E"</f>
        <v>#VALUE!</v>
      </c>
      <c r="GW339" t="e">
        <f>'North America'!I392+"n/&gt;!1}F"</f>
        <v>#VALUE!</v>
      </c>
      <c r="GX339" t="e">
        <f>'North America'!A393+"n/&gt;!1}G"</f>
        <v>#VALUE!</v>
      </c>
      <c r="GY339" t="e">
        <f>'North America'!B393+"n/&gt;!1}H"</f>
        <v>#VALUE!</v>
      </c>
      <c r="GZ339" t="e">
        <f>'North America'!C393+"n/&gt;!1}I"</f>
        <v>#VALUE!</v>
      </c>
      <c r="HA339" t="e">
        <f>'North America'!D393+"n/&gt;!1}J"</f>
        <v>#VALUE!</v>
      </c>
      <c r="HB339" t="e">
        <f>'North America'!E393+"n/&gt;!1}K"</f>
        <v>#VALUE!</v>
      </c>
      <c r="HC339" t="e">
        <f>'North America'!F393+"n/&gt;!1}L"</f>
        <v>#VALUE!</v>
      </c>
      <c r="HD339" t="e">
        <f>'North America'!G393+"n/&gt;!1}M"</f>
        <v>#VALUE!</v>
      </c>
      <c r="HE339" t="e">
        <f>'North America'!H393+"n/&gt;!1}N"</f>
        <v>#VALUE!</v>
      </c>
      <c r="HF339" t="e">
        <f>'North America'!I393+"n/&gt;!1}O"</f>
        <v>#VALUE!</v>
      </c>
      <c r="HG339" t="e">
        <f>'North America'!A394+"n/&gt;!1}P"</f>
        <v>#VALUE!</v>
      </c>
      <c r="HH339" t="e">
        <f>'North America'!B394+"n/&gt;!1}Q"</f>
        <v>#VALUE!</v>
      </c>
      <c r="HI339" t="e">
        <f>'North America'!C394+"n/&gt;!1}R"</f>
        <v>#VALUE!</v>
      </c>
      <c r="HJ339" t="e">
        <f>'North America'!D394+"n/&gt;!1}S"</f>
        <v>#VALUE!</v>
      </c>
      <c r="HK339" t="e">
        <f>'North America'!E394+"n/&gt;!1}T"</f>
        <v>#VALUE!</v>
      </c>
      <c r="HL339" t="e">
        <f>'North America'!F394+"n/&gt;!1}U"</f>
        <v>#VALUE!</v>
      </c>
      <c r="HM339" t="e">
        <f>'North America'!G394+"n/&gt;!1}V"</f>
        <v>#VALUE!</v>
      </c>
      <c r="HN339" t="e">
        <f>'North America'!H394+"n/&gt;!1}W"</f>
        <v>#VALUE!</v>
      </c>
      <c r="HO339" t="e">
        <f>'North America'!I394+"n/&gt;!1}X"</f>
        <v>#VALUE!</v>
      </c>
      <c r="HP339" t="e">
        <f>'North America'!A395+"n/&gt;!1}Y"</f>
        <v>#VALUE!</v>
      </c>
      <c r="HQ339" t="e">
        <f>'North America'!B395+"n/&gt;!1}Z"</f>
        <v>#VALUE!</v>
      </c>
      <c r="HR339" t="e">
        <f>'North America'!C395+"n/&gt;!1}["</f>
        <v>#VALUE!</v>
      </c>
      <c r="HS339" t="e">
        <f>'North America'!D395+"n/&gt;!1}\"</f>
        <v>#VALUE!</v>
      </c>
      <c r="HT339" t="e">
        <f>'North America'!E395+"n/&gt;!1}]"</f>
        <v>#VALUE!</v>
      </c>
      <c r="HU339" t="e">
        <f>'North America'!F395+"n/&gt;!1}^"</f>
        <v>#VALUE!</v>
      </c>
      <c r="HV339" t="e">
        <f>'North America'!G395+"n/&gt;!1}_"</f>
        <v>#VALUE!</v>
      </c>
      <c r="HW339" t="e">
        <f>'North America'!H395+"n/&gt;!1}`"</f>
        <v>#VALUE!</v>
      </c>
      <c r="HX339" t="e">
        <f>'North America'!I395+"n/&gt;!1}a"</f>
        <v>#VALUE!</v>
      </c>
      <c r="HY339" t="e">
        <f>'North America'!A396+"n/&gt;!1}b"</f>
        <v>#VALUE!</v>
      </c>
      <c r="HZ339" t="e">
        <f>'North America'!B396+"n/&gt;!1}c"</f>
        <v>#VALUE!</v>
      </c>
      <c r="IA339" t="e">
        <f>'North America'!C396+"n/&gt;!1}d"</f>
        <v>#VALUE!</v>
      </c>
      <c r="IB339" t="e">
        <f>'North America'!D396+"n/&gt;!1}e"</f>
        <v>#VALUE!</v>
      </c>
      <c r="IC339" t="e">
        <f>'North America'!E396+"n/&gt;!1}f"</f>
        <v>#VALUE!</v>
      </c>
      <c r="ID339" t="e">
        <f>'North America'!F396+"n/&gt;!1}g"</f>
        <v>#VALUE!</v>
      </c>
      <c r="IE339" t="e">
        <f>'North America'!G396+"n/&gt;!1}h"</f>
        <v>#VALUE!</v>
      </c>
      <c r="IF339" t="e">
        <f>'North America'!H396+"n/&gt;!1}i"</f>
        <v>#VALUE!</v>
      </c>
      <c r="IG339" t="e">
        <f>'North America'!I396+"n/&gt;!1}j"</f>
        <v>#VALUE!</v>
      </c>
      <c r="IH339" t="e">
        <f>'North America'!A397+"n/&gt;!1}k"</f>
        <v>#VALUE!</v>
      </c>
      <c r="II339" t="e">
        <f>'North America'!B397+"n/&gt;!1}l"</f>
        <v>#VALUE!</v>
      </c>
      <c r="IJ339" t="e">
        <f>'North America'!C397+"n/&gt;!1}m"</f>
        <v>#VALUE!</v>
      </c>
      <c r="IK339" t="e">
        <f>'North America'!D397+"n/&gt;!1}n"</f>
        <v>#VALUE!</v>
      </c>
      <c r="IL339" t="e">
        <f>'North America'!E397+"n/&gt;!1}o"</f>
        <v>#VALUE!</v>
      </c>
      <c r="IM339" t="e">
        <f>'North America'!F397+"n/&gt;!1}p"</f>
        <v>#VALUE!</v>
      </c>
      <c r="IN339" t="e">
        <f>'North America'!G397+"n/&gt;!1}q"</f>
        <v>#VALUE!</v>
      </c>
      <c r="IO339" t="e">
        <f>'North America'!H397+"n/&gt;!1}r"</f>
        <v>#VALUE!</v>
      </c>
      <c r="IP339" t="e">
        <f>'North America'!I397+"n/&gt;!1}s"</f>
        <v>#VALUE!</v>
      </c>
      <c r="IQ339" t="e">
        <f>'North America'!A398+"n/&gt;!1}t"</f>
        <v>#VALUE!</v>
      </c>
      <c r="IR339" t="e">
        <f>'North America'!B398+"n/&gt;!1}u"</f>
        <v>#VALUE!</v>
      </c>
      <c r="IS339" t="e">
        <f>'North America'!C398+"n/&gt;!1}v"</f>
        <v>#VALUE!</v>
      </c>
      <c r="IT339" t="e">
        <f>'North America'!D398+"n/&gt;!1}w"</f>
        <v>#VALUE!</v>
      </c>
      <c r="IU339" t="e">
        <f>'North America'!E398+"n/&gt;!1}x"</f>
        <v>#VALUE!</v>
      </c>
      <c r="IV339" t="e">
        <f>'North America'!F398+"n/&gt;!1}y"</f>
        <v>#VALUE!</v>
      </c>
    </row>
    <row r="340" spans="6:256" x14ac:dyDescent="0.35">
      <c r="F340" t="e">
        <f>'North America'!G398+"n/&gt;!1}z"</f>
        <v>#VALUE!</v>
      </c>
      <c r="G340" t="e">
        <f>'North America'!H398+"n/&gt;!1}{"</f>
        <v>#VALUE!</v>
      </c>
      <c r="H340" t="e">
        <f>'North America'!I398+"n/&gt;!1}|"</f>
        <v>#VALUE!</v>
      </c>
      <c r="I340" t="e">
        <f>'North America'!A399+"n/&gt;!1}}"</f>
        <v>#VALUE!</v>
      </c>
      <c r="J340" t="e">
        <f>'North America'!B399+"n/&gt;!1}~"</f>
        <v>#VALUE!</v>
      </c>
      <c r="K340" t="e">
        <f>'North America'!C399+"n/&gt;!1~#"</f>
        <v>#VALUE!</v>
      </c>
      <c r="L340" t="e">
        <f>'North America'!D399+"n/&gt;!1~$"</f>
        <v>#VALUE!</v>
      </c>
      <c r="M340" t="e">
        <f>'North America'!E399+"n/&gt;!1~%"</f>
        <v>#VALUE!</v>
      </c>
      <c r="N340" t="e">
        <f>'North America'!F399+"n/&gt;!1~&amp;"</f>
        <v>#VALUE!</v>
      </c>
      <c r="O340" t="e">
        <f>'North America'!G399+"n/&gt;!1~'"</f>
        <v>#VALUE!</v>
      </c>
      <c r="P340" t="e">
        <f>'North America'!H399+"n/&gt;!1~("</f>
        <v>#VALUE!</v>
      </c>
      <c r="Q340" t="e">
        <f>'North America'!I399+"n/&gt;!1~)"</f>
        <v>#VALUE!</v>
      </c>
      <c r="R340" t="e">
        <f>'North America'!A400+"n/&gt;!1~."</f>
        <v>#VALUE!</v>
      </c>
      <c r="S340" t="e">
        <f>'North America'!B400+"n/&gt;!1~/"</f>
        <v>#VALUE!</v>
      </c>
      <c r="T340" t="e">
        <f>'North America'!C400+"n/&gt;!1~0"</f>
        <v>#VALUE!</v>
      </c>
      <c r="U340" t="e">
        <f>'North America'!D400+"n/&gt;!1~1"</f>
        <v>#VALUE!</v>
      </c>
      <c r="V340" t="e">
        <f>'North America'!E400+"n/&gt;!1~2"</f>
        <v>#VALUE!</v>
      </c>
      <c r="W340" t="e">
        <f>'North America'!F400+"n/&gt;!1~3"</f>
        <v>#VALUE!</v>
      </c>
      <c r="X340" t="e">
        <f>'North America'!G400+"n/&gt;!1~4"</f>
        <v>#VALUE!</v>
      </c>
      <c r="Y340" t="e">
        <f>'North America'!H400+"n/&gt;!1~5"</f>
        <v>#VALUE!</v>
      </c>
      <c r="Z340" t="e">
        <f>'North America'!I400+"n/&gt;!1~6"</f>
        <v>#VALUE!</v>
      </c>
      <c r="AA340" t="e">
        <f>'North America'!A401+"n/&gt;!1~7"</f>
        <v>#VALUE!</v>
      </c>
      <c r="AB340" t="e">
        <f>'North America'!B401+"n/&gt;!1~8"</f>
        <v>#VALUE!</v>
      </c>
      <c r="AC340" t="e">
        <f>'North America'!C401+"n/&gt;!1~9"</f>
        <v>#VALUE!</v>
      </c>
      <c r="AD340" t="e">
        <f>'North America'!D401+"n/&gt;!1~:"</f>
        <v>#VALUE!</v>
      </c>
      <c r="AE340" t="e">
        <f>'North America'!E401+"n/&gt;!1~;"</f>
        <v>#VALUE!</v>
      </c>
      <c r="AF340" t="e">
        <f>'North America'!F401+"n/&gt;!1~&lt;"</f>
        <v>#VALUE!</v>
      </c>
      <c r="AG340" t="e">
        <f>'North America'!G401+"n/&gt;!1~="</f>
        <v>#VALUE!</v>
      </c>
      <c r="AH340" t="e">
        <f>'North America'!H401+"n/&gt;!1~&gt;"</f>
        <v>#VALUE!</v>
      </c>
      <c r="AI340" t="e">
        <f>'North America'!I401+"n/&gt;!1~?"</f>
        <v>#VALUE!</v>
      </c>
      <c r="AJ340" t="e">
        <f>'North America'!A402+"n/&gt;!1~@"</f>
        <v>#VALUE!</v>
      </c>
      <c r="AK340" t="e">
        <f>'North America'!B402+"n/&gt;!1~A"</f>
        <v>#VALUE!</v>
      </c>
      <c r="AL340" t="e">
        <f>'North America'!C402+"n/&gt;!1~B"</f>
        <v>#VALUE!</v>
      </c>
      <c r="AM340" t="e">
        <f>'North America'!D402+"n/&gt;!1~C"</f>
        <v>#VALUE!</v>
      </c>
      <c r="AN340" t="e">
        <f>'North America'!E402+"n/&gt;!1~D"</f>
        <v>#VALUE!</v>
      </c>
      <c r="AO340" t="e">
        <f>'North America'!F402+"n/&gt;!1~E"</f>
        <v>#VALUE!</v>
      </c>
      <c r="AP340" t="e">
        <f>'North America'!G402+"n/&gt;!1~F"</f>
        <v>#VALUE!</v>
      </c>
      <c r="AQ340" t="e">
        <f>'North America'!H402+"n/&gt;!1~G"</f>
        <v>#VALUE!</v>
      </c>
      <c r="AR340" t="e">
        <f>'North America'!I402+"n/&gt;!1~H"</f>
        <v>#VALUE!</v>
      </c>
      <c r="AS340" t="e">
        <f>'North America'!A403+"n/&gt;!1~I"</f>
        <v>#VALUE!</v>
      </c>
      <c r="AT340" t="e">
        <f>'North America'!B403+"n/&gt;!1~J"</f>
        <v>#VALUE!</v>
      </c>
      <c r="AU340" t="e">
        <f>'North America'!C403+"n/&gt;!1~K"</f>
        <v>#VALUE!</v>
      </c>
      <c r="AV340" t="e">
        <f>'North America'!D403+"n/&gt;!1~L"</f>
        <v>#VALUE!</v>
      </c>
      <c r="AW340" t="e">
        <f>'North America'!E403+"n/&gt;!1~M"</f>
        <v>#VALUE!</v>
      </c>
      <c r="AX340" t="e">
        <f>'North America'!F403+"n/&gt;!1~N"</f>
        <v>#VALUE!</v>
      </c>
      <c r="AY340" t="e">
        <f>'North America'!G403+"n/&gt;!1~O"</f>
        <v>#VALUE!</v>
      </c>
      <c r="AZ340" t="e">
        <f>'North America'!H403+"n/&gt;!1~P"</f>
        <v>#VALUE!</v>
      </c>
      <c r="BA340" t="e">
        <f>'North America'!I403+"n/&gt;!1~Q"</f>
        <v>#VALUE!</v>
      </c>
      <c r="BB340" t="e">
        <f>'North America'!A404+"n/&gt;!1~R"</f>
        <v>#VALUE!</v>
      </c>
      <c r="BC340" t="e">
        <f>'North America'!B404+"n/&gt;!1~S"</f>
        <v>#VALUE!</v>
      </c>
      <c r="BD340" t="e">
        <f>'North America'!C404+"n/&gt;!1~T"</f>
        <v>#VALUE!</v>
      </c>
      <c r="BE340" t="e">
        <f>'North America'!D404+"n/&gt;!1~U"</f>
        <v>#VALUE!</v>
      </c>
      <c r="BF340" t="e">
        <f>'North America'!E404+"n/&gt;!1~V"</f>
        <v>#VALUE!</v>
      </c>
      <c r="BG340" t="e">
        <f>'North America'!F404+"n/&gt;!1~W"</f>
        <v>#VALUE!</v>
      </c>
      <c r="BH340" t="e">
        <f>'North America'!G404+"n/&gt;!1~X"</f>
        <v>#VALUE!</v>
      </c>
      <c r="BI340" t="e">
        <f>'North America'!H404+"n/&gt;!1~Y"</f>
        <v>#VALUE!</v>
      </c>
      <c r="BJ340" t="e">
        <f>'North America'!I404+"n/&gt;!1~Z"</f>
        <v>#VALUE!</v>
      </c>
      <c r="BK340" t="e">
        <f>'North America'!A405+"n/&gt;!1~["</f>
        <v>#VALUE!</v>
      </c>
      <c r="BL340" t="e">
        <f>'North America'!B405+"n/&gt;!1~\"</f>
        <v>#VALUE!</v>
      </c>
      <c r="BM340" t="e">
        <f>'North America'!C405+"n/&gt;!1~]"</f>
        <v>#VALUE!</v>
      </c>
      <c r="BN340" t="e">
        <f>'North America'!D405+"n/&gt;!1~^"</f>
        <v>#VALUE!</v>
      </c>
      <c r="BO340" t="e">
        <f>'North America'!E405+"n/&gt;!1~_"</f>
        <v>#VALUE!</v>
      </c>
      <c r="BP340" t="e">
        <f>'North America'!F405+"n/&gt;!1~`"</f>
        <v>#VALUE!</v>
      </c>
      <c r="BQ340" t="e">
        <f>'North America'!G405+"n/&gt;!1~a"</f>
        <v>#VALUE!</v>
      </c>
      <c r="BR340" t="e">
        <f>'North America'!H405+"n/&gt;!1~b"</f>
        <v>#VALUE!</v>
      </c>
      <c r="BS340" t="e">
        <f>'North America'!I405+"n/&gt;!1~c"</f>
        <v>#VALUE!</v>
      </c>
      <c r="BT340" t="e">
        <f>'North America'!A406+"n/&gt;!1~d"</f>
        <v>#VALUE!</v>
      </c>
      <c r="BU340" t="e">
        <f>'North America'!B406+"n/&gt;!1~e"</f>
        <v>#VALUE!</v>
      </c>
      <c r="BV340" t="e">
        <f>'North America'!C406+"n/&gt;!1~f"</f>
        <v>#VALUE!</v>
      </c>
      <c r="BW340" t="e">
        <f>'North America'!D406+"n/&gt;!1~g"</f>
        <v>#VALUE!</v>
      </c>
      <c r="BX340" t="e">
        <f>'North America'!E406+"n/&gt;!1~h"</f>
        <v>#VALUE!</v>
      </c>
      <c r="BY340" t="e">
        <f>'North America'!F406+"n/&gt;!1~i"</f>
        <v>#VALUE!</v>
      </c>
      <c r="BZ340" t="e">
        <f>'North America'!G406+"n/&gt;!1~j"</f>
        <v>#VALUE!</v>
      </c>
      <c r="CA340" t="e">
        <f>'North America'!H406+"n/&gt;!1~k"</f>
        <v>#VALUE!</v>
      </c>
      <c r="CB340" t="e">
        <f>'North America'!I406+"n/&gt;!1~l"</f>
        <v>#VALUE!</v>
      </c>
      <c r="CC340" t="e">
        <f>'North America'!A407+"n/&gt;!1~m"</f>
        <v>#VALUE!</v>
      </c>
      <c r="CD340" t="e">
        <f>'North America'!B407+"n/&gt;!1~n"</f>
        <v>#VALUE!</v>
      </c>
      <c r="CE340" t="e">
        <f>'North America'!C407+"n/&gt;!1~o"</f>
        <v>#VALUE!</v>
      </c>
      <c r="CF340" t="e">
        <f>'North America'!D407+"n/&gt;!1~p"</f>
        <v>#VALUE!</v>
      </c>
      <c r="CG340" t="e">
        <f>'North America'!E407+"n/&gt;!1~q"</f>
        <v>#VALUE!</v>
      </c>
      <c r="CH340" t="e">
        <f>'North America'!F407+"n/&gt;!1~r"</f>
        <v>#VALUE!</v>
      </c>
      <c r="CI340" t="e">
        <f>'North America'!G407+"n/&gt;!1~s"</f>
        <v>#VALUE!</v>
      </c>
      <c r="CJ340" t="e">
        <f>'North America'!H407+"n/&gt;!1~t"</f>
        <v>#VALUE!</v>
      </c>
      <c r="CK340" t="e">
        <f>'North America'!I407+"n/&gt;!1~u"</f>
        <v>#VALUE!</v>
      </c>
      <c r="CL340" t="e">
        <f>'North America'!A408+"n/&gt;!1~v"</f>
        <v>#VALUE!</v>
      </c>
      <c r="CM340" t="e">
        <f>'North America'!B408+"n/&gt;!1~w"</f>
        <v>#VALUE!</v>
      </c>
      <c r="CN340" t="e">
        <f>'North America'!C408+"n/&gt;!1~x"</f>
        <v>#VALUE!</v>
      </c>
      <c r="CO340" t="e">
        <f>'North America'!D408+"n/&gt;!1~y"</f>
        <v>#VALUE!</v>
      </c>
      <c r="CP340" t="e">
        <f>'North America'!E408+"n/&gt;!1~z"</f>
        <v>#VALUE!</v>
      </c>
      <c r="CQ340" t="e">
        <f>'North America'!F408+"n/&gt;!1~{"</f>
        <v>#VALUE!</v>
      </c>
      <c r="CR340" t="e">
        <f>'North America'!G408+"n/&gt;!1~|"</f>
        <v>#VALUE!</v>
      </c>
      <c r="CS340" t="e">
        <f>'North America'!H408+"n/&gt;!1~}"</f>
        <v>#VALUE!</v>
      </c>
      <c r="CT340" t="e">
        <f>'North America'!I408+"n/&gt;!1~~"</f>
        <v>#VALUE!</v>
      </c>
      <c r="CU340" t="e">
        <f>'North America'!A409+"n/&gt;!2##"</f>
        <v>#VALUE!</v>
      </c>
      <c r="CV340" t="e">
        <f>'North America'!B409+"n/&gt;!2#$"</f>
        <v>#VALUE!</v>
      </c>
      <c r="CW340" t="e">
        <f>'North America'!C409+"n/&gt;!2#%"</f>
        <v>#VALUE!</v>
      </c>
      <c r="CX340" t="e">
        <f>'North America'!D409+"n/&gt;!2#&amp;"</f>
        <v>#VALUE!</v>
      </c>
      <c r="CY340" t="e">
        <f>'North America'!E409+"n/&gt;!2#'"</f>
        <v>#VALUE!</v>
      </c>
      <c r="CZ340" t="e">
        <f>'North America'!F409+"n/&gt;!2#("</f>
        <v>#VALUE!</v>
      </c>
      <c r="DA340" t="e">
        <f>'North America'!G409+"n/&gt;!2#)"</f>
        <v>#VALUE!</v>
      </c>
      <c r="DB340" t="e">
        <f>'North America'!H409+"n/&gt;!2#."</f>
        <v>#VALUE!</v>
      </c>
      <c r="DC340" t="e">
        <f>'North America'!I409+"n/&gt;!2#/"</f>
        <v>#VALUE!</v>
      </c>
      <c r="DD340" t="e">
        <f>'North America'!A410+"n/&gt;!2#0"</f>
        <v>#VALUE!</v>
      </c>
      <c r="DE340" t="e">
        <f>'North America'!B410+"n/&gt;!2#1"</f>
        <v>#VALUE!</v>
      </c>
      <c r="DF340" t="e">
        <f>'North America'!C410+"n/&gt;!2#2"</f>
        <v>#VALUE!</v>
      </c>
      <c r="DG340" t="e">
        <f>'North America'!D410+"n/&gt;!2#3"</f>
        <v>#VALUE!</v>
      </c>
      <c r="DH340" t="e">
        <f>'North America'!E410+"n/&gt;!2#4"</f>
        <v>#VALUE!</v>
      </c>
      <c r="DI340" t="e">
        <f>'North America'!F410+"n/&gt;!2#5"</f>
        <v>#VALUE!</v>
      </c>
      <c r="DJ340" t="e">
        <f>'North America'!G410+"n/&gt;!2#6"</f>
        <v>#VALUE!</v>
      </c>
      <c r="DK340" t="e">
        <f>'North America'!H410+"n/&gt;!2#7"</f>
        <v>#VALUE!</v>
      </c>
      <c r="DL340" t="e">
        <f>'North America'!I410+"n/&gt;!2#8"</f>
        <v>#VALUE!</v>
      </c>
      <c r="DM340" t="e">
        <f>'North America'!A411+"n/&gt;!2#9"</f>
        <v>#VALUE!</v>
      </c>
      <c r="DN340" t="e">
        <f>'North America'!B411+"n/&gt;!2#:"</f>
        <v>#VALUE!</v>
      </c>
      <c r="DO340" t="e">
        <f>'North America'!C411+"n/&gt;!2#;"</f>
        <v>#VALUE!</v>
      </c>
      <c r="DP340" t="e">
        <f>'North America'!D411+"n/&gt;!2#&lt;"</f>
        <v>#VALUE!</v>
      </c>
      <c r="DQ340" t="e">
        <f>'North America'!E411+"n/&gt;!2#="</f>
        <v>#VALUE!</v>
      </c>
      <c r="DR340" t="e">
        <f>'North America'!F411+"n/&gt;!2#&gt;"</f>
        <v>#VALUE!</v>
      </c>
      <c r="DS340" t="e">
        <f>'North America'!G411+"n/&gt;!2#?"</f>
        <v>#VALUE!</v>
      </c>
      <c r="DT340" t="e">
        <f>'North America'!H411+"n/&gt;!2#@"</f>
        <v>#VALUE!</v>
      </c>
      <c r="DU340" t="e">
        <f>'North America'!I411+"n/&gt;!2#A"</f>
        <v>#VALUE!</v>
      </c>
      <c r="DV340" t="e">
        <f>'North America'!A412+"n/&gt;!2#B"</f>
        <v>#VALUE!</v>
      </c>
      <c r="DW340" t="e">
        <f>'North America'!B412+"n/&gt;!2#C"</f>
        <v>#VALUE!</v>
      </c>
      <c r="DX340" t="e">
        <f>'North America'!C412+"n/&gt;!2#D"</f>
        <v>#VALUE!</v>
      </c>
      <c r="DY340" t="e">
        <f>'North America'!D412+"n/&gt;!2#E"</f>
        <v>#VALUE!</v>
      </c>
      <c r="DZ340" t="e">
        <f>'North America'!E412+"n/&gt;!2#F"</f>
        <v>#VALUE!</v>
      </c>
      <c r="EA340" t="e">
        <f>'North America'!F412+"n/&gt;!2#G"</f>
        <v>#VALUE!</v>
      </c>
      <c r="EB340" t="e">
        <f>'North America'!G412+"n/&gt;!2#H"</f>
        <v>#VALUE!</v>
      </c>
      <c r="EC340" t="e">
        <f>'North America'!H412+"n/&gt;!2#I"</f>
        <v>#VALUE!</v>
      </c>
      <c r="ED340" t="e">
        <f>'North America'!I412+"n/&gt;!2#J"</f>
        <v>#VALUE!</v>
      </c>
      <c r="EE340" t="e">
        <f>'North America'!A413+"n/&gt;!2#K"</f>
        <v>#VALUE!</v>
      </c>
      <c r="EF340" t="e">
        <f>'North America'!B413+"n/&gt;!2#L"</f>
        <v>#VALUE!</v>
      </c>
      <c r="EG340" t="e">
        <f>'North America'!C413+"n/&gt;!2#M"</f>
        <v>#VALUE!</v>
      </c>
      <c r="EH340" t="e">
        <f>'North America'!D413+"n/&gt;!2#N"</f>
        <v>#VALUE!</v>
      </c>
      <c r="EI340" t="e">
        <f>'North America'!E413+"n/&gt;!2#O"</f>
        <v>#VALUE!</v>
      </c>
      <c r="EJ340" t="e">
        <f>'North America'!F413+"n/&gt;!2#P"</f>
        <v>#VALUE!</v>
      </c>
      <c r="EK340" t="e">
        <f>'North America'!G413+"n/&gt;!2#Q"</f>
        <v>#VALUE!</v>
      </c>
      <c r="EL340" t="e">
        <f>'North America'!H413+"n/&gt;!2#R"</f>
        <v>#VALUE!</v>
      </c>
      <c r="EM340" t="e">
        <f>'North America'!I413+"n/&gt;!2#S"</f>
        <v>#VALUE!</v>
      </c>
      <c r="EN340" t="e">
        <f>'North America'!A414+"n/&gt;!2#T"</f>
        <v>#VALUE!</v>
      </c>
      <c r="EO340" t="e">
        <f>'North America'!B414+"n/&gt;!2#U"</f>
        <v>#VALUE!</v>
      </c>
      <c r="EP340" t="e">
        <f>'North America'!C414+"n/&gt;!2#V"</f>
        <v>#VALUE!</v>
      </c>
      <c r="EQ340" t="e">
        <f>'North America'!D414+"n/&gt;!2#W"</f>
        <v>#VALUE!</v>
      </c>
      <c r="ER340" t="e">
        <f>'North America'!E414+"n/&gt;!2#X"</f>
        <v>#VALUE!</v>
      </c>
      <c r="ES340" t="e">
        <f>'North America'!F414+"n/&gt;!2#Y"</f>
        <v>#VALUE!</v>
      </c>
      <c r="ET340" t="e">
        <f>'North America'!G414+"n/&gt;!2#Z"</f>
        <v>#VALUE!</v>
      </c>
      <c r="EU340" t="e">
        <f>'North America'!H414+"n/&gt;!2#["</f>
        <v>#VALUE!</v>
      </c>
      <c r="EV340" t="e">
        <f>'North America'!I414+"n/&gt;!2#\"</f>
        <v>#VALUE!</v>
      </c>
      <c r="EW340" t="e">
        <f>'North America'!A415+"n/&gt;!2#]"</f>
        <v>#VALUE!</v>
      </c>
      <c r="EX340" t="e">
        <f>'North America'!B415+"n/&gt;!2#^"</f>
        <v>#VALUE!</v>
      </c>
      <c r="EY340" t="e">
        <f>'North America'!C415+"n/&gt;!2#_"</f>
        <v>#VALUE!</v>
      </c>
      <c r="EZ340" t="e">
        <f>'North America'!D415+"n/&gt;!2#`"</f>
        <v>#VALUE!</v>
      </c>
      <c r="FA340" t="e">
        <f>'North America'!E415+"n/&gt;!2#a"</f>
        <v>#VALUE!</v>
      </c>
      <c r="FB340" t="e">
        <f>'North America'!F415+"n/&gt;!2#b"</f>
        <v>#VALUE!</v>
      </c>
      <c r="FC340" t="e">
        <f>'North America'!G415+"n/&gt;!2#c"</f>
        <v>#VALUE!</v>
      </c>
      <c r="FD340" t="e">
        <f>'North America'!H415+"n/&gt;!2#d"</f>
        <v>#VALUE!</v>
      </c>
      <c r="FE340" t="e">
        <f>'North America'!I415+"n/&gt;!2#e"</f>
        <v>#VALUE!</v>
      </c>
      <c r="FF340" t="e">
        <f>'North America'!A416+"n/&gt;!2#f"</f>
        <v>#VALUE!</v>
      </c>
      <c r="FG340" t="e">
        <f>'North America'!B416+"n/&gt;!2#g"</f>
        <v>#VALUE!</v>
      </c>
      <c r="FH340" t="e">
        <f>'North America'!C416+"n/&gt;!2#h"</f>
        <v>#VALUE!</v>
      </c>
      <c r="FI340" t="e">
        <f>'North America'!D416+"n/&gt;!2#i"</f>
        <v>#VALUE!</v>
      </c>
      <c r="FJ340" t="e">
        <f>'North America'!E416+"n/&gt;!2#j"</f>
        <v>#VALUE!</v>
      </c>
      <c r="FK340" t="e">
        <f>'North America'!F416+"n/&gt;!2#k"</f>
        <v>#VALUE!</v>
      </c>
      <c r="FL340" t="e">
        <f>'North America'!G416+"n/&gt;!2#l"</f>
        <v>#VALUE!</v>
      </c>
      <c r="FM340" t="e">
        <f>'North America'!H416+"n/&gt;!2#m"</f>
        <v>#VALUE!</v>
      </c>
      <c r="FN340" t="e">
        <f>'North America'!I416+"n/&gt;!2#n"</f>
        <v>#VALUE!</v>
      </c>
      <c r="FO340" t="e">
        <f>'North America'!A417+"n/&gt;!2#o"</f>
        <v>#VALUE!</v>
      </c>
      <c r="FP340" t="e">
        <f>'North America'!B417+"n/&gt;!2#p"</f>
        <v>#VALUE!</v>
      </c>
      <c r="FQ340" t="e">
        <f>'North America'!C417+"n/&gt;!2#q"</f>
        <v>#VALUE!</v>
      </c>
      <c r="FR340" t="e">
        <f>'North America'!D417+"n/&gt;!2#r"</f>
        <v>#VALUE!</v>
      </c>
      <c r="FS340" t="e">
        <f>'North America'!E417+"n/&gt;!2#s"</f>
        <v>#VALUE!</v>
      </c>
      <c r="FT340" t="e">
        <f>'North America'!F417+"n/&gt;!2#t"</f>
        <v>#VALUE!</v>
      </c>
      <c r="FU340" t="e">
        <f>'North America'!G417+"n/&gt;!2#u"</f>
        <v>#VALUE!</v>
      </c>
      <c r="FV340" t="e">
        <f>'North America'!H417+"n/&gt;!2#v"</f>
        <v>#VALUE!</v>
      </c>
      <c r="FW340" t="e">
        <f>'North America'!I417+"n/&gt;!2#w"</f>
        <v>#VALUE!</v>
      </c>
      <c r="FX340" t="e">
        <f>'North America'!A418+"n/&gt;!2#x"</f>
        <v>#VALUE!</v>
      </c>
      <c r="FY340" t="e">
        <f>'North America'!B418+"n/&gt;!2#y"</f>
        <v>#VALUE!</v>
      </c>
      <c r="FZ340" t="e">
        <f>'North America'!C418+"n/&gt;!2#z"</f>
        <v>#VALUE!</v>
      </c>
      <c r="GA340" t="e">
        <f>'North America'!D418+"n/&gt;!2#{"</f>
        <v>#VALUE!</v>
      </c>
      <c r="GB340" t="e">
        <f>'North America'!E418+"n/&gt;!2#|"</f>
        <v>#VALUE!</v>
      </c>
      <c r="GC340" t="e">
        <f>'North America'!F418+"n/&gt;!2#}"</f>
        <v>#VALUE!</v>
      </c>
      <c r="GD340" t="e">
        <f>'North America'!G418+"n/&gt;!2#~"</f>
        <v>#VALUE!</v>
      </c>
      <c r="GE340" t="e">
        <f>'North America'!H418+"n/&gt;!2$#"</f>
        <v>#VALUE!</v>
      </c>
      <c r="GF340" t="e">
        <f>'North America'!I418+"n/&gt;!2$$"</f>
        <v>#VALUE!</v>
      </c>
      <c r="GG340" t="e">
        <f>'North America'!A419+"n/&gt;!2$%"</f>
        <v>#VALUE!</v>
      </c>
      <c r="GH340" t="e">
        <f>'North America'!B419+"n/&gt;!2$&amp;"</f>
        <v>#VALUE!</v>
      </c>
      <c r="GI340" t="e">
        <f>'North America'!C419+"n/&gt;!2$'"</f>
        <v>#VALUE!</v>
      </c>
      <c r="GJ340" t="e">
        <f>'North America'!D419+"n/&gt;!2$("</f>
        <v>#VALUE!</v>
      </c>
      <c r="GK340" t="e">
        <f>'North America'!E419+"n/&gt;!2$)"</f>
        <v>#VALUE!</v>
      </c>
      <c r="GL340" t="e">
        <f>'North America'!F419+"n/&gt;!2$."</f>
        <v>#VALUE!</v>
      </c>
      <c r="GM340" t="e">
        <f>'North America'!G419+"n/&gt;!2$/"</f>
        <v>#VALUE!</v>
      </c>
      <c r="GN340" t="e">
        <f>'North America'!H419+"n/&gt;!2$0"</f>
        <v>#VALUE!</v>
      </c>
      <c r="GO340" t="e">
        <f>'North America'!I419+"n/&gt;!2$1"</f>
        <v>#VALUE!</v>
      </c>
      <c r="GP340" t="e">
        <f>'North America'!A420+"n/&gt;!2$2"</f>
        <v>#VALUE!</v>
      </c>
      <c r="GQ340" t="e">
        <f>'North America'!B420+"n/&gt;!2$3"</f>
        <v>#VALUE!</v>
      </c>
      <c r="GR340" t="e">
        <f>'North America'!C420+"n/&gt;!2$4"</f>
        <v>#VALUE!</v>
      </c>
      <c r="GS340" t="e">
        <f>'North America'!D420+"n/&gt;!2$5"</f>
        <v>#VALUE!</v>
      </c>
      <c r="GT340" t="e">
        <f>'North America'!E420+"n/&gt;!2$6"</f>
        <v>#VALUE!</v>
      </c>
      <c r="GU340" t="e">
        <f>'North America'!F420+"n/&gt;!2$7"</f>
        <v>#VALUE!</v>
      </c>
      <c r="GV340" t="e">
        <f>'North America'!G420+"n/&gt;!2$8"</f>
        <v>#VALUE!</v>
      </c>
      <c r="GW340" t="e">
        <f>'North America'!H420+"n/&gt;!2$9"</f>
        <v>#VALUE!</v>
      </c>
      <c r="GX340" t="e">
        <f>'North America'!I420+"n/&gt;!2$:"</f>
        <v>#VALUE!</v>
      </c>
      <c r="GY340" t="e">
        <f>'North America'!A421+"n/&gt;!2$;"</f>
        <v>#VALUE!</v>
      </c>
      <c r="GZ340" t="e">
        <f>'North America'!B421+"n/&gt;!2$&lt;"</f>
        <v>#VALUE!</v>
      </c>
      <c r="HA340" t="e">
        <f>'North America'!C421+"n/&gt;!2$="</f>
        <v>#VALUE!</v>
      </c>
      <c r="HB340" t="e">
        <f>'North America'!D421+"n/&gt;!2$&gt;"</f>
        <v>#VALUE!</v>
      </c>
      <c r="HC340" t="e">
        <f>'North America'!E421+"n/&gt;!2$?"</f>
        <v>#VALUE!</v>
      </c>
      <c r="HD340" t="e">
        <f>'North America'!F421+"n/&gt;!2$@"</f>
        <v>#VALUE!</v>
      </c>
      <c r="HE340" t="e">
        <f>'North America'!G421+"n/&gt;!2$A"</f>
        <v>#VALUE!</v>
      </c>
      <c r="HF340" t="e">
        <f>'North America'!H421+"n/&gt;!2$B"</f>
        <v>#VALUE!</v>
      </c>
      <c r="HG340" t="e">
        <f>'North America'!I421+"n/&gt;!2$C"</f>
        <v>#VALUE!</v>
      </c>
      <c r="HH340" t="e">
        <f>'North America'!A422+"n/&gt;!2$D"</f>
        <v>#VALUE!</v>
      </c>
      <c r="HI340" t="e">
        <f>'North America'!B422+"n/&gt;!2$E"</f>
        <v>#VALUE!</v>
      </c>
      <c r="HJ340" t="e">
        <f>'North America'!C422+"n/&gt;!2$F"</f>
        <v>#VALUE!</v>
      </c>
      <c r="HK340" t="e">
        <f>'North America'!D422+"n/&gt;!2$G"</f>
        <v>#VALUE!</v>
      </c>
      <c r="HL340" t="e">
        <f>'North America'!E422+"n/&gt;!2$H"</f>
        <v>#VALUE!</v>
      </c>
      <c r="HM340" t="e">
        <f>'North America'!F422+"n/&gt;!2$I"</f>
        <v>#VALUE!</v>
      </c>
      <c r="HN340" t="e">
        <f>'North America'!G422+"n/&gt;!2$J"</f>
        <v>#VALUE!</v>
      </c>
      <c r="HO340" t="e">
        <f>'North America'!H422+"n/&gt;!2$K"</f>
        <v>#VALUE!</v>
      </c>
      <c r="HP340" t="e">
        <f>'North America'!I422+"n/&gt;!2$L"</f>
        <v>#VALUE!</v>
      </c>
      <c r="HQ340" t="e">
        <f>'North America'!A423+"n/&gt;!2$M"</f>
        <v>#VALUE!</v>
      </c>
      <c r="HR340" t="e">
        <f>'North America'!B423+"n/&gt;!2$N"</f>
        <v>#VALUE!</v>
      </c>
      <c r="HS340" t="e">
        <f>'North America'!C423+"n/&gt;!2$O"</f>
        <v>#VALUE!</v>
      </c>
      <c r="HT340" t="e">
        <f>'North America'!D423+"n/&gt;!2$P"</f>
        <v>#VALUE!</v>
      </c>
      <c r="HU340" t="e">
        <f>'North America'!E423+"n/&gt;!2$Q"</f>
        <v>#VALUE!</v>
      </c>
      <c r="HV340" t="e">
        <f>'North America'!F423+"n/&gt;!2$R"</f>
        <v>#VALUE!</v>
      </c>
      <c r="HW340" t="e">
        <f>'North America'!G423+"n/&gt;!2$S"</f>
        <v>#VALUE!</v>
      </c>
      <c r="HX340" t="e">
        <f>'North America'!H423+"n/&gt;!2$T"</f>
        <v>#VALUE!</v>
      </c>
      <c r="HY340" t="e">
        <f>'North America'!I423+"n/&gt;!2$U"</f>
        <v>#VALUE!</v>
      </c>
      <c r="HZ340" t="e">
        <f>'North America'!A424+"n/&gt;!2$V"</f>
        <v>#VALUE!</v>
      </c>
      <c r="IA340" t="e">
        <f>'North America'!B424+"n/&gt;!2$W"</f>
        <v>#VALUE!</v>
      </c>
      <c r="IB340" t="e">
        <f>'North America'!C424+"n/&gt;!2$X"</f>
        <v>#VALUE!</v>
      </c>
      <c r="IC340" t="e">
        <f>'North America'!D424+"n/&gt;!2$Y"</f>
        <v>#VALUE!</v>
      </c>
      <c r="ID340" t="e">
        <f>'North America'!E424+"n/&gt;!2$Z"</f>
        <v>#VALUE!</v>
      </c>
      <c r="IE340" t="e">
        <f>'North America'!F424+"n/&gt;!2$["</f>
        <v>#VALUE!</v>
      </c>
      <c r="IF340" t="e">
        <f>'North America'!G424+"n/&gt;!2$\"</f>
        <v>#VALUE!</v>
      </c>
      <c r="IG340" t="e">
        <f>'North America'!H424+"n/&gt;!2$]"</f>
        <v>#VALUE!</v>
      </c>
      <c r="IH340" t="e">
        <f>'North America'!I424+"n/&gt;!2$^"</f>
        <v>#VALUE!</v>
      </c>
      <c r="II340" t="e">
        <f>'North America'!A425+"n/&gt;!2$_"</f>
        <v>#VALUE!</v>
      </c>
      <c r="IJ340" t="e">
        <f>'North America'!B425+"n/&gt;!2$`"</f>
        <v>#VALUE!</v>
      </c>
      <c r="IK340" t="e">
        <f>'North America'!C425+"n/&gt;!2$a"</f>
        <v>#VALUE!</v>
      </c>
      <c r="IL340" t="e">
        <f>'North America'!D425+"n/&gt;!2$b"</f>
        <v>#VALUE!</v>
      </c>
      <c r="IM340" t="e">
        <f>'North America'!E425+"n/&gt;!2$c"</f>
        <v>#VALUE!</v>
      </c>
      <c r="IN340" t="e">
        <f>'North America'!F425+"n/&gt;!2$d"</f>
        <v>#VALUE!</v>
      </c>
      <c r="IO340" t="e">
        <f>'North America'!G425+"n/&gt;!2$e"</f>
        <v>#VALUE!</v>
      </c>
      <c r="IP340" t="e">
        <f>'North America'!H425+"n/&gt;!2$f"</f>
        <v>#VALUE!</v>
      </c>
      <c r="IQ340" t="e">
        <f>'North America'!I425+"n/&gt;!2$g"</f>
        <v>#VALUE!</v>
      </c>
      <c r="IR340" t="e">
        <f>'North America'!A426+"n/&gt;!2$h"</f>
        <v>#VALUE!</v>
      </c>
      <c r="IS340" t="e">
        <f>'North America'!B426+"n/&gt;!2$i"</f>
        <v>#VALUE!</v>
      </c>
      <c r="IT340" t="e">
        <f>'North America'!C426+"n/&gt;!2$j"</f>
        <v>#VALUE!</v>
      </c>
      <c r="IU340" t="e">
        <f>'North America'!D426+"n/&gt;!2$k"</f>
        <v>#VALUE!</v>
      </c>
      <c r="IV340" t="e">
        <f>'North America'!E426+"n/&gt;!2$l"</f>
        <v>#VALUE!</v>
      </c>
    </row>
    <row r="341" spans="6:256" x14ac:dyDescent="0.35">
      <c r="F341" t="e">
        <f>'North America'!F426+"n/&gt;!2$m"</f>
        <v>#VALUE!</v>
      </c>
      <c r="G341" t="e">
        <f>'North America'!G426+"n/&gt;!2$n"</f>
        <v>#VALUE!</v>
      </c>
      <c r="H341" t="e">
        <f>'North America'!H426+"n/&gt;!2$o"</f>
        <v>#VALUE!</v>
      </c>
      <c r="I341" t="e">
        <f>'North America'!I426+"n/&gt;!2$p"</f>
        <v>#VALUE!</v>
      </c>
      <c r="J341" t="e">
        <f>'North America'!A427+"n/&gt;!2$q"</f>
        <v>#VALUE!</v>
      </c>
      <c r="K341" t="e">
        <f>'North America'!B427+"n/&gt;!2$r"</f>
        <v>#VALUE!</v>
      </c>
      <c r="L341" t="e">
        <f>'North America'!C427+"n/&gt;!2$s"</f>
        <v>#VALUE!</v>
      </c>
      <c r="M341" t="e">
        <f>'North America'!D427+"n/&gt;!2$t"</f>
        <v>#VALUE!</v>
      </c>
      <c r="N341" t="e">
        <f>'North America'!E427+"n/&gt;!2$u"</f>
        <v>#VALUE!</v>
      </c>
      <c r="O341" t="e">
        <f>'North America'!F427+"n/&gt;!2$v"</f>
        <v>#VALUE!</v>
      </c>
      <c r="P341" t="e">
        <f>'North America'!G427+"n/&gt;!2$w"</f>
        <v>#VALUE!</v>
      </c>
      <c r="Q341" t="e">
        <f>'North America'!H427+"n/&gt;!2$x"</f>
        <v>#VALUE!</v>
      </c>
      <c r="R341" t="e">
        <f>'North America'!I427+"n/&gt;!2$y"</f>
        <v>#VALUE!</v>
      </c>
      <c r="S341" t="e">
        <f>'North America'!A428+"n/&gt;!2$z"</f>
        <v>#VALUE!</v>
      </c>
      <c r="T341" t="e">
        <f>'North America'!B428+"n/&gt;!2${"</f>
        <v>#VALUE!</v>
      </c>
      <c r="U341" t="e">
        <f>'North America'!C428+"n/&gt;!2$|"</f>
        <v>#VALUE!</v>
      </c>
      <c r="V341" t="e">
        <f>'North America'!D428+"n/&gt;!2$}"</f>
        <v>#VALUE!</v>
      </c>
      <c r="W341" t="e">
        <f>'North America'!E428+"n/&gt;!2$~"</f>
        <v>#VALUE!</v>
      </c>
      <c r="X341" t="e">
        <f>'North America'!F428+"n/&gt;!2%#"</f>
        <v>#VALUE!</v>
      </c>
      <c r="Y341" t="e">
        <f>'North America'!G428+"n/&gt;!2%$"</f>
        <v>#VALUE!</v>
      </c>
      <c r="Z341" t="e">
        <f>'North America'!H428+"n/&gt;!2%%"</f>
        <v>#VALUE!</v>
      </c>
      <c r="AA341" t="e">
        <f>'North America'!I428+"n/&gt;!2%&amp;"</f>
        <v>#VALUE!</v>
      </c>
      <c r="AB341" t="e">
        <f>'North America'!A429+"n/&gt;!2%'"</f>
        <v>#VALUE!</v>
      </c>
      <c r="AC341" t="e">
        <f>'North America'!B429+"n/&gt;!2%("</f>
        <v>#VALUE!</v>
      </c>
      <c r="AD341" t="e">
        <f>'North America'!C429+"n/&gt;!2%)"</f>
        <v>#VALUE!</v>
      </c>
      <c r="AE341" t="e">
        <f>'North America'!D429+"n/&gt;!2%."</f>
        <v>#VALUE!</v>
      </c>
      <c r="AF341" t="e">
        <f>'North America'!E429+"n/&gt;!2%/"</f>
        <v>#VALUE!</v>
      </c>
      <c r="AG341" t="e">
        <f>'North America'!F429+"n/&gt;!2%0"</f>
        <v>#VALUE!</v>
      </c>
      <c r="AH341" t="e">
        <f>'North America'!G429+"n/&gt;!2%1"</f>
        <v>#VALUE!</v>
      </c>
      <c r="AI341" t="e">
        <f>'North America'!H429+"n/&gt;!2%2"</f>
        <v>#VALUE!</v>
      </c>
      <c r="AJ341" t="e">
        <f>'North America'!I429+"n/&gt;!2%3"</f>
        <v>#VALUE!</v>
      </c>
      <c r="AK341" t="e">
        <f>'North America'!A430+"n/&gt;!2%4"</f>
        <v>#VALUE!</v>
      </c>
      <c r="AL341" t="e">
        <f>'North America'!B430+"n/&gt;!2%5"</f>
        <v>#VALUE!</v>
      </c>
      <c r="AM341" t="e">
        <f>'North America'!C430+"n/&gt;!2%6"</f>
        <v>#VALUE!</v>
      </c>
      <c r="AN341" t="e">
        <f>'North America'!D430+"n/&gt;!2%7"</f>
        <v>#VALUE!</v>
      </c>
      <c r="AO341" t="e">
        <f>'North America'!E430+"n/&gt;!2%8"</f>
        <v>#VALUE!</v>
      </c>
      <c r="AP341" t="e">
        <f>'North America'!F430+"n/&gt;!2%9"</f>
        <v>#VALUE!</v>
      </c>
      <c r="AQ341" t="e">
        <f>'North America'!G430+"n/&gt;!2%:"</f>
        <v>#VALUE!</v>
      </c>
      <c r="AR341" t="e">
        <f>'North America'!H430+"n/&gt;!2%;"</f>
        <v>#VALUE!</v>
      </c>
      <c r="AS341" t="e">
        <f>'North America'!I430+"n/&gt;!2%&lt;"</f>
        <v>#VALUE!</v>
      </c>
      <c r="AT341" t="e">
        <f>'North America'!A431+"n/&gt;!2%="</f>
        <v>#VALUE!</v>
      </c>
      <c r="AU341" t="e">
        <f>'North America'!B431+"n/&gt;!2%&gt;"</f>
        <v>#VALUE!</v>
      </c>
      <c r="AV341" t="e">
        <f>'North America'!C431+"n/&gt;!2%?"</f>
        <v>#VALUE!</v>
      </c>
      <c r="AW341" t="e">
        <f>'North America'!D431+"n/&gt;!2%@"</f>
        <v>#VALUE!</v>
      </c>
      <c r="AX341" t="e">
        <f>'North America'!E431+"n/&gt;!2%A"</f>
        <v>#VALUE!</v>
      </c>
      <c r="AY341" t="e">
        <f>'North America'!F431+"n/&gt;!2%B"</f>
        <v>#VALUE!</v>
      </c>
      <c r="AZ341" t="e">
        <f>'North America'!G431+"n/&gt;!2%C"</f>
        <v>#VALUE!</v>
      </c>
      <c r="BA341" t="e">
        <f>'North America'!H431+"n/&gt;!2%D"</f>
        <v>#VALUE!</v>
      </c>
      <c r="BB341" t="e">
        <f>'North America'!I431+"n/&gt;!2%E"</f>
        <v>#VALUE!</v>
      </c>
      <c r="BC341" t="e">
        <f>'North America'!A432+"n/&gt;!2%F"</f>
        <v>#VALUE!</v>
      </c>
      <c r="BD341" t="e">
        <f>'North America'!B432+"n/&gt;!2%G"</f>
        <v>#VALUE!</v>
      </c>
      <c r="BE341" t="e">
        <f>'North America'!C432+"n/&gt;!2%H"</f>
        <v>#VALUE!</v>
      </c>
      <c r="BF341" t="e">
        <f>'North America'!D432+"n/&gt;!2%I"</f>
        <v>#VALUE!</v>
      </c>
      <c r="BG341" t="e">
        <f>'North America'!E432+"n/&gt;!2%J"</f>
        <v>#VALUE!</v>
      </c>
      <c r="BH341" t="e">
        <f>'North America'!F432+"n/&gt;!2%K"</f>
        <v>#VALUE!</v>
      </c>
      <c r="BI341" t="e">
        <f>'North America'!G432+"n/&gt;!2%L"</f>
        <v>#VALUE!</v>
      </c>
      <c r="BJ341" t="e">
        <f>'North America'!H432+"n/&gt;!2%M"</f>
        <v>#VALUE!</v>
      </c>
      <c r="BK341" t="e">
        <f>'North America'!I432+"n/&gt;!2%N"</f>
        <v>#VALUE!</v>
      </c>
      <c r="BL341" t="e">
        <f>'North America'!A433+"n/&gt;!2%O"</f>
        <v>#VALUE!</v>
      </c>
      <c r="BM341" t="e">
        <f>'North America'!B433+"n/&gt;!2%P"</f>
        <v>#VALUE!</v>
      </c>
      <c r="BN341" t="e">
        <f>'North America'!C433+"n/&gt;!2%Q"</f>
        <v>#VALUE!</v>
      </c>
      <c r="BO341" t="e">
        <f>'North America'!D433+"n/&gt;!2%R"</f>
        <v>#VALUE!</v>
      </c>
      <c r="BP341" t="e">
        <f>'North America'!E433+"n/&gt;!2%S"</f>
        <v>#VALUE!</v>
      </c>
      <c r="BQ341" t="e">
        <f>'North America'!F433+"n/&gt;!2%T"</f>
        <v>#VALUE!</v>
      </c>
      <c r="BR341" t="e">
        <f>'North America'!G433+"n/&gt;!2%U"</f>
        <v>#VALUE!</v>
      </c>
      <c r="BS341" t="e">
        <f>'North America'!H433+"n/&gt;!2%V"</f>
        <v>#VALUE!</v>
      </c>
      <c r="BT341" t="e">
        <f>'North America'!I433+"n/&gt;!2%W"</f>
        <v>#VALUE!</v>
      </c>
      <c r="BU341" t="e">
        <f>'North America'!A434+"n/&gt;!2%X"</f>
        <v>#VALUE!</v>
      </c>
      <c r="BV341" t="e">
        <f>'North America'!B434+"n/&gt;!2%Y"</f>
        <v>#VALUE!</v>
      </c>
      <c r="BW341" t="e">
        <f>'North America'!C434+"n/&gt;!2%Z"</f>
        <v>#VALUE!</v>
      </c>
      <c r="BX341" t="e">
        <f>'North America'!D434+"n/&gt;!2%["</f>
        <v>#VALUE!</v>
      </c>
      <c r="BY341" t="e">
        <f>'North America'!E434+"n/&gt;!2%\"</f>
        <v>#VALUE!</v>
      </c>
      <c r="BZ341" t="e">
        <f>'North America'!F434+"n/&gt;!2%]"</f>
        <v>#VALUE!</v>
      </c>
      <c r="CA341" t="e">
        <f>'North America'!G434+"n/&gt;!2%^"</f>
        <v>#VALUE!</v>
      </c>
      <c r="CB341" t="e">
        <f>'North America'!H434+"n/&gt;!2%_"</f>
        <v>#VALUE!</v>
      </c>
      <c r="CC341" t="e">
        <f>'North America'!I434+"n/&gt;!2%`"</f>
        <v>#VALUE!</v>
      </c>
      <c r="CD341" t="e">
        <f>'North America'!A435+"n/&gt;!2%a"</f>
        <v>#VALUE!</v>
      </c>
      <c r="CE341" t="e">
        <f>'North America'!B435+"n/&gt;!2%b"</f>
        <v>#VALUE!</v>
      </c>
      <c r="CF341" t="e">
        <f>'North America'!C435+"n/&gt;!2%c"</f>
        <v>#VALUE!</v>
      </c>
      <c r="CG341" t="e">
        <f>'North America'!D435+"n/&gt;!2%d"</f>
        <v>#VALUE!</v>
      </c>
      <c r="CH341" t="e">
        <f>'North America'!E435+"n/&gt;!2%e"</f>
        <v>#VALUE!</v>
      </c>
      <c r="CI341" t="e">
        <f>'North America'!F435+"n/&gt;!2%f"</f>
        <v>#VALUE!</v>
      </c>
      <c r="CJ341" t="e">
        <f>'North America'!G435+"n/&gt;!2%g"</f>
        <v>#VALUE!</v>
      </c>
      <c r="CK341" t="e">
        <f>'North America'!H435+"n/&gt;!2%h"</f>
        <v>#VALUE!</v>
      </c>
      <c r="CL341" t="e">
        <f>'North America'!I435+"n/&gt;!2%i"</f>
        <v>#VALUE!</v>
      </c>
      <c r="CM341" t="e">
        <f>'North America'!A436+"n/&gt;!2%j"</f>
        <v>#VALUE!</v>
      </c>
      <c r="CN341" t="e">
        <f>'North America'!B436+"n/&gt;!2%k"</f>
        <v>#VALUE!</v>
      </c>
      <c r="CO341" t="e">
        <f>'North America'!C436+"n/&gt;!2%l"</f>
        <v>#VALUE!</v>
      </c>
      <c r="CP341" t="e">
        <f>'North America'!D436+"n/&gt;!2%m"</f>
        <v>#VALUE!</v>
      </c>
      <c r="CQ341" t="e">
        <f>'North America'!E436+"n/&gt;!2%n"</f>
        <v>#VALUE!</v>
      </c>
      <c r="CR341" t="e">
        <f>'North America'!F436+"n/&gt;!2%o"</f>
        <v>#VALUE!</v>
      </c>
      <c r="CS341" t="e">
        <f>'North America'!G436+"n/&gt;!2%p"</f>
        <v>#VALUE!</v>
      </c>
      <c r="CT341" t="e">
        <f>'North America'!H436+"n/&gt;!2%q"</f>
        <v>#VALUE!</v>
      </c>
      <c r="CU341" t="e">
        <f>'North America'!I436+"n/&gt;!2%r"</f>
        <v>#VALUE!</v>
      </c>
      <c r="CV341" t="e">
        <f>'North America'!A437+"n/&gt;!2%s"</f>
        <v>#VALUE!</v>
      </c>
      <c r="CW341" t="e">
        <f>'North America'!B437+"n/&gt;!2%t"</f>
        <v>#VALUE!</v>
      </c>
      <c r="CX341" t="e">
        <f>'North America'!C437+"n/&gt;!2%u"</f>
        <v>#VALUE!</v>
      </c>
      <c r="CY341" t="e">
        <f>'North America'!D437+"n/&gt;!2%v"</f>
        <v>#VALUE!</v>
      </c>
      <c r="CZ341" t="e">
        <f>'North America'!E437+"n/&gt;!2%w"</f>
        <v>#VALUE!</v>
      </c>
      <c r="DA341" t="e">
        <f>'North America'!F437+"n/&gt;!2%x"</f>
        <v>#VALUE!</v>
      </c>
      <c r="DB341" t="e">
        <f>'North America'!G437+"n/&gt;!2%y"</f>
        <v>#VALUE!</v>
      </c>
      <c r="DC341" t="e">
        <f>'North America'!H437+"n/&gt;!2%z"</f>
        <v>#VALUE!</v>
      </c>
      <c r="DD341" t="e">
        <f>'North America'!I437+"n/&gt;!2%{"</f>
        <v>#VALUE!</v>
      </c>
      <c r="DE341" t="e">
        <f>'North America'!A438+"n/&gt;!2%|"</f>
        <v>#VALUE!</v>
      </c>
      <c r="DF341" t="e">
        <f>'North America'!B438+"n/&gt;!2%}"</f>
        <v>#VALUE!</v>
      </c>
      <c r="DG341" t="e">
        <f>'North America'!C438+"n/&gt;!2%~"</f>
        <v>#VALUE!</v>
      </c>
      <c r="DH341" t="e">
        <f>'North America'!D438+"n/&gt;!2&amp;#"</f>
        <v>#VALUE!</v>
      </c>
      <c r="DI341" t="e">
        <f>'North America'!E438+"n/&gt;!2&amp;$"</f>
        <v>#VALUE!</v>
      </c>
      <c r="DJ341" t="e">
        <f>'North America'!F438+"n/&gt;!2&amp;%"</f>
        <v>#VALUE!</v>
      </c>
      <c r="DK341" t="e">
        <f>'North America'!G438+"n/&gt;!2&amp;&amp;"</f>
        <v>#VALUE!</v>
      </c>
      <c r="DL341" t="e">
        <f>'North America'!H438+"n/&gt;!2&amp;'"</f>
        <v>#VALUE!</v>
      </c>
      <c r="DM341" t="e">
        <f>'North America'!I438+"n/&gt;!2&amp;("</f>
        <v>#VALUE!</v>
      </c>
      <c r="DN341" t="e">
        <f>'North America'!A439+"n/&gt;!2&amp;)"</f>
        <v>#VALUE!</v>
      </c>
      <c r="DO341" t="e">
        <f>'North America'!B439+"n/&gt;!2&amp;."</f>
        <v>#VALUE!</v>
      </c>
      <c r="DP341" t="e">
        <f>'North America'!C439+"n/&gt;!2&amp;/"</f>
        <v>#VALUE!</v>
      </c>
      <c r="DQ341" t="e">
        <f>'North America'!D439+"n/&gt;!2&amp;0"</f>
        <v>#VALUE!</v>
      </c>
      <c r="DR341" t="e">
        <f>'North America'!E439+"n/&gt;!2&amp;1"</f>
        <v>#VALUE!</v>
      </c>
      <c r="DS341" t="e">
        <f>'North America'!F439+"n/&gt;!2&amp;2"</f>
        <v>#VALUE!</v>
      </c>
      <c r="DT341" t="e">
        <f>'North America'!G439+"n/&gt;!2&amp;3"</f>
        <v>#VALUE!</v>
      </c>
      <c r="DU341" t="e">
        <f>'North America'!H439+"n/&gt;!2&amp;4"</f>
        <v>#VALUE!</v>
      </c>
      <c r="DV341" t="e">
        <f>'North America'!I439+"n/&gt;!2&amp;5"</f>
        <v>#VALUE!</v>
      </c>
      <c r="DW341" t="e">
        <f>'North America'!A440+"n/&gt;!2&amp;6"</f>
        <v>#VALUE!</v>
      </c>
      <c r="DX341" t="e">
        <f>'North America'!B440+"n/&gt;!2&amp;7"</f>
        <v>#VALUE!</v>
      </c>
      <c r="DY341" t="e">
        <f>'North America'!C440+"n/&gt;!2&amp;8"</f>
        <v>#VALUE!</v>
      </c>
      <c r="DZ341" t="e">
        <f>'North America'!D440+"n/&gt;!2&amp;9"</f>
        <v>#VALUE!</v>
      </c>
      <c r="EA341" t="e">
        <f>'North America'!E440+"n/&gt;!2&amp;:"</f>
        <v>#VALUE!</v>
      </c>
      <c r="EB341" t="e">
        <f>'North America'!F440+"n/&gt;!2&amp;;"</f>
        <v>#VALUE!</v>
      </c>
      <c r="EC341" t="e">
        <f>'North America'!G440+"n/&gt;!2&amp;&lt;"</f>
        <v>#VALUE!</v>
      </c>
      <c r="ED341" t="e">
        <f>'North America'!H440+"n/&gt;!2&amp;="</f>
        <v>#VALUE!</v>
      </c>
      <c r="EE341" t="e">
        <f>'North America'!I440+"n/&gt;!2&amp;&gt;"</f>
        <v>#VALUE!</v>
      </c>
      <c r="EF341" t="e">
        <f>'North America'!A441+"n/&gt;!2&amp;?"</f>
        <v>#VALUE!</v>
      </c>
      <c r="EG341" t="e">
        <f>'North America'!B441+"n/&gt;!2&amp;@"</f>
        <v>#VALUE!</v>
      </c>
      <c r="EH341" t="e">
        <f>'North America'!C441+"n/&gt;!2&amp;A"</f>
        <v>#VALUE!</v>
      </c>
      <c r="EI341" t="e">
        <f>'North America'!D441+"n/&gt;!2&amp;B"</f>
        <v>#VALUE!</v>
      </c>
      <c r="EJ341" t="e">
        <f>'North America'!E441+"n/&gt;!2&amp;C"</f>
        <v>#VALUE!</v>
      </c>
      <c r="EK341" t="e">
        <f>'North America'!F441+"n/&gt;!2&amp;D"</f>
        <v>#VALUE!</v>
      </c>
      <c r="EL341" t="e">
        <f>'North America'!G441+"n/&gt;!2&amp;E"</f>
        <v>#VALUE!</v>
      </c>
      <c r="EM341" t="e">
        <f>'North America'!H441+"n/&gt;!2&amp;F"</f>
        <v>#VALUE!</v>
      </c>
      <c r="EN341" t="e">
        <f>'North America'!I441+"n/&gt;!2&amp;G"</f>
        <v>#VALUE!</v>
      </c>
      <c r="EO341" t="e">
        <f>'North America'!A442+"n/&gt;!2&amp;H"</f>
        <v>#VALUE!</v>
      </c>
      <c r="EP341" t="e">
        <f>'North America'!B442+"n/&gt;!2&amp;I"</f>
        <v>#VALUE!</v>
      </c>
      <c r="EQ341" t="e">
        <f>'North America'!C442+"n/&gt;!2&amp;J"</f>
        <v>#VALUE!</v>
      </c>
      <c r="ER341" t="e">
        <f>'North America'!D442+"n/&gt;!2&amp;K"</f>
        <v>#VALUE!</v>
      </c>
      <c r="ES341" t="e">
        <f>'North America'!E442+"n/&gt;!2&amp;L"</f>
        <v>#VALUE!</v>
      </c>
      <c r="ET341" t="e">
        <f>'North America'!F442+"n/&gt;!2&amp;M"</f>
        <v>#VALUE!</v>
      </c>
      <c r="EU341" t="e">
        <f>'North America'!G442+"n/&gt;!2&amp;N"</f>
        <v>#VALUE!</v>
      </c>
      <c r="EV341" t="e">
        <f>'North America'!H442+"n/&gt;!2&amp;O"</f>
        <v>#VALUE!</v>
      </c>
      <c r="EW341" t="e">
        <f>'North America'!I442+"n/&gt;!2&amp;P"</f>
        <v>#VALUE!</v>
      </c>
      <c r="EX341" t="e">
        <f>'North America'!A443+"n/&gt;!2&amp;Q"</f>
        <v>#VALUE!</v>
      </c>
      <c r="EY341" t="e">
        <f>'North America'!B443+"n/&gt;!2&amp;R"</f>
        <v>#VALUE!</v>
      </c>
      <c r="EZ341" t="e">
        <f>'North America'!C443+"n/&gt;!2&amp;S"</f>
        <v>#VALUE!</v>
      </c>
      <c r="FA341" t="e">
        <f>'North America'!D443+"n/&gt;!2&amp;T"</f>
        <v>#VALUE!</v>
      </c>
      <c r="FB341" t="e">
        <f>'North America'!E443+"n/&gt;!2&amp;U"</f>
        <v>#VALUE!</v>
      </c>
      <c r="FC341" t="e">
        <f>'North America'!F443+"n/&gt;!2&amp;V"</f>
        <v>#VALUE!</v>
      </c>
      <c r="FD341" t="e">
        <f>'North America'!G443+"n/&gt;!2&amp;W"</f>
        <v>#VALUE!</v>
      </c>
      <c r="FE341" t="e">
        <f>'North America'!H443+"n/&gt;!2&amp;X"</f>
        <v>#VALUE!</v>
      </c>
      <c r="FF341" t="e">
        <f>'North America'!I443+"n/&gt;!2&amp;Y"</f>
        <v>#VALUE!</v>
      </c>
      <c r="FG341" t="e">
        <f>'North America'!A444+"n/&gt;!2&amp;Z"</f>
        <v>#VALUE!</v>
      </c>
      <c r="FH341" t="e">
        <f>'North America'!B444+"n/&gt;!2&amp;["</f>
        <v>#VALUE!</v>
      </c>
      <c r="FI341" t="e">
        <f>'North America'!C444+"n/&gt;!2&amp;\"</f>
        <v>#VALUE!</v>
      </c>
      <c r="FJ341" t="e">
        <f>'North America'!D444+"n/&gt;!2&amp;]"</f>
        <v>#VALUE!</v>
      </c>
      <c r="FK341" t="e">
        <f>'North America'!E444+"n/&gt;!2&amp;^"</f>
        <v>#VALUE!</v>
      </c>
      <c r="FL341" t="e">
        <f>'North America'!F444+"n/&gt;!2&amp;_"</f>
        <v>#VALUE!</v>
      </c>
      <c r="FM341" t="e">
        <f>'North America'!G444+"n/&gt;!2&amp;`"</f>
        <v>#VALUE!</v>
      </c>
      <c r="FN341" t="e">
        <f>'North America'!H444+"n/&gt;!2&amp;a"</f>
        <v>#VALUE!</v>
      </c>
      <c r="FO341" t="e">
        <f>'North America'!I444+"n/&gt;!2&amp;b"</f>
        <v>#VALUE!</v>
      </c>
      <c r="FP341" t="e">
        <f>'North America'!A445+"n/&gt;!2&amp;c"</f>
        <v>#VALUE!</v>
      </c>
      <c r="FQ341" t="e">
        <f>'North America'!B445+"n/&gt;!2&amp;d"</f>
        <v>#VALUE!</v>
      </c>
      <c r="FR341" t="e">
        <f>'North America'!C445+"n/&gt;!2&amp;e"</f>
        <v>#VALUE!</v>
      </c>
      <c r="FS341" t="e">
        <f>'North America'!D445+"n/&gt;!2&amp;f"</f>
        <v>#VALUE!</v>
      </c>
      <c r="FT341" t="e">
        <f>'North America'!E445+"n/&gt;!2&amp;g"</f>
        <v>#VALUE!</v>
      </c>
      <c r="FU341" t="e">
        <f>'North America'!F445+"n/&gt;!2&amp;h"</f>
        <v>#VALUE!</v>
      </c>
      <c r="FV341" t="e">
        <f>'North America'!G445+"n/&gt;!2&amp;i"</f>
        <v>#VALUE!</v>
      </c>
      <c r="FW341" t="e">
        <f>'North America'!H445+"n/&gt;!2&amp;j"</f>
        <v>#VALUE!</v>
      </c>
      <c r="FX341" t="e">
        <f>'North America'!I445+"n/&gt;!2&amp;k"</f>
        <v>#VALUE!</v>
      </c>
      <c r="FY341" t="e">
        <f>'North America'!A446+"n/&gt;!2&amp;l"</f>
        <v>#VALUE!</v>
      </c>
      <c r="FZ341" t="e">
        <f>'North America'!B446+"n/&gt;!2&amp;m"</f>
        <v>#VALUE!</v>
      </c>
      <c r="GA341" t="e">
        <f>'North America'!C446+"n/&gt;!2&amp;n"</f>
        <v>#VALUE!</v>
      </c>
      <c r="GB341" t="e">
        <f>'North America'!D446+"n/&gt;!2&amp;o"</f>
        <v>#VALUE!</v>
      </c>
      <c r="GC341" t="e">
        <f>'North America'!E446+"n/&gt;!2&amp;p"</f>
        <v>#VALUE!</v>
      </c>
      <c r="GD341" t="e">
        <f>'North America'!F446+"n/&gt;!2&amp;q"</f>
        <v>#VALUE!</v>
      </c>
      <c r="GE341" t="e">
        <f>'North America'!G446+"n/&gt;!2&amp;r"</f>
        <v>#VALUE!</v>
      </c>
      <c r="GF341" t="e">
        <f>'North America'!H446+"n/&gt;!2&amp;s"</f>
        <v>#VALUE!</v>
      </c>
      <c r="GG341" t="e">
        <f>'North America'!I446+"n/&gt;!2&amp;t"</f>
        <v>#VALUE!</v>
      </c>
      <c r="GH341" t="e">
        <f>'North America'!A447+"n/&gt;!2&amp;u"</f>
        <v>#VALUE!</v>
      </c>
      <c r="GI341" t="e">
        <f>'North America'!B447+"n/&gt;!2&amp;v"</f>
        <v>#VALUE!</v>
      </c>
      <c r="GJ341" t="e">
        <f>'North America'!C447+"n/&gt;!2&amp;w"</f>
        <v>#VALUE!</v>
      </c>
      <c r="GK341" t="e">
        <f>'North America'!D447+"n/&gt;!2&amp;x"</f>
        <v>#VALUE!</v>
      </c>
      <c r="GL341" t="e">
        <f>'North America'!E447+"n/&gt;!2&amp;y"</f>
        <v>#VALUE!</v>
      </c>
      <c r="GM341" t="e">
        <f>'North America'!F447+"n/&gt;!2&amp;z"</f>
        <v>#VALUE!</v>
      </c>
      <c r="GN341" t="e">
        <f>'North America'!G447+"n/&gt;!2&amp;{"</f>
        <v>#VALUE!</v>
      </c>
      <c r="GO341" t="e">
        <f>'North America'!H447+"n/&gt;!2&amp;|"</f>
        <v>#VALUE!</v>
      </c>
      <c r="GP341" t="e">
        <f>'North America'!I447+"n/&gt;!2&amp;}"</f>
        <v>#VALUE!</v>
      </c>
      <c r="GQ341" t="e">
        <f>'North America'!A448+"n/&gt;!2&amp;~"</f>
        <v>#VALUE!</v>
      </c>
      <c r="GR341" t="e">
        <f>'North America'!B448+"n/&gt;!2'#"</f>
        <v>#VALUE!</v>
      </c>
      <c r="GS341" t="e">
        <f>'North America'!C448+"n/&gt;!2'$"</f>
        <v>#VALUE!</v>
      </c>
      <c r="GT341" t="e">
        <f>'North America'!D448+"n/&gt;!2'%"</f>
        <v>#VALUE!</v>
      </c>
      <c r="GU341" t="e">
        <f>'North America'!E448+"n/&gt;!2'&amp;"</f>
        <v>#VALUE!</v>
      </c>
      <c r="GV341" t="e">
        <f>'North America'!F448+"n/&gt;!2''"</f>
        <v>#VALUE!</v>
      </c>
      <c r="GW341" t="e">
        <f>'North America'!G448+"n/&gt;!2'("</f>
        <v>#VALUE!</v>
      </c>
      <c r="GX341" t="e">
        <f>'North America'!H448+"n/&gt;!2')"</f>
        <v>#VALUE!</v>
      </c>
      <c r="GY341" t="e">
        <f>'North America'!I448+"n/&gt;!2'."</f>
        <v>#VALUE!</v>
      </c>
      <c r="GZ341" t="e">
        <f>'North America'!A449+"n/&gt;!2'/"</f>
        <v>#VALUE!</v>
      </c>
      <c r="HA341" t="e">
        <f>'North America'!B449+"n/&gt;!2'0"</f>
        <v>#VALUE!</v>
      </c>
      <c r="HB341" t="e">
        <f>'North America'!C449+"n/&gt;!2'1"</f>
        <v>#VALUE!</v>
      </c>
      <c r="HC341" t="e">
        <f>'North America'!D449+"n/&gt;!2'2"</f>
        <v>#VALUE!</v>
      </c>
      <c r="HD341" t="e">
        <f>'North America'!E449+"n/&gt;!2'3"</f>
        <v>#VALUE!</v>
      </c>
      <c r="HE341" t="e">
        <f>'North America'!F449+"n/&gt;!2'4"</f>
        <v>#VALUE!</v>
      </c>
      <c r="HF341" t="e">
        <f>'North America'!G449+"n/&gt;!2'5"</f>
        <v>#VALUE!</v>
      </c>
      <c r="HG341" t="e">
        <f>'North America'!H449+"n/&gt;!2'6"</f>
        <v>#VALUE!</v>
      </c>
      <c r="HH341" t="e">
        <f>'North America'!I449+"n/&gt;!2'7"</f>
        <v>#VALUE!</v>
      </c>
      <c r="HI341" t="e">
        <f>'North America'!A450+"n/&gt;!2'8"</f>
        <v>#VALUE!</v>
      </c>
      <c r="HJ341" t="e">
        <f>'North America'!B450+"n/&gt;!2'9"</f>
        <v>#VALUE!</v>
      </c>
      <c r="HK341" t="e">
        <f>'North America'!C450+"n/&gt;!2':"</f>
        <v>#VALUE!</v>
      </c>
      <c r="HL341" t="e">
        <f>'North America'!D450+"n/&gt;!2';"</f>
        <v>#VALUE!</v>
      </c>
      <c r="HM341" t="e">
        <f>'North America'!E450+"n/&gt;!2'&lt;"</f>
        <v>#VALUE!</v>
      </c>
      <c r="HN341" t="e">
        <f>'North America'!F450+"n/&gt;!2'="</f>
        <v>#VALUE!</v>
      </c>
      <c r="HO341" t="e">
        <f>'North America'!G450+"n/&gt;!2'&gt;"</f>
        <v>#VALUE!</v>
      </c>
      <c r="HP341" t="e">
        <f>'North America'!H450+"n/&gt;!2'?"</f>
        <v>#VALUE!</v>
      </c>
      <c r="HQ341" t="e">
        <f>'North America'!I450+"n/&gt;!2'@"</f>
        <v>#VALUE!</v>
      </c>
      <c r="HR341" t="e">
        <f>'North America'!A451+"n/&gt;!2'A"</f>
        <v>#VALUE!</v>
      </c>
      <c r="HS341" t="e">
        <f>'North America'!B451+"n/&gt;!2'B"</f>
        <v>#VALUE!</v>
      </c>
      <c r="HT341" t="e">
        <f>'North America'!C451+"n/&gt;!2'C"</f>
        <v>#VALUE!</v>
      </c>
      <c r="HU341" t="e">
        <f>'North America'!D451+"n/&gt;!2'D"</f>
        <v>#VALUE!</v>
      </c>
      <c r="HV341" t="e">
        <f>'North America'!E451+"n/&gt;!2'E"</f>
        <v>#VALUE!</v>
      </c>
      <c r="HW341" t="e">
        <f>'North America'!F451+"n/&gt;!2'F"</f>
        <v>#VALUE!</v>
      </c>
      <c r="HX341" t="e">
        <f>'North America'!G451+"n/&gt;!2'G"</f>
        <v>#VALUE!</v>
      </c>
      <c r="HY341" t="e">
        <f>'North America'!H451+"n/&gt;!2'H"</f>
        <v>#VALUE!</v>
      </c>
      <c r="HZ341" t="e">
        <f>'North America'!I451+"n/&gt;!2'I"</f>
        <v>#VALUE!</v>
      </c>
      <c r="IA341" t="e">
        <f>'North America'!A452+"n/&gt;!2'J"</f>
        <v>#VALUE!</v>
      </c>
      <c r="IB341" t="e">
        <f>'North America'!B452+"n/&gt;!2'K"</f>
        <v>#VALUE!</v>
      </c>
      <c r="IC341" t="e">
        <f>'North America'!C452+"n/&gt;!2'L"</f>
        <v>#VALUE!</v>
      </c>
      <c r="ID341" t="e">
        <f>'North America'!D452+"n/&gt;!2'M"</f>
        <v>#VALUE!</v>
      </c>
      <c r="IE341" t="e">
        <f>'North America'!E452+"n/&gt;!2'N"</f>
        <v>#VALUE!</v>
      </c>
      <c r="IF341" t="e">
        <f>'North America'!F452+"n/&gt;!2'O"</f>
        <v>#VALUE!</v>
      </c>
      <c r="IG341" t="e">
        <f>'North America'!G452+"n/&gt;!2'P"</f>
        <v>#VALUE!</v>
      </c>
      <c r="IH341" t="e">
        <f>'North America'!H452+"n/&gt;!2'Q"</f>
        <v>#VALUE!</v>
      </c>
      <c r="II341" t="e">
        <f>'North America'!I452+"n/&gt;!2'R"</f>
        <v>#VALUE!</v>
      </c>
      <c r="IJ341" t="e">
        <f>'North America'!A453+"n/&gt;!2'S"</f>
        <v>#VALUE!</v>
      </c>
      <c r="IK341" t="e">
        <f>'North America'!B453+"n/&gt;!2'T"</f>
        <v>#VALUE!</v>
      </c>
      <c r="IL341" t="e">
        <f>'North America'!C453+"n/&gt;!2'U"</f>
        <v>#VALUE!</v>
      </c>
      <c r="IM341" t="e">
        <f>'North America'!D453+"n/&gt;!2'V"</f>
        <v>#VALUE!</v>
      </c>
      <c r="IN341" t="e">
        <f>'North America'!E453+"n/&gt;!2'W"</f>
        <v>#VALUE!</v>
      </c>
      <c r="IO341" t="e">
        <f>'North America'!F453+"n/&gt;!2'X"</f>
        <v>#VALUE!</v>
      </c>
      <c r="IP341" t="e">
        <f>'North America'!G453+"n/&gt;!2'Y"</f>
        <v>#VALUE!</v>
      </c>
      <c r="IQ341" t="e">
        <f>'North America'!H453+"n/&gt;!2'Z"</f>
        <v>#VALUE!</v>
      </c>
      <c r="IR341" t="e">
        <f>'North America'!I453+"n/&gt;!2'["</f>
        <v>#VALUE!</v>
      </c>
      <c r="IS341" t="e">
        <f>'North America'!A454+"n/&gt;!2'\"</f>
        <v>#VALUE!</v>
      </c>
      <c r="IT341" t="e">
        <f>'North America'!B454+"n/&gt;!2']"</f>
        <v>#VALUE!</v>
      </c>
      <c r="IU341" t="e">
        <f>'North America'!C454+"n/&gt;!2'^"</f>
        <v>#VALUE!</v>
      </c>
      <c r="IV341" t="e">
        <f>'North America'!D454+"n/&gt;!2'_"</f>
        <v>#VALUE!</v>
      </c>
    </row>
    <row r="342" spans="6:256" x14ac:dyDescent="0.35">
      <c r="F342" t="e">
        <f>'North America'!E454+"n/&gt;!2'`"</f>
        <v>#VALUE!</v>
      </c>
      <c r="G342" t="e">
        <f>'North America'!F454+"n/&gt;!2'a"</f>
        <v>#VALUE!</v>
      </c>
      <c r="H342" t="e">
        <f>'North America'!G454+"n/&gt;!2'b"</f>
        <v>#VALUE!</v>
      </c>
      <c r="I342" t="e">
        <f>'North America'!H454+"n/&gt;!2'c"</f>
        <v>#VALUE!</v>
      </c>
      <c r="J342" t="e">
        <f>'North America'!I454+"n/&gt;!2'd"</f>
        <v>#VALUE!</v>
      </c>
      <c r="K342" t="e">
        <f>'North America'!A455+"n/&gt;!2'e"</f>
        <v>#VALUE!</v>
      </c>
      <c r="L342" t="e">
        <f>'North America'!B455+"n/&gt;!2'f"</f>
        <v>#VALUE!</v>
      </c>
      <c r="M342" t="e">
        <f>'North America'!C455+"n/&gt;!2'g"</f>
        <v>#VALUE!</v>
      </c>
      <c r="N342" t="e">
        <f>'North America'!D455+"n/&gt;!2'h"</f>
        <v>#VALUE!</v>
      </c>
      <c r="O342" t="e">
        <f>'North America'!E455+"n/&gt;!2'i"</f>
        <v>#VALUE!</v>
      </c>
      <c r="P342" t="e">
        <f>'North America'!F455+"n/&gt;!2'j"</f>
        <v>#VALUE!</v>
      </c>
      <c r="Q342" t="e">
        <f>'North America'!G455+"n/&gt;!2'k"</f>
        <v>#VALUE!</v>
      </c>
      <c r="R342" t="e">
        <f>'North America'!H455+"n/&gt;!2'l"</f>
        <v>#VALUE!</v>
      </c>
      <c r="S342" t="e">
        <f>'North America'!I455+"n/&gt;!2'm"</f>
        <v>#VALUE!</v>
      </c>
      <c r="T342" t="e">
        <f>'North America'!A456+"n/&gt;!2'n"</f>
        <v>#VALUE!</v>
      </c>
      <c r="U342" t="e">
        <f>'North America'!B456+"n/&gt;!2'o"</f>
        <v>#VALUE!</v>
      </c>
      <c r="V342" t="e">
        <f>'North America'!C456+"n/&gt;!2'p"</f>
        <v>#VALUE!</v>
      </c>
      <c r="W342" t="e">
        <f>'North America'!D456+"n/&gt;!2'q"</f>
        <v>#VALUE!</v>
      </c>
      <c r="X342" t="e">
        <f>'North America'!E456+"n/&gt;!2'r"</f>
        <v>#VALUE!</v>
      </c>
      <c r="Y342" t="e">
        <f>'North America'!F456+"n/&gt;!2's"</f>
        <v>#VALUE!</v>
      </c>
      <c r="Z342" t="e">
        <f>'North America'!G456+"n/&gt;!2't"</f>
        <v>#VALUE!</v>
      </c>
      <c r="AA342" t="e">
        <f>'North America'!H456+"n/&gt;!2'u"</f>
        <v>#VALUE!</v>
      </c>
      <c r="AB342" t="e">
        <f>'North America'!I456+"n/&gt;!2'v"</f>
        <v>#VALUE!</v>
      </c>
      <c r="AC342" t="e">
        <f>'North America'!A457+"n/&gt;!2'w"</f>
        <v>#VALUE!</v>
      </c>
      <c r="AD342" t="e">
        <f>'North America'!B457+"n/&gt;!2'x"</f>
        <v>#VALUE!</v>
      </c>
      <c r="AE342" t="e">
        <f>'North America'!C457+"n/&gt;!2'y"</f>
        <v>#VALUE!</v>
      </c>
      <c r="AF342" t="e">
        <f>'North America'!D457+"n/&gt;!2'z"</f>
        <v>#VALUE!</v>
      </c>
      <c r="AG342" t="e">
        <f>'North America'!E457+"n/&gt;!2'{"</f>
        <v>#VALUE!</v>
      </c>
      <c r="AH342" t="e">
        <f>'North America'!F457+"n/&gt;!2'|"</f>
        <v>#VALUE!</v>
      </c>
      <c r="AI342" t="e">
        <f>'North America'!G457+"n/&gt;!2'}"</f>
        <v>#VALUE!</v>
      </c>
      <c r="AJ342" t="e">
        <f>'North America'!H457+"n/&gt;!2'~"</f>
        <v>#VALUE!</v>
      </c>
      <c r="AK342" t="e">
        <f>'North America'!I457+"n/&gt;!2(#"</f>
        <v>#VALUE!</v>
      </c>
      <c r="AL342" t="e">
        <f>'North America'!A458+"n/&gt;!2($"</f>
        <v>#VALUE!</v>
      </c>
      <c r="AM342" t="e">
        <f>'North America'!B458+"n/&gt;!2(%"</f>
        <v>#VALUE!</v>
      </c>
      <c r="AN342" t="e">
        <f>'North America'!C458+"n/&gt;!2(&amp;"</f>
        <v>#VALUE!</v>
      </c>
      <c r="AO342" t="e">
        <f>'North America'!D458+"n/&gt;!2('"</f>
        <v>#VALUE!</v>
      </c>
      <c r="AP342" t="e">
        <f>'North America'!E458+"n/&gt;!2(("</f>
        <v>#VALUE!</v>
      </c>
      <c r="AQ342" t="e">
        <f>'North America'!F458+"n/&gt;!2()"</f>
        <v>#VALUE!</v>
      </c>
      <c r="AR342" t="e">
        <f>'North America'!G458+"n/&gt;!2(."</f>
        <v>#VALUE!</v>
      </c>
      <c r="AS342" t="e">
        <f>'North America'!H458+"n/&gt;!2(/"</f>
        <v>#VALUE!</v>
      </c>
      <c r="AT342" t="e">
        <f>'North America'!I458+"n/&gt;!2(0"</f>
        <v>#VALUE!</v>
      </c>
      <c r="AU342" t="e">
        <f>'North America'!A459+"n/&gt;!2(1"</f>
        <v>#VALUE!</v>
      </c>
      <c r="AV342" t="e">
        <f>'North America'!B459+"n/&gt;!2(2"</f>
        <v>#VALUE!</v>
      </c>
      <c r="AW342" t="e">
        <f>'North America'!C459+"n/&gt;!2(3"</f>
        <v>#VALUE!</v>
      </c>
      <c r="AX342" t="e">
        <f>'North America'!D459+"n/&gt;!2(4"</f>
        <v>#VALUE!</v>
      </c>
      <c r="AY342" t="e">
        <f>'North America'!E459+"n/&gt;!2(5"</f>
        <v>#VALUE!</v>
      </c>
      <c r="AZ342" t="e">
        <f>'North America'!F459+"n/&gt;!2(6"</f>
        <v>#VALUE!</v>
      </c>
      <c r="BA342" t="e">
        <f>'North America'!G459+"n/&gt;!2(7"</f>
        <v>#VALUE!</v>
      </c>
      <c r="BB342" t="e">
        <f>'North America'!H459+"n/&gt;!2(8"</f>
        <v>#VALUE!</v>
      </c>
      <c r="BC342" t="e">
        <f>'North America'!I459+"n/&gt;!2(9"</f>
        <v>#VALUE!</v>
      </c>
      <c r="BD342" t="e">
        <f>'North America'!A460+"n/&gt;!2(:"</f>
        <v>#VALUE!</v>
      </c>
      <c r="BE342" t="e">
        <f>'North America'!B460+"n/&gt;!2(;"</f>
        <v>#VALUE!</v>
      </c>
      <c r="BF342" t="e">
        <f>'North America'!C460+"n/&gt;!2(&lt;"</f>
        <v>#VALUE!</v>
      </c>
      <c r="BG342" t="e">
        <f>'North America'!D460+"n/&gt;!2(="</f>
        <v>#VALUE!</v>
      </c>
      <c r="BH342" t="e">
        <f>'North America'!E460+"n/&gt;!2(&gt;"</f>
        <v>#VALUE!</v>
      </c>
      <c r="BI342" t="e">
        <f>'North America'!F460+"n/&gt;!2(?"</f>
        <v>#VALUE!</v>
      </c>
      <c r="BJ342" t="e">
        <f>'North America'!G460+"n/&gt;!2(@"</f>
        <v>#VALUE!</v>
      </c>
      <c r="BK342" t="e">
        <f>'North America'!H460+"n/&gt;!2(A"</f>
        <v>#VALUE!</v>
      </c>
      <c r="BL342" t="e">
        <f>'North America'!I460+"n/&gt;!2(B"</f>
        <v>#VALUE!</v>
      </c>
      <c r="BM342" t="e">
        <f>'North America'!A461+"n/&gt;!2(C"</f>
        <v>#VALUE!</v>
      </c>
      <c r="BN342" t="e">
        <f>'North America'!B461+"n/&gt;!2(D"</f>
        <v>#VALUE!</v>
      </c>
      <c r="BO342" t="e">
        <f>'North America'!C461+"n/&gt;!2(E"</f>
        <v>#VALUE!</v>
      </c>
      <c r="BP342" t="e">
        <f>'North America'!D461+"n/&gt;!2(F"</f>
        <v>#VALUE!</v>
      </c>
      <c r="BQ342" t="e">
        <f>'North America'!E461+"n/&gt;!2(G"</f>
        <v>#VALUE!</v>
      </c>
      <c r="BR342" t="e">
        <f>'North America'!F461+"n/&gt;!2(H"</f>
        <v>#VALUE!</v>
      </c>
      <c r="BS342" t="e">
        <f>'North America'!G461+"n/&gt;!2(I"</f>
        <v>#VALUE!</v>
      </c>
      <c r="BT342" t="e">
        <f>'North America'!H461+"n/&gt;!2(J"</f>
        <v>#VALUE!</v>
      </c>
      <c r="BU342" t="e">
        <f>'North America'!I461+"n/&gt;!2(K"</f>
        <v>#VALUE!</v>
      </c>
      <c r="BV342" t="e">
        <f>'North America'!A462+"n/&gt;!2(L"</f>
        <v>#VALUE!</v>
      </c>
      <c r="BW342" t="e">
        <f>'North America'!B462+"n/&gt;!2(M"</f>
        <v>#VALUE!</v>
      </c>
      <c r="BX342" t="e">
        <f>'North America'!C462+"n/&gt;!2(N"</f>
        <v>#VALUE!</v>
      </c>
      <c r="BY342" t="e">
        <f>'North America'!D462+"n/&gt;!2(O"</f>
        <v>#VALUE!</v>
      </c>
      <c r="BZ342" t="e">
        <f>'North America'!E462+"n/&gt;!2(P"</f>
        <v>#VALUE!</v>
      </c>
      <c r="CA342" t="e">
        <f>'North America'!F462+"n/&gt;!2(Q"</f>
        <v>#VALUE!</v>
      </c>
      <c r="CB342" t="e">
        <f>'North America'!G462+"n/&gt;!2(R"</f>
        <v>#VALUE!</v>
      </c>
      <c r="CC342" t="e">
        <f>'North America'!H462+"n/&gt;!2(S"</f>
        <v>#VALUE!</v>
      </c>
      <c r="CD342" t="e">
        <f>'North America'!I462+"n/&gt;!2(T"</f>
        <v>#VALUE!</v>
      </c>
      <c r="CE342" t="e">
        <f>'North America'!A463+"n/&gt;!2(U"</f>
        <v>#VALUE!</v>
      </c>
      <c r="CF342" t="e">
        <f>'North America'!B463+"n/&gt;!2(V"</f>
        <v>#VALUE!</v>
      </c>
      <c r="CG342" t="e">
        <f>'North America'!C463+"n/&gt;!2(W"</f>
        <v>#VALUE!</v>
      </c>
      <c r="CH342" t="e">
        <f>'North America'!D463+"n/&gt;!2(X"</f>
        <v>#VALUE!</v>
      </c>
      <c r="CI342" t="e">
        <f>'North America'!E463+"n/&gt;!2(Y"</f>
        <v>#VALUE!</v>
      </c>
      <c r="CJ342" t="e">
        <f>'North America'!F463+"n/&gt;!2(Z"</f>
        <v>#VALUE!</v>
      </c>
      <c r="CK342" t="e">
        <f>'North America'!G463+"n/&gt;!2(["</f>
        <v>#VALUE!</v>
      </c>
      <c r="CL342" t="e">
        <f>'North America'!H463+"n/&gt;!2(\"</f>
        <v>#VALUE!</v>
      </c>
      <c r="CM342" t="e">
        <f>'North America'!I463+"n/&gt;!2(]"</f>
        <v>#VALUE!</v>
      </c>
      <c r="CN342" t="e">
        <f>'North America'!A464+"n/&gt;!2(^"</f>
        <v>#VALUE!</v>
      </c>
      <c r="CO342" t="e">
        <f>'North America'!B464+"n/&gt;!2(_"</f>
        <v>#VALUE!</v>
      </c>
      <c r="CP342" t="e">
        <f>'North America'!C464+"n/&gt;!2(`"</f>
        <v>#VALUE!</v>
      </c>
      <c r="CQ342" t="e">
        <f>'North America'!D464+"n/&gt;!2(a"</f>
        <v>#VALUE!</v>
      </c>
      <c r="CR342" t="e">
        <f>'North America'!E464+"n/&gt;!2(b"</f>
        <v>#VALUE!</v>
      </c>
      <c r="CS342" t="e">
        <f>'North America'!F464+"n/&gt;!2(c"</f>
        <v>#VALUE!</v>
      </c>
      <c r="CT342" t="e">
        <f>'North America'!G464+"n/&gt;!2(d"</f>
        <v>#VALUE!</v>
      </c>
      <c r="CU342" t="e">
        <f>'North America'!H464+"n/&gt;!2(e"</f>
        <v>#VALUE!</v>
      </c>
      <c r="CV342" t="e">
        <f>'North America'!I464+"n/&gt;!2(f"</f>
        <v>#VALUE!</v>
      </c>
      <c r="CW342" t="e">
        <f>'North America'!A465+"n/&gt;!2(g"</f>
        <v>#VALUE!</v>
      </c>
      <c r="CX342" t="e">
        <f>'North America'!B465+"n/&gt;!2(h"</f>
        <v>#VALUE!</v>
      </c>
      <c r="CY342" t="e">
        <f>'North America'!C465+"n/&gt;!2(i"</f>
        <v>#VALUE!</v>
      </c>
      <c r="CZ342" t="e">
        <f>'North America'!D465+"n/&gt;!2(j"</f>
        <v>#VALUE!</v>
      </c>
      <c r="DA342" t="e">
        <f>'North America'!E465+"n/&gt;!2(k"</f>
        <v>#VALUE!</v>
      </c>
      <c r="DB342" t="e">
        <f>'North America'!F465+"n/&gt;!2(l"</f>
        <v>#VALUE!</v>
      </c>
      <c r="DC342" t="e">
        <f>'North America'!G465+"n/&gt;!2(m"</f>
        <v>#VALUE!</v>
      </c>
      <c r="DD342" t="e">
        <f>'North America'!H465+"n/&gt;!2(n"</f>
        <v>#VALUE!</v>
      </c>
      <c r="DE342" t="e">
        <f>'North America'!I465+"n/&gt;!2(o"</f>
        <v>#VALUE!</v>
      </c>
      <c r="DF342" t="e">
        <f>'North America'!A466+"n/&gt;!2(p"</f>
        <v>#VALUE!</v>
      </c>
      <c r="DG342" t="e">
        <f>'North America'!B466+"n/&gt;!2(q"</f>
        <v>#VALUE!</v>
      </c>
      <c r="DH342" t="e">
        <f>'North America'!C466+"n/&gt;!2(r"</f>
        <v>#VALUE!</v>
      </c>
      <c r="DI342" t="e">
        <f>'North America'!D466+"n/&gt;!2(s"</f>
        <v>#VALUE!</v>
      </c>
      <c r="DJ342" t="e">
        <f>'North America'!E466+"n/&gt;!2(t"</f>
        <v>#VALUE!</v>
      </c>
      <c r="DK342" t="e">
        <f>'North America'!F466+"n/&gt;!2(u"</f>
        <v>#VALUE!</v>
      </c>
      <c r="DL342" t="e">
        <f>'North America'!G466+"n/&gt;!2(v"</f>
        <v>#VALUE!</v>
      </c>
      <c r="DM342" t="e">
        <f>'North America'!H466+"n/&gt;!2(w"</f>
        <v>#VALUE!</v>
      </c>
      <c r="DN342" t="e">
        <f>'North America'!I466+"n/&gt;!2(x"</f>
        <v>#VALUE!</v>
      </c>
      <c r="DO342" t="e">
        <f>'North America'!A467+"n/&gt;!2(y"</f>
        <v>#VALUE!</v>
      </c>
      <c r="DP342" t="e">
        <f>'North America'!B467+"n/&gt;!2(z"</f>
        <v>#VALUE!</v>
      </c>
      <c r="DQ342" t="e">
        <f>'North America'!C467+"n/&gt;!2({"</f>
        <v>#VALUE!</v>
      </c>
      <c r="DR342" t="e">
        <f>'North America'!D467+"n/&gt;!2(|"</f>
        <v>#VALUE!</v>
      </c>
      <c r="DS342" t="e">
        <f>'North America'!E467+"n/&gt;!2(}"</f>
        <v>#VALUE!</v>
      </c>
      <c r="DT342" t="e">
        <f>'North America'!F467+"n/&gt;!2(~"</f>
        <v>#VALUE!</v>
      </c>
      <c r="DU342" t="e">
        <f>'North America'!G467+"n/&gt;!2)#"</f>
        <v>#VALUE!</v>
      </c>
      <c r="DV342" t="e">
        <f>'North America'!H467+"n/&gt;!2)$"</f>
        <v>#VALUE!</v>
      </c>
      <c r="DW342" t="e">
        <f>'North America'!I467+"n/&gt;!2)%"</f>
        <v>#VALUE!</v>
      </c>
      <c r="DX342" t="e">
        <f>'North America'!A468+"n/&gt;!2)&amp;"</f>
        <v>#VALUE!</v>
      </c>
      <c r="DY342" t="e">
        <f>'North America'!B468+"n/&gt;!2)'"</f>
        <v>#VALUE!</v>
      </c>
      <c r="DZ342" t="e">
        <f>'North America'!C468+"n/&gt;!2)("</f>
        <v>#VALUE!</v>
      </c>
      <c r="EA342" t="e">
        <f>'North America'!D468+"n/&gt;!2))"</f>
        <v>#VALUE!</v>
      </c>
      <c r="EB342" t="e">
        <f>'North America'!E468+"n/&gt;!2)."</f>
        <v>#VALUE!</v>
      </c>
      <c r="EC342" t="e">
        <f>'North America'!F468+"n/&gt;!2)/"</f>
        <v>#VALUE!</v>
      </c>
      <c r="ED342" t="e">
        <f>'North America'!G468+"n/&gt;!2)0"</f>
        <v>#VALUE!</v>
      </c>
      <c r="EE342" t="e">
        <f>'North America'!H468+"n/&gt;!2)1"</f>
        <v>#VALUE!</v>
      </c>
      <c r="EF342" t="e">
        <f>'North America'!I468+"n/&gt;!2)2"</f>
        <v>#VALUE!</v>
      </c>
      <c r="EG342" t="e">
        <f>'North America'!A469+"n/&gt;!2)3"</f>
        <v>#VALUE!</v>
      </c>
      <c r="EH342" t="e">
        <f>'North America'!B469+"n/&gt;!2)4"</f>
        <v>#VALUE!</v>
      </c>
      <c r="EI342" t="e">
        <f>'North America'!C469+"n/&gt;!2)5"</f>
        <v>#VALUE!</v>
      </c>
      <c r="EJ342" t="e">
        <f>'North America'!D469+"n/&gt;!2)6"</f>
        <v>#VALUE!</v>
      </c>
      <c r="EK342" t="e">
        <f>'North America'!E469+"n/&gt;!2)7"</f>
        <v>#VALUE!</v>
      </c>
      <c r="EL342" t="e">
        <f>'North America'!F469+"n/&gt;!2)8"</f>
        <v>#VALUE!</v>
      </c>
      <c r="EM342" t="e">
        <f>'North America'!G469+"n/&gt;!2)9"</f>
        <v>#VALUE!</v>
      </c>
      <c r="EN342" t="e">
        <f>'North America'!H469+"n/&gt;!2):"</f>
        <v>#VALUE!</v>
      </c>
      <c r="EO342" t="e">
        <f>'North America'!I469+"n/&gt;!2);"</f>
        <v>#VALUE!</v>
      </c>
      <c r="EP342" t="e">
        <f>'North America'!A470+"n/&gt;!2)&lt;"</f>
        <v>#VALUE!</v>
      </c>
      <c r="EQ342" t="e">
        <f>'North America'!B470+"n/&gt;!2)="</f>
        <v>#VALUE!</v>
      </c>
      <c r="ER342" t="e">
        <f>'North America'!C470+"n/&gt;!2)&gt;"</f>
        <v>#VALUE!</v>
      </c>
      <c r="ES342" t="e">
        <f>'North America'!D470+"n/&gt;!2)?"</f>
        <v>#VALUE!</v>
      </c>
      <c r="ET342" t="e">
        <f>'North America'!E470+"n/&gt;!2)@"</f>
        <v>#VALUE!</v>
      </c>
      <c r="EU342" t="e">
        <f>'North America'!F470+"n/&gt;!2)A"</f>
        <v>#VALUE!</v>
      </c>
      <c r="EV342" t="e">
        <f>'North America'!G470+"n/&gt;!2)B"</f>
        <v>#VALUE!</v>
      </c>
      <c r="EW342" t="e">
        <f>'North America'!H470+"n/&gt;!2)C"</f>
        <v>#VALUE!</v>
      </c>
      <c r="EX342" t="e">
        <f>'North America'!I470+"n/&gt;!2)D"</f>
        <v>#VALUE!</v>
      </c>
      <c r="EY342" t="e">
        <f>'North America'!A471+"n/&gt;!2)E"</f>
        <v>#VALUE!</v>
      </c>
      <c r="EZ342" t="e">
        <f>'North America'!B471+"n/&gt;!2)F"</f>
        <v>#VALUE!</v>
      </c>
      <c r="FA342" t="e">
        <f>'North America'!C471+"n/&gt;!2)G"</f>
        <v>#VALUE!</v>
      </c>
      <c r="FB342" t="e">
        <f>'North America'!D471+"n/&gt;!2)H"</f>
        <v>#VALUE!</v>
      </c>
      <c r="FC342" t="e">
        <f>'North America'!E471+"n/&gt;!2)I"</f>
        <v>#VALUE!</v>
      </c>
      <c r="FD342" t="e">
        <f>'North America'!F471+"n/&gt;!2)J"</f>
        <v>#VALUE!</v>
      </c>
      <c r="FE342" t="e">
        <f>'North America'!G471+"n/&gt;!2)K"</f>
        <v>#VALUE!</v>
      </c>
      <c r="FF342" t="e">
        <f>'North America'!H471+"n/&gt;!2)L"</f>
        <v>#VALUE!</v>
      </c>
      <c r="FG342" t="e">
        <f>'North America'!I471+"n/&gt;!2)M"</f>
        <v>#VALUE!</v>
      </c>
      <c r="FH342" t="e">
        <f>'North America'!A472+"n/&gt;!2)N"</f>
        <v>#VALUE!</v>
      </c>
      <c r="FI342" t="e">
        <f>'North America'!B472+"n/&gt;!2)O"</f>
        <v>#VALUE!</v>
      </c>
      <c r="FJ342" t="e">
        <f>'North America'!C472+"n/&gt;!2)P"</f>
        <v>#VALUE!</v>
      </c>
      <c r="FK342" t="e">
        <f>'North America'!D472+"n/&gt;!2)Q"</f>
        <v>#VALUE!</v>
      </c>
      <c r="FL342" t="e">
        <f>'North America'!E472+"n/&gt;!2)R"</f>
        <v>#VALUE!</v>
      </c>
      <c r="FM342" t="e">
        <f>'North America'!F472+"n/&gt;!2)S"</f>
        <v>#VALUE!</v>
      </c>
      <c r="FN342" t="e">
        <f>'North America'!G472+"n/&gt;!2)T"</f>
        <v>#VALUE!</v>
      </c>
      <c r="FO342" t="e">
        <f>'North America'!H472+"n/&gt;!2)U"</f>
        <v>#VALUE!</v>
      </c>
      <c r="FP342" t="e">
        <f>'North America'!I472+"n/&gt;!2)V"</f>
        <v>#VALUE!</v>
      </c>
      <c r="FQ342" t="e">
        <f>'North America'!A473+"n/&gt;!2)W"</f>
        <v>#VALUE!</v>
      </c>
      <c r="FR342" t="e">
        <f>'North America'!B473+"n/&gt;!2)X"</f>
        <v>#VALUE!</v>
      </c>
      <c r="FS342" t="e">
        <f>'North America'!C473+"n/&gt;!2)Y"</f>
        <v>#VALUE!</v>
      </c>
      <c r="FT342" t="e">
        <f>'North America'!D473+"n/&gt;!2)Z"</f>
        <v>#VALUE!</v>
      </c>
      <c r="FU342" t="e">
        <f>'North America'!E473+"n/&gt;!2)["</f>
        <v>#VALUE!</v>
      </c>
      <c r="FV342" t="e">
        <f>'North America'!F473+"n/&gt;!2)\"</f>
        <v>#VALUE!</v>
      </c>
      <c r="FW342" t="e">
        <f>'North America'!G473+"n/&gt;!2)]"</f>
        <v>#VALUE!</v>
      </c>
      <c r="FX342" t="e">
        <f>'North America'!H473+"n/&gt;!2)^"</f>
        <v>#VALUE!</v>
      </c>
      <c r="FY342" t="e">
        <f>'North America'!I473+"n/&gt;!2)_"</f>
        <v>#VALUE!</v>
      </c>
      <c r="FZ342" t="e">
        <f>'North America'!A474+"n/&gt;!2)`"</f>
        <v>#VALUE!</v>
      </c>
      <c r="GA342" t="e">
        <f>'North America'!B474+"n/&gt;!2)a"</f>
        <v>#VALUE!</v>
      </c>
      <c r="GB342" t="e">
        <f>'North America'!C474+"n/&gt;!2)b"</f>
        <v>#VALUE!</v>
      </c>
      <c r="GC342" t="e">
        <f>'North America'!D474+"n/&gt;!2)c"</f>
        <v>#VALUE!</v>
      </c>
      <c r="GD342" t="e">
        <f>'North America'!E474+"n/&gt;!2)d"</f>
        <v>#VALUE!</v>
      </c>
      <c r="GE342" t="e">
        <f>'North America'!F474+"n/&gt;!2)e"</f>
        <v>#VALUE!</v>
      </c>
      <c r="GF342" t="e">
        <f>'North America'!G474+"n/&gt;!2)f"</f>
        <v>#VALUE!</v>
      </c>
      <c r="GG342" t="e">
        <f>'North America'!H474+"n/&gt;!2)g"</f>
        <v>#VALUE!</v>
      </c>
      <c r="GH342" t="e">
        <f>'North America'!I474+"n/&gt;!2)h"</f>
        <v>#VALUE!</v>
      </c>
      <c r="GI342" t="e">
        <f>'North America'!A475+"n/&gt;!2)i"</f>
        <v>#VALUE!</v>
      </c>
      <c r="GJ342" t="e">
        <f>'North America'!B475+"n/&gt;!2)j"</f>
        <v>#VALUE!</v>
      </c>
      <c r="GK342" t="e">
        <f>'North America'!C475+"n/&gt;!2)k"</f>
        <v>#VALUE!</v>
      </c>
      <c r="GL342" t="e">
        <f>'North America'!D475+"n/&gt;!2)l"</f>
        <v>#VALUE!</v>
      </c>
      <c r="GM342" t="e">
        <f>'North America'!E475+"n/&gt;!2)m"</f>
        <v>#VALUE!</v>
      </c>
      <c r="GN342" t="e">
        <f>'North America'!F475+"n/&gt;!2)n"</f>
        <v>#VALUE!</v>
      </c>
      <c r="GO342" t="e">
        <f>'North America'!G475+"n/&gt;!2)o"</f>
        <v>#VALUE!</v>
      </c>
      <c r="GP342" t="e">
        <f>'North America'!H475+"n/&gt;!2)p"</f>
        <v>#VALUE!</v>
      </c>
      <c r="GQ342" t="e">
        <f>'North America'!I475+"n/&gt;!2)q"</f>
        <v>#VALUE!</v>
      </c>
      <c r="GR342" t="e">
        <f>'North America'!A476+"n/&gt;!2)r"</f>
        <v>#VALUE!</v>
      </c>
      <c r="GS342" t="e">
        <f>'North America'!B476+"n/&gt;!2)s"</f>
        <v>#VALUE!</v>
      </c>
      <c r="GT342" t="e">
        <f>'North America'!C476+"n/&gt;!2)t"</f>
        <v>#VALUE!</v>
      </c>
      <c r="GU342" t="e">
        <f>'North America'!D476+"n/&gt;!2)u"</f>
        <v>#VALUE!</v>
      </c>
      <c r="GV342" t="e">
        <f>'North America'!E476+"n/&gt;!2)v"</f>
        <v>#VALUE!</v>
      </c>
      <c r="GW342" t="e">
        <f>'North America'!F476+"n/&gt;!2)w"</f>
        <v>#VALUE!</v>
      </c>
      <c r="GX342" t="e">
        <f>'North America'!G476+"n/&gt;!2)x"</f>
        <v>#VALUE!</v>
      </c>
      <c r="GY342" t="e">
        <f>'North America'!H476+"n/&gt;!2)y"</f>
        <v>#VALUE!</v>
      </c>
      <c r="GZ342" t="e">
        <f>'North America'!I476+"n/&gt;!2)z"</f>
        <v>#VALUE!</v>
      </c>
      <c r="HA342" t="e">
        <f>'North America'!A477+"n/&gt;!2){"</f>
        <v>#VALUE!</v>
      </c>
      <c r="HB342" t="e">
        <f>'North America'!B477+"n/&gt;!2)|"</f>
        <v>#VALUE!</v>
      </c>
      <c r="HC342" t="e">
        <f>'North America'!C477+"n/&gt;!2)}"</f>
        <v>#VALUE!</v>
      </c>
      <c r="HD342" t="e">
        <f>'North America'!D477+"n/&gt;!2)~"</f>
        <v>#VALUE!</v>
      </c>
      <c r="HE342" t="e">
        <f>'North America'!E477+"n/&gt;!2.#"</f>
        <v>#VALUE!</v>
      </c>
      <c r="HF342" t="e">
        <f>'North America'!F477+"n/&gt;!2.$"</f>
        <v>#VALUE!</v>
      </c>
      <c r="HG342" t="e">
        <f>'North America'!G477+"n/&gt;!2.%"</f>
        <v>#VALUE!</v>
      </c>
      <c r="HH342" t="e">
        <f>'North America'!H477+"n/&gt;!2.&amp;"</f>
        <v>#VALUE!</v>
      </c>
      <c r="HI342" t="e">
        <f>'North America'!I477+"n/&gt;!2.'"</f>
        <v>#VALUE!</v>
      </c>
      <c r="HJ342" t="e">
        <f>'North America'!A478+"n/&gt;!2.("</f>
        <v>#VALUE!</v>
      </c>
      <c r="HK342" t="e">
        <f>'North America'!B478+"n/&gt;!2.)"</f>
        <v>#VALUE!</v>
      </c>
      <c r="HL342" t="e">
        <f>'North America'!C478+"n/&gt;!2.."</f>
        <v>#VALUE!</v>
      </c>
      <c r="HM342" t="e">
        <f>'North America'!D478+"n/&gt;!2./"</f>
        <v>#VALUE!</v>
      </c>
      <c r="HN342" t="e">
        <f>'North America'!E478+"n/&gt;!2.0"</f>
        <v>#VALUE!</v>
      </c>
      <c r="HO342" t="e">
        <f>'North America'!F478+"n/&gt;!2.1"</f>
        <v>#VALUE!</v>
      </c>
      <c r="HP342" t="e">
        <f>'North America'!G478+"n/&gt;!2.2"</f>
        <v>#VALUE!</v>
      </c>
      <c r="HQ342" t="e">
        <f>'North America'!H478+"n/&gt;!2.3"</f>
        <v>#VALUE!</v>
      </c>
      <c r="HR342" t="e">
        <f>'North America'!I478+"n/&gt;!2.4"</f>
        <v>#VALUE!</v>
      </c>
      <c r="HS342" t="e">
        <f>'North America'!A479+"n/&gt;!2.5"</f>
        <v>#VALUE!</v>
      </c>
      <c r="HT342" t="e">
        <f>'North America'!B479+"n/&gt;!2.6"</f>
        <v>#VALUE!</v>
      </c>
      <c r="HU342" t="e">
        <f>'North America'!C479+"n/&gt;!2.7"</f>
        <v>#VALUE!</v>
      </c>
      <c r="HV342" t="e">
        <f>'North America'!D479+"n/&gt;!2.8"</f>
        <v>#VALUE!</v>
      </c>
      <c r="HW342" t="e">
        <f>'North America'!E479+"n/&gt;!2.9"</f>
        <v>#VALUE!</v>
      </c>
      <c r="HX342" t="e">
        <f>'North America'!F479+"n/&gt;!2.:"</f>
        <v>#VALUE!</v>
      </c>
      <c r="HY342" t="e">
        <f>'North America'!G479+"n/&gt;!2.;"</f>
        <v>#VALUE!</v>
      </c>
      <c r="HZ342" t="e">
        <f>'North America'!H479+"n/&gt;!2.&lt;"</f>
        <v>#VALUE!</v>
      </c>
      <c r="IA342" t="e">
        <f>'North America'!I479+"n/&gt;!2.="</f>
        <v>#VALUE!</v>
      </c>
      <c r="IB342" t="e">
        <f>'North America'!A480+"n/&gt;!2.&gt;"</f>
        <v>#VALUE!</v>
      </c>
      <c r="IC342" t="e">
        <f>'North America'!B480+"n/&gt;!2.?"</f>
        <v>#VALUE!</v>
      </c>
      <c r="ID342" t="e">
        <f>'North America'!C480+"n/&gt;!2.@"</f>
        <v>#VALUE!</v>
      </c>
      <c r="IE342" t="e">
        <f>'North America'!D480+"n/&gt;!2.A"</f>
        <v>#VALUE!</v>
      </c>
      <c r="IF342" t="e">
        <f>'North America'!E480+"n/&gt;!2.B"</f>
        <v>#VALUE!</v>
      </c>
      <c r="IG342" t="e">
        <f>'North America'!F480+"n/&gt;!2.C"</f>
        <v>#VALUE!</v>
      </c>
      <c r="IH342" t="e">
        <f>'North America'!G480+"n/&gt;!2.D"</f>
        <v>#VALUE!</v>
      </c>
      <c r="II342" t="e">
        <f>'North America'!H480+"n/&gt;!2.E"</f>
        <v>#VALUE!</v>
      </c>
      <c r="IJ342" t="e">
        <f>'North America'!I480+"n/&gt;!2.F"</f>
        <v>#VALUE!</v>
      </c>
      <c r="IK342" t="e">
        <f>'North America'!A481+"n/&gt;!2.G"</f>
        <v>#VALUE!</v>
      </c>
      <c r="IL342" t="e">
        <f>'North America'!B481+"n/&gt;!2.H"</f>
        <v>#VALUE!</v>
      </c>
      <c r="IM342" t="e">
        <f>'North America'!C481+"n/&gt;!2.I"</f>
        <v>#VALUE!</v>
      </c>
      <c r="IN342" t="e">
        <f>'North America'!D481+"n/&gt;!2.J"</f>
        <v>#VALUE!</v>
      </c>
      <c r="IO342" t="e">
        <f>'North America'!E481+"n/&gt;!2.K"</f>
        <v>#VALUE!</v>
      </c>
      <c r="IP342" t="e">
        <f>'North America'!F481+"n/&gt;!2.L"</f>
        <v>#VALUE!</v>
      </c>
      <c r="IQ342" t="e">
        <f>'North America'!G481+"n/&gt;!2.M"</f>
        <v>#VALUE!</v>
      </c>
      <c r="IR342" t="e">
        <f>'North America'!H481+"n/&gt;!2.N"</f>
        <v>#VALUE!</v>
      </c>
      <c r="IS342" t="e">
        <f>'North America'!I481+"n/&gt;!2.O"</f>
        <v>#VALUE!</v>
      </c>
      <c r="IT342" t="e">
        <f>'North America'!A482+"n/&gt;!2.P"</f>
        <v>#VALUE!</v>
      </c>
      <c r="IU342" t="e">
        <f>'North America'!B482+"n/&gt;!2.Q"</f>
        <v>#VALUE!</v>
      </c>
      <c r="IV342" t="e">
        <f>'North America'!C482+"n/&gt;!2.R"</f>
        <v>#VALUE!</v>
      </c>
    </row>
    <row r="343" spans="6:256" x14ac:dyDescent="0.35">
      <c r="F343" t="e">
        <f>'North America'!D482+"n/&gt;!2.S"</f>
        <v>#VALUE!</v>
      </c>
      <c r="G343" t="e">
        <f>'North America'!E482+"n/&gt;!2.T"</f>
        <v>#VALUE!</v>
      </c>
      <c r="H343" t="e">
        <f>'North America'!F482+"n/&gt;!2.U"</f>
        <v>#VALUE!</v>
      </c>
      <c r="I343" t="e">
        <f>'North America'!G482+"n/&gt;!2.V"</f>
        <v>#VALUE!</v>
      </c>
      <c r="J343" t="e">
        <f>'North America'!H482+"n/&gt;!2.W"</f>
        <v>#VALUE!</v>
      </c>
      <c r="K343" t="e">
        <f>'North America'!I482+"n/&gt;!2.X"</f>
        <v>#VALUE!</v>
      </c>
      <c r="L343" t="e">
        <f>'North America'!A483+"n/&gt;!2.Y"</f>
        <v>#VALUE!</v>
      </c>
      <c r="M343" t="e">
        <f>'North America'!B483+"n/&gt;!2.Z"</f>
        <v>#VALUE!</v>
      </c>
      <c r="N343" t="e">
        <f>'North America'!C483+"n/&gt;!2.["</f>
        <v>#VALUE!</v>
      </c>
      <c r="O343" t="e">
        <f>'North America'!D483+"n/&gt;!2.\"</f>
        <v>#VALUE!</v>
      </c>
      <c r="P343" t="e">
        <f>'North America'!E483+"n/&gt;!2.]"</f>
        <v>#VALUE!</v>
      </c>
      <c r="Q343" t="e">
        <f>'North America'!F483+"n/&gt;!2.^"</f>
        <v>#VALUE!</v>
      </c>
      <c r="R343" t="e">
        <f>'North America'!G483+"n/&gt;!2._"</f>
        <v>#VALUE!</v>
      </c>
      <c r="S343" t="e">
        <f>'North America'!H483+"n/&gt;!2.`"</f>
        <v>#VALUE!</v>
      </c>
      <c r="T343" t="e">
        <f>'North America'!I483+"n/&gt;!2.a"</f>
        <v>#VALUE!</v>
      </c>
      <c r="U343" t="e">
        <f>'North America'!A484+"n/&gt;!2.b"</f>
        <v>#VALUE!</v>
      </c>
      <c r="V343" t="e">
        <f>'North America'!B484+"n/&gt;!2.c"</f>
        <v>#VALUE!</v>
      </c>
      <c r="W343" t="e">
        <f>'North America'!C484+"n/&gt;!2.d"</f>
        <v>#VALUE!</v>
      </c>
      <c r="X343" t="e">
        <f>'North America'!D484+"n/&gt;!2.e"</f>
        <v>#VALUE!</v>
      </c>
      <c r="Y343" t="e">
        <f>'North America'!E484+"n/&gt;!2.f"</f>
        <v>#VALUE!</v>
      </c>
      <c r="Z343" t="e">
        <f>'North America'!F484+"n/&gt;!2.g"</f>
        <v>#VALUE!</v>
      </c>
      <c r="AA343" t="e">
        <f>'North America'!G484+"n/&gt;!2.h"</f>
        <v>#VALUE!</v>
      </c>
      <c r="AB343" t="e">
        <f>'North America'!H484+"n/&gt;!2.i"</f>
        <v>#VALUE!</v>
      </c>
      <c r="AC343" t="e">
        <f>'North America'!I484+"n/&gt;!2.j"</f>
        <v>#VALUE!</v>
      </c>
      <c r="AD343" t="e">
        <f>'North America'!A485+"n/&gt;!2.k"</f>
        <v>#VALUE!</v>
      </c>
      <c r="AE343" t="e">
        <f>'North America'!B485+"n/&gt;!2.l"</f>
        <v>#VALUE!</v>
      </c>
      <c r="AF343" t="e">
        <f>'North America'!C485+"n/&gt;!2.m"</f>
        <v>#VALUE!</v>
      </c>
      <c r="AG343" t="e">
        <f>'North America'!D485+"n/&gt;!2.n"</f>
        <v>#VALUE!</v>
      </c>
      <c r="AH343" t="e">
        <f>'North America'!E485+"n/&gt;!2.o"</f>
        <v>#VALUE!</v>
      </c>
      <c r="AI343" t="e">
        <f>'North America'!F485+"n/&gt;!2.p"</f>
        <v>#VALUE!</v>
      </c>
      <c r="AJ343" t="e">
        <f>'North America'!G485+"n/&gt;!2.q"</f>
        <v>#VALUE!</v>
      </c>
      <c r="AK343" t="e">
        <f>'North America'!H485+"n/&gt;!2.r"</f>
        <v>#VALUE!</v>
      </c>
      <c r="AL343" t="e">
        <f>'North America'!I485+"n/&gt;!2.s"</f>
        <v>#VALUE!</v>
      </c>
      <c r="AM343" t="e">
        <f>'North America'!A486+"n/&gt;!2.t"</f>
        <v>#VALUE!</v>
      </c>
      <c r="AN343" t="e">
        <f>'North America'!B486+"n/&gt;!2.u"</f>
        <v>#VALUE!</v>
      </c>
      <c r="AO343" t="e">
        <f>'North America'!C486+"n/&gt;!2.v"</f>
        <v>#VALUE!</v>
      </c>
      <c r="AP343" t="e">
        <f>'North America'!D486+"n/&gt;!2.w"</f>
        <v>#VALUE!</v>
      </c>
      <c r="AQ343" t="e">
        <f>'North America'!E486+"n/&gt;!2.x"</f>
        <v>#VALUE!</v>
      </c>
      <c r="AR343" t="e">
        <f>'North America'!F486+"n/&gt;!2.y"</f>
        <v>#VALUE!</v>
      </c>
      <c r="AS343" t="e">
        <f>'North America'!G486+"n/&gt;!2.z"</f>
        <v>#VALUE!</v>
      </c>
      <c r="AT343" t="e">
        <f>'North America'!H486+"n/&gt;!2.{"</f>
        <v>#VALUE!</v>
      </c>
      <c r="AU343" t="e">
        <f>'North America'!I486+"n/&gt;!2.|"</f>
        <v>#VALUE!</v>
      </c>
      <c r="AV343" t="e">
        <f>'North America'!A487+"n/&gt;!2.}"</f>
        <v>#VALUE!</v>
      </c>
      <c r="AW343" t="e">
        <f>'North America'!B487+"n/&gt;!2.~"</f>
        <v>#VALUE!</v>
      </c>
      <c r="AX343" t="e">
        <f>'North America'!C487+"n/&gt;!2/#"</f>
        <v>#VALUE!</v>
      </c>
      <c r="AY343" t="e">
        <f>'North America'!D487+"n/&gt;!2/$"</f>
        <v>#VALUE!</v>
      </c>
      <c r="AZ343" t="e">
        <f>'North America'!E487+"n/&gt;!2/%"</f>
        <v>#VALUE!</v>
      </c>
      <c r="BA343" t="e">
        <f>'North America'!F487+"n/&gt;!2/&amp;"</f>
        <v>#VALUE!</v>
      </c>
      <c r="BB343" t="e">
        <f>'North America'!G487+"n/&gt;!2/'"</f>
        <v>#VALUE!</v>
      </c>
      <c r="BC343" t="e">
        <f>'North America'!H487+"n/&gt;!2/("</f>
        <v>#VALUE!</v>
      </c>
      <c r="BD343" t="e">
        <f>'North America'!I487+"n/&gt;!2/)"</f>
        <v>#VALUE!</v>
      </c>
      <c r="BE343" t="e">
        <f>'North America'!A488+"n/&gt;!2/."</f>
        <v>#VALUE!</v>
      </c>
      <c r="BF343" t="e">
        <f>'North America'!B488+"n/&gt;!2//"</f>
        <v>#VALUE!</v>
      </c>
      <c r="BG343" t="e">
        <f>'North America'!C488+"n/&gt;!2/0"</f>
        <v>#VALUE!</v>
      </c>
      <c r="BH343" t="e">
        <f>'North America'!D488+"n/&gt;!2/1"</f>
        <v>#VALUE!</v>
      </c>
      <c r="BI343" t="e">
        <f>'North America'!E488+"n/&gt;!2/2"</f>
        <v>#VALUE!</v>
      </c>
      <c r="BJ343" t="e">
        <f>'North America'!F488+"n/&gt;!2/3"</f>
        <v>#VALUE!</v>
      </c>
      <c r="BK343" t="e">
        <f>'North America'!G488+"n/&gt;!2/4"</f>
        <v>#VALUE!</v>
      </c>
      <c r="BL343" t="e">
        <f>'North America'!H488+"n/&gt;!2/5"</f>
        <v>#VALUE!</v>
      </c>
      <c r="BM343" t="e">
        <f>'North America'!I488+"n/&gt;!2/6"</f>
        <v>#VALUE!</v>
      </c>
      <c r="BN343" t="e">
        <f>'North America'!A489+"n/&gt;!2/7"</f>
        <v>#VALUE!</v>
      </c>
      <c r="BO343" t="e">
        <f>'North America'!B489+"n/&gt;!2/8"</f>
        <v>#VALUE!</v>
      </c>
      <c r="BP343" t="e">
        <f>'North America'!C489+"n/&gt;!2/9"</f>
        <v>#VALUE!</v>
      </c>
      <c r="BQ343" t="e">
        <f>'North America'!D489+"n/&gt;!2/:"</f>
        <v>#VALUE!</v>
      </c>
      <c r="BR343" t="e">
        <f>'North America'!E489+"n/&gt;!2/;"</f>
        <v>#VALUE!</v>
      </c>
      <c r="BS343" t="e">
        <f>'North America'!F489+"n/&gt;!2/&lt;"</f>
        <v>#VALUE!</v>
      </c>
      <c r="BT343" t="e">
        <f>'North America'!G489+"n/&gt;!2/="</f>
        <v>#VALUE!</v>
      </c>
      <c r="BU343" t="e">
        <f>'North America'!H489+"n/&gt;!2/&gt;"</f>
        <v>#VALUE!</v>
      </c>
      <c r="BV343" t="e">
        <f>'North America'!I489+"n/&gt;!2/?"</f>
        <v>#VALUE!</v>
      </c>
      <c r="BW343" t="e">
        <f>'North America'!A490+"n/&gt;!2/@"</f>
        <v>#VALUE!</v>
      </c>
      <c r="BX343" t="e">
        <f>'North America'!B490+"n/&gt;!2/A"</f>
        <v>#VALUE!</v>
      </c>
      <c r="BY343" t="e">
        <f>'North America'!C490+"n/&gt;!2/B"</f>
        <v>#VALUE!</v>
      </c>
      <c r="BZ343" t="e">
        <f>'North America'!D490+"n/&gt;!2/C"</f>
        <v>#VALUE!</v>
      </c>
      <c r="CA343" t="e">
        <f>'North America'!E490+"n/&gt;!2/D"</f>
        <v>#VALUE!</v>
      </c>
      <c r="CB343" t="e">
        <f>'North America'!F490+"n/&gt;!2/E"</f>
        <v>#VALUE!</v>
      </c>
      <c r="CC343" t="e">
        <f>'North America'!G490+"n/&gt;!2/F"</f>
        <v>#VALUE!</v>
      </c>
      <c r="CD343" t="e">
        <f>'North America'!H490+"n/&gt;!2/G"</f>
        <v>#VALUE!</v>
      </c>
      <c r="CE343" t="e">
        <f>'North America'!I490+"n/&gt;!2/H"</f>
        <v>#VALUE!</v>
      </c>
      <c r="CF343" t="e">
        <f>'North America'!A491+"n/&gt;!2/I"</f>
        <v>#VALUE!</v>
      </c>
      <c r="CG343" t="e">
        <f>'North America'!B491+"n/&gt;!2/J"</f>
        <v>#VALUE!</v>
      </c>
      <c r="CH343" t="e">
        <f>'North America'!C491+"n/&gt;!2/K"</f>
        <v>#VALUE!</v>
      </c>
      <c r="CI343" t="e">
        <f>'North America'!D491+"n/&gt;!2/L"</f>
        <v>#VALUE!</v>
      </c>
      <c r="CJ343" t="e">
        <f>'North America'!E491+"n/&gt;!2/M"</f>
        <v>#VALUE!</v>
      </c>
      <c r="CK343" t="e">
        <f>'North America'!F491+"n/&gt;!2/N"</f>
        <v>#VALUE!</v>
      </c>
      <c r="CL343" t="e">
        <f>'North America'!G491+"n/&gt;!2/O"</f>
        <v>#VALUE!</v>
      </c>
      <c r="CM343" t="e">
        <f>'North America'!H491+"n/&gt;!2/P"</f>
        <v>#VALUE!</v>
      </c>
      <c r="CN343" t="e">
        <f>'North America'!I491+"n/&gt;!2/Q"</f>
        <v>#VALUE!</v>
      </c>
      <c r="CO343" t="e">
        <f>'North America'!A492+"n/&gt;!2/R"</f>
        <v>#VALUE!</v>
      </c>
      <c r="CP343" t="e">
        <f>'North America'!B492+"n/&gt;!2/S"</f>
        <v>#VALUE!</v>
      </c>
      <c r="CQ343" t="e">
        <f>'North America'!C492+"n/&gt;!2/T"</f>
        <v>#VALUE!</v>
      </c>
      <c r="CR343" t="e">
        <f>'North America'!D492+"n/&gt;!2/U"</f>
        <v>#VALUE!</v>
      </c>
      <c r="CS343" t="e">
        <f>'North America'!E492+"n/&gt;!2/V"</f>
        <v>#VALUE!</v>
      </c>
      <c r="CT343" t="e">
        <f>'North America'!F492+"n/&gt;!2/W"</f>
        <v>#VALUE!</v>
      </c>
      <c r="CU343" t="e">
        <f>'North America'!G492+"n/&gt;!2/X"</f>
        <v>#VALUE!</v>
      </c>
      <c r="CV343" t="e">
        <f>'North America'!H492+"n/&gt;!2/Y"</f>
        <v>#VALUE!</v>
      </c>
      <c r="CW343" t="e">
        <f>'North America'!I492+"n/&gt;!2/Z"</f>
        <v>#VALUE!</v>
      </c>
      <c r="CX343" t="e">
        <f>'North America'!A493+"n/&gt;!2/["</f>
        <v>#VALUE!</v>
      </c>
      <c r="CY343" t="e">
        <f>'North America'!B493+"n/&gt;!2/\"</f>
        <v>#VALUE!</v>
      </c>
      <c r="CZ343" t="e">
        <f>'North America'!C493+"n/&gt;!2/]"</f>
        <v>#VALUE!</v>
      </c>
      <c r="DA343" t="e">
        <f>'North America'!D493+"n/&gt;!2/^"</f>
        <v>#VALUE!</v>
      </c>
      <c r="DB343" t="e">
        <f>'North America'!E493+"n/&gt;!2/_"</f>
        <v>#VALUE!</v>
      </c>
      <c r="DC343" t="e">
        <f>'North America'!F493+"n/&gt;!2/`"</f>
        <v>#VALUE!</v>
      </c>
      <c r="DD343" t="e">
        <f>'North America'!G493+"n/&gt;!2/a"</f>
        <v>#VALUE!</v>
      </c>
      <c r="DE343" t="e">
        <f>'North America'!H493+"n/&gt;!2/b"</f>
        <v>#VALUE!</v>
      </c>
      <c r="DF343" t="e">
        <f>'North America'!I493+"n/&gt;!2/c"</f>
        <v>#VALUE!</v>
      </c>
      <c r="DG343" t="e">
        <f>'North America'!A494+"n/&gt;!2/d"</f>
        <v>#VALUE!</v>
      </c>
      <c r="DH343" t="e">
        <f>'North America'!B494+"n/&gt;!2/e"</f>
        <v>#VALUE!</v>
      </c>
      <c r="DI343" t="e">
        <f>'North America'!C494+"n/&gt;!2/f"</f>
        <v>#VALUE!</v>
      </c>
      <c r="DJ343" t="e">
        <f>'North America'!D494+"n/&gt;!2/g"</f>
        <v>#VALUE!</v>
      </c>
      <c r="DK343" t="e">
        <f>'North America'!E494+"n/&gt;!2/h"</f>
        <v>#VALUE!</v>
      </c>
      <c r="DL343" t="e">
        <f>'North America'!F494+"n/&gt;!2/i"</f>
        <v>#VALUE!</v>
      </c>
      <c r="DM343" t="e">
        <f>'North America'!G494+"n/&gt;!2/j"</f>
        <v>#VALUE!</v>
      </c>
      <c r="DN343" t="e">
        <f>'North America'!H494+"n/&gt;!2/k"</f>
        <v>#VALUE!</v>
      </c>
      <c r="DO343" t="e">
        <f>'North America'!I494+"n/&gt;!2/l"</f>
        <v>#VALUE!</v>
      </c>
      <c r="DP343" t="e">
        <f>'North America'!A495+"n/&gt;!2/m"</f>
        <v>#VALUE!</v>
      </c>
      <c r="DQ343" t="e">
        <f>'North America'!B495+"n/&gt;!2/n"</f>
        <v>#VALUE!</v>
      </c>
      <c r="DR343" t="e">
        <f>'North America'!C495+"n/&gt;!2/o"</f>
        <v>#VALUE!</v>
      </c>
      <c r="DS343" t="e">
        <f>'North America'!D495+"n/&gt;!2/p"</f>
        <v>#VALUE!</v>
      </c>
      <c r="DT343" t="e">
        <f>'North America'!E495+"n/&gt;!2/q"</f>
        <v>#VALUE!</v>
      </c>
      <c r="DU343" t="e">
        <f>'North America'!F495+"n/&gt;!2/r"</f>
        <v>#VALUE!</v>
      </c>
      <c r="DV343" t="e">
        <f>'North America'!G495+"n/&gt;!2/s"</f>
        <v>#VALUE!</v>
      </c>
      <c r="DW343" t="e">
        <f>'North America'!H495+"n/&gt;!2/t"</f>
        <v>#VALUE!</v>
      </c>
      <c r="DX343" t="e">
        <f>'North America'!I495+"n/&gt;!2/u"</f>
        <v>#VALUE!</v>
      </c>
      <c r="DY343" t="e">
        <f>'North America'!A496+"n/&gt;!2/v"</f>
        <v>#VALUE!</v>
      </c>
      <c r="DZ343" t="e">
        <f>'North America'!B496+"n/&gt;!2/w"</f>
        <v>#VALUE!</v>
      </c>
      <c r="EA343" t="e">
        <f>'North America'!C496+"n/&gt;!2/x"</f>
        <v>#VALUE!</v>
      </c>
      <c r="EB343" t="e">
        <f>'North America'!D496+"n/&gt;!2/y"</f>
        <v>#VALUE!</v>
      </c>
      <c r="EC343" t="e">
        <f>'North America'!E496+"n/&gt;!2/z"</f>
        <v>#VALUE!</v>
      </c>
      <c r="ED343" t="e">
        <f>'North America'!F496+"n/&gt;!2/{"</f>
        <v>#VALUE!</v>
      </c>
      <c r="EE343" t="e">
        <f>'North America'!G496+"n/&gt;!2/|"</f>
        <v>#VALUE!</v>
      </c>
      <c r="EF343" t="e">
        <f>'North America'!H496+"n/&gt;!2/}"</f>
        <v>#VALUE!</v>
      </c>
      <c r="EG343" t="e">
        <f>'North America'!I496+"n/&gt;!2/~"</f>
        <v>#VALUE!</v>
      </c>
      <c r="EH343" t="e">
        <f>'North America'!A497+"n/&gt;!20#"</f>
        <v>#VALUE!</v>
      </c>
      <c r="EI343" t="e">
        <f>'North America'!B497+"n/&gt;!20$"</f>
        <v>#VALUE!</v>
      </c>
      <c r="EJ343" t="e">
        <f>'North America'!C497+"n/&gt;!20%"</f>
        <v>#VALUE!</v>
      </c>
      <c r="EK343" t="e">
        <f>'North America'!D497+"n/&gt;!20&amp;"</f>
        <v>#VALUE!</v>
      </c>
      <c r="EL343" t="e">
        <f>'North America'!E497+"n/&gt;!20'"</f>
        <v>#VALUE!</v>
      </c>
      <c r="EM343" t="e">
        <f>'North America'!F497+"n/&gt;!20("</f>
        <v>#VALUE!</v>
      </c>
      <c r="EN343" t="e">
        <f>'North America'!G497+"n/&gt;!20)"</f>
        <v>#VALUE!</v>
      </c>
      <c r="EO343" t="e">
        <f>'North America'!H497+"n/&gt;!20."</f>
        <v>#VALUE!</v>
      </c>
      <c r="EP343" t="e">
        <f>'North America'!I497+"n/&gt;!20/"</f>
        <v>#VALUE!</v>
      </c>
      <c r="EQ343" t="e">
        <f>'North America'!A498+"n/&gt;!200"</f>
        <v>#VALUE!</v>
      </c>
      <c r="ER343" t="e">
        <f>'North America'!B498+"n/&gt;!201"</f>
        <v>#VALUE!</v>
      </c>
      <c r="ES343" t="e">
        <f>'North America'!C498+"n/&gt;!202"</f>
        <v>#VALUE!</v>
      </c>
      <c r="ET343" t="e">
        <f>'North America'!D498+"n/&gt;!203"</f>
        <v>#VALUE!</v>
      </c>
      <c r="EU343" t="e">
        <f>'North America'!E498+"n/&gt;!204"</f>
        <v>#VALUE!</v>
      </c>
      <c r="EV343" t="e">
        <f>'North America'!F498+"n/&gt;!205"</f>
        <v>#VALUE!</v>
      </c>
      <c r="EW343" t="e">
        <f>'North America'!G498+"n/&gt;!206"</f>
        <v>#VALUE!</v>
      </c>
      <c r="EX343" t="e">
        <f>'North America'!H498+"n/&gt;!207"</f>
        <v>#VALUE!</v>
      </c>
      <c r="EY343" t="e">
        <f>'North America'!I498+"n/&gt;!208"</f>
        <v>#VALUE!</v>
      </c>
      <c r="EZ343" t="e">
        <f>'North America'!A499+"n/&gt;!209"</f>
        <v>#VALUE!</v>
      </c>
      <c r="FA343" t="e">
        <f>'North America'!B499+"n/&gt;!20:"</f>
        <v>#VALUE!</v>
      </c>
      <c r="FB343" t="e">
        <f>'North America'!C499+"n/&gt;!20;"</f>
        <v>#VALUE!</v>
      </c>
      <c r="FC343" t="e">
        <f>'North America'!D499+"n/&gt;!20&lt;"</f>
        <v>#VALUE!</v>
      </c>
      <c r="FD343" t="e">
        <f>'North America'!E499+"n/&gt;!20="</f>
        <v>#VALUE!</v>
      </c>
      <c r="FE343" t="e">
        <f>'North America'!F499+"n/&gt;!20&gt;"</f>
        <v>#VALUE!</v>
      </c>
      <c r="FF343" t="e">
        <f>'North America'!G499+"n/&gt;!20?"</f>
        <v>#VALUE!</v>
      </c>
      <c r="FG343" t="e">
        <f>'North America'!H499+"n/&gt;!20@"</f>
        <v>#VALUE!</v>
      </c>
      <c r="FH343" t="e">
        <f>'North America'!I499+"n/&gt;!20A"</f>
        <v>#VALUE!</v>
      </c>
      <c r="FI343" t="e">
        <f>'North America'!A500+"n/&gt;!20B"</f>
        <v>#VALUE!</v>
      </c>
      <c r="FJ343" t="e">
        <f>'North America'!B500+"n/&gt;!20C"</f>
        <v>#VALUE!</v>
      </c>
      <c r="FK343" t="e">
        <f>'North America'!C500+"n/&gt;!20D"</f>
        <v>#VALUE!</v>
      </c>
      <c r="FL343" t="e">
        <f>'North America'!D500+"n/&gt;!20E"</f>
        <v>#VALUE!</v>
      </c>
      <c r="FM343" t="e">
        <f>'North America'!E500+"n/&gt;!20F"</f>
        <v>#VALUE!</v>
      </c>
      <c r="FN343" t="e">
        <f>'North America'!F500+"n/&gt;!20G"</f>
        <v>#VALUE!</v>
      </c>
      <c r="FO343" t="e">
        <f>'North America'!G500+"n/&gt;!20H"</f>
        <v>#VALUE!</v>
      </c>
      <c r="FP343" t="e">
        <f>'North America'!H500+"n/&gt;!20I"</f>
        <v>#VALUE!</v>
      </c>
      <c r="FQ343" t="e">
        <f>'North America'!I500+"n/&gt;!20J"</f>
        <v>#VALUE!</v>
      </c>
      <c r="FR343" t="e">
        <f>'North America'!A501+"n/&gt;!20K"</f>
        <v>#VALUE!</v>
      </c>
      <c r="FS343" t="e">
        <f>'North America'!B501+"n/&gt;!20L"</f>
        <v>#VALUE!</v>
      </c>
      <c r="FT343" t="e">
        <f>'North America'!C501+"n/&gt;!20M"</f>
        <v>#VALUE!</v>
      </c>
      <c r="FU343" t="e">
        <f>'North America'!D501+"n/&gt;!20N"</f>
        <v>#VALUE!</v>
      </c>
      <c r="FV343" t="e">
        <f>'North America'!E501+"n/&gt;!20O"</f>
        <v>#VALUE!</v>
      </c>
      <c r="FW343" t="e">
        <f>'North America'!F501+"n/&gt;!20P"</f>
        <v>#VALUE!</v>
      </c>
      <c r="FX343" t="e">
        <f>'North America'!G501+"n/&gt;!20Q"</f>
        <v>#VALUE!</v>
      </c>
      <c r="FY343" t="e">
        <f>'North America'!H501+"n/&gt;!20R"</f>
        <v>#VALUE!</v>
      </c>
      <c r="FZ343" t="e">
        <f>'North America'!I501+"n/&gt;!20S"</f>
        <v>#VALUE!</v>
      </c>
      <c r="GA343" t="e">
        <f>'North America'!A502+"n/&gt;!20T"</f>
        <v>#VALUE!</v>
      </c>
      <c r="GB343" t="e">
        <f>'North America'!B502+"n/&gt;!20U"</f>
        <v>#VALUE!</v>
      </c>
      <c r="GC343" t="e">
        <f>'North America'!C502+"n/&gt;!20V"</f>
        <v>#VALUE!</v>
      </c>
      <c r="GD343" t="e">
        <f>'North America'!D502+"n/&gt;!20W"</f>
        <v>#VALUE!</v>
      </c>
      <c r="GE343" t="e">
        <f>'North America'!E502+"n/&gt;!20X"</f>
        <v>#VALUE!</v>
      </c>
      <c r="GF343" t="e">
        <f>'North America'!F502+"n/&gt;!20Y"</f>
        <v>#VALUE!</v>
      </c>
      <c r="GG343" t="e">
        <f>'North America'!G502+"n/&gt;!20Z"</f>
        <v>#VALUE!</v>
      </c>
      <c r="GH343" t="e">
        <f>'North America'!H502+"n/&gt;!20["</f>
        <v>#VALUE!</v>
      </c>
      <c r="GI343" t="e">
        <f>'North America'!I502+"n/&gt;!20\"</f>
        <v>#VALUE!</v>
      </c>
      <c r="GJ343" t="e">
        <f>'North America'!A503+"n/&gt;!20]"</f>
        <v>#VALUE!</v>
      </c>
      <c r="GK343" t="e">
        <f>'North America'!B503+"n/&gt;!20^"</f>
        <v>#VALUE!</v>
      </c>
      <c r="GL343" t="e">
        <f>'North America'!C503+"n/&gt;!20_"</f>
        <v>#VALUE!</v>
      </c>
      <c r="GM343" t="e">
        <f>'North America'!D503+"n/&gt;!20`"</f>
        <v>#VALUE!</v>
      </c>
      <c r="GN343" t="e">
        <f>'North America'!E503+"n/&gt;!20a"</f>
        <v>#VALUE!</v>
      </c>
      <c r="GO343" t="e">
        <f>'North America'!F503+"n/&gt;!20b"</f>
        <v>#VALUE!</v>
      </c>
      <c r="GP343" t="e">
        <f>'North America'!G503+"n/&gt;!20c"</f>
        <v>#VALUE!</v>
      </c>
      <c r="GQ343" t="e">
        <f>'North America'!H503+"n/&gt;!20d"</f>
        <v>#VALUE!</v>
      </c>
      <c r="GR343" t="e">
        <f>'North America'!I503+"n/&gt;!20e"</f>
        <v>#VALUE!</v>
      </c>
      <c r="GS343" t="e">
        <f>'North America'!A504+"n/&gt;!20f"</f>
        <v>#VALUE!</v>
      </c>
      <c r="GT343" t="e">
        <f>'North America'!B504+"n/&gt;!20g"</f>
        <v>#VALUE!</v>
      </c>
      <c r="GU343" t="e">
        <f>'North America'!C504+"n/&gt;!20h"</f>
        <v>#VALUE!</v>
      </c>
      <c r="GV343" t="e">
        <f>'North America'!D504+"n/&gt;!20i"</f>
        <v>#VALUE!</v>
      </c>
      <c r="GW343" t="e">
        <f>'North America'!E504+"n/&gt;!20j"</f>
        <v>#VALUE!</v>
      </c>
      <c r="GX343" t="e">
        <f>'North America'!F504+"n/&gt;!20k"</f>
        <v>#VALUE!</v>
      </c>
      <c r="GY343" t="e">
        <f>'North America'!G504+"n/&gt;!20l"</f>
        <v>#VALUE!</v>
      </c>
      <c r="GZ343" t="e">
        <f>'North America'!H504+"n/&gt;!20m"</f>
        <v>#VALUE!</v>
      </c>
      <c r="HA343" t="e">
        <f>'North America'!I504+"n/&gt;!20n"</f>
        <v>#VALUE!</v>
      </c>
      <c r="HB343" t="e">
        <f>'North America'!A505+"n/&gt;!20o"</f>
        <v>#VALUE!</v>
      </c>
      <c r="HC343" t="e">
        <f>'North America'!B505+"n/&gt;!20p"</f>
        <v>#VALUE!</v>
      </c>
      <c r="HD343" t="e">
        <f>'North America'!C505+"n/&gt;!20q"</f>
        <v>#VALUE!</v>
      </c>
      <c r="HE343" t="e">
        <f>'North America'!D505+"n/&gt;!20r"</f>
        <v>#VALUE!</v>
      </c>
      <c r="HF343" t="e">
        <f>'North America'!E505+"n/&gt;!20s"</f>
        <v>#VALUE!</v>
      </c>
      <c r="HG343" t="e">
        <f>'North America'!F505+"n/&gt;!20t"</f>
        <v>#VALUE!</v>
      </c>
      <c r="HH343" t="e">
        <f>'North America'!G505+"n/&gt;!20u"</f>
        <v>#VALUE!</v>
      </c>
      <c r="HI343" t="e">
        <f>'North America'!H505+"n/&gt;!20v"</f>
        <v>#VALUE!</v>
      </c>
      <c r="HJ343" t="e">
        <f>'North America'!I505+"n/&gt;!20w"</f>
        <v>#VALUE!</v>
      </c>
      <c r="HK343" t="e">
        <f>'North America'!A506+"n/&gt;!20x"</f>
        <v>#VALUE!</v>
      </c>
      <c r="HL343" t="e">
        <f>'North America'!B506+"n/&gt;!20y"</f>
        <v>#VALUE!</v>
      </c>
      <c r="HM343" t="e">
        <f>'North America'!C506+"n/&gt;!20z"</f>
        <v>#VALUE!</v>
      </c>
      <c r="HN343" t="e">
        <f>'North America'!D506+"n/&gt;!20{"</f>
        <v>#VALUE!</v>
      </c>
      <c r="HO343" t="e">
        <f>'North America'!E506+"n/&gt;!20|"</f>
        <v>#VALUE!</v>
      </c>
      <c r="HP343" t="e">
        <f>'North America'!F506+"n/&gt;!20}"</f>
        <v>#VALUE!</v>
      </c>
      <c r="HQ343" t="e">
        <f>'North America'!G506+"n/&gt;!20~"</f>
        <v>#VALUE!</v>
      </c>
      <c r="HR343" t="e">
        <f>'North America'!H506+"n/&gt;!21#"</f>
        <v>#VALUE!</v>
      </c>
      <c r="HS343" t="e">
        <f>'North America'!I506+"n/&gt;!21$"</f>
        <v>#VALUE!</v>
      </c>
      <c r="HT343" t="e">
        <f>'North America'!A507+"n/&gt;!21%"</f>
        <v>#VALUE!</v>
      </c>
      <c r="HU343" t="e">
        <f>'North America'!B507+"n/&gt;!21&amp;"</f>
        <v>#VALUE!</v>
      </c>
      <c r="HV343" t="e">
        <f>'North America'!C507+"n/&gt;!21'"</f>
        <v>#VALUE!</v>
      </c>
      <c r="HW343" t="e">
        <f>'North America'!D507+"n/&gt;!21("</f>
        <v>#VALUE!</v>
      </c>
      <c r="HX343" t="e">
        <f>'North America'!E507+"n/&gt;!21)"</f>
        <v>#VALUE!</v>
      </c>
      <c r="HY343" t="e">
        <f>'North America'!F507+"n/&gt;!21."</f>
        <v>#VALUE!</v>
      </c>
      <c r="HZ343" t="e">
        <f>'North America'!G507+"n/&gt;!21/"</f>
        <v>#VALUE!</v>
      </c>
      <c r="IA343" t="e">
        <f>'North America'!H507+"n/&gt;!210"</f>
        <v>#VALUE!</v>
      </c>
      <c r="IB343" t="e">
        <f>'North America'!I507+"n/&gt;!211"</f>
        <v>#VALUE!</v>
      </c>
      <c r="IC343" t="e">
        <f>'North America'!A508+"n/&gt;!212"</f>
        <v>#VALUE!</v>
      </c>
      <c r="ID343" t="e">
        <f>'North America'!B508+"n/&gt;!213"</f>
        <v>#VALUE!</v>
      </c>
      <c r="IE343" t="e">
        <f>'North America'!C508+"n/&gt;!214"</f>
        <v>#VALUE!</v>
      </c>
      <c r="IF343" t="e">
        <f>'North America'!D508+"n/&gt;!215"</f>
        <v>#VALUE!</v>
      </c>
      <c r="IG343" t="e">
        <f>'North America'!E508+"n/&gt;!216"</f>
        <v>#VALUE!</v>
      </c>
      <c r="IH343" t="e">
        <f>'North America'!F508+"n/&gt;!217"</f>
        <v>#VALUE!</v>
      </c>
      <c r="II343" t="e">
        <f>'North America'!G508+"n/&gt;!218"</f>
        <v>#VALUE!</v>
      </c>
      <c r="IJ343" t="e">
        <f>'North America'!H508+"n/&gt;!219"</f>
        <v>#VALUE!</v>
      </c>
      <c r="IK343" t="e">
        <f>'North America'!I508+"n/&gt;!21:"</f>
        <v>#VALUE!</v>
      </c>
      <c r="IL343" t="e">
        <f>'North America'!A509+"n/&gt;!21;"</f>
        <v>#VALUE!</v>
      </c>
      <c r="IM343" t="e">
        <f>'North America'!B509+"n/&gt;!21&lt;"</f>
        <v>#VALUE!</v>
      </c>
      <c r="IN343" t="e">
        <f>'North America'!C509+"n/&gt;!21="</f>
        <v>#VALUE!</v>
      </c>
      <c r="IO343" t="e">
        <f>'North America'!D509+"n/&gt;!21&gt;"</f>
        <v>#VALUE!</v>
      </c>
      <c r="IP343" t="e">
        <f>'North America'!E509+"n/&gt;!21?"</f>
        <v>#VALUE!</v>
      </c>
      <c r="IQ343" t="e">
        <f>'North America'!F509+"n/&gt;!21@"</f>
        <v>#VALUE!</v>
      </c>
      <c r="IR343" t="e">
        <f>'North America'!G509+"n/&gt;!21A"</f>
        <v>#VALUE!</v>
      </c>
      <c r="IS343" t="e">
        <f>'North America'!H509+"n/&gt;!21B"</f>
        <v>#VALUE!</v>
      </c>
      <c r="IT343" t="e">
        <f>'North America'!I509+"n/&gt;!21C"</f>
        <v>#VALUE!</v>
      </c>
      <c r="IU343" t="e">
        <f>'North America'!A510+"n/&gt;!21D"</f>
        <v>#VALUE!</v>
      </c>
      <c r="IV343" t="e">
        <f>'North America'!B510+"n/&gt;!21E"</f>
        <v>#VALUE!</v>
      </c>
    </row>
    <row r="344" spans="6:256" x14ac:dyDescent="0.35">
      <c r="F344" t="e">
        <f>'North America'!C510+"n/&gt;!21F"</f>
        <v>#VALUE!</v>
      </c>
      <c r="G344" t="e">
        <f>'North America'!D510+"n/&gt;!21G"</f>
        <v>#VALUE!</v>
      </c>
      <c r="H344" t="e">
        <f>'North America'!E510+"n/&gt;!21H"</f>
        <v>#VALUE!</v>
      </c>
      <c r="I344" t="e">
        <f>'North America'!F510+"n/&gt;!21I"</f>
        <v>#VALUE!</v>
      </c>
      <c r="J344" t="e">
        <f>'North America'!G510+"n/&gt;!21J"</f>
        <v>#VALUE!</v>
      </c>
      <c r="K344" t="e">
        <f>'North America'!H510+"n/&gt;!21K"</f>
        <v>#VALUE!</v>
      </c>
      <c r="L344" t="e">
        <f>'North America'!I510+"n/&gt;!21L"</f>
        <v>#VALUE!</v>
      </c>
      <c r="M344" t="e">
        <f>'North America'!A511+"n/&gt;!21M"</f>
        <v>#VALUE!</v>
      </c>
      <c r="N344" t="e">
        <f>'North America'!B511+"n/&gt;!21N"</f>
        <v>#VALUE!</v>
      </c>
      <c r="O344" t="e">
        <f>'North America'!C511+"n/&gt;!21O"</f>
        <v>#VALUE!</v>
      </c>
      <c r="P344" t="e">
        <f>'North America'!D511+"n/&gt;!21P"</f>
        <v>#VALUE!</v>
      </c>
      <c r="Q344" t="e">
        <f>'North America'!E511+"n/&gt;!21Q"</f>
        <v>#VALUE!</v>
      </c>
      <c r="R344" t="e">
        <f>'North America'!F511+"n/&gt;!21R"</f>
        <v>#VALUE!</v>
      </c>
      <c r="S344" t="e">
        <f>'North America'!G511+"n/&gt;!21S"</f>
        <v>#VALUE!</v>
      </c>
      <c r="T344" t="e">
        <f>'North America'!H511+"n/&gt;!21T"</f>
        <v>#VALUE!</v>
      </c>
      <c r="U344" t="e">
        <f>'North America'!I511+"n/&gt;!21U"</f>
        <v>#VALUE!</v>
      </c>
      <c r="V344" t="e">
        <f>'North America'!A512+"n/&gt;!21V"</f>
        <v>#VALUE!</v>
      </c>
      <c r="W344" t="e">
        <f>'North America'!B512+"n/&gt;!21W"</f>
        <v>#VALUE!</v>
      </c>
      <c r="X344" t="e">
        <f>'North America'!C512+"n/&gt;!21X"</f>
        <v>#VALUE!</v>
      </c>
      <c r="Y344" t="e">
        <f>'North America'!D512+"n/&gt;!21Y"</f>
        <v>#VALUE!</v>
      </c>
      <c r="Z344" t="e">
        <f>'North America'!E512+"n/&gt;!21Z"</f>
        <v>#VALUE!</v>
      </c>
      <c r="AA344" t="e">
        <f>'North America'!F512+"n/&gt;!21["</f>
        <v>#VALUE!</v>
      </c>
      <c r="AB344" t="e">
        <f>'North America'!G512+"n/&gt;!21\"</f>
        <v>#VALUE!</v>
      </c>
      <c r="AC344" t="e">
        <f>'North America'!H512+"n/&gt;!21]"</f>
        <v>#VALUE!</v>
      </c>
      <c r="AD344" t="e">
        <f>'North America'!I512+"n/&gt;!21^"</f>
        <v>#VALUE!</v>
      </c>
      <c r="AE344" t="e">
        <f>'North America'!A513+"n/&gt;!21_"</f>
        <v>#VALUE!</v>
      </c>
      <c r="AF344" t="e">
        <f>'North America'!B513+"n/&gt;!21`"</f>
        <v>#VALUE!</v>
      </c>
      <c r="AG344" t="e">
        <f>'North America'!C513+"n/&gt;!21a"</f>
        <v>#VALUE!</v>
      </c>
      <c r="AH344" t="e">
        <f>'North America'!D513+"n/&gt;!21b"</f>
        <v>#VALUE!</v>
      </c>
      <c r="AI344" t="e">
        <f>'North America'!E513+"n/&gt;!21c"</f>
        <v>#VALUE!</v>
      </c>
      <c r="AJ344" t="e">
        <f>'North America'!F513+"n/&gt;!21d"</f>
        <v>#VALUE!</v>
      </c>
      <c r="AK344" t="e">
        <f>'North America'!G513+"n/&gt;!21e"</f>
        <v>#VALUE!</v>
      </c>
      <c r="AL344" t="e">
        <f>'North America'!H513+"n/&gt;!21f"</f>
        <v>#VALUE!</v>
      </c>
      <c r="AM344" t="e">
        <f>'North America'!I513+"n/&gt;!21g"</f>
        <v>#VALUE!</v>
      </c>
      <c r="AN344" t="e">
        <f>'North America'!A514+"n/&gt;!21h"</f>
        <v>#VALUE!</v>
      </c>
      <c r="AO344" t="e">
        <f>'North America'!B514+"n/&gt;!21i"</f>
        <v>#VALUE!</v>
      </c>
      <c r="AP344" t="e">
        <f>'North America'!C514+"n/&gt;!21j"</f>
        <v>#VALUE!</v>
      </c>
      <c r="AQ344" t="e">
        <f>'North America'!D514+"n/&gt;!21k"</f>
        <v>#VALUE!</v>
      </c>
      <c r="AR344" t="e">
        <f>'North America'!E514+"n/&gt;!21l"</f>
        <v>#VALUE!</v>
      </c>
      <c r="AS344" t="e">
        <f>'North America'!F514+"n/&gt;!21m"</f>
        <v>#VALUE!</v>
      </c>
      <c r="AT344" t="e">
        <f>'North America'!G514+"n/&gt;!21n"</f>
        <v>#VALUE!</v>
      </c>
      <c r="AU344" t="e">
        <f>'North America'!H514+"n/&gt;!21o"</f>
        <v>#VALUE!</v>
      </c>
      <c r="AV344" t="e">
        <f>'North America'!I514+"n/&gt;!21p"</f>
        <v>#VALUE!</v>
      </c>
      <c r="AW344" t="e">
        <f>'North America'!A515+"n/&gt;!21q"</f>
        <v>#VALUE!</v>
      </c>
      <c r="AX344" t="e">
        <f>'North America'!B515+"n/&gt;!21r"</f>
        <v>#VALUE!</v>
      </c>
      <c r="AY344" t="e">
        <f>'North America'!C515+"n/&gt;!21s"</f>
        <v>#VALUE!</v>
      </c>
      <c r="AZ344" t="e">
        <f>'North America'!D515+"n/&gt;!21t"</f>
        <v>#VALUE!</v>
      </c>
      <c r="BA344" t="e">
        <f>'North America'!E515+"n/&gt;!21u"</f>
        <v>#VALUE!</v>
      </c>
      <c r="BB344" t="e">
        <f>'North America'!F515+"n/&gt;!21v"</f>
        <v>#VALUE!</v>
      </c>
      <c r="BC344" t="e">
        <f>'North America'!G515+"n/&gt;!21w"</f>
        <v>#VALUE!</v>
      </c>
      <c r="BD344" t="e">
        <f>'North America'!H515+"n/&gt;!21x"</f>
        <v>#VALUE!</v>
      </c>
      <c r="BE344" t="e">
        <f>'North America'!I515+"n/&gt;!21y"</f>
        <v>#VALUE!</v>
      </c>
      <c r="BF344" t="e">
        <f>'North America'!A516+"n/&gt;!21z"</f>
        <v>#VALUE!</v>
      </c>
      <c r="BG344" t="e">
        <f>'North America'!B516+"n/&gt;!21{"</f>
        <v>#VALUE!</v>
      </c>
      <c r="BH344" t="e">
        <f>'North America'!C516+"n/&gt;!21|"</f>
        <v>#VALUE!</v>
      </c>
      <c r="BI344" t="e">
        <f>'North America'!D516+"n/&gt;!21}"</f>
        <v>#VALUE!</v>
      </c>
      <c r="BJ344" t="e">
        <f>'North America'!E516+"n/&gt;!21~"</f>
        <v>#VALUE!</v>
      </c>
      <c r="BK344" t="e">
        <f>'North America'!F516+"n/&gt;!22#"</f>
        <v>#VALUE!</v>
      </c>
      <c r="BL344" t="e">
        <f>'North America'!G516+"n/&gt;!22$"</f>
        <v>#VALUE!</v>
      </c>
      <c r="BM344" t="e">
        <f>'North America'!H516+"n/&gt;!22%"</f>
        <v>#VALUE!</v>
      </c>
      <c r="BN344" t="e">
        <f>'North America'!I516+"n/&gt;!22&amp;"</f>
        <v>#VALUE!</v>
      </c>
      <c r="BO344" t="e">
        <f>'North America'!A517+"n/&gt;!22'"</f>
        <v>#VALUE!</v>
      </c>
      <c r="BP344" t="e">
        <f>'North America'!B517+"n/&gt;!22("</f>
        <v>#VALUE!</v>
      </c>
      <c r="BQ344" t="e">
        <f>'North America'!C517+"n/&gt;!22)"</f>
        <v>#VALUE!</v>
      </c>
      <c r="BR344" t="e">
        <f>'North America'!D517+"n/&gt;!22."</f>
        <v>#VALUE!</v>
      </c>
      <c r="BS344" t="e">
        <f>'North America'!E517+"n/&gt;!22/"</f>
        <v>#VALUE!</v>
      </c>
      <c r="BT344" t="e">
        <f>'North America'!F517+"n/&gt;!220"</f>
        <v>#VALUE!</v>
      </c>
      <c r="BU344" t="e">
        <f>'North America'!G517+"n/&gt;!221"</f>
        <v>#VALUE!</v>
      </c>
      <c r="BV344" t="e">
        <f>'North America'!H517+"n/&gt;!222"</f>
        <v>#VALUE!</v>
      </c>
      <c r="BW344" t="e">
        <f>'North America'!I517+"n/&gt;!223"</f>
        <v>#VALUE!</v>
      </c>
      <c r="BX344" t="e">
        <f>'North America'!A518+"n/&gt;!224"</f>
        <v>#VALUE!</v>
      </c>
      <c r="BY344" t="e">
        <f>'North America'!B518+"n/&gt;!225"</f>
        <v>#VALUE!</v>
      </c>
      <c r="BZ344" t="e">
        <f>'North America'!C518+"n/&gt;!226"</f>
        <v>#VALUE!</v>
      </c>
      <c r="CA344" t="e">
        <f>'North America'!D518+"n/&gt;!227"</f>
        <v>#VALUE!</v>
      </c>
      <c r="CB344" t="e">
        <f>'North America'!E518+"n/&gt;!228"</f>
        <v>#VALUE!</v>
      </c>
      <c r="CC344" t="e">
        <f>'North America'!F518+"n/&gt;!229"</f>
        <v>#VALUE!</v>
      </c>
      <c r="CD344" t="e">
        <f>'North America'!G518+"n/&gt;!22:"</f>
        <v>#VALUE!</v>
      </c>
      <c r="CE344" t="e">
        <f>'North America'!H518+"n/&gt;!22;"</f>
        <v>#VALUE!</v>
      </c>
      <c r="CF344" t="e">
        <f>'North America'!I518+"n/&gt;!22&lt;"</f>
        <v>#VALUE!</v>
      </c>
      <c r="CG344" t="e">
        <f>'North America'!A519+"n/&gt;!22="</f>
        <v>#VALUE!</v>
      </c>
      <c r="CH344" t="e">
        <f>'North America'!B519+"n/&gt;!22&gt;"</f>
        <v>#VALUE!</v>
      </c>
      <c r="CI344" t="e">
        <f>'North America'!C519+"n/&gt;!22?"</f>
        <v>#VALUE!</v>
      </c>
      <c r="CJ344" t="e">
        <f>'North America'!D519+"n/&gt;!22@"</f>
        <v>#VALUE!</v>
      </c>
      <c r="CK344" t="e">
        <f>'North America'!E519+"n/&gt;!22A"</f>
        <v>#VALUE!</v>
      </c>
      <c r="CL344" t="e">
        <f>'North America'!F519+"n/&gt;!22B"</f>
        <v>#VALUE!</v>
      </c>
      <c r="CM344" t="e">
        <f>'North America'!G519+"n/&gt;!22C"</f>
        <v>#VALUE!</v>
      </c>
      <c r="CN344" t="e">
        <f>'North America'!H519+"n/&gt;!22D"</f>
        <v>#VALUE!</v>
      </c>
      <c r="CO344" t="e">
        <f>'North America'!I519+"n/&gt;!22E"</f>
        <v>#VALUE!</v>
      </c>
      <c r="CP344" t="e">
        <f>'North America'!A520+"n/&gt;!22F"</f>
        <v>#VALUE!</v>
      </c>
      <c r="CQ344" t="e">
        <f>'North America'!B520+"n/&gt;!22G"</f>
        <v>#VALUE!</v>
      </c>
      <c r="CR344" t="e">
        <f>'North America'!C520+"n/&gt;!22H"</f>
        <v>#VALUE!</v>
      </c>
      <c r="CS344" t="e">
        <f>'North America'!D520+"n/&gt;!22I"</f>
        <v>#VALUE!</v>
      </c>
      <c r="CT344" t="e">
        <f>'North America'!E520+"n/&gt;!22J"</f>
        <v>#VALUE!</v>
      </c>
      <c r="CU344" t="e">
        <f>'North America'!F520+"n/&gt;!22K"</f>
        <v>#VALUE!</v>
      </c>
      <c r="CV344" t="e">
        <f>'North America'!G520+"n/&gt;!22L"</f>
        <v>#VALUE!</v>
      </c>
      <c r="CW344" t="e">
        <f>'North America'!H520+"n/&gt;!22M"</f>
        <v>#VALUE!</v>
      </c>
      <c r="CX344" t="e">
        <f>'North America'!I520+"n/&gt;!22N"</f>
        <v>#VALUE!</v>
      </c>
      <c r="CY344" t="e">
        <f>'North America'!A521+"n/&gt;!22O"</f>
        <v>#VALUE!</v>
      </c>
      <c r="CZ344" t="e">
        <f>'North America'!B521+"n/&gt;!22P"</f>
        <v>#VALUE!</v>
      </c>
      <c r="DA344" t="e">
        <f>'North America'!C521+"n/&gt;!22Q"</f>
        <v>#VALUE!</v>
      </c>
      <c r="DB344" t="e">
        <f>'North America'!D521+"n/&gt;!22R"</f>
        <v>#VALUE!</v>
      </c>
      <c r="DC344" t="e">
        <f>'North America'!E521+"n/&gt;!22S"</f>
        <v>#VALUE!</v>
      </c>
      <c r="DD344" t="e">
        <f>'North America'!F521+"n/&gt;!22T"</f>
        <v>#VALUE!</v>
      </c>
      <c r="DE344" t="e">
        <f>'North America'!G521+"n/&gt;!22U"</f>
        <v>#VALUE!</v>
      </c>
      <c r="DF344" t="e">
        <f>'North America'!H521+"n/&gt;!22V"</f>
        <v>#VALUE!</v>
      </c>
      <c r="DG344" t="e">
        <f>'North America'!I521+"n/&gt;!22W"</f>
        <v>#VALUE!</v>
      </c>
      <c r="DH344" t="e">
        <f>'North America'!A522+"n/&gt;!22X"</f>
        <v>#VALUE!</v>
      </c>
      <c r="DI344" t="e">
        <f>'North America'!B522+"n/&gt;!22Y"</f>
        <v>#VALUE!</v>
      </c>
      <c r="DJ344" t="e">
        <f>'North America'!C522+"n/&gt;!22Z"</f>
        <v>#VALUE!</v>
      </c>
      <c r="DK344" t="e">
        <f>'North America'!D522+"n/&gt;!22["</f>
        <v>#VALUE!</v>
      </c>
      <c r="DL344" t="e">
        <f>'North America'!E522+"n/&gt;!22\"</f>
        <v>#VALUE!</v>
      </c>
      <c r="DM344" t="e">
        <f>'North America'!F522+"n/&gt;!22]"</f>
        <v>#VALUE!</v>
      </c>
      <c r="DN344" t="e">
        <f>'North America'!G522+"n/&gt;!22^"</f>
        <v>#VALUE!</v>
      </c>
      <c r="DO344" t="e">
        <f>'North America'!H522+"n/&gt;!22_"</f>
        <v>#VALUE!</v>
      </c>
      <c r="DP344" t="e">
        <f>'North America'!I522+"n/&gt;!22`"</f>
        <v>#VALUE!</v>
      </c>
      <c r="DQ344" t="e">
        <f>'North America'!A523+"n/&gt;!22a"</f>
        <v>#VALUE!</v>
      </c>
      <c r="DR344" t="e">
        <f>'North America'!B523+"n/&gt;!22b"</f>
        <v>#VALUE!</v>
      </c>
      <c r="DS344" t="e">
        <f>'North America'!C523+"n/&gt;!22c"</f>
        <v>#VALUE!</v>
      </c>
      <c r="DT344" t="e">
        <f>'North America'!D523+"n/&gt;!22d"</f>
        <v>#VALUE!</v>
      </c>
      <c r="DU344" t="e">
        <f>'North America'!E523+"n/&gt;!22e"</f>
        <v>#VALUE!</v>
      </c>
      <c r="DV344" t="e">
        <f>'North America'!F523+"n/&gt;!22f"</f>
        <v>#VALUE!</v>
      </c>
      <c r="DW344" t="e">
        <f>'North America'!G523+"n/&gt;!22g"</f>
        <v>#VALUE!</v>
      </c>
      <c r="DX344" t="e">
        <f>'North America'!H523+"n/&gt;!22h"</f>
        <v>#VALUE!</v>
      </c>
      <c r="DY344" t="e">
        <f>'North America'!I523+"n/&gt;!22i"</f>
        <v>#VALUE!</v>
      </c>
      <c r="DZ344" t="e">
        <f>'North America'!A524+"n/&gt;!22j"</f>
        <v>#VALUE!</v>
      </c>
      <c r="EA344" t="e">
        <f>'North America'!B524+"n/&gt;!22k"</f>
        <v>#VALUE!</v>
      </c>
      <c r="EB344" t="e">
        <f>'North America'!C524+"n/&gt;!22l"</f>
        <v>#VALUE!</v>
      </c>
      <c r="EC344" t="e">
        <f>'North America'!D524+"n/&gt;!22m"</f>
        <v>#VALUE!</v>
      </c>
      <c r="ED344" t="e">
        <f>'North America'!E524+"n/&gt;!22n"</f>
        <v>#VALUE!</v>
      </c>
      <c r="EE344" t="e">
        <f>'North America'!F524+"n/&gt;!22o"</f>
        <v>#VALUE!</v>
      </c>
      <c r="EF344" t="e">
        <f>'North America'!G524+"n/&gt;!22p"</f>
        <v>#VALUE!</v>
      </c>
      <c r="EG344" t="e">
        <f>'North America'!H524+"n/&gt;!22q"</f>
        <v>#VALUE!</v>
      </c>
      <c r="EH344" t="e">
        <f>'North America'!I524+"n/&gt;!22r"</f>
        <v>#VALUE!</v>
      </c>
      <c r="EI344" t="e">
        <f>'North America'!A525+"n/&gt;!22s"</f>
        <v>#VALUE!</v>
      </c>
      <c r="EJ344" t="e">
        <f>'North America'!B525+"n/&gt;!22t"</f>
        <v>#VALUE!</v>
      </c>
      <c r="EK344" t="e">
        <f>'North America'!C525+"n/&gt;!22u"</f>
        <v>#VALUE!</v>
      </c>
      <c r="EL344" t="e">
        <f>'North America'!D525+"n/&gt;!22v"</f>
        <v>#VALUE!</v>
      </c>
      <c r="EM344" t="e">
        <f>'North America'!E525+"n/&gt;!22w"</f>
        <v>#VALUE!</v>
      </c>
      <c r="EN344" t="e">
        <f>'North America'!F525+"n/&gt;!22x"</f>
        <v>#VALUE!</v>
      </c>
      <c r="EO344" t="e">
        <f>'North America'!G525+"n/&gt;!22y"</f>
        <v>#VALUE!</v>
      </c>
      <c r="EP344" t="e">
        <f>'North America'!H525+"n/&gt;!22z"</f>
        <v>#VALUE!</v>
      </c>
      <c r="EQ344" t="e">
        <f>'North America'!I525+"n/&gt;!22{"</f>
        <v>#VALUE!</v>
      </c>
      <c r="ER344" t="e">
        <f>'North America'!A526+"n/&gt;!22|"</f>
        <v>#VALUE!</v>
      </c>
      <c r="ES344" t="e">
        <f>'North America'!B526+"n/&gt;!22}"</f>
        <v>#VALUE!</v>
      </c>
      <c r="ET344" t="e">
        <f>'North America'!C526+"n/&gt;!22~"</f>
        <v>#VALUE!</v>
      </c>
      <c r="EU344" t="e">
        <f>'North America'!D526+"n/&gt;!23#"</f>
        <v>#VALUE!</v>
      </c>
      <c r="EV344" t="e">
        <f>'North America'!E526+"n/&gt;!23$"</f>
        <v>#VALUE!</v>
      </c>
      <c r="EW344" t="e">
        <f>'North America'!F526+"n/&gt;!23%"</f>
        <v>#VALUE!</v>
      </c>
      <c r="EX344" t="e">
        <f>'North America'!G526+"n/&gt;!23&amp;"</f>
        <v>#VALUE!</v>
      </c>
      <c r="EY344" t="e">
        <f>'North America'!H526+"n/&gt;!23'"</f>
        <v>#VALUE!</v>
      </c>
      <c r="EZ344" t="e">
        <f>'North America'!I526+"n/&gt;!23("</f>
        <v>#VALUE!</v>
      </c>
      <c r="FA344" t="e">
        <f>'North America'!A527+"n/&gt;!23)"</f>
        <v>#VALUE!</v>
      </c>
      <c r="FB344" t="e">
        <f>'North America'!B527+"n/&gt;!23."</f>
        <v>#VALUE!</v>
      </c>
      <c r="FC344" t="e">
        <f>'North America'!C527+"n/&gt;!23/"</f>
        <v>#VALUE!</v>
      </c>
      <c r="FD344" t="e">
        <f>'North America'!D527+"n/&gt;!230"</f>
        <v>#VALUE!</v>
      </c>
      <c r="FE344" t="e">
        <f>'North America'!E527+"n/&gt;!231"</f>
        <v>#VALUE!</v>
      </c>
      <c r="FF344" t="e">
        <f>'North America'!F527+"n/&gt;!232"</f>
        <v>#VALUE!</v>
      </c>
      <c r="FG344" t="e">
        <f>'North America'!G527+"n/&gt;!233"</f>
        <v>#VALUE!</v>
      </c>
      <c r="FH344" t="e">
        <f>'North America'!H527+"n/&gt;!234"</f>
        <v>#VALUE!</v>
      </c>
      <c r="FI344" t="e">
        <f>'North America'!I527+"n/&gt;!235"</f>
        <v>#VALUE!</v>
      </c>
      <c r="FJ344" t="e">
        <f>'North America'!A528+"n/&gt;!236"</f>
        <v>#VALUE!</v>
      </c>
      <c r="FK344" t="e">
        <f>'North America'!B528+"n/&gt;!237"</f>
        <v>#VALUE!</v>
      </c>
      <c r="FL344" t="e">
        <f>'North America'!C528+"n/&gt;!238"</f>
        <v>#VALUE!</v>
      </c>
      <c r="FM344" t="e">
        <f>'North America'!D528+"n/&gt;!239"</f>
        <v>#VALUE!</v>
      </c>
      <c r="FN344" t="e">
        <f>'North America'!E528+"n/&gt;!23:"</f>
        <v>#VALUE!</v>
      </c>
      <c r="FO344" t="e">
        <f>'North America'!F528+"n/&gt;!23;"</f>
        <v>#VALUE!</v>
      </c>
      <c r="FP344" t="e">
        <f>'North America'!G528+"n/&gt;!23&lt;"</f>
        <v>#VALUE!</v>
      </c>
      <c r="FQ344" t="e">
        <f>'North America'!H528+"n/&gt;!23="</f>
        <v>#VALUE!</v>
      </c>
      <c r="FR344" t="e">
        <f>'North America'!I528+"n/&gt;!23&gt;"</f>
        <v>#VALUE!</v>
      </c>
      <c r="FS344" t="e">
        <f>'North America'!A529+"n/&gt;!23?"</f>
        <v>#VALUE!</v>
      </c>
      <c r="FT344" t="e">
        <f>'North America'!B529+"n/&gt;!23@"</f>
        <v>#VALUE!</v>
      </c>
      <c r="FU344" t="e">
        <f>'North America'!C529+"n/&gt;!23A"</f>
        <v>#VALUE!</v>
      </c>
      <c r="FV344" t="e">
        <f>'North America'!D529+"n/&gt;!23B"</f>
        <v>#VALUE!</v>
      </c>
      <c r="FW344" t="e">
        <f>'North America'!E529+"n/&gt;!23C"</f>
        <v>#VALUE!</v>
      </c>
      <c r="FX344" t="e">
        <f>'North America'!F529+"n/&gt;!23D"</f>
        <v>#VALUE!</v>
      </c>
      <c r="FY344" t="e">
        <f>'North America'!G529+"n/&gt;!23E"</f>
        <v>#VALUE!</v>
      </c>
      <c r="FZ344" t="e">
        <f>'North America'!H529+"n/&gt;!23F"</f>
        <v>#VALUE!</v>
      </c>
      <c r="GA344" t="e">
        <f>'North America'!I529+"n/&gt;!23G"</f>
        <v>#VALUE!</v>
      </c>
      <c r="GB344" t="e">
        <f>'North America'!A530+"n/&gt;!23H"</f>
        <v>#VALUE!</v>
      </c>
      <c r="GC344" t="e">
        <f>'North America'!B530+"n/&gt;!23I"</f>
        <v>#VALUE!</v>
      </c>
      <c r="GD344" t="e">
        <f>'North America'!C530+"n/&gt;!23J"</f>
        <v>#VALUE!</v>
      </c>
      <c r="GE344" t="e">
        <f>'North America'!D530+"n/&gt;!23K"</f>
        <v>#VALUE!</v>
      </c>
      <c r="GF344" t="e">
        <f>'North America'!E530+"n/&gt;!23L"</f>
        <v>#VALUE!</v>
      </c>
      <c r="GG344" t="e">
        <f>'North America'!F530+"n/&gt;!23M"</f>
        <v>#VALUE!</v>
      </c>
      <c r="GH344" t="e">
        <f>'North America'!G530+"n/&gt;!23N"</f>
        <v>#VALUE!</v>
      </c>
      <c r="GI344" t="e">
        <f>'North America'!H530+"n/&gt;!23O"</f>
        <v>#VALUE!</v>
      </c>
      <c r="GJ344" t="e">
        <f>'North America'!I530+"n/&gt;!23P"</f>
        <v>#VALUE!</v>
      </c>
      <c r="GK344" t="e">
        <f>'North America'!A531+"n/&gt;!23Q"</f>
        <v>#VALUE!</v>
      </c>
      <c r="GL344" t="e">
        <f>'North America'!B531+"n/&gt;!23R"</f>
        <v>#VALUE!</v>
      </c>
      <c r="GM344" t="e">
        <f>'North America'!C531+"n/&gt;!23S"</f>
        <v>#VALUE!</v>
      </c>
      <c r="GN344" t="e">
        <f>'North America'!D531+"n/&gt;!23T"</f>
        <v>#VALUE!</v>
      </c>
      <c r="GO344" t="e">
        <f>'North America'!E531+"n/&gt;!23U"</f>
        <v>#VALUE!</v>
      </c>
      <c r="GP344" t="e">
        <f>'North America'!F531+"n/&gt;!23V"</f>
        <v>#VALUE!</v>
      </c>
      <c r="GQ344" t="e">
        <f>'North America'!G531+"n/&gt;!23W"</f>
        <v>#VALUE!</v>
      </c>
      <c r="GR344" t="e">
        <f>'North America'!H531+"n/&gt;!23X"</f>
        <v>#VALUE!</v>
      </c>
      <c r="GS344" t="e">
        <f>'North America'!I531+"n/&gt;!23Y"</f>
        <v>#VALUE!</v>
      </c>
      <c r="GT344" t="e">
        <f>'North America'!A532+"n/&gt;!23Z"</f>
        <v>#VALUE!</v>
      </c>
      <c r="GU344" t="e">
        <f>'North America'!B532+"n/&gt;!23["</f>
        <v>#VALUE!</v>
      </c>
      <c r="GV344" t="e">
        <f>'North America'!C532+"n/&gt;!23\"</f>
        <v>#VALUE!</v>
      </c>
      <c r="GW344" t="e">
        <f>'North America'!D532+"n/&gt;!23]"</f>
        <v>#VALUE!</v>
      </c>
      <c r="GX344" t="e">
        <f>'North America'!E532+"n/&gt;!23^"</f>
        <v>#VALUE!</v>
      </c>
      <c r="GY344" t="e">
        <f>'North America'!F532+"n/&gt;!23_"</f>
        <v>#VALUE!</v>
      </c>
      <c r="GZ344" t="e">
        <f>'North America'!G532+"n/&gt;!23`"</f>
        <v>#VALUE!</v>
      </c>
      <c r="HA344" t="e">
        <f>'North America'!H532+"n/&gt;!23a"</f>
        <v>#VALUE!</v>
      </c>
      <c r="HB344" t="e">
        <f>'North America'!I532+"n/&gt;!23b"</f>
        <v>#VALUE!</v>
      </c>
      <c r="HC344" t="e">
        <f>'North America'!A533+"n/&gt;!23c"</f>
        <v>#VALUE!</v>
      </c>
      <c r="HD344" t="e">
        <f>'North America'!B533+"n/&gt;!23d"</f>
        <v>#VALUE!</v>
      </c>
      <c r="HE344" t="e">
        <f>'North America'!C533+"n/&gt;!23e"</f>
        <v>#VALUE!</v>
      </c>
      <c r="HF344" t="e">
        <f>'North America'!D533+"n/&gt;!23f"</f>
        <v>#VALUE!</v>
      </c>
      <c r="HG344" t="e">
        <f>'North America'!E533+"n/&gt;!23g"</f>
        <v>#VALUE!</v>
      </c>
      <c r="HH344" t="e">
        <f>'North America'!F533+"n/&gt;!23h"</f>
        <v>#VALUE!</v>
      </c>
      <c r="HI344" t="e">
        <f>'North America'!G533+"n/&gt;!23i"</f>
        <v>#VALUE!</v>
      </c>
      <c r="HJ344" t="e">
        <f>'North America'!H533+"n/&gt;!23j"</f>
        <v>#VALUE!</v>
      </c>
      <c r="HK344" t="e">
        <f>'North America'!I533+"n/&gt;!23k"</f>
        <v>#VALUE!</v>
      </c>
      <c r="HL344" t="e">
        <f>'North America'!A534+"n/&gt;!23l"</f>
        <v>#VALUE!</v>
      </c>
      <c r="HM344" t="e">
        <f>'North America'!B534+"n/&gt;!23m"</f>
        <v>#VALUE!</v>
      </c>
      <c r="HN344" t="e">
        <f>'North America'!C534+"n/&gt;!23n"</f>
        <v>#VALUE!</v>
      </c>
      <c r="HO344" t="e">
        <f>'North America'!D534+"n/&gt;!23o"</f>
        <v>#VALUE!</v>
      </c>
      <c r="HP344" t="e">
        <f>'North America'!E534+"n/&gt;!23p"</f>
        <v>#VALUE!</v>
      </c>
      <c r="HQ344" t="e">
        <f>'North America'!F534+"n/&gt;!23q"</f>
        <v>#VALUE!</v>
      </c>
      <c r="HR344" t="e">
        <f>'North America'!G534+"n/&gt;!23r"</f>
        <v>#VALUE!</v>
      </c>
      <c r="HS344" t="e">
        <f>'North America'!H534+"n/&gt;!23s"</f>
        <v>#VALUE!</v>
      </c>
      <c r="HT344" t="e">
        <f>'North America'!I534+"n/&gt;!23t"</f>
        <v>#VALUE!</v>
      </c>
      <c r="HU344" t="e">
        <f>'North America'!A535+"n/&gt;!23u"</f>
        <v>#VALUE!</v>
      </c>
      <c r="HV344" t="e">
        <f>'North America'!B535+"n/&gt;!23v"</f>
        <v>#VALUE!</v>
      </c>
      <c r="HW344" t="e">
        <f>'North America'!C535+"n/&gt;!23w"</f>
        <v>#VALUE!</v>
      </c>
      <c r="HX344" t="e">
        <f>'North America'!D535+"n/&gt;!23x"</f>
        <v>#VALUE!</v>
      </c>
      <c r="HY344" t="e">
        <f>'North America'!E535+"n/&gt;!23y"</f>
        <v>#VALUE!</v>
      </c>
      <c r="HZ344" t="e">
        <f>'North America'!F535+"n/&gt;!23z"</f>
        <v>#VALUE!</v>
      </c>
      <c r="IA344" t="e">
        <f>'North America'!G535+"n/&gt;!23{"</f>
        <v>#VALUE!</v>
      </c>
      <c r="IB344" t="e">
        <f>'North America'!H535+"n/&gt;!23|"</f>
        <v>#VALUE!</v>
      </c>
      <c r="IC344" t="e">
        <f>'North America'!I535+"n/&gt;!23}"</f>
        <v>#VALUE!</v>
      </c>
      <c r="ID344" t="e">
        <f>'North America'!A536+"n/&gt;!23~"</f>
        <v>#VALUE!</v>
      </c>
      <c r="IE344" t="e">
        <f>'North America'!B536+"n/&gt;!24#"</f>
        <v>#VALUE!</v>
      </c>
      <c r="IF344" t="e">
        <f>'North America'!C536+"n/&gt;!24$"</f>
        <v>#VALUE!</v>
      </c>
      <c r="IG344" t="e">
        <f>'North America'!D536+"n/&gt;!24%"</f>
        <v>#VALUE!</v>
      </c>
      <c r="IH344" t="e">
        <f>'North America'!E536+"n/&gt;!24&amp;"</f>
        <v>#VALUE!</v>
      </c>
      <c r="II344" t="e">
        <f>'North America'!F536+"n/&gt;!24'"</f>
        <v>#VALUE!</v>
      </c>
      <c r="IJ344" t="e">
        <f>'North America'!G536+"n/&gt;!24("</f>
        <v>#VALUE!</v>
      </c>
      <c r="IK344" t="e">
        <f>'North America'!H536+"n/&gt;!24)"</f>
        <v>#VALUE!</v>
      </c>
      <c r="IL344" t="e">
        <f>'North America'!I536+"n/&gt;!24."</f>
        <v>#VALUE!</v>
      </c>
      <c r="IM344" t="e">
        <f>'North America'!A537+"n/&gt;!24/"</f>
        <v>#VALUE!</v>
      </c>
      <c r="IN344" t="e">
        <f>'North America'!B537+"n/&gt;!240"</f>
        <v>#VALUE!</v>
      </c>
      <c r="IO344" t="e">
        <f>'North America'!C537+"n/&gt;!241"</f>
        <v>#VALUE!</v>
      </c>
      <c r="IP344" t="e">
        <f>'North America'!D537+"n/&gt;!242"</f>
        <v>#VALUE!</v>
      </c>
      <c r="IQ344" t="e">
        <f>'North America'!E537+"n/&gt;!243"</f>
        <v>#VALUE!</v>
      </c>
      <c r="IR344" t="e">
        <f>'North America'!F537+"n/&gt;!244"</f>
        <v>#VALUE!</v>
      </c>
      <c r="IS344" t="e">
        <f>'North America'!G537+"n/&gt;!245"</f>
        <v>#VALUE!</v>
      </c>
      <c r="IT344" t="e">
        <f>'North America'!H537+"n/&gt;!246"</f>
        <v>#VALUE!</v>
      </c>
      <c r="IU344" t="e">
        <f>'North America'!I537+"n/&gt;!247"</f>
        <v>#VALUE!</v>
      </c>
      <c r="IV344" t="e">
        <f>'North America'!A538+"n/&gt;!248"</f>
        <v>#VALUE!</v>
      </c>
    </row>
    <row r="345" spans="6:256" x14ac:dyDescent="0.35">
      <c r="F345" t="e">
        <f>'North America'!B538+"n/&gt;!249"</f>
        <v>#VALUE!</v>
      </c>
      <c r="G345" t="e">
        <f>'North America'!C538+"n/&gt;!24:"</f>
        <v>#VALUE!</v>
      </c>
      <c r="H345" t="e">
        <f>'North America'!D538+"n/&gt;!24;"</f>
        <v>#VALUE!</v>
      </c>
      <c r="I345" t="e">
        <f>'North America'!E538+"n/&gt;!24&lt;"</f>
        <v>#VALUE!</v>
      </c>
      <c r="J345" t="e">
        <f>'North America'!F538+"n/&gt;!24="</f>
        <v>#VALUE!</v>
      </c>
      <c r="K345" t="e">
        <f>'North America'!G538+"n/&gt;!24&gt;"</f>
        <v>#VALUE!</v>
      </c>
      <c r="L345" t="e">
        <f>'North America'!H538+"n/&gt;!24?"</f>
        <v>#VALUE!</v>
      </c>
      <c r="M345" t="e">
        <f>'North America'!I538+"n/&gt;!24@"</f>
        <v>#VALUE!</v>
      </c>
      <c r="N345" t="e">
        <f>'North America'!A539+"n/&gt;!24A"</f>
        <v>#VALUE!</v>
      </c>
      <c r="O345" t="e">
        <f>'North America'!B539+"n/&gt;!24B"</f>
        <v>#VALUE!</v>
      </c>
      <c r="P345" t="e">
        <f>'North America'!C539+"n/&gt;!24C"</f>
        <v>#VALUE!</v>
      </c>
      <c r="Q345" t="e">
        <f>'North America'!D539+"n/&gt;!24D"</f>
        <v>#VALUE!</v>
      </c>
      <c r="R345" t="e">
        <f>'North America'!E539+"n/&gt;!24E"</f>
        <v>#VALUE!</v>
      </c>
      <c r="S345" t="e">
        <f>'North America'!F539+"n/&gt;!24F"</f>
        <v>#VALUE!</v>
      </c>
      <c r="T345" t="e">
        <f>'North America'!G539+"n/&gt;!24G"</f>
        <v>#VALUE!</v>
      </c>
      <c r="U345" t="e">
        <f>'North America'!H539+"n/&gt;!24H"</f>
        <v>#VALUE!</v>
      </c>
      <c r="V345" t="e">
        <f>'North America'!I539+"n/&gt;!24I"</f>
        <v>#VALUE!</v>
      </c>
      <c r="W345" t="e">
        <f>'North America'!A540+"n/&gt;!24J"</f>
        <v>#VALUE!</v>
      </c>
      <c r="X345" t="e">
        <f>'North America'!B540+"n/&gt;!24K"</f>
        <v>#VALUE!</v>
      </c>
      <c r="Y345" t="e">
        <f>'North America'!C540+"n/&gt;!24L"</f>
        <v>#VALUE!</v>
      </c>
      <c r="Z345" t="e">
        <f>'North America'!D540+"n/&gt;!24M"</f>
        <v>#VALUE!</v>
      </c>
      <c r="AA345" t="e">
        <f>'North America'!E540+"n/&gt;!24N"</f>
        <v>#VALUE!</v>
      </c>
      <c r="AB345" t="e">
        <f>'North America'!F540+"n/&gt;!24O"</f>
        <v>#VALUE!</v>
      </c>
      <c r="AC345" t="e">
        <f>'North America'!G540+"n/&gt;!24P"</f>
        <v>#VALUE!</v>
      </c>
      <c r="AD345" t="e">
        <f>'North America'!H540+"n/&gt;!24Q"</f>
        <v>#VALUE!</v>
      </c>
      <c r="AE345" t="e">
        <f>'North America'!I540+"n/&gt;!24R"</f>
        <v>#VALUE!</v>
      </c>
      <c r="AF345" t="e">
        <f>'North America'!A541+"n/&gt;!24S"</f>
        <v>#VALUE!</v>
      </c>
      <c r="AG345" t="e">
        <f>'North America'!B541+"n/&gt;!24T"</f>
        <v>#VALUE!</v>
      </c>
      <c r="AH345" t="e">
        <f>'North America'!C541+"n/&gt;!24U"</f>
        <v>#VALUE!</v>
      </c>
      <c r="AI345" t="e">
        <f>'North America'!D541+"n/&gt;!24V"</f>
        <v>#VALUE!</v>
      </c>
      <c r="AJ345" t="e">
        <f>'North America'!E541+"n/&gt;!24W"</f>
        <v>#VALUE!</v>
      </c>
      <c r="AK345" t="e">
        <f>'North America'!F541+"n/&gt;!24X"</f>
        <v>#VALUE!</v>
      </c>
      <c r="AL345" t="e">
        <f>'North America'!G541+"n/&gt;!24Y"</f>
        <v>#VALUE!</v>
      </c>
      <c r="AM345" t="e">
        <f>'North America'!H541+"n/&gt;!24Z"</f>
        <v>#VALUE!</v>
      </c>
      <c r="AN345" t="e">
        <f>'North America'!I541+"n/&gt;!24["</f>
        <v>#VALUE!</v>
      </c>
      <c r="AO345" t="e">
        <f>'North America'!A542+"n/&gt;!24\"</f>
        <v>#VALUE!</v>
      </c>
      <c r="AP345" t="e">
        <f>'North America'!B542+"n/&gt;!24]"</f>
        <v>#VALUE!</v>
      </c>
      <c r="AQ345" t="e">
        <f>'North America'!C542+"n/&gt;!24^"</f>
        <v>#VALUE!</v>
      </c>
      <c r="AR345" t="e">
        <f>'North America'!D542+"n/&gt;!24_"</f>
        <v>#VALUE!</v>
      </c>
      <c r="AS345" t="e">
        <f>'North America'!E542+"n/&gt;!24`"</f>
        <v>#VALUE!</v>
      </c>
      <c r="AT345" t="e">
        <f>'North America'!F542+"n/&gt;!24a"</f>
        <v>#VALUE!</v>
      </c>
      <c r="AU345" t="e">
        <f>'North America'!G542+"n/&gt;!24b"</f>
        <v>#VALUE!</v>
      </c>
      <c r="AV345" t="e">
        <f>'North America'!H542+"n/&gt;!24c"</f>
        <v>#VALUE!</v>
      </c>
      <c r="AW345" t="e">
        <f>'North America'!I542+"n/&gt;!24d"</f>
        <v>#VALUE!</v>
      </c>
      <c r="AX345" t="e">
        <f>'North America'!A543+"n/&gt;!24e"</f>
        <v>#VALUE!</v>
      </c>
      <c r="AY345" t="e">
        <f>'North America'!B543+"n/&gt;!24f"</f>
        <v>#VALUE!</v>
      </c>
      <c r="AZ345" t="e">
        <f>'North America'!C543+"n/&gt;!24g"</f>
        <v>#VALUE!</v>
      </c>
      <c r="BA345" t="e">
        <f>'North America'!D543+"n/&gt;!24h"</f>
        <v>#VALUE!</v>
      </c>
      <c r="BB345" t="e">
        <f>'North America'!E543+"n/&gt;!24i"</f>
        <v>#VALUE!</v>
      </c>
      <c r="BC345" t="e">
        <f>'North America'!F543+"n/&gt;!24j"</f>
        <v>#VALUE!</v>
      </c>
      <c r="BD345" t="e">
        <f>'North America'!G543+"n/&gt;!24k"</f>
        <v>#VALUE!</v>
      </c>
      <c r="BE345" t="e">
        <f>'North America'!H543+"n/&gt;!24l"</f>
        <v>#VALUE!</v>
      </c>
      <c r="BF345" t="e">
        <f>'North America'!I543+"n/&gt;!24m"</f>
        <v>#VALUE!</v>
      </c>
      <c r="BG345" t="e">
        <f>'North America'!A544+"n/&gt;!24n"</f>
        <v>#VALUE!</v>
      </c>
      <c r="BH345" t="e">
        <f>'North America'!B544+"n/&gt;!24o"</f>
        <v>#VALUE!</v>
      </c>
      <c r="BI345" t="e">
        <f>'North America'!C544+"n/&gt;!24p"</f>
        <v>#VALUE!</v>
      </c>
      <c r="BJ345" t="e">
        <f>'North America'!D544+"n/&gt;!24q"</f>
        <v>#VALUE!</v>
      </c>
      <c r="BK345" t="e">
        <f>'North America'!E544+"n/&gt;!24r"</f>
        <v>#VALUE!</v>
      </c>
      <c r="BL345" t="e">
        <f>'North America'!F544+"n/&gt;!24s"</f>
        <v>#VALUE!</v>
      </c>
      <c r="BM345" t="e">
        <f>'North America'!G544+"n/&gt;!24t"</f>
        <v>#VALUE!</v>
      </c>
      <c r="BN345" t="e">
        <f>'North America'!H544+"n/&gt;!24u"</f>
        <v>#VALUE!</v>
      </c>
      <c r="BO345" t="e">
        <f>'North America'!I544+"n/&gt;!24v"</f>
        <v>#VALUE!</v>
      </c>
      <c r="BP345" t="e">
        <f>'North America'!A545+"n/&gt;!24w"</f>
        <v>#VALUE!</v>
      </c>
      <c r="BQ345" t="e">
        <f>'North America'!B545+"n/&gt;!24x"</f>
        <v>#VALUE!</v>
      </c>
      <c r="BR345" t="e">
        <f>'North America'!C545+"n/&gt;!24y"</f>
        <v>#VALUE!</v>
      </c>
      <c r="BS345" t="e">
        <f>'North America'!D545+"n/&gt;!24z"</f>
        <v>#VALUE!</v>
      </c>
      <c r="BT345" t="e">
        <f>'North America'!E545+"n/&gt;!24{"</f>
        <v>#VALUE!</v>
      </c>
      <c r="BU345" t="e">
        <f>'North America'!F545+"n/&gt;!24|"</f>
        <v>#VALUE!</v>
      </c>
      <c r="BV345" t="e">
        <f>'North America'!G545+"n/&gt;!24}"</f>
        <v>#VALUE!</v>
      </c>
      <c r="BW345" t="e">
        <f>'North America'!H545+"n/&gt;!24~"</f>
        <v>#VALUE!</v>
      </c>
      <c r="BX345" t="e">
        <f>'North America'!I545+"n/&gt;!25#"</f>
        <v>#VALUE!</v>
      </c>
      <c r="BY345" t="e">
        <f>'North America'!A546+"n/&gt;!25$"</f>
        <v>#VALUE!</v>
      </c>
      <c r="BZ345" t="e">
        <f>'North America'!B546+"n/&gt;!25%"</f>
        <v>#VALUE!</v>
      </c>
      <c r="CA345" t="e">
        <f>'North America'!C546+"n/&gt;!25&amp;"</f>
        <v>#VALUE!</v>
      </c>
      <c r="CB345" t="e">
        <f>'North America'!D546+"n/&gt;!25'"</f>
        <v>#VALUE!</v>
      </c>
      <c r="CC345" t="e">
        <f>'North America'!E546+"n/&gt;!25("</f>
        <v>#VALUE!</v>
      </c>
      <c r="CD345" t="e">
        <f>'North America'!F546+"n/&gt;!25)"</f>
        <v>#VALUE!</v>
      </c>
      <c r="CE345" t="e">
        <f>'North America'!G546+"n/&gt;!25."</f>
        <v>#VALUE!</v>
      </c>
      <c r="CF345" t="e">
        <f>'North America'!H546+"n/&gt;!25/"</f>
        <v>#VALUE!</v>
      </c>
      <c r="CG345" t="e">
        <f>'North America'!I546+"n/&gt;!250"</f>
        <v>#VALUE!</v>
      </c>
      <c r="CH345" t="e">
        <f>'North America'!A547+"n/&gt;!251"</f>
        <v>#VALUE!</v>
      </c>
      <c r="CI345" t="e">
        <f>'North America'!B547+"n/&gt;!252"</f>
        <v>#VALUE!</v>
      </c>
      <c r="CJ345" t="e">
        <f>'North America'!C547+"n/&gt;!253"</f>
        <v>#VALUE!</v>
      </c>
      <c r="CK345" t="e">
        <f>'North America'!D547+"n/&gt;!254"</f>
        <v>#VALUE!</v>
      </c>
      <c r="CL345" t="e">
        <f>'North America'!E547+"n/&gt;!255"</f>
        <v>#VALUE!</v>
      </c>
      <c r="CM345" t="e">
        <f>'North America'!F547+"n/&gt;!256"</f>
        <v>#VALUE!</v>
      </c>
      <c r="CN345" t="e">
        <f>'North America'!G547+"n/&gt;!257"</f>
        <v>#VALUE!</v>
      </c>
      <c r="CO345" t="e">
        <f>'North America'!H547+"n/&gt;!258"</f>
        <v>#VALUE!</v>
      </c>
      <c r="CP345" t="e">
        <f>'North America'!I547+"n/&gt;!259"</f>
        <v>#VALUE!</v>
      </c>
      <c r="CQ345" t="e">
        <f>'North America'!A548+"n/&gt;!25:"</f>
        <v>#VALUE!</v>
      </c>
      <c r="CR345" t="e">
        <f>'North America'!B548+"n/&gt;!25;"</f>
        <v>#VALUE!</v>
      </c>
      <c r="CS345" t="e">
        <f>'North America'!C548+"n/&gt;!25&lt;"</f>
        <v>#VALUE!</v>
      </c>
      <c r="CT345" t="e">
        <f>'North America'!D548+"n/&gt;!25="</f>
        <v>#VALUE!</v>
      </c>
      <c r="CU345" t="e">
        <f>'North America'!E548+"n/&gt;!25&gt;"</f>
        <v>#VALUE!</v>
      </c>
      <c r="CV345" t="e">
        <f>'North America'!F548+"n/&gt;!25?"</f>
        <v>#VALUE!</v>
      </c>
      <c r="CW345" t="e">
        <f>'North America'!G548+"n/&gt;!25@"</f>
        <v>#VALUE!</v>
      </c>
      <c r="CX345" t="e">
        <f>'North America'!H548+"n/&gt;!25A"</f>
        <v>#VALUE!</v>
      </c>
      <c r="CY345" t="e">
        <f>'North America'!I548+"n/&gt;!25B"</f>
        <v>#VALUE!</v>
      </c>
      <c r="CZ345" t="e">
        <f>'North America'!A549+"n/&gt;!25C"</f>
        <v>#VALUE!</v>
      </c>
      <c r="DA345" t="e">
        <f>'North America'!B549+"n/&gt;!25D"</f>
        <v>#VALUE!</v>
      </c>
      <c r="DB345" t="e">
        <f>'North America'!C549+"n/&gt;!25E"</f>
        <v>#VALUE!</v>
      </c>
      <c r="DC345" t="e">
        <f>'North America'!D549+"n/&gt;!25F"</f>
        <v>#VALUE!</v>
      </c>
      <c r="DD345" t="e">
        <f>'North America'!E549+"n/&gt;!25G"</f>
        <v>#VALUE!</v>
      </c>
      <c r="DE345" t="e">
        <f>'North America'!F549+"n/&gt;!25H"</f>
        <v>#VALUE!</v>
      </c>
      <c r="DF345" t="e">
        <f>'North America'!G549+"n/&gt;!25I"</f>
        <v>#VALUE!</v>
      </c>
      <c r="DG345" t="e">
        <f>'North America'!H549+"n/&gt;!25J"</f>
        <v>#VALUE!</v>
      </c>
      <c r="DH345" t="e">
        <f>'North America'!I549+"n/&gt;!25K"</f>
        <v>#VALUE!</v>
      </c>
      <c r="DI345" t="e">
        <f>'North America'!A550+"n/&gt;!25L"</f>
        <v>#VALUE!</v>
      </c>
      <c r="DJ345" t="e">
        <f>'North America'!B550+"n/&gt;!25M"</f>
        <v>#VALUE!</v>
      </c>
      <c r="DK345" t="e">
        <f>'North America'!C550+"n/&gt;!25N"</f>
        <v>#VALUE!</v>
      </c>
      <c r="DL345" t="e">
        <f>'North America'!D550+"n/&gt;!25O"</f>
        <v>#VALUE!</v>
      </c>
      <c r="DM345" t="e">
        <f>'North America'!E550+"n/&gt;!25P"</f>
        <v>#VALUE!</v>
      </c>
      <c r="DN345" t="e">
        <f>'North America'!F550+"n/&gt;!25Q"</f>
        <v>#VALUE!</v>
      </c>
      <c r="DO345" t="e">
        <f>'North America'!G550+"n/&gt;!25R"</f>
        <v>#VALUE!</v>
      </c>
      <c r="DP345" t="e">
        <f>'North America'!H550+"n/&gt;!25S"</f>
        <v>#VALUE!</v>
      </c>
      <c r="DQ345" t="e">
        <f>'North America'!I550+"n/&gt;!25T"</f>
        <v>#VALUE!</v>
      </c>
      <c r="DR345" t="e">
        <f>'North America'!A551+"n/&gt;!25U"</f>
        <v>#VALUE!</v>
      </c>
      <c r="DS345" t="e">
        <f>'North America'!B551+"n/&gt;!25V"</f>
        <v>#VALUE!</v>
      </c>
      <c r="DT345" t="e">
        <f>'North America'!C551+"n/&gt;!25W"</f>
        <v>#VALUE!</v>
      </c>
      <c r="DU345" t="e">
        <f>'North America'!D551+"n/&gt;!25X"</f>
        <v>#VALUE!</v>
      </c>
      <c r="DV345" t="e">
        <f>'North America'!E551+"n/&gt;!25Y"</f>
        <v>#VALUE!</v>
      </c>
      <c r="DW345" t="e">
        <f>'North America'!F551+"n/&gt;!25Z"</f>
        <v>#VALUE!</v>
      </c>
      <c r="DX345" t="e">
        <f>'North America'!G551+"n/&gt;!25["</f>
        <v>#VALUE!</v>
      </c>
      <c r="DY345" t="e">
        <f>'North America'!H551+"n/&gt;!25\"</f>
        <v>#VALUE!</v>
      </c>
      <c r="DZ345" t="e">
        <f>'North America'!I551+"n/&gt;!25]"</f>
        <v>#VALUE!</v>
      </c>
      <c r="EA345" t="e">
        <f>'North America'!A552+"n/&gt;!25^"</f>
        <v>#VALUE!</v>
      </c>
      <c r="EB345" t="e">
        <f>'North America'!B552+"n/&gt;!25_"</f>
        <v>#VALUE!</v>
      </c>
      <c r="EC345" t="e">
        <f>'North America'!C552+"n/&gt;!25`"</f>
        <v>#VALUE!</v>
      </c>
      <c r="ED345" t="e">
        <f>'North America'!D552+"n/&gt;!25a"</f>
        <v>#VALUE!</v>
      </c>
      <c r="EE345" t="e">
        <f>'North America'!E552+"n/&gt;!25b"</f>
        <v>#VALUE!</v>
      </c>
      <c r="EF345" t="e">
        <f>'North America'!F552+"n/&gt;!25c"</f>
        <v>#VALUE!</v>
      </c>
      <c r="EG345" t="e">
        <f>'North America'!G552+"n/&gt;!25d"</f>
        <v>#VALUE!</v>
      </c>
      <c r="EH345" t="e">
        <f>'North America'!H552+"n/&gt;!25e"</f>
        <v>#VALUE!</v>
      </c>
      <c r="EI345" t="e">
        <f>'North America'!I552+"n/&gt;!25f"</f>
        <v>#VALUE!</v>
      </c>
      <c r="EJ345" t="e">
        <f>'North America'!A553+"n/&gt;!25g"</f>
        <v>#VALUE!</v>
      </c>
      <c r="EK345" t="e">
        <f>'North America'!B553+"n/&gt;!25h"</f>
        <v>#VALUE!</v>
      </c>
      <c r="EL345" t="e">
        <f>'North America'!C553+"n/&gt;!25i"</f>
        <v>#VALUE!</v>
      </c>
      <c r="EM345" t="e">
        <f>'North America'!D553+"n/&gt;!25j"</f>
        <v>#VALUE!</v>
      </c>
      <c r="EN345" t="e">
        <f>'North America'!E553+"n/&gt;!25k"</f>
        <v>#VALUE!</v>
      </c>
      <c r="EO345" t="e">
        <f>'North America'!F553+"n/&gt;!25l"</f>
        <v>#VALUE!</v>
      </c>
      <c r="EP345" t="e">
        <f>'North America'!G553+"n/&gt;!25m"</f>
        <v>#VALUE!</v>
      </c>
      <c r="EQ345" t="e">
        <f>'North America'!H553+"n/&gt;!25n"</f>
        <v>#VALUE!</v>
      </c>
      <c r="ER345" t="e">
        <f>'North America'!I553+"n/&gt;!25o"</f>
        <v>#VALUE!</v>
      </c>
      <c r="ES345" t="e">
        <f>'North America'!A554+"n/&gt;!25p"</f>
        <v>#VALUE!</v>
      </c>
      <c r="ET345" t="e">
        <f>'North America'!B554+"n/&gt;!25q"</f>
        <v>#VALUE!</v>
      </c>
      <c r="EU345" t="e">
        <f>'North America'!C554+"n/&gt;!25r"</f>
        <v>#VALUE!</v>
      </c>
      <c r="EV345" t="e">
        <f>'North America'!D554+"n/&gt;!25s"</f>
        <v>#VALUE!</v>
      </c>
      <c r="EW345" t="e">
        <f>'North America'!E554+"n/&gt;!25t"</f>
        <v>#VALUE!</v>
      </c>
      <c r="EX345" t="e">
        <f>'North America'!F554+"n/&gt;!25u"</f>
        <v>#VALUE!</v>
      </c>
      <c r="EY345" t="e">
        <f>'North America'!G554+"n/&gt;!25v"</f>
        <v>#VALUE!</v>
      </c>
      <c r="EZ345" t="e">
        <f>'North America'!H554+"n/&gt;!25w"</f>
        <v>#VALUE!</v>
      </c>
      <c r="FA345" t="e">
        <f>'North America'!I554+"n/&gt;!25x"</f>
        <v>#VALUE!</v>
      </c>
      <c r="FB345" t="e">
        <f>'North America'!A555+"n/&gt;!25y"</f>
        <v>#VALUE!</v>
      </c>
      <c r="FC345" t="e">
        <f>'North America'!B555+"n/&gt;!25z"</f>
        <v>#VALUE!</v>
      </c>
      <c r="FD345" t="e">
        <f>'North America'!C555+"n/&gt;!25{"</f>
        <v>#VALUE!</v>
      </c>
      <c r="FE345" t="e">
        <f>'North America'!D555+"n/&gt;!25|"</f>
        <v>#VALUE!</v>
      </c>
      <c r="FF345" t="e">
        <f>'North America'!E555+"n/&gt;!25}"</f>
        <v>#VALUE!</v>
      </c>
      <c r="FG345" t="e">
        <f>'North America'!F555+"n/&gt;!25~"</f>
        <v>#VALUE!</v>
      </c>
      <c r="FH345" t="e">
        <f>'North America'!G555+"n/&gt;!26#"</f>
        <v>#VALUE!</v>
      </c>
      <c r="FI345" t="e">
        <f>'North America'!H555+"n/&gt;!26$"</f>
        <v>#VALUE!</v>
      </c>
      <c r="FJ345" t="e">
        <f>'North America'!I555+"n/&gt;!26%"</f>
        <v>#VALUE!</v>
      </c>
      <c r="FK345" t="e">
        <f>'North America'!A556+"n/&gt;!26&amp;"</f>
        <v>#VALUE!</v>
      </c>
      <c r="FL345" t="e">
        <f>'North America'!B556+"n/&gt;!26'"</f>
        <v>#VALUE!</v>
      </c>
      <c r="FM345" t="e">
        <f>'North America'!C556+"n/&gt;!26("</f>
        <v>#VALUE!</v>
      </c>
      <c r="FN345" t="e">
        <f>'North America'!D556+"n/&gt;!26)"</f>
        <v>#VALUE!</v>
      </c>
      <c r="FO345" t="e">
        <f>'North America'!E556+"n/&gt;!26."</f>
        <v>#VALUE!</v>
      </c>
      <c r="FP345" t="e">
        <f>'North America'!F556+"n/&gt;!26/"</f>
        <v>#VALUE!</v>
      </c>
      <c r="FQ345" t="e">
        <f>'North America'!G556+"n/&gt;!260"</f>
        <v>#VALUE!</v>
      </c>
      <c r="FR345" t="e">
        <f>'North America'!H556+"n/&gt;!261"</f>
        <v>#VALUE!</v>
      </c>
      <c r="FS345" t="e">
        <f>'North America'!I556+"n/&gt;!262"</f>
        <v>#VALUE!</v>
      </c>
      <c r="FT345" t="e">
        <f>'North America'!A557+"n/&gt;!263"</f>
        <v>#VALUE!</v>
      </c>
      <c r="FU345" t="e">
        <f>'North America'!B557+"n/&gt;!264"</f>
        <v>#VALUE!</v>
      </c>
      <c r="FV345" t="e">
        <f>'North America'!C557+"n/&gt;!265"</f>
        <v>#VALUE!</v>
      </c>
      <c r="FW345" t="e">
        <f>'North America'!D557+"n/&gt;!266"</f>
        <v>#VALUE!</v>
      </c>
      <c r="FX345" t="e">
        <f>'North America'!E557+"n/&gt;!267"</f>
        <v>#VALUE!</v>
      </c>
      <c r="FY345" t="e">
        <f>'North America'!F557+"n/&gt;!268"</f>
        <v>#VALUE!</v>
      </c>
      <c r="FZ345" t="e">
        <f>'North America'!G557+"n/&gt;!269"</f>
        <v>#VALUE!</v>
      </c>
      <c r="GA345" t="e">
        <f>'North America'!H557+"n/&gt;!26:"</f>
        <v>#VALUE!</v>
      </c>
      <c r="GB345" t="e">
        <f>'North America'!I557+"n/&gt;!26;"</f>
        <v>#VALUE!</v>
      </c>
      <c r="GC345" t="e">
        <f>'North America'!A558+"n/&gt;!26&lt;"</f>
        <v>#VALUE!</v>
      </c>
      <c r="GD345" t="e">
        <f>'North America'!B558+"n/&gt;!26="</f>
        <v>#VALUE!</v>
      </c>
      <c r="GE345" t="e">
        <f>'North America'!C558+"n/&gt;!26&gt;"</f>
        <v>#VALUE!</v>
      </c>
      <c r="GF345" t="e">
        <f>'North America'!D558+"n/&gt;!26?"</f>
        <v>#VALUE!</v>
      </c>
      <c r="GG345" t="e">
        <f>'North America'!E558+"n/&gt;!26@"</f>
        <v>#VALUE!</v>
      </c>
      <c r="GH345" t="e">
        <f>'North America'!F558+"n/&gt;!26A"</f>
        <v>#VALUE!</v>
      </c>
      <c r="GI345" t="e">
        <f>'North America'!G558+"n/&gt;!26B"</f>
        <v>#VALUE!</v>
      </c>
      <c r="GJ345" t="e">
        <f>'North America'!H558+"n/&gt;!26C"</f>
        <v>#VALUE!</v>
      </c>
      <c r="GK345" t="e">
        <f>'North America'!I558+"n/&gt;!26D"</f>
        <v>#VALUE!</v>
      </c>
      <c r="GL345" t="e">
        <f>'North America'!A559+"n/&gt;!26E"</f>
        <v>#VALUE!</v>
      </c>
      <c r="GM345" t="e">
        <f>'North America'!B559+"n/&gt;!26F"</f>
        <v>#VALUE!</v>
      </c>
      <c r="GN345" t="e">
        <f>'North America'!C559+"n/&gt;!26G"</f>
        <v>#VALUE!</v>
      </c>
      <c r="GO345" t="e">
        <f>'North America'!D559+"n/&gt;!26H"</f>
        <v>#VALUE!</v>
      </c>
      <c r="GP345" t="e">
        <f>'North America'!E559+"n/&gt;!26I"</f>
        <v>#VALUE!</v>
      </c>
      <c r="GQ345" t="e">
        <f>'North America'!F559+"n/&gt;!26J"</f>
        <v>#VALUE!</v>
      </c>
      <c r="GR345" t="e">
        <f>'North America'!G559+"n/&gt;!26K"</f>
        <v>#VALUE!</v>
      </c>
      <c r="GS345" t="e">
        <f>'North America'!H559+"n/&gt;!26L"</f>
        <v>#VALUE!</v>
      </c>
      <c r="GT345" t="e">
        <f>'North America'!I559+"n/&gt;!26M"</f>
        <v>#VALUE!</v>
      </c>
      <c r="GU345" t="e">
        <f>'North America'!A560+"n/&gt;!26N"</f>
        <v>#VALUE!</v>
      </c>
      <c r="GV345" t="e">
        <f>'North America'!B560+"n/&gt;!26O"</f>
        <v>#VALUE!</v>
      </c>
      <c r="GW345" t="e">
        <f>'North America'!C560+"n/&gt;!26P"</f>
        <v>#VALUE!</v>
      </c>
      <c r="GX345" t="e">
        <f>'North America'!D560+"n/&gt;!26Q"</f>
        <v>#VALUE!</v>
      </c>
      <c r="GY345" t="e">
        <f>'North America'!E560+"n/&gt;!26R"</f>
        <v>#VALUE!</v>
      </c>
      <c r="GZ345" t="e">
        <f>'North America'!F560+"n/&gt;!26S"</f>
        <v>#VALUE!</v>
      </c>
      <c r="HA345" t="e">
        <f>'North America'!G560+"n/&gt;!26T"</f>
        <v>#VALUE!</v>
      </c>
      <c r="HB345" t="e">
        <f>'North America'!H560+"n/&gt;!26U"</f>
        <v>#VALUE!</v>
      </c>
      <c r="HC345" t="e">
        <f>'North America'!I560+"n/&gt;!26V"</f>
        <v>#VALUE!</v>
      </c>
      <c r="HD345" t="e">
        <f>'North America'!A561+"n/&gt;!26W"</f>
        <v>#VALUE!</v>
      </c>
      <c r="HE345" t="e">
        <f>'North America'!B561+"n/&gt;!26X"</f>
        <v>#VALUE!</v>
      </c>
      <c r="HF345" t="e">
        <f>'North America'!C561+"n/&gt;!26Y"</f>
        <v>#VALUE!</v>
      </c>
      <c r="HG345" t="e">
        <f>'North America'!D561+"n/&gt;!26Z"</f>
        <v>#VALUE!</v>
      </c>
      <c r="HH345" t="e">
        <f>'North America'!E561+"n/&gt;!26["</f>
        <v>#VALUE!</v>
      </c>
      <c r="HI345" t="e">
        <f>'North America'!F561+"n/&gt;!26\"</f>
        <v>#VALUE!</v>
      </c>
      <c r="HJ345" t="e">
        <f>'North America'!G561+"n/&gt;!26]"</f>
        <v>#VALUE!</v>
      </c>
      <c r="HK345" t="e">
        <f>'North America'!H561+"n/&gt;!26^"</f>
        <v>#VALUE!</v>
      </c>
      <c r="HL345" t="e">
        <f>'North America'!I561+"n/&gt;!26_"</f>
        <v>#VALUE!</v>
      </c>
      <c r="HM345" t="e">
        <f>'North America'!A562+"n/&gt;!26`"</f>
        <v>#VALUE!</v>
      </c>
      <c r="HN345" t="e">
        <f>'North America'!B562+"n/&gt;!26a"</f>
        <v>#VALUE!</v>
      </c>
      <c r="HO345" t="e">
        <f>'North America'!C562+"n/&gt;!26b"</f>
        <v>#VALUE!</v>
      </c>
      <c r="HP345" t="e">
        <f>'North America'!D562+"n/&gt;!26c"</f>
        <v>#VALUE!</v>
      </c>
      <c r="HQ345" t="e">
        <f>'North America'!E562+"n/&gt;!26d"</f>
        <v>#VALUE!</v>
      </c>
      <c r="HR345" t="e">
        <f>'North America'!F562+"n/&gt;!26e"</f>
        <v>#VALUE!</v>
      </c>
      <c r="HS345" t="e">
        <f>'North America'!G562+"n/&gt;!26f"</f>
        <v>#VALUE!</v>
      </c>
      <c r="HT345" t="e">
        <f>'North America'!H562+"n/&gt;!26g"</f>
        <v>#VALUE!</v>
      </c>
      <c r="HU345" t="e">
        <f>'North America'!I562+"n/&gt;!26h"</f>
        <v>#VALUE!</v>
      </c>
      <c r="HV345" t="e">
        <f>'North America'!A563+"n/&gt;!26i"</f>
        <v>#VALUE!</v>
      </c>
      <c r="HW345" t="e">
        <f>'North America'!B563+"n/&gt;!26j"</f>
        <v>#VALUE!</v>
      </c>
      <c r="HX345" t="e">
        <f>'North America'!C563+"n/&gt;!26k"</f>
        <v>#VALUE!</v>
      </c>
      <c r="HY345" t="e">
        <f>'North America'!D563+"n/&gt;!26l"</f>
        <v>#VALUE!</v>
      </c>
      <c r="HZ345" t="e">
        <f>'North America'!E563+"n/&gt;!26m"</f>
        <v>#VALUE!</v>
      </c>
      <c r="IA345" t="e">
        <f>'North America'!F563+"n/&gt;!26n"</f>
        <v>#VALUE!</v>
      </c>
      <c r="IB345" t="e">
        <f>'North America'!G563+"n/&gt;!26o"</f>
        <v>#VALUE!</v>
      </c>
      <c r="IC345" t="e">
        <f>'North America'!H563+"n/&gt;!26p"</f>
        <v>#VALUE!</v>
      </c>
      <c r="ID345" t="e">
        <f>'North America'!I563+"n/&gt;!26q"</f>
        <v>#VALUE!</v>
      </c>
      <c r="IE345" t="e">
        <f>'North America'!A564+"n/&gt;!26r"</f>
        <v>#VALUE!</v>
      </c>
      <c r="IF345" t="e">
        <f>'North America'!B564+"n/&gt;!26s"</f>
        <v>#VALUE!</v>
      </c>
      <c r="IG345" t="e">
        <f>'North America'!C564+"n/&gt;!26t"</f>
        <v>#VALUE!</v>
      </c>
      <c r="IH345" t="e">
        <f>'North America'!D564+"n/&gt;!26u"</f>
        <v>#VALUE!</v>
      </c>
      <c r="II345" t="e">
        <f>'North America'!E564+"n/&gt;!26v"</f>
        <v>#VALUE!</v>
      </c>
      <c r="IJ345" t="e">
        <f>'North America'!F564+"n/&gt;!26w"</f>
        <v>#VALUE!</v>
      </c>
      <c r="IK345" t="e">
        <f>'North America'!G564+"n/&gt;!26x"</f>
        <v>#VALUE!</v>
      </c>
      <c r="IL345" t="e">
        <f>'North America'!H564+"n/&gt;!26y"</f>
        <v>#VALUE!</v>
      </c>
      <c r="IM345" t="e">
        <f>'North America'!I564+"n/&gt;!26z"</f>
        <v>#VALUE!</v>
      </c>
      <c r="IN345" t="e">
        <f>'North America'!A565+"n/&gt;!26{"</f>
        <v>#VALUE!</v>
      </c>
      <c r="IO345" t="e">
        <f>'North America'!B565+"n/&gt;!26|"</f>
        <v>#VALUE!</v>
      </c>
      <c r="IP345" t="e">
        <f>'North America'!C565+"n/&gt;!26}"</f>
        <v>#VALUE!</v>
      </c>
      <c r="IQ345" t="e">
        <f>'North America'!D565+"n/&gt;!26~"</f>
        <v>#VALUE!</v>
      </c>
      <c r="IR345" t="e">
        <f>'North America'!E565+"n/&gt;!27#"</f>
        <v>#VALUE!</v>
      </c>
      <c r="IS345" t="e">
        <f>'North America'!F565+"n/&gt;!27$"</f>
        <v>#VALUE!</v>
      </c>
      <c r="IT345" t="e">
        <f>'North America'!G565+"n/&gt;!27%"</f>
        <v>#VALUE!</v>
      </c>
      <c r="IU345" t="e">
        <f>'North America'!H565+"n/&gt;!27&amp;"</f>
        <v>#VALUE!</v>
      </c>
      <c r="IV345" t="e">
        <f>'North America'!I565+"n/&gt;!27'"</f>
        <v>#VALUE!</v>
      </c>
    </row>
    <row r="346" spans="6:256" x14ac:dyDescent="0.35">
      <c r="F346" t="e">
        <f>'North America'!A566+"n/&gt;!27("</f>
        <v>#VALUE!</v>
      </c>
      <c r="G346" t="e">
        <f>'North America'!B566+"n/&gt;!27)"</f>
        <v>#VALUE!</v>
      </c>
      <c r="H346" t="e">
        <f>'North America'!C566+"n/&gt;!27."</f>
        <v>#VALUE!</v>
      </c>
      <c r="I346" t="e">
        <f>'North America'!D566+"n/&gt;!27/"</f>
        <v>#VALUE!</v>
      </c>
      <c r="J346" t="e">
        <f>'North America'!E566+"n/&gt;!270"</f>
        <v>#VALUE!</v>
      </c>
      <c r="K346" t="e">
        <f>'North America'!F566+"n/&gt;!271"</f>
        <v>#VALUE!</v>
      </c>
      <c r="L346" t="e">
        <f>'North America'!G566+"n/&gt;!272"</f>
        <v>#VALUE!</v>
      </c>
      <c r="M346" t="e">
        <f>'North America'!H566+"n/&gt;!273"</f>
        <v>#VALUE!</v>
      </c>
      <c r="N346" t="e">
        <f>'North America'!I566+"n/&gt;!274"</f>
        <v>#VALUE!</v>
      </c>
      <c r="O346" t="e">
        <f>'North America'!A567+"n/&gt;!275"</f>
        <v>#VALUE!</v>
      </c>
      <c r="P346" t="e">
        <f>'North America'!B567+"n/&gt;!276"</f>
        <v>#VALUE!</v>
      </c>
      <c r="Q346" t="e">
        <f>'North America'!C567+"n/&gt;!277"</f>
        <v>#VALUE!</v>
      </c>
      <c r="R346" t="e">
        <f>'North America'!D567+"n/&gt;!278"</f>
        <v>#VALUE!</v>
      </c>
      <c r="S346" t="e">
        <f>'North America'!E567+"n/&gt;!279"</f>
        <v>#VALUE!</v>
      </c>
      <c r="T346" t="e">
        <f>'North America'!F567+"n/&gt;!27:"</f>
        <v>#VALUE!</v>
      </c>
      <c r="U346" t="e">
        <f>'North America'!G567+"n/&gt;!27;"</f>
        <v>#VALUE!</v>
      </c>
      <c r="V346" t="e">
        <f>'North America'!H567+"n/&gt;!27&lt;"</f>
        <v>#VALUE!</v>
      </c>
      <c r="W346" t="e">
        <f>'North America'!I567+"n/&gt;!27="</f>
        <v>#VALUE!</v>
      </c>
      <c r="X346" t="e">
        <f>'North America'!A568+"n/&gt;!27&gt;"</f>
        <v>#VALUE!</v>
      </c>
      <c r="Y346" t="e">
        <f>'North America'!B568+"n/&gt;!27?"</f>
        <v>#VALUE!</v>
      </c>
      <c r="Z346" t="e">
        <f>'North America'!C568+"n/&gt;!27@"</f>
        <v>#VALUE!</v>
      </c>
      <c r="AA346" t="e">
        <f>'North America'!D568+"n/&gt;!27A"</f>
        <v>#VALUE!</v>
      </c>
      <c r="AB346" t="e">
        <f>'North America'!E568+"n/&gt;!27B"</f>
        <v>#VALUE!</v>
      </c>
      <c r="AC346" t="e">
        <f>'North America'!F568+"n/&gt;!27C"</f>
        <v>#VALUE!</v>
      </c>
      <c r="AD346" t="e">
        <f>'North America'!G568+"n/&gt;!27D"</f>
        <v>#VALUE!</v>
      </c>
      <c r="AE346" t="e">
        <f>'North America'!H568+"n/&gt;!27E"</f>
        <v>#VALUE!</v>
      </c>
      <c r="AF346" t="e">
        <f>'North America'!I568+"n/&gt;!27F"</f>
        <v>#VALUE!</v>
      </c>
      <c r="AG346" t="e">
        <f>'North America'!A569+"n/&gt;!27G"</f>
        <v>#VALUE!</v>
      </c>
      <c r="AH346" t="e">
        <f>'North America'!B569+"n/&gt;!27H"</f>
        <v>#VALUE!</v>
      </c>
      <c r="AI346" t="e">
        <f>'North America'!C569+"n/&gt;!27I"</f>
        <v>#VALUE!</v>
      </c>
      <c r="AJ346" t="e">
        <f>'North America'!D569+"n/&gt;!27J"</f>
        <v>#VALUE!</v>
      </c>
      <c r="AK346" t="e">
        <f>'North America'!E569+"n/&gt;!27K"</f>
        <v>#VALUE!</v>
      </c>
      <c r="AL346" t="e">
        <f>'North America'!F569+"n/&gt;!27L"</f>
        <v>#VALUE!</v>
      </c>
      <c r="AM346" t="e">
        <f>'North America'!G569+"n/&gt;!27M"</f>
        <v>#VALUE!</v>
      </c>
      <c r="AN346" t="e">
        <f>'North America'!H569+"n/&gt;!27N"</f>
        <v>#VALUE!</v>
      </c>
      <c r="AO346" t="e">
        <f>'North America'!I569+"n/&gt;!27O"</f>
        <v>#VALUE!</v>
      </c>
      <c r="AP346" t="e">
        <f>'North America'!A570+"n/&gt;!27P"</f>
        <v>#VALUE!</v>
      </c>
      <c r="AQ346" t="e">
        <f>'North America'!B570+"n/&gt;!27Q"</f>
        <v>#VALUE!</v>
      </c>
      <c r="AR346" t="e">
        <f>'North America'!C570+"n/&gt;!27R"</f>
        <v>#VALUE!</v>
      </c>
      <c r="AS346" t="e">
        <f>'North America'!D570+"n/&gt;!27S"</f>
        <v>#VALUE!</v>
      </c>
      <c r="AT346" t="e">
        <f>'North America'!E570+"n/&gt;!27T"</f>
        <v>#VALUE!</v>
      </c>
      <c r="AU346" t="e">
        <f>'North America'!F570+"n/&gt;!27U"</f>
        <v>#VALUE!</v>
      </c>
      <c r="AV346" t="e">
        <f>'North America'!G570+"n/&gt;!27V"</f>
        <v>#VALUE!</v>
      </c>
      <c r="AW346" t="e">
        <f>'North America'!H570+"n/&gt;!27W"</f>
        <v>#VALUE!</v>
      </c>
      <c r="AX346" t="e">
        <f>'North America'!I570+"n/&gt;!27X"</f>
        <v>#VALUE!</v>
      </c>
      <c r="AY346" t="e">
        <f>'North America'!A571+"n/&gt;!27Y"</f>
        <v>#VALUE!</v>
      </c>
      <c r="AZ346" t="e">
        <f>'North America'!B571+"n/&gt;!27Z"</f>
        <v>#VALUE!</v>
      </c>
      <c r="BA346" t="e">
        <f>'North America'!C571+"n/&gt;!27["</f>
        <v>#VALUE!</v>
      </c>
      <c r="BB346" t="e">
        <f>'North America'!D571+"n/&gt;!27\"</f>
        <v>#VALUE!</v>
      </c>
      <c r="BC346" t="e">
        <f>'North America'!E571+"n/&gt;!27]"</f>
        <v>#VALUE!</v>
      </c>
      <c r="BD346" t="e">
        <f>'North America'!F571+"n/&gt;!27^"</f>
        <v>#VALUE!</v>
      </c>
      <c r="BE346" t="e">
        <f>'North America'!G571+"n/&gt;!27_"</f>
        <v>#VALUE!</v>
      </c>
      <c r="BF346" t="e">
        <f>'North America'!H571+"n/&gt;!27`"</f>
        <v>#VALUE!</v>
      </c>
      <c r="BG346" t="e">
        <f>'North America'!I571+"n/&gt;!27a"</f>
        <v>#VALUE!</v>
      </c>
      <c r="BH346" t="e">
        <f>'North America'!A572+"n/&gt;!27b"</f>
        <v>#VALUE!</v>
      </c>
      <c r="BI346" t="e">
        <f>'North America'!B572+"n/&gt;!27c"</f>
        <v>#VALUE!</v>
      </c>
      <c r="BJ346" t="e">
        <f>'North America'!C572+"n/&gt;!27d"</f>
        <v>#VALUE!</v>
      </c>
      <c r="BK346" t="e">
        <f>'North America'!D572+"n/&gt;!27e"</f>
        <v>#VALUE!</v>
      </c>
      <c r="BL346" t="e">
        <f>'North America'!E572+"n/&gt;!27f"</f>
        <v>#VALUE!</v>
      </c>
      <c r="BM346" t="e">
        <f>'North America'!F572+"n/&gt;!27g"</f>
        <v>#VALUE!</v>
      </c>
      <c r="BN346" t="e">
        <f>'North America'!G572+"n/&gt;!27h"</f>
        <v>#VALUE!</v>
      </c>
      <c r="BO346" t="e">
        <f>'North America'!H572+"n/&gt;!27i"</f>
        <v>#VALUE!</v>
      </c>
      <c r="BP346" t="e">
        <f>'North America'!I572+"n/&gt;!27j"</f>
        <v>#VALUE!</v>
      </c>
      <c r="BQ346" t="e">
        <f>'North America'!A573+"n/&gt;!27k"</f>
        <v>#VALUE!</v>
      </c>
      <c r="BR346" t="e">
        <f>'North America'!B573+"n/&gt;!27l"</f>
        <v>#VALUE!</v>
      </c>
      <c r="BS346" t="e">
        <f>'North America'!C573+"n/&gt;!27m"</f>
        <v>#VALUE!</v>
      </c>
      <c r="BT346" t="e">
        <f>'North America'!D573+"n/&gt;!27n"</f>
        <v>#VALUE!</v>
      </c>
      <c r="BU346" t="e">
        <f>'North America'!E573+"n/&gt;!27o"</f>
        <v>#VALUE!</v>
      </c>
      <c r="BV346" t="e">
        <f>'North America'!F573+"n/&gt;!27p"</f>
        <v>#VALUE!</v>
      </c>
      <c r="BW346" t="e">
        <f>'North America'!G573+"n/&gt;!27q"</f>
        <v>#VALUE!</v>
      </c>
      <c r="BX346" t="e">
        <f>'North America'!H573+"n/&gt;!27r"</f>
        <v>#VALUE!</v>
      </c>
      <c r="BY346" t="e">
        <f>'North America'!I573+"n/&gt;!27s"</f>
        <v>#VALUE!</v>
      </c>
      <c r="BZ346" t="e">
        <f>'North America'!A574+"n/&gt;!27t"</f>
        <v>#VALUE!</v>
      </c>
      <c r="CA346" t="e">
        <f>'North America'!B574+"n/&gt;!27u"</f>
        <v>#VALUE!</v>
      </c>
      <c r="CB346" t="e">
        <f>'North America'!C574+"n/&gt;!27v"</f>
        <v>#VALUE!</v>
      </c>
      <c r="CC346" t="e">
        <f>'North America'!D574+"n/&gt;!27w"</f>
        <v>#VALUE!</v>
      </c>
      <c r="CD346" t="e">
        <f>'North America'!E574+"n/&gt;!27x"</f>
        <v>#VALUE!</v>
      </c>
      <c r="CE346" t="e">
        <f>'North America'!F574+"n/&gt;!27y"</f>
        <v>#VALUE!</v>
      </c>
      <c r="CF346" t="e">
        <f>'North America'!G574+"n/&gt;!27z"</f>
        <v>#VALUE!</v>
      </c>
      <c r="CG346" t="e">
        <f>'North America'!H574+"n/&gt;!27{"</f>
        <v>#VALUE!</v>
      </c>
      <c r="CH346" t="e">
        <f>'North America'!I574+"n/&gt;!27|"</f>
        <v>#VALUE!</v>
      </c>
      <c r="CI346" t="e">
        <f>'North America'!A575+"n/&gt;!27}"</f>
        <v>#VALUE!</v>
      </c>
      <c r="CJ346" t="e">
        <f>'North America'!B575+"n/&gt;!27~"</f>
        <v>#VALUE!</v>
      </c>
      <c r="CK346" t="e">
        <f>'North America'!C575+"n/&gt;!28#"</f>
        <v>#VALUE!</v>
      </c>
      <c r="CL346" t="e">
        <f>'North America'!D575+"n/&gt;!28$"</f>
        <v>#VALUE!</v>
      </c>
      <c r="CM346" t="e">
        <f>'North America'!E575+"n/&gt;!28%"</f>
        <v>#VALUE!</v>
      </c>
      <c r="CN346" t="e">
        <f>'North America'!F575+"n/&gt;!28&amp;"</f>
        <v>#VALUE!</v>
      </c>
      <c r="CO346" t="e">
        <f>'North America'!G575+"n/&gt;!28'"</f>
        <v>#VALUE!</v>
      </c>
      <c r="CP346" t="e">
        <f>'North America'!H575+"n/&gt;!28("</f>
        <v>#VALUE!</v>
      </c>
      <c r="CQ346" t="e">
        <f>'North America'!I575+"n/&gt;!28)"</f>
        <v>#VALUE!</v>
      </c>
      <c r="CR346" t="e">
        <f>'North America'!A576+"n/&gt;!28."</f>
        <v>#VALUE!</v>
      </c>
      <c r="CS346" t="e">
        <f>'North America'!B576+"n/&gt;!28/"</f>
        <v>#VALUE!</v>
      </c>
      <c r="CT346" t="e">
        <f>'North America'!C576+"n/&gt;!280"</f>
        <v>#VALUE!</v>
      </c>
      <c r="CU346" t="e">
        <f>'North America'!D576+"n/&gt;!281"</f>
        <v>#VALUE!</v>
      </c>
      <c r="CV346" t="e">
        <f>'North America'!E576+"n/&gt;!282"</f>
        <v>#VALUE!</v>
      </c>
      <c r="CW346" t="e">
        <f>'North America'!F576+"n/&gt;!283"</f>
        <v>#VALUE!</v>
      </c>
      <c r="CX346" t="e">
        <f>'North America'!G576+"n/&gt;!284"</f>
        <v>#VALUE!</v>
      </c>
      <c r="CY346" t="e">
        <f>'North America'!H576+"n/&gt;!285"</f>
        <v>#VALUE!</v>
      </c>
      <c r="CZ346" t="e">
        <f>'North America'!I576+"n/&gt;!286"</f>
        <v>#VALUE!</v>
      </c>
      <c r="DA346" t="e">
        <f>'North America'!A577+"n/&gt;!287"</f>
        <v>#VALUE!</v>
      </c>
      <c r="DB346" t="e">
        <f>'North America'!B577+"n/&gt;!288"</f>
        <v>#VALUE!</v>
      </c>
      <c r="DC346" t="e">
        <f>'North America'!C577+"n/&gt;!289"</f>
        <v>#VALUE!</v>
      </c>
      <c r="DD346" t="e">
        <f>'North America'!D577+"n/&gt;!28:"</f>
        <v>#VALUE!</v>
      </c>
      <c r="DE346" t="e">
        <f>'North America'!E577+"n/&gt;!28;"</f>
        <v>#VALUE!</v>
      </c>
      <c r="DF346" t="e">
        <f>'North America'!F577+"n/&gt;!28&lt;"</f>
        <v>#VALUE!</v>
      </c>
      <c r="DG346" t="e">
        <f>'North America'!G577+"n/&gt;!28="</f>
        <v>#VALUE!</v>
      </c>
      <c r="DH346" t="e">
        <f>'North America'!H577+"n/&gt;!28&gt;"</f>
        <v>#VALUE!</v>
      </c>
      <c r="DI346" t="e">
        <f>'North America'!I577+"n/&gt;!28?"</f>
        <v>#VALUE!</v>
      </c>
      <c r="DJ346" t="e">
        <f>'North America'!A578+"n/&gt;!28@"</f>
        <v>#VALUE!</v>
      </c>
      <c r="DK346" t="e">
        <f>'North America'!B578+"n/&gt;!28A"</f>
        <v>#VALUE!</v>
      </c>
      <c r="DL346" t="e">
        <f>'North America'!C578+"n/&gt;!28B"</f>
        <v>#VALUE!</v>
      </c>
      <c r="DM346" t="e">
        <f>'North America'!D578+"n/&gt;!28C"</f>
        <v>#VALUE!</v>
      </c>
      <c r="DN346" t="e">
        <f>'North America'!E578+"n/&gt;!28D"</f>
        <v>#VALUE!</v>
      </c>
      <c r="DO346" t="e">
        <f>'North America'!F578+"n/&gt;!28E"</f>
        <v>#VALUE!</v>
      </c>
      <c r="DP346" t="e">
        <f>'North America'!G578+"n/&gt;!28F"</f>
        <v>#VALUE!</v>
      </c>
      <c r="DQ346" t="e">
        <f>'North America'!H578+"n/&gt;!28G"</f>
        <v>#VALUE!</v>
      </c>
      <c r="DR346" t="e">
        <f>'North America'!I578+"n/&gt;!28H"</f>
        <v>#VALUE!</v>
      </c>
      <c r="DS346" t="e">
        <f>'North America'!A579+"n/&gt;!28I"</f>
        <v>#VALUE!</v>
      </c>
      <c r="DT346" t="e">
        <f>'North America'!B579+"n/&gt;!28J"</f>
        <v>#VALUE!</v>
      </c>
      <c r="DU346" t="e">
        <f>'North America'!C579+"n/&gt;!28K"</f>
        <v>#VALUE!</v>
      </c>
      <c r="DV346" t="e">
        <f>'North America'!D579+"n/&gt;!28L"</f>
        <v>#VALUE!</v>
      </c>
      <c r="DW346" t="e">
        <f>'North America'!E579+"n/&gt;!28M"</f>
        <v>#VALUE!</v>
      </c>
      <c r="DX346" t="e">
        <f>'North America'!F579+"n/&gt;!28N"</f>
        <v>#VALUE!</v>
      </c>
      <c r="DY346" t="e">
        <f>'North America'!G579+"n/&gt;!28O"</f>
        <v>#VALUE!</v>
      </c>
      <c r="DZ346" t="e">
        <f>'North America'!H579+"n/&gt;!28P"</f>
        <v>#VALUE!</v>
      </c>
      <c r="EA346" t="e">
        <f>'North America'!I579+"n/&gt;!28Q"</f>
        <v>#VALUE!</v>
      </c>
      <c r="EB346" t="e">
        <f>'North America'!A580+"n/&gt;!28R"</f>
        <v>#VALUE!</v>
      </c>
      <c r="EC346" t="e">
        <f>'North America'!B580+"n/&gt;!28S"</f>
        <v>#VALUE!</v>
      </c>
      <c r="ED346" t="e">
        <f>'North America'!C580+"n/&gt;!28T"</f>
        <v>#VALUE!</v>
      </c>
      <c r="EE346" t="e">
        <f>'North America'!D580+"n/&gt;!28U"</f>
        <v>#VALUE!</v>
      </c>
      <c r="EF346" t="e">
        <f>'North America'!E580+"n/&gt;!28V"</f>
        <v>#VALUE!</v>
      </c>
      <c r="EG346" t="e">
        <f>'North America'!F580+"n/&gt;!28W"</f>
        <v>#VALUE!</v>
      </c>
      <c r="EH346" t="e">
        <f>'North America'!G580+"n/&gt;!28X"</f>
        <v>#VALUE!</v>
      </c>
      <c r="EI346" t="e">
        <f>'North America'!H580+"n/&gt;!28Y"</f>
        <v>#VALUE!</v>
      </c>
      <c r="EJ346" t="e">
        <f>'North America'!I580+"n/&gt;!28Z"</f>
        <v>#VALUE!</v>
      </c>
      <c r="EK346" t="e">
        <f>'North America'!A581+"n/&gt;!28["</f>
        <v>#VALUE!</v>
      </c>
      <c r="EL346" t="e">
        <f>'North America'!B581+"n/&gt;!28\"</f>
        <v>#VALUE!</v>
      </c>
      <c r="EM346" t="e">
        <f>'North America'!C581+"n/&gt;!28]"</f>
        <v>#VALUE!</v>
      </c>
      <c r="EN346" t="e">
        <f>'North America'!D581+"n/&gt;!28^"</f>
        <v>#VALUE!</v>
      </c>
      <c r="EO346" t="e">
        <f>'North America'!E581+"n/&gt;!28_"</f>
        <v>#VALUE!</v>
      </c>
      <c r="EP346" t="e">
        <f>'North America'!F581+"n/&gt;!28`"</f>
        <v>#VALUE!</v>
      </c>
      <c r="EQ346" t="e">
        <f>'North America'!G581+"n/&gt;!28a"</f>
        <v>#VALUE!</v>
      </c>
      <c r="ER346" t="e">
        <f>'North America'!H581+"n/&gt;!28b"</f>
        <v>#VALUE!</v>
      </c>
      <c r="ES346" t="e">
        <f>'North America'!I581+"n/&gt;!28c"</f>
        <v>#VALUE!</v>
      </c>
      <c r="ET346" t="e">
        <f>'North America'!A582+"n/&gt;!28d"</f>
        <v>#VALUE!</v>
      </c>
      <c r="EU346" t="e">
        <f>'North America'!B582+"n/&gt;!28e"</f>
        <v>#VALUE!</v>
      </c>
      <c r="EV346" t="e">
        <f>'North America'!C582+"n/&gt;!28f"</f>
        <v>#VALUE!</v>
      </c>
      <c r="EW346" t="e">
        <f>'North America'!D582+"n/&gt;!28g"</f>
        <v>#VALUE!</v>
      </c>
      <c r="EX346" t="e">
        <f>'North America'!E582+"n/&gt;!28h"</f>
        <v>#VALUE!</v>
      </c>
      <c r="EY346" t="e">
        <f>'North America'!F582+"n/&gt;!28i"</f>
        <v>#VALUE!</v>
      </c>
      <c r="EZ346" t="e">
        <f>'North America'!G582+"n/&gt;!28j"</f>
        <v>#VALUE!</v>
      </c>
      <c r="FA346" t="e">
        <f>'North America'!H582+"n/&gt;!28k"</f>
        <v>#VALUE!</v>
      </c>
      <c r="FB346" t="e">
        <f>'North America'!I582+"n/&gt;!28l"</f>
        <v>#VALUE!</v>
      </c>
      <c r="FC346" t="e">
        <f>'North America'!A583+"n/&gt;!28m"</f>
        <v>#VALUE!</v>
      </c>
      <c r="FD346" t="e">
        <f>'North America'!B583+"n/&gt;!28n"</f>
        <v>#VALUE!</v>
      </c>
      <c r="FE346" t="e">
        <f>'North America'!C583+"n/&gt;!28o"</f>
        <v>#VALUE!</v>
      </c>
      <c r="FF346" t="e">
        <f>'North America'!D583+"n/&gt;!28p"</f>
        <v>#VALUE!</v>
      </c>
      <c r="FG346" t="e">
        <f>'North America'!E583+"n/&gt;!28q"</f>
        <v>#VALUE!</v>
      </c>
      <c r="FH346" t="e">
        <f>'North America'!F583+"n/&gt;!28r"</f>
        <v>#VALUE!</v>
      </c>
      <c r="FI346" t="e">
        <f>'North America'!G583+"n/&gt;!28s"</f>
        <v>#VALUE!</v>
      </c>
      <c r="FJ346" t="e">
        <f>'North America'!H583+"n/&gt;!28t"</f>
        <v>#VALUE!</v>
      </c>
      <c r="FK346" t="e">
        <f>'North America'!I583+"n/&gt;!28u"</f>
        <v>#VALUE!</v>
      </c>
      <c r="FL346" t="e">
        <f>'North America'!A584+"n/&gt;!28v"</f>
        <v>#VALUE!</v>
      </c>
      <c r="FM346" t="e">
        <f>'North America'!B584+"n/&gt;!28w"</f>
        <v>#VALUE!</v>
      </c>
      <c r="FN346" t="e">
        <f>'North America'!C584+"n/&gt;!28x"</f>
        <v>#VALUE!</v>
      </c>
      <c r="FO346" t="e">
        <f>'North America'!D584+"n/&gt;!28y"</f>
        <v>#VALUE!</v>
      </c>
      <c r="FP346" t="e">
        <f>'North America'!E584+"n/&gt;!28z"</f>
        <v>#VALUE!</v>
      </c>
      <c r="FQ346" t="e">
        <f>'North America'!F584+"n/&gt;!28{"</f>
        <v>#VALUE!</v>
      </c>
      <c r="FR346" t="e">
        <f>'North America'!G584+"n/&gt;!28|"</f>
        <v>#VALUE!</v>
      </c>
      <c r="FS346" t="e">
        <f>'North America'!H584+"n/&gt;!28}"</f>
        <v>#VALUE!</v>
      </c>
      <c r="FT346" t="e">
        <f>'North America'!I584+"n/&gt;!28~"</f>
        <v>#VALUE!</v>
      </c>
      <c r="FU346" t="e">
        <f>'North America'!A585+"n/&gt;!29#"</f>
        <v>#VALUE!</v>
      </c>
      <c r="FV346" t="e">
        <f>'North America'!B585+"n/&gt;!29$"</f>
        <v>#VALUE!</v>
      </c>
      <c r="FW346" t="e">
        <f>'North America'!C585+"n/&gt;!29%"</f>
        <v>#VALUE!</v>
      </c>
      <c r="FX346" t="e">
        <f>'North America'!D585+"n/&gt;!29&amp;"</f>
        <v>#VALUE!</v>
      </c>
      <c r="FY346" t="e">
        <f>'North America'!E585+"n/&gt;!29'"</f>
        <v>#VALUE!</v>
      </c>
      <c r="FZ346" t="e">
        <f>'North America'!F585+"n/&gt;!29("</f>
        <v>#VALUE!</v>
      </c>
      <c r="GA346" t="e">
        <f>'North America'!G585+"n/&gt;!29)"</f>
        <v>#VALUE!</v>
      </c>
      <c r="GB346" t="e">
        <f>'North America'!H585+"n/&gt;!29."</f>
        <v>#VALUE!</v>
      </c>
      <c r="GC346" t="e">
        <f>'North America'!I585+"n/&gt;!29/"</f>
        <v>#VALUE!</v>
      </c>
      <c r="GD346" t="e">
        <f>'North America'!A586+"n/&gt;!290"</f>
        <v>#VALUE!</v>
      </c>
      <c r="GE346" t="e">
        <f>'North America'!B586+"n/&gt;!291"</f>
        <v>#VALUE!</v>
      </c>
      <c r="GF346" t="e">
        <f>'North America'!C586+"n/&gt;!292"</f>
        <v>#VALUE!</v>
      </c>
      <c r="GG346" t="e">
        <f>'North America'!D586+"n/&gt;!293"</f>
        <v>#VALUE!</v>
      </c>
      <c r="GH346" t="e">
        <f>'North America'!E586+"n/&gt;!294"</f>
        <v>#VALUE!</v>
      </c>
      <c r="GI346" t="e">
        <f>'North America'!F586+"n/&gt;!295"</f>
        <v>#VALUE!</v>
      </c>
      <c r="GJ346" t="e">
        <f>'North America'!G586+"n/&gt;!296"</f>
        <v>#VALUE!</v>
      </c>
      <c r="GK346" t="e">
        <f>'North America'!H586+"n/&gt;!297"</f>
        <v>#VALUE!</v>
      </c>
      <c r="GL346" t="e">
        <f>'North America'!I586+"n/&gt;!298"</f>
        <v>#VALUE!</v>
      </c>
      <c r="GM346" t="e">
        <f>'North America'!A587+"n/&gt;!299"</f>
        <v>#VALUE!</v>
      </c>
      <c r="GN346" t="e">
        <f>'North America'!B587+"n/&gt;!29:"</f>
        <v>#VALUE!</v>
      </c>
      <c r="GO346" t="e">
        <f>'North America'!C587+"n/&gt;!29;"</f>
        <v>#VALUE!</v>
      </c>
      <c r="GP346" t="e">
        <f>'North America'!D587+"n/&gt;!29&lt;"</f>
        <v>#VALUE!</v>
      </c>
      <c r="GQ346" t="e">
        <f>'North America'!E587+"n/&gt;!29="</f>
        <v>#VALUE!</v>
      </c>
      <c r="GR346" t="e">
        <f>'North America'!F587+"n/&gt;!29&gt;"</f>
        <v>#VALUE!</v>
      </c>
      <c r="GS346" t="e">
        <f>'North America'!G587+"n/&gt;!29?"</f>
        <v>#VALUE!</v>
      </c>
      <c r="GT346" t="e">
        <f>'North America'!H587+"n/&gt;!29@"</f>
        <v>#VALUE!</v>
      </c>
      <c r="GU346" t="e">
        <f>'North America'!I587+"n/&gt;!29A"</f>
        <v>#VALUE!</v>
      </c>
      <c r="GV346" t="e">
        <f>'North America'!A588+"n/&gt;!29B"</f>
        <v>#VALUE!</v>
      </c>
      <c r="GW346" t="e">
        <f>'North America'!B588+"n/&gt;!29C"</f>
        <v>#VALUE!</v>
      </c>
      <c r="GX346" t="e">
        <f>'North America'!C588+"n/&gt;!29D"</f>
        <v>#VALUE!</v>
      </c>
      <c r="GY346" t="e">
        <f>'North America'!D588+"n/&gt;!29E"</f>
        <v>#VALUE!</v>
      </c>
      <c r="GZ346" t="e">
        <f>'North America'!E588+"n/&gt;!29F"</f>
        <v>#VALUE!</v>
      </c>
      <c r="HA346" t="e">
        <f>'North America'!F588+"n/&gt;!29G"</f>
        <v>#VALUE!</v>
      </c>
      <c r="HB346" t="e">
        <f>'North America'!G588+"n/&gt;!29H"</f>
        <v>#VALUE!</v>
      </c>
      <c r="HC346" t="e">
        <f>'North America'!H588+"n/&gt;!29I"</f>
        <v>#VALUE!</v>
      </c>
      <c r="HD346" t="e">
        <f>'North America'!I588+"n/&gt;!29J"</f>
        <v>#VALUE!</v>
      </c>
      <c r="HE346" t="e">
        <f>'North America'!A589+"n/&gt;!29K"</f>
        <v>#VALUE!</v>
      </c>
      <c r="HF346" t="e">
        <f>'North America'!B589+"n/&gt;!29L"</f>
        <v>#VALUE!</v>
      </c>
      <c r="HG346" t="e">
        <f>'North America'!C589+"n/&gt;!29M"</f>
        <v>#VALUE!</v>
      </c>
      <c r="HH346" t="e">
        <f>'North America'!D589+"n/&gt;!29N"</f>
        <v>#VALUE!</v>
      </c>
      <c r="HI346" t="e">
        <f>'North America'!E589+"n/&gt;!29O"</f>
        <v>#VALUE!</v>
      </c>
      <c r="HJ346" t="e">
        <f>'North America'!F589+"n/&gt;!29P"</f>
        <v>#VALUE!</v>
      </c>
      <c r="HK346" t="e">
        <f>'North America'!G589+"n/&gt;!29Q"</f>
        <v>#VALUE!</v>
      </c>
      <c r="HL346" t="e">
        <f>'North America'!H589+"n/&gt;!29R"</f>
        <v>#VALUE!</v>
      </c>
      <c r="HM346" t="e">
        <f>'North America'!I589+"n/&gt;!29S"</f>
        <v>#VALUE!</v>
      </c>
      <c r="HN346" t="e">
        <f>'North America'!A590+"n/&gt;!29T"</f>
        <v>#VALUE!</v>
      </c>
      <c r="HO346" t="e">
        <f>'North America'!B590+"n/&gt;!29U"</f>
        <v>#VALUE!</v>
      </c>
      <c r="HP346" t="e">
        <f>'North America'!C590+"n/&gt;!29V"</f>
        <v>#VALUE!</v>
      </c>
      <c r="HQ346" t="e">
        <f>'North America'!D590+"n/&gt;!29W"</f>
        <v>#VALUE!</v>
      </c>
      <c r="HR346" t="e">
        <f>'North America'!E590+"n/&gt;!29X"</f>
        <v>#VALUE!</v>
      </c>
      <c r="HS346" t="e">
        <f>'North America'!F590+"n/&gt;!29Y"</f>
        <v>#VALUE!</v>
      </c>
      <c r="HT346" t="e">
        <f>'North America'!G590+"n/&gt;!29Z"</f>
        <v>#VALUE!</v>
      </c>
      <c r="HU346" t="e">
        <f>'North America'!H590+"n/&gt;!29["</f>
        <v>#VALUE!</v>
      </c>
      <c r="HV346" t="e">
        <f>'North America'!I590+"n/&gt;!29\"</f>
        <v>#VALUE!</v>
      </c>
      <c r="HW346" t="e">
        <f>'North America'!A591+"n/&gt;!29]"</f>
        <v>#VALUE!</v>
      </c>
      <c r="HX346" t="e">
        <f>'North America'!B591+"n/&gt;!29^"</f>
        <v>#VALUE!</v>
      </c>
      <c r="HY346" t="e">
        <f>'North America'!C591+"n/&gt;!29_"</f>
        <v>#VALUE!</v>
      </c>
      <c r="HZ346" t="e">
        <f>'North America'!D591+"n/&gt;!29`"</f>
        <v>#VALUE!</v>
      </c>
      <c r="IA346" t="e">
        <f>'North America'!E591+"n/&gt;!29a"</f>
        <v>#VALUE!</v>
      </c>
      <c r="IB346" t="e">
        <f>'North America'!F591+"n/&gt;!29b"</f>
        <v>#VALUE!</v>
      </c>
      <c r="IC346" t="e">
        <f>'North America'!G591+"n/&gt;!29c"</f>
        <v>#VALUE!</v>
      </c>
      <c r="ID346" t="e">
        <f>'North America'!H591+"n/&gt;!29d"</f>
        <v>#VALUE!</v>
      </c>
      <c r="IE346" t="e">
        <f>'North America'!I591+"n/&gt;!29e"</f>
        <v>#VALUE!</v>
      </c>
      <c r="IF346" t="e">
        <f>'North America'!A592+"n/&gt;!29f"</f>
        <v>#VALUE!</v>
      </c>
      <c r="IG346" t="e">
        <f>'North America'!B592+"n/&gt;!29g"</f>
        <v>#VALUE!</v>
      </c>
      <c r="IH346" t="e">
        <f>'North America'!C592+"n/&gt;!29h"</f>
        <v>#VALUE!</v>
      </c>
      <c r="II346" t="e">
        <f>'North America'!D592+"n/&gt;!29i"</f>
        <v>#VALUE!</v>
      </c>
      <c r="IJ346" t="e">
        <f>'North America'!E592+"n/&gt;!29j"</f>
        <v>#VALUE!</v>
      </c>
      <c r="IK346" t="e">
        <f>'North America'!F592+"n/&gt;!29k"</f>
        <v>#VALUE!</v>
      </c>
      <c r="IL346" t="e">
        <f>'North America'!G592+"n/&gt;!29l"</f>
        <v>#VALUE!</v>
      </c>
      <c r="IM346" t="e">
        <f>'North America'!H592+"n/&gt;!29m"</f>
        <v>#VALUE!</v>
      </c>
      <c r="IN346" t="e">
        <f>'North America'!I592+"n/&gt;!29n"</f>
        <v>#VALUE!</v>
      </c>
      <c r="IO346" t="e">
        <f>'North America'!A593+"n/&gt;!29o"</f>
        <v>#VALUE!</v>
      </c>
      <c r="IP346" t="e">
        <f>'North America'!B593+"n/&gt;!29p"</f>
        <v>#VALUE!</v>
      </c>
      <c r="IQ346" t="e">
        <f>'North America'!C593+"n/&gt;!29q"</f>
        <v>#VALUE!</v>
      </c>
      <c r="IR346" t="e">
        <f>'North America'!D593+"n/&gt;!29r"</f>
        <v>#VALUE!</v>
      </c>
      <c r="IS346" t="e">
        <f>'North America'!E593+"n/&gt;!29s"</f>
        <v>#VALUE!</v>
      </c>
      <c r="IT346" t="e">
        <f>'North America'!F593+"n/&gt;!29t"</f>
        <v>#VALUE!</v>
      </c>
      <c r="IU346" t="e">
        <f>'North America'!G593+"n/&gt;!29u"</f>
        <v>#VALUE!</v>
      </c>
      <c r="IV346" t="e">
        <f>'North America'!H593+"n/&gt;!29v"</f>
        <v>#VALUE!</v>
      </c>
    </row>
    <row r="347" spans="6:256" x14ac:dyDescent="0.35">
      <c r="F347" t="e">
        <f>'North America'!I593+"n/&gt;!29w"</f>
        <v>#VALUE!</v>
      </c>
      <c r="G347" t="e">
        <f>'North America'!A594+"n/&gt;!29x"</f>
        <v>#VALUE!</v>
      </c>
      <c r="H347" t="e">
        <f>'North America'!B594+"n/&gt;!29y"</f>
        <v>#VALUE!</v>
      </c>
      <c r="I347" t="e">
        <f>'North America'!C594+"n/&gt;!29z"</f>
        <v>#VALUE!</v>
      </c>
      <c r="J347" t="e">
        <f>'North America'!D594+"n/&gt;!29{"</f>
        <v>#VALUE!</v>
      </c>
      <c r="K347" t="e">
        <f>'North America'!E594+"n/&gt;!29|"</f>
        <v>#VALUE!</v>
      </c>
      <c r="L347" t="e">
        <f>'North America'!F594+"n/&gt;!29}"</f>
        <v>#VALUE!</v>
      </c>
      <c r="M347" t="e">
        <f>'North America'!G594+"n/&gt;!29~"</f>
        <v>#VALUE!</v>
      </c>
      <c r="N347" t="e">
        <f>'North America'!H594+"n/&gt;!2:#"</f>
        <v>#VALUE!</v>
      </c>
      <c r="O347" t="e">
        <f>'North America'!I594+"n/&gt;!2:$"</f>
        <v>#VALUE!</v>
      </c>
      <c r="P347" t="e">
        <f>'North America'!A595+"n/&gt;!2:%"</f>
        <v>#VALUE!</v>
      </c>
      <c r="Q347" t="e">
        <f>'North America'!B595+"n/&gt;!2:&amp;"</f>
        <v>#VALUE!</v>
      </c>
      <c r="R347" t="e">
        <f>'North America'!C595+"n/&gt;!2:'"</f>
        <v>#VALUE!</v>
      </c>
      <c r="S347" t="e">
        <f>'North America'!D595+"n/&gt;!2:("</f>
        <v>#VALUE!</v>
      </c>
      <c r="T347" t="e">
        <f>'North America'!E595+"n/&gt;!2:)"</f>
        <v>#VALUE!</v>
      </c>
      <c r="U347" t="e">
        <f>'North America'!F595+"n/&gt;!2:."</f>
        <v>#VALUE!</v>
      </c>
      <c r="V347" t="e">
        <f>'North America'!G595+"n/&gt;!2:/"</f>
        <v>#VALUE!</v>
      </c>
      <c r="W347" t="e">
        <f>'North America'!H595+"n/&gt;!2:0"</f>
        <v>#VALUE!</v>
      </c>
      <c r="X347" t="e">
        <f>'North America'!I595+"n/&gt;!2:1"</f>
        <v>#VALUE!</v>
      </c>
      <c r="Y347" t="e">
        <f>'North America'!A596+"n/&gt;!2:2"</f>
        <v>#VALUE!</v>
      </c>
      <c r="Z347" t="e">
        <f>'North America'!B596+"n/&gt;!2:3"</f>
        <v>#VALUE!</v>
      </c>
      <c r="AA347" t="e">
        <f>'North America'!C596+"n/&gt;!2:4"</f>
        <v>#VALUE!</v>
      </c>
      <c r="AB347" t="e">
        <f>'North America'!D596+"n/&gt;!2:5"</f>
        <v>#VALUE!</v>
      </c>
      <c r="AC347" t="e">
        <f>'North America'!E596+"n/&gt;!2:6"</f>
        <v>#VALUE!</v>
      </c>
      <c r="AD347" t="e">
        <f>'North America'!F596+"n/&gt;!2:7"</f>
        <v>#VALUE!</v>
      </c>
      <c r="AE347" t="e">
        <f>'North America'!G596+"n/&gt;!2:8"</f>
        <v>#VALUE!</v>
      </c>
      <c r="AF347" t="e">
        <f>'North America'!H596+"n/&gt;!2:9"</f>
        <v>#VALUE!</v>
      </c>
      <c r="AG347" t="e">
        <f>'North America'!I596+"n/&gt;!2::"</f>
        <v>#VALUE!</v>
      </c>
      <c r="AH347" t="e">
        <f>'North America'!A597+"n/&gt;!2:;"</f>
        <v>#VALUE!</v>
      </c>
      <c r="AI347" t="e">
        <f>'North America'!B597+"n/&gt;!2:&lt;"</f>
        <v>#VALUE!</v>
      </c>
      <c r="AJ347" t="e">
        <f>'North America'!C597+"n/&gt;!2:="</f>
        <v>#VALUE!</v>
      </c>
      <c r="AK347" t="e">
        <f>'North America'!D597+"n/&gt;!2:&gt;"</f>
        <v>#VALUE!</v>
      </c>
      <c r="AL347" t="e">
        <f>'North America'!E597+"n/&gt;!2:?"</f>
        <v>#VALUE!</v>
      </c>
      <c r="AM347" t="e">
        <f>'North America'!F597+"n/&gt;!2:@"</f>
        <v>#VALUE!</v>
      </c>
      <c r="AN347" t="e">
        <f>'North America'!G597+"n/&gt;!2:A"</f>
        <v>#VALUE!</v>
      </c>
      <c r="AO347" t="e">
        <f>'North America'!H597+"n/&gt;!2:B"</f>
        <v>#VALUE!</v>
      </c>
      <c r="AP347" t="e">
        <f>'North America'!I597+"n/&gt;!2:C"</f>
        <v>#VALUE!</v>
      </c>
      <c r="AQ347" t="e">
        <f>'North America'!A598+"n/&gt;!2:D"</f>
        <v>#VALUE!</v>
      </c>
      <c r="AR347" t="e">
        <f>'North America'!B598+"n/&gt;!2:E"</f>
        <v>#VALUE!</v>
      </c>
      <c r="AS347" t="e">
        <f>'North America'!C598+"n/&gt;!2:F"</f>
        <v>#VALUE!</v>
      </c>
      <c r="AT347" t="e">
        <f>'North America'!D598+"n/&gt;!2:G"</f>
        <v>#VALUE!</v>
      </c>
      <c r="AU347" t="e">
        <f>'North America'!E598+"n/&gt;!2:H"</f>
        <v>#VALUE!</v>
      </c>
      <c r="AV347" t="e">
        <f>'North America'!F598+"n/&gt;!2:I"</f>
        <v>#VALUE!</v>
      </c>
      <c r="AW347" t="e">
        <f>'North America'!G598+"n/&gt;!2:J"</f>
        <v>#VALUE!</v>
      </c>
      <c r="AX347" t="e">
        <f>'North America'!H598+"n/&gt;!2:K"</f>
        <v>#VALUE!</v>
      </c>
      <c r="AY347" t="e">
        <f>'North America'!I598+"n/&gt;!2:L"</f>
        <v>#VALUE!</v>
      </c>
      <c r="AZ347" t="e">
        <f>'North America'!A599+"n/&gt;!2:M"</f>
        <v>#VALUE!</v>
      </c>
      <c r="BA347" t="e">
        <f>'North America'!B599+"n/&gt;!2:N"</f>
        <v>#VALUE!</v>
      </c>
      <c r="BB347" t="e">
        <f>'North America'!C599+"n/&gt;!2:O"</f>
        <v>#VALUE!</v>
      </c>
      <c r="BC347" t="e">
        <f>'North America'!D599+"n/&gt;!2:P"</f>
        <v>#VALUE!</v>
      </c>
      <c r="BD347" t="e">
        <f>'North America'!E599+"n/&gt;!2:Q"</f>
        <v>#VALUE!</v>
      </c>
      <c r="BE347" t="e">
        <f>'North America'!F599+"n/&gt;!2:R"</f>
        <v>#VALUE!</v>
      </c>
      <c r="BF347" t="e">
        <f>'North America'!G599+"n/&gt;!2:S"</f>
        <v>#VALUE!</v>
      </c>
      <c r="BG347" t="e">
        <f>'North America'!H599+"n/&gt;!2:T"</f>
        <v>#VALUE!</v>
      </c>
      <c r="BH347" t="e">
        <f>'North America'!I599+"n/&gt;!2:U"</f>
        <v>#VALUE!</v>
      </c>
      <c r="BI347" t="e">
        <f>'North America'!A600+"n/&gt;!2:V"</f>
        <v>#VALUE!</v>
      </c>
      <c r="BJ347" t="e">
        <f>'North America'!B600+"n/&gt;!2:W"</f>
        <v>#VALUE!</v>
      </c>
      <c r="BK347" t="e">
        <f>'North America'!C600+"n/&gt;!2:X"</f>
        <v>#VALUE!</v>
      </c>
      <c r="BL347" t="e">
        <f>'North America'!D600+"n/&gt;!2:Y"</f>
        <v>#VALUE!</v>
      </c>
      <c r="BM347" t="e">
        <f>'North America'!E600+"n/&gt;!2:Z"</f>
        <v>#VALUE!</v>
      </c>
      <c r="BN347" t="e">
        <f>'North America'!F600+"n/&gt;!2:["</f>
        <v>#VALUE!</v>
      </c>
      <c r="BO347" t="e">
        <f>'North America'!G600+"n/&gt;!2:\"</f>
        <v>#VALUE!</v>
      </c>
      <c r="BP347" t="e">
        <f>'North America'!H600+"n/&gt;!2:]"</f>
        <v>#VALUE!</v>
      </c>
      <c r="BQ347" t="e">
        <f>'North America'!I600+"n/&gt;!2:^"</f>
        <v>#VALUE!</v>
      </c>
      <c r="BR347" t="e">
        <f>'North America'!A601+"n/&gt;!2:_"</f>
        <v>#VALUE!</v>
      </c>
      <c r="BS347" t="e">
        <f>'North America'!B601+"n/&gt;!2:`"</f>
        <v>#VALUE!</v>
      </c>
      <c r="BT347" t="e">
        <f>'North America'!C601+"n/&gt;!2:a"</f>
        <v>#VALUE!</v>
      </c>
      <c r="BU347" t="e">
        <f>'North America'!D601+"n/&gt;!2:b"</f>
        <v>#VALUE!</v>
      </c>
      <c r="BV347" t="e">
        <f>'North America'!E601+"n/&gt;!2:c"</f>
        <v>#VALUE!</v>
      </c>
      <c r="BW347" t="e">
        <f>'North America'!F601+"n/&gt;!2:d"</f>
        <v>#VALUE!</v>
      </c>
      <c r="BX347" t="e">
        <f>'North America'!G601+"n/&gt;!2:e"</f>
        <v>#VALUE!</v>
      </c>
      <c r="BY347" t="e">
        <f>'North America'!H601+"n/&gt;!2:f"</f>
        <v>#VALUE!</v>
      </c>
      <c r="BZ347" t="e">
        <f>'North America'!I601+"n/&gt;!2:g"</f>
        <v>#VALUE!</v>
      </c>
      <c r="CA347" t="e">
        <f>'North America'!A602+"n/&gt;!2:h"</f>
        <v>#VALUE!</v>
      </c>
      <c r="CB347" t="e">
        <f>'North America'!B602+"n/&gt;!2:i"</f>
        <v>#VALUE!</v>
      </c>
      <c r="CC347" t="e">
        <f>'North America'!C602+"n/&gt;!2:j"</f>
        <v>#VALUE!</v>
      </c>
      <c r="CD347" t="e">
        <f>'North America'!D602+"n/&gt;!2:k"</f>
        <v>#VALUE!</v>
      </c>
      <c r="CE347" t="e">
        <f>'North America'!E602+"n/&gt;!2:l"</f>
        <v>#VALUE!</v>
      </c>
      <c r="CF347" t="e">
        <f>'North America'!F602+"n/&gt;!2:m"</f>
        <v>#VALUE!</v>
      </c>
      <c r="CG347" t="e">
        <f>'North America'!G602+"n/&gt;!2:n"</f>
        <v>#VALUE!</v>
      </c>
      <c r="CH347" t="e">
        <f>'North America'!H602+"n/&gt;!2:o"</f>
        <v>#VALUE!</v>
      </c>
      <c r="CI347" t="e">
        <f>'North America'!I602+"n/&gt;!2:p"</f>
        <v>#VALUE!</v>
      </c>
      <c r="CJ347" t="e">
        <f>'North America'!A603+"n/&gt;!2:q"</f>
        <v>#VALUE!</v>
      </c>
      <c r="CK347" t="e">
        <f>'North America'!B603+"n/&gt;!2:r"</f>
        <v>#VALUE!</v>
      </c>
      <c r="CL347" t="e">
        <f>'North America'!C603+"n/&gt;!2:s"</f>
        <v>#VALUE!</v>
      </c>
      <c r="CM347" t="e">
        <f>'North America'!D603+"n/&gt;!2:t"</f>
        <v>#VALUE!</v>
      </c>
      <c r="CN347" t="e">
        <f>'North America'!E603+"n/&gt;!2:u"</f>
        <v>#VALUE!</v>
      </c>
      <c r="CO347" t="e">
        <f>'North America'!F603+"n/&gt;!2:v"</f>
        <v>#VALUE!</v>
      </c>
      <c r="CP347" t="e">
        <f>'North America'!G603+"n/&gt;!2:w"</f>
        <v>#VALUE!</v>
      </c>
      <c r="CQ347" t="e">
        <f>'North America'!H603+"n/&gt;!2:x"</f>
        <v>#VALUE!</v>
      </c>
      <c r="CR347" t="e">
        <f>'North America'!I603+"n/&gt;!2:y"</f>
        <v>#VALUE!</v>
      </c>
      <c r="CS347" t="e">
        <f>'North America'!A604+"n/&gt;!2:z"</f>
        <v>#VALUE!</v>
      </c>
      <c r="CT347" t="e">
        <f>'North America'!B604+"n/&gt;!2:{"</f>
        <v>#VALUE!</v>
      </c>
      <c r="CU347" t="e">
        <f>'North America'!C604+"n/&gt;!2:|"</f>
        <v>#VALUE!</v>
      </c>
      <c r="CV347" t="e">
        <f>'North America'!D604+"n/&gt;!2:}"</f>
        <v>#VALUE!</v>
      </c>
      <c r="CW347" t="e">
        <f>'North America'!E604+"n/&gt;!2:~"</f>
        <v>#VALUE!</v>
      </c>
      <c r="CX347" t="e">
        <f>'North America'!F604+"n/&gt;!2;#"</f>
        <v>#VALUE!</v>
      </c>
      <c r="CY347" t="e">
        <f>'North America'!G604+"n/&gt;!2;$"</f>
        <v>#VALUE!</v>
      </c>
      <c r="CZ347" t="e">
        <f>'North America'!H604+"n/&gt;!2;%"</f>
        <v>#VALUE!</v>
      </c>
      <c r="DA347" t="e">
        <f>'North America'!I604+"n/&gt;!2;&amp;"</f>
        <v>#VALUE!</v>
      </c>
      <c r="DB347" t="e">
        <f>'North America'!A605+"n/&gt;!2;'"</f>
        <v>#VALUE!</v>
      </c>
      <c r="DC347" t="e">
        <f>'North America'!B605+"n/&gt;!2;("</f>
        <v>#VALUE!</v>
      </c>
      <c r="DD347" t="e">
        <f>'North America'!C605+"n/&gt;!2;)"</f>
        <v>#VALUE!</v>
      </c>
      <c r="DE347" t="e">
        <f>'North America'!D605+"n/&gt;!2;."</f>
        <v>#VALUE!</v>
      </c>
      <c r="DF347" t="e">
        <f>'North America'!E605+"n/&gt;!2;/"</f>
        <v>#VALUE!</v>
      </c>
      <c r="DG347" t="e">
        <f>'North America'!F605+"n/&gt;!2;0"</f>
        <v>#VALUE!</v>
      </c>
      <c r="DH347" t="e">
        <f>'North America'!G605+"n/&gt;!2;1"</f>
        <v>#VALUE!</v>
      </c>
      <c r="DI347" t="e">
        <f>'North America'!H605+"n/&gt;!2;2"</f>
        <v>#VALUE!</v>
      </c>
      <c r="DJ347" t="e">
        <f>'North America'!I605+"n/&gt;!2;3"</f>
        <v>#VALUE!</v>
      </c>
      <c r="DK347" t="e">
        <f>'North America'!A606+"n/&gt;!2;4"</f>
        <v>#VALUE!</v>
      </c>
      <c r="DL347" t="e">
        <f>'North America'!B606+"n/&gt;!2;5"</f>
        <v>#VALUE!</v>
      </c>
      <c r="DM347" t="e">
        <f>'North America'!C606+"n/&gt;!2;6"</f>
        <v>#VALUE!</v>
      </c>
      <c r="DN347" t="e">
        <f>'North America'!D606+"n/&gt;!2;7"</f>
        <v>#VALUE!</v>
      </c>
      <c r="DO347" t="e">
        <f>'North America'!E606+"n/&gt;!2;8"</f>
        <v>#VALUE!</v>
      </c>
      <c r="DP347" t="e">
        <f>'North America'!F606+"n/&gt;!2;9"</f>
        <v>#VALUE!</v>
      </c>
      <c r="DQ347" t="e">
        <f>'North America'!G606+"n/&gt;!2;:"</f>
        <v>#VALUE!</v>
      </c>
      <c r="DR347" t="e">
        <f>'North America'!H606+"n/&gt;!2;;"</f>
        <v>#VALUE!</v>
      </c>
      <c r="DS347" t="e">
        <f>'North America'!I606+"n/&gt;!2;&lt;"</f>
        <v>#VALUE!</v>
      </c>
      <c r="DT347" t="e">
        <f>'North America'!A607+"n/&gt;!2;="</f>
        <v>#VALUE!</v>
      </c>
      <c r="DU347" t="e">
        <f>'North America'!B607+"n/&gt;!2;&gt;"</f>
        <v>#VALUE!</v>
      </c>
      <c r="DV347" t="e">
        <f>'North America'!C607+"n/&gt;!2;?"</f>
        <v>#VALUE!</v>
      </c>
      <c r="DW347" t="e">
        <f>'North America'!D607+"n/&gt;!2;@"</f>
        <v>#VALUE!</v>
      </c>
      <c r="DX347" t="e">
        <f>'North America'!E607+"n/&gt;!2;A"</f>
        <v>#VALUE!</v>
      </c>
      <c r="DY347" t="e">
        <f>'North America'!F607+"n/&gt;!2;B"</f>
        <v>#VALUE!</v>
      </c>
      <c r="DZ347" t="e">
        <f>'North America'!G607+"n/&gt;!2;C"</f>
        <v>#VALUE!</v>
      </c>
      <c r="EA347" t="e">
        <f>'North America'!H607+"n/&gt;!2;D"</f>
        <v>#VALUE!</v>
      </c>
      <c r="EB347" t="e">
        <f>'North America'!I607+"n/&gt;!2;E"</f>
        <v>#VALUE!</v>
      </c>
      <c r="EC347" t="e">
        <f>'North America'!A608+"n/&gt;!2;F"</f>
        <v>#VALUE!</v>
      </c>
      <c r="ED347" t="e">
        <f>'North America'!B608+"n/&gt;!2;G"</f>
        <v>#VALUE!</v>
      </c>
      <c r="EE347" t="e">
        <f>'North America'!C608+"n/&gt;!2;H"</f>
        <v>#VALUE!</v>
      </c>
      <c r="EF347" t="e">
        <f>'North America'!D608+"n/&gt;!2;I"</f>
        <v>#VALUE!</v>
      </c>
      <c r="EG347" t="e">
        <f>'North America'!E608+"n/&gt;!2;J"</f>
        <v>#VALUE!</v>
      </c>
      <c r="EH347" t="e">
        <f>'North America'!F608+"n/&gt;!2;K"</f>
        <v>#VALUE!</v>
      </c>
      <c r="EI347" t="e">
        <f>'North America'!G608+"n/&gt;!2;L"</f>
        <v>#VALUE!</v>
      </c>
      <c r="EJ347" t="e">
        <f>'North America'!H608+"n/&gt;!2;M"</f>
        <v>#VALUE!</v>
      </c>
      <c r="EK347" t="e">
        <f>'North America'!I608+"n/&gt;!2;N"</f>
        <v>#VALUE!</v>
      </c>
      <c r="EL347" t="e">
        <f>'North America'!A609+"n/&gt;!2;O"</f>
        <v>#VALUE!</v>
      </c>
      <c r="EM347" t="e">
        <f>'North America'!B609+"n/&gt;!2;P"</f>
        <v>#VALUE!</v>
      </c>
      <c r="EN347" t="e">
        <f>'North America'!C609+"n/&gt;!2;Q"</f>
        <v>#VALUE!</v>
      </c>
      <c r="EO347" t="e">
        <f>'North America'!D609+"n/&gt;!2;R"</f>
        <v>#VALUE!</v>
      </c>
      <c r="EP347" t="e">
        <f>'North America'!E609+"n/&gt;!2;S"</f>
        <v>#VALUE!</v>
      </c>
      <c r="EQ347" t="e">
        <f>'North America'!F609+"n/&gt;!2;T"</f>
        <v>#VALUE!</v>
      </c>
      <c r="ER347" t="e">
        <f>'North America'!G609+"n/&gt;!2;U"</f>
        <v>#VALUE!</v>
      </c>
      <c r="ES347" t="e">
        <f>'North America'!H609+"n/&gt;!2;V"</f>
        <v>#VALUE!</v>
      </c>
      <c r="ET347" t="e">
        <f>'North America'!I609+"n/&gt;!2;W"</f>
        <v>#VALUE!</v>
      </c>
      <c r="EU347" t="e">
        <f>'North America'!A610+"n/&gt;!2;X"</f>
        <v>#VALUE!</v>
      </c>
      <c r="EV347" t="e">
        <f>'North America'!B610+"n/&gt;!2;Y"</f>
        <v>#VALUE!</v>
      </c>
      <c r="EW347" t="e">
        <f>'North America'!C610+"n/&gt;!2;Z"</f>
        <v>#VALUE!</v>
      </c>
      <c r="EX347" t="e">
        <f>'North America'!D610+"n/&gt;!2;["</f>
        <v>#VALUE!</v>
      </c>
      <c r="EY347" t="e">
        <f>'North America'!E610+"n/&gt;!2;\"</f>
        <v>#VALUE!</v>
      </c>
      <c r="EZ347" t="e">
        <f>'North America'!F610+"n/&gt;!2;]"</f>
        <v>#VALUE!</v>
      </c>
      <c r="FA347" t="e">
        <f>'North America'!G610+"n/&gt;!2;^"</f>
        <v>#VALUE!</v>
      </c>
      <c r="FB347" t="e">
        <f>'North America'!H610+"n/&gt;!2;_"</f>
        <v>#VALUE!</v>
      </c>
      <c r="FC347" t="e">
        <f>'North America'!I610+"n/&gt;!2;`"</f>
        <v>#VALUE!</v>
      </c>
      <c r="FD347" t="e">
        <f>'North America'!A611+"n/&gt;!2;a"</f>
        <v>#VALUE!</v>
      </c>
      <c r="FE347" t="e">
        <f>'North America'!B611+"n/&gt;!2;b"</f>
        <v>#VALUE!</v>
      </c>
      <c r="FF347" t="e">
        <f>'North America'!C611+"n/&gt;!2;c"</f>
        <v>#VALUE!</v>
      </c>
      <c r="FG347" t="e">
        <f>'North America'!D611+"n/&gt;!2;d"</f>
        <v>#VALUE!</v>
      </c>
      <c r="FH347" t="e">
        <f>'North America'!E611+"n/&gt;!2;e"</f>
        <v>#VALUE!</v>
      </c>
      <c r="FI347" t="e">
        <f>'North America'!F611+"n/&gt;!2;f"</f>
        <v>#VALUE!</v>
      </c>
      <c r="FJ347" t="e">
        <f>'North America'!G611+"n/&gt;!2;g"</f>
        <v>#VALUE!</v>
      </c>
      <c r="FK347" t="e">
        <f>'North America'!H611+"n/&gt;!2;h"</f>
        <v>#VALUE!</v>
      </c>
      <c r="FL347" t="e">
        <f>'North America'!I611+"n/&gt;!2;i"</f>
        <v>#VALUE!</v>
      </c>
      <c r="FM347" t="e">
        <f>'North America'!A612+"n/&gt;!2;j"</f>
        <v>#VALUE!</v>
      </c>
      <c r="FN347" t="e">
        <f>'North America'!B612+"n/&gt;!2;k"</f>
        <v>#VALUE!</v>
      </c>
      <c r="FO347" t="e">
        <f>'North America'!C612+"n/&gt;!2;l"</f>
        <v>#VALUE!</v>
      </c>
      <c r="FP347" t="e">
        <f>'North America'!D612+"n/&gt;!2;m"</f>
        <v>#VALUE!</v>
      </c>
      <c r="FQ347" t="e">
        <f>'North America'!E612+"n/&gt;!2;n"</f>
        <v>#VALUE!</v>
      </c>
      <c r="FR347" t="e">
        <f>'North America'!F612+"n/&gt;!2;o"</f>
        <v>#VALUE!</v>
      </c>
      <c r="FS347" t="e">
        <f>'North America'!G612+"n/&gt;!2;p"</f>
        <v>#VALUE!</v>
      </c>
      <c r="FT347" t="e">
        <f>'North America'!H612+"n/&gt;!2;q"</f>
        <v>#VALUE!</v>
      </c>
      <c r="FU347" t="e">
        <f>'North America'!I612+"n/&gt;!2;r"</f>
        <v>#VALUE!</v>
      </c>
      <c r="FV347" t="e">
        <f>'North America'!A613+"n/&gt;!2;s"</f>
        <v>#VALUE!</v>
      </c>
      <c r="FW347" t="e">
        <f>'North America'!B613+"n/&gt;!2;t"</f>
        <v>#VALUE!</v>
      </c>
      <c r="FX347" t="e">
        <f>'North America'!C613+"n/&gt;!2;u"</f>
        <v>#VALUE!</v>
      </c>
      <c r="FY347" t="e">
        <f>'North America'!D613+"n/&gt;!2;v"</f>
        <v>#VALUE!</v>
      </c>
      <c r="FZ347" t="e">
        <f>'North America'!E613+"n/&gt;!2;w"</f>
        <v>#VALUE!</v>
      </c>
      <c r="GA347" t="e">
        <f>'North America'!F613+"n/&gt;!2;x"</f>
        <v>#VALUE!</v>
      </c>
      <c r="GB347" t="e">
        <f>'North America'!G613+"n/&gt;!2;y"</f>
        <v>#VALUE!</v>
      </c>
      <c r="GC347" t="e">
        <f>'North America'!H613+"n/&gt;!2;z"</f>
        <v>#VALUE!</v>
      </c>
      <c r="GD347" t="e">
        <f>'North America'!I613+"n/&gt;!2;{"</f>
        <v>#VALUE!</v>
      </c>
      <c r="GE347" t="e">
        <f>'North America'!A614+"n/&gt;!2;|"</f>
        <v>#VALUE!</v>
      </c>
      <c r="GF347" t="e">
        <f>'North America'!B614+"n/&gt;!2;}"</f>
        <v>#VALUE!</v>
      </c>
      <c r="GG347" t="e">
        <f>'North America'!C614+"n/&gt;!2;~"</f>
        <v>#VALUE!</v>
      </c>
      <c r="GH347" t="e">
        <f>'North America'!D614+"n/&gt;!2&lt;#"</f>
        <v>#VALUE!</v>
      </c>
      <c r="GI347" t="e">
        <f>'North America'!E614+"n/&gt;!2&lt;$"</f>
        <v>#VALUE!</v>
      </c>
      <c r="GJ347" t="e">
        <f>'North America'!F614+"n/&gt;!2&lt;%"</f>
        <v>#VALUE!</v>
      </c>
      <c r="GK347" t="e">
        <f>'North America'!G614+"n/&gt;!2&lt;&amp;"</f>
        <v>#VALUE!</v>
      </c>
      <c r="GL347" t="e">
        <f>'North America'!H614+"n/&gt;!2&lt;'"</f>
        <v>#VALUE!</v>
      </c>
      <c r="GM347" t="e">
        <f>'North America'!I614+"n/&gt;!2&lt;("</f>
        <v>#VALUE!</v>
      </c>
      <c r="GN347" t="e">
        <f>'North America'!A615+"n/&gt;!2&lt;)"</f>
        <v>#VALUE!</v>
      </c>
      <c r="GO347" t="e">
        <f>'North America'!B615+"n/&gt;!2&lt;."</f>
        <v>#VALUE!</v>
      </c>
      <c r="GP347" t="e">
        <f>'North America'!C615+"n/&gt;!2&lt;/"</f>
        <v>#VALUE!</v>
      </c>
      <c r="GQ347" t="e">
        <f>'North America'!D615+"n/&gt;!2&lt;0"</f>
        <v>#VALUE!</v>
      </c>
      <c r="GR347" t="e">
        <f>'North America'!E615+"n/&gt;!2&lt;1"</f>
        <v>#VALUE!</v>
      </c>
      <c r="GS347" t="e">
        <f>'North America'!F615+"n/&gt;!2&lt;2"</f>
        <v>#VALUE!</v>
      </c>
      <c r="GT347" t="e">
        <f>'North America'!G615+"n/&gt;!2&lt;3"</f>
        <v>#VALUE!</v>
      </c>
      <c r="GU347" t="e">
        <f>'North America'!H615+"n/&gt;!2&lt;4"</f>
        <v>#VALUE!</v>
      </c>
      <c r="GV347" t="e">
        <f>'North America'!I615+"n/&gt;!2&lt;5"</f>
        <v>#VALUE!</v>
      </c>
      <c r="GW347" t="e">
        <f>'North America'!A616+"n/&gt;!2&lt;6"</f>
        <v>#VALUE!</v>
      </c>
      <c r="GX347" t="e">
        <f>'North America'!B616+"n/&gt;!2&lt;7"</f>
        <v>#VALUE!</v>
      </c>
      <c r="GY347" t="e">
        <f>'North America'!C616+"n/&gt;!2&lt;8"</f>
        <v>#VALUE!</v>
      </c>
      <c r="GZ347" t="e">
        <f>'North America'!D616+"n/&gt;!2&lt;9"</f>
        <v>#VALUE!</v>
      </c>
      <c r="HA347" t="e">
        <f>'North America'!E616+"n/&gt;!2&lt;:"</f>
        <v>#VALUE!</v>
      </c>
      <c r="HB347" t="e">
        <f>'North America'!F616+"n/&gt;!2&lt;;"</f>
        <v>#VALUE!</v>
      </c>
      <c r="HC347" t="e">
        <f>'North America'!G616+"n/&gt;!2&lt;&lt;"</f>
        <v>#VALUE!</v>
      </c>
      <c r="HD347" t="e">
        <f>'North America'!H616+"n/&gt;!2&lt;="</f>
        <v>#VALUE!</v>
      </c>
      <c r="HE347" t="e">
        <f>'North America'!I616+"n/&gt;!2&lt;&gt;"</f>
        <v>#VALUE!</v>
      </c>
      <c r="HF347" t="e">
        <f>'North America'!A617+"n/&gt;!2&lt;?"</f>
        <v>#VALUE!</v>
      </c>
      <c r="HG347" t="e">
        <f>'North America'!B617+"n/&gt;!2&lt;@"</f>
        <v>#VALUE!</v>
      </c>
      <c r="HH347" t="e">
        <f>'North America'!C617+"n/&gt;!2&lt;A"</f>
        <v>#VALUE!</v>
      </c>
      <c r="HI347" t="e">
        <f>'North America'!D617+"n/&gt;!2&lt;B"</f>
        <v>#VALUE!</v>
      </c>
      <c r="HJ347" t="e">
        <f>'North America'!E617+"n/&gt;!2&lt;C"</f>
        <v>#VALUE!</v>
      </c>
      <c r="HK347" t="e">
        <f>'North America'!F617+"n/&gt;!2&lt;D"</f>
        <v>#VALUE!</v>
      </c>
      <c r="HL347" t="e">
        <f>'North America'!G617+"n/&gt;!2&lt;E"</f>
        <v>#VALUE!</v>
      </c>
      <c r="HM347" t="e">
        <f>'North America'!H617+"n/&gt;!2&lt;F"</f>
        <v>#VALUE!</v>
      </c>
      <c r="HN347" t="e">
        <f>'North America'!I617+"n/&gt;!2&lt;G"</f>
        <v>#VALUE!</v>
      </c>
      <c r="HO347" t="e">
        <f>'North America'!A618+"n/&gt;!2&lt;H"</f>
        <v>#VALUE!</v>
      </c>
      <c r="HP347" t="e">
        <f>'North America'!B618+"n/&gt;!2&lt;I"</f>
        <v>#VALUE!</v>
      </c>
      <c r="HQ347" t="e">
        <f>'North America'!C618+"n/&gt;!2&lt;J"</f>
        <v>#VALUE!</v>
      </c>
      <c r="HR347" t="e">
        <f>'North America'!D618+"n/&gt;!2&lt;K"</f>
        <v>#VALUE!</v>
      </c>
      <c r="HS347" t="e">
        <f>'North America'!E618+"n/&gt;!2&lt;L"</f>
        <v>#VALUE!</v>
      </c>
      <c r="HT347" t="e">
        <f>'North America'!F618+"n/&gt;!2&lt;M"</f>
        <v>#VALUE!</v>
      </c>
      <c r="HU347" t="e">
        <f>'North America'!G618+"n/&gt;!2&lt;N"</f>
        <v>#VALUE!</v>
      </c>
      <c r="HV347" t="e">
        <f>'North America'!H618+"n/&gt;!2&lt;O"</f>
        <v>#VALUE!</v>
      </c>
      <c r="HW347" t="e">
        <f>'North America'!I618+"n/&gt;!2&lt;P"</f>
        <v>#VALUE!</v>
      </c>
      <c r="HX347" t="e">
        <f>'North America'!A619+"n/&gt;!2&lt;Q"</f>
        <v>#VALUE!</v>
      </c>
      <c r="HY347" t="e">
        <f>'North America'!B619+"n/&gt;!2&lt;R"</f>
        <v>#VALUE!</v>
      </c>
      <c r="HZ347" t="e">
        <f>'North America'!C619+"n/&gt;!2&lt;S"</f>
        <v>#VALUE!</v>
      </c>
      <c r="IA347" t="e">
        <f>'North America'!D619+"n/&gt;!2&lt;T"</f>
        <v>#VALUE!</v>
      </c>
      <c r="IB347" t="e">
        <f>'North America'!E619+"n/&gt;!2&lt;U"</f>
        <v>#VALUE!</v>
      </c>
      <c r="IC347" t="e">
        <f>'North America'!F619+"n/&gt;!2&lt;V"</f>
        <v>#VALUE!</v>
      </c>
      <c r="ID347" t="e">
        <f>'North America'!G619+"n/&gt;!2&lt;W"</f>
        <v>#VALUE!</v>
      </c>
      <c r="IE347" t="e">
        <f>'North America'!H619+"n/&gt;!2&lt;X"</f>
        <v>#VALUE!</v>
      </c>
      <c r="IF347" t="e">
        <f>'North America'!I619+"n/&gt;!2&lt;Y"</f>
        <v>#VALUE!</v>
      </c>
      <c r="IG347" t="e">
        <f>'North America'!A620+"n/&gt;!2&lt;Z"</f>
        <v>#VALUE!</v>
      </c>
      <c r="IH347" t="e">
        <f>'North America'!B620+"n/&gt;!2&lt;["</f>
        <v>#VALUE!</v>
      </c>
      <c r="II347" t="e">
        <f>'North America'!C620+"n/&gt;!2&lt;\"</f>
        <v>#VALUE!</v>
      </c>
      <c r="IJ347" t="e">
        <f>'North America'!D620+"n/&gt;!2&lt;]"</f>
        <v>#VALUE!</v>
      </c>
      <c r="IK347" t="e">
        <f>'North America'!E620+"n/&gt;!2&lt;^"</f>
        <v>#VALUE!</v>
      </c>
      <c r="IL347" t="e">
        <f>'North America'!F620+"n/&gt;!2&lt;_"</f>
        <v>#VALUE!</v>
      </c>
      <c r="IM347" t="e">
        <f>'North America'!G620+"n/&gt;!2&lt;`"</f>
        <v>#VALUE!</v>
      </c>
      <c r="IN347" t="e">
        <f>'North America'!H620+"n/&gt;!2&lt;a"</f>
        <v>#VALUE!</v>
      </c>
      <c r="IO347" t="e">
        <f>'North America'!I620+"n/&gt;!2&lt;b"</f>
        <v>#VALUE!</v>
      </c>
      <c r="IP347" t="e">
        <f>'North America'!A621+"n/&gt;!2&lt;c"</f>
        <v>#VALUE!</v>
      </c>
      <c r="IQ347" t="e">
        <f>'North America'!B621+"n/&gt;!2&lt;d"</f>
        <v>#VALUE!</v>
      </c>
      <c r="IR347" t="e">
        <f>'North America'!C621+"n/&gt;!2&lt;e"</f>
        <v>#VALUE!</v>
      </c>
      <c r="IS347" t="e">
        <f>'North America'!D621+"n/&gt;!2&lt;f"</f>
        <v>#VALUE!</v>
      </c>
      <c r="IT347" t="e">
        <f>'North America'!E621+"n/&gt;!2&lt;g"</f>
        <v>#VALUE!</v>
      </c>
      <c r="IU347" t="e">
        <f>'North America'!F621+"n/&gt;!2&lt;h"</f>
        <v>#VALUE!</v>
      </c>
      <c r="IV347" t="e">
        <f>'North America'!G621+"n/&gt;!2&lt;i"</f>
        <v>#VALUE!</v>
      </c>
    </row>
    <row r="348" spans="6:256" x14ac:dyDescent="0.35">
      <c r="F348" t="e">
        <f>'North America'!H621+"n/&gt;!2&lt;j"</f>
        <v>#VALUE!</v>
      </c>
      <c r="G348" t="e">
        <f>'North America'!I621+"n/&gt;!2&lt;k"</f>
        <v>#VALUE!</v>
      </c>
      <c r="H348" t="e">
        <f>'North America'!A622+"n/&gt;!2&lt;l"</f>
        <v>#VALUE!</v>
      </c>
      <c r="I348" t="e">
        <f>'North America'!B622+"n/&gt;!2&lt;m"</f>
        <v>#VALUE!</v>
      </c>
      <c r="J348" t="e">
        <f>'North America'!C622+"n/&gt;!2&lt;n"</f>
        <v>#VALUE!</v>
      </c>
      <c r="K348" t="e">
        <f>'North America'!D622+"n/&gt;!2&lt;o"</f>
        <v>#VALUE!</v>
      </c>
      <c r="L348" t="e">
        <f>'North America'!E622+"n/&gt;!2&lt;p"</f>
        <v>#VALUE!</v>
      </c>
      <c r="M348" t="e">
        <f>'North America'!F622+"n/&gt;!2&lt;q"</f>
        <v>#VALUE!</v>
      </c>
      <c r="N348" t="e">
        <f>'North America'!G622+"n/&gt;!2&lt;r"</f>
        <v>#VALUE!</v>
      </c>
      <c r="O348" t="e">
        <f>'North America'!H622+"n/&gt;!2&lt;s"</f>
        <v>#VALUE!</v>
      </c>
      <c r="P348" t="e">
        <f>'North America'!I622+"n/&gt;!2&lt;t"</f>
        <v>#VALUE!</v>
      </c>
      <c r="Q348" t="e">
        <f>'North America'!A623+"n/&gt;!2&lt;u"</f>
        <v>#VALUE!</v>
      </c>
      <c r="R348" t="e">
        <f>'North America'!B623+"n/&gt;!2&lt;v"</f>
        <v>#VALUE!</v>
      </c>
      <c r="S348" t="e">
        <f>'North America'!C623+"n/&gt;!2&lt;w"</f>
        <v>#VALUE!</v>
      </c>
      <c r="T348" t="e">
        <f>'North America'!D623+"n/&gt;!2&lt;x"</f>
        <v>#VALUE!</v>
      </c>
      <c r="U348" t="e">
        <f>'North America'!E623+"n/&gt;!2&lt;y"</f>
        <v>#VALUE!</v>
      </c>
      <c r="V348" t="e">
        <f>'North America'!F623+"n/&gt;!2&lt;z"</f>
        <v>#VALUE!</v>
      </c>
      <c r="W348" t="e">
        <f>'North America'!G623+"n/&gt;!2&lt;{"</f>
        <v>#VALUE!</v>
      </c>
      <c r="X348" t="e">
        <f>'North America'!H623+"n/&gt;!2&lt;|"</f>
        <v>#VALUE!</v>
      </c>
      <c r="Y348" t="e">
        <f>'North America'!I623+"n/&gt;!2&lt;}"</f>
        <v>#VALUE!</v>
      </c>
      <c r="Z348" t="e">
        <f>'North America'!A624+"n/&gt;!2&lt;~"</f>
        <v>#VALUE!</v>
      </c>
      <c r="AA348" t="e">
        <f>'North America'!B624+"n/&gt;!2=#"</f>
        <v>#VALUE!</v>
      </c>
      <c r="AB348" t="e">
        <f>'North America'!C624+"n/&gt;!2=$"</f>
        <v>#VALUE!</v>
      </c>
      <c r="AC348" t="e">
        <f>'North America'!D624+"n/&gt;!2=%"</f>
        <v>#VALUE!</v>
      </c>
      <c r="AD348" t="e">
        <f>'North America'!E624+"n/&gt;!2=&amp;"</f>
        <v>#VALUE!</v>
      </c>
      <c r="AE348" t="e">
        <f>'North America'!F624+"n/&gt;!2='"</f>
        <v>#VALUE!</v>
      </c>
      <c r="AF348" t="e">
        <f>'North America'!G624+"n/&gt;!2=("</f>
        <v>#VALUE!</v>
      </c>
      <c r="AG348" t="e">
        <f>'North America'!H624+"n/&gt;!2=)"</f>
        <v>#VALUE!</v>
      </c>
      <c r="AH348" t="e">
        <f>'North America'!I624+"n/&gt;!2=."</f>
        <v>#VALUE!</v>
      </c>
      <c r="AI348" t="e">
        <f>'North America'!A625+"n/&gt;!2=/"</f>
        <v>#VALUE!</v>
      </c>
      <c r="AJ348" t="e">
        <f>'North America'!B625+"n/&gt;!2=0"</f>
        <v>#VALUE!</v>
      </c>
      <c r="AK348" t="e">
        <f>'North America'!C625+"n/&gt;!2=1"</f>
        <v>#VALUE!</v>
      </c>
      <c r="AL348" t="e">
        <f>'North America'!D625+"n/&gt;!2=2"</f>
        <v>#VALUE!</v>
      </c>
      <c r="AM348" t="e">
        <f>'North America'!E625+"n/&gt;!2=3"</f>
        <v>#VALUE!</v>
      </c>
      <c r="AN348" t="e">
        <f>'North America'!F625+"n/&gt;!2=4"</f>
        <v>#VALUE!</v>
      </c>
      <c r="AO348" t="e">
        <f>'North America'!G625+"n/&gt;!2=5"</f>
        <v>#VALUE!</v>
      </c>
      <c r="AP348" t="e">
        <f>'North America'!H625+"n/&gt;!2=6"</f>
        <v>#VALUE!</v>
      </c>
      <c r="AQ348" t="e">
        <f>'North America'!I625+"n/&gt;!2=7"</f>
        <v>#VALUE!</v>
      </c>
      <c r="AR348" t="e">
        <f>'North America'!A626+"n/&gt;!2=8"</f>
        <v>#VALUE!</v>
      </c>
      <c r="AS348" t="e">
        <f>'North America'!B626+"n/&gt;!2=9"</f>
        <v>#VALUE!</v>
      </c>
      <c r="AT348" t="e">
        <f>'North America'!C626+"n/&gt;!2=:"</f>
        <v>#VALUE!</v>
      </c>
      <c r="AU348" t="e">
        <f>'North America'!D626+"n/&gt;!2=;"</f>
        <v>#VALUE!</v>
      </c>
      <c r="AV348" t="e">
        <f>'North America'!E626+"n/&gt;!2=&lt;"</f>
        <v>#VALUE!</v>
      </c>
      <c r="AW348" t="e">
        <f>'North America'!F626+"n/&gt;!2=="</f>
        <v>#VALUE!</v>
      </c>
      <c r="AX348" t="e">
        <f>'North America'!G626+"n/&gt;!2=&gt;"</f>
        <v>#VALUE!</v>
      </c>
      <c r="AY348" t="e">
        <f>'North America'!H626+"n/&gt;!2=?"</f>
        <v>#VALUE!</v>
      </c>
      <c r="AZ348" t="e">
        <f>'North America'!I626+"n/&gt;!2=@"</f>
        <v>#VALUE!</v>
      </c>
      <c r="BA348" t="e">
        <f>'North America'!A627+"n/&gt;!2=A"</f>
        <v>#VALUE!</v>
      </c>
      <c r="BB348" t="e">
        <f>'North America'!B627+"n/&gt;!2=B"</f>
        <v>#VALUE!</v>
      </c>
      <c r="BC348" t="e">
        <f>'North America'!C627+"n/&gt;!2=C"</f>
        <v>#VALUE!</v>
      </c>
      <c r="BD348" t="e">
        <f>'North America'!D627+"n/&gt;!2=D"</f>
        <v>#VALUE!</v>
      </c>
      <c r="BE348" t="e">
        <f>'North America'!E627+"n/&gt;!2=E"</f>
        <v>#VALUE!</v>
      </c>
      <c r="BF348" t="e">
        <f>'North America'!F627+"n/&gt;!2=F"</f>
        <v>#VALUE!</v>
      </c>
      <c r="BG348" t="e">
        <f>'North America'!G627+"n/&gt;!2=G"</f>
        <v>#VALUE!</v>
      </c>
      <c r="BH348" t="e">
        <f>'North America'!H627+"n/&gt;!2=H"</f>
        <v>#VALUE!</v>
      </c>
      <c r="BI348" t="e">
        <f>'North America'!I627+"n/&gt;!2=I"</f>
        <v>#VALUE!</v>
      </c>
      <c r="BJ348" t="e">
        <f>'North America'!A628+"n/&gt;!2=J"</f>
        <v>#VALUE!</v>
      </c>
      <c r="BK348" t="e">
        <f>'North America'!B628+"n/&gt;!2=K"</f>
        <v>#VALUE!</v>
      </c>
      <c r="BL348" t="e">
        <f>'North America'!C628+"n/&gt;!2=L"</f>
        <v>#VALUE!</v>
      </c>
      <c r="BM348" t="e">
        <f>'North America'!D628+"n/&gt;!2=M"</f>
        <v>#VALUE!</v>
      </c>
      <c r="BN348" t="e">
        <f>'North America'!E628+"n/&gt;!2=N"</f>
        <v>#VALUE!</v>
      </c>
      <c r="BO348" t="e">
        <f>'North America'!F628+"n/&gt;!2=O"</f>
        <v>#VALUE!</v>
      </c>
      <c r="BP348" t="e">
        <f>'North America'!G628+"n/&gt;!2=P"</f>
        <v>#VALUE!</v>
      </c>
      <c r="BQ348" t="e">
        <f>'North America'!H628+"n/&gt;!2=Q"</f>
        <v>#VALUE!</v>
      </c>
      <c r="BR348" t="e">
        <f>'North America'!I628+"n/&gt;!2=R"</f>
        <v>#VALUE!</v>
      </c>
      <c r="BS348" t="e">
        <f>'North America'!A629+"n/&gt;!2=S"</f>
        <v>#VALUE!</v>
      </c>
      <c r="BT348" t="e">
        <f>'North America'!B629+"n/&gt;!2=T"</f>
        <v>#VALUE!</v>
      </c>
      <c r="BU348" t="e">
        <f>'North America'!C629+"n/&gt;!2=U"</f>
        <v>#VALUE!</v>
      </c>
      <c r="BV348" t="e">
        <f>'North America'!D629+"n/&gt;!2=V"</f>
        <v>#VALUE!</v>
      </c>
      <c r="BW348" t="e">
        <f>'North America'!E629+"n/&gt;!2=W"</f>
        <v>#VALUE!</v>
      </c>
      <c r="BX348" t="e">
        <f>'North America'!F629+"n/&gt;!2=X"</f>
        <v>#VALUE!</v>
      </c>
      <c r="BY348" t="e">
        <f>'North America'!G629+"n/&gt;!2=Y"</f>
        <v>#VALUE!</v>
      </c>
      <c r="BZ348" t="e">
        <f>'North America'!H629+"n/&gt;!2=Z"</f>
        <v>#VALUE!</v>
      </c>
      <c r="CA348" t="e">
        <f>'North America'!I629+"n/&gt;!2=["</f>
        <v>#VALUE!</v>
      </c>
      <c r="CB348" t="e">
        <f>'North America'!A630+"n/&gt;!2=\"</f>
        <v>#VALUE!</v>
      </c>
      <c r="CC348" t="e">
        <f>'North America'!B630+"n/&gt;!2=]"</f>
        <v>#VALUE!</v>
      </c>
      <c r="CD348" t="e">
        <f>'North America'!C630+"n/&gt;!2=^"</f>
        <v>#VALUE!</v>
      </c>
      <c r="CE348" t="e">
        <f>'North America'!D630+"n/&gt;!2=_"</f>
        <v>#VALUE!</v>
      </c>
      <c r="CF348" t="e">
        <f>'North America'!E630+"n/&gt;!2=`"</f>
        <v>#VALUE!</v>
      </c>
      <c r="CG348" t="e">
        <f>'North America'!F630+"n/&gt;!2=a"</f>
        <v>#VALUE!</v>
      </c>
      <c r="CH348" t="e">
        <f>'North America'!G630+"n/&gt;!2=b"</f>
        <v>#VALUE!</v>
      </c>
      <c r="CI348" t="e">
        <f>'North America'!H630+"n/&gt;!2=c"</f>
        <v>#VALUE!</v>
      </c>
      <c r="CJ348" t="e">
        <f>'North America'!I630+"n/&gt;!2=d"</f>
        <v>#VALUE!</v>
      </c>
      <c r="CK348" t="e">
        <f>'North America'!A631+"n/&gt;!2=e"</f>
        <v>#VALUE!</v>
      </c>
      <c r="CL348" t="e">
        <f>'North America'!B631+"n/&gt;!2=f"</f>
        <v>#VALUE!</v>
      </c>
      <c r="CM348" t="e">
        <f>'North America'!C631+"n/&gt;!2=g"</f>
        <v>#VALUE!</v>
      </c>
      <c r="CN348" t="e">
        <f>'North America'!D631+"n/&gt;!2=h"</f>
        <v>#VALUE!</v>
      </c>
      <c r="CO348" t="e">
        <f>'North America'!E631+"n/&gt;!2=i"</f>
        <v>#VALUE!</v>
      </c>
      <c r="CP348" t="e">
        <f>'North America'!F631+"n/&gt;!2=j"</f>
        <v>#VALUE!</v>
      </c>
      <c r="CQ348" t="e">
        <f>'North America'!G631+"n/&gt;!2=k"</f>
        <v>#VALUE!</v>
      </c>
      <c r="CR348" t="e">
        <f>'North America'!H631+"n/&gt;!2=l"</f>
        <v>#VALUE!</v>
      </c>
      <c r="CS348" t="e">
        <f>'North America'!I631+"n/&gt;!2=m"</f>
        <v>#VALUE!</v>
      </c>
      <c r="CT348" t="e">
        <f>'North America'!A632+"n/&gt;!2=n"</f>
        <v>#VALUE!</v>
      </c>
      <c r="CU348" t="e">
        <f>'North America'!B632+"n/&gt;!2=o"</f>
        <v>#VALUE!</v>
      </c>
      <c r="CV348" t="e">
        <f>'North America'!C632+"n/&gt;!2=p"</f>
        <v>#VALUE!</v>
      </c>
      <c r="CW348" t="e">
        <f>'North America'!D632+"n/&gt;!2=q"</f>
        <v>#VALUE!</v>
      </c>
      <c r="CX348" t="e">
        <f>'North America'!E632+"n/&gt;!2=r"</f>
        <v>#VALUE!</v>
      </c>
      <c r="CY348" t="e">
        <f>'North America'!F632+"n/&gt;!2=s"</f>
        <v>#VALUE!</v>
      </c>
      <c r="CZ348" t="e">
        <f>'North America'!G632+"n/&gt;!2=t"</f>
        <v>#VALUE!</v>
      </c>
      <c r="DA348" t="e">
        <f>'North America'!H632+"n/&gt;!2=u"</f>
        <v>#VALUE!</v>
      </c>
      <c r="DB348" t="e">
        <f>'North America'!I632+"n/&gt;!2=v"</f>
        <v>#VALUE!</v>
      </c>
      <c r="DC348" t="e">
        <f>'North America'!A633+"n/&gt;!2=w"</f>
        <v>#VALUE!</v>
      </c>
      <c r="DD348" t="e">
        <f>'North America'!B633+"n/&gt;!2=x"</f>
        <v>#VALUE!</v>
      </c>
      <c r="DE348" t="e">
        <f>'North America'!C633+"n/&gt;!2=y"</f>
        <v>#VALUE!</v>
      </c>
      <c r="DF348" t="e">
        <f>'North America'!D633+"n/&gt;!2=z"</f>
        <v>#VALUE!</v>
      </c>
      <c r="DG348" t="e">
        <f>'North America'!E633+"n/&gt;!2={"</f>
        <v>#VALUE!</v>
      </c>
      <c r="DH348" t="e">
        <f>'North America'!F633+"n/&gt;!2=|"</f>
        <v>#VALUE!</v>
      </c>
      <c r="DI348" t="e">
        <f>'North America'!G633+"n/&gt;!2=}"</f>
        <v>#VALUE!</v>
      </c>
      <c r="DJ348" t="e">
        <f>'North America'!H633+"n/&gt;!2=~"</f>
        <v>#VALUE!</v>
      </c>
      <c r="DK348" t="e">
        <f>'North America'!I633+"n/&gt;!2&gt;#"</f>
        <v>#VALUE!</v>
      </c>
      <c r="DL348" t="e">
        <f>'North America'!A634+"n/&gt;!2&gt;$"</f>
        <v>#VALUE!</v>
      </c>
      <c r="DM348" t="e">
        <f>'North America'!B634+"n/&gt;!2&gt;%"</f>
        <v>#VALUE!</v>
      </c>
      <c r="DN348" t="e">
        <f>'North America'!C634+"n/&gt;!2&gt;&amp;"</f>
        <v>#VALUE!</v>
      </c>
      <c r="DO348" t="e">
        <f>'North America'!D634+"n/&gt;!2&gt;'"</f>
        <v>#VALUE!</v>
      </c>
      <c r="DP348" t="e">
        <f>'North America'!E634+"n/&gt;!2&gt;("</f>
        <v>#VALUE!</v>
      </c>
      <c r="DQ348" t="e">
        <f>'North America'!F634+"n/&gt;!2&gt;)"</f>
        <v>#VALUE!</v>
      </c>
      <c r="DR348" t="e">
        <f>'North America'!G634+"n/&gt;!2&gt;."</f>
        <v>#VALUE!</v>
      </c>
      <c r="DS348" t="e">
        <f>'North America'!H634+"n/&gt;!2&gt;/"</f>
        <v>#VALUE!</v>
      </c>
      <c r="DT348" t="e">
        <f>'North America'!I634+"n/&gt;!2&gt;0"</f>
        <v>#VALUE!</v>
      </c>
      <c r="DU348" t="e">
        <f>'North America'!A635+"n/&gt;!2&gt;1"</f>
        <v>#VALUE!</v>
      </c>
      <c r="DV348" t="e">
        <f>'North America'!B635+"n/&gt;!2&gt;2"</f>
        <v>#VALUE!</v>
      </c>
      <c r="DW348" t="e">
        <f>'North America'!C635+"n/&gt;!2&gt;3"</f>
        <v>#VALUE!</v>
      </c>
      <c r="DX348" t="e">
        <f>'North America'!D635+"n/&gt;!2&gt;4"</f>
        <v>#VALUE!</v>
      </c>
      <c r="DY348" t="e">
        <f>'North America'!E635+"n/&gt;!2&gt;5"</f>
        <v>#VALUE!</v>
      </c>
      <c r="DZ348" t="e">
        <f>'North America'!F635+"n/&gt;!2&gt;6"</f>
        <v>#VALUE!</v>
      </c>
      <c r="EA348" t="e">
        <f>'North America'!G635+"n/&gt;!2&gt;7"</f>
        <v>#VALUE!</v>
      </c>
      <c r="EB348" t="e">
        <f>'North America'!H635+"n/&gt;!2&gt;8"</f>
        <v>#VALUE!</v>
      </c>
      <c r="EC348" t="e">
        <f>'North America'!I635+"n/&gt;!2&gt;9"</f>
        <v>#VALUE!</v>
      </c>
      <c r="ED348" t="e">
        <f>'North America'!A636+"n/&gt;!2&gt;:"</f>
        <v>#VALUE!</v>
      </c>
      <c r="EE348" t="e">
        <f>'North America'!B636+"n/&gt;!2&gt;;"</f>
        <v>#VALUE!</v>
      </c>
      <c r="EF348" t="e">
        <f>'North America'!C636+"n/&gt;!2&gt;&lt;"</f>
        <v>#VALUE!</v>
      </c>
      <c r="EG348" t="e">
        <f>'North America'!D636+"n/&gt;!2&gt;="</f>
        <v>#VALUE!</v>
      </c>
      <c r="EH348" t="e">
        <f>'North America'!E636+"n/&gt;!2&gt;&gt;"</f>
        <v>#VALUE!</v>
      </c>
      <c r="EI348" t="e">
        <f>'North America'!F636+"n/&gt;!2&gt;?"</f>
        <v>#VALUE!</v>
      </c>
      <c r="EJ348" t="e">
        <f>'North America'!G636+"n/&gt;!2&gt;@"</f>
        <v>#VALUE!</v>
      </c>
      <c r="EK348" t="e">
        <f>'North America'!H636+"n/&gt;!2&gt;A"</f>
        <v>#VALUE!</v>
      </c>
      <c r="EL348" t="e">
        <f>'North America'!I636+"n/&gt;!2&gt;B"</f>
        <v>#VALUE!</v>
      </c>
      <c r="EM348" t="e">
        <f>'North America'!A637+"n/&gt;!2&gt;C"</f>
        <v>#VALUE!</v>
      </c>
      <c r="EN348" t="e">
        <f>'North America'!B637+"n/&gt;!2&gt;D"</f>
        <v>#VALUE!</v>
      </c>
      <c r="EO348" t="e">
        <f>'North America'!C637+"n/&gt;!2&gt;E"</f>
        <v>#VALUE!</v>
      </c>
      <c r="EP348" t="e">
        <f>'North America'!D637+"n/&gt;!2&gt;F"</f>
        <v>#VALUE!</v>
      </c>
      <c r="EQ348" t="e">
        <f>'North America'!E637+"n/&gt;!2&gt;G"</f>
        <v>#VALUE!</v>
      </c>
      <c r="ER348" t="e">
        <f>'North America'!F637+"n/&gt;!2&gt;H"</f>
        <v>#VALUE!</v>
      </c>
      <c r="ES348" t="e">
        <f>'North America'!G637+"n/&gt;!2&gt;I"</f>
        <v>#VALUE!</v>
      </c>
      <c r="ET348" t="e">
        <f>'North America'!H637+"n/&gt;!2&gt;J"</f>
        <v>#VALUE!</v>
      </c>
      <c r="EU348" t="e">
        <f>'North America'!I637+"n/&gt;!2&gt;K"</f>
        <v>#VALUE!</v>
      </c>
      <c r="EV348" t="e">
        <f>'North America'!A638+"n/&gt;!2&gt;L"</f>
        <v>#VALUE!</v>
      </c>
      <c r="EW348" t="e">
        <f>'North America'!B638+"n/&gt;!2&gt;M"</f>
        <v>#VALUE!</v>
      </c>
      <c r="EX348" t="e">
        <f>'North America'!C638+"n/&gt;!2&gt;N"</f>
        <v>#VALUE!</v>
      </c>
      <c r="EY348" t="e">
        <f>'North America'!D638+"n/&gt;!2&gt;O"</f>
        <v>#VALUE!</v>
      </c>
      <c r="EZ348" t="e">
        <f>'North America'!E638+"n/&gt;!2&gt;P"</f>
        <v>#VALUE!</v>
      </c>
      <c r="FA348" t="e">
        <f>'North America'!F638+"n/&gt;!2&gt;Q"</f>
        <v>#VALUE!</v>
      </c>
      <c r="FB348" t="e">
        <f>'North America'!G638+"n/&gt;!2&gt;R"</f>
        <v>#VALUE!</v>
      </c>
      <c r="FC348" t="e">
        <f>'North America'!H638+"n/&gt;!2&gt;S"</f>
        <v>#VALUE!</v>
      </c>
      <c r="FD348" t="e">
        <f>'North America'!I638+"n/&gt;!2&gt;T"</f>
        <v>#VALUE!</v>
      </c>
      <c r="FE348" t="e">
        <f>'North America'!A639+"n/&gt;!2&gt;U"</f>
        <v>#VALUE!</v>
      </c>
      <c r="FF348" t="e">
        <f>'North America'!B639+"n/&gt;!2&gt;V"</f>
        <v>#VALUE!</v>
      </c>
      <c r="FG348" t="e">
        <f>'North America'!C639+"n/&gt;!2&gt;W"</f>
        <v>#VALUE!</v>
      </c>
      <c r="FH348" t="e">
        <f>'North America'!D639+"n/&gt;!2&gt;X"</f>
        <v>#VALUE!</v>
      </c>
      <c r="FI348" t="e">
        <f>'North America'!E639+"n/&gt;!2&gt;Y"</f>
        <v>#VALUE!</v>
      </c>
      <c r="FJ348" t="e">
        <f>'North America'!F639+"n/&gt;!2&gt;Z"</f>
        <v>#VALUE!</v>
      </c>
      <c r="FK348" t="e">
        <f>'North America'!G639+"n/&gt;!2&gt;["</f>
        <v>#VALUE!</v>
      </c>
      <c r="FL348" t="e">
        <f>'North America'!H639+"n/&gt;!2&gt;\"</f>
        <v>#VALUE!</v>
      </c>
      <c r="FM348" t="e">
        <f>'North America'!I639+"n/&gt;!2&gt;]"</f>
        <v>#VALUE!</v>
      </c>
      <c r="FN348" t="e">
        <f>'North America'!A640+"n/&gt;!2&gt;^"</f>
        <v>#VALUE!</v>
      </c>
      <c r="FO348" t="e">
        <f>'North America'!B640+"n/&gt;!2&gt;_"</f>
        <v>#VALUE!</v>
      </c>
      <c r="FP348" t="e">
        <f>'North America'!C640+"n/&gt;!2&gt;`"</f>
        <v>#VALUE!</v>
      </c>
      <c r="FQ348" t="e">
        <f>'North America'!D640+"n/&gt;!2&gt;a"</f>
        <v>#VALUE!</v>
      </c>
      <c r="FR348" t="e">
        <f>'North America'!E640+"n/&gt;!2&gt;b"</f>
        <v>#VALUE!</v>
      </c>
      <c r="FS348" t="e">
        <f>'North America'!F640+"n/&gt;!2&gt;c"</f>
        <v>#VALUE!</v>
      </c>
      <c r="FT348" t="e">
        <f>'North America'!G640+"n/&gt;!2&gt;d"</f>
        <v>#VALUE!</v>
      </c>
      <c r="FU348" t="e">
        <f>'North America'!H640+"n/&gt;!2&gt;e"</f>
        <v>#VALUE!</v>
      </c>
      <c r="FV348" t="e">
        <f>'North America'!I640+"n/&gt;!2&gt;f"</f>
        <v>#VALUE!</v>
      </c>
      <c r="FW348" t="e">
        <f>'North America'!A641+"n/&gt;!2&gt;g"</f>
        <v>#VALUE!</v>
      </c>
      <c r="FX348" t="e">
        <f>'North America'!B641+"n/&gt;!2&gt;h"</f>
        <v>#VALUE!</v>
      </c>
      <c r="FY348" t="e">
        <f>'North America'!C641+"n/&gt;!2&gt;i"</f>
        <v>#VALUE!</v>
      </c>
      <c r="FZ348" t="e">
        <f>'North America'!D641+"n/&gt;!2&gt;j"</f>
        <v>#VALUE!</v>
      </c>
      <c r="GA348" t="e">
        <f>'North America'!E641+"n/&gt;!2&gt;k"</f>
        <v>#VALUE!</v>
      </c>
      <c r="GB348" t="e">
        <f>'North America'!F641+"n/&gt;!2&gt;l"</f>
        <v>#VALUE!</v>
      </c>
      <c r="GC348" t="e">
        <f>'North America'!G641+"n/&gt;!2&gt;m"</f>
        <v>#VALUE!</v>
      </c>
      <c r="GD348" t="e">
        <f>'North America'!H641+"n/&gt;!2&gt;n"</f>
        <v>#VALUE!</v>
      </c>
      <c r="GE348" t="e">
        <f>'North America'!I641+"n/&gt;!2&gt;o"</f>
        <v>#VALUE!</v>
      </c>
      <c r="GF348" t="e">
        <f>'North America'!A642+"n/&gt;!2&gt;p"</f>
        <v>#VALUE!</v>
      </c>
      <c r="GG348" t="e">
        <f>'North America'!B642+"n/&gt;!2&gt;q"</f>
        <v>#VALUE!</v>
      </c>
      <c r="GH348" t="e">
        <f>'North America'!C642+"n/&gt;!2&gt;r"</f>
        <v>#VALUE!</v>
      </c>
      <c r="GI348" t="e">
        <f>'North America'!D642+"n/&gt;!2&gt;s"</f>
        <v>#VALUE!</v>
      </c>
      <c r="GJ348" t="e">
        <f>'North America'!E642+"n/&gt;!2&gt;t"</f>
        <v>#VALUE!</v>
      </c>
      <c r="GK348" t="e">
        <f>'North America'!F642+"n/&gt;!2&gt;u"</f>
        <v>#VALUE!</v>
      </c>
      <c r="GL348" t="e">
        <f>'North America'!G642+"n/&gt;!2&gt;v"</f>
        <v>#VALUE!</v>
      </c>
      <c r="GM348" t="e">
        <f>'North America'!H642+"n/&gt;!2&gt;w"</f>
        <v>#VALUE!</v>
      </c>
      <c r="GN348" t="e">
        <f>'North America'!I642+"n/&gt;!2&gt;x"</f>
        <v>#VALUE!</v>
      </c>
      <c r="GO348" t="e">
        <f>'North America'!A643+"n/&gt;!2&gt;y"</f>
        <v>#VALUE!</v>
      </c>
      <c r="GP348" t="e">
        <f>'North America'!B643+"n/&gt;!2&gt;z"</f>
        <v>#VALUE!</v>
      </c>
      <c r="GQ348" t="e">
        <f>'North America'!C643+"n/&gt;!2&gt;{"</f>
        <v>#VALUE!</v>
      </c>
      <c r="GR348" t="e">
        <f>'North America'!D643+"n/&gt;!2&gt;|"</f>
        <v>#VALUE!</v>
      </c>
      <c r="GS348" t="e">
        <f>'North America'!E643+"n/&gt;!2&gt;}"</f>
        <v>#VALUE!</v>
      </c>
      <c r="GT348" t="e">
        <f>'North America'!F643+"n/&gt;!2&gt;~"</f>
        <v>#VALUE!</v>
      </c>
      <c r="GU348" t="e">
        <f>'North America'!G643+"n/&gt;!2?#"</f>
        <v>#VALUE!</v>
      </c>
      <c r="GV348" t="e">
        <f>'North America'!H643+"n/&gt;!2?$"</f>
        <v>#VALUE!</v>
      </c>
      <c r="GW348" t="e">
        <f>'North America'!I643+"n/&gt;!2?%"</f>
        <v>#VALUE!</v>
      </c>
      <c r="GX348" t="e">
        <f>'North America'!A644+"n/&gt;!2?&amp;"</f>
        <v>#VALUE!</v>
      </c>
      <c r="GY348" t="e">
        <f>'North America'!B644+"n/&gt;!2?'"</f>
        <v>#VALUE!</v>
      </c>
      <c r="GZ348" t="e">
        <f>'North America'!C644+"n/&gt;!2?("</f>
        <v>#VALUE!</v>
      </c>
      <c r="HA348" t="e">
        <f>'North America'!D644+"n/&gt;!2?)"</f>
        <v>#VALUE!</v>
      </c>
      <c r="HB348" t="e">
        <f>'North America'!E644+"n/&gt;!2?."</f>
        <v>#VALUE!</v>
      </c>
      <c r="HC348" t="e">
        <f>'North America'!F644+"n/&gt;!2?/"</f>
        <v>#VALUE!</v>
      </c>
      <c r="HD348" t="e">
        <f>'North America'!G644+"n/&gt;!2?0"</f>
        <v>#VALUE!</v>
      </c>
      <c r="HE348" t="e">
        <f>'North America'!H644+"n/&gt;!2?1"</f>
        <v>#VALUE!</v>
      </c>
      <c r="HF348" t="e">
        <f>'North America'!I644+"n/&gt;!2?2"</f>
        <v>#VALUE!</v>
      </c>
      <c r="HG348" t="e">
        <f>'North America'!A645+"n/&gt;!2?3"</f>
        <v>#VALUE!</v>
      </c>
      <c r="HH348" t="e">
        <f>'North America'!B645+"n/&gt;!2?4"</f>
        <v>#VALUE!</v>
      </c>
      <c r="HI348" t="e">
        <f>'North America'!C645+"n/&gt;!2?5"</f>
        <v>#VALUE!</v>
      </c>
      <c r="HJ348" t="e">
        <f>'North America'!D645+"n/&gt;!2?6"</f>
        <v>#VALUE!</v>
      </c>
      <c r="HK348" t="e">
        <f>'North America'!E645+"n/&gt;!2?7"</f>
        <v>#VALUE!</v>
      </c>
      <c r="HL348" t="e">
        <f>'North America'!F645+"n/&gt;!2?8"</f>
        <v>#VALUE!</v>
      </c>
      <c r="HM348" t="e">
        <f>'North America'!G645+"n/&gt;!2?9"</f>
        <v>#VALUE!</v>
      </c>
      <c r="HN348" t="e">
        <f>'North America'!H645+"n/&gt;!2?:"</f>
        <v>#VALUE!</v>
      </c>
      <c r="HO348" t="e">
        <f>'North America'!I645+"n/&gt;!2?;"</f>
        <v>#VALUE!</v>
      </c>
      <c r="HP348" t="e">
        <f>'North America'!A646+"n/&gt;!2?&lt;"</f>
        <v>#VALUE!</v>
      </c>
      <c r="HQ348" t="e">
        <f>'North America'!B646+"n/&gt;!2?="</f>
        <v>#VALUE!</v>
      </c>
      <c r="HR348" t="e">
        <f>'North America'!C646+"n/&gt;!2?&gt;"</f>
        <v>#VALUE!</v>
      </c>
      <c r="HS348" t="e">
        <f>'North America'!D646+"n/&gt;!2??"</f>
        <v>#VALUE!</v>
      </c>
      <c r="HT348" t="e">
        <f>'North America'!E646+"n/&gt;!2?@"</f>
        <v>#VALUE!</v>
      </c>
      <c r="HU348" t="e">
        <f>'North America'!F646+"n/&gt;!2?A"</f>
        <v>#VALUE!</v>
      </c>
      <c r="HV348" t="e">
        <f>'North America'!G646+"n/&gt;!2?B"</f>
        <v>#VALUE!</v>
      </c>
      <c r="HW348" t="e">
        <f>'North America'!H646+"n/&gt;!2?C"</f>
        <v>#VALUE!</v>
      </c>
      <c r="HX348" t="e">
        <f>'North America'!I646+"n/&gt;!2?D"</f>
        <v>#VALUE!</v>
      </c>
      <c r="HY348" t="e">
        <f>'North America'!A647+"n/&gt;!2?E"</f>
        <v>#VALUE!</v>
      </c>
      <c r="HZ348" t="e">
        <f>'North America'!B647+"n/&gt;!2?F"</f>
        <v>#VALUE!</v>
      </c>
      <c r="IA348" t="e">
        <f>'North America'!C647+"n/&gt;!2?G"</f>
        <v>#VALUE!</v>
      </c>
      <c r="IB348" t="e">
        <f>'North America'!D647+"n/&gt;!2?H"</f>
        <v>#VALUE!</v>
      </c>
      <c r="IC348" t="e">
        <f>'North America'!E647+"n/&gt;!2?I"</f>
        <v>#VALUE!</v>
      </c>
      <c r="ID348" t="e">
        <f>'North America'!F647+"n/&gt;!2?J"</f>
        <v>#VALUE!</v>
      </c>
      <c r="IE348" t="e">
        <f>'North America'!G647+"n/&gt;!2?K"</f>
        <v>#VALUE!</v>
      </c>
      <c r="IF348" t="e">
        <f>'North America'!H647+"n/&gt;!2?L"</f>
        <v>#VALUE!</v>
      </c>
      <c r="IG348" t="e">
        <f>'North America'!I647+"n/&gt;!2?M"</f>
        <v>#VALUE!</v>
      </c>
      <c r="IH348" t="e">
        <f>'North America'!A648+"n/&gt;!2?N"</f>
        <v>#VALUE!</v>
      </c>
      <c r="II348" t="e">
        <f>'North America'!B648+"n/&gt;!2?O"</f>
        <v>#VALUE!</v>
      </c>
      <c r="IJ348" t="e">
        <f>'North America'!C648+"n/&gt;!2?P"</f>
        <v>#VALUE!</v>
      </c>
      <c r="IK348" t="e">
        <f>'North America'!D648+"n/&gt;!2?Q"</f>
        <v>#VALUE!</v>
      </c>
      <c r="IL348" t="e">
        <f>'North America'!E648+"n/&gt;!2?R"</f>
        <v>#VALUE!</v>
      </c>
      <c r="IM348" t="e">
        <f>'North America'!F648+"n/&gt;!2?S"</f>
        <v>#VALUE!</v>
      </c>
      <c r="IN348" t="e">
        <f>'North America'!G648+"n/&gt;!2?T"</f>
        <v>#VALUE!</v>
      </c>
      <c r="IO348" t="e">
        <f>'North America'!H648+"n/&gt;!2?U"</f>
        <v>#VALUE!</v>
      </c>
      <c r="IP348" t="e">
        <f>'North America'!I648+"n/&gt;!2?V"</f>
        <v>#VALUE!</v>
      </c>
      <c r="IQ348" t="e">
        <f>'North America'!A649+"n/&gt;!2?W"</f>
        <v>#VALUE!</v>
      </c>
      <c r="IR348" t="e">
        <f>'North America'!B649+"n/&gt;!2?X"</f>
        <v>#VALUE!</v>
      </c>
      <c r="IS348" t="e">
        <f>'North America'!C649+"n/&gt;!2?Y"</f>
        <v>#VALUE!</v>
      </c>
      <c r="IT348" t="e">
        <f>'North America'!D649+"n/&gt;!2?Z"</f>
        <v>#VALUE!</v>
      </c>
      <c r="IU348" t="e">
        <f>'North America'!E649+"n/&gt;!2?["</f>
        <v>#VALUE!</v>
      </c>
      <c r="IV348" t="e">
        <f>'North America'!F649+"n/&gt;!2?\"</f>
        <v>#VALUE!</v>
      </c>
    </row>
    <row r="349" spans="6:256" x14ac:dyDescent="0.35">
      <c r="F349" t="e">
        <f>'North America'!G649+"n/&gt;!2?]"</f>
        <v>#VALUE!</v>
      </c>
      <c r="G349" t="e">
        <f>'North America'!H649+"n/&gt;!2?^"</f>
        <v>#VALUE!</v>
      </c>
      <c r="H349" t="e">
        <f>'North America'!I649+"n/&gt;!2?_"</f>
        <v>#VALUE!</v>
      </c>
      <c r="I349" t="e">
        <f>'North America'!A650+"n/&gt;!2?`"</f>
        <v>#VALUE!</v>
      </c>
      <c r="J349" t="e">
        <f>'North America'!B650+"n/&gt;!2?a"</f>
        <v>#VALUE!</v>
      </c>
      <c r="K349" t="e">
        <f>'North America'!C650+"n/&gt;!2?b"</f>
        <v>#VALUE!</v>
      </c>
      <c r="L349" t="e">
        <f>'North America'!D650+"n/&gt;!2?c"</f>
        <v>#VALUE!</v>
      </c>
      <c r="M349" t="e">
        <f>'North America'!E650+"n/&gt;!2?d"</f>
        <v>#VALUE!</v>
      </c>
      <c r="N349" t="e">
        <f>'North America'!F650+"n/&gt;!2?e"</f>
        <v>#VALUE!</v>
      </c>
      <c r="O349" t="e">
        <f>'North America'!G650+"n/&gt;!2?f"</f>
        <v>#VALUE!</v>
      </c>
      <c r="P349" t="e">
        <f>'North America'!H650+"n/&gt;!2?g"</f>
        <v>#VALUE!</v>
      </c>
      <c r="Q349" t="e">
        <f>'North America'!I650+"n/&gt;!2?h"</f>
        <v>#VALUE!</v>
      </c>
      <c r="R349" t="e">
        <f>'North America'!A651+"n/&gt;!2?i"</f>
        <v>#VALUE!</v>
      </c>
      <c r="S349" t="e">
        <f>'North America'!B651+"n/&gt;!2?j"</f>
        <v>#VALUE!</v>
      </c>
      <c r="T349" t="e">
        <f>'North America'!C651+"n/&gt;!2?k"</f>
        <v>#VALUE!</v>
      </c>
      <c r="U349" t="e">
        <f>'North America'!D651+"n/&gt;!2?l"</f>
        <v>#VALUE!</v>
      </c>
      <c r="V349" t="e">
        <f>'North America'!E651+"n/&gt;!2?m"</f>
        <v>#VALUE!</v>
      </c>
      <c r="W349" t="e">
        <f>'North America'!F651+"n/&gt;!2?n"</f>
        <v>#VALUE!</v>
      </c>
      <c r="X349" t="e">
        <f>'North America'!G651+"n/&gt;!2?o"</f>
        <v>#VALUE!</v>
      </c>
      <c r="Y349" t="e">
        <f>'North America'!H651+"n/&gt;!2?p"</f>
        <v>#VALUE!</v>
      </c>
      <c r="Z349" t="e">
        <f>'North America'!I651+"n/&gt;!2?q"</f>
        <v>#VALUE!</v>
      </c>
      <c r="AA349" t="e">
        <f>'North America'!A652+"n/&gt;!2?r"</f>
        <v>#VALUE!</v>
      </c>
      <c r="AB349" t="e">
        <f>'North America'!B652+"n/&gt;!2?s"</f>
        <v>#VALUE!</v>
      </c>
      <c r="AC349" t="e">
        <f>'North America'!C652+"n/&gt;!2?t"</f>
        <v>#VALUE!</v>
      </c>
      <c r="AD349" t="e">
        <f>'North America'!D652+"n/&gt;!2?u"</f>
        <v>#VALUE!</v>
      </c>
      <c r="AE349" t="e">
        <f>'North America'!E652+"n/&gt;!2?v"</f>
        <v>#VALUE!</v>
      </c>
      <c r="AF349" t="e">
        <f>'North America'!F652+"n/&gt;!2?w"</f>
        <v>#VALUE!</v>
      </c>
      <c r="AG349" t="e">
        <f>'North America'!G652+"n/&gt;!2?x"</f>
        <v>#VALUE!</v>
      </c>
      <c r="AH349" t="e">
        <f>'North America'!H652+"n/&gt;!2?y"</f>
        <v>#VALUE!</v>
      </c>
      <c r="AI349" t="e">
        <f>'North America'!I652+"n/&gt;!2?z"</f>
        <v>#VALUE!</v>
      </c>
      <c r="AJ349" t="e">
        <f>'North America'!A653+"n/&gt;!2?{"</f>
        <v>#VALUE!</v>
      </c>
      <c r="AK349" t="e">
        <f>'North America'!B653+"n/&gt;!2?|"</f>
        <v>#VALUE!</v>
      </c>
      <c r="AL349" t="e">
        <f>'North America'!C653+"n/&gt;!2?}"</f>
        <v>#VALUE!</v>
      </c>
      <c r="AM349" t="e">
        <f>'North America'!D653+"n/&gt;!2?~"</f>
        <v>#VALUE!</v>
      </c>
      <c r="AN349" t="e">
        <f>'North America'!E653+"n/&gt;!2@#"</f>
        <v>#VALUE!</v>
      </c>
      <c r="AO349" t="e">
        <f>'North America'!F653+"n/&gt;!2@$"</f>
        <v>#VALUE!</v>
      </c>
      <c r="AP349" t="e">
        <f>'North America'!G653+"n/&gt;!2@%"</f>
        <v>#VALUE!</v>
      </c>
      <c r="AQ349" t="e">
        <f>'North America'!H653+"n/&gt;!2@&amp;"</f>
        <v>#VALUE!</v>
      </c>
      <c r="AR349" t="e">
        <f>'North America'!I653+"n/&gt;!2@'"</f>
        <v>#VALUE!</v>
      </c>
      <c r="AS349" t="e">
        <f>'North America'!A654+"n/&gt;!2@("</f>
        <v>#VALUE!</v>
      </c>
      <c r="AT349" t="e">
        <f>'North America'!B654+"n/&gt;!2@)"</f>
        <v>#VALUE!</v>
      </c>
      <c r="AU349" t="e">
        <f>'North America'!C654+"n/&gt;!2@."</f>
        <v>#VALUE!</v>
      </c>
      <c r="AV349" t="e">
        <f>'North America'!D654+"n/&gt;!2@/"</f>
        <v>#VALUE!</v>
      </c>
      <c r="AW349" t="e">
        <f>'North America'!E654+"n/&gt;!2@0"</f>
        <v>#VALUE!</v>
      </c>
      <c r="AX349" t="e">
        <f>'North America'!F654+"n/&gt;!2@1"</f>
        <v>#VALUE!</v>
      </c>
      <c r="AY349" t="e">
        <f>'North America'!G654+"n/&gt;!2@2"</f>
        <v>#VALUE!</v>
      </c>
      <c r="AZ349" t="e">
        <f>'North America'!H654+"n/&gt;!2@3"</f>
        <v>#VALUE!</v>
      </c>
      <c r="BA349" t="e">
        <f>'North America'!I654+"n/&gt;!2@4"</f>
        <v>#VALUE!</v>
      </c>
      <c r="BB349" t="e">
        <f>'North America'!A655+"n/&gt;!2@5"</f>
        <v>#VALUE!</v>
      </c>
      <c r="BC349" t="e">
        <f>'North America'!B655+"n/&gt;!2@6"</f>
        <v>#VALUE!</v>
      </c>
      <c r="BD349" t="e">
        <f>'North America'!C655+"n/&gt;!2@7"</f>
        <v>#VALUE!</v>
      </c>
      <c r="BE349" t="e">
        <f>'North America'!D655+"n/&gt;!2@8"</f>
        <v>#VALUE!</v>
      </c>
      <c r="BF349" t="e">
        <f>'North America'!E655+"n/&gt;!2@9"</f>
        <v>#VALUE!</v>
      </c>
      <c r="BG349" t="e">
        <f>'North America'!F655+"n/&gt;!2@:"</f>
        <v>#VALUE!</v>
      </c>
      <c r="BH349" t="e">
        <f>'North America'!G655+"n/&gt;!2@;"</f>
        <v>#VALUE!</v>
      </c>
      <c r="BI349" t="e">
        <f>'North America'!H655+"n/&gt;!2@&lt;"</f>
        <v>#VALUE!</v>
      </c>
      <c r="BJ349" t="e">
        <f>'North America'!I655+"n/&gt;!2@="</f>
        <v>#VALUE!</v>
      </c>
      <c r="BK349" t="e">
        <f>'North America'!A656+"n/&gt;!2@&gt;"</f>
        <v>#VALUE!</v>
      </c>
      <c r="BL349" t="e">
        <f>'North America'!B656+"n/&gt;!2@?"</f>
        <v>#VALUE!</v>
      </c>
      <c r="BM349" t="e">
        <f>'North America'!C656+"n/&gt;!2@@"</f>
        <v>#VALUE!</v>
      </c>
      <c r="BN349" t="e">
        <f>'North America'!D656+"n/&gt;!2@A"</f>
        <v>#VALUE!</v>
      </c>
      <c r="BO349" t="e">
        <f>'North America'!E656+"n/&gt;!2@B"</f>
        <v>#VALUE!</v>
      </c>
      <c r="BP349" t="e">
        <f>'North America'!F656+"n/&gt;!2@C"</f>
        <v>#VALUE!</v>
      </c>
      <c r="BQ349" t="e">
        <f>'North America'!G656+"n/&gt;!2@D"</f>
        <v>#VALUE!</v>
      </c>
      <c r="BR349" t="e">
        <f>'North America'!H656+"n/&gt;!2@E"</f>
        <v>#VALUE!</v>
      </c>
      <c r="BS349" t="e">
        <f>'North America'!I656+"n/&gt;!2@F"</f>
        <v>#VALUE!</v>
      </c>
      <c r="BT349" t="e">
        <f>'North America'!A657+"n/&gt;!2@G"</f>
        <v>#VALUE!</v>
      </c>
      <c r="BU349" t="e">
        <f>'North America'!B657+"n/&gt;!2@H"</f>
        <v>#VALUE!</v>
      </c>
      <c r="BV349" t="e">
        <f>'North America'!C657+"n/&gt;!2@I"</f>
        <v>#VALUE!</v>
      </c>
      <c r="BW349" t="e">
        <f>'North America'!D657+"n/&gt;!2@J"</f>
        <v>#VALUE!</v>
      </c>
      <c r="BX349" t="e">
        <f>'North America'!E657+"n/&gt;!2@K"</f>
        <v>#VALUE!</v>
      </c>
      <c r="BY349" t="e">
        <f>'North America'!F657+"n/&gt;!2@L"</f>
        <v>#VALUE!</v>
      </c>
      <c r="BZ349" t="e">
        <f>'North America'!G657+"n/&gt;!2@M"</f>
        <v>#VALUE!</v>
      </c>
      <c r="CA349" t="e">
        <f>'North America'!H657+"n/&gt;!2@N"</f>
        <v>#VALUE!</v>
      </c>
      <c r="CB349" t="e">
        <f>'North America'!I657+"n/&gt;!2@O"</f>
        <v>#VALUE!</v>
      </c>
      <c r="CC349" t="e">
        <f>'North America'!A658+"n/&gt;!2@P"</f>
        <v>#VALUE!</v>
      </c>
      <c r="CD349" t="e">
        <f>'North America'!B658+"n/&gt;!2@Q"</f>
        <v>#VALUE!</v>
      </c>
      <c r="CE349" t="e">
        <f>'North America'!C658+"n/&gt;!2@R"</f>
        <v>#VALUE!</v>
      </c>
      <c r="CF349" t="e">
        <f>'North America'!D658+"n/&gt;!2@S"</f>
        <v>#VALUE!</v>
      </c>
      <c r="CG349" t="e">
        <f>'North America'!E658+"n/&gt;!2@T"</f>
        <v>#VALUE!</v>
      </c>
      <c r="CH349" t="e">
        <f>'North America'!F658+"n/&gt;!2@U"</f>
        <v>#VALUE!</v>
      </c>
      <c r="CI349" t="e">
        <f>'North America'!G658+"n/&gt;!2@V"</f>
        <v>#VALUE!</v>
      </c>
      <c r="CJ349" t="e">
        <f>'North America'!H658+"n/&gt;!2@W"</f>
        <v>#VALUE!</v>
      </c>
      <c r="CK349" t="e">
        <f>'North America'!I658+"n/&gt;!2@X"</f>
        <v>#VALUE!</v>
      </c>
      <c r="CL349" t="e">
        <f>'North America'!A659+"n/&gt;!2@Y"</f>
        <v>#VALUE!</v>
      </c>
      <c r="CM349" t="e">
        <f>'North America'!B659+"n/&gt;!2@Z"</f>
        <v>#VALUE!</v>
      </c>
      <c r="CN349" t="e">
        <f>'North America'!C659+"n/&gt;!2@["</f>
        <v>#VALUE!</v>
      </c>
      <c r="CO349" t="e">
        <f>'North America'!D659+"n/&gt;!2@\"</f>
        <v>#VALUE!</v>
      </c>
      <c r="CP349" t="e">
        <f>'North America'!E659+"n/&gt;!2@]"</f>
        <v>#VALUE!</v>
      </c>
      <c r="CQ349" t="e">
        <f>'North America'!F659+"n/&gt;!2@^"</f>
        <v>#VALUE!</v>
      </c>
      <c r="CR349" t="e">
        <f>'North America'!G659+"n/&gt;!2@_"</f>
        <v>#VALUE!</v>
      </c>
      <c r="CS349" t="e">
        <f>'North America'!H659+"n/&gt;!2@`"</f>
        <v>#VALUE!</v>
      </c>
      <c r="CT349" t="e">
        <f>'North America'!I659+"n/&gt;!2@a"</f>
        <v>#VALUE!</v>
      </c>
      <c r="CU349" t="e">
        <f>'North America'!A660+"n/&gt;!2@b"</f>
        <v>#VALUE!</v>
      </c>
      <c r="CV349" t="e">
        <f>'North America'!B660+"n/&gt;!2@c"</f>
        <v>#VALUE!</v>
      </c>
      <c r="CW349" t="e">
        <f>'North America'!C660+"n/&gt;!2@d"</f>
        <v>#VALUE!</v>
      </c>
      <c r="CX349" t="e">
        <f>'North America'!D660+"n/&gt;!2@e"</f>
        <v>#VALUE!</v>
      </c>
      <c r="CY349" t="e">
        <f>'North America'!E660+"n/&gt;!2@f"</f>
        <v>#VALUE!</v>
      </c>
      <c r="CZ349" t="e">
        <f>'North America'!F660+"n/&gt;!2@g"</f>
        <v>#VALUE!</v>
      </c>
      <c r="DA349" t="e">
        <f>'North America'!G660+"n/&gt;!2@h"</f>
        <v>#VALUE!</v>
      </c>
      <c r="DB349" t="e">
        <f>'North America'!H660+"n/&gt;!2@i"</f>
        <v>#VALUE!</v>
      </c>
      <c r="DC349" t="e">
        <f>'North America'!I660+"n/&gt;!2@j"</f>
        <v>#VALUE!</v>
      </c>
      <c r="DD349" t="e">
        <f>'North America'!A661+"n/&gt;!2@k"</f>
        <v>#VALUE!</v>
      </c>
      <c r="DE349" t="e">
        <f>'North America'!B661+"n/&gt;!2@l"</f>
        <v>#VALUE!</v>
      </c>
      <c r="DF349" t="e">
        <f>'North America'!C661+"n/&gt;!2@m"</f>
        <v>#VALUE!</v>
      </c>
      <c r="DG349" t="e">
        <f>'North America'!D661+"n/&gt;!2@n"</f>
        <v>#VALUE!</v>
      </c>
      <c r="DH349" t="e">
        <f>'North America'!E661+"n/&gt;!2@o"</f>
        <v>#VALUE!</v>
      </c>
      <c r="DI349" t="e">
        <f>'North America'!F661+"n/&gt;!2@p"</f>
        <v>#VALUE!</v>
      </c>
      <c r="DJ349" t="e">
        <f>'North America'!G661+"n/&gt;!2@q"</f>
        <v>#VALUE!</v>
      </c>
      <c r="DK349" t="e">
        <f>'North America'!H661+"n/&gt;!2@r"</f>
        <v>#VALUE!</v>
      </c>
      <c r="DL349" t="e">
        <f>'North America'!I661+"n/&gt;!2@s"</f>
        <v>#VALUE!</v>
      </c>
      <c r="DM349" t="e">
        <f>'North America'!A662+"n/&gt;!2@t"</f>
        <v>#VALUE!</v>
      </c>
      <c r="DN349" t="e">
        <f>'North America'!B662+"n/&gt;!2@u"</f>
        <v>#VALUE!</v>
      </c>
      <c r="DO349" t="e">
        <f>'North America'!C662+"n/&gt;!2@v"</f>
        <v>#VALUE!</v>
      </c>
      <c r="DP349" t="e">
        <f>'North America'!D662+"n/&gt;!2@w"</f>
        <v>#VALUE!</v>
      </c>
      <c r="DQ349" t="e">
        <f>'North America'!E662+"n/&gt;!2@x"</f>
        <v>#VALUE!</v>
      </c>
      <c r="DR349" t="e">
        <f>'North America'!F662+"n/&gt;!2@y"</f>
        <v>#VALUE!</v>
      </c>
      <c r="DS349" t="e">
        <f>'North America'!G662+"n/&gt;!2@z"</f>
        <v>#VALUE!</v>
      </c>
      <c r="DT349" t="e">
        <f>'North America'!H662+"n/&gt;!2@{"</f>
        <v>#VALUE!</v>
      </c>
      <c r="DU349" t="e">
        <f>'North America'!I662+"n/&gt;!2@|"</f>
        <v>#VALUE!</v>
      </c>
      <c r="DV349" t="e">
        <f>'North America'!A663+"n/&gt;!2@}"</f>
        <v>#VALUE!</v>
      </c>
      <c r="DW349" t="e">
        <f>'North America'!B663+"n/&gt;!2@~"</f>
        <v>#VALUE!</v>
      </c>
      <c r="DX349" t="e">
        <f>'North America'!C663+"n/&gt;!2A#"</f>
        <v>#VALUE!</v>
      </c>
      <c r="DY349" t="e">
        <f>'North America'!D663+"n/&gt;!2A$"</f>
        <v>#VALUE!</v>
      </c>
      <c r="DZ349" t="e">
        <f>'North America'!E663+"n/&gt;!2A%"</f>
        <v>#VALUE!</v>
      </c>
      <c r="EA349" t="e">
        <f>'North America'!F663+"n/&gt;!2A&amp;"</f>
        <v>#VALUE!</v>
      </c>
      <c r="EB349" t="e">
        <f>'North America'!G663+"n/&gt;!2A'"</f>
        <v>#VALUE!</v>
      </c>
      <c r="EC349" t="e">
        <f>'North America'!H663+"n/&gt;!2A("</f>
        <v>#VALUE!</v>
      </c>
      <c r="ED349" t="e">
        <f>'North America'!I663+"n/&gt;!2A)"</f>
        <v>#VALUE!</v>
      </c>
      <c r="EE349" t="e">
        <f>'North America'!A664+"n/&gt;!2A."</f>
        <v>#VALUE!</v>
      </c>
      <c r="EF349" t="e">
        <f>'North America'!B664+"n/&gt;!2A/"</f>
        <v>#VALUE!</v>
      </c>
      <c r="EG349" t="e">
        <f>'North America'!C664+"n/&gt;!2A0"</f>
        <v>#VALUE!</v>
      </c>
      <c r="EH349" t="e">
        <f>'North America'!D664+"n/&gt;!2A1"</f>
        <v>#VALUE!</v>
      </c>
      <c r="EI349" t="e">
        <f>'North America'!E664+"n/&gt;!2A2"</f>
        <v>#VALUE!</v>
      </c>
      <c r="EJ349" t="e">
        <f>'North America'!F664+"n/&gt;!2A3"</f>
        <v>#VALUE!</v>
      </c>
      <c r="EK349" t="e">
        <f>'North America'!G664+"n/&gt;!2A4"</f>
        <v>#VALUE!</v>
      </c>
      <c r="EL349" t="e">
        <f>'North America'!H664+"n/&gt;!2A5"</f>
        <v>#VALUE!</v>
      </c>
      <c r="EM349" t="e">
        <f>'North America'!I664+"n/&gt;!2A6"</f>
        <v>#VALUE!</v>
      </c>
      <c r="EN349" t="e">
        <f>'North America'!A665+"n/&gt;!2A7"</f>
        <v>#VALUE!</v>
      </c>
      <c r="EO349" t="e">
        <f>'North America'!B665+"n/&gt;!2A8"</f>
        <v>#VALUE!</v>
      </c>
      <c r="EP349" t="e">
        <f>'North America'!C665+"n/&gt;!2A9"</f>
        <v>#VALUE!</v>
      </c>
      <c r="EQ349" t="e">
        <f>'North America'!D665+"n/&gt;!2A:"</f>
        <v>#VALUE!</v>
      </c>
      <c r="ER349" t="e">
        <f>'North America'!E665+"n/&gt;!2A;"</f>
        <v>#VALUE!</v>
      </c>
      <c r="ES349" t="e">
        <f>'North America'!F665+"n/&gt;!2A&lt;"</f>
        <v>#VALUE!</v>
      </c>
      <c r="ET349" t="e">
        <f>'North America'!G665+"n/&gt;!2A="</f>
        <v>#VALUE!</v>
      </c>
      <c r="EU349" t="e">
        <f>'North America'!H665+"n/&gt;!2A&gt;"</f>
        <v>#VALUE!</v>
      </c>
      <c r="EV349" t="e">
        <f>'North America'!I665+"n/&gt;!2A?"</f>
        <v>#VALUE!</v>
      </c>
      <c r="EW349" t="e">
        <f>'North America'!A666+"n/&gt;!2A@"</f>
        <v>#VALUE!</v>
      </c>
      <c r="EX349" t="e">
        <f>'North America'!B666+"n/&gt;!2AA"</f>
        <v>#VALUE!</v>
      </c>
      <c r="EY349" t="e">
        <f>'North America'!C666+"n/&gt;!2AB"</f>
        <v>#VALUE!</v>
      </c>
      <c r="EZ349" t="e">
        <f>'North America'!D666+"n/&gt;!2AC"</f>
        <v>#VALUE!</v>
      </c>
      <c r="FA349" t="e">
        <f>'North America'!E666+"n/&gt;!2AD"</f>
        <v>#VALUE!</v>
      </c>
      <c r="FB349" t="e">
        <f>'North America'!F666+"n/&gt;!2AE"</f>
        <v>#VALUE!</v>
      </c>
      <c r="FC349" t="e">
        <f>'North America'!G666+"n/&gt;!2AF"</f>
        <v>#VALUE!</v>
      </c>
      <c r="FD349" t="e">
        <f>'North America'!H666+"n/&gt;!2AG"</f>
        <v>#VALUE!</v>
      </c>
      <c r="FE349" t="e">
        <f>'North America'!I666+"n/&gt;!2AH"</f>
        <v>#VALUE!</v>
      </c>
      <c r="FF349" t="e">
        <f>'North America'!A667+"n/&gt;!2AI"</f>
        <v>#VALUE!</v>
      </c>
      <c r="FG349" t="e">
        <f>'North America'!B667+"n/&gt;!2AJ"</f>
        <v>#VALUE!</v>
      </c>
      <c r="FH349" t="e">
        <f>'North America'!C667+"n/&gt;!2AK"</f>
        <v>#VALUE!</v>
      </c>
      <c r="FI349" t="e">
        <f>'North America'!D667+"n/&gt;!2AL"</f>
        <v>#VALUE!</v>
      </c>
      <c r="FJ349" t="e">
        <f>'North America'!E667+"n/&gt;!2AM"</f>
        <v>#VALUE!</v>
      </c>
      <c r="FK349" t="e">
        <f>'North America'!F667+"n/&gt;!2AN"</f>
        <v>#VALUE!</v>
      </c>
      <c r="FL349" t="e">
        <f>'North America'!G667+"n/&gt;!2AO"</f>
        <v>#VALUE!</v>
      </c>
      <c r="FM349" t="e">
        <f>'North America'!H667+"n/&gt;!2AP"</f>
        <v>#VALUE!</v>
      </c>
      <c r="FN349" t="e">
        <f>'North America'!I667+"n/&gt;!2AQ"</f>
        <v>#VALUE!</v>
      </c>
      <c r="FO349" t="e">
        <f>'North America'!A668+"n/&gt;!2AR"</f>
        <v>#VALUE!</v>
      </c>
      <c r="FP349" t="e">
        <f>'North America'!B668+"n/&gt;!2AS"</f>
        <v>#VALUE!</v>
      </c>
      <c r="FQ349" t="e">
        <f>'North America'!C668+"n/&gt;!2AT"</f>
        <v>#VALUE!</v>
      </c>
      <c r="FR349" t="e">
        <f>'North America'!D668+"n/&gt;!2AU"</f>
        <v>#VALUE!</v>
      </c>
      <c r="FS349" t="e">
        <f>'North America'!E668+"n/&gt;!2AV"</f>
        <v>#VALUE!</v>
      </c>
      <c r="FT349" t="e">
        <f>'North America'!F668+"n/&gt;!2AW"</f>
        <v>#VALUE!</v>
      </c>
      <c r="FU349" t="e">
        <f>'North America'!G668+"n/&gt;!2AX"</f>
        <v>#VALUE!</v>
      </c>
      <c r="FV349" t="e">
        <f>'North America'!H668+"n/&gt;!2AY"</f>
        <v>#VALUE!</v>
      </c>
      <c r="FW349" t="e">
        <f>'North America'!I668+"n/&gt;!2AZ"</f>
        <v>#VALUE!</v>
      </c>
      <c r="FX349" t="e">
        <f>'North America'!A669+"n/&gt;!2A["</f>
        <v>#VALUE!</v>
      </c>
      <c r="FY349" t="e">
        <f>'North America'!B669+"n/&gt;!2A\"</f>
        <v>#VALUE!</v>
      </c>
      <c r="FZ349" t="e">
        <f>'North America'!C669+"n/&gt;!2A]"</f>
        <v>#VALUE!</v>
      </c>
      <c r="GA349" t="e">
        <f>'North America'!D669+"n/&gt;!2A^"</f>
        <v>#VALUE!</v>
      </c>
      <c r="GB349" t="e">
        <f>'North America'!E669+"n/&gt;!2A_"</f>
        <v>#VALUE!</v>
      </c>
      <c r="GC349" t="e">
        <f>'North America'!F669+"n/&gt;!2A`"</f>
        <v>#VALUE!</v>
      </c>
      <c r="GD349" t="e">
        <f>'North America'!G669+"n/&gt;!2Aa"</f>
        <v>#VALUE!</v>
      </c>
      <c r="GE349" t="e">
        <f>'North America'!H669+"n/&gt;!2Ab"</f>
        <v>#VALUE!</v>
      </c>
      <c r="GF349" t="e">
        <f>'North America'!I669+"n/&gt;!2Ac"</f>
        <v>#VALUE!</v>
      </c>
      <c r="GG349" t="e">
        <f>'North America'!A670+"n/&gt;!2Ad"</f>
        <v>#VALUE!</v>
      </c>
      <c r="GH349" t="e">
        <f>'North America'!B670+"n/&gt;!2Ae"</f>
        <v>#VALUE!</v>
      </c>
      <c r="GI349" t="e">
        <f>'North America'!C670+"n/&gt;!2Af"</f>
        <v>#VALUE!</v>
      </c>
      <c r="GJ349" t="e">
        <f>'North America'!D670+"n/&gt;!2Ag"</f>
        <v>#VALUE!</v>
      </c>
      <c r="GK349" t="e">
        <f>'North America'!E670+"n/&gt;!2Ah"</f>
        <v>#VALUE!</v>
      </c>
      <c r="GL349" t="e">
        <f>'North America'!F670+"n/&gt;!2Ai"</f>
        <v>#VALUE!</v>
      </c>
      <c r="GM349" t="e">
        <f>'North America'!G670+"n/&gt;!2Aj"</f>
        <v>#VALUE!</v>
      </c>
      <c r="GN349" t="e">
        <f>'North America'!H670+"n/&gt;!2Ak"</f>
        <v>#VALUE!</v>
      </c>
      <c r="GO349" t="e">
        <f>'North America'!I670+"n/&gt;!2Al"</f>
        <v>#VALUE!</v>
      </c>
      <c r="GP349" t="e">
        <f>'North America'!A671+"n/&gt;!2Am"</f>
        <v>#VALUE!</v>
      </c>
      <c r="GQ349" t="e">
        <f>'North America'!B671+"n/&gt;!2An"</f>
        <v>#VALUE!</v>
      </c>
      <c r="GR349" t="e">
        <f>'North America'!C671+"n/&gt;!2Ao"</f>
        <v>#VALUE!</v>
      </c>
      <c r="GS349" t="e">
        <f>'North America'!D671+"n/&gt;!2Ap"</f>
        <v>#VALUE!</v>
      </c>
      <c r="GT349" t="e">
        <f>'North America'!E671+"n/&gt;!2Aq"</f>
        <v>#VALUE!</v>
      </c>
      <c r="GU349" t="e">
        <f>'North America'!F671+"n/&gt;!2Ar"</f>
        <v>#VALUE!</v>
      </c>
      <c r="GV349" t="e">
        <f>'North America'!G671+"n/&gt;!2As"</f>
        <v>#VALUE!</v>
      </c>
      <c r="GW349" t="e">
        <f>'North America'!H671+"n/&gt;!2At"</f>
        <v>#VALUE!</v>
      </c>
      <c r="GX349" t="e">
        <f>'North America'!I671+"n/&gt;!2Au"</f>
        <v>#VALUE!</v>
      </c>
      <c r="GY349" t="e">
        <f>'North America'!A672+"n/&gt;!2Av"</f>
        <v>#VALUE!</v>
      </c>
      <c r="GZ349" t="e">
        <f>'North America'!B672+"n/&gt;!2Aw"</f>
        <v>#VALUE!</v>
      </c>
      <c r="HA349" t="e">
        <f>'North America'!C672+"n/&gt;!2Ax"</f>
        <v>#VALUE!</v>
      </c>
      <c r="HB349" t="e">
        <f>'North America'!D672+"n/&gt;!2Ay"</f>
        <v>#VALUE!</v>
      </c>
      <c r="HC349" t="e">
        <f>'North America'!E672+"n/&gt;!2Az"</f>
        <v>#VALUE!</v>
      </c>
      <c r="HD349" t="e">
        <f>'North America'!F672+"n/&gt;!2A{"</f>
        <v>#VALUE!</v>
      </c>
      <c r="HE349" t="e">
        <f>'North America'!G672+"n/&gt;!2A|"</f>
        <v>#VALUE!</v>
      </c>
      <c r="HF349" t="e">
        <f>'North America'!H672+"n/&gt;!2A}"</f>
        <v>#VALUE!</v>
      </c>
      <c r="HG349" t="e">
        <f>'North America'!I672+"n/&gt;!2A~"</f>
        <v>#VALUE!</v>
      </c>
      <c r="HH349" t="e">
        <f>'North America'!A673+"n/&gt;!2B#"</f>
        <v>#VALUE!</v>
      </c>
      <c r="HI349" t="e">
        <f>'North America'!B673+"n/&gt;!2B$"</f>
        <v>#VALUE!</v>
      </c>
      <c r="HJ349" t="e">
        <f>'North America'!C673+"n/&gt;!2B%"</f>
        <v>#VALUE!</v>
      </c>
      <c r="HK349" t="e">
        <f>'North America'!D673+"n/&gt;!2B&amp;"</f>
        <v>#VALUE!</v>
      </c>
      <c r="HL349" t="e">
        <f>'North America'!E673+"n/&gt;!2B'"</f>
        <v>#VALUE!</v>
      </c>
      <c r="HM349" t="e">
        <f>'North America'!F673+"n/&gt;!2B("</f>
        <v>#VALUE!</v>
      </c>
      <c r="HN349" t="e">
        <f>'North America'!G673+"n/&gt;!2B)"</f>
        <v>#VALUE!</v>
      </c>
      <c r="HO349" t="e">
        <f>'North America'!H673+"n/&gt;!2B."</f>
        <v>#VALUE!</v>
      </c>
      <c r="HP349" t="e">
        <f>'North America'!I673+"n/&gt;!2B/"</f>
        <v>#VALUE!</v>
      </c>
      <c r="HQ349" t="e">
        <f>'North America'!A674+"n/&gt;!2B0"</f>
        <v>#VALUE!</v>
      </c>
      <c r="HR349" t="e">
        <f>'North America'!B674+"n/&gt;!2B1"</f>
        <v>#VALUE!</v>
      </c>
      <c r="HS349" t="e">
        <f>'North America'!C674+"n/&gt;!2B2"</f>
        <v>#VALUE!</v>
      </c>
      <c r="HT349" t="e">
        <f>'North America'!D674+"n/&gt;!2B3"</f>
        <v>#VALUE!</v>
      </c>
      <c r="HU349" t="e">
        <f>'North America'!E674+"n/&gt;!2B4"</f>
        <v>#VALUE!</v>
      </c>
      <c r="HV349" t="e">
        <f>'North America'!F674+"n/&gt;!2B5"</f>
        <v>#VALUE!</v>
      </c>
      <c r="HW349" t="e">
        <f>'North America'!G674+"n/&gt;!2B6"</f>
        <v>#VALUE!</v>
      </c>
      <c r="HX349" t="e">
        <f>'North America'!H674+"n/&gt;!2B7"</f>
        <v>#VALUE!</v>
      </c>
      <c r="HY349" t="e">
        <f>'North America'!I674+"n/&gt;!2B8"</f>
        <v>#VALUE!</v>
      </c>
      <c r="HZ349" t="e">
        <f>'North America'!A675+"n/&gt;!2B9"</f>
        <v>#VALUE!</v>
      </c>
      <c r="IA349" t="e">
        <f>'North America'!B675+"n/&gt;!2B:"</f>
        <v>#VALUE!</v>
      </c>
      <c r="IB349" t="e">
        <f>'North America'!C675+"n/&gt;!2B;"</f>
        <v>#VALUE!</v>
      </c>
      <c r="IC349" t="e">
        <f>'North America'!D675+"n/&gt;!2B&lt;"</f>
        <v>#VALUE!</v>
      </c>
      <c r="ID349" t="e">
        <f>'North America'!E675+"n/&gt;!2B="</f>
        <v>#VALUE!</v>
      </c>
      <c r="IE349" t="e">
        <f>'North America'!F675+"n/&gt;!2B&gt;"</f>
        <v>#VALUE!</v>
      </c>
      <c r="IF349" t="e">
        <f>'North America'!G675+"n/&gt;!2B?"</f>
        <v>#VALUE!</v>
      </c>
      <c r="IG349" t="e">
        <f>'North America'!H675+"n/&gt;!2B@"</f>
        <v>#VALUE!</v>
      </c>
      <c r="IH349" t="e">
        <f>'North America'!I675+"n/&gt;!2BA"</f>
        <v>#VALUE!</v>
      </c>
      <c r="II349" t="e">
        <f>'North America'!A676+"n/&gt;!2BB"</f>
        <v>#VALUE!</v>
      </c>
      <c r="IJ349" t="e">
        <f>'North America'!B676+"n/&gt;!2BC"</f>
        <v>#VALUE!</v>
      </c>
      <c r="IK349" t="e">
        <f>'North America'!C676+"n/&gt;!2BD"</f>
        <v>#VALUE!</v>
      </c>
      <c r="IL349" t="e">
        <f>'North America'!D676+"n/&gt;!2BE"</f>
        <v>#VALUE!</v>
      </c>
      <c r="IM349" t="e">
        <f>'North America'!E676+"n/&gt;!2BF"</f>
        <v>#VALUE!</v>
      </c>
      <c r="IN349" t="e">
        <f>'North America'!F676+"n/&gt;!2BG"</f>
        <v>#VALUE!</v>
      </c>
      <c r="IO349" t="e">
        <f>'North America'!G676+"n/&gt;!2BH"</f>
        <v>#VALUE!</v>
      </c>
      <c r="IP349" t="e">
        <f>'North America'!H676+"n/&gt;!2BI"</f>
        <v>#VALUE!</v>
      </c>
      <c r="IQ349" t="e">
        <f>'North America'!I676+"n/&gt;!2BJ"</f>
        <v>#VALUE!</v>
      </c>
      <c r="IR349" t="e">
        <f>'North America'!A677+"n/&gt;!2BK"</f>
        <v>#VALUE!</v>
      </c>
      <c r="IS349" t="e">
        <f>'North America'!B677+"n/&gt;!2BL"</f>
        <v>#VALUE!</v>
      </c>
      <c r="IT349" t="e">
        <f>'North America'!C677+"n/&gt;!2BM"</f>
        <v>#VALUE!</v>
      </c>
      <c r="IU349" t="e">
        <f>'North America'!D677+"n/&gt;!2BN"</f>
        <v>#VALUE!</v>
      </c>
      <c r="IV349" t="e">
        <f>'North America'!E677+"n/&gt;!2BO"</f>
        <v>#VALUE!</v>
      </c>
    </row>
    <row r="350" spans="6:256" x14ac:dyDescent="0.35">
      <c r="F350" t="e">
        <f>'North America'!F677+"n/&gt;!2BP"</f>
        <v>#VALUE!</v>
      </c>
      <c r="G350" t="e">
        <f>'North America'!G677+"n/&gt;!2BQ"</f>
        <v>#VALUE!</v>
      </c>
      <c r="H350" t="e">
        <f>'North America'!H677+"n/&gt;!2BR"</f>
        <v>#VALUE!</v>
      </c>
      <c r="I350" t="e">
        <f>'North America'!I677+"n/&gt;!2BS"</f>
        <v>#VALUE!</v>
      </c>
      <c r="J350" t="e">
        <f>'North America'!A678+"n/&gt;!2BT"</f>
        <v>#VALUE!</v>
      </c>
      <c r="K350" t="e">
        <f>'North America'!B678+"n/&gt;!2BU"</f>
        <v>#VALUE!</v>
      </c>
      <c r="L350" t="e">
        <f>'North America'!C678+"n/&gt;!2BV"</f>
        <v>#VALUE!</v>
      </c>
      <c r="M350" t="e">
        <f>'North America'!D678+"n/&gt;!2BW"</f>
        <v>#VALUE!</v>
      </c>
      <c r="N350" t="e">
        <f>'North America'!E678+"n/&gt;!2BX"</f>
        <v>#VALUE!</v>
      </c>
      <c r="O350" t="e">
        <f>'North America'!F678+"n/&gt;!2BY"</f>
        <v>#VALUE!</v>
      </c>
      <c r="P350" t="e">
        <f>'North America'!G678+"n/&gt;!2BZ"</f>
        <v>#VALUE!</v>
      </c>
      <c r="Q350" t="e">
        <f>'North America'!H678+"n/&gt;!2B["</f>
        <v>#VALUE!</v>
      </c>
      <c r="R350" t="e">
        <f>'North America'!I678+"n/&gt;!2B\"</f>
        <v>#VALUE!</v>
      </c>
      <c r="S350" t="e">
        <f>'North America'!A679+"n/&gt;!2B]"</f>
        <v>#VALUE!</v>
      </c>
      <c r="T350" t="e">
        <f>'North America'!B679+"n/&gt;!2B^"</f>
        <v>#VALUE!</v>
      </c>
      <c r="U350" t="e">
        <f>'North America'!C679+"n/&gt;!2B_"</f>
        <v>#VALUE!</v>
      </c>
      <c r="V350" t="e">
        <f>'North America'!D679+"n/&gt;!2B`"</f>
        <v>#VALUE!</v>
      </c>
      <c r="W350" t="e">
        <f>'North America'!E679+"n/&gt;!2Ba"</f>
        <v>#VALUE!</v>
      </c>
      <c r="X350" t="e">
        <f>'North America'!F679+"n/&gt;!2Bb"</f>
        <v>#VALUE!</v>
      </c>
      <c r="Y350" t="e">
        <f>'North America'!G679+"n/&gt;!2Bc"</f>
        <v>#VALUE!</v>
      </c>
      <c r="Z350" t="e">
        <f>'North America'!H679+"n/&gt;!2Bd"</f>
        <v>#VALUE!</v>
      </c>
      <c r="AA350" t="e">
        <f>'North America'!I679+"n/&gt;!2Be"</f>
        <v>#VALUE!</v>
      </c>
      <c r="AB350" t="e">
        <f>'North America'!A680+"n/&gt;!2Bf"</f>
        <v>#VALUE!</v>
      </c>
      <c r="AC350" t="e">
        <f>'North America'!B680+"n/&gt;!2Bg"</f>
        <v>#VALUE!</v>
      </c>
      <c r="AD350" t="e">
        <f>'North America'!C680+"n/&gt;!2Bh"</f>
        <v>#VALUE!</v>
      </c>
      <c r="AE350" t="e">
        <f>'North America'!D680+"n/&gt;!2Bi"</f>
        <v>#VALUE!</v>
      </c>
      <c r="AF350" t="e">
        <f>'North America'!E680+"n/&gt;!2Bj"</f>
        <v>#VALUE!</v>
      </c>
      <c r="AG350" t="e">
        <f>'North America'!F680+"n/&gt;!2Bk"</f>
        <v>#VALUE!</v>
      </c>
      <c r="AH350" t="e">
        <f>'North America'!G680+"n/&gt;!2Bl"</f>
        <v>#VALUE!</v>
      </c>
      <c r="AI350" t="e">
        <f>'North America'!H680+"n/&gt;!2Bm"</f>
        <v>#VALUE!</v>
      </c>
      <c r="AJ350" t="e">
        <f>'North America'!I680+"n/&gt;!2Bn"</f>
        <v>#VALUE!</v>
      </c>
      <c r="AK350" t="e">
        <f>'North America'!A681+"n/&gt;!2Bo"</f>
        <v>#VALUE!</v>
      </c>
      <c r="AL350" t="e">
        <f>'North America'!B681+"n/&gt;!2Bp"</f>
        <v>#VALUE!</v>
      </c>
      <c r="AM350" t="e">
        <f>'North America'!C681+"n/&gt;!2Bq"</f>
        <v>#VALUE!</v>
      </c>
      <c r="AN350" t="e">
        <f>'North America'!D681+"n/&gt;!2Br"</f>
        <v>#VALUE!</v>
      </c>
      <c r="AO350" t="e">
        <f>'North America'!E681+"n/&gt;!2Bs"</f>
        <v>#VALUE!</v>
      </c>
      <c r="AP350" t="e">
        <f>'North America'!F681+"n/&gt;!2Bt"</f>
        <v>#VALUE!</v>
      </c>
      <c r="AQ350" t="e">
        <f>'North America'!G681+"n/&gt;!2Bu"</f>
        <v>#VALUE!</v>
      </c>
      <c r="AR350" t="e">
        <f>'North America'!H681+"n/&gt;!2Bv"</f>
        <v>#VALUE!</v>
      </c>
      <c r="AS350" t="e">
        <f>'North America'!I681+"n/&gt;!2Bw"</f>
        <v>#VALUE!</v>
      </c>
      <c r="AT350" t="e">
        <f>'North America'!A682+"n/&gt;!2Bx"</f>
        <v>#VALUE!</v>
      </c>
      <c r="AU350" t="e">
        <f>'North America'!B682+"n/&gt;!2By"</f>
        <v>#VALUE!</v>
      </c>
      <c r="AV350" t="e">
        <f>'North America'!C682+"n/&gt;!2Bz"</f>
        <v>#VALUE!</v>
      </c>
      <c r="AW350" t="e">
        <f>'North America'!D682+"n/&gt;!2B{"</f>
        <v>#VALUE!</v>
      </c>
      <c r="AX350" t="e">
        <f>'North America'!E682+"n/&gt;!2B|"</f>
        <v>#VALUE!</v>
      </c>
      <c r="AY350" t="e">
        <f>'North America'!F682+"n/&gt;!2B}"</f>
        <v>#VALUE!</v>
      </c>
      <c r="AZ350" t="e">
        <f>'North America'!G682+"n/&gt;!2B~"</f>
        <v>#VALUE!</v>
      </c>
      <c r="BA350" t="e">
        <f>'North America'!H682+"n/&gt;!2C#"</f>
        <v>#VALUE!</v>
      </c>
      <c r="BB350" t="e">
        <f>'North America'!I682+"n/&gt;!2C$"</f>
        <v>#VALUE!</v>
      </c>
      <c r="BC350" t="e">
        <f>'North America'!A683+"n/&gt;!2C%"</f>
        <v>#VALUE!</v>
      </c>
      <c r="BD350" t="e">
        <f>'North America'!B683+"n/&gt;!2C&amp;"</f>
        <v>#VALUE!</v>
      </c>
      <c r="BE350" t="e">
        <f>'North America'!C683+"n/&gt;!2C'"</f>
        <v>#VALUE!</v>
      </c>
      <c r="BF350" t="e">
        <f>'North America'!D683+"n/&gt;!2C("</f>
        <v>#VALUE!</v>
      </c>
      <c r="BG350" t="e">
        <f>'North America'!E683+"n/&gt;!2C)"</f>
        <v>#VALUE!</v>
      </c>
      <c r="BH350" t="e">
        <f>'North America'!F683+"n/&gt;!2C."</f>
        <v>#VALUE!</v>
      </c>
      <c r="BI350" t="e">
        <f>'North America'!G683+"n/&gt;!2C/"</f>
        <v>#VALUE!</v>
      </c>
      <c r="BJ350" t="e">
        <f>'North America'!H683+"n/&gt;!2C0"</f>
        <v>#VALUE!</v>
      </c>
      <c r="BK350" t="e">
        <f>'North America'!I683+"n/&gt;!2C1"</f>
        <v>#VALUE!</v>
      </c>
      <c r="BL350" t="e">
        <f>'North America'!A684+"n/&gt;!2C2"</f>
        <v>#VALUE!</v>
      </c>
      <c r="BM350" t="e">
        <f>'North America'!B684+"n/&gt;!2C3"</f>
        <v>#VALUE!</v>
      </c>
      <c r="BN350" t="e">
        <f>'North America'!C684+"n/&gt;!2C4"</f>
        <v>#VALUE!</v>
      </c>
      <c r="BO350" t="e">
        <f>'North America'!D684+"n/&gt;!2C5"</f>
        <v>#VALUE!</v>
      </c>
      <c r="BP350" t="e">
        <f>'North America'!E684+"n/&gt;!2C6"</f>
        <v>#VALUE!</v>
      </c>
      <c r="BQ350" t="e">
        <f>'North America'!F684+"n/&gt;!2C7"</f>
        <v>#VALUE!</v>
      </c>
      <c r="BR350" t="e">
        <f>'North America'!G684+"n/&gt;!2C8"</f>
        <v>#VALUE!</v>
      </c>
      <c r="BS350" t="e">
        <f>'North America'!H684+"n/&gt;!2C9"</f>
        <v>#VALUE!</v>
      </c>
      <c r="BT350" t="e">
        <f>'North America'!I684+"n/&gt;!2C:"</f>
        <v>#VALUE!</v>
      </c>
      <c r="BU350" t="e">
        <f>'North America'!A685+"n/&gt;!2C;"</f>
        <v>#VALUE!</v>
      </c>
      <c r="BV350" t="e">
        <f>'North America'!B685+"n/&gt;!2C&lt;"</f>
        <v>#VALUE!</v>
      </c>
      <c r="BW350" t="e">
        <f>'North America'!C685+"n/&gt;!2C="</f>
        <v>#VALUE!</v>
      </c>
      <c r="BX350" t="e">
        <f>'North America'!D685+"n/&gt;!2C&gt;"</f>
        <v>#VALUE!</v>
      </c>
      <c r="BY350" t="e">
        <f>'North America'!E685+"n/&gt;!2C?"</f>
        <v>#VALUE!</v>
      </c>
      <c r="BZ350" t="e">
        <f>'North America'!F685+"n/&gt;!2C@"</f>
        <v>#VALUE!</v>
      </c>
      <c r="CA350" t="e">
        <f>'North America'!G685+"n/&gt;!2CA"</f>
        <v>#VALUE!</v>
      </c>
      <c r="CB350" t="e">
        <f>'North America'!H685+"n/&gt;!2CB"</f>
        <v>#VALUE!</v>
      </c>
      <c r="CC350" t="e">
        <f>'North America'!I685+"n/&gt;!2CC"</f>
        <v>#VALUE!</v>
      </c>
      <c r="CD350" t="e">
        <f>'North America'!A686+"n/&gt;!2CD"</f>
        <v>#VALUE!</v>
      </c>
      <c r="CE350" t="e">
        <f>'North America'!B686+"n/&gt;!2CE"</f>
        <v>#VALUE!</v>
      </c>
      <c r="CF350" t="e">
        <f>'North America'!C686+"n/&gt;!2CF"</f>
        <v>#VALUE!</v>
      </c>
      <c r="CG350" t="e">
        <f>'North America'!D686+"n/&gt;!2CG"</f>
        <v>#VALUE!</v>
      </c>
      <c r="CH350" t="e">
        <f>'North America'!E686+"n/&gt;!2CH"</f>
        <v>#VALUE!</v>
      </c>
      <c r="CI350" t="e">
        <f>'North America'!F686+"n/&gt;!2CI"</f>
        <v>#VALUE!</v>
      </c>
      <c r="CJ350" t="e">
        <f>'North America'!G686+"n/&gt;!2CJ"</f>
        <v>#VALUE!</v>
      </c>
      <c r="CK350" t="e">
        <f>'North America'!H686+"n/&gt;!2CK"</f>
        <v>#VALUE!</v>
      </c>
      <c r="CL350" t="e">
        <f>'North America'!I686+"n/&gt;!2CL"</f>
        <v>#VALUE!</v>
      </c>
      <c r="CM350" t="e">
        <f>'North America'!A687+"n/&gt;!2CM"</f>
        <v>#VALUE!</v>
      </c>
      <c r="CN350" t="e">
        <f>'North America'!B687+"n/&gt;!2CN"</f>
        <v>#VALUE!</v>
      </c>
      <c r="CO350" t="e">
        <f>'North America'!C687+"n/&gt;!2CO"</f>
        <v>#VALUE!</v>
      </c>
      <c r="CP350" t="e">
        <f>'North America'!D687+"n/&gt;!2CP"</f>
        <v>#VALUE!</v>
      </c>
      <c r="CQ350" t="e">
        <f>'North America'!E687+"n/&gt;!2CQ"</f>
        <v>#VALUE!</v>
      </c>
      <c r="CR350" t="e">
        <f>'North America'!F687+"n/&gt;!2CR"</f>
        <v>#VALUE!</v>
      </c>
      <c r="CS350" t="e">
        <f>'North America'!G687+"n/&gt;!2CS"</f>
        <v>#VALUE!</v>
      </c>
      <c r="CT350" t="e">
        <f>'North America'!H687+"n/&gt;!2CT"</f>
        <v>#VALUE!</v>
      </c>
      <c r="CU350" t="e">
        <f>'North America'!I687+"n/&gt;!2CU"</f>
        <v>#VALUE!</v>
      </c>
      <c r="CV350" t="e">
        <f>'North America'!A688+"n/&gt;!2CV"</f>
        <v>#VALUE!</v>
      </c>
      <c r="CW350" t="e">
        <f>'North America'!B688+"n/&gt;!2CW"</f>
        <v>#VALUE!</v>
      </c>
      <c r="CX350" t="e">
        <f>'North America'!C688+"n/&gt;!2CX"</f>
        <v>#VALUE!</v>
      </c>
      <c r="CY350" t="e">
        <f>'North America'!D688+"n/&gt;!2CY"</f>
        <v>#VALUE!</v>
      </c>
      <c r="CZ350" t="e">
        <f>'North America'!E688+"n/&gt;!2CZ"</f>
        <v>#VALUE!</v>
      </c>
      <c r="DA350" t="e">
        <f>'North America'!F688+"n/&gt;!2C["</f>
        <v>#VALUE!</v>
      </c>
      <c r="DB350" t="e">
        <f>'North America'!G688+"n/&gt;!2C\"</f>
        <v>#VALUE!</v>
      </c>
      <c r="DC350" t="e">
        <f>'North America'!H688+"n/&gt;!2C]"</f>
        <v>#VALUE!</v>
      </c>
      <c r="DD350" t="e">
        <f>'North America'!I688+"n/&gt;!2C^"</f>
        <v>#VALUE!</v>
      </c>
      <c r="DE350" t="e">
        <f>'North America'!A689+"n/&gt;!2C_"</f>
        <v>#VALUE!</v>
      </c>
      <c r="DF350" t="e">
        <f>'North America'!B689+"n/&gt;!2C`"</f>
        <v>#VALUE!</v>
      </c>
      <c r="DG350" t="e">
        <f>'North America'!C689+"n/&gt;!2Ca"</f>
        <v>#VALUE!</v>
      </c>
      <c r="DH350" t="e">
        <f>'North America'!D689+"n/&gt;!2Cb"</f>
        <v>#VALUE!</v>
      </c>
      <c r="DI350" t="e">
        <f>'North America'!E689+"n/&gt;!2Cc"</f>
        <v>#VALUE!</v>
      </c>
      <c r="DJ350" t="e">
        <f>'North America'!F689+"n/&gt;!2Cd"</f>
        <v>#VALUE!</v>
      </c>
      <c r="DK350" t="e">
        <f>'North America'!G689+"n/&gt;!2Ce"</f>
        <v>#VALUE!</v>
      </c>
      <c r="DL350" t="e">
        <f>'North America'!H689+"n/&gt;!2Cf"</f>
        <v>#VALUE!</v>
      </c>
      <c r="DM350" t="e">
        <f>'North America'!I689+"n/&gt;!2Cg"</f>
        <v>#VALUE!</v>
      </c>
      <c r="DN350" t="e">
        <f>'North America'!A690+"n/&gt;!2Ch"</f>
        <v>#VALUE!</v>
      </c>
      <c r="DO350" t="e">
        <f>'North America'!B690+"n/&gt;!2Ci"</f>
        <v>#VALUE!</v>
      </c>
      <c r="DP350" t="e">
        <f>'North America'!C690+"n/&gt;!2Cj"</f>
        <v>#VALUE!</v>
      </c>
      <c r="DQ350" t="e">
        <f>'North America'!D690+"n/&gt;!2Ck"</f>
        <v>#VALUE!</v>
      </c>
      <c r="DR350" t="e">
        <f>'North America'!E690+"n/&gt;!2Cl"</f>
        <v>#VALUE!</v>
      </c>
      <c r="DS350" t="e">
        <f>'North America'!F690+"n/&gt;!2Cm"</f>
        <v>#VALUE!</v>
      </c>
      <c r="DT350" t="e">
        <f>'North America'!G690+"n/&gt;!2Cn"</f>
        <v>#VALUE!</v>
      </c>
      <c r="DU350" t="e">
        <f>'North America'!H690+"n/&gt;!2Co"</f>
        <v>#VALUE!</v>
      </c>
      <c r="DV350" t="e">
        <f>'North America'!I690+"n/&gt;!2Cp"</f>
        <v>#VALUE!</v>
      </c>
      <c r="DW350" t="e">
        <f>'North America'!A691+"n/&gt;!2Cq"</f>
        <v>#VALUE!</v>
      </c>
      <c r="DX350" t="e">
        <f>'North America'!B691+"n/&gt;!2Cr"</f>
        <v>#VALUE!</v>
      </c>
      <c r="DY350" t="e">
        <f>'North America'!C691+"n/&gt;!2Cs"</f>
        <v>#VALUE!</v>
      </c>
      <c r="DZ350" t="e">
        <f>'North America'!D691+"n/&gt;!2Ct"</f>
        <v>#VALUE!</v>
      </c>
      <c r="EA350" t="e">
        <f>'North America'!E691+"n/&gt;!2Cu"</f>
        <v>#VALUE!</v>
      </c>
      <c r="EB350" t="e">
        <f>'North America'!F691+"n/&gt;!2Cv"</f>
        <v>#VALUE!</v>
      </c>
      <c r="EC350" t="e">
        <f>'North America'!G691+"n/&gt;!2Cw"</f>
        <v>#VALUE!</v>
      </c>
      <c r="ED350" t="e">
        <f>'North America'!H691+"n/&gt;!2Cx"</f>
        <v>#VALUE!</v>
      </c>
      <c r="EE350" t="e">
        <f>'North America'!I691+"n/&gt;!2Cy"</f>
        <v>#VALUE!</v>
      </c>
      <c r="EF350" t="e">
        <f>'North America'!A692+"n/&gt;!2Cz"</f>
        <v>#VALUE!</v>
      </c>
      <c r="EG350" t="e">
        <f>'North America'!B692+"n/&gt;!2C{"</f>
        <v>#VALUE!</v>
      </c>
      <c r="EH350" t="e">
        <f>'North America'!C692+"n/&gt;!2C|"</f>
        <v>#VALUE!</v>
      </c>
      <c r="EI350" t="e">
        <f>'North America'!D692+"n/&gt;!2C}"</f>
        <v>#VALUE!</v>
      </c>
      <c r="EJ350" t="e">
        <f>'North America'!E692+"n/&gt;!2C~"</f>
        <v>#VALUE!</v>
      </c>
      <c r="EK350" t="e">
        <f>'North America'!F692+"n/&gt;!2D#"</f>
        <v>#VALUE!</v>
      </c>
      <c r="EL350" t="e">
        <f>'North America'!G692+"n/&gt;!2D$"</f>
        <v>#VALUE!</v>
      </c>
      <c r="EM350" t="e">
        <f>'North America'!H692+"n/&gt;!2D%"</f>
        <v>#VALUE!</v>
      </c>
      <c r="EN350" t="e">
        <f>'North America'!I692+"n/&gt;!2D&amp;"</f>
        <v>#VALUE!</v>
      </c>
      <c r="EO350" t="e">
        <f>'North America'!A693+"n/&gt;!2D'"</f>
        <v>#VALUE!</v>
      </c>
      <c r="EP350" t="e">
        <f>'North America'!B693+"n/&gt;!2D("</f>
        <v>#VALUE!</v>
      </c>
      <c r="EQ350" t="e">
        <f>'North America'!C693+"n/&gt;!2D)"</f>
        <v>#VALUE!</v>
      </c>
      <c r="ER350" t="e">
        <f>'North America'!D693+"n/&gt;!2D."</f>
        <v>#VALUE!</v>
      </c>
      <c r="ES350" t="e">
        <f>'North America'!E693+"n/&gt;!2D/"</f>
        <v>#VALUE!</v>
      </c>
      <c r="ET350" t="e">
        <f>'North America'!F693+"n/&gt;!2D0"</f>
        <v>#VALUE!</v>
      </c>
      <c r="EU350" t="e">
        <f>'North America'!G693+"n/&gt;!2D1"</f>
        <v>#VALUE!</v>
      </c>
      <c r="EV350" t="e">
        <f>'North America'!H693+"n/&gt;!2D2"</f>
        <v>#VALUE!</v>
      </c>
      <c r="EW350" t="e">
        <f>'North America'!I693+"n/&gt;!2D3"</f>
        <v>#VALUE!</v>
      </c>
      <c r="EX350" t="e">
        <f>'North America'!A694+"n/&gt;!2D4"</f>
        <v>#VALUE!</v>
      </c>
      <c r="EY350" t="e">
        <f>'North America'!B694+"n/&gt;!2D5"</f>
        <v>#VALUE!</v>
      </c>
      <c r="EZ350" t="e">
        <f>'North America'!C694+"n/&gt;!2D6"</f>
        <v>#VALUE!</v>
      </c>
      <c r="FA350" t="e">
        <f>'North America'!D694+"n/&gt;!2D7"</f>
        <v>#VALUE!</v>
      </c>
      <c r="FB350" t="e">
        <f>'North America'!E694+"n/&gt;!2D8"</f>
        <v>#VALUE!</v>
      </c>
      <c r="FC350" t="e">
        <f>'North America'!F694+"n/&gt;!2D9"</f>
        <v>#VALUE!</v>
      </c>
      <c r="FD350" t="e">
        <f>'North America'!G694+"n/&gt;!2D:"</f>
        <v>#VALUE!</v>
      </c>
      <c r="FE350" t="e">
        <f>'North America'!H694+"n/&gt;!2D;"</f>
        <v>#VALUE!</v>
      </c>
      <c r="FF350" t="e">
        <f>'North America'!I694+"n/&gt;!2D&lt;"</f>
        <v>#VALUE!</v>
      </c>
      <c r="FG350" t="e">
        <f>'North America'!A695+"n/&gt;!2D="</f>
        <v>#VALUE!</v>
      </c>
      <c r="FH350" t="e">
        <f>'North America'!B695+"n/&gt;!2D&gt;"</f>
        <v>#VALUE!</v>
      </c>
      <c r="FI350" t="e">
        <f>'North America'!C695+"n/&gt;!2D?"</f>
        <v>#VALUE!</v>
      </c>
      <c r="FJ350" t="e">
        <f>'North America'!D695+"n/&gt;!2D@"</f>
        <v>#VALUE!</v>
      </c>
      <c r="FK350" t="e">
        <f>'North America'!E695+"n/&gt;!2DA"</f>
        <v>#VALUE!</v>
      </c>
      <c r="FL350" t="e">
        <f>'North America'!F695+"n/&gt;!2DB"</f>
        <v>#VALUE!</v>
      </c>
      <c r="FM350" t="e">
        <f>'North America'!G695+"n/&gt;!2DC"</f>
        <v>#VALUE!</v>
      </c>
      <c r="FN350" t="e">
        <f>'North America'!H695+"n/&gt;!2DD"</f>
        <v>#VALUE!</v>
      </c>
      <c r="FO350" t="e">
        <f>'North America'!I695+"n/&gt;!2DE"</f>
        <v>#VALUE!</v>
      </c>
      <c r="FP350" t="e">
        <f>'North America'!A696+"n/&gt;!2DF"</f>
        <v>#VALUE!</v>
      </c>
      <c r="FQ350" t="e">
        <f>'North America'!B696+"n/&gt;!2DG"</f>
        <v>#VALUE!</v>
      </c>
      <c r="FR350" t="e">
        <f>'North America'!C696+"n/&gt;!2DH"</f>
        <v>#VALUE!</v>
      </c>
      <c r="FS350" t="e">
        <f>'North America'!D696+"n/&gt;!2DI"</f>
        <v>#VALUE!</v>
      </c>
      <c r="FT350" t="e">
        <f>'North America'!E696+"n/&gt;!2DJ"</f>
        <v>#VALUE!</v>
      </c>
      <c r="FU350" t="e">
        <f>'North America'!F696+"n/&gt;!2DK"</f>
        <v>#VALUE!</v>
      </c>
      <c r="FV350" t="e">
        <f>'North America'!G696+"n/&gt;!2DL"</f>
        <v>#VALUE!</v>
      </c>
      <c r="FW350" t="e">
        <f>'North America'!H696+"n/&gt;!2DM"</f>
        <v>#VALUE!</v>
      </c>
      <c r="FX350" t="e">
        <f>'North America'!I696+"n/&gt;!2DN"</f>
        <v>#VALUE!</v>
      </c>
      <c r="FY350" t="e">
        <f>'North America'!A697+"n/&gt;!2DO"</f>
        <v>#VALUE!</v>
      </c>
      <c r="FZ350" t="e">
        <f>'North America'!B697+"n/&gt;!2DP"</f>
        <v>#VALUE!</v>
      </c>
      <c r="GA350" t="e">
        <f>'North America'!C697+"n/&gt;!2DQ"</f>
        <v>#VALUE!</v>
      </c>
      <c r="GB350" t="e">
        <f>'North America'!D697+"n/&gt;!2DR"</f>
        <v>#VALUE!</v>
      </c>
      <c r="GC350" t="e">
        <f>'North America'!E697+"n/&gt;!2DS"</f>
        <v>#VALUE!</v>
      </c>
      <c r="GD350" t="e">
        <f>'North America'!F697+"n/&gt;!2DT"</f>
        <v>#VALUE!</v>
      </c>
      <c r="GE350" t="e">
        <f>'North America'!G697+"n/&gt;!2DU"</f>
        <v>#VALUE!</v>
      </c>
      <c r="GF350" t="e">
        <f>'North America'!H697+"n/&gt;!2DV"</f>
        <v>#VALUE!</v>
      </c>
      <c r="GG350" t="e">
        <f>'North America'!I697+"n/&gt;!2DW"</f>
        <v>#VALUE!</v>
      </c>
      <c r="GH350" t="e">
        <f>'North America'!A698+"n/&gt;!2DX"</f>
        <v>#VALUE!</v>
      </c>
      <c r="GI350" t="e">
        <f>'North America'!B698+"n/&gt;!2DY"</f>
        <v>#VALUE!</v>
      </c>
      <c r="GJ350" t="e">
        <f>'North America'!C698+"n/&gt;!2DZ"</f>
        <v>#VALUE!</v>
      </c>
      <c r="GK350" t="e">
        <f>'North America'!D698+"n/&gt;!2D["</f>
        <v>#VALUE!</v>
      </c>
      <c r="GL350" t="e">
        <f>'North America'!E698+"n/&gt;!2D\"</f>
        <v>#VALUE!</v>
      </c>
      <c r="GM350" t="e">
        <f>'North America'!F698+"n/&gt;!2D]"</f>
        <v>#VALUE!</v>
      </c>
      <c r="GN350" t="e">
        <f>'North America'!G698+"n/&gt;!2D^"</f>
        <v>#VALUE!</v>
      </c>
      <c r="GO350" t="e">
        <f>'North America'!H698+"n/&gt;!2D_"</f>
        <v>#VALUE!</v>
      </c>
      <c r="GP350" t="e">
        <f>'North America'!I698+"n/&gt;!2D`"</f>
        <v>#VALUE!</v>
      </c>
      <c r="GQ350" t="e">
        <f>'North America'!A699+"n/&gt;!2Da"</f>
        <v>#VALUE!</v>
      </c>
      <c r="GR350" t="e">
        <f>'North America'!B699+"n/&gt;!2Db"</f>
        <v>#VALUE!</v>
      </c>
      <c r="GS350" t="e">
        <f>'North America'!C699+"n/&gt;!2Dc"</f>
        <v>#VALUE!</v>
      </c>
      <c r="GT350" t="e">
        <f>'North America'!D699+"n/&gt;!2Dd"</f>
        <v>#VALUE!</v>
      </c>
      <c r="GU350" t="e">
        <f>'North America'!E699+"n/&gt;!2De"</f>
        <v>#VALUE!</v>
      </c>
      <c r="GV350" t="e">
        <f>'North America'!F699+"n/&gt;!2Df"</f>
        <v>#VALUE!</v>
      </c>
      <c r="GW350" t="e">
        <f>'North America'!G699+"n/&gt;!2Dg"</f>
        <v>#VALUE!</v>
      </c>
      <c r="GX350" t="e">
        <f>'North America'!H699+"n/&gt;!2Dh"</f>
        <v>#VALUE!</v>
      </c>
      <c r="GY350" t="e">
        <f>'North America'!I699+"n/&gt;!2Di"</f>
        <v>#VALUE!</v>
      </c>
      <c r="GZ350" t="e">
        <f>'North America'!A700+"n/&gt;!2Dj"</f>
        <v>#VALUE!</v>
      </c>
      <c r="HA350" t="e">
        <f>'North America'!B700+"n/&gt;!2Dk"</f>
        <v>#VALUE!</v>
      </c>
      <c r="HB350" t="e">
        <f>'North America'!C700+"n/&gt;!2Dl"</f>
        <v>#VALUE!</v>
      </c>
      <c r="HC350" t="e">
        <f>'North America'!D700+"n/&gt;!2Dm"</f>
        <v>#VALUE!</v>
      </c>
      <c r="HD350" t="e">
        <f>'North America'!E700+"n/&gt;!2Dn"</f>
        <v>#VALUE!</v>
      </c>
      <c r="HE350" t="e">
        <f>'North America'!F700+"n/&gt;!2Do"</f>
        <v>#VALUE!</v>
      </c>
      <c r="HF350" t="e">
        <f>'North America'!G700+"n/&gt;!2Dp"</f>
        <v>#VALUE!</v>
      </c>
      <c r="HG350" t="e">
        <f>'North America'!H700+"n/&gt;!2Dq"</f>
        <v>#VALUE!</v>
      </c>
      <c r="HH350" t="e">
        <f>'North America'!I700+"n/&gt;!2Dr"</f>
        <v>#VALUE!</v>
      </c>
      <c r="HI350" t="e">
        <f>'North America'!A701+"n/&gt;!2Ds"</f>
        <v>#VALUE!</v>
      </c>
      <c r="HJ350" t="e">
        <f>'North America'!B701+"n/&gt;!2Dt"</f>
        <v>#VALUE!</v>
      </c>
      <c r="HK350" t="e">
        <f>'North America'!C701+"n/&gt;!2Du"</f>
        <v>#VALUE!</v>
      </c>
      <c r="HL350" t="e">
        <f>'North America'!D701+"n/&gt;!2Dv"</f>
        <v>#VALUE!</v>
      </c>
      <c r="HM350" t="e">
        <f>'North America'!E701+"n/&gt;!2Dw"</f>
        <v>#VALUE!</v>
      </c>
      <c r="HN350" t="e">
        <f>'North America'!F701+"n/&gt;!2Dx"</f>
        <v>#VALUE!</v>
      </c>
      <c r="HO350" t="e">
        <f>'North America'!G701+"n/&gt;!2Dy"</f>
        <v>#VALUE!</v>
      </c>
      <c r="HP350" t="e">
        <f>'North America'!H701+"n/&gt;!2Dz"</f>
        <v>#VALUE!</v>
      </c>
      <c r="HQ350" t="e">
        <f>'North America'!I701+"n/&gt;!2D{"</f>
        <v>#VALUE!</v>
      </c>
      <c r="HR350" t="e">
        <f>'North America'!A702+"n/&gt;!2D|"</f>
        <v>#VALUE!</v>
      </c>
      <c r="HS350" t="e">
        <f>'North America'!B702+"n/&gt;!2D}"</f>
        <v>#VALUE!</v>
      </c>
      <c r="HT350" t="e">
        <f>'North America'!C702+"n/&gt;!2D~"</f>
        <v>#VALUE!</v>
      </c>
      <c r="HU350" t="e">
        <f>'North America'!D702+"n/&gt;!2E#"</f>
        <v>#VALUE!</v>
      </c>
      <c r="HV350" t="e">
        <f>'North America'!E702+"n/&gt;!2E$"</f>
        <v>#VALUE!</v>
      </c>
      <c r="HW350" t="e">
        <f>'North America'!F702+"n/&gt;!2E%"</f>
        <v>#VALUE!</v>
      </c>
      <c r="HX350" t="e">
        <f>'North America'!G702+"n/&gt;!2E&amp;"</f>
        <v>#VALUE!</v>
      </c>
      <c r="HY350" t="e">
        <f>'North America'!H702+"n/&gt;!2E'"</f>
        <v>#VALUE!</v>
      </c>
      <c r="HZ350" t="e">
        <f>'North America'!I702+"n/&gt;!2E("</f>
        <v>#VALUE!</v>
      </c>
      <c r="IA350" t="e">
        <f>'North America'!A703+"n/&gt;!2E)"</f>
        <v>#VALUE!</v>
      </c>
      <c r="IB350" t="e">
        <f>'North America'!B703+"n/&gt;!2E."</f>
        <v>#VALUE!</v>
      </c>
      <c r="IC350" t="e">
        <f>'North America'!C703+"n/&gt;!2E/"</f>
        <v>#VALUE!</v>
      </c>
      <c r="ID350" t="e">
        <f>'North America'!D703+"n/&gt;!2E0"</f>
        <v>#VALUE!</v>
      </c>
      <c r="IE350" t="e">
        <f>'North America'!E703+"n/&gt;!2E1"</f>
        <v>#VALUE!</v>
      </c>
      <c r="IF350" t="e">
        <f>'North America'!F703+"n/&gt;!2E2"</f>
        <v>#VALUE!</v>
      </c>
      <c r="IG350" t="e">
        <f>'North America'!G703+"n/&gt;!2E3"</f>
        <v>#VALUE!</v>
      </c>
      <c r="IH350" t="e">
        <f>'North America'!H703+"n/&gt;!2E4"</f>
        <v>#VALUE!</v>
      </c>
      <c r="II350" t="e">
        <f>'North America'!I703+"n/&gt;!2E5"</f>
        <v>#VALUE!</v>
      </c>
      <c r="IJ350" t="e">
        <f>'North America'!A704+"n/&gt;!2E6"</f>
        <v>#VALUE!</v>
      </c>
      <c r="IK350" t="e">
        <f>'North America'!B704+"n/&gt;!2E7"</f>
        <v>#VALUE!</v>
      </c>
      <c r="IL350" t="e">
        <f>'North America'!C704+"n/&gt;!2E8"</f>
        <v>#VALUE!</v>
      </c>
      <c r="IM350" t="e">
        <f>'North America'!D704+"n/&gt;!2E9"</f>
        <v>#VALUE!</v>
      </c>
      <c r="IN350" t="e">
        <f>'North America'!E704+"n/&gt;!2E:"</f>
        <v>#VALUE!</v>
      </c>
      <c r="IO350" t="e">
        <f>'North America'!F704+"n/&gt;!2E;"</f>
        <v>#VALUE!</v>
      </c>
      <c r="IP350" t="e">
        <f>'North America'!G704+"n/&gt;!2E&lt;"</f>
        <v>#VALUE!</v>
      </c>
      <c r="IQ350" t="e">
        <f>'North America'!H704+"n/&gt;!2E="</f>
        <v>#VALUE!</v>
      </c>
      <c r="IR350" t="e">
        <f>'North America'!I704+"n/&gt;!2E&gt;"</f>
        <v>#VALUE!</v>
      </c>
      <c r="IS350" t="e">
        <f>'North America'!A705+"n/&gt;!2E?"</f>
        <v>#VALUE!</v>
      </c>
      <c r="IT350" t="e">
        <f>'North America'!B705+"n/&gt;!2E@"</f>
        <v>#VALUE!</v>
      </c>
      <c r="IU350" t="e">
        <f>'North America'!C705+"n/&gt;!2EA"</f>
        <v>#VALUE!</v>
      </c>
      <c r="IV350" t="e">
        <f>'North America'!D705+"n/&gt;!2EB"</f>
        <v>#VALUE!</v>
      </c>
    </row>
    <row r="351" spans="6:256" x14ac:dyDescent="0.35">
      <c r="F351" t="e">
        <f>'North America'!E705+"n/&gt;!2EC"</f>
        <v>#VALUE!</v>
      </c>
      <c r="G351" t="e">
        <f>'North America'!F705+"n/&gt;!2ED"</f>
        <v>#VALUE!</v>
      </c>
      <c r="H351" t="e">
        <f>'North America'!G705+"n/&gt;!2EE"</f>
        <v>#VALUE!</v>
      </c>
      <c r="I351" t="e">
        <f>'North America'!H705+"n/&gt;!2EF"</f>
        <v>#VALUE!</v>
      </c>
      <c r="J351" t="e">
        <f>'North America'!I705+"n/&gt;!2EG"</f>
        <v>#VALUE!</v>
      </c>
      <c r="K351" t="e">
        <f>'North America'!A706+"n/&gt;!2EH"</f>
        <v>#VALUE!</v>
      </c>
      <c r="L351" t="e">
        <f>'North America'!B706+"n/&gt;!2EI"</f>
        <v>#VALUE!</v>
      </c>
      <c r="M351" t="e">
        <f>'North America'!C706+"n/&gt;!2EJ"</f>
        <v>#VALUE!</v>
      </c>
      <c r="N351" t="e">
        <f>'North America'!D706+"n/&gt;!2EK"</f>
        <v>#VALUE!</v>
      </c>
      <c r="O351" t="e">
        <f>'North America'!E706+"n/&gt;!2EL"</f>
        <v>#VALUE!</v>
      </c>
      <c r="P351" t="e">
        <f>'North America'!F706+"n/&gt;!2EM"</f>
        <v>#VALUE!</v>
      </c>
      <c r="Q351" t="e">
        <f>'North America'!G706+"n/&gt;!2EN"</f>
        <v>#VALUE!</v>
      </c>
      <c r="R351" t="e">
        <f>'North America'!H706+"n/&gt;!2EO"</f>
        <v>#VALUE!</v>
      </c>
      <c r="S351" t="e">
        <f>'North America'!I706+"n/&gt;!2EP"</f>
        <v>#VALUE!</v>
      </c>
      <c r="T351" t="e">
        <f>'North America'!A707+"n/&gt;!2EQ"</f>
        <v>#VALUE!</v>
      </c>
      <c r="U351" t="e">
        <f>'North America'!B707+"n/&gt;!2ER"</f>
        <v>#VALUE!</v>
      </c>
      <c r="V351" t="e">
        <f>'North America'!C707+"n/&gt;!2ES"</f>
        <v>#VALUE!</v>
      </c>
      <c r="W351" t="e">
        <f>'North America'!D707+"n/&gt;!2ET"</f>
        <v>#VALUE!</v>
      </c>
      <c r="X351" t="e">
        <f>'North America'!E707+"n/&gt;!2EU"</f>
        <v>#VALUE!</v>
      </c>
      <c r="Y351" t="e">
        <f>'North America'!F707+"n/&gt;!2EV"</f>
        <v>#VALUE!</v>
      </c>
      <c r="Z351" t="e">
        <f>'North America'!G707+"n/&gt;!2EW"</f>
        <v>#VALUE!</v>
      </c>
      <c r="AA351" t="e">
        <f>'North America'!I707+"n/&gt;!2EX"</f>
        <v>#VALUE!</v>
      </c>
      <c r="AB351" t="e">
        <f>'North America'!A708+"n/&gt;!2EY"</f>
        <v>#VALUE!</v>
      </c>
      <c r="AC351" t="e">
        <f>'North America'!B708+"n/&gt;!2EZ"</f>
        <v>#VALUE!</v>
      </c>
      <c r="AD351" t="e">
        <f>'North America'!C708+"n/&gt;!2E["</f>
        <v>#VALUE!</v>
      </c>
      <c r="AE351" t="e">
        <f>'North America'!D708+"n/&gt;!2E\"</f>
        <v>#VALUE!</v>
      </c>
      <c r="AF351" t="e">
        <f>'North America'!E708+"n/&gt;!2E]"</f>
        <v>#VALUE!</v>
      </c>
      <c r="AG351" t="e">
        <f>'North America'!F708+"n/&gt;!2E^"</f>
        <v>#VALUE!</v>
      </c>
      <c r="AH351" t="e">
        <f>'North America'!G708+"n/&gt;!2E_"</f>
        <v>#VALUE!</v>
      </c>
      <c r="AI351" t="e">
        <f>'North America'!I708+"n/&gt;!2E`"</f>
        <v>#VALUE!</v>
      </c>
      <c r="AJ351" t="e">
        <f>'North America'!A709+"n/&gt;!2Ea"</f>
        <v>#VALUE!</v>
      </c>
      <c r="AK351" t="e">
        <f>'North America'!B709+"n/&gt;!2Eb"</f>
        <v>#VALUE!</v>
      </c>
      <c r="AL351" t="e">
        <f>'North America'!C709+"n/&gt;!2Ec"</f>
        <v>#VALUE!</v>
      </c>
      <c r="AM351" t="e">
        <f>'North America'!D709+"n/&gt;!2Ed"</f>
        <v>#VALUE!</v>
      </c>
      <c r="AN351" t="e">
        <f>'North America'!E709+"n/&gt;!2Ee"</f>
        <v>#VALUE!</v>
      </c>
      <c r="AO351" t="e">
        <f>'North America'!F709+"n/&gt;!2Ef"</f>
        <v>#VALUE!</v>
      </c>
      <c r="AP351" t="e">
        <f>'North America'!G709+"n/&gt;!2Eg"</f>
        <v>#VALUE!</v>
      </c>
      <c r="AQ351" t="e">
        <f>'North America'!H709+"n/&gt;!2Eh"</f>
        <v>#VALUE!</v>
      </c>
      <c r="AR351" t="e">
        <f>'North America'!I709+"n/&gt;!2Ei"</f>
        <v>#VALUE!</v>
      </c>
      <c r="AS351" t="e">
        <f>'North America'!A710+"n/&gt;!2Ej"</f>
        <v>#VALUE!</v>
      </c>
      <c r="AT351" t="e">
        <f>'North America'!B710+"n/&gt;!2Ek"</f>
        <v>#VALUE!</v>
      </c>
      <c r="AU351" t="e">
        <f>'North America'!C710+"n/&gt;!2El"</f>
        <v>#VALUE!</v>
      </c>
      <c r="AV351" t="e">
        <f>'North America'!D710+"n/&gt;!2Em"</f>
        <v>#VALUE!</v>
      </c>
      <c r="AW351" t="e">
        <f>'North America'!E710+"n/&gt;!2En"</f>
        <v>#VALUE!</v>
      </c>
      <c r="AX351" t="e">
        <f>'North America'!F710+"n/&gt;!2Eo"</f>
        <v>#VALUE!</v>
      </c>
      <c r="AY351" t="e">
        <f>'North America'!G710+"n/&gt;!2Ep"</f>
        <v>#VALUE!</v>
      </c>
      <c r="AZ351" t="e">
        <f>'North America'!H710+"n/&gt;!2Eq"</f>
        <v>#VALUE!</v>
      </c>
      <c r="BA351" t="e">
        <f>'North America'!I710+"n/&gt;!2Er"</f>
        <v>#VALUE!</v>
      </c>
      <c r="BB351" t="e">
        <f>'North America'!A711+"n/&gt;!2Es"</f>
        <v>#VALUE!</v>
      </c>
      <c r="BC351" t="e">
        <f>'North America'!B711+"n/&gt;!2Et"</f>
        <v>#VALUE!</v>
      </c>
      <c r="BD351" t="e">
        <f>'North America'!C711+"n/&gt;!2Eu"</f>
        <v>#VALUE!</v>
      </c>
      <c r="BE351" t="e">
        <f>'North America'!D711+"n/&gt;!2Ev"</f>
        <v>#VALUE!</v>
      </c>
      <c r="BF351" t="e">
        <f>'North America'!E711+"n/&gt;!2Ew"</f>
        <v>#VALUE!</v>
      </c>
      <c r="BG351" t="e">
        <f>'North America'!F711+"n/&gt;!2Ex"</f>
        <v>#VALUE!</v>
      </c>
      <c r="BH351" t="e">
        <f>'North America'!G711+"n/&gt;!2Ey"</f>
        <v>#VALUE!</v>
      </c>
      <c r="BI351" t="e">
        <f>'North America'!H711+"n/&gt;!2Ez"</f>
        <v>#VALUE!</v>
      </c>
      <c r="BJ351" t="e">
        <f>'North America'!I711+"n/&gt;!2E{"</f>
        <v>#VALUE!</v>
      </c>
      <c r="BK351" t="e">
        <f>'North America'!A712+"n/&gt;!2E|"</f>
        <v>#VALUE!</v>
      </c>
      <c r="BL351" t="e">
        <f>'North America'!B712+"n/&gt;!2E}"</f>
        <v>#VALUE!</v>
      </c>
      <c r="BM351" t="e">
        <f>'North America'!C712+"n/&gt;!2E~"</f>
        <v>#VALUE!</v>
      </c>
      <c r="BN351" t="e">
        <f>'North America'!D712+"n/&gt;!2F#"</f>
        <v>#VALUE!</v>
      </c>
      <c r="BO351" t="e">
        <f>'North America'!E712+"n/&gt;!2F$"</f>
        <v>#VALUE!</v>
      </c>
      <c r="BP351" t="e">
        <f>'North America'!F712+"n/&gt;!2F%"</f>
        <v>#VALUE!</v>
      </c>
      <c r="BQ351" t="e">
        <f>'North America'!G712+"n/&gt;!2F&amp;"</f>
        <v>#VALUE!</v>
      </c>
      <c r="BR351" t="e">
        <f>'North America'!H712+"n/&gt;!2F'"</f>
        <v>#VALUE!</v>
      </c>
      <c r="BS351" t="e">
        <f>'North America'!I712+"n/&gt;!2F("</f>
        <v>#VALUE!</v>
      </c>
      <c r="BT351" t="e">
        <f>'North America'!A713+"n/&gt;!2F)"</f>
        <v>#VALUE!</v>
      </c>
      <c r="BU351" t="e">
        <f>'North America'!B713+"n/&gt;!2F."</f>
        <v>#VALUE!</v>
      </c>
      <c r="BV351" t="e">
        <f>'North America'!C713+"n/&gt;!2F/"</f>
        <v>#VALUE!</v>
      </c>
      <c r="BW351" t="e">
        <f>'North America'!D713+"n/&gt;!2F0"</f>
        <v>#VALUE!</v>
      </c>
      <c r="BX351" t="e">
        <f>'North America'!E713+"n/&gt;!2F1"</f>
        <v>#VALUE!</v>
      </c>
      <c r="BY351" t="e">
        <f>'North America'!F713+"n/&gt;!2F2"</f>
        <v>#VALUE!</v>
      </c>
      <c r="BZ351" t="e">
        <f>'North America'!G713+"n/&gt;!2F3"</f>
        <v>#VALUE!</v>
      </c>
      <c r="CA351" t="e">
        <f>'North America'!H713+"n/&gt;!2F4"</f>
        <v>#VALUE!</v>
      </c>
      <c r="CB351" t="e">
        <f>'North America'!I713+"n/&gt;!2F5"</f>
        <v>#VALUE!</v>
      </c>
      <c r="CC351" t="e">
        <f>'North America'!A714+"n/&gt;!2F6"</f>
        <v>#VALUE!</v>
      </c>
      <c r="CD351" t="e">
        <f>'North America'!B714+"n/&gt;!2F7"</f>
        <v>#VALUE!</v>
      </c>
      <c r="CE351" t="e">
        <f>'North America'!C714+"n/&gt;!2F8"</f>
        <v>#VALUE!</v>
      </c>
      <c r="CF351" t="e">
        <f>'North America'!D714+"n/&gt;!2F9"</f>
        <v>#VALUE!</v>
      </c>
      <c r="CG351" t="e">
        <f>'North America'!E714+"n/&gt;!2F:"</f>
        <v>#VALUE!</v>
      </c>
      <c r="CH351" t="e">
        <f>'North America'!F714+"n/&gt;!2F;"</f>
        <v>#VALUE!</v>
      </c>
      <c r="CI351" t="e">
        <f>'North America'!G714+"n/&gt;!2F&lt;"</f>
        <v>#VALUE!</v>
      </c>
      <c r="CJ351" t="e">
        <f>'North America'!H714+"n/&gt;!2F="</f>
        <v>#VALUE!</v>
      </c>
      <c r="CK351" t="e">
        <f>'North America'!I714+"n/&gt;!2F&gt;"</f>
        <v>#VALUE!</v>
      </c>
      <c r="CL351" t="e">
        <f>'North America'!A715+"n/&gt;!2F?"</f>
        <v>#VALUE!</v>
      </c>
      <c r="CM351" t="e">
        <f>'North America'!B715+"n/&gt;!2F@"</f>
        <v>#VALUE!</v>
      </c>
      <c r="CN351" t="e">
        <f>'North America'!C715+"n/&gt;!2FA"</f>
        <v>#VALUE!</v>
      </c>
      <c r="CO351" t="e">
        <f>'North America'!D715+"n/&gt;!2FB"</f>
        <v>#VALUE!</v>
      </c>
      <c r="CP351" t="e">
        <f>'North America'!E715+"n/&gt;!2FC"</f>
        <v>#VALUE!</v>
      </c>
      <c r="CQ351" t="e">
        <f>'North America'!F715+"n/&gt;!2FD"</f>
        <v>#VALUE!</v>
      </c>
      <c r="CR351" t="e">
        <f>'North America'!G715+"n/&gt;!2FE"</f>
        <v>#VALUE!</v>
      </c>
      <c r="CS351" t="e">
        <f>'North America'!H715+"n/&gt;!2FF"</f>
        <v>#VALUE!</v>
      </c>
      <c r="CT351" t="e">
        <f>'North America'!I715+"n/&gt;!2FG"</f>
        <v>#VALUE!</v>
      </c>
      <c r="CU351" t="e">
        <f>'North America'!A716+"n/&gt;!2FH"</f>
        <v>#VALUE!</v>
      </c>
      <c r="CV351" t="e">
        <f>'North America'!B716+"n/&gt;!2FI"</f>
        <v>#VALUE!</v>
      </c>
      <c r="CW351" t="e">
        <f>'North America'!C716+"n/&gt;!2FJ"</f>
        <v>#VALUE!</v>
      </c>
      <c r="CX351" t="e">
        <f>'North America'!D716+"n/&gt;!2FK"</f>
        <v>#VALUE!</v>
      </c>
      <c r="CY351" t="e">
        <f>'North America'!E716+"n/&gt;!2FL"</f>
        <v>#VALUE!</v>
      </c>
      <c r="CZ351" t="e">
        <f>'North America'!F716+"n/&gt;!2FM"</f>
        <v>#VALUE!</v>
      </c>
      <c r="DA351" t="e">
        <f>'North America'!G716+"n/&gt;!2FN"</f>
        <v>#VALUE!</v>
      </c>
      <c r="DB351" t="e">
        <f>'North America'!H716+"n/&gt;!2FO"</f>
        <v>#VALUE!</v>
      </c>
      <c r="DC351" t="e">
        <f>'North America'!I716+"n/&gt;!2FP"</f>
        <v>#VALUE!</v>
      </c>
      <c r="DD351" t="e">
        <f>'North America'!A717+"n/&gt;!2FQ"</f>
        <v>#VALUE!</v>
      </c>
      <c r="DE351" t="e">
        <f>'North America'!B717+"n/&gt;!2FR"</f>
        <v>#VALUE!</v>
      </c>
      <c r="DF351" t="e">
        <f>'North America'!C717+"n/&gt;!2FS"</f>
        <v>#VALUE!</v>
      </c>
      <c r="DG351" t="e">
        <f>'North America'!D717+"n/&gt;!2FT"</f>
        <v>#VALUE!</v>
      </c>
      <c r="DH351" t="e">
        <f>'North America'!E717+"n/&gt;!2FU"</f>
        <v>#VALUE!</v>
      </c>
      <c r="DI351" t="e">
        <f>'North America'!F717+"n/&gt;!2FV"</f>
        <v>#VALUE!</v>
      </c>
      <c r="DJ351" t="e">
        <f>'North America'!G717+"n/&gt;!2FW"</f>
        <v>#VALUE!</v>
      </c>
      <c r="DK351" t="e">
        <f>'North America'!H717+"n/&gt;!2FX"</f>
        <v>#VALUE!</v>
      </c>
      <c r="DL351" t="e">
        <f>'North America'!I717+"n/&gt;!2FY"</f>
        <v>#VALUE!</v>
      </c>
      <c r="DM351" t="e">
        <f>'North America'!A718+"n/&gt;!2FZ"</f>
        <v>#VALUE!</v>
      </c>
      <c r="DN351" t="e">
        <f>'North America'!B718+"n/&gt;!2F["</f>
        <v>#VALUE!</v>
      </c>
      <c r="DO351" t="e">
        <f>'North America'!C718+"n/&gt;!2F\"</f>
        <v>#VALUE!</v>
      </c>
      <c r="DP351" t="e">
        <f>'North America'!D718+"n/&gt;!2F]"</f>
        <v>#VALUE!</v>
      </c>
      <c r="DQ351" t="e">
        <f>'North America'!E718+"n/&gt;!2F^"</f>
        <v>#VALUE!</v>
      </c>
      <c r="DR351" t="e">
        <f>'North America'!F718+"n/&gt;!2F_"</f>
        <v>#VALUE!</v>
      </c>
      <c r="DS351" t="e">
        <f>'North America'!G718+"n/&gt;!2F`"</f>
        <v>#VALUE!</v>
      </c>
      <c r="DT351" t="e">
        <f>'North America'!H718+"n/&gt;!2Fa"</f>
        <v>#VALUE!</v>
      </c>
      <c r="DU351" t="e">
        <f>'North America'!I718+"n/&gt;!2Fb"</f>
        <v>#VALUE!</v>
      </c>
      <c r="DV351" t="e">
        <f>'North America'!A719+"n/&gt;!2Fc"</f>
        <v>#VALUE!</v>
      </c>
      <c r="DW351" t="e">
        <f>'North America'!B719+"n/&gt;!2Fd"</f>
        <v>#VALUE!</v>
      </c>
      <c r="DX351" t="e">
        <f>'North America'!C719+"n/&gt;!2Fe"</f>
        <v>#VALUE!</v>
      </c>
      <c r="DY351" t="e">
        <f>'North America'!D719+"n/&gt;!2Ff"</f>
        <v>#VALUE!</v>
      </c>
      <c r="DZ351" t="e">
        <f>'North America'!E719+"n/&gt;!2Fg"</f>
        <v>#VALUE!</v>
      </c>
      <c r="EA351" t="e">
        <f>'North America'!F719+"n/&gt;!2Fh"</f>
        <v>#VALUE!</v>
      </c>
      <c r="EB351" t="e">
        <f>'North America'!G719+"n/&gt;!2Fi"</f>
        <v>#VALUE!</v>
      </c>
      <c r="EC351" t="e">
        <f>'North America'!H719+"n/&gt;!2Fj"</f>
        <v>#VALUE!</v>
      </c>
      <c r="ED351" t="e">
        <f>'North America'!I719+"n/&gt;!2Fk"</f>
        <v>#VALUE!</v>
      </c>
      <c r="EE351" t="e">
        <f>'North America'!A720+"n/&gt;!2Fl"</f>
        <v>#VALUE!</v>
      </c>
      <c r="EF351" t="e">
        <f>'North America'!B720+"n/&gt;!2Fm"</f>
        <v>#VALUE!</v>
      </c>
      <c r="EG351" t="e">
        <f>'North America'!C720+"n/&gt;!2Fn"</f>
        <v>#VALUE!</v>
      </c>
      <c r="EH351" t="e">
        <f>'North America'!D720+"n/&gt;!2Fo"</f>
        <v>#VALUE!</v>
      </c>
      <c r="EI351" t="e">
        <f>'North America'!E720+"n/&gt;!2Fp"</f>
        <v>#VALUE!</v>
      </c>
      <c r="EJ351" t="e">
        <f>'North America'!F720+"n/&gt;!2Fq"</f>
        <v>#VALUE!</v>
      </c>
      <c r="EK351" t="e">
        <f>'North America'!G720+"n/&gt;!2Fr"</f>
        <v>#VALUE!</v>
      </c>
      <c r="EL351" t="e">
        <f>'North America'!H720+"n/&gt;!2Fs"</f>
        <v>#VALUE!</v>
      </c>
      <c r="EM351" t="e">
        <f>'North America'!I720+"n/&gt;!2Ft"</f>
        <v>#VALUE!</v>
      </c>
      <c r="EN351" t="e">
        <f>'North America'!A721+"n/&gt;!2Fu"</f>
        <v>#VALUE!</v>
      </c>
      <c r="EO351" t="e">
        <f>'North America'!B721+"n/&gt;!2Fv"</f>
        <v>#VALUE!</v>
      </c>
      <c r="EP351" t="e">
        <f>'North America'!C721+"n/&gt;!2Fw"</f>
        <v>#VALUE!</v>
      </c>
      <c r="EQ351" t="e">
        <f>'North America'!D721+"n/&gt;!2Fx"</f>
        <v>#VALUE!</v>
      </c>
      <c r="ER351" t="e">
        <f>'North America'!E721+"n/&gt;!2Fy"</f>
        <v>#VALUE!</v>
      </c>
      <c r="ES351" t="e">
        <f>'North America'!F721+"n/&gt;!2Fz"</f>
        <v>#VALUE!</v>
      </c>
      <c r="ET351" t="e">
        <f>'North America'!G721+"n/&gt;!2F{"</f>
        <v>#VALUE!</v>
      </c>
      <c r="EU351" t="e">
        <f>'North America'!H721+"n/&gt;!2F|"</f>
        <v>#VALUE!</v>
      </c>
      <c r="EV351" t="e">
        <f>'North America'!I721+"n/&gt;!2F}"</f>
        <v>#VALUE!</v>
      </c>
      <c r="EW351" t="e">
        <f>'North America'!A722+"n/&gt;!2F~"</f>
        <v>#VALUE!</v>
      </c>
      <c r="EX351" t="e">
        <f>'North America'!B722+"n/&gt;!2G#"</f>
        <v>#VALUE!</v>
      </c>
      <c r="EY351" t="e">
        <f>'North America'!C722+"n/&gt;!2G$"</f>
        <v>#VALUE!</v>
      </c>
      <c r="EZ351" t="e">
        <f>'North America'!D722+"n/&gt;!2G%"</f>
        <v>#VALUE!</v>
      </c>
      <c r="FA351" t="e">
        <f>'North America'!E722+"n/&gt;!2G&amp;"</f>
        <v>#VALUE!</v>
      </c>
      <c r="FB351" t="e">
        <f>'North America'!F722+"n/&gt;!2G'"</f>
        <v>#VALUE!</v>
      </c>
      <c r="FC351" t="e">
        <f>'North America'!G722+"n/&gt;!2G("</f>
        <v>#VALUE!</v>
      </c>
      <c r="FD351" t="e">
        <f>'North America'!H722+"n/&gt;!2G)"</f>
        <v>#VALUE!</v>
      </c>
      <c r="FE351" t="e">
        <f>'North America'!I722+"n/&gt;!2G."</f>
        <v>#VALUE!</v>
      </c>
      <c r="FF351" t="e">
        <f>'North America'!A723+"n/&gt;!2G/"</f>
        <v>#VALUE!</v>
      </c>
      <c r="FG351" t="e">
        <f>'North America'!B723+"n/&gt;!2G0"</f>
        <v>#VALUE!</v>
      </c>
      <c r="FH351" t="e">
        <f>'North America'!C723+"n/&gt;!2G1"</f>
        <v>#VALUE!</v>
      </c>
      <c r="FI351" t="e">
        <f>'North America'!D723+"n/&gt;!2G2"</f>
        <v>#VALUE!</v>
      </c>
      <c r="FJ351" t="e">
        <f>'North America'!E723+"n/&gt;!2G3"</f>
        <v>#VALUE!</v>
      </c>
      <c r="FK351" t="e">
        <f>'North America'!F723+"n/&gt;!2G4"</f>
        <v>#VALUE!</v>
      </c>
      <c r="FL351" t="e">
        <f>'North America'!G723+"n/&gt;!2G5"</f>
        <v>#VALUE!</v>
      </c>
      <c r="FM351" t="e">
        <f>'North America'!H723+"n/&gt;!2G6"</f>
        <v>#VALUE!</v>
      </c>
      <c r="FN351" t="e">
        <f>'North America'!I723+"n/&gt;!2G7"</f>
        <v>#VALUE!</v>
      </c>
      <c r="FO351" t="e">
        <f>'North America'!A724+"n/&gt;!2G8"</f>
        <v>#VALUE!</v>
      </c>
      <c r="FP351" t="e">
        <f>'North America'!B724+"n/&gt;!2G9"</f>
        <v>#VALUE!</v>
      </c>
      <c r="FQ351" t="e">
        <f>'North America'!C724+"n/&gt;!2G:"</f>
        <v>#VALUE!</v>
      </c>
      <c r="FR351" t="e">
        <f>'North America'!D724+"n/&gt;!2G;"</f>
        <v>#VALUE!</v>
      </c>
      <c r="FS351" t="e">
        <f>'North America'!E724+"n/&gt;!2G&lt;"</f>
        <v>#VALUE!</v>
      </c>
      <c r="FT351" t="e">
        <f>'North America'!F724+"n/&gt;!2G="</f>
        <v>#VALUE!</v>
      </c>
      <c r="FU351" t="e">
        <f>'North America'!G724+"n/&gt;!2G&gt;"</f>
        <v>#VALUE!</v>
      </c>
      <c r="FV351" t="e">
        <f>'North America'!H724+"n/&gt;!2G?"</f>
        <v>#VALUE!</v>
      </c>
      <c r="FW351" t="e">
        <f>'North America'!I724+"n/&gt;!2G@"</f>
        <v>#VALUE!</v>
      </c>
      <c r="FX351" t="e">
        <f>'North America'!A725+"n/&gt;!2GA"</f>
        <v>#VALUE!</v>
      </c>
      <c r="FY351" t="e">
        <f>'North America'!B725+"n/&gt;!2GB"</f>
        <v>#VALUE!</v>
      </c>
      <c r="FZ351" t="e">
        <f>'North America'!C725+"n/&gt;!2GC"</f>
        <v>#VALUE!</v>
      </c>
      <c r="GA351" t="e">
        <f>'North America'!D725+"n/&gt;!2GD"</f>
        <v>#VALUE!</v>
      </c>
      <c r="GB351" t="e">
        <f>'North America'!E725+"n/&gt;!2GE"</f>
        <v>#VALUE!</v>
      </c>
      <c r="GC351" t="e">
        <f>'North America'!F725+"n/&gt;!2GF"</f>
        <v>#VALUE!</v>
      </c>
      <c r="GD351" t="e">
        <f>'North America'!G725+"n/&gt;!2GG"</f>
        <v>#VALUE!</v>
      </c>
      <c r="GE351" t="e">
        <f>'North America'!H725+"n/&gt;!2GH"</f>
        <v>#VALUE!</v>
      </c>
      <c r="GF351" t="e">
        <f>'North America'!I725+"n/&gt;!2GI"</f>
        <v>#VALUE!</v>
      </c>
      <c r="GG351" t="e">
        <f>'North America'!A726+"n/&gt;!2GJ"</f>
        <v>#VALUE!</v>
      </c>
      <c r="GH351" t="e">
        <f>'North America'!B726+"n/&gt;!2GK"</f>
        <v>#VALUE!</v>
      </c>
      <c r="GI351" t="e">
        <f>'North America'!C726+"n/&gt;!2GL"</f>
        <v>#VALUE!</v>
      </c>
      <c r="GJ351" t="e">
        <f>'North America'!D726+"n/&gt;!2GM"</f>
        <v>#VALUE!</v>
      </c>
      <c r="GK351" t="e">
        <f>'North America'!E726+"n/&gt;!2GN"</f>
        <v>#VALUE!</v>
      </c>
      <c r="GL351" t="e">
        <f>'North America'!F726+"n/&gt;!2GO"</f>
        <v>#VALUE!</v>
      </c>
      <c r="GM351" t="e">
        <f>'North America'!G726+"n/&gt;!2GP"</f>
        <v>#VALUE!</v>
      </c>
      <c r="GN351" t="e">
        <f>'North America'!H726+"n/&gt;!2GQ"</f>
        <v>#VALUE!</v>
      </c>
      <c r="GO351" t="e">
        <f>'North America'!I726+"n/&gt;!2GR"</f>
        <v>#VALUE!</v>
      </c>
      <c r="GP351" t="e">
        <f>'North America'!A727+"n/&gt;!2GS"</f>
        <v>#VALUE!</v>
      </c>
      <c r="GQ351" t="e">
        <f>'North America'!B727+"n/&gt;!2GT"</f>
        <v>#VALUE!</v>
      </c>
      <c r="GR351" t="e">
        <f>'North America'!C727+"n/&gt;!2GU"</f>
        <v>#VALUE!</v>
      </c>
      <c r="GS351" t="e">
        <f>'North America'!D727+"n/&gt;!2GV"</f>
        <v>#VALUE!</v>
      </c>
      <c r="GT351" t="e">
        <f>'North America'!E727+"n/&gt;!2GW"</f>
        <v>#VALUE!</v>
      </c>
      <c r="GU351" t="e">
        <f>'North America'!F727+"n/&gt;!2GX"</f>
        <v>#VALUE!</v>
      </c>
      <c r="GV351" t="e">
        <f>'North America'!G727+"n/&gt;!2GY"</f>
        <v>#VALUE!</v>
      </c>
      <c r="GW351" t="e">
        <f>'North America'!H727+"n/&gt;!2GZ"</f>
        <v>#VALUE!</v>
      </c>
      <c r="GX351" t="e">
        <f>'North America'!I727+"n/&gt;!2G["</f>
        <v>#VALUE!</v>
      </c>
      <c r="GY351" t="e">
        <f>'North America'!A728+"n/&gt;!2G\"</f>
        <v>#VALUE!</v>
      </c>
      <c r="GZ351" t="e">
        <f>'North America'!B728+"n/&gt;!2G]"</f>
        <v>#VALUE!</v>
      </c>
      <c r="HA351" t="e">
        <f>'North America'!C728+"n/&gt;!2G^"</f>
        <v>#VALUE!</v>
      </c>
      <c r="HB351" t="e">
        <f>'North America'!D728+"n/&gt;!2G_"</f>
        <v>#VALUE!</v>
      </c>
      <c r="HC351" t="e">
        <f>'North America'!E728+"n/&gt;!2G`"</f>
        <v>#VALUE!</v>
      </c>
      <c r="HD351" t="e">
        <f>'North America'!F728+"n/&gt;!2Ga"</f>
        <v>#VALUE!</v>
      </c>
      <c r="HE351" t="e">
        <f>'North America'!G728+"n/&gt;!2Gb"</f>
        <v>#VALUE!</v>
      </c>
      <c r="HF351" t="e">
        <f>'North America'!H728+"n/&gt;!2Gc"</f>
        <v>#VALUE!</v>
      </c>
      <c r="HG351" t="e">
        <f>'North America'!I728+"n/&gt;!2Gd"</f>
        <v>#VALUE!</v>
      </c>
      <c r="HH351" t="e">
        <f>'North America'!A729+"n/&gt;!2Ge"</f>
        <v>#VALUE!</v>
      </c>
      <c r="HI351" t="e">
        <f>'North America'!B729+"n/&gt;!2Gf"</f>
        <v>#VALUE!</v>
      </c>
      <c r="HJ351" t="e">
        <f>'North America'!C729+"n/&gt;!2Gg"</f>
        <v>#VALUE!</v>
      </c>
      <c r="HK351" t="e">
        <f>'North America'!D729+"n/&gt;!2Gh"</f>
        <v>#VALUE!</v>
      </c>
      <c r="HL351" t="e">
        <f>'North America'!E729+"n/&gt;!2Gi"</f>
        <v>#VALUE!</v>
      </c>
      <c r="HM351" t="e">
        <f>'North America'!F729+"n/&gt;!2Gj"</f>
        <v>#VALUE!</v>
      </c>
      <c r="HN351" t="e">
        <f>'North America'!G729+"n/&gt;!2Gk"</f>
        <v>#VALUE!</v>
      </c>
      <c r="HO351" t="e">
        <f>'North America'!H729+"n/&gt;!2Gl"</f>
        <v>#VALUE!</v>
      </c>
      <c r="HP351" t="e">
        <f>'North America'!I729+"n/&gt;!2Gm"</f>
        <v>#VALUE!</v>
      </c>
      <c r="HQ351" t="e">
        <f>'North America'!A730+"n/&gt;!2Gn"</f>
        <v>#VALUE!</v>
      </c>
      <c r="HR351" t="e">
        <f>'North America'!B730+"n/&gt;!2Go"</f>
        <v>#VALUE!</v>
      </c>
      <c r="HS351" t="e">
        <f>'North America'!C730+"n/&gt;!2Gp"</f>
        <v>#VALUE!</v>
      </c>
      <c r="HT351" t="e">
        <f>'North America'!D730+"n/&gt;!2Gq"</f>
        <v>#VALUE!</v>
      </c>
      <c r="HU351" t="e">
        <f>'North America'!E730+"n/&gt;!2Gr"</f>
        <v>#VALUE!</v>
      </c>
      <c r="HV351" t="e">
        <f>'North America'!F730+"n/&gt;!2Gs"</f>
        <v>#VALUE!</v>
      </c>
      <c r="HW351" t="e">
        <f>'North America'!G730+"n/&gt;!2Gt"</f>
        <v>#VALUE!</v>
      </c>
      <c r="HX351" t="e">
        <f>'North America'!H730+"n/&gt;!2Gu"</f>
        <v>#VALUE!</v>
      </c>
      <c r="HY351" t="e">
        <f>'North America'!I730+"n/&gt;!2Gv"</f>
        <v>#VALUE!</v>
      </c>
      <c r="HZ351" t="e">
        <f>'North America'!A731+"n/&gt;!2Gw"</f>
        <v>#VALUE!</v>
      </c>
      <c r="IA351" t="e">
        <f>'North America'!B731+"n/&gt;!2Gx"</f>
        <v>#VALUE!</v>
      </c>
      <c r="IB351" t="e">
        <f>'North America'!C731+"n/&gt;!2Gy"</f>
        <v>#VALUE!</v>
      </c>
      <c r="IC351" t="e">
        <f>'North America'!D731+"n/&gt;!2Gz"</f>
        <v>#VALUE!</v>
      </c>
      <c r="ID351" t="e">
        <f>'North America'!E731+"n/&gt;!2G{"</f>
        <v>#VALUE!</v>
      </c>
      <c r="IE351" t="e">
        <f>'North America'!F731+"n/&gt;!2G|"</f>
        <v>#VALUE!</v>
      </c>
      <c r="IF351" t="e">
        <f>'North America'!G731+"n/&gt;!2G}"</f>
        <v>#VALUE!</v>
      </c>
      <c r="IG351" t="e">
        <f>'North America'!H731+"n/&gt;!2G~"</f>
        <v>#VALUE!</v>
      </c>
      <c r="IH351" t="e">
        <f>'North America'!I731+"n/&gt;!2H#"</f>
        <v>#VALUE!</v>
      </c>
      <c r="II351" t="e">
        <f>'North America'!A732+"n/&gt;!2H$"</f>
        <v>#VALUE!</v>
      </c>
      <c r="IJ351" t="e">
        <f>'North America'!B732+"n/&gt;!2H%"</f>
        <v>#VALUE!</v>
      </c>
      <c r="IK351" t="e">
        <f>'North America'!C732+"n/&gt;!2H&amp;"</f>
        <v>#VALUE!</v>
      </c>
      <c r="IL351" t="e">
        <f>'North America'!D732+"n/&gt;!2H'"</f>
        <v>#VALUE!</v>
      </c>
      <c r="IM351" t="e">
        <f>'North America'!E732+"n/&gt;!2H("</f>
        <v>#VALUE!</v>
      </c>
      <c r="IN351" t="e">
        <f>'North America'!F732+"n/&gt;!2H)"</f>
        <v>#VALUE!</v>
      </c>
      <c r="IO351" t="e">
        <f>'North America'!G732+"n/&gt;!2H."</f>
        <v>#VALUE!</v>
      </c>
      <c r="IP351" t="e">
        <f>'North America'!H732+"n/&gt;!2H/"</f>
        <v>#VALUE!</v>
      </c>
      <c r="IQ351" t="e">
        <f>'North America'!I732+"n/&gt;!2H0"</f>
        <v>#VALUE!</v>
      </c>
      <c r="IR351" t="e">
        <f>'North America'!A733+"n/&gt;!2H1"</f>
        <v>#VALUE!</v>
      </c>
      <c r="IS351" t="e">
        <f>'North America'!B733+"n/&gt;!2H2"</f>
        <v>#VALUE!</v>
      </c>
      <c r="IT351" t="e">
        <f>'North America'!C733+"n/&gt;!2H3"</f>
        <v>#VALUE!</v>
      </c>
      <c r="IU351" t="e">
        <f>'North America'!D733+"n/&gt;!2H4"</f>
        <v>#VALUE!</v>
      </c>
      <c r="IV351" t="e">
        <f>'North America'!E733+"n/&gt;!2H5"</f>
        <v>#VALUE!</v>
      </c>
    </row>
    <row r="352" spans="6:256" x14ac:dyDescent="0.35">
      <c r="F352" t="e">
        <f>'North America'!F733+"n/&gt;!2H6"</f>
        <v>#VALUE!</v>
      </c>
      <c r="G352" t="e">
        <f>'North America'!G733+"n/&gt;!2H7"</f>
        <v>#VALUE!</v>
      </c>
      <c r="H352" t="e">
        <f>'North America'!H733+"n/&gt;!2H8"</f>
        <v>#VALUE!</v>
      </c>
      <c r="I352" t="e">
        <f>'North America'!I733+"n/&gt;!2H9"</f>
        <v>#VALUE!</v>
      </c>
      <c r="J352" t="e">
        <f>'North America'!A734+"n/&gt;!2H:"</f>
        <v>#VALUE!</v>
      </c>
      <c r="K352" t="e">
        <f>'North America'!B734+"n/&gt;!2H;"</f>
        <v>#VALUE!</v>
      </c>
      <c r="L352" t="e">
        <f>'North America'!C734+"n/&gt;!2H&lt;"</f>
        <v>#VALUE!</v>
      </c>
      <c r="M352" t="e">
        <f>'North America'!D734+"n/&gt;!2H="</f>
        <v>#VALUE!</v>
      </c>
      <c r="N352" t="e">
        <f>'North America'!E734+"n/&gt;!2H&gt;"</f>
        <v>#VALUE!</v>
      </c>
      <c r="O352" t="e">
        <f>'North America'!F734+"n/&gt;!2H?"</f>
        <v>#VALUE!</v>
      </c>
      <c r="P352" t="e">
        <f>'North America'!G734+"n/&gt;!2H@"</f>
        <v>#VALUE!</v>
      </c>
      <c r="Q352" t="e">
        <f>'North America'!H734+"n/&gt;!2HA"</f>
        <v>#VALUE!</v>
      </c>
      <c r="R352" t="e">
        <f>'North America'!I734+"n/&gt;!2HB"</f>
        <v>#VALUE!</v>
      </c>
      <c r="S352" t="e">
        <f>'North America'!A735+"n/&gt;!2HC"</f>
        <v>#VALUE!</v>
      </c>
      <c r="T352" t="e">
        <f>'North America'!B735+"n/&gt;!2HD"</f>
        <v>#VALUE!</v>
      </c>
      <c r="U352" t="e">
        <f>'North America'!C735+"n/&gt;!2HE"</f>
        <v>#VALUE!</v>
      </c>
      <c r="V352" t="e">
        <f>'North America'!D735+"n/&gt;!2HF"</f>
        <v>#VALUE!</v>
      </c>
      <c r="W352" t="e">
        <f>'North America'!E735+"n/&gt;!2HG"</f>
        <v>#VALUE!</v>
      </c>
      <c r="X352" t="e">
        <f>'North America'!F735+"n/&gt;!2HH"</f>
        <v>#VALUE!</v>
      </c>
      <c r="Y352" t="e">
        <f>'North America'!G735+"n/&gt;!2HI"</f>
        <v>#VALUE!</v>
      </c>
      <c r="Z352" t="e">
        <f>'North America'!H735+"n/&gt;!2HJ"</f>
        <v>#VALUE!</v>
      </c>
      <c r="AA352" t="e">
        <f>'North America'!I735+"n/&gt;!2HK"</f>
        <v>#VALUE!</v>
      </c>
      <c r="AB352" t="e">
        <f>'North America'!A736+"n/&gt;!2HL"</f>
        <v>#VALUE!</v>
      </c>
      <c r="AC352" t="e">
        <f>'North America'!B736+"n/&gt;!2HM"</f>
        <v>#VALUE!</v>
      </c>
      <c r="AD352" t="e">
        <f>'North America'!C736+"n/&gt;!2HN"</f>
        <v>#VALUE!</v>
      </c>
      <c r="AE352" t="e">
        <f>'North America'!D736+"n/&gt;!2HO"</f>
        <v>#VALUE!</v>
      </c>
      <c r="AF352" t="e">
        <f>'North America'!E736+"n/&gt;!2HP"</f>
        <v>#VALUE!</v>
      </c>
      <c r="AG352" t="e">
        <f>'North America'!F736+"n/&gt;!2HQ"</f>
        <v>#VALUE!</v>
      </c>
      <c r="AH352" t="e">
        <f>'North America'!G736+"n/&gt;!2HR"</f>
        <v>#VALUE!</v>
      </c>
      <c r="AI352" t="e">
        <f>'North America'!H736+"n/&gt;!2HS"</f>
        <v>#VALUE!</v>
      </c>
      <c r="AJ352" t="e">
        <f>'North America'!I736+"n/&gt;!2HT"</f>
        <v>#VALUE!</v>
      </c>
      <c r="AK352" t="e">
        <f>'North America'!A737+"n/&gt;!2HU"</f>
        <v>#VALUE!</v>
      </c>
      <c r="AL352" t="e">
        <f>'North America'!B737+"n/&gt;!2HV"</f>
        <v>#VALUE!</v>
      </c>
      <c r="AM352" t="e">
        <f>'North America'!C737+"n/&gt;!2HW"</f>
        <v>#VALUE!</v>
      </c>
      <c r="AN352" t="e">
        <f>'North America'!D737+"n/&gt;!2HX"</f>
        <v>#VALUE!</v>
      </c>
      <c r="AO352" t="e">
        <f>'North America'!E737+"n/&gt;!2HY"</f>
        <v>#VALUE!</v>
      </c>
      <c r="AP352" t="e">
        <f>'North America'!F737+"n/&gt;!2HZ"</f>
        <v>#VALUE!</v>
      </c>
      <c r="AQ352" t="e">
        <f>'North America'!G737+"n/&gt;!2H["</f>
        <v>#VALUE!</v>
      </c>
      <c r="AR352" t="e">
        <f>'North America'!H737+"n/&gt;!2H\"</f>
        <v>#VALUE!</v>
      </c>
      <c r="AS352" t="e">
        <f>'North America'!I737+"n/&gt;!2H]"</f>
        <v>#VALUE!</v>
      </c>
      <c r="AT352" t="e">
        <f>'North America'!A738+"n/&gt;!2H^"</f>
        <v>#VALUE!</v>
      </c>
      <c r="AU352" t="e">
        <f>'North America'!B738+"n/&gt;!2H_"</f>
        <v>#VALUE!</v>
      </c>
      <c r="AV352" t="e">
        <f>'North America'!C738+"n/&gt;!2H`"</f>
        <v>#VALUE!</v>
      </c>
      <c r="AW352" t="e">
        <f>'North America'!D738+"n/&gt;!2Ha"</f>
        <v>#VALUE!</v>
      </c>
      <c r="AX352" t="e">
        <f>'North America'!E738+"n/&gt;!2Hb"</f>
        <v>#VALUE!</v>
      </c>
      <c r="AY352" t="e">
        <f>'North America'!F738+"n/&gt;!2Hc"</f>
        <v>#VALUE!</v>
      </c>
      <c r="AZ352" t="e">
        <f>'North America'!G738+"n/&gt;!2Hd"</f>
        <v>#VALUE!</v>
      </c>
      <c r="BA352" t="e">
        <f>'North America'!H738+"n/&gt;!2He"</f>
        <v>#VALUE!</v>
      </c>
      <c r="BB352" t="e">
        <f>'North America'!I738+"n/&gt;!2Hf"</f>
        <v>#VALUE!</v>
      </c>
      <c r="BC352" t="e">
        <f>'North America'!A739+"n/&gt;!2Hg"</f>
        <v>#VALUE!</v>
      </c>
      <c r="BD352" t="e">
        <f>'North America'!B739+"n/&gt;!2Hh"</f>
        <v>#VALUE!</v>
      </c>
      <c r="BE352" t="e">
        <f>'North America'!C739+"n/&gt;!2Hi"</f>
        <v>#VALUE!</v>
      </c>
      <c r="BF352" t="e">
        <f>'North America'!D739+"n/&gt;!2Hj"</f>
        <v>#VALUE!</v>
      </c>
      <c r="BG352" t="e">
        <f>'North America'!E739+"n/&gt;!2Hk"</f>
        <v>#VALUE!</v>
      </c>
      <c r="BH352" t="e">
        <f>'North America'!F739+"n/&gt;!2Hl"</f>
        <v>#VALUE!</v>
      </c>
      <c r="BI352" t="e">
        <f>'North America'!G739+"n/&gt;!2Hm"</f>
        <v>#VALUE!</v>
      </c>
      <c r="BJ352" t="e">
        <f>'North America'!H739+"n/&gt;!2Hn"</f>
        <v>#VALUE!</v>
      </c>
      <c r="BK352" t="e">
        <f>'North America'!I739+"n/&gt;!2Ho"</f>
        <v>#VALUE!</v>
      </c>
      <c r="BL352" t="e">
        <f>'North America'!A740+"n/&gt;!2Hp"</f>
        <v>#VALUE!</v>
      </c>
      <c r="BM352" t="e">
        <f>'North America'!B740+"n/&gt;!2Hq"</f>
        <v>#VALUE!</v>
      </c>
      <c r="BN352" t="e">
        <f>'North America'!C740+"n/&gt;!2Hr"</f>
        <v>#VALUE!</v>
      </c>
      <c r="BO352" t="e">
        <f>'North America'!D740+"n/&gt;!2Hs"</f>
        <v>#VALUE!</v>
      </c>
      <c r="BP352" t="e">
        <f>'North America'!E740+"n/&gt;!2Ht"</f>
        <v>#VALUE!</v>
      </c>
      <c r="BQ352" t="e">
        <f>'North America'!F740+"n/&gt;!2Hu"</f>
        <v>#VALUE!</v>
      </c>
      <c r="BR352" t="e">
        <f>'North America'!G740+"n/&gt;!2Hv"</f>
        <v>#VALUE!</v>
      </c>
      <c r="BS352" t="e">
        <f>'North America'!H740+"n/&gt;!2Hw"</f>
        <v>#VALUE!</v>
      </c>
      <c r="BT352" t="e">
        <f>'North America'!I740+"n/&gt;!2Hx"</f>
        <v>#VALUE!</v>
      </c>
      <c r="BU352" t="e">
        <f>'North America'!A741+"n/&gt;!2Hy"</f>
        <v>#VALUE!</v>
      </c>
      <c r="BV352" t="e">
        <f>'North America'!B741+"n/&gt;!2Hz"</f>
        <v>#VALUE!</v>
      </c>
      <c r="BW352" t="e">
        <f>'North America'!C741+"n/&gt;!2H{"</f>
        <v>#VALUE!</v>
      </c>
      <c r="BX352" t="e">
        <f>'North America'!D741+"n/&gt;!2H|"</f>
        <v>#VALUE!</v>
      </c>
      <c r="BY352" t="e">
        <f>'North America'!E741+"n/&gt;!2H}"</f>
        <v>#VALUE!</v>
      </c>
      <c r="BZ352" t="e">
        <f>'North America'!F741+"n/&gt;!2H~"</f>
        <v>#VALUE!</v>
      </c>
      <c r="CA352" t="e">
        <f>'North America'!G741+"n/&gt;!2I#"</f>
        <v>#VALUE!</v>
      </c>
      <c r="CB352" t="e">
        <f>'North America'!H741+"n/&gt;!2I$"</f>
        <v>#VALUE!</v>
      </c>
      <c r="CC352" t="e">
        <f>'North America'!I741+"n/&gt;!2I%"</f>
        <v>#VALUE!</v>
      </c>
      <c r="CD352" t="e">
        <f>'North America'!A742+"n/&gt;!2I&amp;"</f>
        <v>#VALUE!</v>
      </c>
      <c r="CE352" t="e">
        <f>'North America'!B742+"n/&gt;!2I'"</f>
        <v>#VALUE!</v>
      </c>
      <c r="CF352" t="e">
        <f>'North America'!C742+"n/&gt;!2I("</f>
        <v>#VALUE!</v>
      </c>
      <c r="CG352" t="e">
        <f>'North America'!D742+"n/&gt;!2I)"</f>
        <v>#VALUE!</v>
      </c>
      <c r="CH352" t="e">
        <f>'North America'!E742+"n/&gt;!2I."</f>
        <v>#VALUE!</v>
      </c>
      <c r="CI352" t="e">
        <f>'North America'!F742+"n/&gt;!2I/"</f>
        <v>#VALUE!</v>
      </c>
      <c r="CJ352" t="e">
        <f>'North America'!G742+"n/&gt;!2I0"</f>
        <v>#VALUE!</v>
      </c>
      <c r="CK352" t="e">
        <f>'North America'!H742+"n/&gt;!2I1"</f>
        <v>#VALUE!</v>
      </c>
      <c r="CL352" t="e">
        <f>'North America'!I742+"n/&gt;!2I2"</f>
        <v>#VALUE!</v>
      </c>
      <c r="CM352" t="e">
        <f>'North America'!A743+"n/&gt;!2I3"</f>
        <v>#VALUE!</v>
      </c>
      <c r="CN352" t="e">
        <f>'North America'!B743+"n/&gt;!2I4"</f>
        <v>#VALUE!</v>
      </c>
      <c r="CO352" t="e">
        <f>'North America'!C743+"n/&gt;!2I5"</f>
        <v>#VALUE!</v>
      </c>
      <c r="CP352" t="e">
        <f>'North America'!D743+"n/&gt;!2I6"</f>
        <v>#VALUE!</v>
      </c>
      <c r="CQ352" t="e">
        <f>'North America'!E743+"n/&gt;!2I7"</f>
        <v>#VALUE!</v>
      </c>
      <c r="CR352" t="e">
        <f>'North America'!F743+"n/&gt;!2I8"</f>
        <v>#VALUE!</v>
      </c>
      <c r="CS352" t="e">
        <f>'North America'!G743+"n/&gt;!2I9"</f>
        <v>#VALUE!</v>
      </c>
      <c r="CT352" t="e">
        <f>'North America'!H743+"n/&gt;!2I:"</f>
        <v>#VALUE!</v>
      </c>
      <c r="CU352" t="e">
        <f>'North America'!I743+"n/&gt;!2I;"</f>
        <v>#VALUE!</v>
      </c>
      <c r="CV352" t="e">
        <f>'North America'!A744+"n/&gt;!2I&lt;"</f>
        <v>#VALUE!</v>
      </c>
      <c r="CW352" t="e">
        <f>'North America'!B744+"n/&gt;!2I="</f>
        <v>#VALUE!</v>
      </c>
      <c r="CX352" t="e">
        <f>'North America'!C744+"n/&gt;!2I&gt;"</f>
        <v>#VALUE!</v>
      </c>
      <c r="CY352" t="e">
        <f>'North America'!D744+"n/&gt;!2I?"</f>
        <v>#VALUE!</v>
      </c>
      <c r="CZ352" t="e">
        <f>'North America'!E744+"n/&gt;!2I@"</f>
        <v>#VALUE!</v>
      </c>
      <c r="DA352" t="e">
        <f>'North America'!F744+"n/&gt;!2IA"</f>
        <v>#VALUE!</v>
      </c>
      <c r="DB352" t="e">
        <f>'North America'!G744+"n/&gt;!2IB"</f>
        <v>#VALUE!</v>
      </c>
      <c r="DC352" t="e">
        <f>'North America'!H744+"n/&gt;!2IC"</f>
        <v>#VALUE!</v>
      </c>
      <c r="DD352" t="e">
        <f>'North America'!I744+"n/&gt;!2ID"</f>
        <v>#VALUE!</v>
      </c>
      <c r="DE352" t="e">
        <f>'North America'!A745+"n/&gt;!2IE"</f>
        <v>#VALUE!</v>
      </c>
      <c r="DF352" t="e">
        <f>'North America'!B745+"n/&gt;!2IF"</f>
        <v>#VALUE!</v>
      </c>
      <c r="DG352" t="e">
        <f>'North America'!C745+"n/&gt;!2IG"</f>
        <v>#VALUE!</v>
      </c>
      <c r="DH352" t="e">
        <f>'North America'!D745+"n/&gt;!2IH"</f>
        <v>#VALUE!</v>
      </c>
      <c r="DI352" t="e">
        <f>'North America'!E745+"n/&gt;!2II"</f>
        <v>#VALUE!</v>
      </c>
      <c r="DJ352" t="e">
        <f>'North America'!F745+"n/&gt;!2IJ"</f>
        <v>#VALUE!</v>
      </c>
      <c r="DK352" t="e">
        <f>'North America'!G745+"n/&gt;!2IK"</f>
        <v>#VALUE!</v>
      </c>
      <c r="DL352" t="e">
        <f>'North America'!H745+"n/&gt;!2IL"</f>
        <v>#VALUE!</v>
      </c>
      <c r="DM352" t="e">
        <f>'North America'!I745+"n/&gt;!2IM"</f>
        <v>#VALUE!</v>
      </c>
      <c r="DN352" t="e">
        <f>'North America'!A746+"n/&gt;!2IN"</f>
        <v>#VALUE!</v>
      </c>
      <c r="DO352" t="e">
        <f>'North America'!B746+"n/&gt;!2IO"</f>
        <v>#VALUE!</v>
      </c>
      <c r="DP352" t="e">
        <f>'North America'!C746+"n/&gt;!2IP"</f>
        <v>#VALUE!</v>
      </c>
      <c r="DQ352" t="e">
        <f>'North America'!D746+"n/&gt;!2IQ"</f>
        <v>#VALUE!</v>
      </c>
      <c r="DR352" t="e">
        <f>'North America'!E746+"n/&gt;!2IR"</f>
        <v>#VALUE!</v>
      </c>
      <c r="DS352" t="e">
        <f>'North America'!F746+"n/&gt;!2IS"</f>
        <v>#VALUE!</v>
      </c>
      <c r="DT352" t="e">
        <f>'North America'!G746+"n/&gt;!2IT"</f>
        <v>#VALUE!</v>
      </c>
      <c r="DU352" t="e">
        <f>'North America'!H746+"n/&gt;!2IU"</f>
        <v>#VALUE!</v>
      </c>
      <c r="DV352" t="e">
        <f>'North America'!I746+"n/&gt;!2IV"</f>
        <v>#VALUE!</v>
      </c>
      <c r="DW352" t="e">
        <f>'North America'!A747+"n/&gt;!2IW"</f>
        <v>#VALUE!</v>
      </c>
      <c r="DX352" t="e">
        <f>'North America'!B747+"n/&gt;!2IX"</f>
        <v>#VALUE!</v>
      </c>
      <c r="DY352" t="e">
        <f>'North America'!C747+"n/&gt;!2IY"</f>
        <v>#VALUE!</v>
      </c>
      <c r="DZ352" t="e">
        <f>'North America'!D747+"n/&gt;!2IZ"</f>
        <v>#VALUE!</v>
      </c>
      <c r="EA352" t="e">
        <f>'North America'!E747+"n/&gt;!2I["</f>
        <v>#VALUE!</v>
      </c>
      <c r="EB352" t="e">
        <f>'North America'!F747+"n/&gt;!2I\"</f>
        <v>#VALUE!</v>
      </c>
      <c r="EC352" t="e">
        <f>'North America'!G747+"n/&gt;!2I]"</f>
        <v>#VALUE!</v>
      </c>
      <c r="ED352" t="e">
        <f>'North America'!H747+"n/&gt;!2I^"</f>
        <v>#VALUE!</v>
      </c>
      <c r="EE352" t="e">
        <f>'North America'!I747+"n/&gt;!2I_"</f>
        <v>#VALUE!</v>
      </c>
      <c r="EF352" t="e">
        <f>'North America'!A748+"n/&gt;!2I`"</f>
        <v>#VALUE!</v>
      </c>
      <c r="EG352" t="e">
        <f>'North America'!B748+"n/&gt;!2Ia"</f>
        <v>#VALUE!</v>
      </c>
      <c r="EH352" t="e">
        <f>'North America'!C748+"n/&gt;!2Ib"</f>
        <v>#VALUE!</v>
      </c>
      <c r="EI352" t="e">
        <f>'North America'!D748+"n/&gt;!2Ic"</f>
        <v>#VALUE!</v>
      </c>
      <c r="EJ352" t="e">
        <f>'North America'!E748+"n/&gt;!2Id"</f>
        <v>#VALUE!</v>
      </c>
      <c r="EK352" t="e">
        <f>'North America'!F748+"n/&gt;!2Ie"</f>
        <v>#VALUE!</v>
      </c>
      <c r="EL352" t="e">
        <f>'North America'!G748+"n/&gt;!2If"</f>
        <v>#VALUE!</v>
      </c>
      <c r="EM352" t="e">
        <f>'North America'!H748+"n/&gt;!2Ig"</f>
        <v>#VALUE!</v>
      </c>
      <c r="EN352" t="e">
        <f>'North America'!I748+"n/&gt;!2Ih"</f>
        <v>#VALUE!</v>
      </c>
      <c r="EO352" t="e">
        <f>'North America'!A749+"n/&gt;!2Ii"</f>
        <v>#VALUE!</v>
      </c>
      <c r="EP352" t="e">
        <f>'North America'!B749+"n/&gt;!2Ij"</f>
        <v>#VALUE!</v>
      </c>
      <c r="EQ352" t="e">
        <f>'North America'!C749+"n/&gt;!2Ik"</f>
        <v>#VALUE!</v>
      </c>
      <c r="ER352" t="e">
        <f>'North America'!D749+"n/&gt;!2Il"</f>
        <v>#VALUE!</v>
      </c>
      <c r="ES352" t="e">
        <f>'North America'!E749+"n/&gt;!2Im"</f>
        <v>#VALUE!</v>
      </c>
      <c r="ET352" t="e">
        <f>'North America'!F749+"n/&gt;!2In"</f>
        <v>#VALUE!</v>
      </c>
      <c r="EU352" t="e">
        <f>'North America'!G749+"n/&gt;!2Io"</f>
        <v>#VALUE!</v>
      </c>
      <c r="EV352" t="e">
        <f>'North America'!H749+"n/&gt;!2Ip"</f>
        <v>#VALUE!</v>
      </c>
      <c r="EW352" t="e">
        <f>'North America'!I749+"n/&gt;!2Iq"</f>
        <v>#VALUE!</v>
      </c>
      <c r="EX352" t="e">
        <f>'North America'!A750+"n/&gt;!2Ir"</f>
        <v>#VALUE!</v>
      </c>
      <c r="EY352" t="e">
        <f>'North America'!B750+"n/&gt;!2Is"</f>
        <v>#VALUE!</v>
      </c>
      <c r="EZ352" t="e">
        <f>'North America'!C750+"n/&gt;!2It"</f>
        <v>#VALUE!</v>
      </c>
      <c r="FA352" t="e">
        <f>'North America'!D750+"n/&gt;!2Iu"</f>
        <v>#VALUE!</v>
      </c>
      <c r="FB352" t="e">
        <f>'North America'!E750+"n/&gt;!2Iv"</f>
        <v>#VALUE!</v>
      </c>
      <c r="FC352" t="e">
        <f>'North America'!F750+"n/&gt;!2Iw"</f>
        <v>#VALUE!</v>
      </c>
      <c r="FD352" t="e">
        <f>'North America'!G750+"n/&gt;!2Ix"</f>
        <v>#VALUE!</v>
      </c>
      <c r="FE352" t="e">
        <f>'North America'!H750+"n/&gt;!2Iy"</f>
        <v>#VALUE!</v>
      </c>
      <c r="FF352" t="e">
        <f>'North America'!I750+"n/&gt;!2Iz"</f>
        <v>#VALUE!</v>
      </c>
      <c r="FG352" t="e">
        <f>'North America'!A751+"n/&gt;!2I{"</f>
        <v>#VALUE!</v>
      </c>
      <c r="FH352" t="e">
        <f>'North America'!B751+"n/&gt;!2I|"</f>
        <v>#VALUE!</v>
      </c>
      <c r="FI352" t="e">
        <f>'North America'!C751+"n/&gt;!2I}"</f>
        <v>#VALUE!</v>
      </c>
      <c r="FJ352" t="e">
        <f>'North America'!D751+"n/&gt;!2I~"</f>
        <v>#VALUE!</v>
      </c>
      <c r="FK352" t="e">
        <f>'North America'!E751+"n/&gt;!2J#"</f>
        <v>#VALUE!</v>
      </c>
      <c r="FL352" t="e">
        <f>'North America'!F751+"n/&gt;!2J$"</f>
        <v>#VALUE!</v>
      </c>
      <c r="FM352" t="e">
        <f>'North America'!G751+"n/&gt;!2J%"</f>
        <v>#VALUE!</v>
      </c>
      <c r="FN352" t="e">
        <f>'North America'!H751+"n/&gt;!2J&amp;"</f>
        <v>#VALUE!</v>
      </c>
      <c r="FO352" t="e">
        <f>'North America'!I751+"n/&gt;!2J'"</f>
        <v>#VALUE!</v>
      </c>
      <c r="FP352" t="e">
        <f>'North America'!A752+"n/&gt;!2J("</f>
        <v>#VALUE!</v>
      </c>
      <c r="FQ352" t="e">
        <f>'North America'!B752+"n/&gt;!2J)"</f>
        <v>#VALUE!</v>
      </c>
      <c r="FR352" t="e">
        <f>'North America'!C752+"n/&gt;!2J."</f>
        <v>#VALUE!</v>
      </c>
      <c r="FS352" t="e">
        <f>'North America'!D752+"n/&gt;!2J/"</f>
        <v>#VALUE!</v>
      </c>
      <c r="FT352" t="e">
        <f>'North America'!E752+"n/&gt;!2J0"</f>
        <v>#VALUE!</v>
      </c>
      <c r="FU352" t="e">
        <f>'North America'!F752+"n/&gt;!2J1"</f>
        <v>#VALUE!</v>
      </c>
      <c r="FV352" t="e">
        <f>'North America'!G752+"n/&gt;!2J2"</f>
        <v>#VALUE!</v>
      </c>
      <c r="FW352" t="e">
        <f>'North America'!H752+"n/&gt;!2J3"</f>
        <v>#VALUE!</v>
      </c>
      <c r="FX352" t="e">
        <f>'North America'!I752+"n/&gt;!2J4"</f>
        <v>#VALUE!</v>
      </c>
      <c r="FY352" t="e">
        <f>'North America'!A753+"n/&gt;!2J5"</f>
        <v>#VALUE!</v>
      </c>
      <c r="FZ352" t="e">
        <f>'North America'!B753+"n/&gt;!2J6"</f>
        <v>#VALUE!</v>
      </c>
      <c r="GA352" t="e">
        <f>'North America'!C753+"n/&gt;!2J7"</f>
        <v>#VALUE!</v>
      </c>
      <c r="GB352" t="e">
        <f>'North America'!D753+"n/&gt;!2J8"</f>
        <v>#VALUE!</v>
      </c>
      <c r="GC352" t="e">
        <f>'North America'!E753+"n/&gt;!2J9"</f>
        <v>#VALUE!</v>
      </c>
      <c r="GD352" t="e">
        <f>'North America'!F753+"n/&gt;!2J:"</f>
        <v>#VALUE!</v>
      </c>
      <c r="GE352" t="e">
        <f>'North America'!G753+"n/&gt;!2J;"</f>
        <v>#VALUE!</v>
      </c>
      <c r="GF352" t="e">
        <f>'North America'!H753+"n/&gt;!2J&lt;"</f>
        <v>#VALUE!</v>
      </c>
      <c r="GG352" t="e">
        <f>'North America'!I753+"n/&gt;!2J="</f>
        <v>#VALUE!</v>
      </c>
      <c r="GH352" t="e">
        <f>'North America'!A754+"n/&gt;!2J&gt;"</f>
        <v>#VALUE!</v>
      </c>
      <c r="GI352" t="e">
        <f>'North America'!B754+"n/&gt;!2J?"</f>
        <v>#VALUE!</v>
      </c>
      <c r="GJ352" t="e">
        <f>'North America'!C754+"n/&gt;!2J@"</f>
        <v>#VALUE!</v>
      </c>
      <c r="GK352" t="e">
        <f>'North America'!D754+"n/&gt;!2JA"</f>
        <v>#VALUE!</v>
      </c>
      <c r="GL352" t="e">
        <f>'North America'!E754+"n/&gt;!2JB"</f>
        <v>#VALUE!</v>
      </c>
      <c r="GM352" t="e">
        <f>'North America'!F754+"n/&gt;!2JC"</f>
        <v>#VALUE!</v>
      </c>
      <c r="GN352" t="e">
        <f>'North America'!G754+"n/&gt;!2JD"</f>
        <v>#VALUE!</v>
      </c>
      <c r="GO352" t="e">
        <f>'North America'!H754+"n/&gt;!2JE"</f>
        <v>#VALUE!</v>
      </c>
      <c r="GP352" t="e">
        <f>'North America'!I754+"n/&gt;!2JF"</f>
        <v>#VALUE!</v>
      </c>
      <c r="GQ352" t="e">
        <f>'North America'!A755+"n/&gt;!2JG"</f>
        <v>#VALUE!</v>
      </c>
      <c r="GR352" t="e">
        <f>'North America'!B755+"n/&gt;!2JH"</f>
        <v>#VALUE!</v>
      </c>
      <c r="GS352" t="e">
        <f>'North America'!C755+"n/&gt;!2JI"</f>
        <v>#VALUE!</v>
      </c>
      <c r="GT352" t="e">
        <f>'North America'!D755+"n/&gt;!2JJ"</f>
        <v>#VALUE!</v>
      </c>
      <c r="GU352" t="e">
        <f>'North America'!E755+"n/&gt;!2JK"</f>
        <v>#VALUE!</v>
      </c>
      <c r="GV352" t="e">
        <f>'North America'!F755+"n/&gt;!2JL"</f>
        <v>#VALUE!</v>
      </c>
      <c r="GW352" t="e">
        <f>'North America'!G755+"n/&gt;!2JM"</f>
        <v>#VALUE!</v>
      </c>
      <c r="GX352" t="e">
        <f>'North America'!H755+"n/&gt;!2JN"</f>
        <v>#VALUE!</v>
      </c>
      <c r="GY352" t="e">
        <f>'North America'!I755+"n/&gt;!2JO"</f>
        <v>#VALUE!</v>
      </c>
      <c r="GZ352" t="e">
        <f>'North America'!A756+"n/&gt;!2JP"</f>
        <v>#VALUE!</v>
      </c>
      <c r="HA352" t="e">
        <f>'North America'!B756+"n/&gt;!2JQ"</f>
        <v>#VALUE!</v>
      </c>
      <c r="HB352" t="e">
        <f>'North America'!C756+"n/&gt;!2JR"</f>
        <v>#VALUE!</v>
      </c>
      <c r="HC352" t="e">
        <f>'North America'!D756+"n/&gt;!2JS"</f>
        <v>#VALUE!</v>
      </c>
      <c r="HD352" t="e">
        <f>'North America'!E756+"n/&gt;!2JT"</f>
        <v>#VALUE!</v>
      </c>
      <c r="HE352" t="e">
        <f>'North America'!F756+"n/&gt;!2JU"</f>
        <v>#VALUE!</v>
      </c>
      <c r="HF352" t="e">
        <f>'North America'!G756+"n/&gt;!2JV"</f>
        <v>#VALUE!</v>
      </c>
      <c r="HG352" t="e">
        <f>'North America'!H756+"n/&gt;!2JW"</f>
        <v>#VALUE!</v>
      </c>
      <c r="HH352" t="e">
        <f>'North America'!I756+"n/&gt;!2JX"</f>
        <v>#VALUE!</v>
      </c>
      <c r="HI352" t="e">
        <f>'North America'!A757+"n/&gt;!2JY"</f>
        <v>#VALUE!</v>
      </c>
      <c r="HJ352" t="e">
        <f>'North America'!B757+"n/&gt;!2JZ"</f>
        <v>#VALUE!</v>
      </c>
      <c r="HK352" t="e">
        <f>'North America'!C757+"n/&gt;!2J["</f>
        <v>#VALUE!</v>
      </c>
      <c r="HL352" t="e">
        <f>'North America'!D757+"n/&gt;!2J\"</f>
        <v>#VALUE!</v>
      </c>
      <c r="HM352" t="e">
        <f>'North America'!E757+"n/&gt;!2J]"</f>
        <v>#VALUE!</v>
      </c>
      <c r="HN352" t="e">
        <f>'North America'!F757+"n/&gt;!2J^"</f>
        <v>#VALUE!</v>
      </c>
      <c r="HO352" t="e">
        <f>'North America'!G757+"n/&gt;!2J_"</f>
        <v>#VALUE!</v>
      </c>
      <c r="HP352" t="e">
        <f>'North America'!H757+"n/&gt;!2J`"</f>
        <v>#VALUE!</v>
      </c>
      <c r="HQ352" t="e">
        <f>'North America'!I757+"n/&gt;!2Ja"</f>
        <v>#VALUE!</v>
      </c>
      <c r="HR352" t="e">
        <f>'North America'!A758+"n/&gt;!2Jb"</f>
        <v>#VALUE!</v>
      </c>
      <c r="HS352" t="e">
        <f>'North America'!B758+"n/&gt;!2Jc"</f>
        <v>#VALUE!</v>
      </c>
      <c r="HT352" t="e">
        <f>'North America'!C758+"n/&gt;!2Jd"</f>
        <v>#VALUE!</v>
      </c>
      <c r="HU352" t="e">
        <f>'North America'!D758+"n/&gt;!2Je"</f>
        <v>#VALUE!</v>
      </c>
      <c r="HV352" t="e">
        <f>'North America'!E758+"n/&gt;!2Jf"</f>
        <v>#VALUE!</v>
      </c>
      <c r="HW352" t="e">
        <f>'North America'!F758+"n/&gt;!2Jg"</f>
        <v>#VALUE!</v>
      </c>
      <c r="HX352" t="e">
        <f>'North America'!G758+"n/&gt;!2Jh"</f>
        <v>#VALUE!</v>
      </c>
      <c r="HY352" t="e">
        <f>'North America'!H758+"n/&gt;!2Ji"</f>
        <v>#VALUE!</v>
      </c>
      <c r="HZ352" t="e">
        <f>'North America'!I758+"n/&gt;!2Jj"</f>
        <v>#VALUE!</v>
      </c>
      <c r="IA352" t="e">
        <f>'North America'!A759+"n/&gt;!2Jk"</f>
        <v>#VALUE!</v>
      </c>
      <c r="IB352" t="e">
        <f>'North America'!B759+"n/&gt;!2Jl"</f>
        <v>#VALUE!</v>
      </c>
      <c r="IC352" t="e">
        <f>'North America'!C759+"n/&gt;!2Jm"</f>
        <v>#VALUE!</v>
      </c>
      <c r="ID352" t="e">
        <f>'North America'!D759+"n/&gt;!2Jn"</f>
        <v>#VALUE!</v>
      </c>
      <c r="IE352" t="e">
        <f>'North America'!E759+"n/&gt;!2Jo"</f>
        <v>#VALUE!</v>
      </c>
      <c r="IF352" t="e">
        <f>'North America'!F759+"n/&gt;!2Jp"</f>
        <v>#VALUE!</v>
      </c>
      <c r="IG352" t="e">
        <f>'North America'!G759+"n/&gt;!2Jq"</f>
        <v>#VALUE!</v>
      </c>
      <c r="IH352" t="e">
        <f>'North America'!H759+"n/&gt;!2Jr"</f>
        <v>#VALUE!</v>
      </c>
      <c r="II352" t="e">
        <f>'North America'!I759+"n/&gt;!2Js"</f>
        <v>#VALUE!</v>
      </c>
      <c r="IJ352" t="e">
        <f>'North America'!A760+"n/&gt;!2Jt"</f>
        <v>#VALUE!</v>
      </c>
      <c r="IK352" t="e">
        <f>'North America'!B760+"n/&gt;!2Ju"</f>
        <v>#VALUE!</v>
      </c>
      <c r="IL352" t="e">
        <f>'North America'!C760+"n/&gt;!2Jv"</f>
        <v>#VALUE!</v>
      </c>
      <c r="IM352" t="e">
        <f>'North America'!D760+"n/&gt;!2Jw"</f>
        <v>#VALUE!</v>
      </c>
      <c r="IN352" t="e">
        <f>'North America'!E760+"n/&gt;!2Jx"</f>
        <v>#VALUE!</v>
      </c>
      <c r="IO352" t="e">
        <f>'North America'!F760+"n/&gt;!2Jy"</f>
        <v>#VALUE!</v>
      </c>
      <c r="IP352" t="e">
        <f>'North America'!G760+"n/&gt;!2Jz"</f>
        <v>#VALUE!</v>
      </c>
      <c r="IQ352" t="e">
        <f>'North America'!H760+"n/&gt;!2J{"</f>
        <v>#VALUE!</v>
      </c>
      <c r="IR352" t="e">
        <f>'North America'!I760+"n/&gt;!2J|"</f>
        <v>#VALUE!</v>
      </c>
      <c r="IS352" t="e">
        <f>'North America'!A761+"n/&gt;!2J}"</f>
        <v>#VALUE!</v>
      </c>
      <c r="IT352" t="e">
        <f>'North America'!B761+"n/&gt;!2J~"</f>
        <v>#VALUE!</v>
      </c>
      <c r="IU352" t="e">
        <f>'North America'!C761+"n/&gt;!2K#"</f>
        <v>#VALUE!</v>
      </c>
      <c r="IV352" t="e">
        <f>'North America'!D761+"n/&gt;!2K$"</f>
        <v>#VALUE!</v>
      </c>
    </row>
    <row r="353" spans="6:256" x14ac:dyDescent="0.35">
      <c r="F353" t="e">
        <f>'North America'!E761+"n/&gt;!2K%"</f>
        <v>#VALUE!</v>
      </c>
      <c r="G353" t="e">
        <f>'North America'!F761+"n/&gt;!2K&amp;"</f>
        <v>#VALUE!</v>
      </c>
      <c r="H353" t="e">
        <f>'North America'!G761+"n/&gt;!2K'"</f>
        <v>#VALUE!</v>
      </c>
      <c r="I353" t="e">
        <f>'North America'!H761+"n/&gt;!2K("</f>
        <v>#VALUE!</v>
      </c>
      <c r="J353" t="e">
        <f>'North America'!I761+"n/&gt;!2K)"</f>
        <v>#VALUE!</v>
      </c>
      <c r="K353" t="e">
        <f>'North America'!A762+"n/&gt;!2K."</f>
        <v>#VALUE!</v>
      </c>
      <c r="L353" t="e">
        <f>'North America'!B762+"n/&gt;!2K/"</f>
        <v>#VALUE!</v>
      </c>
      <c r="M353" t="e">
        <f>'North America'!C762+"n/&gt;!2K0"</f>
        <v>#VALUE!</v>
      </c>
      <c r="N353" t="e">
        <f>'North America'!D762+"n/&gt;!2K1"</f>
        <v>#VALUE!</v>
      </c>
      <c r="O353" t="e">
        <f>'North America'!E762+"n/&gt;!2K2"</f>
        <v>#VALUE!</v>
      </c>
      <c r="P353" t="e">
        <f>'North America'!F762+"n/&gt;!2K3"</f>
        <v>#VALUE!</v>
      </c>
      <c r="Q353" t="e">
        <f>'North America'!G762+"n/&gt;!2K4"</f>
        <v>#VALUE!</v>
      </c>
      <c r="R353" t="e">
        <f>'North America'!H762+"n/&gt;!2K5"</f>
        <v>#VALUE!</v>
      </c>
      <c r="S353" t="e">
        <f>'North America'!I762+"n/&gt;!2K6"</f>
        <v>#VALUE!</v>
      </c>
      <c r="T353" t="e">
        <f>'North America'!A763+"n/&gt;!2K7"</f>
        <v>#VALUE!</v>
      </c>
      <c r="U353" t="e">
        <f>'North America'!B763+"n/&gt;!2K8"</f>
        <v>#VALUE!</v>
      </c>
      <c r="V353" t="e">
        <f>'North America'!C763+"n/&gt;!2K9"</f>
        <v>#VALUE!</v>
      </c>
      <c r="W353" t="e">
        <f>'North America'!D763+"n/&gt;!2K:"</f>
        <v>#VALUE!</v>
      </c>
      <c r="X353" t="e">
        <f>'North America'!E763+"n/&gt;!2K;"</f>
        <v>#VALUE!</v>
      </c>
      <c r="Y353" t="e">
        <f>'North America'!F763+"n/&gt;!2K&lt;"</f>
        <v>#VALUE!</v>
      </c>
      <c r="Z353" t="e">
        <f>'North America'!G763+"n/&gt;!2K="</f>
        <v>#VALUE!</v>
      </c>
      <c r="AA353" t="e">
        <f>'North America'!H763+"n/&gt;!2K&gt;"</f>
        <v>#VALUE!</v>
      </c>
      <c r="AB353" t="e">
        <f>'North America'!I763+"n/&gt;!2K?"</f>
        <v>#VALUE!</v>
      </c>
      <c r="AC353" t="e">
        <f>'North America'!A764+"n/&gt;!2K@"</f>
        <v>#VALUE!</v>
      </c>
      <c r="AD353" t="e">
        <f>'North America'!B764+"n/&gt;!2KA"</f>
        <v>#VALUE!</v>
      </c>
      <c r="AE353" t="e">
        <f>'North America'!C764+"n/&gt;!2KB"</f>
        <v>#VALUE!</v>
      </c>
      <c r="AF353" t="e">
        <f>'North America'!D764+"n/&gt;!2KC"</f>
        <v>#VALUE!</v>
      </c>
      <c r="AG353" t="e">
        <f>'North America'!E764+"n/&gt;!2KD"</f>
        <v>#VALUE!</v>
      </c>
      <c r="AH353" t="e">
        <f>'North America'!F764+"n/&gt;!2KE"</f>
        <v>#VALUE!</v>
      </c>
      <c r="AI353" t="e">
        <f>'North America'!G764+"n/&gt;!2KF"</f>
        <v>#VALUE!</v>
      </c>
      <c r="AJ353" t="e">
        <f>'North America'!H764+"n/&gt;!2KG"</f>
        <v>#VALUE!</v>
      </c>
      <c r="AK353" t="e">
        <f>'North America'!I764+"n/&gt;!2KH"</f>
        <v>#VALUE!</v>
      </c>
      <c r="AL353" t="e">
        <f>'North America'!A765+"n/&gt;!2KI"</f>
        <v>#VALUE!</v>
      </c>
      <c r="AM353" t="e">
        <f>'North America'!B765+"n/&gt;!2KJ"</f>
        <v>#VALUE!</v>
      </c>
      <c r="AN353" t="e">
        <f>'North America'!C765+"n/&gt;!2KK"</f>
        <v>#VALUE!</v>
      </c>
      <c r="AO353" t="e">
        <f>'North America'!D765+"n/&gt;!2KL"</f>
        <v>#VALUE!</v>
      </c>
      <c r="AP353" t="e">
        <f>'North America'!E765+"n/&gt;!2KM"</f>
        <v>#VALUE!</v>
      </c>
      <c r="AQ353" t="e">
        <f>'North America'!F765+"n/&gt;!2KN"</f>
        <v>#VALUE!</v>
      </c>
      <c r="AR353" t="e">
        <f>'North America'!G765+"n/&gt;!2KO"</f>
        <v>#VALUE!</v>
      </c>
      <c r="AS353" t="e">
        <f>'North America'!H765+"n/&gt;!2KP"</f>
        <v>#VALUE!</v>
      </c>
      <c r="AT353" t="e">
        <f>'North America'!I765+"n/&gt;!2KQ"</f>
        <v>#VALUE!</v>
      </c>
      <c r="AU353" t="e">
        <f>'North America'!A766+"n/&gt;!2KR"</f>
        <v>#VALUE!</v>
      </c>
      <c r="AV353" t="e">
        <f>'North America'!B766+"n/&gt;!2KS"</f>
        <v>#VALUE!</v>
      </c>
      <c r="AW353" t="e">
        <f>'North America'!C766+"n/&gt;!2KT"</f>
        <v>#VALUE!</v>
      </c>
      <c r="AX353" t="e">
        <f>'North America'!D766+"n/&gt;!2KU"</f>
        <v>#VALUE!</v>
      </c>
      <c r="AY353" t="e">
        <f>'North America'!E766+"n/&gt;!2KV"</f>
        <v>#VALUE!</v>
      </c>
      <c r="AZ353" t="e">
        <f>'North America'!F766+"n/&gt;!2KW"</f>
        <v>#VALUE!</v>
      </c>
      <c r="BA353" t="e">
        <f>'North America'!G766+"n/&gt;!2KX"</f>
        <v>#VALUE!</v>
      </c>
      <c r="BB353" t="e">
        <f>'North America'!H766+"n/&gt;!2KY"</f>
        <v>#VALUE!</v>
      </c>
      <c r="BC353" t="e">
        <f>'North America'!I766+"n/&gt;!2KZ"</f>
        <v>#VALUE!</v>
      </c>
      <c r="BD353" t="e">
        <f>'North America'!A767+"n/&gt;!2K["</f>
        <v>#VALUE!</v>
      </c>
      <c r="BE353" t="e">
        <f>'North America'!B767+"n/&gt;!2K\"</f>
        <v>#VALUE!</v>
      </c>
      <c r="BF353" t="e">
        <f>'North America'!C767+"n/&gt;!2K]"</f>
        <v>#VALUE!</v>
      </c>
      <c r="BG353" t="e">
        <f>'North America'!D767+"n/&gt;!2K^"</f>
        <v>#VALUE!</v>
      </c>
      <c r="BH353" t="e">
        <f>'North America'!E767+"n/&gt;!2K_"</f>
        <v>#VALUE!</v>
      </c>
      <c r="BI353" t="e">
        <f>'North America'!F767+"n/&gt;!2K`"</f>
        <v>#VALUE!</v>
      </c>
      <c r="BJ353" t="e">
        <f>'North America'!G767+"n/&gt;!2Ka"</f>
        <v>#VALUE!</v>
      </c>
      <c r="BK353" t="e">
        <f>'North America'!H767+"n/&gt;!2Kb"</f>
        <v>#VALUE!</v>
      </c>
      <c r="BL353" t="e">
        <f>'North America'!I767+"n/&gt;!2Kc"</f>
        <v>#VALUE!</v>
      </c>
      <c r="BM353" t="e">
        <f>'North America'!A768+"n/&gt;!2Kd"</f>
        <v>#VALUE!</v>
      </c>
      <c r="BN353" t="e">
        <f>'North America'!B768+"n/&gt;!2Ke"</f>
        <v>#VALUE!</v>
      </c>
      <c r="BO353" t="e">
        <f>'North America'!C768+"n/&gt;!2Kf"</f>
        <v>#VALUE!</v>
      </c>
      <c r="BP353" t="e">
        <f>'North America'!D768+"n/&gt;!2Kg"</f>
        <v>#VALUE!</v>
      </c>
      <c r="BQ353" t="e">
        <f>'North America'!E768+"n/&gt;!2Kh"</f>
        <v>#VALUE!</v>
      </c>
      <c r="BR353" t="e">
        <f>'North America'!F768+"n/&gt;!2Ki"</f>
        <v>#VALUE!</v>
      </c>
      <c r="BS353" t="e">
        <f>'North America'!G768+"n/&gt;!2Kj"</f>
        <v>#VALUE!</v>
      </c>
      <c r="BT353" t="e">
        <f>'North America'!H768+"n/&gt;!2Kk"</f>
        <v>#VALUE!</v>
      </c>
      <c r="BU353" t="e">
        <f>'North America'!I768+"n/&gt;!2Kl"</f>
        <v>#VALUE!</v>
      </c>
      <c r="BV353" t="e">
        <f>'North America'!A769+"n/&gt;!2Km"</f>
        <v>#VALUE!</v>
      </c>
      <c r="BW353" t="e">
        <f>'North America'!B769+"n/&gt;!2Kn"</f>
        <v>#VALUE!</v>
      </c>
      <c r="BX353" t="e">
        <f>'North America'!C769+"n/&gt;!2Ko"</f>
        <v>#VALUE!</v>
      </c>
      <c r="BY353" t="e">
        <f>'North America'!D769+"n/&gt;!2Kp"</f>
        <v>#VALUE!</v>
      </c>
      <c r="BZ353" t="e">
        <f>'North America'!E769+"n/&gt;!2Kq"</f>
        <v>#VALUE!</v>
      </c>
      <c r="CA353" t="e">
        <f>'North America'!F769+"n/&gt;!2Kr"</f>
        <v>#VALUE!</v>
      </c>
      <c r="CB353" t="e">
        <f>'North America'!G769+"n/&gt;!2Ks"</f>
        <v>#VALUE!</v>
      </c>
      <c r="CC353" t="e">
        <f>'North America'!H769+"n/&gt;!2Kt"</f>
        <v>#VALUE!</v>
      </c>
      <c r="CD353" t="e">
        <f>'North America'!I769+"n/&gt;!2Ku"</f>
        <v>#VALUE!</v>
      </c>
      <c r="CE353" t="e">
        <f>'North America'!A770+"n/&gt;!2Kv"</f>
        <v>#VALUE!</v>
      </c>
      <c r="CF353" t="e">
        <f>'North America'!B770+"n/&gt;!2Kw"</f>
        <v>#VALUE!</v>
      </c>
      <c r="CG353" t="e">
        <f>'North America'!C770+"n/&gt;!2Kx"</f>
        <v>#VALUE!</v>
      </c>
      <c r="CH353" t="e">
        <f>'North America'!D770+"n/&gt;!2Ky"</f>
        <v>#VALUE!</v>
      </c>
      <c r="CI353" t="e">
        <f>'North America'!E770+"n/&gt;!2Kz"</f>
        <v>#VALUE!</v>
      </c>
      <c r="CJ353" t="e">
        <f>'North America'!F770+"n/&gt;!2K{"</f>
        <v>#VALUE!</v>
      </c>
      <c r="CK353" t="e">
        <f>'North America'!G770+"n/&gt;!2K|"</f>
        <v>#VALUE!</v>
      </c>
      <c r="CL353" t="e">
        <f>'North America'!H770+"n/&gt;!2K}"</f>
        <v>#VALUE!</v>
      </c>
      <c r="CM353" t="e">
        <f>'North America'!I770+"n/&gt;!2K~"</f>
        <v>#VALUE!</v>
      </c>
      <c r="CN353" t="e">
        <f>'North America'!A771+"n/&gt;!2L#"</f>
        <v>#VALUE!</v>
      </c>
      <c r="CO353" t="e">
        <f>'North America'!B771+"n/&gt;!2L$"</f>
        <v>#VALUE!</v>
      </c>
      <c r="CP353" t="e">
        <f>'North America'!C771+"n/&gt;!2L%"</f>
        <v>#VALUE!</v>
      </c>
      <c r="CQ353" t="e">
        <f>'North America'!D771+"n/&gt;!2L&amp;"</f>
        <v>#VALUE!</v>
      </c>
      <c r="CR353" t="e">
        <f>'North America'!E771+"n/&gt;!2L'"</f>
        <v>#VALUE!</v>
      </c>
      <c r="CS353" t="e">
        <f>'North America'!F771+"n/&gt;!2L("</f>
        <v>#VALUE!</v>
      </c>
      <c r="CT353" t="e">
        <f>'North America'!G771+"n/&gt;!2L)"</f>
        <v>#VALUE!</v>
      </c>
      <c r="CU353" t="e">
        <f>'North America'!H771+"n/&gt;!2L."</f>
        <v>#VALUE!</v>
      </c>
      <c r="CV353" t="e">
        <f>'North America'!I771+"n/&gt;!2L/"</f>
        <v>#VALUE!</v>
      </c>
      <c r="CW353" t="e">
        <f>'North America'!A772+"n/&gt;!2L0"</f>
        <v>#VALUE!</v>
      </c>
      <c r="CX353" t="e">
        <f>'North America'!B772+"n/&gt;!2L1"</f>
        <v>#VALUE!</v>
      </c>
      <c r="CY353" t="e">
        <f>'North America'!C772+"n/&gt;!2L2"</f>
        <v>#VALUE!</v>
      </c>
      <c r="CZ353" t="e">
        <f>'North America'!D772+"n/&gt;!2L3"</f>
        <v>#VALUE!</v>
      </c>
      <c r="DA353" t="e">
        <f>'North America'!E772+"n/&gt;!2L4"</f>
        <v>#VALUE!</v>
      </c>
      <c r="DB353" t="e">
        <f>'North America'!F772+"n/&gt;!2L5"</f>
        <v>#VALUE!</v>
      </c>
      <c r="DC353" t="e">
        <f>'North America'!G772+"n/&gt;!2L6"</f>
        <v>#VALUE!</v>
      </c>
      <c r="DD353" t="e">
        <f>'North America'!H772+"n/&gt;!2L7"</f>
        <v>#VALUE!</v>
      </c>
      <c r="DE353" t="e">
        <f>'North America'!I772+"n/&gt;!2L8"</f>
        <v>#VALUE!</v>
      </c>
      <c r="DF353" t="e">
        <f>'North America'!A773+"n/&gt;!2L9"</f>
        <v>#VALUE!</v>
      </c>
      <c r="DG353" t="e">
        <f>'North America'!B773+"n/&gt;!2L:"</f>
        <v>#VALUE!</v>
      </c>
      <c r="DH353" t="e">
        <f>'North America'!C773+"n/&gt;!2L;"</f>
        <v>#VALUE!</v>
      </c>
      <c r="DI353" t="e">
        <f>'North America'!D773+"n/&gt;!2L&lt;"</f>
        <v>#VALUE!</v>
      </c>
      <c r="DJ353" t="e">
        <f>'North America'!E773+"n/&gt;!2L="</f>
        <v>#VALUE!</v>
      </c>
      <c r="DK353" t="e">
        <f>'North America'!F773+"n/&gt;!2L&gt;"</f>
        <v>#VALUE!</v>
      </c>
      <c r="DL353" t="e">
        <f>'North America'!G773+"n/&gt;!2L?"</f>
        <v>#VALUE!</v>
      </c>
      <c r="DM353" t="e">
        <f>'North America'!H773+"n/&gt;!2L@"</f>
        <v>#VALUE!</v>
      </c>
      <c r="DN353" t="e">
        <f>'North America'!I773+"n/&gt;!2LA"</f>
        <v>#VALUE!</v>
      </c>
      <c r="DO353" t="e">
        <f>'North America'!A774+"n/&gt;!2LB"</f>
        <v>#VALUE!</v>
      </c>
      <c r="DP353" t="e">
        <f>'North America'!B774+"n/&gt;!2LC"</f>
        <v>#VALUE!</v>
      </c>
      <c r="DQ353" t="e">
        <f>'North America'!C774+"n/&gt;!2LD"</f>
        <v>#VALUE!</v>
      </c>
      <c r="DR353" t="e">
        <f>'North America'!D774+"n/&gt;!2LE"</f>
        <v>#VALUE!</v>
      </c>
      <c r="DS353" t="e">
        <f>'North America'!E774+"n/&gt;!2LF"</f>
        <v>#VALUE!</v>
      </c>
      <c r="DT353" t="e">
        <f>'North America'!F774+"n/&gt;!2LG"</f>
        <v>#VALUE!</v>
      </c>
      <c r="DU353" t="e">
        <f>'North America'!G774+"n/&gt;!2LH"</f>
        <v>#VALUE!</v>
      </c>
      <c r="DV353" t="e">
        <f>'North America'!H774+"n/&gt;!2LI"</f>
        <v>#VALUE!</v>
      </c>
      <c r="DW353" t="e">
        <f>'North America'!I774+"n/&gt;!2LJ"</f>
        <v>#VALUE!</v>
      </c>
      <c r="DX353" t="e">
        <f>'North America'!A775+"n/&gt;!2LK"</f>
        <v>#VALUE!</v>
      </c>
      <c r="DY353" t="e">
        <f>'North America'!B775+"n/&gt;!2LL"</f>
        <v>#VALUE!</v>
      </c>
      <c r="DZ353" t="e">
        <f>'North America'!C775+"n/&gt;!2LM"</f>
        <v>#VALUE!</v>
      </c>
      <c r="EA353" t="e">
        <f>'North America'!D775+"n/&gt;!2LN"</f>
        <v>#VALUE!</v>
      </c>
      <c r="EB353" t="e">
        <f>'North America'!E775+"n/&gt;!2LO"</f>
        <v>#VALUE!</v>
      </c>
      <c r="EC353" t="e">
        <f>'North America'!F775+"n/&gt;!2LP"</f>
        <v>#VALUE!</v>
      </c>
      <c r="ED353" t="e">
        <f>'North America'!G775+"n/&gt;!2LQ"</f>
        <v>#VALUE!</v>
      </c>
      <c r="EE353" t="e">
        <f>'North America'!H775+"n/&gt;!2LR"</f>
        <v>#VALUE!</v>
      </c>
      <c r="EF353" t="e">
        <f>'North America'!I775+"n/&gt;!2LS"</f>
        <v>#VALUE!</v>
      </c>
      <c r="EG353" t="e">
        <f>'North America'!A776+"n/&gt;!2LT"</f>
        <v>#VALUE!</v>
      </c>
      <c r="EH353" t="e">
        <f>'North America'!B776+"n/&gt;!2LU"</f>
        <v>#VALUE!</v>
      </c>
      <c r="EI353" t="e">
        <f>'North America'!C776+"n/&gt;!2LV"</f>
        <v>#VALUE!</v>
      </c>
      <c r="EJ353" t="e">
        <f>'North America'!D776+"n/&gt;!2LW"</f>
        <v>#VALUE!</v>
      </c>
      <c r="EK353" t="e">
        <f>'North America'!E776+"n/&gt;!2LX"</f>
        <v>#VALUE!</v>
      </c>
      <c r="EL353" t="e">
        <f>'North America'!F776+"n/&gt;!2LY"</f>
        <v>#VALUE!</v>
      </c>
      <c r="EM353" t="e">
        <f>'North America'!G776+"n/&gt;!2LZ"</f>
        <v>#VALUE!</v>
      </c>
      <c r="EN353" t="e">
        <f>'North America'!H776+"n/&gt;!2L["</f>
        <v>#VALUE!</v>
      </c>
      <c r="EO353" t="e">
        <f>'North America'!I776+"n/&gt;!2L\"</f>
        <v>#VALUE!</v>
      </c>
      <c r="EP353" t="e">
        <f>'North America'!A777+"n/&gt;!2L]"</f>
        <v>#VALUE!</v>
      </c>
      <c r="EQ353" t="e">
        <f>'North America'!B777+"n/&gt;!2L^"</f>
        <v>#VALUE!</v>
      </c>
      <c r="ER353" t="e">
        <f>'North America'!C777+"n/&gt;!2L_"</f>
        <v>#VALUE!</v>
      </c>
      <c r="ES353" t="e">
        <f>'North America'!D777+"n/&gt;!2L`"</f>
        <v>#VALUE!</v>
      </c>
      <c r="ET353" t="e">
        <f>'North America'!E777+"n/&gt;!2La"</f>
        <v>#VALUE!</v>
      </c>
      <c r="EU353" t="e">
        <f>'North America'!F777+"n/&gt;!2Lb"</f>
        <v>#VALUE!</v>
      </c>
      <c r="EV353" t="e">
        <f>'North America'!G777+"n/&gt;!2Lc"</f>
        <v>#VALUE!</v>
      </c>
      <c r="EW353" t="e">
        <f>'North America'!H777+"n/&gt;!2Ld"</f>
        <v>#VALUE!</v>
      </c>
      <c r="EX353" t="e">
        <f>'North America'!I777+"n/&gt;!2Le"</f>
        <v>#VALUE!</v>
      </c>
      <c r="EY353" t="e">
        <f>'North America'!A778+"n/&gt;!2Lf"</f>
        <v>#VALUE!</v>
      </c>
      <c r="EZ353" t="e">
        <f>'North America'!B778+"n/&gt;!2Lg"</f>
        <v>#VALUE!</v>
      </c>
      <c r="FA353" t="e">
        <f>'North America'!C778+"n/&gt;!2Lh"</f>
        <v>#VALUE!</v>
      </c>
      <c r="FB353" t="e">
        <f>'North America'!D778+"n/&gt;!2Li"</f>
        <v>#VALUE!</v>
      </c>
      <c r="FC353" t="e">
        <f>'North America'!E778+"n/&gt;!2Lj"</f>
        <v>#VALUE!</v>
      </c>
      <c r="FD353" t="e">
        <f>'North America'!F778+"n/&gt;!2Lk"</f>
        <v>#VALUE!</v>
      </c>
      <c r="FE353" t="e">
        <f>'North America'!G778+"n/&gt;!2Ll"</f>
        <v>#VALUE!</v>
      </c>
      <c r="FF353" t="e">
        <f>'North America'!H778+"n/&gt;!2Lm"</f>
        <v>#VALUE!</v>
      </c>
      <c r="FG353" t="e">
        <f>'North America'!I778+"n/&gt;!2Ln"</f>
        <v>#VALUE!</v>
      </c>
      <c r="FH353" t="e">
        <f>'North America'!A779+"n/&gt;!2Lo"</f>
        <v>#VALUE!</v>
      </c>
      <c r="FI353" t="e">
        <f>'North America'!B779+"n/&gt;!2Lp"</f>
        <v>#VALUE!</v>
      </c>
      <c r="FJ353" t="e">
        <f>'North America'!C779+"n/&gt;!2Lq"</f>
        <v>#VALUE!</v>
      </c>
      <c r="FK353" t="e">
        <f>'North America'!D779+"n/&gt;!2Lr"</f>
        <v>#VALUE!</v>
      </c>
      <c r="FL353" t="e">
        <f>'North America'!E779+"n/&gt;!2Ls"</f>
        <v>#VALUE!</v>
      </c>
      <c r="FM353" t="e">
        <f>'North America'!F779+"n/&gt;!2Lt"</f>
        <v>#VALUE!</v>
      </c>
      <c r="FN353" t="e">
        <f>'North America'!G779+"n/&gt;!2Lu"</f>
        <v>#VALUE!</v>
      </c>
      <c r="FO353" t="e">
        <f>'North America'!H779+"n/&gt;!2Lv"</f>
        <v>#VALUE!</v>
      </c>
      <c r="FP353" t="e">
        <f>'North America'!I779+"n/&gt;!2Lw"</f>
        <v>#VALUE!</v>
      </c>
      <c r="FQ353" t="e">
        <f>'North America'!A780+"n/&gt;!2Lx"</f>
        <v>#VALUE!</v>
      </c>
      <c r="FR353" t="e">
        <f>'North America'!B780+"n/&gt;!2Ly"</f>
        <v>#VALUE!</v>
      </c>
      <c r="FS353" t="e">
        <f>'North America'!C780+"n/&gt;!2Lz"</f>
        <v>#VALUE!</v>
      </c>
      <c r="FT353" t="e">
        <f>'North America'!D780+"n/&gt;!2L{"</f>
        <v>#VALUE!</v>
      </c>
      <c r="FU353" t="e">
        <f>'North America'!E780+"n/&gt;!2L|"</f>
        <v>#VALUE!</v>
      </c>
      <c r="FV353" t="e">
        <f>'North America'!F780+"n/&gt;!2L}"</f>
        <v>#VALUE!</v>
      </c>
      <c r="FW353" t="e">
        <f>'North America'!G780+"n/&gt;!2L~"</f>
        <v>#VALUE!</v>
      </c>
      <c r="FX353" t="e">
        <f>'North America'!H780+"n/&gt;!2M#"</f>
        <v>#VALUE!</v>
      </c>
      <c r="FY353" t="e">
        <f>'North America'!I780+"n/&gt;!2M$"</f>
        <v>#VALUE!</v>
      </c>
      <c r="FZ353" t="e">
        <f>'North America'!A781+"n/&gt;!2M%"</f>
        <v>#VALUE!</v>
      </c>
      <c r="GA353" t="e">
        <f>'North America'!B781+"n/&gt;!2M&amp;"</f>
        <v>#VALUE!</v>
      </c>
      <c r="GB353" t="e">
        <f>'North America'!C781+"n/&gt;!2M'"</f>
        <v>#VALUE!</v>
      </c>
      <c r="GC353" t="e">
        <f>'North America'!D781+"n/&gt;!2M("</f>
        <v>#VALUE!</v>
      </c>
      <c r="GD353" t="e">
        <f>'North America'!E781+"n/&gt;!2M)"</f>
        <v>#VALUE!</v>
      </c>
      <c r="GE353" t="e">
        <f>'North America'!F781+"n/&gt;!2M."</f>
        <v>#VALUE!</v>
      </c>
      <c r="GF353" t="e">
        <f>'North America'!G781+"n/&gt;!2M/"</f>
        <v>#VALUE!</v>
      </c>
      <c r="GG353" t="e">
        <f>'North America'!H781+"n/&gt;!2M0"</f>
        <v>#VALUE!</v>
      </c>
      <c r="GH353" t="e">
        <f>'North America'!I781+"n/&gt;!2M1"</f>
        <v>#VALUE!</v>
      </c>
      <c r="GI353" t="e">
        <f>'North America'!A782+"n/&gt;!2M2"</f>
        <v>#VALUE!</v>
      </c>
      <c r="GJ353" t="e">
        <f>'North America'!B782+"n/&gt;!2M3"</f>
        <v>#VALUE!</v>
      </c>
      <c r="GK353" t="e">
        <f>'North America'!C782+"n/&gt;!2M4"</f>
        <v>#VALUE!</v>
      </c>
      <c r="GL353" t="e">
        <f>'North America'!D782+"n/&gt;!2M5"</f>
        <v>#VALUE!</v>
      </c>
      <c r="GM353" t="e">
        <f>'North America'!E782+"n/&gt;!2M6"</f>
        <v>#VALUE!</v>
      </c>
      <c r="GN353" t="e">
        <f>'North America'!F782+"n/&gt;!2M7"</f>
        <v>#VALUE!</v>
      </c>
      <c r="GO353" t="e">
        <f>'North America'!G782+"n/&gt;!2M8"</f>
        <v>#VALUE!</v>
      </c>
      <c r="GP353" t="e">
        <f>'North America'!H782+"n/&gt;!2M9"</f>
        <v>#VALUE!</v>
      </c>
      <c r="GQ353" t="e">
        <f>'North America'!I782+"n/&gt;!2M:"</f>
        <v>#VALUE!</v>
      </c>
      <c r="GR353" t="e">
        <f>'North America'!A783+"n/&gt;!2M;"</f>
        <v>#VALUE!</v>
      </c>
      <c r="GS353" t="e">
        <f>'North America'!B783+"n/&gt;!2M&lt;"</f>
        <v>#VALUE!</v>
      </c>
      <c r="GT353" t="e">
        <f>'North America'!C783+"n/&gt;!2M="</f>
        <v>#VALUE!</v>
      </c>
      <c r="GU353" t="e">
        <f>'North America'!D783+"n/&gt;!2M&gt;"</f>
        <v>#VALUE!</v>
      </c>
      <c r="GV353" t="e">
        <f>'North America'!E783+"n/&gt;!2M?"</f>
        <v>#VALUE!</v>
      </c>
      <c r="GW353" t="e">
        <f>'North America'!F783+"n/&gt;!2M@"</f>
        <v>#VALUE!</v>
      </c>
      <c r="GX353" t="e">
        <f>'North America'!G783+"n/&gt;!2MA"</f>
        <v>#VALUE!</v>
      </c>
      <c r="GY353" t="e">
        <f>'North America'!H783+"n/&gt;!2MB"</f>
        <v>#VALUE!</v>
      </c>
      <c r="GZ353" t="e">
        <f>'North America'!I783+"n/&gt;!2MC"</f>
        <v>#VALUE!</v>
      </c>
      <c r="HA353" t="e">
        <f>'North America'!A784+"n/&gt;!2MD"</f>
        <v>#VALUE!</v>
      </c>
      <c r="HB353" t="e">
        <f>'North America'!B784+"n/&gt;!2ME"</f>
        <v>#VALUE!</v>
      </c>
      <c r="HC353" t="e">
        <f>'North America'!C784+"n/&gt;!2MF"</f>
        <v>#VALUE!</v>
      </c>
      <c r="HD353" t="e">
        <f>'North America'!D784+"n/&gt;!2MG"</f>
        <v>#VALUE!</v>
      </c>
      <c r="HE353" t="e">
        <f>'North America'!E784+"n/&gt;!2MH"</f>
        <v>#VALUE!</v>
      </c>
      <c r="HF353" t="e">
        <f>'North America'!F784+"n/&gt;!2MI"</f>
        <v>#VALUE!</v>
      </c>
      <c r="HG353" t="e">
        <f>'North America'!G784+"n/&gt;!2MJ"</f>
        <v>#VALUE!</v>
      </c>
      <c r="HH353" t="e">
        <f>'North America'!H784+"n/&gt;!2MK"</f>
        <v>#VALUE!</v>
      </c>
      <c r="HI353" t="e">
        <f>'North America'!I784+"n/&gt;!2ML"</f>
        <v>#VALUE!</v>
      </c>
      <c r="HJ353" t="e">
        <f>'North America'!A785+"n/&gt;!2MM"</f>
        <v>#VALUE!</v>
      </c>
      <c r="HK353" t="e">
        <f>'North America'!B785+"n/&gt;!2MN"</f>
        <v>#VALUE!</v>
      </c>
      <c r="HL353" t="e">
        <f>'North America'!C785+"n/&gt;!2MO"</f>
        <v>#VALUE!</v>
      </c>
      <c r="HM353" t="e">
        <f>'North America'!D785+"n/&gt;!2MP"</f>
        <v>#VALUE!</v>
      </c>
      <c r="HN353" t="e">
        <f>'North America'!E785+"n/&gt;!2MQ"</f>
        <v>#VALUE!</v>
      </c>
      <c r="HO353" t="e">
        <f>'North America'!F785+"n/&gt;!2MR"</f>
        <v>#VALUE!</v>
      </c>
      <c r="HP353" t="e">
        <f>'North America'!G785+"n/&gt;!2MS"</f>
        <v>#VALUE!</v>
      </c>
      <c r="HQ353" t="e">
        <f>'North America'!H785+"n/&gt;!2MT"</f>
        <v>#VALUE!</v>
      </c>
      <c r="HR353" t="e">
        <f>'North America'!I785+"n/&gt;!2MU"</f>
        <v>#VALUE!</v>
      </c>
      <c r="HS353" t="e">
        <f>'North America'!A786+"n/&gt;!2MV"</f>
        <v>#VALUE!</v>
      </c>
      <c r="HT353" t="e">
        <f>'North America'!B786+"n/&gt;!2MW"</f>
        <v>#VALUE!</v>
      </c>
      <c r="HU353" t="e">
        <f>'North America'!C786+"n/&gt;!2MX"</f>
        <v>#VALUE!</v>
      </c>
      <c r="HV353" t="e">
        <f>'North America'!D786+"n/&gt;!2MY"</f>
        <v>#VALUE!</v>
      </c>
      <c r="HW353" t="e">
        <f>'North America'!E786+"n/&gt;!2MZ"</f>
        <v>#VALUE!</v>
      </c>
      <c r="HX353" t="e">
        <f>'North America'!F786+"n/&gt;!2M["</f>
        <v>#VALUE!</v>
      </c>
      <c r="HY353" t="e">
        <f>'North America'!G786+"n/&gt;!2M\"</f>
        <v>#VALUE!</v>
      </c>
      <c r="HZ353" t="e">
        <f>'North America'!H786+"n/&gt;!2M]"</f>
        <v>#VALUE!</v>
      </c>
      <c r="IA353" t="e">
        <f>'North America'!I786+"n/&gt;!2M^"</f>
        <v>#VALUE!</v>
      </c>
      <c r="IB353" t="e">
        <f>'North America'!A787+"n/&gt;!2M_"</f>
        <v>#VALUE!</v>
      </c>
      <c r="IC353" t="e">
        <f>'North America'!B787+"n/&gt;!2M`"</f>
        <v>#VALUE!</v>
      </c>
      <c r="ID353" t="e">
        <f>'North America'!C787+"n/&gt;!2Ma"</f>
        <v>#VALUE!</v>
      </c>
      <c r="IE353" t="e">
        <f>'North America'!D787+"n/&gt;!2Mb"</f>
        <v>#VALUE!</v>
      </c>
      <c r="IF353" t="e">
        <f>'North America'!E787+"n/&gt;!2Mc"</f>
        <v>#VALUE!</v>
      </c>
      <c r="IG353" t="e">
        <f>'North America'!F787+"n/&gt;!2Md"</f>
        <v>#VALUE!</v>
      </c>
      <c r="IH353" t="e">
        <f>'North America'!G787+"n/&gt;!2Me"</f>
        <v>#VALUE!</v>
      </c>
      <c r="II353" t="e">
        <f>'North America'!H787+"n/&gt;!2Mf"</f>
        <v>#VALUE!</v>
      </c>
      <c r="IJ353" t="e">
        <f>'North America'!I787+"n/&gt;!2Mg"</f>
        <v>#VALUE!</v>
      </c>
      <c r="IK353" t="e">
        <f>'North America'!A788+"n/&gt;!2Mh"</f>
        <v>#VALUE!</v>
      </c>
      <c r="IL353" t="e">
        <f>'North America'!B788+"n/&gt;!2Mi"</f>
        <v>#VALUE!</v>
      </c>
      <c r="IM353" t="e">
        <f>'North America'!C788+"n/&gt;!2Mj"</f>
        <v>#VALUE!</v>
      </c>
      <c r="IN353" t="e">
        <f>'North America'!D788+"n/&gt;!2Mk"</f>
        <v>#VALUE!</v>
      </c>
      <c r="IO353" t="e">
        <f>'North America'!E788+"n/&gt;!2Ml"</f>
        <v>#VALUE!</v>
      </c>
      <c r="IP353" t="e">
        <f>'North America'!F788+"n/&gt;!2Mm"</f>
        <v>#VALUE!</v>
      </c>
      <c r="IQ353" t="e">
        <f>'North America'!G788+"n/&gt;!2Mn"</f>
        <v>#VALUE!</v>
      </c>
      <c r="IR353" t="e">
        <f>'North America'!H788+"n/&gt;!2Mo"</f>
        <v>#VALUE!</v>
      </c>
      <c r="IS353" t="e">
        <f>'North America'!I788+"n/&gt;!2Mp"</f>
        <v>#VALUE!</v>
      </c>
      <c r="IT353" t="e">
        <f>'North America'!A789+"n/&gt;!2Mq"</f>
        <v>#VALUE!</v>
      </c>
      <c r="IU353" t="e">
        <f>'North America'!B789+"n/&gt;!2Mr"</f>
        <v>#VALUE!</v>
      </c>
      <c r="IV353" t="e">
        <f>'North America'!C789+"n/&gt;!2Ms"</f>
        <v>#VALUE!</v>
      </c>
    </row>
    <row r="354" spans="6:256" x14ac:dyDescent="0.35">
      <c r="F354" t="e">
        <f>'North America'!D789+"n/&gt;!2Mt"</f>
        <v>#VALUE!</v>
      </c>
      <c r="G354" t="e">
        <f>'North America'!E789+"n/&gt;!2Mu"</f>
        <v>#VALUE!</v>
      </c>
      <c r="H354" t="e">
        <f>'North America'!F789+"n/&gt;!2Mv"</f>
        <v>#VALUE!</v>
      </c>
      <c r="I354" t="e">
        <f>'North America'!G789+"n/&gt;!2Mw"</f>
        <v>#VALUE!</v>
      </c>
      <c r="J354" t="e">
        <f>'North America'!H789+"n/&gt;!2Mx"</f>
        <v>#VALUE!</v>
      </c>
      <c r="K354" t="e">
        <f>'North America'!I789+"n/&gt;!2My"</f>
        <v>#VALUE!</v>
      </c>
      <c r="L354" t="e">
        <f>'North America'!A790+"n/&gt;!2Mz"</f>
        <v>#VALUE!</v>
      </c>
      <c r="M354" t="e">
        <f>'North America'!B790+"n/&gt;!2M{"</f>
        <v>#VALUE!</v>
      </c>
      <c r="N354" t="e">
        <f>'North America'!C790+"n/&gt;!2M|"</f>
        <v>#VALUE!</v>
      </c>
      <c r="O354" t="e">
        <f>'North America'!D790+"n/&gt;!2M}"</f>
        <v>#VALUE!</v>
      </c>
      <c r="P354" t="e">
        <f>'North America'!E790+"n/&gt;!2M~"</f>
        <v>#VALUE!</v>
      </c>
      <c r="Q354" t="e">
        <f>'North America'!F790+"n/&gt;!2N#"</f>
        <v>#VALUE!</v>
      </c>
      <c r="R354" t="e">
        <f>'North America'!G790+"n/&gt;!2N$"</f>
        <v>#VALUE!</v>
      </c>
      <c r="S354" t="e">
        <f>'North America'!H790+"n/&gt;!2N%"</f>
        <v>#VALUE!</v>
      </c>
      <c r="T354" t="e">
        <f>'North America'!I790+"n/&gt;!2N&amp;"</f>
        <v>#VALUE!</v>
      </c>
      <c r="U354" t="e">
        <f>'North America'!A791+"n/&gt;!2N'"</f>
        <v>#VALUE!</v>
      </c>
      <c r="V354" t="e">
        <f>'North America'!B791+"n/&gt;!2N("</f>
        <v>#VALUE!</v>
      </c>
      <c r="W354" t="e">
        <f>'North America'!C791+"n/&gt;!2N)"</f>
        <v>#VALUE!</v>
      </c>
      <c r="X354" t="e">
        <f>'North America'!D791+"n/&gt;!2N."</f>
        <v>#VALUE!</v>
      </c>
      <c r="Y354" t="e">
        <f>'North America'!E791+"n/&gt;!2N/"</f>
        <v>#VALUE!</v>
      </c>
      <c r="Z354" t="e">
        <f>'North America'!F791+"n/&gt;!2N0"</f>
        <v>#VALUE!</v>
      </c>
      <c r="AA354" t="e">
        <f>'North America'!G791+"n/&gt;!2N1"</f>
        <v>#VALUE!</v>
      </c>
      <c r="AB354" t="e">
        <f>'North America'!H791+"n/&gt;!2N2"</f>
        <v>#VALUE!</v>
      </c>
      <c r="AC354" t="e">
        <f>'North America'!I791+"n/&gt;!2N3"</f>
        <v>#VALUE!</v>
      </c>
      <c r="AD354" t="e">
        <f>'North America'!A792+"n/&gt;!2N4"</f>
        <v>#VALUE!</v>
      </c>
      <c r="AE354" t="e">
        <f>'North America'!B792+"n/&gt;!2N5"</f>
        <v>#VALUE!</v>
      </c>
      <c r="AF354" t="e">
        <f>'North America'!C792+"n/&gt;!2N6"</f>
        <v>#VALUE!</v>
      </c>
      <c r="AG354" t="e">
        <f>'North America'!D792+"n/&gt;!2N7"</f>
        <v>#VALUE!</v>
      </c>
      <c r="AH354" t="e">
        <f>'North America'!E792+"n/&gt;!2N8"</f>
        <v>#VALUE!</v>
      </c>
      <c r="AI354" t="e">
        <f>'North America'!F792+"n/&gt;!2N9"</f>
        <v>#VALUE!</v>
      </c>
      <c r="AJ354" t="e">
        <f>'North America'!G792+"n/&gt;!2N:"</f>
        <v>#VALUE!</v>
      </c>
      <c r="AK354" t="e">
        <f>'North America'!H792+"n/&gt;!2N;"</f>
        <v>#VALUE!</v>
      </c>
      <c r="AL354" t="e">
        <f>'North America'!I792+"n/&gt;!2N&lt;"</f>
        <v>#VALUE!</v>
      </c>
      <c r="AM354" t="e">
        <f>'North America'!A793+"n/&gt;!2N="</f>
        <v>#VALUE!</v>
      </c>
      <c r="AN354" t="e">
        <f>'North America'!B793+"n/&gt;!2N&gt;"</f>
        <v>#VALUE!</v>
      </c>
      <c r="AO354" t="e">
        <f>'North America'!C793+"n/&gt;!2N?"</f>
        <v>#VALUE!</v>
      </c>
      <c r="AP354" t="e">
        <f>'North America'!D793+"n/&gt;!2N@"</f>
        <v>#VALUE!</v>
      </c>
      <c r="AQ354" t="e">
        <f>'North America'!E793+"n/&gt;!2NA"</f>
        <v>#VALUE!</v>
      </c>
      <c r="AR354" t="e">
        <f>'North America'!F793+"n/&gt;!2NB"</f>
        <v>#VALUE!</v>
      </c>
      <c r="AS354" t="e">
        <f>'North America'!G793+"n/&gt;!2NC"</f>
        <v>#VALUE!</v>
      </c>
      <c r="AT354" t="e">
        <f>'North America'!H793+"n/&gt;!2ND"</f>
        <v>#VALUE!</v>
      </c>
      <c r="AU354" t="e">
        <f>'North America'!I793+"n/&gt;!2NE"</f>
        <v>#VALUE!</v>
      </c>
      <c r="AV354" t="e">
        <f>'North America'!A794+"n/&gt;!2NF"</f>
        <v>#VALUE!</v>
      </c>
      <c r="AW354" t="e">
        <f>'North America'!B794+"n/&gt;!2NG"</f>
        <v>#VALUE!</v>
      </c>
      <c r="AX354" t="e">
        <f>'North America'!C794+"n/&gt;!2NH"</f>
        <v>#VALUE!</v>
      </c>
      <c r="AY354" t="e">
        <f>'North America'!D794+"n/&gt;!2NI"</f>
        <v>#VALUE!</v>
      </c>
      <c r="AZ354" t="e">
        <f>'North America'!E794+"n/&gt;!2NJ"</f>
        <v>#VALUE!</v>
      </c>
      <c r="BA354" t="e">
        <f>'North America'!F794+"n/&gt;!2NK"</f>
        <v>#VALUE!</v>
      </c>
      <c r="BB354" t="e">
        <f>'North America'!G794+"n/&gt;!2NL"</f>
        <v>#VALUE!</v>
      </c>
      <c r="BC354" t="e">
        <f>'North America'!H794+"n/&gt;!2NM"</f>
        <v>#VALUE!</v>
      </c>
      <c r="BD354" t="e">
        <f>'North America'!I794+"n/&gt;!2NN"</f>
        <v>#VALUE!</v>
      </c>
      <c r="BE354" t="e">
        <f>'North America'!A795+"n/&gt;!2NO"</f>
        <v>#VALUE!</v>
      </c>
      <c r="BF354" t="e">
        <f>'North America'!B795+"n/&gt;!2NP"</f>
        <v>#VALUE!</v>
      </c>
      <c r="BG354" t="e">
        <f>'North America'!C795+"n/&gt;!2NQ"</f>
        <v>#VALUE!</v>
      </c>
      <c r="BH354" t="e">
        <f>'North America'!D795+"n/&gt;!2NR"</f>
        <v>#VALUE!</v>
      </c>
      <c r="BI354" t="e">
        <f>'North America'!E795+"n/&gt;!2NS"</f>
        <v>#VALUE!</v>
      </c>
      <c r="BJ354" t="e">
        <f>'North America'!F795+"n/&gt;!2NT"</f>
        <v>#VALUE!</v>
      </c>
      <c r="BK354" t="e">
        <f>'North America'!G795+"n/&gt;!2NU"</f>
        <v>#VALUE!</v>
      </c>
      <c r="BL354" t="e">
        <f>'North America'!H795+"n/&gt;!2NV"</f>
        <v>#VALUE!</v>
      </c>
      <c r="BM354" t="e">
        <f>'North America'!I795+"n/&gt;!2NW"</f>
        <v>#VALUE!</v>
      </c>
      <c r="BN354" t="e">
        <f>'North America'!A796+"n/&gt;!2NX"</f>
        <v>#VALUE!</v>
      </c>
      <c r="BO354" t="e">
        <f>'North America'!B796+"n/&gt;!2NY"</f>
        <v>#VALUE!</v>
      </c>
      <c r="BP354" t="e">
        <f>'North America'!C796+"n/&gt;!2NZ"</f>
        <v>#VALUE!</v>
      </c>
      <c r="BQ354" t="e">
        <f>'North America'!D796+"n/&gt;!2N["</f>
        <v>#VALUE!</v>
      </c>
      <c r="BR354" t="e">
        <f>'North America'!E796+"n/&gt;!2N\"</f>
        <v>#VALUE!</v>
      </c>
      <c r="BS354" t="e">
        <f>'North America'!F796+"n/&gt;!2N]"</f>
        <v>#VALUE!</v>
      </c>
      <c r="BT354" t="e">
        <f>'North America'!G796+"n/&gt;!2N^"</f>
        <v>#VALUE!</v>
      </c>
      <c r="BU354" t="e">
        <f>'North America'!H796+"n/&gt;!2N_"</f>
        <v>#VALUE!</v>
      </c>
      <c r="BV354" t="e">
        <f>'North America'!I796+"n/&gt;!2N`"</f>
        <v>#VALUE!</v>
      </c>
      <c r="BW354" t="e">
        <f>'North America'!A797+"n/&gt;!2Na"</f>
        <v>#VALUE!</v>
      </c>
      <c r="BX354" t="e">
        <f>'North America'!B797+"n/&gt;!2Nb"</f>
        <v>#VALUE!</v>
      </c>
      <c r="BY354" t="e">
        <f>'North America'!C797+"n/&gt;!2Nc"</f>
        <v>#VALUE!</v>
      </c>
      <c r="BZ354" t="e">
        <f>'North America'!D797+"n/&gt;!2Nd"</f>
        <v>#VALUE!</v>
      </c>
      <c r="CA354" t="e">
        <f>'North America'!E797+"n/&gt;!2Ne"</f>
        <v>#VALUE!</v>
      </c>
      <c r="CB354" t="e">
        <f>'North America'!F797+"n/&gt;!2Nf"</f>
        <v>#VALUE!</v>
      </c>
      <c r="CC354" t="e">
        <f>'North America'!G797+"n/&gt;!2Ng"</f>
        <v>#VALUE!</v>
      </c>
      <c r="CD354" t="e">
        <f>'North America'!H797+"n/&gt;!2Nh"</f>
        <v>#VALUE!</v>
      </c>
      <c r="CE354" t="e">
        <f>'North America'!I797+"n/&gt;!2Ni"</f>
        <v>#VALUE!</v>
      </c>
      <c r="CF354" t="e">
        <f>'North America'!A798+"n/&gt;!2Nj"</f>
        <v>#VALUE!</v>
      </c>
      <c r="CG354" t="e">
        <f>'North America'!B798+"n/&gt;!2Nk"</f>
        <v>#VALUE!</v>
      </c>
      <c r="CH354" t="e">
        <f>'North America'!C798+"n/&gt;!2Nl"</f>
        <v>#VALUE!</v>
      </c>
      <c r="CI354" t="e">
        <f>'North America'!D798+"n/&gt;!2Nm"</f>
        <v>#VALUE!</v>
      </c>
      <c r="CJ354" t="e">
        <f>'North America'!E798+"n/&gt;!2Nn"</f>
        <v>#VALUE!</v>
      </c>
      <c r="CK354" t="e">
        <f>'North America'!F798+"n/&gt;!2No"</f>
        <v>#VALUE!</v>
      </c>
      <c r="CL354" t="e">
        <f>'North America'!G798+"n/&gt;!2Np"</f>
        <v>#VALUE!</v>
      </c>
      <c r="CM354" t="e">
        <f>'North America'!H798+"n/&gt;!2Nq"</f>
        <v>#VALUE!</v>
      </c>
      <c r="CN354" t="e">
        <f>'North America'!I798+"n/&gt;!2Nr"</f>
        <v>#VALUE!</v>
      </c>
      <c r="CO354" t="e">
        <f>'North America'!A799+"n/&gt;!2Ns"</f>
        <v>#VALUE!</v>
      </c>
      <c r="CP354" t="e">
        <f>'North America'!B799+"n/&gt;!2Nt"</f>
        <v>#VALUE!</v>
      </c>
      <c r="CQ354" t="e">
        <f>'North America'!C799+"n/&gt;!2Nu"</f>
        <v>#VALUE!</v>
      </c>
      <c r="CR354" t="e">
        <f>'North America'!D799+"n/&gt;!2Nv"</f>
        <v>#VALUE!</v>
      </c>
      <c r="CS354" t="e">
        <f>'North America'!E799+"n/&gt;!2Nw"</f>
        <v>#VALUE!</v>
      </c>
      <c r="CT354" t="e">
        <f>'North America'!F799+"n/&gt;!2Nx"</f>
        <v>#VALUE!</v>
      </c>
      <c r="CU354" t="e">
        <f>'North America'!G799+"n/&gt;!2Ny"</f>
        <v>#VALUE!</v>
      </c>
      <c r="CV354" t="e">
        <f>'North America'!H799+"n/&gt;!2Nz"</f>
        <v>#VALUE!</v>
      </c>
      <c r="CW354" t="e">
        <f>'North America'!I799+"n/&gt;!2N{"</f>
        <v>#VALUE!</v>
      </c>
      <c r="CX354" t="e">
        <f>'North America'!A800+"n/&gt;!2N|"</f>
        <v>#VALUE!</v>
      </c>
      <c r="CY354" t="e">
        <f>'North America'!B800+"n/&gt;!2N}"</f>
        <v>#VALUE!</v>
      </c>
      <c r="CZ354" t="e">
        <f>'North America'!C800+"n/&gt;!2N~"</f>
        <v>#VALUE!</v>
      </c>
      <c r="DA354" t="e">
        <f>'North America'!D800+"n/&gt;!2O#"</f>
        <v>#VALUE!</v>
      </c>
      <c r="DB354" t="e">
        <f>'North America'!E800+"n/&gt;!2O$"</f>
        <v>#VALUE!</v>
      </c>
      <c r="DC354" t="e">
        <f>'North America'!F800+"n/&gt;!2O%"</f>
        <v>#VALUE!</v>
      </c>
      <c r="DD354" t="e">
        <f>'North America'!G800+"n/&gt;!2O&amp;"</f>
        <v>#VALUE!</v>
      </c>
      <c r="DE354" t="e">
        <f>'North America'!H800+"n/&gt;!2O'"</f>
        <v>#VALUE!</v>
      </c>
      <c r="DF354" t="e">
        <f>'North America'!I800+"n/&gt;!2O("</f>
        <v>#VALUE!</v>
      </c>
      <c r="DG354" t="e">
        <f>'North America'!A801+"n/&gt;!2O)"</f>
        <v>#VALUE!</v>
      </c>
      <c r="DH354" t="e">
        <f>'North America'!B801+"n/&gt;!2O."</f>
        <v>#VALUE!</v>
      </c>
      <c r="DI354" t="e">
        <f>'North America'!C801+"n/&gt;!2O/"</f>
        <v>#VALUE!</v>
      </c>
      <c r="DJ354" t="e">
        <f>'North America'!D801+"n/&gt;!2O0"</f>
        <v>#VALUE!</v>
      </c>
      <c r="DK354" t="e">
        <f>'North America'!E801+"n/&gt;!2O1"</f>
        <v>#VALUE!</v>
      </c>
      <c r="DL354" t="e">
        <f>'North America'!F801+"n/&gt;!2O2"</f>
        <v>#VALUE!</v>
      </c>
      <c r="DM354" t="e">
        <f>'North America'!G801+"n/&gt;!2O3"</f>
        <v>#VALUE!</v>
      </c>
      <c r="DN354" t="e">
        <f>'North America'!H801+"n/&gt;!2O4"</f>
        <v>#VALUE!</v>
      </c>
      <c r="DO354" t="e">
        <f>'North America'!I801+"n/&gt;!2O5"</f>
        <v>#VALUE!</v>
      </c>
      <c r="DP354" t="e">
        <f>'North America'!A802+"n/&gt;!2O6"</f>
        <v>#VALUE!</v>
      </c>
      <c r="DQ354" t="e">
        <f>'North America'!B802+"n/&gt;!2O7"</f>
        <v>#VALUE!</v>
      </c>
      <c r="DR354" t="e">
        <f>'North America'!C802+"n/&gt;!2O8"</f>
        <v>#VALUE!</v>
      </c>
      <c r="DS354" t="e">
        <f>'North America'!D802+"n/&gt;!2O9"</f>
        <v>#VALUE!</v>
      </c>
      <c r="DT354" t="e">
        <f>'North America'!E802+"n/&gt;!2O:"</f>
        <v>#VALUE!</v>
      </c>
      <c r="DU354" t="e">
        <f>'North America'!F802+"n/&gt;!2O;"</f>
        <v>#VALUE!</v>
      </c>
      <c r="DV354" t="e">
        <f>'North America'!G802+"n/&gt;!2O&lt;"</f>
        <v>#VALUE!</v>
      </c>
      <c r="DW354" t="e">
        <f>'North America'!H802+"n/&gt;!2O="</f>
        <v>#VALUE!</v>
      </c>
      <c r="DX354" t="e">
        <f>'North America'!I802+"n/&gt;!2O&gt;"</f>
        <v>#VALUE!</v>
      </c>
      <c r="DY354" t="e">
        <f>'North America'!A803+"n/&gt;!2O?"</f>
        <v>#VALUE!</v>
      </c>
      <c r="DZ354" t="e">
        <f>'North America'!B803+"n/&gt;!2O@"</f>
        <v>#VALUE!</v>
      </c>
      <c r="EA354" t="e">
        <f>'North America'!C803+"n/&gt;!2OA"</f>
        <v>#VALUE!</v>
      </c>
      <c r="EB354" t="e">
        <f>'North America'!D803+"n/&gt;!2OB"</f>
        <v>#VALUE!</v>
      </c>
      <c r="EC354" t="e">
        <f>'North America'!E803+"n/&gt;!2OC"</f>
        <v>#VALUE!</v>
      </c>
      <c r="ED354" t="e">
        <f>'North America'!F803+"n/&gt;!2OD"</f>
        <v>#VALUE!</v>
      </c>
      <c r="EE354" t="e">
        <f>'North America'!G803+"n/&gt;!2OE"</f>
        <v>#VALUE!</v>
      </c>
      <c r="EF354" t="e">
        <f>'North America'!H803+"n/&gt;!2OF"</f>
        <v>#VALUE!</v>
      </c>
      <c r="EG354" t="e">
        <f>'North America'!I803+"n/&gt;!2OG"</f>
        <v>#VALUE!</v>
      </c>
      <c r="EH354" t="e">
        <f>'North America'!A804+"n/&gt;!2OH"</f>
        <v>#VALUE!</v>
      </c>
      <c r="EI354" t="e">
        <f>'North America'!B804+"n/&gt;!2OI"</f>
        <v>#VALUE!</v>
      </c>
      <c r="EJ354" t="e">
        <f>'North America'!C804+"n/&gt;!2OJ"</f>
        <v>#VALUE!</v>
      </c>
      <c r="EK354" t="e">
        <f>'North America'!D804+"n/&gt;!2OK"</f>
        <v>#VALUE!</v>
      </c>
      <c r="EL354" t="e">
        <f>'North America'!E804+"n/&gt;!2OL"</f>
        <v>#VALUE!</v>
      </c>
      <c r="EM354" t="e">
        <f>'North America'!F804+"n/&gt;!2OM"</f>
        <v>#VALUE!</v>
      </c>
      <c r="EN354" t="e">
        <f>'North America'!G804+"n/&gt;!2ON"</f>
        <v>#VALUE!</v>
      </c>
      <c r="EO354" t="e">
        <f>'North America'!H804+"n/&gt;!2OO"</f>
        <v>#VALUE!</v>
      </c>
      <c r="EP354" t="e">
        <f>'North America'!I804+"n/&gt;!2OP"</f>
        <v>#VALUE!</v>
      </c>
      <c r="EQ354" t="e">
        <f>'North America'!A805+"n/&gt;!2OQ"</f>
        <v>#VALUE!</v>
      </c>
      <c r="ER354" t="e">
        <f>'North America'!B805+"n/&gt;!2OR"</f>
        <v>#VALUE!</v>
      </c>
      <c r="ES354" t="e">
        <f>'North America'!C805+"n/&gt;!2OS"</f>
        <v>#VALUE!</v>
      </c>
      <c r="ET354" t="e">
        <f>'North America'!D805+"n/&gt;!2OT"</f>
        <v>#VALUE!</v>
      </c>
      <c r="EU354" t="e">
        <f>'North America'!E805+"n/&gt;!2OU"</f>
        <v>#VALUE!</v>
      </c>
      <c r="EV354" t="e">
        <f>'North America'!F805+"n/&gt;!2OV"</f>
        <v>#VALUE!</v>
      </c>
      <c r="EW354" t="e">
        <f>'North America'!G805+"n/&gt;!2OW"</f>
        <v>#VALUE!</v>
      </c>
      <c r="EX354" t="e">
        <f>'North America'!H805+"n/&gt;!2OX"</f>
        <v>#VALUE!</v>
      </c>
      <c r="EY354" t="e">
        <f>'North America'!I805+"n/&gt;!2OY"</f>
        <v>#VALUE!</v>
      </c>
      <c r="EZ354" t="e">
        <f>'North America'!A806+"n/&gt;!2OZ"</f>
        <v>#VALUE!</v>
      </c>
      <c r="FA354" t="e">
        <f>'North America'!B806+"n/&gt;!2O["</f>
        <v>#VALUE!</v>
      </c>
      <c r="FB354" t="e">
        <f>'North America'!C806+"n/&gt;!2O\"</f>
        <v>#VALUE!</v>
      </c>
      <c r="FC354" t="e">
        <f>'North America'!D806+"n/&gt;!2O]"</f>
        <v>#VALUE!</v>
      </c>
      <c r="FD354" t="e">
        <f>'North America'!E806+"n/&gt;!2O^"</f>
        <v>#VALUE!</v>
      </c>
      <c r="FE354" t="e">
        <f>'North America'!F806+"n/&gt;!2O_"</f>
        <v>#VALUE!</v>
      </c>
      <c r="FF354" t="e">
        <f>'North America'!G806+"n/&gt;!2O`"</f>
        <v>#VALUE!</v>
      </c>
      <c r="FG354" t="e">
        <f>'North America'!H806+"n/&gt;!2Oa"</f>
        <v>#VALUE!</v>
      </c>
      <c r="FH354" t="e">
        <f>'North America'!I806+"n/&gt;!2Ob"</f>
        <v>#VALUE!</v>
      </c>
      <c r="FI354" t="e">
        <f>'North America'!A807+"n/&gt;!2Oc"</f>
        <v>#VALUE!</v>
      </c>
      <c r="FJ354" t="e">
        <f>'North America'!B807+"n/&gt;!2Od"</f>
        <v>#VALUE!</v>
      </c>
      <c r="FK354" t="e">
        <f>'North America'!C807+"n/&gt;!2Oe"</f>
        <v>#VALUE!</v>
      </c>
      <c r="FL354" t="e">
        <f>'North America'!D807+"n/&gt;!2Of"</f>
        <v>#VALUE!</v>
      </c>
      <c r="FM354" t="e">
        <f>'North America'!E807+"n/&gt;!2Og"</f>
        <v>#VALUE!</v>
      </c>
      <c r="FN354" t="e">
        <f>'North America'!F807+"n/&gt;!2Oh"</f>
        <v>#VALUE!</v>
      </c>
      <c r="FO354" t="e">
        <f>'North America'!G807+"n/&gt;!2Oi"</f>
        <v>#VALUE!</v>
      </c>
      <c r="FP354" t="e">
        <f>'North America'!H807+"n/&gt;!2Oj"</f>
        <v>#VALUE!</v>
      </c>
      <c r="FQ354" t="e">
        <f>'North America'!I807+"n/&gt;!2Ok"</f>
        <v>#VALUE!</v>
      </c>
      <c r="FR354" t="e">
        <f>'North America'!A808+"n/&gt;!2Ol"</f>
        <v>#VALUE!</v>
      </c>
      <c r="FS354" t="e">
        <f>'North America'!B808+"n/&gt;!2Om"</f>
        <v>#VALUE!</v>
      </c>
      <c r="FT354" t="e">
        <f>'North America'!C808+"n/&gt;!2On"</f>
        <v>#VALUE!</v>
      </c>
      <c r="FU354" t="e">
        <f>'North America'!D808+"n/&gt;!2Oo"</f>
        <v>#VALUE!</v>
      </c>
      <c r="FV354" t="e">
        <f>'North America'!E808+"n/&gt;!2Op"</f>
        <v>#VALUE!</v>
      </c>
      <c r="FW354" t="e">
        <f>'North America'!F808+"n/&gt;!2Oq"</f>
        <v>#VALUE!</v>
      </c>
      <c r="FX354" t="e">
        <f>'North America'!G808+"n/&gt;!2Or"</f>
        <v>#VALUE!</v>
      </c>
      <c r="FY354" t="e">
        <f>'North America'!H808+"n/&gt;!2Os"</f>
        <v>#VALUE!</v>
      </c>
      <c r="FZ354" t="e">
        <f>'North America'!I808+"n/&gt;!2Ot"</f>
        <v>#VALUE!</v>
      </c>
      <c r="GA354" t="e">
        <f>'North America'!A809+"n/&gt;!2Ou"</f>
        <v>#VALUE!</v>
      </c>
      <c r="GB354" t="e">
        <f>'North America'!B809+"n/&gt;!2Ov"</f>
        <v>#VALUE!</v>
      </c>
      <c r="GC354" t="e">
        <f>'North America'!C809+"n/&gt;!2Ow"</f>
        <v>#VALUE!</v>
      </c>
      <c r="GD354" t="e">
        <f>'North America'!D809+"n/&gt;!2Ox"</f>
        <v>#VALUE!</v>
      </c>
      <c r="GE354" t="e">
        <f>'North America'!E809+"n/&gt;!2Oy"</f>
        <v>#VALUE!</v>
      </c>
      <c r="GF354" t="e">
        <f>'North America'!F809+"n/&gt;!2Oz"</f>
        <v>#VALUE!</v>
      </c>
      <c r="GG354" t="e">
        <f>'North America'!G809+"n/&gt;!2O{"</f>
        <v>#VALUE!</v>
      </c>
      <c r="GH354" t="e">
        <f>'North America'!H809+"n/&gt;!2O|"</f>
        <v>#VALUE!</v>
      </c>
      <c r="GI354" t="e">
        <f>'North America'!I809+"n/&gt;!2O}"</f>
        <v>#VALUE!</v>
      </c>
      <c r="GJ354" t="e">
        <f>'North America'!A810+"n/&gt;!2O~"</f>
        <v>#VALUE!</v>
      </c>
      <c r="GK354" t="e">
        <f>'North America'!B810+"n/&gt;!2P#"</f>
        <v>#VALUE!</v>
      </c>
      <c r="GL354" t="e">
        <f>'North America'!C810+"n/&gt;!2P$"</f>
        <v>#VALUE!</v>
      </c>
      <c r="GM354" t="e">
        <f>'North America'!D810+"n/&gt;!2P%"</f>
        <v>#VALUE!</v>
      </c>
      <c r="GN354" t="e">
        <f>'North America'!E810+"n/&gt;!2P&amp;"</f>
        <v>#VALUE!</v>
      </c>
      <c r="GO354" t="e">
        <f>'North America'!F810+"n/&gt;!2P'"</f>
        <v>#VALUE!</v>
      </c>
      <c r="GP354" t="e">
        <f>'North America'!G810+"n/&gt;!2P("</f>
        <v>#VALUE!</v>
      </c>
      <c r="GQ354" t="e">
        <f>'North America'!H810+"n/&gt;!2P)"</f>
        <v>#VALUE!</v>
      </c>
      <c r="GR354" t="e">
        <f>'North America'!I810+"n/&gt;!2P."</f>
        <v>#VALUE!</v>
      </c>
      <c r="GS354" t="e">
        <f>'North America'!A811+"n/&gt;!2P/"</f>
        <v>#VALUE!</v>
      </c>
      <c r="GT354" t="e">
        <f>'North America'!B811+"n/&gt;!2P0"</f>
        <v>#VALUE!</v>
      </c>
      <c r="GU354" t="e">
        <f>'North America'!C811+"n/&gt;!2P1"</f>
        <v>#VALUE!</v>
      </c>
      <c r="GV354" t="e">
        <f>'North America'!D811+"n/&gt;!2P2"</f>
        <v>#VALUE!</v>
      </c>
      <c r="GW354" t="e">
        <f>'North America'!E811+"n/&gt;!2P3"</f>
        <v>#VALUE!</v>
      </c>
      <c r="GX354" t="e">
        <f>'North America'!F811+"n/&gt;!2P4"</f>
        <v>#VALUE!</v>
      </c>
      <c r="GY354" t="e">
        <f>'North America'!G811+"n/&gt;!2P5"</f>
        <v>#VALUE!</v>
      </c>
      <c r="GZ354" t="e">
        <f>'North America'!H811+"n/&gt;!2P6"</f>
        <v>#VALUE!</v>
      </c>
      <c r="HA354" t="e">
        <f>'North America'!I811+"n/&gt;!2P7"</f>
        <v>#VALUE!</v>
      </c>
      <c r="HB354" t="e">
        <f>'North America'!A812+"n/&gt;!2P8"</f>
        <v>#VALUE!</v>
      </c>
      <c r="HC354" t="e">
        <f>'North America'!B812+"n/&gt;!2P9"</f>
        <v>#VALUE!</v>
      </c>
      <c r="HD354" t="e">
        <f>'North America'!C812+"n/&gt;!2P:"</f>
        <v>#VALUE!</v>
      </c>
      <c r="HE354" t="e">
        <f>'North America'!D812+"n/&gt;!2P;"</f>
        <v>#VALUE!</v>
      </c>
      <c r="HF354" t="e">
        <f>'North America'!E812+"n/&gt;!2P&lt;"</f>
        <v>#VALUE!</v>
      </c>
      <c r="HG354" t="e">
        <f>'North America'!F812+"n/&gt;!2P="</f>
        <v>#VALUE!</v>
      </c>
      <c r="HH354" t="e">
        <f>'North America'!G812+"n/&gt;!2P&gt;"</f>
        <v>#VALUE!</v>
      </c>
      <c r="HI354" t="e">
        <f>'North America'!H812+"n/&gt;!2P?"</f>
        <v>#VALUE!</v>
      </c>
      <c r="HJ354" t="e">
        <f>'North America'!I812+"n/&gt;!2P@"</f>
        <v>#VALUE!</v>
      </c>
      <c r="HK354" t="e">
        <f>'North America'!A813+"n/&gt;!2PA"</f>
        <v>#VALUE!</v>
      </c>
      <c r="HL354" t="e">
        <f>'North America'!B813+"n/&gt;!2PB"</f>
        <v>#VALUE!</v>
      </c>
      <c r="HM354" t="e">
        <f>'North America'!C813+"n/&gt;!2PC"</f>
        <v>#VALUE!</v>
      </c>
      <c r="HN354" t="e">
        <f>'North America'!D813+"n/&gt;!2PD"</f>
        <v>#VALUE!</v>
      </c>
      <c r="HO354" t="e">
        <f>'North America'!E813+"n/&gt;!2PE"</f>
        <v>#VALUE!</v>
      </c>
      <c r="HP354" t="e">
        <f>'North America'!F813+"n/&gt;!2PF"</f>
        <v>#VALUE!</v>
      </c>
      <c r="HQ354" t="e">
        <f>'North America'!G813+"n/&gt;!2PG"</f>
        <v>#VALUE!</v>
      </c>
      <c r="HR354" t="e">
        <f>'North America'!H813+"n/&gt;!2PH"</f>
        <v>#VALUE!</v>
      </c>
      <c r="HS354" t="e">
        <f>'North America'!I813+"n/&gt;!2PI"</f>
        <v>#VALUE!</v>
      </c>
      <c r="HT354" t="e">
        <f>'North America'!A814+"n/&gt;!2PJ"</f>
        <v>#VALUE!</v>
      </c>
      <c r="HU354" t="e">
        <f>'North America'!B814+"n/&gt;!2PK"</f>
        <v>#VALUE!</v>
      </c>
      <c r="HV354" t="e">
        <f>'North America'!C814+"n/&gt;!2PL"</f>
        <v>#VALUE!</v>
      </c>
      <c r="HW354" t="e">
        <f>'North America'!D814+"n/&gt;!2PM"</f>
        <v>#VALUE!</v>
      </c>
      <c r="HX354" t="e">
        <f>'North America'!E814+"n/&gt;!2PN"</f>
        <v>#VALUE!</v>
      </c>
      <c r="HY354" t="e">
        <f>'North America'!F814+"n/&gt;!2PO"</f>
        <v>#VALUE!</v>
      </c>
      <c r="HZ354" t="e">
        <f>'North America'!G814+"n/&gt;!2PP"</f>
        <v>#VALUE!</v>
      </c>
      <c r="IA354" t="e">
        <f>'North America'!H814+"n/&gt;!2PQ"</f>
        <v>#VALUE!</v>
      </c>
      <c r="IB354" t="e">
        <f>'North America'!I814+"n/&gt;!2PR"</f>
        <v>#VALUE!</v>
      </c>
      <c r="IC354" t="e">
        <f>'North America'!A815+"n/&gt;!2PS"</f>
        <v>#VALUE!</v>
      </c>
      <c r="ID354" t="e">
        <f>'North America'!B815+"n/&gt;!2PT"</f>
        <v>#VALUE!</v>
      </c>
      <c r="IE354" t="e">
        <f>'North America'!C815+"n/&gt;!2PU"</f>
        <v>#VALUE!</v>
      </c>
      <c r="IF354" t="e">
        <f>'North America'!D815+"n/&gt;!2PV"</f>
        <v>#VALUE!</v>
      </c>
      <c r="IG354" t="e">
        <f>'North America'!E815+"n/&gt;!2PW"</f>
        <v>#VALUE!</v>
      </c>
      <c r="IH354" t="e">
        <f>'North America'!F815+"n/&gt;!2PX"</f>
        <v>#VALUE!</v>
      </c>
      <c r="II354" t="e">
        <f>'North America'!G815+"n/&gt;!2PY"</f>
        <v>#VALUE!</v>
      </c>
      <c r="IJ354" t="e">
        <f>'North America'!H815+"n/&gt;!2PZ"</f>
        <v>#VALUE!</v>
      </c>
      <c r="IK354" t="e">
        <f>'North America'!I815+"n/&gt;!2P["</f>
        <v>#VALUE!</v>
      </c>
      <c r="IL354" t="e">
        <f>'North America'!A816+"n/&gt;!2P\"</f>
        <v>#VALUE!</v>
      </c>
      <c r="IM354" t="e">
        <f>'North America'!B816+"n/&gt;!2P]"</f>
        <v>#VALUE!</v>
      </c>
      <c r="IN354" t="e">
        <f>'North America'!C816+"n/&gt;!2P^"</f>
        <v>#VALUE!</v>
      </c>
      <c r="IO354" t="e">
        <f>'North America'!D816+"n/&gt;!2P_"</f>
        <v>#VALUE!</v>
      </c>
      <c r="IP354" t="e">
        <f>'North America'!E816+"n/&gt;!2P`"</f>
        <v>#VALUE!</v>
      </c>
      <c r="IQ354" t="e">
        <f>'North America'!F816+"n/&gt;!2Pa"</f>
        <v>#VALUE!</v>
      </c>
      <c r="IR354" t="e">
        <f>'North America'!G816+"n/&gt;!2Pb"</f>
        <v>#VALUE!</v>
      </c>
      <c r="IS354" t="e">
        <f>'North America'!H816+"n/&gt;!2Pc"</f>
        <v>#VALUE!</v>
      </c>
      <c r="IT354" t="e">
        <f>'North America'!I816+"n/&gt;!2Pd"</f>
        <v>#VALUE!</v>
      </c>
      <c r="IU354" t="e">
        <f>'North America'!A817+"n/&gt;!2Pe"</f>
        <v>#VALUE!</v>
      </c>
      <c r="IV354" t="e">
        <f>'North America'!B817+"n/&gt;!2Pf"</f>
        <v>#VALUE!</v>
      </c>
    </row>
    <row r="355" spans="6:256" x14ac:dyDescent="0.35">
      <c r="F355" t="e">
        <f>'North America'!C817+"n/&gt;!2Pg"</f>
        <v>#VALUE!</v>
      </c>
      <c r="G355" t="e">
        <f>'North America'!D817+"n/&gt;!2Ph"</f>
        <v>#VALUE!</v>
      </c>
      <c r="H355" t="e">
        <f>'North America'!E817+"n/&gt;!2Pi"</f>
        <v>#VALUE!</v>
      </c>
      <c r="I355" t="e">
        <f>'North America'!F817+"n/&gt;!2Pj"</f>
        <v>#VALUE!</v>
      </c>
      <c r="J355" t="e">
        <f>'North America'!G817+"n/&gt;!2Pk"</f>
        <v>#VALUE!</v>
      </c>
      <c r="K355" t="e">
        <f>'North America'!H817+"n/&gt;!2Pl"</f>
        <v>#VALUE!</v>
      </c>
      <c r="L355" t="e">
        <f>'North America'!I817+"n/&gt;!2Pm"</f>
        <v>#VALUE!</v>
      </c>
      <c r="M355" t="e">
        <f>'North America'!A818+"n/&gt;!2Pn"</f>
        <v>#VALUE!</v>
      </c>
      <c r="N355" t="e">
        <f>'North America'!B818+"n/&gt;!2Po"</f>
        <v>#VALUE!</v>
      </c>
      <c r="O355" t="e">
        <f>'North America'!C818+"n/&gt;!2Pp"</f>
        <v>#VALUE!</v>
      </c>
      <c r="P355" t="e">
        <f>'North America'!D818+"n/&gt;!2Pq"</f>
        <v>#VALUE!</v>
      </c>
      <c r="Q355" t="e">
        <f>'North America'!E818+"n/&gt;!2Pr"</f>
        <v>#VALUE!</v>
      </c>
      <c r="R355" t="e">
        <f>'North America'!F818+"n/&gt;!2Ps"</f>
        <v>#VALUE!</v>
      </c>
      <c r="S355" t="e">
        <f>'North America'!G818+"n/&gt;!2Pt"</f>
        <v>#VALUE!</v>
      </c>
      <c r="T355" t="e">
        <f>'North America'!H818+"n/&gt;!2Pu"</f>
        <v>#VALUE!</v>
      </c>
      <c r="U355" t="e">
        <f>'North America'!I818+"n/&gt;!2Pv"</f>
        <v>#VALUE!</v>
      </c>
      <c r="V355" t="e">
        <f>'North America'!A819+"n/&gt;!2Pw"</f>
        <v>#VALUE!</v>
      </c>
      <c r="W355" t="e">
        <f>'North America'!B819+"n/&gt;!2Px"</f>
        <v>#VALUE!</v>
      </c>
      <c r="X355" t="e">
        <f>'North America'!C819+"n/&gt;!2Py"</f>
        <v>#VALUE!</v>
      </c>
      <c r="Y355" t="e">
        <f>'North America'!D819+"n/&gt;!2Pz"</f>
        <v>#VALUE!</v>
      </c>
      <c r="Z355" t="e">
        <f>'North America'!E819+"n/&gt;!2P{"</f>
        <v>#VALUE!</v>
      </c>
      <c r="AA355" t="e">
        <f>'North America'!F819+"n/&gt;!2P|"</f>
        <v>#VALUE!</v>
      </c>
      <c r="AB355" t="e">
        <f>'North America'!G819+"n/&gt;!2P}"</f>
        <v>#VALUE!</v>
      </c>
      <c r="AC355" t="e">
        <f>'North America'!H819+"n/&gt;!2P~"</f>
        <v>#VALUE!</v>
      </c>
      <c r="AD355" t="e">
        <f>'North America'!I819+"n/&gt;!2Q#"</f>
        <v>#VALUE!</v>
      </c>
      <c r="AE355" t="e">
        <f>'North America'!A820+"n/&gt;!2Q$"</f>
        <v>#VALUE!</v>
      </c>
      <c r="AF355" t="e">
        <f>'North America'!B820+"n/&gt;!2Q%"</f>
        <v>#VALUE!</v>
      </c>
      <c r="AG355" t="e">
        <f>'North America'!C820+"n/&gt;!2Q&amp;"</f>
        <v>#VALUE!</v>
      </c>
      <c r="AH355" t="e">
        <f>'North America'!D820+"n/&gt;!2Q'"</f>
        <v>#VALUE!</v>
      </c>
      <c r="AI355" t="e">
        <f>'North America'!E820+"n/&gt;!2Q("</f>
        <v>#VALUE!</v>
      </c>
      <c r="AJ355" t="e">
        <f>'North America'!F820+"n/&gt;!2Q)"</f>
        <v>#VALUE!</v>
      </c>
      <c r="AK355" t="e">
        <f>'North America'!G820+"n/&gt;!2Q."</f>
        <v>#VALUE!</v>
      </c>
      <c r="AL355" t="e">
        <f>'North America'!H820+"n/&gt;!2Q/"</f>
        <v>#VALUE!</v>
      </c>
      <c r="AM355" t="e">
        <f>'North America'!I820+"n/&gt;!2Q0"</f>
        <v>#VALUE!</v>
      </c>
      <c r="AN355" t="e">
        <f>'North America'!A821+"n/&gt;!2Q1"</f>
        <v>#VALUE!</v>
      </c>
      <c r="AO355" t="e">
        <f>'North America'!B821+"n/&gt;!2Q2"</f>
        <v>#VALUE!</v>
      </c>
      <c r="AP355" t="e">
        <f>'North America'!C821+"n/&gt;!2Q3"</f>
        <v>#VALUE!</v>
      </c>
      <c r="AQ355" t="e">
        <f>'North America'!D821+"n/&gt;!2Q4"</f>
        <v>#VALUE!</v>
      </c>
      <c r="AR355" t="e">
        <f>'North America'!E821+"n/&gt;!2Q5"</f>
        <v>#VALUE!</v>
      </c>
      <c r="AS355" t="e">
        <f>'North America'!F821+"n/&gt;!2Q6"</f>
        <v>#VALUE!</v>
      </c>
      <c r="AT355" t="e">
        <f>'North America'!G821+"n/&gt;!2Q7"</f>
        <v>#VALUE!</v>
      </c>
      <c r="AU355" t="e">
        <f>'North America'!H821+"n/&gt;!2Q8"</f>
        <v>#VALUE!</v>
      </c>
      <c r="AV355" t="e">
        <f>'North America'!I821+"n/&gt;!2Q9"</f>
        <v>#VALUE!</v>
      </c>
      <c r="AW355" t="e">
        <f>'North America'!A822+"n/&gt;!2Q:"</f>
        <v>#VALUE!</v>
      </c>
      <c r="AX355" t="e">
        <f>'North America'!B822+"n/&gt;!2Q;"</f>
        <v>#VALUE!</v>
      </c>
      <c r="AY355" t="e">
        <f>'North America'!C822+"n/&gt;!2Q&lt;"</f>
        <v>#VALUE!</v>
      </c>
      <c r="AZ355" t="e">
        <f>'North America'!D822+"n/&gt;!2Q="</f>
        <v>#VALUE!</v>
      </c>
      <c r="BA355" t="e">
        <f>'North America'!E822+"n/&gt;!2Q&gt;"</f>
        <v>#VALUE!</v>
      </c>
      <c r="BB355" t="e">
        <f>'North America'!F822+"n/&gt;!2Q?"</f>
        <v>#VALUE!</v>
      </c>
      <c r="BC355" t="e">
        <f>'North America'!G822+"n/&gt;!2Q@"</f>
        <v>#VALUE!</v>
      </c>
      <c r="BD355" t="e">
        <f>'North America'!H822+"n/&gt;!2QA"</f>
        <v>#VALUE!</v>
      </c>
      <c r="BE355" t="e">
        <f>'North America'!I822+"n/&gt;!2QB"</f>
        <v>#VALUE!</v>
      </c>
      <c r="BF355" t="e">
        <f>'North America'!A823+"n/&gt;!2QC"</f>
        <v>#VALUE!</v>
      </c>
      <c r="BG355" t="e">
        <f>'North America'!B823+"n/&gt;!2QD"</f>
        <v>#VALUE!</v>
      </c>
      <c r="BH355" t="e">
        <f>'North America'!C823+"n/&gt;!2QE"</f>
        <v>#VALUE!</v>
      </c>
      <c r="BI355" t="e">
        <f>'North America'!D823+"n/&gt;!2QF"</f>
        <v>#VALUE!</v>
      </c>
      <c r="BJ355" t="e">
        <f>'North America'!E823+"n/&gt;!2QG"</f>
        <v>#VALUE!</v>
      </c>
      <c r="BK355" t="e">
        <f>'North America'!F823+"n/&gt;!2QH"</f>
        <v>#VALUE!</v>
      </c>
      <c r="BL355" t="e">
        <f>'North America'!G823+"n/&gt;!2QI"</f>
        <v>#VALUE!</v>
      </c>
      <c r="BM355" t="e">
        <f>'North America'!H823+"n/&gt;!2QJ"</f>
        <v>#VALUE!</v>
      </c>
      <c r="BN355" t="e">
        <f>'North America'!I823+"n/&gt;!2QK"</f>
        <v>#VALUE!</v>
      </c>
      <c r="BO355" t="e">
        <f>'North America'!A824+"n/&gt;!2QL"</f>
        <v>#VALUE!</v>
      </c>
      <c r="BP355" t="e">
        <f>'North America'!B824+"n/&gt;!2QM"</f>
        <v>#VALUE!</v>
      </c>
      <c r="BQ355" t="e">
        <f>'North America'!C824+"n/&gt;!2QN"</f>
        <v>#VALUE!</v>
      </c>
      <c r="BR355" t="e">
        <f>'North America'!D824+"n/&gt;!2QO"</f>
        <v>#VALUE!</v>
      </c>
      <c r="BS355" t="e">
        <f>'North America'!E824+"n/&gt;!2QP"</f>
        <v>#VALUE!</v>
      </c>
      <c r="BT355" t="e">
        <f>'North America'!F824+"n/&gt;!2QQ"</f>
        <v>#VALUE!</v>
      </c>
      <c r="BU355" t="e">
        <f>'North America'!G824+"n/&gt;!2QR"</f>
        <v>#VALUE!</v>
      </c>
      <c r="BV355" t="e">
        <f>'North America'!H824+"n/&gt;!2QS"</f>
        <v>#VALUE!</v>
      </c>
      <c r="BW355" t="e">
        <f>'North America'!I824+"n/&gt;!2QT"</f>
        <v>#VALUE!</v>
      </c>
      <c r="BX355" t="e">
        <f>'North America'!A825+"n/&gt;!2QU"</f>
        <v>#VALUE!</v>
      </c>
      <c r="BY355" t="e">
        <f>'North America'!B825+"n/&gt;!2QV"</f>
        <v>#VALUE!</v>
      </c>
      <c r="BZ355" t="e">
        <f>'North America'!C825+"n/&gt;!2QW"</f>
        <v>#VALUE!</v>
      </c>
      <c r="CA355" t="e">
        <f>'North America'!D825+"n/&gt;!2QX"</f>
        <v>#VALUE!</v>
      </c>
      <c r="CB355" t="e">
        <f>'North America'!E825+"n/&gt;!2QY"</f>
        <v>#VALUE!</v>
      </c>
      <c r="CC355" t="e">
        <f>'North America'!F825+"n/&gt;!2QZ"</f>
        <v>#VALUE!</v>
      </c>
      <c r="CD355" t="e">
        <f>'North America'!G825+"n/&gt;!2Q["</f>
        <v>#VALUE!</v>
      </c>
      <c r="CE355" t="e">
        <f>'North America'!H825+"n/&gt;!2Q\"</f>
        <v>#VALUE!</v>
      </c>
      <c r="CF355" t="e">
        <f>'North America'!I825+"n/&gt;!2Q]"</f>
        <v>#VALUE!</v>
      </c>
      <c r="CG355" t="e">
        <f>'North America'!A826+"n/&gt;!2Q^"</f>
        <v>#VALUE!</v>
      </c>
      <c r="CH355" t="e">
        <f>'North America'!B826+"n/&gt;!2Q_"</f>
        <v>#VALUE!</v>
      </c>
      <c r="CI355" t="e">
        <f>'North America'!C826+"n/&gt;!2Q`"</f>
        <v>#VALUE!</v>
      </c>
      <c r="CJ355" t="e">
        <f>'North America'!D826+"n/&gt;!2Qa"</f>
        <v>#VALUE!</v>
      </c>
      <c r="CK355" t="e">
        <f>'North America'!E826+"n/&gt;!2Qb"</f>
        <v>#VALUE!</v>
      </c>
      <c r="CL355" t="e">
        <f>'North America'!F826+"n/&gt;!2Qc"</f>
        <v>#VALUE!</v>
      </c>
      <c r="CM355" t="e">
        <f>'North America'!G826+"n/&gt;!2Qd"</f>
        <v>#VALUE!</v>
      </c>
      <c r="CN355" t="e">
        <f>'North America'!H826+"n/&gt;!2Qe"</f>
        <v>#VALUE!</v>
      </c>
      <c r="CO355" t="e">
        <f>'North America'!I826+"n/&gt;!2Qf"</f>
        <v>#VALUE!</v>
      </c>
      <c r="CP355" t="e">
        <f>'North America'!A827+"n/&gt;!2Qg"</f>
        <v>#VALUE!</v>
      </c>
      <c r="CQ355" t="e">
        <f>'North America'!B827+"n/&gt;!2Qh"</f>
        <v>#VALUE!</v>
      </c>
      <c r="CR355" t="e">
        <f>'North America'!C827+"n/&gt;!2Qi"</f>
        <v>#VALUE!</v>
      </c>
      <c r="CS355" t="e">
        <f>'North America'!D827+"n/&gt;!2Qj"</f>
        <v>#VALUE!</v>
      </c>
      <c r="CT355" t="e">
        <f>'North America'!E827+"n/&gt;!2Qk"</f>
        <v>#VALUE!</v>
      </c>
      <c r="CU355" t="e">
        <f>'North America'!F827+"n/&gt;!2Ql"</f>
        <v>#VALUE!</v>
      </c>
      <c r="CV355" t="e">
        <f>'North America'!G827+"n/&gt;!2Qm"</f>
        <v>#VALUE!</v>
      </c>
      <c r="CW355" t="e">
        <f>'North America'!H827+"n/&gt;!2Qn"</f>
        <v>#VALUE!</v>
      </c>
      <c r="CX355" t="e">
        <f>'North America'!I827+"n/&gt;!2Qo"</f>
        <v>#VALUE!</v>
      </c>
      <c r="CY355" t="e">
        <f>'North America'!A828+"n/&gt;!2Qp"</f>
        <v>#VALUE!</v>
      </c>
      <c r="CZ355" t="e">
        <f>'North America'!B828+"n/&gt;!2Qq"</f>
        <v>#VALUE!</v>
      </c>
      <c r="DA355" t="e">
        <f>'North America'!C828+"n/&gt;!2Qr"</f>
        <v>#VALUE!</v>
      </c>
      <c r="DB355" t="e">
        <f>'North America'!D828+"n/&gt;!2Qs"</f>
        <v>#VALUE!</v>
      </c>
      <c r="DC355" t="e">
        <f>'North America'!E828+"n/&gt;!2Qt"</f>
        <v>#VALUE!</v>
      </c>
      <c r="DD355" t="e">
        <f>'North America'!F828+"n/&gt;!2Qu"</f>
        <v>#VALUE!</v>
      </c>
      <c r="DE355" t="e">
        <f>'North America'!G828+"n/&gt;!2Qv"</f>
        <v>#VALUE!</v>
      </c>
      <c r="DF355" t="e">
        <f>'North America'!H828+"n/&gt;!2Qw"</f>
        <v>#VALUE!</v>
      </c>
      <c r="DG355" t="e">
        <f>'North America'!I828+"n/&gt;!2Qx"</f>
        <v>#VALUE!</v>
      </c>
      <c r="DH355" t="e">
        <f>'North America'!A829+"n/&gt;!2Qy"</f>
        <v>#VALUE!</v>
      </c>
      <c r="DI355" t="e">
        <f>'North America'!B829+"n/&gt;!2Qz"</f>
        <v>#VALUE!</v>
      </c>
      <c r="DJ355" t="e">
        <f>'North America'!C829+"n/&gt;!2Q{"</f>
        <v>#VALUE!</v>
      </c>
      <c r="DK355" t="e">
        <f>'North America'!D829+"n/&gt;!2Q|"</f>
        <v>#VALUE!</v>
      </c>
      <c r="DL355" t="e">
        <f>'North America'!E829+"n/&gt;!2Q}"</f>
        <v>#VALUE!</v>
      </c>
      <c r="DM355" t="e">
        <f>'North America'!F829+"n/&gt;!2Q~"</f>
        <v>#VALUE!</v>
      </c>
      <c r="DN355" t="e">
        <f>'North America'!G829+"n/&gt;!2R#"</f>
        <v>#VALUE!</v>
      </c>
      <c r="DO355" t="e">
        <f>'North America'!H829+"n/&gt;!2R$"</f>
        <v>#VALUE!</v>
      </c>
      <c r="DP355" t="e">
        <f>'North America'!I829+"n/&gt;!2R%"</f>
        <v>#VALUE!</v>
      </c>
      <c r="DQ355" t="e">
        <f>'North America'!A830+"n/&gt;!2R&amp;"</f>
        <v>#VALUE!</v>
      </c>
      <c r="DR355" t="e">
        <f>'North America'!B830+"n/&gt;!2R'"</f>
        <v>#VALUE!</v>
      </c>
      <c r="DS355" t="e">
        <f>'North America'!C830+"n/&gt;!2R("</f>
        <v>#VALUE!</v>
      </c>
      <c r="DT355" t="e">
        <f>'North America'!D830+"n/&gt;!2R)"</f>
        <v>#VALUE!</v>
      </c>
      <c r="DU355" t="e">
        <f>'North America'!E830+"n/&gt;!2R."</f>
        <v>#VALUE!</v>
      </c>
      <c r="DV355" t="e">
        <f>'North America'!F830+"n/&gt;!2R/"</f>
        <v>#VALUE!</v>
      </c>
      <c r="DW355" t="e">
        <f>'North America'!G830+"n/&gt;!2R0"</f>
        <v>#VALUE!</v>
      </c>
      <c r="DX355" t="e">
        <f>'North America'!H830+"n/&gt;!2R1"</f>
        <v>#VALUE!</v>
      </c>
      <c r="DY355" t="e">
        <f>'North America'!I830+"n/&gt;!2R2"</f>
        <v>#VALUE!</v>
      </c>
      <c r="DZ355" t="e">
        <f>'North America'!A831+"n/&gt;!2R3"</f>
        <v>#VALUE!</v>
      </c>
      <c r="EA355" t="e">
        <f>'North America'!B831+"n/&gt;!2R4"</f>
        <v>#VALUE!</v>
      </c>
      <c r="EB355" t="e">
        <f>'North America'!C831+"n/&gt;!2R5"</f>
        <v>#VALUE!</v>
      </c>
      <c r="EC355" t="e">
        <f>'North America'!D831+"n/&gt;!2R6"</f>
        <v>#VALUE!</v>
      </c>
      <c r="ED355" t="e">
        <f>'North America'!E831+"n/&gt;!2R7"</f>
        <v>#VALUE!</v>
      </c>
      <c r="EE355" t="e">
        <f>'North America'!F831+"n/&gt;!2R8"</f>
        <v>#VALUE!</v>
      </c>
      <c r="EF355" t="e">
        <f>'North America'!G831+"n/&gt;!2R9"</f>
        <v>#VALUE!</v>
      </c>
      <c r="EG355" t="e">
        <f>'North America'!H831+"n/&gt;!2R:"</f>
        <v>#VALUE!</v>
      </c>
      <c r="EH355" t="e">
        <f>'North America'!I831+"n/&gt;!2R;"</f>
        <v>#VALUE!</v>
      </c>
      <c r="EI355" t="e">
        <f>'North America'!A832+"n/&gt;!2R&lt;"</f>
        <v>#VALUE!</v>
      </c>
      <c r="EJ355" t="e">
        <f>'North America'!B832+"n/&gt;!2R="</f>
        <v>#VALUE!</v>
      </c>
      <c r="EK355" t="e">
        <f>'North America'!C832+"n/&gt;!2R&gt;"</f>
        <v>#VALUE!</v>
      </c>
      <c r="EL355" t="e">
        <f>'North America'!D832+"n/&gt;!2R?"</f>
        <v>#VALUE!</v>
      </c>
      <c r="EM355" t="e">
        <f>'North America'!E832+"n/&gt;!2R@"</f>
        <v>#VALUE!</v>
      </c>
      <c r="EN355" t="e">
        <f>'North America'!F832+"n/&gt;!2RA"</f>
        <v>#VALUE!</v>
      </c>
      <c r="EO355" t="e">
        <f>'North America'!G832+"n/&gt;!2RB"</f>
        <v>#VALUE!</v>
      </c>
      <c r="EP355" t="e">
        <f>'North America'!H832+"n/&gt;!2RC"</f>
        <v>#VALUE!</v>
      </c>
      <c r="EQ355" t="e">
        <f>'North America'!I832+"n/&gt;!2RD"</f>
        <v>#VALUE!</v>
      </c>
      <c r="ER355" t="e">
        <f>'North America'!A833+"n/&gt;!2RE"</f>
        <v>#VALUE!</v>
      </c>
      <c r="ES355" t="e">
        <f>'North America'!B833+"n/&gt;!2RF"</f>
        <v>#VALUE!</v>
      </c>
      <c r="ET355" t="e">
        <f>'North America'!C833+"n/&gt;!2RG"</f>
        <v>#VALUE!</v>
      </c>
      <c r="EU355" t="e">
        <f>'North America'!D833+"n/&gt;!2RH"</f>
        <v>#VALUE!</v>
      </c>
      <c r="EV355" t="e">
        <f>'North America'!E833+"n/&gt;!2RI"</f>
        <v>#VALUE!</v>
      </c>
      <c r="EW355" t="e">
        <f>'North America'!F833+"n/&gt;!2RJ"</f>
        <v>#VALUE!</v>
      </c>
      <c r="EX355" t="e">
        <f>'North America'!G833+"n/&gt;!2RK"</f>
        <v>#VALUE!</v>
      </c>
      <c r="EY355" t="e">
        <f>'North America'!H833+"n/&gt;!2RL"</f>
        <v>#VALUE!</v>
      </c>
      <c r="EZ355" t="e">
        <f>'North America'!I833+"n/&gt;!2RM"</f>
        <v>#VALUE!</v>
      </c>
      <c r="FA355" t="e">
        <f>'North America'!A834+"n/&gt;!2RN"</f>
        <v>#VALUE!</v>
      </c>
      <c r="FB355" t="e">
        <f>'North America'!B834+"n/&gt;!2RO"</f>
        <v>#VALUE!</v>
      </c>
      <c r="FC355" t="e">
        <f>'North America'!C834+"n/&gt;!2RP"</f>
        <v>#VALUE!</v>
      </c>
      <c r="FD355" t="e">
        <f>'North America'!D834+"n/&gt;!2RQ"</f>
        <v>#VALUE!</v>
      </c>
      <c r="FE355" t="e">
        <f>'North America'!E834+"n/&gt;!2RR"</f>
        <v>#VALUE!</v>
      </c>
      <c r="FF355" t="e">
        <f>'North America'!F834+"n/&gt;!2RS"</f>
        <v>#VALUE!</v>
      </c>
      <c r="FG355" t="e">
        <f>'North America'!G834+"n/&gt;!2RT"</f>
        <v>#VALUE!</v>
      </c>
      <c r="FH355" t="e">
        <f>'North America'!H834+"n/&gt;!2RU"</f>
        <v>#VALUE!</v>
      </c>
      <c r="FI355" t="e">
        <f>'North America'!I834+"n/&gt;!2RV"</f>
        <v>#VALUE!</v>
      </c>
      <c r="FJ355" t="e">
        <f>'North America'!A835+"n/&gt;!2RW"</f>
        <v>#VALUE!</v>
      </c>
      <c r="FK355" t="e">
        <f>'North America'!B835+"n/&gt;!2RX"</f>
        <v>#VALUE!</v>
      </c>
      <c r="FL355" t="e">
        <f>'North America'!C835+"n/&gt;!2RY"</f>
        <v>#VALUE!</v>
      </c>
      <c r="FM355" t="e">
        <f>'North America'!D835+"n/&gt;!2RZ"</f>
        <v>#VALUE!</v>
      </c>
      <c r="FN355" t="e">
        <f>'North America'!E835+"n/&gt;!2R["</f>
        <v>#VALUE!</v>
      </c>
      <c r="FO355" t="e">
        <f>'North America'!F835+"n/&gt;!2R\"</f>
        <v>#VALUE!</v>
      </c>
      <c r="FP355" t="e">
        <f>'North America'!G835+"n/&gt;!2R]"</f>
        <v>#VALUE!</v>
      </c>
      <c r="FQ355" t="e">
        <f>'North America'!H835+"n/&gt;!2R^"</f>
        <v>#VALUE!</v>
      </c>
      <c r="FR355" t="e">
        <f>'North America'!I835+"n/&gt;!2R_"</f>
        <v>#VALUE!</v>
      </c>
      <c r="FS355" t="e">
        <f>'North America'!A836+"n/&gt;!2R`"</f>
        <v>#VALUE!</v>
      </c>
      <c r="FT355" t="e">
        <f>'North America'!B836+"n/&gt;!2Ra"</f>
        <v>#VALUE!</v>
      </c>
      <c r="FU355" t="e">
        <f>'North America'!C836+"n/&gt;!2Rb"</f>
        <v>#VALUE!</v>
      </c>
      <c r="FV355" t="e">
        <f>'North America'!D836+"n/&gt;!2Rc"</f>
        <v>#VALUE!</v>
      </c>
      <c r="FW355" t="e">
        <f>'North America'!E836+"n/&gt;!2Rd"</f>
        <v>#VALUE!</v>
      </c>
      <c r="FX355" t="e">
        <f>'North America'!F836+"n/&gt;!2Re"</f>
        <v>#VALUE!</v>
      </c>
      <c r="FY355" t="e">
        <f>'North America'!G836+"n/&gt;!2Rf"</f>
        <v>#VALUE!</v>
      </c>
      <c r="FZ355" t="e">
        <f>'North America'!H836+"n/&gt;!2Rg"</f>
        <v>#VALUE!</v>
      </c>
      <c r="GA355" t="e">
        <f>'North America'!I836+"n/&gt;!2Rh"</f>
        <v>#VALUE!</v>
      </c>
      <c r="GB355" t="e">
        <f>'North America'!A837+"n/&gt;!2Ri"</f>
        <v>#VALUE!</v>
      </c>
      <c r="GC355" t="e">
        <f>'North America'!B837+"n/&gt;!2Rj"</f>
        <v>#VALUE!</v>
      </c>
      <c r="GD355" t="e">
        <f>'North America'!C837+"n/&gt;!2Rk"</f>
        <v>#VALUE!</v>
      </c>
      <c r="GE355" t="e">
        <f>'North America'!D837+"n/&gt;!2Rl"</f>
        <v>#VALUE!</v>
      </c>
      <c r="GF355" t="e">
        <f>'North America'!E837+"n/&gt;!2Rm"</f>
        <v>#VALUE!</v>
      </c>
      <c r="GG355" t="e">
        <f>'North America'!F837+"n/&gt;!2Rn"</f>
        <v>#VALUE!</v>
      </c>
      <c r="GH355" t="e">
        <f>'North America'!G837+"n/&gt;!2Ro"</f>
        <v>#VALUE!</v>
      </c>
      <c r="GI355" t="e">
        <f>'North America'!H837+"n/&gt;!2Rp"</f>
        <v>#VALUE!</v>
      </c>
      <c r="GJ355" t="e">
        <f>'North America'!I837+"n/&gt;!2Rq"</f>
        <v>#VALUE!</v>
      </c>
      <c r="GK355" t="e">
        <f>'North America'!A838+"n/&gt;!2Rr"</f>
        <v>#VALUE!</v>
      </c>
      <c r="GL355" t="e">
        <f>'North America'!B838+"n/&gt;!2Rs"</f>
        <v>#VALUE!</v>
      </c>
      <c r="GM355" t="e">
        <f>'North America'!C838+"n/&gt;!2Rt"</f>
        <v>#VALUE!</v>
      </c>
      <c r="GN355" t="e">
        <f>'North America'!D838+"n/&gt;!2Ru"</f>
        <v>#VALUE!</v>
      </c>
      <c r="GO355" t="e">
        <f>'North America'!E838+"n/&gt;!2Rv"</f>
        <v>#VALUE!</v>
      </c>
      <c r="GP355" t="e">
        <f>'North America'!F838+"n/&gt;!2Rw"</f>
        <v>#VALUE!</v>
      </c>
      <c r="GQ355" t="e">
        <f>'North America'!G838+"n/&gt;!2Rx"</f>
        <v>#VALUE!</v>
      </c>
      <c r="GR355" t="e">
        <f>'North America'!H838+"n/&gt;!2Ry"</f>
        <v>#VALUE!</v>
      </c>
      <c r="GS355" t="e">
        <f>'North America'!I838+"n/&gt;!2Rz"</f>
        <v>#VALUE!</v>
      </c>
      <c r="GT355" t="e">
        <f>'North America'!A839+"n/&gt;!2R{"</f>
        <v>#VALUE!</v>
      </c>
      <c r="GU355" t="e">
        <f>'North America'!B839+"n/&gt;!2R|"</f>
        <v>#VALUE!</v>
      </c>
      <c r="GV355" t="e">
        <f>'North America'!C839+"n/&gt;!2R}"</f>
        <v>#VALUE!</v>
      </c>
      <c r="GW355" t="e">
        <f>'North America'!D839+"n/&gt;!2R~"</f>
        <v>#VALUE!</v>
      </c>
      <c r="GX355" t="e">
        <f>'North America'!E839+"n/&gt;!2S#"</f>
        <v>#VALUE!</v>
      </c>
      <c r="GY355" t="e">
        <f>'North America'!F839+"n/&gt;!2S$"</f>
        <v>#VALUE!</v>
      </c>
      <c r="GZ355" t="e">
        <f>'North America'!G839+"n/&gt;!2S%"</f>
        <v>#VALUE!</v>
      </c>
      <c r="HA355" t="e">
        <f>'North America'!H839+"n/&gt;!2S&amp;"</f>
        <v>#VALUE!</v>
      </c>
      <c r="HB355" t="e">
        <f>'North America'!A840+"n/&gt;!2S'"</f>
        <v>#VALUE!</v>
      </c>
      <c r="HC355" t="e">
        <f>'North America'!B840+"n/&gt;!2S("</f>
        <v>#VALUE!</v>
      </c>
      <c r="HD355" t="e">
        <f>'North America'!C840+"n/&gt;!2S)"</f>
        <v>#VALUE!</v>
      </c>
      <c r="HE355" t="e">
        <f>'North America'!D840+"n/&gt;!2S."</f>
        <v>#VALUE!</v>
      </c>
      <c r="HF355" t="e">
        <f>'North America'!E840+"n/&gt;!2S/"</f>
        <v>#VALUE!</v>
      </c>
      <c r="HG355" t="e">
        <f>'North America'!F840+"n/&gt;!2S0"</f>
        <v>#VALUE!</v>
      </c>
      <c r="HH355" t="e">
        <f>'North America'!G840+"n/&gt;!2S1"</f>
        <v>#VALUE!</v>
      </c>
      <c r="HI355" t="e">
        <f>'North America'!H840+"n/&gt;!2S2"</f>
        <v>#VALUE!</v>
      </c>
      <c r="HJ355" t="e">
        <f>'North America'!A841+"n/&gt;!2S3"</f>
        <v>#VALUE!</v>
      </c>
      <c r="HK355" t="e">
        <f>'North America'!B841+"n/&gt;!2S4"</f>
        <v>#VALUE!</v>
      </c>
      <c r="HL355" t="e">
        <f>'North America'!C841+"n/&gt;!2S5"</f>
        <v>#VALUE!</v>
      </c>
      <c r="HM355" t="e">
        <f>'North America'!D841+"n/&gt;!2S6"</f>
        <v>#VALUE!</v>
      </c>
      <c r="HN355" t="e">
        <f>'North America'!E841+"n/&gt;!2S7"</f>
        <v>#VALUE!</v>
      </c>
      <c r="HO355" t="e">
        <f>'North America'!F841+"n/&gt;!2S8"</f>
        <v>#VALUE!</v>
      </c>
      <c r="HP355" t="e">
        <f>'North America'!G841+"n/&gt;!2S9"</f>
        <v>#VALUE!</v>
      </c>
      <c r="HQ355" t="e">
        <f>'North America'!H841+"n/&gt;!2S:"</f>
        <v>#VALUE!</v>
      </c>
      <c r="HR355" t="e">
        <f>'North America'!I841+"n/&gt;!2S;"</f>
        <v>#VALUE!</v>
      </c>
      <c r="HS355" t="e">
        <f>'North America'!A842+"n/&gt;!2S&lt;"</f>
        <v>#VALUE!</v>
      </c>
      <c r="HT355" t="e">
        <f>'North America'!B842+"n/&gt;!2S="</f>
        <v>#VALUE!</v>
      </c>
      <c r="HU355" t="e">
        <f>'North America'!C842+"n/&gt;!2S&gt;"</f>
        <v>#VALUE!</v>
      </c>
      <c r="HV355" t="e">
        <f>'North America'!D842+"n/&gt;!2S?"</f>
        <v>#VALUE!</v>
      </c>
      <c r="HW355" t="e">
        <f>'North America'!E842+"n/&gt;!2S@"</f>
        <v>#VALUE!</v>
      </c>
      <c r="HX355" t="e">
        <f>'North America'!F842+"n/&gt;!2SA"</f>
        <v>#VALUE!</v>
      </c>
      <c r="HY355" t="e">
        <f>'North America'!G842+"n/&gt;!2SB"</f>
        <v>#VALUE!</v>
      </c>
      <c r="HZ355" t="e">
        <f>'North America'!H842+"n/&gt;!2SC"</f>
        <v>#VALUE!</v>
      </c>
      <c r="IA355" t="e">
        <f>'North America'!I842+"n/&gt;!2SD"</f>
        <v>#VALUE!</v>
      </c>
      <c r="IB355" t="e">
        <f>'North America'!A843+"n/&gt;!2SE"</f>
        <v>#VALUE!</v>
      </c>
      <c r="IC355" t="e">
        <f>'North America'!B843+"n/&gt;!2SF"</f>
        <v>#VALUE!</v>
      </c>
      <c r="ID355" t="e">
        <f>'North America'!C843+"n/&gt;!2SG"</f>
        <v>#VALUE!</v>
      </c>
      <c r="IE355" t="e">
        <f>'North America'!D843+"n/&gt;!2SH"</f>
        <v>#VALUE!</v>
      </c>
      <c r="IF355" t="e">
        <f>'North America'!E843+"n/&gt;!2SI"</f>
        <v>#VALUE!</v>
      </c>
      <c r="IG355" t="e">
        <f>'North America'!F843+"n/&gt;!2SJ"</f>
        <v>#VALUE!</v>
      </c>
      <c r="IH355" t="e">
        <f>'North America'!G843+"n/&gt;!2SK"</f>
        <v>#VALUE!</v>
      </c>
      <c r="II355" t="e">
        <f>'North America'!H843+"n/&gt;!2SL"</f>
        <v>#VALUE!</v>
      </c>
      <c r="IJ355" t="e">
        <f>'North America'!I843+"n/&gt;!2SM"</f>
        <v>#VALUE!</v>
      </c>
      <c r="IK355" t="e">
        <f>'North America'!A844+"n/&gt;!2SN"</f>
        <v>#VALUE!</v>
      </c>
      <c r="IL355" t="e">
        <f>'North America'!B844+"n/&gt;!2SO"</f>
        <v>#VALUE!</v>
      </c>
      <c r="IM355" t="e">
        <f>'North America'!C844+"n/&gt;!2SP"</f>
        <v>#VALUE!</v>
      </c>
      <c r="IN355" t="e">
        <f>'North America'!D844+"n/&gt;!2SQ"</f>
        <v>#VALUE!</v>
      </c>
      <c r="IO355" t="e">
        <f>'North America'!E844+"n/&gt;!2SR"</f>
        <v>#VALUE!</v>
      </c>
      <c r="IP355" t="e">
        <f>'North America'!F844+"n/&gt;!2SS"</f>
        <v>#VALUE!</v>
      </c>
      <c r="IQ355" t="e">
        <f>'North America'!G844+"n/&gt;!2ST"</f>
        <v>#VALUE!</v>
      </c>
      <c r="IR355" t="e">
        <f>'North America'!H844+"n/&gt;!2SU"</f>
        <v>#VALUE!</v>
      </c>
      <c r="IS355" t="e">
        <f>'North America'!I844+"n/&gt;!2SV"</f>
        <v>#VALUE!</v>
      </c>
      <c r="IT355" t="e">
        <f>'North America'!A845+"n/&gt;!2SW"</f>
        <v>#VALUE!</v>
      </c>
      <c r="IU355" t="e">
        <f>'North America'!B845+"n/&gt;!2SX"</f>
        <v>#VALUE!</v>
      </c>
      <c r="IV355" t="e">
        <f>'North America'!C845+"n/&gt;!2SY"</f>
        <v>#VALUE!</v>
      </c>
    </row>
    <row r="356" spans="6:256" x14ac:dyDescent="0.35">
      <c r="F356" t="e">
        <f>'North America'!D845+"n/&gt;!2SZ"</f>
        <v>#VALUE!</v>
      </c>
      <c r="G356" t="e">
        <f>'North America'!E845+"n/&gt;!2S["</f>
        <v>#VALUE!</v>
      </c>
      <c r="H356" t="e">
        <f>'North America'!F845+"n/&gt;!2S\"</f>
        <v>#VALUE!</v>
      </c>
      <c r="I356" t="e">
        <f>'North America'!G845+"n/&gt;!2S]"</f>
        <v>#VALUE!</v>
      </c>
      <c r="J356" t="e">
        <f>'North America'!H845+"n/&gt;!2S^"</f>
        <v>#VALUE!</v>
      </c>
      <c r="K356" t="e">
        <f>'North America'!I845+"n/&gt;!2S_"</f>
        <v>#VALUE!</v>
      </c>
      <c r="L356" t="e">
        <f>'North America'!A846+"n/&gt;!2S`"</f>
        <v>#VALUE!</v>
      </c>
      <c r="M356" t="e">
        <f>'North America'!B846+"n/&gt;!2Sa"</f>
        <v>#VALUE!</v>
      </c>
      <c r="N356" t="e">
        <f>'North America'!C846+"n/&gt;!2Sb"</f>
        <v>#VALUE!</v>
      </c>
      <c r="O356" t="e">
        <f>'North America'!D846+"n/&gt;!2Sc"</f>
        <v>#VALUE!</v>
      </c>
      <c r="P356" t="e">
        <f>'North America'!E846+"n/&gt;!2Sd"</f>
        <v>#VALUE!</v>
      </c>
      <c r="Q356" t="e">
        <f>'North America'!F846+"n/&gt;!2Se"</f>
        <v>#VALUE!</v>
      </c>
      <c r="R356" t="e">
        <f>'North America'!G846+"n/&gt;!2Sf"</f>
        <v>#VALUE!</v>
      </c>
      <c r="S356" t="e">
        <f>'North America'!H846+"n/&gt;!2Sg"</f>
        <v>#VALUE!</v>
      </c>
      <c r="T356" t="e">
        <f>'North America'!I846+"n/&gt;!2Sh"</f>
        <v>#VALUE!</v>
      </c>
      <c r="U356" t="e">
        <f>'North America'!A847+"n/&gt;!2Si"</f>
        <v>#VALUE!</v>
      </c>
      <c r="V356" t="e">
        <f>'North America'!B847+"n/&gt;!2Sj"</f>
        <v>#VALUE!</v>
      </c>
      <c r="W356" t="e">
        <f>'North America'!C847+"n/&gt;!2Sk"</f>
        <v>#VALUE!</v>
      </c>
      <c r="X356" t="e">
        <f>'North America'!D847+"n/&gt;!2Sl"</f>
        <v>#VALUE!</v>
      </c>
      <c r="Y356" t="e">
        <f>'North America'!E847+"n/&gt;!2Sm"</f>
        <v>#VALUE!</v>
      </c>
      <c r="Z356" t="e">
        <f>'North America'!F847+"n/&gt;!2Sn"</f>
        <v>#VALUE!</v>
      </c>
      <c r="AA356" t="e">
        <f>'North America'!G847+"n/&gt;!2So"</f>
        <v>#VALUE!</v>
      </c>
      <c r="AB356" t="e">
        <f>'North America'!H847+"n/&gt;!2Sp"</f>
        <v>#VALUE!</v>
      </c>
      <c r="AC356" t="e">
        <f>'North America'!I847+"n/&gt;!2Sq"</f>
        <v>#VALUE!</v>
      </c>
      <c r="AD356" t="e">
        <f>'North America'!A848+"n/&gt;!2Sr"</f>
        <v>#VALUE!</v>
      </c>
      <c r="AE356" t="e">
        <f>'North America'!B848+"n/&gt;!2Ss"</f>
        <v>#VALUE!</v>
      </c>
      <c r="AF356" t="e">
        <f>'North America'!C848+"n/&gt;!2St"</f>
        <v>#VALUE!</v>
      </c>
      <c r="AG356" t="e">
        <f>'North America'!D848+"n/&gt;!2Su"</f>
        <v>#VALUE!</v>
      </c>
      <c r="AH356" t="e">
        <f>'North America'!E848+"n/&gt;!2Sv"</f>
        <v>#VALUE!</v>
      </c>
      <c r="AI356" t="e">
        <f>'North America'!F848+"n/&gt;!2Sw"</f>
        <v>#VALUE!</v>
      </c>
      <c r="AJ356" t="e">
        <f>'North America'!G848+"n/&gt;!2Sx"</f>
        <v>#VALUE!</v>
      </c>
      <c r="AK356" t="e">
        <f>'North America'!H848+"n/&gt;!2Sy"</f>
        <v>#VALUE!</v>
      </c>
      <c r="AL356" t="e">
        <f>'North America'!I848+"n/&gt;!2Sz"</f>
        <v>#VALUE!</v>
      </c>
      <c r="AM356" t="e">
        <f>'North America'!A849+"n/&gt;!2S{"</f>
        <v>#VALUE!</v>
      </c>
      <c r="AN356" t="e">
        <f>'North America'!B849+"n/&gt;!2S|"</f>
        <v>#VALUE!</v>
      </c>
      <c r="AO356" t="e">
        <f>'North America'!C849+"n/&gt;!2S}"</f>
        <v>#VALUE!</v>
      </c>
      <c r="AP356" t="e">
        <f>'North America'!D849+"n/&gt;!2S~"</f>
        <v>#VALUE!</v>
      </c>
      <c r="AQ356" t="e">
        <f>'North America'!E849+"n/&gt;!2T#"</f>
        <v>#VALUE!</v>
      </c>
      <c r="AR356" t="e">
        <f>'North America'!F849+"n/&gt;!2T$"</f>
        <v>#VALUE!</v>
      </c>
      <c r="AS356" t="e">
        <f>'North America'!G849+"n/&gt;!2T%"</f>
        <v>#VALUE!</v>
      </c>
      <c r="AT356" t="e">
        <f>'North America'!H849+"n/&gt;!2T&amp;"</f>
        <v>#VALUE!</v>
      </c>
      <c r="AU356" t="e">
        <f>'North America'!I849+"n/&gt;!2T'"</f>
        <v>#VALUE!</v>
      </c>
      <c r="AV356" t="e">
        <f>'North America'!A850+"n/&gt;!2T("</f>
        <v>#VALUE!</v>
      </c>
      <c r="AW356" t="e">
        <f>'North America'!B850+"n/&gt;!2T)"</f>
        <v>#VALUE!</v>
      </c>
      <c r="AX356" t="e">
        <f>'North America'!C850+"n/&gt;!2T."</f>
        <v>#VALUE!</v>
      </c>
      <c r="AY356" t="e">
        <f>'North America'!D850+"n/&gt;!2T/"</f>
        <v>#VALUE!</v>
      </c>
      <c r="AZ356" t="e">
        <f>'North America'!E850+"n/&gt;!2T0"</f>
        <v>#VALUE!</v>
      </c>
      <c r="BA356" t="e">
        <f>'North America'!F850+"n/&gt;!2T1"</f>
        <v>#VALUE!</v>
      </c>
      <c r="BB356" t="e">
        <f>'North America'!G850+"n/&gt;!2T2"</f>
        <v>#VALUE!</v>
      </c>
      <c r="BC356" t="e">
        <f>'North America'!H850+"n/&gt;!2T3"</f>
        <v>#VALUE!</v>
      </c>
      <c r="BD356" t="e">
        <f>'North America'!I850+"n/&gt;!2T4"</f>
        <v>#VALUE!</v>
      </c>
      <c r="BE356" t="e">
        <f>'North America'!A851+"n/&gt;!2T5"</f>
        <v>#VALUE!</v>
      </c>
      <c r="BF356" t="e">
        <f>'North America'!B851+"n/&gt;!2T6"</f>
        <v>#VALUE!</v>
      </c>
      <c r="BG356" t="e">
        <f>'North America'!C851+"n/&gt;!2T7"</f>
        <v>#VALUE!</v>
      </c>
      <c r="BH356" t="e">
        <f>'North America'!D851+"n/&gt;!2T8"</f>
        <v>#VALUE!</v>
      </c>
      <c r="BI356" t="e">
        <f>'North America'!E851+"n/&gt;!2T9"</f>
        <v>#VALUE!</v>
      </c>
      <c r="BJ356" t="e">
        <f>'North America'!F851+"n/&gt;!2T:"</f>
        <v>#VALUE!</v>
      </c>
      <c r="BK356" t="e">
        <f>'North America'!G851+"n/&gt;!2T;"</f>
        <v>#VALUE!</v>
      </c>
      <c r="BL356" t="e">
        <f>'North America'!H851+"n/&gt;!2T&lt;"</f>
        <v>#VALUE!</v>
      </c>
      <c r="BM356" t="e">
        <f>'North America'!I851+"n/&gt;!2T="</f>
        <v>#VALUE!</v>
      </c>
      <c r="BN356" t="e">
        <f>'North America'!A852+"n/&gt;!2T&gt;"</f>
        <v>#VALUE!</v>
      </c>
      <c r="BO356" t="e">
        <f>'North America'!B852+"n/&gt;!2T?"</f>
        <v>#VALUE!</v>
      </c>
      <c r="BP356" t="e">
        <f>'North America'!C852+"n/&gt;!2T@"</f>
        <v>#VALUE!</v>
      </c>
      <c r="BQ356" t="e">
        <f>'North America'!D852+"n/&gt;!2TA"</f>
        <v>#VALUE!</v>
      </c>
      <c r="BR356" t="e">
        <f>'North America'!E852+"n/&gt;!2TB"</f>
        <v>#VALUE!</v>
      </c>
      <c r="BS356" t="e">
        <f>'North America'!F852+"n/&gt;!2TC"</f>
        <v>#VALUE!</v>
      </c>
      <c r="BT356" t="e">
        <f>'North America'!G852+"n/&gt;!2TD"</f>
        <v>#VALUE!</v>
      </c>
      <c r="BU356" t="e">
        <f>'North America'!H852+"n/&gt;!2TE"</f>
        <v>#VALUE!</v>
      </c>
      <c r="BV356" t="e">
        <f>'North America'!I852+"n/&gt;!2TF"</f>
        <v>#VALUE!</v>
      </c>
      <c r="BW356" t="e">
        <f>'North America'!A853+"n/&gt;!2TG"</f>
        <v>#VALUE!</v>
      </c>
      <c r="BX356" t="e">
        <f>'North America'!B853+"n/&gt;!2TH"</f>
        <v>#VALUE!</v>
      </c>
      <c r="BY356" t="e">
        <f>'North America'!C853+"n/&gt;!2TI"</f>
        <v>#VALUE!</v>
      </c>
      <c r="BZ356" t="e">
        <f>'North America'!D853+"n/&gt;!2TJ"</f>
        <v>#VALUE!</v>
      </c>
      <c r="CA356" t="e">
        <f>'North America'!E853+"n/&gt;!2TK"</f>
        <v>#VALUE!</v>
      </c>
      <c r="CB356" t="e">
        <f>'North America'!F853+"n/&gt;!2TL"</f>
        <v>#VALUE!</v>
      </c>
      <c r="CC356" t="e">
        <f>'North America'!G853+"n/&gt;!2TM"</f>
        <v>#VALUE!</v>
      </c>
      <c r="CD356" t="e">
        <f>'North America'!H853+"n/&gt;!2TN"</f>
        <v>#VALUE!</v>
      </c>
      <c r="CE356" t="e">
        <f>'North America'!I853+"n/&gt;!2TO"</f>
        <v>#VALUE!</v>
      </c>
      <c r="CF356" t="e">
        <f>'North America'!A854+"n/&gt;!2TP"</f>
        <v>#VALUE!</v>
      </c>
      <c r="CG356" t="e">
        <f>'North America'!B854+"n/&gt;!2TQ"</f>
        <v>#VALUE!</v>
      </c>
      <c r="CH356" t="e">
        <f>'North America'!C854+"n/&gt;!2TR"</f>
        <v>#VALUE!</v>
      </c>
      <c r="CI356" t="e">
        <f>'North America'!D854+"n/&gt;!2TS"</f>
        <v>#VALUE!</v>
      </c>
      <c r="CJ356" t="e">
        <f>'North America'!E854+"n/&gt;!2TT"</f>
        <v>#VALUE!</v>
      </c>
      <c r="CK356" t="e">
        <f>'North America'!F854+"n/&gt;!2TU"</f>
        <v>#VALUE!</v>
      </c>
      <c r="CL356" t="e">
        <f>'North America'!G854+"n/&gt;!2TV"</f>
        <v>#VALUE!</v>
      </c>
      <c r="CM356" t="e">
        <f>'North America'!H854+"n/&gt;!2TW"</f>
        <v>#VALUE!</v>
      </c>
      <c r="CN356" t="e">
        <f>'North America'!I854+"n/&gt;!2TX"</f>
        <v>#VALUE!</v>
      </c>
      <c r="CO356" t="e">
        <f>'North America'!A855+"n/&gt;!2TY"</f>
        <v>#VALUE!</v>
      </c>
      <c r="CP356" t="e">
        <f>'North America'!B855+"n/&gt;!2TZ"</f>
        <v>#VALUE!</v>
      </c>
      <c r="CQ356" t="e">
        <f>'North America'!C855+"n/&gt;!2T["</f>
        <v>#VALUE!</v>
      </c>
      <c r="CR356" t="e">
        <f>'North America'!D855+"n/&gt;!2T\"</f>
        <v>#VALUE!</v>
      </c>
      <c r="CS356" t="e">
        <f>'North America'!E855+"n/&gt;!2T]"</f>
        <v>#VALUE!</v>
      </c>
      <c r="CT356" t="e">
        <f>'North America'!F855+"n/&gt;!2T^"</f>
        <v>#VALUE!</v>
      </c>
      <c r="CU356" t="e">
        <f>'North America'!G855+"n/&gt;!2T_"</f>
        <v>#VALUE!</v>
      </c>
      <c r="CV356" t="e">
        <f>'North America'!H855+"n/&gt;!2T`"</f>
        <v>#VALUE!</v>
      </c>
      <c r="CW356" t="e">
        <f>'North America'!I855+"n/&gt;!2Ta"</f>
        <v>#VALUE!</v>
      </c>
      <c r="CX356" t="e">
        <f>'North America'!A856+"n/&gt;!2Tb"</f>
        <v>#VALUE!</v>
      </c>
      <c r="CY356" t="e">
        <f>'North America'!B856+"n/&gt;!2Tc"</f>
        <v>#VALUE!</v>
      </c>
      <c r="CZ356" t="e">
        <f>'North America'!C856+"n/&gt;!2Td"</f>
        <v>#VALUE!</v>
      </c>
      <c r="DA356" t="e">
        <f>'North America'!D856+"n/&gt;!2Te"</f>
        <v>#VALUE!</v>
      </c>
      <c r="DB356" t="e">
        <f>'North America'!E856+"n/&gt;!2Tf"</f>
        <v>#VALUE!</v>
      </c>
      <c r="DC356" t="e">
        <f>'North America'!F856+"n/&gt;!2Tg"</f>
        <v>#VALUE!</v>
      </c>
      <c r="DD356" t="e">
        <f>'North America'!G856+"n/&gt;!2Th"</f>
        <v>#VALUE!</v>
      </c>
      <c r="DE356" t="e">
        <f>'North America'!H856+"n/&gt;!2Ti"</f>
        <v>#VALUE!</v>
      </c>
      <c r="DF356" t="e">
        <f>'North America'!I856+"n/&gt;!2Tj"</f>
        <v>#VALUE!</v>
      </c>
      <c r="DG356" t="e">
        <f>'North America'!A857+"n/&gt;!2Tk"</f>
        <v>#VALUE!</v>
      </c>
      <c r="DH356" t="e">
        <f>'North America'!B857+"n/&gt;!2Tl"</f>
        <v>#VALUE!</v>
      </c>
      <c r="DI356" t="e">
        <f>'North America'!C857+"n/&gt;!2Tm"</f>
        <v>#VALUE!</v>
      </c>
      <c r="DJ356" t="e">
        <f>'North America'!D857+"n/&gt;!2Tn"</f>
        <v>#VALUE!</v>
      </c>
      <c r="DK356" t="e">
        <f>'North America'!E857+"n/&gt;!2To"</f>
        <v>#VALUE!</v>
      </c>
      <c r="DL356" t="e">
        <f>'North America'!F857+"n/&gt;!2Tp"</f>
        <v>#VALUE!</v>
      </c>
      <c r="DM356" t="e">
        <f>'North America'!G857+"n/&gt;!2Tq"</f>
        <v>#VALUE!</v>
      </c>
      <c r="DN356" t="e">
        <f>'North America'!H857+"n/&gt;!2Tr"</f>
        <v>#VALUE!</v>
      </c>
      <c r="DO356" t="e">
        <f>'North America'!I857+"n/&gt;!2Ts"</f>
        <v>#VALUE!</v>
      </c>
      <c r="DP356" t="e">
        <f>'North America'!A858+"n/&gt;!2Tt"</f>
        <v>#VALUE!</v>
      </c>
      <c r="DQ356" t="e">
        <f>'North America'!B858+"n/&gt;!2Tu"</f>
        <v>#VALUE!</v>
      </c>
      <c r="DR356" t="e">
        <f>'North America'!C858+"n/&gt;!2Tv"</f>
        <v>#VALUE!</v>
      </c>
      <c r="DS356" t="e">
        <f>'North America'!D858+"n/&gt;!2Tw"</f>
        <v>#VALUE!</v>
      </c>
      <c r="DT356" t="e">
        <f>'North America'!E858+"n/&gt;!2Tx"</f>
        <v>#VALUE!</v>
      </c>
      <c r="DU356" t="e">
        <f>'North America'!F858+"n/&gt;!2Ty"</f>
        <v>#VALUE!</v>
      </c>
      <c r="DV356" t="e">
        <f>'North America'!G858+"n/&gt;!2Tz"</f>
        <v>#VALUE!</v>
      </c>
      <c r="DW356" t="e">
        <f>'North America'!H858+"n/&gt;!2T{"</f>
        <v>#VALUE!</v>
      </c>
      <c r="DX356" t="e">
        <f>'North America'!I858+"n/&gt;!2T|"</f>
        <v>#VALUE!</v>
      </c>
      <c r="DY356" t="e">
        <f>'North America'!A859+"n/&gt;!2T}"</f>
        <v>#VALUE!</v>
      </c>
      <c r="DZ356" t="e">
        <f>'North America'!B859+"n/&gt;!2T~"</f>
        <v>#VALUE!</v>
      </c>
      <c r="EA356" t="e">
        <f>'North America'!C859+"n/&gt;!2U#"</f>
        <v>#VALUE!</v>
      </c>
      <c r="EB356" t="e">
        <f>'North America'!D859+"n/&gt;!2U$"</f>
        <v>#VALUE!</v>
      </c>
      <c r="EC356" t="e">
        <f>'North America'!E859+"n/&gt;!2U%"</f>
        <v>#VALUE!</v>
      </c>
      <c r="ED356" t="e">
        <f>'North America'!F859+"n/&gt;!2U&amp;"</f>
        <v>#VALUE!</v>
      </c>
      <c r="EE356" t="e">
        <f>'North America'!G859+"n/&gt;!2U'"</f>
        <v>#VALUE!</v>
      </c>
      <c r="EF356" t="e">
        <f>'North America'!H859+"n/&gt;!2U("</f>
        <v>#VALUE!</v>
      </c>
      <c r="EG356" t="e">
        <f>'North America'!I859+"n/&gt;!2U)"</f>
        <v>#VALUE!</v>
      </c>
      <c r="EH356" t="e">
        <f>'North America'!A860+"n/&gt;!2U."</f>
        <v>#VALUE!</v>
      </c>
      <c r="EI356" t="e">
        <f>'North America'!B860+"n/&gt;!2U/"</f>
        <v>#VALUE!</v>
      </c>
      <c r="EJ356" t="e">
        <f>'North America'!C860+"n/&gt;!2U0"</f>
        <v>#VALUE!</v>
      </c>
      <c r="EK356" t="e">
        <f>'North America'!D860+"n/&gt;!2U1"</f>
        <v>#VALUE!</v>
      </c>
      <c r="EL356" t="e">
        <f>'North America'!E860+"n/&gt;!2U2"</f>
        <v>#VALUE!</v>
      </c>
      <c r="EM356" t="e">
        <f>'North America'!F860+"n/&gt;!2U3"</f>
        <v>#VALUE!</v>
      </c>
      <c r="EN356" t="e">
        <f>'North America'!G860+"n/&gt;!2U4"</f>
        <v>#VALUE!</v>
      </c>
      <c r="EO356" t="e">
        <f>'North America'!H860+"n/&gt;!2U5"</f>
        <v>#VALUE!</v>
      </c>
      <c r="EP356" t="e">
        <f>'North America'!I860+"n/&gt;!2U6"</f>
        <v>#VALUE!</v>
      </c>
      <c r="EQ356" t="e">
        <f>'North America'!A861+"n/&gt;!2U7"</f>
        <v>#VALUE!</v>
      </c>
      <c r="ER356" t="e">
        <f>'North America'!B861+"n/&gt;!2U8"</f>
        <v>#VALUE!</v>
      </c>
      <c r="ES356" t="e">
        <f>'North America'!C861+"n/&gt;!2U9"</f>
        <v>#VALUE!</v>
      </c>
      <c r="ET356" t="e">
        <f>'North America'!D861+"n/&gt;!2U:"</f>
        <v>#VALUE!</v>
      </c>
      <c r="EU356" t="e">
        <f>'North America'!E861+"n/&gt;!2U;"</f>
        <v>#VALUE!</v>
      </c>
      <c r="EV356" t="e">
        <f>'North America'!F861+"n/&gt;!2U&lt;"</f>
        <v>#VALUE!</v>
      </c>
      <c r="EW356" t="e">
        <f>'North America'!G861+"n/&gt;!2U="</f>
        <v>#VALUE!</v>
      </c>
      <c r="EX356" t="e">
        <f>'North America'!H861+"n/&gt;!2U&gt;"</f>
        <v>#VALUE!</v>
      </c>
      <c r="EY356" t="e">
        <f>'North America'!I861+"n/&gt;!2U?"</f>
        <v>#VALUE!</v>
      </c>
      <c r="EZ356" t="e">
        <f>'North America'!A862+"n/&gt;!2U@"</f>
        <v>#VALUE!</v>
      </c>
      <c r="FA356" t="e">
        <f>'North America'!B862+"n/&gt;!2UA"</f>
        <v>#VALUE!</v>
      </c>
      <c r="FB356" t="e">
        <f>'North America'!C862+"n/&gt;!2UB"</f>
        <v>#VALUE!</v>
      </c>
      <c r="FC356" t="e">
        <f>'North America'!D862+"n/&gt;!2UC"</f>
        <v>#VALUE!</v>
      </c>
      <c r="FD356" t="e">
        <f>'North America'!E862+"n/&gt;!2UD"</f>
        <v>#VALUE!</v>
      </c>
      <c r="FE356" t="e">
        <f>'North America'!F862+"n/&gt;!2UE"</f>
        <v>#VALUE!</v>
      </c>
      <c r="FF356" t="e">
        <f>'North America'!G862+"n/&gt;!2UF"</f>
        <v>#VALUE!</v>
      </c>
      <c r="FG356" t="e">
        <f>'North America'!H862+"n/&gt;!2UG"</f>
        <v>#VALUE!</v>
      </c>
      <c r="FH356" t="e">
        <f>'North America'!I862+"n/&gt;!2UH"</f>
        <v>#VALUE!</v>
      </c>
      <c r="FI356" t="e">
        <f>'North America'!A863+"n/&gt;!2UI"</f>
        <v>#VALUE!</v>
      </c>
      <c r="FJ356" t="e">
        <f>'North America'!B863+"n/&gt;!2UJ"</f>
        <v>#VALUE!</v>
      </c>
      <c r="FK356" t="e">
        <f>'North America'!C863+"n/&gt;!2UK"</f>
        <v>#VALUE!</v>
      </c>
      <c r="FL356" t="e">
        <f>'North America'!D863+"n/&gt;!2UL"</f>
        <v>#VALUE!</v>
      </c>
      <c r="FM356" t="e">
        <f>'North America'!E863+"n/&gt;!2UM"</f>
        <v>#VALUE!</v>
      </c>
      <c r="FN356" t="e">
        <f>'North America'!F863+"n/&gt;!2UN"</f>
        <v>#VALUE!</v>
      </c>
      <c r="FO356" t="e">
        <f>'North America'!G863+"n/&gt;!2UO"</f>
        <v>#VALUE!</v>
      </c>
      <c r="FP356" t="e">
        <f>'North America'!H863+"n/&gt;!2UP"</f>
        <v>#VALUE!</v>
      </c>
      <c r="FQ356" t="e">
        <f>'North America'!I863+"n/&gt;!2UQ"</f>
        <v>#VALUE!</v>
      </c>
      <c r="FR356" t="e">
        <f>'North America'!A864+"n/&gt;!2UR"</f>
        <v>#VALUE!</v>
      </c>
      <c r="FS356" t="e">
        <f>'North America'!B864+"n/&gt;!2US"</f>
        <v>#VALUE!</v>
      </c>
      <c r="FT356" t="e">
        <f>'North America'!C864+"n/&gt;!2UT"</f>
        <v>#VALUE!</v>
      </c>
      <c r="FU356" t="e">
        <f>'North America'!D864+"n/&gt;!2UU"</f>
        <v>#VALUE!</v>
      </c>
      <c r="FV356" t="e">
        <f>'North America'!E864+"n/&gt;!2UV"</f>
        <v>#VALUE!</v>
      </c>
      <c r="FW356" t="e">
        <f>'North America'!F864+"n/&gt;!2UW"</f>
        <v>#VALUE!</v>
      </c>
      <c r="FX356" t="e">
        <f>'North America'!G864+"n/&gt;!2UX"</f>
        <v>#VALUE!</v>
      </c>
      <c r="FY356" t="e">
        <f>'North America'!H864+"n/&gt;!2UY"</f>
        <v>#VALUE!</v>
      </c>
      <c r="FZ356" t="e">
        <f>'North America'!I864+"n/&gt;!2UZ"</f>
        <v>#VALUE!</v>
      </c>
      <c r="GA356" t="e">
        <f>'North America'!A865+"n/&gt;!2U["</f>
        <v>#VALUE!</v>
      </c>
      <c r="GB356" t="e">
        <f>'North America'!B865+"n/&gt;!2U\"</f>
        <v>#VALUE!</v>
      </c>
      <c r="GC356" t="e">
        <f>'North America'!C865+"n/&gt;!2U]"</f>
        <v>#VALUE!</v>
      </c>
      <c r="GD356" t="e">
        <f>'North America'!D865+"n/&gt;!2U^"</f>
        <v>#VALUE!</v>
      </c>
      <c r="GE356" t="e">
        <f>'North America'!E865+"n/&gt;!2U_"</f>
        <v>#VALUE!</v>
      </c>
      <c r="GF356" t="e">
        <f>'North America'!F865+"n/&gt;!2U`"</f>
        <v>#VALUE!</v>
      </c>
      <c r="GG356" t="e">
        <f>'North America'!G865+"n/&gt;!2Ua"</f>
        <v>#VALUE!</v>
      </c>
      <c r="GH356" t="e">
        <f>'North America'!H865+"n/&gt;!2Ub"</f>
        <v>#VALUE!</v>
      </c>
      <c r="GI356" t="e">
        <f>'North America'!I865+"n/&gt;!2Uc"</f>
        <v>#VALUE!</v>
      </c>
      <c r="GJ356" t="e">
        <f>'North America'!A866+"n/&gt;!2Ud"</f>
        <v>#VALUE!</v>
      </c>
      <c r="GK356" t="e">
        <f>'North America'!B866+"n/&gt;!2Ue"</f>
        <v>#VALUE!</v>
      </c>
      <c r="GL356" t="e">
        <f>'North America'!C866+"n/&gt;!2Uf"</f>
        <v>#VALUE!</v>
      </c>
      <c r="GM356" t="e">
        <f>'North America'!D866+"n/&gt;!2Ug"</f>
        <v>#VALUE!</v>
      </c>
      <c r="GN356" t="e">
        <f>'North America'!E866+"n/&gt;!2Uh"</f>
        <v>#VALUE!</v>
      </c>
      <c r="GO356" t="e">
        <f>'North America'!F866+"n/&gt;!2Ui"</f>
        <v>#VALUE!</v>
      </c>
      <c r="GP356" t="e">
        <f>'North America'!G866+"n/&gt;!2Uj"</f>
        <v>#VALUE!</v>
      </c>
      <c r="GQ356" t="e">
        <f>'North America'!H866+"n/&gt;!2Uk"</f>
        <v>#VALUE!</v>
      </c>
      <c r="GR356" t="e">
        <f>'North America'!I866+"n/&gt;!2Ul"</f>
        <v>#VALUE!</v>
      </c>
      <c r="GS356" t="e">
        <f>'North America'!A867+"n/&gt;!2Um"</f>
        <v>#VALUE!</v>
      </c>
      <c r="GT356" t="e">
        <f>'North America'!B867+"n/&gt;!2Un"</f>
        <v>#VALUE!</v>
      </c>
      <c r="GU356" t="e">
        <f>'North America'!C867+"n/&gt;!2Uo"</f>
        <v>#VALUE!</v>
      </c>
      <c r="GV356" t="e">
        <f>'North America'!D867+"n/&gt;!2Up"</f>
        <v>#VALUE!</v>
      </c>
      <c r="GW356" t="e">
        <f>'North America'!E867+"n/&gt;!2Uq"</f>
        <v>#VALUE!</v>
      </c>
      <c r="GX356" t="e">
        <f>'North America'!F867+"n/&gt;!2Ur"</f>
        <v>#VALUE!</v>
      </c>
      <c r="GY356" t="e">
        <f>'North America'!G867+"n/&gt;!2Us"</f>
        <v>#VALUE!</v>
      </c>
      <c r="GZ356" t="e">
        <f>'North America'!H867+"n/&gt;!2Ut"</f>
        <v>#VALUE!</v>
      </c>
      <c r="HA356" t="e">
        <f>'North America'!I867+"n/&gt;!2Uu"</f>
        <v>#VALUE!</v>
      </c>
      <c r="HB356" t="e">
        <f>'North America'!A868+"n/&gt;!2Uv"</f>
        <v>#VALUE!</v>
      </c>
      <c r="HC356" t="e">
        <f>'North America'!B868+"n/&gt;!2Uw"</f>
        <v>#VALUE!</v>
      </c>
      <c r="HD356" t="e">
        <f>'North America'!C868+"n/&gt;!2Ux"</f>
        <v>#VALUE!</v>
      </c>
      <c r="HE356" t="e">
        <f>'North America'!D868+"n/&gt;!2Uy"</f>
        <v>#VALUE!</v>
      </c>
      <c r="HF356" t="e">
        <f>'North America'!E868+"n/&gt;!2Uz"</f>
        <v>#VALUE!</v>
      </c>
      <c r="HG356" t="e">
        <f>'North America'!F868+"n/&gt;!2U{"</f>
        <v>#VALUE!</v>
      </c>
      <c r="HH356" t="e">
        <f>'North America'!G868+"n/&gt;!2U|"</f>
        <v>#VALUE!</v>
      </c>
      <c r="HI356" t="e">
        <f>'North America'!H868+"n/&gt;!2U}"</f>
        <v>#VALUE!</v>
      </c>
      <c r="HJ356" t="e">
        <f>'North America'!I868+"n/&gt;!2U~"</f>
        <v>#VALUE!</v>
      </c>
      <c r="HK356" t="e">
        <f>'North America'!A869+"n/&gt;!2V#"</f>
        <v>#VALUE!</v>
      </c>
      <c r="HL356" t="e">
        <f>'North America'!B869+"n/&gt;!2V$"</f>
        <v>#VALUE!</v>
      </c>
      <c r="HM356" t="e">
        <f>'North America'!C869+"n/&gt;!2V%"</f>
        <v>#VALUE!</v>
      </c>
      <c r="HN356" t="e">
        <f>'North America'!D869+"n/&gt;!2V&amp;"</f>
        <v>#VALUE!</v>
      </c>
      <c r="HO356" t="e">
        <f>'North America'!E869+"n/&gt;!2V'"</f>
        <v>#VALUE!</v>
      </c>
      <c r="HP356" t="e">
        <f>'North America'!F869+"n/&gt;!2V("</f>
        <v>#VALUE!</v>
      </c>
      <c r="HQ356" t="e">
        <f>'North America'!G869+"n/&gt;!2V)"</f>
        <v>#VALUE!</v>
      </c>
      <c r="HR356" t="e">
        <f>'North America'!H869+"n/&gt;!2V."</f>
        <v>#VALUE!</v>
      </c>
      <c r="HS356" t="e">
        <f>'North America'!I869+"n/&gt;!2V/"</f>
        <v>#VALUE!</v>
      </c>
      <c r="HT356" t="e">
        <f>'North America'!A870+"n/&gt;!2V0"</f>
        <v>#VALUE!</v>
      </c>
      <c r="HU356" t="e">
        <f>'North America'!B870+"n/&gt;!2V1"</f>
        <v>#VALUE!</v>
      </c>
      <c r="HV356" t="e">
        <f>'North America'!C870+"n/&gt;!2V2"</f>
        <v>#VALUE!</v>
      </c>
      <c r="HW356" t="e">
        <f>'North America'!D870+"n/&gt;!2V3"</f>
        <v>#VALUE!</v>
      </c>
      <c r="HX356" t="e">
        <f>'North America'!E870+"n/&gt;!2V4"</f>
        <v>#VALUE!</v>
      </c>
      <c r="HY356" t="e">
        <f>'North America'!F870+"n/&gt;!2V5"</f>
        <v>#VALUE!</v>
      </c>
      <c r="HZ356" t="e">
        <f>'North America'!G870+"n/&gt;!2V6"</f>
        <v>#VALUE!</v>
      </c>
      <c r="IA356" t="e">
        <f>'North America'!H870+"n/&gt;!2V7"</f>
        <v>#VALUE!</v>
      </c>
      <c r="IB356" t="e">
        <f>'North America'!I870+"n/&gt;!2V8"</f>
        <v>#VALUE!</v>
      </c>
      <c r="IC356" t="e">
        <f>'North America'!A871+"n/&gt;!2V9"</f>
        <v>#VALUE!</v>
      </c>
      <c r="ID356" t="e">
        <f>'North America'!B871+"n/&gt;!2V:"</f>
        <v>#VALUE!</v>
      </c>
      <c r="IE356" t="e">
        <f>'North America'!C871+"n/&gt;!2V;"</f>
        <v>#VALUE!</v>
      </c>
      <c r="IF356" t="e">
        <f>'North America'!D871+"n/&gt;!2V&lt;"</f>
        <v>#VALUE!</v>
      </c>
      <c r="IG356" t="e">
        <f>'North America'!E871+"n/&gt;!2V="</f>
        <v>#VALUE!</v>
      </c>
      <c r="IH356" t="e">
        <f>'North America'!F871+"n/&gt;!2V&gt;"</f>
        <v>#VALUE!</v>
      </c>
      <c r="II356" t="e">
        <f>'North America'!G871+"n/&gt;!2V?"</f>
        <v>#VALUE!</v>
      </c>
      <c r="IJ356" t="e">
        <f>'North America'!H871+"n/&gt;!2V@"</f>
        <v>#VALUE!</v>
      </c>
      <c r="IK356" t="e">
        <f>'North America'!I871+"n/&gt;!2VA"</f>
        <v>#VALUE!</v>
      </c>
      <c r="IL356" t="e">
        <f>'North America'!A872+"n/&gt;!2VB"</f>
        <v>#VALUE!</v>
      </c>
      <c r="IM356" t="e">
        <f>'North America'!B872+"n/&gt;!2VC"</f>
        <v>#VALUE!</v>
      </c>
      <c r="IN356" t="e">
        <f>'North America'!C872+"n/&gt;!2VD"</f>
        <v>#VALUE!</v>
      </c>
      <c r="IO356" t="e">
        <f>'North America'!D872+"n/&gt;!2VE"</f>
        <v>#VALUE!</v>
      </c>
      <c r="IP356" t="e">
        <f>'North America'!E872+"n/&gt;!2VF"</f>
        <v>#VALUE!</v>
      </c>
      <c r="IQ356" t="e">
        <f>'North America'!F872+"n/&gt;!2VG"</f>
        <v>#VALUE!</v>
      </c>
      <c r="IR356" t="e">
        <f>'North America'!G872+"n/&gt;!2VH"</f>
        <v>#VALUE!</v>
      </c>
      <c r="IS356" t="e">
        <f>'North America'!H872+"n/&gt;!2VI"</f>
        <v>#VALUE!</v>
      </c>
      <c r="IT356" t="e">
        <f>'North America'!I872+"n/&gt;!2VJ"</f>
        <v>#VALUE!</v>
      </c>
      <c r="IU356" t="e">
        <f>'North America'!A873+"n/&gt;!2VK"</f>
        <v>#VALUE!</v>
      </c>
      <c r="IV356" t="e">
        <f>'North America'!B873+"n/&gt;!2VL"</f>
        <v>#VALUE!</v>
      </c>
    </row>
    <row r="357" spans="6:256" x14ac:dyDescent="0.35">
      <c r="F357" t="e">
        <f>'North America'!C873+"n/&gt;!2VM"</f>
        <v>#VALUE!</v>
      </c>
      <c r="G357" t="e">
        <f>'North America'!D873+"n/&gt;!2VN"</f>
        <v>#VALUE!</v>
      </c>
      <c r="H357" t="e">
        <f>'North America'!E873+"n/&gt;!2VO"</f>
        <v>#VALUE!</v>
      </c>
      <c r="I357" t="e">
        <f>'North America'!F873+"n/&gt;!2VP"</f>
        <v>#VALUE!</v>
      </c>
      <c r="J357" t="e">
        <f>'North America'!G873+"n/&gt;!2VQ"</f>
        <v>#VALUE!</v>
      </c>
      <c r="K357" t="e">
        <f>'North America'!H873+"n/&gt;!2VR"</f>
        <v>#VALUE!</v>
      </c>
      <c r="L357" t="e">
        <f>'North America'!I873+"n/&gt;!2VS"</f>
        <v>#VALUE!</v>
      </c>
      <c r="M357" t="e">
        <f>'North America'!A874+"n/&gt;!2VT"</f>
        <v>#VALUE!</v>
      </c>
      <c r="N357" t="e">
        <f>'North America'!B874+"n/&gt;!2VU"</f>
        <v>#VALUE!</v>
      </c>
      <c r="O357" t="e">
        <f>'North America'!C874+"n/&gt;!2VV"</f>
        <v>#VALUE!</v>
      </c>
      <c r="P357" t="e">
        <f>'North America'!D874+"n/&gt;!2VW"</f>
        <v>#VALUE!</v>
      </c>
      <c r="Q357" t="e">
        <f>'North America'!E874+"n/&gt;!2VX"</f>
        <v>#VALUE!</v>
      </c>
      <c r="R357" t="e">
        <f>'North America'!F874+"n/&gt;!2VY"</f>
        <v>#VALUE!</v>
      </c>
      <c r="S357" t="e">
        <f>'North America'!G874+"n/&gt;!2VZ"</f>
        <v>#VALUE!</v>
      </c>
      <c r="T357" t="e">
        <f>'North America'!H874+"n/&gt;!2V["</f>
        <v>#VALUE!</v>
      </c>
      <c r="U357" t="e">
        <f>'North America'!I874+"n/&gt;!2V\"</f>
        <v>#VALUE!</v>
      </c>
      <c r="V357" t="e">
        <f>'North America'!A875+"n/&gt;!2V]"</f>
        <v>#VALUE!</v>
      </c>
      <c r="W357" t="e">
        <f>'North America'!B875+"n/&gt;!2V^"</f>
        <v>#VALUE!</v>
      </c>
      <c r="X357" t="e">
        <f>'North America'!C875+"n/&gt;!2V_"</f>
        <v>#VALUE!</v>
      </c>
      <c r="Y357" t="e">
        <f>'North America'!D875+"n/&gt;!2V`"</f>
        <v>#VALUE!</v>
      </c>
      <c r="Z357" t="e">
        <f>'North America'!E875+"n/&gt;!2Va"</f>
        <v>#VALUE!</v>
      </c>
      <c r="AA357" t="e">
        <f>'North America'!F875+"n/&gt;!2Vb"</f>
        <v>#VALUE!</v>
      </c>
      <c r="AB357" t="e">
        <f>'North America'!G875+"n/&gt;!2Vc"</f>
        <v>#VALUE!</v>
      </c>
      <c r="AC357" t="e">
        <f>'North America'!H875+"n/&gt;!2Vd"</f>
        <v>#VALUE!</v>
      </c>
      <c r="AD357" t="e">
        <f>'North America'!I875+"n/&gt;!2Ve"</f>
        <v>#VALUE!</v>
      </c>
      <c r="AE357" t="e">
        <f>'North America'!A876+"n/&gt;!2Vf"</f>
        <v>#VALUE!</v>
      </c>
      <c r="AF357" t="e">
        <f>'North America'!B876+"n/&gt;!2Vg"</f>
        <v>#VALUE!</v>
      </c>
      <c r="AG357" t="e">
        <f>'North America'!C876+"n/&gt;!2Vh"</f>
        <v>#VALUE!</v>
      </c>
      <c r="AH357" t="e">
        <f>'North America'!D876+"n/&gt;!2Vi"</f>
        <v>#VALUE!</v>
      </c>
      <c r="AI357" t="e">
        <f>'North America'!E876+"n/&gt;!2Vj"</f>
        <v>#VALUE!</v>
      </c>
      <c r="AJ357" t="e">
        <f>'North America'!F876+"n/&gt;!2Vk"</f>
        <v>#VALUE!</v>
      </c>
      <c r="AK357" t="e">
        <f>'North America'!G876+"n/&gt;!2Vl"</f>
        <v>#VALUE!</v>
      </c>
      <c r="AL357" t="e">
        <f>'North America'!H876+"n/&gt;!2Vm"</f>
        <v>#VALUE!</v>
      </c>
      <c r="AM357" t="e">
        <f>'North America'!I876+"n/&gt;!2Vn"</f>
        <v>#VALUE!</v>
      </c>
      <c r="AN357" t="e">
        <f>'North America'!A877+"n/&gt;!2Vo"</f>
        <v>#VALUE!</v>
      </c>
      <c r="AO357" t="e">
        <f>'North America'!B877+"n/&gt;!2Vp"</f>
        <v>#VALUE!</v>
      </c>
      <c r="AP357" t="e">
        <f>'North America'!C877+"n/&gt;!2Vq"</f>
        <v>#VALUE!</v>
      </c>
      <c r="AQ357" t="e">
        <f>'North America'!D877+"n/&gt;!2Vr"</f>
        <v>#VALUE!</v>
      </c>
      <c r="AR357" t="e">
        <f>'North America'!E877+"n/&gt;!2Vs"</f>
        <v>#VALUE!</v>
      </c>
      <c r="AS357" t="e">
        <f>'North America'!F877+"n/&gt;!2Vt"</f>
        <v>#VALUE!</v>
      </c>
      <c r="AT357" t="e">
        <f>'North America'!G877+"n/&gt;!2Vu"</f>
        <v>#VALUE!</v>
      </c>
      <c r="AU357" t="e">
        <f>'North America'!H877+"n/&gt;!2Vv"</f>
        <v>#VALUE!</v>
      </c>
      <c r="AV357" t="e">
        <f>'North America'!I877+"n/&gt;!2Vw"</f>
        <v>#VALUE!</v>
      </c>
      <c r="AW357" t="e">
        <f>'North America'!A878+"n/&gt;!2Vx"</f>
        <v>#VALUE!</v>
      </c>
      <c r="AX357" t="e">
        <f>'North America'!B878+"n/&gt;!2Vy"</f>
        <v>#VALUE!</v>
      </c>
      <c r="AY357" t="e">
        <f>'North America'!C878+"n/&gt;!2Vz"</f>
        <v>#VALUE!</v>
      </c>
      <c r="AZ357" t="e">
        <f>'North America'!D878+"n/&gt;!2V{"</f>
        <v>#VALUE!</v>
      </c>
      <c r="BA357" t="e">
        <f>'North America'!E878+"n/&gt;!2V|"</f>
        <v>#VALUE!</v>
      </c>
      <c r="BB357" t="e">
        <f>'North America'!F878+"n/&gt;!2V}"</f>
        <v>#VALUE!</v>
      </c>
      <c r="BC357" t="e">
        <f>'North America'!G878+"n/&gt;!2V~"</f>
        <v>#VALUE!</v>
      </c>
      <c r="BD357" t="e">
        <f>'North America'!H878+"n/&gt;!2W#"</f>
        <v>#VALUE!</v>
      </c>
      <c r="BE357" t="e">
        <f>'North America'!I878+"n/&gt;!2W$"</f>
        <v>#VALUE!</v>
      </c>
      <c r="BF357" t="e">
        <f>'North America'!A879+"n/&gt;!2W%"</f>
        <v>#VALUE!</v>
      </c>
      <c r="BG357" t="e">
        <f>'North America'!B879+"n/&gt;!2W&amp;"</f>
        <v>#VALUE!</v>
      </c>
      <c r="BH357" t="e">
        <f>'North America'!C879+"n/&gt;!2W'"</f>
        <v>#VALUE!</v>
      </c>
      <c r="BI357" t="e">
        <f>'North America'!D879+"n/&gt;!2W("</f>
        <v>#VALUE!</v>
      </c>
      <c r="BJ357" t="e">
        <f>'North America'!E879+"n/&gt;!2W)"</f>
        <v>#VALUE!</v>
      </c>
      <c r="BK357" t="e">
        <f>'North America'!F879+"n/&gt;!2W."</f>
        <v>#VALUE!</v>
      </c>
      <c r="BL357" t="e">
        <f>'North America'!G879+"n/&gt;!2W/"</f>
        <v>#VALUE!</v>
      </c>
      <c r="BM357" t="e">
        <f>'North America'!H879+"n/&gt;!2W0"</f>
        <v>#VALUE!</v>
      </c>
      <c r="BN357" t="e">
        <f>'North America'!I879+"n/&gt;!2W1"</f>
        <v>#VALUE!</v>
      </c>
      <c r="BO357" t="e">
        <f>'North America'!A880+"n/&gt;!2W2"</f>
        <v>#VALUE!</v>
      </c>
      <c r="BP357" t="e">
        <f>'North America'!B880+"n/&gt;!2W3"</f>
        <v>#VALUE!</v>
      </c>
      <c r="BQ357" t="e">
        <f>'North America'!C880+"n/&gt;!2W4"</f>
        <v>#VALUE!</v>
      </c>
      <c r="BR357" t="e">
        <f>'North America'!D880+"n/&gt;!2W5"</f>
        <v>#VALUE!</v>
      </c>
      <c r="BS357" t="e">
        <f>'North America'!E880+"n/&gt;!2W6"</f>
        <v>#VALUE!</v>
      </c>
      <c r="BT357" t="e">
        <f>'North America'!F880+"n/&gt;!2W7"</f>
        <v>#VALUE!</v>
      </c>
      <c r="BU357" t="e">
        <f>'North America'!G880+"n/&gt;!2W8"</f>
        <v>#VALUE!</v>
      </c>
      <c r="BV357" t="e">
        <f>'North America'!H880+"n/&gt;!2W9"</f>
        <v>#VALUE!</v>
      </c>
      <c r="BW357" t="e">
        <f>'North America'!I880+"n/&gt;!2W:"</f>
        <v>#VALUE!</v>
      </c>
      <c r="BX357" t="e">
        <f>'North America'!A881+"n/&gt;!2W;"</f>
        <v>#VALUE!</v>
      </c>
      <c r="BY357" t="e">
        <f>'North America'!B881+"n/&gt;!2W&lt;"</f>
        <v>#VALUE!</v>
      </c>
      <c r="BZ357" t="e">
        <f>'North America'!C881+"n/&gt;!2W="</f>
        <v>#VALUE!</v>
      </c>
      <c r="CA357" t="e">
        <f>'North America'!D881+"n/&gt;!2W&gt;"</f>
        <v>#VALUE!</v>
      </c>
      <c r="CB357" t="e">
        <f>'North America'!E881+"n/&gt;!2W?"</f>
        <v>#VALUE!</v>
      </c>
      <c r="CC357" t="e">
        <f>'North America'!F881+"n/&gt;!2W@"</f>
        <v>#VALUE!</v>
      </c>
      <c r="CD357" t="e">
        <f>'North America'!G881+"n/&gt;!2WA"</f>
        <v>#VALUE!</v>
      </c>
      <c r="CE357" t="e">
        <f>'North America'!H881+"n/&gt;!2WB"</f>
        <v>#VALUE!</v>
      </c>
      <c r="CF357" t="e">
        <f>'North America'!I881+"n/&gt;!2WC"</f>
        <v>#VALUE!</v>
      </c>
      <c r="CG357" t="e">
        <f>'North America'!A882+"n/&gt;!2WD"</f>
        <v>#VALUE!</v>
      </c>
      <c r="CH357" t="e">
        <f>'North America'!B882+"n/&gt;!2WE"</f>
        <v>#VALUE!</v>
      </c>
      <c r="CI357" t="e">
        <f>'North America'!C882+"n/&gt;!2WF"</f>
        <v>#VALUE!</v>
      </c>
      <c r="CJ357" t="e">
        <f>'North America'!D882+"n/&gt;!2WG"</f>
        <v>#VALUE!</v>
      </c>
      <c r="CK357" t="e">
        <f>'North America'!E882+"n/&gt;!2WH"</f>
        <v>#VALUE!</v>
      </c>
      <c r="CL357" t="e">
        <f>'North America'!F882+"n/&gt;!2WI"</f>
        <v>#VALUE!</v>
      </c>
      <c r="CM357" t="e">
        <f>'North America'!G882+"n/&gt;!2WJ"</f>
        <v>#VALUE!</v>
      </c>
      <c r="CN357" t="e">
        <f>'North America'!H882+"n/&gt;!2WK"</f>
        <v>#VALUE!</v>
      </c>
      <c r="CO357" t="e">
        <f>'North America'!I882+"n/&gt;!2WL"</f>
        <v>#VALUE!</v>
      </c>
      <c r="CP357" t="e">
        <f>'North America'!A883+"n/&gt;!2WM"</f>
        <v>#VALUE!</v>
      </c>
      <c r="CQ357" t="e">
        <f>'North America'!B883+"n/&gt;!2WN"</f>
        <v>#VALUE!</v>
      </c>
      <c r="CR357" t="e">
        <f>'North America'!C883+"n/&gt;!2WO"</f>
        <v>#VALUE!</v>
      </c>
      <c r="CS357" t="e">
        <f>'North America'!D883+"n/&gt;!2WP"</f>
        <v>#VALUE!</v>
      </c>
      <c r="CT357" t="e">
        <f>'North America'!E883+"n/&gt;!2WQ"</f>
        <v>#VALUE!</v>
      </c>
      <c r="CU357" t="e">
        <f>'North America'!F883+"n/&gt;!2WR"</f>
        <v>#VALUE!</v>
      </c>
      <c r="CV357" t="e">
        <f>'North America'!G883+"n/&gt;!2WS"</f>
        <v>#VALUE!</v>
      </c>
      <c r="CW357" t="e">
        <f>'North America'!H883+"n/&gt;!2WT"</f>
        <v>#VALUE!</v>
      </c>
      <c r="CX357" t="e">
        <f>'North America'!I883+"n/&gt;!2WU"</f>
        <v>#VALUE!</v>
      </c>
      <c r="CY357" t="e">
        <f>'North America'!A884+"n/&gt;!2WV"</f>
        <v>#VALUE!</v>
      </c>
      <c r="CZ357" t="e">
        <f>'North America'!B884+"n/&gt;!2WW"</f>
        <v>#VALUE!</v>
      </c>
      <c r="DA357" t="e">
        <f>'North America'!C884+"n/&gt;!2WX"</f>
        <v>#VALUE!</v>
      </c>
      <c r="DB357" t="e">
        <f>'North America'!D884+"n/&gt;!2WY"</f>
        <v>#VALUE!</v>
      </c>
      <c r="DC357" t="e">
        <f>'North America'!E884+"n/&gt;!2WZ"</f>
        <v>#VALUE!</v>
      </c>
      <c r="DD357" t="e">
        <f>'North America'!F884+"n/&gt;!2W["</f>
        <v>#VALUE!</v>
      </c>
      <c r="DE357" t="e">
        <f>'North America'!G884+"n/&gt;!2W\"</f>
        <v>#VALUE!</v>
      </c>
      <c r="DF357" t="e">
        <f>'North America'!H884+"n/&gt;!2W]"</f>
        <v>#VALUE!</v>
      </c>
      <c r="DG357" t="e">
        <f>'North America'!I884+"n/&gt;!2W^"</f>
        <v>#VALUE!</v>
      </c>
      <c r="DH357" t="e">
        <f>'North America'!A885+"n/&gt;!2W_"</f>
        <v>#VALUE!</v>
      </c>
      <c r="DI357" t="e">
        <f>'North America'!B885+"n/&gt;!2W`"</f>
        <v>#VALUE!</v>
      </c>
      <c r="DJ357" t="e">
        <f>'North America'!C885+"n/&gt;!2Wa"</f>
        <v>#VALUE!</v>
      </c>
      <c r="DK357" t="e">
        <f>'North America'!D885+"n/&gt;!2Wb"</f>
        <v>#VALUE!</v>
      </c>
      <c r="DL357" t="e">
        <f>'North America'!E885+"n/&gt;!2Wc"</f>
        <v>#VALUE!</v>
      </c>
      <c r="DM357" t="e">
        <f>'North America'!F885+"n/&gt;!2Wd"</f>
        <v>#VALUE!</v>
      </c>
      <c r="DN357" t="e">
        <f>'North America'!G885+"n/&gt;!2We"</f>
        <v>#VALUE!</v>
      </c>
      <c r="DO357" t="e">
        <f>'North America'!H885+"n/&gt;!2Wf"</f>
        <v>#VALUE!</v>
      </c>
      <c r="DP357" t="e">
        <f>'North America'!I885+"n/&gt;!2Wg"</f>
        <v>#VALUE!</v>
      </c>
      <c r="DQ357" t="e">
        <f>'North America'!A886+"n/&gt;!2Wh"</f>
        <v>#VALUE!</v>
      </c>
      <c r="DR357" t="e">
        <f>'North America'!B886+"n/&gt;!2Wi"</f>
        <v>#VALUE!</v>
      </c>
      <c r="DS357" t="e">
        <f>'North America'!C886+"n/&gt;!2Wj"</f>
        <v>#VALUE!</v>
      </c>
      <c r="DT357" t="e">
        <f>'North America'!D886+"n/&gt;!2Wk"</f>
        <v>#VALUE!</v>
      </c>
      <c r="DU357" t="e">
        <f>'North America'!E886+"n/&gt;!2Wl"</f>
        <v>#VALUE!</v>
      </c>
      <c r="DV357" t="e">
        <f>'North America'!F886+"n/&gt;!2Wm"</f>
        <v>#VALUE!</v>
      </c>
      <c r="DW357" t="e">
        <f>'North America'!G886+"n/&gt;!2Wn"</f>
        <v>#VALUE!</v>
      </c>
      <c r="DX357" t="e">
        <f>'North America'!H886+"n/&gt;!2Wo"</f>
        <v>#VALUE!</v>
      </c>
      <c r="DY357" t="e">
        <f>'North America'!I886+"n/&gt;!2Wp"</f>
        <v>#VALUE!</v>
      </c>
      <c r="DZ357" t="e">
        <f>'North America'!A887+"n/&gt;!2Wq"</f>
        <v>#VALUE!</v>
      </c>
      <c r="EA357" t="e">
        <f>'North America'!B887+"n/&gt;!2Wr"</f>
        <v>#VALUE!</v>
      </c>
      <c r="EB357" t="e">
        <f>'North America'!C887+"n/&gt;!2Ws"</f>
        <v>#VALUE!</v>
      </c>
      <c r="EC357" t="e">
        <f>'North America'!D887+"n/&gt;!2Wt"</f>
        <v>#VALUE!</v>
      </c>
      <c r="ED357" t="e">
        <f>'North America'!E887+"n/&gt;!2Wu"</f>
        <v>#VALUE!</v>
      </c>
      <c r="EE357" t="e">
        <f>'North America'!F887+"n/&gt;!2Wv"</f>
        <v>#VALUE!</v>
      </c>
      <c r="EF357" t="e">
        <f>'North America'!G887+"n/&gt;!2Ww"</f>
        <v>#VALUE!</v>
      </c>
      <c r="EG357" t="e">
        <f>'North America'!H887+"n/&gt;!2Wx"</f>
        <v>#VALUE!</v>
      </c>
      <c r="EH357" t="e">
        <f>'North America'!I887+"n/&gt;!2Wy"</f>
        <v>#VALUE!</v>
      </c>
      <c r="EI357" t="e">
        <f>'North America'!A888+"n/&gt;!2Wz"</f>
        <v>#VALUE!</v>
      </c>
      <c r="EJ357" t="e">
        <f>'North America'!B888+"n/&gt;!2W{"</f>
        <v>#VALUE!</v>
      </c>
      <c r="EK357" t="e">
        <f>'North America'!C888+"n/&gt;!2W|"</f>
        <v>#VALUE!</v>
      </c>
      <c r="EL357" t="e">
        <f>'North America'!D888+"n/&gt;!2W}"</f>
        <v>#VALUE!</v>
      </c>
      <c r="EM357" t="e">
        <f>'North America'!E888+"n/&gt;!2W~"</f>
        <v>#VALUE!</v>
      </c>
      <c r="EN357" t="e">
        <f>'North America'!F888+"n/&gt;!2X#"</f>
        <v>#VALUE!</v>
      </c>
      <c r="EO357" t="e">
        <f>'North America'!G888+"n/&gt;!2X$"</f>
        <v>#VALUE!</v>
      </c>
      <c r="EP357" t="e">
        <f>'North America'!H888+"n/&gt;!2X%"</f>
        <v>#VALUE!</v>
      </c>
      <c r="EQ357" t="e">
        <f>'North America'!I888+"n/&gt;!2X&amp;"</f>
        <v>#VALUE!</v>
      </c>
      <c r="ER357" t="e">
        <f>'North America'!A889+"n/&gt;!2X'"</f>
        <v>#VALUE!</v>
      </c>
      <c r="ES357" t="e">
        <f>'North America'!B889+"n/&gt;!2X("</f>
        <v>#VALUE!</v>
      </c>
      <c r="ET357" t="e">
        <f>'North America'!C889+"n/&gt;!2X)"</f>
        <v>#VALUE!</v>
      </c>
      <c r="EU357" t="e">
        <f>'North America'!D889+"n/&gt;!2X."</f>
        <v>#VALUE!</v>
      </c>
      <c r="EV357" t="e">
        <f>'North America'!E889+"n/&gt;!2X/"</f>
        <v>#VALUE!</v>
      </c>
      <c r="EW357" t="e">
        <f>'North America'!F889+"n/&gt;!2X0"</f>
        <v>#VALUE!</v>
      </c>
      <c r="EX357" t="e">
        <f>'North America'!G889+"n/&gt;!2X1"</f>
        <v>#VALUE!</v>
      </c>
      <c r="EY357" t="e">
        <f>'North America'!H889+"n/&gt;!2X2"</f>
        <v>#VALUE!</v>
      </c>
      <c r="EZ357" t="e">
        <f>'North America'!I889+"n/&gt;!2X3"</f>
        <v>#VALUE!</v>
      </c>
      <c r="FA357" t="e">
        <f>'North America'!A890+"n/&gt;!2X4"</f>
        <v>#VALUE!</v>
      </c>
      <c r="FB357" t="e">
        <f>'North America'!B890+"n/&gt;!2X5"</f>
        <v>#VALUE!</v>
      </c>
      <c r="FC357" t="e">
        <f>'North America'!C890+"n/&gt;!2X6"</f>
        <v>#VALUE!</v>
      </c>
      <c r="FD357" t="e">
        <f>'North America'!D890+"n/&gt;!2X7"</f>
        <v>#VALUE!</v>
      </c>
      <c r="FE357" t="e">
        <f>'North America'!E890+"n/&gt;!2X8"</f>
        <v>#VALUE!</v>
      </c>
      <c r="FF357" t="e">
        <f>'North America'!F890+"n/&gt;!2X9"</f>
        <v>#VALUE!</v>
      </c>
      <c r="FG357" t="e">
        <f>'North America'!G890+"n/&gt;!2X:"</f>
        <v>#VALUE!</v>
      </c>
      <c r="FH357" t="e">
        <f>'North America'!H890+"n/&gt;!2X;"</f>
        <v>#VALUE!</v>
      </c>
      <c r="FI357" t="e">
        <f>'North America'!I890+"n/&gt;!2X&lt;"</f>
        <v>#VALUE!</v>
      </c>
      <c r="FJ357" t="e">
        <f>'North America'!A891+"n/&gt;!2X="</f>
        <v>#VALUE!</v>
      </c>
      <c r="FK357" t="e">
        <f>'North America'!B891+"n/&gt;!2X&gt;"</f>
        <v>#VALUE!</v>
      </c>
      <c r="FL357" t="e">
        <f>'North America'!C891+"n/&gt;!2X?"</f>
        <v>#VALUE!</v>
      </c>
      <c r="FM357" t="e">
        <f>'North America'!D891+"n/&gt;!2X@"</f>
        <v>#VALUE!</v>
      </c>
      <c r="FN357" t="e">
        <f>'North America'!E891+"n/&gt;!2XA"</f>
        <v>#VALUE!</v>
      </c>
      <c r="FO357" t="e">
        <f>'North America'!F891+"n/&gt;!2XB"</f>
        <v>#VALUE!</v>
      </c>
      <c r="FP357" t="e">
        <f>'North America'!G891+"n/&gt;!2XC"</f>
        <v>#VALUE!</v>
      </c>
      <c r="FQ357" t="e">
        <f>'North America'!H891+"n/&gt;!2XD"</f>
        <v>#VALUE!</v>
      </c>
      <c r="FR357" t="e">
        <f>'North America'!I891+"n/&gt;!2XE"</f>
        <v>#VALUE!</v>
      </c>
      <c r="FS357" t="e">
        <f>'North America'!A892+"n/&gt;!2XF"</f>
        <v>#VALUE!</v>
      </c>
      <c r="FT357" t="e">
        <f>'North America'!B892+"n/&gt;!2XG"</f>
        <v>#VALUE!</v>
      </c>
      <c r="FU357" t="e">
        <f>'North America'!C892+"n/&gt;!2XH"</f>
        <v>#VALUE!</v>
      </c>
      <c r="FV357" t="e">
        <f>'North America'!D892+"n/&gt;!2XI"</f>
        <v>#VALUE!</v>
      </c>
      <c r="FW357" t="e">
        <f>'North America'!E892+"n/&gt;!2XJ"</f>
        <v>#VALUE!</v>
      </c>
      <c r="FX357" t="e">
        <f>'North America'!F892+"n/&gt;!2XK"</f>
        <v>#VALUE!</v>
      </c>
      <c r="FY357" t="e">
        <f>'North America'!G892+"n/&gt;!2XL"</f>
        <v>#VALUE!</v>
      </c>
      <c r="FZ357" t="e">
        <f>'North America'!H892+"n/&gt;!2XM"</f>
        <v>#VALUE!</v>
      </c>
      <c r="GA357" t="e">
        <f>'North America'!I892+"n/&gt;!2XN"</f>
        <v>#VALUE!</v>
      </c>
      <c r="GB357" t="e">
        <f>'North America'!A893+"n/&gt;!2XO"</f>
        <v>#VALUE!</v>
      </c>
      <c r="GC357" t="e">
        <f>'North America'!B893+"n/&gt;!2XP"</f>
        <v>#VALUE!</v>
      </c>
      <c r="GD357" t="e">
        <f>'North America'!C893+"n/&gt;!2XQ"</f>
        <v>#VALUE!</v>
      </c>
      <c r="GE357" t="e">
        <f>'North America'!D893+"n/&gt;!2XR"</f>
        <v>#VALUE!</v>
      </c>
      <c r="GF357" t="e">
        <f>'North America'!E893+"n/&gt;!2XS"</f>
        <v>#VALUE!</v>
      </c>
      <c r="GG357" t="e">
        <f>'North America'!F893+"n/&gt;!2XT"</f>
        <v>#VALUE!</v>
      </c>
      <c r="GH357" t="e">
        <f>'North America'!G893+"n/&gt;!2XU"</f>
        <v>#VALUE!</v>
      </c>
      <c r="GI357" t="e">
        <f>'North America'!H893+"n/&gt;!2XV"</f>
        <v>#VALUE!</v>
      </c>
      <c r="GJ357" t="e">
        <f>'North America'!I893+"n/&gt;!2XW"</f>
        <v>#VALUE!</v>
      </c>
      <c r="GK357" t="e">
        <f>'North America'!A894+"n/&gt;!2XX"</f>
        <v>#VALUE!</v>
      </c>
      <c r="GL357" t="e">
        <f>'North America'!B894+"n/&gt;!2XY"</f>
        <v>#VALUE!</v>
      </c>
      <c r="GM357" t="e">
        <f>'North America'!C894+"n/&gt;!2XZ"</f>
        <v>#VALUE!</v>
      </c>
      <c r="GN357" t="e">
        <f>'North America'!D894+"n/&gt;!2X["</f>
        <v>#VALUE!</v>
      </c>
      <c r="GO357" t="e">
        <f>'North America'!E894+"n/&gt;!2X\"</f>
        <v>#VALUE!</v>
      </c>
      <c r="GP357" t="e">
        <f>'North America'!F894+"n/&gt;!2X]"</f>
        <v>#VALUE!</v>
      </c>
      <c r="GQ357" t="e">
        <f>'North America'!G894+"n/&gt;!2X^"</f>
        <v>#VALUE!</v>
      </c>
      <c r="GR357" t="e">
        <f>'North America'!H894+"n/&gt;!2X_"</f>
        <v>#VALUE!</v>
      </c>
      <c r="GS357" t="e">
        <f>'North America'!I894+"n/&gt;!2X`"</f>
        <v>#VALUE!</v>
      </c>
      <c r="GT357" t="e">
        <f>'North America'!A895+"n/&gt;!2Xa"</f>
        <v>#VALUE!</v>
      </c>
      <c r="GU357" t="e">
        <f>'North America'!B895+"n/&gt;!2Xb"</f>
        <v>#VALUE!</v>
      </c>
      <c r="GV357" t="e">
        <f>'North America'!C895+"n/&gt;!2Xc"</f>
        <v>#VALUE!</v>
      </c>
      <c r="GW357" t="e">
        <f>'North America'!D895+"n/&gt;!2Xd"</f>
        <v>#VALUE!</v>
      </c>
      <c r="GX357" t="e">
        <f>'North America'!E895+"n/&gt;!2Xe"</f>
        <v>#VALUE!</v>
      </c>
      <c r="GY357" t="e">
        <f>'North America'!F895+"n/&gt;!2Xf"</f>
        <v>#VALUE!</v>
      </c>
      <c r="GZ357" t="e">
        <f>'North America'!G895+"n/&gt;!2Xg"</f>
        <v>#VALUE!</v>
      </c>
      <c r="HA357" t="e">
        <f>'North America'!H895+"n/&gt;!2Xh"</f>
        <v>#VALUE!</v>
      </c>
      <c r="HB357" t="e">
        <f>'North America'!I895+"n/&gt;!2Xi"</f>
        <v>#VALUE!</v>
      </c>
      <c r="HC357" t="e">
        <f>'North America'!A896+"n/&gt;!2Xj"</f>
        <v>#VALUE!</v>
      </c>
      <c r="HD357" t="e">
        <f>'North America'!B896+"n/&gt;!2Xk"</f>
        <v>#VALUE!</v>
      </c>
      <c r="HE357" t="e">
        <f>'North America'!C896+"n/&gt;!2Xl"</f>
        <v>#VALUE!</v>
      </c>
      <c r="HF357" t="e">
        <f>'North America'!D896+"n/&gt;!2Xm"</f>
        <v>#VALUE!</v>
      </c>
      <c r="HG357" t="e">
        <f>'North America'!E896+"n/&gt;!2Xn"</f>
        <v>#VALUE!</v>
      </c>
      <c r="HH357" t="e">
        <f>'North America'!F896+"n/&gt;!2Xo"</f>
        <v>#VALUE!</v>
      </c>
      <c r="HI357" t="e">
        <f>'North America'!G896+"n/&gt;!2Xp"</f>
        <v>#VALUE!</v>
      </c>
      <c r="HJ357" t="e">
        <f>'North America'!H896+"n/&gt;!2Xq"</f>
        <v>#VALUE!</v>
      </c>
      <c r="HK357" t="e">
        <f>'North America'!I896+"n/&gt;!2Xr"</f>
        <v>#VALUE!</v>
      </c>
      <c r="HL357" t="e">
        <f>'North America'!A897+"n/&gt;!2Xs"</f>
        <v>#VALUE!</v>
      </c>
      <c r="HM357" t="e">
        <f>'North America'!B897+"n/&gt;!2Xt"</f>
        <v>#VALUE!</v>
      </c>
      <c r="HN357" t="e">
        <f>'North America'!C897+"n/&gt;!2Xu"</f>
        <v>#VALUE!</v>
      </c>
      <c r="HO357" t="e">
        <f>'North America'!D897+"n/&gt;!2Xv"</f>
        <v>#VALUE!</v>
      </c>
      <c r="HP357" t="e">
        <f>'North America'!E897+"n/&gt;!2Xw"</f>
        <v>#VALUE!</v>
      </c>
      <c r="HQ357" t="e">
        <f>'North America'!F897+"n/&gt;!2Xx"</f>
        <v>#VALUE!</v>
      </c>
      <c r="HR357" t="e">
        <f>'North America'!G897+"n/&gt;!2Xy"</f>
        <v>#VALUE!</v>
      </c>
      <c r="HS357" t="e">
        <f>'North America'!H897+"n/&gt;!2Xz"</f>
        <v>#VALUE!</v>
      </c>
      <c r="HT357" t="e">
        <f>'North America'!I897+"n/&gt;!2X{"</f>
        <v>#VALUE!</v>
      </c>
      <c r="HU357" t="e">
        <f>'North America'!A898+"n/&gt;!2X|"</f>
        <v>#VALUE!</v>
      </c>
      <c r="HV357" t="e">
        <f>'North America'!B898+"n/&gt;!2X}"</f>
        <v>#VALUE!</v>
      </c>
      <c r="HW357" t="e">
        <f>'North America'!C898+"n/&gt;!2X~"</f>
        <v>#VALUE!</v>
      </c>
      <c r="HX357" t="e">
        <f>'North America'!D898+"n/&gt;!2Y#"</f>
        <v>#VALUE!</v>
      </c>
      <c r="HY357" t="e">
        <f>'North America'!E898+"n/&gt;!2Y$"</f>
        <v>#VALUE!</v>
      </c>
      <c r="HZ357" t="e">
        <f>'North America'!F898+"n/&gt;!2Y%"</f>
        <v>#VALUE!</v>
      </c>
      <c r="IA357" t="e">
        <f>'North America'!G898+"n/&gt;!2Y&amp;"</f>
        <v>#VALUE!</v>
      </c>
      <c r="IB357" t="e">
        <f>'North America'!H898+"n/&gt;!2Y'"</f>
        <v>#VALUE!</v>
      </c>
      <c r="IC357" t="e">
        <f>'North America'!I898+"n/&gt;!2Y("</f>
        <v>#VALUE!</v>
      </c>
      <c r="ID357" t="e">
        <f>'North America'!A899+"n/&gt;!2Y)"</f>
        <v>#VALUE!</v>
      </c>
      <c r="IE357" t="e">
        <f>'North America'!B899+"n/&gt;!2Y."</f>
        <v>#VALUE!</v>
      </c>
      <c r="IF357" t="e">
        <f>'North America'!C899+"n/&gt;!2Y/"</f>
        <v>#VALUE!</v>
      </c>
      <c r="IG357" t="e">
        <f>'North America'!D899+"n/&gt;!2Y0"</f>
        <v>#VALUE!</v>
      </c>
      <c r="IH357" t="e">
        <f>'North America'!E899+"n/&gt;!2Y1"</f>
        <v>#VALUE!</v>
      </c>
      <c r="II357" t="e">
        <f>'North America'!F899+"n/&gt;!2Y2"</f>
        <v>#VALUE!</v>
      </c>
      <c r="IJ357" t="e">
        <f>'North America'!G899+"n/&gt;!2Y3"</f>
        <v>#VALUE!</v>
      </c>
      <c r="IK357" t="e">
        <f>'North America'!H899+"n/&gt;!2Y4"</f>
        <v>#VALUE!</v>
      </c>
      <c r="IL357" t="e">
        <f>'North America'!I899+"n/&gt;!2Y5"</f>
        <v>#VALUE!</v>
      </c>
      <c r="IM357" t="e">
        <f>'North America'!A900+"n/&gt;!2Y6"</f>
        <v>#VALUE!</v>
      </c>
      <c r="IN357" t="e">
        <f>'North America'!B900+"n/&gt;!2Y7"</f>
        <v>#VALUE!</v>
      </c>
      <c r="IO357" t="e">
        <f>'North America'!C900+"n/&gt;!2Y8"</f>
        <v>#VALUE!</v>
      </c>
      <c r="IP357" t="e">
        <f>'North America'!D900+"n/&gt;!2Y9"</f>
        <v>#VALUE!</v>
      </c>
      <c r="IQ357" t="e">
        <f>'North America'!E900+"n/&gt;!2Y:"</f>
        <v>#VALUE!</v>
      </c>
      <c r="IR357" t="e">
        <f>'North America'!F900+"n/&gt;!2Y;"</f>
        <v>#VALUE!</v>
      </c>
      <c r="IS357" t="e">
        <f>'North America'!G900+"n/&gt;!2Y&lt;"</f>
        <v>#VALUE!</v>
      </c>
      <c r="IT357" t="e">
        <f>'North America'!H900+"n/&gt;!2Y="</f>
        <v>#VALUE!</v>
      </c>
      <c r="IU357" t="e">
        <f>'North America'!I900+"n/&gt;!2Y&gt;"</f>
        <v>#VALUE!</v>
      </c>
      <c r="IV357" t="e">
        <f>'North America'!A901+"n/&gt;!2Y?"</f>
        <v>#VALUE!</v>
      </c>
    </row>
    <row r="358" spans="6:256" x14ac:dyDescent="0.35">
      <c r="F358" t="e">
        <f>'North America'!B901+"n/&gt;!2Y@"</f>
        <v>#VALUE!</v>
      </c>
      <c r="G358" t="e">
        <f>'North America'!C901+"n/&gt;!2YA"</f>
        <v>#VALUE!</v>
      </c>
      <c r="H358" t="e">
        <f>'North America'!D901+"n/&gt;!2YB"</f>
        <v>#VALUE!</v>
      </c>
      <c r="I358" t="e">
        <f>'North America'!E901+"n/&gt;!2YC"</f>
        <v>#VALUE!</v>
      </c>
      <c r="J358" t="e">
        <f>'North America'!F901+"n/&gt;!2YD"</f>
        <v>#VALUE!</v>
      </c>
      <c r="K358" t="e">
        <f>'North America'!G901+"n/&gt;!2YE"</f>
        <v>#VALUE!</v>
      </c>
      <c r="L358" t="e">
        <f>'North America'!H901+"n/&gt;!2YF"</f>
        <v>#VALUE!</v>
      </c>
      <c r="M358" t="e">
        <f>'North America'!I901+"n/&gt;!2YG"</f>
        <v>#VALUE!</v>
      </c>
      <c r="N358" t="e">
        <f>'North America'!A902+"n/&gt;!2YH"</f>
        <v>#VALUE!</v>
      </c>
      <c r="O358" t="e">
        <f>'North America'!B902+"n/&gt;!2YI"</f>
        <v>#VALUE!</v>
      </c>
      <c r="P358" t="e">
        <f>'North America'!C902+"n/&gt;!2YJ"</f>
        <v>#VALUE!</v>
      </c>
      <c r="Q358" t="e">
        <f>'North America'!D902+"n/&gt;!2YK"</f>
        <v>#VALUE!</v>
      </c>
      <c r="R358" t="e">
        <f>'North America'!E902+"n/&gt;!2YL"</f>
        <v>#VALUE!</v>
      </c>
      <c r="S358" t="e">
        <f>'North America'!F902+"n/&gt;!2YM"</f>
        <v>#VALUE!</v>
      </c>
      <c r="T358" t="e">
        <f>'North America'!G902+"n/&gt;!2YN"</f>
        <v>#VALUE!</v>
      </c>
      <c r="U358" t="e">
        <f>'North America'!H902+"n/&gt;!2YO"</f>
        <v>#VALUE!</v>
      </c>
      <c r="V358" t="e">
        <f>'North America'!I902+"n/&gt;!2YP"</f>
        <v>#VALUE!</v>
      </c>
      <c r="W358" t="e">
        <f>'North America'!A903+"n/&gt;!2YQ"</f>
        <v>#VALUE!</v>
      </c>
      <c r="X358" t="e">
        <f>'North America'!B903+"n/&gt;!2YR"</f>
        <v>#VALUE!</v>
      </c>
      <c r="Y358" t="e">
        <f>'North America'!C903+"n/&gt;!2YS"</f>
        <v>#VALUE!</v>
      </c>
      <c r="Z358" t="e">
        <f>'North America'!D903+"n/&gt;!2YT"</f>
        <v>#VALUE!</v>
      </c>
      <c r="AA358" t="e">
        <f>'North America'!E903+"n/&gt;!2YU"</f>
        <v>#VALUE!</v>
      </c>
      <c r="AB358" t="e">
        <f>'North America'!F903+"n/&gt;!2YV"</f>
        <v>#VALUE!</v>
      </c>
      <c r="AC358" t="e">
        <f>'North America'!G903+"n/&gt;!2YW"</f>
        <v>#VALUE!</v>
      </c>
      <c r="AD358" t="e">
        <f>'North America'!H903+"n/&gt;!2YX"</f>
        <v>#VALUE!</v>
      </c>
      <c r="AE358" t="e">
        <f>'North America'!I903+"n/&gt;!2YY"</f>
        <v>#VALUE!</v>
      </c>
      <c r="AF358" t="e">
        <f>'North America'!A904+"n/&gt;!2YZ"</f>
        <v>#VALUE!</v>
      </c>
      <c r="AG358" t="e">
        <f>'North America'!B904+"n/&gt;!2Y["</f>
        <v>#VALUE!</v>
      </c>
      <c r="AH358" t="e">
        <f>'North America'!C904+"n/&gt;!2Y\"</f>
        <v>#VALUE!</v>
      </c>
      <c r="AI358" t="e">
        <f>'North America'!D904+"n/&gt;!2Y]"</f>
        <v>#VALUE!</v>
      </c>
      <c r="AJ358" t="e">
        <f>'North America'!E904+"n/&gt;!2Y^"</f>
        <v>#VALUE!</v>
      </c>
      <c r="AK358" t="e">
        <f>'North America'!F904+"n/&gt;!2Y_"</f>
        <v>#VALUE!</v>
      </c>
      <c r="AL358" t="e">
        <f>'North America'!G904+"n/&gt;!2Y`"</f>
        <v>#VALUE!</v>
      </c>
      <c r="AM358" t="e">
        <f>'North America'!H904+"n/&gt;!2Ya"</f>
        <v>#VALUE!</v>
      </c>
      <c r="AN358" t="e">
        <f>'North America'!I904+"n/&gt;!2Yb"</f>
        <v>#VALUE!</v>
      </c>
      <c r="AO358" t="e">
        <f>'North America'!A905+"n/&gt;!2Yc"</f>
        <v>#VALUE!</v>
      </c>
      <c r="AP358" t="e">
        <f>'North America'!B905+"n/&gt;!2Yd"</f>
        <v>#VALUE!</v>
      </c>
      <c r="AQ358" t="e">
        <f>'North America'!C905+"n/&gt;!2Ye"</f>
        <v>#VALUE!</v>
      </c>
      <c r="AR358" t="e">
        <f>'North America'!D905+"n/&gt;!2Yf"</f>
        <v>#VALUE!</v>
      </c>
      <c r="AS358" t="e">
        <f>'North America'!E905+"n/&gt;!2Yg"</f>
        <v>#VALUE!</v>
      </c>
      <c r="AT358" t="e">
        <f>'North America'!F905+"n/&gt;!2Yh"</f>
        <v>#VALUE!</v>
      </c>
      <c r="AU358" t="e">
        <f>'North America'!G905+"n/&gt;!2Yi"</f>
        <v>#VALUE!</v>
      </c>
      <c r="AV358" t="e">
        <f>'North America'!H905+"n/&gt;!2Yj"</f>
        <v>#VALUE!</v>
      </c>
      <c r="AW358" t="e">
        <f>'North America'!I905+"n/&gt;!2Yk"</f>
        <v>#VALUE!</v>
      </c>
      <c r="AX358" t="e">
        <f>'North America'!A906+"n/&gt;!2Yl"</f>
        <v>#VALUE!</v>
      </c>
      <c r="AY358" t="e">
        <f>'North America'!B906+"n/&gt;!2Ym"</f>
        <v>#VALUE!</v>
      </c>
      <c r="AZ358" t="e">
        <f>'North America'!C906+"n/&gt;!2Yn"</f>
        <v>#VALUE!</v>
      </c>
      <c r="BA358" t="e">
        <f>'North America'!D906+"n/&gt;!2Yo"</f>
        <v>#VALUE!</v>
      </c>
      <c r="BB358" t="e">
        <f>'North America'!E906+"n/&gt;!2Yp"</f>
        <v>#VALUE!</v>
      </c>
      <c r="BC358" t="e">
        <f>'North America'!F906+"n/&gt;!2Yq"</f>
        <v>#VALUE!</v>
      </c>
      <c r="BD358" t="e">
        <f>'North America'!G906+"n/&gt;!2Yr"</f>
        <v>#VALUE!</v>
      </c>
      <c r="BE358" t="e">
        <f>'North America'!H906+"n/&gt;!2Ys"</f>
        <v>#VALUE!</v>
      </c>
      <c r="BF358" t="e">
        <f>'North America'!I906+"n/&gt;!2Yt"</f>
        <v>#VALUE!</v>
      </c>
      <c r="BG358" t="e">
        <f>'North America'!A907+"n/&gt;!2Yu"</f>
        <v>#VALUE!</v>
      </c>
      <c r="BH358" t="e">
        <f>'North America'!B907+"n/&gt;!2Yv"</f>
        <v>#VALUE!</v>
      </c>
      <c r="BI358" t="e">
        <f>'North America'!C907+"n/&gt;!2Yw"</f>
        <v>#VALUE!</v>
      </c>
      <c r="BJ358" t="e">
        <f>'North America'!D907+"n/&gt;!2Yx"</f>
        <v>#VALUE!</v>
      </c>
      <c r="BK358" t="e">
        <f>'North America'!E907+"n/&gt;!2Yy"</f>
        <v>#VALUE!</v>
      </c>
      <c r="BL358" t="e">
        <f>'North America'!F907+"n/&gt;!2Yz"</f>
        <v>#VALUE!</v>
      </c>
      <c r="BM358" t="e">
        <f>'North America'!G907+"n/&gt;!2Y{"</f>
        <v>#VALUE!</v>
      </c>
      <c r="BN358" t="e">
        <f>'North America'!H907+"n/&gt;!2Y|"</f>
        <v>#VALUE!</v>
      </c>
      <c r="BO358" t="e">
        <f>'North America'!I907+"n/&gt;!2Y}"</f>
        <v>#VALUE!</v>
      </c>
      <c r="BP358" t="e">
        <f>'North America'!A908+"n/&gt;!2Y~"</f>
        <v>#VALUE!</v>
      </c>
      <c r="BQ358" t="e">
        <f>'North America'!B908+"n/&gt;!2Z#"</f>
        <v>#VALUE!</v>
      </c>
      <c r="BR358" t="e">
        <f>'North America'!C908+"n/&gt;!2Z$"</f>
        <v>#VALUE!</v>
      </c>
      <c r="BS358" t="e">
        <f>'North America'!D908+"n/&gt;!2Z%"</f>
        <v>#VALUE!</v>
      </c>
      <c r="BT358" t="e">
        <f>'North America'!E908+"n/&gt;!2Z&amp;"</f>
        <v>#VALUE!</v>
      </c>
      <c r="BU358" t="e">
        <f>'North America'!F908+"n/&gt;!2Z'"</f>
        <v>#VALUE!</v>
      </c>
      <c r="BV358" t="e">
        <f>'North America'!G908+"n/&gt;!2Z("</f>
        <v>#VALUE!</v>
      </c>
      <c r="BW358" t="e">
        <f>'North America'!H908+"n/&gt;!2Z)"</f>
        <v>#VALUE!</v>
      </c>
      <c r="BX358" t="e">
        <f>'North America'!I908+"n/&gt;!2Z."</f>
        <v>#VALUE!</v>
      </c>
      <c r="BY358" t="e">
        <f>'North America'!A909+"n/&gt;!2Z/"</f>
        <v>#VALUE!</v>
      </c>
      <c r="BZ358" t="e">
        <f>'North America'!B909+"n/&gt;!2Z0"</f>
        <v>#VALUE!</v>
      </c>
      <c r="CA358" t="e">
        <f>'North America'!C909+"n/&gt;!2Z1"</f>
        <v>#VALUE!</v>
      </c>
      <c r="CB358" t="e">
        <f>'North America'!D909+"n/&gt;!2Z2"</f>
        <v>#VALUE!</v>
      </c>
      <c r="CC358" t="e">
        <f>'North America'!E909+"n/&gt;!2Z3"</f>
        <v>#VALUE!</v>
      </c>
      <c r="CD358" t="e">
        <f>'North America'!F909+"n/&gt;!2Z4"</f>
        <v>#VALUE!</v>
      </c>
      <c r="CE358" t="e">
        <f>'North America'!G909+"n/&gt;!2Z5"</f>
        <v>#VALUE!</v>
      </c>
      <c r="CF358" t="e">
        <f>'North America'!H909+"n/&gt;!2Z6"</f>
        <v>#VALUE!</v>
      </c>
      <c r="CG358" t="e">
        <f>'North America'!I909+"n/&gt;!2Z7"</f>
        <v>#VALUE!</v>
      </c>
      <c r="CH358" t="e">
        <f>'North America'!A910+"n/&gt;!2Z8"</f>
        <v>#VALUE!</v>
      </c>
      <c r="CI358" t="e">
        <f>'North America'!B910+"n/&gt;!2Z9"</f>
        <v>#VALUE!</v>
      </c>
      <c r="CJ358" t="e">
        <f>'North America'!C910+"n/&gt;!2Z:"</f>
        <v>#VALUE!</v>
      </c>
      <c r="CK358" t="e">
        <f>'North America'!D910+"n/&gt;!2Z;"</f>
        <v>#VALUE!</v>
      </c>
      <c r="CL358" t="e">
        <f>'North America'!E910+"n/&gt;!2Z&lt;"</f>
        <v>#VALUE!</v>
      </c>
      <c r="CM358" t="e">
        <f>'North America'!F910+"n/&gt;!2Z="</f>
        <v>#VALUE!</v>
      </c>
      <c r="CN358" t="e">
        <f>'North America'!G910+"n/&gt;!2Z&gt;"</f>
        <v>#VALUE!</v>
      </c>
      <c r="CO358" t="e">
        <f>'North America'!H910+"n/&gt;!2Z?"</f>
        <v>#VALUE!</v>
      </c>
      <c r="CP358" t="e">
        <f>'North America'!I910+"n/&gt;!2Z@"</f>
        <v>#VALUE!</v>
      </c>
      <c r="CQ358" t="e">
        <f>'North America'!A911+"n/&gt;!2ZA"</f>
        <v>#VALUE!</v>
      </c>
      <c r="CR358" t="e">
        <f>'North America'!B911+"n/&gt;!2ZB"</f>
        <v>#VALUE!</v>
      </c>
      <c r="CS358" t="e">
        <f>'North America'!C911+"n/&gt;!2ZC"</f>
        <v>#VALUE!</v>
      </c>
      <c r="CT358" t="e">
        <f>'North America'!D911+"n/&gt;!2ZD"</f>
        <v>#VALUE!</v>
      </c>
      <c r="CU358" t="e">
        <f>'North America'!E911+"n/&gt;!2ZE"</f>
        <v>#VALUE!</v>
      </c>
      <c r="CV358" t="e">
        <f>'North America'!F911+"n/&gt;!2ZF"</f>
        <v>#VALUE!</v>
      </c>
      <c r="CW358" t="e">
        <f>'North America'!G911+"n/&gt;!2ZG"</f>
        <v>#VALUE!</v>
      </c>
      <c r="CX358" t="e">
        <f>'North America'!H911+"n/&gt;!2ZH"</f>
        <v>#VALUE!</v>
      </c>
      <c r="CY358" t="e">
        <f>'North America'!I911+"n/&gt;!2ZI"</f>
        <v>#VALUE!</v>
      </c>
      <c r="CZ358" t="e">
        <f>'North America'!A912+"n/&gt;!2ZJ"</f>
        <v>#VALUE!</v>
      </c>
      <c r="DA358" t="e">
        <f>'North America'!B912+"n/&gt;!2ZK"</f>
        <v>#VALUE!</v>
      </c>
      <c r="DB358" t="e">
        <f>'North America'!C912+"n/&gt;!2ZL"</f>
        <v>#VALUE!</v>
      </c>
      <c r="DC358" t="e">
        <f>'North America'!D912+"n/&gt;!2ZM"</f>
        <v>#VALUE!</v>
      </c>
      <c r="DD358" t="e">
        <f>'North America'!E912+"n/&gt;!2ZN"</f>
        <v>#VALUE!</v>
      </c>
      <c r="DE358" t="e">
        <f>'North America'!F912+"n/&gt;!2ZO"</f>
        <v>#VALUE!</v>
      </c>
      <c r="DF358" t="e">
        <f>'North America'!G912+"n/&gt;!2ZP"</f>
        <v>#VALUE!</v>
      </c>
      <c r="DG358" t="e">
        <f>'North America'!H912+"n/&gt;!2ZQ"</f>
        <v>#VALUE!</v>
      </c>
      <c r="DH358" t="e">
        <f>'North America'!I912+"n/&gt;!2ZR"</f>
        <v>#VALUE!</v>
      </c>
      <c r="DI358" t="e">
        <f>'North America'!A913+"n/&gt;!2ZS"</f>
        <v>#VALUE!</v>
      </c>
      <c r="DJ358" t="e">
        <f>'North America'!B913+"n/&gt;!2ZT"</f>
        <v>#VALUE!</v>
      </c>
      <c r="DK358" t="e">
        <f>'North America'!C913+"n/&gt;!2ZU"</f>
        <v>#VALUE!</v>
      </c>
      <c r="DL358" t="e">
        <f>'North America'!D913+"n/&gt;!2ZV"</f>
        <v>#VALUE!</v>
      </c>
      <c r="DM358" t="e">
        <f>'North America'!E913+"n/&gt;!2ZW"</f>
        <v>#VALUE!</v>
      </c>
      <c r="DN358" t="e">
        <f>'North America'!F913+"n/&gt;!2ZX"</f>
        <v>#VALUE!</v>
      </c>
      <c r="DO358" t="e">
        <f>'North America'!G913+"n/&gt;!2ZY"</f>
        <v>#VALUE!</v>
      </c>
      <c r="DP358" t="e">
        <f>'North America'!H913+"n/&gt;!2ZZ"</f>
        <v>#VALUE!</v>
      </c>
      <c r="DQ358" t="e">
        <f>'North America'!I913+"n/&gt;!2Z["</f>
        <v>#VALUE!</v>
      </c>
      <c r="DR358" t="e">
        <f>'North America'!A914+"n/&gt;!2Z\"</f>
        <v>#VALUE!</v>
      </c>
      <c r="DS358" t="e">
        <f>'North America'!B914+"n/&gt;!2Z]"</f>
        <v>#VALUE!</v>
      </c>
      <c r="DT358" t="e">
        <f>'North America'!C914+"n/&gt;!2Z^"</f>
        <v>#VALUE!</v>
      </c>
      <c r="DU358" t="e">
        <f>'North America'!D914+"n/&gt;!2Z_"</f>
        <v>#VALUE!</v>
      </c>
      <c r="DV358" t="e">
        <f>'North America'!E914+"n/&gt;!2Z`"</f>
        <v>#VALUE!</v>
      </c>
      <c r="DW358" t="e">
        <f>'North America'!F914+"n/&gt;!2Za"</f>
        <v>#VALUE!</v>
      </c>
      <c r="DX358" t="e">
        <f>'North America'!G914+"n/&gt;!2Zb"</f>
        <v>#VALUE!</v>
      </c>
      <c r="DY358" t="e">
        <f>'North America'!H914+"n/&gt;!2Zc"</f>
        <v>#VALUE!</v>
      </c>
      <c r="DZ358" t="e">
        <f>'North America'!I914+"n/&gt;!2Zd"</f>
        <v>#VALUE!</v>
      </c>
      <c r="EA358" t="e">
        <f>'North America'!A915+"n/&gt;!2Ze"</f>
        <v>#VALUE!</v>
      </c>
      <c r="EB358" t="e">
        <f>'North America'!B915+"n/&gt;!2Zf"</f>
        <v>#VALUE!</v>
      </c>
      <c r="EC358" t="e">
        <f>'North America'!C915+"n/&gt;!2Zg"</f>
        <v>#VALUE!</v>
      </c>
      <c r="ED358" t="e">
        <f>'North America'!D915+"n/&gt;!2Zh"</f>
        <v>#VALUE!</v>
      </c>
      <c r="EE358" t="e">
        <f>'North America'!E915+"n/&gt;!2Zi"</f>
        <v>#VALUE!</v>
      </c>
      <c r="EF358" t="e">
        <f>'North America'!F915+"n/&gt;!2Zj"</f>
        <v>#VALUE!</v>
      </c>
      <c r="EG358" t="e">
        <f>'North America'!G915+"n/&gt;!2Zk"</f>
        <v>#VALUE!</v>
      </c>
      <c r="EH358" t="e">
        <f>'North America'!H915+"n/&gt;!2Zl"</f>
        <v>#VALUE!</v>
      </c>
      <c r="EI358" t="e">
        <f>'North America'!I915+"n/&gt;!2Zm"</f>
        <v>#VALUE!</v>
      </c>
      <c r="EJ358" t="e">
        <f>'North America'!A916+"n/&gt;!2Zn"</f>
        <v>#VALUE!</v>
      </c>
      <c r="EK358" t="e">
        <f>'North America'!B916+"n/&gt;!2Zo"</f>
        <v>#VALUE!</v>
      </c>
      <c r="EL358" t="e">
        <f>'North America'!C916+"n/&gt;!2Zp"</f>
        <v>#VALUE!</v>
      </c>
      <c r="EM358" t="e">
        <f>'North America'!D916+"n/&gt;!2Zq"</f>
        <v>#VALUE!</v>
      </c>
      <c r="EN358" t="e">
        <f>'North America'!E916+"n/&gt;!2Zr"</f>
        <v>#VALUE!</v>
      </c>
      <c r="EO358" t="e">
        <f>'North America'!F916+"n/&gt;!2Zs"</f>
        <v>#VALUE!</v>
      </c>
      <c r="EP358" t="e">
        <f>'North America'!G916+"n/&gt;!2Zt"</f>
        <v>#VALUE!</v>
      </c>
      <c r="EQ358" t="e">
        <f>'North America'!H916+"n/&gt;!2Zu"</f>
        <v>#VALUE!</v>
      </c>
      <c r="ER358" t="e">
        <f>'North America'!I916+"n/&gt;!2Zv"</f>
        <v>#VALUE!</v>
      </c>
      <c r="ES358" t="e">
        <f>'North America'!A917+"n/&gt;!2Zw"</f>
        <v>#VALUE!</v>
      </c>
      <c r="ET358" t="e">
        <f>'North America'!B917+"n/&gt;!2Zx"</f>
        <v>#VALUE!</v>
      </c>
      <c r="EU358" t="e">
        <f>'North America'!C917+"n/&gt;!2Zy"</f>
        <v>#VALUE!</v>
      </c>
      <c r="EV358" t="e">
        <f>'North America'!D917+"n/&gt;!2Zz"</f>
        <v>#VALUE!</v>
      </c>
      <c r="EW358" t="e">
        <f>'North America'!E917+"n/&gt;!2Z{"</f>
        <v>#VALUE!</v>
      </c>
      <c r="EX358" t="e">
        <f>'North America'!F917+"n/&gt;!2Z|"</f>
        <v>#VALUE!</v>
      </c>
      <c r="EY358" t="e">
        <f>'North America'!G917+"n/&gt;!2Z}"</f>
        <v>#VALUE!</v>
      </c>
      <c r="EZ358" t="e">
        <f>'North America'!H917+"n/&gt;!2Z~"</f>
        <v>#VALUE!</v>
      </c>
      <c r="FA358" t="e">
        <f>'North America'!I917+"n/&gt;!2[#"</f>
        <v>#VALUE!</v>
      </c>
      <c r="FB358" t="e">
        <f>'North America'!A918+"n/&gt;!2[$"</f>
        <v>#VALUE!</v>
      </c>
      <c r="FC358" t="e">
        <f>'North America'!B918+"n/&gt;!2[%"</f>
        <v>#VALUE!</v>
      </c>
      <c r="FD358" t="e">
        <f>'North America'!C918+"n/&gt;!2[&amp;"</f>
        <v>#VALUE!</v>
      </c>
      <c r="FE358" t="e">
        <f>'North America'!D918+"n/&gt;!2['"</f>
        <v>#VALUE!</v>
      </c>
      <c r="FF358" t="e">
        <f>'North America'!E918+"n/&gt;!2[("</f>
        <v>#VALUE!</v>
      </c>
      <c r="FG358" t="e">
        <f>'North America'!F918+"n/&gt;!2[)"</f>
        <v>#VALUE!</v>
      </c>
      <c r="FH358" t="e">
        <f>'North America'!G918+"n/&gt;!2[."</f>
        <v>#VALUE!</v>
      </c>
      <c r="FI358" t="e">
        <f>'North America'!H918+"n/&gt;!2[/"</f>
        <v>#VALUE!</v>
      </c>
      <c r="FJ358" t="e">
        <f>'North America'!I918+"n/&gt;!2[0"</f>
        <v>#VALUE!</v>
      </c>
      <c r="FK358" t="e">
        <f>'North America'!A919+"n/&gt;!2[1"</f>
        <v>#VALUE!</v>
      </c>
      <c r="FL358" t="e">
        <f>'North America'!B919+"n/&gt;!2[2"</f>
        <v>#VALUE!</v>
      </c>
      <c r="FM358" t="e">
        <f>'North America'!C919+"n/&gt;!2[3"</f>
        <v>#VALUE!</v>
      </c>
      <c r="FN358" t="e">
        <f>'North America'!D919+"n/&gt;!2[4"</f>
        <v>#VALUE!</v>
      </c>
      <c r="FO358" t="e">
        <f>'North America'!E919+"n/&gt;!2[5"</f>
        <v>#VALUE!</v>
      </c>
      <c r="FP358" t="e">
        <f>'North America'!F919+"n/&gt;!2[6"</f>
        <v>#VALUE!</v>
      </c>
      <c r="FQ358" t="e">
        <f>'North America'!G919+"n/&gt;!2[7"</f>
        <v>#VALUE!</v>
      </c>
      <c r="FR358" t="e">
        <f>'North America'!H919+"n/&gt;!2[8"</f>
        <v>#VALUE!</v>
      </c>
      <c r="FS358" t="e">
        <f>'North America'!I919+"n/&gt;!2[9"</f>
        <v>#VALUE!</v>
      </c>
      <c r="FT358" t="e">
        <f>'North America'!A920+"n/&gt;!2[:"</f>
        <v>#VALUE!</v>
      </c>
      <c r="FU358" t="e">
        <f>'North America'!B920+"n/&gt;!2[;"</f>
        <v>#VALUE!</v>
      </c>
      <c r="FV358" t="e">
        <f>'North America'!C920+"n/&gt;!2[&lt;"</f>
        <v>#VALUE!</v>
      </c>
      <c r="FW358" t="e">
        <f>'North America'!D920+"n/&gt;!2[="</f>
        <v>#VALUE!</v>
      </c>
      <c r="FX358" t="e">
        <f>'North America'!E920+"n/&gt;!2[&gt;"</f>
        <v>#VALUE!</v>
      </c>
      <c r="FY358" t="e">
        <f>'North America'!F920+"n/&gt;!2[?"</f>
        <v>#VALUE!</v>
      </c>
      <c r="FZ358" t="e">
        <f>'North America'!G920+"n/&gt;!2[@"</f>
        <v>#VALUE!</v>
      </c>
      <c r="GA358" t="e">
        <f>'North America'!H920+"n/&gt;!2[A"</f>
        <v>#VALUE!</v>
      </c>
      <c r="GB358" t="e">
        <f>'North America'!I920+"n/&gt;!2[B"</f>
        <v>#VALUE!</v>
      </c>
      <c r="GC358" t="e">
        <f>'North America'!A921+"n/&gt;!2[C"</f>
        <v>#VALUE!</v>
      </c>
      <c r="GD358" t="e">
        <f>'North America'!B921+"n/&gt;!2[D"</f>
        <v>#VALUE!</v>
      </c>
      <c r="GE358" t="e">
        <f>'North America'!C921+"n/&gt;!2[E"</f>
        <v>#VALUE!</v>
      </c>
      <c r="GF358" t="e">
        <f>'North America'!D921+"n/&gt;!2[F"</f>
        <v>#VALUE!</v>
      </c>
      <c r="GG358" t="e">
        <f>'North America'!E921+"n/&gt;!2[G"</f>
        <v>#VALUE!</v>
      </c>
      <c r="GH358" t="e">
        <f>'North America'!F921+"n/&gt;!2[H"</f>
        <v>#VALUE!</v>
      </c>
      <c r="GI358" t="e">
        <f>'North America'!G921+"n/&gt;!2[I"</f>
        <v>#VALUE!</v>
      </c>
      <c r="GJ358" t="e">
        <f>'North America'!H921+"n/&gt;!2[J"</f>
        <v>#VALUE!</v>
      </c>
      <c r="GK358" t="e">
        <f>'North America'!I921+"n/&gt;!2[K"</f>
        <v>#VALUE!</v>
      </c>
      <c r="GL358" t="e">
        <f>'North America'!A922+"n/&gt;!2[L"</f>
        <v>#VALUE!</v>
      </c>
      <c r="GM358" t="e">
        <f>'North America'!B922+"n/&gt;!2[M"</f>
        <v>#VALUE!</v>
      </c>
      <c r="GN358" t="e">
        <f>'North America'!C922+"n/&gt;!2[N"</f>
        <v>#VALUE!</v>
      </c>
      <c r="GO358" t="e">
        <f>'North America'!D922+"n/&gt;!2[O"</f>
        <v>#VALUE!</v>
      </c>
      <c r="GP358" t="e">
        <f>'North America'!E922+"n/&gt;!2[P"</f>
        <v>#VALUE!</v>
      </c>
      <c r="GQ358" t="e">
        <f>'North America'!F922+"n/&gt;!2[Q"</f>
        <v>#VALUE!</v>
      </c>
      <c r="GR358" t="e">
        <f>'North America'!G922+"n/&gt;!2[R"</f>
        <v>#VALUE!</v>
      </c>
      <c r="GS358" t="e">
        <f>'North America'!H922+"n/&gt;!2[S"</f>
        <v>#VALUE!</v>
      </c>
      <c r="GT358" t="e">
        <f>'North America'!I922+"n/&gt;!2[T"</f>
        <v>#VALUE!</v>
      </c>
      <c r="GU358" t="e">
        <f>'North America'!A923+"n/&gt;!2[U"</f>
        <v>#VALUE!</v>
      </c>
      <c r="GV358" t="e">
        <f>'North America'!B923+"n/&gt;!2[V"</f>
        <v>#VALUE!</v>
      </c>
      <c r="GW358" t="e">
        <f>'North America'!C923+"n/&gt;!2[W"</f>
        <v>#VALUE!</v>
      </c>
      <c r="GX358" t="e">
        <f>'North America'!D923+"n/&gt;!2[X"</f>
        <v>#VALUE!</v>
      </c>
      <c r="GY358" t="e">
        <f>'North America'!E923+"n/&gt;!2[Y"</f>
        <v>#VALUE!</v>
      </c>
      <c r="GZ358" t="e">
        <f>'North America'!F923+"n/&gt;!2[Z"</f>
        <v>#VALUE!</v>
      </c>
      <c r="HA358" t="e">
        <f>'North America'!G923+"n/&gt;!2[["</f>
        <v>#VALUE!</v>
      </c>
      <c r="HB358" t="e">
        <f>'North America'!H923+"n/&gt;!2[\"</f>
        <v>#VALUE!</v>
      </c>
      <c r="HC358" t="e">
        <f>'North America'!I923+"n/&gt;!2[]"</f>
        <v>#VALUE!</v>
      </c>
      <c r="HD358" t="e">
        <f>'North America'!A924+"n/&gt;!2[^"</f>
        <v>#VALUE!</v>
      </c>
      <c r="HE358" t="e">
        <f>'North America'!B924+"n/&gt;!2[_"</f>
        <v>#VALUE!</v>
      </c>
      <c r="HF358" t="e">
        <f>'North America'!C924+"n/&gt;!2[`"</f>
        <v>#VALUE!</v>
      </c>
      <c r="HG358" t="e">
        <f>'North America'!D924+"n/&gt;!2[a"</f>
        <v>#VALUE!</v>
      </c>
      <c r="HH358" t="e">
        <f>'North America'!E924+"n/&gt;!2[b"</f>
        <v>#VALUE!</v>
      </c>
      <c r="HI358" t="e">
        <f>'North America'!F924+"n/&gt;!2[c"</f>
        <v>#VALUE!</v>
      </c>
      <c r="HJ358" t="e">
        <f>'North America'!G924+"n/&gt;!2[d"</f>
        <v>#VALUE!</v>
      </c>
      <c r="HK358" t="e">
        <f>'North America'!H924+"n/&gt;!2[e"</f>
        <v>#VALUE!</v>
      </c>
      <c r="HL358" t="e">
        <f>'North America'!I924+"n/&gt;!2[f"</f>
        <v>#VALUE!</v>
      </c>
      <c r="HM358" t="e">
        <f>'North America'!A925+"n/&gt;!2[g"</f>
        <v>#VALUE!</v>
      </c>
      <c r="HN358" t="e">
        <f>'North America'!B925+"n/&gt;!2[h"</f>
        <v>#VALUE!</v>
      </c>
      <c r="HO358" t="e">
        <f>'North America'!C925+"n/&gt;!2[i"</f>
        <v>#VALUE!</v>
      </c>
      <c r="HP358" t="e">
        <f>'North America'!D925+"n/&gt;!2[j"</f>
        <v>#VALUE!</v>
      </c>
      <c r="HQ358" t="e">
        <f>'North America'!E925+"n/&gt;!2[k"</f>
        <v>#VALUE!</v>
      </c>
      <c r="HR358" t="e">
        <f>'North America'!F925+"n/&gt;!2[l"</f>
        <v>#VALUE!</v>
      </c>
      <c r="HS358" t="e">
        <f>'North America'!G925+"n/&gt;!2[m"</f>
        <v>#VALUE!</v>
      </c>
      <c r="HT358" t="e">
        <f>'North America'!H925+"n/&gt;!2[n"</f>
        <v>#VALUE!</v>
      </c>
      <c r="HU358" t="e">
        <f>'North America'!I925+"n/&gt;!2[o"</f>
        <v>#VALUE!</v>
      </c>
      <c r="HV358" t="e">
        <f>'North America'!A926+"n/&gt;!2[p"</f>
        <v>#VALUE!</v>
      </c>
      <c r="HW358" t="e">
        <f>'North America'!B926+"n/&gt;!2[q"</f>
        <v>#VALUE!</v>
      </c>
      <c r="HX358" t="e">
        <f>'North America'!C926+"n/&gt;!2[r"</f>
        <v>#VALUE!</v>
      </c>
      <c r="HY358" t="e">
        <f>'North America'!D926+"n/&gt;!2[s"</f>
        <v>#VALUE!</v>
      </c>
      <c r="HZ358" t="e">
        <f>'North America'!E926+"n/&gt;!2[t"</f>
        <v>#VALUE!</v>
      </c>
      <c r="IA358" t="e">
        <f>'North America'!F926+"n/&gt;!2[u"</f>
        <v>#VALUE!</v>
      </c>
      <c r="IB358" t="e">
        <f>'North America'!G926+"n/&gt;!2[v"</f>
        <v>#VALUE!</v>
      </c>
      <c r="IC358" t="e">
        <f>'North America'!H926+"n/&gt;!2[w"</f>
        <v>#VALUE!</v>
      </c>
      <c r="ID358" t="e">
        <f>'North America'!I926+"n/&gt;!2[x"</f>
        <v>#VALUE!</v>
      </c>
      <c r="IE358" t="e">
        <f>'North America'!A927+"n/&gt;!2[y"</f>
        <v>#VALUE!</v>
      </c>
      <c r="IF358" t="e">
        <f>'North America'!B927+"n/&gt;!2[z"</f>
        <v>#VALUE!</v>
      </c>
      <c r="IG358" t="e">
        <f>'North America'!C927+"n/&gt;!2[{"</f>
        <v>#VALUE!</v>
      </c>
      <c r="IH358" t="e">
        <f>'North America'!D927+"n/&gt;!2[|"</f>
        <v>#VALUE!</v>
      </c>
      <c r="II358" t="e">
        <f>'North America'!E927+"n/&gt;!2[}"</f>
        <v>#VALUE!</v>
      </c>
      <c r="IJ358" t="e">
        <f>'North America'!F927+"n/&gt;!2[~"</f>
        <v>#VALUE!</v>
      </c>
      <c r="IK358" t="e">
        <f>'North America'!G927+"n/&gt;!2\#"</f>
        <v>#VALUE!</v>
      </c>
      <c r="IL358" t="e">
        <f>'North America'!H927+"n/&gt;!2\$"</f>
        <v>#VALUE!</v>
      </c>
      <c r="IM358" t="e">
        <f>'North America'!I927+"n/&gt;!2\%"</f>
        <v>#VALUE!</v>
      </c>
      <c r="IN358" t="e">
        <f>'North America'!A928+"n/&gt;!2\&amp;"</f>
        <v>#VALUE!</v>
      </c>
      <c r="IO358" t="e">
        <f>'North America'!B928+"n/&gt;!2\'"</f>
        <v>#VALUE!</v>
      </c>
      <c r="IP358" t="e">
        <f>'North America'!C928+"n/&gt;!2\("</f>
        <v>#VALUE!</v>
      </c>
      <c r="IQ358" t="e">
        <f>'North America'!D928+"n/&gt;!2\)"</f>
        <v>#VALUE!</v>
      </c>
      <c r="IR358" t="e">
        <f>'North America'!E928+"n/&gt;!2\."</f>
        <v>#VALUE!</v>
      </c>
      <c r="IS358" t="e">
        <f>'North America'!F928+"n/&gt;!2\/"</f>
        <v>#VALUE!</v>
      </c>
      <c r="IT358" t="e">
        <f>'North America'!G928+"n/&gt;!2\0"</f>
        <v>#VALUE!</v>
      </c>
      <c r="IU358" t="e">
        <f>'North America'!H928+"n/&gt;!2\1"</f>
        <v>#VALUE!</v>
      </c>
      <c r="IV358" t="e">
        <f>'North America'!I928+"n/&gt;!2\2"</f>
        <v>#VALUE!</v>
      </c>
    </row>
    <row r="359" spans="6:256" x14ac:dyDescent="0.35">
      <c r="F359" t="e">
        <f>'North America'!A929+"n/&gt;!2\3"</f>
        <v>#VALUE!</v>
      </c>
      <c r="G359" t="e">
        <f>'North America'!B929+"n/&gt;!2\4"</f>
        <v>#VALUE!</v>
      </c>
      <c r="H359" t="e">
        <f>'North America'!C929+"n/&gt;!2\5"</f>
        <v>#VALUE!</v>
      </c>
      <c r="I359" t="e">
        <f>'North America'!D929+"n/&gt;!2\6"</f>
        <v>#VALUE!</v>
      </c>
      <c r="J359" t="e">
        <f>'North America'!E929+"n/&gt;!2\7"</f>
        <v>#VALUE!</v>
      </c>
      <c r="K359" t="e">
        <f>'North America'!F929+"n/&gt;!2\8"</f>
        <v>#VALUE!</v>
      </c>
      <c r="L359" t="e">
        <f>'North America'!G929+"n/&gt;!2\9"</f>
        <v>#VALUE!</v>
      </c>
      <c r="M359" t="e">
        <f>'North America'!H929+"n/&gt;!2\:"</f>
        <v>#VALUE!</v>
      </c>
      <c r="N359" t="e">
        <f>'North America'!I929+"n/&gt;!2\;"</f>
        <v>#VALUE!</v>
      </c>
      <c r="O359" t="e">
        <f>'North America'!A930+"n/&gt;!2\&lt;"</f>
        <v>#VALUE!</v>
      </c>
      <c r="P359" t="e">
        <f>'North America'!B930+"n/&gt;!2\="</f>
        <v>#VALUE!</v>
      </c>
      <c r="Q359" t="e">
        <f>'North America'!C930+"n/&gt;!2\&gt;"</f>
        <v>#VALUE!</v>
      </c>
      <c r="R359" t="e">
        <f>'North America'!D930+"n/&gt;!2\?"</f>
        <v>#VALUE!</v>
      </c>
      <c r="S359" t="e">
        <f>'North America'!E930+"n/&gt;!2\@"</f>
        <v>#VALUE!</v>
      </c>
      <c r="T359" t="e">
        <f>'North America'!F930+"n/&gt;!2\A"</f>
        <v>#VALUE!</v>
      </c>
      <c r="U359" t="e">
        <f>'North America'!G930+"n/&gt;!2\B"</f>
        <v>#VALUE!</v>
      </c>
      <c r="V359" t="e">
        <f>'North America'!H930+"n/&gt;!2\C"</f>
        <v>#VALUE!</v>
      </c>
      <c r="W359" t="e">
        <f>'North America'!I930+"n/&gt;!2\D"</f>
        <v>#VALUE!</v>
      </c>
      <c r="X359" t="e">
        <f>'North America'!A931+"n/&gt;!2\E"</f>
        <v>#VALUE!</v>
      </c>
      <c r="Y359" t="e">
        <f>'North America'!B931+"n/&gt;!2\F"</f>
        <v>#VALUE!</v>
      </c>
      <c r="Z359" t="e">
        <f>'North America'!C931+"n/&gt;!2\G"</f>
        <v>#VALUE!</v>
      </c>
      <c r="AA359" t="e">
        <f>'North America'!D931+"n/&gt;!2\H"</f>
        <v>#VALUE!</v>
      </c>
      <c r="AB359" t="e">
        <f>'North America'!E931+"n/&gt;!2\I"</f>
        <v>#VALUE!</v>
      </c>
      <c r="AC359" t="e">
        <f>'North America'!F931+"n/&gt;!2\J"</f>
        <v>#VALUE!</v>
      </c>
      <c r="AD359" t="e">
        <f>'North America'!G931+"n/&gt;!2\K"</f>
        <v>#VALUE!</v>
      </c>
      <c r="AE359" t="e">
        <f>'North America'!H931+"n/&gt;!2\L"</f>
        <v>#VALUE!</v>
      </c>
      <c r="AF359" t="e">
        <f>'North America'!I931+"n/&gt;!2\M"</f>
        <v>#VALUE!</v>
      </c>
      <c r="AG359" t="e">
        <f>'North America'!A932+"n/&gt;!2\N"</f>
        <v>#VALUE!</v>
      </c>
      <c r="AH359" t="e">
        <f>'North America'!B932+"n/&gt;!2\O"</f>
        <v>#VALUE!</v>
      </c>
      <c r="AI359" t="e">
        <f>'North America'!C932+"n/&gt;!2\P"</f>
        <v>#VALUE!</v>
      </c>
      <c r="AJ359" t="e">
        <f>'North America'!D932+"n/&gt;!2\Q"</f>
        <v>#VALUE!</v>
      </c>
      <c r="AK359" t="e">
        <f>'North America'!E932+"n/&gt;!2\R"</f>
        <v>#VALUE!</v>
      </c>
      <c r="AL359" t="e">
        <f>'North America'!F932+"n/&gt;!2\S"</f>
        <v>#VALUE!</v>
      </c>
      <c r="AM359" t="e">
        <f>'North America'!G932+"n/&gt;!2\T"</f>
        <v>#VALUE!</v>
      </c>
      <c r="AN359" t="e">
        <f>'North America'!H932+"n/&gt;!2\U"</f>
        <v>#VALUE!</v>
      </c>
      <c r="AO359" t="e">
        <f>'North America'!I932+"n/&gt;!2\V"</f>
        <v>#VALUE!</v>
      </c>
      <c r="AP359" t="e">
        <f>'North America'!A933+"n/&gt;!2\W"</f>
        <v>#VALUE!</v>
      </c>
      <c r="AQ359" t="e">
        <f>'North America'!B933+"n/&gt;!2\X"</f>
        <v>#VALUE!</v>
      </c>
      <c r="AR359" t="e">
        <f>'North America'!C933+"n/&gt;!2\Y"</f>
        <v>#VALUE!</v>
      </c>
      <c r="AS359" t="e">
        <f>'North America'!D933+"n/&gt;!2\Z"</f>
        <v>#VALUE!</v>
      </c>
      <c r="AT359" t="e">
        <f>'North America'!E933+"n/&gt;!2\["</f>
        <v>#VALUE!</v>
      </c>
      <c r="AU359" t="e">
        <f>'North America'!F933+"n/&gt;!2\\"</f>
        <v>#VALUE!</v>
      </c>
      <c r="AV359" t="e">
        <f>'North America'!G933+"n/&gt;!2\]"</f>
        <v>#VALUE!</v>
      </c>
      <c r="AW359" t="e">
        <f>'North America'!H933+"n/&gt;!2\^"</f>
        <v>#VALUE!</v>
      </c>
      <c r="AX359" t="e">
        <f>'North America'!I933+"n/&gt;!2\_"</f>
        <v>#VALUE!</v>
      </c>
      <c r="AY359" t="e">
        <f>'North America'!A934+"n/&gt;!2\`"</f>
        <v>#VALUE!</v>
      </c>
      <c r="AZ359" t="e">
        <f>'North America'!B934+"n/&gt;!2\a"</f>
        <v>#VALUE!</v>
      </c>
      <c r="BA359" t="e">
        <f>'North America'!C934+"n/&gt;!2\b"</f>
        <v>#VALUE!</v>
      </c>
      <c r="BB359" t="e">
        <f>'North America'!D934+"n/&gt;!2\c"</f>
        <v>#VALUE!</v>
      </c>
      <c r="BC359" t="e">
        <f>'North America'!E934+"n/&gt;!2\d"</f>
        <v>#VALUE!</v>
      </c>
      <c r="BD359" t="e">
        <f>'North America'!F934+"n/&gt;!2\e"</f>
        <v>#VALUE!</v>
      </c>
      <c r="BE359" t="e">
        <f>'North America'!G934+"n/&gt;!2\f"</f>
        <v>#VALUE!</v>
      </c>
      <c r="BF359" t="e">
        <f>'North America'!H934+"n/&gt;!2\g"</f>
        <v>#VALUE!</v>
      </c>
      <c r="BG359" t="e">
        <f>'North America'!I934+"n/&gt;!2\h"</f>
        <v>#VALUE!</v>
      </c>
      <c r="BH359" t="e">
        <f>'North America'!A935+"n/&gt;!2\i"</f>
        <v>#VALUE!</v>
      </c>
      <c r="BI359" t="e">
        <f>'North America'!B935+"n/&gt;!2\j"</f>
        <v>#VALUE!</v>
      </c>
      <c r="BJ359" t="e">
        <f>'North America'!C935+"n/&gt;!2\k"</f>
        <v>#VALUE!</v>
      </c>
      <c r="BK359" t="e">
        <f>'North America'!D935+"n/&gt;!2\l"</f>
        <v>#VALUE!</v>
      </c>
      <c r="BL359" t="e">
        <f>'North America'!E935+"n/&gt;!2\m"</f>
        <v>#VALUE!</v>
      </c>
      <c r="BM359" t="e">
        <f>'North America'!F935+"n/&gt;!2\n"</f>
        <v>#VALUE!</v>
      </c>
      <c r="BN359" t="e">
        <f>'North America'!G935+"n/&gt;!2\o"</f>
        <v>#VALUE!</v>
      </c>
      <c r="BO359" t="e">
        <f>'North America'!H935+"n/&gt;!2\p"</f>
        <v>#VALUE!</v>
      </c>
      <c r="BP359" t="e">
        <f>'North America'!I935+"n/&gt;!2\q"</f>
        <v>#VALUE!</v>
      </c>
      <c r="BQ359" t="e">
        <f>'North America'!A936+"n/&gt;!2\r"</f>
        <v>#VALUE!</v>
      </c>
      <c r="BR359" t="e">
        <f>'North America'!B936+"n/&gt;!2\s"</f>
        <v>#VALUE!</v>
      </c>
      <c r="BS359" t="e">
        <f>'North America'!C936+"n/&gt;!2\t"</f>
        <v>#VALUE!</v>
      </c>
      <c r="BT359" t="e">
        <f>'North America'!D936+"n/&gt;!2\u"</f>
        <v>#VALUE!</v>
      </c>
      <c r="BU359" t="e">
        <f>'North America'!E936+"n/&gt;!2\v"</f>
        <v>#VALUE!</v>
      </c>
      <c r="BV359" t="e">
        <f>'North America'!F936+"n/&gt;!2\w"</f>
        <v>#VALUE!</v>
      </c>
      <c r="BW359" t="e">
        <f>'North America'!G936+"n/&gt;!2\x"</f>
        <v>#VALUE!</v>
      </c>
      <c r="BX359" t="e">
        <f>'North America'!H936+"n/&gt;!2\y"</f>
        <v>#VALUE!</v>
      </c>
      <c r="BY359" t="e">
        <f>'North America'!I936+"n/&gt;!2\z"</f>
        <v>#VALUE!</v>
      </c>
      <c r="BZ359" t="e">
        <f>'North America'!A937+"n/&gt;!2\{"</f>
        <v>#VALUE!</v>
      </c>
      <c r="CA359" t="e">
        <f>'North America'!B937+"n/&gt;!2\|"</f>
        <v>#VALUE!</v>
      </c>
      <c r="CB359" t="e">
        <f>'North America'!C937+"n/&gt;!2\}"</f>
        <v>#VALUE!</v>
      </c>
      <c r="CC359" t="e">
        <f>'North America'!D937+"n/&gt;!2\~"</f>
        <v>#VALUE!</v>
      </c>
      <c r="CD359" t="e">
        <f>'North America'!E937+"n/&gt;!2]#"</f>
        <v>#VALUE!</v>
      </c>
      <c r="CE359" t="e">
        <f>'North America'!F937+"n/&gt;!2]$"</f>
        <v>#VALUE!</v>
      </c>
      <c r="CF359" t="e">
        <f>'North America'!G937+"n/&gt;!2]%"</f>
        <v>#VALUE!</v>
      </c>
      <c r="CG359" t="e">
        <f>'North America'!H937+"n/&gt;!2]&amp;"</f>
        <v>#VALUE!</v>
      </c>
      <c r="CH359" t="e">
        <f>'North America'!I937+"n/&gt;!2]'"</f>
        <v>#VALUE!</v>
      </c>
      <c r="CI359" t="e">
        <f>'North America'!A938+"n/&gt;!2]("</f>
        <v>#VALUE!</v>
      </c>
      <c r="CJ359" t="e">
        <f>'North America'!B938+"n/&gt;!2])"</f>
        <v>#VALUE!</v>
      </c>
      <c r="CK359" t="e">
        <f>'North America'!C938+"n/&gt;!2]."</f>
        <v>#VALUE!</v>
      </c>
      <c r="CL359" t="e">
        <f>'North America'!D938+"n/&gt;!2]/"</f>
        <v>#VALUE!</v>
      </c>
      <c r="CM359" t="e">
        <f>'North America'!E938+"n/&gt;!2]0"</f>
        <v>#VALUE!</v>
      </c>
      <c r="CN359" t="e">
        <f>'North America'!F938+"n/&gt;!2]1"</f>
        <v>#VALUE!</v>
      </c>
      <c r="CO359" t="e">
        <f>'North America'!G938+"n/&gt;!2]2"</f>
        <v>#VALUE!</v>
      </c>
      <c r="CP359" t="e">
        <f>'North America'!H938+"n/&gt;!2]3"</f>
        <v>#VALUE!</v>
      </c>
      <c r="CQ359" t="e">
        <f>'North America'!I938+"n/&gt;!2]4"</f>
        <v>#VALUE!</v>
      </c>
      <c r="CR359" t="e">
        <f>'North America'!A939+"n/&gt;!2]5"</f>
        <v>#VALUE!</v>
      </c>
      <c r="CS359" t="e">
        <f>'North America'!B939+"n/&gt;!2]6"</f>
        <v>#VALUE!</v>
      </c>
      <c r="CT359" t="e">
        <f>'North America'!C939+"n/&gt;!2]7"</f>
        <v>#VALUE!</v>
      </c>
      <c r="CU359" t="e">
        <f>'North America'!D939+"n/&gt;!2]8"</f>
        <v>#VALUE!</v>
      </c>
      <c r="CV359" t="e">
        <f>'North America'!E939+"n/&gt;!2]9"</f>
        <v>#VALUE!</v>
      </c>
      <c r="CW359" t="e">
        <f>'North America'!F939+"n/&gt;!2]:"</f>
        <v>#VALUE!</v>
      </c>
      <c r="CX359" t="e">
        <f>'North America'!G939+"n/&gt;!2];"</f>
        <v>#VALUE!</v>
      </c>
      <c r="CY359" t="e">
        <f>'North America'!H939+"n/&gt;!2]&lt;"</f>
        <v>#VALUE!</v>
      </c>
      <c r="CZ359" t="e">
        <f>'North America'!I939+"n/&gt;!2]="</f>
        <v>#VALUE!</v>
      </c>
      <c r="DA359" t="e">
        <f>'North America'!A940+"n/&gt;!2]&gt;"</f>
        <v>#VALUE!</v>
      </c>
      <c r="DB359" t="e">
        <f>'North America'!B940+"n/&gt;!2]?"</f>
        <v>#VALUE!</v>
      </c>
      <c r="DC359" t="e">
        <f>'North America'!C940+"n/&gt;!2]@"</f>
        <v>#VALUE!</v>
      </c>
      <c r="DD359" t="e">
        <f>'North America'!D940+"n/&gt;!2]A"</f>
        <v>#VALUE!</v>
      </c>
      <c r="DE359" t="e">
        <f>'North America'!E940+"n/&gt;!2]B"</f>
        <v>#VALUE!</v>
      </c>
      <c r="DF359" t="e">
        <f>'North America'!F940+"n/&gt;!2]C"</f>
        <v>#VALUE!</v>
      </c>
      <c r="DG359" t="e">
        <f>'North America'!G940+"n/&gt;!2]D"</f>
        <v>#VALUE!</v>
      </c>
      <c r="DH359" t="e">
        <f>'North America'!H940+"n/&gt;!2]E"</f>
        <v>#VALUE!</v>
      </c>
      <c r="DI359" t="e">
        <f>'North America'!I940+"n/&gt;!2]F"</f>
        <v>#VALUE!</v>
      </c>
      <c r="DJ359" t="e">
        <f>'North America'!A941+"n/&gt;!2]G"</f>
        <v>#VALUE!</v>
      </c>
      <c r="DK359" t="e">
        <f>'North America'!B941+"n/&gt;!2]H"</f>
        <v>#VALUE!</v>
      </c>
      <c r="DL359" t="e">
        <f>'North America'!C941+"n/&gt;!2]I"</f>
        <v>#VALUE!</v>
      </c>
      <c r="DM359" t="e">
        <f>'North America'!D941+"n/&gt;!2]J"</f>
        <v>#VALUE!</v>
      </c>
      <c r="DN359" t="e">
        <f>'North America'!E941+"n/&gt;!2]K"</f>
        <v>#VALUE!</v>
      </c>
      <c r="DO359" t="e">
        <f>'North America'!F941+"n/&gt;!2]L"</f>
        <v>#VALUE!</v>
      </c>
      <c r="DP359" t="e">
        <f>'North America'!G941+"n/&gt;!2]M"</f>
        <v>#VALUE!</v>
      </c>
      <c r="DQ359" t="e">
        <f>'North America'!H941+"n/&gt;!2]N"</f>
        <v>#VALUE!</v>
      </c>
      <c r="DR359" t="e">
        <f>'North America'!I941+"n/&gt;!2]O"</f>
        <v>#VALUE!</v>
      </c>
      <c r="DS359" t="e">
        <f>'North America'!A942+"n/&gt;!2]P"</f>
        <v>#VALUE!</v>
      </c>
      <c r="DT359" t="e">
        <f>'North America'!B942+"n/&gt;!2]Q"</f>
        <v>#VALUE!</v>
      </c>
      <c r="DU359" t="e">
        <f>'North America'!C942+"n/&gt;!2]R"</f>
        <v>#VALUE!</v>
      </c>
      <c r="DV359" t="e">
        <f>'North America'!D942+"n/&gt;!2]S"</f>
        <v>#VALUE!</v>
      </c>
      <c r="DW359" t="e">
        <f>'North America'!E942+"n/&gt;!2]T"</f>
        <v>#VALUE!</v>
      </c>
      <c r="DX359" t="e">
        <f>'North America'!F942+"n/&gt;!2]U"</f>
        <v>#VALUE!</v>
      </c>
      <c r="DY359" t="e">
        <f>'North America'!G942+"n/&gt;!2]V"</f>
        <v>#VALUE!</v>
      </c>
      <c r="DZ359" t="e">
        <f>'North America'!H942+"n/&gt;!2]W"</f>
        <v>#VALUE!</v>
      </c>
      <c r="EA359" t="e">
        <f>'North America'!I942+"n/&gt;!2]X"</f>
        <v>#VALUE!</v>
      </c>
      <c r="EB359" t="e">
        <f>'North America'!A943+"n/&gt;!2]Y"</f>
        <v>#VALUE!</v>
      </c>
      <c r="EC359" t="e">
        <f>'North America'!B943+"n/&gt;!2]Z"</f>
        <v>#VALUE!</v>
      </c>
      <c r="ED359" t="e">
        <f>'North America'!C943+"n/&gt;!2]["</f>
        <v>#VALUE!</v>
      </c>
      <c r="EE359" t="e">
        <f>'North America'!D943+"n/&gt;!2]\"</f>
        <v>#VALUE!</v>
      </c>
      <c r="EF359" t="e">
        <f>'North America'!E943+"n/&gt;!2]]"</f>
        <v>#VALUE!</v>
      </c>
      <c r="EG359" t="e">
        <f>'North America'!F943+"n/&gt;!2]^"</f>
        <v>#VALUE!</v>
      </c>
      <c r="EH359" t="e">
        <f>'North America'!G943+"n/&gt;!2]_"</f>
        <v>#VALUE!</v>
      </c>
      <c r="EI359" t="e">
        <f>'North America'!H943+"n/&gt;!2]`"</f>
        <v>#VALUE!</v>
      </c>
      <c r="EJ359" t="e">
        <f>'North America'!I943+"n/&gt;!2]a"</f>
        <v>#VALUE!</v>
      </c>
      <c r="EK359" t="e">
        <f>'North America'!A944+"n/&gt;!2]b"</f>
        <v>#VALUE!</v>
      </c>
      <c r="EL359" t="e">
        <f>'North America'!B944+"n/&gt;!2]c"</f>
        <v>#VALUE!</v>
      </c>
      <c r="EM359" t="e">
        <f>'North America'!C944+"n/&gt;!2]d"</f>
        <v>#VALUE!</v>
      </c>
      <c r="EN359" t="e">
        <f>'North America'!D944+"n/&gt;!2]e"</f>
        <v>#VALUE!</v>
      </c>
      <c r="EO359" t="e">
        <f>'North America'!E944+"n/&gt;!2]f"</f>
        <v>#VALUE!</v>
      </c>
      <c r="EP359" t="e">
        <f>'North America'!F944+"n/&gt;!2]g"</f>
        <v>#VALUE!</v>
      </c>
      <c r="EQ359" t="e">
        <f>'North America'!G944+"n/&gt;!2]h"</f>
        <v>#VALUE!</v>
      </c>
      <c r="ER359" t="e">
        <f>'North America'!H944+"n/&gt;!2]i"</f>
        <v>#VALUE!</v>
      </c>
      <c r="ES359" t="e">
        <f>'North America'!I944+"n/&gt;!2]j"</f>
        <v>#VALUE!</v>
      </c>
      <c r="ET359" t="e">
        <f>'North America'!A945+"n/&gt;!2]k"</f>
        <v>#VALUE!</v>
      </c>
      <c r="EU359" t="e">
        <f>'North America'!B945+"n/&gt;!2]l"</f>
        <v>#VALUE!</v>
      </c>
      <c r="EV359" t="e">
        <f>'North America'!C945+"n/&gt;!2]m"</f>
        <v>#VALUE!</v>
      </c>
      <c r="EW359" t="e">
        <f>'North America'!D945+"n/&gt;!2]n"</f>
        <v>#VALUE!</v>
      </c>
      <c r="EX359" t="e">
        <f>'North America'!E945+"n/&gt;!2]o"</f>
        <v>#VALUE!</v>
      </c>
      <c r="EY359" t="e">
        <f>'North America'!F945+"n/&gt;!2]p"</f>
        <v>#VALUE!</v>
      </c>
      <c r="EZ359" t="e">
        <f>'North America'!G945+"n/&gt;!2]q"</f>
        <v>#VALUE!</v>
      </c>
      <c r="FA359" t="e">
        <f>'North America'!H945+"n/&gt;!2]r"</f>
        <v>#VALUE!</v>
      </c>
      <c r="FB359" t="e">
        <f>'North America'!I945+"n/&gt;!2]s"</f>
        <v>#VALUE!</v>
      </c>
      <c r="FC359" t="e">
        <f>'North America'!A946+"n/&gt;!2]t"</f>
        <v>#VALUE!</v>
      </c>
      <c r="FD359" t="e">
        <f>'North America'!B946+"n/&gt;!2]u"</f>
        <v>#VALUE!</v>
      </c>
      <c r="FE359" t="e">
        <f>'North America'!C946+"n/&gt;!2]v"</f>
        <v>#VALUE!</v>
      </c>
      <c r="FF359" t="e">
        <f>'North America'!D946+"n/&gt;!2]w"</f>
        <v>#VALUE!</v>
      </c>
      <c r="FG359" t="e">
        <f>'North America'!E946+"n/&gt;!2]x"</f>
        <v>#VALUE!</v>
      </c>
      <c r="FH359" t="e">
        <f>'North America'!F946+"n/&gt;!2]y"</f>
        <v>#VALUE!</v>
      </c>
      <c r="FI359" t="e">
        <f>'North America'!G946+"n/&gt;!2]z"</f>
        <v>#VALUE!</v>
      </c>
      <c r="FJ359" t="e">
        <f>'North America'!H946+"n/&gt;!2]{"</f>
        <v>#VALUE!</v>
      </c>
      <c r="FK359" t="e">
        <f>'North America'!I946+"n/&gt;!2]|"</f>
        <v>#VALUE!</v>
      </c>
      <c r="FL359" t="e">
        <f>'North America'!A947+"n/&gt;!2]}"</f>
        <v>#VALUE!</v>
      </c>
      <c r="FM359" t="e">
        <f>'North America'!B947+"n/&gt;!2]~"</f>
        <v>#VALUE!</v>
      </c>
      <c r="FN359" t="e">
        <f>'North America'!C947+"n/&gt;!2^#"</f>
        <v>#VALUE!</v>
      </c>
      <c r="FO359" t="e">
        <f>'North America'!D947+"n/&gt;!2^$"</f>
        <v>#VALUE!</v>
      </c>
      <c r="FP359" t="e">
        <f>'North America'!E947+"n/&gt;!2^%"</f>
        <v>#VALUE!</v>
      </c>
      <c r="FQ359" t="e">
        <f>'North America'!F947+"n/&gt;!2^&amp;"</f>
        <v>#VALUE!</v>
      </c>
      <c r="FR359" t="e">
        <f>'North America'!G947+"n/&gt;!2^'"</f>
        <v>#VALUE!</v>
      </c>
      <c r="FS359" t="e">
        <f>'North America'!H947+"n/&gt;!2^("</f>
        <v>#VALUE!</v>
      </c>
      <c r="FT359" t="e">
        <f>'North America'!I947+"n/&gt;!2^)"</f>
        <v>#VALUE!</v>
      </c>
      <c r="FU359" t="e">
        <f>'North America'!A948+"n/&gt;!2^."</f>
        <v>#VALUE!</v>
      </c>
      <c r="FV359" t="e">
        <f>'North America'!B948+"n/&gt;!2^/"</f>
        <v>#VALUE!</v>
      </c>
      <c r="FW359" t="e">
        <f>'North America'!C948+"n/&gt;!2^0"</f>
        <v>#VALUE!</v>
      </c>
      <c r="FX359" t="e">
        <f>'North America'!D948+"n/&gt;!2^1"</f>
        <v>#VALUE!</v>
      </c>
      <c r="FY359" t="e">
        <f>'North America'!E948+"n/&gt;!2^2"</f>
        <v>#VALUE!</v>
      </c>
      <c r="FZ359" t="e">
        <f>'North America'!H948+"n/&gt;!2^3"</f>
        <v>#VALUE!</v>
      </c>
      <c r="GA359" t="e">
        <f>'North America'!I948+"n/&gt;!2^4"</f>
        <v>#VALUE!</v>
      </c>
      <c r="GB359" t="e">
        <f>'North America'!A949+"n/&gt;!2^5"</f>
        <v>#VALUE!</v>
      </c>
      <c r="GC359" t="e">
        <f>'North America'!B949+"n/&gt;!2^6"</f>
        <v>#VALUE!</v>
      </c>
      <c r="GD359" t="e">
        <f>'North America'!C949+"n/&gt;!2^7"</f>
        <v>#VALUE!</v>
      </c>
      <c r="GE359" t="e">
        <f>'North America'!D949+"n/&gt;!2^8"</f>
        <v>#VALUE!</v>
      </c>
      <c r="GF359" t="e">
        <f>'North America'!E949+"n/&gt;!2^9"</f>
        <v>#VALUE!</v>
      </c>
      <c r="GG359" t="e">
        <f>'North America'!F949+"n/&gt;!2^:"</f>
        <v>#VALUE!</v>
      </c>
      <c r="GH359" t="e">
        <f>'North America'!G949+"n/&gt;!2^;"</f>
        <v>#VALUE!</v>
      </c>
      <c r="GI359" t="e">
        <f>'North America'!H949+"n/&gt;!2^&lt;"</f>
        <v>#VALUE!</v>
      </c>
      <c r="GJ359" t="e">
        <f>'North America'!I949+"n/&gt;!2^="</f>
        <v>#VALUE!</v>
      </c>
      <c r="GK359" t="e">
        <f>'North America'!A950+"n/&gt;!2^&gt;"</f>
        <v>#VALUE!</v>
      </c>
      <c r="GL359" t="e">
        <f>'North America'!B950+"n/&gt;!2^?"</f>
        <v>#VALUE!</v>
      </c>
      <c r="GM359" t="e">
        <f>'North America'!C950+"n/&gt;!2^@"</f>
        <v>#VALUE!</v>
      </c>
      <c r="GN359" t="e">
        <f>'North America'!D950+"n/&gt;!2^A"</f>
        <v>#VALUE!</v>
      </c>
      <c r="GO359" t="e">
        <f>'North America'!E950+"n/&gt;!2^B"</f>
        <v>#VALUE!</v>
      </c>
      <c r="GP359" t="e">
        <f>'North America'!F950+"n/&gt;!2^C"</f>
        <v>#VALUE!</v>
      </c>
      <c r="GQ359" t="e">
        <f>'North America'!G950+"n/&gt;!2^D"</f>
        <v>#VALUE!</v>
      </c>
      <c r="GR359" t="e">
        <f>'North America'!H950+"n/&gt;!2^E"</f>
        <v>#VALUE!</v>
      </c>
      <c r="GS359" t="e">
        <f>'North America'!I950+"n/&gt;!2^F"</f>
        <v>#VALUE!</v>
      </c>
      <c r="GT359" t="e">
        <f>'North America'!A951+"n/&gt;!2^G"</f>
        <v>#VALUE!</v>
      </c>
      <c r="GU359" t="e">
        <f>'North America'!B951+"n/&gt;!2^H"</f>
        <v>#VALUE!</v>
      </c>
      <c r="GV359" t="e">
        <f>'North America'!C951+"n/&gt;!2^I"</f>
        <v>#VALUE!</v>
      </c>
      <c r="GW359" t="e">
        <f>'North America'!D951+"n/&gt;!2^J"</f>
        <v>#VALUE!</v>
      </c>
      <c r="GX359" t="e">
        <f>'North America'!E951+"n/&gt;!2^K"</f>
        <v>#VALUE!</v>
      </c>
      <c r="GY359" t="e">
        <f>'North America'!F951+"n/&gt;!2^L"</f>
        <v>#VALUE!</v>
      </c>
      <c r="GZ359" t="e">
        <f>'North America'!G951+"n/&gt;!2^M"</f>
        <v>#VALUE!</v>
      </c>
      <c r="HA359" t="e">
        <f>'North America'!H951+"n/&gt;!2^N"</f>
        <v>#VALUE!</v>
      </c>
      <c r="HB359" t="e">
        <f>'North America'!I951+"n/&gt;!2^O"</f>
        <v>#VALUE!</v>
      </c>
      <c r="HC359" t="e">
        <f>'North America'!A952+"n/&gt;!2^P"</f>
        <v>#VALUE!</v>
      </c>
      <c r="HD359" t="e">
        <f>'North America'!B952+"n/&gt;!2^Q"</f>
        <v>#VALUE!</v>
      </c>
      <c r="HE359" t="e">
        <f>'North America'!C952+"n/&gt;!2^R"</f>
        <v>#VALUE!</v>
      </c>
      <c r="HF359" t="e">
        <f>'North America'!D952+"n/&gt;!2^S"</f>
        <v>#VALUE!</v>
      </c>
      <c r="HG359" t="e">
        <f>'North America'!E952+"n/&gt;!2^T"</f>
        <v>#VALUE!</v>
      </c>
      <c r="HH359" t="e">
        <f>'North America'!F952+"n/&gt;!2^U"</f>
        <v>#VALUE!</v>
      </c>
      <c r="HI359" t="e">
        <f>'North America'!G952+"n/&gt;!2^V"</f>
        <v>#VALUE!</v>
      </c>
      <c r="HJ359" t="e">
        <f>'North America'!H952+"n/&gt;!2^W"</f>
        <v>#VALUE!</v>
      </c>
      <c r="HK359" t="e">
        <f>'North America'!I952+"n/&gt;!2^X"</f>
        <v>#VALUE!</v>
      </c>
      <c r="HL359" t="e">
        <f>'North America'!A953+"n/&gt;!2^Y"</f>
        <v>#VALUE!</v>
      </c>
      <c r="HM359" t="e">
        <f>'North America'!B953+"n/&gt;!2^Z"</f>
        <v>#VALUE!</v>
      </c>
      <c r="HN359" t="e">
        <f>'North America'!C953+"n/&gt;!2^["</f>
        <v>#VALUE!</v>
      </c>
      <c r="HO359" t="e">
        <f>'North America'!D953+"n/&gt;!2^\"</f>
        <v>#VALUE!</v>
      </c>
      <c r="HP359" t="e">
        <f>'North America'!E953+"n/&gt;!2^]"</f>
        <v>#VALUE!</v>
      </c>
      <c r="HQ359" t="e">
        <f>'North America'!F953+"n/&gt;!2^^"</f>
        <v>#VALUE!</v>
      </c>
      <c r="HR359" t="e">
        <f>'North America'!G953+"n/&gt;!2^_"</f>
        <v>#VALUE!</v>
      </c>
      <c r="HS359" t="e">
        <f>'North America'!H953+"n/&gt;!2^`"</f>
        <v>#VALUE!</v>
      </c>
      <c r="HT359" t="e">
        <f>'North America'!I953+"n/&gt;!2^a"</f>
        <v>#VALUE!</v>
      </c>
      <c r="HU359" t="e">
        <f>'North America'!A954+"n/&gt;!2^b"</f>
        <v>#VALUE!</v>
      </c>
      <c r="HV359" t="e">
        <f>'North America'!B954+"n/&gt;!2^c"</f>
        <v>#VALUE!</v>
      </c>
      <c r="HW359" t="e">
        <f>'North America'!C954+"n/&gt;!2^d"</f>
        <v>#VALUE!</v>
      </c>
      <c r="HX359" t="e">
        <f>'North America'!D954+"n/&gt;!2^e"</f>
        <v>#VALUE!</v>
      </c>
      <c r="HY359" t="e">
        <f>'North America'!E954+"n/&gt;!2^f"</f>
        <v>#VALUE!</v>
      </c>
      <c r="HZ359" t="e">
        <f>'North America'!F954+"n/&gt;!2^g"</f>
        <v>#VALUE!</v>
      </c>
      <c r="IA359" t="e">
        <f>'North America'!G954+"n/&gt;!2^h"</f>
        <v>#VALUE!</v>
      </c>
      <c r="IB359" t="e">
        <f>'North America'!H954+"n/&gt;!2^i"</f>
        <v>#VALUE!</v>
      </c>
      <c r="IC359" t="e">
        <f>'North America'!I954+"n/&gt;!2^j"</f>
        <v>#VALUE!</v>
      </c>
      <c r="ID359" t="e">
        <f>'North America'!A955+"n/&gt;!2^k"</f>
        <v>#VALUE!</v>
      </c>
      <c r="IE359" t="e">
        <f>'North America'!B955+"n/&gt;!2^l"</f>
        <v>#VALUE!</v>
      </c>
      <c r="IF359" t="e">
        <f>'North America'!C955+"n/&gt;!2^m"</f>
        <v>#VALUE!</v>
      </c>
      <c r="IG359" t="e">
        <f>'North America'!D955+"n/&gt;!2^n"</f>
        <v>#VALUE!</v>
      </c>
      <c r="IH359" t="e">
        <f>'North America'!E955+"n/&gt;!2^o"</f>
        <v>#VALUE!</v>
      </c>
      <c r="II359" t="e">
        <f>'North America'!F955+"n/&gt;!2^p"</f>
        <v>#VALUE!</v>
      </c>
      <c r="IJ359" t="e">
        <f>'North America'!G955+"n/&gt;!2^q"</f>
        <v>#VALUE!</v>
      </c>
      <c r="IK359" t="e">
        <f>'North America'!H955+"n/&gt;!2^r"</f>
        <v>#VALUE!</v>
      </c>
      <c r="IL359" t="e">
        <f>'North America'!I955+"n/&gt;!2^s"</f>
        <v>#VALUE!</v>
      </c>
      <c r="IM359" t="e">
        <f>'North America'!A956+"n/&gt;!2^t"</f>
        <v>#VALUE!</v>
      </c>
      <c r="IN359" t="e">
        <f>'North America'!B956+"n/&gt;!2^u"</f>
        <v>#VALUE!</v>
      </c>
      <c r="IO359" t="e">
        <f>'North America'!C956+"n/&gt;!2^v"</f>
        <v>#VALUE!</v>
      </c>
      <c r="IP359" t="e">
        <f>'North America'!D956+"n/&gt;!2^w"</f>
        <v>#VALUE!</v>
      </c>
      <c r="IQ359" t="e">
        <f>'North America'!E956+"n/&gt;!2^x"</f>
        <v>#VALUE!</v>
      </c>
      <c r="IR359" t="e">
        <f>'North America'!F956+"n/&gt;!2^y"</f>
        <v>#VALUE!</v>
      </c>
      <c r="IS359" t="e">
        <f>'North America'!G956+"n/&gt;!2^z"</f>
        <v>#VALUE!</v>
      </c>
      <c r="IT359" t="e">
        <f>'North America'!H956+"n/&gt;!2^{"</f>
        <v>#VALUE!</v>
      </c>
      <c r="IU359" t="e">
        <f>'North America'!I956+"n/&gt;!2^|"</f>
        <v>#VALUE!</v>
      </c>
      <c r="IV359" t="e">
        <f>'North America'!A957+"n/&gt;!2^}"</f>
        <v>#VALUE!</v>
      </c>
    </row>
    <row r="360" spans="6:256" x14ac:dyDescent="0.35">
      <c r="F360" t="e">
        <f>'North America'!B957+"n/&gt;!2^~"</f>
        <v>#VALUE!</v>
      </c>
      <c r="G360" t="e">
        <f>'North America'!C957+"n/&gt;!2_#"</f>
        <v>#VALUE!</v>
      </c>
      <c r="H360" t="e">
        <f>'North America'!D957+"n/&gt;!2_$"</f>
        <v>#VALUE!</v>
      </c>
      <c r="I360" t="e">
        <f>'North America'!E957+"n/&gt;!2_%"</f>
        <v>#VALUE!</v>
      </c>
      <c r="J360" t="e">
        <f>'North America'!F957+"n/&gt;!2_&amp;"</f>
        <v>#VALUE!</v>
      </c>
      <c r="K360" t="e">
        <f>'North America'!G957+"n/&gt;!2_'"</f>
        <v>#VALUE!</v>
      </c>
      <c r="L360" t="e">
        <f>'North America'!H957+"n/&gt;!2_("</f>
        <v>#VALUE!</v>
      </c>
      <c r="M360" t="e">
        <f>'North America'!I957+"n/&gt;!2_)"</f>
        <v>#VALUE!</v>
      </c>
      <c r="N360" t="e">
        <f>'North America'!A958+"n/&gt;!2_."</f>
        <v>#VALUE!</v>
      </c>
      <c r="O360" t="e">
        <f>'North America'!B958+"n/&gt;!2_/"</f>
        <v>#VALUE!</v>
      </c>
      <c r="P360" t="e">
        <f>'North America'!C958+"n/&gt;!2_0"</f>
        <v>#VALUE!</v>
      </c>
      <c r="Q360" t="e">
        <f>'North America'!D958+"n/&gt;!2_1"</f>
        <v>#VALUE!</v>
      </c>
      <c r="R360" t="e">
        <f>'North America'!E958+"n/&gt;!2_2"</f>
        <v>#VALUE!</v>
      </c>
      <c r="S360" t="e">
        <f>'North America'!F958+"n/&gt;!2_3"</f>
        <v>#VALUE!</v>
      </c>
      <c r="T360" t="e">
        <f>'North America'!G958+"n/&gt;!2_4"</f>
        <v>#VALUE!</v>
      </c>
      <c r="U360" t="e">
        <f>'North America'!H958+"n/&gt;!2_5"</f>
        <v>#VALUE!</v>
      </c>
      <c r="V360" t="e">
        <f>'North America'!I958+"n/&gt;!2_6"</f>
        <v>#VALUE!</v>
      </c>
      <c r="W360" t="e">
        <f>'North America'!A959+"n/&gt;!2_7"</f>
        <v>#VALUE!</v>
      </c>
      <c r="X360" t="e">
        <f>'North America'!B959+"n/&gt;!2_8"</f>
        <v>#VALUE!</v>
      </c>
      <c r="Y360" t="e">
        <f>'North America'!C959+"n/&gt;!2_9"</f>
        <v>#VALUE!</v>
      </c>
      <c r="Z360" t="e">
        <f>'North America'!D959+"n/&gt;!2_:"</f>
        <v>#VALUE!</v>
      </c>
      <c r="AA360" t="e">
        <f>'North America'!E959+"n/&gt;!2_;"</f>
        <v>#VALUE!</v>
      </c>
      <c r="AB360" t="e">
        <f>'North America'!F959+"n/&gt;!2_&lt;"</f>
        <v>#VALUE!</v>
      </c>
      <c r="AC360" t="e">
        <f>'North America'!G959+"n/&gt;!2_="</f>
        <v>#VALUE!</v>
      </c>
      <c r="AD360" t="e">
        <f>'North America'!H959+"n/&gt;!2_&gt;"</f>
        <v>#VALUE!</v>
      </c>
      <c r="AE360" t="e">
        <f>'North America'!I959+"n/&gt;!2_?"</f>
        <v>#VALUE!</v>
      </c>
      <c r="AF360" t="e">
        <f>'North America'!A960+"n/&gt;!2_@"</f>
        <v>#VALUE!</v>
      </c>
      <c r="AG360" t="e">
        <f>'North America'!B960+"n/&gt;!2_A"</f>
        <v>#VALUE!</v>
      </c>
      <c r="AH360" t="e">
        <f>'North America'!C960+"n/&gt;!2_B"</f>
        <v>#VALUE!</v>
      </c>
      <c r="AI360" t="e">
        <f>'North America'!D960+"n/&gt;!2_C"</f>
        <v>#VALUE!</v>
      </c>
      <c r="AJ360" t="e">
        <f>'North America'!E960+"n/&gt;!2_D"</f>
        <v>#VALUE!</v>
      </c>
      <c r="AK360" t="e">
        <f>'North America'!F960+"n/&gt;!2_E"</f>
        <v>#VALUE!</v>
      </c>
      <c r="AL360" t="e">
        <f>'North America'!G960+"n/&gt;!2_F"</f>
        <v>#VALUE!</v>
      </c>
      <c r="AM360" t="e">
        <f>'North America'!H960+"n/&gt;!2_G"</f>
        <v>#VALUE!</v>
      </c>
      <c r="AN360" t="e">
        <f>'North America'!I960+"n/&gt;!2_H"</f>
        <v>#VALUE!</v>
      </c>
      <c r="AO360" t="e">
        <f>'North America'!A961+"n/&gt;!2_I"</f>
        <v>#VALUE!</v>
      </c>
      <c r="AP360" t="e">
        <f>'North America'!B961+"n/&gt;!2_J"</f>
        <v>#VALUE!</v>
      </c>
      <c r="AQ360" t="e">
        <f>'North America'!C961+"n/&gt;!2_K"</f>
        <v>#VALUE!</v>
      </c>
      <c r="AR360" t="e">
        <f>'North America'!D961+"n/&gt;!2_L"</f>
        <v>#VALUE!</v>
      </c>
      <c r="AS360" t="e">
        <f>'North America'!E961+"n/&gt;!2_M"</f>
        <v>#VALUE!</v>
      </c>
      <c r="AT360" t="e">
        <f>'North America'!F961+"n/&gt;!2_N"</f>
        <v>#VALUE!</v>
      </c>
      <c r="AU360" t="e">
        <f>'North America'!G961+"n/&gt;!2_O"</f>
        <v>#VALUE!</v>
      </c>
      <c r="AV360" t="e">
        <f>'North America'!H961+"n/&gt;!2_P"</f>
        <v>#VALUE!</v>
      </c>
      <c r="AW360" t="e">
        <f>'North America'!I961+"n/&gt;!2_Q"</f>
        <v>#VALUE!</v>
      </c>
      <c r="AX360" t="e">
        <f>'North America'!A962+"n/&gt;!2_R"</f>
        <v>#VALUE!</v>
      </c>
      <c r="AY360" t="e">
        <f>'North America'!B962+"n/&gt;!2_S"</f>
        <v>#VALUE!</v>
      </c>
      <c r="AZ360" t="e">
        <f>'North America'!C962+"n/&gt;!2_T"</f>
        <v>#VALUE!</v>
      </c>
      <c r="BA360" t="e">
        <f>'North America'!D962+"n/&gt;!2_U"</f>
        <v>#VALUE!</v>
      </c>
      <c r="BB360" t="e">
        <f>'North America'!E962+"n/&gt;!2_V"</f>
        <v>#VALUE!</v>
      </c>
      <c r="BC360" t="e">
        <f>'North America'!F962+"n/&gt;!2_W"</f>
        <v>#VALUE!</v>
      </c>
      <c r="BD360" t="e">
        <f>'North America'!G962+"n/&gt;!2_X"</f>
        <v>#VALUE!</v>
      </c>
      <c r="BE360" t="e">
        <f>'North America'!H962+"n/&gt;!2_Y"</f>
        <v>#VALUE!</v>
      </c>
      <c r="BF360" t="e">
        <f>'North America'!I962+"n/&gt;!2_Z"</f>
        <v>#VALUE!</v>
      </c>
      <c r="BG360" t="e">
        <f>'North America'!A963+"n/&gt;!2_["</f>
        <v>#VALUE!</v>
      </c>
      <c r="BH360" t="e">
        <f>'North America'!B963+"n/&gt;!2_\"</f>
        <v>#VALUE!</v>
      </c>
      <c r="BI360" t="e">
        <f>'North America'!C963+"n/&gt;!2_]"</f>
        <v>#VALUE!</v>
      </c>
      <c r="BJ360" t="e">
        <f>'North America'!D963+"n/&gt;!2_^"</f>
        <v>#VALUE!</v>
      </c>
      <c r="BK360" t="e">
        <f>'North America'!E963+"n/&gt;!2__"</f>
        <v>#VALUE!</v>
      </c>
      <c r="BL360" t="e">
        <f>'North America'!F963+"n/&gt;!2_`"</f>
        <v>#VALUE!</v>
      </c>
      <c r="BM360" t="e">
        <f>'North America'!G963+"n/&gt;!2_a"</f>
        <v>#VALUE!</v>
      </c>
      <c r="BN360" t="e">
        <f>'North America'!H963+"n/&gt;!2_b"</f>
        <v>#VALUE!</v>
      </c>
      <c r="BO360" t="e">
        <f>'North America'!I963+"n/&gt;!2_c"</f>
        <v>#VALUE!</v>
      </c>
      <c r="BP360" t="e">
        <f>'North America'!A964+"n/&gt;!2_d"</f>
        <v>#VALUE!</v>
      </c>
      <c r="BQ360" t="e">
        <f>'North America'!B964+"n/&gt;!2_e"</f>
        <v>#VALUE!</v>
      </c>
      <c r="BR360" t="e">
        <f>'North America'!C964+"n/&gt;!2_f"</f>
        <v>#VALUE!</v>
      </c>
      <c r="BS360" t="e">
        <f>'North America'!D964+"n/&gt;!2_g"</f>
        <v>#VALUE!</v>
      </c>
      <c r="BT360" t="e">
        <f>'North America'!E964+"n/&gt;!2_h"</f>
        <v>#VALUE!</v>
      </c>
      <c r="BU360" t="e">
        <f>'North America'!F964+"n/&gt;!2_i"</f>
        <v>#VALUE!</v>
      </c>
      <c r="BV360" t="e">
        <f>'North America'!G964+"n/&gt;!2_j"</f>
        <v>#VALUE!</v>
      </c>
      <c r="BW360" t="e">
        <f>'North America'!H964+"n/&gt;!2_k"</f>
        <v>#VALUE!</v>
      </c>
      <c r="BX360" t="e">
        <f>'North America'!I964+"n/&gt;!2_l"</f>
        <v>#VALUE!</v>
      </c>
      <c r="BY360" t="e">
        <f>'North America'!A965+"n/&gt;!2_m"</f>
        <v>#VALUE!</v>
      </c>
      <c r="BZ360" t="e">
        <f>'North America'!B965+"n/&gt;!2_n"</f>
        <v>#VALUE!</v>
      </c>
      <c r="CA360" t="e">
        <f>'North America'!C965+"n/&gt;!2_o"</f>
        <v>#VALUE!</v>
      </c>
      <c r="CB360" t="e">
        <f>'North America'!D965+"n/&gt;!2_p"</f>
        <v>#VALUE!</v>
      </c>
      <c r="CC360" t="e">
        <f>'North America'!E965+"n/&gt;!2_q"</f>
        <v>#VALUE!</v>
      </c>
      <c r="CD360" t="e">
        <f>'North America'!F965+"n/&gt;!2_r"</f>
        <v>#VALUE!</v>
      </c>
      <c r="CE360" t="e">
        <f>'North America'!G965+"n/&gt;!2_s"</f>
        <v>#VALUE!</v>
      </c>
      <c r="CF360" t="e">
        <f>'North America'!H965+"n/&gt;!2_t"</f>
        <v>#VALUE!</v>
      </c>
      <c r="CG360" t="e">
        <f>'North America'!I965+"n/&gt;!2_u"</f>
        <v>#VALUE!</v>
      </c>
      <c r="CH360" t="e">
        <f>'North America'!A966+"n/&gt;!2_v"</f>
        <v>#VALUE!</v>
      </c>
      <c r="CI360" t="e">
        <f>'North America'!B966+"n/&gt;!2_w"</f>
        <v>#VALUE!</v>
      </c>
      <c r="CJ360" t="e">
        <f>'North America'!C966+"n/&gt;!2_x"</f>
        <v>#VALUE!</v>
      </c>
      <c r="CK360" t="e">
        <f>'North America'!D966+"n/&gt;!2_y"</f>
        <v>#VALUE!</v>
      </c>
      <c r="CL360" t="e">
        <f>'North America'!E966+"n/&gt;!2_z"</f>
        <v>#VALUE!</v>
      </c>
      <c r="CM360" t="e">
        <f>'North America'!F966+"n/&gt;!2_{"</f>
        <v>#VALUE!</v>
      </c>
      <c r="CN360" t="e">
        <f>'North America'!G966+"n/&gt;!2_|"</f>
        <v>#VALUE!</v>
      </c>
      <c r="CO360" t="e">
        <f>'North America'!H966+"n/&gt;!2_}"</f>
        <v>#VALUE!</v>
      </c>
      <c r="CP360" t="e">
        <f>'North America'!I966+"n/&gt;!2_~"</f>
        <v>#VALUE!</v>
      </c>
      <c r="CQ360" t="e">
        <f>'North America'!A967+"n/&gt;!2`#"</f>
        <v>#VALUE!</v>
      </c>
      <c r="CR360" t="e">
        <f>'North America'!B967+"n/&gt;!2`$"</f>
        <v>#VALUE!</v>
      </c>
      <c r="CS360" t="e">
        <f>'North America'!C967+"n/&gt;!2`%"</f>
        <v>#VALUE!</v>
      </c>
      <c r="CT360" t="e">
        <f>'North America'!D967+"n/&gt;!2`&amp;"</f>
        <v>#VALUE!</v>
      </c>
      <c r="CU360" t="e">
        <f>'North America'!E967+"n/&gt;!2`'"</f>
        <v>#VALUE!</v>
      </c>
      <c r="CV360" t="e">
        <f>'North America'!F967+"n/&gt;!2`("</f>
        <v>#VALUE!</v>
      </c>
      <c r="CW360" t="e">
        <f>'North America'!G967+"n/&gt;!2`)"</f>
        <v>#VALUE!</v>
      </c>
      <c r="CX360" t="e">
        <f>'North America'!H967+"n/&gt;!2`."</f>
        <v>#VALUE!</v>
      </c>
      <c r="CY360" t="e">
        <f>'North America'!I967+"n/&gt;!2`/"</f>
        <v>#VALUE!</v>
      </c>
      <c r="CZ360" t="e">
        <f>'North America'!A968+"n/&gt;!2`0"</f>
        <v>#VALUE!</v>
      </c>
      <c r="DA360" t="e">
        <f>'North America'!B968+"n/&gt;!2`1"</f>
        <v>#VALUE!</v>
      </c>
      <c r="DB360" t="e">
        <f>'North America'!C968+"n/&gt;!2`2"</f>
        <v>#VALUE!</v>
      </c>
      <c r="DC360" t="e">
        <f>'North America'!D968+"n/&gt;!2`3"</f>
        <v>#VALUE!</v>
      </c>
      <c r="DD360" t="e">
        <f>'North America'!E968+"n/&gt;!2`4"</f>
        <v>#VALUE!</v>
      </c>
      <c r="DE360" t="e">
        <f>'North America'!F968+"n/&gt;!2`5"</f>
        <v>#VALUE!</v>
      </c>
      <c r="DF360" t="e">
        <f>'North America'!G968+"n/&gt;!2`6"</f>
        <v>#VALUE!</v>
      </c>
      <c r="DG360" t="e">
        <f>'North America'!H968+"n/&gt;!2`7"</f>
        <v>#VALUE!</v>
      </c>
      <c r="DH360" t="e">
        <f>'North America'!I968+"n/&gt;!2`8"</f>
        <v>#VALUE!</v>
      </c>
      <c r="DI360" t="e">
        <f>'North America'!A969+"n/&gt;!2`9"</f>
        <v>#VALUE!</v>
      </c>
      <c r="DJ360" t="e">
        <f>'North America'!B969+"n/&gt;!2`:"</f>
        <v>#VALUE!</v>
      </c>
      <c r="DK360" t="e">
        <f>'North America'!C969+"n/&gt;!2`;"</f>
        <v>#VALUE!</v>
      </c>
      <c r="DL360" t="e">
        <f>'North America'!D969+"n/&gt;!2`&lt;"</f>
        <v>#VALUE!</v>
      </c>
      <c r="DM360" t="e">
        <f>'North America'!E969+"n/&gt;!2`="</f>
        <v>#VALUE!</v>
      </c>
      <c r="DN360" t="e">
        <f>'North America'!F969+"n/&gt;!2`&gt;"</f>
        <v>#VALUE!</v>
      </c>
      <c r="DO360" t="e">
        <f>'North America'!G969+"n/&gt;!2`?"</f>
        <v>#VALUE!</v>
      </c>
      <c r="DP360" t="e">
        <f>'North America'!H969+"n/&gt;!2`@"</f>
        <v>#VALUE!</v>
      </c>
      <c r="DQ360" t="e">
        <f>'North America'!I969+"n/&gt;!2`A"</f>
        <v>#VALUE!</v>
      </c>
      <c r="DR360" t="e">
        <f>'North America'!A970+"n/&gt;!2`B"</f>
        <v>#VALUE!</v>
      </c>
      <c r="DS360" t="e">
        <f>'North America'!B970+"n/&gt;!2`C"</f>
        <v>#VALUE!</v>
      </c>
      <c r="DT360" t="e">
        <f>'North America'!C970+"n/&gt;!2`D"</f>
        <v>#VALUE!</v>
      </c>
      <c r="DU360" t="e">
        <f>'North America'!D970+"n/&gt;!2`E"</f>
        <v>#VALUE!</v>
      </c>
      <c r="DV360" t="e">
        <f>'North America'!E970+"n/&gt;!2`F"</f>
        <v>#VALUE!</v>
      </c>
      <c r="DW360" t="e">
        <f>'North America'!F970+"n/&gt;!2`G"</f>
        <v>#VALUE!</v>
      </c>
      <c r="DX360" t="e">
        <f>'North America'!G970+"n/&gt;!2`H"</f>
        <v>#VALUE!</v>
      </c>
      <c r="DY360" t="e">
        <f>'North America'!H970+"n/&gt;!2`I"</f>
        <v>#VALUE!</v>
      </c>
      <c r="DZ360" t="e">
        <f>'North America'!I970+"n/&gt;!2`J"</f>
        <v>#VALUE!</v>
      </c>
      <c r="EA360" t="e">
        <f>'North America'!A971+"n/&gt;!2`K"</f>
        <v>#VALUE!</v>
      </c>
      <c r="EB360" t="e">
        <f>'North America'!B971+"n/&gt;!2`L"</f>
        <v>#VALUE!</v>
      </c>
      <c r="EC360" t="e">
        <f>'North America'!C971+"n/&gt;!2`M"</f>
        <v>#VALUE!</v>
      </c>
      <c r="ED360" t="e">
        <f>'North America'!D971+"n/&gt;!2`N"</f>
        <v>#VALUE!</v>
      </c>
      <c r="EE360" t="e">
        <f>'North America'!E971+"n/&gt;!2`O"</f>
        <v>#VALUE!</v>
      </c>
      <c r="EF360" t="e">
        <f>'North America'!F971+"n/&gt;!2`P"</f>
        <v>#VALUE!</v>
      </c>
      <c r="EG360" t="e">
        <f>'North America'!G971+"n/&gt;!2`Q"</f>
        <v>#VALUE!</v>
      </c>
      <c r="EH360" t="e">
        <f>'North America'!H971+"n/&gt;!2`R"</f>
        <v>#VALUE!</v>
      </c>
      <c r="EI360" t="e">
        <f>'North America'!I971+"n/&gt;!2`S"</f>
        <v>#VALUE!</v>
      </c>
      <c r="EJ360" t="e">
        <f>'North America'!A972+"n/&gt;!2`T"</f>
        <v>#VALUE!</v>
      </c>
      <c r="EK360" t="e">
        <f>'North America'!B972+"n/&gt;!2`U"</f>
        <v>#VALUE!</v>
      </c>
      <c r="EL360" t="e">
        <f>'North America'!C972+"n/&gt;!2`V"</f>
        <v>#VALUE!</v>
      </c>
      <c r="EM360" t="e">
        <f>'North America'!D972+"n/&gt;!2`W"</f>
        <v>#VALUE!</v>
      </c>
      <c r="EN360" t="e">
        <f>'North America'!E972+"n/&gt;!2`X"</f>
        <v>#VALUE!</v>
      </c>
      <c r="EO360" t="e">
        <f>'North America'!F972+"n/&gt;!2`Y"</f>
        <v>#VALUE!</v>
      </c>
      <c r="EP360" t="e">
        <f>'North America'!G972+"n/&gt;!2`Z"</f>
        <v>#VALUE!</v>
      </c>
      <c r="EQ360" t="e">
        <f>'North America'!H972+"n/&gt;!2`["</f>
        <v>#VALUE!</v>
      </c>
      <c r="ER360" t="e">
        <f>'North America'!I972+"n/&gt;!2`\"</f>
        <v>#VALUE!</v>
      </c>
      <c r="ES360" t="e">
        <f>'North America'!A973+"n/&gt;!2`]"</f>
        <v>#VALUE!</v>
      </c>
      <c r="ET360" t="e">
        <f>'North America'!B973+"n/&gt;!2`^"</f>
        <v>#VALUE!</v>
      </c>
      <c r="EU360" t="e">
        <f>'North America'!C973+"n/&gt;!2`_"</f>
        <v>#VALUE!</v>
      </c>
      <c r="EV360" t="e">
        <f>'North America'!D973+"n/&gt;!2``"</f>
        <v>#VALUE!</v>
      </c>
      <c r="EW360" t="e">
        <f>'North America'!E973+"n/&gt;!2`a"</f>
        <v>#VALUE!</v>
      </c>
      <c r="EX360" t="e">
        <f>'North America'!F973+"n/&gt;!2`b"</f>
        <v>#VALUE!</v>
      </c>
      <c r="EY360" t="e">
        <f>'North America'!G973+"n/&gt;!2`c"</f>
        <v>#VALUE!</v>
      </c>
      <c r="EZ360" t="e">
        <f>'North America'!H973+"n/&gt;!2`d"</f>
        <v>#VALUE!</v>
      </c>
      <c r="FA360" t="e">
        <f>'North America'!I973+"n/&gt;!2`e"</f>
        <v>#VALUE!</v>
      </c>
      <c r="FB360" t="e">
        <f>'North America'!A974+"n/&gt;!2`f"</f>
        <v>#VALUE!</v>
      </c>
      <c r="FC360" t="e">
        <f>'North America'!B974+"n/&gt;!2`g"</f>
        <v>#VALUE!</v>
      </c>
      <c r="FD360" t="e">
        <f>'North America'!C974+"n/&gt;!2`h"</f>
        <v>#VALUE!</v>
      </c>
      <c r="FE360" t="e">
        <f>'North America'!D974+"n/&gt;!2`i"</f>
        <v>#VALUE!</v>
      </c>
      <c r="FF360" t="e">
        <f>'North America'!E974+"n/&gt;!2`j"</f>
        <v>#VALUE!</v>
      </c>
      <c r="FG360" t="e">
        <f>'North America'!F974+"n/&gt;!2`k"</f>
        <v>#VALUE!</v>
      </c>
      <c r="FH360" t="e">
        <f>'North America'!G974+"n/&gt;!2`l"</f>
        <v>#VALUE!</v>
      </c>
      <c r="FI360" t="e">
        <f>'North America'!H974+"n/&gt;!2`m"</f>
        <v>#VALUE!</v>
      </c>
      <c r="FJ360" t="e">
        <f>'North America'!I974+"n/&gt;!2`n"</f>
        <v>#VALUE!</v>
      </c>
      <c r="FK360" t="e">
        <f>'North America'!A975+"n/&gt;!2`o"</f>
        <v>#VALUE!</v>
      </c>
      <c r="FL360" t="e">
        <f>'North America'!B975+"n/&gt;!2`p"</f>
        <v>#VALUE!</v>
      </c>
      <c r="FM360" t="e">
        <f>'North America'!C975+"n/&gt;!2`q"</f>
        <v>#VALUE!</v>
      </c>
      <c r="FN360" t="e">
        <f>'North America'!D975+"n/&gt;!2`r"</f>
        <v>#VALUE!</v>
      </c>
      <c r="FO360" t="e">
        <f>'North America'!E975+"n/&gt;!2`s"</f>
        <v>#VALUE!</v>
      </c>
      <c r="FP360" t="e">
        <f>'North America'!F975+"n/&gt;!2`t"</f>
        <v>#VALUE!</v>
      </c>
      <c r="FQ360" t="e">
        <f>'North America'!G975+"n/&gt;!2`u"</f>
        <v>#VALUE!</v>
      </c>
      <c r="FR360" t="e">
        <f>'North America'!H975+"n/&gt;!2`v"</f>
        <v>#VALUE!</v>
      </c>
      <c r="FS360" t="e">
        <f>'North America'!I975+"n/&gt;!2`w"</f>
        <v>#VALUE!</v>
      </c>
      <c r="FT360" t="e">
        <f>'North America'!A976+"n/&gt;!2`x"</f>
        <v>#VALUE!</v>
      </c>
      <c r="FU360" t="e">
        <f>'North America'!B976+"n/&gt;!2`y"</f>
        <v>#VALUE!</v>
      </c>
      <c r="FV360" t="e">
        <f>'North America'!C976+"n/&gt;!2`z"</f>
        <v>#VALUE!</v>
      </c>
      <c r="FW360" t="e">
        <f>'North America'!D976+"n/&gt;!2`{"</f>
        <v>#VALUE!</v>
      </c>
      <c r="FX360" t="e">
        <f>'North America'!E976+"n/&gt;!2`|"</f>
        <v>#VALUE!</v>
      </c>
      <c r="FY360" t="e">
        <f>'North America'!F976+"n/&gt;!2`}"</f>
        <v>#VALUE!</v>
      </c>
      <c r="FZ360" t="e">
        <f>'North America'!G976+"n/&gt;!2`~"</f>
        <v>#VALUE!</v>
      </c>
      <c r="GA360" t="e">
        <f>'North America'!H976+"n/&gt;!2a#"</f>
        <v>#VALUE!</v>
      </c>
      <c r="GB360" t="e">
        <f>'North America'!I976+"n/&gt;!2a$"</f>
        <v>#VALUE!</v>
      </c>
      <c r="GC360" t="e">
        <f>'North America'!A977+"n/&gt;!2a%"</f>
        <v>#VALUE!</v>
      </c>
      <c r="GD360" t="e">
        <f>'North America'!B977+"n/&gt;!2a&amp;"</f>
        <v>#VALUE!</v>
      </c>
      <c r="GE360" t="e">
        <f>'North America'!C977+"n/&gt;!2a'"</f>
        <v>#VALUE!</v>
      </c>
      <c r="GF360" t="e">
        <f>'North America'!D977+"n/&gt;!2a("</f>
        <v>#VALUE!</v>
      </c>
      <c r="GG360" t="e">
        <f>'North America'!E977+"n/&gt;!2a)"</f>
        <v>#VALUE!</v>
      </c>
      <c r="GH360" t="e">
        <f>'North America'!F977+"n/&gt;!2a."</f>
        <v>#VALUE!</v>
      </c>
      <c r="GI360" t="e">
        <f>'North America'!G977+"n/&gt;!2a/"</f>
        <v>#VALUE!</v>
      </c>
      <c r="GJ360" t="e">
        <f>'North America'!H977+"n/&gt;!2a0"</f>
        <v>#VALUE!</v>
      </c>
      <c r="GK360" t="e">
        <f>'North America'!I977+"n/&gt;!2a1"</f>
        <v>#VALUE!</v>
      </c>
      <c r="GL360" t="e">
        <f>'North America'!A978+"n/&gt;!2a2"</f>
        <v>#VALUE!</v>
      </c>
      <c r="GM360" t="e">
        <f>'North America'!B978+"n/&gt;!2a3"</f>
        <v>#VALUE!</v>
      </c>
      <c r="GN360" t="e">
        <f>'North America'!C978+"n/&gt;!2a4"</f>
        <v>#VALUE!</v>
      </c>
      <c r="GO360" t="e">
        <f>'North America'!D978+"n/&gt;!2a5"</f>
        <v>#VALUE!</v>
      </c>
      <c r="GP360" t="e">
        <f>'North America'!E978+"n/&gt;!2a6"</f>
        <v>#VALUE!</v>
      </c>
      <c r="GQ360" t="e">
        <f>'North America'!F978+"n/&gt;!2a7"</f>
        <v>#VALUE!</v>
      </c>
      <c r="GR360" t="e">
        <f>'North America'!G978+"n/&gt;!2a8"</f>
        <v>#VALUE!</v>
      </c>
      <c r="GS360" t="e">
        <f>'North America'!H978+"n/&gt;!2a9"</f>
        <v>#VALUE!</v>
      </c>
      <c r="GT360" t="e">
        <f>'North America'!I978+"n/&gt;!2a:"</f>
        <v>#VALUE!</v>
      </c>
      <c r="GU360" t="e">
        <f>'North America'!A979+"n/&gt;!2a;"</f>
        <v>#VALUE!</v>
      </c>
      <c r="GV360" t="e">
        <f>'North America'!B979+"n/&gt;!2a&lt;"</f>
        <v>#VALUE!</v>
      </c>
      <c r="GW360" t="e">
        <f>'North America'!C979+"n/&gt;!2a="</f>
        <v>#VALUE!</v>
      </c>
      <c r="GX360" t="e">
        <f>'North America'!D979+"n/&gt;!2a&gt;"</f>
        <v>#VALUE!</v>
      </c>
      <c r="GY360" t="e">
        <f>'North America'!E979+"n/&gt;!2a?"</f>
        <v>#VALUE!</v>
      </c>
      <c r="GZ360" t="e">
        <f>'North America'!F979+"n/&gt;!2a@"</f>
        <v>#VALUE!</v>
      </c>
      <c r="HA360" t="e">
        <f>'North America'!G979+"n/&gt;!2aA"</f>
        <v>#VALUE!</v>
      </c>
      <c r="HB360" t="e">
        <f>'North America'!H979+"n/&gt;!2aB"</f>
        <v>#VALUE!</v>
      </c>
      <c r="HC360" t="e">
        <f>'North America'!I979+"n/&gt;!2aC"</f>
        <v>#VALUE!</v>
      </c>
      <c r="HD360" t="e">
        <f>'North America'!A980+"n/&gt;!2aD"</f>
        <v>#VALUE!</v>
      </c>
      <c r="HE360" t="e">
        <f>'North America'!B980+"n/&gt;!2aE"</f>
        <v>#VALUE!</v>
      </c>
      <c r="HF360" t="e">
        <f>'North America'!C980+"n/&gt;!2aF"</f>
        <v>#VALUE!</v>
      </c>
      <c r="HG360" t="e">
        <f>'North America'!D980+"n/&gt;!2aG"</f>
        <v>#VALUE!</v>
      </c>
      <c r="HH360" t="e">
        <f>'North America'!E980+"n/&gt;!2aH"</f>
        <v>#VALUE!</v>
      </c>
      <c r="HI360" t="e">
        <f>'North America'!F980+"n/&gt;!2aI"</f>
        <v>#VALUE!</v>
      </c>
      <c r="HJ360" t="e">
        <f>'North America'!G980+"n/&gt;!2aJ"</f>
        <v>#VALUE!</v>
      </c>
      <c r="HK360" t="e">
        <f>'North America'!H980+"n/&gt;!2aK"</f>
        <v>#VALUE!</v>
      </c>
      <c r="HL360" t="e">
        <f>'North America'!I980+"n/&gt;!2aL"</f>
        <v>#VALUE!</v>
      </c>
      <c r="HM360" t="e">
        <f>'North America'!A981+"n/&gt;!2aM"</f>
        <v>#VALUE!</v>
      </c>
      <c r="HN360" t="e">
        <f>'North America'!B981+"n/&gt;!2aN"</f>
        <v>#VALUE!</v>
      </c>
      <c r="HO360" t="e">
        <f>'North America'!C981+"n/&gt;!2aO"</f>
        <v>#VALUE!</v>
      </c>
      <c r="HP360" t="e">
        <f>'North America'!D981+"n/&gt;!2aP"</f>
        <v>#VALUE!</v>
      </c>
      <c r="HQ360" t="e">
        <f>'North America'!E981+"n/&gt;!2aQ"</f>
        <v>#VALUE!</v>
      </c>
      <c r="HR360" t="e">
        <f>'North America'!F981+"n/&gt;!2aR"</f>
        <v>#VALUE!</v>
      </c>
      <c r="HS360" t="e">
        <f>'North America'!G981+"n/&gt;!2aS"</f>
        <v>#VALUE!</v>
      </c>
      <c r="HT360" t="e">
        <f>'North America'!H981+"n/&gt;!2aT"</f>
        <v>#VALUE!</v>
      </c>
      <c r="HU360" t="e">
        <f>'North America'!I981+"n/&gt;!2aU"</f>
        <v>#VALUE!</v>
      </c>
      <c r="HV360" t="e">
        <f>'North America'!A982+"n/&gt;!2aV"</f>
        <v>#VALUE!</v>
      </c>
      <c r="HW360" t="e">
        <f>'North America'!B982+"n/&gt;!2aW"</f>
        <v>#VALUE!</v>
      </c>
      <c r="HX360" t="e">
        <f>'North America'!C982+"n/&gt;!2aX"</f>
        <v>#VALUE!</v>
      </c>
      <c r="HY360" t="e">
        <f>'North America'!D982+"n/&gt;!2aY"</f>
        <v>#VALUE!</v>
      </c>
      <c r="HZ360" t="e">
        <f>'North America'!E982+"n/&gt;!2aZ"</f>
        <v>#VALUE!</v>
      </c>
      <c r="IA360" t="e">
        <f>'North America'!F982+"n/&gt;!2a["</f>
        <v>#VALUE!</v>
      </c>
      <c r="IB360" t="e">
        <f>'North America'!G982+"n/&gt;!2a\"</f>
        <v>#VALUE!</v>
      </c>
      <c r="IC360" t="e">
        <f>'North America'!H982+"n/&gt;!2a]"</f>
        <v>#VALUE!</v>
      </c>
      <c r="ID360" t="e">
        <f>'North America'!I982+"n/&gt;!2a^"</f>
        <v>#VALUE!</v>
      </c>
      <c r="IE360" t="e">
        <f>'North America'!A983+"n/&gt;!2a_"</f>
        <v>#VALUE!</v>
      </c>
      <c r="IF360" t="e">
        <f>'North America'!B983+"n/&gt;!2a`"</f>
        <v>#VALUE!</v>
      </c>
      <c r="IG360" t="e">
        <f>'North America'!C983+"n/&gt;!2aa"</f>
        <v>#VALUE!</v>
      </c>
      <c r="IH360" t="e">
        <f>'North America'!D983+"n/&gt;!2ab"</f>
        <v>#VALUE!</v>
      </c>
      <c r="II360" t="e">
        <f>'North America'!E983+"n/&gt;!2ac"</f>
        <v>#VALUE!</v>
      </c>
      <c r="IJ360" t="e">
        <f>'North America'!F983+"n/&gt;!2ad"</f>
        <v>#VALUE!</v>
      </c>
      <c r="IK360" t="e">
        <f>'North America'!G983+"n/&gt;!2ae"</f>
        <v>#VALUE!</v>
      </c>
      <c r="IL360" t="e">
        <f>'North America'!H983+"n/&gt;!2af"</f>
        <v>#VALUE!</v>
      </c>
      <c r="IM360" t="e">
        <f>'North America'!I983+"n/&gt;!2ag"</f>
        <v>#VALUE!</v>
      </c>
      <c r="IN360" t="e">
        <f>'North America'!A984+"n/&gt;!2ah"</f>
        <v>#VALUE!</v>
      </c>
      <c r="IO360" t="e">
        <f>'North America'!B984+"n/&gt;!2ai"</f>
        <v>#VALUE!</v>
      </c>
      <c r="IP360" t="e">
        <f>'North America'!C984+"n/&gt;!2aj"</f>
        <v>#VALUE!</v>
      </c>
      <c r="IQ360" t="e">
        <f>'North America'!D984+"n/&gt;!2ak"</f>
        <v>#VALUE!</v>
      </c>
      <c r="IR360" t="e">
        <f>'North America'!E984+"n/&gt;!2al"</f>
        <v>#VALUE!</v>
      </c>
      <c r="IS360" t="e">
        <f>'North America'!F984+"n/&gt;!2am"</f>
        <v>#VALUE!</v>
      </c>
      <c r="IT360" t="e">
        <f>'North America'!G984+"n/&gt;!2an"</f>
        <v>#VALUE!</v>
      </c>
      <c r="IU360" t="e">
        <f>'North America'!H984+"n/&gt;!2ao"</f>
        <v>#VALUE!</v>
      </c>
      <c r="IV360" t="e">
        <f>'North America'!I984+"n/&gt;!2ap"</f>
        <v>#VALUE!</v>
      </c>
    </row>
    <row r="361" spans="6:256" x14ac:dyDescent="0.35">
      <c r="F361" t="e">
        <f>'North America'!A985+"n/&gt;!2aq"</f>
        <v>#VALUE!</v>
      </c>
      <c r="G361" t="e">
        <f>'North America'!B985+"n/&gt;!2ar"</f>
        <v>#VALUE!</v>
      </c>
      <c r="H361" t="e">
        <f>'North America'!C985+"n/&gt;!2as"</f>
        <v>#VALUE!</v>
      </c>
      <c r="I361" t="e">
        <f>'North America'!D985+"n/&gt;!2at"</f>
        <v>#VALUE!</v>
      </c>
      <c r="J361" t="e">
        <f>'North America'!E985+"n/&gt;!2au"</f>
        <v>#VALUE!</v>
      </c>
      <c r="K361" t="e">
        <f>'North America'!F985+"n/&gt;!2av"</f>
        <v>#VALUE!</v>
      </c>
      <c r="L361" t="e">
        <f>'North America'!G985+"n/&gt;!2aw"</f>
        <v>#VALUE!</v>
      </c>
      <c r="M361" t="e">
        <f>'North America'!H985+"n/&gt;!2ax"</f>
        <v>#VALUE!</v>
      </c>
      <c r="N361" t="e">
        <f>'North America'!I985+"n/&gt;!2ay"</f>
        <v>#VALUE!</v>
      </c>
      <c r="O361" t="e">
        <f>'North America'!A986+"n/&gt;!2az"</f>
        <v>#VALUE!</v>
      </c>
      <c r="P361" t="e">
        <f>'North America'!B986+"n/&gt;!2a{"</f>
        <v>#VALUE!</v>
      </c>
      <c r="Q361" t="e">
        <f>'North America'!C986+"n/&gt;!2a|"</f>
        <v>#VALUE!</v>
      </c>
      <c r="R361" t="e">
        <f>'North America'!D986+"n/&gt;!2a}"</f>
        <v>#VALUE!</v>
      </c>
      <c r="S361" t="e">
        <f>'North America'!E986+"n/&gt;!2a~"</f>
        <v>#VALUE!</v>
      </c>
      <c r="T361" t="e">
        <f>'North America'!F986+"n/&gt;!2b#"</f>
        <v>#VALUE!</v>
      </c>
      <c r="U361" t="e">
        <f>'North America'!G986+"n/&gt;!2b$"</f>
        <v>#VALUE!</v>
      </c>
      <c r="V361" t="e">
        <f>'North America'!H986+"n/&gt;!2b%"</f>
        <v>#VALUE!</v>
      </c>
      <c r="W361" t="e">
        <f>'North America'!I986+"n/&gt;!2b&amp;"</f>
        <v>#VALUE!</v>
      </c>
      <c r="X361" t="e">
        <f>'North America'!A987+"n/&gt;!2b'"</f>
        <v>#VALUE!</v>
      </c>
      <c r="Y361" t="e">
        <f>'North America'!B987+"n/&gt;!2b("</f>
        <v>#VALUE!</v>
      </c>
      <c r="Z361" t="e">
        <f>'North America'!C987+"n/&gt;!2b)"</f>
        <v>#VALUE!</v>
      </c>
      <c r="AA361" t="e">
        <f>'North America'!D987+"n/&gt;!2b."</f>
        <v>#VALUE!</v>
      </c>
      <c r="AB361" t="e">
        <f>'North America'!E987+"n/&gt;!2b/"</f>
        <v>#VALUE!</v>
      </c>
      <c r="AC361" t="e">
        <f>'North America'!F987+"n/&gt;!2b0"</f>
        <v>#VALUE!</v>
      </c>
      <c r="AD361" t="e">
        <f>'North America'!G987+"n/&gt;!2b1"</f>
        <v>#VALUE!</v>
      </c>
      <c r="AE361" t="e">
        <f>'North America'!H987+"n/&gt;!2b2"</f>
        <v>#VALUE!</v>
      </c>
      <c r="AF361" t="e">
        <f>'North America'!I987+"n/&gt;!2b3"</f>
        <v>#VALUE!</v>
      </c>
      <c r="AG361" t="e">
        <f>'North America'!A988+"n/&gt;!2b4"</f>
        <v>#VALUE!</v>
      </c>
      <c r="AH361" t="e">
        <f>'North America'!B988+"n/&gt;!2b5"</f>
        <v>#VALUE!</v>
      </c>
      <c r="AI361" t="e">
        <f>'North America'!C988+"n/&gt;!2b6"</f>
        <v>#VALUE!</v>
      </c>
      <c r="AJ361" t="e">
        <f>'North America'!D988+"n/&gt;!2b7"</f>
        <v>#VALUE!</v>
      </c>
      <c r="AK361" t="e">
        <f>'North America'!E988+"n/&gt;!2b8"</f>
        <v>#VALUE!</v>
      </c>
      <c r="AL361" t="e">
        <f>'North America'!F988+"n/&gt;!2b9"</f>
        <v>#VALUE!</v>
      </c>
      <c r="AM361" t="e">
        <f>'North America'!G988+"n/&gt;!2b:"</f>
        <v>#VALUE!</v>
      </c>
      <c r="AN361" t="e">
        <f>'North America'!H988+"n/&gt;!2b;"</f>
        <v>#VALUE!</v>
      </c>
      <c r="AO361" t="e">
        <f>'North America'!I988+"n/&gt;!2b&lt;"</f>
        <v>#VALUE!</v>
      </c>
      <c r="AP361" t="e">
        <f>'North America'!A989+"n/&gt;!2b="</f>
        <v>#VALUE!</v>
      </c>
      <c r="AQ361" t="e">
        <f>'North America'!B989+"n/&gt;!2b&gt;"</f>
        <v>#VALUE!</v>
      </c>
      <c r="AR361" t="e">
        <f>'North America'!C989+"n/&gt;!2b?"</f>
        <v>#VALUE!</v>
      </c>
      <c r="AS361" t="e">
        <f>'North America'!D989+"n/&gt;!2b@"</f>
        <v>#VALUE!</v>
      </c>
      <c r="AT361" t="e">
        <f>'North America'!E989+"n/&gt;!2bA"</f>
        <v>#VALUE!</v>
      </c>
      <c r="AU361" t="e">
        <f>'North America'!F989+"n/&gt;!2bB"</f>
        <v>#VALUE!</v>
      </c>
      <c r="AV361" t="e">
        <f>'North America'!G989+"n/&gt;!2bC"</f>
        <v>#VALUE!</v>
      </c>
      <c r="AW361" t="e">
        <f>'North America'!H989+"n/&gt;!2bD"</f>
        <v>#VALUE!</v>
      </c>
      <c r="AX361" t="e">
        <f>'North America'!I989+"n/&gt;!2bE"</f>
        <v>#VALUE!</v>
      </c>
      <c r="AY361" t="e">
        <f>'North America'!A990+"n/&gt;!2bF"</f>
        <v>#VALUE!</v>
      </c>
      <c r="AZ361" t="e">
        <f>'North America'!B990+"n/&gt;!2bG"</f>
        <v>#VALUE!</v>
      </c>
      <c r="BA361" t="e">
        <f>'North America'!C990+"n/&gt;!2bH"</f>
        <v>#VALUE!</v>
      </c>
      <c r="BB361" t="e">
        <f>'North America'!D990+"n/&gt;!2bI"</f>
        <v>#VALUE!</v>
      </c>
      <c r="BC361" t="e">
        <f>'North America'!E990+"n/&gt;!2bJ"</f>
        <v>#VALUE!</v>
      </c>
      <c r="BD361" t="e">
        <f>'North America'!F990+"n/&gt;!2bK"</f>
        <v>#VALUE!</v>
      </c>
      <c r="BE361" t="e">
        <f>'North America'!G990+"n/&gt;!2bL"</f>
        <v>#VALUE!</v>
      </c>
      <c r="BF361" t="e">
        <f>'North America'!H990+"n/&gt;!2bM"</f>
        <v>#VALUE!</v>
      </c>
      <c r="BG361" t="e">
        <f>'North America'!I990+"n/&gt;!2bN"</f>
        <v>#VALUE!</v>
      </c>
      <c r="BH361" t="e">
        <f>'North America'!A991+"n/&gt;!2bO"</f>
        <v>#VALUE!</v>
      </c>
      <c r="BI361" t="e">
        <f>'North America'!B991+"n/&gt;!2bP"</f>
        <v>#VALUE!</v>
      </c>
      <c r="BJ361" t="e">
        <f>'North America'!C991+"n/&gt;!2bQ"</f>
        <v>#VALUE!</v>
      </c>
      <c r="BK361" t="e">
        <f>'North America'!D991+"n/&gt;!2bR"</f>
        <v>#VALUE!</v>
      </c>
      <c r="BL361" t="e">
        <f>'North America'!E991+"n/&gt;!2bS"</f>
        <v>#VALUE!</v>
      </c>
      <c r="BM361" t="e">
        <f>'North America'!F991+"n/&gt;!2bT"</f>
        <v>#VALUE!</v>
      </c>
      <c r="BN361" t="e">
        <f>'North America'!G991+"n/&gt;!2bU"</f>
        <v>#VALUE!</v>
      </c>
      <c r="BO361" t="e">
        <f>'North America'!H991+"n/&gt;!2bV"</f>
        <v>#VALUE!</v>
      </c>
      <c r="BP361" t="e">
        <f>'North America'!I991+"n/&gt;!2bW"</f>
        <v>#VALUE!</v>
      </c>
      <c r="BQ361" t="e">
        <f>'North America'!A992+"n/&gt;!2bX"</f>
        <v>#VALUE!</v>
      </c>
      <c r="BR361" t="e">
        <f>'North America'!B992+"n/&gt;!2bY"</f>
        <v>#VALUE!</v>
      </c>
      <c r="BS361" t="e">
        <f>'North America'!C992+"n/&gt;!2bZ"</f>
        <v>#VALUE!</v>
      </c>
      <c r="BT361" t="e">
        <f>'North America'!D992+"n/&gt;!2b["</f>
        <v>#VALUE!</v>
      </c>
      <c r="BU361" t="e">
        <f>'North America'!E992+"n/&gt;!2b\"</f>
        <v>#VALUE!</v>
      </c>
      <c r="BV361" t="e">
        <f>'North America'!F992+"n/&gt;!2b]"</f>
        <v>#VALUE!</v>
      </c>
      <c r="BW361" t="e">
        <f>'North America'!G992+"n/&gt;!2b^"</f>
        <v>#VALUE!</v>
      </c>
      <c r="BX361" t="e">
        <f>'North America'!H992+"n/&gt;!2b_"</f>
        <v>#VALUE!</v>
      </c>
      <c r="BY361" t="e">
        <f>'North America'!I992+"n/&gt;!2b`"</f>
        <v>#VALUE!</v>
      </c>
      <c r="BZ361" t="e">
        <f>'North America'!A993+"n/&gt;!2ba"</f>
        <v>#VALUE!</v>
      </c>
      <c r="CA361" t="e">
        <f>'North America'!B993+"n/&gt;!2bb"</f>
        <v>#VALUE!</v>
      </c>
      <c r="CB361" t="e">
        <f>'North America'!C993+"n/&gt;!2bc"</f>
        <v>#VALUE!</v>
      </c>
      <c r="CC361" t="e">
        <f>'North America'!D993+"n/&gt;!2bd"</f>
        <v>#VALUE!</v>
      </c>
      <c r="CD361" t="e">
        <f>'North America'!E993+"n/&gt;!2be"</f>
        <v>#VALUE!</v>
      </c>
      <c r="CE361" t="e">
        <f>'North America'!F993+"n/&gt;!2bf"</f>
        <v>#VALUE!</v>
      </c>
      <c r="CF361" t="e">
        <f>'North America'!G993+"n/&gt;!2bg"</f>
        <v>#VALUE!</v>
      </c>
      <c r="CG361" t="e">
        <f>'North America'!H993+"n/&gt;!2bh"</f>
        <v>#VALUE!</v>
      </c>
      <c r="CH361" t="e">
        <f>'North America'!I993+"n/&gt;!2bi"</f>
        <v>#VALUE!</v>
      </c>
      <c r="CI361" t="e">
        <f>'North America'!A994+"n/&gt;!2bj"</f>
        <v>#VALUE!</v>
      </c>
      <c r="CJ361" t="e">
        <f>'North America'!B994+"n/&gt;!2bk"</f>
        <v>#VALUE!</v>
      </c>
      <c r="CK361" t="e">
        <f>'North America'!C994+"n/&gt;!2bl"</f>
        <v>#VALUE!</v>
      </c>
      <c r="CL361" t="e">
        <f>'North America'!D994+"n/&gt;!2bm"</f>
        <v>#VALUE!</v>
      </c>
      <c r="CM361" t="e">
        <f>'North America'!E994+"n/&gt;!2bn"</f>
        <v>#VALUE!</v>
      </c>
      <c r="CN361" t="e">
        <f>'North America'!F994+"n/&gt;!2bo"</f>
        <v>#VALUE!</v>
      </c>
      <c r="CO361" t="e">
        <f>'North America'!G994+"n/&gt;!2bp"</f>
        <v>#VALUE!</v>
      </c>
      <c r="CP361" t="e">
        <f>'North America'!H994+"n/&gt;!2bq"</f>
        <v>#VALUE!</v>
      </c>
      <c r="CQ361" t="e">
        <f>'North America'!I994+"n/&gt;!2br"</f>
        <v>#VALUE!</v>
      </c>
      <c r="CR361" t="e">
        <f>'North America'!A995+"n/&gt;!2bs"</f>
        <v>#VALUE!</v>
      </c>
      <c r="CS361" t="e">
        <f>'North America'!B995+"n/&gt;!2bt"</f>
        <v>#VALUE!</v>
      </c>
      <c r="CT361" t="e">
        <f>'North America'!C995+"n/&gt;!2bu"</f>
        <v>#VALUE!</v>
      </c>
      <c r="CU361" t="e">
        <f>'North America'!D995+"n/&gt;!2bv"</f>
        <v>#VALUE!</v>
      </c>
      <c r="CV361" t="e">
        <f>'North America'!E995+"n/&gt;!2bw"</f>
        <v>#VALUE!</v>
      </c>
      <c r="CW361" t="e">
        <f>'North America'!F995+"n/&gt;!2bx"</f>
        <v>#VALUE!</v>
      </c>
      <c r="CX361" t="e">
        <f>'North America'!G995+"n/&gt;!2by"</f>
        <v>#VALUE!</v>
      </c>
      <c r="CY361" t="e">
        <f>'North America'!H995+"n/&gt;!2bz"</f>
        <v>#VALUE!</v>
      </c>
      <c r="CZ361" t="e">
        <f>'North America'!I995+"n/&gt;!2b{"</f>
        <v>#VALUE!</v>
      </c>
      <c r="DA361" t="e">
        <f>'North America'!A996+"n/&gt;!2b|"</f>
        <v>#VALUE!</v>
      </c>
      <c r="DB361" t="e">
        <f>'North America'!B996+"n/&gt;!2b}"</f>
        <v>#VALUE!</v>
      </c>
      <c r="DC361" t="e">
        <f>'North America'!C996+"n/&gt;!2b~"</f>
        <v>#VALUE!</v>
      </c>
      <c r="DD361" t="e">
        <f>'North America'!D996+"n/&gt;!2c#"</f>
        <v>#VALUE!</v>
      </c>
      <c r="DE361" t="e">
        <f>'North America'!E996+"n/&gt;!2c$"</f>
        <v>#VALUE!</v>
      </c>
      <c r="DF361" t="e">
        <f>'North America'!F996+"n/&gt;!2c%"</f>
        <v>#VALUE!</v>
      </c>
      <c r="DG361" t="e">
        <f>'North America'!G996+"n/&gt;!2c&amp;"</f>
        <v>#VALUE!</v>
      </c>
      <c r="DH361" t="e">
        <f>'North America'!H996+"n/&gt;!2c'"</f>
        <v>#VALUE!</v>
      </c>
      <c r="DI361" t="e">
        <f>'North America'!I996+"n/&gt;!2c("</f>
        <v>#VALUE!</v>
      </c>
      <c r="DJ361" t="e">
        <f>'North America'!A997+"n/&gt;!2c)"</f>
        <v>#VALUE!</v>
      </c>
      <c r="DK361" t="e">
        <f>'North America'!B997+"n/&gt;!2c."</f>
        <v>#VALUE!</v>
      </c>
      <c r="DL361" t="e">
        <f>'North America'!C997+"n/&gt;!2c/"</f>
        <v>#VALUE!</v>
      </c>
      <c r="DM361" t="e">
        <f>'North America'!D997+"n/&gt;!2c0"</f>
        <v>#VALUE!</v>
      </c>
      <c r="DN361" t="e">
        <f>'North America'!E997+"n/&gt;!2c1"</f>
        <v>#VALUE!</v>
      </c>
      <c r="DO361" t="e">
        <f>'North America'!F997+"n/&gt;!2c2"</f>
        <v>#VALUE!</v>
      </c>
      <c r="DP361" t="e">
        <f>'North America'!G997+"n/&gt;!2c3"</f>
        <v>#VALUE!</v>
      </c>
      <c r="DQ361" t="e">
        <f>'North America'!H997+"n/&gt;!2c4"</f>
        <v>#VALUE!</v>
      </c>
      <c r="DR361" t="e">
        <f>'North America'!I997+"n/&gt;!2c5"</f>
        <v>#VALUE!</v>
      </c>
      <c r="DS361" t="e">
        <f>'North America'!A998+"n/&gt;!2c6"</f>
        <v>#VALUE!</v>
      </c>
      <c r="DT361" t="e">
        <f>'North America'!B998+"n/&gt;!2c7"</f>
        <v>#VALUE!</v>
      </c>
      <c r="DU361" t="e">
        <f>'North America'!C998+"n/&gt;!2c8"</f>
        <v>#VALUE!</v>
      </c>
      <c r="DV361" t="e">
        <f>'North America'!D998+"n/&gt;!2c9"</f>
        <v>#VALUE!</v>
      </c>
      <c r="DW361" t="e">
        <f>'North America'!E998+"n/&gt;!2c:"</f>
        <v>#VALUE!</v>
      </c>
      <c r="DX361" t="e">
        <f>'North America'!F998+"n/&gt;!2c;"</f>
        <v>#VALUE!</v>
      </c>
      <c r="DY361" t="e">
        <f>'North America'!G998+"n/&gt;!2c&lt;"</f>
        <v>#VALUE!</v>
      </c>
      <c r="DZ361" t="e">
        <f>'North America'!H998+"n/&gt;!2c="</f>
        <v>#VALUE!</v>
      </c>
      <c r="EA361" t="e">
        <f>'North America'!I998+"n/&gt;!2c&gt;"</f>
        <v>#VALUE!</v>
      </c>
      <c r="EB361" t="e">
        <f>'North America'!A999+"n/&gt;!2c?"</f>
        <v>#VALUE!</v>
      </c>
      <c r="EC361" t="e">
        <f>'North America'!B999+"n/&gt;!2c@"</f>
        <v>#VALUE!</v>
      </c>
      <c r="ED361" t="e">
        <f>'North America'!C999+"n/&gt;!2cA"</f>
        <v>#VALUE!</v>
      </c>
      <c r="EE361" t="e">
        <f>'North America'!D999+"n/&gt;!2cB"</f>
        <v>#VALUE!</v>
      </c>
      <c r="EF361" t="e">
        <f>'North America'!E999+"n/&gt;!2cC"</f>
        <v>#VALUE!</v>
      </c>
      <c r="EG361" t="e">
        <f>'North America'!F999+"n/&gt;!2cD"</f>
        <v>#VALUE!</v>
      </c>
      <c r="EH361" t="e">
        <f>'North America'!G999+"n/&gt;!2cE"</f>
        <v>#VALUE!</v>
      </c>
      <c r="EI361" t="e">
        <f>'North America'!H999+"n/&gt;!2cF"</f>
        <v>#VALUE!</v>
      </c>
      <c r="EJ361" t="e">
        <f>'North America'!I999+"n/&gt;!2cG"</f>
        <v>#VALUE!</v>
      </c>
      <c r="EK361" t="e">
        <f>'North America'!A1000+"n/&gt;!2cH"</f>
        <v>#VALUE!</v>
      </c>
      <c r="EL361" t="e">
        <f>'North America'!B1000+"n/&gt;!2cI"</f>
        <v>#VALUE!</v>
      </c>
      <c r="EM361" t="e">
        <f>'North America'!C1000+"n/&gt;!2cJ"</f>
        <v>#VALUE!</v>
      </c>
      <c r="EN361" t="e">
        <f>'North America'!D1000+"n/&gt;!2cK"</f>
        <v>#VALUE!</v>
      </c>
      <c r="EO361" t="e">
        <f>'North America'!E1000+"n/&gt;!2cL"</f>
        <v>#VALUE!</v>
      </c>
      <c r="EP361" t="e">
        <f>'North America'!F1000+"n/&gt;!2cM"</f>
        <v>#VALUE!</v>
      </c>
      <c r="EQ361" t="e">
        <f>'North America'!G1000+"n/&gt;!2cN"</f>
        <v>#VALUE!</v>
      </c>
      <c r="ER361" t="e">
        <f>'North America'!H1000+"n/&gt;!2cO"</f>
        <v>#VALUE!</v>
      </c>
      <c r="ES361" t="e">
        <f>'North America'!I1000+"n/&gt;!2cP"</f>
        <v>#VALUE!</v>
      </c>
      <c r="ET361" t="e">
        <f>'North America'!A1001+"n/&gt;!2cQ"</f>
        <v>#VALUE!</v>
      </c>
      <c r="EU361" t="e">
        <f>'North America'!B1001+"n/&gt;!2cR"</f>
        <v>#VALUE!</v>
      </c>
      <c r="EV361" t="e">
        <f>'North America'!C1001+"n/&gt;!2cS"</f>
        <v>#VALUE!</v>
      </c>
      <c r="EW361" t="e">
        <f>'North America'!D1001+"n/&gt;!2cT"</f>
        <v>#VALUE!</v>
      </c>
      <c r="EX361" t="e">
        <f>'North America'!E1001+"n/&gt;!2cU"</f>
        <v>#VALUE!</v>
      </c>
      <c r="EY361" t="e">
        <f>'North America'!F1001+"n/&gt;!2cV"</f>
        <v>#VALUE!</v>
      </c>
      <c r="EZ361" t="e">
        <f>'North America'!G1001+"n/&gt;!2cW"</f>
        <v>#VALUE!</v>
      </c>
      <c r="FA361" t="e">
        <f>'North America'!H1001+"n/&gt;!2cX"</f>
        <v>#VALUE!</v>
      </c>
      <c r="FB361" t="e">
        <f>'North America'!I1001+"n/&gt;!2cY"</f>
        <v>#VALUE!</v>
      </c>
      <c r="FC361" t="e">
        <f>'North America'!A1002+"n/&gt;!2cZ"</f>
        <v>#VALUE!</v>
      </c>
      <c r="FD361" t="e">
        <f>'North America'!B1002+"n/&gt;!2c["</f>
        <v>#VALUE!</v>
      </c>
      <c r="FE361" t="e">
        <f>'North America'!C1002+"n/&gt;!2c\"</f>
        <v>#VALUE!</v>
      </c>
      <c r="FF361" t="e">
        <f>'North America'!D1002+"n/&gt;!2c]"</f>
        <v>#VALUE!</v>
      </c>
      <c r="FG361" t="e">
        <f>'North America'!E1002+"n/&gt;!2c^"</f>
        <v>#VALUE!</v>
      </c>
      <c r="FH361" t="e">
        <f>'North America'!F1002+"n/&gt;!2c_"</f>
        <v>#VALUE!</v>
      </c>
      <c r="FI361" t="e">
        <f>'North America'!G1002+"n/&gt;!2c`"</f>
        <v>#VALUE!</v>
      </c>
      <c r="FJ361" t="e">
        <f>'North America'!H1002+"n/&gt;!2ca"</f>
        <v>#VALUE!</v>
      </c>
      <c r="FK361" t="e">
        <f>'North America'!I1002+"n/&gt;!2cb"</f>
        <v>#VALUE!</v>
      </c>
      <c r="FL361" t="e">
        <f>'North America'!A1003+"n/&gt;!2cc"</f>
        <v>#VALUE!</v>
      </c>
      <c r="FM361" t="e">
        <f>'North America'!B1003+"n/&gt;!2cd"</f>
        <v>#VALUE!</v>
      </c>
      <c r="FN361" t="e">
        <f>'North America'!C1003+"n/&gt;!2ce"</f>
        <v>#VALUE!</v>
      </c>
      <c r="FO361" t="e">
        <f>'North America'!D1003+"n/&gt;!2cf"</f>
        <v>#VALUE!</v>
      </c>
      <c r="FP361" t="e">
        <f>'North America'!E1003+"n/&gt;!2cg"</f>
        <v>#VALUE!</v>
      </c>
      <c r="FQ361" t="e">
        <f>'North America'!F1003+"n/&gt;!2ch"</f>
        <v>#VALUE!</v>
      </c>
      <c r="FR361" t="e">
        <f>'North America'!G1003+"n/&gt;!2ci"</f>
        <v>#VALUE!</v>
      </c>
      <c r="FS361" t="e">
        <f>'North America'!H1003+"n/&gt;!2cj"</f>
        <v>#VALUE!</v>
      </c>
      <c r="FT361" t="e">
        <f>'North America'!I1003+"n/&gt;!2ck"</f>
        <v>#VALUE!</v>
      </c>
      <c r="FU361" t="e">
        <f>'North America'!A1004+"n/&gt;!2cl"</f>
        <v>#VALUE!</v>
      </c>
      <c r="FV361" t="e">
        <f>'North America'!B1004+"n/&gt;!2cm"</f>
        <v>#VALUE!</v>
      </c>
      <c r="FW361" t="e">
        <f>'North America'!C1004+"n/&gt;!2cn"</f>
        <v>#VALUE!</v>
      </c>
      <c r="FX361" t="e">
        <f>'North America'!D1004+"n/&gt;!2co"</f>
        <v>#VALUE!</v>
      </c>
      <c r="FY361" t="e">
        <f>'North America'!E1004+"n/&gt;!2cp"</f>
        <v>#VALUE!</v>
      </c>
      <c r="FZ361" t="e">
        <f>'North America'!F1004+"n/&gt;!2cq"</f>
        <v>#VALUE!</v>
      </c>
      <c r="GA361" t="e">
        <f>'North America'!G1004+"n/&gt;!2cr"</f>
        <v>#VALUE!</v>
      </c>
      <c r="GB361" t="e">
        <f>'North America'!H1004+"n/&gt;!2cs"</f>
        <v>#VALUE!</v>
      </c>
      <c r="GC361" t="e">
        <f>'North America'!I1004+"n/&gt;!2ct"</f>
        <v>#VALUE!</v>
      </c>
      <c r="GD361" t="e">
        <f>'North America'!A1005+"n/&gt;!2cu"</f>
        <v>#VALUE!</v>
      </c>
      <c r="GE361" t="e">
        <f>'North America'!B1005+"n/&gt;!2cv"</f>
        <v>#VALUE!</v>
      </c>
      <c r="GF361" t="e">
        <f>'North America'!C1005+"n/&gt;!2cw"</f>
        <v>#VALUE!</v>
      </c>
      <c r="GG361" t="e">
        <f>'North America'!D1005+"n/&gt;!2cx"</f>
        <v>#VALUE!</v>
      </c>
      <c r="GH361" t="e">
        <f>'North America'!E1005+"n/&gt;!2cy"</f>
        <v>#VALUE!</v>
      </c>
      <c r="GI361" t="e">
        <f>'North America'!F1005+"n/&gt;!2cz"</f>
        <v>#VALUE!</v>
      </c>
      <c r="GJ361" t="e">
        <f>'North America'!G1005+"n/&gt;!2c{"</f>
        <v>#VALUE!</v>
      </c>
      <c r="GK361" t="e">
        <f>'North America'!H1005+"n/&gt;!2c|"</f>
        <v>#VALUE!</v>
      </c>
      <c r="GL361" t="e">
        <f>'North America'!I1005+"n/&gt;!2c}"</f>
        <v>#VALUE!</v>
      </c>
      <c r="GM361" t="e">
        <f>'North America'!A1006+"n/&gt;!2c~"</f>
        <v>#VALUE!</v>
      </c>
      <c r="GN361" t="e">
        <f>'North America'!B1006+"n/&gt;!2d#"</f>
        <v>#VALUE!</v>
      </c>
      <c r="GO361" t="e">
        <f>'North America'!C1006+"n/&gt;!2d$"</f>
        <v>#VALUE!</v>
      </c>
      <c r="GP361" t="e">
        <f>'North America'!D1006+"n/&gt;!2d%"</f>
        <v>#VALUE!</v>
      </c>
      <c r="GQ361" t="e">
        <f>'North America'!E1006+"n/&gt;!2d&amp;"</f>
        <v>#VALUE!</v>
      </c>
      <c r="GR361" t="e">
        <f>'North America'!F1006+"n/&gt;!2d'"</f>
        <v>#VALUE!</v>
      </c>
      <c r="GS361" t="e">
        <f>'North America'!G1006+"n/&gt;!2d("</f>
        <v>#VALUE!</v>
      </c>
      <c r="GT361" t="e">
        <f>'North America'!H1006+"n/&gt;!2d)"</f>
        <v>#VALUE!</v>
      </c>
      <c r="GU361" t="e">
        <f>'North America'!I1006+"n/&gt;!2d."</f>
        <v>#VALUE!</v>
      </c>
      <c r="GV361" t="e">
        <f>'North America'!A1007+"n/&gt;!2d/"</f>
        <v>#VALUE!</v>
      </c>
      <c r="GW361" t="e">
        <f>'North America'!B1007+"n/&gt;!2d0"</f>
        <v>#VALUE!</v>
      </c>
      <c r="GX361" t="e">
        <f>'North America'!C1007+"n/&gt;!2d1"</f>
        <v>#VALUE!</v>
      </c>
      <c r="GY361" t="e">
        <f>'North America'!D1007+"n/&gt;!2d2"</f>
        <v>#VALUE!</v>
      </c>
      <c r="GZ361" t="e">
        <f>'North America'!E1007+"n/&gt;!2d3"</f>
        <v>#VALUE!</v>
      </c>
      <c r="HA361" t="e">
        <f>'North America'!F1007+"n/&gt;!2d4"</f>
        <v>#VALUE!</v>
      </c>
      <c r="HB361" t="e">
        <f>'North America'!G1007+"n/&gt;!2d5"</f>
        <v>#VALUE!</v>
      </c>
      <c r="HC361" t="e">
        <f>'North America'!H1007+"n/&gt;!2d6"</f>
        <v>#VALUE!</v>
      </c>
      <c r="HD361" t="e">
        <f>'North America'!I1007+"n/&gt;!2d7"</f>
        <v>#VALUE!</v>
      </c>
      <c r="HE361" t="e">
        <f>'North America'!A1008+"n/&gt;!2d8"</f>
        <v>#VALUE!</v>
      </c>
      <c r="HF361" t="e">
        <f>'North America'!B1008+"n/&gt;!2d9"</f>
        <v>#VALUE!</v>
      </c>
      <c r="HG361" t="e">
        <f>'North America'!C1008+"n/&gt;!2d:"</f>
        <v>#VALUE!</v>
      </c>
      <c r="HH361" t="e">
        <f>'North America'!D1008+"n/&gt;!2d;"</f>
        <v>#VALUE!</v>
      </c>
      <c r="HI361" t="e">
        <f>'North America'!E1008+"n/&gt;!2d&lt;"</f>
        <v>#VALUE!</v>
      </c>
      <c r="HJ361" t="e">
        <f>'North America'!F1008+"n/&gt;!2d="</f>
        <v>#VALUE!</v>
      </c>
      <c r="HK361" t="e">
        <f>'North America'!G1008+"n/&gt;!2d&gt;"</f>
        <v>#VALUE!</v>
      </c>
      <c r="HL361" t="e">
        <f>'North America'!H1008+"n/&gt;!2d?"</f>
        <v>#VALUE!</v>
      </c>
      <c r="HM361" t="e">
        <f>'North America'!I1008+"n/&gt;!2d@"</f>
        <v>#VALUE!</v>
      </c>
      <c r="HN361" t="e">
        <f>'North America'!A1009+"n/&gt;!2dA"</f>
        <v>#VALUE!</v>
      </c>
      <c r="HO361" t="e">
        <f>'North America'!B1009+"n/&gt;!2dB"</f>
        <v>#VALUE!</v>
      </c>
      <c r="HP361" t="e">
        <f>'North America'!C1009+"n/&gt;!2dC"</f>
        <v>#VALUE!</v>
      </c>
      <c r="HQ361" t="e">
        <f>'North America'!D1009+"n/&gt;!2dD"</f>
        <v>#VALUE!</v>
      </c>
      <c r="HR361" t="e">
        <f>'North America'!E1009+"n/&gt;!2dE"</f>
        <v>#VALUE!</v>
      </c>
      <c r="HS361" t="e">
        <f>'North America'!F1009+"n/&gt;!2dF"</f>
        <v>#VALUE!</v>
      </c>
      <c r="HT361" t="e">
        <f>'North America'!G1009+"n/&gt;!2dG"</f>
        <v>#VALUE!</v>
      </c>
      <c r="HU361" t="e">
        <f>'North America'!H1009+"n/&gt;!2dH"</f>
        <v>#VALUE!</v>
      </c>
      <c r="HV361" t="e">
        <f>'North America'!I1009+"n/&gt;!2dI"</f>
        <v>#VALUE!</v>
      </c>
      <c r="HW361" t="e">
        <f>'North America'!A1010+"n/&gt;!2dJ"</f>
        <v>#VALUE!</v>
      </c>
      <c r="HX361" t="e">
        <f>'North America'!B1010+"n/&gt;!2dK"</f>
        <v>#VALUE!</v>
      </c>
      <c r="HY361" t="e">
        <f>'North America'!C1010+"n/&gt;!2dL"</f>
        <v>#VALUE!</v>
      </c>
      <c r="HZ361" t="e">
        <f>'North America'!D1010+"n/&gt;!2dM"</f>
        <v>#VALUE!</v>
      </c>
      <c r="IA361" t="e">
        <f>'North America'!E1010+"n/&gt;!2dN"</f>
        <v>#VALUE!</v>
      </c>
      <c r="IB361" t="e">
        <f>'North America'!F1010+"n/&gt;!2dO"</f>
        <v>#VALUE!</v>
      </c>
      <c r="IC361" t="e">
        <f>'North America'!G1010+"n/&gt;!2dP"</f>
        <v>#VALUE!</v>
      </c>
      <c r="ID361" t="e">
        <f>'North America'!H1010+"n/&gt;!2dQ"</f>
        <v>#VALUE!</v>
      </c>
      <c r="IE361" t="e">
        <f>'North America'!I1010+"n/&gt;!2dR"</f>
        <v>#VALUE!</v>
      </c>
      <c r="IF361" t="e">
        <f>'North America'!A1011+"n/&gt;!2dS"</f>
        <v>#VALUE!</v>
      </c>
      <c r="IG361" t="e">
        <f>'North America'!B1011+"n/&gt;!2dT"</f>
        <v>#VALUE!</v>
      </c>
      <c r="IH361" t="e">
        <f>'North America'!C1011+"n/&gt;!2dU"</f>
        <v>#VALUE!</v>
      </c>
      <c r="II361" t="e">
        <f>'North America'!D1011+"n/&gt;!2dV"</f>
        <v>#VALUE!</v>
      </c>
      <c r="IJ361" t="e">
        <f>'North America'!E1011+"n/&gt;!2dW"</f>
        <v>#VALUE!</v>
      </c>
      <c r="IK361" t="e">
        <f>'North America'!F1011+"n/&gt;!2dX"</f>
        <v>#VALUE!</v>
      </c>
      <c r="IL361" t="e">
        <f>'North America'!G1011+"n/&gt;!2dY"</f>
        <v>#VALUE!</v>
      </c>
      <c r="IM361" t="e">
        <f>'North America'!H1011+"n/&gt;!2dZ"</f>
        <v>#VALUE!</v>
      </c>
      <c r="IN361" t="e">
        <f>'North America'!I1011+"n/&gt;!2d["</f>
        <v>#VALUE!</v>
      </c>
      <c r="IO361" t="e">
        <f>'North America'!A1012+"n/&gt;!2d\"</f>
        <v>#VALUE!</v>
      </c>
      <c r="IP361" t="e">
        <f>'North America'!B1012+"n/&gt;!2d]"</f>
        <v>#VALUE!</v>
      </c>
      <c r="IQ361" t="e">
        <f>'North America'!C1012+"n/&gt;!2d^"</f>
        <v>#VALUE!</v>
      </c>
      <c r="IR361" t="e">
        <f>'North America'!D1012+"n/&gt;!2d_"</f>
        <v>#VALUE!</v>
      </c>
      <c r="IS361" t="e">
        <f>'North America'!E1012+"n/&gt;!2d`"</f>
        <v>#VALUE!</v>
      </c>
      <c r="IT361" t="e">
        <f>'North America'!F1012+"n/&gt;!2da"</f>
        <v>#VALUE!</v>
      </c>
      <c r="IU361" t="e">
        <f>'North America'!G1012+"n/&gt;!2db"</f>
        <v>#VALUE!</v>
      </c>
      <c r="IV361" t="e">
        <f>'North America'!H1012+"n/&gt;!2dc"</f>
        <v>#VALUE!</v>
      </c>
    </row>
    <row r="362" spans="6:256" x14ac:dyDescent="0.35">
      <c r="F362" t="e">
        <f>'North America'!I1012+"n/&gt;!2dd"</f>
        <v>#VALUE!</v>
      </c>
      <c r="G362" t="e">
        <f>'North America'!A1013+"n/&gt;!2de"</f>
        <v>#VALUE!</v>
      </c>
      <c r="H362" t="e">
        <f>'North America'!B1013+"n/&gt;!2df"</f>
        <v>#VALUE!</v>
      </c>
      <c r="I362" t="e">
        <f>'North America'!C1013+"n/&gt;!2dg"</f>
        <v>#VALUE!</v>
      </c>
      <c r="J362" t="e">
        <f>'North America'!D1013+"n/&gt;!2dh"</f>
        <v>#VALUE!</v>
      </c>
      <c r="K362" t="e">
        <f>'North America'!E1013+"n/&gt;!2di"</f>
        <v>#VALUE!</v>
      </c>
      <c r="L362" t="e">
        <f>'North America'!F1013+"n/&gt;!2dj"</f>
        <v>#VALUE!</v>
      </c>
      <c r="M362" t="e">
        <f>'North America'!G1013+"n/&gt;!2dk"</f>
        <v>#VALUE!</v>
      </c>
      <c r="N362" t="e">
        <f>'North America'!H1013+"n/&gt;!2dl"</f>
        <v>#VALUE!</v>
      </c>
      <c r="O362" t="e">
        <f>'North America'!I1013+"n/&gt;!2dm"</f>
        <v>#VALUE!</v>
      </c>
      <c r="P362" t="e">
        <f>'North America'!A1014+"n/&gt;!2dn"</f>
        <v>#VALUE!</v>
      </c>
      <c r="Q362" t="e">
        <f>'North America'!B1014+"n/&gt;!2do"</f>
        <v>#VALUE!</v>
      </c>
      <c r="R362" t="e">
        <f>'North America'!C1014+"n/&gt;!2dp"</f>
        <v>#VALUE!</v>
      </c>
      <c r="S362" t="e">
        <f>'North America'!D1014+"n/&gt;!2dq"</f>
        <v>#VALUE!</v>
      </c>
      <c r="T362" t="e">
        <f>'North America'!E1014+"n/&gt;!2dr"</f>
        <v>#VALUE!</v>
      </c>
      <c r="U362" t="e">
        <f>'North America'!F1014+"n/&gt;!2ds"</f>
        <v>#VALUE!</v>
      </c>
      <c r="V362" t="e">
        <f>'North America'!G1014+"n/&gt;!2dt"</f>
        <v>#VALUE!</v>
      </c>
      <c r="W362" t="e">
        <f>'North America'!H1014+"n/&gt;!2du"</f>
        <v>#VALUE!</v>
      </c>
      <c r="X362" t="e">
        <f>'North America'!I1014+"n/&gt;!2dv"</f>
        <v>#VALUE!</v>
      </c>
      <c r="Y362" t="e">
        <f>'North America'!A1015+"n/&gt;!2dw"</f>
        <v>#VALUE!</v>
      </c>
      <c r="Z362" t="e">
        <f>'North America'!B1015+"n/&gt;!2dx"</f>
        <v>#VALUE!</v>
      </c>
      <c r="AA362" t="e">
        <f>'North America'!C1015+"n/&gt;!2dy"</f>
        <v>#VALUE!</v>
      </c>
      <c r="AB362" t="e">
        <f>'North America'!D1015+"n/&gt;!2dz"</f>
        <v>#VALUE!</v>
      </c>
      <c r="AC362" t="e">
        <f>'North America'!E1015+"n/&gt;!2d{"</f>
        <v>#VALUE!</v>
      </c>
      <c r="AD362" t="e">
        <f>'North America'!F1015+"n/&gt;!2d|"</f>
        <v>#VALUE!</v>
      </c>
      <c r="AE362" t="e">
        <f>'North America'!G1015+"n/&gt;!2d}"</f>
        <v>#VALUE!</v>
      </c>
      <c r="AF362" t="e">
        <f>'North America'!H1015+"n/&gt;!2d~"</f>
        <v>#VALUE!</v>
      </c>
      <c r="AG362" t="e">
        <f>'North America'!I1015+"n/&gt;!2e#"</f>
        <v>#VALUE!</v>
      </c>
      <c r="AH362" t="e">
        <f>'North America'!A1016+"n/&gt;!2e$"</f>
        <v>#VALUE!</v>
      </c>
      <c r="AI362" t="e">
        <f>'North America'!B1016+"n/&gt;!2e%"</f>
        <v>#VALUE!</v>
      </c>
      <c r="AJ362" t="e">
        <f>'North America'!C1016+"n/&gt;!2e&amp;"</f>
        <v>#VALUE!</v>
      </c>
      <c r="AK362" t="e">
        <f>'North America'!D1016+"n/&gt;!2e'"</f>
        <v>#VALUE!</v>
      </c>
      <c r="AL362" t="e">
        <f>'North America'!E1016+"n/&gt;!2e("</f>
        <v>#VALUE!</v>
      </c>
      <c r="AM362" t="e">
        <f>'North America'!F1016+"n/&gt;!2e)"</f>
        <v>#VALUE!</v>
      </c>
      <c r="AN362" t="e">
        <f>'North America'!G1016+"n/&gt;!2e."</f>
        <v>#VALUE!</v>
      </c>
      <c r="AO362" t="e">
        <f>'North America'!H1016+"n/&gt;!2e/"</f>
        <v>#VALUE!</v>
      </c>
      <c r="AP362" t="e">
        <f>'North America'!I1016+"n/&gt;!2e0"</f>
        <v>#VALUE!</v>
      </c>
      <c r="AQ362" t="e">
        <f>'North America'!A1017+"n/&gt;!2e1"</f>
        <v>#VALUE!</v>
      </c>
      <c r="AR362" t="e">
        <f>'North America'!B1017+"n/&gt;!2e2"</f>
        <v>#VALUE!</v>
      </c>
      <c r="AS362" t="e">
        <f>'North America'!C1017+"n/&gt;!2e3"</f>
        <v>#VALUE!</v>
      </c>
      <c r="AT362" t="e">
        <f>'North America'!D1017+"n/&gt;!2e4"</f>
        <v>#VALUE!</v>
      </c>
      <c r="AU362" t="e">
        <f>'North America'!E1017+"n/&gt;!2e5"</f>
        <v>#VALUE!</v>
      </c>
      <c r="AV362" t="e">
        <f>'North America'!F1017+"n/&gt;!2e6"</f>
        <v>#VALUE!</v>
      </c>
      <c r="AW362" t="e">
        <f>'North America'!G1017+"n/&gt;!2e7"</f>
        <v>#VALUE!</v>
      </c>
      <c r="AX362" t="e">
        <f>'North America'!H1017+"n/&gt;!2e8"</f>
        <v>#VALUE!</v>
      </c>
      <c r="AY362" t="e">
        <f>'North America'!I1017+"n/&gt;!2e9"</f>
        <v>#VALUE!</v>
      </c>
      <c r="AZ362" t="e">
        <f>'North America'!A1018+"n/&gt;!2e:"</f>
        <v>#VALUE!</v>
      </c>
      <c r="BA362" t="e">
        <f>'North America'!B1018+"n/&gt;!2e;"</f>
        <v>#VALUE!</v>
      </c>
      <c r="BB362" t="e">
        <f>'North America'!C1018+"n/&gt;!2e&lt;"</f>
        <v>#VALUE!</v>
      </c>
      <c r="BC362" t="e">
        <f>'North America'!D1018+"n/&gt;!2e="</f>
        <v>#VALUE!</v>
      </c>
      <c r="BD362" t="e">
        <f>'North America'!E1018+"n/&gt;!2e&gt;"</f>
        <v>#VALUE!</v>
      </c>
      <c r="BE362" t="e">
        <f>'North America'!F1018+"n/&gt;!2e?"</f>
        <v>#VALUE!</v>
      </c>
      <c r="BF362" t="e">
        <f>'North America'!G1018+"n/&gt;!2e@"</f>
        <v>#VALUE!</v>
      </c>
      <c r="BG362" t="e">
        <f>'North America'!H1018+"n/&gt;!2eA"</f>
        <v>#VALUE!</v>
      </c>
      <c r="BH362" t="e">
        <f>'North America'!I1018+"n/&gt;!2eB"</f>
        <v>#VALUE!</v>
      </c>
      <c r="BI362" t="e">
        <f>'North America'!A1019+"n/&gt;!2eC"</f>
        <v>#VALUE!</v>
      </c>
      <c r="BJ362" t="e">
        <f>'North America'!B1019+"n/&gt;!2eD"</f>
        <v>#VALUE!</v>
      </c>
      <c r="BK362" t="e">
        <f>'North America'!C1019+"n/&gt;!2eE"</f>
        <v>#VALUE!</v>
      </c>
      <c r="BL362" t="e">
        <f>'North America'!D1019+"n/&gt;!2eF"</f>
        <v>#VALUE!</v>
      </c>
      <c r="BM362" t="e">
        <f>'North America'!E1019+"n/&gt;!2eG"</f>
        <v>#VALUE!</v>
      </c>
      <c r="BN362" t="e">
        <f>'North America'!F1019+"n/&gt;!2eH"</f>
        <v>#VALUE!</v>
      </c>
      <c r="BO362" t="e">
        <f>'North America'!G1019+"n/&gt;!2eI"</f>
        <v>#VALUE!</v>
      </c>
      <c r="BP362" t="e">
        <f>'North America'!H1019+"n/&gt;!2eJ"</f>
        <v>#VALUE!</v>
      </c>
      <c r="BQ362" t="e">
        <f>'North America'!I1019+"n/&gt;!2eK"</f>
        <v>#VALUE!</v>
      </c>
      <c r="BR362" t="e">
        <f>'North America'!A1020+"n/&gt;!2eL"</f>
        <v>#VALUE!</v>
      </c>
      <c r="BS362" t="e">
        <f>'North America'!B1020+"n/&gt;!2eM"</f>
        <v>#VALUE!</v>
      </c>
      <c r="BT362" t="e">
        <f>'North America'!C1020+"n/&gt;!2eN"</f>
        <v>#VALUE!</v>
      </c>
      <c r="BU362" t="e">
        <f>'North America'!D1020+"n/&gt;!2eO"</f>
        <v>#VALUE!</v>
      </c>
      <c r="BV362" t="e">
        <f>'North America'!E1020+"n/&gt;!2eP"</f>
        <v>#VALUE!</v>
      </c>
      <c r="BW362" t="e">
        <f>'North America'!F1020+"n/&gt;!2eQ"</f>
        <v>#VALUE!</v>
      </c>
      <c r="BX362" t="e">
        <f>'North America'!G1020+"n/&gt;!2eR"</f>
        <v>#VALUE!</v>
      </c>
      <c r="BY362" t="e">
        <f>'North America'!H1020+"n/&gt;!2eS"</f>
        <v>#VALUE!</v>
      </c>
      <c r="BZ362" t="e">
        <f>'North America'!I1020+"n/&gt;!2eT"</f>
        <v>#VALUE!</v>
      </c>
      <c r="CA362" t="e">
        <f>'North America'!A1021+"n/&gt;!2eU"</f>
        <v>#VALUE!</v>
      </c>
      <c r="CB362" t="e">
        <f>'North America'!B1021+"n/&gt;!2eV"</f>
        <v>#VALUE!</v>
      </c>
      <c r="CC362" t="e">
        <f>'North America'!C1021+"n/&gt;!2eW"</f>
        <v>#VALUE!</v>
      </c>
      <c r="CD362" t="e">
        <f>'North America'!D1021+"n/&gt;!2eX"</f>
        <v>#VALUE!</v>
      </c>
      <c r="CE362" t="e">
        <f>'North America'!E1021+"n/&gt;!2eY"</f>
        <v>#VALUE!</v>
      </c>
      <c r="CF362" t="e">
        <f>'North America'!F1021+"n/&gt;!2eZ"</f>
        <v>#VALUE!</v>
      </c>
      <c r="CG362" t="e">
        <f>'North America'!G1021+"n/&gt;!2e["</f>
        <v>#VALUE!</v>
      </c>
      <c r="CH362" t="e">
        <f>'North America'!H1021+"n/&gt;!2e\"</f>
        <v>#VALUE!</v>
      </c>
      <c r="CI362" t="e">
        <f>'North America'!I1021+"n/&gt;!2e]"</f>
        <v>#VALUE!</v>
      </c>
      <c r="CJ362" t="e">
        <f>'North America'!A1022+"n/&gt;!2e^"</f>
        <v>#VALUE!</v>
      </c>
      <c r="CK362" t="e">
        <f>'North America'!B1022+"n/&gt;!2e_"</f>
        <v>#VALUE!</v>
      </c>
      <c r="CL362" t="e">
        <f>'North America'!C1022+"n/&gt;!2e`"</f>
        <v>#VALUE!</v>
      </c>
      <c r="CM362" t="e">
        <f>'North America'!D1022+"n/&gt;!2ea"</f>
        <v>#VALUE!</v>
      </c>
      <c r="CN362" t="e">
        <f>'North America'!E1022+"n/&gt;!2eb"</f>
        <v>#VALUE!</v>
      </c>
      <c r="CO362" t="e">
        <f>'North America'!F1022+"n/&gt;!2ec"</f>
        <v>#VALUE!</v>
      </c>
      <c r="CP362" t="e">
        <f>'North America'!G1022+"n/&gt;!2ed"</f>
        <v>#VALUE!</v>
      </c>
      <c r="CQ362" t="e">
        <f>'North America'!H1022+"n/&gt;!2ee"</f>
        <v>#VALUE!</v>
      </c>
      <c r="CR362" t="e">
        <f>'North America'!I1022+"n/&gt;!2ef"</f>
        <v>#VALUE!</v>
      </c>
      <c r="CS362" t="e">
        <f>'North America'!A1023+"n/&gt;!2eg"</f>
        <v>#VALUE!</v>
      </c>
      <c r="CT362" t="e">
        <f>'North America'!B1023+"n/&gt;!2eh"</f>
        <v>#VALUE!</v>
      </c>
      <c r="CU362" t="e">
        <f>'North America'!C1023+"n/&gt;!2ei"</f>
        <v>#VALUE!</v>
      </c>
      <c r="CV362" t="e">
        <f>'North America'!D1023+"n/&gt;!2ej"</f>
        <v>#VALUE!</v>
      </c>
      <c r="CW362" t="e">
        <f>'North America'!E1023+"n/&gt;!2ek"</f>
        <v>#VALUE!</v>
      </c>
      <c r="CX362" t="e">
        <f>'North America'!F1023+"n/&gt;!2el"</f>
        <v>#VALUE!</v>
      </c>
      <c r="CY362" t="e">
        <f>'North America'!G1023+"n/&gt;!2em"</f>
        <v>#VALUE!</v>
      </c>
      <c r="CZ362" t="e">
        <f>'North America'!H1023+"n/&gt;!2en"</f>
        <v>#VALUE!</v>
      </c>
      <c r="DA362" t="e">
        <f>'North America'!I1023+"n/&gt;!2eo"</f>
        <v>#VALUE!</v>
      </c>
      <c r="DB362" t="e">
        <f>'North America'!A1024+"n/&gt;!2ep"</f>
        <v>#VALUE!</v>
      </c>
      <c r="DC362" t="e">
        <f>'North America'!B1024+"n/&gt;!2eq"</f>
        <v>#VALUE!</v>
      </c>
      <c r="DD362" t="e">
        <f>'North America'!C1024+"n/&gt;!2er"</f>
        <v>#VALUE!</v>
      </c>
      <c r="DE362" t="e">
        <f>'North America'!D1024+"n/&gt;!2es"</f>
        <v>#VALUE!</v>
      </c>
      <c r="DF362" t="e">
        <f>'North America'!E1024+"n/&gt;!2et"</f>
        <v>#VALUE!</v>
      </c>
      <c r="DG362" t="e">
        <f>'North America'!F1024+"n/&gt;!2eu"</f>
        <v>#VALUE!</v>
      </c>
      <c r="DH362" t="e">
        <f>'North America'!G1024+"n/&gt;!2ev"</f>
        <v>#VALUE!</v>
      </c>
      <c r="DI362" t="e">
        <f>'North America'!H1024+"n/&gt;!2ew"</f>
        <v>#VALUE!</v>
      </c>
      <c r="DJ362" t="e">
        <f>'North America'!I1024+"n/&gt;!2ex"</f>
        <v>#VALUE!</v>
      </c>
      <c r="DK362" t="e">
        <f>'North America'!A1025+"n/&gt;!2ey"</f>
        <v>#VALUE!</v>
      </c>
      <c r="DL362" t="e">
        <f>'North America'!B1025+"n/&gt;!2ez"</f>
        <v>#VALUE!</v>
      </c>
      <c r="DM362" t="e">
        <f>'North America'!C1025+"n/&gt;!2e{"</f>
        <v>#VALUE!</v>
      </c>
      <c r="DN362" t="e">
        <f>'North America'!D1025+"n/&gt;!2e|"</f>
        <v>#VALUE!</v>
      </c>
      <c r="DO362" t="e">
        <f>'North America'!E1025+"n/&gt;!2e}"</f>
        <v>#VALUE!</v>
      </c>
      <c r="DP362" t="e">
        <f>'North America'!F1025+"n/&gt;!2e~"</f>
        <v>#VALUE!</v>
      </c>
      <c r="DQ362" t="e">
        <f>'North America'!G1025+"n/&gt;!2f#"</f>
        <v>#VALUE!</v>
      </c>
      <c r="DR362" t="e">
        <f>'North America'!H1025+"n/&gt;!2f$"</f>
        <v>#VALUE!</v>
      </c>
      <c r="DS362" t="e">
        <f>'North America'!I1025+"n/&gt;!2f%"</f>
        <v>#VALUE!</v>
      </c>
      <c r="DT362" t="e">
        <f>'North America'!A1026+"n/&gt;!2f&amp;"</f>
        <v>#VALUE!</v>
      </c>
      <c r="DU362" t="e">
        <f>'North America'!B1026+"n/&gt;!2f'"</f>
        <v>#VALUE!</v>
      </c>
      <c r="DV362" t="e">
        <f>'North America'!C1026+"n/&gt;!2f("</f>
        <v>#VALUE!</v>
      </c>
      <c r="DW362" t="e">
        <f>'North America'!D1026+"n/&gt;!2f)"</f>
        <v>#VALUE!</v>
      </c>
      <c r="DX362" t="e">
        <f>'North America'!E1026+"n/&gt;!2f."</f>
        <v>#VALUE!</v>
      </c>
      <c r="DY362" t="e">
        <f>'North America'!F1026+"n/&gt;!2f/"</f>
        <v>#VALUE!</v>
      </c>
      <c r="DZ362" t="e">
        <f>'North America'!G1026+"n/&gt;!2f0"</f>
        <v>#VALUE!</v>
      </c>
      <c r="EA362" t="e">
        <f>'North America'!H1026+"n/&gt;!2f1"</f>
        <v>#VALUE!</v>
      </c>
      <c r="EB362" t="e">
        <f>'North America'!I1026+"n/&gt;!2f2"</f>
        <v>#VALUE!</v>
      </c>
      <c r="EC362" t="e">
        <f>'North America'!A1027+"n/&gt;!2f3"</f>
        <v>#VALUE!</v>
      </c>
      <c r="ED362" t="e">
        <f>'North America'!B1027+"n/&gt;!2f4"</f>
        <v>#VALUE!</v>
      </c>
      <c r="EE362" t="e">
        <f>'North America'!C1027+"n/&gt;!2f5"</f>
        <v>#VALUE!</v>
      </c>
      <c r="EF362" t="e">
        <f>'North America'!D1027+"n/&gt;!2f6"</f>
        <v>#VALUE!</v>
      </c>
      <c r="EG362" t="e">
        <f>'North America'!E1027+"n/&gt;!2f7"</f>
        <v>#VALUE!</v>
      </c>
      <c r="EH362" t="e">
        <f>'North America'!F1027+"n/&gt;!2f8"</f>
        <v>#VALUE!</v>
      </c>
      <c r="EI362" t="e">
        <f>'North America'!G1027+"n/&gt;!2f9"</f>
        <v>#VALUE!</v>
      </c>
      <c r="EJ362" t="e">
        <f>'North America'!H1027+"n/&gt;!2f:"</f>
        <v>#VALUE!</v>
      </c>
      <c r="EK362" t="e">
        <f>'North America'!I1027+"n/&gt;!2f;"</f>
        <v>#VALUE!</v>
      </c>
      <c r="EL362" t="e">
        <f>'North America'!A1028+"n/&gt;!2f&lt;"</f>
        <v>#VALUE!</v>
      </c>
      <c r="EM362" t="e">
        <f>'North America'!B1028+"n/&gt;!2f="</f>
        <v>#VALUE!</v>
      </c>
      <c r="EN362" t="e">
        <f>'North America'!C1028+"n/&gt;!2f&gt;"</f>
        <v>#VALUE!</v>
      </c>
      <c r="EO362" t="e">
        <f>'North America'!D1028+"n/&gt;!2f?"</f>
        <v>#VALUE!</v>
      </c>
      <c r="EP362" t="e">
        <f>'North America'!E1028+"n/&gt;!2f@"</f>
        <v>#VALUE!</v>
      </c>
      <c r="EQ362" t="e">
        <f>'North America'!F1028+"n/&gt;!2fA"</f>
        <v>#VALUE!</v>
      </c>
      <c r="ER362" t="e">
        <f>'North America'!G1028+"n/&gt;!2fB"</f>
        <v>#VALUE!</v>
      </c>
      <c r="ES362" t="e">
        <f>'North America'!H1028+"n/&gt;!2fC"</f>
        <v>#VALUE!</v>
      </c>
      <c r="ET362" t="e">
        <f>'North America'!I1028+"n/&gt;!2fD"</f>
        <v>#VALUE!</v>
      </c>
      <c r="EU362" t="e">
        <f>'North America'!A1029+"n/&gt;!2fE"</f>
        <v>#VALUE!</v>
      </c>
      <c r="EV362" t="e">
        <f>'North America'!B1029+"n/&gt;!2fF"</f>
        <v>#VALUE!</v>
      </c>
      <c r="EW362" t="e">
        <f>'North America'!C1029+"n/&gt;!2fG"</f>
        <v>#VALUE!</v>
      </c>
      <c r="EX362" t="e">
        <f>'North America'!D1029+"n/&gt;!2fH"</f>
        <v>#VALUE!</v>
      </c>
      <c r="EY362" t="e">
        <f>'North America'!E1029+"n/&gt;!2fI"</f>
        <v>#VALUE!</v>
      </c>
      <c r="EZ362" t="e">
        <f>'North America'!F1029+"n/&gt;!2fJ"</f>
        <v>#VALUE!</v>
      </c>
      <c r="FA362" t="e">
        <f>'North America'!G1029+"n/&gt;!2fK"</f>
        <v>#VALUE!</v>
      </c>
      <c r="FB362" t="e">
        <f>'North America'!H1029+"n/&gt;!2fL"</f>
        <v>#VALUE!</v>
      </c>
      <c r="FC362" t="e">
        <f>'North America'!I1029+"n/&gt;!2fM"</f>
        <v>#VALUE!</v>
      </c>
      <c r="FD362" t="e">
        <f>'North America'!A1030+"n/&gt;!2fN"</f>
        <v>#VALUE!</v>
      </c>
      <c r="FE362" t="e">
        <f>'North America'!B1030+"n/&gt;!2fO"</f>
        <v>#VALUE!</v>
      </c>
      <c r="FF362" t="e">
        <f>'North America'!C1030+"n/&gt;!2fP"</f>
        <v>#VALUE!</v>
      </c>
      <c r="FG362" t="e">
        <f>'North America'!D1030+"n/&gt;!2fQ"</f>
        <v>#VALUE!</v>
      </c>
      <c r="FH362" t="e">
        <f>'North America'!E1030+"n/&gt;!2fR"</f>
        <v>#VALUE!</v>
      </c>
      <c r="FI362" t="e">
        <f>'North America'!F1030+"n/&gt;!2fS"</f>
        <v>#VALUE!</v>
      </c>
      <c r="FJ362" t="e">
        <f>'North America'!G1030+"n/&gt;!2fT"</f>
        <v>#VALUE!</v>
      </c>
      <c r="FK362" t="e">
        <f>'North America'!H1030+"n/&gt;!2fU"</f>
        <v>#VALUE!</v>
      </c>
      <c r="FL362" t="e">
        <f>'North America'!I1030+"n/&gt;!2fV"</f>
        <v>#VALUE!</v>
      </c>
      <c r="FM362" t="e">
        <f>'North America'!A1031+"n/&gt;!2fW"</f>
        <v>#VALUE!</v>
      </c>
      <c r="FN362" t="e">
        <f>'North America'!B1031+"n/&gt;!2fX"</f>
        <v>#VALUE!</v>
      </c>
      <c r="FO362" t="e">
        <f>'North America'!C1031+"n/&gt;!2fY"</f>
        <v>#VALUE!</v>
      </c>
      <c r="FP362" t="e">
        <f>'North America'!D1031+"n/&gt;!2fZ"</f>
        <v>#VALUE!</v>
      </c>
      <c r="FQ362" t="e">
        <f>'North America'!E1031+"n/&gt;!2f["</f>
        <v>#VALUE!</v>
      </c>
      <c r="FR362" t="e">
        <f>'North America'!F1031+"n/&gt;!2f\"</f>
        <v>#VALUE!</v>
      </c>
      <c r="FS362" t="e">
        <f>'North America'!G1031+"n/&gt;!2f]"</f>
        <v>#VALUE!</v>
      </c>
      <c r="FT362" t="e">
        <f>'North America'!H1031+"n/&gt;!2f^"</f>
        <v>#VALUE!</v>
      </c>
      <c r="FU362" t="e">
        <f>'North America'!I1031+"n/&gt;!2f_"</f>
        <v>#VALUE!</v>
      </c>
      <c r="FV362" t="e">
        <f>'North America'!A1032+"n/&gt;!2f`"</f>
        <v>#VALUE!</v>
      </c>
      <c r="FW362" t="e">
        <f>'North America'!B1032+"n/&gt;!2fa"</f>
        <v>#VALUE!</v>
      </c>
      <c r="FX362" t="e">
        <f>'North America'!C1032+"n/&gt;!2fb"</f>
        <v>#VALUE!</v>
      </c>
      <c r="FY362" t="e">
        <f>'North America'!D1032+"n/&gt;!2fc"</f>
        <v>#VALUE!</v>
      </c>
      <c r="FZ362" t="e">
        <f>'North America'!E1032+"n/&gt;!2fd"</f>
        <v>#VALUE!</v>
      </c>
      <c r="GA362" t="e">
        <f>'North America'!F1032+"n/&gt;!2fe"</f>
        <v>#VALUE!</v>
      </c>
      <c r="GB362" t="e">
        <f>'North America'!G1032+"n/&gt;!2ff"</f>
        <v>#VALUE!</v>
      </c>
      <c r="GC362" t="e">
        <f>'North America'!H1032+"n/&gt;!2fg"</f>
        <v>#VALUE!</v>
      </c>
      <c r="GD362" t="e">
        <f>'North America'!I1032+"n/&gt;!2fh"</f>
        <v>#VALUE!</v>
      </c>
      <c r="GE362" t="e">
        <f>'North America'!A1033+"n/&gt;!2fi"</f>
        <v>#VALUE!</v>
      </c>
      <c r="GF362" t="e">
        <f>'North America'!B1033+"n/&gt;!2fj"</f>
        <v>#VALUE!</v>
      </c>
      <c r="GG362" t="e">
        <f>'North America'!C1033+"n/&gt;!2fk"</f>
        <v>#VALUE!</v>
      </c>
      <c r="GH362" t="e">
        <f>'North America'!D1033+"n/&gt;!2fl"</f>
        <v>#VALUE!</v>
      </c>
      <c r="GI362" t="e">
        <f>'North America'!E1033+"n/&gt;!2fm"</f>
        <v>#VALUE!</v>
      </c>
      <c r="GJ362" t="e">
        <f>'North America'!F1033+"n/&gt;!2fn"</f>
        <v>#VALUE!</v>
      </c>
      <c r="GK362" t="e">
        <f>'North America'!G1033+"n/&gt;!2fo"</f>
        <v>#VALUE!</v>
      </c>
      <c r="GL362" t="e">
        <f>'North America'!H1033+"n/&gt;!2fp"</f>
        <v>#VALUE!</v>
      </c>
      <c r="GM362" t="e">
        <f>'North America'!I1033+"n/&gt;!2fq"</f>
        <v>#VALUE!</v>
      </c>
      <c r="GN362" t="e">
        <f>'North America'!A1034+"n/&gt;!2fr"</f>
        <v>#VALUE!</v>
      </c>
      <c r="GO362" t="e">
        <f>'North America'!B1034+"n/&gt;!2fs"</f>
        <v>#VALUE!</v>
      </c>
      <c r="GP362" t="e">
        <f>'North America'!C1034+"n/&gt;!2ft"</f>
        <v>#VALUE!</v>
      </c>
      <c r="GQ362" t="e">
        <f>'North America'!D1034+"n/&gt;!2fu"</f>
        <v>#VALUE!</v>
      </c>
      <c r="GR362" t="e">
        <f>'North America'!E1034+"n/&gt;!2fv"</f>
        <v>#VALUE!</v>
      </c>
      <c r="GS362" t="e">
        <f>'North America'!F1034+"n/&gt;!2fw"</f>
        <v>#VALUE!</v>
      </c>
      <c r="GT362" t="e">
        <f>'North America'!G1034+"n/&gt;!2fx"</f>
        <v>#VALUE!</v>
      </c>
      <c r="GU362" t="e">
        <f>'North America'!H1034+"n/&gt;!2fy"</f>
        <v>#VALUE!</v>
      </c>
      <c r="GV362" t="e">
        <f>'North America'!I1034+"n/&gt;!2fz"</f>
        <v>#VALUE!</v>
      </c>
      <c r="GW362" t="e">
        <f>'North America'!A1035+"n/&gt;!2f{"</f>
        <v>#VALUE!</v>
      </c>
      <c r="GX362" t="e">
        <f>'North America'!B1035+"n/&gt;!2f|"</f>
        <v>#VALUE!</v>
      </c>
      <c r="GY362" t="e">
        <f>'North America'!C1035+"n/&gt;!2f}"</f>
        <v>#VALUE!</v>
      </c>
      <c r="GZ362" t="e">
        <f>'North America'!D1035+"n/&gt;!2f~"</f>
        <v>#VALUE!</v>
      </c>
      <c r="HA362" t="e">
        <f>'North America'!E1035+"n/&gt;!2g#"</f>
        <v>#VALUE!</v>
      </c>
      <c r="HB362" t="e">
        <f>'North America'!F1035+"n/&gt;!2g$"</f>
        <v>#VALUE!</v>
      </c>
      <c r="HC362" t="e">
        <f>'North America'!G1035+"n/&gt;!2g%"</f>
        <v>#VALUE!</v>
      </c>
      <c r="HD362" t="e">
        <f>'North America'!H1035+"n/&gt;!2g&amp;"</f>
        <v>#VALUE!</v>
      </c>
      <c r="HE362" t="e">
        <f>'North America'!I1035+"n/&gt;!2g'"</f>
        <v>#VALUE!</v>
      </c>
      <c r="HF362" t="e">
        <f>'North America'!A1036+"n/&gt;!2g("</f>
        <v>#VALUE!</v>
      </c>
      <c r="HG362" t="e">
        <f>'North America'!B1036+"n/&gt;!2g)"</f>
        <v>#VALUE!</v>
      </c>
      <c r="HH362" t="e">
        <f>'North America'!C1036+"n/&gt;!2g."</f>
        <v>#VALUE!</v>
      </c>
      <c r="HI362" t="e">
        <f>'North America'!D1036+"n/&gt;!2g/"</f>
        <v>#VALUE!</v>
      </c>
      <c r="HJ362" t="e">
        <f>'North America'!E1036+"n/&gt;!2g0"</f>
        <v>#VALUE!</v>
      </c>
      <c r="HK362" t="e">
        <f>'North America'!F1036+"n/&gt;!2g1"</f>
        <v>#VALUE!</v>
      </c>
      <c r="HL362" t="e">
        <f>'North America'!G1036+"n/&gt;!2g2"</f>
        <v>#VALUE!</v>
      </c>
      <c r="HM362" t="e">
        <f>'North America'!H1036+"n/&gt;!2g3"</f>
        <v>#VALUE!</v>
      </c>
      <c r="HN362" t="e">
        <f>'North America'!I1036+"n/&gt;!2g4"</f>
        <v>#VALUE!</v>
      </c>
      <c r="HO362" t="e">
        <f>'North America'!A1037+"n/&gt;!2g5"</f>
        <v>#VALUE!</v>
      </c>
      <c r="HP362" t="e">
        <f>'North America'!B1037+"n/&gt;!2g6"</f>
        <v>#VALUE!</v>
      </c>
      <c r="HQ362" t="e">
        <f>'North America'!C1037+"n/&gt;!2g7"</f>
        <v>#VALUE!</v>
      </c>
      <c r="HR362" t="e">
        <f>'North America'!D1037+"n/&gt;!2g8"</f>
        <v>#VALUE!</v>
      </c>
      <c r="HS362" t="e">
        <f>'North America'!E1037+"n/&gt;!2g9"</f>
        <v>#VALUE!</v>
      </c>
      <c r="HT362" t="e">
        <f>'North America'!F1037+"n/&gt;!2g:"</f>
        <v>#VALUE!</v>
      </c>
      <c r="HU362" t="e">
        <f>'North America'!G1037+"n/&gt;!2g;"</f>
        <v>#VALUE!</v>
      </c>
      <c r="HV362" t="e">
        <f>'North America'!H1037+"n/&gt;!2g&lt;"</f>
        <v>#VALUE!</v>
      </c>
      <c r="HW362" t="e">
        <f>'North America'!I1037+"n/&gt;!2g="</f>
        <v>#VALUE!</v>
      </c>
      <c r="HX362" t="e">
        <f>'North America'!A1038+"n/&gt;!2g&gt;"</f>
        <v>#VALUE!</v>
      </c>
      <c r="HY362" t="e">
        <f>'North America'!B1038+"n/&gt;!2g?"</f>
        <v>#VALUE!</v>
      </c>
      <c r="HZ362" t="e">
        <f>'North America'!C1038+"n/&gt;!2g@"</f>
        <v>#VALUE!</v>
      </c>
      <c r="IA362" t="e">
        <f>'North America'!D1038+"n/&gt;!2gA"</f>
        <v>#VALUE!</v>
      </c>
      <c r="IB362" t="e">
        <f>'North America'!E1038+"n/&gt;!2gB"</f>
        <v>#VALUE!</v>
      </c>
      <c r="IC362" t="e">
        <f>'North America'!F1038+"n/&gt;!2gC"</f>
        <v>#VALUE!</v>
      </c>
      <c r="ID362" t="e">
        <f>'North America'!G1038+"n/&gt;!2gD"</f>
        <v>#VALUE!</v>
      </c>
      <c r="IE362" t="e">
        <f>'North America'!H1038+"n/&gt;!2gE"</f>
        <v>#VALUE!</v>
      </c>
      <c r="IF362" t="e">
        <f>'North America'!I1038+"n/&gt;!2gF"</f>
        <v>#VALUE!</v>
      </c>
      <c r="IG362" t="e">
        <f>'North America'!A1039+"n/&gt;!2gG"</f>
        <v>#VALUE!</v>
      </c>
      <c r="IH362" t="e">
        <f>'North America'!B1039+"n/&gt;!2gH"</f>
        <v>#VALUE!</v>
      </c>
      <c r="II362" t="e">
        <f>'North America'!C1039+"n/&gt;!2gI"</f>
        <v>#VALUE!</v>
      </c>
      <c r="IJ362" t="e">
        <f>'North America'!D1039+"n/&gt;!2gJ"</f>
        <v>#VALUE!</v>
      </c>
      <c r="IK362" t="e">
        <f>'North America'!E1039+"n/&gt;!2gK"</f>
        <v>#VALUE!</v>
      </c>
      <c r="IL362" t="e">
        <f>'North America'!F1039+"n/&gt;!2gL"</f>
        <v>#VALUE!</v>
      </c>
      <c r="IM362" t="e">
        <f>'North America'!G1039+"n/&gt;!2gM"</f>
        <v>#VALUE!</v>
      </c>
      <c r="IN362" t="e">
        <f>'North America'!H1039+"n/&gt;!2gN"</f>
        <v>#VALUE!</v>
      </c>
      <c r="IO362" t="e">
        <f>'North America'!I1039+"n/&gt;!2gO"</f>
        <v>#VALUE!</v>
      </c>
      <c r="IP362" t="e">
        <f>'North America'!A1040+"n/&gt;!2gP"</f>
        <v>#VALUE!</v>
      </c>
      <c r="IQ362" t="e">
        <f>'North America'!B1040+"n/&gt;!2gQ"</f>
        <v>#VALUE!</v>
      </c>
      <c r="IR362" t="e">
        <f>'North America'!C1040+"n/&gt;!2gR"</f>
        <v>#VALUE!</v>
      </c>
      <c r="IS362" t="e">
        <f>'North America'!D1040+"n/&gt;!2gS"</f>
        <v>#VALUE!</v>
      </c>
      <c r="IT362" t="e">
        <f>'North America'!E1040+"n/&gt;!2gT"</f>
        <v>#VALUE!</v>
      </c>
      <c r="IU362" t="e">
        <f>'North America'!F1040+"n/&gt;!2gU"</f>
        <v>#VALUE!</v>
      </c>
      <c r="IV362" t="e">
        <f>'North America'!G1040+"n/&gt;!2gV"</f>
        <v>#VALUE!</v>
      </c>
    </row>
    <row r="363" spans="6:256" x14ac:dyDescent="0.35">
      <c r="F363" t="e">
        <f>'North America'!H1040+"n/&gt;!2gW"</f>
        <v>#VALUE!</v>
      </c>
      <c r="G363" t="e">
        <f>'North America'!I1040+"n/&gt;!2gX"</f>
        <v>#VALUE!</v>
      </c>
      <c r="H363" t="e">
        <f>'North America'!A1041+"n/&gt;!2gY"</f>
        <v>#VALUE!</v>
      </c>
      <c r="I363" t="e">
        <f>'North America'!B1041+"n/&gt;!2gZ"</f>
        <v>#VALUE!</v>
      </c>
      <c r="J363" t="e">
        <f>'North America'!C1041+"n/&gt;!2g["</f>
        <v>#VALUE!</v>
      </c>
      <c r="K363" t="e">
        <f>'North America'!D1041+"n/&gt;!2g\"</f>
        <v>#VALUE!</v>
      </c>
      <c r="L363" t="e">
        <f>'North America'!E1041+"n/&gt;!2g]"</f>
        <v>#VALUE!</v>
      </c>
      <c r="M363" t="e">
        <f>'North America'!F1041+"n/&gt;!2g^"</f>
        <v>#VALUE!</v>
      </c>
      <c r="N363" t="e">
        <f>'North America'!G1041+"n/&gt;!2g_"</f>
        <v>#VALUE!</v>
      </c>
      <c r="O363" t="e">
        <f>'North America'!H1041+"n/&gt;!2g`"</f>
        <v>#VALUE!</v>
      </c>
      <c r="P363" t="e">
        <f>'North America'!I1041+"n/&gt;!2ga"</f>
        <v>#VALUE!</v>
      </c>
      <c r="Q363" t="e">
        <f>'North America'!A1042+"n/&gt;!2gb"</f>
        <v>#VALUE!</v>
      </c>
      <c r="R363" t="e">
        <f>'North America'!B1042+"n/&gt;!2gc"</f>
        <v>#VALUE!</v>
      </c>
      <c r="S363" t="e">
        <f>'North America'!C1042+"n/&gt;!2gd"</f>
        <v>#VALUE!</v>
      </c>
      <c r="T363" t="e">
        <f>'North America'!D1042+"n/&gt;!2ge"</f>
        <v>#VALUE!</v>
      </c>
      <c r="U363" t="e">
        <f>'North America'!E1042+"n/&gt;!2gf"</f>
        <v>#VALUE!</v>
      </c>
      <c r="V363" t="e">
        <f>'North America'!F1042+"n/&gt;!2gg"</f>
        <v>#VALUE!</v>
      </c>
      <c r="W363" t="e">
        <f>'North America'!G1042+"n/&gt;!2gh"</f>
        <v>#VALUE!</v>
      </c>
      <c r="X363" t="e">
        <f>'North America'!H1042+"n/&gt;!2gi"</f>
        <v>#VALUE!</v>
      </c>
      <c r="Y363" t="e">
        <f>'North America'!I1042+"n/&gt;!2gj"</f>
        <v>#VALUE!</v>
      </c>
      <c r="Z363" t="e">
        <f>'North America'!A1043+"n/&gt;!2gk"</f>
        <v>#VALUE!</v>
      </c>
      <c r="AA363" t="e">
        <f>'North America'!B1043+"n/&gt;!2gl"</f>
        <v>#VALUE!</v>
      </c>
      <c r="AB363" t="e">
        <f>'North America'!C1043+"n/&gt;!2gm"</f>
        <v>#VALUE!</v>
      </c>
      <c r="AC363" t="e">
        <f>'North America'!D1043+"n/&gt;!2gn"</f>
        <v>#VALUE!</v>
      </c>
      <c r="AD363" t="e">
        <f>'North America'!E1043+"n/&gt;!2go"</f>
        <v>#VALUE!</v>
      </c>
      <c r="AE363" t="e">
        <f>'North America'!F1043+"n/&gt;!2gp"</f>
        <v>#VALUE!</v>
      </c>
      <c r="AF363" t="e">
        <f>'North America'!G1043+"n/&gt;!2gq"</f>
        <v>#VALUE!</v>
      </c>
      <c r="AG363" t="e">
        <f>'North America'!H1043+"n/&gt;!2gr"</f>
        <v>#VALUE!</v>
      </c>
      <c r="AH363" t="e">
        <f>'North America'!I1043+"n/&gt;!2gs"</f>
        <v>#VALUE!</v>
      </c>
      <c r="AI363" t="e">
        <f>'North America'!A1044+"n/&gt;!2gt"</f>
        <v>#VALUE!</v>
      </c>
      <c r="AJ363" t="e">
        <f>'North America'!B1044+"n/&gt;!2gu"</f>
        <v>#VALUE!</v>
      </c>
      <c r="AK363" t="e">
        <f>'North America'!C1044+"n/&gt;!2gv"</f>
        <v>#VALUE!</v>
      </c>
      <c r="AL363" t="e">
        <f>'North America'!D1044+"n/&gt;!2gw"</f>
        <v>#VALUE!</v>
      </c>
      <c r="AM363" t="e">
        <f>'North America'!E1044+"n/&gt;!2gx"</f>
        <v>#VALUE!</v>
      </c>
      <c r="AN363" t="e">
        <f>'North America'!F1044+"n/&gt;!2gy"</f>
        <v>#VALUE!</v>
      </c>
      <c r="AO363" t="e">
        <f>'North America'!G1044+"n/&gt;!2gz"</f>
        <v>#VALUE!</v>
      </c>
      <c r="AP363" t="e">
        <f>'North America'!H1044+"n/&gt;!2g{"</f>
        <v>#VALUE!</v>
      </c>
      <c r="AQ363" t="e">
        <f>'North America'!I1044+"n/&gt;!2g|"</f>
        <v>#VALUE!</v>
      </c>
      <c r="AR363" t="e">
        <f>'North America'!A1045+"n/&gt;!2g}"</f>
        <v>#VALUE!</v>
      </c>
      <c r="AS363" t="e">
        <f>'North America'!B1045+"n/&gt;!2g~"</f>
        <v>#VALUE!</v>
      </c>
      <c r="AT363" t="e">
        <f>'North America'!C1045+"n/&gt;!2h#"</f>
        <v>#VALUE!</v>
      </c>
      <c r="AU363" t="e">
        <f>'North America'!D1045+"n/&gt;!2h$"</f>
        <v>#VALUE!</v>
      </c>
      <c r="AV363" t="e">
        <f>'North America'!E1045+"n/&gt;!2h%"</f>
        <v>#VALUE!</v>
      </c>
      <c r="AW363" t="e">
        <f>'North America'!F1045+"n/&gt;!2h&amp;"</f>
        <v>#VALUE!</v>
      </c>
      <c r="AX363" t="e">
        <f>'North America'!G1045+"n/&gt;!2h'"</f>
        <v>#VALUE!</v>
      </c>
      <c r="AY363" t="e">
        <f>'North America'!H1045+"n/&gt;!2h("</f>
        <v>#VALUE!</v>
      </c>
      <c r="AZ363" t="e">
        <f>'North America'!I1045+"n/&gt;!2h)"</f>
        <v>#VALUE!</v>
      </c>
      <c r="BA363" t="e">
        <f>'North America'!A1046+"n/&gt;!2h."</f>
        <v>#VALUE!</v>
      </c>
      <c r="BB363" t="e">
        <f>'North America'!B1046+"n/&gt;!2h/"</f>
        <v>#VALUE!</v>
      </c>
      <c r="BC363" t="e">
        <f>'North America'!C1046+"n/&gt;!2h0"</f>
        <v>#VALUE!</v>
      </c>
      <c r="BD363" t="e">
        <f>'North America'!D1046+"n/&gt;!2h1"</f>
        <v>#VALUE!</v>
      </c>
      <c r="BE363" t="e">
        <f>'North America'!E1046+"n/&gt;!2h2"</f>
        <v>#VALUE!</v>
      </c>
      <c r="BF363" t="e">
        <f>'North America'!F1046+"n/&gt;!2h3"</f>
        <v>#VALUE!</v>
      </c>
      <c r="BG363" t="e">
        <f>'North America'!G1046+"n/&gt;!2h4"</f>
        <v>#VALUE!</v>
      </c>
      <c r="BH363" t="e">
        <f>'North America'!H1046+"n/&gt;!2h5"</f>
        <v>#VALUE!</v>
      </c>
      <c r="BI363" t="e">
        <f>'North America'!I1046+"n/&gt;!2h6"</f>
        <v>#VALUE!</v>
      </c>
      <c r="BJ363" t="e">
        <f>'North America'!A1047+"n/&gt;!2h7"</f>
        <v>#VALUE!</v>
      </c>
      <c r="BK363" t="e">
        <f>'North America'!B1047+"n/&gt;!2h8"</f>
        <v>#VALUE!</v>
      </c>
      <c r="BL363" t="e">
        <f>'North America'!C1047+"n/&gt;!2h9"</f>
        <v>#VALUE!</v>
      </c>
      <c r="BM363" t="e">
        <f>'North America'!D1047+"n/&gt;!2h:"</f>
        <v>#VALUE!</v>
      </c>
      <c r="BN363" t="e">
        <f>'North America'!E1047+"n/&gt;!2h;"</f>
        <v>#VALUE!</v>
      </c>
      <c r="BO363" t="e">
        <f>'North America'!F1047+"n/&gt;!2h&lt;"</f>
        <v>#VALUE!</v>
      </c>
      <c r="BP363" t="e">
        <f>'North America'!G1047+"n/&gt;!2h="</f>
        <v>#VALUE!</v>
      </c>
      <c r="BQ363" t="e">
        <f>'North America'!H1047+"n/&gt;!2h&gt;"</f>
        <v>#VALUE!</v>
      </c>
      <c r="BR363" t="e">
        <f>'North America'!I1047+"n/&gt;!2h?"</f>
        <v>#VALUE!</v>
      </c>
      <c r="BS363" t="e">
        <f>'North America'!A1048+"n/&gt;!2h@"</f>
        <v>#VALUE!</v>
      </c>
      <c r="BT363" t="e">
        <f>'North America'!B1048+"n/&gt;!2hA"</f>
        <v>#VALUE!</v>
      </c>
      <c r="BU363" t="e">
        <f>'North America'!C1048+"n/&gt;!2hB"</f>
        <v>#VALUE!</v>
      </c>
      <c r="BV363" t="e">
        <f>'North America'!D1048+"n/&gt;!2hC"</f>
        <v>#VALUE!</v>
      </c>
      <c r="BW363" t="e">
        <f>'North America'!E1048+"n/&gt;!2hD"</f>
        <v>#VALUE!</v>
      </c>
      <c r="BX363" t="e">
        <f>'North America'!F1048+"n/&gt;!2hE"</f>
        <v>#VALUE!</v>
      </c>
      <c r="BY363" t="e">
        <f>'North America'!G1048+"n/&gt;!2hF"</f>
        <v>#VALUE!</v>
      </c>
      <c r="BZ363" t="e">
        <f>'North America'!H1048+"n/&gt;!2hG"</f>
        <v>#VALUE!</v>
      </c>
      <c r="CA363" t="e">
        <f>'North America'!I1048+"n/&gt;!2hH"</f>
        <v>#VALUE!</v>
      </c>
      <c r="CB363" t="e">
        <f>'North America'!A1049+"n/&gt;!2hI"</f>
        <v>#VALUE!</v>
      </c>
      <c r="CC363" t="e">
        <f>'North America'!B1049+"n/&gt;!2hJ"</f>
        <v>#VALUE!</v>
      </c>
      <c r="CD363" t="e">
        <f>'North America'!C1049+"n/&gt;!2hK"</f>
        <v>#VALUE!</v>
      </c>
      <c r="CE363" t="e">
        <f>'North America'!D1049+"n/&gt;!2hL"</f>
        <v>#VALUE!</v>
      </c>
      <c r="CF363" t="e">
        <f>'North America'!E1049+"n/&gt;!2hM"</f>
        <v>#VALUE!</v>
      </c>
      <c r="CG363" t="e">
        <f>'North America'!F1049+"n/&gt;!2hN"</f>
        <v>#VALUE!</v>
      </c>
      <c r="CH363" t="e">
        <f>'North America'!G1049+"n/&gt;!2hO"</f>
        <v>#VALUE!</v>
      </c>
      <c r="CI363" t="e">
        <f>'North America'!H1049+"n/&gt;!2hP"</f>
        <v>#VALUE!</v>
      </c>
      <c r="CJ363" t="e">
        <f>'North America'!I1049+"n/&gt;!2hQ"</f>
        <v>#VALUE!</v>
      </c>
      <c r="CK363" t="e">
        <f>'North America'!A1050+"n/&gt;!2hR"</f>
        <v>#VALUE!</v>
      </c>
      <c r="CL363" t="e">
        <f>'North America'!B1050+"n/&gt;!2hS"</f>
        <v>#VALUE!</v>
      </c>
      <c r="CM363" t="e">
        <f>'North America'!C1050+"n/&gt;!2hT"</f>
        <v>#VALUE!</v>
      </c>
      <c r="CN363" t="e">
        <f>'North America'!D1050+"n/&gt;!2hU"</f>
        <v>#VALUE!</v>
      </c>
      <c r="CO363" t="e">
        <f>'North America'!E1050+"n/&gt;!2hV"</f>
        <v>#VALUE!</v>
      </c>
      <c r="CP363" t="e">
        <f>'North America'!F1050+"n/&gt;!2hW"</f>
        <v>#VALUE!</v>
      </c>
      <c r="CQ363" t="e">
        <f>'North America'!G1050+"n/&gt;!2hX"</f>
        <v>#VALUE!</v>
      </c>
      <c r="CR363" t="e">
        <f>'North America'!H1050+"n/&gt;!2hY"</f>
        <v>#VALUE!</v>
      </c>
      <c r="CS363" t="e">
        <f>'North America'!I1050+"n/&gt;!2hZ"</f>
        <v>#VALUE!</v>
      </c>
      <c r="CT363" t="e">
        <f>'North America'!A1051+"n/&gt;!2h["</f>
        <v>#VALUE!</v>
      </c>
      <c r="CU363" t="e">
        <f>'North America'!B1051+"n/&gt;!2h\"</f>
        <v>#VALUE!</v>
      </c>
      <c r="CV363" t="e">
        <f>'North America'!C1051+"n/&gt;!2h]"</f>
        <v>#VALUE!</v>
      </c>
      <c r="CW363" t="e">
        <f>'North America'!D1051+"n/&gt;!2h^"</f>
        <v>#VALUE!</v>
      </c>
      <c r="CX363" t="e">
        <f>'North America'!E1051+"n/&gt;!2h_"</f>
        <v>#VALUE!</v>
      </c>
      <c r="CY363" t="e">
        <f>'North America'!F1051+"n/&gt;!2h`"</f>
        <v>#VALUE!</v>
      </c>
      <c r="CZ363" t="e">
        <f>'North America'!G1051+"n/&gt;!2ha"</f>
        <v>#VALUE!</v>
      </c>
      <c r="DA363" t="e">
        <f>'North America'!H1051+"n/&gt;!2hb"</f>
        <v>#VALUE!</v>
      </c>
      <c r="DB363" t="e">
        <f>'North America'!I1051+"n/&gt;!2hc"</f>
        <v>#VALUE!</v>
      </c>
      <c r="DC363" t="e">
        <f>'North America'!A1052+"n/&gt;!2hd"</f>
        <v>#VALUE!</v>
      </c>
      <c r="DD363" t="e">
        <f>'North America'!B1052+"n/&gt;!2he"</f>
        <v>#VALUE!</v>
      </c>
      <c r="DE363" t="e">
        <f>'North America'!C1052+"n/&gt;!2hf"</f>
        <v>#VALUE!</v>
      </c>
      <c r="DF363" t="e">
        <f>'North America'!D1052+"n/&gt;!2hg"</f>
        <v>#VALUE!</v>
      </c>
      <c r="DG363" t="e">
        <f>'North America'!E1052+"n/&gt;!2hh"</f>
        <v>#VALUE!</v>
      </c>
      <c r="DH363" t="e">
        <f>'North America'!F1052+"n/&gt;!2hi"</f>
        <v>#VALUE!</v>
      </c>
      <c r="DI363" t="e">
        <f>'North America'!G1052+"n/&gt;!2hj"</f>
        <v>#VALUE!</v>
      </c>
      <c r="DJ363" t="e">
        <f>'North America'!H1052+"n/&gt;!2hk"</f>
        <v>#VALUE!</v>
      </c>
      <c r="DK363" t="e">
        <f>'North America'!I1052+"n/&gt;!2hl"</f>
        <v>#VALUE!</v>
      </c>
      <c r="DL363" t="e">
        <f>'North America'!A1053+"n/&gt;!2hm"</f>
        <v>#VALUE!</v>
      </c>
      <c r="DM363" t="e">
        <f>'North America'!B1053+"n/&gt;!2hn"</f>
        <v>#VALUE!</v>
      </c>
      <c r="DN363" t="e">
        <f>'North America'!C1053+"n/&gt;!2ho"</f>
        <v>#VALUE!</v>
      </c>
      <c r="DO363" t="e">
        <f>'North America'!D1053+"n/&gt;!2hp"</f>
        <v>#VALUE!</v>
      </c>
      <c r="DP363" t="e">
        <f>'North America'!E1053+"n/&gt;!2hq"</f>
        <v>#VALUE!</v>
      </c>
      <c r="DQ363" t="e">
        <f>'North America'!F1053+"n/&gt;!2hr"</f>
        <v>#VALUE!</v>
      </c>
      <c r="DR363" t="e">
        <f>'North America'!G1053+"n/&gt;!2hs"</f>
        <v>#VALUE!</v>
      </c>
      <c r="DS363" t="e">
        <f>'North America'!H1053+"n/&gt;!2ht"</f>
        <v>#VALUE!</v>
      </c>
      <c r="DT363" t="e">
        <f>'North America'!I1053+"n/&gt;!2hu"</f>
        <v>#VALUE!</v>
      </c>
      <c r="DU363" t="e">
        <f>'North America'!A1054+"n/&gt;!2hv"</f>
        <v>#VALUE!</v>
      </c>
      <c r="DV363" t="e">
        <f>'North America'!B1054+"n/&gt;!2hw"</f>
        <v>#VALUE!</v>
      </c>
      <c r="DW363" t="e">
        <f>'North America'!C1054+"n/&gt;!2hx"</f>
        <v>#VALUE!</v>
      </c>
      <c r="DX363" t="e">
        <f>'North America'!D1054+"n/&gt;!2hy"</f>
        <v>#VALUE!</v>
      </c>
      <c r="DY363" t="e">
        <f>'North America'!E1054+"n/&gt;!2hz"</f>
        <v>#VALUE!</v>
      </c>
      <c r="DZ363" t="e">
        <f>'North America'!F1054+"n/&gt;!2h{"</f>
        <v>#VALUE!</v>
      </c>
      <c r="EA363" t="e">
        <f>'North America'!G1054+"n/&gt;!2h|"</f>
        <v>#VALUE!</v>
      </c>
      <c r="EB363" t="e">
        <f>'North America'!H1054+"n/&gt;!2h}"</f>
        <v>#VALUE!</v>
      </c>
      <c r="EC363" t="e">
        <f>'North America'!I1054+"n/&gt;!2h~"</f>
        <v>#VALUE!</v>
      </c>
      <c r="ED363" t="e">
        <f>'North America'!A1055+"n/&gt;!2i#"</f>
        <v>#VALUE!</v>
      </c>
      <c r="EE363" t="e">
        <f>'North America'!B1055+"n/&gt;!2i$"</f>
        <v>#VALUE!</v>
      </c>
      <c r="EF363" t="e">
        <f>'North America'!C1055+"n/&gt;!2i%"</f>
        <v>#VALUE!</v>
      </c>
      <c r="EG363" t="e">
        <f>'North America'!D1055+"n/&gt;!2i&amp;"</f>
        <v>#VALUE!</v>
      </c>
      <c r="EH363" t="e">
        <f>'North America'!E1055+"n/&gt;!2i'"</f>
        <v>#VALUE!</v>
      </c>
      <c r="EI363" t="e">
        <f>'North America'!F1055+"n/&gt;!2i("</f>
        <v>#VALUE!</v>
      </c>
      <c r="EJ363" t="e">
        <f>'North America'!G1055+"n/&gt;!2i)"</f>
        <v>#VALUE!</v>
      </c>
      <c r="EK363" t="e">
        <f>'North America'!H1055+"n/&gt;!2i."</f>
        <v>#VALUE!</v>
      </c>
      <c r="EL363" t="e">
        <f>'North America'!I1055+"n/&gt;!2i/"</f>
        <v>#VALUE!</v>
      </c>
      <c r="EM363" t="e">
        <f>'North America'!A1056+"n/&gt;!2i0"</f>
        <v>#VALUE!</v>
      </c>
      <c r="EN363" t="e">
        <f>'North America'!B1056+"n/&gt;!2i1"</f>
        <v>#VALUE!</v>
      </c>
      <c r="EO363" t="e">
        <f>'North America'!C1056+"n/&gt;!2i2"</f>
        <v>#VALUE!</v>
      </c>
      <c r="EP363" t="e">
        <f>'North America'!D1056+"n/&gt;!2i3"</f>
        <v>#VALUE!</v>
      </c>
      <c r="EQ363" t="e">
        <f>'North America'!E1056+"n/&gt;!2i4"</f>
        <v>#VALUE!</v>
      </c>
      <c r="ER363" t="e">
        <f>'North America'!F1056+"n/&gt;!2i5"</f>
        <v>#VALUE!</v>
      </c>
      <c r="ES363" t="e">
        <f>'North America'!G1056+"n/&gt;!2i6"</f>
        <v>#VALUE!</v>
      </c>
      <c r="ET363" t="e">
        <f>'North America'!H1056+"n/&gt;!2i7"</f>
        <v>#VALUE!</v>
      </c>
      <c r="EU363" t="e">
        <f>'North America'!I1056+"n/&gt;!2i8"</f>
        <v>#VALUE!</v>
      </c>
      <c r="EV363" t="e">
        <f>'North America'!A1057+"n/&gt;!2i9"</f>
        <v>#VALUE!</v>
      </c>
      <c r="EW363" t="e">
        <f>'North America'!B1057+"n/&gt;!2i:"</f>
        <v>#VALUE!</v>
      </c>
      <c r="EX363" t="e">
        <f>'North America'!C1057+"n/&gt;!2i;"</f>
        <v>#VALUE!</v>
      </c>
      <c r="EY363" t="e">
        <f>'North America'!D1057+"n/&gt;!2i&lt;"</f>
        <v>#VALUE!</v>
      </c>
      <c r="EZ363" t="e">
        <f>'North America'!E1057+"n/&gt;!2i="</f>
        <v>#VALUE!</v>
      </c>
      <c r="FA363" t="e">
        <f>'North America'!F1057+"n/&gt;!2i&gt;"</f>
        <v>#VALUE!</v>
      </c>
      <c r="FB363" t="e">
        <f>'North America'!G1057+"n/&gt;!2i?"</f>
        <v>#VALUE!</v>
      </c>
      <c r="FC363" t="e">
        <f>'North America'!H1057+"n/&gt;!2i@"</f>
        <v>#VALUE!</v>
      </c>
      <c r="FD363" t="e">
        <f>'North America'!I1057+"n/&gt;!2iA"</f>
        <v>#VALUE!</v>
      </c>
      <c r="FE363" t="e">
        <f>'North America'!A1058+"n/&gt;!2iB"</f>
        <v>#VALUE!</v>
      </c>
      <c r="FF363" t="e">
        <f>'North America'!B1058+"n/&gt;!2iC"</f>
        <v>#VALUE!</v>
      </c>
      <c r="FG363" t="e">
        <f>'North America'!C1058+"n/&gt;!2iD"</f>
        <v>#VALUE!</v>
      </c>
      <c r="FH363" t="e">
        <f>'North America'!D1058+"n/&gt;!2iE"</f>
        <v>#VALUE!</v>
      </c>
      <c r="FI363" t="e">
        <f>'North America'!E1058+"n/&gt;!2iF"</f>
        <v>#VALUE!</v>
      </c>
      <c r="FJ363" t="e">
        <f>'North America'!F1058+"n/&gt;!2iG"</f>
        <v>#VALUE!</v>
      </c>
      <c r="FK363" t="e">
        <f>'North America'!G1058+"n/&gt;!2iH"</f>
        <v>#VALUE!</v>
      </c>
      <c r="FL363" t="e">
        <f>'North America'!H1058+"n/&gt;!2iI"</f>
        <v>#VALUE!</v>
      </c>
      <c r="FM363" t="e">
        <f>'North America'!I1058+"n/&gt;!2iJ"</f>
        <v>#VALUE!</v>
      </c>
      <c r="FN363" t="e">
        <f>'North America'!A1059+"n/&gt;!2iK"</f>
        <v>#VALUE!</v>
      </c>
      <c r="FO363" t="e">
        <f>'North America'!B1059+"n/&gt;!2iL"</f>
        <v>#VALUE!</v>
      </c>
      <c r="FP363" t="e">
        <f>'North America'!C1059+"n/&gt;!2iM"</f>
        <v>#VALUE!</v>
      </c>
      <c r="FQ363" t="e">
        <f>'North America'!D1059+"n/&gt;!2iN"</f>
        <v>#VALUE!</v>
      </c>
      <c r="FR363" t="e">
        <f>'North America'!E1059+"n/&gt;!2iO"</f>
        <v>#VALUE!</v>
      </c>
      <c r="FS363" t="e">
        <f>'North America'!F1059+"n/&gt;!2iP"</f>
        <v>#VALUE!</v>
      </c>
      <c r="FT363" t="e">
        <f>'North America'!G1059+"n/&gt;!2iQ"</f>
        <v>#VALUE!</v>
      </c>
      <c r="FU363" t="e">
        <f>'North America'!H1059+"n/&gt;!2iR"</f>
        <v>#VALUE!</v>
      </c>
      <c r="FV363" t="e">
        <f>'North America'!I1059+"n/&gt;!2iS"</f>
        <v>#VALUE!</v>
      </c>
      <c r="FW363" t="e">
        <f>'North America'!A1060+"n/&gt;!2iT"</f>
        <v>#VALUE!</v>
      </c>
      <c r="FX363" t="e">
        <f>'North America'!B1060+"n/&gt;!2iU"</f>
        <v>#VALUE!</v>
      </c>
      <c r="FY363" t="e">
        <f>'North America'!C1060+"n/&gt;!2iV"</f>
        <v>#VALUE!</v>
      </c>
      <c r="FZ363" t="e">
        <f>'North America'!D1060+"n/&gt;!2iW"</f>
        <v>#VALUE!</v>
      </c>
      <c r="GA363" t="e">
        <f>'North America'!E1060+"n/&gt;!2iX"</f>
        <v>#VALUE!</v>
      </c>
      <c r="GB363" t="e">
        <f>'North America'!F1060+"n/&gt;!2iY"</f>
        <v>#VALUE!</v>
      </c>
      <c r="GC363" t="e">
        <f>'North America'!G1060+"n/&gt;!2iZ"</f>
        <v>#VALUE!</v>
      </c>
      <c r="GD363" t="e">
        <f>'North America'!H1060+"n/&gt;!2i["</f>
        <v>#VALUE!</v>
      </c>
      <c r="GE363" t="e">
        <f>'North America'!I1060+"n/&gt;!2i\"</f>
        <v>#VALUE!</v>
      </c>
      <c r="GF363" t="e">
        <f>'North America'!A1061+"n/&gt;!2i]"</f>
        <v>#VALUE!</v>
      </c>
      <c r="GG363" t="e">
        <f>'North America'!B1061+"n/&gt;!2i^"</f>
        <v>#VALUE!</v>
      </c>
      <c r="GH363" t="e">
        <f>'North America'!C1061+"n/&gt;!2i_"</f>
        <v>#VALUE!</v>
      </c>
      <c r="GI363" t="e">
        <f>'North America'!D1061+"n/&gt;!2i`"</f>
        <v>#VALUE!</v>
      </c>
      <c r="GJ363" t="e">
        <f>'North America'!E1061+"n/&gt;!2ia"</f>
        <v>#VALUE!</v>
      </c>
      <c r="GK363" t="e">
        <f>'North America'!F1061+"n/&gt;!2ib"</f>
        <v>#VALUE!</v>
      </c>
      <c r="GL363" t="e">
        <f>'North America'!G1061+"n/&gt;!2ic"</f>
        <v>#VALUE!</v>
      </c>
      <c r="GM363" t="e">
        <f>'North America'!H1061+"n/&gt;!2id"</f>
        <v>#VALUE!</v>
      </c>
      <c r="GN363" t="e">
        <f>'North America'!I1061+"n/&gt;!2ie"</f>
        <v>#VALUE!</v>
      </c>
      <c r="GO363" t="e">
        <f>'North America'!A1062+"n/&gt;!2if"</f>
        <v>#VALUE!</v>
      </c>
      <c r="GP363" t="e">
        <f>'North America'!B1062+"n/&gt;!2ig"</f>
        <v>#VALUE!</v>
      </c>
      <c r="GQ363" t="e">
        <f>'North America'!C1062+"n/&gt;!2ih"</f>
        <v>#VALUE!</v>
      </c>
      <c r="GR363" t="e">
        <f>'North America'!D1062+"n/&gt;!2ii"</f>
        <v>#VALUE!</v>
      </c>
      <c r="GS363" t="e">
        <f>'North America'!E1062+"n/&gt;!2ij"</f>
        <v>#VALUE!</v>
      </c>
      <c r="GT363" t="e">
        <f>'North America'!F1062+"n/&gt;!2ik"</f>
        <v>#VALUE!</v>
      </c>
      <c r="GU363" t="e">
        <f>'North America'!G1062+"n/&gt;!2il"</f>
        <v>#VALUE!</v>
      </c>
      <c r="GV363" t="e">
        <f>'North America'!H1062+"n/&gt;!2im"</f>
        <v>#VALUE!</v>
      </c>
      <c r="GW363" t="e">
        <f>'North America'!I1062+"n/&gt;!2in"</f>
        <v>#VALUE!</v>
      </c>
      <c r="GX363" t="e">
        <f>'North America'!A1063+"n/&gt;!2io"</f>
        <v>#VALUE!</v>
      </c>
      <c r="GY363" t="e">
        <f>'North America'!B1063+"n/&gt;!2ip"</f>
        <v>#VALUE!</v>
      </c>
      <c r="GZ363" t="e">
        <f>'North America'!C1063+"n/&gt;!2iq"</f>
        <v>#VALUE!</v>
      </c>
      <c r="HA363" t="e">
        <f>'North America'!D1063+"n/&gt;!2ir"</f>
        <v>#VALUE!</v>
      </c>
      <c r="HB363" t="e">
        <f>'North America'!E1063+"n/&gt;!2is"</f>
        <v>#VALUE!</v>
      </c>
      <c r="HC363" t="e">
        <f>'North America'!F1063+"n/&gt;!2it"</f>
        <v>#VALUE!</v>
      </c>
      <c r="HD363" t="e">
        <f>'North America'!G1063+"n/&gt;!2iu"</f>
        <v>#VALUE!</v>
      </c>
      <c r="HE363" t="e">
        <f>'North America'!H1063+"n/&gt;!2iv"</f>
        <v>#VALUE!</v>
      </c>
      <c r="HF363" t="e">
        <f>'North America'!I1063+"n/&gt;!2iw"</f>
        <v>#VALUE!</v>
      </c>
      <c r="HG363" t="e">
        <f>'North America'!A1064+"n/&gt;!2ix"</f>
        <v>#VALUE!</v>
      </c>
      <c r="HH363" t="e">
        <f>'North America'!B1064+"n/&gt;!2iy"</f>
        <v>#VALUE!</v>
      </c>
      <c r="HI363" t="e">
        <f>'North America'!C1064+"n/&gt;!2iz"</f>
        <v>#VALUE!</v>
      </c>
      <c r="HJ363" t="e">
        <f>'North America'!D1064+"n/&gt;!2i{"</f>
        <v>#VALUE!</v>
      </c>
      <c r="HK363" t="e">
        <f>'North America'!E1064+"n/&gt;!2i|"</f>
        <v>#VALUE!</v>
      </c>
      <c r="HL363" t="e">
        <f>'North America'!F1064+"n/&gt;!2i}"</f>
        <v>#VALUE!</v>
      </c>
      <c r="HM363" t="e">
        <f>'North America'!G1064+"n/&gt;!2i~"</f>
        <v>#VALUE!</v>
      </c>
      <c r="HN363" t="e">
        <f>'North America'!H1064+"n/&gt;!2j#"</f>
        <v>#VALUE!</v>
      </c>
      <c r="HO363" t="e">
        <f>'North America'!I1064+"n/&gt;!2j$"</f>
        <v>#VALUE!</v>
      </c>
      <c r="HP363" t="e">
        <f>'North America'!A1065+"n/&gt;!2j%"</f>
        <v>#VALUE!</v>
      </c>
      <c r="HQ363" t="e">
        <f>'North America'!B1065+"n/&gt;!2j&amp;"</f>
        <v>#VALUE!</v>
      </c>
      <c r="HR363" t="e">
        <f>'North America'!C1065+"n/&gt;!2j'"</f>
        <v>#VALUE!</v>
      </c>
      <c r="HS363" t="e">
        <f>'North America'!D1065+"n/&gt;!2j("</f>
        <v>#VALUE!</v>
      </c>
      <c r="HT363" t="e">
        <f>'North America'!E1065+"n/&gt;!2j)"</f>
        <v>#VALUE!</v>
      </c>
      <c r="HU363" t="e">
        <f>'North America'!F1065+"n/&gt;!2j."</f>
        <v>#VALUE!</v>
      </c>
      <c r="HV363" t="e">
        <f>'North America'!G1065+"n/&gt;!2j/"</f>
        <v>#VALUE!</v>
      </c>
      <c r="HW363" t="e">
        <f>'North America'!H1065+"n/&gt;!2j0"</f>
        <v>#VALUE!</v>
      </c>
      <c r="HX363" t="e">
        <f>'North America'!I1065+"n/&gt;!2j1"</f>
        <v>#VALUE!</v>
      </c>
      <c r="HY363" t="e">
        <f>'North America'!A1066+"n/&gt;!2j2"</f>
        <v>#VALUE!</v>
      </c>
      <c r="HZ363" t="e">
        <f>'North America'!B1066+"n/&gt;!2j3"</f>
        <v>#VALUE!</v>
      </c>
      <c r="IA363" t="e">
        <f>'North America'!C1066+"n/&gt;!2j4"</f>
        <v>#VALUE!</v>
      </c>
      <c r="IB363" t="e">
        <f>'North America'!D1066+"n/&gt;!2j5"</f>
        <v>#VALUE!</v>
      </c>
      <c r="IC363" t="e">
        <f>'North America'!E1066+"n/&gt;!2j6"</f>
        <v>#VALUE!</v>
      </c>
      <c r="ID363" t="e">
        <f>'North America'!F1066+"n/&gt;!2j7"</f>
        <v>#VALUE!</v>
      </c>
      <c r="IE363" t="e">
        <f>'North America'!G1066+"n/&gt;!2j8"</f>
        <v>#VALUE!</v>
      </c>
      <c r="IF363" t="e">
        <f>'North America'!H1066+"n/&gt;!2j9"</f>
        <v>#VALUE!</v>
      </c>
      <c r="IG363" t="e">
        <f>'North America'!I1066+"n/&gt;!2j:"</f>
        <v>#VALUE!</v>
      </c>
      <c r="IH363" t="e">
        <f>'North America'!A1067+"n/&gt;!2j;"</f>
        <v>#VALUE!</v>
      </c>
      <c r="II363" t="e">
        <f>'North America'!B1067+"n/&gt;!2j&lt;"</f>
        <v>#VALUE!</v>
      </c>
      <c r="IJ363" t="e">
        <f>'North America'!C1067+"n/&gt;!2j="</f>
        <v>#VALUE!</v>
      </c>
      <c r="IK363" t="e">
        <f>'North America'!D1067+"n/&gt;!2j&gt;"</f>
        <v>#VALUE!</v>
      </c>
      <c r="IL363" t="e">
        <f>'North America'!E1067+"n/&gt;!2j?"</f>
        <v>#VALUE!</v>
      </c>
      <c r="IM363" t="e">
        <f>'North America'!F1067+"n/&gt;!2j@"</f>
        <v>#VALUE!</v>
      </c>
      <c r="IN363" t="e">
        <f>'North America'!G1067+"n/&gt;!2jA"</f>
        <v>#VALUE!</v>
      </c>
      <c r="IO363" t="e">
        <f>'North America'!H1067+"n/&gt;!2jB"</f>
        <v>#VALUE!</v>
      </c>
      <c r="IP363" t="e">
        <f>'North America'!I1067+"n/&gt;!2jC"</f>
        <v>#VALUE!</v>
      </c>
      <c r="IQ363" t="e">
        <f>'North America'!A1068+"n/&gt;!2jD"</f>
        <v>#VALUE!</v>
      </c>
      <c r="IR363" t="e">
        <f>'North America'!B1068+"n/&gt;!2jE"</f>
        <v>#VALUE!</v>
      </c>
      <c r="IS363" t="e">
        <f>'North America'!C1068+"n/&gt;!2jF"</f>
        <v>#VALUE!</v>
      </c>
      <c r="IT363" t="e">
        <f>'North America'!D1068+"n/&gt;!2jG"</f>
        <v>#VALUE!</v>
      </c>
      <c r="IU363" t="e">
        <f>'North America'!E1068+"n/&gt;!2jH"</f>
        <v>#VALUE!</v>
      </c>
      <c r="IV363" t="e">
        <f>'North America'!F1068+"n/&gt;!2jI"</f>
        <v>#VALUE!</v>
      </c>
    </row>
    <row r="364" spans="6:256" x14ac:dyDescent="0.35">
      <c r="F364" t="e">
        <f>'North America'!G1068+"n/&gt;!2jJ"</f>
        <v>#VALUE!</v>
      </c>
      <c r="G364" t="e">
        <f>'North America'!H1068+"n/&gt;!2jK"</f>
        <v>#VALUE!</v>
      </c>
      <c r="H364" t="e">
        <f>'North America'!I1068+"n/&gt;!2jL"</f>
        <v>#VALUE!</v>
      </c>
      <c r="I364" t="e">
        <f>'North America'!A1069+"n/&gt;!2jM"</f>
        <v>#VALUE!</v>
      </c>
      <c r="J364" t="e">
        <f>'North America'!B1069+"n/&gt;!2jN"</f>
        <v>#VALUE!</v>
      </c>
      <c r="K364" t="e">
        <f>'North America'!C1069+"n/&gt;!2jO"</f>
        <v>#VALUE!</v>
      </c>
      <c r="L364" t="e">
        <f>'North America'!D1069+"n/&gt;!2jP"</f>
        <v>#VALUE!</v>
      </c>
      <c r="M364" t="e">
        <f>'North America'!E1069+"n/&gt;!2jQ"</f>
        <v>#VALUE!</v>
      </c>
      <c r="N364" t="e">
        <f>'North America'!F1069+"n/&gt;!2jR"</f>
        <v>#VALUE!</v>
      </c>
      <c r="O364" t="e">
        <f>'North America'!G1069+"n/&gt;!2jS"</f>
        <v>#VALUE!</v>
      </c>
      <c r="P364" t="e">
        <f>'North America'!H1069+"n/&gt;!2jT"</f>
        <v>#VALUE!</v>
      </c>
      <c r="Q364" t="e">
        <f>'North America'!I1069+"n/&gt;!2jU"</f>
        <v>#VALUE!</v>
      </c>
      <c r="R364" t="e">
        <f>'North America'!A1070+"n/&gt;!2jV"</f>
        <v>#VALUE!</v>
      </c>
      <c r="S364" t="e">
        <f>'North America'!B1070+"n/&gt;!2jW"</f>
        <v>#VALUE!</v>
      </c>
      <c r="T364" t="e">
        <f>'North America'!C1070+"n/&gt;!2jX"</f>
        <v>#VALUE!</v>
      </c>
      <c r="U364" t="e">
        <f>'North America'!D1070+"n/&gt;!2jY"</f>
        <v>#VALUE!</v>
      </c>
      <c r="V364" t="e">
        <f>'North America'!E1070+"n/&gt;!2jZ"</f>
        <v>#VALUE!</v>
      </c>
      <c r="W364" t="e">
        <f>'North America'!F1070+"n/&gt;!2j["</f>
        <v>#VALUE!</v>
      </c>
      <c r="X364" t="e">
        <f>'North America'!G1070+"n/&gt;!2j\"</f>
        <v>#VALUE!</v>
      </c>
      <c r="Y364" t="e">
        <f>'North America'!H1070+"n/&gt;!2j]"</f>
        <v>#VALUE!</v>
      </c>
      <c r="Z364" t="e">
        <f>'North America'!I1070+"n/&gt;!2j^"</f>
        <v>#VALUE!</v>
      </c>
      <c r="AA364" t="e">
        <f>'North America'!A1071+"n/&gt;!2j_"</f>
        <v>#VALUE!</v>
      </c>
      <c r="AB364" t="e">
        <f>'North America'!B1071+"n/&gt;!2j`"</f>
        <v>#VALUE!</v>
      </c>
      <c r="AC364" t="e">
        <f>'North America'!C1071+"n/&gt;!2ja"</f>
        <v>#VALUE!</v>
      </c>
      <c r="AD364" t="e">
        <f>'North America'!D1071+"n/&gt;!2jb"</f>
        <v>#VALUE!</v>
      </c>
      <c r="AE364" t="e">
        <f>'North America'!E1071+"n/&gt;!2jc"</f>
        <v>#VALUE!</v>
      </c>
      <c r="AF364" t="e">
        <f>'North America'!F1071+"n/&gt;!2jd"</f>
        <v>#VALUE!</v>
      </c>
      <c r="AG364" t="e">
        <f>'North America'!G1071+"n/&gt;!2je"</f>
        <v>#VALUE!</v>
      </c>
      <c r="AH364" t="e">
        <f>'North America'!H1071+"n/&gt;!2jf"</f>
        <v>#VALUE!</v>
      </c>
      <c r="AI364" t="e">
        <f>'North America'!I1071+"n/&gt;!2jg"</f>
        <v>#VALUE!</v>
      </c>
      <c r="AJ364" t="e">
        <f>'North America'!A1072+"n/&gt;!2jh"</f>
        <v>#VALUE!</v>
      </c>
      <c r="AK364" t="e">
        <f>'North America'!B1072+"n/&gt;!2ji"</f>
        <v>#VALUE!</v>
      </c>
      <c r="AL364" t="e">
        <f>'North America'!C1072+"n/&gt;!2jj"</f>
        <v>#VALUE!</v>
      </c>
      <c r="AM364" t="e">
        <f>'North America'!D1072+"n/&gt;!2jk"</f>
        <v>#VALUE!</v>
      </c>
      <c r="AN364" t="e">
        <f>'North America'!E1072+"n/&gt;!2jl"</f>
        <v>#VALUE!</v>
      </c>
      <c r="AO364" t="e">
        <f>'North America'!F1072+"n/&gt;!2jm"</f>
        <v>#VALUE!</v>
      </c>
      <c r="AP364" t="e">
        <f>'North America'!G1072+"n/&gt;!2jn"</f>
        <v>#VALUE!</v>
      </c>
      <c r="AQ364" t="e">
        <f>'North America'!H1072+"n/&gt;!2jo"</f>
        <v>#VALUE!</v>
      </c>
      <c r="AR364" t="e">
        <f>'North America'!I1072+"n/&gt;!2jp"</f>
        <v>#VALUE!</v>
      </c>
      <c r="AS364" t="e">
        <f>'North America'!A1073+"n/&gt;!2jq"</f>
        <v>#VALUE!</v>
      </c>
      <c r="AT364" t="e">
        <f>'North America'!B1073+"n/&gt;!2jr"</f>
        <v>#VALUE!</v>
      </c>
      <c r="AU364" t="e">
        <f>'North America'!C1073+"n/&gt;!2js"</f>
        <v>#VALUE!</v>
      </c>
      <c r="AV364" t="e">
        <f>'North America'!D1073+"n/&gt;!2jt"</f>
        <v>#VALUE!</v>
      </c>
      <c r="AW364" t="e">
        <f>'North America'!E1073+"n/&gt;!2ju"</f>
        <v>#VALUE!</v>
      </c>
      <c r="AX364" t="e">
        <f>'North America'!F1073+"n/&gt;!2jv"</f>
        <v>#VALUE!</v>
      </c>
      <c r="AY364" t="e">
        <f>'North America'!G1073+"n/&gt;!2jw"</f>
        <v>#VALUE!</v>
      </c>
      <c r="AZ364" t="e">
        <f>'North America'!H1073+"n/&gt;!2jx"</f>
        <v>#VALUE!</v>
      </c>
      <c r="BA364" t="e">
        <f>'North America'!I1073+"n/&gt;!2jy"</f>
        <v>#VALUE!</v>
      </c>
      <c r="BB364" t="e">
        <f>'North America'!A1074+"n/&gt;!2jz"</f>
        <v>#VALUE!</v>
      </c>
      <c r="BC364" t="e">
        <f>'North America'!B1074+"n/&gt;!2j{"</f>
        <v>#VALUE!</v>
      </c>
      <c r="BD364" t="e">
        <f>'North America'!C1074+"n/&gt;!2j|"</f>
        <v>#VALUE!</v>
      </c>
      <c r="BE364" t="e">
        <f>'North America'!D1074+"n/&gt;!2j}"</f>
        <v>#VALUE!</v>
      </c>
      <c r="BF364" t="e">
        <f>'North America'!E1074+"n/&gt;!2j~"</f>
        <v>#VALUE!</v>
      </c>
      <c r="BG364" t="e">
        <f>'North America'!F1074+"n/&gt;!2k#"</f>
        <v>#VALUE!</v>
      </c>
      <c r="BH364" t="e">
        <f>'North America'!G1074+"n/&gt;!2k$"</f>
        <v>#VALUE!</v>
      </c>
      <c r="BI364" t="e">
        <f>'North America'!H1074+"n/&gt;!2k%"</f>
        <v>#VALUE!</v>
      </c>
      <c r="BJ364" t="e">
        <f>'North America'!I1074+"n/&gt;!2k&amp;"</f>
        <v>#VALUE!</v>
      </c>
      <c r="BK364" t="e">
        <f>'North America'!A1075+"n/&gt;!2k'"</f>
        <v>#VALUE!</v>
      </c>
      <c r="BL364" t="e">
        <f>'North America'!B1075+"n/&gt;!2k("</f>
        <v>#VALUE!</v>
      </c>
      <c r="BM364" t="e">
        <f>'North America'!C1075+"n/&gt;!2k)"</f>
        <v>#VALUE!</v>
      </c>
      <c r="BN364" t="e">
        <f>'North America'!D1075+"n/&gt;!2k."</f>
        <v>#VALUE!</v>
      </c>
      <c r="BO364" t="e">
        <f>'North America'!E1075+"n/&gt;!2k/"</f>
        <v>#VALUE!</v>
      </c>
      <c r="BP364" t="e">
        <f>'North America'!F1075+"n/&gt;!2k0"</f>
        <v>#VALUE!</v>
      </c>
      <c r="BQ364" t="e">
        <f>'North America'!G1075+"n/&gt;!2k1"</f>
        <v>#VALUE!</v>
      </c>
      <c r="BR364" t="e">
        <f>'North America'!H1075+"n/&gt;!2k2"</f>
        <v>#VALUE!</v>
      </c>
      <c r="BS364" t="e">
        <f>'North America'!I1075+"n/&gt;!2k3"</f>
        <v>#VALUE!</v>
      </c>
      <c r="BT364" t="e">
        <f>'North America'!A1076+"n/&gt;!2k4"</f>
        <v>#VALUE!</v>
      </c>
      <c r="BU364" t="e">
        <f>'North America'!B1076+"n/&gt;!2k5"</f>
        <v>#VALUE!</v>
      </c>
      <c r="BV364" t="e">
        <f>'North America'!C1076+"n/&gt;!2k6"</f>
        <v>#VALUE!</v>
      </c>
      <c r="BW364" t="e">
        <f>'North America'!D1076+"n/&gt;!2k7"</f>
        <v>#VALUE!</v>
      </c>
      <c r="BX364" t="e">
        <f>'North America'!E1076+"n/&gt;!2k8"</f>
        <v>#VALUE!</v>
      </c>
      <c r="BY364" t="e">
        <f>'North America'!F1076+"n/&gt;!2k9"</f>
        <v>#VALUE!</v>
      </c>
      <c r="BZ364" t="e">
        <f>'North America'!G1076+"n/&gt;!2k:"</f>
        <v>#VALUE!</v>
      </c>
      <c r="CA364" t="e">
        <f>'North America'!H1076+"n/&gt;!2k;"</f>
        <v>#VALUE!</v>
      </c>
      <c r="CB364" t="e">
        <f>'North America'!I1076+"n/&gt;!2k&lt;"</f>
        <v>#VALUE!</v>
      </c>
      <c r="CC364" t="e">
        <f>'North America'!A1077+"n/&gt;!2k="</f>
        <v>#VALUE!</v>
      </c>
      <c r="CD364" t="e">
        <f>'North America'!B1077+"n/&gt;!2k&gt;"</f>
        <v>#VALUE!</v>
      </c>
      <c r="CE364" t="e">
        <f>'North America'!C1077+"n/&gt;!2k?"</f>
        <v>#VALUE!</v>
      </c>
      <c r="CF364" t="e">
        <f>'North America'!D1077+"n/&gt;!2k@"</f>
        <v>#VALUE!</v>
      </c>
      <c r="CG364" t="e">
        <f>'North America'!E1077+"n/&gt;!2kA"</f>
        <v>#VALUE!</v>
      </c>
      <c r="CH364" t="e">
        <f>'North America'!F1077+"n/&gt;!2kB"</f>
        <v>#VALUE!</v>
      </c>
      <c r="CI364" t="e">
        <f>'North America'!G1077+"n/&gt;!2kC"</f>
        <v>#VALUE!</v>
      </c>
      <c r="CJ364" t="e">
        <f>'North America'!H1077+"n/&gt;!2kD"</f>
        <v>#VALUE!</v>
      </c>
      <c r="CK364" t="e">
        <f>'North America'!I1077+"n/&gt;!2kE"</f>
        <v>#VALUE!</v>
      </c>
      <c r="CL364" t="e">
        <f>'North America'!A1078+"n/&gt;!2kF"</f>
        <v>#VALUE!</v>
      </c>
      <c r="CM364" t="e">
        <f>'North America'!B1078+"n/&gt;!2kG"</f>
        <v>#VALUE!</v>
      </c>
      <c r="CN364" t="e">
        <f>'North America'!C1078+"n/&gt;!2kH"</f>
        <v>#VALUE!</v>
      </c>
      <c r="CO364" t="e">
        <f>'North America'!D1078+"n/&gt;!2kI"</f>
        <v>#VALUE!</v>
      </c>
      <c r="CP364" t="e">
        <f>'North America'!E1078+"n/&gt;!2kJ"</f>
        <v>#VALUE!</v>
      </c>
      <c r="CQ364" t="e">
        <f>'North America'!F1078+"n/&gt;!2kK"</f>
        <v>#VALUE!</v>
      </c>
      <c r="CR364" t="e">
        <f>'North America'!G1078+"n/&gt;!2kL"</f>
        <v>#VALUE!</v>
      </c>
      <c r="CS364" t="e">
        <f>'North America'!H1078+"n/&gt;!2kM"</f>
        <v>#VALUE!</v>
      </c>
      <c r="CT364" t="e">
        <f>'North America'!I1078+"n/&gt;!2kN"</f>
        <v>#VALUE!</v>
      </c>
      <c r="CU364" t="e">
        <f>'North America'!A1079+"n/&gt;!2kO"</f>
        <v>#VALUE!</v>
      </c>
      <c r="CV364" t="e">
        <f>'North America'!B1079+"n/&gt;!2kP"</f>
        <v>#VALUE!</v>
      </c>
      <c r="CW364" t="e">
        <f>'North America'!C1079+"n/&gt;!2kQ"</f>
        <v>#VALUE!</v>
      </c>
      <c r="CX364" t="e">
        <f>'North America'!D1079+"n/&gt;!2kR"</f>
        <v>#VALUE!</v>
      </c>
      <c r="CY364" t="e">
        <f>'North America'!E1079+"n/&gt;!2kS"</f>
        <v>#VALUE!</v>
      </c>
      <c r="CZ364" t="e">
        <f>'North America'!F1079+"n/&gt;!2kT"</f>
        <v>#VALUE!</v>
      </c>
      <c r="DA364" t="e">
        <f>'North America'!G1079+"n/&gt;!2kU"</f>
        <v>#VALUE!</v>
      </c>
      <c r="DB364" t="e">
        <f>'North America'!H1079+"n/&gt;!2kV"</f>
        <v>#VALUE!</v>
      </c>
      <c r="DC364" t="e">
        <f>'North America'!I1079+"n/&gt;!2kW"</f>
        <v>#VALUE!</v>
      </c>
      <c r="DD364" t="e">
        <f>'North America'!A1080+"n/&gt;!2kX"</f>
        <v>#VALUE!</v>
      </c>
      <c r="DE364" t="e">
        <f>'North America'!B1080+"n/&gt;!2kY"</f>
        <v>#VALUE!</v>
      </c>
      <c r="DF364" t="e">
        <f>'North America'!C1080+"n/&gt;!2kZ"</f>
        <v>#VALUE!</v>
      </c>
      <c r="DG364" t="e">
        <f>'North America'!D1080+"n/&gt;!2k["</f>
        <v>#VALUE!</v>
      </c>
      <c r="DH364" t="e">
        <f>'North America'!E1080+"n/&gt;!2k\"</f>
        <v>#VALUE!</v>
      </c>
      <c r="DI364" t="e">
        <f>'North America'!F1080+"n/&gt;!2k]"</f>
        <v>#VALUE!</v>
      </c>
      <c r="DJ364" t="e">
        <f>'North America'!G1080+"n/&gt;!2k^"</f>
        <v>#VALUE!</v>
      </c>
      <c r="DK364" t="e">
        <f>'North America'!H1080+"n/&gt;!2k_"</f>
        <v>#VALUE!</v>
      </c>
      <c r="DL364" t="e">
        <f>'North America'!I1080+"n/&gt;!2k`"</f>
        <v>#VALUE!</v>
      </c>
      <c r="DM364" t="e">
        <f>'North America'!A1081+"n/&gt;!2ka"</f>
        <v>#VALUE!</v>
      </c>
      <c r="DN364" t="e">
        <f>'North America'!B1081+"n/&gt;!2kb"</f>
        <v>#VALUE!</v>
      </c>
      <c r="DO364" t="e">
        <f>'North America'!C1081+"n/&gt;!2kc"</f>
        <v>#VALUE!</v>
      </c>
      <c r="DP364" t="e">
        <f>'North America'!D1081+"n/&gt;!2kd"</f>
        <v>#VALUE!</v>
      </c>
      <c r="DQ364" t="e">
        <f>'North America'!E1081+"n/&gt;!2ke"</f>
        <v>#VALUE!</v>
      </c>
      <c r="DR364" t="e">
        <f>'North America'!F1081+"n/&gt;!2kf"</f>
        <v>#VALUE!</v>
      </c>
      <c r="DS364" t="e">
        <f>'North America'!G1081+"n/&gt;!2kg"</f>
        <v>#VALUE!</v>
      </c>
      <c r="DT364" t="e">
        <f>'North America'!H1081+"n/&gt;!2kh"</f>
        <v>#VALUE!</v>
      </c>
      <c r="DU364" t="e">
        <f>'North America'!I1081+"n/&gt;!2ki"</f>
        <v>#VALUE!</v>
      </c>
      <c r="DV364" t="e">
        <f>'North America'!A1082+"n/&gt;!2kj"</f>
        <v>#VALUE!</v>
      </c>
      <c r="DW364" t="e">
        <f>'North America'!B1082+"n/&gt;!2kk"</f>
        <v>#VALUE!</v>
      </c>
      <c r="DX364" t="e">
        <f>'North America'!C1082+"n/&gt;!2kl"</f>
        <v>#VALUE!</v>
      </c>
      <c r="DY364" t="e">
        <f>'North America'!D1082+"n/&gt;!2km"</f>
        <v>#VALUE!</v>
      </c>
      <c r="DZ364" t="e">
        <f>'North America'!E1082+"n/&gt;!2kn"</f>
        <v>#VALUE!</v>
      </c>
      <c r="EA364" t="e">
        <f>'North America'!F1082+"n/&gt;!2ko"</f>
        <v>#VALUE!</v>
      </c>
      <c r="EB364" t="e">
        <f>'North America'!G1082+"n/&gt;!2kp"</f>
        <v>#VALUE!</v>
      </c>
      <c r="EC364" t="e">
        <f>'North America'!H1082+"n/&gt;!2kq"</f>
        <v>#VALUE!</v>
      </c>
      <c r="ED364" t="e">
        <f>'North America'!I1082+"n/&gt;!2kr"</f>
        <v>#VALUE!</v>
      </c>
      <c r="EE364" t="e">
        <f>'North America'!A1083+"n/&gt;!2ks"</f>
        <v>#VALUE!</v>
      </c>
      <c r="EF364" t="e">
        <f>'North America'!B1083+"n/&gt;!2kt"</f>
        <v>#VALUE!</v>
      </c>
      <c r="EG364" t="e">
        <f>'North America'!C1083+"n/&gt;!2ku"</f>
        <v>#VALUE!</v>
      </c>
      <c r="EH364" t="e">
        <f>'North America'!D1083+"n/&gt;!2kv"</f>
        <v>#VALUE!</v>
      </c>
      <c r="EI364" t="e">
        <f>'North America'!E1083+"n/&gt;!2kw"</f>
        <v>#VALUE!</v>
      </c>
      <c r="EJ364" t="e">
        <f>'North America'!F1083+"n/&gt;!2kx"</f>
        <v>#VALUE!</v>
      </c>
      <c r="EK364" t="e">
        <f>'North America'!G1083+"n/&gt;!2ky"</f>
        <v>#VALUE!</v>
      </c>
      <c r="EL364" t="e">
        <f>'North America'!H1083+"n/&gt;!2kz"</f>
        <v>#VALUE!</v>
      </c>
      <c r="EM364" t="e">
        <f>'North America'!I1083+"n/&gt;!2k{"</f>
        <v>#VALUE!</v>
      </c>
      <c r="EN364" t="e">
        <f>'North America'!A1084+"n/&gt;!2k|"</f>
        <v>#VALUE!</v>
      </c>
      <c r="EO364" t="e">
        <f>'North America'!B1084+"n/&gt;!2k}"</f>
        <v>#VALUE!</v>
      </c>
      <c r="EP364" t="e">
        <f>'North America'!C1084+"n/&gt;!2k~"</f>
        <v>#VALUE!</v>
      </c>
      <c r="EQ364" t="e">
        <f>'North America'!D1084+"n/&gt;!2l#"</f>
        <v>#VALUE!</v>
      </c>
      <c r="ER364" t="e">
        <f>'North America'!E1084+"n/&gt;!2l$"</f>
        <v>#VALUE!</v>
      </c>
      <c r="ES364" t="e">
        <f>'North America'!F1084+"n/&gt;!2l%"</f>
        <v>#VALUE!</v>
      </c>
      <c r="ET364" t="e">
        <f>'North America'!G1084+"n/&gt;!2l&amp;"</f>
        <v>#VALUE!</v>
      </c>
      <c r="EU364" t="e">
        <f>'North America'!H1084+"n/&gt;!2l'"</f>
        <v>#VALUE!</v>
      </c>
      <c r="EV364" t="e">
        <f>'North America'!I1084+"n/&gt;!2l("</f>
        <v>#VALUE!</v>
      </c>
      <c r="EW364" t="e">
        <f>'North America'!A1085+"n/&gt;!2l)"</f>
        <v>#VALUE!</v>
      </c>
      <c r="EX364" t="e">
        <f>'North America'!B1085+"n/&gt;!2l."</f>
        <v>#VALUE!</v>
      </c>
      <c r="EY364" t="e">
        <f>'North America'!C1085+"n/&gt;!2l/"</f>
        <v>#VALUE!</v>
      </c>
      <c r="EZ364" t="e">
        <f>'North America'!D1085+"n/&gt;!2l0"</f>
        <v>#VALUE!</v>
      </c>
      <c r="FA364" t="e">
        <f>'North America'!E1085+"n/&gt;!2l1"</f>
        <v>#VALUE!</v>
      </c>
      <c r="FB364" t="e">
        <f>'North America'!F1085+"n/&gt;!2l2"</f>
        <v>#VALUE!</v>
      </c>
      <c r="FC364" t="e">
        <f>'North America'!G1085+"n/&gt;!2l3"</f>
        <v>#VALUE!</v>
      </c>
      <c r="FD364" t="e">
        <f>'North America'!H1085+"n/&gt;!2l4"</f>
        <v>#VALUE!</v>
      </c>
      <c r="FE364" t="e">
        <f>'North America'!I1085+"n/&gt;!2l5"</f>
        <v>#VALUE!</v>
      </c>
      <c r="FF364" t="e">
        <f>'North America'!A1086+"n/&gt;!2l6"</f>
        <v>#VALUE!</v>
      </c>
      <c r="FG364" t="e">
        <f>'North America'!B1086+"n/&gt;!2l7"</f>
        <v>#VALUE!</v>
      </c>
      <c r="FH364" t="e">
        <f>'North America'!C1086+"n/&gt;!2l8"</f>
        <v>#VALUE!</v>
      </c>
      <c r="FI364" t="e">
        <f>'North America'!D1086+"n/&gt;!2l9"</f>
        <v>#VALUE!</v>
      </c>
      <c r="FJ364" t="e">
        <f>'North America'!E1086+"n/&gt;!2l:"</f>
        <v>#VALUE!</v>
      </c>
      <c r="FK364" t="e">
        <f>'North America'!F1086+"n/&gt;!2l;"</f>
        <v>#VALUE!</v>
      </c>
      <c r="FL364" t="e">
        <f>'North America'!G1086+"n/&gt;!2l&lt;"</f>
        <v>#VALUE!</v>
      </c>
      <c r="FM364" t="e">
        <f>'North America'!H1086+"n/&gt;!2l="</f>
        <v>#VALUE!</v>
      </c>
      <c r="FN364" t="e">
        <f>'North America'!I1086+"n/&gt;!2l&gt;"</f>
        <v>#VALUE!</v>
      </c>
      <c r="FO364" t="e">
        <f>'North America'!A1087+"n/&gt;!2l?"</f>
        <v>#VALUE!</v>
      </c>
      <c r="FP364" t="e">
        <f>'North America'!B1087+"n/&gt;!2l@"</f>
        <v>#VALUE!</v>
      </c>
      <c r="FQ364" t="e">
        <f>'North America'!C1087+"n/&gt;!2lA"</f>
        <v>#VALUE!</v>
      </c>
      <c r="FR364" t="e">
        <f>'North America'!D1087+"n/&gt;!2lB"</f>
        <v>#VALUE!</v>
      </c>
      <c r="FS364" t="e">
        <f>'North America'!E1087+"n/&gt;!2lC"</f>
        <v>#VALUE!</v>
      </c>
      <c r="FT364" t="e">
        <f>'North America'!F1087+"n/&gt;!2lD"</f>
        <v>#VALUE!</v>
      </c>
      <c r="FU364" t="e">
        <f>'North America'!G1087+"n/&gt;!2lE"</f>
        <v>#VALUE!</v>
      </c>
      <c r="FV364" t="e">
        <f>'North America'!H1087+"n/&gt;!2lF"</f>
        <v>#VALUE!</v>
      </c>
      <c r="FW364" t="e">
        <f>'North America'!I1087+"n/&gt;!2lG"</f>
        <v>#VALUE!</v>
      </c>
      <c r="FX364" t="e">
        <f>'North America'!A1088+"n/&gt;!2lH"</f>
        <v>#VALUE!</v>
      </c>
      <c r="FY364" t="e">
        <f>'North America'!B1088+"n/&gt;!2lI"</f>
        <v>#VALUE!</v>
      </c>
      <c r="FZ364" t="e">
        <f>'North America'!C1088+"n/&gt;!2lJ"</f>
        <v>#VALUE!</v>
      </c>
      <c r="GA364" t="e">
        <f>'North America'!D1088+"n/&gt;!2lK"</f>
        <v>#VALUE!</v>
      </c>
      <c r="GB364" t="e">
        <f>'North America'!E1088+"n/&gt;!2lL"</f>
        <v>#VALUE!</v>
      </c>
      <c r="GC364" t="e">
        <f>'North America'!F1088+"n/&gt;!2lM"</f>
        <v>#VALUE!</v>
      </c>
      <c r="GD364" t="e">
        <f>'North America'!G1088+"n/&gt;!2lN"</f>
        <v>#VALUE!</v>
      </c>
      <c r="GE364" t="e">
        <f>'North America'!H1088+"n/&gt;!2lO"</f>
        <v>#VALUE!</v>
      </c>
      <c r="GF364" t="e">
        <f>'North America'!I1088+"n/&gt;!2lP"</f>
        <v>#VALUE!</v>
      </c>
      <c r="GG364" t="e">
        <f>'North America'!A1089+"n/&gt;!2lQ"</f>
        <v>#VALUE!</v>
      </c>
      <c r="GH364" t="e">
        <f>'North America'!B1089+"n/&gt;!2lR"</f>
        <v>#VALUE!</v>
      </c>
      <c r="GI364" t="e">
        <f>'North America'!C1089+"n/&gt;!2lS"</f>
        <v>#VALUE!</v>
      </c>
      <c r="GJ364" t="e">
        <f>'North America'!D1089+"n/&gt;!2lT"</f>
        <v>#VALUE!</v>
      </c>
      <c r="GK364" t="e">
        <f>'North America'!E1089+"n/&gt;!2lU"</f>
        <v>#VALUE!</v>
      </c>
      <c r="GL364" t="e">
        <f>'North America'!F1089+"n/&gt;!2lV"</f>
        <v>#VALUE!</v>
      </c>
      <c r="GM364" t="e">
        <f>'North America'!G1089+"n/&gt;!2lW"</f>
        <v>#VALUE!</v>
      </c>
      <c r="GN364" t="e">
        <f>'North America'!H1089+"n/&gt;!2lX"</f>
        <v>#VALUE!</v>
      </c>
      <c r="GO364" t="e">
        <f>'North America'!I1089+"n/&gt;!2lY"</f>
        <v>#VALUE!</v>
      </c>
      <c r="GP364" t="e">
        <f>'North America'!A1090+"n/&gt;!2lZ"</f>
        <v>#VALUE!</v>
      </c>
      <c r="GQ364" t="e">
        <f>'North America'!B1090+"n/&gt;!2l["</f>
        <v>#VALUE!</v>
      </c>
      <c r="GR364" t="e">
        <f>'North America'!C1090+"n/&gt;!2l\"</f>
        <v>#VALUE!</v>
      </c>
      <c r="GS364" t="e">
        <f>'North America'!D1090+"n/&gt;!2l]"</f>
        <v>#VALUE!</v>
      </c>
      <c r="GT364" t="e">
        <f>'North America'!E1090+"n/&gt;!2l^"</f>
        <v>#VALUE!</v>
      </c>
      <c r="GU364" t="e">
        <f>'North America'!F1090+"n/&gt;!2l_"</f>
        <v>#VALUE!</v>
      </c>
      <c r="GV364" t="e">
        <f>'North America'!G1090+"n/&gt;!2l`"</f>
        <v>#VALUE!</v>
      </c>
      <c r="GW364" t="e">
        <f>'North America'!H1090+"n/&gt;!2la"</f>
        <v>#VALUE!</v>
      </c>
      <c r="GX364" t="e">
        <f>'North America'!I1090+"n/&gt;!2lb"</f>
        <v>#VALUE!</v>
      </c>
      <c r="GY364" t="e">
        <f>'North America'!A1091+"n/&gt;!2lc"</f>
        <v>#VALUE!</v>
      </c>
      <c r="GZ364" t="e">
        <f>'North America'!B1091+"n/&gt;!2ld"</f>
        <v>#VALUE!</v>
      </c>
      <c r="HA364" t="e">
        <f>'North America'!C1091+"n/&gt;!2le"</f>
        <v>#VALUE!</v>
      </c>
      <c r="HB364" t="e">
        <f>'North America'!D1091+"n/&gt;!2lf"</f>
        <v>#VALUE!</v>
      </c>
      <c r="HC364" t="e">
        <f>'North America'!E1091+"n/&gt;!2lg"</f>
        <v>#VALUE!</v>
      </c>
      <c r="HD364" t="e">
        <f>'North America'!F1091+"n/&gt;!2lh"</f>
        <v>#VALUE!</v>
      </c>
      <c r="HE364" t="e">
        <f>'North America'!G1091+"n/&gt;!2li"</f>
        <v>#VALUE!</v>
      </c>
      <c r="HF364" t="e">
        <f>'North America'!H1091+"n/&gt;!2lj"</f>
        <v>#VALUE!</v>
      </c>
      <c r="HG364" t="e">
        <f>'North America'!I1091+"n/&gt;!2lk"</f>
        <v>#VALUE!</v>
      </c>
      <c r="HH364" t="e">
        <f>'North America'!A1092+"n/&gt;!2ll"</f>
        <v>#VALUE!</v>
      </c>
      <c r="HI364" t="e">
        <f>'North America'!B1092+"n/&gt;!2lm"</f>
        <v>#VALUE!</v>
      </c>
      <c r="HJ364" t="e">
        <f>'North America'!C1092+"n/&gt;!2ln"</f>
        <v>#VALUE!</v>
      </c>
      <c r="HK364" t="e">
        <f>'North America'!D1092+"n/&gt;!2lo"</f>
        <v>#VALUE!</v>
      </c>
      <c r="HL364" t="e">
        <f>'North America'!E1092+"n/&gt;!2lp"</f>
        <v>#VALUE!</v>
      </c>
      <c r="HM364" t="e">
        <f>'North America'!F1092+"n/&gt;!2lq"</f>
        <v>#VALUE!</v>
      </c>
      <c r="HN364" t="e">
        <f>'North America'!G1092+"n/&gt;!2lr"</f>
        <v>#VALUE!</v>
      </c>
      <c r="HO364" t="e">
        <f>'North America'!H1092+"n/&gt;!2ls"</f>
        <v>#VALUE!</v>
      </c>
      <c r="HP364" t="e">
        <f>'North America'!I1092+"n/&gt;!2lt"</f>
        <v>#VALUE!</v>
      </c>
      <c r="HQ364" t="e">
        <f>'North America'!A1093+"n/&gt;!2lu"</f>
        <v>#VALUE!</v>
      </c>
      <c r="HR364" t="e">
        <f>'North America'!B1093+"n/&gt;!2lv"</f>
        <v>#VALUE!</v>
      </c>
      <c r="HS364" t="e">
        <f>'North America'!C1093+"n/&gt;!2lw"</f>
        <v>#VALUE!</v>
      </c>
      <c r="HT364" t="e">
        <f>'North America'!D1093+"n/&gt;!2lx"</f>
        <v>#VALUE!</v>
      </c>
      <c r="HU364" t="e">
        <f>'North America'!E1093+"n/&gt;!2ly"</f>
        <v>#VALUE!</v>
      </c>
      <c r="HV364" t="e">
        <f>'North America'!F1093+"n/&gt;!2lz"</f>
        <v>#VALUE!</v>
      </c>
      <c r="HW364" t="e">
        <f>'North America'!G1093+"n/&gt;!2l{"</f>
        <v>#VALUE!</v>
      </c>
      <c r="HX364" t="e">
        <f>'North America'!H1093+"n/&gt;!2l|"</f>
        <v>#VALUE!</v>
      </c>
      <c r="HY364" t="e">
        <f>'North America'!I1093+"n/&gt;!2l}"</f>
        <v>#VALUE!</v>
      </c>
      <c r="HZ364" t="e">
        <f>'North America'!A1094+"n/&gt;!2l~"</f>
        <v>#VALUE!</v>
      </c>
      <c r="IA364" t="e">
        <f>'North America'!B1094+"n/&gt;!2m#"</f>
        <v>#VALUE!</v>
      </c>
      <c r="IB364" t="e">
        <f>'North America'!C1094+"n/&gt;!2m$"</f>
        <v>#VALUE!</v>
      </c>
      <c r="IC364" t="e">
        <f>'North America'!D1094+"n/&gt;!2m%"</f>
        <v>#VALUE!</v>
      </c>
      <c r="ID364" t="e">
        <f>'North America'!E1094+"n/&gt;!2m&amp;"</f>
        <v>#VALUE!</v>
      </c>
      <c r="IE364" t="e">
        <f>'North America'!F1094+"n/&gt;!2m'"</f>
        <v>#VALUE!</v>
      </c>
      <c r="IF364" t="e">
        <f>'North America'!G1094+"n/&gt;!2m("</f>
        <v>#VALUE!</v>
      </c>
      <c r="IG364" t="e">
        <f>'North America'!H1094+"n/&gt;!2m)"</f>
        <v>#VALUE!</v>
      </c>
      <c r="IH364" t="e">
        <f>'North America'!I1094+"n/&gt;!2m."</f>
        <v>#VALUE!</v>
      </c>
      <c r="II364" t="e">
        <f>'North America'!A1095+"n/&gt;!2m/"</f>
        <v>#VALUE!</v>
      </c>
      <c r="IJ364" t="e">
        <f>'North America'!B1095+"n/&gt;!2m0"</f>
        <v>#VALUE!</v>
      </c>
      <c r="IK364" t="e">
        <f>'North America'!C1095+"n/&gt;!2m1"</f>
        <v>#VALUE!</v>
      </c>
      <c r="IL364" t="e">
        <f>'North America'!D1095+"n/&gt;!2m2"</f>
        <v>#VALUE!</v>
      </c>
      <c r="IM364" t="e">
        <f>'North America'!E1095+"n/&gt;!2m3"</f>
        <v>#VALUE!</v>
      </c>
      <c r="IN364" t="e">
        <f>'North America'!F1095+"n/&gt;!2m4"</f>
        <v>#VALUE!</v>
      </c>
      <c r="IO364" t="e">
        <f>'North America'!G1095+"n/&gt;!2m5"</f>
        <v>#VALUE!</v>
      </c>
      <c r="IP364" t="e">
        <f>'North America'!H1095+"n/&gt;!2m6"</f>
        <v>#VALUE!</v>
      </c>
      <c r="IQ364" t="e">
        <f>'North America'!I1095+"n/&gt;!2m7"</f>
        <v>#VALUE!</v>
      </c>
      <c r="IR364" t="e">
        <f>'North America'!A1096+"n/&gt;!2m8"</f>
        <v>#VALUE!</v>
      </c>
      <c r="IS364" t="e">
        <f>'North America'!B1096+"n/&gt;!2m9"</f>
        <v>#VALUE!</v>
      </c>
      <c r="IT364" t="e">
        <f>'North America'!C1096+"n/&gt;!2m:"</f>
        <v>#VALUE!</v>
      </c>
      <c r="IU364" t="e">
        <f>'North America'!D1096+"n/&gt;!2m;"</f>
        <v>#VALUE!</v>
      </c>
      <c r="IV364" t="e">
        <f>'North America'!E1096+"n/&gt;!2m&lt;"</f>
        <v>#VALUE!</v>
      </c>
    </row>
    <row r="365" spans="6:256" x14ac:dyDescent="0.35">
      <c r="F365" t="e">
        <f>'North America'!F1096+"n/&gt;!2m="</f>
        <v>#VALUE!</v>
      </c>
      <c r="G365" t="e">
        <f>'North America'!G1096+"n/&gt;!2m&gt;"</f>
        <v>#VALUE!</v>
      </c>
      <c r="H365" t="e">
        <f>'North America'!H1096+"n/&gt;!2m?"</f>
        <v>#VALUE!</v>
      </c>
      <c r="I365" t="e">
        <f>'North America'!I1096+"n/&gt;!2m@"</f>
        <v>#VALUE!</v>
      </c>
      <c r="J365" t="e">
        <f>'North America'!A1097+"n/&gt;!2mA"</f>
        <v>#VALUE!</v>
      </c>
      <c r="K365" t="e">
        <f>'North America'!B1097+"n/&gt;!2mB"</f>
        <v>#VALUE!</v>
      </c>
      <c r="L365" t="e">
        <f>'North America'!C1097+"n/&gt;!2mC"</f>
        <v>#VALUE!</v>
      </c>
      <c r="M365" t="e">
        <f>'North America'!D1097+"n/&gt;!2mD"</f>
        <v>#VALUE!</v>
      </c>
      <c r="N365" t="e">
        <f>'North America'!E1097+"n/&gt;!2mE"</f>
        <v>#VALUE!</v>
      </c>
      <c r="O365" t="e">
        <f>'North America'!F1097+"n/&gt;!2mF"</f>
        <v>#VALUE!</v>
      </c>
      <c r="P365" t="e">
        <f>'North America'!G1097+"n/&gt;!2mG"</f>
        <v>#VALUE!</v>
      </c>
      <c r="Q365" t="e">
        <f>'North America'!H1097+"n/&gt;!2mH"</f>
        <v>#VALUE!</v>
      </c>
      <c r="R365" t="e">
        <f>'North America'!I1097+"n/&gt;!2mI"</f>
        <v>#VALUE!</v>
      </c>
      <c r="S365" t="e">
        <f>'North America'!A1098+"n/&gt;!2mJ"</f>
        <v>#VALUE!</v>
      </c>
      <c r="T365" t="e">
        <f>'North America'!B1098+"n/&gt;!2mK"</f>
        <v>#VALUE!</v>
      </c>
      <c r="U365" t="e">
        <f>'North America'!C1098+"n/&gt;!2mL"</f>
        <v>#VALUE!</v>
      </c>
      <c r="V365" t="e">
        <f>'North America'!D1098+"n/&gt;!2mM"</f>
        <v>#VALUE!</v>
      </c>
      <c r="W365" t="e">
        <f>'North America'!E1098+"n/&gt;!2mN"</f>
        <v>#VALUE!</v>
      </c>
      <c r="X365" t="e">
        <f>'North America'!F1098+"n/&gt;!2mO"</f>
        <v>#VALUE!</v>
      </c>
      <c r="Y365" t="e">
        <f>'North America'!G1098+"n/&gt;!2mP"</f>
        <v>#VALUE!</v>
      </c>
      <c r="Z365" t="e">
        <f>'North America'!H1098+"n/&gt;!2mQ"</f>
        <v>#VALUE!</v>
      </c>
      <c r="AA365" t="e">
        <f>'North America'!I1098+"n/&gt;!2mR"</f>
        <v>#VALUE!</v>
      </c>
      <c r="AB365" t="e">
        <f>'North America'!A1099+"n/&gt;!2mS"</f>
        <v>#VALUE!</v>
      </c>
      <c r="AC365" t="e">
        <f>'North America'!B1099+"n/&gt;!2mT"</f>
        <v>#VALUE!</v>
      </c>
      <c r="AD365" t="e">
        <f>'North America'!C1099+"n/&gt;!2mU"</f>
        <v>#VALUE!</v>
      </c>
      <c r="AE365" t="e">
        <f>'North America'!D1099+"n/&gt;!2mV"</f>
        <v>#VALUE!</v>
      </c>
      <c r="AF365" t="e">
        <f>'North America'!E1099+"n/&gt;!2mW"</f>
        <v>#VALUE!</v>
      </c>
      <c r="AG365" t="e">
        <f>'North America'!F1099+"n/&gt;!2mX"</f>
        <v>#VALUE!</v>
      </c>
      <c r="AH365" t="e">
        <f>'North America'!G1099+"n/&gt;!2mY"</f>
        <v>#VALUE!</v>
      </c>
      <c r="AI365" t="e">
        <f>'North America'!H1099+"n/&gt;!2mZ"</f>
        <v>#VALUE!</v>
      </c>
      <c r="AJ365" t="e">
        <f>'North America'!I1099+"n/&gt;!2m["</f>
        <v>#VALUE!</v>
      </c>
      <c r="AK365" t="e">
        <f>'North America'!A1100+"n/&gt;!2m\"</f>
        <v>#VALUE!</v>
      </c>
      <c r="AL365" t="e">
        <f>'North America'!B1100+"n/&gt;!2m]"</f>
        <v>#VALUE!</v>
      </c>
      <c r="AM365" t="e">
        <f>'North America'!C1100+"n/&gt;!2m^"</f>
        <v>#VALUE!</v>
      </c>
      <c r="AN365" t="e">
        <f>'North America'!D1100+"n/&gt;!2m_"</f>
        <v>#VALUE!</v>
      </c>
      <c r="AO365" t="e">
        <f>'North America'!E1100+"n/&gt;!2m`"</f>
        <v>#VALUE!</v>
      </c>
      <c r="AP365" t="e">
        <f>'North America'!F1100+"n/&gt;!2ma"</f>
        <v>#VALUE!</v>
      </c>
      <c r="AQ365" t="e">
        <f>'North America'!G1100+"n/&gt;!2mb"</f>
        <v>#VALUE!</v>
      </c>
      <c r="AR365" t="e">
        <f>'North America'!H1100+"n/&gt;!2mc"</f>
        <v>#VALUE!</v>
      </c>
      <c r="AS365" t="e">
        <f>'North America'!I1100+"n/&gt;!2md"</f>
        <v>#VALUE!</v>
      </c>
      <c r="AT365" t="e">
        <f>'North America'!A1101+"n/&gt;!2me"</f>
        <v>#VALUE!</v>
      </c>
      <c r="AU365" t="e">
        <f>'North America'!B1101+"n/&gt;!2mf"</f>
        <v>#VALUE!</v>
      </c>
      <c r="AV365" t="e">
        <f>'North America'!C1101+"n/&gt;!2mg"</f>
        <v>#VALUE!</v>
      </c>
      <c r="AW365" t="e">
        <f>'North America'!D1101+"n/&gt;!2mh"</f>
        <v>#VALUE!</v>
      </c>
      <c r="AX365" t="e">
        <f>'North America'!E1101+"n/&gt;!2mi"</f>
        <v>#VALUE!</v>
      </c>
      <c r="AY365" t="e">
        <f>'North America'!F1101+"n/&gt;!2mj"</f>
        <v>#VALUE!</v>
      </c>
      <c r="AZ365" t="e">
        <f>'North America'!G1101+"n/&gt;!2mk"</f>
        <v>#VALUE!</v>
      </c>
      <c r="BA365" t="e">
        <f>'North America'!H1101+"n/&gt;!2ml"</f>
        <v>#VALUE!</v>
      </c>
      <c r="BB365" t="e">
        <f>'North America'!I1101+"n/&gt;!2mm"</f>
        <v>#VALUE!</v>
      </c>
      <c r="BC365" t="e">
        <f>'North America'!A1102+"n/&gt;!2mn"</f>
        <v>#VALUE!</v>
      </c>
      <c r="BD365" t="e">
        <f>'North America'!B1102+"n/&gt;!2mo"</f>
        <v>#VALUE!</v>
      </c>
      <c r="BE365" t="e">
        <f>'North America'!C1102+"n/&gt;!2mp"</f>
        <v>#VALUE!</v>
      </c>
      <c r="BF365" t="e">
        <f>'North America'!D1102+"n/&gt;!2mq"</f>
        <v>#VALUE!</v>
      </c>
      <c r="BG365" t="e">
        <f>'North America'!E1102+"n/&gt;!2mr"</f>
        <v>#VALUE!</v>
      </c>
      <c r="BH365" t="e">
        <f>'North America'!F1102+"n/&gt;!2ms"</f>
        <v>#VALUE!</v>
      </c>
      <c r="BI365" t="e">
        <f>'North America'!G1102+"n/&gt;!2mt"</f>
        <v>#VALUE!</v>
      </c>
      <c r="BJ365" t="e">
        <f>'North America'!H1102+"n/&gt;!2mu"</f>
        <v>#VALUE!</v>
      </c>
      <c r="BK365" t="e">
        <f>'North America'!I1102+"n/&gt;!2mv"</f>
        <v>#VALUE!</v>
      </c>
      <c r="BL365" t="e">
        <f>'North America'!A1103+"n/&gt;!2mw"</f>
        <v>#VALUE!</v>
      </c>
      <c r="BM365" t="e">
        <f>'North America'!B1103+"n/&gt;!2mx"</f>
        <v>#VALUE!</v>
      </c>
      <c r="BN365" t="e">
        <f>'North America'!C1103+"n/&gt;!2my"</f>
        <v>#VALUE!</v>
      </c>
      <c r="BO365" t="e">
        <f>'North America'!D1103+"n/&gt;!2mz"</f>
        <v>#VALUE!</v>
      </c>
      <c r="BP365" t="e">
        <f>'North America'!E1103+"n/&gt;!2m{"</f>
        <v>#VALUE!</v>
      </c>
      <c r="BQ365" t="e">
        <f>'North America'!F1103+"n/&gt;!2m|"</f>
        <v>#VALUE!</v>
      </c>
      <c r="BR365" t="e">
        <f>'North America'!G1103+"n/&gt;!2m}"</f>
        <v>#VALUE!</v>
      </c>
      <c r="BS365" t="e">
        <f>'North America'!H1103+"n/&gt;!2m~"</f>
        <v>#VALUE!</v>
      </c>
      <c r="BT365" t="e">
        <f>'North America'!I1103+"n/&gt;!2n#"</f>
        <v>#VALUE!</v>
      </c>
      <c r="BU365" t="e">
        <f>'North America'!A1104+"n/&gt;!2n$"</f>
        <v>#VALUE!</v>
      </c>
      <c r="BV365" t="e">
        <f>'North America'!B1104+"n/&gt;!2n%"</f>
        <v>#VALUE!</v>
      </c>
      <c r="BW365" t="e">
        <f>'North America'!C1104+"n/&gt;!2n&amp;"</f>
        <v>#VALUE!</v>
      </c>
      <c r="BX365" t="e">
        <f>'North America'!D1104+"n/&gt;!2n'"</f>
        <v>#VALUE!</v>
      </c>
      <c r="BY365" t="e">
        <f>'North America'!E1104+"n/&gt;!2n("</f>
        <v>#VALUE!</v>
      </c>
      <c r="BZ365" t="e">
        <f>'North America'!F1104+"n/&gt;!2n)"</f>
        <v>#VALUE!</v>
      </c>
      <c r="CA365" t="e">
        <f>'North America'!G1104+"n/&gt;!2n."</f>
        <v>#VALUE!</v>
      </c>
      <c r="CB365" t="e">
        <f>'North America'!H1104+"n/&gt;!2n/"</f>
        <v>#VALUE!</v>
      </c>
      <c r="CC365" t="e">
        <f>'North America'!I1104+"n/&gt;!2n0"</f>
        <v>#VALUE!</v>
      </c>
      <c r="CD365" t="e">
        <f>'North America'!A1105+"n/&gt;!2n1"</f>
        <v>#VALUE!</v>
      </c>
      <c r="CE365" t="e">
        <f>'North America'!B1105+"n/&gt;!2n2"</f>
        <v>#VALUE!</v>
      </c>
      <c r="CF365" t="e">
        <f>'North America'!C1105+"n/&gt;!2n3"</f>
        <v>#VALUE!</v>
      </c>
      <c r="CG365" t="e">
        <f>'North America'!D1105+"n/&gt;!2n4"</f>
        <v>#VALUE!</v>
      </c>
      <c r="CH365" t="e">
        <f>'North America'!E1105+"n/&gt;!2n5"</f>
        <v>#VALUE!</v>
      </c>
      <c r="CI365" t="e">
        <f>'North America'!F1105+"n/&gt;!2n6"</f>
        <v>#VALUE!</v>
      </c>
      <c r="CJ365" t="e">
        <f>'North America'!G1105+"n/&gt;!2n7"</f>
        <v>#VALUE!</v>
      </c>
      <c r="CK365" t="e">
        <f>'North America'!H1105+"n/&gt;!2n8"</f>
        <v>#VALUE!</v>
      </c>
      <c r="CL365" t="e">
        <f>'North America'!I1105+"n/&gt;!2n9"</f>
        <v>#VALUE!</v>
      </c>
      <c r="CM365" t="e">
        <f>'North America'!A1106+"n/&gt;!2n:"</f>
        <v>#VALUE!</v>
      </c>
      <c r="CN365" t="e">
        <f>'North America'!B1106+"n/&gt;!2n;"</f>
        <v>#VALUE!</v>
      </c>
      <c r="CO365" t="e">
        <f>'North America'!C1106+"n/&gt;!2n&lt;"</f>
        <v>#VALUE!</v>
      </c>
      <c r="CP365" t="e">
        <f>'North America'!D1106+"n/&gt;!2n="</f>
        <v>#VALUE!</v>
      </c>
      <c r="CQ365" t="e">
        <f>'North America'!E1106+"n/&gt;!2n&gt;"</f>
        <v>#VALUE!</v>
      </c>
      <c r="CR365" t="e">
        <f>'North America'!F1106+"n/&gt;!2n?"</f>
        <v>#VALUE!</v>
      </c>
      <c r="CS365" t="e">
        <f>'North America'!G1106+"n/&gt;!2n@"</f>
        <v>#VALUE!</v>
      </c>
      <c r="CT365" t="e">
        <f>'North America'!H1106+"n/&gt;!2nA"</f>
        <v>#VALUE!</v>
      </c>
      <c r="CU365" t="e">
        <f>'North America'!I1106+"n/&gt;!2nB"</f>
        <v>#VALUE!</v>
      </c>
      <c r="CV365" t="e">
        <f>'North America'!A1107+"n/&gt;!2nC"</f>
        <v>#VALUE!</v>
      </c>
      <c r="CW365" t="e">
        <f>'North America'!B1107+"n/&gt;!2nD"</f>
        <v>#VALUE!</v>
      </c>
      <c r="CX365" t="e">
        <f>'North America'!C1107+"n/&gt;!2nE"</f>
        <v>#VALUE!</v>
      </c>
      <c r="CY365" t="e">
        <f>'North America'!D1107+"n/&gt;!2nF"</f>
        <v>#VALUE!</v>
      </c>
      <c r="CZ365" t="e">
        <f>'North America'!E1107+"n/&gt;!2nG"</f>
        <v>#VALUE!</v>
      </c>
      <c r="DA365" t="e">
        <f>'North America'!F1107+"n/&gt;!2nH"</f>
        <v>#VALUE!</v>
      </c>
      <c r="DB365" t="e">
        <f>'North America'!G1107+"n/&gt;!2nI"</f>
        <v>#VALUE!</v>
      </c>
      <c r="DC365" t="e">
        <f>'North America'!H1107+"n/&gt;!2nJ"</f>
        <v>#VALUE!</v>
      </c>
      <c r="DD365" t="e">
        <f>'North America'!I1107+"n/&gt;!2nK"</f>
        <v>#VALUE!</v>
      </c>
      <c r="DE365" t="e">
        <f>'North America'!A1108+"n/&gt;!2nL"</f>
        <v>#VALUE!</v>
      </c>
      <c r="DF365" t="e">
        <f>'North America'!B1108+"n/&gt;!2nM"</f>
        <v>#VALUE!</v>
      </c>
      <c r="DG365" t="e">
        <f>'North America'!C1108+"n/&gt;!2nN"</f>
        <v>#VALUE!</v>
      </c>
      <c r="DH365" t="e">
        <f>'North America'!D1108+"n/&gt;!2nO"</f>
        <v>#VALUE!</v>
      </c>
      <c r="DI365" t="e">
        <f>'North America'!E1108+"n/&gt;!2nP"</f>
        <v>#VALUE!</v>
      </c>
      <c r="DJ365" t="e">
        <f>'North America'!F1108+"n/&gt;!2nQ"</f>
        <v>#VALUE!</v>
      </c>
      <c r="DK365" t="e">
        <f>'North America'!G1108+"n/&gt;!2nR"</f>
        <v>#VALUE!</v>
      </c>
      <c r="DL365" t="e">
        <f>'North America'!H1108+"n/&gt;!2nS"</f>
        <v>#VALUE!</v>
      </c>
      <c r="DM365" t="e">
        <f>'North America'!I1108+"n/&gt;!2nT"</f>
        <v>#VALUE!</v>
      </c>
      <c r="DN365" t="e">
        <f>'North America'!A1109+"n/&gt;!2nU"</f>
        <v>#VALUE!</v>
      </c>
      <c r="DO365" t="e">
        <f>'North America'!B1109+"n/&gt;!2nV"</f>
        <v>#VALUE!</v>
      </c>
      <c r="DP365" t="e">
        <f>'North America'!C1109+"n/&gt;!2nW"</f>
        <v>#VALUE!</v>
      </c>
      <c r="DQ365" t="e">
        <f>'North America'!D1109+"n/&gt;!2nX"</f>
        <v>#VALUE!</v>
      </c>
      <c r="DR365" t="e">
        <f>'North America'!E1109+"n/&gt;!2nY"</f>
        <v>#VALUE!</v>
      </c>
      <c r="DS365" t="e">
        <f>'North America'!F1109+"n/&gt;!2nZ"</f>
        <v>#VALUE!</v>
      </c>
      <c r="DT365" t="e">
        <f>'North America'!G1109+"n/&gt;!2n["</f>
        <v>#VALUE!</v>
      </c>
      <c r="DU365" t="e">
        <f>'North America'!H1109+"n/&gt;!2n\"</f>
        <v>#VALUE!</v>
      </c>
      <c r="DV365" t="e">
        <f>'North America'!I1109+"n/&gt;!2n]"</f>
        <v>#VALUE!</v>
      </c>
      <c r="DW365" t="e">
        <f>'North America'!A1110+"n/&gt;!2n^"</f>
        <v>#VALUE!</v>
      </c>
      <c r="DX365" t="e">
        <f>'North America'!B1110+"n/&gt;!2n_"</f>
        <v>#VALUE!</v>
      </c>
      <c r="DY365" t="e">
        <f>'North America'!C1110+"n/&gt;!2n`"</f>
        <v>#VALUE!</v>
      </c>
      <c r="DZ365" t="e">
        <f>'North America'!D1110+"n/&gt;!2na"</f>
        <v>#VALUE!</v>
      </c>
      <c r="EA365" t="e">
        <f>'North America'!E1110+"n/&gt;!2nb"</f>
        <v>#VALUE!</v>
      </c>
      <c r="EB365" t="e">
        <f>'North America'!F1110+"n/&gt;!2nc"</f>
        <v>#VALUE!</v>
      </c>
      <c r="EC365" t="e">
        <f>'North America'!G1110+"n/&gt;!2nd"</f>
        <v>#VALUE!</v>
      </c>
      <c r="ED365" t="e">
        <f>'North America'!H1110+"n/&gt;!2ne"</f>
        <v>#VALUE!</v>
      </c>
      <c r="EE365" t="e">
        <f>'North America'!I1110+"n/&gt;!2nf"</f>
        <v>#VALUE!</v>
      </c>
      <c r="EF365" t="e">
        <f>'North America'!A1111+"n/&gt;!2ng"</f>
        <v>#VALUE!</v>
      </c>
      <c r="EG365" t="e">
        <f>'North America'!B1111+"n/&gt;!2nh"</f>
        <v>#VALUE!</v>
      </c>
      <c r="EH365" t="e">
        <f>'North America'!C1111+"n/&gt;!2ni"</f>
        <v>#VALUE!</v>
      </c>
      <c r="EI365" t="e">
        <f>'North America'!D1111+"n/&gt;!2nj"</f>
        <v>#VALUE!</v>
      </c>
      <c r="EJ365" t="e">
        <f>'North America'!E1111+"n/&gt;!2nk"</f>
        <v>#VALUE!</v>
      </c>
      <c r="EK365" t="e">
        <f>'North America'!F1111+"n/&gt;!2nl"</f>
        <v>#VALUE!</v>
      </c>
      <c r="EL365" t="e">
        <f>'North America'!G1111+"n/&gt;!2nm"</f>
        <v>#VALUE!</v>
      </c>
      <c r="EM365" t="e">
        <f>'North America'!H1111+"n/&gt;!2nn"</f>
        <v>#VALUE!</v>
      </c>
      <c r="EN365" t="e">
        <f>'North America'!I1111+"n/&gt;!2no"</f>
        <v>#VALUE!</v>
      </c>
      <c r="EO365" t="e">
        <f>'North America'!A1112+"n/&gt;!2np"</f>
        <v>#VALUE!</v>
      </c>
      <c r="EP365" t="e">
        <f>'North America'!B1112+"n/&gt;!2nq"</f>
        <v>#VALUE!</v>
      </c>
      <c r="EQ365" t="e">
        <f>'North America'!C1112+"n/&gt;!2nr"</f>
        <v>#VALUE!</v>
      </c>
      <c r="ER365" t="e">
        <f>'North America'!D1112+"n/&gt;!2ns"</f>
        <v>#VALUE!</v>
      </c>
      <c r="ES365" t="e">
        <f>'North America'!E1112+"n/&gt;!2nt"</f>
        <v>#VALUE!</v>
      </c>
      <c r="ET365" t="e">
        <f>'North America'!F1112+"n/&gt;!2nu"</f>
        <v>#VALUE!</v>
      </c>
      <c r="EU365" t="e">
        <f>'North America'!G1112+"n/&gt;!2nv"</f>
        <v>#VALUE!</v>
      </c>
      <c r="EV365" t="e">
        <f>'North America'!H1112+"n/&gt;!2nw"</f>
        <v>#VALUE!</v>
      </c>
      <c r="EW365" t="e">
        <f>'North America'!I1112+"n/&gt;!2nx"</f>
        <v>#VALUE!</v>
      </c>
      <c r="EX365" t="e">
        <f>'North America'!A1113+"n/&gt;!2ny"</f>
        <v>#VALUE!</v>
      </c>
      <c r="EY365" t="e">
        <f>'North America'!B1113+"n/&gt;!2nz"</f>
        <v>#VALUE!</v>
      </c>
      <c r="EZ365" t="e">
        <f>'North America'!C1113+"n/&gt;!2n{"</f>
        <v>#VALUE!</v>
      </c>
      <c r="FA365" t="e">
        <f>'North America'!D1113+"n/&gt;!2n|"</f>
        <v>#VALUE!</v>
      </c>
      <c r="FB365" t="e">
        <f>'North America'!E1113+"n/&gt;!2n}"</f>
        <v>#VALUE!</v>
      </c>
      <c r="FC365" t="e">
        <f>'North America'!F1113+"n/&gt;!2n~"</f>
        <v>#VALUE!</v>
      </c>
      <c r="FD365" t="e">
        <f>'North America'!G1113+"n/&gt;!2o#"</f>
        <v>#VALUE!</v>
      </c>
      <c r="FE365" t="e">
        <f>'North America'!H1113+"n/&gt;!2o$"</f>
        <v>#VALUE!</v>
      </c>
      <c r="FF365" t="e">
        <f>'North America'!I1113+"n/&gt;!2o%"</f>
        <v>#VALUE!</v>
      </c>
      <c r="FG365" t="e">
        <f>'North America'!A1114+"n/&gt;!2o&amp;"</f>
        <v>#VALUE!</v>
      </c>
      <c r="FH365" t="e">
        <f>'North America'!B1114+"n/&gt;!2o'"</f>
        <v>#VALUE!</v>
      </c>
      <c r="FI365" t="e">
        <f>'North America'!C1114+"n/&gt;!2o("</f>
        <v>#VALUE!</v>
      </c>
      <c r="FJ365" t="e">
        <f>'North America'!D1114+"n/&gt;!2o)"</f>
        <v>#VALUE!</v>
      </c>
      <c r="FK365" t="e">
        <f>'North America'!E1114+"n/&gt;!2o."</f>
        <v>#VALUE!</v>
      </c>
      <c r="FL365" t="e">
        <f>'North America'!F1114+"n/&gt;!2o/"</f>
        <v>#VALUE!</v>
      </c>
      <c r="FM365" t="e">
        <f>'North America'!G1114+"n/&gt;!2o0"</f>
        <v>#VALUE!</v>
      </c>
      <c r="FN365" t="e">
        <f>'North America'!H1114+"n/&gt;!2o1"</f>
        <v>#VALUE!</v>
      </c>
      <c r="FO365" t="e">
        <f>'North America'!I1114+"n/&gt;!2o2"</f>
        <v>#VALUE!</v>
      </c>
      <c r="FP365" t="e">
        <f>'North America'!A1115+"n/&gt;!2o3"</f>
        <v>#VALUE!</v>
      </c>
      <c r="FQ365" t="e">
        <f>'North America'!B1115+"n/&gt;!2o4"</f>
        <v>#VALUE!</v>
      </c>
      <c r="FR365" t="e">
        <f>'North America'!C1115+"n/&gt;!2o5"</f>
        <v>#VALUE!</v>
      </c>
      <c r="FS365" t="e">
        <f>'North America'!D1115+"n/&gt;!2o6"</f>
        <v>#VALUE!</v>
      </c>
      <c r="FT365" t="e">
        <f>'North America'!E1115+"n/&gt;!2o7"</f>
        <v>#VALUE!</v>
      </c>
      <c r="FU365" t="e">
        <f>'North America'!F1115+"n/&gt;!2o8"</f>
        <v>#VALUE!</v>
      </c>
      <c r="FV365" t="e">
        <f>'North America'!G1115+"n/&gt;!2o9"</f>
        <v>#VALUE!</v>
      </c>
      <c r="FW365" t="e">
        <f>'North America'!H1115+"n/&gt;!2o:"</f>
        <v>#VALUE!</v>
      </c>
      <c r="FX365" t="e">
        <f>'North America'!I1115+"n/&gt;!2o;"</f>
        <v>#VALUE!</v>
      </c>
      <c r="FY365" t="e">
        <f>'North America'!A1116+"n/&gt;!2o&lt;"</f>
        <v>#VALUE!</v>
      </c>
      <c r="FZ365" t="e">
        <f>'North America'!B1116+"n/&gt;!2o="</f>
        <v>#VALUE!</v>
      </c>
      <c r="GA365" t="e">
        <f>'North America'!C1116+"n/&gt;!2o&gt;"</f>
        <v>#VALUE!</v>
      </c>
      <c r="GB365" t="e">
        <f>'North America'!D1116+"n/&gt;!2o?"</f>
        <v>#VALUE!</v>
      </c>
      <c r="GC365" t="e">
        <f>'North America'!E1116+"n/&gt;!2o@"</f>
        <v>#VALUE!</v>
      </c>
      <c r="GD365" t="e">
        <f>'North America'!F1116+"n/&gt;!2oA"</f>
        <v>#VALUE!</v>
      </c>
      <c r="GE365" t="e">
        <f>'North America'!G1116+"n/&gt;!2oB"</f>
        <v>#VALUE!</v>
      </c>
      <c r="GF365" t="e">
        <f>'North America'!H1116+"n/&gt;!2oC"</f>
        <v>#VALUE!</v>
      </c>
      <c r="GG365" t="e">
        <f>'North America'!I1116+"n/&gt;!2oD"</f>
        <v>#VALUE!</v>
      </c>
      <c r="GH365" t="e">
        <f>'North America'!A1117+"n/&gt;!2oE"</f>
        <v>#VALUE!</v>
      </c>
      <c r="GI365" t="e">
        <f>'North America'!B1117+"n/&gt;!2oF"</f>
        <v>#VALUE!</v>
      </c>
      <c r="GJ365" t="e">
        <f>'North America'!C1117+"n/&gt;!2oG"</f>
        <v>#VALUE!</v>
      </c>
      <c r="GK365" t="e">
        <f>'North America'!D1117+"n/&gt;!2oH"</f>
        <v>#VALUE!</v>
      </c>
      <c r="GL365" t="e">
        <f>'North America'!E1117+"n/&gt;!2oI"</f>
        <v>#VALUE!</v>
      </c>
      <c r="GM365" t="e">
        <f>'North America'!F1117+"n/&gt;!2oJ"</f>
        <v>#VALUE!</v>
      </c>
      <c r="GN365" t="e">
        <f>'North America'!G1117+"n/&gt;!2oK"</f>
        <v>#VALUE!</v>
      </c>
      <c r="GO365" t="e">
        <f>'North America'!H1117+"n/&gt;!2oL"</f>
        <v>#VALUE!</v>
      </c>
      <c r="GP365" t="e">
        <f>'North America'!I1117+"n/&gt;!2oM"</f>
        <v>#VALUE!</v>
      </c>
      <c r="GQ365" t="e">
        <f>'North America'!A1118+"n/&gt;!2oN"</f>
        <v>#VALUE!</v>
      </c>
      <c r="GR365" t="e">
        <f>'North America'!B1118+"n/&gt;!2oO"</f>
        <v>#VALUE!</v>
      </c>
      <c r="GS365" t="e">
        <f>'North America'!C1118+"n/&gt;!2oP"</f>
        <v>#VALUE!</v>
      </c>
      <c r="GT365" t="e">
        <f>'North America'!D1118+"n/&gt;!2oQ"</f>
        <v>#VALUE!</v>
      </c>
      <c r="GU365" t="e">
        <f>'North America'!E1118+"n/&gt;!2oR"</f>
        <v>#VALUE!</v>
      </c>
      <c r="GV365" t="e">
        <f>'North America'!F1118+"n/&gt;!2oS"</f>
        <v>#VALUE!</v>
      </c>
      <c r="GW365" t="e">
        <f>'North America'!G1118+"n/&gt;!2oT"</f>
        <v>#VALUE!</v>
      </c>
      <c r="GX365" t="e">
        <f>'North America'!H1118+"n/&gt;!2oU"</f>
        <v>#VALUE!</v>
      </c>
      <c r="GY365" t="e">
        <f>'North America'!I1118+"n/&gt;!2oV"</f>
        <v>#VALUE!</v>
      </c>
      <c r="GZ365" t="e">
        <f>'North America'!A1119+"n/&gt;!2oW"</f>
        <v>#VALUE!</v>
      </c>
      <c r="HA365" t="e">
        <f>'North America'!B1119+"n/&gt;!2oX"</f>
        <v>#VALUE!</v>
      </c>
      <c r="HB365" t="e">
        <f>'North America'!C1119+"n/&gt;!2oY"</f>
        <v>#VALUE!</v>
      </c>
      <c r="HC365" t="e">
        <f>'North America'!D1119+"n/&gt;!2oZ"</f>
        <v>#VALUE!</v>
      </c>
      <c r="HD365" t="e">
        <f>'North America'!E1119+"n/&gt;!2o["</f>
        <v>#VALUE!</v>
      </c>
      <c r="HE365" t="e">
        <f>'North America'!F1119+"n/&gt;!2o\"</f>
        <v>#VALUE!</v>
      </c>
      <c r="HF365" t="e">
        <f>'North America'!G1119+"n/&gt;!2o]"</f>
        <v>#VALUE!</v>
      </c>
      <c r="HG365" t="e">
        <f>'North America'!H1119+"n/&gt;!2o^"</f>
        <v>#VALUE!</v>
      </c>
      <c r="HH365" t="e">
        <f>'North America'!I1119+"n/&gt;!2o_"</f>
        <v>#VALUE!</v>
      </c>
      <c r="HI365" t="e">
        <f>'North America'!A1120+"n/&gt;!2o`"</f>
        <v>#VALUE!</v>
      </c>
      <c r="HJ365" t="e">
        <f>'North America'!B1120+"n/&gt;!2oa"</f>
        <v>#VALUE!</v>
      </c>
      <c r="HK365" t="e">
        <f>'North America'!C1120+"n/&gt;!2ob"</f>
        <v>#VALUE!</v>
      </c>
      <c r="HL365" t="e">
        <f>'North America'!D1120+"n/&gt;!2oc"</f>
        <v>#VALUE!</v>
      </c>
      <c r="HM365" t="e">
        <f>'North America'!E1120+"n/&gt;!2od"</f>
        <v>#VALUE!</v>
      </c>
      <c r="HN365" t="e">
        <f>'North America'!F1120+"n/&gt;!2oe"</f>
        <v>#VALUE!</v>
      </c>
      <c r="HO365" t="e">
        <f>'North America'!G1120+"n/&gt;!2of"</f>
        <v>#VALUE!</v>
      </c>
      <c r="HP365" t="e">
        <f>'North America'!H1120+"n/&gt;!2og"</f>
        <v>#VALUE!</v>
      </c>
      <c r="HQ365" t="e">
        <f>'North America'!I1120+"n/&gt;!2oh"</f>
        <v>#VALUE!</v>
      </c>
      <c r="HR365" t="e">
        <f>'North America'!A1121+"n/&gt;!2oi"</f>
        <v>#VALUE!</v>
      </c>
      <c r="HS365" t="e">
        <f>'North America'!B1121+"n/&gt;!2oj"</f>
        <v>#VALUE!</v>
      </c>
      <c r="HT365" t="e">
        <f>'North America'!C1121+"n/&gt;!2ok"</f>
        <v>#VALUE!</v>
      </c>
      <c r="HU365" t="e">
        <f>'North America'!D1121+"n/&gt;!2ol"</f>
        <v>#VALUE!</v>
      </c>
      <c r="HV365" t="e">
        <f>'North America'!E1121+"n/&gt;!2om"</f>
        <v>#VALUE!</v>
      </c>
      <c r="HW365" t="e">
        <f>'North America'!F1121+"n/&gt;!2on"</f>
        <v>#VALUE!</v>
      </c>
      <c r="HX365" t="e">
        <f>'North America'!G1121+"n/&gt;!2oo"</f>
        <v>#VALUE!</v>
      </c>
      <c r="HY365" t="e">
        <f>'North America'!H1121+"n/&gt;!2op"</f>
        <v>#VALUE!</v>
      </c>
      <c r="HZ365" t="e">
        <f>'North America'!I1121+"n/&gt;!2oq"</f>
        <v>#VALUE!</v>
      </c>
      <c r="IA365" t="e">
        <f>'North America'!A1122+"n/&gt;!2or"</f>
        <v>#VALUE!</v>
      </c>
      <c r="IB365" t="e">
        <f>'North America'!B1122+"n/&gt;!2os"</f>
        <v>#VALUE!</v>
      </c>
      <c r="IC365" t="e">
        <f>'North America'!C1122+"n/&gt;!2ot"</f>
        <v>#VALUE!</v>
      </c>
      <c r="ID365" t="e">
        <f>'North America'!D1122+"n/&gt;!2ou"</f>
        <v>#VALUE!</v>
      </c>
      <c r="IE365" t="e">
        <f>'North America'!E1122+"n/&gt;!2ov"</f>
        <v>#VALUE!</v>
      </c>
      <c r="IF365" t="e">
        <f>'North America'!F1122+"n/&gt;!2ow"</f>
        <v>#VALUE!</v>
      </c>
      <c r="IG365" t="e">
        <f>'North America'!G1122+"n/&gt;!2ox"</f>
        <v>#VALUE!</v>
      </c>
      <c r="IH365" t="e">
        <f>'North America'!H1122+"n/&gt;!2oy"</f>
        <v>#VALUE!</v>
      </c>
      <c r="II365" t="e">
        <f>'North America'!I1122+"n/&gt;!2oz"</f>
        <v>#VALUE!</v>
      </c>
      <c r="IJ365" t="e">
        <f>'North America'!A1123+"n/&gt;!2o{"</f>
        <v>#VALUE!</v>
      </c>
      <c r="IK365" t="e">
        <f>'North America'!B1123+"n/&gt;!2o|"</f>
        <v>#VALUE!</v>
      </c>
      <c r="IL365" t="e">
        <f>'North America'!C1123+"n/&gt;!2o}"</f>
        <v>#VALUE!</v>
      </c>
      <c r="IM365" t="e">
        <f>'North America'!D1123+"n/&gt;!2o~"</f>
        <v>#VALUE!</v>
      </c>
      <c r="IN365" t="e">
        <f>'North America'!E1123+"n/&gt;!2p#"</f>
        <v>#VALUE!</v>
      </c>
      <c r="IO365" t="e">
        <f>'North America'!F1123+"n/&gt;!2p$"</f>
        <v>#VALUE!</v>
      </c>
      <c r="IP365" t="e">
        <f>'North America'!G1123+"n/&gt;!2p%"</f>
        <v>#VALUE!</v>
      </c>
      <c r="IQ365" t="e">
        <f>'North America'!H1123+"n/&gt;!2p&amp;"</f>
        <v>#VALUE!</v>
      </c>
      <c r="IR365" t="e">
        <f>'North America'!I1123+"n/&gt;!2p'"</f>
        <v>#VALUE!</v>
      </c>
      <c r="IS365" t="e">
        <f>'North America'!A1124+"n/&gt;!2p("</f>
        <v>#VALUE!</v>
      </c>
      <c r="IT365" t="e">
        <f>'North America'!B1124+"n/&gt;!2p)"</f>
        <v>#VALUE!</v>
      </c>
      <c r="IU365" t="e">
        <f>'North America'!C1124+"n/&gt;!2p."</f>
        <v>#VALUE!</v>
      </c>
      <c r="IV365" t="e">
        <f>'North America'!D1124+"n/&gt;!2p/"</f>
        <v>#VALUE!</v>
      </c>
    </row>
    <row r="366" spans="6:256" x14ac:dyDescent="0.35">
      <c r="F366" t="e">
        <f>'North America'!E1124+"n/&gt;!2p0"</f>
        <v>#VALUE!</v>
      </c>
      <c r="G366" t="e">
        <f>'North America'!F1124+"n/&gt;!2p1"</f>
        <v>#VALUE!</v>
      </c>
      <c r="H366" t="e">
        <f>'North America'!G1124+"n/&gt;!2p2"</f>
        <v>#VALUE!</v>
      </c>
      <c r="I366" t="e">
        <f>'North America'!H1124+"n/&gt;!2p3"</f>
        <v>#VALUE!</v>
      </c>
      <c r="J366" t="e">
        <f>'North America'!I1124+"n/&gt;!2p4"</f>
        <v>#VALUE!</v>
      </c>
      <c r="K366" t="e">
        <f>'North America'!A1125+"n/&gt;!2p5"</f>
        <v>#VALUE!</v>
      </c>
      <c r="L366" t="e">
        <f>'North America'!B1125+"n/&gt;!2p6"</f>
        <v>#VALUE!</v>
      </c>
      <c r="M366" t="e">
        <f>'North America'!C1125+"n/&gt;!2p7"</f>
        <v>#VALUE!</v>
      </c>
      <c r="N366" t="e">
        <f>'North America'!D1125+"n/&gt;!2p8"</f>
        <v>#VALUE!</v>
      </c>
      <c r="O366" t="e">
        <f>'North America'!E1125+"n/&gt;!2p9"</f>
        <v>#VALUE!</v>
      </c>
      <c r="P366" t="e">
        <f>'North America'!F1125+"n/&gt;!2p:"</f>
        <v>#VALUE!</v>
      </c>
      <c r="Q366" t="e">
        <f>'North America'!G1125+"n/&gt;!2p;"</f>
        <v>#VALUE!</v>
      </c>
      <c r="R366" t="e">
        <f>'North America'!H1125+"n/&gt;!2p&lt;"</f>
        <v>#VALUE!</v>
      </c>
      <c r="S366" t="e">
        <f>'North America'!I1125+"n/&gt;!2p="</f>
        <v>#VALUE!</v>
      </c>
      <c r="T366" t="e">
        <f>'North America'!A1126+"n/&gt;!2p&gt;"</f>
        <v>#VALUE!</v>
      </c>
      <c r="U366" t="e">
        <f>'North America'!B1126+"n/&gt;!2p?"</f>
        <v>#VALUE!</v>
      </c>
      <c r="V366" t="e">
        <f>'North America'!C1126+"n/&gt;!2p@"</f>
        <v>#VALUE!</v>
      </c>
      <c r="W366" t="e">
        <f>'North America'!D1126+"n/&gt;!2pA"</f>
        <v>#VALUE!</v>
      </c>
      <c r="X366" t="e">
        <f>'North America'!E1126+"n/&gt;!2pB"</f>
        <v>#VALUE!</v>
      </c>
      <c r="Y366" t="e">
        <f>'North America'!F1126+"n/&gt;!2pC"</f>
        <v>#VALUE!</v>
      </c>
      <c r="Z366" t="e">
        <f>'North America'!G1126+"n/&gt;!2pD"</f>
        <v>#VALUE!</v>
      </c>
      <c r="AA366" t="e">
        <f>'North America'!H1126+"n/&gt;!2pE"</f>
        <v>#VALUE!</v>
      </c>
      <c r="AB366" t="e">
        <f>'North America'!I1126+"n/&gt;!2pF"</f>
        <v>#VALUE!</v>
      </c>
      <c r="AC366" t="e">
        <f>'North America'!A1127+"n/&gt;!2pG"</f>
        <v>#VALUE!</v>
      </c>
      <c r="AD366" t="e">
        <f>'North America'!B1127+"n/&gt;!2pH"</f>
        <v>#VALUE!</v>
      </c>
      <c r="AE366" t="e">
        <f>'North America'!C1127+"n/&gt;!2pI"</f>
        <v>#VALUE!</v>
      </c>
      <c r="AF366" t="e">
        <f>'North America'!D1127+"n/&gt;!2pJ"</f>
        <v>#VALUE!</v>
      </c>
      <c r="AG366" t="e">
        <f>'North America'!E1127+"n/&gt;!2pK"</f>
        <v>#VALUE!</v>
      </c>
      <c r="AH366" t="e">
        <f>'North America'!F1127+"n/&gt;!2pL"</f>
        <v>#VALUE!</v>
      </c>
      <c r="AI366" t="e">
        <f>'North America'!G1127+"n/&gt;!2pM"</f>
        <v>#VALUE!</v>
      </c>
      <c r="AJ366" t="e">
        <f>'North America'!H1127+"n/&gt;!2pN"</f>
        <v>#VALUE!</v>
      </c>
      <c r="AK366" t="e">
        <f>'North America'!I1127+"n/&gt;!2pO"</f>
        <v>#VALUE!</v>
      </c>
      <c r="AL366" t="e">
        <f>'North America'!A1128+"n/&gt;!2pP"</f>
        <v>#VALUE!</v>
      </c>
      <c r="AM366" t="e">
        <f>'North America'!B1128+"n/&gt;!2pQ"</f>
        <v>#VALUE!</v>
      </c>
      <c r="AN366" t="e">
        <f>'North America'!C1128+"n/&gt;!2pR"</f>
        <v>#VALUE!</v>
      </c>
      <c r="AO366" t="e">
        <f>'North America'!D1128+"n/&gt;!2pS"</f>
        <v>#VALUE!</v>
      </c>
      <c r="AP366" t="e">
        <f>'North America'!E1128+"n/&gt;!2pT"</f>
        <v>#VALUE!</v>
      </c>
      <c r="AQ366" t="e">
        <f>'North America'!F1128+"n/&gt;!2pU"</f>
        <v>#VALUE!</v>
      </c>
      <c r="AR366" t="e">
        <f>'North America'!G1128+"n/&gt;!2pV"</f>
        <v>#VALUE!</v>
      </c>
      <c r="AS366" t="e">
        <f>'North America'!H1128+"n/&gt;!2pW"</f>
        <v>#VALUE!</v>
      </c>
      <c r="AT366" t="e">
        <f>'North America'!I1128+"n/&gt;!2pX"</f>
        <v>#VALUE!</v>
      </c>
      <c r="AU366" t="e">
        <f>'North America'!A1129+"n/&gt;!2pY"</f>
        <v>#VALUE!</v>
      </c>
      <c r="AV366" t="e">
        <f>'North America'!B1129+"n/&gt;!2pZ"</f>
        <v>#VALUE!</v>
      </c>
      <c r="AW366" t="e">
        <f>'North America'!C1129+"n/&gt;!2p["</f>
        <v>#VALUE!</v>
      </c>
      <c r="AX366" t="e">
        <f>'North America'!D1129+"n/&gt;!2p\"</f>
        <v>#VALUE!</v>
      </c>
      <c r="AY366" t="e">
        <f>'North America'!E1129+"n/&gt;!2p]"</f>
        <v>#VALUE!</v>
      </c>
      <c r="AZ366" t="e">
        <f>'North America'!F1129+"n/&gt;!2p^"</f>
        <v>#VALUE!</v>
      </c>
      <c r="BA366" t="e">
        <f>'North America'!G1129+"n/&gt;!2p_"</f>
        <v>#VALUE!</v>
      </c>
      <c r="BB366" t="e">
        <f>'North America'!H1129+"n/&gt;!2p`"</f>
        <v>#VALUE!</v>
      </c>
      <c r="BC366" t="e">
        <f>'North America'!I1129+"n/&gt;!2pa"</f>
        <v>#VALUE!</v>
      </c>
      <c r="BD366" t="e">
        <f>'North America'!A1130+"n/&gt;!2pb"</f>
        <v>#VALUE!</v>
      </c>
      <c r="BE366" t="e">
        <f>'North America'!B1130+"n/&gt;!2pc"</f>
        <v>#VALUE!</v>
      </c>
      <c r="BF366" t="e">
        <f>'North America'!C1130+"n/&gt;!2pd"</f>
        <v>#VALUE!</v>
      </c>
      <c r="BG366" t="e">
        <f>'North America'!D1130+"n/&gt;!2pe"</f>
        <v>#VALUE!</v>
      </c>
      <c r="BH366" t="e">
        <f>'North America'!E1130+"n/&gt;!2pf"</f>
        <v>#VALUE!</v>
      </c>
      <c r="BI366" t="e">
        <f>'North America'!F1130+"n/&gt;!2pg"</f>
        <v>#VALUE!</v>
      </c>
      <c r="BJ366" t="e">
        <f>'North America'!G1130+"n/&gt;!2ph"</f>
        <v>#VALUE!</v>
      </c>
      <c r="BK366" t="e">
        <f>'North America'!H1130+"n/&gt;!2pi"</f>
        <v>#VALUE!</v>
      </c>
      <c r="BL366" t="e">
        <f>'North America'!I1130+"n/&gt;!2pj"</f>
        <v>#VALUE!</v>
      </c>
      <c r="BM366" t="e">
        <f>'North America'!A1131+"n/&gt;!2pk"</f>
        <v>#VALUE!</v>
      </c>
      <c r="BN366" t="e">
        <f>'North America'!B1131+"n/&gt;!2pl"</f>
        <v>#VALUE!</v>
      </c>
      <c r="BO366" t="e">
        <f>'North America'!C1131+"n/&gt;!2pm"</f>
        <v>#VALUE!</v>
      </c>
      <c r="BP366" t="e">
        <f>'North America'!D1131+"n/&gt;!2pn"</f>
        <v>#VALUE!</v>
      </c>
      <c r="BQ366" t="e">
        <f>'North America'!E1131+"n/&gt;!2po"</f>
        <v>#VALUE!</v>
      </c>
      <c r="BR366" t="e">
        <f>'North America'!F1131+"n/&gt;!2pp"</f>
        <v>#VALUE!</v>
      </c>
      <c r="BS366" t="e">
        <f>'North America'!G1131+"n/&gt;!2pq"</f>
        <v>#VALUE!</v>
      </c>
      <c r="BT366" t="e">
        <f>'North America'!H1131+"n/&gt;!2pr"</f>
        <v>#VALUE!</v>
      </c>
      <c r="BU366" t="e">
        <f>'North America'!I1131+"n/&gt;!2ps"</f>
        <v>#VALUE!</v>
      </c>
      <c r="BV366" t="e">
        <f>'North America'!A1132+"n/&gt;!2pt"</f>
        <v>#VALUE!</v>
      </c>
      <c r="BW366" t="e">
        <f>'North America'!B1132+"n/&gt;!2pu"</f>
        <v>#VALUE!</v>
      </c>
      <c r="BX366" t="e">
        <f>'North America'!C1132+"n/&gt;!2pv"</f>
        <v>#VALUE!</v>
      </c>
      <c r="BY366" t="e">
        <f>'North America'!D1132+"n/&gt;!2pw"</f>
        <v>#VALUE!</v>
      </c>
      <c r="BZ366" t="e">
        <f>'North America'!E1132+"n/&gt;!2px"</f>
        <v>#VALUE!</v>
      </c>
      <c r="CA366" t="e">
        <f>'North America'!F1132+"n/&gt;!2py"</f>
        <v>#VALUE!</v>
      </c>
      <c r="CB366" t="e">
        <f>'North America'!G1132+"n/&gt;!2pz"</f>
        <v>#VALUE!</v>
      </c>
      <c r="CC366" t="e">
        <f>'North America'!H1132+"n/&gt;!2p{"</f>
        <v>#VALUE!</v>
      </c>
      <c r="CD366" t="e">
        <f>'North America'!I1132+"n/&gt;!2p|"</f>
        <v>#VALUE!</v>
      </c>
      <c r="CE366" t="e">
        <f>'North America'!A1133+"n/&gt;!2p}"</f>
        <v>#VALUE!</v>
      </c>
      <c r="CF366" t="e">
        <f>'North America'!B1133+"n/&gt;!2p~"</f>
        <v>#VALUE!</v>
      </c>
      <c r="CG366" t="e">
        <f>'North America'!C1133+"n/&gt;!2q#"</f>
        <v>#VALUE!</v>
      </c>
      <c r="CH366" t="e">
        <f>'North America'!D1133+"n/&gt;!2q$"</f>
        <v>#VALUE!</v>
      </c>
      <c r="CI366" t="e">
        <f>'North America'!E1133+"n/&gt;!2q%"</f>
        <v>#VALUE!</v>
      </c>
      <c r="CJ366" t="e">
        <f>'North America'!F1133+"n/&gt;!2q&amp;"</f>
        <v>#VALUE!</v>
      </c>
      <c r="CK366" t="e">
        <f>'North America'!G1133+"n/&gt;!2q'"</f>
        <v>#VALUE!</v>
      </c>
      <c r="CL366" t="e">
        <f>'North America'!H1133+"n/&gt;!2q("</f>
        <v>#VALUE!</v>
      </c>
      <c r="CM366" t="e">
        <f>'North America'!I1133+"n/&gt;!2q)"</f>
        <v>#VALUE!</v>
      </c>
      <c r="CN366" t="e">
        <f>'North America'!A1134+"n/&gt;!2q."</f>
        <v>#VALUE!</v>
      </c>
      <c r="CO366" t="e">
        <f>'North America'!B1134+"n/&gt;!2q/"</f>
        <v>#VALUE!</v>
      </c>
      <c r="CP366" t="e">
        <f>'North America'!C1134+"n/&gt;!2q0"</f>
        <v>#VALUE!</v>
      </c>
      <c r="CQ366" t="e">
        <f>'North America'!D1134+"n/&gt;!2q1"</f>
        <v>#VALUE!</v>
      </c>
      <c r="CR366" t="e">
        <f>'North America'!E1134+"n/&gt;!2q2"</f>
        <v>#VALUE!</v>
      </c>
      <c r="CS366" t="e">
        <f>'North America'!F1134+"n/&gt;!2q3"</f>
        <v>#VALUE!</v>
      </c>
      <c r="CT366" t="e">
        <f>'North America'!G1134+"n/&gt;!2q4"</f>
        <v>#VALUE!</v>
      </c>
      <c r="CU366" t="e">
        <f>'North America'!H1134+"n/&gt;!2q5"</f>
        <v>#VALUE!</v>
      </c>
      <c r="CV366" t="e">
        <f>'North America'!I1134+"n/&gt;!2q6"</f>
        <v>#VALUE!</v>
      </c>
      <c r="CW366" t="e">
        <f>'North America'!A1135+"n/&gt;!2q7"</f>
        <v>#VALUE!</v>
      </c>
      <c r="CX366" t="e">
        <f>'North America'!B1135+"n/&gt;!2q8"</f>
        <v>#VALUE!</v>
      </c>
      <c r="CY366" t="e">
        <f>'North America'!C1135+"n/&gt;!2q9"</f>
        <v>#VALUE!</v>
      </c>
      <c r="CZ366" t="e">
        <f>'North America'!D1135+"n/&gt;!2q:"</f>
        <v>#VALUE!</v>
      </c>
      <c r="DA366" t="e">
        <f>'North America'!E1135+"n/&gt;!2q;"</f>
        <v>#VALUE!</v>
      </c>
      <c r="DB366" t="e">
        <f>'North America'!F1135+"n/&gt;!2q&lt;"</f>
        <v>#VALUE!</v>
      </c>
      <c r="DC366" t="e">
        <f>'North America'!G1135+"n/&gt;!2q="</f>
        <v>#VALUE!</v>
      </c>
      <c r="DD366" t="e">
        <f>'North America'!H1135+"n/&gt;!2q&gt;"</f>
        <v>#VALUE!</v>
      </c>
      <c r="DE366" t="e">
        <f>'North America'!I1135+"n/&gt;!2q?"</f>
        <v>#VALUE!</v>
      </c>
      <c r="DF366" t="e">
        <f>'North America'!A1136+"n/&gt;!2q@"</f>
        <v>#VALUE!</v>
      </c>
      <c r="DG366" t="e">
        <f>'North America'!B1136+"n/&gt;!2qA"</f>
        <v>#VALUE!</v>
      </c>
      <c r="DH366" t="e">
        <f>'North America'!C1136+"n/&gt;!2qB"</f>
        <v>#VALUE!</v>
      </c>
      <c r="DI366" t="e">
        <f>'North America'!D1136+"n/&gt;!2qC"</f>
        <v>#VALUE!</v>
      </c>
      <c r="DJ366" t="e">
        <f>'North America'!E1136+"n/&gt;!2qD"</f>
        <v>#VALUE!</v>
      </c>
      <c r="DK366" t="e">
        <f>'North America'!F1136+"n/&gt;!2qE"</f>
        <v>#VALUE!</v>
      </c>
      <c r="DL366" t="e">
        <f>'North America'!G1136+"n/&gt;!2qF"</f>
        <v>#VALUE!</v>
      </c>
      <c r="DM366" t="e">
        <f>'North America'!H1136+"n/&gt;!2qG"</f>
        <v>#VALUE!</v>
      </c>
      <c r="DN366" t="e">
        <f>'North America'!I1136+"n/&gt;!2qH"</f>
        <v>#VALUE!</v>
      </c>
      <c r="DO366" t="e">
        <f>'North America'!A1137+"n/&gt;!2qI"</f>
        <v>#VALUE!</v>
      </c>
      <c r="DP366" t="e">
        <f>'North America'!B1137+"n/&gt;!2qJ"</f>
        <v>#VALUE!</v>
      </c>
      <c r="DQ366" t="e">
        <f>'North America'!C1137+"n/&gt;!2qK"</f>
        <v>#VALUE!</v>
      </c>
      <c r="DR366" t="e">
        <f>'North America'!D1137+"n/&gt;!2qL"</f>
        <v>#VALUE!</v>
      </c>
      <c r="DS366" t="e">
        <f>'North America'!E1137+"n/&gt;!2qM"</f>
        <v>#VALUE!</v>
      </c>
      <c r="DT366" t="e">
        <f>'North America'!F1137+"n/&gt;!2qN"</f>
        <v>#VALUE!</v>
      </c>
      <c r="DU366" t="e">
        <f>'North America'!G1137+"n/&gt;!2qO"</f>
        <v>#VALUE!</v>
      </c>
      <c r="DV366" t="e">
        <f>'North America'!H1137+"n/&gt;!2qP"</f>
        <v>#VALUE!</v>
      </c>
      <c r="DW366" t="e">
        <f>'North America'!I1137+"n/&gt;!2qQ"</f>
        <v>#VALUE!</v>
      </c>
      <c r="DX366" t="e">
        <f>'North America'!A1138+"n/&gt;!2qR"</f>
        <v>#VALUE!</v>
      </c>
      <c r="DY366" t="e">
        <f>'North America'!B1138+"n/&gt;!2qS"</f>
        <v>#VALUE!</v>
      </c>
      <c r="DZ366" t="e">
        <f>'North America'!C1138+"n/&gt;!2qT"</f>
        <v>#VALUE!</v>
      </c>
      <c r="EA366" t="e">
        <f>'North America'!D1138+"n/&gt;!2qU"</f>
        <v>#VALUE!</v>
      </c>
      <c r="EB366" t="e">
        <f>'North America'!E1138+"n/&gt;!2qV"</f>
        <v>#VALUE!</v>
      </c>
      <c r="EC366" t="e">
        <f>'North America'!F1138+"n/&gt;!2qW"</f>
        <v>#VALUE!</v>
      </c>
      <c r="ED366" t="e">
        <f>'North America'!G1138+"n/&gt;!2qX"</f>
        <v>#VALUE!</v>
      </c>
      <c r="EE366" t="e">
        <f>'North America'!H1138+"n/&gt;!2qY"</f>
        <v>#VALUE!</v>
      </c>
      <c r="EF366" t="e">
        <f>'North America'!I1138+"n/&gt;!2qZ"</f>
        <v>#VALUE!</v>
      </c>
      <c r="EG366" t="e">
        <f>'North America'!A1139+"n/&gt;!2q["</f>
        <v>#VALUE!</v>
      </c>
      <c r="EH366" t="e">
        <f>'North America'!B1139+"n/&gt;!2q\"</f>
        <v>#VALUE!</v>
      </c>
      <c r="EI366" t="e">
        <f>'North America'!C1139+"n/&gt;!2q]"</f>
        <v>#VALUE!</v>
      </c>
      <c r="EJ366" t="e">
        <f>'North America'!D1139+"n/&gt;!2q^"</f>
        <v>#VALUE!</v>
      </c>
      <c r="EK366" t="e">
        <f>'North America'!E1139+"n/&gt;!2q_"</f>
        <v>#VALUE!</v>
      </c>
      <c r="EL366" t="e">
        <f>'North America'!F1139+"n/&gt;!2q`"</f>
        <v>#VALUE!</v>
      </c>
      <c r="EM366" t="e">
        <f>'North America'!G1139+"n/&gt;!2qa"</f>
        <v>#VALUE!</v>
      </c>
      <c r="EN366" t="e">
        <f>'North America'!H1139+"n/&gt;!2qb"</f>
        <v>#VALUE!</v>
      </c>
      <c r="EO366" t="e">
        <f>'North America'!I1139+"n/&gt;!2qc"</f>
        <v>#VALUE!</v>
      </c>
      <c r="EP366" t="e">
        <f>'North America'!A1140+"n/&gt;!2qd"</f>
        <v>#VALUE!</v>
      </c>
      <c r="EQ366" t="e">
        <f>'North America'!B1140+"n/&gt;!2qe"</f>
        <v>#VALUE!</v>
      </c>
      <c r="ER366" t="e">
        <f>'North America'!C1140+"n/&gt;!2qf"</f>
        <v>#VALUE!</v>
      </c>
      <c r="ES366" t="e">
        <f>'North America'!D1140+"n/&gt;!2qg"</f>
        <v>#VALUE!</v>
      </c>
      <c r="ET366" t="e">
        <f>'North America'!E1140+"n/&gt;!2qh"</f>
        <v>#VALUE!</v>
      </c>
      <c r="EU366" t="e">
        <f>'North America'!F1140+"n/&gt;!2qi"</f>
        <v>#VALUE!</v>
      </c>
      <c r="EV366" t="e">
        <f>'North America'!G1140+"n/&gt;!2qj"</f>
        <v>#VALUE!</v>
      </c>
      <c r="EW366" t="e">
        <f>'North America'!H1140+"n/&gt;!2qk"</f>
        <v>#VALUE!</v>
      </c>
      <c r="EX366" t="e">
        <f>'North America'!I1140+"n/&gt;!2ql"</f>
        <v>#VALUE!</v>
      </c>
      <c r="EY366" t="e">
        <f>'North America'!A1141+"n/&gt;!2qm"</f>
        <v>#VALUE!</v>
      </c>
      <c r="EZ366" t="e">
        <f>'North America'!B1141+"n/&gt;!2qn"</f>
        <v>#VALUE!</v>
      </c>
      <c r="FA366" t="e">
        <f>'North America'!C1141+"n/&gt;!2qo"</f>
        <v>#VALUE!</v>
      </c>
      <c r="FB366" t="e">
        <f>'North America'!D1141+"n/&gt;!2qp"</f>
        <v>#VALUE!</v>
      </c>
      <c r="FC366" t="e">
        <f>'North America'!E1141+"n/&gt;!2qq"</f>
        <v>#VALUE!</v>
      </c>
      <c r="FD366" t="e">
        <f>'North America'!F1141+"n/&gt;!2qr"</f>
        <v>#VALUE!</v>
      </c>
      <c r="FE366" t="e">
        <f>'North America'!G1141+"n/&gt;!2qs"</f>
        <v>#VALUE!</v>
      </c>
      <c r="FF366" t="e">
        <f>'North America'!H1141+"n/&gt;!2qt"</f>
        <v>#VALUE!</v>
      </c>
      <c r="FG366" t="e">
        <f>'North America'!I1141+"n/&gt;!2qu"</f>
        <v>#VALUE!</v>
      </c>
      <c r="FH366" t="e">
        <f>'North America'!A1142+"n/&gt;!2qv"</f>
        <v>#VALUE!</v>
      </c>
      <c r="FI366" t="e">
        <f>'North America'!B1142+"n/&gt;!2qw"</f>
        <v>#VALUE!</v>
      </c>
      <c r="FJ366" t="e">
        <f>'North America'!C1142+"n/&gt;!2qx"</f>
        <v>#VALUE!</v>
      </c>
      <c r="FK366" t="e">
        <f>'North America'!D1142+"n/&gt;!2qy"</f>
        <v>#VALUE!</v>
      </c>
      <c r="FL366" t="e">
        <f>'North America'!E1142+"n/&gt;!2qz"</f>
        <v>#VALUE!</v>
      </c>
      <c r="FM366" t="e">
        <f>'North America'!F1142+"n/&gt;!2q{"</f>
        <v>#VALUE!</v>
      </c>
      <c r="FN366" t="e">
        <f>'North America'!G1142+"n/&gt;!2q|"</f>
        <v>#VALUE!</v>
      </c>
      <c r="FO366" t="e">
        <f>'North America'!H1142+"n/&gt;!2q}"</f>
        <v>#VALUE!</v>
      </c>
      <c r="FP366" t="e">
        <f>'North America'!I1142+"n/&gt;!2q~"</f>
        <v>#VALUE!</v>
      </c>
      <c r="FQ366" t="e">
        <f>'North America'!A1143+"n/&gt;!2r#"</f>
        <v>#VALUE!</v>
      </c>
      <c r="FR366" t="e">
        <f>'North America'!B1143+"n/&gt;!2r$"</f>
        <v>#VALUE!</v>
      </c>
      <c r="FS366" t="e">
        <f>'North America'!C1143+"n/&gt;!2r%"</f>
        <v>#VALUE!</v>
      </c>
      <c r="FT366" t="e">
        <f>'North America'!D1143+"n/&gt;!2r&amp;"</f>
        <v>#VALUE!</v>
      </c>
      <c r="FU366" t="e">
        <f>'North America'!E1143+"n/&gt;!2r'"</f>
        <v>#VALUE!</v>
      </c>
      <c r="FV366" t="e">
        <f>'North America'!F1143+"n/&gt;!2r("</f>
        <v>#VALUE!</v>
      </c>
      <c r="FW366" t="e">
        <f>'North America'!G1143+"n/&gt;!2r)"</f>
        <v>#VALUE!</v>
      </c>
      <c r="FX366" t="e">
        <f>'North America'!H1143+"n/&gt;!2r."</f>
        <v>#VALUE!</v>
      </c>
      <c r="FY366" t="e">
        <f>'North America'!I1143+"n/&gt;!2r/"</f>
        <v>#VALUE!</v>
      </c>
      <c r="FZ366" t="e">
        <f>'North America'!A1144+"n/&gt;!2r0"</f>
        <v>#VALUE!</v>
      </c>
      <c r="GA366" t="e">
        <f>'North America'!B1144+"n/&gt;!2r1"</f>
        <v>#VALUE!</v>
      </c>
      <c r="GB366" t="e">
        <f>'North America'!C1144+"n/&gt;!2r2"</f>
        <v>#VALUE!</v>
      </c>
      <c r="GC366" t="e">
        <f>'North America'!D1144+"n/&gt;!2r3"</f>
        <v>#VALUE!</v>
      </c>
      <c r="GD366" t="e">
        <f>'North America'!E1144+"n/&gt;!2r4"</f>
        <v>#VALUE!</v>
      </c>
      <c r="GE366" t="e">
        <f>'North America'!F1144+"n/&gt;!2r5"</f>
        <v>#VALUE!</v>
      </c>
      <c r="GF366" t="e">
        <f>'North America'!G1144+"n/&gt;!2r6"</f>
        <v>#VALUE!</v>
      </c>
      <c r="GG366" t="e">
        <f>'North America'!H1144+"n/&gt;!2r7"</f>
        <v>#VALUE!</v>
      </c>
      <c r="GH366" t="e">
        <f>'North America'!I1144+"n/&gt;!2r8"</f>
        <v>#VALUE!</v>
      </c>
      <c r="GI366" t="e">
        <f>'North America'!A1145+"n/&gt;!2r9"</f>
        <v>#VALUE!</v>
      </c>
      <c r="GJ366" t="e">
        <f>'North America'!B1145+"n/&gt;!2r:"</f>
        <v>#VALUE!</v>
      </c>
      <c r="GK366" t="e">
        <f>'North America'!C1145+"n/&gt;!2r;"</f>
        <v>#VALUE!</v>
      </c>
      <c r="GL366" t="e">
        <f>'North America'!D1145+"n/&gt;!2r&lt;"</f>
        <v>#VALUE!</v>
      </c>
      <c r="GM366" t="e">
        <f>'North America'!E1145+"n/&gt;!2r="</f>
        <v>#VALUE!</v>
      </c>
      <c r="GN366" t="e">
        <f>'North America'!F1145+"n/&gt;!2r&gt;"</f>
        <v>#VALUE!</v>
      </c>
      <c r="GO366" t="e">
        <f>'North America'!G1145+"n/&gt;!2r?"</f>
        <v>#VALUE!</v>
      </c>
      <c r="GP366" t="e">
        <f>'North America'!H1145+"n/&gt;!2r@"</f>
        <v>#VALUE!</v>
      </c>
      <c r="GQ366" t="e">
        <f>'North America'!I1145+"n/&gt;!2rA"</f>
        <v>#VALUE!</v>
      </c>
      <c r="GR366" t="e">
        <f>'North America'!A1146+"n/&gt;!2rB"</f>
        <v>#VALUE!</v>
      </c>
      <c r="GS366" t="e">
        <f>'North America'!B1146+"n/&gt;!2rC"</f>
        <v>#VALUE!</v>
      </c>
      <c r="GT366" t="e">
        <f>'North America'!C1146+"n/&gt;!2rD"</f>
        <v>#VALUE!</v>
      </c>
      <c r="GU366" t="e">
        <f>'North America'!D1146+"n/&gt;!2rE"</f>
        <v>#VALUE!</v>
      </c>
      <c r="GV366" t="e">
        <f>'North America'!E1146+"n/&gt;!2rF"</f>
        <v>#VALUE!</v>
      </c>
      <c r="GW366" t="e">
        <f>'North America'!F1146+"n/&gt;!2rG"</f>
        <v>#VALUE!</v>
      </c>
      <c r="GX366" t="e">
        <f>'North America'!G1146+"n/&gt;!2rH"</f>
        <v>#VALUE!</v>
      </c>
      <c r="GY366" t="e">
        <f>'North America'!H1146+"n/&gt;!2rI"</f>
        <v>#VALUE!</v>
      </c>
      <c r="GZ366" t="e">
        <f>'North America'!I1146+"n/&gt;!2rJ"</f>
        <v>#VALUE!</v>
      </c>
      <c r="HA366" t="e">
        <f>'North America'!A1147+"n/&gt;!2rK"</f>
        <v>#VALUE!</v>
      </c>
      <c r="HB366" t="e">
        <f>'North America'!B1147+"n/&gt;!2rL"</f>
        <v>#VALUE!</v>
      </c>
      <c r="HC366" t="e">
        <f>'North America'!C1147+"n/&gt;!2rM"</f>
        <v>#VALUE!</v>
      </c>
      <c r="HD366" t="e">
        <f>'North America'!D1147+"n/&gt;!2rN"</f>
        <v>#VALUE!</v>
      </c>
      <c r="HE366" t="e">
        <f>'North America'!E1147+"n/&gt;!2rO"</f>
        <v>#VALUE!</v>
      </c>
      <c r="HF366" t="e">
        <f>'North America'!F1147+"n/&gt;!2rP"</f>
        <v>#VALUE!</v>
      </c>
      <c r="HG366" t="e">
        <f>'North America'!G1147+"n/&gt;!2rQ"</f>
        <v>#VALUE!</v>
      </c>
      <c r="HH366" t="e">
        <f>'North America'!H1147+"n/&gt;!2rR"</f>
        <v>#VALUE!</v>
      </c>
      <c r="HI366" t="e">
        <f>'North America'!I1147+"n/&gt;!2rS"</f>
        <v>#VALUE!</v>
      </c>
      <c r="HJ366" t="e">
        <f>'North America'!A1148+"n/&gt;!2rT"</f>
        <v>#VALUE!</v>
      </c>
      <c r="HK366" t="e">
        <f>'North America'!B1148+"n/&gt;!2rU"</f>
        <v>#VALUE!</v>
      </c>
      <c r="HL366" t="e">
        <f>'North America'!C1148+"n/&gt;!2rV"</f>
        <v>#VALUE!</v>
      </c>
      <c r="HM366" t="e">
        <f>'North America'!D1148+"n/&gt;!2rW"</f>
        <v>#VALUE!</v>
      </c>
      <c r="HN366" t="e">
        <f>'North America'!E1148+"n/&gt;!2rX"</f>
        <v>#VALUE!</v>
      </c>
      <c r="HO366" t="e">
        <f>'North America'!F1148+"n/&gt;!2rY"</f>
        <v>#VALUE!</v>
      </c>
      <c r="HP366" t="e">
        <f>'North America'!G1148+"n/&gt;!2rZ"</f>
        <v>#VALUE!</v>
      </c>
      <c r="HQ366" t="e">
        <f>'North America'!H1148+"n/&gt;!2r["</f>
        <v>#VALUE!</v>
      </c>
      <c r="HR366" t="e">
        <f>'North America'!I1148+"n/&gt;!2r\"</f>
        <v>#VALUE!</v>
      </c>
      <c r="HS366" t="e">
        <f>'North America'!A1149+"n/&gt;!2r]"</f>
        <v>#VALUE!</v>
      </c>
      <c r="HT366" t="e">
        <f>'North America'!B1149+"n/&gt;!2r^"</f>
        <v>#VALUE!</v>
      </c>
      <c r="HU366" t="e">
        <f>'North America'!C1149+"n/&gt;!2r_"</f>
        <v>#VALUE!</v>
      </c>
      <c r="HV366" t="e">
        <f>'North America'!D1149+"n/&gt;!2r`"</f>
        <v>#VALUE!</v>
      </c>
      <c r="HW366" t="e">
        <f>'North America'!E1149+"n/&gt;!2ra"</f>
        <v>#VALUE!</v>
      </c>
      <c r="HX366" t="e">
        <f>'North America'!F1149+"n/&gt;!2rb"</f>
        <v>#VALUE!</v>
      </c>
      <c r="HY366" t="e">
        <f>'North America'!G1149+"n/&gt;!2rc"</f>
        <v>#VALUE!</v>
      </c>
      <c r="HZ366" t="e">
        <f>'North America'!H1149+"n/&gt;!2rd"</f>
        <v>#VALUE!</v>
      </c>
      <c r="IA366" t="e">
        <f>'North America'!I1149+"n/&gt;!2re"</f>
        <v>#VALUE!</v>
      </c>
      <c r="IB366" t="e">
        <f>'North America'!A1150+"n/&gt;!2rf"</f>
        <v>#VALUE!</v>
      </c>
      <c r="IC366" t="e">
        <f>'North America'!B1150+"n/&gt;!2rg"</f>
        <v>#VALUE!</v>
      </c>
      <c r="ID366" t="e">
        <f>'North America'!C1150+"n/&gt;!2rh"</f>
        <v>#VALUE!</v>
      </c>
      <c r="IE366" t="e">
        <f>'North America'!D1150+"n/&gt;!2ri"</f>
        <v>#VALUE!</v>
      </c>
      <c r="IF366" t="e">
        <f>'North America'!E1150+"n/&gt;!2rj"</f>
        <v>#VALUE!</v>
      </c>
      <c r="IG366" t="e">
        <f>'North America'!F1150+"n/&gt;!2rk"</f>
        <v>#VALUE!</v>
      </c>
      <c r="IH366" t="e">
        <f>'North America'!G1150+"n/&gt;!2rl"</f>
        <v>#VALUE!</v>
      </c>
      <c r="II366" t="e">
        <f>'North America'!H1150+"n/&gt;!2rm"</f>
        <v>#VALUE!</v>
      </c>
      <c r="IJ366" t="e">
        <f>'North America'!I1150+"n/&gt;!2rn"</f>
        <v>#VALUE!</v>
      </c>
      <c r="IK366" t="e">
        <f>'North America'!A1151+"n/&gt;!2ro"</f>
        <v>#VALUE!</v>
      </c>
      <c r="IL366" t="e">
        <f>'North America'!B1151+"n/&gt;!2rp"</f>
        <v>#VALUE!</v>
      </c>
      <c r="IM366" t="e">
        <f>'North America'!C1151+"n/&gt;!2rq"</f>
        <v>#VALUE!</v>
      </c>
      <c r="IN366" t="e">
        <f>'North America'!D1151+"n/&gt;!2rr"</f>
        <v>#VALUE!</v>
      </c>
      <c r="IO366" t="e">
        <f>'North America'!E1151+"n/&gt;!2rs"</f>
        <v>#VALUE!</v>
      </c>
      <c r="IP366" t="e">
        <f>'North America'!F1151+"n/&gt;!2rt"</f>
        <v>#VALUE!</v>
      </c>
      <c r="IQ366" t="e">
        <f>'North America'!G1151+"n/&gt;!2ru"</f>
        <v>#VALUE!</v>
      </c>
      <c r="IR366" t="e">
        <f>'North America'!H1151+"n/&gt;!2rv"</f>
        <v>#VALUE!</v>
      </c>
      <c r="IS366" t="e">
        <f>'North America'!I1151+"n/&gt;!2rw"</f>
        <v>#VALUE!</v>
      </c>
      <c r="IT366" t="e">
        <f>'North America'!A1152+"n/&gt;!2rx"</f>
        <v>#VALUE!</v>
      </c>
      <c r="IU366" t="e">
        <f>'North America'!B1152+"n/&gt;!2ry"</f>
        <v>#VALUE!</v>
      </c>
      <c r="IV366" t="e">
        <f>'North America'!C1152+"n/&gt;!2rz"</f>
        <v>#VALUE!</v>
      </c>
    </row>
    <row r="367" spans="6:256" x14ac:dyDescent="0.35">
      <c r="F367" t="e">
        <f>'North America'!D1152+"n/&gt;!2r{"</f>
        <v>#VALUE!</v>
      </c>
      <c r="G367" t="e">
        <f>'North America'!E1152+"n/&gt;!2r|"</f>
        <v>#VALUE!</v>
      </c>
      <c r="H367" t="e">
        <f>'North America'!F1152+"n/&gt;!2r}"</f>
        <v>#VALUE!</v>
      </c>
      <c r="I367" t="e">
        <f>'North America'!G1152+"n/&gt;!2r~"</f>
        <v>#VALUE!</v>
      </c>
      <c r="J367" t="e">
        <f>'North America'!H1152+"n/&gt;!2s#"</f>
        <v>#VALUE!</v>
      </c>
      <c r="K367" t="e">
        <f>'North America'!I1152+"n/&gt;!2s$"</f>
        <v>#VALUE!</v>
      </c>
      <c r="L367" t="e">
        <f>'North America'!A1153+"n/&gt;!2s%"</f>
        <v>#VALUE!</v>
      </c>
      <c r="M367" t="e">
        <f>'North America'!B1153+"n/&gt;!2s&amp;"</f>
        <v>#VALUE!</v>
      </c>
      <c r="N367" t="e">
        <f>'North America'!C1153+"n/&gt;!2s'"</f>
        <v>#VALUE!</v>
      </c>
      <c r="O367" t="e">
        <f>'North America'!D1153+"n/&gt;!2s("</f>
        <v>#VALUE!</v>
      </c>
      <c r="P367" t="e">
        <f>'North America'!E1153+"n/&gt;!2s)"</f>
        <v>#VALUE!</v>
      </c>
      <c r="Q367" t="e">
        <f>'North America'!F1153+"n/&gt;!2s."</f>
        <v>#VALUE!</v>
      </c>
      <c r="R367" t="e">
        <f>'North America'!G1153+"n/&gt;!2s/"</f>
        <v>#VALUE!</v>
      </c>
      <c r="S367" t="e">
        <f>'North America'!H1153+"n/&gt;!2s0"</f>
        <v>#VALUE!</v>
      </c>
      <c r="T367" t="e">
        <f>'North America'!I1153+"n/&gt;!2s1"</f>
        <v>#VALUE!</v>
      </c>
      <c r="U367" t="e">
        <f>'North America'!A1154+"n/&gt;!2s2"</f>
        <v>#VALUE!</v>
      </c>
      <c r="V367" t="e">
        <f>'North America'!B1154+"n/&gt;!2s3"</f>
        <v>#VALUE!</v>
      </c>
      <c r="W367" t="e">
        <f>'North America'!C1154+"n/&gt;!2s4"</f>
        <v>#VALUE!</v>
      </c>
      <c r="X367" t="e">
        <f>'North America'!D1154+"n/&gt;!2s5"</f>
        <v>#VALUE!</v>
      </c>
      <c r="Y367" t="e">
        <f>'North America'!E1154+"n/&gt;!2s6"</f>
        <v>#VALUE!</v>
      </c>
      <c r="Z367" t="e">
        <f>'North America'!F1154+"n/&gt;!2s7"</f>
        <v>#VALUE!</v>
      </c>
      <c r="AA367" t="e">
        <f>'North America'!G1154+"n/&gt;!2s8"</f>
        <v>#VALUE!</v>
      </c>
      <c r="AB367" t="e">
        <f>'North America'!H1154+"n/&gt;!2s9"</f>
        <v>#VALUE!</v>
      </c>
      <c r="AC367" t="e">
        <f>'North America'!I1154+"n/&gt;!2s:"</f>
        <v>#VALUE!</v>
      </c>
      <c r="AD367" t="e">
        <f>'North America'!A1155+"n/&gt;!2s;"</f>
        <v>#VALUE!</v>
      </c>
      <c r="AE367" t="e">
        <f>'North America'!B1155+"n/&gt;!2s&lt;"</f>
        <v>#VALUE!</v>
      </c>
      <c r="AF367" t="e">
        <f>'North America'!C1155+"n/&gt;!2s="</f>
        <v>#VALUE!</v>
      </c>
      <c r="AG367" t="e">
        <f>'North America'!D1155+"n/&gt;!2s&gt;"</f>
        <v>#VALUE!</v>
      </c>
      <c r="AH367" t="e">
        <f>'North America'!E1155+"n/&gt;!2s?"</f>
        <v>#VALUE!</v>
      </c>
      <c r="AI367" t="e">
        <f>'North America'!F1155+"n/&gt;!2s@"</f>
        <v>#VALUE!</v>
      </c>
      <c r="AJ367" t="e">
        <f>'North America'!G1155+"n/&gt;!2sA"</f>
        <v>#VALUE!</v>
      </c>
      <c r="AK367" t="e">
        <f>'North America'!H1155+"n/&gt;!2sB"</f>
        <v>#VALUE!</v>
      </c>
      <c r="AL367" t="e">
        <f>'North America'!I1155+"n/&gt;!2sC"</f>
        <v>#VALUE!</v>
      </c>
      <c r="AM367" t="e">
        <f>'North America'!A1156+"n/&gt;!2sD"</f>
        <v>#VALUE!</v>
      </c>
      <c r="AN367" t="e">
        <f>'North America'!B1156+"n/&gt;!2sE"</f>
        <v>#VALUE!</v>
      </c>
      <c r="AO367" t="e">
        <f>'North America'!C1156+"n/&gt;!2sF"</f>
        <v>#VALUE!</v>
      </c>
      <c r="AP367" t="e">
        <f>'North America'!D1156+"n/&gt;!2sG"</f>
        <v>#VALUE!</v>
      </c>
      <c r="AQ367" t="e">
        <f>'North America'!E1156+"n/&gt;!2sH"</f>
        <v>#VALUE!</v>
      </c>
      <c r="AR367" t="e">
        <f>'North America'!F1156+"n/&gt;!2sI"</f>
        <v>#VALUE!</v>
      </c>
      <c r="AS367" t="e">
        <f>'North America'!G1156+"n/&gt;!2sJ"</f>
        <v>#VALUE!</v>
      </c>
      <c r="AT367" t="e">
        <f>'North America'!H1156+"n/&gt;!2sK"</f>
        <v>#VALUE!</v>
      </c>
      <c r="AU367" t="e">
        <f>'North America'!I1156+"n/&gt;!2sL"</f>
        <v>#VALUE!</v>
      </c>
      <c r="AV367" t="e">
        <f>'North America'!A1157+"n/&gt;!2sM"</f>
        <v>#VALUE!</v>
      </c>
      <c r="AW367" t="e">
        <f>'North America'!B1157+"n/&gt;!2sN"</f>
        <v>#VALUE!</v>
      </c>
      <c r="AX367" t="e">
        <f>'North America'!C1157+"n/&gt;!2sO"</f>
        <v>#VALUE!</v>
      </c>
      <c r="AY367" t="e">
        <f>'North America'!D1157+"n/&gt;!2sP"</f>
        <v>#VALUE!</v>
      </c>
      <c r="AZ367" t="e">
        <f>'North America'!E1157+"n/&gt;!2sQ"</f>
        <v>#VALUE!</v>
      </c>
      <c r="BA367" t="e">
        <f>'North America'!F1157+"n/&gt;!2sR"</f>
        <v>#VALUE!</v>
      </c>
      <c r="BB367" t="e">
        <f>'North America'!G1157+"n/&gt;!2sS"</f>
        <v>#VALUE!</v>
      </c>
      <c r="BC367" t="e">
        <f>'North America'!H1157+"n/&gt;!2sT"</f>
        <v>#VALUE!</v>
      </c>
      <c r="BD367" t="e">
        <f>'North America'!I1157+"n/&gt;!2sU"</f>
        <v>#VALUE!</v>
      </c>
      <c r="BE367" t="e">
        <f>'North America'!A1158+"n/&gt;!2sV"</f>
        <v>#VALUE!</v>
      </c>
      <c r="BF367" t="e">
        <f>'North America'!B1158+"n/&gt;!2sW"</f>
        <v>#VALUE!</v>
      </c>
      <c r="BG367" t="e">
        <f>'North America'!C1158+"n/&gt;!2sX"</f>
        <v>#VALUE!</v>
      </c>
      <c r="BH367" t="e">
        <f>'North America'!D1158+"n/&gt;!2sY"</f>
        <v>#VALUE!</v>
      </c>
      <c r="BI367" t="e">
        <f>'North America'!E1158+"n/&gt;!2sZ"</f>
        <v>#VALUE!</v>
      </c>
      <c r="BJ367" t="e">
        <f>'North America'!F1158+"n/&gt;!2s["</f>
        <v>#VALUE!</v>
      </c>
      <c r="BK367" t="e">
        <f>'North America'!G1158+"n/&gt;!2s\"</f>
        <v>#VALUE!</v>
      </c>
      <c r="BL367" t="e">
        <f>'North America'!H1158+"n/&gt;!2s]"</f>
        <v>#VALUE!</v>
      </c>
      <c r="BM367" t="e">
        <f>'North America'!I1158+"n/&gt;!2s^"</f>
        <v>#VALUE!</v>
      </c>
      <c r="BN367" t="e">
        <f>'North America'!A1159+"n/&gt;!2s_"</f>
        <v>#VALUE!</v>
      </c>
      <c r="BO367" t="e">
        <f>'North America'!B1159+"n/&gt;!2s`"</f>
        <v>#VALUE!</v>
      </c>
      <c r="BP367" t="e">
        <f>'North America'!C1159+"n/&gt;!2sa"</f>
        <v>#VALUE!</v>
      </c>
      <c r="BQ367" t="e">
        <f>'North America'!D1159+"n/&gt;!2sb"</f>
        <v>#VALUE!</v>
      </c>
      <c r="BR367" t="e">
        <f>'North America'!E1159+"n/&gt;!2sc"</f>
        <v>#VALUE!</v>
      </c>
      <c r="BS367" t="e">
        <f>'North America'!F1159+"n/&gt;!2sd"</f>
        <v>#VALUE!</v>
      </c>
      <c r="BT367" t="e">
        <f>'North America'!G1159+"n/&gt;!2se"</f>
        <v>#VALUE!</v>
      </c>
      <c r="BU367" t="e">
        <f>'North America'!H1159+"n/&gt;!2sf"</f>
        <v>#VALUE!</v>
      </c>
      <c r="BV367" t="e">
        <f>'North America'!I1159+"n/&gt;!2sg"</f>
        <v>#VALUE!</v>
      </c>
      <c r="BW367" t="e">
        <f>'North America'!A1160+"n/&gt;!2sh"</f>
        <v>#VALUE!</v>
      </c>
      <c r="BX367" t="e">
        <f>'North America'!B1160+"n/&gt;!2si"</f>
        <v>#VALUE!</v>
      </c>
      <c r="BY367" t="e">
        <f>'North America'!C1160+"n/&gt;!2sj"</f>
        <v>#VALUE!</v>
      </c>
      <c r="BZ367" t="e">
        <f>'North America'!D1160+"n/&gt;!2sk"</f>
        <v>#VALUE!</v>
      </c>
      <c r="CA367" t="e">
        <f>'North America'!E1160+"n/&gt;!2sl"</f>
        <v>#VALUE!</v>
      </c>
      <c r="CB367" t="e">
        <f>'North America'!F1160+"n/&gt;!2sm"</f>
        <v>#VALUE!</v>
      </c>
      <c r="CC367" t="e">
        <f>'North America'!G1160+"n/&gt;!2sn"</f>
        <v>#VALUE!</v>
      </c>
      <c r="CD367" t="e">
        <f>'North America'!H1160+"n/&gt;!2so"</f>
        <v>#VALUE!</v>
      </c>
      <c r="CE367" t="e">
        <f>'North America'!I1160+"n/&gt;!2sp"</f>
        <v>#VALUE!</v>
      </c>
      <c r="CF367" t="e">
        <f>'North America'!A1161+"n/&gt;!2sq"</f>
        <v>#VALUE!</v>
      </c>
      <c r="CG367" t="e">
        <f>'North America'!B1161+"n/&gt;!2sr"</f>
        <v>#VALUE!</v>
      </c>
      <c r="CH367" t="e">
        <f>'North America'!C1161+"n/&gt;!2ss"</f>
        <v>#VALUE!</v>
      </c>
      <c r="CI367" t="e">
        <f>'North America'!D1161+"n/&gt;!2st"</f>
        <v>#VALUE!</v>
      </c>
      <c r="CJ367" t="e">
        <f>'North America'!E1161+"n/&gt;!2su"</f>
        <v>#VALUE!</v>
      </c>
      <c r="CK367" t="e">
        <f>'North America'!F1161+"n/&gt;!2sv"</f>
        <v>#VALUE!</v>
      </c>
      <c r="CL367" t="e">
        <f>'North America'!G1161+"n/&gt;!2sw"</f>
        <v>#VALUE!</v>
      </c>
      <c r="CM367" t="e">
        <f>'North America'!H1161+"n/&gt;!2sx"</f>
        <v>#VALUE!</v>
      </c>
      <c r="CN367" t="e">
        <f>'North America'!I1161+"n/&gt;!2sy"</f>
        <v>#VALUE!</v>
      </c>
      <c r="CO367" t="e">
        <f>'North America'!A1162+"n/&gt;!2sz"</f>
        <v>#VALUE!</v>
      </c>
      <c r="CP367" t="e">
        <f>'North America'!B1162+"n/&gt;!2s{"</f>
        <v>#VALUE!</v>
      </c>
      <c r="CQ367" t="e">
        <f>'North America'!C1162+"n/&gt;!2s|"</f>
        <v>#VALUE!</v>
      </c>
      <c r="CR367" t="e">
        <f>'North America'!D1162+"n/&gt;!2s}"</f>
        <v>#VALUE!</v>
      </c>
      <c r="CS367" t="e">
        <f>'North America'!E1162+"n/&gt;!2s~"</f>
        <v>#VALUE!</v>
      </c>
      <c r="CT367" t="e">
        <f>'North America'!F1162+"n/&gt;!2t#"</f>
        <v>#VALUE!</v>
      </c>
      <c r="CU367" t="e">
        <f>'North America'!G1162+"n/&gt;!2t$"</f>
        <v>#VALUE!</v>
      </c>
      <c r="CV367" t="e">
        <f>'North America'!H1162+"n/&gt;!2t%"</f>
        <v>#VALUE!</v>
      </c>
      <c r="CW367" t="e">
        <f>'North America'!I1162+"n/&gt;!2t&amp;"</f>
        <v>#VALUE!</v>
      </c>
      <c r="CX367" t="e">
        <f>'North America'!A1163+"n/&gt;!2t'"</f>
        <v>#VALUE!</v>
      </c>
      <c r="CY367" t="e">
        <f>'North America'!B1163+"n/&gt;!2t("</f>
        <v>#VALUE!</v>
      </c>
      <c r="CZ367" t="e">
        <f>'North America'!C1163+"n/&gt;!2t)"</f>
        <v>#VALUE!</v>
      </c>
      <c r="DA367" t="e">
        <f>'North America'!D1163+"n/&gt;!2t."</f>
        <v>#VALUE!</v>
      </c>
      <c r="DB367" t="e">
        <f>'North America'!E1163+"n/&gt;!2t/"</f>
        <v>#VALUE!</v>
      </c>
      <c r="DC367" t="e">
        <f>'North America'!F1163+"n/&gt;!2t0"</f>
        <v>#VALUE!</v>
      </c>
      <c r="DD367" t="e">
        <f>'North America'!G1163+"n/&gt;!2t1"</f>
        <v>#VALUE!</v>
      </c>
      <c r="DE367" t="e">
        <f>'North America'!H1163+"n/&gt;!2t2"</f>
        <v>#VALUE!</v>
      </c>
      <c r="DF367" t="e">
        <f>'North America'!I1163+"n/&gt;!2t3"</f>
        <v>#VALUE!</v>
      </c>
      <c r="DG367" t="e">
        <f>'North America'!A1164+"n/&gt;!2t4"</f>
        <v>#VALUE!</v>
      </c>
      <c r="DH367" t="e">
        <f>'North America'!B1164+"n/&gt;!2t5"</f>
        <v>#VALUE!</v>
      </c>
      <c r="DI367" t="e">
        <f>'North America'!C1164+"n/&gt;!2t6"</f>
        <v>#VALUE!</v>
      </c>
      <c r="DJ367" t="e">
        <f>'North America'!D1164+"n/&gt;!2t7"</f>
        <v>#VALUE!</v>
      </c>
      <c r="DK367" t="e">
        <f>'North America'!E1164+"n/&gt;!2t8"</f>
        <v>#VALUE!</v>
      </c>
      <c r="DL367" t="e">
        <f>'North America'!F1164+"n/&gt;!2t9"</f>
        <v>#VALUE!</v>
      </c>
      <c r="DM367" t="e">
        <f>'North America'!G1164+"n/&gt;!2t:"</f>
        <v>#VALUE!</v>
      </c>
      <c r="DN367" t="e">
        <f>'North America'!H1164+"n/&gt;!2t;"</f>
        <v>#VALUE!</v>
      </c>
      <c r="DO367" t="e">
        <f>'North America'!I1164+"n/&gt;!2t&lt;"</f>
        <v>#VALUE!</v>
      </c>
      <c r="DP367" t="e">
        <f>'North America'!A1165+"n/&gt;!2t="</f>
        <v>#VALUE!</v>
      </c>
      <c r="DQ367" t="e">
        <f>'North America'!B1165+"n/&gt;!2t&gt;"</f>
        <v>#VALUE!</v>
      </c>
      <c r="DR367" t="e">
        <f>'North America'!C1165+"n/&gt;!2t?"</f>
        <v>#VALUE!</v>
      </c>
      <c r="DS367" t="e">
        <f>'North America'!D1165+"n/&gt;!2t@"</f>
        <v>#VALUE!</v>
      </c>
      <c r="DT367" t="e">
        <f>'North America'!E1165+"n/&gt;!2tA"</f>
        <v>#VALUE!</v>
      </c>
      <c r="DU367" t="e">
        <f>'North America'!F1165+"n/&gt;!2tB"</f>
        <v>#VALUE!</v>
      </c>
      <c r="DV367" t="e">
        <f>'North America'!G1165+"n/&gt;!2tC"</f>
        <v>#VALUE!</v>
      </c>
      <c r="DW367" t="e">
        <f>'North America'!H1165+"n/&gt;!2tD"</f>
        <v>#VALUE!</v>
      </c>
      <c r="DX367" t="e">
        <f>'North America'!I1165+"n/&gt;!2tE"</f>
        <v>#VALUE!</v>
      </c>
      <c r="DY367" t="e">
        <f>'North America'!A1166+"n/&gt;!2tF"</f>
        <v>#VALUE!</v>
      </c>
      <c r="DZ367" t="e">
        <f>'North America'!B1166+"n/&gt;!2tG"</f>
        <v>#VALUE!</v>
      </c>
      <c r="EA367" t="e">
        <f>'North America'!C1166+"n/&gt;!2tH"</f>
        <v>#VALUE!</v>
      </c>
      <c r="EB367" t="e">
        <f>'North America'!D1166+"n/&gt;!2tI"</f>
        <v>#VALUE!</v>
      </c>
      <c r="EC367" t="e">
        <f>'North America'!E1166+"n/&gt;!2tJ"</f>
        <v>#VALUE!</v>
      </c>
      <c r="ED367" t="e">
        <f>'North America'!F1166+"n/&gt;!2tK"</f>
        <v>#VALUE!</v>
      </c>
      <c r="EE367" t="e">
        <f>'North America'!G1166+"n/&gt;!2tL"</f>
        <v>#VALUE!</v>
      </c>
      <c r="EF367" t="e">
        <f>'North America'!H1166+"n/&gt;!2tM"</f>
        <v>#VALUE!</v>
      </c>
      <c r="EG367" t="e">
        <f>'North America'!I1166+"n/&gt;!2tN"</f>
        <v>#VALUE!</v>
      </c>
      <c r="EH367" t="e">
        <f>'North America'!A1167+"n/&gt;!2tO"</f>
        <v>#VALUE!</v>
      </c>
      <c r="EI367" t="e">
        <f>'North America'!B1167+"n/&gt;!2tP"</f>
        <v>#VALUE!</v>
      </c>
      <c r="EJ367" t="e">
        <f>'North America'!C1167+"n/&gt;!2tQ"</f>
        <v>#VALUE!</v>
      </c>
      <c r="EK367" t="e">
        <f>'North America'!D1167+"n/&gt;!2tR"</f>
        <v>#VALUE!</v>
      </c>
      <c r="EL367" t="e">
        <f>'North America'!E1167+"n/&gt;!2tS"</f>
        <v>#VALUE!</v>
      </c>
      <c r="EM367" t="e">
        <f>'North America'!F1167+"n/&gt;!2tT"</f>
        <v>#VALUE!</v>
      </c>
      <c r="EN367" t="e">
        <f>'North America'!G1167+"n/&gt;!2tU"</f>
        <v>#VALUE!</v>
      </c>
      <c r="EO367" t="e">
        <f>'North America'!H1167+"n/&gt;!2tV"</f>
        <v>#VALUE!</v>
      </c>
      <c r="EP367" t="e">
        <f>'North America'!I1167+"n/&gt;!2tW"</f>
        <v>#VALUE!</v>
      </c>
      <c r="EQ367" t="e">
        <f>'North America'!A1168+"n/&gt;!2tX"</f>
        <v>#VALUE!</v>
      </c>
      <c r="ER367" t="e">
        <f>'North America'!B1168+"n/&gt;!2tY"</f>
        <v>#VALUE!</v>
      </c>
      <c r="ES367" t="e">
        <f>'North America'!C1168+"n/&gt;!2tZ"</f>
        <v>#VALUE!</v>
      </c>
      <c r="ET367" t="e">
        <f>'North America'!D1168+"n/&gt;!2t["</f>
        <v>#VALUE!</v>
      </c>
      <c r="EU367" t="e">
        <f>'North America'!E1168+"n/&gt;!2t\"</f>
        <v>#VALUE!</v>
      </c>
      <c r="EV367" t="e">
        <f>'North America'!F1168+"n/&gt;!2t]"</f>
        <v>#VALUE!</v>
      </c>
      <c r="EW367" t="e">
        <f>'North America'!G1168+"n/&gt;!2t^"</f>
        <v>#VALUE!</v>
      </c>
      <c r="EX367" t="e">
        <f>'North America'!H1168+"n/&gt;!2t_"</f>
        <v>#VALUE!</v>
      </c>
      <c r="EY367" t="e">
        <f>'North America'!I1168+"n/&gt;!2t`"</f>
        <v>#VALUE!</v>
      </c>
      <c r="EZ367" t="e">
        <f>'North America'!A1169+"n/&gt;!2ta"</f>
        <v>#VALUE!</v>
      </c>
      <c r="FA367" t="e">
        <f>'North America'!B1169+"n/&gt;!2tb"</f>
        <v>#VALUE!</v>
      </c>
      <c r="FB367" t="e">
        <f>'North America'!C1169+"n/&gt;!2tc"</f>
        <v>#VALUE!</v>
      </c>
      <c r="FC367" t="e">
        <f>'North America'!D1169+"n/&gt;!2td"</f>
        <v>#VALUE!</v>
      </c>
      <c r="FD367" t="e">
        <f>'North America'!E1169+"n/&gt;!2te"</f>
        <v>#VALUE!</v>
      </c>
      <c r="FE367" t="e">
        <f>'North America'!F1169+"n/&gt;!2tf"</f>
        <v>#VALUE!</v>
      </c>
      <c r="FF367" t="e">
        <f>'North America'!G1169+"n/&gt;!2tg"</f>
        <v>#VALUE!</v>
      </c>
      <c r="FG367" t="e">
        <f>'North America'!H1169+"n/&gt;!2th"</f>
        <v>#VALUE!</v>
      </c>
      <c r="FH367" t="e">
        <f>'North America'!I1169+"n/&gt;!2ti"</f>
        <v>#VALUE!</v>
      </c>
      <c r="FI367" t="e">
        <f>'North America'!A1170+"n/&gt;!2tj"</f>
        <v>#VALUE!</v>
      </c>
      <c r="FJ367" t="e">
        <f>'North America'!B1170+"n/&gt;!2tk"</f>
        <v>#VALUE!</v>
      </c>
      <c r="FK367" t="e">
        <f>'North America'!C1170+"n/&gt;!2tl"</f>
        <v>#VALUE!</v>
      </c>
      <c r="FL367" t="e">
        <f>'North America'!D1170+"n/&gt;!2tm"</f>
        <v>#VALUE!</v>
      </c>
      <c r="FM367" t="e">
        <f>'North America'!E1170+"n/&gt;!2tn"</f>
        <v>#VALUE!</v>
      </c>
      <c r="FN367" t="e">
        <f>'North America'!F1170+"n/&gt;!2to"</f>
        <v>#VALUE!</v>
      </c>
      <c r="FO367" t="e">
        <f>'North America'!G1170+"n/&gt;!2tp"</f>
        <v>#VALUE!</v>
      </c>
      <c r="FP367" t="e">
        <f>'North America'!H1170+"n/&gt;!2tq"</f>
        <v>#VALUE!</v>
      </c>
      <c r="FQ367" t="e">
        <f>'North America'!I1170+"n/&gt;!2tr"</f>
        <v>#VALUE!</v>
      </c>
      <c r="FR367" t="e">
        <f>'North America'!A1171+"n/&gt;!2ts"</f>
        <v>#VALUE!</v>
      </c>
      <c r="FS367" t="e">
        <f>'North America'!B1171+"n/&gt;!2tt"</f>
        <v>#VALUE!</v>
      </c>
      <c r="FT367" t="e">
        <f>'North America'!C1171+"n/&gt;!2tu"</f>
        <v>#VALUE!</v>
      </c>
      <c r="FU367" t="e">
        <f>'North America'!D1171+"n/&gt;!2tv"</f>
        <v>#VALUE!</v>
      </c>
      <c r="FV367" t="e">
        <f>'North America'!E1171+"n/&gt;!2tw"</f>
        <v>#VALUE!</v>
      </c>
      <c r="FW367" t="e">
        <f>'North America'!F1171+"n/&gt;!2tx"</f>
        <v>#VALUE!</v>
      </c>
      <c r="FX367" t="e">
        <f>'North America'!G1171+"n/&gt;!2ty"</f>
        <v>#VALUE!</v>
      </c>
      <c r="FY367" t="e">
        <f>'North America'!H1171+"n/&gt;!2tz"</f>
        <v>#VALUE!</v>
      </c>
      <c r="FZ367" t="e">
        <f>'North America'!I1171+"n/&gt;!2t{"</f>
        <v>#VALUE!</v>
      </c>
      <c r="GA367" t="e">
        <f>'North America'!A1172+"n/&gt;!2t|"</f>
        <v>#VALUE!</v>
      </c>
      <c r="GB367" t="e">
        <f>'North America'!B1172+"n/&gt;!2t}"</f>
        <v>#VALUE!</v>
      </c>
      <c r="GC367" t="e">
        <f>'North America'!C1172+"n/&gt;!2t~"</f>
        <v>#VALUE!</v>
      </c>
      <c r="GD367" t="e">
        <f>'North America'!D1172+"n/&gt;!2u#"</f>
        <v>#VALUE!</v>
      </c>
      <c r="GE367" t="e">
        <f>'North America'!E1172+"n/&gt;!2u$"</f>
        <v>#VALUE!</v>
      </c>
      <c r="GF367" t="e">
        <f>'North America'!F1172+"n/&gt;!2u%"</f>
        <v>#VALUE!</v>
      </c>
      <c r="GG367" t="e">
        <f>'North America'!G1172+"n/&gt;!2u&amp;"</f>
        <v>#VALUE!</v>
      </c>
      <c r="GH367" t="e">
        <f>'North America'!H1172+"n/&gt;!2u'"</f>
        <v>#VALUE!</v>
      </c>
      <c r="GI367" t="e">
        <f>'North America'!I1172+"n/&gt;!2u("</f>
        <v>#VALUE!</v>
      </c>
      <c r="GJ367" t="e">
        <f>'North America'!A1173+"n/&gt;!2u)"</f>
        <v>#VALUE!</v>
      </c>
      <c r="GK367" t="e">
        <f>'North America'!B1173+"n/&gt;!2u."</f>
        <v>#VALUE!</v>
      </c>
      <c r="GL367" t="e">
        <f>'North America'!C1173+"n/&gt;!2u/"</f>
        <v>#VALUE!</v>
      </c>
      <c r="GM367" t="e">
        <f>'North America'!D1173+"n/&gt;!2u0"</f>
        <v>#VALUE!</v>
      </c>
      <c r="GN367" t="e">
        <f>'North America'!E1173+"n/&gt;!2u1"</f>
        <v>#VALUE!</v>
      </c>
      <c r="GO367" t="e">
        <f>'North America'!F1173+"n/&gt;!2u2"</f>
        <v>#VALUE!</v>
      </c>
      <c r="GP367" t="e">
        <f>'North America'!G1173+"n/&gt;!2u3"</f>
        <v>#VALUE!</v>
      </c>
      <c r="GQ367" t="e">
        <f>'North America'!H1173+"n/&gt;!2u4"</f>
        <v>#VALUE!</v>
      </c>
      <c r="GR367" t="e">
        <f>'North America'!I1173+"n/&gt;!2u5"</f>
        <v>#VALUE!</v>
      </c>
      <c r="GS367" t="e">
        <f>'North America'!A1174+"n/&gt;!2u6"</f>
        <v>#VALUE!</v>
      </c>
      <c r="GT367" t="e">
        <f>'North America'!B1174+"n/&gt;!2u7"</f>
        <v>#VALUE!</v>
      </c>
      <c r="GU367" t="e">
        <f>'North America'!C1174+"n/&gt;!2u8"</f>
        <v>#VALUE!</v>
      </c>
      <c r="GV367" t="e">
        <f>'North America'!D1174+"n/&gt;!2u9"</f>
        <v>#VALUE!</v>
      </c>
      <c r="GW367" t="e">
        <f>'North America'!E1174+"n/&gt;!2u:"</f>
        <v>#VALUE!</v>
      </c>
      <c r="GX367" t="e">
        <f>'North America'!F1174+"n/&gt;!2u;"</f>
        <v>#VALUE!</v>
      </c>
      <c r="GY367" t="e">
        <f>'North America'!G1174+"n/&gt;!2u&lt;"</f>
        <v>#VALUE!</v>
      </c>
      <c r="GZ367" t="e">
        <f>'North America'!H1174+"n/&gt;!2u="</f>
        <v>#VALUE!</v>
      </c>
      <c r="HA367" t="e">
        <f>'North America'!I1174+"n/&gt;!2u&gt;"</f>
        <v>#VALUE!</v>
      </c>
      <c r="HB367" t="e">
        <f>'North America'!A1175+"n/&gt;!2u?"</f>
        <v>#VALUE!</v>
      </c>
      <c r="HC367" t="e">
        <f>'North America'!B1175+"n/&gt;!2u@"</f>
        <v>#VALUE!</v>
      </c>
      <c r="HD367" t="e">
        <f>'North America'!C1175+"n/&gt;!2uA"</f>
        <v>#VALUE!</v>
      </c>
      <c r="HE367" t="e">
        <f>'North America'!D1175+"n/&gt;!2uB"</f>
        <v>#VALUE!</v>
      </c>
      <c r="HF367" t="e">
        <f>'North America'!E1175+"n/&gt;!2uC"</f>
        <v>#VALUE!</v>
      </c>
      <c r="HG367" t="e">
        <f>'North America'!F1175+"n/&gt;!2uD"</f>
        <v>#VALUE!</v>
      </c>
      <c r="HH367" t="e">
        <f>'North America'!G1175+"n/&gt;!2uE"</f>
        <v>#VALUE!</v>
      </c>
      <c r="HI367" t="e">
        <f>'North America'!H1175+"n/&gt;!2uF"</f>
        <v>#VALUE!</v>
      </c>
      <c r="HJ367" t="e">
        <f>'North America'!I1175+"n/&gt;!2uG"</f>
        <v>#VALUE!</v>
      </c>
      <c r="HK367" t="e">
        <f>'North America'!A1176+"n/&gt;!2uH"</f>
        <v>#VALUE!</v>
      </c>
      <c r="HL367" t="e">
        <f>'North America'!B1176+"n/&gt;!2uI"</f>
        <v>#VALUE!</v>
      </c>
      <c r="HM367" t="e">
        <f>'North America'!C1176+"n/&gt;!2uJ"</f>
        <v>#VALUE!</v>
      </c>
      <c r="HN367" t="e">
        <f>'North America'!D1176+"n/&gt;!2uK"</f>
        <v>#VALUE!</v>
      </c>
      <c r="HO367" t="e">
        <f>'North America'!E1176+"n/&gt;!2uL"</f>
        <v>#VALUE!</v>
      </c>
      <c r="HP367" t="e">
        <f>'North America'!F1176+"n/&gt;!2uM"</f>
        <v>#VALUE!</v>
      </c>
      <c r="HQ367" t="e">
        <f>'North America'!G1176+"n/&gt;!2uN"</f>
        <v>#VALUE!</v>
      </c>
      <c r="HR367" t="e">
        <f>'North America'!H1176+"n/&gt;!2uO"</f>
        <v>#VALUE!</v>
      </c>
      <c r="HS367" t="e">
        <f>'North America'!I1176+"n/&gt;!2uP"</f>
        <v>#VALUE!</v>
      </c>
      <c r="HT367" t="e">
        <f>'North America'!A1177+"n/&gt;!2uQ"</f>
        <v>#VALUE!</v>
      </c>
      <c r="HU367" t="e">
        <f>'North America'!B1177+"n/&gt;!2uR"</f>
        <v>#VALUE!</v>
      </c>
      <c r="HV367" t="e">
        <f>'North America'!C1177+"n/&gt;!2uS"</f>
        <v>#VALUE!</v>
      </c>
      <c r="HW367" t="e">
        <f>'North America'!D1177+"n/&gt;!2uT"</f>
        <v>#VALUE!</v>
      </c>
      <c r="HX367" t="e">
        <f>'North America'!E1177+"n/&gt;!2uU"</f>
        <v>#VALUE!</v>
      </c>
      <c r="HY367" t="e">
        <f>'North America'!F1177+"n/&gt;!2uV"</f>
        <v>#VALUE!</v>
      </c>
      <c r="HZ367" t="e">
        <f>'North America'!G1177+"n/&gt;!2uW"</f>
        <v>#VALUE!</v>
      </c>
      <c r="IA367" t="e">
        <f>'North America'!H1177+"n/&gt;!2uX"</f>
        <v>#VALUE!</v>
      </c>
      <c r="IB367" t="e">
        <f>'North America'!I1177+"n/&gt;!2uY"</f>
        <v>#VALUE!</v>
      </c>
      <c r="IC367" t="e">
        <f>'North America'!A1178+"n/&gt;!2uZ"</f>
        <v>#VALUE!</v>
      </c>
      <c r="ID367" t="e">
        <f>'North America'!B1178+"n/&gt;!2u["</f>
        <v>#VALUE!</v>
      </c>
      <c r="IE367" t="e">
        <f>'North America'!C1178+"n/&gt;!2u\"</f>
        <v>#VALUE!</v>
      </c>
      <c r="IF367" t="e">
        <f>'North America'!D1178+"n/&gt;!2u]"</f>
        <v>#VALUE!</v>
      </c>
      <c r="IG367" t="e">
        <f>'North America'!E1178+"n/&gt;!2u^"</f>
        <v>#VALUE!</v>
      </c>
      <c r="IH367" t="e">
        <f>'North America'!F1178+"n/&gt;!2u_"</f>
        <v>#VALUE!</v>
      </c>
      <c r="II367" t="e">
        <f>'North America'!G1178+"n/&gt;!2u`"</f>
        <v>#VALUE!</v>
      </c>
      <c r="IJ367" t="e">
        <f>'North America'!H1178+"n/&gt;!2ua"</f>
        <v>#VALUE!</v>
      </c>
      <c r="IK367" t="e">
        <f>'North America'!I1178+"n/&gt;!2ub"</f>
        <v>#VALUE!</v>
      </c>
      <c r="IL367" t="e">
        <f>'North America'!A1179+"n/&gt;!2uc"</f>
        <v>#VALUE!</v>
      </c>
      <c r="IM367" t="e">
        <f>'North America'!B1179+"n/&gt;!2ud"</f>
        <v>#VALUE!</v>
      </c>
      <c r="IN367" t="e">
        <f>'North America'!C1179+"n/&gt;!2ue"</f>
        <v>#VALUE!</v>
      </c>
      <c r="IO367" t="e">
        <f>'North America'!D1179+"n/&gt;!2uf"</f>
        <v>#VALUE!</v>
      </c>
      <c r="IP367" t="e">
        <f>'North America'!E1179+"n/&gt;!2ug"</f>
        <v>#VALUE!</v>
      </c>
      <c r="IQ367" t="e">
        <f>'North America'!F1179+"n/&gt;!2uh"</f>
        <v>#VALUE!</v>
      </c>
      <c r="IR367" t="e">
        <f>'North America'!G1179+"n/&gt;!2ui"</f>
        <v>#VALUE!</v>
      </c>
      <c r="IS367" t="e">
        <f>'North America'!H1179+"n/&gt;!2uj"</f>
        <v>#VALUE!</v>
      </c>
      <c r="IT367" t="e">
        <f>'North America'!I1179+"n/&gt;!2uk"</f>
        <v>#VALUE!</v>
      </c>
      <c r="IU367" t="e">
        <f>'North America'!A1180+"n/&gt;!2ul"</f>
        <v>#VALUE!</v>
      </c>
      <c r="IV367" t="e">
        <f>'North America'!B1180+"n/&gt;!2um"</f>
        <v>#VALUE!</v>
      </c>
    </row>
    <row r="368" spans="6:256" x14ac:dyDescent="0.35">
      <c r="F368" t="e">
        <f>'North America'!C1180+"n/&gt;!2un"</f>
        <v>#VALUE!</v>
      </c>
      <c r="G368" t="e">
        <f>'North America'!D1180+"n/&gt;!2uo"</f>
        <v>#VALUE!</v>
      </c>
      <c r="H368" t="e">
        <f>'North America'!E1180+"n/&gt;!2up"</f>
        <v>#VALUE!</v>
      </c>
      <c r="I368" t="e">
        <f>'North America'!F1180+"n/&gt;!2uq"</f>
        <v>#VALUE!</v>
      </c>
      <c r="J368" t="e">
        <f>'North America'!G1180+"n/&gt;!2ur"</f>
        <v>#VALUE!</v>
      </c>
      <c r="K368" t="e">
        <f>'North America'!H1180+"n/&gt;!2us"</f>
        <v>#VALUE!</v>
      </c>
      <c r="L368" t="e">
        <f>'North America'!I1180+"n/&gt;!2ut"</f>
        <v>#VALUE!</v>
      </c>
      <c r="M368" t="e">
        <f>'North America'!A1181+"n/&gt;!2uu"</f>
        <v>#VALUE!</v>
      </c>
      <c r="N368" t="e">
        <f>'North America'!B1181+"n/&gt;!2uv"</f>
        <v>#VALUE!</v>
      </c>
      <c r="O368" t="e">
        <f>'North America'!C1181+"n/&gt;!2uw"</f>
        <v>#VALUE!</v>
      </c>
      <c r="P368" t="e">
        <f>'North America'!D1181+"n/&gt;!2ux"</f>
        <v>#VALUE!</v>
      </c>
      <c r="Q368" t="e">
        <f>'North America'!E1181+"n/&gt;!2uy"</f>
        <v>#VALUE!</v>
      </c>
      <c r="R368" t="e">
        <f>'North America'!F1181+"n/&gt;!2uz"</f>
        <v>#VALUE!</v>
      </c>
      <c r="S368" t="e">
        <f>'North America'!G1181+"n/&gt;!2u{"</f>
        <v>#VALUE!</v>
      </c>
      <c r="T368" t="e">
        <f>'North America'!H1181+"n/&gt;!2u|"</f>
        <v>#VALUE!</v>
      </c>
      <c r="U368" t="e">
        <f>'North America'!I1181+"n/&gt;!2u}"</f>
        <v>#VALUE!</v>
      </c>
      <c r="V368" t="e">
        <f>'North America'!A1182+"n/&gt;!2u~"</f>
        <v>#VALUE!</v>
      </c>
      <c r="W368" t="e">
        <f>'North America'!B1182+"n/&gt;!2v#"</f>
        <v>#VALUE!</v>
      </c>
      <c r="X368" t="e">
        <f>'North America'!C1182+"n/&gt;!2v$"</f>
        <v>#VALUE!</v>
      </c>
      <c r="Y368" t="e">
        <f>'North America'!D1182+"n/&gt;!2v%"</f>
        <v>#VALUE!</v>
      </c>
      <c r="Z368" t="e">
        <f>'North America'!E1182+"n/&gt;!2v&amp;"</f>
        <v>#VALUE!</v>
      </c>
      <c r="AA368" t="e">
        <f>'North America'!F1182+"n/&gt;!2v'"</f>
        <v>#VALUE!</v>
      </c>
      <c r="AB368" t="e">
        <f>'North America'!G1182+"n/&gt;!2v("</f>
        <v>#VALUE!</v>
      </c>
      <c r="AC368" t="e">
        <f>'North America'!H1182+"n/&gt;!2v)"</f>
        <v>#VALUE!</v>
      </c>
      <c r="AD368" t="e">
        <f>'North America'!I1182+"n/&gt;!2v."</f>
        <v>#VALUE!</v>
      </c>
      <c r="AE368" t="e">
        <f>'North America'!A1183+"n/&gt;!2v/"</f>
        <v>#VALUE!</v>
      </c>
      <c r="AF368" t="e">
        <f>'North America'!B1183+"n/&gt;!2v0"</f>
        <v>#VALUE!</v>
      </c>
      <c r="AG368" t="e">
        <f>'North America'!C1183+"n/&gt;!2v1"</f>
        <v>#VALUE!</v>
      </c>
      <c r="AH368" t="e">
        <f>'North America'!D1183+"n/&gt;!2v2"</f>
        <v>#VALUE!</v>
      </c>
      <c r="AI368" t="e">
        <f>'North America'!E1183+"n/&gt;!2v3"</f>
        <v>#VALUE!</v>
      </c>
      <c r="AJ368" t="e">
        <f>'North America'!F1183+"n/&gt;!2v4"</f>
        <v>#VALUE!</v>
      </c>
      <c r="AK368" t="e">
        <f>'North America'!G1183+"n/&gt;!2v5"</f>
        <v>#VALUE!</v>
      </c>
      <c r="AL368" t="e">
        <f>'North America'!H1183+"n/&gt;!2v6"</f>
        <v>#VALUE!</v>
      </c>
      <c r="AM368" t="e">
        <f>'North America'!I1183+"n/&gt;!2v7"</f>
        <v>#VALUE!</v>
      </c>
      <c r="AN368" t="e">
        <f>'North America'!A1184+"n/&gt;!2v8"</f>
        <v>#VALUE!</v>
      </c>
      <c r="AO368" t="e">
        <f>'North America'!B1184+"n/&gt;!2v9"</f>
        <v>#VALUE!</v>
      </c>
      <c r="AP368" t="e">
        <f>'North America'!C1184+"n/&gt;!2v:"</f>
        <v>#VALUE!</v>
      </c>
      <c r="AQ368" t="e">
        <f>'North America'!D1184+"n/&gt;!2v;"</f>
        <v>#VALUE!</v>
      </c>
      <c r="AR368" t="e">
        <f>'North America'!E1184+"n/&gt;!2v&lt;"</f>
        <v>#VALUE!</v>
      </c>
      <c r="AS368" t="e">
        <f>'North America'!F1184+"n/&gt;!2v="</f>
        <v>#VALUE!</v>
      </c>
      <c r="AT368" t="e">
        <f>'North America'!G1184+"n/&gt;!2v&gt;"</f>
        <v>#VALUE!</v>
      </c>
      <c r="AU368" t="e">
        <f>'North America'!H1184+"n/&gt;!2v?"</f>
        <v>#VALUE!</v>
      </c>
      <c r="AV368" t="e">
        <f>'North America'!I1184+"n/&gt;!2v@"</f>
        <v>#VALUE!</v>
      </c>
      <c r="AW368" t="e">
        <f>'North America'!A1185+"n/&gt;!2vA"</f>
        <v>#VALUE!</v>
      </c>
      <c r="AX368" t="e">
        <f>'North America'!B1185+"n/&gt;!2vB"</f>
        <v>#VALUE!</v>
      </c>
      <c r="AY368" t="e">
        <f>'North America'!C1185+"n/&gt;!2vC"</f>
        <v>#VALUE!</v>
      </c>
      <c r="AZ368" t="e">
        <f>'North America'!D1185+"n/&gt;!2vD"</f>
        <v>#VALUE!</v>
      </c>
      <c r="BA368" t="e">
        <f>'North America'!E1185+"n/&gt;!2vE"</f>
        <v>#VALUE!</v>
      </c>
      <c r="BB368" t="e">
        <f>'North America'!F1185+"n/&gt;!2vF"</f>
        <v>#VALUE!</v>
      </c>
      <c r="BC368" t="e">
        <f>'North America'!G1185+"n/&gt;!2vG"</f>
        <v>#VALUE!</v>
      </c>
      <c r="BD368" t="e">
        <f>'North America'!H1185+"n/&gt;!2vH"</f>
        <v>#VALUE!</v>
      </c>
      <c r="BE368" t="e">
        <f>'North America'!I1185+"n/&gt;!2vI"</f>
        <v>#VALUE!</v>
      </c>
      <c r="BF368" t="e">
        <f>'North America'!A1186+"n/&gt;!2vJ"</f>
        <v>#VALUE!</v>
      </c>
      <c r="BG368" t="e">
        <f>'North America'!B1186+"n/&gt;!2vK"</f>
        <v>#VALUE!</v>
      </c>
      <c r="BH368" t="e">
        <f>'North America'!C1186+"n/&gt;!2vL"</f>
        <v>#VALUE!</v>
      </c>
      <c r="BI368" t="e">
        <f>'North America'!D1186+"n/&gt;!2vM"</f>
        <v>#VALUE!</v>
      </c>
      <c r="BJ368" t="e">
        <f>'North America'!E1186+"n/&gt;!2vN"</f>
        <v>#VALUE!</v>
      </c>
      <c r="BK368" t="e">
        <f>'North America'!F1186+"n/&gt;!2vO"</f>
        <v>#VALUE!</v>
      </c>
      <c r="BL368" t="e">
        <f>'North America'!G1186+"n/&gt;!2vP"</f>
        <v>#VALUE!</v>
      </c>
      <c r="BM368" t="e">
        <f>'North America'!H1186+"n/&gt;!2vQ"</f>
        <v>#VALUE!</v>
      </c>
      <c r="BN368" t="e">
        <f>'North America'!I1186+"n/&gt;!2vR"</f>
        <v>#VALUE!</v>
      </c>
      <c r="BO368" t="e">
        <f>'North America'!A1187+"n/&gt;!2vS"</f>
        <v>#VALUE!</v>
      </c>
      <c r="BP368" t="e">
        <f>'North America'!B1187+"n/&gt;!2vT"</f>
        <v>#VALUE!</v>
      </c>
      <c r="BQ368" t="e">
        <f>'North America'!C1187+"n/&gt;!2vU"</f>
        <v>#VALUE!</v>
      </c>
      <c r="BR368" t="e">
        <f>'North America'!D1187+"n/&gt;!2vV"</f>
        <v>#VALUE!</v>
      </c>
      <c r="BS368" t="e">
        <f>'North America'!E1187+"n/&gt;!2vW"</f>
        <v>#VALUE!</v>
      </c>
      <c r="BT368" t="e">
        <f>'North America'!F1187+"n/&gt;!2vX"</f>
        <v>#VALUE!</v>
      </c>
      <c r="BU368" t="e">
        <f>'North America'!G1187+"n/&gt;!2vY"</f>
        <v>#VALUE!</v>
      </c>
      <c r="BV368" t="e">
        <f>'North America'!H1187+"n/&gt;!2vZ"</f>
        <v>#VALUE!</v>
      </c>
      <c r="BW368" t="e">
        <f>'North America'!I1187+"n/&gt;!2v["</f>
        <v>#VALUE!</v>
      </c>
      <c r="BX368" t="e">
        <f>'North America'!A1188+"n/&gt;!2v\"</f>
        <v>#VALUE!</v>
      </c>
      <c r="BY368" t="e">
        <f>'North America'!B1188+"n/&gt;!2v]"</f>
        <v>#VALUE!</v>
      </c>
      <c r="BZ368" t="e">
        <f>'North America'!C1188+"n/&gt;!2v^"</f>
        <v>#VALUE!</v>
      </c>
      <c r="CA368" t="e">
        <f>'North America'!D1188+"n/&gt;!2v_"</f>
        <v>#VALUE!</v>
      </c>
      <c r="CB368" t="e">
        <f>'North America'!E1188+"n/&gt;!2v`"</f>
        <v>#VALUE!</v>
      </c>
      <c r="CC368" t="e">
        <f>'North America'!F1188+"n/&gt;!2va"</f>
        <v>#VALUE!</v>
      </c>
      <c r="CD368" t="e">
        <f>'North America'!G1188+"n/&gt;!2vb"</f>
        <v>#VALUE!</v>
      </c>
      <c r="CE368" t="e">
        <f>'North America'!H1188+"n/&gt;!2vc"</f>
        <v>#VALUE!</v>
      </c>
      <c r="CF368" t="e">
        <f>'North America'!I1188+"n/&gt;!2vd"</f>
        <v>#VALUE!</v>
      </c>
      <c r="CG368" t="e">
        <f>'North America'!A1189+"n/&gt;!2ve"</f>
        <v>#VALUE!</v>
      </c>
      <c r="CH368" t="e">
        <f>'North America'!B1189+"n/&gt;!2vf"</f>
        <v>#VALUE!</v>
      </c>
      <c r="CI368" t="e">
        <f>'North America'!C1189+"n/&gt;!2vg"</f>
        <v>#VALUE!</v>
      </c>
      <c r="CJ368" t="e">
        <f>'North America'!D1189+"n/&gt;!2vh"</f>
        <v>#VALUE!</v>
      </c>
      <c r="CK368" t="e">
        <f>'North America'!E1189+"n/&gt;!2vi"</f>
        <v>#VALUE!</v>
      </c>
      <c r="CL368" t="e">
        <f>'North America'!F1189+"n/&gt;!2vj"</f>
        <v>#VALUE!</v>
      </c>
      <c r="CM368" t="e">
        <f>'North America'!G1189+"n/&gt;!2vk"</f>
        <v>#VALUE!</v>
      </c>
      <c r="CN368" t="e">
        <f>'North America'!H1189+"n/&gt;!2vl"</f>
        <v>#VALUE!</v>
      </c>
      <c r="CO368" t="e">
        <f>'North America'!I1189+"n/&gt;!2vm"</f>
        <v>#VALUE!</v>
      </c>
      <c r="CP368" t="e">
        <f>'North America'!A1190+"n/&gt;!2vn"</f>
        <v>#VALUE!</v>
      </c>
      <c r="CQ368" t="e">
        <f>'North America'!B1190+"n/&gt;!2vo"</f>
        <v>#VALUE!</v>
      </c>
      <c r="CR368" t="e">
        <f>'North America'!C1190+"n/&gt;!2vp"</f>
        <v>#VALUE!</v>
      </c>
      <c r="CS368" t="e">
        <f>'North America'!D1190+"n/&gt;!2vq"</f>
        <v>#VALUE!</v>
      </c>
      <c r="CT368" t="e">
        <f>'North America'!E1190+"n/&gt;!2vr"</f>
        <v>#VALUE!</v>
      </c>
      <c r="CU368" t="e">
        <f>'North America'!F1190+"n/&gt;!2vs"</f>
        <v>#VALUE!</v>
      </c>
      <c r="CV368" t="e">
        <f>'North America'!G1190+"n/&gt;!2vt"</f>
        <v>#VALUE!</v>
      </c>
      <c r="CW368" t="e">
        <f>'North America'!H1190+"n/&gt;!2vu"</f>
        <v>#VALUE!</v>
      </c>
      <c r="CX368" t="e">
        <f>'North America'!I1190+"n/&gt;!2vv"</f>
        <v>#VALUE!</v>
      </c>
      <c r="CY368" t="e">
        <f>'North America'!A1191+"n/&gt;!2vw"</f>
        <v>#VALUE!</v>
      </c>
      <c r="CZ368" t="e">
        <f>'North America'!B1191+"n/&gt;!2vx"</f>
        <v>#VALUE!</v>
      </c>
      <c r="DA368" t="e">
        <f>'North America'!C1191+"n/&gt;!2vy"</f>
        <v>#VALUE!</v>
      </c>
      <c r="DB368" t="e">
        <f>'North America'!D1191+"n/&gt;!2vz"</f>
        <v>#VALUE!</v>
      </c>
      <c r="DC368" t="e">
        <f>'North America'!E1191+"n/&gt;!2v{"</f>
        <v>#VALUE!</v>
      </c>
      <c r="DD368" t="e">
        <f>'North America'!F1191+"n/&gt;!2v|"</f>
        <v>#VALUE!</v>
      </c>
      <c r="DE368" t="e">
        <f>'North America'!G1191+"n/&gt;!2v}"</f>
        <v>#VALUE!</v>
      </c>
      <c r="DF368" t="e">
        <f>'North America'!H1191+"n/&gt;!2v~"</f>
        <v>#VALUE!</v>
      </c>
      <c r="DG368" t="e">
        <f>'North America'!I1191+"n/&gt;!2w#"</f>
        <v>#VALUE!</v>
      </c>
      <c r="DH368" t="e">
        <f>'North America'!A1192+"n/&gt;!2w$"</f>
        <v>#VALUE!</v>
      </c>
      <c r="DI368" t="e">
        <f>'North America'!B1192+"n/&gt;!2w%"</f>
        <v>#VALUE!</v>
      </c>
      <c r="DJ368" t="e">
        <f>'North America'!C1192+"n/&gt;!2w&amp;"</f>
        <v>#VALUE!</v>
      </c>
      <c r="DK368" t="e">
        <f>'North America'!D1192+"n/&gt;!2w'"</f>
        <v>#VALUE!</v>
      </c>
      <c r="DL368" t="e">
        <f>'North America'!E1192+"n/&gt;!2w("</f>
        <v>#VALUE!</v>
      </c>
      <c r="DM368" t="e">
        <f>'North America'!F1192+"n/&gt;!2w)"</f>
        <v>#VALUE!</v>
      </c>
      <c r="DN368" t="e">
        <f>'North America'!G1192+"n/&gt;!2w."</f>
        <v>#VALUE!</v>
      </c>
      <c r="DO368" t="e">
        <f>'North America'!H1192+"n/&gt;!2w/"</f>
        <v>#VALUE!</v>
      </c>
      <c r="DP368" t="e">
        <f>'North America'!I1192+"n/&gt;!2w0"</f>
        <v>#VALUE!</v>
      </c>
      <c r="DQ368" t="e">
        <f>'North America'!A1193+"n/&gt;!2w1"</f>
        <v>#VALUE!</v>
      </c>
      <c r="DR368" t="e">
        <f>'North America'!B1193+"n/&gt;!2w2"</f>
        <v>#VALUE!</v>
      </c>
      <c r="DS368" t="e">
        <f>'North America'!C1193+"n/&gt;!2w3"</f>
        <v>#VALUE!</v>
      </c>
      <c r="DT368" t="e">
        <f>'North America'!D1193+"n/&gt;!2w4"</f>
        <v>#VALUE!</v>
      </c>
      <c r="DU368" t="e">
        <f>'North America'!E1193+"n/&gt;!2w5"</f>
        <v>#VALUE!</v>
      </c>
      <c r="DV368" t="e">
        <f>'North America'!F1193+"n/&gt;!2w6"</f>
        <v>#VALUE!</v>
      </c>
      <c r="DW368" t="e">
        <f>'North America'!G1193+"n/&gt;!2w7"</f>
        <v>#VALUE!</v>
      </c>
      <c r="DX368" t="e">
        <f>'North America'!H1193+"n/&gt;!2w8"</f>
        <v>#VALUE!</v>
      </c>
      <c r="DY368" t="e">
        <f>'North America'!I1193+"n/&gt;!2w9"</f>
        <v>#VALUE!</v>
      </c>
      <c r="DZ368" t="e">
        <f>'North America'!A1194+"n/&gt;!2w:"</f>
        <v>#VALUE!</v>
      </c>
      <c r="EA368" t="e">
        <f>'North America'!B1194+"n/&gt;!2w;"</f>
        <v>#VALUE!</v>
      </c>
      <c r="EB368" t="e">
        <f>'North America'!C1194+"n/&gt;!2w&lt;"</f>
        <v>#VALUE!</v>
      </c>
      <c r="EC368" t="e">
        <f>'North America'!D1194+"n/&gt;!2w="</f>
        <v>#VALUE!</v>
      </c>
      <c r="ED368" t="e">
        <f>'North America'!E1194+"n/&gt;!2w&gt;"</f>
        <v>#VALUE!</v>
      </c>
      <c r="EE368" t="e">
        <f>'North America'!F1194+"n/&gt;!2w?"</f>
        <v>#VALUE!</v>
      </c>
      <c r="EF368" t="e">
        <f>'North America'!G1194+"n/&gt;!2w@"</f>
        <v>#VALUE!</v>
      </c>
      <c r="EG368" t="e">
        <f>'North America'!H1194+"n/&gt;!2wA"</f>
        <v>#VALUE!</v>
      </c>
      <c r="EH368" t="e">
        <f>'North America'!I1194+"n/&gt;!2wB"</f>
        <v>#VALUE!</v>
      </c>
      <c r="EI368" t="e">
        <f>'North America'!A1195+"n/&gt;!2wC"</f>
        <v>#VALUE!</v>
      </c>
      <c r="EJ368" t="e">
        <f>'North America'!B1195+"n/&gt;!2wD"</f>
        <v>#VALUE!</v>
      </c>
      <c r="EK368" t="e">
        <f>'North America'!C1195+"n/&gt;!2wE"</f>
        <v>#VALUE!</v>
      </c>
      <c r="EL368" t="e">
        <f>'North America'!D1195+"n/&gt;!2wF"</f>
        <v>#VALUE!</v>
      </c>
      <c r="EM368" t="e">
        <f>'North America'!E1195+"n/&gt;!2wG"</f>
        <v>#VALUE!</v>
      </c>
      <c r="EN368" t="e">
        <f>'North America'!F1195+"n/&gt;!2wH"</f>
        <v>#VALUE!</v>
      </c>
      <c r="EO368" t="e">
        <f>'North America'!G1195+"n/&gt;!2wI"</f>
        <v>#VALUE!</v>
      </c>
      <c r="EP368" t="e">
        <f>'North America'!H1195+"n/&gt;!2wJ"</f>
        <v>#VALUE!</v>
      </c>
      <c r="EQ368" t="e">
        <f>'North America'!I1195+"n/&gt;!2wK"</f>
        <v>#VALUE!</v>
      </c>
      <c r="ER368" t="e">
        <f>'North America'!A1196+"n/&gt;!2wL"</f>
        <v>#VALUE!</v>
      </c>
      <c r="ES368" t="e">
        <f>'North America'!B1196+"n/&gt;!2wM"</f>
        <v>#VALUE!</v>
      </c>
      <c r="ET368" t="e">
        <f>'North America'!C1196+"n/&gt;!2wN"</f>
        <v>#VALUE!</v>
      </c>
      <c r="EU368" t="e">
        <f>'North America'!D1196+"n/&gt;!2wO"</f>
        <v>#VALUE!</v>
      </c>
      <c r="EV368" t="e">
        <f>'North America'!E1196+"n/&gt;!2wP"</f>
        <v>#VALUE!</v>
      </c>
      <c r="EW368" t="e">
        <f>'North America'!F1196+"n/&gt;!2wQ"</f>
        <v>#VALUE!</v>
      </c>
      <c r="EX368" t="e">
        <f>'North America'!G1196+"n/&gt;!2wR"</f>
        <v>#VALUE!</v>
      </c>
      <c r="EY368" t="e">
        <f>'North America'!H1196+"n/&gt;!2wS"</f>
        <v>#VALUE!</v>
      </c>
      <c r="EZ368" t="e">
        <f>'North America'!I1196+"n/&gt;!2wT"</f>
        <v>#VALUE!</v>
      </c>
      <c r="FA368" t="e">
        <f>'North America'!A1197+"n/&gt;!2wU"</f>
        <v>#VALUE!</v>
      </c>
      <c r="FB368" t="e">
        <f>'North America'!B1197+"n/&gt;!2wV"</f>
        <v>#VALUE!</v>
      </c>
      <c r="FC368" t="e">
        <f>'North America'!C1197+"n/&gt;!2wW"</f>
        <v>#VALUE!</v>
      </c>
      <c r="FD368" t="e">
        <f>'North America'!D1197+"n/&gt;!2wX"</f>
        <v>#VALUE!</v>
      </c>
      <c r="FE368" t="e">
        <f>'North America'!E1197+"n/&gt;!2wY"</f>
        <v>#VALUE!</v>
      </c>
      <c r="FF368" t="e">
        <f>'North America'!F1197+"n/&gt;!2wZ"</f>
        <v>#VALUE!</v>
      </c>
      <c r="FG368" t="e">
        <f>'North America'!G1197+"n/&gt;!2w["</f>
        <v>#VALUE!</v>
      </c>
      <c r="FH368" t="e">
        <f>'North America'!H1197+"n/&gt;!2w\"</f>
        <v>#VALUE!</v>
      </c>
      <c r="FI368" t="e">
        <f>'North America'!I1197+"n/&gt;!2w]"</f>
        <v>#VALUE!</v>
      </c>
      <c r="FJ368" t="e">
        <f>'North America'!A1198+"n/&gt;!2w^"</f>
        <v>#VALUE!</v>
      </c>
      <c r="FK368" t="e">
        <f>'North America'!B1198+"n/&gt;!2w_"</f>
        <v>#VALUE!</v>
      </c>
      <c r="FL368" t="e">
        <f>'North America'!C1198+"n/&gt;!2w`"</f>
        <v>#VALUE!</v>
      </c>
      <c r="FM368" t="e">
        <f>'North America'!D1198+"n/&gt;!2wa"</f>
        <v>#VALUE!</v>
      </c>
      <c r="FN368" t="e">
        <f>'North America'!E1198+"n/&gt;!2wb"</f>
        <v>#VALUE!</v>
      </c>
      <c r="FO368" t="e">
        <f>'North America'!F1198+"n/&gt;!2wc"</f>
        <v>#VALUE!</v>
      </c>
      <c r="FP368" t="e">
        <f>'North America'!G1198+"n/&gt;!2wd"</f>
        <v>#VALUE!</v>
      </c>
      <c r="FQ368" t="e">
        <f>'North America'!H1198+"n/&gt;!2we"</f>
        <v>#VALUE!</v>
      </c>
      <c r="FR368" t="e">
        <f>'North America'!I1198+"n/&gt;!2wf"</f>
        <v>#VALUE!</v>
      </c>
      <c r="FS368" t="e">
        <f>'North America'!A1199+"n/&gt;!2wg"</f>
        <v>#VALUE!</v>
      </c>
      <c r="FT368" t="e">
        <f>'North America'!B1199+"n/&gt;!2wh"</f>
        <v>#VALUE!</v>
      </c>
      <c r="FU368" t="e">
        <f>'North America'!C1199+"n/&gt;!2wi"</f>
        <v>#VALUE!</v>
      </c>
      <c r="FV368" t="e">
        <f>'North America'!D1199+"n/&gt;!2wj"</f>
        <v>#VALUE!</v>
      </c>
      <c r="FW368" t="e">
        <f>'North America'!E1199+"n/&gt;!2wk"</f>
        <v>#VALUE!</v>
      </c>
      <c r="FX368" t="e">
        <f>'North America'!F1199+"n/&gt;!2wl"</f>
        <v>#VALUE!</v>
      </c>
      <c r="FY368" t="e">
        <f>'North America'!G1199+"n/&gt;!2wm"</f>
        <v>#VALUE!</v>
      </c>
      <c r="FZ368" t="e">
        <f>'North America'!H1199+"n/&gt;!2wn"</f>
        <v>#VALUE!</v>
      </c>
      <c r="GA368" t="e">
        <f>'North America'!I1199+"n/&gt;!2wo"</f>
        <v>#VALUE!</v>
      </c>
      <c r="GB368" t="e">
        <f>'North America'!A1200+"n/&gt;!2wp"</f>
        <v>#VALUE!</v>
      </c>
      <c r="GC368" t="e">
        <f>'North America'!B1200+"n/&gt;!2wq"</f>
        <v>#VALUE!</v>
      </c>
      <c r="GD368" t="e">
        <f>'North America'!C1200+"n/&gt;!2wr"</f>
        <v>#VALUE!</v>
      </c>
      <c r="GE368" t="e">
        <f>'North America'!D1200+"n/&gt;!2ws"</f>
        <v>#VALUE!</v>
      </c>
      <c r="GF368" t="e">
        <f>'North America'!E1200+"n/&gt;!2wt"</f>
        <v>#VALUE!</v>
      </c>
      <c r="GG368" t="e">
        <f>'North America'!F1200+"n/&gt;!2wu"</f>
        <v>#VALUE!</v>
      </c>
      <c r="GH368" t="e">
        <f>'North America'!G1200+"n/&gt;!2wv"</f>
        <v>#VALUE!</v>
      </c>
      <c r="GI368" t="e">
        <f>'North America'!H1200+"n/&gt;!2ww"</f>
        <v>#VALUE!</v>
      </c>
      <c r="GJ368" t="e">
        <f>'North America'!I1200+"n/&gt;!2wx"</f>
        <v>#VALUE!</v>
      </c>
      <c r="GK368" t="e">
        <f>'North America'!A1201+"n/&gt;!2wy"</f>
        <v>#VALUE!</v>
      </c>
      <c r="GL368" t="e">
        <f>'North America'!B1201+"n/&gt;!2wz"</f>
        <v>#VALUE!</v>
      </c>
      <c r="GM368" t="e">
        <f>'North America'!C1201+"n/&gt;!2w{"</f>
        <v>#VALUE!</v>
      </c>
      <c r="GN368" t="e">
        <f>'North America'!D1201+"n/&gt;!2w|"</f>
        <v>#VALUE!</v>
      </c>
      <c r="GO368" t="e">
        <f>'North America'!E1201+"n/&gt;!2w}"</f>
        <v>#VALUE!</v>
      </c>
      <c r="GP368" t="e">
        <f>'North America'!F1201+"n/&gt;!2w~"</f>
        <v>#VALUE!</v>
      </c>
      <c r="GQ368" t="e">
        <f>'North America'!G1201+"n/&gt;!2x#"</f>
        <v>#VALUE!</v>
      </c>
      <c r="GR368" t="e">
        <f>'North America'!H1201+"n/&gt;!2x$"</f>
        <v>#VALUE!</v>
      </c>
      <c r="GS368" t="e">
        <f>'North America'!I1201+"n/&gt;!2x%"</f>
        <v>#VALUE!</v>
      </c>
      <c r="GT368" t="e">
        <f>'North America'!A1202+"n/&gt;!2x&amp;"</f>
        <v>#VALUE!</v>
      </c>
      <c r="GU368" t="e">
        <f>'North America'!B1202+"n/&gt;!2x'"</f>
        <v>#VALUE!</v>
      </c>
      <c r="GV368" t="e">
        <f>'North America'!C1202+"n/&gt;!2x("</f>
        <v>#VALUE!</v>
      </c>
      <c r="GW368" t="e">
        <f>'North America'!D1202+"n/&gt;!2x)"</f>
        <v>#VALUE!</v>
      </c>
      <c r="GX368" t="e">
        <f>'North America'!E1202+"n/&gt;!2x."</f>
        <v>#VALUE!</v>
      </c>
      <c r="GY368" t="e">
        <f>'North America'!F1202+"n/&gt;!2x/"</f>
        <v>#VALUE!</v>
      </c>
      <c r="GZ368" t="e">
        <f>'North America'!G1202+"n/&gt;!2x0"</f>
        <v>#VALUE!</v>
      </c>
      <c r="HA368" t="e">
        <f>'North America'!H1202+"n/&gt;!2x1"</f>
        <v>#VALUE!</v>
      </c>
      <c r="HB368" t="e">
        <f>'North America'!I1202+"n/&gt;!2x2"</f>
        <v>#VALUE!</v>
      </c>
      <c r="HC368" t="e">
        <f>'North America'!A1203+"n/&gt;!2x3"</f>
        <v>#VALUE!</v>
      </c>
      <c r="HD368" t="e">
        <f>'North America'!B1203+"n/&gt;!2x4"</f>
        <v>#VALUE!</v>
      </c>
      <c r="HE368" t="e">
        <f>'North America'!C1203+"n/&gt;!2x5"</f>
        <v>#VALUE!</v>
      </c>
      <c r="HF368" t="e">
        <f>'North America'!D1203+"n/&gt;!2x6"</f>
        <v>#VALUE!</v>
      </c>
      <c r="HG368" t="e">
        <f>'North America'!E1203+"n/&gt;!2x7"</f>
        <v>#VALUE!</v>
      </c>
      <c r="HH368" t="e">
        <f>'North America'!F1203+"n/&gt;!2x8"</f>
        <v>#VALUE!</v>
      </c>
      <c r="HI368" t="e">
        <f>'North America'!G1203+"n/&gt;!2x9"</f>
        <v>#VALUE!</v>
      </c>
      <c r="HJ368" t="e">
        <f>'North America'!H1203+"n/&gt;!2x:"</f>
        <v>#VALUE!</v>
      </c>
      <c r="HK368" t="e">
        <f>'North America'!I1203+"n/&gt;!2x;"</f>
        <v>#VALUE!</v>
      </c>
      <c r="HL368" t="e">
        <f>'North America'!A1204+"n/&gt;!2x&lt;"</f>
        <v>#VALUE!</v>
      </c>
      <c r="HM368" t="e">
        <f>'North America'!B1204+"n/&gt;!2x="</f>
        <v>#VALUE!</v>
      </c>
      <c r="HN368" t="e">
        <f>'North America'!C1204+"n/&gt;!2x&gt;"</f>
        <v>#VALUE!</v>
      </c>
      <c r="HO368" t="e">
        <f>'North America'!D1204+"n/&gt;!2x?"</f>
        <v>#VALUE!</v>
      </c>
      <c r="HP368" t="e">
        <f>'North America'!E1204+"n/&gt;!2x@"</f>
        <v>#VALUE!</v>
      </c>
      <c r="HQ368" t="e">
        <f>'North America'!F1204+"n/&gt;!2xA"</f>
        <v>#VALUE!</v>
      </c>
      <c r="HR368" t="e">
        <f>'North America'!G1204+"n/&gt;!2xB"</f>
        <v>#VALUE!</v>
      </c>
      <c r="HS368" t="e">
        <f>'North America'!H1204+"n/&gt;!2xC"</f>
        <v>#VALUE!</v>
      </c>
      <c r="HT368" t="e">
        <f>'North America'!I1204+"n/&gt;!2xD"</f>
        <v>#VALUE!</v>
      </c>
      <c r="HU368" t="e">
        <f>'North America'!A1205+"n/&gt;!2xE"</f>
        <v>#VALUE!</v>
      </c>
      <c r="HV368" t="e">
        <f>'North America'!B1205+"n/&gt;!2xF"</f>
        <v>#VALUE!</v>
      </c>
      <c r="HW368" t="e">
        <f>'North America'!C1205+"n/&gt;!2xG"</f>
        <v>#VALUE!</v>
      </c>
      <c r="HX368" t="e">
        <f>'North America'!D1205+"n/&gt;!2xH"</f>
        <v>#VALUE!</v>
      </c>
      <c r="HY368" t="e">
        <f>'North America'!E1205+"n/&gt;!2xI"</f>
        <v>#VALUE!</v>
      </c>
      <c r="HZ368" t="e">
        <f>'North America'!F1205+"n/&gt;!2xJ"</f>
        <v>#VALUE!</v>
      </c>
      <c r="IA368" t="e">
        <f>'North America'!G1205+"n/&gt;!2xK"</f>
        <v>#VALUE!</v>
      </c>
      <c r="IB368" t="e">
        <f>'North America'!H1205+"n/&gt;!2xL"</f>
        <v>#VALUE!</v>
      </c>
      <c r="IC368" t="e">
        <f>'North America'!I1205+"n/&gt;!2xM"</f>
        <v>#VALUE!</v>
      </c>
      <c r="ID368" t="e">
        <f>'North America'!A1206+"n/&gt;!2xN"</f>
        <v>#VALUE!</v>
      </c>
      <c r="IE368" t="e">
        <f>'North America'!B1206+"n/&gt;!2xO"</f>
        <v>#VALUE!</v>
      </c>
      <c r="IF368" t="e">
        <f>'North America'!C1206+"n/&gt;!2xP"</f>
        <v>#VALUE!</v>
      </c>
      <c r="IG368" t="e">
        <f>'North America'!D1206+"n/&gt;!2xQ"</f>
        <v>#VALUE!</v>
      </c>
      <c r="IH368" t="e">
        <f>'North America'!E1206+"n/&gt;!2xR"</f>
        <v>#VALUE!</v>
      </c>
      <c r="II368" t="e">
        <f>'North America'!F1206+"n/&gt;!2xS"</f>
        <v>#VALUE!</v>
      </c>
      <c r="IJ368" t="e">
        <f>'North America'!G1206+"n/&gt;!2xT"</f>
        <v>#VALUE!</v>
      </c>
      <c r="IK368" t="e">
        <f>'North America'!H1206+"n/&gt;!2xU"</f>
        <v>#VALUE!</v>
      </c>
      <c r="IL368" t="e">
        <f>'North America'!I1206+"n/&gt;!2xV"</f>
        <v>#VALUE!</v>
      </c>
      <c r="IM368" t="e">
        <f>'North America'!A1207+"n/&gt;!2xW"</f>
        <v>#VALUE!</v>
      </c>
      <c r="IN368" t="e">
        <f>'North America'!B1207+"n/&gt;!2xX"</f>
        <v>#VALUE!</v>
      </c>
      <c r="IO368" t="e">
        <f>'North America'!C1207+"n/&gt;!2xY"</f>
        <v>#VALUE!</v>
      </c>
      <c r="IP368" t="e">
        <f>'North America'!D1207+"n/&gt;!2xZ"</f>
        <v>#VALUE!</v>
      </c>
      <c r="IQ368" t="e">
        <f>'North America'!E1207+"n/&gt;!2x["</f>
        <v>#VALUE!</v>
      </c>
      <c r="IR368" t="e">
        <f>'North America'!F1207+"n/&gt;!2x\"</f>
        <v>#VALUE!</v>
      </c>
      <c r="IS368" t="e">
        <f>'North America'!G1207+"n/&gt;!2x]"</f>
        <v>#VALUE!</v>
      </c>
      <c r="IT368" t="e">
        <f>'North America'!H1207+"n/&gt;!2x^"</f>
        <v>#VALUE!</v>
      </c>
      <c r="IU368" t="e">
        <f>'North America'!I1207+"n/&gt;!2x_"</f>
        <v>#VALUE!</v>
      </c>
      <c r="IV368" t="e">
        <f>'North America'!A1208+"n/&gt;!2x`"</f>
        <v>#VALUE!</v>
      </c>
    </row>
    <row r="369" spans="6:256" x14ac:dyDescent="0.35">
      <c r="F369" t="e">
        <f>'North America'!B1208+"n/&gt;!2xa"</f>
        <v>#VALUE!</v>
      </c>
      <c r="G369" t="e">
        <f>'North America'!C1208+"n/&gt;!2xb"</f>
        <v>#VALUE!</v>
      </c>
      <c r="H369" t="e">
        <f>'North America'!D1208+"n/&gt;!2xc"</f>
        <v>#VALUE!</v>
      </c>
      <c r="I369" t="e">
        <f>'North America'!E1208+"n/&gt;!2xd"</f>
        <v>#VALUE!</v>
      </c>
      <c r="J369" t="e">
        <f>'North America'!F1208+"n/&gt;!2xe"</f>
        <v>#VALUE!</v>
      </c>
      <c r="K369" t="e">
        <f>'North America'!G1208+"n/&gt;!2xf"</f>
        <v>#VALUE!</v>
      </c>
      <c r="L369" t="e">
        <f>'North America'!H1208+"n/&gt;!2xg"</f>
        <v>#VALUE!</v>
      </c>
      <c r="M369" t="e">
        <f>'North America'!I1208+"n/&gt;!2xh"</f>
        <v>#VALUE!</v>
      </c>
      <c r="N369" t="e">
        <f>'North America'!A1209+"n/&gt;!2xi"</f>
        <v>#VALUE!</v>
      </c>
      <c r="O369" t="e">
        <f>'North America'!B1209+"n/&gt;!2xj"</f>
        <v>#VALUE!</v>
      </c>
      <c r="P369" t="e">
        <f>'North America'!C1209+"n/&gt;!2xk"</f>
        <v>#VALUE!</v>
      </c>
      <c r="Q369" t="e">
        <f>'North America'!D1209+"n/&gt;!2xl"</f>
        <v>#VALUE!</v>
      </c>
      <c r="R369" t="e">
        <f>'North America'!E1209+"n/&gt;!2xm"</f>
        <v>#VALUE!</v>
      </c>
      <c r="S369" t="e">
        <f>'North America'!F1209+"n/&gt;!2xn"</f>
        <v>#VALUE!</v>
      </c>
      <c r="T369" t="e">
        <f>'North America'!G1209+"n/&gt;!2xo"</f>
        <v>#VALUE!</v>
      </c>
      <c r="U369" t="e">
        <f>'North America'!H1209+"n/&gt;!2xp"</f>
        <v>#VALUE!</v>
      </c>
      <c r="V369" t="e">
        <f>'North America'!I1209+"n/&gt;!2xq"</f>
        <v>#VALUE!</v>
      </c>
      <c r="W369" t="e">
        <f>'North America'!A1210+"n/&gt;!2xr"</f>
        <v>#VALUE!</v>
      </c>
      <c r="X369" t="e">
        <f>'North America'!B1210+"n/&gt;!2xs"</f>
        <v>#VALUE!</v>
      </c>
      <c r="Y369" t="e">
        <f>'North America'!C1210+"n/&gt;!2xt"</f>
        <v>#VALUE!</v>
      </c>
      <c r="Z369" t="e">
        <f>'North America'!D1210+"n/&gt;!2xu"</f>
        <v>#VALUE!</v>
      </c>
      <c r="AA369" t="e">
        <f>'North America'!E1210+"n/&gt;!2xv"</f>
        <v>#VALUE!</v>
      </c>
      <c r="AB369" t="e">
        <f>'North America'!F1210+"n/&gt;!2xw"</f>
        <v>#VALUE!</v>
      </c>
      <c r="AC369" t="e">
        <f>'North America'!G1210+"n/&gt;!2xx"</f>
        <v>#VALUE!</v>
      </c>
      <c r="AD369" t="e">
        <f>'North America'!H1210+"n/&gt;!2xy"</f>
        <v>#VALUE!</v>
      </c>
      <c r="AE369" t="e">
        <f>'North America'!I1210+"n/&gt;!2xz"</f>
        <v>#VALUE!</v>
      </c>
      <c r="AF369" t="e">
        <f>'North America'!A1211+"n/&gt;!2x{"</f>
        <v>#VALUE!</v>
      </c>
      <c r="AG369" t="e">
        <f>'North America'!B1211+"n/&gt;!2x|"</f>
        <v>#VALUE!</v>
      </c>
      <c r="AH369" t="e">
        <f>'North America'!C1211+"n/&gt;!2x}"</f>
        <v>#VALUE!</v>
      </c>
      <c r="AI369" t="e">
        <f>'North America'!D1211+"n/&gt;!2x~"</f>
        <v>#VALUE!</v>
      </c>
      <c r="AJ369" t="e">
        <f>'North America'!E1211+"n/&gt;!2y#"</f>
        <v>#VALUE!</v>
      </c>
      <c r="AK369" t="e">
        <f>'North America'!F1211+"n/&gt;!2y$"</f>
        <v>#VALUE!</v>
      </c>
      <c r="AL369" t="e">
        <f>'North America'!G1211+"n/&gt;!2y%"</f>
        <v>#VALUE!</v>
      </c>
      <c r="AM369" t="e">
        <f>'North America'!H1211+"n/&gt;!2y&amp;"</f>
        <v>#VALUE!</v>
      </c>
      <c r="AN369" t="e">
        <f>'North America'!I1211+"n/&gt;!2y'"</f>
        <v>#VALUE!</v>
      </c>
      <c r="AO369" t="e">
        <f>'North America'!A1212+"n/&gt;!2y("</f>
        <v>#VALUE!</v>
      </c>
      <c r="AP369" t="e">
        <f>'North America'!B1212+"n/&gt;!2y)"</f>
        <v>#VALUE!</v>
      </c>
      <c r="AQ369" t="e">
        <f>'North America'!C1212+"n/&gt;!2y."</f>
        <v>#VALUE!</v>
      </c>
      <c r="AR369" t="e">
        <f>'North America'!D1212+"n/&gt;!2y/"</f>
        <v>#VALUE!</v>
      </c>
      <c r="AS369" t="e">
        <f>'North America'!E1212+"n/&gt;!2y0"</f>
        <v>#VALUE!</v>
      </c>
      <c r="AT369" t="e">
        <f>'North America'!F1212+"n/&gt;!2y1"</f>
        <v>#VALUE!</v>
      </c>
      <c r="AU369" t="e">
        <f>'North America'!G1212+"n/&gt;!2y2"</f>
        <v>#VALUE!</v>
      </c>
      <c r="AV369" t="e">
        <f>'North America'!H1212+"n/&gt;!2y3"</f>
        <v>#VALUE!</v>
      </c>
      <c r="AW369" t="e">
        <f>'North America'!I1212+"n/&gt;!2y4"</f>
        <v>#VALUE!</v>
      </c>
      <c r="AX369" t="e">
        <f>'North America'!A1213+"n/&gt;!2y5"</f>
        <v>#VALUE!</v>
      </c>
      <c r="AY369" t="e">
        <f>'North America'!B1213+"n/&gt;!2y6"</f>
        <v>#VALUE!</v>
      </c>
      <c r="AZ369" t="e">
        <f>'North America'!C1213+"n/&gt;!2y7"</f>
        <v>#VALUE!</v>
      </c>
      <c r="BA369" t="e">
        <f>'North America'!D1213+"n/&gt;!2y8"</f>
        <v>#VALUE!</v>
      </c>
      <c r="BB369" t="e">
        <f>'North America'!E1213+"n/&gt;!2y9"</f>
        <v>#VALUE!</v>
      </c>
      <c r="BC369" t="e">
        <f>'North America'!F1213+"n/&gt;!2y:"</f>
        <v>#VALUE!</v>
      </c>
      <c r="BD369" t="e">
        <f>'North America'!G1213+"n/&gt;!2y;"</f>
        <v>#VALUE!</v>
      </c>
      <c r="BE369" t="e">
        <f>'North America'!H1213+"n/&gt;!2y&lt;"</f>
        <v>#VALUE!</v>
      </c>
      <c r="BF369" t="e">
        <f>'North America'!I1213+"n/&gt;!2y="</f>
        <v>#VALUE!</v>
      </c>
      <c r="BG369" t="e">
        <f>'North America'!A1214+"n/&gt;!2y&gt;"</f>
        <v>#VALUE!</v>
      </c>
      <c r="BH369" t="e">
        <f>'North America'!B1214+"n/&gt;!2y?"</f>
        <v>#VALUE!</v>
      </c>
      <c r="BI369" t="e">
        <f>'North America'!C1214+"n/&gt;!2y@"</f>
        <v>#VALUE!</v>
      </c>
      <c r="BJ369" t="e">
        <f>'North America'!D1214+"n/&gt;!2yA"</f>
        <v>#VALUE!</v>
      </c>
      <c r="BK369" t="e">
        <f>'North America'!E1214+"n/&gt;!2yB"</f>
        <v>#VALUE!</v>
      </c>
      <c r="BL369" t="e">
        <f>'North America'!F1214+"n/&gt;!2yC"</f>
        <v>#VALUE!</v>
      </c>
      <c r="BM369" t="e">
        <f>'North America'!G1214+"n/&gt;!2yD"</f>
        <v>#VALUE!</v>
      </c>
      <c r="BN369" t="e">
        <f>'North America'!H1214+"n/&gt;!2yE"</f>
        <v>#VALUE!</v>
      </c>
      <c r="BO369" t="e">
        <f>'North America'!I1214+"n/&gt;!2yF"</f>
        <v>#VALUE!</v>
      </c>
      <c r="BP369" t="e">
        <f>'North America'!A1215+"n/&gt;!2yG"</f>
        <v>#VALUE!</v>
      </c>
      <c r="BQ369" t="e">
        <f>'North America'!B1215+"n/&gt;!2yH"</f>
        <v>#VALUE!</v>
      </c>
      <c r="BR369" t="e">
        <f>'North America'!C1215+"n/&gt;!2yI"</f>
        <v>#VALUE!</v>
      </c>
      <c r="BS369" t="e">
        <f>'North America'!D1215+"n/&gt;!2yJ"</f>
        <v>#VALUE!</v>
      </c>
      <c r="BT369" t="e">
        <f>'North America'!E1215+"n/&gt;!2yK"</f>
        <v>#VALUE!</v>
      </c>
      <c r="BU369" t="e">
        <f>'North America'!F1215+"n/&gt;!2yL"</f>
        <v>#VALUE!</v>
      </c>
      <c r="BV369" t="e">
        <f>'North America'!G1215+"n/&gt;!2yM"</f>
        <v>#VALUE!</v>
      </c>
      <c r="BW369" t="e">
        <f>'North America'!H1215+"n/&gt;!2yN"</f>
        <v>#VALUE!</v>
      </c>
      <c r="BX369" t="e">
        <f>'North America'!I1215+"n/&gt;!2yO"</f>
        <v>#VALUE!</v>
      </c>
      <c r="BY369" t="e">
        <f>'North America'!A1216+"n/&gt;!2yP"</f>
        <v>#VALUE!</v>
      </c>
      <c r="BZ369" t="e">
        <f>'North America'!B1216+"n/&gt;!2yQ"</f>
        <v>#VALUE!</v>
      </c>
      <c r="CA369" t="e">
        <f>'North America'!C1216+"n/&gt;!2yR"</f>
        <v>#VALUE!</v>
      </c>
      <c r="CB369" t="e">
        <f>'North America'!D1216+"n/&gt;!2yS"</f>
        <v>#VALUE!</v>
      </c>
      <c r="CC369" t="e">
        <f>'North America'!E1216+"n/&gt;!2yT"</f>
        <v>#VALUE!</v>
      </c>
      <c r="CD369" t="e">
        <f>'North America'!F1216+"n/&gt;!2yU"</f>
        <v>#VALUE!</v>
      </c>
      <c r="CE369" t="e">
        <f>'North America'!G1216+"n/&gt;!2yV"</f>
        <v>#VALUE!</v>
      </c>
      <c r="CF369" t="e">
        <f>'North America'!H1216+"n/&gt;!2yW"</f>
        <v>#VALUE!</v>
      </c>
      <c r="CG369" t="e">
        <f>'North America'!I1216+"n/&gt;!2yX"</f>
        <v>#VALUE!</v>
      </c>
      <c r="CH369" t="e">
        <f>'North America'!A1217+"n/&gt;!2yY"</f>
        <v>#VALUE!</v>
      </c>
      <c r="CI369" t="e">
        <f>'North America'!B1217+"n/&gt;!2yZ"</f>
        <v>#VALUE!</v>
      </c>
      <c r="CJ369" t="e">
        <f>'North America'!C1217+"n/&gt;!2y["</f>
        <v>#VALUE!</v>
      </c>
      <c r="CK369" t="e">
        <f>'North America'!D1217+"n/&gt;!2y\"</f>
        <v>#VALUE!</v>
      </c>
      <c r="CL369" t="e">
        <f>'North America'!E1217+"n/&gt;!2y]"</f>
        <v>#VALUE!</v>
      </c>
      <c r="CM369" t="e">
        <f>'North America'!F1217+"n/&gt;!2y^"</f>
        <v>#VALUE!</v>
      </c>
      <c r="CN369" t="e">
        <f>'North America'!G1217+"n/&gt;!2y_"</f>
        <v>#VALUE!</v>
      </c>
      <c r="CO369" t="e">
        <f>'North America'!H1217+"n/&gt;!2y`"</f>
        <v>#VALUE!</v>
      </c>
      <c r="CP369" t="e">
        <f>'North America'!I1217+"n/&gt;!2ya"</f>
        <v>#VALUE!</v>
      </c>
      <c r="CQ369" t="e">
        <f>'North America'!A1218+"n/&gt;!2yb"</f>
        <v>#VALUE!</v>
      </c>
      <c r="CR369" t="e">
        <f>'North America'!B1218+"n/&gt;!2yc"</f>
        <v>#VALUE!</v>
      </c>
      <c r="CS369" t="e">
        <f>'North America'!C1218+"n/&gt;!2yd"</f>
        <v>#VALUE!</v>
      </c>
      <c r="CT369" t="e">
        <f>'North America'!D1218+"n/&gt;!2ye"</f>
        <v>#VALUE!</v>
      </c>
      <c r="CU369" t="e">
        <f>'North America'!E1218+"n/&gt;!2yf"</f>
        <v>#VALUE!</v>
      </c>
      <c r="CV369" t="e">
        <f>'North America'!F1218+"n/&gt;!2yg"</f>
        <v>#VALUE!</v>
      </c>
      <c r="CW369" t="e">
        <f>'North America'!G1218+"n/&gt;!2yh"</f>
        <v>#VALUE!</v>
      </c>
      <c r="CX369" t="e">
        <f>'North America'!H1218+"n/&gt;!2yi"</f>
        <v>#VALUE!</v>
      </c>
      <c r="CY369" t="e">
        <f>'North America'!I1218+"n/&gt;!2yj"</f>
        <v>#VALUE!</v>
      </c>
      <c r="CZ369" t="e">
        <f>'North America'!A1219+"n/&gt;!2yk"</f>
        <v>#VALUE!</v>
      </c>
      <c r="DA369" t="e">
        <f>'North America'!B1219+"n/&gt;!2yl"</f>
        <v>#VALUE!</v>
      </c>
      <c r="DB369" t="e">
        <f>'North America'!C1219+"n/&gt;!2ym"</f>
        <v>#VALUE!</v>
      </c>
      <c r="DC369" t="e">
        <f>'North America'!D1219+"n/&gt;!2yn"</f>
        <v>#VALUE!</v>
      </c>
      <c r="DD369" t="e">
        <f>'North America'!E1219+"n/&gt;!2yo"</f>
        <v>#VALUE!</v>
      </c>
      <c r="DE369" t="e">
        <f>'North America'!F1219+"n/&gt;!2yp"</f>
        <v>#VALUE!</v>
      </c>
      <c r="DF369" t="e">
        <f>'North America'!G1219+"n/&gt;!2yq"</f>
        <v>#VALUE!</v>
      </c>
      <c r="DG369" t="e">
        <f>'North America'!H1219+"n/&gt;!2yr"</f>
        <v>#VALUE!</v>
      </c>
      <c r="DH369" t="e">
        <f>'North America'!I1219+"n/&gt;!2ys"</f>
        <v>#VALUE!</v>
      </c>
      <c r="DI369" t="e">
        <f>'North America'!A1220+"n/&gt;!2yt"</f>
        <v>#VALUE!</v>
      </c>
      <c r="DJ369" t="e">
        <f>'North America'!B1220+"n/&gt;!2yu"</f>
        <v>#VALUE!</v>
      </c>
      <c r="DK369" t="e">
        <f>'North America'!C1220+"n/&gt;!2yv"</f>
        <v>#VALUE!</v>
      </c>
      <c r="DL369" t="e">
        <f>'North America'!D1220+"n/&gt;!2yw"</f>
        <v>#VALUE!</v>
      </c>
      <c r="DM369" t="e">
        <f>'North America'!E1220+"n/&gt;!2yx"</f>
        <v>#VALUE!</v>
      </c>
      <c r="DN369" t="e">
        <f>'North America'!F1220+"n/&gt;!2yy"</f>
        <v>#VALUE!</v>
      </c>
      <c r="DO369" t="e">
        <f>'North America'!G1220+"n/&gt;!2yz"</f>
        <v>#VALUE!</v>
      </c>
      <c r="DP369" t="e">
        <f>'North America'!H1220+"n/&gt;!2y{"</f>
        <v>#VALUE!</v>
      </c>
      <c r="DQ369" t="e">
        <f>'North America'!I1220+"n/&gt;!2y|"</f>
        <v>#VALUE!</v>
      </c>
      <c r="DR369" t="e">
        <f>'North America'!A1221+"n/&gt;!2y}"</f>
        <v>#VALUE!</v>
      </c>
      <c r="DS369" t="e">
        <f>'North America'!B1221+"n/&gt;!2y~"</f>
        <v>#VALUE!</v>
      </c>
      <c r="DT369" t="e">
        <f>'North America'!C1221+"n/&gt;!2z#"</f>
        <v>#VALUE!</v>
      </c>
      <c r="DU369" t="e">
        <f>'North America'!D1221+"n/&gt;!2z$"</f>
        <v>#VALUE!</v>
      </c>
      <c r="DV369" t="e">
        <f>'North America'!E1221+"n/&gt;!2z%"</f>
        <v>#VALUE!</v>
      </c>
      <c r="DW369" t="e">
        <f>'North America'!F1221+"n/&gt;!2z&amp;"</f>
        <v>#VALUE!</v>
      </c>
      <c r="DX369" t="e">
        <f>'North America'!G1221+"n/&gt;!2z'"</f>
        <v>#VALUE!</v>
      </c>
      <c r="DY369" t="e">
        <f>'North America'!H1221+"n/&gt;!2z("</f>
        <v>#VALUE!</v>
      </c>
      <c r="DZ369" t="e">
        <f>'North America'!I1221+"n/&gt;!2z)"</f>
        <v>#VALUE!</v>
      </c>
      <c r="EA369" t="e">
        <f>'North America'!A1222+"n/&gt;!2z."</f>
        <v>#VALUE!</v>
      </c>
      <c r="EB369" t="e">
        <f>'North America'!B1222+"n/&gt;!2z/"</f>
        <v>#VALUE!</v>
      </c>
      <c r="EC369" t="e">
        <f>'North America'!C1222+"n/&gt;!2z0"</f>
        <v>#VALUE!</v>
      </c>
      <c r="ED369" t="e">
        <f>'North America'!D1222+"n/&gt;!2z1"</f>
        <v>#VALUE!</v>
      </c>
      <c r="EE369" t="e">
        <f>'North America'!E1222+"n/&gt;!2z2"</f>
        <v>#VALUE!</v>
      </c>
      <c r="EF369" t="e">
        <f>'North America'!F1222+"n/&gt;!2z3"</f>
        <v>#VALUE!</v>
      </c>
      <c r="EG369" t="e">
        <f>'North America'!G1222+"n/&gt;!2z4"</f>
        <v>#VALUE!</v>
      </c>
      <c r="EH369" t="e">
        <f>'North America'!H1222+"n/&gt;!2z5"</f>
        <v>#VALUE!</v>
      </c>
      <c r="EI369" t="e">
        <f>'North America'!I1222+"n/&gt;!2z6"</f>
        <v>#VALUE!</v>
      </c>
      <c r="EJ369" t="e">
        <f>'North America'!A1223+"n/&gt;!2z7"</f>
        <v>#VALUE!</v>
      </c>
      <c r="EK369" t="e">
        <f>'North America'!B1223+"n/&gt;!2z8"</f>
        <v>#VALUE!</v>
      </c>
      <c r="EL369" t="e">
        <f>'North America'!C1223+"n/&gt;!2z9"</f>
        <v>#VALUE!</v>
      </c>
      <c r="EM369" t="e">
        <f>'North America'!D1223+"n/&gt;!2z:"</f>
        <v>#VALUE!</v>
      </c>
      <c r="EN369" t="e">
        <f>'North America'!E1223+"n/&gt;!2z;"</f>
        <v>#VALUE!</v>
      </c>
      <c r="EO369" t="e">
        <f>'North America'!F1223+"n/&gt;!2z&lt;"</f>
        <v>#VALUE!</v>
      </c>
      <c r="EP369" t="e">
        <f>'North America'!G1223+"n/&gt;!2z="</f>
        <v>#VALUE!</v>
      </c>
      <c r="EQ369" t="e">
        <f>'North America'!H1223+"n/&gt;!2z&gt;"</f>
        <v>#VALUE!</v>
      </c>
      <c r="ER369" t="e">
        <f>'North America'!I1223+"n/&gt;!2z?"</f>
        <v>#VALUE!</v>
      </c>
      <c r="ES369" t="e">
        <f>'North America'!A1224+"n/&gt;!2z@"</f>
        <v>#VALUE!</v>
      </c>
      <c r="ET369" t="e">
        <f>'North America'!B1224+"n/&gt;!2zA"</f>
        <v>#VALUE!</v>
      </c>
      <c r="EU369" t="e">
        <f>'North America'!C1224+"n/&gt;!2zB"</f>
        <v>#VALUE!</v>
      </c>
      <c r="EV369" t="e">
        <f>'North America'!D1224+"n/&gt;!2zC"</f>
        <v>#VALUE!</v>
      </c>
      <c r="EW369" t="e">
        <f>'North America'!E1224+"n/&gt;!2zD"</f>
        <v>#VALUE!</v>
      </c>
      <c r="EX369" t="e">
        <f>'North America'!F1224+"n/&gt;!2zE"</f>
        <v>#VALUE!</v>
      </c>
      <c r="EY369" t="e">
        <f>'North America'!G1224+"n/&gt;!2zF"</f>
        <v>#VALUE!</v>
      </c>
      <c r="EZ369" t="e">
        <f>'North America'!H1224+"n/&gt;!2zG"</f>
        <v>#VALUE!</v>
      </c>
      <c r="FA369" t="e">
        <f>'North America'!I1224+"n/&gt;!2zH"</f>
        <v>#VALUE!</v>
      </c>
      <c r="FB369" t="e">
        <f>'North America'!A1225+"n/&gt;!2zI"</f>
        <v>#VALUE!</v>
      </c>
      <c r="FC369" t="e">
        <f>'North America'!B1225+"n/&gt;!2zJ"</f>
        <v>#VALUE!</v>
      </c>
      <c r="FD369" t="e">
        <f>'North America'!C1225+"n/&gt;!2zK"</f>
        <v>#VALUE!</v>
      </c>
      <c r="FE369" t="e">
        <f>'North America'!D1225+"n/&gt;!2zL"</f>
        <v>#VALUE!</v>
      </c>
      <c r="FF369" t="e">
        <f>'North America'!E1225+"n/&gt;!2zM"</f>
        <v>#VALUE!</v>
      </c>
      <c r="FG369" t="e">
        <f>'North America'!F1225+"n/&gt;!2zN"</f>
        <v>#VALUE!</v>
      </c>
      <c r="FH369" t="e">
        <f>'North America'!G1225+"n/&gt;!2zO"</f>
        <v>#VALUE!</v>
      </c>
      <c r="FI369" t="e">
        <f>'North America'!H1225+"n/&gt;!2zP"</f>
        <v>#VALUE!</v>
      </c>
      <c r="FJ369" t="e">
        <f>'North America'!I1225+"n/&gt;!2zQ"</f>
        <v>#VALUE!</v>
      </c>
      <c r="FK369" t="e">
        <f>'North America'!A1226+"n/&gt;!2zR"</f>
        <v>#VALUE!</v>
      </c>
      <c r="FL369" t="e">
        <f>'North America'!B1226+"n/&gt;!2zS"</f>
        <v>#VALUE!</v>
      </c>
      <c r="FM369" t="e">
        <f>'North America'!C1226+"n/&gt;!2zT"</f>
        <v>#VALUE!</v>
      </c>
      <c r="FN369" t="e">
        <f>'North America'!D1226+"n/&gt;!2zU"</f>
        <v>#VALUE!</v>
      </c>
      <c r="FO369" t="e">
        <f>'North America'!E1226+"n/&gt;!2zV"</f>
        <v>#VALUE!</v>
      </c>
      <c r="FP369" t="e">
        <f>'North America'!F1226+"n/&gt;!2zW"</f>
        <v>#VALUE!</v>
      </c>
      <c r="FQ369" t="e">
        <f>'North America'!G1226+"n/&gt;!2zX"</f>
        <v>#VALUE!</v>
      </c>
      <c r="FR369" t="e">
        <f>'North America'!H1226+"n/&gt;!2zY"</f>
        <v>#VALUE!</v>
      </c>
      <c r="FS369" t="e">
        <f>'North America'!I1226+"n/&gt;!2zZ"</f>
        <v>#VALUE!</v>
      </c>
      <c r="FT369" t="e">
        <f>'North America'!A1227+"n/&gt;!2z["</f>
        <v>#VALUE!</v>
      </c>
      <c r="FU369" t="e">
        <f>'North America'!B1227+"n/&gt;!2z\"</f>
        <v>#VALUE!</v>
      </c>
      <c r="FV369" t="e">
        <f>'North America'!C1227+"n/&gt;!2z]"</f>
        <v>#VALUE!</v>
      </c>
      <c r="FW369" t="e">
        <f>'North America'!D1227+"n/&gt;!2z^"</f>
        <v>#VALUE!</v>
      </c>
      <c r="FX369" t="e">
        <f>'North America'!E1227+"n/&gt;!2z_"</f>
        <v>#VALUE!</v>
      </c>
      <c r="FY369" t="e">
        <f>'North America'!F1227+"n/&gt;!2z`"</f>
        <v>#VALUE!</v>
      </c>
      <c r="FZ369" t="e">
        <f>'North America'!G1227+"n/&gt;!2za"</f>
        <v>#VALUE!</v>
      </c>
      <c r="GA369" t="e">
        <f>'North America'!H1227+"n/&gt;!2zb"</f>
        <v>#VALUE!</v>
      </c>
      <c r="GB369" t="e">
        <f>'North America'!I1227+"n/&gt;!2zc"</f>
        <v>#VALUE!</v>
      </c>
      <c r="GC369" t="e">
        <f>'North America'!A1228+"n/&gt;!2zd"</f>
        <v>#VALUE!</v>
      </c>
      <c r="GD369" t="e">
        <f>'North America'!B1228+"n/&gt;!2ze"</f>
        <v>#VALUE!</v>
      </c>
      <c r="GE369" t="e">
        <f>'North America'!C1228+"n/&gt;!2zf"</f>
        <v>#VALUE!</v>
      </c>
      <c r="GF369" t="e">
        <f>'North America'!D1228+"n/&gt;!2zg"</f>
        <v>#VALUE!</v>
      </c>
      <c r="GG369" t="e">
        <f>'North America'!E1228+"n/&gt;!2zh"</f>
        <v>#VALUE!</v>
      </c>
      <c r="GH369" t="e">
        <f>'North America'!F1228+"n/&gt;!2zi"</f>
        <v>#VALUE!</v>
      </c>
      <c r="GI369" t="e">
        <f>'North America'!G1228+"n/&gt;!2zj"</f>
        <v>#VALUE!</v>
      </c>
      <c r="GJ369" t="e">
        <f>'North America'!H1228+"n/&gt;!2zk"</f>
        <v>#VALUE!</v>
      </c>
      <c r="GK369" t="e">
        <f>'North America'!I1228+"n/&gt;!2zl"</f>
        <v>#VALUE!</v>
      </c>
      <c r="GL369" t="e">
        <f>'North America'!A1229+"n/&gt;!2zm"</f>
        <v>#VALUE!</v>
      </c>
      <c r="GM369" t="e">
        <f>'North America'!B1229+"n/&gt;!2zn"</f>
        <v>#VALUE!</v>
      </c>
      <c r="GN369" t="e">
        <f>'North America'!C1229+"n/&gt;!2zo"</f>
        <v>#VALUE!</v>
      </c>
      <c r="GO369" t="e">
        <f>'North America'!D1229+"n/&gt;!2zp"</f>
        <v>#VALUE!</v>
      </c>
      <c r="GP369" t="e">
        <f>'North America'!E1229+"n/&gt;!2zq"</f>
        <v>#VALUE!</v>
      </c>
      <c r="GQ369" t="e">
        <f>'North America'!F1229+"n/&gt;!2zr"</f>
        <v>#VALUE!</v>
      </c>
      <c r="GR369" t="e">
        <f>'North America'!G1229+"n/&gt;!2zs"</f>
        <v>#VALUE!</v>
      </c>
      <c r="GS369" t="e">
        <f>'North America'!H1229+"n/&gt;!2zt"</f>
        <v>#VALUE!</v>
      </c>
      <c r="GT369" t="e">
        <f>'North America'!I1229+"n/&gt;!2zu"</f>
        <v>#VALUE!</v>
      </c>
      <c r="GU369" t="e">
        <f>'North America'!A1230+"n/&gt;!2zv"</f>
        <v>#VALUE!</v>
      </c>
      <c r="GV369" t="e">
        <f>'North America'!B1230+"n/&gt;!2zw"</f>
        <v>#VALUE!</v>
      </c>
      <c r="GW369" t="e">
        <f>'North America'!C1230+"n/&gt;!2zx"</f>
        <v>#VALUE!</v>
      </c>
      <c r="GX369" t="e">
        <f>'North America'!D1230+"n/&gt;!2zy"</f>
        <v>#VALUE!</v>
      </c>
      <c r="GY369" t="e">
        <f>'North America'!E1230+"n/&gt;!2zz"</f>
        <v>#VALUE!</v>
      </c>
      <c r="GZ369" t="e">
        <f>'North America'!F1230+"n/&gt;!2z{"</f>
        <v>#VALUE!</v>
      </c>
      <c r="HA369" t="e">
        <f>'North America'!G1230+"n/&gt;!2z|"</f>
        <v>#VALUE!</v>
      </c>
      <c r="HB369" t="e">
        <f>'North America'!H1230+"n/&gt;!2z}"</f>
        <v>#VALUE!</v>
      </c>
      <c r="HC369" t="e">
        <f>'North America'!I1230+"n/&gt;!2z~"</f>
        <v>#VALUE!</v>
      </c>
      <c r="HD369" t="e">
        <f>'North America'!A1231+"n/&gt;!2{#"</f>
        <v>#VALUE!</v>
      </c>
      <c r="HE369" t="e">
        <f>'North America'!B1231+"n/&gt;!2{$"</f>
        <v>#VALUE!</v>
      </c>
      <c r="HF369" t="e">
        <f>'North America'!C1231+"n/&gt;!2{%"</f>
        <v>#VALUE!</v>
      </c>
      <c r="HG369" t="e">
        <f>'North America'!D1231+"n/&gt;!2{&amp;"</f>
        <v>#VALUE!</v>
      </c>
      <c r="HH369" t="e">
        <f>'North America'!E1231+"n/&gt;!2{'"</f>
        <v>#VALUE!</v>
      </c>
      <c r="HI369" t="e">
        <f>'North America'!F1231+"n/&gt;!2{("</f>
        <v>#VALUE!</v>
      </c>
      <c r="HJ369" t="e">
        <f>'North America'!G1231+"n/&gt;!2{)"</f>
        <v>#VALUE!</v>
      </c>
      <c r="HK369" t="e">
        <f>'North America'!H1231+"n/&gt;!2{."</f>
        <v>#VALUE!</v>
      </c>
      <c r="HL369" t="e">
        <f>'North America'!I1231+"n/&gt;!2{/"</f>
        <v>#VALUE!</v>
      </c>
      <c r="HM369" t="e">
        <f>'North America'!A1232+"n/&gt;!2{0"</f>
        <v>#VALUE!</v>
      </c>
      <c r="HN369" t="e">
        <f>'North America'!B1232+"n/&gt;!2{1"</f>
        <v>#VALUE!</v>
      </c>
      <c r="HO369" t="e">
        <f>'North America'!C1232+"n/&gt;!2{2"</f>
        <v>#VALUE!</v>
      </c>
      <c r="HP369" t="e">
        <f>'North America'!D1232+"n/&gt;!2{3"</f>
        <v>#VALUE!</v>
      </c>
      <c r="HQ369" t="e">
        <f>'North America'!E1232+"n/&gt;!2{4"</f>
        <v>#VALUE!</v>
      </c>
      <c r="HR369" t="e">
        <f>'North America'!F1232+"n/&gt;!2{5"</f>
        <v>#VALUE!</v>
      </c>
      <c r="HS369" t="e">
        <f>'North America'!G1232+"n/&gt;!2{6"</f>
        <v>#VALUE!</v>
      </c>
      <c r="HT369" t="e">
        <f>'North America'!H1232+"n/&gt;!2{7"</f>
        <v>#VALUE!</v>
      </c>
      <c r="HU369" t="e">
        <f>'North America'!I1232+"n/&gt;!2{8"</f>
        <v>#VALUE!</v>
      </c>
      <c r="HV369" t="e">
        <f>'North America'!A1233+"n/&gt;!2{9"</f>
        <v>#VALUE!</v>
      </c>
      <c r="HW369" t="e">
        <f>'North America'!B1233+"n/&gt;!2{:"</f>
        <v>#VALUE!</v>
      </c>
      <c r="HX369" t="e">
        <f>'North America'!C1233+"n/&gt;!2{;"</f>
        <v>#VALUE!</v>
      </c>
      <c r="HY369" t="e">
        <f>'North America'!D1233+"n/&gt;!2{&lt;"</f>
        <v>#VALUE!</v>
      </c>
      <c r="HZ369" t="e">
        <f>'North America'!E1233+"n/&gt;!2{="</f>
        <v>#VALUE!</v>
      </c>
      <c r="IA369" t="e">
        <f>'North America'!F1233+"n/&gt;!2{&gt;"</f>
        <v>#VALUE!</v>
      </c>
      <c r="IB369" t="e">
        <f>'North America'!G1233+"n/&gt;!2{?"</f>
        <v>#VALUE!</v>
      </c>
      <c r="IC369" t="e">
        <f>'North America'!H1233+"n/&gt;!2{@"</f>
        <v>#VALUE!</v>
      </c>
      <c r="ID369" t="e">
        <f>'North America'!I1233+"n/&gt;!2{A"</f>
        <v>#VALUE!</v>
      </c>
      <c r="IE369" t="e">
        <f>'North America'!A1234+"n/&gt;!2{B"</f>
        <v>#VALUE!</v>
      </c>
      <c r="IF369" t="e">
        <f>'North America'!B1234+"n/&gt;!2{C"</f>
        <v>#VALUE!</v>
      </c>
      <c r="IG369" t="e">
        <f>'North America'!C1234+"n/&gt;!2{D"</f>
        <v>#VALUE!</v>
      </c>
      <c r="IH369" t="e">
        <f>'North America'!D1234+"n/&gt;!2{E"</f>
        <v>#VALUE!</v>
      </c>
      <c r="II369" t="e">
        <f>'North America'!E1234+"n/&gt;!2{F"</f>
        <v>#VALUE!</v>
      </c>
      <c r="IJ369" t="e">
        <f>'North America'!F1234+"n/&gt;!2{G"</f>
        <v>#VALUE!</v>
      </c>
      <c r="IK369" t="e">
        <f>'North America'!G1234+"n/&gt;!2{H"</f>
        <v>#VALUE!</v>
      </c>
      <c r="IL369" t="e">
        <f>'North America'!H1234+"n/&gt;!2{I"</f>
        <v>#VALUE!</v>
      </c>
      <c r="IM369" t="e">
        <f>'North America'!I1234+"n/&gt;!2{J"</f>
        <v>#VALUE!</v>
      </c>
      <c r="IN369" t="e">
        <f>'North America'!A1235+"n/&gt;!2{K"</f>
        <v>#VALUE!</v>
      </c>
      <c r="IO369" t="e">
        <f>'North America'!B1235+"n/&gt;!2{L"</f>
        <v>#VALUE!</v>
      </c>
      <c r="IP369" t="e">
        <f>'North America'!C1235+"n/&gt;!2{M"</f>
        <v>#VALUE!</v>
      </c>
      <c r="IQ369" t="e">
        <f>'North America'!D1235+"n/&gt;!2{N"</f>
        <v>#VALUE!</v>
      </c>
      <c r="IR369" t="e">
        <f>'North America'!E1235+"n/&gt;!2{O"</f>
        <v>#VALUE!</v>
      </c>
      <c r="IS369" t="e">
        <f>'North America'!F1235+"n/&gt;!2{P"</f>
        <v>#VALUE!</v>
      </c>
      <c r="IT369" t="e">
        <f>'North America'!G1235+"n/&gt;!2{Q"</f>
        <v>#VALUE!</v>
      </c>
      <c r="IU369" t="e">
        <f>'North America'!H1235+"n/&gt;!2{R"</f>
        <v>#VALUE!</v>
      </c>
      <c r="IV369" t="e">
        <f>'North America'!I1235+"n/&gt;!2{S"</f>
        <v>#VALUE!</v>
      </c>
    </row>
    <row r="370" spans="6:256" x14ac:dyDescent="0.35">
      <c r="F370" t="e">
        <f>'North America'!A1236+"n/&gt;!2{T"</f>
        <v>#VALUE!</v>
      </c>
      <c r="G370" t="e">
        <f>'North America'!B1236+"n/&gt;!2{U"</f>
        <v>#VALUE!</v>
      </c>
      <c r="H370" t="e">
        <f>'North America'!C1236+"n/&gt;!2{V"</f>
        <v>#VALUE!</v>
      </c>
      <c r="I370" t="e">
        <f>'North America'!D1236+"n/&gt;!2{W"</f>
        <v>#VALUE!</v>
      </c>
      <c r="J370" t="e">
        <f>'North America'!E1236+"n/&gt;!2{X"</f>
        <v>#VALUE!</v>
      </c>
      <c r="K370" t="e">
        <f>'North America'!F1236+"n/&gt;!2{Y"</f>
        <v>#VALUE!</v>
      </c>
      <c r="L370" t="e">
        <f>'North America'!G1236+"n/&gt;!2{Z"</f>
        <v>#VALUE!</v>
      </c>
      <c r="M370" t="e">
        <f>'North America'!H1236+"n/&gt;!2{["</f>
        <v>#VALUE!</v>
      </c>
      <c r="N370" t="e">
        <f>'North America'!I1236+"n/&gt;!2{\"</f>
        <v>#VALUE!</v>
      </c>
      <c r="O370" t="e">
        <f>'North America'!A1237+"n/&gt;!2{]"</f>
        <v>#VALUE!</v>
      </c>
      <c r="P370" t="e">
        <f>'North America'!B1237+"n/&gt;!2{^"</f>
        <v>#VALUE!</v>
      </c>
      <c r="Q370" t="e">
        <f>'North America'!C1237+"n/&gt;!2{_"</f>
        <v>#VALUE!</v>
      </c>
      <c r="R370" t="e">
        <f>'North America'!D1237+"n/&gt;!2{`"</f>
        <v>#VALUE!</v>
      </c>
      <c r="S370" t="e">
        <f>'North America'!E1237+"n/&gt;!2{a"</f>
        <v>#VALUE!</v>
      </c>
      <c r="T370" t="e">
        <f>'North America'!F1237+"n/&gt;!2{b"</f>
        <v>#VALUE!</v>
      </c>
      <c r="U370" t="e">
        <f>'North America'!G1237+"n/&gt;!2{c"</f>
        <v>#VALUE!</v>
      </c>
      <c r="V370" t="e">
        <f>'North America'!H1237+"n/&gt;!2{d"</f>
        <v>#VALUE!</v>
      </c>
      <c r="W370" t="e">
        <f>'North America'!I1237+"n/&gt;!2{e"</f>
        <v>#VALUE!</v>
      </c>
      <c r="X370" t="e">
        <f>'North America'!A1238+"n/&gt;!2{f"</f>
        <v>#VALUE!</v>
      </c>
      <c r="Y370" t="e">
        <f>'North America'!B1238+"n/&gt;!2{g"</f>
        <v>#VALUE!</v>
      </c>
      <c r="Z370" t="e">
        <f>'North America'!C1238+"n/&gt;!2{h"</f>
        <v>#VALUE!</v>
      </c>
      <c r="AA370" t="e">
        <f>'North America'!D1238+"n/&gt;!2{i"</f>
        <v>#VALUE!</v>
      </c>
      <c r="AB370" t="e">
        <f>'North America'!E1238+"n/&gt;!2{j"</f>
        <v>#VALUE!</v>
      </c>
      <c r="AC370" t="e">
        <f>'North America'!F1238+"n/&gt;!2{k"</f>
        <v>#VALUE!</v>
      </c>
      <c r="AD370" t="e">
        <f>'North America'!G1238+"n/&gt;!2{l"</f>
        <v>#VALUE!</v>
      </c>
      <c r="AE370" t="e">
        <f>'North America'!H1238+"n/&gt;!2{m"</f>
        <v>#VALUE!</v>
      </c>
      <c r="AF370" t="e">
        <f>'North America'!I1238+"n/&gt;!2{n"</f>
        <v>#VALUE!</v>
      </c>
      <c r="AG370" t="e">
        <f>'North America'!A1239+"n/&gt;!2{o"</f>
        <v>#VALUE!</v>
      </c>
      <c r="AH370" t="e">
        <f>'North America'!B1239+"n/&gt;!2{p"</f>
        <v>#VALUE!</v>
      </c>
      <c r="AI370" t="e">
        <f>'North America'!C1239+"n/&gt;!2{q"</f>
        <v>#VALUE!</v>
      </c>
      <c r="AJ370" t="e">
        <f>'North America'!D1239+"n/&gt;!2{r"</f>
        <v>#VALUE!</v>
      </c>
      <c r="AK370" t="e">
        <f>'North America'!E1239+"n/&gt;!2{s"</f>
        <v>#VALUE!</v>
      </c>
      <c r="AL370" t="e">
        <f>'North America'!F1239+"n/&gt;!2{t"</f>
        <v>#VALUE!</v>
      </c>
      <c r="AM370" t="e">
        <f>'North America'!G1239+"n/&gt;!2{u"</f>
        <v>#VALUE!</v>
      </c>
      <c r="AN370" t="e">
        <f>'North America'!H1239+"n/&gt;!2{v"</f>
        <v>#VALUE!</v>
      </c>
      <c r="AO370" t="e">
        <f>'North America'!I1239+"n/&gt;!2{w"</f>
        <v>#VALUE!</v>
      </c>
      <c r="AP370" t="e">
        <f>'North America'!A1240+"n/&gt;!2{x"</f>
        <v>#VALUE!</v>
      </c>
      <c r="AQ370" t="e">
        <f>'North America'!B1240+"n/&gt;!2{y"</f>
        <v>#VALUE!</v>
      </c>
      <c r="AR370" t="e">
        <f>'North America'!C1240+"n/&gt;!2{z"</f>
        <v>#VALUE!</v>
      </c>
      <c r="AS370" t="e">
        <f>'North America'!D1240+"n/&gt;!2{{"</f>
        <v>#VALUE!</v>
      </c>
      <c r="AT370" t="e">
        <f>'North America'!E1240+"n/&gt;!2{|"</f>
        <v>#VALUE!</v>
      </c>
      <c r="AU370" t="e">
        <f>'North America'!F1240+"n/&gt;!2{}"</f>
        <v>#VALUE!</v>
      </c>
      <c r="AV370" t="e">
        <f>'North America'!G1240+"n/&gt;!2{~"</f>
        <v>#VALUE!</v>
      </c>
      <c r="AW370" t="e">
        <f>'North America'!H1240+"n/&gt;!2|#"</f>
        <v>#VALUE!</v>
      </c>
      <c r="AX370" t="e">
        <f>'North America'!I1240+"n/&gt;!2|$"</f>
        <v>#VALUE!</v>
      </c>
      <c r="AY370" t="e">
        <f>'North America'!A1241+"n/&gt;!2|%"</f>
        <v>#VALUE!</v>
      </c>
      <c r="AZ370" t="e">
        <f>'North America'!B1241+"n/&gt;!2|&amp;"</f>
        <v>#VALUE!</v>
      </c>
      <c r="BA370" t="e">
        <f>'North America'!C1241+"n/&gt;!2|'"</f>
        <v>#VALUE!</v>
      </c>
      <c r="BB370" t="e">
        <f>'North America'!D1241+"n/&gt;!2|("</f>
        <v>#VALUE!</v>
      </c>
      <c r="BC370" t="e">
        <f>'North America'!E1241+"n/&gt;!2|)"</f>
        <v>#VALUE!</v>
      </c>
      <c r="BD370" t="e">
        <f>'North America'!F1241+"n/&gt;!2|."</f>
        <v>#VALUE!</v>
      </c>
      <c r="BE370" t="e">
        <f>'North America'!G1241+"n/&gt;!2|/"</f>
        <v>#VALUE!</v>
      </c>
      <c r="BF370" t="e">
        <f>'North America'!H1241+"n/&gt;!2|0"</f>
        <v>#VALUE!</v>
      </c>
      <c r="BG370" t="e">
        <f>'North America'!I1241+"n/&gt;!2|1"</f>
        <v>#VALUE!</v>
      </c>
      <c r="BH370" t="e">
        <f>'North America'!A1242+"n/&gt;!2|2"</f>
        <v>#VALUE!</v>
      </c>
      <c r="BI370" t="e">
        <f>'North America'!B1242+"n/&gt;!2|3"</f>
        <v>#VALUE!</v>
      </c>
      <c r="BJ370" t="e">
        <f>'North America'!C1242+"n/&gt;!2|4"</f>
        <v>#VALUE!</v>
      </c>
      <c r="BK370" t="e">
        <f>'North America'!D1242+"n/&gt;!2|5"</f>
        <v>#VALUE!</v>
      </c>
      <c r="BL370" t="e">
        <f>'North America'!E1242+"n/&gt;!2|6"</f>
        <v>#VALUE!</v>
      </c>
      <c r="BM370" t="e">
        <f>'North America'!F1242+"n/&gt;!2|7"</f>
        <v>#VALUE!</v>
      </c>
      <c r="BN370" t="e">
        <f>'North America'!G1242+"n/&gt;!2|8"</f>
        <v>#VALUE!</v>
      </c>
      <c r="BO370" t="e">
        <f>'North America'!H1242+"n/&gt;!2|9"</f>
        <v>#VALUE!</v>
      </c>
      <c r="BP370" t="e">
        <f>'North America'!I1242+"n/&gt;!2|:"</f>
        <v>#VALUE!</v>
      </c>
      <c r="BQ370" t="e">
        <f>'North America'!A1243+"n/&gt;!2|;"</f>
        <v>#VALUE!</v>
      </c>
      <c r="BR370" t="e">
        <f>'North America'!B1243+"n/&gt;!2|&lt;"</f>
        <v>#VALUE!</v>
      </c>
      <c r="BS370" t="e">
        <f>'North America'!C1243+"n/&gt;!2|="</f>
        <v>#VALUE!</v>
      </c>
      <c r="BT370" t="e">
        <f>'North America'!D1243+"n/&gt;!2|&gt;"</f>
        <v>#VALUE!</v>
      </c>
      <c r="BU370" t="e">
        <f>'North America'!E1243+"n/&gt;!2|?"</f>
        <v>#VALUE!</v>
      </c>
      <c r="BV370" t="e">
        <f>'North America'!F1243+"n/&gt;!2|@"</f>
        <v>#VALUE!</v>
      </c>
      <c r="BW370" t="e">
        <f>'North America'!G1243+"n/&gt;!2|A"</f>
        <v>#VALUE!</v>
      </c>
      <c r="BX370" t="e">
        <f>'North America'!H1243+"n/&gt;!2|B"</f>
        <v>#VALUE!</v>
      </c>
      <c r="BY370" t="e">
        <f>'North America'!I1243+"n/&gt;!2|C"</f>
        <v>#VALUE!</v>
      </c>
      <c r="BZ370" t="e">
        <f>'North America'!A1244+"n/&gt;!2|D"</f>
        <v>#VALUE!</v>
      </c>
      <c r="CA370" t="e">
        <f>'North America'!B1244+"n/&gt;!2|E"</f>
        <v>#VALUE!</v>
      </c>
      <c r="CB370" t="e">
        <f>'North America'!C1244+"n/&gt;!2|F"</f>
        <v>#VALUE!</v>
      </c>
      <c r="CC370" t="e">
        <f>'North America'!D1244+"n/&gt;!2|G"</f>
        <v>#VALUE!</v>
      </c>
      <c r="CD370" t="e">
        <f>'North America'!E1244+"n/&gt;!2|H"</f>
        <v>#VALUE!</v>
      </c>
      <c r="CE370" t="e">
        <f>'North America'!F1244+"n/&gt;!2|I"</f>
        <v>#VALUE!</v>
      </c>
      <c r="CF370" t="e">
        <f>'North America'!G1244+"n/&gt;!2|J"</f>
        <v>#VALUE!</v>
      </c>
      <c r="CG370" t="e">
        <f>'North America'!H1244+"n/&gt;!2|K"</f>
        <v>#VALUE!</v>
      </c>
      <c r="CH370" t="e">
        <f>'North America'!I1244+"n/&gt;!2|L"</f>
        <v>#VALUE!</v>
      </c>
      <c r="CI370" t="e">
        <f>'North America'!A1245+"n/&gt;!2|M"</f>
        <v>#VALUE!</v>
      </c>
      <c r="CJ370" t="e">
        <f>'North America'!B1245+"n/&gt;!2|N"</f>
        <v>#VALUE!</v>
      </c>
      <c r="CK370" t="e">
        <f>'North America'!C1245+"n/&gt;!2|O"</f>
        <v>#VALUE!</v>
      </c>
      <c r="CL370" t="e">
        <f>'North America'!D1245+"n/&gt;!2|P"</f>
        <v>#VALUE!</v>
      </c>
      <c r="CM370" t="e">
        <f>'North America'!E1245+"n/&gt;!2|Q"</f>
        <v>#VALUE!</v>
      </c>
      <c r="CN370" t="e">
        <f>'North America'!F1245+"n/&gt;!2|R"</f>
        <v>#VALUE!</v>
      </c>
      <c r="CO370" t="e">
        <f>'North America'!G1245+"n/&gt;!2|S"</f>
        <v>#VALUE!</v>
      </c>
      <c r="CP370" t="e">
        <f>'North America'!H1245+"n/&gt;!2|T"</f>
        <v>#VALUE!</v>
      </c>
      <c r="CQ370" t="e">
        <f>'North America'!I1245+"n/&gt;!2|U"</f>
        <v>#VALUE!</v>
      </c>
      <c r="CR370" t="e">
        <f>'North America'!A1246+"n/&gt;!2|V"</f>
        <v>#VALUE!</v>
      </c>
      <c r="CS370" t="e">
        <f>'North America'!B1246+"n/&gt;!2|W"</f>
        <v>#VALUE!</v>
      </c>
      <c r="CT370" t="e">
        <f>'North America'!C1246+"n/&gt;!2|X"</f>
        <v>#VALUE!</v>
      </c>
      <c r="CU370" t="e">
        <f>'North America'!D1246+"n/&gt;!2|Y"</f>
        <v>#VALUE!</v>
      </c>
      <c r="CV370" t="e">
        <f>'North America'!E1246+"n/&gt;!2|Z"</f>
        <v>#VALUE!</v>
      </c>
      <c r="CW370" t="e">
        <f>'North America'!F1246+"n/&gt;!2|["</f>
        <v>#VALUE!</v>
      </c>
      <c r="CX370" t="e">
        <f>'North America'!G1246+"n/&gt;!2|\"</f>
        <v>#VALUE!</v>
      </c>
      <c r="CY370" t="e">
        <f>'North America'!H1246+"n/&gt;!2|]"</f>
        <v>#VALUE!</v>
      </c>
      <c r="CZ370" t="e">
        <f>'North America'!I1246+"n/&gt;!2|^"</f>
        <v>#VALUE!</v>
      </c>
      <c r="DA370" t="e">
        <f>'North America'!A1247+"n/&gt;!2|_"</f>
        <v>#VALUE!</v>
      </c>
      <c r="DB370" t="e">
        <f>'North America'!B1247+"n/&gt;!2|`"</f>
        <v>#VALUE!</v>
      </c>
      <c r="DC370" t="e">
        <f>'North America'!C1247+"n/&gt;!2|a"</f>
        <v>#VALUE!</v>
      </c>
      <c r="DD370" t="e">
        <f>'North America'!D1247+"n/&gt;!2|b"</f>
        <v>#VALUE!</v>
      </c>
      <c r="DE370" t="e">
        <f>'North America'!E1247+"n/&gt;!2|c"</f>
        <v>#VALUE!</v>
      </c>
      <c r="DF370" t="e">
        <f>'North America'!F1247+"n/&gt;!2|d"</f>
        <v>#VALUE!</v>
      </c>
      <c r="DG370" t="e">
        <f>'North America'!G1247+"n/&gt;!2|e"</f>
        <v>#VALUE!</v>
      </c>
      <c r="DH370" t="e">
        <f>'North America'!H1247+"n/&gt;!2|f"</f>
        <v>#VALUE!</v>
      </c>
      <c r="DI370" t="e">
        <f>'North America'!I1247+"n/&gt;!2|g"</f>
        <v>#VALUE!</v>
      </c>
      <c r="DJ370" t="e">
        <f>'North America'!A1248+"n/&gt;!2|h"</f>
        <v>#VALUE!</v>
      </c>
      <c r="DK370" t="e">
        <f>'North America'!B1248+"n/&gt;!2|i"</f>
        <v>#VALUE!</v>
      </c>
      <c r="DL370" t="e">
        <f>'North America'!C1248+"n/&gt;!2|j"</f>
        <v>#VALUE!</v>
      </c>
      <c r="DM370" t="e">
        <f>'North America'!D1248+"n/&gt;!2|k"</f>
        <v>#VALUE!</v>
      </c>
      <c r="DN370" t="e">
        <f>'North America'!E1248+"n/&gt;!2|l"</f>
        <v>#VALUE!</v>
      </c>
      <c r="DO370" t="e">
        <f>'North America'!F1248+"n/&gt;!2|m"</f>
        <v>#VALUE!</v>
      </c>
      <c r="DP370" t="e">
        <f>'North America'!G1248+"n/&gt;!2|n"</f>
        <v>#VALUE!</v>
      </c>
      <c r="DQ370" t="e">
        <f>'North America'!H1248+"n/&gt;!2|o"</f>
        <v>#VALUE!</v>
      </c>
      <c r="DR370" t="e">
        <f>'North America'!I1248+"n/&gt;!2|p"</f>
        <v>#VALUE!</v>
      </c>
      <c r="DS370" t="e">
        <f>'North America'!A1249+"n/&gt;!2|q"</f>
        <v>#VALUE!</v>
      </c>
      <c r="DT370" t="e">
        <f>'North America'!B1249+"n/&gt;!2|r"</f>
        <v>#VALUE!</v>
      </c>
      <c r="DU370" t="e">
        <f>'North America'!C1249+"n/&gt;!2|s"</f>
        <v>#VALUE!</v>
      </c>
      <c r="DV370" t="e">
        <f>'North America'!D1249+"n/&gt;!2|t"</f>
        <v>#VALUE!</v>
      </c>
      <c r="DW370" t="e">
        <f>'North America'!E1249+"n/&gt;!2|u"</f>
        <v>#VALUE!</v>
      </c>
      <c r="DX370" t="e">
        <f>'North America'!F1249+"n/&gt;!2|v"</f>
        <v>#VALUE!</v>
      </c>
      <c r="DY370" t="e">
        <f>'North America'!G1249+"n/&gt;!2|w"</f>
        <v>#VALUE!</v>
      </c>
      <c r="DZ370" t="e">
        <f>'North America'!H1249+"n/&gt;!2|x"</f>
        <v>#VALUE!</v>
      </c>
      <c r="EA370" t="e">
        <f>'North America'!I1249+"n/&gt;!2|y"</f>
        <v>#VALUE!</v>
      </c>
      <c r="EB370" t="e">
        <f>'North America'!A1250+"n/&gt;!2|z"</f>
        <v>#VALUE!</v>
      </c>
      <c r="EC370" t="e">
        <f>'North America'!B1250+"n/&gt;!2|{"</f>
        <v>#VALUE!</v>
      </c>
      <c r="ED370" t="e">
        <f>'North America'!C1250+"n/&gt;!2||"</f>
        <v>#VALUE!</v>
      </c>
      <c r="EE370" t="e">
        <f>'North America'!D1250+"n/&gt;!2|}"</f>
        <v>#VALUE!</v>
      </c>
      <c r="EF370" t="e">
        <f>'North America'!E1250+"n/&gt;!2|~"</f>
        <v>#VALUE!</v>
      </c>
      <c r="EG370" t="e">
        <f>'North America'!F1250+"n/&gt;!2}#"</f>
        <v>#VALUE!</v>
      </c>
      <c r="EH370" t="e">
        <f>'North America'!G1250+"n/&gt;!2}$"</f>
        <v>#VALUE!</v>
      </c>
      <c r="EI370" t="e">
        <f>'North America'!H1250+"n/&gt;!2}%"</f>
        <v>#VALUE!</v>
      </c>
      <c r="EJ370" t="e">
        <f>'North America'!I1250+"n/&gt;!2}&amp;"</f>
        <v>#VALUE!</v>
      </c>
      <c r="EK370" t="e">
        <f>'North America'!A1251+"n/&gt;!2}'"</f>
        <v>#VALUE!</v>
      </c>
      <c r="EL370" t="e">
        <f>'North America'!B1251+"n/&gt;!2}("</f>
        <v>#VALUE!</v>
      </c>
      <c r="EM370" t="e">
        <f>'North America'!C1251+"n/&gt;!2})"</f>
        <v>#VALUE!</v>
      </c>
      <c r="EN370" t="e">
        <f>'North America'!D1251+"n/&gt;!2}."</f>
        <v>#VALUE!</v>
      </c>
      <c r="EO370" t="e">
        <f>'North America'!E1251+"n/&gt;!2}/"</f>
        <v>#VALUE!</v>
      </c>
      <c r="EP370" t="e">
        <f>'North America'!F1251+"n/&gt;!2}0"</f>
        <v>#VALUE!</v>
      </c>
      <c r="EQ370" t="e">
        <f>'North America'!G1251+"n/&gt;!2}1"</f>
        <v>#VALUE!</v>
      </c>
      <c r="ER370" t="e">
        <f>'North America'!H1251+"n/&gt;!2}2"</f>
        <v>#VALUE!</v>
      </c>
      <c r="ES370" t="e">
        <f>'North America'!I1251+"n/&gt;!2}3"</f>
        <v>#VALUE!</v>
      </c>
      <c r="ET370" t="e">
        <f>'North America'!A1252+"n/&gt;!2}4"</f>
        <v>#VALUE!</v>
      </c>
      <c r="EU370" t="e">
        <f>'North America'!B1252+"n/&gt;!2}5"</f>
        <v>#VALUE!</v>
      </c>
      <c r="EV370" t="e">
        <f>'North America'!C1252+"n/&gt;!2}6"</f>
        <v>#VALUE!</v>
      </c>
      <c r="EW370" t="e">
        <f>'North America'!D1252+"n/&gt;!2}7"</f>
        <v>#VALUE!</v>
      </c>
      <c r="EX370" t="e">
        <f>'North America'!E1252+"n/&gt;!2}8"</f>
        <v>#VALUE!</v>
      </c>
      <c r="EY370" t="e">
        <f>'North America'!F1252+"n/&gt;!2}9"</f>
        <v>#VALUE!</v>
      </c>
      <c r="EZ370" t="e">
        <f>'North America'!G1252+"n/&gt;!2}:"</f>
        <v>#VALUE!</v>
      </c>
      <c r="FA370" t="e">
        <f>'North America'!H1252+"n/&gt;!2};"</f>
        <v>#VALUE!</v>
      </c>
      <c r="FB370" t="e">
        <f>'North America'!I1252+"n/&gt;!2}&lt;"</f>
        <v>#VALUE!</v>
      </c>
      <c r="FC370" t="e">
        <f>'North America'!A1253+"n/&gt;!2}="</f>
        <v>#VALUE!</v>
      </c>
      <c r="FD370" t="e">
        <f>'North America'!B1253+"n/&gt;!2}&gt;"</f>
        <v>#VALUE!</v>
      </c>
      <c r="FE370" t="e">
        <f>'North America'!C1253+"n/&gt;!2}?"</f>
        <v>#VALUE!</v>
      </c>
      <c r="FF370" t="e">
        <f>'North America'!D1253+"n/&gt;!2}@"</f>
        <v>#VALUE!</v>
      </c>
      <c r="FG370" t="e">
        <f>'North America'!E1253+"n/&gt;!2}A"</f>
        <v>#VALUE!</v>
      </c>
      <c r="FH370" t="e">
        <f>'North America'!F1253+"n/&gt;!2}B"</f>
        <v>#VALUE!</v>
      </c>
      <c r="FI370" t="e">
        <f>'North America'!G1253+"n/&gt;!2}C"</f>
        <v>#VALUE!</v>
      </c>
      <c r="FJ370" t="e">
        <f>'North America'!H1253+"n/&gt;!2}D"</f>
        <v>#VALUE!</v>
      </c>
      <c r="FK370" t="e">
        <f>'North America'!I1253+"n/&gt;!2}E"</f>
        <v>#VALUE!</v>
      </c>
      <c r="FL370" t="e">
        <f>'North America'!A1254+"n/&gt;!2}F"</f>
        <v>#VALUE!</v>
      </c>
      <c r="FM370" t="e">
        <f>'North America'!B1254+"n/&gt;!2}G"</f>
        <v>#VALUE!</v>
      </c>
      <c r="FN370" t="e">
        <f>'North America'!C1254+"n/&gt;!2}H"</f>
        <v>#VALUE!</v>
      </c>
      <c r="FO370" t="e">
        <f>'North America'!D1254+"n/&gt;!2}I"</f>
        <v>#VALUE!</v>
      </c>
      <c r="FP370" t="e">
        <f>'North America'!E1254+"n/&gt;!2}J"</f>
        <v>#VALUE!</v>
      </c>
      <c r="FQ370" t="e">
        <f>'North America'!F1254+"n/&gt;!2}K"</f>
        <v>#VALUE!</v>
      </c>
      <c r="FR370" t="e">
        <f>'North America'!G1254+"n/&gt;!2}L"</f>
        <v>#VALUE!</v>
      </c>
      <c r="FS370" t="e">
        <f>'North America'!H1254+"n/&gt;!2}M"</f>
        <v>#VALUE!</v>
      </c>
      <c r="FT370" t="e">
        <f>'North America'!I1254+"n/&gt;!2}N"</f>
        <v>#VALUE!</v>
      </c>
      <c r="FU370" t="e">
        <f>'North America'!A1255+"n/&gt;!2}O"</f>
        <v>#VALUE!</v>
      </c>
      <c r="FV370" t="e">
        <f>'North America'!B1255+"n/&gt;!2}P"</f>
        <v>#VALUE!</v>
      </c>
      <c r="FW370" t="e">
        <f>'North America'!C1255+"n/&gt;!2}Q"</f>
        <v>#VALUE!</v>
      </c>
      <c r="FX370" t="e">
        <f>'North America'!D1255+"n/&gt;!2}R"</f>
        <v>#VALUE!</v>
      </c>
      <c r="FY370" t="e">
        <f>'North America'!E1255+"n/&gt;!2}S"</f>
        <v>#VALUE!</v>
      </c>
      <c r="FZ370" t="e">
        <f>'North America'!F1255+"n/&gt;!2}T"</f>
        <v>#VALUE!</v>
      </c>
      <c r="GA370" t="e">
        <f>'North America'!G1255+"n/&gt;!2}U"</f>
        <v>#VALUE!</v>
      </c>
      <c r="GB370" t="e">
        <f>'North America'!H1255+"n/&gt;!2}V"</f>
        <v>#VALUE!</v>
      </c>
      <c r="GC370" t="e">
        <f>'North America'!I1255+"n/&gt;!2}W"</f>
        <v>#VALUE!</v>
      </c>
      <c r="GD370" t="e">
        <f>'North America'!A1256+"n/&gt;!2}X"</f>
        <v>#VALUE!</v>
      </c>
      <c r="GE370" t="e">
        <f>'North America'!B1256+"n/&gt;!2}Y"</f>
        <v>#VALUE!</v>
      </c>
      <c r="GF370" t="e">
        <f>'North America'!C1256+"n/&gt;!2}Z"</f>
        <v>#VALUE!</v>
      </c>
      <c r="GG370" t="e">
        <f>'North America'!D1256+"n/&gt;!2}["</f>
        <v>#VALUE!</v>
      </c>
      <c r="GH370" t="e">
        <f>'North America'!E1256+"n/&gt;!2}\"</f>
        <v>#VALUE!</v>
      </c>
      <c r="GI370" t="e">
        <f>'North America'!F1256+"n/&gt;!2}]"</f>
        <v>#VALUE!</v>
      </c>
      <c r="GJ370" t="e">
        <f>'North America'!G1256+"n/&gt;!2}^"</f>
        <v>#VALUE!</v>
      </c>
      <c r="GK370" t="e">
        <f>'North America'!H1256+"n/&gt;!2}_"</f>
        <v>#VALUE!</v>
      </c>
      <c r="GL370" t="e">
        <f>'North America'!I1256+"n/&gt;!2}`"</f>
        <v>#VALUE!</v>
      </c>
      <c r="GM370" t="e">
        <f>'North America'!A1257+"n/&gt;!2}a"</f>
        <v>#VALUE!</v>
      </c>
      <c r="GN370" t="e">
        <f>'North America'!B1257+"n/&gt;!2}b"</f>
        <v>#VALUE!</v>
      </c>
      <c r="GO370" t="e">
        <f>'North America'!C1257+"n/&gt;!2}c"</f>
        <v>#VALUE!</v>
      </c>
      <c r="GP370" t="e">
        <f>'North America'!D1257+"n/&gt;!2}d"</f>
        <v>#VALUE!</v>
      </c>
      <c r="GQ370" t="e">
        <f>'North America'!E1257+"n/&gt;!2}e"</f>
        <v>#VALUE!</v>
      </c>
      <c r="GR370" t="e">
        <f>'North America'!F1257+"n/&gt;!2}f"</f>
        <v>#VALUE!</v>
      </c>
      <c r="GS370" t="e">
        <f>'North America'!G1257+"n/&gt;!2}g"</f>
        <v>#VALUE!</v>
      </c>
      <c r="GT370" t="e">
        <f>'North America'!H1257+"n/&gt;!2}h"</f>
        <v>#VALUE!</v>
      </c>
      <c r="GU370" t="e">
        <f>'North America'!I1257+"n/&gt;!2}i"</f>
        <v>#VALUE!</v>
      </c>
      <c r="GV370" t="e">
        <f>'North America'!A1258+"n/&gt;!2}j"</f>
        <v>#VALUE!</v>
      </c>
      <c r="GW370" t="e">
        <f>'North America'!B1258+"n/&gt;!2}k"</f>
        <v>#VALUE!</v>
      </c>
      <c r="GX370" t="e">
        <f>'North America'!C1258+"n/&gt;!2}l"</f>
        <v>#VALUE!</v>
      </c>
      <c r="GY370" t="e">
        <f>'North America'!D1258+"n/&gt;!2}m"</f>
        <v>#VALUE!</v>
      </c>
      <c r="GZ370" t="e">
        <f>'North America'!E1258+"n/&gt;!2}n"</f>
        <v>#VALUE!</v>
      </c>
      <c r="HA370" t="e">
        <f>'North America'!F1258+"n/&gt;!2}o"</f>
        <v>#VALUE!</v>
      </c>
      <c r="HB370" t="e">
        <f>'North America'!G1258+"n/&gt;!2}p"</f>
        <v>#VALUE!</v>
      </c>
      <c r="HC370" t="e">
        <f>'North America'!H1258+"n/&gt;!2}q"</f>
        <v>#VALUE!</v>
      </c>
      <c r="HD370" t="e">
        <f>'North America'!I1258+"n/&gt;!2}r"</f>
        <v>#VALUE!</v>
      </c>
      <c r="HE370" t="e">
        <f>'North America'!A1259+"n/&gt;!2}s"</f>
        <v>#VALUE!</v>
      </c>
      <c r="HF370" t="e">
        <f>'North America'!B1259+"n/&gt;!2}t"</f>
        <v>#VALUE!</v>
      </c>
      <c r="HG370" t="e">
        <f>'North America'!C1259+"n/&gt;!2}u"</f>
        <v>#VALUE!</v>
      </c>
      <c r="HH370" t="e">
        <f>'North America'!D1259+"n/&gt;!2}v"</f>
        <v>#VALUE!</v>
      </c>
      <c r="HI370" t="e">
        <f>'North America'!E1259+"n/&gt;!2}w"</f>
        <v>#VALUE!</v>
      </c>
      <c r="HJ370" t="e">
        <f>'North America'!F1259+"n/&gt;!2}x"</f>
        <v>#VALUE!</v>
      </c>
      <c r="HK370" t="e">
        <f>'North America'!G1259+"n/&gt;!2}y"</f>
        <v>#VALUE!</v>
      </c>
      <c r="HL370" t="e">
        <f>'North America'!H1259+"n/&gt;!2}z"</f>
        <v>#VALUE!</v>
      </c>
      <c r="HM370" t="e">
        <f>'North America'!I1259+"n/&gt;!2}{"</f>
        <v>#VALUE!</v>
      </c>
      <c r="HN370" t="e">
        <f>'North America'!A1260+"n/&gt;!2}|"</f>
        <v>#VALUE!</v>
      </c>
      <c r="HO370" t="e">
        <f>'North America'!B1260+"n/&gt;!2}}"</f>
        <v>#VALUE!</v>
      </c>
      <c r="HP370" t="e">
        <f>'North America'!C1260+"n/&gt;!2}~"</f>
        <v>#VALUE!</v>
      </c>
      <c r="HQ370" t="e">
        <f>'North America'!D1260+"n/&gt;!2~#"</f>
        <v>#VALUE!</v>
      </c>
      <c r="HR370" t="e">
        <f>'North America'!E1260+"n/&gt;!2~$"</f>
        <v>#VALUE!</v>
      </c>
      <c r="HS370" t="e">
        <f>'North America'!F1260+"n/&gt;!2~%"</f>
        <v>#VALUE!</v>
      </c>
      <c r="HT370" t="e">
        <f>'North America'!G1260+"n/&gt;!2~&amp;"</f>
        <v>#VALUE!</v>
      </c>
      <c r="HU370" t="e">
        <f>'North America'!H1260+"n/&gt;!2~'"</f>
        <v>#VALUE!</v>
      </c>
      <c r="HV370" t="e">
        <f>'North America'!I1260+"n/&gt;!2~("</f>
        <v>#VALUE!</v>
      </c>
      <c r="HW370" t="e">
        <f>'North America'!A1261+"n/&gt;!2~)"</f>
        <v>#VALUE!</v>
      </c>
      <c r="HX370" t="e">
        <f>'North America'!B1261+"n/&gt;!2~."</f>
        <v>#VALUE!</v>
      </c>
      <c r="HY370" t="e">
        <f>'North America'!C1261+"n/&gt;!2~/"</f>
        <v>#VALUE!</v>
      </c>
      <c r="HZ370" t="e">
        <f>'North America'!D1261+"n/&gt;!2~0"</f>
        <v>#VALUE!</v>
      </c>
      <c r="IA370" t="e">
        <f>'North America'!E1261+"n/&gt;!2~1"</f>
        <v>#VALUE!</v>
      </c>
      <c r="IB370" t="e">
        <f>'North America'!F1261+"n/&gt;!2~2"</f>
        <v>#VALUE!</v>
      </c>
      <c r="IC370" t="e">
        <f>'North America'!G1261+"n/&gt;!2~3"</f>
        <v>#VALUE!</v>
      </c>
      <c r="ID370" t="e">
        <f>'North America'!H1261+"n/&gt;!2~4"</f>
        <v>#VALUE!</v>
      </c>
      <c r="IE370" t="e">
        <f>'North America'!I1261+"n/&gt;!2~5"</f>
        <v>#VALUE!</v>
      </c>
      <c r="IF370" t="e">
        <f>'North America'!A1262+"n/&gt;!2~6"</f>
        <v>#VALUE!</v>
      </c>
      <c r="IG370" t="e">
        <f>'North America'!B1262+"n/&gt;!2~7"</f>
        <v>#VALUE!</v>
      </c>
      <c r="IH370" t="e">
        <f>'North America'!C1262+"n/&gt;!2~8"</f>
        <v>#VALUE!</v>
      </c>
      <c r="II370" t="e">
        <f>'North America'!D1262+"n/&gt;!2~9"</f>
        <v>#VALUE!</v>
      </c>
      <c r="IJ370" t="e">
        <f>'North America'!E1262+"n/&gt;!2~:"</f>
        <v>#VALUE!</v>
      </c>
      <c r="IK370" t="e">
        <f>'North America'!F1262+"n/&gt;!2~;"</f>
        <v>#VALUE!</v>
      </c>
      <c r="IL370" t="e">
        <f>'North America'!G1262+"n/&gt;!2~&lt;"</f>
        <v>#VALUE!</v>
      </c>
      <c r="IM370" t="e">
        <f>'North America'!H1262+"n/&gt;!2~="</f>
        <v>#VALUE!</v>
      </c>
      <c r="IN370" t="e">
        <f>'North America'!I1262+"n/&gt;!2~&gt;"</f>
        <v>#VALUE!</v>
      </c>
      <c r="IO370" t="e">
        <f>'North America'!A1263+"n/&gt;!2~?"</f>
        <v>#VALUE!</v>
      </c>
      <c r="IP370" t="e">
        <f>'North America'!B1263+"n/&gt;!2~@"</f>
        <v>#VALUE!</v>
      </c>
      <c r="IQ370" t="e">
        <f>'North America'!C1263+"n/&gt;!2~A"</f>
        <v>#VALUE!</v>
      </c>
      <c r="IR370" t="e">
        <f>'North America'!D1263+"n/&gt;!2~B"</f>
        <v>#VALUE!</v>
      </c>
      <c r="IS370" t="e">
        <f>'North America'!E1263+"n/&gt;!2~C"</f>
        <v>#VALUE!</v>
      </c>
      <c r="IT370" t="e">
        <f>'North America'!F1263+"n/&gt;!2~D"</f>
        <v>#VALUE!</v>
      </c>
      <c r="IU370" t="e">
        <f>'North America'!G1263+"n/&gt;!2~E"</f>
        <v>#VALUE!</v>
      </c>
      <c r="IV370" t="e">
        <f>'North America'!H1263+"n/&gt;!2~F"</f>
        <v>#VALUE!</v>
      </c>
    </row>
    <row r="371" spans="6:256" x14ac:dyDescent="0.35">
      <c r="F371" t="e">
        <f>'North America'!I1263+"n/&gt;!2~G"</f>
        <v>#VALUE!</v>
      </c>
      <c r="G371" t="e">
        <f>'North America'!A1264+"n/&gt;!2~H"</f>
        <v>#VALUE!</v>
      </c>
      <c r="H371" t="e">
        <f>'North America'!B1264+"n/&gt;!2~I"</f>
        <v>#VALUE!</v>
      </c>
      <c r="I371" t="e">
        <f>'North America'!C1264+"n/&gt;!2~J"</f>
        <v>#VALUE!</v>
      </c>
      <c r="J371" t="e">
        <f>'North America'!D1264+"n/&gt;!2~K"</f>
        <v>#VALUE!</v>
      </c>
      <c r="K371" t="e">
        <f>'North America'!E1264+"n/&gt;!2~L"</f>
        <v>#VALUE!</v>
      </c>
      <c r="L371" t="e">
        <f>'North America'!F1264+"n/&gt;!2~M"</f>
        <v>#VALUE!</v>
      </c>
      <c r="M371" t="e">
        <f>'North America'!G1264+"n/&gt;!2~N"</f>
        <v>#VALUE!</v>
      </c>
      <c r="N371" t="e">
        <f>'North America'!H1264+"n/&gt;!2~O"</f>
        <v>#VALUE!</v>
      </c>
      <c r="O371" t="e">
        <f>'North America'!I1264+"n/&gt;!2~P"</f>
        <v>#VALUE!</v>
      </c>
      <c r="P371" t="e">
        <f>'North America'!A1265+"n/&gt;!2~Q"</f>
        <v>#VALUE!</v>
      </c>
      <c r="Q371" t="e">
        <f>'North America'!B1265+"n/&gt;!2~R"</f>
        <v>#VALUE!</v>
      </c>
      <c r="R371" t="e">
        <f>'North America'!C1265+"n/&gt;!2~S"</f>
        <v>#VALUE!</v>
      </c>
      <c r="S371" t="e">
        <f>'North America'!D1265+"n/&gt;!2~T"</f>
        <v>#VALUE!</v>
      </c>
      <c r="T371" t="e">
        <f>'North America'!E1265+"n/&gt;!2~U"</f>
        <v>#VALUE!</v>
      </c>
      <c r="U371" t="e">
        <f>'North America'!F1265+"n/&gt;!2~V"</f>
        <v>#VALUE!</v>
      </c>
      <c r="V371" t="e">
        <f>'North America'!G1265+"n/&gt;!2~W"</f>
        <v>#VALUE!</v>
      </c>
      <c r="W371" t="e">
        <f>'North America'!H1265+"n/&gt;!2~X"</f>
        <v>#VALUE!</v>
      </c>
      <c r="X371" t="e">
        <f>'North America'!I1265+"n/&gt;!2~Y"</f>
        <v>#VALUE!</v>
      </c>
      <c r="Y371" t="e">
        <f>'North America'!A1266+"n/&gt;!2~Z"</f>
        <v>#VALUE!</v>
      </c>
      <c r="Z371" t="e">
        <f>'North America'!B1266+"n/&gt;!2~["</f>
        <v>#VALUE!</v>
      </c>
      <c r="AA371" t="e">
        <f>'North America'!C1266+"n/&gt;!2~\"</f>
        <v>#VALUE!</v>
      </c>
      <c r="AB371" t="e">
        <f>'North America'!D1266+"n/&gt;!2~]"</f>
        <v>#VALUE!</v>
      </c>
      <c r="AC371" t="e">
        <f>'North America'!E1266+"n/&gt;!2~^"</f>
        <v>#VALUE!</v>
      </c>
      <c r="AD371" t="e">
        <f>'North America'!F1266+"n/&gt;!2~_"</f>
        <v>#VALUE!</v>
      </c>
      <c r="AE371" t="e">
        <f>'North America'!G1266+"n/&gt;!2~`"</f>
        <v>#VALUE!</v>
      </c>
      <c r="AF371" t="e">
        <f>'North America'!H1266+"n/&gt;!2~a"</f>
        <v>#VALUE!</v>
      </c>
      <c r="AG371" t="e">
        <f>'North America'!I1266+"n/&gt;!2~b"</f>
        <v>#VALUE!</v>
      </c>
      <c r="AH371" t="e">
        <f>'North America'!A1267+"n/&gt;!2~c"</f>
        <v>#VALUE!</v>
      </c>
      <c r="AI371" t="e">
        <f>'North America'!B1267+"n/&gt;!2~d"</f>
        <v>#VALUE!</v>
      </c>
      <c r="AJ371" t="e">
        <f>'North America'!C1267+"n/&gt;!2~e"</f>
        <v>#VALUE!</v>
      </c>
      <c r="AK371" t="e">
        <f>'North America'!D1267+"n/&gt;!2~f"</f>
        <v>#VALUE!</v>
      </c>
      <c r="AL371" t="e">
        <f>'North America'!E1267+"n/&gt;!2~g"</f>
        <v>#VALUE!</v>
      </c>
      <c r="AM371" t="e">
        <f>'North America'!F1267+"n/&gt;!2~h"</f>
        <v>#VALUE!</v>
      </c>
      <c r="AN371" t="e">
        <f>'North America'!G1267+"n/&gt;!2~i"</f>
        <v>#VALUE!</v>
      </c>
      <c r="AO371" t="e">
        <f>'North America'!H1267+"n/&gt;!2~j"</f>
        <v>#VALUE!</v>
      </c>
      <c r="AP371" t="e">
        <f>'North America'!I1267+"n/&gt;!2~k"</f>
        <v>#VALUE!</v>
      </c>
      <c r="AQ371" t="e">
        <f>'North America'!A1268+"n/&gt;!2~l"</f>
        <v>#VALUE!</v>
      </c>
      <c r="AR371" t="e">
        <f>'North America'!B1268+"n/&gt;!2~m"</f>
        <v>#VALUE!</v>
      </c>
      <c r="AS371" t="e">
        <f>'North America'!C1268+"n/&gt;!2~n"</f>
        <v>#VALUE!</v>
      </c>
      <c r="AT371" t="e">
        <f>'North America'!D1268+"n/&gt;!2~o"</f>
        <v>#VALUE!</v>
      </c>
      <c r="AU371" t="e">
        <f>'North America'!E1268+"n/&gt;!2~p"</f>
        <v>#VALUE!</v>
      </c>
      <c r="AV371" t="e">
        <f>'North America'!F1268+"n/&gt;!2~q"</f>
        <v>#VALUE!</v>
      </c>
      <c r="AW371" t="e">
        <f>'North America'!G1268+"n/&gt;!2~r"</f>
        <v>#VALUE!</v>
      </c>
      <c r="AX371" t="e">
        <f>'North America'!H1268+"n/&gt;!2~s"</f>
        <v>#VALUE!</v>
      </c>
      <c r="AY371" t="e">
        <f>'North America'!I1268+"n/&gt;!2~t"</f>
        <v>#VALUE!</v>
      </c>
      <c r="AZ371" t="e">
        <f>'North America'!A1269+"n/&gt;!2~u"</f>
        <v>#VALUE!</v>
      </c>
      <c r="BA371" t="e">
        <f>'North America'!B1269+"n/&gt;!2~v"</f>
        <v>#VALUE!</v>
      </c>
      <c r="BB371" t="e">
        <f>'North America'!C1269+"n/&gt;!2~w"</f>
        <v>#VALUE!</v>
      </c>
      <c r="BC371" t="e">
        <f>'North America'!D1269+"n/&gt;!2~x"</f>
        <v>#VALUE!</v>
      </c>
      <c r="BD371" t="e">
        <f>'North America'!E1269+"n/&gt;!2~y"</f>
        <v>#VALUE!</v>
      </c>
      <c r="BE371" t="e">
        <f>'North America'!F1269+"n/&gt;!2~z"</f>
        <v>#VALUE!</v>
      </c>
      <c r="BF371" t="e">
        <f>'North America'!G1269+"n/&gt;!2~{"</f>
        <v>#VALUE!</v>
      </c>
      <c r="BG371" t="e">
        <f>'North America'!H1269+"n/&gt;!2~|"</f>
        <v>#VALUE!</v>
      </c>
      <c r="BH371" t="e">
        <f>'North America'!I1269+"n/&gt;!2~}"</f>
        <v>#VALUE!</v>
      </c>
      <c r="BI371" t="e">
        <f>'North America'!A1270+"n/&gt;!2~~"</f>
        <v>#VALUE!</v>
      </c>
      <c r="BJ371" t="e">
        <f>'North America'!B1270+"n/&gt;!3##"</f>
        <v>#VALUE!</v>
      </c>
      <c r="BK371" t="e">
        <f>'North America'!C1270+"n/&gt;!3#$"</f>
        <v>#VALUE!</v>
      </c>
      <c r="BL371" t="e">
        <f>'North America'!D1270+"n/&gt;!3#%"</f>
        <v>#VALUE!</v>
      </c>
      <c r="BM371" t="e">
        <f>'North America'!E1270+"n/&gt;!3#&amp;"</f>
        <v>#VALUE!</v>
      </c>
      <c r="BN371" t="e">
        <f>'North America'!F1270+"n/&gt;!3#'"</f>
        <v>#VALUE!</v>
      </c>
      <c r="BO371" t="e">
        <f>'North America'!G1270+"n/&gt;!3#("</f>
        <v>#VALUE!</v>
      </c>
      <c r="BP371" t="e">
        <f>'North America'!H1270+"n/&gt;!3#)"</f>
        <v>#VALUE!</v>
      </c>
      <c r="BQ371" t="e">
        <f>'North America'!I1270+"n/&gt;!3#."</f>
        <v>#VALUE!</v>
      </c>
      <c r="BR371" t="e">
        <f>'North America'!A1271+"n/&gt;!3#/"</f>
        <v>#VALUE!</v>
      </c>
      <c r="BS371" t="e">
        <f>'North America'!B1271+"n/&gt;!3#0"</f>
        <v>#VALUE!</v>
      </c>
      <c r="BT371" t="e">
        <f>'North America'!C1271+"n/&gt;!3#1"</f>
        <v>#VALUE!</v>
      </c>
      <c r="BU371" t="e">
        <f>'North America'!D1271+"n/&gt;!3#2"</f>
        <v>#VALUE!</v>
      </c>
      <c r="BV371" t="e">
        <f>'North America'!E1271+"n/&gt;!3#3"</f>
        <v>#VALUE!</v>
      </c>
      <c r="BW371" t="e">
        <f>'North America'!F1271+"n/&gt;!3#4"</f>
        <v>#VALUE!</v>
      </c>
      <c r="BX371" t="e">
        <f>'North America'!G1271+"n/&gt;!3#5"</f>
        <v>#VALUE!</v>
      </c>
      <c r="BY371" t="e">
        <f>'North America'!H1271+"n/&gt;!3#6"</f>
        <v>#VALUE!</v>
      </c>
      <c r="BZ371" t="e">
        <f>'North America'!I1271+"n/&gt;!3#7"</f>
        <v>#VALUE!</v>
      </c>
      <c r="CA371" t="e">
        <f>'North America'!A1272+"n/&gt;!3#8"</f>
        <v>#VALUE!</v>
      </c>
      <c r="CB371" t="e">
        <f>'North America'!B1272+"n/&gt;!3#9"</f>
        <v>#VALUE!</v>
      </c>
      <c r="CC371" t="e">
        <f>'North America'!C1272+"n/&gt;!3#:"</f>
        <v>#VALUE!</v>
      </c>
      <c r="CD371" t="e">
        <f>'North America'!D1272+"n/&gt;!3#;"</f>
        <v>#VALUE!</v>
      </c>
      <c r="CE371" t="e">
        <f>'North America'!E1272+"n/&gt;!3#&lt;"</f>
        <v>#VALUE!</v>
      </c>
      <c r="CF371" t="e">
        <f>'North America'!F1272+"n/&gt;!3#="</f>
        <v>#VALUE!</v>
      </c>
      <c r="CG371" t="e">
        <f>'North America'!G1272+"n/&gt;!3#&gt;"</f>
        <v>#VALUE!</v>
      </c>
      <c r="CH371" t="e">
        <f>'North America'!H1272+"n/&gt;!3#?"</f>
        <v>#VALUE!</v>
      </c>
      <c r="CI371" t="e">
        <f>'North America'!I1272+"n/&gt;!3#@"</f>
        <v>#VALUE!</v>
      </c>
      <c r="CJ371" t="e">
        <f>'North America'!A1273+"n/&gt;!3#A"</f>
        <v>#VALUE!</v>
      </c>
      <c r="CK371" t="e">
        <f>'North America'!B1273+"n/&gt;!3#B"</f>
        <v>#VALUE!</v>
      </c>
      <c r="CL371" t="e">
        <f>'North America'!C1273+"n/&gt;!3#C"</f>
        <v>#VALUE!</v>
      </c>
      <c r="CM371" t="e">
        <f>'North America'!D1273+"n/&gt;!3#D"</f>
        <v>#VALUE!</v>
      </c>
      <c r="CN371" t="e">
        <f>'North America'!E1273+"n/&gt;!3#E"</f>
        <v>#VALUE!</v>
      </c>
      <c r="CO371" t="e">
        <f>'North America'!F1273+"n/&gt;!3#F"</f>
        <v>#VALUE!</v>
      </c>
      <c r="CP371" t="e">
        <f>'North America'!G1273+"n/&gt;!3#G"</f>
        <v>#VALUE!</v>
      </c>
      <c r="CQ371" t="e">
        <f>'North America'!H1273+"n/&gt;!3#H"</f>
        <v>#VALUE!</v>
      </c>
      <c r="CR371" t="e">
        <f>'North America'!I1273+"n/&gt;!3#I"</f>
        <v>#VALUE!</v>
      </c>
      <c r="CS371" t="e">
        <f>'North America'!A1274+"n/&gt;!3#J"</f>
        <v>#VALUE!</v>
      </c>
      <c r="CT371" t="e">
        <f>'North America'!B1274+"n/&gt;!3#K"</f>
        <v>#VALUE!</v>
      </c>
      <c r="CU371" t="e">
        <f>'North America'!C1274+"n/&gt;!3#L"</f>
        <v>#VALUE!</v>
      </c>
      <c r="CV371" t="e">
        <f>'North America'!D1274+"n/&gt;!3#M"</f>
        <v>#VALUE!</v>
      </c>
      <c r="CW371" t="e">
        <f>'North America'!E1274+"n/&gt;!3#N"</f>
        <v>#VALUE!</v>
      </c>
      <c r="CX371" t="e">
        <f>'North America'!F1274+"n/&gt;!3#O"</f>
        <v>#VALUE!</v>
      </c>
      <c r="CY371" t="e">
        <f>'North America'!G1274+"n/&gt;!3#P"</f>
        <v>#VALUE!</v>
      </c>
      <c r="CZ371" t="e">
        <f>'North America'!H1274+"n/&gt;!3#Q"</f>
        <v>#VALUE!</v>
      </c>
      <c r="DA371" t="e">
        <f>'North America'!I1274+"n/&gt;!3#R"</f>
        <v>#VALUE!</v>
      </c>
      <c r="DB371" t="e">
        <f>'North America'!A1275+"n/&gt;!3#S"</f>
        <v>#VALUE!</v>
      </c>
      <c r="DC371" t="e">
        <f>'North America'!B1275+"n/&gt;!3#T"</f>
        <v>#VALUE!</v>
      </c>
      <c r="DD371" t="e">
        <f>'North America'!C1275+"n/&gt;!3#U"</f>
        <v>#VALUE!</v>
      </c>
      <c r="DE371" t="e">
        <f>'North America'!D1275+"n/&gt;!3#V"</f>
        <v>#VALUE!</v>
      </c>
      <c r="DF371" t="e">
        <f>'North America'!E1275+"n/&gt;!3#W"</f>
        <v>#VALUE!</v>
      </c>
      <c r="DG371" t="e">
        <f>'North America'!F1275+"n/&gt;!3#X"</f>
        <v>#VALUE!</v>
      </c>
      <c r="DH371" t="e">
        <f>'North America'!G1275+"n/&gt;!3#Y"</f>
        <v>#VALUE!</v>
      </c>
      <c r="DI371" t="e">
        <f>'North America'!H1275+"n/&gt;!3#Z"</f>
        <v>#VALUE!</v>
      </c>
      <c r="DJ371" t="e">
        <f>'North America'!I1275+"n/&gt;!3#["</f>
        <v>#VALUE!</v>
      </c>
      <c r="DK371" t="e">
        <f>'North America'!A1276+"n/&gt;!3#\"</f>
        <v>#VALUE!</v>
      </c>
      <c r="DL371" t="e">
        <f>'North America'!B1276+"n/&gt;!3#]"</f>
        <v>#VALUE!</v>
      </c>
      <c r="DM371" t="e">
        <f>'North America'!C1276+"n/&gt;!3#^"</f>
        <v>#VALUE!</v>
      </c>
      <c r="DN371" t="e">
        <f>'North America'!D1276+"n/&gt;!3#_"</f>
        <v>#VALUE!</v>
      </c>
      <c r="DO371" t="e">
        <f>'North America'!E1276+"n/&gt;!3#`"</f>
        <v>#VALUE!</v>
      </c>
      <c r="DP371" t="e">
        <f>'North America'!F1276+"n/&gt;!3#a"</f>
        <v>#VALUE!</v>
      </c>
      <c r="DQ371" t="e">
        <f>'North America'!G1276+"n/&gt;!3#b"</f>
        <v>#VALUE!</v>
      </c>
      <c r="DR371" t="e">
        <f>'North America'!H1276+"n/&gt;!3#c"</f>
        <v>#VALUE!</v>
      </c>
      <c r="DS371" t="e">
        <f>'North America'!I1276+"n/&gt;!3#d"</f>
        <v>#VALUE!</v>
      </c>
      <c r="DT371" t="e">
        <f>'North America'!A1277+"n/&gt;!3#e"</f>
        <v>#VALUE!</v>
      </c>
      <c r="DU371" t="e">
        <f>'North America'!B1277+"n/&gt;!3#f"</f>
        <v>#VALUE!</v>
      </c>
      <c r="DV371" t="e">
        <f>'North America'!C1277+"n/&gt;!3#g"</f>
        <v>#VALUE!</v>
      </c>
      <c r="DW371" t="e">
        <f>'North America'!D1277+"n/&gt;!3#h"</f>
        <v>#VALUE!</v>
      </c>
      <c r="DX371" t="e">
        <f>'North America'!E1277+"n/&gt;!3#i"</f>
        <v>#VALUE!</v>
      </c>
      <c r="DY371" t="e">
        <f>'North America'!F1277+"n/&gt;!3#j"</f>
        <v>#VALUE!</v>
      </c>
      <c r="DZ371" t="e">
        <f>'North America'!G1277+"n/&gt;!3#k"</f>
        <v>#VALUE!</v>
      </c>
      <c r="EA371" t="e">
        <f>'North America'!H1277+"n/&gt;!3#l"</f>
        <v>#VALUE!</v>
      </c>
      <c r="EB371" t="e">
        <f>'North America'!I1277+"n/&gt;!3#m"</f>
        <v>#VALUE!</v>
      </c>
      <c r="EC371" t="e">
        <f>'North America'!A1278+"n/&gt;!3#n"</f>
        <v>#VALUE!</v>
      </c>
      <c r="ED371" t="e">
        <f>'North America'!B1278+"n/&gt;!3#o"</f>
        <v>#VALUE!</v>
      </c>
      <c r="EE371" t="e">
        <f>'North America'!C1278+"n/&gt;!3#p"</f>
        <v>#VALUE!</v>
      </c>
      <c r="EF371" t="e">
        <f>'North America'!D1278+"n/&gt;!3#q"</f>
        <v>#VALUE!</v>
      </c>
      <c r="EG371" t="e">
        <f>'North America'!E1278+"n/&gt;!3#r"</f>
        <v>#VALUE!</v>
      </c>
      <c r="EH371" t="e">
        <f>'North America'!F1278+"n/&gt;!3#s"</f>
        <v>#VALUE!</v>
      </c>
      <c r="EI371" t="e">
        <f>'North America'!G1278+"n/&gt;!3#t"</f>
        <v>#VALUE!</v>
      </c>
      <c r="EJ371" t="e">
        <f>'North America'!H1278+"n/&gt;!3#u"</f>
        <v>#VALUE!</v>
      </c>
      <c r="EK371" t="e">
        <f>'North America'!I1278+"n/&gt;!3#v"</f>
        <v>#VALUE!</v>
      </c>
      <c r="EL371" t="e">
        <f>'North America'!A1279+"n/&gt;!3#w"</f>
        <v>#VALUE!</v>
      </c>
      <c r="EM371" t="e">
        <f>'North America'!B1279+"n/&gt;!3#x"</f>
        <v>#VALUE!</v>
      </c>
      <c r="EN371" t="e">
        <f>'North America'!C1279+"n/&gt;!3#y"</f>
        <v>#VALUE!</v>
      </c>
      <c r="EO371" t="e">
        <f>'North America'!D1279+"n/&gt;!3#z"</f>
        <v>#VALUE!</v>
      </c>
      <c r="EP371" t="e">
        <f>'North America'!E1279+"n/&gt;!3#{"</f>
        <v>#VALUE!</v>
      </c>
      <c r="EQ371" t="e">
        <f>'North America'!F1279+"n/&gt;!3#|"</f>
        <v>#VALUE!</v>
      </c>
      <c r="ER371" t="e">
        <f>'North America'!G1279+"n/&gt;!3#}"</f>
        <v>#VALUE!</v>
      </c>
      <c r="ES371" t="e">
        <f>'North America'!H1279+"n/&gt;!3#~"</f>
        <v>#VALUE!</v>
      </c>
      <c r="ET371" t="e">
        <f>'North America'!I1279+"n/&gt;!3$#"</f>
        <v>#VALUE!</v>
      </c>
      <c r="EU371" t="e">
        <f>'North America'!A1280+"n/&gt;!3$$"</f>
        <v>#VALUE!</v>
      </c>
      <c r="EV371" t="e">
        <f>'North America'!B1280+"n/&gt;!3$%"</f>
        <v>#VALUE!</v>
      </c>
      <c r="EW371" t="e">
        <f>'North America'!C1280+"n/&gt;!3$&amp;"</f>
        <v>#VALUE!</v>
      </c>
      <c r="EX371" t="e">
        <f>'North America'!D1280+"n/&gt;!3$'"</f>
        <v>#VALUE!</v>
      </c>
      <c r="EY371" t="e">
        <f>'North America'!E1280+"n/&gt;!3$("</f>
        <v>#VALUE!</v>
      </c>
      <c r="EZ371" t="e">
        <f>'North America'!F1280+"n/&gt;!3$)"</f>
        <v>#VALUE!</v>
      </c>
      <c r="FA371" t="e">
        <f>'North America'!G1280+"n/&gt;!3$."</f>
        <v>#VALUE!</v>
      </c>
      <c r="FB371" t="e">
        <f>'North America'!H1280+"n/&gt;!3$/"</f>
        <v>#VALUE!</v>
      </c>
      <c r="FC371" t="e">
        <f>'North America'!I1280+"n/&gt;!3$0"</f>
        <v>#VALUE!</v>
      </c>
      <c r="FD371" t="e">
        <f>'North America'!A1281+"n/&gt;!3$1"</f>
        <v>#VALUE!</v>
      </c>
      <c r="FE371" t="e">
        <f>'North America'!B1281+"n/&gt;!3$2"</f>
        <v>#VALUE!</v>
      </c>
      <c r="FF371" t="e">
        <f>'North America'!C1281+"n/&gt;!3$3"</f>
        <v>#VALUE!</v>
      </c>
      <c r="FG371" t="e">
        <f>'North America'!D1281+"n/&gt;!3$4"</f>
        <v>#VALUE!</v>
      </c>
      <c r="FH371" t="e">
        <f>'North America'!E1281+"n/&gt;!3$5"</f>
        <v>#VALUE!</v>
      </c>
      <c r="FI371" t="e">
        <f>'North America'!F1281+"n/&gt;!3$6"</f>
        <v>#VALUE!</v>
      </c>
      <c r="FJ371" t="e">
        <f>'North America'!G1281+"n/&gt;!3$7"</f>
        <v>#VALUE!</v>
      </c>
      <c r="FK371" t="e">
        <f>'North America'!H1281+"n/&gt;!3$8"</f>
        <v>#VALUE!</v>
      </c>
      <c r="FL371" t="e">
        <f>'North America'!I1281+"n/&gt;!3$9"</f>
        <v>#VALUE!</v>
      </c>
      <c r="FM371" t="e">
        <f>'North America'!A1282+"n/&gt;!3$:"</f>
        <v>#VALUE!</v>
      </c>
      <c r="FN371" t="e">
        <f>'North America'!B1282+"n/&gt;!3$;"</f>
        <v>#VALUE!</v>
      </c>
      <c r="FO371" t="e">
        <f>'North America'!C1282+"n/&gt;!3$&lt;"</f>
        <v>#VALUE!</v>
      </c>
      <c r="FP371" t="e">
        <f>'North America'!D1282+"n/&gt;!3$="</f>
        <v>#VALUE!</v>
      </c>
      <c r="FQ371" t="e">
        <f>'North America'!E1282+"n/&gt;!3$&gt;"</f>
        <v>#VALUE!</v>
      </c>
      <c r="FR371" t="e">
        <f>'North America'!F1282+"n/&gt;!3$?"</f>
        <v>#VALUE!</v>
      </c>
      <c r="FS371" t="e">
        <f>'North America'!G1282+"n/&gt;!3$@"</f>
        <v>#VALUE!</v>
      </c>
      <c r="FT371" t="e">
        <f>'North America'!H1282+"n/&gt;!3$A"</f>
        <v>#VALUE!</v>
      </c>
      <c r="FU371" t="e">
        <f>'North America'!I1282+"n/&gt;!3$B"</f>
        <v>#VALUE!</v>
      </c>
      <c r="FV371" t="e">
        <f>'North America'!A1283+"n/&gt;!3$C"</f>
        <v>#VALUE!</v>
      </c>
      <c r="FW371" t="e">
        <f>'North America'!B1283+"n/&gt;!3$D"</f>
        <v>#VALUE!</v>
      </c>
      <c r="FX371" t="e">
        <f>'North America'!C1283+"n/&gt;!3$E"</f>
        <v>#VALUE!</v>
      </c>
      <c r="FY371" t="e">
        <f>'North America'!D1283+"n/&gt;!3$F"</f>
        <v>#VALUE!</v>
      </c>
      <c r="FZ371" t="e">
        <f>'North America'!E1283+"n/&gt;!3$G"</f>
        <v>#VALUE!</v>
      </c>
      <c r="GA371" t="e">
        <f>'North America'!F1283+"n/&gt;!3$H"</f>
        <v>#VALUE!</v>
      </c>
      <c r="GB371" t="e">
        <f>'North America'!G1283+"n/&gt;!3$I"</f>
        <v>#VALUE!</v>
      </c>
      <c r="GC371" t="e">
        <f>'North America'!H1283+"n/&gt;!3$J"</f>
        <v>#VALUE!</v>
      </c>
      <c r="GD371" t="e">
        <f>'North America'!I1283+"n/&gt;!3$K"</f>
        <v>#VALUE!</v>
      </c>
      <c r="GE371" t="e">
        <f>'North America'!A1284+"n/&gt;!3$L"</f>
        <v>#VALUE!</v>
      </c>
      <c r="GF371" t="e">
        <f>'North America'!B1284+"n/&gt;!3$M"</f>
        <v>#VALUE!</v>
      </c>
      <c r="GG371" t="e">
        <f>'North America'!C1284+"n/&gt;!3$N"</f>
        <v>#VALUE!</v>
      </c>
      <c r="GH371" t="e">
        <f>'North America'!D1284+"n/&gt;!3$O"</f>
        <v>#VALUE!</v>
      </c>
      <c r="GI371" t="e">
        <f>'North America'!E1284+"n/&gt;!3$P"</f>
        <v>#VALUE!</v>
      </c>
      <c r="GJ371" t="e">
        <f>'North America'!F1284+"n/&gt;!3$Q"</f>
        <v>#VALUE!</v>
      </c>
      <c r="GK371" t="e">
        <f>'North America'!G1284+"n/&gt;!3$R"</f>
        <v>#VALUE!</v>
      </c>
      <c r="GL371" t="e">
        <f>'North America'!H1284+"n/&gt;!3$S"</f>
        <v>#VALUE!</v>
      </c>
      <c r="GM371" t="e">
        <f>'North America'!I1284+"n/&gt;!3$T"</f>
        <v>#VALUE!</v>
      </c>
      <c r="GN371" t="e">
        <f>'North America'!A1285+"n/&gt;!3$U"</f>
        <v>#VALUE!</v>
      </c>
      <c r="GO371" t="e">
        <f>'North America'!B1285+"n/&gt;!3$V"</f>
        <v>#VALUE!</v>
      </c>
      <c r="GP371" t="e">
        <f>'North America'!C1285+"n/&gt;!3$W"</f>
        <v>#VALUE!</v>
      </c>
      <c r="GQ371" t="e">
        <f>'North America'!D1285+"n/&gt;!3$X"</f>
        <v>#VALUE!</v>
      </c>
      <c r="GR371" t="e">
        <f>'North America'!E1285+"n/&gt;!3$Y"</f>
        <v>#VALUE!</v>
      </c>
      <c r="GS371" t="e">
        <f>'North America'!F1285+"n/&gt;!3$Z"</f>
        <v>#VALUE!</v>
      </c>
      <c r="GT371" t="e">
        <f>'North America'!G1285+"n/&gt;!3$["</f>
        <v>#VALUE!</v>
      </c>
      <c r="GU371" t="e">
        <f>'North America'!H1285+"n/&gt;!3$\"</f>
        <v>#VALUE!</v>
      </c>
      <c r="GV371" t="e">
        <f>'North America'!I1285+"n/&gt;!3$]"</f>
        <v>#VALUE!</v>
      </c>
      <c r="GW371" t="e">
        <f>'North America'!A1286+"n/&gt;!3$^"</f>
        <v>#VALUE!</v>
      </c>
      <c r="GX371" t="e">
        <f>'North America'!B1286+"n/&gt;!3$_"</f>
        <v>#VALUE!</v>
      </c>
      <c r="GY371" t="e">
        <f>'North America'!C1286+"n/&gt;!3$`"</f>
        <v>#VALUE!</v>
      </c>
      <c r="GZ371" t="e">
        <f>'North America'!D1286+"n/&gt;!3$a"</f>
        <v>#VALUE!</v>
      </c>
      <c r="HA371" t="e">
        <f>'North America'!E1286+"n/&gt;!3$b"</f>
        <v>#VALUE!</v>
      </c>
      <c r="HB371" t="e">
        <f>'North America'!F1286+"n/&gt;!3$c"</f>
        <v>#VALUE!</v>
      </c>
      <c r="HC371" t="e">
        <f>'North America'!G1286+"n/&gt;!3$d"</f>
        <v>#VALUE!</v>
      </c>
      <c r="HD371" t="e">
        <f>'North America'!H1286+"n/&gt;!3$e"</f>
        <v>#VALUE!</v>
      </c>
      <c r="HE371" t="e">
        <f>'North America'!I1286+"n/&gt;!3$f"</f>
        <v>#VALUE!</v>
      </c>
      <c r="HF371" t="e">
        <f>'North America'!A1287+"n/&gt;!3$g"</f>
        <v>#VALUE!</v>
      </c>
      <c r="HG371" t="e">
        <f>'North America'!B1287+"n/&gt;!3$h"</f>
        <v>#VALUE!</v>
      </c>
      <c r="HH371" t="e">
        <f>'North America'!C1287+"n/&gt;!3$i"</f>
        <v>#VALUE!</v>
      </c>
      <c r="HI371" t="e">
        <f>'North America'!D1287+"n/&gt;!3$j"</f>
        <v>#VALUE!</v>
      </c>
      <c r="HJ371" t="e">
        <f>'North America'!E1287+"n/&gt;!3$k"</f>
        <v>#VALUE!</v>
      </c>
      <c r="HK371" t="e">
        <f>'North America'!F1287+"n/&gt;!3$l"</f>
        <v>#VALUE!</v>
      </c>
      <c r="HL371" t="e">
        <f>'North America'!G1287+"n/&gt;!3$m"</f>
        <v>#VALUE!</v>
      </c>
      <c r="HM371" t="e">
        <f>'North America'!H1287+"n/&gt;!3$n"</f>
        <v>#VALUE!</v>
      </c>
      <c r="HN371" t="e">
        <f>'North America'!I1287+"n/&gt;!3$o"</f>
        <v>#VALUE!</v>
      </c>
      <c r="HO371" t="e">
        <f>'North America'!A1288+"n/&gt;!3$p"</f>
        <v>#VALUE!</v>
      </c>
      <c r="HP371" t="e">
        <f>'North America'!B1288+"n/&gt;!3$q"</f>
        <v>#VALUE!</v>
      </c>
      <c r="HQ371" t="e">
        <f>'North America'!C1288+"n/&gt;!3$r"</f>
        <v>#VALUE!</v>
      </c>
      <c r="HR371" t="e">
        <f>'North America'!D1288+"n/&gt;!3$s"</f>
        <v>#VALUE!</v>
      </c>
      <c r="HS371" t="e">
        <f>'North America'!E1288+"n/&gt;!3$t"</f>
        <v>#VALUE!</v>
      </c>
      <c r="HT371" t="e">
        <f>'North America'!F1288+"n/&gt;!3$u"</f>
        <v>#VALUE!</v>
      </c>
      <c r="HU371" t="e">
        <f>'North America'!G1288+"n/&gt;!3$v"</f>
        <v>#VALUE!</v>
      </c>
      <c r="HV371" t="e">
        <f>'North America'!H1288+"n/&gt;!3$w"</f>
        <v>#VALUE!</v>
      </c>
      <c r="HW371" t="e">
        <f>'North America'!I1288+"n/&gt;!3$x"</f>
        <v>#VALUE!</v>
      </c>
      <c r="HX371" t="e">
        <f>'North America'!A1289+"n/&gt;!3$y"</f>
        <v>#VALUE!</v>
      </c>
      <c r="HY371" t="e">
        <f>'North America'!B1289+"n/&gt;!3$z"</f>
        <v>#VALUE!</v>
      </c>
      <c r="HZ371" t="e">
        <f>'North America'!C1289+"n/&gt;!3${"</f>
        <v>#VALUE!</v>
      </c>
      <c r="IA371" t="e">
        <f>'North America'!D1289+"n/&gt;!3$|"</f>
        <v>#VALUE!</v>
      </c>
      <c r="IB371" t="e">
        <f>'North America'!E1289+"n/&gt;!3$}"</f>
        <v>#VALUE!</v>
      </c>
      <c r="IC371" t="e">
        <f>'North America'!F1289+"n/&gt;!3$~"</f>
        <v>#VALUE!</v>
      </c>
      <c r="ID371" t="e">
        <f>'North America'!G1289+"n/&gt;!3%#"</f>
        <v>#VALUE!</v>
      </c>
      <c r="IE371" t="e">
        <f>'North America'!H1289+"n/&gt;!3%$"</f>
        <v>#VALUE!</v>
      </c>
      <c r="IF371" t="e">
        <f>'North America'!I1289+"n/&gt;!3%%"</f>
        <v>#VALUE!</v>
      </c>
      <c r="IG371" t="e">
        <f>'North America'!A1290+"n/&gt;!3%&amp;"</f>
        <v>#VALUE!</v>
      </c>
      <c r="IH371" t="e">
        <f>'North America'!B1290+"n/&gt;!3%'"</f>
        <v>#VALUE!</v>
      </c>
      <c r="II371" t="e">
        <f>'North America'!C1290+"n/&gt;!3%("</f>
        <v>#VALUE!</v>
      </c>
      <c r="IJ371" t="e">
        <f>'North America'!D1290+"n/&gt;!3%)"</f>
        <v>#VALUE!</v>
      </c>
      <c r="IK371" t="e">
        <f>'North America'!E1290+"n/&gt;!3%."</f>
        <v>#VALUE!</v>
      </c>
      <c r="IL371" t="e">
        <f>'North America'!F1290+"n/&gt;!3%/"</f>
        <v>#VALUE!</v>
      </c>
      <c r="IM371" t="e">
        <f>'North America'!G1290+"n/&gt;!3%0"</f>
        <v>#VALUE!</v>
      </c>
      <c r="IN371" t="e">
        <f>'North America'!H1290+"n/&gt;!3%1"</f>
        <v>#VALUE!</v>
      </c>
      <c r="IO371" t="e">
        <f>'North America'!I1290+"n/&gt;!3%2"</f>
        <v>#VALUE!</v>
      </c>
      <c r="IP371" t="e">
        <f>'North America'!A1291+"n/&gt;!3%3"</f>
        <v>#VALUE!</v>
      </c>
      <c r="IQ371" t="e">
        <f>'North America'!B1291+"n/&gt;!3%4"</f>
        <v>#VALUE!</v>
      </c>
      <c r="IR371" t="e">
        <f>'North America'!C1291+"n/&gt;!3%5"</f>
        <v>#VALUE!</v>
      </c>
      <c r="IS371" t="e">
        <f>'North America'!D1291+"n/&gt;!3%6"</f>
        <v>#VALUE!</v>
      </c>
      <c r="IT371" t="e">
        <f>'North America'!E1291+"n/&gt;!3%7"</f>
        <v>#VALUE!</v>
      </c>
      <c r="IU371" t="e">
        <f>'North America'!F1291+"n/&gt;!3%8"</f>
        <v>#VALUE!</v>
      </c>
      <c r="IV371" t="e">
        <f>'North America'!G1291+"n/&gt;!3%9"</f>
        <v>#VALUE!</v>
      </c>
    </row>
    <row r="372" spans="6:256" x14ac:dyDescent="0.35">
      <c r="F372" t="e">
        <f>'North America'!H1291+"n/&gt;!3%:"</f>
        <v>#VALUE!</v>
      </c>
      <c r="G372" t="e">
        <f>'North America'!I1291+"n/&gt;!3%;"</f>
        <v>#VALUE!</v>
      </c>
      <c r="H372" t="e">
        <f>'North America'!A1292+"n/&gt;!3%&lt;"</f>
        <v>#VALUE!</v>
      </c>
      <c r="I372" t="e">
        <f>'North America'!B1292+"n/&gt;!3%="</f>
        <v>#VALUE!</v>
      </c>
      <c r="J372" t="e">
        <f>'North America'!C1292+"n/&gt;!3%&gt;"</f>
        <v>#VALUE!</v>
      </c>
      <c r="K372" t="e">
        <f>'North America'!D1292+"n/&gt;!3%?"</f>
        <v>#VALUE!</v>
      </c>
      <c r="L372" t="e">
        <f>'North America'!E1292+"n/&gt;!3%@"</f>
        <v>#VALUE!</v>
      </c>
      <c r="M372" t="e">
        <f>'North America'!F1292+"n/&gt;!3%A"</f>
        <v>#VALUE!</v>
      </c>
      <c r="N372" t="e">
        <f>'North America'!G1292+"n/&gt;!3%B"</f>
        <v>#VALUE!</v>
      </c>
      <c r="O372" t="e">
        <f>'North America'!H1292+"n/&gt;!3%C"</f>
        <v>#VALUE!</v>
      </c>
      <c r="P372" t="e">
        <f>'North America'!I1292+"n/&gt;!3%D"</f>
        <v>#VALUE!</v>
      </c>
      <c r="Q372" t="e">
        <f>'North America'!A1293+"n/&gt;!3%E"</f>
        <v>#VALUE!</v>
      </c>
      <c r="R372" t="e">
        <f>'North America'!B1293+"n/&gt;!3%F"</f>
        <v>#VALUE!</v>
      </c>
      <c r="S372" t="e">
        <f>'North America'!C1293+"n/&gt;!3%G"</f>
        <v>#VALUE!</v>
      </c>
      <c r="T372" t="e">
        <f>'North America'!D1293+"n/&gt;!3%H"</f>
        <v>#VALUE!</v>
      </c>
      <c r="U372" t="e">
        <f>'North America'!E1293+"n/&gt;!3%I"</f>
        <v>#VALUE!</v>
      </c>
      <c r="V372" t="e">
        <f>'North America'!F1293+"n/&gt;!3%J"</f>
        <v>#VALUE!</v>
      </c>
      <c r="W372" t="e">
        <f>'North America'!G1293+"n/&gt;!3%K"</f>
        <v>#VALUE!</v>
      </c>
      <c r="X372" t="e">
        <f>'North America'!H1293+"n/&gt;!3%L"</f>
        <v>#VALUE!</v>
      </c>
      <c r="Y372" t="e">
        <f>'North America'!I1293+"n/&gt;!3%M"</f>
        <v>#VALUE!</v>
      </c>
      <c r="Z372" t="e">
        <f>'North America'!A1294+"n/&gt;!3%N"</f>
        <v>#VALUE!</v>
      </c>
      <c r="AA372" t="e">
        <f>'North America'!B1294+"n/&gt;!3%O"</f>
        <v>#VALUE!</v>
      </c>
      <c r="AB372" t="e">
        <f>'North America'!C1294+"n/&gt;!3%P"</f>
        <v>#VALUE!</v>
      </c>
      <c r="AC372" t="e">
        <f>'North America'!D1294+"n/&gt;!3%Q"</f>
        <v>#VALUE!</v>
      </c>
      <c r="AD372" t="e">
        <f>'North America'!E1294+"n/&gt;!3%R"</f>
        <v>#VALUE!</v>
      </c>
      <c r="AE372" t="e">
        <f>'North America'!F1294+"n/&gt;!3%S"</f>
        <v>#VALUE!</v>
      </c>
      <c r="AF372" t="e">
        <f>'North America'!G1294+"n/&gt;!3%T"</f>
        <v>#VALUE!</v>
      </c>
      <c r="AG372" t="e">
        <f>'North America'!H1294+"n/&gt;!3%U"</f>
        <v>#VALUE!</v>
      </c>
      <c r="AH372" t="e">
        <f>'North America'!I1294+"n/&gt;!3%V"</f>
        <v>#VALUE!</v>
      </c>
      <c r="AI372" t="e">
        <f>'North America'!A1295+"n/&gt;!3%W"</f>
        <v>#VALUE!</v>
      </c>
      <c r="AJ372" t="e">
        <f>'North America'!B1295+"n/&gt;!3%X"</f>
        <v>#VALUE!</v>
      </c>
      <c r="AK372" t="e">
        <f>'North America'!C1295+"n/&gt;!3%Y"</f>
        <v>#VALUE!</v>
      </c>
      <c r="AL372" t="e">
        <f>'North America'!D1295+"n/&gt;!3%Z"</f>
        <v>#VALUE!</v>
      </c>
      <c r="AM372" t="e">
        <f>'North America'!E1295+"n/&gt;!3%["</f>
        <v>#VALUE!</v>
      </c>
      <c r="AN372" t="e">
        <f>'North America'!F1295+"n/&gt;!3%\"</f>
        <v>#VALUE!</v>
      </c>
      <c r="AO372" t="e">
        <f>'North America'!G1295+"n/&gt;!3%]"</f>
        <v>#VALUE!</v>
      </c>
      <c r="AP372" t="e">
        <f>'North America'!H1295+"n/&gt;!3%^"</f>
        <v>#VALUE!</v>
      </c>
      <c r="AQ372" t="e">
        <f>'North America'!I1295+"n/&gt;!3%_"</f>
        <v>#VALUE!</v>
      </c>
      <c r="AR372" t="e">
        <f>'North America'!A1296+"n/&gt;!3%`"</f>
        <v>#VALUE!</v>
      </c>
      <c r="AS372" t="e">
        <f>'North America'!B1296+"n/&gt;!3%a"</f>
        <v>#VALUE!</v>
      </c>
      <c r="AT372" t="e">
        <f>'North America'!C1296+"n/&gt;!3%b"</f>
        <v>#VALUE!</v>
      </c>
      <c r="AU372" t="e">
        <f>'North America'!D1296+"n/&gt;!3%c"</f>
        <v>#VALUE!</v>
      </c>
      <c r="AV372" t="e">
        <f>'North America'!E1296+"n/&gt;!3%d"</f>
        <v>#VALUE!</v>
      </c>
      <c r="AW372" t="e">
        <f>'North America'!F1296+"n/&gt;!3%e"</f>
        <v>#VALUE!</v>
      </c>
      <c r="AX372" t="e">
        <f>'North America'!G1296+"n/&gt;!3%f"</f>
        <v>#VALUE!</v>
      </c>
      <c r="AY372" t="e">
        <f>'North America'!H1296+"n/&gt;!3%g"</f>
        <v>#VALUE!</v>
      </c>
      <c r="AZ372" t="e">
        <f>'North America'!I1296+"n/&gt;!3%h"</f>
        <v>#VALUE!</v>
      </c>
      <c r="BA372" t="e">
        <f>'North America'!A1297+"n/&gt;!3%i"</f>
        <v>#VALUE!</v>
      </c>
      <c r="BB372" t="e">
        <f>'North America'!B1297+"n/&gt;!3%j"</f>
        <v>#VALUE!</v>
      </c>
      <c r="BC372" t="e">
        <f>'North America'!C1297+"n/&gt;!3%k"</f>
        <v>#VALUE!</v>
      </c>
      <c r="BD372" t="e">
        <f>'North America'!D1297+"n/&gt;!3%l"</f>
        <v>#VALUE!</v>
      </c>
      <c r="BE372" t="e">
        <f>'North America'!E1297+"n/&gt;!3%m"</f>
        <v>#VALUE!</v>
      </c>
      <c r="BF372" t="e">
        <f>'North America'!F1297+"n/&gt;!3%n"</f>
        <v>#VALUE!</v>
      </c>
      <c r="BG372" t="e">
        <f>'North America'!G1297+"n/&gt;!3%o"</f>
        <v>#VALUE!</v>
      </c>
      <c r="BH372" t="e">
        <f>'North America'!H1297+"n/&gt;!3%p"</f>
        <v>#VALUE!</v>
      </c>
      <c r="BI372" t="e">
        <f>'North America'!I1297+"n/&gt;!3%q"</f>
        <v>#VALUE!</v>
      </c>
      <c r="BJ372" t="e">
        <f>'North America'!A1298+"n/&gt;!3%r"</f>
        <v>#VALUE!</v>
      </c>
      <c r="BK372" t="e">
        <f>'North America'!B1298+"n/&gt;!3%s"</f>
        <v>#VALUE!</v>
      </c>
      <c r="BL372" t="e">
        <f>'North America'!C1298+"n/&gt;!3%t"</f>
        <v>#VALUE!</v>
      </c>
      <c r="BM372" t="e">
        <f>'North America'!D1298+"n/&gt;!3%u"</f>
        <v>#VALUE!</v>
      </c>
      <c r="BN372" t="e">
        <f>'North America'!E1298+"n/&gt;!3%v"</f>
        <v>#VALUE!</v>
      </c>
      <c r="BO372" t="e">
        <f>'North America'!F1298+"n/&gt;!3%w"</f>
        <v>#VALUE!</v>
      </c>
      <c r="BP372" t="e">
        <f>'North America'!G1298+"n/&gt;!3%x"</f>
        <v>#VALUE!</v>
      </c>
      <c r="BQ372" t="e">
        <f>'North America'!H1298+"n/&gt;!3%y"</f>
        <v>#VALUE!</v>
      </c>
      <c r="BR372" t="e">
        <f>'North America'!I1298+"n/&gt;!3%z"</f>
        <v>#VALUE!</v>
      </c>
      <c r="BS372" t="e">
        <f>'North America'!A1299+"n/&gt;!3%{"</f>
        <v>#VALUE!</v>
      </c>
      <c r="BT372" t="e">
        <f>'North America'!B1299+"n/&gt;!3%|"</f>
        <v>#VALUE!</v>
      </c>
      <c r="BU372" t="e">
        <f>'North America'!C1299+"n/&gt;!3%}"</f>
        <v>#VALUE!</v>
      </c>
      <c r="BV372" t="e">
        <f>'North America'!D1299+"n/&gt;!3%~"</f>
        <v>#VALUE!</v>
      </c>
      <c r="BW372" t="e">
        <f>'North America'!E1299+"n/&gt;!3&amp;#"</f>
        <v>#VALUE!</v>
      </c>
      <c r="BX372" t="e">
        <f>'North America'!F1299+"n/&gt;!3&amp;$"</f>
        <v>#VALUE!</v>
      </c>
      <c r="BY372" t="e">
        <f>'North America'!G1299+"n/&gt;!3&amp;%"</f>
        <v>#VALUE!</v>
      </c>
      <c r="BZ372" t="e">
        <f>'North America'!H1299+"n/&gt;!3&amp;&amp;"</f>
        <v>#VALUE!</v>
      </c>
      <c r="CA372" t="e">
        <f>'North America'!I1299+"n/&gt;!3&amp;'"</f>
        <v>#VALUE!</v>
      </c>
      <c r="CB372" t="e">
        <f>'North America'!A1300+"n/&gt;!3&amp;("</f>
        <v>#VALUE!</v>
      </c>
      <c r="CC372" t="e">
        <f>'North America'!B1300+"n/&gt;!3&amp;)"</f>
        <v>#VALUE!</v>
      </c>
      <c r="CD372" t="e">
        <f>'North America'!C1300+"n/&gt;!3&amp;."</f>
        <v>#VALUE!</v>
      </c>
      <c r="CE372" t="e">
        <f>'North America'!D1300+"n/&gt;!3&amp;/"</f>
        <v>#VALUE!</v>
      </c>
      <c r="CF372" t="e">
        <f>'North America'!E1300+"n/&gt;!3&amp;0"</f>
        <v>#VALUE!</v>
      </c>
      <c r="CG372" t="e">
        <f>'North America'!F1300+"n/&gt;!3&amp;1"</f>
        <v>#VALUE!</v>
      </c>
      <c r="CH372" t="e">
        <f>'North America'!G1300+"n/&gt;!3&amp;2"</f>
        <v>#VALUE!</v>
      </c>
      <c r="CI372" t="e">
        <f>'North America'!H1300+"n/&gt;!3&amp;3"</f>
        <v>#VALUE!</v>
      </c>
      <c r="CJ372" t="e">
        <f>'North America'!I1300+"n/&gt;!3&amp;4"</f>
        <v>#VALUE!</v>
      </c>
      <c r="CK372" t="e">
        <f>'North America'!A1301+"n/&gt;!3&amp;5"</f>
        <v>#VALUE!</v>
      </c>
      <c r="CL372" t="e">
        <f>'North America'!B1301+"n/&gt;!3&amp;6"</f>
        <v>#VALUE!</v>
      </c>
      <c r="CM372" t="e">
        <f>'North America'!C1301+"n/&gt;!3&amp;7"</f>
        <v>#VALUE!</v>
      </c>
      <c r="CN372" t="e">
        <f>'North America'!D1301+"n/&gt;!3&amp;8"</f>
        <v>#VALUE!</v>
      </c>
      <c r="CO372" t="e">
        <f>'North America'!E1301+"n/&gt;!3&amp;9"</f>
        <v>#VALUE!</v>
      </c>
      <c r="CP372" t="e">
        <f>'North America'!F1301+"n/&gt;!3&amp;:"</f>
        <v>#VALUE!</v>
      </c>
      <c r="CQ372" t="e">
        <f>'North America'!G1301+"n/&gt;!3&amp;;"</f>
        <v>#VALUE!</v>
      </c>
      <c r="CR372" t="e">
        <f>'North America'!H1301+"n/&gt;!3&amp;&lt;"</f>
        <v>#VALUE!</v>
      </c>
      <c r="CS372" t="e">
        <f>'North America'!I1301+"n/&gt;!3&amp;="</f>
        <v>#VALUE!</v>
      </c>
      <c r="CT372" t="e">
        <f>'North America'!A1302+"n/&gt;!3&amp;&gt;"</f>
        <v>#VALUE!</v>
      </c>
      <c r="CU372" t="e">
        <f>'North America'!B1302+"n/&gt;!3&amp;?"</f>
        <v>#VALUE!</v>
      </c>
      <c r="CV372" t="e">
        <f>'North America'!C1302+"n/&gt;!3&amp;@"</f>
        <v>#VALUE!</v>
      </c>
      <c r="CW372" t="e">
        <f>'North America'!D1302+"n/&gt;!3&amp;A"</f>
        <v>#VALUE!</v>
      </c>
      <c r="CX372" t="e">
        <f>'North America'!E1302+"n/&gt;!3&amp;B"</f>
        <v>#VALUE!</v>
      </c>
      <c r="CY372" t="e">
        <f>'North America'!F1302+"n/&gt;!3&amp;C"</f>
        <v>#VALUE!</v>
      </c>
      <c r="CZ372" t="e">
        <f>'North America'!G1302+"n/&gt;!3&amp;D"</f>
        <v>#VALUE!</v>
      </c>
      <c r="DA372" t="e">
        <f>'North America'!H1302+"n/&gt;!3&amp;E"</f>
        <v>#VALUE!</v>
      </c>
      <c r="DB372" t="e">
        <f>'North America'!I1302+"n/&gt;!3&amp;F"</f>
        <v>#VALUE!</v>
      </c>
      <c r="DC372" t="e">
        <f>'North America'!A1303+"n/&gt;!3&amp;G"</f>
        <v>#VALUE!</v>
      </c>
      <c r="DD372" t="e">
        <f>'North America'!B1303+"n/&gt;!3&amp;H"</f>
        <v>#VALUE!</v>
      </c>
      <c r="DE372" t="e">
        <f>'North America'!C1303+"n/&gt;!3&amp;I"</f>
        <v>#VALUE!</v>
      </c>
      <c r="DF372" t="e">
        <f>'North America'!D1303+"n/&gt;!3&amp;J"</f>
        <v>#VALUE!</v>
      </c>
      <c r="DG372" t="e">
        <f>'North America'!E1303+"n/&gt;!3&amp;K"</f>
        <v>#VALUE!</v>
      </c>
      <c r="DH372" t="e">
        <f>'North America'!F1303+"n/&gt;!3&amp;L"</f>
        <v>#VALUE!</v>
      </c>
      <c r="DI372" t="e">
        <f>'North America'!G1303+"n/&gt;!3&amp;M"</f>
        <v>#VALUE!</v>
      </c>
      <c r="DJ372" t="e">
        <f>'North America'!H1303+"n/&gt;!3&amp;N"</f>
        <v>#VALUE!</v>
      </c>
      <c r="DK372" t="e">
        <f>'North America'!I1303+"n/&gt;!3&amp;O"</f>
        <v>#VALUE!</v>
      </c>
      <c r="DL372" t="e">
        <f>'North America'!A1304+"n/&gt;!3&amp;P"</f>
        <v>#VALUE!</v>
      </c>
      <c r="DM372" t="e">
        <f>'North America'!B1304+"n/&gt;!3&amp;Q"</f>
        <v>#VALUE!</v>
      </c>
      <c r="DN372" t="e">
        <f>'North America'!C1304+"n/&gt;!3&amp;R"</f>
        <v>#VALUE!</v>
      </c>
      <c r="DO372" t="e">
        <f>'North America'!D1304+"n/&gt;!3&amp;S"</f>
        <v>#VALUE!</v>
      </c>
      <c r="DP372" t="e">
        <f>'North America'!E1304+"n/&gt;!3&amp;T"</f>
        <v>#VALUE!</v>
      </c>
      <c r="DQ372" t="e">
        <f>'North America'!F1304+"n/&gt;!3&amp;U"</f>
        <v>#VALUE!</v>
      </c>
      <c r="DR372" t="e">
        <f>'North America'!G1304+"n/&gt;!3&amp;V"</f>
        <v>#VALUE!</v>
      </c>
      <c r="DS372" t="e">
        <f>'North America'!H1304+"n/&gt;!3&amp;W"</f>
        <v>#VALUE!</v>
      </c>
      <c r="DT372" t="e">
        <f>'North America'!I1304+"n/&gt;!3&amp;X"</f>
        <v>#VALUE!</v>
      </c>
      <c r="DU372" t="e">
        <f>'North America'!A1305+"n/&gt;!3&amp;Y"</f>
        <v>#VALUE!</v>
      </c>
      <c r="DV372" t="e">
        <f>'North America'!B1305+"n/&gt;!3&amp;Z"</f>
        <v>#VALUE!</v>
      </c>
      <c r="DW372" t="e">
        <f>'North America'!C1305+"n/&gt;!3&amp;["</f>
        <v>#VALUE!</v>
      </c>
      <c r="DX372" t="e">
        <f>'North America'!D1305+"n/&gt;!3&amp;\"</f>
        <v>#VALUE!</v>
      </c>
      <c r="DY372" t="e">
        <f>'North America'!E1305+"n/&gt;!3&amp;]"</f>
        <v>#VALUE!</v>
      </c>
      <c r="DZ372" t="e">
        <f>'North America'!F1305+"n/&gt;!3&amp;^"</f>
        <v>#VALUE!</v>
      </c>
      <c r="EA372" t="e">
        <f>'North America'!G1305+"n/&gt;!3&amp;_"</f>
        <v>#VALUE!</v>
      </c>
      <c r="EB372" t="e">
        <f>'North America'!H1305+"n/&gt;!3&amp;`"</f>
        <v>#VALUE!</v>
      </c>
      <c r="EC372" t="e">
        <f>'North America'!I1305+"n/&gt;!3&amp;a"</f>
        <v>#VALUE!</v>
      </c>
      <c r="ED372" t="e">
        <f>'North America'!A1306+"n/&gt;!3&amp;b"</f>
        <v>#VALUE!</v>
      </c>
      <c r="EE372" t="e">
        <f>'North America'!B1306+"n/&gt;!3&amp;c"</f>
        <v>#VALUE!</v>
      </c>
      <c r="EF372" t="e">
        <f>'North America'!C1306+"n/&gt;!3&amp;d"</f>
        <v>#VALUE!</v>
      </c>
      <c r="EG372" t="e">
        <f>'North America'!D1306+"n/&gt;!3&amp;e"</f>
        <v>#VALUE!</v>
      </c>
      <c r="EH372" t="e">
        <f>'North America'!E1306+"n/&gt;!3&amp;f"</f>
        <v>#VALUE!</v>
      </c>
      <c r="EI372" t="e">
        <f>'North America'!F1306+"n/&gt;!3&amp;g"</f>
        <v>#VALUE!</v>
      </c>
      <c r="EJ372" t="e">
        <f>'North America'!G1306+"n/&gt;!3&amp;h"</f>
        <v>#VALUE!</v>
      </c>
      <c r="EK372" t="e">
        <f>'North America'!H1306+"n/&gt;!3&amp;i"</f>
        <v>#VALUE!</v>
      </c>
      <c r="EL372" t="e">
        <f>'North America'!I1306+"n/&gt;!3&amp;j"</f>
        <v>#VALUE!</v>
      </c>
      <c r="EM372" t="e">
        <f>'North America'!A1307+"n/&gt;!3&amp;k"</f>
        <v>#VALUE!</v>
      </c>
      <c r="EN372" t="e">
        <f>'North America'!B1307+"n/&gt;!3&amp;l"</f>
        <v>#VALUE!</v>
      </c>
      <c r="EO372" t="e">
        <f>'North America'!C1307+"n/&gt;!3&amp;m"</f>
        <v>#VALUE!</v>
      </c>
      <c r="EP372" t="e">
        <f>'North America'!D1307+"n/&gt;!3&amp;n"</f>
        <v>#VALUE!</v>
      </c>
      <c r="EQ372" t="e">
        <f>'North America'!E1307+"n/&gt;!3&amp;o"</f>
        <v>#VALUE!</v>
      </c>
      <c r="ER372" t="e">
        <f>'North America'!F1307+"n/&gt;!3&amp;p"</f>
        <v>#VALUE!</v>
      </c>
      <c r="ES372" t="e">
        <f>'North America'!G1307+"n/&gt;!3&amp;q"</f>
        <v>#VALUE!</v>
      </c>
      <c r="ET372" t="e">
        <f>'North America'!H1307+"n/&gt;!3&amp;r"</f>
        <v>#VALUE!</v>
      </c>
      <c r="EU372" t="e">
        <f>'North America'!I1307+"n/&gt;!3&amp;s"</f>
        <v>#VALUE!</v>
      </c>
      <c r="EV372" t="e">
        <f>'North America'!A1308+"n/&gt;!3&amp;t"</f>
        <v>#VALUE!</v>
      </c>
      <c r="EW372" t="e">
        <f>'North America'!B1308+"n/&gt;!3&amp;u"</f>
        <v>#VALUE!</v>
      </c>
      <c r="EX372" t="e">
        <f>'North America'!C1308+"n/&gt;!3&amp;v"</f>
        <v>#VALUE!</v>
      </c>
      <c r="EY372" t="e">
        <f>'North America'!D1308+"n/&gt;!3&amp;w"</f>
        <v>#VALUE!</v>
      </c>
      <c r="EZ372" t="e">
        <f>'North America'!E1308+"n/&gt;!3&amp;x"</f>
        <v>#VALUE!</v>
      </c>
      <c r="FA372" t="e">
        <f>'North America'!F1308+"n/&gt;!3&amp;y"</f>
        <v>#VALUE!</v>
      </c>
      <c r="FB372" t="e">
        <f>'North America'!G1308+"n/&gt;!3&amp;z"</f>
        <v>#VALUE!</v>
      </c>
      <c r="FC372" t="e">
        <f>'North America'!H1308+"n/&gt;!3&amp;{"</f>
        <v>#VALUE!</v>
      </c>
      <c r="FD372" t="e">
        <f>'North America'!I1308+"n/&gt;!3&amp;|"</f>
        <v>#VALUE!</v>
      </c>
      <c r="FE372" t="e">
        <f>'North America'!A1309+"n/&gt;!3&amp;}"</f>
        <v>#VALUE!</v>
      </c>
      <c r="FF372" t="e">
        <f>'North America'!B1309+"n/&gt;!3&amp;~"</f>
        <v>#VALUE!</v>
      </c>
      <c r="FG372" t="e">
        <f>'North America'!C1309+"n/&gt;!3'#"</f>
        <v>#VALUE!</v>
      </c>
      <c r="FH372" t="e">
        <f>'North America'!D1309+"n/&gt;!3'$"</f>
        <v>#VALUE!</v>
      </c>
      <c r="FI372" t="e">
        <f>'North America'!E1309+"n/&gt;!3'%"</f>
        <v>#VALUE!</v>
      </c>
      <c r="FJ372" t="e">
        <f>'North America'!F1309+"n/&gt;!3'&amp;"</f>
        <v>#VALUE!</v>
      </c>
      <c r="FK372" t="e">
        <f>'North America'!G1309+"n/&gt;!3''"</f>
        <v>#VALUE!</v>
      </c>
      <c r="FL372" t="e">
        <f>'North America'!H1309+"n/&gt;!3'("</f>
        <v>#VALUE!</v>
      </c>
      <c r="FM372" t="e">
        <f>'North America'!I1309+"n/&gt;!3')"</f>
        <v>#VALUE!</v>
      </c>
      <c r="FN372" t="e">
        <f>'North America'!A1310+"n/&gt;!3'."</f>
        <v>#VALUE!</v>
      </c>
      <c r="FO372" t="e">
        <f>'North America'!B1310+"n/&gt;!3'/"</f>
        <v>#VALUE!</v>
      </c>
      <c r="FP372" t="e">
        <f>'North America'!C1310+"n/&gt;!3'0"</f>
        <v>#VALUE!</v>
      </c>
      <c r="FQ372" t="e">
        <f>'North America'!D1310+"n/&gt;!3'1"</f>
        <v>#VALUE!</v>
      </c>
      <c r="FR372" t="e">
        <f>'North America'!E1310+"n/&gt;!3'2"</f>
        <v>#VALUE!</v>
      </c>
      <c r="FS372" t="e">
        <f>'North America'!F1310+"n/&gt;!3'3"</f>
        <v>#VALUE!</v>
      </c>
      <c r="FT372" t="e">
        <f>'North America'!G1310+"n/&gt;!3'4"</f>
        <v>#VALUE!</v>
      </c>
      <c r="FU372" t="e">
        <f>'North America'!H1310+"n/&gt;!3'5"</f>
        <v>#VALUE!</v>
      </c>
      <c r="FV372" t="e">
        <f>'North America'!I1310+"n/&gt;!3'6"</f>
        <v>#VALUE!</v>
      </c>
      <c r="FW372" t="e">
        <f>'North America'!A1311+"n/&gt;!3'7"</f>
        <v>#VALUE!</v>
      </c>
      <c r="FX372" t="e">
        <f>'North America'!B1311+"n/&gt;!3'8"</f>
        <v>#VALUE!</v>
      </c>
      <c r="FY372" t="e">
        <f>'North America'!C1311+"n/&gt;!3'9"</f>
        <v>#VALUE!</v>
      </c>
      <c r="FZ372" t="e">
        <f>'North America'!D1311+"n/&gt;!3':"</f>
        <v>#VALUE!</v>
      </c>
      <c r="GA372" t="e">
        <f>'North America'!E1311+"n/&gt;!3';"</f>
        <v>#VALUE!</v>
      </c>
      <c r="GB372" t="e">
        <f>'North America'!F1311+"n/&gt;!3'&lt;"</f>
        <v>#VALUE!</v>
      </c>
      <c r="GC372" t="e">
        <f>'North America'!G1311+"n/&gt;!3'="</f>
        <v>#VALUE!</v>
      </c>
      <c r="GD372" t="e">
        <f>'North America'!H1311+"n/&gt;!3'&gt;"</f>
        <v>#VALUE!</v>
      </c>
      <c r="GE372" t="e">
        <f>'North America'!I1311+"n/&gt;!3'?"</f>
        <v>#VALUE!</v>
      </c>
      <c r="GF372" t="e">
        <f>'North America'!A1312+"n/&gt;!3'@"</f>
        <v>#VALUE!</v>
      </c>
      <c r="GG372" t="e">
        <f>'North America'!B1312+"n/&gt;!3'A"</f>
        <v>#VALUE!</v>
      </c>
      <c r="GH372" t="e">
        <f>'North America'!C1312+"n/&gt;!3'B"</f>
        <v>#VALUE!</v>
      </c>
      <c r="GI372" t="e">
        <f>'North America'!D1312+"n/&gt;!3'C"</f>
        <v>#VALUE!</v>
      </c>
      <c r="GJ372" t="e">
        <f>'North America'!E1312+"n/&gt;!3'D"</f>
        <v>#VALUE!</v>
      </c>
      <c r="GK372" t="e">
        <f>'North America'!F1312+"n/&gt;!3'E"</f>
        <v>#VALUE!</v>
      </c>
      <c r="GL372" t="e">
        <f>'North America'!G1312+"n/&gt;!3'F"</f>
        <v>#VALUE!</v>
      </c>
      <c r="GM372" t="e">
        <f>'North America'!H1312+"n/&gt;!3'G"</f>
        <v>#VALUE!</v>
      </c>
      <c r="GN372" t="e">
        <f>'North America'!I1312+"n/&gt;!3'H"</f>
        <v>#VALUE!</v>
      </c>
      <c r="GO372" t="e">
        <f>'North America'!A1313+"n/&gt;!3'I"</f>
        <v>#VALUE!</v>
      </c>
      <c r="GP372" t="e">
        <f>'North America'!B1313+"n/&gt;!3'J"</f>
        <v>#VALUE!</v>
      </c>
      <c r="GQ372" t="e">
        <f>'North America'!C1313+"n/&gt;!3'K"</f>
        <v>#VALUE!</v>
      </c>
      <c r="GR372" t="e">
        <f>'North America'!D1313+"n/&gt;!3'L"</f>
        <v>#VALUE!</v>
      </c>
      <c r="GS372" t="e">
        <f>'North America'!E1313+"n/&gt;!3'M"</f>
        <v>#VALUE!</v>
      </c>
      <c r="GT372" t="e">
        <f>'North America'!F1313+"n/&gt;!3'N"</f>
        <v>#VALUE!</v>
      </c>
      <c r="GU372" t="e">
        <f>'North America'!G1313+"n/&gt;!3'O"</f>
        <v>#VALUE!</v>
      </c>
      <c r="GV372" t="e">
        <f>'North America'!H1313+"n/&gt;!3'P"</f>
        <v>#VALUE!</v>
      </c>
      <c r="GW372" t="e">
        <f>'North America'!I1313+"n/&gt;!3'Q"</f>
        <v>#VALUE!</v>
      </c>
      <c r="GX372" t="e">
        <f>'North America'!A1314+"n/&gt;!3'R"</f>
        <v>#VALUE!</v>
      </c>
      <c r="GY372" t="e">
        <f>'North America'!B1314+"n/&gt;!3'S"</f>
        <v>#VALUE!</v>
      </c>
      <c r="GZ372" t="e">
        <f>'North America'!C1314+"n/&gt;!3'T"</f>
        <v>#VALUE!</v>
      </c>
      <c r="HA372" t="e">
        <f>'North America'!D1314+"n/&gt;!3'U"</f>
        <v>#VALUE!</v>
      </c>
      <c r="HB372" t="e">
        <f>'North America'!E1314+"n/&gt;!3'V"</f>
        <v>#VALUE!</v>
      </c>
      <c r="HC372" t="e">
        <f>'North America'!F1314+"n/&gt;!3'W"</f>
        <v>#VALUE!</v>
      </c>
      <c r="HD372" t="e">
        <f>'North America'!G1314+"n/&gt;!3'X"</f>
        <v>#VALUE!</v>
      </c>
      <c r="HE372" t="e">
        <f>'North America'!H1314+"n/&gt;!3'Y"</f>
        <v>#VALUE!</v>
      </c>
      <c r="HF372" t="e">
        <f>'North America'!I1314+"n/&gt;!3'Z"</f>
        <v>#VALUE!</v>
      </c>
      <c r="HG372" t="e">
        <f>'North America'!A1315+"n/&gt;!3'["</f>
        <v>#VALUE!</v>
      </c>
      <c r="HH372" t="e">
        <f>'North America'!B1315+"n/&gt;!3'\"</f>
        <v>#VALUE!</v>
      </c>
      <c r="HI372" t="e">
        <f>'North America'!C1315+"n/&gt;!3']"</f>
        <v>#VALUE!</v>
      </c>
      <c r="HJ372" t="e">
        <f>'North America'!D1315+"n/&gt;!3'^"</f>
        <v>#VALUE!</v>
      </c>
      <c r="HK372" t="e">
        <f>'North America'!E1315+"n/&gt;!3'_"</f>
        <v>#VALUE!</v>
      </c>
      <c r="HL372" t="e">
        <f>'North America'!F1315+"n/&gt;!3'`"</f>
        <v>#VALUE!</v>
      </c>
      <c r="HM372" t="e">
        <f>'North America'!G1315+"n/&gt;!3'a"</f>
        <v>#VALUE!</v>
      </c>
      <c r="HN372" t="e">
        <f>'North America'!H1315+"n/&gt;!3'b"</f>
        <v>#VALUE!</v>
      </c>
      <c r="HO372" t="e">
        <f>'North America'!I1315+"n/&gt;!3'c"</f>
        <v>#VALUE!</v>
      </c>
      <c r="HP372" t="e">
        <f>'North America'!A1316+"n/&gt;!3'd"</f>
        <v>#VALUE!</v>
      </c>
      <c r="HQ372" t="e">
        <f>'North America'!B1316+"n/&gt;!3'e"</f>
        <v>#VALUE!</v>
      </c>
      <c r="HR372" t="e">
        <f>'North America'!C1316+"n/&gt;!3'f"</f>
        <v>#VALUE!</v>
      </c>
      <c r="HS372" t="e">
        <f>'North America'!D1316+"n/&gt;!3'g"</f>
        <v>#VALUE!</v>
      </c>
      <c r="HT372" t="e">
        <f>'North America'!E1316+"n/&gt;!3'h"</f>
        <v>#VALUE!</v>
      </c>
      <c r="HU372" t="e">
        <f>'North America'!F1316+"n/&gt;!3'i"</f>
        <v>#VALUE!</v>
      </c>
      <c r="HV372" t="e">
        <f>'North America'!G1316+"n/&gt;!3'j"</f>
        <v>#VALUE!</v>
      </c>
      <c r="HW372" t="e">
        <f>'North America'!H1316+"n/&gt;!3'k"</f>
        <v>#VALUE!</v>
      </c>
      <c r="HX372" t="e">
        <f>'North America'!I1316+"n/&gt;!3'l"</f>
        <v>#VALUE!</v>
      </c>
      <c r="HY372" t="e">
        <f>'North America'!A1317+"n/&gt;!3'm"</f>
        <v>#VALUE!</v>
      </c>
      <c r="HZ372" t="e">
        <f>'North America'!B1317+"n/&gt;!3'n"</f>
        <v>#VALUE!</v>
      </c>
      <c r="IA372" t="e">
        <f>'North America'!C1317+"n/&gt;!3'o"</f>
        <v>#VALUE!</v>
      </c>
      <c r="IB372" t="e">
        <f>'North America'!D1317+"n/&gt;!3'p"</f>
        <v>#VALUE!</v>
      </c>
      <c r="IC372" t="e">
        <f>'North America'!E1317+"n/&gt;!3'q"</f>
        <v>#VALUE!</v>
      </c>
      <c r="ID372" t="e">
        <f>'North America'!F1317+"n/&gt;!3'r"</f>
        <v>#VALUE!</v>
      </c>
      <c r="IE372" t="e">
        <f>'North America'!G1317+"n/&gt;!3's"</f>
        <v>#VALUE!</v>
      </c>
      <c r="IF372" t="e">
        <f>'North America'!H1317+"n/&gt;!3't"</f>
        <v>#VALUE!</v>
      </c>
      <c r="IG372" t="e">
        <f>'North America'!I1317+"n/&gt;!3'u"</f>
        <v>#VALUE!</v>
      </c>
      <c r="IH372" t="e">
        <f>'North America'!A1318+"n/&gt;!3'v"</f>
        <v>#VALUE!</v>
      </c>
      <c r="II372" t="e">
        <f>'North America'!B1318+"n/&gt;!3'w"</f>
        <v>#VALUE!</v>
      </c>
      <c r="IJ372" t="e">
        <f>'North America'!C1318+"n/&gt;!3'x"</f>
        <v>#VALUE!</v>
      </c>
      <c r="IK372" t="e">
        <f>'North America'!D1318+"n/&gt;!3'y"</f>
        <v>#VALUE!</v>
      </c>
      <c r="IL372" t="e">
        <f>'North America'!E1318+"n/&gt;!3'z"</f>
        <v>#VALUE!</v>
      </c>
      <c r="IM372" t="e">
        <f>'North America'!F1318+"n/&gt;!3'{"</f>
        <v>#VALUE!</v>
      </c>
      <c r="IN372" t="e">
        <f>'North America'!G1318+"n/&gt;!3'|"</f>
        <v>#VALUE!</v>
      </c>
      <c r="IO372" t="e">
        <f>'North America'!H1318+"n/&gt;!3'}"</f>
        <v>#VALUE!</v>
      </c>
      <c r="IP372" t="e">
        <f>'North America'!I1318+"n/&gt;!3'~"</f>
        <v>#VALUE!</v>
      </c>
      <c r="IQ372" t="e">
        <f>'North America'!A1319+"n/&gt;!3(#"</f>
        <v>#VALUE!</v>
      </c>
      <c r="IR372" t="e">
        <f>'North America'!B1319+"n/&gt;!3($"</f>
        <v>#VALUE!</v>
      </c>
      <c r="IS372" t="e">
        <f>'North America'!C1319+"n/&gt;!3(%"</f>
        <v>#VALUE!</v>
      </c>
      <c r="IT372" t="e">
        <f>'North America'!D1319+"n/&gt;!3(&amp;"</f>
        <v>#VALUE!</v>
      </c>
      <c r="IU372" t="e">
        <f>'North America'!E1319+"n/&gt;!3('"</f>
        <v>#VALUE!</v>
      </c>
      <c r="IV372" t="e">
        <f>'North America'!F1319+"n/&gt;!3(("</f>
        <v>#VALUE!</v>
      </c>
    </row>
    <row r="373" spans="6:256" x14ac:dyDescent="0.35">
      <c r="F373" t="e">
        <f>'North America'!G1319+"n/&gt;!3()"</f>
        <v>#VALUE!</v>
      </c>
      <c r="G373" t="e">
        <f>'North America'!H1319+"n/&gt;!3(."</f>
        <v>#VALUE!</v>
      </c>
      <c r="H373" t="e">
        <f>'North America'!I1319+"n/&gt;!3(/"</f>
        <v>#VALUE!</v>
      </c>
      <c r="I373" t="e">
        <f>'North America'!A1320+"n/&gt;!3(0"</f>
        <v>#VALUE!</v>
      </c>
      <c r="J373" t="e">
        <f>'North America'!B1320+"n/&gt;!3(1"</f>
        <v>#VALUE!</v>
      </c>
      <c r="K373" t="e">
        <f>'North America'!C1320+"n/&gt;!3(2"</f>
        <v>#VALUE!</v>
      </c>
      <c r="L373" t="e">
        <f>'North America'!D1320+"n/&gt;!3(3"</f>
        <v>#VALUE!</v>
      </c>
      <c r="M373" t="e">
        <f>'North America'!E1320+"n/&gt;!3(4"</f>
        <v>#VALUE!</v>
      </c>
      <c r="N373" t="e">
        <f>'North America'!F1320+"n/&gt;!3(5"</f>
        <v>#VALUE!</v>
      </c>
      <c r="O373" t="e">
        <f>'North America'!G1320+"n/&gt;!3(6"</f>
        <v>#VALUE!</v>
      </c>
      <c r="P373" t="e">
        <f>'North America'!H1320+"n/&gt;!3(7"</f>
        <v>#VALUE!</v>
      </c>
      <c r="Q373" t="e">
        <f>'North America'!I1320+"n/&gt;!3(8"</f>
        <v>#VALUE!</v>
      </c>
      <c r="R373" t="e">
        <f>'North America'!A1321+"n/&gt;!3(9"</f>
        <v>#VALUE!</v>
      </c>
      <c r="S373" t="e">
        <f>'North America'!B1321+"n/&gt;!3(:"</f>
        <v>#VALUE!</v>
      </c>
      <c r="T373" t="e">
        <f>'North America'!C1321+"n/&gt;!3(;"</f>
        <v>#VALUE!</v>
      </c>
      <c r="U373" t="e">
        <f>'North America'!D1321+"n/&gt;!3(&lt;"</f>
        <v>#VALUE!</v>
      </c>
      <c r="V373" t="e">
        <f>'North America'!E1321+"n/&gt;!3(="</f>
        <v>#VALUE!</v>
      </c>
      <c r="W373" t="e">
        <f>'North America'!F1321+"n/&gt;!3(&gt;"</f>
        <v>#VALUE!</v>
      </c>
      <c r="X373" t="e">
        <f>'North America'!G1321+"n/&gt;!3(?"</f>
        <v>#VALUE!</v>
      </c>
      <c r="Y373" t="e">
        <f>'North America'!H1321+"n/&gt;!3(@"</f>
        <v>#VALUE!</v>
      </c>
      <c r="Z373" t="e">
        <f>'North America'!I1321+"n/&gt;!3(A"</f>
        <v>#VALUE!</v>
      </c>
      <c r="AA373" t="e">
        <f>'North America'!A1322+"n/&gt;!3(B"</f>
        <v>#VALUE!</v>
      </c>
      <c r="AB373" t="e">
        <f>'North America'!B1322+"n/&gt;!3(C"</f>
        <v>#VALUE!</v>
      </c>
      <c r="AC373" t="e">
        <f>'North America'!C1322+"n/&gt;!3(D"</f>
        <v>#VALUE!</v>
      </c>
      <c r="AD373" t="e">
        <f>'North America'!D1322+"n/&gt;!3(E"</f>
        <v>#VALUE!</v>
      </c>
      <c r="AE373" t="e">
        <f>'North America'!E1322+"n/&gt;!3(F"</f>
        <v>#VALUE!</v>
      </c>
      <c r="AF373" t="e">
        <f>'North America'!F1322+"n/&gt;!3(G"</f>
        <v>#VALUE!</v>
      </c>
      <c r="AG373" t="e">
        <f>'North America'!G1322+"n/&gt;!3(H"</f>
        <v>#VALUE!</v>
      </c>
      <c r="AH373" t="e">
        <f>'North America'!H1322+"n/&gt;!3(I"</f>
        <v>#VALUE!</v>
      </c>
      <c r="AI373" t="e">
        <f>'North America'!I1322+"n/&gt;!3(J"</f>
        <v>#VALUE!</v>
      </c>
      <c r="AJ373" t="e">
        <f>'North America'!A1323+"n/&gt;!3(K"</f>
        <v>#VALUE!</v>
      </c>
      <c r="AK373" t="e">
        <f>'North America'!B1323+"n/&gt;!3(L"</f>
        <v>#VALUE!</v>
      </c>
      <c r="AL373" t="e">
        <f>'North America'!C1323+"n/&gt;!3(M"</f>
        <v>#VALUE!</v>
      </c>
      <c r="AM373" t="e">
        <f>'North America'!D1323+"n/&gt;!3(N"</f>
        <v>#VALUE!</v>
      </c>
      <c r="AN373" t="e">
        <f>'North America'!E1323+"n/&gt;!3(O"</f>
        <v>#VALUE!</v>
      </c>
      <c r="AO373" t="e">
        <f>'North America'!F1323+"n/&gt;!3(P"</f>
        <v>#VALUE!</v>
      </c>
      <c r="AP373" t="e">
        <f>'North America'!G1323+"n/&gt;!3(Q"</f>
        <v>#VALUE!</v>
      </c>
      <c r="AQ373" t="e">
        <f>'North America'!H1323+"n/&gt;!3(R"</f>
        <v>#VALUE!</v>
      </c>
      <c r="AR373" t="e">
        <f>'North America'!I1323+"n/&gt;!3(S"</f>
        <v>#VALUE!</v>
      </c>
      <c r="AS373" t="e">
        <f>'North America'!A1324+"n/&gt;!3(T"</f>
        <v>#VALUE!</v>
      </c>
      <c r="AT373" t="e">
        <f>'North America'!B1324+"n/&gt;!3(U"</f>
        <v>#VALUE!</v>
      </c>
      <c r="AU373" t="e">
        <f>'North America'!C1324+"n/&gt;!3(V"</f>
        <v>#VALUE!</v>
      </c>
      <c r="AV373" t="e">
        <f>'North America'!D1324+"n/&gt;!3(W"</f>
        <v>#VALUE!</v>
      </c>
      <c r="AW373" t="e">
        <f>'North America'!E1324+"n/&gt;!3(X"</f>
        <v>#VALUE!</v>
      </c>
      <c r="AX373" t="e">
        <f>'North America'!F1324+"n/&gt;!3(Y"</f>
        <v>#VALUE!</v>
      </c>
      <c r="AY373" t="e">
        <f>'North America'!G1324+"n/&gt;!3(Z"</f>
        <v>#VALUE!</v>
      </c>
      <c r="AZ373" t="e">
        <f>'North America'!H1324+"n/&gt;!3(["</f>
        <v>#VALUE!</v>
      </c>
      <c r="BA373" t="e">
        <f>'North America'!I1324+"n/&gt;!3(\"</f>
        <v>#VALUE!</v>
      </c>
      <c r="BB373" t="e">
        <f>'North America'!A1325+"n/&gt;!3(]"</f>
        <v>#VALUE!</v>
      </c>
      <c r="BC373" t="e">
        <f>'North America'!B1325+"n/&gt;!3(^"</f>
        <v>#VALUE!</v>
      </c>
      <c r="BD373" t="e">
        <f>'North America'!C1325+"n/&gt;!3(_"</f>
        <v>#VALUE!</v>
      </c>
      <c r="BE373" t="e">
        <f>'North America'!D1325+"n/&gt;!3(`"</f>
        <v>#VALUE!</v>
      </c>
      <c r="BF373" t="e">
        <f>'North America'!E1325+"n/&gt;!3(a"</f>
        <v>#VALUE!</v>
      </c>
      <c r="BG373" t="e">
        <f>'North America'!F1325+"n/&gt;!3(b"</f>
        <v>#VALUE!</v>
      </c>
      <c r="BH373" t="e">
        <f>'North America'!G1325+"n/&gt;!3(c"</f>
        <v>#VALUE!</v>
      </c>
      <c r="BI373" t="e">
        <f>'North America'!H1325+"n/&gt;!3(d"</f>
        <v>#VALUE!</v>
      </c>
      <c r="BJ373" t="e">
        <f>'North America'!I1325+"n/&gt;!3(e"</f>
        <v>#VALUE!</v>
      </c>
      <c r="BK373" t="e">
        <f>'North America'!A1326+"n/&gt;!3(f"</f>
        <v>#VALUE!</v>
      </c>
      <c r="BL373" t="e">
        <f>'North America'!B1326+"n/&gt;!3(g"</f>
        <v>#VALUE!</v>
      </c>
      <c r="BM373" t="e">
        <f>'North America'!C1326+"n/&gt;!3(h"</f>
        <v>#VALUE!</v>
      </c>
      <c r="BN373" t="e">
        <f>'North America'!D1326+"n/&gt;!3(i"</f>
        <v>#VALUE!</v>
      </c>
      <c r="BO373" t="e">
        <f>'North America'!E1326+"n/&gt;!3(j"</f>
        <v>#VALUE!</v>
      </c>
      <c r="BP373" t="e">
        <f>'North America'!F1326+"n/&gt;!3(k"</f>
        <v>#VALUE!</v>
      </c>
      <c r="BQ373" t="e">
        <f>'North America'!G1326+"n/&gt;!3(l"</f>
        <v>#VALUE!</v>
      </c>
      <c r="BR373" t="e">
        <f>'North America'!H1326+"n/&gt;!3(m"</f>
        <v>#VALUE!</v>
      </c>
      <c r="BS373" t="e">
        <f>'North America'!I1326+"n/&gt;!3(n"</f>
        <v>#VALUE!</v>
      </c>
      <c r="BT373" t="e">
        <f>'North America'!A1327+"n/&gt;!3(o"</f>
        <v>#VALUE!</v>
      </c>
      <c r="BU373" t="e">
        <f>'North America'!B1327+"n/&gt;!3(p"</f>
        <v>#VALUE!</v>
      </c>
      <c r="BV373" t="e">
        <f>'North America'!C1327+"n/&gt;!3(q"</f>
        <v>#VALUE!</v>
      </c>
      <c r="BW373" t="e">
        <f>'North America'!D1327+"n/&gt;!3(r"</f>
        <v>#VALUE!</v>
      </c>
      <c r="BX373" t="e">
        <f>'North America'!E1327+"n/&gt;!3(s"</f>
        <v>#VALUE!</v>
      </c>
      <c r="BY373" t="e">
        <f>'North America'!F1327+"n/&gt;!3(t"</f>
        <v>#VALUE!</v>
      </c>
      <c r="BZ373" t="e">
        <f>'North America'!G1327+"n/&gt;!3(u"</f>
        <v>#VALUE!</v>
      </c>
      <c r="CA373" t="e">
        <f>'North America'!H1327+"n/&gt;!3(v"</f>
        <v>#VALUE!</v>
      </c>
      <c r="CB373" t="e">
        <f>'North America'!I1327+"n/&gt;!3(w"</f>
        <v>#VALUE!</v>
      </c>
      <c r="CC373" t="e">
        <f>'North America'!A1328+"n/&gt;!3(x"</f>
        <v>#VALUE!</v>
      </c>
      <c r="CD373" t="e">
        <f>'North America'!B1328+"n/&gt;!3(y"</f>
        <v>#VALUE!</v>
      </c>
      <c r="CE373" t="e">
        <f>'North America'!C1328+"n/&gt;!3(z"</f>
        <v>#VALUE!</v>
      </c>
      <c r="CF373" t="e">
        <f>'North America'!D1328+"n/&gt;!3({"</f>
        <v>#VALUE!</v>
      </c>
      <c r="CG373" t="e">
        <f>'North America'!E1328+"n/&gt;!3(|"</f>
        <v>#VALUE!</v>
      </c>
      <c r="CH373" t="e">
        <f>'North America'!F1328+"n/&gt;!3(}"</f>
        <v>#VALUE!</v>
      </c>
      <c r="CI373" t="e">
        <f>'North America'!G1328+"n/&gt;!3(~"</f>
        <v>#VALUE!</v>
      </c>
      <c r="CJ373" t="e">
        <f>'North America'!H1328+"n/&gt;!3)#"</f>
        <v>#VALUE!</v>
      </c>
      <c r="CK373" t="e">
        <f>'North America'!I1328+"n/&gt;!3)$"</f>
        <v>#VALUE!</v>
      </c>
      <c r="CL373" t="e">
        <f>'North America'!A1329+"n/&gt;!3)%"</f>
        <v>#VALUE!</v>
      </c>
      <c r="CM373" t="e">
        <f>'North America'!B1329+"n/&gt;!3)&amp;"</f>
        <v>#VALUE!</v>
      </c>
      <c r="CN373" t="e">
        <f>'North America'!C1329+"n/&gt;!3)'"</f>
        <v>#VALUE!</v>
      </c>
      <c r="CO373" t="e">
        <f>'North America'!D1329+"n/&gt;!3)("</f>
        <v>#VALUE!</v>
      </c>
      <c r="CP373" t="e">
        <f>'North America'!E1329+"n/&gt;!3))"</f>
        <v>#VALUE!</v>
      </c>
      <c r="CQ373" t="e">
        <f>'North America'!F1329+"n/&gt;!3)."</f>
        <v>#VALUE!</v>
      </c>
      <c r="CR373" t="e">
        <f>'North America'!G1329+"n/&gt;!3)/"</f>
        <v>#VALUE!</v>
      </c>
      <c r="CS373" t="e">
        <f>'North America'!H1329+"n/&gt;!3)0"</f>
        <v>#VALUE!</v>
      </c>
      <c r="CT373" t="e">
        <f>'North America'!I1329+"n/&gt;!3)1"</f>
        <v>#VALUE!</v>
      </c>
      <c r="CU373" t="e">
        <f>'North America'!A1330+"n/&gt;!3)2"</f>
        <v>#VALUE!</v>
      </c>
      <c r="CV373" t="e">
        <f>'North America'!B1330+"n/&gt;!3)3"</f>
        <v>#VALUE!</v>
      </c>
      <c r="CW373" t="e">
        <f>'North America'!C1330+"n/&gt;!3)4"</f>
        <v>#VALUE!</v>
      </c>
      <c r="CX373" t="e">
        <f>'North America'!D1330+"n/&gt;!3)5"</f>
        <v>#VALUE!</v>
      </c>
      <c r="CY373" t="e">
        <f>'North America'!E1330+"n/&gt;!3)6"</f>
        <v>#VALUE!</v>
      </c>
      <c r="CZ373" t="e">
        <f>'North America'!F1330+"n/&gt;!3)7"</f>
        <v>#VALUE!</v>
      </c>
      <c r="DA373" t="e">
        <f>'North America'!G1330+"n/&gt;!3)8"</f>
        <v>#VALUE!</v>
      </c>
      <c r="DB373" t="e">
        <f>'North America'!H1330+"n/&gt;!3)9"</f>
        <v>#VALUE!</v>
      </c>
      <c r="DC373" t="e">
        <f>'North America'!I1330+"n/&gt;!3):"</f>
        <v>#VALUE!</v>
      </c>
      <c r="DD373" t="e">
        <f>'North America'!A1331+"n/&gt;!3);"</f>
        <v>#VALUE!</v>
      </c>
      <c r="DE373" t="e">
        <f>'North America'!B1331+"n/&gt;!3)&lt;"</f>
        <v>#VALUE!</v>
      </c>
      <c r="DF373" t="e">
        <f>'North America'!C1331+"n/&gt;!3)="</f>
        <v>#VALUE!</v>
      </c>
      <c r="DG373" t="e">
        <f>'North America'!D1331+"n/&gt;!3)&gt;"</f>
        <v>#VALUE!</v>
      </c>
      <c r="DH373" t="e">
        <f>'North America'!E1331+"n/&gt;!3)?"</f>
        <v>#VALUE!</v>
      </c>
      <c r="DI373" t="e">
        <f>'North America'!F1331+"n/&gt;!3)@"</f>
        <v>#VALUE!</v>
      </c>
      <c r="DJ373" t="e">
        <f>'North America'!G1331+"n/&gt;!3)A"</f>
        <v>#VALUE!</v>
      </c>
      <c r="DK373" t="e">
        <f>'North America'!H1331+"n/&gt;!3)B"</f>
        <v>#VALUE!</v>
      </c>
      <c r="DL373" t="e">
        <f>'North America'!I1331+"n/&gt;!3)C"</f>
        <v>#VALUE!</v>
      </c>
      <c r="DM373" t="e">
        <f>'North America'!A1332+"n/&gt;!3)D"</f>
        <v>#VALUE!</v>
      </c>
      <c r="DN373" t="e">
        <f>'North America'!B1332+"n/&gt;!3)E"</f>
        <v>#VALUE!</v>
      </c>
      <c r="DO373" t="e">
        <f>'North America'!C1332+"n/&gt;!3)F"</f>
        <v>#VALUE!</v>
      </c>
      <c r="DP373" t="e">
        <f>'North America'!D1332+"n/&gt;!3)G"</f>
        <v>#VALUE!</v>
      </c>
      <c r="DQ373" t="e">
        <f>'North America'!E1332+"n/&gt;!3)H"</f>
        <v>#VALUE!</v>
      </c>
      <c r="DR373" t="e">
        <f>'North America'!F1332+"n/&gt;!3)I"</f>
        <v>#VALUE!</v>
      </c>
      <c r="DS373" t="e">
        <f>'North America'!G1332+"n/&gt;!3)J"</f>
        <v>#VALUE!</v>
      </c>
      <c r="DT373" t="e">
        <f>'North America'!H1332+"n/&gt;!3)K"</f>
        <v>#VALUE!</v>
      </c>
      <c r="DU373" t="e">
        <f>'North America'!I1332+"n/&gt;!3)L"</f>
        <v>#VALUE!</v>
      </c>
      <c r="DV373" t="e">
        <f>'North America'!A1333+"n/&gt;!3)M"</f>
        <v>#VALUE!</v>
      </c>
      <c r="DW373" t="e">
        <f>'North America'!B1333+"n/&gt;!3)N"</f>
        <v>#VALUE!</v>
      </c>
      <c r="DX373" t="e">
        <f>'North America'!C1333+"n/&gt;!3)O"</f>
        <v>#VALUE!</v>
      </c>
      <c r="DY373" t="e">
        <f>'North America'!D1333+"n/&gt;!3)P"</f>
        <v>#VALUE!</v>
      </c>
      <c r="DZ373" t="e">
        <f>'North America'!E1333+"n/&gt;!3)Q"</f>
        <v>#VALUE!</v>
      </c>
      <c r="EA373" t="e">
        <f>'North America'!F1333+"n/&gt;!3)R"</f>
        <v>#VALUE!</v>
      </c>
      <c r="EB373" t="e">
        <f>'North America'!G1333+"n/&gt;!3)S"</f>
        <v>#VALUE!</v>
      </c>
      <c r="EC373" t="e">
        <f>'North America'!H1333+"n/&gt;!3)T"</f>
        <v>#VALUE!</v>
      </c>
      <c r="ED373" t="e">
        <f>'North America'!I1333+"n/&gt;!3)U"</f>
        <v>#VALUE!</v>
      </c>
      <c r="EE373" t="e">
        <f>'North America'!A1334+"n/&gt;!3)V"</f>
        <v>#VALUE!</v>
      </c>
      <c r="EF373" t="e">
        <f>'North America'!B1334+"n/&gt;!3)W"</f>
        <v>#VALUE!</v>
      </c>
      <c r="EG373" t="e">
        <f>'North America'!C1334+"n/&gt;!3)X"</f>
        <v>#VALUE!</v>
      </c>
      <c r="EH373" t="e">
        <f>'North America'!D1334+"n/&gt;!3)Y"</f>
        <v>#VALUE!</v>
      </c>
      <c r="EI373" t="e">
        <f>'North America'!E1334+"n/&gt;!3)Z"</f>
        <v>#VALUE!</v>
      </c>
      <c r="EJ373" t="e">
        <f>'North America'!F1334+"n/&gt;!3)["</f>
        <v>#VALUE!</v>
      </c>
      <c r="EK373" t="e">
        <f>'North America'!G1334+"n/&gt;!3)\"</f>
        <v>#VALUE!</v>
      </c>
      <c r="EL373" t="e">
        <f>'North America'!H1334+"n/&gt;!3)]"</f>
        <v>#VALUE!</v>
      </c>
      <c r="EM373" t="e">
        <f>'North America'!I1334+"n/&gt;!3)^"</f>
        <v>#VALUE!</v>
      </c>
      <c r="EN373" t="e">
        <f>'North America'!A1335+"n/&gt;!3)_"</f>
        <v>#VALUE!</v>
      </c>
      <c r="EO373" t="e">
        <f>'North America'!B1335+"n/&gt;!3)`"</f>
        <v>#VALUE!</v>
      </c>
      <c r="EP373" t="e">
        <f>'North America'!C1335+"n/&gt;!3)a"</f>
        <v>#VALUE!</v>
      </c>
      <c r="EQ373" t="e">
        <f>'North America'!D1335+"n/&gt;!3)b"</f>
        <v>#VALUE!</v>
      </c>
      <c r="ER373" t="e">
        <f>'North America'!E1335+"n/&gt;!3)c"</f>
        <v>#VALUE!</v>
      </c>
      <c r="ES373" t="e">
        <f>'North America'!F1335+"n/&gt;!3)d"</f>
        <v>#VALUE!</v>
      </c>
      <c r="ET373" t="e">
        <f>'North America'!G1335+"n/&gt;!3)e"</f>
        <v>#VALUE!</v>
      </c>
      <c r="EU373" t="e">
        <f>'North America'!H1335+"n/&gt;!3)f"</f>
        <v>#VALUE!</v>
      </c>
      <c r="EV373" t="e">
        <f>'North America'!I1335+"n/&gt;!3)g"</f>
        <v>#VALUE!</v>
      </c>
      <c r="EW373" t="e">
        <f>'North America'!A1336+"n/&gt;!3)h"</f>
        <v>#VALUE!</v>
      </c>
      <c r="EX373" t="e">
        <f>'North America'!B1336+"n/&gt;!3)i"</f>
        <v>#VALUE!</v>
      </c>
      <c r="EY373" t="e">
        <f>'North America'!C1336+"n/&gt;!3)j"</f>
        <v>#VALUE!</v>
      </c>
      <c r="EZ373" t="e">
        <f>'North America'!D1336+"n/&gt;!3)k"</f>
        <v>#VALUE!</v>
      </c>
      <c r="FA373" t="e">
        <f>'North America'!E1336+"n/&gt;!3)l"</f>
        <v>#VALUE!</v>
      </c>
      <c r="FB373" t="e">
        <f>'North America'!F1336+"n/&gt;!3)m"</f>
        <v>#VALUE!</v>
      </c>
      <c r="FC373" t="e">
        <f>'North America'!G1336+"n/&gt;!3)n"</f>
        <v>#VALUE!</v>
      </c>
      <c r="FD373" t="e">
        <f>'North America'!H1336+"n/&gt;!3)o"</f>
        <v>#VALUE!</v>
      </c>
      <c r="FE373" t="e">
        <f>'North America'!I1336+"n/&gt;!3)p"</f>
        <v>#VALUE!</v>
      </c>
      <c r="FF373" t="e">
        <f>'North America'!A1337+"n/&gt;!3)q"</f>
        <v>#VALUE!</v>
      </c>
      <c r="FG373" t="e">
        <f>'North America'!B1337+"n/&gt;!3)r"</f>
        <v>#VALUE!</v>
      </c>
      <c r="FH373" t="e">
        <f>'North America'!C1337+"n/&gt;!3)s"</f>
        <v>#VALUE!</v>
      </c>
      <c r="FI373" t="e">
        <f>'North America'!D1337+"n/&gt;!3)t"</f>
        <v>#VALUE!</v>
      </c>
      <c r="FJ373" t="e">
        <f>'North America'!E1337+"n/&gt;!3)u"</f>
        <v>#VALUE!</v>
      </c>
      <c r="FK373" t="e">
        <f>'North America'!F1337+"n/&gt;!3)v"</f>
        <v>#VALUE!</v>
      </c>
      <c r="FL373" t="e">
        <f>'North America'!G1337+"n/&gt;!3)w"</f>
        <v>#VALUE!</v>
      </c>
      <c r="FM373" t="e">
        <f>'North America'!H1337+"n/&gt;!3)x"</f>
        <v>#VALUE!</v>
      </c>
      <c r="FN373" t="e">
        <f>'North America'!I1337+"n/&gt;!3)y"</f>
        <v>#VALUE!</v>
      </c>
      <c r="FO373" t="e">
        <f>'North America'!A1338+"n/&gt;!3)z"</f>
        <v>#VALUE!</v>
      </c>
      <c r="FP373" t="e">
        <f>'North America'!B1338+"n/&gt;!3){"</f>
        <v>#VALUE!</v>
      </c>
      <c r="FQ373" t="e">
        <f>'North America'!C1338+"n/&gt;!3)|"</f>
        <v>#VALUE!</v>
      </c>
      <c r="FR373" t="e">
        <f>'North America'!D1338+"n/&gt;!3)}"</f>
        <v>#VALUE!</v>
      </c>
      <c r="FS373" t="e">
        <f>'North America'!E1338+"n/&gt;!3)~"</f>
        <v>#VALUE!</v>
      </c>
      <c r="FT373" t="e">
        <f>'North America'!F1338+"n/&gt;!3.#"</f>
        <v>#VALUE!</v>
      </c>
      <c r="FU373" t="e">
        <f>'North America'!G1338+"n/&gt;!3.$"</f>
        <v>#VALUE!</v>
      </c>
      <c r="FV373" t="e">
        <f>'North America'!H1338+"n/&gt;!3.%"</f>
        <v>#VALUE!</v>
      </c>
      <c r="FW373" t="e">
        <f>'North America'!I1338+"n/&gt;!3.&amp;"</f>
        <v>#VALUE!</v>
      </c>
      <c r="FX373" t="e">
        <f>'North America'!A1339+"n/&gt;!3.'"</f>
        <v>#VALUE!</v>
      </c>
      <c r="FY373" t="e">
        <f>'North America'!B1339+"n/&gt;!3.("</f>
        <v>#VALUE!</v>
      </c>
      <c r="FZ373" t="e">
        <f>'North America'!C1339+"n/&gt;!3.)"</f>
        <v>#VALUE!</v>
      </c>
      <c r="GA373" t="e">
        <f>'North America'!D1339+"n/&gt;!3.."</f>
        <v>#VALUE!</v>
      </c>
      <c r="GB373" t="e">
        <f>'North America'!E1339+"n/&gt;!3./"</f>
        <v>#VALUE!</v>
      </c>
      <c r="GC373" t="e">
        <f>'North America'!F1339+"n/&gt;!3.0"</f>
        <v>#VALUE!</v>
      </c>
      <c r="GD373" t="e">
        <f>'North America'!G1339+"n/&gt;!3.1"</f>
        <v>#VALUE!</v>
      </c>
      <c r="GE373" t="e">
        <f>'North America'!H1339+"n/&gt;!3.2"</f>
        <v>#VALUE!</v>
      </c>
      <c r="GF373" t="e">
        <f>'North America'!I1339+"n/&gt;!3.3"</f>
        <v>#VALUE!</v>
      </c>
      <c r="GG373" t="e">
        <f>'North America'!A1340+"n/&gt;!3.4"</f>
        <v>#VALUE!</v>
      </c>
      <c r="GH373" t="e">
        <f>'North America'!B1340+"n/&gt;!3.5"</f>
        <v>#VALUE!</v>
      </c>
      <c r="GI373" t="e">
        <f>'North America'!C1340+"n/&gt;!3.6"</f>
        <v>#VALUE!</v>
      </c>
      <c r="GJ373" t="e">
        <f>'North America'!D1340+"n/&gt;!3.7"</f>
        <v>#VALUE!</v>
      </c>
      <c r="GK373" t="e">
        <f>'North America'!E1340+"n/&gt;!3.8"</f>
        <v>#VALUE!</v>
      </c>
      <c r="GL373" t="e">
        <f>'North America'!F1340+"n/&gt;!3.9"</f>
        <v>#VALUE!</v>
      </c>
      <c r="GM373" t="e">
        <f>'North America'!G1340+"n/&gt;!3.:"</f>
        <v>#VALUE!</v>
      </c>
      <c r="GN373" t="e">
        <f>'North America'!H1340+"n/&gt;!3.;"</f>
        <v>#VALUE!</v>
      </c>
      <c r="GO373" t="e">
        <f>'North America'!I1340+"n/&gt;!3.&lt;"</f>
        <v>#VALUE!</v>
      </c>
      <c r="GP373" t="e">
        <f>'North America'!A1341+"n/&gt;!3.="</f>
        <v>#VALUE!</v>
      </c>
      <c r="GQ373" t="e">
        <f>'North America'!B1341+"n/&gt;!3.&gt;"</f>
        <v>#VALUE!</v>
      </c>
      <c r="GR373" t="e">
        <f>'North America'!C1341+"n/&gt;!3.?"</f>
        <v>#VALUE!</v>
      </c>
      <c r="GS373" t="e">
        <f>'North America'!D1341+"n/&gt;!3.@"</f>
        <v>#VALUE!</v>
      </c>
      <c r="GT373" t="e">
        <f>'North America'!E1341+"n/&gt;!3.A"</f>
        <v>#VALUE!</v>
      </c>
      <c r="GU373" t="e">
        <f>'North America'!F1341+"n/&gt;!3.B"</f>
        <v>#VALUE!</v>
      </c>
      <c r="GV373" t="e">
        <f>'North America'!G1341+"n/&gt;!3.C"</f>
        <v>#VALUE!</v>
      </c>
      <c r="GW373" t="e">
        <f>'North America'!H1341+"n/&gt;!3.D"</f>
        <v>#VALUE!</v>
      </c>
      <c r="GX373" t="e">
        <f>'North America'!I1341+"n/&gt;!3.E"</f>
        <v>#VALUE!</v>
      </c>
      <c r="GY373" t="e">
        <f>'North America'!A1342+"n/&gt;!3.F"</f>
        <v>#VALUE!</v>
      </c>
      <c r="GZ373" t="e">
        <f>'North America'!B1342+"n/&gt;!3.G"</f>
        <v>#VALUE!</v>
      </c>
      <c r="HA373" t="e">
        <f>'North America'!C1342+"n/&gt;!3.H"</f>
        <v>#VALUE!</v>
      </c>
      <c r="HB373" t="e">
        <f>'North America'!D1342+"n/&gt;!3.I"</f>
        <v>#VALUE!</v>
      </c>
      <c r="HC373" t="e">
        <f>'North America'!E1342+"n/&gt;!3.J"</f>
        <v>#VALUE!</v>
      </c>
      <c r="HD373" t="e">
        <f>'North America'!F1342+"n/&gt;!3.K"</f>
        <v>#VALUE!</v>
      </c>
      <c r="HE373" t="e">
        <f>'North America'!G1342+"n/&gt;!3.L"</f>
        <v>#VALUE!</v>
      </c>
      <c r="HF373" t="e">
        <f>'North America'!H1342+"n/&gt;!3.M"</f>
        <v>#VALUE!</v>
      </c>
      <c r="HG373" t="e">
        <f>'North America'!I1342+"n/&gt;!3.N"</f>
        <v>#VALUE!</v>
      </c>
      <c r="HH373" t="e">
        <f>'North America'!A1343+"n/&gt;!3.O"</f>
        <v>#VALUE!</v>
      </c>
      <c r="HI373" t="e">
        <f>'North America'!B1343+"n/&gt;!3.P"</f>
        <v>#VALUE!</v>
      </c>
      <c r="HJ373" t="e">
        <f>'North America'!C1343+"n/&gt;!3.Q"</f>
        <v>#VALUE!</v>
      </c>
      <c r="HK373" t="e">
        <f>'North America'!D1343+"n/&gt;!3.R"</f>
        <v>#VALUE!</v>
      </c>
      <c r="HL373" t="e">
        <f>'North America'!E1343+"n/&gt;!3.S"</f>
        <v>#VALUE!</v>
      </c>
      <c r="HM373" t="e">
        <f>'North America'!F1343+"n/&gt;!3.T"</f>
        <v>#VALUE!</v>
      </c>
      <c r="HN373" t="e">
        <f>'North America'!G1343+"n/&gt;!3.U"</f>
        <v>#VALUE!</v>
      </c>
      <c r="HO373" t="e">
        <f>'North America'!H1343+"n/&gt;!3.V"</f>
        <v>#VALUE!</v>
      </c>
      <c r="HP373" t="e">
        <f>'North America'!I1343+"n/&gt;!3.W"</f>
        <v>#VALUE!</v>
      </c>
      <c r="HQ373" t="e">
        <f>'North America'!A1344+"n/&gt;!3.X"</f>
        <v>#VALUE!</v>
      </c>
      <c r="HR373" t="e">
        <f>'North America'!B1344+"n/&gt;!3.Y"</f>
        <v>#VALUE!</v>
      </c>
      <c r="HS373" t="e">
        <f>'North America'!C1344+"n/&gt;!3.Z"</f>
        <v>#VALUE!</v>
      </c>
      <c r="HT373" t="e">
        <f>'North America'!D1344+"n/&gt;!3.["</f>
        <v>#VALUE!</v>
      </c>
      <c r="HU373" t="e">
        <f>'North America'!E1344+"n/&gt;!3.\"</f>
        <v>#VALUE!</v>
      </c>
      <c r="HV373" t="e">
        <f>'North America'!F1344+"n/&gt;!3.]"</f>
        <v>#VALUE!</v>
      </c>
      <c r="HW373" t="e">
        <f>'North America'!G1344+"n/&gt;!3.^"</f>
        <v>#VALUE!</v>
      </c>
      <c r="HX373" t="e">
        <f>'North America'!H1344+"n/&gt;!3._"</f>
        <v>#VALUE!</v>
      </c>
      <c r="HY373" t="e">
        <f>'North America'!I1344+"n/&gt;!3.`"</f>
        <v>#VALUE!</v>
      </c>
      <c r="HZ373" t="e">
        <f>'North America'!A1345+"n/&gt;!3.a"</f>
        <v>#VALUE!</v>
      </c>
      <c r="IA373" t="e">
        <f>'North America'!B1345+"n/&gt;!3.b"</f>
        <v>#VALUE!</v>
      </c>
      <c r="IB373" t="e">
        <f>'North America'!C1345+"n/&gt;!3.c"</f>
        <v>#VALUE!</v>
      </c>
      <c r="IC373" t="e">
        <f>'North America'!D1345+"n/&gt;!3.d"</f>
        <v>#VALUE!</v>
      </c>
      <c r="ID373" t="e">
        <f>'North America'!E1345+"n/&gt;!3.e"</f>
        <v>#VALUE!</v>
      </c>
      <c r="IE373" t="e">
        <f>'North America'!F1345+"n/&gt;!3.f"</f>
        <v>#VALUE!</v>
      </c>
      <c r="IF373" t="e">
        <f>'North America'!G1345+"n/&gt;!3.g"</f>
        <v>#VALUE!</v>
      </c>
      <c r="IG373" t="e">
        <f>'North America'!H1345+"n/&gt;!3.h"</f>
        <v>#VALUE!</v>
      </c>
      <c r="IH373" t="e">
        <f>'North America'!I1345+"n/&gt;!3.i"</f>
        <v>#VALUE!</v>
      </c>
      <c r="II373" t="e">
        <f>'North America'!A1346+"n/&gt;!3.j"</f>
        <v>#VALUE!</v>
      </c>
      <c r="IJ373" t="e">
        <f>'North America'!B1346+"n/&gt;!3.k"</f>
        <v>#VALUE!</v>
      </c>
      <c r="IK373" t="e">
        <f>'North America'!C1346+"n/&gt;!3.l"</f>
        <v>#VALUE!</v>
      </c>
      <c r="IL373" t="e">
        <f>'North America'!D1346+"n/&gt;!3.m"</f>
        <v>#VALUE!</v>
      </c>
      <c r="IM373" t="e">
        <f>'North America'!E1346+"n/&gt;!3.n"</f>
        <v>#VALUE!</v>
      </c>
      <c r="IN373" t="e">
        <f>'North America'!F1346+"n/&gt;!3.o"</f>
        <v>#VALUE!</v>
      </c>
      <c r="IO373" t="e">
        <f>'North America'!G1346+"n/&gt;!3.p"</f>
        <v>#VALUE!</v>
      </c>
      <c r="IP373" t="e">
        <f>'North America'!H1346+"n/&gt;!3.q"</f>
        <v>#VALUE!</v>
      </c>
      <c r="IQ373" t="e">
        <f>'North America'!I1346+"n/&gt;!3.r"</f>
        <v>#VALUE!</v>
      </c>
      <c r="IR373" t="e">
        <f>'North America'!A1347+"n/&gt;!3.s"</f>
        <v>#VALUE!</v>
      </c>
      <c r="IS373" t="e">
        <f>'North America'!B1347+"n/&gt;!3.t"</f>
        <v>#VALUE!</v>
      </c>
      <c r="IT373" t="e">
        <f>'North America'!C1347+"n/&gt;!3.u"</f>
        <v>#VALUE!</v>
      </c>
      <c r="IU373" t="e">
        <f>'North America'!D1347+"n/&gt;!3.v"</f>
        <v>#VALUE!</v>
      </c>
      <c r="IV373" t="e">
        <f>'North America'!E1347+"n/&gt;!3.w"</f>
        <v>#VALUE!</v>
      </c>
    </row>
    <row r="374" spans="6:256" x14ac:dyDescent="0.35">
      <c r="F374" t="e">
        <f>'North America'!F1347+"n/&gt;!3.x"</f>
        <v>#VALUE!</v>
      </c>
      <c r="G374" t="e">
        <f>'North America'!G1347+"n/&gt;!3.y"</f>
        <v>#VALUE!</v>
      </c>
      <c r="H374" t="e">
        <f>'North America'!H1347+"n/&gt;!3.z"</f>
        <v>#VALUE!</v>
      </c>
      <c r="I374" t="e">
        <f>'North America'!I1347+"n/&gt;!3.{"</f>
        <v>#VALUE!</v>
      </c>
      <c r="J374" t="e">
        <f>'North America'!A1348+"n/&gt;!3.|"</f>
        <v>#VALUE!</v>
      </c>
      <c r="K374" t="e">
        <f>'North America'!B1348+"n/&gt;!3.}"</f>
        <v>#VALUE!</v>
      </c>
      <c r="L374" t="e">
        <f>'North America'!C1348+"n/&gt;!3.~"</f>
        <v>#VALUE!</v>
      </c>
      <c r="M374" t="e">
        <f>'North America'!D1348+"n/&gt;!3/#"</f>
        <v>#VALUE!</v>
      </c>
      <c r="N374" t="e">
        <f>'North America'!E1348+"n/&gt;!3/$"</f>
        <v>#VALUE!</v>
      </c>
      <c r="O374" t="e">
        <f>'North America'!F1348+"n/&gt;!3/%"</f>
        <v>#VALUE!</v>
      </c>
      <c r="P374" t="e">
        <f>'North America'!G1348+"n/&gt;!3/&amp;"</f>
        <v>#VALUE!</v>
      </c>
      <c r="Q374" t="e">
        <f>'North America'!H1348+"n/&gt;!3/'"</f>
        <v>#VALUE!</v>
      </c>
      <c r="R374" t="e">
        <f>'North America'!I1348+"n/&gt;!3/("</f>
        <v>#VALUE!</v>
      </c>
      <c r="S374" t="e">
        <f>'North America'!A1349+"n/&gt;!3/)"</f>
        <v>#VALUE!</v>
      </c>
      <c r="T374" t="e">
        <f>'North America'!B1349+"n/&gt;!3/."</f>
        <v>#VALUE!</v>
      </c>
      <c r="U374" t="e">
        <f>'North America'!C1349+"n/&gt;!3//"</f>
        <v>#VALUE!</v>
      </c>
      <c r="V374" t="e">
        <f>'North America'!D1349+"n/&gt;!3/0"</f>
        <v>#VALUE!</v>
      </c>
      <c r="W374" t="e">
        <f>'North America'!E1349+"n/&gt;!3/1"</f>
        <v>#VALUE!</v>
      </c>
      <c r="X374" t="e">
        <f>'North America'!F1349+"n/&gt;!3/2"</f>
        <v>#VALUE!</v>
      </c>
      <c r="Y374" t="e">
        <f>'North America'!G1349+"n/&gt;!3/3"</f>
        <v>#VALUE!</v>
      </c>
      <c r="Z374" t="e">
        <f>'North America'!H1349+"n/&gt;!3/4"</f>
        <v>#VALUE!</v>
      </c>
      <c r="AA374" t="e">
        <f>'North America'!I1349+"n/&gt;!3/5"</f>
        <v>#VALUE!</v>
      </c>
      <c r="AB374" t="e">
        <f>'North America'!A1350+"n/&gt;!3/6"</f>
        <v>#VALUE!</v>
      </c>
      <c r="AC374" t="e">
        <f>'North America'!B1350+"n/&gt;!3/7"</f>
        <v>#VALUE!</v>
      </c>
      <c r="AD374" t="e">
        <f>'North America'!C1350+"n/&gt;!3/8"</f>
        <v>#VALUE!</v>
      </c>
      <c r="AE374" t="e">
        <f>'North America'!D1350+"n/&gt;!3/9"</f>
        <v>#VALUE!</v>
      </c>
      <c r="AF374" t="e">
        <f>'North America'!E1350+"n/&gt;!3/:"</f>
        <v>#VALUE!</v>
      </c>
      <c r="AG374" t="e">
        <f>'North America'!F1350+"n/&gt;!3/;"</f>
        <v>#VALUE!</v>
      </c>
      <c r="AH374" t="e">
        <f>'North America'!G1350+"n/&gt;!3/&lt;"</f>
        <v>#VALUE!</v>
      </c>
      <c r="AI374" t="e">
        <f>'North America'!H1350+"n/&gt;!3/="</f>
        <v>#VALUE!</v>
      </c>
      <c r="AJ374" t="e">
        <f>'North America'!I1350+"n/&gt;!3/&gt;"</f>
        <v>#VALUE!</v>
      </c>
      <c r="AK374" t="e">
        <f>'North America'!A1351+"n/&gt;!3/?"</f>
        <v>#VALUE!</v>
      </c>
      <c r="AL374" t="e">
        <f>'North America'!B1351+"n/&gt;!3/@"</f>
        <v>#VALUE!</v>
      </c>
      <c r="AM374" t="e">
        <f>'North America'!C1351+"n/&gt;!3/A"</f>
        <v>#VALUE!</v>
      </c>
      <c r="AN374" t="e">
        <f>'North America'!D1351+"n/&gt;!3/B"</f>
        <v>#VALUE!</v>
      </c>
      <c r="AO374" t="e">
        <f>'North America'!E1351+"n/&gt;!3/C"</f>
        <v>#VALUE!</v>
      </c>
      <c r="AP374" t="e">
        <f>'North America'!F1351+"n/&gt;!3/D"</f>
        <v>#VALUE!</v>
      </c>
      <c r="AQ374" t="e">
        <f>'North America'!G1351+"n/&gt;!3/E"</f>
        <v>#VALUE!</v>
      </c>
      <c r="AR374" t="e">
        <f>'North America'!H1351+"n/&gt;!3/F"</f>
        <v>#VALUE!</v>
      </c>
      <c r="AS374" t="e">
        <f>'North America'!I1351+"n/&gt;!3/G"</f>
        <v>#VALUE!</v>
      </c>
      <c r="AT374" t="e">
        <f>'North America'!A1352+"n/&gt;!3/H"</f>
        <v>#VALUE!</v>
      </c>
      <c r="AU374" t="e">
        <f>'North America'!B1352+"n/&gt;!3/I"</f>
        <v>#VALUE!</v>
      </c>
      <c r="AV374" t="e">
        <f>'North America'!C1352+"n/&gt;!3/J"</f>
        <v>#VALUE!</v>
      </c>
      <c r="AW374" t="e">
        <f>'North America'!D1352+"n/&gt;!3/K"</f>
        <v>#VALUE!</v>
      </c>
      <c r="AX374" t="e">
        <f>'North America'!E1352+"n/&gt;!3/L"</f>
        <v>#VALUE!</v>
      </c>
      <c r="AY374" t="e">
        <f>'North America'!F1352+"n/&gt;!3/M"</f>
        <v>#VALUE!</v>
      </c>
      <c r="AZ374" t="e">
        <f>'North America'!G1352+"n/&gt;!3/N"</f>
        <v>#VALUE!</v>
      </c>
      <c r="BA374" t="e">
        <f>'North America'!H1352+"n/&gt;!3/O"</f>
        <v>#VALUE!</v>
      </c>
      <c r="BB374" t="e">
        <f>'North America'!I1352+"n/&gt;!3/P"</f>
        <v>#VALUE!</v>
      </c>
      <c r="BC374" t="e">
        <f>'North America'!A1353+"n/&gt;!3/Q"</f>
        <v>#VALUE!</v>
      </c>
      <c r="BD374" t="e">
        <f>'North America'!B1353+"n/&gt;!3/R"</f>
        <v>#VALUE!</v>
      </c>
      <c r="BE374" t="e">
        <f>'North America'!C1353+"n/&gt;!3/S"</f>
        <v>#VALUE!</v>
      </c>
      <c r="BF374" t="e">
        <f>'North America'!D1353+"n/&gt;!3/T"</f>
        <v>#VALUE!</v>
      </c>
      <c r="BG374" t="e">
        <f>'North America'!E1353+"n/&gt;!3/U"</f>
        <v>#VALUE!</v>
      </c>
      <c r="BH374" t="e">
        <f>'North America'!F1353+"n/&gt;!3/V"</f>
        <v>#VALUE!</v>
      </c>
      <c r="BI374" t="e">
        <f>'North America'!G1353+"n/&gt;!3/W"</f>
        <v>#VALUE!</v>
      </c>
      <c r="BJ374" t="e">
        <f>'North America'!H1353+"n/&gt;!3/X"</f>
        <v>#VALUE!</v>
      </c>
      <c r="BK374" t="e">
        <f>'North America'!I1353+"n/&gt;!3/Y"</f>
        <v>#VALUE!</v>
      </c>
      <c r="BL374" t="e">
        <f>'North America'!A1354+"n/&gt;!3/Z"</f>
        <v>#VALUE!</v>
      </c>
      <c r="BM374" t="e">
        <f>'North America'!B1354+"n/&gt;!3/["</f>
        <v>#VALUE!</v>
      </c>
      <c r="BN374" t="e">
        <f>'North America'!C1354+"n/&gt;!3/\"</f>
        <v>#VALUE!</v>
      </c>
      <c r="BO374" t="e">
        <f>'North America'!D1354+"n/&gt;!3/]"</f>
        <v>#VALUE!</v>
      </c>
      <c r="BP374" t="e">
        <f>'North America'!E1354+"n/&gt;!3/^"</f>
        <v>#VALUE!</v>
      </c>
      <c r="BQ374" t="e">
        <f>'North America'!F1354+"n/&gt;!3/_"</f>
        <v>#VALUE!</v>
      </c>
      <c r="BR374" t="e">
        <f>'North America'!G1354+"n/&gt;!3/`"</f>
        <v>#VALUE!</v>
      </c>
      <c r="BS374" t="e">
        <f>'North America'!H1354+"n/&gt;!3/a"</f>
        <v>#VALUE!</v>
      </c>
      <c r="BT374" t="e">
        <f>'North America'!I1354+"n/&gt;!3/b"</f>
        <v>#VALUE!</v>
      </c>
      <c r="BU374" t="e">
        <f>'North America'!A1355+"n/&gt;!3/c"</f>
        <v>#VALUE!</v>
      </c>
      <c r="BV374" t="e">
        <f>'North America'!B1355+"n/&gt;!3/d"</f>
        <v>#VALUE!</v>
      </c>
      <c r="BW374" t="e">
        <f>'North America'!C1355+"n/&gt;!3/e"</f>
        <v>#VALUE!</v>
      </c>
      <c r="BX374" t="e">
        <f>'North America'!D1355+"n/&gt;!3/f"</f>
        <v>#VALUE!</v>
      </c>
      <c r="BY374" t="e">
        <f>'North America'!E1355+"n/&gt;!3/g"</f>
        <v>#VALUE!</v>
      </c>
      <c r="BZ374" t="e">
        <f>'North America'!F1355+"n/&gt;!3/h"</f>
        <v>#VALUE!</v>
      </c>
      <c r="CA374" t="e">
        <f>'North America'!G1355+"n/&gt;!3/i"</f>
        <v>#VALUE!</v>
      </c>
      <c r="CB374" t="e">
        <f>'North America'!H1355+"n/&gt;!3/j"</f>
        <v>#VALUE!</v>
      </c>
      <c r="CC374" t="e">
        <f>'North America'!I1355+"n/&gt;!3/k"</f>
        <v>#VALUE!</v>
      </c>
      <c r="CD374" t="e">
        <f>'North America'!A1356+"n/&gt;!3/l"</f>
        <v>#VALUE!</v>
      </c>
      <c r="CE374" t="e">
        <f>'North America'!B1356+"n/&gt;!3/m"</f>
        <v>#VALUE!</v>
      </c>
      <c r="CF374" t="e">
        <f>'North America'!C1356+"n/&gt;!3/n"</f>
        <v>#VALUE!</v>
      </c>
      <c r="CG374" t="e">
        <f>'North America'!D1356+"n/&gt;!3/o"</f>
        <v>#VALUE!</v>
      </c>
      <c r="CH374" t="e">
        <f>'North America'!E1356+"n/&gt;!3/p"</f>
        <v>#VALUE!</v>
      </c>
      <c r="CI374" t="e">
        <f>'North America'!F1356+"n/&gt;!3/q"</f>
        <v>#VALUE!</v>
      </c>
      <c r="CJ374" t="e">
        <f>'North America'!G1356+"n/&gt;!3/r"</f>
        <v>#VALUE!</v>
      </c>
      <c r="CK374" t="e">
        <f>'North America'!H1356+"n/&gt;!3/s"</f>
        <v>#VALUE!</v>
      </c>
      <c r="CL374" t="e">
        <f>'North America'!I1356+"n/&gt;!3/t"</f>
        <v>#VALUE!</v>
      </c>
      <c r="CM374" t="e">
        <f>'North America'!A1357+"n/&gt;!3/u"</f>
        <v>#VALUE!</v>
      </c>
      <c r="CN374" t="e">
        <f>'North America'!B1357+"n/&gt;!3/v"</f>
        <v>#VALUE!</v>
      </c>
      <c r="CO374" t="e">
        <f>'North America'!C1357+"n/&gt;!3/w"</f>
        <v>#VALUE!</v>
      </c>
      <c r="CP374" t="e">
        <f>'North America'!D1357+"n/&gt;!3/x"</f>
        <v>#VALUE!</v>
      </c>
      <c r="CQ374" t="e">
        <f>'North America'!E1357+"n/&gt;!3/y"</f>
        <v>#VALUE!</v>
      </c>
      <c r="CR374" t="e">
        <f>'North America'!F1357+"n/&gt;!3/z"</f>
        <v>#VALUE!</v>
      </c>
      <c r="CS374" t="e">
        <f>'North America'!G1357+"n/&gt;!3/{"</f>
        <v>#VALUE!</v>
      </c>
      <c r="CT374" t="e">
        <f>'North America'!H1357+"n/&gt;!3/|"</f>
        <v>#VALUE!</v>
      </c>
      <c r="CU374" t="e">
        <f>'North America'!I1357+"n/&gt;!3/}"</f>
        <v>#VALUE!</v>
      </c>
      <c r="CV374" t="e">
        <f>'North America'!A1358+"n/&gt;!3/~"</f>
        <v>#VALUE!</v>
      </c>
      <c r="CW374" t="e">
        <f>'North America'!B1358+"n/&gt;!30#"</f>
        <v>#VALUE!</v>
      </c>
      <c r="CX374" t="e">
        <f>'North America'!C1358+"n/&gt;!30$"</f>
        <v>#VALUE!</v>
      </c>
      <c r="CY374" t="e">
        <f>'North America'!D1358+"n/&gt;!30%"</f>
        <v>#VALUE!</v>
      </c>
      <c r="CZ374" t="e">
        <f>'North America'!E1358+"n/&gt;!30&amp;"</f>
        <v>#VALUE!</v>
      </c>
      <c r="DA374" t="e">
        <f>'North America'!F1358+"n/&gt;!30'"</f>
        <v>#VALUE!</v>
      </c>
      <c r="DB374" t="e">
        <f>'North America'!G1358+"n/&gt;!30("</f>
        <v>#VALUE!</v>
      </c>
      <c r="DC374" t="e">
        <f>'North America'!H1358+"n/&gt;!30)"</f>
        <v>#VALUE!</v>
      </c>
      <c r="DD374" t="e">
        <f>'North America'!I1358+"n/&gt;!30."</f>
        <v>#VALUE!</v>
      </c>
      <c r="DE374" t="e">
        <f>'North America'!A1359+"n/&gt;!30/"</f>
        <v>#VALUE!</v>
      </c>
      <c r="DF374" t="e">
        <f>'North America'!B1359+"n/&gt;!300"</f>
        <v>#VALUE!</v>
      </c>
      <c r="DG374" t="e">
        <f>'North America'!C1359+"n/&gt;!301"</f>
        <v>#VALUE!</v>
      </c>
      <c r="DH374" t="e">
        <f>'North America'!D1359+"n/&gt;!302"</f>
        <v>#VALUE!</v>
      </c>
      <c r="DI374" t="e">
        <f>'North America'!E1359+"n/&gt;!303"</f>
        <v>#VALUE!</v>
      </c>
      <c r="DJ374" t="e">
        <f>'North America'!F1359+"n/&gt;!304"</f>
        <v>#VALUE!</v>
      </c>
      <c r="DK374" t="e">
        <f>'North America'!G1359+"n/&gt;!305"</f>
        <v>#VALUE!</v>
      </c>
      <c r="DL374" t="e">
        <f>'North America'!H1359+"n/&gt;!306"</f>
        <v>#VALUE!</v>
      </c>
      <c r="DM374" t="e">
        <f>'North America'!I1359+"n/&gt;!307"</f>
        <v>#VALUE!</v>
      </c>
      <c r="DN374" t="e">
        <f>'North America'!A1360+"n/&gt;!308"</f>
        <v>#VALUE!</v>
      </c>
      <c r="DO374" t="e">
        <f>'North America'!B1360+"n/&gt;!309"</f>
        <v>#VALUE!</v>
      </c>
      <c r="DP374" t="e">
        <f>'North America'!C1360+"n/&gt;!30:"</f>
        <v>#VALUE!</v>
      </c>
      <c r="DQ374" t="e">
        <f>'North America'!D1360+"n/&gt;!30;"</f>
        <v>#VALUE!</v>
      </c>
      <c r="DR374" t="e">
        <f>'North America'!E1360+"n/&gt;!30&lt;"</f>
        <v>#VALUE!</v>
      </c>
      <c r="DS374" t="e">
        <f>'North America'!F1360+"n/&gt;!30="</f>
        <v>#VALUE!</v>
      </c>
      <c r="DT374" t="e">
        <f>'North America'!G1360+"n/&gt;!30&gt;"</f>
        <v>#VALUE!</v>
      </c>
      <c r="DU374" t="e">
        <f>'North America'!H1360+"n/&gt;!30?"</f>
        <v>#VALUE!</v>
      </c>
      <c r="DV374" t="e">
        <f>'North America'!I1360+"n/&gt;!30@"</f>
        <v>#VALUE!</v>
      </c>
      <c r="DW374" t="e">
        <f>'North America'!A1361+"n/&gt;!30A"</f>
        <v>#VALUE!</v>
      </c>
      <c r="DX374" t="e">
        <f>'North America'!B1361+"n/&gt;!30B"</f>
        <v>#VALUE!</v>
      </c>
      <c r="DY374" t="e">
        <f>'North America'!C1361+"n/&gt;!30C"</f>
        <v>#VALUE!</v>
      </c>
      <c r="DZ374" t="e">
        <f>'North America'!D1361+"n/&gt;!30D"</f>
        <v>#VALUE!</v>
      </c>
      <c r="EA374" t="e">
        <f>'North America'!E1361+"n/&gt;!30E"</f>
        <v>#VALUE!</v>
      </c>
      <c r="EB374" t="e">
        <f>'North America'!F1361+"n/&gt;!30F"</f>
        <v>#VALUE!</v>
      </c>
      <c r="EC374" t="e">
        <f>'North America'!G1361+"n/&gt;!30G"</f>
        <v>#VALUE!</v>
      </c>
      <c r="ED374" t="e">
        <f>'North America'!H1361+"n/&gt;!30H"</f>
        <v>#VALUE!</v>
      </c>
      <c r="EE374" t="e">
        <f>'North America'!I1361+"n/&gt;!30I"</f>
        <v>#VALUE!</v>
      </c>
      <c r="EF374" t="e">
        <f>'North America'!A1362+"n/&gt;!30J"</f>
        <v>#VALUE!</v>
      </c>
      <c r="EG374" t="e">
        <f>'North America'!B1362+"n/&gt;!30K"</f>
        <v>#VALUE!</v>
      </c>
      <c r="EH374" t="e">
        <f>'North America'!C1362+"n/&gt;!30L"</f>
        <v>#VALUE!</v>
      </c>
      <c r="EI374" t="e">
        <f>'North America'!D1362+"n/&gt;!30M"</f>
        <v>#VALUE!</v>
      </c>
      <c r="EJ374" t="e">
        <f>'North America'!E1362+"n/&gt;!30N"</f>
        <v>#VALUE!</v>
      </c>
      <c r="EK374" t="e">
        <f>'North America'!F1362+"n/&gt;!30O"</f>
        <v>#VALUE!</v>
      </c>
      <c r="EL374" t="e">
        <f>'North America'!G1362+"n/&gt;!30P"</f>
        <v>#VALUE!</v>
      </c>
      <c r="EM374" t="e">
        <f>'North America'!H1362+"n/&gt;!30Q"</f>
        <v>#VALUE!</v>
      </c>
      <c r="EN374" t="e">
        <f>'North America'!I1362+"n/&gt;!30R"</f>
        <v>#VALUE!</v>
      </c>
      <c r="EO374" t="e">
        <f>'North America'!A1363+"n/&gt;!30S"</f>
        <v>#VALUE!</v>
      </c>
      <c r="EP374" t="e">
        <f>'North America'!B1363+"n/&gt;!30T"</f>
        <v>#VALUE!</v>
      </c>
      <c r="EQ374" t="e">
        <f>'North America'!C1363+"n/&gt;!30U"</f>
        <v>#VALUE!</v>
      </c>
      <c r="ER374" t="e">
        <f>'North America'!D1363+"n/&gt;!30V"</f>
        <v>#VALUE!</v>
      </c>
      <c r="ES374" t="e">
        <f>'North America'!E1363+"n/&gt;!30W"</f>
        <v>#VALUE!</v>
      </c>
      <c r="ET374" t="e">
        <f>'North America'!F1363+"n/&gt;!30X"</f>
        <v>#VALUE!</v>
      </c>
      <c r="EU374" t="e">
        <f>'North America'!G1363+"n/&gt;!30Y"</f>
        <v>#VALUE!</v>
      </c>
      <c r="EV374" t="e">
        <f>'North America'!H1363+"n/&gt;!30Z"</f>
        <v>#VALUE!</v>
      </c>
      <c r="EW374" t="e">
        <f>'North America'!I1363+"n/&gt;!30["</f>
        <v>#VALUE!</v>
      </c>
      <c r="EX374" t="e">
        <f>'North America'!A1364+"n/&gt;!30\"</f>
        <v>#VALUE!</v>
      </c>
      <c r="EY374" t="e">
        <f>'North America'!B1364+"n/&gt;!30]"</f>
        <v>#VALUE!</v>
      </c>
      <c r="EZ374" t="e">
        <f>'North America'!C1364+"n/&gt;!30^"</f>
        <v>#VALUE!</v>
      </c>
      <c r="FA374" t="e">
        <f>'North America'!D1364+"n/&gt;!30_"</f>
        <v>#VALUE!</v>
      </c>
      <c r="FB374" t="e">
        <f>'North America'!E1364+"n/&gt;!30`"</f>
        <v>#VALUE!</v>
      </c>
      <c r="FC374" t="e">
        <f>'North America'!F1364+"n/&gt;!30a"</f>
        <v>#VALUE!</v>
      </c>
      <c r="FD374" t="e">
        <f>'North America'!G1364+"n/&gt;!30b"</f>
        <v>#VALUE!</v>
      </c>
      <c r="FE374" t="e">
        <f>'North America'!H1364+"n/&gt;!30c"</f>
        <v>#VALUE!</v>
      </c>
      <c r="FF374" t="e">
        <f>'North America'!I1364+"n/&gt;!30d"</f>
        <v>#VALUE!</v>
      </c>
      <c r="FG374" t="e">
        <f>'North America'!A1365+"n/&gt;!30e"</f>
        <v>#VALUE!</v>
      </c>
      <c r="FH374" t="e">
        <f>'North America'!B1365+"n/&gt;!30f"</f>
        <v>#VALUE!</v>
      </c>
      <c r="FI374" t="e">
        <f>'North America'!C1365+"n/&gt;!30g"</f>
        <v>#VALUE!</v>
      </c>
      <c r="FJ374" t="e">
        <f>'North America'!D1365+"n/&gt;!30h"</f>
        <v>#VALUE!</v>
      </c>
      <c r="FK374" t="e">
        <f>'North America'!E1365+"n/&gt;!30i"</f>
        <v>#VALUE!</v>
      </c>
      <c r="FL374" t="e">
        <f>'North America'!F1365+"n/&gt;!30j"</f>
        <v>#VALUE!</v>
      </c>
      <c r="FM374" t="e">
        <f>'North America'!G1365+"n/&gt;!30k"</f>
        <v>#VALUE!</v>
      </c>
      <c r="FN374" t="e">
        <f>'North America'!H1365+"n/&gt;!30l"</f>
        <v>#VALUE!</v>
      </c>
      <c r="FO374" t="e">
        <f>'North America'!I1365+"n/&gt;!30m"</f>
        <v>#VALUE!</v>
      </c>
      <c r="FP374" t="e">
        <f>'North America'!A1366+"n/&gt;!30n"</f>
        <v>#VALUE!</v>
      </c>
      <c r="FQ374" t="e">
        <f>'North America'!B1366+"n/&gt;!30o"</f>
        <v>#VALUE!</v>
      </c>
      <c r="FR374" t="e">
        <f>'North America'!C1366+"n/&gt;!30p"</f>
        <v>#VALUE!</v>
      </c>
      <c r="FS374" t="e">
        <f>'North America'!D1366+"n/&gt;!30q"</f>
        <v>#VALUE!</v>
      </c>
      <c r="FT374" t="e">
        <f>'North America'!E1366+"n/&gt;!30r"</f>
        <v>#VALUE!</v>
      </c>
      <c r="FU374" t="e">
        <f>'North America'!F1366+"n/&gt;!30s"</f>
        <v>#VALUE!</v>
      </c>
      <c r="FV374" t="e">
        <f>'North America'!G1366+"n/&gt;!30t"</f>
        <v>#VALUE!</v>
      </c>
      <c r="FW374" t="e">
        <f>'North America'!H1366+"n/&gt;!30u"</f>
        <v>#VALUE!</v>
      </c>
      <c r="FX374" t="e">
        <f>'North America'!I1366+"n/&gt;!30v"</f>
        <v>#VALUE!</v>
      </c>
      <c r="FY374" t="e">
        <f>'North America'!A1367+"n/&gt;!30w"</f>
        <v>#VALUE!</v>
      </c>
      <c r="FZ374" t="e">
        <f>'North America'!B1367+"n/&gt;!30x"</f>
        <v>#VALUE!</v>
      </c>
      <c r="GA374" t="e">
        <f>'North America'!C1367+"n/&gt;!30y"</f>
        <v>#VALUE!</v>
      </c>
      <c r="GB374" t="e">
        <f>'North America'!D1367+"n/&gt;!30z"</f>
        <v>#VALUE!</v>
      </c>
      <c r="GC374" t="e">
        <f>'North America'!E1367+"n/&gt;!30{"</f>
        <v>#VALUE!</v>
      </c>
      <c r="GD374" t="e">
        <f>'North America'!F1367+"n/&gt;!30|"</f>
        <v>#VALUE!</v>
      </c>
      <c r="GE374" t="e">
        <f>'North America'!G1367+"n/&gt;!30}"</f>
        <v>#VALUE!</v>
      </c>
      <c r="GF374" t="e">
        <f>'North America'!H1367+"n/&gt;!30~"</f>
        <v>#VALUE!</v>
      </c>
      <c r="GG374" t="e">
        <f>'North America'!I1367+"n/&gt;!31#"</f>
        <v>#VALUE!</v>
      </c>
      <c r="GH374" t="e">
        <f>'North America'!A1368+"n/&gt;!31$"</f>
        <v>#VALUE!</v>
      </c>
      <c r="GI374" t="e">
        <f>'North America'!B1368+"n/&gt;!31%"</f>
        <v>#VALUE!</v>
      </c>
      <c r="GJ374" t="e">
        <f>'North America'!C1368+"n/&gt;!31&amp;"</f>
        <v>#VALUE!</v>
      </c>
      <c r="GK374" t="e">
        <f>'North America'!D1368+"n/&gt;!31'"</f>
        <v>#VALUE!</v>
      </c>
      <c r="GL374" t="e">
        <f>'North America'!E1368+"n/&gt;!31("</f>
        <v>#VALUE!</v>
      </c>
      <c r="GM374" t="e">
        <f>'North America'!F1368+"n/&gt;!31)"</f>
        <v>#VALUE!</v>
      </c>
      <c r="GN374" t="e">
        <f>'North America'!G1368+"n/&gt;!31."</f>
        <v>#VALUE!</v>
      </c>
      <c r="GO374" t="e">
        <f>'North America'!H1368+"n/&gt;!31/"</f>
        <v>#VALUE!</v>
      </c>
      <c r="GP374" t="e">
        <f>'North America'!I1368+"n/&gt;!310"</f>
        <v>#VALUE!</v>
      </c>
      <c r="GQ374" t="e">
        <f>'North America'!A1369+"n/&gt;!311"</f>
        <v>#VALUE!</v>
      </c>
      <c r="GR374" t="e">
        <f>'North America'!B1369+"n/&gt;!312"</f>
        <v>#VALUE!</v>
      </c>
      <c r="GS374" t="e">
        <f>'North America'!C1369+"n/&gt;!313"</f>
        <v>#VALUE!</v>
      </c>
      <c r="GT374" t="e">
        <f>'North America'!D1369+"n/&gt;!314"</f>
        <v>#VALUE!</v>
      </c>
      <c r="GU374" t="e">
        <f>'North America'!E1369+"n/&gt;!315"</f>
        <v>#VALUE!</v>
      </c>
      <c r="GV374" t="e">
        <f>'North America'!F1369+"n/&gt;!316"</f>
        <v>#VALUE!</v>
      </c>
      <c r="GW374" t="e">
        <f>'North America'!G1369+"n/&gt;!317"</f>
        <v>#VALUE!</v>
      </c>
      <c r="GX374" t="e">
        <f>'North America'!H1369+"n/&gt;!318"</f>
        <v>#VALUE!</v>
      </c>
      <c r="GY374" t="e">
        <f>'North America'!I1369+"n/&gt;!319"</f>
        <v>#VALUE!</v>
      </c>
      <c r="GZ374" t="e">
        <f>'North America'!A1370+"n/&gt;!31:"</f>
        <v>#VALUE!</v>
      </c>
      <c r="HA374" t="e">
        <f>'North America'!B1370+"n/&gt;!31;"</f>
        <v>#VALUE!</v>
      </c>
      <c r="HB374" t="e">
        <f>'North America'!C1370+"n/&gt;!31&lt;"</f>
        <v>#VALUE!</v>
      </c>
      <c r="HC374" t="e">
        <f>'North America'!D1370+"n/&gt;!31="</f>
        <v>#VALUE!</v>
      </c>
      <c r="HD374" t="e">
        <f>'North America'!E1370+"n/&gt;!31&gt;"</f>
        <v>#VALUE!</v>
      </c>
      <c r="HE374" t="e">
        <f>'North America'!F1370+"n/&gt;!31?"</f>
        <v>#VALUE!</v>
      </c>
      <c r="HF374" t="e">
        <f>'North America'!G1370+"n/&gt;!31@"</f>
        <v>#VALUE!</v>
      </c>
      <c r="HG374" t="e">
        <f>'North America'!H1370+"n/&gt;!31A"</f>
        <v>#VALUE!</v>
      </c>
      <c r="HH374" t="e">
        <f>'North America'!I1370+"n/&gt;!31B"</f>
        <v>#VALUE!</v>
      </c>
      <c r="HI374" t="e">
        <f>'North America'!A1371+"n/&gt;!31C"</f>
        <v>#VALUE!</v>
      </c>
      <c r="HJ374" t="e">
        <f>'North America'!B1371+"n/&gt;!31D"</f>
        <v>#VALUE!</v>
      </c>
      <c r="HK374" t="e">
        <f>'North America'!C1371+"n/&gt;!31E"</f>
        <v>#VALUE!</v>
      </c>
      <c r="HL374" t="e">
        <f>'North America'!D1371+"n/&gt;!31F"</f>
        <v>#VALUE!</v>
      </c>
      <c r="HM374" t="e">
        <f>'North America'!E1371+"n/&gt;!31G"</f>
        <v>#VALUE!</v>
      </c>
      <c r="HN374" t="e">
        <f>'North America'!F1371+"n/&gt;!31H"</f>
        <v>#VALUE!</v>
      </c>
      <c r="HO374" t="e">
        <f>'North America'!G1371+"n/&gt;!31I"</f>
        <v>#VALUE!</v>
      </c>
      <c r="HP374" t="e">
        <f>'North America'!H1371+"n/&gt;!31J"</f>
        <v>#VALUE!</v>
      </c>
      <c r="HQ374" t="e">
        <f>'North America'!I1371+"n/&gt;!31K"</f>
        <v>#VALUE!</v>
      </c>
      <c r="HR374" t="e">
        <f>'North America'!A1372+"n/&gt;!31L"</f>
        <v>#VALUE!</v>
      </c>
      <c r="HS374" t="e">
        <f>'North America'!B1372+"n/&gt;!31M"</f>
        <v>#VALUE!</v>
      </c>
      <c r="HT374" t="e">
        <f>'North America'!C1372+"n/&gt;!31N"</f>
        <v>#VALUE!</v>
      </c>
      <c r="HU374" t="e">
        <f>'North America'!D1372+"n/&gt;!31O"</f>
        <v>#VALUE!</v>
      </c>
      <c r="HV374" t="e">
        <f>'North America'!E1372+"n/&gt;!31P"</f>
        <v>#VALUE!</v>
      </c>
      <c r="HW374" t="e">
        <f>'North America'!F1372+"n/&gt;!31Q"</f>
        <v>#VALUE!</v>
      </c>
      <c r="HX374" t="e">
        <f>'North America'!G1372+"n/&gt;!31R"</f>
        <v>#VALUE!</v>
      </c>
      <c r="HY374" t="e">
        <f>'North America'!H1372+"n/&gt;!31S"</f>
        <v>#VALUE!</v>
      </c>
      <c r="HZ374" t="e">
        <f>'North America'!I1372+"n/&gt;!31T"</f>
        <v>#VALUE!</v>
      </c>
      <c r="IA374" t="e">
        <f>'North America'!A1373+"n/&gt;!31U"</f>
        <v>#VALUE!</v>
      </c>
      <c r="IB374" t="e">
        <f>'North America'!B1373+"n/&gt;!31V"</f>
        <v>#VALUE!</v>
      </c>
      <c r="IC374" t="e">
        <f>'North America'!C1373+"n/&gt;!31W"</f>
        <v>#VALUE!</v>
      </c>
      <c r="ID374" t="e">
        <f>'North America'!D1373+"n/&gt;!31X"</f>
        <v>#VALUE!</v>
      </c>
      <c r="IE374" t="e">
        <f>'North America'!E1373+"n/&gt;!31Y"</f>
        <v>#VALUE!</v>
      </c>
      <c r="IF374" t="e">
        <f>'North America'!F1373+"n/&gt;!31Z"</f>
        <v>#VALUE!</v>
      </c>
      <c r="IG374" t="e">
        <f>'North America'!G1373+"n/&gt;!31["</f>
        <v>#VALUE!</v>
      </c>
      <c r="IH374" t="e">
        <f>'North America'!H1373+"n/&gt;!31\"</f>
        <v>#VALUE!</v>
      </c>
      <c r="II374" t="e">
        <f>'North America'!I1373+"n/&gt;!31]"</f>
        <v>#VALUE!</v>
      </c>
      <c r="IJ374" t="e">
        <f>'North America'!A1374+"n/&gt;!31^"</f>
        <v>#VALUE!</v>
      </c>
      <c r="IK374" t="e">
        <f>'North America'!B1374+"n/&gt;!31_"</f>
        <v>#VALUE!</v>
      </c>
      <c r="IL374" t="e">
        <f>'North America'!C1374+"n/&gt;!31`"</f>
        <v>#VALUE!</v>
      </c>
      <c r="IM374" t="e">
        <f>'North America'!D1374+"n/&gt;!31a"</f>
        <v>#VALUE!</v>
      </c>
      <c r="IN374" t="e">
        <f>'North America'!E1374+"n/&gt;!31b"</f>
        <v>#VALUE!</v>
      </c>
      <c r="IO374" t="e">
        <f>'North America'!F1374+"n/&gt;!31c"</f>
        <v>#VALUE!</v>
      </c>
      <c r="IP374" t="e">
        <f>'North America'!G1374+"n/&gt;!31d"</f>
        <v>#VALUE!</v>
      </c>
      <c r="IQ374" t="e">
        <f>'North America'!H1374+"n/&gt;!31e"</f>
        <v>#VALUE!</v>
      </c>
      <c r="IR374" t="e">
        <f>'North America'!I1374+"n/&gt;!31f"</f>
        <v>#VALUE!</v>
      </c>
      <c r="IS374" t="e">
        <f>'North America'!A1375+"n/&gt;!31g"</f>
        <v>#VALUE!</v>
      </c>
      <c r="IT374" t="e">
        <f>'North America'!B1375+"n/&gt;!31h"</f>
        <v>#VALUE!</v>
      </c>
      <c r="IU374" t="e">
        <f>'North America'!C1375+"n/&gt;!31i"</f>
        <v>#VALUE!</v>
      </c>
      <c r="IV374" t="e">
        <f>'North America'!D1375+"n/&gt;!31j"</f>
        <v>#VALUE!</v>
      </c>
    </row>
    <row r="375" spans="6:256" x14ac:dyDescent="0.35">
      <c r="F375" t="e">
        <f>'North America'!E1375+"n/&gt;!31k"</f>
        <v>#VALUE!</v>
      </c>
      <c r="G375" t="e">
        <f>'North America'!F1375+"n/&gt;!31l"</f>
        <v>#VALUE!</v>
      </c>
      <c r="H375" t="e">
        <f>'North America'!G1375+"n/&gt;!31m"</f>
        <v>#VALUE!</v>
      </c>
      <c r="I375" t="e">
        <f>'North America'!H1375+"n/&gt;!31n"</f>
        <v>#VALUE!</v>
      </c>
      <c r="J375" t="e">
        <f>'North America'!I1375+"n/&gt;!31o"</f>
        <v>#VALUE!</v>
      </c>
      <c r="K375" t="e">
        <f>'North America'!A1376+"n/&gt;!31p"</f>
        <v>#VALUE!</v>
      </c>
      <c r="L375" t="e">
        <f>'North America'!B1376+"n/&gt;!31q"</f>
        <v>#VALUE!</v>
      </c>
      <c r="M375" t="e">
        <f>'North America'!C1376+"n/&gt;!31r"</f>
        <v>#VALUE!</v>
      </c>
      <c r="N375" t="e">
        <f>'North America'!D1376+"n/&gt;!31s"</f>
        <v>#VALUE!</v>
      </c>
      <c r="O375" t="e">
        <f>'North America'!E1376+"n/&gt;!31t"</f>
        <v>#VALUE!</v>
      </c>
      <c r="P375" t="e">
        <f>'North America'!F1376+"n/&gt;!31u"</f>
        <v>#VALUE!</v>
      </c>
      <c r="Q375" t="e">
        <f>'North America'!G1376+"n/&gt;!31v"</f>
        <v>#VALUE!</v>
      </c>
      <c r="R375" t="e">
        <f>'North America'!H1376+"n/&gt;!31w"</f>
        <v>#VALUE!</v>
      </c>
      <c r="S375" t="e">
        <f>'North America'!I1376+"n/&gt;!31x"</f>
        <v>#VALUE!</v>
      </c>
      <c r="T375" t="e">
        <f>'North America'!A1377+"n/&gt;!31y"</f>
        <v>#VALUE!</v>
      </c>
      <c r="U375" t="e">
        <f>'North America'!B1377+"n/&gt;!31z"</f>
        <v>#VALUE!</v>
      </c>
      <c r="V375" t="e">
        <f>'North America'!C1377+"n/&gt;!31{"</f>
        <v>#VALUE!</v>
      </c>
      <c r="W375" t="e">
        <f>'North America'!D1377+"n/&gt;!31|"</f>
        <v>#VALUE!</v>
      </c>
      <c r="X375" t="e">
        <f>'North America'!E1377+"n/&gt;!31}"</f>
        <v>#VALUE!</v>
      </c>
      <c r="Y375" t="e">
        <f>'North America'!F1377+"n/&gt;!31~"</f>
        <v>#VALUE!</v>
      </c>
      <c r="Z375" t="e">
        <f>'North America'!G1377+"n/&gt;!32#"</f>
        <v>#VALUE!</v>
      </c>
      <c r="AA375" t="e">
        <f>'North America'!H1377+"n/&gt;!32$"</f>
        <v>#VALUE!</v>
      </c>
      <c r="AB375" t="e">
        <f>'North America'!I1377+"n/&gt;!32%"</f>
        <v>#VALUE!</v>
      </c>
      <c r="AC375" t="e">
        <f>'North America'!A1378+"n/&gt;!32&amp;"</f>
        <v>#VALUE!</v>
      </c>
      <c r="AD375" t="e">
        <f>'North America'!B1378+"n/&gt;!32'"</f>
        <v>#VALUE!</v>
      </c>
      <c r="AE375" t="e">
        <f>'North America'!C1378+"n/&gt;!32("</f>
        <v>#VALUE!</v>
      </c>
      <c r="AF375" t="e">
        <f>'North America'!D1378+"n/&gt;!32)"</f>
        <v>#VALUE!</v>
      </c>
      <c r="AG375" t="e">
        <f>'North America'!E1378+"n/&gt;!32."</f>
        <v>#VALUE!</v>
      </c>
      <c r="AH375" t="e">
        <f>'North America'!F1378+"n/&gt;!32/"</f>
        <v>#VALUE!</v>
      </c>
      <c r="AI375" t="e">
        <f>'North America'!G1378+"n/&gt;!320"</f>
        <v>#VALUE!</v>
      </c>
      <c r="AJ375" t="e">
        <f>'North America'!H1378+"n/&gt;!321"</f>
        <v>#VALUE!</v>
      </c>
      <c r="AK375" t="e">
        <f>'North America'!I1378+"n/&gt;!322"</f>
        <v>#VALUE!</v>
      </c>
      <c r="AL375" t="e">
        <f>'North America'!A1379+"n/&gt;!323"</f>
        <v>#VALUE!</v>
      </c>
      <c r="AM375" t="e">
        <f>'North America'!B1379+"n/&gt;!324"</f>
        <v>#VALUE!</v>
      </c>
      <c r="AN375" t="e">
        <f>'North America'!C1379+"n/&gt;!325"</f>
        <v>#VALUE!</v>
      </c>
      <c r="AO375" t="e">
        <f>'North America'!D1379+"n/&gt;!326"</f>
        <v>#VALUE!</v>
      </c>
      <c r="AP375" t="e">
        <f>'North America'!E1379+"n/&gt;!327"</f>
        <v>#VALUE!</v>
      </c>
      <c r="AQ375" t="e">
        <f>'North America'!F1379+"n/&gt;!328"</f>
        <v>#VALUE!</v>
      </c>
      <c r="AR375" t="e">
        <f>'North America'!G1379+"n/&gt;!329"</f>
        <v>#VALUE!</v>
      </c>
      <c r="AS375" t="e">
        <f>'North America'!H1379+"n/&gt;!32:"</f>
        <v>#VALUE!</v>
      </c>
      <c r="AT375" t="e">
        <f>'North America'!I1379+"n/&gt;!32;"</f>
        <v>#VALUE!</v>
      </c>
      <c r="AU375" t="e">
        <f>'North America'!A1380+"n/&gt;!32&lt;"</f>
        <v>#VALUE!</v>
      </c>
      <c r="AV375" t="e">
        <f>'North America'!B1380+"n/&gt;!32="</f>
        <v>#VALUE!</v>
      </c>
      <c r="AW375" t="e">
        <f>'North America'!C1380+"n/&gt;!32&gt;"</f>
        <v>#VALUE!</v>
      </c>
      <c r="AX375" t="e">
        <f>'North America'!D1380+"n/&gt;!32?"</f>
        <v>#VALUE!</v>
      </c>
      <c r="AY375" t="e">
        <f>'North America'!E1380+"n/&gt;!32@"</f>
        <v>#VALUE!</v>
      </c>
      <c r="AZ375" t="e">
        <f>'North America'!F1380+"n/&gt;!32A"</f>
        <v>#VALUE!</v>
      </c>
      <c r="BA375" t="e">
        <f>'North America'!G1380+"n/&gt;!32B"</f>
        <v>#VALUE!</v>
      </c>
      <c r="BB375" t="e">
        <f>'North America'!H1380+"n/&gt;!32C"</f>
        <v>#VALUE!</v>
      </c>
      <c r="BC375" t="e">
        <f>'North America'!I1380+"n/&gt;!32D"</f>
        <v>#VALUE!</v>
      </c>
      <c r="BD375" t="e">
        <f>'North America'!A1381+"n/&gt;!32E"</f>
        <v>#VALUE!</v>
      </c>
      <c r="BE375" t="e">
        <f>'North America'!B1381+"n/&gt;!32F"</f>
        <v>#VALUE!</v>
      </c>
      <c r="BF375" t="e">
        <f>'North America'!C1381+"n/&gt;!32G"</f>
        <v>#VALUE!</v>
      </c>
      <c r="BG375" t="e">
        <f>'North America'!D1381+"n/&gt;!32H"</f>
        <v>#VALUE!</v>
      </c>
      <c r="BH375" t="e">
        <f>'North America'!E1381+"n/&gt;!32I"</f>
        <v>#VALUE!</v>
      </c>
      <c r="BI375" t="e">
        <f>'North America'!F1381+"n/&gt;!32J"</f>
        <v>#VALUE!</v>
      </c>
      <c r="BJ375" t="e">
        <f>'North America'!G1381+"n/&gt;!32K"</f>
        <v>#VALUE!</v>
      </c>
      <c r="BK375" t="e">
        <f>'North America'!H1381+"n/&gt;!32L"</f>
        <v>#VALUE!</v>
      </c>
      <c r="BL375" t="e">
        <f>'North America'!I1381+"n/&gt;!32M"</f>
        <v>#VALUE!</v>
      </c>
      <c r="BM375" t="e">
        <f>'North America'!A1382+"n/&gt;!32N"</f>
        <v>#VALUE!</v>
      </c>
      <c r="BN375" t="e">
        <f>'North America'!B1382+"n/&gt;!32O"</f>
        <v>#VALUE!</v>
      </c>
      <c r="BO375" t="e">
        <f>'North America'!C1382+"n/&gt;!32P"</f>
        <v>#VALUE!</v>
      </c>
      <c r="BP375" t="e">
        <f>'North America'!D1382+"n/&gt;!32Q"</f>
        <v>#VALUE!</v>
      </c>
      <c r="BQ375" t="e">
        <f>'North America'!E1382+"n/&gt;!32R"</f>
        <v>#VALUE!</v>
      </c>
      <c r="BR375" t="e">
        <f>'North America'!F1382+"n/&gt;!32S"</f>
        <v>#VALUE!</v>
      </c>
      <c r="BS375" t="e">
        <f>'North America'!G1382+"n/&gt;!32T"</f>
        <v>#VALUE!</v>
      </c>
      <c r="BT375" t="e">
        <f>'North America'!H1382+"n/&gt;!32U"</f>
        <v>#VALUE!</v>
      </c>
      <c r="BU375" t="e">
        <f>'North America'!I1382+"n/&gt;!32V"</f>
        <v>#VALUE!</v>
      </c>
      <c r="BV375" t="e">
        <f>'North America'!A1383+"n/&gt;!32W"</f>
        <v>#VALUE!</v>
      </c>
      <c r="BW375" t="e">
        <f>'North America'!B1383+"n/&gt;!32X"</f>
        <v>#VALUE!</v>
      </c>
      <c r="BX375" t="e">
        <f>'North America'!C1383+"n/&gt;!32Y"</f>
        <v>#VALUE!</v>
      </c>
      <c r="BY375" t="e">
        <f>'North America'!D1383+"n/&gt;!32Z"</f>
        <v>#VALUE!</v>
      </c>
      <c r="BZ375" t="e">
        <f>'North America'!E1383+"n/&gt;!32["</f>
        <v>#VALUE!</v>
      </c>
      <c r="CA375" t="e">
        <f>'North America'!F1383+"n/&gt;!32\"</f>
        <v>#VALUE!</v>
      </c>
      <c r="CB375" t="e">
        <f>'North America'!G1383+"n/&gt;!32]"</f>
        <v>#VALUE!</v>
      </c>
      <c r="CC375" t="e">
        <f>'North America'!H1383+"n/&gt;!32^"</f>
        <v>#VALUE!</v>
      </c>
      <c r="CD375" t="e">
        <f>'North America'!I1383+"n/&gt;!32_"</f>
        <v>#VALUE!</v>
      </c>
      <c r="CE375" t="e">
        <f>'North America'!A1384+"n/&gt;!32`"</f>
        <v>#VALUE!</v>
      </c>
      <c r="CF375" t="e">
        <f>'North America'!B1384+"n/&gt;!32a"</f>
        <v>#VALUE!</v>
      </c>
      <c r="CG375" t="e">
        <f>'North America'!C1384+"n/&gt;!32b"</f>
        <v>#VALUE!</v>
      </c>
      <c r="CH375" t="e">
        <f>'North America'!D1384+"n/&gt;!32c"</f>
        <v>#VALUE!</v>
      </c>
      <c r="CI375" t="e">
        <f>'North America'!E1384+"n/&gt;!32d"</f>
        <v>#VALUE!</v>
      </c>
      <c r="CJ375" t="e">
        <f>'North America'!F1384+"n/&gt;!32e"</f>
        <v>#VALUE!</v>
      </c>
      <c r="CK375" t="e">
        <f>'North America'!G1384+"n/&gt;!32f"</f>
        <v>#VALUE!</v>
      </c>
      <c r="CL375" t="e">
        <f>'North America'!H1384+"n/&gt;!32g"</f>
        <v>#VALUE!</v>
      </c>
      <c r="CM375" t="e">
        <f>'North America'!I1384+"n/&gt;!32h"</f>
        <v>#VALUE!</v>
      </c>
      <c r="CN375" t="e">
        <f>'North America'!A1385+"n/&gt;!32i"</f>
        <v>#VALUE!</v>
      </c>
      <c r="CO375" t="e">
        <f>'North America'!B1385+"n/&gt;!32j"</f>
        <v>#VALUE!</v>
      </c>
      <c r="CP375" t="e">
        <f>'North America'!C1385+"n/&gt;!32k"</f>
        <v>#VALUE!</v>
      </c>
      <c r="CQ375" t="e">
        <f>'North America'!D1385+"n/&gt;!32l"</f>
        <v>#VALUE!</v>
      </c>
      <c r="CR375" t="e">
        <f>'North America'!E1385+"n/&gt;!32m"</f>
        <v>#VALUE!</v>
      </c>
      <c r="CS375" t="e">
        <f>'North America'!F1385+"n/&gt;!32n"</f>
        <v>#VALUE!</v>
      </c>
      <c r="CT375" t="e">
        <f>'North America'!G1385+"n/&gt;!32o"</f>
        <v>#VALUE!</v>
      </c>
      <c r="CU375" t="e">
        <f>'North America'!H1385+"n/&gt;!32p"</f>
        <v>#VALUE!</v>
      </c>
      <c r="CV375" t="e">
        <f>'North America'!I1385+"n/&gt;!32q"</f>
        <v>#VALUE!</v>
      </c>
      <c r="CW375" t="e">
        <f>'North America'!A1386+"n/&gt;!32r"</f>
        <v>#VALUE!</v>
      </c>
      <c r="CX375" t="e">
        <f>'North America'!B1386+"n/&gt;!32s"</f>
        <v>#VALUE!</v>
      </c>
      <c r="CY375" t="e">
        <f>'North America'!C1386+"n/&gt;!32t"</f>
        <v>#VALUE!</v>
      </c>
      <c r="CZ375" t="e">
        <f>'North America'!D1386+"n/&gt;!32u"</f>
        <v>#VALUE!</v>
      </c>
      <c r="DA375" t="e">
        <f>'North America'!E1386+"n/&gt;!32v"</f>
        <v>#VALUE!</v>
      </c>
      <c r="DB375" t="e">
        <f>'North America'!F1386+"n/&gt;!32w"</f>
        <v>#VALUE!</v>
      </c>
      <c r="DC375" t="e">
        <f>'North America'!G1386+"n/&gt;!32x"</f>
        <v>#VALUE!</v>
      </c>
      <c r="DD375" t="e">
        <f>'North America'!H1386+"n/&gt;!32y"</f>
        <v>#VALUE!</v>
      </c>
      <c r="DE375" t="e">
        <f>'North America'!I1386+"n/&gt;!32z"</f>
        <v>#VALUE!</v>
      </c>
      <c r="DF375" t="e">
        <f>'North America'!A1387+"n/&gt;!32{"</f>
        <v>#VALUE!</v>
      </c>
      <c r="DG375" t="e">
        <f>'North America'!B1387+"n/&gt;!32|"</f>
        <v>#VALUE!</v>
      </c>
      <c r="DH375" t="e">
        <f>'North America'!C1387+"n/&gt;!32}"</f>
        <v>#VALUE!</v>
      </c>
      <c r="DI375" t="e">
        <f>'North America'!D1387+"n/&gt;!32~"</f>
        <v>#VALUE!</v>
      </c>
      <c r="DJ375" t="e">
        <f>'North America'!E1387+"n/&gt;!33#"</f>
        <v>#VALUE!</v>
      </c>
      <c r="DK375" t="e">
        <f>'North America'!F1387+"n/&gt;!33$"</f>
        <v>#VALUE!</v>
      </c>
      <c r="DL375" t="e">
        <f>'North America'!G1387+"n/&gt;!33%"</f>
        <v>#VALUE!</v>
      </c>
      <c r="DM375" t="e">
        <f>'North America'!H1387+"n/&gt;!33&amp;"</f>
        <v>#VALUE!</v>
      </c>
      <c r="DN375" t="e">
        <f>'North America'!I1387+"n/&gt;!33'"</f>
        <v>#VALUE!</v>
      </c>
      <c r="DO375" t="e">
        <f>'North America'!A1388+"n/&gt;!33("</f>
        <v>#VALUE!</v>
      </c>
      <c r="DP375" t="e">
        <f>'North America'!B1388+"n/&gt;!33)"</f>
        <v>#VALUE!</v>
      </c>
      <c r="DQ375" t="e">
        <f>'North America'!C1388+"n/&gt;!33."</f>
        <v>#VALUE!</v>
      </c>
      <c r="DR375" t="e">
        <f>'North America'!D1388+"n/&gt;!33/"</f>
        <v>#VALUE!</v>
      </c>
      <c r="DS375" t="e">
        <f>'North America'!E1388+"n/&gt;!330"</f>
        <v>#VALUE!</v>
      </c>
      <c r="DT375" t="e">
        <f>'North America'!F1388+"n/&gt;!331"</f>
        <v>#VALUE!</v>
      </c>
      <c r="DU375" t="e">
        <f>'North America'!G1388+"n/&gt;!332"</f>
        <v>#VALUE!</v>
      </c>
      <c r="DV375" t="e">
        <f>'North America'!H1388+"n/&gt;!333"</f>
        <v>#VALUE!</v>
      </c>
      <c r="DW375" t="e">
        <f>'North America'!I1388+"n/&gt;!334"</f>
        <v>#VALUE!</v>
      </c>
      <c r="DX375" t="e">
        <f>'North America'!A1389+"n/&gt;!335"</f>
        <v>#VALUE!</v>
      </c>
      <c r="DY375" t="e">
        <f>'North America'!B1389+"n/&gt;!336"</f>
        <v>#VALUE!</v>
      </c>
      <c r="DZ375" t="e">
        <f>'North America'!C1389+"n/&gt;!337"</f>
        <v>#VALUE!</v>
      </c>
      <c r="EA375" t="e">
        <f>'North America'!D1389+"n/&gt;!338"</f>
        <v>#VALUE!</v>
      </c>
      <c r="EB375" t="e">
        <f>'North America'!E1389+"n/&gt;!339"</f>
        <v>#VALUE!</v>
      </c>
      <c r="EC375" t="e">
        <f>'North America'!F1389+"n/&gt;!33:"</f>
        <v>#VALUE!</v>
      </c>
      <c r="ED375" t="e">
        <f>'North America'!G1389+"n/&gt;!33;"</f>
        <v>#VALUE!</v>
      </c>
      <c r="EE375" t="e">
        <f>'North America'!H1389+"n/&gt;!33&lt;"</f>
        <v>#VALUE!</v>
      </c>
      <c r="EF375" t="e">
        <f>'North America'!I1389+"n/&gt;!33="</f>
        <v>#VALUE!</v>
      </c>
      <c r="EG375" t="e">
        <f>'North America'!A1390+"n/&gt;!33&gt;"</f>
        <v>#VALUE!</v>
      </c>
      <c r="EH375" t="e">
        <f>'North America'!B1390+"n/&gt;!33?"</f>
        <v>#VALUE!</v>
      </c>
      <c r="EI375" t="e">
        <f>'North America'!C1390+"n/&gt;!33@"</f>
        <v>#VALUE!</v>
      </c>
      <c r="EJ375" t="e">
        <f>'North America'!D1390+"n/&gt;!33A"</f>
        <v>#VALUE!</v>
      </c>
      <c r="EK375" t="e">
        <f>'North America'!E1390+"n/&gt;!33B"</f>
        <v>#VALUE!</v>
      </c>
      <c r="EL375" t="e">
        <f>'North America'!F1390+"n/&gt;!33C"</f>
        <v>#VALUE!</v>
      </c>
      <c r="EM375" t="e">
        <f>'North America'!G1390+"n/&gt;!33D"</f>
        <v>#VALUE!</v>
      </c>
      <c r="EN375" t="e">
        <f>'North America'!H1390+"n/&gt;!33E"</f>
        <v>#VALUE!</v>
      </c>
      <c r="EO375" t="e">
        <f>'North America'!I1390+"n/&gt;!33F"</f>
        <v>#VALUE!</v>
      </c>
      <c r="EP375" t="e">
        <f>'North America'!A1391+"n/&gt;!33G"</f>
        <v>#VALUE!</v>
      </c>
      <c r="EQ375" t="e">
        <f>'North America'!B1391+"n/&gt;!33H"</f>
        <v>#VALUE!</v>
      </c>
      <c r="ER375" t="e">
        <f>'North America'!C1391+"n/&gt;!33I"</f>
        <v>#VALUE!</v>
      </c>
      <c r="ES375" t="e">
        <f>'North America'!D1391+"n/&gt;!33J"</f>
        <v>#VALUE!</v>
      </c>
      <c r="ET375" t="e">
        <f>'North America'!E1391+"n/&gt;!33K"</f>
        <v>#VALUE!</v>
      </c>
      <c r="EU375" t="e">
        <f>'North America'!F1391+"n/&gt;!33L"</f>
        <v>#VALUE!</v>
      </c>
      <c r="EV375" t="e">
        <f>'North America'!G1391+"n/&gt;!33M"</f>
        <v>#VALUE!</v>
      </c>
      <c r="EW375" t="e">
        <f>'North America'!H1391+"n/&gt;!33N"</f>
        <v>#VALUE!</v>
      </c>
      <c r="EX375" t="e">
        <f>'North America'!I1391+"n/&gt;!33O"</f>
        <v>#VALUE!</v>
      </c>
      <c r="EY375" t="e">
        <f>'North America'!A1392+"n/&gt;!33P"</f>
        <v>#VALUE!</v>
      </c>
      <c r="EZ375" t="e">
        <f>'North America'!B1392+"n/&gt;!33Q"</f>
        <v>#VALUE!</v>
      </c>
      <c r="FA375" t="e">
        <f>'North America'!C1392+"n/&gt;!33R"</f>
        <v>#VALUE!</v>
      </c>
      <c r="FB375" t="e">
        <f>'North America'!D1392+"n/&gt;!33S"</f>
        <v>#VALUE!</v>
      </c>
      <c r="FC375" t="e">
        <f>'North America'!E1392+"n/&gt;!33T"</f>
        <v>#VALUE!</v>
      </c>
      <c r="FD375" t="e">
        <f>'North America'!F1392+"n/&gt;!33U"</f>
        <v>#VALUE!</v>
      </c>
      <c r="FE375" t="e">
        <f>'North America'!G1392+"n/&gt;!33V"</f>
        <v>#VALUE!</v>
      </c>
      <c r="FF375" t="e">
        <f>'North America'!H1392+"n/&gt;!33W"</f>
        <v>#VALUE!</v>
      </c>
      <c r="FG375" t="e">
        <f>'North America'!I1392+"n/&gt;!33X"</f>
        <v>#VALUE!</v>
      </c>
      <c r="FH375" t="e">
        <f>'North America'!A1393+"n/&gt;!33Y"</f>
        <v>#VALUE!</v>
      </c>
      <c r="FI375" t="e">
        <f>'North America'!B1393+"n/&gt;!33Z"</f>
        <v>#VALUE!</v>
      </c>
      <c r="FJ375" t="e">
        <f>'North America'!C1393+"n/&gt;!33["</f>
        <v>#VALUE!</v>
      </c>
      <c r="FK375" t="e">
        <f>'North America'!D1393+"n/&gt;!33\"</f>
        <v>#VALUE!</v>
      </c>
      <c r="FL375" t="e">
        <f>'North America'!E1393+"n/&gt;!33]"</f>
        <v>#VALUE!</v>
      </c>
      <c r="FM375" t="e">
        <f>'North America'!F1393+"n/&gt;!33^"</f>
        <v>#VALUE!</v>
      </c>
      <c r="FN375" t="e">
        <f>'North America'!G1393+"n/&gt;!33_"</f>
        <v>#VALUE!</v>
      </c>
      <c r="FO375" t="e">
        <f>'North America'!H1393+"n/&gt;!33`"</f>
        <v>#VALUE!</v>
      </c>
      <c r="FP375" t="e">
        <f>'North America'!I1393+"n/&gt;!33a"</f>
        <v>#VALUE!</v>
      </c>
      <c r="FQ375" t="e">
        <f>'North America'!A1394+"n/&gt;!33b"</f>
        <v>#VALUE!</v>
      </c>
      <c r="FR375" t="e">
        <f>'North America'!B1394+"n/&gt;!33c"</f>
        <v>#VALUE!</v>
      </c>
      <c r="FS375" t="e">
        <f>'North America'!C1394+"n/&gt;!33d"</f>
        <v>#VALUE!</v>
      </c>
      <c r="FT375" t="e">
        <f>'North America'!D1394+"n/&gt;!33e"</f>
        <v>#VALUE!</v>
      </c>
      <c r="FU375" t="e">
        <f>'North America'!E1394+"n/&gt;!33f"</f>
        <v>#VALUE!</v>
      </c>
      <c r="FV375" t="e">
        <f>'North America'!F1394+"n/&gt;!33g"</f>
        <v>#VALUE!</v>
      </c>
      <c r="FW375" t="e">
        <f>'North America'!G1394+"n/&gt;!33h"</f>
        <v>#VALUE!</v>
      </c>
      <c r="FX375" t="e">
        <f>'North America'!H1394+"n/&gt;!33i"</f>
        <v>#VALUE!</v>
      </c>
      <c r="FY375" t="e">
        <f>'North America'!I1394+"n/&gt;!33j"</f>
        <v>#VALUE!</v>
      </c>
      <c r="FZ375" t="e">
        <f>'North America'!A1395+"n/&gt;!33k"</f>
        <v>#VALUE!</v>
      </c>
      <c r="GA375" t="e">
        <f>'North America'!B1395+"n/&gt;!33l"</f>
        <v>#VALUE!</v>
      </c>
      <c r="GB375" t="e">
        <f>'North America'!C1395+"n/&gt;!33m"</f>
        <v>#VALUE!</v>
      </c>
      <c r="GC375" t="e">
        <f>'North America'!D1395+"n/&gt;!33n"</f>
        <v>#VALUE!</v>
      </c>
      <c r="GD375" t="e">
        <f>'North America'!E1395+"n/&gt;!33o"</f>
        <v>#VALUE!</v>
      </c>
      <c r="GE375" t="e">
        <f>'North America'!F1395+"n/&gt;!33p"</f>
        <v>#VALUE!</v>
      </c>
      <c r="GF375" t="e">
        <f>'North America'!G1395+"n/&gt;!33q"</f>
        <v>#VALUE!</v>
      </c>
      <c r="GG375" t="e">
        <f>'North America'!H1395+"n/&gt;!33r"</f>
        <v>#VALUE!</v>
      </c>
      <c r="GH375" t="e">
        <f>'North America'!I1395+"n/&gt;!33s"</f>
        <v>#VALUE!</v>
      </c>
      <c r="GI375" t="e">
        <f>'North America'!A1396+"n/&gt;!33t"</f>
        <v>#VALUE!</v>
      </c>
      <c r="GJ375" t="e">
        <f>'North America'!B1396+"n/&gt;!33u"</f>
        <v>#VALUE!</v>
      </c>
      <c r="GK375" t="e">
        <f>'North America'!C1396+"n/&gt;!33v"</f>
        <v>#VALUE!</v>
      </c>
      <c r="GL375" t="e">
        <f>'North America'!D1396+"n/&gt;!33w"</f>
        <v>#VALUE!</v>
      </c>
      <c r="GM375" t="e">
        <f>'North America'!E1396+"n/&gt;!33x"</f>
        <v>#VALUE!</v>
      </c>
      <c r="GN375" t="e">
        <f>'North America'!F1396+"n/&gt;!33y"</f>
        <v>#VALUE!</v>
      </c>
      <c r="GO375" t="e">
        <f>'North America'!G1396+"n/&gt;!33z"</f>
        <v>#VALUE!</v>
      </c>
      <c r="GP375" t="e">
        <f>'North America'!H1396+"n/&gt;!33{"</f>
        <v>#VALUE!</v>
      </c>
      <c r="GQ375" t="e">
        <f>'North America'!I1396+"n/&gt;!33|"</f>
        <v>#VALUE!</v>
      </c>
      <c r="GR375" t="e">
        <f>'North America'!A1397+"n/&gt;!33}"</f>
        <v>#VALUE!</v>
      </c>
      <c r="GS375" t="e">
        <f>'North America'!B1397+"n/&gt;!33~"</f>
        <v>#VALUE!</v>
      </c>
      <c r="GT375" t="e">
        <f>'North America'!C1397+"n/&gt;!34#"</f>
        <v>#VALUE!</v>
      </c>
      <c r="GU375" t="e">
        <f>'North America'!D1397+"n/&gt;!34$"</f>
        <v>#VALUE!</v>
      </c>
      <c r="GV375" t="e">
        <f>'North America'!E1397+"n/&gt;!34%"</f>
        <v>#VALUE!</v>
      </c>
      <c r="GW375" t="e">
        <f>'North America'!F1397+"n/&gt;!34&amp;"</f>
        <v>#VALUE!</v>
      </c>
      <c r="GX375" t="e">
        <f>'North America'!G1397+"n/&gt;!34'"</f>
        <v>#VALUE!</v>
      </c>
      <c r="GY375" t="e">
        <f>'North America'!H1397+"n/&gt;!34("</f>
        <v>#VALUE!</v>
      </c>
      <c r="GZ375" t="e">
        <f>'North America'!I1397+"n/&gt;!34)"</f>
        <v>#VALUE!</v>
      </c>
      <c r="HA375" t="e">
        <f>'North America'!A1398+"n/&gt;!34."</f>
        <v>#VALUE!</v>
      </c>
      <c r="HB375" t="e">
        <f>'North America'!B1398+"n/&gt;!34/"</f>
        <v>#VALUE!</v>
      </c>
      <c r="HC375" t="e">
        <f>'North America'!C1398+"n/&gt;!340"</f>
        <v>#VALUE!</v>
      </c>
      <c r="HD375" t="e">
        <f>'North America'!D1398+"n/&gt;!341"</f>
        <v>#VALUE!</v>
      </c>
      <c r="HE375" t="e">
        <f>'North America'!E1398+"n/&gt;!342"</f>
        <v>#VALUE!</v>
      </c>
      <c r="HF375" t="e">
        <f>'North America'!F1398+"n/&gt;!343"</f>
        <v>#VALUE!</v>
      </c>
      <c r="HG375" t="e">
        <f>'North America'!G1398+"n/&gt;!344"</f>
        <v>#VALUE!</v>
      </c>
      <c r="HH375" t="e">
        <f>'North America'!H1398+"n/&gt;!345"</f>
        <v>#VALUE!</v>
      </c>
      <c r="HI375" t="e">
        <f>'North America'!I1398+"n/&gt;!346"</f>
        <v>#VALUE!</v>
      </c>
      <c r="HJ375" t="e">
        <f>'North America'!A1399+"n/&gt;!347"</f>
        <v>#VALUE!</v>
      </c>
      <c r="HK375" t="e">
        <f>'North America'!B1399+"n/&gt;!348"</f>
        <v>#VALUE!</v>
      </c>
      <c r="HL375" t="e">
        <f>'North America'!C1399+"n/&gt;!349"</f>
        <v>#VALUE!</v>
      </c>
      <c r="HM375" t="e">
        <f>'North America'!D1399+"n/&gt;!34:"</f>
        <v>#VALUE!</v>
      </c>
      <c r="HN375" t="e">
        <f>'North America'!E1399+"n/&gt;!34;"</f>
        <v>#VALUE!</v>
      </c>
      <c r="HO375" t="e">
        <f>'North America'!F1399+"n/&gt;!34&lt;"</f>
        <v>#VALUE!</v>
      </c>
      <c r="HP375" t="e">
        <f>'North America'!G1399+"n/&gt;!34="</f>
        <v>#VALUE!</v>
      </c>
      <c r="HQ375" t="e">
        <f>'North America'!H1399+"n/&gt;!34&gt;"</f>
        <v>#VALUE!</v>
      </c>
      <c r="HR375" t="e">
        <f>'North America'!I1399+"n/&gt;!34?"</f>
        <v>#VALUE!</v>
      </c>
      <c r="HS375" t="e">
        <f>'North America'!A1400+"n/&gt;!34@"</f>
        <v>#VALUE!</v>
      </c>
      <c r="HT375" t="e">
        <f>'North America'!B1400+"n/&gt;!34A"</f>
        <v>#VALUE!</v>
      </c>
      <c r="HU375" t="e">
        <f>'North America'!C1400+"n/&gt;!34B"</f>
        <v>#VALUE!</v>
      </c>
      <c r="HV375" t="e">
        <f>'North America'!D1400+"n/&gt;!34C"</f>
        <v>#VALUE!</v>
      </c>
      <c r="HW375" t="e">
        <f>'North America'!E1400+"n/&gt;!34D"</f>
        <v>#VALUE!</v>
      </c>
      <c r="HX375" t="e">
        <f>'North America'!F1400+"n/&gt;!34E"</f>
        <v>#VALUE!</v>
      </c>
      <c r="HY375" t="e">
        <f>'North America'!G1400+"n/&gt;!34F"</f>
        <v>#VALUE!</v>
      </c>
      <c r="HZ375" t="e">
        <f>'North America'!H1400+"n/&gt;!34G"</f>
        <v>#VALUE!</v>
      </c>
      <c r="IA375" t="e">
        <f>'North America'!I1400+"n/&gt;!34H"</f>
        <v>#VALUE!</v>
      </c>
      <c r="IB375" t="e">
        <f>'North America'!A1401+"n/&gt;!34I"</f>
        <v>#VALUE!</v>
      </c>
      <c r="IC375" t="e">
        <f>'North America'!B1401+"n/&gt;!34J"</f>
        <v>#VALUE!</v>
      </c>
      <c r="ID375" t="e">
        <f>'North America'!C1401+"n/&gt;!34K"</f>
        <v>#VALUE!</v>
      </c>
      <c r="IE375" t="e">
        <f>'North America'!D1401+"n/&gt;!34L"</f>
        <v>#VALUE!</v>
      </c>
      <c r="IF375" t="e">
        <f>'North America'!E1401+"n/&gt;!34M"</f>
        <v>#VALUE!</v>
      </c>
      <c r="IG375" t="e">
        <f>'North America'!F1401+"n/&gt;!34N"</f>
        <v>#VALUE!</v>
      </c>
      <c r="IH375" t="e">
        <f>'North America'!G1401+"n/&gt;!34O"</f>
        <v>#VALUE!</v>
      </c>
      <c r="II375" t="e">
        <f>'North America'!H1401+"n/&gt;!34P"</f>
        <v>#VALUE!</v>
      </c>
      <c r="IJ375" t="e">
        <f>'North America'!I1401+"n/&gt;!34Q"</f>
        <v>#VALUE!</v>
      </c>
      <c r="IK375" t="e">
        <f>'North America'!A1402+"n/&gt;!34R"</f>
        <v>#VALUE!</v>
      </c>
      <c r="IL375" t="e">
        <f>'North America'!B1402+"n/&gt;!34S"</f>
        <v>#VALUE!</v>
      </c>
      <c r="IM375" t="e">
        <f>'North America'!C1402+"n/&gt;!34T"</f>
        <v>#VALUE!</v>
      </c>
      <c r="IN375" t="e">
        <f>'North America'!D1402+"n/&gt;!34U"</f>
        <v>#VALUE!</v>
      </c>
      <c r="IO375" t="e">
        <f>'North America'!E1402+"n/&gt;!34V"</f>
        <v>#VALUE!</v>
      </c>
      <c r="IP375" t="e">
        <f>'North America'!F1402+"n/&gt;!34W"</f>
        <v>#VALUE!</v>
      </c>
      <c r="IQ375" t="e">
        <f>'North America'!G1402+"n/&gt;!34X"</f>
        <v>#VALUE!</v>
      </c>
      <c r="IR375" t="e">
        <f>'North America'!H1402+"n/&gt;!34Y"</f>
        <v>#VALUE!</v>
      </c>
      <c r="IS375" t="e">
        <f>'North America'!I1402+"n/&gt;!34Z"</f>
        <v>#VALUE!</v>
      </c>
      <c r="IT375" t="e">
        <f>'North America'!A1403+"n/&gt;!34["</f>
        <v>#VALUE!</v>
      </c>
      <c r="IU375" t="e">
        <f>'North America'!B1403+"n/&gt;!34\"</f>
        <v>#VALUE!</v>
      </c>
      <c r="IV375" t="e">
        <f>'North America'!C1403+"n/&gt;!34]"</f>
        <v>#VALUE!</v>
      </c>
    </row>
    <row r="376" spans="6:256" x14ac:dyDescent="0.35">
      <c r="F376" t="e">
        <f>'North America'!D1403+"n/&gt;!34^"</f>
        <v>#VALUE!</v>
      </c>
      <c r="G376" t="e">
        <f>'North America'!E1403+"n/&gt;!34_"</f>
        <v>#VALUE!</v>
      </c>
      <c r="H376" t="e">
        <f>'North America'!F1403+"n/&gt;!34`"</f>
        <v>#VALUE!</v>
      </c>
      <c r="I376" t="e">
        <f>'North America'!G1403+"n/&gt;!34a"</f>
        <v>#VALUE!</v>
      </c>
      <c r="J376" t="e">
        <f>'North America'!H1403+"n/&gt;!34b"</f>
        <v>#VALUE!</v>
      </c>
      <c r="K376" t="e">
        <f>'North America'!I1403+"n/&gt;!34c"</f>
        <v>#VALUE!</v>
      </c>
      <c r="L376" t="e">
        <f>'North America'!A1404+"n/&gt;!34d"</f>
        <v>#VALUE!</v>
      </c>
      <c r="M376" t="e">
        <f>'North America'!B1404+"n/&gt;!34e"</f>
        <v>#VALUE!</v>
      </c>
      <c r="N376" t="e">
        <f>'North America'!C1404+"n/&gt;!34f"</f>
        <v>#VALUE!</v>
      </c>
      <c r="O376" t="e">
        <f>'North America'!D1404+"n/&gt;!34g"</f>
        <v>#VALUE!</v>
      </c>
      <c r="P376" t="e">
        <f>'North America'!E1404+"n/&gt;!34h"</f>
        <v>#VALUE!</v>
      </c>
      <c r="Q376" t="e">
        <f>'North America'!F1404+"n/&gt;!34i"</f>
        <v>#VALUE!</v>
      </c>
      <c r="R376" t="e">
        <f>'North America'!G1404+"n/&gt;!34j"</f>
        <v>#VALUE!</v>
      </c>
      <c r="S376" t="e">
        <f>'North America'!H1404+"n/&gt;!34k"</f>
        <v>#VALUE!</v>
      </c>
      <c r="T376" t="e">
        <f>'North America'!I1404+"n/&gt;!34l"</f>
        <v>#VALUE!</v>
      </c>
      <c r="U376" t="e">
        <f>'North America'!A1405+"n/&gt;!34m"</f>
        <v>#VALUE!</v>
      </c>
      <c r="V376" t="e">
        <f>'North America'!B1405+"n/&gt;!34n"</f>
        <v>#VALUE!</v>
      </c>
      <c r="W376" t="e">
        <f>'North America'!C1405+"n/&gt;!34o"</f>
        <v>#VALUE!</v>
      </c>
      <c r="X376" t="e">
        <f>'North America'!D1405+"n/&gt;!34p"</f>
        <v>#VALUE!</v>
      </c>
      <c r="Y376" t="e">
        <f>'North America'!E1405+"n/&gt;!34q"</f>
        <v>#VALUE!</v>
      </c>
      <c r="Z376" t="e">
        <f>'North America'!F1405+"n/&gt;!34r"</f>
        <v>#VALUE!</v>
      </c>
      <c r="AA376" t="e">
        <f>'North America'!G1405+"n/&gt;!34s"</f>
        <v>#VALUE!</v>
      </c>
      <c r="AB376" t="e">
        <f>'North America'!H1405+"n/&gt;!34t"</f>
        <v>#VALUE!</v>
      </c>
      <c r="AC376" t="e">
        <f>'North America'!I1405+"n/&gt;!34u"</f>
        <v>#VALUE!</v>
      </c>
      <c r="AD376" t="e">
        <f>'North America'!A1406+"n/&gt;!34v"</f>
        <v>#VALUE!</v>
      </c>
      <c r="AE376" t="e">
        <f>'North America'!B1406+"n/&gt;!34w"</f>
        <v>#VALUE!</v>
      </c>
      <c r="AF376" t="e">
        <f>'North America'!C1406+"n/&gt;!34x"</f>
        <v>#VALUE!</v>
      </c>
      <c r="AG376" t="e">
        <f>'North America'!D1406+"n/&gt;!34y"</f>
        <v>#VALUE!</v>
      </c>
      <c r="AH376" t="e">
        <f>'North America'!E1406+"n/&gt;!34z"</f>
        <v>#VALUE!</v>
      </c>
      <c r="AI376" t="e">
        <f>'North America'!F1406+"n/&gt;!34{"</f>
        <v>#VALUE!</v>
      </c>
      <c r="AJ376" t="e">
        <f>'North America'!G1406+"n/&gt;!34|"</f>
        <v>#VALUE!</v>
      </c>
      <c r="AK376" t="e">
        <f>'North America'!H1406+"n/&gt;!34}"</f>
        <v>#VALUE!</v>
      </c>
      <c r="AL376" t="e">
        <f>'North America'!I1406+"n/&gt;!34~"</f>
        <v>#VALUE!</v>
      </c>
      <c r="AM376" t="e">
        <f>'North America'!A1407+"n/&gt;!35#"</f>
        <v>#VALUE!</v>
      </c>
      <c r="AN376" t="e">
        <f>'North America'!B1407+"n/&gt;!35$"</f>
        <v>#VALUE!</v>
      </c>
      <c r="AO376" t="e">
        <f>'North America'!C1407+"n/&gt;!35%"</f>
        <v>#VALUE!</v>
      </c>
      <c r="AP376" t="e">
        <f>'North America'!D1407+"n/&gt;!35&amp;"</f>
        <v>#VALUE!</v>
      </c>
      <c r="AQ376" t="e">
        <f>'North America'!E1407+"n/&gt;!35'"</f>
        <v>#VALUE!</v>
      </c>
      <c r="AR376" t="e">
        <f>'North America'!F1407+"n/&gt;!35("</f>
        <v>#VALUE!</v>
      </c>
      <c r="AS376" t="e">
        <f>'North America'!G1407+"n/&gt;!35)"</f>
        <v>#VALUE!</v>
      </c>
      <c r="AT376" t="e">
        <f>'North America'!H1407+"n/&gt;!35."</f>
        <v>#VALUE!</v>
      </c>
      <c r="AU376" t="e">
        <f>'North America'!I1407+"n/&gt;!35/"</f>
        <v>#VALUE!</v>
      </c>
      <c r="AV376" t="e">
        <f>'North America'!A1408+"n/&gt;!350"</f>
        <v>#VALUE!</v>
      </c>
      <c r="AW376" t="e">
        <f>'North America'!B1408+"n/&gt;!351"</f>
        <v>#VALUE!</v>
      </c>
      <c r="AX376" t="e">
        <f>'North America'!C1408+"n/&gt;!352"</f>
        <v>#VALUE!</v>
      </c>
      <c r="AY376" t="e">
        <f>'North America'!D1408+"n/&gt;!353"</f>
        <v>#VALUE!</v>
      </c>
      <c r="AZ376" t="e">
        <f>'North America'!E1408+"n/&gt;!354"</f>
        <v>#VALUE!</v>
      </c>
      <c r="BA376" t="e">
        <f>'North America'!F1408+"n/&gt;!355"</f>
        <v>#VALUE!</v>
      </c>
      <c r="BB376" t="e">
        <f>'North America'!G1408+"n/&gt;!356"</f>
        <v>#VALUE!</v>
      </c>
      <c r="BC376" t="e">
        <f>'North America'!H1408+"n/&gt;!357"</f>
        <v>#VALUE!</v>
      </c>
      <c r="BD376" t="e">
        <f>'North America'!I1408+"n/&gt;!358"</f>
        <v>#VALUE!</v>
      </c>
      <c r="BE376" t="e">
        <f>'North America'!A1409+"n/&gt;!359"</f>
        <v>#VALUE!</v>
      </c>
      <c r="BF376" t="e">
        <f>'North America'!B1409+"n/&gt;!35:"</f>
        <v>#VALUE!</v>
      </c>
      <c r="BG376" t="e">
        <f>'North America'!C1409+"n/&gt;!35;"</f>
        <v>#VALUE!</v>
      </c>
      <c r="BH376" t="e">
        <f>'North America'!D1409+"n/&gt;!35&lt;"</f>
        <v>#VALUE!</v>
      </c>
      <c r="BI376" t="e">
        <f>'North America'!E1409+"n/&gt;!35="</f>
        <v>#VALUE!</v>
      </c>
      <c r="BJ376" t="e">
        <f>'North America'!F1409+"n/&gt;!35&gt;"</f>
        <v>#VALUE!</v>
      </c>
      <c r="BK376" t="e">
        <f>'North America'!G1409+"n/&gt;!35?"</f>
        <v>#VALUE!</v>
      </c>
      <c r="BL376" t="e">
        <f>'North America'!H1409+"n/&gt;!35@"</f>
        <v>#VALUE!</v>
      </c>
      <c r="BM376" t="e">
        <f>'North America'!I1409+"n/&gt;!35A"</f>
        <v>#VALUE!</v>
      </c>
      <c r="BN376" t="e">
        <f>'North America'!A1410+"n/&gt;!35B"</f>
        <v>#VALUE!</v>
      </c>
      <c r="BO376" t="e">
        <f>'North America'!B1410+"n/&gt;!35C"</f>
        <v>#VALUE!</v>
      </c>
      <c r="BP376" t="e">
        <f>'North America'!C1410+"n/&gt;!35D"</f>
        <v>#VALUE!</v>
      </c>
      <c r="BQ376" t="e">
        <f>'North America'!D1410+"n/&gt;!35E"</f>
        <v>#VALUE!</v>
      </c>
      <c r="BR376" t="e">
        <f>'North America'!E1410+"n/&gt;!35F"</f>
        <v>#VALUE!</v>
      </c>
      <c r="BS376" t="e">
        <f>'North America'!F1410+"n/&gt;!35G"</f>
        <v>#VALUE!</v>
      </c>
      <c r="BT376" t="e">
        <f>'North America'!G1410+"n/&gt;!35H"</f>
        <v>#VALUE!</v>
      </c>
      <c r="BU376" t="e">
        <f>'North America'!H1410+"n/&gt;!35I"</f>
        <v>#VALUE!</v>
      </c>
      <c r="BV376" t="e">
        <f>'North America'!I1410+"n/&gt;!35J"</f>
        <v>#VALUE!</v>
      </c>
      <c r="BW376" t="e">
        <f>'North America'!A1411+"n/&gt;!35K"</f>
        <v>#VALUE!</v>
      </c>
      <c r="BX376" t="e">
        <f>'North America'!B1411+"n/&gt;!35L"</f>
        <v>#VALUE!</v>
      </c>
      <c r="BY376" t="e">
        <f>'North America'!C1411+"n/&gt;!35M"</f>
        <v>#VALUE!</v>
      </c>
      <c r="BZ376" t="e">
        <f>'North America'!D1411+"n/&gt;!35N"</f>
        <v>#VALUE!</v>
      </c>
      <c r="CA376" t="e">
        <f>'North America'!E1411+"n/&gt;!35O"</f>
        <v>#VALUE!</v>
      </c>
      <c r="CB376" t="e">
        <f>'North America'!F1411+"n/&gt;!35P"</f>
        <v>#VALUE!</v>
      </c>
      <c r="CC376" t="e">
        <f>'North America'!G1411+"n/&gt;!35Q"</f>
        <v>#VALUE!</v>
      </c>
      <c r="CD376" t="e">
        <f>'North America'!H1411+"n/&gt;!35R"</f>
        <v>#VALUE!</v>
      </c>
      <c r="CE376" t="e">
        <f>'North America'!I1411+"n/&gt;!35S"</f>
        <v>#VALUE!</v>
      </c>
      <c r="CF376" t="e">
        <f>'North America'!A1412+"n/&gt;!35T"</f>
        <v>#VALUE!</v>
      </c>
      <c r="CG376" t="e">
        <f>'North America'!B1412+"n/&gt;!35U"</f>
        <v>#VALUE!</v>
      </c>
      <c r="CH376" t="e">
        <f>'North America'!C1412+"n/&gt;!35V"</f>
        <v>#VALUE!</v>
      </c>
      <c r="CI376" t="e">
        <f>'North America'!D1412+"n/&gt;!35W"</f>
        <v>#VALUE!</v>
      </c>
      <c r="CJ376" t="e">
        <f>'North America'!E1412+"n/&gt;!35X"</f>
        <v>#VALUE!</v>
      </c>
      <c r="CK376" t="e">
        <f>'North America'!F1412+"n/&gt;!35Y"</f>
        <v>#VALUE!</v>
      </c>
      <c r="CL376" t="e">
        <f>'North America'!G1412+"n/&gt;!35Z"</f>
        <v>#VALUE!</v>
      </c>
      <c r="CM376" t="e">
        <f>'North America'!H1412+"n/&gt;!35["</f>
        <v>#VALUE!</v>
      </c>
      <c r="CN376" t="e">
        <f>'North America'!I1412+"n/&gt;!35\"</f>
        <v>#VALUE!</v>
      </c>
      <c r="CO376" t="e">
        <f>'North America'!A1413+"n/&gt;!35]"</f>
        <v>#VALUE!</v>
      </c>
      <c r="CP376" t="e">
        <f>'North America'!B1413+"n/&gt;!35^"</f>
        <v>#VALUE!</v>
      </c>
      <c r="CQ376" t="e">
        <f>'North America'!C1413+"n/&gt;!35_"</f>
        <v>#VALUE!</v>
      </c>
      <c r="CR376" t="e">
        <f>'North America'!D1413+"n/&gt;!35`"</f>
        <v>#VALUE!</v>
      </c>
      <c r="CS376" t="e">
        <f>'North America'!E1413+"n/&gt;!35a"</f>
        <v>#VALUE!</v>
      </c>
      <c r="CT376" t="e">
        <f>'North America'!F1413+"n/&gt;!35b"</f>
        <v>#VALUE!</v>
      </c>
      <c r="CU376" t="e">
        <f>'North America'!G1413+"n/&gt;!35c"</f>
        <v>#VALUE!</v>
      </c>
      <c r="CV376" t="e">
        <f>'North America'!H1413+"n/&gt;!35d"</f>
        <v>#VALUE!</v>
      </c>
      <c r="CW376" t="e">
        <f>'North America'!I1413+"n/&gt;!35e"</f>
        <v>#VALUE!</v>
      </c>
      <c r="CX376" t="e">
        <f>'North America'!A1414+"n/&gt;!35f"</f>
        <v>#VALUE!</v>
      </c>
      <c r="CY376" t="e">
        <f>'North America'!B1414+"n/&gt;!35g"</f>
        <v>#VALUE!</v>
      </c>
      <c r="CZ376" t="e">
        <f>'North America'!C1414+"n/&gt;!35h"</f>
        <v>#VALUE!</v>
      </c>
      <c r="DA376" t="e">
        <f>'North America'!D1414+"n/&gt;!35i"</f>
        <v>#VALUE!</v>
      </c>
      <c r="DB376" t="e">
        <f>'North America'!E1414+"n/&gt;!35j"</f>
        <v>#VALUE!</v>
      </c>
      <c r="DC376" t="e">
        <f>'North America'!F1414+"n/&gt;!35k"</f>
        <v>#VALUE!</v>
      </c>
      <c r="DD376" t="e">
        <f>'North America'!G1414+"n/&gt;!35l"</f>
        <v>#VALUE!</v>
      </c>
      <c r="DE376" t="e">
        <f>'North America'!H1414+"n/&gt;!35m"</f>
        <v>#VALUE!</v>
      </c>
      <c r="DF376" t="e">
        <f>'North America'!I1414+"n/&gt;!35n"</f>
        <v>#VALUE!</v>
      </c>
      <c r="DG376" t="e">
        <f>'North America'!A1415+"n/&gt;!35o"</f>
        <v>#VALUE!</v>
      </c>
      <c r="DH376" t="e">
        <f>'North America'!B1415+"n/&gt;!35p"</f>
        <v>#VALUE!</v>
      </c>
      <c r="DI376" t="e">
        <f>'North America'!C1415+"n/&gt;!35q"</f>
        <v>#VALUE!</v>
      </c>
      <c r="DJ376" t="e">
        <f>'North America'!D1415+"n/&gt;!35r"</f>
        <v>#VALUE!</v>
      </c>
      <c r="DK376" t="e">
        <f>'North America'!E1415+"n/&gt;!35s"</f>
        <v>#VALUE!</v>
      </c>
      <c r="DL376" t="e">
        <f>'North America'!F1415+"n/&gt;!35t"</f>
        <v>#VALUE!</v>
      </c>
      <c r="DM376" t="e">
        <f>'North America'!G1415+"n/&gt;!35u"</f>
        <v>#VALUE!</v>
      </c>
      <c r="DN376" t="e">
        <f>'North America'!H1415+"n/&gt;!35v"</f>
        <v>#VALUE!</v>
      </c>
      <c r="DO376" t="e">
        <f>'North America'!I1415+"n/&gt;!35w"</f>
        <v>#VALUE!</v>
      </c>
      <c r="DP376" t="e">
        <f>'North America'!A1416+"n/&gt;!35x"</f>
        <v>#VALUE!</v>
      </c>
      <c r="DQ376" t="e">
        <f>'North America'!B1416+"n/&gt;!35y"</f>
        <v>#VALUE!</v>
      </c>
      <c r="DR376" t="e">
        <f>'North America'!C1416+"n/&gt;!35z"</f>
        <v>#VALUE!</v>
      </c>
      <c r="DS376" t="e">
        <f>'North America'!D1416+"n/&gt;!35{"</f>
        <v>#VALUE!</v>
      </c>
      <c r="DT376" t="e">
        <f>'North America'!E1416+"n/&gt;!35|"</f>
        <v>#VALUE!</v>
      </c>
      <c r="DU376" t="e">
        <f>'North America'!F1416+"n/&gt;!35}"</f>
        <v>#VALUE!</v>
      </c>
      <c r="DV376" t="e">
        <f>'North America'!G1416+"n/&gt;!35~"</f>
        <v>#VALUE!</v>
      </c>
      <c r="DW376" t="e">
        <f>'North America'!H1416+"n/&gt;!36#"</f>
        <v>#VALUE!</v>
      </c>
      <c r="DX376" t="e">
        <f>'North America'!I1416+"n/&gt;!36$"</f>
        <v>#VALUE!</v>
      </c>
      <c r="DY376" t="e">
        <f>'North America'!A1417+"n/&gt;!36%"</f>
        <v>#VALUE!</v>
      </c>
      <c r="DZ376" t="e">
        <f>'North America'!B1417+"n/&gt;!36&amp;"</f>
        <v>#VALUE!</v>
      </c>
      <c r="EA376" t="e">
        <f>'North America'!C1417+"n/&gt;!36'"</f>
        <v>#VALUE!</v>
      </c>
      <c r="EB376" t="e">
        <f>'North America'!D1417+"n/&gt;!36("</f>
        <v>#VALUE!</v>
      </c>
      <c r="EC376" t="e">
        <f>'North America'!E1417+"n/&gt;!36)"</f>
        <v>#VALUE!</v>
      </c>
      <c r="ED376" t="e">
        <f>'North America'!F1417+"n/&gt;!36."</f>
        <v>#VALUE!</v>
      </c>
      <c r="EE376" t="e">
        <f>'North America'!G1417+"n/&gt;!36/"</f>
        <v>#VALUE!</v>
      </c>
      <c r="EF376" t="e">
        <f>'North America'!H1417+"n/&gt;!360"</f>
        <v>#VALUE!</v>
      </c>
      <c r="EG376" t="e">
        <f>'North America'!I1417+"n/&gt;!361"</f>
        <v>#VALUE!</v>
      </c>
      <c r="EH376" t="e">
        <f>'North America'!A1418+"n/&gt;!362"</f>
        <v>#VALUE!</v>
      </c>
      <c r="EI376" t="e">
        <f>'North America'!B1418+"n/&gt;!363"</f>
        <v>#VALUE!</v>
      </c>
      <c r="EJ376" t="e">
        <f>'North America'!C1418+"n/&gt;!364"</f>
        <v>#VALUE!</v>
      </c>
      <c r="EK376" t="e">
        <f>'North America'!D1418+"n/&gt;!365"</f>
        <v>#VALUE!</v>
      </c>
      <c r="EL376" t="e">
        <f>'North America'!E1418+"n/&gt;!366"</f>
        <v>#VALUE!</v>
      </c>
      <c r="EM376" t="e">
        <f>'North America'!F1418+"n/&gt;!367"</f>
        <v>#VALUE!</v>
      </c>
      <c r="EN376" t="e">
        <f>'North America'!G1418+"n/&gt;!368"</f>
        <v>#VALUE!</v>
      </c>
      <c r="EO376" t="e">
        <f>'North America'!H1418+"n/&gt;!369"</f>
        <v>#VALUE!</v>
      </c>
      <c r="EP376" t="e">
        <f>'North America'!I1418+"n/&gt;!36:"</f>
        <v>#VALUE!</v>
      </c>
      <c r="EQ376" t="e">
        <f>'North America'!A1419+"n/&gt;!36;"</f>
        <v>#VALUE!</v>
      </c>
      <c r="ER376" t="e">
        <f>'North America'!B1419+"n/&gt;!36&lt;"</f>
        <v>#VALUE!</v>
      </c>
      <c r="ES376" t="e">
        <f>'North America'!C1419+"n/&gt;!36="</f>
        <v>#VALUE!</v>
      </c>
      <c r="ET376" t="e">
        <f>'North America'!D1419+"n/&gt;!36&gt;"</f>
        <v>#VALUE!</v>
      </c>
      <c r="EU376" t="e">
        <f>'North America'!E1419+"n/&gt;!36?"</f>
        <v>#VALUE!</v>
      </c>
      <c r="EV376" t="e">
        <f>'North America'!F1419+"n/&gt;!36@"</f>
        <v>#VALUE!</v>
      </c>
      <c r="EW376" t="e">
        <f>'North America'!G1419+"n/&gt;!36A"</f>
        <v>#VALUE!</v>
      </c>
      <c r="EX376" t="e">
        <f>'North America'!H1419+"n/&gt;!36B"</f>
        <v>#VALUE!</v>
      </c>
      <c r="EY376" t="e">
        <f>'North America'!I1419+"n/&gt;!36C"</f>
        <v>#VALUE!</v>
      </c>
      <c r="EZ376" t="e">
        <f>'North America'!A1420+"n/&gt;!36D"</f>
        <v>#VALUE!</v>
      </c>
      <c r="FA376" t="e">
        <f>'North America'!B1420+"n/&gt;!36E"</f>
        <v>#VALUE!</v>
      </c>
      <c r="FB376" t="e">
        <f>'North America'!C1420+"n/&gt;!36F"</f>
        <v>#VALUE!</v>
      </c>
      <c r="FC376" t="e">
        <f>'North America'!D1420+"n/&gt;!36G"</f>
        <v>#VALUE!</v>
      </c>
      <c r="FD376" t="e">
        <f>'North America'!E1420+"n/&gt;!36H"</f>
        <v>#VALUE!</v>
      </c>
      <c r="FE376" t="e">
        <f>'North America'!F1420+"n/&gt;!36I"</f>
        <v>#VALUE!</v>
      </c>
      <c r="FF376" t="e">
        <f>'North America'!G1420+"n/&gt;!36J"</f>
        <v>#VALUE!</v>
      </c>
      <c r="FG376" t="e">
        <f>'North America'!H1420+"n/&gt;!36K"</f>
        <v>#VALUE!</v>
      </c>
      <c r="FH376" t="e">
        <f>'North America'!I1420+"n/&gt;!36L"</f>
        <v>#VALUE!</v>
      </c>
      <c r="FI376" t="e">
        <f>'North America'!A1421+"n/&gt;!36M"</f>
        <v>#VALUE!</v>
      </c>
      <c r="FJ376" t="e">
        <f>'North America'!B1421+"n/&gt;!36N"</f>
        <v>#VALUE!</v>
      </c>
      <c r="FK376" t="e">
        <f>'North America'!C1421+"n/&gt;!36O"</f>
        <v>#VALUE!</v>
      </c>
      <c r="FL376" t="e">
        <f>'North America'!D1421+"n/&gt;!36P"</f>
        <v>#VALUE!</v>
      </c>
      <c r="FM376" t="e">
        <f>'North America'!E1421+"n/&gt;!36Q"</f>
        <v>#VALUE!</v>
      </c>
      <c r="FN376" t="e">
        <f>'North America'!F1421+"n/&gt;!36R"</f>
        <v>#VALUE!</v>
      </c>
      <c r="FO376" t="e">
        <f>'North America'!G1421+"n/&gt;!36S"</f>
        <v>#VALUE!</v>
      </c>
      <c r="FP376" t="e">
        <f>'North America'!H1421+"n/&gt;!36T"</f>
        <v>#VALUE!</v>
      </c>
      <c r="FQ376" t="e">
        <f>'North America'!I1421+"n/&gt;!36U"</f>
        <v>#VALUE!</v>
      </c>
      <c r="FR376" t="e">
        <f>'North America'!A1422+"n/&gt;!36V"</f>
        <v>#VALUE!</v>
      </c>
      <c r="FS376" t="e">
        <f>'North America'!B1422+"n/&gt;!36W"</f>
        <v>#VALUE!</v>
      </c>
      <c r="FT376" t="e">
        <f>'North America'!C1422+"n/&gt;!36X"</f>
        <v>#VALUE!</v>
      </c>
      <c r="FU376" t="e">
        <f>'North America'!D1422+"n/&gt;!36Y"</f>
        <v>#VALUE!</v>
      </c>
      <c r="FV376" t="e">
        <f>'North America'!E1422+"n/&gt;!36Z"</f>
        <v>#VALUE!</v>
      </c>
      <c r="FW376" t="e">
        <f>'North America'!F1422+"n/&gt;!36["</f>
        <v>#VALUE!</v>
      </c>
      <c r="FX376" t="e">
        <f>'North America'!G1422+"n/&gt;!36\"</f>
        <v>#VALUE!</v>
      </c>
      <c r="FY376" t="e">
        <f>'North America'!H1422+"n/&gt;!36]"</f>
        <v>#VALUE!</v>
      </c>
      <c r="FZ376" t="e">
        <f>'North America'!I1422+"n/&gt;!36^"</f>
        <v>#VALUE!</v>
      </c>
      <c r="GA376" t="e">
        <f>'North America'!A1423+"n/&gt;!36_"</f>
        <v>#VALUE!</v>
      </c>
      <c r="GB376" t="e">
        <f>'North America'!B1423+"n/&gt;!36`"</f>
        <v>#VALUE!</v>
      </c>
      <c r="GC376" t="e">
        <f>'North America'!C1423+"n/&gt;!36a"</f>
        <v>#VALUE!</v>
      </c>
      <c r="GD376" t="e">
        <f>'North America'!D1423+"n/&gt;!36b"</f>
        <v>#VALUE!</v>
      </c>
      <c r="GE376" t="e">
        <f>'North America'!E1423+"n/&gt;!36c"</f>
        <v>#VALUE!</v>
      </c>
      <c r="GF376" t="e">
        <f>'North America'!F1423+"n/&gt;!36d"</f>
        <v>#VALUE!</v>
      </c>
      <c r="GG376" t="e">
        <f>'North America'!G1423+"n/&gt;!36e"</f>
        <v>#VALUE!</v>
      </c>
      <c r="GH376" t="e">
        <f>'North America'!H1423+"n/&gt;!36f"</f>
        <v>#VALUE!</v>
      </c>
      <c r="GI376" t="e">
        <f>'North America'!I1423+"n/&gt;!36g"</f>
        <v>#VALUE!</v>
      </c>
      <c r="GJ376" t="e">
        <f>'North America'!A1424+"n/&gt;!36h"</f>
        <v>#VALUE!</v>
      </c>
      <c r="GK376" t="e">
        <f>'North America'!B1424+"n/&gt;!36i"</f>
        <v>#VALUE!</v>
      </c>
      <c r="GL376" t="e">
        <f>'North America'!C1424+"n/&gt;!36j"</f>
        <v>#VALUE!</v>
      </c>
      <c r="GM376" t="e">
        <f>'North America'!D1424+"n/&gt;!36k"</f>
        <v>#VALUE!</v>
      </c>
      <c r="GN376" t="e">
        <f>'North America'!E1424+"n/&gt;!36l"</f>
        <v>#VALUE!</v>
      </c>
      <c r="GO376" t="e">
        <f>'North America'!F1424+"n/&gt;!36m"</f>
        <v>#VALUE!</v>
      </c>
      <c r="GP376" t="e">
        <f>'North America'!G1424+"n/&gt;!36n"</f>
        <v>#VALUE!</v>
      </c>
      <c r="GQ376" t="e">
        <f>'North America'!H1424+"n/&gt;!36o"</f>
        <v>#VALUE!</v>
      </c>
      <c r="GR376" t="e">
        <f>'North America'!I1424+"n/&gt;!36p"</f>
        <v>#VALUE!</v>
      </c>
      <c r="GS376" t="e">
        <f>'North America'!A1425+"n/&gt;!36q"</f>
        <v>#VALUE!</v>
      </c>
      <c r="GT376" t="e">
        <f>'North America'!B1425+"n/&gt;!36r"</f>
        <v>#VALUE!</v>
      </c>
      <c r="GU376" t="e">
        <f>'North America'!C1425+"n/&gt;!36s"</f>
        <v>#VALUE!</v>
      </c>
      <c r="GV376" t="e">
        <f>'North America'!D1425+"n/&gt;!36t"</f>
        <v>#VALUE!</v>
      </c>
      <c r="GW376" t="e">
        <f>'North America'!E1425+"n/&gt;!36u"</f>
        <v>#VALUE!</v>
      </c>
      <c r="GX376" t="e">
        <f>'North America'!F1425+"n/&gt;!36v"</f>
        <v>#VALUE!</v>
      </c>
      <c r="GY376" t="e">
        <f>'North America'!G1425+"n/&gt;!36w"</f>
        <v>#VALUE!</v>
      </c>
      <c r="GZ376" t="e">
        <f>'North America'!H1425+"n/&gt;!36x"</f>
        <v>#VALUE!</v>
      </c>
      <c r="HA376" t="e">
        <f>'North America'!I1425+"n/&gt;!36y"</f>
        <v>#VALUE!</v>
      </c>
      <c r="HB376" t="e">
        <f>'North America'!A1426+"n/&gt;!36z"</f>
        <v>#VALUE!</v>
      </c>
      <c r="HC376" t="e">
        <f>'North America'!B1426+"n/&gt;!36{"</f>
        <v>#VALUE!</v>
      </c>
      <c r="HD376" t="e">
        <f>'North America'!C1426+"n/&gt;!36|"</f>
        <v>#VALUE!</v>
      </c>
      <c r="HE376" t="e">
        <f>'North America'!D1426+"n/&gt;!36}"</f>
        <v>#VALUE!</v>
      </c>
      <c r="HF376" t="e">
        <f>'North America'!E1426+"n/&gt;!36~"</f>
        <v>#VALUE!</v>
      </c>
      <c r="HG376" t="e">
        <f>'North America'!F1426+"n/&gt;!37#"</f>
        <v>#VALUE!</v>
      </c>
      <c r="HH376" t="e">
        <f>'North America'!G1426+"n/&gt;!37$"</f>
        <v>#VALUE!</v>
      </c>
      <c r="HI376" t="e">
        <f>'North America'!H1426+"n/&gt;!37%"</f>
        <v>#VALUE!</v>
      </c>
      <c r="HJ376" t="e">
        <f>'North America'!I1426+"n/&gt;!37&amp;"</f>
        <v>#VALUE!</v>
      </c>
      <c r="HK376" t="e">
        <f>'North America'!A1427+"n/&gt;!37'"</f>
        <v>#VALUE!</v>
      </c>
      <c r="HL376" t="e">
        <f>'North America'!B1427+"n/&gt;!37("</f>
        <v>#VALUE!</v>
      </c>
      <c r="HM376" t="e">
        <f>'North America'!C1427+"n/&gt;!37)"</f>
        <v>#VALUE!</v>
      </c>
      <c r="HN376" t="e">
        <f>'North America'!D1427+"n/&gt;!37."</f>
        <v>#VALUE!</v>
      </c>
      <c r="HO376" t="e">
        <f>'North America'!E1427+"n/&gt;!37/"</f>
        <v>#VALUE!</v>
      </c>
      <c r="HP376" t="e">
        <f>'North America'!F1427+"n/&gt;!370"</f>
        <v>#VALUE!</v>
      </c>
      <c r="HQ376" t="e">
        <f>'North America'!G1427+"n/&gt;!371"</f>
        <v>#VALUE!</v>
      </c>
      <c r="HR376" t="e">
        <f>'North America'!H1427+"n/&gt;!372"</f>
        <v>#VALUE!</v>
      </c>
      <c r="HS376" t="e">
        <f>'North America'!I1427+"n/&gt;!373"</f>
        <v>#VALUE!</v>
      </c>
      <c r="HT376" t="e">
        <f>'North America'!A1428+"n/&gt;!374"</f>
        <v>#VALUE!</v>
      </c>
      <c r="HU376" t="e">
        <f>'North America'!B1428+"n/&gt;!375"</f>
        <v>#VALUE!</v>
      </c>
      <c r="HV376" t="e">
        <f>'North America'!C1428+"n/&gt;!376"</f>
        <v>#VALUE!</v>
      </c>
      <c r="HW376" t="e">
        <f>'North America'!D1428+"n/&gt;!377"</f>
        <v>#VALUE!</v>
      </c>
      <c r="HX376" t="e">
        <f>'North America'!E1428+"n/&gt;!378"</f>
        <v>#VALUE!</v>
      </c>
      <c r="HY376" t="e">
        <f>'North America'!F1428+"n/&gt;!379"</f>
        <v>#VALUE!</v>
      </c>
      <c r="HZ376" t="e">
        <f>'North America'!G1428+"n/&gt;!37:"</f>
        <v>#VALUE!</v>
      </c>
      <c r="IA376" t="e">
        <f>'North America'!H1428+"n/&gt;!37;"</f>
        <v>#VALUE!</v>
      </c>
      <c r="IB376" t="e">
        <f>'North America'!I1428+"n/&gt;!37&lt;"</f>
        <v>#VALUE!</v>
      </c>
      <c r="IC376" t="e">
        <f>'North America'!A1429+"n/&gt;!37="</f>
        <v>#VALUE!</v>
      </c>
      <c r="ID376" t="e">
        <f>'North America'!B1429+"n/&gt;!37&gt;"</f>
        <v>#VALUE!</v>
      </c>
      <c r="IE376" t="e">
        <f>'North America'!C1429+"n/&gt;!37?"</f>
        <v>#VALUE!</v>
      </c>
      <c r="IF376" t="e">
        <f>'North America'!D1429+"n/&gt;!37@"</f>
        <v>#VALUE!</v>
      </c>
      <c r="IG376" t="e">
        <f>'North America'!E1429+"n/&gt;!37A"</f>
        <v>#VALUE!</v>
      </c>
      <c r="IH376" t="e">
        <f>'North America'!F1429+"n/&gt;!37B"</f>
        <v>#VALUE!</v>
      </c>
      <c r="II376" t="e">
        <f>'North America'!G1429+"n/&gt;!37C"</f>
        <v>#VALUE!</v>
      </c>
      <c r="IJ376" t="e">
        <f>'North America'!H1429+"n/&gt;!37D"</f>
        <v>#VALUE!</v>
      </c>
      <c r="IK376" t="e">
        <f>'North America'!I1429+"n/&gt;!37E"</f>
        <v>#VALUE!</v>
      </c>
      <c r="IL376" t="e">
        <f>'North America'!A1430+"n/&gt;!37F"</f>
        <v>#VALUE!</v>
      </c>
      <c r="IM376" t="e">
        <f>'North America'!B1430+"n/&gt;!37G"</f>
        <v>#VALUE!</v>
      </c>
      <c r="IN376" t="e">
        <f>'North America'!C1430+"n/&gt;!37H"</f>
        <v>#VALUE!</v>
      </c>
      <c r="IO376" t="e">
        <f>'North America'!D1430+"n/&gt;!37I"</f>
        <v>#VALUE!</v>
      </c>
      <c r="IP376" t="e">
        <f>'North America'!E1430+"n/&gt;!37J"</f>
        <v>#VALUE!</v>
      </c>
      <c r="IQ376" t="e">
        <f>'North America'!F1430+"n/&gt;!37K"</f>
        <v>#VALUE!</v>
      </c>
      <c r="IR376" t="e">
        <f>'North America'!G1430+"n/&gt;!37L"</f>
        <v>#VALUE!</v>
      </c>
      <c r="IS376" t="e">
        <f>'North America'!H1430+"n/&gt;!37M"</f>
        <v>#VALUE!</v>
      </c>
      <c r="IT376" t="e">
        <f>'North America'!I1430+"n/&gt;!37N"</f>
        <v>#VALUE!</v>
      </c>
      <c r="IU376" t="e">
        <f>'North America'!A1431+"n/&gt;!37O"</f>
        <v>#VALUE!</v>
      </c>
      <c r="IV376" t="e">
        <f>'North America'!B1431+"n/&gt;!37P"</f>
        <v>#VALUE!</v>
      </c>
    </row>
    <row r="377" spans="6:256" x14ac:dyDescent="0.35">
      <c r="F377" t="e">
        <f>'North America'!C1431+"n/&gt;!37Q"</f>
        <v>#VALUE!</v>
      </c>
      <c r="G377" t="e">
        <f>'North America'!D1431+"n/&gt;!37R"</f>
        <v>#VALUE!</v>
      </c>
      <c r="H377" t="e">
        <f>'North America'!E1431+"n/&gt;!37S"</f>
        <v>#VALUE!</v>
      </c>
      <c r="I377" t="e">
        <f>'North America'!F1431+"n/&gt;!37T"</f>
        <v>#VALUE!</v>
      </c>
      <c r="J377" t="e">
        <f>'North America'!G1431+"n/&gt;!37U"</f>
        <v>#VALUE!</v>
      </c>
      <c r="K377" t="e">
        <f>'North America'!H1431+"n/&gt;!37V"</f>
        <v>#VALUE!</v>
      </c>
      <c r="L377" t="e">
        <f>'North America'!I1431+"n/&gt;!37W"</f>
        <v>#VALUE!</v>
      </c>
      <c r="M377" t="e">
        <f>'North America'!A1432+"n/&gt;!37X"</f>
        <v>#VALUE!</v>
      </c>
      <c r="N377" t="e">
        <f>'North America'!B1432+"n/&gt;!37Y"</f>
        <v>#VALUE!</v>
      </c>
      <c r="O377" t="e">
        <f>'North America'!C1432+"n/&gt;!37Z"</f>
        <v>#VALUE!</v>
      </c>
      <c r="P377" t="e">
        <f>'North America'!D1432+"n/&gt;!37["</f>
        <v>#VALUE!</v>
      </c>
      <c r="Q377" t="e">
        <f>'North America'!E1432+"n/&gt;!37\"</f>
        <v>#VALUE!</v>
      </c>
      <c r="R377" t="e">
        <f>'North America'!F1432+"n/&gt;!37]"</f>
        <v>#VALUE!</v>
      </c>
      <c r="S377" t="e">
        <f>'North America'!G1432+"n/&gt;!37^"</f>
        <v>#VALUE!</v>
      </c>
      <c r="T377" t="e">
        <f>'North America'!H1432+"n/&gt;!37_"</f>
        <v>#VALUE!</v>
      </c>
      <c r="U377" t="e">
        <f>'North America'!I1432+"n/&gt;!37`"</f>
        <v>#VALUE!</v>
      </c>
      <c r="V377" t="e">
        <f>'North America'!A1433+"n/&gt;!37a"</f>
        <v>#VALUE!</v>
      </c>
      <c r="W377" t="e">
        <f>'North America'!B1433+"n/&gt;!37b"</f>
        <v>#VALUE!</v>
      </c>
      <c r="X377" t="e">
        <f>'North America'!C1433+"n/&gt;!37c"</f>
        <v>#VALUE!</v>
      </c>
      <c r="Y377" t="e">
        <f>'North America'!D1433+"n/&gt;!37d"</f>
        <v>#VALUE!</v>
      </c>
      <c r="Z377" t="e">
        <f>'North America'!E1433+"n/&gt;!37e"</f>
        <v>#VALUE!</v>
      </c>
      <c r="AA377" t="e">
        <f>'North America'!F1433+"n/&gt;!37f"</f>
        <v>#VALUE!</v>
      </c>
      <c r="AB377" t="e">
        <f>'North America'!G1433+"n/&gt;!37g"</f>
        <v>#VALUE!</v>
      </c>
      <c r="AC377" t="e">
        <f>'North America'!H1433+"n/&gt;!37h"</f>
        <v>#VALUE!</v>
      </c>
      <c r="AD377" t="e">
        <f>'North America'!I1433+"n/&gt;!37i"</f>
        <v>#VALUE!</v>
      </c>
      <c r="AE377" t="e">
        <f>'North America'!A1434+"n/&gt;!37j"</f>
        <v>#VALUE!</v>
      </c>
      <c r="AF377" t="e">
        <f>'North America'!B1434+"n/&gt;!37k"</f>
        <v>#VALUE!</v>
      </c>
      <c r="AG377" t="e">
        <f>'North America'!C1434+"n/&gt;!37l"</f>
        <v>#VALUE!</v>
      </c>
      <c r="AH377" t="e">
        <f>'North America'!D1434+"n/&gt;!37m"</f>
        <v>#VALUE!</v>
      </c>
      <c r="AI377" t="e">
        <f>'North America'!E1434+"n/&gt;!37n"</f>
        <v>#VALUE!</v>
      </c>
      <c r="AJ377" t="e">
        <f>'North America'!F1434+"n/&gt;!37o"</f>
        <v>#VALUE!</v>
      </c>
      <c r="AK377" t="e">
        <f>'North America'!G1434+"n/&gt;!37p"</f>
        <v>#VALUE!</v>
      </c>
      <c r="AL377" t="e">
        <f>'North America'!H1434+"n/&gt;!37q"</f>
        <v>#VALUE!</v>
      </c>
      <c r="AM377" t="e">
        <f>'North America'!I1434+"n/&gt;!37r"</f>
        <v>#VALUE!</v>
      </c>
      <c r="AN377" t="e">
        <f>'North America'!A1435+"n/&gt;!37s"</f>
        <v>#VALUE!</v>
      </c>
      <c r="AO377" t="e">
        <f>'North America'!B1435+"n/&gt;!37t"</f>
        <v>#VALUE!</v>
      </c>
      <c r="AP377" t="e">
        <f>'North America'!C1435+"n/&gt;!37u"</f>
        <v>#VALUE!</v>
      </c>
      <c r="AQ377" t="e">
        <f>'North America'!D1435+"n/&gt;!37v"</f>
        <v>#VALUE!</v>
      </c>
      <c r="AR377" t="e">
        <f>'North America'!E1435+"n/&gt;!37w"</f>
        <v>#VALUE!</v>
      </c>
      <c r="AS377" t="e">
        <f>'North America'!F1435+"n/&gt;!37x"</f>
        <v>#VALUE!</v>
      </c>
      <c r="AT377" t="e">
        <f>'North America'!G1435+"n/&gt;!37y"</f>
        <v>#VALUE!</v>
      </c>
      <c r="AU377" t="e">
        <f>'North America'!H1435+"n/&gt;!37z"</f>
        <v>#VALUE!</v>
      </c>
      <c r="AV377" t="e">
        <f>'North America'!I1435+"n/&gt;!37{"</f>
        <v>#VALUE!</v>
      </c>
      <c r="AW377" t="e">
        <f>'North America'!A1436+"n/&gt;!37|"</f>
        <v>#VALUE!</v>
      </c>
      <c r="AX377" t="e">
        <f>'North America'!B1436+"n/&gt;!37}"</f>
        <v>#VALUE!</v>
      </c>
      <c r="AY377" t="e">
        <f>'North America'!C1436+"n/&gt;!37~"</f>
        <v>#VALUE!</v>
      </c>
      <c r="AZ377" t="e">
        <f>'North America'!D1436+"n/&gt;!38#"</f>
        <v>#VALUE!</v>
      </c>
      <c r="BA377" t="e">
        <f>'North America'!E1436+"n/&gt;!38$"</f>
        <v>#VALUE!</v>
      </c>
      <c r="BB377" t="e">
        <f>'North America'!F1436+"n/&gt;!38%"</f>
        <v>#VALUE!</v>
      </c>
      <c r="BC377" t="e">
        <f>'North America'!G1436+"n/&gt;!38&amp;"</f>
        <v>#VALUE!</v>
      </c>
      <c r="BD377" t="e">
        <f>'North America'!H1436+"n/&gt;!38'"</f>
        <v>#VALUE!</v>
      </c>
      <c r="BE377" t="e">
        <f>'North America'!I1436+"n/&gt;!38("</f>
        <v>#VALUE!</v>
      </c>
      <c r="BF377" t="e">
        <f>'North America'!A1437+"n/&gt;!38)"</f>
        <v>#VALUE!</v>
      </c>
      <c r="BG377" t="e">
        <f>'North America'!B1437+"n/&gt;!38."</f>
        <v>#VALUE!</v>
      </c>
      <c r="BH377" t="e">
        <f>'North America'!C1437+"n/&gt;!38/"</f>
        <v>#VALUE!</v>
      </c>
      <c r="BI377" t="e">
        <f>'North America'!D1437+"n/&gt;!380"</f>
        <v>#VALUE!</v>
      </c>
      <c r="BJ377" t="e">
        <f>'North America'!E1437+"n/&gt;!381"</f>
        <v>#VALUE!</v>
      </c>
      <c r="BK377" t="e">
        <f>'North America'!F1437+"n/&gt;!382"</f>
        <v>#VALUE!</v>
      </c>
      <c r="BL377" t="e">
        <f>'North America'!G1437+"n/&gt;!383"</f>
        <v>#VALUE!</v>
      </c>
      <c r="BM377" t="e">
        <f>'North America'!H1437+"n/&gt;!384"</f>
        <v>#VALUE!</v>
      </c>
      <c r="BN377" t="e">
        <f>'North America'!I1437+"n/&gt;!385"</f>
        <v>#VALUE!</v>
      </c>
      <c r="BO377" t="e">
        <f>'North America'!A1438+"n/&gt;!386"</f>
        <v>#VALUE!</v>
      </c>
      <c r="BP377" t="e">
        <f>'North America'!B1438+"n/&gt;!387"</f>
        <v>#VALUE!</v>
      </c>
      <c r="BQ377" t="e">
        <f>'North America'!C1438+"n/&gt;!388"</f>
        <v>#VALUE!</v>
      </c>
      <c r="BR377" t="e">
        <f>'North America'!D1438+"n/&gt;!389"</f>
        <v>#VALUE!</v>
      </c>
      <c r="BS377" t="e">
        <f>'North America'!E1438+"n/&gt;!38:"</f>
        <v>#VALUE!</v>
      </c>
      <c r="BT377" t="e">
        <f>'North America'!F1438+"n/&gt;!38;"</f>
        <v>#VALUE!</v>
      </c>
      <c r="BU377" t="e">
        <f>'North America'!G1438+"n/&gt;!38&lt;"</f>
        <v>#VALUE!</v>
      </c>
      <c r="BV377" t="e">
        <f>'North America'!H1438+"n/&gt;!38="</f>
        <v>#VALUE!</v>
      </c>
      <c r="BW377" t="e">
        <f>'North America'!I1438+"n/&gt;!38&gt;"</f>
        <v>#VALUE!</v>
      </c>
      <c r="BX377" t="e">
        <f>'North America'!A1439+"n/&gt;!38?"</f>
        <v>#VALUE!</v>
      </c>
      <c r="BY377" t="e">
        <f>'North America'!B1439+"n/&gt;!38@"</f>
        <v>#VALUE!</v>
      </c>
      <c r="BZ377" t="e">
        <f>'North America'!C1439+"n/&gt;!38A"</f>
        <v>#VALUE!</v>
      </c>
      <c r="CA377" t="e">
        <f>'North America'!D1439+"n/&gt;!38B"</f>
        <v>#VALUE!</v>
      </c>
      <c r="CB377" t="e">
        <f>'North America'!E1439+"n/&gt;!38C"</f>
        <v>#VALUE!</v>
      </c>
      <c r="CC377" t="e">
        <f>'North America'!F1439+"n/&gt;!38D"</f>
        <v>#VALUE!</v>
      </c>
      <c r="CD377" t="e">
        <f>'North America'!G1439+"n/&gt;!38E"</f>
        <v>#VALUE!</v>
      </c>
      <c r="CE377" t="e">
        <f>'North America'!H1439+"n/&gt;!38F"</f>
        <v>#VALUE!</v>
      </c>
      <c r="CF377" t="e">
        <f>'North America'!I1439+"n/&gt;!38G"</f>
        <v>#VALUE!</v>
      </c>
      <c r="CG377" t="e">
        <f>'North America'!A1440+"n/&gt;!38H"</f>
        <v>#VALUE!</v>
      </c>
      <c r="CH377" t="e">
        <f>'North America'!B1440+"n/&gt;!38I"</f>
        <v>#VALUE!</v>
      </c>
      <c r="CI377" t="e">
        <f>'North America'!C1440+"n/&gt;!38J"</f>
        <v>#VALUE!</v>
      </c>
      <c r="CJ377" t="e">
        <f>'North America'!D1440+"n/&gt;!38K"</f>
        <v>#VALUE!</v>
      </c>
      <c r="CK377" t="e">
        <f>'North America'!E1440+"n/&gt;!38L"</f>
        <v>#VALUE!</v>
      </c>
      <c r="CL377" t="e">
        <f>'North America'!F1440+"n/&gt;!38M"</f>
        <v>#VALUE!</v>
      </c>
      <c r="CM377" t="e">
        <f>'North America'!G1440+"n/&gt;!38N"</f>
        <v>#VALUE!</v>
      </c>
      <c r="CN377" t="e">
        <f>'North America'!H1440+"n/&gt;!38O"</f>
        <v>#VALUE!</v>
      </c>
      <c r="CO377" t="e">
        <f>'North America'!I1440+"n/&gt;!38P"</f>
        <v>#VALUE!</v>
      </c>
      <c r="CP377" t="e">
        <f>'North America'!A1441+"n/&gt;!38Q"</f>
        <v>#VALUE!</v>
      </c>
      <c r="CQ377" t="e">
        <f>'North America'!B1441+"n/&gt;!38R"</f>
        <v>#VALUE!</v>
      </c>
      <c r="CR377" t="e">
        <f>'North America'!C1441+"n/&gt;!38S"</f>
        <v>#VALUE!</v>
      </c>
      <c r="CS377" t="e">
        <f>'North America'!D1441+"n/&gt;!38T"</f>
        <v>#VALUE!</v>
      </c>
      <c r="CT377" t="e">
        <f>'North America'!E1441+"n/&gt;!38U"</f>
        <v>#VALUE!</v>
      </c>
      <c r="CU377" t="e">
        <f>'North America'!F1441+"n/&gt;!38V"</f>
        <v>#VALUE!</v>
      </c>
      <c r="CV377" t="e">
        <f>'North America'!G1441+"n/&gt;!38W"</f>
        <v>#VALUE!</v>
      </c>
      <c r="CW377" t="e">
        <f>'North America'!H1441+"n/&gt;!38X"</f>
        <v>#VALUE!</v>
      </c>
      <c r="CX377" t="e">
        <f>'North America'!I1441+"n/&gt;!38Y"</f>
        <v>#VALUE!</v>
      </c>
      <c r="CY377" t="e">
        <f>'North America'!A1442+"n/&gt;!38Z"</f>
        <v>#VALUE!</v>
      </c>
      <c r="CZ377" t="e">
        <f>'North America'!B1442+"n/&gt;!38["</f>
        <v>#VALUE!</v>
      </c>
      <c r="DA377" t="e">
        <f>'North America'!C1442+"n/&gt;!38\"</f>
        <v>#VALUE!</v>
      </c>
      <c r="DB377" t="e">
        <f>'North America'!D1442+"n/&gt;!38]"</f>
        <v>#VALUE!</v>
      </c>
      <c r="DC377" t="e">
        <f>'North America'!E1442+"n/&gt;!38^"</f>
        <v>#VALUE!</v>
      </c>
      <c r="DD377" t="e">
        <f>'North America'!F1442+"n/&gt;!38_"</f>
        <v>#VALUE!</v>
      </c>
      <c r="DE377" t="e">
        <f>'North America'!G1442+"n/&gt;!38`"</f>
        <v>#VALUE!</v>
      </c>
      <c r="DF377" t="e">
        <f>'North America'!H1442+"n/&gt;!38a"</f>
        <v>#VALUE!</v>
      </c>
      <c r="DG377" t="e">
        <f>'North America'!I1442+"n/&gt;!38b"</f>
        <v>#VALUE!</v>
      </c>
      <c r="DH377" t="e">
        <f>'North America'!A1443+"n/&gt;!38c"</f>
        <v>#VALUE!</v>
      </c>
      <c r="DI377" t="e">
        <f>'North America'!B1443+"n/&gt;!38d"</f>
        <v>#VALUE!</v>
      </c>
      <c r="DJ377" t="e">
        <f>'North America'!C1443+"n/&gt;!38e"</f>
        <v>#VALUE!</v>
      </c>
      <c r="DK377" t="e">
        <f>'North America'!D1443+"n/&gt;!38f"</f>
        <v>#VALUE!</v>
      </c>
      <c r="DL377" t="e">
        <f>'North America'!E1443+"n/&gt;!38g"</f>
        <v>#VALUE!</v>
      </c>
      <c r="DM377" t="e">
        <f>'North America'!F1443+"n/&gt;!38h"</f>
        <v>#VALUE!</v>
      </c>
      <c r="DN377" t="e">
        <f>'North America'!G1443+"n/&gt;!38i"</f>
        <v>#VALUE!</v>
      </c>
      <c r="DO377" t="e">
        <f>'North America'!H1443+"n/&gt;!38j"</f>
        <v>#VALUE!</v>
      </c>
      <c r="DP377" t="e">
        <f>'North America'!I1443+"n/&gt;!38k"</f>
        <v>#VALUE!</v>
      </c>
      <c r="DQ377" t="e">
        <f>'North America'!A1444+"n/&gt;!38l"</f>
        <v>#VALUE!</v>
      </c>
      <c r="DR377" t="e">
        <f>'North America'!B1444+"n/&gt;!38m"</f>
        <v>#VALUE!</v>
      </c>
      <c r="DS377" t="e">
        <f>'North America'!C1444+"n/&gt;!38n"</f>
        <v>#VALUE!</v>
      </c>
      <c r="DT377" t="e">
        <f>'North America'!D1444+"n/&gt;!38o"</f>
        <v>#VALUE!</v>
      </c>
      <c r="DU377" t="e">
        <f>'North America'!E1444+"n/&gt;!38p"</f>
        <v>#VALUE!</v>
      </c>
      <c r="DV377" t="e">
        <f>'North America'!F1444+"n/&gt;!38q"</f>
        <v>#VALUE!</v>
      </c>
      <c r="DW377" t="e">
        <f>'North America'!G1444+"n/&gt;!38r"</f>
        <v>#VALUE!</v>
      </c>
      <c r="DX377" t="e">
        <f>'North America'!H1444+"n/&gt;!38s"</f>
        <v>#VALUE!</v>
      </c>
      <c r="DY377" t="e">
        <f>'North America'!I1444+"n/&gt;!38t"</f>
        <v>#VALUE!</v>
      </c>
      <c r="DZ377" t="e">
        <f>'North America'!A1445+"n/&gt;!38u"</f>
        <v>#VALUE!</v>
      </c>
      <c r="EA377" t="e">
        <f>'North America'!B1445+"n/&gt;!38v"</f>
        <v>#VALUE!</v>
      </c>
      <c r="EB377" t="e">
        <f>'North America'!C1445+"n/&gt;!38w"</f>
        <v>#VALUE!</v>
      </c>
      <c r="EC377" t="e">
        <f>'North America'!D1445+"n/&gt;!38x"</f>
        <v>#VALUE!</v>
      </c>
      <c r="ED377" t="e">
        <f>'North America'!E1445+"n/&gt;!38y"</f>
        <v>#VALUE!</v>
      </c>
      <c r="EE377" t="e">
        <f>'North America'!F1445+"n/&gt;!38z"</f>
        <v>#VALUE!</v>
      </c>
      <c r="EF377" t="e">
        <f>'North America'!G1445+"n/&gt;!38{"</f>
        <v>#VALUE!</v>
      </c>
      <c r="EG377" t="e">
        <f>'North America'!H1445+"n/&gt;!38|"</f>
        <v>#VALUE!</v>
      </c>
      <c r="EH377" t="e">
        <f>'North America'!I1445+"n/&gt;!38}"</f>
        <v>#VALUE!</v>
      </c>
      <c r="EI377" t="e">
        <f>'North America'!A1446+"n/&gt;!38~"</f>
        <v>#VALUE!</v>
      </c>
      <c r="EJ377" t="e">
        <f>'North America'!B1446+"n/&gt;!39#"</f>
        <v>#VALUE!</v>
      </c>
      <c r="EK377" t="e">
        <f>'North America'!C1446+"n/&gt;!39$"</f>
        <v>#VALUE!</v>
      </c>
      <c r="EL377" t="e">
        <f>'North America'!D1446+"n/&gt;!39%"</f>
        <v>#VALUE!</v>
      </c>
      <c r="EM377" t="e">
        <f>'North America'!E1446+"n/&gt;!39&amp;"</f>
        <v>#VALUE!</v>
      </c>
      <c r="EN377" t="e">
        <f>'North America'!F1446+"n/&gt;!39'"</f>
        <v>#VALUE!</v>
      </c>
      <c r="EO377" t="e">
        <f>'North America'!G1446+"n/&gt;!39("</f>
        <v>#VALUE!</v>
      </c>
      <c r="EP377" t="e">
        <f>'North America'!H1446+"n/&gt;!39)"</f>
        <v>#VALUE!</v>
      </c>
      <c r="EQ377" t="e">
        <f>'North America'!I1446+"n/&gt;!39."</f>
        <v>#VALUE!</v>
      </c>
      <c r="ER377" t="e">
        <f>'North America'!A1447+"n/&gt;!39/"</f>
        <v>#VALUE!</v>
      </c>
      <c r="ES377" t="e">
        <f>'North America'!B1447+"n/&gt;!390"</f>
        <v>#VALUE!</v>
      </c>
      <c r="ET377" t="e">
        <f>'North America'!C1447+"n/&gt;!391"</f>
        <v>#VALUE!</v>
      </c>
      <c r="EU377" t="e">
        <f>'North America'!D1447+"n/&gt;!392"</f>
        <v>#VALUE!</v>
      </c>
      <c r="EV377" t="e">
        <f>'North America'!E1447+"n/&gt;!393"</f>
        <v>#VALUE!</v>
      </c>
      <c r="EW377" t="e">
        <f>'North America'!F1447+"n/&gt;!394"</f>
        <v>#VALUE!</v>
      </c>
      <c r="EX377" t="e">
        <f>'North America'!G1447+"n/&gt;!395"</f>
        <v>#VALUE!</v>
      </c>
      <c r="EY377" t="e">
        <f>'North America'!H1447+"n/&gt;!396"</f>
        <v>#VALUE!</v>
      </c>
      <c r="EZ377" t="e">
        <f>'North America'!I1447+"n/&gt;!397"</f>
        <v>#VALUE!</v>
      </c>
      <c r="FA377" t="e">
        <f>'North America'!A1448+"n/&gt;!398"</f>
        <v>#VALUE!</v>
      </c>
      <c r="FB377" t="e">
        <f>'North America'!B1448+"n/&gt;!399"</f>
        <v>#VALUE!</v>
      </c>
      <c r="FC377" t="e">
        <f>'North America'!C1448+"n/&gt;!39:"</f>
        <v>#VALUE!</v>
      </c>
      <c r="FD377" t="e">
        <f>'North America'!D1448+"n/&gt;!39;"</f>
        <v>#VALUE!</v>
      </c>
      <c r="FE377" t="e">
        <f>'North America'!E1448+"n/&gt;!39&lt;"</f>
        <v>#VALUE!</v>
      </c>
      <c r="FF377" t="e">
        <f>'North America'!F1448+"n/&gt;!39="</f>
        <v>#VALUE!</v>
      </c>
      <c r="FG377" t="e">
        <f>'North America'!G1448+"n/&gt;!39&gt;"</f>
        <v>#VALUE!</v>
      </c>
      <c r="FH377" t="e">
        <f>'North America'!H1448+"n/&gt;!39?"</f>
        <v>#VALUE!</v>
      </c>
      <c r="FI377" t="e">
        <f>'North America'!I1448+"n/&gt;!39@"</f>
        <v>#VALUE!</v>
      </c>
      <c r="FJ377" t="e">
        <f>'North America'!A1449+"n/&gt;!39A"</f>
        <v>#VALUE!</v>
      </c>
      <c r="FK377" t="e">
        <f>'North America'!B1449+"n/&gt;!39B"</f>
        <v>#VALUE!</v>
      </c>
      <c r="FL377" t="e">
        <f>'North America'!C1449+"n/&gt;!39C"</f>
        <v>#VALUE!</v>
      </c>
      <c r="FM377" t="e">
        <f>'North America'!D1449+"n/&gt;!39D"</f>
        <v>#VALUE!</v>
      </c>
      <c r="FN377" t="e">
        <f>'North America'!E1449+"n/&gt;!39E"</f>
        <v>#VALUE!</v>
      </c>
      <c r="FO377" t="e">
        <f>'North America'!F1449+"n/&gt;!39F"</f>
        <v>#VALUE!</v>
      </c>
      <c r="FP377" t="e">
        <f>'North America'!G1449+"n/&gt;!39G"</f>
        <v>#VALUE!</v>
      </c>
      <c r="FQ377" t="e">
        <f>'North America'!H1449+"n/&gt;!39H"</f>
        <v>#VALUE!</v>
      </c>
      <c r="FR377" t="e">
        <f>'North America'!I1449+"n/&gt;!39I"</f>
        <v>#VALUE!</v>
      </c>
      <c r="FS377" t="e">
        <f>'North America'!A1450+"n/&gt;!39J"</f>
        <v>#VALUE!</v>
      </c>
      <c r="FT377" t="e">
        <f>'North America'!B1450+"n/&gt;!39K"</f>
        <v>#VALUE!</v>
      </c>
      <c r="FU377" t="e">
        <f>'North America'!C1450+"n/&gt;!39L"</f>
        <v>#VALUE!</v>
      </c>
      <c r="FV377" t="e">
        <f>'North America'!D1450+"n/&gt;!39M"</f>
        <v>#VALUE!</v>
      </c>
      <c r="FW377" t="e">
        <f>'North America'!E1450+"n/&gt;!39N"</f>
        <v>#VALUE!</v>
      </c>
      <c r="FX377" t="e">
        <f>'North America'!F1450+"n/&gt;!39O"</f>
        <v>#VALUE!</v>
      </c>
      <c r="FY377" t="e">
        <f>'North America'!G1450+"n/&gt;!39P"</f>
        <v>#VALUE!</v>
      </c>
      <c r="FZ377" t="e">
        <f>'North America'!H1450+"n/&gt;!39Q"</f>
        <v>#VALUE!</v>
      </c>
      <c r="GA377" t="e">
        <f>'North America'!I1450+"n/&gt;!39R"</f>
        <v>#VALUE!</v>
      </c>
      <c r="GB377" t="e">
        <f>'North America'!A1451+"n/&gt;!39S"</f>
        <v>#VALUE!</v>
      </c>
      <c r="GC377" t="e">
        <f>'North America'!B1451+"n/&gt;!39T"</f>
        <v>#VALUE!</v>
      </c>
      <c r="GD377" t="e">
        <f>'North America'!C1451+"n/&gt;!39U"</f>
        <v>#VALUE!</v>
      </c>
      <c r="GE377" t="e">
        <f>'North America'!D1451+"n/&gt;!39V"</f>
        <v>#VALUE!</v>
      </c>
      <c r="GF377" t="e">
        <f>'North America'!E1451+"n/&gt;!39W"</f>
        <v>#VALUE!</v>
      </c>
      <c r="GG377" t="e">
        <f>'North America'!F1451+"n/&gt;!39X"</f>
        <v>#VALUE!</v>
      </c>
      <c r="GH377" t="e">
        <f>'North America'!G1451+"n/&gt;!39Y"</f>
        <v>#VALUE!</v>
      </c>
      <c r="GI377" t="e">
        <f>'North America'!H1451+"n/&gt;!39Z"</f>
        <v>#VALUE!</v>
      </c>
      <c r="GJ377" t="e">
        <f>'North America'!I1451+"n/&gt;!39["</f>
        <v>#VALUE!</v>
      </c>
      <c r="GK377" t="e">
        <f>'North America'!A1452+"n/&gt;!39\"</f>
        <v>#VALUE!</v>
      </c>
      <c r="GL377" t="e">
        <f>'North America'!B1452+"n/&gt;!39]"</f>
        <v>#VALUE!</v>
      </c>
      <c r="GM377" t="e">
        <f>'North America'!C1452+"n/&gt;!39^"</f>
        <v>#VALUE!</v>
      </c>
      <c r="GN377" t="e">
        <f>'North America'!D1452+"n/&gt;!39_"</f>
        <v>#VALUE!</v>
      </c>
      <c r="GO377" t="e">
        <f>'North America'!E1452+"n/&gt;!39`"</f>
        <v>#VALUE!</v>
      </c>
      <c r="GP377" t="e">
        <f>'North America'!F1452+"n/&gt;!39a"</f>
        <v>#VALUE!</v>
      </c>
      <c r="GQ377" t="e">
        <f>'North America'!G1452+"n/&gt;!39b"</f>
        <v>#VALUE!</v>
      </c>
      <c r="GR377" t="e">
        <f>'North America'!H1452+"n/&gt;!39c"</f>
        <v>#VALUE!</v>
      </c>
      <c r="GS377" t="e">
        <f>'North America'!I1452+"n/&gt;!39d"</f>
        <v>#VALUE!</v>
      </c>
      <c r="GT377" t="e">
        <f>'North America'!A1453+"n/&gt;!39e"</f>
        <v>#VALUE!</v>
      </c>
      <c r="GU377" t="e">
        <f>'North America'!B1453+"n/&gt;!39f"</f>
        <v>#VALUE!</v>
      </c>
      <c r="GV377" t="e">
        <f>'North America'!C1453+"n/&gt;!39g"</f>
        <v>#VALUE!</v>
      </c>
      <c r="GW377" t="e">
        <f>'North America'!D1453+"n/&gt;!39h"</f>
        <v>#VALUE!</v>
      </c>
      <c r="GX377" t="e">
        <f>'North America'!E1453+"n/&gt;!39i"</f>
        <v>#VALUE!</v>
      </c>
      <c r="GY377" t="e">
        <f>'North America'!F1453+"n/&gt;!39j"</f>
        <v>#VALUE!</v>
      </c>
      <c r="GZ377" t="e">
        <f>'North America'!G1453+"n/&gt;!39k"</f>
        <v>#VALUE!</v>
      </c>
      <c r="HA377" t="e">
        <f>'North America'!H1453+"n/&gt;!39l"</f>
        <v>#VALUE!</v>
      </c>
      <c r="HB377" t="e">
        <f>'North America'!I1453+"n/&gt;!39m"</f>
        <v>#VALUE!</v>
      </c>
      <c r="HC377" t="e">
        <f>'North America'!A1454+"n/&gt;!39n"</f>
        <v>#VALUE!</v>
      </c>
      <c r="HD377" t="e">
        <f>'North America'!B1454+"n/&gt;!39o"</f>
        <v>#VALUE!</v>
      </c>
      <c r="HE377" t="e">
        <f>'North America'!C1454+"n/&gt;!39p"</f>
        <v>#VALUE!</v>
      </c>
      <c r="HF377" t="e">
        <f>'North America'!D1454+"n/&gt;!39q"</f>
        <v>#VALUE!</v>
      </c>
      <c r="HG377" t="e">
        <f>'North America'!E1454+"n/&gt;!39r"</f>
        <v>#VALUE!</v>
      </c>
      <c r="HH377" t="e">
        <f>'North America'!F1454+"n/&gt;!39s"</f>
        <v>#VALUE!</v>
      </c>
      <c r="HI377" t="e">
        <f>'North America'!G1454+"n/&gt;!39t"</f>
        <v>#VALUE!</v>
      </c>
      <c r="HJ377" t="e">
        <f>'North America'!H1454+"n/&gt;!39u"</f>
        <v>#VALUE!</v>
      </c>
      <c r="HK377" t="e">
        <f>'North America'!I1454+"n/&gt;!39v"</f>
        <v>#VALUE!</v>
      </c>
      <c r="HL377" t="e">
        <f>'North America'!A1455+"n/&gt;!39w"</f>
        <v>#VALUE!</v>
      </c>
      <c r="HM377" t="e">
        <f>'North America'!B1455+"n/&gt;!39x"</f>
        <v>#VALUE!</v>
      </c>
      <c r="HN377" t="e">
        <f>'North America'!C1455+"n/&gt;!39y"</f>
        <v>#VALUE!</v>
      </c>
      <c r="HO377" t="e">
        <f>'North America'!D1455+"n/&gt;!39z"</f>
        <v>#VALUE!</v>
      </c>
      <c r="HP377" t="e">
        <f>'North America'!E1455+"n/&gt;!39{"</f>
        <v>#VALUE!</v>
      </c>
      <c r="HQ377" t="e">
        <f>'North America'!F1455+"n/&gt;!39|"</f>
        <v>#VALUE!</v>
      </c>
      <c r="HR377" t="e">
        <f>'North America'!G1455+"n/&gt;!39}"</f>
        <v>#VALUE!</v>
      </c>
      <c r="HS377" t="e">
        <f>'North America'!H1455+"n/&gt;!39~"</f>
        <v>#VALUE!</v>
      </c>
      <c r="HT377" t="e">
        <f>'North America'!I1455+"n/&gt;!3:#"</f>
        <v>#VALUE!</v>
      </c>
      <c r="HU377" t="e">
        <f>'North America'!A1456+"n/&gt;!3:$"</f>
        <v>#VALUE!</v>
      </c>
      <c r="HV377" t="e">
        <f>'North America'!B1456+"n/&gt;!3:%"</f>
        <v>#VALUE!</v>
      </c>
      <c r="HW377" t="e">
        <f>'North America'!C1456+"n/&gt;!3:&amp;"</f>
        <v>#VALUE!</v>
      </c>
      <c r="HX377" t="e">
        <f>'North America'!D1456+"n/&gt;!3:'"</f>
        <v>#VALUE!</v>
      </c>
      <c r="HY377" t="e">
        <f>'North America'!E1456+"n/&gt;!3:("</f>
        <v>#VALUE!</v>
      </c>
      <c r="HZ377" t="e">
        <f>'North America'!F1456+"n/&gt;!3:)"</f>
        <v>#VALUE!</v>
      </c>
      <c r="IA377" t="e">
        <f>'North America'!G1456+"n/&gt;!3:."</f>
        <v>#VALUE!</v>
      </c>
      <c r="IB377" t="e">
        <f>'North America'!H1456+"n/&gt;!3:/"</f>
        <v>#VALUE!</v>
      </c>
      <c r="IC377" t="e">
        <f>'North America'!I1456+"n/&gt;!3:0"</f>
        <v>#VALUE!</v>
      </c>
      <c r="ID377" t="e">
        <f>'North America'!A1457+"n/&gt;!3:1"</f>
        <v>#VALUE!</v>
      </c>
      <c r="IE377" t="e">
        <f>'North America'!B1457+"n/&gt;!3:2"</f>
        <v>#VALUE!</v>
      </c>
      <c r="IF377" t="e">
        <f>'North America'!C1457+"n/&gt;!3:3"</f>
        <v>#VALUE!</v>
      </c>
      <c r="IG377" t="e">
        <f>'North America'!D1457+"n/&gt;!3:4"</f>
        <v>#VALUE!</v>
      </c>
      <c r="IH377" t="e">
        <f>'North America'!E1457+"n/&gt;!3:5"</f>
        <v>#VALUE!</v>
      </c>
      <c r="II377" t="e">
        <f>'North America'!F1457+"n/&gt;!3:6"</f>
        <v>#VALUE!</v>
      </c>
      <c r="IJ377" t="e">
        <f>'North America'!G1457+"n/&gt;!3:7"</f>
        <v>#VALUE!</v>
      </c>
      <c r="IK377" t="e">
        <f>'North America'!H1457+"n/&gt;!3:8"</f>
        <v>#VALUE!</v>
      </c>
      <c r="IL377" t="e">
        <f>'North America'!I1457+"n/&gt;!3:9"</f>
        <v>#VALUE!</v>
      </c>
      <c r="IM377" t="e">
        <f>'North America'!A1458+"n/&gt;!3::"</f>
        <v>#VALUE!</v>
      </c>
      <c r="IN377" t="e">
        <f>'North America'!B1458+"n/&gt;!3:;"</f>
        <v>#VALUE!</v>
      </c>
      <c r="IO377" t="e">
        <f>'North America'!C1458+"n/&gt;!3:&lt;"</f>
        <v>#VALUE!</v>
      </c>
      <c r="IP377" t="e">
        <f>'North America'!D1458+"n/&gt;!3:="</f>
        <v>#VALUE!</v>
      </c>
      <c r="IQ377" t="e">
        <f>'North America'!E1458+"n/&gt;!3:&gt;"</f>
        <v>#VALUE!</v>
      </c>
      <c r="IR377" t="e">
        <f>'North America'!F1458+"n/&gt;!3:?"</f>
        <v>#VALUE!</v>
      </c>
      <c r="IS377" t="e">
        <f>'North America'!G1458+"n/&gt;!3:@"</f>
        <v>#VALUE!</v>
      </c>
      <c r="IT377" t="e">
        <f>'North America'!H1458+"n/&gt;!3:A"</f>
        <v>#VALUE!</v>
      </c>
      <c r="IU377" t="e">
        <f>'North America'!I1458+"n/&gt;!3:B"</f>
        <v>#VALUE!</v>
      </c>
      <c r="IV377" t="e">
        <f>'North America'!A1459+"n/&gt;!3:C"</f>
        <v>#VALUE!</v>
      </c>
    </row>
    <row r="378" spans="6:256" x14ac:dyDescent="0.35">
      <c r="F378" t="e">
        <f>'North America'!B1459+"n/&gt;!3:D"</f>
        <v>#VALUE!</v>
      </c>
      <c r="G378" t="e">
        <f>'North America'!C1459+"n/&gt;!3:E"</f>
        <v>#VALUE!</v>
      </c>
      <c r="H378" t="e">
        <f>'North America'!D1459+"n/&gt;!3:F"</f>
        <v>#VALUE!</v>
      </c>
      <c r="I378" t="e">
        <f>'North America'!E1459+"n/&gt;!3:G"</f>
        <v>#VALUE!</v>
      </c>
      <c r="J378" t="e">
        <f>'North America'!F1459+"n/&gt;!3:H"</f>
        <v>#VALUE!</v>
      </c>
      <c r="K378" t="e">
        <f>'North America'!G1459+"n/&gt;!3:I"</f>
        <v>#VALUE!</v>
      </c>
      <c r="L378" t="e">
        <f>'North America'!H1459+"n/&gt;!3:J"</f>
        <v>#VALUE!</v>
      </c>
      <c r="M378" t="e">
        <f>'North America'!I1459+"n/&gt;!3:K"</f>
        <v>#VALUE!</v>
      </c>
      <c r="N378" t="e">
        <f>'North America'!A1460+"n/&gt;!3:L"</f>
        <v>#VALUE!</v>
      </c>
      <c r="O378" t="e">
        <f>'North America'!B1460+"n/&gt;!3:M"</f>
        <v>#VALUE!</v>
      </c>
      <c r="P378" t="e">
        <f>'North America'!C1460+"n/&gt;!3:N"</f>
        <v>#VALUE!</v>
      </c>
      <c r="Q378" t="e">
        <f>'North America'!D1460+"n/&gt;!3:O"</f>
        <v>#VALUE!</v>
      </c>
      <c r="R378" t="e">
        <f>'North America'!E1460+"n/&gt;!3:P"</f>
        <v>#VALUE!</v>
      </c>
      <c r="S378" t="e">
        <f>'North America'!F1460+"n/&gt;!3:Q"</f>
        <v>#VALUE!</v>
      </c>
      <c r="T378" t="e">
        <f>'North America'!G1460+"n/&gt;!3:R"</f>
        <v>#VALUE!</v>
      </c>
      <c r="U378" t="e">
        <f>'North America'!H1460+"n/&gt;!3:S"</f>
        <v>#VALUE!</v>
      </c>
      <c r="V378" t="e">
        <f>'North America'!I1460+"n/&gt;!3:T"</f>
        <v>#VALUE!</v>
      </c>
      <c r="W378" t="e">
        <f>'North America'!A1461+"n/&gt;!3:U"</f>
        <v>#VALUE!</v>
      </c>
      <c r="X378" t="e">
        <f>'North America'!B1461+"n/&gt;!3:V"</f>
        <v>#VALUE!</v>
      </c>
      <c r="Y378" t="e">
        <f>'North America'!C1461+"n/&gt;!3:W"</f>
        <v>#VALUE!</v>
      </c>
      <c r="Z378" t="e">
        <f>'North America'!D1461+"n/&gt;!3:X"</f>
        <v>#VALUE!</v>
      </c>
      <c r="AA378" t="e">
        <f>'North America'!E1461+"n/&gt;!3:Y"</f>
        <v>#VALUE!</v>
      </c>
      <c r="AB378" t="e">
        <f>'North America'!F1461+"n/&gt;!3:Z"</f>
        <v>#VALUE!</v>
      </c>
      <c r="AC378" t="e">
        <f>'North America'!G1461+"n/&gt;!3:["</f>
        <v>#VALUE!</v>
      </c>
      <c r="AD378" t="e">
        <f>'North America'!H1461+"n/&gt;!3:\"</f>
        <v>#VALUE!</v>
      </c>
      <c r="AE378" t="e">
        <f>'North America'!I1461+"n/&gt;!3:]"</f>
        <v>#VALUE!</v>
      </c>
      <c r="AF378" t="e">
        <f>'North America'!A1462+"n/&gt;!3:^"</f>
        <v>#VALUE!</v>
      </c>
      <c r="AG378" t="e">
        <f>'North America'!B1462+"n/&gt;!3:_"</f>
        <v>#VALUE!</v>
      </c>
      <c r="AH378" t="e">
        <f>'North America'!C1462+"n/&gt;!3:`"</f>
        <v>#VALUE!</v>
      </c>
      <c r="AI378" t="e">
        <f>'North America'!D1462+"n/&gt;!3:a"</f>
        <v>#VALUE!</v>
      </c>
      <c r="AJ378" t="e">
        <f>'North America'!E1462+"n/&gt;!3:b"</f>
        <v>#VALUE!</v>
      </c>
      <c r="AK378" t="e">
        <f>'North America'!F1462+"n/&gt;!3:c"</f>
        <v>#VALUE!</v>
      </c>
      <c r="AL378" t="e">
        <f>'North America'!G1462+"n/&gt;!3:d"</f>
        <v>#VALUE!</v>
      </c>
      <c r="AM378" t="e">
        <f>'North America'!H1462+"n/&gt;!3:e"</f>
        <v>#VALUE!</v>
      </c>
      <c r="AN378" t="e">
        <f>'North America'!I1462+"n/&gt;!3:f"</f>
        <v>#VALUE!</v>
      </c>
      <c r="AO378" t="e">
        <f>'North America'!A1463+"n/&gt;!3:g"</f>
        <v>#VALUE!</v>
      </c>
      <c r="AP378" t="e">
        <f>'North America'!B1463+"n/&gt;!3:h"</f>
        <v>#VALUE!</v>
      </c>
      <c r="AQ378" t="e">
        <f>'North America'!C1463+"n/&gt;!3:i"</f>
        <v>#VALUE!</v>
      </c>
      <c r="AR378" t="e">
        <f>'North America'!D1463+"n/&gt;!3:j"</f>
        <v>#VALUE!</v>
      </c>
      <c r="AS378" t="e">
        <f>'North America'!E1463+"n/&gt;!3:k"</f>
        <v>#VALUE!</v>
      </c>
      <c r="AT378" t="e">
        <f>'North America'!F1463+"n/&gt;!3:l"</f>
        <v>#VALUE!</v>
      </c>
      <c r="AU378" t="e">
        <f>'North America'!G1463+"n/&gt;!3:m"</f>
        <v>#VALUE!</v>
      </c>
      <c r="AV378" t="e">
        <f>'North America'!H1463+"n/&gt;!3:n"</f>
        <v>#VALUE!</v>
      </c>
      <c r="AW378" t="e">
        <f>'North America'!I1463+"n/&gt;!3:o"</f>
        <v>#VALUE!</v>
      </c>
      <c r="AX378" t="e">
        <f>'North America'!A1464+"n/&gt;!3:p"</f>
        <v>#VALUE!</v>
      </c>
      <c r="AY378" t="e">
        <f>'North America'!B1464+"n/&gt;!3:q"</f>
        <v>#VALUE!</v>
      </c>
      <c r="AZ378" t="e">
        <f>'North America'!C1464+"n/&gt;!3:r"</f>
        <v>#VALUE!</v>
      </c>
      <c r="BA378" t="e">
        <f>'North America'!D1464+"n/&gt;!3:s"</f>
        <v>#VALUE!</v>
      </c>
      <c r="BB378" t="e">
        <f>'North America'!E1464+"n/&gt;!3:t"</f>
        <v>#VALUE!</v>
      </c>
      <c r="BC378" t="e">
        <f>'North America'!F1464+"n/&gt;!3:u"</f>
        <v>#VALUE!</v>
      </c>
      <c r="BD378" t="e">
        <f>'North America'!G1464+"n/&gt;!3:v"</f>
        <v>#VALUE!</v>
      </c>
      <c r="BE378" t="e">
        <f>'North America'!H1464+"n/&gt;!3:w"</f>
        <v>#VALUE!</v>
      </c>
      <c r="BF378" t="e">
        <f>'North America'!I1464+"n/&gt;!3:x"</f>
        <v>#VALUE!</v>
      </c>
      <c r="BG378" t="e">
        <f>'North America'!A1465+"n/&gt;!3:y"</f>
        <v>#VALUE!</v>
      </c>
      <c r="BH378" t="e">
        <f>'North America'!B1465+"n/&gt;!3:z"</f>
        <v>#VALUE!</v>
      </c>
      <c r="BI378" t="e">
        <f>'North America'!C1465+"n/&gt;!3:{"</f>
        <v>#VALUE!</v>
      </c>
      <c r="BJ378" t="e">
        <f>'North America'!D1465+"n/&gt;!3:|"</f>
        <v>#VALUE!</v>
      </c>
      <c r="BK378" t="e">
        <f>'North America'!E1465+"n/&gt;!3:}"</f>
        <v>#VALUE!</v>
      </c>
      <c r="BL378" t="e">
        <f>'North America'!F1465+"n/&gt;!3:~"</f>
        <v>#VALUE!</v>
      </c>
      <c r="BM378" t="e">
        <f>'North America'!G1465+"n/&gt;!3;#"</f>
        <v>#VALUE!</v>
      </c>
      <c r="BN378" t="e">
        <f>'North America'!H1465+"n/&gt;!3;$"</f>
        <v>#VALUE!</v>
      </c>
      <c r="BO378" t="e">
        <f>'North America'!I1465+"n/&gt;!3;%"</f>
        <v>#VALUE!</v>
      </c>
      <c r="BP378" t="e">
        <f>'North America'!A1466+"n/&gt;!3;&amp;"</f>
        <v>#VALUE!</v>
      </c>
      <c r="BQ378" t="e">
        <f>'North America'!B1466+"n/&gt;!3;'"</f>
        <v>#VALUE!</v>
      </c>
      <c r="BR378" t="e">
        <f>'North America'!C1466+"n/&gt;!3;("</f>
        <v>#VALUE!</v>
      </c>
      <c r="BS378" t="e">
        <f>'North America'!D1466+"n/&gt;!3;)"</f>
        <v>#VALUE!</v>
      </c>
      <c r="BT378" t="e">
        <f>'North America'!E1466+"n/&gt;!3;."</f>
        <v>#VALUE!</v>
      </c>
      <c r="BU378" t="e">
        <f>'North America'!F1466+"n/&gt;!3;/"</f>
        <v>#VALUE!</v>
      </c>
      <c r="BV378" t="e">
        <f>'North America'!G1466+"n/&gt;!3;0"</f>
        <v>#VALUE!</v>
      </c>
      <c r="BW378" t="e">
        <f>'North America'!H1466+"n/&gt;!3;1"</f>
        <v>#VALUE!</v>
      </c>
      <c r="BX378" t="e">
        <f>'North America'!I1466+"n/&gt;!3;2"</f>
        <v>#VALUE!</v>
      </c>
      <c r="BY378" t="e">
        <f>'North America'!A1467+"n/&gt;!3;3"</f>
        <v>#VALUE!</v>
      </c>
      <c r="BZ378" t="e">
        <f>'North America'!B1467+"n/&gt;!3;4"</f>
        <v>#VALUE!</v>
      </c>
      <c r="CA378" t="e">
        <f>'North America'!C1467+"n/&gt;!3;5"</f>
        <v>#VALUE!</v>
      </c>
      <c r="CB378" t="e">
        <f>'North America'!D1467+"n/&gt;!3;6"</f>
        <v>#VALUE!</v>
      </c>
      <c r="CC378" t="e">
        <f>'North America'!E1467+"n/&gt;!3;7"</f>
        <v>#VALUE!</v>
      </c>
      <c r="CD378" t="e">
        <f>'North America'!F1467+"n/&gt;!3;8"</f>
        <v>#VALUE!</v>
      </c>
      <c r="CE378" t="e">
        <f>'North America'!G1467+"n/&gt;!3;9"</f>
        <v>#VALUE!</v>
      </c>
      <c r="CF378" t="e">
        <f>'North America'!H1467+"n/&gt;!3;:"</f>
        <v>#VALUE!</v>
      </c>
      <c r="CG378" t="e">
        <f>'North America'!I1467+"n/&gt;!3;;"</f>
        <v>#VALUE!</v>
      </c>
      <c r="CH378" t="e">
        <f>'North America'!A1468+"n/&gt;!3;&lt;"</f>
        <v>#VALUE!</v>
      </c>
      <c r="CI378" t="e">
        <f>'North America'!B1468+"n/&gt;!3;="</f>
        <v>#VALUE!</v>
      </c>
      <c r="CJ378" t="e">
        <f>'North America'!C1468+"n/&gt;!3;&gt;"</f>
        <v>#VALUE!</v>
      </c>
      <c r="CK378" t="e">
        <f>'North America'!D1468+"n/&gt;!3;?"</f>
        <v>#VALUE!</v>
      </c>
      <c r="CL378" t="e">
        <f>'North America'!E1468+"n/&gt;!3;@"</f>
        <v>#VALUE!</v>
      </c>
      <c r="CM378" t="e">
        <f>'North America'!F1468+"n/&gt;!3;A"</f>
        <v>#VALUE!</v>
      </c>
      <c r="CN378" t="e">
        <f>'North America'!G1468+"n/&gt;!3;B"</f>
        <v>#VALUE!</v>
      </c>
      <c r="CO378" t="e">
        <f>'North America'!H1468+"n/&gt;!3;C"</f>
        <v>#VALUE!</v>
      </c>
      <c r="CP378" t="e">
        <f>'North America'!I1468+"n/&gt;!3;D"</f>
        <v>#VALUE!</v>
      </c>
      <c r="CQ378" t="e">
        <f>'North America'!A1469+"n/&gt;!3;E"</f>
        <v>#VALUE!</v>
      </c>
      <c r="CR378" t="e">
        <f>'North America'!B1469+"n/&gt;!3;F"</f>
        <v>#VALUE!</v>
      </c>
      <c r="CS378" t="e">
        <f>'North America'!C1469+"n/&gt;!3;G"</f>
        <v>#VALUE!</v>
      </c>
      <c r="CT378" t="e">
        <f>'North America'!D1469+"n/&gt;!3;H"</f>
        <v>#VALUE!</v>
      </c>
      <c r="CU378" t="e">
        <f>'North America'!E1469+"n/&gt;!3;I"</f>
        <v>#VALUE!</v>
      </c>
      <c r="CV378" t="e">
        <f>'North America'!F1469+"n/&gt;!3;J"</f>
        <v>#VALUE!</v>
      </c>
      <c r="CW378" t="e">
        <f>'North America'!G1469+"n/&gt;!3;K"</f>
        <v>#VALUE!</v>
      </c>
      <c r="CX378" t="e">
        <f>'North America'!H1469+"n/&gt;!3;L"</f>
        <v>#VALUE!</v>
      </c>
      <c r="CY378" t="e">
        <f>'North America'!I1469+"n/&gt;!3;M"</f>
        <v>#VALUE!</v>
      </c>
      <c r="CZ378" t="e">
        <f>'North America'!A1470+"n/&gt;!3;N"</f>
        <v>#VALUE!</v>
      </c>
      <c r="DA378" t="e">
        <f>'North America'!B1470+"n/&gt;!3;O"</f>
        <v>#VALUE!</v>
      </c>
      <c r="DB378" t="e">
        <f>'North America'!C1470+"n/&gt;!3;P"</f>
        <v>#VALUE!</v>
      </c>
      <c r="DC378" t="e">
        <f>'North America'!D1470+"n/&gt;!3;Q"</f>
        <v>#VALUE!</v>
      </c>
      <c r="DD378" t="e">
        <f>'North America'!E1470+"n/&gt;!3;R"</f>
        <v>#VALUE!</v>
      </c>
      <c r="DE378" t="e">
        <f>'North America'!F1470+"n/&gt;!3;S"</f>
        <v>#VALUE!</v>
      </c>
      <c r="DF378" t="e">
        <f>'North America'!G1470+"n/&gt;!3;T"</f>
        <v>#VALUE!</v>
      </c>
      <c r="DG378" t="e">
        <f>'North America'!H1470+"n/&gt;!3;U"</f>
        <v>#VALUE!</v>
      </c>
      <c r="DH378" t="e">
        <f>'North America'!I1470+"n/&gt;!3;V"</f>
        <v>#VALUE!</v>
      </c>
      <c r="DI378" t="e">
        <f>'North America'!A1471+"n/&gt;!3;W"</f>
        <v>#VALUE!</v>
      </c>
      <c r="DJ378" t="e">
        <f>'North America'!B1471+"n/&gt;!3;X"</f>
        <v>#VALUE!</v>
      </c>
      <c r="DK378" t="e">
        <f>'North America'!C1471+"n/&gt;!3;Y"</f>
        <v>#VALUE!</v>
      </c>
      <c r="DL378" t="e">
        <f>'North America'!D1471+"n/&gt;!3;Z"</f>
        <v>#VALUE!</v>
      </c>
      <c r="DM378" t="e">
        <f>'North America'!E1471+"n/&gt;!3;["</f>
        <v>#VALUE!</v>
      </c>
      <c r="DN378" t="e">
        <f>'North America'!F1471+"n/&gt;!3;\"</f>
        <v>#VALUE!</v>
      </c>
      <c r="DO378" t="e">
        <f>'North America'!G1471+"n/&gt;!3;]"</f>
        <v>#VALUE!</v>
      </c>
      <c r="DP378" t="e">
        <f>'North America'!H1471+"n/&gt;!3;^"</f>
        <v>#VALUE!</v>
      </c>
      <c r="DQ378" t="e">
        <f>'North America'!I1471+"n/&gt;!3;_"</f>
        <v>#VALUE!</v>
      </c>
      <c r="DR378" t="e">
        <f>'North America'!A1472+"n/&gt;!3;`"</f>
        <v>#VALUE!</v>
      </c>
      <c r="DS378" t="e">
        <f>'North America'!B1472+"n/&gt;!3;a"</f>
        <v>#VALUE!</v>
      </c>
      <c r="DT378" t="e">
        <f>'North America'!C1472+"n/&gt;!3;b"</f>
        <v>#VALUE!</v>
      </c>
      <c r="DU378" t="e">
        <f>'North America'!D1472+"n/&gt;!3;c"</f>
        <v>#VALUE!</v>
      </c>
      <c r="DV378" t="e">
        <f>'North America'!E1472+"n/&gt;!3;d"</f>
        <v>#VALUE!</v>
      </c>
      <c r="DW378" t="e">
        <f>'North America'!F1472+"n/&gt;!3;e"</f>
        <v>#VALUE!</v>
      </c>
      <c r="DX378" t="e">
        <f>'North America'!G1472+"n/&gt;!3;f"</f>
        <v>#VALUE!</v>
      </c>
      <c r="DY378" t="e">
        <f>'North America'!H1472+"n/&gt;!3;g"</f>
        <v>#VALUE!</v>
      </c>
      <c r="DZ378" t="e">
        <f>'North America'!I1472+"n/&gt;!3;h"</f>
        <v>#VALUE!</v>
      </c>
      <c r="EA378" t="e">
        <f>'North America'!A1473+"n/&gt;!3;i"</f>
        <v>#VALUE!</v>
      </c>
      <c r="EB378" t="e">
        <f>'North America'!B1473+"n/&gt;!3;j"</f>
        <v>#VALUE!</v>
      </c>
      <c r="EC378" t="e">
        <f>'North America'!C1473+"n/&gt;!3;k"</f>
        <v>#VALUE!</v>
      </c>
      <c r="ED378" t="e">
        <f>'North America'!D1473+"n/&gt;!3;l"</f>
        <v>#VALUE!</v>
      </c>
      <c r="EE378" t="e">
        <f>'North America'!E1473+"n/&gt;!3;m"</f>
        <v>#VALUE!</v>
      </c>
      <c r="EF378" t="e">
        <f>'North America'!F1473+"n/&gt;!3;n"</f>
        <v>#VALUE!</v>
      </c>
      <c r="EG378" t="e">
        <f>'North America'!G1473+"n/&gt;!3;o"</f>
        <v>#VALUE!</v>
      </c>
      <c r="EH378" t="e">
        <f>'North America'!H1473+"n/&gt;!3;p"</f>
        <v>#VALUE!</v>
      </c>
      <c r="EI378" t="e">
        <f>'North America'!I1473+"n/&gt;!3;q"</f>
        <v>#VALUE!</v>
      </c>
      <c r="EJ378" t="e">
        <f>'North America'!A1474+"n/&gt;!3;r"</f>
        <v>#VALUE!</v>
      </c>
      <c r="EK378" t="e">
        <f>'North America'!B1474+"n/&gt;!3;s"</f>
        <v>#VALUE!</v>
      </c>
      <c r="EL378" t="e">
        <f>'North America'!C1474+"n/&gt;!3;t"</f>
        <v>#VALUE!</v>
      </c>
      <c r="EM378" t="e">
        <f>'North America'!D1474+"n/&gt;!3;u"</f>
        <v>#VALUE!</v>
      </c>
      <c r="EN378" t="e">
        <f>'North America'!E1474+"n/&gt;!3;v"</f>
        <v>#VALUE!</v>
      </c>
      <c r="EO378" t="e">
        <f>'North America'!F1474+"n/&gt;!3;w"</f>
        <v>#VALUE!</v>
      </c>
      <c r="EP378" t="e">
        <f>'North America'!G1474+"n/&gt;!3;x"</f>
        <v>#VALUE!</v>
      </c>
      <c r="EQ378" t="e">
        <f>'North America'!H1474+"n/&gt;!3;y"</f>
        <v>#VALUE!</v>
      </c>
      <c r="ER378" t="e">
        <f>'North America'!I1474+"n/&gt;!3;z"</f>
        <v>#VALUE!</v>
      </c>
      <c r="ES378" t="e">
        <f>'North America'!A1475+"n/&gt;!3;{"</f>
        <v>#VALUE!</v>
      </c>
      <c r="ET378" t="e">
        <f>'North America'!B1475+"n/&gt;!3;|"</f>
        <v>#VALUE!</v>
      </c>
      <c r="EU378" t="e">
        <f>'North America'!C1475+"n/&gt;!3;}"</f>
        <v>#VALUE!</v>
      </c>
      <c r="EV378" t="e">
        <f>'North America'!D1475+"n/&gt;!3;~"</f>
        <v>#VALUE!</v>
      </c>
      <c r="EW378" t="e">
        <f>'North America'!E1475+"n/&gt;!3&lt;#"</f>
        <v>#VALUE!</v>
      </c>
      <c r="EX378" t="e">
        <f>'North America'!F1475+"n/&gt;!3&lt;$"</f>
        <v>#VALUE!</v>
      </c>
      <c r="EY378" t="e">
        <f>'North America'!G1475+"n/&gt;!3&lt;%"</f>
        <v>#VALUE!</v>
      </c>
      <c r="EZ378" t="e">
        <f>'North America'!H1475+"n/&gt;!3&lt;&amp;"</f>
        <v>#VALUE!</v>
      </c>
      <c r="FA378" t="e">
        <f>'North America'!I1475+"n/&gt;!3&lt;'"</f>
        <v>#VALUE!</v>
      </c>
      <c r="FB378" t="e">
        <f>'North America'!A1476+"n/&gt;!3&lt;("</f>
        <v>#VALUE!</v>
      </c>
      <c r="FC378" t="e">
        <f>'North America'!B1476+"n/&gt;!3&lt;)"</f>
        <v>#VALUE!</v>
      </c>
      <c r="FD378" t="e">
        <f>'North America'!C1476+"n/&gt;!3&lt;."</f>
        <v>#VALUE!</v>
      </c>
      <c r="FE378" t="e">
        <f>'North America'!D1476+"n/&gt;!3&lt;/"</f>
        <v>#VALUE!</v>
      </c>
      <c r="FF378" t="e">
        <f>'North America'!E1476+"n/&gt;!3&lt;0"</f>
        <v>#VALUE!</v>
      </c>
      <c r="FG378" t="e">
        <f>'North America'!F1476+"n/&gt;!3&lt;1"</f>
        <v>#VALUE!</v>
      </c>
      <c r="FH378" t="e">
        <f>'North America'!G1476+"n/&gt;!3&lt;2"</f>
        <v>#VALUE!</v>
      </c>
      <c r="FI378" t="e">
        <f>'North America'!H1476+"n/&gt;!3&lt;3"</f>
        <v>#VALUE!</v>
      </c>
      <c r="FJ378" t="e">
        <f>'North America'!I1476+"n/&gt;!3&lt;4"</f>
        <v>#VALUE!</v>
      </c>
      <c r="FK378" t="e">
        <f>'North America'!A1477+"n/&gt;!3&lt;5"</f>
        <v>#VALUE!</v>
      </c>
      <c r="FL378" t="e">
        <f>'North America'!B1477+"n/&gt;!3&lt;6"</f>
        <v>#VALUE!</v>
      </c>
      <c r="FM378" t="e">
        <f>'North America'!C1477+"n/&gt;!3&lt;7"</f>
        <v>#VALUE!</v>
      </c>
      <c r="FN378" t="e">
        <f>'North America'!D1477+"n/&gt;!3&lt;8"</f>
        <v>#VALUE!</v>
      </c>
      <c r="FO378" t="e">
        <f>'North America'!E1477+"n/&gt;!3&lt;9"</f>
        <v>#VALUE!</v>
      </c>
      <c r="FP378" t="e">
        <f>'North America'!F1477+"n/&gt;!3&lt;:"</f>
        <v>#VALUE!</v>
      </c>
      <c r="FQ378" t="e">
        <f>'North America'!G1477+"n/&gt;!3&lt;;"</f>
        <v>#VALUE!</v>
      </c>
      <c r="FR378" t="e">
        <f>'North America'!H1477+"n/&gt;!3&lt;&lt;"</f>
        <v>#VALUE!</v>
      </c>
      <c r="FS378" t="e">
        <f>'North America'!I1477+"n/&gt;!3&lt;="</f>
        <v>#VALUE!</v>
      </c>
      <c r="FT378" t="e">
        <f>'North America'!A1478+"n/&gt;!3&lt;&gt;"</f>
        <v>#VALUE!</v>
      </c>
      <c r="FU378" t="e">
        <f>'North America'!B1478+"n/&gt;!3&lt;?"</f>
        <v>#VALUE!</v>
      </c>
      <c r="FV378" t="e">
        <f>'North America'!C1478+"n/&gt;!3&lt;@"</f>
        <v>#VALUE!</v>
      </c>
      <c r="FW378" t="e">
        <f>'North America'!D1478+"n/&gt;!3&lt;A"</f>
        <v>#VALUE!</v>
      </c>
      <c r="FX378" t="e">
        <f>'North America'!E1478+"n/&gt;!3&lt;B"</f>
        <v>#VALUE!</v>
      </c>
      <c r="FY378" t="e">
        <f>'North America'!F1478+"n/&gt;!3&lt;C"</f>
        <v>#VALUE!</v>
      </c>
      <c r="FZ378" t="e">
        <f>'North America'!G1478+"n/&gt;!3&lt;D"</f>
        <v>#VALUE!</v>
      </c>
      <c r="GA378" t="e">
        <f>'North America'!H1478+"n/&gt;!3&lt;E"</f>
        <v>#VALUE!</v>
      </c>
      <c r="GB378" t="e">
        <f>'North America'!I1478+"n/&gt;!3&lt;F"</f>
        <v>#VALUE!</v>
      </c>
      <c r="GC378" t="e">
        <f>'North America'!A1479+"n/&gt;!3&lt;G"</f>
        <v>#VALUE!</v>
      </c>
      <c r="GD378" t="e">
        <f>'North America'!B1479+"n/&gt;!3&lt;H"</f>
        <v>#VALUE!</v>
      </c>
      <c r="GE378" t="e">
        <f>'North America'!C1479+"n/&gt;!3&lt;I"</f>
        <v>#VALUE!</v>
      </c>
      <c r="GF378" t="e">
        <f>'North America'!D1479+"n/&gt;!3&lt;J"</f>
        <v>#VALUE!</v>
      </c>
      <c r="GG378" t="e">
        <f>'North America'!E1479+"n/&gt;!3&lt;K"</f>
        <v>#VALUE!</v>
      </c>
      <c r="GH378" t="e">
        <f>'North America'!F1479+"n/&gt;!3&lt;L"</f>
        <v>#VALUE!</v>
      </c>
      <c r="GI378" t="e">
        <f>'North America'!G1479+"n/&gt;!3&lt;M"</f>
        <v>#VALUE!</v>
      </c>
      <c r="GJ378" t="e">
        <f>'North America'!H1479+"n/&gt;!3&lt;N"</f>
        <v>#VALUE!</v>
      </c>
      <c r="GK378" t="e">
        <f>'North America'!I1479+"n/&gt;!3&lt;O"</f>
        <v>#VALUE!</v>
      </c>
      <c r="GL378" t="e">
        <f>'North America'!A1480+"n/&gt;!3&lt;P"</f>
        <v>#VALUE!</v>
      </c>
      <c r="GM378" t="e">
        <f>'North America'!B1480+"n/&gt;!3&lt;Q"</f>
        <v>#VALUE!</v>
      </c>
      <c r="GN378" t="e">
        <f>'North America'!C1480+"n/&gt;!3&lt;R"</f>
        <v>#VALUE!</v>
      </c>
      <c r="GO378" t="e">
        <f>'North America'!D1480+"n/&gt;!3&lt;S"</f>
        <v>#VALUE!</v>
      </c>
      <c r="GP378" t="e">
        <f>'North America'!E1480+"n/&gt;!3&lt;T"</f>
        <v>#VALUE!</v>
      </c>
      <c r="GQ378" t="e">
        <f>'North America'!F1480+"n/&gt;!3&lt;U"</f>
        <v>#VALUE!</v>
      </c>
      <c r="GR378" t="e">
        <f>'North America'!G1480+"n/&gt;!3&lt;V"</f>
        <v>#VALUE!</v>
      </c>
      <c r="GS378" t="e">
        <f>'North America'!H1480+"n/&gt;!3&lt;W"</f>
        <v>#VALUE!</v>
      </c>
      <c r="GT378" t="e">
        <f>'North America'!I1480+"n/&gt;!3&lt;X"</f>
        <v>#VALUE!</v>
      </c>
      <c r="GU378" t="e">
        <f>'North America'!A1481+"n/&gt;!3&lt;Y"</f>
        <v>#VALUE!</v>
      </c>
      <c r="GV378" t="e">
        <f>'North America'!B1481+"n/&gt;!3&lt;Z"</f>
        <v>#VALUE!</v>
      </c>
      <c r="GW378" t="e">
        <f>'North America'!C1481+"n/&gt;!3&lt;["</f>
        <v>#VALUE!</v>
      </c>
      <c r="GX378" t="e">
        <f>'North America'!D1481+"n/&gt;!3&lt;\"</f>
        <v>#VALUE!</v>
      </c>
      <c r="GY378" t="e">
        <f>'North America'!E1481+"n/&gt;!3&lt;]"</f>
        <v>#VALUE!</v>
      </c>
      <c r="GZ378" t="e">
        <f>'North America'!F1481+"n/&gt;!3&lt;^"</f>
        <v>#VALUE!</v>
      </c>
      <c r="HA378" t="e">
        <f>'North America'!G1481+"n/&gt;!3&lt;_"</f>
        <v>#VALUE!</v>
      </c>
      <c r="HB378" t="e">
        <f>'North America'!H1481+"n/&gt;!3&lt;`"</f>
        <v>#VALUE!</v>
      </c>
      <c r="HC378" t="e">
        <f>'North America'!I1481+"n/&gt;!3&lt;a"</f>
        <v>#VALUE!</v>
      </c>
      <c r="HD378" t="e">
        <f>'North America'!A1482+"n/&gt;!3&lt;b"</f>
        <v>#VALUE!</v>
      </c>
      <c r="HE378" t="e">
        <f>'North America'!B1482+"n/&gt;!3&lt;c"</f>
        <v>#VALUE!</v>
      </c>
      <c r="HF378" t="e">
        <f>'North America'!C1482+"n/&gt;!3&lt;d"</f>
        <v>#VALUE!</v>
      </c>
      <c r="HG378" t="e">
        <f>'North America'!D1482+"n/&gt;!3&lt;e"</f>
        <v>#VALUE!</v>
      </c>
      <c r="HH378" t="e">
        <f>'North America'!E1482+"n/&gt;!3&lt;f"</f>
        <v>#VALUE!</v>
      </c>
      <c r="HI378" t="e">
        <f>'North America'!F1482+"n/&gt;!3&lt;g"</f>
        <v>#VALUE!</v>
      </c>
      <c r="HJ378" t="e">
        <f>'North America'!G1482+"n/&gt;!3&lt;h"</f>
        <v>#VALUE!</v>
      </c>
      <c r="HK378" t="e">
        <f>'North America'!H1482+"n/&gt;!3&lt;i"</f>
        <v>#VALUE!</v>
      </c>
      <c r="HL378" t="e">
        <f>'North America'!I1482+"n/&gt;!3&lt;j"</f>
        <v>#VALUE!</v>
      </c>
      <c r="HM378" t="e">
        <f>'North America'!A1483+"n/&gt;!3&lt;k"</f>
        <v>#VALUE!</v>
      </c>
      <c r="HN378" t="e">
        <f>'North America'!B1483+"n/&gt;!3&lt;l"</f>
        <v>#VALUE!</v>
      </c>
      <c r="HO378" t="e">
        <f>'North America'!C1483+"n/&gt;!3&lt;m"</f>
        <v>#VALUE!</v>
      </c>
      <c r="HP378" t="e">
        <f>'North America'!D1483+"n/&gt;!3&lt;n"</f>
        <v>#VALUE!</v>
      </c>
      <c r="HQ378" t="e">
        <f>'North America'!E1483+"n/&gt;!3&lt;o"</f>
        <v>#VALUE!</v>
      </c>
      <c r="HR378" t="e">
        <f>'North America'!F1483+"n/&gt;!3&lt;p"</f>
        <v>#VALUE!</v>
      </c>
      <c r="HS378" t="e">
        <f>'North America'!G1483+"n/&gt;!3&lt;q"</f>
        <v>#VALUE!</v>
      </c>
      <c r="HT378" t="e">
        <f>'North America'!H1483+"n/&gt;!3&lt;r"</f>
        <v>#VALUE!</v>
      </c>
      <c r="HU378" t="e">
        <f>'North America'!I1483+"n/&gt;!3&lt;s"</f>
        <v>#VALUE!</v>
      </c>
      <c r="HV378" t="e">
        <f>'North America'!A1484+"n/&gt;!3&lt;t"</f>
        <v>#VALUE!</v>
      </c>
      <c r="HW378" t="e">
        <f>'North America'!B1484+"n/&gt;!3&lt;u"</f>
        <v>#VALUE!</v>
      </c>
      <c r="HX378" t="e">
        <f>'North America'!C1484+"n/&gt;!3&lt;v"</f>
        <v>#VALUE!</v>
      </c>
      <c r="HY378" t="e">
        <f>'North America'!D1484+"n/&gt;!3&lt;w"</f>
        <v>#VALUE!</v>
      </c>
      <c r="HZ378" t="e">
        <f>'North America'!E1484+"n/&gt;!3&lt;x"</f>
        <v>#VALUE!</v>
      </c>
      <c r="IA378" t="e">
        <f>'North America'!F1484+"n/&gt;!3&lt;y"</f>
        <v>#VALUE!</v>
      </c>
      <c r="IB378" t="e">
        <f>'North America'!G1484+"n/&gt;!3&lt;z"</f>
        <v>#VALUE!</v>
      </c>
      <c r="IC378" t="e">
        <f>'North America'!H1484+"n/&gt;!3&lt;{"</f>
        <v>#VALUE!</v>
      </c>
      <c r="ID378" t="e">
        <f>'North America'!I1484+"n/&gt;!3&lt;|"</f>
        <v>#VALUE!</v>
      </c>
      <c r="IE378" t="e">
        <f>'North America'!A1485+"n/&gt;!3&lt;}"</f>
        <v>#VALUE!</v>
      </c>
      <c r="IF378" t="e">
        <f>'North America'!B1485+"n/&gt;!3&lt;~"</f>
        <v>#VALUE!</v>
      </c>
      <c r="IG378" t="e">
        <f>'North America'!C1485+"n/&gt;!3=#"</f>
        <v>#VALUE!</v>
      </c>
      <c r="IH378" t="e">
        <f>'North America'!D1485+"n/&gt;!3=$"</f>
        <v>#VALUE!</v>
      </c>
      <c r="II378" t="e">
        <f>'North America'!E1485+"n/&gt;!3=%"</f>
        <v>#VALUE!</v>
      </c>
      <c r="IJ378" t="e">
        <f>'North America'!F1485+"n/&gt;!3=&amp;"</f>
        <v>#VALUE!</v>
      </c>
      <c r="IK378" t="e">
        <f>'North America'!G1485+"n/&gt;!3='"</f>
        <v>#VALUE!</v>
      </c>
      <c r="IL378" t="e">
        <f>'North America'!H1485+"n/&gt;!3=("</f>
        <v>#VALUE!</v>
      </c>
      <c r="IM378" t="e">
        <f>'North America'!I1485+"n/&gt;!3=)"</f>
        <v>#VALUE!</v>
      </c>
      <c r="IN378" t="e">
        <f>'North America'!A1486+"n/&gt;!3=."</f>
        <v>#VALUE!</v>
      </c>
      <c r="IO378" t="e">
        <f>'North America'!B1486+"n/&gt;!3=/"</f>
        <v>#VALUE!</v>
      </c>
      <c r="IP378" t="e">
        <f>'North America'!C1486+"n/&gt;!3=0"</f>
        <v>#VALUE!</v>
      </c>
      <c r="IQ378" t="e">
        <f>'North America'!D1486+"n/&gt;!3=1"</f>
        <v>#VALUE!</v>
      </c>
      <c r="IR378" t="e">
        <f>'North America'!E1486+"n/&gt;!3=2"</f>
        <v>#VALUE!</v>
      </c>
      <c r="IS378" t="e">
        <f>'North America'!F1486+"n/&gt;!3=3"</f>
        <v>#VALUE!</v>
      </c>
      <c r="IT378" t="e">
        <f>'North America'!G1486+"n/&gt;!3=4"</f>
        <v>#VALUE!</v>
      </c>
      <c r="IU378" t="e">
        <f>'North America'!H1486+"n/&gt;!3=5"</f>
        <v>#VALUE!</v>
      </c>
      <c r="IV378" t="e">
        <f>'North America'!I1486+"n/&gt;!3=6"</f>
        <v>#VALUE!</v>
      </c>
    </row>
    <row r="379" spans="6:256" x14ac:dyDescent="0.35">
      <c r="F379" t="e">
        <f>'North America'!A1487+"n/&gt;!3=7"</f>
        <v>#VALUE!</v>
      </c>
      <c r="G379" t="e">
        <f>'North America'!B1487+"n/&gt;!3=8"</f>
        <v>#VALUE!</v>
      </c>
      <c r="H379" t="e">
        <f>'North America'!C1487+"n/&gt;!3=9"</f>
        <v>#VALUE!</v>
      </c>
      <c r="I379" t="e">
        <f>'North America'!D1487+"n/&gt;!3=:"</f>
        <v>#VALUE!</v>
      </c>
      <c r="J379" t="e">
        <f>'North America'!E1487+"n/&gt;!3=;"</f>
        <v>#VALUE!</v>
      </c>
      <c r="K379" t="e">
        <f>'North America'!F1487+"n/&gt;!3=&lt;"</f>
        <v>#VALUE!</v>
      </c>
      <c r="L379" t="e">
        <f>'North America'!G1487+"n/&gt;!3=="</f>
        <v>#VALUE!</v>
      </c>
      <c r="M379" t="e">
        <f>'North America'!H1487+"n/&gt;!3=&gt;"</f>
        <v>#VALUE!</v>
      </c>
      <c r="N379" t="e">
        <f>'North America'!I1487+"n/&gt;!3=?"</f>
        <v>#VALUE!</v>
      </c>
      <c r="O379" t="e">
        <f>'North America'!A1488+"n/&gt;!3=@"</f>
        <v>#VALUE!</v>
      </c>
      <c r="P379" t="e">
        <f>'North America'!B1488+"n/&gt;!3=A"</f>
        <v>#VALUE!</v>
      </c>
      <c r="Q379" t="e">
        <f>'North America'!C1488+"n/&gt;!3=B"</f>
        <v>#VALUE!</v>
      </c>
      <c r="R379" t="e">
        <f>'North America'!D1488+"n/&gt;!3=C"</f>
        <v>#VALUE!</v>
      </c>
      <c r="S379" t="e">
        <f>'North America'!E1488+"n/&gt;!3=D"</f>
        <v>#VALUE!</v>
      </c>
      <c r="T379" t="e">
        <f>'North America'!F1488+"n/&gt;!3=E"</f>
        <v>#VALUE!</v>
      </c>
      <c r="U379" t="e">
        <f>'North America'!G1488+"n/&gt;!3=F"</f>
        <v>#VALUE!</v>
      </c>
      <c r="V379" t="e">
        <f>'North America'!H1488+"n/&gt;!3=G"</f>
        <v>#VALUE!</v>
      </c>
      <c r="W379" t="e">
        <f>'North America'!I1488+"n/&gt;!3=H"</f>
        <v>#VALUE!</v>
      </c>
      <c r="X379" t="e">
        <f>'North America'!A1489+"n/&gt;!3=I"</f>
        <v>#VALUE!</v>
      </c>
      <c r="Y379" t="e">
        <f>'North America'!B1489+"n/&gt;!3=J"</f>
        <v>#VALUE!</v>
      </c>
      <c r="Z379" t="e">
        <f>'North America'!C1489+"n/&gt;!3=K"</f>
        <v>#VALUE!</v>
      </c>
      <c r="AA379" t="e">
        <f>'North America'!D1489+"n/&gt;!3=L"</f>
        <v>#VALUE!</v>
      </c>
      <c r="AB379" t="e">
        <f>'North America'!E1489+"n/&gt;!3=M"</f>
        <v>#VALUE!</v>
      </c>
      <c r="AC379" t="e">
        <f>'North America'!F1489+"n/&gt;!3=N"</f>
        <v>#VALUE!</v>
      </c>
      <c r="AD379" t="e">
        <f>'North America'!G1489+"n/&gt;!3=O"</f>
        <v>#VALUE!</v>
      </c>
      <c r="AE379" t="e">
        <f>'North America'!H1489+"n/&gt;!3=P"</f>
        <v>#VALUE!</v>
      </c>
      <c r="AF379" t="e">
        <f>'North America'!I1489+"n/&gt;!3=Q"</f>
        <v>#VALUE!</v>
      </c>
      <c r="AG379" t="e">
        <f>'North America'!A1490+"n/&gt;!3=R"</f>
        <v>#VALUE!</v>
      </c>
      <c r="AH379" t="e">
        <f>'North America'!B1490+"n/&gt;!3=S"</f>
        <v>#VALUE!</v>
      </c>
      <c r="AI379" t="e">
        <f>'North America'!C1490+"n/&gt;!3=T"</f>
        <v>#VALUE!</v>
      </c>
      <c r="AJ379" t="e">
        <f>'North America'!D1490+"n/&gt;!3=U"</f>
        <v>#VALUE!</v>
      </c>
      <c r="AK379" t="e">
        <f>'North America'!E1490+"n/&gt;!3=V"</f>
        <v>#VALUE!</v>
      </c>
      <c r="AL379" t="e">
        <f>'North America'!F1490+"n/&gt;!3=W"</f>
        <v>#VALUE!</v>
      </c>
      <c r="AM379" t="e">
        <f>'North America'!G1490+"n/&gt;!3=X"</f>
        <v>#VALUE!</v>
      </c>
      <c r="AN379" t="e">
        <f>'North America'!H1490+"n/&gt;!3=Y"</f>
        <v>#VALUE!</v>
      </c>
      <c r="AO379" t="e">
        <f>'North America'!I1490+"n/&gt;!3=Z"</f>
        <v>#VALUE!</v>
      </c>
      <c r="AP379" t="e">
        <f>'North America'!A1491+"n/&gt;!3=["</f>
        <v>#VALUE!</v>
      </c>
      <c r="AQ379" t="e">
        <f>'North America'!B1491+"n/&gt;!3=\"</f>
        <v>#VALUE!</v>
      </c>
      <c r="AR379" t="e">
        <f>'North America'!C1491+"n/&gt;!3=]"</f>
        <v>#VALUE!</v>
      </c>
      <c r="AS379" t="e">
        <f>'North America'!D1491+"n/&gt;!3=^"</f>
        <v>#VALUE!</v>
      </c>
      <c r="AT379" t="e">
        <f>'North America'!E1491+"n/&gt;!3=_"</f>
        <v>#VALUE!</v>
      </c>
      <c r="AU379" t="e">
        <f>'North America'!F1491+"n/&gt;!3=`"</f>
        <v>#VALUE!</v>
      </c>
      <c r="AV379" t="e">
        <f>'North America'!G1491+"n/&gt;!3=a"</f>
        <v>#VALUE!</v>
      </c>
      <c r="AW379" t="e">
        <f>'North America'!H1491+"n/&gt;!3=b"</f>
        <v>#VALUE!</v>
      </c>
      <c r="AX379" t="e">
        <f>'North America'!I1491+"n/&gt;!3=c"</f>
        <v>#VALUE!</v>
      </c>
      <c r="AY379" t="e">
        <f>'North America'!A1492+"n/&gt;!3=d"</f>
        <v>#VALUE!</v>
      </c>
      <c r="AZ379" t="e">
        <f>'North America'!B1492+"n/&gt;!3=e"</f>
        <v>#VALUE!</v>
      </c>
      <c r="BA379" t="e">
        <f>'North America'!C1492+"n/&gt;!3=f"</f>
        <v>#VALUE!</v>
      </c>
      <c r="BB379" t="e">
        <f>'North America'!D1492+"n/&gt;!3=g"</f>
        <v>#VALUE!</v>
      </c>
      <c r="BC379" t="e">
        <f>'North America'!E1492+"n/&gt;!3=h"</f>
        <v>#VALUE!</v>
      </c>
      <c r="BD379" t="e">
        <f>'North America'!F1492+"n/&gt;!3=i"</f>
        <v>#VALUE!</v>
      </c>
      <c r="BE379" t="e">
        <f>'North America'!G1492+"n/&gt;!3=j"</f>
        <v>#VALUE!</v>
      </c>
      <c r="BF379" t="e">
        <f>'North America'!H1492+"n/&gt;!3=k"</f>
        <v>#VALUE!</v>
      </c>
      <c r="BG379" t="e">
        <f>'North America'!I1492+"n/&gt;!3=l"</f>
        <v>#VALUE!</v>
      </c>
      <c r="BH379" t="e">
        <f>'North America'!A1493+"n/&gt;!3=m"</f>
        <v>#VALUE!</v>
      </c>
      <c r="BI379" t="e">
        <f>'North America'!B1493+"n/&gt;!3=n"</f>
        <v>#VALUE!</v>
      </c>
      <c r="BJ379" t="e">
        <f>'North America'!C1493+"n/&gt;!3=o"</f>
        <v>#VALUE!</v>
      </c>
      <c r="BK379" t="e">
        <f>'North America'!D1493+"n/&gt;!3=p"</f>
        <v>#VALUE!</v>
      </c>
      <c r="BL379" t="e">
        <f>'North America'!E1493+"n/&gt;!3=q"</f>
        <v>#VALUE!</v>
      </c>
      <c r="BM379" t="e">
        <f>'North America'!F1493+"n/&gt;!3=r"</f>
        <v>#VALUE!</v>
      </c>
      <c r="BN379" t="e">
        <f>'North America'!G1493+"n/&gt;!3=s"</f>
        <v>#VALUE!</v>
      </c>
      <c r="BO379" t="e">
        <f>'North America'!H1493+"n/&gt;!3=t"</f>
        <v>#VALUE!</v>
      </c>
      <c r="BP379" t="e">
        <f>'North America'!I1493+"n/&gt;!3=u"</f>
        <v>#VALUE!</v>
      </c>
      <c r="BQ379" t="e">
        <f>'North America'!A1494+"n/&gt;!3=v"</f>
        <v>#VALUE!</v>
      </c>
      <c r="BR379" t="e">
        <f>'North America'!B1494+"n/&gt;!3=w"</f>
        <v>#VALUE!</v>
      </c>
      <c r="BS379" t="e">
        <f>'North America'!C1494+"n/&gt;!3=x"</f>
        <v>#VALUE!</v>
      </c>
      <c r="BT379" t="e">
        <f>'North America'!D1494+"n/&gt;!3=y"</f>
        <v>#VALUE!</v>
      </c>
      <c r="BU379" t="e">
        <f>'North America'!E1494+"n/&gt;!3=z"</f>
        <v>#VALUE!</v>
      </c>
      <c r="BV379" t="e">
        <f>'North America'!F1494+"n/&gt;!3={"</f>
        <v>#VALUE!</v>
      </c>
      <c r="BW379" t="e">
        <f>'North America'!G1494+"n/&gt;!3=|"</f>
        <v>#VALUE!</v>
      </c>
      <c r="BX379" t="e">
        <f>'North America'!H1494+"n/&gt;!3=}"</f>
        <v>#VALUE!</v>
      </c>
      <c r="BY379" t="e">
        <f>'North America'!I1494+"n/&gt;!3=~"</f>
        <v>#VALUE!</v>
      </c>
      <c r="BZ379" t="e">
        <f>'North America'!A1495+"n/&gt;!3&gt;#"</f>
        <v>#VALUE!</v>
      </c>
      <c r="CA379" t="e">
        <f>'North America'!B1495+"n/&gt;!3&gt;$"</f>
        <v>#VALUE!</v>
      </c>
      <c r="CB379" t="e">
        <f>'North America'!C1495+"n/&gt;!3&gt;%"</f>
        <v>#VALUE!</v>
      </c>
      <c r="CC379" t="e">
        <f>'North America'!D1495+"n/&gt;!3&gt;&amp;"</f>
        <v>#VALUE!</v>
      </c>
      <c r="CD379" t="e">
        <f>'North America'!E1495+"n/&gt;!3&gt;'"</f>
        <v>#VALUE!</v>
      </c>
      <c r="CE379" t="e">
        <f>'North America'!F1495+"n/&gt;!3&gt;("</f>
        <v>#VALUE!</v>
      </c>
      <c r="CF379" t="e">
        <f>'North America'!G1495+"n/&gt;!3&gt;)"</f>
        <v>#VALUE!</v>
      </c>
      <c r="CG379" t="e">
        <f>'North America'!H1495+"n/&gt;!3&gt;."</f>
        <v>#VALUE!</v>
      </c>
      <c r="CH379" t="e">
        <f>'North America'!I1495+"n/&gt;!3&gt;/"</f>
        <v>#VALUE!</v>
      </c>
      <c r="CI379" t="e">
        <f>'North America'!A1496+"n/&gt;!3&gt;0"</f>
        <v>#VALUE!</v>
      </c>
      <c r="CJ379" t="e">
        <f>'North America'!B1496+"n/&gt;!3&gt;1"</f>
        <v>#VALUE!</v>
      </c>
      <c r="CK379" t="e">
        <f>'North America'!C1496+"n/&gt;!3&gt;2"</f>
        <v>#VALUE!</v>
      </c>
      <c r="CL379" t="e">
        <f>'North America'!D1496+"n/&gt;!3&gt;3"</f>
        <v>#VALUE!</v>
      </c>
      <c r="CM379" t="e">
        <f>'North America'!E1496+"n/&gt;!3&gt;4"</f>
        <v>#VALUE!</v>
      </c>
      <c r="CN379" t="e">
        <f>'North America'!F1496+"n/&gt;!3&gt;5"</f>
        <v>#VALUE!</v>
      </c>
      <c r="CO379" t="e">
        <f>'North America'!G1496+"n/&gt;!3&gt;6"</f>
        <v>#VALUE!</v>
      </c>
      <c r="CP379" t="e">
        <f>'North America'!H1496+"n/&gt;!3&gt;7"</f>
        <v>#VALUE!</v>
      </c>
      <c r="CQ379" t="e">
        <f>'North America'!I1496+"n/&gt;!3&gt;8"</f>
        <v>#VALUE!</v>
      </c>
      <c r="CR379" t="e">
        <f>'North America'!A1497+"n/&gt;!3&gt;9"</f>
        <v>#VALUE!</v>
      </c>
      <c r="CS379" t="e">
        <f>'North America'!B1497+"n/&gt;!3&gt;:"</f>
        <v>#VALUE!</v>
      </c>
      <c r="CT379" t="e">
        <f>'North America'!C1497+"n/&gt;!3&gt;;"</f>
        <v>#VALUE!</v>
      </c>
      <c r="CU379" t="e">
        <f>'North America'!D1497+"n/&gt;!3&gt;&lt;"</f>
        <v>#VALUE!</v>
      </c>
      <c r="CV379" t="e">
        <f>'North America'!E1497+"n/&gt;!3&gt;="</f>
        <v>#VALUE!</v>
      </c>
      <c r="CW379" t="e">
        <f>'North America'!F1497+"n/&gt;!3&gt;&gt;"</f>
        <v>#VALUE!</v>
      </c>
      <c r="CX379" t="e">
        <f>'North America'!G1497+"n/&gt;!3&gt;?"</f>
        <v>#VALUE!</v>
      </c>
      <c r="CY379" t="e">
        <f>'North America'!H1497+"n/&gt;!3&gt;@"</f>
        <v>#VALUE!</v>
      </c>
      <c r="CZ379" t="e">
        <f>'North America'!I1497+"n/&gt;!3&gt;A"</f>
        <v>#VALUE!</v>
      </c>
      <c r="DA379" t="e">
        <f>'North America'!A1498+"n/&gt;!3&gt;B"</f>
        <v>#VALUE!</v>
      </c>
      <c r="DB379" t="e">
        <f>'North America'!B1498+"n/&gt;!3&gt;C"</f>
        <v>#VALUE!</v>
      </c>
      <c r="DC379" t="e">
        <f>'North America'!C1498+"n/&gt;!3&gt;D"</f>
        <v>#VALUE!</v>
      </c>
      <c r="DD379" t="e">
        <f>'North America'!D1498+"n/&gt;!3&gt;E"</f>
        <v>#VALUE!</v>
      </c>
      <c r="DE379" t="e">
        <f>'North America'!E1498+"n/&gt;!3&gt;F"</f>
        <v>#VALUE!</v>
      </c>
      <c r="DF379" t="e">
        <f>'North America'!F1498+"n/&gt;!3&gt;G"</f>
        <v>#VALUE!</v>
      </c>
      <c r="DG379" t="e">
        <f>'North America'!G1498+"n/&gt;!3&gt;H"</f>
        <v>#VALUE!</v>
      </c>
      <c r="DH379" t="e">
        <f>'North America'!H1498+"n/&gt;!3&gt;I"</f>
        <v>#VALUE!</v>
      </c>
      <c r="DI379" t="e">
        <f>'North America'!I1498+"n/&gt;!3&gt;J"</f>
        <v>#VALUE!</v>
      </c>
      <c r="DJ379" t="e">
        <f>'North America'!A1499+"n/&gt;!3&gt;K"</f>
        <v>#VALUE!</v>
      </c>
      <c r="DK379" t="e">
        <f>'North America'!B1499+"n/&gt;!3&gt;L"</f>
        <v>#VALUE!</v>
      </c>
      <c r="DL379" t="e">
        <f>'North America'!C1499+"n/&gt;!3&gt;M"</f>
        <v>#VALUE!</v>
      </c>
      <c r="DM379" t="e">
        <f>'North America'!D1499+"n/&gt;!3&gt;N"</f>
        <v>#VALUE!</v>
      </c>
      <c r="DN379" t="e">
        <f>'North America'!E1499+"n/&gt;!3&gt;O"</f>
        <v>#VALUE!</v>
      </c>
      <c r="DO379" t="e">
        <f>'North America'!F1499+"n/&gt;!3&gt;P"</f>
        <v>#VALUE!</v>
      </c>
      <c r="DP379" t="e">
        <f>'North America'!G1499+"n/&gt;!3&gt;Q"</f>
        <v>#VALUE!</v>
      </c>
      <c r="DQ379" t="e">
        <f>'North America'!H1499+"n/&gt;!3&gt;R"</f>
        <v>#VALUE!</v>
      </c>
      <c r="DR379" t="e">
        <f>'North America'!I1499+"n/&gt;!3&gt;S"</f>
        <v>#VALUE!</v>
      </c>
      <c r="DS379" t="e">
        <f>'North America'!A1500+"n/&gt;!3&gt;T"</f>
        <v>#VALUE!</v>
      </c>
      <c r="DT379" t="e">
        <f>'North America'!B1500+"n/&gt;!3&gt;U"</f>
        <v>#VALUE!</v>
      </c>
      <c r="DU379" t="e">
        <f>'North America'!C1500+"n/&gt;!3&gt;V"</f>
        <v>#VALUE!</v>
      </c>
      <c r="DV379" t="e">
        <f>'North America'!D1500+"n/&gt;!3&gt;W"</f>
        <v>#VALUE!</v>
      </c>
      <c r="DW379" t="e">
        <f>'North America'!E1500+"n/&gt;!3&gt;X"</f>
        <v>#VALUE!</v>
      </c>
      <c r="DX379" t="e">
        <f>'North America'!F1500+"n/&gt;!3&gt;Y"</f>
        <v>#VALUE!</v>
      </c>
      <c r="DY379" t="e">
        <f>'North America'!G1500+"n/&gt;!3&gt;Z"</f>
        <v>#VALUE!</v>
      </c>
      <c r="DZ379" t="e">
        <f>'North America'!H1500+"n/&gt;!3&gt;["</f>
        <v>#VALUE!</v>
      </c>
      <c r="EA379" t="e">
        <f>'North America'!I1500+"n/&gt;!3&gt;\"</f>
        <v>#VALUE!</v>
      </c>
      <c r="EB379" t="e">
        <f>'North America'!A1501+"n/&gt;!3&gt;]"</f>
        <v>#VALUE!</v>
      </c>
      <c r="EC379" t="e">
        <f>'North America'!B1501+"n/&gt;!3&gt;^"</f>
        <v>#VALUE!</v>
      </c>
      <c r="ED379" t="e">
        <f>'North America'!C1501+"n/&gt;!3&gt;_"</f>
        <v>#VALUE!</v>
      </c>
      <c r="EE379" t="e">
        <f>'North America'!D1501+"n/&gt;!3&gt;`"</f>
        <v>#VALUE!</v>
      </c>
      <c r="EF379" t="e">
        <f>'North America'!E1501+"n/&gt;!3&gt;a"</f>
        <v>#VALUE!</v>
      </c>
      <c r="EG379" t="e">
        <f>'North America'!F1501+"n/&gt;!3&gt;b"</f>
        <v>#VALUE!</v>
      </c>
      <c r="EH379" t="e">
        <f>'North America'!G1501+"n/&gt;!3&gt;c"</f>
        <v>#VALUE!</v>
      </c>
      <c r="EI379" t="e">
        <f>'North America'!H1501+"n/&gt;!3&gt;d"</f>
        <v>#VALUE!</v>
      </c>
      <c r="EJ379" t="e">
        <f>'North America'!I1501+"n/&gt;!3&gt;e"</f>
        <v>#VALUE!</v>
      </c>
      <c r="EK379" t="e">
        <f>'North America'!A1502+"n/&gt;!3&gt;f"</f>
        <v>#VALUE!</v>
      </c>
      <c r="EL379" t="e">
        <f>'North America'!B1502+"n/&gt;!3&gt;g"</f>
        <v>#VALUE!</v>
      </c>
      <c r="EM379" t="e">
        <f>'North America'!C1502+"n/&gt;!3&gt;h"</f>
        <v>#VALUE!</v>
      </c>
      <c r="EN379" t="e">
        <f>'North America'!D1502+"n/&gt;!3&gt;i"</f>
        <v>#VALUE!</v>
      </c>
      <c r="EO379" t="e">
        <f>'North America'!E1502+"n/&gt;!3&gt;j"</f>
        <v>#VALUE!</v>
      </c>
      <c r="EP379" t="e">
        <f>'North America'!F1502+"n/&gt;!3&gt;k"</f>
        <v>#VALUE!</v>
      </c>
      <c r="EQ379" t="e">
        <f>'North America'!G1502+"n/&gt;!3&gt;l"</f>
        <v>#VALUE!</v>
      </c>
      <c r="ER379" t="e">
        <f>'North America'!H1502+"n/&gt;!3&gt;m"</f>
        <v>#VALUE!</v>
      </c>
      <c r="ES379" t="e">
        <f>'North America'!I1502+"n/&gt;!3&gt;n"</f>
        <v>#VALUE!</v>
      </c>
      <c r="ET379" t="e">
        <f>'North America'!A1503+"n/&gt;!3&gt;o"</f>
        <v>#VALUE!</v>
      </c>
      <c r="EU379" t="e">
        <f>'North America'!B1503+"n/&gt;!3&gt;p"</f>
        <v>#VALUE!</v>
      </c>
      <c r="EV379" t="e">
        <f>'North America'!C1503+"n/&gt;!3&gt;q"</f>
        <v>#VALUE!</v>
      </c>
      <c r="EW379" t="e">
        <f>'North America'!D1503+"n/&gt;!3&gt;r"</f>
        <v>#VALUE!</v>
      </c>
      <c r="EX379" t="e">
        <f>'North America'!E1503+"n/&gt;!3&gt;s"</f>
        <v>#VALUE!</v>
      </c>
      <c r="EY379" t="e">
        <f>'North America'!F1503+"n/&gt;!3&gt;t"</f>
        <v>#VALUE!</v>
      </c>
      <c r="EZ379" t="e">
        <f>'North America'!G1503+"n/&gt;!3&gt;u"</f>
        <v>#VALUE!</v>
      </c>
      <c r="FA379" t="e">
        <f>'North America'!H1503+"n/&gt;!3&gt;v"</f>
        <v>#VALUE!</v>
      </c>
      <c r="FB379" t="e">
        <f>'North America'!I1503+"n/&gt;!3&gt;w"</f>
        <v>#VALUE!</v>
      </c>
      <c r="FC379" t="e">
        <f>'North America'!A1504+"n/&gt;!3&gt;x"</f>
        <v>#VALUE!</v>
      </c>
      <c r="FD379" t="e">
        <f>'North America'!B1504+"n/&gt;!3&gt;y"</f>
        <v>#VALUE!</v>
      </c>
      <c r="FE379" t="e">
        <f>'North America'!C1504+"n/&gt;!3&gt;z"</f>
        <v>#VALUE!</v>
      </c>
      <c r="FF379" t="e">
        <f>'North America'!D1504+"n/&gt;!3&gt;{"</f>
        <v>#VALUE!</v>
      </c>
      <c r="FG379" t="e">
        <f>'North America'!E1504+"n/&gt;!3&gt;|"</f>
        <v>#VALUE!</v>
      </c>
      <c r="FH379" t="e">
        <f>'North America'!F1504+"n/&gt;!3&gt;}"</f>
        <v>#VALUE!</v>
      </c>
      <c r="FI379" t="e">
        <f>'North America'!G1504+"n/&gt;!3&gt;~"</f>
        <v>#VALUE!</v>
      </c>
      <c r="FJ379" t="e">
        <f>'North America'!H1504+"n/&gt;!3?#"</f>
        <v>#VALUE!</v>
      </c>
      <c r="FK379" t="e">
        <f>'North America'!I1504+"n/&gt;!3?$"</f>
        <v>#VALUE!</v>
      </c>
      <c r="FL379" t="e">
        <f>'North America'!A1505+"n/&gt;!3?%"</f>
        <v>#VALUE!</v>
      </c>
      <c r="FM379" t="e">
        <f>'North America'!B1505+"n/&gt;!3?&amp;"</f>
        <v>#VALUE!</v>
      </c>
      <c r="FN379" t="e">
        <f>'North America'!C1505+"n/&gt;!3?'"</f>
        <v>#VALUE!</v>
      </c>
      <c r="FO379" t="e">
        <f>'North America'!D1505+"n/&gt;!3?("</f>
        <v>#VALUE!</v>
      </c>
      <c r="FP379" t="e">
        <f>'North America'!E1505+"n/&gt;!3?)"</f>
        <v>#VALUE!</v>
      </c>
      <c r="FQ379" t="e">
        <f>'North America'!F1505+"n/&gt;!3?."</f>
        <v>#VALUE!</v>
      </c>
      <c r="FR379" t="e">
        <f>'North America'!G1505+"n/&gt;!3?/"</f>
        <v>#VALUE!</v>
      </c>
      <c r="FS379" t="e">
        <f>'North America'!H1505+"n/&gt;!3?0"</f>
        <v>#VALUE!</v>
      </c>
      <c r="FT379" t="e">
        <f>'North America'!I1505+"n/&gt;!3?1"</f>
        <v>#VALUE!</v>
      </c>
      <c r="FU379" t="e">
        <f>'North America'!A1506+"n/&gt;!3?2"</f>
        <v>#VALUE!</v>
      </c>
      <c r="FV379" t="e">
        <f>'North America'!B1506+"n/&gt;!3?3"</f>
        <v>#VALUE!</v>
      </c>
      <c r="FW379" t="e">
        <f>'North America'!C1506+"n/&gt;!3?4"</f>
        <v>#VALUE!</v>
      </c>
      <c r="FX379" t="e">
        <f>'North America'!D1506+"n/&gt;!3?5"</f>
        <v>#VALUE!</v>
      </c>
      <c r="FY379" t="e">
        <f>'North America'!E1506+"n/&gt;!3?6"</f>
        <v>#VALUE!</v>
      </c>
      <c r="FZ379" t="e">
        <f>'North America'!F1506+"n/&gt;!3?7"</f>
        <v>#VALUE!</v>
      </c>
      <c r="GA379" t="e">
        <f>'North America'!G1506+"n/&gt;!3?8"</f>
        <v>#VALUE!</v>
      </c>
      <c r="GB379" t="e">
        <f>'North America'!H1506+"n/&gt;!3?9"</f>
        <v>#VALUE!</v>
      </c>
      <c r="GC379" t="e">
        <f>'North America'!I1506+"n/&gt;!3?:"</f>
        <v>#VALUE!</v>
      </c>
      <c r="GD379" t="e">
        <f>'North America'!A1507+"n/&gt;!3?;"</f>
        <v>#VALUE!</v>
      </c>
      <c r="GE379" t="e">
        <f>'North America'!B1507+"n/&gt;!3?&lt;"</f>
        <v>#VALUE!</v>
      </c>
      <c r="GF379" t="e">
        <f>'North America'!C1507+"n/&gt;!3?="</f>
        <v>#VALUE!</v>
      </c>
      <c r="GG379" t="e">
        <f>'North America'!D1507+"n/&gt;!3?&gt;"</f>
        <v>#VALUE!</v>
      </c>
      <c r="GH379" t="e">
        <f>'North America'!E1507+"n/&gt;!3??"</f>
        <v>#VALUE!</v>
      </c>
      <c r="GI379" t="e">
        <f>'North America'!F1507+"n/&gt;!3?@"</f>
        <v>#VALUE!</v>
      </c>
      <c r="GJ379" t="e">
        <f>'North America'!G1507+"n/&gt;!3?A"</f>
        <v>#VALUE!</v>
      </c>
      <c r="GK379" t="e">
        <f>'North America'!H1507+"n/&gt;!3?B"</f>
        <v>#VALUE!</v>
      </c>
      <c r="GL379" t="e">
        <f>'North America'!I1507+"n/&gt;!3?C"</f>
        <v>#VALUE!</v>
      </c>
      <c r="GM379" t="e">
        <f>'North America'!A1508+"n/&gt;!3?D"</f>
        <v>#VALUE!</v>
      </c>
      <c r="GN379" t="e">
        <f>'North America'!B1508+"n/&gt;!3?E"</f>
        <v>#VALUE!</v>
      </c>
      <c r="GO379" t="e">
        <f>'North America'!C1508+"n/&gt;!3?F"</f>
        <v>#VALUE!</v>
      </c>
      <c r="GP379" t="e">
        <f>'North America'!D1508+"n/&gt;!3?G"</f>
        <v>#VALUE!</v>
      </c>
      <c r="GQ379" t="e">
        <f>'North America'!E1508+"n/&gt;!3?H"</f>
        <v>#VALUE!</v>
      </c>
      <c r="GR379" t="e">
        <f>'North America'!F1508+"n/&gt;!3?I"</f>
        <v>#VALUE!</v>
      </c>
      <c r="GS379" t="e">
        <f>'North America'!G1508+"n/&gt;!3?J"</f>
        <v>#VALUE!</v>
      </c>
      <c r="GT379" t="e">
        <f>'North America'!H1508+"n/&gt;!3?K"</f>
        <v>#VALUE!</v>
      </c>
      <c r="GU379" t="e">
        <f>'North America'!I1508+"n/&gt;!3?L"</f>
        <v>#VALUE!</v>
      </c>
      <c r="GV379" t="e">
        <f>'North America'!A1509+"n/&gt;!3?M"</f>
        <v>#VALUE!</v>
      </c>
      <c r="GW379" t="e">
        <f>'North America'!B1509+"n/&gt;!3?N"</f>
        <v>#VALUE!</v>
      </c>
      <c r="GX379" t="e">
        <f>'North America'!C1509+"n/&gt;!3?O"</f>
        <v>#VALUE!</v>
      </c>
      <c r="GY379" t="e">
        <f>'North America'!D1509+"n/&gt;!3?P"</f>
        <v>#VALUE!</v>
      </c>
      <c r="GZ379" t="e">
        <f>'North America'!E1509+"n/&gt;!3?Q"</f>
        <v>#VALUE!</v>
      </c>
      <c r="HA379" t="e">
        <f>'North America'!F1509+"n/&gt;!3?R"</f>
        <v>#VALUE!</v>
      </c>
      <c r="HB379" t="e">
        <f>'North America'!G1509+"n/&gt;!3?S"</f>
        <v>#VALUE!</v>
      </c>
      <c r="HC379" t="e">
        <f>'North America'!H1509+"n/&gt;!3?T"</f>
        <v>#VALUE!</v>
      </c>
      <c r="HD379" t="e">
        <f>'North America'!I1509+"n/&gt;!3?U"</f>
        <v>#VALUE!</v>
      </c>
      <c r="HE379" t="e">
        <f>'North America'!A1510+"n/&gt;!3?V"</f>
        <v>#VALUE!</v>
      </c>
      <c r="HF379" t="e">
        <f>'North America'!B1510+"n/&gt;!3?W"</f>
        <v>#VALUE!</v>
      </c>
      <c r="HG379" t="e">
        <f>'North America'!C1510+"n/&gt;!3?X"</f>
        <v>#VALUE!</v>
      </c>
      <c r="HH379" t="e">
        <f>'North America'!D1510+"n/&gt;!3?Y"</f>
        <v>#VALUE!</v>
      </c>
      <c r="HI379" t="e">
        <f>'North America'!E1510+"n/&gt;!3?Z"</f>
        <v>#VALUE!</v>
      </c>
      <c r="HJ379" t="e">
        <f>'North America'!F1510+"n/&gt;!3?["</f>
        <v>#VALUE!</v>
      </c>
      <c r="HK379" t="e">
        <f>'North America'!G1510+"n/&gt;!3?\"</f>
        <v>#VALUE!</v>
      </c>
      <c r="HL379" t="e">
        <f>'North America'!H1510+"n/&gt;!3?]"</f>
        <v>#VALUE!</v>
      </c>
      <c r="HM379" t="e">
        <f>'North America'!I1510+"n/&gt;!3?^"</f>
        <v>#VALUE!</v>
      </c>
      <c r="HN379" t="e">
        <f>'North America'!A1511+"n/&gt;!3?_"</f>
        <v>#VALUE!</v>
      </c>
      <c r="HO379" t="e">
        <f>'North America'!B1511+"n/&gt;!3?`"</f>
        <v>#VALUE!</v>
      </c>
      <c r="HP379" t="e">
        <f>'North America'!C1511+"n/&gt;!3?a"</f>
        <v>#VALUE!</v>
      </c>
      <c r="HQ379" t="e">
        <f>'North America'!D1511+"n/&gt;!3?b"</f>
        <v>#VALUE!</v>
      </c>
      <c r="HR379" t="e">
        <f>'North America'!E1511+"n/&gt;!3?c"</f>
        <v>#VALUE!</v>
      </c>
      <c r="HS379" t="e">
        <f>'North America'!F1511+"n/&gt;!3?d"</f>
        <v>#VALUE!</v>
      </c>
      <c r="HT379" t="e">
        <f>'North America'!G1511+"n/&gt;!3?e"</f>
        <v>#VALUE!</v>
      </c>
      <c r="HU379" t="e">
        <f>'North America'!H1511+"n/&gt;!3?f"</f>
        <v>#VALUE!</v>
      </c>
      <c r="HV379" t="e">
        <f>'North America'!I1511+"n/&gt;!3?g"</f>
        <v>#VALUE!</v>
      </c>
      <c r="HW379" t="e">
        <f>'North America'!A1512+"n/&gt;!3?h"</f>
        <v>#VALUE!</v>
      </c>
      <c r="HX379" t="e">
        <f>'North America'!B1512+"n/&gt;!3?i"</f>
        <v>#VALUE!</v>
      </c>
      <c r="HY379" t="e">
        <f>'North America'!C1512+"n/&gt;!3?j"</f>
        <v>#VALUE!</v>
      </c>
      <c r="HZ379" t="e">
        <f>'North America'!D1512+"n/&gt;!3?k"</f>
        <v>#VALUE!</v>
      </c>
      <c r="IA379" t="e">
        <f>'North America'!E1512+"n/&gt;!3?l"</f>
        <v>#VALUE!</v>
      </c>
      <c r="IB379" t="e">
        <f>'North America'!F1512+"n/&gt;!3?m"</f>
        <v>#VALUE!</v>
      </c>
      <c r="IC379" t="e">
        <f>'North America'!G1512+"n/&gt;!3?n"</f>
        <v>#VALUE!</v>
      </c>
      <c r="ID379" t="e">
        <f>'North America'!H1512+"n/&gt;!3?o"</f>
        <v>#VALUE!</v>
      </c>
      <c r="IE379" t="e">
        <f>'North America'!I1512+"n/&gt;!3?p"</f>
        <v>#VALUE!</v>
      </c>
      <c r="IF379" t="e">
        <f>'North America'!A1513+"n/&gt;!3?q"</f>
        <v>#VALUE!</v>
      </c>
      <c r="IG379" t="e">
        <f>'North America'!B1513+"n/&gt;!3?r"</f>
        <v>#VALUE!</v>
      </c>
      <c r="IH379" t="e">
        <f>'North America'!C1513+"n/&gt;!3?s"</f>
        <v>#VALUE!</v>
      </c>
      <c r="II379" t="e">
        <f>'North America'!D1513+"n/&gt;!3?t"</f>
        <v>#VALUE!</v>
      </c>
      <c r="IJ379" t="e">
        <f>'North America'!E1513+"n/&gt;!3?u"</f>
        <v>#VALUE!</v>
      </c>
      <c r="IK379" t="e">
        <f>'North America'!F1513+"n/&gt;!3?v"</f>
        <v>#VALUE!</v>
      </c>
      <c r="IL379" t="e">
        <f>'North America'!G1513+"n/&gt;!3?w"</f>
        <v>#VALUE!</v>
      </c>
      <c r="IM379" t="e">
        <f>'North America'!H1513+"n/&gt;!3?x"</f>
        <v>#VALUE!</v>
      </c>
      <c r="IN379" t="e">
        <f>'North America'!I1513+"n/&gt;!3?y"</f>
        <v>#VALUE!</v>
      </c>
      <c r="IO379" t="e">
        <f>'North America'!A1514+"n/&gt;!3?z"</f>
        <v>#VALUE!</v>
      </c>
      <c r="IP379" t="e">
        <f>'North America'!B1514+"n/&gt;!3?{"</f>
        <v>#VALUE!</v>
      </c>
      <c r="IQ379" t="e">
        <f>'North America'!C1514+"n/&gt;!3?|"</f>
        <v>#VALUE!</v>
      </c>
      <c r="IR379" t="e">
        <f>'North America'!D1514+"n/&gt;!3?}"</f>
        <v>#VALUE!</v>
      </c>
      <c r="IS379" t="e">
        <f>'North America'!E1514+"n/&gt;!3?~"</f>
        <v>#VALUE!</v>
      </c>
      <c r="IT379" t="e">
        <f>'North America'!F1514+"n/&gt;!3@#"</f>
        <v>#VALUE!</v>
      </c>
      <c r="IU379" t="e">
        <f>'North America'!G1514+"n/&gt;!3@$"</f>
        <v>#VALUE!</v>
      </c>
      <c r="IV379" t="e">
        <f>'North America'!H1514+"n/&gt;!3@%"</f>
        <v>#VALUE!</v>
      </c>
    </row>
    <row r="380" spans="6:256" x14ac:dyDescent="0.35">
      <c r="F380" t="e">
        <f>'North America'!I1514+"n/&gt;!3@&amp;"</f>
        <v>#VALUE!</v>
      </c>
      <c r="G380" t="e">
        <f>'North America'!A1515+"n/&gt;!3@'"</f>
        <v>#VALUE!</v>
      </c>
      <c r="H380" t="e">
        <f>'North America'!B1515+"n/&gt;!3@("</f>
        <v>#VALUE!</v>
      </c>
      <c r="I380" t="e">
        <f>'North America'!C1515+"n/&gt;!3@)"</f>
        <v>#VALUE!</v>
      </c>
      <c r="J380" t="e">
        <f>'North America'!D1515+"n/&gt;!3@."</f>
        <v>#VALUE!</v>
      </c>
      <c r="K380" t="e">
        <f>'North America'!E1515+"n/&gt;!3@/"</f>
        <v>#VALUE!</v>
      </c>
      <c r="L380" t="e">
        <f>'North America'!F1515+"n/&gt;!3@0"</f>
        <v>#VALUE!</v>
      </c>
      <c r="M380" t="e">
        <f>'North America'!G1515+"n/&gt;!3@1"</f>
        <v>#VALUE!</v>
      </c>
      <c r="N380" t="e">
        <f>'North America'!H1515+"n/&gt;!3@2"</f>
        <v>#VALUE!</v>
      </c>
      <c r="O380" t="e">
        <f>'North America'!I1515+"n/&gt;!3@3"</f>
        <v>#VALUE!</v>
      </c>
      <c r="P380" t="e">
        <f>'North America'!A1516+"n/&gt;!3@4"</f>
        <v>#VALUE!</v>
      </c>
      <c r="Q380" t="e">
        <f>'North America'!B1516+"n/&gt;!3@5"</f>
        <v>#VALUE!</v>
      </c>
      <c r="R380" t="e">
        <f>'North America'!C1516+"n/&gt;!3@6"</f>
        <v>#VALUE!</v>
      </c>
      <c r="S380" t="e">
        <f>'North America'!D1516+"n/&gt;!3@7"</f>
        <v>#VALUE!</v>
      </c>
      <c r="T380" t="e">
        <f>'North America'!E1516+"n/&gt;!3@8"</f>
        <v>#VALUE!</v>
      </c>
      <c r="U380" t="e">
        <f>'North America'!F1516+"n/&gt;!3@9"</f>
        <v>#VALUE!</v>
      </c>
      <c r="V380" t="e">
        <f>'North America'!G1516+"n/&gt;!3@:"</f>
        <v>#VALUE!</v>
      </c>
      <c r="W380" t="e">
        <f>'North America'!H1516+"n/&gt;!3@;"</f>
        <v>#VALUE!</v>
      </c>
      <c r="X380" t="e">
        <f>'North America'!I1516+"n/&gt;!3@&lt;"</f>
        <v>#VALUE!</v>
      </c>
      <c r="Y380" t="e">
        <f>'North America'!A1517+"n/&gt;!3@="</f>
        <v>#VALUE!</v>
      </c>
      <c r="Z380" t="e">
        <f>'North America'!B1517+"n/&gt;!3@&gt;"</f>
        <v>#VALUE!</v>
      </c>
      <c r="AA380" t="e">
        <f>'North America'!C1517+"n/&gt;!3@?"</f>
        <v>#VALUE!</v>
      </c>
      <c r="AB380" t="e">
        <f>'North America'!D1517+"n/&gt;!3@@"</f>
        <v>#VALUE!</v>
      </c>
      <c r="AC380" t="e">
        <f>'North America'!E1517+"n/&gt;!3@A"</f>
        <v>#VALUE!</v>
      </c>
      <c r="AD380" t="e">
        <f>'North America'!F1517+"n/&gt;!3@B"</f>
        <v>#VALUE!</v>
      </c>
      <c r="AE380" t="e">
        <f>'North America'!G1517+"n/&gt;!3@C"</f>
        <v>#VALUE!</v>
      </c>
      <c r="AF380" t="e">
        <f>'North America'!H1517+"n/&gt;!3@D"</f>
        <v>#VALUE!</v>
      </c>
      <c r="AG380" t="e">
        <f>'North America'!I1517+"n/&gt;!3@E"</f>
        <v>#VALUE!</v>
      </c>
      <c r="AH380" t="e">
        <f>'North America'!A1518+"n/&gt;!3@F"</f>
        <v>#VALUE!</v>
      </c>
      <c r="AI380" t="e">
        <f>'North America'!B1518+"n/&gt;!3@G"</f>
        <v>#VALUE!</v>
      </c>
      <c r="AJ380" t="e">
        <f>'North America'!C1518+"n/&gt;!3@H"</f>
        <v>#VALUE!</v>
      </c>
      <c r="AK380" t="e">
        <f>'North America'!D1518+"n/&gt;!3@I"</f>
        <v>#VALUE!</v>
      </c>
      <c r="AL380" t="e">
        <f>'North America'!E1518+"n/&gt;!3@J"</f>
        <v>#VALUE!</v>
      </c>
      <c r="AM380" t="e">
        <f>'North America'!F1518+"n/&gt;!3@K"</f>
        <v>#VALUE!</v>
      </c>
      <c r="AN380" t="e">
        <f>'North America'!G1518+"n/&gt;!3@L"</f>
        <v>#VALUE!</v>
      </c>
      <c r="AO380" t="e">
        <f>'North America'!H1518+"n/&gt;!3@M"</f>
        <v>#VALUE!</v>
      </c>
      <c r="AP380" t="e">
        <f>'North America'!I1518+"n/&gt;!3@N"</f>
        <v>#VALUE!</v>
      </c>
      <c r="AQ380" t="e">
        <f>'North America'!A1519+"n/&gt;!3@O"</f>
        <v>#VALUE!</v>
      </c>
      <c r="AR380" t="e">
        <f>'North America'!B1519+"n/&gt;!3@P"</f>
        <v>#VALUE!</v>
      </c>
      <c r="AS380" t="e">
        <f>'North America'!C1519+"n/&gt;!3@Q"</f>
        <v>#VALUE!</v>
      </c>
      <c r="AT380" t="e">
        <f>'North America'!D1519+"n/&gt;!3@R"</f>
        <v>#VALUE!</v>
      </c>
      <c r="AU380" t="e">
        <f>'North America'!E1519+"n/&gt;!3@S"</f>
        <v>#VALUE!</v>
      </c>
      <c r="AV380" t="e">
        <f>'North America'!F1519+"n/&gt;!3@T"</f>
        <v>#VALUE!</v>
      </c>
      <c r="AW380" t="e">
        <f>'North America'!G1519+"n/&gt;!3@U"</f>
        <v>#VALUE!</v>
      </c>
      <c r="AX380" t="e">
        <f>'North America'!H1519+"n/&gt;!3@V"</f>
        <v>#VALUE!</v>
      </c>
      <c r="AY380" t="e">
        <f>'North America'!I1519+"n/&gt;!3@W"</f>
        <v>#VALUE!</v>
      </c>
      <c r="AZ380" t="e">
        <f>'North America'!A1520+"n/&gt;!3@X"</f>
        <v>#VALUE!</v>
      </c>
      <c r="BA380" t="e">
        <f>'North America'!B1520+"n/&gt;!3@Y"</f>
        <v>#VALUE!</v>
      </c>
      <c r="BB380" t="e">
        <f>'North America'!C1520+"n/&gt;!3@Z"</f>
        <v>#VALUE!</v>
      </c>
      <c r="BC380" t="e">
        <f>'North America'!D1520+"n/&gt;!3@["</f>
        <v>#VALUE!</v>
      </c>
      <c r="BD380" t="e">
        <f>'North America'!E1520+"n/&gt;!3@\"</f>
        <v>#VALUE!</v>
      </c>
      <c r="BE380" t="e">
        <f>'North America'!F1520+"n/&gt;!3@]"</f>
        <v>#VALUE!</v>
      </c>
      <c r="BF380" t="e">
        <f>'North America'!G1520+"n/&gt;!3@^"</f>
        <v>#VALUE!</v>
      </c>
      <c r="BG380" t="e">
        <f>'North America'!H1520+"n/&gt;!3@_"</f>
        <v>#VALUE!</v>
      </c>
      <c r="BH380" t="e">
        <f>'North America'!I1520+"n/&gt;!3@`"</f>
        <v>#VALUE!</v>
      </c>
      <c r="BI380" t="e">
        <f>'North America'!A1521+"n/&gt;!3@a"</f>
        <v>#VALUE!</v>
      </c>
      <c r="BJ380" t="e">
        <f>'North America'!B1521+"n/&gt;!3@b"</f>
        <v>#VALUE!</v>
      </c>
      <c r="BK380" t="e">
        <f>'North America'!C1521+"n/&gt;!3@c"</f>
        <v>#VALUE!</v>
      </c>
      <c r="BL380" t="e">
        <f>'North America'!D1521+"n/&gt;!3@d"</f>
        <v>#VALUE!</v>
      </c>
      <c r="BM380" t="e">
        <f>'North America'!E1521+"n/&gt;!3@e"</f>
        <v>#VALUE!</v>
      </c>
      <c r="BN380" t="e">
        <f>'North America'!F1521+"n/&gt;!3@f"</f>
        <v>#VALUE!</v>
      </c>
      <c r="BO380" t="e">
        <f>'North America'!G1521+"n/&gt;!3@g"</f>
        <v>#VALUE!</v>
      </c>
      <c r="BP380" t="e">
        <f>'North America'!H1521+"n/&gt;!3@h"</f>
        <v>#VALUE!</v>
      </c>
      <c r="BQ380" t="e">
        <f>'North America'!I1521+"n/&gt;!3@i"</f>
        <v>#VALUE!</v>
      </c>
      <c r="BR380" t="e">
        <f>'North America'!A1522+"n/&gt;!3@j"</f>
        <v>#VALUE!</v>
      </c>
      <c r="BS380" t="e">
        <f>'North America'!B1522+"n/&gt;!3@k"</f>
        <v>#VALUE!</v>
      </c>
      <c r="BT380" t="e">
        <f>'North America'!C1522+"n/&gt;!3@l"</f>
        <v>#VALUE!</v>
      </c>
      <c r="BU380" t="e">
        <f>'North America'!D1522+"n/&gt;!3@m"</f>
        <v>#VALUE!</v>
      </c>
      <c r="BV380" t="e">
        <f>'North America'!E1522+"n/&gt;!3@n"</f>
        <v>#VALUE!</v>
      </c>
      <c r="BW380" t="e">
        <f>'North America'!F1522+"n/&gt;!3@o"</f>
        <v>#VALUE!</v>
      </c>
      <c r="BX380" t="e">
        <f>'North America'!G1522+"n/&gt;!3@p"</f>
        <v>#VALUE!</v>
      </c>
      <c r="BY380" t="e">
        <f>'North America'!H1522+"n/&gt;!3@q"</f>
        <v>#VALUE!</v>
      </c>
      <c r="BZ380" t="e">
        <f>'North America'!I1522+"n/&gt;!3@r"</f>
        <v>#VALUE!</v>
      </c>
      <c r="CA380" t="e">
        <f>'North America'!A1523+"n/&gt;!3@s"</f>
        <v>#VALUE!</v>
      </c>
      <c r="CB380" t="e">
        <f>'North America'!B1523+"n/&gt;!3@t"</f>
        <v>#VALUE!</v>
      </c>
      <c r="CC380" t="e">
        <f>'North America'!C1523+"n/&gt;!3@u"</f>
        <v>#VALUE!</v>
      </c>
      <c r="CD380" t="e">
        <f>'North America'!D1523+"n/&gt;!3@v"</f>
        <v>#VALUE!</v>
      </c>
      <c r="CE380" t="e">
        <f>'North America'!E1523+"n/&gt;!3@w"</f>
        <v>#VALUE!</v>
      </c>
      <c r="CF380" t="e">
        <f>'North America'!F1523+"n/&gt;!3@x"</f>
        <v>#VALUE!</v>
      </c>
      <c r="CG380" t="e">
        <f>'North America'!G1523+"n/&gt;!3@y"</f>
        <v>#VALUE!</v>
      </c>
      <c r="CH380" t="e">
        <f>'North America'!H1523+"n/&gt;!3@z"</f>
        <v>#VALUE!</v>
      </c>
      <c r="CI380" t="e">
        <f>'North America'!I1523+"n/&gt;!3@{"</f>
        <v>#VALUE!</v>
      </c>
      <c r="CJ380" t="e">
        <f>'North America'!A1524+"n/&gt;!3@|"</f>
        <v>#VALUE!</v>
      </c>
      <c r="CK380" t="e">
        <f>'North America'!B1524+"n/&gt;!3@}"</f>
        <v>#VALUE!</v>
      </c>
      <c r="CL380" t="e">
        <f>'North America'!C1524+"n/&gt;!3@~"</f>
        <v>#VALUE!</v>
      </c>
      <c r="CM380" t="e">
        <f>'North America'!D1524+"n/&gt;!3A#"</f>
        <v>#VALUE!</v>
      </c>
      <c r="CN380" t="e">
        <f>'North America'!E1524+"n/&gt;!3A$"</f>
        <v>#VALUE!</v>
      </c>
      <c r="CO380" t="e">
        <f>'North America'!F1524+"n/&gt;!3A%"</f>
        <v>#VALUE!</v>
      </c>
      <c r="CP380" t="e">
        <f>'North America'!G1524+"n/&gt;!3A&amp;"</f>
        <v>#VALUE!</v>
      </c>
      <c r="CQ380" t="e">
        <f>'North America'!H1524+"n/&gt;!3A'"</f>
        <v>#VALUE!</v>
      </c>
      <c r="CR380" t="e">
        <f>'North America'!I1524+"n/&gt;!3A("</f>
        <v>#VALUE!</v>
      </c>
      <c r="CS380" t="e">
        <f>'North America'!A1525+"n/&gt;!3A)"</f>
        <v>#VALUE!</v>
      </c>
      <c r="CT380" t="e">
        <f>'North America'!B1525+"n/&gt;!3A."</f>
        <v>#VALUE!</v>
      </c>
      <c r="CU380" t="e">
        <f>'North America'!C1525+"n/&gt;!3A/"</f>
        <v>#VALUE!</v>
      </c>
      <c r="CV380" t="e">
        <f>'North America'!D1525+"n/&gt;!3A0"</f>
        <v>#VALUE!</v>
      </c>
      <c r="CW380" t="e">
        <f>'North America'!E1525+"n/&gt;!3A1"</f>
        <v>#VALUE!</v>
      </c>
      <c r="CX380" t="e">
        <f>'North America'!F1525+"n/&gt;!3A2"</f>
        <v>#VALUE!</v>
      </c>
      <c r="CY380" t="e">
        <f>'North America'!G1525+"n/&gt;!3A3"</f>
        <v>#VALUE!</v>
      </c>
      <c r="CZ380" t="e">
        <f>'North America'!H1525+"n/&gt;!3A4"</f>
        <v>#VALUE!</v>
      </c>
      <c r="DA380" t="e">
        <f>'North America'!I1525+"n/&gt;!3A5"</f>
        <v>#VALUE!</v>
      </c>
      <c r="DB380" t="e">
        <f>'North America'!A1526+"n/&gt;!3A6"</f>
        <v>#VALUE!</v>
      </c>
      <c r="DC380" t="e">
        <f>'North America'!B1526+"n/&gt;!3A7"</f>
        <v>#VALUE!</v>
      </c>
      <c r="DD380" t="e">
        <f>'North America'!C1526+"n/&gt;!3A8"</f>
        <v>#VALUE!</v>
      </c>
      <c r="DE380" t="e">
        <f>'North America'!D1526+"n/&gt;!3A9"</f>
        <v>#VALUE!</v>
      </c>
      <c r="DF380" t="e">
        <f>'North America'!E1526+"n/&gt;!3A:"</f>
        <v>#VALUE!</v>
      </c>
      <c r="DG380" t="e">
        <f>'North America'!F1526+"n/&gt;!3A;"</f>
        <v>#VALUE!</v>
      </c>
      <c r="DH380" t="e">
        <f>'North America'!G1526+"n/&gt;!3A&lt;"</f>
        <v>#VALUE!</v>
      </c>
      <c r="DI380" t="e">
        <f>'North America'!H1526+"n/&gt;!3A="</f>
        <v>#VALUE!</v>
      </c>
      <c r="DJ380" t="e">
        <f>'North America'!I1526+"n/&gt;!3A&gt;"</f>
        <v>#VALUE!</v>
      </c>
      <c r="DK380" t="e">
        <f>'North America'!A1527+"n/&gt;!3A?"</f>
        <v>#VALUE!</v>
      </c>
      <c r="DL380" t="e">
        <f>'North America'!B1527+"n/&gt;!3A@"</f>
        <v>#VALUE!</v>
      </c>
      <c r="DM380" t="e">
        <f>'North America'!C1527+"n/&gt;!3AA"</f>
        <v>#VALUE!</v>
      </c>
      <c r="DN380" t="e">
        <f>'North America'!D1527+"n/&gt;!3AB"</f>
        <v>#VALUE!</v>
      </c>
      <c r="DO380" t="e">
        <f>'North America'!E1527+"n/&gt;!3AC"</f>
        <v>#VALUE!</v>
      </c>
      <c r="DP380" t="e">
        <f>'North America'!F1527+"n/&gt;!3AD"</f>
        <v>#VALUE!</v>
      </c>
      <c r="DQ380" t="e">
        <f>'North America'!G1527+"n/&gt;!3AE"</f>
        <v>#VALUE!</v>
      </c>
      <c r="DR380" t="e">
        <f>'North America'!H1527+"n/&gt;!3AF"</f>
        <v>#VALUE!</v>
      </c>
      <c r="DS380" t="e">
        <f>'North America'!I1527+"n/&gt;!3AG"</f>
        <v>#VALUE!</v>
      </c>
      <c r="DT380" t="e">
        <f>'North America'!A1528+"n/&gt;!3AH"</f>
        <v>#VALUE!</v>
      </c>
      <c r="DU380" t="e">
        <f>'North America'!B1528+"n/&gt;!3AI"</f>
        <v>#VALUE!</v>
      </c>
      <c r="DV380" t="e">
        <f>'North America'!C1528+"n/&gt;!3AJ"</f>
        <v>#VALUE!</v>
      </c>
      <c r="DW380" t="e">
        <f>'North America'!D1528+"n/&gt;!3AK"</f>
        <v>#VALUE!</v>
      </c>
      <c r="DX380" t="e">
        <f>'North America'!E1528+"n/&gt;!3AL"</f>
        <v>#VALUE!</v>
      </c>
      <c r="DY380" t="e">
        <f>'North America'!F1528+"n/&gt;!3AM"</f>
        <v>#VALUE!</v>
      </c>
      <c r="DZ380" t="e">
        <f>'North America'!G1528+"n/&gt;!3AN"</f>
        <v>#VALUE!</v>
      </c>
      <c r="EA380" t="e">
        <f>'North America'!H1528+"n/&gt;!3AO"</f>
        <v>#VALUE!</v>
      </c>
      <c r="EB380" t="e">
        <f>'North America'!I1528+"n/&gt;!3AP"</f>
        <v>#VALUE!</v>
      </c>
      <c r="EC380" t="e">
        <f>'North America'!A1529+"n/&gt;!3AQ"</f>
        <v>#VALUE!</v>
      </c>
      <c r="ED380" t="e">
        <f>'North America'!B1529+"n/&gt;!3AR"</f>
        <v>#VALUE!</v>
      </c>
      <c r="EE380" t="e">
        <f>'North America'!C1529+"n/&gt;!3AS"</f>
        <v>#VALUE!</v>
      </c>
      <c r="EF380" t="e">
        <f>'North America'!D1529+"n/&gt;!3AT"</f>
        <v>#VALUE!</v>
      </c>
      <c r="EG380" t="e">
        <f>'North America'!E1529+"n/&gt;!3AU"</f>
        <v>#VALUE!</v>
      </c>
      <c r="EH380" t="e">
        <f>'North America'!F1529+"n/&gt;!3AV"</f>
        <v>#VALUE!</v>
      </c>
      <c r="EI380" t="e">
        <f>'North America'!G1529+"n/&gt;!3AW"</f>
        <v>#VALUE!</v>
      </c>
      <c r="EJ380" t="e">
        <f>'North America'!H1529+"n/&gt;!3AX"</f>
        <v>#VALUE!</v>
      </c>
      <c r="EK380" t="e">
        <f>'North America'!I1529+"n/&gt;!3AY"</f>
        <v>#VALUE!</v>
      </c>
      <c r="EL380" t="e">
        <f>'North America'!A1530+"n/&gt;!3AZ"</f>
        <v>#VALUE!</v>
      </c>
      <c r="EM380" t="e">
        <f>'North America'!B1530+"n/&gt;!3A["</f>
        <v>#VALUE!</v>
      </c>
      <c r="EN380" t="e">
        <f>'North America'!C1530+"n/&gt;!3A\"</f>
        <v>#VALUE!</v>
      </c>
      <c r="EO380" t="e">
        <f>'North America'!D1530+"n/&gt;!3A]"</f>
        <v>#VALUE!</v>
      </c>
      <c r="EP380" t="e">
        <f>'North America'!E1530+"n/&gt;!3A^"</f>
        <v>#VALUE!</v>
      </c>
      <c r="EQ380" t="e">
        <f>'North America'!F1530+"n/&gt;!3A_"</f>
        <v>#VALUE!</v>
      </c>
      <c r="ER380" t="e">
        <f>'North America'!G1530+"n/&gt;!3A`"</f>
        <v>#VALUE!</v>
      </c>
      <c r="ES380" t="e">
        <f>'North America'!H1530+"n/&gt;!3Aa"</f>
        <v>#VALUE!</v>
      </c>
      <c r="ET380" t="e">
        <f>'North America'!I1530+"n/&gt;!3Ab"</f>
        <v>#VALUE!</v>
      </c>
      <c r="EU380" t="e">
        <f>'North America'!A1531+"n/&gt;!3Ac"</f>
        <v>#VALUE!</v>
      </c>
      <c r="EV380" t="e">
        <f>'North America'!B1531+"n/&gt;!3Ad"</f>
        <v>#VALUE!</v>
      </c>
      <c r="EW380" t="e">
        <f>'North America'!C1531+"n/&gt;!3Ae"</f>
        <v>#VALUE!</v>
      </c>
      <c r="EX380" t="e">
        <f>'North America'!D1531+"n/&gt;!3Af"</f>
        <v>#VALUE!</v>
      </c>
      <c r="EY380" t="e">
        <f>'North America'!E1531+"n/&gt;!3Ag"</f>
        <v>#VALUE!</v>
      </c>
      <c r="EZ380" t="e">
        <f>'North America'!F1531+"n/&gt;!3Ah"</f>
        <v>#VALUE!</v>
      </c>
      <c r="FA380" t="e">
        <f>'North America'!G1531+"n/&gt;!3Ai"</f>
        <v>#VALUE!</v>
      </c>
      <c r="FB380" t="e">
        <f>'North America'!H1531+"n/&gt;!3Aj"</f>
        <v>#VALUE!</v>
      </c>
      <c r="FC380" t="e">
        <f>'North America'!I1531+"n/&gt;!3Ak"</f>
        <v>#VALUE!</v>
      </c>
      <c r="FD380" t="e">
        <f>'North America'!A1532+"n/&gt;!3Al"</f>
        <v>#VALUE!</v>
      </c>
      <c r="FE380" t="e">
        <f>'North America'!B1532+"n/&gt;!3Am"</f>
        <v>#VALUE!</v>
      </c>
      <c r="FF380" t="e">
        <f>'North America'!C1532+"n/&gt;!3An"</f>
        <v>#VALUE!</v>
      </c>
      <c r="FG380" t="e">
        <f>'North America'!D1532+"n/&gt;!3Ao"</f>
        <v>#VALUE!</v>
      </c>
      <c r="FH380" t="e">
        <f>'North America'!E1532+"n/&gt;!3Ap"</f>
        <v>#VALUE!</v>
      </c>
      <c r="FI380" t="e">
        <f>'North America'!F1532+"n/&gt;!3Aq"</f>
        <v>#VALUE!</v>
      </c>
      <c r="FJ380" t="e">
        <f>'North America'!G1532+"n/&gt;!3Ar"</f>
        <v>#VALUE!</v>
      </c>
      <c r="FK380" t="e">
        <f>'North America'!H1532+"n/&gt;!3As"</f>
        <v>#VALUE!</v>
      </c>
      <c r="FL380" t="e">
        <f>'North America'!I1532+"n/&gt;!3At"</f>
        <v>#VALUE!</v>
      </c>
      <c r="FM380" t="e">
        <f>'North America'!A1533+"n/&gt;!3Au"</f>
        <v>#VALUE!</v>
      </c>
      <c r="FN380" t="e">
        <f>'North America'!B1533+"n/&gt;!3Av"</f>
        <v>#VALUE!</v>
      </c>
      <c r="FO380" t="e">
        <f>'North America'!C1533+"n/&gt;!3Aw"</f>
        <v>#VALUE!</v>
      </c>
      <c r="FP380" t="e">
        <f>'North America'!D1533+"n/&gt;!3Ax"</f>
        <v>#VALUE!</v>
      </c>
      <c r="FQ380" t="e">
        <f>'North America'!E1533+"n/&gt;!3Ay"</f>
        <v>#VALUE!</v>
      </c>
      <c r="FR380" t="e">
        <f>'North America'!F1533+"n/&gt;!3Az"</f>
        <v>#VALUE!</v>
      </c>
      <c r="FS380" t="e">
        <f>'North America'!G1533+"n/&gt;!3A{"</f>
        <v>#VALUE!</v>
      </c>
      <c r="FT380" t="e">
        <f>'North America'!H1533+"n/&gt;!3A|"</f>
        <v>#VALUE!</v>
      </c>
      <c r="FU380" t="e">
        <f>'North America'!I1533+"n/&gt;!3A}"</f>
        <v>#VALUE!</v>
      </c>
      <c r="FV380" t="e">
        <f>'North America'!A1534+"n/&gt;!3A~"</f>
        <v>#VALUE!</v>
      </c>
      <c r="FW380" t="e">
        <f>'North America'!B1534+"n/&gt;!3B#"</f>
        <v>#VALUE!</v>
      </c>
      <c r="FX380" t="e">
        <f>'North America'!C1534+"n/&gt;!3B$"</f>
        <v>#VALUE!</v>
      </c>
      <c r="FY380" t="e">
        <f>'North America'!D1534+"n/&gt;!3B%"</f>
        <v>#VALUE!</v>
      </c>
      <c r="FZ380" t="e">
        <f>'North America'!E1534+"n/&gt;!3B&amp;"</f>
        <v>#VALUE!</v>
      </c>
      <c r="GA380" t="e">
        <f>'North America'!F1534+"n/&gt;!3B'"</f>
        <v>#VALUE!</v>
      </c>
      <c r="GB380" t="e">
        <f>'North America'!G1534+"n/&gt;!3B("</f>
        <v>#VALUE!</v>
      </c>
      <c r="GC380" t="e">
        <f>'North America'!H1534+"n/&gt;!3B)"</f>
        <v>#VALUE!</v>
      </c>
      <c r="GD380" t="e">
        <f>'North America'!I1534+"n/&gt;!3B."</f>
        <v>#VALUE!</v>
      </c>
      <c r="GE380" t="e">
        <f>'North America'!A1535+"n/&gt;!3B/"</f>
        <v>#VALUE!</v>
      </c>
      <c r="GF380" t="e">
        <f>'North America'!B1535+"n/&gt;!3B0"</f>
        <v>#VALUE!</v>
      </c>
      <c r="GG380" t="e">
        <f>'North America'!C1535+"n/&gt;!3B1"</f>
        <v>#VALUE!</v>
      </c>
      <c r="GH380" t="e">
        <f>'North America'!D1535+"n/&gt;!3B2"</f>
        <v>#VALUE!</v>
      </c>
      <c r="GI380" t="e">
        <f>'North America'!E1535+"n/&gt;!3B3"</f>
        <v>#VALUE!</v>
      </c>
      <c r="GJ380" t="e">
        <f>'North America'!F1535+"n/&gt;!3B4"</f>
        <v>#VALUE!</v>
      </c>
      <c r="GK380" t="e">
        <f>'North America'!G1535+"n/&gt;!3B5"</f>
        <v>#VALUE!</v>
      </c>
      <c r="GL380" t="e">
        <f>'North America'!H1535+"n/&gt;!3B6"</f>
        <v>#VALUE!</v>
      </c>
      <c r="GM380" t="e">
        <f>'North America'!I1535+"n/&gt;!3B7"</f>
        <v>#VALUE!</v>
      </c>
      <c r="GN380" t="e">
        <f>'North America'!A1536+"n/&gt;!3B8"</f>
        <v>#VALUE!</v>
      </c>
      <c r="GO380" t="e">
        <f>'North America'!B1536+"n/&gt;!3B9"</f>
        <v>#VALUE!</v>
      </c>
      <c r="GP380" t="e">
        <f>'North America'!C1536+"n/&gt;!3B:"</f>
        <v>#VALUE!</v>
      </c>
      <c r="GQ380" t="e">
        <f>'North America'!D1536+"n/&gt;!3B;"</f>
        <v>#VALUE!</v>
      </c>
      <c r="GR380" t="e">
        <f>'North America'!E1536+"n/&gt;!3B&lt;"</f>
        <v>#VALUE!</v>
      </c>
      <c r="GS380" t="e">
        <f>'North America'!F1536+"n/&gt;!3B="</f>
        <v>#VALUE!</v>
      </c>
      <c r="GT380" t="e">
        <f>'North America'!G1536+"n/&gt;!3B&gt;"</f>
        <v>#VALUE!</v>
      </c>
      <c r="GU380" t="e">
        <f>'North America'!H1536+"n/&gt;!3B?"</f>
        <v>#VALUE!</v>
      </c>
      <c r="GV380" t="e">
        <f>'North America'!I1536+"n/&gt;!3B@"</f>
        <v>#VALUE!</v>
      </c>
      <c r="GW380" t="e">
        <f>'North America'!A1537+"n/&gt;!3BA"</f>
        <v>#VALUE!</v>
      </c>
      <c r="GX380" t="e">
        <f>'North America'!B1537+"n/&gt;!3BB"</f>
        <v>#VALUE!</v>
      </c>
      <c r="GY380" t="e">
        <f>'North America'!C1537+"n/&gt;!3BC"</f>
        <v>#VALUE!</v>
      </c>
      <c r="GZ380" t="e">
        <f>'North America'!D1537+"n/&gt;!3BD"</f>
        <v>#VALUE!</v>
      </c>
      <c r="HA380" t="e">
        <f>'North America'!E1537+"n/&gt;!3BE"</f>
        <v>#VALUE!</v>
      </c>
      <c r="HB380" t="e">
        <f>'North America'!F1537+"n/&gt;!3BF"</f>
        <v>#VALUE!</v>
      </c>
      <c r="HC380" t="e">
        <f>'North America'!G1537+"n/&gt;!3BG"</f>
        <v>#VALUE!</v>
      </c>
      <c r="HD380" t="e">
        <f>'North America'!H1537+"n/&gt;!3BH"</f>
        <v>#VALUE!</v>
      </c>
      <c r="HE380" t="e">
        <f>'North America'!I1537+"n/&gt;!3BI"</f>
        <v>#VALUE!</v>
      </c>
      <c r="HF380" t="e">
        <f>'North America'!A1538+"n/&gt;!3BJ"</f>
        <v>#VALUE!</v>
      </c>
      <c r="HG380" t="e">
        <f>'North America'!B1538+"n/&gt;!3BK"</f>
        <v>#VALUE!</v>
      </c>
      <c r="HH380" t="e">
        <f>'North America'!C1538+"n/&gt;!3BL"</f>
        <v>#VALUE!</v>
      </c>
      <c r="HI380" t="e">
        <f>'North America'!D1538+"n/&gt;!3BM"</f>
        <v>#VALUE!</v>
      </c>
      <c r="HJ380" t="e">
        <f>'North America'!E1538+"n/&gt;!3BN"</f>
        <v>#VALUE!</v>
      </c>
      <c r="HK380" t="e">
        <f>'North America'!F1538+"n/&gt;!3BO"</f>
        <v>#VALUE!</v>
      </c>
      <c r="HL380" t="e">
        <f>'North America'!G1538+"n/&gt;!3BP"</f>
        <v>#VALUE!</v>
      </c>
      <c r="HM380" t="e">
        <f>'North America'!H1538+"n/&gt;!3BQ"</f>
        <v>#VALUE!</v>
      </c>
      <c r="HN380" t="e">
        <f>'North America'!I1538+"n/&gt;!3BR"</f>
        <v>#VALUE!</v>
      </c>
      <c r="HO380" t="e">
        <f>'North America'!A1539+"n/&gt;!3BS"</f>
        <v>#VALUE!</v>
      </c>
      <c r="HP380" t="e">
        <f>'North America'!B1539+"n/&gt;!3BT"</f>
        <v>#VALUE!</v>
      </c>
      <c r="HQ380" t="e">
        <f>'North America'!C1539+"n/&gt;!3BU"</f>
        <v>#VALUE!</v>
      </c>
      <c r="HR380" t="e">
        <f>'North America'!D1539+"n/&gt;!3BV"</f>
        <v>#VALUE!</v>
      </c>
      <c r="HS380" t="e">
        <f>'North America'!E1539+"n/&gt;!3BW"</f>
        <v>#VALUE!</v>
      </c>
      <c r="HT380" t="e">
        <f>'North America'!F1539+"n/&gt;!3BX"</f>
        <v>#VALUE!</v>
      </c>
      <c r="HU380" t="e">
        <f>'North America'!G1539+"n/&gt;!3BY"</f>
        <v>#VALUE!</v>
      </c>
      <c r="HV380" t="e">
        <f>'North America'!H1539+"n/&gt;!3BZ"</f>
        <v>#VALUE!</v>
      </c>
      <c r="HW380" t="e">
        <f>'North America'!I1539+"n/&gt;!3B["</f>
        <v>#VALUE!</v>
      </c>
      <c r="HX380" t="e">
        <f>'North America'!A1540+"n/&gt;!3B\"</f>
        <v>#VALUE!</v>
      </c>
      <c r="HY380" t="e">
        <f>'North America'!B1540+"n/&gt;!3B]"</f>
        <v>#VALUE!</v>
      </c>
      <c r="HZ380" t="e">
        <f>'North America'!C1540+"n/&gt;!3B^"</f>
        <v>#VALUE!</v>
      </c>
      <c r="IA380" t="e">
        <f>'North America'!D1540+"n/&gt;!3B_"</f>
        <v>#VALUE!</v>
      </c>
      <c r="IB380" t="e">
        <f>'North America'!E1540+"n/&gt;!3B`"</f>
        <v>#VALUE!</v>
      </c>
      <c r="IC380" t="e">
        <f>'North America'!F1540+"n/&gt;!3Ba"</f>
        <v>#VALUE!</v>
      </c>
      <c r="ID380" t="e">
        <f>'North America'!G1540+"n/&gt;!3Bb"</f>
        <v>#VALUE!</v>
      </c>
      <c r="IE380" t="e">
        <f>'North America'!H1540+"n/&gt;!3Bc"</f>
        <v>#VALUE!</v>
      </c>
      <c r="IF380" t="e">
        <f>'North America'!I1540+"n/&gt;!3Bd"</f>
        <v>#VALUE!</v>
      </c>
      <c r="IG380" t="e">
        <f>'North America'!A1541+"n/&gt;!3Be"</f>
        <v>#VALUE!</v>
      </c>
      <c r="IH380" t="e">
        <f>'North America'!B1541+"n/&gt;!3Bf"</f>
        <v>#VALUE!</v>
      </c>
      <c r="II380" t="e">
        <f>'North America'!C1541+"n/&gt;!3Bg"</f>
        <v>#VALUE!</v>
      </c>
      <c r="IJ380" t="e">
        <f>'North America'!D1541+"n/&gt;!3Bh"</f>
        <v>#VALUE!</v>
      </c>
      <c r="IK380" t="e">
        <f>'North America'!E1541+"n/&gt;!3Bi"</f>
        <v>#VALUE!</v>
      </c>
      <c r="IL380" t="e">
        <f>'North America'!F1541+"n/&gt;!3Bj"</f>
        <v>#VALUE!</v>
      </c>
      <c r="IM380" t="e">
        <f>'North America'!G1541+"n/&gt;!3Bk"</f>
        <v>#VALUE!</v>
      </c>
      <c r="IN380" t="e">
        <f>'North America'!H1541+"n/&gt;!3Bl"</f>
        <v>#VALUE!</v>
      </c>
      <c r="IO380" t="e">
        <f>'North America'!I1541+"n/&gt;!3Bm"</f>
        <v>#VALUE!</v>
      </c>
      <c r="IP380" t="e">
        <f>'North America'!A1542+"n/&gt;!3Bn"</f>
        <v>#VALUE!</v>
      </c>
      <c r="IQ380" t="e">
        <f>'North America'!B1542+"n/&gt;!3Bo"</f>
        <v>#VALUE!</v>
      </c>
      <c r="IR380" t="e">
        <f>'North America'!C1542+"n/&gt;!3Bp"</f>
        <v>#VALUE!</v>
      </c>
      <c r="IS380" t="e">
        <f>'North America'!D1542+"n/&gt;!3Bq"</f>
        <v>#VALUE!</v>
      </c>
      <c r="IT380" t="e">
        <f>'North America'!E1542+"n/&gt;!3Br"</f>
        <v>#VALUE!</v>
      </c>
      <c r="IU380" t="e">
        <f>'North America'!F1542+"n/&gt;!3Bs"</f>
        <v>#VALUE!</v>
      </c>
      <c r="IV380" t="e">
        <f>'North America'!G1542+"n/&gt;!3Bt"</f>
        <v>#VALUE!</v>
      </c>
    </row>
    <row r="381" spans="6:256" x14ac:dyDescent="0.35">
      <c r="F381" t="e">
        <f>'North America'!H1542+"n/&gt;!3Bu"</f>
        <v>#VALUE!</v>
      </c>
      <c r="G381" t="e">
        <f>'North America'!I1542+"n/&gt;!3Bv"</f>
        <v>#VALUE!</v>
      </c>
      <c r="H381" t="e">
        <f>'North America'!A1543+"n/&gt;!3Bw"</f>
        <v>#VALUE!</v>
      </c>
      <c r="I381" t="e">
        <f>'North America'!B1543+"n/&gt;!3Bx"</f>
        <v>#VALUE!</v>
      </c>
      <c r="J381" t="e">
        <f>'North America'!C1543+"n/&gt;!3By"</f>
        <v>#VALUE!</v>
      </c>
      <c r="K381" t="e">
        <f>'North America'!D1543+"n/&gt;!3Bz"</f>
        <v>#VALUE!</v>
      </c>
      <c r="L381" t="e">
        <f>'North America'!E1543+"n/&gt;!3B{"</f>
        <v>#VALUE!</v>
      </c>
      <c r="M381" t="e">
        <f>'North America'!F1543+"n/&gt;!3B|"</f>
        <v>#VALUE!</v>
      </c>
      <c r="N381" t="e">
        <f>'North America'!G1543+"n/&gt;!3B}"</f>
        <v>#VALUE!</v>
      </c>
      <c r="O381" t="e">
        <f>'North America'!H1543+"n/&gt;!3B~"</f>
        <v>#VALUE!</v>
      </c>
      <c r="P381" t="e">
        <f>'North America'!I1543+"n/&gt;!3C#"</f>
        <v>#VALUE!</v>
      </c>
      <c r="Q381" t="e">
        <f>'North America'!A1544+"n/&gt;!3C$"</f>
        <v>#VALUE!</v>
      </c>
      <c r="R381" t="e">
        <f>'North America'!B1544+"n/&gt;!3C%"</f>
        <v>#VALUE!</v>
      </c>
      <c r="S381" t="e">
        <f>'North America'!C1544+"n/&gt;!3C&amp;"</f>
        <v>#VALUE!</v>
      </c>
      <c r="T381" t="e">
        <f>'North America'!D1544+"n/&gt;!3C'"</f>
        <v>#VALUE!</v>
      </c>
      <c r="U381" t="e">
        <f>'North America'!E1544+"n/&gt;!3C("</f>
        <v>#VALUE!</v>
      </c>
      <c r="V381" t="e">
        <f>'North America'!F1544+"n/&gt;!3C)"</f>
        <v>#VALUE!</v>
      </c>
      <c r="W381" t="e">
        <f>'North America'!G1544+"n/&gt;!3C."</f>
        <v>#VALUE!</v>
      </c>
      <c r="X381" t="e">
        <f>'North America'!H1544+"n/&gt;!3C/"</f>
        <v>#VALUE!</v>
      </c>
      <c r="Y381" t="e">
        <f>'North America'!I1544+"n/&gt;!3C0"</f>
        <v>#VALUE!</v>
      </c>
      <c r="Z381" t="e">
        <f>'North America'!A1545+"n/&gt;!3C1"</f>
        <v>#VALUE!</v>
      </c>
      <c r="AA381" t="e">
        <f>'North America'!B1545+"n/&gt;!3C2"</f>
        <v>#VALUE!</v>
      </c>
      <c r="AB381" t="e">
        <f>'North America'!C1545+"n/&gt;!3C3"</f>
        <v>#VALUE!</v>
      </c>
      <c r="AC381" t="e">
        <f>'North America'!D1545+"n/&gt;!3C4"</f>
        <v>#VALUE!</v>
      </c>
      <c r="AD381" t="e">
        <f>'North America'!E1545+"n/&gt;!3C5"</f>
        <v>#VALUE!</v>
      </c>
      <c r="AE381" t="e">
        <f>'North America'!F1545+"n/&gt;!3C6"</f>
        <v>#VALUE!</v>
      </c>
      <c r="AF381" t="e">
        <f>'North America'!G1545+"n/&gt;!3C7"</f>
        <v>#VALUE!</v>
      </c>
      <c r="AG381" t="e">
        <f>'North America'!H1545+"n/&gt;!3C8"</f>
        <v>#VALUE!</v>
      </c>
      <c r="AH381" t="e">
        <f>'North America'!I1545+"n/&gt;!3C9"</f>
        <v>#VALUE!</v>
      </c>
      <c r="AI381" t="e">
        <f>'North America'!A1546+"n/&gt;!3C:"</f>
        <v>#VALUE!</v>
      </c>
      <c r="AJ381" t="e">
        <f>'North America'!B1546+"n/&gt;!3C;"</f>
        <v>#VALUE!</v>
      </c>
      <c r="AK381" t="e">
        <f>'North America'!C1546+"n/&gt;!3C&lt;"</f>
        <v>#VALUE!</v>
      </c>
      <c r="AL381" t="e">
        <f>'North America'!D1546+"n/&gt;!3C="</f>
        <v>#VALUE!</v>
      </c>
      <c r="AM381" t="e">
        <f>'North America'!E1546+"n/&gt;!3C&gt;"</f>
        <v>#VALUE!</v>
      </c>
      <c r="AN381" t="e">
        <f>'North America'!F1546+"n/&gt;!3C?"</f>
        <v>#VALUE!</v>
      </c>
      <c r="AO381" t="e">
        <f>'North America'!G1546+"n/&gt;!3C@"</f>
        <v>#VALUE!</v>
      </c>
      <c r="AP381" t="e">
        <f>'North America'!H1546+"n/&gt;!3CA"</f>
        <v>#VALUE!</v>
      </c>
      <c r="AQ381" t="e">
        <f>'North America'!I1546+"n/&gt;!3CB"</f>
        <v>#VALUE!</v>
      </c>
      <c r="AR381" t="e">
        <f>'North America'!A1547+"n/&gt;!3CC"</f>
        <v>#VALUE!</v>
      </c>
      <c r="AS381" t="e">
        <f>'North America'!B1547+"n/&gt;!3CD"</f>
        <v>#VALUE!</v>
      </c>
      <c r="AT381" t="e">
        <f>'North America'!C1547+"n/&gt;!3CE"</f>
        <v>#VALUE!</v>
      </c>
      <c r="AU381" t="e">
        <f>'North America'!D1547+"n/&gt;!3CF"</f>
        <v>#VALUE!</v>
      </c>
      <c r="AV381" t="e">
        <f>'North America'!E1547+"n/&gt;!3CG"</f>
        <v>#VALUE!</v>
      </c>
      <c r="AW381" t="e">
        <f>'North America'!F1547+"n/&gt;!3CH"</f>
        <v>#VALUE!</v>
      </c>
      <c r="AX381" t="e">
        <f>'North America'!G1547+"n/&gt;!3CI"</f>
        <v>#VALUE!</v>
      </c>
      <c r="AY381" t="e">
        <f>'North America'!H1547+"n/&gt;!3CJ"</f>
        <v>#VALUE!</v>
      </c>
      <c r="AZ381" t="e">
        <f>'North America'!I1547+"n/&gt;!3CK"</f>
        <v>#VALUE!</v>
      </c>
      <c r="BA381" t="e">
        <f>'North America'!A1548+"n/&gt;!3CL"</f>
        <v>#VALUE!</v>
      </c>
      <c r="BB381" t="e">
        <f>'North America'!B1548+"n/&gt;!3CM"</f>
        <v>#VALUE!</v>
      </c>
      <c r="BC381" t="e">
        <f>'North America'!C1548+"n/&gt;!3CN"</f>
        <v>#VALUE!</v>
      </c>
      <c r="BD381" t="e">
        <f>'North America'!D1548+"n/&gt;!3CO"</f>
        <v>#VALUE!</v>
      </c>
      <c r="BE381" t="e">
        <f>'North America'!E1548+"n/&gt;!3CP"</f>
        <v>#VALUE!</v>
      </c>
      <c r="BF381" t="e">
        <f>'North America'!F1548+"n/&gt;!3CQ"</f>
        <v>#VALUE!</v>
      </c>
      <c r="BG381" t="e">
        <f>'North America'!G1548+"n/&gt;!3CR"</f>
        <v>#VALUE!</v>
      </c>
      <c r="BH381" t="e">
        <f>'North America'!H1548+"n/&gt;!3CS"</f>
        <v>#VALUE!</v>
      </c>
      <c r="BI381" t="e">
        <f>'North America'!I1548+"n/&gt;!3CT"</f>
        <v>#VALUE!</v>
      </c>
      <c r="BJ381" t="e">
        <f>'North America'!A1549+"n/&gt;!3CU"</f>
        <v>#VALUE!</v>
      </c>
      <c r="BK381" t="e">
        <f>'North America'!B1549+"n/&gt;!3CV"</f>
        <v>#VALUE!</v>
      </c>
      <c r="BL381" t="e">
        <f>'North America'!C1549+"n/&gt;!3CW"</f>
        <v>#VALUE!</v>
      </c>
      <c r="BM381" t="e">
        <f>'North America'!D1549+"n/&gt;!3CX"</f>
        <v>#VALUE!</v>
      </c>
      <c r="BN381" t="e">
        <f>'North America'!E1549+"n/&gt;!3CY"</f>
        <v>#VALUE!</v>
      </c>
      <c r="BO381" t="e">
        <f>'North America'!F1549+"n/&gt;!3CZ"</f>
        <v>#VALUE!</v>
      </c>
      <c r="BP381" t="e">
        <f>'North America'!G1549+"n/&gt;!3C["</f>
        <v>#VALUE!</v>
      </c>
      <c r="BQ381" t="e">
        <f>'North America'!H1549+"n/&gt;!3C\"</f>
        <v>#VALUE!</v>
      </c>
      <c r="BR381" t="e">
        <f>'North America'!I1549+"n/&gt;!3C]"</f>
        <v>#VALUE!</v>
      </c>
      <c r="BS381" t="e">
        <f>'North America'!A1550+"n/&gt;!3C^"</f>
        <v>#VALUE!</v>
      </c>
      <c r="BT381" t="e">
        <f>'North America'!B1550+"n/&gt;!3C_"</f>
        <v>#VALUE!</v>
      </c>
      <c r="BU381" t="e">
        <f>'North America'!C1550+"n/&gt;!3C`"</f>
        <v>#VALUE!</v>
      </c>
      <c r="BV381" t="e">
        <f>'North America'!D1550+"n/&gt;!3Ca"</f>
        <v>#VALUE!</v>
      </c>
      <c r="BW381" t="e">
        <f>'North America'!E1550+"n/&gt;!3Cb"</f>
        <v>#VALUE!</v>
      </c>
      <c r="BX381" t="e">
        <f>'North America'!F1550+"n/&gt;!3Cc"</f>
        <v>#VALUE!</v>
      </c>
      <c r="BY381" t="e">
        <f>'North America'!G1550+"n/&gt;!3Cd"</f>
        <v>#VALUE!</v>
      </c>
      <c r="BZ381" t="e">
        <f>'North America'!H1550+"n/&gt;!3Ce"</f>
        <v>#VALUE!</v>
      </c>
      <c r="CA381" t="e">
        <f>'North America'!I1550+"n/&gt;!3Cf"</f>
        <v>#VALUE!</v>
      </c>
      <c r="CB381" t="e">
        <f>'North America'!A1551+"n/&gt;!3Cg"</f>
        <v>#VALUE!</v>
      </c>
      <c r="CC381" t="e">
        <f>'North America'!B1551+"n/&gt;!3Ch"</f>
        <v>#VALUE!</v>
      </c>
      <c r="CD381" t="e">
        <f>'North America'!C1551+"n/&gt;!3Ci"</f>
        <v>#VALUE!</v>
      </c>
      <c r="CE381" t="e">
        <f>'North America'!D1551+"n/&gt;!3Cj"</f>
        <v>#VALUE!</v>
      </c>
      <c r="CF381" t="e">
        <f>'North America'!E1551+"n/&gt;!3Ck"</f>
        <v>#VALUE!</v>
      </c>
      <c r="CG381" t="e">
        <f>'North America'!F1551+"n/&gt;!3Cl"</f>
        <v>#VALUE!</v>
      </c>
      <c r="CH381" t="e">
        <f>'North America'!G1551+"n/&gt;!3Cm"</f>
        <v>#VALUE!</v>
      </c>
      <c r="CI381" t="e">
        <f>'North America'!H1551+"n/&gt;!3Cn"</f>
        <v>#VALUE!</v>
      </c>
      <c r="CJ381" t="e">
        <f>'North America'!I1551+"n/&gt;!3Co"</f>
        <v>#VALUE!</v>
      </c>
      <c r="CK381" t="e">
        <f>'North America'!A1552+"n/&gt;!3Cp"</f>
        <v>#VALUE!</v>
      </c>
      <c r="CL381" t="e">
        <f>'North America'!B1552+"n/&gt;!3Cq"</f>
        <v>#VALUE!</v>
      </c>
      <c r="CM381" t="e">
        <f>'North America'!C1552+"n/&gt;!3Cr"</f>
        <v>#VALUE!</v>
      </c>
      <c r="CN381" t="e">
        <f>'North America'!D1552+"n/&gt;!3Cs"</f>
        <v>#VALUE!</v>
      </c>
      <c r="CO381" t="e">
        <f>'North America'!E1552+"n/&gt;!3Ct"</f>
        <v>#VALUE!</v>
      </c>
      <c r="CP381" t="e">
        <f>'North America'!F1552+"n/&gt;!3Cu"</f>
        <v>#VALUE!</v>
      </c>
      <c r="CQ381" t="e">
        <f>'North America'!G1552+"n/&gt;!3Cv"</f>
        <v>#VALUE!</v>
      </c>
      <c r="CR381" t="e">
        <f>'North America'!H1552+"n/&gt;!3Cw"</f>
        <v>#VALUE!</v>
      </c>
      <c r="CS381" t="e">
        <f>'North America'!I1552+"n/&gt;!3Cx"</f>
        <v>#VALUE!</v>
      </c>
      <c r="CT381" t="e">
        <f>'North America'!A1553+"n/&gt;!3Cy"</f>
        <v>#VALUE!</v>
      </c>
      <c r="CU381" t="e">
        <f>'North America'!B1553+"n/&gt;!3Cz"</f>
        <v>#VALUE!</v>
      </c>
      <c r="CV381" t="e">
        <f>'North America'!C1553+"n/&gt;!3C{"</f>
        <v>#VALUE!</v>
      </c>
      <c r="CW381" t="e">
        <f>'North America'!D1553+"n/&gt;!3C|"</f>
        <v>#VALUE!</v>
      </c>
      <c r="CX381" t="e">
        <f>'North America'!E1553+"n/&gt;!3C}"</f>
        <v>#VALUE!</v>
      </c>
      <c r="CY381" t="e">
        <f>'North America'!F1553+"n/&gt;!3C~"</f>
        <v>#VALUE!</v>
      </c>
      <c r="CZ381" t="e">
        <f>'North America'!G1553+"n/&gt;!3D#"</f>
        <v>#VALUE!</v>
      </c>
      <c r="DA381" t="e">
        <f>'North America'!H1553+"n/&gt;!3D$"</f>
        <v>#VALUE!</v>
      </c>
      <c r="DB381" t="e">
        <f>'North America'!I1553+"n/&gt;!3D%"</f>
        <v>#VALUE!</v>
      </c>
      <c r="DC381" t="e">
        <f>'North America'!A1554+"n/&gt;!3D&amp;"</f>
        <v>#VALUE!</v>
      </c>
      <c r="DD381" t="e">
        <f>'North America'!B1554+"n/&gt;!3D'"</f>
        <v>#VALUE!</v>
      </c>
      <c r="DE381" t="e">
        <f>'North America'!C1554+"n/&gt;!3D("</f>
        <v>#VALUE!</v>
      </c>
      <c r="DF381" t="e">
        <f>'North America'!D1554+"n/&gt;!3D)"</f>
        <v>#VALUE!</v>
      </c>
      <c r="DG381" t="e">
        <f>'North America'!E1554+"n/&gt;!3D."</f>
        <v>#VALUE!</v>
      </c>
      <c r="DH381" t="e">
        <f>'North America'!F1554+"n/&gt;!3D/"</f>
        <v>#VALUE!</v>
      </c>
      <c r="DI381" t="e">
        <f>'North America'!G1554+"n/&gt;!3D0"</f>
        <v>#VALUE!</v>
      </c>
      <c r="DJ381" t="e">
        <f>'North America'!H1554+"n/&gt;!3D1"</f>
        <v>#VALUE!</v>
      </c>
      <c r="DK381" t="e">
        <f>'North America'!I1554+"n/&gt;!3D2"</f>
        <v>#VALUE!</v>
      </c>
      <c r="DL381" t="e">
        <f>'North America'!A1555+"n/&gt;!3D3"</f>
        <v>#VALUE!</v>
      </c>
      <c r="DM381" t="e">
        <f>'North America'!B1555+"n/&gt;!3D4"</f>
        <v>#VALUE!</v>
      </c>
      <c r="DN381" t="e">
        <f>'North America'!C1555+"n/&gt;!3D5"</f>
        <v>#VALUE!</v>
      </c>
      <c r="DO381" t="e">
        <f>'North America'!D1555+"n/&gt;!3D6"</f>
        <v>#VALUE!</v>
      </c>
      <c r="DP381" t="e">
        <f>'North America'!E1555+"n/&gt;!3D7"</f>
        <v>#VALUE!</v>
      </c>
      <c r="DQ381" t="e">
        <f>'North America'!F1555+"n/&gt;!3D8"</f>
        <v>#VALUE!</v>
      </c>
      <c r="DR381" t="e">
        <f>'North America'!G1555+"n/&gt;!3D9"</f>
        <v>#VALUE!</v>
      </c>
      <c r="DS381" t="e">
        <f>'North America'!H1555+"n/&gt;!3D:"</f>
        <v>#VALUE!</v>
      </c>
      <c r="DT381" t="e">
        <f>'North America'!I1555+"n/&gt;!3D;"</f>
        <v>#VALUE!</v>
      </c>
      <c r="DU381" t="e">
        <f>'North America'!A1556+"n/&gt;!3D&lt;"</f>
        <v>#VALUE!</v>
      </c>
      <c r="DV381" t="e">
        <f>'North America'!B1556+"n/&gt;!3D="</f>
        <v>#VALUE!</v>
      </c>
      <c r="DW381" t="e">
        <f>'North America'!C1556+"n/&gt;!3D&gt;"</f>
        <v>#VALUE!</v>
      </c>
      <c r="DX381" t="e">
        <f>'North America'!D1556+"n/&gt;!3D?"</f>
        <v>#VALUE!</v>
      </c>
      <c r="DY381" t="e">
        <f>'North America'!E1556+"n/&gt;!3D@"</f>
        <v>#VALUE!</v>
      </c>
      <c r="DZ381" t="e">
        <f>'North America'!F1556+"n/&gt;!3DA"</f>
        <v>#VALUE!</v>
      </c>
      <c r="EA381" t="e">
        <f>'North America'!G1556+"n/&gt;!3DB"</f>
        <v>#VALUE!</v>
      </c>
      <c r="EB381" t="e">
        <f>'North America'!H1556+"n/&gt;!3DC"</f>
        <v>#VALUE!</v>
      </c>
      <c r="EC381" t="e">
        <f>'North America'!I1556+"n/&gt;!3DD"</f>
        <v>#VALUE!</v>
      </c>
      <c r="ED381" t="e">
        <f>'North America'!A1557+"n/&gt;!3DE"</f>
        <v>#VALUE!</v>
      </c>
      <c r="EE381" t="e">
        <f>'North America'!B1557+"n/&gt;!3DF"</f>
        <v>#VALUE!</v>
      </c>
      <c r="EF381" t="e">
        <f>'North America'!C1557+"n/&gt;!3DG"</f>
        <v>#VALUE!</v>
      </c>
      <c r="EG381" t="e">
        <f>'North America'!D1557+"n/&gt;!3DH"</f>
        <v>#VALUE!</v>
      </c>
      <c r="EH381" t="e">
        <f>'North America'!E1557+"n/&gt;!3DI"</f>
        <v>#VALUE!</v>
      </c>
      <c r="EI381" t="e">
        <f>'North America'!F1557+"n/&gt;!3DJ"</f>
        <v>#VALUE!</v>
      </c>
      <c r="EJ381" t="e">
        <f>'North America'!G1557+"n/&gt;!3DK"</f>
        <v>#VALUE!</v>
      </c>
      <c r="EK381" t="e">
        <f>'North America'!H1557+"n/&gt;!3DL"</f>
        <v>#VALUE!</v>
      </c>
      <c r="EL381" t="e">
        <f>'North America'!I1557+"n/&gt;!3DM"</f>
        <v>#VALUE!</v>
      </c>
      <c r="EM381" t="e">
        <f>'North America'!A1558+"n/&gt;!3DN"</f>
        <v>#VALUE!</v>
      </c>
      <c r="EN381" t="e">
        <f>'North America'!B1558+"n/&gt;!3DO"</f>
        <v>#VALUE!</v>
      </c>
      <c r="EO381" t="e">
        <f>'North America'!C1558+"n/&gt;!3DP"</f>
        <v>#VALUE!</v>
      </c>
      <c r="EP381" t="e">
        <f>'North America'!D1558+"n/&gt;!3DQ"</f>
        <v>#VALUE!</v>
      </c>
      <c r="EQ381" t="e">
        <f>'North America'!E1558+"n/&gt;!3DR"</f>
        <v>#VALUE!</v>
      </c>
      <c r="ER381" t="e">
        <f>'North America'!F1558+"n/&gt;!3DS"</f>
        <v>#VALUE!</v>
      </c>
      <c r="ES381" t="e">
        <f>'North America'!G1558+"n/&gt;!3DT"</f>
        <v>#VALUE!</v>
      </c>
      <c r="ET381" t="e">
        <f>'North America'!H1558+"n/&gt;!3DU"</f>
        <v>#VALUE!</v>
      </c>
      <c r="EU381" t="e">
        <f>'North America'!I1558+"n/&gt;!3DV"</f>
        <v>#VALUE!</v>
      </c>
      <c r="EV381" t="e">
        <f>'North America'!A1559+"n/&gt;!3DW"</f>
        <v>#VALUE!</v>
      </c>
      <c r="EW381" t="e">
        <f>'North America'!B1559+"n/&gt;!3DX"</f>
        <v>#VALUE!</v>
      </c>
      <c r="EX381" t="e">
        <f>'North America'!C1559+"n/&gt;!3DY"</f>
        <v>#VALUE!</v>
      </c>
      <c r="EY381" t="e">
        <f>'North America'!D1559+"n/&gt;!3DZ"</f>
        <v>#VALUE!</v>
      </c>
      <c r="EZ381" t="e">
        <f>'North America'!E1559+"n/&gt;!3D["</f>
        <v>#VALUE!</v>
      </c>
      <c r="FA381" t="e">
        <f>'North America'!F1559+"n/&gt;!3D\"</f>
        <v>#VALUE!</v>
      </c>
      <c r="FB381" t="e">
        <f>'North America'!G1559+"n/&gt;!3D]"</f>
        <v>#VALUE!</v>
      </c>
      <c r="FC381" t="e">
        <f>'North America'!H1559+"n/&gt;!3D^"</f>
        <v>#VALUE!</v>
      </c>
      <c r="FD381" t="e">
        <f>'North America'!I1559+"n/&gt;!3D_"</f>
        <v>#VALUE!</v>
      </c>
      <c r="FE381" t="e">
        <f>'North America'!A1560+"n/&gt;!3D`"</f>
        <v>#VALUE!</v>
      </c>
      <c r="FF381" t="e">
        <f>'North America'!B1560+"n/&gt;!3Da"</f>
        <v>#VALUE!</v>
      </c>
      <c r="FG381" t="e">
        <f>'North America'!C1560+"n/&gt;!3Db"</f>
        <v>#VALUE!</v>
      </c>
      <c r="FH381" t="e">
        <f>'North America'!D1560+"n/&gt;!3Dc"</f>
        <v>#VALUE!</v>
      </c>
      <c r="FI381" t="e">
        <f>'North America'!E1560+"n/&gt;!3Dd"</f>
        <v>#VALUE!</v>
      </c>
      <c r="FJ381" t="e">
        <f>'North America'!F1560+"n/&gt;!3De"</f>
        <v>#VALUE!</v>
      </c>
      <c r="FK381" t="e">
        <f>'North America'!G1560+"n/&gt;!3Df"</f>
        <v>#VALUE!</v>
      </c>
      <c r="FL381" t="e">
        <f>'North America'!H1560+"n/&gt;!3Dg"</f>
        <v>#VALUE!</v>
      </c>
      <c r="FM381" t="e">
        <f>'North America'!I1560+"n/&gt;!3Dh"</f>
        <v>#VALUE!</v>
      </c>
      <c r="FN381" t="e">
        <f>'North America'!A1561+"n/&gt;!3Di"</f>
        <v>#VALUE!</v>
      </c>
      <c r="FO381" t="e">
        <f>'North America'!B1561+"n/&gt;!3Dj"</f>
        <v>#VALUE!</v>
      </c>
      <c r="FP381" t="e">
        <f>'North America'!C1561+"n/&gt;!3Dk"</f>
        <v>#VALUE!</v>
      </c>
      <c r="FQ381" t="e">
        <f>'North America'!D1561+"n/&gt;!3Dl"</f>
        <v>#VALUE!</v>
      </c>
      <c r="FR381" t="e">
        <f>'North America'!E1561+"n/&gt;!3Dm"</f>
        <v>#VALUE!</v>
      </c>
      <c r="FS381" t="e">
        <f>'North America'!F1561+"n/&gt;!3Dn"</f>
        <v>#VALUE!</v>
      </c>
      <c r="FT381" t="e">
        <f>'North America'!G1561+"n/&gt;!3Do"</f>
        <v>#VALUE!</v>
      </c>
      <c r="FU381" t="e">
        <f>'North America'!H1561+"n/&gt;!3Dp"</f>
        <v>#VALUE!</v>
      </c>
      <c r="FV381" t="e">
        <f>'North America'!I1561+"n/&gt;!3Dq"</f>
        <v>#VALUE!</v>
      </c>
      <c r="FW381" t="e">
        <f>'North America'!A:A*"n/&gt;!3Dr"</f>
        <v>#VALUE!</v>
      </c>
      <c r="FX381" t="e">
        <f>'North America'!B:B*"n/&gt;!3Ds"</f>
        <v>#VALUE!</v>
      </c>
      <c r="FY381" t="e">
        <f>'North America'!C:C*"n/&gt;!3Dt"</f>
        <v>#VALUE!</v>
      </c>
      <c r="FZ381" t="e">
        <f>'North America'!D:D*"n/&gt;!3Du"</f>
        <v>#VALUE!</v>
      </c>
      <c r="GA381" t="e">
        <f>'North America'!E:E*"n/&gt;!3Dv"</f>
        <v>#VALUE!</v>
      </c>
      <c r="GB381" t="e">
        <f>'North America'!F:F*"n/&gt;!3Dw"</f>
        <v>#VALUE!</v>
      </c>
      <c r="GC381" t="e">
        <f>'North America'!G:G*"n/&gt;!3Dx"</f>
        <v>#VALUE!</v>
      </c>
      <c r="GD381" t="e">
        <f>'North America'!H:H*"n/&gt;!3Dy"</f>
        <v>#VALUE!</v>
      </c>
      <c r="GE381" t="e">
        <f>'North America'!I:I*"n/&gt;!3Dz"</f>
        <v>#VALUE!</v>
      </c>
      <c r="GF381" t="e">
        <f>'North America'!J:J*"n/&gt;!3D{"</f>
        <v>#VALUE!</v>
      </c>
      <c r="GG381" t="e">
        <f>'North America'!K:K*"n/&gt;!3D|"</f>
        <v>#VALUE!</v>
      </c>
      <c r="GH381" t="e">
        <f>'North America'!L:L*"n/&gt;!3D}"</f>
        <v>#VALUE!</v>
      </c>
      <c r="GI381" t="e">
        <f>'North America'!M:M*"n/&gt;!3D~"</f>
        <v>#VALUE!</v>
      </c>
      <c r="GJ381" t="e">
        <f>'North America'!N:N*"n/&gt;!3E#"</f>
        <v>#VALUE!</v>
      </c>
      <c r="GK381" t="e">
        <f>'North America'!O:O*"n/&gt;!3E$"</f>
        <v>#VALUE!</v>
      </c>
      <c r="GL381" t="e">
        <f>'North America'!P:P*"n/&gt;!3E%"</f>
        <v>#VALUE!</v>
      </c>
      <c r="GM381" t="e">
        <f>'North America'!Q:Q*"n/&gt;!3E&amp;"</f>
        <v>#VALUE!</v>
      </c>
      <c r="GN381" t="e">
        <f>'North America'!R:R*"n/&gt;!3E'"</f>
        <v>#VALUE!</v>
      </c>
      <c r="GO381" t="e">
        <f>'North America'!S:S*"n/&gt;!3E("</f>
        <v>#VALUE!</v>
      </c>
      <c r="GP381" t="e">
        <f>'North America'!T:T*"n/&gt;!3E)"</f>
        <v>#VALUE!</v>
      </c>
      <c r="GQ381" t="e">
        <f>'North America'!U:U*"n/&gt;!3E."</f>
        <v>#VALUE!</v>
      </c>
      <c r="GR381" t="e">
        <f>'North America'!V:V*"n/&gt;!3E/"</f>
        <v>#VALUE!</v>
      </c>
      <c r="GS381" t="e">
        <f>'North America'!W:W*"n/&gt;!3E0"</f>
        <v>#VALUE!</v>
      </c>
      <c r="GT381" t="e">
        <f>'North America'!X:X*"n/&gt;!3E1"</f>
        <v>#VALUE!</v>
      </c>
      <c r="GU381" t="e">
        <f>'North America'!Y:Y*"n/&gt;!3E2"</f>
        <v>#VALUE!</v>
      </c>
      <c r="GV381" t="e">
        <f>'North America'!Z:Z*"n/&gt;!3E3"</f>
        <v>#VALUE!</v>
      </c>
      <c r="GW381" t="e">
        <f>'North America'!AA:AA*"n/&gt;!3E4"</f>
        <v>#VALUE!</v>
      </c>
      <c r="GX381" t="e">
        <f>'North America'!AB:AB*"n/&gt;!3E5"</f>
        <v>#VALUE!</v>
      </c>
      <c r="GY381" t="e">
        <f>'North America'!AC:AC*"n/&gt;!3E6"</f>
        <v>#VALUE!</v>
      </c>
      <c r="GZ381" t="e">
        <f>'North America'!AD:AD*"n/&gt;!3E7"</f>
        <v>#VALUE!</v>
      </c>
      <c r="HA381" t="e">
        <f>'North America'!AE:AE*"n/&gt;!3E8"</f>
        <v>#VALUE!</v>
      </c>
      <c r="HB381" t="e">
        <f>'North America'!AF:AF*"n/&gt;!3E9"</f>
        <v>#VALUE!</v>
      </c>
      <c r="HC381" t="e">
        <f>'North America'!AG:AG*"n/&gt;!3E:"</f>
        <v>#VALUE!</v>
      </c>
      <c r="HD381" t="e">
        <f>'North America'!AH:AH*"n/&gt;!3E;"</f>
        <v>#VALUE!</v>
      </c>
      <c r="HE381" t="e">
        <f>'North America'!AI:AI*"n/&gt;!3E&lt;"</f>
        <v>#VALUE!</v>
      </c>
      <c r="HF381" t="e">
        <f>'North America'!AJ:AJ*"n/&gt;!3E="</f>
        <v>#VALUE!</v>
      </c>
      <c r="HG381" t="e">
        <f>'North America'!AK:AK*"n/&gt;!3E&gt;"</f>
        <v>#VALUE!</v>
      </c>
      <c r="HH381" t="e">
        <f>'North America'!AL:AL*"n/&gt;!3E?"</f>
        <v>#VALUE!</v>
      </c>
      <c r="HI381" t="e">
        <f>'North America'!AM:AM*"n/&gt;!3E@"</f>
        <v>#VALUE!</v>
      </c>
      <c r="HJ381" t="e">
        <f>'North America'!AN:AN*"n/&gt;!3EA"</f>
        <v>#VALUE!</v>
      </c>
      <c r="HK381" t="e">
        <f>'North America'!AO:AO*"n/&gt;!3EB"</f>
        <v>#VALUE!</v>
      </c>
      <c r="HL381" t="e">
        <f>'North America'!AP:AP*"n/&gt;!3EC"</f>
        <v>#VALUE!</v>
      </c>
      <c r="HM381" t="e">
        <f>'North America'!AQ:AQ*"n/&gt;!3ED"</f>
        <v>#VALUE!</v>
      </c>
      <c r="HN381" t="e">
        <f>'North America'!AR:AR*"n/&gt;!3EE"</f>
        <v>#VALUE!</v>
      </c>
      <c r="HO381" t="e">
        <f>'North America'!AS:AS*"n/&gt;!3EF"</f>
        <v>#VALUE!</v>
      </c>
      <c r="HP381" t="e">
        <f>'North America'!AT:AT*"n/&gt;!3EG"</f>
        <v>#VALUE!</v>
      </c>
      <c r="HQ381" t="e">
        <f>'North America'!AU:AU*"n/&gt;!3EH"</f>
        <v>#VALUE!</v>
      </c>
      <c r="HR381" t="e">
        <f>'North America'!AV:AV*"n/&gt;!3EI"</f>
        <v>#VALUE!</v>
      </c>
      <c r="HS381" t="e">
        <f>'North America'!AW:AW*"n/&gt;!3EJ"</f>
        <v>#VALUE!</v>
      </c>
      <c r="HT381" t="e">
        <f>'North America'!AX:AX*"n/&gt;!3EK"</f>
        <v>#VALUE!</v>
      </c>
      <c r="HU381" t="e">
        <f>'North America'!AY:AY*"n/&gt;!3EL"</f>
        <v>#VALUE!</v>
      </c>
      <c r="HV381" t="e">
        <f>'North America'!AZ:AZ*"n/&gt;!3EM"</f>
        <v>#VALUE!</v>
      </c>
      <c r="HW381" t="e">
        <f>'North America'!BA:BA*"n/&gt;!3EN"</f>
        <v>#VALUE!</v>
      </c>
      <c r="HX381" t="e">
        <f>'North America'!BB:BB*"n/&gt;!3EO"</f>
        <v>#VALUE!</v>
      </c>
      <c r="HY381" t="e">
        <f>'North America'!BC:BC*"n/&gt;!3EP"</f>
        <v>#VALUE!</v>
      </c>
      <c r="HZ381" t="e">
        <f>'North America'!BD:BD*"n/&gt;!3EQ"</f>
        <v>#VALUE!</v>
      </c>
      <c r="IA381" t="e">
        <f>'North America'!BE:BE*"n/&gt;!3ER"</f>
        <v>#VALUE!</v>
      </c>
      <c r="IB381" t="e">
        <f>'North America'!BF:BF*"n/&gt;!3ES"</f>
        <v>#VALUE!</v>
      </c>
      <c r="IC381" t="e">
        <f>'North America'!BG:BG*"n/&gt;!3ET"</f>
        <v>#VALUE!</v>
      </c>
      <c r="ID381" t="e">
        <f>'North America'!1:1-"n/&gt;!3EU"</f>
        <v>#VALUE!</v>
      </c>
      <c r="IE381" t="e">
        <f>'North America'!2:2-"n/&gt;!3EV"</f>
        <v>#VALUE!</v>
      </c>
      <c r="IF381" t="e">
        <f>'North America'!3:3-"n/&gt;!3EW"</f>
        <v>#VALUE!</v>
      </c>
      <c r="IG381" t="e">
        <f>'North America'!4:4-"n/&gt;!3EX"</f>
        <v>#VALUE!</v>
      </c>
      <c r="IH381" t="e">
        <f>'North America'!5:5-"n/&gt;!3EY"</f>
        <v>#VALUE!</v>
      </c>
      <c r="II381" t="e">
        <f>'North America'!6:6-"n/&gt;!3EZ"</f>
        <v>#VALUE!</v>
      </c>
      <c r="IJ381" t="e">
        <f>'North America'!7:7-"n/&gt;!3E["</f>
        <v>#VALUE!</v>
      </c>
      <c r="IK381" t="e">
        <f>'North America'!8:8-"n/&gt;!3E\"</f>
        <v>#VALUE!</v>
      </c>
      <c r="IL381" t="e">
        <f>'North America'!9:9-"n/&gt;!3E]"</f>
        <v>#VALUE!</v>
      </c>
      <c r="IM381" t="e">
        <f>'North America'!10:10-"n/&gt;!3E^"</f>
        <v>#VALUE!</v>
      </c>
      <c r="IN381" t="e">
        <f>'North America'!11:11-"n/&gt;!3E_"</f>
        <v>#VALUE!</v>
      </c>
      <c r="IO381" t="e">
        <f>'North America'!12:12-"n/&gt;!3E`"</f>
        <v>#VALUE!</v>
      </c>
      <c r="IP381" t="e">
        <f>'North America'!13:13-"n/&gt;!3Ea"</f>
        <v>#VALUE!</v>
      </c>
      <c r="IQ381" t="e">
        <f>'North America'!14:14-"n/&gt;!3Eb"</f>
        <v>#VALUE!</v>
      </c>
      <c r="IR381" t="e">
        <f>'North America'!15:15-"n/&gt;!3Ec"</f>
        <v>#VALUE!</v>
      </c>
      <c r="IS381" t="e">
        <f>'North America'!16:16-"n/&gt;!3Ed"</f>
        <v>#VALUE!</v>
      </c>
      <c r="IT381" t="e">
        <f>'North America'!17:17-"n/&gt;!3Ee"</f>
        <v>#VALUE!</v>
      </c>
      <c r="IU381" t="e">
        <f>'North America'!18:18-"n/&gt;!3Ef"</f>
        <v>#VALUE!</v>
      </c>
      <c r="IV381" t="e">
        <f>'North America'!19:19-"n/&gt;!3Eg"</f>
        <v>#VALUE!</v>
      </c>
    </row>
    <row r="382" spans="6:256" x14ac:dyDescent="0.35">
      <c r="F382" t="e">
        <f>'North America'!20:20-"n/&gt;!3Eh"</f>
        <v>#VALUE!</v>
      </c>
      <c r="G382" t="e">
        <f>'North America'!21:21-"n/&gt;!3Ei"</f>
        <v>#VALUE!</v>
      </c>
      <c r="H382" t="e">
        <f>'North America'!22:22-"n/&gt;!3Ej"</f>
        <v>#VALUE!</v>
      </c>
      <c r="I382" t="e">
        <f>'North America'!23:23-"n/&gt;!3Ek"</f>
        <v>#VALUE!</v>
      </c>
      <c r="J382" t="e">
        <f>'North America'!24:24-"n/&gt;!3El"</f>
        <v>#VALUE!</v>
      </c>
      <c r="K382" t="e">
        <f>'North America'!25:25-"n/&gt;!3Em"</f>
        <v>#VALUE!</v>
      </c>
      <c r="L382" t="e">
        <f>'North America'!26:26-"n/&gt;!3En"</f>
        <v>#VALUE!</v>
      </c>
      <c r="M382" t="e">
        <f>'North America'!27:27-"n/&gt;!3Eo"</f>
        <v>#VALUE!</v>
      </c>
      <c r="N382" t="e">
        <f>'North America'!28:28-"n/&gt;!3Ep"</f>
        <v>#VALUE!</v>
      </c>
      <c r="O382" t="e">
        <f>'North America'!29:29-"n/&gt;!3Eq"</f>
        <v>#VALUE!</v>
      </c>
      <c r="P382" t="e">
        <f>'North America'!30:30-"n/&gt;!3Er"</f>
        <v>#VALUE!</v>
      </c>
      <c r="Q382" t="e">
        <f>'North America'!31:31-"n/&gt;!3Es"</f>
        <v>#VALUE!</v>
      </c>
      <c r="R382" t="e">
        <f>'North America'!32:32-"n/&gt;!3Et"</f>
        <v>#VALUE!</v>
      </c>
      <c r="S382" t="e">
        <f>'North America'!33:33-"n/&gt;!3Eu"</f>
        <v>#VALUE!</v>
      </c>
      <c r="T382" t="e">
        <f>'North America'!34:34-"n/&gt;!3Ev"</f>
        <v>#VALUE!</v>
      </c>
      <c r="U382" t="e">
        <f>'North America'!35:35-"n/&gt;!3Ew"</f>
        <v>#VALUE!</v>
      </c>
      <c r="V382" t="e">
        <f>'North America'!36:36-"n/&gt;!3Ex"</f>
        <v>#VALUE!</v>
      </c>
      <c r="W382" t="e">
        <f>'North America'!37:37-"n/&gt;!3Ey"</f>
        <v>#VALUE!</v>
      </c>
      <c r="X382" t="e">
        <f>'North America'!38:38-"n/&gt;!3Ez"</f>
        <v>#VALUE!</v>
      </c>
      <c r="Y382" t="e">
        <f>'North America'!39:39-"n/&gt;!3E{"</f>
        <v>#VALUE!</v>
      </c>
      <c r="Z382" t="e">
        <f>'North America'!40:40-"n/&gt;!3E|"</f>
        <v>#VALUE!</v>
      </c>
      <c r="AA382" t="e">
        <f>'North America'!41:41-"n/&gt;!3E}"</f>
        <v>#VALUE!</v>
      </c>
      <c r="AB382" t="e">
        <f>'North America'!42:42-"n/&gt;!3E~"</f>
        <v>#VALUE!</v>
      </c>
      <c r="AC382" t="e">
        <f>'North America'!43:43-"n/&gt;!3F#"</f>
        <v>#VALUE!</v>
      </c>
      <c r="AD382" t="e">
        <f>'North America'!44:44-"n/&gt;!3F$"</f>
        <v>#VALUE!</v>
      </c>
      <c r="AE382" t="e">
        <f>'North America'!45:45-"n/&gt;!3F%"</f>
        <v>#VALUE!</v>
      </c>
      <c r="AF382" t="e">
        <f>'North America'!46:46-"n/&gt;!3F&amp;"</f>
        <v>#VALUE!</v>
      </c>
      <c r="AG382" t="e">
        <f>'North America'!47:47-"n/&gt;!3F'"</f>
        <v>#VALUE!</v>
      </c>
      <c r="AH382" t="e">
        <f>'North America'!48:48-"n/&gt;!3F("</f>
        <v>#VALUE!</v>
      </c>
      <c r="AI382" t="e">
        <f>'North America'!49:49-"n/&gt;!3F)"</f>
        <v>#VALUE!</v>
      </c>
      <c r="AJ382" t="e">
        <f>'North America'!50:50-"n/&gt;!3F."</f>
        <v>#VALUE!</v>
      </c>
      <c r="AK382" t="e">
        <f>'North America'!51:51-"n/&gt;!3F/"</f>
        <v>#VALUE!</v>
      </c>
      <c r="AL382" t="e">
        <f>'North America'!52:52-"n/&gt;!3F0"</f>
        <v>#VALUE!</v>
      </c>
      <c r="AM382" t="e">
        <f>'North America'!53:53-"n/&gt;!3F1"</f>
        <v>#VALUE!</v>
      </c>
      <c r="AN382" t="e">
        <f>'North America'!54:54-"n/&gt;!3F2"</f>
        <v>#VALUE!</v>
      </c>
      <c r="AO382" t="e">
        <f>'North America'!55:55-"n/&gt;!3F3"</f>
        <v>#VALUE!</v>
      </c>
      <c r="AP382" t="e">
        <f>'North America'!56:56-"n/&gt;!3F4"</f>
        <v>#VALUE!</v>
      </c>
      <c r="AQ382" t="e">
        <f>'North America'!57:57-"n/&gt;!3F5"</f>
        <v>#VALUE!</v>
      </c>
      <c r="AR382" t="e">
        <f>'North America'!58:58-"n/&gt;!3F6"</f>
        <v>#VALUE!</v>
      </c>
      <c r="AS382" t="e">
        <f>'North America'!59:59-"n/&gt;!3F7"</f>
        <v>#VALUE!</v>
      </c>
      <c r="AT382" t="e">
        <f>'North America'!60:60-"n/&gt;!3F8"</f>
        <v>#VALUE!</v>
      </c>
      <c r="AU382" t="e">
        <f>'North America'!61:61-"n/&gt;!3F9"</f>
        <v>#VALUE!</v>
      </c>
      <c r="AV382" t="e">
        <f>'North America'!62:62-"n/&gt;!3F:"</f>
        <v>#VALUE!</v>
      </c>
      <c r="AW382" t="e">
        <f>'North America'!63:63-"n/&gt;!3F;"</f>
        <v>#VALUE!</v>
      </c>
      <c r="AX382" t="e">
        <f>'North America'!64:64-"n/&gt;!3F&lt;"</f>
        <v>#VALUE!</v>
      </c>
      <c r="AY382" t="e">
        <f>'North America'!65:65-"n/&gt;!3F="</f>
        <v>#VALUE!</v>
      </c>
      <c r="AZ382" t="e">
        <f>'North America'!66:66-"n/&gt;!3F&gt;"</f>
        <v>#VALUE!</v>
      </c>
      <c r="BA382" t="e">
        <f>'North America'!67:67-"n/&gt;!3F?"</f>
        <v>#VALUE!</v>
      </c>
      <c r="BB382" t="e">
        <f>'North America'!68:68-"n/&gt;!3F@"</f>
        <v>#VALUE!</v>
      </c>
      <c r="BC382" t="e">
        <f>'North America'!69:69-"n/&gt;!3FA"</f>
        <v>#VALUE!</v>
      </c>
      <c r="BD382" t="e">
        <f>'North America'!70:70-"n/&gt;!3FB"</f>
        <v>#VALUE!</v>
      </c>
      <c r="BE382" t="e">
        <f>'North America'!71:71-"n/&gt;!3FC"</f>
        <v>#VALUE!</v>
      </c>
      <c r="BF382" t="e">
        <f>'North America'!72:72-"n/&gt;!3FD"</f>
        <v>#VALUE!</v>
      </c>
      <c r="BG382" t="e">
        <f>'North America'!73:73-"n/&gt;!3FE"</f>
        <v>#VALUE!</v>
      </c>
      <c r="BH382" t="e">
        <f>'North America'!74:74-"n/&gt;!3FF"</f>
        <v>#VALUE!</v>
      </c>
      <c r="BI382" t="e">
        <f>'North America'!75:75-"n/&gt;!3FG"</f>
        <v>#VALUE!</v>
      </c>
      <c r="BJ382" t="e">
        <f>'North America'!76:76-"n/&gt;!3FH"</f>
        <v>#VALUE!</v>
      </c>
      <c r="BK382" t="e">
        <f>'North America'!77:77-"n/&gt;!3FI"</f>
        <v>#VALUE!</v>
      </c>
      <c r="BL382" t="e">
        <f>'North America'!78:78-"n/&gt;!3FJ"</f>
        <v>#VALUE!</v>
      </c>
      <c r="BM382" t="e">
        <f>'North America'!79:79-"n/&gt;!3FK"</f>
        <v>#VALUE!</v>
      </c>
      <c r="BN382" t="e">
        <f>'North America'!80:80-"n/&gt;!3FL"</f>
        <v>#VALUE!</v>
      </c>
      <c r="BO382" t="e">
        <f>'North America'!81:81-"n/&gt;!3FM"</f>
        <v>#VALUE!</v>
      </c>
      <c r="BP382" t="e">
        <f>'North America'!82:82-"n/&gt;!3FN"</f>
        <v>#VALUE!</v>
      </c>
      <c r="BQ382" t="e">
        <f>'North America'!83:83-"n/&gt;!3FO"</f>
        <v>#VALUE!</v>
      </c>
      <c r="BR382" t="e">
        <f>'North America'!84:84-"n/&gt;!3FP"</f>
        <v>#VALUE!</v>
      </c>
      <c r="BS382" t="e">
        <f>'North America'!85:85-"n/&gt;!3FQ"</f>
        <v>#VALUE!</v>
      </c>
      <c r="BT382" t="e">
        <f>'North America'!86:86-"n/&gt;!3FR"</f>
        <v>#VALUE!</v>
      </c>
      <c r="BU382" t="e">
        <f>'North America'!87:87-"n/&gt;!3FS"</f>
        <v>#VALUE!</v>
      </c>
      <c r="BV382" t="e">
        <f>'North America'!88:88-"n/&gt;!3FT"</f>
        <v>#VALUE!</v>
      </c>
      <c r="BW382" t="e">
        <f>'North America'!89:89-"n/&gt;!3FU"</f>
        <v>#VALUE!</v>
      </c>
      <c r="BX382" t="e">
        <f>'North America'!90:90-"n/&gt;!3FV"</f>
        <v>#VALUE!</v>
      </c>
      <c r="BY382" t="e">
        <f>'North America'!91:91-"n/&gt;!3FW"</f>
        <v>#VALUE!</v>
      </c>
      <c r="BZ382" t="e">
        <f>'North America'!92:92-"n/&gt;!3FX"</f>
        <v>#VALUE!</v>
      </c>
      <c r="CA382" t="e">
        <f>'North America'!93:93-"n/&gt;!3FY"</f>
        <v>#VALUE!</v>
      </c>
      <c r="CB382" t="e">
        <f>'North America'!94:94-"n/&gt;!3FZ"</f>
        <v>#VALUE!</v>
      </c>
      <c r="CC382" t="e">
        <f>'North America'!95:95-"n/&gt;!3F["</f>
        <v>#VALUE!</v>
      </c>
      <c r="CD382" t="e">
        <f>'North America'!96:96-"n/&gt;!3F\"</f>
        <v>#VALUE!</v>
      </c>
      <c r="CE382" t="e">
        <f>'North America'!97:97-"n/&gt;!3F]"</f>
        <v>#VALUE!</v>
      </c>
      <c r="CF382" t="e">
        <f>'North America'!98:98-"n/&gt;!3F^"</f>
        <v>#VALUE!</v>
      </c>
      <c r="CG382" t="e">
        <f>'North America'!99:99-"n/&gt;!3F_"</f>
        <v>#VALUE!</v>
      </c>
      <c r="CH382" t="e">
        <f>'North America'!100:100-"n/&gt;!3F`"</f>
        <v>#VALUE!</v>
      </c>
      <c r="CI382" t="e">
        <f>'North America'!101:101-"n/&gt;!3Fa"</f>
        <v>#VALUE!</v>
      </c>
      <c r="CJ382" t="e">
        <f>'North America'!102:102-"n/&gt;!3Fb"</f>
        <v>#VALUE!</v>
      </c>
      <c r="CK382" t="e">
        <f>'North America'!103:103-"n/&gt;!3Fc"</f>
        <v>#VALUE!</v>
      </c>
      <c r="CL382" t="e">
        <f>'North America'!104:104-"n/&gt;!3Fd"</f>
        <v>#VALUE!</v>
      </c>
      <c r="CM382" t="e">
        <f>'North America'!105:105-"n/&gt;!3Fe"</f>
        <v>#VALUE!</v>
      </c>
      <c r="CN382" t="e">
        <f>'North America'!106:106-"n/&gt;!3Ff"</f>
        <v>#VALUE!</v>
      </c>
      <c r="CO382" t="e">
        <f>'North America'!107:107-"n/&gt;!3Fg"</f>
        <v>#VALUE!</v>
      </c>
      <c r="CP382" t="e">
        <f>'North America'!108:108-"n/&gt;!3Fh"</f>
        <v>#VALUE!</v>
      </c>
      <c r="CQ382" t="e">
        <f>'North America'!109:109-"n/&gt;!3Fi"</f>
        <v>#VALUE!</v>
      </c>
      <c r="CR382" t="e">
        <f>'North America'!110:110-"n/&gt;!3Fj"</f>
        <v>#VALUE!</v>
      </c>
      <c r="CS382" t="e">
        <f>'North America'!111:111-"n/&gt;!3Fk"</f>
        <v>#VALUE!</v>
      </c>
      <c r="CT382" t="e">
        <f>'North America'!112:112-"n/&gt;!3Fl"</f>
        <v>#VALUE!</v>
      </c>
      <c r="CU382" t="e">
        <f>'North America'!113:113-"n/&gt;!3Fm"</f>
        <v>#VALUE!</v>
      </c>
      <c r="CV382" t="e">
        <f>'North America'!114:114-"n/&gt;!3Fn"</f>
        <v>#VALUE!</v>
      </c>
      <c r="CW382" t="e">
        <f>'North America'!115:115-"n/&gt;!3Fo"</f>
        <v>#VALUE!</v>
      </c>
      <c r="CX382" t="e">
        <f>'North America'!116:116-"n/&gt;!3Fp"</f>
        <v>#VALUE!</v>
      </c>
      <c r="CY382" t="e">
        <f>'North America'!117:117-"n/&gt;!3Fq"</f>
        <v>#VALUE!</v>
      </c>
      <c r="CZ382" t="e">
        <f>'North America'!118:118-"n/&gt;!3Fr"</f>
        <v>#VALUE!</v>
      </c>
      <c r="DA382" t="e">
        <f>'North America'!119:119-"n/&gt;!3Fs"</f>
        <v>#VALUE!</v>
      </c>
      <c r="DB382" t="e">
        <f>'North America'!120:120-"n/&gt;!3Ft"</f>
        <v>#VALUE!</v>
      </c>
      <c r="DC382" t="e">
        <f>'North America'!121:121-"n/&gt;!3Fu"</f>
        <v>#VALUE!</v>
      </c>
      <c r="DD382" t="e">
        <f>'North America'!122:122-"n/&gt;!3Fv"</f>
        <v>#VALUE!</v>
      </c>
      <c r="DE382" t="e">
        <f>'North America'!123:123-"n/&gt;!3Fw"</f>
        <v>#VALUE!</v>
      </c>
      <c r="DF382" t="e">
        <f>'North America'!124:124-"n/&gt;!3Fx"</f>
        <v>#VALUE!</v>
      </c>
      <c r="DG382" t="e">
        <f>'North America'!125:125-"n/&gt;!3Fy"</f>
        <v>#VALUE!</v>
      </c>
      <c r="DH382" t="e">
        <f>'North America'!126:126-"n/&gt;!3Fz"</f>
        <v>#VALUE!</v>
      </c>
      <c r="DI382" t="e">
        <f>'North America'!127:127-"n/&gt;!3F{"</f>
        <v>#VALUE!</v>
      </c>
      <c r="DJ382" t="e">
        <f>'North America'!128:128-"n/&gt;!3F|"</f>
        <v>#VALUE!</v>
      </c>
      <c r="DK382" t="e">
        <f>'North America'!129:129-"n/&gt;!3F}"</f>
        <v>#VALUE!</v>
      </c>
      <c r="DL382" t="e">
        <f>'North America'!130:130-"n/&gt;!3F~"</f>
        <v>#VALUE!</v>
      </c>
      <c r="DM382" t="e">
        <f>'North America'!131:131-"n/&gt;!3G#"</f>
        <v>#VALUE!</v>
      </c>
      <c r="DN382" t="e">
        <f>'North America'!132:132-"n/&gt;!3G$"</f>
        <v>#VALUE!</v>
      </c>
      <c r="DO382" t="e">
        <f>'North America'!133:133-"n/&gt;!3G%"</f>
        <v>#VALUE!</v>
      </c>
      <c r="DP382" t="e">
        <f>'North America'!134:134-"n/&gt;!3G&amp;"</f>
        <v>#VALUE!</v>
      </c>
      <c r="DQ382" t="e">
        <f>'North America'!135:135-"n/&gt;!3G'"</f>
        <v>#VALUE!</v>
      </c>
      <c r="DR382" t="e">
        <f>'North America'!136:136-"n/&gt;!3G("</f>
        <v>#VALUE!</v>
      </c>
      <c r="DS382" t="e">
        <f>'North America'!137:137-"n/&gt;!3G)"</f>
        <v>#VALUE!</v>
      </c>
      <c r="DT382" t="e">
        <f>'North America'!138:138-"n/&gt;!3G."</f>
        <v>#VALUE!</v>
      </c>
      <c r="DU382" t="e">
        <f>'North America'!139:139-"n/&gt;!3G/"</f>
        <v>#VALUE!</v>
      </c>
      <c r="DV382" t="e">
        <f>'North America'!140:140-"n/&gt;!3G0"</f>
        <v>#VALUE!</v>
      </c>
      <c r="DW382" t="e">
        <f>'North America'!141:141-"n/&gt;!3G1"</f>
        <v>#VALUE!</v>
      </c>
      <c r="DX382" t="e">
        <f>'North America'!142:142-"n/&gt;!3G2"</f>
        <v>#VALUE!</v>
      </c>
      <c r="DY382" t="e">
        <f>'North America'!143:143-"n/&gt;!3G3"</f>
        <v>#VALUE!</v>
      </c>
      <c r="DZ382" t="e">
        <f>'North America'!144:144-"n/&gt;!3G4"</f>
        <v>#VALUE!</v>
      </c>
      <c r="EA382" t="e">
        <f>'North America'!145:145-"n/&gt;!3G5"</f>
        <v>#VALUE!</v>
      </c>
      <c r="EB382" t="e">
        <f>'North America'!146:146-"n/&gt;!3G6"</f>
        <v>#VALUE!</v>
      </c>
      <c r="EC382" t="e">
        <f>'North America'!147:147-"n/&gt;!3G7"</f>
        <v>#VALUE!</v>
      </c>
      <c r="ED382" t="e">
        <f>'North America'!148:148-"n/&gt;!3G8"</f>
        <v>#VALUE!</v>
      </c>
      <c r="EE382" t="e">
        <f>'North America'!149:149-"n/&gt;!3G9"</f>
        <v>#VALUE!</v>
      </c>
      <c r="EF382" t="e">
        <f>'North America'!150:150-"n/&gt;!3G:"</f>
        <v>#VALUE!</v>
      </c>
      <c r="EG382" t="e">
        <f>'North America'!151:151-"n/&gt;!3G;"</f>
        <v>#VALUE!</v>
      </c>
      <c r="EH382" t="e">
        <f>'North America'!152:152-"n/&gt;!3G&lt;"</f>
        <v>#VALUE!</v>
      </c>
      <c r="EI382" t="e">
        <f>'North America'!153:153-"n/&gt;!3G="</f>
        <v>#VALUE!</v>
      </c>
      <c r="EJ382" t="e">
        <f>'North America'!154:154-"n/&gt;!3G&gt;"</f>
        <v>#VALUE!</v>
      </c>
      <c r="EK382" t="e">
        <f>'North America'!155:155-"n/&gt;!3G?"</f>
        <v>#VALUE!</v>
      </c>
      <c r="EL382" t="e">
        <f>'North America'!156:156-"n/&gt;!3G@"</f>
        <v>#VALUE!</v>
      </c>
      <c r="EM382" t="e">
        <f>'North America'!157:157-"n/&gt;!3GA"</f>
        <v>#VALUE!</v>
      </c>
      <c r="EN382" t="e">
        <f>'North America'!158:158-"n/&gt;!3GB"</f>
        <v>#VALUE!</v>
      </c>
      <c r="EO382" t="e">
        <f>'North America'!159:159-"n/&gt;!3GC"</f>
        <v>#VALUE!</v>
      </c>
      <c r="EP382" t="e">
        <f>'North America'!160:160-"n/&gt;!3GD"</f>
        <v>#VALUE!</v>
      </c>
      <c r="EQ382" t="e">
        <f>'North America'!161:161-"n/&gt;!3GE"</f>
        <v>#VALUE!</v>
      </c>
      <c r="ER382" t="e">
        <f>'North America'!162:162-"n/&gt;!3GF"</f>
        <v>#VALUE!</v>
      </c>
      <c r="ES382" t="e">
        <f>'North America'!163:163-"n/&gt;!3GG"</f>
        <v>#VALUE!</v>
      </c>
      <c r="ET382" t="e">
        <f>'North America'!164:164-"n/&gt;!3GH"</f>
        <v>#VALUE!</v>
      </c>
      <c r="EU382" t="e">
        <f>'North America'!165:165-"n/&gt;!3GI"</f>
        <v>#VALUE!</v>
      </c>
      <c r="EV382" t="e">
        <f>'North America'!166:166-"n/&gt;!3GJ"</f>
        <v>#VALUE!</v>
      </c>
      <c r="EW382" t="e">
        <f>'North America'!167:167-"n/&gt;!3GK"</f>
        <v>#VALUE!</v>
      </c>
      <c r="EX382" t="e">
        <f>'North America'!168:168-"n/&gt;!3GL"</f>
        <v>#VALUE!</v>
      </c>
      <c r="EY382" t="e">
        <f>'North America'!169:169-"n/&gt;!3GM"</f>
        <v>#VALUE!</v>
      </c>
      <c r="EZ382" t="e">
        <f>'North America'!170:170-"n/&gt;!3GN"</f>
        <v>#VALUE!</v>
      </c>
      <c r="FA382" t="e">
        <f>'North America'!171:171-"n/&gt;!3GO"</f>
        <v>#VALUE!</v>
      </c>
      <c r="FB382" t="e">
        <f>'North America'!172:172-"n/&gt;!3GP"</f>
        <v>#VALUE!</v>
      </c>
      <c r="FC382" t="e">
        <f>'North America'!173:173-"n/&gt;!3GQ"</f>
        <v>#VALUE!</v>
      </c>
      <c r="FD382" t="e">
        <f>'North America'!174:174-"n/&gt;!3GR"</f>
        <v>#VALUE!</v>
      </c>
      <c r="FE382" t="e">
        <f>'North America'!175:175-"n/&gt;!3GS"</f>
        <v>#VALUE!</v>
      </c>
      <c r="FF382" t="e">
        <f>'North America'!176:176-"n/&gt;!3GT"</f>
        <v>#VALUE!</v>
      </c>
      <c r="FG382" t="e">
        <f>'North America'!177:177-"n/&gt;!3GU"</f>
        <v>#VALUE!</v>
      </c>
      <c r="FH382" t="e">
        <f>'North America'!178:178-"n/&gt;!3GV"</f>
        <v>#VALUE!</v>
      </c>
      <c r="FI382" t="e">
        <f>'North America'!179:179-"n/&gt;!3GW"</f>
        <v>#VALUE!</v>
      </c>
      <c r="FJ382" t="e">
        <f>'North America'!180:180-"n/&gt;!3GX"</f>
        <v>#VALUE!</v>
      </c>
      <c r="FK382" t="e">
        <f>'North America'!181:181-"n/&gt;!3GY"</f>
        <v>#VALUE!</v>
      </c>
      <c r="FL382" t="e">
        <f>'North America'!182:182-"n/&gt;!3GZ"</f>
        <v>#VALUE!</v>
      </c>
      <c r="FM382" t="e">
        <f>'North America'!183:183-"n/&gt;!3G["</f>
        <v>#VALUE!</v>
      </c>
      <c r="FN382" t="e">
        <f>'North America'!184:184-"n/&gt;!3G\"</f>
        <v>#VALUE!</v>
      </c>
      <c r="FO382" t="e">
        <f>'North America'!185:185-"n/&gt;!3G]"</f>
        <v>#VALUE!</v>
      </c>
      <c r="FP382" t="e">
        <f>'North America'!186:186-"n/&gt;!3G^"</f>
        <v>#VALUE!</v>
      </c>
      <c r="FQ382" t="e">
        <f>'North America'!187:187-"n/&gt;!3G_"</f>
        <v>#VALUE!</v>
      </c>
      <c r="FR382" t="e">
        <f>'North America'!188:188-"n/&gt;!3G`"</f>
        <v>#VALUE!</v>
      </c>
      <c r="FS382" t="e">
        <f>'North America'!189:189-"n/&gt;!3Ga"</f>
        <v>#VALUE!</v>
      </c>
      <c r="FT382" t="e">
        <f>'North America'!190:190-"n/&gt;!3Gb"</f>
        <v>#VALUE!</v>
      </c>
      <c r="FU382" t="e">
        <f>'North America'!191:191-"n/&gt;!3Gc"</f>
        <v>#VALUE!</v>
      </c>
      <c r="FV382" t="e">
        <f>'North America'!192:192-"n/&gt;!3Gd"</f>
        <v>#VALUE!</v>
      </c>
      <c r="FW382" t="e">
        <f>'North America'!193:193-"n/&gt;!3Ge"</f>
        <v>#VALUE!</v>
      </c>
      <c r="FX382" t="e">
        <f>'North America'!194:194-"n/&gt;!3Gf"</f>
        <v>#VALUE!</v>
      </c>
      <c r="FY382" t="e">
        <f>'North America'!195:195-"n/&gt;!3Gg"</f>
        <v>#VALUE!</v>
      </c>
      <c r="FZ382" t="e">
        <f>'North America'!196:196-"n/&gt;!3Gh"</f>
        <v>#VALUE!</v>
      </c>
      <c r="GA382" t="e">
        <f>'North America'!197:197-"n/&gt;!3Gi"</f>
        <v>#VALUE!</v>
      </c>
      <c r="GB382" t="e">
        <f>'North America'!198:198-"n/&gt;!3Gj"</f>
        <v>#VALUE!</v>
      </c>
      <c r="GC382" t="e">
        <f>'North America'!199:199-"n/&gt;!3Gk"</f>
        <v>#VALUE!</v>
      </c>
      <c r="GD382" t="e">
        <f>'North America'!200:200-"n/&gt;!3Gl"</f>
        <v>#VALUE!</v>
      </c>
      <c r="GE382" t="e">
        <f>'North America'!201:201-"n/&gt;!3Gm"</f>
        <v>#VALUE!</v>
      </c>
      <c r="GF382" t="e">
        <f>'North America'!202:202-"n/&gt;!3Gn"</f>
        <v>#VALUE!</v>
      </c>
      <c r="GG382" t="e">
        <f>'North America'!203:203-"n/&gt;!3Go"</f>
        <v>#VALUE!</v>
      </c>
      <c r="GH382" t="e">
        <f>'North America'!204:204-"n/&gt;!3Gp"</f>
        <v>#VALUE!</v>
      </c>
      <c r="GI382" t="e">
        <f>'North America'!205:205-"n/&gt;!3Gq"</f>
        <v>#VALUE!</v>
      </c>
      <c r="GJ382" t="e">
        <f>'North America'!206:206-"n/&gt;!3Gr"</f>
        <v>#VALUE!</v>
      </c>
      <c r="GK382" t="e">
        <f>'North America'!207:207-"n/&gt;!3Gs"</f>
        <v>#VALUE!</v>
      </c>
      <c r="GL382" t="e">
        <f>'North America'!208:208-"n/&gt;!3Gt"</f>
        <v>#VALUE!</v>
      </c>
      <c r="GM382" t="e">
        <f>'North America'!209:209-"n/&gt;!3Gu"</f>
        <v>#VALUE!</v>
      </c>
      <c r="GN382" t="e">
        <f>'North America'!210:210-"n/&gt;!3Gv"</f>
        <v>#VALUE!</v>
      </c>
      <c r="GO382" t="e">
        <f>'North America'!211:211-"n/&gt;!3Gw"</f>
        <v>#VALUE!</v>
      </c>
      <c r="GP382" t="e">
        <f>'North America'!212:212-"n/&gt;!3Gx"</f>
        <v>#VALUE!</v>
      </c>
      <c r="GQ382" t="e">
        <f>'North America'!213:213-"n/&gt;!3Gy"</f>
        <v>#VALUE!</v>
      </c>
      <c r="GR382" t="e">
        <f>'North America'!214:214-"n/&gt;!3Gz"</f>
        <v>#VALUE!</v>
      </c>
      <c r="GS382" t="e">
        <f>'North America'!215:215-"n/&gt;!3G{"</f>
        <v>#VALUE!</v>
      </c>
      <c r="GT382" t="e">
        <f>'North America'!216:216-"n/&gt;!3G|"</f>
        <v>#VALUE!</v>
      </c>
      <c r="GU382" t="e">
        <f>'North America'!217:217-"n/&gt;!3G}"</f>
        <v>#VALUE!</v>
      </c>
      <c r="GV382" t="e">
        <f>'North America'!218:218-"n/&gt;!3G~"</f>
        <v>#VALUE!</v>
      </c>
      <c r="GW382" t="e">
        <f>'North America'!219:219-"n/&gt;!3H#"</f>
        <v>#VALUE!</v>
      </c>
      <c r="GX382" t="e">
        <f>'North America'!220:220-"n/&gt;!3H$"</f>
        <v>#VALUE!</v>
      </c>
      <c r="GY382" t="e">
        <f>'North America'!221:221-"n/&gt;!3H%"</f>
        <v>#VALUE!</v>
      </c>
      <c r="GZ382" t="e">
        <f>'North America'!222:222-"n/&gt;!3H&amp;"</f>
        <v>#VALUE!</v>
      </c>
      <c r="HA382" t="e">
        <f>'North America'!223:223-"n/&gt;!3H'"</f>
        <v>#VALUE!</v>
      </c>
      <c r="HB382" t="e">
        <f>'North America'!224:224-"n/&gt;!3H("</f>
        <v>#VALUE!</v>
      </c>
      <c r="HC382" t="e">
        <f>'North America'!225:225-"n/&gt;!3H)"</f>
        <v>#VALUE!</v>
      </c>
      <c r="HD382" t="e">
        <f>'North America'!226:226-"n/&gt;!3H."</f>
        <v>#VALUE!</v>
      </c>
      <c r="HE382" t="e">
        <f>'North America'!227:227-"n/&gt;!3H/"</f>
        <v>#VALUE!</v>
      </c>
      <c r="HF382" t="e">
        <f>'North America'!228:228-"n/&gt;!3H0"</f>
        <v>#VALUE!</v>
      </c>
      <c r="HG382" t="e">
        <f>'North America'!229:229-"n/&gt;!3H1"</f>
        <v>#VALUE!</v>
      </c>
      <c r="HH382" t="e">
        <f>'North America'!230:230-"n/&gt;!3H2"</f>
        <v>#VALUE!</v>
      </c>
      <c r="HI382" t="e">
        <f>'North America'!231:231-"n/&gt;!3H3"</f>
        <v>#VALUE!</v>
      </c>
      <c r="HJ382" t="e">
        <f>'North America'!232:232-"n/&gt;!3H4"</f>
        <v>#VALUE!</v>
      </c>
      <c r="HK382" t="e">
        <f>'North America'!233:233-"n/&gt;!3H5"</f>
        <v>#VALUE!</v>
      </c>
      <c r="HL382" t="e">
        <f>'North America'!234:234-"n/&gt;!3H6"</f>
        <v>#VALUE!</v>
      </c>
      <c r="HM382" t="e">
        <f>'North America'!235:235-"n/&gt;!3H7"</f>
        <v>#VALUE!</v>
      </c>
      <c r="HN382" t="e">
        <f>'North America'!236:236-"n/&gt;!3H8"</f>
        <v>#VALUE!</v>
      </c>
      <c r="HO382" t="e">
        <f>'North America'!237:237-"n/&gt;!3H9"</f>
        <v>#VALUE!</v>
      </c>
      <c r="HP382" t="e">
        <f>'North America'!238:238-"n/&gt;!3H:"</f>
        <v>#VALUE!</v>
      </c>
      <c r="HQ382" t="e">
        <f>'North America'!239:239-"n/&gt;!3H;"</f>
        <v>#VALUE!</v>
      </c>
      <c r="HR382" t="e">
        <f>'North America'!240:240-"n/&gt;!3H&lt;"</f>
        <v>#VALUE!</v>
      </c>
      <c r="HS382" t="e">
        <f>'North America'!241:241-"n/&gt;!3H="</f>
        <v>#VALUE!</v>
      </c>
      <c r="HT382" t="e">
        <f>'North America'!242:242-"n/&gt;!3H&gt;"</f>
        <v>#VALUE!</v>
      </c>
      <c r="HU382" t="e">
        <f>'North America'!243:243-"n/&gt;!3H?"</f>
        <v>#VALUE!</v>
      </c>
      <c r="HV382" t="e">
        <f>'North America'!244:244-"n/&gt;!3H@"</f>
        <v>#VALUE!</v>
      </c>
      <c r="HW382" t="e">
        <f>'North America'!245:245-"n/&gt;!3HA"</f>
        <v>#VALUE!</v>
      </c>
      <c r="HX382" t="e">
        <f>'North America'!246:246-"n/&gt;!3HB"</f>
        <v>#VALUE!</v>
      </c>
      <c r="HY382" t="e">
        <f>'North America'!247:247-"n/&gt;!3HC"</f>
        <v>#VALUE!</v>
      </c>
      <c r="HZ382" t="e">
        <f>'North America'!248:248-"n/&gt;!3HD"</f>
        <v>#VALUE!</v>
      </c>
      <c r="IA382" t="e">
        <f>'North America'!249:249-"n/&gt;!3HE"</f>
        <v>#VALUE!</v>
      </c>
      <c r="IB382" t="e">
        <f>'North America'!250:250-"n/&gt;!3HF"</f>
        <v>#VALUE!</v>
      </c>
      <c r="IC382" t="e">
        <f>'North America'!251:251-"n/&gt;!3HG"</f>
        <v>#VALUE!</v>
      </c>
      <c r="ID382" t="e">
        <f>'North America'!252:252-"n/&gt;!3HH"</f>
        <v>#VALUE!</v>
      </c>
      <c r="IE382" t="e">
        <f>'North America'!253:253-"n/&gt;!3HI"</f>
        <v>#VALUE!</v>
      </c>
      <c r="IF382" t="e">
        <f>'North America'!254:254-"n/&gt;!3HJ"</f>
        <v>#VALUE!</v>
      </c>
      <c r="IG382" t="e">
        <f>'North America'!255:255-"n/&gt;!3HK"</f>
        <v>#VALUE!</v>
      </c>
      <c r="IH382" t="e">
        <f>'North America'!256:256-"n/&gt;!3HL"</f>
        <v>#VALUE!</v>
      </c>
      <c r="II382" t="e">
        <f>'North America'!257:257-"n/&gt;!3HM"</f>
        <v>#VALUE!</v>
      </c>
      <c r="IJ382" t="e">
        <f>'North America'!258:258-"n/&gt;!3HN"</f>
        <v>#VALUE!</v>
      </c>
      <c r="IK382" t="e">
        <f>'North America'!259:259-"n/&gt;!3HO"</f>
        <v>#VALUE!</v>
      </c>
      <c r="IL382" t="e">
        <f>'North America'!260:260-"n/&gt;!3HP"</f>
        <v>#VALUE!</v>
      </c>
      <c r="IM382" t="e">
        <f>'North America'!261:261-"n/&gt;!3HQ"</f>
        <v>#VALUE!</v>
      </c>
      <c r="IN382" t="e">
        <f>'North America'!262:262-"n/&gt;!3HR"</f>
        <v>#VALUE!</v>
      </c>
      <c r="IO382" t="e">
        <f>'North America'!263:263-"n/&gt;!3HS"</f>
        <v>#VALUE!</v>
      </c>
      <c r="IP382" t="e">
        <f>'North America'!264:264-"n/&gt;!3HT"</f>
        <v>#VALUE!</v>
      </c>
      <c r="IQ382" t="e">
        <f>'North America'!265:265-"n/&gt;!3HU"</f>
        <v>#VALUE!</v>
      </c>
      <c r="IR382" t="e">
        <f>'North America'!266:266-"n/&gt;!3HV"</f>
        <v>#VALUE!</v>
      </c>
      <c r="IS382" t="e">
        <f>'North America'!267:267-"n/&gt;!3HW"</f>
        <v>#VALUE!</v>
      </c>
      <c r="IT382" t="e">
        <f>'North America'!268:268-"n/&gt;!3HX"</f>
        <v>#VALUE!</v>
      </c>
      <c r="IU382" t="e">
        <f>'North America'!269:269-"n/&gt;!3HY"</f>
        <v>#VALUE!</v>
      </c>
      <c r="IV382" t="e">
        <f>'North America'!270:270-"n/&gt;!3HZ"</f>
        <v>#VALUE!</v>
      </c>
    </row>
    <row r="383" spans="6:256" x14ac:dyDescent="0.35">
      <c r="F383" t="e">
        <f>'North America'!271:271-"n/&gt;!3H["</f>
        <v>#VALUE!</v>
      </c>
      <c r="G383" t="e">
        <f>'North America'!272:272-"n/&gt;!3H\"</f>
        <v>#VALUE!</v>
      </c>
      <c r="H383" t="e">
        <f>'North America'!273:273-"n/&gt;!3H]"</f>
        <v>#VALUE!</v>
      </c>
      <c r="I383" t="e">
        <f>'North America'!274:274-"n/&gt;!3H^"</f>
        <v>#VALUE!</v>
      </c>
      <c r="J383" t="e">
        <f>'North America'!275:275-"n/&gt;!3H_"</f>
        <v>#VALUE!</v>
      </c>
      <c r="K383" t="e">
        <f>'North America'!276:276-"n/&gt;!3H`"</f>
        <v>#VALUE!</v>
      </c>
      <c r="L383" t="e">
        <f>'North America'!277:277-"n/&gt;!3Ha"</f>
        <v>#VALUE!</v>
      </c>
      <c r="M383" t="e">
        <f>'North America'!278:278-"n/&gt;!3Hb"</f>
        <v>#VALUE!</v>
      </c>
      <c r="N383" t="e">
        <f>'North America'!279:279-"n/&gt;!3Hc"</f>
        <v>#VALUE!</v>
      </c>
      <c r="O383" t="e">
        <f>'North America'!280:280-"n/&gt;!3Hd"</f>
        <v>#VALUE!</v>
      </c>
      <c r="P383" t="e">
        <f>'North America'!281:281-"n/&gt;!3He"</f>
        <v>#VALUE!</v>
      </c>
      <c r="Q383" t="e">
        <f>'North America'!282:282-"n/&gt;!3Hf"</f>
        <v>#VALUE!</v>
      </c>
      <c r="R383" t="e">
        <f>'North America'!283:283-"n/&gt;!3Hg"</f>
        <v>#VALUE!</v>
      </c>
      <c r="S383" t="e">
        <f>'North America'!284:284-"n/&gt;!3Hh"</f>
        <v>#VALUE!</v>
      </c>
      <c r="T383" t="e">
        <f>'North America'!285:285-"n/&gt;!3Hi"</f>
        <v>#VALUE!</v>
      </c>
      <c r="U383" t="e">
        <f>'North America'!286:286-"n/&gt;!3Hj"</f>
        <v>#VALUE!</v>
      </c>
      <c r="V383" t="e">
        <f>'North America'!287:287-"n/&gt;!3Hk"</f>
        <v>#VALUE!</v>
      </c>
      <c r="W383" t="e">
        <f>'North America'!288:288-"n/&gt;!3Hl"</f>
        <v>#VALUE!</v>
      </c>
      <c r="X383" t="e">
        <f>'North America'!289:289-"n/&gt;!3Hm"</f>
        <v>#VALUE!</v>
      </c>
      <c r="Y383" t="e">
        <f>'North America'!290:290-"n/&gt;!3Hn"</f>
        <v>#VALUE!</v>
      </c>
      <c r="Z383" t="e">
        <f>'North America'!291:291-"n/&gt;!3Ho"</f>
        <v>#VALUE!</v>
      </c>
      <c r="AA383" t="e">
        <f>'North America'!292:292-"n/&gt;!3Hp"</f>
        <v>#VALUE!</v>
      </c>
      <c r="AB383" t="e">
        <f>'North America'!293:293-"n/&gt;!3Hq"</f>
        <v>#VALUE!</v>
      </c>
      <c r="AC383" t="e">
        <f>'North America'!294:294-"n/&gt;!3Hr"</f>
        <v>#VALUE!</v>
      </c>
      <c r="AD383" t="e">
        <f>'North America'!295:295-"n/&gt;!3Hs"</f>
        <v>#VALUE!</v>
      </c>
      <c r="AE383" t="e">
        <f>'North America'!296:296-"n/&gt;!3Ht"</f>
        <v>#VALUE!</v>
      </c>
      <c r="AF383" t="e">
        <f>'North America'!297:297-"n/&gt;!3Hu"</f>
        <v>#VALUE!</v>
      </c>
      <c r="AG383" t="e">
        <f>'North America'!298:298-"n/&gt;!3Hv"</f>
        <v>#VALUE!</v>
      </c>
      <c r="AH383" t="e">
        <f>'North America'!299:299-"n/&gt;!3Hw"</f>
        <v>#VALUE!</v>
      </c>
      <c r="AI383" t="e">
        <f>'North America'!300:300-"n/&gt;!3Hx"</f>
        <v>#VALUE!</v>
      </c>
      <c r="AJ383" t="e">
        <f>'North America'!301:301-"n/&gt;!3Hy"</f>
        <v>#VALUE!</v>
      </c>
      <c r="AK383" t="e">
        <f>'North America'!302:302-"n/&gt;!3Hz"</f>
        <v>#VALUE!</v>
      </c>
      <c r="AL383" t="e">
        <f>'North America'!303:303-"n/&gt;!3H{"</f>
        <v>#VALUE!</v>
      </c>
      <c r="AM383" t="e">
        <f>'North America'!304:304-"n/&gt;!3H|"</f>
        <v>#VALUE!</v>
      </c>
      <c r="AN383" t="e">
        <f>'North America'!305:305-"n/&gt;!3H}"</f>
        <v>#VALUE!</v>
      </c>
      <c r="AO383" t="e">
        <f>'North America'!306:306-"n/&gt;!3H~"</f>
        <v>#VALUE!</v>
      </c>
      <c r="AP383" t="e">
        <f>'North America'!307:307-"n/&gt;!3I#"</f>
        <v>#VALUE!</v>
      </c>
      <c r="AQ383" t="e">
        <f>'North America'!308:308-"n/&gt;!3I$"</f>
        <v>#VALUE!</v>
      </c>
      <c r="AR383" t="e">
        <f>'North America'!309:309-"n/&gt;!3I%"</f>
        <v>#VALUE!</v>
      </c>
      <c r="AS383" t="e">
        <f>'North America'!310:310-"n/&gt;!3I&amp;"</f>
        <v>#VALUE!</v>
      </c>
      <c r="AT383" t="e">
        <f>'North America'!311:311-"n/&gt;!3I'"</f>
        <v>#VALUE!</v>
      </c>
      <c r="AU383" t="e">
        <f>'North America'!312:312-"n/&gt;!3I("</f>
        <v>#VALUE!</v>
      </c>
      <c r="AV383" t="e">
        <f>'North America'!313:313-"n/&gt;!3I)"</f>
        <v>#VALUE!</v>
      </c>
      <c r="AW383" t="e">
        <f>'North America'!314:314-"n/&gt;!3I."</f>
        <v>#VALUE!</v>
      </c>
      <c r="AX383" t="e">
        <f>'North America'!315:315-"n/&gt;!3I/"</f>
        <v>#VALUE!</v>
      </c>
      <c r="AY383" t="e">
        <f>'North America'!316:316-"n/&gt;!3I0"</f>
        <v>#VALUE!</v>
      </c>
      <c r="AZ383" t="e">
        <f>'North America'!317:317-"n/&gt;!3I1"</f>
        <v>#VALUE!</v>
      </c>
      <c r="BA383" t="e">
        <f>'North America'!318:318-"n/&gt;!3I2"</f>
        <v>#VALUE!</v>
      </c>
      <c r="BB383" t="e">
        <f>'North America'!319:319-"n/&gt;!3I3"</f>
        <v>#VALUE!</v>
      </c>
      <c r="BC383" t="e">
        <f>'North America'!320:320-"n/&gt;!3I4"</f>
        <v>#VALUE!</v>
      </c>
      <c r="BD383" t="e">
        <f>'North America'!321:321-"n/&gt;!3I5"</f>
        <v>#VALUE!</v>
      </c>
      <c r="BE383" t="e">
        <f>'North America'!322:322-"n/&gt;!3I6"</f>
        <v>#VALUE!</v>
      </c>
      <c r="BF383" t="e">
        <f>'North America'!323:323-"n/&gt;!3I7"</f>
        <v>#VALUE!</v>
      </c>
      <c r="BG383" t="e">
        <f>'North America'!324:324-"n/&gt;!3I8"</f>
        <v>#VALUE!</v>
      </c>
      <c r="BH383" t="e">
        <f>'North America'!325:325-"n/&gt;!3I9"</f>
        <v>#VALUE!</v>
      </c>
      <c r="BI383" t="e">
        <f>'North America'!326:326-"n/&gt;!3I:"</f>
        <v>#VALUE!</v>
      </c>
      <c r="BJ383" t="e">
        <f>'North America'!327:327-"n/&gt;!3I;"</f>
        <v>#VALUE!</v>
      </c>
      <c r="BK383" t="e">
        <f>'North America'!328:328-"n/&gt;!3I&lt;"</f>
        <v>#VALUE!</v>
      </c>
      <c r="BL383" t="e">
        <f>'North America'!329:329-"n/&gt;!3I="</f>
        <v>#VALUE!</v>
      </c>
      <c r="BM383" t="e">
        <f>'North America'!330:330-"n/&gt;!3I&gt;"</f>
        <v>#VALUE!</v>
      </c>
      <c r="BN383" t="e">
        <f>'North America'!331:331-"n/&gt;!3I?"</f>
        <v>#VALUE!</v>
      </c>
      <c r="BO383" t="e">
        <f>'North America'!332:332-"n/&gt;!3I@"</f>
        <v>#VALUE!</v>
      </c>
      <c r="BP383" t="e">
        <f>'North America'!333:333-"n/&gt;!3IA"</f>
        <v>#VALUE!</v>
      </c>
      <c r="BQ383" t="e">
        <f>'North America'!334:334-"n/&gt;!3IB"</f>
        <v>#VALUE!</v>
      </c>
      <c r="BR383" t="e">
        <f>'North America'!335:335-"n/&gt;!3IC"</f>
        <v>#VALUE!</v>
      </c>
      <c r="BS383" t="e">
        <f>'North America'!336:336-"n/&gt;!3ID"</f>
        <v>#VALUE!</v>
      </c>
      <c r="BT383" t="e">
        <f>'North America'!337:337-"n/&gt;!3IE"</f>
        <v>#VALUE!</v>
      </c>
      <c r="BU383" t="e">
        <f>'North America'!338:338-"n/&gt;!3IF"</f>
        <v>#VALUE!</v>
      </c>
      <c r="BV383" t="e">
        <f>'North America'!339:339-"n/&gt;!3IG"</f>
        <v>#VALUE!</v>
      </c>
      <c r="BW383" t="e">
        <f>'North America'!340:340-"n/&gt;!3IH"</f>
        <v>#VALUE!</v>
      </c>
      <c r="BX383" t="e">
        <f>'North America'!341:341-"n/&gt;!3II"</f>
        <v>#VALUE!</v>
      </c>
      <c r="BY383" t="e">
        <f>'North America'!342:342-"n/&gt;!3IJ"</f>
        <v>#VALUE!</v>
      </c>
      <c r="BZ383" t="e">
        <f>'North America'!343:343-"n/&gt;!3IK"</f>
        <v>#VALUE!</v>
      </c>
      <c r="CA383" t="e">
        <f>'North America'!344:344-"n/&gt;!3IL"</f>
        <v>#VALUE!</v>
      </c>
      <c r="CB383" t="e">
        <f>'North America'!345:345-"n/&gt;!3IM"</f>
        <v>#VALUE!</v>
      </c>
      <c r="CC383" t="e">
        <f>'North America'!346:346-"n/&gt;!3IN"</f>
        <v>#VALUE!</v>
      </c>
      <c r="CD383" t="e">
        <f>'North America'!347:347-"n/&gt;!3IO"</f>
        <v>#VALUE!</v>
      </c>
      <c r="CE383" t="e">
        <f>'North America'!348:348-"n/&gt;!3IP"</f>
        <v>#VALUE!</v>
      </c>
      <c r="CF383" t="e">
        <f>'North America'!349:349-"n/&gt;!3IQ"</f>
        <v>#VALUE!</v>
      </c>
      <c r="CG383" t="e">
        <f>'North America'!350:350-"n/&gt;!3IR"</f>
        <v>#VALUE!</v>
      </c>
      <c r="CH383" t="e">
        <f>'North America'!351:351-"n/&gt;!3IS"</f>
        <v>#VALUE!</v>
      </c>
      <c r="CI383" t="e">
        <f>'North America'!352:352-"n/&gt;!3IT"</f>
        <v>#VALUE!</v>
      </c>
      <c r="CJ383" t="e">
        <f>'North America'!353:353-"n/&gt;!3IU"</f>
        <v>#VALUE!</v>
      </c>
      <c r="CK383" t="e">
        <f>'North America'!354:354-"n/&gt;!3IV"</f>
        <v>#VALUE!</v>
      </c>
      <c r="CL383" t="e">
        <f>'North America'!355:355-"n/&gt;!3IW"</f>
        <v>#VALUE!</v>
      </c>
      <c r="CM383" t="e">
        <f>'North America'!356:356-"n/&gt;!3IX"</f>
        <v>#VALUE!</v>
      </c>
      <c r="CN383" t="e">
        <f>'North America'!357:357-"n/&gt;!3IY"</f>
        <v>#VALUE!</v>
      </c>
      <c r="CO383" t="e">
        <f>'North America'!358:358-"n/&gt;!3IZ"</f>
        <v>#VALUE!</v>
      </c>
      <c r="CP383" t="e">
        <f>'North America'!359:359-"n/&gt;!3I["</f>
        <v>#VALUE!</v>
      </c>
      <c r="CQ383" t="e">
        <f>'North America'!360:360-"n/&gt;!3I\"</f>
        <v>#VALUE!</v>
      </c>
      <c r="CR383" t="e">
        <f>'North America'!361:361-"n/&gt;!3I]"</f>
        <v>#VALUE!</v>
      </c>
      <c r="CS383" t="e">
        <f>'North America'!362:362-"n/&gt;!3I^"</f>
        <v>#VALUE!</v>
      </c>
      <c r="CT383" t="e">
        <f>'North America'!363:363-"n/&gt;!3I_"</f>
        <v>#VALUE!</v>
      </c>
      <c r="CU383" t="e">
        <f>'North America'!364:364-"n/&gt;!3I`"</f>
        <v>#VALUE!</v>
      </c>
      <c r="CV383" t="e">
        <f>'North America'!365:365-"n/&gt;!3Ia"</f>
        <v>#VALUE!</v>
      </c>
      <c r="CW383" t="e">
        <f>'North America'!366:366-"n/&gt;!3Ib"</f>
        <v>#VALUE!</v>
      </c>
      <c r="CX383" t="e">
        <f>'North America'!367:367-"n/&gt;!3Ic"</f>
        <v>#VALUE!</v>
      </c>
      <c r="CY383" t="e">
        <f>'North America'!368:368-"n/&gt;!3Id"</f>
        <v>#VALUE!</v>
      </c>
      <c r="CZ383" t="e">
        <f>'North America'!369:369-"n/&gt;!3Ie"</f>
        <v>#VALUE!</v>
      </c>
      <c r="DA383" t="e">
        <f>'North America'!370:370-"n/&gt;!3If"</f>
        <v>#VALUE!</v>
      </c>
      <c r="DB383" t="e">
        <f>'North America'!371:371-"n/&gt;!3Ig"</f>
        <v>#VALUE!</v>
      </c>
      <c r="DC383" t="e">
        <f>'North America'!372:372-"n/&gt;!3Ih"</f>
        <v>#VALUE!</v>
      </c>
      <c r="DD383" t="e">
        <f>'North America'!373:373-"n/&gt;!3Ii"</f>
        <v>#VALUE!</v>
      </c>
      <c r="DE383" t="e">
        <f>'North America'!374:374-"n/&gt;!3Ij"</f>
        <v>#VALUE!</v>
      </c>
      <c r="DF383" t="e">
        <f>'North America'!375:375-"n/&gt;!3Ik"</f>
        <v>#VALUE!</v>
      </c>
      <c r="DG383" t="e">
        <f>'North America'!376:376-"n/&gt;!3Il"</f>
        <v>#VALUE!</v>
      </c>
      <c r="DH383" t="e">
        <f>'North America'!377:377-"n/&gt;!3Im"</f>
        <v>#VALUE!</v>
      </c>
      <c r="DI383" t="e">
        <f>'North America'!378:378-"n/&gt;!3In"</f>
        <v>#VALUE!</v>
      </c>
      <c r="DJ383" t="e">
        <f>'North America'!379:379-"n/&gt;!3Io"</f>
        <v>#VALUE!</v>
      </c>
      <c r="DK383" t="e">
        <f>'North America'!380:380-"n/&gt;!3Ip"</f>
        <v>#VALUE!</v>
      </c>
      <c r="DL383" t="e">
        <f>'North America'!381:381-"n/&gt;!3Iq"</f>
        <v>#VALUE!</v>
      </c>
      <c r="DM383" t="e">
        <f>'North America'!382:382-"n/&gt;!3Ir"</f>
        <v>#VALUE!</v>
      </c>
      <c r="DN383" t="e">
        <f>'North America'!383:383-"n/&gt;!3Is"</f>
        <v>#VALUE!</v>
      </c>
      <c r="DO383" t="e">
        <f>'North America'!384:384-"n/&gt;!3It"</f>
        <v>#VALUE!</v>
      </c>
      <c r="DP383" t="e">
        <f>'North America'!385:385-"n/&gt;!3Iu"</f>
        <v>#VALUE!</v>
      </c>
      <c r="DQ383" t="e">
        <f>'North America'!386:386-"n/&gt;!3Iv"</f>
        <v>#VALUE!</v>
      </c>
      <c r="DR383" t="e">
        <f>'North America'!387:387-"n/&gt;!3Iw"</f>
        <v>#VALUE!</v>
      </c>
      <c r="DS383" t="e">
        <f>'North America'!388:388-"n/&gt;!3Ix"</f>
        <v>#VALUE!</v>
      </c>
      <c r="DT383" t="e">
        <f>'North America'!389:389-"n/&gt;!3Iy"</f>
        <v>#VALUE!</v>
      </c>
      <c r="DU383" t="e">
        <f>'North America'!390:390-"n/&gt;!3Iz"</f>
        <v>#VALUE!</v>
      </c>
      <c r="DV383" t="e">
        <f>'North America'!391:391-"n/&gt;!3I{"</f>
        <v>#VALUE!</v>
      </c>
      <c r="DW383" t="e">
        <f>'North America'!392:392-"n/&gt;!3I|"</f>
        <v>#VALUE!</v>
      </c>
      <c r="DX383" t="e">
        <f>'North America'!393:393-"n/&gt;!3I}"</f>
        <v>#VALUE!</v>
      </c>
      <c r="DY383" t="e">
        <f>'North America'!394:394-"n/&gt;!3I~"</f>
        <v>#VALUE!</v>
      </c>
      <c r="DZ383" t="e">
        <f>'North America'!395:395-"n/&gt;!3J#"</f>
        <v>#VALUE!</v>
      </c>
      <c r="EA383" t="e">
        <f>'North America'!396:396-"n/&gt;!3J$"</f>
        <v>#VALUE!</v>
      </c>
      <c r="EB383" t="e">
        <f>'North America'!397:397-"n/&gt;!3J%"</f>
        <v>#VALUE!</v>
      </c>
      <c r="EC383" t="e">
        <f>'North America'!398:398-"n/&gt;!3J&amp;"</f>
        <v>#VALUE!</v>
      </c>
      <c r="ED383" t="e">
        <f>'North America'!399:399-"n/&gt;!3J'"</f>
        <v>#VALUE!</v>
      </c>
      <c r="EE383" t="e">
        <f>'North America'!400:400-"n/&gt;!3J("</f>
        <v>#VALUE!</v>
      </c>
      <c r="EF383" t="e">
        <f>'North America'!401:401-"n/&gt;!3J)"</f>
        <v>#VALUE!</v>
      </c>
      <c r="EG383" t="e">
        <f>'North America'!402:402-"n/&gt;!3J."</f>
        <v>#VALUE!</v>
      </c>
      <c r="EH383" t="e">
        <f>'North America'!403:403-"n/&gt;!3J/"</f>
        <v>#VALUE!</v>
      </c>
      <c r="EI383" t="e">
        <f>'North America'!404:404-"n/&gt;!3J0"</f>
        <v>#VALUE!</v>
      </c>
      <c r="EJ383" t="e">
        <f>'North America'!405:405-"n/&gt;!3J1"</f>
        <v>#VALUE!</v>
      </c>
      <c r="EK383" t="e">
        <f>'North America'!406:406-"n/&gt;!3J2"</f>
        <v>#VALUE!</v>
      </c>
      <c r="EL383" t="e">
        <f>'North America'!407:407-"n/&gt;!3J3"</f>
        <v>#VALUE!</v>
      </c>
      <c r="EM383" t="e">
        <f>'North America'!408:408-"n/&gt;!3J4"</f>
        <v>#VALUE!</v>
      </c>
      <c r="EN383" t="e">
        <f>'North America'!409:409-"n/&gt;!3J5"</f>
        <v>#VALUE!</v>
      </c>
      <c r="EO383" t="e">
        <f>'North America'!410:410-"n/&gt;!3J6"</f>
        <v>#VALUE!</v>
      </c>
      <c r="EP383" t="e">
        <f>'North America'!411:411-"n/&gt;!3J7"</f>
        <v>#VALUE!</v>
      </c>
      <c r="EQ383" t="e">
        <f>'North America'!412:412-"n/&gt;!3J8"</f>
        <v>#VALUE!</v>
      </c>
      <c r="ER383" t="e">
        <f>'North America'!413:413-"n/&gt;!3J9"</f>
        <v>#VALUE!</v>
      </c>
      <c r="ES383" t="e">
        <f>'North America'!414:414-"n/&gt;!3J:"</f>
        <v>#VALUE!</v>
      </c>
      <c r="ET383" t="e">
        <f>'North America'!415:415-"n/&gt;!3J;"</f>
        <v>#VALUE!</v>
      </c>
      <c r="EU383" t="e">
        <f>'North America'!416:416-"n/&gt;!3J&lt;"</f>
        <v>#VALUE!</v>
      </c>
      <c r="EV383" t="e">
        <f>'North America'!417:417-"n/&gt;!3J="</f>
        <v>#VALUE!</v>
      </c>
      <c r="EW383" t="e">
        <f>'North America'!418:418-"n/&gt;!3J&gt;"</f>
        <v>#VALUE!</v>
      </c>
      <c r="EX383" t="e">
        <f>'North America'!419:419-"n/&gt;!3J?"</f>
        <v>#VALUE!</v>
      </c>
      <c r="EY383" t="e">
        <f>'North America'!420:420-"n/&gt;!3J@"</f>
        <v>#VALUE!</v>
      </c>
      <c r="EZ383" t="e">
        <f>'North America'!421:421-"n/&gt;!3JA"</f>
        <v>#VALUE!</v>
      </c>
      <c r="FA383" t="e">
        <f>'North America'!422:422-"n/&gt;!3JB"</f>
        <v>#VALUE!</v>
      </c>
      <c r="FB383" t="e">
        <f>'North America'!423:423-"n/&gt;!3JC"</f>
        <v>#VALUE!</v>
      </c>
      <c r="FC383" t="e">
        <f>'North America'!424:424-"n/&gt;!3JD"</f>
        <v>#VALUE!</v>
      </c>
      <c r="FD383" t="e">
        <f>'North America'!425:425-"n/&gt;!3JE"</f>
        <v>#VALUE!</v>
      </c>
      <c r="FE383" t="e">
        <f>'North America'!426:426-"n/&gt;!3JF"</f>
        <v>#VALUE!</v>
      </c>
      <c r="FF383" t="e">
        <f>'North America'!427:427-"n/&gt;!3JG"</f>
        <v>#VALUE!</v>
      </c>
      <c r="FG383" t="e">
        <f>'North America'!428:428-"n/&gt;!3JH"</f>
        <v>#VALUE!</v>
      </c>
      <c r="FH383" t="e">
        <f>'North America'!429:429-"n/&gt;!3JI"</f>
        <v>#VALUE!</v>
      </c>
      <c r="FI383" t="e">
        <f>'North America'!430:430-"n/&gt;!3JJ"</f>
        <v>#VALUE!</v>
      </c>
      <c r="FJ383" t="e">
        <f>'North America'!431:431-"n/&gt;!3JK"</f>
        <v>#VALUE!</v>
      </c>
      <c r="FK383" t="e">
        <f>'North America'!432:432-"n/&gt;!3JL"</f>
        <v>#VALUE!</v>
      </c>
      <c r="FL383" t="e">
        <f>'North America'!433:433-"n/&gt;!3JM"</f>
        <v>#VALUE!</v>
      </c>
      <c r="FM383" t="e">
        <f>'North America'!434:434-"n/&gt;!3JN"</f>
        <v>#VALUE!</v>
      </c>
      <c r="FN383" t="e">
        <f>'North America'!435:435-"n/&gt;!3JO"</f>
        <v>#VALUE!</v>
      </c>
      <c r="FO383" t="e">
        <f>'North America'!436:436-"n/&gt;!3JP"</f>
        <v>#VALUE!</v>
      </c>
      <c r="FP383" t="e">
        <f>'North America'!437:437-"n/&gt;!3JQ"</f>
        <v>#VALUE!</v>
      </c>
      <c r="FQ383" t="e">
        <f>'North America'!438:438-"n/&gt;!3JR"</f>
        <v>#VALUE!</v>
      </c>
      <c r="FR383" t="e">
        <f>'North America'!439:439-"n/&gt;!3JS"</f>
        <v>#VALUE!</v>
      </c>
      <c r="FS383" t="e">
        <f>'North America'!440:440-"n/&gt;!3JT"</f>
        <v>#VALUE!</v>
      </c>
      <c r="FT383" t="e">
        <f>'North America'!441:441-"n/&gt;!3JU"</f>
        <v>#VALUE!</v>
      </c>
      <c r="FU383" t="e">
        <f>'North America'!442:442-"n/&gt;!3JV"</f>
        <v>#VALUE!</v>
      </c>
      <c r="FV383" t="e">
        <f>'North America'!443:443-"n/&gt;!3JW"</f>
        <v>#VALUE!</v>
      </c>
      <c r="FW383" t="e">
        <f>'North America'!444:444-"n/&gt;!3JX"</f>
        <v>#VALUE!</v>
      </c>
      <c r="FX383" t="e">
        <f>'North America'!445:445-"n/&gt;!3JY"</f>
        <v>#VALUE!</v>
      </c>
      <c r="FY383" t="e">
        <f>'North America'!446:446-"n/&gt;!3JZ"</f>
        <v>#VALUE!</v>
      </c>
      <c r="FZ383" t="e">
        <f>'North America'!447:447-"n/&gt;!3J["</f>
        <v>#VALUE!</v>
      </c>
      <c r="GA383" t="e">
        <f>'North America'!448:448-"n/&gt;!3J\"</f>
        <v>#VALUE!</v>
      </c>
      <c r="GB383" t="e">
        <f>'North America'!449:449-"n/&gt;!3J]"</f>
        <v>#VALUE!</v>
      </c>
      <c r="GC383" t="e">
        <f>'North America'!450:450-"n/&gt;!3J^"</f>
        <v>#VALUE!</v>
      </c>
      <c r="GD383" t="e">
        <f>'North America'!451:451-"n/&gt;!3J_"</f>
        <v>#VALUE!</v>
      </c>
      <c r="GE383" t="e">
        <f>'North America'!452:452-"n/&gt;!3J`"</f>
        <v>#VALUE!</v>
      </c>
      <c r="GF383" t="e">
        <f>'North America'!453:453-"n/&gt;!3Ja"</f>
        <v>#VALUE!</v>
      </c>
      <c r="GG383" t="e">
        <f>'North America'!454:454-"n/&gt;!3Jb"</f>
        <v>#VALUE!</v>
      </c>
      <c r="GH383" t="e">
        <f>'North America'!455:455-"n/&gt;!3Jc"</f>
        <v>#VALUE!</v>
      </c>
      <c r="GI383" t="e">
        <f>'North America'!456:456-"n/&gt;!3Jd"</f>
        <v>#VALUE!</v>
      </c>
      <c r="GJ383" t="e">
        <f>'North America'!457:457-"n/&gt;!3Je"</f>
        <v>#VALUE!</v>
      </c>
      <c r="GK383" t="e">
        <f>'North America'!458:458-"n/&gt;!3Jf"</f>
        <v>#VALUE!</v>
      </c>
      <c r="GL383" t="e">
        <f>'North America'!459:459-"n/&gt;!3Jg"</f>
        <v>#VALUE!</v>
      </c>
      <c r="GM383" t="e">
        <f>'North America'!460:460-"n/&gt;!3Jh"</f>
        <v>#VALUE!</v>
      </c>
      <c r="GN383" t="e">
        <f>'North America'!461:461-"n/&gt;!3Ji"</f>
        <v>#VALUE!</v>
      </c>
      <c r="GO383" t="e">
        <f>'North America'!462:462-"n/&gt;!3Jj"</f>
        <v>#VALUE!</v>
      </c>
      <c r="GP383" t="e">
        <f>'North America'!463:463-"n/&gt;!3Jk"</f>
        <v>#VALUE!</v>
      </c>
      <c r="GQ383" t="e">
        <f>'North America'!464:464-"n/&gt;!3Jl"</f>
        <v>#VALUE!</v>
      </c>
      <c r="GR383" t="e">
        <f>'North America'!465:465-"n/&gt;!3Jm"</f>
        <v>#VALUE!</v>
      </c>
      <c r="GS383" t="e">
        <f>'North America'!466:466-"n/&gt;!3Jn"</f>
        <v>#VALUE!</v>
      </c>
      <c r="GT383" t="e">
        <f>'North America'!467:467-"n/&gt;!3Jo"</f>
        <v>#VALUE!</v>
      </c>
      <c r="GU383" t="e">
        <f>'North America'!468:468-"n/&gt;!3Jp"</f>
        <v>#VALUE!</v>
      </c>
      <c r="GV383" t="e">
        <f>'North America'!469:469-"n/&gt;!3Jq"</f>
        <v>#VALUE!</v>
      </c>
      <c r="GW383" t="e">
        <f>'North America'!470:470-"n/&gt;!3Jr"</f>
        <v>#VALUE!</v>
      </c>
      <c r="GX383" t="e">
        <f>'North America'!471:471-"n/&gt;!3Js"</f>
        <v>#VALUE!</v>
      </c>
      <c r="GY383" t="e">
        <f>'North America'!472:472-"n/&gt;!3Jt"</f>
        <v>#VALUE!</v>
      </c>
      <c r="GZ383" t="e">
        <f>'North America'!473:473-"n/&gt;!3Ju"</f>
        <v>#VALUE!</v>
      </c>
      <c r="HA383" t="e">
        <f>'North America'!474:474-"n/&gt;!3Jv"</f>
        <v>#VALUE!</v>
      </c>
      <c r="HB383" t="e">
        <f>'North America'!475:475-"n/&gt;!3Jw"</f>
        <v>#VALUE!</v>
      </c>
      <c r="HC383" t="e">
        <f>'North America'!476:476-"n/&gt;!3Jx"</f>
        <v>#VALUE!</v>
      </c>
      <c r="HD383" t="e">
        <f>'North America'!477:477-"n/&gt;!3Jy"</f>
        <v>#VALUE!</v>
      </c>
      <c r="HE383" t="e">
        <f>'North America'!478:478-"n/&gt;!3Jz"</f>
        <v>#VALUE!</v>
      </c>
      <c r="HF383" t="e">
        <f>'North America'!479:479-"n/&gt;!3J{"</f>
        <v>#VALUE!</v>
      </c>
      <c r="HG383" t="e">
        <f>'North America'!480:480-"n/&gt;!3J|"</f>
        <v>#VALUE!</v>
      </c>
      <c r="HH383" t="e">
        <f>'North America'!481:481-"n/&gt;!3J}"</f>
        <v>#VALUE!</v>
      </c>
      <c r="HI383" t="e">
        <f>'North America'!482:482-"n/&gt;!3J~"</f>
        <v>#VALUE!</v>
      </c>
      <c r="HJ383" t="e">
        <f>'North America'!483:483-"n/&gt;!3K#"</f>
        <v>#VALUE!</v>
      </c>
      <c r="HK383" t="e">
        <f>'North America'!484:484-"n/&gt;!3K$"</f>
        <v>#VALUE!</v>
      </c>
      <c r="HL383" t="e">
        <f>'North America'!485:485-"n/&gt;!3K%"</f>
        <v>#VALUE!</v>
      </c>
      <c r="HM383" t="e">
        <f>'North America'!486:486-"n/&gt;!3K&amp;"</f>
        <v>#VALUE!</v>
      </c>
      <c r="HN383" t="e">
        <f>'North America'!487:487-"n/&gt;!3K'"</f>
        <v>#VALUE!</v>
      </c>
      <c r="HO383" t="e">
        <f>'North America'!488:488-"n/&gt;!3K("</f>
        <v>#VALUE!</v>
      </c>
      <c r="HP383" t="e">
        <f>'North America'!489:489-"n/&gt;!3K)"</f>
        <v>#VALUE!</v>
      </c>
      <c r="HQ383" t="e">
        <f>'North America'!490:490-"n/&gt;!3K."</f>
        <v>#VALUE!</v>
      </c>
      <c r="HR383" t="e">
        <f>'North America'!491:491-"n/&gt;!3K/"</f>
        <v>#VALUE!</v>
      </c>
      <c r="HS383" t="e">
        <f>'North America'!492:492-"n/&gt;!3K0"</f>
        <v>#VALUE!</v>
      </c>
      <c r="HT383" t="e">
        <f>'North America'!493:493-"n/&gt;!3K1"</f>
        <v>#VALUE!</v>
      </c>
      <c r="HU383" t="e">
        <f>'North America'!494:494-"n/&gt;!3K2"</f>
        <v>#VALUE!</v>
      </c>
      <c r="HV383" t="e">
        <f>'North America'!495:495-"n/&gt;!3K3"</f>
        <v>#VALUE!</v>
      </c>
      <c r="HW383" t="e">
        <f>'North America'!496:496-"n/&gt;!3K4"</f>
        <v>#VALUE!</v>
      </c>
      <c r="HX383" t="e">
        <f>'North America'!497:497-"n/&gt;!3K5"</f>
        <v>#VALUE!</v>
      </c>
      <c r="HY383" t="e">
        <f>'North America'!498:498-"n/&gt;!3K6"</f>
        <v>#VALUE!</v>
      </c>
      <c r="HZ383" t="e">
        <f>'North America'!499:499-"n/&gt;!3K7"</f>
        <v>#VALUE!</v>
      </c>
      <c r="IA383" t="e">
        <f>'North America'!500:500-"n/&gt;!3K8"</f>
        <v>#VALUE!</v>
      </c>
      <c r="IB383" t="e">
        <f>'North America'!501:501-"n/&gt;!3K9"</f>
        <v>#VALUE!</v>
      </c>
      <c r="IC383" t="e">
        <f>'North America'!502:502-"n/&gt;!3K:"</f>
        <v>#VALUE!</v>
      </c>
      <c r="ID383" t="e">
        <f>'North America'!503:503-"n/&gt;!3K;"</f>
        <v>#VALUE!</v>
      </c>
      <c r="IE383" t="e">
        <f>'North America'!504:504-"n/&gt;!3K&lt;"</f>
        <v>#VALUE!</v>
      </c>
      <c r="IF383" t="e">
        <f>'North America'!505:505-"n/&gt;!3K="</f>
        <v>#VALUE!</v>
      </c>
      <c r="IG383" t="e">
        <f>'North America'!506:506-"n/&gt;!3K&gt;"</f>
        <v>#VALUE!</v>
      </c>
      <c r="IH383" t="e">
        <f>'North America'!507:507-"n/&gt;!3K?"</f>
        <v>#VALUE!</v>
      </c>
      <c r="II383" t="e">
        <f>'North America'!508:508-"n/&gt;!3K@"</f>
        <v>#VALUE!</v>
      </c>
      <c r="IJ383" t="e">
        <f>'North America'!509:509-"n/&gt;!3KA"</f>
        <v>#VALUE!</v>
      </c>
      <c r="IK383" t="e">
        <f>'North America'!510:510-"n/&gt;!3KB"</f>
        <v>#VALUE!</v>
      </c>
      <c r="IL383" t="e">
        <f>'North America'!511:511-"n/&gt;!3KC"</f>
        <v>#VALUE!</v>
      </c>
      <c r="IM383" t="e">
        <f>'North America'!512:512-"n/&gt;!3KD"</f>
        <v>#VALUE!</v>
      </c>
      <c r="IN383" t="e">
        <f>'North America'!513:513-"n/&gt;!3KE"</f>
        <v>#VALUE!</v>
      </c>
      <c r="IO383" t="e">
        <f>'North America'!514:514-"n/&gt;!3KF"</f>
        <v>#VALUE!</v>
      </c>
      <c r="IP383" t="e">
        <f>'North America'!515:515-"n/&gt;!3KG"</f>
        <v>#VALUE!</v>
      </c>
      <c r="IQ383" t="e">
        <f>'North America'!516:516-"n/&gt;!3KH"</f>
        <v>#VALUE!</v>
      </c>
      <c r="IR383" t="e">
        <f>'North America'!517:517-"n/&gt;!3KI"</f>
        <v>#VALUE!</v>
      </c>
      <c r="IS383" t="e">
        <f>'North America'!518:518-"n/&gt;!3KJ"</f>
        <v>#VALUE!</v>
      </c>
      <c r="IT383" t="e">
        <f>'North America'!519:519-"n/&gt;!3KK"</f>
        <v>#VALUE!</v>
      </c>
      <c r="IU383" t="e">
        <f>'North America'!520:520-"n/&gt;!3KL"</f>
        <v>#VALUE!</v>
      </c>
      <c r="IV383" t="e">
        <f>'North America'!521:521-"n/&gt;!3KM"</f>
        <v>#VALUE!</v>
      </c>
    </row>
    <row r="384" spans="6:256" x14ac:dyDescent="0.35">
      <c r="F384" t="e">
        <f>'North America'!522:522-"n/&gt;!3KN"</f>
        <v>#VALUE!</v>
      </c>
      <c r="G384" t="e">
        <f>'North America'!523:523-"n/&gt;!3KO"</f>
        <v>#VALUE!</v>
      </c>
      <c r="H384" t="e">
        <f>'North America'!524:524-"n/&gt;!3KP"</f>
        <v>#VALUE!</v>
      </c>
      <c r="I384" t="e">
        <f>'North America'!525:525-"n/&gt;!3KQ"</f>
        <v>#VALUE!</v>
      </c>
      <c r="J384" t="e">
        <f>'North America'!526:526-"n/&gt;!3KR"</f>
        <v>#VALUE!</v>
      </c>
      <c r="K384" t="e">
        <f>'North America'!527:527-"n/&gt;!3KS"</f>
        <v>#VALUE!</v>
      </c>
      <c r="L384" t="e">
        <f>'North America'!528:528-"n/&gt;!3KT"</f>
        <v>#VALUE!</v>
      </c>
      <c r="M384" t="e">
        <f>'North America'!529:529-"n/&gt;!3KU"</f>
        <v>#VALUE!</v>
      </c>
      <c r="N384" t="e">
        <f>'North America'!530:530-"n/&gt;!3KV"</f>
        <v>#VALUE!</v>
      </c>
      <c r="O384" t="e">
        <f>'North America'!531:531-"n/&gt;!3KW"</f>
        <v>#VALUE!</v>
      </c>
      <c r="P384" t="e">
        <f>'North America'!532:532-"n/&gt;!3KX"</f>
        <v>#VALUE!</v>
      </c>
      <c r="Q384" t="e">
        <f>'North America'!533:533-"n/&gt;!3KY"</f>
        <v>#VALUE!</v>
      </c>
      <c r="R384" t="e">
        <f>'North America'!534:534-"n/&gt;!3KZ"</f>
        <v>#VALUE!</v>
      </c>
      <c r="S384" t="e">
        <f>'North America'!535:535-"n/&gt;!3K["</f>
        <v>#VALUE!</v>
      </c>
      <c r="T384" t="e">
        <f>'North America'!536:536-"n/&gt;!3K\"</f>
        <v>#VALUE!</v>
      </c>
      <c r="U384" t="e">
        <f>'North America'!537:537-"n/&gt;!3K]"</f>
        <v>#VALUE!</v>
      </c>
      <c r="V384" t="e">
        <f>'North America'!538:538-"n/&gt;!3K^"</f>
        <v>#VALUE!</v>
      </c>
      <c r="W384" t="e">
        <f>'North America'!539:539-"n/&gt;!3K_"</f>
        <v>#VALUE!</v>
      </c>
      <c r="X384" t="e">
        <f>'North America'!540:540-"n/&gt;!3K`"</f>
        <v>#VALUE!</v>
      </c>
      <c r="Y384" t="e">
        <f>'North America'!541:541-"n/&gt;!3Ka"</f>
        <v>#VALUE!</v>
      </c>
      <c r="Z384" t="e">
        <f>'North America'!542:542-"n/&gt;!3Kb"</f>
        <v>#VALUE!</v>
      </c>
      <c r="AA384" t="e">
        <f>'North America'!543:543-"n/&gt;!3Kc"</f>
        <v>#VALUE!</v>
      </c>
      <c r="AB384" t="e">
        <f>'North America'!544:544-"n/&gt;!3Kd"</f>
        <v>#VALUE!</v>
      </c>
      <c r="AC384" t="e">
        <f>'North America'!545:545-"n/&gt;!3Ke"</f>
        <v>#VALUE!</v>
      </c>
      <c r="AD384" t="e">
        <f>'North America'!546:546-"n/&gt;!3Kf"</f>
        <v>#VALUE!</v>
      </c>
      <c r="AE384" t="e">
        <f>'North America'!547:547-"n/&gt;!3Kg"</f>
        <v>#VALUE!</v>
      </c>
      <c r="AF384" t="e">
        <f>'North America'!548:548-"n/&gt;!3Kh"</f>
        <v>#VALUE!</v>
      </c>
      <c r="AG384" t="e">
        <f>'North America'!549:549-"n/&gt;!3Ki"</f>
        <v>#VALUE!</v>
      </c>
      <c r="AH384" t="e">
        <f>'North America'!550:550-"n/&gt;!3Kj"</f>
        <v>#VALUE!</v>
      </c>
      <c r="AI384" t="e">
        <f>'North America'!551:551-"n/&gt;!3Kk"</f>
        <v>#VALUE!</v>
      </c>
      <c r="AJ384" t="e">
        <f>'North America'!552:552-"n/&gt;!3Kl"</f>
        <v>#VALUE!</v>
      </c>
      <c r="AK384" t="e">
        <f>'North America'!553:553-"n/&gt;!3Km"</f>
        <v>#VALUE!</v>
      </c>
      <c r="AL384" t="e">
        <f>'North America'!554:554-"n/&gt;!3Kn"</f>
        <v>#VALUE!</v>
      </c>
      <c r="AM384" t="e">
        <f>'North America'!555:555-"n/&gt;!3Ko"</f>
        <v>#VALUE!</v>
      </c>
      <c r="AN384" t="e">
        <f>'North America'!556:556-"n/&gt;!3Kp"</f>
        <v>#VALUE!</v>
      </c>
      <c r="AO384" t="e">
        <f>'North America'!557:557-"n/&gt;!3Kq"</f>
        <v>#VALUE!</v>
      </c>
      <c r="AP384" t="e">
        <f>'North America'!558:558-"n/&gt;!3Kr"</f>
        <v>#VALUE!</v>
      </c>
      <c r="AQ384" t="e">
        <f>'North America'!559:559-"n/&gt;!3Ks"</f>
        <v>#VALUE!</v>
      </c>
      <c r="AR384" t="e">
        <f>'North America'!560:560-"n/&gt;!3Kt"</f>
        <v>#VALUE!</v>
      </c>
      <c r="AS384" t="e">
        <f>'North America'!561:561-"n/&gt;!3Ku"</f>
        <v>#VALUE!</v>
      </c>
      <c r="AT384" t="e">
        <f>'North America'!562:562-"n/&gt;!3Kv"</f>
        <v>#VALUE!</v>
      </c>
      <c r="AU384" t="e">
        <f>'North America'!563:563-"n/&gt;!3Kw"</f>
        <v>#VALUE!</v>
      </c>
      <c r="AV384" t="e">
        <f>'North America'!564:564-"n/&gt;!3Kx"</f>
        <v>#VALUE!</v>
      </c>
      <c r="AW384" t="e">
        <f>'North America'!565:565-"n/&gt;!3Ky"</f>
        <v>#VALUE!</v>
      </c>
      <c r="AX384" t="e">
        <f>'North America'!566:566-"n/&gt;!3Kz"</f>
        <v>#VALUE!</v>
      </c>
      <c r="AY384" t="e">
        <f>'North America'!567:567-"n/&gt;!3K{"</f>
        <v>#VALUE!</v>
      </c>
      <c r="AZ384" t="e">
        <f>'North America'!568:568-"n/&gt;!3K|"</f>
        <v>#VALUE!</v>
      </c>
      <c r="BA384" t="e">
        <f>'North America'!569:569-"n/&gt;!3K}"</f>
        <v>#VALUE!</v>
      </c>
      <c r="BB384" t="e">
        <f>'North America'!570:570-"n/&gt;!3K~"</f>
        <v>#VALUE!</v>
      </c>
      <c r="BC384" t="e">
        <f>'North America'!571:571-"n/&gt;!3L#"</f>
        <v>#VALUE!</v>
      </c>
      <c r="BD384" t="e">
        <f>'North America'!572:572-"n/&gt;!3L$"</f>
        <v>#VALUE!</v>
      </c>
      <c r="BE384" t="e">
        <f>'North America'!573:573-"n/&gt;!3L%"</f>
        <v>#VALUE!</v>
      </c>
      <c r="BF384" t="e">
        <f>'North America'!574:574-"n/&gt;!3L&amp;"</f>
        <v>#VALUE!</v>
      </c>
      <c r="BG384" t="e">
        <f>'North America'!575:575-"n/&gt;!3L'"</f>
        <v>#VALUE!</v>
      </c>
      <c r="BH384" t="e">
        <f>'North America'!576:576-"n/&gt;!3L("</f>
        <v>#VALUE!</v>
      </c>
      <c r="BI384" t="e">
        <f>'North America'!577:577-"n/&gt;!3L)"</f>
        <v>#VALUE!</v>
      </c>
      <c r="BJ384" t="e">
        <f>'North America'!578:578-"n/&gt;!3L."</f>
        <v>#VALUE!</v>
      </c>
      <c r="BK384" t="e">
        <f>'North America'!579:579-"n/&gt;!3L/"</f>
        <v>#VALUE!</v>
      </c>
      <c r="BL384" t="e">
        <f>'North America'!580:580-"n/&gt;!3L0"</f>
        <v>#VALUE!</v>
      </c>
      <c r="BM384" t="e">
        <f>'North America'!581:581-"n/&gt;!3L1"</f>
        <v>#VALUE!</v>
      </c>
      <c r="BN384" t="e">
        <f>'North America'!582:582-"n/&gt;!3L2"</f>
        <v>#VALUE!</v>
      </c>
      <c r="BO384" t="e">
        <f>'North America'!583:583-"n/&gt;!3L3"</f>
        <v>#VALUE!</v>
      </c>
      <c r="BP384" t="e">
        <f>'North America'!584:584-"n/&gt;!3L4"</f>
        <v>#VALUE!</v>
      </c>
      <c r="BQ384" t="e">
        <f>'North America'!585:585-"n/&gt;!3L5"</f>
        <v>#VALUE!</v>
      </c>
      <c r="BR384" t="e">
        <f>'North America'!586:586-"n/&gt;!3L6"</f>
        <v>#VALUE!</v>
      </c>
      <c r="BS384" t="e">
        <f>'North America'!587:587-"n/&gt;!3L7"</f>
        <v>#VALUE!</v>
      </c>
      <c r="BT384" t="e">
        <f>'North America'!588:588-"n/&gt;!3L8"</f>
        <v>#VALUE!</v>
      </c>
      <c r="BU384" t="e">
        <f>'North America'!589:589-"n/&gt;!3L9"</f>
        <v>#VALUE!</v>
      </c>
      <c r="BV384" t="e">
        <f>'North America'!590:590-"n/&gt;!3L:"</f>
        <v>#VALUE!</v>
      </c>
      <c r="BW384" t="e">
        <f>'North America'!591:591-"n/&gt;!3L;"</f>
        <v>#VALUE!</v>
      </c>
      <c r="BX384" t="e">
        <f>'North America'!592:592-"n/&gt;!3L&lt;"</f>
        <v>#VALUE!</v>
      </c>
      <c r="BY384" t="e">
        <f>'North America'!593:593-"n/&gt;!3L="</f>
        <v>#VALUE!</v>
      </c>
      <c r="BZ384" t="e">
        <f>'North America'!594:594-"n/&gt;!3L&gt;"</f>
        <v>#VALUE!</v>
      </c>
      <c r="CA384" t="e">
        <f>'North America'!595:595-"n/&gt;!3L?"</f>
        <v>#VALUE!</v>
      </c>
      <c r="CB384" t="e">
        <f>'North America'!596:596-"n/&gt;!3L@"</f>
        <v>#VALUE!</v>
      </c>
      <c r="CC384" t="e">
        <f>'North America'!597:597-"n/&gt;!3LA"</f>
        <v>#VALUE!</v>
      </c>
      <c r="CD384" t="e">
        <f>'North America'!598:598-"n/&gt;!3LB"</f>
        <v>#VALUE!</v>
      </c>
      <c r="CE384" t="e">
        <f>'North America'!599:599-"n/&gt;!3LC"</f>
        <v>#VALUE!</v>
      </c>
      <c r="CF384" t="e">
        <f>'North America'!600:600-"n/&gt;!3LD"</f>
        <v>#VALUE!</v>
      </c>
      <c r="CG384" t="e">
        <f>'North America'!601:601-"n/&gt;!3LE"</f>
        <v>#VALUE!</v>
      </c>
      <c r="CH384" t="e">
        <f>'North America'!602:602-"n/&gt;!3LF"</f>
        <v>#VALUE!</v>
      </c>
      <c r="CI384" t="e">
        <f>'North America'!603:603-"n/&gt;!3LG"</f>
        <v>#VALUE!</v>
      </c>
      <c r="CJ384" t="e">
        <f>'North America'!604:604-"n/&gt;!3LH"</f>
        <v>#VALUE!</v>
      </c>
      <c r="CK384" t="e">
        <f>'North America'!605:605-"n/&gt;!3LI"</f>
        <v>#VALUE!</v>
      </c>
      <c r="CL384" t="e">
        <f>'North America'!606:606-"n/&gt;!3LJ"</f>
        <v>#VALUE!</v>
      </c>
      <c r="CM384" t="e">
        <f>'North America'!607:607-"n/&gt;!3LK"</f>
        <v>#VALUE!</v>
      </c>
      <c r="CN384" t="e">
        <f>'North America'!608:608-"n/&gt;!3LL"</f>
        <v>#VALUE!</v>
      </c>
      <c r="CO384" t="e">
        <f>'North America'!609:609-"n/&gt;!3LM"</f>
        <v>#VALUE!</v>
      </c>
      <c r="CP384" t="e">
        <f>'North America'!610:610-"n/&gt;!3LN"</f>
        <v>#VALUE!</v>
      </c>
      <c r="CQ384" t="e">
        <f>'North America'!611:611-"n/&gt;!3LO"</f>
        <v>#VALUE!</v>
      </c>
      <c r="CR384" t="e">
        <f>'North America'!612:612-"n/&gt;!3LP"</f>
        <v>#VALUE!</v>
      </c>
      <c r="CS384" t="e">
        <f>'North America'!613:613-"n/&gt;!3LQ"</f>
        <v>#VALUE!</v>
      </c>
      <c r="CT384" t="e">
        <f>'North America'!614:614-"n/&gt;!3LR"</f>
        <v>#VALUE!</v>
      </c>
      <c r="CU384" t="e">
        <f>'North America'!615:615-"n/&gt;!3LS"</f>
        <v>#VALUE!</v>
      </c>
      <c r="CV384" t="e">
        <f>'North America'!616:616-"n/&gt;!3LT"</f>
        <v>#VALUE!</v>
      </c>
      <c r="CW384" t="e">
        <f>'North America'!617:617-"n/&gt;!3LU"</f>
        <v>#VALUE!</v>
      </c>
      <c r="CX384" t="e">
        <f>'North America'!618:618-"n/&gt;!3LV"</f>
        <v>#VALUE!</v>
      </c>
      <c r="CY384" t="e">
        <f>'North America'!619:619-"n/&gt;!3LW"</f>
        <v>#VALUE!</v>
      </c>
      <c r="CZ384" t="e">
        <f>'North America'!620:620-"n/&gt;!3LX"</f>
        <v>#VALUE!</v>
      </c>
      <c r="DA384" t="e">
        <f>'North America'!621:621-"n/&gt;!3LY"</f>
        <v>#VALUE!</v>
      </c>
      <c r="DB384" t="e">
        <f>'North America'!622:622-"n/&gt;!3LZ"</f>
        <v>#VALUE!</v>
      </c>
      <c r="DC384" t="e">
        <f>'North America'!623:623-"n/&gt;!3L["</f>
        <v>#VALUE!</v>
      </c>
      <c r="DD384" t="e">
        <f>'North America'!624:624-"n/&gt;!3L\"</f>
        <v>#VALUE!</v>
      </c>
      <c r="DE384" t="e">
        <f>'North America'!625:625-"n/&gt;!3L]"</f>
        <v>#VALUE!</v>
      </c>
      <c r="DF384" t="e">
        <f>'North America'!626:626-"n/&gt;!3L^"</f>
        <v>#VALUE!</v>
      </c>
      <c r="DG384" t="e">
        <f>'North America'!627:627-"n/&gt;!3L_"</f>
        <v>#VALUE!</v>
      </c>
      <c r="DH384" t="e">
        <f>'North America'!628:628-"n/&gt;!3L`"</f>
        <v>#VALUE!</v>
      </c>
      <c r="DI384" t="e">
        <f>'North America'!629:629-"n/&gt;!3La"</f>
        <v>#VALUE!</v>
      </c>
      <c r="DJ384" t="e">
        <f>'North America'!630:630-"n/&gt;!3Lb"</f>
        <v>#VALUE!</v>
      </c>
      <c r="DK384" t="e">
        <f>'North America'!631:631-"n/&gt;!3Lc"</f>
        <v>#VALUE!</v>
      </c>
      <c r="DL384" t="e">
        <f>'North America'!632:632-"n/&gt;!3Ld"</f>
        <v>#VALUE!</v>
      </c>
      <c r="DM384" t="e">
        <f>'North America'!633:633-"n/&gt;!3Le"</f>
        <v>#VALUE!</v>
      </c>
      <c r="DN384" t="e">
        <f>'North America'!634:634-"n/&gt;!3Lf"</f>
        <v>#VALUE!</v>
      </c>
      <c r="DO384" t="e">
        <f>'North America'!635:635-"n/&gt;!3Lg"</f>
        <v>#VALUE!</v>
      </c>
      <c r="DP384" t="e">
        <f>'North America'!636:636-"n/&gt;!3Lh"</f>
        <v>#VALUE!</v>
      </c>
      <c r="DQ384" t="e">
        <f>'North America'!637:637-"n/&gt;!3Li"</f>
        <v>#VALUE!</v>
      </c>
      <c r="DR384" t="e">
        <f>'North America'!638:638-"n/&gt;!3Lj"</f>
        <v>#VALUE!</v>
      </c>
      <c r="DS384" t="e">
        <f>'North America'!639:639-"n/&gt;!3Lk"</f>
        <v>#VALUE!</v>
      </c>
      <c r="DT384" t="e">
        <f>'North America'!640:640-"n/&gt;!3Ll"</f>
        <v>#VALUE!</v>
      </c>
      <c r="DU384" t="e">
        <f>'North America'!641:641-"n/&gt;!3Lm"</f>
        <v>#VALUE!</v>
      </c>
      <c r="DV384" t="e">
        <f>'North America'!642:642-"n/&gt;!3Ln"</f>
        <v>#VALUE!</v>
      </c>
      <c r="DW384" t="e">
        <f>'North America'!643:643-"n/&gt;!3Lo"</f>
        <v>#VALUE!</v>
      </c>
      <c r="DX384" t="e">
        <f>'North America'!644:644-"n/&gt;!3Lp"</f>
        <v>#VALUE!</v>
      </c>
      <c r="DY384" t="e">
        <f>'North America'!645:645-"n/&gt;!3Lq"</f>
        <v>#VALUE!</v>
      </c>
      <c r="DZ384" t="e">
        <f>'North America'!646:646-"n/&gt;!3Lr"</f>
        <v>#VALUE!</v>
      </c>
      <c r="EA384" t="e">
        <f>'North America'!647:647-"n/&gt;!3Ls"</f>
        <v>#VALUE!</v>
      </c>
      <c r="EB384" t="e">
        <f>'North America'!648:648-"n/&gt;!3Lt"</f>
        <v>#VALUE!</v>
      </c>
      <c r="EC384" t="e">
        <f>'North America'!649:649-"n/&gt;!3Lu"</f>
        <v>#VALUE!</v>
      </c>
      <c r="ED384" t="e">
        <f>'North America'!650:650-"n/&gt;!3Lv"</f>
        <v>#VALUE!</v>
      </c>
      <c r="EE384" t="e">
        <f>'North America'!651:651-"n/&gt;!3Lw"</f>
        <v>#VALUE!</v>
      </c>
      <c r="EF384" t="e">
        <f>'North America'!652:652-"n/&gt;!3Lx"</f>
        <v>#VALUE!</v>
      </c>
      <c r="EG384" t="e">
        <f>'North America'!653:653-"n/&gt;!3Ly"</f>
        <v>#VALUE!</v>
      </c>
      <c r="EH384" t="e">
        <f>'North America'!654:654-"n/&gt;!3Lz"</f>
        <v>#VALUE!</v>
      </c>
      <c r="EI384" t="e">
        <f>'North America'!655:655-"n/&gt;!3L{"</f>
        <v>#VALUE!</v>
      </c>
      <c r="EJ384" t="e">
        <f>'North America'!656:656-"n/&gt;!3L|"</f>
        <v>#VALUE!</v>
      </c>
      <c r="EK384" t="e">
        <f>'North America'!657:657-"n/&gt;!3L}"</f>
        <v>#VALUE!</v>
      </c>
      <c r="EL384" t="e">
        <f>'North America'!658:658-"n/&gt;!3L~"</f>
        <v>#VALUE!</v>
      </c>
      <c r="EM384" t="e">
        <f>'North America'!659:659-"n/&gt;!3M#"</f>
        <v>#VALUE!</v>
      </c>
      <c r="EN384" t="e">
        <f>'North America'!660:660-"n/&gt;!3M$"</f>
        <v>#VALUE!</v>
      </c>
      <c r="EO384" t="e">
        <f>'North America'!661:661-"n/&gt;!3M%"</f>
        <v>#VALUE!</v>
      </c>
      <c r="EP384" t="e">
        <f>'North America'!662:662-"n/&gt;!3M&amp;"</f>
        <v>#VALUE!</v>
      </c>
      <c r="EQ384" t="e">
        <f>'North America'!663:663-"n/&gt;!3M'"</f>
        <v>#VALUE!</v>
      </c>
      <c r="ER384" t="e">
        <f>'North America'!664:664-"n/&gt;!3M("</f>
        <v>#VALUE!</v>
      </c>
      <c r="ES384" t="e">
        <f>'North America'!665:665-"n/&gt;!3M)"</f>
        <v>#VALUE!</v>
      </c>
      <c r="ET384" t="e">
        <f>'North America'!666:666-"n/&gt;!3M."</f>
        <v>#VALUE!</v>
      </c>
      <c r="EU384" t="e">
        <f>'North America'!667:667-"n/&gt;!3M/"</f>
        <v>#VALUE!</v>
      </c>
      <c r="EV384" t="e">
        <f>'North America'!668:668-"n/&gt;!3M0"</f>
        <v>#VALUE!</v>
      </c>
      <c r="EW384" t="e">
        <f>'North America'!669:669-"n/&gt;!3M1"</f>
        <v>#VALUE!</v>
      </c>
      <c r="EX384" t="e">
        <f>'North America'!670:670-"n/&gt;!3M2"</f>
        <v>#VALUE!</v>
      </c>
      <c r="EY384" t="e">
        <f>'North America'!671:671-"n/&gt;!3M3"</f>
        <v>#VALUE!</v>
      </c>
      <c r="EZ384" t="e">
        <f>'North America'!672:672-"n/&gt;!3M4"</f>
        <v>#VALUE!</v>
      </c>
      <c r="FA384" t="e">
        <f>'North America'!673:673-"n/&gt;!3M5"</f>
        <v>#VALUE!</v>
      </c>
      <c r="FB384" t="e">
        <f>'North America'!674:674-"n/&gt;!3M6"</f>
        <v>#VALUE!</v>
      </c>
      <c r="FC384" t="e">
        <f>'North America'!675:675-"n/&gt;!3M7"</f>
        <v>#VALUE!</v>
      </c>
      <c r="FD384" t="e">
        <f>'North America'!676:676-"n/&gt;!3M8"</f>
        <v>#VALUE!</v>
      </c>
      <c r="FE384" t="e">
        <f>'North America'!677:677-"n/&gt;!3M9"</f>
        <v>#VALUE!</v>
      </c>
      <c r="FF384" t="e">
        <f>'North America'!678:678-"n/&gt;!3M:"</f>
        <v>#VALUE!</v>
      </c>
      <c r="FG384" t="e">
        <f>'North America'!679:679-"n/&gt;!3M;"</f>
        <v>#VALUE!</v>
      </c>
      <c r="FH384" t="e">
        <f>'North America'!680:680-"n/&gt;!3M&lt;"</f>
        <v>#VALUE!</v>
      </c>
      <c r="FI384" t="e">
        <f>'North America'!681:681-"n/&gt;!3M="</f>
        <v>#VALUE!</v>
      </c>
      <c r="FJ384" t="e">
        <f>'North America'!682:682-"n/&gt;!3M&gt;"</f>
        <v>#VALUE!</v>
      </c>
      <c r="FK384" t="e">
        <f>'North America'!683:683-"n/&gt;!3M?"</f>
        <v>#VALUE!</v>
      </c>
      <c r="FL384" t="e">
        <f>'North America'!684:684-"n/&gt;!3M@"</f>
        <v>#VALUE!</v>
      </c>
      <c r="FM384" t="e">
        <f>'North America'!685:685-"n/&gt;!3MA"</f>
        <v>#VALUE!</v>
      </c>
      <c r="FN384" t="e">
        <f>'North America'!686:686-"n/&gt;!3MB"</f>
        <v>#VALUE!</v>
      </c>
      <c r="FO384" t="e">
        <f>'North America'!687:687-"n/&gt;!3MC"</f>
        <v>#VALUE!</v>
      </c>
      <c r="FP384" t="e">
        <f>'North America'!688:688-"n/&gt;!3MD"</f>
        <v>#VALUE!</v>
      </c>
      <c r="FQ384" t="e">
        <f>'North America'!689:689-"n/&gt;!3ME"</f>
        <v>#VALUE!</v>
      </c>
      <c r="FR384" t="e">
        <f>'North America'!690:690-"n/&gt;!3MF"</f>
        <v>#VALUE!</v>
      </c>
      <c r="FS384" t="e">
        <f>'North America'!691:691-"n/&gt;!3MG"</f>
        <v>#VALUE!</v>
      </c>
      <c r="FT384" t="e">
        <f>'North America'!692:692-"n/&gt;!3MH"</f>
        <v>#VALUE!</v>
      </c>
      <c r="FU384" t="e">
        <f>'North America'!693:693-"n/&gt;!3MI"</f>
        <v>#VALUE!</v>
      </c>
      <c r="FV384" t="e">
        <f>'North America'!694:694-"n/&gt;!3MJ"</f>
        <v>#VALUE!</v>
      </c>
      <c r="FW384" t="e">
        <f>'North America'!695:695-"n/&gt;!3MK"</f>
        <v>#VALUE!</v>
      </c>
      <c r="FX384" t="e">
        <f>'North America'!696:696-"n/&gt;!3ML"</f>
        <v>#VALUE!</v>
      </c>
      <c r="FY384" t="e">
        <f>'North America'!697:697-"n/&gt;!3MM"</f>
        <v>#VALUE!</v>
      </c>
      <c r="FZ384" t="e">
        <f>'North America'!698:698-"n/&gt;!3MN"</f>
        <v>#VALUE!</v>
      </c>
      <c r="GA384" t="e">
        <f>'North America'!699:699-"n/&gt;!3MO"</f>
        <v>#VALUE!</v>
      </c>
      <c r="GB384" t="e">
        <f>'North America'!700:700-"n/&gt;!3MP"</f>
        <v>#VALUE!</v>
      </c>
      <c r="GC384" t="e">
        <f>'North America'!701:701-"n/&gt;!3MQ"</f>
        <v>#VALUE!</v>
      </c>
      <c r="GD384" t="e">
        <f>'North America'!702:702-"n/&gt;!3MR"</f>
        <v>#VALUE!</v>
      </c>
      <c r="GE384" t="e">
        <f>'North America'!703:703-"n/&gt;!3MS"</f>
        <v>#VALUE!</v>
      </c>
      <c r="GF384" t="e">
        <f>'North America'!704:704-"n/&gt;!3MT"</f>
        <v>#VALUE!</v>
      </c>
      <c r="GG384" t="e">
        <f>'North America'!705:705-"n/&gt;!3MU"</f>
        <v>#VALUE!</v>
      </c>
      <c r="GH384" t="e">
        <f>'North America'!706:706-"n/&gt;!3MV"</f>
        <v>#VALUE!</v>
      </c>
      <c r="GI384" t="e">
        <f>'North America'!707:707-"n/&gt;!3MW"</f>
        <v>#VALUE!</v>
      </c>
      <c r="GJ384" t="e">
        <f>'North America'!708:708-"n/&gt;!3MX"</f>
        <v>#VALUE!</v>
      </c>
      <c r="GK384" t="e">
        <f>'North America'!709:709-"n/&gt;!3MY"</f>
        <v>#VALUE!</v>
      </c>
      <c r="GL384" t="e">
        <f>'North America'!710:710-"n/&gt;!3MZ"</f>
        <v>#VALUE!</v>
      </c>
      <c r="GM384" t="e">
        <f>'North America'!711:711-"n/&gt;!3M["</f>
        <v>#VALUE!</v>
      </c>
      <c r="GN384" t="e">
        <f>'North America'!712:712-"n/&gt;!3M\"</f>
        <v>#VALUE!</v>
      </c>
      <c r="GO384" t="e">
        <f>'North America'!713:713-"n/&gt;!3M]"</f>
        <v>#VALUE!</v>
      </c>
      <c r="GP384" t="e">
        <f>'North America'!714:714-"n/&gt;!3M^"</f>
        <v>#VALUE!</v>
      </c>
      <c r="GQ384" t="e">
        <f>'North America'!715:715-"n/&gt;!3M_"</f>
        <v>#VALUE!</v>
      </c>
      <c r="GR384" t="e">
        <f>'North America'!716:716-"n/&gt;!3M`"</f>
        <v>#VALUE!</v>
      </c>
      <c r="GS384" t="e">
        <f>'North America'!717:717-"n/&gt;!3Ma"</f>
        <v>#VALUE!</v>
      </c>
      <c r="GT384" t="e">
        <f>'North America'!718:718-"n/&gt;!3Mb"</f>
        <v>#VALUE!</v>
      </c>
      <c r="GU384" t="e">
        <f>'North America'!719:719-"n/&gt;!3Mc"</f>
        <v>#VALUE!</v>
      </c>
      <c r="GV384" t="e">
        <f>'North America'!720:720-"n/&gt;!3Md"</f>
        <v>#VALUE!</v>
      </c>
      <c r="GW384" t="e">
        <f>'North America'!721:721-"n/&gt;!3Me"</f>
        <v>#VALUE!</v>
      </c>
      <c r="GX384" t="e">
        <f>'North America'!722:722-"n/&gt;!3Mf"</f>
        <v>#VALUE!</v>
      </c>
      <c r="GY384" t="e">
        <f>'North America'!723:723-"n/&gt;!3Mg"</f>
        <v>#VALUE!</v>
      </c>
      <c r="GZ384" t="e">
        <f>'North America'!724:724-"n/&gt;!3Mh"</f>
        <v>#VALUE!</v>
      </c>
      <c r="HA384" t="e">
        <f>'North America'!725:725-"n/&gt;!3Mi"</f>
        <v>#VALUE!</v>
      </c>
      <c r="HB384" t="e">
        <f>'North America'!726:726-"n/&gt;!3Mj"</f>
        <v>#VALUE!</v>
      </c>
      <c r="HC384" t="e">
        <f>'North America'!727:727-"n/&gt;!3Mk"</f>
        <v>#VALUE!</v>
      </c>
      <c r="HD384" t="e">
        <f>'North America'!728:728-"n/&gt;!3Ml"</f>
        <v>#VALUE!</v>
      </c>
      <c r="HE384" t="e">
        <f>'North America'!729:729-"n/&gt;!3Mm"</f>
        <v>#VALUE!</v>
      </c>
      <c r="HF384" t="e">
        <f>'North America'!730:730-"n/&gt;!3Mn"</f>
        <v>#VALUE!</v>
      </c>
      <c r="HG384" t="e">
        <f>'North America'!731:731-"n/&gt;!3Mo"</f>
        <v>#VALUE!</v>
      </c>
      <c r="HH384" t="e">
        <f>'North America'!732:732-"n/&gt;!3Mp"</f>
        <v>#VALUE!</v>
      </c>
      <c r="HI384" t="e">
        <f>'North America'!733:733-"n/&gt;!3Mq"</f>
        <v>#VALUE!</v>
      </c>
      <c r="HJ384" t="e">
        <f>'North America'!734:734-"n/&gt;!3Mr"</f>
        <v>#VALUE!</v>
      </c>
      <c r="HK384" t="e">
        <f>'North America'!735:735-"n/&gt;!3Ms"</f>
        <v>#VALUE!</v>
      </c>
      <c r="HL384" t="e">
        <f>'North America'!736:736-"n/&gt;!3Mt"</f>
        <v>#VALUE!</v>
      </c>
      <c r="HM384" t="e">
        <f>'North America'!737:737-"n/&gt;!3Mu"</f>
        <v>#VALUE!</v>
      </c>
      <c r="HN384" t="e">
        <f>'North America'!738:738-"n/&gt;!3Mv"</f>
        <v>#VALUE!</v>
      </c>
      <c r="HO384" t="e">
        <f>'North America'!739:739-"n/&gt;!3Mw"</f>
        <v>#VALUE!</v>
      </c>
      <c r="HP384" t="e">
        <f>'North America'!740:740-"n/&gt;!3Mx"</f>
        <v>#VALUE!</v>
      </c>
      <c r="HQ384" t="e">
        <f>'North America'!741:741-"n/&gt;!3My"</f>
        <v>#VALUE!</v>
      </c>
      <c r="HR384" t="e">
        <f>'North America'!742:742-"n/&gt;!3Mz"</f>
        <v>#VALUE!</v>
      </c>
      <c r="HS384" t="e">
        <f>'North America'!743:743-"n/&gt;!3M{"</f>
        <v>#VALUE!</v>
      </c>
      <c r="HT384" t="e">
        <f>'North America'!744:744-"n/&gt;!3M|"</f>
        <v>#VALUE!</v>
      </c>
      <c r="HU384" t="e">
        <f>'North America'!745:745-"n/&gt;!3M}"</f>
        <v>#VALUE!</v>
      </c>
      <c r="HV384" t="e">
        <f>'North America'!746:746-"n/&gt;!3M~"</f>
        <v>#VALUE!</v>
      </c>
      <c r="HW384" t="e">
        <f>'North America'!747:747-"n/&gt;!3N#"</f>
        <v>#VALUE!</v>
      </c>
      <c r="HX384" t="e">
        <f>'North America'!748:748-"n/&gt;!3N$"</f>
        <v>#VALUE!</v>
      </c>
      <c r="HY384" t="e">
        <f>'North America'!749:749-"n/&gt;!3N%"</f>
        <v>#VALUE!</v>
      </c>
      <c r="HZ384" t="e">
        <f>'North America'!750:750-"n/&gt;!3N&amp;"</f>
        <v>#VALUE!</v>
      </c>
      <c r="IA384" t="e">
        <f>'North America'!751:751-"n/&gt;!3N'"</f>
        <v>#VALUE!</v>
      </c>
      <c r="IB384" t="e">
        <f>'North America'!752:752-"n/&gt;!3N("</f>
        <v>#VALUE!</v>
      </c>
      <c r="IC384" t="e">
        <f>'North America'!753:753-"n/&gt;!3N)"</f>
        <v>#VALUE!</v>
      </c>
      <c r="ID384" t="e">
        <f>'North America'!754:754-"n/&gt;!3N."</f>
        <v>#VALUE!</v>
      </c>
      <c r="IE384" t="e">
        <f>'North America'!755:755-"n/&gt;!3N/"</f>
        <v>#VALUE!</v>
      </c>
      <c r="IF384" t="e">
        <f>'North America'!756:756-"n/&gt;!3N0"</f>
        <v>#VALUE!</v>
      </c>
      <c r="IG384" t="e">
        <f>'North America'!757:757-"n/&gt;!3N1"</f>
        <v>#VALUE!</v>
      </c>
      <c r="IH384" t="e">
        <f>'North America'!758:758-"n/&gt;!3N2"</f>
        <v>#VALUE!</v>
      </c>
      <c r="II384" t="e">
        <f>'North America'!759:759-"n/&gt;!3N3"</f>
        <v>#VALUE!</v>
      </c>
      <c r="IJ384" t="e">
        <f>'North America'!760:760-"n/&gt;!3N4"</f>
        <v>#VALUE!</v>
      </c>
      <c r="IK384" t="e">
        <f>'North America'!761:761-"n/&gt;!3N5"</f>
        <v>#VALUE!</v>
      </c>
      <c r="IL384" t="e">
        <f>'North America'!762:762-"n/&gt;!3N6"</f>
        <v>#VALUE!</v>
      </c>
      <c r="IM384" t="e">
        <f>'North America'!763:763-"n/&gt;!3N7"</f>
        <v>#VALUE!</v>
      </c>
      <c r="IN384" t="e">
        <f>'North America'!764:764-"n/&gt;!3N8"</f>
        <v>#VALUE!</v>
      </c>
      <c r="IO384" t="e">
        <f>'North America'!765:765-"n/&gt;!3N9"</f>
        <v>#VALUE!</v>
      </c>
      <c r="IP384" t="e">
        <f>'North America'!766:766-"n/&gt;!3N:"</f>
        <v>#VALUE!</v>
      </c>
      <c r="IQ384" t="e">
        <f>'North America'!767:767-"n/&gt;!3N;"</f>
        <v>#VALUE!</v>
      </c>
      <c r="IR384" t="e">
        <f>'North America'!768:768-"n/&gt;!3N&lt;"</f>
        <v>#VALUE!</v>
      </c>
      <c r="IS384" t="e">
        <f>'North America'!769:769-"n/&gt;!3N="</f>
        <v>#VALUE!</v>
      </c>
      <c r="IT384" t="e">
        <f>'North America'!770:770-"n/&gt;!3N&gt;"</f>
        <v>#VALUE!</v>
      </c>
      <c r="IU384" t="e">
        <f>'North America'!771:771-"n/&gt;!3N?"</f>
        <v>#VALUE!</v>
      </c>
      <c r="IV384" t="e">
        <f>'North America'!772:772-"n/&gt;!3N@"</f>
        <v>#VALUE!</v>
      </c>
    </row>
    <row r="385" spans="6:256" x14ac:dyDescent="0.35">
      <c r="F385" t="e">
        <f>'North America'!773:773-"n/&gt;!3NA"</f>
        <v>#VALUE!</v>
      </c>
      <c r="G385" t="e">
        <f>'North America'!774:774-"n/&gt;!3NB"</f>
        <v>#VALUE!</v>
      </c>
      <c r="H385" t="e">
        <f>'North America'!775:775-"n/&gt;!3NC"</f>
        <v>#VALUE!</v>
      </c>
      <c r="I385" t="e">
        <f>'North America'!776:776-"n/&gt;!3ND"</f>
        <v>#VALUE!</v>
      </c>
      <c r="J385" t="e">
        <f>'North America'!777:777-"n/&gt;!3NE"</f>
        <v>#VALUE!</v>
      </c>
      <c r="K385" t="e">
        <f>'North America'!778:778-"n/&gt;!3NF"</f>
        <v>#VALUE!</v>
      </c>
      <c r="L385" t="e">
        <f>'North America'!779:779-"n/&gt;!3NG"</f>
        <v>#VALUE!</v>
      </c>
      <c r="M385" t="e">
        <f>'North America'!780:780-"n/&gt;!3NH"</f>
        <v>#VALUE!</v>
      </c>
      <c r="N385" t="e">
        <f>'North America'!781:781-"n/&gt;!3NI"</f>
        <v>#VALUE!</v>
      </c>
      <c r="O385" t="e">
        <f>'North America'!782:782-"n/&gt;!3NJ"</f>
        <v>#VALUE!</v>
      </c>
      <c r="P385" t="e">
        <f>'North America'!783:783-"n/&gt;!3NK"</f>
        <v>#VALUE!</v>
      </c>
      <c r="Q385" t="e">
        <f>'North America'!784:784-"n/&gt;!3NL"</f>
        <v>#VALUE!</v>
      </c>
      <c r="R385" t="e">
        <f>'North America'!785:785-"n/&gt;!3NM"</f>
        <v>#VALUE!</v>
      </c>
      <c r="S385" t="e">
        <f>'North America'!786:786-"n/&gt;!3NN"</f>
        <v>#VALUE!</v>
      </c>
      <c r="T385" t="e">
        <f>'North America'!787:787-"n/&gt;!3NO"</f>
        <v>#VALUE!</v>
      </c>
      <c r="U385" t="e">
        <f>'North America'!788:788-"n/&gt;!3NP"</f>
        <v>#VALUE!</v>
      </c>
      <c r="V385" t="e">
        <f>'North America'!789:789-"n/&gt;!3NQ"</f>
        <v>#VALUE!</v>
      </c>
      <c r="W385" t="e">
        <f>'North America'!790:790-"n/&gt;!3NR"</f>
        <v>#VALUE!</v>
      </c>
      <c r="X385" t="e">
        <f>'North America'!791:791-"n/&gt;!3NS"</f>
        <v>#VALUE!</v>
      </c>
      <c r="Y385" t="e">
        <f>'North America'!792:792-"n/&gt;!3NT"</f>
        <v>#VALUE!</v>
      </c>
      <c r="Z385" t="e">
        <f>'North America'!793:793-"n/&gt;!3NU"</f>
        <v>#VALUE!</v>
      </c>
      <c r="AA385" t="e">
        <f>'North America'!794:794-"n/&gt;!3NV"</f>
        <v>#VALUE!</v>
      </c>
      <c r="AB385" t="e">
        <f>'North America'!795:795-"n/&gt;!3NW"</f>
        <v>#VALUE!</v>
      </c>
      <c r="AC385" t="e">
        <f>'North America'!796:796-"n/&gt;!3NX"</f>
        <v>#VALUE!</v>
      </c>
      <c r="AD385" t="e">
        <f>'North America'!797:797-"n/&gt;!3NY"</f>
        <v>#VALUE!</v>
      </c>
      <c r="AE385" t="e">
        <f>'North America'!798:798-"n/&gt;!3NZ"</f>
        <v>#VALUE!</v>
      </c>
      <c r="AF385" t="e">
        <f>'North America'!799:799-"n/&gt;!3N["</f>
        <v>#VALUE!</v>
      </c>
      <c r="AG385" t="e">
        <f>'North America'!800:800-"n/&gt;!3N\"</f>
        <v>#VALUE!</v>
      </c>
      <c r="AH385" t="e">
        <f>'North America'!801:801-"n/&gt;!3N]"</f>
        <v>#VALUE!</v>
      </c>
      <c r="AI385" t="e">
        <f>'North America'!802:802-"n/&gt;!3N^"</f>
        <v>#VALUE!</v>
      </c>
      <c r="AJ385" t="e">
        <f>'North America'!803:803-"n/&gt;!3N_"</f>
        <v>#VALUE!</v>
      </c>
      <c r="AK385" t="e">
        <f>'North America'!804:804-"n/&gt;!3N`"</f>
        <v>#VALUE!</v>
      </c>
      <c r="AL385" t="e">
        <f>'North America'!805:805-"n/&gt;!3Na"</f>
        <v>#VALUE!</v>
      </c>
      <c r="AM385" t="e">
        <f>'North America'!806:806-"n/&gt;!3Nb"</f>
        <v>#VALUE!</v>
      </c>
      <c r="AN385" t="e">
        <f>'North America'!807:807-"n/&gt;!3Nc"</f>
        <v>#VALUE!</v>
      </c>
      <c r="AO385" t="e">
        <f>'North America'!808:808-"n/&gt;!3Nd"</f>
        <v>#VALUE!</v>
      </c>
      <c r="AP385" t="e">
        <f>'North America'!809:809-"n/&gt;!3Ne"</f>
        <v>#VALUE!</v>
      </c>
      <c r="AQ385" t="e">
        <f>'North America'!810:810-"n/&gt;!3Nf"</f>
        <v>#VALUE!</v>
      </c>
      <c r="AR385" t="e">
        <f>'North America'!811:811-"n/&gt;!3Ng"</f>
        <v>#VALUE!</v>
      </c>
      <c r="AS385" t="e">
        <f>'North America'!812:812-"n/&gt;!3Nh"</f>
        <v>#VALUE!</v>
      </c>
      <c r="AT385" t="e">
        <f>'North America'!813:813-"n/&gt;!3Ni"</f>
        <v>#VALUE!</v>
      </c>
      <c r="AU385" t="e">
        <f>'North America'!814:814-"n/&gt;!3Nj"</f>
        <v>#VALUE!</v>
      </c>
      <c r="AV385" t="e">
        <f>'North America'!815:815-"n/&gt;!3Nk"</f>
        <v>#VALUE!</v>
      </c>
      <c r="AW385" t="e">
        <f>'North America'!816:816-"n/&gt;!3Nl"</f>
        <v>#VALUE!</v>
      </c>
      <c r="AX385" t="e">
        <f>'North America'!817:817-"n/&gt;!3Nm"</f>
        <v>#VALUE!</v>
      </c>
      <c r="AY385" t="e">
        <f>'North America'!818:818-"n/&gt;!3Nn"</f>
        <v>#VALUE!</v>
      </c>
      <c r="AZ385" t="e">
        <f>'North America'!819:819-"n/&gt;!3No"</f>
        <v>#VALUE!</v>
      </c>
      <c r="BA385" t="e">
        <f>'North America'!820:820-"n/&gt;!3Np"</f>
        <v>#VALUE!</v>
      </c>
      <c r="BB385" t="e">
        <f>'North America'!821:821-"n/&gt;!3Nq"</f>
        <v>#VALUE!</v>
      </c>
      <c r="BC385" t="e">
        <f>'North America'!822:822-"n/&gt;!3Nr"</f>
        <v>#VALUE!</v>
      </c>
      <c r="BD385" t="e">
        <f>'North America'!823:823-"n/&gt;!3Ns"</f>
        <v>#VALUE!</v>
      </c>
      <c r="BE385" t="e">
        <f>'North America'!824:824-"n/&gt;!3Nt"</f>
        <v>#VALUE!</v>
      </c>
      <c r="BF385" t="e">
        <f>'North America'!825:825-"n/&gt;!3Nu"</f>
        <v>#VALUE!</v>
      </c>
      <c r="BG385" t="e">
        <f>'North America'!826:826-"n/&gt;!3Nv"</f>
        <v>#VALUE!</v>
      </c>
      <c r="BH385" t="e">
        <f>'North America'!827:827-"n/&gt;!3Nw"</f>
        <v>#VALUE!</v>
      </c>
      <c r="BI385" t="e">
        <f>'North America'!828:828-"n/&gt;!3Nx"</f>
        <v>#VALUE!</v>
      </c>
      <c r="BJ385" t="e">
        <f>'North America'!829:829-"n/&gt;!3Ny"</f>
        <v>#VALUE!</v>
      </c>
      <c r="BK385" t="e">
        <f>'North America'!830:830-"n/&gt;!3Nz"</f>
        <v>#VALUE!</v>
      </c>
      <c r="BL385" t="e">
        <f>'North America'!831:831-"n/&gt;!3N{"</f>
        <v>#VALUE!</v>
      </c>
      <c r="BM385" t="e">
        <f>'North America'!832:832-"n/&gt;!3N|"</f>
        <v>#VALUE!</v>
      </c>
      <c r="BN385" t="e">
        <f>'North America'!833:833-"n/&gt;!3N}"</f>
        <v>#VALUE!</v>
      </c>
      <c r="BO385" t="e">
        <f>'North America'!834:834-"n/&gt;!3N~"</f>
        <v>#VALUE!</v>
      </c>
      <c r="BP385" t="e">
        <f>'North America'!835:835-"n/&gt;!3O#"</f>
        <v>#VALUE!</v>
      </c>
      <c r="BQ385" t="e">
        <f>'North America'!836:836-"n/&gt;!3O$"</f>
        <v>#VALUE!</v>
      </c>
      <c r="BR385" t="e">
        <f>'North America'!837:837-"n/&gt;!3O%"</f>
        <v>#VALUE!</v>
      </c>
      <c r="BS385" t="e">
        <f>'North America'!838:838-"n/&gt;!3O&amp;"</f>
        <v>#VALUE!</v>
      </c>
      <c r="BT385" t="e">
        <f>'North America'!839:839-"n/&gt;!3O'"</f>
        <v>#VALUE!</v>
      </c>
      <c r="BU385" t="e">
        <f>'North America'!840:840-"n/&gt;!3O("</f>
        <v>#VALUE!</v>
      </c>
      <c r="BV385" t="e">
        <f>'North America'!841:841-"n/&gt;!3O)"</f>
        <v>#VALUE!</v>
      </c>
      <c r="BW385" t="e">
        <f>'North America'!842:842-"n/&gt;!3O."</f>
        <v>#VALUE!</v>
      </c>
      <c r="BX385" t="e">
        <f>'North America'!843:843-"n/&gt;!3O/"</f>
        <v>#VALUE!</v>
      </c>
      <c r="BY385" t="e">
        <f>'North America'!844:844-"n/&gt;!3O0"</f>
        <v>#VALUE!</v>
      </c>
      <c r="BZ385" t="e">
        <f>'North America'!845:845-"n/&gt;!3O1"</f>
        <v>#VALUE!</v>
      </c>
      <c r="CA385" t="e">
        <f>'North America'!846:846-"n/&gt;!3O2"</f>
        <v>#VALUE!</v>
      </c>
      <c r="CB385" t="e">
        <f>'North America'!847:847-"n/&gt;!3O3"</f>
        <v>#VALUE!</v>
      </c>
      <c r="CC385" t="e">
        <f>'North America'!848:848-"n/&gt;!3O4"</f>
        <v>#VALUE!</v>
      </c>
      <c r="CD385" t="e">
        <f>'North America'!849:849-"n/&gt;!3O5"</f>
        <v>#VALUE!</v>
      </c>
      <c r="CE385" t="e">
        <f>'North America'!850:850-"n/&gt;!3O6"</f>
        <v>#VALUE!</v>
      </c>
      <c r="CF385" t="e">
        <f>'North America'!851:851-"n/&gt;!3O7"</f>
        <v>#VALUE!</v>
      </c>
      <c r="CG385" t="e">
        <f>'North America'!852:852-"n/&gt;!3O8"</f>
        <v>#VALUE!</v>
      </c>
      <c r="CH385" t="e">
        <f>'North America'!853:853-"n/&gt;!3O9"</f>
        <v>#VALUE!</v>
      </c>
      <c r="CI385" t="e">
        <f>'North America'!854:854-"n/&gt;!3O:"</f>
        <v>#VALUE!</v>
      </c>
      <c r="CJ385" t="e">
        <f>'North America'!855:855-"n/&gt;!3O;"</f>
        <v>#VALUE!</v>
      </c>
      <c r="CK385" t="e">
        <f>'North America'!856:856-"n/&gt;!3O&lt;"</f>
        <v>#VALUE!</v>
      </c>
      <c r="CL385" t="e">
        <f>'North America'!857:857-"n/&gt;!3O="</f>
        <v>#VALUE!</v>
      </c>
      <c r="CM385" t="e">
        <f>'North America'!858:858-"n/&gt;!3O&gt;"</f>
        <v>#VALUE!</v>
      </c>
      <c r="CN385" t="e">
        <f>'North America'!859:859-"n/&gt;!3O?"</f>
        <v>#VALUE!</v>
      </c>
      <c r="CO385" t="e">
        <f>'North America'!860:860-"n/&gt;!3O@"</f>
        <v>#VALUE!</v>
      </c>
      <c r="CP385" t="e">
        <f>'North America'!861:861-"n/&gt;!3OA"</f>
        <v>#VALUE!</v>
      </c>
      <c r="CQ385" t="e">
        <f>'North America'!862:862-"n/&gt;!3OB"</f>
        <v>#VALUE!</v>
      </c>
      <c r="CR385" t="e">
        <f>'North America'!863:863-"n/&gt;!3OC"</f>
        <v>#VALUE!</v>
      </c>
      <c r="CS385" t="e">
        <f>'North America'!864:864-"n/&gt;!3OD"</f>
        <v>#VALUE!</v>
      </c>
      <c r="CT385" t="e">
        <f>'North America'!865:865-"n/&gt;!3OE"</f>
        <v>#VALUE!</v>
      </c>
      <c r="CU385" t="e">
        <f>'North America'!866:866-"n/&gt;!3OF"</f>
        <v>#VALUE!</v>
      </c>
      <c r="CV385" t="e">
        <f>'North America'!867:867-"n/&gt;!3OG"</f>
        <v>#VALUE!</v>
      </c>
      <c r="CW385" t="e">
        <f>'North America'!868:868-"n/&gt;!3OH"</f>
        <v>#VALUE!</v>
      </c>
      <c r="CX385" t="e">
        <f>'North America'!869:869-"n/&gt;!3OI"</f>
        <v>#VALUE!</v>
      </c>
      <c r="CY385" t="e">
        <f>'North America'!870:870-"n/&gt;!3OJ"</f>
        <v>#VALUE!</v>
      </c>
      <c r="CZ385" t="e">
        <f>'North America'!871:871-"n/&gt;!3OK"</f>
        <v>#VALUE!</v>
      </c>
      <c r="DA385" t="e">
        <f>'North America'!872:872-"n/&gt;!3OL"</f>
        <v>#VALUE!</v>
      </c>
      <c r="DB385" t="e">
        <f>'North America'!873:873-"n/&gt;!3OM"</f>
        <v>#VALUE!</v>
      </c>
      <c r="DC385" t="e">
        <f>'North America'!874:874-"n/&gt;!3ON"</f>
        <v>#VALUE!</v>
      </c>
      <c r="DD385" t="e">
        <f>'North America'!875:875-"n/&gt;!3OO"</f>
        <v>#VALUE!</v>
      </c>
      <c r="DE385" t="e">
        <f>'North America'!876:876-"n/&gt;!3OP"</f>
        <v>#VALUE!</v>
      </c>
      <c r="DF385" t="e">
        <f>'North America'!877:877-"n/&gt;!3OQ"</f>
        <v>#VALUE!</v>
      </c>
      <c r="DG385" t="e">
        <f>'North America'!878:878-"n/&gt;!3OR"</f>
        <v>#VALUE!</v>
      </c>
      <c r="DH385" t="e">
        <f>'North America'!879:879-"n/&gt;!3OS"</f>
        <v>#VALUE!</v>
      </c>
      <c r="DI385" t="e">
        <f>'North America'!880:880-"n/&gt;!3OT"</f>
        <v>#VALUE!</v>
      </c>
      <c r="DJ385" t="e">
        <f>'North America'!881:881-"n/&gt;!3OU"</f>
        <v>#VALUE!</v>
      </c>
      <c r="DK385" t="e">
        <f>'North America'!882:882-"n/&gt;!3OV"</f>
        <v>#VALUE!</v>
      </c>
      <c r="DL385" t="e">
        <f>'North America'!883:883-"n/&gt;!3OW"</f>
        <v>#VALUE!</v>
      </c>
      <c r="DM385" t="e">
        <f>'North America'!884:884-"n/&gt;!3OX"</f>
        <v>#VALUE!</v>
      </c>
      <c r="DN385" t="e">
        <f>'North America'!885:885-"n/&gt;!3OY"</f>
        <v>#VALUE!</v>
      </c>
      <c r="DO385" t="e">
        <f>'North America'!886:886-"n/&gt;!3OZ"</f>
        <v>#VALUE!</v>
      </c>
      <c r="DP385" t="e">
        <f>'North America'!887:887-"n/&gt;!3O["</f>
        <v>#VALUE!</v>
      </c>
      <c r="DQ385" t="e">
        <f>'North America'!888:888-"n/&gt;!3O\"</f>
        <v>#VALUE!</v>
      </c>
      <c r="DR385" t="e">
        <f>'North America'!889:889-"n/&gt;!3O]"</f>
        <v>#VALUE!</v>
      </c>
      <c r="DS385" t="e">
        <f>'North America'!890:890-"n/&gt;!3O^"</f>
        <v>#VALUE!</v>
      </c>
      <c r="DT385" t="e">
        <f>'North America'!891:891-"n/&gt;!3O_"</f>
        <v>#VALUE!</v>
      </c>
      <c r="DU385" t="e">
        <f>'North America'!892:892-"n/&gt;!3O`"</f>
        <v>#VALUE!</v>
      </c>
      <c r="DV385" t="e">
        <f>'North America'!893:893-"n/&gt;!3Oa"</f>
        <v>#VALUE!</v>
      </c>
      <c r="DW385" t="e">
        <f>'North America'!894:894-"n/&gt;!3Ob"</f>
        <v>#VALUE!</v>
      </c>
      <c r="DX385" t="e">
        <f>'North America'!895:895-"n/&gt;!3Oc"</f>
        <v>#VALUE!</v>
      </c>
      <c r="DY385" t="e">
        <f>'North America'!896:896-"n/&gt;!3Od"</f>
        <v>#VALUE!</v>
      </c>
      <c r="DZ385" t="e">
        <f>'North America'!897:897-"n/&gt;!3Oe"</f>
        <v>#VALUE!</v>
      </c>
      <c r="EA385" t="e">
        <f>'North America'!898:898-"n/&gt;!3Of"</f>
        <v>#VALUE!</v>
      </c>
      <c r="EB385" t="e">
        <f>'North America'!899:899-"n/&gt;!3Og"</f>
        <v>#VALUE!</v>
      </c>
      <c r="EC385" t="e">
        <f>'North America'!900:900-"n/&gt;!3Oh"</f>
        <v>#VALUE!</v>
      </c>
      <c r="ED385" t="e">
        <f>'North America'!901:901-"n/&gt;!3Oi"</f>
        <v>#VALUE!</v>
      </c>
      <c r="EE385" t="e">
        <f>'North America'!902:902-"n/&gt;!3Oj"</f>
        <v>#VALUE!</v>
      </c>
      <c r="EF385" t="e">
        <f>'North America'!903:903-"n/&gt;!3Ok"</f>
        <v>#VALUE!</v>
      </c>
      <c r="EG385" t="e">
        <f>'North America'!904:904-"n/&gt;!3Ol"</f>
        <v>#VALUE!</v>
      </c>
      <c r="EH385" t="e">
        <f>'North America'!905:905-"n/&gt;!3Om"</f>
        <v>#VALUE!</v>
      </c>
      <c r="EI385" t="e">
        <f>'North America'!906:906-"n/&gt;!3On"</f>
        <v>#VALUE!</v>
      </c>
      <c r="EJ385" t="e">
        <f>'North America'!907:907-"n/&gt;!3Oo"</f>
        <v>#VALUE!</v>
      </c>
      <c r="EK385" t="e">
        <f>'North America'!908:908-"n/&gt;!3Op"</f>
        <v>#VALUE!</v>
      </c>
      <c r="EL385" t="e">
        <f>'North America'!909:909-"n/&gt;!3Oq"</f>
        <v>#VALUE!</v>
      </c>
      <c r="EM385" t="e">
        <f>'North America'!910:910-"n/&gt;!3Or"</f>
        <v>#VALUE!</v>
      </c>
      <c r="EN385" t="e">
        <f>'North America'!911:911-"n/&gt;!3Os"</f>
        <v>#VALUE!</v>
      </c>
      <c r="EO385" t="e">
        <f>'North America'!912:912-"n/&gt;!3Ot"</f>
        <v>#VALUE!</v>
      </c>
      <c r="EP385" t="e">
        <f>'North America'!913:913-"n/&gt;!3Ou"</f>
        <v>#VALUE!</v>
      </c>
      <c r="EQ385" t="e">
        <f>'North America'!914:914-"n/&gt;!3Ov"</f>
        <v>#VALUE!</v>
      </c>
      <c r="ER385" t="e">
        <f>'North America'!915:915-"n/&gt;!3Ow"</f>
        <v>#VALUE!</v>
      </c>
      <c r="ES385" t="e">
        <f>'North America'!916:916-"n/&gt;!3Ox"</f>
        <v>#VALUE!</v>
      </c>
      <c r="ET385" t="e">
        <f>'North America'!917:917-"n/&gt;!3Oy"</f>
        <v>#VALUE!</v>
      </c>
      <c r="EU385" t="e">
        <f>'North America'!918:918-"n/&gt;!3Oz"</f>
        <v>#VALUE!</v>
      </c>
      <c r="EV385" t="e">
        <f>'North America'!919:919-"n/&gt;!3O{"</f>
        <v>#VALUE!</v>
      </c>
      <c r="EW385" t="e">
        <f>'North America'!920:920-"n/&gt;!3O|"</f>
        <v>#VALUE!</v>
      </c>
      <c r="EX385" t="e">
        <f>'North America'!921:921-"n/&gt;!3O}"</f>
        <v>#VALUE!</v>
      </c>
      <c r="EY385" t="e">
        <f>'North America'!922:922-"n/&gt;!3O~"</f>
        <v>#VALUE!</v>
      </c>
      <c r="EZ385" t="e">
        <f>'North America'!923:923-"n/&gt;!3P#"</f>
        <v>#VALUE!</v>
      </c>
      <c r="FA385" t="e">
        <f>'North America'!924:924-"n/&gt;!3P$"</f>
        <v>#VALUE!</v>
      </c>
      <c r="FB385" t="e">
        <f>'North America'!925:925-"n/&gt;!3P%"</f>
        <v>#VALUE!</v>
      </c>
      <c r="FC385" t="e">
        <f>'North America'!926:926-"n/&gt;!3P&amp;"</f>
        <v>#VALUE!</v>
      </c>
      <c r="FD385" t="e">
        <f>'North America'!927:927-"n/&gt;!3P'"</f>
        <v>#VALUE!</v>
      </c>
      <c r="FE385" t="e">
        <f>'North America'!928:928-"n/&gt;!3P("</f>
        <v>#VALUE!</v>
      </c>
      <c r="FF385" t="e">
        <f>'North America'!929:929-"n/&gt;!3P)"</f>
        <v>#VALUE!</v>
      </c>
      <c r="FG385" t="e">
        <f>'North America'!930:930-"n/&gt;!3P."</f>
        <v>#VALUE!</v>
      </c>
      <c r="FH385" t="e">
        <f>'North America'!931:931-"n/&gt;!3P/"</f>
        <v>#VALUE!</v>
      </c>
      <c r="FI385" t="e">
        <f>'North America'!932:932-"n/&gt;!3P0"</f>
        <v>#VALUE!</v>
      </c>
      <c r="FJ385" t="e">
        <f>'North America'!933:933-"n/&gt;!3P1"</f>
        <v>#VALUE!</v>
      </c>
      <c r="FK385" t="e">
        <f>'North America'!934:934-"n/&gt;!3P2"</f>
        <v>#VALUE!</v>
      </c>
      <c r="FL385" t="e">
        <f>'North America'!935:935-"n/&gt;!3P3"</f>
        <v>#VALUE!</v>
      </c>
      <c r="FM385" t="e">
        <f>'North America'!936:936-"n/&gt;!3P4"</f>
        <v>#VALUE!</v>
      </c>
      <c r="FN385" t="e">
        <f>'North America'!937:937-"n/&gt;!3P5"</f>
        <v>#VALUE!</v>
      </c>
      <c r="FO385" t="e">
        <f>'North America'!938:938-"n/&gt;!3P6"</f>
        <v>#VALUE!</v>
      </c>
      <c r="FP385" t="e">
        <f>'North America'!939:939-"n/&gt;!3P7"</f>
        <v>#VALUE!</v>
      </c>
      <c r="FQ385" t="e">
        <f>'North America'!940:940-"n/&gt;!3P8"</f>
        <v>#VALUE!</v>
      </c>
      <c r="FR385" t="e">
        <f>'North America'!941:941-"n/&gt;!3P9"</f>
        <v>#VALUE!</v>
      </c>
      <c r="FS385" t="e">
        <f>'North America'!942:942-"n/&gt;!3P:"</f>
        <v>#VALUE!</v>
      </c>
      <c r="FT385" t="e">
        <f>'North America'!943:943-"n/&gt;!3P;"</f>
        <v>#VALUE!</v>
      </c>
      <c r="FU385" t="e">
        <f>'North America'!944:944-"n/&gt;!3P&lt;"</f>
        <v>#VALUE!</v>
      </c>
      <c r="FV385" t="e">
        <f>'North America'!945:945-"n/&gt;!3P="</f>
        <v>#VALUE!</v>
      </c>
      <c r="FW385" t="e">
        <f>'North America'!946:946-"n/&gt;!3P&gt;"</f>
        <v>#VALUE!</v>
      </c>
      <c r="FX385" t="e">
        <f>'North America'!947:947-"n/&gt;!3P?"</f>
        <v>#VALUE!</v>
      </c>
      <c r="FY385" t="e">
        <f>'North America'!948:948-"n/&gt;!3P@"</f>
        <v>#VALUE!</v>
      </c>
      <c r="FZ385" t="e">
        <f>'North America'!949:949-"n/&gt;!3PA"</f>
        <v>#VALUE!</v>
      </c>
      <c r="GA385" t="e">
        <f>'North America'!950:950-"n/&gt;!3PB"</f>
        <v>#VALUE!</v>
      </c>
      <c r="GB385" t="e">
        <f>'North America'!951:951-"n/&gt;!3PC"</f>
        <v>#VALUE!</v>
      </c>
      <c r="GC385" t="e">
        <f>'North America'!952:952-"n/&gt;!3PD"</f>
        <v>#VALUE!</v>
      </c>
      <c r="GD385" t="e">
        <f>'North America'!953:953-"n/&gt;!3PE"</f>
        <v>#VALUE!</v>
      </c>
      <c r="GE385" t="e">
        <f>'North America'!954:954-"n/&gt;!3PF"</f>
        <v>#VALUE!</v>
      </c>
      <c r="GF385" t="e">
        <f>'North America'!955:955-"n/&gt;!3PG"</f>
        <v>#VALUE!</v>
      </c>
      <c r="GG385" t="e">
        <f>'North America'!956:956-"n/&gt;!3PH"</f>
        <v>#VALUE!</v>
      </c>
      <c r="GH385" t="e">
        <f>'North America'!957:957-"n/&gt;!3PI"</f>
        <v>#VALUE!</v>
      </c>
      <c r="GI385" t="e">
        <f>'North America'!958:958-"n/&gt;!3PJ"</f>
        <v>#VALUE!</v>
      </c>
      <c r="GJ385" t="e">
        <f>'North America'!959:959-"n/&gt;!3PK"</f>
        <v>#VALUE!</v>
      </c>
      <c r="GK385" t="e">
        <f>'North America'!960:960-"n/&gt;!3PL"</f>
        <v>#VALUE!</v>
      </c>
      <c r="GL385" t="e">
        <f>'North America'!961:961-"n/&gt;!3PM"</f>
        <v>#VALUE!</v>
      </c>
      <c r="GM385" t="e">
        <f>'North America'!962:962-"n/&gt;!3PN"</f>
        <v>#VALUE!</v>
      </c>
      <c r="GN385" t="e">
        <f>'North America'!963:963-"n/&gt;!3PO"</f>
        <v>#VALUE!</v>
      </c>
      <c r="GO385" t="e">
        <f>'North America'!964:964-"n/&gt;!3PP"</f>
        <v>#VALUE!</v>
      </c>
      <c r="GP385" t="e">
        <f>'North America'!965:965-"n/&gt;!3PQ"</f>
        <v>#VALUE!</v>
      </c>
      <c r="GQ385" t="e">
        <f>'North America'!966:966-"n/&gt;!3PR"</f>
        <v>#VALUE!</v>
      </c>
      <c r="GR385" t="e">
        <f>'North America'!967:967-"n/&gt;!3PS"</f>
        <v>#VALUE!</v>
      </c>
      <c r="GS385" t="e">
        <f>'North America'!968:968-"n/&gt;!3PT"</f>
        <v>#VALUE!</v>
      </c>
      <c r="GT385" t="e">
        <f>'North America'!969:969-"n/&gt;!3PU"</f>
        <v>#VALUE!</v>
      </c>
      <c r="GU385" t="e">
        <f>'North America'!970:970-"n/&gt;!3PV"</f>
        <v>#VALUE!</v>
      </c>
      <c r="GV385" t="e">
        <f>'North America'!971:971-"n/&gt;!3PW"</f>
        <v>#VALUE!</v>
      </c>
      <c r="GW385" t="e">
        <f>'North America'!972:972-"n/&gt;!3PX"</f>
        <v>#VALUE!</v>
      </c>
      <c r="GX385" t="e">
        <f>'North America'!973:973-"n/&gt;!3PY"</f>
        <v>#VALUE!</v>
      </c>
      <c r="GY385" t="e">
        <f>'North America'!974:974-"n/&gt;!3PZ"</f>
        <v>#VALUE!</v>
      </c>
      <c r="GZ385" t="e">
        <f>'North America'!975:975-"n/&gt;!3P["</f>
        <v>#VALUE!</v>
      </c>
      <c r="HA385" t="e">
        <f>'North America'!976:976-"n/&gt;!3P\"</f>
        <v>#VALUE!</v>
      </c>
      <c r="HB385" t="e">
        <f>'North America'!977:977-"n/&gt;!3P]"</f>
        <v>#VALUE!</v>
      </c>
      <c r="HC385" t="e">
        <f>'North America'!978:978-"n/&gt;!3P^"</f>
        <v>#VALUE!</v>
      </c>
      <c r="HD385" t="e">
        <f>'North America'!979:979-"n/&gt;!3P_"</f>
        <v>#VALUE!</v>
      </c>
      <c r="HE385" t="e">
        <f>'North America'!980:980-"n/&gt;!3P`"</f>
        <v>#VALUE!</v>
      </c>
      <c r="HF385" t="e">
        <f>'North America'!981:981-"n/&gt;!3Pa"</f>
        <v>#VALUE!</v>
      </c>
      <c r="HG385" t="e">
        <f>'North America'!982:982-"n/&gt;!3Pb"</f>
        <v>#VALUE!</v>
      </c>
      <c r="HH385" t="e">
        <f>'North America'!983:983-"n/&gt;!3Pc"</f>
        <v>#VALUE!</v>
      </c>
      <c r="HI385" t="e">
        <f>'North America'!984:984-"n/&gt;!3Pd"</f>
        <v>#VALUE!</v>
      </c>
      <c r="HJ385" t="e">
        <f>'North America'!985:985-"n/&gt;!3Pe"</f>
        <v>#VALUE!</v>
      </c>
      <c r="HK385" t="e">
        <f>'North America'!986:986-"n/&gt;!3Pf"</f>
        <v>#VALUE!</v>
      </c>
      <c r="HL385" t="e">
        <f>'North America'!987:987-"n/&gt;!3Pg"</f>
        <v>#VALUE!</v>
      </c>
      <c r="HM385" t="e">
        <f>'North America'!988:988-"n/&gt;!3Ph"</f>
        <v>#VALUE!</v>
      </c>
      <c r="HN385" t="e">
        <f>'North America'!989:989-"n/&gt;!3Pi"</f>
        <v>#VALUE!</v>
      </c>
      <c r="HO385" t="e">
        <f>'North America'!990:990-"n/&gt;!3Pj"</f>
        <v>#VALUE!</v>
      </c>
      <c r="HP385" t="e">
        <f>'North America'!991:991-"n/&gt;!3Pk"</f>
        <v>#VALUE!</v>
      </c>
      <c r="HQ385" t="e">
        <f>'North America'!992:992-"n/&gt;!3Pl"</f>
        <v>#VALUE!</v>
      </c>
      <c r="HR385" t="e">
        <f>'North America'!993:993-"n/&gt;!3Pm"</f>
        <v>#VALUE!</v>
      </c>
      <c r="HS385" t="e">
        <f>'North America'!994:994-"n/&gt;!3Pn"</f>
        <v>#VALUE!</v>
      </c>
      <c r="HT385" t="e">
        <f>'North America'!995:995-"n/&gt;!3Po"</f>
        <v>#VALUE!</v>
      </c>
      <c r="HU385" t="e">
        <f>'North America'!996:996-"n/&gt;!3Pp"</f>
        <v>#VALUE!</v>
      </c>
      <c r="HV385" t="e">
        <f>'North America'!997:997-"n/&gt;!3Pq"</f>
        <v>#VALUE!</v>
      </c>
      <c r="HW385" t="e">
        <f>'North America'!998:998-"n/&gt;!3Pr"</f>
        <v>#VALUE!</v>
      </c>
      <c r="HX385" t="e">
        <f>'North America'!999:999-"n/&gt;!3Ps"</f>
        <v>#VALUE!</v>
      </c>
      <c r="HY385" t="e">
        <f>'North America'!1000:1000-"n/&gt;!3Pt"</f>
        <v>#VALUE!</v>
      </c>
      <c r="HZ385" t="e">
        <f>'North America'!1001:1001-"n/&gt;!3Pu"</f>
        <v>#VALUE!</v>
      </c>
      <c r="IA385" t="e">
        <f>'North America'!1002:1002-"n/&gt;!3Pv"</f>
        <v>#VALUE!</v>
      </c>
      <c r="IB385" t="e">
        <f>'North America'!1003:1003-"n/&gt;!3Pw"</f>
        <v>#VALUE!</v>
      </c>
      <c r="IC385" t="e">
        <f>'North America'!1004:1004-"n/&gt;!3Px"</f>
        <v>#VALUE!</v>
      </c>
      <c r="ID385" t="e">
        <f>'North America'!1005:1005-"n/&gt;!3Py"</f>
        <v>#VALUE!</v>
      </c>
      <c r="IE385" t="e">
        <f>'North America'!1006:1006-"n/&gt;!3Pz"</f>
        <v>#VALUE!</v>
      </c>
      <c r="IF385" t="e">
        <f>'North America'!1007:1007-"n/&gt;!3P{"</f>
        <v>#VALUE!</v>
      </c>
      <c r="IG385" t="e">
        <f>'North America'!1008:1008-"n/&gt;!3P|"</f>
        <v>#VALUE!</v>
      </c>
      <c r="IH385" t="e">
        <f>'North America'!1009:1009-"n/&gt;!3P}"</f>
        <v>#VALUE!</v>
      </c>
      <c r="II385" t="e">
        <f>'North America'!1010:1010-"n/&gt;!3P~"</f>
        <v>#VALUE!</v>
      </c>
      <c r="IJ385" t="e">
        <f>'North America'!1011:1011-"n/&gt;!3Q#"</f>
        <v>#VALUE!</v>
      </c>
      <c r="IK385" t="e">
        <f>'North America'!1012:1012-"n/&gt;!3Q$"</f>
        <v>#VALUE!</v>
      </c>
      <c r="IL385" t="e">
        <f>'North America'!1013:1013-"n/&gt;!3Q%"</f>
        <v>#VALUE!</v>
      </c>
      <c r="IM385" t="e">
        <f>'North America'!1014:1014-"n/&gt;!3Q&amp;"</f>
        <v>#VALUE!</v>
      </c>
      <c r="IN385" t="e">
        <f>'North America'!1015:1015-"n/&gt;!3Q'"</f>
        <v>#VALUE!</v>
      </c>
      <c r="IO385" t="e">
        <f>'North America'!1016:1016-"n/&gt;!3Q("</f>
        <v>#VALUE!</v>
      </c>
      <c r="IP385" t="e">
        <f>'North America'!1017:1017-"n/&gt;!3Q)"</f>
        <v>#VALUE!</v>
      </c>
      <c r="IQ385" t="e">
        <f>'North America'!1018:1018-"n/&gt;!3Q."</f>
        <v>#VALUE!</v>
      </c>
      <c r="IR385" t="e">
        <f>'North America'!1019:1019-"n/&gt;!3Q/"</f>
        <v>#VALUE!</v>
      </c>
      <c r="IS385" t="e">
        <f>'North America'!1020:1020-"n/&gt;!3Q0"</f>
        <v>#VALUE!</v>
      </c>
      <c r="IT385" t="e">
        <f>'North America'!1021:1021-"n/&gt;!3Q1"</f>
        <v>#VALUE!</v>
      </c>
      <c r="IU385" t="e">
        <f>'North America'!1022:1022-"n/&gt;!3Q2"</f>
        <v>#VALUE!</v>
      </c>
      <c r="IV385" t="e">
        <f>'North America'!1023:1023-"n/&gt;!3Q3"</f>
        <v>#VALUE!</v>
      </c>
    </row>
    <row r="386" spans="6:256" x14ac:dyDescent="0.35">
      <c r="F386" t="e">
        <f>'North America'!1024:1024-"n/&gt;!3Q4"</f>
        <v>#VALUE!</v>
      </c>
      <c r="G386" t="e">
        <f>'North America'!1025:1025-"n/&gt;!3Q5"</f>
        <v>#VALUE!</v>
      </c>
      <c r="H386" t="e">
        <f>'North America'!1026:1026-"n/&gt;!3Q6"</f>
        <v>#VALUE!</v>
      </c>
      <c r="I386" t="e">
        <f>'North America'!1027:1027-"n/&gt;!3Q7"</f>
        <v>#VALUE!</v>
      </c>
      <c r="J386" t="e">
        <f>'North America'!1028:1028-"n/&gt;!3Q8"</f>
        <v>#VALUE!</v>
      </c>
      <c r="K386" t="e">
        <f>'North America'!1029:1029-"n/&gt;!3Q9"</f>
        <v>#VALUE!</v>
      </c>
      <c r="L386" t="e">
        <f>'North America'!1030:1030-"n/&gt;!3Q:"</f>
        <v>#VALUE!</v>
      </c>
      <c r="M386" t="e">
        <f>'North America'!1031:1031-"n/&gt;!3Q;"</f>
        <v>#VALUE!</v>
      </c>
      <c r="N386" t="e">
        <f>'North America'!1032:1032-"n/&gt;!3Q&lt;"</f>
        <v>#VALUE!</v>
      </c>
      <c r="O386" t="e">
        <f>'North America'!1033:1033-"n/&gt;!3Q="</f>
        <v>#VALUE!</v>
      </c>
      <c r="P386" t="e">
        <f>'North America'!1034:1034-"n/&gt;!3Q&gt;"</f>
        <v>#VALUE!</v>
      </c>
      <c r="Q386" t="e">
        <f>'North America'!1035:1035-"n/&gt;!3Q?"</f>
        <v>#VALUE!</v>
      </c>
      <c r="R386" t="e">
        <f>'North America'!1036:1036-"n/&gt;!3Q@"</f>
        <v>#VALUE!</v>
      </c>
      <c r="S386" t="e">
        <f>'North America'!1037:1037-"n/&gt;!3QA"</f>
        <v>#VALUE!</v>
      </c>
      <c r="T386" t="e">
        <f>'North America'!1038:1038-"n/&gt;!3QB"</f>
        <v>#VALUE!</v>
      </c>
      <c r="U386" t="e">
        <f>'North America'!1039:1039-"n/&gt;!3QC"</f>
        <v>#VALUE!</v>
      </c>
      <c r="V386" t="e">
        <f>'North America'!1040:1040-"n/&gt;!3QD"</f>
        <v>#VALUE!</v>
      </c>
      <c r="W386" t="e">
        <f>'North America'!1041:1041-"n/&gt;!3QE"</f>
        <v>#VALUE!</v>
      </c>
      <c r="X386" t="e">
        <f>'North America'!1042:1042-"n/&gt;!3QF"</f>
        <v>#VALUE!</v>
      </c>
      <c r="Y386" t="e">
        <f>'North America'!1043:1043-"n/&gt;!3QG"</f>
        <v>#VALUE!</v>
      </c>
      <c r="Z386" t="e">
        <f>'North America'!1044:1044-"n/&gt;!3QH"</f>
        <v>#VALUE!</v>
      </c>
      <c r="AA386" t="e">
        <f>'North America'!1045:1045-"n/&gt;!3QI"</f>
        <v>#VALUE!</v>
      </c>
      <c r="AB386" t="e">
        <f>'North America'!1046:1046-"n/&gt;!3QJ"</f>
        <v>#VALUE!</v>
      </c>
      <c r="AC386" t="e">
        <f>'North America'!1047:1047-"n/&gt;!3QK"</f>
        <v>#VALUE!</v>
      </c>
      <c r="AD386" t="e">
        <f>'North America'!1048:1048-"n/&gt;!3QL"</f>
        <v>#VALUE!</v>
      </c>
      <c r="AE386" t="e">
        <f>'North America'!1049:1049-"n/&gt;!3QM"</f>
        <v>#VALUE!</v>
      </c>
      <c r="AF386" t="e">
        <f>'North America'!1050:1050-"n/&gt;!3QN"</f>
        <v>#VALUE!</v>
      </c>
      <c r="AG386" t="e">
        <f>'North America'!1051:1051-"n/&gt;!3QO"</f>
        <v>#VALUE!</v>
      </c>
      <c r="AH386" t="e">
        <f>'North America'!1052:1052-"n/&gt;!3QP"</f>
        <v>#VALUE!</v>
      </c>
      <c r="AI386" t="e">
        <f>'North America'!1053:1053-"n/&gt;!3QQ"</f>
        <v>#VALUE!</v>
      </c>
      <c r="AJ386" t="e">
        <f>'North America'!1054:1054-"n/&gt;!3QR"</f>
        <v>#VALUE!</v>
      </c>
      <c r="AK386" t="e">
        <f>'North America'!1055:1055-"n/&gt;!3QS"</f>
        <v>#VALUE!</v>
      </c>
      <c r="AL386" t="e">
        <f>'North America'!1056:1056-"n/&gt;!3QT"</f>
        <v>#VALUE!</v>
      </c>
      <c r="AM386" t="e">
        <f>'North America'!1057:1057-"n/&gt;!3QU"</f>
        <v>#VALUE!</v>
      </c>
      <c r="AN386" t="e">
        <f>'North America'!1058:1058-"n/&gt;!3QV"</f>
        <v>#VALUE!</v>
      </c>
      <c r="AO386" t="e">
        <f>'North America'!1059:1059-"n/&gt;!3QW"</f>
        <v>#VALUE!</v>
      </c>
      <c r="AP386" t="e">
        <f>'North America'!1060:1060-"n/&gt;!3QX"</f>
        <v>#VALUE!</v>
      </c>
      <c r="AQ386" t="e">
        <f>'North America'!1061:1061-"n/&gt;!3QY"</f>
        <v>#VALUE!</v>
      </c>
      <c r="AR386" t="e">
        <f>'North America'!1062:1062-"n/&gt;!3QZ"</f>
        <v>#VALUE!</v>
      </c>
      <c r="AS386" t="e">
        <f>'North America'!1063:1063-"n/&gt;!3Q["</f>
        <v>#VALUE!</v>
      </c>
      <c r="AT386" t="e">
        <f>'North America'!1064:1064-"n/&gt;!3Q\"</f>
        <v>#VALUE!</v>
      </c>
      <c r="AU386" t="e">
        <f>'North America'!1065:1065-"n/&gt;!3Q]"</f>
        <v>#VALUE!</v>
      </c>
      <c r="AV386" t="e">
        <f>'North America'!1066:1066-"n/&gt;!3Q^"</f>
        <v>#VALUE!</v>
      </c>
      <c r="AW386" t="e">
        <f>'North America'!1067:1067-"n/&gt;!3Q_"</f>
        <v>#VALUE!</v>
      </c>
      <c r="AX386" t="e">
        <f>'North America'!1068:1068-"n/&gt;!3Q`"</f>
        <v>#VALUE!</v>
      </c>
      <c r="AY386" t="e">
        <f>'North America'!1069:1069-"n/&gt;!3Qa"</f>
        <v>#VALUE!</v>
      </c>
      <c r="AZ386" t="e">
        <f>'North America'!1070:1070-"n/&gt;!3Qb"</f>
        <v>#VALUE!</v>
      </c>
      <c r="BA386" t="e">
        <f>'North America'!1071:1071-"n/&gt;!3Qc"</f>
        <v>#VALUE!</v>
      </c>
      <c r="BB386" t="e">
        <f>'North America'!1072:1072-"n/&gt;!3Qd"</f>
        <v>#VALUE!</v>
      </c>
      <c r="BC386" t="e">
        <f>'North America'!1073:1073-"n/&gt;!3Qe"</f>
        <v>#VALUE!</v>
      </c>
      <c r="BD386" t="e">
        <f>'North America'!1074:1074-"n/&gt;!3Qf"</f>
        <v>#VALUE!</v>
      </c>
      <c r="BE386" t="e">
        <f>'North America'!1075:1075-"n/&gt;!3Qg"</f>
        <v>#VALUE!</v>
      </c>
      <c r="BF386" t="e">
        <f>'North America'!1076:1076-"n/&gt;!3Qh"</f>
        <v>#VALUE!</v>
      </c>
      <c r="BG386" t="e">
        <f>'North America'!1077:1077-"n/&gt;!3Qi"</f>
        <v>#VALUE!</v>
      </c>
      <c r="BH386" t="e">
        <f>'North America'!1078:1078-"n/&gt;!3Qj"</f>
        <v>#VALUE!</v>
      </c>
      <c r="BI386" t="e">
        <f>'North America'!1079:1079-"n/&gt;!3Qk"</f>
        <v>#VALUE!</v>
      </c>
      <c r="BJ386" t="e">
        <f>'North America'!1080:1080-"n/&gt;!3Ql"</f>
        <v>#VALUE!</v>
      </c>
      <c r="BK386" t="e">
        <f>'North America'!1081:1081-"n/&gt;!3Qm"</f>
        <v>#VALUE!</v>
      </c>
      <c r="BL386" t="e">
        <f>'North America'!1082:1082-"n/&gt;!3Qn"</f>
        <v>#VALUE!</v>
      </c>
      <c r="BM386" t="e">
        <f>'North America'!1083:1083-"n/&gt;!3Qo"</f>
        <v>#VALUE!</v>
      </c>
      <c r="BN386" t="e">
        <f>'North America'!1084:1084-"n/&gt;!3Qp"</f>
        <v>#VALUE!</v>
      </c>
      <c r="BO386" t="e">
        <f>'North America'!1085:1085-"n/&gt;!3Qq"</f>
        <v>#VALUE!</v>
      </c>
      <c r="BP386" t="e">
        <f>'North America'!1086:1086-"n/&gt;!3Qr"</f>
        <v>#VALUE!</v>
      </c>
      <c r="BQ386" t="e">
        <f>'North America'!1087:1087-"n/&gt;!3Qs"</f>
        <v>#VALUE!</v>
      </c>
      <c r="BR386" t="e">
        <f>'North America'!1088:1088-"n/&gt;!3Qt"</f>
        <v>#VALUE!</v>
      </c>
      <c r="BS386" t="e">
        <f>'North America'!1089:1089-"n/&gt;!3Qu"</f>
        <v>#VALUE!</v>
      </c>
      <c r="BT386" t="e">
        <f>'North America'!1090:1090-"n/&gt;!3Qv"</f>
        <v>#VALUE!</v>
      </c>
      <c r="BU386" t="e">
        <f>'North America'!1091:1091-"n/&gt;!3Qw"</f>
        <v>#VALUE!</v>
      </c>
      <c r="BV386" t="e">
        <f>'North America'!1092:1092-"n/&gt;!3Qx"</f>
        <v>#VALUE!</v>
      </c>
      <c r="BW386" t="e">
        <f>'North America'!1093:1093-"n/&gt;!3Qy"</f>
        <v>#VALUE!</v>
      </c>
      <c r="BX386" t="e">
        <f>'North America'!1094:1094-"n/&gt;!3Qz"</f>
        <v>#VALUE!</v>
      </c>
      <c r="BY386" t="e">
        <f>'North America'!1095:1095-"n/&gt;!3Q{"</f>
        <v>#VALUE!</v>
      </c>
      <c r="BZ386" t="e">
        <f>'North America'!1096:1096-"n/&gt;!3Q|"</f>
        <v>#VALUE!</v>
      </c>
      <c r="CA386" t="e">
        <f>'North America'!1097:1097-"n/&gt;!3Q}"</f>
        <v>#VALUE!</v>
      </c>
      <c r="CB386" t="e">
        <f>'North America'!1098:1098-"n/&gt;!3Q~"</f>
        <v>#VALUE!</v>
      </c>
      <c r="CC386" t="e">
        <f>'North America'!1099:1099-"n/&gt;!3R#"</f>
        <v>#VALUE!</v>
      </c>
      <c r="CD386" t="e">
        <f>'North America'!1100:1100-"n/&gt;!3R$"</f>
        <v>#VALUE!</v>
      </c>
      <c r="CE386" t="e">
        <f>'North America'!1101:1101-"n/&gt;!3R%"</f>
        <v>#VALUE!</v>
      </c>
      <c r="CF386" t="e">
        <f>'North America'!1102:1102-"n/&gt;!3R&amp;"</f>
        <v>#VALUE!</v>
      </c>
      <c r="CG386" t="e">
        <f>'North America'!1103:1103-"n/&gt;!3R'"</f>
        <v>#VALUE!</v>
      </c>
      <c r="CH386" t="e">
        <f>'North America'!1104:1104-"n/&gt;!3R("</f>
        <v>#VALUE!</v>
      </c>
      <c r="CI386" t="e">
        <f>'North America'!1105:1105-"n/&gt;!3R)"</f>
        <v>#VALUE!</v>
      </c>
      <c r="CJ386" t="e">
        <f>'North America'!1106:1106-"n/&gt;!3R."</f>
        <v>#VALUE!</v>
      </c>
      <c r="CK386" t="e">
        <f>'North America'!1107:1107-"n/&gt;!3R/"</f>
        <v>#VALUE!</v>
      </c>
      <c r="CL386" t="e">
        <f>'North America'!1108:1108-"n/&gt;!3R0"</f>
        <v>#VALUE!</v>
      </c>
      <c r="CM386" t="e">
        <f>'North America'!1109:1109-"n/&gt;!3R1"</f>
        <v>#VALUE!</v>
      </c>
      <c r="CN386" t="e">
        <f>'North America'!1110:1110-"n/&gt;!3R2"</f>
        <v>#VALUE!</v>
      </c>
      <c r="CO386" t="e">
        <f>'North America'!1111:1111-"n/&gt;!3R3"</f>
        <v>#VALUE!</v>
      </c>
      <c r="CP386" t="e">
        <f>'North America'!1112:1112-"n/&gt;!3R4"</f>
        <v>#VALUE!</v>
      </c>
      <c r="CQ386" t="e">
        <f>'North America'!1113:1113-"n/&gt;!3R5"</f>
        <v>#VALUE!</v>
      </c>
      <c r="CR386" t="e">
        <f>'North America'!1114:1114-"n/&gt;!3R6"</f>
        <v>#VALUE!</v>
      </c>
      <c r="CS386" t="e">
        <f>'North America'!1115:1115-"n/&gt;!3R7"</f>
        <v>#VALUE!</v>
      </c>
      <c r="CT386" t="e">
        <f>'North America'!1116:1116-"n/&gt;!3R8"</f>
        <v>#VALUE!</v>
      </c>
      <c r="CU386" t="e">
        <f>'North America'!1117:1117-"n/&gt;!3R9"</f>
        <v>#VALUE!</v>
      </c>
      <c r="CV386" t="e">
        <f>'North America'!1118:1118-"n/&gt;!3R:"</f>
        <v>#VALUE!</v>
      </c>
      <c r="CW386" t="e">
        <f>'North America'!1119:1119-"n/&gt;!3R;"</f>
        <v>#VALUE!</v>
      </c>
      <c r="CX386" t="e">
        <f>'North America'!1120:1120-"n/&gt;!3R&lt;"</f>
        <v>#VALUE!</v>
      </c>
      <c r="CY386" t="e">
        <f>'North America'!1121:1121-"n/&gt;!3R="</f>
        <v>#VALUE!</v>
      </c>
      <c r="CZ386" t="e">
        <f>'North America'!1122:1122-"n/&gt;!3R&gt;"</f>
        <v>#VALUE!</v>
      </c>
      <c r="DA386" t="e">
        <f>'North America'!1123:1123-"n/&gt;!3R?"</f>
        <v>#VALUE!</v>
      </c>
      <c r="DB386" t="e">
        <f>'North America'!1124:1124-"n/&gt;!3R@"</f>
        <v>#VALUE!</v>
      </c>
      <c r="DC386" t="e">
        <f>'North America'!1125:1125-"n/&gt;!3RA"</f>
        <v>#VALUE!</v>
      </c>
      <c r="DD386" t="e">
        <f>'North America'!1126:1126-"n/&gt;!3RB"</f>
        <v>#VALUE!</v>
      </c>
      <c r="DE386" t="e">
        <f>'North America'!1127:1127-"n/&gt;!3RC"</f>
        <v>#VALUE!</v>
      </c>
      <c r="DF386" t="e">
        <f>'North America'!1128:1128-"n/&gt;!3RD"</f>
        <v>#VALUE!</v>
      </c>
      <c r="DG386" t="e">
        <f>'North America'!1129:1129-"n/&gt;!3RE"</f>
        <v>#VALUE!</v>
      </c>
      <c r="DH386" t="e">
        <f>'North America'!1130:1130-"n/&gt;!3RF"</f>
        <v>#VALUE!</v>
      </c>
      <c r="DI386" t="e">
        <f>'North America'!1131:1131-"n/&gt;!3RG"</f>
        <v>#VALUE!</v>
      </c>
      <c r="DJ386" t="e">
        <f>'North America'!1132:1132-"n/&gt;!3RH"</f>
        <v>#VALUE!</v>
      </c>
      <c r="DK386" t="e">
        <f>'North America'!1133:1133-"n/&gt;!3RI"</f>
        <v>#VALUE!</v>
      </c>
      <c r="DL386" t="e">
        <f>'North America'!1134:1134-"n/&gt;!3RJ"</f>
        <v>#VALUE!</v>
      </c>
      <c r="DM386" t="e">
        <f>'North America'!1135:1135-"n/&gt;!3RK"</f>
        <v>#VALUE!</v>
      </c>
      <c r="DN386" t="e">
        <f>'North America'!1136:1136-"n/&gt;!3RL"</f>
        <v>#VALUE!</v>
      </c>
      <c r="DO386" t="e">
        <f>'North America'!1137:1137-"n/&gt;!3RM"</f>
        <v>#VALUE!</v>
      </c>
      <c r="DP386" t="e">
        <f>'North America'!1138:1138-"n/&gt;!3RN"</f>
        <v>#VALUE!</v>
      </c>
      <c r="DQ386" t="e">
        <f>'North America'!1139:1139-"n/&gt;!3RO"</f>
        <v>#VALUE!</v>
      </c>
      <c r="DR386" t="e">
        <f>'North America'!1140:1140-"n/&gt;!3RP"</f>
        <v>#VALUE!</v>
      </c>
      <c r="DS386" t="e">
        <f>'North America'!1141:1141-"n/&gt;!3RQ"</f>
        <v>#VALUE!</v>
      </c>
      <c r="DT386" t="e">
        <f>'North America'!1142:1142-"n/&gt;!3RR"</f>
        <v>#VALUE!</v>
      </c>
      <c r="DU386" t="e">
        <f>'North America'!1143:1143-"n/&gt;!3RS"</f>
        <v>#VALUE!</v>
      </c>
      <c r="DV386" t="e">
        <f>'North America'!1144:1144-"n/&gt;!3RT"</f>
        <v>#VALUE!</v>
      </c>
      <c r="DW386" t="e">
        <f>'North America'!1145:1145-"n/&gt;!3RU"</f>
        <v>#VALUE!</v>
      </c>
      <c r="DX386" t="e">
        <f>'North America'!1146:1146-"n/&gt;!3RV"</f>
        <v>#VALUE!</v>
      </c>
      <c r="DY386" t="e">
        <f>'North America'!1147:1147-"n/&gt;!3RW"</f>
        <v>#VALUE!</v>
      </c>
      <c r="DZ386" t="e">
        <f>'North America'!1148:1148-"n/&gt;!3RX"</f>
        <v>#VALUE!</v>
      </c>
      <c r="EA386" t="e">
        <f>'North America'!1149:1149-"n/&gt;!3RY"</f>
        <v>#VALUE!</v>
      </c>
      <c r="EB386" t="e">
        <f>'North America'!1150:1150-"n/&gt;!3RZ"</f>
        <v>#VALUE!</v>
      </c>
      <c r="EC386" t="e">
        <f>'North America'!1151:1151-"n/&gt;!3R["</f>
        <v>#VALUE!</v>
      </c>
      <c r="ED386" t="e">
        <f>'North America'!1152:1152-"n/&gt;!3R\"</f>
        <v>#VALUE!</v>
      </c>
      <c r="EE386" t="e">
        <f>'North America'!1153:1153-"n/&gt;!3R]"</f>
        <v>#VALUE!</v>
      </c>
      <c r="EF386" t="e">
        <f>'North America'!1154:1154-"n/&gt;!3R^"</f>
        <v>#VALUE!</v>
      </c>
      <c r="EG386" t="e">
        <f>'North America'!1155:1155-"n/&gt;!3R_"</f>
        <v>#VALUE!</v>
      </c>
      <c r="EH386" t="e">
        <f>'North America'!1156:1156-"n/&gt;!3R`"</f>
        <v>#VALUE!</v>
      </c>
      <c r="EI386" t="e">
        <f>'North America'!1157:1157-"n/&gt;!3Ra"</f>
        <v>#VALUE!</v>
      </c>
      <c r="EJ386" t="e">
        <f>'North America'!1158:1158-"n/&gt;!3Rb"</f>
        <v>#VALUE!</v>
      </c>
      <c r="EK386" t="e">
        <f>'North America'!1159:1159-"n/&gt;!3Rc"</f>
        <v>#VALUE!</v>
      </c>
      <c r="EL386" t="e">
        <f>'North America'!1160:1160-"n/&gt;!3Rd"</f>
        <v>#VALUE!</v>
      </c>
      <c r="EM386" t="e">
        <f>'North America'!1161:1161-"n/&gt;!3Re"</f>
        <v>#VALUE!</v>
      </c>
      <c r="EN386" t="e">
        <f>'North America'!1162:1162-"n/&gt;!3Rf"</f>
        <v>#VALUE!</v>
      </c>
      <c r="EO386" t="e">
        <f>'North America'!1163:1163-"n/&gt;!3Rg"</f>
        <v>#VALUE!</v>
      </c>
      <c r="EP386" t="e">
        <f>'North America'!1164:1164-"n/&gt;!3Rh"</f>
        <v>#VALUE!</v>
      </c>
      <c r="EQ386" t="e">
        <f>'North America'!1165:1165-"n/&gt;!3Ri"</f>
        <v>#VALUE!</v>
      </c>
      <c r="ER386" t="e">
        <f>'North America'!1166:1166-"n/&gt;!3Rj"</f>
        <v>#VALUE!</v>
      </c>
      <c r="ES386" t="e">
        <f>'North America'!1167:1167-"n/&gt;!3Rk"</f>
        <v>#VALUE!</v>
      </c>
      <c r="ET386" t="e">
        <f>'North America'!1168:1168-"n/&gt;!3Rl"</f>
        <v>#VALUE!</v>
      </c>
      <c r="EU386" t="e">
        <f>'North America'!1169:1169-"n/&gt;!3Rm"</f>
        <v>#VALUE!</v>
      </c>
      <c r="EV386" t="e">
        <f>'North America'!1170:1170-"n/&gt;!3Rn"</f>
        <v>#VALUE!</v>
      </c>
      <c r="EW386" t="e">
        <f>'North America'!1171:1171-"n/&gt;!3Ro"</f>
        <v>#VALUE!</v>
      </c>
      <c r="EX386" t="e">
        <f>'North America'!1172:1172-"n/&gt;!3Rp"</f>
        <v>#VALUE!</v>
      </c>
      <c r="EY386" t="e">
        <f>'North America'!1173:1173-"n/&gt;!3Rq"</f>
        <v>#VALUE!</v>
      </c>
      <c r="EZ386" t="e">
        <f>'North America'!1174:1174-"n/&gt;!3Rr"</f>
        <v>#VALUE!</v>
      </c>
      <c r="FA386" t="e">
        <f>'North America'!1175:1175-"n/&gt;!3Rs"</f>
        <v>#VALUE!</v>
      </c>
      <c r="FB386" t="e">
        <f>'North America'!1176:1176-"n/&gt;!3Rt"</f>
        <v>#VALUE!</v>
      </c>
      <c r="FC386" t="e">
        <f>'North America'!1177:1177-"n/&gt;!3Ru"</f>
        <v>#VALUE!</v>
      </c>
      <c r="FD386" t="e">
        <f>'North America'!1178:1178-"n/&gt;!3Rv"</f>
        <v>#VALUE!</v>
      </c>
      <c r="FE386" t="e">
        <f>'North America'!1179:1179-"n/&gt;!3Rw"</f>
        <v>#VALUE!</v>
      </c>
      <c r="FF386" t="e">
        <f>'North America'!1180:1180-"n/&gt;!3Rx"</f>
        <v>#VALUE!</v>
      </c>
      <c r="FG386" t="e">
        <f>'North America'!1181:1181-"n/&gt;!3Ry"</f>
        <v>#VALUE!</v>
      </c>
      <c r="FH386" t="e">
        <f>'North America'!1182:1182-"n/&gt;!3Rz"</f>
        <v>#VALUE!</v>
      </c>
      <c r="FI386" t="e">
        <f>'North America'!1183:1183-"n/&gt;!3R{"</f>
        <v>#VALUE!</v>
      </c>
      <c r="FJ386" t="e">
        <f>'North America'!1184:1184-"n/&gt;!3R|"</f>
        <v>#VALUE!</v>
      </c>
      <c r="FK386" t="e">
        <f>'North America'!1185:1185-"n/&gt;!3R}"</f>
        <v>#VALUE!</v>
      </c>
      <c r="FL386" t="e">
        <f>'North America'!1186:1186-"n/&gt;!3R~"</f>
        <v>#VALUE!</v>
      </c>
      <c r="FM386" t="e">
        <f>'North America'!1187:1187-"n/&gt;!3S#"</f>
        <v>#VALUE!</v>
      </c>
      <c r="FN386" t="e">
        <f>'North America'!1188:1188-"n/&gt;!3S$"</f>
        <v>#VALUE!</v>
      </c>
      <c r="FO386" t="e">
        <f>'North America'!1189:1189-"n/&gt;!3S%"</f>
        <v>#VALUE!</v>
      </c>
      <c r="FP386" t="e">
        <f>'North America'!1190:1190-"n/&gt;!3S&amp;"</f>
        <v>#VALUE!</v>
      </c>
      <c r="FQ386" t="e">
        <f>'North America'!1191:1191-"n/&gt;!3S'"</f>
        <v>#VALUE!</v>
      </c>
      <c r="FR386" t="e">
        <f>'North America'!1192:1192-"n/&gt;!3S("</f>
        <v>#VALUE!</v>
      </c>
      <c r="FS386" t="e">
        <f>'North America'!1193:1193-"n/&gt;!3S)"</f>
        <v>#VALUE!</v>
      </c>
      <c r="FT386" t="e">
        <f>'North America'!1194:1194-"n/&gt;!3S."</f>
        <v>#VALUE!</v>
      </c>
      <c r="FU386" t="e">
        <f>'North America'!1195:1195-"n/&gt;!3S/"</f>
        <v>#VALUE!</v>
      </c>
      <c r="FV386" t="e">
        <f>'North America'!1196:1196-"n/&gt;!3S0"</f>
        <v>#VALUE!</v>
      </c>
      <c r="FW386" t="e">
        <f>'North America'!1197:1197-"n/&gt;!3S1"</f>
        <v>#VALUE!</v>
      </c>
      <c r="FX386" t="e">
        <f>'North America'!1198:1198-"n/&gt;!3S2"</f>
        <v>#VALUE!</v>
      </c>
      <c r="FY386" t="e">
        <f>'North America'!1199:1199-"n/&gt;!3S3"</f>
        <v>#VALUE!</v>
      </c>
      <c r="FZ386" t="e">
        <f>'North America'!1200:1200-"n/&gt;!3S4"</f>
        <v>#VALUE!</v>
      </c>
      <c r="GA386" t="e">
        <f>'North America'!1201:1201-"n/&gt;!3S5"</f>
        <v>#VALUE!</v>
      </c>
      <c r="GB386" t="e">
        <f>'North America'!1202:1202-"n/&gt;!3S6"</f>
        <v>#VALUE!</v>
      </c>
      <c r="GC386" t="e">
        <f>'North America'!1203:1203-"n/&gt;!3S7"</f>
        <v>#VALUE!</v>
      </c>
      <c r="GD386" t="e">
        <f>'North America'!1204:1204-"n/&gt;!3S8"</f>
        <v>#VALUE!</v>
      </c>
      <c r="GE386" t="e">
        <f>'North America'!1205:1205-"n/&gt;!3S9"</f>
        <v>#VALUE!</v>
      </c>
      <c r="GF386" t="e">
        <f>'North America'!1206:1206-"n/&gt;!3S:"</f>
        <v>#VALUE!</v>
      </c>
      <c r="GG386" t="e">
        <f>'North America'!1207:1207-"n/&gt;!3S;"</f>
        <v>#VALUE!</v>
      </c>
      <c r="GH386" t="e">
        <f>'North America'!1208:1208-"n/&gt;!3S&lt;"</f>
        <v>#VALUE!</v>
      </c>
      <c r="GI386" t="e">
        <f>'North America'!1209:1209-"n/&gt;!3S="</f>
        <v>#VALUE!</v>
      </c>
      <c r="GJ386" t="e">
        <f>'North America'!1210:1210-"n/&gt;!3S&gt;"</f>
        <v>#VALUE!</v>
      </c>
      <c r="GK386" t="e">
        <f>'North America'!1211:1211-"n/&gt;!3S?"</f>
        <v>#VALUE!</v>
      </c>
      <c r="GL386" t="e">
        <f>'North America'!1212:1212-"n/&gt;!3S@"</f>
        <v>#VALUE!</v>
      </c>
      <c r="GM386" t="e">
        <f>'North America'!1213:1213-"n/&gt;!3SA"</f>
        <v>#VALUE!</v>
      </c>
      <c r="GN386" t="e">
        <f>'North America'!1214:1214-"n/&gt;!3SB"</f>
        <v>#VALUE!</v>
      </c>
      <c r="GO386" t="e">
        <f>'North America'!1215:1215-"n/&gt;!3SC"</f>
        <v>#VALUE!</v>
      </c>
      <c r="GP386" t="e">
        <f>'North America'!1216:1216-"n/&gt;!3SD"</f>
        <v>#VALUE!</v>
      </c>
      <c r="GQ386" t="e">
        <f>'North America'!1217:1217-"n/&gt;!3SE"</f>
        <v>#VALUE!</v>
      </c>
      <c r="GR386" t="e">
        <f>'North America'!1218:1218-"n/&gt;!3SF"</f>
        <v>#VALUE!</v>
      </c>
      <c r="GS386" t="e">
        <f>'North America'!1219:1219-"n/&gt;!3SG"</f>
        <v>#VALUE!</v>
      </c>
      <c r="GT386" t="e">
        <f>'North America'!1220:1220-"n/&gt;!3SH"</f>
        <v>#VALUE!</v>
      </c>
      <c r="GU386" t="e">
        <f>'North America'!1221:1221-"n/&gt;!3SI"</f>
        <v>#VALUE!</v>
      </c>
      <c r="GV386" t="e">
        <f>'North America'!1222:1222-"n/&gt;!3SJ"</f>
        <v>#VALUE!</v>
      </c>
      <c r="GW386" t="e">
        <f>'North America'!1223:1223-"n/&gt;!3SK"</f>
        <v>#VALUE!</v>
      </c>
      <c r="GX386" t="e">
        <f>'North America'!1224:1224-"n/&gt;!3SL"</f>
        <v>#VALUE!</v>
      </c>
      <c r="GY386" t="e">
        <f>'North America'!1225:1225-"n/&gt;!3SM"</f>
        <v>#VALUE!</v>
      </c>
      <c r="GZ386" t="e">
        <f>'North America'!1226:1226-"n/&gt;!3SN"</f>
        <v>#VALUE!</v>
      </c>
      <c r="HA386" t="e">
        <f>'North America'!1227:1227-"n/&gt;!3SO"</f>
        <v>#VALUE!</v>
      </c>
      <c r="HB386" t="e">
        <f>'North America'!1228:1228-"n/&gt;!3SP"</f>
        <v>#VALUE!</v>
      </c>
      <c r="HC386" t="e">
        <f>'North America'!1229:1229-"n/&gt;!3SQ"</f>
        <v>#VALUE!</v>
      </c>
      <c r="HD386" t="e">
        <f>'North America'!1230:1230-"n/&gt;!3SR"</f>
        <v>#VALUE!</v>
      </c>
      <c r="HE386" t="e">
        <f>'North America'!1231:1231-"n/&gt;!3SS"</f>
        <v>#VALUE!</v>
      </c>
      <c r="HF386" t="e">
        <f>'North America'!1232:1232-"n/&gt;!3ST"</f>
        <v>#VALUE!</v>
      </c>
      <c r="HG386" t="e">
        <f>'North America'!1233:1233-"n/&gt;!3SU"</f>
        <v>#VALUE!</v>
      </c>
      <c r="HH386" t="e">
        <f>'North America'!1234:1234-"n/&gt;!3SV"</f>
        <v>#VALUE!</v>
      </c>
      <c r="HI386" t="e">
        <f>'North America'!1235:1235-"n/&gt;!3SW"</f>
        <v>#VALUE!</v>
      </c>
      <c r="HJ386" t="e">
        <f>'North America'!1236:1236-"n/&gt;!3SX"</f>
        <v>#VALUE!</v>
      </c>
      <c r="HK386" t="e">
        <f>'North America'!1237:1237-"n/&gt;!3SY"</f>
        <v>#VALUE!</v>
      </c>
      <c r="HL386" t="e">
        <f>'North America'!1238:1238-"n/&gt;!3SZ"</f>
        <v>#VALUE!</v>
      </c>
      <c r="HM386" t="e">
        <f>'North America'!1239:1239-"n/&gt;!3S["</f>
        <v>#VALUE!</v>
      </c>
      <c r="HN386" t="e">
        <f>'North America'!1240:1240-"n/&gt;!3S\"</f>
        <v>#VALUE!</v>
      </c>
      <c r="HO386" t="e">
        <f>'North America'!1241:1241-"n/&gt;!3S]"</f>
        <v>#VALUE!</v>
      </c>
      <c r="HP386" t="e">
        <f>'North America'!1242:1242-"n/&gt;!3S^"</f>
        <v>#VALUE!</v>
      </c>
      <c r="HQ386" t="e">
        <f>'North America'!1243:1243-"n/&gt;!3S_"</f>
        <v>#VALUE!</v>
      </c>
      <c r="HR386" t="e">
        <f>'North America'!1244:1244-"n/&gt;!3S`"</f>
        <v>#VALUE!</v>
      </c>
      <c r="HS386" t="e">
        <f>'North America'!1245:1245-"n/&gt;!3Sa"</f>
        <v>#VALUE!</v>
      </c>
      <c r="HT386" t="e">
        <f>'North America'!1246:1246-"n/&gt;!3Sb"</f>
        <v>#VALUE!</v>
      </c>
      <c r="HU386" t="e">
        <f>'North America'!1247:1247-"n/&gt;!3Sc"</f>
        <v>#VALUE!</v>
      </c>
      <c r="HV386" t="e">
        <f>'North America'!1248:1248-"n/&gt;!3Sd"</f>
        <v>#VALUE!</v>
      </c>
      <c r="HW386" t="e">
        <f>'North America'!1249:1249-"n/&gt;!3Se"</f>
        <v>#VALUE!</v>
      </c>
      <c r="HX386" t="e">
        <f>'North America'!1250:1250-"n/&gt;!3Sf"</f>
        <v>#VALUE!</v>
      </c>
      <c r="HY386" t="e">
        <f>'North America'!1251:1251-"n/&gt;!3Sg"</f>
        <v>#VALUE!</v>
      </c>
      <c r="HZ386" t="e">
        <f>'North America'!1252:1252-"n/&gt;!3Sh"</f>
        <v>#VALUE!</v>
      </c>
      <c r="IA386" t="e">
        <f>'North America'!1253:1253-"n/&gt;!3Si"</f>
        <v>#VALUE!</v>
      </c>
      <c r="IB386" t="e">
        <f>'North America'!1254:1254-"n/&gt;!3Sj"</f>
        <v>#VALUE!</v>
      </c>
      <c r="IC386" t="e">
        <f>'North America'!1255:1255-"n/&gt;!3Sk"</f>
        <v>#VALUE!</v>
      </c>
      <c r="ID386" t="e">
        <f>'North America'!1256:1256-"n/&gt;!3Sl"</f>
        <v>#VALUE!</v>
      </c>
      <c r="IE386" t="e">
        <f>'North America'!1257:1257-"n/&gt;!3Sm"</f>
        <v>#VALUE!</v>
      </c>
      <c r="IF386" t="e">
        <f>'North America'!1258:1258-"n/&gt;!3Sn"</f>
        <v>#VALUE!</v>
      </c>
      <c r="IG386" t="e">
        <f>'North America'!1259:1259-"n/&gt;!3So"</f>
        <v>#VALUE!</v>
      </c>
      <c r="IH386" t="e">
        <f>'North America'!1260:1260-"n/&gt;!3Sp"</f>
        <v>#VALUE!</v>
      </c>
      <c r="II386" t="e">
        <f>'North America'!1261:1261-"n/&gt;!3Sq"</f>
        <v>#VALUE!</v>
      </c>
      <c r="IJ386" t="e">
        <f>'North America'!1262:1262-"n/&gt;!3Sr"</f>
        <v>#VALUE!</v>
      </c>
      <c r="IK386" t="e">
        <f>'North America'!1263:1263-"n/&gt;!3Ss"</f>
        <v>#VALUE!</v>
      </c>
      <c r="IL386" t="e">
        <f>'North America'!1264:1264-"n/&gt;!3St"</f>
        <v>#VALUE!</v>
      </c>
      <c r="IM386" t="e">
        <f>'North America'!1265:1265-"n/&gt;!3Su"</f>
        <v>#VALUE!</v>
      </c>
      <c r="IN386" t="e">
        <f>'North America'!1266:1266-"n/&gt;!3Sv"</f>
        <v>#VALUE!</v>
      </c>
      <c r="IO386" t="e">
        <f>'North America'!1267:1267-"n/&gt;!3Sw"</f>
        <v>#VALUE!</v>
      </c>
      <c r="IP386" t="e">
        <f>'North America'!1268:1268-"n/&gt;!3Sx"</f>
        <v>#VALUE!</v>
      </c>
      <c r="IQ386" t="e">
        <f>'North America'!1269:1269-"n/&gt;!3Sy"</f>
        <v>#VALUE!</v>
      </c>
      <c r="IR386" t="e">
        <f>'North America'!1270:1270-"n/&gt;!3Sz"</f>
        <v>#VALUE!</v>
      </c>
      <c r="IS386" t="e">
        <f>'North America'!1271:1271-"n/&gt;!3S{"</f>
        <v>#VALUE!</v>
      </c>
      <c r="IT386" t="e">
        <f>'North America'!1272:1272-"n/&gt;!3S|"</f>
        <v>#VALUE!</v>
      </c>
      <c r="IU386" t="e">
        <f>'North America'!1273:1273-"n/&gt;!3S}"</f>
        <v>#VALUE!</v>
      </c>
      <c r="IV386" t="e">
        <f>'North America'!1274:1274-"n/&gt;!3S~"</f>
        <v>#VALUE!</v>
      </c>
    </row>
    <row r="387" spans="6:256" x14ac:dyDescent="0.35">
      <c r="F387" t="e">
        <f>'North America'!1275:1275-"n/&gt;!3T#"</f>
        <v>#VALUE!</v>
      </c>
      <c r="G387" t="e">
        <f>'North America'!1276:1276-"n/&gt;!3T$"</f>
        <v>#VALUE!</v>
      </c>
      <c r="H387" t="e">
        <f>'North America'!1277:1277-"n/&gt;!3T%"</f>
        <v>#VALUE!</v>
      </c>
      <c r="I387" t="e">
        <f>'North America'!1278:1278-"n/&gt;!3T&amp;"</f>
        <v>#VALUE!</v>
      </c>
      <c r="J387" t="e">
        <f>'North America'!1279:1279-"n/&gt;!3T'"</f>
        <v>#VALUE!</v>
      </c>
      <c r="K387" t="e">
        <f>'North America'!1280:1280-"n/&gt;!3T("</f>
        <v>#VALUE!</v>
      </c>
      <c r="L387" t="e">
        <f>'North America'!1281:1281-"n/&gt;!3T)"</f>
        <v>#VALUE!</v>
      </c>
      <c r="M387" t="e">
        <f>'North America'!1282:1282-"n/&gt;!3T."</f>
        <v>#VALUE!</v>
      </c>
      <c r="N387" t="e">
        <f>'North America'!1283:1283-"n/&gt;!3T/"</f>
        <v>#VALUE!</v>
      </c>
      <c r="O387" t="e">
        <f>'North America'!1284:1284-"n/&gt;!3T0"</f>
        <v>#VALUE!</v>
      </c>
      <c r="P387" t="e">
        <f>'North America'!1285:1285-"n/&gt;!3T1"</f>
        <v>#VALUE!</v>
      </c>
      <c r="Q387" t="e">
        <f>'North America'!1286:1286-"n/&gt;!3T2"</f>
        <v>#VALUE!</v>
      </c>
      <c r="R387" t="e">
        <f>'North America'!1287:1287-"n/&gt;!3T3"</f>
        <v>#VALUE!</v>
      </c>
      <c r="S387" t="e">
        <f>'North America'!1288:1288-"n/&gt;!3T4"</f>
        <v>#VALUE!</v>
      </c>
      <c r="T387" t="e">
        <f>'North America'!1289:1289-"n/&gt;!3T5"</f>
        <v>#VALUE!</v>
      </c>
      <c r="U387" t="e">
        <f>'North America'!1290:1290-"n/&gt;!3T6"</f>
        <v>#VALUE!</v>
      </c>
      <c r="V387" t="e">
        <f>'North America'!1291:1291-"n/&gt;!3T7"</f>
        <v>#VALUE!</v>
      </c>
      <c r="W387" t="e">
        <f>'North America'!1292:1292-"n/&gt;!3T8"</f>
        <v>#VALUE!</v>
      </c>
      <c r="X387" t="e">
        <f>'North America'!1293:1293-"n/&gt;!3T9"</f>
        <v>#VALUE!</v>
      </c>
      <c r="Y387" t="e">
        <f>'North America'!1294:1294-"n/&gt;!3T:"</f>
        <v>#VALUE!</v>
      </c>
      <c r="Z387" t="e">
        <f>'North America'!1295:1295-"n/&gt;!3T;"</f>
        <v>#VALUE!</v>
      </c>
      <c r="AA387" t="e">
        <f>'North America'!1296:1296-"n/&gt;!3T&lt;"</f>
        <v>#VALUE!</v>
      </c>
      <c r="AB387" t="e">
        <f>'North America'!1297:1297-"n/&gt;!3T="</f>
        <v>#VALUE!</v>
      </c>
      <c r="AC387" t="e">
        <f>'North America'!1298:1298-"n/&gt;!3T&gt;"</f>
        <v>#VALUE!</v>
      </c>
      <c r="AD387" t="e">
        <f>'North America'!1299:1299-"n/&gt;!3T?"</f>
        <v>#VALUE!</v>
      </c>
      <c r="AE387" t="e">
        <f>'North America'!1300:1300-"n/&gt;!3T@"</f>
        <v>#VALUE!</v>
      </c>
      <c r="AF387" t="e">
        <f>'North America'!1301:1301-"n/&gt;!3TA"</f>
        <v>#VALUE!</v>
      </c>
      <c r="AG387" t="e">
        <f>'North America'!1302:1302-"n/&gt;!3TB"</f>
        <v>#VALUE!</v>
      </c>
      <c r="AH387" t="e">
        <f>'North America'!1303:1303-"n/&gt;!3TC"</f>
        <v>#VALUE!</v>
      </c>
      <c r="AI387" t="e">
        <f>'North America'!1304:1304-"n/&gt;!3TD"</f>
        <v>#VALUE!</v>
      </c>
      <c r="AJ387" t="e">
        <f>'North America'!1305:1305-"n/&gt;!3TE"</f>
        <v>#VALUE!</v>
      </c>
      <c r="AK387" t="e">
        <f>'North America'!1306:1306-"n/&gt;!3TF"</f>
        <v>#VALUE!</v>
      </c>
      <c r="AL387" t="e">
        <f>'North America'!1307:1307-"n/&gt;!3TG"</f>
        <v>#VALUE!</v>
      </c>
      <c r="AM387" t="e">
        <f>'North America'!1308:1308-"n/&gt;!3TH"</f>
        <v>#VALUE!</v>
      </c>
      <c r="AN387" t="e">
        <f>'North America'!1309:1309-"n/&gt;!3TI"</f>
        <v>#VALUE!</v>
      </c>
      <c r="AO387" t="e">
        <f>'North America'!1310:1310-"n/&gt;!3TJ"</f>
        <v>#VALUE!</v>
      </c>
      <c r="AP387" t="e">
        <f>'North America'!1311:1311-"n/&gt;!3TK"</f>
        <v>#VALUE!</v>
      </c>
      <c r="AQ387" t="e">
        <f>'North America'!1312:1312-"n/&gt;!3TL"</f>
        <v>#VALUE!</v>
      </c>
      <c r="AR387" t="e">
        <f>'North America'!1313:1313-"n/&gt;!3TM"</f>
        <v>#VALUE!</v>
      </c>
      <c r="AS387" t="e">
        <f>'North America'!1314:1314-"n/&gt;!3TN"</f>
        <v>#VALUE!</v>
      </c>
      <c r="AT387" t="e">
        <f>'North America'!1315:1315-"n/&gt;!3TO"</f>
        <v>#VALUE!</v>
      </c>
      <c r="AU387" t="e">
        <f>'North America'!1316:1316-"n/&gt;!3TP"</f>
        <v>#VALUE!</v>
      </c>
      <c r="AV387" t="e">
        <f>'North America'!1317:1317-"n/&gt;!3TQ"</f>
        <v>#VALUE!</v>
      </c>
      <c r="AW387" t="e">
        <f>'North America'!1318:1318-"n/&gt;!3TR"</f>
        <v>#VALUE!</v>
      </c>
      <c r="AX387" t="e">
        <f>'North America'!1319:1319-"n/&gt;!3TS"</f>
        <v>#VALUE!</v>
      </c>
      <c r="AY387" t="e">
        <f>'North America'!1320:1320-"n/&gt;!3TT"</f>
        <v>#VALUE!</v>
      </c>
      <c r="AZ387" t="e">
        <f>'North America'!1321:1321-"n/&gt;!3TU"</f>
        <v>#VALUE!</v>
      </c>
      <c r="BA387" t="e">
        <f>'North America'!1322:1322-"n/&gt;!3TV"</f>
        <v>#VALUE!</v>
      </c>
      <c r="BB387" t="e">
        <f>'North America'!1323:1323-"n/&gt;!3TW"</f>
        <v>#VALUE!</v>
      </c>
      <c r="BC387" t="e">
        <f>'North America'!1324:1324-"n/&gt;!3TX"</f>
        <v>#VALUE!</v>
      </c>
      <c r="BD387" t="e">
        <f>'North America'!1325:1325-"n/&gt;!3TY"</f>
        <v>#VALUE!</v>
      </c>
      <c r="BE387" t="e">
        <f>'North America'!1326:1326-"n/&gt;!3TZ"</f>
        <v>#VALUE!</v>
      </c>
      <c r="BF387" t="e">
        <f>'North America'!1327:1327-"n/&gt;!3T["</f>
        <v>#VALUE!</v>
      </c>
      <c r="BG387" t="e">
        <f>'North America'!1328:1328-"n/&gt;!3T\"</f>
        <v>#VALUE!</v>
      </c>
      <c r="BH387" t="e">
        <f>'North America'!1329:1329-"n/&gt;!3T]"</f>
        <v>#VALUE!</v>
      </c>
      <c r="BI387" t="e">
        <f>'North America'!1330:1330-"n/&gt;!3T^"</f>
        <v>#VALUE!</v>
      </c>
      <c r="BJ387" t="e">
        <f>'North America'!1331:1331-"n/&gt;!3T_"</f>
        <v>#VALUE!</v>
      </c>
      <c r="BK387" t="e">
        <f>'North America'!1332:1332-"n/&gt;!3T`"</f>
        <v>#VALUE!</v>
      </c>
      <c r="BL387" t="e">
        <f>'North America'!1333:1333-"n/&gt;!3Ta"</f>
        <v>#VALUE!</v>
      </c>
      <c r="BM387" t="e">
        <f>'North America'!1334:1334-"n/&gt;!3Tb"</f>
        <v>#VALUE!</v>
      </c>
      <c r="BN387" t="e">
        <f>'North America'!1335:1335-"n/&gt;!3Tc"</f>
        <v>#VALUE!</v>
      </c>
      <c r="BO387" t="e">
        <f>'North America'!1336:1336-"n/&gt;!3Td"</f>
        <v>#VALUE!</v>
      </c>
      <c r="BP387" t="e">
        <f>'North America'!1337:1337-"n/&gt;!3Te"</f>
        <v>#VALUE!</v>
      </c>
      <c r="BQ387" t="e">
        <f>'North America'!1338:1338-"n/&gt;!3Tf"</f>
        <v>#VALUE!</v>
      </c>
      <c r="BR387" t="e">
        <f>'North America'!1339:1339-"n/&gt;!3Tg"</f>
        <v>#VALUE!</v>
      </c>
      <c r="BS387" t="e">
        <f>'North America'!1340:1340-"n/&gt;!3Th"</f>
        <v>#VALUE!</v>
      </c>
      <c r="BT387" t="e">
        <f>'North America'!1341:1341-"n/&gt;!3Ti"</f>
        <v>#VALUE!</v>
      </c>
      <c r="BU387" t="e">
        <f>'North America'!1342:1342-"n/&gt;!3Tj"</f>
        <v>#VALUE!</v>
      </c>
      <c r="BV387" t="e">
        <f>'North America'!1343:1343-"n/&gt;!3Tk"</f>
        <v>#VALUE!</v>
      </c>
      <c r="BW387" t="e">
        <f>'North America'!1344:1344-"n/&gt;!3Tl"</f>
        <v>#VALUE!</v>
      </c>
      <c r="BX387" t="e">
        <f>'North America'!1345:1345-"n/&gt;!3Tm"</f>
        <v>#VALUE!</v>
      </c>
      <c r="BY387" t="e">
        <f>'North America'!1346:1346-"n/&gt;!3Tn"</f>
        <v>#VALUE!</v>
      </c>
      <c r="BZ387" t="e">
        <f>'North America'!1347:1347-"n/&gt;!3To"</f>
        <v>#VALUE!</v>
      </c>
      <c r="CA387" t="e">
        <f>'North America'!1348:1348-"n/&gt;!3Tp"</f>
        <v>#VALUE!</v>
      </c>
      <c r="CB387" t="e">
        <f>'North America'!1349:1349-"n/&gt;!3Tq"</f>
        <v>#VALUE!</v>
      </c>
      <c r="CC387" t="e">
        <f>'North America'!1350:1350-"n/&gt;!3Tr"</f>
        <v>#VALUE!</v>
      </c>
      <c r="CD387" t="e">
        <f>'North America'!1351:1351-"n/&gt;!3Ts"</f>
        <v>#VALUE!</v>
      </c>
      <c r="CE387" t="e">
        <f>'North America'!1352:1352-"n/&gt;!3Tt"</f>
        <v>#VALUE!</v>
      </c>
      <c r="CF387" t="e">
        <f>'North America'!1353:1353-"n/&gt;!3Tu"</f>
        <v>#VALUE!</v>
      </c>
      <c r="CG387" t="e">
        <f>'North America'!1354:1354-"n/&gt;!3Tv"</f>
        <v>#VALUE!</v>
      </c>
      <c r="CH387" t="e">
        <f>'North America'!1355:1355-"n/&gt;!3Tw"</f>
        <v>#VALUE!</v>
      </c>
      <c r="CI387" t="e">
        <f>'North America'!1356:1356-"n/&gt;!3Tx"</f>
        <v>#VALUE!</v>
      </c>
      <c r="CJ387" t="e">
        <f>'North America'!1357:1357-"n/&gt;!3Ty"</f>
        <v>#VALUE!</v>
      </c>
      <c r="CK387" t="e">
        <f>'North America'!1358:1358-"n/&gt;!3Tz"</f>
        <v>#VALUE!</v>
      </c>
      <c r="CL387" t="e">
        <f>'North America'!1359:1359-"n/&gt;!3T{"</f>
        <v>#VALUE!</v>
      </c>
      <c r="CM387" t="e">
        <f>'North America'!1360:1360-"n/&gt;!3T|"</f>
        <v>#VALUE!</v>
      </c>
      <c r="CN387" t="e">
        <f>'North America'!1361:1361-"n/&gt;!3T}"</f>
        <v>#VALUE!</v>
      </c>
      <c r="CO387" t="e">
        <f>'North America'!1362:1362-"n/&gt;!3T~"</f>
        <v>#VALUE!</v>
      </c>
      <c r="CP387" t="e">
        <f>'North America'!1363:1363-"n/&gt;!3U#"</f>
        <v>#VALUE!</v>
      </c>
      <c r="CQ387" t="e">
        <f>'North America'!1364:1364-"n/&gt;!3U$"</f>
        <v>#VALUE!</v>
      </c>
      <c r="CR387" t="e">
        <f>'North America'!1365:1365-"n/&gt;!3U%"</f>
        <v>#VALUE!</v>
      </c>
      <c r="CS387" t="e">
        <f>'North America'!1366:1366-"n/&gt;!3U&amp;"</f>
        <v>#VALUE!</v>
      </c>
      <c r="CT387" t="e">
        <f>'North America'!1367:1367-"n/&gt;!3U'"</f>
        <v>#VALUE!</v>
      </c>
      <c r="CU387" t="e">
        <f>'North America'!1368:1368-"n/&gt;!3U("</f>
        <v>#VALUE!</v>
      </c>
      <c r="CV387" t="e">
        <f>'North America'!1369:1369-"n/&gt;!3U)"</f>
        <v>#VALUE!</v>
      </c>
      <c r="CW387" t="e">
        <f>'North America'!1370:1370-"n/&gt;!3U."</f>
        <v>#VALUE!</v>
      </c>
      <c r="CX387" t="e">
        <f>'North America'!1371:1371-"n/&gt;!3U/"</f>
        <v>#VALUE!</v>
      </c>
      <c r="CY387" t="e">
        <f>'North America'!1372:1372-"n/&gt;!3U0"</f>
        <v>#VALUE!</v>
      </c>
      <c r="CZ387" t="e">
        <f>'North America'!1373:1373-"n/&gt;!3U1"</f>
        <v>#VALUE!</v>
      </c>
      <c r="DA387" t="e">
        <f>'North America'!1374:1374-"n/&gt;!3U2"</f>
        <v>#VALUE!</v>
      </c>
      <c r="DB387" t="e">
        <f>'North America'!1375:1375-"n/&gt;!3U3"</f>
        <v>#VALUE!</v>
      </c>
      <c r="DC387" t="e">
        <f>'North America'!1376:1376-"n/&gt;!3U4"</f>
        <v>#VALUE!</v>
      </c>
      <c r="DD387" t="e">
        <f>'North America'!1377:1377-"n/&gt;!3U5"</f>
        <v>#VALUE!</v>
      </c>
      <c r="DE387" t="e">
        <f>'North America'!1378:1378-"n/&gt;!3U6"</f>
        <v>#VALUE!</v>
      </c>
      <c r="DF387" t="e">
        <f>'North America'!1379:1379-"n/&gt;!3U7"</f>
        <v>#VALUE!</v>
      </c>
      <c r="DG387" t="e">
        <f>'North America'!1380:1380-"n/&gt;!3U8"</f>
        <v>#VALUE!</v>
      </c>
      <c r="DH387" t="e">
        <f>'North America'!1381:1381-"n/&gt;!3U9"</f>
        <v>#VALUE!</v>
      </c>
      <c r="DI387" t="e">
        <f>'North America'!1382:1382-"n/&gt;!3U:"</f>
        <v>#VALUE!</v>
      </c>
      <c r="DJ387" t="e">
        <f>'North America'!1383:1383-"n/&gt;!3U;"</f>
        <v>#VALUE!</v>
      </c>
      <c r="DK387" t="e">
        <f>'North America'!1384:1384-"n/&gt;!3U&lt;"</f>
        <v>#VALUE!</v>
      </c>
      <c r="DL387" t="e">
        <f>'North America'!1385:1385-"n/&gt;!3U="</f>
        <v>#VALUE!</v>
      </c>
      <c r="DM387" t="e">
        <f>'North America'!1386:1386-"n/&gt;!3U&gt;"</f>
        <v>#VALUE!</v>
      </c>
      <c r="DN387" t="e">
        <f>'North America'!1387:1387-"n/&gt;!3U?"</f>
        <v>#VALUE!</v>
      </c>
      <c r="DO387" t="e">
        <f>'North America'!1388:1388-"n/&gt;!3U@"</f>
        <v>#VALUE!</v>
      </c>
      <c r="DP387" t="e">
        <f>'North America'!1389:1389-"n/&gt;!3UA"</f>
        <v>#VALUE!</v>
      </c>
      <c r="DQ387" t="e">
        <f>'North America'!1390:1390-"n/&gt;!3UB"</f>
        <v>#VALUE!</v>
      </c>
      <c r="DR387" t="e">
        <f>'North America'!1391:1391-"n/&gt;!3UC"</f>
        <v>#VALUE!</v>
      </c>
      <c r="DS387" t="e">
        <f>'North America'!1392:1392-"n/&gt;!3UD"</f>
        <v>#VALUE!</v>
      </c>
      <c r="DT387" t="e">
        <f>'North America'!1393:1393-"n/&gt;!3UE"</f>
        <v>#VALUE!</v>
      </c>
      <c r="DU387" t="e">
        <f>'North America'!1394:1394-"n/&gt;!3UF"</f>
        <v>#VALUE!</v>
      </c>
      <c r="DV387" t="e">
        <f>'North America'!1395:1395-"n/&gt;!3UG"</f>
        <v>#VALUE!</v>
      </c>
      <c r="DW387" t="e">
        <f>'North America'!1396:1396-"n/&gt;!3UH"</f>
        <v>#VALUE!</v>
      </c>
      <c r="DX387" t="e">
        <f>'North America'!1397:1397-"n/&gt;!3UI"</f>
        <v>#VALUE!</v>
      </c>
      <c r="DY387" t="e">
        <f>'North America'!1398:1398-"n/&gt;!3UJ"</f>
        <v>#VALUE!</v>
      </c>
      <c r="DZ387" t="e">
        <f>'North America'!1399:1399-"n/&gt;!3UK"</f>
        <v>#VALUE!</v>
      </c>
      <c r="EA387" t="e">
        <f>'North America'!1400:1400-"n/&gt;!3UL"</f>
        <v>#VALUE!</v>
      </c>
      <c r="EB387" t="e">
        <f>'North America'!1401:1401-"n/&gt;!3UM"</f>
        <v>#VALUE!</v>
      </c>
      <c r="EC387" t="e">
        <f>'North America'!1402:1402-"n/&gt;!3UN"</f>
        <v>#VALUE!</v>
      </c>
      <c r="ED387" t="e">
        <f>'North America'!1403:1403-"n/&gt;!3UO"</f>
        <v>#VALUE!</v>
      </c>
      <c r="EE387" t="e">
        <f>'North America'!1404:1404-"n/&gt;!3UP"</f>
        <v>#VALUE!</v>
      </c>
      <c r="EF387" t="e">
        <f>'North America'!1405:1405-"n/&gt;!3UQ"</f>
        <v>#VALUE!</v>
      </c>
      <c r="EG387" t="e">
        <f>'North America'!1406:1406-"n/&gt;!3UR"</f>
        <v>#VALUE!</v>
      </c>
      <c r="EH387" t="e">
        <f>'North America'!1407:1407-"n/&gt;!3US"</f>
        <v>#VALUE!</v>
      </c>
      <c r="EI387" t="e">
        <f>'North America'!1408:1408-"n/&gt;!3UT"</f>
        <v>#VALUE!</v>
      </c>
      <c r="EJ387" t="e">
        <f>'North America'!1409:1409-"n/&gt;!3UU"</f>
        <v>#VALUE!</v>
      </c>
      <c r="EK387" t="e">
        <f>'North America'!1410:1410-"n/&gt;!3UV"</f>
        <v>#VALUE!</v>
      </c>
      <c r="EL387" t="e">
        <f>'North America'!1411:1411-"n/&gt;!3UW"</f>
        <v>#VALUE!</v>
      </c>
      <c r="EM387" t="e">
        <f>'North America'!1412:1412-"n/&gt;!3UX"</f>
        <v>#VALUE!</v>
      </c>
      <c r="EN387" t="e">
        <f>'North America'!1413:1413-"n/&gt;!3UY"</f>
        <v>#VALUE!</v>
      </c>
      <c r="EO387" t="e">
        <f>'North America'!1414:1414-"n/&gt;!3UZ"</f>
        <v>#VALUE!</v>
      </c>
      <c r="EP387" t="e">
        <f>'North America'!1415:1415-"n/&gt;!3U["</f>
        <v>#VALUE!</v>
      </c>
      <c r="EQ387" t="e">
        <f>'North America'!1416:1416-"n/&gt;!3U\"</f>
        <v>#VALUE!</v>
      </c>
      <c r="ER387" t="e">
        <f>'North America'!1417:1417-"n/&gt;!3U]"</f>
        <v>#VALUE!</v>
      </c>
      <c r="ES387" t="e">
        <f>'North America'!1418:1418-"n/&gt;!3U^"</f>
        <v>#VALUE!</v>
      </c>
      <c r="ET387" t="e">
        <f>'North America'!1419:1419-"n/&gt;!3U_"</f>
        <v>#VALUE!</v>
      </c>
      <c r="EU387" t="e">
        <f>'North America'!1420:1420-"n/&gt;!3U`"</f>
        <v>#VALUE!</v>
      </c>
      <c r="EV387" t="e">
        <f>'North America'!1421:1421-"n/&gt;!3Ua"</f>
        <v>#VALUE!</v>
      </c>
      <c r="EW387" t="e">
        <f>'North America'!1422:1422-"n/&gt;!3Ub"</f>
        <v>#VALUE!</v>
      </c>
      <c r="EX387" t="e">
        <f>'North America'!1423:1423-"n/&gt;!3Uc"</f>
        <v>#VALUE!</v>
      </c>
      <c r="EY387" t="e">
        <f>'North America'!1424:1424-"n/&gt;!3Ud"</f>
        <v>#VALUE!</v>
      </c>
      <c r="EZ387" t="e">
        <f>'North America'!1425:1425-"n/&gt;!3Ue"</f>
        <v>#VALUE!</v>
      </c>
      <c r="FA387" t="e">
        <f>'North America'!1426:1426-"n/&gt;!3Uf"</f>
        <v>#VALUE!</v>
      </c>
      <c r="FB387" t="e">
        <f>'North America'!1427:1427-"n/&gt;!3Ug"</f>
        <v>#VALUE!</v>
      </c>
      <c r="FC387" t="e">
        <f>'North America'!1428:1428-"n/&gt;!3Uh"</f>
        <v>#VALUE!</v>
      </c>
      <c r="FD387" t="e">
        <f>'North America'!1429:1429-"n/&gt;!3Ui"</f>
        <v>#VALUE!</v>
      </c>
      <c r="FE387" t="e">
        <f>'North America'!1430:1430-"n/&gt;!3Uj"</f>
        <v>#VALUE!</v>
      </c>
      <c r="FF387" t="e">
        <f>'North America'!1431:1431-"n/&gt;!3Uk"</f>
        <v>#VALUE!</v>
      </c>
      <c r="FG387" t="e">
        <f>'North America'!1432:1432-"n/&gt;!3Ul"</f>
        <v>#VALUE!</v>
      </c>
      <c r="FH387" t="e">
        <f>'North America'!1433:1433-"n/&gt;!3Um"</f>
        <v>#VALUE!</v>
      </c>
      <c r="FI387" t="e">
        <f>'North America'!1434:1434-"n/&gt;!3Un"</f>
        <v>#VALUE!</v>
      </c>
      <c r="FJ387" t="e">
        <f>'North America'!1435:1435-"n/&gt;!3Uo"</f>
        <v>#VALUE!</v>
      </c>
      <c r="FK387" t="e">
        <f>'North America'!1436:1436-"n/&gt;!3Up"</f>
        <v>#VALUE!</v>
      </c>
      <c r="FL387" t="e">
        <f>'North America'!1437:1437-"n/&gt;!3Uq"</f>
        <v>#VALUE!</v>
      </c>
      <c r="FM387" t="e">
        <f>'North America'!1438:1438-"n/&gt;!3Ur"</f>
        <v>#VALUE!</v>
      </c>
      <c r="FN387" t="e">
        <f>'North America'!1439:1439-"n/&gt;!3Us"</f>
        <v>#VALUE!</v>
      </c>
      <c r="FO387" t="e">
        <f>'North America'!1440:1440-"n/&gt;!3Ut"</f>
        <v>#VALUE!</v>
      </c>
      <c r="FP387" t="e">
        <f>'North America'!1441:1441-"n/&gt;!3Uu"</f>
        <v>#VALUE!</v>
      </c>
      <c r="FQ387" t="e">
        <f>'North America'!1442:1442-"n/&gt;!3Uv"</f>
        <v>#VALUE!</v>
      </c>
      <c r="FR387" t="e">
        <f>'North America'!1443:1443-"n/&gt;!3Uw"</f>
        <v>#VALUE!</v>
      </c>
      <c r="FS387" t="e">
        <f>'North America'!1444:1444-"n/&gt;!3Ux"</f>
        <v>#VALUE!</v>
      </c>
      <c r="FT387" t="e">
        <f>'North America'!1445:1445-"n/&gt;!3Uy"</f>
        <v>#VALUE!</v>
      </c>
      <c r="FU387" t="e">
        <f>'North America'!1446:1446-"n/&gt;!3Uz"</f>
        <v>#VALUE!</v>
      </c>
      <c r="FV387" t="e">
        <f>'North America'!1447:1447-"n/&gt;!3U{"</f>
        <v>#VALUE!</v>
      </c>
      <c r="FW387" t="e">
        <f>'North America'!1448:1448-"n/&gt;!3U|"</f>
        <v>#VALUE!</v>
      </c>
      <c r="FX387" t="e">
        <f>'North America'!1449:1449-"n/&gt;!3U}"</f>
        <v>#VALUE!</v>
      </c>
      <c r="FY387" t="e">
        <f>'North America'!1450:1450-"n/&gt;!3U~"</f>
        <v>#VALUE!</v>
      </c>
      <c r="FZ387" t="e">
        <f>'North America'!1451:1451-"n/&gt;!3V#"</f>
        <v>#VALUE!</v>
      </c>
      <c r="GA387" t="e">
        <f>'North America'!1452:1452-"n/&gt;!3V$"</f>
        <v>#VALUE!</v>
      </c>
      <c r="GB387" t="e">
        <f>'North America'!1453:1453-"n/&gt;!3V%"</f>
        <v>#VALUE!</v>
      </c>
      <c r="GC387" t="e">
        <f>'North America'!1454:1454-"n/&gt;!3V&amp;"</f>
        <v>#VALUE!</v>
      </c>
      <c r="GD387" t="e">
        <f>'North America'!1455:1455-"n/&gt;!3V'"</f>
        <v>#VALUE!</v>
      </c>
      <c r="GE387" t="e">
        <f>'North America'!1456:1456-"n/&gt;!3V("</f>
        <v>#VALUE!</v>
      </c>
      <c r="GF387" t="e">
        <f>'North America'!1457:1457-"n/&gt;!3V)"</f>
        <v>#VALUE!</v>
      </c>
      <c r="GG387" t="e">
        <f>'North America'!1458:1458-"n/&gt;!3V."</f>
        <v>#VALUE!</v>
      </c>
      <c r="GH387" t="e">
        <f>'North America'!1459:1459-"n/&gt;!3V/"</f>
        <v>#VALUE!</v>
      </c>
      <c r="GI387" t="e">
        <f>'North America'!1460:1460-"n/&gt;!3V0"</f>
        <v>#VALUE!</v>
      </c>
      <c r="GJ387" t="e">
        <f>'North America'!1461:1461-"n/&gt;!3V1"</f>
        <v>#VALUE!</v>
      </c>
      <c r="GK387" t="e">
        <f>'North America'!1462:1462-"n/&gt;!3V2"</f>
        <v>#VALUE!</v>
      </c>
      <c r="GL387" t="e">
        <f>'North America'!1463:1463-"n/&gt;!3V3"</f>
        <v>#VALUE!</v>
      </c>
      <c r="GM387" t="e">
        <f>'North America'!1464:1464-"n/&gt;!3V4"</f>
        <v>#VALUE!</v>
      </c>
      <c r="GN387" t="e">
        <f>'North America'!1465:1465-"n/&gt;!3V5"</f>
        <v>#VALUE!</v>
      </c>
      <c r="GO387" t="e">
        <f>'North America'!1466:1466-"n/&gt;!3V6"</f>
        <v>#VALUE!</v>
      </c>
      <c r="GP387" t="e">
        <f>'North America'!1467:1467-"n/&gt;!3V7"</f>
        <v>#VALUE!</v>
      </c>
      <c r="GQ387" t="e">
        <f>'North America'!1468:1468-"n/&gt;!3V8"</f>
        <v>#VALUE!</v>
      </c>
      <c r="GR387" t="e">
        <f>'North America'!1469:1469-"n/&gt;!3V9"</f>
        <v>#VALUE!</v>
      </c>
      <c r="GS387" t="e">
        <f>'North America'!1470:1470-"n/&gt;!3V:"</f>
        <v>#VALUE!</v>
      </c>
      <c r="GT387" t="e">
        <f>'North America'!1471:1471-"n/&gt;!3V;"</f>
        <v>#VALUE!</v>
      </c>
      <c r="GU387" t="e">
        <f>'North America'!1472:1472-"n/&gt;!3V&lt;"</f>
        <v>#VALUE!</v>
      </c>
      <c r="GV387" t="e">
        <f>'North America'!1473:1473-"n/&gt;!3V="</f>
        <v>#VALUE!</v>
      </c>
      <c r="GW387" t="e">
        <f>'North America'!1474:1474-"n/&gt;!3V&gt;"</f>
        <v>#VALUE!</v>
      </c>
      <c r="GX387" t="e">
        <f>'North America'!1475:1475-"n/&gt;!3V?"</f>
        <v>#VALUE!</v>
      </c>
      <c r="GY387" t="e">
        <f>'North America'!1476:1476-"n/&gt;!3V@"</f>
        <v>#VALUE!</v>
      </c>
      <c r="GZ387" t="e">
        <f>'North America'!1477:1477-"n/&gt;!3VA"</f>
        <v>#VALUE!</v>
      </c>
      <c r="HA387" t="e">
        <f>'North America'!1478:1478-"n/&gt;!3VB"</f>
        <v>#VALUE!</v>
      </c>
      <c r="HB387" t="e">
        <f>'North America'!1479:1479-"n/&gt;!3VC"</f>
        <v>#VALUE!</v>
      </c>
      <c r="HC387" t="e">
        <f>'North America'!1480:1480-"n/&gt;!3VD"</f>
        <v>#VALUE!</v>
      </c>
      <c r="HD387" t="e">
        <f>'North America'!1481:1481-"n/&gt;!3VE"</f>
        <v>#VALUE!</v>
      </c>
      <c r="HE387" t="e">
        <f>'North America'!1482:1482-"n/&gt;!3VF"</f>
        <v>#VALUE!</v>
      </c>
      <c r="HF387" t="e">
        <f>'North America'!1483:1483-"n/&gt;!3VG"</f>
        <v>#VALUE!</v>
      </c>
      <c r="HG387" t="e">
        <f>'North America'!1484:1484-"n/&gt;!3VH"</f>
        <v>#VALUE!</v>
      </c>
      <c r="HH387" t="e">
        <f>'North America'!1485:1485-"n/&gt;!3VI"</f>
        <v>#VALUE!</v>
      </c>
      <c r="HI387" t="e">
        <f>'North America'!1486:1486-"n/&gt;!3VJ"</f>
        <v>#VALUE!</v>
      </c>
      <c r="HJ387" t="e">
        <f>'North America'!1487:1487-"n/&gt;!3VK"</f>
        <v>#VALUE!</v>
      </c>
      <c r="HK387" t="e">
        <f>'North America'!1488:1488-"n/&gt;!3VL"</f>
        <v>#VALUE!</v>
      </c>
      <c r="HL387" t="e">
        <f>'North America'!1489:1489-"n/&gt;!3VM"</f>
        <v>#VALUE!</v>
      </c>
      <c r="HM387" t="e">
        <f>'North America'!1490:1490-"n/&gt;!3VN"</f>
        <v>#VALUE!</v>
      </c>
      <c r="HN387" t="e">
        <f>'North America'!1491:1491-"n/&gt;!3VO"</f>
        <v>#VALUE!</v>
      </c>
      <c r="HO387" t="e">
        <f>'North America'!1492:1492-"n/&gt;!3VP"</f>
        <v>#VALUE!</v>
      </c>
      <c r="HP387" t="e">
        <f>'North America'!1493:1493-"n/&gt;!3VQ"</f>
        <v>#VALUE!</v>
      </c>
      <c r="HQ387" t="e">
        <f>'North America'!1494:1494-"n/&gt;!3VR"</f>
        <v>#VALUE!</v>
      </c>
      <c r="HR387" t="e">
        <f>'North America'!1495:1495-"n/&gt;!3VS"</f>
        <v>#VALUE!</v>
      </c>
      <c r="HS387" t="e">
        <f>'North America'!1496:1496-"n/&gt;!3VT"</f>
        <v>#VALUE!</v>
      </c>
      <c r="HT387" t="e">
        <f>'North America'!1497:1497-"n/&gt;!3VU"</f>
        <v>#VALUE!</v>
      </c>
      <c r="HU387" t="e">
        <f>'North America'!1498:1498-"n/&gt;!3VV"</f>
        <v>#VALUE!</v>
      </c>
      <c r="HV387" t="e">
        <f>'North America'!1499:1499-"n/&gt;!3VW"</f>
        <v>#VALUE!</v>
      </c>
      <c r="HW387" t="e">
        <f>'North America'!1500:1500-"n/&gt;!3VX"</f>
        <v>#VALUE!</v>
      </c>
      <c r="HX387" t="e">
        <f>'North America'!1501:1501-"n/&gt;!3VY"</f>
        <v>#VALUE!</v>
      </c>
      <c r="HY387" t="e">
        <f>'North America'!1502:1502-"n/&gt;!3VZ"</f>
        <v>#VALUE!</v>
      </c>
      <c r="HZ387" t="e">
        <f>'North America'!1503:1503-"n/&gt;!3V["</f>
        <v>#VALUE!</v>
      </c>
      <c r="IA387" t="e">
        <f>'North America'!1504:1504-"n/&gt;!3V\"</f>
        <v>#VALUE!</v>
      </c>
      <c r="IB387" t="e">
        <f>'North America'!1505:1505-"n/&gt;!3V]"</f>
        <v>#VALUE!</v>
      </c>
      <c r="IC387" t="e">
        <f>'North America'!1506:1506-"n/&gt;!3V^"</f>
        <v>#VALUE!</v>
      </c>
      <c r="ID387" t="e">
        <f>'North America'!1507:1507-"n/&gt;!3V_"</f>
        <v>#VALUE!</v>
      </c>
      <c r="IE387" t="e">
        <f>'North America'!1508:1508-"n/&gt;!3V`"</f>
        <v>#VALUE!</v>
      </c>
      <c r="IF387" t="e">
        <f>'North America'!1509:1509-"n/&gt;!3Va"</f>
        <v>#VALUE!</v>
      </c>
      <c r="IG387" t="e">
        <f>'North America'!1510:1510-"n/&gt;!3Vb"</f>
        <v>#VALUE!</v>
      </c>
      <c r="IH387" t="e">
        <f>'North America'!1511:1511-"n/&gt;!3Vc"</f>
        <v>#VALUE!</v>
      </c>
      <c r="II387" t="e">
        <f>'North America'!1512:1512-"n/&gt;!3Vd"</f>
        <v>#VALUE!</v>
      </c>
      <c r="IJ387" t="e">
        <f>'North America'!1513:1513-"n/&gt;!3Ve"</f>
        <v>#VALUE!</v>
      </c>
      <c r="IK387" t="e">
        <f>'North America'!1514:1514-"n/&gt;!3Vf"</f>
        <v>#VALUE!</v>
      </c>
      <c r="IL387" t="e">
        <f>'North America'!1515:1515-"n/&gt;!3Vg"</f>
        <v>#VALUE!</v>
      </c>
      <c r="IM387" t="e">
        <f>'North America'!1516:1516-"n/&gt;!3Vh"</f>
        <v>#VALUE!</v>
      </c>
      <c r="IN387" t="e">
        <f>'North America'!1517:1517-"n/&gt;!3Vi"</f>
        <v>#VALUE!</v>
      </c>
      <c r="IO387" t="e">
        <f>'North America'!1518:1518-"n/&gt;!3Vj"</f>
        <v>#VALUE!</v>
      </c>
      <c r="IP387" t="e">
        <f>'North America'!1519:1519-"n/&gt;!3Vk"</f>
        <v>#VALUE!</v>
      </c>
      <c r="IQ387" t="e">
        <f>'North America'!1520:1520-"n/&gt;!3Vl"</f>
        <v>#VALUE!</v>
      </c>
      <c r="IR387" t="e">
        <f>'North America'!1521:1521-"n/&gt;!3Vm"</f>
        <v>#VALUE!</v>
      </c>
      <c r="IS387" t="e">
        <f>'North America'!1522:1522-"n/&gt;!3Vn"</f>
        <v>#VALUE!</v>
      </c>
      <c r="IT387" t="e">
        <f>'North America'!1523:1523-"n/&gt;!3Vo"</f>
        <v>#VALUE!</v>
      </c>
      <c r="IU387" t="e">
        <f>'North America'!1524:1524-"n/&gt;!3Vp"</f>
        <v>#VALUE!</v>
      </c>
      <c r="IV387" t="e">
        <f>'North America'!1525:1525-"n/&gt;!3Vq"</f>
        <v>#VALUE!</v>
      </c>
    </row>
    <row r="388" spans="6:256" x14ac:dyDescent="0.35">
      <c r="F388" t="e">
        <f>'North America'!1526:1526-"n/&gt;!3Vr"</f>
        <v>#VALUE!</v>
      </c>
      <c r="G388" t="e">
        <f>'North America'!1527:1527-"n/&gt;!3Vs"</f>
        <v>#VALUE!</v>
      </c>
      <c r="H388" t="e">
        <f>'North America'!1528:1528-"n/&gt;!3Vt"</f>
        <v>#VALUE!</v>
      </c>
      <c r="I388" t="e">
        <f>'North America'!1529:1529-"n/&gt;!3Vu"</f>
        <v>#VALUE!</v>
      </c>
      <c r="J388" t="e">
        <f>'North America'!1530:1530-"n/&gt;!3Vv"</f>
        <v>#VALUE!</v>
      </c>
      <c r="K388" t="e">
        <f>'North America'!1531:1531-"n/&gt;!3Vw"</f>
        <v>#VALUE!</v>
      </c>
      <c r="L388" t="e">
        <f>'North America'!1532:1532-"n/&gt;!3Vx"</f>
        <v>#VALUE!</v>
      </c>
      <c r="M388" t="e">
        <f>'North America'!1533:1533-"n/&gt;!3Vy"</f>
        <v>#VALUE!</v>
      </c>
      <c r="N388" t="e">
        <f>'North America'!1534:1534-"n/&gt;!3Vz"</f>
        <v>#VALUE!</v>
      </c>
      <c r="O388" t="e">
        <f>'North America'!1535:1535-"n/&gt;!3V{"</f>
        <v>#VALUE!</v>
      </c>
      <c r="P388" t="e">
        <f>'North America'!1536:1536-"n/&gt;!3V|"</f>
        <v>#VALUE!</v>
      </c>
      <c r="Q388" t="e">
        <f>'North America'!1537:1537-"n/&gt;!3V}"</f>
        <v>#VALUE!</v>
      </c>
      <c r="R388" t="e">
        <f>'North America'!1538:1538-"n/&gt;!3V~"</f>
        <v>#VALUE!</v>
      </c>
      <c r="S388" t="e">
        <f>'North America'!1539:1539-"n/&gt;!3W#"</f>
        <v>#VALUE!</v>
      </c>
      <c r="T388" t="e">
        <f>'North America'!1540:1540-"n/&gt;!3W$"</f>
        <v>#VALUE!</v>
      </c>
      <c r="U388" t="e">
        <f>'North America'!1541:1541-"n/&gt;!3W%"</f>
        <v>#VALUE!</v>
      </c>
      <c r="V388" t="e">
        <f>'North America'!1542:1542-"n/&gt;!3W&amp;"</f>
        <v>#VALUE!</v>
      </c>
      <c r="W388" t="e">
        <f>'North America'!1543:1543-"n/&gt;!3W'"</f>
        <v>#VALUE!</v>
      </c>
      <c r="X388" t="e">
        <f>'North America'!1544:1544-"n/&gt;!3W("</f>
        <v>#VALUE!</v>
      </c>
      <c r="Y388" t="e">
        <f>'North America'!1545:1545-"n/&gt;!3W)"</f>
        <v>#VALUE!</v>
      </c>
      <c r="Z388" t="e">
        <f>'North America'!1546:1546-"n/&gt;!3W."</f>
        <v>#VALUE!</v>
      </c>
      <c r="AA388" t="e">
        <f>'North America'!1547:1547-"n/&gt;!3W/"</f>
        <v>#VALUE!</v>
      </c>
      <c r="AB388" t="e">
        <f>'North America'!1548:1548-"n/&gt;!3W0"</f>
        <v>#VALUE!</v>
      </c>
      <c r="AC388" t="e">
        <f>'North America'!1549:1549-"n/&gt;!3W1"</f>
        <v>#VALUE!</v>
      </c>
      <c r="AD388" t="e">
        <f>'North America'!1550:1550-"n/&gt;!3W2"</f>
        <v>#VALUE!</v>
      </c>
      <c r="AE388" t="e">
        <f>'North America'!1551:1551-"n/&gt;!3W3"</f>
        <v>#VALUE!</v>
      </c>
      <c r="AF388" t="e">
        <f>'North America'!1552:1552-"n/&gt;!3W4"</f>
        <v>#VALUE!</v>
      </c>
      <c r="AG388" t="e">
        <f>'North America'!1553:1553-"n/&gt;!3W5"</f>
        <v>#VALUE!</v>
      </c>
      <c r="AH388" t="e">
        <f>'North America'!1554:1554-"n/&gt;!3W6"</f>
        <v>#VALUE!</v>
      </c>
      <c r="AI388" t="e">
        <f>'North America'!1555:1555-"n/&gt;!3W7"</f>
        <v>#VALUE!</v>
      </c>
      <c r="AJ388" t="e">
        <f>'North America'!1556:1556-"n/&gt;!3W8"</f>
        <v>#VALUE!</v>
      </c>
      <c r="AK388" t="e">
        <f>'North America'!1557:1557-"n/&gt;!3W9"</f>
        <v>#VALUE!</v>
      </c>
      <c r="AL388" t="e">
        <f>'North America'!1558:1558-"n/&gt;!3W:"</f>
        <v>#VALUE!</v>
      </c>
      <c r="AM388" t="e">
        <f>'North America'!1559:1559-"n/&gt;!3W;"</f>
        <v>#VALUE!</v>
      </c>
      <c r="AN388" t="e">
        <f>'North America'!1560:1560-"n/&gt;!3W&lt;"</f>
        <v>#VALUE!</v>
      </c>
      <c r="AO388" t="e">
        <f>'North America'!1561:1561-"n/&gt;!3W="</f>
        <v>#VALUE!</v>
      </c>
      <c r="AP388" t="e">
        <f>'North America'!1562:1562-"n/&gt;!3W&gt;"</f>
        <v>#VALUE!</v>
      </c>
      <c r="AQ388" t="e">
        <f>'North America'!1563:1563-"n/&gt;!3W?"</f>
        <v>#VALUE!</v>
      </c>
      <c r="AR388" t="e">
        <f>'North America'!1564:1564-"n/&gt;!3W@"</f>
        <v>#VALUE!</v>
      </c>
      <c r="AS388" t="e">
        <f>'North America'!1565:1565-"n/&gt;!3WA"</f>
        <v>#VALUE!</v>
      </c>
      <c r="AT388" t="e">
        <f>'North America'!1566:1566-"n/&gt;!3WB"</f>
        <v>#VALUE!</v>
      </c>
      <c r="AU388" t="e">
        <f>'North America'!1567:1567-"n/&gt;!3WC"</f>
        <v>#VALUE!</v>
      </c>
      <c r="AV388" t="e">
        <f>'North America'!1568:1568-"n/&gt;!3WD"</f>
        <v>#VALUE!</v>
      </c>
      <c r="AW388" t="e">
        <f>'North America'!1569:1569-"n/&gt;!3WE"</f>
        <v>#VALUE!</v>
      </c>
      <c r="AX388" t="e">
        <f>'North America'!1570:1570-"n/&gt;!3WF"</f>
        <v>#VALUE!</v>
      </c>
      <c r="AY388" t="e">
        <f>'North America'!1571:1571-"n/&gt;!3WG"</f>
        <v>#VALUE!</v>
      </c>
      <c r="AZ388" t="e">
        <f>'North America'!1572:1572-"n/&gt;!3WH"</f>
        <v>#VALUE!</v>
      </c>
      <c r="BA388" t="e">
        <f>'North America'!1573:1573-"n/&gt;!3WI"</f>
        <v>#VALUE!</v>
      </c>
      <c r="BB388" t="e">
        <f>'North America'!1574:1574-"n/&gt;!3WJ"</f>
        <v>#VALUE!</v>
      </c>
      <c r="BC388" t="e">
        <f>'North America'!1575:1575-"n/&gt;!3WK"</f>
        <v>#VALUE!</v>
      </c>
      <c r="BD388" t="e">
        <f>'North America'!1576:1576-"n/&gt;!3WL"</f>
        <v>#VALUE!</v>
      </c>
      <c r="BE388" t="e">
        <f>'North America'!1577:1577-"n/&gt;!3WM"</f>
        <v>#VALUE!</v>
      </c>
      <c r="BF388" t="e">
        <f>'North America'!1578:1578-"n/&gt;!3WN"</f>
        <v>#VALUE!</v>
      </c>
      <c r="BG388" t="e">
        <f>'North America'!1579:1579-"n/&gt;!3WO"</f>
        <v>#VALUE!</v>
      </c>
      <c r="BH388" t="e">
        <f>'North America'!1580:1580-"n/&gt;!3WP"</f>
        <v>#VALUE!</v>
      </c>
      <c r="BI388" t="e">
        <f>'North America'!1581:1581-"n/&gt;!3WQ"</f>
        <v>#VALUE!</v>
      </c>
      <c r="BJ388" t="e">
        <f>'North America'!1582:1582-"n/&gt;!3WR"</f>
        <v>#VALUE!</v>
      </c>
      <c r="BK388" t="e">
        <f>'North America'!1583:1583-"n/&gt;!3WS"</f>
        <v>#VALUE!</v>
      </c>
      <c r="BL388" t="e">
        <f>'North America'!1584:1584-"n/&gt;!3WT"</f>
        <v>#VALUE!</v>
      </c>
      <c r="BM388" t="e">
        <f>'North America'!1585:1585-"n/&gt;!3WU"</f>
        <v>#VALUE!</v>
      </c>
      <c r="BN388" t="e">
        <f>'North America'!1586:1586-"n/&gt;!3WV"</f>
        <v>#VALUE!</v>
      </c>
      <c r="BO388" t="e">
        <f>'North America'!1587:1587-"n/&gt;!3WW"</f>
        <v>#VALUE!</v>
      </c>
      <c r="BP388" t="e">
        <f>'North America'!1588:1588-"n/&gt;!3WX"</f>
        <v>#VALUE!</v>
      </c>
      <c r="BQ388" t="e">
        <f>'North America'!1589:1589-"n/&gt;!3WY"</f>
        <v>#VALUE!</v>
      </c>
      <c r="BR388" t="e">
        <f>'North America'!1590:1590-"n/&gt;!3WZ"</f>
        <v>#VALUE!</v>
      </c>
      <c r="BS388" t="e">
        <f>'North America'!1591:1591-"n/&gt;!3W["</f>
        <v>#VALUE!</v>
      </c>
      <c r="BT388" t="e">
        <f>'North America'!1592:1592-"n/&gt;!3W\"</f>
        <v>#VALUE!</v>
      </c>
      <c r="BU388" t="e">
        <f>'North America'!1593:1593-"n/&gt;!3W]"</f>
        <v>#VALUE!</v>
      </c>
      <c r="BV388" t="e">
        <f>'North America'!1594:1594-"n/&gt;!3W^"</f>
        <v>#VALUE!</v>
      </c>
      <c r="BW388" t="e">
        <f>'North America'!1595:1595-"n/&gt;!3W_"</f>
        <v>#VALUE!</v>
      </c>
      <c r="BX388" t="e">
        <f>'North America'!1596:1596-"n/&gt;!3W`"</f>
        <v>#VALUE!</v>
      </c>
      <c r="BY388" t="e">
        <f>'North America'!1597:1597-"n/&gt;!3Wa"</f>
        <v>#VALUE!</v>
      </c>
      <c r="BZ388" t="e">
        <f>'North America'!1598:1598-"n/&gt;!3Wb"</f>
        <v>#VALUE!</v>
      </c>
      <c r="CA388" t="e">
        <f>'North America'!1599:1599-"n/&gt;!3Wc"</f>
        <v>#VALUE!</v>
      </c>
      <c r="CB388" t="e">
        <f>'North America'!1600:1600-"n/&gt;!3Wd"</f>
        <v>#VALUE!</v>
      </c>
      <c r="CC388" t="e">
        <f>'North America'!1601:1601-"n/&gt;!3We"</f>
        <v>#VALUE!</v>
      </c>
      <c r="CD388" t="e">
        <f>'North America'!1602:1602-"n/&gt;!3Wf"</f>
        <v>#VALUE!</v>
      </c>
      <c r="CE388" t="e">
        <f>'North America'!1603:1603-"n/&gt;!3Wg"</f>
        <v>#VALUE!</v>
      </c>
      <c r="CF388" t="e">
        <f>'North America'!1604:1604-"n/&gt;!3Wh"</f>
        <v>#VALUE!</v>
      </c>
      <c r="CG388" t="e">
        <f>'North America'!1605:1605-"n/&gt;!3Wi"</f>
        <v>#VALUE!</v>
      </c>
      <c r="CH388" t="e">
        <f>'North America'!1606:1606-"n/&gt;!3Wj"</f>
        <v>#VALUE!</v>
      </c>
      <c r="CI388" t="e">
        <f>'North America'!1607:1607-"n/&gt;!3Wk"</f>
        <v>#VALUE!</v>
      </c>
      <c r="CJ388" t="e">
        <f>'North America'!1608:1608-"n/&gt;!3Wl"</f>
        <v>#VALUE!</v>
      </c>
      <c r="CK388" t="e">
        <f>'North America'!1609:1609-"n/&gt;!3Wm"</f>
        <v>#VALUE!</v>
      </c>
      <c r="CL388" t="e">
        <f>'North America'!1610:1610-"n/&gt;!3Wn"</f>
        <v>#VALUE!</v>
      </c>
      <c r="CM388" t="e">
        <f>'North America'!1611:1611-"n/&gt;!3Wo"</f>
        <v>#VALUE!</v>
      </c>
      <c r="CN388" t="e">
        <f>'North America'!1612:1612-"n/&gt;!3Wp"</f>
        <v>#VALUE!</v>
      </c>
      <c r="CO388" t="e">
        <f>'North America'!1613:1613-"n/&gt;!3Wq"</f>
        <v>#VALUE!</v>
      </c>
      <c r="CP388" t="e">
        <f>'North America'!1614:1614-"n/&gt;!3Wr"</f>
        <v>#VALUE!</v>
      </c>
      <c r="CQ388" t="e">
        <f>'North America'!1615:1615-"n/&gt;!3Ws"</f>
        <v>#VALUE!</v>
      </c>
      <c r="CR388" t="e">
        <f>'North America'!1616:1616-"n/&gt;!3Wt"</f>
        <v>#VALUE!</v>
      </c>
      <c r="CS388" t="e">
        <f>'North America'!1617:1617-"n/&gt;!3Wu"</f>
        <v>#VALUE!</v>
      </c>
      <c r="CT388" t="e">
        <f>'North America'!1618:1618-"n/&gt;!3Wv"</f>
        <v>#VALUE!</v>
      </c>
      <c r="CU388" t="e">
        <f>'North America'!1619:1619-"n/&gt;!3Ww"</f>
        <v>#VALUE!</v>
      </c>
      <c r="CV388" t="e">
        <f>'North America'!1620:1620-"n/&gt;!3Wx"</f>
        <v>#VALUE!</v>
      </c>
      <c r="CW388" t="e">
        <f>'North America'!1621:1621-"n/&gt;!3Wy"</f>
        <v>#VALUE!</v>
      </c>
      <c r="CX388" t="e">
        <f>'North America'!1622:1622-"n/&gt;!3Wz"</f>
        <v>#VALUE!</v>
      </c>
      <c r="CY388" t="e">
        <f>'North America'!1623:1623-"n/&gt;!3W{"</f>
        <v>#VALUE!</v>
      </c>
      <c r="CZ388" t="e">
        <f>'North America'!1624:1624-"n/&gt;!3W|"</f>
        <v>#VALUE!</v>
      </c>
      <c r="DA388" t="e">
        <f>'North America'!1625:1625-"n/&gt;!3W}"</f>
        <v>#VALUE!</v>
      </c>
      <c r="DB388" t="e">
        <f>'North America'!1626:1626-"n/&gt;!3W~"</f>
        <v>#VALUE!</v>
      </c>
      <c r="DC388" t="e">
        <f>'North America'!1627:1627-"n/&gt;!3X#"</f>
        <v>#VALUE!</v>
      </c>
      <c r="DD388" t="e">
        <f>'North America'!1628:1628-"n/&gt;!3X$"</f>
        <v>#VALUE!</v>
      </c>
      <c r="DE388" t="e">
        <f>'North America'!1629:1629-"n/&gt;!3X%"</f>
        <v>#VALUE!</v>
      </c>
      <c r="DF388" t="e">
        <f>'North America'!1630:1630-"n/&gt;!3X&amp;"</f>
        <v>#VALUE!</v>
      </c>
      <c r="DG388" t="e">
        <f>'North America'!1631:1631-"n/&gt;!3X'"</f>
        <v>#VALUE!</v>
      </c>
      <c r="DH388" t="e">
        <f>'North America'!1632:1632-"n/&gt;!3X("</f>
        <v>#VALUE!</v>
      </c>
      <c r="DI388" t="e">
        <f>'North America'!1633:1633-"n/&gt;!3X)"</f>
        <v>#VALUE!</v>
      </c>
      <c r="DJ388" t="e">
        <f>'North America'!1634:1634-"n/&gt;!3X."</f>
        <v>#VALUE!</v>
      </c>
      <c r="DK388" t="e">
        <f>'North America'!1635:1635-"n/&gt;!3X/"</f>
        <v>#VALUE!</v>
      </c>
      <c r="DL388" t="e">
        <f>'North America'!1636:1636-"n/&gt;!3X0"</f>
        <v>#VALUE!</v>
      </c>
      <c r="DM388" t="e">
        <f>'North America'!1637:1637-"n/&gt;!3X1"</f>
        <v>#VALUE!</v>
      </c>
      <c r="DN388" t="e">
        <f>'North America'!1638:1638-"n/&gt;!3X2"</f>
        <v>#VALUE!</v>
      </c>
      <c r="DO388" t="e">
        <f>'North America'!1639:1639-"n/&gt;!3X3"</f>
        <v>#VALUE!</v>
      </c>
      <c r="DP388" t="e">
        <f>'North America'!1640:1640-"n/&gt;!3X4"</f>
        <v>#VALUE!</v>
      </c>
      <c r="DQ388" t="e">
        <f>'North America'!1641:1641-"n/&gt;!3X5"</f>
        <v>#VALUE!</v>
      </c>
      <c r="DR388" t="e">
        <f>'North America'!1642:1642-"n/&gt;!3X6"</f>
        <v>#VALUE!</v>
      </c>
      <c r="DS388" t="e">
        <f>'North America'!1643:1643-"n/&gt;!3X7"</f>
        <v>#VALUE!</v>
      </c>
      <c r="DT388" t="e">
        <f>'North America'!1644:1644-"n/&gt;!3X8"</f>
        <v>#VALUE!</v>
      </c>
      <c r="DU388" t="e">
        <f>'North America'!1645:1645-"n/&gt;!3X9"</f>
        <v>#VALUE!</v>
      </c>
      <c r="DV388" t="e">
        <f>'North America'!1646:1646-"n/&gt;!3X:"</f>
        <v>#VALUE!</v>
      </c>
      <c r="DW388" t="e">
        <f>'North America'!1647:1647-"n/&gt;!3X;"</f>
        <v>#VALUE!</v>
      </c>
      <c r="DX388" t="e">
        <f>'North America'!1648:1648-"n/&gt;!3X&lt;"</f>
        <v>#VALUE!</v>
      </c>
      <c r="DY388" t="e">
        <f>'North America'!1649:1649-"n/&gt;!3X="</f>
        <v>#VALUE!</v>
      </c>
      <c r="DZ388" t="e">
        <f>'North America'!1650:1650-"n/&gt;!3X&gt;"</f>
        <v>#VALUE!</v>
      </c>
      <c r="EA388" t="e">
        <f>'North America'!1651:1651-"n/&gt;!3X?"</f>
        <v>#VALUE!</v>
      </c>
      <c r="EB388" t="e">
        <f>'North America'!1652:1652-"n/&gt;!3X@"</f>
        <v>#VALUE!</v>
      </c>
      <c r="EC388" t="e">
        <f>'North America'!1653:1653-"n/&gt;!3XA"</f>
        <v>#VALUE!</v>
      </c>
      <c r="ED388" t="e">
        <f>'North America'!1654:1654-"n/&gt;!3XB"</f>
        <v>#VALUE!</v>
      </c>
      <c r="EE388" t="e">
        <f>'North America'!1655:1655-"n/&gt;!3XC"</f>
        <v>#VALUE!</v>
      </c>
      <c r="EF388" t="e">
        <f>'North America'!1656:1656-"n/&gt;!3XD"</f>
        <v>#VALUE!</v>
      </c>
      <c r="EG388" t="e">
        <f>'North America'!1657:1657-"n/&gt;!3XE"</f>
        <v>#VALUE!</v>
      </c>
      <c r="EH388" t="e">
        <f>'North America'!1658:1658-"n/&gt;!3XF"</f>
        <v>#VALUE!</v>
      </c>
      <c r="EI388" t="e">
        <f>'North America'!1659:1659-"n/&gt;!3XG"</f>
        <v>#VALUE!</v>
      </c>
      <c r="EJ388" t="e">
        <f>'North America'!1660:1660-"n/&gt;!3XH"</f>
        <v>#VALUE!</v>
      </c>
      <c r="EK388" t="e">
        <f>'North America'!1661:1661-"n/&gt;!3XI"</f>
        <v>#VALUE!</v>
      </c>
      <c r="EL388" t="e">
        <f>'North America'!1662:1662-"n/&gt;!3XJ"</f>
        <v>#VALUE!</v>
      </c>
      <c r="EM388" t="e">
        <f>'North America'!1663:1663-"n/&gt;!3XK"</f>
        <v>#VALUE!</v>
      </c>
      <c r="EN388" t="e">
        <f>'North America'!1664:1664-"n/&gt;!3XL"</f>
        <v>#VALUE!</v>
      </c>
      <c r="EO388" t="e">
        <f>'North America'!1665:1665-"n/&gt;!3XM"</f>
        <v>#VALUE!</v>
      </c>
      <c r="EP388" t="e">
        <f>'North America'!1666:1666-"n/&gt;!3XN"</f>
        <v>#VALUE!</v>
      </c>
      <c r="EQ388" t="e">
        <f>'North America'!1667:1667-"n/&gt;!3XO"</f>
        <v>#VALUE!</v>
      </c>
      <c r="ER388" t="e">
        <f>'North America'!1668:1668-"n/&gt;!3XP"</f>
        <v>#VALUE!</v>
      </c>
      <c r="ES388" t="e">
        <f>'North America'!1669:1669-"n/&gt;!3XQ"</f>
        <v>#VALUE!</v>
      </c>
      <c r="ET388" t="e">
        <f>'North America'!1670:1670-"n/&gt;!3XR"</f>
        <v>#VALUE!</v>
      </c>
      <c r="EU388" t="e">
        <f>'North America'!1671:1671-"n/&gt;!3XS"</f>
        <v>#VALUE!</v>
      </c>
      <c r="EV388" t="e">
        <f>'North America'!1672:1672-"n/&gt;!3XT"</f>
        <v>#VALUE!</v>
      </c>
      <c r="EW388" t="e">
        <f>'North America'!1673:1673-"n/&gt;!3XU"</f>
        <v>#VALUE!</v>
      </c>
      <c r="EX388" t="e">
        <f>'North America'!1674:1674-"n/&gt;!3XV"</f>
        <v>#VALUE!</v>
      </c>
      <c r="EY388" t="e">
        <f>'North America'!1675:1675-"n/&gt;!3XW"</f>
        <v>#VALUE!</v>
      </c>
      <c r="EZ388" t="e">
        <f>'North America'!1676:1676-"n/&gt;!3XX"</f>
        <v>#VALUE!</v>
      </c>
      <c r="FA388" t="e">
        <f>'North America'!1677:1677-"n/&gt;!3XY"</f>
        <v>#VALUE!</v>
      </c>
      <c r="FB388" t="e">
        <f>'North America'!1678:1678-"n/&gt;!3XZ"</f>
        <v>#VALUE!</v>
      </c>
      <c r="FC388" t="e">
        <f>'North America'!1679:1679-"n/&gt;!3X["</f>
        <v>#VALUE!</v>
      </c>
      <c r="FD388" t="e">
        <f>'North America'!1680:1680-"n/&gt;!3X\"</f>
        <v>#VALUE!</v>
      </c>
      <c r="FE388" t="e">
        <f>'North America'!1681:1681-"n/&gt;!3X]"</f>
        <v>#VALUE!</v>
      </c>
      <c r="FF388" t="e">
        <f>'North America'!1682:1682-"n/&gt;!3X^"</f>
        <v>#VALUE!</v>
      </c>
      <c r="FG388" t="e">
        <f>'North America'!1683:1683-"n/&gt;!3X_"</f>
        <v>#VALUE!</v>
      </c>
      <c r="FH388" t="e">
        <f>'North America'!1684:1684-"n/&gt;!3X`"</f>
        <v>#VALUE!</v>
      </c>
      <c r="FI388" t="e">
        <f>'North America'!1685:1685-"n/&gt;!3Xa"</f>
        <v>#VALUE!</v>
      </c>
      <c r="FJ388" t="e">
        <f>'North America'!1686:1686-"n/&gt;!3Xb"</f>
        <v>#VALUE!</v>
      </c>
      <c r="FK388" t="e">
        <f>'North America'!1687:1687-"n/&gt;!3Xc"</f>
        <v>#VALUE!</v>
      </c>
      <c r="FL388" t="e">
        <f>'North America'!1688:1688-"n/&gt;!3Xd"</f>
        <v>#VALUE!</v>
      </c>
      <c r="FM388" t="e">
        <f>'North America'!1689:1689-"n/&gt;!3Xe"</f>
        <v>#VALUE!</v>
      </c>
      <c r="FN388" t="e">
        <f>'North America'!1690:1690-"n/&gt;!3Xf"</f>
        <v>#VALUE!</v>
      </c>
      <c r="FO388" t="e">
        <f>'North America'!1691:1691-"n/&gt;!3Xg"</f>
        <v>#VALUE!</v>
      </c>
      <c r="FP388" t="e">
        <f>'North America'!1692:1692-"n/&gt;!3Xh"</f>
        <v>#VALUE!</v>
      </c>
      <c r="FQ388" t="e">
        <f>'North America'!1693:1693-"n/&gt;!3Xi"</f>
        <v>#VALUE!</v>
      </c>
      <c r="FR388" t="e">
        <f>'North America'!1694:1694-"n/&gt;!3Xj"</f>
        <v>#VALUE!</v>
      </c>
      <c r="FS388" t="e">
        <f>'North America'!1695:1695-"n/&gt;!3Xk"</f>
        <v>#VALUE!</v>
      </c>
      <c r="FT388" t="e">
        <f>'North America'!1696:1696-"n/&gt;!3Xl"</f>
        <v>#VALUE!</v>
      </c>
      <c r="FU388" t="e">
        <f>'North America'!1697:1697-"n/&gt;!3Xm"</f>
        <v>#VALUE!</v>
      </c>
      <c r="FV388" t="e">
        <f>'North America'!1698:1698-"n/&gt;!3Xn"</f>
        <v>#VALUE!</v>
      </c>
      <c r="FW388" t="e">
        <f>'North America'!1699:1699-"n/&gt;!3Xo"</f>
        <v>#VALUE!</v>
      </c>
      <c r="FX388" t="e">
        <f>'North America'!1700:1700-"n/&gt;!3Xp"</f>
        <v>#VALUE!</v>
      </c>
      <c r="FY388" t="e">
        <f>'North America'!1701:1701-"n/&gt;!3Xq"</f>
        <v>#VALUE!</v>
      </c>
      <c r="FZ388" t="e">
        <f>'North America'!1702:1702-"n/&gt;!3Xr"</f>
        <v>#VALUE!</v>
      </c>
      <c r="GA388" t="e">
        <f>'North America'!1703:1703-"n/&gt;!3Xs"</f>
        <v>#VALUE!</v>
      </c>
      <c r="GB388" t="e">
        <f>'North America'!1704:1704-"n/&gt;!3Xt"</f>
        <v>#VALUE!</v>
      </c>
      <c r="GC388" t="e">
        <f>'North America'!1705:1705-"n/&gt;!3Xu"</f>
        <v>#VALUE!</v>
      </c>
      <c r="GD388" t="e">
        <f>'North America'!1706:1706-"n/&gt;!3Xv"</f>
        <v>#VALUE!</v>
      </c>
      <c r="GE388" t="e">
        <f>'North America'!1707:1707-"n/&gt;!3Xw"</f>
        <v>#VALUE!</v>
      </c>
      <c r="GF388" t="e">
        <f>'North America'!1708:1708-"n/&gt;!3Xx"</f>
        <v>#VALUE!</v>
      </c>
      <c r="GG388" t="e">
        <f>'North America'!1709:1709-"n/&gt;!3Xy"</f>
        <v>#VALUE!</v>
      </c>
      <c r="GH388" t="e">
        <f>'North America'!1710:1710-"n/&gt;!3Xz"</f>
        <v>#VALUE!</v>
      </c>
      <c r="GI388" t="e">
        <f>'North America'!1711:1711-"n/&gt;!3X{"</f>
        <v>#VALUE!</v>
      </c>
      <c r="GJ388" t="e">
        <f>'North America'!1712:1712-"n/&gt;!3X|"</f>
        <v>#VALUE!</v>
      </c>
      <c r="GK388" t="e">
        <f>'North America'!1713:1713-"n/&gt;!3X}"</f>
        <v>#VALUE!</v>
      </c>
      <c r="GL388" t="e">
        <f>'North America'!1714:1714-"n/&gt;!3X~"</f>
        <v>#VALUE!</v>
      </c>
      <c r="GM388" t="e">
        <f>'North America'!1715:1715-"n/&gt;!3Y#"</f>
        <v>#VALUE!</v>
      </c>
      <c r="GN388" t="e">
        <f>'North America'!1716:1716-"n/&gt;!3Y$"</f>
        <v>#VALUE!</v>
      </c>
      <c r="GO388" t="e">
        <f>'North America'!1717:1717-"n/&gt;!3Y%"</f>
        <v>#VALUE!</v>
      </c>
      <c r="GP388" t="e">
        <f>'North America'!1718:1718-"n/&gt;!3Y&amp;"</f>
        <v>#VALUE!</v>
      </c>
      <c r="GQ388" t="e">
        <f>'North America'!1719:1719-"n/&gt;!3Y'"</f>
        <v>#VALUE!</v>
      </c>
      <c r="GR388" t="e">
        <f>'North America'!1720:1720-"n/&gt;!3Y("</f>
        <v>#VALUE!</v>
      </c>
      <c r="GS388" t="e">
        <f>'North America'!1721:1721-"n/&gt;!3Y)"</f>
        <v>#VALUE!</v>
      </c>
      <c r="GT388" t="e">
        <f>'North America'!1722:1722-"n/&gt;!3Y."</f>
        <v>#VALUE!</v>
      </c>
      <c r="GU388" t="e">
        <f>'North America'!1723:1723-"n/&gt;!3Y/"</f>
        <v>#VALUE!</v>
      </c>
      <c r="GV388" t="e">
        <f>'North America'!1724:1724-"n/&gt;!3Y0"</f>
        <v>#VALUE!</v>
      </c>
      <c r="GW388" t="e">
        <f>'North America'!1725:1725-"n/&gt;!3Y1"</f>
        <v>#VALUE!</v>
      </c>
      <c r="GX388" t="e">
        <f>'North America'!1726:1726-"n/&gt;!3Y2"</f>
        <v>#VALUE!</v>
      </c>
      <c r="GY388" t="e">
        <f>'North America'!1727:1727-"n/&gt;!3Y3"</f>
        <v>#VALUE!</v>
      </c>
      <c r="GZ388" t="e">
        <f>'North America'!1728:1728-"n/&gt;!3Y4"</f>
        <v>#VALUE!</v>
      </c>
      <c r="HA388" t="e">
        <f>'North America'!1729:1729-"n/&gt;!3Y5"</f>
        <v>#VALUE!</v>
      </c>
      <c r="HB388" t="e">
        <f>'North America'!1730:1730-"n/&gt;!3Y6"</f>
        <v>#VALUE!</v>
      </c>
      <c r="HC388" t="e">
        <f>'North America'!1731:1731-"n/&gt;!3Y7"</f>
        <v>#VALUE!</v>
      </c>
      <c r="HD388" t="e">
        <f>'North America'!1732:1732-"n/&gt;!3Y8"</f>
        <v>#VALUE!</v>
      </c>
      <c r="HE388" t="e">
        <f>'North America'!1733:1733-"n/&gt;!3Y9"</f>
        <v>#VALUE!</v>
      </c>
      <c r="HF388" t="e">
        <f>'North America'!1734:1734-"n/&gt;!3Y:"</f>
        <v>#VALUE!</v>
      </c>
      <c r="HG388" t="e">
        <f>'North America'!1735:1735-"n/&gt;!3Y;"</f>
        <v>#VALUE!</v>
      </c>
      <c r="HH388" t="e">
        <f>'North America'!1736:1736-"n/&gt;!3Y&lt;"</f>
        <v>#VALUE!</v>
      </c>
      <c r="HI388" t="e">
        <f>'North America'!1737:1737-"n/&gt;!3Y="</f>
        <v>#VALUE!</v>
      </c>
      <c r="HJ388" t="e">
        <f>'North America'!1738:1738-"n/&gt;!3Y&gt;"</f>
        <v>#VALUE!</v>
      </c>
      <c r="HK388" t="e">
        <f>'North America'!1739:1739-"n/&gt;!3Y?"</f>
        <v>#VALUE!</v>
      </c>
      <c r="HL388" t="e">
        <f>'North America'!1740:1740-"n/&gt;!3Y@"</f>
        <v>#VALUE!</v>
      </c>
      <c r="HM388" t="e">
        <f>'North America'!1741:1741-"n/&gt;!3YA"</f>
        <v>#VALUE!</v>
      </c>
      <c r="HN388" t="e">
        <f>'North America'!1742:1742-"n/&gt;!3YB"</f>
        <v>#VALUE!</v>
      </c>
      <c r="HO388" t="e">
        <f>'North America'!1743:1743-"n/&gt;!3YC"</f>
        <v>#VALUE!</v>
      </c>
      <c r="HP388" t="e">
        <f>'North America'!1744:1744-"n/&gt;!3YD"</f>
        <v>#VALUE!</v>
      </c>
      <c r="HQ388" t="e">
        <f>'North America'!1745:1745-"n/&gt;!3YE"</f>
        <v>#VALUE!</v>
      </c>
      <c r="HR388" t="e">
        <f>'North America'!1746:1746-"n/&gt;!3YF"</f>
        <v>#VALUE!</v>
      </c>
      <c r="HS388" t="e">
        <f>'North America'!1747:1747-"n/&gt;!3YG"</f>
        <v>#VALUE!</v>
      </c>
      <c r="HT388" t="e">
        <f>'North America'!1748:1748-"n/&gt;!3YH"</f>
        <v>#VALUE!</v>
      </c>
      <c r="HU388" t="e">
        <f>'North America'!1749:1749-"n/&gt;!3YI"</f>
        <v>#VALUE!</v>
      </c>
      <c r="HV388" t="e">
        <f>'North America'!1750:1750-"n/&gt;!3YJ"</f>
        <v>#VALUE!</v>
      </c>
      <c r="HW388" t="e">
        <f>'North America'!1751:1751-"n/&gt;!3YK"</f>
        <v>#VALUE!</v>
      </c>
      <c r="HX388" t="e">
        <f>'North America'!1752:1752-"n/&gt;!3YL"</f>
        <v>#VALUE!</v>
      </c>
      <c r="HY388" t="e">
        <f>'North America'!1753:1753-"n/&gt;!3YM"</f>
        <v>#VALUE!</v>
      </c>
      <c r="HZ388" t="e">
        <f>'North America'!1754:1754-"n/&gt;!3YN"</f>
        <v>#VALUE!</v>
      </c>
      <c r="IA388" t="e">
        <f>'North America'!1755:1755-"n/&gt;!3YO"</f>
        <v>#VALUE!</v>
      </c>
      <c r="IB388" t="e">
        <f>'North America'!1756:1756-"n/&gt;!3YP"</f>
        <v>#VALUE!</v>
      </c>
      <c r="IC388" t="e">
        <f>'North America'!1757:1757-"n/&gt;!3YQ"</f>
        <v>#VALUE!</v>
      </c>
      <c r="ID388" t="e">
        <f>'North America'!1758:1758-"n/&gt;!3YR"</f>
        <v>#VALUE!</v>
      </c>
      <c r="IE388" t="e">
        <f>'North America'!1759:1759-"n/&gt;!3YS"</f>
        <v>#VALUE!</v>
      </c>
      <c r="IF388" t="e">
        <f>'North America'!1760:1760-"n/&gt;!3YT"</f>
        <v>#VALUE!</v>
      </c>
      <c r="IG388" t="e">
        <f>'North America'!1761:1761-"n/&gt;!3YU"</f>
        <v>#VALUE!</v>
      </c>
      <c r="IH388" t="e">
        <f>Asia!A1+"n/&gt;!3YV"</f>
        <v>#VALUE!</v>
      </c>
      <c r="II388" t="e">
        <f>Asia!B1+"n/&gt;!3YW"</f>
        <v>#VALUE!</v>
      </c>
      <c r="IJ388" t="e">
        <f>Asia!C1+"n/&gt;!3YX"</f>
        <v>#VALUE!</v>
      </c>
      <c r="IK388" t="e">
        <f>Asia!D1+"n/&gt;!3YY"</f>
        <v>#VALUE!</v>
      </c>
      <c r="IL388" t="e">
        <f>Asia!E1+"n/&gt;!3YZ"</f>
        <v>#VALUE!</v>
      </c>
      <c r="IM388" t="e">
        <f>Asia!F1+"n/&gt;!3Y["</f>
        <v>#VALUE!</v>
      </c>
      <c r="IN388" t="e">
        <f>Asia!G1+"n/&gt;!3Y\"</f>
        <v>#VALUE!</v>
      </c>
      <c r="IO388" t="e">
        <f>Asia!H1+"n/&gt;!3Y]"</f>
        <v>#VALUE!</v>
      </c>
      <c r="IP388" t="e">
        <f>Asia!I1+"n/&gt;!3Y^"</f>
        <v>#VALUE!</v>
      </c>
      <c r="IQ388" t="e">
        <f>Asia!A2+"n/&gt;!3Y_"</f>
        <v>#VALUE!</v>
      </c>
      <c r="IR388" t="e">
        <f>Asia!B2+"n/&gt;!3Y`"</f>
        <v>#VALUE!</v>
      </c>
      <c r="IS388" t="e">
        <f>Asia!C2+"n/&gt;!3Ya"</f>
        <v>#VALUE!</v>
      </c>
      <c r="IT388" t="e">
        <f>Asia!D2+"n/&gt;!3Yb"</f>
        <v>#VALUE!</v>
      </c>
      <c r="IU388" t="e">
        <f>Asia!E2+"n/&gt;!3Yc"</f>
        <v>#VALUE!</v>
      </c>
      <c r="IV388" t="e">
        <f>Asia!F2+"n/&gt;!3Yd"</f>
        <v>#VALUE!</v>
      </c>
    </row>
    <row r="389" spans="6:256" x14ac:dyDescent="0.35">
      <c r="F389" t="e">
        <f>Asia!G2+"n/&gt;!3Ye"</f>
        <v>#VALUE!</v>
      </c>
      <c r="G389" t="e">
        <f>Asia!H2+"n/&gt;!3Yf"</f>
        <v>#VALUE!</v>
      </c>
      <c r="H389" t="e">
        <f>Asia!I2+"n/&gt;!3Yg"</f>
        <v>#VALUE!</v>
      </c>
      <c r="I389" t="e">
        <f>Asia!A3+"n/&gt;!3Yh"</f>
        <v>#VALUE!</v>
      </c>
      <c r="J389" t="e">
        <f>Asia!B3+"n/&gt;!3Yi"</f>
        <v>#VALUE!</v>
      </c>
      <c r="K389" t="e">
        <f>Asia!C3+"n/&gt;!3Yj"</f>
        <v>#VALUE!</v>
      </c>
      <c r="L389" t="e">
        <f>Asia!D3+"n/&gt;!3Yk"</f>
        <v>#VALUE!</v>
      </c>
      <c r="M389" t="e">
        <f>Asia!E3+"n/&gt;!3Yl"</f>
        <v>#VALUE!</v>
      </c>
      <c r="N389" t="e">
        <f>Asia!F3+"n/&gt;!3Ym"</f>
        <v>#VALUE!</v>
      </c>
      <c r="O389" t="e">
        <f>Asia!G3+"n/&gt;!3Yn"</f>
        <v>#VALUE!</v>
      </c>
      <c r="P389" t="e">
        <f>Asia!H3+"n/&gt;!3Yo"</f>
        <v>#VALUE!</v>
      </c>
      <c r="Q389" t="e">
        <f>Asia!I3+"n/&gt;!3Yp"</f>
        <v>#VALUE!</v>
      </c>
      <c r="R389" t="e">
        <f>Asia!A4+"n/&gt;!3Yq"</f>
        <v>#VALUE!</v>
      </c>
      <c r="S389" t="e">
        <f>Asia!B4+"n/&gt;!3Yr"</f>
        <v>#VALUE!</v>
      </c>
      <c r="T389" t="e">
        <f>Asia!C4+"n/&gt;!3Ys"</f>
        <v>#VALUE!</v>
      </c>
      <c r="U389" t="e">
        <f>Asia!D4+"n/&gt;!3Yt"</f>
        <v>#VALUE!</v>
      </c>
      <c r="V389" t="e">
        <f>Asia!E4+"n/&gt;!3Yu"</f>
        <v>#VALUE!</v>
      </c>
      <c r="W389" t="e">
        <f>Asia!F4+"n/&gt;!3Yv"</f>
        <v>#VALUE!</v>
      </c>
      <c r="X389" t="e">
        <f>Asia!G4+"n/&gt;!3Yw"</f>
        <v>#VALUE!</v>
      </c>
      <c r="Y389" t="e">
        <f>Asia!H4+"n/&gt;!3Yx"</f>
        <v>#VALUE!</v>
      </c>
      <c r="Z389" t="e">
        <f>Asia!I4+"n/&gt;!3Yy"</f>
        <v>#VALUE!</v>
      </c>
      <c r="AA389" t="e">
        <f>Asia!A5+"n/&gt;!3Yz"</f>
        <v>#VALUE!</v>
      </c>
      <c r="AB389" t="e">
        <f>Asia!B5+"n/&gt;!3Y{"</f>
        <v>#VALUE!</v>
      </c>
      <c r="AC389" t="e">
        <f>Asia!C5+"n/&gt;!3Y|"</f>
        <v>#VALUE!</v>
      </c>
      <c r="AD389" t="e">
        <f>Asia!D5+"n/&gt;!3Y}"</f>
        <v>#VALUE!</v>
      </c>
      <c r="AE389" t="e">
        <f>Asia!E5+"n/&gt;!3Y~"</f>
        <v>#VALUE!</v>
      </c>
      <c r="AF389" t="e">
        <f>Asia!F5+"n/&gt;!3Z#"</f>
        <v>#VALUE!</v>
      </c>
      <c r="AG389" t="e">
        <f>Asia!G5+"n/&gt;!3Z$"</f>
        <v>#VALUE!</v>
      </c>
      <c r="AH389" t="e">
        <f>Asia!H5+"n/&gt;!3Z%"</f>
        <v>#VALUE!</v>
      </c>
      <c r="AI389" t="e">
        <f>Asia!I5+"n/&gt;!3Z&amp;"</f>
        <v>#VALUE!</v>
      </c>
      <c r="AJ389" t="e">
        <f>Asia!A6+"n/&gt;!3Z'"</f>
        <v>#VALUE!</v>
      </c>
      <c r="AK389" t="e">
        <f>Asia!B6+"n/&gt;!3Z("</f>
        <v>#VALUE!</v>
      </c>
      <c r="AL389" t="e">
        <f>Asia!C6+"n/&gt;!3Z)"</f>
        <v>#VALUE!</v>
      </c>
      <c r="AM389" t="e">
        <f>Asia!D6+"n/&gt;!3Z."</f>
        <v>#VALUE!</v>
      </c>
      <c r="AN389" t="e">
        <f>Asia!E6+"n/&gt;!3Z/"</f>
        <v>#VALUE!</v>
      </c>
      <c r="AO389" t="e">
        <f>Asia!F6+"n/&gt;!3Z0"</f>
        <v>#VALUE!</v>
      </c>
      <c r="AP389" t="e">
        <f>Asia!G6+"n/&gt;!3Z1"</f>
        <v>#VALUE!</v>
      </c>
      <c r="AQ389" t="e">
        <f>Asia!H6+"n/&gt;!3Z2"</f>
        <v>#VALUE!</v>
      </c>
      <c r="AR389" t="e">
        <f>Asia!I6+"n/&gt;!3Z3"</f>
        <v>#VALUE!</v>
      </c>
      <c r="AS389" t="e">
        <f>Asia!A7+"n/&gt;!3Z4"</f>
        <v>#VALUE!</v>
      </c>
      <c r="AT389" t="e">
        <f>Asia!B7+"n/&gt;!3Z5"</f>
        <v>#VALUE!</v>
      </c>
      <c r="AU389" t="e">
        <f>Asia!C7+"n/&gt;!3Z6"</f>
        <v>#VALUE!</v>
      </c>
      <c r="AV389" t="e">
        <f>Asia!D7+"n/&gt;!3Z7"</f>
        <v>#VALUE!</v>
      </c>
      <c r="AW389" t="e">
        <f>Asia!E7+"n/&gt;!3Z8"</f>
        <v>#VALUE!</v>
      </c>
      <c r="AX389" t="e">
        <f>Asia!F7+"n/&gt;!3Z9"</f>
        <v>#VALUE!</v>
      </c>
      <c r="AY389" t="e">
        <f>Asia!G7+"n/&gt;!3Z:"</f>
        <v>#VALUE!</v>
      </c>
      <c r="AZ389" t="e">
        <f>Asia!H7+"n/&gt;!3Z;"</f>
        <v>#VALUE!</v>
      </c>
      <c r="BA389" t="e">
        <f>Asia!I7+"n/&gt;!3Z&lt;"</f>
        <v>#VALUE!</v>
      </c>
      <c r="BB389" t="e">
        <f>Asia!A8+"n/&gt;!3Z="</f>
        <v>#VALUE!</v>
      </c>
      <c r="BC389" t="e">
        <f>Asia!B8+"n/&gt;!3Z&gt;"</f>
        <v>#VALUE!</v>
      </c>
      <c r="BD389" t="e">
        <f>Asia!C8+"n/&gt;!3Z?"</f>
        <v>#VALUE!</v>
      </c>
      <c r="BE389" t="e">
        <f>Asia!D8+"n/&gt;!3Z@"</f>
        <v>#VALUE!</v>
      </c>
      <c r="BF389" t="e">
        <f>Asia!E8+"n/&gt;!3ZA"</f>
        <v>#VALUE!</v>
      </c>
      <c r="BG389" t="e">
        <f>Asia!F8+"n/&gt;!3ZB"</f>
        <v>#VALUE!</v>
      </c>
      <c r="BH389" t="e">
        <f>Asia!G8+"n/&gt;!3ZC"</f>
        <v>#VALUE!</v>
      </c>
      <c r="BI389" t="e">
        <f>Asia!H8+"n/&gt;!3ZD"</f>
        <v>#VALUE!</v>
      </c>
      <c r="BJ389" t="e">
        <f>Asia!I8+"n/&gt;!3ZE"</f>
        <v>#VALUE!</v>
      </c>
      <c r="BK389" t="e">
        <f>Asia!A9+"n/&gt;!3ZF"</f>
        <v>#VALUE!</v>
      </c>
      <c r="BL389" t="e">
        <f>Asia!B9+"n/&gt;!3ZG"</f>
        <v>#VALUE!</v>
      </c>
      <c r="BM389" t="e">
        <f>Asia!C9+"n/&gt;!3ZH"</f>
        <v>#VALUE!</v>
      </c>
      <c r="BN389" t="e">
        <f>Asia!D9+"n/&gt;!3ZI"</f>
        <v>#VALUE!</v>
      </c>
      <c r="BO389" t="e">
        <f>Asia!E9+"n/&gt;!3ZJ"</f>
        <v>#VALUE!</v>
      </c>
      <c r="BP389" t="e">
        <f>Asia!F9+"n/&gt;!3ZK"</f>
        <v>#VALUE!</v>
      </c>
      <c r="BQ389" t="e">
        <f>Asia!G9+"n/&gt;!3ZL"</f>
        <v>#VALUE!</v>
      </c>
      <c r="BR389" t="e">
        <f>Asia!H9+"n/&gt;!3ZM"</f>
        <v>#VALUE!</v>
      </c>
      <c r="BS389" t="e">
        <f>Asia!I9+"n/&gt;!3ZN"</f>
        <v>#VALUE!</v>
      </c>
      <c r="BT389" t="e">
        <f>Asia!A10+"n/&gt;!3ZO"</f>
        <v>#VALUE!</v>
      </c>
      <c r="BU389" t="e">
        <f>Asia!B10+"n/&gt;!3ZP"</f>
        <v>#VALUE!</v>
      </c>
      <c r="BV389" t="e">
        <f>Asia!C10+"n/&gt;!3ZQ"</f>
        <v>#VALUE!</v>
      </c>
      <c r="BW389" t="e">
        <f>Asia!D10+"n/&gt;!3ZR"</f>
        <v>#VALUE!</v>
      </c>
      <c r="BX389" t="e">
        <f>Asia!E10+"n/&gt;!3ZS"</f>
        <v>#VALUE!</v>
      </c>
      <c r="BY389" t="e">
        <f>Asia!F10+"n/&gt;!3ZT"</f>
        <v>#VALUE!</v>
      </c>
      <c r="BZ389" t="e">
        <f>Asia!G10+"n/&gt;!3ZU"</f>
        <v>#VALUE!</v>
      </c>
      <c r="CA389" t="e">
        <f>Asia!H10+"n/&gt;!3ZV"</f>
        <v>#VALUE!</v>
      </c>
      <c r="CB389" t="e">
        <f>Asia!I10+"n/&gt;!3ZW"</f>
        <v>#VALUE!</v>
      </c>
      <c r="CC389" t="e">
        <f>Asia!A11+"n/&gt;!3ZX"</f>
        <v>#VALUE!</v>
      </c>
      <c r="CD389" t="e">
        <f>Asia!B11+"n/&gt;!3ZY"</f>
        <v>#VALUE!</v>
      </c>
      <c r="CE389" t="e">
        <f>Asia!C11+"n/&gt;!3ZZ"</f>
        <v>#VALUE!</v>
      </c>
      <c r="CF389" t="e">
        <f>Asia!D11+"n/&gt;!3Z["</f>
        <v>#VALUE!</v>
      </c>
      <c r="CG389" t="e">
        <f>Asia!E11+"n/&gt;!3Z\"</f>
        <v>#VALUE!</v>
      </c>
      <c r="CH389" t="e">
        <f>Asia!F11+"n/&gt;!3Z]"</f>
        <v>#VALUE!</v>
      </c>
      <c r="CI389" t="e">
        <f>Asia!G11+"n/&gt;!3Z^"</f>
        <v>#VALUE!</v>
      </c>
      <c r="CJ389" t="e">
        <f>Asia!H11+"n/&gt;!3Z_"</f>
        <v>#VALUE!</v>
      </c>
      <c r="CK389" t="e">
        <f>Asia!I11+"n/&gt;!3Z`"</f>
        <v>#VALUE!</v>
      </c>
      <c r="CL389" t="e">
        <f>Asia!A12+"n/&gt;!3Za"</f>
        <v>#VALUE!</v>
      </c>
      <c r="CM389" t="e">
        <f>Asia!B12+"n/&gt;!3Zb"</f>
        <v>#VALUE!</v>
      </c>
      <c r="CN389" t="e">
        <f>Asia!C12+"n/&gt;!3Zc"</f>
        <v>#VALUE!</v>
      </c>
      <c r="CO389" t="e">
        <f>Asia!D12+"n/&gt;!3Zd"</f>
        <v>#VALUE!</v>
      </c>
      <c r="CP389" t="e">
        <f>Asia!E12+"n/&gt;!3Ze"</f>
        <v>#VALUE!</v>
      </c>
      <c r="CQ389" t="e">
        <f>Asia!F12+"n/&gt;!3Zf"</f>
        <v>#VALUE!</v>
      </c>
      <c r="CR389" t="e">
        <f>Asia!G12+"n/&gt;!3Zg"</f>
        <v>#VALUE!</v>
      </c>
      <c r="CS389" t="e">
        <f>Asia!H12+"n/&gt;!3Zh"</f>
        <v>#VALUE!</v>
      </c>
      <c r="CT389" t="e">
        <f>Asia!I12+"n/&gt;!3Zi"</f>
        <v>#VALUE!</v>
      </c>
      <c r="CU389" t="e">
        <f>Asia!A13+"n/&gt;!3Zj"</f>
        <v>#VALUE!</v>
      </c>
      <c r="CV389" t="e">
        <f>Asia!B13+"n/&gt;!3Zk"</f>
        <v>#VALUE!</v>
      </c>
      <c r="CW389" t="e">
        <f>Asia!C13+"n/&gt;!3Zl"</f>
        <v>#VALUE!</v>
      </c>
      <c r="CX389" t="e">
        <f>Asia!D13+"n/&gt;!3Zm"</f>
        <v>#VALUE!</v>
      </c>
      <c r="CY389" t="e">
        <f>Asia!E13+"n/&gt;!3Zn"</f>
        <v>#VALUE!</v>
      </c>
      <c r="CZ389" t="e">
        <f>Asia!F13+"n/&gt;!3Zo"</f>
        <v>#VALUE!</v>
      </c>
      <c r="DA389" t="e">
        <f>Asia!G13+"n/&gt;!3Zp"</f>
        <v>#VALUE!</v>
      </c>
      <c r="DB389" t="e">
        <f>Asia!H13+"n/&gt;!3Zq"</f>
        <v>#VALUE!</v>
      </c>
      <c r="DC389" t="e">
        <f>Asia!I13+"n/&gt;!3Zr"</f>
        <v>#VALUE!</v>
      </c>
      <c r="DD389" t="e">
        <f>Asia!A14+"n/&gt;!3Zs"</f>
        <v>#VALUE!</v>
      </c>
      <c r="DE389" t="e">
        <f>Asia!B14+"n/&gt;!3Zt"</f>
        <v>#VALUE!</v>
      </c>
      <c r="DF389" t="e">
        <f>Asia!C14+"n/&gt;!3Zu"</f>
        <v>#VALUE!</v>
      </c>
      <c r="DG389" t="e">
        <f>Asia!D14+"n/&gt;!3Zv"</f>
        <v>#VALUE!</v>
      </c>
      <c r="DH389" t="e">
        <f>Asia!E14+"n/&gt;!3Zw"</f>
        <v>#VALUE!</v>
      </c>
      <c r="DI389" t="e">
        <f>Asia!F14+"n/&gt;!3Zx"</f>
        <v>#VALUE!</v>
      </c>
      <c r="DJ389" t="e">
        <f>Asia!G14+"n/&gt;!3Zy"</f>
        <v>#VALUE!</v>
      </c>
      <c r="DK389" t="e">
        <f>Asia!H14+"n/&gt;!3Zz"</f>
        <v>#VALUE!</v>
      </c>
      <c r="DL389" t="e">
        <f>Asia!I14+"n/&gt;!3Z{"</f>
        <v>#VALUE!</v>
      </c>
      <c r="DM389" t="e">
        <f>Asia!A15+"n/&gt;!3Z|"</f>
        <v>#VALUE!</v>
      </c>
      <c r="DN389" t="e">
        <f>Asia!B15+"n/&gt;!3Z}"</f>
        <v>#VALUE!</v>
      </c>
      <c r="DO389" t="e">
        <f>Asia!C15+"n/&gt;!3Z~"</f>
        <v>#VALUE!</v>
      </c>
      <c r="DP389" t="e">
        <f>Asia!D15+"n/&gt;!3[#"</f>
        <v>#VALUE!</v>
      </c>
      <c r="DQ389" t="e">
        <f>Asia!E15+"n/&gt;!3[$"</f>
        <v>#VALUE!</v>
      </c>
      <c r="DR389" t="e">
        <f>Asia!F15+"n/&gt;!3[%"</f>
        <v>#VALUE!</v>
      </c>
      <c r="DS389" t="e">
        <f>Asia!G15+"n/&gt;!3[&amp;"</f>
        <v>#VALUE!</v>
      </c>
      <c r="DT389" t="e">
        <f>Asia!H15+"n/&gt;!3['"</f>
        <v>#VALUE!</v>
      </c>
      <c r="DU389" t="e">
        <f>Asia!I15+"n/&gt;!3[("</f>
        <v>#VALUE!</v>
      </c>
      <c r="DV389" t="e">
        <f>Asia!A16+"n/&gt;!3[)"</f>
        <v>#VALUE!</v>
      </c>
      <c r="DW389" t="e">
        <f>Asia!B16+"n/&gt;!3[."</f>
        <v>#VALUE!</v>
      </c>
      <c r="DX389" t="e">
        <f>Asia!C16+"n/&gt;!3[/"</f>
        <v>#VALUE!</v>
      </c>
      <c r="DY389" t="e">
        <f>Asia!D16+"n/&gt;!3[0"</f>
        <v>#VALUE!</v>
      </c>
      <c r="DZ389" t="e">
        <f>Asia!E16+"n/&gt;!3[1"</f>
        <v>#VALUE!</v>
      </c>
      <c r="EA389" t="e">
        <f>Asia!F16+"n/&gt;!3[2"</f>
        <v>#VALUE!</v>
      </c>
      <c r="EB389" t="e">
        <f>Asia!G16+"n/&gt;!3[3"</f>
        <v>#VALUE!</v>
      </c>
      <c r="EC389" t="e">
        <f>Asia!H16+"n/&gt;!3[4"</f>
        <v>#VALUE!</v>
      </c>
      <c r="ED389" t="e">
        <f>Asia!I16+"n/&gt;!3[5"</f>
        <v>#VALUE!</v>
      </c>
      <c r="EE389" t="e">
        <f>Asia!A17+"n/&gt;!3[6"</f>
        <v>#VALUE!</v>
      </c>
      <c r="EF389" t="e">
        <f>Asia!B17+"n/&gt;!3[7"</f>
        <v>#VALUE!</v>
      </c>
      <c r="EG389" t="e">
        <f>Asia!C17+"n/&gt;!3[8"</f>
        <v>#VALUE!</v>
      </c>
      <c r="EH389" t="e">
        <f>Asia!D17+"n/&gt;!3[9"</f>
        <v>#VALUE!</v>
      </c>
      <c r="EI389" t="e">
        <f>Asia!E17+"n/&gt;!3[:"</f>
        <v>#VALUE!</v>
      </c>
      <c r="EJ389" t="e">
        <f>Asia!F17+"n/&gt;!3[;"</f>
        <v>#VALUE!</v>
      </c>
      <c r="EK389" t="e">
        <f>Asia!G17+"n/&gt;!3[&lt;"</f>
        <v>#VALUE!</v>
      </c>
      <c r="EL389" t="e">
        <f>Asia!H17+"n/&gt;!3[="</f>
        <v>#VALUE!</v>
      </c>
      <c r="EM389" t="e">
        <f>Asia!I17+"n/&gt;!3[&gt;"</f>
        <v>#VALUE!</v>
      </c>
      <c r="EN389" t="e">
        <f>Asia!A18+"n/&gt;!3[?"</f>
        <v>#VALUE!</v>
      </c>
      <c r="EO389" t="e">
        <f>Asia!B18+"n/&gt;!3[@"</f>
        <v>#VALUE!</v>
      </c>
      <c r="EP389" t="e">
        <f>Asia!C18+"n/&gt;!3[A"</f>
        <v>#VALUE!</v>
      </c>
      <c r="EQ389" t="e">
        <f>Asia!D18+"n/&gt;!3[B"</f>
        <v>#VALUE!</v>
      </c>
      <c r="ER389" t="e">
        <f>Asia!E18+"n/&gt;!3[C"</f>
        <v>#VALUE!</v>
      </c>
      <c r="ES389" t="e">
        <f>Asia!F18+"n/&gt;!3[D"</f>
        <v>#VALUE!</v>
      </c>
      <c r="ET389" t="e">
        <f>Asia!G18+"n/&gt;!3[E"</f>
        <v>#VALUE!</v>
      </c>
      <c r="EU389" t="e">
        <f>Asia!H18+"n/&gt;!3[F"</f>
        <v>#VALUE!</v>
      </c>
      <c r="EV389" t="e">
        <f>Asia!I18+"n/&gt;!3[G"</f>
        <v>#VALUE!</v>
      </c>
      <c r="EW389" t="e">
        <f>Asia!A19+"n/&gt;!3[H"</f>
        <v>#VALUE!</v>
      </c>
      <c r="EX389" t="e">
        <f>Asia!B19+"n/&gt;!3[I"</f>
        <v>#VALUE!</v>
      </c>
      <c r="EY389" t="e">
        <f>Asia!C19+"n/&gt;!3[J"</f>
        <v>#VALUE!</v>
      </c>
      <c r="EZ389" t="e">
        <f>Asia!D19+"n/&gt;!3[K"</f>
        <v>#VALUE!</v>
      </c>
      <c r="FA389" t="e">
        <f>Asia!E19+"n/&gt;!3[L"</f>
        <v>#VALUE!</v>
      </c>
      <c r="FB389" t="e">
        <f>Asia!F19+"n/&gt;!3[M"</f>
        <v>#VALUE!</v>
      </c>
      <c r="FC389" t="e">
        <f>Asia!G19+"n/&gt;!3[N"</f>
        <v>#VALUE!</v>
      </c>
      <c r="FD389" t="e">
        <f>Asia!H19+"n/&gt;!3[O"</f>
        <v>#VALUE!</v>
      </c>
      <c r="FE389" t="e">
        <f>Asia!I19+"n/&gt;!3[P"</f>
        <v>#VALUE!</v>
      </c>
      <c r="FF389" t="e">
        <f>Asia!A20+"n/&gt;!3[Q"</f>
        <v>#VALUE!</v>
      </c>
      <c r="FG389" t="e">
        <f>Asia!B20+"n/&gt;!3[R"</f>
        <v>#VALUE!</v>
      </c>
      <c r="FH389" t="e">
        <f>Asia!C20+"n/&gt;!3[S"</f>
        <v>#VALUE!</v>
      </c>
      <c r="FI389" t="e">
        <f>Asia!D20+"n/&gt;!3[T"</f>
        <v>#VALUE!</v>
      </c>
      <c r="FJ389" t="e">
        <f>Asia!E20+"n/&gt;!3[U"</f>
        <v>#VALUE!</v>
      </c>
      <c r="FK389" t="e">
        <f>Asia!F20+"n/&gt;!3[V"</f>
        <v>#VALUE!</v>
      </c>
      <c r="FL389" t="e">
        <f>Asia!G20+"n/&gt;!3[W"</f>
        <v>#VALUE!</v>
      </c>
      <c r="FM389" t="e">
        <f>Asia!H20+"n/&gt;!3[X"</f>
        <v>#VALUE!</v>
      </c>
      <c r="FN389" t="e">
        <f>Asia!I20+"n/&gt;!3[Y"</f>
        <v>#VALUE!</v>
      </c>
      <c r="FO389" t="e">
        <f>Asia!A21+"n/&gt;!3[Z"</f>
        <v>#VALUE!</v>
      </c>
      <c r="FP389" t="e">
        <f>Asia!B21+"n/&gt;!3[["</f>
        <v>#VALUE!</v>
      </c>
      <c r="FQ389" t="e">
        <f>Asia!C21+"n/&gt;!3[\"</f>
        <v>#VALUE!</v>
      </c>
      <c r="FR389" t="e">
        <f>Asia!D21+"n/&gt;!3[]"</f>
        <v>#VALUE!</v>
      </c>
      <c r="FS389" t="e">
        <f>Asia!E21+"n/&gt;!3[^"</f>
        <v>#VALUE!</v>
      </c>
      <c r="FT389" t="e">
        <f>Asia!F21+"n/&gt;!3[_"</f>
        <v>#VALUE!</v>
      </c>
      <c r="FU389" t="e">
        <f>Asia!G21+"n/&gt;!3[`"</f>
        <v>#VALUE!</v>
      </c>
      <c r="FV389" t="e">
        <f>Asia!H21+"n/&gt;!3[a"</f>
        <v>#VALUE!</v>
      </c>
      <c r="FW389" t="e">
        <f>Asia!I21+"n/&gt;!3[b"</f>
        <v>#VALUE!</v>
      </c>
      <c r="FX389" t="e">
        <f>Asia!A22+"n/&gt;!3[c"</f>
        <v>#VALUE!</v>
      </c>
      <c r="FY389" t="e">
        <f>Asia!B22+"n/&gt;!3[d"</f>
        <v>#VALUE!</v>
      </c>
      <c r="FZ389" t="e">
        <f>Asia!C22+"n/&gt;!3[e"</f>
        <v>#VALUE!</v>
      </c>
      <c r="GA389" t="e">
        <f>Asia!D22+"n/&gt;!3[f"</f>
        <v>#VALUE!</v>
      </c>
      <c r="GB389" t="e">
        <f>Asia!E22+"n/&gt;!3[g"</f>
        <v>#VALUE!</v>
      </c>
      <c r="GC389" t="e">
        <f>Asia!F22+"n/&gt;!3[h"</f>
        <v>#VALUE!</v>
      </c>
      <c r="GD389" t="e">
        <f>Asia!G22+"n/&gt;!3[i"</f>
        <v>#VALUE!</v>
      </c>
      <c r="GE389" t="e">
        <f>Asia!H22+"n/&gt;!3[j"</f>
        <v>#VALUE!</v>
      </c>
      <c r="GF389" t="e">
        <f>Asia!I22+"n/&gt;!3[k"</f>
        <v>#VALUE!</v>
      </c>
      <c r="GG389" t="e">
        <f>Asia!A23+"n/&gt;!3[l"</f>
        <v>#VALUE!</v>
      </c>
      <c r="GH389" t="e">
        <f>Asia!B23+"n/&gt;!3[m"</f>
        <v>#VALUE!</v>
      </c>
      <c r="GI389" t="e">
        <f>Asia!C23+"n/&gt;!3[n"</f>
        <v>#VALUE!</v>
      </c>
      <c r="GJ389" t="e">
        <f>Asia!D23+"n/&gt;!3[o"</f>
        <v>#VALUE!</v>
      </c>
      <c r="GK389" t="e">
        <f>Asia!E23+"n/&gt;!3[p"</f>
        <v>#VALUE!</v>
      </c>
      <c r="GL389" t="e">
        <f>Asia!F23+"n/&gt;!3[q"</f>
        <v>#VALUE!</v>
      </c>
      <c r="GM389" t="e">
        <f>Asia!G23+"n/&gt;!3[r"</f>
        <v>#VALUE!</v>
      </c>
      <c r="GN389" t="e">
        <f>Asia!H23+"n/&gt;!3[s"</f>
        <v>#VALUE!</v>
      </c>
      <c r="GO389" t="e">
        <f>Asia!I23+"n/&gt;!3[t"</f>
        <v>#VALUE!</v>
      </c>
      <c r="GP389" t="e">
        <f>Asia!A24+"n/&gt;!3[u"</f>
        <v>#VALUE!</v>
      </c>
      <c r="GQ389" t="e">
        <f>Asia!B24+"n/&gt;!3[v"</f>
        <v>#VALUE!</v>
      </c>
      <c r="GR389" t="e">
        <f>Asia!C24+"n/&gt;!3[w"</f>
        <v>#VALUE!</v>
      </c>
      <c r="GS389" t="e">
        <f>Asia!D24+"n/&gt;!3[x"</f>
        <v>#VALUE!</v>
      </c>
      <c r="GT389" t="e">
        <f>Asia!E24+"n/&gt;!3[y"</f>
        <v>#VALUE!</v>
      </c>
      <c r="GU389" t="e">
        <f>Asia!F24+"n/&gt;!3[z"</f>
        <v>#VALUE!</v>
      </c>
      <c r="GV389" t="e">
        <f>Asia!G24+"n/&gt;!3[{"</f>
        <v>#VALUE!</v>
      </c>
      <c r="GW389" t="e">
        <f>Asia!H24+"n/&gt;!3[|"</f>
        <v>#VALUE!</v>
      </c>
      <c r="GX389" t="e">
        <f>Asia!I24+"n/&gt;!3[}"</f>
        <v>#VALUE!</v>
      </c>
      <c r="GY389" t="e">
        <f>Asia!A25+"n/&gt;!3[~"</f>
        <v>#VALUE!</v>
      </c>
      <c r="GZ389" t="e">
        <f>Asia!B25+"n/&gt;!3\#"</f>
        <v>#VALUE!</v>
      </c>
      <c r="HA389" t="e">
        <f>Asia!C25+"n/&gt;!3\$"</f>
        <v>#VALUE!</v>
      </c>
      <c r="HB389" t="e">
        <f>Asia!D25+"n/&gt;!3\%"</f>
        <v>#VALUE!</v>
      </c>
      <c r="HC389" t="e">
        <f>Asia!E25+"n/&gt;!3\&amp;"</f>
        <v>#VALUE!</v>
      </c>
      <c r="HD389" t="e">
        <f>Asia!F25+"n/&gt;!3\'"</f>
        <v>#VALUE!</v>
      </c>
      <c r="HE389" t="e">
        <f>Asia!G25+"n/&gt;!3\("</f>
        <v>#VALUE!</v>
      </c>
      <c r="HF389" t="e">
        <f>Asia!H25+"n/&gt;!3\)"</f>
        <v>#VALUE!</v>
      </c>
      <c r="HG389" t="e">
        <f>Asia!I25+"n/&gt;!3\."</f>
        <v>#VALUE!</v>
      </c>
      <c r="HH389" t="e">
        <f>Asia!A26+"n/&gt;!3\/"</f>
        <v>#VALUE!</v>
      </c>
      <c r="HI389" t="e">
        <f>Asia!B26+"n/&gt;!3\0"</f>
        <v>#VALUE!</v>
      </c>
      <c r="HJ389" t="e">
        <f>Asia!C26+"n/&gt;!3\1"</f>
        <v>#VALUE!</v>
      </c>
      <c r="HK389" t="e">
        <f>Asia!D26+"n/&gt;!3\2"</f>
        <v>#VALUE!</v>
      </c>
      <c r="HL389" t="e">
        <f>Asia!E26+"n/&gt;!3\3"</f>
        <v>#VALUE!</v>
      </c>
      <c r="HM389" t="e">
        <f>Asia!F26+"n/&gt;!3\4"</f>
        <v>#VALUE!</v>
      </c>
      <c r="HN389" t="e">
        <f>Asia!G26+"n/&gt;!3\5"</f>
        <v>#VALUE!</v>
      </c>
      <c r="HO389" t="e">
        <f>Asia!H26+"n/&gt;!3\6"</f>
        <v>#VALUE!</v>
      </c>
      <c r="HP389" t="e">
        <f>Asia!I26+"n/&gt;!3\7"</f>
        <v>#VALUE!</v>
      </c>
      <c r="HQ389" t="e">
        <f>Asia!A27+"n/&gt;!3\8"</f>
        <v>#VALUE!</v>
      </c>
      <c r="HR389" t="e">
        <f>Asia!B27+"n/&gt;!3\9"</f>
        <v>#VALUE!</v>
      </c>
      <c r="HS389" t="e">
        <f>Asia!C27+"n/&gt;!3\:"</f>
        <v>#VALUE!</v>
      </c>
      <c r="HT389" t="e">
        <f>Asia!D27+"n/&gt;!3\;"</f>
        <v>#VALUE!</v>
      </c>
      <c r="HU389" t="e">
        <f>Asia!E27+"n/&gt;!3\&lt;"</f>
        <v>#VALUE!</v>
      </c>
      <c r="HV389" t="e">
        <f>Asia!F27+"n/&gt;!3\="</f>
        <v>#VALUE!</v>
      </c>
      <c r="HW389" t="e">
        <f>Asia!G27+"n/&gt;!3\&gt;"</f>
        <v>#VALUE!</v>
      </c>
      <c r="HX389" t="e">
        <f>Asia!H27+"n/&gt;!3\?"</f>
        <v>#VALUE!</v>
      </c>
      <c r="HY389" t="e">
        <f>Asia!I27+"n/&gt;!3\@"</f>
        <v>#VALUE!</v>
      </c>
      <c r="HZ389" t="e">
        <f>Asia!A28+"n/&gt;!3\A"</f>
        <v>#VALUE!</v>
      </c>
      <c r="IA389" t="e">
        <f>Asia!B28+"n/&gt;!3\B"</f>
        <v>#VALUE!</v>
      </c>
      <c r="IB389" t="e">
        <f>Asia!C28+"n/&gt;!3\C"</f>
        <v>#VALUE!</v>
      </c>
      <c r="IC389" t="e">
        <f>Asia!D28+"n/&gt;!3\D"</f>
        <v>#VALUE!</v>
      </c>
      <c r="ID389" t="e">
        <f>Asia!E28+"n/&gt;!3\E"</f>
        <v>#VALUE!</v>
      </c>
      <c r="IE389" t="e">
        <f>Asia!F28+"n/&gt;!3\F"</f>
        <v>#VALUE!</v>
      </c>
      <c r="IF389" t="e">
        <f>Asia!G28+"n/&gt;!3\G"</f>
        <v>#VALUE!</v>
      </c>
      <c r="IG389" t="e">
        <f>Asia!H28+"n/&gt;!3\H"</f>
        <v>#VALUE!</v>
      </c>
      <c r="IH389" t="e">
        <f>Asia!I28+"n/&gt;!3\I"</f>
        <v>#VALUE!</v>
      </c>
      <c r="II389" t="e">
        <f>Asia!A29+"n/&gt;!3\J"</f>
        <v>#VALUE!</v>
      </c>
      <c r="IJ389" t="e">
        <f>Asia!B29+"n/&gt;!3\K"</f>
        <v>#VALUE!</v>
      </c>
      <c r="IK389" t="e">
        <f>Asia!C29+"n/&gt;!3\L"</f>
        <v>#VALUE!</v>
      </c>
      <c r="IL389" t="e">
        <f>Asia!D29+"n/&gt;!3\M"</f>
        <v>#VALUE!</v>
      </c>
      <c r="IM389" t="e">
        <f>Asia!E29+"n/&gt;!3\N"</f>
        <v>#VALUE!</v>
      </c>
      <c r="IN389" t="e">
        <f>Asia!F29+"n/&gt;!3\O"</f>
        <v>#VALUE!</v>
      </c>
      <c r="IO389" t="e">
        <f>Asia!G29+"n/&gt;!3\P"</f>
        <v>#VALUE!</v>
      </c>
      <c r="IP389" t="e">
        <f>Asia!H29+"n/&gt;!3\Q"</f>
        <v>#VALUE!</v>
      </c>
      <c r="IQ389" t="e">
        <f>Asia!I29+"n/&gt;!3\R"</f>
        <v>#VALUE!</v>
      </c>
      <c r="IR389" t="e">
        <f>Asia!A30+"n/&gt;!3\S"</f>
        <v>#VALUE!</v>
      </c>
      <c r="IS389" t="e">
        <f>Asia!B30+"n/&gt;!3\T"</f>
        <v>#VALUE!</v>
      </c>
      <c r="IT389" t="e">
        <f>Asia!C30+"n/&gt;!3\U"</f>
        <v>#VALUE!</v>
      </c>
      <c r="IU389" t="e">
        <f>Asia!D30+"n/&gt;!3\V"</f>
        <v>#VALUE!</v>
      </c>
      <c r="IV389" t="e">
        <f>Asia!E30+"n/&gt;!3\W"</f>
        <v>#VALUE!</v>
      </c>
    </row>
    <row r="390" spans="6:256" x14ac:dyDescent="0.35">
      <c r="F390" t="e">
        <f>Asia!F30+"n/&gt;!3\X"</f>
        <v>#VALUE!</v>
      </c>
      <c r="G390" t="e">
        <f>Asia!G30+"n/&gt;!3\Y"</f>
        <v>#VALUE!</v>
      </c>
      <c r="H390" t="e">
        <f>Asia!H30+"n/&gt;!3\Z"</f>
        <v>#VALUE!</v>
      </c>
      <c r="I390" t="e">
        <f>Asia!I30+"n/&gt;!3\["</f>
        <v>#VALUE!</v>
      </c>
      <c r="J390" t="e">
        <f>Asia!A31+"n/&gt;!3\\"</f>
        <v>#VALUE!</v>
      </c>
      <c r="K390" t="e">
        <f>Asia!B31+"n/&gt;!3\]"</f>
        <v>#VALUE!</v>
      </c>
      <c r="L390" t="e">
        <f>Asia!C31+"n/&gt;!3\^"</f>
        <v>#VALUE!</v>
      </c>
      <c r="M390" t="e">
        <f>Asia!D31+"n/&gt;!3\_"</f>
        <v>#VALUE!</v>
      </c>
      <c r="N390" t="e">
        <f>Asia!E31+"n/&gt;!3\`"</f>
        <v>#VALUE!</v>
      </c>
      <c r="O390" t="e">
        <f>Asia!F31+"n/&gt;!3\a"</f>
        <v>#VALUE!</v>
      </c>
      <c r="P390" t="e">
        <f>Asia!G31+"n/&gt;!3\b"</f>
        <v>#VALUE!</v>
      </c>
      <c r="Q390" t="e">
        <f>Asia!H31+"n/&gt;!3\c"</f>
        <v>#VALUE!</v>
      </c>
      <c r="R390" t="e">
        <f>Asia!I31+"n/&gt;!3\d"</f>
        <v>#VALUE!</v>
      </c>
      <c r="S390" t="e">
        <f>Asia!A32+"n/&gt;!3\e"</f>
        <v>#VALUE!</v>
      </c>
      <c r="T390" t="e">
        <f>Asia!B32+"n/&gt;!3\f"</f>
        <v>#VALUE!</v>
      </c>
      <c r="U390" t="e">
        <f>Asia!C32+"n/&gt;!3\g"</f>
        <v>#VALUE!</v>
      </c>
      <c r="V390" t="e">
        <f>Asia!D32+"n/&gt;!3\h"</f>
        <v>#VALUE!</v>
      </c>
      <c r="W390" t="e">
        <f>Asia!E32+"n/&gt;!3\i"</f>
        <v>#VALUE!</v>
      </c>
      <c r="X390" t="e">
        <f>Asia!F32+"n/&gt;!3\j"</f>
        <v>#VALUE!</v>
      </c>
      <c r="Y390" t="e">
        <f>Asia!G32+"n/&gt;!3\k"</f>
        <v>#VALUE!</v>
      </c>
      <c r="Z390" t="e">
        <f>Asia!H32+"n/&gt;!3\l"</f>
        <v>#VALUE!</v>
      </c>
      <c r="AA390" t="e">
        <f>Asia!I32+"n/&gt;!3\m"</f>
        <v>#VALUE!</v>
      </c>
      <c r="AB390" t="e">
        <f>Asia!A33+"n/&gt;!3\n"</f>
        <v>#VALUE!</v>
      </c>
      <c r="AC390" t="e">
        <f>Asia!B33+"n/&gt;!3\o"</f>
        <v>#VALUE!</v>
      </c>
      <c r="AD390" t="e">
        <f>Asia!C33+"n/&gt;!3\p"</f>
        <v>#VALUE!</v>
      </c>
      <c r="AE390" t="e">
        <f>Asia!D33+"n/&gt;!3\q"</f>
        <v>#VALUE!</v>
      </c>
      <c r="AF390" t="e">
        <f>Asia!E33+"n/&gt;!3\r"</f>
        <v>#VALUE!</v>
      </c>
      <c r="AG390" t="e">
        <f>Asia!F33+"n/&gt;!3\s"</f>
        <v>#VALUE!</v>
      </c>
      <c r="AH390" t="e">
        <f>Asia!G33+"n/&gt;!3\t"</f>
        <v>#VALUE!</v>
      </c>
      <c r="AI390" t="e">
        <f>Asia!H33+"n/&gt;!3\u"</f>
        <v>#VALUE!</v>
      </c>
      <c r="AJ390" t="e">
        <f>Asia!I33+"n/&gt;!3\v"</f>
        <v>#VALUE!</v>
      </c>
      <c r="AK390" t="e">
        <f>Asia!A34+"n/&gt;!3\w"</f>
        <v>#VALUE!</v>
      </c>
      <c r="AL390" t="e">
        <f>Asia!B34+"n/&gt;!3\x"</f>
        <v>#VALUE!</v>
      </c>
      <c r="AM390" t="e">
        <f>Asia!C34+"n/&gt;!3\y"</f>
        <v>#VALUE!</v>
      </c>
      <c r="AN390" t="e">
        <f>Asia!D34+"n/&gt;!3\z"</f>
        <v>#VALUE!</v>
      </c>
      <c r="AO390" t="e">
        <f>Asia!E34+"n/&gt;!3\{"</f>
        <v>#VALUE!</v>
      </c>
      <c r="AP390" t="e">
        <f>Asia!F34+"n/&gt;!3\|"</f>
        <v>#VALUE!</v>
      </c>
      <c r="AQ390" t="e">
        <f>Asia!G34+"n/&gt;!3\}"</f>
        <v>#VALUE!</v>
      </c>
      <c r="AR390" t="e">
        <f>Asia!H34+"n/&gt;!3\~"</f>
        <v>#VALUE!</v>
      </c>
      <c r="AS390" t="e">
        <f>Asia!I34+"n/&gt;!3]#"</f>
        <v>#VALUE!</v>
      </c>
      <c r="AT390" t="e">
        <f>Asia!A35+"n/&gt;!3]$"</f>
        <v>#VALUE!</v>
      </c>
      <c r="AU390" t="e">
        <f>Asia!B35+"n/&gt;!3]%"</f>
        <v>#VALUE!</v>
      </c>
      <c r="AV390" t="e">
        <f>Asia!C35+"n/&gt;!3]&amp;"</f>
        <v>#VALUE!</v>
      </c>
      <c r="AW390" t="e">
        <f>Asia!D35+"n/&gt;!3]'"</f>
        <v>#VALUE!</v>
      </c>
      <c r="AX390" t="e">
        <f>Asia!E35+"n/&gt;!3]("</f>
        <v>#VALUE!</v>
      </c>
      <c r="AY390" t="e">
        <f>Asia!F35+"n/&gt;!3])"</f>
        <v>#VALUE!</v>
      </c>
      <c r="AZ390" t="e">
        <f>Asia!G35+"n/&gt;!3]."</f>
        <v>#VALUE!</v>
      </c>
      <c r="BA390" t="e">
        <f>Asia!H35+"n/&gt;!3]/"</f>
        <v>#VALUE!</v>
      </c>
      <c r="BB390" t="e">
        <f>Asia!I35+"n/&gt;!3]0"</f>
        <v>#VALUE!</v>
      </c>
      <c r="BC390" t="e">
        <f>Asia!A36+"n/&gt;!3]1"</f>
        <v>#VALUE!</v>
      </c>
      <c r="BD390" t="e">
        <f>Asia!B36+"n/&gt;!3]2"</f>
        <v>#VALUE!</v>
      </c>
      <c r="BE390" t="e">
        <f>Asia!C36+"n/&gt;!3]3"</f>
        <v>#VALUE!</v>
      </c>
      <c r="BF390" t="e">
        <f>Asia!D36+"n/&gt;!3]4"</f>
        <v>#VALUE!</v>
      </c>
      <c r="BG390" t="e">
        <f>Asia!E36+"n/&gt;!3]5"</f>
        <v>#VALUE!</v>
      </c>
      <c r="BH390" t="e">
        <f>Asia!F36+"n/&gt;!3]6"</f>
        <v>#VALUE!</v>
      </c>
      <c r="BI390" t="e">
        <f>Asia!G36+"n/&gt;!3]7"</f>
        <v>#VALUE!</v>
      </c>
      <c r="BJ390" t="e">
        <f>Asia!H36+"n/&gt;!3]8"</f>
        <v>#VALUE!</v>
      </c>
      <c r="BK390" t="e">
        <f>Asia!I36+"n/&gt;!3]9"</f>
        <v>#VALUE!</v>
      </c>
      <c r="BL390" t="e">
        <f>Asia!A37+"n/&gt;!3]:"</f>
        <v>#VALUE!</v>
      </c>
      <c r="BM390" t="e">
        <f>Asia!B37+"n/&gt;!3];"</f>
        <v>#VALUE!</v>
      </c>
      <c r="BN390" t="e">
        <f>Asia!C37+"n/&gt;!3]&lt;"</f>
        <v>#VALUE!</v>
      </c>
      <c r="BO390" t="e">
        <f>Asia!D37+"n/&gt;!3]="</f>
        <v>#VALUE!</v>
      </c>
      <c r="BP390" t="e">
        <f>Asia!E37+"n/&gt;!3]&gt;"</f>
        <v>#VALUE!</v>
      </c>
      <c r="BQ390" t="e">
        <f>Asia!F37+"n/&gt;!3]?"</f>
        <v>#VALUE!</v>
      </c>
      <c r="BR390" t="e">
        <f>Asia!G37+"n/&gt;!3]@"</f>
        <v>#VALUE!</v>
      </c>
      <c r="BS390" t="e">
        <f>Asia!H37+"n/&gt;!3]A"</f>
        <v>#VALUE!</v>
      </c>
      <c r="BT390" t="e">
        <f>Asia!I37+"n/&gt;!3]B"</f>
        <v>#VALUE!</v>
      </c>
      <c r="BU390" t="e">
        <f>Asia!A38+"n/&gt;!3]C"</f>
        <v>#VALUE!</v>
      </c>
      <c r="BV390" t="e">
        <f>Asia!B38+"n/&gt;!3]D"</f>
        <v>#VALUE!</v>
      </c>
      <c r="BW390" t="e">
        <f>Asia!C38+"n/&gt;!3]E"</f>
        <v>#VALUE!</v>
      </c>
      <c r="BX390" t="e">
        <f>Asia!D38+"n/&gt;!3]F"</f>
        <v>#VALUE!</v>
      </c>
      <c r="BY390" t="e">
        <f>Asia!E38+"n/&gt;!3]G"</f>
        <v>#VALUE!</v>
      </c>
      <c r="BZ390" t="e">
        <f>Asia!F38+"n/&gt;!3]H"</f>
        <v>#VALUE!</v>
      </c>
      <c r="CA390" t="e">
        <f>Asia!G38+"n/&gt;!3]I"</f>
        <v>#VALUE!</v>
      </c>
      <c r="CB390" t="e">
        <f>Asia!H38+"n/&gt;!3]J"</f>
        <v>#VALUE!</v>
      </c>
      <c r="CC390" t="e">
        <f>Asia!I38+"n/&gt;!3]K"</f>
        <v>#VALUE!</v>
      </c>
      <c r="CD390" t="e">
        <f>Asia!A39+"n/&gt;!3]L"</f>
        <v>#VALUE!</v>
      </c>
      <c r="CE390" t="e">
        <f>Asia!B39+"n/&gt;!3]M"</f>
        <v>#VALUE!</v>
      </c>
      <c r="CF390" t="e">
        <f>Asia!C39+"n/&gt;!3]N"</f>
        <v>#VALUE!</v>
      </c>
      <c r="CG390" t="e">
        <f>Asia!D39+"n/&gt;!3]O"</f>
        <v>#VALUE!</v>
      </c>
      <c r="CH390" t="e">
        <f>Asia!E39+"n/&gt;!3]P"</f>
        <v>#VALUE!</v>
      </c>
      <c r="CI390" t="e">
        <f>Asia!F39+"n/&gt;!3]Q"</f>
        <v>#VALUE!</v>
      </c>
      <c r="CJ390" t="e">
        <f>Asia!G39+"n/&gt;!3]R"</f>
        <v>#VALUE!</v>
      </c>
      <c r="CK390" t="e">
        <f>Asia!H39+"n/&gt;!3]S"</f>
        <v>#VALUE!</v>
      </c>
      <c r="CL390" t="e">
        <f>Asia!I39+"n/&gt;!3]T"</f>
        <v>#VALUE!</v>
      </c>
      <c r="CM390" t="e">
        <f>Asia!A40+"n/&gt;!3]U"</f>
        <v>#VALUE!</v>
      </c>
      <c r="CN390" t="e">
        <f>Asia!B40+"n/&gt;!3]V"</f>
        <v>#VALUE!</v>
      </c>
      <c r="CO390" t="e">
        <f>Asia!C40+"n/&gt;!3]W"</f>
        <v>#VALUE!</v>
      </c>
      <c r="CP390" t="e">
        <f>Asia!D40+"n/&gt;!3]X"</f>
        <v>#VALUE!</v>
      </c>
      <c r="CQ390" t="e">
        <f>Asia!E40+"n/&gt;!3]Y"</f>
        <v>#VALUE!</v>
      </c>
      <c r="CR390" t="e">
        <f>Asia!F40+"n/&gt;!3]Z"</f>
        <v>#VALUE!</v>
      </c>
      <c r="CS390" t="e">
        <f>Asia!G40+"n/&gt;!3]["</f>
        <v>#VALUE!</v>
      </c>
      <c r="CT390" t="e">
        <f>Asia!H40+"n/&gt;!3]\"</f>
        <v>#VALUE!</v>
      </c>
      <c r="CU390" t="e">
        <f>Asia!I40+"n/&gt;!3]]"</f>
        <v>#VALUE!</v>
      </c>
      <c r="CV390" t="e">
        <f>Asia!A41+"n/&gt;!3]^"</f>
        <v>#VALUE!</v>
      </c>
      <c r="CW390" t="e">
        <f>Asia!B41+"n/&gt;!3]_"</f>
        <v>#VALUE!</v>
      </c>
      <c r="CX390" t="e">
        <f>Asia!C41+"n/&gt;!3]`"</f>
        <v>#VALUE!</v>
      </c>
      <c r="CY390" t="e">
        <f>Asia!D41+"n/&gt;!3]a"</f>
        <v>#VALUE!</v>
      </c>
      <c r="CZ390" t="e">
        <f>Asia!E41+"n/&gt;!3]b"</f>
        <v>#VALUE!</v>
      </c>
      <c r="DA390" t="e">
        <f>Asia!F41+"n/&gt;!3]c"</f>
        <v>#VALUE!</v>
      </c>
      <c r="DB390" t="e">
        <f>Asia!G41+"n/&gt;!3]d"</f>
        <v>#VALUE!</v>
      </c>
      <c r="DC390" t="e">
        <f>Asia!H41+"n/&gt;!3]e"</f>
        <v>#VALUE!</v>
      </c>
      <c r="DD390" t="e">
        <f>Asia!I41+"n/&gt;!3]f"</f>
        <v>#VALUE!</v>
      </c>
      <c r="DE390" t="e">
        <f>Asia!A42+"n/&gt;!3]g"</f>
        <v>#VALUE!</v>
      </c>
      <c r="DF390" t="e">
        <f>Asia!B42+"n/&gt;!3]h"</f>
        <v>#VALUE!</v>
      </c>
      <c r="DG390" t="e">
        <f>Asia!C42+"n/&gt;!3]i"</f>
        <v>#VALUE!</v>
      </c>
      <c r="DH390" t="e">
        <f>Asia!D42+"n/&gt;!3]j"</f>
        <v>#VALUE!</v>
      </c>
      <c r="DI390" t="e">
        <f>Asia!E42+"n/&gt;!3]k"</f>
        <v>#VALUE!</v>
      </c>
      <c r="DJ390" t="e">
        <f>Asia!F42+"n/&gt;!3]l"</f>
        <v>#VALUE!</v>
      </c>
      <c r="DK390" t="e">
        <f>Asia!G42+"n/&gt;!3]m"</f>
        <v>#VALUE!</v>
      </c>
      <c r="DL390" t="e">
        <f>Asia!H42+"n/&gt;!3]n"</f>
        <v>#VALUE!</v>
      </c>
      <c r="DM390" t="e">
        <f>Asia!I42+"n/&gt;!3]o"</f>
        <v>#VALUE!</v>
      </c>
      <c r="DN390" t="e">
        <f>Asia!A43+"n/&gt;!3]p"</f>
        <v>#VALUE!</v>
      </c>
      <c r="DO390" t="e">
        <f>Asia!B43+"n/&gt;!3]q"</f>
        <v>#VALUE!</v>
      </c>
      <c r="DP390" t="e">
        <f>Asia!C43+"n/&gt;!3]r"</f>
        <v>#VALUE!</v>
      </c>
      <c r="DQ390" t="e">
        <f>Asia!D43+"n/&gt;!3]s"</f>
        <v>#VALUE!</v>
      </c>
      <c r="DR390" t="e">
        <f>Asia!E43+"n/&gt;!3]t"</f>
        <v>#VALUE!</v>
      </c>
      <c r="DS390" t="e">
        <f>Asia!F43+"n/&gt;!3]u"</f>
        <v>#VALUE!</v>
      </c>
      <c r="DT390" t="e">
        <f>Asia!G43+"n/&gt;!3]v"</f>
        <v>#VALUE!</v>
      </c>
      <c r="DU390" t="e">
        <f>Asia!H43+"n/&gt;!3]w"</f>
        <v>#VALUE!</v>
      </c>
      <c r="DV390" t="e">
        <f>Asia!I43+"n/&gt;!3]x"</f>
        <v>#VALUE!</v>
      </c>
      <c r="DW390" t="e">
        <f>Asia!A44+"n/&gt;!3]y"</f>
        <v>#VALUE!</v>
      </c>
      <c r="DX390" t="e">
        <f>Asia!B44+"n/&gt;!3]z"</f>
        <v>#VALUE!</v>
      </c>
      <c r="DY390" t="e">
        <f>Asia!C44+"n/&gt;!3]{"</f>
        <v>#VALUE!</v>
      </c>
      <c r="DZ390" t="e">
        <f>Asia!D44+"n/&gt;!3]|"</f>
        <v>#VALUE!</v>
      </c>
      <c r="EA390" t="e">
        <f>Asia!E44+"n/&gt;!3]}"</f>
        <v>#VALUE!</v>
      </c>
      <c r="EB390" t="e">
        <f>Asia!F44+"n/&gt;!3]~"</f>
        <v>#VALUE!</v>
      </c>
      <c r="EC390" t="e">
        <f>Asia!G44+"n/&gt;!3^#"</f>
        <v>#VALUE!</v>
      </c>
      <c r="ED390" t="e">
        <f>Asia!H44+"n/&gt;!3^$"</f>
        <v>#VALUE!</v>
      </c>
      <c r="EE390" t="e">
        <f>Asia!I44+"n/&gt;!3^%"</f>
        <v>#VALUE!</v>
      </c>
      <c r="EF390" t="e">
        <f>Asia!A45+"n/&gt;!3^&amp;"</f>
        <v>#VALUE!</v>
      </c>
      <c r="EG390" t="e">
        <f>Asia!B45+"n/&gt;!3^'"</f>
        <v>#VALUE!</v>
      </c>
      <c r="EH390" t="e">
        <f>Asia!C45+"n/&gt;!3^("</f>
        <v>#VALUE!</v>
      </c>
      <c r="EI390" t="e">
        <f>Asia!D45+"n/&gt;!3^)"</f>
        <v>#VALUE!</v>
      </c>
      <c r="EJ390" t="e">
        <f>Asia!E45+"n/&gt;!3^."</f>
        <v>#VALUE!</v>
      </c>
      <c r="EK390" t="e">
        <f>Asia!F45+"n/&gt;!3^/"</f>
        <v>#VALUE!</v>
      </c>
      <c r="EL390" t="e">
        <f>Asia!G45+"n/&gt;!3^0"</f>
        <v>#VALUE!</v>
      </c>
      <c r="EM390" t="e">
        <f>Asia!H45+"n/&gt;!3^1"</f>
        <v>#VALUE!</v>
      </c>
      <c r="EN390" t="e">
        <f>Asia!I45+"n/&gt;!3^2"</f>
        <v>#VALUE!</v>
      </c>
      <c r="EO390" t="e">
        <f>Asia!A46+"n/&gt;!3^3"</f>
        <v>#VALUE!</v>
      </c>
      <c r="EP390" t="e">
        <f>Asia!B46+"n/&gt;!3^4"</f>
        <v>#VALUE!</v>
      </c>
      <c r="EQ390" t="e">
        <f>Asia!C46+"n/&gt;!3^5"</f>
        <v>#VALUE!</v>
      </c>
      <c r="ER390" t="e">
        <f>Asia!D46+"n/&gt;!3^6"</f>
        <v>#VALUE!</v>
      </c>
      <c r="ES390" t="e">
        <f>Asia!E46+"n/&gt;!3^7"</f>
        <v>#VALUE!</v>
      </c>
      <c r="ET390" t="e">
        <f>Asia!F46+"n/&gt;!3^8"</f>
        <v>#VALUE!</v>
      </c>
      <c r="EU390" t="e">
        <f>Asia!G46+"n/&gt;!3^9"</f>
        <v>#VALUE!</v>
      </c>
      <c r="EV390" t="e">
        <f>Asia!H46+"n/&gt;!3^:"</f>
        <v>#VALUE!</v>
      </c>
      <c r="EW390" t="e">
        <f>Asia!I46+"n/&gt;!3^;"</f>
        <v>#VALUE!</v>
      </c>
      <c r="EX390" t="e">
        <f>Asia!A47+"n/&gt;!3^&lt;"</f>
        <v>#VALUE!</v>
      </c>
      <c r="EY390" t="e">
        <f>Asia!B47+"n/&gt;!3^="</f>
        <v>#VALUE!</v>
      </c>
      <c r="EZ390" t="e">
        <f>Asia!C47+"n/&gt;!3^&gt;"</f>
        <v>#VALUE!</v>
      </c>
      <c r="FA390" t="e">
        <f>Asia!D47+"n/&gt;!3^?"</f>
        <v>#VALUE!</v>
      </c>
      <c r="FB390" t="e">
        <f>Asia!E47+"n/&gt;!3^@"</f>
        <v>#VALUE!</v>
      </c>
      <c r="FC390" t="e">
        <f>Asia!F47+"n/&gt;!3^A"</f>
        <v>#VALUE!</v>
      </c>
      <c r="FD390" t="e">
        <f>Asia!G47+"n/&gt;!3^B"</f>
        <v>#VALUE!</v>
      </c>
      <c r="FE390" t="e">
        <f>Asia!H47+"n/&gt;!3^C"</f>
        <v>#VALUE!</v>
      </c>
      <c r="FF390" t="e">
        <f>Asia!I47+"n/&gt;!3^D"</f>
        <v>#VALUE!</v>
      </c>
      <c r="FG390" t="e">
        <f>Asia!A48+"n/&gt;!3^E"</f>
        <v>#VALUE!</v>
      </c>
      <c r="FH390" t="e">
        <f>Asia!B48+"n/&gt;!3^F"</f>
        <v>#VALUE!</v>
      </c>
      <c r="FI390" t="e">
        <f>Asia!C48+"n/&gt;!3^G"</f>
        <v>#VALUE!</v>
      </c>
      <c r="FJ390" t="e">
        <f>Asia!D48+"n/&gt;!3^H"</f>
        <v>#VALUE!</v>
      </c>
      <c r="FK390" t="e">
        <f>Asia!E48+"n/&gt;!3^I"</f>
        <v>#VALUE!</v>
      </c>
      <c r="FL390" t="e">
        <f>Asia!F48+"n/&gt;!3^J"</f>
        <v>#VALUE!</v>
      </c>
      <c r="FM390" t="e">
        <f>Asia!G48+"n/&gt;!3^K"</f>
        <v>#VALUE!</v>
      </c>
      <c r="FN390" t="e">
        <f>Asia!H48+"n/&gt;!3^L"</f>
        <v>#VALUE!</v>
      </c>
      <c r="FO390" t="e">
        <f>Asia!I48+"n/&gt;!3^M"</f>
        <v>#VALUE!</v>
      </c>
      <c r="FP390" t="e">
        <f>Asia!A49+"n/&gt;!3^N"</f>
        <v>#VALUE!</v>
      </c>
      <c r="FQ390" t="e">
        <f>Asia!B49+"n/&gt;!3^O"</f>
        <v>#VALUE!</v>
      </c>
      <c r="FR390" t="e">
        <f>Asia!C49+"n/&gt;!3^P"</f>
        <v>#VALUE!</v>
      </c>
      <c r="FS390" t="e">
        <f>Asia!D49+"n/&gt;!3^Q"</f>
        <v>#VALUE!</v>
      </c>
      <c r="FT390" t="e">
        <f>Asia!E49+"n/&gt;!3^R"</f>
        <v>#VALUE!</v>
      </c>
      <c r="FU390" t="e">
        <f>Asia!F49+"n/&gt;!3^S"</f>
        <v>#VALUE!</v>
      </c>
      <c r="FV390" t="e">
        <f>Asia!G49+"n/&gt;!3^T"</f>
        <v>#VALUE!</v>
      </c>
      <c r="FW390" t="e">
        <f>Asia!H49+"n/&gt;!3^U"</f>
        <v>#VALUE!</v>
      </c>
      <c r="FX390" t="e">
        <f>Asia!I49+"n/&gt;!3^V"</f>
        <v>#VALUE!</v>
      </c>
      <c r="FY390" t="e">
        <f>Asia!A50+"n/&gt;!3^W"</f>
        <v>#VALUE!</v>
      </c>
      <c r="FZ390" t="e">
        <f>Asia!B50+"n/&gt;!3^X"</f>
        <v>#VALUE!</v>
      </c>
      <c r="GA390" t="e">
        <f>Asia!C50+"n/&gt;!3^Y"</f>
        <v>#VALUE!</v>
      </c>
      <c r="GB390" t="e">
        <f>Asia!D50+"n/&gt;!3^Z"</f>
        <v>#VALUE!</v>
      </c>
      <c r="GC390" t="e">
        <f>Asia!E50+"n/&gt;!3^["</f>
        <v>#VALUE!</v>
      </c>
      <c r="GD390" t="e">
        <f>Asia!F50+"n/&gt;!3^\"</f>
        <v>#VALUE!</v>
      </c>
      <c r="GE390" t="e">
        <f>Asia!G50+"n/&gt;!3^]"</f>
        <v>#VALUE!</v>
      </c>
      <c r="GF390" t="e">
        <f>Asia!H50+"n/&gt;!3^^"</f>
        <v>#VALUE!</v>
      </c>
      <c r="GG390" t="e">
        <f>Asia!I50+"n/&gt;!3^_"</f>
        <v>#VALUE!</v>
      </c>
      <c r="GH390" t="e">
        <f>Asia!A51+"n/&gt;!3^`"</f>
        <v>#VALUE!</v>
      </c>
      <c r="GI390" t="e">
        <f>Asia!B51+"n/&gt;!3^a"</f>
        <v>#VALUE!</v>
      </c>
      <c r="GJ390" t="e">
        <f>Asia!C51+"n/&gt;!3^b"</f>
        <v>#VALUE!</v>
      </c>
      <c r="GK390" t="e">
        <f>Asia!D51+"n/&gt;!3^c"</f>
        <v>#VALUE!</v>
      </c>
      <c r="GL390" t="e">
        <f>Asia!E51+"n/&gt;!3^d"</f>
        <v>#VALUE!</v>
      </c>
      <c r="GM390" t="e">
        <f>Asia!F51+"n/&gt;!3^e"</f>
        <v>#VALUE!</v>
      </c>
      <c r="GN390" t="e">
        <f>Asia!G51+"n/&gt;!3^f"</f>
        <v>#VALUE!</v>
      </c>
      <c r="GO390" t="e">
        <f>Asia!H51+"n/&gt;!3^g"</f>
        <v>#VALUE!</v>
      </c>
      <c r="GP390" t="e">
        <f>Asia!I51+"n/&gt;!3^h"</f>
        <v>#VALUE!</v>
      </c>
      <c r="GQ390" t="e">
        <f>Asia!A52+"n/&gt;!3^i"</f>
        <v>#VALUE!</v>
      </c>
      <c r="GR390" t="e">
        <f>Asia!B52+"n/&gt;!3^j"</f>
        <v>#VALUE!</v>
      </c>
      <c r="GS390" t="e">
        <f>Asia!C52+"n/&gt;!3^k"</f>
        <v>#VALUE!</v>
      </c>
      <c r="GT390" t="e">
        <f>Asia!D52+"n/&gt;!3^l"</f>
        <v>#VALUE!</v>
      </c>
      <c r="GU390" t="e">
        <f>Asia!E52+"n/&gt;!3^m"</f>
        <v>#VALUE!</v>
      </c>
      <c r="GV390" t="e">
        <f>Asia!F52+"n/&gt;!3^n"</f>
        <v>#VALUE!</v>
      </c>
      <c r="GW390" t="e">
        <f>Asia!G52+"n/&gt;!3^o"</f>
        <v>#VALUE!</v>
      </c>
      <c r="GX390" t="e">
        <f>Asia!H52+"n/&gt;!3^p"</f>
        <v>#VALUE!</v>
      </c>
      <c r="GY390" t="e">
        <f>Asia!I52+"n/&gt;!3^q"</f>
        <v>#VALUE!</v>
      </c>
      <c r="GZ390" t="e">
        <f>Asia!A53+"n/&gt;!3^r"</f>
        <v>#VALUE!</v>
      </c>
      <c r="HA390" t="e">
        <f>Asia!B53+"n/&gt;!3^s"</f>
        <v>#VALUE!</v>
      </c>
      <c r="HB390" t="e">
        <f>Asia!C53+"n/&gt;!3^t"</f>
        <v>#VALUE!</v>
      </c>
      <c r="HC390" t="e">
        <f>Asia!D53+"n/&gt;!3^u"</f>
        <v>#VALUE!</v>
      </c>
      <c r="HD390" t="e">
        <f>Asia!E53+"n/&gt;!3^v"</f>
        <v>#VALUE!</v>
      </c>
      <c r="HE390" t="e">
        <f>Asia!F53+"n/&gt;!3^w"</f>
        <v>#VALUE!</v>
      </c>
      <c r="HF390" t="e">
        <f>Asia!G53+"n/&gt;!3^x"</f>
        <v>#VALUE!</v>
      </c>
      <c r="HG390" t="e">
        <f>Asia!H53+"n/&gt;!3^y"</f>
        <v>#VALUE!</v>
      </c>
      <c r="HH390" t="e">
        <f>Asia!I53+"n/&gt;!3^z"</f>
        <v>#VALUE!</v>
      </c>
      <c r="HI390" t="e">
        <f>Asia!A54+"n/&gt;!3^{"</f>
        <v>#VALUE!</v>
      </c>
      <c r="HJ390" t="e">
        <f>Asia!B54+"n/&gt;!3^|"</f>
        <v>#VALUE!</v>
      </c>
      <c r="HK390" t="e">
        <f>Asia!C54+"n/&gt;!3^}"</f>
        <v>#VALUE!</v>
      </c>
      <c r="HL390" t="e">
        <f>Asia!D54+"n/&gt;!3^~"</f>
        <v>#VALUE!</v>
      </c>
      <c r="HM390" t="e">
        <f>Asia!E54+"n/&gt;!3_#"</f>
        <v>#VALUE!</v>
      </c>
      <c r="HN390" t="e">
        <f>Asia!F54+"n/&gt;!3_$"</f>
        <v>#VALUE!</v>
      </c>
      <c r="HO390" t="e">
        <f>Asia!G54+"n/&gt;!3_%"</f>
        <v>#VALUE!</v>
      </c>
      <c r="HP390" t="e">
        <f>Asia!H54+"n/&gt;!3_&amp;"</f>
        <v>#VALUE!</v>
      </c>
      <c r="HQ390" t="e">
        <f>Asia!I54+"n/&gt;!3_'"</f>
        <v>#VALUE!</v>
      </c>
      <c r="HR390" t="e">
        <f>Asia!A55+"n/&gt;!3_("</f>
        <v>#VALUE!</v>
      </c>
      <c r="HS390" t="e">
        <f>Asia!B55+"n/&gt;!3_)"</f>
        <v>#VALUE!</v>
      </c>
      <c r="HT390" t="e">
        <f>Asia!C55+"n/&gt;!3_."</f>
        <v>#VALUE!</v>
      </c>
      <c r="HU390" t="e">
        <f>Asia!D55+"n/&gt;!3_/"</f>
        <v>#VALUE!</v>
      </c>
      <c r="HV390" t="e">
        <f>Asia!E55+"n/&gt;!3_0"</f>
        <v>#VALUE!</v>
      </c>
      <c r="HW390" t="e">
        <f>Asia!F55+"n/&gt;!3_1"</f>
        <v>#VALUE!</v>
      </c>
      <c r="HX390" t="e">
        <f>Asia!G55+"n/&gt;!3_2"</f>
        <v>#VALUE!</v>
      </c>
      <c r="HY390" t="e">
        <f>Asia!H55+"n/&gt;!3_3"</f>
        <v>#VALUE!</v>
      </c>
      <c r="HZ390" t="e">
        <f>Asia!I55+"n/&gt;!3_4"</f>
        <v>#VALUE!</v>
      </c>
      <c r="IA390" t="e">
        <f>Asia!A56+"n/&gt;!3_5"</f>
        <v>#VALUE!</v>
      </c>
      <c r="IB390" t="e">
        <f>Asia!B56+"n/&gt;!3_6"</f>
        <v>#VALUE!</v>
      </c>
      <c r="IC390" t="e">
        <f>Asia!C56+"n/&gt;!3_7"</f>
        <v>#VALUE!</v>
      </c>
      <c r="ID390" t="e">
        <f>Asia!D56+"n/&gt;!3_8"</f>
        <v>#VALUE!</v>
      </c>
      <c r="IE390" t="e">
        <f>Asia!E56+"n/&gt;!3_9"</f>
        <v>#VALUE!</v>
      </c>
      <c r="IF390" t="e">
        <f>Asia!F56+"n/&gt;!3_:"</f>
        <v>#VALUE!</v>
      </c>
      <c r="IG390" t="e">
        <f>Asia!G56+"n/&gt;!3_;"</f>
        <v>#VALUE!</v>
      </c>
      <c r="IH390" t="e">
        <f>Asia!H56+"n/&gt;!3_&lt;"</f>
        <v>#VALUE!</v>
      </c>
      <c r="II390" t="e">
        <f>Asia!I56+"n/&gt;!3_="</f>
        <v>#VALUE!</v>
      </c>
      <c r="IJ390" t="e">
        <f>Asia!A57+"n/&gt;!3_&gt;"</f>
        <v>#VALUE!</v>
      </c>
      <c r="IK390" t="e">
        <f>Asia!B57+"n/&gt;!3_?"</f>
        <v>#VALUE!</v>
      </c>
      <c r="IL390" t="e">
        <f>Asia!C57+"n/&gt;!3_@"</f>
        <v>#VALUE!</v>
      </c>
      <c r="IM390" t="e">
        <f>Asia!D57+"n/&gt;!3_A"</f>
        <v>#VALUE!</v>
      </c>
      <c r="IN390" t="e">
        <f>Asia!E57+"n/&gt;!3_B"</f>
        <v>#VALUE!</v>
      </c>
      <c r="IO390" t="e">
        <f>Asia!F57+"n/&gt;!3_C"</f>
        <v>#VALUE!</v>
      </c>
      <c r="IP390" t="e">
        <f>Asia!G57+"n/&gt;!3_D"</f>
        <v>#VALUE!</v>
      </c>
      <c r="IQ390" t="e">
        <f>Asia!H57+"n/&gt;!3_E"</f>
        <v>#VALUE!</v>
      </c>
      <c r="IR390" t="e">
        <f>Asia!I57+"n/&gt;!3_F"</f>
        <v>#VALUE!</v>
      </c>
      <c r="IS390" t="e">
        <f>Asia!A58+"n/&gt;!3_G"</f>
        <v>#VALUE!</v>
      </c>
      <c r="IT390" t="e">
        <f>Asia!B58+"n/&gt;!3_H"</f>
        <v>#VALUE!</v>
      </c>
      <c r="IU390" t="e">
        <f>Asia!C58+"n/&gt;!3_I"</f>
        <v>#VALUE!</v>
      </c>
      <c r="IV390" t="e">
        <f>Asia!D58+"n/&gt;!3_J"</f>
        <v>#VALUE!</v>
      </c>
    </row>
    <row r="391" spans="6:256" x14ac:dyDescent="0.35">
      <c r="F391" t="e">
        <f>Asia!E58+"n/&gt;!3_K"</f>
        <v>#VALUE!</v>
      </c>
      <c r="G391" t="e">
        <f>Asia!F58+"n/&gt;!3_L"</f>
        <v>#VALUE!</v>
      </c>
      <c r="H391" t="e">
        <f>Asia!G58+"n/&gt;!3_M"</f>
        <v>#VALUE!</v>
      </c>
      <c r="I391" t="e">
        <f>Asia!H58+"n/&gt;!3_N"</f>
        <v>#VALUE!</v>
      </c>
      <c r="J391" t="e">
        <f>Asia!I58+"n/&gt;!3_O"</f>
        <v>#VALUE!</v>
      </c>
      <c r="K391" t="e">
        <f>Asia!A59+"n/&gt;!3_P"</f>
        <v>#VALUE!</v>
      </c>
      <c r="L391" t="e">
        <f>Asia!B59+"n/&gt;!3_Q"</f>
        <v>#VALUE!</v>
      </c>
      <c r="M391" t="e">
        <f>Asia!C59+"n/&gt;!3_R"</f>
        <v>#VALUE!</v>
      </c>
      <c r="N391" t="e">
        <f>Asia!D59+"n/&gt;!3_S"</f>
        <v>#VALUE!</v>
      </c>
      <c r="O391" t="e">
        <f>Asia!E59+"n/&gt;!3_T"</f>
        <v>#VALUE!</v>
      </c>
      <c r="P391" t="e">
        <f>Asia!F59+"n/&gt;!3_U"</f>
        <v>#VALUE!</v>
      </c>
      <c r="Q391" t="e">
        <f>Asia!G59+"n/&gt;!3_V"</f>
        <v>#VALUE!</v>
      </c>
      <c r="R391" t="e">
        <f>Asia!H59+"n/&gt;!3_W"</f>
        <v>#VALUE!</v>
      </c>
      <c r="S391" t="e">
        <f>Asia!I59+"n/&gt;!3_X"</f>
        <v>#VALUE!</v>
      </c>
      <c r="T391" t="e">
        <f>Asia!A60+"n/&gt;!3_Y"</f>
        <v>#VALUE!</v>
      </c>
      <c r="U391" t="e">
        <f>Asia!B60+"n/&gt;!3_Z"</f>
        <v>#VALUE!</v>
      </c>
      <c r="V391" t="e">
        <f>Asia!C60+"n/&gt;!3_["</f>
        <v>#VALUE!</v>
      </c>
      <c r="W391" t="e">
        <f>Asia!D60+"n/&gt;!3_\"</f>
        <v>#VALUE!</v>
      </c>
      <c r="X391" t="e">
        <f>Asia!E60+"n/&gt;!3_]"</f>
        <v>#VALUE!</v>
      </c>
      <c r="Y391" t="e">
        <f>Asia!F60+"n/&gt;!3_^"</f>
        <v>#VALUE!</v>
      </c>
      <c r="Z391" t="e">
        <f>Asia!G60+"n/&gt;!3__"</f>
        <v>#VALUE!</v>
      </c>
      <c r="AA391" t="e">
        <f>Asia!H60+"n/&gt;!3_`"</f>
        <v>#VALUE!</v>
      </c>
      <c r="AB391" t="e">
        <f>Asia!I60+"n/&gt;!3_a"</f>
        <v>#VALUE!</v>
      </c>
      <c r="AC391" t="e">
        <f>Asia!A61+"n/&gt;!3_b"</f>
        <v>#VALUE!</v>
      </c>
      <c r="AD391" t="e">
        <f>Asia!B61+"n/&gt;!3_c"</f>
        <v>#VALUE!</v>
      </c>
      <c r="AE391" t="e">
        <f>Asia!C61+"n/&gt;!3_d"</f>
        <v>#VALUE!</v>
      </c>
      <c r="AF391" t="e">
        <f>Asia!D61+"n/&gt;!3_e"</f>
        <v>#VALUE!</v>
      </c>
      <c r="AG391" t="e">
        <f>Asia!E61+"n/&gt;!3_f"</f>
        <v>#VALUE!</v>
      </c>
      <c r="AH391" t="e">
        <f>Asia!F61+"n/&gt;!3_g"</f>
        <v>#VALUE!</v>
      </c>
      <c r="AI391" t="e">
        <f>Asia!G61+"n/&gt;!3_h"</f>
        <v>#VALUE!</v>
      </c>
      <c r="AJ391" t="e">
        <f>Asia!H61+"n/&gt;!3_i"</f>
        <v>#VALUE!</v>
      </c>
      <c r="AK391" t="e">
        <f>Asia!I61+"n/&gt;!3_j"</f>
        <v>#VALUE!</v>
      </c>
      <c r="AL391" t="e">
        <f>Asia!A62+"n/&gt;!3_k"</f>
        <v>#VALUE!</v>
      </c>
      <c r="AM391" t="e">
        <f>Asia!B62+"n/&gt;!3_l"</f>
        <v>#VALUE!</v>
      </c>
      <c r="AN391" t="e">
        <f>Asia!C62+"n/&gt;!3_m"</f>
        <v>#VALUE!</v>
      </c>
      <c r="AO391" t="e">
        <f>Asia!D62+"n/&gt;!3_n"</f>
        <v>#VALUE!</v>
      </c>
      <c r="AP391" t="e">
        <f>Asia!E62+"n/&gt;!3_o"</f>
        <v>#VALUE!</v>
      </c>
      <c r="AQ391" t="e">
        <f>Asia!F62+"n/&gt;!3_p"</f>
        <v>#VALUE!</v>
      </c>
      <c r="AR391" t="e">
        <f>Asia!G62+"n/&gt;!3_q"</f>
        <v>#VALUE!</v>
      </c>
      <c r="AS391" t="e">
        <f>Asia!H62+"n/&gt;!3_r"</f>
        <v>#VALUE!</v>
      </c>
      <c r="AT391" t="e">
        <f>Asia!I62+"n/&gt;!3_s"</f>
        <v>#VALUE!</v>
      </c>
      <c r="AU391" t="e">
        <f>Asia!A63+"n/&gt;!3_t"</f>
        <v>#VALUE!</v>
      </c>
      <c r="AV391" t="e">
        <f>Asia!B63+"n/&gt;!3_u"</f>
        <v>#VALUE!</v>
      </c>
      <c r="AW391" t="e">
        <f>Asia!C63+"n/&gt;!3_v"</f>
        <v>#VALUE!</v>
      </c>
      <c r="AX391" t="e">
        <f>Asia!D63+"n/&gt;!3_w"</f>
        <v>#VALUE!</v>
      </c>
      <c r="AY391" t="e">
        <f>Asia!E63+"n/&gt;!3_x"</f>
        <v>#VALUE!</v>
      </c>
      <c r="AZ391" t="e">
        <f>Asia!F63+"n/&gt;!3_y"</f>
        <v>#VALUE!</v>
      </c>
      <c r="BA391" t="e">
        <f>Asia!G63+"n/&gt;!3_z"</f>
        <v>#VALUE!</v>
      </c>
      <c r="BB391" t="e">
        <f>Asia!H63+"n/&gt;!3_{"</f>
        <v>#VALUE!</v>
      </c>
      <c r="BC391" t="e">
        <f>Asia!I63+"n/&gt;!3_|"</f>
        <v>#VALUE!</v>
      </c>
      <c r="BD391" t="e">
        <f>Asia!A64+"n/&gt;!3_}"</f>
        <v>#VALUE!</v>
      </c>
      <c r="BE391" t="e">
        <f>Asia!B64+"n/&gt;!3_~"</f>
        <v>#VALUE!</v>
      </c>
      <c r="BF391" t="e">
        <f>Asia!C64+"n/&gt;!3`#"</f>
        <v>#VALUE!</v>
      </c>
      <c r="BG391" t="e">
        <f>Asia!D64+"n/&gt;!3`$"</f>
        <v>#VALUE!</v>
      </c>
      <c r="BH391" t="e">
        <f>Asia!E64+"n/&gt;!3`%"</f>
        <v>#VALUE!</v>
      </c>
      <c r="BI391" t="e">
        <f>Asia!F64+"n/&gt;!3`&amp;"</f>
        <v>#VALUE!</v>
      </c>
      <c r="BJ391" t="e">
        <f>Asia!G64+"n/&gt;!3`'"</f>
        <v>#VALUE!</v>
      </c>
      <c r="BK391" t="e">
        <f>Asia!H64+"n/&gt;!3`("</f>
        <v>#VALUE!</v>
      </c>
      <c r="BL391" t="e">
        <f>Asia!I64+"n/&gt;!3`)"</f>
        <v>#VALUE!</v>
      </c>
      <c r="BM391" t="e">
        <f>Asia!A65+"n/&gt;!3`."</f>
        <v>#VALUE!</v>
      </c>
      <c r="BN391" t="e">
        <f>Asia!B65+"n/&gt;!3`/"</f>
        <v>#VALUE!</v>
      </c>
      <c r="BO391" t="e">
        <f>Asia!C65+"n/&gt;!3`0"</f>
        <v>#VALUE!</v>
      </c>
      <c r="BP391" t="e">
        <f>Asia!D65+"n/&gt;!3`1"</f>
        <v>#VALUE!</v>
      </c>
      <c r="BQ391" t="e">
        <f>Asia!E65+"n/&gt;!3`2"</f>
        <v>#VALUE!</v>
      </c>
      <c r="BR391" t="e">
        <f>Asia!F65+"n/&gt;!3`3"</f>
        <v>#VALUE!</v>
      </c>
      <c r="BS391" t="e">
        <f>Asia!G65+"n/&gt;!3`4"</f>
        <v>#VALUE!</v>
      </c>
      <c r="BT391" t="e">
        <f>Asia!H65+"n/&gt;!3`5"</f>
        <v>#VALUE!</v>
      </c>
      <c r="BU391" t="e">
        <f>Asia!I65+"n/&gt;!3`6"</f>
        <v>#VALUE!</v>
      </c>
      <c r="BV391" t="e">
        <f>Asia!A66+"n/&gt;!3`7"</f>
        <v>#VALUE!</v>
      </c>
      <c r="BW391" t="e">
        <f>Asia!B66+"n/&gt;!3`8"</f>
        <v>#VALUE!</v>
      </c>
      <c r="BX391" t="e">
        <f>Asia!C66+"n/&gt;!3`9"</f>
        <v>#VALUE!</v>
      </c>
      <c r="BY391" t="e">
        <f>Asia!D66+"n/&gt;!3`:"</f>
        <v>#VALUE!</v>
      </c>
      <c r="BZ391" t="e">
        <f>Asia!E66+"n/&gt;!3`;"</f>
        <v>#VALUE!</v>
      </c>
      <c r="CA391" t="e">
        <f>Asia!F66+"n/&gt;!3`&lt;"</f>
        <v>#VALUE!</v>
      </c>
      <c r="CB391" t="e">
        <f>Asia!G66+"n/&gt;!3`="</f>
        <v>#VALUE!</v>
      </c>
      <c r="CC391" t="e">
        <f>Asia!H66+"n/&gt;!3`&gt;"</f>
        <v>#VALUE!</v>
      </c>
      <c r="CD391" t="e">
        <f>Asia!I66+"n/&gt;!3`?"</f>
        <v>#VALUE!</v>
      </c>
      <c r="CE391" t="e">
        <f>Asia!A67+"n/&gt;!3`@"</f>
        <v>#VALUE!</v>
      </c>
      <c r="CF391" t="e">
        <f>Asia!B67+"n/&gt;!3`A"</f>
        <v>#VALUE!</v>
      </c>
      <c r="CG391" t="e">
        <f>Asia!C67+"n/&gt;!3`B"</f>
        <v>#VALUE!</v>
      </c>
      <c r="CH391" t="e">
        <f>Asia!D67+"n/&gt;!3`C"</f>
        <v>#VALUE!</v>
      </c>
      <c r="CI391" t="e">
        <f>Asia!E67+"n/&gt;!3`D"</f>
        <v>#VALUE!</v>
      </c>
      <c r="CJ391" t="e">
        <f>Asia!F67+"n/&gt;!3`E"</f>
        <v>#VALUE!</v>
      </c>
      <c r="CK391" t="e">
        <f>Asia!G67+"n/&gt;!3`F"</f>
        <v>#VALUE!</v>
      </c>
      <c r="CL391" t="e">
        <f>Asia!H67+"n/&gt;!3`G"</f>
        <v>#VALUE!</v>
      </c>
      <c r="CM391" t="e">
        <f>Asia!I67+"n/&gt;!3`H"</f>
        <v>#VALUE!</v>
      </c>
      <c r="CN391" t="e">
        <f>Asia!A68+"n/&gt;!3`I"</f>
        <v>#VALUE!</v>
      </c>
      <c r="CO391" t="e">
        <f>Asia!B68+"n/&gt;!3`J"</f>
        <v>#VALUE!</v>
      </c>
      <c r="CP391" t="e">
        <f>Asia!C68+"n/&gt;!3`K"</f>
        <v>#VALUE!</v>
      </c>
      <c r="CQ391" t="e">
        <f>Asia!D68+"n/&gt;!3`L"</f>
        <v>#VALUE!</v>
      </c>
      <c r="CR391" t="e">
        <f>Asia!E68+"n/&gt;!3`M"</f>
        <v>#VALUE!</v>
      </c>
      <c r="CS391" t="e">
        <f>Asia!F68+"n/&gt;!3`N"</f>
        <v>#VALUE!</v>
      </c>
      <c r="CT391" t="e">
        <f>Asia!G68+"n/&gt;!3`O"</f>
        <v>#VALUE!</v>
      </c>
      <c r="CU391" t="e">
        <f>Asia!H68+"n/&gt;!3`P"</f>
        <v>#VALUE!</v>
      </c>
      <c r="CV391" t="e">
        <f>Asia!I68+"n/&gt;!3`Q"</f>
        <v>#VALUE!</v>
      </c>
      <c r="CW391" t="e">
        <f>Asia!A69+"n/&gt;!3`R"</f>
        <v>#VALUE!</v>
      </c>
      <c r="CX391" t="e">
        <f>Asia!B69+"n/&gt;!3`S"</f>
        <v>#VALUE!</v>
      </c>
      <c r="CY391" t="e">
        <f>Asia!C69+"n/&gt;!3`T"</f>
        <v>#VALUE!</v>
      </c>
      <c r="CZ391" t="e">
        <f>Asia!D69+"n/&gt;!3`U"</f>
        <v>#VALUE!</v>
      </c>
      <c r="DA391" t="e">
        <f>Asia!E69+"n/&gt;!3`V"</f>
        <v>#VALUE!</v>
      </c>
      <c r="DB391" t="e">
        <f>Asia!F69+"n/&gt;!3`W"</f>
        <v>#VALUE!</v>
      </c>
      <c r="DC391" t="e">
        <f>Asia!G69+"n/&gt;!3`X"</f>
        <v>#VALUE!</v>
      </c>
      <c r="DD391" t="e">
        <f>Asia!H69+"n/&gt;!3`Y"</f>
        <v>#VALUE!</v>
      </c>
      <c r="DE391" t="e">
        <f>Asia!I69+"n/&gt;!3`Z"</f>
        <v>#VALUE!</v>
      </c>
      <c r="DF391" t="e">
        <f>Asia!A70+"n/&gt;!3`["</f>
        <v>#VALUE!</v>
      </c>
      <c r="DG391" t="e">
        <f>Asia!B70+"n/&gt;!3`\"</f>
        <v>#VALUE!</v>
      </c>
      <c r="DH391" t="e">
        <f>Asia!C70+"n/&gt;!3`]"</f>
        <v>#VALUE!</v>
      </c>
      <c r="DI391" t="e">
        <f>Asia!D70+"n/&gt;!3`^"</f>
        <v>#VALUE!</v>
      </c>
      <c r="DJ391" t="e">
        <f>Asia!E70+"n/&gt;!3`_"</f>
        <v>#VALUE!</v>
      </c>
      <c r="DK391" t="e">
        <f>Asia!F70+"n/&gt;!3``"</f>
        <v>#VALUE!</v>
      </c>
      <c r="DL391" t="e">
        <f>Asia!G70+"n/&gt;!3`a"</f>
        <v>#VALUE!</v>
      </c>
      <c r="DM391" t="e">
        <f>Asia!H70+"n/&gt;!3`b"</f>
        <v>#VALUE!</v>
      </c>
      <c r="DN391" t="e">
        <f>Asia!I70+"n/&gt;!3`c"</f>
        <v>#VALUE!</v>
      </c>
      <c r="DO391" t="e">
        <f>Asia!A71+"n/&gt;!3`d"</f>
        <v>#VALUE!</v>
      </c>
      <c r="DP391" t="e">
        <f>Asia!B71+"n/&gt;!3`e"</f>
        <v>#VALUE!</v>
      </c>
      <c r="DQ391" t="e">
        <f>Asia!C71+"n/&gt;!3`f"</f>
        <v>#VALUE!</v>
      </c>
      <c r="DR391" t="e">
        <f>Asia!D71+"n/&gt;!3`g"</f>
        <v>#VALUE!</v>
      </c>
      <c r="DS391" t="e">
        <f>Asia!E71+"n/&gt;!3`h"</f>
        <v>#VALUE!</v>
      </c>
      <c r="DT391" t="e">
        <f>Asia!F71+"n/&gt;!3`i"</f>
        <v>#VALUE!</v>
      </c>
      <c r="DU391" t="e">
        <f>Asia!G71+"n/&gt;!3`j"</f>
        <v>#VALUE!</v>
      </c>
      <c r="DV391" t="e">
        <f>Asia!H71+"n/&gt;!3`k"</f>
        <v>#VALUE!</v>
      </c>
      <c r="DW391" t="e">
        <f>Asia!I71+"n/&gt;!3`l"</f>
        <v>#VALUE!</v>
      </c>
      <c r="DX391" t="e">
        <f>Asia!A72+"n/&gt;!3`m"</f>
        <v>#VALUE!</v>
      </c>
      <c r="DY391" t="e">
        <f>Asia!B72+"n/&gt;!3`n"</f>
        <v>#VALUE!</v>
      </c>
      <c r="DZ391" t="e">
        <f>Asia!C72+"n/&gt;!3`o"</f>
        <v>#VALUE!</v>
      </c>
      <c r="EA391" t="e">
        <f>Asia!D72+"n/&gt;!3`p"</f>
        <v>#VALUE!</v>
      </c>
      <c r="EB391" t="e">
        <f>Asia!E72+"n/&gt;!3`q"</f>
        <v>#VALUE!</v>
      </c>
      <c r="EC391" t="e">
        <f>Asia!F72+"n/&gt;!3`r"</f>
        <v>#VALUE!</v>
      </c>
      <c r="ED391" t="e">
        <f>Asia!G72+"n/&gt;!3`s"</f>
        <v>#VALUE!</v>
      </c>
      <c r="EE391" t="e">
        <f>Asia!H72+"n/&gt;!3`t"</f>
        <v>#VALUE!</v>
      </c>
      <c r="EF391" t="e">
        <f>Asia!I72+"n/&gt;!3`u"</f>
        <v>#VALUE!</v>
      </c>
      <c r="EG391" t="e">
        <f>Asia!A73+"n/&gt;!3`v"</f>
        <v>#VALUE!</v>
      </c>
      <c r="EH391" t="e">
        <f>Asia!B73+"n/&gt;!3`w"</f>
        <v>#VALUE!</v>
      </c>
      <c r="EI391" t="e">
        <f>Asia!C73+"n/&gt;!3`x"</f>
        <v>#VALUE!</v>
      </c>
      <c r="EJ391" t="e">
        <f>Asia!D73+"n/&gt;!3`y"</f>
        <v>#VALUE!</v>
      </c>
      <c r="EK391" t="e">
        <f>Asia!E73+"n/&gt;!3`z"</f>
        <v>#VALUE!</v>
      </c>
      <c r="EL391" t="e">
        <f>Asia!F73+"n/&gt;!3`{"</f>
        <v>#VALUE!</v>
      </c>
      <c r="EM391" t="e">
        <f>Asia!G73+"n/&gt;!3`|"</f>
        <v>#VALUE!</v>
      </c>
      <c r="EN391" t="e">
        <f>Asia!H73+"n/&gt;!3`}"</f>
        <v>#VALUE!</v>
      </c>
      <c r="EO391" t="e">
        <f>Asia!I73+"n/&gt;!3`~"</f>
        <v>#VALUE!</v>
      </c>
      <c r="EP391" t="e">
        <f>Asia!A74+"n/&gt;!3a#"</f>
        <v>#VALUE!</v>
      </c>
      <c r="EQ391" t="e">
        <f>Asia!B74+"n/&gt;!3a$"</f>
        <v>#VALUE!</v>
      </c>
      <c r="ER391" t="e">
        <f>Asia!C74+"n/&gt;!3a%"</f>
        <v>#VALUE!</v>
      </c>
      <c r="ES391" t="e">
        <f>Asia!D74+"n/&gt;!3a&amp;"</f>
        <v>#VALUE!</v>
      </c>
      <c r="ET391" t="e">
        <f>Asia!E74+"n/&gt;!3a'"</f>
        <v>#VALUE!</v>
      </c>
      <c r="EU391" t="e">
        <f>Asia!F74+"n/&gt;!3a("</f>
        <v>#VALUE!</v>
      </c>
      <c r="EV391" t="e">
        <f>Asia!G74+"n/&gt;!3a)"</f>
        <v>#VALUE!</v>
      </c>
      <c r="EW391" t="e">
        <f>Asia!H74+"n/&gt;!3a."</f>
        <v>#VALUE!</v>
      </c>
      <c r="EX391" t="e">
        <f>Asia!I74+"n/&gt;!3a/"</f>
        <v>#VALUE!</v>
      </c>
      <c r="EY391" t="e">
        <f>Asia!A75+"n/&gt;!3a0"</f>
        <v>#VALUE!</v>
      </c>
      <c r="EZ391" t="e">
        <f>Asia!B75+"n/&gt;!3a1"</f>
        <v>#VALUE!</v>
      </c>
      <c r="FA391" t="e">
        <f>Asia!C75+"n/&gt;!3a2"</f>
        <v>#VALUE!</v>
      </c>
      <c r="FB391" t="e">
        <f>Asia!D75+"n/&gt;!3a3"</f>
        <v>#VALUE!</v>
      </c>
      <c r="FC391" t="e">
        <f>Asia!E75+"n/&gt;!3a4"</f>
        <v>#VALUE!</v>
      </c>
      <c r="FD391" t="e">
        <f>Asia!F75+"n/&gt;!3a5"</f>
        <v>#VALUE!</v>
      </c>
      <c r="FE391" t="e">
        <f>Asia!G75+"n/&gt;!3a6"</f>
        <v>#VALUE!</v>
      </c>
      <c r="FF391" t="e">
        <f>Asia!H75+"n/&gt;!3a7"</f>
        <v>#VALUE!</v>
      </c>
      <c r="FG391" t="e">
        <f>Asia!I75+"n/&gt;!3a8"</f>
        <v>#VALUE!</v>
      </c>
      <c r="FH391" t="e">
        <f>Asia!A76+"n/&gt;!3a9"</f>
        <v>#VALUE!</v>
      </c>
      <c r="FI391" t="e">
        <f>Asia!B76+"n/&gt;!3a:"</f>
        <v>#VALUE!</v>
      </c>
      <c r="FJ391" t="e">
        <f>Asia!C76+"n/&gt;!3a;"</f>
        <v>#VALUE!</v>
      </c>
      <c r="FK391" t="e">
        <f>Asia!D76+"n/&gt;!3a&lt;"</f>
        <v>#VALUE!</v>
      </c>
      <c r="FL391" t="e">
        <f>Asia!E76+"n/&gt;!3a="</f>
        <v>#VALUE!</v>
      </c>
      <c r="FM391" t="e">
        <f>Asia!F76+"n/&gt;!3a&gt;"</f>
        <v>#VALUE!</v>
      </c>
      <c r="FN391" t="e">
        <f>Asia!G76+"n/&gt;!3a?"</f>
        <v>#VALUE!</v>
      </c>
      <c r="FO391" t="e">
        <f>Asia!H76+"n/&gt;!3a@"</f>
        <v>#VALUE!</v>
      </c>
      <c r="FP391" t="e">
        <f>Asia!I76+"n/&gt;!3aA"</f>
        <v>#VALUE!</v>
      </c>
      <c r="FQ391" t="e">
        <f>Asia!A77+"n/&gt;!3aB"</f>
        <v>#VALUE!</v>
      </c>
      <c r="FR391" t="e">
        <f>Asia!B77+"n/&gt;!3aC"</f>
        <v>#VALUE!</v>
      </c>
      <c r="FS391" t="e">
        <f>Asia!C77+"n/&gt;!3aD"</f>
        <v>#VALUE!</v>
      </c>
      <c r="FT391" t="e">
        <f>Asia!D77+"n/&gt;!3aE"</f>
        <v>#VALUE!</v>
      </c>
      <c r="FU391" t="e">
        <f>Asia!E77+"n/&gt;!3aF"</f>
        <v>#VALUE!</v>
      </c>
      <c r="FV391" t="e">
        <f>Asia!F77+"n/&gt;!3aG"</f>
        <v>#VALUE!</v>
      </c>
      <c r="FW391" t="e">
        <f>Asia!G77+"n/&gt;!3aH"</f>
        <v>#VALUE!</v>
      </c>
      <c r="FX391" t="e">
        <f>Asia!H77+"n/&gt;!3aI"</f>
        <v>#VALUE!</v>
      </c>
      <c r="FY391" t="e">
        <f>Asia!I77+"n/&gt;!3aJ"</f>
        <v>#VALUE!</v>
      </c>
      <c r="FZ391" t="e">
        <f>Asia!A78+"n/&gt;!3aK"</f>
        <v>#VALUE!</v>
      </c>
      <c r="GA391" t="e">
        <f>Asia!B78+"n/&gt;!3aL"</f>
        <v>#VALUE!</v>
      </c>
      <c r="GB391" t="e">
        <f>Asia!C78+"n/&gt;!3aM"</f>
        <v>#VALUE!</v>
      </c>
      <c r="GC391" t="e">
        <f>Asia!D78+"n/&gt;!3aN"</f>
        <v>#VALUE!</v>
      </c>
      <c r="GD391" t="e">
        <f>Asia!E78+"n/&gt;!3aO"</f>
        <v>#VALUE!</v>
      </c>
      <c r="GE391" t="e">
        <f>Asia!F78+"n/&gt;!3aP"</f>
        <v>#VALUE!</v>
      </c>
      <c r="GF391" t="e">
        <f>Asia!G78+"n/&gt;!3aQ"</f>
        <v>#VALUE!</v>
      </c>
      <c r="GG391" t="e">
        <f>Asia!H78+"n/&gt;!3aR"</f>
        <v>#VALUE!</v>
      </c>
      <c r="GH391" t="e">
        <f>Asia!I78+"n/&gt;!3aS"</f>
        <v>#VALUE!</v>
      </c>
      <c r="GI391" t="e">
        <f>Asia!A79+"n/&gt;!3aT"</f>
        <v>#VALUE!</v>
      </c>
      <c r="GJ391" t="e">
        <f>Asia!B79+"n/&gt;!3aU"</f>
        <v>#VALUE!</v>
      </c>
      <c r="GK391" t="e">
        <f>Asia!C79+"n/&gt;!3aV"</f>
        <v>#VALUE!</v>
      </c>
      <c r="GL391" t="e">
        <f>Asia!D79+"n/&gt;!3aW"</f>
        <v>#VALUE!</v>
      </c>
      <c r="GM391" t="e">
        <f>Asia!E79+"n/&gt;!3aX"</f>
        <v>#VALUE!</v>
      </c>
      <c r="GN391" t="e">
        <f>Asia!F79+"n/&gt;!3aY"</f>
        <v>#VALUE!</v>
      </c>
      <c r="GO391" t="e">
        <f>Asia!G79+"n/&gt;!3aZ"</f>
        <v>#VALUE!</v>
      </c>
      <c r="GP391" t="e">
        <f>Asia!H79+"n/&gt;!3a["</f>
        <v>#VALUE!</v>
      </c>
      <c r="GQ391" t="e">
        <f>Asia!I79+"n/&gt;!3a\"</f>
        <v>#VALUE!</v>
      </c>
      <c r="GR391" t="e">
        <f>Asia!A80+"n/&gt;!3a]"</f>
        <v>#VALUE!</v>
      </c>
      <c r="GS391" t="e">
        <f>Asia!B80+"n/&gt;!3a^"</f>
        <v>#VALUE!</v>
      </c>
      <c r="GT391" t="e">
        <f>Asia!C80+"n/&gt;!3a_"</f>
        <v>#VALUE!</v>
      </c>
      <c r="GU391" t="e">
        <f>Asia!D80+"n/&gt;!3a`"</f>
        <v>#VALUE!</v>
      </c>
      <c r="GV391" t="e">
        <f>Asia!E80+"n/&gt;!3aa"</f>
        <v>#VALUE!</v>
      </c>
      <c r="GW391" t="e">
        <f>Asia!F80+"n/&gt;!3ab"</f>
        <v>#VALUE!</v>
      </c>
      <c r="GX391" t="e">
        <f>Asia!G80+"n/&gt;!3ac"</f>
        <v>#VALUE!</v>
      </c>
      <c r="GY391" t="e">
        <f>Asia!H80+"n/&gt;!3ad"</f>
        <v>#VALUE!</v>
      </c>
      <c r="GZ391" t="e">
        <f>Asia!I80+"n/&gt;!3ae"</f>
        <v>#VALUE!</v>
      </c>
      <c r="HA391" t="e">
        <f>Asia!A81+"n/&gt;!3af"</f>
        <v>#VALUE!</v>
      </c>
      <c r="HB391" t="e">
        <f>Asia!B81+"n/&gt;!3ag"</f>
        <v>#VALUE!</v>
      </c>
      <c r="HC391" t="e">
        <f>Asia!C81+"n/&gt;!3ah"</f>
        <v>#VALUE!</v>
      </c>
      <c r="HD391" t="e">
        <f>Asia!D81+"n/&gt;!3ai"</f>
        <v>#VALUE!</v>
      </c>
      <c r="HE391" t="e">
        <f>Asia!E81+"n/&gt;!3aj"</f>
        <v>#VALUE!</v>
      </c>
      <c r="HF391" t="e">
        <f>Asia!F81+"n/&gt;!3ak"</f>
        <v>#VALUE!</v>
      </c>
      <c r="HG391" t="e">
        <f>Asia!G81+"n/&gt;!3al"</f>
        <v>#VALUE!</v>
      </c>
      <c r="HH391" t="e">
        <f>Asia!H81+"n/&gt;!3am"</f>
        <v>#VALUE!</v>
      </c>
      <c r="HI391" t="e">
        <f>Asia!I81+"n/&gt;!3an"</f>
        <v>#VALUE!</v>
      </c>
      <c r="HJ391" t="e">
        <f>Asia!A82+"n/&gt;!3ao"</f>
        <v>#VALUE!</v>
      </c>
      <c r="HK391" t="e">
        <f>Asia!B82+"n/&gt;!3ap"</f>
        <v>#VALUE!</v>
      </c>
      <c r="HL391" t="e">
        <f>Asia!C82+"n/&gt;!3aq"</f>
        <v>#VALUE!</v>
      </c>
      <c r="HM391" t="e">
        <f>Asia!D82+"n/&gt;!3ar"</f>
        <v>#VALUE!</v>
      </c>
      <c r="HN391" t="e">
        <f>Asia!E82+"n/&gt;!3as"</f>
        <v>#VALUE!</v>
      </c>
      <c r="HO391" t="e">
        <f>Asia!F82+"n/&gt;!3at"</f>
        <v>#VALUE!</v>
      </c>
      <c r="HP391" t="e">
        <f>Asia!G82+"n/&gt;!3au"</f>
        <v>#VALUE!</v>
      </c>
      <c r="HQ391" t="e">
        <f>Asia!H82+"n/&gt;!3av"</f>
        <v>#VALUE!</v>
      </c>
      <c r="HR391" t="e">
        <f>Asia!I82+"n/&gt;!3aw"</f>
        <v>#VALUE!</v>
      </c>
      <c r="HS391" t="e">
        <f>Asia!A83+"n/&gt;!3ax"</f>
        <v>#VALUE!</v>
      </c>
      <c r="HT391" t="e">
        <f>Asia!B83+"n/&gt;!3ay"</f>
        <v>#VALUE!</v>
      </c>
      <c r="HU391" t="e">
        <f>Asia!C83+"n/&gt;!3az"</f>
        <v>#VALUE!</v>
      </c>
      <c r="HV391" t="e">
        <f>Asia!D83+"n/&gt;!3a{"</f>
        <v>#VALUE!</v>
      </c>
      <c r="HW391" t="e">
        <f>Asia!E83+"n/&gt;!3a|"</f>
        <v>#VALUE!</v>
      </c>
      <c r="HX391" t="e">
        <f>Asia!F83+"n/&gt;!3a}"</f>
        <v>#VALUE!</v>
      </c>
      <c r="HY391" t="e">
        <f>Asia!G83+"n/&gt;!3a~"</f>
        <v>#VALUE!</v>
      </c>
      <c r="HZ391" t="e">
        <f>Asia!H83+"n/&gt;!3b#"</f>
        <v>#VALUE!</v>
      </c>
      <c r="IA391" t="e">
        <f>Asia!I83+"n/&gt;!3b$"</f>
        <v>#VALUE!</v>
      </c>
      <c r="IB391" t="e">
        <f>Asia!A84+"n/&gt;!3b%"</f>
        <v>#VALUE!</v>
      </c>
      <c r="IC391" t="e">
        <f>Asia!B84+"n/&gt;!3b&amp;"</f>
        <v>#VALUE!</v>
      </c>
      <c r="ID391" t="e">
        <f>Asia!C84+"n/&gt;!3b'"</f>
        <v>#VALUE!</v>
      </c>
      <c r="IE391" t="e">
        <f>Asia!D84+"n/&gt;!3b("</f>
        <v>#VALUE!</v>
      </c>
      <c r="IF391" t="e">
        <f>Asia!E84+"n/&gt;!3b)"</f>
        <v>#VALUE!</v>
      </c>
      <c r="IG391" t="e">
        <f>Asia!F84+"n/&gt;!3b."</f>
        <v>#VALUE!</v>
      </c>
      <c r="IH391" t="e">
        <f>Asia!G84+"n/&gt;!3b/"</f>
        <v>#VALUE!</v>
      </c>
      <c r="II391" t="e">
        <f>Asia!H84+"n/&gt;!3b0"</f>
        <v>#VALUE!</v>
      </c>
      <c r="IJ391" t="e">
        <f>Asia!I84+"n/&gt;!3b1"</f>
        <v>#VALUE!</v>
      </c>
      <c r="IK391" t="e">
        <f>Asia!A85+"n/&gt;!3b2"</f>
        <v>#VALUE!</v>
      </c>
      <c r="IL391" t="e">
        <f>Asia!B85+"n/&gt;!3b3"</f>
        <v>#VALUE!</v>
      </c>
      <c r="IM391" t="e">
        <f>Asia!C85+"n/&gt;!3b4"</f>
        <v>#VALUE!</v>
      </c>
      <c r="IN391" t="e">
        <f>Asia!D85+"n/&gt;!3b5"</f>
        <v>#VALUE!</v>
      </c>
      <c r="IO391" t="e">
        <f>Asia!E85+"n/&gt;!3b6"</f>
        <v>#VALUE!</v>
      </c>
      <c r="IP391" t="e">
        <f>Asia!F85+"n/&gt;!3b7"</f>
        <v>#VALUE!</v>
      </c>
      <c r="IQ391" t="e">
        <f>Asia!G85+"n/&gt;!3b8"</f>
        <v>#VALUE!</v>
      </c>
      <c r="IR391" t="e">
        <f>Asia!H85+"n/&gt;!3b9"</f>
        <v>#VALUE!</v>
      </c>
      <c r="IS391" t="e">
        <f>Asia!I85+"n/&gt;!3b:"</f>
        <v>#VALUE!</v>
      </c>
      <c r="IT391" t="e">
        <f>Asia!A86+"n/&gt;!3b;"</f>
        <v>#VALUE!</v>
      </c>
      <c r="IU391" t="e">
        <f>Asia!B86+"n/&gt;!3b&lt;"</f>
        <v>#VALUE!</v>
      </c>
      <c r="IV391" t="e">
        <f>Asia!C86+"n/&gt;!3b="</f>
        <v>#VALUE!</v>
      </c>
    </row>
    <row r="392" spans="6:256" x14ac:dyDescent="0.35">
      <c r="F392" t="e">
        <f>Asia!D86+"n/&gt;!3b&gt;"</f>
        <v>#VALUE!</v>
      </c>
      <c r="G392" t="e">
        <f>Asia!E86+"n/&gt;!3b?"</f>
        <v>#VALUE!</v>
      </c>
      <c r="H392" t="e">
        <f>Asia!F86+"n/&gt;!3b@"</f>
        <v>#VALUE!</v>
      </c>
      <c r="I392" t="e">
        <f>Asia!G86+"n/&gt;!3bA"</f>
        <v>#VALUE!</v>
      </c>
      <c r="J392" t="e">
        <f>Asia!H86+"n/&gt;!3bB"</f>
        <v>#VALUE!</v>
      </c>
      <c r="K392" t="e">
        <f>Asia!I86+"n/&gt;!3bC"</f>
        <v>#VALUE!</v>
      </c>
      <c r="L392" t="e">
        <f>Asia!A87+"n/&gt;!3bD"</f>
        <v>#VALUE!</v>
      </c>
      <c r="M392" t="e">
        <f>Asia!B87+"n/&gt;!3bE"</f>
        <v>#VALUE!</v>
      </c>
      <c r="N392" t="e">
        <f>Asia!C87+"n/&gt;!3bF"</f>
        <v>#VALUE!</v>
      </c>
      <c r="O392" t="e">
        <f>Asia!D87+"n/&gt;!3bG"</f>
        <v>#VALUE!</v>
      </c>
      <c r="P392" t="e">
        <f>Asia!E87+"n/&gt;!3bH"</f>
        <v>#VALUE!</v>
      </c>
      <c r="Q392" t="e">
        <f>Asia!F87+"n/&gt;!3bI"</f>
        <v>#VALUE!</v>
      </c>
      <c r="R392" t="e">
        <f>Asia!G87+"n/&gt;!3bJ"</f>
        <v>#VALUE!</v>
      </c>
      <c r="S392" t="e">
        <f>Asia!H87+"n/&gt;!3bK"</f>
        <v>#VALUE!</v>
      </c>
      <c r="T392" t="e">
        <f>Asia!I87+"n/&gt;!3bL"</f>
        <v>#VALUE!</v>
      </c>
      <c r="U392" t="e">
        <f>Asia!A88+"n/&gt;!3bM"</f>
        <v>#VALUE!</v>
      </c>
      <c r="V392" t="e">
        <f>Asia!B88+"n/&gt;!3bN"</f>
        <v>#VALUE!</v>
      </c>
      <c r="W392" t="e">
        <f>Asia!C88+"n/&gt;!3bO"</f>
        <v>#VALUE!</v>
      </c>
      <c r="X392" t="e">
        <f>Asia!D88+"n/&gt;!3bP"</f>
        <v>#VALUE!</v>
      </c>
      <c r="Y392" t="e">
        <f>Asia!E88+"n/&gt;!3bQ"</f>
        <v>#VALUE!</v>
      </c>
      <c r="Z392" t="e">
        <f>Asia!F88+"n/&gt;!3bR"</f>
        <v>#VALUE!</v>
      </c>
      <c r="AA392" t="e">
        <f>Asia!G88+"n/&gt;!3bS"</f>
        <v>#VALUE!</v>
      </c>
      <c r="AB392" t="e">
        <f>Asia!H88+"n/&gt;!3bT"</f>
        <v>#VALUE!</v>
      </c>
      <c r="AC392" t="e">
        <f>Asia!I88+"n/&gt;!3bU"</f>
        <v>#VALUE!</v>
      </c>
      <c r="AD392" t="e">
        <f>Asia!A89+"n/&gt;!3bV"</f>
        <v>#VALUE!</v>
      </c>
      <c r="AE392" t="e">
        <f>Asia!B89+"n/&gt;!3bW"</f>
        <v>#VALUE!</v>
      </c>
      <c r="AF392" t="e">
        <f>Asia!C89+"n/&gt;!3bX"</f>
        <v>#VALUE!</v>
      </c>
      <c r="AG392" t="e">
        <f>Asia!D89+"n/&gt;!3bY"</f>
        <v>#VALUE!</v>
      </c>
      <c r="AH392" t="e">
        <f>Asia!E89+"n/&gt;!3bZ"</f>
        <v>#VALUE!</v>
      </c>
      <c r="AI392" t="e">
        <f>Asia!F89+"n/&gt;!3b["</f>
        <v>#VALUE!</v>
      </c>
      <c r="AJ392" t="e">
        <f>Asia!G89+"n/&gt;!3b\"</f>
        <v>#VALUE!</v>
      </c>
      <c r="AK392" t="e">
        <f>Asia!H89+"n/&gt;!3b]"</f>
        <v>#VALUE!</v>
      </c>
      <c r="AL392" t="e">
        <f>Asia!I89+"n/&gt;!3b^"</f>
        <v>#VALUE!</v>
      </c>
      <c r="AM392" t="e">
        <f>Asia!A90+"n/&gt;!3b_"</f>
        <v>#VALUE!</v>
      </c>
      <c r="AN392" t="e">
        <f>Asia!B90+"n/&gt;!3b`"</f>
        <v>#VALUE!</v>
      </c>
      <c r="AO392" t="e">
        <f>Asia!C90+"n/&gt;!3ba"</f>
        <v>#VALUE!</v>
      </c>
      <c r="AP392" t="e">
        <f>Asia!D90+"n/&gt;!3bb"</f>
        <v>#VALUE!</v>
      </c>
      <c r="AQ392" t="e">
        <f>Asia!E90+"n/&gt;!3bc"</f>
        <v>#VALUE!</v>
      </c>
      <c r="AR392" t="e">
        <f>Asia!F90+"n/&gt;!3bd"</f>
        <v>#VALUE!</v>
      </c>
      <c r="AS392" t="e">
        <f>Asia!G90+"n/&gt;!3be"</f>
        <v>#VALUE!</v>
      </c>
      <c r="AT392" t="e">
        <f>Asia!H90+"n/&gt;!3bf"</f>
        <v>#VALUE!</v>
      </c>
      <c r="AU392" t="e">
        <f>Asia!I90+"n/&gt;!3bg"</f>
        <v>#VALUE!</v>
      </c>
      <c r="AV392" t="e">
        <f>Asia!A91+"n/&gt;!3bh"</f>
        <v>#VALUE!</v>
      </c>
      <c r="AW392" t="e">
        <f>Asia!B91+"n/&gt;!3bi"</f>
        <v>#VALUE!</v>
      </c>
      <c r="AX392" t="e">
        <f>Asia!C91+"n/&gt;!3bj"</f>
        <v>#VALUE!</v>
      </c>
      <c r="AY392" t="e">
        <f>Asia!D91+"n/&gt;!3bk"</f>
        <v>#VALUE!</v>
      </c>
      <c r="AZ392" t="e">
        <f>Asia!E91+"n/&gt;!3bl"</f>
        <v>#VALUE!</v>
      </c>
      <c r="BA392" t="e">
        <f>Asia!F91+"n/&gt;!3bm"</f>
        <v>#VALUE!</v>
      </c>
      <c r="BB392" t="e">
        <f>Asia!G91+"n/&gt;!3bn"</f>
        <v>#VALUE!</v>
      </c>
      <c r="BC392" t="e">
        <f>Asia!H91+"n/&gt;!3bo"</f>
        <v>#VALUE!</v>
      </c>
      <c r="BD392" t="e">
        <f>Asia!I91+"n/&gt;!3bp"</f>
        <v>#VALUE!</v>
      </c>
      <c r="BE392" t="e">
        <f>Asia!A92+"n/&gt;!3bq"</f>
        <v>#VALUE!</v>
      </c>
      <c r="BF392" t="e">
        <f>Asia!B92+"n/&gt;!3br"</f>
        <v>#VALUE!</v>
      </c>
      <c r="BG392" t="e">
        <f>Asia!C92+"n/&gt;!3bs"</f>
        <v>#VALUE!</v>
      </c>
      <c r="BH392" t="e">
        <f>Asia!D92+"n/&gt;!3bt"</f>
        <v>#VALUE!</v>
      </c>
      <c r="BI392" t="e">
        <f>Asia!E92+"n/&gt;!3bu"</f>
        <v>#VALUE!</v>
      </c>
      <c r="BJ392" t="e">
        <f>Asia!F92+"n/&gt;!3bv"</f>
        <v>#VALUE!</v>
      </c>
      <c r="BK392" t="e">
        <f>Asia!G92+"n/&gt;!3bw"</f>
        <v>#VALUE!</v>
      </c>
      <c r="BL392" t="e">
        <f>Asia!H92+"n/&gt;!3bx"</f>
        <v>#VALUE!</v>
      </c>
      <c r="BM392" t="e">
        <f>Asia!I92+"n/&gt;!3by"</f>
        <v>#VALUE!</v>
      </c>
      <c r="BN392" t="e">
        <f>Asia!A93+"n/&gt;!3bz"</f>
        <v>#VALUE!</v>
      </c>
      <c r="BO392" t="e">
        <f>Asia!B93+"n/&gt;!3b{"</f>
        <v>#VALUE!</v>
      </c>
      <c r="BP392" t="e">
        <f>Asia!C93+"n/&gt;!3b|"</f>
        <v>#VALUE!</v>
      </c>
      <c r="BQ392" t="e">
        <f>Asia!D93+"n/&gt;!3b}"</f>
        <v>#VALUE!</v>
      </c>
      <c r="BR392" t="e">
        <f>Asia!E93+"n/&gt;!3b~"</f>
        <v>#VALUE!</v>
      </c>
      <c r="BS392" t="e">
        <f>Asia!F93+"n/&gt;!3c#"</f>
        <v>#VALUE!</v>
      </c>
      <c r="BT392" t="e">
        <f>Asia!G93+"n/&gt;!3c$"</f>
        <v>#VALUE!</v>
      </c>
      <c r="BU392" t="e">
        <f>Asia!H93+"n/&gt;!3c%"</f>
        <v>#VALUE!</v>
      </c>
      <c r="BV392" t="e">
        <f>Asia!I93+"n/&gt;!3c&amp;"</f>
        <v>#VALUE!</v>
      </c>
      <c r="BW392" t="e">
        <f>Asia!A94+"n/&gt;!3c'"</f>
        <v>#VALUE!</v>
      </c>
      <c r="BX392" t="e">
        <f>Asia!B94+"n/&gt;!3c("</f>
        <v>#VALUE!</v>
      </c>
      <c r="BY392" t="e">
        <f>Asia!C94+"n/&gt;!3c)"</f>
        <v>#VALUE!</v>
      </c>
      <c r="BZ392" t="e">
        <f>Asia!D94+"n/&gt;!3c."</f>
        <v>#VALUE!</v>
      </c>
      <c r="CA392" t="e">
        <f>Asia!E94+"n/&gt;!3c/"</f>
        <v>#VALUE!</v>
      </c>
      <c r="CB392" t="e">
        <f>Asia!F94+"n/&gt;!3c0"</f>
        <v>#VALUE!</v>
      </c>
      <c r="CC392" t="e">
        <f>Asia!G94+"n/&gt;!3c1"</f>
        <v>#VALUE!</v>
      </c>
      <c r="CD392" t="e">
        <f>Asia!H94+"n/&gt;!3c2"</f>
        <v>#VALUE!</v>
      </c>
      <c r="CE392" t="e">
        <f>Asia!I94+"n/&gt;!3c3"</f>
        <v>#VALUE!</v>
      </c>
      <c r="CF392" t="e">
        <f>Asia!A95+"n/&gt;!3c4"</f>
        <v>#VALUE!</v>
      </c>
      <c r="CG392" t="e">
        <f>Asia!B95+"n/&gt;!3c5"</f>
        <v>#VALUE!</v>
      </c>
      <c r="CH392" t="e">
        <f>Asia!C95+"n/&gt;!3c6"</f>
        <v>#VALUE!</v>
      </c>
      <c r="CI392" t="e">
        <f>Asia!D95+"n/&gt;!3c7"</f>
        <v>#VALUE!</v>
      </c>
      <c r="CJ392" t="e">
        <f>Asia!E95+"n/&gt;!3c8"</f>
        <v>#VALUE!</v>
      </c>
      <c r="CK392" t="e">
        <f>Asia!F95+"n/&gt;!3c9"</f>
        <v>#VALUE!</v>
      </c>
      <c r="CL392" t="e">
        <f>Asia!G95+"n/&gt;!3c:"</f>
        <v>#VALUE!</v>
      </c>
      <c r="CM392" t="e">
        <f>Asia!H95+"n/&gt;!3c;"</f>
        <v>#VALUE!</v>
      </c>
      <c r="CN392" t="e">
        <f>Asia!I95+"n/&gt;!3c&lt;"</f>
        <v>#VALUE!</v>
      </c>
      <c r="CO392" t="e">
        <f>Asia!A96+"n/&gt;!3c="</f>
        <v>#VALUE!</v>
      </c>
      <c r="CP392" t="e">
        <f>Asia!B96+"n/&gt;!3c&gt;"</f>
        <v>#VALUE!</v>
      </c>
      <c r="CQ392" t="e">
        <f>Asia!C96+"n/&gt;!3c?"</f>
        <v>#VALUE!</v>
      </c>
      <c r="CR392" t="e">
        <f>Asia!D96+"n/&gt;!3c@"</f>
        <v>#VALUE!</v>
      </c>
      <c r="CS392" t="e">
        <f>Asia!E96+"n/&gt;!3cA"</f>
        <v>#VALUE!</v>
      </c>
      <c r="CT392" t="e">
        <f>Asia!F96+"n/&gt;!3cB"</f>
        <v>#VALUE!</v>
      </c>
      <c r="CU392" t="e">
        <f>Asia!G96+"n/&gt;!3cC"</f>
        <v>#VALUE!</v>
      </c>
      <c r="CV392" t="e">
        <f>Asia!H96+"n/&gt;!3cD"</f>
        <v>#VALUE!</v>
      </c>
      <c r="CW392" t="e">
        <f>Asia!I96+"n/&gt;!3cE"</f>
        <v>#VALUE!</v>
      </c>
      <c r="CX392" t="e">
        <f>Asia!A97+"n/&gt;!3cF"</f>
        <v>#VALUE!</v>
      </c>
      <c r="CY392" t="e">
        <f>Asia!B97+"n/&gt;!3cG"</f>
        <v>#VALUE!</v>
      </c>
      <c r="CZ392" t="e">
        <f>Asia!C97+"n/&gt;!3cH"</f>
        <v>#VALUE!</v>
      </c>
      <c r="DA392" t="e">
        <f>Asia!D97+"n/&gt;!3cI"</f>
        <v>#VALUE!</v>
      </c>
      <c r="DB392" t="e">
        <f>Asia!E97+"n/&gt;!3cJ"</f>
        <v>#VALUE!</v>
      </c>
      <c r="DC392" t="e">
        <f>Asia!F97+"n/&gt;!3cK"</f>
        <v>#VALUE!</v>
      </c>
      <c r="DD392" t="e">
        <f>Asia!G97+"n/&gt;!3cL"</f>
        <v>#VALUE!</v>
      </c>
      <c r="DE392" t="e">
        <f>Asia!H97+"n/&gt;!3cM"</f>
        <v>#VALUE!</v>
      </c>
      <c r="DF392" t="e">
        <f>Asia!I97+"n/&gt;!3cN"</f>
        <v>#VALUE!</v>
      </c>
      <c r="DG392" t="e">
        <f>Asia!A98+"n/&gt;!3cO"</f>
        <v>#VALUE!</v>
      </c>
      <c r="DH392" t="e">
        <f>Asia!B98+"n/&gt;!3cP"</f>
        <v>#VALUE!</v>
      </c>
      <c r="DI392" t="e">
        <f>Asia!C98+"n/&gt;!3cQ"</f>
        <v>#VALUE!</v>
      </c>
      <c r="DJ392" t="e">
        <f>Asia!D98+"n/&gt;!3cR"</f>
        <v>#VALUE!</v>
      </c>
      <c r="DK392" t="e">
        <f>Asia!E98+"n/&gt;!3cS"</f>
        <v>#VALUE!</v>
      </c>
      <c r="DL392" t="e">
        <f>Asia!F98+"n/&gt;!3cT"</f>
        <v>#VALUE!</v>
      </c>
      <c r="DM392" t="e">
        <f>Asia!G98+"n/&gt;!3cU"</f>
        <v>#VALUE!</v>
      </c>
      <c r="DN392" t="e">
        <f>Asia!H98+"n/&gt;!3cV"</f>
        <v>#VALUE!</v>
      </c>
      <c r="DO392" t="e">
        <f>Asia!I98+"n/&gt;!3cW"</f>
        <v>#VALUE!</v>
      </c>
      <c r="DP392" t="e">
        <f>Asia!A99+"n/&gt;!3cX"</f>
        <v>#VALUE!</v>
      </c>
      <c r="DQ392" t="e">
        <f>Asia!B99+"n/&gt;!3cY"</f>
        <v>#VALUE!</v>
      </c>
      <c r="DR392" t="e">
        <f>Asia!C99+"n/&gt;!3cZ"</f>
        <v>#VALUE!</v>
      </c>
      <c r="DS392" t="e">
        <f>Asia!D99+"n/&gt;!3c["</f>
        <v>#VALUE!</v>
      </c>
      <c r="DT392" t="e">
        <f>Asia!E99+"n/&gt;!3c\"</f>
        <v>#VALUE!</v>
      </c>
      <c r="DU392" t="e">
        <f>Asia!F99+"n/&gt;!3c]"</f>
        <v>#VALUE!</v>
      </c>
      <c r="DV392" t="e">
        <f>Asia!G99+"n/&gt;!3c^"</f>
        <v>#VALUE!</v>
      </c>
      <c r="DW392" t="e">
        <f>Asia!H99+"n/&gt;!3c_"</f>
        <v>#VALUE!</v>
      </c>
      <c r="DX392" t="e">
        <f>Asia!I99+"n/&gt;!3c`"</f>
        <v>#VALUE!</v>
      </c>
      <c r="DY392" t="e">
        <f>Asia!A100+"n/&gt;!3ca"</f>
        <v>#VALUE!</v>
      </c>
      <c r="DZ392" t="e">
        <f>Asia!B100+"n/&gt;!3cb"</f>
        <v>#VALUE!</v>
      </c>
      <c r="EA392" t="e">
        <f>Asia!C100+"n/&gt;!3cc"</f>
        <v>#VALUE!</v>
      </c>
      <c r="EB392" t="e">
        <f>Asia!D100+"n/&gt;!3cd"</f>
        <v>#VALUE!</v>
      </c>
      <c r="EC392" t="e">
        <f>Asia!E100+"n/&gt;!3ce"</f>
        <v>#VALUE!</v>
      </c>
      <c r="ED392" t="e">
        <f>Asia!F100+"n/&gt;!3cf"</f>
        <v>#VALUE!</v>
      </c>
      <c r="EE392" t="e">
        <f>Asia!G100+"n/&gt;!3cg"</f>
        <v>#VALUE!</v>
      </c>
      <c r="EF392" t="e">
        <f>Asia!H100+"n/&gt;!3ch"</f>
        <v>#VALUE!</v>
      </c>
      <c r="EG392" t="e">
        <f>Asia!I100+"n/&gt;!3ci"</f>
        <v>#VALUE!</v>
      </c>
      <c r="EH392" t="e">
        <f>Asia!A101+"n/&gt;!3cj"</f>
        <v>#VALUE!</v>
      </c>
      <c r="EI392" t="e">
        <f>Asia!B101+"n/&gt;!3ck"</f>
        <v>#VALUE!</v>
      </c>
      <c r="EJ392" t="e">
        <f>Asia!C101+"n/&gt;!3cl"</f>
        <v>#VALUE!</v>
      </c>
      <c r="EK392" t="e">
        <f>Asia!D101+"n/&gt;!3cm"</f>
        <v>#VALUE!</v>
      </c>
      <c r="EL392" t="e">
        <f>Asia!E101+"n/&gt;!3cn"</f>
        <v>#VALUE!</v>
      </c>
      <c r="EM392" t="e">
        <f>Asia!F101+"n/&gt;!3co"</f>
        <v>#VALUE!</v>
      </c>
      <c r="EN392" t="e">
        <f>Asia!G101+"n/&gt;!3cp"</f>
        <v>#VALUE!</v>
      </c>
      <c r="EO392" t="e">
        <f>Asia!H101+"n/&gt;!3cq"</f>
        <v>#VALUE!</v>
      </c>
      <c r="EP392" t="e">
        <f>Asia!I101+"n/&gt;!3cr"</f>
        <v>#VALUE!</v>
      </c>
      <c r="EQ392" t="e">
        <f>Asia!A102+"n/&gt;!3cs"</f>
        <v>#VALUE!</v>
      </c>
      <c r="ER392" t="e">
        <f>Asia!B102+"n/&gt;!3ct"</f>
        <v>#VALUE!</v>
      </c>
      <c r="ES392" t="e">
        <f>Asia!C102+"n/&gt;!3cu"</f>
        <v>#VALUE!</v>
      </c>
      <c r="ET392" t="e">
        <f>Asia!D102+"n/&gt;!3cv"</f>
        <v>#VALUE!</v>
      </c>
      <c r="EU392" t="e">
        <f>Asia!E102+"n/&gt;!3cw"</f>
        <v>#VALUE!</v>
      </c>
      <c r="EV392" t="e">
        <f>Asia!F102+"n/&gt;!3cx"</f>
        <v>#VALUE!</v>
      </c>
      <c r="EW392" t="e">
        <f>Asia!G102+"n/&gt;!3cy"</f>
        <v>#VALUE!</v>
      </c>
      <c r="EX392" t="e">
        <f>Asia!H102+"n/&gt;!3cz"</f>
        <v>#VALUE!</v>
      </c>
      <c r="EY392" t="e">
        <f>Asia!I102+"n/&gt;!3c{"</f>
        <v>#VALUE!</v>
      </c>
      <c r="EZ392" t="e">
        <f>Asia!A103+"n/&gt;!3c|"</f>
        <v>#VALUE!</v>
      </c>
      <c r="FA392" t="e">
        <f>Asia!B103+"n/&gt;!3c}"</f>
        <v>#VALUE!</v>
      </c>
      <c r="FB392" t="e">
        <f>Asia!C103+"n/&gt;!3c~"</f>
        <v>#VALUE!</v>
      </c>
      <c r="FC392" t="e">
        <f>Asia!D103+"n/&gt;!3d#"</f>
        <v>#VALUE!</v>
      </c>
      <c r="FD392" t="e">
        <f>Asia!E103+"n/&gt;!3d$"</f>
        <v>#VALUE!</v>
      </c>
      <c r="FE392" t="e">
        <f>Asia!F103+"n/&gt;!3d%"</f>
        <v>#VALUE!</v>
      </c>
      <c r="FF392" t="e">
        <f>Asia!G103+"n/&gt;!3d&amp;"</f>
        <v>#VALUE!</v>
      </c>
      <c r="FG392" t="e">
        <f>Asia!H103+"n/&gt;!3d'"</f>
        <v>#VALUE!</v>
      </c>
      <c r="FH392" t="e">
        <f>Asia!I103+"n/&gt;!3d("</f>
        <v>#VALUE!</v>
      </c>
      <c r="FI392" t="e">
        <f>Asia!A104+"n/&gt;!3d)"</f>
        <v>#VALUE!</v>
      </c>
      <c r="FJ392" t="e">
        <f>Asia!B104+"n/&gt;!3d."</f>
        <v>#VALUE!</v>
      </c>
      <c r="FK392" t="e">
        <f>Asia!C104+"n/&gt;!3d/"</f>
        <v>#VALUE!</v>
      </c>
      <c r="FL392" t="e">
        <f>Asia!D104+"n/&gt;!3d0"</f>
        <v>#VALUE!</v>
      </c>
      <c r="FM392" t="e">
        <f>Asia!E104+"n/&gt;!3d1"</f>
        <v>#VALUE!</v>
      </c>
      <c r="FN392" t="e">
        <f>Asia!F104+"n/&gt;!3d2"</f>
        <v>#VALUE!</v>
      </c>
      <c r="FO392" t="e">
        <f>Asia!G104+"n/&gt;!3d3"</f>
        <v>#VALUE!</v>
      </c>
      <c r="FP392" t="e">
        <f>Asia!H104+"n/&gt;!3d4"</f>
        <v>#VALUE!</v>
      </c>
      <c r="FQ392" t="e">
        <f>Asia!I104+"n/&gt;!3d5"</f>
        <v>#VALUE!</v>
      </c>
      <c r="FR392" t="e">
        <f>Asia!A105+"n/&gt;!3d6"</f>
        <v>#VALUE!</v>
      </c>
      <c r="FS392" t="e">
        <f>Asia!B105+"n/&gt;!3d7"</f>
        <v>#VALUE!</v>
      </c>
      <c r="FT392" t="e">
        <f>Asia!C105+"n/&gt;!3d8"</f>
        <v>#VALUE!</v>
      </c>
      <c r="FU392" t="e">
        <f>Asia!D105+"n/&gt;!3d9"</f>
        <v>#VALUE!</v>
      </c>
      <c r="FV392" t="e">
        <f>Asia!E105+"n/&gt;!3d:"</f>
        <v>#VALUE!</v>
      </c>
      <c r="FW392" t="e">
        <f>Asia!F105+"n/&gt;!3d;"</f>
        <v>#VALUE!</v>
      </c>
      <c r="FX392" t="e">
        <f>Asia!G105+"n/&gt;!3d&lt;"</f>
        <v>#VALUE!</v>
      </c>
      <c r="FY392" t="e">
        <f>Asia!H105+"n/&gt;!3d="</f>
        <v>#VALUE!</v>
      </c>
      <c r="FZ392" t="e">
        <f>Asia!I105+"n/&gt;!3d&gt;"</f>
        <v>#VALUE!</v>
      </c>
      <c r="GA392" t="e">
        <f>Asia!A106+"n/&gt;!3d?"</f>
        <v>#VALUE!</v>
      </c>
      <c r="GB392" t="e">
        <f>Asia!B106+"n/&gt;!3d@"</f>
        <v>#VALUE!</v>
      </c>
      <c r="GC392" t="e">
        <f>Asia!C106+"n/&gt;!3dA"</f>
        <v>#VALUE!</v>
      </c>
      <c r="GD392" t="e">
        <f>Asia!D106+"n/&gt;!3dB"</f>
        <v>#VALUE!</v>
      </c>
      <c r="GE392" t="e">
        <f>Asia!E106+"n/&gt;!3dC"</f>
        <v>#VALUE!</v>
      </c>
      <c r="GF392" t="e">
        <f>Asia!F106+"n/&gt;!3dD"</f>
        <v>#VALUE!</v>
      </c>
      <c r="GG392" t="e">
        <f>Asia!G106+"n/&gt;!3dE"</f>
        <v>#VALUE!</v>
      </c>
      <c r="GH392" t="e">
        <f>Asia!H106+"n/&gt;!3dF"</f>
        <v>#VALUE!</v>
      </c>
      <c r="GI392" t="e">
        <f>Asia!I106+"n/&gt;!3dG"</f>
        <v>#VALUE!</v>
      </c>
      <c r="GJ392" t="e">
        <f>Asia!A107+"n/&gt;!3dH"</f>
        <v>#VALUE!</v>
      </c>
      <c r="GK392" t="e">
        <f>Asia!B107+"n/&gt;!3dI"</f>
        <v>#VALUE!</v>
      </c>
      <c r="GL392" t="e">
        <f>Asia!C107+"n/&gt;!3dJ"</f>
        <v>#VALUE!</v>
      </c>
      <c r="GM392" t="e">
        <f>Asia!D107+"n/&gt;!3dK"</f>
        <v>#VALUE!</v>
      </c>
      <c r="GN392" t="e">
        <f>Asia!E107+"n/&gt;!3dL"</f>
        <v>#VALUE!</v>
      </c>
      <c r="GO392" t="e">
        <f>Asia!F107+"n/&gt;!3dM"</f>
        <v>#VALUE!</v>
      </c>
      <c r="GP392" t="e">
        <f>Asia!G107+"n/&gt;!3dN"</f>
        <v>#VALUE!</v>
      </c>
      <c r="GQ392" t="e">
        <f>Asia!H107+"n/&gt;!3dO"</f>
        <v>#VALUE!</v>
      </c>
      <c r="GR392" t="e">
        <f>Asia!I107+"n/&gt;!3dP"</f>
        <v>#VALUE!</v>
      </c>
      <c r="GS392" t="e">
        <f>Asia!A108+"n/&gt;!3dQ"</f>
        <v>#VALUE!</v>
      </c>
      <c r="GT392" t="e">
        <f>Asia!B108+"n/&gt;!3dR"</f>
        <v>#VALUE!</v>
      </c>
      <c r="GU392" t="e">
        <f>Asia!C108+"n/&gt;!3dS"</f>
        <v>#VALUE!</v>
      </c>
      <c r="GV392" t="e">
        <f>Asia!D108+"n/&gt;!3dT"</f>
        <v>#VALUE!</v>
      </c>
      <c r="GW392" t="e">
        <f>Asia!E108+"n/&gt;!3dU"</f>
        <v>#VALUE!</v>
      </c>
      <c r="GX392" t="e">
        <f>Asia!F108+"n/&gt;!3dV"</f>
        <v>#VALUE!</v>
      </c>
      <c r="GY392" t="e">
        <f>Asia!G108+"n/&gt;!3dW"</f>
        <v>#VALUE!</v>
      </c>
      <c r="GZ392" t="e">
        <f>Asia!H108+"n/&gt;!3dX"</f>
        <v>#VALUE!</v>
      </c>
      <c r="HA392" t="e">
        <f>Asia!I108+"n/&gt;!3dY"</f>
        <v>#VALUE!</v>
      </c>
      <c r="HB392" t="e">
        <f>Asia!A109+"n/&gt;!3dZ"</f>
        <v>#VALUE!</v>
      </c>
      <c r="HC392" t="e">
        <f>Asia!B109+"n/&gt;!3d["</f>
        <v>#VALUE!</v>
      </c>
      <c r="HD392" t="e">
        <f>Asia!C109+"n/&gt;!3d\"</f>
        <v>#VALUE!</v>
      </c>
      <c r="HE392" t="e">
        <f>Asia!D109+"n/&gt;!3d]"</f>
        <v>#VALUE!</v>
      </c>
      <c r="HF392" t="e">
        <f>Asia!E109+"n/&gt;!3d^"</f>
        <v>#VALUE!</v>
      </c>
      <c r="HG392" t="e">
        <f>Asia!F109+"n/&gt;!3d_"</f>
        <v>#VALUE!</v>
      </c>
      <c r="HH392" t="e">
        <f>Asia!G109+"n/&gt;!3d`"</f>
        <v>#VALUE!</v>
      </c>
      <c r="HI392" t="e">
        <f>Asia!H109+"n/&gt;!3da"</f>
        <v>#VALUE!</v>
      </c>
      <c r="HJ392" t="e">
        <f>Asia!I109+"n/&gt;!3db"</f>
        <v>#VALUE!</v>
      </c>
      <c r="HK392" t="e">
        <f>Asia!A110+"n/&gt;!3dc"</f>
        <v>#VALUE!</v>
      </c>
      <c r="HL392" t="e">
        <f>Asia!B110+"n/&gt;!3dd"</f>
        <v>#VALUE!</v>
      </c>
      <c r="HM392" t="e">
        <f>Asia!C110+"n/&gt;!3de"</f>
        <v>#VALUE!</v>
      </c>
      <c r="HN392" t="e">
        <f>Asia!D110+"n/&gt;!3df"</f>
        <v>#VALUE!</v>
      </c>
      <c r="HO392" t="e">
        <f>Asia!E110+"n/&gt;!3dg"</f>
        <v>#VALUE!</v>
      </c>
      <c r="HP392" t="e">
        <f>Asia!F110+"n/&gt;!3dh"</f>
        <v>#VALUE!</v>
      </c>
      <c r="HQ392" t="e">
        <f>Asia!G110+"n/&gt;!3di"</f>
        <v>#VALUE!</v>
      </c>
      <c r="HR392" t="e">
        <f>Asia!H110+"n/&gt;!3dj"</f>
        <v>#VALUE!</v>
      </c>
      <c r="HS392" t="e">
        <f>Asia!I110+"n/&gt;!3dk"</f>
        <v>#VALUE!</v>
      </c>
      <c r="HT392" t="e">
        <f>Asia!A111+"n/&gt;!3dl"</f>
        <v>#VALUE!</v>
      </c>
      <c r="HU392" t="e">
        <f>Asia!B111+"n/&gt;!3dm"</f>
        <v>#VALUE!</v>
      </c>
      <c r="HV392" t="e">
        <f>Asia!C111+"n/&gt;!3dn"</f>
        <v>#VALUE!</v>
      </c>
      <c r="HW392" t="e">
        <f>Asia!D111+"n/&gt;!3do"</f>
        <v>#VALUE!</v>
      </c>
      <c r="HX392" t="e">
        <f>Asia!E111+"n/&gt;!3dp"</f>
        <v>#VALUE!</v>
      </c>
      <c r="HY392" t="e">
        <f>Asia!F111+"n/&gt;!3dq"</f>
        <v>#VALUE!</v>
      </c>
      <c r="HZ392" t="e">
        <f>Asia!G111+"n/&gt;!3dr"</f>
        <v>#VALUE!</v>
      </c>
      <c r="IA392" t="e">
        <f>Asia!H111+"n/&gt;!3ds"</f>
        <v>#VALUE!</v>
      </c>
      <c r="IB392" t="e">
        <f>Asia!I111+"n/&gt;!3dt"</f>
        <v>#VALUE!</v>
      </c>
      <c r="IC392" t="e">
        <f>Asia!A112+"n/&gt;!3du"</f>
        <v>#VALUE!</v>
      </c>
      <c r="ID392" t="e">
        <f>Asia!B112+"n/&gt;!3dv"</f>
        <v>#VALUE!</v>
      </c>
      <c r="IE392" t="e">
        <f>Asia!C112+"n/&gt;!3dw"</f>
        <v>#VALUE!</v>
      </c>
      <c r="IF392" t="e">
        <f>Asia!D112+"n/&gt;!3dx"</f>
        <v>#VALUE!</v>
      </c>
      <c r="IG392" t="e">
        <f>Asia!E112+"n/&gt;!3dy"</f>
        <v>#VALUE!</v>
      </c>
      <c r="IH392" t="e">
        <f>Asia!F112+"n/&gt;!3dz"</f>
        <v>#VALUE!</v>
      </c>
      <c r="II392" t="e">
        <f>Asia!G112+"n/&gt;!3d{"</f>
        <v>#VALUE!</v>
      </c>
      <c r="IJ392" t="e">
        <f>Asia!H112+"n/&gt;!3d|"</f>
        <v>#VALUE!</v>
      </c>
      <c r="IK392" t="e">
        <f>Asia!I112+"n/&gt;!3d}"</f>
        <v>#VALUE!</v>
      </c>
      <c r="IL392" t="e">
        <f>Asia!A113+"n/&gt;!3d~"</f>
        <v>#VALUE!</v>
      </c>
      <c r="IM392" t="e">
        <f>Asia!B113+"n/&gt;!3e#"</f>
        <v>#VALUE!</v>
      </c>
      <c r="IN392" t="e">
        <f>Asia!C113+"n/&gt;!3e$"</f>
        <v>#VALUE!</v>
      </c>
      <c r="IO392" t="e">
        <f>Asia!D113+"n/&gt;!3e%"</f>
        <v>#VALUE!</v>
      </c>
      <c r="IP392" t="e">
        <f>Asia!E113+"n/&gt;!3e&amp;"</f>
        <v>#VALUE!</v>
      </c>
      <c r="IQ392" t="e">
        <f>Asia!F113+"n/&gt;!3e'"</f>
        <v>#VALUE!</v>
      </c>
      <c r="IR392" t="e">
        <f>Asia!G113+"n/&gt;!3e("</f>
        <v>#VALUE!</v>
      </c>
      <c r="IS392" t="e">
        <f>Asia!H113+"n/&gt;!3e)"</f>
        <v>#VALUE!</v>
      </c>
      <c r="IT392" t="e">
        <f>Asia!I113+"n/&gt;!3e."</f>
        <v>#VALUE!</v>
      </c>
      <c r="IU392" t="e">
        <f>Asia!A114+"n/&gt;!3e/"</f>
        <v>#VALUE!</v>
      </c>
      <c r="IV392" t="e">
        <f>Asia!B114+"n/&gt;!3e0"</f>
        <v>#VALUE!</v>
      </c>
    </row>
    <row r="393" spans="6:256" x14ac:dyDescent="0.35">
      <c r="F393" t="e">
        <f>Asia!C114+"n/&gt;!3e1"</f>
        <v>#VALUE!</v>
      </c>
      <c r="G393" t="e">
        <f>Asia!D114+"n/&gt;!3e2"</f>
        <v>#VALUE!</v>
      </c>
      <c r="H393" t="e">
        <f>Asia!E114+"n/&gt;!3e3"</f>
        <v>#VALUE!</v>
      </c>
      <c r="I393" t="e">
        <f>Asia!F114+"n/&gt;!3e4"</f>
        <v>#VALUE!</v>
      </c>
      <c r="J393" t="e">
        <f>Asia!G114+"n/&gt;!3e5"</f>
        <v>#VALUE!</v>
      </c>
      <c r="K393" t="e">
        <f>Asia!H114+"n/&gt;!3e6"</f>
        <v>#VALUE!</v>
      </c>
      <c r="L393" t="e">
        <f>Asia!I114+"n/&gt;!3e7"</f>
        <v>#VALUE!</v>
      </c>
      <c r="M393" t="e">
        <f>Asia!A115+"n/&gt;!3e8"</f>
        <v>#VALUE!</v>
      </c>
      <c r="N393" t="e">
        <f>Asia!B115+"n/&gt;!3e9"</f>
        <v>#VALUE!</v>
      </c>
      <c r="O393" t="e">
        <f>Asia!C115+"n/&gt;!3e:"</f>
        <v>#VALUE!</v>
      </c>
      <c r="P393" t="e">
        <f>Asia!D115+"n/&gt;!3e;"</f>
        <v>#VALUE!</v>
      </c>
      <c r="Q393" t="e">
        <f>Asia!E115+"n/&gt;!3e&lt;"</f>
        <v>#VALUE!</v>
      </c>
      <c r="R393" t="e">
        <f>Asia!F115+"n/&gt;!3e="</f>
        <v>#VALUE!</v>
      </c>
      <c r="S393" t="e">
        <f>Asia!G115+"n/&gt;!3e&gt;"</f>
        <v>#VALUE!</v>
      </c>
      <c r="T393" t="e">
        <f>Asia!H115+"n/&gt;!3e?"</f>
        <v>#VALUE!</v>
      </c>
      <c r="U393" t="e">
        <f>Asia!I115+"n/&gt;!3e@"</f>
        <v>#VALUE!</v>
      </c>
      <c r="V393" t="e">
        <f>Asia!A116+"n/&gt;!3eA"</f>
        <v>#VALUE!</v>
      </c>
      <c r="W393" t="e">
        <f>Asia!B116+"n/&gt;!3eB"</f>
        <v>#VALUE!</v>
      </c>
      <c r="X393" t="e">
        <f>Asia!C116+"n/&gt;!3eC"</f>
        <v>#VALUE!</v>
      </c>
      <c r="Y393" t="e">
        <f>Asia!D116+"n/&gt;!3eD"</f>
        <v>#VALUE!</v>
      </c>
      <c r="Z393" t="e">
        <f>Asia!E116+"n/&gt;!3eE"</f>
        <v>#VALUE!</v>
      </c>
      <c r="AA393" t="e">
        <f>Asia!F116+"n/&gt;!3eF"</f>
        <v>#VALUE!</v>
      </c>
      <c r="AB393" t="e">
        <f>Asia!G116+"n/&gt;!3eG"</f>
        <v>#VALUE!</v>
      </c>
      <c r="AC393" t="e">
        <f>Asia!H116+"n/&gt;!3eH"</f>
        <v>#VALUE!</v>
      </c>
      <c r="AD393" t="e">
        <f>Asia!I116+"n/&gt;!3eI"</f>
        <v>#VALUE!</v>
      </c>
      <c r="AE393" t="e">
        <f>Asia!A117+"n/&gt;!3eJ"</f>
        <v>#VALUE!</v>
      </c>
      <c r="AF393" t="e">
        <f>Asia!B117+"n/&gt;!3eK"</f>
        <v>#VALUE!</v>
      </c>
      <c r="AG393" t="e">
        <f>Asia!C117+"n/&gt;!3eL"</f>
        <v>#VALUE!</v>
      </c>
      <c r="AH393" t="e">
        <f>Asia!D117+"n/&gt;!3eM"</f>
        <v>#VALUE!</v>
      </c>
      <c r="AI393" t="e">
        <f>Asia!E117+"n/&gt;!3eN"</f>
        <v>#VALUE!</v>
      </c>
      <c r="AJ393" t="e">
        <f>Asia!F117+"n/&gt;!3eO"</f>
        <v>#VALUE!</v>
      </c>
      <c r="AK393" t="e">
        <f>Asia!G117+"n/&gt;!3eP"</f>
        <v>#VALUE!</v>
      </c>
      <c r="AL393" t="e">
        <f>Asia!H117+"n/&gt;!3eQ"</f>
        <v>#VALUE!</v>
      </c>
      <c r="AM393" t="e">
        <f>Asia!I117+"n/&gt;!3eR"</f>
        <v>#VALUE!</v>
      </c>
      <c r="AN393" t="e">
        <f>Asia!A118+"n/&gt;!3eS"</f>
        <v>#VALUE!</v>
      </c>
      <c r="AO393" t="e">
        <f>Asia!B118+"n/&gt;!3eT"</f>
        <v>#VALUE!</v>
      </c>
      <c r="AP393" t="e">
        <f>Asia!C118+"n/&gt;!3eU"</f>
        <v>#VALUE!</v>
      </c>
      <c r="AQ393" t="e">
        <f>Asia!D118+"n/&gt;!3eV"</f>
        <v>#VALUE!</v>
      </c>
      <c r="AR393" t="e">
        <f>Asia!E118+"n/&gt;!3eW"</f>
        <v>#VALUE!</v>
      </c>
      <c r="AS393" t="e">
        <f>Asia!F118+"n/&gt;!3eX"</f>
        <v>#VALUE!</v>
      </c>
      <c r="AT393" t="e">
        <f>Asia!G118+"n/&gt;!3eY"</f>
        <v>#VALUE!</v>
      </c>
      <c r="AU393" t="e">
        <f>Asia!H118+"n/&gt;!3eZ"</f>
        <v>#VALUE!</v>
      </c>
      <c r="AV393" t="e">
        <f>Asia!I118+"n/&gt;!3e["</f>
        <v>#VALUE!</v>
      </c>
      <c r="AW393" t="e">
        <f>Asia!A119+"n/&gt;!3e\"</f>
        <v>#VALUE!</v>
      </c>
      <c r="AX393" t="e">
        <f>Asia!B119+"n/&gt;!3e]"</f>
        <v>#VALUE!</v>
      </c>
      <c r="AY393" t="e">
        <f>Asia!C119+"n/&gt;!3e^"</f>
        <v>#VALUE!</v>
      </c>
      <c r="AZ393" t="e">
        <f>Asia!D119+"n/&gt;!3e_"</f>
        <v>#VALUE!</v>
      </c>
      <c r="BA393" t="e">
        <f>Asia!E119+"n/&gt;!3e`"</f>
        <v>#VALUE!</v>
      </c>
      <c r="BB393" t="e">
        <f>Asia!F119+"n/&gt;!3ea"</f>
        <v>#VALUE!</v>
      </c>
      <c r="BC393" t="e">
        <f>Asia!G119+"n/&gt;!3eb"</f>
        <v>#VALUE!</v>
      </c>
      <c r="BD393" t="e">
        <f>Asia!H119+"n/&gt;!3ec"</f>
        <v>#VALUE!</v>
      </c>
      <c r="BE393" t="e">
        <f>Asia!I119+"n/&gt;!3ed"</f>
        <v>#VALUE!</v>
      </c>
      <c r="BF393" t="e">
        <f>Asia!A120+"n/&gt;!3ee"</f>
        <v>#VALUE!</v>
      </c>
      <c r="BG393" t="e">
        <f>Asia!B120+"n/&gt;!3ef"</f>
        <v>#VALUE!</v>
      </c>
      <c r="BH393" t="e">
        <f>Asia!C120+"n/&gt;!3eg"</f>
        <v>#VALUE!</v>
      </c>
      <c r="BI393" t="e">
        <f>Asia!D120+"n/&gt;!3eh"</f>
        <v>#VALUE!</v>
      </c>
      <c r="BJ393" t="e">
        <f>Asia!E120+"n/&gt;!3ei"</f>
        <v>#VALUE!</v>
      </c>
      <c r="BK393" t="e">
        <f>Asia!F120+"n/&gt;!3ej"</f>
        <v>#VALUE!</v>
      </c>
      <c r="BL393" t="e">
        <f>Asia!G120+"n/&gt;!3ek"</f>
        <v>#VALUE!</v>
      </c>
      <c r="BM393" t="e">
        <f>Asia!H120+"n/&gt;!3el"</f>
        <v>#VALUE!</v>
      </c>
      <c r="BN393" t="e">
        <f>Asia!I120+"n/&gt;!3em"</f>
        <v>#VALUE!</v>
      </c>
      <c r="BO393" t="e">
        <f>Asia!A121+"n/&gt;!3en"</f>
        <v>#VALUE!</v>
      </c>
      <c r="BP393" t="e">
        <f>Asia!B121+"n/&gt;!3eo"</f>
        <v>#VALUE!</v>
      </c>
      <c r="BQ393" t="e">
        <f>Asia!C121+"n/&gt;!3ep"</f>
        <v>#VALUE!</v>
      </c>
      <c r="BR393" t="e">
        <f>Asia!D121+"n/&gt;!3eq"</f>
        <v>#VALUE!</v>
      </c>
      <c r="BS393" t="e">
        <f>Asia!E121+"n/&gt;!3er"</f>
        <v>#VALUE!</v>
      </c>
      <c r="BT393" t="e">
        <f>Asia!F121+"n/&gt;!3es"</f>
        <v>#VALUE!</v>
      </c>
      <c r="BU393" t="e">
        <f>Asia!G121+"n/&gt;!3et"</f>
        <v>#VALUE!</v>
      </c>
      <c r="BV393" t="e">
        <f>Asia!H121+"n/&gt;!3eu"</f>
        <v>#VALUE!</v>
      </c>
      <c r="BW393" t="e">
        <f>Asia!I121+"n/&gt;!3ev"</f>
        <v>#VALUE!</v>
      </c>
      <c r="BX393" t="e">
        <f>Asia!A122+"n/&gt;!3ew"</f>
        <v>#VALUE!</v>
      </c>
      <c r="BY393" t="e">
        <f>Asia!B122+"n/&gt;!3ex"</f>
        <v>#VALUE!</v>
      </c>
      <c r="BZ393" t="e">
        <f>Asia!C122+"n/&gt;!3ey"</f>
        <v>#VALUE!</v>
      </c>
      <c r="CA393" t="e">
        <f>Asia!D122+"n/&gt;!3ez"</f>
        <v>#VALUE!</v>
      </c>
      <c r="CB393" t="e">
        <f>Asia!E122+"n/&gt;!3e{"</f>
        <v>#VALUE!</v>
      </c>
      <c r="CC393" t="e">
        <f>Asia!F122+"n/&gt;!3e|"</f>
        <v>#VALUE!</v>
      </c>
      <c r="CD393" t="e">
        <f>Asia!G122+"n/&gt;!3e}"</f>
        <v>#VALUE!</v>
      </c>
      <c r="CE393" t="e">
        <f>Asia!H122+"n/&gt;!3e~"</f>
        <v>#VALUE!</v>
      </c>
      <c r="CF393" t="e">
        <f>Asia!I122+"n/&gt;!3f#"</f>
        <v>#VALUE!</v>
      </c>
      <c r="CG393" t="e">
        <f>Asia!A123+"n/&gt;!3f$"</f>
        <v>#VALUE!</v>
      </c>
      <c r="CH393" t="e">
        <f>Asia!B123+"n/&gt;!3f%"</f>
        <v>#VALUE!</v>
      </c>
      <c r="CI393" t="e">
        <f>Asia!C123+"n/&gt;!3f&amp;"</f>
        <v>#VALUE!</v>
      </c>
      <c r="CJ393" t="e">
        <f>Asia!D123+"n/&gt;!3f'"</f>
        <v>#VALUE!</v>
      </c>
      <c r="CK393" t="e">
        <f>Asia!E123+"n/&gt;!3f("</f>
        <v>#VALUE!</v>
      </c>
      <c r="CL393" t="e">
        <f>Asia!F123+"n/&gt;!3f)"</f>
        <v>#VALUE!</v>
      </c>
      <c r="CM393" t="e">
        <f>Asia!G123+"n/&gt;!3f."</f>
        <v>#VALUE!</v>
      </c>
      <c r="CN393" t="e">
        <f>Asia!H123+"n/&gt;!3f/"</f>
        <v>#VALUE!</v>
      </c>
      <c r="CO393" t="e">
        <f>Asia!I123+"n/&gt;!3f0"</f>
        <v>#VALUE!</v>
      </c>
      <c r="CP393" t="e">
        <f>Asia!A124+"n/&gt;!3f1"</f>
        <v>#VALUE!</v>
      </c>
      <c r="CQ393" t="e">
        <f>Asia!B124+"n/&gt;!3f2"</f>
        <v>#VALUE!</v>
      </c>
      <c r="CR393" t="e">
        <f>Asia!C124+"n/&gt;!3f3"</f>
        <v>#VALUE!</v>
      </c>
      <c r="CS393" t="e">
        <f>Asia!D124+"n/&gt;!3f4"</f>
        <v>#VALUE!</v>
      </c>
      <c r="CT393" t="e">
        <f>Asia!E124+"n/&gt;!3f5"</f>
        <v>#VALUE!</v>
      </c>
      <c r="CU393" t="e">
        <f>Asia!F124+"n/&gt;!3f6"</f>
        <v>#VALUE!</v>
      </c>
      <c r="CV393" t="e">
        <f>Asia!G124+"n/&gt;!3f7"</f>
        <v>#VALUE!</v>
      </c>
      <c r="CW393" t="e">
        <f>Asia!H124+"n/&gt;!3f8"</f>
        <v>#VALUE!</v>
      </c>
      <c r="CX393" t="e">
        <f>Asia!I124+"n/&gt;!3f9"</f>
        <v>#VALUE!</v>
      </c>
      <c r="CY393" t="e">
        <f>Asia!A125+"n/&gt;!3f:"</f>
        <v>#VALUE!</v>
      </c>
      <c r="CZ393" t="e">
        <f>Asia!B125+"n/&gt;!3f;"</f>
        <v>#VALUE!</v>
      </c>
      <c r="DA393" t="e">
        <f>Asia!C125+"n/&gt;!3f&lt;"</f>
        <v>#VALUE!</v>
      </c>
      <c r="DB393" t="e">
        <f>Asia!D125+"n/&gt;!3f="</f>
        <v>#VALUE!</v>
      </c>
      <c r="DC393" t="e">
        <f>Asia!E125+"n/&gt;!3f&gt;"</f>
        <v>#VALUE!</v>
      </c>
      <c r="DD393" t="e">
        <f>Asia!F125+"n/&gt;!3f?"</f>
        <v>#VALUE!</v>
      </c>
      <c r="DE393" t="e">
        <f>Asia!G125+"n/&gt;!3f@"</f>
        <v>#VALUE!</v>
      </c>
      <c r="DF393" t="e">
        <f>Asia!H125+"n/&gt;!3fA"</f>
        <v>#VALUE!</v>
      </c>
      <c r="DG393" t="e">
        <f>Asia!I125+"n/&gt;!3fB"</f>
        <v>#VALUE!</v>
      </c>
      <c r="DH393" t="e">
        <f>Asia!A126+"n/&gt;!3fC"</f>
        <v>#VALUE!</v>
      </c>
      <c r="DI393" t="e">
        <f>Asia!B126+"n/&gt;!3fD"</f>
        <v>#VALUE!</v>
      </c>
      <c r="DJ393" t="e">
        <f>Asia!C126+"n/&gt;!3fE"</f>
        <v>#VALUE!</v>
      </c>
      <c r="DK393" t="e">
        <f>Asia!D126+"n/&gt;!3fF"</f>
        <v>#VALUE!</v>
      </c>
      <c r="DL393" t="e">
        <f>Asia!E126+"n/&gt;!3fG"</f>
        <v>#VALUE!</v>
      </c>
      <c r="DM393" t="e">
        <f>Asia!F126+"n/&gt;!3fH"</f>
        <v>#VALUE!</v>
      </c>
      <c r="DN393" t="e">
        <f>Asia!G126+"n/&gt;!3fI"</f>
        <v>#VALUE!</v>
      </c>
      <c r="DO393" t="e">
        <f>Asia!H126+"n/&gt;!3fJ"</f>
        <v>#VALUE!</v>
      </c>
      <c r="DP393" t="e">
        <f>Asia!I126+"n/&gt;!3fK"</f>
        <v>#VALUE!</v>
      </c>
      <c r="DQ393" t="e">
        <f>Asia!A127+"n/&gt;!3fL"</f>
        <v>#VALUE!</v>
      </c>
      <c r="DR393" t="e">
        <f>Asia!B127+"n/&gt;!3fM"</f>
        <v>#VALUE!</v>
      </c>
      <c r="DS393" t="e">
        <f>Asia!C127+"n/&gt;!3fN"</f>
        <v>#VALUE!</v>
      </c>
      <c r="DT393" t="e">
        <f>Asia!D127+"n/&gt;!3fO"</f>
        <v>#VALUE!</v>
      </c>
      <c r="DU393" t="e">
        <f>Asia!E127+"n/&gt;!3fP"</f>
        <v>#VALUE!</v>
      </c>
      <c r="DV393" t="e">
        <f>Asia!F127+"n/&gt;!3fQ"</f>
        <v>#VALUE!</v>
      </c>
      <c r="DW393" t="e">
        <f>Asia!G127+"n/&gt;!3fR"</f>
        <v>#VALUE!</v>
      </c>
      <c r="DX393" t="e">
        <f>Asia!H127+"n/&gt;!3fS"</f>
        <v>#VALUE!</v>
      </c>
      <c r="DY393" t="e">
        <f>Asia!I127+"n/&gt;!3fT"</f>
        <v>#VALUE!</v>
      </c>
      <c r="DZ393" t="e">
        <f>Asia!A128+"n/&gt;!3fU"</f>
        <v>#VALUE!</v>
      </c>
      <c r="EA393" t="e">
        <f>Asia!B128+"n/&gt;!3fV"</f>
        <v>#VALUE!</v>
      </c>
      <c r="EB393" t="e">
        <f>Asia!C128+"n/&gt;!3fW"</f>
        <v>#VALUE!</v>
      </c>
      <c r="EC393" t="e">
        <f>Asia!D128+"n/&gt;!3fX"</f>
        <v>#VALUE!</v>
      </c>
      <c r="ED393" t="e">
        <f>Asia!E128+"n/&gt;!3fY"</f>
        <v>#VALUE!</v>
      </c>
      <c r="EE393" t="e">
        <f>Asia!F128+"n/&gt;!3fZ"</f>
        <v>#VALUE!</v>
      </c>
      <c r="EF393" t="e">
        <f>Asia!G128+"n/&gt;!3f["</f>
        <v>#VALUE!</v>
      </c>
      <c r="EG393" t="e">
        <f>Asia!H128+"n/&gt;!3f\"</f>
        <v>#VALUE!</v>
      </c>
      <c r="EH393" t="e">
        <f>Asia!I128+"n/&gt;!3f]"</f>
        <v>#VALUE!</v>
      </c>
      <c r="EI393" t="e">
        <f>Asia!A129+"n/&gt;!3f^"</f>
        <v>#VALUE!</v>
      </c>
      <c r="EJ393" t="e">
        <f>Asia!B129+"n/&gt;!3f_"</f>
        <v>#VALUE!</v>
      </c>
      <c r="EK393" t="e">
        <f>Asia!C129+"n/&gt;!3f`"</f>
        <v>#VALUE!</v>
      </c>
      <c r="EL393" t="e">
        <f>Asia!D129+"n/&gt;!3fa"</f>
        <v>#VALUE!</v>
      </c>
      <c r="EM393" t="e">
        <f>Asia!E129+"n/&gt;!3fb"</f>
        <v>#VALUE!</v>
      </c>
      <c r="EN393" t="e">
        <f>Asia!F129+"n/&gt;!3fc"</f>
        <v>#VALUE!</v>
      </c>
      <c r="EO393" t="e">
        <f>Asia!G129+"n/&gt;!3fd"</f>
        <v>#VALUE!</v>
      </c>
      <c r="EP393" t="e">
        <f>Asia!H129+"n/&gt;!3fe"</f>
        <v>#VALUE!</v>
      </c>
      <c r="EQ393" t="e">
        <f>Asia!I129+"n/&gt;!3ff"</f>
        <v>#VALUE!</v>
      </c>
      <c r="ER393" t="e">
        <f>Asia!A130+"n/&gt;!3fg"</f>
        <v>#VALUE!</v>
      </c>
      <c r="ES393" t="e">
        <f>Asia!B130+"n/&gt;!3fh"</f>
        <v>#VALUE!</v>
      </c>
      <c r="ET393" t="e">
        <f>Asia!C130+"n/&gt;!3fi"</f>
        <v>#VALUE!</v>
      </c>
      <c r="EU393" t="e">
        <f>Asia!D130+"n/&gt;!3fj"</f>
        <v>#VALUE!</v>
      </c>
      <c r="EV393" t="e">
        <f>Asia!E130+"n/&gt;!3fk"</f>
        <v>#VALUE!</v>
      </c>
      <c r="EW393" t="e">
        <f>Asia!F130+"n/&gt;!3fl"</f>
        <v>#VALUE!</v>
      </c>
      <c r="EX393" t="e">
        <f>Asia!G130+"n/&gt;!3fm"</f>
        <v>#VALUE!</v>
      </c>
      <c r="EY393" t="e">
        <f>Asia!H130+"n/&gt;!3fn"</f>
        <v>#VALUE!</v>
      </c>
      <c r="EZ393" t="e">
        <f>Asia!I130+"n/&gt;!3fo"</f>
        <v>#VALUE!</v>
      </c>
      <c r="FA393" t="e">
        <f>Asia!A131+"n/&gt;!3fp"</f>
        <v>#VALUE!</v>
      </c>
      <c r="FB393" t="e">
        <f>Asia!B131+"n/&gt;!3fq"</f>
        <v>#VALUE!</v>
      </c>
      <c r="FC393" t="e">
        <f>Asia!C131+"n/&gt;!3fr"</f>
        <v>#VALUE!</v>
      </c>
      <c r="FD393" t="e">
        <f>Asia!D131+"n/&gt;!3fs"</f>
        <v>#VALUE!</v>
      </c>
      <c r="FE393" t="e">
        <f>Asia!E131+"n/&gt;!3ft"</f>
        <v>#VALUE!</v>
      </c>
      <c r="FF393" t="e">
        <f>Asia!F131+"n/&gt;!3fu"</f>
        <v>#VALUE!</v>
      </c>
      <c r="FG393" t="e">
        <f>Asia!G131+"n/&gt;!3fv"</f>
        <v>#VALUE!</v>
      </c>
      <c r="FH393" t="e">
        <f>Asia!H131+"n/&gt;!3fw"</f>
        <v>#VALUE!</v>
      </c>
      <c r="FI393" t="e">
        <f>Asia!I131+"n/&gt;!3fx"</f>
        <v>#VALUE!</v>
      </c>
      <c r="FJ393" t="e">
        <f>Asia!A132+"n/&gt;!3fy"</f>
        <v>#VALUE!</v>
      </c>
      <c r="FK393" t="e">
        <f>Asia!B132+"n/&gt;!3fz"</f>
        <v>#VALUE!</v>
      </c>
      <c r="FL393" t="e">
        <f>Asia!C132+"n/&gt;!3f{"</f>
        <v>#VALUE!</v>
      </c>
      <c r="FM393" t="e">
        <f>Asia!D132+"n/&gt;!3f|"</f>
        <v>#VALUE!</v>
      </c>
      <c r="FN393" t="e">
        <f>Asia!E132+"n/&gt;!3f}"</f>
        <v>#VALUE!</v>
      </c>
      <c r="FO393" t="e">
        <f>Asia!F132+"n/&gt;!3f~"</f>
        <v>#VALUE!</v>
      </c>
      <c r="FP393" t="e">
        <f>Asia!G132+"n/&gt;!3g#"</f>
        <v>#VALUE!</v>
      </c>
      <c r="FQ393" t="e">
        <f>Asia!H132+"n/&gt;!3g$"</f>
        <v>#VALUE!</v>
      </c>
      <c r="FR393" t="e">
        <f>Asia!I132+"n/&gt;!3g%"</f>
        <v>#VALUE!</v>
      </c>
      <c r="FS393" t="e">
        <f>Asia!A133+"n/&gt;!3g&amp;"</f>
        <v>#VALUE!</v>
      </c>
      <c r="FT393" t="e">
        <f>Asia!B133+"n/&gt;!3g'"</f>
        <v>#VALUE!</v>
      </c>
      <c r="FU393" t="e">
        <f>Asia!C133+"n/&gt;!3g("</f>
        <v>#VALUE!</v>
      </c>
      <c r="FV393" t="e">
        <f>Asia!D133+"n/&gt;!3g)"</f>
        <v>#VALUE!</v>
      </c>
      <c r="FW393" t="e">
        <f>Asia!E133+"n/&gt;!3g."</f>
        <v>#VALUE!</v>
      </c>
      <c r="FX393" t="e">
        <f>Asia!F133+"n/&gt;!3g/"</f>
        <v>#VALUE!</v>
      </c>
      <c r="FY393" t="e">
        <f>Asia!G133+"n/&gt;!3g0"</f>
        <v>#VALUE!</v>
      </c>
      <c r="FZ393" t="e">
        <f>Asia!H133+"n/&gt;!3g1"</f>
        <v>#VALUE!</v>
      </c>
      <c r="GA393" t="e">
        <f>Asia!I133+"n/&gt;!3g2"</f>
        <v>#VALUE!</v>
      </c>
      <c r="GB393" t="e">
        <f>Asia!A134+"n/&gt;!3g3"</f>
        <v>#VALUE!</v>
      </c>
      <c r="GC393" t="e">
        <f>Asia!B134+"n/&gt;!3g4"</f>
        <v>#VALUE!</v>
      </c>
      <c r="GD393" t="e">
        <f>Asia!C134+"n/&gt;!3g5"</f>
        <v>#VALUE!</v>
      </c>
      <c r="GE393" t="e">
        <f>Asia!D134+"n/&gt;!3g6"</f>
        <v>#VALUE!</v>
      </c>
      <c r="GF393" t="e">
        <f>Asia!E134+"n/&gt;!3g7"</f>
        <v>#VALUE!</v>
      </c>
      <c r="GG393" t="e">
        <f>Asia!F134+"n/&gt;!3g8"</f>
        <v>#VALUE!</v>
      </c>
      <c r="GH393" t="e">
        <f>Asia!G134+"n/&gt;!3g9"</f>
        <v>#VALUE!</v>
      </c>
      <c r="GI393" t="e">
        <f>Asia!H134+"n/&gt;!3g:"</f>
        <v>#VALUE!</v>
      </c>
      <c r="GJ393" t="e">
        <f>Asia!I134+"n/&gt;!3g;"</f>
        <v>#VALUE!</v>
      </c>
      <c r="GK393" t="e">
        <f>Asia!A135+"n/&gt;!3g&lt;"</f>
        <v>#VALUE!</v>
      </c>
      <c r="GL393" t="e">
        <f>Asia!B135+"n/&gt;!3g="</f>
        <v>#VALUE!</v>
      </c>
      <c r="GM393" t="e">
        <f>Asia!C135+"n/&gt;!3g&gt;"</f>
        <v>#VALUE!</v>
      </c>
      <c r="GN393" t="e">
        <f>Asia!D135+"n/&gt;!3g?"</f>
        <v>#VALUE!</v>
      </c>
      <c r="GO393" t="e">
        <f>Asia!E135+"n/&gt;!3g@"</f>
        <v>#VALUE!</v>
      </c>
      <c r="GP393" t="e">
        <f>Asia!F135+"n/&gt;!3gA"</f>
        <v>#VALUE!</v>
      </c>
      <c r="GQ393" t="e">
        <f>Asia!G135+"n/&gt;!3gB"</f>
        <v>#VALUE!</v>
      </c>
      <c r="GR393" t="e">
        <f>Asia!H135+"n/&gt;!3gC"</f>
        <v>#VALUE!</v>
      </c>
      <c r="GS393" t="e">
        <f>Asia!I135+"n/&gt;!3gD"</f>
        <v>#VALUE!</v>
      </c>
      <c r="GT393" t="e">
        <f>Asia!A136+"n/&gt;!3gE"</f>
        <v>#VALUE!</v>
      </c>
      <c r="GU393" t="e">
        <f>Asia!B136+"n/&gt;!3gF"</f>
        <v>#VALUE!</v>
      </c>
      <c r="GV393" t="e">
        <f>Asia!C136+"n/&gt;!3gG"</f>
        <v>#VALUE!</v>
      </c>
      <c r="GW393" t="e">
        <f>Asia!D136+"n/&gt;!3gH"</f>
        <v>#VALUE!</v>
      </c>
      <c r="GX393" t="e">
        <f>Asia!E136+"n/&gt;!3gI"</f>
        <v>#VALUE!</v>
      </c>
      <c r="GY393" t="e">
        <f>Asia!F136+"n/&gt;!3gJ"</f>
        <v>#VALUE!</v>
      </c>
      <c r="GZ393" t="e">
        <f>Asia!G136+"n/&gt;!3gK"</f>
        <v>#VALUE!</v>
      </c>
      <c r="HA393" t="e">
        <f>Asia!H136+"n/&gt;!3gL"</f>
        <v>#VALUE!</v>
      </c>
      <c r="HB393" t="e">
        <f>Asia!I136+"n/&gt;!3gM"</f>
        <v>#VALUE!</v>
      </c>
      <c r="HC393" t="e">
        <f>Asia!A137+"n/&gt;!3gN"</f>
        <v>#VALUE!</v>
      </c>
      <c r="HD393" t="e">
        <f>Asia!B137+"n/&gt;!3gO"</f>
        <v>#VALUE!</v>
      </c>
      <c r="HE393" t="e">
        <f>Asia!C137+"n/&gt;!3gP"</f>
        <v>#VALUE!</v>
      </c>
      <c r="HF393" t="e">
        <f>Asia!D137+"n/&gt;!3gQ"</f>
        <v>#VALUE!</v>
      </c>
      <c r="HG393" t="e">
        <f>Asia!E137+"n/&gt;!3gR"</f>
        <v>#VALUE!</v>
      </c>
      <c r="HH393" t="e">
        <f>Asia!F137+"n/&gt;!3gS"</f>
        <v>#VALUE!</v>
      </c>
      <c r="HI393" t="e">
        <f>Asia!G137+"n/&gt;!3gT"</f>
        <v>#VALUE!</v>
      </c>
      <c r="HJ393" t="e">
        <f>Asia!H137+"n/&gt;!3gU"</f>
        <v>#VALUE!</v>
      </c>
      <c r="HK393" t="e">
        <f>Asia!I137+"n/&gt;!3gV"</f>
        <v>#VALUE!</v>
      </c>
      <c r="HL393" t="e">
        <f>Asia!A138+"n/&gt;!3gW"</f>
        <v>#VALUE!</v>
      </c>
      <c r="HM393" t="e">
        <f>Asia!B138+"n/&gt;!3gX"</f>
        <v>#VALUE!</v>
      </c>
      <c r="HN393" t="e">
        <f>Asia!C138+"n/&gt;!3gY"</f>
        <v>#VALUE!</v>
      </c>
      <c r="HO393" t="e">
        <f>Asia!D138+"n/&gt;!3gZ"</f>
        <v>#VALUE!</v>
      </c>
      <c r="HP393" t="e">
        <f>Asia!E138+"n/&gt;!3g["</f>
        <v>#VALUE!</v>
      </c>
      <c r="HQ393" t="e">
        <f>Asia!F138+"n/&gt;!3g\"</f>
        <v>#VALUE!</v>
      </c>
      <c r="HR393" t="e">
        <f>Asia!G138+"n/&gt;!3g]"</f>
        <v>#VALUE!</v>
      </c>
      <c r="HS393" t="e">
        <f>Asia!H138+"n/&gt;!3g^"</f>
        <v>#VALUE!</v>
      </c>
      <c r="HT393" t="e">
        <f>Asia!I138+"n/&gt;!3g_"</f>
        <v>#VALUE!</v>
      </c>
      <c r="HU393" t="e">
        <f>Asia!A139+"n/&gt;!3g`"</f>
        <v>#VALUE!</v>
      </c>
      <c r="HV393" t="e">
        <f>Asia!B139+"n/&gt;!3ga"</f>
        <v>#VALUE!</v>
      </c>
      <c r="HW393" t="e">
        <f>Asia!C139+"n/&gt;!3gb"</f>
        <v>#VALUE!</v>
      </c>
      <c r="HX393" t="e">
        <f>Asia!D139+"n/&gt;!3gc"</f>
        <v>#VALUE!</v>
      </c>
      <c r="HY393" t="e">
        <f>Asia!E139+"n/&gt;!3gd"</f>
        <v>#VALUE!</v>
      </c>
      <c r="HZ393" t="e">
        <f>Asia!F139+"n/&gt;!3ge"</f>
        <v>#VALUE!</v>
      </c>
      <c r="IA393" t="e">
        <f>Asia!G139+"n/&gt;!3gf"</f>
        <v>#VALUE!</v>
      </c>
      <c r="IB393" t="e">
        <f>Asia!H139+"n/&gt;!3gg"</f>
        <v>#VALUE!</v>
      </c>
      <c r="IC393" t="e">
        <f>Asia!I139+"n/&gt;!3gh"</f>
        <v>#VALUE!</v>
      </c>
      <c r="ID393" t="e">
        <f>Asia!A140+"n/&gt;!3gi"</f>
        <v>#VALUE!</v>
      </c>
      <c r="IE393" t="e">
        <f>Asia!B140+"n/&gt;!3gj"</f>
        <v>#VALUE!</v>
      </c>
      <c r="IF393" t="e">
        <f>Asia!C140+"n/&gt;!3gk"</f>
        <v>#VALUE!</v>
      </c>
      <c r="IG393" t="e">
        <f>Asia!D140+"n/&gt;!3gl"</f>
        <v>#VALUE!</v>
      </c>
      <c r="IH393" t="e">
        <f>Asia!E140+"n/&gt;!3gm"</f>
        <v>#VALUE!</v>
      </c>
      <c r="II393" t="e">
        <f>Asia!F140+"n/&gt;!3gn"</f>
        <v>#VALUE!</v>
      </c>
      <c r="IJ393" t="e">
        <f>Asia!G140+"n/&gt;!3go"</f>
        <v>#VALUE!</v>
      </c>
      <c r="IK393" t="e">
        <f>Asia!H140+"n/&gt;!3gp"</f>
        <v>#VALUE!</v>
      </c>
      <c r="IL393" t="e">
        <f>Asia!I140+"n/&gt;!3gq"</f>
        <v>#VALUE!</v>
      </c>
      <c r="IM393" t="e">
        <f>Asia!A141+"n/&gt;!3gr"</f>
        <v>#VALUE!</v>
      </c>
      <c r="IN393" t="e">
        <f>Asia!B141+"n/&gt;!3gs"</f>
        <v>#VALUE!</v>
      </c>
      <c r="IO393" t="e">
        <f>Asia!C141+"n/&gt;!3gt"</f>
        <v>#VALUE!</v>
      </c>
      <c r="IP393" t="e">
        <f>Asia!D141+"n/&gt;!3gu"</f>
        <v>#VALUE!</v>
      </c>
      <c r="IQ393" t="e">
        <f>Asia!E141+"n/&gt;!3gv"</f>
        <v>#VALUE!</v>
      </c>
      <c r="IR393" t="e">
        <f>Asia!F141+"n/&gt;!3gw"</f>
        <v>#VALUE!</v>
      </c>
      <c r="IS393" t="e">
        <f>Asia!G141+"n/&gt;!3gx"</f>
        <v>#VALUE!</v>
      </c>
      <c r="IT393" t="e">
        <f>Asia!H141+"n/&gt;!3gy"</f>
        <v>#VALUE!</v>
      </c>
      <c r="IU393" t="e">
        <f>Asia!I141+"n/&gt;!3gz"</f>
        <v>#VALUE!</v>
      </c>
      <c r="IV393" t="e">
        <f>Asia!A142+"n/&gt;!3g{"</f>
        <v>#VALUE!</v>
      </c>
    </row>
    <row r="394" spans="6:256" x14ac:dyDescent="0.35">
      <c r="F394" t="e">
        <f>Asia!B142+"n/&gt;!3g|"</f>
        <v>#VALUE!</v>
      </c>
      <c r="G394" t="e">
        <f>Asia!C142+"n/&gt;!3g}"</f>
        <v>#VALUE!</v>
      </c>
      <c r="H394" t="e">
        <f>Asia!D142+"n/&gt;!3g~"</f>
        <v>#VALUE!</v>
      </c>
      <c r="I394" t="e">
        <f>Asia!E142+"n/&gt;!3h#"</f>
        <v>#VALUE!</v>
      </c>
      <c r="J394" t="e">
        <f>Asia!F142+"n/&gt;!3h$"</f>
        <v>#VALUE!</v>
      </c>
      <c r="K394" t="e">
        <f>Asia!G142+"n/&gt;!3h%"</f>
        <v>#VALUE!</v>
      </c>
      <c r="L394" t="e">
        <f>Asia!H142+"n/&gt;!3h&amp;"</f>
        <v>#VALUE!</v>
      </c>
      <c r="M394" t="e">
        <f>Asia!I142+"n/&gt;!3h'"</f>
        <v>#VALUE!</v>
      </c>
      <c r="N394" t="e">
        <f>Asia!A143+"n/&gt;!3h("</f>
        <v>#VALUE!</v>
      </c>
      <c r="O394" t="e">
        <f>Asia!B143+"n/&gt;!3h)"</f>
        <v>#VALUE!</v>
      </c>
      <c r="P394" t="e">
        <f>Asia!C143+"n/&gt;!3h."</f>
        <v>#VALUE!</v>
      </c>
      <c r="Q394" t="e">
        <f>Asia!D143+"n/&gt;!3h/"</f>
        <v>#VALUE!</v>
      </c>
      <c r="R394" t="e">
        <f>Asia!E143+"n/&gt;!3h0"</f>
        <v>#VALUE!</v>
      </c>
      <c r="S394" t="e">
        <f>Asia!F143+"n/&gt;!3h1"</f>
        <v>#VALUE!</v>
      </c>
      <c r="T394" t="e">
        <f>Asia!G143+"n/&gt;!3h2"</f>
        <v>#VALUE!</v>
      </c>
      <c r="U394" t="e">
        <f>Asia!H143+"n/&gt;!3h3"</f>
        <v>#VALUE!</v>
      </c>
      <c r="V394" t="e">
        <f>Asia!I143+"n/&gt;!3h4"</f>
        <v>#VALUE!</v>
      </c>
      <c r="W394" t="e">
        <f>Asia!A144+"n/&gt;!3h5"</f>
        <v>#VALUE!</v>
      </c>
      <c r="X394" t="e">
        <f>Asia!B144+"n/&gt;!3h6"</f>
        <v>#VALUE!</v>
      </c>
      <c r="Y394" t="e">
        <f>Asia!C144+"n/&gt;!3h7"</f>
        <v>#VALUE!</v>
      </c>
      <c r="Z394" t="e">
        <f>Asia!D144+"n/&gt;!3h8"</f>
        <v>#VALUE!</v>
      </c>
      <c r="AA394" t="e">
        <f>Asia!E144+"n/&gt;!3h9"</f>
        <v>#VALUE!</v>
      </c>
      <c r="AB394" t="e">
        <f>Asia!F144+"n/&gt;!3h:"</f>
        <v>#VALUE!</v>
      </c>
      <c r="AC394" t="e">
        <f>Asia!G144+"n/&gt;!3h;"</f>
        <v>#VALUE!</v>
      </c>
      <c r="AD394" t="e">
        <f>Asia!H144+"n/&gt;!3h&lt;"</f>
        <v>#VALUE!</v>
      </c>
      <c r="AE394" t="e">
        <f>Asia!I144+"n/&gt;!3h="</f>
        <v>#VALUE!</v>
      </c>
      <c r="AF394" t="e">
        <f>Asia!A145+"n/&gt;!3h&gt;"</f>
        <v>#VALUE!</v>
      </c>
      <c r="AG394" t="e">
        <f>Asia!B145+"n/&gt;!3h?"</f>
        <v>#VALUE!</v>
      </c>
      <c r="AH394" t="e">
        <f>Asia!C145+"n/&gt;!3h@"</f>
        <v>#VALUE!</v>
      </c>
      <c r="AI394" t="e">
        <f>Asia!D145+"n/&gt;!3hA"</f>
        <v>#VALUE!</v>
      </c>
      <c r="AJ394" t="e">
        <f>Asia!E145+"n/&gt;!3hB"</f>
        <v>#VALUE!</v>
      </c>
      <c r="AK394" t="e">
        <f>Asia!F145+"n/&gt;!3hC"</f>
        <v>#VALUE!</v>
      </c>
      <c r="AL394" t="e">
        <f>Asia!G145+"n/&gt;!3hD"</f>
        <v>#VALUE!</v>
      </c>
      <c r="AM394" t="e">
        <f>Asia!H145+"n/&gt;!3hE"</f>
        <v>#VALUE!</v>
      </c>
      <c r="AN394" t="e">
        <f>Asia!I145+"n/&gt;!3hF"</f>
        <v>#VALUE!</v>
      </c>
      <c r="AO394" t="e">
        <f>Asia!A146+"n/&gt;!3hG"</f>
        <v>#VALUE!</v>
      </c>
      <c r="AP394" t="e">
        <f>Asia!B146+"n/&gt;!3hH"</f>
        <v>#VALUE!</v>
      </c>
      <c r="AQ394" t="e">
        <f>Asia!C146+"n/&gt;!3hI"</f>
        <v>#VALUE!</v>
      </c>
      <c r="AR394" t="e">
        <f>Asia!D146+"n/&gt;!3hJ"</f>
        <v>#VALUE!</v>
      </c>
      <c r="AS394" t="e">
        <f>Asia!E146+"n/&gt;!3hK"</f>
        <v>#VALUE!</v>
      </c>
      <c r="AT394" t="e">
        <f>Asia!F146+"n/&gt;!3hL"</f>
        <v>#VALUE!</v>
      </c>
      <c r="AU394" t="e">
        <f>Asia!G146+"n/&gt;!3hM"</f>
        <v>#VALUE!</v>
      </c>
      <c r="AV394" t="e">
        <f>Asia!H146+"n/&gt;!3hN"</f>
        <v>#VALUE!</v>
      </c>
      <c r="AW394" t="e">
        <f>Asia!I146+"n/&gt;!3hO"</f>
        <v>#VALUE!</v>
      </c>
      <c r="AX394" t="e">
        <f>Asia!A147+"n/&gt;!3hP"</f>
        <v>#VALUE!</v>
      </c>
      <c r="AY394" t="e">
        <f>Asia!B147+"n/&gt;!3hQ"</f>
        <v>#VALUE!</v>
      </c>
      <c r="AZ394" t="e">
        <f>Asia!C147+"n/&gt;!3hR"</f>
        <v>#VALUE!</v>
      </c>
      <c r="BA394" t="e">
        <f>Asia!D147+"n/&gt;!3hS"</f>
        <v>#VALUE!</v>
      </c>
      <c r="BB394" t="e">
        <f>Asia!E147+"n/&gt;!3hT"</f>
        <v>#VALUE!</v>
      </c>
      <c r="BC394" t="e">
        <f>Asia!F147+"n/&gt;!3hU"</f>
        <v>#VALUE!</v>
      </c>
      <c r="BD394" t="e">
        <f>Asia!G147+"n/&gt;!3hV"</f>
        <v>#VALUE!</v>
      </c>
      <c r="BE394" t="e">
        <f>Asia!H147+"n/&gt;!3hW"</f>
        <v>#VALUE!</v>
      </c>
      <c r="BF394" t="e">
        <f>Asia!I147+"n/&gt;!3hX"</f>
        <v>#VALUE!</v>
      </c>
      <c r="BG394" t="e">
        <f>Asia!A148+"n/&gt;!3hY"</f>
        <v>#VALUE!</v>
      </c>
      <c r="BH394" t="e">
        <f>Asia!B148+"n/&gt;!3hZ"</f>
        <v>#VALUE!</v>
      </c>
      <c r="BI394" t="e">
        <f>Asia!C148+"n/&gt;!3h["</f>
        <v>#VALUE!</v>
      </c>
      <c r="BJ394" t="e">
        <f>Asia!D148+"n/&gt;!3h\"</f>
        <v>#VALUE!</v>
      </c>
      <c r="BK394" t="e">
        <f>Asia!E148+"n/&gt;!3h]"</f>
        <v>#VALUE!</v>
      </c>
      <c r="BL394" t="e">
        <f>Asia!F148+"n/&gt;!3h^"</f>
        <v>#VALUE!</v>
      </c>
      <c r="BM394" t="e">
        <f>Asia!G148+"n/&gt;!3h_"</f>
        <v>#VALUE!</v>
      </c>
      <c r="BN394" t="e">
        <f>Asia!H148+"n/&gt;!3h`"</f>
        <v>#VALUE!</v>
      </c>
      <c r="BO394" t="e">
        <f>Asia!I148+"n/&gt;!3ha"</f>
        <v>#VALUE!</v>
      </c>
      <c r="BP394" t="e">
        <f>Asia!A149+"n/&gt;!3hb"</f>
        <v>#VALUE!</v>
      </c>
      <c r="BQ394" t="e">
        <f>Asia!B149+"n/&gt;!3hc"</f>
        <v>#VALUE!</v>
      </c>
      <c r="BR394" t="e">
        <f>Asia!C149+"n/&gt;!3hd"</f>
        <v>#VALUE!</v>
      </c>
      <c r="BS394" t="e">
        <f>Asia!D149+"n/&gt;!3he"</f>
        <v>#VALUE!</v>
      </c>
      <c r="BT394" t="e">
        <f>Asia!E149+"n/&gt;!3hf"</f>
        <v>#VALUE!</v>
      </c>
      <c r="BU394" t="e">
        <f>Asia!F149+"n/&gt;!3hg"</f>
        <v>#VALUE!</v>
      </c>
      <c r="BV394" t="e">
        <f>Asia!G149+"n/&gt;!3hh"</f>
        <v>#VALUE!</v>
      </c>
      <c r="BW394" t="e">
        <f>Asia!H149+"n/&gt;!3hi"</f>
        <v>#VALUE!</v>
      </c>
      <c r="BX394" t="e">
        <f>Asia!I149+"n/&gt;!3hj"</f>
        <v>#VALUE!</v>
      </c>
      <c r="BY394" t="e">
        <f>Asia!A150+"n/&gt;!3hk"</f>
        <v>#VALUE!</v>
      </c>
      <c r="BZ394" t="e">
        <f>Asia!B150+"n/&gt;!3hl"</f>
        <v>#VALUE!</v>
      </c>
      <c r="CA394" t="e">
        <f>Asia!C150+"n/&gt;!3hm"</f>
        <v>#VALUE!</v>
      </c>
      <c r="CB394" t="e">
        <f>Asia!D150+"n/&gt;!3hn"</f>
        <v>#VALUE!</v>
      </c>
      <c r="CC394" t="e">
        <f>Asia!E150+"n/&gt;!3ho"</f>
        <v>#VALUE!</v>
      </c>
      <c r="CD394" t="e">
        <f>Asia!F150+"n/&gt;!3hp"</f>
        <v>#VALUE!</v>
      </c>
      <c r="CE394" t="e">
        <f>Asia!G150+"n/&gt;!3hq"</f>
        <v>#VALUE!</v>
      </c>
      <c r="CF394" t="e">
        <f>Asia!H150+"n/&gt;!3hr"</f>
        <v>#VALUE!</v>
      </c>
      <c r="CG394" t="e">
        <f>Asia!I150+"n/&gt;!3hs"</f>
        <v>#VALUE!</v>
      </c>
      <c r="CH394" t="e">
        <f>Asia!A151+"n/&gt;!3ht"</f>
        <v>#VALUE!</v>
      </c>
      <c r="CI394" t="e">
        <f>Asia!B151+"n/&gt;!3hu"</f>
        <v>#VALUE!</v>
      </c>
      <c r="CJ394" t="e">
        <f>Asia!C151+"n/&gt;!3hv"</f>
        <v>#VALUE!</v>
      </c>
      <c r="CK394" t="e">
        <f>Asia!D151+"n/&gt;!3hw"</f>
        <v>#VALUE!</v>
      </c>
      <c r="CL394" t="e">
        <f>Asia!E151+"n/&gt;!3hx"</f>
        <v>#VALUE!</v>
      </c>
      <c r="CM394" t="e">
        <f>Asia!F151+"n/&gt;!3hy"</f>
        <v>#VALUE!</v>
      </c>
      <c r="CN394" t="e">
        <f>Asia!G151+"n/&gt;!3hz"</f>
        <v>#VALUE!</v>
      </c>
      <c r="CO394" t="e">
        <f>Asia!H151+"n/&gt;!3h{"</f>
        <v>#VALUE!</v>
      </c>
      <c r="CP394" t="e">
        <f>Asia!I151+"n/&gt;!3h|"</f>
        <v>#VALUE!</v>
      </c>
      <c r="CQ394" t="e">
        <f>Asia!A152+"n/&gt;!3h}"</f>
        <v>#VALUE!</v>
      </c>
      <c r="CR394" t="e">
        <f>Asia!B152+"n/&gt;!3h~"</f>
        <v>#VALUE!</v>
      </c>
      <c r="CS394" t="e">
        <f>Asia!C152+"n/&gt;!3i#"</f>
        <v>#VALUE!</v>
      </c>
      <c r="CT394" t="e">
        <f>Asia!D152+"n/&gt;!3i$"</f>
        <v>#VALUE!</v>
      </c>
      <c r="CU394" t="e">
        <f>Asia!E152+"n/&gt;!3i%"</f>
        <v>#VALUE!</v>
      </c>
      <c r="CV394" t="e">
        <f>Asia!F152+"n/&gt;!3i&amp;"</f>
        <v>#VALUE!</v>
      </c>
      <c r="CW394" t="e">
        <f>Asia!G152+"n/&gt;!3i'"</f>
        <v>#VALUE!</v>
      </c>
      <c r="CX394" t="e">
        <f>Asia!H152+"n/&gt;!3i("</f>
        <v>#VALUE!</v>
      </c>
      <c r="CY394" t="e">
        <f>Asia!I152+"n/&gt;!3i)"</f>
        <v>#VALUE!</v>
      </c>
      <c r="CZ394" t="e">
        <f>Asia!A153+"n/&gt;!3i."</f>
        <v>#VALUE!</v>
      </c>
      <c r="DA394" t="e">
        <f>Asia!B153+"n/&gt;!3i/"</f>
        <v>#VALUE!</v>
      </c>
      <c r="DB394" t="e">
        <f>Asia!C153+"n/&gt;!3i0"</f>
        <v>#VALUE!</v>
      </c>
      <c r="DC394" t="e">
        <f>Asia!D153+"n/&gt;!3i1"</f>
        <v>#VALUE!</v>
      </c>
      <c r="DD394" t="e">
        <f>Asia!E153+"n/&gt;!3i2"</f>
        <v>#VALUE!</v>
      </c>
      <c r="DE394" t="e">
        <f>Asia!F153+"n/&gt;!3i3"</f>
        <v>#VALUE!</v>
      </c>
      <c r="DF394" t="e">
        <f>Asia!G153+"n/&gt;!3i4"</f>
        <v>#VALUE!</v>
      </c>
      <c r="DG394" t="e">
        <f>Asia!H153+"n/&gt;!3i5"</f>
        <v>#VALUE!</v>
      </c>
      <c r="DH394" t="e">
        <f>Asia!I153+"n/&gt;!3i6"</f>
        <v>#VALUE!</v>
      </c>
      <c r="DI394" t="e">
        <f>Asia!A154+"n/&gt;!3i7"</f>
        <v>#VALUE!</v>
      </c>
      <c r="DJ394" t="e">
        <f>Asia!B154+"n/&gt;!3i8"</f>
        <v>#VALUE!</v>
      </c>
      <c r="DK394" t="e">
        <f>Asia!C154+"n/&gt;!3i9"</f>
        <v>#VALUE!</v>
      </c>
      <c r="DL394" t="e">
        <f>Asia!D154+"n/&gt;!3i:"</f>
        <v>#VALUE!</v>
      </c>
      <c r="DM394" t="e">
        <f>Asia!E154+"n/&gt;!3i;"</f>
        <v>#VALUE!</v>
      </c>
      <c r="DN394" t="e">
        <f>Asia!F154+"n/&gt;!3i&lt;"</f>
        <v>#VALUE!</v>
      </c>
      <c r="DO394" t="e">
        <f>Asia!G154+"n/&gt;!3i="</f>
        <v>#VALUE!</v>
      </c>
      <c r="DP394" t="e">
        <f>Asia!H154+"n/&gt;!3i&gt;"</f>
        <v>#VALUE!</v>
      </c>
      <c r="DQ394" t="e">
        <f>Asia!I154+"n/&gt;!3i?"</f>
        <v>#VALUE!</v>
      </c>
      <c r="DR394" t="e">
        <f>Asia!A155+"n/&gt;!3i@"</f>
        <v>#VALUE!</v>
      </c>
      <c r="DS394" t="e">
        <f>Asia!B155+"n/&gt;!3iA"</f>
        <v>#VALUE!</v>
      </c>
      <c r="DT394" t="e">
        <f>Asia!C155+"n/&gt;!3iB"</f>
        <v>#VALUE!</v>
      </c>
      <c r="DU394" t="e">
        <f>Asia!D155+"n/&gt;!3iC"</f>
        <v>#VALUE!</v>
      </c>
      <c r="DV394" t="e">
        <f>Asia!E155+"n/&gt;!3iD"</f>
        <v>#VALUE!</v>
      </c>
      <c r="DW394" t="e">
        <f>Asia!F155+"n/&gt;!3iE"</f>
        <v>#VALUE!</v>
      </c>
      <c r="DX394" t="e">
        <f>Asia!G155+"n/&gt;!3iF"</f>
        <v>#VALUE!</v>
      </c>
      <c r="DY394" t="e">
        <f>Asia!H155+"n/&gt;!3iG"</f>
        <v>#VALUE!</v>
      </c>
      <c r="DZ394" t="e">
        <f>Asia!I155+"n/&gt;!3iH"</f>
        <v>#VALUE!</v>
      </c>
      <c r="EA394" t="e">
        <f>Asia!A156+"n/&gt;!3iI"</f>
        <v>#VALUE!</v>
      </c>
      <c r="EB394" t="e">
        <f>Asia!B156+"n/&gt;!3iJ"</f>
        <v>#VALUE!</v>
      </c>
      <c r="EC394" t="e">
        <f>Asia!C156+"n/&gt;!3iK"</f>
        <v>#VALUE!</v>
      </c>
      <c r="ED394" t="e">
        <f>Asia!D156+"n/&gt;!3iL"</f>
        <v>#VALUE!</v>
      </c>
      <c r="EE394" t="e">
        <f>Asia!E156+"n/&gt;!3iM"</f>
        <v>#VALUE!</v>
      </c>
      <c r="EF394" t="e">
        <f>Asia!F156+"n/&gt;!3iN"</f>
        <v>#VALUE!</v>
      </c>
      <c r="EG394" t="e">
        <f>Asia!G156+"n/&gt;!3iO"</f>
        <v>#VALUE!</v>
      </c>
      <c r="EH394" t="e">
        <f>Asia!H156+"n/&gt;!3iP"</f>
        <v>#VALUE!</v>
      </c>
      <c r="EI394" t="e">
        <f>Asia!I156+"n/&gt;!3iQ"</f>
        <v>#VALUE!</v>
      </c>
      <c r="EJ394" t="e">
        <f>Asia!A157+"n/&gt;!3iR"</f>
        <v>#VALUE!</v>
      </c>
      <c r="EK394" t="e">
        <f>Asia!B157+"n/&gt;!3iS"</f>
        <v>#VALUE!</v>
      </c>
      <c r="EL394" t="e">
        <f>Asia!C157+"n/&gt;!3iT"</f>
        <v>#VALUE!</v>
      </c>
      <c r="EM394" t="e">
        <f>Asia!D157+"n/&gt;!3iU"</f>
        <v>#VALUE!</v>
      </c>
      <c r="EN394" t="e">
        <f>Asia!E157+"n/&gt;!3iV"</f>
        <v>#VALUE!</v>
      </c>
      <c r="EO394" t="e">
        <f>Asia!F157+"n/&gt;!3iW"</f>
        <v>#VALUE!</v>
      </c>
      <c r="EP394" t="e">
        <f>Asia!G157+"n/&gt;!3iX"</f>
        <v>#VALUE!</v>
      </c>
      <c r="EQ394" t="e">
        <f>Asia!H157+"n/&gt;!3iY"</f>
        <v>#VALUE!</v>
      </c>
      <c r="ER394" t="e">
        <f>Asia!I157+"n/&gt;!3iZ"</f>
        <v>#VALUE!</v>
      </c>
      <c r="ES394" t="e">
        <f>Asia!A158+"n/&gt;!3i["</f>
        <v>#VALUE!</v>
      </c>
      <c r="ET394" t="e">
        <f>Asia!B158+"n/&gt;!3i\"</f>
        <v>#VALUE!</v>
      </c>
      <c r="EU394" t="e">
        <f>Asia!C158+"n/&gt;!3i]"</f>
        <v>#VALUE!</v>
      </c>
      <c r="EV394" t="e">
        <f>Asia!D158+"n/&gt;!3i^"</f>
        <v>#VALUE!</v>
      </c>
      <c r="EW394" t="e">
        <f>Asia!E158+"n/&gt;!3i_"</f>
        <v>#VALUE!</v>
      </c>
      <c r="EX394" t="e">
        <f>Asia!F158+"n/&gt;!3i`"</f>
        <v>#VALUE!</v>
      </c>
      <c r="EY394" t="e">
        <f>Asia!G158+"n/&gt;!3ia"</f>
        <v>#VALUE!</v>
      </c>
      <c r="EZ394" t="e">
        <f>Asia!H158+"n/&gt;!3ib"</f>
        <v>#VALUE!</v>
      </c>
      <c r="FA394" t="e">
        <f>Asia!I158+"n/&gt;!3ic"</f>
        <v>#VALUE!</v>
      </c>
      <c r="FB394" t="e">
        <f>Asia!A159+"n/&gt;!3id"</f>
        <v>#VALUE!</v>
      </c>
      <c r="FC394" t="e">
        <f>Asia!B159+"n/&gt;!3ie"</f>
        <v>#VALUE!</v>
      </c>
      <c r="FD394" t="e">
        <f>Asia!C159+"n/&gt;!3if"</f>
        <v>#VALUE!</v>
      </c>
      <c r="FE394" t="e">
        <f>Asia!D159+"n/&gt;!3ig"</f>
        <v>#VALUE!</v>
      </c>
      <c r="FF394" t="e">
        <f>Asia!E159+"n/&gt;!3ih"</f>
        <v>#VALUE!</v>
      </c>
      <c r="FG394" t="e">
        <f>Asia!F159+"n/&gt;!3ii"</f>
        <v>#VALUE!</v>
      </c>
      <c r="FH394" t="e">
        <f>Asia!G159+"n/&gt;!3ij"</f>
        <v>#VALUE!</v>
      </c>
      <c r="FI394" t="e">
        <f>Asia!H159+"n/&gt;!3ik"</f>
        <v>#VALUE!</v>
      </c>
      <c r="FJ394" t="e">
        <f>Asia!I159+"n/&gt;!3il"</f>
        <v>#VALUE!</v>
      </c>
      <c r="FK394" t="e">
        <f>Asia!A160+"n/&gt;!3im"</f>
        <v>#VALUE!</v>
      </c>
      <c r="FL394" t="e">
        <f>Asia!B160+"n/&gt;!3in"</f>
        <v>#VALUE!</v>
      </c>
      <c r="FM394" t="e">
        <f>Asia!C160+"n/&gt;!3io"</f>
        <v>#VALUE!</v>
      </c>
      <c r="FN394" t="e">
        <f>Asia!D160+"n/&gt;!3ip"</f>
        <v>#VALUE!</v>
      </c>
      <c r="FO394" t="e">
        <f>Asia!E160+"n/&gt;!3iq"</f>
        <v>#VALUE!</v>
      </c>
      <c r="FP394" t="e">
        <f>Asia!F160+"n/&gt;!3ir"</f>
        <v>#VALUE!</v>
      </c>
      <c r="FQ394" t="e">
        <f>Asia!G160+"n/&gt;!3is"</f>
        <v>#VALUE!</v>
      </c>
      <c r="FR394" t="e">
        <f>Asia!H160+"n/&gt;!3it"</f>
        <v>#VALUE!</v>
      </c>
      <c r="FS394" t="e">
        <f>Asia!I160+"n/&gt;!3iu"</f>
        <v>#VALUE!</v>
      </c>
      <c r="FT394" t="e">
        <f>Asia!A161+"n/&gt;!3iv"</f>
        <v>#VALUE!</v>
      </c>
      <c r="FU394" t="e">
        <f>Asia!B161+"n/&gt;!3iw"</f>
        <v>#VALUE!</v>
      </c>
      <c r="FV394" t="e">
        <f>Asia!C161+"n/&gt;!3ix"</f>
        <v>#VALUE!</v>
      </c>
      <c r="FW394" t="e">
        <f>Asia!D161+"n/&gt;!3iy"</f>
        <v>#VALUE!</v>
      </c>
      <c r="FX394" t="e">
        <f>Asia!E161+"n/&gt;!3iz"</f>
        <v>#VALUE!</v>
      </c>
      <c r="FY394" t="e">
        <f>Asia!F161+"n/&gt;!3i{"</f>
        <v>#VALUE!</v>
      </c>
      <c r="FZ394" t="e">
        <f>Asia!G161+"n/&gt;!3i|"</f>
        <v>#VALUE!</v>
      </c>
      <c r="GA394" t="e">
        <f>Asia!H161+"n/&gt;!3i}"</f>
        <v>#VALUE!</v>
      </c>
      <c r="GB394" t="e">
        <f>Asia!I161+"n/&gt;!3i~"</f>
        <v>#VALUE!</v>
      </c>
      <c r="GC394" t="e">
        <f>Asia!A162+"n/&gt;!3j#"</f>
        <v>#VALUE!</v>
      </c>
      <c r="GD394" t="e">
        <f>Asia!B162+"n/&gt;!3j$"</f>
        <v>#VALUE!</v>
      </c>
      <c r="GE394" t="e">
        <f>Asia!C162+"n/&gt;!3j%"</f>
        <v>#VALUE!</v>
      </c>
      <c r="GF394" t="e">
        <f>Asia!D162+"n/&gt;!3j&amp;"</f>
        <v>#VALUE!</v>
      </c>
      <c r="GG394" t="e">
        <f>Asia!E162+"n/&gt;!3j'"</f>
        <v>#VALUE!</v>
      </c>
      <c r="GH394" t="e">
        <f>Asia!F162+"n/&gt;!3j("</f>
        <v>#VALUE!</v>
      </c>
      <c r="GI394" t="e">
        <f>Asia!G162+"n/&gt;!3j)"</f>
        <v>#VALUE!</v>
      </c>
      <c r="GJ394" t="e">
        <f>Asia!H162+"n/&gt;!3j."</f>
        <v>#VALUE!</v>
      </c>
      <c r="GK394" t="e">
        <f>Asia!I162+"n/&gt;!3j/"</f>
        <v>#VALUE!</v>
      </c>
      <c r="GL394" t="e">
        <f>Asia!A163+"n/&gt;!3j0"</f>
        <v>#VALUE!</v>
      </c>
      <c r="GM394" t="e">
        <f>Asia!B163+"n/&gt;!3j1"</f>
        <v>#VALUE!</v>
      </c>
      <c r="GN394" t="e">
        <f>Asia!C163+"n/&gt;!3j2"</f>
        <v>#VALUE!</v>
      </c>
      <c r="GO394" t="e">
        <f>Asia!D163+"n/&gt;!3j3"</f>
        <v>#VALUE!</v>
      </c>
      <c r="GP394" t="e">
        <f>Asia!E163+"n/&gt;!3j4"</f>
        <v>#VALUE!</v>
      </c>
      <c r="GQ394" t="e">
        <f>Asia!F163+"n/&gt;!3j5"</f>
        <v>#VALUE!</v>
      </c>
      <c r="GR394" t="e">
        <f>Asia!G163+"n/&gt;!3j6"</f>
        <v>#VALUE!</v>
      </c>
      <c r="GS394" t="e">
        <f>Asia!H163+"n/&gt;!3j7"</f>
        <v>#VALUE!</v>
      </c>
      <c r="GT394" t="e">
        <f>Asia!I163+"n/&gt;!3j8"</f>
        <v>#VALUE!</v>
      </c>
      <c r="GU394" t="e">
        <f>Asia!A164+"n/&gt;!3j9"</f>
        <v>#VALUE!</v>
      </c>
      <c r="GV394" t="e">
        <f>Asia!B164+"n/&gt;!3j:"</f>
        <v>#VALUE!</v>
      </c>
      <c r="GW394" t="e">
        <f>Asia!C164+"n/&gt;!3j;"</f>
        <v>#VALUE!</v>
      </c>
      <c r="GX394" t="e">
        <f>Asia!D164+"n/&gt;!3j&lt;"</f>
        <v>#VALUE!</v>
      </c>
      <c r="GY394" t="e">
        <f>Asia!E164+"n/&gt;!3j="</f>
        <v>#VALUE!</v>
      </c>
      <c r="GZ394" t="e">
        <f>Asia!F164+"n/&gt;!3j&gt;"</f>
        <v>#VALUE!</v>
      </c>
      <c r="HA394" t="e">
        <f>Asia!G164+"n/&gt;!3j?"</f>
        <v>#VALUE!</v>
      </c>
      <c r="HB394" t="e">
        <f>Asia!H164+"n/&gt;!3j@"</f>
        <v>#VALUE!</v>
      </c>
      <c r="HC394" t="e">
        <f>Asia!I164+"n/&gt;!3jA"</f>
        <v>#VALUE!</v>
      </c>
      <c r="HD394" t="e">
        <f>Asia!A165+"n/&gt;!3jB"</f>
        <v>#VALUE!</v>
      </c>
      <c r="HE394" t="e">
        <f>Asia!B165+"n/&gt;!3jC"</f>
        <v>#VALUE!</v>
      </c>
      <c r="HF394" t="e">
        <f>Asia!C165+"n/&gt;!3jD"</f>
        <v>#VALUE!</v>
      </c>
      <c r="HG394" t="e">
        <f>Asia!D165+"n/&gt;!3jE"</f>
        <v>#VALUE!</v>
      </c>
      <c r="HH394" t="e">
        <f>Asia!E165+"n/&gt;!3jF"</f>
        <v>#VALUE!</v>
      </c>
      <c r="HI394" t="e">
        <f>Asia!F165+"n/&gt;!3jG"</f>
        <v>#VALUE!</v>
      </c>
      <c r="HJ394" t="e">
        <f>Asia!G165+"n/&gt;!3jH"</f>
        <v>#VALUE!</v>
      </c>
      <c r="HK394" t="e">
        <f>Asia!H165+"n/&gt;!3jI"</f>
        <v>#VALUE!</v>
      </c>
      <c r="HL394" t="e">
        <f>Asia!I165+"n/&gt;!3jJ"</f>
        <v>#VALUE!</v>
      </c>
      <c r="HM394" t="e">
        <f>Asia!A166+"n/&gt;!3jK"</f>
        <v>#VALUE!</v>
      </c>
      <c r="HN394" t="e">
        <f>Asia!B166+"n/&gt;!3jL"</f>
        <v>#VALUE!</v>
      </c>
      <c r="HO394" t="e">
        <f>Asia!C166+"n/&gt;!3jM"</f>
        <v>#VALUE!</v>
      </c>
      <c r="HP394" t="e">
        <f>Asia!D166+"n/&gt;!3jN"</f>
        <v>#VALUE!</v>
      </c>
      <c r="HQ394" t="e">
        <f>Asia!E166+"n/&gt;!3jO"</f>
        <v>#VALUE!</v>
      </c>
      <c r="HR394" t="e">
        <f>Asia!F166+"n/&gt;!3jP"</f>
        <v>#VALUE!</v>
      </c>
      <c r="HS394" t="e">
        <f>Asia!G166+"n/&gt;!3jQ"</f>
        <v>#VALUE!</v>
      </c>
      <c r="HT394" t="e">
        <f>Asia!H166+"n/&gt;!3jR"</f>
        <v>#VALUE!</v>
      </c>
      <c r="HU394" t="e">
        <f>Asia!I166+"n/&gt;!3jS"</f>
        <v>#VALUE!</v>
      </c>
      <c r="HV394" t="e">
        <f>Asia!A167+"n/&gt;!3jT"</f>
        <v>#VALUE!</v>
      </c>
      <c r="HW394" t="e">
        <f>Asia!B167+"n/&gt;!3jU"</f>
        <v>#VALUE!</v>
      </c>
      <c r="HX394" t="e">
        <f>Asia!C167+"n/&gt;!3jV"</f>
        <v>#VALUE!</v>
      </c>
      <c r="HY394" t="e">
        <f>Asia!D167+"n/&gt;!3jW"</f>
        <v>#VALUE!</v>
      </c>
      <c r="HZ394" t="e">
        <f>Asia!E167+"n/&gt;!3jX"</f>
        <v>#VALUE!</v>
      </c>
      <c r="IA394" t="e">
        <f>Asia!F167+"n/&gt;!3jY"</f>
        <v>#VALUE!</v>
      </c>
      <c r="IB394" t="e">
        <f>Asia!G167+"n/&gt;!3jZ"</f>
        <v>#VALUE!</v>
      </c>
      <c r="IC394" t="e">
        <f>Asia!H167+"n/&gt;!3j["</f>
        <v>#VALUE!</v>
      </c>
      <c r="ID394" t="e">
        <f>Asia!I167+"n/&gt;!3j\"</f>
        <v>#VALUE!</v>
      </c>
      <c r="IE394" t="e">
        <f>Asia!A168+"n/&gt;!3j]"</f>
        <v>#VALUE!</v>
      </c>
      <c r="IF394" t="e">
        <f>Asia!B168+"n/&gt;!3j^"</f>
        <v>#VALUE!</v>
      </c>
      <c r="IG394" t="e">
        <f>Asia!C168+"n/&gt;!3j_"</f>
        <v>#VALUE!</v>
      </c>
      <c r="IH394" t="e">
        <f>Asia!D168+"n/&gt;!3j`"</f>
        <v>#VALUE!</v>
      </c>
      <c r="II394" t="e">
        <f>Asia!E168+"n/&gt;!3ja"</f>
        <v>#VALUE!</v>
      </c>
      <c r="IJ394" t="e">
        <f>Asia!F168+"n/&gt;!3jb"</f>
        <v>#VALUE!</v>
      </c>
      <c r="IK394" t="e">
        <f>Asia!G168+"n/&gt;!3jc"</f>
        <v>#VALUE!</v>
      </c>
      <c r="IL394" t="e">
        <f>Asia!H168+"n/&gt;!3jd"</f>
        <v>#VALUE!</v>
      </c>
      <c r="IM394" t="e">
        <f>Asia!I168+"n/&gt;!3je"</f>
        <v>#VALUE!</v>
      </c>
      <c r="IN394" t="e">
        <f>Asia!A169+"n/&gt;!3jf"</f>
        <v>#VALUE!</v>
      </c>
      <c r="IO394" t="e">
        <f>Asia!B169+"n/&gt;!3jg"</f>
        <v>#VALUE!</v>
      </c>
      <c r="IP394" t="e">
        <f>Asia!C169+"n/&gt;!3jh"</f>
        <v>#VALUE!</v>
      </c>
      <c r="IQ394" t="e">
        <f>Asia!D169+"n/&gt;!3ji"</f>
        <v>#VALUE!</v>
      </c>
      <c r="IR394" t="e">
        <f>Asia!E169+"n/&gt;!3jj"</f>
        <v>#VALUE!</v>
      </c>
      <c r="IS394" t="e">
        <f>Asia!F169+"n/&gt;!3jk"</f>
        <v>#VALUE!</v>
      </c>
      <c r="IT394" t="e">
        <f>Asia!G169+"n/&gt;!3jl"</f>
        <v>#VALUE!</v>
      </c>
      <c r="IU394" t="e">
        <f>Asia!H169+"n/&gt;!3jm"</f>
        <v>#VALUE!</v>
      </c>
      <c r="IV394" t="e">
        <f>Asia!I169+"n/&gt;!3jn"</f>
        <v>#VALUE!</v>
      </c>
    </row>
    <row r="395" spans="6:256" x14ac:dyDescent="0.35">
      <c r="F395" t="e">
        <f>Asia!A170+"n/&gt;!3jo"</f>
        <v>#VALUE!</v>
      </c>
      <c r="G395" t="e">
        <f>Asia!B170+"n/&gt;!3jp"</f>
        <v>#VALUE!</v>
      </c>
      <c r="H395" t="e">
        <f>Asia!C170+"n/&gt;!3jq"</f>
        <v>#VALUE!</v>
      </c>
      <c r="I395" t="e">
        <f>Asia!D170+"n/&gt;!3jr"</f>
        <v>#VALUE!</v>
      </c>
      <c r="J395" t="e">
        <f>Asia!E170+"n/&gt;!3js"</f>
        <v>#VALUE!</v>
      </c>
      <c r="K395" t="e">
        <f>Asia!F170+"n/&gt;!3jt"</f>
        <v>#VALUE!</v>
      </c>
      <c r="L395" t="e">
        <f>Asia!G170+"n/&gt;!3ju"</f>
        <v>#VALUE!</v>
      </c>
      <c r="M395" t="e">
        <f>Asia!H170+"n/&gt;!3jv"</f>
        <v>#VALUE!</v>
      </c>
      <c r="N395" t="e">
        <f>Asia!I170+"n/&gt;!3jw"</f>
        <v>#VALUE!</v>
      </c>
      <c r="O395" t="e">
        <f>Asia!A171+"n/&gt;!3jx"</f>
        <v>#VALUE!</v>
      </c>
      <c r="P395" t="e">
        <f>Asia!B171+"n/&gt;!3jy"</f>
        <v>#VALUE!</v>
      </c>
      <c r="Q395" t="e">
        <f>Asia!C171+"n/&gt;!3jz"</f>
        <v>#VALUE!</v>
      </c>
      <c r="R395" t="e">
        <f>Asia!D171+"n/&gt;!3j{"</f>
        <v>#VALUE!</v>
      </c>
      <c r="S395" t="e">
        <f>Asia!E171+"n/&gt;!3j|"</f>
        <v>#VALUE!</v>
      </c>
      <c r="T395" t="e">
        <f>Asia!F171+"n/&gt;!3j}"</f>
        <v>#VALUE!</v>
      </c>
      <c r="U395" t="e">
        <f>Asia!G171+"n/&gt;!3j~"</f>
        <v>#VALUE!</v>
      </c>
      <c r="V395" t="e">
        <f>Asia!H171+"n/&gt;!3k#"</f>
        <v>#VALUE!</v>
      </c>
      <c r="W395" t="e">
        <f>Asia!I171+"n/&gt;!3k$"</f>
        <v>#VALUE!</v>
      </c>
      <c r="X395" t="e">
        <f>Asia!A172+"n/&gt;!3k%"</f>
        <v>#VALUE!</v>
      </c>
      <c r="Y395" t="e">
        <f>Asia!B172+"n/&gt;!3k&amp;"</f>
        <v>#VALUE!</v>
      </c>
      <c r="Z395" t="e">
        <f>Asia!C172+"n/&gt;!3k'"</f>
        <v>#VALUE!</v>
      </c>
      <c r="AA395" t="e">
        <f>Asia!D172+"n/&gt;!3k("</f>
        <v>#VALUE!</v>
      </c>
      <c r="AB395" t="e">
        <f>Asia!E172+"n/&gt;!3k)"</f>
        <v>#VALUE!</v>
      </c>
      <c r="AC395" t="e">
        <f>Asia!F172+"n/&gt;!3k."</f>
        <v>#VALUE!</v>
      </c>
      <c r="AD395" t="e">
        <f>Asia!G172+"n/&gt;!3k/"</f>
        <v>#VALUE!</v>
      </c>
      <c r="AE395" t="e">
        <f>Asia!H172+"n/&gt;!3k0"</f>
        <v>#VALUE!</v>
      </c>
      <c r="AF395" t="e">
        <f>Asia!I172+"n/&gt;!3k1"</f>
        <v>#VALUE!</v>
      </c>
      <c r="AG395" t="e">
        <f>Asia!A173+"n/&gt;!3k2"</f>
        <v>#VALUE!</v>
      </c>
      <c r="AH395" t="e">
        <f>Asia!B173+"n/&gt;!3k3"</f>
        <v>#VALUE!</v>
      </c>
      <c r="AI395" t="e">
        <f>Asia!C173+"n/&gt;!3k4"</f>
        <v>#VALUE!</v>
      </c>
      <c r="AJ395" t="e">
        <f>Asia!D173+"n/&gt;!3k5"</f>
        <v>#VALUE!</v>
      </c>
      <c r="AK395" t="e">
        <f>Asia!E173+"n/&gt;!3k6"</f>
        <v>#VALUE!</v>
      </c>
      <c r="AL395" t="e">
        <f>Asia!F173+"n/&gt;!3k7"</f>
        <v>#VALUE!</v>
      </c>
      <c r="AM395" t="e">
        <f>Asia!G173+"n/&gt;!3k8"</f>
        <v>#VALUE!</v>
      </c>
      <c r="AN395" t="e">
        <f>Asia!H173+"n/&gt;!3k9"</f>
        <v>#VALUE!</v>
      </c>
      <c r="AO395" t="e">
        <f>Asia!I173+"n/&gt;!3k:"</f>
        <v>#VALUE!</v>
      </c>
      <c r="AP395" t="e">
        <f>Asia!A174+"n/&gt;!3k;"</f>
        <v>#VALUE!</v>
      </c>
      <c r="AQ395" t="e">
        <f>Asia!B174+"n/&gt;!3k&lt;"</f>
        <v>#VALUE!</v>
      </c>
      <c r="AR395" t="e">
        <f>Asia!C174+"n/&gt;!3k="</f>
        <v>#VALUE!</v>
      </c>
      <c r="AS395" t="e">
        <f>Asia!D174+"n/&gt;!3k&gt;"</f>
        <v>#VALUE!</v>
      </c>
      <c r="AT395" t="e">
        <f>Asia!E174+"n/&gt;!3k?"</f>
        <v>#VALUE!</v>
      </c>
      <c r="AU395" t="e">
        <f>Asia!F174+"n/&gt;!3k@"</f>
        <v>#VALUE!</v>
      </c>
      <c r="AV395" t="e">
        <f>Asia!G174+"n/&gt;!3kA"</f>
        <v>#VALUE!</v>
      </c>
      <c r="AW395" t="e">
        <f>Asia!H174+"n/&gt;!3kB"</f>
        <v>#VALUE!</v>
      </c>
      <c r="AX395" t="e">
        <f>Asia!I174+"n/&gt;!3kC"</f>
        <v>#VALUE!</v>
      </c>
      <c r="AY395" t="e">
        <f>Asia!A175+"n/&gt;!3kD"</f>
        <v>#VALUE!</v>
      </c>
      <c r="AZ395" t="e">
        <f>Asia!B175+"n/&gt;!3kE"</f>
        <v>#VALUE!</v>
      </c>
      <c r="BA395" t="e">
        <f>Asia!C175+"n/&gt;!3kF"</f>
        <v>#VALUE!</v>
      </c>
      <c r="BB395" t="e">
        <f>Asia!D175+"n/&gt;!3kG"</f>
        <v>#VALUE!</v>
      </c>
      <c r="BC395" t="e">
        <f>Asia!E175+"n/&gt;!3kH"</f>
        <v>#VALUE!</v>
      </c>
      <c r="BD395" t="e">
        <f>Asia!F175+"n/&gt;!3kI"</f>
        <v>#VALUE!</v>
      </c>
      <c r="BE395" t="e">
        <f>Asia!G175+"n/&gt;!3kJ"</f>
        <v>#VALUE!</v>
      </c>
      <c r="BF395" t="e">
        <f>Asia!H175+"n/&gt;!3kK"</f>
        <v>#VALUE!</v>
      </c>
      <c r="BG395" t="e">
        <f>Asia!I175+"n/&gt;!3kL"</f>
        <v>#VALUE!</v>
      </c>
      <c r="BH395" t="e">
        <f>Asia!A176+"n/&gt;!3kM"</f>
        <v>#VALUE!</v>
      </c>
      <c r="BI395" t="e">
        <f>Asia!B176+"n/&gt;!3kN"</f>
        <v>#VALUE!</v>
      </c>
      <c r="BJ395" t="e">
        <f>Asia!C176+"n/&gt;!3kO"</f>
        <v>#VALUE!</v>
      </c>
      <c r="BK395" t="e">
        <f>Asia!D176+"n/&gt;!3kP"</f>
        <v>#VALUE!</v>
      </c>
      <c r="BL395" t="e">
        <f>Asia!E176+"n/&gt;!3kQ"</f>
        <v>#VALUE!</v>
      </c>
      <c r="BM395" t="e">
        <f>Asia!F176+"n/&gt;!3kR"</f>
        <v>#VALUE!</v>
      </c>
      <c r="BN395" t="e">
        <f>Asia!G176+"n/&gt;!3kS"</f>
        <v>#VALUE!</v>
      </c>
      <c r="BO395" t="e">
        <f>Asia!H176+"n/&gt;!3kT"</f>
        <v>#VALUE!</v>
      </c>
      <c r="BP395" t="e">
        <f>Asia!I176+"n/&gt;!3kU"</f>
        <v>#VALUE!</v>
      </c>
      <c r="BQ395" t="e">
        <f>Asia!A177+"n/&gt;!3kV"</f>
        <v>#VALUE!</v>
      </c>
      <c r="BR395" t="e">
        <f>Asia!B177+"n/&gt;!3kW"</f>
        <v>#VALUE!</v>
      </c>
      <c r="BS395" t="e">
        <f>Asia!C177+"n/&gt;!3kX"</f>
        <v>#VALUE!</v>
      </c>
      <c r="BT395" t="e">
        <f>Asia!D177+"n/&gt;!3kY"</f>
        <v>#VALUE!</v>
      </c>
      <c r="BU395" t="e">
        <f>Asia!E177+"n/&gt;!3kZ"</f>
        <v>#VALUE!</v>
      </c>
      <c r="BV395" t="e">
        <f>Asia!F177+"n/&gt;!3k["</f>
        <v>#VALUE!</v>
      </c>
      <c r="BW395" t="e">
        <f>Asia!G177+"n/&gt;!3k\"</f>
        <v>#VALUE!</v>
      </c>
      <c r="BX395" t="e">
        <f>Asia!H177+"n/&gt;!3k]"</f>
        <v>#VALUE!</v>
      </c>
      <c r="BY395" t="e">
        <f>Asia!I177+"n/&gt;!3k^"</f>
        <v>#VALUE!</v>
      </c>
      <c r="BZ395" t="e">
        <f>Asia!A178+"n/&gt;!3k_"</f>
        <v>#VALUE!</v>
      </c>
      <c r="CA395" t="e">
        <f>Asia!B178+"n/&gt;!3k`"</f>
        <v>#VALUE!</v>
      </c>
      <c r="CB395" t="e">
        <f>Asia!C178+"n/&gt;!3ka"</f>
        <v>#VALUE!</v>
      </c>
      <c r="CC395" t="e">
        <f>Asia!D178+"n/&gt;!3kb"</f>
        <v>#VALUE!</v>
      </c>
      <c r="CD395" t="e">
        <f>Asia!E178+"n/&gt;!3kc"</f>
        <v>#VALUE!</v>
      </c>
      <c r="CE395" t="e">
        <f>Asia!F178+"n/&gt;!3kd"</f>
        <v>#VALUE!</v>
      </c>
      <c r="CF395" t="e">
        <f>Asia!G178+"n/&gt;!3ke"</f>
        <v>#VALUE!</v>
      </c>
      <c r="CG395" t="e">
        <f>Asia!H178+"n/&gt;!3kf"</f>
        <v>#VALUE!</v>
      </c>
      <c r="CH395" t="e">
        <f>Asia!I178+"n/&gt;!3kg"</f>
        <v>#VALUE!</v>
      </c>
      <c r="CI395" t="e">
        <f>Asia!A179+"n/&gt;!3kh"</f>
        <v>#VALUE!</v>
      </c>
      <c r="CJ395" t="e">
        <f>Asia!B179+"n/&gt;!3ki"</f>
        <v>#VALUE!</v>
      </c>
      <c r="CK395" t="e">
        <f>Asia!C179+"n/&gt;!3kj"</f>
        <v>#VALUE!</v>
      </c>
      <c r="CL395" t="e">
        <f>Asia!D179+"n/&gt;!3kk"</f>
        <v>#VALUE!</v>
      </c>
      <c r="CM395" t="e">
        <f>Asia!E179+"n/&gt;!3kl"</f>
        <v>#VALUE!</v>
      </c>
      <c r="CN395" t="e">
        <f>Asia!F179+"n/&gt;!3km"</f>
        <v>#VALUE!</v>
      </c>
      <c r="CO395" t="e">
        <f>Asia!G179+"n/&gt;!3kn"</f>
        <v>#VALUE!</v>
      </c>
      <c r="CP395" t="e">
        <f>Asia!H179+"n/&gt;!3ko"</f>
        <v>#VALUE!</v>
      </c>
      <c r="CQ395" t="e">
        <f>Asia!I179+"n/&gt;!3kp"</f>
        <v>#VALUE!</v>
      </c>
      <c r="CR395" t="e">
        <f>Asia!A180+"n/&gt;!3kq"</f>
        <v>#VALUE!</v>
      </c>
      <c r="CS395" t="e">
        <f>Asia!B180+"n/&gt;!3kr"</f>
        <v>#VALUE!</v>
      </c>
      <c r="CT395" t="e">
        <f>Asia!C180+"n/&gt;!3ks"</f>
        <v>#VALUE!</v>
      </c>
      <c r="CU395" t="e">
        <f>Asia!D180+"n/&gt;!3kt"</f>
        <v>#VALUE!</v>
      </c>
      <c r="CV395" t="e">
        <f>Asia!E180+"n/&gt;!3ku"</f>
        <v>#VALUE!</v>
      </c>
      <c r="CW395" t="e">
        <f>Asia!F180+"n/&gt;!3kv"</f>
        <v>#VALUE!</v>
      </c>
      <c r="CX395" t="e">
        <f>Asia!G180+"n/&gt;!3kw"</f>
        <v>#VALUE!</v>
      </c>
      <c r="CY395" t="e">
        <f>Asia!H180+"n/&gt;!3kx"</f>
        <v>#VALUE!</v>
      </c>
      <c r="CZ395" t="e">
        <f>Asia!I180+"n/&gt;!3ky"</f>
        <v>#VALUE!</v>
      </c>
      <c r="DA395" t="e">
        <f>Asia!A181+"n/&gt;!3kz"</f>
        <v>#VALUE!</v>
      </c>
      <c r="DB395" t="e">
        <f>Asia!B181+"n/&gt;!3k{"</f>
        <v>#VALUE!</v>
      </c>
      <c r="DC395" t="e">
        <f>Asia!C181+"n/&gt;!3k|"</f>
        <v>#VALUE!</v>
      </c>
      <c r="DD395" t="e">
        <f>Asia!D181+"n/&gt;!3k}"</f>
        <v>#VALUE!</v>
      </c>
      <c r="DE395" t="e">
        <f>Asia!E181+"n/&gt;!3k~"</f>
        <v>#VALUE!</v>
      </c>
      <c r="DF395" t="e">
        <f>Asia!F181+"n/&gt;!3l#"</f>
        <v>#VALUE!</v>
      </c>
      <c r="DG395" t="e">
        <f>Asia!G181+"n/&gt;!3l$"</f>
        <v>#VALUE!</v>
      </c>
      <c r="DH395" t="e">
        <f>Asia!H181+"n/&gt;!3l%"</f>
        <v>#VALUE!</v>
      </c>
      <c r="DI395" t="e">
        <f>Asia!I181+"n/&gt;!3l&amp;"</f>
        <v>#VALUE!</v>
      </c>
      <c r="DJ395" t="e">
        <f>Asia!A182+"n/&gt;!3l'"</f>
        <v>#VALUE!</v>
      </c>
      <c r="DK395" t="e">
        <f>Asia!B182+"n/&gt;!3l("</f>
        <v>#VALUE!</v>
      </c>
      <c r="DL395" t="e">
        <f>Asia!C182+"n/&gt;!3l)"</f>
        <v>#VALUE!</v>
      </c>
      <c r="DM395" t="e">
        <f>Asia!D182+"n/&gt;!3l."</f>
        <v>#VALUE!</v>
      </c>
      <c r="DN395" t="e">
        <f>Asia!E182+"n/&gt;!3l/"</f>
        <v>#VALUE!</v>
      </c>
      <c r="DO395" t="e">
        <f>Asia!F182+"n/&gt;!3l0"</f>
        <v>#VALUE!</v>
      </c>
      <c r="DP395" t="e">
        <f>Asia!G182+"n/&gt;!3l1"</f>
        <v>#VALUE!</v>
      </c>
      <c r="DQ395" t="e">
        <f>Asia!H182+"n/&gt;!3l2"</f>
        <v>#VALUE!</v>
      </c>
      <c r="DR395" t="e">
        <f>Asia!I182+"n/&gt;!3l3"</f>
        <v>#VALUE!</v>
      </c>
      <c r="DS395" t="e">
        <f>Asia!A183+"n/&gt;!3l4"</f>
        <v>#VALUE!</v>
      </c>
      <c r="DT395" t="e">
        <f>Asia!B183+"n/&gt;!3l5"</f>
        <v>#VALUE!</v>
      </c>
      <c r="DU395" t="e">
        <f>Asia!C183+"n/&gt;!3l6"</f>
        <v>#VALUE!</v>
      </c>
      <c r="DV395" t="e">
        <f>Asia!D183+"n/&gt;!3l7"</f>
        <v>#VALUE!</v>
      </c>
      <c r="DW395" t="e">
        <f>Asia!E183+"n/&gt;!3l8"</f>
        <v>#VALUE!</v>
      </c>
      <c r="DX395" t="e">
        <f>Asia!F183+"n/&gt;!3l9"</f>
        <v>#VALUE!</v>
      </c>
      <c r="DY395" t="e">
        <f>Asia!G183+"n/&gt;!3l:"</f>
        <v>#VALUE!</v>
      </c>
      <c r="DZ395" t="e">
        <f>Asia!H183+"n/&gt;!3l;"</f>
        <v>#VALUE!</v>
      </c>
      <c r="EA395" t="e">
        <f>Asia!I183+"n/&gt;!3l&lt;"</f>
        <v>#VALUE!</v>
      </c>
      <c r="EB395" t="e">
        <f>Asia!A184+"n/&gt;!3l="</f>
        <v>#VALUE!</v>
      </c>
      <c r="EC395" t="e">
        <f>Asia!B184+"n/&gt;!3l&gt;"</f>
        <v>#VALUE!</v>
      </c>
      <c r="ED395" t="e">
        <f>Asia!C184+"n/&gt;!3l?"</f>
        <v>#VALUE!</v>
      </c>
      <c r="EE395" t="e">
        <f>Asia!D184+"n/&gt;!3l@"</f>
        <v>#VALUE!</v>
      </c>
      <c r="EF395" t="e">
        <f>Asia!E184+"n/&gt;!3lA"</f>
        <v>#VALUE!</v>
      </c>
      <c r="EG395" t="e">
        <f>Asia!F184+"n/&gt;!3lB"</f>
        <v>#VALUE!</v>
      </c>
      <c r="EH395" t="e">
        <f>Asia!G184+"n/&gt;!3lC"</f>
        <v>#VALUE!</v>
      </c>
      <c r="EI395" t="e">
        <f>Asia!H184+"n/&gt;!3lD"</f>
        <v>#VALUE!</v>
      </c>
      <c r="EJ395" t="e">
        <f>Asia!I184+"n/&gt;!3lE"</f>
        <v>#VALUE!</v>
      </c>
      <c r="EK395" t="e">
        <f>Asia!A185+"n/&gt;!3lF"</f>
        <v>#VALUE!</v>
      </c>
      <c r="EL395" t="e">
        <f>Asia!B185+"n/&gt;!3lG"</f>
        <v>#VALUE!</v>
      </c>
      <c r="EM395" t="e">
        <f>Asia!C185+"n/&gt;!3lH"</f>
        <v>#VALUE!</v>
      </c>
      <c r="EN395" t="e">
        <f>Asia!D185+"n/&gt;!3lI"</f>
        <v>#VALUE!</v>
      </c>
      <c r="EO395" t="e">
        <f>Asia!E185+"n/&gt;!3lJ"</f>
        <v>#VALUE!</v>
      </c>
      <c r="EP395" t="e">
        <f>Asia!F185+"n/&gt;!3lK"</f>
        <v>#VALUE!</v>
      </c>
      <c r="EQ395" t="e">
        <f>Asia!G185+"n/&gt;!3lL"</f>
        <v>#VALUE!</v>
      </c>
      <c r="ER395" t="e">
        <f>Asia!H185+"n/&gt;!3lM"</f>
        <v>#VALUE!</v>
      </c>
      <c r="ES395" t="e">
        <f>Asia!I185+"n/&gt;!3lN"</f>
        <v>#VALUE!</v>
      </c>
      <c r="ET395" t="e">
        <f>Asia!A186+"n/&gt;!3lO"</f>
        <v>#VALUE!</v>
      </c>
      <c r="EU395" t="e">
        <f>Asia!B186+"n/&gt;!3lP"</f>
        <v>#VALUE!</v>
      </c>
      <c r="EV395" t="e">
        <f>Asia!C186+"n/&gt;!3lQ"</f>
        <v>#VALUE!</v>
      </c>
      <c r="EW395" t="e">
        <f>Asia!D186+"n/&gt;!3lR"</f>
        <v>#VALUE!</v>
      </c>
      <c r="EX395" t="e">
        <f>Asia!E186+"n/&gt;!3lS"</f>
        <v>#VALUE!</v>
      </c>
      <c r="EY395" t="e">
        <f>Asia!F186+"n/&gt;!3lT"</f>
        <v>#VALUE!</v>
      </c>
      <c r="EZ395" t="e">
        <f>Asia!G186+"n/&gt;!3lU"</f>
        <v>#VALUE!</v>
      </c>
      <c r="FA395" t="e">
        <f>Asia!H186+"n/&gt;!3lV"</f>
        <v>#VALUE!</v>
      </c>
      <c r="FB395" t="e">
        <f>Asia!I186+"n/&gt;!3lW"</f>
        <v>#VALUE!</v>
      </c>
      <c r="FC395" t="e">
        <f>Asia!A187+"n/&gt;!3lX"</f>
        <v>#VALUE!</v>
      </c>
      <c r="FD395" t="e">
        <f>Asia!B187+"n/&gt;!3lY"</f>
        <v>#VALUE!</v>
      </c>
      <c r="FE395" t="e">
        <f>Asia!C187+"n/&gt;!3lZ"</f>
        <v>#VALUE!</v>
      </c>
      <c r="FF395" t="e">
        <f>Asia!D187+"n/&gt;!3l["</f>
        <v>#VALUE!</v>
      </c>
      <c r="FG395" t="e">
        <f>Asia!E187+"n/&gt;!3l\"</f>
        <v>#VALUE!</v>
      </c>
      <c r="FH395" t="e">
        <f>Asia!F187+"n/&gt;!3l]"</f>
        <v>#VALUE!</v>
      </c>
      <c r="FI395" t="e">
        <f>Asia!G187+"n/&gt;!3l^"</f>
        <v>#VALUE!</v>
      </c>
      <c r="FJ395" t="e">
        <f>Asia!H187+"n/&gt;!3l_"</f>
        <v>#VALUE!</v>
      </c>
      <c r="FK395" t="e">
        <f>Asia!I187+"n/&gt;!3l`"</f>
        <v>#VALUE!</v>
      </c>
      <c r="FL395" t="e">
        <f>Asia!A188+"n/&gt;!3la"</f>
        <v>#VALUE!</v>
      </c>
      <c r="FM395" t="e">
        <f>Asia!B188+"n/&gt;!3lb"</f>
        <v>#VALUE!</v>
      </c>
      <c r="FN395" t="e">
        <f>Asia!C188+"n/&gt;!3lc"</f>
        <v>#VALUE!</v>
      </c>
      <c r="FO395" t="e">
        <f>Asia!D188+"n/&gt;!3ld"</f>
        <v>#VALUE!</v>
      </c>
      <c r="FP395" t="e">
        <f>Asia!E188+"n/&gt;!3le"</f>
        <v>#VALUE!</v>
      </c>
      <c r="FQ395" t="e">
        <f>Asia!F188+"n/&gt;!3lf"</f>
        <v>#VALUE!</v>
      </c>
      <c r="FR395" t="e">
        <f>Asia!G188+"n/&gt;!3lg"</f>
        <v>#VALUE!</v>
      </c>
      <c r="FS395" t="e">
        <f>Asia!H188+"n/&gt;!3lh"</f>
        <v>#VALUE!</v>
      </c>
      <c r="FT395" t="e">
        <f>Asia!I188+"n/&gt;!3li"</f>
        <v>#VALUE!</v>
      </c>
      <c r="FU395" t="e">
        <f>Asia!A189+"n/&gt;!3lj"</f>
        <v>#VALUE!</v>
      </c>
      <c r="FV395" t="e">
        <f>Asia!B189+"n/&gt;!3lk"</f>
        <v>#VALUE!</v>
      </c>
      <c r="FW395" t="e">
        <f>Asia!C189+"n/&gt;!3ll"</f>
        <v>#VALUE!</v>
      </c>
      <c r="FX395" t="e">
        <f>Asia!D189+"n/&gt;!3lm"</f>
        <v>#VALUE!</v>
      </c>
      <c r="FY395" t="e">
        <f>Asia!E189+"n/&gt;!3ln"</f>
        <v>#VALUE!</v>
      </c>
      <c r="FZ395" t="e">
        <f>Asia!F189+"n/&gt;!3lo"</f>
        <v>#VALUE!</v>
      </c>
      <c r="GA395" t="e">
        <f>Asia!G189+"n/&gt;!3lp"</f>
        <v>#VALUE!</v>
      </c>
      <c r="GB395" t="e">
        <f>Asia!H189+"n/&gt;!3lq"</f>
        <v>#VALUE!</v>
      </c>
      <c r="GC395" t="e">
        <f>Asia!I189+"n/&gt;!3lr"</f>
        <v>#VALUE!</v>
      </c>
      <c r="GD395" t="e">
        <f>Asia!A190+"n/&gt;!3ls"</f>
        <v>#VALUE!</v>
      </c>
      <c r="GE395" t="e">
        <f>Asia!B190+"n/&gt;!3lt"</f>
        <v>#VALUE!</v>
      </c>
      <c r="GF395" t="e">
        <f>Asia!C190+"n/&gt;!3lu"</f>
        <v>#VALUE!</v>
      </c>
      <c r="GG395" t="e">
        <f>Asia!D190+"n/&gt;!3lv"</f>
        <v>#VALUE!</v>
      </c>
      <c r="GH395" t="e">
        <f>Asia!E190+"n/&gt;!3lw"</f>
        <v>#VALUE!</v>
      </c>
      <c r="GI395" t="e">
        <f>Asia!F190+"n/&gt;!3lx"</f>
        <v>#VALUE!</v>
      </c>
      <c r="GJ395" t="e">
        <f>Asia!G190+"n/&gt;!3ly"</f>
        <v>#VALUE!</v>
      </c>
      <c r="GK395" t="e">
        <f>Asia!H190+"n/&gt;!3lz"</f>
        <v>#VALUE!</v>
      </c>
      <c r="GL395" t="e">
        <f>Asia!I190+"n/&gt;!3l{"</f>
        <v>#VALUE!</v>
      </c>
      <c r="GM395" t="e">
        <f>Asia!A191+"n/&gt;!3l|"</f>
        <v>#VALUE!</v>
      </c>
      <c r="GN395" t="e">
        <f>Asia!B191+"n/&gt;!3l}"</f>
        <v>#VALUE!</v>
      </c>
      <c r="GO395" t="e">
        <f>Asia!C191+"n/&gt;!3l~"</f>
        <v>#VALUE!</v>
      </c>
      <c r="GP395" t="e">
        <f>Asia!D191+"n/&gt;!3m#"</f>
        <v>#VALUE!</v>
      </c>
      <c r="GQ395" t="e">
        <f>Asia!E191+"n/&gt;!3m$"</f>
        <v>#VALUE!</v>
      </c>
      <c r="GR395" t="e">
        <f>Asia!F191+"n/&gt;!3m%"</f>
        <v>#VALUE!</v>
      </c>
      <c r="GS395" t="e">
        <f>Asia!G191+"n/&gt;!3m&amp;"</f>
        <v>#VALUE!</v>
      </c>
      <c r="GT395" t="e">
        <f>Asia!H191+"n/&gt;!3m'"</f>
        <v>#VALUE!</v>
      </c>
      <c r="GU395" t="e">
        <f>Asia!I191+"n/&gt;!3m("</f>
        <v>#VALUE!</v>
      </c>
      <c r="GV395" t="e">
        <f>Asia!A192+"n/&gt;!3m)"</f>
        <v>#VALUE!</v>
      </c>
      <c r="GW395" t="e">
        <f>Asia!B192+"n/&gt;!3m."</f>
        <v>#VALUE!</v>
      </c>
      <c r="GX395" t="e">
        <f>Asia!C192+"n/&gt;!3m/"</f>
        <v>#VALUE!</v>
      </c>
      <c r="GY395" t="e">
        <f>Asia!D192+"n/&gt;!3m0"</f>
        <v>#VALUE!</v>
      </c>
      <c r="GZ395" t="e">
        <f>Asia!E192+"n/&gt;!3m1"</f>
        <v>#VALUE!</v>
      </c>
      <c r="HA395" t="e">
        <f>Asia!F192+"n/&gt;!3m2"</f>
        <v>#VALUE!</v>
      </c>
      <c r="HB395" t="e">
        <f>Asia!G192+"n/&gt;!3m3"</f>
        <v>#VALUE!</v>
      </c>
      <c r="HC395" t="e">
        <f>Asia!H192+"n/&gt;!3m4"</f>
        <v>#VALUE!</v>
      </c>
      <c r="HD395" t="e">
        <f>Asia!I192+"n/&gt;!3m5"</f>
        <v>#VALUE!</v>
      </c>
      <c r="HE395" t="e">
        <f>Asia!A193+"n/&gt;!3m6"</f>
        <v>#VALUE!</v>
      </c>
      <c r="HF395" t="e">
        <f>Asia!B193+"n/&gt;!3m7"</f>
        <v>#VALUE!</v>
      </c>
      <c r="HG395" t="e">
        <f>Asia!C193+"n/&gt;!3m8"</f>
        <v>#VALUE!</v>
      </c>
      <c r="HH395" t="e">
        <f>Asia!D193+"n/&gt;!3m9"</f>
        <v>#VALUE!</v>
      </c>
      <c r="HI395" t="e">
        <f>Asia!E193+"n/&gt;!3m:"</f>
        <v>#VALUE!</v>
      </c>
      <c r="HJ395" t="e">
        <f>Asia!F193+"n/&gt;!3m;"</f>
        <v>#VALUE!</v>
      </c>
      <c r="HK395" t="e">
        <f>Asia!G193+"n/&gt;!3m&lt;"</f>
        <v>#VALUE!</v>
      </c>
      <c r="HL395" t="e">
        <f>Asia!H193+"n/&gt;!3m="</f>
        <v>#VALUE!</v>
      </c>
      <c r="HM395" t="e">
        <f>Asia!I193+"n/&gt;!3m&gt;"</f>
        <v>#VALUE!</v>
      </c>
      <c r="HN395" t="e">
        <f>Asia!A194+"n/&gt;!3m?"</f>
        <v>#VALUE!</v>
      </c>
      <c r="HO395" t="e">
        <f>Asia!B194+"n/&gt;!3m@"</f>
        <v>#VALUE!</v>
      </c>
      <c r="HP395" t="e">
        <f>Asia!C194+"n/&gt;!3mA"</f>
        <v>#VALUE!</v>
      </c>
      <c r="HQ395" t="e">
        <f>Asia!D194+"n/&gt;!3mB"</f>
        <v>#VALUE!</v>
      </c>
      <c r="HR395" t="e">
        <f>Asia!E194+"n/&gt;!3mC"</f>
        <v>#VALUE!</v>
      </c>
      <c r="HS395" t="e">
        <f>Asia!F194+"n/&gt;!3mD"</f>
        <v>#VALUE!</v>
      </c>
      <c r="HT395" t="e">
        <f>Asia!G194+"n/&gt;!3mE"</f>
        <v>#VALUE!</v>
      </c>
      <c r="HU395" t="e">
        <f>Asia!H194+"n/&gt;!3mF"</f>
        <v>#VALUE!</v>
      </c>
      <c r="HV395" t="e">
        <f>Asia!I194+"n/&gt;!3mG"</f>
        <v>#VALUE!</v>
      </c>
      <c r="HW395" t="e">
        <f>Asia!A195+"n/&gt;!3mH"</f>
        <v>#VALUE!</v>
      </c>
      <c r="HX395" t="e">
        <f>Asia!B195+"n/&gt;!3mI"</f>
        <v>#VALUE!</v>
      </c>
      <c r="HY395" t="e">
        <f>Asia!C195+"n/&gt;!3mJ"</f>
        <v>#VALUE!</v>
      </c>
      <c r="HZ395" t="e">
        <f>Asia!D195+"n/&gt;!3mK"</f>
        <v>#VALUE!</v>
      </c>
      <c r="IA395" t="e">
        <f>Asia!E195+"n/&gt;!3mL"</f>
        <v>#VALUE!</v>
      </c>
      <c r="IB395" t="e">
        <f>Asia!F195+"n/&gt;!3mM"</f>
        <v>#VALUE!</v>
      </c>
      <c r="IC395" t="e">
        <f>Asia!G195+"n/&gt;!3mN"</f>
        <v>#VALUE!</v>
      </c>
      <c r="ID395" t="e">
        <f>Asia!H195+"n/&gt;!3mO"</f>
        <v>#VALUE!</v>
      </c>
      <c r="IE395" t="e">
        <f>Asia!I195+"n/&gt;!3mP"</f>
        <v>#VALUE!</v>
      </c>
      <c r="IF395" t="e">
        <f>Asia!A196+"n/&gt;!3mQ"</f>
        <v>#VALUE!</v>
      </c>
      <c r="IG395" t="e">
        <f>Asia!B196+"n/&gt;!3mR"</f>
        <v>#VALUE!</v>
      </c>
      <c r="IH395" t="e">
        <f>Asia!C196+"n/&gt;!3mS"</f>
        <v>#VALUE!</v>
      </c>
      <c r="II395" t="e">
        <f>Asia!D196+"n/&gt;!3mT"</f>
        <v>#VALUE!</v>
      </c>
      <c r="IJ395" t="e">
        <f>Asia!E196+"n/&gt;!3mU"</f>
        <v>#VALUE!</v>
      </c>
      <c r="IK395" t="e">
        <f>Asia!F196+"n/&gt;!3mV"</f>
        <v>#VALUE!</v>
      </c>
      <c r="IL395" t="e">
        <f>Asia!G196+"n/&gt;!3mW"</f>
        <v>#VALUE!</v>
      </c>
      <c r="IM395" t="e">
        <f>Asia!H196+"n/&gt;!3mX"</f>
        <v>#VALUE!</v>
      </c>
      <c r="IN395" t="e">
        <f>Asia!I196+"n/&gt;!3mY"</f>
        <v>#VALUE!</v>
      </c>
      <c r="IO395" t="e">
        <f>Asia!A197+"n/&gt;!3mZ"</f>
        <v>#VALUE!</v>
      </c>
      <c r="IP395" t="e">
        <f>Asia!B197+"n/&gt;!3m["</f>
        <v>#VALUE!</v>
      </c>
      <c r="IQ395" t="e">
        <f>Asia!C197+"n/&gt;!3m\"</f>
        <v>#VALUE!</v>
      </c>
      <c r="IR395" t="e">
        <f>Asia!D197+"n/&gt;!3m]"</f>
        <v>#VALUE!</v>
      </c>
      <c r="IS395" t="e">
        <f>Asia!E197+"n/&gt;!3m^"</f>
        <v>#VALUE!</v>
      </c>
      <c r="IT395" t="e">
        <f>Asia!F197+"n/&gt;!3m_"</f>
        <v>#VALUE!</v>
      </c>
      <c r="IU395" t="e">
        <f>Asia!G197+"n/&gt;!3m`"</f>
        <v>#VALUE!</v>
      </c>
      <c r="IV395" t="e">
        <f>Asia!H197+"n/&gt;!3ma"</f>
        <v>#VALUE!</v>
      </c>
    </row>
    <row r="396" spans="6:256" x14ac:dyDescent="0.35">
      <c r="F396" t="e">
        <f>Asia!I197+"n/&gt;!3mb"</f>
        <v>#VALUE!</v>
      </c>
      <c r="G396" t="e">
        <f>Asia!A198+"n/&gt;!3mc"</f>
        <v>#VALUE!</v>
      </c>
      <c r="H396" t="e">
        <f>Asia!B198+"n/&gt;!3md"</f>
        <v>#VALUE!</v>
      </c>
      <c r="I396" t="e">
        <f>Asia!C198+"n/&gt;!3me"</f>
        <v>#VALUE!</v>
      </c>
      <c r="J396" t="e">
        <f>Asia!D198+"n/&gt;!3mf"</f>
        <v>#VALUE!</v>
      </c>
      <c r="K396" t="e">
        <f>Asia!E198+"n/&gt;!3mg"</f>
        <v>#VALUE!</v>
      </c>
      <c r="L396" t="e">
        <f>Asia!F198+"n/&gt;!3mh"</f>
        <v>#VALUE!</v>
      </c>
      <c r="M396" t="e">
        <f>Asia!G198+"n/&gt;!3mi"</f>
        <v>#VALUE!</v>
      </c>
      <c r="N396" t="e">
        <f>Asia!H198+"n/&gt;!3mj"</f>
        <v>#VALUE!</v>
      </c>
      <c r="O396" t="e">
        <f>Asia!I198+"n/&gt;!3mk"</f>
        <v>#VALUE!</v>
      </c>
      <c r="P396" t="e">
        <f>Asia!A199+"n/&gt;!3ml"</f>
        <v>#VALUE!</v>
      </c>
      <c r="Q396" t="e">
        <f>Asia!B199+"n/&gt;!3mm"</f>
        <v>#VALUE!</v>
      </c>
      <c r="R396" t="e">
        <f>Asia!C199+"n/&gt;!3mn"</f>
        <v>#VALUE!</v>
      </c>
      <c r="S396" t="e">
        <f>Asia!D199+"n/&gt;!3mo"</f>
        <v>#VALUE!</v>
      </c>
      <c r="T396" t="e">
        <f>Asia!E199+"n/&gt;!3mp"</f>
        <v>#VALUE!</v>
      </c>
      <c r="U396" t="e">
        <f>Asia!F199+"n/&gt;!3mq"</f>
        <v>#VALUE!</v>
      </c>
      <c r="V396" t="e">
        <f>Asia!G199+"n/&gt;!3mr"</f>
        <v>#VALUE!</v>
      </c>
      <c r="W396" t="e">
        <f>Asia!H199+"n/&gt;!3ms"</f>
        <v>#VALUE!</v>
      </c>
      <c r="X396" t="e">
        <f>Asia!I199+"n/&gt;!3mt"</f>
        <v>#VALUE!</v>
      </c>
      <c r="Y396" t="e">
        <f>Asia!A200+"n/&gt;!3mu"</f>
        <v>#VALUE!</v>
      </c>
      <c r="Z396" t="e">
        <f>Asia!B200+"n/&gt;!3mv"</f>
        <v>#VALUE!</v>
      </c>
      <c r="AA396" t="e">
        <f>Asia!C200+"n/&gt;!3mw"</f>
        <v>#VALUE!</v>
      </c>
      <c r="AB396" t="e">
        <f>Asia!D200+"n/&gt;!3mx"</f>
        <v>#VALUE!</v>
      </c>
      <c r="AC396" t="e">
        <f>Asia!E200+"n/&gt;!3my"</f>
        <v>#VALUE!</v>
      </c>
      <c r="AD396" t="e">
        <f>Asia!F200+"n/&gt;!3mz"</f>
        <v>#VALUE!</v>
      </c>
      <c r="AE396" t="e">
        <f>Asia!G200+"n/&gt;!3m{"</f>
        <v>#VALUE!</v>
      </c>
      <c r="AF396" t="e">
        <f>Asia!H200+"n/&gt;!3m|"</f>
        <v>#VALUE!</v>
      </c>
      <c r="AG396" t="e">
        <f>Asia!I200+"n/&gt;!3m}"</f>
        <v>#VALUE!</v>
      </c>
      <c r="AH396" t="e">
        <f>Asia!A201+"n/&gt;!3m~"</f>
        <v>#VALUE!</v>
      </c>
      <c r="AI396" t="e">
        <f>Asia!B201+"n/&gt;!3n#"</f>
        <v>#VALUE!</v>
      </c>
      <c r="AJ396" t="e">
        <f>Asia!C201+"n/&gt;!3n$"</f>
        <v>#VALUE!</v>
      </c>
      <c r="AK396" t="e">
        <f>Asia!D201+"n/&gt;!3n%"</f>
        <v>#VALUE!</v>
      </c>
      <c r="AL396" t="e">
        <f>Asia!E201+"n/&gt;!3n&amp;"</f>
        <v>#VALUE!</v>
      </c>
      <c r="AM396" t="e">
        <f>Asia!F201+"n/&gt;!3n'"</f>
        <v>#VALUE!</v>
      </c>
      <c r="AN396" t="e">
        <f>Asia!G201+"n/&gt;!3n("</f>
        <v>#VALUE!</v>
      </c>
      <c r="AO396" t="e">
        <f>Asia!H201+"n/&gt;!3n)"</f>
        <v>#VALUE!</v>
      </c>
      <c r="AP396" t="e">
        <f>Asia!I201+"n/&gt;!3n."</f>
        <v>#VALUE!</v>
      </c>
      <c r="AQ396" t="e">
        <f>Asia!A202+"n/&gt;!3n/"</f>
        <v>#VALUE!</v>
      </c>
      <c r="AR396" t="e">
        <f>Asia!B202+"n/&gt;!3n0"</f>
        <v>#VALUE!</v>
      </c>
      <c r="AS396" t="e">
        <f>Asia!C202+"n/&gt;!3n1"</f>
        <v>#VALUE!</v>
      </c>
      <c r="AT396" t="e">
        <f>Asia!D202+"n/&gt;!3n2"</f>
        <v>#VALUE!</v>
      </c>
      <c r="AU396" t="e">
        <f>Asia!E202+"n/&gt;!3n3"</f>
        <v>#VALUE!</v>
      </c>
      <c r="AV396" t="e">
        <f>Asia!F202+"n/&gt;!3n4"</f>
        <v>#VALUE!</v>
      </c>
      <c r="AW396" t="e">
        <f>Asia!G202+"n/&gt;!3n5"</f>
        <v>#VALUE!</v>
      </c>
      <c r="AX396" t="e">
        <f>Asia!H202+"n/&gt;!3n6"</f>
        <v>#VALUE!</v>
      </c>
      <c r="AY396" t="e">
        <f>Asia!I202+"n/&gt;!3n7"</f>
        <v>#VALUE!</v>
      </c>
      <c r="AZ396" t="e">
        <f>Asia!A203+"n/&gt;!3n8"</f>
        <v>#VALUE!</v>
      </c>
      <c r="BA396" t="e">
        <f>Asia!B203+"n/&gt;!3n9"</f>
        <v>#VALUE!</v>
      </c>
      <c r="BB396" t="e">
        <f>Asia!C203+"n/&gt;!3n:"</f>
        <v>#VALUE!</v>
      </c>
      <c r="BC396" t="e">
        <f>Asia!D203+"n/&gt;!3n;"</f>
        <v>#VALUE!</v>
      </c>
      <c r="BD396" t="e">
        <f>Asia!E203+"n/&gt;!3n&lt;"</f>
        <v>#VALUE!</v>
      </c>
      <c r="BE396" t="e">
        <f>Asia!F203+"n/&gt;!3n="</f>
        <v>#VALUE!</v>
      </c>
      <c r="BF396" t="e">
        <f>Asia!G203+"n/&gt;!3n&gt;"</f>
        <v>#VALUE!</v>
      </c>
      <c r="BG396" t="e">
        <f>Asia!H203+"n/&gt;!3n?"</f>
        <v>#VALUE!</v>
      </c>
      <c r="BH396" t="e">
        <f>Asia!I203+"n/&gt;!3n@"</f>
        <v>#VALUE!</v>
      </c>
      <c r="BI396" t="e">
        <f>Asia!A204+"n/&gt;!3nA"</f>
        <v>#VALUE!</v>
      </c>
      <c r="BJ396" t="e">
        <f>Asia!B204+"n/&gt;!3nB"</f>
        <v>#VALUE!</v>
      </c>
      <c r="BK396" t="e">
        <f>Asia!C204+"n/&gt;!3nC"</f>
        <v>#VALUE!</v>
      </c>
      <c r="BL396" t="e">
        <f>Asia!D204+"n/&gt;!3nD"</f>
        <v>#VALUE!</v>
      </c>
      <c r="BM396" t="e">
        <f>Asia!E204+"n/&gt;!3nE"</f>
        <v>#VALUE!</v>
      </c>
      <c r="BN396" t="e">
        <f>Asia!F204+"n/&gt;!3nF"</f>
        <v>#VALUE!</v>
      </c>
      <c r="BO396" t="e">
        <f>Asia!G204+"n/&gt;!3nG"</f>
        <v>#VALUE!</v>
      </c>
      <c r="BP396" t="e">
        <f>Asia!H204+"n/&gt;!3nH"</f>
        <v>#VALUE!</v>
      </c>
      <c r="BQ396" t="e">
        <f>Asia!I204+"n/&gt;!3nI"</f>
        <v>#VALUE!</v>
      </c>
      <c r="BR396" t="e">
        <f>Asia!A205+"n/&gt;!3nJ"</f>
        <v>#VALUE!</v>
      </c>
      <c r="BS396" t="e">
        <f>Asia!B205+"n/&gt;!3nK"</f>
        <v>#VALUE!</v>
      </c>
      <c r="BT396" t="e">
        <f>Asia!C205+"n/&gt;!3nL"</f>
        <v>#VALUE!</v>
      </c>
      <c r="BU396" t="e">
        <f>Asia!D205+"n/&gt;!3nM"</f>
        <v>#VALUE!</v>
      </c>
      <c r="BV396" t="e">
        <f>Asia!E205+"n/&gt;!3nN"</f>
        <v>#VALUE!</v>
      </c>
      <c r="BW396" t="e">
        <f>Asia!F205+"n/&gt;!3nO"</f>
        <v>#VALUE!</v>
      </c>
      <c r="BX396" t="e">
        <f>Asia!G205+"n/&gt;!3nP"</f>
        <v>#VALUE!</v>
      </c>
      <c r="BY396" t="e">
        <f>Asia!H205+"n/&gt;!3nQ"</f>
        <v>#VALUE!</v>
      </c>
      <c r="BZ396" t="e">
        <f>Asia!I205+"n/&gt;!3nR"</f>
        <v>#VALUE!</v>
      </c>
      <c r="CA396" t="e">
        <f>Asia!A206+"n/&gt;!3nS"</f>
        <v>#VALUE!</v>
      </c>
      <c r="CB396" t="e">
        <f>Asia!B206+"n/&gt;!3nT"</f>
        <v>#VALUE!</v>
      </c>
      <c r="CC396" t="e">
        <f>Asia!C206+"n/&gt;!3nU"</f>
        <v>#VALUE!</v>
      </c>
      <c r="CD396" t="e">
        <f>Asia!D206+"n/&gt;!3nV"</f>
        <v>#VALUE!</v>
      </c>
      <c r="CE396" t="e">
        <f>Asia!E206+"n/&gt;!3nW"</f>
        <v>#VALUE!</v>
      </c>
      <c r="CF396" t="e">
        <f>Asia!F206+"n/&gt;!3nX"</f>
        <v>#VALUE!</v>
      </c>
      <c r="CG396" t="e">
        <f>Asia!G206+"n/&gt;!3nY"</f>
        <v>#VALUE!</v>
      </c>
      <c r="CH396" t="e">
        <f>Asia!H206+"n/&gt;!3nZ"</f>
        <v>#VALUE!</v>
      </c>
      <c r="CI396" t="e">
        <f>Asia!I206+"n/&gt;!3n["</f>
        <v>#VALUE!</v>
      </c>
      <c r="CJ396" t="e">
        <f>Asia!A207+"n/&gt;!3n\"</f>
        <v>#VALUE!</v>
      </c>
      <c r="CK396" t="e">
        <f>Asia!B207+"n/&gt;!3n]"</f>
        <v>#VALUE!</v>
      </c>
      <c r="CL396" t="e">
        <f>Asia!C207+"n/&gt;!3n^"</f>
        <v>#VALUE!</v>
      </c>
      <c r="CM396" t="e">
        <f>Asia!D207+"n/&gt;!3n_"</f>
        <v>#VALUE!</v>
      </c>
      <c r="CN396" t="e">
        <f>Asia!E207+"n/&gt;!3n`"</f>
        <v>#VALUE!</v>
      </c>
      <c r="CO396" t="e">
        <f>Asia!F207+"n/&gt;!3na"</f>
        <v>#VALUE!</v>
      </c>
      <c r="CP396" t="e">
        <f>Asia!G207+"n/&gt;!3nb"</f>
        <v>#VALUE!</v>
      </c>
      <c r="CQ396" t="e">
        <f>Asia!H207+"n/&gt;!3nc"</f>
        <v>#VALUE!</v>
      </c>
      <c r="CR396" t="e">
        <f>Asia!I207+"n/&gt;!3nd"</f>
        <v>#VALUE!</v>
      </c>
      <c r="CS396" t="e">
        <f>Asia!A208+"n/&gt;!3ne"</f>
        <v>#VALUE!</v>
      </c>
      <c r="CT396" t="e">
        <f>Asia!B208+"n/&gt;!3nf"</f>
        <v>#VALUE!</v>
      </c>
      <c r="CU396" t="e">
        <f>Asia!C208+"n/&gt;!3ng"</f>
        <v>#VALUE!</v>
      </c>
      <c r="CV396" t="e">
        <f>Asia!D208+"n/&gt;!3nh"</f>
        <v>#VALUE!</v>
      </c>
      <c r="CW396" t="e">
        <f>Asia!E208+"n/&gt;!3ni"</f>
        <v>#VALUE!</v>
      </c>
      <c r="CX396" t="e">
        <f>Asia!F208+"n/&gt;!3nj"</f>
        <v>#VALUE!</v>
      </c>
      <c r="CY396" t="e">
        <f>Asia!G208+"n/&gt;!3nk"</f>
        <v>#VALUE!</v>
      </c>
      <c r="CZ396" t="e">
        <f>Asia!H208+"n/&gt;!3nl"</f>
        <v>#VALUE!</v>
      </c>
      <c r="DA396" t="e">
        <f>Asia!I208+"n/&gt;!3nm"</f>
        <v>#VALUE!</v>
      </c>
      <c r="DB396" t="e">
        <f>Asia!A209+"n/&gt;!3nn"</f>
        <v>#VALUE!</v>
      </c>
      <c r="DC396" t="e">
        <f>Asia!B209+"n/&gt;!3no"</f>
        <v>#VALUE!</v>
      </c>
      <c r="DD396" t="e">
        <f>Asia!C209+"n/&gt;!3np"</f>
        <v>#VALUE!</v>
      </c>
      <c r="DE396" t="e">
        <f>Asia!D209+"n/&gt;!3nq"</f>
        <v>#VALUE!</v>
      </c>
      <c r="DF396" t="e">
        <f>Asia!E209+"n/&gt;!3nr"</f>
        <v>#VALUE!</v>
      </c>
      <c r="DG396" t="e">
        <f>Asia!F209+"n/&gt;!3ns"</f>
        <v>#VALUE!</v>
      </c>
      <c r="DH396" t="e">
        <f>Asia!G209+"n/&gt;!3nt"</f>
        <v>#VALUE!</v>
      </c>
      <c r="DI396" t="e">
        <f>Asia!H209+"n/&gt;!3nu"</f>
        <v>#VALUE!</v>
      </c>
      <c r="DJ396" t="e">
        <f>Asia!I209+"n/&gt;!3nv"</f>
        <v>#VALUE!</v>
      </c>
      <c r="DK396" t="e">
        <f>Asia!A210+"n/&gt;!3nw"</f>
        <v>#VALUE!</v>
      </c>
      <c r="DL396" t="e">
        <f>Asia!B210+"n/&gt;!3nx"</f>
        <v>#VALUE!</v>
      </c>
      <c r="DM396" t="e">
        <f>Asia!C210+"n/&gt;!3ny"</f>
        <v>#VALUE!</v>
      </c>
      <c r="DN396" t="e">
        <f>Asia!D210+"n/&gt;!3nz"</f>
        <v>#VALUE!</v>
      </c>
      <c r="DO396" t="e">
        <f>Asia!E210+"n/&gt;!3n{"</f>
        <v>#VALUE!</v>
      </c>
      <c r="DP396" t="e">
        <f>Asia!F210+"n/&gt;!3n|"</f>
        <v>#VALUE!</v>
      </c>
      <c r="DQ396" t="e">
        <f>Asia!G210+"n/&gt;!3n}"</f>
        <v>#VALUE!</v>
      </c>
      <c r="DR396" t="e">
        <f>Asia!H210+"n/&gt;!3n~"</f>
        <v>#VALUE!</v>
      </c>
      <c r="DS396" t="e">
        <f>Asia!I210+"n/&gt;!3o#"</f>
        <v>#VALUE!</v>
      </c>
      <c r="DT396" t="e">
        <f>Asia!A211+"n/&gt;!3o$"</f>
        <v>#VALUE!</v>
      </c>
      <c r="DU396" t="e">
        <f>Asia!B211+"n/&gt;!3o%"</f>
        <v>#VALUE!</v>
      </c>
      <c r="DV396" t="e">
        <f>Asia!C211+"n/&gt;!3o&amp;"</f>
        <v>#VALUE!</v>
      </c>
      <c r="DW396" t="e">
        <f>Asia!D211+"n/&gt;!3o'"</f>
        <v>#VALUE!</v>
      </c>
      <c r="DX396" t="e">
        <f>Asia!E211+"n/&gt;!3o("</f>
        <v>#VALUE!</v>
      </c>
      <c r="DY396" t="e">
        <f>Asia!F211+"n/&gt;!3o)"</f>
        <v>#VALUE!</v>
      </c>
      <c r="DZ396" t="e">
        <f>Asia!G211+"n/&gt;!3o."</f>
        <v>#VALUE!</v>
      </c>
      <c r="EA396" t="e">
        <f>Asia!H211+"n/&gt;!3o/"</f>
        <v>#VALUE!</v>
      </c>
      <c r="EB396" t="e">
        <f>Asia!I211+"n/&gt;!3o0"</f>
        <v>#VALUE!</v>
      </c>
      <c r="EC396" t="e">
        <f>Asia!A212+"n/&gt;!3o1"</f>
        <v>#VALUE!</v>
      </c>
      <c r="ED396" t="e">
        <f>Asia!B212+"n/&gt;!3o2"</f>
        <v>#VALUE!</v>
      </c>
      <c r="EE396" t="e">
        <f>Asia!C212+"n/&gt;!3o3"</f>
        <v>#VALUE!</v>
      </c>
      <c r="EF396" t="e">
        <f>Asia!D212+"n/&gt;!3o4"</f>
        <v>#VALUE!</v>
      </c>
      <c r="EG396" t="e">
        <f>Asia!E212+"n/&gt;!3o5"</f>
        <v>#VALUE!</v>
      </c>
      <c r="EH396" t="e">
        <f>Asia!F212+"n/&gt;!3o6"</f>
        <v>#VALUE!</v>
      </c>
      <c r="EI396" t="e">
        <f>Asia!G212+"n/&gt;!3o7"</f>
        <v>#VALUE!</v>
      </c>
      <c r="EJ396" t="e">
        <f>Asia!H212+"n/&gt;!3o8"</f>
        <v>#VALUE!</v>
      </c>
      <c r="EK396" t="e">
        <f>Asia!I212+"n/&gt;!3o9"</f>
        <v>#VALUE!</v>
      </c>
      <c r="EL396" t="e">
        <f>Asia!A213+"n/&gt;!3o:"</f>
        <v>#VALUE!</v>
      </c>
      <c r="EM396" t="e">
        <f>Asia!B213+"n/&gt;!3o;"</f>
        <v>#VALUE!</v>
      </c>
      <c r="EN396" t="e">
        <f>Asia!C213+"n/&gt;!3o&lt;"</f>
        <v>#VALUE!</v>
      </c>
      <c r="EO396" t="e">
        <f>Asia!D213+"n/&gt;!3o="</f>
        <v>#VALUE!</v>
      </c>
      <c r="EP396" t="e">
        <f>Asia!E213+"n/&gt;!3o&gt;"</f>
        <v>#VALUE!</v>
      </c>
      <c r="EQ396" t="e">
        <f>Asia!F213+"n/&gt;!3o?"</f>
        <v>#VALUE!</v>
      </c>
      <c r="ER396" t="e">
        <f>Asia!G213+"n/&gt;!3o@"</f>
        <v>#VALUE!</v>
      </c>
      <c r="ES396" t="e">
        <f>Asia!H213+"n/&gt;!3oA"</f>
        <v>#VALUE!</v>
      </c>
      <c r="ET396" t="e">
        <f>Asia!I213+"n/&gt;!3oB"</f>
        <v>#VALUE!</v>
      </c>
      <c r="EU396" t="e">
        <f>Asia!A214+"n/&gt;!3oC"</f>
        <v>#VALUE!</v>
      </c>
      <c r="EV396" t="e">
        <f>Asia!B214+"n/&gt;!3oD"</f>
        <v>#VALUE!</v>
      </c>
      <c r="EW396" t="e">
        <f>Asia!C214+"n/&gt;!3oE"</f>
        <v>#VALUE!</v>
      </c>
      <c r="EX396" t="e">
        <f>Asia!D214+"n/&gt;!3oF"</f>
        <v>#VALUE!</v>
      </c>
      <c r="EY396" t="e">
        <f>Asia!E214+"n/&gt;!3oG"</f>
        <v>#VALUE!</v>
      </c>
      <c r="EZ396" t="e">
        <f>Asia!F214+"n/&gt;!3oH"</f>
        <v>#VALUE!</v>
      </c>
      <c r="FA396" t="e">
        <f>Asia!G214+"n/&gt;!3oI"</f>
        <v>#VALUE!</v>
      </c>
      <c r="FB396" t="e">
        <f>Asia!H214+"n/&gt;!3oJ"</f>
        <v>#VALUE!</v>
      </c>
      <c r="FC396" t="e">
        <f>Asia!I214+"n/&gt;!3oK"</f>
        <v>#VALUE!</v>
      </c>
      <c r="FD396" t="e">
        <f>Asia!A215+"n/&gt;!3oL"</f>
        <v>#VALUE!</v>
      </c>
      <c r="FE396" t="e">
        <f>Asia!B215+"n/&gt;!3oM"</f>
        <v>#VALUE!</v>
      </c>
      <c r="FF396" t="e">
        <f>Asia!C215+"n/&gt;!3oN"</f>
        <v>#VALUE!</v>
      </c>
      <c r="FG396" t="e">
        <f>Asia!D215+"n/&gt;!3oO"</f>
        <v>#VALUE!</v>
      </c>
      <c r="FH396" t="e">
        <f>Asia!E215+"n/&gt;!3oP"</f>
        <v>#VALUE!</v>
      </c>
      <c r="FI396" t="e">
        <f>Asia!F215+"n/&gt;!3oQ"</f>
        <v>#VALUE!</v>
      </c>
      <c r="FJ396" t="e">
        <f>Asia!G215+"n/&gt;!3oR"</f>
        <v>#VALUE!</v>
      </c>
      <c r="FK396" t="e">
        <f>Asia!H215+"n/&gt;!3oS"</f>
        <v>#VALUE!</v>
      </c>
      <c r="FL396" t="e">
        <f>Asia!I215+"n/&gt;!3oT"</f>
        <v>#VALUE!</v>
      </c>
      <c r="FM396" t="e">
        <f>Asia!A216+"n/&gt;!3oU"</f>
        <v>#VALUE!</v>
      </c>
      <c r="FN396" t="e">
        <f>Asia!B216+"n/&gt;!3oV"</f>
        <v>#VALUE!</v>
      </c>
      <c r="FO396" t="e">
        <f>Asia!C216+"n/&gt;!3oW"</f>
        <v>#VALUE!</v>
      </c>
      <c r="FP396" t="e">
        <f>Asia!D216+"n/&gt;!3oX"</f>
        <v>#VALUE!</v>
      </c>
      <c r="FQ396" t="e">
        <f>Asia!E216+"n/&gt;!3oY"</f>
        <v>#VALUE!</v>
      </c>
      <c r="FR396" t="e">
        <f>Asia!F216+"n/&gt;!3oZ"</f>
        <v>#VALUE!</v>
      </c>
      <c r="FS396" t="e">
        <f>Asia!G216+"n/&gt;!3o["</f>
        <v>#VALUE!</v>
      </c>
      <c r="FT396" t="e">
        <f>Asia!H216+"n/&gt;!3o\"</f>
        <v>#VALUE!</v>
      </c>
      <c r="FU396" t="e">
        <f>Asia!I216+"n/&gt;!3o]"</f>
        <v>#VALUE!</v>
      </c>
      <c r="FV396" t="e">
        <f>Asia!A217+"n/&gt;!3o^"</f>
        <v>#VALUE!</v>
      </c>
      <c r="FW396" t="e">
        <f>Asia!B217+"n/&gt;!3o_"</f>
        <v>#VALUE!</v>
      </c>
      <c r="FX396" t="e">
        <f>Asia!C217+"n/&gt;!3o`"</f>
        <v>#VALUE!</v>
      </c>
      <c r="FY396" t="e">
        <f>Asia!D217+"n/&gt;!3oa"</f>
        <v>#VALUE!</v>
      </c>
      <c r="FZ396" t="e">
        <f>Asia!E217+"n/&gt;!3ob"</f>
        <v>#VALUE!</v>
      </c>
      <c r="GA396" t="e">
        <f>Asia!F217+"n/&gt;!3oc"</f>
        <v>#VALUE!</v>
      </c>
      <c r="GB396" t="e">
        <f>Asia!G217+"n/&gt;!3od"</f>
        <v>#VALUE!</v>
      </c>
      <c r="GC396" t="e">
        <f>Asia!H217+"n/&gt;!3oe"</f>
        <v>#VALUE!</v>
      </c>
      <c r="GD396" t="e">
        <f>Asia!I217+"n/&gt;!3of"</f>
        <v>#VALUE!</v>
      </c>
      <c r="GE396" t="e">
        <f>Asia!A218+"n/&gt;!3og"</f>
        <v>#VALUE!</v>
      </c>
      <c r="GF396" t="e">
        <f>Asia!B218+"n/&gt;!3oh"</f>
        <v>#VALUE!</v>
      </c>
      <c r="GG396" t="e">
        <f>Asia!C218+"n/&gt;!3oi"</f>
        <v>#VALUE!</v>
      </c>
      <c r="GH396" t="e">
        <f>Asia!D218+"n/&gt;!3oj"</f>
        <v>#VALUE!</v>
      </c>
      <c r="GI396" t="e">
        <f>Asia!E218+"n/&gt;!3ok"</f>
        <v>#VALUE!</v>
      </c>
      <c r="GJ396" t="e">
        <f>Asia!F218+"n/&gt;!3ol"</f>
        <v>#VALUE!</v>
      </c>
      <c r="GK396" t="e">
        <f>Asia!G218+"n/&gt;!3om"</f>
        <v>#VALUE!</v>
      </c>
      <c r="GL396" t="e">
        <f>Asia!H218+"n/&gt;!3on"</f>
        <v>#VALUE!</v>
      </c>
      <c r="GM396" t="e">
        <f>Asia!I218+"n/&gt;!3oo"</f>
        <v>#VALUE!</v>
      </c>
      <c r="GN396" t="e">
        <f>Asia!A219+"n/&gt;!3op"</f>
        <v>#VALUE!</v>
      </c>
      <c r="GO396" t="e">
        <f>Asia!B219+"n/&gt;!3oq"</f>
        <v>#VALUE!</v>
      </c>
      <c r="GP396" t="e">
        <f>Asia!C219+"n/&gt;!3or"</f>
        <v>#VALUE!</v>
      </c>
      <c r="GQ396" t="e">
        <f>Asia!D219+"n/&gt;!3os"</f>
        <v>#VALUE!</v>
      </c>
      <c r="GR396" t="e">
        <f>Asia!E219+"n/&gt;!3ot"</f>
        <v>#VALUE!</v>
      </c>
      <c r="GS396" t="e">
        <f>Asia!F219+"n/&gt;!3ou"</f>
        <v>#VALUE!</v>
      </c>
      <c r="GT396" t="e">
        <f>Asia!G219+"n/&gt;!3ov"</f>
        <v>#VALUE!</v>
      </c>
      <c r="GU396" t="e">
        <f>Asia!H219+"n/&gt;!3ow"</f>
        <v>#VALUE!</v>
      </c>
      <c r="GV396" t="e">
        <f>Asia!I219+"n/&gt;!3ox"</f>
        <v>#VALUE!</v>
      </c>
      <c r="GW396" t="e">
        <f>Asia!A220+"n/&gt;!3oy"</f>
        <v>#VALUE!</v>
      </c>
      <c r="GX396" t="e">
        <f>Asia!B220+"n/&gt;!3oz"</f>
        <v>#VALUE!</v>
      </c>
      <c r="GY396" t="e">
        <f>Asia!C220+"n/&gt;!3o{"</f>
        <v>#VALUE!</v>
      </c>
      <c r="GZ396" t="e">
        <f>Asia!D220+"n/&gt;!3o|"</f>
        <v>#VALUE!</v>
      </c>
      <c r="HA396" t="e">
        <f>Asia!E220+"n/&gt;!3o}"</f>
        <v>#VALUE!</v>
      </c>
      <c r="HB396" t="e">
        <f>Asia!F220+"n/&gt;!3o~"</f>
        <v>#VALUE!</v>
      </c>
      <c r="HC396" t="e">
        <f>Asia!G220+"n/&gt;!3p#"</f>
        <v>#VALUE!</v>
      </c>
      <c r="HD396" t="e">
        <f>Asia!H220+"n/&gt;!3p$"</f>
        <v>#VALUE!</v>
      </c>
      <c r="HE396" t="e">
        <f>Asia!I220+"n/&gt;!3p%"</f>
        <v>#VALUE!</v>
      </c>
      <c r="HF396" t="e">
        <f>Asia!A221+"n/&gt;!3p&amp;"</f>
        <v>#VALUE!</v>
      </c>
      <c r="HG396" t="e">
        <f>Asia!B221+"n/&gt;!3p'"</f>
        <v>#VALUE!</v>
      </c>
      <c r="HH396" t="e">
        <f>Asia!C221+"n/&gt;!3p("</f>
        <v>#VALUE!</v>
      </c>
      <c r="HI396" t="e">
        <f>Asia!D221+"n/&gt;!3p)"</f>
        <v>#VALUE!</v>
      </c>
      <c r="HJ396" t="e">
        <f>Asia!E221+"n/&gt;!3p."</f>
        <v>#VALUE!</v>
      </c>
      <c r="HK396" t="e">
        <f>Asia!F221+"n/&gt;!3p/"</f>
        <v>#VALUE!</v>
      </c>
      <c r="HL396" t="e">
        <f>Asia!G221+"n/&gt;!3p0"</f>
        <v>#VALUE!</v>
      </c>
      <c r="HM396" t="e">
        <f>Asia!H221+"n/&gt;!3p1"</f>
        <v>#VALUE!</v>
      </c>
      <c r="HN396" t="e">
        <f>Asia!I221+"n/&gt;!3p2"</f>
        <v>#VALUE!</v>
      </c>
      <c r="HO396" t="e">
        <f>Asia!A222+"n/&gt;!3p3"</f>
        <v>#VALUE!</v>
      </c>
      <c r="HP396" t="e">
        <f>Asia!B222+"n/&gt;!3p4"</f>
        <v>#VALUE!</v>
      </c>
      <c r="HQ396" t="e">
        <f>Asia!C222+"n/&gt;!3p5"</f>
        <v>#VALUE!</v>
      </c>
      <c r="HR396" t="e">
        <f>Asia!D222+"n/&gt;!3p6"</f>
        <v>#VALUE!</v>
      </c>
      <c r="HS396" t="e">
        <f>Asia!E222+"n/&gt;!3p7"</f>
        <v>#VALUE!</v>
      </c>
      <c r="HT396" t="e">
        <f>Asia!F222+"n/&gt;!3p8"</f>
        <v>#VALUE!</v>
      </c>
      <c r="HU396" t="e">
        <f>Asia!G222+"n/&gt;!3p9"</f>
        <v>#VALUE!</v>
      </c>
      <c r="HV396" t="e">
        <f>Asia!H222+"n/&gt;!3p:"</f>
        <v>#VALUE!</v>
      </c>
      <c r="HW396" t="e">
        <f>Asia!I222+"n/&gt;!3p;"</f>
        <v>#VALUE!</v>
      </c>
      <c r="HX396" t="e">
        <f>Asia!A223+"n/&gt;!3p&lt;"</f>
        <v>#VALUE!</v>
      </c>
      <c r="HY396" t="e">
        <f>Asia!B223+"n/&gt;!3p="</f>
        <v>#VALUE!</v>
      </c>
      <c r="HZ396" t="e">
        <f>Asia!C223+"n/&gt;!3p&gt;"</f>
        <v>#VALUE!</v>
      </c>
      <c r="IA396" t="e">
        <f>Asia!D223+"n/&gt;!3p?"</f>
        <v>#VALUE!</v>
      </c>
      <c r="IB396" t="e">
        <f>Asia!E223+"n/&gt;!3p@"</f>
        <v>#VALUE!</v>
      </c>
      <c r="IC396" t="e">
        <f>Asia!F223+"n/&gt;!3pA"</f>
        <v>#VALUE!</v>
      </c>
      <c r="ID396" t="e">
        <f>Asia!G223+"n/&gt;!3pB"</f>
        <v>#VALUE!</v>
      </c>
      <c r="IE396" t="e">
        <f>Asia!H223+"n/&gt;!3pC"</f>
        <v>#VALUE!</v>
      </c>
      <c r="IF396" t="e">
        <f>Asia!I223+"n/&gt;!3pD"</f>
        <v>#VALUE!</v>
      </c>
      <c r="IG396" t="e">
        <f>Asia!A224+"n/&gt;!3pE"</f>
        <v>#VALUE!</v>
      </c>
      <c r="IH396" t="e">
        <f>Asia!B224+"n/&gt;!3pF"</f>
        <v>#VALUE!</v>
      </c>
      <c r="II396" t="e">
        <f>Asia!C224+"n/&gt;!3pG"</f>
        <v>#VALUE!</v>
      </c>
      <c r="IJ396" t="e">
        <f>Asia!D224+"n/&gt;!3pH"</f>
        <v>#VALUE!</v>
      </c>
      <c r="IK396" t="e">
        <f>Asia!E224+"n/&gt;!3pI"</f>
        <v>#VALUE!</v>
      </c>
      <c r="IL396" t="e">
        <f>Asia!F224+"n/&gt;!3pJ"</f>
        <v>#VALUE!</v>
      </c>
      <c r="IM396" t="e">
        <f>Asia!G224+"n/&gt;!3pK"</f>
        <v>#VALUE!</v>
      </c>
      <c r="IN396" t="e">
        <f>Asia!H224+"n/&gt;!3pL"</f>
        <v>#VALUE!</v>
      </c>
      <c r="IO396" t="e">
        <f>Asia!I224+"n/&gt;!3pM"</f>
        <v>#VALUE!</v>
      </c>
      <c r="IP396" t="e">
        <f>Asia!A225+"n/&gt;!3pN"</f>
        <v>#VALUE!</v>
      </c>
      <c r="IQ396" t="e">
        <f>Asia!B225+"n/&gt;!3pO"</f>
        <v>#VALUE!</v>
      </c>
      <c r="IR396" t="e">
        <f>Asia!C225+"n/&gt;!3pP"</f>
        <v>#VALUE!</v>
      </c>
      <c r="IS396" t="e">
        <f>Asia!D225+"n/&gt;!3pQ"</f>
        <v>#VALUE!</v>
      </c>
      <c r="IT396" t="e">
        <f>Asia!E225+"n/&gt;!3pR"</f>
        <v>#VALUE!</v>
      </c>
      <c r="IU396" t="e">
        <f>Asia!F225+"n/&gt;!3pS"</f>
        <v>#VALUE!</v>
      </c>
      <c r="IV396" t="e">
        <f>Asia!G225+"n/&gt;!3pT"</f>
        <v>#VALUE!</v>
      </c>
    </row>
    <row r="397" spans="6:256" x14ac:dyDescent="0.35">
      <c r="F397" t="e">
        <f>Asia!H225+"n/&gt;!3pU"</f>
        <v>#VALUE!</v>
      </c>
      <c r="G397" t="e">
        <f>Asia!I225+"n/&gt;!3pV"</f>
        <v>#VALUE!</v>
      </c>
      <c r="H397" t="e">
        <f>Asia!A226+"n/&gt;!3pW"</f>
        <v>#VALUE!</v>
      </c>
      <c r="I397" t="e">
        <f>Asia!B226+"n/&gt;!3pX"</f>
        <v>#VALUE!</v>
      </c>
      <c r="J397" t="e">
        <f>Asia!C226+"n/&gt;!3pY"</f>
        <v>#VALUE!</v>
      </c>
      <c r="K397" t="e">
        <f>Asia!D226+"n/&gt;!3pZ"</f>
        <v>#VALUE!</v>
      </c>
      <c r="L397" t="e">
        <f>Asia!E226+"n/&gt;!3p["</f>
        <v>#VALUE!</v>
      </c>
      <c r="M397" t="e">
        <f>Asia!F226+"n/&gt;!3p\"</f>
        <v>#VALUE!</v>
      </c>
      <c r="N397" t="e">
        <f>Asia!G226+"n/&gt;!3p]"</f>
        <v>#VALUE!</v>
      </c>
      <c r="O397" t="e">
        <f>Asia!H226+"n/&gt;!3p^"</f>
        <v>#VALUE!</v>
      </c>
      <c r="P397" t="e">
        <f>Asia!I226+"n/&gt;!3p_"</f>
        <v>#VALUE!</v>
      </c>
      <c r="Q397" t="e">
        <f>Asia!A227+"n/&gt;!3p`"</f>
        <v>#VALUE!</v>
      </c>
      <c r="R397" t="e">
        <f>Asia!B227+"n/&gt;!3pa"</f>
        <v>#VALUE!</v>
      </c>
      <c r="S397" t="e">
        <f>Asia!C227+"n/&gt;!3pb"</f>
        <v>#VALUE!</v>
      </c>
      <c r="T397" t="e">
        <f>Asia!D227+"n/&gt;!3pc"</f>
        <v>#VALUE!</v>
      </c>
      <c r="U397" t="e">
        <f>Asia!E227+"n/&gt;!3pd"</f>
        <v>#VALUE!</v>
      </c>
      <c r="V397" t="e">
        <f>Asia!F227+"n/&gt;!3pe"</f>
        <v>#VALUE!</v>
      </c>
      <c r="W397" t="e">
        <f>Asia!G227+"n/&gt;!3pf"</f>
        <v>#VALUE!</v>
      </c>
      <c r="X397" t="e">
        <f>Asia!H227+"n/&gt;!3pg"</f>
        <v>#VALUE!</v>
      </c>
      <c r="Y397" t="e">
        <f>Asia!I227+"n/&gt;!3ph"</f>
        <v>#VALUE!</v>
      </c>
      <c r="Z397" t="e">
        <f>Asia!A228+"n/&gt;!3pi"</f>
        <v>#VALUE!</v>
      </c>
      <c r="AA397" t="e">
        <f>Asia!B228+"n/&gt;!3pj"</f>
        <v>#VALUE!</v>
      </c>
      <c r="AB397" t="e">
        <f>Asia!C228+"n/&gt;!3pk"</f>
        <v>#VALUE!</v>
      </c>
      <c r="AC397" t="e">
        <f>Asia!D228+"n/&gt;!3pl"</f>
        <v>#VALUE!</v>
      </c>
      <c r="AD397" t="e">
        <f>Asia!E228+"n/&gt;!3pm"</f>
        <v>#VALUE!</v>
      </c>
      <c r="AE397" t="e">
        <f>Asia!F228+"n/&gt;!3pn"</f>
        <v>#VALUE!</v>
      </c>
      <c r="AF397" t="e">
        <f>Asia!G228+"n/&gt;!3po"</f>
        <v>#VALUE!</v>
      </c>
      <c r="AG397" t="e">
        <f>Asia!H228+"n/&gt;!3pp"</f>
        <v>#VALUE!</v>
      </c>
      <c r="AH397" t="e">
        <f>Asia!I228+"n/&gt;!3pq"</f>
        <v>#VALUE!</v>
      </c>
      <c r="AI397" t="e">
        <f>Asia!A229+"n/&gt;!3pr"</f>
        <v>#VALUE!</v>
      </c>
      <c r="AJ397" t="e">
        <f>Asia!B229+"n/&gt;!3ps"</f>
        <v>#VALUE!</v>
      </c>
      <c r="AK397" t="e">
        <f>Asia!C229+"n/&gt;!3pt"</f>
        <v>#VALUE!</v>
      </c>
      <c r="AL397" t="e">
        <f>Asia!D229+"n/&gt;!3pu"</f>
        <v>#VALUE!</v>
      </c>
      <c r="AM397" t="e">
        <f>Asia!E229+"n/&gt;!3pv"</f>
        <v>#VALUE!</v>
      </c>
      <c r="AN397" t="e">
        <f>Asia!F229+"n/&gt;!3pw"</f>
        <v>#VALUE!</v>
      </c>
      <c r="AO397" t="e">
        <f>Asia!G229+"n/&gt;!3px"</f>
        <v>#VALUE!</v>
      </c>
      <c r="AP397" t="e">
        <f>Asia!H229+"n/&gt;!3py"</f>
        <v>#VALUE!</v>
      </c>
      <c r="AQ397" t="e">
        <f>Asia!I229+"n/&gt;!3pz"</f>
        <v>#VALUE!</v>
      </c>
      <c r="AR397" t="e">
        <f>Asia!A230+"n/&gt;!3p{"</f>
        <v>#VALUE!</v>
      </c>
      <c r="AS397" t="e">
        <f>Asia!B230+"n/&gt;!3p|"</f>
        <v>#VALUE!</v>
      </c>
      <c r="AT397" t="e">
        <f>Asia!C230+"n/&gt;!3p}"</f>
        <v>#VALUE!</v>
      </c>
      <c r="AU397" t="e">
        <f>Asia!D230+"n/&gt;!3p~"</f>
        <v>#VALUE!</v>
      </c>
      <c r="AV397" t="e">
        <f>Asia!E230+"n/&gt;!3q#"</f>
        <v>#VALUE!</v>
      </c>
      <c r="AW397" t="e">
        <f>Asia!F230+"n/&gt;!3q$"</f>
        <v>#VALUE!</v>
      </c>
      <c r="AX397" t="e">
        <f>Asia!G230+"n/&gt;!3q%"</f>
        <v>#VALUE!</v>
      </c>
      <c r="AY397" t="e">
        <f>Asia!H230+"n/&gt;!3q&amp;"</f>
        <v>#VALUE!</v>
      </c>
      <c r="AZ397" t="e">
        <f>Asia!I230+"n/&gt;!3q'"</f>
        <v>#VALUE!</v>
      </c>
      <c r="BA397" t="e">
        <f>Asia!A231+"n/&gt;!3q("</f>
        <v>#VALUE!</v>
      </c>
      <c r="BB397" t="e">
        <f>Asia!B231+"n/&gt;!3q)"</f>
        <v>#VALUE!</v>
      </c>
      <c r="BC397" t="e">
        <f>Asia!C231+"n/&gt;!3q."</f>
        <v>#VALUE!</v>
      </c>
      <c r="BD397" t="e">
        <f>Asia!D231+"n/&gt;!3q/"</f>
        <v>#VALUE!</v>
      </c>
      <c r="BE397" t="e">
        <f>Asia!E231+"n/&gt;!3q0"</f>
        <v>#VALUE!</v>
      </c>
      <c r="BF397" t="e">
        <f>Asia!F231+"n/&gt;!3q1"</f>
        <v>#VALUE!</v>
      </c>
      <c r="BG397" t="e">
        <f>Asia!G231+"n/&gt;!3q2"</f>
        <v>#VALUE!</v>
      </c>
      <c r="BH397" t="e">
        <f>Asia!H231+"n/&gt;!3q3"</f>
        <v>#VALUE!</v>
      </c>
      <c r="BI397" t="e">
        <f>Asia!I231+"n/&gt;!3q4"</f>
        <v>#VALUE!</v>
      </c>
      <c r="BJ397" t="e">
        <f>Asia!A232+"n/&gt;!3q5"</f>
        <v>#VALUE!</v>
      </c>
      <c r="BK397" t="e">
        <f>Asia!B232+"n/&gt;!3q6"</f>
        <v>#VALUE!</v>
      </c>
      <c r="BL397" t="e">
        <f>Asia!C232+"n/&gt;!3q7"</f>
        <v>#VALUE!</v>
      </c>
      <c r="BM397" t="e">
        <f>Asia!D232+"n/&gt;!3q8"</f>
        <v>#VALUE!</v>
      </c>
      <c r="BN397" t="e">
        <f>Asia!E232+"n/&gt;!3q9"</f>
        <v>#VALUE!</v>
      </c>
      <c r="BO397" t="e">
        <f>Asia!F232+"n/&gt;!3q:"</f>
        <v>#VALUE!</v>
      </c>
      <c r="BP397" t="e">
        <f>Asia!G232+"n/&gt;!3q;"</f>
        <v>#VALUE!</v>
      </c>
      <c r="BQ397" t="e">
        <f>Asia!H232+"n/&gt;!3q&lt;"</f>
        <v>#VALUE!</v>
      </c>
      <c r="BR397" t="e">
        <f>Asia!I232+"n/&gt;!3q="</f>
        <v>#VALUE!</v>
      </c>
      <c r="BS397" t="e">
        <f>Asia!A233+"n/&gt;!3q&gt;"</f>
        <v>#VALUE!</v>
      </c>
      <c r="BT397" t="e">
        <f>Asia!B233+"n/&gt;!3q?"</f>
        <v>#VALUE!</v>
      </c>
      <c r="BU397" t="e">
        <f>Asia!C233+"n/&gt;!3q@"</f>
        <v>#VALUE!</v>
      </c>
      <c r="BV397" t="e">
        <f>Asia!D233+"n/&gt;!3qA"</f>
        <v>#VALUE!</v>
      </c>
      <c r="BW397" t="e">
        <f>Asia!E233+"n/&gt;!3qB"</f>
        <v>#VALUE!</v>
      </c>
      <c r="BX397" t="e">
        <f>Asia!F233+"n/&gt;!3qC"</f>
        <v>#VALUE!</v>
      </c>
      <c r="BY397" t="e">
        <f>Asia!G233+"n/&gt;!3qD"</f>
        <v>#VALUE!</v>
      </c>
      <c r="BZ397" t="e">
        <f>Asia!H233+"n/&gt;!3qE"</f>
        <v>#VALUE!</v>
      </c>
      <c r="CA397" t="e">
        <f>Asia!I233+"n/&gt;!3qF"</f>
        <v>#VALUE!</v>
      </c>
      <c r="CB397" t="e">
        <f>Asia!A234+"n/&gt;!3qG"</f>
        <v>#VALUE!</v>
      </c>
      <c r="CC397" t="e">
        <f>Asia!B234+"n/&gt;!3qH"</f>
        <v>#VALUE!</v>
      </c>
      <c r="CD397" t="e">
        <f>Asia!C234+"n/&gt;!3qI"</f>
        <v>#VALUE!</v>
      </c>
      <c r="CE397" t="e">
        <f>Asia!D234+"n/&gt;!3qJ"</f>
        <v>#VALUE!</v>
      </c>
      <c r="CF397" t="e">
        <f>Asia!E234+"n/&gt;!3qK"</f>
        <v>#VALUE!</v>
      </c>
      <c r="CG397" t="e">
        <f>Asia!F234+"n/&gt;!3qL"</f>
        <v>#VALUE!</v>
      </c>
      <c r="CH397" t="e">
        <f>Asia!G234+"n/&gt;!3qM"</f>
        <v>#VALUE!</v>
      </c>
      <c r="CI397" t="e">
        <f>Asia!H234+"n/&gt;!3qN"</f>
        <v>#VALUE!</v>
      </c>
      <c r="CJ397" t="e">
        <f>Asia!I234+"n/&gt;!3qO"</f>
        <v>#VALUE!</v>
      </c>
      <c r="CK397" t="e">
        <f>Asia!A235+"n/&gt;!3qP"</f>
        <v>#VALUE!</v>
      </c>
      <c r="CL397" t="e">
        <f>Asia!B235+"n/&gt;!3qQ"</f>
        <v>#VALUE!</v>
      </c>
      <c r="CM397" t="e">
        <f>Asia!C235+"n/&gt;!3qR"</f>
        <v>#VALUE!</v>
      </c>
      <c r="CN397" t="e">
        <f>Asia!D235+"n/&gt;!3qS"</f>
        <v>#VALUE!</v>
      </c>
      <c r="CO397" t="e">
        <f>Asia!E235+"n/&gt;!3qT"</f>
        <v>#VALUE!</v>
      </c>
      <c r="CP397" t="e">
        <f>Asia!F235+"n/&gt;!3qU"</f>
        <v>#VALUE!</v>
      </c>
      <c r="CQ397" t="e">
        <f>Asia!G235+"n/&gt;!3qV"</f>
        <v>#VALUE!</v>
      </c>
      <c r="CR397" t="e">
        <f>Asia!H235+"n/&gt;!3qW"</f>
        <v>#VALUE!</v>
      </c>
      <c r="CS397" t="e">
        <f>Asia!I235+"n/&gt;!3qX"</f>
        <v>#VALUE!</v>
      </c>
      <c r="CT397" t="e">
        <f>Asia!A236+"n/&gt;!3qY"</f>
        <v>#VALUE!</v>
      </c>
      <c r="CU397" t="e">
        <f>Asia!B236+"n/&gt;!3qZ"</f>
        <v>#VALUE!</v>
      </c>
      <c r="CV397" t="e">
        <f>Asia!C236+"n/&gt;!3q["</f>
        <v>#VALUE!</v>
      </c>
      <c r="CW397" t="e">
        <f>Asia!D236+"n/&gt;!3q\"</f>
        <v>#VALUE!</v>
      </c>
      <c r="CX397" t="e">
        <f>Asia!E236+"n/&gt;!3q]"</f>
        <v>#VALUE!</v>
      </c>
      <c r="CY397" t="e">
        <f>Asia!F236+"n/&gt;!3q^"</f>
        <v>#VALUE!</v>
      </c>
      <c r="CZ397" t="e">
        <f>Asia!G236+"n/&gt;!3q_"</f>
        <v>#VALUE!</v>
      </c>
      <c r="DA397" t="e">
        <f>Asia!H236+"n/&gt;!3q`"</f>
        <v>#VALUE!</v>
      </c>
      <c r="DB397" t="e">
        <f>Asia!I236+"n/&gt;!3qa"</f>
        <v>#VALUE!</v>
      </c>
      <c r="DC397" t="e">
        <f>Asia!A237+"n/&gt;!3qb"</f>
        <v>#VALUE!</v>
      </c>
      <c r="DD397" t="e">
        <f>Asia!B237+"n/&gt;!3qc"</f>
        <v>#VALUE!</v>
      </c>
      <c r="DE397" t="e">
        <f>Asia!C237+"n/&gt;!3qd"</f>
        <v>#VALUE!</v>
      </c>
      <c r="DF397" t="e">
        <f>Asia!D237+"n/&gt;!3qe"</f>
        <v>#VALUE!</v>
      </c>
      <c r="DG397" t="e">
        <f>Asia!E237+"n/&gt;!3qf"</f>
        <v>#VALUE!</v>
      </c>
      <c r="DH397" t="e">
        <f>Asia!F237+"n/&gt;!3qg"</f>
        <v>#VALUE!</v>
      </c>
      <c r="DI397" t="e">
        <f>Asia!G237+"n/&gt;!3qh"</f>
        <v>#VALUE!</v>
      </c>
      <c r="DJ397" t="e">
        <f>Asia!H237+"n/&gt;!3qi"</f>
        <v>#VALUE!</v>
      </c>
      <c r="DK397" t="e">
        <f>Asia!I237+"n/&gt;!3qj"</f>
        <v>#VALUE!</v>
      </c>
      <c r="DL397" t="e">
        <f>Asia!A238+"n/&gt;!3qk"</f>
        <v>#VALUE!</v>
      </c>
      <c r="DM397" t="e">
        <f>Asia!B238+"n/&gt;!3ql"</f>
        <v>#VALUE!</v>
      </c>
      <c r="DN397" t="e">
        <f>Asia!C238+"n/&gt;!3qm"</f>
        <v>#VALUE!</v>
      </c>
      <c r="DO397" t="e">
        <f>Asia!D238+"n/&gt;!3qn"</f>
        <v>#VALUE!</v>
      </c>
      <c r="DP397" t="e">
        <f>Asia!E238+"n/&gt;!3qo"</f>
        <v>#VALUE!</v>
      </c>
      <c r="DQ397" t="e">
        <f>Asia!F238+"n/&gt;!3qp"</f>
        <v>#VALUE!</v>
      </c>
      <c r="DR397" t="e">
        <f>Asia!G238+"n/&gt;!3qq"</f>
        <v>#VALUE!</v>
      </c>
      <c r="DS397" t="e">
        <f>Asia!H238+"n/&gt;!3qr"</f>
        <v>#VALUE!</v>
      </c>
      <c r="DT397" t="e">
        <f>Asia!I238+"n/&gt;!3qs"</f>
        <v>#VALUE!</v>
      </c>
      <c r="DU397" t="e">
        <f>Asia!A239+"n/&gt;!3qt"</f>
        <v>#VALUE!</v>
      </c>
      <c r="DV397" t="e">
        <f>Asia!B239+"n/&gt;!3qu"</f>
        <v>#VALUE!</v>
      </c>
      <c r="DW397" t="e">
        <f>Asia!C239+"n/&gt;!3qv"</f>
        <v>#VALUE!</v>
      </c>
      <c r="DX397" t="e">
        <f>Asia!D239+"n/&gt;!3qw"</f>
        <v>#VALUE!</v>
      </c>
      <c r="DY397" t="e">
        <f>Asia!E239+"n/&gt;!3qx"</f>
        <v>#VALUE!</v>
      </c>
      <c r="DZ397" t="e">
        <f>Asia!F239+"n/&gt;!3qy"</f>
        <v>#VALUE!</v>
      </c>
      <c r="EA397" t="e">
        <f>Asia!G239+"n/&gt;!3qz"</f>
        <v>#VALUE!</v>
      </c>
      <c r="EB397" t="e">
        <f>Asia!H239+"n/&gt;!3q{"</f>
        <v>#VALUE!</v>
      </c>
      <c r="EC397" t="e">
        <f>Asia!I239+"n/&gt;!3q|"</f>
        <v>#VALUE!</v>
      </c>
      <c r="ED397" t="e">
        <f>Asia!A240+"n/&gt;!3q}"</f>
        <v>#VALUE!</v>
      </c>
      <c r="EE397" t="e">
        <f>Asia!B240+"n/&gt;!3q~"</f>
        <v>#VALUE!</v>
      </c>
      <c r="EF397" t="e">
        <f>Asia!C240+"n/&gt;!3r#"</f>
        <v>#VALUE!</v>
      </c>
      <c r="EG397" t="e">
        <f>Asia!D240+"n/&gt;!3r$"</f>
        <v>#VALUE!</v>
      </c>
      <c r="EH397" t="e">
        <f>Asia!E240+"n/&gt;!3r%"</f>
        <v>#VALUE!</v>
      </c>
      <c r="EI397" t="e">
        <f>Asia!F240+"n/&gt;!3r&amp;"</f>
        <v>#VALUE!</v>
      </c>
      <c r="EJ397" t="e">
        <f>Asia!G240+"n/&gt;!3r'"</f>
        <v>#VALUE!</v>
      </c>
      <c r="EK397" t="e">
        <f>Asia!H240+"n/&gt;!3r("</f>
        <v>#VALUE!</v>
      </c>
      <c r="EL397" t="e">
        <f>Asia!I240+"n/&gt;!3r)"</f>
        <v>#VALUE!</v>
      </c>
      <c r="EM397" t="e">
        <f>Asia!A241+"n/&gt;!3r."</f>
        <v>#VALUE!</v>
      </c>
      <c r="EN397" t="e">
        <f>Asia!B241+"n/&gt;!3r/"</f>
        <v>#VALUE!</v>
      </c>
      <c r="EO397" t="e">
        <f>Asia!C241+"n/&gt;!3r0"</f>
        <v>#VALUE!</v>
      </c>
      <c r="EP397" t="e">
        <f>Asia!D241+"n/&gt;!3r1"</f>
        <v>#VALUE!</v>
      </c>
      <c r="EQ397" t="e">
        <f>Asia!E241+"n/&gt;!3r2"</f>
        <v>#VALUE!</v>
      </c>
      <c r="ER397" t="e">
        <f>Asia!F241+"n/&gt;!3r3"</f>
        <v>#VALUE!</v>
      </c>
      <c r="ES397" t="e">
        <f>Asia!G241+"n/&gt;!3r4"</f>
        <v>#VALUE!</v>
      </c>
      <c r="ET397" t="e">
        <f>Asia!H241+"n/&gt;!3r5"</f>
        <v>#VALUE!</v>
      </c>
      <c r="EU397" t="e">
        <f>Asia!I241+"n/&gt;!3r6"</f>
        <v>#VALUE!</v>
      </c>
      <c r="EV397" t="e">
        <f>Asia!A242+"n/&gt;!3r7"</f>
        <v>#VALUE!</v>
      </c>
      <c r="EW397" t="e">
        <f>Asia!B242+"n/&gt;!3r8"</f>
        <v>#VALUE!</v>
      </c>
      <c r="EX397" t="e">
        <f>Asia!C242+"n/&gt;!3r9"</f>
        <v>#VALUE!</v>
      </c>
      <c r="EY397" t="e">
        <f>Asia!D242+"n/&gt;!3r:"</f>
        <v>#VALUE!</v>
      </c>
      <c r="EZ397" t="e">
        <f>Asia!E242+"n/&gt;!3r;"</f>
        <v>#VALUE!</v>
      </c>
      <c r="FA397" t="e">
        <f>Asia!F242+"n/&gt;!3r&lt;"</f>
        <v>#VALUE!</v>
      </c>
      <c r="FB397" t="e">
        <f>Asia!G242+"n/&gt;!3r="</f>
        <v>#VALUE!</v>
      </c>
      <c r="FC397" t="e">
        <f>Asia!H242+"n/&gt;!3r&gt;"</f>
        <v>#VALUE!</v>
      </c>
      <c r="FD397" t="e">
        <f>Asia!I242+"n/&gt;!3r?"</f>
        <v>#VALUE!</v>
      </c>
      <c r="FE397" t="e">
        <f>Asia!A243+"n/&gt;!3r@"</f>
        <v>#VALUE!</v>
      </c>
      <c r="FF397" t="e">
        <f>Asia!B243+"n/&gt;!3rA"</f>
        <v>#VALUE!</v>
      </c>
      <c r="FG397" t="e">
        <f>Asia!C243+"n/&gt;!3rB"</f>
        <v>#VALUE!</v>
      </c>
      <c r="FH397" t="e">
        <f>Asia!D243+"n/&gt;!3rC"</f>
        <v>#VALUE!</v>
      </c>
      <c r="FI397" t="e">
        <f>Asia!E243+"n/&gt;!3rD"</f>
        <v>#VALUE!</v>
      </c>
      <c r="FJ397" t="e">
        <f>Asia!F243+"n/&gt;!3rE"</f>
        <v>#VALUE!</v>
      </c>
      <c r="FK397" t="e">
        <f>Asia!G243+"n/&gt;!3rF"</f>
        <v>#VALUE!</v>
      </c>
      <c r="FL397" t="e">
        <f>Asia!H243+"n/&gt;!3rG"</f>
        <v>#VALUE!</v>
      </c>
      <c r="FM397" t="e">
        <f>Asia!I243+"n/&gt;!3rH"</f>
        <v>#VALUE!</v>
      </c>
      <c r="FN397" t="e">
        <f>Asia!A244+"n/&gt;!3rI"</f>
        <v>#VALUE!</v>
      </c>
      <c r="FO397" t="e">
        <f>Asia!B244+"n/&gt;!3rJ"</f>
        <v>#VALUE!</v>
      </c>
      <c r="FP397" t="e">
        <f>Asia!C244+"n/&gt;!3rK"</f>
        <v>#VALUE!</v>
      </c>
      <c r="FQ397" t="e">
        <f>Asia!D244+"n/&gt;!3rL"</f>
        <v>#VALUE!</v>
      </c>
      <c r="FR397" t="e">
        <f>Asia!E244+"n/&gt;!3rM"</f>
        <v>#VALUE!</v>
      </c>
      <c r="FS397" t="e">
        <f>Asia!F244+"n/&gt;!3rN"</f>
        <v>#VALUE!</v>
      </c>
      <c r="FT397" t="e">
        <f>Asia!G244+"n/&gt;!3rO"</f>
        <v>#VALUE!</v>
      </c>
      <c r="FU397" t="e">
        <f>Asia!H244+"n/&gt;!3rP"</f>
        <v>#VALUE!</v>
      </c>
      <c r="FV397" t="e">
        <f>Asia!I244+"n/&gt;!3rQ"</f>
        <v>#VALUE!</v>
      </c>
      <c r="FW397" t="e">
        <f>Asia!A245+"n/&gt;!3rR"</f>
        <v>#VALUE!</v>
      </c>
      <c r="FX397" t="e">
        <f>Asia!B245+"n/&gt;!3rS"</f>
        <v>#VALUE!</v>
      </c>
      <c r="FY397" t="e">
        <f>Asia!C245+"n/&gt;!3rT"</f>
        <v>#VALUE!</v>
      </c>
      <c r="FZ397" t="e">
        <f>Asia!D245+"n/&gt;!3rU"</f>
        <v>#VALUE!</v>
      </c>
      <c r="GA397" t="e">
        <f>Asia!E245+"n/&gt;!3rV"</f>
        <v>#VALUE!</v>
      </c>
      <c r="GB397" t="e">
        <f>Asia!F245+"n/&gt;!3rW"</f>
        <v>#VALUE!</v>
      </c>
      <c r="GC397" t="e">
        <f>Asia!G245+"n/&gt;!3rX"</f>
        <v>#VALUE!</v>
      </c>
      <c r="GD397" t="e">
        <f>Asia!H245+"n/&gt;!3rY"</f>
        <v>#VALUE!</v>
      </c>
      <c r="GE397" t="e">
        <f>Asia!I245+"n/&gt;!3rZ"</f>
        <v>#VALUE!</v>
      </c>
      <c r="GF397" t="e">
        <f>Asia!A246+"n/&gt;!3r["</f>
        <v>#VALUE!</v>
      </c>
      <c r="GG397" t="e">
        <f>Asia!B246+"n/&gt;!3r\"</f>
        <v>#VALUE!</v>
      </c>
      <c r="GH397" t="e">
        <f>Asia!C246+"n/&gt;!3r]"</f>
        <v>#VALUE!</v>
      </c>
      <c r="GI397" t="e">
        <f>Asia!D246+"n/&gt;!3r^"</f>
        <v>#VALUE!</v>
      </c>
      <c r="GJ397" t="e">
        <f>Asia!E246+"n/&gt;!3r_"</f>
        <v>#VALUE!</v>
      </c>
      <c r="GK397" t="e">
        <f>Asia!F246+"n/&gt;!3r`"</f>
        <v>#VALUE!</v>
      </c>
      <c r="GL397" t="e">
        <f>Asia!G246+"n/&gt;!3ra"</f>
        <v>#VALUE!</v>
      </c>
      <c r="GM397" t="e">
        <f>Asia!H246+"n/&gt;!3rb"</f>
        <v>#VALUE!</v>
      </c>
      <c r="GN397" t="e">
        <f>Asia!I246+"n/&gt;!3rc"</f>
        <v>#VALUE!</v>
      </c>
      <c r="GO397" t="e">
        <f>Asia!A247+"n/&gt;!3rd"</f>
        <v>#VALUE!</v>
      </c>
      <c r="GP397" t="e">
        <f>Asia!B247+"n/&gt;!3re"</f>
        <v>#VALUE!</v>
      </c>
      <c r="GQ397" t="e">
        <f>Asia!C247+"n/&gt;!3rf"</f>
        <v>#VALUE!</v>
      </c>
      <c r="GR397" t="e">
        <f>Asia!D247+"n/&gt;!3rg"</f>
        <v>#VALUE!</v>
      </c>
      <c r="GS397" t="e">
        <f>Asia!E247+"n/&gt;!3rh"</f>
        <v>#VALUE!</v>
      </c>
      <c r="GT397" t="e">
        <f>Asia!F247+"n/&gt;!3ri"</f>
        <v>#VALUE!</v>
      </c>
      <c r="GU397" t="e">
        <f>Asia!G247+"n/&gt;!3rj"</f>
        <v>#VALUE!</v>
      </c>
      <c r="GV397" t="e">
        <f>Asia!H247+"n/&gt;!3rk"</f>
        <v>#VALUE!</v>
      </c>
      <c r="GW397" t="e">
        <f>Asia!I247+"n/&gt;!3rl"</f>
        <v>#VALUE!</v>
      </c>
      <c r="GX397" t="e">
        <f>Asia!A248+"n/&gt;!3rm"</f>
        <v>#VALUE!</v>
      </c>
      <c r="GY397" t="e">
        <f>Asia!B248+"n/&gt;!3rn"</f>
        <v>#VALUE!</v>
      </c>
      <c r="GZ397" t="e">
        <f>Asia!C248+"n/&gt;!3ro"</f>
        <v>#VALUE!</v>
      </c>
      <c r="HA397" t="e">
        <f>Asia!D248+"n/&gt;!3rp"</f>
        <v>#VALUE!</v>
      </c>
      <c r="HB397" t="e">
        <f>Asia!E248+"n/&gt;!3rq"</f>
        <v>#VALUE!</v>
      </c>
      <c r="HC397" t="e">
        <f>Asia!F248+"n/&gt;!3rr"</f>
        <v>#VALUE!</v>
      </c>
      <c r="HD397" t="e">
        <f>Asia!G248+"n/&gt;!3rs"</f>
        <v>#VALUE!</v>
      </c>
      <c r="HE397" t="e">
        <f>Asia!H248+"n/&gt;!3rt"</f>
        <v>#VALUE!</v>
      </c>
      <c r="HF397" t="e">
        <f>Asia!I248+"n/&gt;!3ru"</f>
        <v>#VALUE!</v>
      </c>
      <c r="HG397" t="e">
        <f>Asia!A249+"n/&gt;!3rv"</f>
        <v>#VALUE!</v>
      </c>
      <c r="HH397" t="e">
        <f>Asia!B249+"n/&gt;!3rw"</f>
        <v>#VALUE!</v>
      </c>
      <c r="HI397" t="e">
        <f>Asia!C249+"n/&gt;!3rx"</f>
        <v>#VALUE!</v>
      </c>
      <c r="HJ397" t="e">
        <f>Asia!D249+"n/&gt;!3ry"</f>
        <v>#VALUE!</v>
      </c>
      <c r="HK397" t="e">
        <f>Asia!E249+"n/&gt;!3rz"</f>
        <v>#VALUE!</v>
      </c>
      <c r="HL397" t="e">
        <f>Asia!F249+"n/&gt;!3r{"</f>
        <v>#VALUE!</v>
      </c>
      <c r="HM397" t="e">
        <f>Asia!G249+"n/&gt;!3r|"</f>
        <v>#VALUE!</v>
      </c>
      <c r="HN397" t="e">
        <f>Asia!H249+"n/&gt;!3r}"</f>
        <v>#VALUE!</v>
      </c>
      <c r="HO397" t="e">
        <f>Asia!I249+"n/&gt;!3r~"</f>
        <v>#VALUE!</v>
      </c>
      <c r="HP397" t="e">
        <f>Asia!A250+"n/&gt;!3s#"</f>
        <v>#VALUE!</v>
      </c>
      <c r="HQ397" t="e">
        <f>Asia!B250+"n/&gt;!3s$"</f>
        <v>#VALUE!</v>
      </c>
      <c r="HR397" t="e">
        <f>Asia!C250+"n/&gt;!3s%"</f>
        <v>#VALUE!</v>
      </c>
      <c r="HS397" t="e">
        <f>Asia!D250+"n/&gt;!3s&amp;"</f>
        <v>#VALUE!</v>
      </c>
      <c r="HT397" t="e">
        <f>Asia!E250+"n/&gt;!3s'"</f>
        <v>#VALUE!</v>
      </c>
      <c r="HU397" t="e">
        <f>Asia!F250+"n/&gt;!3s("</f>
        <v>#VALUE!</v>
      </c>
      <c r="HV397" t="e">
        <f>Asia!G250+"n/&gt;!3s)"</f>
        <v>#VALUE!</v>
      </c>
      <c r="HW397" t="e">
        <f>Asia!H250+"n/&gt;!3s."</f>
        <v>#VALUE!</v>
      </c>
      <c r="HX397" t="e">
        <f>Asia!I250+"n/&gt;!3s/"</f>
        <v>#VALUE!</v>
      </c>
      <c r="HY397" t="e">
        <f>Asia!A251+"n/&gt;!3s0"</f>
        <v>#VALUE!</v>
      </c>
      <c r="HZ397" t="e">
        <f>Asia!B251+"n/&gt;!3s1"</f>
        <v>#VALUE!</v>
      </c>
      <c r="IA397" t="e">
        <f>Asia!C251+"n/&gt;!3s2"</f>
        <v>#VALUE!</v>
      </c>
      <c r="IB397" t="e">
        <f>Asia!D251+"n/&gt;!3s3"</f>
        <v>#VALUE!</v>
      </c>
      <c r="IC397" t="e">
        <f>Asia!E251+"n/&gt;!3s4"</f>
        <v>#VALUE!</v>
      </c>
      <c r="ID397" t="e">
        <f>Asia!F251+"n/&gt;!3s5"</f>
        <v>#VALUE!</v>
      </c>
      <c r="IE397" t="e">
        <f>Asia!G251+"n/&gt;!3s6"</f>
        <v>#VALUE!</v>
      </c>
      <c r="IF397" t="e">
        <f>Asia!H251+"n/&gt;!3s7"</f>
        <v>#VALUE!</v>
      </c>
      <c r="IG397" t="e">
        <f>Asia!I251+"n/&gt;!3s8"</f>
        <v>#VALUE!</v>
      </c>
      <c r="IH397" t="e">
        <f>Asia!A252+"n/&gt;!3s9"</f>
        <v>#VALUE!</v>
      </c>
      <c r="II397" t="e">
        <f>Asia!B252+"n/&gt;!3s:"</f>
        <v>#VALUE!</v>
      </c>
      <c r="IJ397" t="e">
        <f>Asia!C252+"n/&gt;!3s;"</f>
        <v>#VALUE!</v>
      </c>
      <c r="IK397" t="e">
        <f>Asia!D252+"n/&gt;!3s&lt;"</f>
        <v>#VALUE!</v>
      </c>
      <c r="IL397" t="e">
        <f>Asia!E252+"n/&gt;!3s="</f>
        <v>#VALUE!</v>
      </c>
      <c r="IM397" t="e">
        <f>Asia!F252+"n/&gt;!3s&gt;"</f>
        <v>#VALUE!</v>
      </c>
      <c r="IN397" t="e">
        <f>Asia!G252+"n/&gt;!3s?"</f>
        <v>#VALUE!</v>
      </c>
      <c r="IO397" t="e">
        <f>Asia!H252+"n/&gt;!3s@"</f>
        <v>#VALUE!</v>
      </c>
      <c r="IP397" t="e">
        <f>Asia!I252+"n/&gt;!3sA"</f>
        <v>#VALUE!</v>
      </c>
      <c r="IQ397" t="e">
        <f>Asia!A253+"n/&gt;!3sB"</f>
        <v>#VALUE!</v>
      </c>
      <c r="IR397" t="e">
        <f>Asia!B253+"n/&gt;!3sC"</f>
        <v>#VALUE!</v>
      </c>
      <c r="IS397" t="e">
        <f>Asia!C253+"n/&gt;!3sD"</f>
        <v>#VALUE!</v>
      </c>
      <c r="IT397" t="e">
        <f>Asia!D253+"n/&gt;!3sE"</f>
        <v>#VALUE!</v>
      </c>
      <c r="IU397" t="e">
        <f>Asia!E253+"n/&gt;!3sF"</f>
        <v>#VALUE!</v>
      </c>
      <c r="IV397" t="e">
        <f>Asia!F253+"n/&gt;!3sG"</f>
        <v>#VALUE!</v>
      </c>
    </row>
    <row r="398" spans="6:256" x14ac:dyDescent="0.35">
      <c r="F398" t="e">
        <f>Asia!G253+"n/&gt;!3sH"</f>
        <v>#VALUE!</v>
      </c>
      <c r="G398" t="e">
        <f>Asia!H253+"n/&gt;!3sI"</f>
        <v>#VALUE!</v>
      </c>
      <c r="H398" t="e">
        <f>Asia!I253+"n/&gt;!3sJ"</f>
        <v>#VALUE!</v>
      </c>
      <c r="I398" t="e">
        <f>Asia!A254+"n/&gt;!3sK"</f>
        <v>#VALUE!</v>
      </c>
      <c r="J398" t="e">
        <f>Asia!B254+"n/&gt;!3sL"</f>
        <v>#VALUE!</v>
      </c>
      <c r="K398" t="e">
        <f>Asia!C254+"n/&gt;!3sM"</f>
        <v>#VALUE!</v>
      </c>
      <c r="L398" t="e">
        <f>Asia!D254+"n/&gt;!3sN"</f>
        <v>#VALUE!</v>
      </c>
      <c r="M398" t="e">
        <f>Asia!E254+"n/&gt;!3sO"</f>
        <v>#VALUE!</v>
      </c>
      <c r="N398" t="e">
        <f>Asia!F254+"n/&gt;!3sP"</f>
        <v>#VALUE!</v>
      </c>
      <c r="O398" t="e">
        <f>Asia!G254+"n/&gt;!3sQ"</f>
        <v>#VALUE!</v>
      </c>
      <c r="P398" t="e">
        <f>Asia!H254+"n/&gt;!3sR"</f>
        <v>#VALUE!</v>
      </c>
      <c r="Q398" t="e">
        <f>Asia!I254+"n/&gt;!3sS"</f>
        <v>#VALUE!</v>
      </c>
      <c r="R398" t="e">
        <f>Asia!A255+"n/&gt;!3sT"</f>
        <v>#VALUE!</v>
      </c>
      <c r="S398" t="e">
        <f>Asia!B255+"n/&gt;!3sU"</f>
        <v>#VALUE!</v>
      </c>
      <c r="T398" t="e">
        <f>Asia!C255+"n/&gt;!3sV"</f>
        <v>#VALUE!</v>
      </c>
      <c r="U398" t="e">
        <f>Asia!D255+"n/&gt;!3sW"</f>
        <v>#VALUE!</v>
      </c>
      <c r="V398" t="e">
        <f>Asia!E255+"n/&gt;!3sX"</f>
        <v>#VALUE!</v>
      </c>
      <c r="W398" t="e">
        <f>Asia!F255+"n/&gt;!3sY"</f>
        <v>#VALUE!</v>
      </c>
      <c r="X398" t="e">
        <f>Asia!G255+"n/&gt;!3sZ"</f>
        <v>#VALUE!</v>
      </c>
      <c r="Y398" t="e">
        <f>Asia!H255+"n/&gt;!3s["</f>
        <v>#VALUE!</v>
      </c>
      <c r="Z398" t="e">
        <f>Asia!I255+"n/&gt;!3s\"</f>
        <v>#VALUE!</v>
      </c>
      <c r="AA398" t="e">
        <f>Asia!A256+"n/&gt;!3s]"</f>
        <v>#VALUE!</v>
      </c>
      <c r="AB398" t="e">
        <f>Asia!B256+"n/&gt;!3s^"</f>
        <v>#VALUE!</v>
      </c>
      <c r="AC398" t="e">
        <f>Asia!C256+"n/&gt;!3s_"</f>
        <v>#VALUE!</v>
      </c>
      <c r="AD398" t="e">
        <f>Asia!D256+"n/&gt;!3s`"</f>
        <v>#VALUE!</v>
      </c>
      <c r="AE398" t="e">
        <f>Asia!E256+"n/&gt;!3sa"</f>
        <v>#VALUE!</v>
      </c>
      <c r="AF398" t="e">
        <f>Asia!F256+"n/&gt;!3sb"</f>
        <v>#VALUE!</v>
      </c>
      <c r="AG398" t="e">
        <f>Asia!G256+"n/&gt;!3sc"</f>
        <v>#VALUE!</v>
      </c>
      <c r="AH398" t="e">
        <f>Asia!H256+"n/&gt;!3sd"</f>
        <v>#VALUE!</v>
      </c>
      <c r="AI398" t="e">
        <f>Asia!I256+"n/&gt;!3se"</f>
        <v>#VALUE!</v>
      </c>
      <c r="AJ398" t="e">
        <f>Asia!A257+"n/&gt;!3sf"</f>
        <v>#VALUE!</v>
      </c>
      <c r="AK398" t="e">
        <f>Asia!B257+"n/&gt;!3sg"</f>
        <v>#VALUE!</v>
      </c>
      <c r="AL398" t="e">
        <f>Asia!C257+"n/&gt;!3sh"</f>
        <v>#VALUE!</v>
      </c>
      <c r="AM398" t="e">
        <f>Asia!D257+"n/&gt;!3si"</f>
        <v>#VALUE!</v>
      </c>
      <c r="AN398" t="e">
        <f>Asia!E257+"n/&gt;!3sj"</f>
        <v>#VALUE!</v>
      </c>
      <c r="AO398" t="e">
        <f>Asia!F257+"n/&gt;!3sk"</f>
        <v>#VALUE!</v>
      </c>
      <c r="AP398" t="e">
        <f>Asia!G257+"n/&gt;!3sl"</f>
        <v>#VALUE!</v>
      </c>
      <c r="AQ398" t="e">
        <f>Asia!H257+"n/&gt;!3sm"</f>
        <v>#VALUE!</v>
      </c>
      <c r="AR398" t="e">
        <f>Asia!I257+"n/&gt;!3sn"</f>
        <v>#VALUE!</v>
      </c>
      <c r="AS398" t="e">
        <f>Asia!A258+"n/&gt;!3so"</f>
        <v>#VALUE!</v>
      </c>
      <c r="AT398" t="e">
        <f>Asia!B258+"n/&gt;!3sp"</f>
        <v>#VALUE!</v>
      </c>
      <c r="AU398" t="e">
        <f>Asia!C258+"n/&gt;!3sq"</f>
        <v>#VALUE!</v>
      </c>
      <c r="AV398" t="e">
        <f>Asia!D258+"n/&gt;!3sr"</f>
        <v>#VALUE!</v>
      </c>
      <c r="AW398" t="e">
        <f>Asia!E258+"n/&gt;!3ss"</f>
        <v>#VALUE!</v>
      </c>
      <c r="AX398" t="e">
        <f>Asia!F258+"n/&gt;!3st"</f>
        <v>#VALUE!</v>
      </c>
      <c r="AY398" t="e">
        <f>Asia!G258+"n/&gt;!3su"</f>
        <v>#VALUE!</v>
      </c>
      <c r="AZ398" t="e">
        <f>Asia!H258+"n/&gt;!3sv"</f>
        <v>#VALUE!</v>
      </c>
      <c r="BA398" t="e">
        <f>Asia!I258+"n/&gt;!3sw"</f>
        <v>#VALUE!</v>
      </c>
      <c r="BB398" t="e">
        <f>Asia!A259+"n/&gt;!3sx"</f>
        <v>#VALUE!</v>
      </c>
      <c r="BC398" t="e">
        <f>Asia!B259+"n/&gt;!3sy"</f>
        <v>#VALUE!</v>
      </c>
      <c r="BD398" t="e">
        <f>Asia!C259+"n/&gt;!3sz"</f>
        <v>#VALUE!</v>
      </c>
      <c r="BE398" t="e">
        <f>Asia!D259+"n/&gt;!3s{"</f>
        <v>#VALUE!</v>
      </c>
      <c r="BF398" t="e">
        <f>Asia!E259+"n/&gt;!3s|"</f>
        <v>#VALUE!</v>
      </c>
      <c r="BG398" t="e">
        <f>Asia!F259+"n/&gt;!3s}"</f>
        <v>#VALUE!</v>
      </c>
      <c r="BH398" t="e">
        <f>Asia!G259+"n/&gt;!3s~"</f>
        <v>#VALUE!</v>
      </c>
      <c r="BI398" t="e">
        <f>Asia!H259+"n/&gt;!3t#"</f>
        <v>#VALUE!</v>
      </c>
      <c r="BJ398" t="e">
        <f>Asia!I259+"n/&gt;!3t$"</f>
        <v>#VALUE!</v>
      </c>
      <c r="BK398" t="e">
        <f>Asia!A260+"n/&gt;!3t%"</f>
        <v>#VALUE!</v>
      </c>
      <c r="BL398" t="e">
        <f>Asia!B260+"n/&gt;!3t&amp;"</f>
        <v>#VALUE!</v>
      </c>
      <c r="BM398" t="e">
        <f>Asia!C260+"n/&gt;!3t'"</f>
        <v>#VALUE!</v>
      </c>
      <c r="BN398" t="e">
        <f>Asia!D260+"n/&gt;!3t("</f>
        <v>#VALUE!</v>
      </c>
      <c r="BO398" t="e">
        <f>Asia!E260+"n/&gt;!3t)"</f>
        <v>#VALUE!</v>
      </c>
      <c r="BP398" t="e">
        <f>Asia!F260+"n/&gt;!3t."</f>
        <v>#VALUE!</v>
      </c>
      <c r="BQ398" t="e">
        <f>Asia!G260+"n/&gt;!3t/"</f>
        <v>#VALUE!</v>
      </c>
      <c r="BR398" t="e">
        <f>Asia!H260+"n/&gt;!3t0"</f>
        <v>#VALUE!</v>
      </c>
      <c r="BS398" t="e">
        <f>Asia!I260+"n/&gt;!3t1"</f>
        <v>#VALUE!</v>
      </c>
      <c r="BT398" t="e">
        <f>Asia!A261+"n/&gt;!3t2"</f>
        <v>#VALUE!</v>
      </c>
      <c r="BU398" t="e">
        <f>Asia!B261+"n/&gt;!3t3"</f>
        <v>#VALUE!</v>
      </c>
      <c r="BV398" t="e">
        <f>Asia!C261+"n/&gt;!3t4"</f>
        <v>#VALUE!</v>
      </c>
      <c r="BW398" t="e">
        <f>Asia!D261+"n/&gt;!3t5"</f>
        <v>#VALUE!</v>
      </c>
      <c r="BX398" t="e">
        <f>Asia!E261+"n/&gt;!3t6"</f>
        <v>#VALUE!</v>
      </c>
      <c r="BY398" t="e">
        <f>Asia!F261+"n/&gt;!3t7"</f>
        <v>#VALUE!</v>
      </c>
      <c r="BZ398" t="e">
        <f>Asia!G261+"n/&gt;!3t8"</f>
        <v>#VALUE!</v>
      </c>
      <c r="CA398" t="e">
        <f>Asia!H261+"n/&gt;!3t9"</f>
        <v>#VALUE!</v>
      </c>
      <c r="CB398" t="e">
        <f>Asia!I261+"n/&gt;!3t:"</f>
        <v>#VALUE!</v>
      </c>
      <c r="CC398" t="e">
        <f>Asia!A262+"n/&gt;!3t;"</f>
        <v>#VALUE!</v>
      </c>
      <c r="CD398" t="e">
        <f>Asia!B262+"n/&gt;!3t&lt;"</f>
        <v>#VALUE!</v>
      </c>
      <c r="CE398" t="e">
        <f>Asia!C262+"n/&gt;!3t="</f>
        <v>#VALUE!</v>
      </c>
      <c r="CF398" t="e">
        <f>Asia!D262+"n/&gt;!3t&gt;"</f>
        <v>#VALUE!</v>
      </c>
      <c r="CG398" t="e">
        <f>Asia!E262+"n/&gt;!3t?"</f>
        <v>#VALUE!</v>
      </c>
      <c r="CH398" t="e">
        <f>Asia!F262+"n/&gt;!3t@"</f>
        <v>#VALUE!</v>
      </c>
      <c r="CI398" t="e">
        <f>Asia!G262+"n/&gt;!3tA"</f>
        <v>#VALUE!</v>
      </c>
      <c r="CJ398" t="e">
        <f>Asia!H262+"n/&gt;!3tB"</f>
        <v>#VALUE!</v>
      </c>
      <c r="CK398" t="e">
        <f>Asia!I262+"n/&gt;!3tC"</f>
        <v>#VALUE!</v>
      </c>
      <c r="CL398" t="e">
        <f>Asia!A263+"n/&gt;!3tD"</f>
        <v>#VALUE!</v>
      </c>
      <c r="CM398" t="e">
        <f>Asia!B263+"n/&gt;!3tE"</f>
        <v>#VALUE!</v>
      </c>
      <c r="CN398" t="e">
        <f>Asia!C263+"n/&gt;!3tF"</f>
        <v>#VALUE!</v>
      </c>
      <c r="CO398" t="e">
        <f>Asia!D263+"n/&gt;!3tG"</f>
        <v>#VALUE!</v>
      </c>
      <c r="CP398" t="e">
        <f>Asia!E263+"n/&gt;!3tH"</f>
        <v>#VALUE!</v>
      </c>
      <c r="CQ398" t="e">
        <f>Asia!F263+"n/&gt;!3tI"</f>
        <v>#VALUE!</v>
      </c>
      <c r="CR398" t="e">
        <f>Asia!G263+"n/&gt;!3tJ"</f>
        <v>#VALUE!</v>
      </c>
      <c r="CS398" t="e">
        <f>Asia!H263+"n/&gt;!3tK"</f>
        <v>#VALUE!</v>
      </c>
      <c r="CT398" t="e">
        <f>Asia!I263+"n/&gt;!3tL"</f>
        <v>#VALUE!</v>
      </c>
      <c r="CU398" t="e">
        <f>Asia!A264+"n/&gt;!3tM"</f>
        <v>#VALUE!</v>
      </c>
      <c r="CV398" t="e">
        <f>Asia!B264+"n/&gt;!3tN"</f>
        <v>#VALUE!</v>
      </c>
      <c r="CW398" t="e">
        <f>Asia!C264+"n/&gt;!3tO"</f>
        <v>#VALUE!</v>
      </c>
      <c r="CX398" t="e">
        <f>Asia!D264+"n/&gt;!3tP"</f>
        <v>#VALUE!</v>
      </c>
      <c r="CY398" t="e">
        <f>Asia!E264+"n/&gt;!3tQ"</f>
        <v>#VALUE!</v>
      </c>
      <c r="CZ398" t="e">
        <f>Asia!F264+"n/&gt;!3tR"</f>
        <v>#VALUE!</v>
      </c>
      <c r="DA398" t="e">
        <f>Asia!G264+"n/&gt;!3tS"</f>
        <v>#VALUE!</v>
      </c>
      <c r="DB398" t="e">
        <f>Asia!H264+"n/&gt;!3tT"</f>
        <v>#VALUE!</v>
      </c>
      <c r="DC398" t="e">
        <f>Asia!I264+"n/&gt;!3tU"</f>
        <v>#VALUE!</v>
      </c>
      <c r="DD398" t="e">
        <f>Asia!A265+"n/&gt;!3tV"</f>
        <v>#VALUE!</v>
      </c>
      <c r="DE398" t="e">
        <f>Asia!B265+"n/&gt;!3tW"</f>
        <v>#VALUE!</v>
      </c>
      <c r="DF398" t="e">
        <f>Asia!C265+"n/&gt;!3tX"</f>
        <v>#VALUE!</v>
      </c>
      <c r="DG398" t="e">
        <f>Asia!D265+"n/&gt;!3tY"</f>
        <v>#VALUE!</v>
      </c>
      <c r="DH398" t="e">
        <f>Asia!E265+"n/&gt;!3tZ"</f>
        <v>#VALUE!</v>
      </c>
      <c r="DI398" t="e">
        <f>Asia!F265+"n/&gt;!3t["</f>
        <v>#VALUE!</v>
      </c>
      <c r="DJ398" t="e">
        <f>Asia!G265+"n/&gt;!3t\"</f>
        <v>#VALUE!</v>
      </c>
      <c r="DK398" t="e">
        <f>Asia!H265+"n/&gt;!3t]"</f>
        <v>#VALUE!</v>
      </c>
      <c r="DL398" t="e">
        <f>Asia!I265+"n/&gt;!3t^"</f>
        <v>#VALUE!</v>
      </c>
      <c r="DM398" t="e">
        <f>Asia!A266+"n/&gt;!3t_"</f>
        <v>#VALUE!</v>
      </c>
      <c r="DN398" t="e">
        <f>Asia!B266+"n/&gt;!3t`"</f>
        <v>#VALUE!</v>
      </c>
      <c r="DO398" t="e">
        <f>Asia!C266+"n/&gt;!3ta"</f>
        <v>#VALUE!</v>
      </c>
      <c r="DP398" t="e">
        <f>Asia!D266+"n/&gt;!3tb"</f>
        <v>#VALUE!</v>
      </c>
      <c r="DQ398" t="e">
        <f>Asia!E266+"n/&gt;!3tc"</f>
        <v>#VALUE!</v>
      </c>
      <c r="DR398" t="e">
        <f>Asia!F266+"n/&gt;!3td"</f>
        <v>#VALUE!</v>
      </c>
      <c r="DS398" t="e">
        <f>Asia!G266+"n/&gt;!3te"</f>
        <v>#VALUE!</v>
      </c>
      <c r="DT398" t="e">
        <f>Asia!H266+"n/&gt;!3tf"</f>
        <v>#VALUE!</v>
      </c>
      <c r="DU398" t="e">
        <f>Asia!I266+"n/&gt;!3tg"</f>
        <v>#VALUE!</v>
      </c>
      <c r="DV398" t="e">
        <f>Asia!A267+"n/&gt;!3th"</f>
        <v>#VALUE!</v>
      </c>
      <c r="DW398" t="e">
        <f>Asia!B267+"n/&gt;!3ti"</f>
        <v>#VALUE!</v>
      </c>
      <c r="DX398" t="e">
        <f>Asia!C267+"n/&gt;!3tj"</f>
        <v>#VALUE!</v>
      </c>
      <c r="DY398" t="e">
        <f>Asia!D267+"n/&gt;!3tk"</f>
        <v>#VALUE!</v>
      </c>
      <c r="DZ398" t="e">
        <f>Asia!E267+"n/&gt;!3tl"</f>
        <v>#VALUE!</v>
      </c>
      <c r="EA398" t="e">
        <f>Asia!F267+"n/&gt;!3tm"</f>
        <v>#VALUE!</v>
      </c>
      <c r="EB398" t="e">
        <f>Asia!G267+"n/&gt;!3tn"</f>
        <v>#VALUE!</v>
      </c>
      <c r="EC398" t="e">
        <f>Asia!H267+"n/&gt;!3to"</f>
        <v>#VALUE!</v>
      </c>
      <c r="ED398" t="e">
        <f>Asia!I267+"n/&gt;!3tp"</f>
        <v>#VALUE!</v>
      </c>
      <c r="EE398" t="e">
        <f>Asia!A268+"n/&gt;!3tq"</f>
        <v>#VALUE!</v>
      </c>
      <c r="EF398" t="e">
        <f>Asia!B268+"n/&gt;!3tr"</f>
        <v>#VALUE!</v>
      </c>
      <c r="EG398" t="e">
        <f>Asia!C268+"n/&gt;!3ts"</f>
        <v>#VALUE!</v>
      </c>
      <c r="EH398" t="e">
        <f>Asia!D268+"n/&gt;!3tt"</f>
        <v>#VALUE!</v>
      </c>
      <c r="EI398" t="e">
        <f>Asia!E268+"n/&gt;!3tu"</f>
        <v>#VALUE!</v>
      </c>
      <c r="EJ398" t="e">
        <f>Asia!F268+"n/&gt;!3tv"</f>
        <v>#VALUE!</v>
      </c>
      <c r="EK398" t="e">
        <f>Asia!G268+"n/&gt;!3tw"</f>
        <v>#VALUE!</v>
      </c>
      <c r="EL398" t="e">
        <f>Asia!H268+"n/&gt;!3tx"</f>
        <v>#VALUE!</v>
      </c>
      <c r="EM398" t="e">
        <f>Asia!I268+"n/&gt;!3ty"</f>
        <v>#VALUE!</v>
      </c>
      <c r="EN398" t="e">
        <f>Asia!A269+"n/&gt;!3tz"</f>
        <v>#VALUE!</v>
      </c>
      <c r="EO398" t="e">
        <f>Asia!B269+"n/&gt;!3t{"</f>
        <v>#VALUE!</v>
      </c>
      <c r="EP398" t="e">
        <f>Asia!C269+"n/&gt;!3t|"</f>
        <v>#VALUE!</v>
      </c>
      <c r="EQ398" t="e">
        <f>Asia!D269+"n/&gt;!3t}"</f>
        <v>#VALUE!</v>
      </c>
      <c r="ER398" t="e">
        <f>Asia!E269+"n/&gt;!3t~"</f>
        <v>#VALUE!</v>
      </c>
      <c r="ES398" t="e">
        <f>Asia!F269+"n/&gt;!3u#"</f>
        <v>#VALUE!</v>
      </c>
      <c r="ET398" t="e">
        <f>Asia!G269+"n/&gt;!3u$"</f>
        <v>#VALUE!</v>
      </c>
      <c r="EU398" t="e">
        <f>Asia!H269+"n/&gt;!3u%"</f>
        <v>#VALUE!</v>
      </c>
      <c r="EV398" t="e">
        <f>Asia!I269+"n/&gt;!3u&amp;"</f>
        <v>#VALUE!</v>
      </c>
      <c r="EW398" t="e">
        <f>Asia!A270+"n/&gt;!3u'"</f>
        <v>#VALUE!</v>
      </c>
      <c r="EX398" t="e">
        <f>Asia!B270+"n/&gt;!3u("</f>
        <v>#VALUE!</v>
      </c>
      <c r="EY398" t="e">
        <f>Asia!C270+"n/&gt;!3u)"</f>
        <v>#VALUE!</v>
      </c>
      <c r="EZ398" t="e">
        <f>Asia!D270+"n/&gt;!3u."</f>
        <v>#VALUE!</v>
      </c>
      <c r="FA398" t="e">
        <f>Asia!E270+"n/&gt;!3u/"</f>
        <v>#VALUE!</v>
      </c>
      <c r="FB398" t="e">
        <f>Asia!F270+"n/&gt;!3u0"</f>
        <v>#VALUE!</v>
      </c>
      <c r="FC398" t="e">
        <f>Asia!G270+"n/&gt;!3u1"</f>
        <v>#VALUE!</v>
      </c>
      <c r="FD398" t="e">
        <f>Asia!H270+"n/&gt;!3u2"</f>
        <v>#VALUE!</v>
      </c>
      <c r="FE398" t="e">
        <f>Asia!I270+"n/&gt;!3u3"</f>
        <v>#VALUE!</v>
      </c>
      <c r="FF398" t="e">
        <f>Asia!A271+"n/&gt;!3u4"</f>
        <v>#VALUE!</v>
      </c>
      <c r="FG398" t="e">
        <f>Asia!B271+"n/&gt;!3u5"</f>
        <v>#VALUE!</v>
      </c>
      <c r="FH398" t="e">
        <f>Asia!C271+"n/&gt;!3u6"</f>
        <v>#VALUE!</v>
      </c>
      <c r="FI398" t="e">
        <f>Asia!D271+"n/&gt;!3u7"</f>
        <v>#VALUE!</v>
      </c>
      <c r="FJ398" t="e">
        <f>Asia!E271+"n/&gt;!3u8"</f>
        <v>#VALUE!</v>
      </c>
      <c r="FK398" t="e">
        <f>Asia!F271+"n/&gt;!3u9"</f>
        <v>#VALUE!</v>
      </c>
      <c r="FL398" t="e">
        <f>Asia!G271+"n/&gt;!3u:"</f>
        <v>#VALUE!</v>
      </c>
      <c r="FM398" t="e">
        <f>Asia!H271+"n/&gt;!3u;"</f>
        <v>#VALUE!</v>
      </c>
      <c r="FN398" t="e">
        <f>Asia!I271+"n/&gt;!3u&lt;"</f>
        <v>#VALUE!</v>
      </c>
      <c r="FO398" t="e">
        <f>Asia!A272+"n/&gt;!3u="</f>
        <v>#VALUE!</v>
      </c>
      <c r="FP398" t="e">
        <f>Asia!B272+"n/&gt;!3u&gt;"</f>
        <v>#VALUE!</v>
      </c>
      <c r="FQ398" t="e">
        <f>Asia!C272+"n/&gt;!3u?"</f>
        <v>#VALUE!</v>
      </c>
      <c r="FR398" t="e">
        <f>Asia!D272+"n/&gt;!3u@"</f>
        <v>#VALUE!</v>
      </c>
      <c r="FS398" t="e">
        <f>Asia!E272+"n/&gt;!3uA"</f>
        <v>#VALUE!</v>
      </c>
      <c r="FT398" t="e">
        <f>Asia!F272+"n/&gt;!3uB"</f>
        <v>#VALUE!</v>
      </c>
      <c r="FU398" t="e">
        <f>Asia!G272+"n/&gt;!3uC"</f>
        <v>#VALUE!</v>
      </c>
      <c r="FV398" t="e">
        <f>Asia!H272+"n/&gt;!3uD"</f>
        <v>#VALUE!</v>
      </c>
      <c r="FW398" t="e">
        <f>Asia!I272+"n/&gt;!3uE"</f>
        <v>#VALUE!</v>
      </c>
      <c r="FX398" t="e">
        <f>Asia!A273+"n/&gt;!3uF"</f>
        <v>#VALUE!</v>
      </c>
      <c r="FY398" t="e">
        <f>Asia!B273+"n/&gt;!3uG"</f>
        <v>#VALUE!</v>
      </c>
      <c r="FZ398" t="e">
        <f>Asia!C273+"n/&gt;!3uH"</f>
        <v>#VALUE!</v>
      </c>
      <c r="GA398" t="e">
        <f>Asia!D273+"n/&gt;!3uI"</f>
        <v>#VALUE!</v>
      </c>
      <c r="GB398" t="e">
        <f>Asia!E273+"n/&gt;!3uJ"</f>
        <v>#VALUE!</v>
      </c>
      <c r="GC398" t="e">
        <f>Asia!F273+"n/&gt;!3uK"</f>
        <v>#VALUE!</v>
      </c>
      <c r="GD398" t="e">
        <f>Asia!G273+"n/&gt;!3uL"</f>
        <v>#VALUE!</v>
      </c>
      <c r="GE398" t="e">
        <f>Asia!H273+"n/&gt;!3uM"</f>
        <v>#VALUE!</v>
      </c>
      <c r="GF398" t="e">
        <f>Asia!I273+"n/&gt;!3uN"</f>
        <v>#VALUE!</v>
      </c>
      <c r="GG398" t="e">
        <f>Asia!A274+"n/&gt;!3uO"</f>
        <v>#VALUE!</v>
      </c>
      <c r="GH398" t="e">
        <f>Asia!B274+"n/&gt;!3uP"</f>
        <v>#VALUE!</v>
      </c>
      <c r="GI398" t="e">
        <f>Asia!C274+"n/&gt;!3uQ"</f>
        <v>#VALUE!</v>
      </c>
      <c r="GJ398" t="e">
        <f>Asia!D274+"n/&gt;!3uR"</f>
        <v>#VALUE!</v>
      </c>
      <c r="GK398" t="e">
        <f>Asia!E274+"n/&gt;!3uS"</f>
        <v>#VALUE!</v>
      </c>
      <c r="GL398" t="e">
        <f>Asia!F274+"n/&gt;!3uT"</f>
        <v>#VALUE!</v>
      </c>
      <c r="GM398" t="e">
        <f>Asia!G274+"n/&gt;!3uU"</f>
        <v>#VALUE!</v>
      </c>
      <c r="GN398" t="e">
        <f>Asia!H274+"n/&gt;!3uV"</f>
        <v>#VALUE!</v>
      </c>
      <c r="GO398" t="e">
        <f>Asia!I274+"n/&gt;!3uW"</f>
        <v>#VALUE!</v>
      </c>
      <c r="GP398" t="e">
        <f>Asia!A275+"n/&gt;!3uX"</f>
        <v>#VALUE!</v>
      </c>
      <c r="GQ398" t="e">
        <f>Asia!B275+"n/&gt;!3uY"</f>
        <v>#VALUE!</v>
      </c>
      <c r="GR398" t="e">
        <f>Asia!C275+"n/&gt;!3uZ"</f>
        <v>#VALUE!</v>
      </c>
      <c r="GS398" t="e">
        <f>Asia!D275+"n/&gt;!3u["</f>
        <v>#VALUE!</v>
      </c>
      <c r="GT398" t="e">
        <f>Asia!E275+"n/&gt;!3u\"</f>
        <v>#VALUE!</v>
      </c>
      <c r="GU398" t="e">
        <f>Asia!F275+"n/&gt;!3u]"</f>
        <v>#VALUE!</v>
      </c>
      <c r="GV398" t="e">
        <f>Asia!G275+"n/&gt;!3u^"</f>
        <v>#VALUE!</v>
      </c>
      <c r="GW398" t="e">
        <f>Asia!H275+"n/&gt;!3u_"</f>
        <v>#VALUE!</v>
      </c>
      <c r="GX398" t="e">
        <f>Asia!I275+"n/&gt;!3u`"</f>
        <v>#VALUE!</v>
      </c>
      <c r="GY398" t="e">
        <f>Asia!A276+"n/&gt;!3ua"</f>
        <v>#VALUE!</v>
      </c>
      <c r="GZ398" t="e">
        <f>Asia!B276+"n/&gt;!3ub"</f>
        <v>#VALUE!</v>
      </c>
      <c r="HA398" t="e">
        <f>Asia!C276+"n/&gt;!3uc"</f>
        <v>#VALUE!</v>
      </c>
      <c r="HB398" t="e">
        <f>Asia!D276+"n/&gt;!3ud"</f>
        <v>#VALUE!</v>
      </c>
      <c r="HC398" t="e">
        <f>Asia!E276+"n/&gt;!3ue"</f>
        <v>#VALUE!</v>
      </c>
      <c r="HD398" t="e">
        <f>Asia!F276+"n/&gt;!3uf"</f>
        <v>#VALUE!</v>
      </c>
      <c r="HE398" t="e">
        <f>Asia!G276+"n/&gt;!3ug"</f>
        <v>#VALUE!</v>
      </c>
      <c r="HF398" t="e">
        <f>Asia!H276+"n/&gt;!3uh"</f>
        <v>#VALUE!</v>
      </c>
      <c r="HG398" t="e">
        <f>Asia!I276+"n/&gt;!3ui"</f>
        <v>#VALUE!</v>
      </c>
      <c r="HH398" t="e">
        <f>Asia!A277+"n/&gt;!3uj"</f>
        <v>#VALUE!</v>
      </c>
      <c r="HI398" t="e">
        <f>Asia!B277+"n/&gt;!3uk"</f>
        <v>#VALUE!</v>
      </c>
      <c r="HJ398" t="e">
        <f>Asia!C277+"n/&gt;!3ul"</f>
        <v>#VALUE!</v>
      </c>
      <c r="HK398" t="e">
        <f>Asia!D277+"n/&gt;!3um"</f>
        <v>#VALUE!</v>
      </c>
      <c r="HL398" t="e">
        <f>Asia!E277+"n/&gt;!3un"</f>
        <v>#VALUE!</v>
      </c>
      <c r="HM398" t="e">
        <f>Asia!F277+"n/&gt;!3uo"</f>
        <v>#VALUE!</v>
      </c>
      <c r="HN398" t="e">
        <f>Asia!G277+"n/&gt;!3up"</f>
        <v>#VALUE!</v>
      </c>
      <c r="HO398" t="e">
        <f>Asia!H277+"n/&gt;!3uq"</f>
        <v>#VALUE!</v>
      </c>
      <c r="HP398" t="e">
        <f>Asia!I277+"n/&gt;!3ur"</f>
        <v>#VALUE!</v>
      </c>
      <c r="HQ398" t="e">
        <f>Asia!A278+"n/&gt;!3us"</f>
        <v>#VALUE!</v>
      </c>
      <c r="HR398" t="e">
        <f>Asia!B278+"n/&gt;!3ut"</f>
        <v>#VALUE!</v>
      </c>
      <c r="HS398" t="e">
        <f>Asia!C278+"n/&gt;!3uu"</f>
        <v>#VALUE!</v>
      </c>
      <c r="HT398" t="e">
        <f>Asia!D278+"n/&gt;!3uv"</f>
        <v>#VALUE!</v>
      </c>
      <c r="HU398" t="e">
        <f>Asia!E278+"n/&gt;!3uw"</f>
        <v>#VALUE!</v>
      </c>
      <c r="HV398" t="e">
        <f>Asia!F278+"n/&gt;!3ux"</f>
        <v>#VALUE!</v>
      </c>
      <c r="HW398" t="e">
        <f>Asia!G278+"n/&gt;!3uy"</f>
        <v>#VALUE!</v>
      </c>
      <c r="HX398" t="e">
        <f>Asia!H278+"n/&gt;!3uz"</f>
        <v>#VALUE!</v>
      </c>
      <c r="HY398" t="e">
        <f>Asia!I278+"n/&gt;!3u{"</f>
        <v>#VALUE!</v>
      </c>
      <c r="HZ398" t="e">
        <f>Asia!A279+"n/&gt;!3u|"</f>
        <v>#VALUE!</v>
      </c>
      <c r="IA398" t="e">
        <f>Asia!B279+"n/&gt;!3u}"</f>
        <v>#VALUE!</v>
      </c>
      <c r="IB398" t="e">
        <f>Asia!C279+"n/&gt;!3u~"</f>
        <v>#VALUE!</v>
      </c>
      <c r="IC398" t="e">
        <f>Asia!D279+"n/&gt;!3v#"</f>
        <v>#VALUE!</v>
      </c>
      <c r="ID398" t="e">
        <f>Asia!E279+"n/&gt;!3v$"</f>
        <v>#VALUE!</v>
      </c>
      <c r="IE398" t="e">
        <f>Asia!F279+"n/&gt;!3v%"</f>
        <v>#VALUE!</v>
      </c>
      <c r="IF398" t="e">
        <f>Asia!G279+"n/&gt;!3v&amp;"</f>
        <v>#VALUE!</v>
      </c>
      <c r="IG398" t="e">
        <f>Asia!H279+"n/&gt;!3v'"</f>
        <v>#VALUE!</v>
      </c>
      <c r="IH398" t="e">
        <f>Asia!I279+"n/&gt;!3v("</f>
        <v>#VALUE!</v>
      </c>
      <c r="II398" t="e">
        <f>Asia!A280+"n/&gt;!3v)"</f>
        <v>#VALUE!</v>
      </c>
      <c r="IJ398" t="e">
        <f>Asia!B280+"n/&gt;!3v."</f>
        <v>#VALUE!</v>
      </c>
      <c r="IK398" t="e">
        <f>Asia!C280+"n/&gt;!3v/"</f>
        <v>#VALUE!</v>
      </c>
      <c r="IL398" t="e">
        <f>Asia!D280+"n/&gt;!3v0"</f>
        <v>#VALUE!</v>
      </c>
      <c r="IM398" t="e">
        <f>Asia!E280+"n/&gt;!3v1"</f>
        <v>#VALUE!</v>
      </c>
      <c r="IN398" t="e">
        <f>Asia!F280+"n/&gt;!3v2"</f>
        <v>#VALUE!</v>
      </c>
      <c r="IO398" t="e">
        <f>Asia!G280+"n/&gt;!3v3"</f>
        <v>#VALUE!</v>
      </c>
      <c r="IP398" t="e">
        <f>Asia!H280+"n/&gt;!3v4"</f>
        <v>#VALUE!</v>
      </c>
      <c r="IQ398" t="e">
        <f>Asia!I280+"n/&gt;!3v5"</f>
        <v>#VALUE!</v>
      </c>
      <c r="IR398" t="e">
        <f>Asia!A281+"n/&gt;!3v6"</f>
        <v>#VALUE!</v>
      </c>
      <c r="IS398" t="e">
        <f>Asia!B281+"n/&gt;!3v7"</f>
        <v>#VALUE!</v>
      </c>
      <c r="IT398" t="e">
        <f>Asia!C281+"n/&gt;!3v8"</f>
        <v>#VALUE!</v>
      </c>
      <c r="IU398" t="e">
        <f>Asia!D281+"n/&gt;!3v9"</f>
        <v>#VALUE!</v>
      </c>
      <c r="IV398" t="e">
        <f>Asia!E281+"n/&gt;!3v:"</f>
        <v>#VALUE!</v>
      </c>
    </row>
    <row r="399" spans="6:256" x14ac:dyDescent="0.35">
      <c r="F399" t="e">
        <f>Asia!F281+"n/&gt;!3v;"</f>
        <v>#VALUE!</v>
      </c>
      <c r="G399" t="e">
        <f>Asia!G281+"n/&gt;!3v&lt;"</f>
        <v>#VALUE!</v>
      </c>
      <c r="H399" t="e">
        <f>Asia!H281+"n/&gt;!3v="</f>
        <v>#VALUE!</v>
      </c>
      <c r="I399" t="e">
        <f>Asia!I281+"n/&gt;!3v&gt;"</f>
        <v>#VALUE!</v>
      </c>
      <c r="J399" t="e">
        <f>Asia!A282+"n/&gt;!3v?"</f>
        <v>#VALUE!</v>
      </c>
      <c r="K399" t="e">
        <f>Asia!B282+"n/&gt;!3v@"</f>
        <v>#VALUE!</v>
      </c>
      <c r="L399" t="e">
        <f>Asia!C282+"n/&gt;!3vA"</f>
        <v>#VALUE!</v>
      </c>
      <c r="M399" t="e">
        <f>Asia!D282+"n/&gt;!3vB"</f>
        <v>#VALUE!</v>
      </c>
      <c r="N399" t="e">
        <f>Asia!E282+"n/&gt;!3vC"</f>
        <v>#VALUE!</v>
      </c>
      <c r="O399" t="e">
        <f>Asia!F282+"n/&gt;!3vD"</f>
        <v>#VALUE!</v>
      </c>
      <c r="P399" t="e">
        <f>Asia!G282+"n/&gt;!3vE"</f>
        <v>#VALUE!</v>
      </c>
      <c r="Q399" t="e">
        <f>Asia!H282+"n/&gt;!3vF"</f>
        <v>#VALUE!</v>
      </c>
      <c r="R399" t="e">
        <f>Asia!I282+"n/&gt;!3vG"</f>
        <v>#VALUE!</v>
      </c>
      <c r="S399" t="e">
        <f>Asia!A283+"n/&gt;!3vH"</f>
        <v>#VALUE!</v>
      </c>
      <c r="T399" t="e">
        <f>Asia!B283+"n/&gt;!3vI"</f>
        <v>#VALUE!</v>
      </c>
      <c r="U399" t="e">
        <f>Asia!C283+"n/&gt;!3vJ"</f>
        <v>#VALUE!</v>
      </c>
      <c r="V399" t="e">
        <f>Asia!D283+"n/&gt;!3vK"</f>
        <v>#VALUE!</v>
      </c>
      <c r="W399" t="e">
        <f>Asia!E283+"n/&gt;!3vL"</f>
        <v>#VALUE!</v>
      </c>
      <c r="X399" t="e">
        <f>Asia!F283+"n/&gt;!3vM"</f>
        <v>#VALUE!</v>
      </c>
      <c r="Y399" t="e">
        <f>Asia!G283+"n/&gt;!3vN"</f>
        <v>#VALUE!</v>
      </c>
      <c r="Z399" t="e">
        <f>Asia!H283+"n/&gt;!3vO"</f>
        <v>#VALUE!</v>
      </c>
      <c r="AA399" t="e">
        <f>Asia!I283+"n/&gt;!3vP"</f>
        <v>#VALUE!</v>
      </c>
      <c r="AB399" t="e">
        <f>Asia!A284+"n/&gt;!3vQ"</f>
        <v>#VALUE!</v>
      </c>
      <c r="AC399" t="e">
        <f>Asia!B284+"n/&gt;!3vR"</f>
        <v>#VALUE!</v>
      </c>
      <c r="AD399" t="e">
        <f>Asia!C284+"n/&gt;!3vS"</f>
        <v>#VALUE!</v>
      </c>
      <c r="AE399" t="e">
        <f>Asia!D284+"n/&gt;!3vT"</f>
        <v>#VALUE!</v>
      </c>
      <c r="AF399" t="e">
        <f>Asia!E284+"n/&gt;!3vU"</f>
        <v>#VALUE!</v>
      </c>
      <c r="AG399" t="e">
        <f>Asia!F284+"n/&gt;!3vV"</f>
        <v>#VALUE!</v>
      </c>
      <c r="AH399" t="e">
        <f>Asia!G284+"n/&gt;!3vW"</f>
        <v>#VALUE!</v>
      </c>
      <c r="AI399" t="e">
        <f>Asia!H284+"n/&gt;!3vX"</f>
        <v>#VALUE!</v>
      </c>
      <c r="AJ399" t="e">
        <f>Asia!I284+"n/&gt;!3vY"</f>
        <v>#VALUE!</v>
      </c>
      <c r="AK399" t="e">
        <f>Asia!A285+"n/&gt;!3vZ"</f>
        <v>#VALUE!</v>
      </c>
      <c r="AL399" t="e">
        <f>Asia!B285+"n/&gt;!3v["</f>
        <v>#VALUE!</v>
      </c>
      <c r="AM399" t="e">
        <f>Asia!C285+"n/&gt;!3v\"</f>
        <v>#VALUE!</v>
      </c>
      <c r="AN399" t="e">
        <f>Asia!D285+"n/&gt;!3v]"</f>
        <v>#VALUE!</v>
      </c>
      <c r="AO399" t="e">
        <f>Asia!E285+"n/&gt;!3v^"</f>
        <v>#VALUE!</v>
      </c>
      <c r="AP399" t="e">
        <f>Asia!F285+"n/&gt;!3v_"</f>
        <v>#VALUE!</v>
      </c>
      <c r="AQ399" t="e">
        <f>Asia!G285+"n/&gt;!3v`"</f>
        <v>#VALUE!</v>
      </c>
      <c r="AR399" t="e">
        <f>Asia!H285+"n/&gt;!3va"</f>
        <v>#VALUE!</v>
      </c>
      <c r="AS399" t="e">
        <f>Asia!I285+"n/&gt;!3vb"</f>
        <v>#VALUE!</v>
      </c>
      <c r="AT399" t="e">
        <f>Asia!A286+"n/&gt;!3vc"</f>
        <v>#VALUE!</v>
      </c>
      <c r="AU399" t="e">
        <f>Asia!B286+"n/&gt;!3vd"</f>
        <v>#VALUE!</v>
      </c>
      <c r="AV399" t="e">
        <f>Asia!C286+"n/&gt;!3ve"</f>
        <v>#VALUE!</v>
      </c>
      <c r="AW399" t="e">
        <f>Asia!D286+"n/&gt;!3vf"</f>
        <v>#VALUE!</v>
      </c>
      <c r="AX399" t="e">
        <f>Asia!E286+"n/&gt;!3vg"</f>
        <v>#VALUE!</v>
      </c>
      <c r="AY399" t="e">
        <f>Asia!F286+"n/&gt;!3vh"</f>
        <v>#VALUE!</v>
      </c>
      <c r="AZ399" t="e">
        <f>Asia!G286+"n/&gt;!3vi"</f>
        <v>#VALUE!</v>
      </c>
      <c r="BA399" t="e">
        <f>Asia!H286+"n/&gt;!3vj"</f>
        <v>#VALUE!</v>
      </c>
      <c r="BB399" t="e">
        <f>Asia!I286+"n/&gt;!3vk"</f>
        <v>#VALUE!</v>
      </c>
      <c r="BC399" t="e">
        <f>Asia!A287+"n/&gt;!3vl"</f>
        <v>#VALUE!</v>
      </c>
      <c r="BD399" t="e">
        <f>Asia!B287+"n/&gt;!3vm"</f>
        <v>#VALUE!</v>
      </c>
      <c r="BE399" t="e">
        <f>Asia!C287+"n/&gt;!3vn"</f>
        <v>#VALUE!</v>
      </c>
      <c r="BF399" t="e">
        <f>Asia!D287+"n/&gt;!3vo"</f>
        <v>#VALUE!</v>
      </c>
      <c r="BG399" t="e">
        <f>Asia!E287+"n/&gt;!3vp"</f>
        <v>#VALUE!</v>
      </c>
      <c r="BH399" t="e">
        <f>Asia!F287+"n/&gt;!3vq"</f>
        <v>#VALUE!</v>
      </c>
      <c r="BI399" t="e">
        <f>Asia!G287+"n/&gt;!3vr"</f>
        <v>#VALUE!</v>
      </c>
      <c r="BJ399" t="e">
        <f>Asia!H287+"n/&gt;!3vs"</f>
        <v>#VALUE!</v>
      </c>
      <c r="BK399" t="e">
        <f>Asia!I287+"n/&gt;!3vt"</f>
        <v>#VALUE!</v>
      </c>
      <c r="BL399" t="e">
        <f>Asia!A288+"n/&gt;!3vu"</f>
        <v>#VALUE!</v>
      </c>
      <c r="BM399" t="e">
        <f>Asia!B288+"n/&gt;!3vv"</f>
        <v>#VALUE!</v>
      </c>
      <c r="BN399" t="e">
        <f>Asia!C288+"n/&gt;!3vw"</f>
        <v>#VALUE!</v>
      </c>
      <c r="BO399" t="e">
        <f>Asia!D288+"n/&gt;!3vx"</f>
        <v>#VALUE!</v>
      </c>
      <c r="BP399" t="e">
        <f>Asia!E288+"n/&gt;!3vy"</f>
        <v>#VALUE!</v>
      </c>
      <c r="BQ399" t="e">
        <f>Asia!F288+"n/&gt;!3vz"</f>
        <v>#VALUE!</v>
      </c>
      <c r="BR399" t="e">
        <f>Asia!G288+"n/&gt;!3v{"</f>
        <v>#VALUE!</v>
      </c>
      <c r="BS399" t="e">
        <f>Asia!H288+"n/&gt;!3v|"</f>
        <v>#VALUE!</v>
      </c>
      <c r="BT399" t="e">
        <f>Asia!I288+"n/&gt;!3v}"</f>
        <v>#VALUE!</v>
      </c>
      <c r="BU399" t="e">
        <f>Asia!A289+"n/&gt;!3v~"</f>
        <v>#VALUE!</v>
      </c>
      <c r="BV399" t="e">
        <f>Asia!B289+"n/&gt;!3w#"</f>
        <v>#VALUE!</v>
      </c>
      <c r="BW399" t="e">
        <f>Asia!C289+"n/&gt;!3w$"</f>
        <v>#VALUE!</v>
      </c>
      <c r="BX399" t="e">
        <f>Asia!D289+"n/&gt;!3w%"</f>
        <v>#VALUE!</v>
      </c>
      <c r="BY399" t="e">
        <f>Asia!E289+"n/&gt;!3w&amp;"</f>
        <v>#VALUE!</v>
      </c>
      <c r="BZ399" t="e">
        <f>Asia!F289+"n/&gt;!3w'"</f>
        <v>#VALUE!</v>
      </c>
      <c r="CA399" t="e">
        <f>Asia!G289+"n/&gt;!3w("</f>
        <v>#VALUE!</v>
      </c>
      <c r="CB399" t="e">
        <f>Asia!H289+"n/&gt;!3w)"</f>
        <v>#VALUE!</v>
      </c>
      <c r="CC399" t="e">
        <f>Asia!I289+"n/&gt;!3w."</f>
        <v>#VALUE!</v>
      </c>
      <c r="CD399" t="e">
        <f>Asia!A290+"n/&gt;!3w/"</f>
        <v>#VALUE!</v>
      </c>
      <c r="CE399" t="e">
        <f>Asia!B290+"n/&gt;!3w0"</f>
        <v>#VALUE!</v>
      </c>
      <c r="CF399" t="e">
        <f>Asia!C290+"n/&gt;!3w1"</f>
        <v>#VALUE!</v>
      </c>
      <c r="CG399" t="e">
        <f>Asia!D290+"n/&gt;!3w2"</f>
        <v>#VALUE!</v>
      </c>
      <c r="CH399" t="e">
        <f>Asia!E290+"n/&gt;!3w3"</f>
        <v>#VALUE!</v>
      </c>
      <c r="CI399" t="e">
        <f>Asia!F290+"n/&gt;!3w4"</f>
        <v>#VALUE!</v>
      </c>
      <c r="CJ399" t="e">
        <f>Asia!G290+"n/&gt;!3w5"</f>
        <v>#VALUE!</v>
      </c>
      <c r="CK399" t="e">
        <f>Asia!H290+"n/&gt;!3w6"</f>
        <v>#VALUE!</v>
      </c>
      <c r="CL399" t="e">
        <f>Asia!I290+"n/&gt;!3w7"</f>
        <v>#VALUE!</v>
      </c>
      <c r="CM399" t="e">
        <f>Asia!A291+"n/&gt;!3w8"</f>
        <v>#VALUE!</v>
      </c>
      <c r="CN399" t="e">
        <f>Asia!B291+"n/&gt;!3w9"</f>
        <v>#VALUE!</v>
      </c>
      <c r="CO399" t="e">
        <f>Asia!C291+"n/&gt;!3w:"</f>
        <v>#VALUE!</v>
      </c>
      <c r="CP399" t="e">
        <f>Asia!D291+"n/&gt;!3w;"</f>
        <v>#VALUE!</v>
      </c>
      <c r="CQ399" t="e">
        <f>Asia!E291+"n/&gt;!3w&lt;"</f>
        <v>#VALUE!</v>
      </c>
      <c r="CR399" t="e">
        <f>Asia!F291+"n/&gt;!3w="</f>
        <v>#VALUE!</v>
      </c>
      <c r="CS399" t="e">
        <f>Asia!G291+"n/&gt;!3w&gt;"</f>
        <v>#VALUE!</v>
      </c>
      <c r="CT399" t="e">
        <f>Asia!H291+"n/&gt;!3w?"</f>
        <v>#VALUE!</v>
      </c>
      <c r="CU399" t="e">
        <f>Asia!I291+"n/&gt;!3w@"</f>
        <v>#VALUE!</v>
      </c>
      <c r="CV399" t="e">
        <f>Asia!A292+"n/&gt;!3wA"</f>
        <v>#VALUE!</v>
      </c>
      <c r="CW399" t="e">
        <f>Asia!B292+"n/&gt;!3wB"</f>
        <v>#VALUE!</v>
      </c>
      <c r="CX399" t="e">
        <f>Asia!C292+"n/&gt;!3wC"</f>
        <v>#VALUE!</v>
      </c>
      <c r="CY399" t="e">
        <f>Asia!D292+"n/&gt;!3wD"</f>
        <v>#VALUE!</v>
      </c>
      <c r="CZ399" t="e">
        <f>Asia!E292+"n/&gt;!3wE"</f>
        <v>#VALUE!</v>
      </c>
      <c r="DA399" t="e">
        <f>Asia!F292+"n/&gt;!3wF"</f>
        <v>#VALUE!</v>
      </c>
      <c r="DB399" t="e">
        <f>Asia!G292+"n/&gt;!3wG"</f>
        <v>#VALUE!</v>
      </c>
      <c r="DC399" t="e">
        <f>Asia!H292+"n/&gt;!3wH"</f>
        <v>#VALUE!</v>
      </c>
      <c r="DD399" t="e">
        <f>Asia!I292+"n/&gt;!3wI"</f>
        <v>#VALUE!</v>
      </c>
      <c r="DE399" t="e">
        <f>Asia!A293+"n/&gt;!3wJ"</f>
        <v>#VALUE!</v>
      </c>
      <c r="DF399" t="e">
        <f>Asia!B293+"n/&gt;!3wK"</f>
        <v>#VALUE!</v>
      </c>
      <c r="DG399" t="e">
        <f>Asia!C293+"n/&gt;!3wL"</f>
        <v>#VALUE!</v>
      </c>
      <c r="DH399" t="e">
        <f>Asia!D293+"n/&gt;!3wM"</f>
        <v>#VALUE!</v>
      </c>
      <c r="DI399" t="e">
        <f>Asia!E293+"n/&gt;!3wN"</f>
        <v>#VALUE!</v>
      </c>
      <c r="DJ399" t="e">
        <f>Asia!F293+"n/&gt;!3wO"</f>
        <v>#VALUE!</v>
      </c>
      <c r="DK399" t="e">
        <f>Asia!G293+"n/&gt;!3wP"</f>
        <v>#VALUE!</v>
      </c>
      <c r="DL399" t="e">
        <f>Asia!H293+"n/&gt;!3wQ"</f>
        <v>#VALUE!</v>
      </c>
      <c r="DM399" t="e">
        <f>Asia!I293+"n/&gt;!3wR"</f>
        <v>#VALUE!</v>
      </c>
      <c r="DN399" t="e">
        <f>Asia!A294+"n/&gt;!3wS"</f>
        <v>#VALUE!</v>
      </c>
      <c r="DO399" t="e">
        <f>Asia!B294+"n/&gt;!3wT"</f>
        <v>#VALUE!</v>
      </c>
      <c r="DP399" t="e">
        <f>Asia!C294+"n/&gt;!3wU"</f>
        <v>#VALUE!</v>
      </c>
      <c r="DQ399" t="e">
        <f>Asia!D294+"n/&gt;!3wV"</f>
        <v>#VALUE!</v>
      </c>
      <c r="DR399" t="e">
        <f>Asia!E294+"n/&gt;!3wW"</f>
        <v>#VALUE!</v>
      </c>
      <c r="DS399" t="e">
        <f>Asia!F294+"n/&gt;!3wX"</f>
        <v>#VALUE!</v>
      </c>
      <c r="DT399" t="e">
        <f>Asia!G294+"n/&gt;!3wY"</f>
        <v>#VALUE!</v>
      </c>
      <c r="DU399" t="e">
        <f>Asia!H294+"n/&gt;!3wZ"</f>
        <v>#VALUE!</v>
      </c>
      <c r="DV399" t="e">
        <f>Asia!I294+"n/&gt;!3w["</f>
        <v>#VALUE!</v>
      </c>
      <c r="DW399" t="e">
        <f>Asia!A295+"n/&gt;!3w\"</f>
        <v>#VALUE!</v>
      </c>
      <c r="DX399" t="e">
        <f>Asia!B295+"n/&gt;!3w]"</f>
        <v>#VALUE!</v>
      </c>
      <c r="DY399" t="e">
        <f>Asia!C295+"n/&gt;!3w^"</f>
        <v>#VALUE!</v>
      </c>
      <c r="DZ399" t="e">
        <f>Asia!D295+"n/&gt;!3w_"</f>
        <v>#VALUE!</v>
      </c>
      <c r="EA399" t="e">
        <f>Asia!E295+"n/&gt;!3w`"</f>
        <v>#VALUE!</v>
      </c>
      <c r="EB399" t="e">
        <f>Asia!F295+"n/&gt;!3wa"</f>
        <v>#VALUE!</v>
      </c>
      <c r="EC399" t="e">
        <f>Asia!G295+"n/&gt;!3wb"</f>
        <v>#VALUE!</v>
      </c>
      <c r="ED399" t="e">
        <f>Asia!H295+"n/&gt;!3wc"</f>
        <v>#VALUE!</v>
      </c>
      <c r="EE399" t="e">
        <f>Asia!I295+"n/&gt;!3wd"</f>
        <v>#VALUE!</v>
      </c>
      <c r="EF399" t="e">
        <f>Asia!A296+"n/&gt;!3we"</f>
        <v>#VALUE!</v>
      </c>
      <c r="EG399" t="e">
        <f>Asia!B296+"n/&gt;!3wf"</f>
        <v>#VALUE!</v>
      </c>
      <c r="EH399" t="e">
        <f>Asia!C296+"n/&gt;!3wg"</f>
        <v>#VALUE!</v>
      </c>
      <c r="EI399" t="e">
        <f>Asia!D296+"n/&gt;!3wh"</f>
        <v>#VALUE!</v>
      </c>
      <c r="EJ399" t="e">
        <f>Asia!E296+"n/&gt;!3wi"</f>
        <v>#VALUE!</v>
      </c>
      <c r="EK399" t="e">
        <f>Asia!F296+"n/&gt;!3wj"</f>
        <v>#VALUE!</v>
      </c>
      <c r="EL399" t="e">
        <f>Asia!G296+"n/&gt;!3wk"</f>
        <v>#VALUE!</v>
      </c>
      <c r="EM399" t="e">
        <f>Asia!H296+"n/&gt;!3wl"</f>
        <v>#VALUE!</v>
      </c>
      <c r="EN399" t="e">
        <f>Asia!I296+"n/&gt;!3wm"</f>
        <v>#VALUE!</v>
      </c>
      <c r="EO399" t="e">
        <f>Asia!A297+"n/&gt;!3wn"</f>
        <v>#VALUE!</v>
      </c>
      <c r="EP399" t="e">
        <f>Asia!B297+"n/&gt;!3wo"</f>
        <v>#VALUE!</v>
      </c>
      <c r="EQ399" t="e">
        <f>Asia!C297+"n/&gt;!3wp"</f>
        <v>#VALUE!</v>
      </c>
      <c r="ER399" t="e">
        <f>Asia!D297+"n/&gt;!3wq"</f>
        <v>#VALUE!</v>
      </c>
      <c r="ES399" t="e">
        <f>Asia!E297+"n/&gt;!3wr"</f>
        <v>#VALUE!</v>
      </c>
      <c r="ET399" t="e">
        <f>Asia!F297+"n/&gt;!3ws"</f>
        <v>#VALUE!</v>
      </c>
      <c r="EU399" t="e">
        <f>Asia!G297+"n/&gt;!3wt"</f>
        <v>#VALUE!</v>
      </c>
      <c r="EV399" t="e">
        <f>Asia!H297+"n/&gt;!3wu"</f>
        <v>#VALUE!</v>
      </c>
      <c r="EW399" t="e">
        <f>Asia!I297+"n/&gt;!3wv"</f>
        <v>#VALUE!</v>
      </c>
      <c r="EX399" t="e">
        <f>Asia!A298+"n/&gt;!3ww"</f>
        <v>#VALUE!</v>
      </c>
      <c r="EY399" t="e">
        <f>Asia!B298+"n/&gt;!3wx"</f>
        <v>#VALUE!</v>
      </c>
      <c r="EZ399" t="e">
        <f>Asia!C298+"n/&gt;!3wy"</f>
        <v>#VALUE!</v>
      </c>
      <c r="FA399" t="e">
        <f>Asia!D298+"n/&gt;!3wz"</f>
        <v>#VALUE!</v>
      </c>
      <c r="FB399" t="e">
        <f>Asia!E298+"n/&gt;!3w{"</f>
        <v>#VALUE!</v>
      </c>
      <c r="FC399" t="e">
        <f>Asia!F298+"n/&gt;!3w|"</f>
        <v>#VALUE!</v>
      </c>
      <c r="FD399" t="e">
        <f>Asia!G298+"n/&gt;!3w}"</f>
        <v>#VALUE!</v>
      </c>
      <c r="FE399" t="e">
        <f>Asia!H298+"n/&gt;!3w~"</f>
        <v>#VALUE!</v>
      </c>
      <c r="FF399" t="e">
        <f>Asia!I298+"n/&gt;!3x#"</f>
        <v>#VALUE!</v>
      </c>
      <c r="FG399" t="e">
        <f>Asia!A299+"n/&gt;!3x$"</f>
        <v>#VALUE!</v>
      </c>
      <c r="FH399" t="e">
        <f>Asia!B299+"n/&gt;!3x%"</f>
        <v>#VALUE!</v>
      </c>
      <c r="FI399" t="e">
        <f>Asia!C299+"n/&gt;!3x&amp;"</f>
        <v>#VALUE!</v>
      </c>
      <c r="FJ399" t="e">
        <f>Asia!D299+"n/&gt;!3x'"</f>
        <v>#VALUE!</v>
      </c>
      <c r="FK399" t="e">
        <f>Asia!E299+"n/&gt;!3x("</f>
        <v>#VALUE!</v>
      </c>
      <c r="FL399" t="e">
        <f>Asia!F299+"n/&gt;!3x)"</f>
        <v>#VALUE!</v>
      </c>
      <c r="FM399" t="e">
        <f>Asia!G299+"n/&gt;!3x."</f>
        <v>#VALUE!</v>
      </c>
      <c r="FN399" t="e">
        <f>Asia!H299+"n/&gt;!3x/"</f>
        <v>#VALUE!</v>
      </c>
      <c r="FO399" t="e">
        <f>Asia!I299+"n/&gt;!3x0"</f>
        <v>#VALUE!</v>
      </c>
      <c r="FP399" t="e">
        <f>Asia!A300+"n/&gt;!3x1"</f>
        <v>#VALUE!</v>
      </c>
      <c r="FQ399" t="e">
        <f>Asia!B300+"n/&gt;!3x2"</f>
        <v>#VALUE!</v>
      </c>
      <c r="FR399" t="e">
        <f>Asia!C300+"n/&gt;!3x3"</f>
        <v>#VALUE!</v>
      </c>
      <c r="FS399" t="e">
        <f>Asia!D300+"n/&gt;!3x4"</f>
        <v>#VALUE!</v>
      </c>
      <c r="FT399" t="e">
        <f>Asia!E300+"n/&gt;!3x5"</f>
        <v>#VALUE!</v>
      </c>
      <c r="FU399" t="e">
        <f>Asia!F300+"n/&gt;!3x6"</f>
        <v>#VALUE!</v>
      </c>
      <c r="FV399" t="e">
        <f>Asia!G300+"n/&gt;!3x7"</f>
        <v>#VALUE!</v>
      </c>
      <c r="FW399" t="e">
        <f>Asia!H300+"n/&gt;!3x8"</f>
        <v>#VALUE!</v>
      </c>
      <c r="FX399" t="e">
        <f>Asia!I300+"n/&gt;!3x9"</f>
        <v>#VALUE!</v>
      </c>
      <c r="FY399" t="e">
        <f>Asia!A301+"n/&gt;!3x:"</f>
        <v>#VALUE!</v>
      </c>
      <c r="FZ399" t="e">
        <f>Asia!B301+"n/&gt;!3x;"</f>
        <v>#VALUE!</v>
      </c>
      <c r="GA399" t="e">
        <f>Asia!C301+"n/&gt;!3x&lt;"</f>
        <v>#VALUE!</v>
      </c>
      <c r="GB399" t="e">
        <f>Asia!D301+"n/&gt;!3x="</f>
        <v>#VALUE!</v>
      </c>
      <c r="GC399" t="e">
        <f>Asia!E301+"n/&gt;!3x&gt;"</f>
        <v>#VALUE!</v>
      </c>
      <c r="GD399" t="e">
        <f>Asia!F301+"n/&gt;!3x?"</f>
        <v>#VALUE!</v>
      </c>
      <c r="GE399" t="e">
        <f>Asia!G301+"n/&gt;!3x@"</f>
        <v>#VALUE!</v>
      </c>
      <c r="GF399" t="e">
        <f>Asia!H301+"n/&gt;!3xA"</f>
        <v>#VALUE!</v>
      </c>
      <c r="GG399" t="e">
        <f>Asia!I301+"n/&gt;!3xB"</f>
        <v>#VALUE!</v>
      </c>
      <c r="GH399" t="e">
        <f>Asia!A302+"n/&gt;!3xC"</f>
        <v>#VALUE!</v>
      </c>
      <c r="GI399" t="e">
        <f>Asia!B302+"n/&gt;!3xD"</f>
        <v>#VALUE!</v>
      </c>
      <c r="GJ399" t="e">
        <f>Asia!C302+"n/&gt;!3xE"</f>
        <v>#VALUE!</v>
      </c>
      <c r="GK399" t="e">
        <f>Asia!D302+"n/&gt;!3xF"</f>
        <v>#VALUE!</v>
      </c>
      <c r="GL399" t="e">
        <f>Asia!E302+"n/&gt;!3xG"</f>
        <v>#VALUE!</v>
      </c>
      <c r="GM399" t="e">
        <f>Asia!F302+"n/&gt;!3xH"</f>
        <v>#VALUE!</v>
      </c>
      <c r="GN399" t="e">
        <f>Asia!G302+"n/&gt;!3xI"</f>
        <v>#VALUE!</v>
      </c>
      <c r="GO399" t="e">
        <f>Asia!H302+"n/&gt;!3xJ"</f>
        <v>#VALUE!</v>
      </c>
      <c r="GP399" t="e">
        <f>Asia!I302+"n/&gt;!3xK"</f>
        <v>#VALUE!</v>
      </c>
      <c r="GQ399" t="e">
        <f>Asia!A303+"n/&gt;!3xL"</f>
        <v>#VALUE!</v>
      </c>
      <c r="GR399" t="e">
        <f>Asia!B303+"n/&gt;!3xM"</f>
        <v>#VALUE!</v>
      </c>
      <c r="GS399" t="e">
        <f>Asia!C303+"n/&gt;!3xN"</f>
        <v>#VALUE!</v>
      </c>
      <c r="GT399" t="e">
        <f>Asia!D303+"n/&gt;!3xO"</f>
        <v>#VALUE!</v>
      </c>
      <c r="GU399" t="e">
        <f>Asia!E303+"n/&gt;!3xP"</f>
        <v>#VALUE!</v>
      </c>
      <c r="GV399" t="e">
        <f>Asia!F303+"n/&gt;!3xQ"</f>
        <v>#VALUE!</v>
      </c>
      <c r="GW399" t="e">
        <f>Asia!G303+"n/&gt;!3xR"</f>
        <v>#VALUE!</v>
      </c>
      <c r="GX399" t="e">
        <f>Asia!H303+"n/&gt;!3xS"</f>
        <v>#VALUE!</v>
      </c>
      <c r="GY399" t="e">
        <f>Asia!I303+"n/&gt;!3xT"</f>
        <v>#VALUE!</v>
      </c>
      <c r="GZ399" t="e">
        <f>Asia!A304+"n/&gt;!3xU"</f>
        <v>#VALUE!</v>
      </c>
      <c r="HA399" t="e">
        <f>Asia!B304+"n/&gt;!3xV"</f>
        <v>#VALUE!</v>
      </c>
      <c r="HB399" t="e">
        <f>Asia!C304+"n/&gt;!3xW"</f>
        <v>#VALUE!</v>
      </c>
      <c r="HC399" t="e">
        <f>Asia!D304+"n/&gt;!3xX"</f>
        <v>#VALUE!</v>
      </c>
      <c r="HD399" t="e">
        <f>Asia!E304+"n/&gt;!3xY"</f>
        <v>#VALUE!</v>
      </c>
      <c r="HE399" t="e">
        <f>Asia!F304+"n/&gt;!3xZ"</f>
        <v>#VALUE!</v>
      </c>
      <c r="HF399" t="e">
        <f>Asia!G304+"n/&gt;!3x["</f>
        <v>#VALUE!</v>
      </c>
      <c r="HG399" t="e">
        <f>Asia!H304+"n/&gt;!3x\"</f>
        <v>#VALUE!</v>
      </c>
      <c r="HH399" t="e">
        <f>Asia!I304+"n/&gt;!3x]"</f>
        <v>#VALUE!</v>
      </c>
      <c r="HI399" t="e">
        <f>Asia!A305+"n/&gt;!3x^"</f>
        <v>#VALUE!</v>
      </c>
      <c r="HJ399" t="e">
        <f>Asia!B305+"n/&gt;!3x_"</f>
        <v>#VALUE!</v>
      </c>
      <c r="HK399" t="e">
        <f>Asia!C305+"n/&gt;!3x`"</f>
        <v>#VALUE!</v>
      </c>
      <c r="HL399" t="e">
        <f>Asia!D305+"n/&gt;!3xa"</f>
        <v>#VALUE!</v>
      </c>
      <c r="HM399" t="e">
        <f>Asia!E305+"n/&gt;!3xb"</f>
        <v>#VALUE!</v>
      </c>
      <c r="HN399" t="e">
        <f>Asia!F305+"n/&gt;!3xc"</f>
        <v>#VALUE!</v>
      </c>
      <c r="HO399" t="e">
        <f>Asia!G305+"n/&gt;!3xd"</f>
        <v>#VALUE!</v>
      </c>
      <c r="HP399" t="e">
        <f>Asia!H305+"n/&gt;!3xe"</f>
        <v>#VALUE!</v>
      </c>
      <c r="HQ399" t="e">
        <f>Asia!I305+"n/&gt;!3xf"</f>
        <v>#VALUE!</v>
      </c>
      <c r="HR399" t="e">
        <f>Asia!A306+"n/&gt;!3xg"</f>
        <v>#VALUE!</v>
      </c>
      <c r="HS399" t="e">
        <f>Asia!B306+"n/&gt;!3xh"</f>
        <v>#VALUE!</v>
      </c>
      <c r="HT399" t="e">
        <f>Asia!C306+"n/&gt;!3xi"</f>
        <v>#VALUE!</v>
      </c>
      <c r="HU399" t="e">
        <f>Asia!D306+"n/&gt;!3xj"</f>
        <v>#VALUE!</v>
      </c>
      <c r="HV399" t="e">
        <f>Asia!E306+"n/&gt;!3xk"</f>
        <v>#VALUE!</v>
      </c>
      <c r="HW399" t="e">
        <f>Asia!F306+"n/&gt;!3xl"</f>
        <v>#VALUE!</v>
      </c>
      <c r="HX399" t="e">
        <f>Asia!G306+"n/&gt;!3xm"</f>
        <v>#VALUE!</v>
      </c>
      <c r="HY399" t="e">
        <f>Asia!H306+"n/&gt;!3xn"</f>
        <v>#VALUE!</v>
      </c>
      <c r="HZ399" t="e">
        <f>Asia!I306+"n/&gt;!3xo"</f>
        <v>#VALUE!</v>
      </c>
      <c r="IA399" t="e">
        <f>Asia!A307+"n/&gt;!3xp"</f>
        <v>#VALUE!</v>
      </c>
      <c r="IB399" t="e">
        <f>Asia!B307+"n/&gt;!3xq"</f>
        <v>#VALUE!</v>
      </c>
      <c r="IC399" t="e">
        <f>Asia!C307+"n/&gt;!3xr"</f>
        <v>#VALUE!</v>
      </c>
      <c r="ID399" t="e">
        <f>Asia!D307+"n/&gt;!3xs"</f>
        <v>#VALUE!</v>
      </c>
      <c r="IE399" t="e">
        <f>Asia!E307+"n/&gt;!3xt"</f>
        <v>#VALUE!</v>
      </c>
      <c r="IF399" t="e">
        <f>Asia!F307+"n/&gt;!3xu"</f>
        <v>#VALUE!</v>
      </c>
      <c r="IG399" t="e">
        <f>Asia!G307+"n/&gt;!3xv"</f>
        <v>#VALUE!</v>
      </c>
      <c r="IH399" t="e">
        <f>Asia!H307+"n/&gt;!3xw"</f>
        <v>#VALUE!</v>
      </c>
      <c r="II399" t="e">
        <f>Asia!I307+"n/&gt;!3xx"</f>
        <v>#VALUE!</v>
      </c>
      <c r="IJ399" t="e">
        <f>Asia!A308+"n/&gt;!3xy"</f>
        <v>#VALUE!</v>
      </c>
      <c r="IK399" t="e">
        <f>Asia!B308+"n/&gt;!3xz"</f>
        <v>#VALUE!</v>
      </c>
      <c r="IL399" t="e">
        <f>Asia!C308+"n/&gt;!3x{"</f>
        <v>#VALUE!</v>
      </c>
      <c r="IM399" t="e">
        <f>Asia!D308+"n/&gt;!3x|"</f>
        <v>#VALUE!</v>
      </c>
      <c r="IN399" t="e">
        <f>Asia!E308+"n/&gt;!3x}"</f>
        <v>#VALUE!</v>
      </c>
      <c r="IO399" t="e">
        <f>Asia!F308+"n/&gt;!3x~"</f>
        <v>#VALUE!</v>
      </c>
      <c r="IP399" t="e">
        <f>Asia!G308+"n/&gt;!3y#"</f>
        <v>#VALUE!</v>
      </c>
      <c r="IQ399" t="e">
        <f>Asia!H308+"n/&gt;!3y$"</f>
        <v>#VALUE!</v>
      </c>
      <c r="IR399" t="e">
        <f>Asia!I308+"n/&gt;!3y%"</f>
        <v>#VALUE!</v>
      </c>
      <c r="IS399" t="e">
        <f>Asia!A309+"n/&gt;!3y&amp;"</f>
        <v>#VALUE!</v>
      </c>
      <c r="IT399" t="e">
        <f>Asia!B309+"n/&gt;!3y'"</f>
        <v>#VALUE!</v>
      </c>
      <c r="IU399" t="e">
        <f>Asia!C309+"n/&gt;!3y("</f>
        <v>#VALUE!</v>
      </c>
      <c r="IV399" t="e">
        <f>Asia!D309+"n/&gt;!3y)"</f>
        <v>#VALUE!</v>
      </c>
    </row>
    <row r="400" spans="6:256" x14ac:dyDescent="0.35">
      <c r="F400" t="e">
        <f>Asia!E309+"n/&gt;!3y."</f>
        <v>#VALUE!</v>
      </c>
      <c r="G400" t="e">
        <f>Asia!F309+"n/&gt;!3y/"</f>
        <v>#VALUE!</v>
      </c>
      <c r="H400" t="e">
        <f>Asia!G309+"n/&gt;!3y0"</f>
        <v>#VALUE!</v>
      </c>
      <c r="I400" t="e">
        <f>Asia!H309+"n/&gt;!3y1"</f>
        <v>#VALUE!</v>
      </c>
      <c r="J400" t="e">
        <f>Asia!I309+"n/&gt;!3y2"</f>
        <v>#VALUE!</v>
      </c>
      <c r="K400" t="e">
        <f>Asia!A310+"n/&gt;!3y3"</f>
        <v>#VALUE!</v>
      </c>
      <c r="L400" t="e">
        <f>Asia!B310+"n/&gt;!3y4"</f>
        <v>#VALUE!</v>
      </c>
      <c r="M400" t="e">
        <f>Asia!C310+"n/&gt;!3y5"</f>
        <v>#VALUE!</v>
      </c>
      <c r="N400" t="e">
        <f>Asia!D310+"n/&gt;!3y6"</f>
        <v>#VALUE!</v>
      </c>
      <c r="O400" t="e">
        <f>Asia!E310+"n/&gt;!3y7"</f>
        <v>#VALUE!</v>
      </c>
      <c r="P400" t="e">
        <f>Asia!F310+"n/&gt;!3y8"</f>
        <v>#VALUE!</v>
      </c>
      <c r="Q400" t="e">
        <f>Asia!G310+"n/&gt;!3y9"</f>
        <v>#VALUE!</v>
      </c>
      <c r="R400" t="e">
        <f>Asia!H310+"n/&gt;!3y:"</f>
        <v>#VALUE!</v>
      </c>
      <c r="S400" t="e">
        <f>Asia!I310+"n/&gt;!3y;"</f>
        <v>#VALUE!</v>
      </c>
      <c r="T400" t="e">
        <f>Asia!A311+"n/&gt;!3y&lt;"</f>
        <v>#VALUE!</v>
      </c>
      <c r="U400" t="e">
        <f>Asia!B311+"n/&gt;!3y="</f>
        <v>#VALUE!</v>
      </c>
      <c r="V400" t="e">
        <f>Asia!C311+"n/&gt;!3y&gt;"</f>
        <v>#VALUE!</v>
      </c>
      <c r="W400" t="e">
        <f>Asia!D311+"n/&gt;!3y?"</f>
        <v>#VALUE!</v>
      </c>
      <c r="X400" t="e">
        <f>Asia!E311+"n/&gt;!3y@"</f>
        <v>#VALUE!</v>
      </c>
      <c r="Y400" t="e">
        <f>Asia!F311+"n/&gt;!3yA"</f>
        <v>#VALUE!</v>
      </c>
      <c r="Z400" t="e">
        <f>Asia!G311+"n/&gt;!3yB"</f>
        <v>#VALUE!</v>
      </c>
      <c r="AA400" t="e">
        <f>Asia!H311+"n/&gt;!3yC"</f>
        <v>#VALUE!</v>
      </c>
      <c r="AB400" t="e">
        <f>Asia!I311+"n/&gt;!3yD"</f>
        <v>#VALUE!</v>
      </c>
      <c r="AC400" t="e">
        <f>Asia!A312+"n/&gt;!3yE"</f>
        <v>#VALUE!</v>
      </c>
      <c r="AD400" t="e">
        <f>Asia!B312+"n/&gt;!3yF"</f>
        <v>#VALUE!</v>
      </c>
      <c r="AE400" t="e">
        <f>Asia!C312+"n/&gt;!3yG"</f>
        <v>#VALUE!</v>
      </c>
      <c r="AF400" t="e">
        <f>Asia!D312+"n/&gt;!3yH"</f>
        <v>#VALUE!</v>
      </c>
      <c r="AG400" t="e">
        <f>Asia!E312+"n/&gt;!3yI"</f>
        <v>#VALUE!</v>
      </c>
      <c r="AH400" t="e">
        <f>Asia!F312+"n/&gt;!3yJ"</f>
        <v>#VALUE!</v>
      </c>
      <c r="AI400" t="e">
        <f>Asia!G312+"n/&gt;!3yK"</f>
        <v>#VALUE!</v>
      </c>
      <c r="AJ400" t="e">
        <f>Asia!H312+"n/&gt;!3yL"</f>
        <v>#VALUE!</v>
      </c>
      <c r="AK400" t="e">
        <f>Asia!I312+"n/&gt;!3yM"</f>
        <v>#VALUE!</v>
      </c>
      <c r="AL400" t="e">
        <f>Asia!A313+"n/&gt;!3yN"</f>
        <v>#VALUE!</v>
      </c>
      <c r="AM400" t="e">
        <f>Asia!B313+"n/&gt;!3yO"</f>
        <v>#VALUE!</v>
      </c>
      <c r="AN400" t="e">
        <f>Asia!C313+"n/&gt;!3yP"</f>
        <v>#VALUE!</v>
      </c>
      <c r="AO400" t="e">
        <f>Asia!D313+"n/&gt;!3yQ"</f>
        <v>#VALUE!</v>
      </c>
      <c r="AP400" t="e">
        <f>Asia!E313+"n/&gt;!3yR"</f>
        <v>#VALUE!</v>
      </c>
      <c r="AQ400" t="e">
        <f>Asia!F313+"n/&gt;!3yS"</f>
        <v>#VALUE!</v>
      </c>
      <c r="AR400" t="e">
        <f>Asia!G313+"n/&gt;!3yT"</f>
        <v>#VALUE!</v>
      </c>
      <c r="AS400" t="e">
        <f>Asia!H313+"n/&gt;!3yU"</f>
        <v>#VALUE!</v>
      </c>
      <c r="AT400" t="e">
        <f>Asia!I313+"n/&gt;!3yV"</f>
        <v>#VALUE!</v>
      </c>
      <c r="AU400" t="e">
        <f>Asia!A314+"n/&gt;!3yW"</f>
        <v>#VALUE!</v>
      </c>
      <c r="AV400" t="e">
        <f>Asia!B314+"n/&gt;!3yX"</f>
        <v>#VALUE!</v>
      </c>
      <c r="AW400" t="e">
        <f>Asia!C314+"n/&gt;!3yY"</f>
        <v>#VALUE!</v>
      </c>
      <c r="AX400" t="e">
        <f>Asia!D314+"n/&gt;!3yZ"</f>
        <v>#VALUE!</v>
      </c>
      <c r="AY400" t="e">
        <f>Asia!E314+"n/&gt;!3y["</f>
        <v>#VALUE!</v>
      </c>
      <c r="AZ400" t="e">
        <f>Asia!F314+"n/&gt;!3y\"</f>
        <v>#VALUE!</v>
      </c>
      <c r="BA400" t="e">
        <f>Asia!G314+"n/&gt;!3y]"</f>
        <v>#VALUE!</v>
      </c>
      <c r="BB400" t="e">
        <f>Asia!H314+"n/&gt;!3y^"</f>
        <v>#VALUE!</v>
      </c>
      <c r="BC400" t="e">
        <f>Asia!I314+"n/&gt;!3y_"</f>
        <v>#VALUE!</v>
      </c>
      <c r="BD400" t="e">
        <f>Asia!A315+"n/&gt;!3y`"</f>
        <v>#VALUE!</v>
      </c>
      <c r="BE400" t="e">
        <f>Asia!B315+"n/&gt;!3ya"</f>
        <v>#VALUE!</v>
      </c>
      <c r="BF400" t="e">
        <f>Asia!C315+"n/&gt;!3yb"</f>
        <v>#VALUE!</v>
      </c>
      <c r="BG400" t="e">
        <f>Asia!D315+"n/&gt;!3yc"</f>
        <v>#VALUE!</v>
      </c>
      <c r="BH400" t="e">
        <f>Asia!E315+"n/&gt;!3yd"</f>
        <v>#VALUE!</v>
      </c>
      <c r="BI400" t="e">
        <f>Asia!F315+"n/&gt;!3ye"</f>
        <v>#VALUE!</v>
      </c>
      <c r="BJ400" t="e">
        <f>Asia!G315+"n/&gt;!3yf"</f>
        <v>#VALUE!</v>
      </c>
      <c r="BK400" t="e">
        <f>Asia!H315+"n/&gt;!3yg"</f>
        <v>#VALUE!</v>
      </c>
      <c r="BL400" t="e">
        <f>Asia!I315+"n/&gt;!3yh"</f>
        <v>#VALUE!</v>
      </c>
      <c r="BM400" t="e">
        <f>Asia!A316+"n/&gt;!3yi"</f>
        <v>#VALUE!</v>
      </c>
      <c r="BN400" t="e">
        <f>Asia!B316+"n/&gt;!3yj"</f>
        <v>#VALUE!</v>
      </c>
      <c r="BO400" t="e">
        <f>Asia!C316+"n/&gt;!3yk"</f>
        <v>#VALUE!</v>
      </c>
      <c r="BP400" t="e">
        <f>Asia!D316+"n/&gt;!3yl"</f>
        <v>#VALUE!</v>
      </c>
      <c r="BQ400" t="e">
        <f>Asia!E316+"n/&gt;!3ym"</f>
        <v>#VALUE!</v>
      </c>
      <c r="BR400" t="e">
        <f>Asia!F316+"n/&gt;!3yn"</f>
        <v>#VALUE!</v>
      </c>
      <c r="BS400" t="e">
        <f>Asia!G316+"n/&gt;!3yo"</f>
        <v>#VALUE!</v>
      </c>
      <c r="BT400" t="e">
        <f>Asia!H316+"n/&gt;!3yp"</f>
        <v>#VALUE!</v>
      </c>
      <c r="BU400" t="e">
        <f>Asia!I316+"n/&gt;!3yq"</f>
        <v>#VALUE!</v>
      </c>
      <c r="BV400" t="e">
        <f>Asia!A317+"n/&gt;!3yr"</f>
        <v>#VALUE!</v>
      </c>
      <c r="BW400" t="e">
        <f>Asia!B317+"n/&gt;!3ys"</f>
        <v>#VALUE!</v>
      </c>
      <c r="BX400" t="e">
        <f>Asia!C317+"n/&gt;!3yt"</f>
        <v>#VALUE!</v>
      </c>
      <c r="BY400" t="e">
        <f>Asia!D317+"n/&gt;!3yu"</f>
        <v>#VALUE!</v>
      </c>
      <c r="BZ400" t="e">
        <f>Asia!E317+"n/&gt;!3yv"</f>
        <v>#VALUE!</v>
      </c>
      <c r="CA400" t="e">
        <f>Asia!F317+"n/&gt;!3yw"</f>
        <v>#VALUE!</v>
      </c>
      <c r="CB400" t="e">
        <f>Asia!G317+"n/&gt;!3yx"</f>
        <v>#VALUE!</v>
      </c>
      <c r="CC400" t="e">
        <f>Asia!H317+"n/&gt;!3yy"</f>
        <v>#VALUE!</v>
      </c>
      <c r="CD400" t="e">
        <f>Asia!I317+"n/&gt;!3yz"</f>
        <v>#VALUE!</v>
      </c>
      <c r="CE400" t="e">
        <f>Asia!A318+"n/&gt;!3y{"</f>
        <v>#VALUE!</v>
      </c>
      <c r="CF400" t="e">
        <f>Asia!B318+"n/&gt;!3y|"</f>
        <v>#VALUE!</v>
      </c>
      <c r="CG400" t="e">
        <f>Asia!C318+"n/&gt;!3y}"</f>
        <v>#VALUE!</v>
      </c>
      <c r="CH400" t="e">
        <f>Asia!D318+"n/&gt;!3y~"</f>
        <v>#VALUE!</v>
      </c>
      <c r="CI400" t="e">
        <f>Asia!E318+"n/&gt;!3z#"</f>
        <v>#VALUE!</v>
      </c>
      <c r="CJ400" t="e">
        <f>Asia!F318+"n/&gt;!3z$"</f>
        <v>#VALUE!</v>
      </c>
      <c r="CK400" t="e">
        <f>Asia!G318+"n/&gt;!3z%"</f>
        <v>#VALUE!</v>
      </c>
      <c r="CL400" t="e">
        <f>Asia!H318+"n/&gt;!3z&amp;"</f>
        <v>#VALUE!</v>
      </c>
      <c r="CM400" t="e">
        <f>Asia!I318+"n/&gt;!3z'"</f>
        <v>#VALUE!</v>
      </c>
      <c r="CN400" t="e">
        <f>Asia!A319+"n/&gt;!3z("</f>
        <v>#VALUE!</v>
      </c>
      <c r="CO400" t="e">
        <f>Asia!B319+"n/&gt;!3z)"</f>
        <v>#VALUE!</v>
      </c>
      <c r="CP400" t="e">
        <f>Asia!C319+"n/&gt;!3z."</f>
        <v>#VALUE!</v>
      </c>
      <c r="CQ400" t="e">
        <f>Asia!D319+"n/&gt;!3z/"</f>
        <v>#VALUE!</v>
      </c>
      <c r="CR400" t="e">
        <f>Asia!E319+"n/&gt;!3z0"</f>
        <v>#VALUE!</v>
      </c>
      <c r="CS400" t="e">
        <f>Asia!F319+"n/&gt;!3z1"</f>
        <v>#VALUE!</v>
      </c>
      <c r="CT400" t="e">
        <f>Asia!G319+"n/&gt;!3z2"</f>
        <v>#VALUE!</v>
      </c>
      <c r="CU400" t="e">
        <f>Asia!H319+"n/&gt;!3z3"</f>
        <v>#VALUE!</v>
      </c>
      <c r="CV400" t="e">
        <f>Asia!I319+"n/&gt;!3z4"</f>
        <v>#VALUE!</v>
      </c>
      <c r="CW400" t="e">
        <f>Asia!A320+"n/&gt;!3z5"</f>
        <v>#VALUE!</v>
      </c>
      <c r="CX400" t="e">
        <f>Asia!B320+"n/&gt;!3z6"</f>
        <v>#VALUE!</v>
      </c>
      <c r="CY400" t="e">
        <f>Asia!C320+"n/&gt;!3z7"</f>
        <v>#VALUE!</v>
      </c>
      <c r="CZ400" t="e">
        <f>Asia!D320+"n/&gt;!3z8"</f>
        <v>#VALUE!</v>
      </c>
      <c r="DA400" t="e">
        <f>Asia!E320+"n/&gt;!3z9"</f>
        <v>#VALUE!</v>
      </c>
      <c r="DB400" t="e">
        <f>Asia!F320+"n/&gt;!3z:"</f>
        <v>#VALUE!</v>
      </c>
      <c r="DC400" t="e">
        <f>Asia!G320+"n/&gt;!3z;"</f>
        <v>#VALUE!</v>
      </c>
      <c r="DD400" t="e">
        <f>Asia!H320+"n/&gt;!3z&lt;"</f>
        <v>#VALUE!</v>
      </c>
      <c r="DE400" t="e">
        <f>Asia!I320+"n/&gt;!3z="</f>
        <v>#VALUE!</v>
      </c>
      <c r="DF400" t="e">
        <f>Asia!A321+"n/&gt;!3z&gt;"</f>
        <v>#VALUE!</v>
      </c>
      <c r="DG400" t="e">
        <f>Asia!B321+"n/&gt;!3z?"</f>
        <v>#VALUE!</v>
      </c>
      <c r="DH400" t="e">
        <f>Asia!C321+"n/&gt;!3z@"</f>
        <v>#VALUE!</v>
      </c>
      <c r="DI400" t="e">
        <f>Asia!D321+"n/&gt;!3zA"</f>
        <v>#VALUE!</v>
      </c>
      <c r="DJ400" t="e">
        <f>Asia!E321+"n/&gt;!3zB"</f>
        <v>#VALUE!</v>
      </c>
      <c r="DK400" t="e">
        <f>Asia!F321+"n/&gt;!3zC"</f>
        <v>#VALUE!</v>
      </c>
      <c r="DL400" t="e">
        <f>Asia!G321+"n/&gt;!3zD"</f>
        <v>#VALUE!</v>
      </c>
      <c r="DM400" t="e">
        <f>Asia!H321+"n/&gt;!3zE"</f>
        <v>#VALUE!</v>
      </c>
      <c r="DN400" t="e">
        <f>Asia!I321+"n/&gt;!3zF"</f>
        <v>#VALUE!</v>
      </c>
      <c r="DO400" t="e">
        <f>Asia!A322+"n/&gt;!3zG"</f>
        <v>#VALUE!</v>
      </c>
      <c r="DP400" t="e">
        <f>Asia!B322+"n/&gt;!3zH"</f>
        <v>#VALUE!</v>
      </c>
      <c r="DQ400" t="e">
        <f>Asia!C322+"n/&gt;!3zI"</f>
        <v>#VALUE!</v>
      </c>
      <c r="DR400" t="e">
        <f>Asia!D322+"n/&gt;!3zJ"</f>
        <v>#VALUE!</v>
      </c>
      <c r="DS400" t="e">
        <f>Asia!E322+"n/&gt;!3zK"</f>
        <v>#VALUE!</v>
      </c>
      <c r="DT400" t="e">
        <f>Asia!F322+"n/&gt;!3zL"</f>
        <v>#VALUE!</v>
      </c>
      <c r="DU400" t="e">
        <f>Asia!G322+"n/&gt;!3zM"</f>
        <v>#VALUE!</v>
      </c>
      <c r="DV400" t="e">
        <f>Asia!H322+"n/&gt;!3zN"</f>
        <v>#VALUE!</v>
      </c>
      <c r="DW400" t="e">
        <f>Asia!I322+"n/&gt;!3zO"</f>
        <v>#VALUE!</v>
      </c>
      <c r="DX400" t="e">
        <f>Asia!A323+"n/&gt;!3zP"</f>
        <v>#VALUE!</v>
      </c>
      <c r="DY400" t="e">
        <f>Asia!B323+"n/&gt;!3zQ"</f>
        <v>#VALUE!</v>
      </c>
      <c r="DZ400" t="e">
        <f>Asia!C323+"n/&gt;!3zR"</f>
        <v>#VALUE!</v>
      </c>
      <c r="EA400" t="e">
        <f>Asia!D323+"n/&gt;!3zS"</f>
        <v>#VALUE!</v>
      </c>
      <c r="EB400" t="e">
        <f>Asia!E323+"n/&gt;!3zT"</f>
        <v>#VALUE!</v>
      </c>
      <c r="EC400" t="e">
        <f>Asia!F323+"n/&gt;!3zU"</f>
        <v>#VALUE!</v>
      </c>
      <c r="ED400" t="e">
        <f>Asia!G323+"n/&gt;!3zV"</f>
        <v>#VALUE!</v>
      </c>
      <c r="EE400" t="e">
        <f>Asia!H323+"n/&gt;!3zW"</f>
        <v>#VALUE!</v>
      </c>
      <c r="EF400" t="e">
        <f>Asia!I323+"n/&gt;!3zX"</f>
        <v>#VALUE!</v>
      </c>
      <c r="EG400" t="e">
        <f>Asia!A324+"n/&gt;!3zY"</f>
        <v>#VALUE!</v>
      </c>
      <c r="EH400" t="e">
        <f>Asia!B324+"n/&gt;!3zZ"</f>
        <v>#VALUE!</v>
      </c>
      <c r="EI400" t="e">
        <f>Asia!C324+"n/&gt;!3z["</f>
        <v>#VALUE!</v>
      </c>
      <c r="EJ400" t="e">
        <f>Asia!D324+"n/&gt;!3z\"</f>
        <v>#VALUE!</v>
      </c>
      <c r="EK400" t="e">
        <f>Asia!E324+"n/&gt;!3z]"</f>
        <v>#VALUE!</v>
      </c>
      <c r="EL400" t="e">
        <f>Asia!F324+"n/&gt;!3z^"</f>
        <v>#VALUE!</v>
      </c>
      <c r="EM400" t="e">
        <f>Asia!G324+"n/&gt;!3z_"</f>
        <v>#VALUE!</v>
      </c>
      <c r="EN400" t="e">
        <f>Asia!H324+"n/&gt;!3z`"</f>
        <v>#VALUE!</v>
      </c>
      <c r="EO400" t="e">
        <f>Asia!I324+"n/&gt;!3za"</f>
        <v>#VALUE!</v>
      </c>
      <c r="EP400" t="e">
        <f>Asia!A325+"n/&gt;!3zb"</f>
        <v>#VALUE!</v>
      </c>
      <c r="EQ400" t="e">
        <f>Asia!B325+"n/&gt;!3zc"</f>
        <v>#VALUE!</v>
      </c>
      <c r="ER400" t="e">
        <f>Asia!C325+"n/&gt;!3zd"</f>
        <v>#VALUE!</v>
      </c>
      <c r="ES400" t="e">
        <f>Asia!D325+"n/&gt;!3ze"</f>
        <v>#VALUE!</v>
      </c>
      <c r="ET400" t="e">
        <f>Asia!E325+"n/&gt;!3zf"</f>
        <v>#VALUE!</v>
      </c>
      <c r="EU400" t="e">
        <f>Asia!F325+"n/&gt;!3zg"</f>
        <v>#VALUE!</v>
      </c>
      <c r="EV400" t="e">
        <f>Asia!G325+"n/&gt;!3zh"</f>
        <v>#VALUE!</v>
      </c>
      <c r="EW400" t="e">
        <f>Asia!H325+"n/&gt;!3zi"</f>
        <v>#VALUE!</v>
      </c>
      <c r="EX400" t="e">
        <f>Asia!I325+"n/&gt;!3zj"</f>
        <v>#VALUE!</v>
      </c>
      <c r="EY400" t="e">
        <f>Asia!A326+"n/&gt;!3zk"</f>
        <v>#VALUE!</v>
      </c>
      <c r="EZ400" t="e">
        <f>Asia!B326+"n/&gt;!3zl"</f>
        <v>#VALUE!</v>
      </c>
      <c r="FA400" t="e">
        <f>Asia!C326+"n/&gt;!3zm"</f>
        <v>#VALUE!</v>
      </c>
      <c r="FB400" t="e">
        <f>Asia!D326+"n/&gt;!3zn"</f>
        <v>#VALUE!</v>
      </c>
      <c r="FC400" t="e">
        <f>Asia!E326+"n/&gt;!3zo"</f>
        <v>#VALUE!</v>
      </c>
      <c r="FD400" t="e">
        <f>Asia!F326+"n/&gt;!3zp"</f>
        <v>#VALUE!</v>
      </c>
      <c r="FE400" t="e">
        <f>Asia!G326+"n/&gt;!3zq"</f>
        <v>#VALUE!</v>
      </c>
      <c r="FF400" t="e">
        <f>Asia!H326+"n/&gt;!3zr"</f>
        <v>#VALUE!</v>
      </c>
      <c r="FG400" t="e">
        <f>Asia!I326+"n/&gt;!3zs"</f>
        <v>#VALUE!</v>
      </c>
      <c r="FH400" t="e">
        <f>Asia!A327+"n/&gt;!3zt"</f>
        <v>#VALUE!</v>
      </c>
      <c r="FI400" t="e">
        <f>Asia!B327+"n/&gt;!3zu"</f>
        <v>#VALUE!</v>
      </c>
      <c r="FJ400" t="e">
        <f>Asia!C327+"n/&gt;!3zv"</f>
        <v>#VALUE!</v>
      </c>
      <c r="FK400" t="e">
        <f>Asia!D327+"n/&gt;!3zw"</f>
        <v>#VALUE!</v>
      </c>
      <c r="FL400" t="e">
        <f>Asia!E327+"n/&gt;!3zx"</f>
        <v>#VALUE!</v>
      </c>
      <c r="FM400" t="e">
        <f>Asia!F327+"n/&gt;!3zy"</f>
        <v>#VALUE!</v>
      </c>
      <c r="FN400" t="e">
        <f>Asia!G327+"n/&gt;!3zz"</f>
        <v>#VALUE!</v>
      </c>
      <c r="FO400" t="e">
        <f>Asia!H327+"n/&gt;!3z{"</f>
        <v>#VALUE!</v>
      </c>
      <c r="FP400" t="e">
        <f>Asia!I327+"n/&gt;!3z|"</f>
        <v>#VALUE!</v>
      </c>
      <c r="FQ400" t="e">
        <f>Asia!A328+"n/&gt;!3z}"</f>
        <v>#VALUE!</v>
      </c>
      <c r="FR400" t="e">
        <f>Asia!B328+"n/&gt;!3z~"</f>
        <v>#VALUE!</v>
      </c>
      <c r="FS400" t="e">
        <f>Asia!C328+"n/&gt;!3{#"</f>
        <v>#VALUE!</v>
      </c>
      <c r="FT400" t="e">
        <f>Asia!D328+"n/&gt;!3{$"</f>
        <v>#VALUE!</v>
      </c>
      <c r="FU400" t="e">
        <f>Asia!E328+"n/&gt;!3{%"</f>
        <v>#VALUE!</v>
      </c>
      <c r="FV400" t="e">
        <f>Asia!F328+"n/&gt;!3{&amp;"</f>
        <v>#VALUE!</v>
      </c>
      <c r="FW400" t="e">
        <f>Asia!G328+"n/&gt;!3{'"</f>
        <v>#VALUE!</v>
      </c>
      <c r="FX400" t="e">
        <f>Asia!H328+"n/&gt;!3{("</f>
        <v>#VALUE!</v>
      </c>
      <c r="FY400" t="e">
        <f>Asia!I328+"n/&gt;!3{)"</f>
        <v>#VALUE!</v>
      </c>
      <c r="FZ400" t="e">
        <f>Asia!A329+"n/&gt;!3{."</f>
        <v>#VALUE!</v>
      </c>
      <c r="GA400" t="e">
        <f>Asia!B329+"n/&gt;!3{/"</f>
        <v>#VALUE!</v>
      </c>
      <c r="GB400" t="e">
        <f>Asia!C329+"n/&gt;!3{0"</f>
        <v>#VALUE!</v>
      </c>
      <c r="GC400" t="e">
        <f>Asia!D329+"n/&gt;!3{1"</f>
        <v>#VALUE!</v>
      </c>
      <c r="GD400" t="e">
        <f>Asia!E329+"n/&gt;!3{2"</f>
        <v>#VALUE!</v>
      </c>
      <c r="GE400" t="e">
        <f>Asia!F329+"n/&gt;!3{3"</f>
        <v>#VALUE!</v>
      </c>
      <c r="GF400" t="e">
        <f>Asia!G329+"n/&gt;!3{4"</f>
        <v>#VALUE!</v>
      </c>
      <c r="GG400" t="e">
        <f>Asia!H329+"n/&gt;!3{5"</f>
        <v>#VALUE!</v>
      </c>
      <c r="GH400" t="e">
        <f>Asia!I329+"n/&gt;!3{6"</f>
        <v>#VALUE!</v>
      </c>
      <c r="GI400" t="e">
        <f>Asia!A330+"n/&gt;!3{7"</f>
        <v>#VALUE!</v>
      </c>
      <c r="GJ400" t="e">
        <f>Asia!B330+"n/&gt;!3{8"</f>
        <v>#VALUE!</v>
      </c>
      <c r="GK400" t="e">
        <f>Asia!C330+"n/&gt;!3{9"</f>
        <v>#VALUE!</v>
      </c>
      <c r="GL400" t="e">
        <f>Asia!D330+"n/&gt;!3{:"</f>
        <v>#VALUE!</v>
      </c>
      <c r="GM400" t="e">
        <f>Asia!E330+"n/&gt;!3{;"</f>
        <v>#VALUE!</v>
      </c>
      <c r="GN400" t="e">
        <f>Asia!F330+"n/&gt;!3{&lt;"</f>
        <v>#VALUE!</v>
      </c>
      <c r="GO400" t="e">
        <f>Asia!G330+"n/&gt;!3{="</f>
        <v>#VALUE!</v>
      </c>
      <c r="GP400" t="e">
        <f>Asia!H330+"n/&gt;!3{&gt;"</f>
        <v>#VALUE!</v>
      </c>
      <c r="GQ400" t="e">
        <f>Asia!I330+"n/&gt;!3{?"</f>
        <v>#VALUE!</v>
      </c>
      <c r="GR400" t="e">
        <f>Asia!A331+"n/&gt;!3{@"</f>
        <v>#VALUE!</v>
      </c>
      <c r="GS400" t="e">
        <f>Asia!B331+"n/&gt;!3{A"</f>
        <v>#VALUE!</v>
      </c>
      <c r="GT400" t="e">
        <f>Asia!C331+"n/&gt;!3{B"</f>
        <v>#VALUE!</v>
      </c>
      <c r="GU400" t="e">
        <f>Asia!D331+"n/&gt;!3{C"</f>
        <v>#VALUE!</v>
      </c>
      <c r="GV400" t="e">
        <f>Asia!E331+"n/&gt;!3{D"</f>
        <v>#VALUE!</v>
      </c>
      <c r="GW400" t="e">
        <f>Asia!F331+"n/&gt;!3{E"</f>
        <v>#VALUE!</v>
      </c>
      <c r="GX400" t="e">
        <f>Asia!G331+"n/&gt;!3{F"</f>
        <v>#VALUE!</v>
      </c>
      <c r="GY400" t="e">
        <f>Asia!H331+"n/&gt;!3{G"</f>
        <v>#VALUE!</v>
      </c>
      <c r="GZ400" t="e">
        <f>Asia!I331+"n/&gt;!3{H"</f>
        <v>#VALUE!</v>
      </c>
      <c r="HA400" t="e">
        <f>Asia!A332+"n/&gt;!3{I"</f>
        <v>#VALUE!</v>
      </c>
      <c r="HB400" t="e">
        <f>Asia!B332+"n/&gt;!3{J"</f>
        <v>#VALUE!</v>
      </c>
      <c r="HC400" t="e">
        <f>Asia!C332+"n/&gt;!3{K"</f>
        <v>#VALUE!</v>
      </c>
      <c r="HD400" t="e">
        <f>Asia!D332+"n/&gt;!3{L"</f>
        <v>#VALUE!</v>
      </c>
      <c r="HE400" t="e">
        <f>Asia!E332+"n/&gt;!3{M"</f>
        <v>#VALUE!</v>
      </c>
      <c r="HF400" t="e">
        <f>Asia!F332+"n/&gt;!3{N"</f>
        <v>#VALUE!</v>
      </c>
      <c r="HG400" t="e">
        <f>Asia!G332+"n/&gt;!3{O"</f>
        <v>#VALUE!</v>
      </c>
      <c r="HH400" t="e">
        <f>Asia!H332+"n/&gt;!3{P"</f>
        <v>#VALUE!</v>
      </c>
      <c r="HI400" t="e">
        <f>Asia!I332+"n/&gt;!3{Q"</f>
        <v>#VALUE!</v>
      </c>
      <c r="HJ400" t="e">
        <f>Asia!A333+"n/&gt;!3{R"</f>
        <v>#VALUE!</v>
      </c>
      <c r="HK400" t="e">
        <f>Asia!B333+"n/&gt;!3{S"</f>
        <v>#VALUE!</v>
      </c>
      <c r="HL400" t="e">
        <f>Asia!C333+"n/&gt;!3{T"</f>
        <v>#VALUE!</v>
      </c>
      <c r="HM400" t="e">
        <f>Asia!D333+"n/&gt;!3{U"</f>
        <v>#VALUE!</v>
      </c>
      <c r="HN400" t="e">
        <f>Asia!E333+"n/&gt;!3{V"</f>
        <v>#VALUE!</v>
      </c>
      <c r="HO400" t="e">
        <f>Asia!F333+"n/&gt;!3{W"</f>
        <v>#VALUE!</v>
      </c>
      <c r="HP400" t="e">
        <f>Asia!G333+"n/&gt;!3{X"</f>
        <v>#VALUE!</v>
      </c>
      <c r="HQ400" t="e">
        <f>Asia!H333+"n/&gt;!3{Y"</f>
        <v>#VALUE!</v>
      </c>
      <c r="HR400" t="e">
        <f>Asia!I333+"n/&gt;!3{Z"</f>
        <v>#VALUE!</v>
      </c>
      <c r="HS400" t="e">
        <f>Asia!A334+"n/&gt;!3{["</f>
        <v>#VALUE!</v>
      </c>
      <c r="HT400" t="e">
        <f>Asia!B334+"n/&gt;!3{\"</f>
        <v>#VALUE!</v>
      </c>
      <c r="HU400" t="e">
        <f>Asia!C334+"n/&gt;!3{]"</f>
        <v>#VALUE!</v>
      </c>
      <c r="HV400" t="e">
        <f>Asia!D334+"n/&gt;!3{^"</f>
        <v>#VALUE!</v>
      </c>
      <c r="HW400" t="e">
        <f>Asia!E334+"n/&gt;!3{_"</f>
        <v>#VALUE!</v>
      </c>
      <c r="HX400" t="e">
        <f>Asia!F334+"n/&gt;!3{`"</f>
        <v>#VALUE!</v>
      </c>
      <c r="HY400" t="e">
        <f>Asia!G334+"n/&gt;!3{a"</f>
        <v>#VALUE!</v>
      </c>
      <c r="HZ400" t="e">
        <f>Asia!H334+"n/&gt;!3{b"</f>
        <v>#VALUE!</v>
      </c>
      <c r="IA400" t="e">
        <f>Asia!I334+"n/&gt;!3{c"</f>
        <v>#VALUE!</v>
      </c>
      <c r="IB400" t="e">
        <f>Asia!A335+"n/&gt;!3{d"</f>
        <v>#VALUE!</v>
      </c>
      <c r="IC400" t="e">
        <f>Asia!B335+"n/&gt;!3{e"</f>
        <v>#VALUE!</v>
      </c>
      <c r="ID400" t="e">
        <f>Asia!C335+"n/&gt;!3{f"</f>
        <v>#VALUE!</v>
      </c>
      <c r="IE400" t="e">
        <f>Asia!D335+"n/&gt;!3{g"</f>
        <v>#VALUE!</v>
      </c>
      <c r="IF400" t="e">
        <f>Asia!E335+"n/&gt;!3{h"</f>
        <v>#VALUE!</v>
      </c>
      <c r="IG400" t="e">
        <f>Asia!F335+"n/&gt;!3{i"</f>
        <v>#VALUE!</v>
      </c>
      <c r="IH400" t="e">
        <f>Asia!G335+"n/&gt;!3{j"</f>
        <v>#VALUE!</v>
      </c>
      <c r="II400" t="e">
        <f>Asia!H335+"n/&gt;!3{k"</f>
        <v>#VALUE!</v>
      </c>
      <c r="IJ400" t="e">
        <f>Asia!I335+"n/&gt;!3{l"</f>
        <v>#VALUE!</v>
      </c>
      <c r="IK400" t="e">
        <f>Asia!A336+"n/&gt;!3{m"</f>
        <v>#VALUE!</v>
      </c>
      <c r="IL400" t="e">
        <f>Asia!B336+"n/&gt;!3{n"</f>
        <v>#VALUE!</v>
      </c>
      <c r="IM400" t="e">
        <f>Asia!C336+"n/&gt;!3{o"</f>
        <v>#VALUE!</v>
      </c>
      <c r="IN400" t="e">
        <f>Asia!D336+"n/&gt;!3{p"</f>
        <v>#VALUE!</v>
      </c>
      <c r="IO400" t="e">
        <f>Asia!E336+"n/&gt;!3{q"</f>
        <v>#VALUE!</v>
      </c>
      <c r="IP400" t="e">
        <f>Asia!F336+"n/&gt;!3{r"</f>
        <v>#VALUE!</v>
      </c>
      <c r="IQ400" t="e">
        <f>Asia!G336+"n/&gt;!3{s"</f>
        <v>#VALUE!</v>
      </c>
      <c r="IR400" t="e">
        <f>Asia!H336+"n/&gt;!3{t"</f>
        <v>#VALUE!</v>
      </c>
      <c r="IS400" t="e">
        <f>Asia!I336+"n/&gt;!3{u"</f>
        <v>#VALUE!</v>
      </c>
      <c r="IT400" t="e">
        <f>Asia!A337+"n/&gt;!3{v"</f>
        <v>#VALUE!</v>
      </c>
      <c r="IU400" t="e">
        <f>Asia!B337+"n/&gt;!3{w"</f>
        <v>#VALUE!</v>
      </c>
      <c r="IV400" t="e">
        <f>Asia!C337+"n/&gt;!3{x"</f>
        <v>#VALUE!</v>
      </c>
    </row>
    <row r="401" spans="6:256" x14ac:dyDescent="0.35">
      <c r="F401" t="e">
        <f>Asia!D337+"n/&gt;!3{y"</f>
        <v>#VALUE!</v>
      </c>
      <c r="G401" t="e">
        <f>Asia!E337+"n/&gt;!3{z"</f>
        <v>#VALUE!</v>
      </c>
      <c r="H401" t="e">
        <f>Asia!F337+"n/&gt;!3{{"</f>
        <v>#VALUE!</v>
      </c>
      <c r="I401" t="e">
        <f>Asia!G337+"n/&gt;!3{|"</f>
        <v>#VALUE!</v>
      </c>
      <c r="J401" t="e">
        <f>Asia!H337+"n/&gt;!3{}"</f>
        <v>#VALUE!</v>
      </c>
      <c r="K401" t="e">
        <f>Asia!I337+"n/&gt;!3{~"</f>
        <v>#VALUE!</v>
      </c>
      <c r="L401" t="e">
        <f>Asia!A338+"n/&gt;!3|#"</f>
        <v>#VALUE!</v>
      </c>
      <c r="M401" t="e">
        <f>Asia!B338+"n/&gt;!3|$"</f>
        <v>#VALUE!</v>
      </c>
      <c r="N401" t="e">
        <f>Asia!C338+"n/&gt;!3|%"</f>
        <v>#VALUE!</v>
      </c>
      <c r="O401" t="e">
        <f>Asia!D338+"n/&gt;!3|&amp;"</f>
        <v>#VALUE!</v>
      </c>
      <c r="P401" t="e">
        <f>Asia!E338+"n/&gt;!3|'"</f>
        <v>#VALUE!</v>
      </c>
      <c r="Q401" t="e">
        <f>Asia!F338+"n/&gt;!3|("</f>
        <v>#VALUE!</v>
      </c>
      <c r="R401" t="e">
        <f>Asia!G338+"n/&gt;!3|)"</f>
        <v>#VALUE!</v>
      </c>
      <c r="S401" t="e">
        <f>Asia!H338+"n/&gt;!3|."</f>
        <v>#VALUE!</v>
      </c>
      <c r="T401" t="e">
        <f>Asia!I338+"n/&gt;!3|/"</f>
        <v>#VALUE!</v>
      </c>
      <c r="U401" t="e">
        <f>Asia!A339+"n/&gt;!3|0"</f>
        <v>#VALUE!</v>
      </c>
      <c r="V401" t="e">
        <f>Asia!B339+"n/&gt;!3|1"</f>
        <v>#VALUE!</v>
      </c>
      <c r="W401" t="e">
        <f>Asia!C339+"n/&gt;!3|2"</f>
        <v>#VALUE!</v>
      </c>
      <c r="X401" t="e">
        <f>Asia!D339+"n/&gt;!3|3"</f>
        <v>#VALUE!</v>
      </c>
      <c r="Y401" t="e">
        <f>Asia!E339+"n/&gt;!3|4"</f>
        <v>#VALUE!</v>
      </c>
      <c r="Z401" t="e">
        <f>Asia!F339+"n/&gt;!3|5"</f>
        <v>#VALUE!</v>
      </c>
      <c r="AA401" t="e">
        <f>Asia!G339+"n/&gt;!3|6"</f>
        <v>#VALUE!</v>
      </c>
      <c r="AB401" t="e">
        <f>Asia!H339+"n/&gt;!3|7"</f>
        <v>#VALUE!</v>
      </c>
      <c r="AC401" t="e">
        <f>Asia!I339+"n/&gt;!3|8"</f>
        <v>#VALUE!</v>
      </c>
      <c r="AD401" t="e">
        <f>Asia!A340+"n/&gt;!3|9"</f>
        <v>#VALUE!</v>
      </c>
      <c r="AE401" t="e">
        <f>Asia!B340+"n/&gt;!3|:"</f>
        <v>#VALUE!</v>
      </c>
      <c r="AF401" t="e">
        <f>Asia!C340+"n/&gt;!3|;"</f>
        <v>#VALUE!</v>
      </c>
      <c r="AG401" t="e">
        <f>Asia!D340+"n/&gt;!3|&lt;"</f>
        <v>#VALUE!</v>
      </c>
      <c r="AH401" t="e">
        <f>Asia!E340+"n/&gt;!3|="</f>
        <v>#VALUE!</v>
      </c>
      <c r="AI401" t="e">
        <f>Asia!F340+"n/&gt;!3|&gt;"</f>
        <v>#VALUE!</v>
      </c>
      <c r="AJ401" t="e">
        <f>Asia!G340+"n/&gt;!3|?"</f>
        <v>#VALUE!</v>
      </c>
      <c r="AK401" t="e">
        <f>Asia!H340+"n/&gt;!3|@"</f>
        <v>#VALUE!</v>
      </c>
      <c r="AL401" t="e">
        <f>Asia!I340+"n/&gt;!3|A"</f>
        <v>#VALUE!</v>
      </c>
      <c r="AM401" t="e">
        <f>Asia!A341+"n/&gt;!3|B"</f>
        <v>#VALUE!</v>
      </c>
      <c r="AN401" t="e">
        <f>Asia!B341+"n/&gt;!3|C"</f>
        <v>#VALUE!</v>
      </c>
      <c r="AO401" t="e">
        <f>Asia!C341+"n/&gt;!3|D"</f>
        <v>#VALUE!</v>
      </c>
      <c r="AP401" t="e">
        <f>Asia!D341+"n/&gt;!3|E"</f>
        <v>#VALUE!</v>
      </c>
      <c r="AQ401" t="e">
        <f>Asia!E341+"n/&gt;!3|F"</f>
        <v>#VALUE!</v>
      </c>
      <c r="AR401" t="e">
        <f>Asia!F341+"n/&gt;!3|G"</f>
        <v>#VALUE!</v>
      </c>
      <c r="AS401" t="e">
        <f>Asia!G341+"n/&gt;!3|H"</f>
        <v>#VALUE!</v>
      </c>
      <c r="AT401" t="e">
        <f>Asia!H341+"n/&gt;!3|I"</f>
        <v>#VALUE!</v>
      </c>
      <c r="AU401" t="e">
        <f>Asia!I341+"n/&gt;!3|J"</f>
        <v>#VALUE!</v>
      </c>
      <c r="AV401" t="e">
        <f>Asia!A342+"n/&gt;!3|K"</f>
        <v>#VALUE!</v>
      </c>
      <c r="AW401" t="e">
        <f>Asia!B342+"n/&gt;!3|L"</f>
        <v>#VALUE!</v>
      </c>
      <c r="AX401" t="e">
        <f>Asia!C342+"n/&gt;!3|M"</f>
        <v>#VALUE!</v>
      </c>
      <c r="AY401" t="e">
        <f>Asia!D342+"n/&gt;!3|N"</f>
        <v>#VALUE!</v>
      </c>
      <c r="AZ401" t="e">
        <f>Asia!E342+"n/&gt;!3|O"</f>
        <v>#VALUE!</v>
      </c>
      <c r="BA401" t="e">
        <f>Asia!F342+"n/&gt;!3|P"</f>
        <v>#VALUE!</v>
      </c>
      <c r="BB401" t="e">
        <f>Asia!G342+"n/&gt;!3|Q"</f>
        <v>#VALUE!</v>
      </c>
      <c r="BC401" t="e">
        <f>Asia!H342+"n/&gt;!3|R"</f>
        <v>#VALUE!</v>
      </c>
      <c r="BD401" t="e">
        <f>Asia!I342+"n/&gt;!3|S"</f>
        <v>#VALUE!</v>
      </c>
      <c r="BE401" t="e">
        <f>Asia!A343+"n/&gt;!3|T"</f>
        <v>#VALUE!</v>
      </c>
      <c r="BF401" t="e">
        <f>Asia!B343+"n/&gt;!3|U"</f>
        <v>#VALUE!</v>
      </c>
      <c r="BG401" t="e">
        <f>Asia!C343+"n/&gt;!3|V"</f>
        <v>#VALUE!</v>
      </c>
      <c r="BH401" t="e">
        <f>Asia!D343+"n/&gt;!3|W"</f>
        <v>#VALUE!</v>
      </c>
      <c r="BI401" t="e">
        <f>Asia!E343+"n/&gt;!3|X"</f>
        <v>#VALUE!</v>
      </c>
      <c r="BJ401" t="e">
        <f>Asia!F343+"n/&gt;!3|Y"</f>
        <v>#VALUE!</v>
      </c>
      <c r="BK401" t="e">
        <f>Asia!G343+"n/&gt;!3|Z"</f>
        <v>#VALUE!</v>
      </c>
      <c r="BL401" t="e">
        <f>Asia!H343+"n/&gt;!3|["</f>
        <v>#VALUE!</v>
      </c>
      <c r="BM401" t="e">
        <f>Asia!I343+"n/&gt;!3|\"</f>
        <v>#VALUE!</v>
      </c>
      <c r="BN401" t="e">
        <f>Asia!A344+"n/&gt;!3|]"</f>
        <v>#VALUE!</v>
      </c>
      <c r="BO401" t="e">
        <f>Asia!B344+"n/&gt;!3|^"</f>
        <v>#VALUE!</v>
      </c>
      <c r="BP401" t="e">
        <f>Asia!C344+"n/&gt;!3|_"</f>
        <v>#VALUE!</v>
      </c>
      <c r="BQ401" t="e">
        <f>Asia!D344+"n/&gt;!3|`"</f>
        <v>#VALUE!</v>
      </c>
      <c r="BR401" t="e">
        <f>Asia!E344+"n/&gt;!3|a"</f>
        <v>#VALUE!</v>
      </c>
      <c r="BS401" t="e">
        <f>Asia!F344+"n/&gt;!3|b"</f>
        <v>#VALUE!</v>
      </c>
      <c r="BT401" t="e">
        <f>Asia!G344+"n/&gt;!3|c"</f>
        <v>#VALUE!</v>
      </c>
      <c r="BU401" t="e">
        <f>Asia!H344+"n/&gt;!3|d"</f>
        <v>#VALUE!</v>
      </c>
      <c r="BV401" t="e">
        <f>Asia!I344+"n/&gt;!3|e"</f>
        <v>#VALUE!</v>
      </c>
      <c r="BW401" t="e">
        <f>Asia!A345+"n/&gt;!3|f"</f>
        <v>#VALUE!</v>
      </c>
      <c r="BX401" t="e">
        <f>Asia!B345+"n/&gt;!3|g"</f>
        <v>#VALUE!</v>
      </c>
      <c r="BY401" t="e">
        <f>Asia!C345+"n/&gt;!3|h"</f>
        <v>#VALUE!</v>
      </c>
      <c r="BZ401" t="e">
        <f>Asia!D345+"n/&gt;!3|i"</f>
        <v>#VALUE!</v>
      </c>
      <c r="CA401" t="e">
        <f>Asia!E345+"n/&gt;!3|j"</f>
        <v>#VALUE!</v>
      </c>
      <c r="CB401" t="e">
        <f>Asia!F345+"n/&gt;!3|k"</f>
        <v>#VALUE!</v>
      </c>
      <c r="CC401" t="e">
        <f>Asia!G345+"n/&gt;!3|l"</f>
        <v>#VALUE!</v>
      </c>
      <c r="CD401" t="e">
        <f>Asia!H345+"n/&gt;!3|m"</f>
        <v>#VALUE!</v>
      </c>
      <c r="CE401" t="e">
        <f>Asia!I345+"n/&gt;!3|n"</f>
        <v>#VALUE!</v>
      </c>
      <c r="CF401" t="e">
        <f>Asia!A346+"n/&gt;!3|o"</f>
        <v>#VALUE!</v>
      </c>
      <c r="CG401" t="e">
        <f>Asia!B346+"n/&gt;!3|p"</f>
        <v>#VALUE!</v>
      </c>
      <c r="CH401" t="e">
        <f>Asia!C346+"n/&gt;!3|q"</f>
        <v>#VALUE!</v>
      </c>
      <c r="CI401" t="e">
        <f>Asia!D346+"n/&gt;!3|r"</f>
        <v>#VALUE!</v>
      </c>
      <c r="CJ401" t="e">
        <f>Asia!E346+"n/&gt;!3|s"</f>
        <v>#VALUE!</v>
      </c>
      <c r="CK401" t="e">
        <f>Asia!F346+"n/&gt;!3|t"</f>
        <v>#VALUE!</v>
      </c>
      <c r="CL401" t="e">
        <f>Asia!G346+"n/&gt;!3|u"</f>
        <v>#VALUE!</v>
      </c>
      <c r="CM401" t="e">
        <f>Asia!H346+"n/&gt;!3|v"</f>
        <v>#VALUE!</v>
      </c>
      <c r="CN401" t="e">
        <f>Asia!I346+"n/&gt;!3|w"</f>
        <v>#VALUE!</v>
      </c>
      <c r="CO401" t="e">
        <f>Asia!A347+"n/&gt;!3|x"</f>
        <v>#VALUE!</v>
      </c>
      <c r="CP401" t="e">
        <f>Asia!B347+"n/&gt;!3|y"</f>
        <v>#VALUE!</v>
      </c>
      <c r="CQ401" t="e">
        <f>Asia!C347+"n/&gt;!3|z"</f>
        <v>#VALUE!</v>
      </c>
      <c r="CR401" t="e">
        <f>Asia!D347+"n/&gt;!3|{"</f>
        <v>#VALUE!</v>
      </c>
      <c r="CS401" t="e">
        <f>Asia!E347+"n/&gt;!3||"</f>
        <v>#VALUE!</v>
      </c>
      <c r="CT401" t="e">
        <f>Asia!F347+"n/&gt;!3|}"</f>
        <v>#VALUE!</v>
      </c>
      <c r="CU401" t="e">
        <f>Asia!G347+"n/&gt;!3|~"</f>
        <v>#VALUE!</v>
      </c>
      <c r="CV401" t="e">
        <f>Asia!H347+"n/&gt;!3}#"</f>
        <v>#VALUE!</v>
      </c>
      <c r="CW401" t="e">
        <f>Asia!I347+"n/&gt;!3}$"</f>
        <v>#VALUE!</v>
      </c>
      <c r="CX401" t="e">
        <f>Asia!A348+"n/&gt;!3}%"</f>
        <v>#VALUE!</v>
      </c>
      <c r="CY401" t="e">
        <f>Asia!B348+"n/&gt;!3}&amp;"</f>
        <v>#VALUE!</v>
      </c>
      <c r="CZ401" t="e">
        <f>Asia!C348+"n/&gt;!3}'"</f>
        <v>#VALUE!</v>
      </c>
      <c r="DA401" t="e">
        <f>Asia!D348+"n/&gt;!3}("</f>
        <v>#VALUE!</v>
      </c>
      <c r="DB401" t="e">
        <f>Asia!E348+"n/&gt;!3})"</f>
        <v>#VALUE!</v>
      </c>
      <c r="DC401" t="e">
        <f>Asia!F348+"n/&gt;!3}."</f>
        <v>#VALUE!</v>
      </c>
      <c r="DD401" t="e">
        <f>Asia!G348+"n/&gt;!3}/"</f>
        <v>#VALUE!</v>
      </c>
      <c r="DE401" t="e">
        <f>Asia!H348+"n/&gt;!3}0"</f>
        <v>#VALUE!</v>
      </c>
      <c r="DF401" t="e">
        <f>Asia!I348+"n/&gt;!3}1"</f>
        <v>#VALUE!</v>
      </c>
      <c r="DG401" t="e">
        <f>Asia!A349+"n/&gt;!3}2"</f>
        <v>#VALUE!</v>
      </c>
      <c r="DH401" t="e">
        <f>Asia!B349+"n/&gt;!3}3"</f>
        <v>#VALUE!</v>
      </c>
      <c r="DI401" t="e">
        <f>Asia!C349+"n/&gt;!3}4"</f>
        <v>#VALUE!</v>
      </c>
      <c r="DJ401" t="e">
        <f>Asia!D349+"n/&gt;!3}5"</f>
        <v>#VALUE!</v>
      </c>
      <c r="DK401" t="e">
        <f>Asia!E349+"n/&gt;!3}6"</f>
        <v>#VALUE!</v>
      </c>
      <c r="DL401" t="e">
        <f>Asia!F349+"n/&gt;!3}7"</f>
        <v>#VALUE!</v>
      </c>
      <c r="DM401" t="e">
        <f>Asia!G349+"n/&gt;!3}8"</f>
        <v>#VALUE!</v>
      </c>
      <c r="DN401" t="e">
        <f>Asia!H349+"n/&gt;!3}9"</f>
        <v>#VALUE!</v>
      </c>
      <c r="DO401" t="e">
        <f>Asia!I349+"n/&gt;!3}:"</f>
        <v>#VALUE!</v>
      </c>
      <c r="DP401" t="e">
        <f>Asia!A350+"n/&gt;!3};"</f>
        <v>#VALUE!</v>
      </c>
      <c r="DQ401" t="e">
        <f>Asia!B350+"n/&gt;!3}&lt;"</f>
        <v>#VALUE!</v>
      </c>
      <c r="DR401" t="e">
        <f>Asia!C350+"n/&gt;!3}="</f>
        <v>#VALUE!</v>
      </c>
      <c r="DS401" t="e">
        <f>Asia!D350+"n/&gt;!3}&gt;"</f>
        <v>#VALUE!</v>
      </c>
      <c r="DT401" t="e">
        <f>Asia!E350+"n/&gt;!3}?"</f>
        <v>#VALUE!</v>
      </c>
      <c r="DU401" t="e">
        <f>Asia!F350+"n/&gt;!3}@"</f>
        <v>#VALUE!</v>
      </c>
      <c r="DV401" t="e">
        <f>Asia!G350+"n/&gt;!3}A"</f>
        <v>#VALUE!</v>
      </c>
      <c r="DW401" t="e">
        <f>Asia!H350+"n/&gt;!3}B"</f>
        <v>#VALUE!</v>
      </c>
      <c r="DX401" t="e">
        <f>Asia!I350+"n/&gt;!3}C"</f>
        <v>#VALUE!</v>
      </c>
      <c r="DY401" t="e">
        <f>Asia!A351+"n/&gt;!3}D"</f>
        <v>#VALUE!</v>
      </c>
      <c r="DZ401" t="e">
        <f>Asia!B351+"n/&gt;!3}E"</f>
        <v>#VALUE!</v>
      </c>
      <c r="EA401" t="e">
        <f>Asia!C351+"n/&gt;!3}F"</f>
        <v>#VALUE!</v>
      </c>
      <c r="EB401" t="e">
        <f>Asia!D351+"n/&gt;!3}G"</f>
        <v>#VALUE!</v>
      </c>
      <c r="EC401" t="e">
        <f>Asia!E351+"n/&gt;!3}H"</f>
        <v>#VALUE!</v>
      </c>
      <c r="ED401" t="e">
        <f>Asia!F351+"n/&gt;!3}I"</f>
        <v>#VALUE!</v>
      </c>
      <c r="EE401" t="e">
        <f>Asia!G351+"n/&gt;!3}J"</f>
        <v>#VALUE!</v>
      </c>
      <c r="EF401" t="e">
        <f>Asia!H351+"n/&gt;!3}K"</f>
        <v>#VALUE!</v>
      </c>
      <c r="EG401" t="e">
        <f>Asia!I351+"n/&gt;!3}L"</f>
        <v>#VALUE!</v>
      </c>
      <c r="EH401" t="e">
        <f>Asia!A352+"n/&gt;!3}M"</f>
        <v>#VALUE!</v>
      </c>
      <c r="EI401" t="e">
        <f>Asia!B352+"n/&gt;!3}N"</f>
        <v>#VALUE!</v>
      </c>
      <c r="EJ401" t="e">
        <f>Asia!C352+"n/&gt;!3}O"</f>
        <v>#VALUE!</v>
      </c>
      <c r="EK401" t="e">
        <f>Asia!D352+"n/&gt;!3}P"</f>
        <v>#VALUE!</v>
      </c>
      <c r="EL401" t="e">
        <f>Asia!E352+"n/&gt;!3}Q"</f>
        <v>#VALUE!</v>
      </c>
      <c r="EM401" t="e">
        <f>Asia!F352+"n/&gt;!3}R"</f>
        <v>#VALUE!</v>
      </c>
      <c r="EN401" t="e">
        <f>Asia!G352+"n/&gt;!3}S"</f>
        <v>#VALUE!</v>
      </c>
      <c r="EO401" t="e">
        <f>Asia!H352+"n/&gt;!3}T"</f>
        <v>#VALUE!</v>
      </c>
      <c r="EP401" t="e">
        <f>Asia!I352+"n/&gt;!3}U"</f>
        <v>#VALUE!</v>
      </c>
      <c r="EQ401" t="e">
        <f>Asia!A353+"n/&gt;!3}V"</f>
        <v>#VALUE!</v>
      </c>
      <c r="ER401" t="e">
        <f>Asia!B353+"n/&gt;!3}W"</f>
        <v>#VALUE!</v>
      </c>
      <c r="ES401" t="e">
        <f>Asia!C353+"n/&gt;!3}X"</f>
        <v>#VALUE!</v>
      </c>
      <c r="ET401" t="e">
        <f>Asia!D353+"n/&gt;!3}Y"</f>
        <v>#VALUE!</v>
      </c>
      <c r="EU401" t="e">
        <f>Asia!E353+"n/&gt;!3}Z"</f>
        <v>#VALUE!</v>
      </c>
      <c r="EV401" t="e">
        <f>Asia!F353+"n/&gt;!3}["</f>
        <v>#VALUE!</v>
      </c>
      <c r="EW401" t="e">
        <f>Asia!G353+"n/&gt;!3}\"</f>
        <v>#VALUE!</v>
      </c>
      <c r="EX401" t="e">
        <f>Asia!H353+"n/&gt;!3}]"</f>
        <v>#VALUE!</v>
      </c>
      <c r="EY401" t="e">
        <f>Asia!I353+"n/&gt;!3}^"</f>
        <v>#VALUE!</v>
      </c>
      <c r="EZ401" t="e">
        <f>Asia!A354+"n/&gt;!3}_"</f>
        <v>#VALUE!</v>
      </c>
      <c r="FA401" t="e">
        <f>Asia!B354+"n/&gt;!3}`"</f>
        <v>#VALUE!</v>
      </c>
      <c r="FB401" t="e">
        <f>Asia!C354+"n/&gt;!3}a"</f>
        <v>#VALUE!</v>
      </c>
      <c r="FC401" t="e">
        <f>Asia!D354+"n/&gt;!3}b"</f>
        <v>#VALUE!</v>
      </c>
      <c r="FD401" t="e">
        <f>Asia!E354+"n/&gt;!3}c"</f>
        <v>#VALUE!</v>
      </c>
      <c r="FE401" t="e">
        <f>Asia!F354+"n/&gt;!3}d"</f>
        <v>#VALUE!</v>
      </c>
      <c r="FF401" t="e">
        <f>Asia!G354+"n/&gt;!3}e"</f>
        <v>#VALUE!</v>
      </c>
      <c r="FG401" t="e">
        <f>Asia!H354+"n/&gt;!3}f"</f>
        <v>#VALUE!</v>
      </c>
      <c r="FH401" t="e">
        <f>Asia!I354+"n/&gt;!3}g"</f>
        <v>#VALUE!</v>
      </c>
      <c r="FI401" t="e">
        <f>Asia!A355+"n/&gt;!3}h"</f>
        <v>#VALUE!</v>
      </c>
      <c r="FJ401" t="e">
        <f>Asia!B355+"n/&gt;!3}i"</f>
        <v>#VALUE!</v>
      </c>
      <c r="FK401" t="e">
        <f>Asia!C355+"n/&gt;!3}j"</f>
        <v>#VALUE!</v>
      </c>
      <c r="FL401" t="e">
        <f>Asia!D355+"n/&gt;!3}k"</f>
        <v>#VALUE!</v>
      </c>
      <c r="FM401" t="e">
        <f>Asia!E355+"n/&gt;!3}l"</f>
        <v>#VALUE!</v>
      </c>
      <c r="FN401" t="e">
        <f>Asia!F355+"n/&gt;!3}m"</f>
        <v>#VALUE!</v>
      </c>
      <c r="FO401" t="e">
        <f>Asia!G355+"n/&gt;!3}n"</f>
        <v>#VALUE!</v>
      </c>
      <c r="FP401" t="e">
        <f>Asia!H355+"n/&gt;!3}o"</f>
        <v>#VALUE!</v>
      </c>
      <c r="FQ401" t="e">
        <f>Asia!I355+"n/&gt;!3}p"</f>
        <v>#VALUE!</v>
      </c>
      <c r="FR401" t="e">
        <f>Asia!A356+"n/&gt;!3}q"</f>
        <v>#VALUE!</v>
      </c>
      <c r="FS401" t="e">
        <f>Asia!B356+"n/&gt;!3}r"</f>
        <v>#VALUE!</v>
      </c>
      <c r="FT401" t="e">
        <f>Asia!C356+"n/&gt;!3}s"</f>
        <v>#VALUE!</v>
      </c>
      <c r="FU401" t="e">
        <f>Asia!D356+"n/&gt;!3}t"</f>
        <v>#VALUE!</v>
      </c>
      <c r="FV401" t="e">
        <f>Asia!E356+"n/&gt;!3}u"</f>
        <v>#VALUE!</v>
      </c>
      <c r="FW401" t="e">
        <f>Asia!F356+"n/&gt;!3}v"</f>
        <v>#VALUE!</v>
      </c>
      <c r="FX401" t="e">
        <f>Asia!G356+"n/&gt;!3}w"</f>
        <v>#VALUE!</v>
      </c>
      <c r="FY401" t="e">
        <f>Asia!H356+"n/&gt;!3}x"</f>
        <v>#VALUE!</v>
      </c>
      <c r="FZ401" t="e">
        <f>Asia!I356+"n/&gt;!3}y"</f>
        <v>#VALUE!</v>
      </c>
      <c r="GA401" t="e">
        <f>Asia!A357+"n/&gt;!3}z"</f>
        <v>#VALUE!</v>
      </c>
      <c r="GB401" t="e">
        <f>Asia!B357+"n/&gt;!3}{"</f>
        <v>#VALUE!</v>
      </c>
      <c r="GC401" t="e">
        <f>Asia!C357+"n/&gt;!3}|"</f>
        <v>#VALUE!</v>
      </c>
      <c r="GD401" t="e">
        <f>Asia!D357+"n/&gt;!3}}"</f>
        <v>#VALUE!</v>
      </c>
      <c r="GE401" t="e">
        <f>Asia!E357+"n/&gt;!3}~"</f>
        <v>#VALUE!</v>
      </c>
      <c r="GF401" t="e">
        <f>Asia!F357+"n/&gt;!3~#"</f>
        <v>#VALUE!</v>
      </c>
      <c r="GG401" t="e">
        <f>Asia!G357+"n/&gt;!3~$"</f>
        <v>#VALUE!</v>
      </c>
      <c r="GH401" t="e">
        <f>Asia!H357+"n/&gt;!3~%"</f>
        <v>#VALUE!</v>
      </c>
      <c r="GI401" t="e">
        <f>Asia!I357+"n/&gt;!3~&amp;"</f>
        <v>#VALUE!</v>
      </c>
      <c r="GJ401" t="e">
        <f>Asia!A358+"n/&gt;!3~'"</f>
        <v>#VALUE!</v>
      </c>
      <c r="GK401" t="e">
        <f>Asia!B358+"n/&gt;!3~("</f>
        <v>#VALUE!</v>
      </c>
      <c r="GL401" t="e">
        <f>Asia!C358+"n/&gt;!3~)"</f>
        <v>#VALUE!</v>
      </c>
      <c r="GM401" t="e">
        <f>Asia!D358+"n/&gt;!3~."</f>
        <v>#VALUE!</v>
      </c>
      <c r="GN401" t="e">
        <f>Asia!E358+"n/&gt;!3~/"</f>
        <v>#VALUE!</v>
      </c>
      <c r="GO401" t="e">
        <f>Asia!F358+"n/&gt;!3~0"</f>
        <v>#VALUE!</v>
      </c>
      <c r="GP401" t="e">
        <f>Asia!G358+"n/&gt;!3~1"</f>
        <v>#VALUE!</v>
      </c>
      <c r="GQ401" t="e">
        <f>Asia!H358+"n/&gt;!3~2"</f>
        <v>#VALUE!</v>
      </c>
      <c r="GR401" t="e">
        <f>Asia!I358+"n/&gt;!3~3"</f>
        <v>#VALUE!</v>
      </c>
      <c r="GS401" t="e">
        <f>Asia!A359+"n/&gt;!3~4"</f>
        <v>#VALUE!</v>
      </c>
      <c r="GT401" t="e">
        <f>Asia!B359+"n/&gt;!3~5"</f>
        <v>#VALUE!</v>
      </c>
      <c r="GU401" t="e">
        <f>Asia!C359+"n/&gt;!3~6"</f>
        <v>#VALUE!</v>
      </c>
      <c r="GV401" t="e">
        <f>Asia!D359+"n/&gt;!3~7"</f>
        <v>#VALUE!</v>
      </c>
      <c r="GW401" t="e">
        <f>Asia!E359+"n/&gt;!3~8"</f>
        <v>#VALUE!</v>
      </c>
      <c r="GX401" t="e">
        <f>Asia!F359+"n/&gt;!3~9"</f>
        <v>#VALUE!</v>
      </c>
      <c r="GY401" t="e">
        <f>Asia!G359+"n/&gt;!3~:"</f>
        <v>#VALUE!</v>
      </c>
      <c r="GZ401" t="e">
        <f>Asia!H359+"n/&gt;!3~;"</f>
        <v>#VALUE!</v>
      </c>
      <c r="HA401" t="e">
        <f>Asia!I359+"n/&gt;!3~&lt;"</f>
        <v>#VALUE!</v>
      </c>
      <c r="HB401" t="e">
        <f>Asia!A360+"n/&gt;!3~="</f>
        <v>#VALUE!</v>
      </c>
      <c r="HC401" t="e">
        <f>Asia!B360+"n/&gt;!3~&gt;"</f>
        <v>#VALUE!</v>
      </c>
      <c r="HD401" t="e">
        <f>Asia!C360+"n/&gt;!3~?"</f>
        <v>#VALUE!</v>
      </c>
      <c r="HE401" t="e">
        <f>Asia!D360+"n/&gt;!3~@"</f>
        <v>#VALUE!</v>
      </c>
      <c r="HF401" t="e">
        <f>Asia!E360+"n/&gt;!3~A"</f>
        <v>#VALUE!</v>
      </c>
      <c r="HG401" t="e">
        <f>Asia!F360+"n/&gt;!3~B"</f>
        <v>#VALUE!</v>
      </c>
      <c r="HH401" t="e">
        <f>Asia!G360+"n/&gt;!3~C"</f>
        <v>#VALUE!</v>
      </c>
      <c r="HI401" t="e">
        <f>Asia!H360+"n/&gt;!3~D"</f>
        <v>#VALUE!</v>
      </c>
      <c r="HJ401" t="e">
        <f>Asia!I360+"n/&gt;!3~E"</f>
        <v>#VALUE!</v>
      </c>
      <c r="HK401" t="e">
        <f>Asia!A361+"n/&gt;!3~F"</f>
        <v>#VALUE!</v>
      </c>
      <c r="HL401" t="e">
        <f>Asia!B361+"n/&gt;!3~G"</f>
        <v>#VALUE!</v>
      </c>
      <c r="HM401" t="e">
        <f>Asia!C361+"n/&gt;!3~H"</f>
        <v>#VALUE!</v>
      </c>
      <c r="HN401" t="e">
        <f>Asia!D361+"n/&gt;!3~I"</f>
        <v>#VALUE!</v>
      </c>
      <c r="HO401" t="e">
        <f>Asia!E361+"n/&gt;!3~J"</f>
        <v>#VALUE!</v>
      </c>
      <c r="HP401" t="e">
        <f>Asia!F361+"n/&gt;!3~K"</f>
        <v>#VALUE!</v>
      </c>
      <c r="HQ401" t="e">
        <f>Asia!G361+"n/&gt;!3~L"</f>
        <v>#VALUE!</v>
      </c>
      <c r="HR401" t="e">
        <f>Asia!H361+"n/&gt;!3~M"</f>
        <v>#VALUE!</v>
      </c>
      <c r="HS401" t="e">
        <f>Asia!I361+"n/&gt;!3~N"</f>
        <v>#VALUE!</v>
      </c>
      <c r="HT401" t="e">
        <f>Asia!A362+"n/&gt;!3~O"</f>
        <v>#VALUE!</v>
      </c>
      <c r="HU401" t="e">
        <f>Asia!B362+"n/&gt;!3~P"</f>
        <v>#VALUE!</v>
      </c>
      <c r="HV401" t="e">
        <f>Asia!C362+"n/&gt;!3~Q"</f>
        <v>#VALUE!</v>
      </c>
      <c r="HW401" t="e">
        <f>Asia!D362+"n/&gt;!3~R"</f>
        <v>#VALUE!</v>
      </c>
      <c r="HX401" t="e">
        <f>Asia!E362+"n/&gt;!3~S"</f>
        <v>#VALUE!</v>
      </c>
      <c r="HY401" t="e">
        <f>Asia!F362+"n/&gt;!3~T"</f>
        <v>#VALUE!</v>
      </c>
      <c r="HZ401" t="e">
        <f>Asia!G362+"n/&gt;!3~U"</f>
        <v>#VALUE!</v>
      </c>
      <c r="IA401" t="e">
        <f>Asia!H362+"n/&gt;!3~V"</f>
        <v>#VALUE!</v>
      </c>
      <c r="IB401" t="e">
        <f>Asia!I362+"n/&gt;!3~W"</f>
        <v>#VALUE!</v>
      </c>
      <c r="IC401" t="e">
        <f>Asia!A363+"n/&gt;!3~X"</f>
        <v>#VALUE!</v>
      </c>
      <c r="ID401" t="e">
        <f>Asia!B363+"n/&gt;!3~Y"</f>
        <v>#VALUE!</v>
      </c>
      <c r="IE401" t="e">
        <f>Asia!C363+"n/&gt;!3~Z"</f>
        <v>#VALUE!</v>
      </c>
      <c r="IF401" t="e">
        <f>Asia!D363+"n/&gt;!3~["</f>
        <v>#VALUE!</v>
      </c>
      <c r="IG401" t="e">
        <f>Asia!E363+"n/&gt;!3~\"</f>
        <v>#VALUE!</v>
      </c>
      <c r="IH401" t="e">
        <f>Asia!F363+"n/&gt;!3~]"</f>
        <v>#VALUE!</v>
      </c>
      <c r="II401" t="e">
        <f>Asia!G363+"n/&gt;!3~^"</f>
        <v>#VALUE!</v>
      </c>
      <c r="IJ401" t="e">
        <f>Asia!H363+"n/&gt;!3~_"</f>
        <v>#VALUE!</v>
      </c>
      <c r="IK401" t="e">
        <f>Asia!I363+"n/&gt;!3~`"</f>
        <v>#VALUE!</v>
      </c>
      <c r="IL401" t="e">
        <f>Asia!A364+"n/&gt;!3~a"</f>
        <v>#VALUE!</v>
      </c>
      <c r="IM401" t="e">
        <f>Asia!B364+"n/&gt;!3~b"</f>
        <v>#VALUE!</v>
      </c>
      <c r="IN401" t="e">
        <f>Asia!C364+"n/&gt;!3~c"</f>
        <v>#VALUE!</v>
      </c>
      <c r="IO401" t="e">
        <f>Asia!D364+"n/&gt;!3~d"</f>
        <v>#VALUE!</v>
      </c>
      <c r="IP401" t="e">
        <f>Asia!E364+"n/&gt;!3~e"</f>
        <v>#VALUE!</v>
      </c>
      <c r="IQ401" t="e">
        <f>Asia!F364+"n/&gt;!3~f"</f>
        <v>#VALUE!</v>
      </c>
      <c r="IR401" t="e">
        <f>Asia!G364+"n/&gt;!3~g"</f>
        <v>#VALUE!</v>
      </c>
      <c r="IS401" t="e">
        <f>Asia!H364+"n/&gt;!3~h"</f>
        <v>#VALUE!</v>
      </c>
      <c r="IT401" t="e">
        <f>Asia!I364+"n/&gt;!3~i"</f>
        <v>#VALUE!</v>
      </c>
      <c r="IU401" t="e">
        <f>Asia!A365+"n/&gt;!3~j"</f>
        <v>#VALUE!</v>
      </c>
      <c r="IV401" t="e">
        <f>Asia!B365+"n/&gt;!3~k"</f>
        <v>#VALUE!</v>
      </c>
    </row>
    <row r="402" spans="6:256" x14ac:dyDescent="0.35">
      <c r="F402" t="e">
        <f>Asia!C365+"n/&gt;!3~l"</f>
        <v>#VALUE!</v>
      </c>
      <c r="G402" t="e">
        <f>Asia!D365+"n/&gt;!3~m"</f>
        <v>#VALUE!</v>
      </c>
      <c r="H402" t="e">
        <f>Asia!E365+"n/&gt;!3~n"</f>
        <v>#VALUE!</v>
      </c>
      <c r="I402" t="e">
        <f>Asia!F365+"n/&gt;!3~o"</f>
        <v>#VALUE!</v>
      </c>
      <c r="J402" t="e">
        <f>Asia!G365+"n/&gt;!3~p"</f>
        <v>#VALUE!</v>
      </c>
      <c r="K402" t="e">
        <f>Asia!H365+"n/&gt;!3~q"</f>
        <v>#VALUE!</v>
      </c>
      <c r="L402" t="e">
        <f>Asia!I365+"n/&gt;!3~r"</f>
        <v>#VALUE!</v>
      </c>
      <c r="M402" t="e">
        <f>Asia!A366+"n/&gt;!3~s"</f>
        <v>#VALUE!</v>
      </c>
      <c r="N402" t="e">
        <f>Asia!B366+"n/&gt;!3~t"</f>
        <v>#VALUE!</v>
      </c>
      <c r="O402" t="e">
        <f>Asia!C366+"n/&gt;!3~u"</f>
        <v>#VALUE!</v>
      </c>
      <c r="P402" t="e">
        <f>Asia!D366+"n/&gt;!3~v"</f>
        <v>#VALUE!</v>
      </c>
      <c r="Q402" t="e">
        <f>Asia!E366+"n/&gt;!3~w"</f>
        <v>#VALUE!</v>
      </c>
      <c r="R402" t="e">
        <f>Asia!F366+"n/&gt;!3~x"</f>
        <v>#VALUE!</v>
      </c>
      <c r="S402" t="e">
        <f>Asia!G366+"n/&gt;!3~y"</f>
        <v>#VALUE!</v>
      </c>
      <c r="T402" t="e">
        <f>Asia!H366+"n/&gt;!3~z"</f>
        <v>#VALUE!</v>
      </c>
      <c r="U402" t="e">
        <f>Asia!I366+"n/&gt;!3~{"</f>
        <v>#VALUE!</v>
      </c>
      <c r="V402" t="e">
        <f>Asia!A367+"n/&gt;!3~|"</f>
        <v>#VALUE!</v>
      </c>
      <c r="W402" t="e">
        <f>Asia!B367+"n/&gt;!3~}"</f>
        <v>#VALUE!</v>
      </c>
      <c r="X402" t="e">
        <f>Asia!C367+"n/&gt;!3~~"</f>
        <v>#VALUE!</v>
      </c>
      <c r="Y402" t="e">
        <f>Asia!D367+"n/&gt;!4##"</f>
        <v>#VALUE!</v>
      </c>
      <c r="Z402" t="e">
        <f>Asia!E367+"n/&gt;!4#$"</f>
        <v>#VALUE!</v>
      </c>
      <c r="AA402" t="e">
        <f>Asia!F367+"n/&gt;!4#%"</f>
        <v>#VALUE!</v>
      </c>
      <c r="AB402" t="e">
        <f>Asia!G367+"n/&gt;!4#&amp;"</f>
        <v>#VALUE!</v>
      </c>
      <c r="AC402" t="e">
        <f>Asia!H367+"n/&gt;!4#'"</f>
        <v>#VALUE!</v>
      </c>
      <c r="AD402" t="e">
        <f>Asia!I367+"n/&gt;!4#("</f>
        <v>#VALUE!</v>
      </c>
      <c r="AE402" t="e">
        <f>Asia!A368+"n/&gt;!4#)"</f>
        <v>#VALUE!</v>
      </c>
      <c r="AF402" t="e">
        <f>Asia!B368+"n/&gt;!4#."</f>
        <v>#VALUE!</v>
      </c>
      <c r="AG402" t="e">
        <f>Asia!C368+"n/&gt;!4#/"</f>
        <v>#VALUE!</v>
      </c>
      <c r="AH402" t="e">
        <f>Asia!D368+"n/&gt;!4#0"</f>
        <v>#VALUE!</v>
      </c>
      <c r="AI402" t="e">
        <f>Asia!E368+"n/&gt;!4#1"</f>
        <v>#VALUE!</v>
      </c>
      <c r="AJ402" t="e">
        <f>Asia!F368+"n/&gt;!4#2"</f>
        <v>#VALUE!</v>
      </c>
      <c r="AK402" t="e">
        <f>Asia!G368+"n/&gt;!4#3"</f>
        <v>#VALUE!</v>
      </c>
      <c r="AL402" t="e">
        <f>Asia!H368+"n/&gt;!4#4"</f>
        <v>#VALUE!</v>
      </c>
      <c r="AM402" t="e">
        <f>Asia!I368+"n/&gt;!4#5"</f>
        <v>#VALUE!</v>
      </c>
      <c r="AN402" t="e">
        <f>Asia!A369+"n/&gt;!4#6"</f>
        <v>#VALUE!</v>
      </c>
      <c r="AO402" t="e">
        <f>Asia!B369+"n/&gt;!4#7"</f>
        <v>#VALUE!</v>
      </c>
      <c r="AP402" t="e">
        <f>Asia!C369+"n/&gt;!4#8"</f>
        <v>#VALUE!</v>
      </c>
      <c r="AQ402" t="e">
        <f>Asia!D369+"n/&gt;!4#9"</f>
        <v>#VALUE!</v>
      </c>
      <c r="AR402" t="e">
        <f>Asia!E369+"n/&gt;!4#:"</f>
        <v>#VALUE!</v>
      </c>
      <c r="AS402" t="e">
        <f>Asia!F369+"n/&gt;!4#;"</f>
        <v>#VALUE!</v>
      </c>
      <c r="AT402" t="e">
        <f>Asia!G369+"n/&gt;!4#&lt;"</f>
        <v>#VALUE!</v>
      </c>
      <c r="AU402" t="e">
        <f>Asia!H369+"n/&gt;!4#="</f>
        <v>#VALUE!</v>
      </c>
      <c r="AV402" t="e">
        <f>Asia!I369+"n/&gt;!4#&gt;"</f>
        <v>#VALUE!</v>
      </c>
      <c r="AW402" t="e">
        <f>Asia!A370+"n/&gt;!4#?"</f>
        <v>#VALUE!</v>
      </c>
      <c r="AX402" t="e">
        <f>Asia!B370+"n/&gt;!4#@"</f>
        <v>#VALUE!</v>
      </c>
      <c r="AY402" t="e">
        <f>Asia!C370+"n/&gt;!4#A"</f>
        <v>#VALUE!</v>
      </c>
      <c r="AZ402" t="e">
        <f>Asia!D370+"n/&gt;!4#B"</f>
        <v>#VALUE!</v>
      </c>
      <c r="BA402" t="e">
        <f>Asia!E370+"n/&gt;!4#C"</f>
        <v>#VALUE!</v>
      </c>
      <c r="BB402" t="e">
        <f>Asia!F370+"n/&gt;!4#D"</f>
        <v>#VALUE!</v>
      </c>
      <c r="BC402" t="e">
        <f>Asia!G370+"n/&gt;!4#E"</f>
        <v>#VALUE!</v>
      </c>
      <c r="BD402" t="e">
        <f>Asia!H370+"n/&gt;!4#F"</f>
        <v>#VALUE!</v>
      </c>
      <c r="BE402" t="e">
        <f>Asia!I370+"n/&gt;!4#G"</f>
        <v>#VALUE!</v>
      </c>
      <c r="BF402" t="e">
        <f>Asia!A371+"n/&gt;!4#H"</f>
        <v>#VALUE!</v>
      </c>
      <c r="BG402" t="e">
        <f>Asia!B371+"n/&gt;!4#I"</f>
        <v>#VALUE!</v>
      </c>
      <c r="BH402" t="e">
        <f>Asia!C371+"n/&gt;!4#J"</f>
        <v>#VALUE!</v>
      </c>
      <c r="BI402" t="e">
        <f>Asia!D371+"n/&gt;!4#K"</f>
        <v>#VALUE!</v>
      </c>
      <c r="BJ402" t="e">
        <f>Asia!E371+"n/&gt;!4#L"</f>
        <v>#VALUE!</v>
      </c>
      <c r="BK402" t="e">
        <f>Asia!F371+"n/&gt;!4#M"</f>
        <v>#VALUE!</v>
      </c>
      <c r="BL402" t="e">
        <f>Asia!G371+"n/&gt;!4#N"</f>
        <v>#VALUE!</v>
      </c>
      <c r="BM402" t="e">
        <f>Asia!H371+"n/&gt;!4#O"</f>
        <v>#VALUE!</v>
      </c>
      <c r="BN402" t="e">
        <f>Asia!I371+"n/&gt;!4#P"</f>
        <v>#VALUE!</v>
      </c>
      <c r="BO402" t="e">
        <f>Asia!A372+"n/&gt;!4#Q"</f>
        <v>#VALUE!</v>
      </c>
      <c r="BP402" t="e">
        <f>Asia!B372+"n/&gt;!4#R"</f>
        <v>#VALUE!</v>
      </c>
      <c r="BQ402" t="e">
        <f>Asia!C372+"n/&gt;!4#S"</f>
        <v>#VALUE!</v>
      </c>
      <c r="BR402" t="e">
        <f>Asia!D372+"n/&gt;!4#T"</f>
        <v>#VALUE!</v>
      </c>
      <c r="BS402" t="e">
        <f>Asia!E372+"n/&gt;!4#U"</f>
        <v>#VALUE!</v>
      </c>
      <c r="BT402" t="e">
        <f>Asia!F372+"n/&gt;!4#V"</f>
        <v>#VALUE!</v>
      </c>
      <c r="BU402" t="e">
        <f>Asia!G372+"n/&gt;!4#W"</f>
        <v>#VALUE!</v>
      </c>
      <c r="BV402" t="e">
        <f>Asia!H372+"n/&gt;!4#X"</f>
        <v>#VALUE!</v>
      </c>
      <c r="BW402" t="e">
        <f>Asia!I372+"n/&gt;!4#Y"</f>
        <v>#VALUE!</v>
      </c>
      <c r="BX402" t="e">
        <f>Asia!A373+"n/&gt;!4#Z"</f>
        <v>#VALUE!</v>
      </c>
      <c r="BY402" t="e">
        <f>Asia!B373+"n/&gt;!4#["</f>
        <v>#VALUE!</v>
      </c>
      <c r="BZ402" t="e">
        <f>Asia!C373+"n/&gt;!4#\"</f>
        <v>#VALUE!</v>
      </c>
      <c r="CA402" t="e">
        <f>Asia!D373+"n/&gt;!4#]"</f>
        <v>#VALUE!</v>
      </c>
      <c r="CB402" t="e">
        <f>Asia!E373+"n/&gt;!4#^"</f>
        <v>#VALUE!</v>
      </c>
      <c r="CC402" t="e">
        <f>Asia!F373+"n/&gt;!4#_"</f>
        <v>#VALUE!</v>
      </c>
      <c r="CD402" t="e">
        <f>Asia!G373+"n/&gt;!4#`"</f>
        <v>#VALUE!</v>
      </c>
      <c r="CE402" t="e">
        <f>Asia!H373+"n/&gt;!4#a"</f>
        <v>#VALUE!</v>
      </c>
      <c r="CF402" t="e">
        <f>Asia!I373+"n/&gt;!4#b"</f>
        <v>#VALUE!</v>
      </c>
      <c r="CG402" t="e">
        <f>Asia!A374+"n/&gt;!4#c"</f>
        <v>#VALUE!</v>
      </c>
      <c r="CH402" t="e">
        <f>Asia!B374+"n/&gt;!4#d"</f>
        <v>#VALUE!</v>
      </c>
      <c r="CI402" t="e">
        <f>Asia!C374+"n/&gt;!4#e"</f>
        <v>#VALUE!</v>
      </c>
      <c r="CJ402" t="e">
        <f>Asia!D374+"n/&gt;!4#f"</f>
        <v>#VALUE!</v>
      </c>
      <c r="CK402" t="e">
        <f>Asia!E374+"n/&gt;!4#g"</f>
        <v>#VALUE!</v>
      </c>
      <c r="CL402" t="e">
        <f>Asia!F374+"n/&gt;!4#h"</f>
        <v>#VALUE!</v>
      </c>
      <c r="CM402" t="e">
        <f>Asia!G374+"n/&gt;!4#i"</f>
        <v>#VALUE!</v>
      </c>
      <c r="CN402" t="e">
        <f>Asia!H374+"n/&gt;!4#j"</f>
        <v>#VALUE!</v>
      </c>
      <c r="CO402" t="e">
        <f>Asia!I374+"n/&gt;!4#k"</f>
        <v>#VALUE!</v>
      </c>
      <c r="CP402" t="e">
        <f>Asia!A375+"n/&gt;!4#l"</f>
        <v>#VALUE!</v>
      </c>
      <c r="CQ402" t="e">
        <f>Asia!B375+"n/&gt;!4#m"</f>
        <v>#VALUE!</v>
      </c>
      <c r="CR402" t="e">
        <f>Asia!C375+"n/&gt;!4#n"</f>
        <v>#VALUE!</v>
      </c>
      <c r="CS402" t="e">
        <f>Asia!D375+"n/&gt;!4#o"</f>
        <v>#VALUE!</v>
      </c>
      <c r="CT402" t="e">
        <f>Asia!E375+"n/&gt;!4#p"</f>
        <v>#VALUE!</v>
      </c>
      <c r="CU402" t="e">
        <f>Asia!F375+"n/&gt;!4#q"</f>
        <v>#VALUE!</v>
      </c>
      <c r="CV402" t="e">
        <f>Asia!G375+"n/&gt;!4#r"</f>
        <v>#VALUE!</v>
      </c>
      <c r="CW402" t="e">
        <f>Asia!H375+"n/&gt;!4#s"</f>
        <v>#VALUE!</v>
      </c>
      <c r="CX402" t="e">
        <f>Asia!I375+"n/&gt;!4#t"</f>
        <v>#VALUE!</v>
      </c>
      <c r="CY402" t="e">
        <f>Asia!A376+"n/&gt;!4#u"</f>
        <v>#VALUE!</v>
      </c>
      <c r="CZ402" t="e">
        <f>Asia!B376+"n/&gt;!4#v"</f>
        <v>#VALUE!</v>
      </c>
      <c r="DA402" t="e">
        <f>Asia!C376+"n/&gt;!4#w"</f>
        <v>#VALUE!</v>
      </c>
      <c r="DB402" t="e">
        <f>Asia!D376+"n/&gt;!4#x"</f>
        <v>#VALUE!</v>
      </c>
      <c r="DC402" t="e">
        <f>Asia!E376+"n/&gt;!4#y"</f>
        <v>#VALUE!</v>
      </c>
      <c r="DD402" t="e">
        <f>Asia!F376+"n/&gt;!4#z"</f>
        <v>#VALUE!</v>
      </c>
      <c r="DE402" t="e">
        <f>Asia!G376+"n/&gt;!4#{"</f>
        <v>#VALUE!</v>
      </c>
      <c r="DF402" t="e">
        <f>Asia!H376+"n/&gt;!4#|"</f>
        <v>#VALUE!</v>
      </c>
      <c r="DG402" t="e">
        <f>Asia!I376+"n/&gt;!4#}"</f>
        <v>#VALUE!</v>
      </c>
      <c r="DH402" t="e">
        <f>Asia!A377+"n/&gt;!4#~"</f>
        <v>#VALUE!</v>
      </c>
      <c r="DI402" t="e">
        <f>Asia!B377+"n/&gt;!4$#"</f>
        <v>#VALUE!</v>
      </c>
      <c r="DJ402" t="e">
        <f>Asia!C377+"n/&gt;!4$$"</f>
        <v>#VALUE!</v>
      </c>
      <c r="DK402" t="e">
        <f>Asia!D377+"n/&gt;!4$%"</f>
        <v>#VALUE!</v>
      </c>
      <c r="DL402" t="e">
        <f>Asia!E377+"n/&gt;!4$&amp;"</f>
        <v>#VALUE!</v>
      </c>
      <c r="DM402" t="e">
        <f>Asia!F377+"n/&gt;!4$'"</f>
        <v>#VALUE!</v>
      </c>
      <c r="DN402" t="e">
        <f>Asia!G377+"n/&gt;!4$("</f>
        <v>#VALUE!</v>
      </c>
      <c r="DO402" t="e">
        <f>Asia!H377+"n/&gt;!4$)"</f>
        <v>#VALUE!</v>
      </c>
      <c r="DP402" t="e">
        <f>Asia!I377+"n/&gt;!4$."</f>
        <v>#VALUE!</v>
      </c>
      <c r="DQ402" t="e">
        <f>Asia!A378+"n/&gt;!4$/"</f>
        <v>#VALUE!</v>
      </c>
      <c r="DR402" t="e">
        <f>Asia!B378+"n/&gt;!4$0"</f>
        <v>#VALUE!</v>
      </c>
      <c r="DS402" t="e">
        <f>Asia!C378+"n/&gt;!4$1"</f>
        <v>#VALUE!</v>
      </c>
      <c r="DT402" t="e">
        <f>Asia!D378+"n/&gt;!4$2"</f>
        <v>#VALUE!</v>
      </c>
      <c r="DU402" t="e">
        <f>Asia!E378+"n/&gt;!4$3"</f>
        <v>#VALUE!</v>
      </c>
      <c r="DV402" t="e">
        <f>Asia!F378+"n/&gt;!4$4"</f>
        <v>#VALUE!</v>
      </c>
      <c r="DW402" t="e">
        <f>Asia!G378+"n/&gt;!4$5"</f>
        <v>#VALUE!</v>
      </c>
      <c r="DX402" t="e">
        <f>Asia!H378+"n/&gt;!4$6"</f>
        <v>#VALUE!</v>
      </c>
      <c r="DY402" t="e">
        <f>Asia!I378+"n/&gt;!4$7"</f>
        <v>#VALUE!</v>
      </c>
      <c r="DZ402" t="e">
        <f>Asia!A379+"n/&gt;!4$8"</f>
        <v>#VALUE!</v>
      </c>
      <c r="EA402" t="e">
        <f>Asia!B379+"n/&gt;!4$9"</f>
        <v>#VALUE!</v>
      </c>
      <c r="EB402" t="e">
        <f>Asia!C379+"n/&gt;!4$:"</f>
        <v>#VALUE!</v>
      </c>
      <c r="EC402" t="e">
        <f>Asia!D379+"n/&gt;!4$;"</f>
        <v>#VALUE!</v>
      </c>
      <c r="ED402" t="e">
        <f>Asia!E379+"n/&gt;!4$&lt;"</f>
        <v>#VALUE!</v>
      </c>
      <c r="EE402" t="e">
        <f>Asia!F379+"n/&gt;!4$="</f>
        <v>#VALUE!</v>
      </c>
      <c r="EF402" t="e">
        <f>Asia!G379+"n/&gt;!4$&gt;"</f>
        <v>#VALUE!</v>
      </c>
      <c r="EG402" t="e">
        <f>Asia!H379+"n/&gt;!4$?"</f>
        <v>#VALUE!</v>
      </c>
      <c r="EH402" t="e">
        <f>Asia!I379+"n/&gt;!4$@"</f>
        <v>#VALUE!</v>
      </c>
      <c r="EI402" t="e">
        <f>Asia!A380+"n/&gt;!4$A"</f>
        <v>#VALUE!</v>
      </c>
      <c r="EJ402" t="e">
        <f>Asia!B380+"n/&gt;!4$B"</f>
        <v>#VALUE!</v>
      </c>
      <c r="EK402" t="e">
        <f>Asia!C380+"n/&gt;!4$C"</f>
        <v>#VALUE!</v>
      </c>
      <c r="EL402" t="e">
        <f>Asia!D380+"n/&gt;!4$D"</f>
        <v>#VALUE!</v>
      </c>
      <c r="EM402" t="e">
        <f>Asia!E380+"n/&gt;!4$E"</f>
        <v>#VALUE!</v>
      </c>
      <c r="EN402" t="e">
        <f>Asia!F380+"n/&gt;!4$F"</f>
        <v>#VALUE!</v>
      </c>
      <c r="EO402" t="e">
        <f>Asia!G380+"n/&gt;!4$G"</f>
        <v>#VALUE!</v>
      </c>
      <c r="EP402" t="e">
        <f>Asia!H380+"n/&gt;!4$H"</f>
        <v>#VALUE!</v>
      </c>
      <c r="EQ402" t="e">
        <f>Asia!I380+"n/&gt;!4$I"</f>
        <v>#VALUE!</v>
      </c>
      <c r="ER402" t="e">
        <f>Asia!A381+"n/&gt;!4$J"</f>
        <v>#VALUE!</v>
      </c>
      <c r="ES402" t="e">
        <f>Asia!B381+"n/&gt;!4$K"</f>
        <v>#VALUE!</v>
      </c>
      <c r="ET402" t="e">
        <f>Asia!C381+"n/&gt;!4$L"</f>
        <v>#VALUE!</v>
      </c>
      <c r="EU402" t="e">
        <f>Asia!D381+"n/&gt;!4$M"</f>
        <v>#VALUE!</v>
      </c>
      <c r="EV402" t="e">
        <f>Asia!E381+"n/&gt;!4$N"</f>
        <v>#VALUE!</v>
      </c>
      <c r="EW402" t="e">
        <f>Asia!F381+"n/&gt;!4$O"</f>
        <v>#VALUE!</v>
      </c>
      <c r="EX402" t="e">
        <f>Asia!G381+"n/&gt;!4$P"</f>
        <v>#VALUE!</v>
      </c>
      <c r="EY402" t="e">
        <f>Asia!H381+"n/&gt;!4$Q"</f>
        <v>#VALUE!</v>
      </c>
      <c r="EZ402" t="e">
        <f>Asia!I381+"n/&gt;!4$R"</f>
        <v>#VALUE!</v>
      </c>
      <c r="FA402" t="e">
        <f>Asia!A382+"n/&gt;!4$S"</f>
        <v>#VALUE!</v>
      </c>
      <c r="FB402" t="e">
        <f>Asia!B382+"n/&gt;!4$T"</f>
        <v>#VALUE!</v>
      </c>
      <c r="FC402" t="e">
        <f>Asia!C382+"n/&gt;!4$U"</f>
        <v>#VALUE!</v>
      </c>
      <c r="FD402" t="e">
        <f>Asia!D382+"n/&gt;!4$V"</f>
        <v>#VALUE!</v>
      </c>
      <c r="FE402" t="e">
        <f>Asia!E382+"n/&gt;!4$W"</f>
        <v>#VALUE!</v>
      </c>
      <c r="FF402" t="e">
        <f>Asia!F382+"n/&gt;!4$X"</f>
        <v>#VALUE!</v>
      </c>
      <c r="FG402" t="e">
        <f>Asia!G382+"n/&gt;!4$Y"</f>
        <v>#VALUE!</v>
      </c>
      <c r="FH402" t="e">
        <f>Asia!H382+"n/&gt;!4$Z"</f>
        <v>#VALUE!</v>
      </c>
      <c r="FI402" t="e">
        <f>Asia!I382+"n/&gt;!4$["</f>
        <v>#VALUE!</v>
      </c>
      <c r="FJ402" t="e">
        <f>Asia!A383+"n/&gt;!4$\"</f>
        <v>#VALUE!</v>
      </c>
      <c r="FK402" t="e">
        <f>Asia!B383+"n/&gt;!4$]"</f>
        <v>#VALUE!</v>
      </c>
      <c r="FL402" t="e">
        <f>Asia!C383+"n/&gt;!4$^"</f>
        <v>#VALUE!</v>
      </c>
      <c r="FM402" t="e">
        <f>Asia!D383+"n/&gt;!4$_"</f>
        <v>#VALUE!</v>
      </c>
      <c r="FN402" t="e">
        <f>Asia!E383+"n/&gt;!4$`"</f>
        <v>#VALUE!</v>
      </c>
      <c r="FO402" t="e">
        <f>Asia!F383+"n/&gt;!4$a"</f>
        <v>#VALUE!</v>
      </c>
      <c r="FP402" t="e">
        <f>Asia!G383+"n/&gt;!4$b"</f>
        <v>#VALUE!</v>
      </c>
      <c r="FQ402" t="e">
        <f>Asia!H383+"n/&gt;!4$c"</f>
        <v>#VALUE!</v>
      </c>
      <c r="FR402" t="e">
        <f>Asia!I383+"n/&gt;!4$d"</f>
        <v>#VALUE!</v>
      </c>
      <c r="FS402" t="e">
        <f>Asia!A384+"n/&gt;!4$e"</f>
        <v>#VALUE!</v>
      </c>
      <c r="FT402" t="e">
        <f>Asia!B384+"n/&gt;!4$f"</f>
        <v>#VALUE!</v>
      </c>
      <c r="FU402" t="e">
        <f>Asia!C384+"n/&gt;!4$g"</f>
        <v>#VALUE!</v>
      </c>
      <c r="FV402" t="e">
        <f>Asia!D384+"n/&gt;!4$h"</f>
        <v>#VALUE!</v>
      </c>
      <c r="FW402" t="e">
        <f>Asia!E384+"n/&gt;!4$i"</f>
        <v>#VALUE!</v>
      </c>
      <c r="FX402" t="e">
        <f>Asia!F384+"n/&gt;!4$j"</f>
        <v>#VALUE!</v>
      </c>
      <c r="FY402" t="e">
        <f>Asia!G384+"n/&gt;!4$k"</f>
        <v>#VALUE!</v>
      </c>
      <c r="FZ402" t="e">
        <f>Asia!H384+"n/&gt;!4$l"</f>
        <v>#VALUE!</v>
      </c>
      <c r="GA402" t="e">
        <f>Asia!I384+"n/&gt;!4$m"</f>
        <v>#VALUE!</v>
      </c>
      <c r="GB402" t="e">
        <f>Asia!A385+"n/&gt;!4$n"</f>
        <v>#VALUE!</v>
      </c>
      <c r="GC402" t="e">
        <f>Asia!B385+"n/&gt;!4$o"</f>
        <v>#VALUE!</v>
      </c>
      <c r="GD402" t="e">
        <f>Asia!C385+"n/&gt;!4$p"</f>
        <v>#VALUE!</v>
      </c>
      <c r="GE402" t="e">
        <f>Asia!D385+"n/&gt;!4$q"</f>
        <v>#VALUE!</v>
      </c>
      <c r="GF402" t="e">
        <f>Asia!E385+"n/&gt;!4$r"</f>
        <v>#VALUE!</v>
      </c>
      <c r="GG402" t="e">
        <f>Asia!F385+"n/&gt;!4$s"</f>
        <v>#VALUE!</v>
      </c>
      <c r="GH402" t="e">
        <f>Asia!G385+"n/&gt;!4$t"</f>
        <v>#VALUE!</v>
      </c>
      <c r="GI402" t="e">
        <f>Asia!H385+"n/&gt;!4$u"</f>
        <v>#VALUE!</v>
      </c>
      <c r="GJ402" t="e">
        <f>Asia!I385+"n/&gt;!4$v"</f>
        <v>#VALUE!</v>
      </c>
      <c r="GK402" t="e">
        <f>Asia!A386+"n/&gt;!4$w"</f>
        <v>#VALUE!</v>
      </c>
      <c r="GL402" t="e">
        <f>Asia!B386+"n/&gt;!4$x"</f>
        <v>#VALUE!</v>
      </c>
      <c r="GM402" t="e">
        <f>Asia!C386+"n/&gt;!4$y"</f>
        <v>#VALUE!</v>
      </c>
      <c r="GN402" t="e">
        <f>Asia!D386+"n/&gt;!4$z"</f>
        <v>#VALUE!</v>
      </c>
      <c r="GO402" t="e">
        <f>Asia!E386+"n/&gt;!4${"</f>
        <v>#VALUE!</v>
      </c>
      <c r="GP402" t="e">
        <f>Asia!F386+"n/&gt;!4$|"</f>
        <v>#VALUE!</v>
      </c>
      <c r="GQ402" t="e">
        <f>Asia!G386+"n/&gt;!4$}"</f>
        <v>#VALUE!</v>
      </c>
      <c r="GR402" t="e">
        <f>Asia!H386+"n/&gt;!4$~"</f>
        <v>#VALUE!</v>
      </c>
      <c r="GS402" t="e">
        <f>Asia!I386+"n/&gt;!4%#"</f>
        <v>#VALUE!</v>
      </c>
      <c r="GT402" t="e">
        <f>Asia!A387+"n/&gt;!4%$"</f>
        <v>#VALUE!</v>
      </c>
      <c r="GU402" t="e">
        <f>Asia!B387+"n/&gt;!4%%"</f>
        <v>#VALUE!</v>
      </c>
      <c r="GV402" t="e">
        <f>Asia!C387+"n/&gt;!4%&amp;"</f>
        <v>#VALUE!</v>
      </c>
      <c r="GW402" t="e">
        <f>Asia!D387+"n/&gt;!4%'"</f>
        <v>#VALUE!</v>
      </c>
      <c r="GX402" t="e">
        <f>Asia!E387+"n/&gt;!4%("</f>
        <v>#VALUE!</v>
      </c>
      <c r="GY402" t="e">
        <f>Asia!F387+"n/&gt;!4%)"</f>
        <v>#VALUE!</v>
      </c>
      <c r="GZ402" t="e">
        <f>Asia!G387+"n/&gt;!4%."</f>
        <v>#VALUE!</v>
      </c>
      <c r="HA402" t="e">
        <f>Asia!H387+"n/&gt;!4%/"</f>
        <v>#VALUE!</v>
      </c>
      <c r="HB402" t="e">
        <f>Asia!I387+"n/&gt;!4%0"</f>
        <v>#VALUE!</v>
      </c>
      <c r="HC402" t="e">
        <f>Asia!A388+"n/&gt;!4%1"</f>
        <v>#VALUE!</v>
      </c>
      <c r="HD402" t="e">
        <f>Asia!B388+"n/&gt;!4%2"</f>
        <v>#VALUE!</v>
      </c>
      <c r="HE402" t="e">
        <f>Asia!C388+"n/&gt;!4%3"</f>
        <v>#VALUE!</v>
      </c>
      <c r="HF402" t="e">
        <f>Asia!D388+"n/&gt;!4%4"</f>
        <v>#VALUE!</v>
      </c>
      <c r="HG402" t="e">
        <f>Asia!E388+"n/&gt;!4%5"</f>
        <v>#VALUE!</v>
      </c>
      <c r="HH402" t="e">
        <f>Asia!F388+"n/&gt;!4%6"</f>
        <v>#VALUE!</v>
      </c>
      <c r="HI402" t="e">
        <f>Asia!G388+"n/&gt;!4%7"</f>
        <v>#VALUE!</v>
      </c>
      <c r="HJ402" t="e">
        <f>Asia!H388+"n/&gt;!4%8"</f>
        <v>#VALUE!</v>
      </c>
      <c r="HK402" t="e">
        <f>Asia!I388+"n/&gt;!4%9"</f>
        <v>#VALUE!</v>
      </c>
      <c r="HL402" t="e">
        <f>Asia!A389+"n/&gt;!4%:"</f>
        <v>#VALUE!</v>
      </c>
      <c r="HM402" t="e">
        <f>Asia!B389+"n/&gt;!4%;"</f>
        <v>#VALUE!</v>
      </c>
      <c r="HN402" t="e">
        <f>Asia!C389+"n/&gt;!4%&lt;"</f>
        <v>#VALUE!</v>
      </c>
      <c r="HO402" t="e">
        <f>Asia!D389+"n/&gt;!4%="</f>
        <v>#VALUE!</v>
      </c>
      <c r="HP402" t="e">
        <f>Asia!E389+"n/&gt;!4%&gt;"</f>
        <v>#VALUE!</v>
      </c>
      <c r="HQ402" t="e">
        <f>Asia!F389+"n/&gt;!4%?"</f>
        <v>#VALUE!</v>
      </c>
      <c r="HR402" t="e">
        <f>Asia!G389+"n/&gt;!4%@"</f>
        <v>#VALUE!</v>
      </c>
      <c r="HS402" t="e">
        <f>Asia!H389+"n/&gt;!4%A"</f>
        <v>#VALUE!</v>
      </c>
      <c r="HT402" t="e">
        <f>Asia!I389+"n/&gt;!4%B"</f>
        <v>#VALUE!</v>
      </c>
      <c r="HU402" t="e">
        <f>Asia!A390+"n/&gt;!4%C"</f>
        <v>#VALUE!</v>
      </c>
      <c r="HV402" t="e">
        <f>Asia!B390+"n/&gt;!4%D"</f>
        <v>#VALUE!</v>
      </c>
      <c r="HW402" t="e">
        <f>Asia!C390+"n/&gt;!4%E"</f>
        <v>#VALUE!</v>
      </c>
      <c r="HX402" t="e">
        <f>Asia!D390+"n/&gt;!4%F"</f>
        <v>#VALUE!</v>
      </c>
      <c r="HY402" t="e">
        <f>Asia!E390+"n/&gt;!4%G"</f>
        <v>#VALUE!</v>
      </c>
      <c r="HZ402" t="e">
        <f>Asia!F390+"n/&gt;!4%H"</f>
        <v>#VALUE!</v>
      </c>
      <c r="IA402" t="e">
        <f>Asia!G390+"n/&gt;!4%I"</f>
        <v>#VALUE!</v>
      </c>
      <c r="IB402" t="e">
        <f>Asia!H390+"n/&gt;!4%J"</f>
        <v>#VALUE!</v>
      </c>
      <c r="IC402" t="e">
        <f>Asia!I390+"n/&gt;!4%K"</f>
        <v>#VALUE!</v>
      </c>
      <c r="ID402" t="e">
        <f>Asia!A391+"n/&gt;!4%L"</f>
        <v>#VALUE!</v>
      </c>
      <c r="IE402" t="e">
        <f>Asia!B391+"n/&gt;!4%M"</f>
        <v>#VALUE!</v>
      </c>
      <c r="IF402" t="e">
        <f>Asia!C391+"n/&gt;!4%N"</f>
        <v>#VALUE!</v>
      </c>
      <c r="IG402" t="e">
        <f>Asia!D391+"n/&gt;!4%O"</f>
        <v>#VALUE!</v>
      </c>
      <c r="IH402" t="e">
        <f>Asia!E391+"n/&gt;!4%P"</f>
        <v>#VALUE!</v>
      </c>
      <c r="II402" t="e">
        <f>Asia!F391+"n/&gt;!4%Q"</f>
        <v>#VALUE!</v>
      </c>
      <c r="IJ402" t="e">
        <f>Asia!G391+"n/&gt;!4%R"</f>
        <v>#VALUE!</v>
      </c>
      <c r="IK402" t="e">
        <f>Asia!H391+"n/&gt;!4%S"</f>
        <v>#VALUE!</v>
      </c>
      <c r="IL402" t="e">
        <f>Asia!I391+"n/&gt;!4%T"</f>
        <v>#VALUE!</v>
      </c>
      <c r="IM402" t="e">
        <f>Asia!A392+"n/&gt;!4%U"</f>
        <v>#VALUE!</v>
      </c>
      <c r="IN402" t="e">
        <f>Asia!B392+"n/&gt;!4%V"</f>
        <v>#VALUE!</v>
      </c>
      <c r="IO402" t="e">
        <f>Asia!C392+"n/&gt;!4%W"</f>
        <v>#VALUE!</v>
      </c>
      <c r="IP402" t="e">
        <f>Asia!D392+"n/&gt;!4%X"</f>
        <v>#VALUE!</v>
      </c>
      <c r="IQ402" t="e">
        <f>Asia!E392+"n/&gt;!4%Y"</f>
        <v>#VALUE!</v>
      </c>
      <c r="IR402" t="e">
        <f>Asia!F392+"n/&gt;!4%Z"</f>
        <v>#VALUE!</v>
      </c>
      <c r="IS402" t="e">
        <f>Asia!G392+"n/&gt;!4%["</f>
        <v>#VALUE!</v>
      </c>
      <c r="IT402" t="e">
        <f>Asia!H392+"n/&gt;!4%\"</f>
        <v>#VALUE!</v>
      </c>
      <c r="IU402" t="e">
        <f>Asia!I392+"n/&gt;!4%]"</f>
        <v>#VALUE!</v>
      </c>
      <c r="IV402" t="e">
        <f>Asia!A393+"n/&gt;!4%^"</f>
        <v>#VALUE!</v>
      </c>
    </row>
    <row r="403" spans="6:256" x14ac:dyDescent="0.35">
      <c r="F403" t="e">
        <f>Asia!B393+"n/&gt;!4%_"</f>
        <v>#VALUE!</v>
      </c>
      <c r="G403" t="e">
        <f>Asia!C393+"n/&gt;!4%`"</f>
        <v>#VALUE!</v>
      </c>
      <c r="H403" t="e">
        <f>Asia!D393+"n/&gt;!4%a"</f>
        <v>#VALUE!</v>
      </c>
      <c r="I403" t="e">
        <f>Asia!E393+"n/&gt;!4%b"</f>
        <v>#VALUE!</v>
      </c>
      <c r="J403" t="e">
        <f>Asia!F393+"n/&gt;!4%c"</f>
        <v>#VALUE!</v>
      </c>
      <c r="K403" t="e">
        <f>Asia!G393+"n/&gt;!4%d"</f>
        <v>#VALUE!</v>
      </c>
      <c r="L403" t="e">
        <f>Asia!H393+"n/&gt;!4%e"</f>
        <v>#VALUE!</v>
      </c>
      <c r="M403" t="e">
        <f>Asia!I393+"n/&gt;!4%f"</f>
        <v>#VALUE!</v>
      </c>
      <c r="N403" t="e">
        <f>Asia!A394+"n/&gt;!4%g"</f>
        <v>#VALUE!</v>
      </c>
      <c r="O403" t="e">
        <f>Asia!B394+"n/&gt;!4%h"</f>
        <v>#VALUE!</v>
      </c>
      <c r="P403" t="e">
        <f>Asia!C394+"n/&gt;!4%i"</f>
        <v>#VALUE!</v>
      </c>
      <c r="Q403" t="e">
        <f>Asia!D394+"n/&gt;!4%j"</f>
        <v>#VALUE!</v>
      </c>
      <c r="R403" t="e">
        <f>Asia!E394+"n/&gt;!4%k"</f>
        <v>#VALUE!</v>
      </c>
      <c r="S403" t="e">
        <f>Asia!F394+"n/&gt;!4%l"</f>
        <v>#VALUE!</v>
      </c>
      <c r="T403" t="e">
        <f>Asia!G394+"n/&gt;!4%m"</f>
        <v>#VALUE!</v>
      </c>
      <c r="U403" t="e">
        <f>Asia!H394+"n/&gt;!4%n"</f>
        <v>#VALUE!</v>
      </c>
      <c r="V403" t="e">
        <f>Asia!I394+"n/&gt;!4%o"</f>
        <v>#VALUE!</v>
      </c>
      <c r="W403" t="e">
        <f>Asia!A395+"n/&gt;!4%p"</f>
        <v>#VALUE!</v>
      </c>
      <c r="X403" t="e">
        <f>Asia!B395+"n/&gt;!4%q"</f>
        <v>#VALUE!</v>
      </c>
      <c r="Y403" t="e">
        <f>Asia!C395+"n/&gt;!4%r"</f>
        <v>#VALUE!</v>
      </c>
      <c r="Z403" t="e">
        <f>Asia!D395+"n/&gt;!4%s"</f>
        <v>#VALUE!</v>
      </c>
      <c r="AA403" t="e">
        <f>Asia!E395+"n/&gt;!4%t"</f>
        <v>#VALUE!</v>
      </c>
      <c r="AB403" t="e">
        <f>Asia!F395+"n/&gt;!4%u"</f>
        <v>#VALUE!</v>
      </c>
      <c r="AC403" t="e">
        <f>Asia!G395+"n/&gt;!4%v"</f>
        <v>#VALUE!</v>
      </c>
      <c r="AD403" t="e">
        <f>Asia!H395+"n/&gt;!4%w"</f>
        <v>#VALUE!</v>
      </c>
      <c r="AE403" t="e">
        <f>Asia!I395+"n/&gt;!4%x"</f>
        <v>#VALUE!</v>
      </c>
      <c r="AF403" t="e">
        <f>Asia!A396+"n/&gt;!4%y"</f>
        <v>#VALUE!</v>
      </c>
      <c r="AG403" t="e">
        <f>Asia!B396+"n/&gt;!4%z"</f>
        <v>#VALUE!</v>
      </c>
      <c r="AH403" t="e">
        <f>Asia!C396+"n/&gt;!4%{"</f>
        <v>#VALUE!</v>
      </c>
      <c r="AI403" t="e">
        <f>Asia!D396+"n/&gt;!4%|"</f>
        <v>#VALUE!</v>
      </c>
      <c r="AJ403" t="e">
        <f>Asia!E396+"n/&gt;!4%}"</f>
        <v>#VALUE!</v>
      </c>
      <c r="AK403" t="e">
        <f>Asia!F396+"n/&gt;!4%~"</f>
        <v>#VALUE!</v>
      </c>
      <c r="AL403" t="e">
        <f>Asia!G396+"n/&gt;!4&amp;#"</f>
        <v>#VALUE!</v>
      </c>
      <c r="AM403" t="e">
        <f>Asia!H396+"n/&gt;!4&amp;$"</f>
        <v>#VALUE!</v>
      </c>
      <c r="AN403" t="e">
        <f>Asia!I396+"n/&gt;!4&amp;%"</f>
        <v>#VALUE!</v>
      </c>
      <c r="AO403" t="e">
        <f>Asia!A397+"n/&gt;!4&amp;&amp;"</f>
        <v>#VALUE!</v>
      </c>
      <c r="AP403" t="e">
        <f>Asia!B397+"n/&gt;!4&amp;'"</f>
        <v>#VALUE!</v>
      </c>
      <c r="AQ403" t="e">
        <f>Asia!C397+"n/&gt;!4&amp;("</f>
        <v>#VALUE!</v>
      </c>
      <c r="AR403" t="e">
        <f>Asia!D397+"n/&gt;!4&amp;)"</f>
        <v>#VALUE!</v>
      </c>
      <c r="AS403" t="e">
        <f>Asia!E397+"n/&gt;!4&amp;."</f>
        <v>#VALUE!</v>
      </c>
      <c r="AT403" t="e">
        <f>Asia!F397+"n/&gt;!4&amp;/"</f>
        <v>#VALUE!</v>
      </c>
      <c r="AU403" t="e">
        <f>Asia!G397+"n/&gt;!4&amp;0"</f>
        <v>#VALUE!</v>
      </c>
      <c r="AV403" t="e">
        <f>Asia!H397+"n/&gt;!4&amp;1"</f>
        <v>#VALUE!</v>
      </c>
      <c r="AW403" t="e">
        <f>Asia!I397+"n/&gt;!4&amp;2"</f>
        <v>#VALUE!</v>
      </c>
      <c r="AX403" t="e">
        <f>Asia!A398+"n/&gt;!4&amp;3"</f>
        <v>#VALUE!</v>
      </c>
      <c r="AY403" t="e">
        <f>Asia!B398+"n/&gt;!4&amp;4"</f>
        <v>#VALUE!</v>
      </c>
      <c r="AZ403" t="e">
        <f>Asia!C398+"n/&gt;!4&amp;5"</f>
        <v>#VALUE!</v>
      </c>
      <c r="BA403" t="e">
        <f>Asia!D398+"n/&gt;!4&amp;6"</f>
        <v>#VALUE!</v>
      </c>
      <c r="BB403" t="e">
        <f>Asia!E398+"n/&gt;!4&amp;7"</f>
        <v>#VALUE!</v>
      </c>
      <c r="BC403" t="e">
        <f>Asia!F398+"n/&gt;!4&amp;8"</f>
        <v>#VALUE!</v>
      </c>
      <c r="BD403" t="e">
        <f>Asia!G398+"n/&gt;!4&amp;9"</f>
        <v>#VALUE!</v>
      </c>
      <c r="BE403" t="e">
        <f>Asia!H398+"n/&gt;!4&amp;:"</f>
        <v>#VALUE!</v>
      </c>
      <c r="BF403" t="e">
        <f>Asia!I398+"n/&gt;!4&amp;;"</f>
        <v>#VALUE!</v>
      </c>
      <c r="BG403" t="e">
        <f>Asia!A399+"n/&gt;!4&amp;&lt;"</f>
        <v>#VALUE!</v>
      </c>
      <c r="BH403" t="e">
        <f>Asia!B399+"n/&gt;!4&amp;="</f>
        <v>#VALUE!</v>
      </c>
      <c r="BI403" t="e">
        <f>Asia!C399+"n/&gt;!4&amp;&gt;"</f>
        <v>#VALUE!</v>
      </c>
      <c r="BJ403" t="e">
        <f>Asia!D399+"n/&gt;!4&amp;?"</f>
        <v>#VALUE!</v>
      </c>
      <c r="BK403" t="e">
        <f>Asia!E399+"n/&gt;!4&amp;@"</f>
        <v>#VALUE!</v>
      </c>
      <c r="BL403" t="e">
        <f>Asia!F399+"n/&gt;!4&amp;A"</f>
        <v>#VALUE!</v>
      </c>
      <c r="BM403" t="e">
        <f>Asia!G399+"n/&gt;!4&amp;B"</f>
        <v>#VALUE!</v>
      </c>
      <c r="BN403" t="e">
        <f>Asia!H399+"n/&gt;!4&amp;C"</f>
        <v>#VALUE!</v>
      </c>
      <c r="BO403" t="e">
        <f>Asia!I399+"n/&gt;!4&amp;D"</f>
        <v>#VALUE!</v>
      </c>
      <c r="BP403" t="e">
        <f>Asia!A400+"n/&gt;!4&amp;E"</f>
        <v>#VALUE!</v>
      </c>
      <c r="BQ403" t="e">
        <f>Asia!B400+"n/&gt;!4&amp;F"</f>
        <v>#VALUE!</v>
      </c>
      <c r="BR403" t="e">
        <f>Asia!C400+"n/&gt;!4&amp;G"</f>
        <v>#VALUE!</v>
      </c>
      <c r="BS403" t="e">
        <f>Asia!D400+"n/&gt;!4&amp;H"</f>
        <v>#VALUE!</v>
      </c>
      <c r="BT403" t="e">
        <f>Asia!E400+"n/&gt;!4&amp;I"</f>
        <v>#VALUE!</v>
      </c>
      <c r="BU403" t="e">
        <f>Asia!F400+"n/&gt;!4&amp;J"</f>
        <v>#VALUE!</v>
      </c>
      <c r="BV403" t="e">
        <f>Asia!G400+"n/&gt;!4&amp;K"</f>
        <v>#VALUE!</v>
      </c>
      <c r="BW403" t="e">
        <f>Asia!H400+"n/&gt;!4&amp;L"</f>
        <v>#VALUE!</v>
      </c>
      <c r="BX403" t="e">
        <f>Asia!I400+"n/&gt;!4&amp;M"</f>
        <v>#VALUE!</v>
      </c>
      <c r="BY403" t="e">
        <f>Asia!A401+"n/&gt;!4&amp;N"</f>
        <v>#VALUE!</v>
      </c>
      <c r="BZ403" t="e">
        <f>Asia!B401+"n/&gt;!4&amp;O"</f>
        <v>#VALUE!</v>
      </c>
      <c r="CA403" t="e">
        <f>Asia!C401+"n/&gt;!4&amp;P"</f>
        <v>#VALUE!</v>
      </c>
      <c r="CB403" t="e">
        <f>Asia!D401+"n/&gt;!4&amp;Q"</f>
        <v>#VALUE!</v>
      </c>
      <c r="CC403" t="e">
        <f>Asia!E401+"n/&gt;!4&amp;R"</f>
        <v>#VALUE!</v>
      </c>
      <c r="CD403" t="e">
        <f>Asia!F401+"n/&gt;!4&amp;S"</f>
        <v>#VALUE!</v>
      </c>
      <c r="CE403" t="e">
        <f>Asia!G401+"n/&gt;!4&amp;T"</f>
        <v>#VALUE!</v>
      </c>
      <c r="CF403" t="e">
        <f>Asia!H401+"n/&gt;!4&amp;U"</f>
        <v>#VALUE!</v>
      </c>
      <c r="CG403" t="e">
        <f>Asia!I401+"n/&gt;!4&amp;V"</f>
        <v>#VALUE!</v>
      </c>
      <c r="CH403" t="e">
        <f>Asia!A402+"n/&gt;!4&amp;W"</f>
        <v>#VALUE!</v>
      </c>
      <c r="CI403" t="e">
        <f>Asia!B402+"n/&gt;!4&amp;X"</f>
        <v>#VALUE!</v>
      </c>
      <c r="CJ403" t="e">
        <f>Asia!C402+"n/&gt;!4&amp;Y"</f>
        <v>#VALUE!</v>
      </c>
      <c r="CK403" t="e">
        <f>Asia!D402+"n/&gt;!4&amp;Z"</f>
        <v>#VALUE!</v>
      </c>
      <c r="CL403" t="e">
        <f>Asia!E402+"n/&gt;!4&amp;["</f>
        <v>#VALUE!</v>
      </c>
      <c r="CM403" t="e">
        <f>Asia!F402+"n/&gt;!4&amp;\"</f>
        <v>#VALUE!</v>
      </c>
      <c r="CN403" t="e">
        <f>Asia!G402+"n/&gt;!4&amp;]"</f>
        <v>#VALUE!</v>
      </c>
      <c r="CO403" t="e">
        <f>Asia!H402+"n/&gt;!4&amp;^"</f>
        <v>#VALUE!</v>
      </c>
      <c r="CP403" t="e">
        <f>Asia!I402+"n/&gt;!4&amp;_"</f>
        <v>#VALUE!</v>
      </c>
      <c r="CQ403" t="e">
        <f>Asia!A403+"n/&gt;!4&amp;`"</f>
        <v>#VALUE!</v>
      </c>
      <c r="CR403" t="e">
        <f>Asia!B403+"n/&gt;!4&amp;a"</f>
        <v>#VALUE!</v>
      </c>
      <c r="CS403" t="e">
        <f>Asia!C403+"n/&gt;!4&amp;b"</f>
        <v>#VALUE!</v>
      </c>
      <c r="CT403" t="e">
        <f>Asia!D403+"n/&gt;!4&amp;c"</f>
        <v>#VALUE!</v>
      </c>
      <c r="CU403" t="e">
        <f>Asia!E403+"n/&gt;!4&amp;d"</f>
        <v>#VALUE!</v>
      </c>
      <c r="CV403" t="e">
        <f>Asia!F403+"n/&gt;!4&amp;e"</f>
        <v>#VALUE!</v>
      </c>
      <c r="CW403" t="e">
        <f>Asia!G403+"n/&gt;!4&amp;f"</f>
        <v>#VALUE!</v>
      </c>
      <c r="CX403" t="e">
        <f>Asia!H403+"n/&gt;!4&amp;g"</f>
        <v>#VALUE!</v>
      </c>
      <c r="CY403" t="e">
        <f>Asia!I403+"n/&gt;!4&amp;h"</f>
        <v>#VALUE!</v>
      </c>
      <c r="CZ403" t="e">
        <f>Asia!A404+"n/&gt;!4&amp;i"</f>
        <v>#VALUE!</v>
      </c>
      <c r="DA403" t="e">
        <f>Asia!B404+"n/&gt;!4&amp;j"</f>
        <v>#VALUE!</v>
      </c>
      <c r="DB403" t="e">
        <f>Asia!C404+"n/&gt;!4&amp;k"</f>
        <v>#VALUE!</v>
      </c>
      <c r="DC403" t="e">
        <f>Asia!D404+"n/&gt;!4&amp;l"</f>
        <v>#VALUE!</v>
      </c>
      <c r="DD403" t="e">
        <f>Asia!E404+"n/&gt;!4&amp;m"</f>
        <v>#VALUE!</v>
      </c>
      <c r="DE403" t="e">
        <f>Asia!F404+"n/&gt;!4&amp;n"</f>
        <v>#VALUE!</v>
      </c>
      <c r="DF403" t="e">
        <f>Asia!G404+"n/&gt;!4&amp;o"</f>
        <v>#VALUE!</v>
      </c>
      <c r="DG403" t="e">
        <f>Asia!H404+"n/&gt;!4&amp;p"</f>
        <v>#VALUE!</v>
      </c>
      <c r="DH403" t="e">
        <f>Asia!I404+"n/&gt;!4&amp;q"</f>
        <v>#VALUE!</v>
      </c>
      <c r="DI403" t="e">
        <f>Asia!A405+"n/&gt;!4&amp;r"</f>
        <v>#VALUE!</v>
      </c>
      <c r="DJ403" t="e">
        <f>Asia!B405+"n/&gt;!4&amp;s"</f>
        <v>#VALUE!</v>
      </c>
      <c r="DK403" t="e">
        <f>Asia!C405+"n/&gt;!4&amp;t"</f>
        <v>#VALUE!</v>
      </c>
      <c r="DL403" t="e">
        <f>Asia!D405+"n/&gt;!4&amp;u"</f>
        <v>#VALUE!</v>
      </c>
      <c r="DM403" t="e">
        <f>Asia!E405+"n/&gt;!4&amp;v"</f>
        <v>#VALUE!</v>
      </c>
      <c r="DN403" t="e">
        <f>Asia!F405+"n/&gt;!4&amp;w"</f>
        <v>#VALUE!</v>
      </c>
      <c r="DO403" t="e">
        <f>Asia!G405+"n/&gt;!4&amp;x"</f>
        <v>#VALUE!</v>
      </c>
      <c r="DP403" t="e">
        <f>Asia!H405+"n/&gt;!4&amp;y"</f>
        <v>#VALUE!</v>
      </c>
      <c r="DQ403" t="e">
        <f>Asia!I405+"n/&gt;!4&amp;z"</f>
        <v>#VALUE!</v>
      </c>
      <c r="DR403" t="e">
        <f>Asia!A406+"n/&gt;!4&amp;{"</f>
        <v>#VALUE!</v>
      </c>
      <c r="DS403" t="e">
        <f>Asia!B406+"n/&gt;!4&amp;|"</f>
        <v>#VALUE!</v>
      </c>
      <c r="DT403" t="e">
        <f>Asia!C406+"n/&gt;!4&amp;}"</f>
        <v>#VALUE!</v>
      </c>
      <c r="DU403" t="e">
        <f>Asia!D406+"n/&gt;!4&amp;~"</f>
        <v>#VALUE!</v>
      </c>
      <c r="DV403" t="e">
        <f>Asia!E406+"n/&gt;!4'#"</f>
        <v>#VALUE!</v>
      </c>
      <c r="DW403" t="e">
        <f>Asia!F406+"n/&gt;!4'$"</f>
        <v>#VALUE!</v>
      </c>
      <c r="DX403" t="e">
        <f>Asia!G406+"n/&gt;!4'%"</f>
        <v>#VALUE!</v>
      </c>
      <c r="DY403" t="e">
        <f>Asia!H406+"n/&gt;!4'&amp;"</f>
        <v>#VALUE!</v>
      </c>
      <c r="DZ403" t="e">
        <f>Asia!I406+"n/&gt;!4''"</f>
        <v>#VALUE!</v>
      </c>
      <c r="EA403" t="e">
        <f>Asia!A407+"n/&gt;!4'("</f>
        <v>#VALUE!</v>
      </c>
      <c r="EB403" t="e">
        <f>Asia!B407+"n/&gt;!4')"</f>
        <v>#VALUE!</v>
      </c>
      <c r="EC403" t="e">
        <f>Asia!C407+"n/&gt;!4'."</f>
        <v>#VALUE!</v>
      </c>
      <c r="ED403" t="e">
        <f>Asia!D407+"n/&gt;!4'/"</f>
        <v>#VALUE!</v>
      </c>
      <c r="EE403" t="e">
        <f>Asia!E407+"n/&gt;!4'0"</f>
        <v>#VALUE!</v>
      </c>
      <c r="EF403" t="e">
        <f>Asia!F407+"n/&gt;!4'1"</f>
        <v>#VALUE!</v>
      </c>
      <c r="EG403" t="e">
        <f>Asia!G407+"n/&gt;!4'2"</f>
        <v>#VALUE!</v>
      </c>
      <c r="EH403" t="e">
        <f>Asia!H407+"n/&gt;!4'3"</f>
        <v>#VALUE!</v>
      </c>
      <c r="EI403" t="e">
        <f>Asia!I407+"n/&gt;!4'4"</f>
        <v>#VALUE!</v>
      </c>
      <c r="EJ403" t="e">
        <f>Asia!A408+"n/&gt;!4'5"</f>
        <v>#VALUE!</v>
      </c>
      <c r="EK403" t="e">
        <f>Asia!B408+"n/&gt;!4'6"</f>
        <v>#VALUE!</v>
      </c>
      <c r="EL403" t="e">
        <f>Asia!C408+"n/&gt;!4'7"</f>
        <v>#VALUE!</v>
      </c>
      <c r="EM403" t="e">
        <f>Asia!D408+"n/&gt;!4'8"</f>
        <v>#VALUE!</v>
      </c>
      <c r="EN403" t="e">
        <f>Asia!E408+"n/&gt;!4'9"</f>
        <v>#VALUE!</v>
      </c>
      <c r="EO403" t="e">
        <f>Asia!F408+"n/&gt;!4':"</f>
        <v>#VALUE!</v>
      </c>
      <c r="EP403" t="e">
        <f>Asia!G408+"n/&gt;!4';"</f>
        <v>#VALUE!</v>
      </c>
      <c r="EQ403" t="e">
        <f>Asia!H408+"n/&gt;!4'&lt;"</f>
        <v>#VALUE!</v>
      </c>
      <c r="ER403" t="e">
        <f>Asia!I408+"n/&gt;!4'="</f>
        <v>#VALUE!</v>
      </c>
      <c r="ES403" t="e">
        <f>Asia!A409+"n/&gt;!4'&gt;"</f>
        <v>#VALUE!</v>
      </c>
      <c r="ET403" t="e">
        <f>Asia!B409+"n/&gt;!4'?"</f>
        <v>#VALUE!</v>
      </c>
      <c r="EU403" t="e">
        <f>Asia!C409+"n/&gt;!4'@"</f>
        <v>#VALUE!</v>
      </c>
      <c r="EV403" t="e">
        <f>Asia!D409+"n/&gt;!4'A"</f>
        <v>#VALUE!</v>
      </c>
      <c r="EW403" t="e">
        <f>Asia!E409+"n/&gt;!4'B"</f>
        <v>#VALUE!</v>
      </c>
      <c r="EX403" t="e">
        <f>Asia!F409+"n/&gt;!4'C"</f>
        <v>#VALUE!</v>
      </c>
      <c r="EY403" t="e">
        <f>Asia!G409+"n/&gt;!4'D"</f>
        <v>#VALUE!</v>
      </c>
      <c r="EZ403" t="e">
        <f>Asia!H409+"n/&gt;!4'E"</f>
        <v>#VALUE!</v>
      </c>
      <c r="FA403" t="e">
        <f>Asia!I409+"n/&gt;!4'F"</f>
        <v>#VALUE!</v>
      </c>
      <c r="FB403" t="e">
        <f>Asia!A410+"n/&gt;!4'G"</f>
        <v>#VALUE!</v>
      </c>
      <c r="FC403" t="e">
        <f>Asia!B410+"n/&gt;!4'H"</f>
        <v>#VALUE!</v>
      </c>
      <c r="FD403" t="e">
        <f>Asia!C410+"n/&gt;!4'I"</f>
        <v>#VALUE!</v>
      </c>
      <c r="FE403" t="e">
        <f>Asia!D410+"n/&gt;!4'J"</f>
        <v>#VALUE!</v>
      </c>
      <c r="FF403" t="e">
        <f>Asia!E410+"n/&gt;!4'K"</f>
        <v>#VALUE!</v>
      </c>
      <c r="FG403" t="e">
        <f>Asia!F410+"n/&gt;!4'L"</f>
        <v>#VALUE!</v>
      </c>
      <c r="FH403" t="e">
        <f>Asia!G410+"n/&gt;!4'M"</f>
        <v>#VALUE!</v>
      </c>
      <c r="FI403" t="e">
        <f>Asia!H410+"n/&gt;!4'N"</f>
        <v>#VALUE!</v>
      </c>
      <c r="FJ403" t="e">
        <f>Asia!I410+"n/&gt;!4'O"</f>
        <v>#VALUE!</v>
      </c>
      <c r="FK403" t="e">
        <f>Asia!A411+"n/&gt;!4'P"</f>
        <v>#VALUE!</v>
      </c>
      <c r="FL403" t="e">
        <f>Asia!B411+"n/&gt;!4'Q"</f>
        <v>#VALUE!</v>
      </c>
      <c r="FM403" t="e">
        <f>Asia!C411+"n/&gt;!4'R"</f>
        <v>#VALUE!</v>
      </c>
      <c r="FN403" t="e">
        <f>Asia!D411+"n/&gt;!4'S"</f>
        <v>#VALUE!</v>
      </c>
      <c r="FO403" t="e">
        <f>Asia!E411+"n/&gt;!4'T"</f>
        <v>#VALUE!</v>
      </c>
      <c r="FP403" t="e">
        <f>Asia!F411+"n/&gt;!4'U"</f>
        <v>#VALUE!</v>
      </c>
      <c r="FQ403" t="e">
        <f>Asia!G411+"n/&gt;!4'V"</f>
        <v>#VALUE!</v>
      </c>
      <c r="FR403" t="e">
        <f>Asia!H411+"n/&gt;!4'W"</f>
        <v>#VALUE!</v>
      </c>
      <c r="FS403" t="e">
        <f>Asia!I411+"n/&gt;!4'X"</f>
        <v>#VALUE!</v>
      </c>
      <c r="FT403" t="e">
        <f>Asia!A412+"n/&gt;!4'Y"</f>
        <v>#VALUE!</v>
      </c>
      <c r="FU403" t="e">
        <f>Asia!B412+"n/&gt;!4'Z"</f>
        <v>#VALUE!</v>
      </c>
      <c r="FV403" t="e">
        <f>Asia!C412+"n/&gt;!4'["</f>
        <v>#VALUE!</v>
      </c>
      <c r="FW403" t="e">
        <f>Asia!D412+"n/&gt;!4'\"</f>
        <v>#VALUE!</v>
      </c>
      <c r="FX403" t="e">
        <f>Asia!E412+"n/&gt;!4']"</f>
        <v>#VALUE!</v>
      </c>
      <c r="FY403" t="e">
        <f>Asia!F412+"n/&gt;!4'^"</f>
        <v>#VALUE!</v>
      </c>
      <c r="FZ403" t="e">
        <f>Asia!G412+"n/&gt;!4'_"</f>
        <v>#VALUE!</v>
      </c>
      <c r="GA403" t="e">
        <f>Asia!H412+"n/&gt;!4'`"</f>
        <v>#VALUE!</v>
      </c>
      <c r="GB403" t="e">
        <f>Asia!I412+"n/&gt;!4'a"</f>
        <v>#VALUE!</v>
      </c>
      <c r="GC403" t="e">
        <f>Asia!A413+"n/&gt;!4'b"</f>
        <v>#VALUE!</v>
      </c>
      <c r="GD403" t="e">
        <f>Asia!B413+"n/&gt;!4'c"</f>
        <v>#VALUE!</v>
      </c>
      <c r="GE403" t="e">
        <f>Asia!C413+"n/&gt;!4'd"</f>
        <v>#VALUE!</v>
      </c>
      <c r="GF403" t="e">
        <f>Asia!D413+"n/&gt;!4'e"</f>
        <v>#VALUE!</v>
      </c>
      <c r="GG403" t="e">
        <f>Asia!E413+"n/&gt;!4'f"</f>
        <v>#VALUE!</v>
      </c>
      <c r="GH403" t="e">
        <f>Asia!F413+"n/&gt;!4'g"</f>
        <v>#VALUE!</v>
      </c>
      <c r="GI403" t="e">
        <f>Asia!G413+"n/&gt;!4'h"</f>
        <v>#VALUE!</v>
      </c>
      <c r="GJ403" t="e">
        <f>Asia!H413+"n/&gt;!4'i"</f>
        <v>#VALUE!</v>
      </c>
      <c r="GK403" t="e">
        <f>Asia!I413+"n/&gt;!4'j"</f>
        <v>#VALUE!</v>
      </c>
      <c r="GL403" t="e">
        <f>Asia!A414+"n/&gt;!4'k"</f>
        <v>#VALUE!</v>
      </c>
      <c r="GM403" t="e">
        <f>Asia!B414+"n/&gt;!4'l"</f>
        <v>#VALUE!</v>
      </c>
      <c r="GN403" t="e">
        <f>Asia!C414+"n/&gt;!4'm"</f>
        <v>#VALUE!</v>
      </c>
      <c r="GO403" t="e">
        <f>Asia!D414+"n/&gt;!4'n"</f>
        <v>#VALUE!</v>
      </c>
      <c r="GP403" t="e">
        <f>Asia!E414+"n/&gt;!4'o"</f>
        <v>#VALUE!</v>
      </c>
      <c r="GQ403" t="e">
        <f>Asia!F414+"n/&gt;!4'p"</f>
        <v>#VALUE!</v>
      </c>
      <c r="GR403" t="e">
        <f>Asia!G414+"n/&gt;!4'q"</f>
        <v>#VALUE!</v>
      </c>
      <c r="GS403" t="e">
        <f>Asia!H414+"n/&gt;!4'r"</f>
        <v>#VALUE!</v>
      </c>
      <c r="GT403" t="e">
        <f>Asia!I414+"n/&gt;!4's"</f>
        <v>#VALUE!</v>
      </c>
      <c r="GU403" t="e">
        <f>Asia!A415+"n/&gt;!4't"</f>
        <v>#VALUE!</v>
      </c>
      <c r="GV403" t="e">
        <f>Asia!B415+"n/&gt;!4'u"</f>
        <v>#VALUE!</v>
      </c>
      <c r="GW403" t="e">
        <f>Asia!C415+"n/&gt;!4'v"</f>
        <v>#VALUE!</v>
      </c>
      <c r="GX403" t="e">
        <f>Asia!D415+"n/&gt;!4'w"</f>
        <v>#VALUE!</v>
      </c>
      <c r="GY403" t="e">
        <f>Asia!E415+"n/&gt;!4'x"</f>
        <v>#VALUE!</v>
      </c>
      <c r="GZ403" t="e">
        <f>Asia!F415+"n/&gt;!4'y"</f>
        <v>#VALUE!</v>
      </c>
      <c r="HA403" t="e">
        <f>Asia!G415+"n/&gt;!4'z"</f>
        <v>#VALUE!</v>
      </c>
      <c r="HB403" t="e">
        <f>Asia!H415+"n/&gt;!4'{"</f>
        <v>#VALUE!</v>
      </c>
      <c r="HC403" t="e">
        <f>Asia!I415+"n/&gt;!4'|"</f>
        <v>#VALUE!</v>
      </c>
      <c r="HD403" t="e">
        <f>Asia!A416+"n/&gt;!4'}"</f>
        <v>#VALUE!</v>
      </c>
      <c r="HE403" t="e">
        <f>Asia!B416+"n/&gt;!4'~"</f>
        <v>#VALUE!</v>
      </c>
      <c r="HF403" t="e">
        <f>Asia!C416+"n/&gt;!4(#"</f>
        <v>#VALUE!</v>
      </c>
      <c r="HG403" t="e">
        <f>Asia!D416+"n/&gt;!4($"</f>
        <v>#VALUE!</v>
      </c>
      <c r="HH403" t="e">
        <f>Asia!E416+"n/&gt;!4(%"</f>
        <v>#VALUE!</v>
      </c>
      <c r="HI403" t="e">
        <f>Asia!F416+"n/&gt;!4(&amp;"</f>
        <v>#VALUE!</v>
      </c>
      <c r="HJ403" t="e">
        <f>Asia!G416+"n/&gt;!4('"</f>
        <v>#VALUE!</v>
      </c>
      <c r="HK403" t="e">
        <f>Asia!H416+"n/&gt;!4(("</f>
        <v>#VALUE!</v>
      </c>
      <c r="HL403" t="e">
        <f>Asia!I416+"n/&gt;!4()"</f>
        <v>#VALUE!</v>
      </c>
      <c r="HM403" t="e">
        <f>Asia!A417+"n/&gt;!4(."</f>
        <v>#VALUE!</v>
      </c>
      <c r="HN403" t="e">
        <f>Asia!B417+"n/&gt;!4(/"</f>
        <v>#VALUE!</v>
      </c>
      <c r="HO403" t="e">
        <f>Asia!C417+"n/&gt;!4(0"</f>
        <v>#VALUE!</v>
      </c>
      <c r="HP403" t="e">
        <f>Asia!D417+"n/&gt;!4(1"</f>
        <v>#VALUE!</v>
      </c>
      <c r="HQ403" t="e">
        <f>Asia!E417+"n/&gt;!4(2"</f>
        <v>#VALUE!</v>
      </c>
      <c r="HR403" t="e">
        <f>Asia!F417+"n/&gt;!4(3"</f>
        <v>#VALUE!</v>
      </c>
      <c r="HS403" t="e">
        <f>Asia!G417+"n/&gt;!4(4"</f>
        <v>#VALUE!</v>
      </c>
      <c r="HT403" t="e">
        <f>Asia!H417+"n/&gt;!4(5"</f>
        <v>#VALUE!</v>
      </c>
      <c r="HU403" t="e">
        <f>Asia!I417+"n/&gt;!4(6"</f>
        <v>#VALUE!</v>
      </c>
      <c r="HV403" t="e">
        <f>Asia!A418+"n/&gt;!4(7"</f>
        <v>#VALUE!</v>
      </c>
      <c r="HW403" t="e">
        <f>Asia!B418+"n/&gt;!4(8"</f>
        <v>#VALUE!</v>
      </c>
      <c r="HX403" t="e">
        <f>Asia!C418+"n/&gt;!4(9"</f>
        <v>#VALUE!</v>
      </c>
      <c r="HY403" t="e">
        <f>Asia!D418+"n/&gt;!4(:"</f>
        <v>#VALUE!</v>
      </c>
      <c r="HZ403" t="e">
        <f>Asia!E418+"n/&gt;!4(;"</f>
        <v>#VALUE!</v>
      </c>
      <c r="IA403" t="e">
        <f>Asia!F418+"n/&gt;!4(&lt;"</f>
        <v>#VALUE!</v>
      </c>
      <c r="IB403" t="e">
        <f>Asia!G418+"n/&gt;!4(="</f>
        <v>#VALUE!</v>
      </c>
      <c r="IC403" t="e">
        <f>Asia!H418+"n/&gt;!4(&gt;"</f>
        <v>#VALUE!</v>
      </c>
      <c r="ID403" t="e">
        <f>Asia!I418+"n/&gt;!4(?"</f>
        <v>#VALUE!</v>
      </c>
      <c r="IE403" t="e">
        <f>Asia!A419+"n/&gt;!4(@"</f>
        <v>#VALUE!</v>
      </c>
      <c r="IF403" t="e">
        <f>Asia!B419+"n/&gt;!4(A"</f>
        <v>#VALUE!</v>
      </c>
      <c r="IG403" t="e">
        <f>Asia!C419+"n/&gt;!4(B"</f>
        <v>#VALUE!</v>
      </c>
      <c r="IH403" t="e">
        <f>Asia!D419+"n/&gt;!4(C"</f>
        <v>#VALUE!</v>
      </c>
      <c r="II403" t="e">
        <f>Asia!E419+"n/&gt;!4(D"</f>
        <v>#VALUE!</v>
      </c>
      <c r="IJ403" t="e">
        <f>Asia!F419+"n/&gt;!4(E"</f>
        <v>#VALUE!</v>
      </c>
      <c r="IK403" t="e">
        <f>Asia!G419+"n/&gt;!4(F"</f>
        <v>#VALUE!</v>
      </c>
      <c r="IL403" t="e">
        <f>Asia!H419+"n/&gt;!4(G"</f>
        <v>#VALUE!</v>
      </c>
      <c r="IM403" t="e">
        <f>Asia!I419+"n/&gt;!4(H"</f>
        <v>#VALUE!</v>
      </c>
      <c r="IN403" t="e">
        <f>Asia!A420+"n/&gt;!4(I"</f>
        <v>#VALUE!</v>
      </c>
      <c r="IO403" t="e">
        <f>Asia!B420+"n/&gt;!4(J"</f>
        <v>#VALUE!</v>
      </c>
      <c r="IP403" t="e">
        <f>Asia!C420+"n/&gt;!4(K"</f>
        <v>#VALUE!</v>
      </c>
      <c r="IQ403" t="e">
        <f>Asia!D420+"n/&gt;!4(L"</f>
        <v>#VALUE!</v>
      </c>
      <c r="IR403" t="e">
        <f>Asia!E420+"n/&gt;!4(M"</f>
        <v>#VALUE!</v>
      </c>
      <c r="IS403" t="e">
        <f>Asia!F420+"n/&gt;!4(N"</f>
        <v>#VALUE!</v>
      </c>
      <c r="IT403" t="e">
        <f>Asia!G420+"n/&gt;!4(O"</f>
        <v>#VALUE!</v>
      </c>
      <c r="IU403" t="e">
        <f>Asia!H420+"n/&gt;!4(P"</f>
        <v>#VALUE!</v>
      </c>
      <c r="IV403" t="e">
        <f>Asia!I420+"n/&gt;!4(Q"</f>
        <v>#VALUE!</v>
      </c>
    </row>
    <row r="404" spans="6:256" x14ac:dyDescent="0.35">
      <c r="F404" t="e">
        <f>Asia!A421+"n/&gt;!4(R"</f>
        <v>#VALUE!</v>
      </c>
      <c r="G404" t="e">
        <f>Asia!B421+"n/&gt;!4(S"</f>
        <v>#VALUE!</v>
      </c>
      <c r="H404" t="e">
        <f>Asia!C421+"n/&gt;!4(T"</f>
        <v>#VALUE!</v>
      </c>
      <c r="I404" t="e">
        <f>Asia!D421+"n/&gt;!4(U"</f>
        <v>#VALUE!</v>
      </c>
      <c r="J404" t="e">
        <f>Asia!E421+"n/&gt;!4(V"</f>
        <v>#VALUE!</v>
      </c>
      <c r="K404" t="e">
        <f>Asia!F421+"n/&gt;!4(W"</f>
        <v>#VALUE!</v>
      </c>
      <c r="L404" t="e">
        <f>Asia!G421+"n/&gt;!4(X"</f>
        <v>#VALUE!</v>
      </c>
      <c r="M404" t="e">
        <f>Asia!H421+"n/&gt;!4(Y"</f>
        <v>#VALUE!</v>
      </c>
      <c r="N404" t="e">
        <f>Asia!I421+"n/&gt;!4(Z"</f>
        <v>#VALUE!</v>
      </c>
      <c r="O404" t="e">
        <f>Asia!A422+"n/&gt;!4(["</f>
        <v>#VALUE!</v>
      </c>
      <c r="P404" t="e">
        <f>Asia!B422+"n/&gt;!4(\"</f>
        <v>#VALUE!</v>
      </c>
      <c r="Q404" t="e">
        <f>Asia!C422+"n/&gt;!4(]"</f>
        <v>#VALUE!</v>
      </c>
      <c r="R404" t="e">
        <f>Asia!D422+"n/&gt;!4(^"</f>
        <v>#VALUE!</v>
      </c>
      <c r="S404" t="e">
        <f>Asia!E422+"n/&gt;!4(_"</f>
        <v>#VALUE!</v>
      </c>
      <c r="T404" t="e">
        <f>Asia!F422+"n/&gt;!4(`"</f>
        <v>#VALUE!</v>
      </c>
      <c r="U404" t="e">
        <f>Asia!G422+"n/&gt;!4(a"</f>
        <v>#VALUE!</v>
      </c>
      <c r="V404" t="e">
        <f>Asia!H422+"n/&gt;!4(b"</f>
        <v>#VALUE!</v>
      </c>
      <c r="W404" t="e">
        <f>Asia!I422+"n/&gt;!4(c"</f>
        <v>#VALUE!</v>
      </c>
      <c r="X404" t="e">
        <f>Asia!A423+"n/&gt;!4(d"</f>
        <v>#VALUE!</v>
      </c>
      <c r="Y404" t="e">
        <f>Asia!B423+"n/&gt;!4(e"</f>
        <v>#VALUE!</v>
      </c>
      <c r="Z404" t="e">
        <f>Asia!C423+"n/&gt;!4(f"</f>
        <v>#VALUE!</v>
      </c>
      <c r="AA404" t="e">
        <f>Asia!D423+"n/&gt;!4(g"</f>
        <v>#VALUE!</v>
      </c>
      <c r="AB404" t="e">
        <f>Asia!E423+"n/&gt;!4(h"</f>
        <v>#VALUE!</v>
      </c>
      <c r="AC404" t="e">
        <f>Asia!F423+"n/&gt;!4(i"</f>
        <v>#VALUE!</v>
      </c>
      <c r="AD404" t="e">
        <f>Asia!G423+"n/&gt;!4(j"</f>
        <v>#VALUE!</v>
      </c>
      <c r="AE404" t="e">
        <f>Asia!H423+"n/&gt;!4(k"</f>
        <v>#VALUE!</v>
      </c>
      <c r="AF404" t="e">
        <f>Asia!I423+"n/&gt;!4(l"</f>
        <v>#VALUE!</v>
      </c>
      <c r="AG404" t="e">
        <f>Asia!A424+"n/&gt;!4(m"</f>
        <v>#VALUE!</v>
      </c>
      <c r="AH404" t="e">
        <f>Asia!B424+"n/&gt;!4(n"</f>
        <v>#VALUE!</v>
      </c>
      <c r="AI404" t="e">
        <f>Asia!C424+"n/&gt;!4(o"</f>
        <v>#VALUE!</v>
      </c>
      <c r="AJ404" t="e">
        <f>Asia!D424+"n/&gt;!4(p"</f>
        <v>#VALUE!</v>
      </c>
      <c r="AK404" t="e">
        <f>Asia!E424+"n/&gt;!4(q"</f>
        <v>#VALUE!</v>
      </c>
      <c r="AL404" t="e">
        <f>Asia!F424+"n/&gt;!4(r"</f>
        <v>#VALUE!</v>
      </c>
      <c r="AM404" t="e">
        <f>Asia!G424+"n/&gt;!4(s"</f>
        <v>#VALUE!</v>
      </c>
      <c r="AN404" t="e">
        <f>Asia!H424+"n/&gt;!4(t"</f>
        <v>#VALUE!</v>
      </c>
      <c r="AO404" t="e">
        <f>Asia!I424+"n/&gt;!4(u"</f>
        <v>#VALUE!</v>
      </c>
      <c r="AP404" t="e">
        <f>Asia!A425+"n/&gt;!4(v"</f>
        <v>#VALUE!</v>
      </c>
      <c r="AQ404" t="e">
        <f>Asia!B425+"n/&gt;!4(w"</f>
        <v>#VALUE!</v>
      </c>
      <c r="AR404" t="e">
        <f>Asia!C425+"n/&gt;!4(x"</f>
        <v>#VALUE!</v>
      </c>
      <c r="AS404" t="e">
        <f>Asia!D425+"n/&gt;!4(y"</f>
        <v>#VALUE!</v>
      </c>
      <c r="AT404" t="e">
        <f>Asia!E425+"n/&gt;!4(z"</f>
        <v>#VALUE!</v>
      </c>
      <c r="AU404" t="e">
        <f>Asia!F425+"n/&gt;!4({"</f>
        <v>#VALUE!</v>
      </c>
      <c r="AV404" t="e">
        <f>Asia!G425+"n/&gt;!4(|"</f>
        <v>#VALUE!</v>
      </c>
      <c r="AW404" t="e">
        <f>Asia!H425+"n/&gt;!4(}"</f>
        <v>#VALUE!</v>
      </c>
      <c r="AX404" t="e">
        <f>Asia!I425+"n/&gt;!4(~"</f>
        <v>#VALUE!</v>
      </c>
      <c r="AY404" t="e">
        <f>Asia!A426+"n/&gt;!4)#"</f>
        <v>#VALUE!</v>
      </c>
      <c r="AZ404" t="e">
        <f>Asia!B426+"n/&gt;!4)$"</f>
        <v>#VALUE!</v>
      </c>
      <c r="BA404" t="e">
        <f>Asia!C426+"n/&gt;!4)%"</f>
        <v>#VALUE!</v>
      </c>
      <c r="BB404" t="e">
        <f>Asia!D426+"n/&gt;!4)&amp;"</f>
        <v>#VALUE!</v>
      </c>
      <c r="BC404" t="e">
        <f>Asia!E426+"n/&gt;!4)'"</f>
        <v>#VALUE!</v>
      </c>
      <c r="BD404" t="e">
        <f>Asia!F426+"n/&gt;!4)("</f>
        <v>#VALUE!</v>
      </c>
      <c r="BE404" t="e">
        <f>Asia!G426+"n/&gt;!4))"</f>
        <v>#VALUE!</v>
      </c>
      <c r="BF404" t="e">
        <f>Asia!H426+"n/&gt;!4)."</f>
        <v>#VALUE!</v>
      </c>
      <c r="BG404" t="e">
        <f>Asia!I426+"n/&gt;!4)/"</f>
        <v>#VALUE!</v>
      </c>
      <c r="BH404" t="e">
        <f>Asia!A427+"n/&gt;!4)0"</f>
        <v>#VALUE!</v>
      </c>
      <c r="BI404" t="e">
        <f>Asia!B427+"n/&gt;!4)1"</f>
        <v>#VALUE!</v>
      </c>
      <c r="BJ404" t="e">
        <f>Asia!C427+"n/&gt;!4)2"</f>
        <v>#VALUE!</v>
      </c>
      <c r="BK404" t="e">
        <f>Asia!D427+"n/&gt;!4)3"</f>
        <v>#VALUE!</v>
      </c>
      <c r="BL404" t="e">
        <f>Asia!E427+"n/&gt;!4)4"</f>
        <v>#VALUE!</v>
      </c>
      <c r="BM404" t="e">
        <f>Asia!F427+"n/&gt;!4)5"</f>
        <v>#VALUE!</v>
      </c>
      <c r="BN404" t="e">
        <f>Asia!G427+"n/&gt;!4)6"</f>
        <v>#VALUE!</v>
      </c>
      <c r="BO404" t="e">
        <f>Asia!H427+"n/&gt;!4)7"</f>
        <v>#VALUE!</v>
      </c>
      <c r="BP404" t="e">
        <f>Asia!I427+"n/&gt;!4)8"</f>
        <v>#VALUE!</v>
      </c>
      <c r="BQ404" t="e">
        <f>Asia!A428+"n/&gt;!4)9"</f>
        <v>#VALUE!</v>
      </c>
      <c r="BR404" t="e">
        <f>Asia!B428+"n/&gt;!4):"</f>
        <v>#VALUE!</v>
      </c>
      <c r="BS404" t="e">
        <f>Asia!C428+"n/&gt;!4);"</f>
        <v>#VALUE!</v>
      </c>
      <c r="BT404" t="e">
        <f>Asia!D428+"n/&gt;!4)&lt;"</f>
        <v>#VALUE!</v>
      </c>
      <c r="BU404" t="e">
        <f>Asia!E428+"n/&gt;!4)="</f>
        <v>#VALUE!</v>
      </c>
      <c r="BV404" t="e">
        <f>Asia!F428+"n/&gt;!4)&gt;"</f>
        <v>#VALUE!</v>
      </c>
      <c r="BW404" t="e">
        <f>Asia!G428+"n/&gt;!4)?"</f>
        <v>#VALUE!</v>
      </c>
      <c r="BX404" t="e">
        <f>Asia!H428+"n/&gt;!4)@"</f>
        <v>#VALUE!</v>
      </c>
      <c r="BY404" t="e">
        <f>Asia!I428+"n/&gt;!4)A"</f>
        <v>#VALUE!</v>
      </c>
      <c r="BZ404" t="e">
        <f>Asia!A429+"n/&gt;!4)B"</f>
        <v>#VALUE!</v>
      </c>
      <c r="CA404" t="e">
        <f>Asia!B429+"n/&gt;!4)C"</f>
        <v>#VALUE!</v>
      </c>
      <c r="CB404" t="e">
        <f>Asia!C429+"n/&gt;!4)D"</f>
        <v>#VALUE!</v>
      </c>
      <c r="CC404" t="e">
        <f>Asia!D429+"n/&gt;!4)E"</f>
        <v>#VALUE!</v>
      </c>
      <c r="CD404" t="e">
        <f>Asia!E429+"n/&gt;!4)F"</f>
        <v>#VALUE!</v>
      </c>
      <c r="CE404" t="e">
        <f>Asia!F429+"n/&gt;!4)G"</f>
        <v>#VALUE!</v>
      </c>
      <c r="CF404" t="e">
        <f>Asia!G429+"n/&gt;!4)H"</f>
        <v>#VALUE!</v>
      </c>
      <c r="CG404" t="e">
        <f>Asia!H429+"n/&gt;!4)I"</f>
        <v>#VALUE!</v>
      </c>
      <c r="CH404" t="e">
        <f>Asia!I429+"n/&gt;!4)J"</f>
        <v>#VALUE!</v>
      </c>
      <c r="CI404" t="e">
        <f>Asia!A430+"n/&gt;!4)K"</f>
        <v>#VALUE!</v>
      </c>
      <c r="CJ404" t="e">
        <f>Asia!B430+"n/&gt;!4)L"</f>
        <v>#VALUE!</v>
      </c>
      <c r="CK404" t="e">
        <f>Asia!C430+"n/&gt;!4)M"</f>
        <v>#VALUE!</v>
      </c>
      <c r="CL404" t="e">
        <f>Asia!D430+"n/&gt;!4)N"</f>
        <v>#VALUE!</v>
      </c>
      <c r="CM404" t="e">
        <f>Asia!E430+"n/&gt;!4)O"</f>
        <v>#VALUE!</v>
      </c>
      <c r="CN404" t="e">
        <f>Asia!F430+"n/&gt;!4)P"</f>
        <v>#VALUE!</v>
      </c>
      <c r="CO404" t="e">
        <f>Asia!G430+"n/&gt;!4)Q"</f>
        <v>#VALUE!</v>
      </c>
      <c r="CP404" t="e">
        <f>Asia!H430+"n/&gt;!4)R"</f>
        <v>#VALUE!</v>
      </c>
      <c r="CQ404" t="e">
        <f>Asia!I430+"n/&gt;!4)S"</f>
        <v>#VALUE!</v>
      </c>
      <c r="CR404" t="e">
        <f>Asia!A431+"n/&gt;!4)T"</f>
        <v>#VALUE!</v>
      </c>
      <c r="CS404" t="e">
        <f>Asia!B431+"n/&gt;!4)U"</f>
        <v>#VALUE!</v>
      </c>
      <c r="CT404" t="e">
        <f>Asia!C431+"n/&gt;!4)V"</f>
        <v>#VALUE!</v>
      </c>
      <c r="CU404" t="e">
        <f>Asia!D431+"n/&gt;!4)W"</f>
        <v>#VALUE!</v>
      </c>
      <c r="CV404" t="e">
        <f>Asia!E431+"n/&gt;!4)X"</f>
        <v>#VALUE!</v>
      </c>
      <c r="CW404" t="e">
        <f>Asia!F431+"n/&gt;!4)Y"</f>
        <v>#VALUE!</v>
      </c>
      <c r="CX404" t="e">
        <f>Asia!G431+"n/&gt;!4)Z"</f>
        <v>#VALUE!</v>
      </c>
      <c r="CY404" t="e">
        <f>Asia!H431+"n/&gt;!4)["</f>
        <v>#VALUE!</v>
      </c>
      <c r="CZ404" t="e">
        <f>Asia!I431+"n/&gt;!4)\"</f>
        <v>#VALUE!</v>
      </c>
      <c r="DA404" t="e">
        <f>Asia!A432+"n/&gt;!4)]"</f>
        <v>#VALUE!</v>
      </c>
      <c r="DB404" t="e">
        <f>Asia!B432+"n/&gt;!4)^"</f>
        <v>#VALUE!</v>
      </c>
      <c r="DC404" t="e">
        <f>Asia!C432+"n/&gt;!4)_"</f>
        <v>#VALUE!</v>
      </c>
      <c r="DD404" t="e">
        <f>Asia!D432+"n/&gt;!4)`"</f>
        <v>#VALUE!</v>
      </c>
      <c r="DE404" t="e">
        <f>Asia!E432+"n/&gt;!4)a"</f>
        <v>#VALUE!</v>
      </c>
      <c r="DF404" t="e">
        <f>Asia!F432+"n/&gt;!4)b"</f>
        <v>#VALUE!</v>
      </c>
      <c r="DG404" t="e">
        <f>Asia!G432+"n/&gt;!4)c"</f>
        <v>#VALUE!</v>
      </c>
      <c r="DH404" t="e">
        <f>Asia!H432+"n/&gt;!4)d"</f>
        <v>#VALUE!</v>
      </c>
      <c r="DI404" t="e">
        <f>Asia!I432+"n/&gt;!4)e"</f>
        <v>#VALUE!</v>
      </c>
      <c r="DJ404" t="e">
        <f>Asia!A433+"n/&gt;!4)f"</f>
        <v>#VALUE!</v>
      </c>
      <c r="DK404" t="e">
        <f>Asia!B433+"n/&gt;!4)g"</f>
        <v>#VALUE!</v>
      </c>
      <c r="DL404" t="e">
        <f>Asia!C433+"n/&gt;!4)h"</f>
        <v>#VALUE!</v>
      </c>
      <c r="DM404" t="e">
        <f>Asia!D433+"n/&gt;!4)i"</f>
        <v>#VALUE!</v>
      </c>
      <c r="DN404" t="e">
        <f>Asia!E433+"n/&gt;!4)j"</f>
        <v>#VALUE!</v>
      </c>
      <c r="DO404" t="e">
        <f>Asia!F433+"n/&gt;!4)k"</f>
        <v>#VALUE!</v>
      </c>
      <c r="DP404" t="e">
        <f>Asia!G433+"n/&gt;!4)l"</f>
        <v>#VALUE!</v>
      </c>
      <c r="DQ404" t="e">
        <f>Asia!H433+"n/&gt;!4)m"</f>
        <v>#VALUE!</v>
      </c>
      <c r="DR404" t="e">
        <f>Asia!I433+"n/&gt;!4)n"</f>
        <v>#VALUE!</v>
      </c>
      <c r="DS404" t="e">
        <f>Asia!A434+"n/&gt;!4)o"</f>
        <v>#VALUE!</v>
      </c>
      <c r="DT404" t="e">
        <f>Asia!B434+"n/&gt;!4)p"</f>
        <v>#VALUE!</v>
      </c>
      <c r="DU404" t="e">
        <f>Asia!C434+"n/&gt;!4)q"</f>
        <v>#VALUE!</v>
      </c>
      <c r="DV404" t="e">
        <f>Asia!D434+"n/&gt;!4)r"</f>
        <v>#VALUE!</v>
      </c>
      <c r="DW404" t="e">
        <f>Asia!E434+"n/&gt;!4)s"</f>
        <v>#VALUE!</v>
      </c>
      <c r="DX404" t="e">
        <f>Asia!F434+"n/&gt;!4)t"</f>
        <v>#VALUE!</v>
      </c>
      <c r="DY404" t="e">
        <f>Asia!G434+"n/&gt;!4)u"</f>
        <v>#VALUE!</v>
      </c>
      <c r="DZ404" t="e">
        <f>Asia!H434+"n/&gt;!4)v"</f>
        <v>#VALUE!</v>
      </c>
      <c r="EA404" t="e">
        <f>Asia!I434+"n/&gt;!4)w"</f>
        <v>#VALUE!</v>
      </c>
      <c r="EB404" t="e">
        <f>Asia!A435+"n/&gt;!4)x"</f>
        <v>#VALUE!</v>
      </c>
      <c r="EC404" t="e">
        <f>Asia!B435+"n/&gt;!4)y"</f>
        <v>#VALUE!</v>
      </c>
      <c r="ED404" t="e">
        <f>Asia!C435+"n/&gt;!4)z"</f>
        <v>#VALUE!</v>
      </c>
      <c r="EE404" t="e">
        <f>Asia!D435+"n/&gt;!4){"</f>
        <v>#VALUE!</v>
      </c>
      <c r="EF404" t="e">
        <f>Asia!E435+"n/&gt;!4)|"</f>
        <v>#VALUE!</v>
      </c>
      <c r="EG404" t="e">
        <f>Asia!F435+"n/&gt;!4)}"</f>
        <v>#VALUE!</v>
      </c>
      <c r="EH404" t="e">
        <f>Asia!G435+"n/&gt;!4)~"</f>
        <v>#VALUE!</v>
      </c>
      <c r="EI404" t="e">
        <f>Asia!H435+"n/&gt;!4.#"</f>
        <v>#VALUE!</v>
      </c>
      <c r="EJ404" t="e">
        <f>Asia!I435+"n/&gt;!4.$"</f>
        <v>#VALUE!</v>
      </c>
      <c r="EK404" t="e">
        <f>Asia!A436+"n/&gt;!4.%"</f>
        <v>#VALUE!</v>
      </c>
      <c r="EL404" t="e">
        <f>Asia!B436+"n/&gt;!4.&amp;"</f>
        <v>#VALUE!</v>
      </c>
      <c r="EM404" t="e">
        <f>Asia!C436+"n/&gt;!4.'"</f>
        <v>#VALUE!</v>
      </c>
      <c r="EN404" t="e">
        <f>Asia!D436+"n/&gt;!4.("</f>
        <v>#VALUE!</v>
      </c>
      <c r="EO404" t="e">
        <f>Asia!E436+"n/&gt;!4.)"</f>
        <v>#VALUE!</v>
      </c>
      <c r="EP404" t="e">
        <f>Asia!F436+"n/&gt;!4.."</f>
        <v>#VALUE!</v>
      </c>
      <c r="EQ404" t="e">
        <f>Asia!G436+"n/&gt;!4./"</f>
        <v>#VALUE!</v>
      </c>
      <c r="ER404" t="e">
        <f>Asia!H436+"n/&gt;!4.0"</f>
        <v>#VALUE!</v>
      </c>
      <c r="ES404" t="e">
        <f>Asia!I436+"n/&gt;!4.1"</f>
        <v>#VALUE!</v>
      </c>
      <c r="ET404" t="e">
        <f>Asia!A437+"n/&gt;!4.2"</f>
        <v>#VALUE!</v>
      </c>
      <c r="EU404" t="e">
        <f>Asia!B437+"n/&gt;!4.3"</f>
        <v>#VALUE!</v>
      </c>
      <c r="EV404" t="e">
        <f>Asia!C437+"n/&gt;!4.4"</f>
        <v>#VALUE!</v>
      </c>
      <c r="EW404" t="e">
        <f>Asia!D437+"n/&gt;!4.5"</f>
        <v>#VALUE!</v>
      </c>
      <c r="EX404" t="e">
        <f>Asia!E437+"n/&gt;!4.6"</f>
        <v>#VALUE!</v>
      </c>
      <c r="EY404" t="e">
        <f>Asia!F437+"n/&gt;!4.7"</f>
        <v>#VALUE!</v>
      </c>
      <c r="EZ404" t="e">
        <f>Asia!G437+"n/&gt;!4.8"</f>
        <v>#VALUE!</v>
      </c>
      <c r="FA404" t="e">
        <f>Asia!H437+"n/&gt;!4.9"</f>
        <v>#VALUE!</v>
      </c>
      <c r="FB404" t="e">
        <f>Asia!I437+"n/&gt;!4.:"</f>
        <v>#VALUE!</v>
      </c>
      <c r="FC404" t="e">
        <f>Asia!A438+"n/&gt;!4.;"</f>
        <v>#VALUE!</v>
      </c>
      <c r="FD404" t="e">
        <f>Asia!B438+"n/&gt;!4.&lt;"</f>
        <v>#VALUE!</v>
      </c>
      <c r="FE404" t="e">
        <f>Asia!C438+"n/&gt;!4.="</f>
        <v>#VALUE!</v>
      </c>
      <c r="FF404" t="e">
        <f>Asia!D438+"n/&gt;!4.&gt;"</f>
        <v>#VALUE!</v>
      </c>
      <c r="FG404" t="e">
        <f>Asia!E438+"n/&gt;!4.?"</f>
        <v>#VALUE!</v>
      </c>
      <c r="FH404" t="e">
        <f>Asia!F438+"n/&gt;!4.@"</f>
        <v>#VALUE!</v>
      </c>
      <c r="FI404" t="e">
        <f>Asia!G438+"n/&gt;!4.A"</f>
        <v>#VALUE!</v>
      </c>
      <c r="FJ404" t="e">
        <f>Asia!H438+"n/&gt;!4.B"</f>
        <v>#VALUE!</v>
      </c>
      <c r="FK404" t="e">
        <f>Asia!I438+"n/&gt;!4.C"</f>
        <v>#VALUE!</v>
      </c>
      <c r="FL404" t="e">
        <f>Asia!A439+"n/&gt;!4.D"</f>
        <v>#VALUE!</v>
      </c>
      <c r="FM404" t="e">
        <f>Asia!B439+"n/&gt;!4.E"</f>
        <v>#VALUE!</v>
      </c>
      <c r="FN404" t="e">
        <f>Asia!C439+"n/&gt;!4.F"</f>
        <v>#VALUE!</v>
      </c>
      <c r="FO404" t="e">
        <f>Asia!D439+"n/&gt;!4.G"</f>
        <v>#VALUE!</v>
      </c>
      <c r="FP404" t="e">
        <f>Asia!E439+"n/&gt;!4.H"</f>
        <v>#VALUE!</v>
      </c>
      <c r="FQ404" t="e">
        <f>Asia!F439+"n/&gt;!4.I"</f>
        <v>#VALUE!</v>
      </c>
      <c r="FR404" t="e">
        <f>Asia!G439+"n/&gt;!4.J"</f>
        <v>#VALUE!</v>
      </c>
      <c r="FS404" t="e">
        <f>Asia!H439+"n/&gt;!4.K"</f>
        <v>#VALUE!</v>
      </c>
      <c r="FT404" t="e">
        <f>Asia!I439+"n/&gt;!4.L"</f>
        <v>#VALUE!</v>
      </c>
      <c r="FU404" t="e">
        <f>Asia!A440+"n/&gt;!4.M"</f>
        <v>#VALUE!</v>
      </c>
      <c r="FV404" t="e">
        <f>Asia!B440+"n/&gt;!4.N"</f>
        <v>#VALUE!</v>
      </c>
      <c r="FW404" t="e">
        <f>Asia!C440+"n/&gt;!4.O"</f>
        <v>#VALUE!</v>
      </c>
      <c r="FX404" t="e">
        <f>Asia!D440+"n/&gt;!4.P"</f>
        <v>#VALUE!</v>
      </c>
      <c r="FY404" t="e">
        <f>Asia!E440+"n/&gt;!4.Q"</f>
        <v>#VALUE!</v>
      </c>
      <c r="FZ404" t="e">
        <f>Asia!F440+"n/&gt;!4.R"</f>
        <v>#VALUE!</v>
      </c>
      <c r="GA404" t="e">
        <f>Asia!G440+"n/&gt;!4.S"</f>
        <v>#VALUE!</v>
      </c>
      <c r="GB404" t="e">
        <f>Asia!H440+"n/&gt;!4.T"</f>
        <v>#VALUE!</v>
      </c>
      <c r="GC404" t="e">
        <f>Asia!I440+"n/&gt;!4.U"</f>
        <v>#VALUE!</v>
      </c>
      <c r="GD404" t="e">
        <f>Asia!A441+"n/&gt;!4.V"</f>
        <v>#VALUE!</v>
      </c>
      <c r="GE404" t="e">
        <f>Asia!B441+"n/&gt;!4.W"</f>
        <v>#VALUE!</v>
      </c>
      <c r="GF404" t="e">
        <f>Asia!C441+"n/&gt;!4.X"</f>
        <v>#VALUE!</v>
      </c>
      <c r="GG404" t="e">
        <f>Asia!D441+"n/&gt;!4.Y"</f>
        <v>#VALUE!</v>
      </c>
      <c r="GH404" t="e">
        <f>Asia!E441+"n/&gt;!4.Z"</f>
        <v>#VALUE!</v>
      </c>
      <c r="GI404" t="e">
        <f>Asia!F441+"n/&gt;!4.["</f>
        <v>#VALUE!</v>
      </c>
      <c r="GJ404" t="e">
        <f>Asia!G441+"n/&gt;!4.\"</f>
        <v>#VALUE!</v>
      </c>
      <c r="GK404" t="e">
        <f>Asia!H441+"n/&gt;!4.]"</f>
        <v>#VALUE!</v>
      </c>
      <c r="GL404" t="e">
        <f>Asia!I441+"n/&gt;!4.^"</f>
        <v>#VALUE!</v>
      </c>
      <c r="GM404" t="e">
        <f>Asia!A442+"n/&gt;!4._"</f>
        <v>#VALUE!</v>
      </c>
      <c r="GN404" t="e">
        <f>Asia!B442+"n/&gt;!4.`"</f>
        <v>#VALUE!</v>
      </c>
      <c r="GO404" t="e">
        <f>Asia!C442+"n/&gt;!4.a"</f>
        <v>#VALUE!</v>
      </c>
      <c r="GP404" t="e">
        <f>Asia!D442+"n/&gt;!4.b"</f>
        <v>#VALUE!</v>
      </c>
      <c r="GQ404" t="e">
        <f>Asia!E442+"n/&gt;!4.c"</f>
        <v>#VALUE!</v>
      </c>
      <c r="GR404" t="e">
        <f>Asia!F442+"n/&gt;!4.d"</f>
        <v>#VALUE!</v>
      </c>
      <c r="GS404" t="e">
        <f>Asia!G442+"n/&gt;!4.e"</f>
        <v>#VALUE!</v>
      </c>
      <c r="GT404" t="e">
        <f>Asia!H442+"n/&gt;!4.f"</f>
        <v>#VALUE!</v>
      </c>
      <c r="GU404" t="e">
        <f>Asia!I442+"n/&gt;!4.g"</f>
        <v>#VALUE!</v>
      </c>
      <c r="GV404" t="e">
        <f>Asia!A443+"n/&gt;!4.h"</f>
        <v>#VALUE!</v>
      </c>
      <c r="GW404" t="e">
        <f>Asia!B443+"n/&gt;!4.i"</f>
        <v>#VALUE!</v>
      </c>
      <c r="GX404" t="e">
        <f>Asia!C443+"n/&gt;!4.j"</f>
        <v>#VALUE!</v>
      </c>
      <c r="GY404" t="e">
        <f>Asia!D443+"n/&gt;!4.k"</f>
        <v>#VALUE!</v>
      </c>
      <c r="GZ404" t="e">
        <f>Asia!E443+"n/&gt;!4.l"</f>
        <v>#VALUE!</v>
      </c>
      <c r="HA404" t="e">
        <f>Asia!F443+"n/&gt;!4.m"</f>
        <v>#VALUE!</v>
      </c>
      <c r="HB404" t="e">
        <f>Asia!G443+"n/&gt;!4.n"</f>
        <v>#VALUE!</v>
      </c>
      <c r="HC404" t="e">
        <f>Asia!H443+"n/&gt;!4.o"</f>
        <v>#VALUE!</v>
      </c>
      <c r="HD404" t="e">
        <f>Asia!I443+"n/&gt;!4.p"</f>
        <v>#VALUE!</v>
      </c>
      <c r="HE404" t="e">
        <f>Asia!A444+"n/&gt;!4.q"</f>
        <v>#VALUE!</v>
      </c>
      <c r="HF404" t="e">
        <f>Asia!B444+"n/&gt;!4.r"</f>
        <v>#VALUE!</v>
      </c>
      <c r="HG404" t="e">
        <f>Asia!C444+"n/&gt;!4.s"</f>
        <v>#VALUE!</v>
      </c>
      <c r="HH404" t="e">
        <f>Asia!D444+"n/&gt;!4.t"</f>
        <v>#VALUE!</v>
      </c>
      <c r="HI404" t="e">
        <f>Asia!E444+"n/&gt;!4.u"</f>
        <v>#VALUE!</v>
      </c>
      <c r="HJ404" t="e">
        <f>Asia!F444+"n/&gt;!4.v"</f>
        <v>#VALUE!</v>
      </c>
      <c r="HK404" t="e">
        <f>Asia!G444+"n/&gt;!4.w"</f>
        <v>#VALUE!</v>
      </c>
      <c r="HL404" t="e">
        <f>Asia!H444+"n/&gt;!4.x"</f>
        <v>#VALUE!</v>
      </c>
      <c r="HM404" t="e">
        <f>Asia!I444+"n/&gt;!4.y"</f>
        <v>#VALUE!</v>
      </c>
      <c r="HN404" t="e">
        <f>Asia!A445+"n/&gt;!4.z"</f>
        <v>#VALUE!</v>
      </c>
      <c r="HO404" t="e">
        <f>Asia!B445+"n/&gt;!4.{"</f>
        <v>#VALUE!</v>
      </c>
      <c r="HP404" t="e">
        <f>Asia!C445+"n/&gt;!4.|"</f>
        <v>#VALUE!</v>
      </c>
      <c r="HQ404" t="e">
        <f>Asia!D445+"n/&gt;!4.}"</f>
        <v>#VALUE!</v>
      </c>
      <c r="HR404" t="e">
        <f>Asia!E445+"n/&gt;!4.~"</f>
        <v>#VALUE!</v>
      </c>
      <c r="HS404" t="e">
        <f>Asia!F445+"n/&gt;!4/#"</f>
        <v>#VALUE!</v>
      </c>
      <c r="HT404" t="e">
        <f>Asia!G445+"n/&gt;!4/$"</f>
        <v>#VALUE!</v>
      </c>
      <c r="HU404" t="e">
        <f>Asia!H445+"n/&gt;!4/%"</f>
        <v>#VALUE!</v>
      </c>
      <c r="HV404" t="e">
        <f>Asia!I445+"n/&gt;!4/&amp;"</f>
        <v>#VALUE!</v>
      </c>
      <c r="HW404" t="e">
        <f>Asia!A446+"n/&gt;!4/'"</f>
        <v>#VALUE!</v>
      </c>
      <c r="HX404" t="e">
        <f>Asia!B446+"n/&gt;!4/("</f>
        <v>#VALUE!</v>
      </c>
      <c r="HY404" t="e">
        <f>Asia!C446+"n/&gt;!4/)"</f>
        <v>#VALUE!</v>
      </c>
      <c r="HZ404" t="e">
        <f>Asia!D446+"n/&gt;!4/."</f>
        <v>#VALUE!</v>
      </c>
      <c r="IA404" t="e">
        <f>Asia!E446+"n/&gt;!4//"</f>
        <v>#VALUE!</v>
      </c>
      <c r="IB404" t="e">
        <f>Asia!F446+"n/&gt;!4/0"</f>
        <v>#VALUE!</v>
      </c>
      <c r="IC404" t="e">
        <f>Asia!G446+"n/&gt;!4/1"</f>
        <v>#VALUE!</v>
      </c>
      <c r="ID404" t="e">
        <f>Asia!H446+"n/&gt;!4/2"</f>
        <v>#VALUE!</v>
      </c>
      <c r="IE404" t="e">
        <f>Asia!I446+"n/&gt;!4/3"</f>
        <v>#VALUE!</v>
      </c>
      <c r="IF404" t="e">
        <f>Asia!A447+"n/&gt;!4/4"</f>
        <v>#VALUE!</v>
      </c>
      <c r="IG404" t="e">
        <f>Asia!B447+"n/&gt;!4/5"</f>
        <v>#VALUE!</v>
      </c>
      <c r="IH404" t="e">
        <f>Asia!C447+"n/&gt;!4/6"</f>
        <v>#VALUE!</v>
      </c>
      <c r="II404" t="e">
        <f>Asia!D447+"n/&gt;!4/7"</f>
        <v>#VALUE!</v>
      </c>
      <c r="IJ404" t="e">
        <f>Asia!E447+"n/&gt;!4/8"</f>
        <v>#VALUE!</v>
      </c>
      <c r="IK404" t="e">
        <f>Asia!F447+"n/&gt;!4/9"</f>
        <v>#VALUE!</v>
      </c>
      <c r="IL404" t="e">
        <f>Asia!G447+"n/&gt;!4/:"</f>
        <v>#VALUE!</v>
      </c>
      <c r="IM404" t="e">
        <f>Asia!H447+"n/&gt;!4/;"</f>
        <v>#VALUE!</v>
      </c>
      <c r="IN404" t="e">
        <f>Asia!I447+"n/&gt;!4/&lt;"</f>
        <v>#VALUE!</v>
      </c>
      <c r="IO404" t="e">
        <f>Asia!A448+"n/&gt;!4/="</f>
        <v>#VALUE!</v>
      </c>
      <c r="IP404" t="e">
        <f>Asia!B448+"n/&gt;!4/&gt;"</f>
        <v>#VALUE!</v>
      </c>
      <c r="IQ404" t="e">
        <f>Asia!C448+"n/&gt;!4/?"</f>
        <v>#VALUE!</v>
      </c>
      <c r="IR404" t="e">
        <f>Asia!D448+"n/&gt;!4/@"</f>
        <v>#VALUE!</v>
      </c>
      <c r="IS404" t="e">
        <f>Asia!E448+"n/&gt;!4/A"</f>
        <v>#VALUE!</v>
      </c>
      <c r="IT404" t="e">
        <f>Asia!F448+"n/&gt;!4/B"</f>
        <v>#VALUE!</v>
      </c>
      <c r="IU404" t="e">
        <f>Asia!G448+"n/&gt;!4/C"</f>
        <v>#VALUE!</v>
      </c>
      <c r="IV404" t="e">
        <f>Asia!H448+"n/&gt;!4/D"</f>
        <v>#VALUE!</v>
      </c>
    </row>
    <row r="405" spans="6:256" x14ac:dyDescent="0.35">
      <c r="F405" t="e">
        <f>Asia!I448+"n/&gt;!4/E"</f>
        <v>#VALUE!</v>
      </c>
      <c r="G405" t="e">
        <f>Asia!A449+"n/&gt;!4/F"</f>
        <v>#VALUE!</v>
      </c>
      <c r="H405" t="e">
        <f>Asia!B449+"n/&gt;!4/G"</f>
        <v>#VALUE!</v>
      </c>
      <c r="I405" t="e">
        <f>Asia!C449+"n/&gt;!4/H"</f>
        <v>#VALUE!</v>
      </c>
      <c r="J405" t="e">
        <f>Asia!D449+"n/&gt;!4/I"</f>
        <v>#VALUE!</v>
      </c>
      <c r="K405" t="e">
        <f>Asia!E449+"n/&gt;!4/J"</f>
        <v>#VALUE!</v>
      </c>
      <c r="L405" t="e">
        <f>Asia!F449+"n/&gt;!4/K"</f>
        <v>#VALUE!</v>
      </c>
      <c r="M405" t="e">
        <f>Asia!G449+"n/&gt;!4/L"</f>
        <v>#VALUE!</v>
      </c>
      <c r="N405" t="e">
        <f>Asia!H449+"n/&gt;!4/M"</f>
        <v>#VALUE!</v>
      </c>
      <c r="O405" t="e">
        <f>Asia!I449+"n/&gt;!4/N"</f>
        <v>#VALUE!</v>
      </c>
      <c r="P405" t="e">
        <f>Asia!A450+"n/&gt;!4/O"</f>
        <v>#VALUE!</v>
      </c>
      <c r="Q405" t="e">
        <f>Asia!B450+"n/&gt;!4/P"</f>
        <v>#VALUE!</v>
      </c>
      <c r="R405" t="e">
        <f>Asia!C450+"n/&gt;!4/Q"</f>
        <v>#VALUE!</v>
      </c>
      <c r="S405" t="e">
        <f>Asia!D450+"n/&gt;!4/R"</f>
        <v>#VALUE!</v>
      </c>
      <c r="T405" t="e">
        <f>Asia!E450+"n/&gt;!4/S"</f>
        <v>#VALUE!</v>
      </c>
      <c r="U405" t="e">
        <f>Asia!F450+"n/&gt;!4/T"</f>
        <v>#VALUE!</v>
      </c>
      <c r="V405" t="e">
        <f>Asia!G450+"n/&gt;!4/U"</f>
        <v>#VALUE!</v>
      </c>
      <c r="W405" t="e">
        <f>Asia!H450+"n/&gt;!4/V"</f>
        <v>#VALUE!</v>
      </c>
      <c r="X405" t="e">
        <f>Asia!I450+"n/&gt;!4/W"</f>
        <v>#VALUE!</v>
      </c>
      <c r="Y405" t="e">
        <f>Asia!A451+"n/&gt;!4/X"</f>
        <v>#VALUE!</v>
      </c>
      <c r="Z405" t="e">
        <f>Asia!B451+"n/&gt;!4/Y"</f>
        <v>#VALUE!</v>
      </c>
      <c r="AA405" t="e">
        <f>Asia!C451+"n/&gt;!4/Z"</f>
        <v>#VALUE!</v>
      </c>
      <c r="AB405" t="e">
        <f>Asia!D451+"n/&gt;!4/["</f>
        <v>#VALUE!</v>
      </c>
      <c r="AC405" t="e">
        <f>Asia!E451+"n/&gt;!4/\"</f>
        <v>#VALUE!</v>
      </c>
      <c r="AD405" t="e">
        <f>Asia!F451+"n/&gt;!4/]"</f>
        <v>#VALUE!</v>
      </c>
      <c r="AE405" t="e">
        <f>Asia!G451+"n/&gt;!4/^"</f>
        <v>#VALUE!</v>
      </c>
      <c r="AF405" t="e">
        <f>Asia!H451+"n/&gt;!4/_"</f>
        <v>#VALUE!</v>
      </c>
      <c r="AG405" t="e">
        <f>Asia!I451+"n/&gt;!4/`"</f>
        <v>#VALUE!</v>
      </c>
      <c r="AH405" t="e">
        <f>Asia!A452+"n/&gt;!4/a"</f>
        <v>#VALUE!</v>
      </c>
      <c r="AI405" t="e">
        <f>Asia!B452+"n/&gt;!4/b"</f>
        <v>#VALUE!</v>
      </c>
      <c r="AJ405" t="e">
        <f>Asia!C452+"n/&gt;!4/c"</f>
        <v>#VALUE!</v>
      </c>
      <c r="AK405" t="e">
        <f>Asia!D452+"n/&gt;!4/d"</f>
        <v>#VALUE!</v>
      </c>
      <c r="AL405" t="e">
        <f>Asia!E452+"n/&gt;!4/e"</f>
        <v>#VALUE!</v>
      </c>
      <c r="AM405" t="e">
        <f>Asia!F452+"n/&gt;!4/f"</f>
        <v>#VALUE!</v>
      </c>
      <c r="AN405" t="e">
        <f>Asia!G452+"n/&gt;!4/g"</f>
        <v>#VALUE!</v>
      </c>
      <c r="AO405" t="e">
        <f>Asia!H452+"n/&gt;!4/h"</f>
        <v>#VALUE!</v>
      </c>
      <c r="AP405" t="e">
        <f>Asia!I452+"n/&gt;!4/i"</f>
        <v>#VALUE!</v>
      </c>
      <c r="AQ405" t="e">
        <f>Asia!A453+"n/&gt;!4/j"</f>
        <v>#VALUE!</v>
      </c>
      <c r="AR405" t="e">
        <f>Asia!B453+"n/&gt;!4/k"</f>
        <v>#VALUE!</v>
      </c>
      <c r="AS405" t="e">
        <f>Asia!C453+"n/&gt;!4/l"</f>
        <v>#VALUE!</v>
      </c>
      <c r="AT405" t="e">
        <f>Asia!D453+"n/&gt;!4/m"</f>
        <v>#VALUE!</v>
      </c>
      <c r="AU405" t="e">
        <f>Asia!E453+"n/&gt;!4/n"</f>
        <v>#VALUE!</v>
      </c>
      <c r="AV405" t="e">
        <f>Asia!F453+"n/&gt;!4/o"</f>
        <v>#VALUE!</v>
      </c>
      <c r="AW405" t="e">
        <f>Asia!G453+"n/&gt;!4/p"</f>
        <v>#VALUE!</v>
      </c>
      <c r="AX405" t="e">
        <f>Asia!H453+"n/&gt;!4/q"</f>
        <v>#VALUE!</v>
      </c>
      <c r="AY405" t="e">
        <f>Asia!I453+"n/&gt;!4/r"</f>
        <v>#VALUE!</v>
      </c>
      <c r="AZ405" t="e">
        <f>Asia!A454+"n/&gt;!4/s"</f>
        <v>#VALUE!</v>
      </c>
      <c r="BA405" t="e">
        <f>Asia!B454+"n/&gt;!4/t"</f>
        <v>#VALUE!</v>
      </c>
      <c r="BB405" t="e">
        <f>Asia!C454+"n/&gt;!4/u"</f>
        <v>#VALUE!</v>
      </c>
      <c r="BC405" t="e">
        <f>Asia!D454+"n/&gt;!4/v"</f>
        <v>#VALUE!</v>
      </c>
      <c r="BD405" t="e">
        <f>Asia!E454+"n/&gt;!4/w"</f>
        <v>#VALUE!</v>
      </c>
      <c r="BE405" t="e">
        <f>Asia!F454+"n/&gt;!4/x"</f>
        <v>#VALUE!</v>
      </c>
      <c r="BF405" t="e">
        <f>Asia!G454+"n/&gt;!4/y"</f>
        <v>#VALUE!</v>
      </c>
      <c r="BG405" t="e">
        <f>Asia!H454+"n/&gt;!4/z"</f>
        <v>#VALUE!</v>
      </c>
      <c r="BH405" t="e">
        <f>Asia!I454+"n/&gt;!4/{"</f>
        <v>#VALUE!</v>
      </c>
      <c r="BI405" t="e">
        <f>Asia!A455+"n/&gt;!4/|"</f>
        <v>#VALUE!</v>
      </c>
      <c r="BJ405" t="e">
        <f>Asia!B455+"n/&gt;!4/}"</f>
        <v>#VALUE!</v>
      </c>
      <c r="BK405" t="e">
        <f>Asia!C455+"n/&gt;!4/~"</f>
        <v>#VALUE!</v>
      </c>
      <c r="BL405" t="e">
        <f>Asia!D455+"n/&gt;!40#"</f>
        <v>#VALUE!</v>
      </c>
      <c r="BM405" t="e">
        <f>Asia!E455+"n/&gt;!40$"</f>
        <v>#VALUE!</v>
      </c>
      <c r="BN405" t="e">
        <f>Asia!F455+"n/&gt;!40%"</f>
        <v>#VALUE!</v>
      </c>
      <c r="BO405" t="e">
        <f>Asia!G455+"n/&gt;!40&amp;"</f>
        <v>#VALUE!</v>
      </c>
      <c r="BP405" t="e">
        <f>Asia!H455+"n/&gt;!40'"</f>
        <v>#VALUE!</v>
      </c>
      <c r="BQ405" t="e">
        <f>Asia!I455+"n/&gt;!40("</f>
        <v>#VALUE!</v>
      </c>
      <c r="BR405" t="e">
        <f>Asia!A456+"n/&gt;!40)"</f>
        <v>#VALUE!</v>
      </c>
      <c r="BS405" t="e">
        <f>Asia!B456+"n/&gt;!40."</f>
        <v>#VALUE!</v>
      </c>
      <c r="BT405" t="e">
        <f>Asia!C456+"n/&gt;!40/"</f>
        <v>#VALUE!</v>
      </c>
      <c r="BU405" t="e">
        <f>Asia!D456+"n/&gt;!400"</f>
        <v>#VALUE!</v>
      </c>
      <c r="BV405" t="e">
        <f>Asia!E456+"n/&gt;!401"</f>
        <v>#VALUE!</v>
      </c>
      <c r="BW405" t="e">
        <f>Asia!F456+"n/&gt;!402"</f>
        <v>#VALUE!</v>
      </c>
      <c r="BX405" t="e">
        <f>Asia!G456+"n/&gt;!403"</f>
        <v>#VALUE!</v>
      </c>
      <c r="BY405" t="e">
        <f>Asia!H456+"n/&gt;!404"</f>
        <v>#VALUE!</v>
      </c>
      <c r="BZ405" t="e">
        <f>Asia!I456+"n/&gt;!405"</f>
        <v>#VALUE!</v>
      </c>
      <c r="CA405" t="e">
        <f>Asia!A457+"n/&gt;!406"</f>
        <v>#VALUE!</v>
      </c>
      <c r="CB405" t="e">
        <f>Asia!B457+"n/&gt;!407"</f>
        <v>#VALUE!</v>
      </c>
      <c r="CC405" t="e">
        <f>Asia!C457+"n/&gt;!408"</f>
        <v>#VALUE!</v>
      </c>
      <c r="CD405" t="e">
        <f>Asia!D457+"n/&gt;!409"</f>
        <v>#VALUE!</v>
      </c>
      <c r="CE405" t="e">
        <f>Asia!E457+"n/&gt;!40:"</f>
        <v>#VALUE!</v>
      </c>
      <c r="CF405" t="e">
        <f>Asia!F457+"n/&gt;!40;"</f>
        <v>#VALUE!</v>
      </c>
      <c r="CG405" t="e">
        <f>Asia!G457+"n/&gt;!40&lt;"</f>
        <v>#VALUE!</v>
      </c>
      <c r="CH405" t="e">
        <f>Asia!H457+"n/&gt;!40="</f>
        <v>#VALUE!</v>
      </c>
      <c r="CI405" t="e">
        <f>Asia!I457+"n/&gt;!40&gt;"</f>
        <v>#VALUE!</v>
      </c>
      <c r="CJ405" t="e">
        <f>Asia!A458+"n/&gt;!40?"</f>
        <v>#VALUE!</v>
      </c>
      <c r="CK405" t="e">
        <f>Asia!B458+"n/&gt;!40@"</f>
        <v>#VALUE!</v>
      </c>
      <c r="CL405" t="e">
        <f>Asia!C458+"n/&gt;!40A"</f>
        <v>#VALUE!</v>
      </c>
      <c r="CM405" t="e">
        <f>Asia!D458+"n/&gt;!40B"</f>
        <v>#VALUE!</v>
      </c>
      <c r="CN405" t="e">
        <f>Asia!E458+"n/&gt;!40C"</f>
        <v>#VALUE!</v>
      </c>
      <c r="CO405" t="e">
        <f>Asia!F458+"n/&gt;!40D"</f>
        <v>#VALUE!</v>
      </c>
      <c r="CP405" t="e">
        <f>Asia!G458+"n/&gt;!40E"</f>
        <v>#VALUE!</v>
      </c>
      <c r="CQ405" t="e">
        <f>Asia!H458+"n/&gt;!40F"</f>
        <v>#VALUE!</v>
      </c>
      <c r="CR405" t="e">
        <f>Asia!I458+"n/&gt;!40G"</f>
        <v>#VALUE!</v>
      </c>
      <c r="CS405" t="e">
        <f>Asia!A459+"n/&gt;!40H"</f>
        <v>#VALUE!</v>
      </c>
      <c r="CT405" t="e">
        <f>Asia!B459+"n/&gt;!40I"</f>
        <v>#VALUE!</v>
      </c>
      <c r="CU405" t="e">
        <f>Asia!C459+"n/&gt;!40J"</f>
        <v>#VALUE!</v>
      </c>
      <c r="CV405" t="e">
        <f>Asia!D459+"n/&gt;!40K"</f>
        <v>#VALUE!</v>
      </c>
      <c r="CW405" t="e">
        <f>Asia!E459+"n/&gt;!40L"</f>
        <v>#VALUE!</v>
      </c>
      <c r="CX405" t="e">
        <f>Asia!F459+"n/&gt;!40M"</f>
        <v>#VALUE!</v>
      </c>
      <c r="CY405" t="e">
        <f>Asia!G459+"n/&gt;!40N"</f>
        <v>#VALUE!</v>
      </c>
      <c r="CZ405" t="e">
        <f>Asia!H459+"n/&gt;!40O"</f>
        <v>#VALUE!</v>
      </c>
      <c r="DA405" t="e">
        <f>Asia!I459+"n/&gt;!40P"</f>
        <v>#VALUE!</v>
      </c>
      <c r="DB405" t="e">
        <f>Asia!A460+"n/&gt;!40Q"</f>
        <v>#VALUE!</v>
      </c>
      <c r="DC405" t="e">
        <f>Asia!B460+"n/&gt;!40R"</f>
        <v>#VALUE!</v>
      </c>
      <c r="DD405" t="e">
        <f>Asia!C460+"n/&gt;!40S"</f>
        <v>#VALUE!</v>
      </c>
      <c r="DE405" t="e">
        <f>Asia!D460+"n/&gt;!40T"</f>
        <v>#VALUE!</v>
      </c>
      <c r="DF405" t="e">
        <f>Asia!E460+"n/&gt;!40U"</f>
        <v>#VALUE!</v>
      </c>
      <c r="DG405" t="e">
        <f>Asia!F460+"n/&gt;!40V"</f>
        <v>#VALUE!</v>
      </c>
      <c r="DH405" t="e">
        <f>Asia!G460+"n/&gt;!40W"</f>
        <v>#VALUE!</v>
      </c>
      <c r="DI405" t="e">
        <f>Asia!H460+"n/&gt;!40X"</f>
        <v>#VALUE!</v>
      </c>
      <c r="DJ405" t="e">
        <f>Asia!I460+"n/&gt;!40Y"</f>
        <v>#VALUE!</v>
      </c>
      <c r="DK405" t="e">
        <f>Asia!A461+"n/&gt;!40Z"</f>
        <v>#VALUE!</v>
      </c>
      <c r="DL405" t="e">
        <f>Asia!B461+"n/&gt;!40["</f>
        <v>#VALUE!</v>
      </c>
      <c r="DM405" t="e">
        <f>Asia!C461+"n/&gt;!40\"</f>
        <v>#VALUE!</v>
      </c>
      <c r="DN405" t="e">
        <f>Asia!D461+"n/&gt;!40]"</f>
        <v>#VALUE!</v>
      </c>
      <c r="DO405" t="e">
        <f>Asia!E461+"n/&gt;!40^"</f>
        <v>#VALUE!</v>
      </c>
      <c r="DP405" t="e">
        <f>Asia!F461+"n/&gt;!40_"</f>
        <v>#VALUE!</v>
      </c>
      <c r="DQ405" t="e">
        <f>Asia!G461+"n/&gt;!40`"</f>
        <v>#VALUE!</v>
      </c>
      <c r="DR405" t="e">
        <f>Asia!H461+"n/&gt;!40a"</f>
        <v>#VALUE!</v>
      </c>
      <c r="DS405" t="e">
        <f>Asia!I461+"n/&gt;!40b"</f>
        <v>#VALUE!</v>
      </c>
      <c r="DT405" t="e">
        <f>Asia!A462+"n/&gt;!40c"</f>
        <v>#VALUE!</v>
      </c>
      <c r="DU405" t="e">
        <f>Asia!B462+"n/&gt;!40d"</f>
        <v>#VALUE!</v>
      </c>
      <c r="DV405" t="e">
        <f>Asia!C462+"n/&gt;!40e"</f>
        <v>#VALUE!</v>
      </c>
      <c r="DW405" t="e">
        <f>Asia!D462+"n/&gt;!40f"</f>
        <v>#VALUE!</v>
      </c>
      <c r="DX405" t="e">
        <f>Asia!E462+"n/&gt;!40g"</f>
        <v>#VALUE!</v>
      </c>
      <c r="DY405" t="e">
        <f>Asia!F462+"n/&gt;!40h"</f>
        <v>#VALUE!</v>
      </c>
      <c r="DZ405" t="e">
        <f>Asia!G462+"n/&gt;!40i"</f>
        <v>#VALUE!</v>
      </c>
      <c r="EA405" t="e">
        <f>Asia!H462+"n/&gt;!40j"</f>
        <v>#VALUE!</v>
      </c>
      <c r="EB405" t="e">
        <f>Asia!I462+"n/&gt;!40k"</f>
        <v>#VALUE!</v>
      </c>
      <c r="EC405" t="e">
        <f>Asia!A463+"n/&gt;!40l"</f>
        <v>#VALUE!</v>
      </c>
      <c r="ED405" t="e">
        <f>Asia!B463+"n/&gt;!40m"</f>
        <v>#VALUE!</v>
      </c>
      <c r="EE405" t="e">
        <f>Asia!C463+"n/&gt;!40n"</f>
        <v>#VALUE!</v>
      </c>
      <c r="EF405" t="e">
        <f>Asia!D463+"n/&gt;!40o"</f>
        <v>#VALUE!</v>
      </c>
      <c r="EG405" t="e">
        <f>Asia!E463+"n/&gt;!40p"</f>
        <v>#VALUE!</v>
      </c>
      <c r="EH405" t="e">
        <f>Asia!F463+"n/&gt;!40q"</f>
        <v>#VALUE!</v>
      </c>
      <c r="EI405" t="e">
        <f>Asia!G463+"n/&gt;!40r"</f>
        <v>#VALUE!</v>
      </c>
      <c r="EJ405" t="e">
        <f>Asia!H463+"n/&gt;!40s"</f>
        <v>#VALUE!</v>
      </c>
      <c r="EK405" t="e">
        <f>Asia!I463+"n/&gt;!40t"</f>
        <v>#VALUE!</v>
      </c>
      <c r="EL405" t="e">
        <f>Asia!A464+"n/&gt;!40u"</f>
        <v>#VALUE!</v>
      </c>
      <c r="EM405" t="e">
        <f>Asia!B464+"n/&gt;!40v"</f>
        <v>#VALUE!</v>
      </c>
      <c r="EN405" t="e">
        <f>Asia!C464+"n/&gt;!40w"</f>
        <v>#VALUE!</v>
      </c>
      <c r="EO405" t="e">
        <f>Asia!D464+"n/&gt;!40x"</f>
        <v>#VALUE!</v>
      </c>
      <c r="EP405" t="e">
        <f>Asia!E464+"n/&gt;!40y"</f>
        <v>#VALUE!</v>
      </c>
      <c r="EQ405" t="e">
        <f>Asia!F464+"n/&gt;!40z"</f>
        <v>#VALUE!</v>
      </c>
      <c r="ER405" t="e">
        <f>Asia!G464+"n/&gt;!40{"</f>
        <v>#VALUE!</v>
      </c>
      <c r="ES405" t="e">
        <f>Asia!H464+"n/&gt;!40|"</f>
        <v>#VALUE!</v>
      </c>
      <c r="ET405" t="e">
        <f>Asia!I464+"n/&gt;!40}"</f>
        <v>#VALUE!</v>
      </c>
      <c r="EU405" t="e">
        <f>Asia!A465+"n/&gt;!40~"</f>
        <v>#VALUE!</v>
      </c>
      <c r="EV405" t="e">
        <f>Asia!B465+"n/&gt;!41#"</f>
        <v>#VALUE!</v>
      </c>
      <c r="EW405" t="e">
        <f>Asia!C465+"n/&gt;!41$"</f>
        <v>#VALUE!</v>
      </c>
      <c r="EX405" t="e">
        <f>Asia!D465+"n/&gt;!41%"</f>
        <v>#VALUE!</v>
      </c>
      <c r="EY405" t="e">
        <f>Asia!E465+"n/&gt;!41&amp;"</f>
        <v>#VALUE!</v>
      </c>
      <c r="EZ405" t="e">
        <f>Asia!F465+"n/&gt;!41'"</f>
        <v>#VALUE!</v>
      </c>
      <c r="FA405" t="e">
        <f>Asia!G465+"n/&gt;!41("</f>
        <v>#VALUE!</v>
      </c>
      <c r="FB405" t="e">
        <f>Asia!H465+"n/&gt;!41)"</f>
        <v>#VALUE!</v>
      </c>
      <c r="FC405" t="e">
        <f>Asia!I465+"n/&gt;!41."</f>
        <v>#VALUE!</v>
      </c>
      <c r="FD405" t="e">
        <f>Asia!A466+"n/&gt;!41/"</f>
        <v>#VALUE!</v>
      </c>
      <c r="FE405" t="e">
        <f>Asia!B466+"n/&gt;!410"</f>
        <v>#VALUE!</v>
      </c>
      <c r="FF405" t="e">
        <f>Asia!C466+"n/&gt;!411"</f>
        <v>#VALUE!</v>
      </c>
      <c r="FG405" t="e">
        <f>Asia!D466+"n/&gt;!412"</f>
        <v>#VALUE!</v>
      </c>
      <c r="FH405" t="e">
        <f>Asia!E466+"n/&gt;!413"</f>
        <v>#VALUE!</v>
      </c>
      <c r="FI405" t="e">
        <f>Asia!F466+"n/&gt;!414"</f>
        <v>#VALUE!</v>
      </c>
      <c r="FJ405" t="e">
        <f>Asia!G466+"n/&gt;!415"</f>
        <v>#VALUE!</v>
      </c>
      <c r="FK405" t="e">
        <f>Asia!H466+"n/&gt;!416"</f>
        <v>#VALUE!</v>
      </c>
      <c r="FL405" t="e">
        <f>Asia!I466+"n/&gt;!417"</f>
        <v>#VALUE!</v>
      </c>
      <c r="FM405" t="e">
        <f>Asia!A467+"n/&gt;!418"</f>
        <v>#VALUE!</v>
      </c>
      <c r="FN405" t="e">
        <f>Asia!B467+"n/&gt;!419"</f>
        <v>#VALUE!</v>
      </c>
      <c r="FO405" t="e">
        <f>Asia!C467+"n/&gt;!41:"</f>
        <v>#VALUE!</v>
      </c>
      <c r="FP405" t="e">
        <f>Asia!D467+"n/&gt;!41;"</f>
        <v>#VALUE!</v>
      </c>
      <c r="FQ405" t="e">
        <f>Asia!E467+"n/&gt;!41&lt;"</f>
        <v>#VALUE!</v>
      </c>
      <c r="FR405" t="e">
        <f>Asia!F467+"n/&gt;!41="</f>
        <v>#VALUE!</v>
      </c>
      <c r="FS405" t="e">
        <f>Asia!G467+"n/&gt;!41&gt;"</f>
        <v>#VALUE!</v>
      </c>
      <c r="FT405" t="e">
        <f>Asia!H467+"n/&gt;!41?"</f>
        <v>#VALUE!</v>
      </c>
      <c r="FU405" t="e">
        <f>Asia!I467+"n/&gt;!41@"</f>
        <v>#VALUE!</v>
      </c>
      <c r="FV405" t="e">
        <f>Asia!A468+"n/&gt;!41A"</f>
        <v>#VALUE!</v>
      </c>
      <c r="FW405" t="e">
        <f>Asia!B468+"n/&gt;!41B"</f>
        <v>#VALUE!</v>
      </c>
      <c r="FX405" t="e">
        <f>Asia!C468+"n/&gt;!41C"</f>
        <v>#VALUE!</v>
      </c>
      <c r="FY405" t="e">
        <f>Asia!D468+"n/&gt;!41D"</f>
        <v>#VALUE!</v>
      </c>
      <c r="FZ405" t="e">
        <f>Asia!E468+"n/&gt;!41E"</f>
        <v>#VALUE!</v>
      </c>
      <c r="GA405" t="e">
        <f>Asia!F468+"n/&gt;!41F"</f>
        <v>#VALUE!</v>
      </c>
      <c r="GB405" t="e">
        <f>Asia!G468+"n/&gt;!41G"</f>
        <v>#VALUE!</v>
      </c>
      <c r="GC405" t="e">
        <f>Asia!H468+"n/&gt;!41H"</f>
        <v>#VALUE!</v>
      </c>
      <c r="GD405" t="e">
        <f>Asia!I468+"n/&gt;!41I"</f>
        <v>#VALUE!</v>
      </c>
      <c r="GE405" t="e">
        <f>Asia!A469+"n/&gt;!41J"</f>
        <v>#VALUE!</v>
      </c>
      <c r="GF405" t="e">
        <f>Asia!B469+"n/&gt;!41K"</f>
        <v>#VALUE!</v>
      </c>
      <c r="GG405" t="e">
        <f>Asia!C469+"n/&gt;!41L"</f>
        <v>#VALUE!</v>
      </c>
      <c r="GH405" t="e">
        <f>Asia!D469+"n/&gt;!41M"</f>
        <v>#VALUE!</v>
      </c>
      <c r="GI405" t="e">
        <f>Asia!E469+"n/&gt;!41N"</f>
        <v>#VALUE!</v>
      </c>
      <c r="GJ405" t="e">
        <f>Asia!F469+"n/&gt;!41O"</f>
        <v>#VALUE!</v>
      </c>
      <c r="GK405" t="e">
        <f>Asia!G469+"n/&gt;!41P"</f>
        <v>#VALUE!</v>
      </c>
      <c r="GL405" t="e">
        <f>Asia!H469+"n/&gt;!41Q"</f>
        <v>#VALUE!</v>
      </c>
      <c r="GM405" t="e">
        <f>Asia!I469+"n/&gt;!41R"</f>
        <v>#VALUE!</v>
      </c>
      <c r="GN405" t="e">
        <f>Asia!A470+"n/&gt;!41S"</f>
        <v>#VALUE!</v>
      </c>
      <c r="GO405" t="e">
        <f>Asia!B470+"n/&gt;!41T"</f>
        <v>#VALUE!</v>
      </c>
      <c r="GP405" t="e">
        <f>Asia!C470+"n/&gt;!41U"</f>
        <v>#VALUE!</v>
      </c>
      <c r="GQ405" t="e">
        <f>Asia!D470+"n/&gt;!41V"</f>
        <v>#VALUE!</v>
      </c>
      <c r="GR405" t="e">
        <f>Asia!E470+"n/&gt;!41W"</f>
        <v>#VALUE!</v>
      </c>
      <c r="GS405" t="e">
        <f>Asia!F470+"n/&gt;!41X"</f>
        <v>#VALUE!</v>
      </c>
      <c r="GT405" t="e">
        <f>Asia!G470+"n/&gt;!41Y"</f>
        <v>#VALUE!</v>
      </c>
      <c r="GU405" t="e">
        <f>Asia!H470+"n/&gt;!41Z"</f>
        <v>#VALUE!</v>
      </c>
      <c r="GV405" t="e">
        <f>Asia!I470+"n/&gt;!41["</f>
        <v>#VALUE!</v>
      </c>
      <c r="GW405" t="e">
        <f>Asia!A471+"n/&gt;!41\"</f>
        <v>#VALUE!</v>
      </c>
      <c r="GX405" t="e">
        <f>Asia!B471+"n/&gt;!41]"</f>
        <v>#VALUE!</v>
      </c>
      <c r="GY405" t="e">
        <f>Asia!C471+"n/&gt;!41^"</f>
        <v>#VALUE!</v>
      </c>
      <c r="GZ405" t="e">
        <f>Asia!D471+"n/&gt;!41_"</f>
        <v>#VALUE!</v>
      </c>
      <c r="HA405" t="e">
        <f>Asia!E471+"n/&gt;!41`"</f>
        <v>#VALUE!</v>
      </c>
      <c r="HB405" t="e">
        <f>Asia!F471+"n/&gt;!41a"</f>
        <v>#VALUE!</v>
      </c>
      <c r="HC405" t="e">
        <f>Asia!G471+"n/&gt;!41b"</f>
        <v>#VALUE!</v>
      </c>
      <c r="HD405" t="e">
        <f>Asia!H471+"n/&gt;!41c"</f>
        <v>#VALUE!</v>
      </c>
      <c r="HE405" t="e">
        <f>Asia!I471+"n/&gt;!41d"</f>
        <v>#VALUE!</v>
      </c>
      <c r="HF405" t="e">
        <f>Asia!A472+"n/&gt;!41e"</f>
        <v>#VALUE!</v>
      </c>
      <c r="HG405" t="e">
        <f>Asia!B472+"n/&gt;!41f"</f>
        <v>#VALUE!</v>
      </c>
      <c r="HH405" t="e">
        <f>Asia!C472+"n/&gt;!41g"</f>
        <v>#VALUE!</v>
      </c>
      <c r="HI405" t="e">
        <f>Asia!D472+"n/&gt;!41h"</f>
        <v>#VALUE!</v>
      </c>
      <c r="HJ405" t="e">
        <f>Asia!E472+"n/&gt;!41i"</f>
        <v>#VALUE!</v>
      </c>
      <c r="HK405" t="e">
        <f>Asia!F472+"n/&gt;!41j"</f>
        <v>#VALUE!</v>
      </c>
      <c r="HL405" t="e">
        <f>Asia!G472+"n/&gt;!41k"</f>
        <v>#VALUE!</v>
      </c>
      <c r="HM405" t="e">
        <f>Asia!H472+"n/&gt;!41l"</f>
        <v>#VALUE!</v>
      </c>
      <c r="HN405" t="e">
        <f>Asia!I472+"n/&gt;!41m"</f>
        <v>#VALUE!</v>
      </c>
      <c r="HO405" t="e">
        <f>Asia!A473+"n/&gt;!41n"</f>
        <v>#VALUE!</v>
      </c>
      <c r="HP405" t="e">
        <f>Asia!B473+"n/&gt;!41o"</f>
        <v>#VALUE!</v>
      </c>
      <c r="HQ405" t="e">
        <f>Asia!C473+"n/&gt;!41p"</f>
        <v>#VALUE!</v>
      </c>
      <c r="HR405" t="e">
        <f>Asia!D473+"n/&gt;!41q"</f>
        <v>#VALUE!</v>
      </c>
      <c r="HS405" t="e">
        <f>Asia!E473+"n/&gt;!41r"</f>
        <v>#VALUE!</v>
      </c>
      <c r="HT405" t="e">
        <f>Asia!F473+"n/&gt;!41s"</f>
        <v>#VALUE!</v>
      </c>
      <c r="HU405" t="e">
        <f>Asia!G473+"n/&gt;!41t"</f>
        <v>#VALUE!</v>
      </c>
      <c r="HV405" t="e">
        <f>Asia!H473+"n/&gt;!41u"</f>
        <v>#VALUE!</v>
      </c>
      <c r="HW405" t="e">
        <f>Asia!I473+"n/&gt;!41v"</f>
        <v>#VALUE!</v>
      </c>
      <c r="HX405" t="e">
        <f>Asia!A474+"n/&gt;!41w"</f>
        <v>#VALUE!</v>
      </c>
      <c r="HY405" t="e">
        <f>Asia!B474+"n/&gt;!41x"</f>
        <v>#VALUE!</v>
      </c>
      <c r="HZ405" t="e">
        <f>Asia!C474+"n/&gt;!41y"</f>
        <v>#VALUE!</v>
      </c>
      <c r="IA405" t="e">
        <f>Asia!D474+"n/&gt;!41z"</f>
        <v>#VALUE!</v>
      </c>
      <c r="IB405" t="e">
        <f>Asia!E474+"n/&gt;!41{"</f>
        <v>#VALUE!</v>
      </c>
      <c r="IC405" t="e">
        <f>Asia!F474+"n/&gt;!41|"</f>
        <v>#VALUE!</v>
      </c>
      <c r="ID405" t="e">
        <f>Asia!G474+"n/&gt;!41}"</f>
        <v>#VALUE!</v>
      </c>
      <c r="IE405" t="e">
        <f>Asia!H474+"n/&gt;!41~"</f>
        <v>#VALUE!</v>
      </c>
      <c r="IF405" t="e">
        <f>Asia!I474+"n/&gt;!42#"</f>
        <v>#VALUE!</v>
      </c>
      <c r="IG405" t="e">
        <f>Asia!A475+"n/&gt;!42$"</f>
        <v>#VALUE!</v>
      </c>
      <c r="IH405" t="e">
        <f>Asia!B475+"n/&gt;!42%"</f>
        <v>#VALUE!</v>
      </c>
      <c r="II405" t="e">
        <f>Asia!C475+"n/&gt;!42&amp;"</f>
        <v>#VALUE!</v>
      </c>
      <c r="IJ405" t="e">
        <f>Asia!D475+"n/&gt;!42'"</f>
        <v>#VALUE!</v>
      </c>
      <c r="IK405" t="e">
        <f>Asia!E475+"n/&gt;!42("</f>
        <v>#VALUE!</v>
      </c>
      <c r="IL405" t="e">
        <f>Asia!F475+"n/&gt;!42)"</f>
        <v>#VALUE!</v>
      </c>
      <c r="IM405" t="e">
        <f>Asia!G475+"n/&gt;!42."</f>
        <v>#VALUE!</v>
      </c>
      <c r="IN405" t="e">
        <f>Asia!H475+"n/&gt;!42/"</f>
        <v>#VALUE!</v>
      </c>
      <c r="IO405" t="e">
        <f>Asia!I475+"n/&gt;!420"</f>
        <v>#VALUE!</v>
      </c>
      <c r="IP405" t="e">
        <f>Asia!A476+"n/&gt;!421"</f>
        <v>#VALUE!</v>
      </c>
      <c r="IQ405" t="e">
        <f>Asia!B476+"n/&gt;!422"</f>
        <v>#VALUE!</v>
      </c>
      <c r="IR405" t="e">
        <f>Asia!C476+"n/&gt;!423"</f>
        <v>#VALUE!</v>
      </c>
      <c r="IS405" t="e">
        <f>Asia!D476+"n/&gt;!424"</f>
        <v>#VALUE!</v>
      </c>
      <c r="IT405" t="e">
        <f>Asia!E476+"n/&gt;!425"</f>
        <v>#VALUE!</v>
      </c>
      <c r="IU405" t="e">
        <f>Asia!F476+"n/&gt;!426"</f>
        <v>#VALUE!</v>
      </c>
      <c r="IV405" t="e">
        <f>Asia!G476+"n/&gt;!427"</f>
        <v>#VALUE!</v>
      </c>
    </row>
    <row r="406" spans="6:256" x14ac:dyDescent="0.35">
      <c r="F406" t="e">
        <f>Asia!H476+"n/&gt;!428"</f>
        <v>#VALUE!</v>
      </c>
      <c r="G406" t="e">
        <f>Asia!I476+"n/&gt;!429"</f>
        <v>#VALUE!</v>
      </c>
      <c r="H406" t="e">
        <f>Asia!A477+"n/&gt;!42:"</f>
        <v>#VALUE!</v>
      </c>
      <c r="I406" t="e">
        <f>Asia!B477+"n/&gt;!42;"</f>
        <v>#VALUE!</v>
      </c>
      <c r="J406" t="e">
        <f>Asia!C477+"n/&gt;!42&lt;"</f>
        <v>#VALUE!</v>
      </c>
      <c r="K406" t="e">
        <f>Asia!D477+"n/&gt;!42="</f>
        <v>#VALUE!</v>
      </c>
      <c r="L406" t="e">
        <f>Asia!E477+"n/&gt;!42&gt;"</f>
        <v>#VALUE!</v>
      </c>
      <c r="M406" t="e">
        <f>Asia!F477+"n/&gt;!42?"</f>
        <v>#VALUE!</v>
      </c>
      <c r="N406" t="e">
        <f>Asia!G477+"n/&gt;!42@"</f>
        <v>#VALUE!</v>
      </c>
      <c r="O406" t="e">
        <f>Asia!H477+"n/&gt;!42A"</f>
        <v>#VALUE!</v>
      </c>
      <c r="P406" t="e">
        <f>Asia!I477+"n/&gt;!42B"</f>
        <v>#VALUE!</v>
      </c>
      <c r="Q406" t="e">
        <f>Asia!A478+"n/&gt;!42C"</f>
        <v>#VALUE!</v>
      </c>
      <c r="R406" t="e">
        <f>Asia!B478+"n/&gt;!42D"</f>
        <v>#VALUE!</v>
      </c>
      <c r="S406" t="e">
        <f>Asia!C478+"n/&gt;!42E"</f>
        <v>#VALUE!</v>
      </c>
      <c r="T406" t="e">
        <f>Asia!D478+"n/&gt;!42F"</f>
        <v>#VALUE!</v>
      </c>
      <c r="U406" t="e">
        <f>Asia!E478+"n/&gt;!42G"</f>
        <v>#VALUE!</v>
      </c>
      <c r="V406" t="e">
        <f>Asia!F478+"n/&gt;!42H"</f>
        <v>#VALUE!</v>
      </c>
      <c r="W406" t="e">
        <f>Asia!G478+"n/&gt;!42I"</f>
        <v>#VALUE!</v>
      </c>
      <c r="X406" t="e">
        <f>Asia!H478+"n/&gt;!42J"</f>
        <v>#VALUE!</v>
      </c>
      <c r="Y406" t="e">
        <f>Asia!I478+"n/&gt;!42K"</f>
        <v>#VALUE!</v>
      </c>
      <c r="Z406" t="e">
        <f>Asia!A479+"n/&gt;!42L"</f>
        <v>#VALUE!</v>
      </c>
      <c r="AA406" t="e">
        <f>Asia!B479+"n/&gt;!42M"</f>
        <v>#VALUE!</v>
      </c>
      <c r="AB406" t="e">
        <f>Asia!C479+"n/&gt;!42N"</f>
        <v>#VALUE!</v>
      </c>
      <c r="AC406" t="e">
        <f>Asia!D479+"n/&gt;!42O"</f>
        <v>#VALUE!</v>
      </c>
      <c r="AD406" t="e">
        <f>Asia!E479+"n/&gt;!42P"</f>
        <v>#VALUE!</v>
      </c>
      <c r="AE406" t="e">
        <f>Asia!F479+"n/&gt;!42Q"</f>
        <v>#VALUE!</v>
      </c>
      <c r="AF406" t="e">
        <f>Asia!G479+"n/&gt;!42R"</f>
        <v>#VALUE!</v>
      </c>
      <c r="AG406" t="e">
        <f>Asia!H479+"n/&gt;!42S"</f>
        <v>#VALUE!</v>
      </c>
      <c r="AH406" t="e">
        <f>Asia!I479+"n/&gt;!42T"</f>
        <v>#VALUE!</v>
      </c>
      <c r="AI406" t="e">
        <f>Asia!A480+"n/&gt;!42U"</f>
        <v>#VALUE!</v>
      </c>
      <c r="AJ406" t="e">
        <f>Asia!B480+"n/&gt;!42V"</f>
        <v>#VALUE!</v>
      </c>
      <c r="AK406" t="e">
        <f>Asia!C480+"n/&gt;!42W"</f>
        <v>#VALUE!</v>
      </c>
      <c r="AL406" t="e">
        <f>Asia!D480+"n/&gt;!42X"</f>
        <v>#VALUE!</v>
      </c>
      <c r="AM406" t="e">
        <f>Asia!E480+"n/&gt;!42Y"</f>
        <v>#VALUE!</v>
      </c>
      <c r="AN406" t="e">
        <f>Asia!F480+"n/&gt;!42Z"</f>
        <v>#VALUE!</v>
      </c>
      <c r="AO406" t="e">
        <f>Asia!G480+"n/&gt;!42["</f>
        <v>#VALUE!</v>
      </c>
      <c r="AP406" t="e">
        <f>Asia!H480+"n/&gt;!42\"</f>
        <v>#VALUE!</v>
      </c>
      <c r="AQ406" t="e">
        <f>Asia!I480+"n/&gt;!42]"</f>
        <v>#VALUE!</v>
      </c>
      <c r="AR406" t="e">
        <f>Asia!A481+"n/&gt;!42^"</f>
        <v>#VALUE!</v>
      </c>
      <c r="AS406" t="e">
        <f>Asia!B481+"n/&gt;!42_"</f>
        <v>#VALUE!</v>
      </c>
      <c r="AT406" t="e">
        <f>Asia!C481+"n/&gt;!42`"</f>
        <v>#VALUE!</v>
      </c>
      <c r="AU406" t="e">
        <f>Asia!D481+"n/&gt;!42a"</f>
        <v>#VALUE!</v>
      </c>
      <c r="AV406" t="e">
        <f>Asia!E481+"n/&gt;!42b"</f>
        <v>#VALUE!</v>
      </c>
      <c r="AW406" t="e">
        <f>Asia!F481+"n/&gt;!42c"</f>
        <v>#VALUE!</v>
      </c>
      <c r="AX406" t="e">
        <f>Asia!G481+"n/&gt;!42d"</f>
        <v>#VALUE!</v>
      </c>
      <c r="AY406" t="e">
        <f>Asia!H481+"n/&gt;!42e"</f>
        <v>#VALUE!</v>
      </c>
      <c r="AZ406" t="e">
        <f>Asia!I481+"n/&gt;!42f"</f>
        <v>#VALUE!</v>
      </c>
      <c r="BA406" t="e">
        <f>Asia!A482+"n/&gt;!42g"</f>
        <v>#VALUE!</v>
      </c>
      <c r="BB406" t="e">
        <f>Asia!B482+"n/&gt;!42h"</f>
        <v>#VALUE!</v>
      </c>
      <c r="BC406" t="e">
        <f>Asia!C482+"n/&gt;!42i"</f>
        <v>#VALUE!</v>
      </c>
      <c r="BD406" t="e">
        <f>Asia!D482+"n/&gt;!42j"</f>
        <v>#VALUE!</v>
      </c>
      <c r="BE406" t="e">
        <f>Asia!E482+"n/&gt;!42k"</f>
        <v>#VALUE!</v>
      </c>
      <c r="BF406" t="e">
        <f>Asia!F482+"n/&gt;!42l"</f>
        <v>#VALUE!</v>
      </c>
      <c r="BG406" t="e">
        <f>Asia!G482+"n/&gt;!42m"</f>
        <v>#VALUE!</v>
      </c>
      <c r="BH406" t="e">
        <f>Asia!H482+"n/&gt;!42n"</f>
        <v>#VALUE!</v>
      </c>
      <c r="BI406" t="e">
        <f>Asia!I482+"n/&gt;!42o"</f>
        <v>#VALUE!</v>
      </c>
      <c r="BJ406" t="e">
        <f>Asia!A483+"n/&gt;!42p"</f>
        <v>#VALUE!</v>
      </c>
      <c r="BK406" t="e">
        <f>Asia!B483+"n/&gt;!42q"</f>
        <v>#VALUE!</v>
      </c>
      <c r="BL406" t="e">
        <f>Asia!C483+"n/&gt;!42r"</f>
        <v>#VALUE!</v>
      </c>
      <c r="BM406" t="e">
        <f>Asia!D483+"n/&gt;!42s"</f>
        <v>#VALUE!</v>
      </c>
      <c r="BN406" t="e">
        <f>Asia!E483+"n/&gt;!42t"</f>
        <v>#VALUE!</v>
      </c>
      <c r="BO406" t="e">
        <f>Asia!F483+"n/&gt;!42u"</f>
        <v>#VALUE!</v>
      </c>
      <c r="BP406" t="e">
        <f>Asia!G483+"n/&gt;!42v"</f>
        <v>#VALUE!</v>
      </c>
      <c r="BQ406" t="e">
        <f>Asia!H483+"n/&gt;!42w"</f>
        <v>#VALUE!</v>
      </c>
      <c r="BR406" t="e">
        <f>Asia!I483+"n/&gt;!42x"</f>
        <v>#VALUE!</v>
      </c>
      <c r="BS406" t="e">
        <f>Asia!A484+"n/&gt;!42y"</f>
        <v>#VALUE!</v>
      </c>
      <c r="BT406" t="e">
        <f>Asia!B484+"n/&gt;!42z"</f>
        <v>#VALUE!</v>
      </c>
      <c r="BU406" t="e">
        <f>Asia!C484+"n/&gt;!42{"</f>
        <v>#VALUE!</v>
      </c>
      <c r="BV406" t="e">
        <f>Asia!D484+"n/&gt;!42|"</f>
        <v>#VALUE!</v>
      </c>
      <c r="BW406" t="e">
        <f>Asia!E484+"n/&gt;!42}"</f>
        <v>#VALUE!</v>
      </c>
      <c r="BX406" t="e">
        <f>Asia!F484+"n/&gt;!42~"</f>
        <v>#VALUE!</v>
      </c>
      <c r="BY406" t="e">
        <f>Asia!G484+"n/&gt;!43#"</f>
        <v>#VALUE!</v>
      </c>
      <c r="BZ406" t="e">
        <f>Asia!H484+"n/&gt;!43$"</f>
        <v>#VALUE!</v>
      </c>
      <c r="CA406" t="e">
        <f>Asia!I484+"n/&gt;!43%"</f>
        <v>#VALUE!</v>
      </c>
      <c r="CB406" t="e">
        <f>Asia!A485+"n/&gt;!43&amp;"</f>
        <v>#VALUE!</v>
      </c>
      <c r="CC406" t="e">
        <f>Asia!B485+"n/&gt;!43'"</f>
        <v>#VALUE!</v>
      </c>
      <c r="CD406" t="e">
        <f>Asia!C485+"n/&gt;!43("</f>
        <v>#VALUE!</v>
      </c>
      <c r="CE406" t="e">
        <f>Asia!D485+"n/&gt;!43)"</f>
        <v>#VALUE!</v>
      </c>
      <c r="CF406" t="e">
        <f>Asia!E485+"n/&gt;!43."</f>
        <v>#VALUE!</v>
      </c>
      <c r="CG406" t="e">
        <f>Asia!F485+"n/&gt;!43/"</f>
        <v>#VALUE!</v>
      </c>
      <c r="CH406" t="e">
        <f>Asia!G485+"n/&gt;!430"</f>
        <v>#VALUE!</v>
      </c>
      <c r="CI406" t="e">
        <f>Asia!H485+"n/&gt;!431"</f>
        <v>#VALUE!</v>
      </c>
      <c r="CJ406" t="e">
        <f>Asia!I485+"n/&gt;!432"</f>
        <v>#VALUE!</v>
      </c>
      <c r="CK406" t="e">
        <f>Asia!A486+"n/&gt;!433"</f>
        <v>#VALUE!</v>
      </c>
      <c r="CL406" t="e">
        <f>Asia!B486+"n/&gt;!434"</f>
        <v>#VALUE!</v>
      </c>
      <c r="CM406" t="e">
        <f>Asia!C486+"n/&gt;!435"</f>
        <v>#VALUE!</v>
      </c>
      <c r="CN406" t="e">
        <f>Asia!D486+"n/&gt;!436"</f>
        <v>#VALUE!</v>
      </c>
      <c r="CO406" t="e">
        <f>Asia!E486+"n/&gt;!437"</f>
        <v>#VALUE!</v>
      </c>
      <c r="CP406" t="e">
        <f>Asia!F486+"n/&gt;!438"</f>
        <v>#VALUE!</v>
      </c>
      <c r="CQ406" t="e">
        <f>Asia!G486+"n/&gt;!439"</f>
        <v>#VALUE!</v>
      </c>
      <c r="CR406" t="e">
        <f>Asia!H486+"n/&gt;!43:"</f>
        <v>#VALUE!</v>
      </c>
      <c r="CS406" t="e">
        <f>Asia!I486+"n/&gt;!43;"</f>
        <v>#VALUE!</v>
      </c>
      <c r="CT406" t="e">
        <f>Asia!A487+"n/&gt;!43&lt;"</f>
        <v>#VALUE!</v>
      </c>
      <c r="CU406" t="e">
        <f>Asia!B487+"n/&gt;!43="</f>
        <v>#VALUE!</v>
      </c>
      <c r="CV406" t="e">
        <f>Asia!C487+"n/&gt;!43&gt;"</f>
        <v>#VALUE!</v>
      </c>
      <c r="CW406" t="e">
        <f>Asia!D487+"n/&gt;!43?"</f>
        <v>#VALUE!</v>
      </c>
      <c r="CX406" t="e">
        <f>Asia!E487+"n/&gt;!43@"</f>
        <v>#VALUE!</v>
      </c>
      <c r="CY406" t="e">
        <f>Asia!F487+"n/&gt;!43A"</f>
        <v>#VALUE!</v>
      </c>
      <c r="CZ406" t="e">
        <f>Asia!G487+"n/&gt;!43B"</f>
        <v>#VALUE!</v>
      </c>
      <c r="DA406" t="e">
        <f>Asia!H487+"n/&gt;!43C"</f>
        <v>#VALUE!</v>
      </c>
      <c r="DB406" t="e">
        <f>Asia!I487+"n/&gt;!43D"</f>
        <v>#VALUE!</v>
      </c>
      <c r="DC406" t="e">
        <f>Asia!A488+"n/&gt;!43E"</f>
        <v>#VALUE!</v>
      </c>
      <c r="DD406" t="e">
        <f>Asia!B488+"n/&gt;!43F"</f>
        <v>#VALUE!</v>
      </c>
      <c r="DE406" t="e">
        <f>Asia!C488+"n/&gt;!43G"</f>
        <v>#VALUE!</v>
      </c>
      <c r="DF406" t="e">
        <f>Asia!D488+"n/&gt;!43H"</f>
        <v>#VALUE!</v>
      </c>
      <c r="DG406" t="e">
        <f>Asia!E488+"n/&gt;!43I"</f>
        <v>#VALUE!</v>
      </c>
      <c r="DH406" t="e">
        <f>Asia!F488+"n/&gt;!43J"</f>
        <v>#VALUE!</v>
      </c>
      <c r="DI406" t="e">
        <f>Asia!G488+"n/&gt;!43K"</f>
        <v>#VALUE!</v>
      </c>
      <c r="DJ406" t="e">
        <f>Asia!H488+"n/&gt;!43L"</f>
        <v>#VALUE!</v>
      </c>
      <c r="DK406" t="e">
        <f>Asia!I488+"n/&gt;!43M"</f>
        <v>#VALUE!</v>
      </c>
      <c r="DL406" t="e">
        <f>Asia!A489+"n/&gt;!43N"</f>
        <v>#VALUE!</v>
      </c>
      <c r="DM406" t="e">
        <f>Asia!B489+"n/&gt;!43O"</f>
        <v>#VALUE!</v>
      </c>
      <c r="DN406" t="e">
        <f>Asia!C489+"n/&gt;!43P"</f>
        <v>#VALUE!</v>
      </c>
      <c r="DO406" t="e">
        <f>Asia!D489+"n/&gt;!43Q"</f>
        <v>#VALUE!</v>
      </c>
      <c r="DP406" t="e">
        <f>Asia!E489+"n/&gt;!43R"</f>
        <v>#VALUE!</v>
      </c>
      <c r="DQ406" t="e">
        <f>Asia!F489+"n/&gt;!43S"</f>
        <v>#VALUE!</v>
      </c>
      <c r="DR406" t="e">
        <f>Asia!G489+"n/&gt;!43T"</f>
        <v>#VALUE!</v>
      </c>
      <c r="DS406" t="e">
        <f>Asia!H489+"n/&gt;!43U"</f>
        <v>#VALUE!</v>
      </c>
      <c r="DT406" t="e">
        <f>Asia!I489+"n/&gt;!43V"</f>
        <v>#VALUE!</v>
      </c>
      <c r="DU406" t="e">
        <f>Asia!A490+"n/&gt;!43W"</f>
        <v>#VALUE!</v>
      </c>
      <c r="DV406" t="e">
        <f>Asia!B490+"n/&gt;!43X"</f>
        <v>#VALUE!</v>
      </c>
      <c r="DW406" t="e">
        <f>Asia!C490+"n/&gt;!43Y"</f>
        <v>#VALUE!</v>
      </c>
      <c r="DX406" t="e">
        <f>Asia!D490+"n/&gt;!43Z"</f>
        <v>#VALUE!</v>
      </c>
      <c r="DY406" t="e">
        <f>Asia!E490+"n/&gt;!43["</f>
        <v>#VALUE!</v>
      </c>
      <c r="DZ406" t="e">
        <f>Asia!F490+"n/&gt;!43\"</f>
        <v>#VALUE!</v>
      </c>
      <c r="EA406" t="e">
        <f>Asia!G490+"n/&gt;!43]"</f>
        <v>#VALUE!</v>
      </c>
      <c r="EB406" t="e">
        <f>Asia!H490+"n/&gt;!43^"</f>
        <v>#VALUE!</v>
      </c>
      <c r="EC406" t="e">
        <f>Asia!I490+"n/&gt;!43_"</f>
        <v>#VALUE!</v>
      </c>
      <c r="ED406" t="e">
        <f>Asia!A491+"n/&gt;!43`"</f>
        <v>#VALUE!</v>
      </c>
      <c r="EE406" t="e">
        <f>Asia!B491+"n/&gt;!43a"</f>
        <v>#VALUE!</v>
      </c>
      <c r="EF406" t="e">
        <f>Asia!C491+"n/&gt;!43b"</f>
        <v>#VALUE!</v>
      </c>
      <c r="EG406" t="e">
        <f>Asia!D491+"n/&gt;!43c"</f>
        <v>#VALUE!</v>
      </c>
      <c r="EH406" t="e">
        <f>Asia!E491+"n/&gt;!43d"</f>
        <v>#VALUE!</v>
      </c>
      <c r="EI406" t="e">
        <f>Asia!F491+"n/&gt;!43e"</f>
        <v>#VALUE!</v>
      </c>
      <c r="EJ406" t="e">
        <f>Asia!G491+"n/&gt;!43f"</f>
        <v>#VALUE!</v>
      </c>
      <c r="EK406" t="e">
        <f>Asia!H491+"n/&gt;!43g"</f>
        <v>#VALUE!</v>
      </c>
      <c r="EL406" t="e">
        <f>Asia!I491+"n/&gt;!43h"</f>
        <v>#VALUE!</v>
      </c>
      <c r="EM406" t="e">
        <f>Asia!A492+"n/&gt;!43i"</f>
        <v>#VALUE!</v>
      </c>
      <c r="EN406" t="e">
        <f>Asia!B492+"n/&gt;!43j"</f>
        <v>#VALUE!</v>
      </c>
      <c r="EO406" t="e">
        <f>Asia!C492+"n/&gt;!43k"</f>
        <v>#VALUE!</v>
      </c>
      <c r="EP406" t="e">
        <f>Asia!D492+"n/&gt;!43l"</f>
        <v>#VALUE!</v>
      </c>
      <c r="EQ406" t="e">
        <f>Asia!E492+"n/&gt;!43m"</f>
        <v>#VALUE!</v>
      </c>
      <c r="ER406" t="e">
        <f>Asia!F492+"n/&gt;!43n"</f>
        <v>#VALUE!</v>
      </c>
      <c r="ES406" t="e">
        <f>Asia!G492+"n/&gt;!43o"</f>
        <v>#VALUE!</v>
      </c>
      <c r="ET406" t="e">
        <f>Asia!H492+"n/&gt;!43p"</f>
        <v>#VALUE!</v>
      </c>
      <c r="EU406" t="e">
        <f>Asia!I492+"n/&gt;!43q"</f>
        <v>#VALUE!</v>
      </c>
      <c r="EV406" t="e">
        <f>Asia!A493+"n/&gt;!43r"</f>
        <v>#VALUE!</v>
      </c>
      <c r="EW406" t="e">
        <f>Asia!B493+"n/&gt;!43s"</f>
        <v>#VALUE!</v>
      </c>
      <c r="EX406" t="e">
        <f>Asia!C493+"n/&gt;!43t"</f>
        <v>#VALUE!</v>
      </c>
      <c r="EY406" t="e">
        <f>Asia!D493+"n/&gt;!43u"</f>
        <v>#VALUE!</v>
      </c>
      <c r="EZ406" t="e">
        <f>Asia!E493+"n/&gt;!43v"</f>
        <v>#VALUE!</v>
      </c>
      <c r="FA406" t="e">
        <f>Asia!F493+"n/&gt;!43w"</f>
        <v>#VALUE!</v>
      </c>
      <c r="FB406" t="e">
        <f>Asia!G493+"n/&gt;!43x"</f>
        <v>#VALUE!</v>
      </c>
      <c r="FC406" t="e">
        <f>Asia!H493+"n/&gt;!43y"</f>
        <v>#VALUE!</v>
      </c>
      <c r="FD406" t="e">
        <f>Asia!I493+"n/&gt;!43z"</f>
        <v>#VALUE!</v>
      </c>
      <c r="FE406" t="e">
        <f>Asia!A494+"n/&gt;!43{"</f>
        <v>#VALUE!</v>
      </c>
      <c r="FF406" t="e">
        <f>Asia!B494+"n/&gt;!43|"</f>
        <v>#VALUE!</v>
      </c>
      <c r="FG406" t="e">
        <f>Asia!C494+"n/&gt;!43}"</f>
        <v>#VALUE!</v>
      </c>
      <c r="FH406" t="e">
        <f>Asia!D494+"n/&gt;!43~"</f>
        <v>#VALUE!</v>
      </c>
      <c r="FI406" t="e">
        <f>Asia!E494+"n/&gt;!44#"</f>
        <v>#VALUE!</v>
      </c>
      <c r="FJ406" t="e">
        <f>Asia!F494+"n/&gt;!44$"</f>
        <v>#VALUE!</v>
      </c>
      <c r="FK406" t="e">
        <f>Asia!G494+"n/&gt;!44%"</f>
        <v>#VALUE!</v>
      </c>
      <c r="FL406" t="e">
        <f>Asia!H494+"n/&gt;!44&amp;"</f>
        <v>#VALUE!</v>
      </c>
      <c r="FM406" t="e">
        <f>Asia!I494+"n/&gt;!44'"</f>
        <v>#VALUE!</v>
      </c>
      <c r="FN406" t="e">
        <f>Asia!A495+"n/&gt;!44("</f>
        <v>#VALUE!</v>
      </c>
      <c r="FO406" t="e">
        <f>Asia!B495+"n/&gt;!44)"</f>
        <v>#VALUE!</v>
      </c>
      <c r="FP406" t="e">
        <f>Asia!C495+"n/&gt;!44."</f>
        <v>#VALUE!</v>
      </c>
      <c r="FQ406" t="e">
        <f>Asia!D495+"n/&gt;!44/"</f>
        <v>#VALUE!</v>
      </c>
      <c r="FR406" t="e">
        <f>Asia!E495+"n/&gt;!440"</f>
        <v>#VALUE!</v>
      </c>
      <c r="FS406" t="e">
        <f>Asia!F495+"n/&gt;!441"</f>
        <v>#VALUE!</v>
      </c>
      <c r="FT406" t="e">
        <f>Asia!G495+"n/&gt;!442"</f>
        <v>#VALUE!</v>
      </c>
      <c r="FU406" t="e">
        <f>Asia!H495+"n/&gt;!443"</f>
        <v>#VALUE!</v>
      </c>
      <c r="FV406" t="e">
        <f>Asia!I495+"n/&gt;!444"</f>
        <v>#VALUE!</v>
      </c>
      <c r="FW406" t="e">
        <f>Asia!A496+"n/&gt;!445"</f>
        <v>#VALUE!</v>
      </c>
      <c r="FX406" t="e">
        <f>Asia!B496+"n/&gt;!446"</f>
        <v>#VALUE!</v>
      </c>
      <c r="FY406" t="e">
        <f>Asia!C496+"n/&gt;!447"</f>
        <v>#VALUE!</v>
      </c>
      <c r="FZ406" t="e">
        <f>Asia!D496+"n/&gt;!448"</f>
        <v>#VALUE!</v>
      </c>
      <c r="GA406" t="e">
        <f>Asia!E496+"n/&gt;!449"</f>
        <v>#VALUE!</v>
      </c>
      <c r="GB406" t="e">
        <f>Asia!F496+"n/&gt;!44:"</f>
        <v>#VALUE!</v>
      </c>
      <c r="GC406" t="e">
        <f>Asia!G496+"n/&gt;!44;"</f>
        <v>#VALUE!</v>
      </c>
      <c r="GD406" t="e">
        <f>Asia!H496+"n/&gt;!44&lt;"</f>
        <v>#VALUE!</v>
      </c>
      <c r="GE406" t="e">
        <f>Asia!I496+"n/&gt;!44="</f>
        <v>#VALUE!</v>
      </c>
      <c r="GF406" t="e">
        <f>Asia!A497+"n/&gt;!44&gt;"</f>
        <v>#VALUE!</v>
      </c>
      <c r="GG406" t="e">
        <f>Asia!B497+"n/&gt;!44?"</f>
        <v>#VALUE!</v>
      </c>
      <c r="GH406" t="e">
        <f>Asia!C497+"n/&gt;!44@"</f>
        <v>#VALUE!</v>
      </c>
      <c r="GI406" t="e">
        <f>Asia!D497+"n/&gt;!44A"</f>
        <v>#VALUE!</v>
      </c>
      <c r="GJ406" t="e">
        <f>Asia!E497+"n/&gt;!44B"</f>
        <v>#VALUE!</v>
      </c>
      <c r="GK406" t="e">
        <f>Asia!F497+"n/&gt;!44C"</f>
        <v>#VALUE!</v>
      </c>
      <c r="GL406" t="e">
        <f>Asia!G497+"n/&gt;!44D"</f>
        <v>#VALUE!</v>
      </c>
      <c r="GM406" t="e">
        <f>Asia!H497+"n/&gt;!44E"</f>
        <v>#VALUE!</v>
      </c>
      <c r="GN406" t="e">
        <f>Asia!I497+"n/&gt;!44F"</f>
        <v>#VALUE!</v>
      </c>
      <c r="GO406" t="e">
        <f>Asia!A498+"n/&gt;!44G"</f>
        <v>#VALUE!</v>
      </c>
      <c r="GP406" t="e">
        <f>Asia!B498+"n/&gt;!44H"</f>
        <v>#VALUE!</v>
      </c>
      <c r="GQ406" t="e">
        <f>Asia!C498+"n/&gt;!44I"</f>
        <v>#VALUE!</v>
      </c>
      <c r="GR406" t="e">
        <f>Asia!D498+"n/&gt;!44J"</f>
        <v>#VALUE!</v>
      </c>
      <c r="GS406" t="e">
        <f>Asia!E498+"n/&gt;!44K"</f>
        <v>#VALUE!</v>
      </c>
      <c r="GT406" t="e">
        <f>Asia!F498+"n/&gt;!44L"</f>
        <v>#VALUE!</v>
      </c>
      <c r="GU406" t="e">
        <f>Asia!G498+"n/&gt;!44M"</f>
        <v>#VALUE!</v>
      </c>
      <c r="GV406" t="e">
        <f>Asia!H498+"n/&gt;!44N"</f>
        <v>#VALUE!</v>
      </c>
      <c r="GW406" t="e">
        <f>Asia!I498+"n/&gt;!44O"</f>
        <v>#VALUE!</v>
      </c>
      <c r="GX406" t="e">
        <f>Asia!A499+"n/&gt;!44P"</f>
        <v>#VALUE!</v>
      </c>
      <c r="GY406" t="e">
        <f>Asia!B499+"n/&gt;!44Q"</f>
        <v>#VALUE!</v>
      </c>
      <c r="GZ406" t="e">
        <f>Asia!C499+"n/&gt;!44R"</f>
        <v>#VALUE!</v>
      </c>
      <c r="HA406" t="e">
        <f>Asia!D499+"n/&gt;!44S"</f>
        <v>#VALUE!</v>
      </c>
      <c r="HB406" t="e">
        <f>Asia!E499+"n/&gt;!44T"</f>
        <v>#VALUE!</v>
      </c>
      <c r="HC406" t="e">
        <f>Asia!F499+"n/&gt;!44U"</f>
        <v>#VALUE!</v>
      </c>
      <c r="HD406" t="e">
        <f>Asia!G499+"n/&gt;!44V"</f>
        <v>#VALUE!</v>
      </c>
      <c r="HE406" t="e">
        <f>Asia!H499+"n/&gt;!44W"</f>
        <v>#VALUE!</v>
      </c>
      <c r="HF406" t="e">
        <f>Asia!I499+"n/&gt;!44X"</f>
        <v>#VALUE!</v>
      </c>
      <c r="HG406" t="e">
        <f>Asia!A500+"n/&gt;!44Y"</f>
        <v>#VALUE!</v>
      </c>
      <c r="HH406" t="e">
        <f>Asia!B500+"n/&gt;!44Z"</f>
        <v>#VALUE!</v>
      </c>
      <c r="HI406" t="e">
        <f>Asia!C500+"n/&gt;!44["</f>
        <v>#VALUE!</v>
      </c>
      <c r="HJ406" t="e">
        <f>Asia!D500+"n/&gt;!44\"</f>
        <v>#VALUE!</v>
      </c>
      <c r="HK406" t="e">
        <f>Asia!E500+"n/&gt;!44]"</f>
        <v>#VALUE!</v>
      </c>
      <c r="HL406" t="e">
        <f>Asia!F500+"n/&gt;!44^"</f>
        <v>#VALUE!</v>
      </c>
      <c r="HM406" t="e">
        <f>Asia!G500+"n/&gt;!44_"</f>
        <v>#VALUE!</v>
      </c>
      <c r="HN406" t="e">
        <f>Asia!H500+"n/&gt;!44`"</f>
        <v>#VALUE!</v>
      </c>
      <c r="HO406" t="e">
        <f>Asia!I500+"n/&gt;!44a"</f>
        <v>#VALUE!</v>
      </c>
      <c r="HP406" t="e">
        <f>Asia!A501+"n/&gt;!44b"</f>
        <v>#VALUE!</v>
      </c>
      <c r="HQ406" t="e">
        <f>Asia!B501+"n/&gt;!44c"</f>
        <v>#VALUE!</v>
      </c>
      <c r="HR406" t="e">
        <f>Asia!C501+"n/&gt;!44d"</f>
        <v>#VALUE!</v>
      </c>
      <c r="HS406" t="e">
        <f>Asia!D501+"n/&gt;!44e"</f>
        <v>#VALUE!</v>
      </c>
      <c r="HT406" t="e">
        <f>Asia!E501+"n/&gt;!44f"</f>
        <v>#VALUE!</v>
      </c>
      <c r="HU406" t="e">
        <f>Asia!F501+"n/&gt;!44g"</f>
        <v>#VALUE!</v>
      </c>
      <c r="HV406" t="e">
        <f>Asia!G501+"n/&gt;!44h"</f>
        <v>#VALUE!</v>
      </c>
      <c r="HW406" t="e">
        <f>Asia!H501+"n/&gt;!44i"</f>
        <v>#VALUE!</v>
      </c>
      <c r="HX406" t="e">
        <f>Asia!I501+"n/&gt;!44j"</f>
        <v>#VALUE!</v>
      </c>
      <c r="HY406" t="e">
        <f>Asia!A502+"n/&gt;!44k"</f>
        <v>#VALUE!</v>
      </c>
      <c r="HZ406" t="e">
        <f>Asia!B502+"n/&gt;!44l"</f>
        <v>#VALUE!</v>
      </c>
      <c r="IA406" t="e">
        <f>Asia!C502+"n/&gt;!44m"</f>
        <v>#VALUE!</v>
      </c>
      <c r="IB406" t="e">
        <f>Asia!D502+"n/&gt;!44n"</f>
        <v>#VALUE!</v>
      </c>
      <c r="IC406" t="e">
        <f>Asia!E502+"n/&gt;!44o"</f>
        <v>#VALUE!</v>
      </c>
      <c r="ID406" t="e">
        <f>Asia!F502+"n/&gt;!44p"</f>
        <v>#VALUE!</v>
      </c>
      <c r="IE406" t="e">
        <f>Asia!G502+"n/&gt;!44q"</f>
        <v>#VALUE!</v>
      </c>
      <c r="IF406" t="e">
        <f>Asia!H502+"n/&gt;!44r"</f>
        <v>#VALUE!</v>
      </c>
      <c r="IG406" t="e">
        <f>Asia!I502+"n/&gt;!44s"</f>
        <v>#VALUE!</v>
      </c>
      <c r="IH406" t="e">
        <f>Asia!A503+"n/&gt;!44t"</f>
        <v>#VALUE!</v>
      </c>
      <c r="II406" t="e">
        <f>Asia!B503+"n/&gt;!44u"</f>
        <v>#VALUE!</v>
      </c>
      <c r="IJ406" t="e">
        <f>Asia!C503+"n/&gt;!44v"</f>
        <v>#VALUE!</v>
      </c>
      <c r="IK406" t="e">
        <f>Asia!D503+"n/&gt;!44w"</f>
        <v>#VALUE!</v>
      </c>
      <c r="IL406" t="e">
        <f>Asia!E503+"n/&gt;!44x"</f>
        <v>#VALUE!</v>
      </c>
      <c r="IM406" t="e">
        <f>Asia!F503+"n/&gt;!44y"</f>
        <v>#VALUE!</v>
      </c>
      <c r="IN406" t="e">
        <f>Asia!G503+"n/&gt;!44z"</f>
        <v>#VALUE!</v>
      </c>
      <c r="IO406" t="e">
        <f>Asia!H503+"n/&gt;!44{"</f>
        <v>#VALUE!</v>
      </c>
      <c r="IP406" t="e">
        <f>Asia!I503+"n/&gt;!44|"</f>
        <v>#VALUE!</v>
      </c>
      <c r="IQ406" t="e">
        <f>Asia!A504+"n/&gt;!44}"</f>
        <v>#VALUE!</v>
      </c>
      <c r="IR406" t="e">
        <f>Asia!B504+"n/&gt;!44~"</f>
        <v>#VALUE!</v>
      </c>
      <c r="IS406" t="e">
        <f>Asia!C504+"n/&gt;!45#"</f>
        <v>#VALUE!</v>
      </c>
      <c r="IT406" t="e">
        <f>Asia!D504+"n/&gt;!45$"</f>
        <v>#VALUE!</v>
      </c>
      <c r="IU406" t="e">
        <f>Asia!E504+"n/&gt;!45%"</f>
        <v>#VALUE!</v>
      </c>
      <c r="IV406" t="e">
        <f>Asia!F504+"n/&gt;!45&amp;"</f>
        <v>#VALUE!</v>
      </c>
    </row>
    <row r="407" spans="6:256" x14ac:dyDescent="0.35">
      <c r="F407" t="e">
        <f>Asia!G504+"n/&gt;!45'"</f>
        <v>#VALUE!</v>
      </c>
      <c r="G407" t="e">
        <f>Asia!H504+"n/&gt;!45("</f>
        <v>#VALUE!</v>
      </c>
      <c r="H407" t="e">
        <f>Asia!I504+"n/&gt;!45)"</f>
        <v>#VALUE!</v>
      </c>
      <c r="I407" t="e">
        <f>Asia!A505+"n/&gt;!45."</f>
        <v>#VALUE!</v>
      </c>
      <c r="J407" t="e">
        <f>Asia!B505+"n/&gt;!45/"</f>
        <v>#VALUE!</v>
      </c>
      <c r="K407" t="e">
        <f>Asia!C505+"n/&gt;!450"</f>
        <v>#VALUE!</v>
      </c>
      <c r="L407" t="e">
        <f>Asia!D505+"n/&gt;!451"</f>
        <v>#VALUE!</v>
      </c>
      <c r="M407" t="e">
        <f>Asia!E505+"n/&gt;!452"</f>
        <v>#VALUE!</v>
      </c>
      <c r="N407" t="e">
        <f>Asia!F505+"n/&gt;!453"</f>
        <v>#VALUE!</v>
      </c>
      <c r="O407" t="e">
        <f>Asia!G505+"n/&gt;!454"</f>
        <v>#VALUE!</v>
      </c>
      <c r="P407" t="e">
        <f>Asia!H505+"n/&gt;!455"</f>
        <v>#VALUE!</v>
      </c>
      <c r="Q407" t="e">
        <f>Asia!I505+"n/&gt;!456"</f>
        <v>#VALUE!</v>
      </c>
      <c r="R407" t="e">
        <f>Asia!A506+"n/&gt;!457"</f>
        <v>#VALUE!</v>
      </c>
      <c r="S407" t="e">
        <f>Asia!B506+"n/&gt;!458"</f>
        <v>#VALUE!</v>
      </c>
      <c r="T407" t="e">
        <f>Asia!C506+"n/&gt;!459"</f>
        <v>#VALUE!</v>
      </c>
      <c r="U407" t="e">
        <f>Asia!D506+"n/&gt;!45:"</f>
        <v>#VALUE!</v>
      </c>
      <c r="V407" t="e">
        <f>Asia!E506+"n/&gt;!45;"</f>
        <v>#VALUE!</v>
      </c>
      <c r="W407" t="e">
        <f>Asia!F506+"n/&gt;!45&lt;"</f>
        <v>#VALUE!</v>
      </c>
      <c r="X407" t="e">
        <f>Asia!G506+"n/&gt;!45="</f>
        <v>#VALUE!</v>
      </c>
      <c r="Y407" t="e">
        <f>Asia!H506+"n/&gt;!45&gt;"</f>
        <v>#VALUE!</v>
      </c>
      <c r="Z407" t="e">
        <f>Asia!I506+"n/&gt;!45?"</f>
        <v>#VALUE!</v>
      </c>
      <c r="AA407" t="e">
        <f>Asia!A507+"n/&gt;!45@"</f>
        <v>#VALUE!</v>
      </c>
      <c r="AB407" t="e">
        <f>Asia!B507+"n/&gt;!45A"</f>
        <v>#VALUE!</v>
      </c>
      <c r="AC407" t="e">
        <f>Asia!C507+"n/&gt;!45B"</f>
        <v>#VALUE!</v>
      </c>
      <c r="AD407" t="e">
        <f>Asia!D507+"n/&gt;!45C"</f>
        <v>#VALUE!</v>
      </c>
      <c r="AE407" t="e">
        <f>Asia!E507+"n/&gt;!45D"</f>
        <v>#VALUE!</v>
      </c>
      <c r="AF407" t="e">
        <f>Asia!F507+"n/&gt;!45E"</f>
        <v>#VALUE!</v>
      </c>
      <c r="AG407" t="e">
        <f>Asia!G507+"n/&gt;!45F"</f>
        <v>#VALUE!</v>
      </c>
      <c r="AH407" t="e">
        <f>Asia!H507+"n/&gt;!45G"</f>
        <v>#VALUE!</v>
      </c>
      <c r="AI407" t="e">
        <f>Asia!I507+"n/&gt;!45H"</f>
        <v>#VALUE!</v>
      </c>
      <c r="AJ407" t="e">
        <f>Asia!A508+"n/&gt;!45I"</f>
        <v>#VALUE!</v>
      </c>
      <c r="AK407" t="e">
        <f>Asia!B508+"n/&gt;!45J"</f>
        <v>#VALUE!</v>
      </c>
      <c r="AL407" t="e">
        <f>Asia!C508+"n/&gt;!45K"</f>
        <v>#VALUE!</v>
      </c>
      <c r="AM407" t="e">
        <f>Asia!D508+"n/&gt;!45L"</f>
        <v>#VALUE!</v>
      </c>
      <c r="AN407" t="e">
        <f>Asia!E508+"n/&gt;!45M"</f>
        <v>#VALUE!</v>
      </c>
      <c r="AO407" t="e">
        <f>Asia!F508+"n/&gt;!45N"</f>
        <v>#VALUE!</v>
      </c>
      <c r="AP407" t="e">
        <f>Asia!G508+"n/&gt;!45O"</f>
        <v>#VALUE!</v>
      </c>
      <c r="AQ407" t="e">
        <f>Asia!H508+"n/&gt;!45P"</f>
        <v>#VALUE!</v>
      </c>
      <c r="AR407" t="e">
        <f>Asia!I508+"n/&gt;!45Q"</f>
        <v>#VALUE!</v>
      </c>
      <c r="AS407" t="e">
        <f>Asia!A509+"n/&gt;!45R"</f>
        <v>#VALUE!</v>
      </c>
      <c r="AT407" t="e">
        <f>Asia!B509+"n/&gt;!45S"</f>
        <v>#VALUE!</v>
      </c>
      <c r="AU407" t="e">
        <f>Asia!C509+"n/&gt;!45T"</f>
        <v>#VALUE!</v>
      </c>
      <c r="AV407" t="e">
        <f>Asia!D509+"n/&gt;!45U"</f>
        <v>#VALUE!</v>
      </c>
      <c r="AW407" t="e">
        <f>Asia!E509+"n/&gt;!45V"</f>
        <v>#VALUE!</v>
      </c>
      <c r="AX407" t="e">
        <f>Asia!F509+"n/&gt;!45W"</f>
        <v>#VALUE!</v>
      </c>
      <c r="AY407" t="e">
        <f>Asia!G509+"n/&gt;!45X"</f>
        <v>#VALUE!</v>
      </c>
      <c r="AZ407" t="e">
        <f>Asia!H509+"n/&gt;!45Y"</f>
        <v>#VALUE!</v>
      </c>
      <c r="BA407" t="e">
        <f>Asia!I509+"n/&gt;!45Z"</f>
        <v>#VALUE!</v>
      </c>
      <c r="BB407" t="e">
        <f>Asia!A510+"n/&gt;!45["</f>
        <v>#VALUE!</v>
      </c>
      <c r="BC407" t="e">
        <f>Asia!B510+"n/&gt;!45\"</f>
        <v>#VALUE!</v>
      </c>
      <c r="BD407" t="e">
        <f>Asia!C510+"n/&gt;!45]"</f>
        <v>#VALUE!</v>
      </c>
      <c r="BE407" t="e">
        <f>Asia!D510+"n/&gt;!45^"</f>
        <v>#VALUE!</v>
      </c>
      <c r="BF407" t="e">
        <f>Asia!E510+"n/&gt;!45_"</f>
        <v>#VALUE!</v>
      </c>
      <c r="BG407" t="e">
        <f>Asia!F510+"n/&gt;!45`"</f>
        <v>#VALUE!</v>
      </c>
      <c r="BH407" t="e">
        <f>Asia!G510+"n/&gt;!45a"</f>
        <v>#VALUE!</v>
      </c>
      <c r="BI407" t="e">
        <f>Asia!H510+"n/&gt;!45b"</f>
        <v>#VALUE!</v>
      </c>
      <c r="BJ407" t="e">
        <f>Asia!I510+"n/&gt;!45c"</f>
        <v>#VALUE!</v>
      </c>
      <c r="BK407" t="e">
        <f>Asia!A511+"n/&gt;!45d"</f>
        <v>#VALUE!</v>
      </c>
      <c r="BL407" t="e">
        <f>Asia!B511+"n/&gt;!45e"</f>
        <v>#VALUE!</v>
      </c>
      <c r="BM407" t="e">
        <f>Asia!C511+"n/&gt;!45f"</f>
        <v>#VALUE!</v>
      </c>
      <c r="BN407" t="e">
        <f>Asia!D511+"n/&gt;!45g"</f>
        <v>#VALUE!</v>
      </c>
      <c r="BO407" t="e">
        <f>Asia!E511+"n/&gt;!45h"</f>
        <v>#VALUE!</v>
      </c>
      <c r="BP407" t="e">
        <f>Asia!F511+"n/&gt;!45i"</f>
        <v>#VALUE!</v>
      </c>
      <c r="BQ407" t="e">
        <f>Asia!G511+"n/&gt;!45j"</f>
        <v>#VALUE!</v>
      </c>
      <c r="BR407" t="e">
        <f>Asia!H511+"n/&gt;!45k"</f>
        <v>#VALUE!</v>
      </c>
      <c r="BS407" t="e">
        <f>Asia!I511+"n/&gt;!45l"</f>
        <v>#VALUE!</v>
      </c>
      <c r="BT407" t="e">
        <f>Asia!A512+"n/&gt;!45m"</f>
        <v>#VALUE!</v>
      </c>
      <c r="BU407" t="e">
        <f>Asia!B512+"n/&gt;!45n"</f>
        <v>#VALUE!</v>
      </c>
      <c r="BV407" t="e">
        <f>Asia!C512+"n/&gt;!45o"</f>
        <v>#VALUE!</v>
      </c>
      <c r="BW407" t="e">
        <f>Asia!D512+"n/&gt;!45p"</f>
        <v>#VALUE!</v>
      </c>
      <c r="BX407" t="e">
        <f>Asia!E512+"n/&gt;!45q"</f>
        <v>#VALUE!</v>
      </c>
      <c r="BY407" t="e">
        <f>Asia!F512+"n/&gt;!45r"</f>
        <v>#VALUE!</v>
      </c>
      <c r="BZ407" t="e">
        <f>Asia!G512+"n/&gt;!45s"</f>
        <v>#VALUE!</v>
      </c>
      <c r="CA407" t="e">
        <f>Asia!H512+"n/&gt;!45t"</f>
        <v>#VALUE!</v>
      </c>
      <c r="CB407" t="e">
        <f>Asia!I512+"n/&gt;!45u"</f>
        <v>#VALUE!</v>
      </c>
      <c r="CC407" t="e">
        <f>Asia!A513+"n/&gt;!45v"</f>
        <v>#VALUE!</v>
      </c>
      <c r="CD407" t="e">
        <f>Asia!B513+"n/&gt;!45w"</f>
        <v>#VALUE!</v>
      </c>
      <c r="CE407" t="e">
        <f>Asia!C513+"n/&gt;!45x"</f>
        <v>#VALUE!</v>
      </c>
      <c r="CF407" t="e">
        <f>Asia!D513+"n/&gt;!45y"</f>
        <v>#VALUE!</v>
      </c>
      <c r="CG407" t="e">
        <f>Asia!E513+"n/&gt;!45z"</f>
        <v>#VALUE!</v>
      </c>
      <c r="CH407" t="e">
        <f>Asia!F513+"n/&gt;!45{"</f>
        <v>#VALUE!</v>
      </c>
      <c r="CI407" t="e">
        <f>Asia!G513+"n/&gt;!45|"</f>
        <v>#VALUE!</v>
      </c>
      <c r="CJ407" t="e">
        <f>Asia!H513+"n/&gt;!45}"</f>
        <v>#VALUE!</v>
      </c>
      <c r="CK407" t="e">
        <f>Asia!I513+"n/&gt;!45~"</f>
        <v>#VALUE!</v>
      </c>
      <c r="CL407" t="e">
        <f>Asia!A514+"n/&gt;!46#"</f>
        <v>#VALUE!</v>
      </c>
      <c r="CM407" t="e">
        <f>Asia!B514+"n/&gt;!46$"</f>
        <v>#VALUE!</v>
      </c>
      <c r="CN407" t="e">
        <f>Asia!C514+"n/&gt;!46%"</f>
        <v>#VALUE!</v>
      </c>
      <c r="CO407" t="e">
        <f>Asia!D514+"n/&gt;!46&amp;"</f>
        <v>#VALUE!</v>
      </c>
      <c r="CP407" t="e">
        <f>Asia!E514+"n/&gt;!46'"</f>
        <v>#VALUE!</v>
      </c>
      <c r="CQ407" t="e">
        <f>Asia!F514+"n/&gt;!46("</f>
        <v>#VALUE!</v>
      </c>
      <c r="CR407" t="e">
        <f>Asia!G514+"n/&gt;!46)"</f>
        <v>#VALUE!</v>
      </c>
      <c r="CS407" t="e">
        <f>Asia!H514+"n/&gt;!46."</f>
        <v>#VALUE!</v>
      </c>
      <c r="CT407" t="e">
        <f>Asia!I514+"n/&gt;!46/"</f>
        <v>#VALUE!</v>
      </c>
      <c r="CU407" t="e">
        <f>Asia!A515+"n/&gt;!460"</f>
        <v>#VALUE!</v>
      </c>
      <c r="CV407" t="e">
        <f>Asia!B515+"n/&gt;!461"</f>
        <v>#VALUE!</v>
      </c>
      <c r="CW407" t="e">
        <f>Asia!C515+"n/&gt;!462"</f>
        <v>#VALUE!</v>
      </c>
      <c r="CX407" t="e">
        <f>Asia!D515+"n/&gt;!463"</f>
        <v>#VALUE!</v>
      </c>
      <c r="CY407" t="e">
        <f>Asia!E515+"n/&gt;!464"</f>
        <v>#VALUE!</v>
      </c>
      <c r="CZ407" t="e">
        <f>Asia!F515+"n/&gt;!465"</f>
        <v>#VALUE!</v>
      </c>
      <c r="DA407" t="e">
        <f>Asia!G515+"n/&gt;!466"</f>
        <v>#VALUE!</v>
      </c>
      <c r="DB407" t="e">
        <f>Asia!H515+"n/&gt;!467"</f>
        <v>#VALUE!</v>
      </c>
      <c r="DC407" t="e">
        <f>Asia!I515+"n/&gt;!468"</f>
        <v>#VALUE!</v>
      </c>
      <c r="DD407" t="e">
        <f>Asia!A516+"n/&gt;!469"</f>
        <v>#VALUE!</v>
      </c>
      <c r="DE407" t="e">
        <f>Asia!B516+"n/&gt;!46:"</f>
        <v>#VALUE!</v>
      </c>
      <c r="DF407" t="e">
        <f>Asia!C516+"n/&gt;!46;"</f>
        <v>#VALUE!</v>
      </c>
      <c r="DG407" t="e">
        <f>Asia!D516+"n/&gt;!46&lt;"</f>
        <v>#VALUE!</v>
      </c>
      <c r="DH407" t="e">
        <f>Asia!E516+"n/&gt;!46="</f>
        <v>#VALUE!</v>
      </c>
      <c r="DI407" t="e">
        <f>Asia!F516+"n/&gt;!46&gt;"</f>
        <v>#VALUE!</v>
      </c>
      <c r="DJ407" t="e">
        <f>Asia!G516+"n/&gt;!46?"</f>
        <v>#VALUE!</v>
      </c>
      <c r="DK407" t="e">
        <f>Asia!H516+"n/&gt;!46@"</f>
        <v>#VALUE!</v>
      </c>
      <c r="DL407" t="e">
        <f>Asia!I516+"n/&gt;!46A"</f>
        <v>#VALUE!</v>
      </c>
      <c r="DM407" t="e">
        <f>Asia!A517+"n/&gt;!46B"</f>
        <v>#VALUE!</v>
      </c>
      <c r="DN407" t="e">
        <f>Asia!B517+"n/&gt;!46C"</f>
        <v>#VALUE!</v>
      </c>
      <c r="DO407" t="e">
        <f>Asia!C517+"n/&gt;!46D"</f>
        <v>#VALUE!</v>
      </c>
      <c r="DP407" t="e">
        <f>Asia!D517+"n/&gt;!46E"</f>
        <v>#VALUE!</v>
      </c>
      <c r="DQ407" t="e">
        <f>Asia!E517+"n/&gt;!46F"</f>
        <v>#VALUE!</v>
      </c>
      <c r="DR407" t="e">
        <f>Asia!F517+"n/&gt;!46G"</f>
        <v>#VALUE!</v>
      </c>
      <c r="DS407" t="e">
        <f>Asia!G517+"n/&gt;!46H"</f>
        <v>#VALUE!</v>
      </c>
      <c r="DT407" t="e">
        <f>Asia!H517+"n/&gt;!46I"</f>
        <v>#VALUE!</v>
      </c>
      <c r="DU407" t="e">
        <f>Asia!I517+"n/&gt;!46J"</f>
        <v>#VALUE!</v>
      </c>
      <c r="DV407" t="e">
        <f>Asia!A518+"n/&gt;!46K"</f>
        <v>#VALUE!</v>
      </c>
      <c r="DW407" t="e">
        <f>Asia!B518+"n/&gt;!46L"</f>
        <v>#VALUE!</v>
      </c>
      <c r="DX407" t="e">
        <f>Asia!C518+"n/&gt;!46M"</f>
        <v>#VALUE!</v>
      </c>
      <c r="DY407" t="e">
        <f>Asia!D518+"n/&gt;!46N"</f>
        <v>#VALUE!</v>
      </c>
      <c r="DZ407" t="e">
        <f>Asia!E518+"n/&gt;!46O"</f>
        <v>#VALUE!</v>
      </c>
      <c r="EA407" t="e">
        <f>Asia!F518+"n/&gt;!46P"</f>
        <v>#VALUE!</v>
      </c>
      <c r="EB407" t="e">
        <f>Asia!G518+"n/&gt;!46Q"</f>
        <v>#VALUE!</v>
      </c>
      <c r="EC407" t="e">
        <f>Asia!H518+"n/&gt;!46R"</f>
        <v>#VALUE!</v>
      </c>
      <c r="ED407" t="e">
        <f>Asia!I518+"n/&gt;!46S"</f>
        <v>#VALUE!</v>
      </c>
      <c r="EE407" t="e">
        <f>Asia!A519+"n/&gt;!46T"</f>
        <v>#VALUE!</v>
      </c>
      <c r="EF407" t="e">
        <f>Asia!B519+"n/&gt;!46U"</f>
        <v>#VALUE!</v>
      </c>
      <c r="EG407" t="e">
        <f>Asia!C519+"n/&gt;!46V"</f>
        <v>#VALUE!</v>
      </c>
      <c r="EH407" t="e">
        <f>Asia!D519+"n/&gt;!46W"</f>
        <v>#VALUE!</v>
      </c>
      <c r="EI407" t="e">
        <f>Asia!E519+"n/&gt;!46X"</f>
        <v>#VALUE!</v>
      </c>
      <c r="EJ407" t="e">
        <f>Asia!F519+"n/&gt;!46Y"</f>
        <v>#VALUE!</v>
      </c>
      <c r="EK407" t="e">
        <f>Asia!G519+"n/&gt;!46Z"</f>
        <v>#VALUE!</v>
      </c>
      <c r="EL407" t="e">
        <f>Asia!H519+"n/&gt;!46["</f>
        <v>#VALUE!</v>
      </c>
      <c r="EM407" t="e">
        <f>Asia!I519+"n/&gt;!46\"</f>
        <v>#VALUE!</v>
      </c>
      <c r="EN407" t="e">
        <f>Asia!A520+"n/&gt;!46]"</f>
        <v>#VALUE!</v>
      </c>
      <c r="EO407" t="e">
        <f>Asia!B520+"n/&gt;!46^"</f>
        <v>#VALUE!</v>
      </c>
      <c r="EP407" t="e">
        <f>Asia!C520+"n/&gt;!46_"</f>
        <v>#VALUE!</v>
      </c>
      <c r="EQ407" t="e">
        <f>Asia!D520+"n/&gt;!46`"</f>
        <v>#VALUE!</v>
      </c>
      <c r="ER407" t="e">
        <f>Asia!E520+"n/&gt;!46a"</f>
        <v>#VALUE!</v>
      </c>
      <c r="ES407" t="e">
        <f>Asia!F520+"n/&gt;!46b"</f>
        <v>#VALUE!</v>
      </c>
      <c r="ET407" t="e">
        <f>Asia!G520+"n/&gt;!46c"</f>
        <v>#VALUE!</v>
      </c>
      <c r="EU407" t="e">
        <f>Asia!H520+"n/&gt;!46d"</f>
        <v>#VALUE!</v>
      </c>
      <c r="EV407" t="e">
        <f>Asia!I520+"n/&gt;!46e"</f>
        <v>#VALUE!</v>
      </c>
      <c r="EW407" t="e">
        <f>Asia!A521+"n/&gt;!46f"</f>
        <v>#VALUE!</v>
      </c>
      <c r="EX407" t="e">
        <f>Asia!B521+"n/&gt;!46g"</f>
        <v>#VALUE!</v>
      </c>
      <c r="EY407" t="e">
        <f>Asia!C521+"n/&gt;!46h"</f>
        <v>#VALUE!</v>
      </c>
      <c r="EZ407" t="e">
        <f>Asia!D521+"n/&gt;!46i"</f>
        <v>#VALUE!</v>
      </c>
      <c r="FA407" t="e">
        <f>Asia!E521+"n/&gt;!46j"</f>
        <v>#VALUE!</v>
      </c>
      <c r="FB407" t="e">
        <f>Asia!F521+"n/&gt;!46k"</f>
        <v>#VALUE!</v>
      </c>
      <c r="FC407" t="e">
        <f>Asia!G521+"n/&gt;!46l"</f>
        <v>#VALUE!</v>
      </c>
      <c r="FD407" t="e">
        <f>Asia!H521+"n/&gt;!46m"</f>
        <v>#VALUE!</v>
      </c>
      <c r="FE407" t="e">
        <f>Asia!I521+"n/&gt;!46n"</f>
        <v>#VALUE!</v>
      </c>
      <c r="FF407" t="e">
        <f>Asia!A522+"n/&gt;!46o"</f>
        <v>#VALUE!</v>
      </c>
      <c r="FG407" t="e">
        <f>Asia!B522+"n/&gt;!46p"</f>
        <v>#VALUE!</v>
      </c>
      <c r="FH407" t="e">
        <f>Asia!C522+"n/&gt;!46q"</f>
        <v>#VALUE!</v>
      </c>
      <c r="FI407" t="e">
        <f>Asia!D522+"n/&gt;!46r"</f>
        <v>#VALUE!</v>
      </c>
      <c r="FJ407" t="e">
        <f>Asia!E522+"n/&gt;!46s"</f>
        <v>#VALUE!</v>
      </c>
      <c r="FK407" t="e">
        <f>Asia!F522+"n/&gt;!46t"</f>
        <v>#VALUE!</v>
      </c>
      <c r="FL407" t="e">
        <f>Asia!G522+"n/&gt;!46u"</f>
        <v>#VALUE!</v>
      </c>
      <c r="FM407" t="e">
        <f>Asia!H522+"n/&gt;!46v"</f>
        <v>#VALUE!</v>
      </c>
      <c r="FN407" t="e">
        <f>Asia!I522+"n/&gt;!46w"</f>
        <v>#VALUE!</v>
      </c>
      <c r="FO407" t="e">
        <f>Asia!A523+"n/&gt;!46x"</f>
        <v>#VALUE!</v>
      </c>
      <c r="FP407" t="e">
        <f>Asia!B523+"n/&gt;!46y"</f>
        <v>#VALUE!</v>
      </c>
      <c r="FQ407" t="e">
        <f>Asia!C523+"n/&gt;!46z"</f>
        <v>#VALUE!</v>
      </c>
      <c r="FR407" t="e">
        <f>Asia!D523+"n/&gt;!46{"</f>
        <v>#VALUE!</v>
      </c>
      <c r="FS407" t="e">
        <f>Asia!E523+"n/&gt;!46|"</f>
        <v>#VALUE!</v>
      </c>
      <c r="FT407" t="e">
        <f>Asia!F523+"n/&gt;!46}"</f>
        <v>#VALUE!</v>
      </c>
      <c r="FU407" t="e">
        <f>Asia!G523+"n/&gt;!46~"</f>
        <v>#VALUE!</v>
      </c>
      <c r="FV407" t="e">
        <f>Asia!H523+"n/&gt;!47#"</f>
        <v>#VALUE!</v>
      </c>
      <c r="FW407" t="e">
        <f>Asia!I523+"n/&gt;!47$"</f>
        <v>#VALUE!</v>
      </c>
      <c r="FX407" t="e">
        <f>Asia!A524+"n/&gt;!47%"</f>
        <v>#VALUE!</v>
      </c>
      <c r="FY407" t="e">
        <f>Asia!B524+"n/&gt;!47&amp;"</f>
        <v>#VALUE!</v>
      </c>
      <c r="FZ407" t="e">
        <f>Asia!C524+"n/&gt;!47'"</f>
        <v>#VALUE!</v>
      </c>
      <c r="GA407" t="e">
        <f>Asia!D524+"n/&gt;!47("</f>
        <v>#VALUE!</v>
      </c>
      <c r="GB407" t="e">
        <f>Asia!E524+"n/&gt;!47)"</f>
        <v>#VALUE!</v>
      </c>
      <c r="GC407" t="e">
        <f>Asia!F524+"n/&gt;!47."</f>
        <v>#VALUE!</v>
      </c>
      <c r="GD407" t="e">
        <f>Asia!G524+"n/&gt;!47/"</f>
        <v>#VALUE!</v>
      </c>
      <c r="GE407" t="e">
        <f>Asia!H524+"n/&gt;!470"</f>
        <v>#VALUE!</v>
      </c>
      <c r="GF407" t="e">
        <f>Asia!I524+"n/&gt;!471"</f>
        <v>#VALUE!</v>
      </c>
      <c r="GG407" t="e">
        <f>Asia!A525+"n/&gt;!472"</f>
        <v>#VALUE!</v>
      </c>
      <c r="GH407" t="e">
        <f>Asia!B525+"n/&gt;!473"</f>
        <v>#VALUE!</v>
      </c>
      <c r="GI407" t="e">
        <f>Asia!C525+"n/&gt;!474"</f>
        <v>#VALUE!</v>
      </c>
      <c r="GJ407" t="e">
        <f>Asia!D525+"n/&gt;!475"</f>
        <v>#VALUE!</v>
      </c>
      <c r="GK407" t="e">
        <f>Asia!E525+"n/&gt;!476"</f>
        <v>#VALUE!</v>
      </c>
      <c r="GL407" t="e">
        <f>Asia!F525+"n/&gt;!477"</f>
        <v>#VALUE!</v>
      </c>
      <c r="GM407" t="e">
        <f>Asia!G525+"n/&gt;!478"</f>
        <v>#VALUE!</v>
      </c>
      <c r="GN407" t="e">
        <f>Asia!H525+"n/&gt;!479"</f>
        <v>#VALUE!</v>
      </c>
      <c r="GO407" t="e">
        <f>Asia!I525+"n/&gt;!47:"</f>
        <v>#VALUE!</v>
      </c>
      <c r="GP407" t="e">
        <f>Asia!A526+"n/&gt;!47;"</f>
        <v>#VALUE!</v>
      </c>
      <c r="GQ407" t="e">
        <f>Asia!B526+"n/&gt;!47&lt;"</f>
        <v>#VALUE!</v>
      </c>
      <c r="GR407" t="e">
        <f>Asia!C526+"n/&gt;!47="</f>
        <v>#VALUE!</v>
      </c>
      <c r="GS407" t="e">
        <f>Asia!D526+"n/&gt;!47&gt;"</f>
        <v>#VALUE!</v>
      </c>
      <c r="GT407" t="e">
        <f>Asia!E526+"n/&gt;!47?"</f>
        <v>#VALUE!</v>
      </c>
      <c r="GU407" t="e">
        <f>Asia!F526+"n/&gt;!47@"</f>
        <v>#VALUE!</v>
      </c>
      <c r="GV407" t="e">
        <f>Asia!G526+"n/&gt;!47A"</f>
        <v>#VALUE!</v>
      </c>
      <c r="GW407" t="e">
        <f>Asia!H526+"n/&gt;!47B"</f>
        <v>#VALUE!</v>
      </c>
      <c r="GX407" t="e">
        <f>Asia!I526+"n/&gt;!47C"</f>
        <v>#VALUE!</v>
      </c>
      <c r="GY407" t="e">
        <f>Asia!A527+"n/&gt;!47D"</f>
        <v>#VALUE!</v>
      </c>
      <c r="GZ407" t="e">
        <f>Asia!B527+"n/&gt;!47E"</f>
        <v>#VALUE!</v>
      </c>
      <c r="HA407" t="e">
        <f>Asia!C527+"n/&gt;!47F"</f>
        <v>#VALUE!</v>
      </c>
      <c r="HB407" t="e">
        <f>Asia!D527+"n/&gt;!47G"</f>
        <v>#VALUE!</v>
      </c>
      <c r="HC407" t="e">
        <f>Asia!E527+"n/&gt;!47H"</f>
        <v>#VALUE!</v>
      </c>
      <c r="HD407" t="e">
        <f>Asia!F527+"n/&gt;!47I"</f>
        <v>#VALUE!</v>
      </c>
      <c r="HE407" t="e">
        <f>Asia!G527+"n/&gt;!47J"</f>
        <v>#VALUE!</v>
      </c>
      <c r="HF407" t="e">
        <f>Asia!H527+"n/&gt;!47K"</f>
        <v>#VALUE!</v>
      </c>
      <c r="HG407" t="e">
        <f>Asia!I527+"n/&gt;!47L"</f>
        <v>#VALUE!</v>
      </c>
      <c r="HH407" t="e">
        <f>Asia!A528+"n/&gt;!47M"</f>
        <v>#VALUE!</v>
      </c>
      <c r="HI407" t="e">
        <f>Asia!B528+"n/&gt;!47N"</f>
        <v>#VALUE!</v>
      </c>
      <c r="HJ407" t="e">
        <f>Asia!C528+"n/&gt;!47O"</f>
        <v>#VALUE!</v>
      </c>
      <c r="HK407" t="e">
        <f>Asia!D528+"n/&gt;!47P"</f>
        <v>#VALUE!</v>
      </c>
      <c r="HL407" t="e">
        <f>Asia!E528+"n/&gt;!47Q"</f>
        <v>#VALUE!</v>
      </c>
      <c r="HM407" t="e">
        <f>Asia!F528+"n/&gt;!47R"</f>
        <v>#VALUE!</v>
      </c>
      <c r="HN407" t="e">
        <f>Asia!G528+"n/&gt;!47S"</f>
        <v>#VALUE!</v>
      </c>
      <c r="HO407" t="e">
        <f>Asia!H528+"n/&gt;!47T"</f>
        <v>#VALUE!</v>
      </c>
      <c r="HP407" t="e">
        <f>Asia!I528+"n/&gt;!47U"</f>
        <v>#VALUE!</v>
      </c>
      <c r="HQ407" t="e">
        <f>Asia!A529+"n/&gt;!47V"</f>
        <v>#VALUE!</v>
      </c>
      <c r="HR407" t="e">
        <f>Asia!B529+"n/&gt;!47W"</f>
        <v>#VALUE!</v>
      </c>
      <c r="HS407" t="e">
        <f>Asia!C529+"n/&gt;!47X"</f>
        <v>#VALUE!</v>
      </c>
      <c r="HT407" t="e">
        <f>Asia!D529+"n/&gt;!47Y"</f>
        <v>#VALUE!</v>
      </c>
      <c r="HU407" t="e">
        <f>Asia!E529+"n/&gt;!47Z"</f>
        <v>#VALUE!</v>
      </c>
      <c r="HV407" t="e">
        <f>Asia!F529+"n/&gt;!47["</f>
        <v>#VALUE!</v>
      </c>
      <c r="HW407" t="e">
        <f>Asia!G529+"n/&gt;!47\"</f>
        <v>#VALUE!</v>
      </c>
      <c r="HX407" t="e">
        <f>Asia!H529+"n/&gt;!47]"</f>
        <v>#VALUE!</v>
      </c>
      <c r="HY407" t="e">
        <f>Asia!I529+"n/&gt;!47^"</f>
        <v>#VALUE!</v>
      </c>
      <c r="HZ407" t="e">
        <f>Asia!A530+"n/&gt;!47_"</f>
        <v>#VALUE!</v>
      </c>
      <c r="IA407" t="e">
        <f>Asia!B530+"n/&gt;!47`"</f>
        <v>#VALUE!</v>
      </c>
      <c r="IB407" t="e">
        <f>Asia!C530+"n/&gt;!47a"</f>
        <v>#VALUE!</v>
      </c>
      <c r="IC407" t="e">
        <f>Asia!D530+"n/&gt;!47b"</f>
        <v>#VALUE!</v>
      </c>
      <c r="ID407" t="e">
        <f>Asia!E530+"n/&gt;!47c"</f>
        <v>#VALUE!</v>
      </c>
      <c r="IE407" t="e">
        <f>Asia!F530+"n/&gt;!47d"</f>
        <v>#VALUE!</v>
      </c>
      <c r="IF407" t="e">
        <f>Asia!G530+"n/&gt;!47e"</f>
        <v>#VALUE!</v>
      </c>
      <c r="IG407" t="e">
        <f>Asia!H530+"n/&gt;!47f"</f>
        <v>#VALUE!</v>
      </c>
      <c r="IH407" t="e">
        <f>Asia!I530+"n/&gt;!47g"</f>
        <v>#VALUE!</v>
      </c>
      <c r="II407" t="e">
        <f>Asia!A531+"n/&gt;!47h"</f>
        <v>#VALUE!</v>
      </c>
      <c r="IJ407" t="e">
        <f>Asia!B531+"n/&gt;!47i"</f>
        <v>#VALUE!</v>
      </c>
      <c r="IK407" t="e">
        <f>Asia!C531+"n/&gt;!47j"</f>
        <v>#VALUE!</v>
      </c>
      <c r="IL407" t="e">
        <f>Asia!D531+"n/&gt;!47k"</f>
        <v>#VALUE!</v>
      </c>
      <c r="IM407" t="e">
        <f>Asia!E531+"n/&gt;!47l"</f>
        <v>#VALUE!</v>
      </c>
      <c r="IN407" t="e">
        <f>Asia!F531+"n/&gt;!47m"</f>
        <v>#VALUE!</v>
      </c>
      <c r="IO407" t="e">
        <f>Asia!G531+"n/&gt;!47n"</f>
        <v>#VALUE!</v>
      </c>
      <c r="IP407" t="e">
        <f>Asia!H531+"n/&gt;!47o"</f>
        <v>#VALUE!</v>
      </c>
      <c r="IQ407" t="e">
        <f>Asia!I531+"n/&gt;!47p"</f>
        <v>#VALUE!</v>
      </c>
      <c r="IR407" t="e">
        <f>Asia!A532+"n/&gt;!47q"</f>
        <v>#VALUE!</v>
      </c>
      <c r="IS407" t="e">
        <f>Asia!B532+"n/&gt;!47r"</f>
        <v>#VALUE!</v>
      </c>
      <c r="IT407" t="e">
        <f>Asia!C532+"n/&gt;!47s"</f>
        <v>#VALUE!</v>
      </c>
      <c r="IU407" t="e">
        <f>Asia!D532+"n/&gt;!47t"</f>
        <v>#VALUE!</v>
      </c>
      <c r="IV407" t="e">
        <f>Asia!E532+"n/&gt;!47u"</f>
        <v>#VALUE!</v>
      </c>
    </row>
    <row r="408" spans="6:256" x14ac:dyDescent="0.35">
      <c r="F408" t="e">
        <f>Asia!F532+"n/&gt;!47v"</f>
        <v>#VALUE!</v>
      </c>
      <c r="G408" t="e">
        <f>Asia!G532+"n/&gt;!47w"</f>
        <v>#VALUE!</v>
      </c>
      <c r="H408" t="e">
        <f>Asia!H532+"n/&gt;!47x"</f>
        <v>#VALUE!</v>
      </c>
      <c r="I408" t="e">
        <f>Asia!I532+"n/&gt;!47y"</f>
        <v>#VALUE!</v>
      </c>
      <c r="J408" t="e">
        <f>Asia!A533+"n/&gt;!47z"</f>
        <v>#VALUE!</v>
      </c>
      <c r="K408" t="e">
        <f>Asia!B533+"n/&gt;!47{"</f>
        <v>#VALUE!</v>
      </c>
      <c r="L408" t="e">
        <f>Asia!C533+"n/&gt;!47|"</f>
        <v>#VALUE!</v>
      </c>
      <c r="M408" t="e">
        <f>Asia!D533+"n/&gt;!47}"</f>
        <v>#VALUE!</v>
      </c>
      <c r="N408" t="e">
        <f>Asia!E533+"n/&gt;!47~"</f>
        <v>#VALUE!</v>
      </c>
      <c r="O408" t="e">
        <f>Asia!F533+"n/&gt;!48#"</f>
        <v>#VALUE!</v>
      </c>
      <c r="P408" t="e">
        <f>Asia!G533+"n/&gt;!48$"</f>
        <v>#VALUE!</v>
      </c>
      <c r="Q408" t="e">
        <f>Asia!H533+"n/&gt;!48%"</f>
        <v>#VALUE!</v>
      </c>
      <c r="R408" t="e">
        <f>Asia!I533+"n/&gt;!48&amp;"</f>
        <v>#VALUE!</v>
      </c>
      <c r="S408" t="e">
        <f>Asia!A534+"n/&gt;!48'"</f>
        <v>#VALUE!</v>
      </c>
      <c r="T408" t="e">
        <f>Asia!B534+"n/&gt;!48("</f>
        <v>#VALUE!</v>
      </c>
      <c r="U408" t="e">
        <f>Asia!C534+"n/&gt;!48)"</f>
        <v>#VALUE!</v>
      </c>
      <c r="V408" t="e">
        <f>Asia!D534+"n/&gt;!48."</f>
        <v>#VALUE!</v>
      </c>
      <c r="W408" t="e">
        <f>Asia!E534+"n/&gt;!48/"</f>
        <v>#VALUE!</v>
      </c>
      <c r="X408" t="e">
        <f>Asia!F534+"n/&gt;!480"</f>
        <v>#VALUE!</v>
      </c>
      <c r="Y408" t="e">
        <f>Asia!G534+"n/&gt;!481"</f>
        <v>#VALUE!</v>
      </c>
      <c r="Z408" t="e">
        <f>Asia!H534+"n/&gt;!482"</f>
        <v>#VALUE!</v>
      </c>
      <c r="AA408" t="e">
        <f>Asia!I534+"n/&gt;!483"</f>
        <v>#VALUE!</v>
      </c>
      <c r="AB408" t="e">
        <f>Asia!A535+"n/&gt;!484"</f>
        <v>#VALUE!</v>
      </c>
      <c r="AC408" t="e">
        <f>Asia!B535+"n/&gt;!485"</f>
        <v>#VALUE!</v>
      </c>
      <c r="AD408" t="e">
        <f>Asia!C535+"n/&gt;!486"</f>
        <v>#VALUE!</v>
      </c>
      <c r="AE408" t="e">
        <f>Asia!D535+"n/&gt;!487"</f>
        <v>#VALUE!</v>
      </c>
      <c r="AF408" t="e">
        <f>Asia!E535+"n/&gt;!488"</f>
        <v>#VALUE!</v>
      </c>
      <c r="AG408" t="e">
        <f>Asia!F535+"n/&gt;!489"</f>
        <v>#VALUE!</v>
      </c>
      <c r="AH408" t="e">
        <f>Asia!G535+"n/&gt;!48:"</f>
        <v>#VALUE!</v>
      </c>
      <c r="AI408" t="e">
        <f>Asia!H535+"n/&gt;!48;"</f>
        <v>#VALUE!</v>
      </c>
      <c r="AJ408" t="e">
        <f>Asia!I535+"n/&gt;!48&lt;"</f>
        <v>#VALUE!</v>
      </c>
      <c r="AK408" t="e">
        <f>Asia!A536+"n/&gt;!48="</f>
        <v>#VALUE!</v>
      </c>
      <c r="AL408" t="e">
        <f>Asia!B536+"n/&gt;!48&gt;"</f>
        <v>#VALUE!</v>
      </c>
      <c r="AM408" t="e">
        <f>Asia!C536+"n/&gt;!48?"</f>
        <v>#VALUE!</v>
      </c>
      <c r="AN408" t="e">
        <f>Asia!D536+"n/&gt;!48@"</f>
        <v>#VALUE!</v>
      </c>
      <c r="AO408" t="e">
        <f>Asia!E536+"n/&gt;!48A"</f>
        <v>#VALUE!</v>
      </c>
      <c r="AP408" t="e">
        <f>Asia!F536+"n/&gt;!48B"</f>
        <v>#VALUE!</v>
      </c>
      <c r="AQ408" t="e">
        <f>Asia!G536+"n/&gt;!48C"</f>
        <v>#VALUE!</v>
      </c>
      <c r="AR408" t="e">
        <f>Asia!H536+"n/&gt;!48D"</f>
        <v>#VALUE!</v>
      </c>
      <c r="AS408" t="e">
        <f>Asia!I536+"n/&gt;!48E"</f>
        <v>#VALUE!</v>
      </c>
      <c r="AT408" t="e">
        <f>Asia!A537+"n/&gt;!48F"</f>
        <v>#VALUE!</v>
      </c>
      <c r="AU408" t="e">
        <f>Asia!B537+"n/&gt;!48G"</f>
        <v>#VALUE!</v>
      </c>
      <c r="AV408" t="e">
        <f>Asia!C537+"n/&gt;!48H"</f>
        <v>#VALUE!</v>
      </c>
      <c r="AW408" t="e">
        <f>Asia!D537+"n/&gt;!48I"</f>
        <v>#VALUE!</v>
      </c>
      <c r="AX408" t="e">
        <f>Asia!E537+"n/&gt;!48J"</f>
        <v>#VALUE!</v>
      </c>
      <c r="AY408" t="e">
        <f>Asia!F537+"n/&gt;!48K"</f>
        <v>#VALUE!</v>
      </c>
      <c r="AZ408" t="e">
        <f>Asia!G537+"n/&gt;!48L"</f>
        <v>#VALUE!</v>
      </c>
      <c r="BA408" t="e">
        <f>Asia!H537+"n/&gt;!48M"</f>
        <v>#VALUE!</v>
      </c>
      <c r="BB408" t="e">
        <f>Asia!I537+"n/&gt;!48N"</f>
        <v>#VALUE!</v>
      </c>
      <c r="BC408" t="e">
        <f>Asia!A538+"n/&gt;!48O"</f>
        <v>#VALUE!</v>
      </c>
      <c r="BD408" t="e">
        <f>Asia!B538+"n/&gt;!48P"</f>
        <v>#VALUE!</v>
      </c>
      <c r="BE408" t="e">
        <f>Asia!C538+"n/&gt;!48Q"</f>
        <v>#VALUE!</v>
      </c>
      <c r="BF408" t="e">
        <f>Asia!D538+"n/&gt;!48R"</f>
        <v>#VALUE!</v>
      </c>
      <c r="BG408" t="e">
        <f>Asia!E538+"n/&gt;!48S"</f>
        <v>#VALUE!</v>
      </c>
      <c r="BH408" t="e">
        <f>Asia!F538+"n/&gt;!48T"</f>
        <v>#VALUE!</v>
      </c>
      <c r="BI408" t="e">
        <f>Asia!G538+"n/&gt;!48U"</f>
        <v>#VALUE!</v>
      </c>
      <c r="BJ408" t="e">
        <f>Asia!H538+"n/&gt;!48V"</f>
        <v>#VALUE!</v>
      </c>
      <c r="BK408" t="e">
        <f>Asia!I538+"n/&gt;!48W"</f>
        <v>#VALUE!</v>
      </c>
      <c r="BL408" t="e">
        <f>Asia!A539+"n/&gt;!48X"</f>
        <v>#VALUE!</v>
      </c>
      <c r="BM408" t="e">
        <f>Asia!B539+"n/&gt;!48Y"</f>
        <v>#VALUE!</v>
      </c>
      <c r="BN408" t="e">
        <f>Asia!C539+"n/&gt;!48Z"</f>
        <v>#VALUE!</v>
      </c>
      <c r="BO408" t="e">
        <f>Asia!D539+"n/&gt;!48["</f>
        <v>#VALUE!</v>
      </c>
      <c r="BP408" t="e">
        <f>Asia!E539+"n/&gt;!48\"</f>
        <v>#VALUE!</v>
      </c>
      <c r="BQ408" t="e">
        <f>Asia!F539+"n/&gt;!48]"</f>
        <v>#VALUE!</v>
      </c>
      <c r="BR408" t="e">
        <f>Asia!G539+"n/&gt;!48^"</f>
        <v>#VALUE!</v>
      </c>
      <c r="BS408" t="e">
        <f>Asia!H539+"n/&gt;!48_"</f>
        <v>#VALUE!</v>
      </c>
      <c r="BT408" t="e">
        <f>Asia!I539+"n/&gt;!48`"</f>
        <v>#VALUE!</v>
      </c>
      <c r="BU408" t="e">
        <f>Asia!A540+"n/&gt;!48a"</f>
        <v>#VALUE!</v>
      </c>
      <c r="BV408" t="e">
        <f>Asia!B540+"n/&gt;!48b"</f>
        <v>#VALUE!</v>
      </c>
      <c r="BW408" t="e">
        <f>Asia!C540+"n/&gt;!48c"</f>
        <v>#VALUE!</v>
      </c>
      <c r="BX408" t="e">
        <f>Asia!D540+"n/&gt;!48d"</f>
        <v>#VALUE!</v>
      </c>
      <c r="BY408" t="e">
        <f>Asia!E540+"n/&gt;!48e"</f>
        <v>#VALUE!</v>
      </c>
      <c r="BZ408" t="e">
        <f>Asia!F540+"n/&gt;!48f"</f>
        <v>#VALUE!</v>
      </c>
      <c r="CA408" t="e">
        <f>Asia!G540+"n/&gt;!48g"</f>
        <v>#VALUE!</v>
      </c>
      <c r="CB408" t="e">
        <f>Asia!H540+"n/&gt;!48h"</f>
        <v>#VALUE!</v>
      </c>
      <c r="CC408" t="e">
        <f>Asia!I540+"n/&gt;!48i"</f>
        <v>#VALUE!</v>
      </c>
      <c r="CD408" t="e">
        <f>Asia!A541+"n/&gt;!48j"</f>
        <v>#VALUE!</v>
      </c>
      <c r="CE408" t="e">
        <f>Asia!B541+"n/&gt;!48k"</f>
        <v>#VALUE!</v>
      </c>
      <c r="CF408" t="e">
        <f>Asia!C541+"n/&gt;!48l"</f>
        <v>#VALUE!</v>
      </c>
      <c r="CG408" t="e">
        <f>Asia!D541+"n/&gt;!48m"</f>
        <v>#VALUE!</v>
      </c>
      <c r="CH408" t="e">
        <f>Asia!E541+"n/&gt;!48n"</f>
        <v>#VALUE!</v>
      </c>
      <c r="CI408" t="e">
        <f>Asia!F541+"n/&gt;!48o"</f>
        <v>#VALUE!</v>
      </c>
      <c r="CJ408" t="e">
        <f>Asia!G541+"n/&gt;!48p"</f>
        <v>#VALUE!</v>
      </c>
      <c r="CK408" t="e">
        <f>Asia!H541+"n/&gt;!48q"</f>
        <v>#VALUE!</v>
      </c>
      <c r="CL408" t="e">
        <f>Asia!I541+"n/&gt;!48r"</f>
        <v>#VALUE!</v>
      </c>
      <c r="CM408" t="e">
        <f>Asia!A542+"n/&gt;!48s"</f>
        <v>#VALUE!</v>
      </c>
      <c r="CN408" t="e">
        <f>Asia!B542+"n/&gt;!48t"</f>
        <v>#VALUE!</v>
      </c>
      <c r="CO408" t="e">
        <f>Asia!C542+"n/&gt;!48u"</f>
        <v>#VALUE!</v>
      </c>
      <c r="CP408" t="e">
        <f>Asia!D542+"n/&gt;!48v"</f>
        <v>#VALUE!</v>
      </c>
      <c r="CQ408" t="e">
        <f>Asia!E542+"n/&gt;!48w"</f>
        <v>#VALUE!</v>
      </c>
      <c r="CR408" t="e">
        <f>Asia!F542+"n/&gt;!48x"</f>
        <v>#VALUE!</v>
      </c>
      <c r="CS408" t="e">
        <f>Asia!G542+"n/&gt;!48y"</f>
        <v>#VALUE!</v>
      </c>
      <c r="CT408" t="e">
        <f>Asia!H542+"n/&gt;!48z"</f>
        <v>#VALUE!</v>
      </c>
      <c r="CU408" t="e">
        <f>Asia!I542+"n/&gt;!48{"</f>
        <v>#VALUE!</v>
      </c>
      <c r="CV408" t="e">
        <f>Asia!A543+"n/&gt;!48|"</f>
        <v>#VALUE!</v>
      </c>
      <c r="CW408" t="e">
        <f>Asia!B543+"n/&gt;!48}"</f>
        <v>#VALUE!</v>
      </c>
      <c r="CX408" t="e">
        <f>Asia!C543+"n/&gt;!48~"</f>
        <v>#VALUE!</v>
      </c>
      <c r="CY408" t="e">
        <f>Asia!D543+"n/&gt;!49#"</f>
        <v>#VALUE!</v>
      </c>
      <c r="CZ408" t="e">
        <f>Asia!E543+"n/&gt;!49$"</f>
        <v>#VALUE!</v>
      </c>
      <c r="DA408" t="e">
        <f>Asia!F543+"n/&gt;!49%"</f>
        <v>#VALUE!</v>
      </c>
      <c r="DB408" t="e">
        <f>Asia!G543+"n/&gt;!49&amp;"</f>
        <v>#VALUE!</v>
      </c>
      <c r="DC408" t="e">
        <f>Asia!H543+"n/&gt;!49'"</f>
        <v>#VALUE!</v>
      </c>
      <c r="DD408" t="e">
        <f>Asia!I543+"n/&gt;!49("</f>
        <v>#VALUE!</v>
      </c>
      <c r="DE408" t="e">
        <f>Asia!A544+"n/&gt;!49)"</f>
        <v>#VALUE!</v>
      </c>
      <c r="DF408" t="e">
        <f>Asia!B544+"n/&gt;!49."</f>
        <v>#VALUE!</v>
      </c>
      <c r="DG408" t="e">
        <f>Asia!C544+"n/&gt;!49/"</f>
        <v>#VALUE!</v>
      </c>
      <c r="DH408" t="e">
        <f>Asia!D544+"n/&gt;!490"</f>
        <v>#VALUE!</v>
      </c>
      <c r="DI408" t="e">
        <f>Asia!E544+"n/&gt;!491"</f>
        <v>#VALUE!</v>
      </c>
      <c r="DJ408" t="e">
        <f>Asia!F544+"n/&gt;!492"</f>
        <v>#VALUE!</v>
      </c>
      <c r="DK408" t="e">
        <f>Asia!G544+"n/&gt;!493"</f>
        <v>#VALUE!</v>
      </c>
      <c r="DL408" t="e">
        <f>Asia!H544+"n/&gt;!494"</f>
        <v>#VALUE!</v>
      </c>
      <c r="DM408" t="e">
        <f>Asia!I544+"n/&gt;!495"</f>
        <v>#VALUE!</v>
      </c>
      <c r="DN408" t="e">
        <f>Asia!A545+"n/&gt;!496"</f>
        <v>#VALUE!</v>
      </c>
      <c r="DO408" t="e">
        <f>Asia!B545+"n/&gt;!497"</f>
        <v>#VALUE!</v>
      </c>
      <c r="DP408" t="e">
        <f>Asia!C545+"n/&gt;!498"</f>
        <v>#VALUE!</v>
      </c>
      <c r="DQ408" t="e">
        <f>Asia!D545+"n/&gt;!499"</f>
        <v>#VALUE!</v>
      </c>
      <c r="DR408" t="e">
        <f>Asia!E545+"n/&gt;!49:"</f>
        <v>#VALUE!</v>
      </c>
      <c r="DS408" t="e">
        <f>Asia!F545+"n/&gt;!49;"</f>
        <v>#VALUE!</v>
      </c>
      <c r="DT408" t="e">
        <f>Asia!G545+"n/&gt;!49&lt;"</f>
        <v>#VALUE!</v>
      </c>
      <c r="DU408" t="e">
        <f>Asia!H545+"n/&gt;!49="</f>
        <v>#VALUE!</v>
      </c>
      <c r="DV408" t="e">
        <f>Asia!I545+"n/&gt;!49&gt;"</f>
        <v>#VALUE!</v>
      </c>
      <c r="DW408" t="e">
        <f>Asia!A546+"n/&gt;!49?"</f>
        <v>#VALUE!</v>
      </c>
      <c r="DX408" t="e">
        <f>Asia!B546+"n/&gt;!49@"</f>
        <v>#VALUE!</v>
      </c>
      <c r="DY408" t="e">
        <f>Asia!C546+"n/&gt;!49A"</f>
        <v>#VALUE!</v>
      </c>
      <c r="DZ408" t="e">
        <f>Asia!D546+"n/&gt;!49B"</f>
        <v>#VALUE!</v>
      </c>
      <c r="EA408" t="e">
        <f>Asia!E546+"n/&gt;!49C"</f>
        <v>#VALUE!</v>
      </c>
      <c r="EB408" t="e">
        <f>Asia!F546+"n/&gt;!49D"</f>
        <v>#VALUE!</v>
      </c>
      <c r="EC408" t="e">
        <f>Asia!G546+"n/&gt;!49E"</f>
        <v>#VALUE!</v>
      </c>
      <c r="ED408" t="e">
        <f>Asia!H546+"n/&gt;!49F"</f>
        <v>#VALUE!</v>
      </c>
      <c r="EE408" t="e">
        <f>Asia!I546+"n/&gt;!49G"</f>
        <v>#VALUE!</v>
      </c>
      <c r="EF408" t="e">
        <f>Asia!A547+"n/&gt;!49H"</f>
        <v>#VALUE!</v>
      </c>
      <c r="EG408" t="e">
        <f>Asia!B547+"n/&gt;!49I"</f>
        <v>#VALUE!</v>
      </c>
      <c r="EH408" t="e">
        <f>Asia!C547+"n/&gt;!49J"</f>
        <v>#VALUE!</v>
      </c>
      <c r="EI408" t="e">
        <f>Asia!D547+"n/&gt;!49K"</f>
        <v>#VALUE!</v>
      </c>
      <c r="EJ408" t="e">
        <f>Asia!E547+"n/&gt;!49L"</f>
        <v>#VALUE!</v>
      </c>
      <c r="EK408" t="e">
        <f>Asia!F547+"n/&gt;!49M"</f>
        <v>#VALUE!</v>
      </c>
      <c r="EL408" t="e">
        <f>Asia!G547+"n/&gt;!49N"</f>
        <v>#VALUE!</v>
      </c>
      <c r="EM408" t="e">
        <f>Asia!H547+"n/&gt;!49O"</f>
        <v>#VALUE!</v>
      </c>
      <c r="EN408" t="e">
        <f>Asia!I547+"n/&gt;!49P"</f>
        <v>#VALUE!</v>
      </c>
      <c r="EO408" t="e">
        <f>Asia!A548+"n/&gt;!49Q"</f>
        <v>#VALUE!</v>
      </c>
      <c r="EP408" t="e">
        <f>Asia!B548+"n/&gt;!49R"</f>
        <v>#VALUE!</v>
      </c>
      <c r="EQ408" t="e">
        <f>Asia!C548+"n/&gt;!49S"</f>
        <v>#VALUE!</v>
      </c>
      <c r="ER408" t="e">
        <f>Asia!D548+"n/&gt;!49T"</f>
        <v>#VALUE!</v>
      </c>
      <c r="ES408" t="e">
        <f>Asia!E548+"n/&gt;!49U"</f>
        <v>#VALUE!</v>
      </c>
      <c r="ET408" t="e">
        <f>Asia!F548+"n/&gt;!49V"</f>
        <v>#VALUE!</v>
      </c>
      <c r="EU408" t="e">
        <f>Asia!G548+"n/&gt;!49W"</f>
        <v>#VALUE!</v>
      </c>
      <c r="EV408" t="e">
        <f>Asia!H548+"n/&gt;!49X"</f>
        <v>#VALUE!</v>
      </c>
      <c r="EW408" t="e">
        <f>Asia!I548+"n/&gt;!49Y"</f>
        <v>#VALUE!</v>
      </c>
      <c r="EX408" t="e">
        <f>Asia!A549+"n/&gt;!49Z"</f>
        <v>#VALUE!</v>
      </c>
      <c r="EY408" t="e">
        <f>Asia!B549+"n/&gt;!49["</f>
        <v>#VALUE!</v>
      </c>
      <c r="EZ408" t="e">
        <f>Asia!C549+"n/&gt;!49\"</f>
        <v>#VALUE!</v>
      </c>
      <c r="FA408" t="e">
        <f>Asia!D549+"n/&gt;!49]"</f>
        <v>#VALUE!</v>
      </c>
      <c r="FB408" t="e">
        <f>Asia!E549+"n/&gt;!49^"</f>
        <v>#VALUE!</v>
      </c>
      <c r="FC408" t="e">
        <f>Asia!F549+"n/&gt;!49_"</f>
        <v>#VALUE!</v>
      </c>
      <c r="FD408" t="e">
        <f>Asia!G549+"n/&gt;!49`"</f>
        <v>#VALUE!</v>
      </c>
      <c r="FE408" t="e">
        <f>Asia!H549+"n/&gt;!49a"</f>
        <v>#VALUE!</v>
      </c>
      <c r="FF408" t="e">
        <f>Asia!I549+"n/&gt;!49b"</f>
        <v>#VALUE!</v>
      </c>
      <c r="FG408" t="e">
        <f>Asia!A550+"n/&gt;!49c"</f>
        <v>#VALUE!</v>
      </c>
      <c r="FH408" t="e">
        <f>Asia!B550+"n/&gt;!49d"</f>
        <v>#VALUE!</v>
      </c>
      <c r="FI408" t="e">
        <f>Asia!C550+"n/&gt;!49e"</f>
        <v>#VALUE!</v>
      </c>
      <c r="FJ408" t="e">
        <f>Asia!D550+"n/&gt;!49f"</f>
        <v>#VALUE!</v>
      </c>
      <c r="FK408" t="e">
        <f>Asia!E550+"n/&gt;!49g"</f>
        <v>#VALUE!</v>
      </c>
      <c r="FL408" t="e">
        <f>Asia!F550+"n/&gt;!49h"</f>
        <v>#VALUE!</v>
      </c>
      <c r="FM408" t="e">
        <f>Asia!G550+"n/&gt;!49i"</f>
        <v>#VALUE!</v>
      </c>
      <c r="FN408" t="e">
        <f>Asia!H550+"n/&gt;!49j"</f>
        <v>#VALUE!</v>
      </c>
      <c r="FO408" t="e">
        <f>Asia!I550+"n/&gt;!49k"</f>
        <v>#VALUE!</v>
      </c>
      <c r="FP408" t="e">
        <f>Asia!A551+"n/&gt;!49l"</f>
        <v>#VALUE!</v>
      </c>
      <c r="FQ408" t="e">
        <f>Asia!B551+"n/&gt;!49m"</f>
        <v>#VALUE!</v>
      </c>
      <c r="FR408" t="e">
        <f>Asia!C551+"n/&gt;!49n"</f>
        <v>#VALUE!</v>
      </c>
      <c r="FS408" t="e">
        <f>Asia!D551+"n/&gt;!49o"</f>
        <v>#VALUE!</v>
      </c>
      <c r="FT408" t="e">
        <f>Asia!E551+"n/&gt;!49p"</f>
        <v>#VALUE!</v>
      </c>
      <c r="FU408" t="e">
        <f>Asia!F551+"n/&gt;!49q"</f>
        <v>#VALUE!</v>
      </c>
      <c r="FV408" t="e">
        <f>Asia!G551+"n/&gt;!49r"</f>
        <v>#VALUE!</v>
      </c>
      <c r="FW408" t="e">
        <f>Asia!H551+"n/&gt;!49s"</f>
        <v>#VALUE!</v>
      </c>
      <c r="FX408" t="e">
        <f>Asia!I551+"n/&gt;!49t"</f>
        <v>#VALUE!</v>
      </c>
      <c r="FY408" t="e">
        <f>Asia!A552+"n/&gt;!49u"</f>
        <v>#VALUE!</v>
      </c>
      <c r="FZ408" t="e">
        <f>Asia!B552+"n/&gt;!49v"</f>
        <v>#VALUE!</v>
      </c>
      <c r="GA408" t="e">
        <f>Asia!C552+"n/&gt;!49w"</f>
        <v>#VALUE!</v>
      </c>
      <c r="GB408" t="e">
        <f>Asia!D552+"n/&gt;!49x"</f>
        <v>#VALUE!</v>
      </c>
      <c r="GC408" t="e">
        <f>Asia!E552+"n/&gt;!49y"</f>
        <v>#VALUE!</v>
      </c>
      <c r="GD408" t="e">
        <f>Asia!F552+"n/&gt;!49z"</f>
        <v>#VALUE!</v>
      </c>
      <c r="GE408" t="e">
        <f>Asia!G552+"n/&gt;!49{"</f>
        <v>#VALUE!</v>
      </c>
      <c r="GF408" t="e">
        <f>Asia!H552+"n/&gt;!49|"</f>
        <v>#VALUE!</v>
      </c>
      <c r="GG408" t="e">
        <f>Asia!I552+"n/&gt;!49}"</f>
        <v>#VALUE!</v>
      </c>
      <c r="GH408" t="e">
        <f>Asia!A553+"n/&gt;!49~"</f>
        <v>#VALUE!</v>
      </c>
      <c r="GI408" t="e">
        <f>Asia!B553+"n/&gt;!4:#"</f>
        <v>#VALUE!</v>
      </c>
      <c r="GJ408" t="e">
        <f>Asia!C553+"n/&gt;!4:$"</f>
        <v>#VALUE!</v>
      </c>
      <c r="GK408" t="e">
        <f>Asia!D553+"n/&gt;!4:%"</f>
        <v>#VALUE!</v>
      </c>
      <c r="GL408" t="e">
        <f>Asia!E553+"n/&gt;!4:&amp;"</f>
        <v>#VALUE!</v>
      </c>
      <c r="GM408" t="e">
        <f>Asia!F553+"n/&gt;!4:'"</f>
        <v>#VALUE!</v>
      </c>
      <c r="GN408" t="e">
        <f>Asia!G553+"n/&gt;!4:("</f>
        <v>#VALUE!</v>
      </c>
      <c r="GO408" t="e">
        <f>Asia!H553+"n/&gt;!4:)"</f>
        <v>#VALUE!</v>
      </c>
      <c r="GP408" t="e">
        <f>Asia!I553+"n/&gt;!4:."</f>
        <v>#VALUE!</v>
      </c>
      <c r="GQ408" t="e">
        <f>Asia!A554+"n/&gt;!4:/"</f>
        <v>#VALUE!</v>
      </c>
      <c r="GR408" t="e">
        <f>Asia!B554+"n/&gt;!4:0"</f>
        <v>#VALUE!</v>
      </c>
      <c r="GS408" t="e">
        <f>Asia!C554+"n/&gt;!4:1"</f>
        <v>#VALUE!</v>
      </c>
      <c r="GT408" t="e">
        <f>Asia!D554+"n/&gt;!4:2"</f>
        <v>#VALUE!</v>
      </c>
      <c r="GU408" t="e">
        <f>Asia!E554+"n/&gt;!4:3"</f>
        <v>#VALUE!</v>
      </c>
      <c r="GV408" t="e">
        <f>Asia!F554+"n/&gt;!4:4"</f>
        <v>#VALUE!</v>
      </c>
      <c r="GW408" t="e">
        <f>Asia!G554+"n/&gt;!4:5"</f>
        <v>#VALUE!</v>
      </c>
      <c r="GX408" t="e">
        <f>Asia!H554+"n/&gt;!4:6"</f>
        <v>#VALUE!</v>
      </c>
      <c r="GY408" t="e">
        <f>Asia!I554+"n/&gt;!4:7"</f>
        <v>#VALUE!</v>
      </c>
      <c r="GZ408" t="e">
        <f>Asia!A555+"n/&gt;!4:8"</f>
        <v>#VALUE!</v>
      </c>
      <c r="HA408" t="e">
        <f>Asia!B555+"n/&gt;!4:9"</f>
        <v>#VALUE!</v>
      </c>
      <c r="HB408" t="e">
        <f>Asia!C555+"n/&gt;!4::"</f>
        <v>#VALUE!</v>
      </c>
      <c r="HC408" t="e">
        <f>Asia!D555+"n/&gt;!4:;"</f>
        <v>#VALUE!</v>
      </c>
      <c r="HD408" t="e">
        <f>Asia!E555+"n/&gt;!4:&lt;"</f>
        <v>#VALUE!</v>
      </c>
      <c r="HE408" t="e">
        <f>Asia!F555+"n/&gt;!4:="</f>
        <v>#VALUE!</v>
      </c>
      <c r="HF408" t="e">
        <f>Asia!G555+"n/&gt;!4:&gt;"</f>
        <v>#VALUE!</v>
      </c>
      <c r="HG408" t="e">
        <f>Asia!H555+"n/&gt;!4:?"</f>
        <v>#VALUE!</v>
      </c>
      <c r="HH408" t="e">
        <f>Asia!I555+"n/&gt;!4:@"</f>
        <v>#VALUE!</v>
      </c>
      <c r="HI408" t="e">
        <f>Asia!A556+"n/&gt;!4:A"</f>
        <v>#VALUE!</v>
      </c>
      <c r="HJ408" t="e">
        <f>Asia!B556+"n/&gt;!4:B"</f>
        <v>#VALUE!</v>
      </c>
      <c r="HK408" t="e">
        <f>Asia!C556+"n/&gt;!4:C"</f>
        <v>#VALUE!</v>
      </c>
      <c r="HL408" t="e">
        <f>Asia!D556+"n/&gt;!4:D"</f>
        <v>#VALUE!</v>
      </c>
      <c r="HM408" t="e">
        <f>Asia!E556+"n/&gt;!4:E"</f>
        <v>#VALUE!</v>
      </c>
      <c r="HN408" t="e">
        <f>Asia!F556+"n/&gt;!4:F"</f>
        <v>#VALUE!</v>
      </c>
      <c r="HO408" t="e">
        <f>Asia!G556+"n/&gt;!4:G"</f>
        <v>#VALUE!</v>
      </c>
      <c r="HP408" t="e">
        <f>Asia!H556+"n/&gt;!4:H"</f>
        <v>#VALUE!</v>
      </c>
      <c r="HQ408" t="e">
        <f>Asia!I556+"n/&gt;!4:I"</f>
        <v>#VALUE!</v>
      </c>
      <c r="HR408" t="e">
        <f>Asia!A557+"n/&gt;!4:J"</f>
        <v>#VALUE!</v>
      </c>
      <c r="HS408" t="e">
        <f>Asia!B557+"n/&gt;!4:K"</f>
        <v>#VALUE!</v>
      </c>
      <c r="HT408" t="e">
        <f>Asia!C557+"n/&gt;!4:L"</f>
        <v>#VALUE!</v>
      </c>
      <c r="HU408" t="e">
        <f>Asia!D557+"n/&gt;!4:M"</f>
        <v>#VALUE!</v>
      </c>
      <c r="HV408" t="e">
        <f>Asia!E557+"n/&gt;!4:N"</f>
        <v>#VALUE!</v>
      </c>
      <c r="HW408" t="e">
        <f>Asia!F557+"n/&gt;!4:O"</f>
        <v>#VALUE!</v>
      </c>
      <c r="HX408" t="e">
        <f>Asia!G557+"n/&gt;!4:P"</f>
        <v>#VALUE!</v>
      </c>
      <c r="HY408" t="e">
        <f>Asia!H557+"n/&gt;!4:Q"</f>
        <v>#VALUE!</v>
      </c>
      <c r="HZ408" t="e">
        <f>Asia!I557+"n/&gt;!4:R"</f>
        <v>#VALUE!</v>
      </c>
      <c r="IA408" t="e">
        <f>Asia!A558+"n/&gt;!4:S"</f>
        <v>#VALUE!</v>
      </c>
      <c r="IB408" t="e">
        <f>Asia!B558+"n/&gt;!4:T"</f>
        <v>#VALUE!</v>
      </c>
      <c r="IC408" t="e">
        <f>Asia!C558+"n/&gt;!4:U"</f>
        <v>#VALUE!</v>
      </c>
      <c r="ID408" t="e">
        <f>Asia!D558+"n/&gt;!4:V"</f>
        <v>#VALUE!</v>
      </c>
      <c r="IE408" t="e">
        <f>Asia!E558+"n/&gt;!4:W"</f>
        <v>#VALUE!</v>
      </c>
      <c r="IF408" t="e">
        <f>Asia!F558+"n/&gt;!4:X"</f>
        <v>#VALUE!</v>
      </c>
      <c r="IG408" t="e">
        <f>Asia!G558+"n/&gt;!4:Y"</f>
        <v>#VALUE!</v>
      </c>
      <c r="IH408" t="e">
        <f>Asia!H558+"n/&gt;!4:Z"</f>
        <v>#VALUE!</v>
      </c>
      <c r="II408" t="e">
        <f>Asia!I558+"n/&gt;!4:["</f>
        <v>#VALUE!</v>
      </c>
      <c r="IJ408" t="e">
        <f>Asia!A559+"n/&gt;!4:\"</f>
        <v>#VALUE!</v>
      </c>
      <c r="IK408" t="e">
        <f>Asia!B559+"n/&gt;!4:]"</f>
        <v>#VALUE!</v>
      </c>
      <c r="IL408" t="e">
        <f>Asia!C559+"n/&gt;!4:^"</f>
        <v>#VALUE!</v>
      </c>
      <c r="IM408" t="e">
        <f>Asia!D559+"n/&gt;!4:_"</f>
        <v>#VALUE!</v>
      </c>
      <c r="IN408" t="e">
        <f>Asia!E559+"n/&gt;!4:`"</f>
        <v>#VALUE!</v>
      </c>
      <c r="IO408" t="e">
        <f>Asia!F559+"n/&gt;!4:a"</f>
        <v>#VALUE!</v>
      </c>
      <c r="IP408" t="e">
        <f>Asia!G559+"n/&gt;!4:b"</f>
        <v>#VALUE!</v>
      </c>
      <c r="IQ408" t="e">
        <f>Asia!H559+"n/&gt;!4:c"</f>
        <v>#VALUE!</v>
      </c>
      <c r="IR408" t="e">
        <f>Asia!I559+"n/&gt;!4:d"</f>
        <v>#VALUE!</v>
      </c>
      <c r="IS408" t="e">
        <f>Asia!A560+"n/&gt;!4:e"</f>
        <v>#VALUE!</v>
      </c>
      <c r="IT408" t="e">
        <f>Asia!B560+"n/&gt;!4:f"</f>
        <v>#VALUE!</v>
      </c>
      <c r="IU408" t="e">
        <f>Asia!C560+"n/&gt;!4:g"</f>
        <v>#VALUE!</v>
      </c>
      <c r="IV408" t="e">
        <f>Asia!D560+"n/&gt;!4:h"</f>
        <v>#VALUE!</v>
      </c>
    </row>
    <row r="409" spans="6:256" x14ac:dyDescent="0.35">
      <c r="F409" t="e">
        <f>Asia!E560+"n/&gt;!4:i"</f>
        <v>#VALUE!</v>
      </c>
      <c r="G409" t="e">
        <f>Asia!F560+"n/&gt;!4:j"</f>
        <v>#VALUE!</v>
      </c>
      <c r="H409" t="e">
        <f>Asia!G560+"n/&gt;!4:k"</f>
        <v>#VALUE!</v>
      </c>
      <c r="I409" t="e">
        <f>Asia!H560+"n/&gt;!4:l"</f>
        <v>#VALUE!</v>
      </c>
      <c r="J409" t="e">
        <f>Asia!I560+"n/&gt;!4:m"</f>
        <v>#VALUE!</v>
      </c>
      <c r="K409" t="e">
        <f>Asia!A561+"n/&gt;!4:n"</f>
        <v>#VALUE!</v>
      </c>
      <c r="L409" t="e">
        <f>Asia!B561+"n/&gt;!4:o"</f>
        <v>#VALUE!</v>
      </c>
      <c r="M409" t="e">
        <f>Asia!C561+"n/&gt;!4:p"</f>
        <v>#VALUE!</v>
      </c>
      <c r="N409" t="e">
        <f>Asia!D561+"n/&gt;!4:q"</f>
        <v>#VALUE!</v>
      </c>
      <c r="O409" t="e">
        <f>Asia!E561+"n/&gt;!4:r"</f>
        <v>#VALUE!</v>
      </c>
      <c r="P409" t="e">
        <f>Asia!F561+"n/&gt;!4:s"</f>
        <v>#VALUE!</v>
      </c>
      <c r="Q409" t="e">
        <f>Asia!G561+"n/&gt;!4:t"</f>
        <v>#VALUE!</v>
      </c>
      <c r="R409" t="e">
        <f>Asia!H561+"n/&gt;!4:u"</f>
        <v>#VALUE!</v>
      </c>
      <c r="S409" t="e">
        <f>Asia!I561+"n/&gt;!4:v"</f>
        <v>#VALUE!</v>
      </c>
      <c r="T409" t="e">
        <f>Asia!A562+"n/&gt;!4:w"</f>
        <v>#VALUE!</v>
      </c>
      <c r="U409" t="e">
        <f>Asia!B562+"n/&gt;!4:x"</f>
        <v>#VALUE!</v>
      </c>
      <c r="V409" t="e">
        <f>Asia!C562+"n/&gt;!4:y"</f>
        <v>#VALUE!</v>
      </c>
      <c r="W409" t="e">
        <f>Asia!D562+"n/&gt;!4:z"</f>
        <v>#VALUE!</v>
      </c>
      <c r="X409" t="e">
        <f>Asia!E562+"n/&gt;!4:{"</f>
        <v>#VALUE!</v>
      </c>
      <c r="Y409" t="e">
        <f>Asia!F562+"n/&gt;!4:|"</f>
        <v>#VALUE!</v>
      </c>
      <c r="Z409" t="e">
        <f>Asia!G562+"n/&gt;!4:}"</f>
        <v>#VALUE!</v>
      </c>
      <c r="AA409" t="e">
        <f>Asia!H562+"n/&gt;!4:~"</f>
        <v>#VALUE!</v>
      </c>
      <c r="AB409" t="e">
        <f>Asia!I562+"n/&gt;!4;#"</f>
        <v>#VALUE!</v>
      </c>
      <c r="AC409" t="e">
        <f>Asia!A563+"n/&gt;!4;$"</f>
        <v>#VALUE!</v>
      </c>
      <c r="AD409" t="e">
        <f>Asia!B563+"n/&gt;!4;%"</f>
        <v>#VALUE!</v>
      </c>
      <c r="AE409" t="e">
        <f>Asia!C563+"n/&gt;!4;&amp;"</f>
        <v>#VALUE!</v>
      </c>
      <c r="AF409" t="e">
        <f>Asia!D563+"n/&gt;!4;'"</f>
        <v>#VALUE!</v>
      </c>
      <c r="AG409" t="e">
        <f>Asia!E563+"n/&gt;!4;("</f>
        <v>#VALUE!</v>
      </c>
      <c r="AH409" t="e">
        <f>Asia!F563+"n/&gt;!4;)"</f>
        <v>#VALUE!</v>
      </c>
      <c r="AI409" t="e">
        <f>Asia!G563+"n/&gt;!4;."</f>
        <v>#VALUE!</v>
      </c>
      <c r="AJ409" t="e">
        <f>Asia!H563+"n/&gt;!4;/"</f>
        <v>#VALUE!</v>
      </c>
      <c r="AK409" t="e">
        <f>Asia!I563+"n/&gt;!4;0"</f>
        <v>#VALUE!</v>
      </c>
      <c r="AL409" t="e">
        <f>Asia!A564+"n/&gt;!4;1"</f>
        <v>#VALUE!</v>
      </c>
      <c r="AM409" t="e">
        <f>Asia!B564+"n/&gt;!4;2"</f>
        <v>#VALUE!</v>
      </c>
      <c r="AN409" t="e">
        <f>Asia!C564+"n/&gt;!4;3"</f>
        <v>#VALUE!</v>
      </c>
      <c r="AO409" t="e">
        <f>Asia!D564+"n/&gt;!4;4"</f>
        <v>#VALUE!</v>
      </c>
      <c r="AP409" t="e">
        <f>Asia!E564+"n/&gt;!4;5"</f>
        <v>#VALUE!</v>
      </c>
      <c r="AQ409" t="e">
        <f>Asia!F564+"n/&gt;!4;6"</f>
        <v>#VALUE!</v>
      </c>
      <c r="AR409" t="e">
        <f>Asia!G564+"n/&gt;!4;7"</f>
        <v>#VALUE!</v>
      </c>
      <c r="AS409" t="e">
        <f>Asia!H564+"n/&gt;!4;8"</f>
        <v>#VALUE!</v>
      </c>
      <c r="AT409" t="e">
        <f>Asia!I564+"n/&gt;!4;9"</f>
        <v>#VALUE!</v>
      </c>
      <c r="AU409" t="e">
        <f>Asia!A565+"n/&gt;!4;:"</f>
        <v>#VALUE!</v>
      </c>
      <c r="AV409" t="e">
        <f>Asia!B565+"n/&gt;!4;;"</f>
        <v>#VALUE!</v>
      </c>
      <c r="AW409" t="e">
        <f>Asia!C565+"n/&gt;!4;&lt;"</f>
        <v>#VALUE!</v>
      </c>
      <c r="AX409" t="e">
        <f>Asia!D565+"n/&gt;!4;="</f>
        <v>#VALUE!</v>
      </c>
      <c r="AY409" t="e">
        <f>Asia!E565+"n/&gt;!4;&gt;"</f>
        <v>#VALUE!</v>
      </c>
      <c r="AZ409" t="e">
        <f>Asia!F565+"n/&gt;!4;?"</f>
        <v>#VALUE!</v>
      </c>
      <c r="BA409" t="e">
        <f>Asia!G565+"n/&gt;!4;@"</f>
        <v>#VALUE!</v>
      </c>
      <c r="BB409" t="e">
        <f>Asia!H565+"n/&gt;!4;A"</f>
        <v>#VALUE!</v>
      </c>
      <c r="BC409" t="e">
        <f>Asia!I565+"n/&gt;!4;B"</f>
        <v>#VALUE!</v>
      </c>
      <c r="BD409" t="e">
        <f>Asia!A566+"n/&gt;!4;C"</f>
        <v>#VALUE!</v>
      </c>
      <c r="BE409" t="e">
        <f>Asia!B566+"n/&gt;!4;D"</f>
        <v>#VALUE!</v>
      </c>
      <c r="BF409" t="e">
        <f>Asia!C566+"n/&gt;!4;E"</f>
        <v>#VALUE!</v>
      </c>
      <c r="BG409" t="e">
        <f>Asia!D566+"n/&gt;!4;F"</f>
        <v>#VALUE!</v>
      </c>
      <c r="BH409" t="e">
        <f>Asia!E566+"n/&gt;!4;G"</f>
        <v>#VALUE!</v>
      </c>
      <c r="BI409" t="e">
        <f>Asia!F566+"n/&gt;!4;H"</f>
        <v>#VALUE!</v>
      </c>
      <c r="BJ409" t="e">
        <f>Asia!G566+"n/&gt;!4;I"</f>
        <v>#VALUE!</v>
      </c>
      <c r="BK409" t="e">
        <f>Asia!H566+"n/&gt;!4;J"</f>
        <v>#VALUE!</v>
      </c>
      <c r="BL409" t="e">
        <f>Asia!I566+"n/&gt;!4;K"</f>
        <v>#VALUE!</v>
      </c>
      <c r="BM409" t="e">
        <f>Asia!A567+"n/&gt;!4;L"</f>
        <v>#VALUE!</v>
      </c>
      <c r="BN409" t="e">
        <f>Asia!B567+"n/&gt;!4;M"</f>
        <v>#VALUE!</v>
      </c>
      <c r="BO409" t="e">
        <f>Asia!C567+"n/&gt;!4;N"</f>
        <v>#VALUE!</v>
      </c>
      <c r="BP409" t="e">
        <f>Asia!D567+"n/&gt;!4;O"</f>
        <v>#VALUE!</v>
      </c>
      <c r="BQ409" t="e">
        <f>Asia!E567+"n/&gt;!4;P"</f>
        <v>#VALUE!</v>
      </c>
      <c r="BR409" t="e">
        <f>Asia!F567+"n/&gt;!4;Q"</f>
        <v>#VALUE!</v>
      </c>
      <c r="BS409" t="e">
        <f>Asia!G567+"n/&gt;!4;R"</f>
        <v>#VALUE!</v>
      </c>
      <c r="BT409" t="e">
        <f>Asia!H567+"n/&gt;!4;S"</f>
        <v>#VALUE!</v>
      </c>
      <c r="BU409" t="e">
        <f>Asia!I567+"n/&gt;!4;T"</f>
        <v>#VALUE!</v>
      </c>
      <c r="BV409" t="e">
        <f>Asia!A568+"n/&gt;!4;U"</f>
        <v>#VALUE!</v>
      </c>
      <c r="BW409" t="e">
        <f>Asia!B568+"n/&gt;!4;V"</f>
        <v>#VALUE!</v>
      </c>
      <c r="BX409" t="e">
        <f>Asia!C568+"n/&gt;!4;W"</f>
        <v>#VALUE!</v>
      </c>
      <c r="BY409" t="e">
        <f>Asia!D568+"n/&gt;!4;X"</f>
        <v>#VALUE!</v>
      </c>
      <c r="BZ409" t="e">
        <f>Asia!E568+"n/&gt;!4;Y"</f>
        <v>#VALUE!</v>
      </c>
      <c r="CA409" t="e">
        <f>Asia!F568+"n/&gt;!4;Z"</f>
        <v>#VALUE!</v>
      </c>
      <c r="CB409" t="e">
        <f>Asia!G568+"n/&gt;!4;["</f>
        <v>#VALUE!</v>
      </c>
      <c r="CC409" t="e">
        <f>Asia!H568+"n/&gt;!4;\"</f>
        <v>#VALUE!</v>
      </c>
      <c r="CD409" t="e">
        <f>Asia!I568+"n/&gt;!4;]"</f>
        <v>#VALUE!</v>
      </c>
      <c r="CE409" t="e">
        <f>Asia!A569+"n/&gt;!4;^"</f>
        <v>#VALUE!</v>
      </c>
      <c r="CF409" t="e">
        <f>Asia!B569+"n/&gt;!4;_"</f>
        <v>#VALUE!</v>
      </c>
      <c r="CG409" t="e">
        <f>Asia!C569+"n/&gt;!4;`"</f>
        <v>#VALUE!</v>
      </c>
      <c r="CH409" t="e">
        <f>Asia!D569+"n/&gt;!4;a"</f>
        <v>#VALUE!</v>
      </c>
      <c r="CI409" t="e">
        <f>Asia!E569+"n/&gt;!4;b"</f>
        <v>#VALUE!</v>
      </c>
      <c r="CJ409" t="e">
        <f>Asia!F569+"n/&gt;!4;c"</f>
        <v>#VALUE!</v>
      </c>
      <c r="CK409" t="e">
        <f>Asia!G569+"n/&gt;!4;d"</f>
        <v>#VALUE!</v>
      </c>
      <c r="CL409" t="e">
        <f>Asia!H569+"n/&gt;!4;e"</f>
        <v>#VALUE!</v>
      </c>
      <c r="CM409" t="e">
        <f>Asia!I569+"n/&gt;!4;f"</f>
        <v>#VALUE!</v>
      </c>
      <c r="CN409" t="e">
        <f>Asia!A570+"n/&gt;!4;g"</f>
        <v>#VALUE!</v>
      </c>
      <c r="CO409" t="e">
        <f>Asia!B570+"n/&gt;!4;h"</f>
        <v>#VALUE!</v>
      </c>
      <c r="CP409" t="e">
        <f>Asia!C570+"n/&gt;!4;i"</f>
        <v>#VALUE!</v>
      </c>
      <c r="CQ409" t="e">
        <f>Asia!D570+"n/&gt;!4;j"</f>
        <v>#VALUE!</v>
      </c>
      <c r="CR409" t="e">
        <f>Asia!E570+"n/&gt;!4;k"</f>
        <v>#VALUE!</v>
      </c>
      <c r="CS409" t="e">
        <f>Asia!F570+"n/&gt;!4;l"</f>
        <v>#VALUE!</v>
      </c>
      <c r="CT409" t="e">
        <f>Asia!G570+"n/&gt;!4;m"</f>
        <v>#VALUE!</v>
      </c>
      <c r="CU409" t="e">
        <f>Asia!H570+"n/&gt;!4;n"</f>
        <v>#VALUE!</v>
      </c>
      <c r="CV409" t="e">
        <f>Asia!I570+"n/&gt;!4;o"</f>
        <v>#VALUE!</v>
      </c>
      <c r="CW409" t="e">
        <f>Asia!A571+"n/&gt;!4;p"</f>
        <v>#VALUE!</v>
      </c>
      <c r="CX409" t="e">
        <f>Asia!B571+"n/&gt;!4;q"</f>
        <v>#VALUE!</v>
      </c>
      <c r="CY409" t="e">
        <f>Asia!C571+"n/&gt;!4;r"</f>
        <v>#VALUE!</v>
      </c>
      <c r="CZ409" t="e">
        <f>Asia!D571+"n/&gt;!4;s"</f>
        <v>#VALUE!</v>
      </c>
      <c r="DA409" t="e">
        <f>Asia!E571+"n/&gt;!4;t"</f>
        <v>#VALUE!</v>
      </c>
      <c r="DB409" t="e">
        <f>Asia!F571+"n/&gt;!4;u"</f>
        <v>#VALUE!</v>
      </c>
      <c r="DC409" t="e">
        <f>Asia!G571+"n/&gt;!4;v"</f>
        <v>#VALUE!</v>
      </c>
      <c r="DD409" t="e">
        <f>Asia!H571+"n/&gt;!4;w"</f>
        <v>#VALUE!</v>
      </c>
      <c r="DE409" t="e">
        <f>Asia!I571+"n/&gt;!4;x"</f>
        <v>#VALUE!</v>
      </c>
      <c r="DF409" t="e">
        <f>Asia!A572+"n/&gt;!4;y"</f>
        <v>#VALUE!</v>
      </c>
      <c r="DG409" t="e">
        <f>Asia!B572+"n/&gt;!4;z"</f>
        <v>#VALUE!</v>
      </c>
      <c r="DH409" t="e">
        <f>Asia!C572+"n/&gt;!4;{"</f>
        <v>#VALUE!</v>
      </c>
      <c r="DI409" t="e">
        <f>Asia!D572+"n/&gt;!4;|"</f>
        <v>#VALUE!</v>
      </c>
      <c r="DJ409" t="e">
        <f>Asia!E572+"n/&gt;!4;}"</f>
        <v>#VALUE!</v>
      </c>
      <c r="DK409" t="e">
        <f>Asia!F572+"n/&gt;!4;~"</f>
        <v>#VALUE!</v>
      </c>
      <c r="DL409" t="e">
        <f>Asia!G572+"n/&gt;!4&lt;#"</f>
        <v>#VALUE!</v>
      </c>
      <c r="DM409" t="e">
        <f>Asia!H572+"n/&gt;!4&lt;$"</f>
        <v>#VALUE!</v>
      </c>
      <c r="DN409" t="e">
        <f>Asia!I572+"n/&gt;!4&lt;%"</f>
        <v>#VALUE!</v>
      </c>
      <c r="DO409" t="e">
        <f>Asia!A573+"n/&gt;!4&lt;&amp;"</f>
        <v>#VALUE!</v>
      </c>
      <c r="DP409" t="e">
        <f>Asia!B573+"n/&gt;!4&lt;'"</f>
        <v>#VALUE!</v>
      </c>
      <c r="DQ409" t="e">
        <f>Asia!C573+"n/&gt;!4&lt;("</f>
        <v>#VALUE!</v>
      </c>
      <c r="DR409" t="e">
        <f>Asia!D573+"n/&gt;!4&lt;)"</f>
        <v>#VALUE!</v>
      </c>
      <c r="DS409" t="e">
        <f>Asia!E573+"n/&gt;!4&lt;."</f>
        <v>#VALUE!</v>
      </c>
      <c r="DT409" t="e">
        <f>Asia!F573+"n/&gt;!4&lt;/"</f>
        <v>#VALUE!</v>
      </c>
      <c r="DU409" t="e">
        <f>Asia!G573+"n/&gt;!4&lt;0"</f>
        <v>#VALUE!</v>
      </c>
      <c r="DV409" t="e">
        <f>Asia!H573+"n/&gt;!4&lt;1"</f>
        <v>#VALUE!</v>
      </c>
      <c r="DW409" t="e">
        <f>Asia!I573+"n/&gt;!4&lt;2"</f>
        <v>#VALUE!</v>
      </c>
      <c r="DX409" t="e">
        <f>Asia!A574+"n/&gt;!4&lt;3"</f>
        <v>#VALUE!</v>
      </c>
      <c r="DY409" t="e">
        <f>Asia!B574+"n/&gt;!4&lt;4"</f>
        <v>#VALUE!</v>
      </c>
      <c r="DZ409" t="e">
        <f>Asia!C574+"n/&gt;!4&lt;5"</f>
        <v>#VALUE!</v>
      </c>
      <c r="EA409" t="e">
        <f>Asia!D574+"n/&gt;!4&lt;6"</f>
        <v>#VALUE!</v>
      </c>
      <c r="EB409" t="e">
        <f>Asia!E574+"n/&gt;!4&lt;7"</f>
        <v>#VALUE!</v>
      </c>
      <c r="EC409" t="e">
        <f>Asia!F574+"n/&gt;!4&lt;8"</f>
        <v>#VALUE!</v>
      </c>
      <c r="ED409" t="e">
        <f>Asia!G574+"n/&gt;!4&lt;9"</f>
        <v>#VALUE!</v>
      </c>
      <c r="EE409" t="e">
        <f>Asia!H574+"n/&gt;!4&lt;:"</f>
        <v>#VALUE!</v>
      </c>
      <c r="EF409" t="e">
        <f>Asia!I574+"n/&gt;!4&lt;;"</f>
        <v>#VALUE!</v>
      </c>
      <c r="EG409" t="e">
        <f>Asia!A575+"n/&gt;!4&lt;&lt;"</f>
        <v>#VALUE!</v>
      </c>
      <c r="EH409" t="e">
        <f>Asia!B575+"n/&gt;!4&lt;="</f>
        <v>#VALUE!</v>
      </c>
      <c r="EI409" t="e">
        <f>Asia!C575+"n/&gt;!4&lt;&gt;"</f>
        <v>#VALUE!</v>
      </c>
      <c r="EJ409" t="e">
        <f>Asia!D575+"n/&gt;!4&lt;?"</f>
        <v>#VALUE!</v>
      </c>
      <c r="EK409" t="e">
        <f>Asia!E575+"n/&gt;!4&lt;@"</f>
        <v>#VALUE!</v>
      </c>
      <c r="EL409" t="e">
        <f>Asia!F575+"n/&gt;!4&lt;A"</f>
        <v>#VALUE!</v>
      </c>
      <c r="EM409" t="e">
        <f>Asia!G575+"n/&gt;!4&lt;B"</f>
        <v>#VALUE!</v>
      </c>
      <c r="EN409" t="e">
        <f>Asia!H575+"n/&gt;!4&lt;C"</f>
        <v>#VALUE!</v>
      </c>
      <c r="EO409" t="e">
        <f>Asia!I575+"n/&gt;!4&lt;D"</f>
        <v>#VALUE!</v>
      </c>
      <c r="EP409" t="e">
        <f>Asia!A576+"n/&gt;!4&lt;E"</f>
        <v>#VALUE!</v>
      </c>
      <c r="EQ409" t="e">
        <f>Asia!B576+"n/&gt;!4&lt;F"</f>
        <v>#VALUE!</v>
      </c>
      <c r="ER409" t="e">
        <f>Asia!C576+"n/&gt;!4&lt;G"</f>
        <v>#VALUE!</v>
      </c>
      <c r="ES409" t="e">
        <f>Asia!D576+"n/&gt;!4&lt;H"</f>
        <v>#VALUE!</v>
      </c>
      <c r="ET409" t="e">
        <f>Asia!E576+"n/&gt;!4&lt;I"</f>
        <v>#VALUE!</v>
      </c>
      <c r="EU409" t="e">
        <f>Asia!F576+"n/&gt;!4&lt;J"</f>
        <v>#VALUE!</v>
      </c>
      <c r="EV409" t="e">
        <f>Asia!G576+"n/&gt;!4&lt;K"</f>
        <v>#VALUE!</v>
      </c>
      <c r="EW409" t="e">
        <f>Asia!H576+"n/&gt;!4&lt;L"</f>
        <v>#VALUE!</v>
      </c>
      <c r="EX409" t="e">
        <f>Asia!I576+"n/&gt;!4&lt;M"</f>
        <v>#VALUE!</v>
      </c>
      <c r="EY409" t="e">
        <f>Asia!A577+"n/&gt;!4&lt;N"</f>
        <v>#VALUE!</v>
      </c>
      <c r="EZ409" t="e">
        <f>Asia!B577+"n/&gt;!4&lt;O"</f>
        <v>#VALUE!</v>
      </c>
      <c r="FA409" t="e">
        <f>Asia!C577+"n/&gt;!4&lt;P"</f>
        <v>#VALUE!</v>
      </c>
      <c r="FB409" t="e">
        <f>Asia!D577+"n/&gt;!4&lt;Q"</f>
        <v>#VALUE!</v>
      </c>
      <c r="FC409" t="e">
        <f>Asia!E577+"n/&gt;!4&lt;R"</f>
        <v>#VALUE!</v>
      </c>
      <c r="FD409" t="e">
        <f>Asia!F577+"n/&gt;!4&lt;S"</f>
        <v>#VALUE!</v>
      </c>
      <c r="FE409" t="e">
        <f>Asia!G577+"n/&gt;!4&lt;T"</f>
        <v>#VALUE!</v>
      </c>
      <c r="FF409" t="e">
        <f>Asia!H577+"n/&gt;!4&lt;U"</f>
        <v>#VALUE!</v>
      </c>
      <c r="FG409" t="e">
        <f>Asia!I577+"n/&gt;!4&lt;V"</f>
        <v>#VALUE!</v>
      </c>
      <c r="FH409" t="e">
        <f>Asia!A578+"n/&gt;!4&lt;W"</f>
        <v>#VALUE!</v>
      </c>
      <c r="FI409" t="e">
        <f>Asia!B578+"n/&gt;!4&lt;X"</f>
        <v>#VALUE!</v>
      </c>
      <c r="FJ409" t="e">
        <f>Asia!C578+"n/&gt;!4&lt;Y"</f>
        <v>#VALUE!</v>
      </c>
      <c r="FK409" t="e">
        <f>Asia!D578+"n/&gt;!4&lt;Z"</f>
        <v>#VALUE!</v>
      </c>
      <c r="FL409" t="e">
        <f>Asia!E578+"n/&gt;!4&lt;["</f>
        <v>#VALUE!</v>
      </c>
      <c r="FM409" t="e">
        <f>Asia!F578+"n/&gt;!4&lt;\"</f>
        <v>#VALUE!</v>
      </c>
      <c r="FN409" t="e">
        <f>Asia!G578+"n/&gt;!4&lt;]"</f>
        <v>#VALUE!</v>
      </c>
      <c r="FO409" t="e">
        <f>Asia!H578+"n/&gt;!4&lt;^"</f>
        <v>#VALUE!</v>
      </c>
      <c r="FP409" t="e">
        <f>Asia!I578+"n/&gt;!4&lt;_"</f>
        <v>#VALUE!</v>
      </c>
      <c r="FQ409" t="e">
        <f>Asia!A579+"n/&gt;!4&lt;`"</f>
        <v>#VALUE!</v>
      </c>
      <c r="FR409" t="e">
        <f>Asia!B579+"n/&gt;!4&lt;a"</f>
        <v>#VALUE!</v>
      </c>
      <c r="FS409" t="e">
        <f>Asia!C579+"n/&gt;!4&lt;b"</f>
        <v>#VALUE!</v>
      </c>
      <c r="FT409" t="e">
        <f>Asia!D579+"n/&gt;!4&lt;c"</f>
        <v>#VALUE!</v>
      </c>
      <c r="FU409" t="e">
        <f>Asia!E579+"n/&gt;!4&lt;d"</f>
        <v>#VALUE!</v>
      </c>
      <c r="FV409" t="e">
        <f>Asia!F579+"n/&gt;!4&lt;e"</f>
        <v>#VALUE!</v>
      </c>
      <c r="FW409" t="e">
        <f>Asia!G579+"n/&gt;!4&lt;f"</f>
        <v>#VALUE!</v>
      </c>
      <c r="FX409" t="e">
        <f>Asia!H579+"n/&gt;!4&lt;g"</f>
        <v>#VALUE!</v>
      </c>
      <c r="FY409" t="e">
        <f>Asia!I579+"n/&gt;!4&lt;h"</f>
        <v>#VALUE!</v>
      </c>
      <c r="FZ409" t="e">
        <f>Asia!A580+"n/&gt;!4&lt;i"</f>
        <v>#VALUE!</v>
      </c>
      <c r="GA409" t="e">
        <f>Asia!B580+"n/&gt;!4&lt;j"</f>
        <v>#VALUE!</v>
      </c>
      <c r="GB409" t="e">
        <f>Asia!C580+"n/&gt;!4&lt;k"</f>
        <v>#VALUE!</v>
      </c>
      <c r="GC409" t="e">
        <f>Asia!D580+"n/&gt;!4&lt;l"</f>
        <v>#VALUE!</v>
      </c>
      <c r="GD409" t="e">
        <f>Asia!E580+"n/&gt;!4&lt;m"</f>
        <v>#VALUE!</v>
      </c>
      <c r="GE409" t="e">
        <f>Asia!F580+"n/&gt;!4&lt;n"</f>
        <v>#VALUE!</v>
      </c>
      <c r="GF409" t="e">
        <f>Asia!G580+"n/&gt;!4&lt;o"</f>
        <v>#VALUE!</v>
      </c>
      <c r="GG409" t="e">
        <f>Asia!H580+"n/&gt;!4&lt;p"</f>
        <v>#VALUE!</v>
      </c>
      <c r="GH409" t="e">
        <f>Asia!I580+"n/&gt;!4&lt;q"</f>
        <v>#VALUE!</v>
      </c>
      <c r="GI409" t="e">
        <f>Asia!A581+"n/&gt;!4&lt;r"</f>
        <v>#VALUE!</v>
      </c>
      <c r="GJ409" t="e">
        <f>Asia!B581+"n/&gt;!4&lt;s"</f>
        <v>#VALUE!</v>
      </c>
      <c r="GK409" t="e">
        <f>Asia!C581+"n/&gt;!4&lt;t"</f>
        <v>#VALUE!</v>
      </c>
      <c r="GL409" t="e">
        <f>Asia!D581+"n/&gt;!4&lt;u"</f>
        <v>#VALUE!</v>
      </c>
      <c r="GM409" t="e">
        <f>Asia!E581+"n/&gt;!4&lt;v"</f>
        <v>#VALUE!</v>
      </c>
      <c r="GN409" t="e">
        <f>Asia!F581+"n/&gt;!4&lt;w"</f>
        <v>#VALUE!</v>
      </c>
      <c r="GO409" t="e">
        <f>Asia!G581+"n/&gt;!4&lt;x"</f>
        <v>#VALUE!</v>
      </c>
      <c r="GP409" t="e">
        <f>Asia!H581+"n/&gt;!4&lt;y"</f>
        <v>#VALUE!</v>
      </c>
      <c r="GQ409" t="e">
        <f>Asia!I581+"n/&gt;!4&lt;z"</f>
        <v>#VALUE!</v>
      </c>
      <c r="GR409" t="e">
        <f>Asia!A582+"n/&gt;!4&lt;{"</f>
        <v>#VALUE!</v>
      </c>
      <c r="GS409" t="e">
        <f>Asia!B582+"n/&gt;!4&lt;|"</f>
        <v>#VALUE!</v>
      </c>
      <c r="GT409" t="e">
        <f>Asia!C582+"n/&gt;!4&lt;}"</f>
        <v>#VALUE!</v>
      </c>
      <c r="GU409" t="e">
        <f>Asia!D582+"n/&gt;!4&lt;~"</f>
        <v>#VALUE!</v>
      </c>
      <c r="GV409" t="e">
        <f>Asia!E582+"n/&gt;!4=#"</f>
        <v>#VALUE!</v>
      </c>
      <c r="GW409" t="e">
        <f>Asia!F582+"n/&gt;!4=$"</f>
        <v>#VALUE!</v>
      </c>
      <c r="GX409" t="e">
        <f>Asia!G582+"n/&gt;!4=%"</f>
        <v>#VALUE!</v>
      </c>
      <c r="GY409" t="e">
        <f>Asia!H582+"n/&gt;!4=&amp;"</f>
        <v>#VALUE!</v>
      </c>
      <c r="GZ409" t="e">
        <f>Asia!I582+"n/&gt;!4='"</f>
        <v>#VALUE!</v>
      </c>
      <c r="HA409" t="e">
        <f>Asia!A583+"n/&gt;!4=("</f>
        <v>#VALUE!</v>
      </c>
      <c r="HB409" t="e">
        <f>Asia!B583+"n/&gt;!4=)"</f>
        <v>#VALUE!</v>
      </c>
      <c r="HC409" t="e">
        <f>Asia!C583+"n/&gt;!4=."</f>
        <v>#VALUE!</v>
      </c>
      <c r="HD409" t="e">
        <f>Asia!D583+"n/&gt;!4=/"</f>
        <v>#VALUE!</v>
      </c>
      <c r="HE409" t="e">
        <f>Asia!E583+"n/&gt;!4=0"</f>
        <v>#VALUE!</v>
      </c>
      <c r="HF409" t="e">
        <f>Asia!F583+"n/&gt;!4=1"</f>
        <v>#VALUE!</v>
      </c>
      <c r="HG409" t="e">
        <f>Asia!G583+"n/&gt;!4=2"</f>
        <v>#VALUE!</v>
      </c>
      <c r="HH409" t="e">
        <f>Asia!H583+"n/&gt;!4=3"</f>
        <v>#VALUE!</v>
      </c>
      <c r="HI409" t="e">
        <f>Asia!I583+"n/&gt;!4=4"</f>
        <v>#VALUE!</v>
      </c>
      <c r="HJ409" t="e">
        <f>Asia!A584+"n/&gt;!4=5"</f>
        <v>#VALUE!</v>
      </c>
      <c r="HK409" t="e">
        <f>Asia!B584+"n/&gt;!4=6"</f>
        <v>#VALUE!</v>
      </c>
      <c r="HL409" t="e">
        <f>Asia!C584+"n/&gt;!4=7"</f>
        <v>#VALUE!</v>
      </c>
      <c r="HM409" t="e">
        <f>Asia!D584+"n/&gt;!4=8"</f>
        <v>#VALUE!</v>
      </c>
      <c r="HN409" t="e">
        <f>Asia!E584+"n/&gt;!4=9"</f>
        <v>#VALUE!</v>
      </c>
      <c r="HO409" t="e">
        <f>Asia!F584+"n/&gt;!4=:"</f>
        <v>#VALUE!</v>
      </c>
      <c r="HP409" t="e">
        <f>Asia!G584+"n/&gt;!4=;"</f>
        <v>#VALUE!</v>
      </c>
      <c r="HQ409" t="e">
        <f>Asia!H584+"n/&gt;!4=&lt;"</f>
        <v>#VALUE!</v>
      </c>
      <c r="HR409" t="e">
        <f>Asia!I584+"n/&gt;!4=="</f>
        <v>#VALUE!</v>
      </c>
      <c r="HS409" t="e">
        <f>Asia!A585+"n/&gt;!4=&gt;"</f>
        <v>#VALUE!</v>
      </c>
      <c r="HT409" t="e">
        <f>Asia!B585+"n/&gt;!4=?"</f>
        <v>#VALUE!</v>
      </c>
      <c r="HU409" t="e">
        <f>Asia!C585+"n/&gt;!4=@"</f>
        <v>#VALUE!</v>
      </c>
      <c r="HV409" t="e">
        <f>Asia!D585+"n/&gt;!4=A"</f>
        <v>#VALUE!</v>
      </c>
      <c r="HW409" t="e">
        <f>Asia!E585+"n/&gt;!4=B"</f>
        <v>#VALUE!</v>
      </c>
      <c r="HX409" t="e">
        <f>Asia!F585+"n/&gt;!4=C"</f>
        <v>#VALUE!</v>
      </c>
      <c r="HY409" t="e">
        <f>Asia!G585+"n/&gt;!4=D"</f>
        <v>#VALUE!</v>
      </c>
      <c r="HZ409" t="e">
        <f>Asia!H585+"n/&gt;!4=E"</f>
        <v>#VALUE!</v>
      </c>
      <c r="IA409" t="e">
        <f>Asia!I585+"n/&gt;!4=F"</f>
        <v>#VALUE!</v>
      </c>
      <c r="IB409" t="e">
        <f>Asia!A586+"n/&gt;!4=G"</f>
        <v>#VALUE!</v>
      </c>
      <c r="IC409" t="e">
        <f>Asia!B586+"n/&gt;!4=H"</f>
        <v>#VALUE!</v>
      </c>
      <c r="ID409" t="e">
        <f>Asia!C586+"n/&gt;!4=I"</f>
        <v>#VALUE!</v>
      </c>
      <c r="IE409" t="e">
        <f>Asia!D586+"n/&gt;!4=J"</f>
        <v>#VALUE!</v>
      </c>
      <c r="IF409" t="e">
        <f>Asia!E586+"n/&gt;!4=K"</f>
        <v>#VALUE!</v>
      </c>
      <c r="IG409" t="e">
        <f>Asia!F586+"n/&gt;!4=L"</f>
        <v>#VALUE!</v>
      </c>
      <c r="IH409" t="e">
        <f>Asia!G586+"n/&gt;!4=M"</f>
        <v>#VALUE!</v>
      </c>
      <c r="II409" t="e">
        <f>Asia!H586+"n/&gt;!4=N"</f>
        <v>#VALUE!</v>
      </c>
      <c r="IJ409" t="e">
        <f>Asia!I586+"n/&gt;!4=O"</f>
        <v>#VALUE!</v>
      </c>
      <c r="IK409" t="e">
        <f>Asia!A587+"n/&gt;!4=P"</f>
        <v>#VALUE!</v>
      </c>
      <c r="IL409" t="e">
        <f>Asia!B587+"n/&gt;!4=Q"</f>
        <v>#VALUE!</v>
      </c>
      <c r="IM409" t="e">
        <f>Asia!C587+"n/&gt;!4=R"</f>
        <v>#VALUE!</v>
      </c>
      <c r="IN409" t="e">
        <f>Asia!D587+"n/&gt;!4=S"</f>
        <v>#VALUE!</v>
      </c>
      <c r="IO409" t="e">
        <f>Asia!E587+"n/&gt;!4=T"</f>
        <v>#VALUE!</v>
      </c>
      <c r="IP409" t="e">
        <f>Asia!F587+"n/&gt;!4=U"</f>
        <v>#VALUE!</v>
      </c>
      <c r="IQ409" t="e">
        <f>Asia!G587+"n/&gt;!4=V"</f>
        <v>#VALUE!</v>
      </c>
      <c r="IR409" t="e">
        <f>Asia!H587+"n/&gt;!4=W"</f>
        <v>#VALUE!</v>
      </c>
      <c r="IS409" t="e">
        <f>Asia!I587+"n/&gt;!4=X"</f>
        <v>#VALUE!</v>
      </c>
      <c r="IT409" t="e">
        <f>Asia!A588+"n/&gt;!4=Y"</f>
        <v>#VALUE!</v>
      </c>
      <c r="IU409" t="e">
        <f>Asia!B588+"n/&gt;!4=Z"</f>
        <v>#VALUE!</v>
      </c>
      <c r="IV409" t="e">
        <f>Asia!C588+"n/&gt;!4=["</f>
        <v>#VALUE!</v>
      </c>
    </row>
    <row r="410" spans="6:256" x14ac:dyDescent="0.35">
      <c r="F410" t="e">
        <f>Asia!D588+"n/&gt;!4=\"</f>
        <v>#VALUE!</v>
      </c>
      <c r="G410" t="e">
        <f>Asia!E588+"n/&gt;!4=]"</f>
        <v>#VALUE!</v>
      </c>
      <c r="H410" t="e">
        <f>Asia!F588+"n/&gt;!4=^"</f>
        <v>#VALUE!</v>
      </c>
      <c r="I410" t="e">
        <f>Asia!G588+"n/&gt;!4=_"</f>
        <v>#VALUE!</v>
      </c>
      <c r="J410" t="e">
        <f>Asia!H588+"n/&gt;!4=`"</f>
        <v>#VALUE!</v>
      </c>
      <c r="K410" t="e">
        <f>Asia!I588+"n/&gt;!4=a"</f>
        <v>#VALUE!</v>
      </c>
      <c r="L410" t="e">
        <f>Asia!A589+"n/&gt;!4=b"</f>
        <v>#VALUE!</v>
      </c>
      <c r="M410" t="e">
        <f>Asia!B589+"n/&gt;!4=c"</f>
        <v>#VALUE!</v>
      </c>
      <c r="N410" t="e">
        <f>Asia!C589+"n/&gt;!4=d"</f>
        <v>#VALUE!</v>
      </c>
      <c r="O410" t="e">
        <f>Asia!D589+"n/&gt;!4=e"</f>
        <v>#VALUE!</v>
      </c>
      <c r="P410" t="e">
        <f>Asia!E589+"n/&gt;!4=f"</f>
        <v>#VALUE!</v>
      </c>
      <c r="Q410" t="e">
        <f>Asia!F589+"n/&gt;!4=g"</f>
        <v>#VALUE!</v>
      </c>
      <c r="R410" t="e">
        <f>Asia!G589+"n/&gt;!4=h"</f>
        <v>#VALUE!</v>
      </c>
      <c r="S410" t="e">
        <f>Asia!H589+"n/&gt;!4=i"</f>
        <v>#VALUE!</v>
      </c>
      <c r="T410" t="e">
        <f>Asia!I589+"n/&gt;!4=j"</f>
        <v>#VALUE!</v>
      </c>
      <c r="U410" t="e">
        <f>Asia!A590+"n/&gt;!4=k"</f>
        <v>#VALUE!</v>
      </c>
      <c r="V410" t="e">
        <f>Asia!B590+"n/&gt;!4=l"</f>
        <v>#VALUE!</v>
      </c>
      <c r="W410" t="e">
        <f>Asia!C590+"n/&gt;!4=m"</f>
        <v>#VALUE!</v>
      </c>
      <c r="X410" t="e">
        <f>Asia!D590+"n/&gt;!4=n"</f>
        <v>#VALUE!</v>
      </c>
      <c r="Y410" t="e">
        <f>Asia!E590+"n/&gt;!4=o"</f>
        <v>#VALUE!</v>
      </c>
      <c r="Z410" t="e">
        <f>Asia!F590+"n/&gt;!4=p"</f>
        <v>#VALUE!</v>
      </c>
      <c r="AA410" t="e">
        <f>Asia!G590+"n/&gt;!4=q"</f>
        <v>#VALUE!</v>
      </c>
      <c r="AB410" t="e">
        <f>Asia!H590+"n/&gt;!4=r"</f>
        <v>#VALUE!</v>
      </c>
      <c r="AC410" t="e">
        <f>Asia!I590+"n/&gt;!4=s"</f>
        <v>#VALUE!</v>
      </c>
      <c r="AD410" t="e">
        <f>Asia!A591+"n/&gt;!4=t"</f>
        <v>#VALUE!</v>
      </c>
      <c r="AE410" t="e">
        <f>Asia!B591+"n/&gt;!4=u"</f>
        <v>#VALUE!</v>
      </c>
      <c r="AF410" t="e">
        <f>Asia!C591+"n/&gt;!4=v"</f>
        <v>#VALUE!</v>
      </c>
      <c r="AG410" t="e">
        <f>Asia!D591+"n/&gt;!4=w"</f>
        <v>#VALUE!</v>
      </c>
      <c r="AH410" t="e">
        <f>Asia!E591+"n/&gt;!4=x"</f>
        <v>#VALUE!</v>
      </c>
      <c r="AI410" t="e">
        <f>Asia!F591+"n/&gt;!4=y"</f>
        <v>#VALUE!</v>
      </c>
      <c r="AJ410" t="e">
        <f>Asia!G591+"n/&gt;!4=z"</f>
        <v>#VALUE!</v>
      </c>
      <c r="AK410" t="e">
        <f>Asia!H591+"n/&gt;!4={"</f>
        <v>#VALUE!</v>
      </c>
      <c r="AL410" t="e">
        <f>Asia!I591+"n/&gt;!4=|"</f>
        <v>#VALUE!</v>
      </c>
      <c r="AM410" t="e">
        <f>Asia!A592+"n/&gt;!4=}"</f>
        <v>#VALUE!</v>
      </c>
      <c r="AN410" t="e">
        <f>Asia!B592+"n/&gt;!4=~"</f>
        <v>#VALUE!</v>
      </c>
      <c r="AO410" t="e">
        <f>Asia!C592+"n/&gt;!4&gt;#"</f>
        <v>#VALUE!</v>
      </c>
      <c r="AP410" t="e">
        <f>Asia!D592+"n/&gt;!4&gt;$"</f>
        <v>#VALUE!</v>
      </c>
      <c r="AQ410" t="e">
        <f>Asia!E592+"n/&gt;!4&gt;%"</f>
        <v>#VALUE!</v>
      </c>
      <c r="AR410" t="e">
        <f>Asia!F592+"n/&gt;!4&gt;&amp;"</f>
        <v>#VALUE!</v>
      </c>
      <c r="AS410" t="e">
        <f>Asia!G592+"n/&gt;!4&gt;'"</f>
        <v>#VALUE!</v>
      </c>
      <c r="AT410" t="e">
        <f>Asia!H592+"n/&gt;!4&gt;("</f>
        <v>#VALUE!</v>
      </c>
      <c r="AU410" t="e">
        <f>Asia!I592+"n/&gt;!4&gt;)"</f>
        <v>#VALUE!</v>
      </c>
      <c r="AV410" t="e">
        <f>Asia!A593+"n/&gt;!4&gt;."</f>
        <v>#VALUE!</v>
      </c>
      <c r="AW410" t="e">
        <f>Asia!B593+"n/&gt;!4&gt;/"</f>
        <v>#VALUE!</v>
      </c>
      <c r="AX410" t="e">
        <f>Asia!C593+"n/&gt;!4&gt;0"</f>
        <v>#VALUE!</v>
      </c>
      <c r="AY410" t="e">
        <f>Asia!D593+"n/&gt;!4&gt;1"</f>
        <v>#VALUE!</v>
      </c>
      <c r="AZ410" t="e">
        <f>Asia!E593+"n/&gt;!4&gt;2"</f>
        <v>#VALUE!</v>
      </c>
      <c r="BA410" t="e">
        <f>Asia!F593+"n/&gt;!4&gt;3"</f>
        <v>#VALUE!</v>
      </c>
      <c r="BB410" t="e">
        <f>Asia!G593+"n/&gt;!4&gt;4"</f>
        <v>#VALUE!</v>
      </c>
      <c r="BC410" t="e">
        <f>Asia!H593+"n/&gt;!4&gt;5"</f>
        <v>#VALUE!</v>
      </c>
      <c r="BD410" t="e">
        <f>Asia!I593+"n/&gt;!4&gt;6"</f>
        <v>#VALUE!</v>
      </c>
      <c r="BE410" t="e">
        <f>Asia!A594+"n/&gt;!4&gt;7"</f>
        <v>#VALUE!</v>
      </c>
      <c r="BF410" t="e">
        <f>Asia!B594+"n/&gt;!4&gt;8"</f>
        <v>#VALUE!</v>
      </c>
      <c r="BG410" t="e">
        <f>Asia!C594+"n/&gt;!4&gt;9"</f>
        <v>#VALUE!</v>
      </c>
      <c r="BH410" t="e">
        <f>Asia!D594+"n/&gt;!4&gt;:"</f>
        <v>#VALUE!</v>
      </c>
      <c r="BI410" t="e">
        <f>Asia!E594+"n/&gt;!4&gt;;"</f>
        <v>#VALUE!</v>
      </c>
      <c r="BJ410" t="e">
        <f>Asia!F594+"n/&gt;!4&gt;&lt;"</f>
        <v>#VALUE!</v>
      </c>
      <c r="BK410" t="e">
        <f>Asia!G594+"n/&gt;!4&gt;="</f>
        <v>#VALUE!</v>
      </c>
      <c r="BL410" t="e">
        <f>Asia!H594+"n/&gt;!4&gt;&gt;"</f>
        <v>#VALUE!</v>
      </c>
      <c r="BM410" t="e">
        <f>Asia!I594+"n/&gt;!4&gt;?"</f>
        <v>#VALUE!</v>
      </c>
      <c r="BN410" t="e">
        <f>Asia!A595+"n/&gt;!4&gt;@"</f>
        <v>#VALUE!</v>
      </c>
      <c r="BO410" t="e">
        <f>Asia!B595+"n/&gt;!4&gt;A"</f>
        <v>#VALUE!</v>
      </c>
      <c r="BP410" t="e">
        <f>Asia!C595+"n/&gt;!4&gt;B"</f>
        <v>#VALUE!</v>
      </c>
      <c r="BQ410" t="e">
        <f>Asia!D595+"n/&gt;!4&gt;C"</f>
        <v>#VALUE!</v>
      </c>
      <c r="BR410" t="e">
        <f>Asia!E595+"n/&gt;!4&gt;D"</f>
        <v>#VALUE!</v>
      </c>
      <c r="BS410" t="e">
        <f>Asia!F595+"n/&gt;!4&gt;E"</f>
        <v>#VALUE!</v>
      </c>
      <c r="BT410" t="e">
        <f>Asia!G595+"n/&gt;!4&gt;F"</f>
        <v>#VALUE!</v>
      </c>
      <c r="BU410" t="e">
        <f>Asia!H595+"n/&gt;!4&gt;G"</f>
        <v>#VALUE!</v>
      </c>
      <c r="BV410" t="e">
        <f>Asia!I595+"n/&gt;!4&gt;H"</f>
        <v>#VALUE!</v>
      </c>
      <c r="BW410" t="e">
        <f>Asia!A596+"n/&gt;!4&gt;I"</f>
        <v>#VALUE!</v>
      </c>
      <c r="BX410" t="e">
        <f>Asia!B596+"n/&gt;!4&gt;J"</f>
        <v>#VALUE!</v>
      </c>
      <c r="BY410" t="e">
        <f>Asia!C596+"n/&gt;!4&gt;K"</f>
        <v>#VALUE!</v>
      </c>
      <c r="BZ410" t="e">
        <f>Asia!D596+"n/&gt;!4&gt;L"</f>
        <v>#VALUE!</v>
      </c>
      <c r="CA410" t="e">
        <f>Asia!E596+"n/&gt;!4&gt;M"</f>
        <v>#VALUE!</v>
      </c>
      <c r="CB410" t="e">
        <f>Asia!F596+"n/&gt;!4&gt;N"</f>
        <v>#VALUE!</v>
      </c>
      <c r="CC410" t="e">
        <f>Asia!G596+"n/&gt;!4&gt;O"</f>
        <v>#VALUE!</v>
      </c>
      <c r="CD410" t="e">
        <f>Asia!H596+"n/&gt;!4&gt;P"</f>
        <v>#VALUE!</v>
      </c>
      <c r="CE410" t="e">
        <f>Asia!I596+"n/&gt;!4&gt;Q"</f>
        <v>#VALUE!</v>
      </c>
      <c r="CF410" t="e">
        <f>Asia!A597+"n/&gt;!4&gt;R"</f>
        <v>#VALUE!</v>
      </c>
      <c r="CG410" t="e">
        <f>Asia!B597+"n/&gt;!4&gt;S"</f>
        <v>#VALUE!</v>
      </c>
      <c r="CH410" t="e">
        <f>Asia!C597+"n/&gt;!4&gt;T"</f>
        <v>#VALUE!</v>
      </c>
      <c r="CI410" t="e">
        <f>Asia!D597+"n/&gt;!4&gt;U"</f>
        <v>#VALUE!</v>
      </c>
      <c r="CJ410" t="e">
        <f>Asia!E597+"n/&gt;!4&gt;V"</f>
        <v>#VALUE!</v>
      </c>
      <c r="CK410" t="e">
        <f>Asia!F597+"n/&gt;!4&gt;W"</f>
        <v>#VALUE!</v>
      </c>
      <c r="CL410" t="e">
        <f>Asia!G597+"n/&gt;!4&gt;X"</f>
        <v>#VALUE!</v>
      </c>
      <c r="CM410" t="e">
        <f>Asia!H597+"n/&gt;!4&gt;Y"</f>
        <v>#VALUE!</v>
      </c>
      <c r="CN410" t="e">
        <f>Asia!I597+"n/&gt;!4&gt;Z"</f>
        <v>#VALUE!</v>
      </c>
      <c r="CO410" t="e">
        <f>Asia!A598+"n/&gt;!4&gt;["</f>
        <v>#VALUE!</v>
      </c>
      <c r="CP410" t="e">
        <f>Asia!B598+"n/&gt;!4&gt;\"</f>
        <v>#VALUE!</v>
      </c>
      <c r="CQ410" t="e">
        <f>Asia!C598+"n/&gt;!4&gt;]"</f>
        <v>#VALUE!</v>
      </c>
      <c r="CR410" t="e">
        <f>Asia!D598+"n/&gt;!4&gt;^"</f>
        <v>#VALUE!</v>
      </c>
      <c r="CS410" t="e">
        <f>Asia!E598+"n/&gt;!4&gt;_"</f>
        <v>#VALUE!</v>
      </c>
      <c r="CT410" t="e">
        <f>Asia!F598+"n/&gt;!4&gt;`"</f>
        <v>#VALUE!</v>
      </c>
      <c r="CU410" t="e">
        <f>Asia!G598+"n/&gt;!4&gt;a"</f>
        <v>#VALUE!</v>
      </c>
      <c r="CV410" t="e">
        <f>Asia!H598+"n/&gt;!4&gt;b"</f>
        <v>#VALUE!</v>
      </c>
      <c r="CW410" t="e">
        <f>Asia!I598+"n/&gt;!4&gt;c"</f>
        <v>#VALUE!</v>
      </c>
      <c r="CX410" t="e">
        <f>Asia!A599+"n/&gt;!4&gt;d"</f>
        <v>#VALUE!</v>
      </c>
      <c r="CY410" t="e">
        <f>Asia!B599+"n/&gt;!4&gt;e"</f>
        <v>#VALUE!</v>
      </c>
      <c r="CZ410" t="e">
        <f>Asia!C599+"n/&gt;!4&gt;f"</f>
        <v>#VALUE!</v>
      </c>
      <c r="DA410" t="e">
        <f>Asia!D599+"n/&gt;!4&gt;g"</f>
        <v>#VALUE!</v>
      </c>
      <c r="DB410" t="e">
        <f>Asia!E599+"n/&gt;!4&gt;h"</f>
        <v>#VALUE!</v>
      </c>
      <c r="DC410" t="e">
        <f>Asia!F599+"n/&gt;!4&gt;i"</f>
        <v>#VALUE!</v>
      </c>
      <c r="DD410" t="e">
        <f>Asia!G599+"n/&gt;!4&gt;j"</f>
        <v>#VALUE!</v>
      </c>
      <c r="DE410" t="e">
        <f>Asia!H599+"n/&gt;!4&gt;k"</f>
        <v>#VALUE!</v>
      </c>
      <c r="DF410" t="e">
        <f>Asia!I599+"n/&gt;!4&gt;l"</f>
        <v>#VALUE!</v>
      </c>
      <c r="DG410" t="e">
        <f>Asia!A600+"n/&gt;!4&gt;m"</f>
        <v>#VALUE!</v>
      </c>
      <c r="DH410" t="e">
        <f>Asia!B600+"n/&gt;!4&gt;n"</f>
        <v>#VALUE!</v>
      </c>
      <c r="DI410" t="e">
        <f>Asia!C600+"n/&gt;!4&gt;o"</f>
        <v>#VALUE!</v>
      </c>
      <c r="DJ410" t="e">
        <f>Asia!D600+"n/&gt;!4&gt;p"</f>
        <v>#VALUE!</v>
      </c>
      <c r="DK410" t="e">
        <f>Asia!E600+"n/&gt;!4&gt;q"</f>
        <v>#VALUE!</v>
      </c>
      <c r="DL410" t="e">
        <f>Asia!F600+"n/&gt;!4&gt;r"</f>
        <v>#VALUE!</v>
      </c>
      <c r="DM410" t="e">
        <f>Asia!G600+"n/&gt;!4&gt;s"</f>
        <v>#VALUE!</v>
      </c>
      <c r="DN410" t="e">
        <f>Asia!H600+"n/&gt;!4&gt;t"</f>
        <v>#VALUE!</v>
      </c>
      <c r="DO410" t="e">
        <f>Asia!I600+"n/&gt;!4&gt;u"</f>
        <v>#VALUE!</v>
      </c>
      <c r="DP410" t="e">
        <f>Asia!A601+"n/&gt;!4&gt;v"</f>
        <v>#VALUE!</v>
      </c>
      <c r="DQ410" t="e">
        <f>Asia!B601+"n/&gt;!4&gt;w"</f>
        <v>#VALUE!</v>
      </c>
      <c r="DR410" t="e">
        <f>Asia!C601+"n/&gt;!4&gt;x"</f>
        <v>#VALUE!</v>
      </c>
      <c r="DS410" t="e">
        <f>Asia!D601+"n/&gt;!4&gt;y"</f>
        <v>#VALUE!</v>
      </c>
      <c r="DT410" t="e">
        <f>Asia!E601+"n/&gt;!4&gt;z"</f>
        <v>#VALUE!</v>
      </c>
      <c r="DU410" t="e">
        <f>Asia!F601+"n/&gt;!4&gt;{"</f>
        <v>#VALUE!</v>
      </c>
      <c r="DV410" t="e">
        <f>Asia!G601+"n/&gt;!4&gt;|"</f>
        <v>#VALUE!</v>
      </c>
      <c r="DW410" t="e">
        <f>Asia!H601+"n/&gt;!4&gt;}"</f>
        <v>#VALUE!</v>
      </c>
      <c r="DX410" t="e">
        <f>Asia!I601+"n/&gt;!4&gt;~"</f>
        <v>#VALUE!</v>
      </c>
      <c r="DY410" t="e">
        <f>Asia!A602+"n/&gt;!4?#"</f>
        <v>#VALUE!</v>
      </c>
      <c r="DZ410" t="e">
        <f>Asia!B602+"n/&gt;!4?$"</f>
        <v>#VALUE!</v>
      </c>
      <c r="EA410" t="e">
        <f>Asia!C602+"n/&gt;!4?%"</f>
        <v>#VALUE!</v>
      </c>
      <c r="EB410" t="e">
        <f>Asia!D602+"n/&gt;!4?&amp;"</f>
        <v>#VALUE!</v>
      </c>
      <c r="EC410" t="e">
        <f>Asia!E602+"n/&gt;!4?'"</f>
        <v>#VALUE!</v>
      </c>
      <c r="ED410" t="e">
        <f>Asia!F602+"n/&gt;!4?("</f>
        <v>#VALUE!</v>
      </c>
      <c r="EE410" t="e">
        <f>Asia!G602+"n/&gt;!4?)"</f>
        <v>#VALUE!</v>
      </c>
      <c r="EF410" t="e">
        <f>Asia!H602+"n/&gt;!4?."</f>
        <v>#VALUE!</v>
      </c>
      <c r="EG410" t="e">
        <f>Asia!I602+"n/&gt;!4?/"</f>
        <v>#VALUE!</v>
      </c>
      <c r="EH410" t="e">
        <f>Asia!A603+"n/&gt;!4?0"</f>
        <v>#VALUE!</v>
      </c>
      <c r="EI410" t="e">
        <f>Asia!B603+"n/&gt;!4?1"</f>
        <v>#VALUE!</v>
      </c>
      <c r="EJ410" t="e">
        <f>Asia!C603+"n/&gt;!4?2"</f>
        <v>#VALUE!</v>
      </c>
      <c r="EK410" t="e">
        <f>Asia!D603+"n/&gt;!4?3"</f>
        <v>#VALUE!</v>
      </c>
      <c r="EL410" t="e">
        <f>Asia!E603+"n/&gt;!4?4"</f>
        <v>#VALUE!</v>
      </c>
      <c r="EM410" t="e">
        <f>Asia!F603+"n/&gt;!4?5"</f>
        <v>#VALUE!</v>
      </c>
      <c r="EN410" t="e">
        <f>Asia!G603+"n/&gt;!4?6"</f>
        <v>#VALUE!</v>
      </c>
      <c r="EO410" t="e">
        <f>Asia!H603+"n/&gt;!4?7"</f>
        <v>#VALUE!</v>
      </c>
      <c r="EP410" t="e">
        <f>Asia!I603+"n/&gt;!4?8"</f>
        <v>#VALUE!</v>
      </c>
      <c r="EQ410" t="e">
        <f>Asia!A604+"n/&gt;!4?9"</f>
        <v>#VALUE!</v>
      </c>
      <c r="ER410" t="e">
        <f>Asia!B604+"n/&gt;!4?:"</f>
        <v>#VALUE!</v>
      </c>
      <c r="ES410" t="e">
        <f>Asia!C604+"n/&gt;!4?;"</f>
        <v>#VALUE!</v>
      </c>
      <c r="ET410" t="e">
        <f>Asia!D604+"n/&gt;!4?&lt;"</f>
        <v>#VALUE!</v>
      </c>
      <c r="EU410" t="e">
        <f>Asia!E604+"n/&gt;!4?="</f>
        <v>#VALUE!</v>
      </c>
      <c r="EV410" t="e">
        <f>Asia!F604+"n/&gt;!4?&gt;"</f>
        <v>#VALUE!</v>
      </c>
      <c r="EW410" t="e">
        <f>Asia!G604+"n/&gt;!4??"</f>
        <v>#VALUE!</v>
      </c>
      <c r="EX410" t="e">
        <f>Asia!H604+"n/&gt;!4?@"</f>
        <v>#VALUE!</v>
      </c>
      <c r="EY410" t="e">
        <f>Asia!I604+"n/&gt;!4?A"</f>
        <v>#VALUE!</v>
      </c>
      <c r="EZ410" t="e">
        <f>Asia!A605+"n/&gt;!4?B"</f>
        <v>#VALUE!</v>
      </c>
      <c r="FA410" t="e">
        <f>Asia!B605+"n/&gt;!4?C"</f>
        <v>#VALUE!</v>
      </c>
      <c r="FB410" t="e">
        <f>Asia!C605+"n/&gt;!4?D"</f>
        <v>#VALUE!</v>
      </c>
      <c r="FC410" t="e">
        <f>Asia!D605+"n/&gt;!4?E"</f>
        <v>#VALUE!</v>
      </c>
      <c r="FD410" t="e">
        <f>Asia!E605+"n/&gt;!4?F"</f>
        <v>#VALUE!</v>
      </c>
      <c r="FE410" t="e">
        <f>Asia!F605+"n/&gt;!4?G"</f>
        <v>#VALUE!</v>
      </c>
      <c r="FF410" t="e">
        <f>Asia!G605+"n/&gt;!4?H"</f>
        <v>#VALUE!</v>
      </c>
      <c r="FG410" t="e">
        <f>Asia!H605+"n/&gt;!4?I"</f>
        <v>#VALUE!</v>
      </c>
      <c r="FH410" t="e">
        <f>Asia!I605+"n/&gt;!4?J"</f>
        <v>#VALUE!</v>
      </c>
      <c r="FI410" t="e">
        <f>Asia!A606+"n/&gt;!4?K"</f>
        <v>#VALUE!</v>
      </c>
      <c r="FJ410" t="e">
        <f>Asia!B606+"n/&gt;!4?L"</f>
        <v>#VALUE!</v>
      </c>
      <c r="FK410" t="e">
        <f>Asia!C606+"n/&gt;!4?M"</f>
        <v>#VALUE!</v>
      </c>
      <c r="FL410" t="e">
        <f>Asia!D606+"n/&gt;!4?N"</f>
        <v>#VALUE!</v>
      </c>
      <c r="FM410" t="e">
        <f>Asia!E606+"n/&gt;!4?O"</f>
        <v>#VALUE!</v>
      </c>
      <c r="FN410" t="e">
        <f>Asia!F606+"n/&gt;!4?P"</f>
        <v>#VALUE!</v>
      </c>
      <c r="FO410" t="e">
        <f>Asia!G606+"n/&gt;!4?Q"</f>
        <v>#VALUE!</v>
      </c>
      <c r="FP410" t="e">
        <f>Asia!H606+"n/&gt;!4?R"</f>
        <v>#VALUE!</v>
      </c>
      <c r="FQ410" t="e">
        <f>Asia!I606+"n/&gt;!4?S"</f>
        <v>#VALUE!</v>
      </c>
      <c r="FR410" t="e">
        <f>Asia!A607+"n/&gt;!4?T"</f>
        <v>#VALUE!</v>
      </c>
      <c r="FS410" t="e">
        <f>Asia!B607+"n/&gt;!4?U"</f>
        <v>#VALUE!</v>
      </c>
      <c r="FT410" t="e">
        <f>Asia!C607+"n/&gt;!4?V"</f>
        <v>#VALUE!</v>
      </c>
      <c r="FU410" t="e">
        <f>Asia!D607+"n/&gt;!4?W"</f>
        <v>#VALUE!</v>
      </c>
      <c r="FV410" t="e">
        <f>Asia!E607+"n/&gt;!4?X"</f>
        <v>#VALUE!</v>
      </c>
      <c r="FW410" t="e">
        <f>Asia!F607+"n/&gt;!4?Y"</f>
        <v>#VALUE!</v>
      </c>
      <c r="FX410" t="e">
        <f>Asia!G607+"n/&gt;!4?Z"</f>
        <v>#VALUE!</v>
      </c>
      <c r="FY410" t="e">
        <f>Asia!H607+"n/&gt;!4?["</f>
        <v>#VALUE!</v>
      </c>
      <c r="FZ410" t="e">
        <f>Asia!I607+"n/&gt;!4?\"</f>
        <v>#VALUE!</v>
      </c>
      <c r="GA410" t="e">
        <f>Asia!A608+"n/&gt;!4?]"</f>
        <v>#VALUE!</v>
      </c>
      <c r="GB410" t="e">
        <f>Asia!B608+"n/&gt;!4?^"</f>
        <v>#VALUE!</v>
      </c>
      <c r="GC410" t="e">
        <f>Asia!C608+"n/&gt;!4?_"</f>
        <v>#VALUE!</v>
      </c>
      <c r="GD410" t="e">
        <f>Asia!D608+"n/&gt;!4?`"</f>
        <v>#VALUE!</v>
      </c>
      <c r="GE410" t="e">
        <f>Asia!E608+"n/&gt;!4?a"</f>
        <v>#VALUE!</v>
      </c>
      <c r="GF410" t="e">
        <f>Asia!F608+"n/&gt;!4?b"</f>
        <v>#VALUE!</v>
      </c>
      <c r="GG410" t="e">
        <f>Asia!G608+"n/&gt;!4?c"</f>
        <v>#VALUE!</v>
      </c>
      <c r="GH410" t="e">
        <f>Asia!H608+"n/&gt;!4?d"</f>
        <v>#VALUE!</v>
      </c>
      <c r="GI410" t="e">
        <f>Asia!I608+"n/&gt;!4?e"</f>
        <v>#VALUE!</v>
      </c>
      <c r="GJ410" t="e">
        <f>Asia!A609+"n/&gt;!4?f"</f>
        <v>#VALUE!</v>
      </c>
      <c r="GK410" t="e">
        <f>Asia!B609+"n/&gt;!4?g"</f>
        <v>#VALUE!</v>
      </c>
      <c r="GL410" t="e">
        <f>Asia!C609+"n/&gt;!4?h"</f>
        <v>#VALUE!</v>
      </c>
      <c r="GM410" t="e">
        <f>Asia!D609+"n/&gt;!4?i"</f>
        <v>#VALUE!</v>
      </c>
      <c r="GN410" t="e">
        <f>Asia!E609+"n/&gt;!4?j"</f>
        <v>#VALUE!</v>
      </c>
      <c r="GO410" t="e">
        <f>Asia!F609+"n/&gt;!4?k"</f>
        <v>#VALUE!</v>
      </c>
      <c r="GP410" t="e">
        <f>Asia!G609+"n/&gt;!4?l"</f>
        <v>#VALUE!</v>
      </c>
      <c r="GQ410" t="e">
        <f>Asia!H609+"n/&gt;!4?m"</f>
        <v>#VALUE!</v>
      </c>
      <c r="GR410" t="e">
        <f>Asia!I609+"n/&gt;!4?n"</f>
        <v>#VALUE!</v>
      </c>
      <c r="GS410" t="e">
        <f>Asia!A610+"n/&gt;!4?o"</f>
        <v>#VALUE!</v>
      </c>
      <c r="GT410" t="e">
        <f>Asia!B610+"n/&gt;!4?p"</f>
        <v>#VALUE!</v>
      </c>
      <c r="GU410" t="e">
        <f>Asia!C610+"n/&gt;!4?q"</f>
        <v>#VALUE!</v>
      </c>
      <c r="GV410" t="e">
        <f>Asia!D610+"n/&gt;!4?r"</f>
        <v>#VALUE!</v>
      </c>
      <c r="GW410" t="e">
        <f>Asia!E610+"n/&gt;!4?s"</f>
        <v>#VALUE!</v>
      </c>
      <c r="GX410" t="e">
        <f>Asia!F610+"n/&gt;!4?t"</f>
        <v>#VALUE!</v>
      </c>
      <c r="GY410" t="e">
        <f>Asia!G610+"n/&gt;!4?u"</f>
        <v>#VALUE!</v>
      </c>
      <c r="GZ410" t="e">
        <f>Asia!H610+"n/&gt;!4?v"</f>
        <v>#VALUE!</v>
      </c>
      <c r="HA410" t="e">
        <f>Asia!I610+"n/&gt;!4?w"</f>
        <v>#VALUE!</v>
      </c>
      <c r="HB410" t="e">
        <f>Asia!A611+"n/&gt;!4?x"</f>
        <v>#VALUE!</v>
      </c>
      <c r="HC410" t="e">
        <f>Asia!B611+"n/&gt;!4?y"</f>
        <v>#VALUE!</v>
      </c>
      <c r="HD410" t="e">
        <f>Asia!C611+"n/&gt;!4?z"</f>
        <v>#VALUE!</v>
      </c>
      <c r="HE410" t="e">
        <f>Asia!D611+"n/&gt;!4?{"</f>
        <v>#VALUE!</v>
      </c>
      <c r="HF410" t="e">
        <f>Asia!E611+"n/&gt;!4?|"</f>
        <v>#VALUE!</v>
      </c>
      <c r="HG410" t="e">
        <f>Asia!F611+"n/&gt;!4?}"</f>
        <v>#VALUE!</v>
      </c>
      <c r="HH410" t="e">
        <f>Asia!G611+"n/&gt;!4?~"</f>
        <v>#VALUE!</v>
      </c>
      <c r="HI410" t="e">
        <f>Asia!H611+"n/&gt;!4@#"</f>
        <v>#VALUE!</v>
      </c>
      <c r="HJ410" t="e">
        <f>Asia!I611+"n/&gt;!4@$"</f>
        <v>#VALUE!</v>
      </c>
      <c r="HK410" t="e">
        <f>Asia!A612+"n/&gt;!4@%"</f>
        <v>#VALUE!</v>
      </c>
      <c r="HL410" t="e">
        <f>Asia!B612+"n/&gt;!4@&amp;"</f>
        <v>#VALUE!</v>
      </c>
      <c r="HM410" t="e">
        <f>Asia!C612+"n/&gt;!4@'"</f>
        <v>#VALUE!</v>
      </c>
      <c r="HN410" t="e">
        <f>Asia!D612+"n/&gt;!4@("</f>
        <v>#VALUE!</v>
      </c>
      <c r="HO410" t="e">
        <f>Asia!E612+"n/&gt;!4@)"</f>
        <v>#VALUE!</v>
      </c>
      <c r="HP410" t="e">
        <f>Asia!F612+"n/&gt;!4@."</f>
        <v>#VALUE!</v>
      </c>
      <c r="HQ410" t="e">
        <f>Asia!G612+"n/&gt;!4@/"</f>
        <v>#VALUE!</v>
      </c>
      <c r="HR410" t="e">
        <f>Asia!H612+"n/&gt;!4@0"</f>
        <v>#VALUE!</v>
      </c>
      <c r="HS410" t="e">
        <f>Asia!I612+"n/&gt;!4@1"</f>
        <v>#VALUE!</v>
      </c>
      <c r="HT410" t="e">
        <f>Asia!A613+"n/&gt;!4@2"</f>
        <v>#VALUE!</v>
      </c>
      <c r="HU410" t="e">
        <f>Asia!B613+"n/&gt;!4@3"</f>
        <v>#VALUE!</v>
      </c>
      <c r="HV410" t="e">
        <f>Asia!C613+"n/&gt;!4@4"</f>
        <v>#VALUE!</v>
      </c>
      <c r="HW410" t="e">
        <f>Asia!D613+"n/&gt;!4@5"</f>
        <v>#VALUE!</v>
      </c>
      <c r="HX410" t="e">
        <f>Asia!E613+"n/&gt;!4@6"</f>
        <v>#VALUE!</v>
      </c>
      <c r="HY410" t="e">
        <f>Asia!F613+"n/&gt;!4@7"</f>
        <v>#VALUE!</v>
      </c>
      <c r="HZ410" t="e">
        <f>Asia!G613+"n/&gt;!4@8"</f>
        <v>#VALUE!</v>
      </c>
      <c r="IA410" t="e">
        <f>Asia!H613+"n/&gt;!4@9"</f>
        <v>#VALUE!</v>
      </c>
      <c r="IB410" t="e">
        <f>Asia!I613+"n/&gt;!4@:"</f>
        <v>#VALUE!</v>
      </c>
      <c r="IC410" t="e">
        <f>Asia!A614+"n/&gt;!4@;"</f>
        <v>#VALUE!</v>
      </c>
      <c r="ID410" t="e">
        <f>Asia!B614+"n/&gt;!4@&lt;"</f>
        <v>#VALUE!</v>
      </c>
      <c r="IE410" t="e">
        <f>Asia!C614+"n/&gt;!4@="</f>
        <v>#VALUE!</v>
      </c>
      <c r="IF410" t="e">
        <f>Asia!D614+"n/&gt;!4@&gt;"</f>
        <v>#VALUE!</v>
      </c>
      <c r="IG410" t="e">
        <f>Asia!E614+"n/&gt;!4@?"</f>
        <v>#VALUE!</v>
      </c>
      <c r="IH410" t="e">
        <f>Asia!F614+"n/&gt;!4@@"</f>
        <v>#VALUE!</v>
      </c>
      <c r="II410" t="e">
        <f>Asia!G614+"n/&gt;!4@A"</f>
        <v>#VALUE!</v>
      </c>
      <c r="IJ410" t="e">
        <f>Asia!H614+"n/&gt;!4@B"</f>
        <v>#VALUE!</v>
      </c>
      <c r="IK410" t="e">
        <f>Asia!I614+"n/&gt;!4@C"</f>
        <v>#VALUE!</v>
      </c>
      <c r="IL410" t="e">
        <f>Asia!A615+"n/&gt;!4@D"</f>
        <v>#VALUE!</v>
      </c>
      <c r="IM410" t="e">
        <f>Asia!B615+"n/&gt;!4@E"</f>
        <v>#VALUE!</v>
      </c>
      <c r="IN410" t="e">
        <f>Asia!C615+"n/&gt;!4@F"</f>
        <v>#VALUE!</v>
      </c>
      <c r="IO410" t="e">
        <f>Asia!D615+"n/&gt;!4@G"</f>
        <v>#VALUE!</v>
      </c>
      <c r="IP410" t="e">
        <f>Asia!E615+"n/&gt;!4@H"</f>
        <v>#VALUE!</v>
      </c>
      <c r="IQ410" t="e">
        <f>Asia!F615+"n/&gt;!4@I"</f>
        <v>#VALUE!</v>
      </c>
      <c r="IR410" t="e">
        <f>Asia!G615+"n/&gt;!4@J"</f>
        <v>#VALUE!</v>
      </c>
      <c r="IS410" t="e">
        <f>Asia!H615+"n/&gt;!4@K"</f>
        <v>#VALUE!</v>
      </c>
      <c r="IT410" t="e">
        <f>Asia!I615+"n/&gt;!4@L"</f>
        <v>#VALUE!</v>
      </c>
      <c r="IU410" t="e">
        <f>Asia!A616+"n/&gt;!4@M"</f>
        <v>#VALUE!</v>
      </c>
      <c r="IV410" t="e">
        <f>Asia!B616+"n/&gt;!4@N"</f>
        <v>#VALUE!</v>
      </c>
    </row>
    <row r="411" spans="6:256" x14ac:dyDescent="0.35">
      <c r="F411" t="e">
        <f>Asia!C616+"n/&gt;!4@O"</f>
        <v>#VALUE!</v>
      </c>
      <c r="G411" t="e">
        <f>Asia!D616+"n/&gt;!4@P"</f>
        <v>#VALUE!</v>
      </c>
      <c r="H411" t="e">
        <f>Asia!E616+"n/&gt;!4@Q"</f>
        <v>#VALUE!</v>
      </c>
      <c r="I411" t="e">
        <f>Asia!F616+"n/&gt;!4@R"</f>
        <v>#VALUE!</v>
      </c>
      <c r="J411" t="e">
        <f>Asia!G616+"n/&gt;!4@S"</f>
        <v>#VALUE!</v>
      </c>
      <c r="K411" t="e">
        <f>Asia!H616+"n/&gt;!4@T"</f>
        <v>#VALUE!</v>
      </c>
      <c r="L411" t="e">
        <f>Asia!I616+"n/&gt;!4@U"</f>
        <v>#VALUE!</v>
      </c>
      <c r="M411" t="e">
        <f>Asia!A617+"n/&gt;!4@V"</f>
        <v>#VALUE!</v>
      </c>
      <c r="N411" t="e">
        <f>Asia!B617+"n/&gt;!4@W"</f>
        <v>#VALUE!</v>
      </c>
      <c r="O411" t="e">
        <f>Asia!C617+"n/&gt;!4@X"</f>
        <v>#VALUE!</v>
      </c>
      <c r="P411" t="e">
        <f>Asia!D617+"n/&gt;!4@Y"</f>
        <v>#VALUE!</v>
      </c>
      <c r="Q411" t="e">
        <f>Asia!E617+"n/&gt;!4@Z"</f>
        <v>#VALUE!</v>
      </c>
      <c r="R411" t="e">
        <f>Asia!F617+"n/&gt;!4@["</f>
        <v>#VALUE!</v>
      </c>
      <c r="S411" t="e">
        <f>Asia!G617+"n/&gt;!4@\"</f>
        <v>#VALUE!</v>
      </c>
      <c r="T411" t="e">
        <f>Asia!H617+"n/&gt;!4@]"</f>
        <v>#VALUE!</v>
      </c>
      <c r="U411" t="e">
        <f>Asia!I617+"n/&gt;!4@^"</f>
        <v>#VALUE!</v>
      </c>
      <c r="V411" t="e">
        <f>Asia!A618+"n/&gt;!4@_"</f>
        <v>#VALUE!</v>
      </c>
      <c r="W411" t="e">
        <f>Asia!B618+"n/&gt;!4@`"</f>
        <v>#VALUE!</v>
      </c>
      <c r="X411" t="e">
        <f>Asia!C618+"n/&gt;!4@a"</f>
        <v>#VALUE!</v>
      </c>
      <c r="Y411" t="e">
        <f>Asia!D618+"n/&gt;!4@b"</f>
        <v>#VALUE!</v>
      </c>
      <c r="Z411" t="e">
        <f>Asia!E618+"n/&gt;!4@c"</f>
        <v>#VALUE!</v>
      </c>
      <c r="AA411" t="e">
        <f>Asia!F618+"n/&gt;!4@d"</f>
        <v>#VALUE!</v>
      </c>
      <c r="AB411" t="e">
        <f>Asia!G618+"n/&gt;!4@e"</f>
        <v>#VALUE!</v>
      </c>
      <c r="AC411" t="e">
        <f>Asia!H618+"n/&gt;!4@f"</f>
        <v>#VALUE!</v>
      </c>
      <c r="AD411" t="e">
        <f>Asia!I618+"n/&gt;!4@g"</f>
        <v>#VALUE!</v>
      </c>
      <c r="AE411" t="e">
        <f>Asia!A619+"n/&gt;!4@h"</f>
        <v>#VALUE!</v>
      </c>
      <c r="AF411" t="e">
        <f>Asia!B619+"n/&gt;!4@i"</f>
        <v>#VALUE!</v>
      </c>
      <c r="AG411" t="e">
        <f>Asia!C619+"n/&gt;!4@j"</f>
        <v>#VALUE!</v>
      </c>
      <c r="AH411" t="e">
        <f>Asia!D619+"n/&gt;!4@k"</f>
        <v>#VALUE!</v>
      </c>
      <c r="AI411" t="e">
        <f>Asia!E619+"n/&gt;!4@l"</f>
        <v>#VALUE!</v>
      </c>
      <c r="AJ411" t="e">
        <f>Asia!F619+"n/&gt;!4@m"</f>
        <v>#VALUE!</v>
      </c>
      <c r="AK411" t="e">
        <f>Asia!G619+"n/&gt;!4@n"</f>
        <v>#VALUE!</v>
      </c>
      <c r="AL411" t="e">
        <f>Asia!H619+"n/&gt;!4@o"</f>
        <v>#VALUE!</v>
      </c>
      <c r="AM411" t="e">
        <f>Asia!I619+"n/&gt;!4@p"</f>
        <v>#VALUE!</v>
      </c>
      <c r="AN411" t="e">
        <f>Asia!A620+"n/&gt;!4@q"</f>
        <v>#VALUE!</v>
      </c>
      <c r="AO411" t="e">
        <f>Asia!B620+"n/&gt;!4@r"</f>
        <v>#VALUE!</v>
      </c>
      <c r="AP411" t="e">
        <f>Asia!C620+"n/&gt;!4@s"</f>
        <v>#VALUE!</v>
      </c>
      <c r="AQ411" t="e">
        <f>Asia!D620+"n/&gt;!4@t"</f>
        <v>#VALUE!</v>
      </c>
      <c r="AR411" t="e">
        <f>Asia!E620+"n/&gt;!4@u"</f>
        <v>#VALUE!</v>
      </c>
      <c r="AS411" t="e">
        <f>Asia!F620+"n/&gt;!4@v"</f>
        <v>#VALUE!</v>
      </c>
      <c r="AT411" t="e">
        <f>Asia!G620+"n/&gt;!4@w"</f>
        <v>#VALUE!</v>
      </c>
      <c r="AU411" t="e">
        <f>Asia!H620+"n/&gt;!4@x"</f>
        <v>#VALUE!</v>
      </c>
      <c r="AV411" t="e">
        <f>Asia!I620+"n/&gt;!4@y"</f>
        <v>#VALUE!</v>
      </c>
      <c r="AW411" t="e">
        <f>Asia!A621+"n/&gt;!4@z"</f>
        <v>#VALUE!</v>
      </c>
      <c r="AX411" t="e">
        <f>Asia!B621+"n/&gt;!4@{"</f>
        <v>#VALUE!</v>
      </c>
      <c r="AY411" t="e">
        <f>Asia!C621+"n/&gt;!4@|"</f>
        <v>#VALUE!</v>
      </c>
      <c r="AZ411" t="e">
        <f>Asia!D621+"n/&gt;!4@}"</f>
        <v>#VALUE!</v>
      </c>
      <c r="BA411" t="e">
        <f>Asia!E621+"n/&gt;!4@~"</f>
        <v>#VALUE!</v>
      </c>
      <c r="BB411" t="e">
        <f>Asia!F621+"n/&gt;!4A#"</f>
        <v>#VALUE!</v>
      </c>
      <c r="BC411" t="e">
        <f>Asia!G621+"n/&gt;!4A$"</f>
        <v>#VALUE!</v>
      </c>
      <c r="BD411" t="e">
        <f>Asia!H621+"n/&gt;!4A%"</f>
        <v>#VALUE!</v>
      </c>
      <c r="BE411" t="e">
        <f>Asia!I621+"n/&gt;!4A&amp;"</f>
        <v>#VALUE!</v>
      </c>
      <c r="BF411" t="e">
        <f>Asia!A622+"n/&gt;!4A'"</f>
        <v>#VALUE!</v>
      </c>
      <c r="BG411" t="e">
        <f>Asia!B622+"n/&gt;!4A("</f>
        <v>#VALUE!</v>
      </c>
      <c r="BH411" t="e">
        <f>Asia!C622+"n/&gt;!4A)"</f>
        <v>#VALUE!</v>
      </c>
      <c r="BI411" t="e">
        <f>Asia!D622+"n/&gt;!4A."</f>
        <v>#VALUE!</v>
      </c>
      <c r="BJ411" t="e">
        <f>Asia!E622+"n/&gt;!4A/"</f>
        <v>#VALUE!</v>
      </c>
      <c r="BK411" t="e">
        <f>Asia!F622+"n/&gt;!4A0"</f>
        <v>#VALUE!</v>
      </c>
      <c r="BL411" t="e">
        <f>Asia!G622+"n/&gt;!4A1"</f>
        <v>#VALUE!</v>
      </c>
      <c r="BM411" t="e">
        <f>Asia!H622+"n/&gt;!4A2"</f>
        <v>#VALUE!</v>
      </c>
      <c r="BN411" t="e">
        <f>Asia!I622+"n/&gt;!4A3"</f>
        <v>#VALUE!</v>
      </c>
      <c r="BO411" t="e">
        <f>Asia!A623+"n/&gt;!4A4"</f>
        <v>#VALUE!</v>
      </c>
      <c r="BP411" t="e">
        <f>Asia!B623+"n/&gt;!4A5"</f>
        <v>#VALUE!</v>
      </c>
      <c r="BQ411" t="e">
        <f>Asia!C623+"n/&gt;!4A6"</f>
        <v>#VALUE!</v>
      </c>
      <c r="BR411" t="e">
        <f>Asia!D623+"n/&gt;!4A7"</f>
        <v>#VALUE!</v>
      </c>
      <c r="BS411" t="e">
        <f>Asia!E623+"n/&gt;!4A8"</f>
        <v>#VALUE!</v>
      </c>
      <c r="BT411" t="e">
        <f>Asia!F623+"n/&gt;!4A9"</f>
        <v>#VALUE!</v>
      </c>
      <c r="BU411" t="e">
        <f>Asia!G623+"n/&gt;!4A:"</f>
        <v>#VALUE!</v>
      </c>
      <c r="BV411" t="e">
        <f>Asia!H623+"n/&gt;!4A;"</f>
        <v>#VALUE!</v>
      </c>
      <c r="BW411" t="e">
        <f>Asia!I623+"n/&gt;!4A&lt;"</f>
        <v>#VALUE!</v>
      </c>
      <c r="BX411" t="e">
        <f>Asia!A624+"n/&gt;!4A="</f>
        <v>#VALUE!</v>
      </c>
      <c r="BY411" t="e">
        <f>Asia!B624+"n/&gt;!4A&gt;"</f>
        <v>#VALUE!</v>
      </c>
      <c r="BZ411" t="e">
        <f>Asia!C624+"n/&gt;!4A?"</f>
        <v>#VALUE!</v>
      </c>
      <c r="CA411" t="e">
        <f>Asia!D624+"n/&gt;!4A@"</f>
        <v>#VALUE!</v>
      </c>
      <c r="CB411" t="e">
        <f>Asia!E624+"n/&gt;!4AA"</f>
        <v>#VALUE!</v>
      </c>
      <c r="CC411" t="e">
        <f>Asia!F624+"n/&gt;!4AB"</f>
        <v>#VALUE!</v>
      </c>
      <c r="CD411" t="e">
        <f>Asia!G624+"n/&gt;!4AC"</f>
        <v>#VALUE!</v>
      </c>
      <c r="CE411" t="e">
        <f>Asia!H624+"n/&gt;!4AD"</f>
        <v>#VALUE!</v>
      </c>
      <c r="CF411" t="e">
        <f>Asia!I624+"n/&gt;!4AE"</f>
        <v>#VALUE!</v>
      </c>
      <c r="CG411" t="e">
        <f>Asia!A625+"n/&gt;!4AF"</f>
        <v>#VALUE!</v>
      </c>
      <c r="CH411" t="e">
        <f>Asia!B625+"n/&gt;!4AG"</f>
        <v>#VALUE!</v>
      </c>
      <c r="CI411" t="e">
        <f>Asia!C625+"n/&gt;!4AH"</f>
        <v>#VALUE!</v>
      </c>
      <c r="CJ411" t="e">
        <f>Asia!D625+"n/&gt;!4AI"</f>
        <v>#VALUE!</v>
      </c>
      <c r="CK411" t="e">
        <f>Asia!E625+"n/&gt;!4AJ"</f>
        <v>#VALUE!</v>
      </c>
      <c r="CL411" t="e">
        <f>Asia!F625+"n/&gt;!4AK"</f>
        <v>#VALUE!</v>
      </c>
      <c r="CM411" t="e">
        <f>Asia!G625+"n/&gt;!4AL"</f>
        <v>#VALUE!</v>
      </c>
      <c r="CN411" t="e">
        <f>Asia!H625+"n/&gt;!4AM"</f>
        <v>#VALUE!</v>
      </c>
      <c r="CO411" t="e">
        <f>Asia!I625+"n/&gt;!4AN"</f>
        <v>#VALUE!</v>
      </c>
      <c r="CP411" t="e">
        <f>Asia!A626+"n/&gt;!4AO"</f>
        <v>#VALUE!</v>
      </c>
      <c r="CQ411" t="e">
        <f>Asia!B626+"n/&gt;!4AP"</f>
        <v>#VALUE!</v>
      </c>
      <c r="CR411" t="e">
        <f>Asia!C626+"n/&gt;!4AQ"</f>
        <v>#VALUE!</v>
      </c>
      <c r="CS411" t="e">
        <f>Asia!D626+"n/&gt;!4AR"</f>
        <v>#VALUE!</v>
      </c>
      <c r="CT411" t="e">
        <f>Asia!E626+"n/&gt;!4AS"</f>
        <v>#VALUE!</v>
      </c>
      <c r="CU411" t="e">
        <f>Asia!F626+"n/&gt;!4AT"</f>
        <v>#VALUE!</v>
      </c>
      <c r="CV411" t="e">
        <f>Asia!G626+"n/&gt;!4AU"</f>
        <v>#VALUE!</v>
      </c>
      <c r="CW411" t="e">
        <f>Asia!H626+"n/&gt;!4AV"</f>
        <v>#VALUE!</v>
      </c>
      <c r="CX411" t="e">
        <f>Asia!I626+"n/&gt;!4AW"</f>
        <v>#VALUE!</v>
      </c>
      <c r="CY411" t="e">
        <f>Asia!A627+"n/&gt;!4AX"</f>
        <v>#VALUE!</v>
      </c>
      <c r="CZ411" t="e">
        <f>Asia!B627+"n/&gt;!4AY"</f>
        <v>#VALUE!</v>
      </c>
      <c r="DA411" t="e">
        <f>Asia!C627+"n/&gt;!4AZ"</f>
        <v>#VALUE!</v>
      </c>
      <c r="DB411" t="e">
        <f>Asia!D627+"n/&gt;!4A["</f>
        <v>#VALUE!</v>
      </c>
      <c r="DC411" t="e">
        <f>Asia!E627+"n/&gt;!4A\"</f>
        <v>#VALUE!</v>
      </c>
      <c r="DD411" t="e">
        <f>Asia!F627+"n/&gt;!4A]"</f>
        <v>#VALUE!</v>
      </c>
      <c r="DE411" t="e">
        <f>Asia!G627+"n/&gt;!4A^"</f>
        <v>#VALUE!</v>
      </c>
      <c r="DF411" t="e">
        <f>Asia!H627+"n/&gt;!4A_"</f>
        <v>#VALUE!</v>
      </c>
      <c r="DG411" t="e">
        <f>Asia!I627+"n/&gt;!4A`"</f>
        <v>#VALUE!</v>
      </c>
      <c r="DH411" t="e">
        <f>Asia!A628+"n/&gt;!4Aa"</f>
        <v>#VALUE!</v>
      </c>
      <c r="DI411" t="e">
        <f>Asia!B628+"n/&gt;!4Ab"</f>
        <v>#VALUE!</v>
      </c>
      <c r="DJ411" t="e">
        <f>Asia!C628+"n/&gt;!4Ac"</f>
        <v>#VALUE!</v>
      </c>
      <c r="DK411" t="e">
        <f>Asia!D628+"n/&gt;!4Ad"</f>
        <v>#VALUE!</v>
      </c>
      <c r="DL411" t="e">
        <f>Asia!E628+"n/&gt;!4Ae"</f>
        <v>#VALUE!</v>
      </c>
      <c r="DM411" t="e">
        <f>Asia!F628+"n/&gt;!4Af"</f>
        <v>#VALUE!</v>
      </c>
      <c r="DN411" t="e">
        <f>Asia!G628+"n/&gt;!4Ag"</f>
        <v>#VALUE!</v>
      </c>
      <c r="DO411" t="e">
        <f>Asia!H628+"n/&gt;!4Ah"</f>
        <v>#VALUE!</v>
      </c>
      <c r="DP411" t="e">
        <f>Asia!I628+"n/&gt;!4Ai"</f>
        <v>#VALUE!</v>
      </c>
      <c r="DQ411" t="e">
        <f>Asia!A629+"n/&gt;!4Aj"</f>
        <v>#VALUE!</v>
      </c>
      <c r="DR411" t="e">
        <f>Asia!B629+"n/&gt;!4Ak"</f>
        <v>#VALUE!</v>
      </c>
      <c r="DS411" t="e">
        <f>Asia!C629+"n/&gt;!4Al"</f>
        <v>#VALUE!</v>
      </c>
      <c r="DT411" t="e">
        <f>Asia!D629+"n/&gt;!4Am"</f>
        <v>#VALUE!</v>
      </c>
      <c r="DU411" t="e">
        <f>Asia!E629+"n/&gt;!4An"</f>
        <v>#VALUE!</v>
      </c>
      <c r="DV411" t="e">
        <f>Asia!F629+"n/&gt;!4Ao"</f>
        <v>#VALUE!</v>
      </c>
      <c r="DW411" t="e">
        <f>Asia!G629+"n/&gt;!4Ap"</f>
        <v>#VALUE!</v>
      </c>
      <c r="DX411" t="e">
        <f>Asia!H629+"n/&gt;!4Aq"</f>
        <v>#VALUE!</v>
      </c>
      <c r="DY411" t="e">
        <f>Asia!I629+"n/&gt;!4Ar"</f>
        <v>#VALUE!</v>
      </c>
      <c r="DZ411" t="e">
        <f>Asia!A630+"n/&gt;!4As"</f>
        <v>#VALUE!</v>
      </c>
      <c r="EA411" t="e">
        <f>Asia!B630+"n/&gt;!4At"</f>
        <v>#VALUE!</v>
      </c>
      <c r="EB411" t="e">
        <f>Asia!C630+"n/&gt;!4Au"</f>
        <v>#VALUE!</v>
      </c>
      <c r="EC411" t="e">
        <f>Asia!D630+"n/&gt;!4Av"</f>
        <v>#VALUE!</v>
      </c>
      <c r="ED411" t="e">
        <f>Asia!E630+"n/&gt;!4Aw"</f>
        <v>#VALUE!</v>
      </c>
      <c r="EE411" t="e">
        <f>Asia!F630+"n/&gt;!4Ax"</f>
        <v>#VALUE!</v>
      </c>
      <c r="EF411" t="e">
        <f>Asia!G630+"n/&gt;!4Ay"</f>
        <v>#VALUE!</v>
      </c>
      <c r="EG411" t="e">
        <f>Asia!H630+"n/&gt;!4Az"</f>
        <v>#VALUE!</v>
      </c>
      <c r="EH411" t="e">
        <f>Asia!I630+"n/&gt;!4A{"</f>
        <v>#VALUE!</v>
      </c>
      <c r="EI411" t="e">
        <f>Asia!A631+"n/&gt;!4A|"</f>
        <v>#VALUE!</v>
      </c>
      <c r="EJ411" t="e">
        <f>Asia!B631+"n/&gt;!4A}"</f>
        <v>#VALUE!</v>
      </c>
      <c r="EK411" t="e">
        <f>Asia!C631+"n/&gt;!4A~"</f>
        <v>#VALUE!</v>
      </c>
      <c r="EL411" t="e">
        <f>Asia!D631+"n/&gt;!4B#"</f>
        <v>#VALUE!</v>
      </c>
      <c r="EM411" t="e">
        <f>Asia!E631+"n/&gt;!4B$"</f>
        <v>#VALUE!</v>
      </c>
      <c r="EN411" t="e">
        <f>Asia!F631+"n/&gt;!4B%"</f>
        <v>#VALUE!</v>
      </c>
      <c r="EO411" t="e">
        <f>Asia!G631+"n/&gt;!4B&amp;"</f>
        <v>#VALUE!</v>
      </c>
      <c r="EP411" t="e">
        <f>Asia!H631+"n/&gt;!4B'"</f>
        <v>#VALUE!</v>
      </c>
      <c r="EQ411" t="e">
        <f>Asia!I631+"n/&gt;!4B("</f>
        <v>#VALUE!</v>
      </c>
      <c r="ER411" t="e">
        <f>Asia!A632+"n/&gt;!4B)"</f>
        <v>#VALUE!</v>
      </c>
      <c r="ES411" t="e">
        <f>Asia!B632+"n/&gt;!4B."</f>
        <v>#VALUE!</v>
      </c>
      <c r="ET411" t="e">
        <f>Asia!C632+"n/&gt;!4B/"</f>
        <v>#VALUE!</v>
      </c>
      <c r="EU411" t="e">
        <f>Asia!D632+"n/&gt;!4B0"</f>
        <v>#VALUE!</v>
      </c>
      <c r="EV411" t="e">
        <f>Asia!E632+"n/&gt;!4B1"</f>
        <v>#VALUE!</v>
      </c>
      <c r="EW411" t="e">
        <f>Asia!F632+"n/&gt;!4B2"</f>
        <v>#VALUE!</v>
      </c>
      <c r="EX411" t="e">
        <f>Asia!G632+"n/&gt;!4B3"</f>
        <v>#VALUE!</v>
      </c>
      <c r="EY411" t="e">
        <f>Asia!H632+"n/&gt;!4B4"</f>
        <v>#VALUE!</v>
      </c>
      <c r="EZ411" t="e">
        <f>Asia!I632+"n/&gt;!4B5"</f>
        <v>#VALUE!</v>
      </c>
      <c r="FA411" t="e">
        <f>Asia!A633+"n/&gt;!4B6"</f>
        <v>#VALUE!</v>
      </c>
      <c r="FB411" t="e">
        <f>Asia!B633+"n/&gt;!4B7"</f>
        <v>#VALUE!</v>
      </c>
      <c r="FC411" t="e">
        <f>Asia!C633+"n/&gt;!4B8"</f>
        <v>#VALUE!</v>
      </c>
      <c r="FD411" t="e">
        <f>Asia!D633+"n/&gt;!4B9"</f>
        <v>#VALUE!</v>
      </c>
      <c r="FE411" t="e">
        <f>Asia!E633+"n/&gt;!4B:"</f>
        <v>#VALUE!</v>
      </c>
      <c r="FF411" t="e">
        <f>Asia!F633+"n/&gt;!4B;"</f>
        <v>#VALUE!</v>
      </c>
      <c r="FG411" t="e">
        <f>Asia!G633+"n/&gt;!4B&lt;"</f>
        <v>#VALUE!</v>
      </c>
      <c r="FH411" t="e">
        <f>Asia!H633+"n/&gt;!4B="</f>
        <v>#VALUE!</v>
      </c>
      <c r="FI411" t="e">
        <f>Asia!I633+"n/&gt;!4B&gt;"</f>
        <v>#VALUE!</v>
      </c>
      <c r="FJ411" t="e">
        <f>Asia!A634+"n/&gt;!4B?"</f>
        <v>#VALUE!</v>
      </c>
      <c r="FK411" t="e">
        <f>Asia!B634+"n/&gt;!4B@"</f>
        <v>#VALUE!</v>
      </c>
      <c r="FL411" t="e">
        <f>Asia!C634+"n/&gt;!4BA"</f>
        <v>#VALUE!</v>
      </c>
      <c r="FM411" t="e">
        <f>Asia!D634+"n/&gt;!4BB"</f>
        <v>#VALUE!</v>
      </c>
      <c r="FN411" t="e">
        <f>Asia!E634+"n/&gt;!4BC"</f>
        <v>#VALUE!</v>
      </c>
      <c r="FO411" t="e">
        <f>Asia!F634+"n/&gt;!4BD"</f>
        <v>#VALUE!</v>
      </c>
      <c r="FP411" t="e">
        <f>Asia!G634+"n/&gt;!4BE"</f>
        <v>#VALUE!</v>
      </c>
      <c r="FQ411" t="e">
        <f>Asia!H634+"n/&gt;!4BF"</f>
        <v>#VALUE!</v>
      </c>
      <c r="FR411" t="e">
        <f>Asia!I634+"n/&gt;!4BG"</f>
        <v>#VALUE!</v>
      </c>
      <c r="FS411" t="e">
        <f>Asia!A635+"n/&gt;!4BH"</f>
        <v>#VALUE!</v>
      </c>
      <c r="FT411" t="e">
        <f>Asia!B635+"n/&gt;!4BI"</f>
        <v>#VALUE!</v>
      </c>
      <c r="FU411" t="e">
        <f>Asia!C635+"n/&gt;!4BJ"</f>
        <v>#VALUE!</v>
      </c>
      <c r="FV411" t="e">
        <f>Asia!D635+"n/&gt;!4BK"</f>
        <v>#VALUE!</v>
      </c>
      <c r="FW411" t="e">
        <f>Asia!E635+"n/&gt;!4BL"</f>
        <v>#VALUE!</v>
      </c>
      <c r="FX411" t="e">
        <f>Asia!F635+"n/&gt;!4BM"</f>
        <v>#VALUE!</v>
      </c>
      <c r="FY411" t="e">
        <f>Asia!G635+"n/&gt;!4BN"</f>
        <v>#VALUE!</v>
      </c>
      <c r="FZ411" t="e">
        <f>Asia!H635+"n/&gt;!4BO"</f>
        <v>#VALUE!</v>
      </c>
      <c r="GA411" t="e">
        <f>Asia!I635+"n/&gt;!4BP"</f>
        <v>#VALUE!</v>
      </c>
      <c r="GB411" t="e">
        <f>Asia!A636+"n/&gt;!4BQ"</f>
        <v>#VALUE!</v>
      </c>
      <c r="GC411" t="e">
        <f>Asia!B636+"n/&gt;!4BR"</f>
        <v>#VALUE!</v>
      </c>
      <c r="GD411" t="e">
        <f>Asia!C636+"n/&gt;!4BS"</f>
        <v>#VALUE!</v>
      </c>
      <c r="GE411" t="e">
        <f>Asia!D636+"n/&gt;!4BT"</f>
        <v>#VALUE!</v>
      </c>
      <c r="GF411" t="e">
        <f>Asia!E636+"n/&gt;!4BU"</f>
        <v>#VALUE!</v>
      </c>
      <c r="GG411" t="e">
        <f>Asia!F636+"n/&gt;!4BV"</f>
        <v>#VALUE!</v>
      </c>
      <c r="GH411" t="e">
        <f>Asia!G636+"n/&gt;!4BW"</f>
        <v>#VALUE!</v>
      </c>
      <c r="GI411" t="e">
        <f>Asia!H636+"n/&gt;!4BX"</f>
        <v>#VALUE!</v>
      </c>
      <c r="GJ411" t="e">
        <f>Asia!I636+"n/&gt;!4BY"</f>
        <v>#VALUE!</v>
      </c>
      <c r="GK411" t="e">
        <f>Asia!A637+"n/&gt;!4BZ"</f>
        <v>#VALUE!</v>
      </c>
      <c r="GL411" t="e">
        <f>Asia!B637+"n/&gt;!4B["</f>
        <v>#VALUE!</v>
      </c>
      <c r="GM411" t="e">
        <f>Asia!C637+"n/&gt;!4B\"</f>
        <v>#VALUE!</v>
      </c>
      <c r="GN411" t="e">
        <f>Asia!D637+"n/&gt;!4B]"</f>
        <v>#VALUE!</v>
      </c>
      <c r="GO411" t="e">
        <f>Asia!E637+"n/&gt;!4B^"</f>
        <v>#VALUE!</v>
      </c>
      <c r="GP411" t="e">
        <f>Asia!F637+"n/&gt;!4B_"</f>
        <v>#VALUE!</v>
      </c>
      <c r="GQ411" t="e">
        <f>Asia!G637+"n/&gt;!4B`"</f>
        <v>#VALUE!</v>
      </c>
      <c r="GR411" t="e">
        <f>Asia!H637+"n/&gt;!4Ba"</f>
        <v>#VALUE!</v>
      </c>
      <c r="GS411" t="e">
        <f>Asia!I637+"n/&gt;!4Bb"</f>
        <v>#VALUE!</v>
      </c>
      <c r="GT411" t="e">
        <f>Asia!A638+"n/&gt;!4Bc"</f>
        <v>#VALUE!</v>
      </c>
      <c r="GU411" t="e">
        <f>Asia!B638+"n/&gt;!4Bd"</f>
        <v>#VALUE!</v>
      </c>
      <c r="GV411" t="e">
        <f>Asia!C638+"n/&gt;!4Be"</f>
        <v>#VALUE!</v>
      </c>
      <c r="GW411" t="e">
        <f>Asia!D638+"n/&gt;!4Bf"</f>
        <v>#VALUE!</v>
      </c>
      <c r="GX411" t="e">
        <f>Asia!E638+"n/&gt;!4Bg"</f>
        <v>#VALUE!</v>
      </c>
      <c r="GY411" t="e">
        <f>Asia!F638+"n/&gt;!4Bh"</f>
        <v>#VALUE!</v>
      </c>
      <c r="GZ411" t="e">
        <f>Asia!G638+"n/&gt;!4Bi"</f>
        <v>#VALUE!</v>
      </c>
      <c r="HA411" t="e">
        <f>Asia!H638+"n/&gt;!4Bj"</f>
        <v>#VALUE!</v>
      </c>
      <c r="HB411" t="e">
        <f>Asia!I638+"n/&gt;!4Bk"</f>
        <v>#VALUE!</v>
      </c>
      <c r="HC411" t="e">
        <f>Asia!A639+"n/&gt;!4Bl"</f>
        <v>#VALUE!</v>
      </c>
      <c r="HD411" t="e">
        <f>Asia!B639+"n/&gt;!4Bm"</f>
        <v>#VALUE!</v>
      </c>
      <c r="HE411" t="e">
        <f>Asia!C639+"n/&gt;!4Bn"</f>
        <v>#VALUE!</v>
      </c>
      <c r="HF411" t="e">
        <f>Asia!D639+"n/&gt;!4Bo"</f>
        <v>#VALUE!</v>
      </c>
      <c r="HG411" t="e">
        <f>Asia!E639+"n/&gt;!4Bp"</f>
        <v>#VALUE!</v>
      </c>
      <c r="HH411" t="e">
        <f>Asia!F639+"n/&gt;!4Bq"</f>
        <v>#VALUE!</v>
      </c>
      <c r="HI411" t="e">
        <f>Asia!G639+"n/&gt;!4Br"</f>
        <v>#VALUE!</v>
      </c>
      <c r="HJ411" t="e">
        <f>Asia!H639+"n/&gt;!4Bs"</f>
        <v>#VALUE!</v>
      </c>
      <c r="HK411" t="e">
        <f>Asia!I639+"n/&gt;!4Bt"</f>
        <v>#VALUE!</v>
      </c>
      <c r="HL411" t="e">
        <f>Asia!A640+"n/&gt;!4Bu"</f>
        <v>#VALUE!</v>
      </c>
      <c r="HM411" t="e">
        <f>Asia!B640+"n/&gt;!4Bv"</f>
        <v>#VALUE!</v>
      </c>
      <c r="HN411" t="e">
        <f>Asia!C640+"n/&gt;!4Bw"</f>
        <v>#VALUE!</v>
      </c>
      <c r="HO411" t="e">
        <f>Asia!D640+"n/&gt;!4Bx"</f>
        <v>#VALUE!</v>
      </c>
      <c r="HP411" t="e">
        <f>Asia!E640+"n/&gt;!4By"</f>
        <v>#VALUE!</v>
      </c>
      <c r="HQ411" t="e">
        <f>Asia!F640+"n/&gt;!4Bz"</f>
        <v>#VALUE!</v>
      </c>
      <c r="HR411" t="e">
        <f>Asia!G640+"n/&gt;!4B{"</f>
        <v>#VALUE!</v>
      </c>
      <c r="HS411" t="e">
        <f>Asia!H640+"n/&gt;!4B|"</f>
        <v>#VALUE!</v>
      </c>
      <c r="HT411" t="e">
        <f>Asia!I640+"n/&gt;!4B}"</f>
        <v>#VALUE!</v>
      </c>
      <c r="HU411" t="e">
        <f>Asia!A641+"n/&gt;!4B~"</f>
        <v>#VALUE!</v>
      </c>
      <c r="HV411" t="e">
        <f>Asia!B641+"n/&gt;!4C#"</f>
        <v>#VALUE!</v>
      </c>
      <c r="HW411" t="e">
        <f>Asia!C641+"n/&gt;!4C$"</f>
        <v>#VALUE!</v>
      </c>
      <c r="HX411" t="e">
        <f>Asia!D641+"n/&gt;!4C%"</f>
        <v>#VALUE!</v>
      </c>
      <c r="HY411" t="e">
        <f>Asia!E641+"n/&gt;!4C&amp;"</f>
        <v>#VALUE!</v>
      </c>
      <c r="HZ411" t="e">
        <f>Asia!F641+"n/&gt;!4C'"</f>
        <v>#VALUE!</v>
      </c>
      <c r="IA411" t="e">
        <f>Asia!G641+"n/&gt;!4C("</f>
        <v>#VALUE!</v>
      </c>
      <c r="IB411" t="e">
        <f>Asia!H641+"n/&gt;!4C)"</f>
        <v>#VALUE!</v>
      </c>
      <c r="IC411" t="e">
        <f>Asia!I641+"n/&gt;!4C."</f>
        <v>#VALUE!</v>
      </c>
      <c r="ID411" t="e">
        <f>Asia!A642+"n/&gt;!4C/"</f>
        <v>#VALUE!</v>
      </c>
      <c r="IE411" t="e">
        <f>Asia!B642+"n/&gt;!4C0"</f>
        <v>#VALUE!</v>
      </c>
      <c r="IF411" t="e">
        <f>Asia!C642+"n/&gt;!4C1"</f>
        <v>#VALUE!</v>
      </c>
      <c r="IG411" t="e">
        <f>Asia!D642+"n/&gt;!4C2"</f>
        <v>#VALUE!</v>
      </c>
      <c r="IH411" t="e">
        <f>Asia!E642+"n/&gt;!4C3"</f>
        <v>#VALUE!</v>
      </c>
      <c r="II411" t="e">
        <f>Asia!F642+"n/&gt;!4C4"</f>
        <v>#VALUE!</v>
      </c>
      <c r="IJ411" t="e">
        <f>Asia!G642+"n/&gt;!4C5"</f>
        <v>#VALUE!</v>
      </c>
      <c r="IK411" t="e">
        <f>Asia!H642+"n/&gt;!4C6"</f>
        <v>#VALUE!</v>
      </c>
      <c r="IL411" t="e">
        <f>Asia!I642+"n/&gt;!4C7"</f>
        <v>#VALUE!</v>
      </c>
      <c r="IM411" t="e">
        <f>Asia!A643+"n/&gt;!4C8"</f>
        <v>#VALUE!</v>
      </c>
      <c r="IN411" t="e">
        <f>Asia!B643+"n/&gt;!4C9"</f>
        <v>#VALUE!</v>
      </c>
      <c r="IO411" t="e">
        <f>Asia!C643+"n/&gt;!4C:"</f>
        <v>#VALUE!</v>
      </c>
      <c r="IP411" t="e">
        <f>Asia!D643+"n/&gt;!4C;"</f>
        <v>#VALUE!</v>
      </c>
      <c r="IQ411" t="e">
        <f>Asia!E643+"n/&gt;!4C&lt;"</f>
        <v>#VALUE!</v>
      </c>
      <c r="IR411" t="e">
        <f>Asia!F643+"n/&gt;!4C="</f>
        <v>#VALUE!</v>
      </c>
      <c r="IS411" t="e">
        <f>Asia!G643+"n/&gt;!4C&gt;"</f>
        <v>#VALUE!</v>
      </c>
      <c r="IT411" t="e">
        <f>Asia!H643+"n/&gt;!4C?"</f>
        <v>#VALUE!</v>
      </c>
      <c r="IU411" t="e">
        <f>Asia!I643+"n/&gt;!4C@"</f>
        <v>#VALUE!</v>
      </c>
      <c r="IV411" t="e">
        <f>Asia!A644+"n/&gt;!4CA"</f>
        <v>#VALUE!</v>
      </c>
    </row>
    <row r="412" spans="6:256" x14ac:dyDescent="0.35">
      <c r="F412" t="e">
        <f>Asia!B644+"n/&gt;!4CB"</f>
        <v>#VALUE!</v>
      </c>
      <c r="G412" t="e">
        <f>Asia!C644+"n/&gt;!4CC"</f>
        <v>#VALUE!</v>
      </c>
      <c r="H412" t="e">
        <f>Asia!D644+"n/&gt;!4CD"</f>
        <v>#VALUE!</v>
      </c>
      <c r="I412" t="e">
        <f>Asia!E644+"n/&gt;!4CE"</f>
        <v>#VALUE!</v>
      </c>
      <c r="J412" t="e">
        <f>Asia!F644+"n/&gt;!4CF"</f>
        <v>#VALUE!</v>
      </c>
      <c r="K412" t="e">
        <f>Asia!G644+"n/&gt;!4CG"</f>
        <v>#VALUE!</v>
      </c>
      <c r="L412" t="e">
        <f>Asia!H644+"n/&gt;!4CH"</f>
        <v>#VALUE!</v>
      </c>
      <c r="M412" t="e">
        <f>Asia!I644+"n/&gt;!4CI"</f>
        <v>#VALUE!</v>
      </c>
      <c r="N412" t="e">
        <f>Asia!A645+"n/&gt;!4CJ"</f>
        <v>#VALUE!</v>
      </c>
      <c r="O412" t="e">
        <f>Asia!B645+"n/&gt;!4CK"</f>
        <v>#VALUE!</v>
      </c>
      <c r="P412" t="e">
        <f>Asia!C645+"n/&gt;!4CL"</f>
        <v>#VALUE!</v>
      </c>
      <c r="Q412" t="e">
        <f>Asia!D645+"n/&gt;!4CM"</f>
        <v>#VALUE!</v>
      </c>
      <c r="R412" t="e">
        <f>Asia!E645+"n/&gt;!4CN"</f>
        <v>#VALUE!</v>
      </c>
      <c r="S412" t="e">
        <f>Asia!F645+"n/&gt;!4CO"</f>
        <v>#VALUE!</v>
      </c>
      <c r="T412" t="e">
        <f>Asia!G645+"n/&gt;!4CP"</f>
        <v>#VALUE!</v>
      </c>
      <c r="U412" t="e">
        <f>Asia!H645+"n/&gt;!4CQ"</f>
        <v>#VALUE!</v>
      </c>
      <c r="V412" t="e">
        <f>Asia!I645+"n/&gt;!4CR"</f>
        <v>#VALUE!</v>
      </c>
      <c r="W412" t="e">
        <f>Asia!A646+"n/&gt;!4CS"</f>
        <v>#VALUE!</v>
      </c>
      <c r="X412" t="e">
        <f>Asia!B646+"n/&gt;!4CT"</f>
        <v>#VALUE!</v>
      </c>
      <c r="Y412" t="e">
        <f>Asia!C646+"n/&gt;!4CU"</f>
        <v>#VALUE!</v>
      </c>
      <c r="Z412" t="e">
        <f>Asia!D646+"n/&gt;!4CV"</f>
        <v>#VALUE!</v>
      </c>
      <c r="AA412" t="e">
        <f>Asia!E646+"n/&gt;!4CW"</f>
        <v>#VALUE!</v>
      </c>
      <c r="AB412" t="e">
        <f>Asia!F646+"n/&gt;!4CX"</f>
        <v>#VALUE!</v>
      </c>
      <c r="AC412" t="e">
        <f>Asia!G646+"n/&gt;!4CY"</f>
        <v>#VALUE!</v>
      </c>
      <c r="AD412" t="e">
        <f>Asia!H646+"n/&gt;!4CZ"</f>
        <v>#VALUE!</v>
      </c>
      <c r="AE412" t="e">
        <f>Asia!I646+"n/&gt;!4C["</f>
        <v>#VALUE!</v>
      </c>
      <c r="AF412" t="e">
        <f>Asia!A647+"n/&gt;!4C\"</f>
        <v>#VALUE!</v>
      </c>
      <c r="AG412" t="e">
        <f>Asia!B647+"n/&gt;!4C]"</f>
        <v>#VALUE!</v>
      </c>
      <c r="AH412" t="e">
        <f>Asia!C647+"n/&gt;!4C^"</f>
        <v>#VALUE!</v>
      </c>
      <c r="AI412" t="e">
        <f>Asia!D647+"n/&gt;!4C_"</f>
        <v>#VALUE!</v>
      </c>
      <c r="AJ412" t="e">
        <f>Asia!E647+"n/&gt;!4C`"</f>
        <v>#VALUE!</v>
      </c>
      <c r="AK412" t="e">
        <f>Asia!F647+"n/&gt;!4Ca"</f>
        <v>#VALUE!</v>
      </c>
      <c r="AL412" t="e">
        <f>Asia!G647+"n/&gt;!4Cb"</f>
        <v>#VALUE!</v>
      </c>
      <c r="AM412" t="e">
        <f>Asia!H647+"n/&gt;!4Cc"</f>
        <v>#VALUE!</v>
      </c>
      <c r="AN412" t="e">
        <f>Asia!I647+"n/&gt;!4Cd"</f>
        <v>#VALUE!</v>
      </c>
      <c r="AO412" t="e">
        <f>Asia!A648+"n/&gt;!4Ce"</f>
        <v>#VALUE!</v>
      </c>
      <c r="AP412" t="e">
        <f>Asia!B648+"n/&gt;!4Cf"</f>
        <v>#VALUE!</v>
      </c>
      <c r="AQ412" t="e">
        <f>Asia!C648+"n/&gt;!4Cg"</f>
        <v>#VALUE!</v>
      </c>
      <c r="AR412" t="e">
        <f>Asia!D648+"n/&gt;!4Ch"</f>
        <v>#VALUE!</v>
      </c>
      <c r="AS412" t="e">
        <f>Asia!E648+"n/&gt;!4Ci"</f>
        <v>#VALUE!</v>
      </c>
      <c r="AT412" t="e">
        <f>Asia!F648+"n/&gt;!4Cj"</f>
        <v>#VALUE!</v>
      </c>
      <c r="AU412" t="e">
        <f>Asia!G648+"n/&gt;!4Ck"</f>
        <v>#VALUE!</v>
      </c>
      <c r="AV412" t="e">
        <f>Asia!H648+"n/&gt;!4Cl"</f>
        <v>#VALUE!</v>
      </c>
      <c r="AW412" t="e">
        <f>Asia!I648+"n/&gt;!4Cm"</f>
        <v>#VALUE!</v>
      </c>
      <c r="AX412" t="e">
        <f>Asia!A649+"n/&gt;!4Cn"</f>
        <v>#VALUE!</v>
      </c>
      <c r="AY412" t="e">
        <f>Asia!B649+"n/&gt;!4Co"</f>
        <v>#VALUE!</v>
      </c>
      <c r="AZ412" t="e">
        <f>Asia!C649+"n/&gt;!4Cp"</f>
        <v>#VALUE!</v>
      </c>
      <c r="BA412" t="e">
        <f>Asia!D649+"n/&gt;!4Cq"</f>
        <v>#VALUE!</v>
      </c>
      <c r="BB412" t="e">
        <f>Asia!E649+"n/&gt;!4Cr"</f>
        <v>#VALUE!</v>
      </c>
      <c r="BC412" t="e">
        <f>Asia!F649+"n/&gt;!4Cs"</f>
        <v>#VALUE!</v>
      </c>
      <c r="BD412" t="e">
        <f>Asia!G649+"n/&gt;!4Ct"</f>
        <v>#VALUE!</v>
      </c>
      <c r="BE412" t="e">
        <f>Asia!H649+"n/&gt;!4Cu"</f>
        <v>#VALUE!</v>
      </c>
      <c r="BF412" t="e">
        <f>Asia!I649+"n/&gt;!4Cv"</f>
        <v>#VALUE!</v>
      </c>
      <c r="BG412" t="e">
        <f>Asia!A650+"n/&gt;!4Cw"</f>
        <v>#VALUE!</v>
      </c>
      <c r="BH412" t="e">
        <f>Asia!B650+"n/&gt;!4Cx"</f>
        <v>#VALUE!</v>
      </c>
      <c r="BI412" t="e">
        <f>Asia!C650+"n/&gt;!4Cy"</f>
        <v>#VALUE!</v>
      </c>
      <c r="BJ412" t="e">
        <f>Asia!D650+"n/&gt;!4Cz"</f>
        <v>#VALUE!</v>
      </c>
      <c r="BK412" t="e">
        <f>Asia!E650+"n/&gt;!4C{"</f>
        <v>#VALUE!</v>
      </c>
      <c r="BL412" t="e">
        <f>Asia!F650+"n/&gt;!4C|"</f>
        <v>#VALUE!</v>
      </c>
      <c r="BM412" t="e">
        <f>Asia!G650+"n/&gt;!4C}"</f>
        <v>#VALUE!</v>
      </c>
      <c r="BN412" t="e">
        <f>Asia!H650+"n/&gt;!4C~"</f>
        <v>#VALUE!</v>
      </c>
      <c r="BO412" t="e">
        <f>Asia!I650+"n/&gt;!4D#"</f>
        <v>#VALUE!</v>
      </c>
      <c r="BP412" t="e">
        <f>Asia!A651+"n/&gt;!4D$"</f>
        <v>#VALUE!</v>
      </c>
      <c r="BQ412" t="e">
        <f>Asia!B651+"n/&gt;!4D%"</f>
        <v>#VALUE!</v>
      </c>
      <c r="BR412" t="e">
        <f>Asia!C651+"n/&gt;!4D&amp;"</f>
        <v>#VALUE!</v>
      </c>
      <c r="BS412" t="e">
        <f>Asia!D651+"n/&gt;!4D'"</f>
        <v>#VALUE!</v>
      </c>
      <c r="BT412" t="e">
        <f>Asia!E651+"n/&gt;!4D("</f>
        <v>#VALUE!</v>
      </c>
      <c r="BU412" t="e">
        <f>Asia!F651+"n/&gt;!4D)"</f>
        <v>#VALUE!</v>
      </c>
      <c r="BV412" t="e">
        <f>Asia!G651+"n/&gt;!4D."</f>
        <v>#VALUE!</v>
      </c>
      <c r="BW412" t="e">
        <f>Asia!H651+"n/&gt;!4D/"</f>
        <v>#VALUE!</v>
      </c>
      <c r="BX412" t="e">
        <f>Asia!I651+"n/&gt;!4D0"</f>
        <v>#VALUE!</v>
      </c>
      <c r="BY412" t="e">
        <f>Asia!A652+"n/&gt;!4D1"</f>
        <v>#VALUE!</v>
      </c>
      <c r="BZ412" t="e">
        <f>Asia!B652+"n/&gt;!4D2"</f>
        <v>#VALUE!</v>
      </c>
      <c r="CA412" t="e">
        <f>Asia!C652+"n/&gt;!4D3"</f>
        <v>#VALUE!</v>
      </c>
      <c r="CB412" t="e">
        <f>Asia!D652+"n/&gt;!4D4"</f>
        <v>#VALUE!</v>
      </c>
      <c r="CC412" t="e">
        <f>Asia!E652+"n/&gt;!4D5"</f>
        <v>#VALUE!</v>
      </c>
      <c r="CD412" t="e">
        <f>Asia!F652+"n/&gt;!4D6"</f>
        <v>#VALUE!</v>
      </c>
      <c r="CE412" t="e">
        <f>Asia!G652+"n/&gt;!4D7"</f>
        <v>#VALUE!</v>
      </c>
      <c r="CF412" t="e">
        <f>Asia!H652+"n/&gt;!4D8"</f>
        <v>#VALUE!</v>
      </c>
      <c r="CG412" t="e">
        <f>Asia!I652+"n/&gt;!4D9"</f>
        <v>#VALUE!</v>
      </c>
      <c r="CH412" t="e">
        <f>Asia!A653+"n/&gt;!4D:"</f>
        <v>#VALUE!</v>
      </c>
      <c r="CI412" t="e">
        <f>Asia!B653+"n/&gt;!4D;"</f>
        <v>#VALUE!</v>
      </c>
      <c r="CJ412" t="e">
        <f>Asia!C653+"n/&gt;!4D&lt;"</f>
        <v>#VALUE!</v>
      </c>
      <c r="CK412" t="e">
        <f>Asia!D653+"n/&gt;!4D="</f>
        <v>#VALUE!</v>
      </c>
      <c r="CL412" t="e">
        <f>Asia!E653+"n/&gt;!4D&gt;"</f>
        <v>#VALUE!</v>
      </c>
      <c r="CM412" t="e">
        <f>Asia!F653+"n/&gt;!4D?"</f>
        <v>#VALUE!</v>
      </c>
      <c r="CN412" t="e">
        <f>Asia!G653+"n/&gt;!4D@"</f>
        <v>#VALUE!</v>
      </c>
      <c r="CO412" t="e">
        <f>Asia!H653+"n/&gt;!4DA"</f>
        <v>#VALUE!</v>
      </c>
      <c r="CP412" t="e">
        <f>Asia!I653+"n/&gt;!4DB"</f>
        <v>#VALUE!</v>
      </c>
      <c r="CQ412" t="e">
        <f>Asia!A654+"n/&gt;!4DC"</f>
        <v>#VALUE!</v>
      </c>
      <c r="CR412" t="e">
        <f>Asia!B654+"n/&gt;!4DD"</f>
        <v>#VALUE!</v>
      </c>
      <c r="CS412" t="e">
        <f>Asia!C654+"n/&gt;!4DE"</f>
        <v>#VALUE!</v>
      </c>
      <c r="CT412" t="e">
        <f>Asia!D654+"n/&gt;!4DF"</f>
        <v>#VALUE!</v>
      </c>
      <c r="CU412" t="e">
        <f>Asia!E654+"n/&gt;!4DG"</f>
        <v>#VALUE!</v>
      </c>
      <c r="CV412" t="e">
        <f>Asia!F654+"n/&gt;!4DH"</f>
        <v>#VALUE!</v>
      </c>
      <c r="CW412" t="e">
        <f>Asia!G654+"n/&gt;!4DI"</f>
        <v>#VALUE!</v>
      </c>
      <c r="CX412" t="e">
        <f>Asia!H654+"n/&gt;!4DJ"</f>
        <v>#VALUE!</v>
      </c>
      <c r="CY412" t="e">
        <f>Asia!I654+"n/&gt;!4DK"</f>
        <v>#VALUE!</v>
      </c>
      <c r="CZ412" t="e">
        <f>Asia!A655+"n/&gt;!4DL"</f>
        <v>#VALUE!</v>
      </c>
      <c r="DA412" t="e">
        <f>Asia!B655+"n/&gt;!4DM"</f>
        <v>#VALUE!</v>
      </c>
      <c r="DB412" t="e">
        <f>Asia!C655+"n/&gt;!4DN"</f>
        <v>#VALUE!</v>
      </c>
      <c r="DC412" t="e">
        <f>Asia!D655+"n/&gt;!4DO"</f>
        <v>#VALUE!</v>
      </c>
      <c r="DD412" t="e">
        <f>Asia!E655+"n/&gt;!4DP"</f>
        <v>#VALUE!</v>
      </c>
      <c r="DE412" t="e">
        <f>Asia!F655+"n/&gt;!4DQ"</f>
        <v>#VALUE!</v>
      </c>
      <c r="DF412" t="e">
        <f>Asia!G655+"n/&gt;!4DR"</f>
        <v>#VALUE!</v>
      </c>
      <c r="DG412" t="e">
        <f>Asia!H655+"n/&gt;!4DS"</f>
        <v>#VALUE!</v>
      </c>
      <c r="DH412" t="e">
        <f>Asia!I655+"n/&gt;!4DT"</f>
        <v>#VALUE!</v>
      </c>
      <c r="DI412" t="e">
        <f>Asia!A656+"n/&gt;!4DU"</f>
        <v>#VALUE!</v>
      </c>
      <c r="DJ412" t="e">
        <f>Asia!B656+"n/&gt;!4DV"</f>
        <v>#VALUE!</v>
      </c>
      <c r="DK412" t="e">
        <f>Asia!C656+"n/&gt;!4DW"</f>
        <v>#VALUE!</v>
      </c>
      <c r="DL412" t="e">
        <f>Asia!D656+"n/&gt;!4DX"</f>
        <v>#VALUE!</v>
      </c>
      <c r="DM412" t="e">
        <f>Asia!E656+"n/&gt;!4DY"</f>
        <v>#VALUE!</v>
      </c>
      <c r="DN412" t="e">
        <f>Asia!F656+"n/&gt;!4DZ"</f>
        <v>#VALUE!</v>
      </c>
      <c r="DO412" t="e">
        <f>Asia!G656+"n/&gt;!4D["</f>
        <v>#VALUE!</v>
      </c>
      <c r="DP412" t="e">
        <f>Asia!H656+"n/&gt;!4D\"</f>
        <v>#VALUE!</v>
      </c>
      <c r="DQ412" t="e">
        <f>Asia!I656+"n/&gt;!4D]"</f>
        <v>#VALUE!</v>
      </c>
      <c r="DR412" t="e">
        <f>Asia!A657+"n/&gt;!4D^"</f>
        <v>#VALUE!</v>
      </c>
      <c r="DS412" t="e">
        <f>Asia!B657+"n/&gt;!4D_"</f>
        <v>#VALUE!</v>
      </c>
      <c r="DT412" t="e">
        <f>Asia!C657+"n/&gt;!4D`"</f>
        <v>#VALUE!</v>
      </c>
      <c r="DU412" t="e">
        <f>Asia!D657+"n/&gt;!4Da"</f>
        <v>#VALUE!</v>
      </c>
      <c r="DV412" t="e">
        <f>Asia!E657+"n/&gt;!4Db"</f>
        <v>#VALUE!</v>
      </c>
      <c r="DW412" t="e">
        <f>Asia!F657+"n/&gt;!4Dc"</f>
        <v>#VALUE!</v>
      </c>
      <c r="DX412" t="e">
        <f>Asia!G657+"n/&gt;!4Dd"</f>
        <v>#VALUE!</v>
      </c>
      <c r="DY412" t="e">
        <f>Asia!H657+"n/&gt;!4De"</f>
        <v>#VALUE!</v>
      </c>
      <c r="DZ412" t="e">
        <f>Asia!I657+"n/&gt;!4Df"</f>
        <v>#VALUE!</v>
      </c>
      <c r="EA412" t="e">
        <f>Asia!A658+"n/&gt;!4Dg"</f>
        <v>#VALUE!</v>
      </c>
      <c r="EB412" t="e">
        <f>Asia!B658+"n/&gt;!4Dh"</f>
        <v>#VALUE!</v>
      </c>
      <c r="EC412" t="e">
        <f>Asia!C658+"n/&gt;!4Di"</f>
        <v>#VALUE!</v>
      </c>
      <c r="ED412" t="e">
        <f>Asia!D658+"n/&gt;!4Dj"</f>
        <v>#VALUE!</v>
      </c>
      <c r="EE412" t="e">
        <f>Asia!E658+"n/&gt;!4Dk"</f>
        <v>#VALUE!</v>
      </c>
      <c r="EF412" t="e">
        <f>Asia!F658+"n/&gt;!4Dl"</f>
        <v>#VALUE!</v>
      </c>
      <c r="EG412" t="e">
        <f>Asia!G658+"n/&gt;!4Dm"</f>
        <v>#VALUE!</v>
      </c>
      <c r="EH412" t="e">
        <f>Asia!H658+"n/&gt;!4Dn"</f>
        <v>#VALUE!</v>
      </c>
      <c r="EI412" t="e">
        <f>Asia!I658+"n/&gt;!4Do"</f>
        <v>#VALUE!</v>
      </c>
      <c r="EJ412" t="e">
        <f>Asia!A659+"n/&gt;!4Dp"</f>
        <v>#VALUE!</v>
      </c>
      <c r="EK412" t="e">
        <f>Asia!B659+"n/&gt;!4Dq"</f>
        <v>#VALUE!</v>
      </c>
      <c r="EL412" t="e">
        <f>Asia!C659+"n/&gt;!4Dr"</f>
        <v>#VALUE!</v>
      </c>
      <c r="EM412" t="e">
        <f>Asia!D659+"n/&gt;!4Ds"</f>
        <v>#VALUE!</v>
      </c>
      <c r="EN412" t="e">
        <f>Asia!E659+"n/&gt;!4Dt"</f>
        <v>#VALUE!</v>
      </c>
      <c r="EO412" t="e">
        <f>Asia!F659+"n/&gt;!4Du"</f>
        <v>#VALUE!</v>
      </c>
      <c r="EP412" t="e">
        <f>Asia!G659+"n/&gt;!4Dv"</f>
        <v>#VALUE!</v>
      </c>
      <c r="EQ412" t="e">
        <f>Asia!H659+"n/&gt;!4Dw"</f>
        <v>#VALUE!</v>
      </c>
      <c r="ER412" t="e">
        <f>Asia!I659+"n/&gt;!4Dx"</f>
        <v>#VALUE!</v>
      </c>
      <c r="ES412" t="e">
        <f>Asia!A660+"n/&gt;!4Dy"</f>
        <v>#VALUE!</v>
      </c>
      <c r="ET412" t="e">
        <f>Asia!B660+"n/&gt;!4Dz"</f>
        <v>#VALUE!</v>
      </c>
      <c r="EU412" t="e">
        <f>Asia!C660+"n/&gt;!4D{"</f>
        <v>#VALUE!</v>
      </c>
      <c r="EV412" t="e">
        <f>Asia!D660+"n/&gt;!4D|"</f>
        <v>#VALUE!</v>
      </c>
      <c r="EW412" t="e">
        <f>Asia!E660+"n/&gt;!4D}"</f>
        <v>#VALUE!</v>
      </c>
      <c r="EX412" t="e">
        <f>Asia!F660+"n/&gt;!4D~"</f>
        <v>#VALUE!</v>
      </c>
      <c r="EY412" t="e">
        <f>Asia!G660+"n/&gt;!4E#"</f>
        <v>#VALUE!</v>
      </c>
      <c r="EZ412" t="e">
        <f>Asia!H660+"n/&gt;!4E$"</f>
        <v>#VALUE!</v>
      </c>
      <c r="FA412" t="e">
        <f>Asia!I660+"n/&gt;!4E%"</f>
        <v>#VALUE!</v>
      </c>
      <c r="FB412" t="e">
        <f>Asia!A661+"n/&gt;!4E&amp;"</f>
        <v>#VALUE!</v>
      </c>
      <c r="FC412" t="e">
        <f>Asia!B661+"n/&gt;!4E'"</f>
        <v>#VALUE!</v>
      </c>
      <c r="FD412" t="e">
        <f>Asia!C661+"n/&gt;!4E("</f>
        <v>#VALUE!</v>
      </c>
      <c r="FE412" t="e">
        <f>Asia!D661+"n/&gt;!4E)"</f>
        <v>#VALUE!</v>
      </c>
      <c r="FF412" t="e">
        <f>Asia!E661+"n/&gt;!4E."</f>
        <v>#VALUE!</v>
      </c>
      <c r="FG412" t="e">
        <f>Asia!F661+"n/&gt;!4E/"</f>
        <v>#VALUE!</v>
      </c>
      <c r="FH412" t="e">
        <f>Asia!G661+"n/&gt;!4E0"</f>
        <v>#VALUE!</v>
      </c>
      <c r="FI412" t="e">
        <f>Asia!H661+"n/&gt;!4E1"</f>
        <v>#VALUE!</v>
      </c>
      <c r="FJ412" t="e">
        <f>Asia!I661+"n/&gt;!4E2"</f>
        <v>#VALUE!</v>
      </c>
      <c r="FK412" t="e">
        <f>Asia!A662+"n/&gt;!4E3"</f>
        <v>#VALUE!</v>
      </c>
      <c r="FL412" t="e">
        <f>Asia!B662+"n/&gt;!4E4"</f>
        <v>#VALUE!</v>
      </c>
      <c r="FM412" t="e">
        <f>Asia!C662+"n/&gt;!4E5"</f>
        <v>#VALUE!</v>
      </c>
      <c r="FN412" t="e">
        <f>Asia!D662+"n/&gt;!4E6"</f>
        <v>#VALUE!</v>
      </c>
      <c r="FO412" t="e">
        <f>Asia!E662+"n/&gt;!4E7"</f>
        <v>#VALUE!</v>
      </c>
      <c r="FP412" t="e">
        <f>Asia!F662+"n/&gt;!4E8"</f>
        <v>#VALUE!</v>
      </c>
      <c r="FQ412" t="e">
        <f>Asia!G662+"n/&gt;!4E9"</f>
        <v>#VALUE!</v>
      </c>
      <c r="FR412" t="e">
        <f>Asia!H662+"n/&gt;!4E:"</f>
        <v>#VALUE!</v>
      </c>
      <c r="FS412" t="e">
        <f>Asia!I662+"n/&gt;!4E;"</f>
        <v>#VALUE!</v>
      </c>
      <c r="FT412" t="e">
        <f>Asia!A663+"n/&gt;!4E&lt;"</f>
        <v>#VALUE!</v>
      </c>
      <c r="FU412" t="e">
        <f>Asia!B663+"n/&gt;!4E="</f>
        <v>#VALUE!</v>
      </c>
      <c r="FV412" t="e">
        <f>Asia!C663+"n/&gt;!4E&gt;"</f>
        <v>#VALUE!</v>
      </c>
      <c r="FW412" t="e">
        <f>Asia!D663+"n/&gt;!4E?"</f>
        <v>#VALUE!</v>
      </c>
      <c r="FX412" t="e">
        <f>Asia!E663+"n/&gt;!4E@"</f>
        <v>#VALUE!</v>
      </c>
      <c r="FY412" t="e">
        <f>Asia!F663+"n/&gt;!4EA"</f>
        <v>#VALUE!</v>
      </c>
      <c r="FZ412" t="e">
        <f>Asia!G663+"n/&gt;!4EB"</f>
        <v>#VALUE!</v>
      </c>
      <c r="GA412" t="e">
        <f>Asia!H663+"n/&gt;!4EC"</f>
        <v>#VALUE!</v>
      </c>
      <c r="GB412" t="e">
        <f>Asia!I663+"n/&gt;!4ED"</f>
        <v>#VALUE!</v>
      </c>
      <c r="GC412" t="e">
        <f>Asia!A664+"n/&gt;!4EE"</f>
        <v>#VALUE!</v>
      </c>
      <c r="GD412" t="e">
        <f>Asia!B664+"n/&gt;!4EF"</f>
        <v>#VALUE!</v>
      </c>
      <c r="GE412" t="e">
        <f>Asia!C664+"n/&gt;!4EG"</f>
        <v>#VALUE!</v>
      </c>
      <c r="GF412" t="e">
        <f>Asia!D664+"n/&gt;!4EH"</f>
        <v>#VALUE!</v>
      </c>
      <c r="GG412" t="e">
        <f>Asia!E664+"n/&gt;!4EI"</f>
        <v>#VALUE!</v>
      </c>
      <c r="GH412" t="e">
        <f>Asia!F664+"n/&gt;!4EJ"</f>
        <v>#VALUE!</v>
      </c>
      <c r="GI412" t="e">
        <f>Asia!G664+"n/&gt;!4EK"</f>
        <v>#VALUE!</v>
      </c>
      <c r="GJ412" t="e">
        <f>Asia!H664+"n/&gt;!4EL"</f>
        <v>#VALUE!</v>
      </c>
      <c r="GK412" t="e">
        <f>Asia!I664+"n/&gt;!4EM"</f>
        <v>#VALUE!</v>
      </c>
      <c r="GL412" t="e">
        <f>Asia!A665+"n/&gt;!4EN"</f>
        <v>#VALUE!</v>
      </c>
      <c r="GM412" t="e">
        <f>Asia!B665+"n/&gt;!4EO"</f>
        <v>#VALUE!</v>
      </c>
      <c r="GN412" t="e">
        <f>Asia!C665+"n/&gt;!4EP"</f>
        <v>#VALUE!</v>
      </c>
      <c r="GO412" t="e">
        <f>Asia!D665+"n/&gt;!4EQ"</f>
        <v>#VALUE!</v>
      </c>
      <c r="GP412" t="e">
        <f>Asia!E665+"n/&gt;!4ER"</f>
        <v>#VALUE!</v>
      </c>
      <c r="GQ412" t="e">
        <f>Asia!F665+"n/&gt;!4ES"</f>
        <v>#VALUE!</v>
      </c>
      <c r="GR412" t="e">
        <f>Asia!G665+"n/&gt;!4ET"</f>
        <v>#VALUE!</v>
      </c>
      <c r="GS412" t="e">
        <f>Asia!H665+"n/&gt;!4EU"</f>
        <v>#VALUE!</v>
      </c>
      <c r="GT412" t="e">
        <f>Asia!I665+"n/&gt;!4EV"</f>
        <v>#VALUE!</v>
      </c>
      <c r="GU412" t="e">
        <f>Asia!A666+"n/&gt;!4EW"</f>
        <v>#VALUE!</v>
      </c>
      <c r="GV412" t="e">
        <f>Asia!B666+"n/&gt;!4EX"</f>
        <v>#VALUE!</v>
      </c>
      <c r="GW412" t="e">
        <f>Asia!C666+"n/&gt;!4EY"</f>
        <v>#VALUE!</v>
      </c>
      <c r="GX412" t="e">
        <f>Asia!D666+"n/&gt;!4EZ"</f>
        <v>#VALUE!</v>
      </c>
      <c r="GY412" t="e">
        <f>Asia!E666+"n/&gt;!4E["</f>
        <v>#VALUE!</v>
      </c>
      <c r="GZ412" t="e">
        <f>Asia!F666+"n/&gt;!4E\"</f>
        <v>#VALUE!</v>
      </c>
      <c r="HA412" t="e">
        <f>Asia!G666+"n/&gt;!4E]"</f>
        <v>#VALUE!</v>
      </c>
      <c r="HB412" t="e">
        <f>Asia!H666+"n/&gt;!4E^"</f>
        <v>#VALUE!</v>
      </c>
      <c r="HC412" t="e">
        <f>Asia!I666+"n/&gt;!4E_"</f>
        <v>#VALUE!</v>
      </c>
      <c r="HD412" t="e">
        <f>Asia!A667+"n/&gt;!4E`"</f>
        <v>#VALUE!</v>
      </c>
      <c r="HE412" t="e">
        <f>Asia!B667+"n/&gt;!4Ea"</f>
        <v>#VALUE!</v>
      </c>
      <c r="HF412" t="e">
        <f>Asia!C667+"n/&gt;!4Eb"</f>
        <v>#VALUE!</v>
      </c>
      <c r="HG412" t="e">
        <f>Asia!D667+"n/&gt;!4Ec"</f>
        <v>#VALUE!</v>
      </c>
      <c r="HH412" t="e">
        <f>Asia!E667+"n/&gt;!4Ed"</f>
        <v>#VALUE!</v>
      </c>
      <c r="HI412" t="e">
        <f>Asia!F667+"n/&gt;!4Ee"</f>
        <v>#VALUE!</v>
      </c>
      <c r="HJ412" t="e">
        <f>Asia!G667+"n/&gt;!4Ef"</f>
        <v>#VALUE!</v>
      </c>
      <c r="HK412" t="e">
        <f>Asia!H667+"n/&gt;!4Eg"</f>
        <v>#VALUE!</v>
      </c>
      <c r="HL412" t="e">
        <f>Asia!I667+"n/&gt;!4Eh"</f>
        <v>#VALUE!</v>
      </c>
      <c r="HM412" t="e">
        <f>Asia!A668+"n/&gt;!4Ei"</f>
        <v>#VALUE!</v>
      </c>
      <c r="HN412" t="e">
        <f>Asia!B668+"n/&gt;!4Ej"</f>
        <v>#VALUE!</v>
      </c>
      <c r="HO412" t="e">
        <f>Asia!C668+"n/&gt;!4Ek"</f>
        <v>#VALUE!</v>
      </c>
      <c r="HP412" t="e">
        <f>Asia!D668+"n/&gt;!4El"</f>
        <v>#VALUE!</v>
      </c>
      <c r="HQ412" t="e">
        <f>Asia!E668+"n/&gt;!4Em"</f>
        <v>#VALUE!</v>
      </c>
      <c r="HR412" t="e">
        <f>Asia!F668+"n/&gt;!4En"</f>
        <v>#VALUE!</v>
      </c>
      <c r="HS412" t="e">
        <f>Asia!G668+"n/&gt;!4Eo"</f>
        <v>#VALUE!</v>
      </c>
      <c r="HT412" t="e">
        <f>Asia!H668+"n/&gt;!4Ep"</f>
        <v>#VALUE!</v>
      </c>
      <c r="HU412" t="e">
        <f>Asia!I668+"n/&gt;!4Eq"</f>
        <v>#VALUE!</v>
      </c>
      <c r="HV412" t="e">
        <f>Asia!A669+"n/&gt;!4Er"</f>
        <v>#VALUE!</v>
      </c>
      <c r="HW412" t="e">
        <f>Asia!B669+"n/&gt;!4Es"</f>
        <v>#VALUE!</v>
      </c>
      <c r="HX412" t="e">
        <f>Asia!C669+"n/&gt;!4Et"</f>
        <v>#VALUE!</v>
      </c>
      <c r="HY412" t="e">
        <f>Asia!D669+"n/&gt;!4Eu"</f>
        <v>#VALUE!</v>
      </c>
      <c r="HZ412" t="e">
        <f>Asia!E669+"n/&gt;!4Ev"</f>
        <v>#VALUE!</v>
      </c>
      <c r="IA412" t="e">
        <f>Asia!F669+"n/&gt;!4Ew"</f>
        <v>#VALUE!</v>
      </c>
      <c r="IB412" t="e">
        <f>Asia!G669+"n/&gt;!4Ex"</f>
        <v>#VALUE!</v>
      </c>
      <c r="IC412" t="e">
        <f>Asia!H669+"n/&gt;!4Ey"</f>
        <v>#VALUE!</v>
      </c>
      <c r="ID412" t="e">
        <f>Asia!I669+"n/&gt;!4Ez"</f>
        <v>#VALUE!</v>
      </c>
      <c r="IE412" t="e">
        <f>Asia!A670+"n/&gt;!4E{"</f>
        <v>#VALUE!</v>
      </c>
      <c r="IF412" t="e">
        <f>Asia!B670+"n/&gt;!4E|"</f>
        <v>#VALUE!</v>
      </c>
      <c r="IG412" t="e">
        <f>Asia!C670+"n/&gt;!4E}"</f>
        <v>#VALUE!</v>
      </c>
      <c r="IH412" t="e">
        <f>Asia!D670+"n/&gt;!4E~"</f>
        <v>#VALUE!</v>
      </c>
      <c r="II412" t="e">
        <f>Asia!E670+"n/&gt;!4F#"</f>
        <v>#VALUE!</v>
      </c>
      <c r="IJ412" t="e">
        <f>Asia!F670+"n/&gt;!4F$"</f>
        <v>#VALUE!</v>
      </c>
      <c r="IK412" t="e">
        <f>Asia!G670+"n/&gt;!4F%"</f>
        <v>#VALUE!</v>
      </c>
      <c r="IL412" t="e">
        <f>Asia!H670+"n/&gt;!4F&amp;"</f>
        <v>#VALUE!</v>
      </c>
      <c r="IM412" t="e">
        <f>Asia!I670+"n/&gt;!4F'"</f>
        <v>#VALUE!</v>
      </c>
      <c r="IN412" t="e">
        <f>Asia!A671+"n/&gt;!4F("</f>
        <v>#VALUE!</v>
      </c>
      <c r="IO412" t="e">
        <f>Asia!B671+"n/&gt;!4F)"</f>
        <v>#VALUE!</v>
      </c>
      <c r="IP412" t="e">
        <f>Asia!C671+"n/&gt;!4F."</f>
        <v>#VALUE!</v>
      </c>
      <c r="IQ412" t="e">
        <f>Asia!D671+"n/&gt;!4F/"</f>
        <v>#VALUE!</v>
      </c>
      <c r="IR412" t="e">
        <f>Asia!E671+"n/&gt;!4F0"</f>
        <v>#VALUE!</v>
      </c>
      <c r="IS412" t="e">
        <f>Asia!F671+"n/&gt;!4F1"</f>
        <v>#VALUE!</v>
      </c>
      <c r="IT412" t="e">
        <f>Asia!G671+"n/&gt;!4F2"</f>
        <v>#VALUE!</v>
      </c>
      <c r="IU412" t="e">
        <f>Asia!H671+"n/&gt;!4F3"</f>
        <v>#VALUE!</v>
      </c>
      <c r="IV412" t="e">
        <f>Asia!I671+"n/&gt;!4F4"</f>
        <v>#VALUE!</v>
      </c>
    </row>
    <row r="413" spans="6:256" x14ac:dyDescent="0.35">
      <c r="F413" t="e">
        <f>Asia!A672+"n/&gt;!4F5"</f>
        <v>#VALUE!</v>
      </c>
      <c r="G413" t="e">
        <f>Asia!B672+"n/&gt;!4F6"</f>
        <v>#VALUE!</v>
      </c>
      <c r="H413" t="e">
        <f>Asia!C672+"n/&gt;!4F7"</f>
        <v>#VALUE!</v>
      </c>
      <c r="I413" t="e">
        <f>Asia!D672+"n/&gt;!4F8"</f>
        <v>#VALUE!</v>
      </c>
      <c r="J413" t="e">
        <f>Asia!E672+"n/&gt;!4F9"</f>
        <v>#VALUE!</v>
      </c>
      <c r="K413" t="e">
        <f>Asia!F672+"n/&gt;!4F:"</f>
        <v>#VALUE!</v>
      </c>
      <c r="L413" t="e">
        <f>Asia!G672+"n/&gt;!4F;"</f>
        <v>#VALUE!</v>
      </c>
      <c r="M413" t="e">
        <f>Asia!H672+"n/&gt;!4F&lt;"</f>
        <v>#VALUE!</v>
      </c>
      <c r="N413" t="e">
        <f>Asia!I672+"n/&gt;!4F="</f>
        <v>#VALUE!</v>
      </c>
      <c r="O413" t="e">
        <f>Asia!A673+"n/&gt;!4F&gt;"</f>
        <v>#VALUE!</v>
      </c>
      <c r="P413" t="e">
        <f>Asia!B673+"n/&gt;!4F?"</f>
        <v>#VALUE!</v>
      </c>
      <c r="Q413" t="e">
        <f>Asia!C673+"n/&gt;!4F@"</f>
        <v>#VALUE!</v>
      </c>
      <c r="R413" t="e">
        <f>Asia!D673+"n/&gt;!4FA"</f>
        <v>#VALUE!</v>
      </c>
      <c r="S413" t="e">
        <f>Asia!E673+"n/&gt;!4FB"</f>
        <v>#VALUE!</v>
      </c>
      <c r="T413" t="e">
        <f>Asia!F673+"n/&gt;!4FC"</f>
        <v>#VALUE!</v>
      </c>
      <c r="U413" t="e">
        <f>Asia!G673+"n/&gt;!4FD"</f>
        <v>#VALUE!</v>
      </c>
      <c r="V413" t="e">
        <f>Asia!H673+"n/&gt;!4FE"</f>
        <v>#VALUE!</v>
      </c>
      <c r="W413" t="e">
        <f>Asia!I673+"n/&gt;!4FF"</f>
        <v>#VALUE!</v>
      </c>
      <c r="X413" t="e">
        <f>Asia!A674+"n/&gt;!4FG"</f>
        <v>#VALUE!</v>
      </c>
      <c r="Y413" t="e">
        <f>Asia!B674+"n/&gt;!4FH"</f>
        <v>#VALUE!</v>
      </c>
      <c r="Z413" t="e">
        <f>Asia!C674+"n/&gt;!4FI"</f>
        <v>#VALUE!</v>
      </c>
      <c r="AA413" t="e">
        <f>Asia!D674+"n/&gt;!4FJ"</f>
        <v>#VALUE!</v>
      </c>
      <c r="AB413" t="e">
        <f>Asia!E674+"n/&gt;!4FK"</f>
        <v>#VALUE!</v>
      </c>
      <c r="AC413" t="e">
        <f>Asia!F674+"n/&gt;!4FL"</f>
        <v>#VALUE!</v>
      </c>
      <c r="AD413" t="e">
        <f>Asia!G674+"n/&gt;!4FM"</f>
        <v>#VALUE!</v>
      </c>
      <c r="AE413" t="e">
        <f>Asia!H674+"n/&gt;!4FN"</f>
        <v>#VALUE!</v>
      </c>
      <c r="AF413" t="e">
        <f>Asia!I674+"n/&gt;!4FO"</f>
        <v>#VALUE!</v>
      </c>
      <c r="AG413" t="e">
        <f>Asia!A675+"n/&gt;!4FP"</f>
        <v>#VALUE!</v>
      </c>
      <c r="AH413" t="e">
        <f>Asia!B675+"n/&gt;!4FQ"</f>
        <v>#VALUE!</v>
      </c>
      <c r="AI413" t="e">
        <f>Asia!C675+"n/&gt;!4FR"</f>
        <v>#VALUE!</v>
      </c>
      <c r="AJ413" t="e">
        <f>Asia!D675+"n/&gt;!4FS"</f>
        <v>#VALUE!</v>
      </c>
      <c r="AK413" t="e">
        <f>Asia!E675+"n/&gt;!4FT"</f>
        <v>#VALUE!</v>
      </c>
      <c r="AL413" t="e">
        <f>Asia!F675+"n/&gt;!4FU"</f>
        <v>#VALUE!</v>
      </c>
      <c r="AM413" t="e">
        <f>Asia!G675+"n/&gt;!4FV"</f>
        <v>#VALUE!</v>
      </c>
      <c r="AN413" t="e">
        <f>Asia!H675+"n/&gt;!4FW"</f>
        <v>#VALUE!</v>
      </c>
      <c r="AO413" t="e">
        <f>Asia!I675+"n/&gt;!4FX"</f>
        <v>#VALUE!</v>
      </c>
      <c r="AP413" t="e">
        <f>Asia!A676+"n/&gt;!4FY"</f>
        <v>#VALUE!</v>
      </c>
      <c r="AQ413" t="e">
        <f>Asia!B676+"n/&gt;!4FZ"</f>
        <v>#VALUE!</v>
      </c>
      <c r="AR413" t="e">
        <f>Asia!C676+"n/&gt;!4F["</f>
        <v>#VALUE!</v>
      </c>
      <c r="AS413" t="e">
        <f>Asia!D676+"n/&gt;!4F\"</f>
        <v>#VALUE!</v>
      </c>
      <c r="AT413" t="e">
        <f>Asia!E676+"n/&gt;!4F]"</f>
        <v>#VALUE!</v>
      </c>
      <c r="AU413" t="e">
        <f>Asia!F676+"n/&gt;!4F^"</f>
        <v>#VALUE!</v>
      </c>
      <c r="AV413" t="e">
        <f>Asia!G676+"n/&gt;!4F_"</f>
        <v>#VALUE!</v>
      </c>
      <c r="AW413" t="e">
        <f>Asia!H676+"n/&gt;!4F`"</f>
        <v>#VALUE!</v>
      </c>
      <c r="AX413" t="e">
        <f>Asia!I676+"n/&gt;!4Fa"</f>
        <v>#VALUE!</v>
      </c>
      <c r="AY413" t="e">
        <f>Asia!A677+"n/&gt;!4Fb"</f>
        <v>#VALUE!</v>
      </c>
      <c r="AZ413" t="e">
        <f>Asia!B677+"n/&gt;!4Fc"</f>
        <v>#VALUE!</v>
      </c>
      <c r="BA413" t="e">
        <f>Asia!C677+"n/&gt;!4Fd"</f>
        <v>#VALUE!</v>
      </c>
      <c r="BB413" t="e">
        <f>Asia!D677+"n/&gt;!4Fe"</f>
        <v>#VALUE!</v>
      </c>
      <c r="BC413" t="e">
        <f>Asia!E677+"n/&gt;!4Ff"</f>
        <v>#VALUE!</v>
      </c>
      <c r="BD413" t="e">
        <f>Asia!F677+"n/&gt;!4Fg"</f>
        <v>#VALUE!</v>
      </c>
      <c r="BE413" t="e">
        <f>Asia!G677+"n/&gt;!4Fh"</f>
        <v>#VALUE!</v>
      </c>
      <c r="BF413" t="e">
        <f>Asia!H677+"n/&gt;!4Fi"</f>
        <v>#VALUE!</v>
      </c>
      <c r="BG413" t="e">
        <f>Asia!I677+"n/&gt;!4Fj"</f>
        <v>#VALUE!</v>
      </c>
      <c r="BH413" t="e">
        <f>Asia!A678+"n/&gt;!4Fk"</f>
        <v>#VALUE!</v>
      </c>
      <c r="BI413" t="e">
        <f>Asia!B678+"n/&gt;!4Fl"</f>
        <v>#VALUE!</v>
      </c>
      <c r="BJ413" t="e">
        <f>Asia!C678+"n/&gt;!4Fm"</f>
        <v>#VALUE!</v>
      </c>
      <c r="BK413" t="e">
        <f>Asia!D678+"n/&gt;!4Fn"</f>
        <v>#VALUE!</v>
      </c>
      <c r="BL413" t="e">
        <f>Asia!E678+"n/&gt;!4Fo"</f>
        <v>#VALUE!</v>
      </c>
      <c r="BM413" t="e">
        <f>Asia!F678+"n/&gt;!4Fp"</f>
        <v>#VALUE!</v>
      </c>
      <c r="BN413" t="e">
        <f>Asia!G678+"n/&gt;!4Fq"</f>
        <v>#VALUE!</v>
      </c>
      <c r="BO413" t="e">
        <f>Asia!H678+"n/&gt;!4Fr"</f>
        <v>#VALUE!</v>
      </c>
      <c r="BP413" t="e">
        <f>Asia!I678+"n/&gt;!4Fs"</f>
        <v>#VALUE!</v>
      </c>
      <c r="BQ413" t="e">
        <f>Asia!A679+"n/&gt;!4Ft"</f>
        <v>#VALUE!</v>
      </c>
      <c r="BR413" t="e">
        <f>Asia!B679+"n/&gt;!4Fu"</f>
        <v>#VALUE!</v>
      </c>
      <c r="BS413" t="e">
        <f>Asia!C679+"n/&gt;!4Fv"</f>
        <v>#VALUE!</v>
      </c>
      <c r="BT413" t="e">
        <f>Asia!D679+"n/&gt;!4Fw"</f>
        <v>#VALUE!</v>
      </c>
      <c r="BU413" t="e">
        <f>Asia!E679+"n/&gt;!4Fx"</f>
        <v>#VALUE!</v>
      </c>
      <c r="BV413" t="e">
        <f>Asia!F679+"n/&gt;!4Fy"</f>
        <v>#VALUE!</v>
      </c>
      <c r="BW413" t="e">
        <f>Asia!G679+"n/&gt;!4Fz"</f>
        <v>#VALUE!</v>
      </c>
      <c r="BX413" t="e">
        <f>Asia!H679+"n/&gt;!4F{"</f>
        <v>#VALUE!</v>
      </c>
      <c r="BY413" t="e">
        <f>Asia!I679+"n/&gt;!4F|"</f>
        <v>#VALUE!</v>
      </c>
      <c r="BZ413" t="e">
        <f>Asia!A680+"n/&gt;!4F}"</f>
        <v>#VALUE!</v>
      </c>
      <c r="CA413" t="e">
        <f>Asia!B680+"n/&gt;!4F~"</f>
        <v>#VALUE!</v>
      </c>
      <c r="CB413" t="e">
        <f>Asia!C680+"n/&gt;!4G#"</f>
        <v>#VALUE!</v>
      </c>
      <c r="CC413" t="e">
        <f>Asia!D680+"n/&gt;!4G$"</f>
        <v>#VALUE!</v>
      </c>
      <c r="CD413" t="e">
        <f>Asia!E680+"n/&gt;!4G%"</f>
        <v>#VALUE!</v>
      </c>
      <c r="CE413" t="e">
        <f>Asia!F680+"n/&gt;!4G&amp;"</f>
        <v>#VALUE!</v>
      </c>
      <c r="CF413" t="e">
        <f>Asia!G680+"n/&gt;!4G'"</f>
        <v>#VALUE!</v>
      </c>
      <c r="CG413" t="e">
        <f>Asia!H680+"n/&gt;!4G("</f>
        <v>#VALUE!</v>
      </c>
      <c r="CH413" t="e">
        <f>Asia!I680+"n/&gt;!4G)"</f>
        <v>#VALUE!</v>
      </c>
      <c r="CI413" t="e">
        <f>Asia!A681+"n/&gt;!4G."</f>
        <v>#VALUE!</v>
      </c>
      <c r="CJ413" t="e">
        <f>Asia!B681+"n/&gt;!4G/"</f>
        <v>#VALUE!</v>
      </c>
      <c r="CK413" t="e">
        <f>Asia!C681+"n/&gt;!4G0"</f>
        <v>#VALUE!</v>
      </c>
      <c r="CL413" t="e">
        <f>Asia!D681+"n/&gt;!4G1"</f>
        <v>#VALUE!</v>
      </c>
      <c r="CM413" t="e">
        <f>Asia!E681+"n/&gt;!4G2"</f>
        <v>#VALUE!</v>
      </c>
      <c r="CN413" t="e">
        <f>Asia!F681+"n/&gt;!4G3"</f>
        <v>#VALUE!</v>
      </c>
      <c r="CO413" t="e">
        <f>Asia!G681+"n/&gt;!4G4"</f>
        <v>#VALUE!</v>
      </c>
      <c r="CP413" t="e">
        <f>Asia!H681+"n/&gt;!4G5"</f>
        <v>#VALUE!</v>
      </c>
      <c r="CQ413" t="e">
        <f>Asia!I681+"n/&gt;!4G6"</f>
        <v>#VALUE!</v>
      </c>
      <c r="CR413" t="e">
        <f>Asia!A682+"n/&gt;!4G7"</f>
        <v>#VALUE!</v>
      </c>
      <c r="CS413" t="e">
        <f>Asia!B682+"n/&gt;!4G8"</f>
        <v>#VALUE!</v>
      </c>
      <c r="CT413" t="e">
        <f>Asia!C682+"n/&gt;!4G9"</f>
        <v>#VALUE!</v>
      </c>
      <c r="CU413" t="e">
        <f>Asia!D682+"n/&gt;!4G:"</f>
        <v>#VALUE!</v>
      </c>
      <c r="CV413" t="e">
        <f>Asia!E682+"n/&gt;!4G;"</f>
        <v>#VALUE!</v>
      </c>
      <c r="CW413" t="e">
        <f>Asia!F682+"n/&gt;!4G&lt;"</f>
        <v>#VALUE!</v>
      </c>
      <c r="CX413" t="e">
        <f>Asia!G682+"n/&gt;!4G="</f>
        <v>#VALUE!</v>
      </c>
      <c r="CY413" t="e">
        <f>Asia!H682+"n/&gt;!4G&gt;"</f>
        <v>#VALUE!</v>
      </c>
      <c r="CZ413" t="e">
        <f>Asia!I682+"n/&gt;!4G?"</f>
        <v>#VALUE!</v>
      </c>
      <c r="DA413" t="e">
        <f>Asia!A683+"n/&gt;!4G@"</f>
        <v>#VALUE!</v>
      </c>
      <c r="DB413" t="e">
        <f>Asia!B683+"n/&gt;!4GA"</f>
        <v>#VALUE!</v>
      </c>
      <c r="DC413" t="e">
        <f>Asia!C683+"n/&gt;!4GB"</f>
        <v>#VALUE!</v>
      </c>
      <c r="DD413" t="e">
        <f>Asia!D683+"n/&gt;!4GC"</f>
        <v>#VALUE!</v>
      </c>
      <c r="DE413" t="e">
        <f>Asia!E683+"n/&gt;!4GD"</f>
        <v>#VALUE!</v>
      </c>
      <c r="DF413" t="e">
        <f>Asia!F683+"n/&gt;!4GE"</f>
        <v>#VALUE!</v>
      </c>
      <c r="DG413" t="e">
        <f>Asia!G683+"n/&gt;!4GF"</f>
        <v>#VALUE!</v>
      </c>
      <c r="DH413" t="e">
        <f>Asia!H683+"n/&gt;!4GG"</f>
        <v>#VALUE!</v>
      </c>
      <c r="DI413" t="e">
        <f>Asia!I683+"n/&gt;!4GH"</f>
        <v>#VALUE!</v>
      </c>
      <c r="DJ413" t="e">
        <f>Asia!A684+"n/&gt;!4GI"</f>
        <v>#VALUE!</v>
      </c>
      <c r="DK413" t="e">
        <f>Asia!B684+"n/&gt;!4GJ"</f>
        <v>#VALUE!</v>
      </c>
      <c r="DL413" t="e">
        <f>Asia!C684+"n/&gt;!4GK"</f>
        <v>#VALUE!</v>
      </c>
      <c r="DM413" t="e">
        <f>Asia!D684+"n/&gt;!4GL"</f>
        <v>#VALUE!</v>
      </c>
      <c r="DN413" t="e">
        <f>Asia!E684+"n/&gt;!4GM"</f>
        <v>#VALUE!</v>
      </c>
      <c r="DO413" t="e">
        <f>Asia!F684+"n/&gt;!4GN"</f>
        <v>#VALUE!</v>
      </c>
      <c r="DP413" t="e">
        <f>Asia!G684+"n/&gt;!4GO"</f>
        <v>#VALUE!</v>
      </c>
      <c r="DQ413" t="e">
        <f>Asia!H684+"n/&gt;!4GP"</f>
        <v>#VALUE!</v>
      </c>
      <c r="DR413" t="e">
        <f>Asia!I684+"n/&gt;!4GQ"</f>
        <v>#VALUE!</v>
      </c>
      <c r="DS413" t="e">
        <f>Asia!A685+"n/&gt;!4GR"</f>
        <v>#VALUE!</v>
      </c>
      <c r="DT413" t="e">
        <f>Asia!B685+"n/&gt;!4GS"</f>
        <v>#VALUE!</v>
      </c>
      <c r="DU413" t="e">
        <f>Asia!C685+"n/&gt;!4GT"</f>
        <v>#VALUE!</v>
      </c>
      <c r="DV413" t="e">
        <f>Asia!D685+"n/&gt;!4GU"</f>
        <v>#VALUE!</v>
      </c>
      <c r="DW413" t="e">
        <f>Asia!E685+"n/&gt;!4GV"</f>
        <v>#VALUE!</v>
      </c>
      <c r="DX413" t="e">
        <f>Asia!F685+"n/&gt;!4GW"</f>
        <v>#VALUE!</v>
      </c>
      <c r="DY413" t="e">
        <f>Asia!G685+"n/&gt;!4GX"</f>
        <v>#VALUE!</v>
      </c>
      <c r="DZ413" t="e">
        <f>Asia!H685+"n/&gt;!4GY"</f>
        <v>#VALUE!</v>
      </c>
      <c r="EA413" t="e">
        <f>Asia!I685+"n/&gt;!4GZ"</f>
        <v>#VALUE!</v>
      </c>
      <c r="EB413" t="e">
        <f>Asia!A686+"n/&gt;!4G["</f>
        <v>#VALUE!</v>
      </c>
      <c r="EC413" t="e">
        <f>Asia!B686+"n/&gt;!4G\"</f>
        <v>#VALUE!</v>
      </c>
      <c r="ED413" t="e">
        <f>Asia!C686+"n/&gt;!4G]"</f>
        <v>#VALUE!</v>
      </c>
      <c r="EE413" t="e">
        <f>Asia!D686+"n/&gt;!4G^"</f>
        <v>#VALUE!</v>
      </c>
      <c r="EF413" t="e">
        <f>Asia!E686+"n/&gt;!4G_"</f>
        <v>#VALUE!</v>
      </c>
      <c r="EG413" t="e">
        <f>Asia!F686+"n/&gt;!4G`"</f>
        <v>#VALUE!</v>
      </c>
      <c r="EH413" t="e">
        <f>Asia!G686+"n/&gt;!4Ga"</f>
        <v>#VALUE!</v>
      </c>
      <c r="EI413" t="e">
        <f>Asia!H686+"n/&gt;!4Gb"</f>
        <v>#VALUE!</v>
      </c>
      <c r="EJ413" t="e">
        <f>Asia!I686+"n/&gt;!4Gc"</f>
        <v>#VALUE!</v>
      </c>
      <c r="EK413" t="e">
        <f>Asia!A687+"n/&gt;!4Gd"</f>
        <v>#VALUE!</v>
      </c>
      <c r="EL413" t="e">
        <f>Asia!B687+"n/&gt;!4Ge"</f>
        <v>#VALUE!</v>
      </c>
      <c r="EM413" t="e">
        <f>Asia!C687+"n/&gt;!4Gf"</f>
        <v>#VALUE!</v>
      </c>
      <c r="EN413" t="e">
        <f>Asia!D687+"n/&gt;!4Gg"</f>
        <v>#VALUE!</v>
      </c>
      <c r="EO413" t="e">
        <f>Asia!E687+"n/&gt;!4Gh"</f>
        <v>#VALUE!</v>
      </c>
      <c r="EP413" t="e">
        <f>Asia!F687+"n/&gt;!4Gi"</f>
        <v>#VALUE!</v>
      </c>
      <c r="EQ413" t="e">
        <f>Asia!G687+"n/&gt;!4Gj"</f>
        <v>#VALUE!</v>
      </c>
      <c r="ER413" t="e">
        <f>Asia!H687+"n/&gt;!4Gk"</f>
        <v>#VALUE!</v>
      </c>
      <c r="ES413" t="e">
        <f>Asia!I687+"n/&gt;!4Gl"</f>
        <v>#VALUE!</v>
      </c>
      <c r="ET413" t="e">
        <f>Asia!A688+"n/&gt;!4Gm"</f>
        <v>#VALUE!</v>
      </c>
      <c r="EU413" t="e">
        <f>Asia!B688+"n/&gt;!4Gn"</f>
        <v>#VALUE!</v>
      </c>
      <c r="EV413" t="e">
        <f>Asia!C688+"n/&gt;!4Go"</f>
        <v>#VALUE!</v>
      </c>
      <c r="EW413" t="e">
        <f>Asia!D688+"n/&gt;!4Gp"</f>
        <v>#VALUE!</v>
      </c>
      <c r="EX413" t="e">
        <f>Asia!E688+"n/&gt;!4Gq"</f>
        <v>#VALUE!</v>
      </c>
      <c r="EY413" t="e">
        <f>Asia!F688+"n/&gt;!4Gr"</f>
        <v>#VALUE!</v>
      </c>
      <c r="EZ413" t="e">
        <f>Asia!G688+"n/&gt;!4Gs"</f>
        <v>#VALUE!</v>
      </c>
      <c r="FA413" t="e">
        <f>Asia!H688+"n/&gt;!4Gt"</f>
        <v>#VALUE!</v>
      </c>
      <c r="FB413" t="e">
        <f>Asia!I688+"n/&gt;!4Gu"</f>
        <v>#VALUE!</v>
      </c>
      <c r="FC413" t="e">
        <f>Asia!A689+"n/&gt;!4Gv"</f>
        <v>#VALUE!</v>
      </c>
      <c r="FD413" t="e">
        <f>Asia!B689+"n/&gt;!4Gw"</f>
        <v>#VALUE!</v>
      </c>
      <c r="FE413" t="e">
        <f>Asia!C689+"n/&gt;!4Gx"</f>
        <v>#VALUE!</v>
      </c>
      <c r="FF413" t="e">
        <f>Asia!D689+"n/&gt;!4Gy"</f>
        <v>#VALUE!</v>
      </c>
      <c r="FG413" t="e">
        <f>Asia!E689+"n/&gt;!4Gz"</f>
        <v>#VALUE!</v>
      </c>
      <c r="FH413" t="e">
        <f>Asia!F689+"n/&gt;!4G{"</f>
        <v>#VALUE!</v>
      </c>
      <c r="FI413" t="e">
        <f>Asia!G689+"n/&gt;!4G|"</f>
        <v>#VALUE!</v>
      </c>
      <c r="FJ413" t="e">
        <f>Asia!H689+"n/&gt;!4G}"</f>
        <v>#VALUE!</v>
      </c>
      <c r="FK413" t="e">
        <f>Asia!I689+"n/&gt;!4G~"</f>
        <v>#VALUE!</v>
      </c>
      <c r="FL413" t="e">
        <f>Asia!A690+"n/&gt;!4H#"</f>
        <v>#VALUE!</v>
      </c>
      <c r="FM413" t="e">
        <f>Asia!B690+"n/&gt;!4H$"</f>
        <v>#VALUE!</v>
      </c>
      <c r="FN413" t="e">
        <f>Asia!C690+"n/&gt;!4H%"</f>
        <v>#VALUE!</v>
      </c>
      <c r="FO413" t="e">
        <f>Asia!D690+"n/&gt;!4H&amp;"</f>
        <v>#VALUE!</v>
      </c>
      <c r="FP413" t="e">
        <f>Asia!E690+"n/&gt;!4H'"</f>
        <v>#VALUE!</v>
      </c>
      <c r="FQ413" t="e">
        <f>Asia!F690+"n/&gt;!4H("</f>
        <v>#VALUE!</v>
      </c>
      <c r="FR413" t="e">
        <f>Asia!G690+"n/&gt;!4H)"</f>
        <v>#VALUE!</v>
      </c>
      <c r="FS413" t="e">
        <f>Asia!H690+"n/&gt;!4H."</f>
        <v>#VALUE!</v>
      </c>
      <c r="FT413" t="e">
        <f>Asia!I690+"n/&gt;!4H/"</f>
        <v>#VALUE!</v>
      </c>
      <c r="FU413" t="e">
        <f>Asia!A691+"n/&gt;!4H0"</f>
        <v>#VALUE!</v>
      </c>
      <c r="FV413" t="e">
        <f>Asia!B691+"n/&gt;!4H1"</f>
        <v>#VALUE!</v>
      </c>
      <c r="FW413" t="e">
        <f>Asia!C691+"n/&gt;!4H2"</f>
        <v>#VALUE!</v>
      </c>
      <c r="FX413" t="e">
        <f>Asia!D691+"n/&gt;!4H3"</f>
        <v>#VALUE!</v>
      </c>
      <c r="FY413" t="e">
        <f>Asia!E691+"n/&gt;!4H4"</f>
        <v>#VALUE!</v>
      </c>
      <c r="FZ413" t="e">
        <f>Asia!F691+"n/&gt;!4H5"</f>
        <v>#VALUE!</v>
      </c>
      <c r="GA413" t="e">
        <f>Asia!G691+"n/&gt;!4H6"</f>
        <v>#VALUE!</v>
      </c>
      <c r="GB413" t="e">
        <f>Asia!H691+"n/&gt;!4H7"</f>
        <v>#VALUE!</v>
      </c>
      <c r="GC413" t="e">
        <f>Asia!I691+"n/&gt;!4H8"</f>
        <v>#VALUE!</v>
      </c>
      <c r="GD413" t="e">
        <f>Asia!A692+"n/&gt;!4H9"</f>
        <v>#VALUE!</v>
      </c>
      <c r="GE413" t="e">
        <f>Asia!B692+"n/&gt;!4H:"</f>
        <v>#VALUE!</v>
      </c>
      <c r="GF413" t="e">
        <f>Asia!C692+"n/&gt;!4H;"</f>
        <v>#VALUE!</v>
      </c>
      <c r="GG413" t="e">
        <f>Asia!D692+"n/&gt;!4H&lt;"</f>
        <v>#VALUE!</v>
      </c>
      <c r="GH413" t="e">
        <f>Asia!E692+"n/&gt;!4H="</f>
        <v>#VALUE!</v>
      </c>
      <c r="GI413" t="e">
        <f>Asia!F692+"n/&gt;!4H&gt;"</f>
        <v>#VALUE!</v>
      </c>
      <c r="GJ413" t="e">
        <f>Asia!G692+"n/&gt;!4H?"</f>
        <v>#VALUE!</v>
      </c>
      <c r="GK413" t="e">
        <f>Asia!H692+"n/&gt;!4H@"</f>
        <v>#VALUE!</v>
      </c>
      <c r="GL413" t="e">
        <f>Asia!I692+"n/&gt;!4HA"</f>
        <v>#VALUE!</v>
      </c>
      <c r="GM413" t="e">
        <f>Asia!A693+"n/&gt;!4HB"</f>
        <v>#VALUE!</v>
      </c>
      <c r="GN413" t="e">
        <f>Asia!B693+"n/&gt;!4HC"</f>
        <v>#VALUE!</v>
      </c>
      <c r="GO413" t="e">
        <f>Asia!C693+"n/&gt;!4HD"</f>
        <v>#VALUE!</v>
      </c>
      <c r="GP413" t="e">
        <f>Asia!D693+"n/&gt;!4HE"</f>
        <v>#VALUE!</v>
      </c>
      <c r="GQ413" t="e">
        <f>Asia!E693+"n/&gt;!4HF"</f>
        <v>#VALUE!</v>
      </c>
      <c r="GR413" t="e">
        <f>Asia!F693+"n/&gt;!4HG"</f>
        <v>#VALUE!</v>
      </c>
      <c r="GS413" t="e">
        <f>Asia!G693+"n/&gt;!4HH"</f>
        <v>#VALUE!</v>
      </c>
      <c r="GT413" t="e">
        <f>Asia!H693+"n/&gt;!4HI"</f>
        <v>#VALUE!</v>
      </c>
      <c r="GU413" t="e">
        <f>Asia!I693+"n/&gt;!4HJ"</f>
        <v>#VALUE!</v>
      </c>
      <c r="GV413" t="e">
        <f>Asia!A694+"n/&gt;!4HK"</f>
        <v>#VALUE!</v>
      </c>
      <c r="GW413" t="e">
        <f>Asia!B694+"n/&gt;!4HL"</f>
        <v>#VALUE!</v>
      </c>
      <c r="GX413" t="e">
        <f>Asia!C694+"n/&gt;!4HM"</f>
        <v>#VALUE!</v>
      </c>
      <c r="GY413" t="e">
        <f>Asia!D694+"n/&gt;!4HN"</f>
        <v>#VALUE!</v>
      </c>
      <c r="GZ413" t="e">
        <f>Asia!E694+"n/&gt;!4HO"</f>
        <v>#VALUE!</v>
      </c>
      <c r="HA413" t="e">
        <f>Asia!F694+"n/&gt;!4HP"</f>
        <v>#VALUE!</v>
      </c>
      <c r="HB413" t="e">
        <f>Asia!G694+"n/&gt;!4HQ"</f>
        <v>#VALUE!</v>
      </c>
      <c r="HC413" t="e">
        <f>Asia!H694+"n/&gt;!4HR"</f>
        <v>#VALUE!</v>
      </c>
      <c r="HD413" t="e">
        <f>Asia!I694+"n/&gt;!4HS"</f>
        <v>#VALUE!</v>
      </c>
      <c r="HE413" t="e">
        <f>Asia!A695+"n/&gt;!4HT"</f>
        <v>#VALUE!</v>
      </c>
      <c r="HF413" t="e">
        <f>Asia!B695+"n/&gt;!4HU"</f>
        <v>#VALUE!</v>
      </c>
      <c r="HG413" t="e">
        <f>Asia!C695+"n/&gt;!4HV"</f>
        <v>#VALUE!</v>
      </c>
      <c r="HH413" t="e">
        <f>Asia!D695+"n/&gt;!4HW"</f>
        <v>#VALUE!</v>
      </c>
      <c r="HI413" t="e">
        <f>Asia!E695+"n/&gt;!4HX"</f>
        <v>#VALUE!</v>
      </c>
      <c r="HJ413" t="e">
        <f>Asia!F695+"n/&gt;!4HY"</f>
        <v>#VALUE!</v>
      </c>
      <c r="HK413" t="e">
        <f>Asia!G695+"n/&gt;!4HZ"</f>
        <v>#VALUE!</v>
      </c>
      <c r="HL413" t="e">
        <f>Asia!H695+"n/&gt;!4H["</f>
        <v>#VALUE!</v>
      </c>
      <c r="HM413" t="e">
        <f>Asia!I695+"n/&gt;!4H\"</f>
        <v>#VALUE!</v>
      </c>
      <c r="HN413" t="e">
        <f>Asia!A696+"n/&gt;!4H]"</f>
        <v>#VALUE!</v>
      </c>
      <c r="HO413" t="e">
        <f>Asia!B696+"n/&gt;!4H^"</f>
        <v>#VALUE!</v>
      </c>
      <c r="HP413" t="e">
        <f>Asia!C696+"n/&gt;!4H_"</f>
        <v>#VALUE!</v>
      </c>
      <c r="HQ413" t="e">
        <f>Asia!D696+"n/&gt;!4H`"</f>
        <v>#VALUE!</v>
      </c>
      <c r="HR413" t="e">
        <f>Asia!E696+"n/&gt;!4Ha"</f>
        <v>#VALUE!</v>
      </c>
      <c r="HS413" t="e">
        <f>Asia!F696+"n/&gt;!4Hb"</f>
        <v>#VALUE!</v>
      </c>
      <c r="HT413" t="e">
        <f>Asia!G696+"n/&gt;!4Hc"</f>
        <v>#VALUE!</v>
      </c>
      <c r="HU413" t="e">
        <f>Asia!H696+"n/&gt;!4Hd"</f>
        <v>#VALUE!</v>
      </c>
      <c r="HV413" t="e">
        <f>Asia!I696+"n/&gt;!4He"</f>
        <v>#VALUE!</v>
      </c>
      <c r="HW413" t="e">
        <f>Asia!A697+"n/&gt;!4Hf"</f>
        <v>#VALUE!</v>
      </c>
      <c r="HX413" t="e">
        <f>Asia!B697+"n/&gt;!4Hg"</f>
        <v>#VALUE!</v>
      </c>
      <c r="HY413" t="e">
        <f>Asia!C697+"n/&gt;!4Hh"</f>
        <v>#VALUE!</v>
      </c>
      <c r="HZ413" t="e">
        <f>Asia!D697+"n/&gt;!4Hi"</f>
        <v>#VALUE!</v>
      </c>
      <c r="IA413" t="e">
        <f>Asia!E697+"n/&gt;!4Hj"</f>
        <v>#VALUE!</v>
      </c>
      <c r="IB413" t="e">
        <f>Asia!F697+"n/&gt;!4Hk"</f>
        <v>#VALUE!</v>
      </c>
      <c r="IC413" t="e">
        <f>Asia!G697+"n/&gt;!4Hl"</f>
        <v>#VALUE!</v>
      </c>
      <c r="ID413" t="e">
        <f>Asia!H697+"n/&gt;!4Hm"</f>
        <v>#VALUE!</v>
      </c>
      <c r="IE413" t="e">
        <f>Asia!I697+"n/&gt;!4Hn"</f>
        <v>#VALUE!</v>
      </c>
      <c r="IF413" t="e">
        <f>Asia!A698+"n/&gt;!4Ho"</f>
        <v>#VALUE!</v>
      </c>
      <c r="IG413" t="e">
        <f>Asia!B698+"n/&gt;!4Hp"</f>
        <v>#VALUE!</v>
      </c>
      <c r="IH413" t="e">
        <f>Asia!C698+"n/&gt;!4Hq"</f>
        <v>#VALUE!</v>
      </c>
      <c r="II413" t="e">
        <f>Asia!D698+"n/&gt;!4Hr"</f>
        <v>#VALUE!</v>
      </c>
      <c r="IJ413" t="e">
        <f>Asia!E698+"n/&gt;!4Hs"</f>
        <v>#VALUE!</v>
      </c>
      <c r="IK413" t="e">
        <f>Asia!F698+"n/&gt;!4Ht"</f>
        <v>#VALUE!</v>
      </c>
      <c r="IL413" t="e">
        <f>Asia!G698+"n/&gt;!4Hu"</f>
        <v>#VALUE!</v>
      </c>
      <c r="IM413" t="e">
        <f>Asia!H698+"n/&gt;!4Hv"</f>
        <v>#VALUE!</v>
      </c>
      <c r="IN413" t="e">
        <f>Asia!I698+"n/&gt;!4Hw"</f>
        <v>#VALUE!</v>
      </c>
      <c r="IO413" t="e">
        <f>Asia!A699+"n/&gt;!4Hx"</f>
        <v>#VALUE!</v>
      </c>
      <c r="IP413" t="e">
        <f>Asia!B699+"n/&gt;!4Hy"</f>
        <v>#VALUE!</v>
      </c>
      <c r="IQ413" t="e">
        <f>Asia!C699+"n/&gt;!4Hz"</f>
        <v>#VALUE!</v>
      </c>
      <c r="IR413" t="e">
        <f>Asia!D699+"n/&gt;!4H{"</f>
        <v>#VALUE!</v>
      </c>
      <c r="IS413" t="e">
        <f>Asia!E699+"n/&gt;!4H|"</f>
        <v>#VALUE!</v>
      </c>
      <c r="IT413" t="e">
        <f>Asia!F699+"n/&gt;!4H}"</f>
        <v>#VALUE!</v>
      </c>
      <c r="IU413" t="e">
        <f>Asia!G699+"n/&gt;!4H~"</f>
        <v>#VALUE!</v>
      </c>
      <c r="IV413" t="e">
        <f>Asia!H699+"n/&gt;!4I#"</f>
        <v>#VALUE!</v>
      </c>
    </row>
    <row r="414" spans="6:256" x14ac:dyDescent="0.35">
      <c r="F414" t="e">
        <f>Asia!I699+"n/&gt;!4I$"</f>
        <v>#VALUE!</v>
      </c>
      <c r="G414" t="e">
        <f>Asia!A700+"n/&gt;!4I%"</f>
        <v>#VALUE!</v>
      </c>
      <c r="H414" t="e">
        <f>Asia!B700+"n/&gt;!4I&amp;"</f>
        <v>#VALUE!</v>
      </c>
      <c r="I414" t="e">
        <f>Asia!C700+"n/&gt;!4I'"</f>
        <v>#VALUE!</v>
      </c>
      <c r="J414" t="e">
        <f>Asia!D700+"n/&gt;!4I("</f>
        <v>#VALUE!</v>
      </c>
      <c r="K414" t="e">
        <f>Asia!E700+"n/&gt;!4I)"</f>
        <v>#VALUE!</v>
      </c>
      <c r="L414" t="e">
        <f>Asia!F700+"n/&gt;!4I."</f>
        <v>#VALUE!</v>
      </c>
      <c r="M414" t="e">
        <f>Asia!G700+"n/&gt;!4I/"</f>
        <v>#VALUE!</v>
      </c>
      <c r="N414" t="e">
        <f>Asia!H700+"n/&gt;!4I0"</f>
        <v>#VALUE!</v>
      </c>
      <c r="O414" t="e">
        <f>Asia!I700+"n/&gt;!4I1"</f>
        <v>#VALUE!</v>
      </c>
      <c r="P414" t="e">
        <f>Asia!A701+"n/&gt;!4I2"</f>
        <v>#VALUE!</v>
      </c>
      <c r="Q414" t="e">
        <f>Asia!B701+"n/&gt;!4I3"</f>
        <v>#VALUE!</v>
      </c>
      <c r="R414" t="e">
        <f>Asia!C701+"n/&gt;!4I4"</f>
        <v>#VALUE!</v>
      </c>
      <c r="S414" t="e">
        <f>Asia!D701+"n/&gt;!4I5"</f>
        <v>#VALUE!</v>
      </c>
      <c r="T414" t="e">
        <f>Asia!E701+"n/&gt;!4I6"</f>
        <v>#VALUE!</v>
      </c>
      <c r="U414" t="e">
        <f>Asia!F701+"n/&gt;!4I7"</f>
        <v>#VALUE!</v>
      </c>
      <c r="V414" t="e">
        <f>Asia!G701+"n/&gt;!4I8"</f>
        <v>#VALUE!</v>
      </c>
      <c r="W414" t="e">
        <f>Asia!H701+"n/&gt;!4I9"</f>
        <v>#VALUE!</v>
      </c>
      <c r="X414" t="e">
        <f>Asia!I701+"n/&gt;!4I:"</f>
        <v>#VALUE!</v>
      </c>
      <c r="Y414" t="e">
        <f>Asia!A702+"n/&gt;!4I;"</f>
        <v>#VALUE!</v>
      </c>
      <c r="Z414" t="e">
        <f>Asia!B702+"n/&gt;!4I&lt;"</f>
        <v>#VALUE!</v>
      </c>
      <c r="AA414" t="e">
        <f>Asia!C702+"n/&gt;!4I="</f>
        <v>#VALUE!</v>
      </c>
      <c r="AB414" t="e">
        <f>Asia!D702+"n/&gt;!4I&gt;"</f>
        <v>#VALUE!</v>
      </c>
      <c r="AC414" t="e">
        <f>Asia!E702+"n/&gt;!4I?"</f>
        <v>#VALUE!</v>
      </c>
      <c r="AD414" t="e">
        <f>Asia!F702+"n/&gt;!4I@"</f>
        <v>#VALUE!</v>
      </c>
      <c r="AE414" t="e">
        <f>Asia!G702+"n/&gt;!4IA"</f>
        <v>#VALUE!</v>
      </c>
      <c r="AF414" t="e">
        <f>Asia!H702+"n/&gt;!4IB"</f>
        <v>#VALUE!</v>
      </c>
      <c r="AG414" t="e">
        <f>Asia!I702+"n/&gt;!4IC"</f>
        <v>#VALUE!</v>
      </c>
      <c r="AH414" t="e">
        <f>Asia!A703+"n/&gt;!4ID"</f>
        <v>#VALUE!</v>
      </c>
      <c r="AI414" t="e">
        <f>Asia!B703+"n/&gt;!4IE"</f>
        <v>#VALUE!</v>
      </c>
      <c r="AJ414" t="e">
        <f>Asia!C703+"n/&gt;!4IF"</f>
        <v>#VALUE!</v>
      </c>
      <c r="AK414" t="e">
        <f>Asia!D703+"n/&gt;!4IG"</f>
        <v>#VALUE!</v>
      </c>
      <c r="AL414" t="e">
        <f>Asia!E703+"n/&gt;!4IH"</f>
        <v>#VALUE!</v>
      </c>
      <c r="AM414" t="e">
        <f>Asia!F703+"n/&gt;!4II"</f>
        <v>#VALUE!</v>
      </c>
      <c r="AN414" t="e">
        <f>Asia!G703+"n/&gt;!4IJ"</f>
        <v>#VALUE!</v>
      </c>
      <c r="AO414" t="e">
        <f>Asia!H703+"n/&gt;!4IK"</f>
        <v>#VALUE!</v>
      </c>
      <c r="AP414" t="e">
        <f>Asia!I703+"n/&gt;!4IL"</f>
        <v>#VALUE!</v>
      </c>
      <c r="AQ414" t="e">
        <f>Asia!A704+"n/&gt;!4IM"</f>
        <v>#VALUE!</v>
      </c>
      <c r="AR414" t="e">
        <f>Asia!B704+"n/&gt;!4IN"</f>
        <v>#VALUE!</v>
      </c>
      <c r="AS414" t="e">
        <f>Asia!C704+"n/&gt;!4IO"</f>
        <v>#VALUE!</v>
      </c>
      <c r="AT414" t="e">
        <f>Asia!D704+"n/&gt;!4IP"</f>
        <v>#VALUE!</v>
      </c>
      <c r="AU414" t="e">
        <f>Asia!E704+"n/&gt;!4IQ"</f>
        <v>#VALUE!</v>
      </c>
      <c r="AV414" t="e">
        <f>Asia!F704+"n/&gt;!4IR"</f>
        <v>#VALUE!</v>
      </c>
      <c r="AW414" t="e">
        <f>Asia!G704+"n/&gt;!4IS"</f>
        <v>#VALUE!</v>
      </c>
      <c r="AX414" t="e">
        <f>Asia!H704+"n/&gt;!4IT"</f>
        <v>#VALUE!</v>
      </c>
      <c r="AY414" t="e">
        <f>Asia!I704+"n/&gt;!4IU"</f>
        <v>#VALUE!</v>
      </c>
      <c r="AZ414" t="e">
        <f>Asia!A705+"n/&gt;!4IV"</f>
        <v>#VALUE!</v>
      </c>
      <c r="BA414" t="e">
        <f>Asia!B705+"n/&gt;!4IW"</f>
        <v>#VALUE!</v>
      </c>
      <c r="BB414" t="e">
        <f>Asia!C705+"n/&gt;!4IX"</f>
        <v>#VALUE!</v>
      </c>
      <c r="BC414" t="e">
        <f>Asia!D705+"n/&gt;!4IY"</f>
        <v>#VALUE!</v>
      </c>
      <c r="BD414" t="e">
        <f>Asia!E705+"n/&gt;!4IZ"</f>
        <v>#VALUE!</v>
      </c>
      <c r="BE414" t="e">
        <f>Asia!F705+"n/&gt;!4I["</f>
        <v>#VALUE!</v>
      </c>
      <c r="BF414" t="e">
        <f>Asia!G705+"n/&gt;!4I\"</f>
        <v>#VALUE!</v>
      </c>
      <c r="BG414" t="e">
        <f>Asia!H705+"n/&gt;!4I]"</f>
        <v>#VALUE!</v>
      </c>
      <c r="BH414" t="e">
        <f>Asia!I705+"n/&gt;!4I^"</f>
        <v>#VALUE!</v>
      </c>
      <c r="BI414" t="e">
        <f>Asia!A706+"n/&gt;!4I_"</f>
        <v>#VALUE!</v>
      </c>
      <c r="BJ414" t="e">
        <f>Asia!B706+"n/&gt;!4I`"</f>
        <v>#VALUE!</v>
      </c>
      <c r="BK414" t="e">
        <f>Asia!C706+"n/&gt;!4Ia"</f>
        <v>#VALUE!</v>
      </c>
      <c r="BL414" t="e">
        <f>Asia!D706+"n/&gt;!4Ib"</f>
        <v>#VALUE!</v>
      </c>
      <c r="BM414" t="e">
        <f>Asia!E706+"n/&gt;!4Ic"</f>
        <v>#VALUE!</v>
      </c>
      <c r="BN414" t="e">
        <f>Asia!F706+"n/&gt;!4Id"</f>
        <v>#VALUE!</v>
      </c>
      <c r="BO414" t="e">
        <f>Asia!G706+"n/&gt;!4Ie"</f>
        <v>#VALUE!</v>
      </c>
      <c r="BP414" t="e">
        <f>Asia!H706+"n/&gt;!4If"</f>
        <v>#VALUE!</v>
      </c>
      <c r="BQ414" t="e">
        <f>Asia!I706+"n/&gt;!4Ig"</f>
        <v>#VALUE!</v>
      </c>
      <c r="BR414" t="e">
        <f>Asia!A707+"n/&gt;!4Ih"</f>
        <v>#VALUE!</v>
      </c>
      <c r="BS414" t="e">
        <f>Asia!B707+"n/&gt;!4Ii"</f>
        <v>#VALUE!</v>
      </c>
      <c r="BT414" t="e">
        <f>Asia!C707+"n/&gt;!4Ij"</f>
        <v>#VALUE!</v>
      </c>
      <c r="BU414" t="e">
        <f>Asia!D707+"n/&gt;!4Ik"</f>
        <v>#VALUE!</v>
      </c>
      <c r="BV414" t="e">
        <f>Asia!E707+"n/&gt;!4Il"</f>
        <v>#VALUE!</v>
      </c>
      <c r="BW414" t="e">
        <f>Asia!F707+"n/&gt;!4Im"</f>
        <v>#VALUE!</v>
      </c>
      <c r="BX414" t="e">
        <f>Asia!G707+"n/&gt;!4In"</f>
        <v>#VALUE!</v>
      </c>
      <c r="BY414" t="e">
        <f>Asia!H707+"n/&gt;!4Io"</f>
        <v>#VALUE!</v>
      </c>
      <c r="BZ414" t="e">
        <f>Asia!I707+"n/&gt;!4Ip"</f>
        <v>#VALUE!</v>
      </c>
      <c r="CA414" t="e">
        <f>Asia!A708+"n/&gt;!4Iq"</f>
        <v>#VALUE!</v>
      </c>
      <c r="CB414" t="e">
        <f>Asia!B708+"n/&gt;!4Ir"</f>
        <v>#VALUE!</v>
      </c>
      <c r="CC414" t="e">
        <f>Asia!C708+"n/&gt;!4Is"</f>
        <v>#VALUE!</v>
      </c>
      <c r="CD414" t="e">
        <f>Asia!D708+"n/&gt;!4It"</f>
        <v>#VALUE!</v>
      </c>
      <c r="CE414" t="e">
        <f>Asia!E708+"n/&gt;!4Iu"</f>
        <v>#VALUE!</v>
      </c>
      <c r="CF414" t="e">
        <f>Asia!F708+"n/&gt;!4Iv"</f>
        <v>#VALUE!</v>
      </c>
      <c r="CG414" t="e">
        <f>Asia!G708+"n/&gt;!4Iw"</f>
        <v>#VALUE!</v>
      </c>
      <c r="CH414" t="e">
        <f>Asia!H708+"n/&gt;!4Ix"</f>
        <v>#VALUE!</v>
      </c>
      <c r="CI414" t="e">
        <f>Asia!I708+"n/&gt;!4Iy"</f>
        <v>#VALUE!</v>
      </c>
      <c r="CJ414" t="e">
        <f>Asia!A709+"n/&gt;!4Iz"</f>
        <v>#VALUE!</v>
      </c>
      <c r="CK414" t="e">
        <f>Asia!B709+"n/&gt;!4I{"</f>
        <v>#VALUE!</v>
      </c>
      <c r="CL414" t="e">
        <f>Asia!C709+"n/&gt;!4I|"</f>
        <v>#VALUE!</v>
      </c>
      <c r="CM414" t="e">
        <f>Asia!D709+"n/&gt;!4I}"</f>
        <v>#VALUE!</v>
      </c>
      <c r="CN414" t="e">
        <f>Asia!E709+"n/&gt;!4I~"</f>
        <v>#VALUE!</v>
      </c>
      <c r="CO414" t="e">
        <f>Asia!F709+"n/&gt;!4J#"</f>
        <v>#VALUE!</v>
      </c>
      <c r="CP414" t="e">
        <f>Asia!G709+"n/&gt;!4J$"</f>
        <v>#VALUE!</v>
      </c>
      <c r="CQ414" t="e">
        <f>Asia!H709+"n/&gt;!4J%"</f>
        <v>#VALUE!</v>
      </c>
      <c r="CR414" t="e">
        <f>Asia!I709+"n/&gt;!4J&amp;"</f>
        <v>#VALUE!</v>
      </c>
      <c r="CS414" t="e">
        <f>Asia!A710+"n/&gt;!4J'"</f>
        <v>#VALUE!</v>
      </c>
      <c r="CT414" t="e">
        <f>Asia!B710+"n/&gt;!4J("</f>
        <v>#VALUE!</v>
      </c>
      <c r="CU414" t="e">
        <f>Asia!C710+"n/&gt;!4J)"</f>
        <v>#VALUE!</v>
      </c>
      <c r="CV414" t="e">
        <f>Asia!D710+"n/&gt;!4J."</f>
        <v>#VALUE!</v>
      </c>
      <c r="CW414" t="e">
        <f>Asia!E710+"n/&gt;!4J/"</f>
        <v>#VALUE!</v>
      </c>
      <c r="CX414" t="e">
        <f>Asia!F710+"n/&gt;!4J0"</f>
        <v>#VALUE!</v>
      </c>
      <c r="CY414" t="e">
        <f>Asia!G710+"n/&gt;!4J1"</f>
        <v>#VALUE!</v>
      </c>
      <c r="CZ414" t="e">
        <f>Asia!H710+"n/&gt;!4J2"</f>
        <v>#VALUE!</v>
      </c>
      <c r="DA414" t="e">
        <f>Asia!I710+"n/&gt;!4J3"</f>
        <v>#VALUE!</v>
      </c>
      <c r="DB414" t="e">
        <f>Asia!A711+"n/&gt;!4J4"</f>
        <v>#VALUE!</v>
      </c>
      <c r="DC414" t="e">
        <f>Asia!B711+"n/&gt;!4J5"</f>
        <v>#VALUE!</v>
      </c>
      <c r="DD414" t="e">
        <f>Asia!C711+"n/&gt;!4J6"</f>
        <v>#VALUE!</v>
      </c>
      <c r="DE414" t="e">
        <f>Asia!D711+"n/&gt;!4J7"</f>
        <v>#VALUE!</v>
      </c>
      <c r="DF414" t="e">
        <f>Asia!E711+"n/&gt;!4J8"</f>
        <v>#VALUE!</v>
      </c>
      <c r="DG414" t="e">
        <f>Asia!F711+"n/&gt;!4J9"</f>
        <v>#VALUE!</v>
      </c>
      <c r="DH414" t="e">
        <f>Asia!G711+"n/&gt;!4J:"</f>
        <v>#VALUE!</v>
      </c>
      <c r="DI414" t="e">
        <f>Asia!H711+"n/&gt;!4J;"</f>
        <v>#VALUE!</v>
      </c>
      <c r="DJ414" t="e">
        <f>Asia!I711+"n/&gt;!4J&lt;"</f>
        <v>#VALUE!</v>
      </c>
      <c r="DK414" t="e">
        <f>Asia!A712+"n/&gt;!4J="</f>
        <v>#VALUE!</v>
      </c>
      <c r="DL414" t="e">
        <f>Asia!B712+"n/&gt;!4J&gt;"</f>
        <v>#VALUE!</v>
      </c>
      <c r="DM414" t="e">
        <f>Asia!C712+"n/&gt;!4J?"</f>
        <v>#VALUE!</v>
      </c>
      <c r="DN414" t="e">
        <f>Asia!D712+"n/&gt;!4J@"</f>
        <v>#VALUE!</v>
      </c>
      <c r="DO414" t="e">
        <f>Asia!E712+"n/&gt;!4JA"</f>
        <v>#VALUE!</v>
      </c>
      <c r="DP414" t="e">
        <f>Asia!F712+"n/&gt;!4JB"</f>
        <v>#VALUE!</v>
      </c>
      <c r="DQ414" t="e">
        <f>Asia!G712+"n/&gt;!4JC"</f>
        <v>#VALUE!</v>
      </c>
      <c r="DR414" t="e">
        <f>Asia!H712+"n/&gt;!4JD"</f>
        <v>#VALUE!</v>
      </c>
      <c r="DS414" t="e">
        <f>Asia!I712+"n/&gt;!4JE"</f>
        <v>#VALUE!</v>
      </c>
      <c r="DT414" t="e">
        <f>Asia!A713+"n/&gt;!4JF"</f>
        <v>#VALUE!</v>
      </c>
      <c r="DU414" t="e">
        <f>Asia!B713+"n/&gt;!4JG"</f>
        <v>#VALUE!</v>
      </c>
      <c r="DV414" t="e">
        <f>Asia!C713+"n/&gt;!4JH"</f>
        <v>#VALUE!</v>
      </c>
      <c r="DW414" t="e">
        <f>Asia!D713+"n/&gt;!4JI"</f>
        <v>#VALUE!</v>
      </c>
      <c r="DX414" t="e">
        <f>Asia!E713+"n/&gt;!4JJ"</f>
        <v>#VALUE!</v>
      </c>
      <c r="DY414" t="e">
        <f>Asia!F713+"n/&gt;!4JK"</f>
        <v>#VALUE!</v>
      </c>
      <c r="DZ414" t="e">
        <f>Asia!G713+"n/&gt;!4JL"</f>
        <v>#VALUE!</v>
      </c>
      <c r="EA414" t="e">
        <f>Asia!H713+"n/&gt;!4JM"</f>
        <v>#VALUE!</v>
      </c>
      <c r="EB414" t="e">
        <f>Asia!I713+"n/&gt;!4JN"</f>
        <v>#VALUE!</v>
      </c>
      <c r="EC414" t="e">
        <f>Asia!A714+"n/&gt;!4JO"</f>
        <v>#VALUE!</v>
      </c>
      <c r="ED414" t="e">
        <f>Asia!B714+"n/&gt;!4JP"</f>
        <v>#VALUE!</v>
      </c>
      <c r="EE414" t="e">
        <f>Asia!C714+"n/&gt;!4JQ"</f>
        <v>#VALUE!</v>
      </c>
      <c r="EF414" t="e">
        <f>Asia!D714+"n/&gt;!4JR"</f>
        <v>#VALUE!</v>
      </c>
      <c r="EG414" t="e">
        <f>Asia!E714+"n/&gt;!4JS"</f>
        <v>#VALUE!</v>
      </c>
      <c r="EH414" t="e">
        <f>Asia!F714+"n/&gt;!4JT"</f>
        <v>#VALUE!</v>
      </c>
      <c r="EI414" t="e">
        <f>Asia!G714+"n/&gt;!4JU"</f>
        <v>#VALUE!</v>
      </c>
      <c r="EJ414" t="e">
        <f>Asia!H714+"n/&gt;!4JV"</f>
        <v>#VALUE!</v>
      </c>
      <c r="EK414" t="e">
        <f>Asia!I714+"n/&gt;!4JW"</f>
        <v>#VALUE!</v>
      </c>
      <c r="EL414" t="e">
        <f>Asia!A715+"n/&gt;!4JX"</f>
        <v>#VALUE!</v>
      </c>
      <c r="EM414" t="e">
        <f>Asia!B715+"n/&gt;!4JY"</f>
        <v>#VALUE!</v>
      </c>
      <c r="EN414" t="e">
        <f>Asia!C715+"n/&gt;!4JZ"</f>
        <v>#VALUE!</v>
      </c>
      <c r="EO414" t="e">
        <f>Asia!D715+"n/&gt;!4J["</f>
        <v>#VALUE!</v>
      </c>
      <c r="EP414" t="e">
        <f>Asia!E715+"n/&gt;!4J\"</f>
        <v>#VALUE!</v>
      </c>
      <c r="EQ414" t="e">
        <f>Asia!F715+"n/&gt;!4J]"</f>
        <v>#VALUE!</v>
      </c>
      <c r="ER414" t="e">
        <f>Asia!G715+"n/&gt;!4J^"</f>
        <v>#VALUE!</v>
      </c>
      <c r="ES414" t="e">
        <f>Asia!H715+"n/&gt;!4J_"</f>
        <v>#VALUE!</v>
      </c>
      <c r="ET414" t="e">
        <f>Asia!I715+"n/&gt;!4J`"</f>
        <v>#VALUE!</v>
      </c>
      <c r="EU414" t="e">
        <f>Asia!A716+"n/&gt;!4Ja"</f>
        <v>#VALUE!</v>
      </c>
      <c r="EV414" t="e">
        <f>Asia!B716+"n/&gt;!4Jb"</f>
        <v>#VALUE!</v>
      </c>
      <c r="EW414" t="e">
        <f>Asia!C716+"n/&gt;!4Jc"</f>
        <v>#VALUE!</v>
      </c>
      <c r="EX414" t="e">
        <f>Asia!D716+"n/&gt;!4Jd"</f>
        <v>#VALUE!</v>
      </c>
      <c r="EY414" t="e">
        <f>Asia!E716+"n/&gt;!4Je"</f>
        <v>#VALUE!</v>
      </c>
      <c r="EZ414" t="e">
        <f>Asia!F716+"n/&gt;!4Jf"</f>
        <v>#VALUE!</v>
      </c>
      <c r="FA414" t="e">
        <f>Asia!G716+"n/&gt;!4Jg"</f>
        <v>#VALUE!</v>
      </c>
      <c r="FB414" t="e">
        <f>Asia!H716+"n/&gt;!4Jh"</f>
        <v>#VALUE!</v>
      </c>
      <c r="FC414" t="e">
        <f>Asia!I716+"n/&gt;!4Ji"</f>
        <v>#VALUE!</v>
      </c>
      <c r="FD414" t="e">
        <f>Asia!A717+"n/&gt;!4Jj"</f>
        <v>#VALUE!</v>
      </c>
      <c r="FE414" t="e">
        <f>Asia!B717+"n/&gt;!4Jk"</f>
        <v>#VALUE!</v>
      </c>
      <c r="FF414" t="e">
        <f>Asia!C717+"n/&gt;!4Jl"</f>
        <v>#VALUE!</v>
      </c>
      <c r="FG414" t="e">
        <f>Asia!D717+"n/&gt;!4Jm"</f>
        <v>#VALUE!</v>
      </c>
      <c r="FH414" t="e">
        <f>Asia!E717+"n/&gt;!4Jn"</f>
        <v>#VALUE!</v>
      </c>
      <c r="FI414" t="e">
        <f>Asia!F717+"n/&gt;!4Jo"</f>
        <v>#VALUE!</v>
      </c>
      <c r="FJ414" t="e">
        <f>Asia!G717+"n/&gt;!4Jp"</f>
        <v>#VALUE!</v>
      </c>
      <c r="FK414" t="e">
        <f>Asia!H717+"n/&gt;!4Jq"</f>
        <v>#VALUE!</v>
      </c>
      <c r="FL414" t="e">
        <f>Asia!I717+"n/&gt;!4Jr"</f>
        <v>#VALUE!</v>
      </c>
      <c r="FM414" t="e">
        <f>Asia!A718+"n/&gt;!4Js"</f>
        <v>#VALUE!</v>
      </c>
      <c r="FN414" t="e">
        <f>Asia!B718+"n/&gt;!4Jt"</f>
        <v>#VALUE!</v>
      </c>
      <c r="FO414" t="e">
        <f>Asia!C718+"n/&gt;!4Ju"</f>
        <v>#VALUE!</v>
      </c>
      <c r="FP414" t="e">
        <f>Asia!D718+"n/&gt;!4Jv"</f>
        <v>#VALUE!</v>
      </c>
      <c r="FQ414" t="e">
        <f>Asia!E718+"n/&gt;!4Jw"</f>
        <v>#VALUE!</v>
      </c>
      <c r="FR414" t="e">
        <f>Asia!F718+"n/&gt;!4Jx"</f>
        <v>#VALUE!</v>
      </c>
      <c r="FS414" t="e">
        <f>Asia!G718+"n/&gt;!4Jy"</f>
        <v>#VALUE!</v>
      </c>
      <c r="FT414" t="e">
        <f>Asia!H718+"n/&gt;!4Jz"</f>
        <v>#VALUE!</v>
      </c>
      <c r="FU414" t="e">
        <f>Asia!I718+"n/&gt;!4J{"</f>
        <v>#VALUE!</v>
      </c>
      <c r="FV414" t="e">
        <f>Asia!A719+"n/&gt;!4J|"</f>
        <v>#VALUE!</v>
      </c>
      <c r="FW414" t="e">
        <f>Asia!B719+"n/&gt;!4J}"</f>
        <v>#VALUE!</v>
      </c>
      <c r="FX414" t="e">
        <f>Asia!C719+"n/&gt;!4J~"</f>
        <v>#VALUE!</v>
      </c>
      <c r="FY414" t="e">
        <f>Asia!D719+"n/&gt;!4K#"</f>
        <v>#VALUE!</v>
      </c>
      <c r="FZ414" t="e">
        <f>Asia!E719+"n/&gt;!4K$"</f>
        <v>#VALUE!</v>
      </c>
      <c r="GA414" t="e">
        <f>Asia!F719+"n/&gt;!4K%"</f>
        <v>#VALUE!</v>
      </c>
      <c r="GB414" t="e">
        <f>Asia!G719+"n/&gt;!4K&amp;"</f>
        <v>#VALUE!</v>
      </c>
      <c r="GC414" t="e">
        <f>Asia!H719+"n/&gt;!4K'"</f>
        <v>#VALUE!</v>
      </c>
      <c r="GD414" t="e">
        <f>Asia!I719+"n/&gt;!4K("</f>
        <v>#VALUE!</v>
      </c>
      <c r="GE414" t="e">
        <f>Asia!A720+"n/&gt;!4K)"</f>
        <v>#VALUE!</v>
      </c>
      <c r="GF414" t="e">
        <f>Asia!B720+"n/&gt;!4K."</f>
        <v>#VALUE!</v>
      </c>
      <c r="GG414" t="e">
        <f>Asia!C720+"n/&gt;!4K/"</f>
        <v>#VALUE!</v>
      </c>
      <c r="GH414" t="e">
        <f>Asia!D720+"n/&gt;!4K0"</f>
        <v>#VALUE!</v>
      </c>
      <c r="GI414" t="e">
        <f>Asia!E720+"n/&gt;!4K1"</f>
        <v>#VALUE!</v>
      </c>
      <c r="GJ414" t="e">
        <f>Asia!F720+"n/&gt;!4K2"</f>
        <v>#VALUE!</v>
      </c>
      <c r="GK414" t="e">
        <f>Asia!G720+"n/&gt;!4K3"</f>
        <v>#VALUE!</v>
      </c>
      <c r="GL414" t="e">
        <f>Asia!H720+"n/&gt;!4K4"</f>
        <v>#VALUE!</v>
      </c>
      <c r="GM414" t="e">
        <f>Asia!I720+"n/&gt;!4K5"</f>
        <v>#VALUE!</v>
      </c>
      <c r="GN414" t="e">
        <f>Asia!A721+"n/&gt;!4K6"</f>
        <v>#VALUE!</v>
      </c>
      <c r="GO414" t="e">
        <f>Asia!B721+"n/&gt;!4K7"</f>
        <v>#VALUE!</v>
      </c>
      <c r="GP414" t="e">
        <f>Asia!C721+"n/&gt;!4K8"</f>
        <v>#VALUE!</v>
      </c>
      <c r="GQ414" t="e">
        <f>Asia!D721+"n/&gt;!4K9"</f>
        <v>#VALUE!</v>
      </c>
      <c r="GR414" t="e">
        <f>Asia!E721+"n/&gt;!4K:"</f>
        <v>#VALUE!</v>
      </c>
      <c r="GS414" t="e">
        <f>Asia!F721+"n/&gt;!4K;"</f>
        <v>#VALUE!</v>
      </c>
      <c r="GT414" t="e">
        <f>Asia!G721+"n/&gt;!4K&lt;"</f>
        <v>#VALUE!</v>
      </c>
      <c r="GU414" t="e">
        <f>Asia!H721+"n/&gt;!4K="</f>
        <v>#VALUE!</v>
      </c>
      <c r="GV414" t="e">
        <f>Asia!I721+"n/&gt;!4K&gt;"</f>
        <v>#VALUE!</v>
      </c>
      <c r="GW414" t="e">
        <f>Asia!A722+"n/&gt;!4K?"</f>
        <v>#VALUE!</v>
      </c>
      <c r="GX414" t="e">
        <f>Asia!B722+"n/&gt;!4K@"</f>
        <v>#VALUE!</v>
      </c>
      <c r="GY414" t="e">
        <f>Asia!C722+"n/&gt;!4KA"</f>
        <v>#VALUE!</v>
      </c>
      <c r="GZ414" t="e">
        <f>Asia!D722+"n/&gt;!4KB"</f>
        <v>#VALUE!</v>
      </c>
      <c r="HA414" t="e">
        <f>Asia!E722+"n/&gt;!4KC"</f>
        <v>#VALUE!</v>
      </c>
      <c r="HB414" t="e">
        <f>Asia!F722+"n/&gt;!4KD"</f>
        <v>#VALUE!</v>
      </c>
      <c r="HC414" t="e">
        <f>Asia!G722+"n/&gt;!4KE"</f>
        <v>#VALUE!</v>
      </c>
      <c r="HD414" t="e">
        <f>Asia!H722+"n/&gt;!4KF"</f>
        <v>#VALUE!</v>
      </c>
      <c r="HE414" t="e">
        <f>Asia!I722+"n/&gt;!4KG"</f>
        <v>#VALUE!</v>
      </c>
      <c r="HF414" t="e">
        <f>Asia!A723+"n/&gt;!4KH"</f>
        <v>#VALUE!</v>
      </c>
      <c r="HG414" t="e">
        <f>Asia!B723+"n/&gt;!4KI"</f>
        <v>#VALUE!</v>
      </c>
      <c r="HH414" t="e">
        <f>Asia!C723+"n/&gt;!4KJ"</f>
        <v>#VALUE!</v>
      </c>
      <c r="HI414" t="e">
        <f>Asia!D723+"n/&gt;!4KK"</f>
        <v>#VALUE!</v>
      </c>
      <c r="HJ414" t="e">
        <f>Asia!E723+"n/&gt;!4KL"</f>
        <v>#VALUE!</v>
      </c>
      <c r="HK414" t="e">
        <f>Asia!F723+"n/&gt;!4KM"</f>
        <v>#VALUE!</v>
      </c>
      <c r="HL414" t="e">
        <f>Asia!G723+"n/&gt;!4KN"</f>
        <v>#VALUE!</v>
      </c>
      <c r="HM414" t="e">
        <f>Asia!H723+"n/&gt;!4KO"</f>
        <v>#VALUE!</v>
      </c>
      <c r="HN414" t="e">
        <f>Asia!I723+"n/&gt;!4KP"</f>
        <v>#VALUE!</v>
      </c>
      <c r="HO414" t="e">
        <f>Asia!A724+"n/&gt;!4KQ"</f>
        <v>#VALUE!</v>
      </c>
      <c r="HP414" t="e">
        <f>Asia!B724+"n/&gt;!4KR"</f>
        <v>#VALUE!</v>
      </c>
      <c r="HQ414" t="e">
        <f>Asia!C724+"n/&gt;!4KS"</f>
        <v>#VALUE!</v>
      </c>
      <c r="HR414" t="e">
        <f>Asia!D724+"n/&gt;!4KT"</f>
        <v>#VALUE!</v>
      </c>
      <c r="HS414" t="e">
        <f>Asia!E724+"n/&gt;!4KU"</f>
        <v>#VALUE!</v>
      </c>
      <c r="HT414" t="e">
        <f>Asia!F724+"n/&gt;!4KV"</f>
        <v>#VALUE!</v>
      </c>
      <c r="HU414" t="e">
        <f>Asia!G724+"n/&gt;!4KW"</f>
        <v>#VALUE!</v>
      </c>
      <c r="HV414" t="e">
        <f>Asia!H724+"n/&gt;!4KX"</f>
        <v>#VALUE!</v>
      </c>
      <c r="HW414" t="e">
        <f>Asia!I724+"n/&gt;!4KY"</f>
        <v>#VALUE!</v>
      </c>
      <c r="HX414" t="e">
        <f>Asia!A725+"n/&gt;!4KZ"</f>
        <v>#VALUE!</v>
      </c>
      <c r="HY414" t="e">
        <f>Asia!B725+"n/&gt;!4K["</f>
        <v>#VALUE!</v>
      </c>
      <c r="HZ414" t="e">
        <f>Asia!C725+"n/&gt;!4K\"</f>
        <v>#VALUE!</v>
      </c>
      <c r="IA414" t="e">
        <f>Asia!D725+"n/&gt;!4K]"</f>
        <v>#VALUE!</v>
      </c>
      <c r="IB414" t="e">
        <f>Asia!E725+"n/&gt;!4K^"</f>
        <v>#VALUE!</v>
      </c>
      <c r="IC414" t="e">
        <f>Asia!F725+"n/&gt;!4K_"</f>
        <v>#VALUE!</v>
      </c>
      <c r="ID414" t="e">
        <f>Asia!G725+"n/&gt;!4K`"</f>
        <v>#VALUE!</v>
      </c>
      <c r="IE414" t="e">
        <f>Asia!H725+"n/&gt;!4Ka"</f>
        <v>#VALUE!</v>
      </c>
      <c r="IF414" t="e">
        <f>Asia!I725+"n/&gt;!4Kb"</f>
        <v>#VALUE!</v>
      </c>
      <c r="IG414" t="e">
        <f>Asia!A726+"n/&gt;!4Kc"</f>
        <v>#VALUE!</v>
      </c>
      <c r="IH414" t="e">
        <f>Asia!B726+"n/&gt;!4Kd"</f>
        <v>#VALUE!</v>
      </c>
      <c r="II414" t="e">
        <f>Asia!C726+"n/&gt;!4Ke"</f>
        <v>#VALUE!</v>
      </c>
      <c r="IJ414" t="e">
        <f>Asia!D726+"n/&gt;!4Kf"</f>
        <v>#VALUE!</v>
      </c>
      <c r="IK414" t="e">
        <f>Asia!E726+"n/&gt;!4Kg"</f>
        <v>#VALUE!</v>
      </c>
      <c r="IL414" t="e">
        <f>Asia!F726+"n/&gt;!4Kh"</f>
        <v>#VALUE!</v>
      </c>
      <c r="IM414" t="e">
        <f>Asia!G726+"n/&gt;!4Ki"</f>
        <v>#VALUE!</v>
      </c>
      <c r="IN414" t="e">
        <f>Asia!H726+"n/&gt;!4Kj"</f>
        <v>#VALUE!</v>
      </c>
      <c r="IO414" t="e">
        <f>Asia!I726+"n/&gt;!4Kk"</f>
        <v>#VALUE!</v>
      </c>
      <c r="IP414" t="e">
        <f>Asia!A727+"n/&gt;!4Kl"</f>
        <v>#VALUE!</v>
      </c>
      <c r="IQ414" t="e">
        <f>Asia!B727+"n/&gt;!4Km"</f>
        <v>#VALUE!</v>
      </c>
      <c r="IR414" t="e">
        <f>Asia!C727+"n/&gt;!4Kn"</f>
        <v>#VALUE!</v>
      </c>
      <c r="IS414" t="e">
        <f>Asia!D727+"n/&gt;!4Ko"</f>
        <v>#VALUE!</v>
      </c>
      <c r="IT414" t="e">
        <f>Asia!E727+"n/&gt;!4Kp"</f>
        <v>#VALUE!</v>
      </c>
      <c r="IU414" t="e">
        <f>Asia!F727+"n/&gt;!4Kq"</f>
        <v>#VALUE!</v>
      </c>
      <c r="IV414" t="e">
        <f>Asia!G727+"n/&gt;!4Kr"</f>
        <v>#VALUE!</v>
      </c>
    </row>
    <row r="415" spans="6:256" x14ac:dyDescent="0.35">
      <c r="F415" t="e">
        <f>Asia!H727+"n/&gt;!4Ks"</f>
        <v>#VALUE!</v>
      </c>
      <c r="G415" t="e">
        <f>Asia!I727+"n/&gt;!4Kt"</f>
        <v>#VALUE!</v>
      </c>
      <c r="H415" t="e">
        <f>Asia!A728+"n/&gt;!4Ku"</f>
        <v>#VALUE!</v>
      </c>
      <c r="I415" t="e">
        <f>Asia!B728+"n/&gt;!4Kv"</f>
        <v>#VALUE!</v>
      </c>
      <c r="J415" t="e">
        <f>Asia!C728+"n/&gt;!4Kw"</f>
        <v>#VALUE!</v>
      </c>
      <c r="K415" t="e">
        <f>Asia!D728+"n/&gt;!4Kx"</f>
        <v>#VALUE!</v>
      </c>
      <c r="L415" t="e">
        <f>Asia!E728+"n/&gt;!4Ky"</f>
        <v>#VALUE!</v>
      </c>
      <c r="M415" t="e">
        <f>Asia!F728+"n/&gt;!4Kz"</f>
        <v>#VALUE!</v>
      </c>
      <c r="N415" t="e">
        <f>Asia!G728+"n/&gt;!4K{"</f>
        <v>#VALUE!</v>
      </c>
      <c r="O415" t="e">
        <f>Asia!H728+"n/&gt;!4K|"</f>
        <v>#VALUE!</v>
      </c>
      <c r="P415" t="e">
        <f>Asia!I728+"n/&gt;!4K}"</f>
        <v>#VALUE!</v>
      </c>
      <c r="Q415" t="e">
        <f>Asia!A729+"n/&gt;!4K~"</f>
        <v>#VALUE!</v>
      </c>
      <c r="R415" t="e">
        <f>Asia!B729+"n/&gt;!4L#"</f>
        <v>#VALUE!</v>
      </c>
      <c r="S415" t="e">
        <f>Asia!C729+"n/&gt;!4L$"</f>
        <v>#VALUE!</v>
      </c>
      <c r="T415" t="e">
        <f>Asia!D729+"n/&gt;!4L%"</f>
        <v>#VALUE!</v>
      </c>
      <c r="U415" t="e">
        <f>Asia!E729+"n/&gt;!4L&amp;"</f>
        <v>#VALUE!</v>
      </c>
      <c r="V415" t="e">
        <f>Asia!F729+"n/&gt;!4L'"</f>
        <v>#VALUE!</v>
      </c>
      <c r="W415" t="e">
        <f>Asia!G729+"n/&gt;!4L("</f>
        <v>#VALUE!</v>
      </c>
      <c r="X415" t="e">
        <f>Asia!H729+"n/&gt;!4L)"</f>
        <v>#VALUE!</v>
      </c>
      <c r="Y415" t="e">
        <f>Asia!I729+"n/&gt;!4L."</f>
        <v>#VALUE!</v>
      </c>
      <c r="Z415" t="e">
        <f>Asia!A730+"n/&gt;!4L/"</f>
        <v>#VALUE!</v>
      </c>
      <c r="AA415" t="e">
        <f>Asia!B730+"n/&gt;!4L0"</f>
        <v>#VALUE!</v>
      </c>
      <c r="AB415" t="e">
        <f>Asia!C730+"n/&gt;!4L1"</f>
        <v>#VALUE!</v>
      </c>
      <c r="AC415" t="e">
        <f>Asia!D730+"n/&gt;!4L2"</f>
        <v>#VALUE!</v>
      </c>
      <c r="AD415" t="e">
        <f>Asia!E730+"n/&gt;!4L3"</f>
        <v>#VALUE!</v>
      </c>
      <c r="AE415" t="e">
        <f>Asia!F730+"n/&gt;!4L4"</f>
        <v>#VALUE!</v>
      </c>
      <c r="AF415" t="e">
        <f>Asia!G730+"n/&gt;!4L5"</f>
        <v>#VALUE!</v>
      </c>
      <c r="AG415" t="e">
        <f>Asia!H730+"n/&gt;!4L6"</f>
        <v>#VALUE!</v>
      </c>
      <c r="AH415" t="e">
        <f>Asia!I730+"n/&gt;!4L7"</f>
        <v>#VALUE!</v>
      </c>
      <c r="AI415" t="e">
        <f>Asia!A731+"n/&gt;!4L8"</f>
        <v>#VALUE!</v>
      </c>
      <c r="AJ415" t="e">
        <f>Asia!B731+"n/&gt;!4L9"</f>
        <v>#VALUE!</v>
      </c>
      <c r="AK415" t="e">
        <f>Asia!C731+"n/&gt;!4L:"</f>
        <v>#VALUE!</v>
      </c>
      <c r="AL415" t="e">
        <f>Asia!D731+"n/&gt;!4L;"</f>
        <v>#VALUE!</v>
      </c>
      <c r="AM415" t="e">
        <f>Asia!E731+"n/&gt;!4L&lt;"</f>
        <v>#VALUE!</v>
      </c>
      <c r="AN415" t="e">
        <f>Asia!F731+"n/&gt;!4L="</f>
        <v>#VALUE!</v>
      </c>
      <c r="AO415" t="e">
        <f>Asia!G731+"n/&gt;!4L&gt;"</f>
        <v>#VALUE!</v>
      </c>
      <c r="AP415" t="e">
        <f>Asia!H731+"n/&gt;!4L?"</f>
        <v>#VALUE!</v>
      </c>
      <c r="AQ415" t="e">
        <f>Asia!I731+"n/&gt;!4L@"</f>
        <v>#VALUE!</v>
      </c>
      <c r="AR415" t="e">
        <f>Asia!A732+"n/&gt;!4LA"</f>
        <v>#VALUE!</v>
      </c>
      <c r="AS415" t="e">
        <f>Asia!B732+"n/&gt;!4LB"</f>
        <v>#VALUE!</v>
      </c>
      <c r="AT415" t="e">
        <f>Asia!C732+"n/&gt;!4LC"</f>
        <v>#VALUE!</v>
      </c>
      <c r="AU415" t="e">
        <f>Asia!D732+"n/&gt;!4LD"</f>
        <v>#VALUE!</v>
      </c>
      <c r="AV415" t="e">
        <f>Asia!E732+"n/&gt;!4LE"</f>
        <v>#VALUE!</v>
      </c>
      <c r="AW415" t="e">
        <f>Asia!F732+"n/&gt;!4LF"</f>
        <v>#VALUE!</v>
      </c>
      <c r="AX415" t="e">
        <f>Asia!G732+"n/&gt;!4LG"</f>
        <v>#VALUE!</v>
      </c>
      <c r="AY415" t="e">
        <f>Asia!H732+"n/&gt;!4LH"</f>
        <v>#VALUE!</v>
      </c>
      <c r="AZ415" t="e">
        <f>Asia!I732+"n/&gt;!4LI"</f>
        <v>#VALUE!</v>
      </c>
      <c r="BA415" t="e">
        <f>Asia!A733+"n/&gt;!4LJ"</f>
        <v>#VALUE!</v>
      </c>
      <c r="BB415" t="e">
        <f>Asia!B733+"n/&gt;!4LK"</f>
        <v>#VALUE!</v>
      </c>
      <c r="BC415" t="e">
        <f>Asia!C733+"n/&gt;!4LL"</f>
        <v>#VALUE!</v>
      </c>
      <c r="BD415" t="e">
        <f>Asia!D733+"n/&gt;!4LM"</f>
        <v>#VALUE!</v>
      </c>
      <c r="BE415" t="e">
        <f>Asia!E733+"n/&gt;!4LN"</f>
        <v>#VALUE!</v>
      </c>
      <c r="BF415" t="e">
        <f>Asia!F733+"n/&gt;!4LO"</f>
        <v>#VALUE!</v>
      </c>
      <c r="BG415" t="e">
        <f>Asia!G733+"n/&gt;!4LP"</f>
        <v>#VALUE!</v>
      </c>
      <c r="BH415" t="e">
        <f>Asia!H733+"n/&gt;!4LQ"</f>
        <v>#VALUE!</v>
      </c>
      <c r="BI415" t="e">
        <f>Asia!I733+"n/&gt;!4LR"</f>
        <v>#VALUE!</v>
      </c>
      <c r="BJ415" t="e">
        <f>Asia!A734+"n/&gt;!4LS"</f>
        <v>#VALUE!</v>
      </c>
      <c r="BK415" t="e">
        <f>Asia!B734+"n/&gt;!4LT"</f>
        <v>#VALUE!</v>
      </c>
      <c r="BL415" t="e">
        <f>Asia!C734+"n/&gt;!4LU"</f>
        <v>#VALUE!</v>
      </c>
      <c r="BM415" t="e">
        <f>Asia!D734+"n/&gt;!4LV"</f>
        <v>#VALUE!</v>
      </c>
      <c r="BN415" t="e">
        <f>Asia!E734+"n/&gt;!4LW"</f>
        <v>#VALUE!</v>
      </c>
      <c r="BO415" t="e">
        <f>Asia!F734+"n/&gt;!4LX"</f>
        <v>#VALUE!</v>
      </c>
      <c r="BP415" t="e">
        <f>Asia!G734+"n/&gt;!4LY"</f>
        <v>#VALUE!</v>
      </c>
      <c r="BQ415" t="e">
        <f>Asia!H734+"n/&gt;!4LZ"</f>
        <v>#VALUE!</v>
      </c>
      <c r="BR415" t="e">
        <f>Asia!I734+"n/&gt;!4L["</f>
        <v>#VALUE!</v>
      </c>
      <c r="BS415" t="e">
        <f>Asia!A735+"n/&gt;!4L\"</f>
        <v>#VALUE!</v>
      </c>
      <c r="BT415" t="e">
        <f>Asia!B735+"n/&gt;!4L]"</f>
        <v>#VALUE!</v>
      </c>
      <c r="BU415" t="e">
        <f>Asia!C735+"n/&gt;!4L^"</f>
        <v>#VALUE!</v>
      </c>
      <c r="BV415" t="e">
        <f>Asia!D735+"n/&gt;!4L_"</f>
        <v>#VALUE!</v>
      </c>
      <c r="BW415" t="e">
        <f>Asia!E735+"n/&gt;!4L`"</f>
        <v>#VALUE!</v>
      </c>
      <c r="BX415" t="e">
        <f>Asia!F735+"n/&gt;!4La"</f>
        <v>#VALUE!</v>
      </c>
      <c r="BY415" t="e">
        <f>Asia!G735+"n/&gt;!4Lb"</f>
        <v>#VALUE!</v>
      </c>
      <c r="BZ415" t="e">
        <f>Asia!H735+"n/&gt;!4Lc"</f>
        <v>#VALUE!</v>
      </c>
      <c r="CA415" t="e">
        <f>Asia!I735+"n/&gt;!4Ld"</f>
        <v>#VALUE!</v>
      </c>
      <c r="CB415" t="e">
        <f>Asia!A736+"n/&gt;!4Le"</f>
        <v>#VALUE!</v>
      </c>
      <c r="CC415" t="e">
        <f>Asia!B736+"n/&gt;!4Lf"</f>
        <v>#VALUE!</v>
      </c>
      <c r="CD415" t="e">
        <f>Asia!C736+"n/&gt;!4Lg"</f>
        <v>#VALUE!</v>
      </c>
      <c r="CE415" t="e">
        <f>Asia!D736+"n/&gt;!4Lh"</f>
        <v>#VALUE!</v>
      </c>
      <c r="CF415" t="e">
        <f>Asia!E736+"n/&gt;!4Li"</f>
        <v>#VALUE!</v>
      </c>
      <c r="CG415" t="e">
        <f>Asia!F736+"n/&gt;!4Lj"</f>
        <v>#VALUE!</v>
      </c>
      <c r="CH415" t="e">
        <f>Asia!G736+"n/&gt;!4Lk"</f>
        <v>#VALUE!</v>
      </c>
      <c r="CI415" t="e">
        <f>Asia!H736+"n/&gt;!4Ll"</f>
        <v>#VALUE!</v>
      </c>
      <c r="CJ415" t="e">
        <f>Asia!I736+"n/&gt;!4Lm"</f>
        <v>#VALUE!</v>
      </c>
      <c r="CK415" t="e">
        <f>Asia!A737+"n/&gt;!4Ln"</f>
        <v>#VALUE!</v>
      </c>
      <c r="CL415" t="e">
        <f>Asia!B737+"n/&gt;!4Lo"</f>
        <v>#VALUE!</v>
      </c>
      <c r="CM415" t="e">
        <f>Asia!C737+"n/&gt;!4Lp"</f>
        <v>#VALUE!</v>
      </c>
      <c r="CN415" t="e">
        <f>Asia!D737+"n/&gt;!4Lq"</f>
        <v>#VALUE!</v>
      </c>
      <c r="CO415" t="e">
        <f>Asia!E737+"n/&gt;!4Lr"</f>
        <v>#VALUE!</v>
      </c>
      <c r="CP415" t="e">
        <f>Asia!F737+"n/&gt;!4Ls"</f>
        <v>#VALUE!</v>
      </c>
      <c r="CQ415" t="e">
        <f>Asia!G737+"n/&gt;!4Lt"</f>
        <v>#VALUE!</v>
      </c>
      <c r="CR415" t="e">
        <f>Asia!H737+"n/&gt;!4Lu"</f>
        <v>#VALUE!</v>
      </c>
      <c r="CS415" t="e">
        <f>Asia!I737+"n/&gt;!4Lv"</f>
        <v>#VALUE!</v>
      </c>
      <c r="CT415" t="e">
        <f>Asia!A738+"n/&gt;!4Lw"</f>
        <v>#VALUE!</v>
      </c>
      <c r="CU415" t="e">
        <f>Asia!B738+"n/&gt;!4Lx"</f>
        <v>#VALUE!</v>
      </c>
      <c r="CV415" t="e">
        <f>Asia!C738+"n/&gt;!4Ly"</f>
        <v>#VALUE!</v>
      </c>
      <c r="CW415" t="e">
        <f>Asia!D738+"n/&gt;!4Lz"</f>
        <v>#VALUE!</v>
      </c>
      <c r="CX415" t="e">
        <f>Asia!E738+"n/&gt;!4L{"</f>
        <v>#VALUE!</v>
      </c>
      <c r="CY415" t="e">
        <f>Asia!F738+"n/&gt;!4L|"</f>
        <v>#VALUE!</v>
      </c>
      <c r="CZ415" t="e">
        <f>Asia!G738+"n/&gt;!4L}"</f>
        <v>#VALUE!</v>
      </c>
      <c r="DA415" t="e">
        <f>Asia!H738+"n/&gt;!4L~"</f>
        <v>#VALUE!</v>
      </c>
      <c r="DB415" t="e">
        <f>Asia!I738+"n/&gt;!4M#"</f>
        <v>#VALUE!</v>
      </c>
      <c r="DC415" t="e">
        <f>Asia!A739+"n/&gt;!4M$"</f>
        <v>#VALUE!</v>
      </c>
      <c r="DD415" t="e">
        <f>Asia!B739+"n/&gt;!4M%"</f>
        <v>#VALUE!</v>
      </c>
      <c r="DE415" t="e">
        <f>Asia!C739+"n/&gt;!4M&amp;"</f>
        <v>#VALUE!</v>
      </c>
      <c r="DF415" t="e">
        <f>Asia!D739+"n/&gt;!4M'"</f>
        <v>#VALUE!</v>
      </c>
      <c r="DG415" t="e">
        <f>Asia!E739+"n/&gt;!4M("</f>
        <v>#VALUE!</v>
      </c>
      <c r="DH415" t="e">
        <f>Asia!F739+"n/&gt;!4M)"</f>
        <v>#VALUE!</v>
      </c>
      <c r="DI415" t="e">
        <f>Asia!G739+"n/&gt;!4M."</f>
        <v>#VALUE!</v>
      </c>
      <c r="DJ415" t="e">
        <f>Asia!H739+"n/&gt;!4M/"</f>
        <v>#VALUE!</v>
      </c>
      <c r="DK415" t="e">
        <f>Asia!I739+"n/&gt;!4M0"</f>
        <v>#VALUE!</v>
      </c>
      <c r="DL415" t="e">
        <f>Asia!A740+"n/&gt;!4M1"</f>
        <v>#VALUE!</v>
      </c>
      <c r="DM415" t="e">
        <f>Asia!B740+"n/&gt;!4M2"</f>
        <v>#VALUE!</v>
      </c>
      <c r="DN415" t="e">
        <f>Asia!C740+"n/&gt;!4M3"</f>
        <v>#VALUE!</v>
      </c>
      <c r="DO415" t="e">
        <f>Asia!D740+"n/&gt;!4M4"</f>
        <v>#VALUE!</v>
      </c>
      <c r="DP415" t="e">
        <f>Asia!E740+"n/&gt;!4M5"</f>
        <v>#VALUE!</v>
      </c>
      <c r="DQ415" t="e">
        <f>Asia!F740+"n/&gt;!4M6"</f>
        <v>#VALUE!</v>
      </c>
      <c r="DR415" t="e">
        <f>Asia!G740+"n/&gt;!4M7"</f>
        <v>#VALUE!</v>
      </c>
      <c r="DS415" t="e">
        <f>Asia!H740+"n/&gt;!4M8"</f>
        <v>#VALUE!</v>
      </c>
      <c r="DT415" t="e">
        <f>Asia!I740+"n/&gt;!4M9"</f>
        <v>#VALUE!</v>
      </c>
      <c r="DU415" t="e">
        <f>Asia!A741+"n/&gt;!4M:"</f>
        <v>#VALUE!</v>
      </c>
      <c r="DV415" t="e">
        <f>Asia!B741+"n/&gt;!4M;"</f>
        <v>#VALUE!</v>
      </c>
      <c r="DW415" t="e">
        <f>Asia!C741+"n/&gt;!4M&lt;"</f>
        <v>#VALUE!</v>
      </c>
      <c r="DX415" t="e">
        <f>Asia!D741+"n/&gt;!4M="</f>
        <v>#VALUE!</v>
      </c>
      <c r="DY415" t="e">
        <f>Asia!E741+"n/&gt;!4M&gt;"</f>
        <v>#VALUE!</v>
      </c>
      <c r="DZ415" t="e">
        <f>Asia!F741+"n/&gt;!4M?"</f>
        <v>#VALUE!</v>
      </c>
      <c r="EA415" t="e">
        <f>Asia!G741+"n/&gt;!4M@"</f>
        <v>#VALUE!</v>
      </c>
      <c r="EB415" t="e">
        <f>Asia!H741+"n/&gt;!4MA"</f>
        <v>#VALUE!</v>
      </c>
      <c r="EC415" t="e">
        <f>Asia!I741+"n/&gt;!4MB"</f>
        <v>#VALUE!</v>
      </c>
      <c r="ED415" t="e">
        <f>Asia!A742+"n/&gt;!4MC"</f>
        <v>#VALUE!</v>
      </c>
      <c r="EE415" t="e">
        <f>Asia!B742+"n/&gt;!4MD"</f>
        <v>#VALUE!</v>
      </c>
      <c r="EF415" t="e">
        <f>Asia!C742+"n/&gt;!4ME"</f>
        <v>#VALUE!</v>
      </c>
      <c r="EG415" t="e">
        <f>Asia!D742+"n/&gt;!4MF"</f>
        <v>#VALUE!</v>
      </c>
      <c r="EH415" t="e">
        <f>Asia!E742+"n/&gt;!4MG"</f>
        <v>#VALUE!</v>
      </c>
      <c r="EI415" t="e">
        <f>Asia!F742+"n/&gt;!4MH"</f>
        <v>#VALUE!</v>
      </c>
      <c r="EJ415" t="e">
        <f>Asia!G742+"n/&gt;!4MI"</f>
        <v>#VALUE!</v>
      </c>
      <c r="EK415" t="e">
        <f>Asia!H742+"n/&gt;!4MJ"</f>
        <v>#VALUE!</v>
      </c>
      <c r="EL415" t="e">
        <f>Asia!I742+"n/&gt;!4MK"</f>
        <v>#VALUE!</v>
      </c>
      <c r="EM415" t="e">
        <f>Asia!A743+"n/&gt;!4ML"</f>
        <v>#VALUE!</v>
      </c>
      <c r="EN415" t="e">
        <f>Asia!B743+"n/&gt;!4MM"</f>
        <v>#VALUE!</v>
      </c>
      <c r="EO415" t="e">
        <f>Asia!C743+"n/&gt;!4MN"</f>
        <v>#VALUE!</v>
      </c>
      <c r="EP415" t="e">
        <f>Asia!D743+"n/&gt;!4MO"</f>
        <v>#VALUE!</v>
      </c>
      <c r="EQ415" t="e">
        <f>Asia!E743+"n/&gt;!4MP"</f>
        <v>#VALUE!</v>
      </c>
      <c r="ER415" t="e">
        <f>Asia!F743+"n/&gt;!4MQ"</f>
        <v>#VALUE!</v>
      </c>
      <c r="ES415" t="e">
        <f>Asia!G743+"n/&gt;!4MR"</f>
        <v>#VALUE!</v>
      </c>
      <c r="ET415" t="e">
        <f>Asia!H743+"n/&gt;!4MS"</f>
        <v>#VALUE!</v>
      </c>
      <c r="EU415" t="e">
        <f>Asia!I743+"n/&gt;!4MT"</f>
        <v>#VALUE!</v>
      </c>
      <c r="EV415" t="e">
        <f>Asia!A744+"n/&gt;!4MU"</f>
        <v>#VALUE!</v>
      </c>
      <c r="EW415" t="e">
        <f>Asia!B744+"n/&gt;!4MV"</f>
        <v>#VALUE!</v>
      </c>
      <c r="EX415" t="e">
        <f>Asia!C744+"n/&gt;!4MW"</f>
        <v>#VALUE!</v>
      </c>
      <c r="EY415" t="e">
        <f>Asia!D744+"n/&gt;!4MX"</f>
        <v>#VALUE!</v>
      </c>
      <c r="EZ415" t="e">
        <f>Asia!E744+"n/&gt;!4MY"</f>
        <v>#VALUE!</v>
      </c>
      <c r="FA415" t="e">
        <f>Asia!F744+"n/&gt;!4MZ"</f>
        <v>#VALUE!</v>
      </c>
      <c r="FB415" t="e">
        <f>Asia!G744+"n/&gt;!4M["</f>
        <v>#VALUE!</v>
      </c>
      <c r="FC415" t="e">
        <f>Asia!H744+"n/&gt;!4M\"</f>
        <v>#VALUE!</v>
      </c>
      <c r="FD415" t="e">
        <f>Asia!I744+"n/&gt;!4M]"</f>
        <v>#VALUE!</v>
      </c>
      <c r="FE415" t="e">
        <f>Asia!A745+"n/&gt;!4M^"</f>
        <v>#VALUE!</v>
      </c>
      <c r="FF415" t="e">
        <f>Asia!B745+"n/&gt;!4M_"</f>
        <v>#VALUE!</v>
      </c>
      <c r="FG415" t="e">
        <f>Asia!C745+"n/&gt;!4M`"</f>
        <v>#VALUE!</v>
      </c>
      <c r="FH415" t="e">
        <f>Asia!D745+"n/&gt;!4Ma"</f>
        <v>#VALUE!</v>
      </c>
      <c r="FI415" t="e">
        <f>Asia!E745+"n/&gt;!4Mb"</f>
        <v>#VALUE!</v>
      </c>
      <c r="FJ415" t="e">
        <f>Asia!F745+"n/&gt;!4Mc"</f>
        <v>#VALUE!</v>
      </c>
      <c r="FK415" t="e">
        <f>Asia!G745+"n/&gt;!4Md"</f>
        <v>#VALUE!</v>
      </c>
      <c r="FL415" t="e">
        <f>Asia!H745+"n/&gt;!4Me"</f>
        <v>#VALUE!</v>
      </c>
      <c r="FM415" t="e">
        <f>Asia!I745+"n/&gt;!4Mf"</f>
        <v>#VALUE!</v>
      </c>
      <c r="FN415" t="e">
        <f>Asia!A746+"n/&gt;!4Mg"</f>
        <v>#VALUE!</v>
      </c>
      <c r="FO415" t="e">
        <f>Asia!B746+"n/&gt;!4Mh"</f>
        <v>#VALUE!</v>
      </c>
      <c r="FP415" t="e">
        <f>Asia!C746+"n/&gt;!4Mi"</f>
        <v>#VALUE!</v>
      </c>
      <c r="FQ415" t="e">
        <f>Asia!D746+"n/&gt;!4Mj"</f>
        <v>#VALUE!</v>
      </c>
      <c r="FR415" t="e">
        <f>Asia!E746+"n/&gt;!4Mk"</f>
        <v>#VALUE!</v>
      </c>
      <c r="FS415" t="e">
        <f>Asia!F746+"n/&gt;!4Ml"</f>
        <v>#VALUE!</v>
      </c>
      <c r="FT415" t="e">
        <f>Asia!G746+"n/&gt;!4Mm"</f>
        <v>#VALUE!</v>
      </c>
      <c r="FU415" t="e">
        <f>Asia!H746+"n/&gt;!4Mn"</f>
        <v>#VALUE!</v>
      </c>
      <c r="FV415" t="e">
        <f>Asia!I746+"n/&gt;!4Mo"</f>
        <v>#VALUE!</v>
      </c>
      <c r="FW415" t="e">
        <f>Asia!A747+"n/&gt;!4Mp"</f>
        <v>#VALUE!</v>
      </c>
      <c r="FX415" t="e">
        <f>Asia!B747+"n/&gt;!4Mq"</f>
        <v>#VALUE!</v>
      </c>
      <c r="FY415" t="e">
        <f>Asia!C747+"n/&gt;!4Mr"</f>
        <v>#VALUE!</v>
      </c>
      <c r="FZ415" t="e">
        <f>Asia!D747+"n/&gt;!4Ms"</f>
        <v>#VALUE!</v>
      </c>
      <c r="GA415" t="e">
        <f>Asia!E747+"n/&gt;!4Mt"</f>
        <v>#VALUE!</v>
      </c>
      <c r="GB415" t="e">
        <f>Asia!F747+"n/&gt;!4Mu"</f>
        <v>#VALUE!</v>
      </c>
      <c r="GC415" t="e">
        <f>Asia!G747+"n/&gt;!4Mv"</f>
        <v>#VALUE!</v>
      </c>
      <c r="GD415" t="e">
        <f>Asia!H747+"n/&gt;!4Mw"</f>
        <v>#VALUE!</v>
      </c>
      <c r="GE415" t="e">
        <f>Asia!I747+"n/&gt;!4Mx"</f>
        <v>#VALUE!</v>
      </c>
      <c r="GF415" t="e">
        <f>Asia!A748+"n/&gt;!4My"</f>
        <v>#VALUE!</v>
      </c>
      <c r="GG415" t="e">
        <f>Asia!B748+"n/&gt;!4Mz"</f>
        <v>#VALUE!</v>
      </c>
      <c r="GH415" t="e">
        <f>Asia!C748+"n/&gt;!4M{"</f>
        <v>#VALUE!</v>
      </c>
      <c r="GI415" t="e">
        <f>Asia!D748+"n/&gt;!4M|"</f>
        <v>#VALUE!</v>
      </c>
      <c r="GJ415" t="e">
        <f>Asia!E748+"n/&gt;!4M}"</f>
        <v>#VALUE!</v>
      </c>
      <c r="GK415" t="e">
        <f>Asia!F748+"n/&gt;!4M~"</f>
        <v>#VALUE!</v>
      </c>
      <c r="GL415" t="e">
        <f>Asia!G748+"n/&gt;!4N#"</f>
        <v>#VALUE!</v>
      </c>
      <c r="GM415" t="e">
        <f>Asia!H748+"n/&gt;!4N$"</f>
        <v>#VALUE!</v>
      </c>
      <c r="GN415" t="e">
        <f>Asia!I748+"n/&gt;!4N%"</f>
        <v>#VALUE!</v>
      </c>
      <c r="GO415" t="e">
        <f>Asia!A749+"n/&gt;!4N&amp;"</f>
        <v>#VALUE!</v>
      </c>
      <c r="GP415" t="e">
        <f>Asia!B749+"n/&gt;!4N'"</f>
        <v>#VALUE!</v>
      </c>
      <c r="GQ415" t="e">
        <f>Asia!C749+"n/&gt;!4N("</f>
        <v>#VALUE!</v>
      </c>
      <c r="GR415" t="e">
        <f>Asia!D749+"n/&gt;!4N)"</f>
        <v>#VALUE!</v>
      </c>
      <c r="GS415" t="e">
        <f>Asia!E749+"n/&gt;!4N."</f>
        <v>#VALUE!</v>
      </c>
      <c r="GT415" t="e">
        <f>Asia!F749+"n/&gt;!4N/"</f>
        <v>#VALUE!</v>
      </c>
      <c r="GU415" t="e">
        <f>Asia!G749+"n/&gt;!4N0"</f>
        <v>#VALUE!</v>
      </c>
      <c r="GV415" t="e">
        <f>Asia!H749+"n/&gt;!4N1"</f>
        <v>#VALUE!</v>
      </c>
      <c r="GW415" t="e">
        <f>Asia!I749+"n/&gt;!4N2"</f>
        <v>#VALUE!</v>
      </c>
      <c r="GX415" t="e">
        <f>Asia!A750+"n/&gt;!4N3"</f>
        <v>#VALUE!</v>
      </c>
      <c r="GY415" t="e">
        <f>Asia!B750+"n/&gt;!4N4"</f>
        <v>#VALUE!</v>
      </c>
      <c r="GZ415" t="e">
        <f>Asia!C750+"n/&gt;!4N5"</f>
        <v>#VALUE!</v>
      </c>
      <c r="HA415" t="e">
        <f>Asia!D750+"n/&gt;!4N6"</f>
        <v>#VALUE!</v>
      </c>
      <c r="HB415" t="e">
        <f>Asia!E750+"n/&gt;!4N7"</f>
        <v>#VALUE!</v>
      </c>
      <c r="HC415" t="e">
        <f>Asia!F750+"n/&gt;!4N8"</f>
        <v>#VALUE!</v>
      </c>
      <c r="HD415" t="e">
        <f>Asia!G750+"n/&gt;!4N9"</f>
        <v>#VALUE!</v>
      </c>
      <c r="HE415" t="e">
        <f>Asia!H750+"n/&gt;!4N:"</f>
        <v>#VALUE!</v>
      </c>
      <c r="HF415" t="e">
        <f>Asia!I750+"n/&gt;!4N;"</f>
        <v>#VALUE!</v>
      </c>
      <c r="HG415" t="e">
        <f>Asia!A751+"n/&gt;!4N&lt;"</f>
        <v>#VALUE!</v>
      </c>
      <c r="HH415" t="e">
        <f>Asia!B751+"n/&gt;!4N="</f>
        <v>#VALUE!</v>
      </c>
      <c r="HI415" t="e">
        <f>Asia!C751+"n/&gt;!4N&gt;"</f>
        <v>#VALUE!</v>
      </c>
      <c r="HJ415" t="e">
        <f>Asia!D751+"n/&gt;!4N?"</f>
        <v>#VALUE!</v>
      </c>
      <c r="HK415" t="e">
        <f>Asia!E751+"n/&gt;!4N@"</f>
        <v>#VALUE!</v>
      </c>
      <c r="HL415" t="e">
        <f>Asia!F751+"n/&gt;!4NA"</f>
        <v>#VALUE!</v>
      </c>
      <c r="HM415" t="e">
        <f>Asia!G751+"n/&gt;!4NB"</f>
        <v>#VALUE!</v>
      </c>
      <c r="HN415" t="e">
        <f>Asia!H751+"n/&gt;!4NC"</f>
        <v>#VALUE!</v>
      </c>
      <c r="HO415" t="e">
        <f>Asia!I751+"n/&gt;!4ND"</f>
        <v>#VALUE!</v>
      </c>
      <c r="HP415" t="e">
        <f>Asia!A752+"n/&gt;!4NE"</f>
        <v>#VALUE!</v>
      </c>
      <c r="HQ415" t="e">
        <f>Asia!B752+"n/&gt;!4NF"</f>
        <v>#VALUE!</v>
      </c>
      <c r="HR415" t="e">
        <f>Asia!C752+"n/&gt;!4NG"</f>
        <v>#VALUE!</v>
      </c>
      <c r="HS415" t="e">
        <f>Asia!D752+"n/&gt;!4NH"</f>
        <v>#VALUE!</v>
      </c>
      <c r="HT415" t="e">
        <f>Asia!E752+"n/&gt;!4NI"</f>
        <v>#VALUE!</v>
      </c>
      <c r="HU415" t="e">
        <f>Asia!F752+"n/&gt;!4NJ"</f>
        <v>#VALUE!</v>
      </c>
      <c r="HV415" t="e">
        <f>Asia!G752+"n/&gt;!4NK"</f>
        <v>#VALUE!</v>
      </c>
      <c r="HW415" t="e">
        <f>Asia!H752+"n/&gt;!4NL"</f>
        <v>#VALUE!</v>
      </c>
      <c r="HX415" t="e">
        <f>Asia!I752+"n/&gt;!4NM"</f>
        <v>#VALUE!</v>
      </c>
      <c r="HY415" t="e">
        <f>Asia!A753+"n/&gt;!4NN"</f>
        <v>#VALUE!</v>
      </c>
      <c r="HZ415" t="e">
        <f>Asia!B753+"n/&gt;!4NO"</f>
        <v>#VALUE!</v>
      </c>
      <c r="IA415" t="e">
        <f>Asia!C753+"n/&gt;!4NP"</f>
        <v>#VALUE!</v>
      </c>
      <c r="IB415" t="e">
        <f>Asia!D753+"n/&gt;!4NQ"</f>
        <v>#VALUE!</v>
      </c>
      <c r="IC415" t="e">
        <f>Asia!E753+"n/&gt;!4NR"</f>
        <v>#VALUE!</v>
      </c>
      <c r="ID415" t="e">
        <f>Asia!F753+"n/&gt;!4NS"</f>
        <v>#VALUE!</v>
      </c>
      <c r="IE415" t="e">
        <f>Asia!G753+"n/&gt;!4NT"</f>
        <v>#VALUE!</v>
      </c>
      <c r="IF415" t="e">
        <f>Asia!H753+"n/&gt;!4NU"</f>
        <v>#VALUE!</v>
      </c>
      <c r="IG415" t="e">
        <f>Asia!I753+"n/&gt;!4NV"</f>
        <v>#VALUE!</v>
      </c>
      <c r="IH415" t="e">
        <f>Asia!A754+"n/&gt;!4NW"</f>
        <v>#VALUE!</v>
      </c>
      <c r="II415" t="e">
        <f>Asia!B754+"n/&gt;!4NX"</f>
        <v>#VALUE!</v>
      </c>
      <c r="IJ415" t="e">
        <f>Asia!C754+"n/&gt;!4NY"</f>
        <v>#VALUE!</v>
      </c>
      <c r="IK415" t="e">
        <f>Asia!D754+"n/&gt;!4NZ"</f>
        <v>#VALUE!</v>
      </c>
      <c r="IL415" t="e">
        <f>Asia!E754+"n/&gt;!4N["</f>
        <v>#VALUE!</v>
      </c>
      <c r="IM415" t="e">
        <f>Asia!F754+"n/&gt;!4N\"</f>
        <v>#VALUE!</v>
      </c>
      <c r="IN415" t="e">
        <f>Asia!G754+"n/&gt;!4N]"</f>
        <v>#VALUE!</v>
      </c>
      <c r="IO415" t="e">
        <f>Asia!H754+"n/&gt;!4N^"</f>
        <v>#VALUE!</v>
      </c>
      <c r="IP415" t="e">
        <f>Asia!I754+"n/&gt;!4N_"</f>
        <v>#VALUE!</v>
      </c>
      <c r="IQ415" t="e">
        <f>Asia!A755+"n/&gt;!4N`"</f>
        <v>#VALUE!</v>
      </c>
      <c r="IR415" t="e">
        <f>Asia!B755+"n/&gt;!4Na"</f>
        <v>#VALUE!</v>
      </c>
      <c r="IS415" t="e">
        <f>Asia!C755+"n/&gt;!4Nb"</f>
        <v>#VALUE!</v>
      </c>
      <c r="IT415" t="e">
        <f>Asia!D755+"n/&gt;!4Nc"</f>
        <v>#VALUE!</v>
      </c>
      <c r="IU415" t="e">
        <f>Asia!E755+"n/&gt;!4Nd"</f>
        <v>#VALUE!</v>
      </c>
      <c r="IV415" t="e">
        <f>Asia!F755+"n/&gt;!4Ne"</f>
        <v>#VALUE!</v>
      </c>
    </row>
    <row r="416" spans="6:256" x14ac:dyDescent="0.35">
      <c r="F416" t="e">
        <f>Asia!G755+"n/&gt;!4Nf"</f>
        <v>#VALUE!</v>
      </c>
      <c r="G416" t="e">
        <f>Asia!H755+"n/&gt;!4Ng"</f>
        <v>#VALUE!</v>
      </c>
      <c r="H416" t="e">
        <f>Asia!I755+"n/&gt;!4Nh"</f>
        <v>#VALUE!</v>
      </c>
      <c r="I416" t="e">
        <f>Asia!A756+"n/&gt;!4Ni"</f>
        <v>#VALUE!</v>
      </c>
      <c r="J416" t="e">
        <f>Asia!B756+"n/&gt;!4Nj"</f>
        <v>#VALUE!</v>
      </c>
      <c r="K416" t="e">
        <f>Asia!C756+"n/&gt;!4Nk"</f>
        <v>#VALUE!</v>
      </c>
      <c r="L416" t="e">
        <f>Asia!D756+"n/&gt;!4Nl"</f>
        <v>#VALUE!</v>
      </c>
      <c r="M416" t="e">
        <f>Asia!E756+"n/&gt;!4Nm"</f>
        <v>#VALUE!</v>
      </c>
      <c r="N416" t="e">
        <f>Asia!F756+"n/&gt;!4Nn"</f>
        <v>#VALUE!</v>
      </c>
      <c r="O416" t="e">
        <f>Asia!G756+"n/&gt;!4No"</f>
        <v>#VALUE!</v>
      </c>
      <c r="P416" t="e">
        <f>Asia!H756+"n/&gt;!4Np"</f>
        <v>#VALUE!</v>
      </c>
      <c r="Q416" t="e">
        <f>Asia!I756+"n/&gt;!4Nq"</f>
        <v>#VALUE!</v>
      </c>
      <c r="R416" t="e">
        <f>Asia!A757+"n/&gt;!4Nr"</f>
        <v>#VALUE!</v>
      </c>
      <c r="S416" t="e">
        <f>Asia!B757+"n/&gt;!4Ns"</f>
        <v>#VALUE!</v>
      </c>
      <c r="T416" t="e">
        <f>Asia!C757+"n/&gt;!4Nt"</f>
        <v>#VALUE!</v>
      </c>
      <c r="U416" t="e">
        <f>Asia!D757+"n/&gt;!4Nu"</f>
        <v>#VALUE!</v>
      </c>
      <c r="V416" t="e">
        <f>Asia!E757+"n/&gt;!4Nv"</f>
        <v>#VALUE!</v>
      </c>
      <c r="W416" t="e">
        <f>Asia!F757+"n/&gt;!4Nw"</f>
        <v>#VALUE!</v>
      </c>
      <c r="X416" t="e">
        <f>Asia!G757+"n/&gt;!4Nx"</f>
        <v>#VALUE!</v>
      </c>
      <c r="Y416" t="e">
        <f>Asia!H757+"n/&gt;!4Ny"</f>
        <v>#VALUE!</v>
      </c>
      <c r="Z416" t="e">
        <f>Asia!I757+"n/&gt;!4Nz"</f>
        <v>#VALUE!</v>
      </c>
      <c r="AA416" t="e">
        <f>Asia!A758+"n/&gt;!4N{"</f>
        <v>#VALUE!</v>
      </c>
      <c r="AB416" t="e">
        <f>Asia!B758+"n/&gt;!4N|"</f>
        <v>#VALUE!</v>
      </c>
      <c r="AC416" t="e">
        <f>Asia!C758+"n/&gt;!4N}"</f>
        <v>#VALUE!</v>
      </c>
      <c r="AD416" t="e">
        <f>Asia!D758+"n/&gt;!4N~"</f>
        <v>#VALUE!</v>
      </c>
      <c r="AE416" t="e">
        <f>Asia!E758+"n/&gt;!4O#"</f>
        <v>#VALUE!</v>
      </c>
      <c r="AF416" t="e">
        <f>Asia!F758+"n/&gt;!4O$"</f>
        <v>#VALUE!</v>
      </c>
      <c r="AG416" t="e">
        <f>Asia!G758+"n/&gt;!4O%"</f>
        <v>#VALUE!</v>
      </c>
      <c r="AH416" t="e">
        <f>Asia!H758+"n/&gt;!4O&amp;"</f>
        <v>#VALUE!</v>
      </c>
      <c r="AI416" t="e">
        <f>Asia!I758+"n/&gt;!4O'"</f>
        <v>#VALUE!</v>
      </c>
      <c r="AJ416" t="e">
        <f>Asia!A759+"n/&gt;!4O("</f>
        <v>#VALUE!</v>
      </c>
      <c r="AK416" t="e">
        <f>Asia!B759+"n/&gt;!4O)"</f>
        <v>#VALUE!</v>
      </c>
      <c r="AL416" t="e">
        <f>Asia!C759+"n/&gt;!4O."</f>
        <v>#VALUE!</v>
      </c>
      <c r="AM416" t="e">
        <f>Asia!D759+"n/&gt;!4O/"</f>
        <v>#VALUE!</v>
      </c>
      <c r="AN416" t="e">
        <f>Asia!E759+"n/&gt;!4O0"</f>
        <v>#VALUE!</v>
      </c>
      <c r="AO416" t="e">
        <f>Asia!F759+"n/&gt;!4O1"</f>
        <v>#VALUE!</v>
      </c>
      <c r="AP416" t="e">
        <f>Asia!G759+"n/&gt;!4O2"</f>
        <v>#VALUE!</v>
      </c>
      <c r="AQ416" t="e">
        <f>Asia!H759+"n/&gt;!4O3"</f>
        <v>#VALUE!</v>
      </c>
      <c r="AR416" t="e">
        <f>Asia!I759+"n/&gt;!4O4"</f>
        <v>#VALUE!</v>
      </c>
      <c r="AS416" t="e">
        <f>Asia!A760+"n/&gt;!4O5"</f>
        <v>#VALUE!</v>
      </c>
      <c r="AT416" t="e">
        <f>Asia!B760+"n/&gt;!4O6"</f>
        <v>#VALUE!</v>
      </c>
      <c r="AU416" t="e">
        <f>Asia!C760+"n/&gt;!4O7"</f>
        <v>#VALUE!</v>
      </c>
      <c r="AV416" t="e">
        <f>Asia!D760+"n/&gt;!4O8"</f>
        <v>#VALUE!</v>
      </c>
      <c r="AW416" t="e">
        <f>Asia!E760+"n/&gt;!4O9"</f>
        <v>#VALUE!</v>
      </c>
      <c r="AX416" t="e">
        <f>Asia!F760+"n/&gt;!4O:"</f>
        <v>#VALUE!</v>
      </c>
      <c r="AY416" t="e">
        <f>Asia!G760+"n/&gt;!4O;"</f>
        <v>#VALUE!</v>
      </c>
      <c r="AZ416" t="e">
        <f>Asia!H760+"n/&gt;!4O&lt;"</f>
        <v>#VALUE!</v>
      </c>
      <c r="BA416" t="e">
        <f>Asia!I760+"n/&gt;!4O="</f>
        <v>#VALUE!</v>
      </c>
      <c r="BB416" t="e">
        <f>Asia!A761+"n/&gt;!4O&gt;"</f>
        <v>#VALUE!</v>
      </c>
      <c r="BC416" t="e">
        <f>Asia!B761+"n/&gt;!4O?"</f>
        <v>#VALUE!</v>
      </c>
      <c r="BD416" t="e">
        <f>Asia!C761+"n/&gt;!4O@"</f>
        <v>#VALUE!</v>
      </c>
      <c r="BE416" t="e">
        <f>Asia!D761+"n/&gt;!4OA"</f>
        <v>#VALUE!</v>
      </c>
      <c r="BF416" t="e">
        <f>Asia!E761+"n/&gt;!4OB"</f>
        <v>#VALUE!</v>
      </c>
      <c r="BG416" t="e">
        <f>Asia!F761+"n/&gt;!4OC"</f>
        <v>#VALUE!</v>
      </c>
      <c r="BH416" t="e">
        <f>Asia!G761+"n/&gt;!4OD"</f>
        <v>#VALUE!</v>
      </c>
      <c r="BI416" t="e">
        <f>Asia!H761+"n/&gt;!4OE"</f>
        <v>#VALUE!</v>
      </c>
      <c r="BJ416" t="e">
        <f>Asia!I761+"n/&gt;!4OF"</f>
        <v>#VALUE!</v>
      </c>
      <c r="BK416" t="e">
        <f>Asia!A762+"n/&gt;!4OG"</f>
        <v>#VALUE!</v>
      </c>
      <c r="BL416" t="e">
        <f>Asia!B762+"n/&gt;!4OH"</f>
        <v>#VALUE!</v>
      </c>
      <c r="BM416" t="e">
        <f>Asia!C762+"n/&gt;!4OI"</f>
        <v>#VALUE!</v>
      </c>
      <c r="BN416" t="e">
        <f>Asia!D762+"n/&gt;!4OJ"</f>
        <v>#VALUE!</v>
      </c>
      <c r="BO416" t="e">
        <f>Asia!E762+"n/&gt;!4OK"</f>
        <v>#VALUE!</v>
      </c>
      <c r="BP416" t="e">
        <f>Asia!F762+"n/&gt;!4OL"</f>
        <v>#VALUE!</v>
      </c>
      <c r="BQ416" t="e">
        <f>Asia!G762+"n/&gt;!4OM"</f>
        <v>#VALUE!</v>
      </c>
      <c r="BR416" t="e">
        <f>Asia!H762+"n/&gt;!4ON"</f>
        <v>#VALUE!</v>
      </c>
      <c r="BS416" t="e">
        <f>Asia!I762+"n/&gt;!4OO"</f>
        <v>#VALUE!</v>
      </c>
      <c r="BT416" t="e">
        <f>Asia!A763+"n/&gt;!4OP"</f>
        <v>#VALUE!</v>
      </c>
      <c r="BU416" t="e">
        <f>Asia!B763+"n/&gt;!4OQ"</f>
        <v>#VALUE!</v>
      </c>
      <c r="BV416" t="e">
        <f>Asia!C763+"n/&gt;!4OR"</f>
        <v>#VALUE!</v>
      </c>
      <c r="BW416" t="e">
        <f>Asia!D763+"n/&gt;!4OS"</f>
        <v>#VALUE!</v>
      </c>
      <c r="BX416" t="e">
        <f>Asia!E763+"n/&gt;!4OT"</f>
        <v>#VALUE!</v>
      </c>
      <c r="BY416" t="e">
        <f>Asia!F763+"n/&gt;!4OU"</f>
        <v>#VALUE!</v>
      </c>
      <c r="BZ416" t="e">
        <f>Asia!G763+"n/&gt;!4OV"</f>
        <v>#VALUE!</v>
      </c>
      <c r="CA416" t="e">
        <f>Asia!H763+"n/&gt;!4OW"</f>
        <v>#VALUE!</v>
      </c>
      <c r="CB416" t="e">
        <f>Asia!I763+"n/&gt;!4OX"</f>
        <v>#VALUE!</v>
      </c>
      <c r="CC416" t="e">
        <f>Asia!A764+"n/&gt;!4OY"</f>
        <v>#VALUE!</v>
      </c>
      <c r="CD416" t="e">
        <f>Asia!B764+"n/&gt;!4OZ"</f>
        <v>#VALUE!</v>
      </c>
      <c r="CE416" t="e">
        <f>Asia!C764+"n/&gt;!4O["</f>
        <v>#VALUE!</v>
      </c>
      <c r="CF416" t="e">
        <f>Asia!D764+"n/&gt;!4O\"</f>
        <v>#VALUE!</v>
      </c>
      <c r="CG416" t="e">
        <f>Asia!E764+"n/&gt;!4O]"</f>
        <v>#VALUE!</v>
      </c>
      <c r="CH416" t="e">
        <f>Asia!F764+"n/&gt;!4O^"</f>
        <v>#VALUE!</v>
      </c>
      <c r="CI416" t="e">
        <f>Asia!G764+"n/&gt;!4O_"</f>
        <v>#VALUE!</v>
      </c>
      <c r="CJ416" t="e">
        <f>Asia!H764+"n/&gt;!4O`"</f>
        <v>#VALUE!</v>
      </c>
      <c r="CK416" t="e">
        <f>Asia!I764+"n/&gt;!4Oa"</f>
        <v>#VALUE!</v>
      </c>
      <c r="CL416" t="e">
        <f>Asia!A765+"n/&gt;!4Ob"</f>
        <v>#VALUE!</v>
      </c>
      <c r="CM416" t="e">
        <f>Asia!B765+"n/&gt;!4Oc"</f>
        <v>#VALUE!</v>
      </c>
      <c r="CN416" t="e">
        <f>Asia!C765+"n/&gt;!4Od"</f>
        <v>#VALUE!</v>
      </c>
      <c r="CO416" t="e">
        <f>Asia!D765+"n/&gt;!4Oe"</f>
        <v>#VALUE!</v>
      </c>
      <c r="CP416" t="e">
        <f>Asia!E765+"n/&gt;!4Of"</f>
        <v>#VALUE!</v>
      </c>
      <c r="CQ416" t="e">
        <f>Asia!F765+"n/&gt;!4Og"</f>
        <v>#VALUE!</v>
      </c>
      <c r="CR416" t="e">
        <f>Asia!G765+"n/&gt;!4Oh"</f>
        <v>#VALUE!</v>
      </c>
      <c r="CS416" t="e">
        <f>Asia!H765+"n/&gt;!4Oi"</f>
        <v>#VALUE!</v>
      </c>
      <c r="CT416" t="e">
        <f>Asia!I765+"n/&gt;!4Oj"</f>
        <v>#VALUE!</v>
      </c>
      <c r="CU416" t="e">
        <f>Asia!A766+"n/&gt;!4Ok"</f>
        <v>#VALUE!</v>
      </c>
      <c r="CV416" t="e">
        <f>Asia!B766+"n/&gt;!4Ol"</f>
        <v>#VALUE!</v>
      </c>
      <c r="CW416" t="e">
        <f>Asia!C766+"n/&gt;!4Om"</f>
        <v>#VALUE!</v>
      </c>
      <c r="CX416" t="e">
        <f>Asia!D766+"n/&gt;!4On"</f>
        <v>#VALUE!</v>
      </c>
      <c r="CY416" t="e">
        <f>Asia!E766+"n/&gt;!4Oo"</f>
        <v>#VALUE!</v>
      </c>
      <c r="CZ416" t="e">
        <f>Asia!F766+"n/&gt;!4Op"</f>
        <v>#VALUE!</v>
      </c>
      <c r="DA416" t="e">
        <f>Asia!G766+"n/&gt;!4Oq"</f>
        <v>#VALUE!</v>
      </c>
      <c r="DB416" t="e">
        <f>Asia!H766+"n/&gt;!4Or"</f>
        <v>#VALUE!</v>
      </c>
      <c r="DC416" t="e">
        <f>Asia!I766+"n/&gt;!4Os"</f>
        <v>#VALUE!</v>
      </c>
      <c r="DD416" t="e">
        <f>Asia!A767+"n/&gt;!4Ot"</f>
        <v>#VALUE!</v>
      </c>
      <c r="DE416" t="e">
        <f>Asia!B767+"n/&gt;!4Ou"</f>
        <v>#VALUE!</v>
      </c>
      <c r="DF416" t="e">
        <f>Asia!C767+"n/&gt;!4Ov"</f>
        <v>#VALUE!</v>
      </c>
      <c r="DG416" t="e">
        <f>Asia!D767+"n/&gt;!4Ow"</f>
        <v>#VALUE!</v>
      </c>
      <c r="DH416" t="e">
        <f>Asia!E767+"n/&gt;!4Ox"</f>
        <v>#VALUE!</v>
      </c>
      <c r="DI416" t="e">
        <f>Asia!F767+"n/&gt;!4Oy"</f>
        <v>#VALUE!</v>
      </c>
      <c r="DJ416" t="e">
        <f>Asia!G767+"n/&gt;!4Oz"</f>
        <v>#VALUE!</v>
      </c>
      <c r="DK416" t="e">
        <f>Asia!H767+"n/&gt;!4O{"</f>
        <v>#VALUE!</v>
      </c>
      <c r="DL416" t="e">
        <f>Asia!I767+"n/&gt;!4O|"</f>
        <v>#VALUE!</v>
      </c>
      <c r="DM416" t="e">
        <f>Asia!A768+"n/&gt;!4O}"</f>
        <v>#VALUE!</v>
      </c>
      <c r="DN416" t="e">
        <f>Asia!B768+"n/&gt;!4O~"</f>
        <v>#VALUE!</v>
      </c>
      <c r="DO416" t="e">
        <f>Asia!C768+"n/&gt;!4P#"</f>
        <v>#VALUE!</v>
      </c>
      <c r="DP416" t="e">
        <f>Asia!D768+"n/&gt;!4P$"</f>
        <v>#VALUE!</v>
      </c>
      <c r="DQ416" t="e">
        <f>Asia!E768+"n/&gt;!4P%"</f>
        <v>#VALUE!</v>
      </c>
      <c r="DR416" t="e">
        <f>Asia!F768+"n/&gt;!4P&amp;"</f>
        <v>#VALUE!</v>
      </c>
      <c r="DS416" t="e">
        <f>Asia!G768+"n/&gt;!4P'"</f>
        <v>#VALUE!</v>
      </c>
      <c r="DT416" t="e">
        <f>Asia!H768+"n/&gt;!4P("</f>
        <v>#VALUE!</v>
      </c>
      <c r="DU416" t="e">
        <f>Asia!I768+"n/&gt;!4P)"</f>
        <v>#VALUE!</v>
      </c>
      <c r="DV416" t="e">
        <f>Asia!A769+"n/&gt;!4P."</f>
        <v>#VALUE!</v>
      </c>
      <c r="DW416" t="e">
        <f>Asia!B769+"n/&gt;!4P/"</f>
        <v>#VALUE!</v>
      </c>
      <c r="DX416" t="e">
        <f>Asia!C769+"n/&gt;!4P0"</f>
        <v>#VALUE!</v>
      </c>
      <c r="DY416" t="e">
        <f>Asia!D769+"n/&gt;!4P1"</f>
        <v>#VALUE!</v>
      </c>
      <c r="DZ416" t="e">
        <f>Asia!E769+"n/&gt;!4P2"</f>
        <v>#VALUE!</v>
      </c>
      <c r="EA416" t="e">
        <f>Asia!F769+"n/&gt;!4P3"</f>
        <v>#VALUE!</v>
      </c>
      <c r="EB416" t="e">
        <f>Asia!G769+"n/&gt;!4P4"</f>
        <v>#VALUE!</v>
      </c>
      <c r="EC416" t="e">
        <f>Asia!H769+"n/&gt;!4P5"</f>
        <v>#VALUE!</v>
      </c>
      <c r="ED416" t="e">
        <f>Asia!I769+"n/&gt;!4P6"</f>
        <v>#VALUE!</v>
      </c>
      <c r="EE416" t="e">
        <f>Asia!A770+"n/&gt;!4P7"</f>
        <v>#VALUE!</v>
      </c>
      <c r="EF416" t="e">
        <f>Asia!B770+"n/&gt;!4P8"</f>
        <v>#VALUE!</v>
      </c>
      <c r="EG416" t="e">
        <f>Asia!C770+"n/&gt;!4P9"</f>
        <v>#VALUE!</v>
      </c>
      <c r="EH416" t="e">
        <f>Asia!D770+"n/&gt;!4P:"</f>
        <v>#VALUE!</v>
      </c>
      <c r="EI416" t="e">
        <f>Asia!E770+"n/&gt;!4P;"</f>
        <v>#VALUE!</v>
      </c>
      <c r="EJ416" t="e">
        <f>Asia!F770+"n/&gt;!4P&lt;"</f>
        <v>#VALUE!</v>
      </c>
      <c r="EK416" t="e">
        <f>Asia!G770+"n/&gt;!4P="</f>
        <v>#VALUE!</v>
      </c>
      <c r="EL416" t="e">
        <f>Asia!H770+"n/&gt;!4P&gt;"</f>
        <v>#VALUE!</v>
      </c>
      <c r="EM416" t="e">
        <f>Asia!I770+"n/&gt;!4P?"</f>
        <v>#VALUE!</v>
      </c>
      <c r="EN416" t="e">
        <f>Asia!A771+"n/&gt;!4P@"</f>
        <v>#VALUE!</v>
      </c>
      <c r="EO416" t="e">
        <f>Asia!B771+"n/&gt;!4PA"</f>
        <v>#VALUE!</v>
      </c>
      <c r="EP416" t="e">
        <f>Asia!C771+"n/&gt;!4PB"</f>
        <v>#VALUE!</v>
      </c>
      <c r="EQ416" t="e">
        <f>Asia!D771+"n/&gt;!4PC"</f>
        <v>#VALUE!</v>
      </c>
      <c r="ER416" t="e">
        <f>Asia!E771+"n/&gt;!4PD"</f>
        <v>#VALUE!</v>
      </c>
      <c r="ES416" t="e">
        <f>Asia!F771+"n/&gt;!4PE"</f>
        <v>#VALUE!</v>
      </c>
      <c r="ET416" t="e">
        <f>Asia!G771+"n/&gt;!4PF"</f>
        <v>#VALUE!</v>
      </c>
      <c r="EU416" t="e">
        <f>Asia!H771+"n/&gt;!4PG"</f>
        <v>#VALUE!</v>
      </c>
      <c r="EV416" t="e">
        <f>Asia!I771+"n/&gt;!4PH"</f>
        <v>#VALUE!</v>
      </c>
      <c r="EW416" t="e">
        <f>Asia!A772+"n/&gt;!4PI"</f>
        <v>#VALUE!</v>
      </c>
      <c r="EX416" t="e">
        <f>Asia!B772+"n/&gt;!4PJ"</f>
        <v>#VALUE!</v>
      </c>
      <c r="EY416" t="e">
        <f>Asia!C772+"n/&gt;!4PK"</f>
        <v>#VALUE!</v>
      </c>
      <c r="EZ416" t="e">
        <f>Asia!D772+"n/&gt;!4PL"</f>
        <v>#VALUE!</v>
      </c>
      <c r="FA416" t="e">
        <f>Asia!E772+"n/&gt;!4PM"</f>
        <v>#VALUE!</v>
      </c>
      <c r="FB416" t="e">
        <f>Asia!F772+"n/&gt;!4PN"</f>
        <v>#VALUE!</v>
      </c>
      <c r="FC416" t="e">
        <f>Asia!G772+"n/&gt;!4PO"</f>
        <v>#VALUE!</v>
      </c>
      <c r="FD416" t="e">
        <f>Asia!H772+"n/&gt;!4PP"</f>
        <v>#VALUE!</v>
      </c>
      <c r="FE416" t="e">
        <f>Asia!I772+"n/&gt;!4PQ"</f>
        <v>#VALUE!</v>
      </c>
      <c r="FF416" t="e">
        <f>Asia!A773+"n/&gt;!4PR"</f>
        <v>#VALUE!</v>
      </c>
      <c r="FG416" t="e">
        <f>Asia!B773+"n/&gt;!4PS"</f>
        <v>#VALUE!</v>
      </c>
      <c r="FH416" t="e">
        <f>Asia!C773+"n/&gt;!4PT"</f>
        <v>#VALUE!</v>
      </c>
      <c r="FI416" t="e">
        <f>Asia!D773+"n/&gt;!4PU"</f>
        <v>#VALUE!</v>
      </c>
      <c r="FJ416" t="e">
        <f>Asia!E773+"n/&gt;!4PV"</f>
        <v>#VALUE!</v>
      </c>
      <c r="FK416" t="e">
        <f>Asia!F773+"n/&gt;!4PW"</f>
        <v>#VALUE!</v>
      </c>
      <c r="FL416" t="e">
        <f>Asia!G773+"n/&gt;!4PX"</f>
        <v>#VALUE!</v>
      </c>
      <c r="FM416" t="e">
        <f>Asia!H773+"n/&gt;!4PY"</f>
        <v>#VALUE!</v>
      </c>
      <c r="FN416" t="e">
        <f>Asia!I773+"n/&gt;!4PZ"</f>
        <v>#VALUE!</v>
      </c>
      <c r="FO416" t="e">
        <f>Asia!A774+"n/&gt;!4P["</f>
        <v>#VALUE!</v>
      </c>
      <c r="FP416" t="e">
        <f>Asia!B774+"n/&gt;!4P\"</f>
        <v>#VALUE!</v>
      </c>
      <c r="FQ416" t="e">
        <f>Asia!C774+"n/&gt;!4P]"</f>
        <v>#VALUE!</v>
      </c>
      <c r="FR416" t="e">
        <f>Asia!D774+"n/&gt;!4P^"</f>
        <v>#VALUE!</v>
      </c>
      <c r="FS416" t="e">
        <f>Asia!E774+"n/&gt;!4P_"</f>
        <v>#VALUE!</v>
      </c>
      <c r="FT416" t="e">
        <f>Asia!F774+"n/&gt;!4P`"</f>
        <v>#VALUE!</v>
      </c>
      <c r="FU416" t="e">
        <f>Asia!G774+"n/&gt;!4Pa"</f>
        <v>#VALUE!</v>
      </c>
      <c r="FV416" t="e">
        <f>Asia!H774+"n/&gt;!4Pb"</f>
        <v>#VALUE!</v>
      </c>
      <c r="FW416" t="e">
        <f>Asia!I774+"n/&gt;!4Pc"</f>
        <v>#VALUE!</v>
      </c>
      <c r="FX416" t="e">
        <f>Asia!A775+"n/&gt;!4Pd"</f>
        <v>#VALUE!</v>
      </c>
      <c r="FY416" t="e">
        <f>Asia!B775+"n/&gt;!4Pe"</f>
        <v>#VALUE!</v>
      </c>
      <c r="FZ416" t="e">
        <f>Asia!C775+"n/&gt;!4Pf"</f>
        <v>#VALUE!</v>
      </c>
      <c r="GA416" t="e">
        <f>Asia!D775+"n/&gt;!4Pg"</f>
        <v>#VALUE!</v>
      </c>
      <c r="GB416" t="e">
        <f>Asia!E775+"n/&gt;!4Ph"</f>
        <v>#VALUE!</v>
      </c>
      <c r="GC416" t="e">
        <f>Asia!F775+"n/&gt;!4Pi"</f>
        <v>#VALUE!</v>
      </c>
      <c r="GD416" t="e">
        <f>Asia!G775+"n/&gt;!4Pj"</f>
        <v>#VALUE!</v>
      </c>
      <c r="GE416" t="e">
        <f>Asia!H775+"n/&gt;!4Pk"</f>
        <v>#VALUE!</v>
      </c>
      <c r="GF416" t="e">
        <f>Asia!I775+"n/&gt;!4Pl"</f>
        <v>#VALUE!</v>
      </c>
      <c r="GG416" t="e">
        <f>Asia!A776+"n/&gt;!4Pm"</f>
        <v>#VALUE!</v>
      </c>
      <c r="GH416" t="e">
        <f>Asia!B776+"n/&gt;!4Pn"</f>
        <v>#VALUE!</v>
      </c>
      <c r="GI416" t="e">
        <f>Asia!C776+"n/&gt;!4Po"</f>
        <v>#VALUE!</v>
      </c>
      <c r="GJ416" t="e">
        <f>Asia!D776+"n/&gt;!4Pp"</f>
        <v>#VALUE!</v>
      </c>
      <c r="GK416" t="e">
        <f>Asia!E776+"n/&gt;!4Pq"</f>
        <v>#VALUE!</v>
      </c>
      <c r="GL416" t="e">
        <f>Asia!F776+"n/&gt;!4Pr"</f>
        <v>#VALUE!</v>
      </c>
      <c r="GM416" t="e">
        <f>Asia!G776+"n/&gt;!4Ps"</f>
        <v>#VALUE!</v>
      </c>
      <c r="GN416" t="e">
        <f>Asia!H776+"n/&gt;!4Pt"</f>
        <v>#VALUE!</v>
      </c>
      <c r="GO416" t="e">
        <f>Asia!I776+"n/&gt;!4Pu"</f>
        <v>#VALUE!</v>
      </c>
      <c r="GP416" t="e">
        <f>Asia!A777+"n/&gt;!4Pv"</f>
        <v>#VALUE!</v>
      </c>
      <c r="GQ416" t="e">
        <f>Asia!B777+"n/&gt;!4Pw"</f>
        <v>#VALUE!</v>
      </c>
      <c r="GR416" t="e">
        <f>Asia!C777+"n/&gt;!4Px"</f>
        <v>#VALUE!</v>
      </c>
      <c r="GS416" t="e">
        <f>Asia!D777+"n/&gt;!4Py"</f>
        <v>#VALUE!</v>
      </c>
      <c r="GT416" t="e">
        <f>Asia!E777+"n/&gt;!4Pz"</f>
        <v>#VALUE!</v>
      </c>
      <c r="GU416" t="e">
        <f>Asia!F777+"n/&gt;!4P{"</f>
        <v>#VALUE!</v>
      </c>
      <c r="GV416" t="e">
        <f>Asia!G777+"n/&gt;!4P|"</f>
        <v>#VALUE!</v>
      </c>
      <c r="GW416" t="e">
        <f>Asia!H777+"n/&gt;!4P}"</f>
        <v>#VALUE!</v>
      </c>
      <c r="GX416" t="e">
        <f>Asia!I777+"n/&gt;!4P~"</f>
        <v>#VALUE!</v>
      </c>
      <c r="GY416" t="e">
        <f>Asia!A778+"n/&gt;!4Q#"</f>
        <v>#VALUE!</v>
      </c>
      <c r="GZ416" t="e">
        <f>Asia!B778+"n/&gt;!4Q$"</f>
        <v>#VALUE!</v>
      </c>
      <c r="HA416" t="e">
        <f>Asia!C778+"n/&gt;!4Q%"</f>
        <v>#VALUE!</v>
      </c>
      <c r="HB416" t="e">
        <f>Asia!D778+"n/&gt;!4Q&amp;"</f>
        <v>#VALUE!</v>
      </c>
      <c r="HC416" t="e">
        <f>Asia!E778+"n/&gt;!4Q'"</f>
        <v>#VALUE!</v>
      </c>
      <c r="HD416" t="e">
        <f>Asia!F778+"n/&gt;!4Q("</f>
        <v>#VALUE!</v>
      </c>
      <c r="HE416" t="e">
        <f>Asia!G778+"n/&gt;!4Q)"</f>
        <v>#VALUE!</v>
      </c>
      <c r="HF416" t="e">
        <f>Asia!H778+"n/&gt;!4Q."</f>
        <v>#VALUE!</v>
      </c>
      <c r="HG416" t="e">
        <f>Asia!I778+"n/&gt;!4Q/"</f>
        <v>#VALUE!</v>
      </c>
      <c r="HH416" t="e">
        <f>Asia!A779+"n/&gt;!4Q0"</f>
        <v>#VALUE!</v>
      </c>
      <c r="HI416" t="e">
        <f>Asia!B779+"n/&gt;!4Q1"</f>
        <v>#VALUE!</v>
      </c>
      <c r="HJ416" t="e">
        <f>Asia!C779+"n/&gt;!4Q2"</f>
        <v>#VALUE!</v>
      </c>
      <c r="HK416" t="e">
        <f>Asia!D779+"n/&gt;!4Q3"</f>
        <v>#VALUE!</v>
      </c>
      <c r="HL416" t="e">
        <f>Asia!E779+"n/&gt;!4Q4"</f>
        <v>#VALUE!</v>
      </c>
      <c r="HM416" t="e">
        <f>Asia!F779+"n/&gt;!4Q5"</f>
        <v>#VALUE!</v>
      </c>
      <c r="HN416" t="e">
        <f>Asia!G779+"n/&gt;!4Q6"</f>
        <v>#VALUE!</v>
      </c>
      <c r="HO416" t="e">
        <f>Asia!H779+"n/&gt;!4Q7"</f>
        <v>#VALUE!</v>
      </c>
      <c r="HP416" t="e">
        <f>Asia!I779+"n/&gt;!4Q8"</f>
        <v>#VALUE!</v>
      </c>
      <c r="HQ416" t="e">
        <f>Asia!A780+"n/&gt;!4Q9"</f>
        <v>#VALUE!</v>
      </c>
      <c r="HR416" t="e">
        <f>Asia!B780+"n/&gt;!4Q:"</f>
        <v>#VALUE!</v>
      </c>
      <c r="HS416" t="e">
        <f>Asia!C780+"n/&gt;!4Q;"</f>
        <v>#VALUE!</v>
      </c>
      <c r="HT416" t="e">
        <f>Asia!D780+"n/&gt;!4Q&lt;"</f>
        <v>#VALUE!</v>
      </c>
      <c r="HU416" t="e">
        <f>Asia!E780+"n/&gt;!4Q="</f>
        <v>#VALUE!</v>
      </c>
      <c r="HV416" t="e">
        <f>Asia!F780+"n/&gt;!4Q&gt;"</f>
        <v>#VALUE!</v>
      </c>
      <c r="HW416" t="e">
        <f>Asia!G780+"n/&gt;!4Q?"</f>
        <v>#VALUE!</v>
      </c>
      <c r="HX416" t="e">
        <f>Asia!H780+"n/&gt;!4Q@"</f>
        <v>#VALUE!</v>
      </c>
      <c r="HY416" t="e">
        <f>Asia!I780+"n/&gt;!4QA"</f>
        <v>#VALUE!</v>
      </c>
      <c r="HZ416" t="e">
        <f>Asia!A781+"n/&gt;!4QB"</f>
        <v>#VALUE!</v>
      </c>
      <c r="IA416" t="e">
        <f>Asia!B781+"n/&gt;!4QC"</f>
        <v>#VALUE!</v>
      </c>
      <c r="IB416" t="e">
        <f>Asia!C781+"n/&gt;!4QD"</f>
        <v>#VALUE!</v>
      </c>
      <c r="IC416" t="e">
        <f>Asia!D781+"n/&gt;!4QE"</f>
        <v>#VALUE!</v>
      </c>
      <c r="ID416" t="e">
        <f>Asia!E781+"n/&gt;!4QF"</f>
        <v>#VALUE!</v>
      </c>
      <c r="IE416" t="e">
        <f>Asia!F781+"n/&gt;!4QG"</f>
        <v>#VALUE!</v>
      </c>
      <c r="IF416" t="e">
        <f>Asia!G781+"n/&gt;!4QH"</f>
        <v>#VALUE!</v>
      </c>
      <c r="IG416" t="e">
        <f>Asia!H781+"n/&gt;!4QI"</f>
        <v>#VALUE!</v>
      </c>
      <c r="IH416" t="e">
        <f>Asia!I781+"n/&gt;!4QJ"</f>
        <v>#VALUE!</v>
      </c>
      <c r="II416" t="e">
        <f>Asia!A782+"n/&gt;!4QK"</f>
        <v>#VALUE!</v>
      </c>
      <c r="IJ416" t="e">
        <f>Asia!B782+"n/&gt;!4QL"</f>
        <v>#VALUE!</v>
      </c>
      <c r="IK416" t="e">
        <f>Asia!C782+"n/&gt;!4QM"</f>
        <v>#VALUE!</v>
      </c>
      <c r="IL416" t="e">
        <f>Asia!D782+"n/&gt;!4QN"</f>
        <v>#VALUE!</v>
      </c>
      <c r="IM416" t="e">
        <f>Asia!E782+"n/&gt;!4QO"</f>
        <v>#VALUE!</v>
      </c>
      <c r="IN416" t="e">
        <f>Asia!F782+"n/&gt;!4QP"</f>
        <v>#VALUE!</v>
      </c>
      <c r="IO416" t="e">
        <f>Asia!G782+"n/&gt;!4QQ"</f>
        <v>#VALUE!</v>
      </c>
      <c r="IP416" t="e">
        <f>Asia!H782+"n/&gt;!4QR"</f>
        <v>#VALUE!</v>
      </c>
      <c r="IQ416" t="e">
        <f>Asia!I782+"n/&gt;!4QS"</f>
        <v>#VALUE!</v>
      </c>
      <c r="IR416" t="e">
        <f>Asia!A783+"n/&gt;!4QT"</f>
        <v>#VALUE!</v>
      </c>
      <c r="IS416" t="e">
        <f>Asia!B783+"n/&gt;!4QU"</f>
        <v>#VALUE!</v>
      </c>
      <c r="IT416" t="e">
        <f>Asia!C783+"n/&gt;!4QV"</f>
        <v>#VALUE!</v>
      </c>
      <c r="IU416" t="e">
        <f>Asia!D783+"n/&gt;!4QW"</f>
        <v>#VALUE!</v>
      </c>
      <c r="IV416" t="e">
        <f>Asia!E783+"n/&gt;!4QX"</f>
        <v>#VALUE!</v>
      </c>
    </row>
    <row r="417" spans="6:256" x14ac:dyDescent="0.35">
      <c r="F417" t="e">
        <f>Asia!F783+"n/&gt;!4QY"</f>
        <v>#VALUE!</v>
      </c>
      <c r="G417" t="e">
        <f>Asia!G783+"n/&gt;!4QZ"</f>
        <v>#VALUE!</v>
      </c>
      <c r="H417" t="e">
        <f>Asia!H783+"n/&gt;!4Q["</f>
        <v>#VALUE!</v>
      </c>
      <c r="I417" t="e">
        <f>Asia!I783+"n/&gt;!4Q\"</f>
        <v>#VALUE!</v>
      </c>
      <c r="J417" t="e">
        <f>Asia!A784+"n/&gt;!4Q]"</f>
        <v>#VALUE!</v>
      </c>
      <c r="K417" t="e">
        <f>Asia!B784+"n/&gt;!4Q^"</f>
        <v>#VALUE!</v>
      </c>
      <c r="L417" t="e">
        <f>Asia!C784+"n/&gt;!4Q_"</f>
        <v>#VALUE!</v>
      </c>
      <c r="M417" t="e">
        <f>Asia!D784+"n/&gt;!4Q`"</f>
        <v>#VALUE!</v>
      </c>
      <c r="N417" t="e">
        <f>Asia!E784+"n/&gt;!4Qa"</f>
        <v>#VALUE!</v>
      </c>
      <c r="O417" t="e">
        <f>Asia!F784+"n/&gt;!4Qb"</f>
        <v>#VALUE!</v>
      </c>
      <c r="P417" t="e">
        <f>Asia!G784+"n/&gt;!4Qc"</f>
        <v>#VALUE!</v>
      </c>
      <c r="Q417" t="e">
        <f>Asia!H784+"n/&gt;!4Qd"</f>
        <v>#VALUE!</v>
      </c>
      <c r="R417" t="e">
        <f>Asia!I784+"n/&gt;!4Qe"</f>
        <v>#VALUE!</v>
      </c>
      <c r="S417" t="e">
        <f>Asia!A785+"n/&gt;!4Qf"</f>
        <v>#VALUE!</v>
      </c>
      <c r="T417" t="e">
        <f>Asia!B785+"n/&gt;!4Qg"</f>
        <v>#VALUE!</v>
      </c>
      <c r="U417" t="e">
        <f>Asia!C785+"n/&gt;!4Qh"</f>
        <v>#VALUE!</v>
      </c>
      <c r="V417" t="e">
        <f>Asia!D785+"n/&gt;!4Qi"</f>
        <v>#VALUE!</v>
      </c>
      <c r="W417" t="e">
        <f>Asia!E785+"n/&gt;!4Qj"</f>
        <v>#VALUE!</v>
      </c>
      <c r="X417" t="e">
        <f>Asia!F785+"n/&gt;!4Qk"</f>
        <v>#VALUE!</v>
      </c>
      <c r="Y417" t="e">
        <f>Asia!G785+"n/&gt;!4Ql"</f>
        <v>#VALUE!</v>
      </c>
      <c r="Z417" t="e">
        <f>Asia!H785+"n/&gt;!4Qm"</f>
        <v>#VALUE!</v>
      </c>
      <c r="AA417" t="e">
        <f>Asia!I785+"n/&gt;!4Qn"</f>
        <v>#VALUE!</v>
      </c>
      <c r="AB417" t="e">
        <f>Asia!A786+"n/&gt;!4Qo"</f>
        <v>#VALUE!</v>
      </c>
      <c r="AC417" t="e">
        <f>Asia!B786+"n/&gt;!4Qp"</f>
        <v>#VALUE!</v>
      </c>
      <c r="AD417" t="e">
        <f>Asia!C786+"n/&gt;!4Qq"</f>
        <v>#VALUE!</v>
      </c>
      <c r="AE417" t="e">
        <f>Asia!D786+"n/&gt;!4Qr"</f>
        <v>#VALUE!</v>
      </c>
      <c r="AF417" t="e">
        <f>Asia!E786+"n/&gt;!4Qs"</f>
        <v>#VALUE!</v>
      </c>
      <c r="AG417" t="e">
        <f>Asia!F786+"n/&gt;!4Qt"</f>
        <v>#VALUE!</v>
      </c>
      <c r="AH417" t="e">
        <f>Asia!G786+"n/&gt;!4Qu"</f>
        <v>#VALUE!</v>
      </c>
      <c r="AI417" t="e">
        <f>Asia!H786+"n/&gt;!4Qv"</f>
        <v>#VALUE!</v>
      </c>
      <c r="AJ417" t="e">
        <f>Asia!I786+"n/&gt;!4Qw"</f>
        <v>#VALUE!</v>
      </c>
      <c r="AK417" t="e">
        <f>Asia!A787+"n/&gt;!4Qx"</f>
        <v>#VALUE!</v>
      </c>
      <c r="AL417" t="e">
        <f>Asia!B787+"n/&gt;!4Qy"</f>
        <v>#VALUE!</v>
      </c>
      <c r="AM417" t="e">
        <f>Asia!C787+"n/&gt;!4Qz"</f>
        <v>#VALUE!</v>
      </c>
      <c r="AN417" t="e">
        <f>Asia!D787+"n/&gt;!4Q{"</f>
        <v>#VALUE!</v>
      </c>
      <c r="AO417" t="e">
        <f>Asia!E787+"n/&gt;!4Q|"</f>
        <v>#VALUE!</v>
      </c>
      <c r="AP417" t="e">
        <f>Asia!F787+"n/&gt;!4Q}"</f>
        <v>#VALUE!</v>
      </c>
      <c r="AQ417" t="e">
        <f>Asia!G787+"n/&gt;!4Q~"</f>
        <v>#VALUE!</v>
      </c>
      <c r="AR417" t="e">
        <f>Asia!H787+"n/&gt;!4R#"</f>
        <v>#VALUE!</v>
      </c>
      <c r="AS417" t="e">
        <f>Asia!I787+"n/&gt;!4R$"</f>
        <v>#VALUE!</v>
      </c>
      <c r="AT417" t="e">
        <f>Asia!A788+"n/&gt;!4R%"</f>
        <v>#VALUE!</v>
      </c>
      <c r="AU417" t="e">
        <f>Asia!B788+"n/&gt;!4R&amp;"</f>
        <v>#VALUE!</v>
      </c>
      <c r="AV417" t="e">
        <f>Asia!C788+"n/&gt;!4R'"</f>
        <v>#VALUE!</v>
      </c>
      <c r="AW417" t="e">
        <f>Asia!D788+"n/&gt;!4R("</f>
        <v>#VALUE!</v>
      </c>
      <c r="AX417" t="e">
        <f>Asia!E788+"n/&gt;!4R)"</f>
        <v>#VALUE!</v>
      </c>
      <c r="AY417" t="e">
        <f>Asia!F788+"n/&gt;!4R."</f>
        <v>#VALUE!</v>
      </c>
      <c r="AZ417" t="e">
        <f>Asia!G788+"n/&gt;!4R/"</f>
        <v>#VALUE!</v>
      </c>
      <c r="BA417" t="e">
        <f>Asia!H788+"n/&gt;!4R0"</f>
        <v>#VALUE!</v>
      </c>
      <c r="BB417" t="e">
        <f>Asia!I788+"n/&gt;!4R1"</f>
        <v>#VALUE!</v>
      </c>
      <c r="BC417" t="e">
        <f>Asia!A789+"n/&gt;!4R2"</f>
        <v>#VALUE!</v>
      </c>
      <c r="BD417" t="e">
        <f>Asia!B789+"n/&gt;!4R3"</f>
        <v>#VALUE!</v>
      </c>
      <c r="BE417" t="e">
        <f>Asia!C789+"n/&gt;!4R4"</f>
        <v>#VALUE!</v>
      </c>
      <c r="BF417" t="e">
        <f>Asia!D789+"n/&gt;!4R5"</f>
        <v>#VALUE!</v>
      </c>
      <c r="BG417" t="e">
        <f>Asia!E789+"n/&gt;!4R6"</f>
        <v>#VALUE!</v>
      </c>
      <c r="BH417" t="e">
        <f>Asia!F789+"n/&gt;!4R7"</f>
        <v>#VALUE!</v>
      </c>
      <c r="BI417" t="e">
        <f>Asia!G789+"n/&gt;!4R8"</f>
        <v>#VALUE!</v>
      </c>
      <c r="BJ417" t="e">
        <f>Asia!H789+"n/&gt;!4R9"</f>
        <v>#VALUE!</v>
      </c>
      <c r="BK417" t="e">
        <f>Asia!I789+"n/&gt;!4R:"</f>
        <v>#VALUE!</v>
      </c>
      <c r="BL417" t="e">
        <f>Asia!A790+"n/&gt;!4R;"</f>
        <v>#VALUE!</v>
      </c>
      <c r="BM417" t="e">
        <f>Asia!B790+"n/&gt;!4R&lt;"</f>
        <v>#VALUE!</v>
      </c>
      <c r="BN417" t="e">
        <f>Asia!C790+"n/&gt;!4R="</f>
        <v>#VALUE!</v>
      </c>
      <c r="BO417" t="e">
        <f>Asia!D790+"n/&gt;!4R&gt;"</f>
        <v>#VALUE!</v>
      </c>
      <c r="BP417" t="e">
        <f>Asia!E790+"n/&gt;!4R?"</f>
        <v>#VALUE!</v>
      </c>
      <c r="BQ417" t="e">
        <f>Asia!F790+"n/&gt;!4R@"</f>
        <v>#VALUE!</v>
      </c>
      <c r="BR417" t="e">
        <f>Asia!G790+"n/&gt;!4RA"</f>
        <v>#VALUE!</v>
      </c>
      <c r="BS417" t="e">
        <f>Asia!H790+"n/&gt;!4RB"</f>
        <v>#VALUE!</v>
      </c>
      <c r="BT417" t="e">
        <f>Asia!I790+"n/&gt;!4RC"</f>
        <v>#VALUE!</v>
      </c>
      <c r="BU417" t="e">
        <f>Asia!A791+"n/&gt;!4RD"</f>
        <v>#VALUE!</v>
      </c>
      <c r="BV417" t="e">
        <f>Asia!B791+"n/&gt;!4RE"</f>
        <v>#VALUE!</v>
      </c>
      <c r="BW417" t="e">
        <f>Asia!C791+"n/&gt;!4RF"</f>
        <v>#VALUE!</v>
      </c>
      <c r="BX417" t="e">
        <f>Asia!D791+"n/&gt;!4RG"</f>
        <v>#VALUE!</v>
      </c>
      <c r="BY417" t="e">
        <f>Asia!E791+"n/&gt;!4RH"</f>
        <v>#VALUE!</v>
      </c>
      <c r="BZ417" t="e">
        <f>Asia!F791+"n/&gt;!4RI"</f>
        <v>#VALUE!</v>
      </c>
      <c r="CA417" t="e">
        <f>Asia!G791+"n/&gt;!4RJ"</f>
        <v>#VALUE!</v>
      </c>
      <c r="CB417" t="e">
        <f>Asia!H791+"n/&gt;!4RK"</f>
        <v>#VALUE!</v>
      </c>
      <c r="CC417" t="e">
        <f>Asia!I791+"n/&gt;!4RL"</f>
        <v>#VALUE!</v>
      </c>
      <c r="CD417" t="e">
        <f>Asia!A792+"n/&gt;!4RM"</f>
        <v>#VALUE!</v>
      </c>
      <c r="CE417" t="e">
        <f>Asia!B792+"n/&gt;!4RN"</f>
        <v>#VALUE!</v>
      </c>
      <c r="CF417" t="e">
        <f>Asia!C792+"n/&gt;!4RO"</f>
        <v>#VALUE!</v>
      </c>
      <c r="CG417" t="e">
        <f>Asia!D792+"n/&gt;!4RP"</f>
        <v>#VALUE!</v>
      </c>
      <c r="CH417" t="e">
        <f>Asia!E792+"n/&gt;!4RQ"</f>
        <v>#VALUE!</v>
      </c>
      <c r="CI417" t="e">
        <f>Asia!F792+"n/&gt;!4RR"</f>
        <v>#VALUE!</v>
      </c>
      <c r="CJ417" t="e">
        <f>Asia!G792+"n/&gt;!4RS"</f>
        <v>#VALUE!</v>
      </c>
      <c r="CK417" t="e">
        <f>Asia!H792+"n/&gt;!4RT"</f>
        <v>#VALUE!</v>
      </c>
      <c r="CL417" t="e">
        <f>Asia!I792+"n/&gt;!4RU"</f>
        <v>#VALUE!</v>
      </c>
      <c r="CM417" t="e">
        <f>Asia!A793+"n/&gt;!4RV"</f>
        <v>#VALUE!</v>
      </c>
      <c r="CN417" t="e">
        <f>Asia!B793+"n/&gt;!4RW"</f>
        <v>#VALUE!</v>
      </c>
      <c r="CO417" t="e">
        <f>Asia!C793+"n/&gt;!4RX"</f>
        <v>#VALUE!</v>
      </c>
      <c r="CP417" t="e">
        <f>Asia!D793+"n/&gt;!4RY"</f>
        <v>#VALUE!</v>
      </c>
      <c r="CQ417" t="e">
        <f>Asia!E793+"n/&gt;!4RZ"</f>
        <v>#VALUE!</v>
      </c>
      <c r="CR417" t="e">
        <f>Asia!F793+"n/&gt;!4R["</f>
        <v>#VALUE!</v>
      </c>
      <c r="CS417" t="e">
        <f>Asia!G793+"n/&gt;!4R\"</f>
        <v>#VALUE!</v>
      </c>
      <c r="CT417" t="e">
        <f>Asia!H793+"n/&gt;!4R]"</f>
        <v>#VALUE!</v>
      </c>
      <c r="CU417" t="e">
        <f>Asia!I793+"n/&gt;!4R^"</f>
        <v>#VALUE!</v>
      </c>
      <c r="CV417" t="e">
        <f>Asia!A794+"n/&gt;!4R_"</f>
        <v>#VALUE!</v>
      </c>
      <c r="CW417" t="e">
        <f>Asia!B794+"n/&gt;!4R`"</f>
        <v>#VALUE!</v>
      </c>
      <c r="CX417" t="e">
        <f>Asia!C794+"n/&gt;!4Ra"</f>
        <v>#VALUE!</v>
      </c>
      <c r="CY417" t="e">
        <f>Asia!D794+"n/&gt;!4Rb"</f>
        <v>#VALUE!</v>
      </c>
      <c r="CZ417" t="e">
        <f>Asia!E794+"n/&gt;!4Rc"</f>
        <v>#VALUE!</v>
      </c>
      <c r="DA417" t="e">
        <f>Asia!F794+"n/&gt;!4Rd"</f>
        <v>#VALUE!</v>
      </c>
      <c r="DB417" t="e">
        <f>Asia!G794+"n/&gt;!4Re"</f>
        <v>#VALUE!</v>
      </c>
      <c r="DC417" t="e">
        <f>Asia!H794+"n/&gt;!4Rf"</f>
        <v>#VALUE!</v>
      </c>
      <c r="DD417" t="e">
        <f>Asia!I794+"n/&gt;!4Rg"</f>
        <v>#VALUE!</v>
      </c>
      <c r="DE417" t="e">
        <f>Asia!A795+"n/&gt;!4Rh"</f>
        <v>#VALUE!</v>
      </c>
      <c r="DF417" t="e">
        <f>Asia!B795+"n/&gt;!4Ri"</f>
        <v>#VALUE!</v>
      </c>
      <c r="DG417" t="e">
        <f>Asia!C795+"n/&gt;!4Rj"</f>
        <v>#VALUE!</v>
      </c>
      <c r="DH417" t="e">
        <f>Asia!D795+"n/&gt;!4Rk"</f>
        <v>#VALUE!</v>
      </c>
      <c r="DI417" t="e">
        <f>Asia!E795+"n/&gt;!4Rl"</f>
        <v>#VALUE!</v>
      </c>
      <c r="DJ417" t="e">
        <f>Asia!F795+"n/&gt;!4Rm"</f>
        <v>#VALUE!</v>
      </c>
      <c r="DK417" t="e">
        <f>Asia!G795+"n/&gt;!4Rn"</f>
        <v>#VALUE!</v>
      </c>
      <c r="DL417" t="e">
        <f>Asia!H795+"n/&gt;!4Ro"</f>
        <v>#VALUE!</v>
      </c>
      <c r="DM417" t="e">
        <f>Asia!I795+"n/&gt;!4Rp"</f>
        <v>#VALUE!</v>
      </c>
      <c r="DN417" t="e">
        <f>Asia!A796+"n/&gt;!4Rq"</f>
        <v>#VALUE!</v>
      </c>
      <c r="DO417" t="e">
        <f>Asia!B796+"n/&gt;!4Rr"</f>
        <v>#VALUE!</v>
      </c>
      <c r="DP417" t="e">
        <f>Asia!C796+"n/&gt;!4Rs"</f>
        <v>#VALUE!</v>
      </c>
      <c r="DQ417" t="e">
        <f>Asia!D796+"n/&gt;!4Rt"</f>
        <v>#VALUE!</v>
      </c>
      <c r="DR417" t="e">
        <f>Asia!E796+"n/&gt;!4Ru"</f>
        <v>#VALUE!</v>
      </c>
      <c r="DS417" t="e">
        <f>Asia!F796+"n/&gt;!4Rv"</f>
        <v>#VALUE!</v>
      </c>
      <c r="DT417" t="e">
        <f>Asia!G796+"n/&gt;!4Rw"</f>
        <v>#VALUE!</v>
      </c>
      <c r="DU417" t="e">
        <f>Asia!H796+"n/&gt;!4Rx"</f>
        <v>#VALUE!</v>
      </c>
      <c r="DV417" t="e">
        <f>Asia!I796+"n/&gt;!4Ry"</f>
        <v>#VALUE!</v>
      </c>
      <c r="DW417" t="e">
        <f>Asia!A797+"n/&gt;!4Rz"</f>
        <v>#VALUE!</v>
      </c>
      <c r="DX417" t="e">
        <f>Asia!B797+"n/&gt;!4R{"</f>
        <v>#VALUE!</v>
      </c>
      <c r="DY417" t="e">
        <f>Asia!C797+"n/&gt;!4R|"</f>
        <v>#VALUE!</v>
      </c>
      <c r="DZ417" t="e">
        <f>Asia!D797+"n/&gt;!4R}"</f>
        <v>#VALUE!</v>
      </c>
      <c r="EA417" t="e">
        <f>Asia!E797+"n/&gt;!4R~"</f>
        <v>#VALUE!</v>
      </c>
      <c r="EB417" t="e">
        <f>Asia!F797+"n/&gt;!4S#"</f>
        <v>#VALUE!</v>
      </c>
      <c r="EC417" t="e">
        <f>Asia!G797+"n/&gt;!4S$"</f>
        <v>#VALUE!</v>
      </c>
      <c r="ED417" t="e">
        <f>Asia!H797+"n/&gt;!4S%"</f>
        <v>#VALUE!</v>
      </c>
      <c r="EE417" t="e">
        <f>Asia!I797+"n/&gt;!4S&amp;"</f>
        <v>#VALUE!</v>
      </c>
      <c r="EF417" t="e">
        <f>Asia!A798+"n/&gt;!4S'"</f>
        <v>#VALUE!</v>
      </c>
      <c r="EG417" t="e">
        <f>Asia!B798+"n/&gt;!4S("</f>
        <v>#VALUE!</v>
      </c>
      <c r="EH417" t="e">
        <f>Asia!C798+"n/&gt;!4S)"</f>
        <v>#VALUE!</v>
      </c>
      <c r="EI417" t="e">
        <f>Asia!D798+"n/&gt;!4S."</f>
        <v>#VALUE!</v>
      </c>
      <c r="EJ417" t="e">
        <f>Asia!E798+"n/&gt;!4S/"</f>
        <v>#VALUE!</v>
      </c>
      <c r="EK417" t="e">
        <f>Asia!F798+"n/&gt;!4S0"</f>
        <v>#VALUE!</v>
      </c>
      <c r="EL417" t="e">
        <f>Asia!G798+"n/&gt;!4S1"</f>
        <v>#VALUE!</v>
      </c>
      <c r="EM417" t="e">
        <f>Asia!H798+"n/&gt;!4S2"</f>
        <v>#VALUE!</v>
      </c>
      <c r="EN417" t="e">
        <f>Asia!I798+"n/&gt;!4S3"</f>
        <v>#VALUE!</v>
      </c>
      <c r="EO417" t="e">
        <f>Asia!A799+"n/&gt;!4S4"</f>
        <v>#VALUE!</v>
      </c>
      <c r="EP417" t="e">
        <f>Asia!B799+"n/&gt;!4S5"</f>
        <v>#VALUE!</v>
      </c>
      <c r="EQ417" t="e">
        <f>Asia!C799+"n/&gt;!4S6"</f>
        <v>#VALUE!</v>
      </c>
      <c r="ER417" t="e">
        <f>Asia!D799+"n/&gt;!4S7"</f>
        <v>#VALUE!</v>
      </c>
      <c r="ES417" t="e">
        <f>Asia!E799+"n/&gt;!4S8"</f>
        <v>#VALUE!</v>
      </c>
      <c r="ET417" t="e">
        <f>Asia!F799+"n/&gt;!4S9"</f>
        <v>#VALUE!</v>
      </c>
      <c r="EU417" t="e">
        <f>Asia!G799+"n/&gt;!4S:"</f>
        <v>#VALUE!</v>
      </c>
      <c r="EV417" t="e">
        <f>Asia!H799+"n/&gt;!4S;"</f>
        <v>#VALUE!</v>
      </c>
      <c r="EW417" t="e">
        <f>Asia!I799+"n/&gt;!4S&lt;"</f>
        <v>#VALUE!</v>
      </c>
      <c r="EX417" t="e">
        <f>Asia!A800+"n/&gt;!4S="</f>
        <v>#VALUE!</v>
      </c>
      <c r="EY417" t="e">
        <f>Asia!B800+"n/&gt;!4S&gt;"</f>
        <v>#VALUE!</v>
      </c>
      <c r="EZ417" t="e">
        <f>Asia!C800+"n/&gt;!4S?"</f>
        <v>#VALUE!</v>
      </c>
      <c r="FA417" t="e">
        <f>Asia!D800+"n/&gt;!4S@"</f>
        <v>#VALUE!</v>
      </c>
      <c r="FB417" t="e">
        <f>Asia!E800+"n/&gt;!4SA"</f>
        <v>#VALUE!</v>
      </c>
      <c r="FC417" t="e">
        <f>Asia!F800+"n/&gt;!4SB"</f>
        <v>#VALUE!</v>
      </c>
      <c r="FD417" t="e">
        <f>Asia!G800+"n/&gt;!4SC"</f>
        <v>#VALUE!</v>
      </c>
      <c r="FE417" t="e">
        <f>Asia!H800+"n/&gt;!4SD"</f>
        <v>#VALUE!</v>
      </c>
      <c r="FF417" t="e">
        <f>Asia!I800+"n/&gt;!4SE"</f>
        <v>#VALUE!</v>
      </c>
      <c r="FG417" t="e">
        <f>Asia!A801+"n/&gt;!4SF"</f>
        <v>#VALUE!</v>
      </c>
      <c r="FH417" t="e">
        <f>Asia!B801+"n/&gt;!4SG"</f>
        <v>#VALUE!</v>
      </c>
      <c r="FI417" t="e">
        <f>Asia!C801+"n/&gt;!4SH"</f>
        <v>#VALUE!</v>
      </c>
      <c r="FJ417" t="e">
        <f>Asia!D801+"n/&gt;!4SI"</f>
        <v>#VALUE!</v>
      </c>
      <c r="FK417" t="e">
        <f>Asia!E801+"n/&gt;!4SJ"</f>
        <v>#VALUE!</v>
      </c>
      <c r="FL417" t="e">
        <f>Asia!F801+"n/&gt;!4SK"</f>
        <v>#VALUE!</v>
      </c>
      <c r="FM417" t="e">
        <f>Asia!G801+"n/&gt;!4SL"</f>
        <v>#VALUE!</v>
      </c>
      <c r="FN417" t="e">
        <f>Asia!H801+"n/&gt;!4SM"</f>
        <v>#VALUE!</v>
      </c>
      <c r="FO417" t="e">
        <f>Asia!I801+"n/&gt;!4SN"</f>
        <v>#VALUE!</v>
      </c>
      <c r="FP417" t="e">
        <f>Asia!A802+"n/&gt;!4SO"</f>
        <v>#VALUE!</v>
      </c>
      <c r="FQ417" t="e">
        <f>Asia!B802+"n/&gt;!4SP"</f>
        <v>#VALUE!</v>
      </c>
      <c r="FR417" t="e">
        <f>Asia!C802+"n/&gt;!4SQ"</f>
        <v>#VALUE!</v>
      </c>
      <c r="FS417" t="e">
        <f>Asia!D802+"n/&gt;!4SR"</f>
        <v>#VALUE!</v>
      </c>
      <c r="FT417" t="e">
        <f>Asia!E802+"n/&gt;!4SS"</f>
        <v>#VALUE!</v>
      </c>
      <c r="FU417" t="e">
        <f>Asia!F802+"n/&gt;!4ST"</f>
        <v>#VALUE!</v>
      </c>
      <c r="FV417" t="e">
        <f>Asia!G802+"n/&gt;!4SU"</f>
        <v>#VALUE!</v>
      </c>
      <c r="FW417" t="e">
        <f>Asia!H802+"n/&gt;!4SV"</f>
        <v>#VALUE!</v>
      </c>
      <c r="FX417" t="e">
        <f>Asia!I802+"n/&gt;!4SW"</f>
        <v>#VALUE!</v>
      </c>
      <c r="FY417" t="e">
        <f>Asia!A803+"n/&gt;!4SX"</f>
        <v>#VALUE!</v>
      </c>
      <c r="FZ417" t="e">
        <f>Asia!B803+"n/&gt;!4SY"</f>
        <v>#VALUE!</v>
      </c>
      <c r="GA417" t="e">
        <f>Asia!C803+"n/&gt;!4SZ"</f>
        <v>#VALUE!</v>
      </c>
      <c r="GB417" t="e">
        <f>Asia!D803+"n/&gt;!4S["</f>
        <v>#VALUE!</v>
      </c>
      <c r="GC417" t="e">
        <f>Asia!E803+"n/&gt;!4S\"</f>
        <v>#VALUE!</v>
      </c>
      <c r="GD417" t="e">
        <f>Asia!F803+"n/&gt;!4S]"</f>
        <v>#VALUE!</v>
      </c>
      <c r="GE417" t="e">
        <f>Asia!G803+"n/&gt;!4S^"</f>
        <v>#VALUE!</v>
      </c>
      <c r="GF417" t="e">
        <f>Asia!H803+"n/&gt;!4S_"</f>
        <v>#VALUE!</v>
      </c>
      <c r="GG417" t="e">
        <f>Asia!I803+"n/&gt;!4S`"</f>
        <v>#VALUE!</v>
      </c>
      <c r="GH417" t="e">
        <f>Asia!A804+"n/&gt;!4Sa"</f>
        <v>#VALUE!</v>
      </c>
      <c r="GI417" t="e">
        <f>Asia!B804+"n/&gt;!4Sb"</f>
        <v>#VALUE!</v>
      </c>
      <c r="GJ417" t="e">
        <f>Asia!C804+"n/&gt;!4Sc"</f>
        <v>#VALUE!</v>
      </c>
      <c r="GK417" t="e">
        <f>Asia!D804+"n/&gt;!4Sd"</f>
        <v>#VALUE!</v>
      </c>
      <c r="GL417" t="e">
        <f>Asia!E804+"n/&gt;!4Se"</f>
        <v>#VALUE!</v>
      </c>
      <c r="GM417" t="e">
        <f>Asia!F804+"n/&gt;!4Sf"</f>
        <v>#VALUE!</v>
      </c>
      <c r="GN417" t="e">
        <f>Asia!G804+"n/&gt;!4Sg"</f>
        <v>#VALUE!</v>
      </c>
      <c r="GO417" t="e">
        <f>Asia!H804+"n/&gt;!4Sh"</f>
        <v>#VALUE!</v>
      </c>
      <c r="GP417" t="e">
        <f>Asia!I804+"n/&gt;!4Si"</f>
        <v>#VALUE!</v>
      </c>
      <c r="GQ417" t="e">
        <f>Asia!A805+"n/&gt;!4Sj"</f>
        <v>#VALUE!</v>
      </c>
      <c r="GR417" t="e">
        <f>Asia!B805+"n/&gt;!4Sk"</f>
        <v>#VALUE!</v>
      </c>
      <c r="GS417" t="e">
        <f>Asia!C805+"n/&gt;!4Sl"</f>
        <v>#VALUE!</v>
      </c>
      <c r="GT417" t="e">
        <f>Asia!D805+"n/&gt;!4Sm"</f>
        <v>#VALUE!</v>
      </c>
      <c r="GU417" t="e">
        <f>Asia!E805+"n/&gt;!4Sn"</f>
        <v>#VALUE!</v>
      </c>
      <c r="GV417" t="e">
        <f>Asia!F805+"n/&gt;!4So"</f>
        <v>#VALUE!</v>
      </c>
      <c r="GW417" t="e">
        <f>Asia!G805+"n/&gt;!4Sp"</f>
        <v>#VALUE!</v>
      </c>
      <c r="GX417" t="e">
        <f>Asia!H805+"n/&gt;!4Sq"</f>
        <v>#VALUE!</v>
      </c>
      <c r="GY417" t="e">
        <f>Asia!I805+"n/&gt;!4Sr"</f>
        <v>#VALUE!</v>
      </c>
      <c r="GZ417" t="e">
        <f>Asia!A806+"n/&gt;!4Ss"</f>
        <v>#VALUE!</v>
      </c>
      <c r="HA417" t="e">
        <f>Asia!B806+"n/&gt;!4St"</f>
        <v>#VALUE!</v>
      </c>
      <c r="HB417" t="e">
        <f>Asia!C806+"n/&gt;!4Su"</f>
        <v>#VALUE!</v>
      </c>
      <c r="HC417" t="e">
        <f>Asia!D806+"n/&gt;!4Sv"</f>
        <v>#VALUE!</v>
      </c>
      <c r="HD417" t="e">
        <f>Asia!E806+"n/&gt;!4Sw"</f>
        <v>#VALUE!</v>
      </c>
      <c r="HE417" t="e">
        <f>Asia!F806+"n/&gt;!4Sx"</f>
        <v>#VALUE!</v>
      </c>
      <c r="HF417" t="e">
        <f>Asia!G806+"n/&gt;!4Sy"</f>
        <v>#VALUE!</v>
      </c>
      <c r="HG417" t="e">
        <f>Asia!H806+"n/&gt;!4Sz"</f>
        <v>#VALUE!</v>
      </c>
      <c r="HH417" t="e">
        <f>Asia!I806+"n/&gt;!4S{"</f>
        <v>#VALUE!</v>
      </c>
      <c r="HI417" t="e">
        <f>Asia!A807+"n/&gt;!4S|"</f>
        <v>#VALUE!</v>
      </c>
      <c r="HJ417" t="e">
        <f>Asia!B807+"n/&gt;!4S}"</f>
        <v>#VALUE!</v>
      </c>
      <c r="HK417" t="e">
        <f>Asia!C807+"n/&gt;!4S~"</f>
        <v>#VALUE!</v>
      </c>
      <c r="HL417" t="e">
        <f>Asia!D807+"n/&gt;!4T#"</f>
        <v>#VALUE!</v>
      </c>
      <c r="HM417" t="e">
        <f>Asia!E807+"n/&gt;!4T$"</f>
        <v>#VALUE!</v>
      </c>
      <c r="HN417" t="e">
        <f>Asia!F807+"n/&gt;!4T%"</f>
        <v>#VALUE!</v>
      </c>
      <c r="HO417" t="e">
        <f>Asia!G807+"n/&gt;!4T&amp;"</f>
        <v>#VALUE!</v>
      </c>
      <c r="HP417" t="e">
        <f>Asia!H807+"n/&gt;!4T'"</f>
        <v>#VALUE!</v>
      </c>
      <c r="HQ417" t="e">
        <f>Asia!I807+"n/&gt;!4T("</f>
        <v>#VALUE!</v>
      </c>
      <c r="HR417" t="e">
        <f>Asia!A808+"n/&gt;!4T)"</f>
        <v>#VALUE!</v>
      </c>
      <c r="HS417" t="e">
        <f>Asia!B808+"n/&gt;!4T."</f>
        <v>#VALUE!</v>
      </c>
      <c r="HT417" t="e">
        <f>Asia!C808+"n/&gt;!4T/"</f>
        <v>#VALUE!</v>
      </c>
      <c r="HU417" t="e">
        <f>Asia!D808+"n/&gt;!4T0"</f>
        <v>#VALUE!</v>
      </c>
      <c r="HV417" t="e">
        <f>Asia!E808+"n/&gt;!4T1"</f>
        <v>#VALUE!</v>
      </c>
      <c r="HW417" t="e">
        <f>Asia!F808+"n/&gt;!4T2"</f>
        <v>#VALUE!</v>
      </c>
      <c r="HX417" t="e">
        <f>Asia!G808+"n/&gt;!4T3"</f>
        <v>#VALUE!</v>
      </c>
      <c r="HY417" t="e">
        <f>Asia!H808+"n/&gt;!4T4"</f>
        <v>#VALUE!</v>
      </c>
      <c r="HZ417" t="e">
        <f>Asia!I808+"n/&gt;!4T5"</f>
        <v>#VALUE!</v>
      </c>
      <c r="IA417" t="e">
        <f>Asia!A809+"n/&gt;!4T6"</f>
        <v>#VALUE!</v>
      </c>
      <c r="IB417" t="e">
        <f>Asia!B809+"n/&gt;!4T7"</f>
        <v>#VALUE!</v>
      </c>
      <c r="IC417" t="e">
        <f>Asia!C809+"n/&gt;!4T8"</f>
        <v>#VALUE!</v>
      </c>
      <c r="ID417" t="e">
        <f>Asia!D809+"n/&gt;!4T9"</f>
        <v>#VALUE!</v>
      </c>
      <c r="IE417" t="e">
        <f>Asia!E809+"n/&gt;!4T:"</f>
        <v>#VALUE!</v>
      </c>
      <c r="IF417" t="e">
        <f>Asia!F809+"n/&gt;!4T;"</f>
        <v>#VALUE!</v>
      </c>
      <c r="IG417" t="e">
        <f>Asia!G809+"n/&gt;!4T&lt;"</f>
        <v>#VALUE!</v>
      </c>
      <c r="IH417" t="e">
        <f>Asia!H809+"n/&gt;!4T="</f>
        <v>#VALUE!</v>
      </c>
      <c r="II417" t="e">
        <f>Asia!I809+"n/&gt;!4T&gt;"</f>
        <v>#VALUE!</v>
      </c>
      <c r="IJ417" t="e">
        <f>Asia!A810+"n/&gt;!4T?"</f>
        <v>#VALUE!</v>
      </c>
      <c r="IK417" t="e">
        <f>Asia!B810+"n/&gt;!4T@"</f>
        <v>#VALUE!</v>
      </c>
      <c r="IL417" t="e">
        <f>Asia!C810+"n/&gt;!4TA"</f>
        <v>#VALUE!</v>
      </c>
      <c r="IM417" t="e">
        <f>Asia!D810+"n/&gt;!4TB"</f>
        <v>#VALUE!</v>
      </c>
      <c r="IN417" t="e">
        <f>Asia!E810+"n/&gt;!4TC"</f>
        <v>#VALUE!</v>
      </c>
      <c r="IO417" t="e">
        <f>Asia!F810+"n/&gt;!4TD"</f>
        <v>#VALUE!</v>
      </c>
      <c r="IP417" t="e">
        <f>Asia!G810+"n/&gt;!4TE"</f>
        <v>#VALUE!</v>
      </c>
      <c r="IQ417" t="e">
        <f>Asia!H810+"n/&gt;!4TF"</f>
        <v>#VALUE!</v>
      </c>
      <c r="IR417" t="e">
        <f>Asia!I810+"n/&gt;!4TG"</f>
        <v>#VALUE!</v>
      </c>
      <c r="IS417" t="e">
        <f>Asia!A811+"n/&gt;!4TH"</f>
        <v>#VALUE!</v>
      </c>
      <c r="IT417" t="e">
        <f>Asia!B811+"n/&gt;!4TI"</f>
        <v>#VALUE!</v>
      </c>
      <c r="IU417" t="e">
        <f>Asia!C811+"n/&gt;!4TJ"</f>
        <v>#VALUE!</v>
      </c>
      <c r="IV417" t="e">
        <f>Asia!D811+"n/&gt;!4TK"</f>
        <v>#VALUE!</v>
      </c>
    </row>
    <row r="418" spans="6:256" x14ac:dyDescent="0.35">
      <c r="F418" t="e">
        <f>Asia!E811+"n/&gt;!4TL"</f>
        <v>#VALUE!</v>
      </c>
      <c r="G418" t="e">
        <f>Asia!F811+"n/&gt;!4TM"</f>
        <v>#VALUE!</v>
      </c>
      <c r="H418" t="e">
        <f>Asia!G811+"n/&gt;!4TN"</f>
        <v>#VALUE!</v>
      </c>
      <c r="I418" t="e">
        <f>Asia!H811+"n/&gt;!4TO"</f>
        <v>#VALUE!</v>
      </c>
      <c r="J418" t="e">
        <f>Asia!I811+"n/&gt;!4TP"</f>
        <v>#VALUE!</v>
      </c>
      <c r="K418" t="e">
        <f>Asia!A812+"n/&gt;!4TQ"</f>
        <v>#VALUE!</v>
      </c>
      <c r="L418" t="e">
        <f>Asia!B812+"n/&gt;!4TR"</f>
        <v>#VALUE!</v>
      </c>
      <c r="M418" t="e">
        <f>Asia!C812+"n/&gt;!4TS"</f>
        <v>#VALUE!</v>
      </c>
      <c r="N418" t="e">
        <f>Asia!D812+"n/&gt;!4TT"</f>
        <v>#VALUE!</v>
      </c>
      <c r="O418" t="e">
        <f>Asia!E812+"n/&gt;!4TU"</f>
        <v>#VALUE!</v>
      </c>
      <c r="P418" t="e">
        <f>Asia!F812+"n/&gt;!4TV"</f>
        <v>#VALUE!</v>
      </c>
      <c r="Q418" t="e">
        <f>Asia!G812+"n/&gt;!4TW"</f>
        <v>#VALUE!</v>
      </c>
      <c r="R418" t="e">
        <f>Asia!H812+"n/&gt;!4TX"</f>
        <v>#VALUE!</v>
      </c>
      <c r="S418" t="e">
        <f>Asia!I812+"n/&gt;!4TY"</f>
        <v>#VALUE!</v>
      </c>
      <c r="T418" t="e">
        <f>Asia!A813+"n/&gt;!4TZ"</f>
        <v>#VALUE!</v>
      </c>
      <c r="U418" t="e">
        <f>Asia!B813+"n/&gt;!4T["</f>
        <v>#VALUE!</v>
      </c>
      <c r="V418" t="e">
        <f>Asia!C813+"n/&gt;!4T\"</f>
        <v>#VALUE!</v>
      </c>
      <c r="W418" t="e">
        <f>Asia!D813+"n/&gt;!4T]"</f>
        <v>#VALUE!</v>
      </c>
      <c r="X418" t="e">
        <f>Asia!E813+"n/&gt;!4T^"</f>
        <v>#VALUE!</v>
      </c>
      <c r="Y418" t="e">
        <f>Asia!F813+"n/&gt;!4T_"</f>
        <v>#VALUE!</v>
      </c>
      <c r="Z418" t="e">
        <f>Asia!G813+"n/&gt;!4T`"</f>
        <v>#VALUE!</v>
      </c>
      <c r="AA418" t="e">
        <f>Asia!H813+"n/&gt;!4Ta"</f>
        <v>#VALUE!</v>
      </c>
      <c r="AB418" t="e">
        <f>Asia!I813+"n/&gt;!4Tb"</f>
        <v>#VALUE!</v>
      </c>
      <c r="AC418" t="e">
        <f>Asia!A814+"n/&gt;!4Tc"</f>
        <v>#VALUE!</v>
      </c>
      <c r="AD418" t="e">
        <f>Asia!B814+"n/&gt;!4Td"</f>
        <v>#VALUE!</v>
      </c>
      <c r="AE418" t="e">
        <f>Asia!C814+"n/&gt;!4Te"</f>
        <v>#VALUE!</v>
      </c>
      <c r="AF418" t="e">
        <f>Asia!D814+"n/&gt;!4Tf"</f>
        <v>#VALUE!</v>
      </c>
      <c r="AG418" t="e">
        <f>Asia!E814+"n/&gt;!4Tg"</f>
        <v>#VALUE!</v>
      </c>
      <c r="AH418" t="e">
        <f>Asia!F814+"n/&gt;!4Th"</f>
        <v>#VALUE!</v>
      </c>
      <c r="AI418" t="e">
        <f>Asia!G814+"n/&gt;!4Ti"</f>
        <v>#VALUE!</v>
      </c>
      <c r="AJ418" t="e">
        <f>Asia!H814+"n/&gt;!4Tj"</f>
        <v>#VALUE!</v>
      </c>
      <c r="AK418" t="e">
        <f>Asia!I814+"n/&gt;!4Tk"</f>
        <v>#VALUE!</v>
      </c>
      <c r="AL418" t="e">
        <f>Asia!A815+"n/&gt;!4Tl"</f>
        <v>#VALUE!</v>
      </c>
      <c r="AM418" t="e">
        <f>Asia!B815+"n/&gt;!4Tm"</f>
        <v>#VALUE!</v>
      </c>
      <c r="AN418" t="e">
        <f>Asia!C815+"n/&gt;!4Tn"</f>
        <v>#VALUE!</v>
      </c>
      <c r="AO418" t="e">
        <f>Asia!D815+"n/&gt;!4To"</f>
        <v>#VALUE!</v>
      </c>
      <c r="AP418" t="e">
        <f>Asia!E815+"n/&gt;!4Tp"</f>
        <v>#VALUE!</v>
      </c>
      <c r="AQ418" t="e">
        <f>Asia!F815+"n/&gt;!4Tq"</f>
        <v>#VALUE!</v>
      </c>
      <c r="AR418" t="e">
        <f>Asia!G815+"n/&gt;!4Tr"</f>
        <v>#VALUE!</v>
      </c>
      <c r="AS418" t="e">
        <f>Asia!H815+"n/&gt;!4Ts"</f>
        <v>#VALUE!</v>
      </c>
      <c r="AT418" t="e">
        <f>Asia!I815+"n/&gt;!4Tt"</f>
        <v>#VALUE!</v>
      </c>
      <c r="AU418" t="e">
        <f>Asia!A816+"n/&gt;!4Tu"</f>
        <v>#VALUE!</v>
      </c>
      <c r="AV418" t="e">
        <f>Asia!B816+"n/&gt;!4Tv"</f>
        <v>#VALUE!</v>
      </c>
      <c r="AW418" t="e">
        <f>Asia!C816+"n/&gt;!4Tw"</f>
        <v>#VALUE!</v>
      </c>
      <c r="AX418" t="e">
        <f>Asia!D816+"n/&gt;!4Tx"</f>
        <v>#VALUE!</v>
      </c>
      <c r="AY418" t="e">
        <f>Asia!E816+"n/&gt;!4Ty"</f>
        <v>#VALUE!</v>
      </c>
      <c r="AZ418" t="e">
        <f>Asia!F816+"n/&gt;!4Tz"</f>
        <v>#VALUE!</v>
      </c>
      <c r="BA418" t="e">
        <f>Asia!G816+"n/&gt;!4T{"</f>
        <v>#VALUE!</v>
      </c>
      <c r="BB418" t="e">
        <f>Asia!H816+"n/&gt;!4T|"</f>
        <v>#VALUE!</v>
      </c>
      <c r="BC418" t="e">
        <f>Asia!I816+"n/&gt;!4T}"</f>
        <v>#VALUE!</v>
      </c>
      <c r="BD418" t="e">
        <f>Asia!A817+"n/&gt;!4T~"</f>
        <v>#VALUE!</v>
      </c>
      <c r="BE418" t="e">
        <f>Asia!B817+"n/&gt;!4U#"</f>
        <v>#VALUE!</v>
      </c>
      <c r="BF418" t="e">
        <f>Asia!C817+"n/&gt;!4U$"</f>
        <v>#VALUE!</v>
      </c>
      <c r="BG418" t="e">
        <f>Asia!D817+"n/&gt;!4U%"</f>
        <v>#VALUE!</v>
      </c>
      <c r="BH418" t="e">
        <f>Asia!E817+"n/&gt;!4U&amp;"</f>
        <v>#VALUE!</v>
      </c>
      <c r="BI418" t="e">
        <f>Asia!F817+"n/&gt;!4U'"</f>
        <v>#VALUE!</v>
      </c>
      <c r="BJ418" t="e">
        <f>Asia!G817+"n/&gt;!4U("</f>
        <v>#VALUE!</v>
      </c>
      <c r="BK418" t="e">
        <f>Asia!H817+"n/&gt;!4U)"</f>
        <v>#VALUE!</v>
      </c>
      <c r="BL418" t="e">
        <f>Asia!I817+"n/&gt;!4U."</f>
        <v>#VALUE!</v>
      </c>
      <c r="BM418" t="e">
        <f>Asia!A818+"n/&gt;!4U/"</f>
        <v>#VALUE!</v>
      </c>
      <c r="BN418" t="e">
        <f>Asia!B818+"n/&gt;!4U0"</f>
        <v>#VALUE!</v>
      </c>
      <c r="BO418" t="e">
        <f>Asia!C818+"n/&gt;!4U1"</f>
        <v>#VALUE!</v>
      </c>
      <c r="BP418" t="e">
        <f>Asia!D818+"n/&gt;!4U2"</f>
        <v>#VALUE!</v>
      </c>
      <c r="BQ418" t="e">
        <f>Asia!E818+"n/&gt;!4U3"</f>
        <v>#VALUE!</v>
      </c>
      <c r="BR418" t="e">
        <f>Asia!F818+"n/&gt;!4U4"</f>
        <v>#VALUE!</v>
      </c>
      <c r="BS418" t="e">
        <f>Asia!G818+"n/&gt;!4U5"</f>
        <v>#VALUE!</v>
      </c>
      <c r="BT418" t="e">
        <f>Asia!H818+"n/&gt;!4U6"</f>
        <v>#VALUE!</v>
      </c>
      <c r="BU418" t="e">
        <f>Asia!I818+"n/&gt;!4U7"</f>
        <v>#VALUE!</v>
      </c>
      <c r="BV418" t="e">
        <f>Asia!A819+"n/&gt;!4U8"</f>
        <v>#VALUE!</v>
      </c>
      <c r="BW418" t="e">
        <f>Asia!B819+"n/&gt;!4U9"</f>
        <v>#VALUE!</v>
      </c>
      <c r="BX418" t="e">
        <f>Asia!C819+"n/&gt;!4U:"</f>
        <v>#VALUE!</v>
      </c>
      <c r="BY418" t="e">
        <f>Asia!D819+"n/&gt;!4U;"</f>
        <v>#VALUE!</v>
      </c>
      <c r="BZ418" t="e">
        <f>Asia!E819+"n/&gt;!4U&lt;"</f>
        <v>#VALUE!</v>
      </c>
      <c r="CA418" t="e">
        <f>Asia!F819+"n/&gt;!4U="</f>
        <v>#VALUE!</v>
      </c>
      <c r="CB418" t="e">
        <f>Asia!G819+"n/&gt;!4U&gt;"</f>
        <v>#VALUE!</v>
      </c>
      <c r="CC418" t="e">
        <f>Asia!H819+"n/&gt;!4U?"</f>
        <v>#VALUE!</v>
      </c>
      <c r="CD418" t="e">
        <f>Asia!I819+"n/&gt;!4U@"</f>
        <v>#VALUE!</v>
      </c>
      <c r="CE418" t="e">
        <f>Asia!A820+"n/&gt;!4UA"</f>
        <v>#VALUE!</v>
      </c>
      <c r="CF418" t="e">
        <f>Asia!B820+"n/&gt;!4UB"</f>
        <v>#VALUE!</v>
      </c>
      <c r="CG418" t="e">
        <f>Asia!C820+"n/&gt;!4UC"</f>
        <v>#VALUE!</v>
      </c>
      <c r="CH418" t="e">
        <f>Asia!D820+"n/&gt;!4UD"</f>
        <v>#VALUE!</v>
      </c>
      <c r="CI418" t="e">
        <f>Asia!E820+"n/&gt;!4UE"</f>
        <v>#VALUE!</v>
      </c>
      <c r="CJ418" t="e">
        <f>Asia!F820+"n/&gt;!4UF"</f>
        <v>#VALUE!</v>
      </c>
      <c r="CK418" t="e">
        <f>Asia!G820+"n/&gt;!4UG"</f>
        <v>#VALUE!</v>
      </c>
      <c r="CL418" t="e">
        <f>Asia!H820+"n/&gt;!4UH"</f>
        <v>#VALUE!</v>
      </c>
      <c r="CM418" t="e">
        <f>Asia!I820+"n/&gt;!4UI"</f>
        <v>#VALUE!</v>
      </c>
      <c r="CN418" t="e">
        <f>Asia!A821+"n/&gt;!4UJ"</f>
        <v>#VALUE!</v>
      </c>
      <c r="CO418" t="e">
        <f>Asia!B821+"n/&gt;!4UK"</f>
        <v>#VALUE!</v>
      </c>
      <c r="CP418" t="e">
        <f>Asia!C821+"n/&gt;!4UL"</f>
        <v>#VALUE!</v>
      </c>
      <c r="CQ418" t="e">
        <f>Asia!D821+"n/&gt;!4UM"</f>
        <v>#VALUE!</v>
      </c>
      <c r="CR418" t="e">
        <f>Asia!E821+"n/&gt;!4UN"</f>
        <v>#VALUE!</v>
      </c>
      <c r="CS418" t="e">
        <f>Asia!F821+"n/&gt;!4UO"</f>
        <v>#VALUE!</v>
      </c>
      <c r="CT418" t="e">
        <f>Asia!G821+"n/&gt;!4UP"</f>
        <v>#VALUE!</v>
      </c>
      <c r="CU418" t="e">
        <f>Asia!H821+"n/&gt;!4UQ"</f>
        <v>#VALUE!</v>
      </c>
      <c r="CV418" t="e">
        <f>Asia!I821+"n/&gt;!4UR"</f>
        <v>#VALUE!</v>
      </c>
      <c r="CW418" t="e">
        <f>Asia!A822+"n/&gt;!4US"</f>
        <v>#VALUE!</v>
      </c>
      <c r="CX418" t="e">
        <f>Asia!B822+"n/&gt;!4UT"</f>
        <v>#VALUE!</v>
      </c>
      <c r="CY418" t="e">
        <f>Asia!C822+"n/&gt;!4UU"</f>
        <v>#VALUE!</v>
      </c>
      <c r="CZ418" t="e">
        <f>Asia!D822+"n/&gt;!4UV"</f>
        <v>#VALUE!</v>
      </c>
      <c r="DA418" t="e">
        <f>Asia!E822+"n/&gt;!4UW"</f>
        <v>#VALUE!</v>
      </c>
      <c r="DB418" t="e">
        <f>Asia!F822+"n/&gt;!4UX"</f>
        <v>#VALUE!</v>
      </c>
      <c r="DC418" t="e">
        <f>Asia!G822+"n/&gt;!4UY"</f>
        <v>#VALUE!</v>
      </c>
      <c r="DD418" t="e">
        <f>Asia!H822+"n/&gt;!4UZ"</f>
        <v>#VALUE!</v>
      </c>
      <c r="DE418" t="e">
        <f>Asia!I822+"n/&gt;!4U["</f>
        <v>#VALUE!</v>
      </c>
      <c r="DF418" t="e">
        <f>Asia!A823+"n/&gt;!4U\"</f>
        <v>#VALUE!</v>
      </c>
      <c r="DG418" t="e">
        <f>Asia!B823+"n/&gt;!4U]"</f>
        <v>#VALUE!</v>
      </c>
      <c r="DH418" t="e">
        <f>Asia!C823+"n/&gt;!4U^"</f>
        <v>#VALUE!</v>
      </c>
      <c r="DI418" t="e">
        <f>Asia!D823+"n/&gt;!4U_"</f>
        <v>#VALUE!</v>
      </c>
      <c r="DJ418" t="e">
        <f>Asia!E823+"n/&gt;!4U`"</f>
        <v>#VALUE!</v>
      </c>
      <c r="DK418" t="e">
        <f>Asia!F823+"n/&gt;!4Ua"</f>
        <v>#VALUE!</v>
      </c>
      <c r="DL418" t="e">
        <f>Asia!G823+"n/&gt;!4Ub"</f>
        <v>#VALUE!</v>
      </c>
      <c r="DM418" t="e">
        <f>Asia!H823+"n/&gt;!4Uc"</f>
        <v>#VALUE!</v>
      </c>
      <c r="DN418" t="e">
        <f>Asia!I823+"n/&gt;!4Ud"</f>
        <v>#VALUE!</v>
      </c>
      <c r="DO418" t="e">
        <f>Asia!A824+"n/&gt;!4Ue"</f>
        <v>#VALUE!</v>
      </c>
      <c r="DP418" t="e">
        <f>Asia!B824+"n/&gt;!4Uf"</f>
        <v>#VALUE!</v>
      </c>
      <c r="DQ418" t="e">
        <f>Asia!C824+"n/&gt;!4Ug"</f>
        <v>#VALUE!</v>
      </c>
      <c r="DR418" t="e">
        <f>Asia!D824+"n/&gt;!4Uh"</f>
        <v>#VALUE!</v>
      </c>
      <c r="DS418" t="e">
        <f>Asia!E824+"n/&gt;!4Ui"</f>
        <v>#VALUE!</v>
      </c>
      <c r="DT418" t="e">
        <f>Asia!F824+"n/&gt;!4Uj"</f>
        <v>#VALUE!</v>
      </c>
      <c r="DU418" t="e">
        <f>Asia!G824+"n/&gt;!4Uk"</f>
        <v>#VALUE!</v>
      </c>
      <c r="DV418" t="e">
        <f>Asia!H824+"n/&gt;!4Ul"</f>
        <v>#VALUE!</v>
      </c>
      <c r="DW418" t="e">
        <f>Asia!I824+"n/&gt;!4Um"</f>
        <v>#VALUE!</v>
      </c>
      <c r="DX418" t="e">
        <f>Asia!A825+"n/&gt;!4Un"</f>
        <v>#VALUE!</v>
      </c>
      <c r="DY418" t="e">
        <f>Asia!B825+"n/&gt;!4Uo"</f>
        <v>#VALUE!</v>
      </c>
      <c r="DZ418" t="e">
        <f>Asia!C825+"n/&gt;!4Up"</f>
        <v>#VALUE!</v>
      </c>
      <c r="EA418" t="e">
        <f>Asia!D825+"n/&gt;!4Uq"</f>
        <v>#VALUE!</v>
      </c>
      <c r="EB418" t="e">
        <f>Asia!E825+"n/&gt;!4Ur"</f>
        <v>#VALUE!</v>
      </c>
      <c r="EC418" t="e">
        <f>Asia!F825+"n/&gt;!4Us"</f>
        <v>#VALUE!</v>
      </c>
      <c r="ED418" t="e">
        <f>Asia!G825+"n/&gt;!4Ut"</f>
        <v>#VALUE!</v>
      </c>
      <c r="EE418" t="e">
        <f>Asia!H825+"n/&gt;!4Uu"</f>
        <v>#VALUE!</v>
      </c>
      <c r="EF418" t="e">
        <f>Asia!I825+"n/&gt;!4Uv"</f>
        <v>#VALUE!</v>
      </c>
      <c r="EG418" t="e">
        <f>Asia!A826+"n/&gt;!4Uw"</f>
        <v>#VALUE!</v>
      </c>
      <c r="EH418" t="e">
        <f>Asia!B826+"n/&gt;!4Ux"</f>
        <v>#VALUE!</v>
      </c>
      <c r="EI418" t="e">
        <f>Asia!C826+"n/&gt;!4Uy"</f>
        <v>#VALUE!</v>
      </c>
      <c r="EJ418" t="e">
        <f>Asia!D826+"n/&gt;!4Uz"</f>
        <v>#VALUE!</v>
      </c>
      <c r="EK418" t="e">
        <f>Asia!E826+"n/&gt;!4U{"</f>
        <v>#VALUE!</v>
      </c>
      <c r="EL418" t="e">
        <f>Asia!F826+"n/&gt;!4U|"</f>
        <v>#VALUE!</v>
      </c>
      <c r="EM418" t="e">
        <f>Asia!G826+"n/&gt;!4U}"</f>
        <v>#VALUE!</v>
      </c>
      <c r="EN418" t="e">
        <f>Asia!H826+"n/&gt;!4U~"</f>
        <v>#VALUE!</v>
      </c>
      <c r="EO418" t="e">
        <f>Asia!I826+"n/&gt;!4V#"</f>
        <v>#VALUE!</v>
      </c>
      <c r="EP418" t="e">
        <f>Asia!A827+"n/&gt;!4V$"</f>
        <v>#VALUE!</v>
      </c>
      <c r="EQ418" t="e">
        <f>Asia!B827+"n/&gt;!4V%"</f>
        <v>#VALUE!</v>
      </c>
      <c r="ER418" t="e">
        <f>Asia!C827+"n/&gt;!4V&amp;"</f>
        <v>#VALUE!</v>
      </c>
      <c r="ES418" t="e">
        <f>Asia!D827+"n/&gt;!4V'"</f>
        <v>#VALUE!</v>
      </c>
      <c r="ET418" t="e">
        <f>Asia!E827+"n/&gt;!4V("</f>
        <v>#VALUE!</v>
      </c>
      <c r="EU418" t="e">
        <f>Asia!F827+"n/&gt;!4V)"</f>
        <v>#VALUE!</v>
      </c>
      <c r="EV418" t="e">
        <f>Asia!G827+"n/&gt;!4V."</f>
        <v>#VALUE!</v>
      </c>
      <c r="EW418" t="e">
        <f>Asia!H827+"n/&gt;!4V/"</f>
        <v>#VALUE!</v>
      </c>
      <c r="EX418" t="e">
        <f>Asia!I827+"n/&gt;!4V0"</f>
        <v>#VALUE!</v>
      </c>
      <c r="EY418" t="e">
        <f>Asia!A828+"n/&gt;!4V1"</f>
        <v>#VALUE!</v>
      </c>
      <c r="EZ418" t="e">
        <f>Asia!B828+"n/&gt;!4V2"</f>
        <v>#VALUE!</v>
      </c>
      <c r="FA418" t="e">
        <f>Asia!C828+"n/&gt;!4V3"</f>
        <v>#VALUE!</v>
      </c>
      <c r="FB418" t="e">
        <f>Asia!D828+"n/&gt;!4V4"</f>
        <v>#VALUE!</v>
      </c>
      <c r="FC418" t="e">
        <f>Asia!E828+"n/&gt;!4V5"</f>
        <v>#VALUE!</v>
      </c>
      <c r="FD418" t="e">
        <f>Asia!F828+"n/&gt;!4V6"</f>
        <v>#VALUE!</v>
      </c>
      <c r="FE418" t="e">
        <f>Asia!G828+"n/&gt;!4V7"</f>
        <v>#VALUE!</v>
      </c>
      <c r="FF418" t="e">
        <f>Asia!H828+"n/&gt;!4V8"</f>
        <v>#VALUE!</v>
      </c>
      <c r="FG418" t="e">
        <f>Asia!I828+"n/&gt;!4V9"</f>
        <v>#VALUE!</v>
      </c>
      <c r="FH418" t="e">
        <f>Asia!A829+"n/&gt;!4V:"</f>
        <v>#VALUE!</v>
      </c>
      <c r="FI418" t="e">
        <f>Asia!B829+"n/&gt;!4V;"</f>
        <v>#VALUE!</v>
      </c>
      <c r="FJ418" t="e">
        <f>Asia!C829+"n/&gt;!4V&lt;"</f>
        <v>#VALUE!</v>
      </c>
      <c r="FK418" t="e">
        <f>Asia!D829+"n/&gt;!4V="</f>
        <v>#VALUE!</v>
      </c>
      <c r="FL418" t="e">
        <f>Asia!E829+"n/&gt;!4V&gt;"</f>
        <v>#VALUE!</v>
      </c>
      <c r="FM418" t="e">
        <f>Asia!F829+"n/&gt;!4V?"</f>
        <v>#VALUE!</v>
      </c>
      <c r="FN418" t="e">
        <f>Asia!G829+"n/&gt;!4V@"</f>
        <v>#VALUE!</v>
      </c>
      <c r="FO418" t="e">
        <f>Asia!H829+"n/&gt;!4VA"</f>
        <v>#VALUE!</v>
      </c>
      <c r="FP418" t="e">
        <f>Asia!I829+"n/&gt;!4VB"</f>
        <v>#VALUE!</v>
      </c>
      <c r="FQ418" t="e">
        <f>Asia!A830+"n/&gt;!4VC"</f>
        <v>#VALUE!</v>
      </c>
      <c r="FR418" t="e">
        <f>Asia!B830+"n/&gt;!4VD"</f>
        <v>#VALUE!</v>
      </c>
      <c r="FS418" t="e">
        <f>Asia!C830+"n/&gt;!4VE"</f>
        <v>#VALUE!</v>
      </c>
      <c r="FT418" t="e">
        <f>Asia!D830+"n/&gt;!4VF"</f>
        <v>#VALUE!</v>
      </c>
      <c r="FU418" t="e">
        <f>Asia!E830+"n/&gt;!4VG"</f>
        <v>#VALUE!</v>
      </c>
      <c r="FV418" t="e">
        <f>Asia!F830+"n/&gt;!4VH"</f>
        <v>#VALUE!</v>
      </c>
      <c r="FW418" t="e">
        <f>Asia!G830+"n/&gt;!4VI"</f>
        <v>#VALUE!</v>
      </c>
      <c r="FX418" t="e">
        <f>Asia!H830+"n/&gt;!4VJ"</f>
        <v>#VALUE!</v>
      </c>
      <c r="FY418" t="e">
        <f>Asia!I830+"n/&gt;!4VK"</f>
        <v>#VALUE!</v>
      </c>
      <c r="FZ418" t="e">
        <f>Asia!A831+"n/&gt;!4VL"</f>
        <v>#VALUE!</v>
      </c>
      <c r="GA418" t="e">
        <f>Asia!B831+"n/&gt;!4VM"</f>
        <v>#VALUE!</v>
      </c>
      <c r="GB418" t="e">
        <f>Asia!C831+"n/&gt;!4VN"</f>
        <v>#VALUE!</v>
      </c>
      <c r="GC418" t="e">
        <f>Asia!D831+"n/&gt;!4VO"</f>
        <v>#VALUE!</v>
      </c>
      <c r="GD418" t="e">
        <f>Asia!E831+"n/&gt;!4VP"</f>
        <v>#VALUE!</v>
      </c>
      <c r="GE418" t="e">
        <f>Asia!F831+"n/&gt;!4VQ"</f>
        <v>#VALUE!</v>
      </c>
      <c r="GF418" t="e">
        <f>Asia!G831+"n/&gt;!4VR"</f>
        <v>#VALUE!</v>
      </c>
      <c r="GG418" t="e">
        <f>Asia!H831+"n/&gt;!4VS"</f>
        <v>#VALUE!</v>
      </c>
      <c r="GH418" t="e">
        <f>Asia!I831+"n/&gt;!4VT"</f>
        <v>#VALUE!</v>
      </c>
      <c r="GI418" t="e">
        <f>Asia!A832+"n/&gt;!4VU"</f>
        <v>#VALUE!</v>
      </c>
      <c r="GJ418" t="e">
        <f>Asia!B832+"n/&gt;!4VV"</f>
        <v>#VALUE!</v>
      </c>
      <c r="GK418" t="e">
        <f>Asia!C832+"n/&gt;!4VW"</f>
        <v>#VALUE!</v>
      </c>
      <c r="GL418" t="e">
        <f>Asia!D832+"n/&gt;!4VX"</f>
        <v>#VALUE!</v>
      </c>
      <c r="GM418" t="e">
        <f>Asia!E832+"n/&gt;!4VY"</f>
        <v>#VALUE!</v>
      </c>
      <c r="GN418" t="e">
        <f>Asia!F832+"n/&gt;!4VZ"</f>
        <v>#VALUE!</v>
      </c>
      <c r="GO418" t="e">
        <f>Asia!G832+"n/&gt;!4V["</f>
        <v>#VALUE!</v>
      </c>
      <c r="GP418" t="e">
        <f>Asia!H832+"n/&gt;!4V\"</f>
        <v>#VALUE!</v>
      </c>
      <c r="GQ418" t="e">
        <f>Asia!I832+"n/&gt;!4V]"</f>
        <v>#VALUE!</v>
      </c>
      <c r="GR418" t="e">
        <f>Asia!A833+"n/&gt;!4V^"</f>
        <v>#VALUE!</v>
      </c>
      <c r="GS418" t="e">
        <f>Asia!B833+"n/&gt;!4V_"</f>
        <v>#VALUE!</v>
      </c>
      <c r="GT418" t="e">
        <f>Asia!C833+"n/&gt;!4V`"</f>
        <v>#VALUE!</v>
      </c>
      <c r="GU418" t="e">
        <f>Asia!D833+"n/&gt;!4Va"</f>
        <v>#VALUE!</v>
      </c>
      <c r="GV418" t="e">
        <f>Asia!E833+"n/&gt;!4Vb"</f>
        <v>#VALUE!</v>
      </c>
      <c r="GW418" t="e">
        <f>Asia!F833+"n/&gt;!4Vc"</f>
        <v>#VALUE!</v>
      </c>
      <c r="GX418" t="e">
        <f>Asia!G833+"n/&gt;!4Vd"</f>
        <v>#VALUE!</v>
      </c>
      <c r="GY418" t="e">
        <f>Asia!H833+"n/&gt;!4Ve"</f>
        <v>#VALUE!</v>
      </c>
      <c r="GZ418" t="e">
        <f>Asia!I833+"n/&gt;!4Vf"</f>
        <v>#VALUE!</v>
      </c>
      <c r="HA418" t="e">
        <f>Asia!A834+"n/&gt;!4Vg"</f>
        <v>#VALUE!</v>
      </c>
      <c r="HB418" t="e">
        <f>Asia!B834+"n/&gt;!4Vh"</f>
        <v>#VALUE!</v>
      </c>
      <c r="HC418" t="e">
        <f>Asia!C834+"n/&gt;!4Vi"</f>
        <v>#VALUE!</v>
      </c>
      <c r="HD418" t="e">
        <f>Asia!D834+"n/&gt;!4Vj"</f>
        <v>#VALUE!</v>
      </c>
      <c r="HE418" t="e">
        <f>Asia!E834+"n/&gt;!4Vk"</f>
        <v>#VALUE!</v>
      </c>
      <c r="HF418" t="e">
        <f>Asia!F834+"n/&gt;!4Vl"</f>
        <v>#VALUE!</v>
      </c>
      <c r="HG418" t="e">
        <f>Asia!G834+"n/&gt;!4Vm"</f>
        <v>#VALUE!</v>
      </c>
      <c r="HH418" t="e">
        <f>Asia!H834+"n/&gt;!4Vn"</f>
        <v>#VALUE!</v>
      </c>
      <c r="HI418" t="e">
        <f>Asia!I834+"n/&gt;!4Vo"</f>
        <v>#VALUE!</v>
      </c>
      <c r="HJ418" t="e">
        <f>Asia!A835+"n/&gt;!4Vp"</f>
        <v>#VALUE!</v>
      </c>
      <c r="HK418" t="e">
        <f>Asia!B835+"n/&gt;!4Vq"</f>
        <v>#VALUE!</v>
      </c>
      <c r="HL418" t="e">
        <f>Asia!C835+"n/&gt;!4Vr"</f>
        <v>#VALUE!</v>
      </c>
      <c r="HM418" t="e">
        <f>Asia!D835+"n/&gt;!4Vs"</f>
        <v>#VALUE!</v>
      </c>
      <c r="HN418" t="e">
        <f>Asia!E835+"n/&gt;!4Vt"</f>
        <v>#VALUE!</v>
      </c>
      <c r="HO418" t="e">
        <f>Asia!F835+"n/&gt;!4Vu"</f>
        <v>#VALUE!</v>
      </c>
      <c r="HP418" t="e">
        <f>Asia!G835+"n/&gt;!4Vv"</f>
        <v>#VALUE!</v>
      </c>
      <c r="HQ418" t="e">
        <f>Asia!H835+"n/&gt;!4Vw"</f>
        <v>#VALUE!</v>
      </c>
      <c r="HR418" t="e">
        <f>Asia!I835+"n/&gt;!4Vx"</f>
        <v>#VALUE!</v>
      </c>
      <c r="HS418" t="e">
        <f>Asia!A836+"n/&gt;!4Vy"</f>
        <v>#VALUE!</v>
      </c>
      <c r="HT418" t="e">
        <f>Asia!B836+"n/&gt;!4Vz"</f>
        <v>#VALUE!</v>
      </c>
      <c r="HU418" t="e">
        <f>Asia!C836+"n/&gt;!4V{"</f>
        <v>#VALUE!</v>
      </c>
      <c r="HV418" t="e">
        <f>Asia!D836+"n/&gt;!4V|"</f>
        <v>#VALUE!</v>
      </c>
      <c r="HW418" t="e">
        <f>Asia!E836+"n/&gt;!4V}"</f>
        <v>#VALUE!</v>
      </c>
      <c r="HX418" t="e">
        <f>Asia!F836+"n/&gt;!4V~"</f>
        <v>#VALUE!</v>
      </c>
      <c r="HY418" t="e">
        <f>Asia!G836+"n/&gt;!4W#"</f>
        <v>#VALUE!</v>
      </c>
      <c r="HZ418" t="e">
        <f>Asia!H836+"n/&gt;!4W$"</f>
        <v>#VALUE!</v>
      </c>
      <c r="IA418" t="e">
        <f>Asia!I836+"n/&gt;!4W%"</f>
        <v>#VALUE!</v>
      </c>
      <c r="IB418" t="e">
        <f>Asia!A837+"n/&gt;!4W&amp;"</f>
        <v>#VALUE!</v>
      </c>
      <c r="IC418" t="e">
        <f>Asia!B837+"n/&gt;!4W'"</f>
        <v>#VALUE!</v>
      </c>
      <c r="ID418" t="e">
        <f>Asia!C837+"n/&gt;!4W("</f>
        <v>#VALUE!</v>
      </c>
      <c r="IE418" t="e">
        <f>Asia!D837+"n/&gt;!4W)"</f>
        <v>#VALUE!</v>
      </c>
      <c r="IF418" t="e">
        <f>Asia!E837+"n/&gt;!4W."</f>
        <v>#VALUE!</v>
      </c>
      <c r="IG418" t="e">
        <f>Asia!F837+"n/&gt;!4W/"</f>
        <v>#VALUE!</v>
      </c>
      <c r="IH418" t="e">
        <f>Asia!G837+"n/&gt;!4W0"</f>
        <v>#VALUE!</v>
      </c>
      <c r="II418" t="e">
        <f>Asia!H837+"n/&gt;!4W1"</f>
        <v>#VALUE!</v>
      </c>
      <c r="IJ418" t="e">
        <f>Asia!I837+"n/&gt;!4W2"</f>
        <v>#VALUE!</v>
      </c>
      <c r="IK418" t="e">
        <f>Asia!A838+"n/&gt;!4W3"</f>
        <v>#VALUE!</v>
      </c>
      <c r="IL418" t="e">
        <f>Asia!B838+"n/&gt;!4W4"</f>
        <v>#VALUE!</v>
      </c>
      <c r="IM418" t="e">
        <f>Asia!C838+"n/&gt;!4W5"</f>
        <v>#VALUE!</v>
      </c>
      <c r="IN418" t="e">
        <f>Asia!D838+"n/&gt;!4W6"</f>
        <v>#VALUE!</v>
      </c>
      <c r="IO418" t="e">
        <f>Asia!E838+"n/&gt;!4W7"</f>
        <v>#VALUE!</v>
      </c>
      <c r="IP418" t="e">
        <f>Asia!F838+"n/&gt;!4W8"</f>
        <v>#VALUE!</v>
      </c>
      <c r="IQ418" t="e">
        <f>Asia!G838+"n/&gt;!4W9"</f>
        <v>#VALUE!</v>
      </c>
      <c r="IR418" t="e">
        <f>Asia!H838+"n/&gt;!4W:"</f>
        <v>#VALUE!</v>
      </c>
      <c r="IS418" t="e">
        <f>Asia!I838+"n/&gt;!4W;"</f>
        <v>#VALUE!</v>
      </c>
      <c r="IT418" t="e">
        <f>Asia!A839+"n/&gt;!4W&lt;"</f>
        <v>#VALUE!</v>
      </c>
      <c r="IU418" t="e">
        <f>Asia!B839+"n/&gt;!4W="</f>
        <v>#VALUE!</v>
      </c>
      <c r="IV418" t="e">
        <f>Asia!C839+"n/&gt;!4W&gt;"</f>
        <v>#VALUE!</v>
      </c>
    </row>
    <row r="419" spans="6:256" x14ac:dyDescent="0.35">
      <c r="F419" t="e">
        <f>Asia!D839+"n/&gt;!4W?"</f>
        <v>#VALUE!</v>
      </c>
      <c r="G419" t="e">
        <f>Asia!E839+"n/&gt;!4W@"</f>
        <v>#VALUE!</v>
      </c>
      <c r="H419" t="e">
        <f>Asia!F839+"n/&gt;!4WA"</f>
        <v>#VALUE!</v>
      </c>
      <c r="I419" t="e">
        <f>Asia!G839+"n/&gt;!4WB"</f>
        <v>#VALUE!</v>
      </c>
      <c r="J419" t="e">
        <f>Asia!H839+"n/&gt;!4WC"</f>
        <v>#VALUE!</v>
      </c>
      <c r="K419" t="e">
        <f>Asia!I839+"n/&gt;!4WD"</f>
        <v>#VALUE!</v>
      </c>
      <c r="L419" t="e">
        <f>Asia!A840+"n/&gt;!4WE"</f>
        <v>#VALUE!</v>
      </c>
      <c r="M419" t="e">
        <f>Asia!B840+"n/&gt;!4WF"</f>
        <v>#VALUE!</v>
      </c>
      <c r="N419" t="e">
        <f>Asia!C840+"n/&gt;!4WG"</f>
        <v>#VALUE!</v>
      </c>
      <c r="O419" t="e">
        <f>Asia!D840+"n/&gt;!4WH"</f>
        <v>#VALUE!</v>
      </c>
      <c r="P419" t="e">
        <f>Asia!E840+"n/&gt;!4WI"</f>
        <v>#VALUE!</v>
      </c>
      <c r="Q419" t="e">
        <f>Asia!F840+"n/&gt;!4WJ"</f>
        <v>#VALUE!</v>
      </c>
      <c r="R419" t="e">
        <f>Asia!G840+"n/&gt;!4WK"</f>
        <v>#VALUE!</v>
      </c>
      <c r="S419" t="e">
        <f>Asia!H840+"n/&gt;!4WL"</f>
        <v>#VALUE!</v>
      </c>
      <c r="T419" t="e">
        <f>Asia!I840+"n/&gt;!4WM"</f>
        <v>#VALUE!</v>
      </c>
      <c r="U419" t="e">
        <f>Asia!A841+"n/&gt;!4WN"</f>
        <v>#VALUE!</v>
      </c>
      <c r="V419" t="e">
        <f>Asia!B841+"n/&gt;!4WO"</f>
        <v>#VALUE!</v>
      </c>
      <c r="W419" t="e">
        <f>Asia!C841+"n/&gt;!4WP"</f>
        <v>#VALUE!</v>
      </c>
      <c r="X419" t="e">
        <f>Asia!D841+"n/&gt;!4WQ"</f>
        <v>#VALUE!</v>
      </c>
      <c r="Y419" t="e">
        <f>Asia!E841+"n/&gt;!4WR"</f>
        <v>#VALUE!</v>
      </c>
      <c r="Z419" t="e">
        <f>Asia!F841+"n/&gt;!4WS"</f>
        <v>#VALUE!</v>
      </c>
      <c r="AA419" t="e">
        <f>Asia!G841+"n/&gt;!4WT"</f>
        <v>#VALUE!</v>
      </c>
      <c r="AB419" t="e">
        <f>Asia!H841+"n/&gt;!4WU"</f>
        <v>#VALUE!</v>
      </c>
      <c r="AC419" t="e">
        <f>Asia!I841+"n/&gt;!4WV"</f>
        <v>#VALUE!</v>
      </c>
      <c r="AD419" t="e">
        <f>Asia!A842+"n/&gt;!4WW"</f>
        <v>#VALUE!</v>
      </c>
      <c r="AE419" t="e">
        <f>Asia!B842+"n/&gt;!4WX"</f>
        <v>#VALUE!</v>
      </c>
      <c r="AF419" t="e">
        <f>Asia!C842+"n/&gt;!4WY"</f>
        <v>#VALUE!</v>
      </c>
      <c r="AG419" t="e">
        <f>Asia!D842+"n/&gt;!4WZ"</f>
        <v>#VALUE!</v>
      </c>
      <c r="AH419" t="e">
        <f>Asia!E842+"n/&gt;!4W["</f>
        <v>#VALUE!</v>
      </c>
      <c r="AI419" t="e">
        <f>Asia!F842+"n/&gt;!4W\"</f>
        <v>#VALUE!</v>
      </c>
      <c r="AJ419" t="e">
        <f>Asia!G842+"n/&gt;!4W]"</f>
        <v>#VALUE!</v>
      </c>
      <c r="AK419" t="e">
        <f>Asia!H842+"n/&gt;!4W^"</f>
        <v>#VALUE!</v>
      </c>
      <c r="AL419" t="e">
        <f>Asia!I842+"n/&gt;!4W_"</f>
        <v>#VALUE!</v>
      </c>
      <c r="AM419" t="e">
        <f>Asia!A843+"n/&gt;!4W`"</f>
        <v>#VALUE!</v>
      </c>
      <c r="AN419" t="e">
        <f>Asia!B843+"n/&gt;!4Wa"</f>
        <v>#VALUE!</v>
      </c>
      <c r="AO419" t="e">
        <f>Asia!C843+"n/&gt;!4Wb"</f>
        <v>#VALUE!</v>
      </c>
      <c r="AP419" t="e">
        <f>Asia!D843+"n/&gt;!4Wc"</f>
        <v>#VALUE!</v>
      </c>
      <c r="AQ419" t="e">
        <f>Asia!E843+"n/&gt;!4Wd"</f>
        <v>#VALUE!</v>
      </c>
      <c r="AR419" t="e">
        <f>Asia!F843+"n/&gt;!4We"</f>
        <v>#VALUE!</v>
      </c>
      <c r="AS419" t="e">
        <f>Asia!G843+"n/&gt;!4Wf"</f>
        <v>#VALUE!</v>
      </c>
      <c r="AT419" t="e">
        <f>Asia!H843+"n/&gt;!4Wg"</f>
        <v>#VALUE!</v>
      </c>
      <c r="AU419" t="e">
        <f>Asia!I843+"n/&gt;!4Wh"</f>
        <v>#VALUE!</v>
      </c>
      <c r="AV419" t="e">
        <f>Asia!A844+"n/&gt;!4Wi"</f>
        <v>#VALUE!</v>
      </c>
      <c r="AW419" t="e">
        <f>Asia!B844+"n/&gt;!4Wj"</f>
        <v>#VALUE!</v>
      </c>
      <c r="AX419" t="e">
        <f>Asia!C844+"n/&gt;!4Wk"</f>
        <v>#VALUE!</v>
      </c>
      <c r="AY419" t="e">
        <f>Asia!D844+"n/&gt;!4Wl"</f>
        <v>#VALUE!</v>
      </c>
      <c r="AZ419" t="e">
        <f>Asia!E844+"n/&gt;!4Wm"</f>
        <v>#VALUE!</v>
      </c>
      <c r="BA419" t="e">
        <f>Asia!F844+"n/&gt;!4Wn"</f>
        <v>#VALUE!</v>
      </c>
      <c r="BB419" t="e">
        <f>Asia!G844+"n/&gt;!4Wo"</f>
        <v>#VALUE!</v>
      </c>
      <c r="BC419" t="e">
        <f>Asia!H844+"n/&gt;!4Wp"</f>
        <v>#VALUE!</v>
      </c>
      <c r="BD419" t="e">
        <f>Asia!I844+"n/&gt;!4Wq"</f>
        <v>#VALUE!</v>
      </c>
      <c r="BE419" t="e">
        <f>Asia!A845+"n/&gt;!4Wr"</f>
        <v>#VALUE!</v>
      </c>
      <c r="BF419" t="e">
        <f>Asia!B845+"n/&gt;!4Ws"</f>
        <v>#VALUE!</v>
      </c>
      <c r="BG419" t="e">
        <f>Asia!C845+"n/&gt;!4Wt"</f>
        <v>#VALUE!</v>
      </c>
      <c r="BH419" t="e">
        <f>Asia!D845+"n/&gt;!4Wu"</f>
        <v>#VALUE!</v>
      </c>
      <c r="BI419" t="e">
        <f>Asia!E845+"n/&gt;!4Wv"</f>
        <v>#VALUE!</v>
      </c>
      <c r="BJ419" t="e">
        <f>Asia!F845+"n/&gt;!4Ww"</f>
        <v>#VALUE!</v>
      </c>
      <c r="BK419" t="e">
        <f>Asia!G845+"n/&gt;!4Wx"</f>
        <v>#VALUE!</v>
      </c>
      <c r="BL419" t="e">
        <f>Asia!H845+"n/&gt;!4Wy"</f>
        <v>#VALUE!</v>
      </c>
      <c r="BM419" t="e">
        <f>Asia!I845+"n/&gt;!4Wz"</f>
        <v>#VALUE!</v>
      </c>
      <c r="BN419" t="e">
        <f>Asia!A846+"n/&gt;!4W{"</f>
        <v>#VALUE!</v>
      </c>
      <c r="BO419" t="e">
        <f>Asia!B846+"n/&gt;!4W|"</f>
        <v>#VALUE!</v>
      </c>
      <c r="BP419" t="e">
        <f>Asia!C846+"n/&gt;!4W}"</f>
        <v>#VALUE!</v>
      </c>
      <c r="BQ419" t="e">
        <f>Asia!D846+"n/&gt;!4W~"</f>
        <v>#VALUE!</v>
      </c>
      <c r="BR419" t="e">
        <f>Asia!E846+"n/&gt;!4X#"</f>
        <v>#VALUE!</v>
      </c>
      <c r="BS419" t="e">
        <f>Asia!F846+"n/&gt;!4X$"</f>
        <v>#VALUE!</v>
      </c>
      <c r="BT419" t="e">
        <f>Asia!G846+"n/&gt;!4X%"</f>
        <v>#VALUE!</v>
      </c>
      <c r="BU419" t="e">
        <f>Asia!H846+"n/&gt;!4X&amp;"</f>
        <v>#VALUE!</v>
      </c>
      <c r="BV419" t="e">
        <f>Asia!I846+"n/&gt;!4X'"</f>
        <v>#VALUE!</v>
      </c>
      <c r="BW419" t="e">
        <f>Asia!A847+"n/&gt;!4X("</f>
        <v>#VALUE!</v>
      </c>
      <c r="BX419" t="e">
        <f>Asia!B847+"n/&gt;!4X)"</f>
        <v>#VALUE!</v>
      </c>
      <c r="BY419" t="e">
        <f>Asia!C847+"n/&gt;!4X."</f>
        <v>#VALUE!</v>
      </c>
      <c r="BZ419" t="e">
        <f>Asia!D847+"n/&gt;!4X/"</f>
        <v>#VALUE!</v>
      </c>
      <c r="CA419" t="e">
        <f>Asia!E847+"n/&gt;!4X0"</f>
        <v>#VALUE!</v>
      </c>
      <c r="CB419" t="e">
        <f>Asia!F847+"n/&gt;!4X1"</f>
        <v>#VALUE!</v>
      </c>
      <c r="CC419" t="e">
        <f>Asia!G847+"n/&gt;!4X2"</f>
        <v>#VALUE!</v>
      </c>
      <c r="CD419" t="e">
        <f>Asia!H847+"n/&gt;!4X3"</f>
        <v>#VALUE!</v>
      </c>
      <c r="CE419" t="e">
        <f>Asia!I847+"n/&gt;!4X4"</f>
        <v>#VALUE!</v>
      </c>
      <c r="CF419" t="e">
        <f>Asia!A848+"n/&gt;!4X5"</f>
        <v>#VALUE!</v>
      </c>
      <c r="CG419" t="e">
        <f>Asia!B848+"n/&gt;!4X6"</f>
        <v>#VALUE!</v>
      </c>
      <c r="CH419" t="e">
        <f>Asia!C848+"n/&gt;!4X7"</f>
        <v>#VALUE!</v>
      </c>
      <c r="CI419" t="e">
        <f>Asia!D848+"n/&gt;!4X8"</f>
        <v>#VALUE!</v>
      </c>
      <c r="CJ419" t="e">
        <f>Asia!E848+"n/&gt;!4X9"</f>
        <v>#VALUE!</v>
      </c>
      <c r="CK419" t="e">
        <f>Asia!F848+"n/&gt;!4X:"</f>
        <v>#VALUE!</v>
      </c>
      <c r="CL419" t="e">
        <f>Asia!G848+"n/&gt;!4X;"</f>
        <v>#VALUE!</v>
      </c>
      <c r="CM419" t="e">
        <f>Asia!H848+"n/&gt;!4X&lt;"</f>
        <v>#VALUE!</v>
      </c>
      <c r="CN419" t="e">
        <f>Asia!I848+"n/&gt;!4X="</f>
        <v>#VALUE!</v>
      </c>
      <c r="CO419" t="e">
        <f>Asia!A849+"n/&gt;!4X&gt;"</f>
        <v>#VALUE!</v>
      </c>
      <c r="CP419" t="e">
        <f>Asia!B849+"n/&gt;!4X?"</f>
        <v>#VALUE!</v>
      </c>
      <c r="CQ419" t="e">
        <f>Asia!C849+"n/&gt;!4X@"</f>
        <v>#VALUE!</v>
      </c>
      <c r="CR419" t="e">
        <f>Asia!D849+"n/&gt;!4XA"</f>
        <v>#VALUE!</v>
      </c>
      <c r="CS419" t="e">
        <f>Asia!E849+"n/&gt;!4XB"</f>
        <v>#VALUE!</v>
      </c>
      <c r="CT419" t="e">
        <f>Asia!F849+"n/&gt;!4XC"</f>
        <v>#VALUE!</v>
      </c>
      <c r="CU419" t="e">
        <f>Asia!G849+"n/&gt;!4XD"</f>
        <v>#VALUE!</v>
      </c>
      <c r="CV419" t="e">
        <f>Asia!H849+"n/&gt;!4XE"</f>
        <v>#VALUE!</v>
      </c>
      <c r="CW419" t="e">
        <f>Asia!I849+"n/&gt;!4XF"</f>
        <v>#VALUE!</v>
      </c>
      <c r="CX419" t="e">
        <f>Asia!A850+"n/&gt;!4XG"</f>
        <v>#VALUE!</v>
      </c>
      <c r="CY419" t="e">
        <f>Asia!B850+"n/&gt;!4XH"</f>
        <v>#VALUE!</v>
      </c>
      <c r="CZ419" t="e">
        <f>Asia!C850+"n/&gt;!4XI"</f>
        <v>#VALUE!</v>
      </c>
      <c r="DA419" t="e">
        <f>Asia!D850+"n/&gt;!4XJ"</f>
        <v>#VALUE!</v>
      </c>
      <c r="DB419" t="e">
        <f>Asia!E850+"n/&gt;!4XK"</f>
        <v>#VALUE!</v>
      </c>
      <c r="DC419" t="e">
        <f>Asia!F850+"n/&gt;!4XL"</f>
        <v>#VALUE!</v>
      </c>
      <c r="DD419" t="e">
        <f>Asia!G850+"n/&gt;!4XM"</f>
        <v>#VALUE!</v>
      </c>
      <c r="DE419" t="e">
        <f>Asia!H850+"n/&gt;!4XN"</f>
        <v>#VALUE!</v>
      </c>
      <c r="DF419" t="e">
        <f>Asia!I850+"n/&gt;!4XO"</f>
        <v>#VALUE!</v>
      </c>
      <c r="DG419" t="e">
        <f>Asia!A851+"n/&gt;!4XP"</f>
        <v>#VALUE!</v>
      </c>
      <c r="DH419" t="e">
        <f>Asia!B851+"n/&gt;!4XQ"</f>
        <v>#VALUE!</v>
      </c>
      <c r="DI419" t="e">
        <f>Asia!C851+"n/&gt;!4XR"</f>
        <v>#VALUE!</v>
      </c>
      <c r="DJ419" t="e">
        <f>Asia!D851+"n/&gt;!4XS"</f>
        <v>#VALUE!</v>
      </c>
      <c r="DK419" t="e">
        <f>Asia!E851+"n/&gt;!4XT"</f>
        <v>#VALUE!</v>
      </c>
      <c r="DL419" t="e">
        <f>Asia!F851+"n/&gt;!4XU"</f>
        <v>#VALUE!</v>
      </c>
      <c r="DM419" t="e">
        <f>Asia!G851+"n/&gt;!4XV"</f>
        <v>#VALUE!</v>
      </c>
      <c r="DN419" t="e">
        <f>Asia!H851+"n/&gt;!4XW"</f>
        <v>#VALUE!</v>
      </c>
      <c r="DO419" t="e">
        <f>Asia!I851+"n/&gt;!4XX"</f>
        <v>#VALUE!</v>
      </c>
      <c r="DP419" t="e">
        <f>Asia!A852+"n/&gt;!4XY"</f>
        <v>#VALUE!</v>
      </c>
      <c r="DQ419" t="e">
        <f>Asia!B852+"n/&gt;!4XZ"</f>
        <v>#VALUE!</v>
      </c>
      <c r="DR419" t="e">
        <f>Asia!C852+"n/&gt;!4X["</f>
        <v>#VALUE!</v>
      </c>
      <c r="DS419" t="e">
        <f>Asia!D852+"n/&gt;!4X\"</f>
        <v>#VALUE!</v>
      </c>
      <c r="DT419" t="e">
        <f>Asia!E852+"n/&gt;!4X]"</f>
        <v>#VALUE!</v>
      </c>
      <c r="DU419" t="e">
        <f>Asia!F852+"n/&gt;!4X^"</f>
        <v>#VALUE!</v>
      </c>
      <c r="DV419" t="e">
        <f>Asia!G852+"n/&gt;!4X_"</f>
        <v>#VALUE!</v>
      </c>
      <c r="DW419" t="e">
        <f>Asia!H852+"n/&gt;!4X`"</f>
        <v>#VALUE!</v>
      </c>
      <c r="DX419" t="e">
        <f>Asia!I852+"n/&gt;!4Xa"</f>
        <v>#VALUE!</v>
      </c>
      <c r="DY419" t="e">
        <f>Asia!A853+"n/&gt;!4Xb"</f>
        <v>#VALUE!</v>
      </c>
      <c r="DZ419" t="e">
        <f>Asia!B853+"n/&gt;!4Xc"</f>
        <v>#VALUE!</v>
      </c>
      <c r="EA419" t="e">
        <f>Asia!C853+"n/&gt;!4Xd"</f>
        <v>#VALUE!</v>
      </c>
      <c r="EB419" t="e">
        <f>Asia!D853+"n/&gt;!4Xe"</f>
        <v>#VALUE!</v>
      </c>
      <c r="EC419" t="e">
        <f>Asia!E853+"n/&gt;!4Xf"</f>
        <v>#VALUE!</v>
      </c>
      <c r="ED419" t="e">
        <f>Asia!F853+"n/&gt;!4Xg"</f>
        <v>#VALUE!</v>
      </c>
      <c r="EE419" t="e">
        <f>Asia!G853+"n/&gt;!4Xh"</f>
        <v>#VALUE!</v>
      </c>
      <c r="EF419" t="e">
        <f>Asia!H853+"n/&gt;!4Xi"</f>
        <v>#VALUE!</v>
      </c>
      <c r="EG419" t="e">
        <f>Asia!I853+"n/&gt;!4Xj"</f>
        <v>#VALUE!</v>
      </c>
      <c r="EH419" t="e">
        <f>Asia!A854+"n/&gt;!4Xk"</f>
        <v>#VALUE!</v>
      </c>
      <c r="EI419" t="e">
        <f>Asia!B854+"n/&gt;!4Xl"</f>
        <v>#VALUE!</v>
      </c>
      <c r="EJ419" t="e">
        <f>Asia!C854+"n/&gt;!4Xm"</f>
        <v>#VALUE!</v>
      </c>
      <c r="EK419" t="e">
        <f>Asia!D854+"n/&gt;!4Xn"</f>
        <v>#VALUE!</v>
      </c>
      <c r="EL419" t="e">
        <f>Asia!E854+"n/&gt;!4Xo"</f>
        <v>#VALUE!</v>
      </c>
      <c r="EM419" t="e">
        <f>Asia!F854+"n/&gt;!4Xp"</f>
        <v>#VALUE!</v>
      </c>
      <c r="EN419" t="e">
        <f>Asia!G854+"n/&gt;!4Xq"</f>
        <v>#VALUE!</v>
      </c>
      <c r="EO419" t="e">
        <f>Asia!H854+"n/&gt;!4Xr"</f>
        <v>#VALUE!</v>
      </c>
      <c r="EP419" t="e">
        <f>Asia!I854+"n/&gt;!4Xs"</f>
        <v>#VALUE!</v>
      </c>
      <c r="EQ419" t="e">
        <f>Asia!A855+"n/&gt;!4Xt"</f>
        <v>#VALUE!</v>
      </c>
      <c r="ER419" t="e">
        <f>Asia!B855+"n/&gt;!4Xu"</f>
        <v>#VALUE!</v>
      </c>
      <c r="ES419" t="e">
        <f>Asia!C855+"n/&gt;!4Xv"</f>
        <v>#VALUE!</v>
      </c>
      <c r="ET419" t="e">
        <f>Asia!D855+"n/&gt;!4Xw"</f>
        <v>#VALUE!</v>
      </c>
      <c r="EU419" t="e">
        <f>Asia!E855+"n/&gt;!4Xx"</f>
        <v>#VALUE!</v>
      </c>
      <c r="EV419" t="e">
        <f>Asia!F855+"n/&gt;!4Xy"</f>
        <v>#VALUE!</v>
      </c>
      <c r="EW419" t="e">
        <f>Asia!G855+"n/&gt;!4Xz"</f>
        <v>#VALUE!</v>
      </c>
      <c r="EX419" t="e">
        <f>Asia!H855+"n/&gt;!4X{"</f>
        <v>#VALUE!</v>
      </c>
      <c r="EY419" t="e">
        <f>Asia!I855+"n/&gt;!4X|"</f>
        <v>#VALUE!</v>
      </c>
      <c r="EZ419" t="e">
        <f>Asia!A856+"n/&gt;!4X}"</f>
        <v>#VALUE!</v>
      </c>
      <c r="FA419" t="e">
        <f>Asia!B856+"n/&gt;!4X~"</f>
        <v>#VALUE!</v>
      </c>
      <c r="FB419" t="e">
        <f>Asia!C856+"n/&gt;!4Y#"</f>
        <v>#VALUE!</v>
      </c>
      <c r="FC419" t="e">
        <f>Asia!D856+"n/&gt;!4Y$"</f>
        <v>#VALUE!</v>
      </c>
      <c r="FD419" t="e">
        <f>Asia!E856+"n/&gt;!4Y%"</f>
        <v>#VALUE!</v>
      </c>
      <c r="FE419" t="e">
        <f>Asia!F856+"n/&gt;!4Y&amp;"</f>
        <v>#VALUE!</v>
      </c>
      <c r="FF419" t="e">
        <f>Asia!G856+"n/&gt;!4Y'"</f>
        <v>#VALUE!</v>
      </c>
      <c r="FG419" t="e">
        <f>Asia!H856+"n/&gt;!4Y("</f>
        <v>#VALUE!</v>
      </c>
      <c r="FH419" t="e">
        <f>Asia!I856+"n/&gt;!4Y)"</f>
        <v>#VALUE!</v>
      </c>
      <c r="FI419" t="e">
        <f>Asia!A857+"n/&gt;!4Y."</f>
        <v>#VALUE!</v>
      </c>
      <c r="FJ419" t="e">
        <f>Asia!B857+"n/&gt;!4Y/"</f>
        <v>#VALUE!</v>
      </c>
      <c r="FK419" t="e">
        <f>Asia!C857+"n/&gt;!4Y0"</f>
        <v>#VALUE!</v>
      </c>
      <c r="FL419" t="e">
        <f>Asia!D857+"n/&gt;!4Y1"</f>
        <v>#VALUE!</v>
      </c>
      <c r="FM419" t="e">
        <f>Asia!E857+"n/&gt;!4Y2"</f>
        <v>#VALUE!</v>
      </c>
      <c r="FN419" t="e">
        <f>Asia!F857+"n/&gt;!4Y3"</f>
        <v>#VALUE!</v>
      </c>
      <c r="FO419" t="e">
        <f>Asia!G857+"n/&gt;!4Y4"</f>
        <v>#VALUE!</v>
      </c>
      <c r="FP419" t="e">
        <f>Asia!H857+"n/&gt;!4Y5"</f>
        <v>#VALUE!</v>
      </c>
      <c r="FQ419" t="e">
        <f>Asia!I857+"n/&gt;!4Y6"</f>
        <v>#VALUE!</v>
      </c>
      <c r="FR419" t="e">
        <f>Asia!A858+"n/&gt;!4Y7"</f>
        <v>#VALUE!</v>
      </c>
      <c r="FS419" t="e">
        <f>Asia!B858+"n/&gt;!4Y8"</f>
        <v>#VALUE!</v>
      </c>
      <c r="FT419" t="e">
        <f>Asia!C858+"n/&gt;!4Y9"</f>
        <v>#VALUE!</v>
      </c>
      <c r="FU419" t="e">
        <f>Asia!D858+"n/&gt;!4Y:"</f>
        <v>#VALUE!</v>
      </c>
      <c r="FV419" t="e">
        <f>Asia!E858+"n/&gt;!4Y;"</f>
        <v>#VALUE!</v>
      </c>
      <c r="FW419" t="e">
        <f>Asia!F858+"n/&gt;!4Y&lt;"</f>
        <v>#VALUE!</v>
      </c>
      <c r="FX419" t="e">
        <f>Asia!G858+"n/&gt;!4Y="</f>
        <v>#VALUE!</v>
      </c>
      <c r="FY419" t="e">
        <f>Asia!H858+"n/&gt;!4Y&gt;"</f>
        <v>#VALUE!</v>
      </c>
      <c r="FZ419" t="e">
        <f>Asia!I858+"n/&gt;!4Y?"</f>
        <v>#VALUE!</v>
      </c>
      <c r="GA419" t="e">
        <f>Asia!A859+"n/&gt;!4Y@"</f>
        <v>#VALUE!</v>
      </c>
      <c r="GB419" t="e">
        <f>Asia!B859+"n/&gt;!4YA"</f>
        <v>#VALUE!</v>
      </c>
      <c r="GC419" t="e">
        <f>Asia!C859+"n/&gt;!4YB"</f>
        <v>#VALUE!</v>
      </c>
      <c r="GD419" t="e">
        <f>Asia!D859+"n/&gt;!4YC"</f>
        <v>#VALUE!</v>
      </c>
      <c r="GE419" t="e">
        <f>Asia!E859+"n/&gt;!4YD"</f>
        <v>#VALUE!</v>
      </c>
      <c r="GF419" t="e">
        <f>Asia!F859+"n/&gt;!4YE"</f>
        <v>#VALUE!</v>
      </c>
      <c r="GG419" t="e">
        <f>Asia!G859+"n/&gt;!4YF"</f>
        <v>#VALUE!</v>
      </c>
      <c r="GH419" t="e">
        <f>Asia!H859+"n/&gt;!4YG"</f>
        <v>#VALUE!</v>
      </c>
      <c r="GI419" t="e">
        <f>Asia!I859+"n/&gt;!4YH"</f>
        <v>#VALUE!</v>
      </c>
      <c r="GJ419" t="e">
        <f>Asia!A860+"n/&gt;!4YI"</f>
        <v>#VALUE!</v>
      </c>
      <c r="GK419" t="e">
        <f>Asia!B860+"n/&gt;!4YJ"</f>
        <v>#VALUE!</v>
      </c>
      <c r="GL419" t="e">
        <f>Asia!C860+"n/&gt;!4YK"</f>
        <v>#VALUE!</v>
      </c>
      <c r="GM419" t="e">
        <f>Asia!D860+"n/&gt;!4YL"</f>
        <v>#VALUE!</v>
      </c>
      <c r="GN419" t="e">
        <f>Asia!E860+"n/&gt;!4YM"</f>
        <v>#VALUE!</v>
      </c>
      <c r="GO419" t="e">
        <f>Asia!F860+"n/&gt;!4YN"</f>
        <v>#VALUE!</v>
      </c>
      <c r="GP419" t="e">
        <f>Asia!G860+"n/&gt;!4YO"</f>
        <v>#VALUE!</v>
      </c>
      <c r="GQ419" t="e">
        <f>Asia!H860+"n/&gt;!4YP"</f>
        <v>#VALUE!</v>
      </c>
      <c r="GR419" t="e">
        <f>Asia!I860+"n/&gt;!4YQ"</f>
        <v>#VALUE!</v>
      </c>
      <c r="GS419" t="e">
        <f>Asia!A861+"n/&gt;!4YR"</f>
        <v>#VALUE!</v>
      </c>
      <c r="GT419" t="e">
        <f>Asia!B861+"n/&gt;!4YS"</f>
        <v>#VALUE!</v>
      </c>
      <c r="GU419" t="e">
        <f>Asia!C861+"n/&gt;!4YT"</f>
        <v>#VALUE!</v>
      </c>
      <c r="GV419" t="e">
        <f>Asia!D861+"n/&gt;!4YU"</f>
        <v>#VALUE!</v>
      </c>
      <c r="GW419" t="e">
        <f>Asia!E861+"n/&gt;!4YV"</f>
        <v>#VALUE!</v>
      </c>
      <c r="GX419" t="e">
        <f>Asia!F861+"n/&gt;!4YW"</f>
        <v>#VALUE!</v>
      </c>
      <c r="GY419" t="e">
        <f>Asia!G861+"n/&gt;!4YX"</f>
        <v>#VALUE!</v>
      </c>
      <c r="GZ419" t="e">
        <f>Asia!H861+"n/&gt;!4YY"</f>
        <v>#VALUE!</v>
      </c>
      <c r="HA419" t="e">
        <f>Asia!I861+"n/&gt;!4YZ"</f>
        <v>#VALUE!</v>
      </c>
      <c r="HB419" t="e">
        <f>Asia!A862+"n/&gt;!4Y["</f>
        <v>#VALUE!</v>
      </c>
      <c r="HC419" t="e">
        <f>Asia!B862+"n/&gt;!4Y\"</f>
        <v>#VALUE!</v>
      </c>
      <c r="HD419" t="e">
        <f>Asia!C862+"n/&gt;!4Y]"</f>
        <v>#VALUE!</v>
      </c>
      <c r="HE419" t="e">
        <f>Asia!D862+"n/&gt;!4Y^"</f>
        <v>#VALUE!</v>
      </c>
      <c r="HF419" t="e">
        <f>Asia!E862+"n/&gt;!4Y_"</f>
        <v>#VALUE!</v>
      </c>
      <c r="HG419" t="e">
        <f>Asia!F862+"n/&gt;!4Y`"</f>
        <v>#VALUE!</v>
      </c>
      <c r="HH419" t="e">
        <f>Asia!G862+"n/&gt;!4Ya"</f>
        <v>#VALUE!</v>
      </c>
      <c r="HI419" t="e">
        <f>Asia!H862+"n/&gt;!4Yb"</f>
        <v>#VALUE!</v>
      </c>
      <c r="HJ419" t="e">
        <f>Asia!I862+"n/&gt;!4Yc"</f>
        <v>#VALUE!</v>
      </c>
      <c r="HK419" t="e">
        <f>Asia!A863+"n/&gt;!4Yd"</f>
        <v>#VALUE!</v>
      </c>
      <c r="HL419" t="e">
        <f>Asia!B863+"n/&gt;!4Ye"</f>
        <v>#VALUE!</v>
      </c>
      <c r="HM419" t="e">
        <f>Asia!C863+"n/&gt;!4Yf"</f>
        <v>#VALUE!</v>
      </c>
      <c r="HN419" t="e">
        <f>Asia!D863+"n/&gt;!4Yg"</f>
        <v>#VALUE!</v>
      </c>
      <c r="HO419" t="e">
        <f>Asia!E863+"n/&gt;!4Yh"</f>
        <v>#VALUE!</v>
      </c>
      <c r="HP419" t="e">
        <f>Asia!F863+"n/&gt;!4Yi"</f>
        <v>#VALUE!</v>
      </c>
      <c r="HQ419" t="e">
        <f>Asia!G863+"n/&gt;!4Yj"</f>
        <v>#VALUE!</v>
      </c>
      <c r="HR419" t="e">
        <f>Asia!H863+"n/&gt;!4Yk"</f>
        <v>#VALUE!</v>
      </c>
      <c r="HS419" t="e">
        <f>Asia!I863+"n/&gt;!4Yl"</f>
        <v>#VALUE!</v>
      </c>
      <c r="HT419" t="e">
        <f>Asia!A864+"n/&gt;!4Ym"</f>
        <v>#VALUE!</v>
      </c>
      <c r="HU419" t="e">
        <f>Asia!B864+"n/&gt;!4Yn"</f>
        <v>#VALUE!</v>
      </c>
      <c r="HV419" t="e">
        <f>Asia!C864+"n/&gt;!4Yo"</f>
        <v>#VALUE!</v>
      </c>
      <c r="HW419" t="e">
        <f>Asia!D864+"n/&gt;!4Yp"</f>
        <v>#VALUE!</v>
      </c>
      <c r="HX419" t="e">
        <f>Asia!E864+"n/&gt;!4Yq"</f>
        <v>#VALUE!</v>
      </c>
      <c r="HY419" t="e">
        <f>Asia!F864+"n/&gt;!4Yr"</f>
        <v>#VALUE!</v>
      </c>
      <c r="HZ419" t="e">
        <f>Asia!G864+"n/&gt;!4Ys"</f>
        <v>#VALUE!</v>
      </c>
      <c r="IA419" t="e">
        <f>Asia!H864+"n/&gt;!4Yt"</f>
        <v>#VALUE!</v>
      </c>
      <c r="IB419" t="e">
        <f>Asia!I864+"n/&gt;!4Yu"</f>
        <v>#VALUE!</v>
      </c>
      <c r="IC419" t="e">
        <f>Asia!A865+"n/&gt;!4Yv"</f>
        <v>#VALUE!</v>
      </c>
      <c r="ID419" t="e">
        <f>Asia!B865+"n/&gt;!4Yw"</f>
        <v>#VALUE!</v>
      </c>
      <c r="IE419" t="e">
        <f>Asia!C865+"n/&gt;!4Yx"</f>
        <v>#VALUE!</v>
      </c>
      <c r="IF419" t="e">
        <f>Asia!D865+"n/&gt;!4Yy"</f>
        <v>#VALUE!</v>
      </c>
      <c r="IG419" t="e">
        <f>Asia!E865+"n/&gt;!4Yz"</f>
        <v>#VALUE!</v>
      </c>
      <c r="IH419" t="e">
        <f>Asia!F865+"n/&gt;!4Y{"</f>
        <v>#VALUE!</v>
      </c>
      <c r="II419" t="e">
        <f>Asia!G865+"n/&gt;!4Y|"</f>
        <v>#VALUE!</v>
      </c>
      <c r="IJ419" t="e">
        <f>Asia!H865+"n/&gt;!4Y}"</f>
        <v>#VALUE!</v>
      </c>
      <c r="IK419" t="e">
        <f>Asia!I865+"n/&gt;!4Y~"</f>
        <v>#VALUE!</v>
      </c>
      <c r="IL419" t="e">
        <f>Asia!A866+"n/&gt;!4Z#"</f>
        <v>#VALUE!</v>
      </c>
      <c r="IM419" t="e">
        <f>Asia!B866+"n/&gt;!4Z$"</f>
        <v>#VALUE!</v>
      </c>
      <c r="IN419" t="e">
        <f>Asia!C866+"n/&gt;!4Z%"</f>
        <v>#VALUE!</v>
      </c>
      <c r="IO419" t="e">
        <f>Asia!D866+"n/&gt;!4Z&amp;"</f>
        <v>#VALUE!</v>
      </c>
      <c r="IP419" t="e">
        <f>Asia!E866+"n/&gt;!4Z'"</f>
        <v>#VALUE!</v>
      </c>
      <c r="IQ419" t="e">
        <f>Asia!F866+"n/&gt;!4Z("</f>
        <v>#VALUE!</v>
      </c>
      <c r="IR419" t="e">
        <f>Asia!G866+"n/&gt;!4Z)"</f>
        <v>#VALUE!</v>
      </c>
      <c r="IS419" t="e">
        <f>Asia!H866+"n/&gt;!4Z."</f>
        <v>#VALUE!</v>
      </c>
      <c r="IT419" t="e">
        <f>Asia!I866+"n/&gt;!4Z/"</f>
        <v>#VALUE!</v>
      </c>
      <c r="IU419" t="e">
        <f>Asia!A867+"n/&gt;!4Z0"</f>
        <v>#VALUE!</v>
      </c>
      <c r="IV419" t="e">
        <f>Asia!B867+"n/&gt;!4Z1"</f>
        <v>#VALUE!</v>
      </c>
    </row>
    <row r="420" spans="6:256" x14ac:dyDescent="0.35">
      <c r="F420" t="e">
        <f>Asia!C867+"n/&gt;!4Z2"</f>
        <v>#VALUE!</v>
      </c>
      <c r="G420" t="e">
        <f>Asia!D867+"n/&gt;!4Z3"</f>
        <v>#VALUE!</v>
      </c>
      <c r="H420" t="e">
        <f>Asia!E867+"n/&gt;!4Z4"</f>
        <v>#VALUE!</v>
      </c>
      <c r="I420" t="e">
        <f>Asia!F867+"n/&gt;!4Z5"</f>
        <v>#VALUE!</v>
      </c>
      <c r="J420" t="e">
        <f>Asia!G867+"n/&gt;!4Z6"</f>
        <v>#VALUE!</v>
      </c>
      <c r="K420" t="e">
        <f>Asia!H867+"n/&gt;!4Z7"</f>
        <v>#VALUE!</v>
      </c>
      <c r="L420" t="e">
        <f>Asia!I867+"n/&gt;!4Z8"</f>
        <v>#VALUE!</v>
      </c>
      <c r="M420" t="e">
        <f>Asia!A868+"n/&gt;!4Z9"</f>
        <v>#VALUE!</v>
      </c>
      <c r="N420" t="e">
        <f>Asia!B868+"n/&gt;!4Z:"</f>
        <v>#VALUE!</v>
      </c>
      <c r="O420" t="e">
        <f>Asia!C868+"n/&gt;!4Z;"</f>
        <v>#VALUE!</v>
      </c>
      <c r="P420" t="e">
        <f>Asia!D868+"n/&gt;!4Z&lt;"</f>
        <v>#VALUE!</v>
      </c>
      <c r="Q420" t="e">
        <f>Asia!E868+"n/&gt;!4Z="</f>
        <v>#VALUE!</v>
      </c>
      <c r="R420" t="e">
        <f>Asia!F868+"n/&gt;!4Z&gt;"</f>
        <v>#VALUE!</v>
      </c>
      <c r="S420" t="e">
        <f>Asia!G868+"n/&gt;!4Z?"</f>
        <v>#VALUE!</v>
      </c>
      <c r="T420" t="e">
        <f>Asia!H868+"n/&gt;!4Z@"</f>
        <v>#VALUE!</v>
      </c>
      <c r="U420" t="e">
        <f>Asia!I868+"n/&gt;!4ZA"</f>
        <v>#VALUE!</v>
      </c>
      <c r="V420" t="e">
        <f>Asia!A869+"n/&gt;!4ZB"</f>
        <v>#VALUE!</v>
      </c>
      <c r="W420" t="e">
        <f>Asia!B869+"n/&gt;!4ZC"</f>
        <v>#VALUE!</v>
      </c>
      <c r="X420" t="e">
        <f>Asia!C869+"n/&gt;!4ZD"</f>
        <v>#VALUE!</v>
      </c>
      <c r="Y420" t="e">
        <f>Asia!D869+"n/&gt;!4ZE"</f>
        <v>#VALUE!</v>
      </c>
      <c r="Z420" t="e">
        <f>Asia!E869+"n/&gt;!4ZF"</f>
        <v>#VALUE!</v>
      </c>
      <c r="AA420" t="e">
        <f>Asia!F869+"n/&gt;!4ZG"</f>
        <v>#VALUE!</v>
      </c>
      <c r="AB420" t="e">
        <f>Asia!G869+"n/&gt;!4ZH"</f>
        <v>#VALUE!</v>
      </c>
      <c r="AC420" t="e">
        <f>Asia!H869+"n/&gt;!4ZI"</f>
        <v>#VALUE!</v>
      </c>
      <c r="AD420" t="e">
        <f>Asia!I869+"n/&gt;!4ZJ"</f>
        <v>#VALUE!</v>
      </c>
      <c r="AE420" t="e">
        <f>Asia!A870+"n/&gt;!4ZK"</f>
        <v>#VALUE!</v>
      </c>
      <c r="AF420" t="e">
        <f>Asia!B870+"n/&gt;!4ZL"</f>
        <v>#VALUE!</v>
      </c>
      <c r="AG420" t="e">
        <f>Asia!C870+"n/&gt;!4ZM"</f>
        <v>#VALUE!</v>
      </c>
      <c r="AH420" t="e">
        <f>Asia!D870+"n/&gt;!4ZN"</f>
        <v>#VALUE!</v>
      </c>
      <c r="AI420" t="e">
        <f>Asia!E870+"n/&gt;!4ZO"</f>
        <v>#VALUE!</v>
      </c>
      <c r="AJ420" t="e">
        <f>Asia!F870+"n/&gt;!4ZP"</f>
        <v>#VALUE!</v>
      </c>
      <c r="AK420" t="e">
        <f>Asia!G870+"n/&gt;!4ZQ"</f>
        <v>#VALUE!</v>
      </c>
      <c r="AL420" t="e">
        <f>Asia!H870+"n/&gt;!4ZR"</f>
        <v>#VALUE!</v>
      </c>
      <c r="AM420" t="e">
        <f>Asia!I870+"n/&gt;!4ZS"</f>
        <v>#VALUE!</v>
      </c>
      <c r="AN420" t="e">
        <f>Asia!A871+"n/&gt;!4ZT"</f>
        <v>#VALUE!</v>
      </c>
      <c r="AO420" t="e">
        <f>Asia!B871+"n/&gt;!4ZU"</f>
        <v>#VALUE!</v>
      </c>
      <c r="AP420" t="e">
        <f>Asia!C871+"n/&gt;!4ZV"</f>
        <v>#VALUE!</v>
      </c>
      <c r="AQ420" t="e">
        <f>Asia!D871+"n/&gt;!4ZW"</f>
        <v>#VALUE!</v>
      </c>
      <c r="AR420" t="e">
        <f>Asia!E871+"n/&gt;!4ZX"</f>
        <v>#VALUE!</v>
      </c>
      <c r="AS420" t="e">
        <f>Asia!F871+"n/&gt;!4ZY"</f>
        <v>#VALUE!</v>
      </c>
      <c r="AT420" t="e">
        <f>Asia!G871+"n/&gt;!4ZZ"</f>
        <v>#VALUE!</v>
      </c>
      <c r="AU420" t="e">
        <f>Asia!H871+"n/&gt;!4Z["</f>
        <v>#VALUE!</v>
      </c>
      <c r="AV420" t="e">
        <f>Asia!I871+"n/&gt;!4Z\"</f>
        <v>#VALUE!</v>
      </c>
      <c r="AW420" t="e">
        <f>Asia!A872+"n/&gt;!4Z]"</f>
        <v>#VALUE!</v>
      </c>
      <c r="AX420" t="e">
        <f>Asia!B872+"n/&gt;!4Z^"</f>
        <v>#VALUE!</v>
      </c>
      <c r="AY420" t="e">
        <f>Asia!C872+"n/&gt;!4Z_"</f>
        <v>#VALUE!</v>
      </c>
      <c r="AZ420" t="e">
        <f>Asia!D872+"n/&gt;!4Z`"</f>
        <v>#VALUE!</v>
      </c>
      <c r="BA420" t="e">
        <f>Asia!E872+"n/&gt;!4Za"</f>
        <v>#VALUE!</v>
      </c>
      <c r="BB420" t="e">
        <f>Asia!F872+"n/&gt;!4Zb"</f>
        <v>#VALUE!</v>
      </c>
      <c r="BC420" t="e">
        <f>Asia!G872+"n/&gt;!4Zc"</f>
        <v>#VALUE!</v>
      </c>
      <c r="BD420" t="e">
        <f>Asia!H872+"n/&gt;!4Zd"</f>
        <v>#VALUE!</v>
      </c>
      <c r="BE420" t="e">
        <f>Asia!I872+"n/&gt;!4Ze"</f>
        <v>#VALUE!</v>
      </c>
      <c r="BF420" t="e">
        <f>Asia!A873+"n/&gt;!4Zf"</f>
        <v>#VALUE!</v>
      </c>
      <c r="BG420" t="e">
        <f>Asia!B873+"n/&gt;!4Zg"</f>
        <v>#VALUE!</v>
      </c>
      <c r="BH420" t="e">
        <f>Asia!C873+"n/&gt;!4Zh"</f>
        <v>#VALUE!</v>
      </c>
      <c r="BI420" t="e">
        <f>Asia!D873+"n/&gt;!4Zi"</f>
        <v>#VALUE!</v>
      </c>
      <c r="BJ420" t="e">
        <f>Asia!E873+"n/&gt;!4Zj"</f>
        <v>#VALUE!</v>
      </c>
      <c r="BK420" t="e">
        <f>Asia!F873+"n/&gt;!4Zk"</f>
        <v>#VALUE!</v>
      </c>
      <c r="BL420" t="e">
        <f>Asia!G873+"n/&gt;!4Zl"</f>
        <v>#VALUE!</v>
      </c>
      <c r="BM420" t="e">
        <f>Asia!H873+"n/&gt;!4Zm"</f>
        <v>#VALUE!</v>
      </c>
      <c r="BN420" t="e">
        <f>Asia!I873+"n/&gt;!4Zn"</f>
        <v>#VALUE!</v>
      </c>
      <c r="BO420" t="e">
        <f>Asia!A874+"n/&gt;!4Zo"</f>
        <v>#VALUE!</v>
      </c>
      <c r="BP420" t="e">
        <f>Asia!B874+"n/&gt;!4Zp"</f>
        <v>#VALUE!</v>
      </c>
      <c r="BQ420" t="e">
        <f>Asia!C874+"n/&gt;!4Zq"</f>
        <v>#VALUE!</v>
      </c>
      <c r="BR420" t="e">
        <f>Asia!D874+"n/&gt;!4Zr"</f>
        <v>#VALUE!</v>
      </c>
      <c r="BS420" t="e">
        <f>Asia!E874+"n/&gt;!4Zs"</f>
        <v>#VALUE!</v>
      </c>
      <c r="BT420" t="e">
        <f>Asia!F874+"n/&gt;!4Zt"</f>
        <v>#VALUE!</v>
      </c>
      <c r="BU420" t="e">
        <f>Asia!G874+"n/&gt;!4Zu"</f>
        <v>#VALUE!</v>
      </c>
      <c r="BV420" t="e">
        <f>Asia!H874+"n/&gt;!4Zv"</f>
        <v>#VALUE!</v>
      </c>
      <c r="BW420" t="e">
        <f>Asia!I874+"n/&gt;!4Zw"</f>
        <v>#VALUE!</v>
      </c>
      <c r="BX420" t="e">
        <f>Asia!A875+"n/&gt;!4Zx"</f>
        <v>#VALUE!</v>
      </c>
      <c r="BY420" t="e">
        <f>Asia!B875+"n/&gt;!4Zy"</f>
        <v>#VALUE!</v>
      </c>
      <c r="BZ420" t="e">
        <f>Asia!C875+"n/&gt;!4Zz"</f>
        <v>#VALUE!</v>
      </c>
      <c r="CA420" t="e">
        <f>Asia!D875+"n/&gt;!4Z{"</f>
        <v>#VALUE!</v>
      </c>
      <c r="CB420" t="e">
        <f>Asia!E875+"n/&gt;!4Z|"</f>
        <v>#VALUE!</v>
      </c>
      <c r="CC420" t="e">
        <f>Asia!F875+"n/&gt;!4Z}"</f>
        <v>#VALUE!</v>
      </c>
      <c r="CD420" t="e">
        <f>Asia!G875+"n/&gt;!4Z~"</f>
        <v>#VALUE!</v>
      </c>
      <c r="CE420" t="e">
        <f>Asia!H875+"n/&gt;!4[#"</f>
        <v>#VALUE!</v>
      </c>
      <c r="CF420" t="e">
        <f>Asia!I875+"n/&gt;!4[$"</f>
        <v>#VALUE!</v>
      </c>
      <c r="CG420" t="e">
        <f>Asia!A876+"n/&gt;!4[%"</f>
        <v>#VALUE!</v>
      </c>
      <c r="CH420" t="e">
        <f>Asia!B876+"n/&gt;!4[&amp;"</f>
        <v>#VALUE!</v>
      </c>
      <c r="CI420" t="e">
        <f>Asia!C876+"n/&gt;!4['"</f>
        <v>#VALUE!</v>
      </c>
      <c r="CJ420" t="e">
        <f>Asia!D876+"n/&gt;!4[("</f>
        <v>#VALUE!</v>
      </c>
      <c r="CK420" t="e">
        <f>Asia!E876+"n/&gt;!4[)"</f>
        <v>#VALUE!</v>
      </c>
      <c r="CL420" t="e">
        <f>Asia!F876+"n/&gt;!4[."</f>
        <v>#VALUE!</v>
      </c>
      <c r="CM420" t="e">
        <f>Asia!G876+"n/&gt;!4[/"</f>
        <v>#VALUE!</v>
      </c>
      <c r="CN420" t="e">
        <f>Asia!H876+"n/&gt;!4[0"</f>
        <v>#VALUE!</v>
      </c>
      <c r="CO420" t="e">
        <f>Asia!I876+"n/&gt;!4[1"</f>
        <v>#VALUE!</v>
      </c>
      <c r="CP420" t="e">
        <f>Asia!A877+"n/&gt;!4[2"</f>
        <v>#VALUE!</v>
      </c>
      <c r="CQ420" t="e">
        <f>Asia!B877+"n/&gt;!4[3"</f>
        <v>#VALUE!</v>
      </c>
      <c r="CR420" t="e">
        <f>Asia!C877+"n/&gt;!4[4"</f>
        <v>#VALUE!</v>
      </c>
      <c r="CS420" t="e">
        <f>Asia!D877+"n/&gt;!4[5"</f>
        <v>#VALUE!</v>
      </c>
      <c r="CT420" t="e">
        <f>Asia!E877+"n/&gt;!4[6"</f>
        <v>#VALUE!</v>
      </c>
      <c r="CU420" t="e">
        <f>Asia!F877+"n/&gt;!4[7"</f>
        <v>#VALUE!</v>
      </c>
      <c r="CV420" t="e">
        <f>Asia!G877+"n/&gt;!4[8"</f>
        <v>#VALUE!</v>
      </c>
      <c r="CW420" t="e">
        <f>Asia!H877+"n/&gt;!4[9"</f>
        <v>#VALUE!</v>
      </c>
      <c r="CX420" t="e">
        <f>Asia!I877+"n/&gt;!4[:"</f>
        <v>#VALUE!</v>
      </c>
      <c r="CY420" t="e">
        <f>Asia!A878+"n/&gt;!4[;"</f>
        <v>#VALUE!</v>
      </c>
      <c r="CZ420" t="e">
        <f>Asia!B878+"n/&gt;!4[&lt;"</f>
        <v>#VALUE!</v>
      </c>
      <c r="DA420" t="e">
        <f>Asia!C878+"n/&gt;!4[="</f>
        <v>#VALUE!</v>
      </c>
      <c r="DB420" t="e">
        <f>Asia!D878+"n/&gt;!4[&gt;"</f>
        <v>#VALUE!</v>
      </c>
      <c r="DC420" t="e">
        <f>Asia!E878+"n/&gt;!4[?"</f>
        <v>#VALUE!</v>
      </c>
      <c r="DD420" t="e">
        <f>Asia!F878+"n/&gt;!4[@"</f>
        <v>#VALUE!</v>
      </c>
      <c r="DE420" t="e">
        <f>Asia!G878+"n/&gt;!4[A"</f>
        <v>#VALUE!</v>
      </c>
      <c r="DF420" t="e">
        <f>Asia!H878+"n/&gt;!4[B"</f>
        <v>#VALUE!</v>
      </c>
      <c r="DG420" t="e">
        <f>Asia!I878+"n/&gt;!4[C"</f>
        <v>#VALUE!</v>
      </c>
      <c r="DH420" t="e">
        <f>Asia!A879+"n/&gt;!4[D"</f>
        <v>#VALUE!</v>
      </c>
      <c r="DI420" t="e">
        <f>Asia!B879+"n/&gt;!4[E"</f>
        <v>#VALUE!</v>
      </c>
      <c r="DJ420" t="e">
        <f>Asia!C879+"n/&gt;!4[F"</f>
        <v>#VALUE!</v>
      </c>
      <c r="DK420" t="e">
        <f>Asia!D879+"n/&gt;!4[G"</f>
        <v>#VALUE!</v>
      </c>
      <c r="DL420" t="e">
        <f>Asia!E879+"n/&gt;!4[H"</f>
        <v>#VALUE!</v>
      </c>
      <c r="DM420" t="e">
        <f>Asia!F879+"n/&gt;!4[I"</f>
        <v>#VALUE!</v>
      </c>
      <c r="DN420" t="e">
        <f>Asia!G879+"n/&gt;!4[J"</f>
        <v>#VALUE!</v>
      </c>
      <c r="DO420" t="e">
        <f>Asia!H879+"n/&gt;!4[K"</f>
        <v>#VALUE!</v>
      </c>
      <c r="DP420" t="e">
        <f>Asia!I879+"n/&gt;!4[L"</f>
        <v>#VALUE!</v>
      </c>
      <c r="DQ420" t="e">
        <f>Asia!A880+"n/&gt;!4[M"</f>
        <v>#VALUE!</v>
      </c>
      <c r="DR420" t="e">
        <f>Asia!B880+"n/&gt;!4[N"</f>
        <v>#VALUE!</v>
      </c>
      <c r="DS420" t="e">
        <f>Asia!C880+"n/&gt;!4[O"</f>
        <v>#VALUE!</v>
      </c>
      <c r="DT420" t="e">
        <f>Asia!D880+"n/&gt;!4[P"</f>
        <v>#VALUE!</v>
      </c>
      <c r="DU420" t="e">
        <f>Asia!E880+"n/&gt;!4[Q"</f>
        <v>#VALUE!</v>
      </c>
      <c r="DV420" t="e">
        <f>Asia!F880+"n/&gt;!4[R"</f>
        <v>#VALUE!</v>
      </c>
      <c r="DW420" t="e">
        <f>Asia!G880+"n/&gt;!4[S"</f>
        <v>#VALUE!</v>
      </c>
      <c r="DX420" t="e">
        <f>Asia!H880+"n/&gt;!4[T"</f>
        <v>#VALUE!</v>
      </c>
      <c r="DY420" t="e">
        <f>Asia!I880+"n/&gt;!4[U"</f>
        <v>#VALUE!</v>
      </c>
      <c r="DZ420" t="e">
        <f>Asia!A881+"n/&gt;!4[V"</f>
        <v>#VALUE!</v>
      </c>
      <c r="EA420" t="e">
        <f>Asia!B881+"n/&gt;!4[W"</f>
        <v>#VALUE!</v>
      </c>
      <c r="EB420" t="e">
        <f>Asia!C881+"n/&gt;!4[X"</f>
        <v>#VALUE!</v>
      </c>
      <c r="EC420" t="e">
        <f>Asia!D881+"n/&gt;!4[Y"</f>
        <v>#VALUE!</v>
      </c>
      <c r="ED420" t="e">
        <f>Asia!E881+"n/&gt;!4[Z"</f>
        <v>#VALUE!</v>
      </c>
      <c r="EE420" t="e">
        <f>Asia!F881+"n/&gt;!4[["</f>
        <v>#VALUE!</v>
      </c>
      <c r="EF420" t="e">
        <f>Asia!G881+"n/&gt;!4[\"</f>
        <v>#VALUE!</v>
      </c>
      <c r="EG420" t="e">
        <f>Asia!H881+"n/&gt;!4[]"</f>
        <v>#VALUE!</v>
      </c>
      <c r="EH420" t="e">
        <f>Asia!I881+"n/&gt;!4[^"</f>
        <v>#VALUE!</v>
      </c>
      <c r="EI420" t="e">
        <f>Asia!A882+"n/&gt;!4[_"</f>
        <v>#VALUE!</v>
      </c>
      <c r="EJ420" t="e">
        <f>Asia!B882+"n/&gt;!4[`"</f>
        <v>#VALUE!</v>
      </c>
      <c r="EK420" t="e">
        <f>Asia!C882+"n/&gt;!4[a"</f>
        <v>#VALUE!</v>
      </c>
      <c r="EL420" t="e">
        <f>Asia!D882+"n/&gt;!4[b"</f>
        <v>#VALUE!</v>
      </c>
      <c r="EM420" t="e">
        <f>Asia!E882+"n/&gt;!4[c"</f>
        <v>#VALUE!</v>
      </c>
      <c r="EN420" t="e">
        <f>Asia!F882+"n/&gt;!4[d"</f>
        <v>#VALUE!</v>
      </c>
      <c r="EO420" t="e">
        <f>Asia!G882+"n/&gt;!4[e"</f>
        <v>#VALUE!</v>
      </c>
      <c r="EP420" t="e">
        <f>Asia!H882+"n/&gt;!4[f"</f>
        <v>#VALUE!</v>
      </c>
      <c r="EQ420" t="e">
        <f>Asia!I882+"n/&gt;!4[g"</f>
        <v>#VALUE!</v>
      </c>
      <c r="ER420" t="e">
        <f>Asia!A883+"n/&gt;!4[h"</f>
        <v>#VALUE!</v>
      </c>
      <c r="ES420" t="e">
        <f>Asia!B883+"n/&gt;!4[i"</f>
        <v>#VALUE!</v>
      </c>
      <c r="ET420" t="e">
        <f>Asia!C883+"n/&gt;!4[j"</f>
        <v>#VALUE!</v>
      </c>
      <c r="EU420" t="e">
        <f>Asia!D883+"n/&gt;!4[k"</f>
        <v>#VALUE!</v>
      </c>
      <c r="EV420" t="e">
        <f>Asia!E883+"n/&gt;!4[l"</f>
        <v>#VALUE!</v>
      </c>
      <c r="EW420" t="e">
        <f>Asia!F883+"n/&gt;!4[m"</f>
        <v>#VALUE!</v>
      </c>
      <c r="EX420" t="e">
        <f>Asia!G883+"n/&gt;!4[n"</f>
        <v>#VALUE!</v>
      </c>
      <c r="EY420" t="e">
        <f>Asia!H883+"n/&gt;!4[o"</f>
        <v>#VALUE!</v>
      </c>
      <c r="EZ420" t="e">
        <f>Asia!I883+"n/&gt;!4[p"</f>
        <v>#VALUE!</v>
      </c>
      <c r="FA420" t="e">
        <f>Asia!A884+"n/&gt;!4[q"</f>
        <v>#VALUE!</v>
      </c>
      <c r="FB420" t="e">
        <f>Asia!B884+"n/&gt;!4[r"</f>
        <v>#VALUE!</v>
      </c>
      <c r="FC420" t="e">
        <f>Asia!C884+"n/&gt;!4[s"</f>
        <v>#VALUE!</v>
      </c>
      <c r="FD420" t="e">
        <f>Asia!D884+"n/&gt;!4[t"</f>
        <v>#VALUE!</v>
      </c>
      <c r="FE420" t="e">
        <f>Asia!E884+"n/&gt;!4[u"</f>
        <v>#VALUE!</v>
      </c>
      <c r="FF420" t="e">
        <f>Asia!F884+"n/&gt;!4[v"</f>
        <v>#VALUE!</v>
      </c>
      <c r="FG420" t="e">
        <f>Asia!G884+"n/&gt;!4[w"</f>
        <v>#VALUE!</v>
      </c>
      <c r="FH420" t="e">
        <f>Asia!H884+"n/&gt;!4[x"</f>
        <v>#VALUE!</v>
      </c>
      <c r="FI420" t="e">
        <f>Asia!I884+"n/&gt;!4[y"</f>
        <v>#VALUE!</v>
      </c>
      <c r="FJ420" t="e">
        <f>Asia!A885+"n/&gt;!4[z"</f>
        <v>#VALUE!</v>
      </c>
      <c r="FK420" t="e">
        <f>Asia!B885+"n/&gt;!4[{"</f>
        <v>#VALUE!</v>
      </c>
      <c r="FL420" t="e">
        <f>Asia!C885+"n/&gt;!4[|"</f>
        <v>#VALUE!</v>
      </c>
      <c r="FM420" t="e">
        <f>Asia!D885+"n/&gt;!4[}"</f>
        <v>#VALUE!</v>
      </c>
      <c r="FN420" t="e">
        <f>Asia!E885+"n/&gt;!4[~"</f>
        <v>#VALUE!</v>
      </c>
      <c r="FO420" t="e">
        <f>Asia!F885+"n/&gt;!4\#"</f>
        <v>#VALUE!</v>
      </c>
      <c r="FP420" t="e">
        <f>Asia!G885+"n/&gt;!4\$"</f>
        <v>#VALUE!</v>
      </c>
      <c r="FQ420" t="e">
        <f>Asia!H885+"n/&gt;!4\%"</f>
        <v>#VALUE!</v>
      </c>
      <c r="FR420" t="e">
        <f>Asia!I885+"n/&gt;!4\&amp;"</f>
        <v>#VALUE!</v>
      </c>
      <c r="FS420" t="e">
        <f>Asia!A886+"n/&gt;!4\'"</f>
        <v>#VALUE!</v>
      </c>
      <c r="FT420" t="e">
        <f>Asia!B886+"n/&gt;!4\("</f>
        <v>#VALUE!</v>
      </c>
      <c r="FU420" t="e">
        <f>Asia!C886+"n/&gt;!4\)"</f>
        <v>#VALUE!</v>
      </c>
      <c r="FV420" t="e">
        <f>Asia!D886+"n/&gt;!4\."</f>
        <v>#VALUE!</v>
      </c>
      <c r="FW420" t="e">
        <f>Asia!E886+"n/&gt;!4\/"</f>
        <v>#VALUE!</v>
      </c>
      <c r="FX420" t="e">
        <f>Asia!F886+"n/&gt;!4\0"</f>
        <v>#VALUE!</v>
      </c>
      <c r="FY420" t="e">
        <f>Asia!G886+"n/&gt;!4\1"</f>
        <v>#VALUE!</v>
      </c>
      <c r="FZ420" t="e">
        <f>Asia!H886+"n/&gt;!4\2"</f>
        <v>#VALUE!</v>
      </c>
      <c r="GA420" t="e">
        <f>Asia!I886+"n/&gt;!4\3"</f>
        <v>#VALUE!</v>
      </c>
      <c r="GB420" t="e">
        <f>Asia!A887+"n/&gt;!4\4"</f>
        <v>#VALUE!</v>
      </c>
      <c r="GC420" t="e">
        <f>Asia!B887+"n/&gt;!4\5"</f>
        <v>#VALUE!</v>
      </c>
      <c r="GD420" t="e">
        <f>Asia!C887+"n/&gt;!4\6"</f>
        <v>#VALUE!</v>
      </c>
      <c r="GE420" t="e">
        <f>Asia!D887+"n/&gt;!4\7"</f>
        <v>#VALUE!</v>
      </c>
      <c r="GF420" t="e">
        <f>Asia!E887+"n/&gt;!4\8"</f>
        <v>#VALUE!</v>
      </c>
      <c r="GG420" t="e">
        <f>Asia!F887+"n/&gt;!4\9"</f>
        <v>#VALUE!</v>
      </c>
      <c r="GH420" t="e">
        <f>Asia!G887+"n/&gt;!4\:"</f>
        <v>#VALUE!</v>
      </c>
      <c r="GI420" t="e">
        <f>Asia!H887+"n/&gt;!4\;"</f>
        <v>#VALUE!</v>
      </c>
      <c r="GJ420" t="e">
        <f>Asia!I887+"n/&gt;!4\&lt;"</f>
        <v>#VALUE!</v>
      </c>
      <c r="GK420" t="e">
        <f>Asia!A888+"n/&gt;!4\="</f>
        <v>#VALUE!</v>
      </c>
      <c r="GL420" t="e">
        <f>Asia!B888+"n/&gt;!4\&gt;"</f>
        <v>#VALUE!</v>
      </c>
      <c r="GM420" t="e">
        <f>Asia!C888+"n/&gt;!4\?"</f>
        <v>#VALUE!</v>
      </c>
      <c r="GN420" t="e">
        <f>Asia!D888+"n/&gt;!4\@"</f>
        <v>#VALUE!</v>
      </c>
      <c r="GO420" t="e">
        <f>Asia!E888+"n/&gt;!4\A"</f>
        <v>#VALUE!</v>
      </c>
      <c r="GP420" t="e">
        <f>Asia!F888+"n/&gt;!4\B"</f>
        <v>#VALUE!</v>
      </c>
      <c r="GQ420" t="e">
        <f>Asia!G888+"n/&gt;!4\C"</f>
        <v>#VALUE!</v>
      </c>
      <c r="GR420" t="e">
        <f>Asia!H888+"n/&gt;!4\D"</f>
        <v>#VALUE!</v>
      </c>
      <c r="GS420" t="e">
        <f>Asia!I888+"n/&gt;!4\E"</f>
        <v>#VALUE!</v>
      </c>
      <c r="GT420" t="e">
        <f>Asia!A889+"n/&gt;!4\F"</f>
        <v>#VALUE!</v>
      </c>
      <c r="GU420" t="e">
        <f>Asia!B889+"n/&gt;!4\G"</f>
        <v>#VALUE!</v>
      </c>
      <c r="GV420" t="e">
        <f>Asia!C889+"n/&gt;!4\H"</f>
        <v>#VALUE!</v>
      </c>
      <c r="GW420" t="e">
        <f>Asia!D889+"n/&gt;!4\I"</f>
        <v>#VALUE!</v>
      </c>
      <c r="GX420" t="e">
        <f>Asia!E889+"n/&gt;!4\J"</f>
        <v>#VALUE!</v>
      </c>
      <c r="GY420" t="e">
        <f>Asia!F889+"n/&gt;!4\K"</f>
        <v>#VALUE!</v>
      </c>
      <c r="GZ420" t="e">
        <f>Asia!G889+"n/&gt;!4\L"</f>
        <v>#VALUE!</v>
      </c>
      <c r="HA420" t="e">
        <f>Asia!H889+"n/&gt;!4\M"</f>
        <v>#VALUE!</v>
      </c>
      <c r="HB420" t="e">
        <f>Asia!I889+"n/&gt;!4\N"</f>
        <v>#VALUE!</v>
      </c>
      <c r="HC420" t="e">
        <f>Asia!A890+"n/&gt;!4\O"</f>
        <v>#VALUE!</v>
      </c>
      <c r="HD420" t="e">
        <f>Asia!B890+"n/&gt;!4\P"</f>
        <v>#VALUE!</v>
      </c>
      <c r="HE420" t="e">
        <f>Asia!C890+"n/&gt;!4\Q"</f>
        <v>#VALUE!</v>
      </c>
      <c r="HF420" t="e">
        <f>Asia!D890+"n/&gt;!4\R"</f>
        <v>#VALUE!</v>
      </c>
      <c r="HG420" t="e">
        <f>Asia!E890+"n/&gt;!4\S"</f>
        <v>#VALUE!</v>
      </c>
      <c r="HH420" t="e">
        <f>Asia!F890+"n/&gt;!4\T"</f>
        <v>#VALUE!</v>
      </c>
      <c r="HI420" t="e">
        <f>Asia!G890+"n/&gt;!4\U"</f>
        <v>#VALUE!</v>
      </c>
      <c r="HJ420" t="e">
        <f>Asia!H890+"n/&gt;!4\V"</f>
        <v>#VALUE!</v>
      </c>
      <c r="HK420" t="e">
        <f>Asia!I890+"n/&gt;!4\W"</f>
        <v>#VALUE!</v>
      </c>
      <c r="HL420" t="e">
        <f>Asia!A891+"n/&gt;!4\X"</f>
        <v>#VALUE!</v>
      </c>
      <c r="HM420" t="e">
        <f>Asia!B891+"n/&gt;!4\Y"</f>
        <v>#VALUE!</v>
      </c>
      <c r="HN420" t="e">
        <f>Asia!C891+"n/&gt;!4\Z"</f>
        <v>#VALUE!</v>
      </c>
      <c r="HO420" t="e">
        <f>Asia!D891+"n/&gt;!4\["</f>
        <v>#VALUE!</v>
      </c>
      <c r="HP420" t="e">
        <f>Asia!E891+"n/&gt;!4\\"</f>
        <v>#VALUE!</v>
      </c>
      <c r="HQ420" t="e">
        <f>Asia!F891+"n/&gt;!4\]"</f>
        <v>#VALUE!</v>
      </c>
      <c r="HR420" t="e">
        <f>Asia!G891+"n/&gt;!4\^"</f>
        <v>#VALUE!</v>
      </c>
      <c r="HS420" t="e">
        <f>Asia!H891+"n/&gt;!4\_"</f>
        <v>#VALUE!</v>
      </c>
      <c r="HT420" t="e">
        <f>Asia!I891+"n/&gt;!4\`"</f>
        <v>#VALUE!</v>
      </c>
      <c r="HU420" t="e">
        <f>Asia!A892+"n/&gt;!4\a"</f>
        <v>#VALUE!</v>
      </c>
      <c r="HV420" t="e">
        <f>Asia!B892+"n/&gt;!4\b"</f>
        <v>#VALUE!</v>
      </c>
      <c r="HW420" t="e">
        <f>Asia!C892+"n/&gt;!4\c"</f>
        <v>#VALUE!</v>
      </c>
      <c r="HX420" t="e">
        <f>Asia!D892+"n/&gt;!4\d"</f>
        <v>#VALUE!</v>
      </c>
      <c r="HY420" t="e">
        <f>Asia!E892+"n/&gt;!4\e"</f>
        <v>#VALUE!</v>
      </c>
      <c r="HZ420" t="e">
        <f>Asia!F892+"n/&gt;!4\f"</f>
        <v>#VALUE!</v>
      </c>
      <c r="IA420" t="e">
        <f>Asia!G892+"n/&gt;!4\g"</f>
        <v>#VALUE!</v>
      </c>
      <c r="IB420" t="e">
        <f>Asia!H892+"n/&gt;!4\h"</f>
        <v>#VALUE!</v>
      </c>
      <c r="IC420" t="e">
        <f>Asia!I892+"n/&gt;!4\i"</f>
        <v>#VALUE!</v>
      </c>
      <c r="ID420" t="e">
        <f>Asia!A893+"n/&gt;!4\j"</f>
        <v>#VALUE!</v>
      </c>
      <c r="IE420" t="e">
        <f>Asia!B893+"n/&gt;!4\k"</f>
        <v>#VALUE!</v>
      </c>
      <c r="IF420" t="e">
        <f>Asia!C893+"n/&gt;!4\l"</f>
        <v>#VALUE!</v>
      </c>
      <c r="IG420" t="e">
        <f>Asia!D893+"n/&gt;!4\m"</f>
        <v>#VALUE!</v>
      </c>
      <c r="IH420" t="e">
        <f>Asia!E893+"n/&gt;!4\n"</f>
        <v>#VALUE!</v>
      </c>
      <c r="II420" t="e">
        <f>Asia!F893+"n/&gt;!4\o"</f>
        <v>#VALUE!</v>
      </c>
      <c r="IJ420" t="e">
        <f>Asia!G893+"n/&gt;!4\p"</f>
        <v>#VALUE!</v>
      </c>
      <c r="IK420" t="e">
        <f>Asia!H893+"n/&gt;!4\q"</f>
        <v>#VALUE!</v>
      </c>
      <c r="IL420" t="e">
        <f>Asia!I893+"n/&gt;!4\r"</f>
        <v>#VALUE!</v>
      </c>
      <c r="IM420" t="e">
        <f>Asia!A894+"n/&gt;!4\s"</f>
        <v>#VALUE!</v>
      </c>
      <c r="IN420" t="e">
        <f>Asia!B894+"n/&gt;!4\t"</f>
        <v>#VALUE!</v>
      </c>
      <c r="IO420" t="e">
        <f>Asia!C894+"n/&gt;!4\u"</f>
        <v>#VALUE!</v>
      </c>
      <c r="IP420" t="e">
        <f>Asia!D894+"n/&gt;!4\v"</f>
        <v>#VALUE!</v>
      </c>
      <c r="IQ420" t="e">
        <f>Asia!E894+"n/&gt;!4\w"</f>
        <v>#VALUE!</v>
      </c>
      <c r="IR420" t="e">
        <f>Asia!F894+"n/&gt;!4\x"</f>
        <v>#VALUE!</v>
      </c>
      <c r="IS420" t="e">
        <f>Asia!G894+"n/&gt;!4\y"</f>
        <v>#VALUE!</v>
      </c>
      <c r="IT420" t="e">
        <f>Asia!H894+"n/&gt;!4\z"</f>
        <v>#VALUE!</v>
      </c>
      <c r="IU420" t="e">
        <f>Asia!I894+"n/&gt;!4\{"</f>
        <v>#VALUE!</v>
      </c>
      <c r="IV420" t="e">
        <f>Asia!A895+"n/&gt;!4\|"</f>
        <v>#VALUE!</v>
      </c>
    </row>
    <row r="421" spans="6:256" x14ac:dyDescent="0.35">
      <c r="F421" t="e">
        <f>Asia!B895+"n/&gt;!4\}"</f>
        <v>#VALUE!</v>
      </c>
      <c r="G421" t="e">
        <f>Asia!C895+"n/&gt;!4\~"</f>
        <v>#VALUE!</v>
      </c>
      <c r="H421" t="e">
        <f>Asia!D895+"n/&gt;!4]#"</f>
        <v>#VALUE!</v>
      </c>
      <c r="I421" t="e">
        <f>Asia!E895+"n/&gt;!4]$"</f>
        <v>#VALUE!</v>
      </c>
      <c r="J421" t="e">
        <f>Asia!F895+"n/&gt;!4]%"</f>
        <v>#VALUE!</v>
      </c>
      <c r="K421" t="e">
        <f>Asia!G895+"n/&gt;!4]&amp;"</f>
        <v>#VALUE!</v>
      </c>
      <c r="L421" t="e">
        <f>Asia!H895+"n/&gt;!4]'"</f>
        <v>#VALUE!</v>
      </c>
      <c r="M421" t="e">
        <f>Asia!I895+"n/&gt;!4]("</f>
        <v>#VALUE!</v>
      </c>
      <c r="N421" t="e">
        <f>Asia!A896+"n/&gt;!4])"</f>
        <v>#VALUE!</v>
      </c>
      <c r="O421" t="e">
        <f>Asia!B896+"n/&gt;!4]."</f>
        <v>#VALUE!</v>
      </c>
      <c r="P421" t="e">
        <f>Asia!C896+"n/&gt;!4]/"</f>
        <v>#VALUE!</v>
      </c>
      <c r="Q421" t="e">
        <f>Asia!D896+"n/&gt;!4]0"</f>
        <v>#VALUE!</v>
      </c>
      <c r="R421" t="e">
        <f>Asia!E896+"n/&gt;!4]1"</f>
        <v>#VALUE!</v>
      </c>
      <c r="S421" t="e">
        <f>Asia!F896+"n/&gt;!4]2"</f>
        <v>#VALUE!</v>
      </c>
      <c r="T421" t="e">
        <f>Asia!G896+"n/&gt;!4]3"</f>
        <v>#VALUE!</v>
      </c>
      <c r="U421" t="e">
        <f>Asia!H896+"n/&gt;!4]4"</f>
        <v>#VALUE!</v>
      </c>
      <c r="V421" t="e">
        <f>Asia!I896+"n/&gt;!4]5"</f>
        <v>#VALUE!</v>
      </c>
      <c r="W421" t="e">
        <f>Asia!A897+"n/&gt;!4]6"</f>
        <v>#VALUE!</v>
      </c>
      <c r="X421" t="e">
        <f>Asia!B897+"n/&gt;!4]7"</f>
        <v>#VALUE!</v>
      </c>
      <c r="Y421" t="e">
        <f>Asia!C897+"n/&gt;!4]8"</f>
        <v>#VALUE!</v>
      </c>
      <c r="Z421" t="e">
        <f>Asia!D897+"n/&gt;!4]9"</f>
        <v>#VALUE!</v>
      </c>
      <c r="AA421" t="e">
        <f>Asia!E897+"n/&gt;!4]:"</f>
        <v>#VALUE!</v>
      </c>
      <c r="AB421" t="e">
        <f>Asia!F897+"n/&gt;!4];"</f>
        <v>#VALUE!</v>
      </c>
      <c r="AC421" t="e">
        <f>Asia!G897+"n/&gt;!4]&lt;"</f>
        <v>#VALUE!</v>
      </c>
      <c r="AD421" t="e">
        <f>Asia!H897+"n/&gt;!4]="</f>
        <v>#VALUE!</v>
      </c>
      <c r="AE421" t="e">
        <f>Asia!I897+"n/&gt;!4]&gt;"</f>
        <v>#VALUE!</v>
      </c>
      <c r="AF421" t="e">
        <f>Asia!A898+"n/&gt;!4]?"</f>
        <v>#VALUE!</v>
      </c>
      <c r="AG421" t="e">
        <f>Asia!B898+"n/&gt;!4]@"</f>
        <v>#VALUE!</v>
      </c>
      <c r="AH421" t="e">
        <f>Asia!C898+"n/&gt;!4]A"</f>
        <v>#VALUE!</v>
      </c>
      <c r="AI421" t="e">
        <f>Asia!D898+"n/&gt;!4]B"</f>
        <v>#VALUE!</v>
      </c>
      <c r="AJ421" t="e">
        <f>Asia!E898+"n/&gt;!4]C"</f>
        <v>#VALUE!</v>
      </c>
      <c r="AK421" t="e">
        <f>Asia!F898+"n/&gt;!4]D"</f>
        <v>#VALUE!</v>
      </c>
      <c r="AL421" t="e">
        <f>Asia!G898+"n/&gt;!4]E"</f>
        <v>#VALUE!</v>
      </c>
      <c r="AM421" t="e">
        <f>Asia!H898+"n/&gt;!4]F"</f>
        <v>#VALUE!</v>
      </c>
      <c r="AN421" t="e">
        <f>Asia!I898+"n/&gt;!4]G"</f>
        <v>#VALUE!</v>
      </c>
      <c r="AO421" t="e">
        <f>Asia!A899+"n/&gt;!4]H"</f>
        <v>#VALUE!</v>
      </c>
      <c r="AP421" t="e">
        <f>Asia!B899+"n/&gt;!4]I"</f>
        <v>#VALUE!</v>
      </c>
      <c r="AQ421" t="e">
        <f>Asia!C899+"n/&gt;!4]J"</f>
        <v>#VALUE!</v>
      </c>
      <c r="AR421" t="e">
        <f>Asia!D899+"n/&gt;!4]K"</f>
        <v>#VALUE!</v>
      </c>
      <c r="AS421" t="e">
        <f>Asia!E899+"n/&gt;!4]L"</f>
        <v>#VALUE!</v>
      </c>
      <c r="AT421" t="e">
        <f>Asia!F899+"n/&gt;!4]M"</f>
        <v>#VALUE!</v>
      </c>
      <c r="AU421" t="e">
        <f>Asia!G899+"n/&gt;!4]N"</f>
        <v>#VALUE!</v>
      </c>
      <c r="AV421" t="e">
        <f>Asia!H899+"n/&gt;!4]O"</f>
        <v>#VALUE!</v>
      </c>
      <c r="AW421" t="e">
        <f>Asia!I899+"n/&gt;!4]P"</f>
        <v>#VALUE!</v>
      </c>
      <c r="AX421" t="e">
        <f>Asia!A900+"n/&gt;!4]Q"</f>
        <v>#VALUE!</v>
      </c>
      <c r="AY421" t="e">
        <f>Asia!B900+"n/&gt;!4]R"</f>
        <v>#VALUE!</v>
      </c>
      <c r="AZ421" t="e">
        <f>Asia!C900+"n/&gt;!4]S"</f>
        <v>#VALUE!</v>
      </c>
      <c r="BA421" t="e">
        <f>Asia!D900+"n/&gt;!4]T"</f>
        <v>#VALUE!</v>
      </c>
      <c r="BB421" t="e">
        <f>Asia!E900+"n/&gt;!4]U"</f>
        <v>#VALUE!</v>
      </c>
      <c r="BC421" t="e">
        <f>Asia!F900+"n/&gt;!4]V"</f>
        <v>#VALUE!</v>
      </c>
      <c r="BD421" t="e">
        <f>Asia!G900+"n/&gt;!4]W"</f>
        <v>#VALUE!</v>
      </c>
      <c r="BE421" t="e">
        <f>Asia!H900+"n/&gt;!4]X"</f>
        <v>#VALUE!</v>
      </c>
      <c r="BF421" t="e">
        <f>Asia!I900+"n/&gt;!4]Y"</f>
        <v>#VALUE!</v>
      </c>
      <c r="BG421" t="e">
        <f>Asia!A901+"n/&gt;!4]Z"</f>
        <v>#VALUE!</v>
      </c>
      <c r="BH421" t="e">
        <f>Asia!B901+"n/&gt;!4]["</f>
        <v>#VALUE!</v>
      </c>
      <c r="BI421" t="e">
        <f>Asia!C901+"n/&gt;!4]\"</f>
        <v>#VALUE!</v>
      </c>
      <c r="BJ421" t="e">
        <f>Asia!D901+"n/&gt;!4]]"</f>
        <v>#VALUE!</v>
      </c>
      <c r="BK421" t="e">
        <f>Asia!E901+"n/&gt;!4]^"</f>
        <v>#VALUE!</v>
      </c>
      <c r="BL421" t="e">
        <f>Asia!F901+"n/&gt;!4]_"</f>
        <v>#VALUE!</v>
      </c>
      <c r="BM421" t="e">
        <f>Asia!G901+"n/&gt;!4]`"</f>
        <v>#VALUE!</v>
      </c>
      <c r="BN421" t="e">
        <f>Asia!H901+"n/&gt;!4]a"</f>
        <v>#VALUE!</v>
      </c>
      <c r="BO421" t="e">
        <f>Asia!I901+"n/&gt;!4]b"</f>
        <v>#VALUE!</v>
      </c>
      <c r="BP421" t="e">
        <f>Asia!A902+"n/&gt;!4]c"</f>
        <v>#VALUE!</v>
      </c>
      <c r="BQ421" t="e">
        <f>Asia!B902+"n/&gt;!4]d"</f>
        <v>#VALUE!</v>
      </c>
      <c r="BR421" t="e">
        <f>Asia!C902+"n/&gt;!4]e"</f>
        <v>#VALUE!</v>
      </c>
      <c r="BS421" t="e">
        <f>Asia!D902+"n/&gt;!4]f"</f>
        <v>#VALUE!</v>
      </c>
      <c r="BT421" t="e">
        <f>Asia!E902+"n/&gt;!4]g"</f>
        <v>#VALUE!</v>
      </c>
      <c r="BU421" t="e">
        <f>Asia!F902+"n/&gt;!4]h"</f>
        <v>#VALUE!</v>
      </c>
      <c r="BV421" t="e">
        <f>Asia!G902+"n/&gt;!4]i"</f>
        <v>#VALUE!</v>
      </c>
      <c r="BW421" t="e">
        <f>Asia!H902+"n/&gt;!4]j"</f>
        <v>#VALUE!</v>
      </c>
      <c r="BX421" t="e">
        <f>Asia!I902+"n/&gt;!4]k"</f>
        <v>#VALUE!</v>
      </c>
      <c r="BY421" t="e">
        <f>Asia!A903+"n/&gt;!4]l"</f>
        <v>#VALUE!</v>
      </c>
      <c r="BZ421" t="e">
        <f>Asia!B903+"n/&gt;!4]m"</f>
        <v>#VALUE!</v>
      </c>
      <c r="CA421" t="e">
        <f>Asia!C903+"n/&gt;!4]n"</f>
        <v>#VALUE!</v>
      </c>
      <c r="CB421" t="e">
        <f>Asia!D903+"n/&gt;!4]o"</f>
        <v>#VALUE!</v>
      </c>
      <c r="CC421" t="e">
        <f>Asia!E903+"n/&gt;!4]p"</f>
        <v>#VALUE!</v>
      </c>
      <c r="CD421" t="e">
        <f>Asia!F903+"n/&gt;!4]q"</f>
        <v>#VALUE!</v>
      </c>
      <c r="CE421" t="e">
        <f>Asia!G903+"n/&gt;!4]r"</f>
        <v>#VALUE!</v>
      </c>
      <c r="CF421" t="e">
        <f>Asia!H903+"n/&gt;!4]s"</f>
        <v>#VALUE!</v>
      </c>
      <c r="CG421" t="e">
        <f>Asia!I903+"n/&gt;!4]t"</f>
        <v>#VALUE!</v>
      </c>
      <c r="CH421" t="e">
        <f>Asia!A904+"n/&gt;!4]u"</f>
        <v>#VALUE!</v>
      </c>
      <c r="CI421" t="e">
        <f>Asia!B904+"n/&gt;!4]v"</f>
        <v>#VALUE!</v>
      </c>
      <c r="CJ421" t="e">
        <f>Asia!C904+"n/&gt;!4]w"</f>
        <v>#VALUE!</v>
      </c>
      <c r="CK421" t="e">
        <f>Asia!D904+"n/&gt;!4]x"</f>
        <v>#VALUE!</v>
      </c>
      <c r="CL421" t="e">
        <f>Asia!E904+"n/&gt;!4]y"</f>
        <v>#VALUE!</v>
      </c>
      <c r="CM421" t="e">
        <f>Asia!F904+"n/&gt;!4]z"</f>
        <v>#VALUE!</v>
      </c>
      <c r="CN421" t="e">
        <f>Asia!G904+"n/&gt;!4]{"</f>
        <v>#VALUE!</v>
      </c>
      <c r="CO421" t="e">
        <f>Asia!H904+"n/&gt;!4]|"</f>
        <v>#VALUE!</v>
      </c>
      <c r="CP421" t="e">
        <f>Asia!I904+"n/&gt;!4]}"</f>
        <v>#VALUE!</v>
      </c>
      <c r="CQ421" t="e">
        <f>Asia!A905+"n/&gt;!4]~"</f>
        <v>#VALUE!</v>
      </c>
      <c r="CR421" t="e">
        <f>Asia!B905+"n/&gt;!4^#"</f>
        <v>#VALUE!</v>
      </c>
      <c r="CS421" t="e">
        <f>Asia!C905+"n/&gt;!4^$"</f>
        <v>#VALUE!</v>
      </c>
      <c r="CT421" t="e">
        <f>Asia!D905+"n/&gt;!4^%"</f>
        <v>#VALUE!</v>
      </c>
      <c r="CU421" t="e">
        <f>Asia!E905+"n/&gt;!4^&amp;"</f>
        <v>#VALUE!</v>
      </c>
      <c r="CV421" t="e">
        <f>Asia!F905+"n/&gt;!4^'"</f>
        <v>#VALUE!</v>
      </c>
      <c r="CW421" t="e">
        <f>Asia!G905+"n/&gt;!4^("</f>
        <v>#VALUE!</v>
      </c>
      <c r="CX421" t="e">
        <f>Asia!H905+"n/&gt;!4^)"</f>
        <v>#VALUE!</v>
      </c>
      <c r="CY421" t="e">
        <f>Asia!I905+"n/&gt;!4^."</f>
        <v>#VALUE!</v>
      </c>
      <c r="CZ421" t="e">
        <f>Asia!A906+"n/&gt;!4^/"</f>
        <v>#VALUE!</v>
      </c>
      <c r="DA421" t="e">
        <f>Asia!B906+"n/&gt;!4^0"</f>
        <v>#VALUE!</v>
      </c>
      <c r="DB421" t="e">
        <f>Asia!C906+"n/&gt;!4^1"</f>
        <v>#VALUE!</v>
      </c>
      <c r="DC421" t="e">
        <f>Asia!D906+"n/&gt;!4^2"</f>
        <v>#VALUE!</v>
      </c>
      <c r="DD421" t="e">
        <f>Asia!E906+"n/&gt;!4^3"</f>
        <v>#VALUE!</v>
      </c>
      <c r="DE421" t="e">
        <f>Asia!F906+"n/&gt;!4^4"</f>
        <v>#VALUE!</v>
      </c>
      <c r="DF421" t="e">
        <f>Asia!G906+"n/&gt;!4^5"</f>
        <v>#VALUE!</v>
      </c>
      <c r="DG421" t="e">
        <f>Asia!H906+"n/&gt;!4^6"</f>
        <v>#VALUE!</v>
      </c>
      <c r="DH421" t="e">
        <f>Asia!I906+"n/&gt;!4^7"</f>
        <v>#VALUE!</v>
      </c>
      <c r="DI421" t="e">
        <f>Asia!A907+"n/&gt;!4^8"</f>
        <v>#VALUE!</v>
      </c>
      <c r="DJ421" t="e">
        <f>Asia!B907+"n/&gt;!4^9"</f>
        <v>#VALUE!</v>
      </c>
      <c r="DK421" t="e">
        <f>Asia!C907+"n/&gt;!4^:"</f>
        <v>#VALUE!</v>
      </c>
      <c r="DL421" t="e">
        <f>Asia!D907+"n/&gt;!4^;"</f>
        <v>#VALUE!</v>
      </c>
      <c r="DM421" t="e">
        <f>Asia!E907+"n/&gt;!4^&lt;"</f>
        <v>#VALUE!</v>
      </c>
      <c r="DN421" t="e">
        <f>Asia!F907+"n/&gt;!4^="</f>
        <v>#VALUE!</v>
      </c>
      <c r="DO421" t="e">
        <f>Asia!G907+"n/&gt;!4^&gt;"</f>
        <v>#VALUE!</v>
      </c>
      <c r="DP421" t="e">
        <f>Asia!H907+"n/&gt;!4^?"</f>
        <v>#VALUE!</v>
      </c>
      <c r="DQ421" t="e">
        <f>Asia!I907+"n/&gt;!4^@"</f>
        <v>#VALUE!</v>
      </c>
      <c r="DR421" t="e">
        <f>Asia!A908+"n/&gt;!4^A"</f>
        <v>#VALUE!</v>
      </c>
      <c r="DS421" t="e">
        <f>Asia!B908+"n/&gt;!4^B"</f>
        <v>#VALUE!</v>
      </c>
      <c r="DT421" t="e">
        <f>Asia!C908+"n/&gt;!4^C"</f>
        <v>#VALUE!</v>
      </c>
      <c r="DU421" t="e">
        <f>Asia!D908+"n/&gt;!4^D"</f>
        <v>#VALUE!</v>
      </c>
      <c r="DV421" t="e">
        <f>Asia!E908+"n/&gt;!4^E"</f>
        <v>#VALUE!</v>
      </c>
      <c r="DW421" t="e">
        <f>Asia!F908+"n/&gt;!4^F"</f>
        <v>#VALUE!</v>
      </c>
      <c r="DX421" t="e">
        <f>Asia!G908+"n/&gt;!4^G"</f>
        <v>#VALUE!</v>
      </c>
      <c r="DY421" t="e">
        <f>Asia!H908+"n/&gt;!4^H"</f>
        <v>#VALUE!</v>
      </c>
      <c r="DZ421" t="e">
        <f>Asia!I908+"n/&gt;!4^I"</f>
        <v>#VALUE!</v>
      </c>
      <c r="EA421" t="e">
        <f>Asia!A909+"n/&gt;!4^J"</f>
        <v>#VALUE!</v>
      </c>
      <c r="EB421" t="e">
        <f>Asia!B909+"n/&gt;!4^K"</f>
        <v>#VALUE!</v>
      </c>
      <c r="EC421" t="e">
        <f>Asia!C909+"n/&gt;!4^L"</f>
        <v>#VALUE!</v>
      </c>
      <c r="ED421" t="e">
        <f>Asia!D909+"n/&gt;!4^M"</f>
        <v>#VALUE!</v>
      </c>
      <c r="EE421" t="e">
        <f>Asia!E909+"n/&gt;!4^N"</f>
        <v>#VALUE!</v>
      </c>
      <c r="EF421" t="e">
        <f>Asia!F909+"n/&gt;!4^O"</f>
        <v>#VALUE!</v>
      </c>
      <c r="EG421" t="e">
        <f>Asia!G909+"n/&gt;!4^P"</f>
        <v>#VALUE!</v>
      </c>
      <c r="EH421" t="e">
        <f>Asia!H909+"n/&gt;!4^Q"</f>
        <v>#VALUE!</v>
      </c>
      <c r="EI421" t="e">
        <f>Asia!I909+"n/&gt;!4^R"</f>
        <v>#VALUE!</v>
      </c>
      <c r="EJ421" t="e">
        <f>Asia!A910+"n/&gt;!4^S"</f>
        <v>#VALUE!</v>
      </c>
      <c r="EK421" t="e">
        <f>Asia!B910+"n/&gt;!4^T"</f>
        <v>#VALUE!</v>
      </c>
      <c r="EL421" t="e">
        <f>Asia!C910+"n/&gt;!4^U"</f>
        <v>#VALUE!</v>
      </c>
      <c r="EM421" t="e">
        <f>Asia!D910+"n/&gt;!4^V"</f>
        <v>#VALUE!</v>
      </c>
      <c r="EN421" t="e">
        <f>Asia!E910+"n/&gt;!4^W"</f>
        <v>#VALUE!</v>
      </c>
      <c r="EO421" t="e">
        <f>Asia!F910+"n/&gt;!4^X"</f>
        <v>#VALUE!</v>
      </c>
      <c r="EP421" t="e">
        <f>Asia!G910+"n/&gt;!4^Y"</f>
        <v>#VALUE!</v>
      </c>
      <c r="EQ421" t="e">
        <f>Asia!H910+"n/&gt;!4^Z"</f>
        <v>#VALUE!</v>
      </c>
      <c r="ER421" t="e">
        <f>Asia!I910+"n/&gt;!4^["</f>
        <v>#VALUE!</v>
      </c>
      <c r="ES421" t="e">
        <f>Asia!A911+"n/&gt;!4^\"</f>
        <v>#VALUE!</v>
      </c>
      <c r="ET421" t="e">
        <f>Asia!B911+"n/&gt;!4^]"</f>
        <v>#VALUE!</v>
      </c>
      <c r="EU421" t="e">
        <f>Asia!C911+"n/&gt;!4^^"</f>
        <v>#VALUE!</v>
      </c>
      <c r="EV421" t="e">
        <f>Asia!D911+"n/&gt;!4^_"</f>
        <v>#VALUE!</v>
      </c>
      <c r="EW421" t="e">
        <f>Asia!E911+"n/&gt;!4^`"</f>
        <v>#VALUE!</v>
      </c>
      <c r="EX421" t="e">
        <f>Asia!F911+"n/&gt;!4^a"</f>
        <v>#VALUE!</v>
      </c>
      <c r="EY421" t="e">
        <f>Asia!G911+"n/&gt;!4^b"</f>
        <v>#VALUE!</v>
      </c>
      <c r="EZ421" t="e">
        <f>Asia!H911+"n/&gt;!4^c"</f>
        <v>#VALUE!</v>
      </c>
      <c r="FA421" t="e">
        <f>Asia!I911+"n/&gt;!4^d"</f>
        <v>#VALUE!</v>
      </c>
      <c r="FB421" t="e">
        <f>Asia!A912+"n/&gt;!4^e"</f>
        <v>#VALUE!</v>
      </c>
      <c r="FC421" t="e">
        <f>Asia!B912+"n/&gt;!4^f"</f>
        <v>#VALUE!</v>
      </c>
      <c r="FD421" t="e">
        <f>Asia!C912+"n/&gt;!4^g"</f>
        <v>#VALUE!</v>
      </c>
      <c r="FE421" t="e">
        <f>Asia!D912+"n/&gt;!4^h"</f>
        <v>#VALUE!</v>
      </c>
      <c r="FF421" t="e">
        <f>Asia!E912+"n/&gt;!4^i"</f>
        <v>#VALUE!</v>
      </c>
      <c r="FG421" t="e">
        <f>Asia!F912+"n/&gt;!4^j"</f>
        <v>#VALUE!</v>
      </c>
      <c r="FH421" t="e">
        <f>Asia!G912+"n/&gt;!4^k"</f>
        <v>#VALUE!</v>
      </c>
      <c r="FI421" t="e">
        <f>Asia!H912+"n/&gt;!4^l"</f>
        <v>#VALUE!</v>
      </c>
      <c r="FJ421" t="e">
        <f>Asia!I912+"n/&gt;!4^m"</f>
        <v>#VALUE!</v>
      </c>
      <c r="FK421" t="e">
        <f>Asia!A913+"n/&gt;!4^n"</f>
        <v>#VALUE!</v>
      </c>
      <c r="FL421" t="e">
        <f>Asia!B913+"n/&gt;!4^o"</f>
        <v>#VALUE!</v>
      </c>
      <c r="FM421" t="e">
        <f>Asia!C913+"n/&gt;!4^p"</f>
        <v>#VALUE!</v>
      </c>
      <c r="FN421" t="e">
        <f>Asia!D913+"n/&gt;!4^q"</f>
        <v>#VALUE!</v>
      </c>
      <c r="FO421" t="e">
        <f>Asia!E913+"n/&gt;!4^r"</f>
        <v>#VALUE!</v>
      </c>
      <c r="FP421" t="e">
        <f>Asia!F913+"n/&gt;!4^s"</f>
        <v>#VALUE!</v>
      </c>
      <c r="FQ421" t="e">
        <f>Asia!G913+"n/&gt;!4^t"</f>
        <v>#VALUE!</v>
      </c>
      <c r="FR421" t="e">
        <f>Asia!H913+"n/&gt;!4^u"</f>
        <v>#VALUE!</v>
      </c>
      <c r="FS421" t="e">
        <f>Asia!I913+"n/&gt;!4^v"</f>
        <v>#VALUE!</v>
      </c>
      <c r="FT421" t="e">
        <f>Asia!A914+"n/&gt;!4^w"</f>
        <v>#VALUE!</v>
      </c>
      <c r="FU421" t="e">
        <f>Asia!B914+"n/&gt;!4^x"</f>
        <v>#VALUE!</v>
      </c>
      <c r="FV421" t="e">
        <f>Asia!C914+"n/&gt;!4^y"</f>
        <v>#VALUE!</v>
      </c>
      <c r="FW421" t="e">
        <f>Asia!D914+"n/&gt;!4^z"</f>
        <v>#VALUE!</v>
      </c>
      <c r="FX421" t="e">
        <f>Asia!E914+"n/&gt;!4^{"</f>
        <v>#VALUE!</v>
      </c>
      <c r="FY421" t="e">
        <f>Asia!F914+"n/&gt;!4^|"</f>
        <v>#VALUE!</v>
      </c>
      <c r="FZ421" t="e">
        <f>Asia!G914+"n/&gt;!4^}"</f>
        <v>#VALUE!</v>
      </c>
      <c r="GA421" t="e">
        <f>Asia!H914+"n/&gt;!4^~"</f>
        <v>#VALUE!</v>
      </c>
      <c r="GB421" t="e">
        <f>Asia!I914+"n/&gt;!4_#"</f>
        <v>#VALUE!</v>
      </c>
      <c r="GC421" t="e">
        <f>Asia!A915+"n/&gt;!4_$"</f>
        <v>#VALUE!</v>
      </c>
      <c r="GD421" t="e">
        <f>Asia!B915+"n/&gt;!4_%"</f>
        <v>#VALUE!</v>
      </c>
      <c r="GE421" t="e">
        <f>Asia!C915+"n/&gt;!4_&amp;"</f>
        <v>#VALUE!</v>
      </c>
      <c r="GF421" t="e">
        <f>Asia!D915+"n/&gt;!4_'"</f>
        <v>#VALUE!</v>
      </c>
      <c r="GG421" t="e">
        <f>Asia!E915+"n/&gt;!4_("</f>
        <v>#VALUE!</v>
      </c>
      <c r="GH421" t="e">
        <f>Asia!F915+"n/&gt;!4_)"</f>
        <v>#VALUE!</v>
      </c>
      <c r="GI421" t="e">
        <f>Asia!G915+"n/&gt;!4_."</f>
        <v>#VALUE!</v>
      </c>
      <c r="GJ421" t="e">
        <f>Asia!H915+"n/&gt;!4_/"</f>
        <v>#VALUE!</v>
      </c>
      <c r="GK421" t="e">
        <f>Asia!I915+"n/&gt;!4_0"</f>
        <v>#VALUE!</v>
      </c>
      <c r="GL421" t="e">
        <f>Asia!A916+"n/&gt;!4_1"</f>
        <v>#VALUE!</v>
      </c>
      <c r="GM421" t="e">
        <f>Asia!B916+"n/&gt;!4_2"</f>
        <v>#VALUE!</v>
      </c>
      <c r="GN421" t="e">
        <f>Asia!C916+"n/&gt;!4_3"</f>
        <v>#VALUE!</v>
      </c>
      <c r="GO421" t="e">
        <f>Asia!D916+"n/&gt;!4_4"</f>
        <v>#VALUE!</v>
      </c>
      <c r="GP421" t="e">
        <f>Asia!E916+"n/&gt;!4_5"</f>
        <v>#VALUE!</v>
      </c>
      <c r="GQ421" t="e">
        <f>Asia!F916+"n/&gt;!4_6"</f>
        <v>#VALUE!</v>
      </c>
      <c r="GR421" t="e">
        <f>Asia!G916+"n/&gt;!4_7"</f>
        <v>#VALUE!</v>
      </c>
      <c r="GS421" t="e">
        <f>Asia!H916+"n/&gt;!4_8"</f>
        <v>#VALUE!</v>
      </c>
      <c r="GT421" t="e">
        <f>Asia!I916+"n/&gt;!4_9"</f>
        <v>#VALUE!</v>
      </c>
      <c r="GU421" t="e">
        <f>Asia!A917+"n/&gt;!4_:"</f>
        <v>#VALUE!</v>
      </c>
      <c r="GV421" t="e">
        <f>Asia!B917+"n/&gt;!4_;"</f>
        <v>#VALUE!</v>
      </c>
      <c r="GW421" t="e">
        <f>Asia!C917+"n/&gt;!4_&lt;"</f>
        <v>#VALUE!</v>
      </c>
      <c r="GX421" t="e">
        <f>Asia!D917+"n/&gt;!4_="</f>
        <v>#VALUE!</v>
      </c>
      <c r="GY421" t="e">
        <f>Asia!E917+"n/&gt;!4_&gt;"</f>
        <v>#VALUE!</v>
      </c>
      <c r="GZ421" t="e">
        <f>Asia!F917+"n/&gt;!4_?"</f>
        <v>#VALUE!</v>
      </c>
      <c r="HA421" t="e">
        <f>Asia!G917+"n/&gt;!4_@"</f>
        <v>#VALUE!</v>
      </c>
      <c r="HB421" t="e">
        <f>Asia!H917+"n/&gt;!4_A"</f>
        <v>#VALUE!</v>
      </c>
      <c r="HC421" t="e">
        <f>Asia!I917+"n/&gt;!4_B"</f>
        <v>#VALUE!</v>
      </c>
      <c r="HD421" t="e">
        <f>Asia!A918+"n/&gt;!4_C"</f>
        <v>#VALUE!</v>
      </c>
      <c r="HE421" t="e">
        <f>Asia!B918+"n/&gt;!4_D"</f>
        <v>#VALUE!</v>
      </c>
      <c r="HF421" t="e">
        <f>Asia!C918+"n/&gt;!4_E"</f>
        <v>#VALUE!</v>
      </c>
      <c r="HG421" t="e">
        <f>Asia!D918+"n/&gt;!4_F"</f>
        <v>#VALUE!</v>
      </c>
      <c r="HH421" t="e">
        <f>Asia!E918+"n/&gt;!4_G"</f>
        <v>#VALUE!</v>
      </c>
      <c r="HI421" t="e">
        <f>Asia!F918+"n/&gt;!4_H"</f>
        <v>#VALUE!</v>
      </c>
      <c r="HJ421" t="e">
        <f>Asia!G918+"n/&gt;!4_I"</f>
        <v>#VALUE!</v>
      </c>
      <c r="HK421" t="e">
        <f>Asia!H918+"n/&gt;!4_J"</f>
        <v>#VALUE!</v>
      </c>
      <c r="HL421" t="e">
        <f>Asia!I918+"n/&gt;!4_K"</f>
        <v>#VALUE!</v>
      </c>
      <c r="HM421" t="e">
        <f>Asia!A919+"n/&gt;!4_L"</f>
        <v>#VALUE!</v>
      </c>
      <c r="HN421" t="e">
        <f>Asia!B919+"n/&gt;!4_M"</f>
        <v>#VALUE!</v>
      </c>
      <c r="HO421" t="e">
        <f>Asia!C919+"n/&gt;!4_N"</f>
        <v>#VALUE!</v>
      </c>
      <c r="HP421" t="e">
        <f>Asia!D919+"n/&gt;!4_O"</f>
        <v>#VALUE!</v>
      </c>
      <c r="HQ421" t="e">
        <f>Asia!E919+"n/&gt;!4_P"</f>
        <v>#VALUE!</v>
      </c>
      <c r="HR421" t="e">
        <f>Asia!F919+"n/&gt;!4_Q"</f>
        <v>#VALUE!</v>
      </c>
      <c r="HS421" t="e">
        <f>Asia!G919+"n/&gt;!4_R"</f>
        <v>#VALUE!</v>
      </c>
      <c r="HT421" t="e">
        <f>Asia!H919+"n/&gt;!4_S"</f>
        <v>#VALUE!</v>
      </c>
      <c r="HU421" t="e">
        <f>Asia!I919+"n/&gt;!4_T"</f>
        <v>#VALUE!</v>
      </c>
      <c r="HV421" t="e">
        <f>Asia!A920+"n/&gt;!4_U"</f>
        <v>#VALUE!</v>
      </c>
      <c r="HW421" t="e">
        <f>Asia!B920+"n/&gt;!4_V"</f>
        <v>#VALUE!</v>
      </c>
      <c r="HX421" t="e">
        <f>Asia!C920+"n/&gt;!4_W"</f>
        <v>#VALUE!</v>
      </c>
      <c r="HY421" t="e">
        <f>Asia!D920+"n/&gt;!4_X"</f>
        <v>#VALUE!</v>
      </c>
      <c r="HZ421" t="e">
        <f>Asia!E920+"n/&gt;!4_Y"</f>
        <v>#VALUE!</v>
      </c>
      <c r="IA421" t="e">
        <f>Asia!F920+"n/&gt;!4_Z"</f>
        <v>#VALUE!</v>
      </c>
      <c r="IB421" t="e">
        <f>Asia!G920+"n/&gt;!4_["</f>
        <v>#VALUE!</v>
      </c>
      <c r="IC421" t="e">
        <f>Asia!H920+"n/&gt;!4_\"</f>
        <v>#VALUE!</v>
      </c>
      <c r="ID421" t="e">
        <f>Asia!I920+"n/&gt;!4_]"</f>
        <v>#VALUE!</v>
      </c>
      <c r="IE421" t="e">
        <f>Asia!A921+"n/&gt;!4_^"</f>
        <v>#VALUE!</v>
      </c>
      <c r="IF421" t="e">
        <f>Asia!B921+"n/&gt;!4__"</f>
        <v>#VALUE!</v>
      </c>
      <c r="IG421" t="e">
        <f>Asia!C921+"n/&gt;!4_`"</f>
        <v>#VALUE!</v>
      </c>
      <c r="IH421" t="e">
        <f>Asia!D921+"n/&gt;!4_a"</f>
        <v>#VALUE!</v>
      </c>
      <c r="II421" t="e">
        <f>Asia!E921+"n/&gt;!4_b"</f>
        <v>#VALUE!</v>
      </c>
      <c r="IJ421" t="e">
        <f>Asia!F921+"n/&gt;!4_c"</f>
        <v>#VALUE!</v>
      </c>
      <c r="IK421" t="e">
        <f>Asia!G921+"n/&gt;!4_d"</f>
        <v>#VALUE!</v>
      </c>
      <c r="IL421" t="e">
        <f>Asia!H921+"n/&gt;!4_e"</f>
        <v>#VALUE!</v>
      </c>
      <c r="IM421" t="e">
        <f>Asia!I921+"n/&gt;!4_f"</f>
        <v>#VALUE!</v>
      </c>
      <c r="IN421" t="e">
        <f>Asia!A922+"n/&gt;!4_g"</f>
        <v>#VALUE!</v>
      </c>
      <c r="IO421" t="e">
        <f>Asia!B922+"n/&gt;!4_h"</f>
        <v>#VALUE!</v>
      </c>
      <c r="IP421" t="e">
        <f>Asia!C922+"n/&gt;!4_i"</f>
        <v>#VALUE!</v>
      </c>
      <c r="IQ421" t="e">
        <f>Asia!D922+"n/&gt;!4_j"</f>
        <v>#VALUE!</v>
      </c>
      <c r="IR421" t="e">
        <f>Asia!E922+"n/&gt;!4_k"</f>
        <v>#VALUE!</v>
      </c>
      <c r="IS421" t="e">
        <f>Asia!F922+"n/&gt;!4_l"</f>
        <v>#VALUE!</v>
      </c>
      <c r="IT421" t="e">
        <f>Asia!G922+"n/&gt;!4_m"</f>
        <v>#VALUE!</v>
      </c>
      <c r="IU421" t="e">
        <f>Asia!H922+"n/&gt;!4_n"</f>
        <v>#VALUE!</v>
      </c>
      <c r="IV421" t="e">
        <f>Asia!I922+"n/&gt;!4_o"</f>
        <v>#VALUE!</v>
      </c>
    </row>
    <row r="422" spans="6:256" x14ac:dyDescent="0.35">
      <c r="F422" t="e">
        <f>Asia!A923+"n/&gt;!4_p"</f>
        <v>#VALUE!</v>
      </c>
      <c r="G422" t="e">
        <f>Asia!B923+"n/&gt;!4_q"</f>
        <v>#VALUE!</v>
      </c>
      <c r="H422" t="e">
        <f>Asia!C923+"n/&gt;!4_r"</f>
        <v>#VALUE!</v>
      </c>
      <c r="I422" t="e">
        <f>Asia!D923+"n/&gt;!4_s"</f>
        <v>#VALUE!</v>
      </c>
      <c r="J422" t="e">
        <f>Asia!E923+"n/&gt;!4_t"</f>
        <v>#VALUE!</v>
      </c>
      <c r="K422" t="e">
        <f>Asia!F923+"n/&gt;!4_u"</f>
        <v>#VALUE!</v>
      </c>
      <c r="L422" t="e">
        <f>Asia!G923+"n/&gt;!4_v"</f>
        <v>#VALUE!</v>
      </c>
      <c r="M422" t="e">
        <f>Asia!H923+"n/&gt;!4_w"</f>
        <v>#VALUE!</v>
      </c>
      <c r="N422" t="e">
        <f>Asia!I923+"n/&gt;!4_x"</f>
        <v>#VALUE!</v>
      </c>
      <c r="O422" t="e">
        <f>Asia!A924+"n/&gt;!4_y"</f>
        <v>#VALUE!</v>
      </c>
      <c r="P422" t="e">
        <f>Asia!B924+"n/&gt;!4_z"</f>
        <v>#VALUE!</v>
      </c>
      <c r="Q422" t="e">
        <f>Asia!C924+"n/&gt;!4_{"</f>
        <v>#VALUE!</v>
      </c>
      <c r="R422" t="e">
        <f>Asia!D924+"n/&gt;!4_|"</f>
        <v>#VALUE!</v>
      </c>
      <c r="S422" t="e">
        <f>Asia!E924+"n/&gt;!4_}"</f>
        <v>#VALUE!</v>
      </c>
      <c r="T422" t="e">
        <f>Asia!F924+"n/&gt;!4_~"</f>
        <v>#VALUE!</v>
      </c>
      <c r="U422" t="e">
        <f>Asia!G924+"n/&gt;!4`#"</f>
        <v>#VALUE!</v>
      </c>
      <c r="V422" t="e">
        <f>Asia!H924+"n/&gt;!4`$"</f>
        <v>#VALUE!</v>
      </c>
      <c r="W422" t="e">
        <f>Asia!I924+"n/&gt;!4`%"</f>
        <v>#VALUE!</v>
      </c>
      <c r="X422" t="e">
        <f>Asia!A925+"n/&gt;!4`&amp;"</f>
        <v>#VALUE!</v>
      </c>
      <c r="Y422" t="e">
        <f>Asia!B925+"n/&gt;!4`'"</f>
        <v>#VALUE!</v>
      </c>
      <c r="Z422" t="e">
        <f>Asia!C925+"n/&gt;!4`("</f>
        <v>#VALUE!</v>
      </c>
      <c r="AA422" t="e">
        <f>Asia!D925+"n/&gt;!4`)"</f>
        <v>#VALUE!</v>
      </c>
      <c r="AB422" t="e">
        <f>Asia!E925+"n/&gt;!4`."</f>
        <v>#VALUE!</v>
      </c>
      <c r="AC422" t="e">
        <f>Asia!F925+"n/&gt;!4`/"</f>
        <v>#VALUE!</v>
      </c>
      <c r="AD422" t="e">
        <f>Asia!G925+"n/&gt;!4`0"</f>
        <v>#VALUE!</v>
      </c>
      <c r="AE422" t="e">
        <f>Asia!H925+"n/&gt;!4`1"</f>
        <v>#VALUE!</v>
      </c>
      <c r="AF422" t="e">
        <f>Asia!I925+"n/&gt;!4`2"</f>
        <v>#VALUE!</v>
      </c>
      <c r="AG422" t="e">
        <f>Asia!A926+"n/&gt;!4`3"</f>
        <v>#VALUE!</v>
      </c>
      <c r="AH422" t="e">
        <f>Asia!B926+"n/&gt;!4`4"</f>
        <v>#VALUE!</v>
      </c>
      <c r="AI422" t="e">
        <f>Asia!C926+"n/&gt;!4`5"</f>
        <v>#VALUE!</v>
      </c>
      <c r="AJ422" t="e">
        <f>Asia!D926+"n/&gt;!4`6"</f>
        <v>#VALUE!</v>
      </c>
      <c r="AK422" t="e">
        <f>Asia!E926+"n/&gt;!4`7"</f>
        <v>#VALUE!</v>
      </c>
      <c r="AL422" t="e">
        <f>Asia!F926+"n/&gt;!4`8"</f>
        <v>#VALUE!</v>
      </c>
      <c r="AM422" t="e">
        <f>Asia!G926+"n/&gt;!4`9"</f>
        <v>#VALUE!</v>
      </c>
      <c r="AN422" t="e">
        <f>Asia!H926+"n/&gt;!4`:"</f>
        <v>#VALUE!</v>
      </c>
      <c r="AO422" t="e">
        <f>Asia!I926+"n/&gt;!4`;"</f>
        <v>#VALUE!</v>
      </c>
      <c r="AP422" t="e">
        <f>Asia!A927+"n/&gt;!4`&lt;"</f>
        <v>#VALUE!</v>
      </c>
      <c r="AQ422" t="e">
        <f>Asia!B927+"n/&gt;!4`="</f>
        <v>#VALUE!</v>
      </c>
      <c r="AR422" t="e">
        <f>Asia!C927+"n/&gt;!4`&gt;"</f>
        <v>#VALUE!</v>
      </c>
      <c r="AS422" t="e">
        <f>Asia!D927+"n/&gt;!4`?"</f>
        <v>#VALUE!</v>
      </c>
      <c r="AT422" t="e">
        <f>Asia!E927+"n/&gt;!4`@"</f>
        <v>#VALUE!</v>
      </c>
      <c r="AU422" t="e">
        <f>Asia!F927+"n/&gt;!4`A"</f>
        <v>#VALUE!</v>
      </c>
      <c r="AV422" t="e">
        <f>Asia!G927+"n/&gt;!4`B"</f>
        <v>#VALUE!</v>
      </c>
      <c r="AW422" t="e">
        <f>Asia!H927+"n/&gt;!4`C"</f>
        <v>#VALUE!</v>
      </c>
      <c r="AX422" t="e">
        <f>Asia!I927+"n/&gt;!4`D"</f>
        <v>#VALUE!</v>
      </c>
      <c r="AY422" t="e">
        <f>Asia!A928+"n/&gt;!4`E"</f>
        <v>#VALUE!</v>
      </c>
      <c r="AZ422" t="e">
        <f>Asia!B928+"n/&gt;!4`F"</f>
        <v>#VALUE!</v>
      </c>
      <c r="BA422" t="e">
        <f>Asia!C928+"n/&gt;!4`G"</f>
        <v>#VALUE!</v>
      </c>
      <c r="BB422" t="e">
        <f>Asia!D928+"n/&gt;!4`H"</f>
        <v>#VALUE!</v>
      </c>
      <c r="BC422" t="e">
        <f>Asia!E928+"n/&gt;!4`I"</f>
        <v>#VALUE!</v>
      </c>
      <c r="BD422" t="e">
        <f>Asia!F928+"n/&gt;!4`J"</f>
        <v>#VALUE!</v>
      </c>
      <c r="BE422" t="e">
        <f>Asia!G928+"n/&gt;!4`K"</f>
        <v>#VALUE!</v>
      </c>
      <c r="BF422" t="e">
        <f>Asia!H928+"n/&gt;!4`L"</f>
        <v>#VALUE!</v>
      </c>
      <c r="BG422" t="e">
        <f>Asia!I928+"n/&gt;!4`M"</f>
        <v>#VALUE!</v>
      </c>
      <c r="BH422" t="e">
        <f>Asia!A929+"n/&gt;!4`N"</f>
        <v>#VALUE!</v>
      </c>
      <c r="BI422" t="e">
        <f>Asia!B929+"n/&gt;!4`O"</f>
        <v>#VALUE!</v>
      </c>
      <c r="BJ422" t="e">
        <f>Asia!C929+"n/&gt;!4`P"</f>
        <v>#VALUE!</v>
      </c>
      <c r="BK422" t="e">
        <f>Asia!D929+"n/&gt;!4`Q"</f>
        <v>#VALUE!</v>
      </c>
      <c r="BL422" t="e">
        <f>Asia!E929+"n/&gt;!4`R"</f>
        <v>#VALUE!</v>
      </c>
      <c r="BM422" t="e">
        <f>Asia!F929+"n/&gt;!4`S"</f>
        <v>#VALUE!</v>
      </c>
      <c r="BN422" t="e">
        <f>Asia!G929+"n/&gt;!4`T"</f>
        <v>#VALUE!</v>
      </c>
      <c r="BO422" t="e">
        <f>Asia!H929+"n/&gt;!4`U"</f>
        <v>#VALUE!</v>
      </c>
      <c r="BP422" t="e">
        <f>Asia!I929+"n/&gt;!4`V"</f>
        <v>#VALUE!</v>
      </c>
      <c r="BQ422" t="e">
        <f>Asia!A930+"n/&gt;!4`W"</f>
        <v>#VALUE!</v>
      </c>
      <c r="BR422" t="e">
        <f>Asia!B930+"n/&gt;!4`X"</f>
        <v>#VALUE!</v>
      </c>
      <c r="BS422" t="e">
        <f>Asia!C930+"n/&gt;!4`Y"</f>
        <v>#VALUE!</v>
      </c>
      <c r="BT422" t="e">
        <f>Asia!D930+"n/&gt;!4`Z"</f>
        <v>#VALUE!</v>
      </c>
      <c r="BU422" t="e">
        <f>Asia!E930+"n/&gt;!4`["</f>
        <v>#VALUE!</v>
      </c>
      <c r="BV422" t="e">
        <f>Asia!F930+"n/&gt;!4`\"</f>
        <v>#VALUE!</v>
      </c>
      <c r="BW422" t="e">
        <f>Asia!G930+"n/&gt;!4`]"</f>
        <v>#VALUE!</v>
      </c>
      <c r="BX422" t="e">
        <f>Asia!H930+"n/&gt;!4`^"</f>
        <v>#VALUE!</v>
      </c>
      <c r="BY422" t="e">
        <f>Asia!I930+"n/&gt;!4`_"</f>
        <v>#VALUE!</v>
      </c>
      <c r="BZ422" t="e">
        <f>Asia!A931+"n/&gt;!4``"</f>
        <v>#VALUE!</v>
      </c>
      <c r="CA422" t="e">
        <f>Asia!B931+"n/&gt;!4`a"</f>
        <v>#VALUE!</v>
      </c>
      <c r="CB422" t="e">
        <f>Asia!C931+"n/&gt;!4`b"</f>
        <v>#VALUE!</v>
      </c>
      <c r="CC422" t="e">
        <f>Asia!D931+"n/&gt;!4`c"</f>
        <v>#VALUE!</v>
      </c>
      <c r="CD422" t="e">
        <f>Asia!E931+"n/&gt;!4`d"</f>
        <v>#VALUE!</v>
      </c>
      <c r="CE422" t="e">
        <f>Asia!F931+"n/&gt;!4`e"</f>
        <v>#VALUE!</v>
      </c>
      <c r="CF422" t="e">
        <f>Asia!G931+"n/&gt;!4`f"</f>
        <v>#VALUE!</v>
      </c>
      <c r="CG422" t="e">
        <f>Asia!H931+"n/&gt;!4`g"</f>
        <v>#VALUE!</v>
      </c>
      <c r="CH422" t="e">
        <f>Asia!I931+"n/&gt;!4`h"</f>
        <v>#VALUE!</v>
      </c>
      <c r="CI422" t="e">
        <f>Asia!A932+"n/&gt;!4`i"</f>
        <v>#VALUE!</v>
      </c>
      <c r="CJ422" t="e">
        <f>Asia!B932+"n/&gt;!4`j"</f>
        <v>#VALUE!</v>
      </c>
      <c r="CK422" t="e">
        <f>Asia!C932+"n/&gt;!4`k"</f>
        <v>#VALUE!</v>
      </c>
      <c r="CL422" t="e">
        <f>Asia!D932+"n/&gt;!4`l"</f>
        <v>#VALUE!</v>
      </c>
      <c r="CM422" t="e">
        <f>Asia!E932+"n/&gt;!4`m"</f>
        <v>#VALUE!</v>
      </c>
      <c r="CN422" t="e">
        <f>Asia!F932+"n/&gt;!4`n"</f>
        <v>#VALUE!</v>
      </c>
      <c r="CO422" t="e">
        <f>Asia!G932+"n/&gt;!4`o"</f>
        <v>#VALUE!</v>
      </c>
      <c r="CP422" t="e">
        <f>Asia!H932+"n/&gt;!4`p"</f>
        <v>#VALUE!</v>
      </c>
      <c r="CQ422" t="e">
        <f>Asia!I932+"n/&gt;!4`q"</f>
        <v>#VALUE!</v>
      </c>
      <c r="CR422" t="e">
        <f>Asia!A933+"n/&gt;!4`r"</f>
        <v>#VALUE!</v>
      </c>
      <c r="CS422" t="e">
        <f>Asia!B933+"n/&gt;!4`s"</f>
        <v>#VALUE!</v>
      </c>
      <c r="CT422" t="e">
        <f>Asia!C933+"n/&gt;!4`t"</f>
        <v>#VALUE!</v>
      </c>
      <c r="CU422" t="e">
        <f>Asia!D933+"n/&gt;!4`u"</f>
        <v>#VALUE!</v>
      </c>
      <c r="CV422" t="e">
        <f>Asia!E933+"n/&gt;!4`v"</f>
        <v>#VALUE!</v>
      </c>
      <c r="CW422" t="e">
        <f>Asia!F933+"n/&gt;!4`w"</f>
        <v>#VALUE!</v>
      </c>
      <c r="CX422" t="e">
        <f>Asia!G933+"n/&gt;!4`x"</f>
        <v>#VALUE!</v>
      </c>
      <c r="CY422" t="e">
        <f>Asia!H933+"n/&gt;!4`y"</f>
        <v>#VALUE!</v>
      </c>
      <c r="CZ422" t="e">
        <f>Asia!I933+"n/&gt;!4`z"</f>
        <v>#VALUE!</v>
      </c>
      <c r="DA422" t="e">
        <f>Asia!A934+"n/&gt;!4`{"</f>
        <v>#VALUE!</v>
      </c>
      <c r="DB422" t="e">
        <f>Asia!B934+"n/&gt;!4`|"</f>
        <v>#VALUE!</v>
      </c>
      <c r="DC422" t="e">
        <f>Asia!C934+"n/&gt;!4`}"</f>
        <v>#VALUE!</v>
      </c>
      <c r="DD422" t="e">
        <f>Asia!D934+"n/&gt;!4`~"</f>
        <v>#VALUE!</v>
      </c>
      <c r="DE422" t="e">
        <f>Asia!E934+"n/&gt;!4a#"</f>
        <v>#VALUE!</v>
      </c>
      <c r="DF422" t="e">
        <f>Asia!F934+"n/&gt;!4a$"</f>
        <v>#VALUE!</v>
      </c>
      <c r="DG422" t="e">
        <f>Asia!G934+"n/&gt;!4a%"</f>
        <v>#VALUE!</v>
      </c>
      <c r="DH422" t="e">
        <f>Asia!H934+"n/&gt;!4a&amp;"</f>
        <v>#VALUE!</v>
      </c>
      <c r="DI422" t="e">
        <f>Asia!I934+"n/&gt;!4a'"</f>
        <v>#VALUE!</v>
      </c>
      <c r="DJ422" t="e">
        <f>Asia!A935+"n/&gt;!4a("</f>
        <v>#VALUE!</v>
      </c>
      <c r="DK422" t="e">
        <f>Asia!B935+"n/&gt;!4a)"</f>
        <v>#VALUE!</v>
      </c>
      <c r="DL422" t="e">
        <f>Asia!C935+"n/&gt;!4a."</f>
        <v>#VALUE!</v>
      </c>
      <c r="DM422" t="e">
        <f>Asia!D935+"n/&gt;!4a/"</f>
        <v>#VALUE!</v>
      </c>
      <c r="DN422" t="e">
        <f>Asia!E935+"n/&gt;!4a0"</f>
        <v>#VALUE!</v>
      </c>
      <c r="DO422" t="e">
        <f>Asia!F935+"n/&gt;!4a1"</f>
        <v>#VALUE!</v>
      </c>
      <c r="DP422" t="e">
        <f>Asia!G935+"n/&gt;!4a2"</f>
        <v>#VALUE!</v>
      </c>
      <c r="DQ422" t="e">
        <f>Asia!H935+"n/&gt;!4a3"</f>
        <v>#VALUE!</v>
      </c>
      <c r="DR422" t="e">
        <f>Asia!I935+"n/&gt;!4a4"</f>
        <v>#VALUE!</v>
      </c>
      <c r="DS422" t="e">
        <f>Asia!A936+"n/&gt;!4a5"</f>
        <v>#VALUE!</v>
      </c>
      <c r="DT422" t="e">
        <f>Asia!B936+"n/&gt;!4a6"</f>
        <v>#VALUE!</v>
      </c>
      <c r="DU422" t="e">
        <f>Asia!C936+"n/&gt;!4a7"</f>
        <v>#VALUE!</v>
      </c>
      <c r="DV422" t="e">
        <f>Asia!D936+"n/&gt;!4a8"</f>
        <v>#VALUE!</v>
      </c>
      <c r="DW422" t="e">
        <f>Asia!E936+"n/&gt;!4a9"</f>
        <v>#VALUE!</v>
      </c>
      <c r="DX422" t="e">
        <f>Asia!F936+"n/&gt;!4a:"</f>
        <v>#VALUE!</v>
      </c>
      <c r="DY422" t="e">
        <f>Asia!G936+"n/&gt;!4a;"</f>
        <v>#VALUE!</v>
      </c>
      <c r="DZ422" t="e">
        <f>Asia!H936+"n/&gt;!4a&lt;"</f>
        <v>#VALUE!</v>
      </c>
      <c r="EA422" t="e">
        <f>Asia!I936+"n/&gt;!4a="</f>
        <v>#VALUE!</v>
      </c>
      <c r="EB422" t="e">
        <f>Asia!A937+"n/&gt;!4a&gt;"</f>
        <v>#VALUE!</v>
      </c>
      <c r="EC422" t="e">
        <f>Asia!B937+"n/&gt;!4a?"</f>
        <v>#VALUE!</v>
      </c>
      <c r="ED422" t="e">
        <f>Asia!C937+"n/&gt;!4a@"</f>
        <v>#VALUE!</v>
      </c>
      <c r="EE422" t="e">
        <f>Asia!D937+"n/&gt;!4aA"</f>
        <v>#VALUE!</v>
      </c>
      <c r="EF422" t="e">
        <f>Asia!E937+"n/&gt;!4aB"</f>
        <v>#VALUE!</v>
      </c>
      <c r="EG422" t="e">
        <f>Asia!F937+"n/&gt;!4aC"</f>
        <v>#VALUE!</v>
      </c>
      <c r="EH422" t="e">
        <f>Asia!G937+"n/&gt;!4aD"</f>
        <v>#VALUE!</v>
      </c>
      <c r="EI422" t="e">
        <f>Asia!H937+"n/&gt;!4aE"</f>
        <v>#VALUE!</v>
      </c>
      <c r="EJ422" t="e">
        <f>Asia!I937+"n/&gt;!4aF"</f>
        <v>#VALUE!</v>
      </c>
      <c r="EK422" t="e">
        <f>Asia!A938+"n/&gt;!4aG"</f>
        <v>#VALUE!</v>
      </c>
      <c r="EL422" t="e">
        <f>Asia!B938+"n/&gt;!4aH"</f>
        <v>#VALUE!</v>
      </c>
      <c r="EM422" t="e">
        <f>Asia!C938+"n/&gt;!4aI"</f>
        <v>#VALUE!</v>
      </c>
      <c r="EN422" t="e">
        <f>Asia!D938+"n/&gt;!4aJ"</f>
        <v>#VALUE!</v>
      </c>
      <c r="EO422" t="e">
        <f>Asia!E938+"n/&gt;!4aK"</f>
        <v>#VALUE!</v>
      </c>
      <c r="EP422" t="e">
        <f>Asia!F938+"n/&gt;!4aL"</f>
        <v>#VALUE!</v>
      </c>
      <c r="EQ422" t="e">
        <f>Asia!G938+"n/&gt;!4aM"</f>
        <v>#VALUE!</v>
      </c>
      <c r="ER422" t="e">
        <f>Asia!H938+"n/&gt;!4aN"</f>
        <v>#VALUE!</v>
      </c>
      <c r="ES422" t="e">
        <f>Asia!I938+"n/&gt;!4aO"</f>
        <v>#VALUE!</v>
      </c>
      <c r="ET422" t="e">
        <f>Asia!A939+"n/&gt;!4aP"</f>
        <v>#VALUE!</v>
      </c>
      <c r="EU422" t="e">
        <f>Asia!B939+"n/&gt;!4aQ"</f>
        <v>#VALUE!</v>
      </c>
      <c r="EV422" t="e">
        <f>Asia!C939+"n/&gt;!4aR"</f>
        <v>#VALUE!</v>
      </c>
      <c r="EW422" t="e">
        <f>Asia!D939+"n/&gt;!4aS"</f>
        <v>#VALUE!</v>
      </c>
      <c r="EX422" t="e">
        <f>Asia!E939+"n/&gt;!4aT"</f>
        <v>#VALUE!</v>
      </c>
      <c r="EY422" t="e">
        <f>Asia!F939+"n/&gt;!4aU"</f>
        <v>#VALUE!</v>
      </c>
      <c r="EZ422" t="e">
        <f>Asia!G939+"n/&gt;!4aV"</f>
        <v>#VALUE!</v>
      </c>
      <c r="FA422" t="e">
        <f>Asia!H939+"n/&gt;!4aW"</f>
        <v>#VALUE!</v>
      </c>
      <c r="FB422" t="e">
        <f>Asia!I939+"n/&gt;!4aX"</f>
        <v>#VALUE!</v>
      </c>
      <c r="FC422" t="e">
        <f>Asia!A940+"n/&gt;!4aY"</f>
        <v>#VALUE!</v>
      </c>
      <c r="FD422" t="e">
        <f>Asia!B940+"n/&gt;!4aZ"</f>
        <v>#VALUE!</v>
      </c>
      <c r="FE422" t="e">
        <f>Asia!C940+"n/&gt;!4a["</f>
        <v>#VALUE!</v>
      </c>
      <c r="FF422" t="e">
        <f>Asia!D940+"n/&gt;!4a\"</f>
        <v>#VALUE!</v>
      </c>
      <c r="FG422" t="e">
        <f>Asia!E940+"n/&gt;!4a]"</f>
        <v>#VALUE!</v>
      </c>
      <c r="FH422" t="e">
        <f>Asia!F940+"n/&gt;!4a^"</f>
        <v>#VALUE!</v>
      </c>
      <c r="FI422" t="e">
        <f>Asia!G940+"n/&gt;!4a_"</f>
        <v>#VALUE!</v>
      </c>
      <c r="FJ422" t="e">
        <f>Asia!H940+"n/&gt;!4a`"</f>
        <v>#VALUE!</v>
      </c>
      <c r="FK422" t="e">
        <f>Asia!I940+"n/&gt;!4aa"</f>
        <v>#VALUE!</v>
      </c>
      <c r="FL422" t="e">
        <f>Asia!A941+"n/&gt;!4ab"</f>
        <v>#VALUE!</v>
      </c>
      <c r="FM422" t="e">
        <f>Asia!B941+"n/&gt;!4ac"</f>
        <v>#VALUE!</v>
      </c>
      <c r="FN422" t="e">
        <f>Asia!C941+"n/&gt;!4ad"</f>
        <v>#VALUE!</v>
      </c>
      <c r="FO422" t="e">
        <f>Asia!D941+"n/&gt;!4ae"</f>
        <v>#VALUE!</v>
      </c>
      <c r="FP422" t="e">
        <f>Asia!E941+"n/&gt;!4af"</f>
        <v>#VALUE!</v>
      </c>
      <c r="FQ422" t="e">
        <f>Asia!F941+"n/&gt;!4ag"</f>
        <v>#VALUE!</v>
      </c>
      <c r="FR422" t="e">
        <f>Asia!G941+"n/&gt;!4ah"</f>
        <v>#VALUE!</v>
      </c>
      <c r="FS422" t="e">
        <f>Asia!H941+"n/&gt;!4ai"</f>
        <v>#VALUE!</v>
      </c>
      <c r="FT422" t="e">
        <f>Asia!I941+"n/&gt;!4aj"</f>
        <v>#VALUE!</v>
      </c>
      <c r="FU422" t="e">
        <f>Asia!A942+"n/&gt;!4ak"</f>
        <v>#VALUE!</v>
      </c>
      <c r="FV422" t="e">
        <f>Asia!B942+"n/&gt;!4al"</f>
        <v>#VALUE!</v>
      </c>
      <c r="FW422" t="e">
        <f>Asia!C942+"n/&gt;!4am"</f>
        <v>#VALUE!</v>
      </c>
      <c r="FX422" t="e">
        <f>Asia!D942+"n/&gt;!4an"</f>
        <v>#VALUE!</v>
      </c>
      <c r="FY422" t="e">
        <f>Asia!E942+"n/&gt;!4ao"</f>
        <v>#VALUE!</v>
      </c>
      <c r="FZ422" t="e">
        <f>Asia!F942+"n/&gt;!4ap"</f>
        <v>#VALUE!</v>
      </c>
      <c r="GA422" t="e">
        <f>Asia!G942+"n/&gt;!4aq"</f>
        <v>#VALUE!</v>
      </c>
      <c r="GB422" t="e">
        <f>Asia!H942+"n/&gt;!4ar"</f>
        <v>#VALUE!</v>
      </c>
      <c r="GC422" t="e">
        <f>Asia!I942+"n/&gt;!4as"</f>
        <v>#VALUE!</v>
      </c>
      <c r="GD422" t="e">
        <f>Asia!A943+"n/&gt;!4at"</f>
        <v>#VALUE!</v>
      </c>
      <c r="GE422" t="e">
        <f>Asia!B943+"n/&gt;!4au"</f>
        <v>#VALUE!</v>
      </c>
      <c r="GF422" t="e">
        <f>Asia!C943+"n/&gt;!4av"</f>
        <v>#VALUE!</v>
      </c>
      <c r="GG422" t="e">
        <f>Asia!D943+"n/&gt;!4aw"</f>
        <v>#VALUE!</v>
      </c>
      <c r="GH422" t="e">
        <f>Asia!E943+"n/&gt;!4ax"</f>
        <v>#VALUE!</v>
      </c>
      <c r="GI422" t="e">
        <f>Asia!F943+"n/&gt;!4ay"</f>
        <v>#VALUE!</v>
      </c>
      <c r="GJ422" t="e">
        <f>Asia!G943+"n/&gt;!4az"</f>
        <v>#VALUE!</v>
      </c>
      <c r="GK422" t="e">
        <f>Asia!H943+"n/&gt;!4a{"</f>
        <v>#VALUE!</v>
      </c>
      <c r="GL422" t="e">
        <f>Asia!I943+"n/&gt;!4a|"</f>
        <v>#VALUE!</v>
      </c>
      <c r="GM422" t="e">
        <f>Asia!A944+"n/&gt;!4a}"</f>
        <v>#VALUE!</v>
      </c>
      <c r="GN422" t="e">
        <f>Asia!B944+"n/&gt;!4a~"</f>
        <v>#VALUE!</v>
      </c>
      <c r="GO422" t="e">
        <f>Asia!C944+"n/&gt;!4b#"</f>
        <v>#VALUE!</v>
      </c>
      <c r="GP422" t="e">
        <f>Asia!D944+"n/&gt;!4b$"</f>
        <v>#VALUE!</v>
      </c>
      <c r="GQ422" t="e">
        <f>Asia!E944+"n/&gt;!4b%"</f>
        <v>#VALUE!</v>
      </c>
      <c r="GR422" t="e">
        <f>Asia!F944+"n/&gt;!4b&amp;"</f>
        <v>#VALUE!</v>
      </c>
      <c r="GS422" t="e">
        <f>Asia!G944+"n/&gt;!4b'"</f>
        <v>#VALUE!</v>
      </c>
      <c r="GT422" t="e">
        <f>Asia!H944+"n/&gt;!4b("</f>
        <v>#VALUE!</v>
      </c>
      <c r="GU422" t="e">
        <f>Asia!I944+"n/&gt;!4b)"</f>
        <v>#VALUE!</v>
      </c>
      <c r="GV422" t="e">
        <f>Asia!A945+"n/&gt;!4b."</f>
        <v>#VALUE!</v>
      </c>
      <c r="GW422" t="e">
        <f>Asia!B945+"n/&gt;!4b/"</f>
        <v>#VALUE!</v>
      </c>
      <c r="GX422" t="e">
        <f>Asia!C945+"n/&gt;!4b0"</f>
        <v>#VALUE!</v>
      </c>
      <c r="GY422" t="e">
        <f>Asia!D945+"n/&gt;!4b1"</f>
        <v>#VALUE!</v>
      </c>
      <c r="GZ422" t="e">
        <f>Asia!E945+"n/&gt;!4b2"</f>
        <v>#VALUE!</v>
      </c>
      <c r="HA422" t="e">
        <f>Asia!F945+"n/&gt;!4b3"</f>
        <v>#VALUE!</v>
      </c>
      <c r="HB422" t="e">
        <f>Asia!G945+"n/&gt;!4b4"</f>
        <v>#VALUE!</v>
      </c>
      <c r="HC422" t="e">
        <f>Asia!H945+"n/&gt;!4b5"</f>
        <v>#VALUE!</v>
      </c>
      <c r="HD422" t="e">
        <f>Asia!I945+"n/&gt;!4b6"</f>
        <v>#VALUE!</v>
      </c>
      <c r="HE422" t="e">
        <f>Asia!A946+"n/&gt;!4b7"</f>
        <v>#VALUE!</v>
      </c>
      <c r="HF422" t="e">
        <f>Asia!B946+"n/&gt;!4b8"</f>
        <v>#VALUE!</v>
      </c>
      <c r="HG422" t="e">
        <f>Asia!C946+"n/&gt;!4b9"</f>
        <v>#VALUE!</v>
      </c>
      <c r="HH422" t="e">
        <f>Asia!D946+"n/&gt;!4b:"</f>
        <v>#VALUE!</v>
      </c>
      <c r="HI422" t="e">
        <f>Asia!E946+"n/&gt;!4b;"</f>
        <v>#VALUE!</v>
      </c>
      <c r="HJ422" t="e">
        <f>Asia!F946+"n/&gt;!4b&lt;"</f>
        <v>#VALUE!</v>
      </c>
      <c r="HK422" t="e">
        <f>Asia!G946+"n/&gt;!4b="</f>
        <v>#VALUE!</v>
      </c>
      <c r="HL422" t="e">
        <f>Asia!H946+"n/&gt;!4b&gt;"</f>
        <v>#VALUE!</v>
      </c>
      <c r="HM422" t="e">
        <f>Asia!I946+"n/&gt;!4b?"</f>
        <v>#VALUE!</v>
      </c>
      <c r="HN422" t="e">
        <f>Asia!A947+"n/&gt;!4b@"</f>
        <v>#VALUE!</v>
      </c>
      <c r="HO422" t="e">
        <f>Asia!B947+"n/&gt;!4bA"</f>
        <v>#VALUE!</v>
      </c>
      <c r="HP422" t="e">
        <f>Asia!C947+"n/&gt;!4bB"</f>
        <v>#VALUE!</v>
      </c>
      <c r="HQ422" t="e">
        <f>Asia!D947+"n/&gt;!4bC"</f>
        <v>#VALUE!</v>
      </c>
      <c r="HR422" t="e">
        <f>Asia!E947+"n/&gt;!4bD"</f>
        <v>#VALUE!</v>
      </c>
      <c r="HS422" t="e">
        <f>Asia!F947+"n/&gt;!4bE"</f>
        <v>#VALUE!</v>
      </c>
      <c r="HT422" t="e">
        <f>Asia!G947+"n/&gt;!4bF"</f>
        <v>#VALUE!</v>
      </c>
      <c r="HU422" t="e">
        <f>Asia!H947+"n/&gt;!4bG"</f>
        <v>#VALUE!</v>
      </c>
      <c r="HV422" t="e">
        <f>Asia!I947+"n/&gt;!4bH"</f>
        <v>#VALUE!</v>
      </c>
      <c r="HW422" t="e">
        <f>Asia!A948+"n/&gt;!4bI"</f>
        <v>#VALUE!</v>
      </c>
      <c r="HX422" t="e">
        <f>Asia!B948+"n/&gt;!4bJ"</f>
        <v>#VALUE!</v>
      </c>
      <c r="HY422" t="e">
        <f>Asia!C948+"n/&gt;!4bK"</f>
        <v>#VALUE!</v>
      </c>
      <c r="HZ422" t="e">
        <f>Asia!D948+"n/&gt;!4bL"</f>
        <v>#VALUE!</v>
      </c>
      <c r="IA422" t="e">
        <f>Asia!E948+"n/&gt;!4bM"</f>
        <v>#VALUE!</v>
      </c>
      <c r="IB422" t="e">
        <f>Asia!F948+"n/&gt;!4bN"</f>
        <v>#VALUE!</v>
      </c>
      <c r="IC422" t="e">
        <f>Asia!G948+"n/&gt;!4bO"</f>
        <v>#VALUE!</v>
      </c>
      <c r="ID422" t="e">
        <f>Asia!H948+"n/&gt;!4bP"</f>
        <v>#VALUE!</v>
      </c>
      <c r="IE422" t="e">
        <f>Asia!I948+"n/&gt;!4bQ"</f>
        <v>#VALUE!</v>
      </c>
      <c r="IF422" t="e">
        <f>Asia!A949+"n/&gt;!4bR"</f>
        <v>#VALUE!</v>
      </c>
      <c r="IG422" t="e">
        <f>Asia!B949+"n/&gt;!4bS"</f>
        <v>#VALUE!</v>
      </c>
      <c r="IH422" t="e">
        <f>Asia!C949+"n/&gt;!4bT"</f>
        <v>#VALUE!</v>
      </c>
      <c r="II422" t="e">
        <f>Asia!D949+"n/&gt;!4bU"</f>
        <v>#VALUE!</v>
      </c>
      <c r="IJ422" t="e">
        <f>Asia!E949+"n/&gt;!4bV"</f>
        <v>#VALUE!</v>
      </c>
      <c r="IK422" t="e">
        <f>Asia!F949+"n/&gt;!4bW"</f>
        <v>#VALUE!</v>
      </c>
      <c r="IL422" t="e">
        <f>Asia!G949+"n/&gt;!4bX"</f>
        <v>#VALUE!</v>
      </c>
      <c r="IM422" t="e">
        <f>Asia!H949+"n/&gt;!4bY"</f>
        <v>#VALUE!</v>
      </c>
      <c r="IN422" t="e">
        <f>Asia!I949+"n/&gt;!4bZ"</f>
        <v>#VALUE!</v>
      </c>
      <c r="IO422" t="e">
        <f>Asia!A950+"n/&gt;!4b["</f>
        <v>#VALUE!</v>
      </c>
      <c r="IP422" t="e">
        <f>Asia!B950+"n/&gt;!4b\"</f>
        <v>#VALUE!</v>
      </c>
      <c r="IQ422" t="e">
        <f>Asia!C950+"n/&gt;!4b]"</f>
        <v>#VALUE!</v>
      </c>
      <c r="IR422" t="e">
        <f>Asia!D950+"n/&gt;!4b^"</f>
        <v>#VALUE!</v>
      </c>
      <c r="IS422" t="e">
        <f>Asia!E950+"n/&gt;!4b_"</f>
        <v>#VALUE!</v>
      </c>
      <c r="IT422" t="e">
        <f>Asia!F950+"n/&gt;!4b`"</f>
        <v>#VALUE!</v>
      </c>
      <c r="IU422" t="e">
        <f>Asia!G950+"n/&gt;!4ba"</f>
        <v>#VALUE!</v>
      </c>
      <c r="IV422" t="e">
        <f>Asia!H950+"n/&gt;!4bb"</f>
        <v>#VALUE!</v>
      </c>
    </row>
    <row r="423" spans="6:256" x14ac:dyDescent="0.35">
      <c r="F423" t="e">
        <f>Asia!I950+"n/&gt;!4bc"</f>
        <v>#VALUE!</v>
      </c>
      <c r="G423" t="e">
        <f>Asia!A951+"n/&gt;!4bd"</f>
        <v>#VALUE!</v>
      </c>
      <c r="H423" t="e">
        <f>Asia!B951+"n/&gt;!4be"</f>
        <v>#VALUE!</v>
      </c>
      <c r="I423" t="e">
        <f>Asia!C951+"n/&gt;!4bf"</f>
        <v>#VALUE!</v>
      </c>
      <c r="J423" t="e">
        <f>Asia!D951+"n/&gt;!4bg"</f>
        <v>#VALUE!</v>
      </c>
      <c r="K423" t="e">
        <f>Asia!E951+"n/&gt;!4bh"</f>
        <v>#VALUE!</v>
      </c>
      <c r="L423" t="e">
        <f>Asia!F951+"n/&gt;!4bi"</f>
        <v>#VALUE!</v>
      </c>
      <c r="M423" t="e">
        <f>Asia!G951+"n/&gt;!4bj"</f>
        <v>#VALUE!</v>
      </c>
      <c r="N423" t="e">
        <f>Asia!H951+"n/&gt;!4bk"</f>
        <v>#VALUE!</v>
      </c>
      <c r="O423" t="e">
        <f>Asia!I951+"n/&gt;!4bl"</f>
        <v>#VALUE!</v>
      </c>
      <c r="P423" t="e">
        <f>Asia!A952+"n/&gt;!4bm"</f>
        <v>#VALUE!</v>
      </c>
      <c r="Q423" t="e">
        <f>Asia!B952+"n/&gt;!4bn"</f>
        <v>#VALUE!</v>
      </c>
      <c r="R423" t="e">
        <f>Asia!C952+"n/&gt;!4bo"</f>
        <v>#VALUE!</v>
      </c>
      <c r="S423" t="e">
        <f>Asia!D952+"n/&gt;!4bp"</f>
        <v>#VALUE!</v>
      </c>
      <c r="T423" t="e">
        <f>Asia!E952+"n/&gt;!4bq"</f>
        <v>#VALUE!</v>
      </c>
      <c r="U423" t="e">
        <f>Asia!F952+"n/&gt;!4br"</f>
        <v>#VALUE!</v>
      </c>
      <c r="V423" t="e">
        <f>Asia!G952+"n/&gt;!4bs"</f>
        <v>#VALUE!</v>
      </c>
      <c r="W423" t="e">
        <f>Asia!H952+"n/&gt;!4bt"</f>
        <v>#VALUE!</v>
      </c>
      <c r="X423" t="e">
        <f>Asia!I952+"n/&gt;!4bu"</f>
        <v>#VALUE!</v>
      </c>
      <c r="Y423" t="e">
        <f>Asia!A953+"n/&gt;!4bv"</f>
        <v>#VALUE!</v>
      </c>
      <c r="Z423" t="e">
        <f>Asia!B953+"n/&gt;!4bw"</f>
        <v>#VALUE!</v>
      </c>
      <c r="AA423" t="e">
        <f>Asia!C953+"n/&gt;!4bx"</f>
        <v>#VALUE!</v>
      </c>
      <c r="AB423" t="e">
        <f>Asia!D953+"n/&gt;!4by"</f>
        <v>#VALUE!</v>
      </c>
      <c r="AC423" t="e">
        <f>Asia!E953+"n/&gt;!4bz"</f>
        <v>#VALUE!</v>
      </c>
      <c r="AD423" t="e">
        <f>Asia!F953+"n/&gt;!4b{"</f>
        <v>#VALUE!</v>
      </c>
      <c r="AE423" t="e">
        <f>Asia!G953+"n/&gt;!4b|"</f>
        <v>#VALUE!</v>
      </c>
      <c r="AF423" t="e">
        <f>Asia!H953+"n/&gt;!4b}"</f>
        <v>#VALUE!</v>
      </c>
      <c r="AG423" t="e">
        <f>Asia!I953+"n/&gt;!4b~"</f>
        <v>#VALUE!</v>
      </c>
      <c r="AH423" t="e">
        <f>Asia!A954+"n/&gt;!4c#"</f>
        <v>#VALUE!</v>
      </c>
      <c r="AI423" t="e">
        <f>Asia!B954+"n/&gt;!4c$"</f>
        <v>#VALUE!</v>
      </c>
      <c r="AJ423" t="e">
        <f>Asia!C954+"n/&gt;!4c%"</f>
        <v>#VALUE!</v>
      </c>
      <c r="AK423" t="e">
        <f>Asia!D954+"n/&gt;!4c&amp;"</f>
        <v>#VALUE!</v>
      </c>
      <c r="AL423" t="e">
        <f>Asia!E954+"n/&gt;!4c'"</f>
        <v>#VALUE!</v>
      </c>
      <c r="AM423" t="e">
        <f>Asia!F954+"n/&gt;!4c("</f>
        <v>#VALUE!</v>
      </c>
      <c r="AN423" t="e">
        <f>Asia!G954+"n/&gt;!4c)"</f>
        <v>#VALUE!</v>
      </c>
      <c r="AO423" t="e">
        <f>Asia!H954+"n/&gt;!4c."</f>
        <v>#VALUE!</v>
      </c>
      <c r="AP423" t="e">
        <f>Asia!I954+"n/&gt;!4c/"</f>
        <v>#VALUE!</v>
      </c>
      <c r="AQ423" t="e">
        <f>Asia!A955+"n/&gt;!4c0"</f>
        <v>#VALUE!</v>
      </c>
      <c r="AR423" t="e">
        <f>Asia!B955+"n/&gt;!4c1"</f>
        <v>#VALUE!</v>
      </c>
      <c r="AS423" t="e">
        <f>Asia!C955+"n/&gt;!4c2"</f>
        <v>#VALUE!</v>
      </c>
      <c r="AT423" t="e">
        <f>Asia!D955+"n/&gt;!4c3"</f>
        <v>#VALUE!</v>
      </c>
      <c r="AU423" t="e">
        <f>Asia!E955+"n/&gt;!4c4"</f>
        <v>#VALUE!</v>
      </c>
      <c r="AV423" t="e">
        <f>Asia!F955+"n/&gt;!4c5"</f>
        <v>#VALUE!</v>
      </c>
      <c r="AW423" t="e">
        <f>Asia!G955+"n/&gt;!4c6"</f>
        <v>#VALUE!</v>
      </c>
      <c r="AX423" t="e">
        <f>Asia!H955+"n/&gt;!4c7"</f>
        <v>#VALUE!</v>
      </c>
      <c r="AY423" t="e">
        <f>Asia!I955+"n/&gt;!4c8"</f>
        <v>#VALUE!</v>
      </c>
      <c r="AZ423" t="e">
        <f>Asia!A956+"n/&gt;!4c9"</f>
        <v>#VALUE!</v>
      </c>
      <c r="BA423" t="e">
        <f>Asia!B956+"n/&gt;!4c:"</f>
        <v>#VALUE!</v>
      </c>
      <c r="BB423" t="e">
        <f>Asia!C956+"n/&gt;!4c;"</f>
        <v>#VALUE!</v>
      </c>
      <c r="BC423" t="e">
        <f>Asia!D956+"n/&gt;!4c&lt;"</f>
        <v>#VALUE!</v>
      </c>
      <c r="BD423" t="e">
        <f>Asia!E956+"n/&gt;!4c="</f>
        <v>#VALUE!</v>
      </c>
      <c r="BE423" t="e">
        <f>Asia!F956+"n/&gt;!4c&gt;"</f>
        <v>#VALUE!</v>
      </c>
      <c r="BF423" t="e">
        <f>Asia!G956+"n/&gt;!4c?"</f>
        <v>#VALUE!</v>
      </c>
      <c r="BG423" t="e">
        <f>Asia!H956+"n/&gt;!4c@"</f>
        <v>#VALUE!</v>
      </c>
      <c r="BH423" t="e">
        <f>Asia!I956+"n/&gt;!4cA"</f>
        <v>#VALUE!</v>
      </c>
      <c r="BI423" t="e">
        <f>Asia!A957+"n/&gt;!4cB"</f>
        <v>#VALUE!</v>
      </c>
      <c r="BJ423" t="e">
        <f>Asia!B957+"n/&gt;!4cC"</f>
        <v>#VALUE!</v>
      </c>
      <c r="BK423" t="e">
        <f>Asia!C957+"n/&gt;!4cD"</f>
        <v>#VALUE!</v>
      </c>
      <c r="BL423" t="e">
        <f>Asia!D957+"n/&gt;!4cE"</f>
        <v>#VALUE!</v>
      </c>
      <c r="BM423" t="e">
        <f>Asia!E957+"n/&gt;!4cF"</f>
        <v>#VALUE!</v>
      </c>
      <c r="BN423" t="e">
        <f>Asia!F957+"n/&gt;!4cG"</f>
        <v>#VALUE!</v>
      </c>
      <c r="BO423" t="e">
        <f>Asia!G957+"n/&gt;!4cH"</f>
        <v>#VALUE!</v>
      </c>
      <c r="BP423" t="e">
        <f>Asia!H957+"n/&gt;!4cI"</f>
        <v>#VALUE!</v>
      </c>
      <c r="BQ423" t="e">
        <f>Asia!I957+"n/&gt;!4cJ"</f>
        <v>#VALUE!</v>
      </c>
      <c r="BR423" t="e">
        <f>Asia!A958+"n/&gt;!4cK"</f>
        <v>#VALUE!</v>
      </c>
      <c r="BS423" t="e">
        <f>Asia!B958+"n/&gt;!4cL"</f>
        <v>#VALUE!</v>
      </c>
      <c r="BT423" t="e">
        <f>Asia!C958+"n/&gt;!4cM"</f>
        <v>#VALUE!</v>
      </c>
      <c r="BU423" t="e">
        <f>Asia!D958+"n/&gt;!4cN"</f>
        <v>#VALUE!</v>
      </c>
      <c r="BV423" t="e">
        <f>Asia!E958+"n/&gt;!4cO"</f>
        <v>#VALUE!</v>
      </c>
      <c r="BW423" t="e">
        <f>Asia!F958+"n/&gt;!4cP"</f>
        <v>#VALUE!</v>
      </c>
      <c r="BX423" t="e">
        <f>Asia!G958+"n/&gt;!4cQ"</f>
        <v>#VALUE!</v>
      </c>
      <c r="BY423" t="e">
        <f>Asia!H958+"n/&gt;!4cR"</f>
        <v>#VALUE!</v>
      </c>
      <c r="BZ423" t="e">
        <f>Asia!I958+"n/&gt;!4cS"</f>
        <v>#VALUE!</v>
      </c>
      <c r="CA423" t="e">
        <f>Asia!A959+"n/&gt;!4cT"</f>
        <v>#VALUE!</v>
      </c>
      <c r="CB423" t="e">
        <f>Asia!B959+"n/&gt;!4cU"</f>
        <v>#VALUE!</v>
      </c>
      <c r="CC423" t="e">
        <f>Asia!C959+"n/&gt;!4cV"</f>
        <v>#VALUE!</v>
      </c>
      <c r="CD423" t="e">
        <f>Asia!D959+"n/&gt;!4cW"</f>
        <v>#VALUE!</v>
      </c>
      <c r="CE423" t="e">
        <f>Asia!E959+"n/&gt;!4cX"</f>
        <v>#VALUE!</v>
      </c>
      <c r="CF423" t="e">
        <f>Asia!F959+"n/&gt;!4cY"</f>
        <v>#VALUE!</v>
      </c>
      <c r="CG423" t="e">
        <f>Asia!G959+"n/&gt;!4cZ"</f>
        <v>#VALUE!</v>
      </c>
      <c r="CH423" t="e">
        <f>Asia!H959+"n/&gt;!4c["</f>
        <v>#VALUE!</v>
      </c>
      <c r="CI423" t="e">
        <f>Asia!I959+"n/&gt;!4c\"</f>
        <v>#VALUE!</v>
      </c>
      <c r="CJ423" t="e">
        <f>Asia!A960+"n/&gt;!4c]"</f>
        <v>#VALUE!</v>
      </c>
      <c r="CK423" t="e">
        <f>Asia!B960+"n/&gt;!4c^"</f>
        <v>#VALUE!</v>
      </c>
      <c r="CL423" t="e">
        <f>Asia!C960+"n/&gt;!4c_"</f>
        <v>#VALUE!</v>
      </c>
      <c r="CM423" t="e">
        <f>Asia!D960+"n/&gt;!4c`"</f>
        <v>#VALUE!</v>
      </c>
      <c r="CN423" t="e">
        <f>Asia!E960+"n/&gt;!4ca"</f>
        <v>#VALUE!</v>
      </c>
      <c r="CO423" t="e">
        <f>Asia!F960+"n/&gt;!4cb"</f>
        <v>#VALUE!</v>
      </c>
      <c r="CP423" t="e">
        <f>Asia!G960+"n/&gt;!4cc"</f>
        <v>#VALUE!</v>
      </c>
      <c r="CQ423" t="e">
        <f>Asia!H960+"n/&gt;!4cd"</f>
        <v>#VALUE!</v>
      </c>
      <c r="CR423" t="e">
        <f>Asia!I960+"n/&gt;!4ce"</f>
        <v>#VALUE!</v>
      </c>
      <c r="CS423" t="e">
        <f>Asia!A961+"n/&gt;!4cf"</f>
        <v>#VALUE!</v>
      </c>
      <c r="CT423" t="e">
        <f>Asia!B961+"n/&gt;!4cg"</f>
        <v>#VALUE!</v>
      </c>
      <c r="CU423" t="e">
        <f>Asia!C961+"n/&gt;!4ch"</f>
        <v>#VALUE!</v>
      </c>
      <c r="CV423" t="e">
        <f>Asia!D961+"n/&gt;!4ci"</f>
        <v>#VALUE!</v>
      </c>
      <c r="CW423" t="e">
        <f>Asia!E961+"n/&gt;!4cj"</f>
        <v>#VALUE!</v>
      </c>
      <c r="CX423" t="e">
        <f>Asia!F961+"n/&gt;!4ck"</f>
        <v>#VALUE!</v>
      </c>
      <c r="CY423" t="e">
        <f>Asia!G961+"n/&gt;!4cl"</f>
        <v>#VALUE!</v>
      </c>
      <c r="CZ423" t="e">
        <f>Asia!H961+"n/&gt;!4cm"</f>
        <v>#VALUE!</v>
      </c>
      <c r="DA423" t="e">
        <f>Asia!I961+"n/&gt;!4cn"</f>
        <v>#VALUE!</v>
      </c>
      <c r="DB423" t="e">
        <f>Asia!A962+"n/&gt;!4co"</f>
        <v>#VALUE!</v>
      </c>
      <c r="DC423" t="e">
        <f>Asia!B962+"n/&gt;!4cp"</f>
        <v>#VALUE!</v>
      </c>
      <c r="DD423" t="e">
        <f>Asia!C962+"n/&gt;!4cq"</f>
        <v>#VALUE!</v>
      </c>
      <c r="DE423" t="e">
        <f>Asia!D962+"n/&gt;!4cr"</f>
        <v>#VALUE!</v>
      </c>
      <c r="DF423" t="e">
        <f>Asia!E962+"n/&gt;!4cs"</f>
        <v>#VALUE!</v>
      </c>
      <c r="DG423" t="e">
        <f>Asia!F962+"n/&gt;!4ct"</f>
        <v>#VALUE!</v>
      </c>
      <c r="DH423" t="e">
        <f>Asia!G962+"n/&gt;!4cu"</f>
        <v>#VALUE!</v>
      </c>
      <c r="DI423" t="e">
        <f>Asia!H962+"n/&gt;!4cv"</f>
        <v>#VALUE!</v>
      </c>
      <c r="DJ423" t="e">
        <f>Asia!I962+"n/&gt;!4cw"</f>
        <v>#VALUE!</v>
      </c>
      <c r="DK423" t="e">
        <f>Asia!A963+"n/&gt;!4cx"</f>
        <v>#VALUE!</v>
      </c>
      <c r="DL423" t="e">
        <f>Asia!B963+"n/&gt;!4cy"</f>
        <v>#VALUE!</v>
      </c>
      <c r="DM423" t="e">
        <f>Asia!C963+"n/&gt;!4cz"</f>
        <v>#VALUE!</v>
      </c>
      <c r="DN423" t="e">
        <f>Asia!D963+"n/&gt;!4c{"</f>
        <v>#VALUE!</v>
      </c>
      <c r="DO423" t="e">
        <f>Asia!E963+"n/&gt;!4c|"</f>
        <v>#VALUE!</v>
      </c>
      <c r="DP423" t="e">
        <f>Asia!F963+"n/&gt;!4c}"</f>
        <v>#VALUE!</v>
      </c>
      <c r="DQ423" t="e">
        <f>Asia!G963+"n/&gt;!4c~"</f>
        <v>#VALUE!</v>
      </c>
      <c r="DR423" t="e">
        <f>Asia!H963+"n/&gt;!4d#"</f>
        <v>#VALUE!</v>
      </c>
      <c r="DS423" t="e">
        <f>Asia!I963+"n/&gt;!4d$"</f>
        <v>#VALUE!</v>
      </c>
      <c r="DT423" t="e">
        <f>Asia!A964+"n/&gt;!4d%"</f>
        <v>#VALUE!</v>
      </c>
      <c r="DU423" t="e">
        <f>Asia!B964+"n/&gt;!4d&amp;"</f>
        <v>#VALUE!</v>
      </c>
      <c r="DV423" t="e">
        <f>Asia!C964+"n/&gt;!4d'"</f>
        <v>#VALUE!</v>
      </c>
      <c r="DW423" t="e">
        <f>Asia!D964+"n/&gt;!4d("</f>
        <v>#VALUE!</v>
      </c>
      <c r="DX423" t="e">
        <f>Asia!E964+"n/&gt;!4d)"</f>
        <v>#VALUE!</v>
      </c>
      <c r="DY423" t="e">
        <f>Asia!F964+"n/&gt;!4d."</f>
        <v>#VALUE!</v>
      </c>
      <c r="DZ423" t="e">
        <f>Asia!G964+"n/&gt;!4d/"</f>
        <v>#VALUE!</v>
      </c>
      <c r="EA423" t="e">
        <f>Asia!H964+"n/&gt;!4d0"</f>
        <v>#VALUE!</v>
      </c>
      <c r="EB423" t="e">
        <f>Asia!I964+"n/&gt;!4d1"</f>
        <v>#VALUE!</v>
      </c>
      <c r="EC423" t="e">
        <f>Asia!A965+"n/&gt;!4d2"</f>
        <v>#VALUE!</v>
      </c>
      <c r="ED423" t="e">
        <f>Asia!B965+"n/&gt;!4d3"</f>
        <v>#VALUE!</v>
      </c>
      <c r="EE423" t="e">
        <f>Asia!C965+"n/&gt;!4d4"</f>
        <v>#VALUE!</v>
      </c>
      <c r="EF423" t="e">
        <f>Asia!D965+"n/&gt;!4d5"</f>
        <v>#VALUE!</v>
      </c>
      <c r="EG423" t="e">
        <f>Asia!E965+"n/&gt;!4d6"</f>
        <v>#VALUE!</v>
      </c>
      <c r="EH423" t="e">
        <f>Asia!F965+"n/&gt;!4d7"</f>
        <v>#VALUE!</v>
      </c>
      <c r="EI423" t="e">
        <f>Asia!G965+"n/&gt;!4d8"</f>
        <v>#VALUE!</v>
      </c>
      <c r="EJ423" t="e">
        <f>Asia!H965+"n/&gt;!4d9"</f>
        <v>#VALUE!</v>
      </c>
      <c r="EK423" t="e">
        <f>Asia!I965+"n/&gt;!4d:"</f>
        <v>#VALUE!</v>
      </c>
      <c r="EL423" t="e">
        <f>Asia!A966+"n/&gt;!4d;"</f>
        <v>#VALUE!</v>
      </c>
      <c r="EM423" t="e">
        <f>Asia!B966+"n/&gt;!4d&lt;"</f>
        <v>#VALUE!</v>
      </c>
      <c r="EN423" t="e">
        <f>Asia!C966+"n/&gt;!4d="</f>
        <v>#VALUE!</v>
      </c>
      <c r="EO423" t="e">
        <f>Asia!D966+"n/&gt;!4d&gt;"</f>
        <v>#VALUE!</v>
      </c>
      <c r="EP423" t="e">
        <f>Asia!E966+"n/&gt;!4d?"</f>
        <v>#VALUE!</v>
      </c>
      <c r="EQ423" t="e">
        <f>Asia!F966+"n/&gt;!4d@"</f>
        <v>#VALUE!</v>
      </c>
      <c r="ER423" t="e">
        <f>Asia!G966+"n/&gt;!4dA"</f>
        <v>#VALUE!</v>
      </c>
      <c r="ES423" t="e">
        <f>Asia!H966+"n/&gt;!4dB"</f>
        <v>#VALUE!</v>
      </c>
      <c r="ET423" t="e">
        <f>Asia!I966+"n/&gt;!4dC"</f>
        <v>#VALUE!</v>
      </c>
      <c r="EU423" t="e">
        <f>Asia!A967+"n/&gt;!4dD"</f>
        <v>#VALUE!</v>
      </c>
      <c r="EV423" t="e">
        <f>Asia!B967+"n/&gt;!4dE"</f>
        <v>#VALUE!</v>
      </c>
      <c r="EW423" t="e">
        <f>Asia!C967+"n/&gt;!4dF"</f>
        <v>#VALUE!</v>
      </c>
      <c r="EX423" t="e">
        <f>Asia!D967+"n/&gt;!4dG"</f>
        <v>#VALUE!</v>
      </c>
      <c r="EY423" t="e">
        <f>Asia!E967+"n/&gt;!4dH"</f>
        <v>#VALUE!</v>
      </c>
      <c r="EZ423" t="e">
        <f>Asia!F967+"n/&gt;!4dI"</f>
        <v>#VALUE!</v>
      </c>
      <c r="FA423" t="e">
        <f>Asia!G967+"n/&gt;!4dJ"</f>
        <v>#VALUE!</v>
      </c>
      <c r="FB423" t="e">
        <f>Asia!H967+"n/&gt;!4dK"</f>
        <v>#VALUE!</v>
      </c>
      <c r="FC423" t="e">
        <f>Asia!I967+"n/&gt;!4dL"</f>
        <v>#VALUE!</v>
      </c>
      <c r="FD423" t="e">
        <f>Asia!A968+"n/&gt;!4dM"</f>
        <v>#VALUE!</v>
      </c>
      <c r="FE423" t="e">
        <f>Asia!B968+"n/&gt;!4dN"</f>
        <v>#VALUE!</v>
      </c>
      <c r="FF423" t="e">
        <f>Asia!C968+"n/&gt;!4dO"</f>
        <v>#VALUE!</v>
      </c>
      <c r="FG423" t="e">
        <f>Asia!D968+"n/&gt;!4dP"</f>
        <v>#VALUE!</v>
      </c>
      <c r="FH423" t="e">
        <f>Asia!E968+"n/&gt;!4dQ"</f>
        <v>#VALUE!</v>
      </c>
      <c r="FI423" t="e">
        <f>Asia!F968+"n/&gt;!4dR"</f>
        <v>#VALUE!</v>
      </c>
      <c r="FJ423" t="e">
        <f>Asia!G968+"n/&gt;!4dS"</f>
        <v>#VALUE!</v>
      </c>
      <c r="FK423" t="e">
        <f>Asia!H968+"n/&gt;!4dT"</f>
        <v>#VALUE!</v>
      </c>
      <c r="FL423" t="e">
        <f>Asia!I968+"n/&gt;!4dU"</f>
        <v>#VALUE!</v>
      </c>
      <c r="FM423" t="e">
        <f>Asia!A969+"n/&gt;!4dV"</f>
        <v>#VALUE!</v>
      </c>
      <c r="FN423" t="e">
        <f>Asia!B969+"n/&gt;!4dW"</f>
        <v>#VALUE!</v>
      </c>
      <c r="FO423" t="e">
        <f>Asia!C969+"n/&gt;!4dX"</f>
        <v>#VALUE!</v>
      </c>
      <c r="FP423" t="e">
        <f>Asia!D969+"n/&gt;!4dY"</f>
        <v>#VALUE!</v>
      </c>
      <c r="FQ423" t="e">
        <f>Asia!E969+"n/&gt;!4dZ"</f>
        <v>#VALUE!</v>
      </c>
      <c r="FR423" t="e">
        <f>Asia!F969+"n/&gt;!4d["</f>
        <v>#VALUE!</v>
      </c>
      <c r="FS423" t="e">
        <f>Asia!G969+"n/&gt;!4d\"</f>
        <v>#VALUE!</v>
      </c>
      <c r="FT423" t="e">
        <f>Asia!H969+"n/&gt;!4d]"</f>
        <v>#VALUE!</v>
      </c>
      <c r="FU423" t="e">
        <f>Asia!I969+"n/&gt;!4d^"</f>
        <v>#VALUE!</v>
      </c>
      <c r="FV423" t="e">
        <f>Asia!A970+"n/&gt;!4d_"</f>
        <v>#VALUE!</v>
      </c>
      <c r="FW423" t="e">
        <f>Asia!B970+"n/&gt;!4d`"</f>
        <v>#VALUE!</v>
      </c>
      <c r="FX423" t="e">
        <f>Asia!C970+"n/&gt;!4da"</f>
        <v>#VALUE!</v>
      </c>
      <c r="FY423" t="e">
        <f>Asia!D970+"n/&gt;!4db"</f>
        <v>#VALUE!</v>
      </c>
      <c r="FZ423" t="e">
        <f>Asia!E970+"n/&gt;!4dc"</f>
        <v>#VALUE!</v>
      </c>
      <c r="GA423" t="e">
        <f>Asia!F970+"n/&gt;!4dd"</f>
        <v>#VALUE!</v>
      </c>
      <c r="GB423" t="e">
        <f>Asia!G970+"n/&gt;!4de"</f>
        <v>#VALUE!</v>
      </c>
      <c r="GC423" t="e">
        <f>Asia!H970+"n/&gt;!4df"</f>
        <v>#VALUE!</v>
      </c>
      <c r="GD423" t="e">
        <f>Asia!I970+"n/&gt;!4dg"</f>
        <v>#VALUE!</v>
      </c>
      <c r="GE423" t="e">
        <f>Asia!A971+"n/&gt;!4dh"</f>
        <v>#VALUE!</v>
      </c>
      <c r="GF423" t="e">
        <f>Asia!B971+"n/&gt;!4di"</f>
        <v>#VALUE!</v>
      </c>
      <c r="GG423" t="e">
        <f>Asia!C971+"n/&gt;!4dj"</f>
        <v>#VALUE!</v>
      </c>
      <c r="GH423" t="e">
        <f>Asia!D971+"n/&gt;!4dk"</f>
        <v>#VALUE!</v>
      </c>
      <c r="GI423" t="e">
        <f>Asia!E971+"n/&gt;!4dl"</f>
        <v>#VALUE!</v>
      </c>
      <c r="GJ423" t="e">
        <f>Asia!F971+"n/&gt;!4dm"</f>
        <v>#VALUE!</v>
      </c>
      <c r="GK423" t="e">
        <f>Asia!G971+"n/&gt;!4dn"</f>
        <v>#VALUE!</v>
      </c>
      <c r="GL423" t="e">
        <f>Asia!H971+"n/&gt;!4do"</f>
        <v>#VALUE!</v>
      </c>
      <c r="GM423" t="e">
        <f>Asia!I971+"n/&gt;!4dp"</f>
        <v>#VALUE!</v>
      </c>
      <c r="GN423" t="e">
        <f>Asia!A972+"n/&gt;!4dq"</f>
        <v>#VALUE!</v>
      </c>
      <c r="GO423" t="e">
        <f>Asia!B972+"n/&gt;!4dr"</f>
        <v>#VALUE!</v>
      </c>
      <c r="GP423" t="e">
        <f>Asia!C972+"n/&gt;!4ds"</f>
        <v>#VALUE!</v>
      </c>
      <c r="GQ423" t="e">
        <f>Asia!D972+"n/&gt;!4dt"</f>
        <v>#VALUE!</v>
      </c>
      <c r="GR423" t="e">
        <f>Asia!E972+"n/&gt;!4du"</f>
        <v>#VALUE!</v>
      </c>
      <c r="GS423" t="e">
        <f>Asia!F972+"n/&gt;!4dv"</f>
        <v>#VALUE!</v>
      </c>
      <c r="GT423" t="e">
        <f>Asia!G972+"n/&gt;!4dw"</f>
        <v>#VALUE!</v>
      </c>
      <c r="GU423" t="e">
        <f>Asia!H972+"n/&gt;!4dx"</f>
        <v>#VALUE!</v>
      </c>
      <c r="GV423" t="e">
        <f>Asia!I972+"n/&gt;!4dy"</f>
        <v>#VALUE!</v>
      </c>
      <c r="GW423" t="e">
        <f>Asia!A973+"n/&gt;!4dz"</f>
        <v>#VALUE!</v>
      </c>
      <c r="GX423" t="e">
        <f>Asia!B973+"n/&gt;!4d{"</f>
        <v>#VALUE!</v>
      </c>
      <c r="GY423" t="e">
        <f>Asia!C973+"n/&gt;!4d|"</f>
        <v>#VALUE!</v>
      </c>
      <c r="GZ423" t="e">
        <f>Asia!D973+"n/&gt;!4d}"</f>
        <v>#VALUE!</v>
      </c>
      <c r="HA423" t="e">
        <f>Asia!E973+"n/&gt;!4d~"</f>
        <v>#VALUE!</v>
      </c>
      <c r="HB423" t="e">
        <f>Asia!F973+"n/&gt;!4e#"</f>
        <v>#VALUE!</v>
      </c>
      <c r="HC423" t="e">
        <f>Asia!G973+"n/&gt;!4e$"</f>
        <v>#VALUE!</v>
      </c>
      <c r="HD423" t="e">
        <f>Asia!H973+"n/&gt;!4e%"</f>
        <v>#VALUE!</v>
      </c>
      <c r="HE423" t="e">
        <f>Asia!I973+"n/&gt;!4e&amp;"</f>
        <v>#VALUE!</v>
      </c>
      <c r="HF423" t="e">
        <f>Asia!A974+"n/&gt;!4e'"</f>
        <v>#VALUE!</v>
      </c>
      <c r="HG423" t="e">
        <f>Asia!B974+"n/&gt;!4e("</f>
        <v>#VALUE!</v>
      </c>
      <c r="HH423" t="e">
        <f>Asia!C974+"n/&gt;!4e)"</f>
        <v>#VALUE!</v>
      </c>
      <c r="HI423" t="e">
        <f>Asia!D974+"n/&gt;!4e."</f>
        <v>#VALUE!</v>
      </c>
      <c r="HJ423" t="e">
        <f>Asia!E974+"n/&gt;!4e/"</f>
        <v>#VALUE!</v>
      </c>
      <c r="HK423" t="e">
        <f>Asia!F974+"n/&gt;!4e0"</f>
        <v>#VALUE!</v>
      </c>
      <c r="HL423" t="e">
        <f>Asia!G974+"n/&gt;!4e1"</f>
        <v>#VALUE!</v>
      </c>
      <c r="HM423" t="e">
        <f>Asia!H974+"n/&gt;!4e2"</f>
        <v>#VALUE!</v>
      </c>
      <c r="HN423" t="e">
        <f>Asia!I974+"n/&gt;!4e3"</f>
        <v>#VALUE!</v>
      </c>
      <c r="HO423" t="e">
        <f>Asia!A975+"n/&gt;!4e4"</f>
        <v>#VALUE!</v>
      </c>
      <c r="HP423" t="e">
        <f>Asia!B975+"n/&gt;!4e5"</f>
        <v>#VALUE!</v>
      </c>
      <c r="HQ423" t="e">
        <f>Asia!C975+"n/&gt;!4e6"</f>
        <v>#VALUE!</v>
      </c>
      <c r="HR423" t="e">
        <f>Asia!D975+"n/&gt;!4e7"</f>
        <v>#VALUE!</v>
      </c>
      <c r="HS423" t="e">
        <f>Asia!E975+"n/&gt;!4e8"</f>
        <v>#VALUE!</v>
      </c>
      <c r="HT423" t="e">
        <f>Asia!F975+"n/&gt;!4e9"</f>
        <v>#VALUE!</v>
      </c>
      <c r="HU423" t="e">
        <f>Asia!G975+"n/&gt;!4e:"</f>
        <v>#VALUE!</v>
      </c>
      <c r="HV423" t="e">
        <f>Asia!H975+"n/&gt;!4e;"</f>
        <v>#VALUE!</v>
      </c>
      <c r="HW423" t="e">
        <f>Asia!I975+"n/&gt;!4e&lt;"</f>
        <v>#VALUE!</v>
      </c>
      <c r="HX423" t="e">
        <f>Asia!A976+"n/&gt;!4e="</f>
        <v>#VALUE!</v>
      </c>
      <c r="HY423" t="e">
        <f>Asia!B976+"n/&gt;!4e&gt;"</f>
        <v>#VALUE!</v>
      </c>
      <c r="HZ423" t="e">
        <f>Asia!C976+"n/&gt;!4e?"</f>
        <v>#VALUE!</v>
      </c>
      <c r="IA423" t="e">
        <f>Asia!D976+"n/&gt;!4e@"</f>
        <v>#VALUE!</v>
      </c>
      <c r="IB423" t="e">
        <f>Asia!E976+"n/&gt;!4eA"</f>
        <v>#VALUE!</v>
      </c>
      <c r="IC423" t="e">
        <f>Asia!F976+"n/&gt;!4eB"</f>
        <v>#VALUE!</v>
      </c>
      <c r="ID423" t="e">
        <f>Asia!G976+"n/&gt;!4eC"</f>
        <v>#VALUE!</v>
      </c>
      <c r="IE423" t="e">
        <f>Asia!H976+"n/&gt;!4eD"</f>
        <v>#VALUE!</v>
      </c>
      <c r="IF423" t="e">
        <f>Asia!I976+"n/&gt;!4eE"</f>
        <v>#VALUE!</v>
      </c>
      <c r="IG423" t="e">
        <f>Asia!A977+"n/&gt;!4eF"</f>
        <v>#VALUE!</v>
      </c>
      <c r="IH423" t="e">
        <f>Asia!B977+"n/&gt;!4eG"</f>
        <v>#VALUE!</v>
      </c>
      <c r="II423" t="e">
        <f>Asia!C977+"n/&gt;!4eH"</f>
        <v>#VALUE!</v>
      </c>
      <c r="IJ423" t="e">
        <f>Asia!D977+"n/&gt;!4eI"</f>
        <v>#VALUE!</v>
      </c>
      <c r="IK423" t="e">
        <f>Asia!E977+"n/&gt;!4eJ"</f>
        <v>#VALUE!</v>
      </c>
      <c r="IL423" t="e">
        <f>Asia!F977+"n/&gt;!4eK"</f>
        <v>#VALUE!</v>
      </c>
      <c r="IM423" t="e">
        <f>Asia!G977+"n/&gt;!4eL"</f>
        <v>#VALUE!</v>
      </c>
      <c r="IN423" t="e">
        <f>Asia!H977+"n/&gt;!4eM"</f>
        <v>#VALUE!</v>
      </c>
      <c r="IO423" t="e">
        <f>Asia!I977+"n/&gt;!4eN"</f>
        <v>#VALUE!</v>
      </c>
      <c r="IP423" t="e">
        <f>Asia!A978+"n/&gt;!4eO"</f>
        <v>#VALUE!</v>
      </c>
      <c r="IQ423" t="e">
        <f>Asia!B978+"n/&gt;!4eP"</f>
        <v>#VALUE!</v>
      </c>
      <c r="IR423" t="e">
        <f>Asia!C978+"n/&gt;!4eQ"</f>
        <v>#VALUE!</v>
      </c>
      <c r="IS423" t="e">
        <f>Asia!D978+"n/&gt;!4eR"</f>
        <v>#VALUE!</v>
      </c>
      <c r="IT423" t="e">
        <f>Asia!E978+"n/&gt;!4eS"</f>
        <v>#VALUE!</v>
      </c>
      <c r="IU423" t="e">
        <f>Asia!F978+"n/&gt;!4eT"</f>
        <v>#VALUE!</v>
      </c>
      <c r="IV423" t="e">
        <f>Asia!G978+"n/&gt;!4eU"</f>
        <v>#VALUE!</v>
      </c>
    </row>
    <row r="424" spans="6:256" x14ac:dyDescent="0.35">
      <c r="F424" t="e">
        <f>Asia!H978+"n/&gt;!4eV"</f>
        <v>#VALUE!</v>
      </c>
      <c r="G424" t="e">
        <f>Asia!I978+"n/&gt;!4eW"</f>
        <v>#VALUE!</v>
      </c>
      <c r="H424" t="e">
        <f>Asia!A979+"n/&gt;!4eX"</f>
        <v>#VALUE!</v>
      </c>
      <c r="I424" t="e">
        <f>Asia!B979+"n/&gt;!4eY"</f>
        <v>#VALUE!</v>
      </c>
      <c r="J424" t="e">
        <f>Asia!C979+"n/&gt;!4eZ"</f>
        <v>#VALUE!</v>
      </c>
      <c r="K424" t="e">
        <f>Asia!D979+"n/&gt;!4e["</f>
        <v>#VALUE!</v>
      </c>
      <c r="L424" t="e">
        <f>Asia!E979+"n/&gt;!4e\"</f>
        <v>#VALUE!</v>
      </c>
      <c r="M424" t="e">
        <f>Asia!F979+"n/&gt;!4e]"</f>
        <v>#VALUE!</v>
      </c>
      <c r="N424" t="e">
        <f>Asia!G979+"n/&gt;!4e^"</f>
        <v>#VALUE!</v>
      </c>
      <c r="O424" t="e">
        <f>Asia!H979+"n/&gt;!4e_"</f>
        <v>#VALUE!</v>
      </c>
      <c r="P424" t="e">
        <f>Asia!I979+"n/&gt;!4e`"</f>
        <v>#VALUE!</v>
      </c>
      <c r="Q424" t="e">
        <f>Asia!A980+"n/&gt;!4ea"</f>
        <v>#VALUE!</v>
      </c>
      <c r="R424" t="e">
        <f>Asia!B980+"n/&gt;!4eb"</f>
        <v>#VALUE!</v>
      </c>
      <c r="S424" t="e">
        <f>Asia!C980+"n/&gt;!4ec"</f>
        <v>#VALUE!</v>
      </c>
      <c r="T424" t="e">
        <f>Asia!D980+"n/&gt;!4ed"</f>
        <v>#VALUE!</v>
      </c>
      <c r="U424" t="e">
        <f>Asia!E980+"n/&gt;!4ee"</f>
        <v>#VALUE!</v>
      </c>
      <c r="V424" t="e">
        <f>Asia!F980+"n/&gt;!4ef"</f>
        <v>#VALUE!</v>
      </c>
      <c r="W424" t="e">
        <f>Asia!G980+"n/&gt;!4eg"</f>
        <v>#VALUE!</v>
      </c>
      <c r="X424" t="e">
        <f>Asia!H980+"n/&gt;!4eh"</f>
        <v>#VALUE!</v>
      </c>
      <c r="Y424" t="e">
        <f>Asia!I980+"n/&gt;!4ei"</f>
        <v>#VALUE!</v>
      </c>
      <c r="Z424" t="e">
        <f>Asia!A981+"n/&gt;!4ej"</f>
        <v>#VALUE!</v>
      </c>
      <c r="AA424" t="e">
        <f>Asia!B981+"n/&gt;!4ek"</f>
        <v>#VALUE!</v>
      </c>
      <c r="AB424" t="e">
        <f>Asia!C981+"n/&gt;!4el"</f>
        <v>#VALUE!</v>
      </c>
      <c r="AC424" t="e">
        <f>Asia!D981+"n/&gt;!4em"</f>
        <v>#VALUE!</v>
      </c>
      <c r="AD424" t="e">
        <f>Asia!E981+"n/&gt;!4en"</f>
        <v>#VALUE!</v>
      </c>
      <c r="AE424" t="e">
        <f>Asia!F981+"n/&gt;!4eo"</f>
        <v>#VALUE!</v>
      </c>
      <c r="AF424" t="e">
        <f>Asia!G981+"n/&gt;!4ep"</f>
        <v>#VALUE!</v>
      </c>
      <c r="AG424" t="e">
        <f>Asia!H981+"n/&gt;!4eq"</f>
        <v>#VALUE!</v>
      </c>
      <c r="AH424" t="e">
        <f>Asia!I981+"n/&gt;!4er"</f>
        <v>#VALUE!</v>
      </c>
      <c r="AI424" t="e">
        <f>Asia!A982+"n/&gt;!4es"</f>
        <v>#VALUE!</v>
      </c>
      <c r="AJ424" t="e">
        <f>Asia!B982+"n/&gt;!4et"</f>
        <v>#VALUE!</v>
      </c>
      <c r="AK424" t="e">
        <f>Asia!C982+"n/&gt;!4eu"</f>
        <v>#VALUE!</v>
      </c>
      <c r="AL424" t="e">
        <f>Asia!D982+"n/&gt;!4ev"</f>
        <v>#VALUE!</v>
      </c>
      <c r="AM424" t="e">
        <f>Asia!E982+"n/&gt;!4ew"</f>
        <v>#VALUE!</v>
      </c>
      <c r="AN424" t="e">
        <f>Asia!F982+"n/&gt;!4ex"</f>
        <v>#VALUE!</v>
      </c>
      <c r="AO424" t="e">
        <f>Asia!G982+"n/&gt;!4ey"</f>
        <v>#VALUE!</v>
      </c>
      <c r="AP424" t="e">
        <f>Asia!H982+"n/&gt;!4ez"</f>
        <v>#VALUE!</v>
      </c>
      <c r="AQ424" t="e">
        <f>Asia!I982+"n/&gt;!4e{"</f>
        <v>#VALUE!</v>
      </c>
      <c r="AR424" t="e">
        <f>Asia!A983+"n/&gt;!4e|"</f>
        <v>#VALUE!</v>
      </c>
      <c r="AS424" t="e">
        <f>Asia!B983+"n/&gt;!4e}"</f>
        <v>#VALUE!</v>
      </c>
      <c r="AT424" t="e">
        <f>Asia!C983+"n/&gt;!4e~"</f>
        <v>#VALUE!</v>
      </c>
      <c r="AU424" t="e">
        <f>Asia!D983+"n/&gt;!4f#"</f>
        <v>#VALUE!</v>
      </c>
      <c r="AV424" t="e">
        <f>Asia!E983+"n/&gt;!4f$"</f>
        <v>#VALUE!</v>
      </c>
      <c r="AW424" t="e">
        <f>Asia!F983+"n/&gt;!4f%"</f>
        <v>#VALUE!</v>
      </c>
      <c r="AX424" t="e">
        <f>Asia!G983+"n/&gt;!4f&amp;"</f>
        <v>#VALUE!</v>
      </c>
      <c r="AY424" t="e">
        <f>Asia!H983+"n/&gt;!4f'"</f>
        <v>#VALUE!</v>
      </c>
      <c r="AZ424" t="e">
        <f>Asia!I983+"n/&gt;!4f("</f>
        <v>#VALUE!</v>
      </c>
      <c r="BA424" t="e">
        <f>Asia!A984+"n/&gt;!4f)"</f>
        <v>#VALUE!</v>
      </c>
      <c r="BB424" t="e">
        <f>Asia!B984+"n/&gt;!4f."</f>
        <v>#VALUE!</v>
      </c>
      <c r="BC424" t="e">
        <f>Asia!C984+"n/&gt;!4f/"</f>
        <v>#VALUE!</v>
      </c>
      <c r="BD424" t="e">
        <f>Asia!D984+"n/&gt;!4f0"</f>
        <v>#VALUE!</v>
      </c>
      <c r="BE424" t="e">
        <f>Asia!E984+"n/&gt;!4f1"</f>
        <v>#VALUE!</v>
      </c>
      <c r="BF424" t="e">
        <f>Asia!F984+"n/&gt;!4f2"</f>
        <v>#VALUE!</v>
      </c>
      <c r="BG424" t="e">
        <f>Asia!G984+"n/&gt;!4f3"</f>
        <v>#VALUE!</v>
      </c>
      <c r="BH424" t="e">
        <f>Asia!H984+"n/&gt;!4f4"</f>
        <v>#VALUE!</v>
      </c>
      <c r="BI424" t="e">
        <f>Asia!I984+"n/&gt;!4f5"</f>
        <v>#VALUE!</v>
      </c>
      <c r="BJ424" t="e">
        <f>Asia!A985+"n/&gt;!4f6"</f>
        <v>#VALUE!</v>
      </c>
      <c r="BK424" t="e">
        <f>Asia!B985+"n/&gt;!4f7"</f>
        <v>#VALUE!</v>
      </c>
      <c r="BL424" t="e">
        <f>Asia!C985+"n/&gt;!4f8"</f>
        <v>#VALUE!</v>
      </c>
      <c r="BM424" t="e">
        <f>Asia!D985+"n/&gt;!4f9"</f>
        <v>#VALUE!</v>
      </c>
      <c r="BN424" t="e">
        <f>Asia!E985+"n/&gt;!4f:"</f>
        <v>#VALUE!</v>
      </c>
      <c r="BO424" t="e">
        <f>Asia!F985+"n/&gt;!4f;"</f>
        <v>#VALUE!</v>
      </c>
      <c r="BP424" t="e">
        <f>Asia!G985+"n/&gt;!4f&lt;"</f>
        <v>#VALUE!</v>
      </c>
      <c r="BQ424" t="e">
        <f>Asia!H985+"n/&gt;!4f="</f>
        <v>#VALUE!</v>
      </c>
      <c r="BR424" t="e">
        <f>Asia!I985+"n/&gt;!4f&gt;"</f>
        <v>#VALUE!</v>
      </c>
      <c r="BS424" t="e">
        <f>Asia!A986+"n/&gt;!4f?"</f>
        <v>#VALUE!</v>
      </c>
      <c r="BT424" t="e">
        <f>Asia!B986+"n/&gt;!4f@"</f>
        <v>#VALUE!</v>
      </c>
      <c r="BU424" t="e">
        <f>Asia!C986+"n/&gt;!4fA"</f>
        <v>#VALUE!</v>
      </c>
      <c r="BV424" t="e">
        <f>Asia!D986+"n/&gt;!4fB"</f>
        <v>#VALUE!</v>
      </c>
      <c r="BW424" t="e">
        <f>Asia!E986+"n/&gt;!4fC"</f>
        <v>#VALUE!</v>
      </c>
      <c r="BX424" t="e">
        <f>Asia!F986+"n/&gt;!4fD"</f>
        <v>#VALUE!</v>
      </c>
      <c r="BY424" t="e">
        <f>Asia!G986+"n/&gt;!4fE"</f>
        <v>#VALUE!</v>
      </c>
      <c r="BZ424" t="e">
        <f>Asia!H986+"n/&gt;!4fF"</f>
        <v>#VALUE!</v>
      </c>
      <c r="CA424" t="e">
        <f>Asia!I986+"n/&gt;!4fG"</f>
        <v>#VALUE!</v>
      </c>
      <c r="CB424" t="e">
        <f>Asia!A987+"n/&gt;!4fH"</f>
        <v>#VALUE!</v>
      </c>
      <c r="CC424" t="e">
        <f>Asia!B987+"n/&gt;!4fI"</f>
        <v>#VALUE!</v>
      </c>
      <c r="CD424" t="e">
        <f>Asia!C987+"n/&gt;!4fJ"</f>
        <v>#VALUE!</v>
      </c>
      <c r="CE424" t="e">
        <f>Asia!D987+"n/&gt;!4fK"</f>
        <v>#VALUE!</v>
      </c>
      <c r="CF424" t="e">
        <f>Asia!E987+"n/&gt;!4fL"</f>
        <v>#VALUE!</v>
      </c>
      <c r="CG424" t="e">
        <f>Asia!F987+"n/&gt;!4fM"</f>
        <v>#VALUE!</v>
      </c>
      <c r="CH424" t="e">
        <f>Asia!G987+"n/&gt;!4fN"</f>
        <v>#VALUE!</v>
      </c>
      <c r="CI424" t="e">
        <f>Asia!H987+"n/&gt;!4fO"</f>
        <v>#VALUE!</v>
      </c>
      <c r="CJ424" t="e">
        <f>Asia!I987+"n/&gt;!4fP"</f>
        <v>#VALUE!</v>
      </c>
      <c r="CK424" t="e">
        <f>Asia!A988+"n/&gt;!4fQ"</f>
        <v>#VALUE!</v>
      </c>
      <c r="CL424" t="e">
        <f>Asia!B988+"n/&gt;!4fR"</f>
        <v>#VALUE!</v>
      </c>
      <c r="CM424" t="e">
        <f>Asia!C988+"n/&gt;!4fS"</f>
        <v>#VALUE!</v>
      </c>
      <c r="CN424" t="e">
        <f>Asia!D988+"n/&gt;!4fT"</f>
        <v>#VALUE!</v>
      </c>
      <c r="CO424" t="e">
        <f>Asia!E988+"n/&gt;!4fU"</f>
        <v>#VALUE!</v>
      </c>
      <c r="CP424" t="e">
        <f>Asia!F988+"n/&gt;!4fV"</f>
        <v>#VALUE!</v>
      </c>
      <c r="CQ424" t="e">
        <f>Asia!G988+"n/&gt;!4fW"</f>
        <v>#VALUE!</v>
      </c>
      <c r="CR424" t="e">
        <f>Asia!H988+"n/&gt;!4fX"</f>
        <v>#VALUE!</v>
      </c>
      <c r="CS424" t="e">
        <f>Asia!I988+"n/&gt;!4fY"</f>
        <v>#VALUE!</v>
      </c>
      <c r="CT424" t="e">
        <f>Asia!A989+"n/&gt;!4fZ"</f>
        <v>#VALUE!</v>
      </c>
      <c r="CU424" t="e">
        <f>Asia!B989+"n/&gt;!4f["</f>
        <v>#VALUE!</v>
      </c>
      <c r="CV424" t="e">
        <f>Asia!C989+"n/&gt;!4f\"</f>
        <v>#VALUE!</v>
      </c>
      <c r="CW424" t="e">
        <f>Asia!D989+"n/&gt;!4f]"</f>
        <v>#VALUE!</v>
      </c>
      <c r="CX424" t="e">
        <f>Asia!E989+"n/&gt;!4f^"</f>
        <v>#VALUE!</v>
      </c>
      <c r="CY424" t="e">
        <f>Asia!F989+"n/&gt;!4f_"</f>
        <v>#VALUE!</v>
      </c>
      <c r="CZ424" t="e">
        <f>Asia!G989+"n/&gt;!4f`"</f>
        <v>#VALUE!</v>
      </c>
      <c r="DA424" t="e">
        <f>Asia!H989+"n/&gt;!4fa"</f>
        <v>#VALUE!</v>
      </c>
      <c r="DB424" t="e">
        <f>Asia!I989+"n/&gt;!4fb"</f>
        <v>#VALUE!</v>
      </c>
      <c r="DC424" t="e">
        <f>Asia!A990+"n/&gt;!4fc"</f>
        <v>#VALUE!</v>
      </c>
      <c r="DD424" t="e">
        <f>Asia!B990+"n/&gt;!4fd"</f>
        <v>#VALUE!</v>
      </c>
      <c r="DE424" t="e">
        <f>Asia!C990+"n/&gt;!4fe"</f>
        <v>#VALUE!</v>
      </c>
      <c r="DF424" t="e">
        <f>Asia!D990+"n/&gt;!4ff"</f>
        <v>#VALUE!</v>
      </c>
      <c r="DG424" t="e">
        <f>Asia!E990+"n/&gt;!4fg"</f>
        <v>#VALUE!</v>
      </c>
      <c r="DH424" t="e">
        <f>Asia!F990+"n/&gt;!4fh"</f>
        <v>#VALUE!</v>
      </c>
      <c r="DI424" t="e">
        <f>Asia!G990+"n/&gt;!4fi"</f>
        <v>#VALUE!</v>
      </c>
      <c r="DJ424" t="e">
        <f>Asia!H990+"n/&gt;!4fj"</f>
        <v>#VALUE!</v>
      </c>
      <c r="DK424" t="e">
        <f>Asia!I990+"n/&gt;!4fk"</f>
        <v>#VALUE!</v>
      </c>
      <c r="DL424" t="e">
        <f>Asia!A991+"n/&gt;!4fl"</f>
        <v>#VALUE!</v>
      </c>
      <c r="DM424" t="e">
        <f>Asia!B991+"n/&gt;!4fm"</f>
        <v>#VALUE!</v>
      </c>
      <c r="DN424" t="e">
        <f>Asia!C991+"n/&gt;!4fn"</f>
        <v>#VALUE!</v>
      </c>
      <c r="DO424" t="e">
        <f>Asia!D991+"n/&gt;!4fo"</f>
        <v>#VALUE!</v>
      </c>
      <c r="DP424" t="e">
        <f>Asia!E991+"n/&gt;!4fp"</f>
        <v>#VALUE!</v>
      </c>
      <c r="DQ424" t="e">
        <f>Asia!F991+"n/&gt;!4fq"</f>
        <v>#VALUE!</v>
      </c>
      <c r="DR424" t="e">
        <f>Asia!G991+"n/&gt;!4fr"</f>
        <v>#VALUE!</v>
      </c>
      <c r="DS424" t="e">
        <f>Asia!H991+"n/&gt;!4fs"</f>
        <v>#VALUE!</v>
      </c>
      <c r="DT424" t="e">
        <f>Asia!I991+"n/&gt;!4ft"</f>
        <v>#VALUE!</v>
      </c>
      <c r="DU424" t="e">
        <f>Asia!A992+"n/&gt;!4fu"</f>
        <v>#VALUE!</v>
      </c>
      <c r="DV424" t="e">
        <f>Asia!B992+"n/&gt;!4fv"</f>
        <v>#VALUE!</v>
      </c>
      <c r="DW424" t="e">
        <f>Asia!C992+"n/&gt;!4fw"</f>
        <v>#VALUE!</v>
      </c>
      <c r="DX424" t="e">
        <f>Asia!D992+"n/&gt;!4fx"</f>
        <v>#VALUE!</v>
      </c>
      <c r="DY424" t="e">
        <f>Asia!E992+"n/&gt;!4fy"</f>
        <v>#VALUE!</v>
      </c>
      <c r="DZ424" t="e">
        <f>Asia!F992+"n/&gt;!4fz"</f>
        <v>#VALUE!</v>
      </c>
      <c r="EA424" t="e">
        <f>Asia!G992+"n/&gt;!4f{"</f>
        <v>#VALUE!</v>
      </c>
      <c r="EB424" t="e">
        <f>Asia!H992+"n/&gt;!4f|"</f>
        <v>#VALUE!</v>
      </c>
      <c r="EC424" t="e">
        <f>Asia!I992+"n/&gt;!4f}"</f>
        <v>#VALUE!</v>
      </c>
      <c r="ED424" t="e">
        <f>Asia!A993+"n/&gt;!4f~"</f>
        <v>#VALUE!</v>
      </c>
      <c r="EE424" t="e">
        <f>Asia!B993+"n/&gt;!4g#"</f>
        <v>#VALUE!</v>
      </c>
      <c r="EF424" t="e">
        <f>Asia!C993+"n/&gt;!4g$"</f>
        <v>#VALUE!</v>
      </c>
      <c r="EG424" t="e">
        <f>Asia!D993+"n/&gt;!4g%"</f>
        <v>#VALUE!</v>
      </c>
      <c r="EH424" t="e">
        <f>Asia!E993+"n/&gt;!4g&amp;"</f>
        <v>#VALUE!</v>
      </c>
      <c r="EI424" t="e">
        <f>Asia!F993+"n/&gt;!4g'"</f>
        <v>#VALUE!</v>
      </c>
      <c r="EJ424" t="e">
        <f>Asia!G993+"n/&gt;!4g("</f>
        <v>#VALUE!</v>
      </c>
      <c r="EK424" t="e">
        <f>Asia!H993+"n/&gt;!4g)"</f>
        <v>#VALUE!</v>
      </c>
      <c r="EL424" t="e">
        <f>Asia!I993+"n/&gt;!4g."</f>
        <v>#VALUE!</v>
      </c>
      <c r="EM424" t="e">
        <f>Asia!A994+"n/&gt;!4g/"</f>
        <v>#VALUE!</v>
      </c>
      <c r="EN424" t="e">
        <f>Asia!B994+"n/&gt;!4g0"</f>
        <v>#VALUE!</v>
      </c>
      <c r="EO424" t="e">
        <f>Asia!C994+"n/&gt;!4g1"</f>
        <v>#VALUE!</v>
      </c>
      <c r="EP424" t="e">
        <f>Asia!D994+"n/&gt;!4g2"</f>
        <v>#VALUE!</v>
      </c>
      <c r="EQ424" t="e">
        <f>Asia!E994+"n/&gt;!4g3"</f>
        <v>#VALUE!</v>
      </c>
      <c r="ER424" t="e">
        <f>Asia!F994+"n/&gt;!4g4"</f>
        <v>#VALUE!</v>
      </c>
      <c r="ES424" t="e">
        <f>Asia!G994+"n/&gt;!4g5"</f>
        <v>#VALUE!</v>
      </c>
      <c r="ET424" t="e">
        <f>Asia!H994+"n/&gt;!4g6"</f>
        <v>#VALUE!</v>
      </c>
      <c r="EU424" t="e">
        <f>Asia!I994+"n/&gt;!4g7"</f>
        <v>#VALUE!</v>
      </c>
      <c r="EV424" t="e">
        <f>Asia!A995+"n/&gt;!4g8"</f>
        <v>#VALUE!</v>
      </c>
      <c r="EW424" t="e">
        <f>Asia!B995+"n/&gt;!4g9"</f>
        <v>#VALUE!</v>
      </c>
      <c r="EX424" t="e">
        <f>Asia!C995+"n/&gt;!4g:"</f>
        <v>#VALUE!</v>
      </c>
      <c r="EY424" t="e">
        <f>Asia!D995+"n/&gt;!4g;"</f>
        <v>#VALUE!</v>
      </c>
      <c r="EZ424" t="e">
        <f>Asia!E995+"n/&gt;!4g&lt;"</f>
        <v>#VALUE!</v>
      </c>
      <c r="FA424" t="e">
        <f>Asia!F995+"n/&gt;!4g="</f>
        <v>#VALUE!</v>
      </c>
      <c r="FB424" t="e">
        <f>Asia!G995+"n/&gt;!4g&gt;"</f>
        <v>#VALUE!</v>
      </c>
      <c r="FC424" t="e">
        <f>Asia!H995+"n/&gt;!4g?"</f>
        <v>#VALUE!</v>
      </c>
      <c r="FD424" t="e">
        <f>Asia!I995+"n/&gt;!4g@"</f>
        <v>#VALUE!</v>
      </c>
      <c r="FE424" t="e">
        <f>Asia!A996+"n/&gt;!4gA"</f>
        <v>#VALUE!</v>
      </c>
      <c r="FF424" t="e">
        <f>Asia!B996+"n/&gt;!4gB"</f>
        <v>#VALUE!</v>
      </c>
      <c r="FG424" t="e">
        <f>Asia!C996+"n/&gt;!4gC"</f>
        <v>#VALUE!</v>
      </c>
      <c r="FH424" t="e">
        <f>Asia!D996+"n/&gt;!4gD"</f>
        <v>#VALUE!</v>
      </c>
      <c r="FI424" t="e">
        <f>Asia!E996+"n/&gt;!4gE"</f>
        <v>#VALUE!</v>
      </c>
      <c r="FJ424" t="e">
        <f>Asia!F996+"n/&gt;!4gF"</f>
        <v>#VALUE!</v>
      </c>
      <c r="FK424" t="e">
        <f>Asia!G996+"n/&gt;!4gG"</f>
        <v>#VALUE!</v>
      </c>
      <c r="FL424" t="e">
        <f>Asia!H996+"n/&gt;!4gH"</f>
        <v>#VALUE!</v>
      </c>
      <c r="FM424" t="e">
        <f>Asia!I996+"n/&gt;!4gI"</f>
        <v>#VALUE!</v>
      </c>
      <c r="FN424" t="e">
        <f>Asia!A997+"n/&gt;!4gJ"</f>
        <v>#VALUE!</v>
      </c>
      <c r="FO424" t="e">
        <f>Asia!B997+"n/&gt;!4gK"</f>
        <v>#VALUE!</v>
      </c>
      <c r="FP424" t="e">
        <f>Asia!C997+"n/&gt;!4gL"</f>
        <v>#VALUE!</v>
      </c>
      <c r="FQ424" t="e">
        <f>Asia!D997+"n/&gt;!4gM"</f>
        <v>#VALUE!</v>
      </c>
      <c r="FR424" t="e">
        <f>Asia!E997+"n/&gt;!4gN"</f>
        <v>#VALUE!</v>
      </c>
      <c r="FS424" t="e">
        <f>Asia!F997+"n/&gt;!4gO"</f>
        <v>#VALUE!</v>
      </c>
      <c r="FT424" t="e">
        <f>Asia!G997+"n/&gt;!4gP"</f>
        <v>#VALUE!</v>
      </c>
      <c r="FU424" t="e">
        <f>Asia!H997+"n/&gt;!4gQ"</f>
        <v>#VALUE!</v>
      </c>
      <c r="FV424" t="e">
        <f>Asia!I997+"n/&gt;!4gR"</f>
        <v>#VALUE!</v>
      </c>
      <c r="FW424" t="e">
        <f>Asia!A998+"n/&gt;!4gS"</f>
        <v>#VALUE!</v>
      </c>
      <c r="FX424" t="e">
        <f>Asia!B998+"n/&gt;!4gT"</f>
        <v>#VALUE!</v>
      </c>
      <c r="FY424" t="e">
        <f>Asia!C998+"n/&gt;!4gU"</f>
        <v>#VALUE!</v>
      </c>
      <c r="FZ424" t="e">
        <f>Asia!D998+"n/&gt;!4gV"</f>
        <v>#VALUE!</v>
      </c>
      <c r="GA424" t="e">
        <f>Asia!E998+"n/&gt;!4gW"</f>
        <v>#VALUE!</v>
      </c>
      <c r="GB424" t="e">
        <f>Asia!F998+"n/&gt;!4gX"</f>
        <v>#VALUE!</v>
      </c>
      <c r="GC424" t="e">
        <f>Asia!G998+"n/&gt;!4gY"</f>
        <v>#VALUE!</v>
      </c>
      <c r="GD424" t="e">
        <f>Asia!H998+"n/&gt;!4gZ"</f>
        <v>#VALUE!</v>
      </c>
      <c r="GE424" t="e">
        <f>Asia!I998+"n/&gt;!4g["</f>
        <v>#VALUE!</v>
      </c>
      <c r="GF424" t="e">
        <f>Asia!A999+"n/&gt;!4g\"</f>
        <v>#VALUE!</v>
      </c>
      <c r="GG424" t="e">
        <f>Asia!B999+"n/&gt;!4g]"</f>
        <v>#VALUE!</v>
      </c>
      <c r="GH424" t="e">
        <f>Asia!C999+"n/&gt;!4g^"</f>
        <v>#VALUE!</v>
      </c>
      <c r="GI424" t="e">
        <f>Asia!D999+"n/&gt;!4g_"</f>
        <v>#VALUE!</v>
      </c>
      <c r="GJ424" t="e">
        <f>Asia!E999+"n/&gt;!4g`"</f>
        <v>#VALUE!</v>
      </c>
      <c r="GK424" t="e">
        <f>Asia!F999+"n/&gt;!4ga"</f>
        <v>#VALUE!</v>
      </c>
      <c r="GL424" t="e">
        <f>Asia!G999+"n/&gt;!4gb"</f>
        <v>#VALUE!</v>
      </c>
      <c r="GM424" t="e">
        <f>Asia!H999+"n/&gt;!4gc"</f>
        <v>#VALUE!</v>
      </c>
      <c r="GN424" t="e">
        <f>Asia!I999+"n/&gt;!4gd"</f>
        <v>#VALUE!</v>
      </c>
      <c r="GO424" t="e">
        <f>Asia!A1000+"n/&gt;!4ge"</f>
        <v>#VALUE!</v>
      </c>
      <c r="GP424" t="e">
        <f>Asia!B1000+"n/&gt;!4gf"</f>
        <v>#VALUE!</v>
      </c>
      <c r="GQ424" t="e">
        <f>Asia!C1000+"n/&gt;!4gg"</f>
        <v>#VALUE!</v>
      </c>
      <c r="GR424" t="e">
        <f>Asia!D1000+"n/&gt;!4gh"</f>
        <v>#VALUE!</v>
      </c>
      <c r="GS424" t="e">
        <f>Asia!E1000+"n/&gt;!4gi"</f>
        <v>#VALUE!</v>
      </c>
      <c r="GT424" t="e">
        <f>Asia!F1000+"n/&gt;!4gj"</f>
        <v>#VALUE!</v>
      </c>
      <c r="GU424" t="e">
        <f>Asia!G1000+"n/&gt;!4gk"</f>
        <v>#VALUE!</v>
      </c>
      <c r="GV424" t="e">
        <f>Asia!H1000+"n/&gt;!4gl"</f>
        <v>#VALUE!</v>
      </c>
      <c r="GW424" t="e">
        <f>Asia!I1000+"n/&gt;!4gm"</f>
        <v>#VALUE!</v>
      </c>
      <c r="GX424" t="e">
        <f>Asia!A1001+"n/&gt;!4gn"</f>
        <v>#VALUE!</v>
      </c>
      <c r="GY424" t="e">
        <f>Asia!B1001+"n/&gt;!4go"</f>
        <v>#VALUE!</v>
      </c>
      <c r="GZ424" t="e">
        <f>Asia!C1001+"n/&gt;!4gp"</f>
        <v>#VALUE!</v>
      </c>
      <c r="HA424" t="e">
        <f>Asia!D1001+"n/&gt;!4gq"</f>
        <v>#VALUE!</v>
      </c>
      <c r="HB424" t="e">
        <f>Asia!E1001+"n/&gt;!4gr"</f>
        <v>#VALUE!</v>
      </c>
      <c r="HC424" t="e">
        <f>Asia!F1001+"n/&gt;!4gs"</f>
        <v>#VALUE!</v>
      </c>
      <c r="HD424" t="e">
        <f>Asia!G1001+"n/&gt;!4gt"</f>
        <v>#VALUE!</v>
      </c>
      <c r="HE424" t="e">
        <f>Asia!H1001+"n/&gt;!4gu"</f>
        <v>#VALUE!</v>
      </c>
      <c r="HF424" t="e">
        <f>Asia!I1001+"n/&gt;!4gv"</f>
        <v>#VALUE!</v>
      </c>
      <c r="HG424" t="e">
        <f>Asia!A1002+"n/&gt;!4gw"</f>
        <v>#VALUE!</v>
      </c>
      <c r="HH424" t="e">
        <f>Asia!B1002+"n/&gt;!4gx"</f>
        <v>#VALUE!</v>
      </c>
      <c r="HI424" t="e">
        <f>Asia!C1002+"n/&gt;!4gy"</f>
        <v>#VALUE!</v>
      </c>
      <c r="HJ424" t="e">
        <f>Asia!D1002+"n/&gt;!4gz"</f>
        <v>#VALUE!</v>
      </c>
      <c r="HK424" t="e">
        <f>Asia!E1002+"n/&gt;!4g{"</f>
        <v>#VALUE!</v>
      </c>
      <c r="HL424" t="e">
        <f>Asia!F1002+"n/&gt;!4g|"</f>
        <v>#VALUE!</v>
      </c>
      <c r="HM424" t="e">
        <f>Asia!G1002+"n/&gt;!4g}"</f>
        <v>#VALUE!</v>
      </c>
      <c r="HN424" t="e">
        <f>Asia!H1002+"n/&gt;!4g~"</f>
        <v>#VALUE!</v>
      </c>
      <c r="HO424" t="e">
        <f>Asia!I1002+"n/&gt;!4h#"</f>
        <v>#VALUE!</v>
      </c>
      <c r="HP424" t="e">
        <f>Asia!A1003+"n/&gt;!4h$"</f>
        <v>#VALUE!</v>
      </c>
      <c r="HQ424" t="e">
        <f>Asia!B1003+"n/&gt;!4h%"</f>
        <v>#VALUE!</v>
      </c>
      <c r="HR424" t="e">
        <f>Asia!C1003+"n/&gt;!4h&amp;"</f>
        <v>#VALUE!</v>
      </c>
      <c r="HS424" t="e">
        <f>Asia!D1003+"n/&gt;!4h'"</f>
        <v>#VALUE!</v>
      </c>
      <c r="HT424" t="e">
        <f>Asia!E1003+"n/&gt;!4h("</f>
        <v>#VALUE!</v>
      </c>
      <c r="HU424" t="e">
        <f>Asia!F1003+"n/&gt;!4h)"</f>
        <v>#VALUE!</v>
      </c>
      <c r="HV424" t="e">
        <f>Asia!G1003+"n/&gt;!4h."</f>
        <v>#VALUE!</v>
      </c>
      <c r="HW424" t="e">
        <f>Asia!H1003+"n/&gt;!4h/"</f>
        <v>#VALUE!</v>
      </c>
      <c r="HX424" t="e">
        <f>Asia!I1003+"n/&gt;!4h0"</f>
        <v>#VALUE!</v>
      </c>
      <c r="HY424" t="e">
        <f>Asia!A1004+"n/&gt;!4h1"</f>
        <v>#VALUE!</v>
      </c>
      <c r="HZ424" t="e">
        <f>Asia!B1004+"n/&gt;!4h2"</f>
        <v>#VALUE!</v>
      </c>
      <c r="IA424" t="e">
        <f>Asia!C1004+"n/&gt;!4h3"</f>
        <v>#VALUE!</v>
      </c>
      <c r="IB424" t="e">
        <f>Asia!D1004+"n/&gt;!4h4"</f>
        <v>#VALUE!</v>
      </c>
      <c r="IC424" t="e">
        <f>Asia!E1004+"n/&gt;!4h5"</f>
        <v>#VALUE!</v>
      </c>
      <c r="ID424" t="e">
        <f>Asia!F1004+"n/&gt;!4h6"</f>
        <v>#VALUE!</v>
      </c>
      <c r="IE424" t="e">
        <f>Asia!G1004+"n/&gt;!4h7"</f>
        <v>#VALUE!</v>
      </c>
      <c r="IF424" t="e">
        <f>Asia!H1004+"n/&gt;!4h8"</f>
        <v>#VALUE!</v>
      </c>
      <c r="IG424" t="e">
        <f>Asia!I1004+"n/&gt;!4h9"</f>
        <v>#VALUE!</v>
      </c>
      <c r="IH424" t="e">
        <f>Asia!A1005+"n/&gt;!4h:"</f>
        <v>#VALUE!</v>
      </c>
      <c r="II424" t="e">
        <f>Asia!B1005+"n/&gt;!4h;"</f>
        <v>#VALUE!</v>
      </c>
      <c r="IJ424" t="e">
        <f>Asia!C1005+"n/&gt;!4h&lt;"</f>
        <v>#VALUE!</v>
      </c>
      <c r="IK424" t="e">
        <f>Asia!D1005+"n/&gt;!4h="</f>
        <v>#VALUE!</v>
      </c>
      <c r="IL424" t="e">
        <f>Asia!E1005+"n/&gt;!4h&gt;"</f>
        <v>#VALUE!</v>
      </c>
      <c r="IM424" t="e">
        <f>Asia!F1005+"n/&gt;!4h?"</f>
        <v>#VALUE!</v>
      </c>
      <c r="IN424" t="e">
        <f>Asia!G1005+"n/&gt;!4h@"</f>
        <v>#VALUE!</v>
      </c>
      <c r="IO424" t="e">
        <f>Asia!H1005+"n/&gt;!4hA"</f>
        <v>#VALUE!</v>
      </c>
      <c r="IP424" t="e">
        <f>Asia!I1005+"n/&gt;!4hB"</f>
        <v>#VALUE!</v>
      </c>
      <c r="IQ424" t="e">
        <f>Asia!A1006+"n/&gt;!4hC"</f>
        <v>#VALUE!</v>
      </c>
      <c r="IR424" t="e">
        <f>Asia!B1006+"n/&gt;!4hD"</f>
        <v>#VALUE!</v>
      </c>
      <c r="IS424" t="e">
        <f>Asia!C1006+"n/&gt;!4hE"</f>
        <v>#VALUE!</v>
      </c>
      <c r="IT424" t="e">
        <f>Asia!D1006+"n/&gt;!4hF"</f>
        <v>#VALUE!</v>
      </c>
      <c r="IU424" t="e">
        <f>Asia!E1006+"n/&gt;!4hG"</f>
        <v>#VALUE!</v>
      </c>
      <c r="IV424" t="e">
        <f>Asia!F1006+"n/&gt;!4hH"</f>
        <v>#VALUE!</v>
      </c>
    </row>
    <row r="425" spans="6:256" x14ac:dyDescent="0.35">
      <c r="F425" t="e">
        <f>Asia!G1006+"n/&gt;!4hI"</f>
        <v>#VALUE!</v>
      </c>
      <c r="G425" t="e">
        <f>Asia!H1006+"n/&gt;!4hJ"</f>
        <v>#VALUE!</v>
      </c>
      <c r="H425" t="e">
        <f>Asia!I1006+"n/&gt;!4hK"</f>
        <v>#VALUE!</v>
      </c>
      <c r="I425" t="e">
        <f>Asia!A1007+"n/&gt;!4hL"</f>
        <v>#VALUE!</v>
      </c>
      <c r="J425" t="e">
        <f>Asia!B1007+"n/&gt;!4hM"</f>
        <v>#VALUE!</v>
      </c>
      <c r="K425" t="e">
        <f>Asia!C1007+"n/&gt;!4hN"</f>
        <v>#VALUE!</v>
      </c>
      <c r="L425" t="e">
        <f>Asia!D1007+"n/&gt;!4hO"</f>
        <v>#VALUE!</v>
      </c>
      <c r="M425" t="e">
        <f>Asia!E1007+"n/&gt;!4hP"</f>
        <v>#VALUE!</v>
      </c>
      <c r="N425" t="e">
        <f>Asia!F1007+"n/&gt;!4hQ"</f>
        <v>#VALUE!</v>
      </c>
      <c r="O425" t="e">
        <f>Asia!G1007+"n/&gt;!4hR"</f>
        <v>#VALUE!</v>
      </c>
      <c r="P425" t="e">
        <f>Asia!H1007+"n/&gt;!4hS"</f>
        <v>#VALUE!</v>
      </c>
      <c r="Q425" t="e">
        <f>Asia!I1007+"n/&gt;!4hT"</f>
        <v>#VALUE!</v>
      </c>
      <c r="R425" t="e">
        <f>Asia!A1008+"n/&gt;!4hU"</f>
        <v>#VALUE!</v>
      </c>
      <c r="S425" t="e">
        <f>Asia!B1008+"n/&gt;!4hV"</f>
        <v>#VALUE!</v>
      </c>
      <c r="T425" t="e">
        <f>Asia!C1008+"n/&gt;!4hW"</f>
        <v>#VALUE!</v>
      </c>
      <c r="U425" t="e">
        <f>Asia!D1008+"n/&gt;!4hX"</f>
        <v>#VALUE!</v>
      </c>
      <c r="V425" t="e">
        <f>Asia!E1008+"n/&gt;!4hY"</f>
        <v>#VALUE!</v>
      </c>
      <c r="W425" t="e">
        <f>Asia!F1008+"n/&gt;!4hZ"</f>
        <v>#VALUE!</v>
      </c>
      <c r="X425" t="e">
        <f>Asia!G1008+"n/&gt;!4h["</f>
        <v>#VALUE!</v>
      </c>
      <c r="Y425" t="e">
        <f>Asia!H1008+"n/&gt;!4h\"</f>
        <v>#VALUE!</v>
      </c>
      <c r="Z425" t="e">
        <f>Asia!I1008+"n/&gt;!4h]"</f>
        <v>#VALUE!</v>
      </c>
      <c r="AA425" t="e">
        <f>Asia!A1009+"n/&gt;!4h^"</f>
        <v>#VALUE!</v>
      </c>
      <c r="AB425" t="e">
        <f>Asia!B1009+"n/&gt;!4h_"</f>
        <v>#VALUE!</v>
      </c>
      <c r="AC425" t="e">
        <f>Asia!C1009+"n/&gt;!4h`"</f>
        <v>#VALUE!</v>
      </c>
      <c r="AD425" t="e">
        <f>Asia!D1009+"n/&gt;!4ha"</f>
        <v>#VALUE!</v>
      </c>
      <c r="AE425" t="e">
        <f>Asia!E1009+"n/&gt;!4hb"</f>
        <v>#VALUE!</v>
      </c>
      <c r="AF425" t="e">
        <f>Asia!F1009+"n/&gt;!4hc"</f>
        <v>#VALUE!</v>
      </c>
      <c r="AG425" t="e">
        <f>Asia!G1009+"n/&gt;!4hd"</f>
        <v>#VALUE!</v>
      </c>
      <c r="AH425" t="e">
        <f>Asia!H1009+"n/&gt;!4he"</f>
        <v>#VALUE!</v>
      </c>
      <c r="AI425" t="e">
        <f>Asia!I1009+"n/&gt;!4hf"</f>
        <v>#VALUE!</v>
      </c>
      <c r="AJ425" t="e">
        <f>Asia!A1010+"n/&gt;!4hg"</f>
        <v>#VALUE!</v>
      </c>
      <c r="AK425" t="e">
        <f>Asia!B1010+"n/&gt;!4hh"</f>
        <v>#VALUE!</v>
      </c>
      <c r="AL425" t="e">
        <f>Asia!C1010+"n/&gt;!4hi"</f>
        <v>#VALUE!</v>
      </c>
      <c r="AM425" t="e">
        <f>Asia!D1010+"n/&gt;!4hj"</f>
        <v>#VALUE!</v>
      </c>
      <c r="AN425" t="e">
        <f>Asia!E1010+"n/&gt;!4hk"</f>
        <v>#VALUE!</v>
      </c>
      <c r="AO425" t="e">
        <f>Asia!F1010+"n/&gt;!4hl"</f>
        <v>#VALUE!</v>
      </c>
      <c r="AP425" t="e">
        <f>Asia!G1010+"n/&gt;!4hm"</f>
        <v>#VALUE!</v>
      </c>
      <c r="AQ425" t="e">
        <f>Asia!H1010+"n/&gt;!4hn"</f>
        <v>#VALUE!</v>
      </c>
      <c r="AR425" t="e">
        <f>Asia!I1010+"n/&gt;!4ho"</f>
        <v>#VALUE!</v>
      </c>
      <c r="AS425" t="e">
        <f>Asia!A1011+"n/&gt;!4hp"</f>
        <v>#VALUE!</v>
      </c>
      <c r="AT425" t="e">
        <f>Asia!B1011+"n/&gt;!4hq"</f>
        <v>#VALUE!</v>
      </c>
      <c r="AU425" t="e">
        <f>Asia!C1011+"n/&gt;!4hr"</f>
        <v>#VALUE!</v>
      </c>
      <c r="AV425" t="e">
        <f>Asia!D1011+"n/&gt;!4hs"</f>
        <v>#VALUE!</v>
      </c>
      <c r="AW425" t="e">
        <f>Asia!E1011+"n/&gt;!4ht"</f>
        <v>#VALUE!</v>
      </c>
      <c r="AX425" t="e">
        <f>Asia!F1011+"n/&gt;!4hu"</f>
        <v>#VALUE!</v>
      </c>
      <c r="AY425" t="e">
        <f>Asia!G1011+"n/&gt;!4hv"</f>
        <v>#VALUE!</v>
      </c>
      <c r="AZ425" t="e">
        <f>Asia!H1011+"n/&gt;!4hw"</f>
        <v>#VALUE!</v>
      </c>
      <c r="BA425" t="e">
        <f>Asia!I1011+"n/&gt;!4hx"</f>
        <v>#VALUE!</v>
      </c>
      <c r="BB425" t="e">
        <f>Asia!A1012+"n/&gt;!4hy"</f>
        <v>#VALUE!</v>
      </c>
      <c r="BC425" t="e">
        <f>Asia!B1012+"n/&gt;!4hz"</f>
        <v>#VALUE!</v>
      </c>
      <c r="BD425" t="e">
        <f>Asia!C1012+"n/&gt;!4h{"</f>
        <v>#VALUE!</v>
      </c>
      <c r="BE425" t="e">
        <f>Asia!D1012+"n/&gt;!4h|"</f>
        <v>#VALUE!</v>
      </c>
      <c r="BF425" t="e">
        <f>Asia!E1012+"n/&gt;!4h}"</f>
        <v>#VALUE!</v>
      </c>
      <c r="BG425" t="e">
        <f>Asia!F1012+"n/&gt;!4h~"</f>
        <v>#VALUE!</v>
      </c>
      <c r="BH425" t="e">
        <f>Asia!G1012+"n/&gt;!4i#"</f>
        <v>#VALUE!</v>
      </c>
      <c r="BI425" t="e">
        <f>Asia!H1012+"n/&gt;!4i$"</f>
        <v>#VALUE!</v>
      </c>
      <c r="BJ425" t="e">
        <f>Asia!I1012+"n/&gt;!4i%"</f>
        <v>#VALUE!</v>
      </c>
      <c r="BK425" t="e">
        <f>Asia!A1013+"n/&gt;!4i&amp;"</f>
        <v>#VALUE!</v>
      </c>
      <c r="BL425" t="e">
        <f>Asia!B1013+"n/&gt;!4i'"</f>
        <v>#VALUE!</v>
      </c>
      <c r="BM425" t="e">
        <f>Asia!C1013+"n/&gt;!4i("</f>
        <v>#VALUE!</v>
      </c>
      <c r="BN425" t="e">
        <f>Asia!D1013+"n/&gt;!4i)"</f>
        <v>#VALUE!</v>
      </c>
      <c r="BO425" t="e">
        <f>Asia!E1013+"n/&gt;!4i."</f>
        <v>#VALUE!</v>
      </c>
      <c r="BP425" t="e">
        <f>Asia!F1013+"n/&gt;!4i/"</f>
        <v>#VALUE!</v>
      </c>
      <c r="BQ425" t="e">
        <f>Asia!G1013+"n/&gt;!4i0"</f>
        <v>#VALUE!</v>
      </c>
      <c r="BR425" t="e">
        <f>Asia!H1013+"n/&gt;!4i1"</f>
        <v>#VALUE!</v>
      </c>
      <c r="BS425" t="e">
        <f>Asia!I1013+"n/&gt;!4i2"</f>
        <v>#VALUE!</v>
      </c>
      <c r="BT425" t="e">
        <f>Asia!A1014+"n/&gt;!4i3"</f>
        <v>#VALUE!</v>
      </c>
      <c r="BU425" t="e">
        <f>Asia!B1014+"n/&gt;!4i4"</f>
        <v>#VALUE!</v>
      </c>
      <c r="BV425" t="e">
        <f>Asia!C1014+"n/&gt;!4i5"</f>
        <v>#VALUE!</v>
      </c>
      <c r="BW425" t="e">
        <f>Asia!D1014+"n/&gt;!4i6"</f>
        <v>#VALUE!</v>
      </c>
      <c r="BX425" t="e">
        <f>Asia!E1014+"n/&gt;!4i7"</f>
        <v>#VALUE!</v>
      </c>
      <c r="BY425" t="e">
        <f>Asia!F1014+"n/&gt;!4i8"</f>
        <v>#VALUE!</v>
      </c>
      <c r="BZ425" t="e">
        <f>Asia!G1014+"n/&gt;!4i9"</f>
        <v>#VALUE!</v>
      </c>
      <c r="CA425" t="e">
        <f>Asia!H1014+"n/&gt;!4i:"</f>
        <v>#VALUE!</v>
      </c>
      <c r="CB425" t="e">
        <f>Asia!I1014+"n/&gt;!4i;"</f>
        <v>#VALUE!</v>
      </c>
      <c r="CC425" t="e">
        <f>Asia!A1015+"n/&gt;!4i&lt;"</f>
        <v>#VALUE!</v>
      </c>
      <c r="CD425" t="e">
        <f>Asia!B1015+"n/&gt;!4i="</f>
        <v>#VALUE!</v>
      </c>
      <c r="CE425" t="e">
        <f>Asia!C1015+"n/&gt;!4i&gt;"</f>
        <v>#VALUE!</v>
      </c>
      <c r="CF425" t="e">
        <f>Asia!D1015+"n/&gt;!4i?"</f>
        <v>#VALUE!</v>
      </c>
      <c r="CG425" t="e">
        <f>Asia!E1015+"n/&gt;!4i@"</f>
        <v>#VALUE!</v>
      </c>
      <c r="CH425" t="e">
        <f>Asia!F1015+"n/&gt;!4iA"</f>
        <v>#VALUE!</v>
      </c>
      <c r="CI425" t="e">
        <f>Asia!G1015+"n/&gt;!4iB"</f>
        <v>#VALUE!</v>
      </c>
      <c r="CJ425" t="e">
        <f>Asia!H1015+"n/&gt;!4iC"</f>
        <v>#VALUE!</v>
      </c>
      <c r="CK425" t="e">
        <f>Asia!I1015+"n/&gt;!4iD"</f>
        <v>#VALUE!</v>
      </c>
      <c r="CL425" t="e">
        <f>Asia!A1016+"n/&gt;!4iE"</f>
        <v>#VALUE!</v>
      </c>
      <c r="CM425" t="e">
        <f>Asia!B1016+"n/&gt;!4iF"</f>
        <v>#VALUE!</v>
      </c>
      <c r="CN425" t="e">
        <f>Asia!C1016+"n/&gt;!4iG"</f>
        <v>#VALUE!</v>
      </c>
      <c r="CO425" t="e">
        <f>Asia!D1016+"n/&gt;!4iH"</f>
        <v>#VALUE!</v>
      </c>
      <c r="CP425" t="e">
        <f>Asia!E1016+"n/&gt;!4iI"</f>
        <v>#VALUE!</v>
      </c>
      <c r="CQ425" t="e">
        <f>Asia!F1016+"n/&gt;!4iJ"</f>
        <v>#VALUE!</v>
      </c>
      <c r="CR425" t="e">
        <f>Asia!G1016+"n/&gt;!4iK"</f>
        <v>#VALUE!</v>
      </c>
      <c r="CS425" t="e">
        <f>Asia!H1016+"n/&gt;!4iL"</f>
        <v>#VALUE!</v>
      </c>
      <c r="CT425" t="e">
        <f>Asia!I1016+"n/&gt;!4iM"</f>
        <v>#VALUE!</v>
      </c>
      <c r="CU425" t="e">
        <f>Asia!A1017+"n/&gt;!4iN"</f>
        <v>#VALUE!</v>
      </c>
      <c r="CV425" t="e">
        <f>Asia!B1017+"n/&gt;!4iO"</f>
        <v>#VALUE!</v>
      </c>
      <c r="CW425" t="e">
        <f>Asia!C1017+"n/&gt;!4iP"</f>
        <v>#VALUE!</v>
      </c>
      <c r="CX425" t="e">
        <f>Asia!D1017+"n/&gt;!4iQ"</f>
        <v>#VALUE!</v>
      </c>
      <c r="CY425" t="e">
        <f>Asia!E1017+"n/&gt;!4iR"</f>
        <v>#VALUE!</v>
      </c>
      <c r="CZ425" t="e">
        <f>Asia!F1017+"n/&gt;!4iS"</f>
        <v>#VALUE!</v>
      </c>
      <c r="DA425" t="e">
        <f>Asia!G1017+"n/&gt;!4iT"</f>
        <v>#VALUE!</v>
      </c>
      <c r="DB425" t="e">
        <f>Asia!H1017+"n/&gt;!4iU"</f>
        <v>#VALUE!</v>
      </c>
      <c r="DC425" t="e">
        <f>Asia!I1017+"n/&gt;!4iV"</f>
        <v>#VALUE!</v>
      </c>
      <c r="DD425" t="e">
        <f>Asia!A1018+"n/&gt;!4iW"</f>
        <v>#VALUE!</v>
      </c>
      <c r="DE425" t="e">
        <f>Asia!B1018+"n/&gt;!4iX"</f>
        <v>#VALUE!</v>
      </c>
      <c r="DF425" t="e">
        <f>Asia!C1018+"n/&gt;!4iY"</f>
        <v>#VALUE!</v>
      </c>
      <c r="DG425" t="e">
        <f>Asia!D1018+"n/&gt;!4iZ"</f>
        <v>#VALUE!</v>
      </c>
      <c r="DH425" t="e">
        <f>Asia!E1018+"n/&gt;!4i["</f>
        <v>#VALUE!</v>
      </c>
      <c r="DI425" t="e">
        <f>Asia!F1018+"n/&gt;!4i\"</f>
        <v>#VALUE!</v>
      </c>
      <c r="DJ425" t="e">
        <f>Asia!G1018+"n/&gt;!4i]"</f>
        <v>#VALUE!</v>
      </c>
      <c r="DK425" t="e">
        <f>Asia!H1018+"n/&gt;!4i^"</f>
        <v>#VALUE!</v>
      </c>
      <c r="DL425" t="e">
        <f>Asia!I1018+"n/&gt;!4i_"</f>
        <v>#VALUE!</v>
      </c>
      <c r="DM425" t="e">
        <f>Asia!A1019+"n/&gt;!4i`"</f>
        <v>#VALUE!</v>
      </c>
      <c r="DN425" t="e">
        <f>Asia!B1019+"n/&gt;!4ia"</f>
        <v>#VALUE!</v>
      </c>
      <c r="DO425" t="e">
        <f>Asia!C1019+"n/&gt;!4ib"</f>
        <v>#VALUE!</v>
      </c>
      <c r="DP425" t="e">
        <f>Asia!D1019+"n/&gt;!4ic"</f>
        <v>#VALUE!</v>
      </c>
      <c r="DQ425" t="e">
        <f>Asia!E1019+"n/&gt;!4id"</f>
        <v>#VALUE!</v>
      </c>
      <c r="DR425" t="e">
        <f>Asia!F1019+"n/&gt;!4ie"</f>
        <v>#VALUE!</v>
      </c>
      <c r="DS425" t="e">
        <f>Asia!G1019+"n/&gt;!4if"</f>
        <v>#VALUE!</v>
      </c>
      <c r="DT425" t="e">
        <f>Asia!H1019+"n/&gt;!4ig"</f>
        <v>#VALUE!</v>
      </c>
      <c r="DU425" t="e">
        <f>Asia!I1019+"n/&gt;!4ih"</f>
        <v>#VALUE!</v>
      </c>
      <c r="DV425" t="e">
        <f>Asia!A1020+"n/&gt;!4ii"</f>
        <v>#VALUE!</v>
      </c>
      <c r="DW425" t="e">
        <f>Asia!B1020+"n/&gt;!4ij"</f>
        <v>#VALUE!</v>
      </c>
      <c r="DX425" t="e">
        <f>Asia!C1020+"n/&gt;!4ik"</f>
        <v>#VALUE!</v>
      </c>
      <c r="DY425" t="e">
        <f>Asia!D1020+"n/&gt;!4il"</f>
        <v>#VALUE!</v>
      </c>
      <c r="DZ425" t="e">
        <f>Asia!E1020+"n/&gt;!4im"</f>
        <v>#VALUE!</v>
      </c>
      <c r="EA425" t="e">
        <f>Asia!F1020+"n/&gt;!4in"</f>
        <v>#VALUE!</v>
      </c>
      <c r="EB425" t="e">
        <f>Asia!G1020+"n/&gt;!4io"</f>
        <v>#VALUE!</v>
      </c>
      <c r="EC425" t="e">
        <f>Asia!H1020+"n/&gt;!4ip"</f>
        <v>#VALUE!</v>
      </c>
      <c r="ED425" t="e">
        <f>Asia!I1020+"n/&gt;!4iq"</f>
        <v>#VALUE!</v>
      </c>
      <c r="EE425" t="e">
        <f>Asia!A1021+"n/&gt;!4ir"</f>
        <v>#VALUE!</v>
      </c>
      <c r="EF425" t="e">
        <f>Asia!B1021+"n/&gt;!4is"</f>
        <v>#VALUE!</v>
      </c>
      <c r="EG425" t="e">
        <f>Asia!C1021+"n/&gt;!4it"</f>
        <v>#VALUE!</v>
      </c>
      <c r="EH425" t="e">
        <f>Asia!D1021+"n/&gt;!4iu"</f>
        <v>#VALUE!</v>
      </c>
      <c r="EI425" t="e">
        <f>Asia!E1021+"n/&gt;!4iv"</f>
        <v>#VALUE!</v>
      </c>
      <c r="EJ425" t="e">
        <f>Asia!F1021+"n/&gt;!4iw"</f>
        <v>#VALUE!</v>
      </c>
      <c r="EK425" t="e">
        <f>Asia!G1021+"n/&gt;!4ix"</f>
        <v>#VALUE!</v>
      </c>
      <c r="EL425" t="e">
        <f>Asia!H1021+"n/&gt;!4iy"</f>
        <v>#VALUE!</v>
      </c>
      <c r="EM425" t="e">
        <f>Asia!I1021+"n/&gt;!4iz"</f>
        <v>#VALUE!</v>
      </c>
      <c r="EN425" t="e">
        <f>Asia!A1022+"n/&gt;!4i{"</f>
        <v>#VALUE!</v>
      </c>
      <c r="EO425" t="e">
        <f>Asia!B1022+"n/&gt;!4i|"</f>
        <v>#VALUE!</v>
      </c>
      <c r="EP425" t="e">
        <f>Asia!C1022+"n/&gt;!4i}"</f>
        <v>#VALUE!</v>
      </c>
      <c r="EQ425" t="e">
        <f>Asia!D1022+"n/&gt;!4i~"</f>
        <v>#VALUE!</v>
      </c>
      <c r="ER425" t="e">
        <f>Asia!E1022+"n/&gt;!4j#"</f>
        <v>#VALUE!</v>
      </c>
      <c r="ES425" t="e">
        <f>Asia!F1022+"n/&gt;!4j$"</f>
        <v>#VALUE!</v>
      </c>
      <c r="ET425" t="e">
        <f>Asia!G1022+"n/&gt;!4j%"</f>
        <v>#VALUE!</v>
      </c>
      <c r="EU425" t="e">
        <f>Asia!H1022+"n/&gt;!4j&amp;"</f>
        <v>#VALUE!</v>
      </c>
      <c r="EV425" t="e">
        <f>Asia!I1022+"n/&gt;!4j'"</f>
        <v>#VALUE!</v>
      </c>
      <c r="EW425" t="e">
        <f>Asia!A1023+"n/&gt;!4j("</f>
        <v>#VALUE!</v>
      </c>
      <c r="EX425" t="e">
        <f>Asia!B1023+"n/&gt;!4j)"</f>
        <v>#VALUE!</v>
      </c>
      <c r="EY425" t="e">
        <f>Asia!C1023+"n/&gt;!4j."</f>
        <v>#VALUE!</v>
      </c>
      <c r="EZ425" t="e">
        <f>Asia!D1023+"n/&gt;!4j/"</f>
        <v>#VALUE!</v>
      </c>
      <c r="FA425" t="e">
        <f>Asia!E1023+"n/&gt;!4j0"</f>
        <v>#VALUE!</v>
      </c>
      <c r="FB425" t="e">
        <f>Asia!F1023+"n/&gt;!4j1"</f>
        <v>#VALUE!</v>
      </c>
      <c r="FC425" t="e">
        <f>Asia!G1023+"n/&gt;!4j2"</f>
        <v>#VALUE!</v>
      </c>
      <c r="FD425" t="e">
        <f>Asia!H1023+"n/&gt;!4j3"</f>
        <v>#VALUE!</v>
      </c>
      <c r="FE425" t="e">
        <f>Asia!I1023+"n/&gt;!4j4"</f>
        <v>#VALUE!</v>
      </c>
      <c r="FF425" t="e">
        <f>Asia!A1024+"n/&gt;!4j5"</f>
        <v>#VALUE!</v>
      </c>
      <c r="FG425" t="e">
        <f>Asia!B1024+"n/&gt;!4j6"</f>
        <v>#VALUE!</v>
      </c>
      <c r="FH425" t="e">
        <f>Asia!C1024+"n/&gt;!4j7"</f>
        <v>#VALUE!</v>
      </c>
      <c r="FI425" t="e">
        <f>Asia!D1024+"n/&gt;!4j8"</f>
        <v>#VALUE!</v>
      </c>
      <c r="FJ425" t="e">
        <f>Asia!E1024+"n/&gt;!4j9"</f>
        <v>#VALUE!</v>
      </c>
      <c r="FK425" t="e">
        <f>Asia!F1024+"n/&gt;!4j:"</f>
        <v>#VALUE!</v>
      </c>
      <c r="FL425" t="e">
        <f>Asia!G1024+"n/&gt;!4j;"</f>
        <v>#VALUE!</v>
      </c>
      <c r="FM425" t="e">
        <f>Asia!H1024+"n/&gt;!4j&lt;"</f>
        <v>#VALUE!</v>
      </c>
      <c r="FN425" t="e">
        <f>Asia!I1024+"n/&gt;!4j="</f>
        <v>#VALUE!</v>
      </c>
      <c r="FO425" t="e">
        <f>Asia!A1025+"n/&gt;!4j&gt;"</f>
        <v>#VALUE!</v>
      </c>
      <c r="FP425" t="e">
        <f>Asia!B1025+"n/&gt;!4j?"</f>
        <v>#VALUE!</v>
      </c>
      <c r="FQ425" t="e">
        <f>Asia!C1025+"n/&gt;!4j@"</f>
        <v>#VALUE!</v>
      </c>
      <c r="FR425" t="e">
        <f>Asia!D1025+"n/&gt;!4jA"</f>
        <v>#VALUE!</v>
      </c>
      <c r="FS425" t="e">
        <f>Asia!E1025+"n/&gt;!4jB"</f>
        <v>#VALUE!</v>
      </c>
      <c r="FT425" t="e">
        <f>Asia!F1025+"n/&gt;!4jC"</f>
        <v>#VALUE!</v>
      </c>
      <c r="FU425" t="e">
        <f>Asia!G1025+"n/&gt;!4jD"</f>
        <v>#VALUE!</v>
      </c>
      <c r="FV425" t="e">
        <f>Asia!H1025+"n/&gt;!4jE"</f>
        <v>#VALUE!</v>
      </c>
      <c r="FW425" t="e">
        <f>Asia!I1025+"n/&gt;!4jF"</f>
        <v>#VALUE!</v>
      </c>
      <c r="FX425" t="e">
        <f>Asia!A1026+"n/&gt;!4jG"</f>
        <v>#VALUE!</v>
      </c>
      <c r="FY425" t="e">
        <f>Asia!B1026+"n/&gt;!4jH"</f>
        <v>#VALUE!</v>
      </c>
      <c r="FZ425" t="e">
        <f>Asia!C1026+"n/&gt;!4jI"</f>
        <v>#VALUE!</v>
      </c>
      <c r="GA425" t="e">
        <f>Asia!D1026+"n/&gt;!4jJ"</f>
        <v>#VALUE!</v>
      </c>
      <c r="GB425" t="e">
        <f>Asia!E1026+"n/&gt;!4jK"</f>
        <v>#VALUE!</v>
      </c>
      <c r="GC425" t="e">
        <f>Asia!F1026+"n/&gt;!4jL"</f>
        <v>#VALUE!</v>
      </c>
      <c r="GD425" t="e">
        <f>Asia!G1026+"n/&gt;!4jM"</f>
        <v>#VALUE!</v>
      </c>
      <c r="GE425" t="e">
        <f>Asia!H1026+"n/&gt;!4jN"</f>
        <v>#VALUE!</v>
      </c>
      <c r="GF425" t="e">
        <f>Asia!I1026+"n/&gt;!4jO"</f>
        <v>#VALUE!</v>
      </c>
      <c r="GG425" t="e">
        <f>Asia!A1027+"n/&gt;!4jP"</f>
        <v>#VALUE!</v>
      </c>
      <c r="GH425" t="e">
        <f>Asia!B1027+"n/&gt;!4jQ"</f>
        <v>#VALUE!</v>
      </c>
      <c r="GI425" t="e">
        <f>Asia!C1027+"n/&gt;!4jR"</f>
        <v>#VALUE!</v>
      </c>
      <c r="GJ425" t="e">
        <f>Asia!D1027+"n/&gt;!4jS"</f>
        <v>#VALUE!</v>
      </c>
      <c r="GK425" t="e">
        <f>Asia!E1027+"n/&gt;!4jT"</f>
        <v>#VALUE!</v>
      </c>
      <c r="GL425" t="e">
        <f>Asia!F1027+"n/&gt;!4jU"</f>
        <v>#VALUE!</v>
      </c>
      <c r="GM425" t="e">
        <f>Asia!G1027+"n/&gt;!4jV"</f>
        <v>#VALUE!</v>
      </c>
      <c r="GN425" t="e">
        <f>Asia!H1027+"n/&gt;!4jW"</f>
        <v>#VALUE!</v>
      </c>
      <c r="GO425" t="e">
        <f>Asia!I1027+"n/&gt;!4jX"</f>
        <v>#VALUE!</v>
      </c>
      <c r="GP425" t="e">
        <f>Asia!A1028+"n/&gt;!4jY"</f>
        <v>#VALUE!</v>
      </c>
      <c r="GQ425" t="e">
        <f>Asia!B1028+"n/&gt;!4jZ"</f>
        <v>#VALUE!</v>
      </c>
      <c r="GR425" t="e">
        <f>Asia!C1028+"n/&gt;!4j["</f>
        <v>#VALUE!</v>
      </c>
      <c r="GS425" t="e">
        <f>Asia!D1028+"n/&gt;!4j\"</f>
        <v>#VALUE!</v>
      </c>
      <c r="GT425" t="e">
        <f>Asia!E1028+"n/&gt;!4j]"</f>
        <v>#VALUE!</v>
      </c>
      <c r="GU425" t="e">
        <f>Asia!F1028+"n/&gt;!4j^"</f>
        <v>#VALUE!</v>
      </c>
      <c r="GV425" t="e">
        <f>Asia!G1028+"n/&gt;!4j_"</f>
        <v>#VALUE!</v>
      </c>
      <c r="GW425" t="e">
        <f>Asia!H1028+"n/&gt;!4j`"</f>
        <v>#VALUE!</v>
      </c>
      <c r="GX425" t="e">
        <f>Asia!I1028+"n/&gt;!4ja"</f>
        <v>#VALUE!</v>
      </c>
      <c r="GY425" t="e">
        <f>Asia!A1029+"n/&gt;!4jb"</f>
        <v>#VALUE!</v>
      </c>
      <c r="GZ425" t="e">
        <f>Asia!B1029+"n/&gt;!4jc"</f>
        <v>#VALUE!</v>
      </c>
      <c r="HA425" t="e">
        <f>Asia!C1029+"n/&gt;!4jd"</f>
        <v>#VALUE!</v>
      </c>
      <c r="HB425" t="e">
        <f>Asia!D1029+"n/&gt;!4je"</f>
        <v>#VALUE!</v>
      </c>
      <c r="HC425" t="e">
        <f>Asia!E1029+"n/&gt;!4jf"</f>
        <v>#VALUE!</v>
      </c>
      <c r="HD425" t="e">
        <f>Asia!F1029+"n/&gt;!4jg"</f>
        <v>#VALUE!</v>
      </c>
      <c r="HE425" t="e">
        <f>Asia!G1029+"n/&gt;!4jh"</f>
        <v>#VALUE!</v>
      </c>
      <c r="HF425" t="e">
        <f>Asia!H1029+"n/&gt;!4ji"</f>
        <v>#VALUE!</v>
      </c>
      <c r="HG425" t="e">
        <f>Asia!I1029+"n/&gt;!4jj"</f>
        <v>#VALUE!</v>
      </c>
      <c r="HH425" t="e">
        <f>Asia!A1030+"n/&gt;!4jk"</f>
        <v>#VALUE!</v>
      </c>
      <c r="HI425" t="e">
        <f>Asia!B1030+"n/&gt;!4jl"</f>
        <v>#VALUE!</v>
      </c>
      <c r="HJ425" t="e">
        <f>Asia!C1030+"n/&gt;!4jm"</f>
        <v>#VALUE!</v>
      </c>
      <c r="HK425" t="e">
        <f>Asia!D1030+"n/&gt;!4jn"</f>
        <v>#VALUE!</v>
      </c>
      <c r="HL425" t="e">
        <f>Asia!E1030+"n/&gt;!4jo"</f>
        <v>#VALUE!</v>
      </c>
      <c r="HM425" t="e">
        <f>Asia!F1030+"n/&gt;!4jp"</f>
        <v>#VALUE!</v>
      </c>
      <c r="HN425" t="e">
        <f>Asia!G1030+"n/&gt;!4jq"</f>
        <v>#VALUE!</v>
      </c>
      <c r="HO425" t="e">
        <f>Asia!H1030+"n/&gt;!4jr"</f>
        <v>#VALUE!</v>
      </c>
      <c r="HP425" t="e">
        <f>Asia!I1030+"n/&gt;!4js"</f>
        <v>#VALUE!</v>
      </c>
      <c r="HQ425" t="e">
        <f>Asia!A1031+"n/&gt;!4jt"</f>
        <v>#VALUE!</v>
      </c>
      <c r="HR425" t="e">
        <f>Asia!B1031+"n/&gt;!4ju"</f>
        <v>#VALUE!</v>
      </c>
      <c r="HS425" t="e">
        <f>Asia!C1031+"n/&gt;!4jv"</f>
        <v>#VALUE!</v>
      </c>
      <c r="HT425" t="e">
        <f>Asia!D1031+"n/&gt;!4jw"</f>
        <v>#VALUE!</v>
      </c>
      <c r="HU425" t="e">
        <f>Asia!E1031+"n/&gt;!4jx"</f>
        <v>#VALUE!</v>
      </c>
      <c r="HV425" t="e">
        <f>Asia!F1031+"n/&gt;!4jy"</f>
        <v>#VALUE!</v>
      </c>
      <c r="HW425" t="e">
        <f>Asia!G1031+"n/&gt;!4jz"</f>
        <v>#VALUE!</v>
      </c>
      <c r="HX425" t="e">
        <f>Asia!H1031+"n/&gt;!4j{"</f>
        <v>#VALUE!</v>
      </c>
      <c r="HY425" t="e">
        <f>Asia!I1031+"n/&gt;!4j|"</f>
        <v>#VALUE!</v>
      </c>
      <c r="HZ425" t="e">
        <f>Asia!A1032+"n/&gt;!4j}"</f>
        <v>#VALUE!</v>
      </c>
      <c r="IA425" t="e">
        <f>Asia!B1032+"n/&gt;!4j~"</f>
        <v>#VALUE!</v>
      </c>
      <c r="IB425" t="e">
        <f>Asia!C1032+"n/&gt;!4k#"</f>
        <v>#VALUE!</v>
      </c>
      <c r="IC425" t="e">
        <f>Asia!D1032+"n/&gt;!4k$"</f>
        <v>#VALUE!</v>
      </c>
      <c r="ID425" t="e">
        <f>Asia!E1032+"n/&gt;!4k%"</f>
        <v>#VALUE!</v>
      </c>
      <c r="IE425" t="e">
        <f>Asia!F1032+"n/&gt;!4k&amp;"</f>
        <v>#VALUE!</v>
      </c>
      <c r="IF425" t="e">
        <f>Asia!G1032+"n/&gt;!4k'"</f>
        <v>#VALUE!</v>
      </c>
      <c r="IG425" t="e">
        <f>Asia!H1032+"n/&gt;!4k("</f>
        <v>#VALUE!</v>
      </c>
      <c r="IH425" t="e">
        <f>Asia!I1032+"n/&gt;!4k)"</f>
        <v>#VALUE!</v>
      </c>
      <c r="II425" t="e">
        <f>Asia!A1033+"n/&gt;!4k."</f>
        <v>#VALUE!</v>
      </c>
      <c r="IJ425" t="e">
        <f>Asia!B1033+"n/&gt;!4k/"</f>
        <v>#VALUE!</v>
      </c>
      <c r="IK425" t="e">
        <f>Asia!C1033+"n/&gt;!4k0"</f>
        <v>#VALUE!</v>
      </c>
      <c r="IL425" t="e">
        <f>Asia!D1033+"n/&gt;!4k1"</f>
        <v>#VALUE!</v>
      </c>
      <c r="IM425" t="e">
        <f>Asia!E1033+"n/&gt;!4k2"</f>
        <v>#VALUE!</v>
      </c>
      <c r="IN425" t="e">
        <f>Asia!F1033+"n/&gt;!4k3"</f>
        <v>#VALUE!</v>
      </c>
      <c r="IO425" t="e">
        <f>Asia!G1033+"n/&gt;!4k4"</f>
        <v>#VALUE!</v>
      </c>
      <c r="IP425" t="e">
        <f>Asia!H1033+"n/&gt;!4k5"</f>
        <v>#VALUE!</v>
      </c>
      <c r="IQ425" t="e">
        <f>Asia!I1033+"n/&gt;!4k6"</f>
        <v>#VALUE!</v>
      </c>
      <c r="IR425" t="e">
        <f>Asia!A1034+"n/&gt;!4k7"</f>
        <v>#VALUE!</v>
      </c>
      <c r="IS425" t="e">
        <f>Asia!B1034+"n/&gt;!4k8"</f>
        <v>#VALUE!</v>
      </c>
      <c r="IT425" t="e">
        <f>Asia!C1034+"n/&gt;!4k9"</f>
        <v>#VALUE!</v>
      </c>
      <c r="IU425" t="e">
        <f>Asia!D1034+"n/&gt;!4k:"</f>
        <v>#VALUE!</v>
      </c>
      <c r="IV425" t="e">
        <f>Asia!E1034+"n/&gt;!4k;"</f>
        <v>#VALUE!</v>
      </c>
    </row>
    <row r="426" spans="6:256" x14ac:dyDescent="0.35">
      <c r="F426" t="e">
        <f>Asia!F1034+"n/&gt;!4k&lt;"</f>
        <v>#VALUE!</v>
      </c>
      <c r="G426" t="e">
        <f>Asia!G1034+"n/&gt;!4k="</f>
        <v>#VALUE!</v>
      </c>
      <c r="H426" t="e">
        <f>Asia!H1034+"n/&gt;!4k&gt;"</f>
        <v>#VALUE!</v>
      </c>
      <c r="I426" t="e">
        <f>Asia!I1034+"n/&gt;!4k?"</f>
        <v>#VALUE!</v>
      </c>
      <c r="J426" t="e">
        <f>Asia!A1035+"n/&gt;!4k@"</f>
        <v>#VALUE!</v>
      </c>
      <c r="K426" t="e">
        <f>Asia!B1035+"n/&gt;!4kA"</f>
        <v>#VALUE!</v>
      </c>
      <c r="L426" t="e">
        <f>Asia!C1035+"n/&gt;!4kB"</f>
        <v>#VALUE!</v>
      </c>
      <c r="M426" t="e">
        <f>Asia!D1035+"n/&gt;!4kC"</f>
        <v>#VALUE!</v>
      </c>
      <c r="N426" t="e">
        <f>Asia!E1035+"n/&gt;!4kD"</f>
        <v>#VALUE!</v>
      </c>
      <c r="O426" t="e">
        <f>Asia!F1035+"n/&gt;!4kE"</f>
        <v>#VALUE!</v>
      </c>
      <c r="P426" t="e">
        <f>Asia!G1035+"n/&gt;!4kF"</f>
        <v>#VALUE!</v>
      </c>
      <c r="Q426" t="e">
        <f>Asia!H1035+"n/&gt;!4kG"</f>
        <v>#VALUE!</v>
      </c>
      <c r="R426" t="e">
        <f>Asia!I1035+"n/&gt;!4kH"</f>
        <v>#VALUE!</v>
      </c>
      <c r="S426" t="e">
        <f>Asia!A:A*"n/&gt;!4kI"</f>
        <v>#VALUE!</v>
      </c>
      <c r="T426" t="e">
        <f>Asia!B:B*"n/&gt;!4kJ"</f>
        <v>#VALUE!</v>
      </c>
      <c r="U426" t="e">
        <f>Asia!C:C*"n/&gt;!4kK"</f>
        <v>#VALUE!</v>
      </c>
      <c r="V426" t="e">
        <f>Asia!D:D*"n/&gt;!4kL"</f>
        <v>#VALUE!</v>
      </c>
      <c r="W426" t="e">
        <f>Asia!E:E*"n/&gt;!4kM"</f>
        <v>#VALUE!</v>
      </c>
      <c r="X426" t="e">
        <f>Asia!F:F*"n/&gt;!4kN"</f>
        <v>#VALUE!</v>
      </c>
      <c r="Y426" t="e">
        <f>Asia!G:G*"n/&gt;!4kO"</f>
        <v>#VALUE!</v>
      </c>
      <c r="Z426" t="e">
        <f>Asia!H:H*"n/&gt;!4kP"</f>
        <v>#VALUE!</v>
      </c>
      <c r="AA426" t="e">
        <f>Asia!I:I*"n/&gt;!4kQ"</f>
        <v>#VALUE!</v>
      </c>
      <c r="AB426" t="e">
        <f>Asia!J:J*"n/&gt;!4kR"</f>
        <v>#VALUE!</v>
      </c>
      <c r="AC426" t="e">
        <f>Asia!K:K*"n/&gt;!4kS"</f>
        <v>#VALUE!</v>
      </c>
      <c r="AD426" t="e">
        <f>Asia!L:L*"n/&gt;!4kT"</f>
        <v>#VALUE!</v>
      </c>
      <c r="AE426" t="e">
        <f>Asia!M:M*"n/&gt;!4kU"</f>
        <v>#VALUE!</v>
      </c>
      <c r="AF426" t="e">
        <f>Asia!N:N*"n/&gt;!4kV"</f>
        <v>#VALUE!</v>
      </c>
      <c r="AG426" t="e">
        <f>Asia!O:O*"n/&gt;!4kW"</f>
        <v>#VALUE!</v>
      </c>
      <c r="AH426" t="e">
        <f>Asia!P:P*"n/&gt;!4kX"</f>
        <v>#VALUE!</v>
      </c>
      <c r="AI426" t="e">
        <f>Asia!Q:Q*"n/&gt;!4kY"</f>
        <v>#VALUE!</v>
      </c>
      <c r="AJ426" t="e">
        <f>Asia!R:R*"n/&gt;!4kZ"</f>
        <v>#VALUE!</v>
      </c>
      <c r="AK426" t="e">
        <f>Asia!S:S*"n/&gt;!4k["</f>
        <v>#VALUE!</v>
      </c>
      <c r="AL426" t="e">
        <f>Asia!T:T*"n/&gt;!4k\"</f>
        <v>#VALUE!</v>
      </c>
      <c r="AM426" t="e">
        <f>Asia!U:U*"n/&gt;!4k]"</f>
        <v>#VALUE!</v>
      </c>
      <c r="AN426" t="e">
        <f>Asia!V:V*"n/&gt;!4k^"</f>
        <v>#VALUE!</v>
      </c>
      <c r="AO426" t="e">
        <f>Asia!W:W*"n/&gt;!4k_"</f>
        <v>#VALUE!</v>
      </c>
      <c r="AP426" t="e">
        <f>Asia!X:X*"n/&gt;!4k`"</f>
        <v>#VALUE!</v>
      </c>
      <c r="AQ426" t="e">
        <f>Asia!Y:Y*"n/&gt;!4ka"</f>
        <v>#VALUE!</v>
      </c>
      <c r="AR426" t="e">
        <f>Asia!Z:Z*"n/&gt;!4kb"</f>
        <v>#VALUE!</v>
      </c>
      <c r="AS426" t="e">
        <f>Asia!AA:AA*"n/&gt;!4kc"</f>
        <v>#VALUE!</v>
      </c>
      <c r="AT426" t="e">
        <f>Asia!AB:AB*"n/&gt;!4kd"</f>
        <v>#VALUE!</v>
      </c>
      <c r="AU426" t="e">
        <f>Asia!AC:AC*"n/&gt;!4ke"</f>
        <v>#VALUE!</v>
      </c>
      <c r="AV426" t="e">
        <f>Asia!AD:AD*"n/&gt;!4kf"</f>
        <v>#VALUE!</v>
      </c>
      <c r="AW426" t="e">
        <f>Asia!AE:AE*"n/&gt;!4kg"</f>
        <v>#VALUE!</v>
      </c>
      <c r="AX426" t="e">
        <f>Asia!AF:AF*"n/&gt;!4kh"</f>
        <v>#VALUE!</v>
      </c>
      <c r="AY426" t="e">
        <f>Asia!AG:AG*"n/&gt;!4ki"</f>
        <v>#VALUE!</v>
      </c>
      <c r="AZ426" t="e">
        <f>Asia!AH:AH*"n/&gt;!4kj"</f>
        <v>#VALUE!</v>
      </c>
      <c r="BA426" t="e">
        <f>Asia!AI:AI*"n/&gt;!4kk"</f>
        <v>#VALUE!</v>
      </c>
      <c r="BB426" t="e">
        <f>Asia!AJ:AJ*"n/&gt;!4kl"</f>
        <v>#VALUE!</v>
      </c>
      <c r="BC426" t="e">
        <f>Asia!AK:AK*"n/&gt;!4km"</f>
        <v>#VALUE!</v>
      </c>
      <c r="BD426" t="e">
        <f>Asia!AL:AL*"n/&gt;!4kn"</f>
        <v>#VALUE!</v>
      </c>
      <c r="BE426" t="e">
        <f>Asia!AM:AM*"n/&gt;!4ko"</f>
        <v>#VALUE!</v>
      </c>
      <c r="BF426" t="e">
        <f>Asia!AN:AN*"n/&gt;!4kp"</f>
        <v>#VALUE!</v>
      </c>
      <c r="BG426" t="e">
        <f>Asia!AO:AO*"n/&gt;!4kq"</f>
        <v>#VALUE!</v>
      </c>
      <c r="BH426" t="e">
        <f>Asia!AP:AP*"n/&gt;!4kr"</f>
        <v>#VALUE!</v>
      </c>
      <c r="BI426" t="e">
        <f>Asia!AQ:AQ*"n/&gt;!4ks"</f>
        <v>#VALUE!</v>
      </c>
      <c r="BJ426" t="e">
        <f>Asia!AR:AR*"n/&gt;!4kt"</f>
        <v>#VALUE!</v>
      </c>
      <c r="BK426" t="e">
        <f>Asia!AS:AS*"n/&gt;!4ku"</f>
        <v>#VALUE!</v>
      </c>
      <c r="BL426" t="e">
        <f>Asia!AT:AT*"n/&gt;!4kv"</f>
        <v>#VALUE!</v>
      </c>
      <c r="BM426" t="e">
        <f>Asia!AU:AU*"n/&gt;!4kw"</f>
        <v>#VALUE!</v>
      </c>
      <c r="BN426" t="e">
        <f>Asia!AV:AV*"n/&gt;!4kx"</f>
        <v>#VALUE!</v>
      </c>
      <c r="BO426" t="e">
        <f>Asia!AW:AW*"n/&gt;!4ky"</f>
        <v>#VALUE!</v>
      </c>
      <c r="BP426" t="e">
        <f>Asia!AX:AX*"n/&gt;!4kz"</f>
        <v>#VALUE!</v>
      </c>
      <c r="BQ426" t="e">
        <f>Asia!AY:AY*"n/&gt;!4k{"</f>
        <v>#VALUE!</v>
      </c>
      <c r="BR426" t="e">
        <f>Asia!AZ:AZ*"n/&gt;!4k|"</f>
        <v>#VALUE!</v>
      </c>
      <c r="BS426" t="e">
        <f>Asia!BA:BA*"n/&gt;!4k}"</f>
        <v>#VALUE!</v>
      </c>
      <c r="BT426" t="e">
        <f>Asia!BB:BB*"n/&gt;!4k~"</f>
        <v>#VALUE!</v>
      </c>
      <c r="BU426" t="e">
        <f>Asia!BC:BC*"n/&gt;!4l#"</f>
        <v>#VALUE!</v>
      </c>
      <c r="BV426" t="e">
        <f>Asia!BD:BD*"n/&gt;!4l$"</f>
        <v>#VALUE!</v>
      </c>
      <c r="BW426" t="e">
        <f>Asia!BE:BE*"n/&gt;!4l%"</f>
        <v>#VALUE!</v>
      </c>
      <c r="BX426" t="e">
        <f>Asia!BF:BF*"n/&gt;!4l&amp;"</f>
        <v>#VALUE!</v>
      </c>
      <c r="BY426" t="e">
        <f>Asia!BG:BG*"n/&gt;!4l'"</f>
        <v>#VALUE!</v>
      </c>
      <c r="BZ426" t="e">
        <f>Asia!1:1-"n/&gt;!4l("</f>
        <v>#VALUE!</v>
      </c>
      <c r="CA426" t="e">
        <f>Asia!2:2-"n/&gt;!4l)"</f>
        <v>#VALUE!</v>
      </c>
      <c r="CB426" t="e">
        <f>Asia!3:3-"n/&gt;!4l."</f>
        <v>#VALUE!</v>
      </c>
      <c r="CC426" t="e">
        <f>Asia!4:4-"n/&gt;!4l/"</f>
        <v>#VALUE!</v>
      </c>
      <c r="CD426" t="e">
        <f>Asia!5:5-"n/&gt;!4l0"</f>
        <v>#VALUE!</v>
      </c>
      <c r="CE426" t="e">
        <f>Asia!6:6-"n/&gt;!4l1"</f>
        <v>#VALUE!</v>
      </c>
      <c r="CF426" t="e">
        <f>Asia!7:7-"n/&gt;!4l2"</f>
        <v>#VALUE!</v>
      </c>
      <c r="CG426" t="e">
        <f>Asia!8:8-"n/&gt;!4l3"</f>
        <v>#VALUE!</v>
      </c>
      <c r="CH426" t="e">
        <f>Asia!9:9-"n/&gt;!4l4"</f>
        <v>#VALUE!</v>
      </c>
      <c r="CI426" t="e">
        <f>Asia!10:10-"n/&gt;!4l5"</f>
        <v>#VALUE!</v>
      </c>
      <c r="CJ426" t="e">
        <f>Asia!11:11-"n/&gt;!4l6"</f>
        <v>#VALUE!</v>
      </c>
      <c r="CK426" t="e">
        <f>Asia!12:12-"n/&gt;!4l7"</f>
        <v>#VALUE!</v>
      </c>
      <c r="CL426" t="e">
        <f>Asia!13:13-"n/&gt;!4l8"</f>
        <v>#VALUE!</v>
      </c>
      <c r="CM426" t="e">
        <f>Asia!14:14-"n/&gt;!4l9"</f>
        <v>#VALUE!</v>
      </c>
      <c r="CN426" t="e">
        <f>Asia!15:15-"n/&gt;!4l:"</f>
        <v>#VALUE!</v>
      </c>
      <c r="CO426" t="e">
        <f>Asia!16:16-"n/&gt;!4l;"</f>
        <v>#VALUE!</v>
      </c>
      <c r="CP426" t="e">
        <f>Asia!17:17-"n/&gt;!4l&lt;"</f>
        <v>#VALUE!</v>
      </c>
      <c r="CQ426" t="e">
        <f>Asia!18:18-"n/&gt;!4l="</f>
        <v>#VALUE!</v>
      </c>
      <c r="CR426" t="e">
        <f>Asia!19:19-"n/&gt;!4l&gt;"</f>
        <v>#VALUE!</v>
      </c>
      <c r="CS426" t="e">
        <f>Asia!20:20-"n/&gt;!4l?"</f>
        <v>#VALUE!</v>
      </c>
      <c r="CT426" t="e">
        <f>Asia!21:21-"n/&gt;!4l@"</f>
        <v>#VALUE!</v>
      </c>
      <c r="CU426" t="e">
        <f>Asia!22:22-"n/&gt;!4lA"</f>
        <v>#VALUE!</v>
      </c>
      <c r="CV426" t="e">
        <f>Asia!23:23-"n/&gt;!4lB"</f>
        <v>#VALUE!</v>
      </c>
      <c r="CW426" t="e">
        <f>Asia!24:24-"n/&gt;!4lC"</f>
        <v>#VALUE!</v>
      </c>
      <c r="CX426" t="e">
        <f>Asia!25:25-"n/&gt;!4lD"</f>
        <v>#VALUE!</v>
      </c>
      <c r="CY426" t="e">
        <f>Asia!26:26-"n/&gt;!4lE"</f>
        <v>#VALUE!</v>
      </c>
      <c r="CZ426" t="e">
        <f>Asia!27:27-"n/&gt;!4lF"</f>
        <v>#VALUE!</v>
      </c>
      <c r="DA426" t="e">
        <f>Asia!28:28-"n/&gt;!4lG"</f>
        <v>#VALUE!</v>
      </c>
      <c r="DB426" t="e">
        <f>Asia!29:29-"n/&gt;!4lH"</f>
        <v>#VALUE!</v>
      </c>
      <c r="DC426" t="e">
        <f>Asia!30:30-"n/&gt;!4lI"</f>
        <v>#VALUE!</v>
      </c>
      <c r="DD426" t="e">
        <f>Asia!31:31-"n/&gt;!4lJ"</f>
        <v>#VALUE!</v>
      </c>
      <c r="DE426" t="e">
        <f>Asia!32:32-"n/&gt;!4lK"</f>
        <v>#VALUE!</v>
      </c>
      <c r="DF426" t="e">
        <f>Asia!33:33-"n/&gt;!4lL"</f>
        <v>#VALUE!</v>
      </c>
      <c r="DG426" t="e">
        <f>Asia!34:34-"n/&gt;!4lM"</f>
        <v>#VALUE!</v>
      </c>
      <c r="DH426" t="e">
        <f>Asia!35:35-"n/&gt;!4lN"</f>
        <v>#VALUE!</v>
      </c>
      <c r="DI426" t="e">
        <f>Asia!36:36-"n/&gt;!4lO"</f>
        <v>#VALUE!</v>
      </c>
      <c r="DJ426" t="e">
        <f>Asia!37:37-"n/&gt;!4lP"</f>
        <v>#VALUE!</v>
      </c>
      <c r="DK426" t="e">
        <f>Asia!38:38-"n/&gt;!4lQ"</f>
        <v>#VALUE!</v>
      </c>
      <c r="DL426" t="e">
        <f>Asia!39:39-"n/&gt;!4lR"</f>
        <v>#VALUE!</v>
      </c>
      <c r="DM426" t="e">
        <f>Asia!40:40-"n/&gt;!4lS"</f>
        <v>#VALUE!</v>
      </c>
      <c r="DN426" t="e">
        <f>Asia!41:41-"n/&gt;!4lT"</f>
        <v>#VALUE!</v>
      </c>
      <c r="DO426" t="e">
        <f>Asia!42:42-"n/&gt;!4lU"</f>
        <v>#VALUE!</v>
      </c>
      <c r="DP426" t="e">
        <f>Asia!43:43-"n/&gt;!4lV"</f>
        <v>#VALUE!</v>
      </c>
      <c r="DQ426" t="e">
        <f>Asia!44:44-"n/&gt;!4lW"</f>
        <v>#VALUE!</v>
      </c>
      <c r="DR426" t="e">
        <f>Asia!45:45-"n/&gt;!4lX"</f>
        <v>#VALUE!</v>
      </c>
      <c r="DS426" t="e">
        <f>Asia!46:46-"n/&gt;!4lY"</f>
        <v>#VALUE!</v>
      </c>
      <c r="DT426" t="e">
        <f>Asia!47:47-"n/&gt;!4lZ"</f>
        <v>#VALUE!</v>
      </c>
      <c r="DU426" t="e">
        <f>Asia!48:48-"n/&gt;!4l["</f>
        <v>#VALUE!</v>
      </c>
      <c r="DV426" t="e">
        <f>Asia!49:49-"n/&gt;!4l\"</f>
        <v>#VALUE!</v>
      </c>
      <c r="DW426" t="e">
        <f>Asia!50:50-"n/&gt;!4l]"</f>
        <v>#VALUE!</v>
      </c>
      <c r="DX426" t="e">
        <f>Asia!51:51-"n/&gt;!4l^"</f>
        <v>#VALUE!</v>
      </c>
      <c r="DY426" t="e">
        <f>Asia!52:52-"n/&gt;!4l_"</f>
        <v>#VALUE!</v>
      </c>
      <c r="DZ426" t="e">
        <f>Asia!53:53-"n/&gt;!4l`"</f>
        <v>#VALUE!</v>
      </c>
      <c r="EA426" t="e">
        <f>Asia!54:54-"n/&gt;!4la"</f>
        <v>#VALUE!</v>
      </c>
      <c r="EB426" t="e">
        <f>Asia!55:55-"n/&gt;!4lb"</f>
        <v>#VALUE!</v>
      </c>
      <c r="EC426" t="e">
        <f>Asia!56:56-"n/&gt;!4lc"</f>
        <v>#VALUE!</v>
      </c>
      <c r="ED426" t="e">
        <f>Asia!57:57-"n/&gt;!4ld"</f>
        <v>#VALUE!</v>
      </c>
      <c r="EE426" t="e">
        <f>Asia!58:58-"n/&gt;!4le"</f>
        <v>#VALUE!</v>
      </c>
      <c r="EF426" t="e">
        <f>Asia!59:59-"n/&gt;!4lf"</f>
        <v>#VALUE!</v>
      </c>
      <c r="EG426" t="e">
        <f>Asia!60:60-"n/&gt;!4lg"</f>
        <v>#VALUE!</v>
      </c>
      <c r="EH426" t="e">
        <f>Asia!61:61-"n/&gt;!4lh"</f>
        <v>#VALUE!</v>
      </c>
      <c r="EI426" t="e">
        <f>Asia!62:62-"n/&gt;!4li"</f>
        <v>#VALUE!</v>
      </c>
      <c r="EJ426" t="e">
        <f>Asia!63:63-"n/&gt;!4lj"</f>
        <v>#VALUE!</v>
      </c>
      <c r="EK426" t="e">
        <f>Asia!64:64-"n/&gt;!4lk"</f>
        <v>#VALUE!</v>
      </c>
      <c r="EL426" t="e">
        <f>Asia!65:65-"n/&gt;!4ll"</f>
        <v>#VALUE!</v>
      </c>
      <c r="EM426" t="e">
        <f>Asia!66:66-"n/&gt;!4lm"</f>
        <v>#VALUE!</v>
      </c>
      <c r="EN426" t="e">
        <f>Asia!67:67-"n/&gt;!4ln"</f>
        <v>#VALUE!</v>
      </c>
      <c r="EO426" t="e">
        <f>Asia!68:68-"n/&gt;!4lo"</f>
        <v>#VALUE!</v>
      </c>
      <c r="EP426" t="e">
        <f>Asia!69:69-"n/&gt;!4lp"</f>
        <v>#VALUE!</v>
      </c>
      <c r="EQ426" t="e">
        <f>Asia!70:70-"n/&gt;!4lq"</f>
        <v>#VALUE!</v>
      </c>
      <c r="ER426" t="e">
        <f>Asia!71:71-"n/&gt;!4lr"</f>
        <v>#VALUE!</v>
      </c>
      <c r="ES426" t="e">
        <f>Asia!72:72-"n/&gt;!4ls"</f>
        <v>#VALUE!</v>
      </c>
      <c r="ET426" t="e">
        <f>Asia!73:73-"n/&gt;!4lt"</f>
        <v>#VALUE!</v>
      </c>
      <c r="EU426" t="e">
        <f>Asia!74:74-"n/&gt;!4lu"</f>
        <v>#VALUE!</v>
      </c>
      <c r="EV426" t="e">
        <f>Asia!75:75-"n/&gt;!4lv"</f>
        <v>#VALUE!</v>
      </c>
      <c r="EW426" t="e">
        <f>Asia!76:76-"n/&gt;!4lw"</f>
        <v>#VALUE!</v>
      </c>
      <c r="EX426" t="e">
        <f>Asia!77:77-"n/&gt;!4lx"</f>
        <v>#VALUE!</v>
      </c>
      <c r="EY426" t="e">
        <f>Asia!78:78-"n/&gt;!4ly"</f>
        <v>#VALUE!</v>
      </c>
      <c r="EZ426" t="e">
        <f>Asia!79:79-"n/&gt;!4lz"</f>
        <v>#VALUE!</v>
      </c>
      <c r="FA426" t="e">
        <f>Asia!80:80-"n/&gt;!4l{"</f>
        <v>#VALUE!</v>
      </c>
      <c r="FB426" t="e">
        <f>Asia!81:81-"n/&gt;!4l|"</f>
        <v>#VALUE!</v>
      </c>
      <c r="FC426" t="e">
        <f>Asia!82:82-"n/&gt;!4l}"</f>
        <v>#VALUE!</v>
      </c>
      <c r="FD426" t="e">
        <f>Asia!83:83-"n/&gt;!4l~"</f>
        <v>#VALUE!</v>
      </c>
      <c r="FE426" t="e">
        <f>Asia!84:84-"n/&gt;!4m#"</f>
        <v>#VALUE!</v>
      </c>
      <c r="FF426" t="e">
        <f>Asia!85:85-"n/&gt;!4m$"</f>
        <v>#VALUE!</v>
      </c>
      <c r="FG426" t="e">
        <f>Asia!86:86-"n/&gt;!4m%"</f>
        <v>#VALUE!</v>
      </c>
      <c r="FH426" t="e">
        <f>Asia!87:87-"n/&gt;!4m&amp;"</f>
        <v>#VALUE!</v>
      </c>
      <c r="FI426" t="e">
        <f>Asia!88:88-"n/&gt;!4m'"</f>
        <v>#VALUE!</v>
      </c>
      <c r="FJ426" t="e">
        <f>Asia!89:89-"n/&gt;!4m("</f>
        <v>#VALUE!</v>
      </c>
      <c r="FK426" t="e">
        <f>Asia!90:90-"n/&gt;!4m)"</f>
        <v>#VALUE!</v>
      </c>
      <c r="FL426" t="e">
        <f>Asia!91:91-"n/&gt;!4m."</f>
        <v>#VALUE!</v>
      </c>
      <c r="FM426" t="e">
        <f>Asia!92:92-"n/&gt;!4m/"</f>
        <v>#VALUE!</v>
      </c>
      <c r="FN426" t="e">
        <f>Asia!93:93-"n/&gt;!4m0"</f>
        <v>#VALUE!</v>
      </c>
      <c r="FO426" t="e">
        <f>Asia!94:94-"n/&gt;!4m1"</f>
        <v>#VALUE!</v>
      </c>
      <c r="FP426" t="e">
        <f>Asia!95:95-"n/&gt;!4m2"</f>
        <v>#VALUE!</v>
      </c>
      <c r="FQ426" t="e">
        <f>Asia!96:96-"n/&gt;!4m3"</f>
        <v>#VALUE!</v>
      </c>
      <c r="FR426" t="e">
        <f>Asia!97:97-"n/&gt;!4m4"</f>
        <v>#VALUE!</v>
      </c>
      <c r="FS426" t="e">
        <f>Asia!98:98-"n/&gt;!4m5"</f>
        <v>#VALUE!</v>
      </c>
      <c r="FT426" t="e">
        <f>Asia!99:99-"n/&gt;!4m6"</f>
        <v>#VALUE!</v>
      </c>
      <c r="FU426" t="e">
        <f>Asia!100:100-"n/&gt;!4m7"</f>
        <v>#VALUE!</v>
      </c>
      <c r="FV426" t="e">
        <f>Asia!101:101-"n/&gt;!4m8"</f>
        <v>#VALUE!</v>
      </c>
      <c r="FW426" t="e">
        <f>Asia!102:102-"n/&gt;!4m9"</f>
        <v>#VALUE!</v>
      </c>
      <c r="FX426" t="e">
        <f>Asia!103:103-"n/&gt;!4m:"</f>
        <v>#VALUE!</v>
      </c>
      <c r="FY426" t="e">
        <f>Asia!104:104-"n/&gt;!4m;"</f>
        <v>#VALUE!</v>
      </c>
      <c r="FZ426" t="e">
        <f>Asia!105:105-"n/&gt;!4m&lt;"</f>
        <v>#VALUE!</v>
      </c>
      <c r="GA426" t="e">
        <f>Asia!106:106-"n/&gt;!4m="</f>
        <v>#VALUE!</v>
      </c>
      <c r="GB426" t="e">
        <f>Asia!107:107-"n/&gt;!4m&gt;"</f>
        <v>#VALUE!</v>
      </c>
      <c r="GC426" t="e">
        <f>Asia!108:108-"n/&gt;!4m?"</f>
        <v>#VALUE!</v>
      </c>
      <c r="GD426" t="e">
        <f>Asia!109:109-"n/&gt;!4m@"</f>
        <v>#VALUE!</v>
      </c>
      <c r="GE426" t="e">
        <f>Asia!110:110-"n/&gt;!4mA"</f>
        <v>#VALUE!</v>
      </c>
      <c r="GF426" t="e">
        <f>Asia!111:111-"n/&gt;!4mB"</f>
        <v>#VALUE!</v>
      </c>
      <c r="GG426" t="e">
        <f>Asia!112:112-"n/&gt;!4mC"</f>
        <v>#VALUE!</v>
      </c>
      <c r="GH426" t="e">
        <f>Asia!113:113-"n/&gt;!4mD"</f>
        <v>#VALUE!</v>
      </c>
      <c r="GI426" t="e">
        <f>Asia!114:114-"n/&gt;!4mE"</f>
        <v>#VALUE!</v>
      </c>
      <c r="GJ426" t="e">
        <f>Asia!115:115-"n/&gt;!4mF"</f>
        <v>#VALUE!</v>
      </c>
      <c r="GK426" t="e">
        <f>Asia!116:116-"n/&gt;!4mG"</f>
        <v>#VALUE!</v>
      </c>
      <c r="GL426" t="e">
        <f>Asia!117:117-"n/&gt;!4mH"</f>
        <v>#VALUE!</v>
      </c>
      <c r="GM426" t="e">
        <f>Asia!118:118-"n/&gt;!4mI"</f>
        <v>#VALUE!</v>
      </c>
      <c r="GN426" t="e">
        <f>Asia!119:119-"n/&gt;!4mJ"</f>
        <v>#VALUE!</v>
      </c>
      <c r="GO426" t="e">
        <f>Asia!120:120-"n/&gt;!4mK"</f>
        <v>#VALUE!</v>
      </c>
      <c r="GP426" t="e">
        <f>Asia!121:121-"n/&gt;!4mL"</f>
        <v>#VALUE!</v>
      </c>
      <c r="GQ426" t="e">
        <f>Asia!122:122-"n/&gt;!4mM"</f>
        <v>#VALUE!</v>
      </c>
      <c r="GR426" t="e">
        <f>Asia!123:123-"n/&gt;!4mN"</f>
        <v>#VALUE!</v>
      </c>
      <c r="GS426" t="e">
        <f>Asia!124:124-"n/&gt;!4mO"</f>
        <v>#VALUE!</v>
      </c>
      <c r="GT426" t="e">
        <f>Asia!125:125-"n/&gt;!4mP"</f>
        <v>#VALUE!</v>
      </c>
      <c r="GU426" t="e">
        <f>Asia!126:126-"n/&gt;!4mQ"</f>
        <v>#VALUE!</v>
      </c>
      <c r="GV426" t="e">
        <f>Asia!127:127-"n/&gt;!4mR"</f>
        <v>#VALUE!</v>
      </c>
      <c r="GW426" t="e">
        <f>Asia!128:128-"n/&gt;!4mS"</f>
        <v>#VALUE!</v>
      </c>
      <c r="GX426" t="e">
        <f>Asia!129:129-"n/&gt;!4mT"</f>
        <v>#VALUE!</v>
      </c>
      <c r="GY426" t="e">
        <f>Asia!130:130-"n/&gt;!4mU"</f>
        <v>#VALUE!</v>
      </c>
      <c r="GZ426" t="e">
        <f>Asia!131:131-"n/&gt;!4mV"</f>
        <v>#VALUE!</v>
      </c>
      <c r="HA426" t="e">
        <f>Asia!132:132-"n/&gt;!4mW"</f>
        <v>#VALUE!</v>
      </c>
      <c r="HB426" t="e">
        <f>Asia!133:133-"n/&gt;!4mX"</f>
        <v>#VALUE!</v>
      </c>
      <c r="HC426" t="e">
        <f>Asia!134:134-"n/&gt;!4mY"</f>
        <v>#VALUE!</v>
      </c>
      <c r="HD426" t="e">
        <f>Asia!135:135-"n/&gt;!4mZ"</f>
        <v>#VALUE!</v>
      </c>
      <c r="HE426" t="e">
        <f>Asia!136:136-"n/&gt;!4m["</f>
        <v>#VALUE!</v>
      </c>
      <c r="HF426" t="e">
        <f>Asia!137:137-"n/&gt;!4m\"</f>
        <v>#VALUE!</v>
      </c>
      <c r="HG426" t="e">
        <f>Asia!138:138-"n/&gt;!4m]"</f>
        <v>#VALUE!</v>
      </c>
      <c r="HH426" t="e">
        <f>Asia!139:139-"n/&gt;!4m^"</f>
        <v>#VALUE!</v>
      </c>
      <c r="HI426" t="e">
        <f>Asia!140:140-"n/&gt;!4m_"</f>
        <v>#VALUE!</v>
      </c>
      <c r="HJ426" t="e">
        <f>Asia!141:141-"n/&gt;!4m`"</f>
        <v>#VALUE!</v>
      </c>
      <c r="HK426" t="e">
        <f>Asia!142:142-"n/&gt;!4ma"</f>
        <v>#VALUE!</v>
      </c>
      <c r="HL426" t="e">
        <f>Asia!143:143-"n/&gt;!4mb"</f>
        <v>#VALUE!</v>
      </c>
      <c r="HM426" t="e">
        <f>Asia!144:144-"n/&gt;!4mc"</f>
        <v>#VALUE!</v>
      </c>
      <c r="HN426" t="e">
        <f>Asia!145:145-"n/&gt;!4md"</f>
        <v>#VALUE!</v>
      </c>
      <c r="HO426" t="e">
        <f>Asia!146:146-"n/&gt;!4me"</f>
        <v>#VALUE!</v>
      </c>
      <c r="HP426" t="e">
        <f>Asia!147:147-"n/&gt;!4mf"</f>
        <v>#VALUE!</v>
      </c>
      <c r="HQ426" t="e">
        <f>Asia!148:148-"n/&gt;!4mg"</f>
        <v>#VALUE!</v>
      </c>
      <c r="HR426" t="e">
        <f>Asia!149:149-"n/&gt;!4mh"</f>
        <v>#VALUE!</v>
      </c>
      <c r="HS426" t="e">
        <f>Asia!150:150-"n/&gt;!4mi"</f>
        <v>#VALUE!</v>
      </c>
      <c r="HT426" t="e">
        <f>Asia!151:151-"n/&gt;!4mj"</f>
        <v>#VALUE!</v>
      </c>
      <c r="HU426" t="e">
        <f>Asia!152:152-"n/&gt;!4mk"</f>
        <v>#VALUE!</v>
      </c>
      <c r="HV426" t="e">
        <f>Asia!153:153-"n/&gt;!4ml"</f>
        <v>#VALUE!</v>
      </c>
      <c r="HW426" t="e">
        <f>Asia!154:154-"n/&gt;!4mm"</f>
        <v>#VALUE!</v>
      </c>
      <c r="HX426" t="e">
        <f>Asia!155:155-"n/&gt;!4mn"</f>
        <v>#VALUE!</v>
      </c>
      <c r="HY426" t="e">
        <f>Asia!156:156-"n/&gt;!4mo"</f>
        <v>#VALUE!</v>
      </c>
      <c r="HZ426" t="e">
        <f>Asia!157:157-"n/&gt;!4mp"</f>
        <v>#VALUE!</v>
      </c>
      <c r="IA426" t="e">
        <f>Asia!158:158-"n/&gt;!4mq"</f>
        <v>#VALUE!</v>
      </c>
      <c r="IB426" t="e">
        <f>Asia!159:159-"n/&gt;!4mr"</f>
        <v>#VALUE!</v>
      </c>
      <c r="IC426" t="e">
        <f>Asia!160:160-"n/&gt;!4ms"</f>
        <v>#VALUE!</v>
      </c>
      <c r="ID426" t="e">
        <f>Asia!161:161-"n/&gt;!4mt"</f>
        <v>#VALUE!</v>
      </c>
      <c r="IE426" t="e">
        <f>Asia!162:162-"n/&gt;!4mu"</f>
        <v>#VALUE!</v>
      </c>
      <c r="IF426" t="e">
        <f>Asia!163:163-"n/&gt;!4mv"</f>
        <v>#VALUE!</v>
      </c>
      <c r="IG426" t="e">
        <f>Asia!164:164-"n/&gt;!4mw"</f>
        <v>#VALUE!</v>
      </c>
      <c r="IH426" t="e">
        <f>Asia!165:165-"n/&gt;!4mx"</f>
        <v>#VALUE!</v>
      </c>
      <c r="II426" t="e">
        <f>Asia!166:166-"n/&gt;!4my"</f>
        <v>#VALUE!</v>
      </c>
      <c r="IJ426" t="e">
        <f>Asia!167:167-"n/&gt;!4mz"</f>
        <v>#VALUE!</v>
      </c>
      <c r="IK426" t="e">
        <f>Asia!168:168-"n/&gt;!4m{"</f>
        <v>#VALUE!</v>
      </c>
      <c r="IL426" t="e">
        <f>Asia!169:169-"n/&gt;!4m|"</f>
        <v>#VALUE!</v>
      </c>
      <c r="IM426" t="e">
        <f>Asia!170:170-"n/&gt;!4m}"</f>
        <v>#VALUE!</v>
      </c>
      <c r="IN426" t="e">
        <f>Asia!171:171-"n/&gt;!4m~"</f>
        <v>#VALUE!</v>
      </c>
      <c r="IO426" t="e">
        <f>Asia!172:172-"n/&gt;!4n#"</f>
        <v>#VALUE!</v>
      </c>
      <c r="IP426" t="e">
        <f>Asia!173:173-"n/&gt;!4n$"</f>
        <v>#VALUE!</v>
      </c>
      <c r="IQ426" t="e">
        <f>Asia!174:174-"n/&gt;!4n%"</f>
        <v>#VALUE!</v>
      </c>
      <c r="IR426" t="e">
        <f>Asia!175:175-"n/&gt;!4n&amp;"</f>
        <v>#VALUE!</v>
      </c>
      <c r="IS426" t="e">
        <f>Asia!176:176-"n/&gt;!4n'"</f>
        <v>#VALUE!</v>
      </c>
      <c r="IT426" t="e">
        <f>Asia!177:177-"n/&gt;!4n("</f>
        <v>#VALUE!</v>
      </c>
      <c r="IU426" t="e">
        <f>Asia!178:178-"n/&gt;!4n)"</f>
        <v>#VALUE!</v>
      </c>
      <c r="IV426" t="e">
        <f>Asia!179:179-"n/&gt;!4n."</f>
        <v>#VALUE!</v>
      </c>
    </row>
    <row r="427" spans="6:256" x14ac:dyDescent="0.35">
      <c r="F427" t="e">
        <f>Asia!180:180-"n/&gt;!4n/"</f>
        <v>#VALUE!</v>
      </c>
      <c r="G427" t="e">
        <f>Asia!181:181-"n/&gt;!4n0"</f>
        <v>#VALUE!</v>
      </c>
      <c r="H427" t="e">
        <f>Asia!182:182-"n/&gt;!4n1"</f>
        <v>#VALUE!</v>
      </c>
      <c r="I427" t="e">
        <f>Asia!183:183-"n/&gt;!4n2"</f>
        <v>#VALUE!</v>
      </c>
      <c r="J427" t="e">
        <f>Asia!184:184-"n/&gt;!4n3"</f>
        <v>#VALUE!</v>
      </c>
      <c r="K427" t="e">
        <f>Asia!185:185-"n/&gt;!4n4"</f>
        <v>#VALUE!</v>
      </c>
      <c r="L427" t="e">
        <f>Asia!186:186-"n/&gt;!4n5"</f>
        <v>#VALUE!</v>
      </c>
      <c r="M427" t="e">
        <f>Asia!187:187-"n/&gt;!4n6"</f>
        <v>#VALUE!</v>
      </c>
      <c r="N427" t="e">
        <f>Asia!188:188-"n/&gt;!4n7"</f>
        <v>#VALUE!</v>
      </c>
      <c r="O427" t="e">
        <f>Asia!189:189-"n/&gt;!4n8"</f>
        <v>#VALUE!</v>
      </c>
      <c r="P427" t="e">
        <f>Asia!190:190-"n/&gt;!4n9"</f>
        <v>#VALUE!</v>
      </c>
      <c r="Q427" t="e">
        <f>Asia!191:191-"n/&gt;!4n:"</f>
        <v>#VALUE!</v>
      </c>
      <c r="R427" t="e">
        <f>Asia!192:192-"n/&gt;!4n;"</f>
        <v>#VALUE!</v>
      </c>
      <c r="S427" t="e">
        <f>Asia!193:193-"n/&gt;!4n&lt;"</f>
        <v>#VALUE!</v>
      </c>
      <c r="T427" t="e">
        <f>Asia!194:194-"n/&gt;!4n="</f>
        <v>#VALUE!</v>
      </c>
      <c r="U427" t="e">
        <f>Asia!195:195-"n/&gt;!4n&gt;"</f>
        <v>#VALUE!</v>
      </c>
      <c r="V427" t="e">
        <f>Asia!196:196-"n/&gt;!4n?"</f>
        <v>#VALUE!</v>
      </c>
      <c r="W427" t="e">
        <f>Asia!197:197-"n/&gt;!4n@"</f>
        <v>#VALUE!</v>
      </c>
      <c r="X427" t="e">
        <f>Asia!198:198-"n/&gt;!4nA"</f>
        <v>#VALUE!</v>
      </c>
      <c r="Y427" t="e">
        <f>Asia!199:199-"n/&gt;!4nB"</f>
        <v>#VALUE!</v>
      </c>
      <c r="Z427" t="e">
        <f>Asia!200:200-"n/&gt;!4nC"</f>
        <v>#VALUE!</v>
      </c>
      <c r="AA427" t="e">
        <f>Asia!201:201-"n/&gt;!4nD"</f>
        <v>#VALUE!</v>
      </c>
      <c r="AB427" t="e">
        <f>Asia!202:202-"n/&gt;!4nE"</f>
        <v>#VALUE!</v>
      </c>
      <c r="AC427" t="e">
        <f>Asia!203:203-"n/&gt;!4nF"</f>
        <v>#VALUE!</v>
      </c>
      <c r="AD427" t="e">
        <f>Asia!204:204-"n/&gt;!4nG"</f>
        <v>#VALUE!</v>
      </c>
      <c r="AE427" t="e">
        <f>Asia!205:205-"n/&gt;!4nH"</f>
        <v>#VALUE!</v>
      </c>
      <c r="AF427" t="e">
        <f>Asia!206:206-"n/&gt;!4nI"</f>
        <v>#VALUE!</v>
      </c>
      <c r="AG427" t="e">
        <f>Asia!207:207-"n/&gt;!4nJ"</f>
        <v>#VALUE!</v>
      </c>
      <c r="AH427" t="e">
        <f>Asia!208:208-"n/&gt;!4nK"</f>
        <v>#VALUE!</v>
      </c>
      <c r="AI427" t="e">
        <f>Asia!209:209-"n/&gt;!4nL"</f>
        <v>#VALUE!</v>
      </c>
      <c r="AJ427" t="e">
        <f>Asia!210:210-"n/&gt;!4nM"</f>
        <v>#VALUE!</v>
      </c>
      <c r="AK427" t="e">
        <f>Asia!211:211-"n/&gt;!4nN"</f>
        <v>#VALUE!</v>
      </c>
      <c r="AL427" t="e">
        <f>Asia!212:212-"n/&gt;!4nO"</f>
        <v>#VALUE!</v>
      </c>
      <c r="AM427" t="e">
        <f>Asia!213:213-"n/&gt;!4nP"</f>
        <v>#VALUE!</v>
      </c>
      <c r="AN427" t="e">
        <f>Asia!214:214-"n/&gt;!4nQ"</f>
        <v>#VALUE!</v>
      </c>
      <c r="AO427" t="e">
        <f>Asia!215:215-"n/&gt;!4nR"</f>
        <v>#VALUE!</v>
      </c>
      <c r="AP427" t="e">
        <f>Asia!216:216-"n/&gt;!4nS"</f>
        <v>#VALUE!</v>
      </c>
      <c r="AQ427" t="e">
        <f>Asia!217:217-"n/&gt;!4nT"</f>
        <v>#VALUE!</v>
      </c>
      <c r="AR427" t="e">
        <f>Asia!218:218-"n/&gt;!4nU"</f>
        <v>#VALUE!</v>
      </c>
      <c r="AS427" t="e">
        <f>Asia!219:219-"n/&gt;!4nV"</f>
        <v>#VALUE!</v>
      </c>
      <c r="AT427" t="e">
        <f>Asia!220:220-"n/&gt;!4nW"</f>
        <v>#VALUE!</v>
      </c>
      <c r="AU427" t="e">
        <f>Asia!221:221-"n/&gt;!4nX"</f>
        <v>#VALUE!</v>
      </c>
      <c r="AV427" t="e">
        <f>Asia!222:222-"n/&gt;!4nY"</f>
        <v>#VALUE!</v>
      </c>
      <c r="AW427" t="e">
        <f>Asia!223:223-"n/&gt;!4nZ"</f>
        <v>#VALUE!</v>
      </c>
      <c r="AX427" t="e">
        <f>Asia!224:224-"n/&gt;!4n["</f>
        <v>#VALUE!</v>
      </c>
      <c r="AY427" t="e">
        <f>Asia!225:225-"n/&gt;!4n\"</f>
        <v>#VALUE!</v>
      </c>
      <c r="AZ427" t="e">
        <f>Asia!226:226-"n/&gt;!4n]"</f>
        <v>#VALUE!</v>
      </c>
      <c r="BA427" t="e">
        <f>Asia!227:227-"n/&gt;!4n^"</f>
        <v>#VALUE!</v>
      </c>
      <c r="BB427" t="e">
        <f>Asia!228:228-"n/&gt;!4n_"</f>
        <v>#VALUE!</v>
      </c>
      <c r="BC427" t="e">
        <f>Asia!229:229-"n/&gt;!4n`"</f>
        <v>#VALUE!</v>
      </c>
      <c r="BD427" t="e">
        <f>Asia!230:230-"n/&gt;!4na"</f>
        <v>#VALUE!</v>
      </c>
      <c r="BE427" t="e">
        <f>Asia!231:231-"n/&gt;!4nb"</f>
        <v>#VALUE!</v>
      </c>
      <c r="BF427" t="e">
        <f>Asia!232:232-"n/&gt;!4nc"</f>
        <v>#VALUE!</v>
      </c>
      <c r="BG427" t="e">
        <f>Asia!233:233-"n/&gt;!4nd"</f>
        <v>#VALUE!</v>
      </c>
      <c r="BH427" t="e">
        <f>Asia!234:234-"n/&gt;!4ne"</f>
        <v>#VALUE!</v>
      </c>
      <c r="BI427" t="e">
        <f>Asia!235:235-"n/&gt;!4nf"</f>
        <v>#VALUE!</v>
      </c>
      <c r="BJ427" t="e">
        <f>Asia!236:236-"n/&gt;!4ng"</f>
        <v>#VALUE!</v>
      </c>
      <c r="BK427" t="e">
        <f>Asia!237:237-"n/&gt;!4nh"</f>
        <v>#VALUE!</v>
      </c>
      <c r="BL427" t="e">
        <f>Asia!238:238-"n/&gt;!4ni"</f>
        <v>#VALUE!</v>
      </c>
      <c r="BM427" t="e">
        <f>Asia!239:239-"n/&gt;!4nj"</f>
        <v>#VALUE!</v>
      </c>
      <c r="BN427" t="e">
        <f>Asia!240:240-"n/&gt;!4nk"</f>
        <v>#VALUE!</v>
      </c>
      <c r="BO427" t="e">
        <f>Asia!241:241-"n/&gt;!4nl"</f>
        <v>#VALUE!</v>
      </c>
      <c r="BP427" t="e">
        <f>Asia!242:242-"n/&gt;!4nm"</f>
        <v>#VALUE!</v>
      </c>
      <c r="BQ427" t="e">
        <f>Asia!243:243-"n/&gt;!4nn"</f>
        <v>#VALUE!</v>
      </c>
      <c r="BR427" t="e">
        <f>Asia!244:244-"n/&gt;!4no"</f>
        <v>#VALUE!</v>
      </c>
      <c r="BS427" t="e">
        <f>Asia!245:245-"n/&gt;!4np"</f>
        <v>#VALUE!</v>
      </c>
      <c r="BT427" t="e">
        <f>Asia!246:246-"n/&gt;!4nq"</f>
        <v>#VALUE!</v>
      </c>
      <c r="BU427" t="e">
        <f>Asia!247:247-"n/&gt;!4nr"</f>
        <v>#VALUE!</v>
      </c>
      <c r="BV427" t="e">
        <f>Asia!248:248-"n/&gt;!4ns"</f>
        <v>#VALUE!</v>
      </c>
      <c r="BW427" t="e">
        <f>Asia!249:249-"n/&gt;!4nt"</f>
        <v>#VALUE!</v>
      </c>
      <c r="BX427" t="e">
        <f>Asia!250:250-"n/&gt;!4nu"</f>
        <v>#VALUE!</v>
      </c>
      <c r="BY427" t="e">
        <f>Asia!251:251-"n/&gt;!4nv"</f>
        <v>#VALUE!</v>
      </c>
      <c r="BZ427" t="e">
        <f>Asia!252:252-"n/&gt;!4nw"</f>
        <v>#VALUE!</v>
      </c>
      <c r="CA427" t="e">
        <f>Asia!253:253-"n/&gt;!4nx"</f>
        <v>#VALUE!</v>
      </c>
      <c r="CB427" t="e">
        <f>Asia!254:254-"n/&gt;!4ny"</f>
        <v>#VALUE!</v>
      </c>
      <c r="CC427" t="e">
        <f>Asia!255:255-"n/&gt;!4nz"</f>
        <v>#VALUE!</v>
      </c>
      <c r="CD427" t="e">
        <f>Asia!256:256-"n/&gt;!4n{"</f>
        <v>#VALUE!</v>
      </c>
      <c r="CE427" t="e">
        <f>Asia!257:257-"n/&gt;!4n|"</f>
        <v>#VALUE!</v>
      </c>
      <c r="CF427" t="e">
        <f>Asia!258:258-"n/&gt;!4n}"</f>
        <v>#VALUE!</v>
      </c>
      <c r="CG427" t="e">
        <f>Asia!259:259-"n/&gt;!4n~"</f>
        <v>#VALUE!</v>
      </c>
      <c r="CH427" t="e">
        <f>Asia!260:260-"n/&gt;!4o#"</f>
        <v>#VALUE!</v>
      </c>
      <c r="CI427" t="e">
        <f>Asia!261:261-"n/&gt;!4o$"</f>
        <v>#VALUE!</v>
      </c>
      <c r="CJ427" t="e">
        <f>Asia!262:262-"n/&gt;!4o%"</f>
        <v>#VALUE!</v>
      </c>
      <c r="CK427" t="e">
        <f>Asia!263:263-"n/&gt;!4o&amp;"</f>
        <v>#VALUE!</v>
      </c>
      <c r="CL427" t="e">
        <f>Asia!264:264-"n/&gt;!4o'"</f>
        <v>#VALUE!</v>
      </c>
      <c r="CM427" t="e">
        <f>Asia!265:265-"n/&gt;!4o("</f>
        <v>#VALUE!</v>
      </c>
      <c r="CN427" t="e">
        <f>Asia!266:266-"n/&gt;!4o)"</f>
        <v>#VALUE!</v>
      </c>
      <c r="CO427" t="e">
        <f>Asia!267:267-"n/&gt;!4o."</f>
        <v>#VALUE!</v>
      </c>
      <c r="CP427" t="e">
        <f>Asia!268:268-"n/&gt;!4o/"</f>
        <v>#VALUE!</v>
      </c>
      <c r="CQ427" t="e">
        <f>Asia!269:269-"n/&gt;!4o0"</f>
        <v>#VALUE!</v>
      </c>
      <c r="CR427" t="e">
        <f>Asia!270:270-"n/&gt;!4o1"</f>
        <v>#VALUE!</v>
      </c>
      <c r="CS427" t="e">
        <f>Asia!271:271-"n/&gt;!4o2"</f>
        <v>#VALUE!</v>
      </c>
      <c r="CT427" t="e">
        <f>Asia!272:272-"n/&gt;!4o3"</f>
        <v>#VALUE!</v>
      </c>
      <c r="CU427" t="e">
        <f>Asia!273:273-"n/&gt;!4o4"</f>
        <v>#VALUE!</v>
      </c>
      <c r="CV427" t="e">
        <f>Asia!274:274-"n/&gt;!4o5"</f>
        <v>#VALUE!</v>
      </c>
      <c r="CW427" t="e">
        <f>Asia!275:275-"n/&gt;!4o6"</f>
        <v>#VALUE!</v>
      </c>
      <c r="CX427" t="e">
        <f>Asia!276:276-"n/&gt;!4o7"</f>
        <v>#VALUE!</v>
      </c>
      <c r="CY427" t="e">
        <f>Asia!277:277-"n/&gt;!4o8"</f>
        <v>#VALUE!</v>
      </c>
      <c r="CZ427" t="e">
        <f>Asia!278:278-"n/&gt;!4o9"</f>
        <v>#VALUE!</v>
      </c>
      <c r="DA427" t="e">
        <f>Asia!279:279-"n/&gt;!4o:"</f>
        <v>#VALUE!</v>
      </c>
      <c r="DB427" t="e">
        <f>Asia!280:280-"n/&gt;!4o;"</f>
        <v>#VALUE!</v>
      </c>
      <c r="DC427" t="e">
        <f>Asia!281:281-"n/&gt;!4o&lt;"</f>
        <v>#VALUE!</v>
      </c>
      <c r="DD427" t="e">
        <f>Asia!282:282-"n/&gt;!4o="</f>
        <v>#VALUE!</v>
      </c>
      <c r="DE427" t="e">
        <f>Asia!283:283-"n/&gt;!4o&gt;"</f>
        <v>#VALUE!</v>
      </c>
      <c r="DF427" t="e">
        <f>Asia!284:284-"n/&gt;!4o?"</f>
        <v>#VALUE!</v>
      </c>
      <c r="DG427" t="e">
        <f>Asia!285:285-"n/&gt;!4o@"</f>
        <v>#VALUE!</v>
      </c>
      <c r="DH427" t="e">
        <f>Asia!286:286-"n/&gt;!4oA"</f>
        <v>#VALUE!</v>
      </c>
      <c r="DI427" t="e">
        <f>Asia!287:287-"n/&gt;!4oB"</f>
        <v>#VALUE!</v>
      </c>
      <c r="DJ427" t="e">
        <f>Asia!288:288-"n/&gt;!4oC"</f>
        <v>#VALUE!</v>
      </c>
      <c r="DK427" t="e">
        <f>Asia!289:289-"n/&gt;!4oD"</f>
        <v>#VALUE!</v>
      </c>
      <c r="DL427" t="e">
        <f>Asia!290:290-"n/&gt;!4oE"</f>
        <v>#VALUE!</v>
      </c>
      <c r="DM427" t="e">
        <f>Asia!291:291-"n/&gt;!4oF"</f>
        <v>#VALUE!</v>
      </c>
      <c r="DN427" t="e">
        <f>Asia!292:292-"n/&gt;!4oG"</f>
        <v>#VALUE!</v>
      </c>
      <c r="DO427" t="e">
        <f>Asia!293:293-"n/&gt;!4oH"</f>
        <v>#VALUE!</v>
      </c>
      <c r="DP427" t="e">
        <f>Asia!294:294-"n/&gt;!4oI"</f>
        <v>#VALUE!</v>
      </c>
      <c r="DQ427" t="e">
        <f>Asia!295:295-"n/&gt;!4oJ"</f>
        <v>#VALUE!</v>
      </c>
      <c r="DR427" t="e">
        <f>Asia!296:296-"n/&gt;!4oK"</f>
        <v>#VALUE!</v>
      </c>
      <c r="DS427" t="e">
        <f>Asia!297:297-"n/&gt;!4oL"</f>
        <v>#VALUE!</v>
      </c>
      <c r="DT427" t="e">
        <f>Asia!298:298-"n/&gt;!4oM"</f>
        <v>#VALUE!</v>
      </c>
      <c r="DU427" t="e">
        <f>Asia!299:299-"n/&gt;!4oN"</f>
        <v>#VALUE!</v>
      </c>
      <c r="DV427" t="e">
        <f>Asia!300:300-"n/&gt;!4oO"</f>
        <v>#VALUE!</v>
      </c>
      <c r="DW427" t="e">
        <f>Asia!301:301-"n/&gt;!4oP"</f>
        <v>#VALUE!</v>
      </c>
      <c r="DX427" t="e">
        <f>Asia!302:302-"n/&gt;!4oQ"</f>
        <v>#VALUE!</v>
      </c>
      <c r="DY427" t="e">
        <f>Asia!303:303-"n/&gt;!4oR"</f>
        <v>#VALUE!</v>
      </c>
      <c r="DZ427" t="e">
        <f>Asia!304:304-"n/&gt;!4oS"</f>
        <v>#VALUE!</v>
      </c>
      <c r="EA427" t="e">
        <f>Asia!305:305-"n/&gt;!4oT"</f>
        <v>#VALUE!</v>
      </c>
      <c r="EB427" t="e">
        <f>Asia!306:306-"n/&gt;!4oU"</f>
        <v>#VALUE!</v>
      </c>
      <c r="EC427" t="e">
        <f>Asia!307:307-"n/&gt;!4oV"</f>
        <v>#VALUE!</v>
      </c>
      <c r="ED427" t="e">
        <f>Asia!308:308-"n/&gt;!4oW"</f>
        <v>#VALUE!</v>
      </c>
      <c r="EE427" t="e">
        <f>Asia!309:309-"n/&gt;!4oX"</f>
        <v>#VALUE!</v>
      </c>
      <c r="EF427" t="e">
        <f>Asia!310:310-"n/&gt;!4oY"</f>
        <v>#VALUE!</v>
      </c>
      <c r="EG427" t="e">
        <f>Asia!311:311-"n/&gt;!4oZ"</f>
        <v>#VALUE!</v>
      </c>
      <c r="EH427" t="e">
        <f>Asia!312:312-"n/&gt;!4o["</f>
        <v>#VALUE!</v>
      </c>
      <c r="EI427" t="e">
        <f>Asia!313:313-"n/&gt;!4o\"</f>
        <v>#VALUE!</v>
      </c>
      <c r="EJ427" t="e">
        <f>Asia!314:314-"n/&gt;!4o]"</f>
        <v>#VALUE!</v>
      </c>
      <c r="EK427" t="e">
        <f>Asia!315:315-"n/&gt;!4o^"</f>
        <v>#VALUE!</v>
      </c>
      <c r="EL427" t="e">
        <f>Asia!316:316-"n/&gt;!4o_"</f>
        <v>#VALUE!</v>
      </c>
      <c r="EM427" t="e">
        <f>Asia!317:317-"n/&gt;!4o`"</f>
        <v>#VALUE!</v>
      </c>
      <c r="EN427" t="e">
        <f>Asia!318:318-"n/&gt;!4oa"</f>
        <v>#VALUE!</v>
      </c>
      <c r="EO427" t="e">
        <f>Asia!319:319-"n/&gt;!4ob"</f>
        <v>#VALUE!</v>
      </c>
      <c r="EP427" t="e">
        <f>Asia!320:320-"n/&gt;!4oc"</f>
        <v>#VALUE!</v>
      </c>
      <c r="EQ427" t="e">
        <f>Asia!321:321-"n/&gt;!4od"</f>
        <v>#VALUE!</v>
      </c>
      <c r="ER427" t="e">
        <f>Asia!322:322-"n/&gt;!4oe"</f>
        <v>#VALUE!</v>
      </c>
      <c r="ES427" t="e">
        <f>Asia!323:323-"n/&gt;!4of"</f>
        <v>#VALUE!</v>
      </c>
      <c r="ET427" t="e">
        <f>Asia!324:324-"n/&gt;!4og"</f>
        <v>#VALUE!</v>
      </c>
      <c r="EU427" t="e">
        <f>Asia!325:325-"n/&gt;!4oh"</f>
        <v>#VALUE!</v>
      </c>
      <c r="EV427" t="e">
        <f>Asia!326:326-"n/&gt;!4oi"</f>
        <v>#VALUE!</v>
      </c>
      <c r="EW427" t="e">
        <f>Asia!327:327-"n/&gt;!4oj"</f>
        <v>#VALUE!</v>
      </c>
      <c r="EX427" t="e">
        <f>Asia!328:328-"n/&gt;!4ok"</f>
        <v>#VALUE!</v>
      </c>
      <c r="EY427" t="e">
        <f>Asia!329:329-"n/&gt;!4ol"</f>
        <v>#VALUE!</v>
      </c>
      <c r="EZ427" t="e">
        <f>Asia!330:330-"n/&gt;!4om"</f>
        <v>#VALUE!</v>
      </c>
      <c r="FA427" t="e">
        <f>Asia!331:331-"n/&gt;!4on"</f>
        <v>#VALUE!</v>
      </c>
      <c r="FB427" t="e">
        <f>Asia!332:332-"n/&gt;!4oo"</f>
        <v>#VALUE!</v>
      </c>
      <c r="FC427" t="e">
        <f>Asia!333:333-"n/&gt;!4op"</f>
        <v>#VALUE!</v>
      </c>
      <c r="FD427" t="e">
        <f>Asia!334:334-"n/&gt;!4oq"</f>
        <v>#VALUE!</v>
      </c>
      <c r="FE427" t="e">
        <f>Asia!335:335-"n/&gt;!4or"</f>
        <v>#VALUE!</v>
      </c>
      <c r="FF427" t="e">
        <f>Asia!336:336-"n/&gt;!4os"</f>
        <v>#VALUE!</v>
      </c>
      <c r="FG427" t="e">
        <f>Asia!337:337-"n/&gt;!4ot"</f>
        <v>#VALUE!</v>
      </c>
      <c r="FH427" t="e">
        <f>Asia!338:338-"n/&gt;!4ou"</f>
        <v>#VALUE!</v>
      </c>
      <c r="FI427" t="e">
        <f>Asia!339:339-"n/&gt;!4ov"</f>
        <v>#VALUE!</v>
      </c>
      <c r="FJ427" t="e">
        <f>Asia!340:340-"n/&gt;!4ow"</f>
        <v>#VALUE!</v>
      </c>
      <c r="FK427" t="e">
        <f>Asia!341:341-"n/&gt;!4ox"</f>
        <v>#VALUE!</v>
      </c>
      <c r="FL427" t="e">
        <f>Asia!342:342-"n/&gt;!4oy"</f>
        <v>#VALUE!</v>
      </c>
      <c r="FM427" t="e">
        <f>Asia!343:343-"n/&gt;!4oz"</f>
        <v>#VALUE!</v>
      </c>
      <c r="FN427" t="e">
        <f>Asia!344:344-"n/&gt;!4o{"</f>
        <v>#VALUE!</v>
      </c>
      <c r="FO427" t="e">
        <f>Asia!345:345-"n/&gt;!4o|"</f>
        <v>#VALUE!</v>
      </c>
      <c r="FP427" t="e">
        <f>Asia!346:346-"n/&gt;!4o}"</f>
        <v>#VALUE!</v>
      </c>
      <c r="FQ427" t="e">
        <f>Asia!347:347-"n/&gt;!4o~"</f>
        <v>#VALUE!</v>
      </c>
      <c r="FR427" t="e">
        <f>Asia!348:348-"n/&gt;!4p#"</f>
        <v>#VALUE!</v>
      </c>
      <c r="FS427" t="e">
        <f>Asia!349:349-"n/&gt;!4p$"</f>
        <v>#VALUE!</v>
      </c>
      <c r="FT427" t="e">
        <f>Asia!350:350-"n/&gt;!4p%"</f>
        <v>#VALUE!</v>
      </c>
      <c r="FU427" t="e">
        <f>Asia!351:351-"n/&gt;!4p&amp;"</f>
        <v>#VALUE!</v>
      </c>
      <c r="FV427" t="e">
        <f>Asia!352:352-"n/&gt;!4p'"</f>
        <v>#VALUE!</v>
      </c>
      <c r="FW427" t="e">
        <f>Asia!353:353-"n/&gt;!4p("</f>
        <v>#VALUE!</v>
      </c>
      <c r="FX427" t="e">
        <f>Asia!354:354-"n/&gt;!4p)"</f>
        <v>#VALUE!</v>
      </c>
      <c r="FY427" t="e">
        <f>Asia!355:355-"n/&gt;!4p."</f>
        <v>#VALUE!</v>
      </c>
      <c r="FZ427" t="e">
        <f>Asia!356:356-"n/&gt;!4p/"</f>
        <v>#VALUE!</v>
      </c>
      <c r="GA427" t="e">
        <f>Asia!357:357-"n/&gt;!4p0"</f>
        <v>#VALUE!</v>
      </c>
      <c r="GB427" t="e">
        <f>Asia!358:358-"n/&gt;!4p1"</f>
        <v>#VALUE!</v>
      </c>
      <c r="GC427" t="e">
        <f>Asia!359:359-"n/&gt;!4p2"</f>
        <v>#VALUE!</v>
      </c>
      <c r="GD427" t="e">
        <f>Asia!360:360-"n/&gt;!4p3"</f>
        <v>#VALUE!</v>
      </c>
      <c r="GE427" t="e">
        <f>Asia!361:361-"n/&gt;!4p4"</f>
        <v>#VALUE!</v>
      </c>
      <c r="GF427" t="e">
        <f>Asia!362:362-"n/&gt;!4p5"</f>
        <v>#VALUE!</v>
      </c>
      <c r="GG427" t="e">
        <f>Asia!363:363-"n/&gt;!4p6"</f>
        <v>#VALUE!</v>
      </c>
      <c r="GH427" t="e">
        <f>Asia!364:364-"n/&gt;!4p7"</f>
        <v>#VALUE!</v>
      </c>
      <c r="GI427" t="e">
        <f>Asia!365:365-"n/&gt;!4p8"</f>
        <v>#VALUE!</v>
      </c>
      <c r="GJ427" t="e">
        <f>Asia!366:366-"n/&gt;!4p9"</f>
        <v>#VALUE!</v>
      </c>
      <c r="GK427" t="e">
        <f>Asia!367:367-"n/&gt;!4p:"</f>
        <v>#VALUE!</v>
      </c>
      <c r="GL427" t="e">
        <f>Asia!368:368-"n/&gt;!4p;"</f>
        <v>#VALUE!</v>
      </c>
      <c r="GM427" t="e">
        <f>Asia!369:369-"n/&gt;!4p&lt;"</f>
        <v>#VALUE!</v>
      </c>
      <c r="GN427" t="e">
        <f>Asia!370:370-"n/&gt;!4p="</f>
        <v>#VALUE!</v>
      </c>
      <c r="GO427" t="e">
        <f>Asia!371:371-"n/&gt;!4p&gt;"</f>
        <v>#VALUE!</v>
      </c>
      <c r="GP427" t="e">
        <f>Asia!372:372-"n/&gt;!4p?"</f>
        <v>#VALUE!</v>
      </c>
      <c r="GQ427" t="e">
        <f>Asia!373:373-"n/&gt;!4p@"</f>
        <v>#VALUE!</v>
      </c>
      <c r="GR427" t="e">
        <f>Asia!374:374-"n/&gt;!4pA"</f>
        <v>#VALUE!</v>
      </c>
      <c r="GS427" t="e">
        <f>Asia!375:375-"n/&gt;!4pB"</f>
        <v>#VALUE!</v>
      </c>
      <c r="GT427" t="e">
        <f>Asia!376:376-"n/&gt;!4pC"</f>
        <v>#VALUE!</v>
      </c>
      <c r="GU427" t="e">
        <f>Asia!377:377-"n/&gt;!4pD"</f>
        <v>#VALUE!</v>
      </c>
      <c r="GV427" t="e">
        <f>Asia!378:378-"n/&gt;!4pE"</f>
        <v>#VALUE!</v>
      </c>
      <c r="GW427" t="e">
        <f>Asia!379:379-"n/&gt;!4pF"</f>
        <v>#VALUE!</v>
      </c>
      <c r="GX427" t="e">
        <f>Asia!380:380-"n/&gt;!4pG"</f>
        <v>#VALUE!</v>
      </c>
      <c r="GY427" t="e">
        <f>Asia!381:381-"n/&gt;!4pH"</f>
        <v>#VALUE!</v>
      </c>
      <c r="GZ427" t="e">
        <f>Asia!382:382-"n/&gt;!4pI"</f>
        <v>#VALUE!</v>
      </c>
      <c r="HA427" t="e">
        <f>Asia!383:383-"n/&gt;!4pJ"</f>
        <v>#VALUE!</v>
      </c>
      <c r="HB427" t="e">
        <f>Asia!384:384-"n/&gt;!4pK"</f>
        <v>#VALUE!</v>
      </c>
      <c r="HC427" t="e">
        <f>Asia!385:385-"n/&gt;!4pL"</f>
        <v>#VALUE!</v>
      </c>
      <c r="HD427" t="e">
        <f>Asia!386:386-"n/&gt;!4pM"</f>
        <v>#VALUE!</v>
      </c>
      <c r="HE427" t="e">
        <f>Asia!387:387-"n/&gt;!4pN"</f>
        <v>#VALUE!</v>
      </c>
      <c r="HF427" t="e">
        <f>Asia!388:388-"n/&gt;!4pO"</f>
        <v>#VALUE!</v>
      </c>
      <c r="HG427" t="e">
        <f>Asia!389:389-"n/&gt;!4pP"</f>
        <v>#VALUE!</v>
      </c>
      <c r="HH427" t="e">
        <f>Asia!390:390-"n/&gt;!4pQ"</f>
        <v>#VALUE!</v>
      </c>
      <c r="HI427" t="e">
        <f>Asia!391:391-"n/&gt;!4pR"</f>
        <v>#VALUE!</v>
      </c>
      <c r="HJ427" t="e">
        <f>Asia!392:392-"n/&gt;!4pS"</f>
        <v>#VALUE!</v>
      </c>
      <c r="HK427" t="e">
        <f>Asia!393:393-"n/&gt;!4pT"</f>
        <v>#VALUE!</v>
      </c>
      <c r="HL427" t="e">
        <f>Asia!394:394-"n/&gt;!4pU"</f>
        <v>#VALUE!</v>
      </c>
      <c r="HM427" t="e">
        <f>Asia!395:395-"n/&gt;!4pV"</f>
        <v>#VALUE!</v>
      </c>
      <c r="HN427" t="e">
        <f>Asia!396:396-"n/&gt;!4pW"</f>
        <v>#VALUE!</v>
      </c>
      <c r="HO427" t="e">
        <f>Asia!397:397-"n/&gt;!4pX"</f>
        <v>#VALUE!</v>
      </c>
      <c r="HP427" t="e">
        <f>Asia!398:398-"n/&gt;!4pY"</f>
        <v>#VALUE!</v>
      </c>
      <c r="HQ427" t="e">
        <f>Asia!399:399-"n/&gt;!4pZ"</f>
        <v>#VALUE!</v>
      </c>
      <c r="HR427" t="e">
        <f>Asia!400:400-"n/&gt;!4p["</f>
        <v>#VALUE!</v>
      </c>
      <c r="HS427" t="e">
        <f>Asia!401:401-"n/&gt;!4p\"</f>
        <v>#VALUE!</v>
      </c>
      <c r="HT427" t="e">
        <f>Asia!402:402-"n/&gt;!4p]"</f>
        <v>#VALUE!</v>
      </c>
      <c r="HU427" t="e">
        <f>Asia!403:403-"n/&gt;!4p^"</f>
        <v>#VALUE!</v>
      </c>
      <c r="HV427" t="e">
        <f>Asia!404:404-"n/&gt;!4p_"</f>
        <v>#VALUE!</v>
      </c>
      <c r="HW427" t="e">
        <f>Asia!405:405-"n/&gt;!4p`"</f>
        <v>#VALUE!</v>
      </c>
      <c r="HX427" t="e">
        <f>Asia!406:406-"n/&gt;!4pa"</f>
        <v>#VALUE!</v>
      </c>
      <c r="HY427" t="e">
        <f>Asia!407:407-"n/&gt;!4pb"</f>
        <v>#VALUE!</v>
      </c>
      <c r="HZ427" t="e">
        <f>Asia!408:408-"n/&gt;!4pc"</f>
        <v>#VALUE!</v>
      </c>
      <c r="IA427" t="e">
        <f>Asia!409:409-"n/&gt;!4pd"</f>
        <v>#VALUE!</v>
      </c>
      <c r="IB427" t="e">
        <f>Asia!410:410-"n/&gt;!4pe"</f>
        <v>#VALUE!</v>
      </c>
      <c r="IC427" t="e">
        <f>Asia!411:411-"n/&gt;!4pf"</f>
        <v>#VALUE!</v>
      </c>
      <c r="ID427" t="e">
        <f>Asia!412:412-"n/&gt;!4pg"</f>
        <v>#VALUE!</v>
      </c>
      <c r="IE427" t="e">
        <f>Asia!413:413-"n/&gt;!4ph"</f>
        <v>#VALUE!</v>
      </c>
      <c r="IF427" t="e">
        <f>Asia!414:414-"n/&gt;!4pi"</f>
        <v>#VALUE!</v>
      </c>
      <c r="IG427" t="e">
        <f>Asia!415:415-"n/&gt;!4pj"</f>
        <v>#VALUE!</v>
      </c>
      <c r="IH427" t="e">
        <f>Asia!416:416-"n/&gt;!4pk"</f>
        <v>#VALUE!</v>
      </c>
      <c r="II427" t="e">
        <f>Asia!417:417-"n/&gt;!4pl"</f>
        <v>#VALUE!</v>
      </c>
      <c r="IJ427" t="e">
        <f>Asia!418:418-"n/&gt;!4pm"</f>
        <v>#VALUE!</v>
      </c>
      <c r="IK427" t="e">
        <f>Asia!419:419-"n/&gt;!4pn"</f>
        <v>#VALUE!</v>
      </c>
      <c r="IL427" t="e">
        <f>Asia!420:420-"n/&gt;!4po"</f>
        <v>#VALUE!</v>
      </c>
      <c r="IM427" t="e">
        <f>Asia!421:421-"n/&gt;!4pp"</f>
        <v>#VALUE!</v>
      </c>
      <c r="IN427" t="e">
        <f>Asia!422:422-"n/&gt;!4pq"</f>
        <v>#VALUE!</v>
      </c>
      <c r="IO427" t="e">
        <f>Asia!423:423-"n/&gt;!4pr"</f>
        <v>#VALUE!</v>
      </c>
      <c r="IP427" t="e">
        <f>Asia!424:424-"n/&gt;!4ps"</f>
        <v>#VALUE!</v>
      </c>
      <c r="IQ427" t="e">
        <f>Asia!425:425-"n/&gt;!4pt"</f>
        <v>#VALUE!</v>
      </c>
      <c r="IR427" t="e">
        <f>Asia!426:426-"n/&gt;!4pu"</f>
        <v>#VALUE!</v>
      </c>
      <c r="IS427" t="e">
        <f>Asia!427:427-"n/&gt;!4pv"</f>
        <v>#VALUE!</v>
      </c>
      <c r="IT427" t="e">
        <f>Asia!428:428-"n/&gt;!4pw"</f>
        <v>#VALUE!</v>
      </c>
      <c r="IU427" t="e">
        <f>Asia!429:429-"n/&gt;!4px"</f>
        <v>#VALUE!</v>
      </c>
      <c r="IV427" t="e">
        <f>Asia!430:430-"n/&gt;!4py"</f>
        <v>#VALUE!</v>
      </c>
    </row>
    <row r="428" spans="6:256" x14ac:dyDescent="0.35">
      <c r="F428" t="e">
        <f>Asia!431:431-"n/&gt;!4pz"</f>
        <v>#VALUE!</v>
      </c>
      <c r="G428" t="e">
        <f>Asia!432:432-"n/&gt;!4p{"</f>
        <v>#VALUE!</v>
      </c>
      <c r="H428" t="e">
        <f>Asia!433:433-"n/&gt;!4p|"</f>
        <v>#VALUE!</v>
      </c>
      <c r="I428" t="e">
        <f>Asia!434:434-"n/&gt;!4p}"</f>
        <v>#VALUE!</v>
      </c>
      <c r="J428" t="e">
        <f>Asia!435:435-"n/&gt;!4p~"</f>
        <v>#VALUE!</v>
      </c>
      <c r="K428" t="e">
        <f>Asia!436:436-"n/&gt;!4q#"</f>
        <v>#VALUE!</v>
      </c>
      <c r="L428" t="e">
        <f>Asia!437:437-"n/&gt;!4q$"</f>
        <v>#VALUE!</v>
      </c>
      <c r="M428" t="e">
        <f>Asia!438:438-"n/&gt;!4q%"</f>
        <v>#VALUE!</v>
      </c>
      <c r="N428" t="e">
        <f>Asia!439:439-"n/&gt;!4q&amp;"</f>
        <v>#VALUE!</v>
      </c>
      <c r="O428" t="e">
        <f>Asia!440:440-"n/&gt;!4q'"</f>
        <v>#VALUE!</v>
      </c>
      <c r="P428" t="e">
        <f>Asia!441:441-"n/&gt;!4q("</f>
        <v>#VALUE!</v>
      </c>
      <c r="Q428" t="e">
        <f>Asia!442:442-"n/&gt;!4q)"</f>
        <v>#VALUE!</v>
      </c>
      <c r="R428" t="e">
        <f>Asia!443:443-"n/&gt;!4q."</f>
        <v>#VALUE!</v>
      </c>
      <c r="S428" t="e">
        <f>Asia!444:444-"n/&gt;!4q/"</f>
        <v>#VALUE!</v>
      </c>
      <c r="T428" t="e">
        <f>Asia!445:445-"n/&gt;!4q0"</f>
        <v>#VALUE!</v>
      </c>
      <c r="U428" t="e">
        <f>Asia!446:446-"n/&gt;!4q1"</f>
        <v>#VALUE!</v>
      </c>
      <c r="V428" t="e">
        <f>Asia!447:447-"n/&gt;!4q2"</f>
        <v>#VALUE!</v>
      </c>
      <c r="W428" t="e">
        <f>Asia!448:448-"n/&gt;!4q3"</f>
        <v>#VALUE!</v>
      </c>
      <c r="X428" t="e">
        <f>Asia!449:449-"n/&gt;!4q4"</f>
        <v>#VALUE!</v>
      </c>
      <c r="Y428" t="e">
        <f>Asia!450:450-"n/&gt;!4q5"</f>
        <v>#VALUE!</v>
      </c>
      <c r="Z428" t="e">
        <f>Asia!451:451-"n/&gt;!4q6"</f>
        <v>#VALUE!</v>
      </c>
      <c r="AA428" t="e">
        <f>Asia!452:452-"n/&gt;!4q7"</f>
        <v>#VALUE!</v>
      </c>
      <c r="AB428" t="e">
        <f>Asia!453:453-"n/&gt;!4q8"</f>
        <v>#VALUE!</v>
      </c>
      <c r="AC428" t="e">
        <f>Asia!454:454-"n/&gt;!4q9"</f>
        <v>#VALUE!</v>
      </c>
      <c r="AD428" t="e">
        <f>Asia!455:455-"n/&gt;!4q:"</f>
        <v>#VALUE!</v>
      </c>
      <c r="AE428" t="e">
        <f>Asia!456:456-"n/&gt;!4q;"</f>
        <v>#VALUE!</v>
      </c>
      <c r="AF428" t="e">
        <f>Asia!457:457-"n/&gt;!4q&lt;"</f>
        <v>#VALUE!</v>
      </c>
      <c r="AG428" t="e">
        <f>Asia!458:458-"n/&gt;!4q="</f>
        <v>#VALUE!</v>
      </c>
      <c r="AH428" t="e">
        <f>Asia!459:459-"n/&gt;!4q&gt;"</f>
        <v>#VALUE!</v>
      </c>
      <c r="AI428" t="e">
        <f>Asia!460:460-"n/&gt;!4q?"</f>
        <v>#VALUE!</v>
      </c>
      <c r="AJ428" t="e">
        <f>Asia!461:461-"n/&gt;!4q@"</f>
        <v>#VALUE!</v>
      </c>
      <c r="AK428" t="e">
        <f>Asia!462:462-"n/&gt;!4qA"</f>
        <v>#VALUE!</v>
      </c>
      <c r="AL428" t="e">
        <f>Asia!463:463-"n/&gt;!4qB"</f>
        <v>#VALUE!</v>
      </c>
      <c r="AM428" t="e">
        <f>Asia!464:464-"n/&gt;!4qC"</f>
        <v>#VALUE!</v>
      </c>
      <c r="AN428" t="e">
        <f>Asia!465:465-"n/&gt;!4qD"</f>
        <v>#VALUE!</v>
      </c>
      <c r="AO428" t="e">
        <f>Asia!466:466-"n/&gt;!4qE"</f>
        <v>#VALUE!</v>
      </c>
      <c r="AP428" t="e">
        <f>Asia!467:467-"n/&gt;!4qF"</f>
        <v>#VALUE!</v>
      </c>
      <c r="AQ428" t="e">
        <f>Asia!468:468-"n/&gt;!4qG"</f>
        <v>#VALUE!</v>
      </c>
      <c r="AR428" t="e">
        <f>Asia!469:469-"n/&gt;!4qH"</f>
        <v>#VALUE!</v>
      </c>
      <c r="AS428" t="e">
        <f>Asia!470:470-"n/&gt;!4qI"</f>
        <v>#VALUE!</v>
      </c>
      <c r="AT428" t="e">
        <f>Asia!471:471-"n/&gt;!4qJ"</f>
        <v>#VALUE!</v>
      </c>
      <c r="AU428" t="e">
        <f>Asia!472:472-"n/&gt;!4qK"</f>
        <v>#VALUE!</v>
      </c>
      <c r="AV428" t="e">
        <f>Asia!473:473-"n/&gt;!4qL"</f>
        <v>#VALUE!</v>
      </c>
      <c r="AW428" t="e">
        <f>Asia!474:474-"n/&gt;!4qM"</f>
        <v>#VALUE!</v>
      </c>
      <c r="AX428" t="e">
        <f>Asia!475:475-"n/&gt;!4qN"</f>
        <v>#VALUE!</v>
      </c>
      <c r="AY428" t="e">
        <f>Asia!476:476-"n/&gt;!4qO"</f>
        <v>#VALUE!</v>
      </c>
      <c r="AZ428" t="e">
        <f>Asia!477:477-"n/&gt;!4qP"</f>
        <v>#VALUE!</v>
      </c>
      <c r="BA428" t="e">
        <f>Asia!478:478-"n/&gt;!4qQ"</f>
        <v>#VALUE!</v>
      </c>
      <c r="BB428" t="e">
        <f>Asia!479:479-"n/&gt;!4qR"</f>
        <v>#VALUE!</v>
      </c>
      <c r="BC428" t="e">
        <f>Asia!480:480-"n/&gt;!4qS"</f>
        <v>#VALUE!</v>
      </c>
      <c r="BD428" t="e">
        <f>Asia!481:481-"n/&gt;!4qT"</f>
        <v>#VALUE!</v>
      </c>
      <c r="BE428" t="e">
        <f>Asia!482:482-"n/&gt;!4qU"</f>
        <v>#VALUE!</v>
      </c>
      <c r="BF428" t="e">
        <f>Asia!483:483-"n/&gt;!4qV"</f>
        <v>#VALUE!</v>
      </c>
      <c r="BG428" t="e">
        <f>Asia!484:484-"n/&gt;!4qW"</f>
        <v>#VALUE!</v>
      </c>
      <c r="BH428" t="e">
        <f>Asia!485:485-"n/&gt;!4qX"</f>
        <v>#VALUE!</v>
      </c>
      <c r="BI428" t="e">
        <f>Asia!486:486-"n/&gt;!4qY"</f>
        <v>#VALUE!</v>
      </c>
      <c r="BJ428" t="e">
        <f>Asia!487:487-"n/&gt;!4qZ"</f>
        <v>#VALUE!</v>
      </c>
      <c r="BK428" t="e">
        <f>Asia!488:488-"n/&gt;!4q["</f>
        <v>#VALUE!</v>
      </c>
      <c r="BL428" t="e">
        <f>Asia!489:489-"n/&gt;!4q\"</f>
        <v>#VALUE!</v>
      </c>
      <c r="BM428" t="e">
        <f>Asia!490:490-"n/&gt;!4q]"</f>
        <v>#VALUE!</v>
      </c>
      <c r="BN428" t="e">
        <f>Asia!491:491-"n/&gt;!4q^"</f>
        <v>#VALUE!</v>
      </c>
      <c r="BO428" t="e">
        <f>Asia!492:492-"n/&gt;!4q_"</f>
        <v>#VALUE!</v>
      </c>
      <c r="BP428" t="e">
        <f>Asia!493:493-"n/&gt;!4q`"</f>
        <v>#VALUE!</v>
      </c>
      <c r="BQ428" t="e">
        <f>Asia!494:494-"n/&gt;!4qa"</f>
        <v>#VALUE!</v>
      </c>
      <c r="BR428" t="e">
        <f>Asia!495:495-"n/&gt;!4qb"</f>
        <v>#VALUE!</v>
      </c>
      <c r="BS428" t="e">
        <f>Asia!496:496-"n/&gt;!4qc"</f>
        <v>#VALUE!</v>
      </c>
      <c r="BT428" t="e">
        <f>Asia!497:497-"n/&gt;!4qd"</f>
        <v>#VALUE!</v>
      </c>
      <c r="BU428" t="e">
        <f>Asia!498:498-"n/&gt;!4qe"</f>
        <v>#VALUE!</v>
      </c>
      <c r="BV428" t="e">
        <f>Asia!499:499-"n/&gt;!4qf"</f>
        <v>#VALUE!</v>
      </c>
      <c r="BW428" t="e">
        <f>Asia!500:500-"n/&gt;!4qg"</f>
        <v>#VALUE!</v>
      </c>
      <c r="BX428" t="e">
        <f>Asia!501:501-"n/&gt;!4qh"</f>
        <v>#VALUE!</v>
      </c>
      <c r="BY428" t="e">
        <f>Asia!502:502-"n/&gt;!4qi"</f>
        <v>#VALUE!</v>
      </c>
      <c r="BZ428" t="e">
        <f>Asia!503:503-"n/&gt;!4qj"</f>
        <v>#VALUE!</v>
      </c>
      <c r="CA428" t="e">
        <f>Asia!504:504-"n/&gt;!4qk"</f>
        <v>#VALUE!</v>
      </c>
      <c r="CB428" t="e">
        <f>Asia!505:505-"n/&gt;!4ql"</f>
        <v>#VALUE!</v>
      </c>
      <c r="CC428" t="e">
        <f>Asia!506:506-"n/&gt;!4qm"</f>
        <v>#VALUE!</v>
      </c>
      <c r="CD428" t="e">
        <f>Asia!507:507-"n/&gt;!4qn"</f>
        <v>#VALUE!</v>
      </c>
      <c r="CE428" t="e">
        <f>Asia!508:508-"n/&gt;!4qo"</f>
        <v>#VALUE!</v>
      </c>
      <c r="CF428" t="e">
        <f>Asia!509:509-"n/&gt;!4qp"</f>
        <v>#VALUE!</v>
      </c>
      <c r="CG428" t="e">
        <f>Asia!510:510-"n/&gt;!4qq"</f>
        <v>#VALUE!</v>
      </c>
      <c r="CH428" t="e">
        <f>Asia!511:511-"n/&gt;!4qr"</f>
        <v>#VALUE!</v>
      </c>
      <c r="CI428" t="e">
        <f>Asia!512:512-"n/&gt;!4qs"</f>
        <v>#VALUE!</v>
      </c>
      <c r="CJ428" t="e">
        <f>Asia!513:513-"n/&gt;!4qt"</f>
        <v>#VALUE!</v>
      </c>
      <c r="CK428" t="e">
        <f>Asia!514:514-"n/&gt;!4qu"</f>
        <v>#VALUE!</v>
      </c>
      <c r="CL428" t="e">
        <f>Asia!515:515-"n/&gt;!4qv"</f>
        <v>#VALUE!</v>
      </c>
      <c r="CM428" t="e">
        <f>Asia!516:516-"n/&gt;!4qw"</f>
        <v>#VALUE!</v>
      </c>
      <c r="CN428" t="e">
        <f>Asia!517:517-"n/&gt;!4qx"</f>
        <v>#VALUE!</v>
      </c>
      <c r="CO428" t="e">
        <f>Asia!518:518-"n/&gt;!4qy"</f>
        <v>#VALUE!</v>
      </c>
      <c r="CP428" t="e">
        <f>Asia!519:519-"n/&gt;!4qz"</f>
        <v>#VALUE!</v>
      </c>
      <c r="CQ428" t="e">
        <f>Asia!520:520-"n/&gt;!4q{"</f>
        <v>#VALUE!</v>
      </c>
      <c r="CR428" t="e">
        <f>Asia!521:521-"n/&gt;!4q|"</f>
        <v>#VALUE!</v>
      </c>
      <c r="CS428" t="e">
        <f>Asia!522:522-"n/&gt;!4q}"</f>
        <v>#VALUE!</v>
      </c>
      <c r="CT428" t="e">
        <f>Asia!523:523-"n/&gt;!4q~"</f>
        <v>#VALUE!</v>
      </c>
      <c r="CU428" t="e">
        <f>Asia!524:524-"n/&gt;!4r#"</f>
        <v>#VALUE!</v>
      </c>
      <c r="CV428" t="e">
        <f>Asia!525:525-"n/&gt;!4r$"</f>
        <v>#VALUE!</v>
      </c>
      <c r="CW428" t="e">
        <f>Asia!526:526-"n/&gt;!4r%"</f>
        <v>#VALUE!</v>
      </c>
      <c r="CX428" t="e">
        <f>Asia!527:527-"n/&gt;!4r&amp;"</f>
        <v>#VALUE!</v>
      </c>
      <c r="CY428" t="e">
        <f>Asia!528:528-"n/&gt;!4r'"</f>
        <v>#VALUE!</v>
      </c>
      <c r="CZ428" t="e">
        <f>Asia!529:529-"n/&gt;!4r("</f>
        <v>#VALUE!</v>
      </c>
      <c r="DA428" t="e">
        <f>Asia!530:530-"n/&gt;!4r)"</f>
        <v>#VALUE!</v>
      </c>
      <c r="DB428" t="e">
        <f>Asia!531:531-"n/&gt;!4r."</f>
        <v>#VALUE!</v>
      </c>
      <c r="DC428" t="e">
        <f>Asia!532:532-"n/&gt;!4r/"</f>
        <v>#VALUE!</v>
      </c>
      <c r="DD428" t="e">
        <f>Asia!533:533-"n/&gt;!4r0"</f>
        <v>#VALUE!</v>
      </c>
      <c r="DE428" t="e">
        <f>Asia!534:534-"n/&gt;!4r1"</f>
        <v>#VALUE!</v>
      </c>
      <c r="DF428" t="e">
        <f>Asia!535:535-"n/&gt;!4r2"</f>
        <v>#VALUE!</v>
      </c>
      <c r="DG428" t="e">
        <f>Asia!536:536-"n/&gt;!4r3"</f>
        <v>#VALUE!</v>
      </c>
      <c r="DH428" t="e">
        <f>Asia!537:537-"n/&gt;!4r4"</f>
        <v>#VALUE!</v>
      </c>
      <c r="DI428" t="e">
        <f>Asia!538:538-"n/&gt;!4r5"</f>
        <v>#VALUE!</v>
      </c>
      <c r="DJ428" t="e">
        <f>Asia!539:539-"n/&gt;!4r6"</f>
        <v>#VALUE!</v>
      </c>
      <c r="DK428" t="e">
        <f>Asia!540:540-"n/&gt;!4r7"</f>
        <v>#VALUE!</v>
      </c>
      <c r="DL428" t="e">
        <f>Asia!541:541-"n/&gt;!4r8"</f>
        <v>#VALUE!</v>
      </c>
      <c r="DM428" t="e">
        <f>Asia!542:542-"n/&gt;!4r9"</f>
        <v>#VALUE!</v>
      </c>
      <c r="DN428" t="e">
        <f>Asia!543:543-"n/&gt;!4r:"</f>
        <v>#VALUE!</v>
      </c>
      <c r="DO428" t="e">
        <f>Asia!544:544-"n/&gt;!4r;"</f>
        <v>#VALUE!</v>
      </c>
      <c r="DP428" t="e">
        <f>Asia!545:545-"n/&gt;!4r&lt;"</f>
        <v>#VALUE!</v>
      </c>
      <c r="DQ428" t="e">
        <f>Asia!546:546-"n/&gt;!4r="</f>
        <v>#VALUE!</v>
      </c>
      <c r="DR428" t="e">
        <f>Asia!547:547-"n/&gt;!4r&gt;"</f>
        <v>#VALUE!</v>
      </c>
      <c r="DS428" t="e">
        <f>Asia!548:548-"n/&gt;!4r?"</f>
        <v>#VALUE!</v>
      </c>
      <c r="DT428" t="e">
        <f>Asia!549:549-"n/&gt;!4r@"</f>
        <v>#VALUE!</v>
      </c>
      <c r="DU428" t="e">
        <f>Asia!550:550-"n/&gt;!4rA"</f>
        <v>#VALUE!</v>
      </c>
      <c r="DV428" t="e">
        <f>Asia!551:551-"n/&gt;!4rB"</f>
        <v>#VALUE!</v>
      </c>
      <c r="DW428" t="e">
        <f>Asia!552:552-"n/&gt;!4rC"</f>
        <v>#VALUE!</v>
      </c>
      <c r="DX428" t="e">
        <f>Asia!553:553-"n/&gt;!4rD"</f>
        <v>#VALUE!</v>
      </c>
      <c r="DY428" t="e">
        <f>Asia!554:554-"n/&gt;!4rE"</f>
        <v>#VALUE!</v>
      </c>
      <c r="DZ428" t="e">
        <f>Asia!555:555-"n/&gt;!4rF"</f>
        <v>#VALUE!</v>
      </c>
      <c r="EA428" t="e">
        <f>Asia!556:556-"n/&gt;!4rG"</f>
        <v>#VALUE!</v>
      </c>
      <c r="EB428" t="e">
        <f>Asia!557:557-"n/&gt;!4rH"</f>
        <v>#VALUE!</v>
      </c>
      <c r="EC428" t="e">
        <f>Asia!558:558-"n/&gt;!4rI"</f>
        <v>#VALUE!</v>
      </c>
      <c r="ED428" t="e">
        <f>Asia!559:559-"n/&gt;!4rJ"</f>
        <v>#VALUE!</v>
      </c>
      <c r="EE428" t="e">
        <f>Asia!560:560-"n/&gt;!4rK"</f>
        <v>#VALUE!</v>
      </c>
      <c r="EF428" t="e">
        <f>Asia!561:561-"n/&gt;!4rL"</f>
        <v>#VALUE!</v>
      </c>
      <c r="EG428" t="e">
        <f>Asia!562:562-"n/&gt;!4rM"</f>
        <v>#VALUE!</v>
      </c>
      <c r="EH428" t="e">
        <f>Asia!563:563-"n/&gt;!4rN"</f>
        <v>#VALUE!</v>
      </c>
      <c r="EI428" t="e">
        <f>Asia!564:564-"n/&gt;!4rO"</f>
        <v>#VALUE!</v>
      </c>
      <c r="EJ428" t="e">
        <f>Asia!565:565-"n/&gt;!4rP"</f>
        <v>#VALUE!</v>
      </c>
      <c r="EK428" t="e">
        <f>Asia!566:566-"n/&gt;!4rQ"</f>
        <v>#VALUE!</v>
      </c>
      <c r="EL428" t="e">
        <f>Asia!567:567-"n/&gt;!4rR"</f>
        <v>#VALUE!</v>
      </c>
      <c r="EM428" t="e">
        <f>Asia!568:568-"n/&gt;!4rS"</f>
        <v>#VALUE!</v>
      </c>
      <c r="EN428" t="e">
        <f>Asia!569:569-"n/&gt;!4rT"</f>
        <v>#VALUE!</v>
      </c>
      <c r="EO428" t="e">
        <f>Asia!570:570-"n/&gt;!4rU"</f>
        <v>#VALUE!</v>
      </c>
      <c r="EP428" t="e">
        <f>Asia!571:571-"n/&gt;!4rV"</f>
        <v>#VALUE!</v>
      </c>
      <c r="EQ428" t="e">
        <f>Asia!572:572-"n/&gt;!4rW"</f>
        <v>#VALUE!</v>
      </c>
      <c r="ER428" t="e">
        <f>Asia!573:573-"n/&gt;!4rX"</f>
        <v>#VALUE!</v>
      </c>
      <c r="ES428" t="e">
        <f>Asia!574:574-"n/&gt;!4rY"</f>
        <v>#VALUE!</v>
      </c>
      <c r="ET428" t="e">
        <f>Asia!575:575-"n/&gt;!4rZ"</f>
        <v>#VALUE!</v>
      </c>
      <c r="EU428" t="e">
        <f>Asia!576:576-"n/&gt;!4r["</f>
        <v>#VALUE!</v>
      </c>
      <c r="EV428" t="e">
        <f>Asia!577:577-"n/&gt;!4r\"</f>
        <v>#VALUE!</v>
      </c>
      <c r="EW428" t="e">
        <f>Asia!578:578-"n/&gt;!4r]"</f>
        <v>#VALUE!</v>
      </c>
      <c r="EX428" t="e">
        <f>Asia!579:579-"n/&gt;!4r^"</f>
        <v>#VALUE!</v>
      </c>
      <c r="EY428" t="e">
        <f>Asia!580:580-"n/&gt;!4r_"</f>
        <v>#VALUE!</v>
      </c>
      <c r="EZ428" t="e">
        <f>Asia!581:581-"n/&gt;!4r`"</f>
        <v>#VALUE!</v>
      </c>
      <c r="FA428" t="e">
        <f>Asia!582:582-"n/&gt;!4ra"</f>
        <v>#VALUE!</v>
      </c>
      <c r="FB428" t="e">
        <f>Asia!583:583-"n/&gt;!4rb"</f>
        <v>#VALUE!</v>
      </c>
      <c r="FC428" t="e">
        <f>Asia!584:584-"n/&gt;!4rc"</f>
        <v>#VALUE!</v>
      </c>
      <c r="FD428" t="e">
        <f>Asia!585:585-"n/&gt;!4rd"</f>
        <v>#VALUE!</v>
      </c>
      <c r="FE428" t="e">
        <f>Asia!586:586-"n/&gt;!4re"</f>
        <v>#VALUE!</v>
      </c>
      <c r="FF428" t="e">
        <f>Asia!587:587-"n/&gt;!4rf"</f>
        <v>#VALUE!</v>
      </c>
      <c r="FG428" t="e">
        <f>Asia!588:588-"n/&gt;!4rg"</f>
        <v>#VALUE!</v>
      </c>
      <c r="FH428" t="e">
        <f>Asia!589:589-"n/&gt;!4rh"</f>
        <v>#VALUE!</v>
      </c>
      <c r="FI428" t="e">
        <f>Asia!590:590-"n/&gt;!4ri"</f>
        <v>#VALUE!</v>
      </c>
      <c r="FJ428" t="e">
        <f>Asia!591:591-"n/&gt;!4rj"</f>
        <v>#VALUE!</v>
      </c>
      <c r="FK428" t="e">
        <f>Asia!592:592-"n/&gt;!4rk"</f>
        <v>#VALUE!</v>
      </c>
      <c r="FL428" t="e">
        <f>Asia!593:593-"n/&gt;!4rl"</f>
        <v>#VALUE!</v>
      </c>
      <c r="FM428" t="e">
        <f>Asia!594:594-"n/&gt;!4rm"</f>
        <v>#VALUE!</v>
      </c>
      <c r="FN428" t="e">
        <f>Asia!595:595-"n/&gt;!4rn"</f>
        <v>#VALUE!</v>
      </c>
      <c r="FO428" t="e">
        <f>Asia!596:596-"n/&gt;!4ro"</f>
        <v>#VALUE!</v>
      </c>
      <c r="FP428" t="e">
        <f>Asia!597:597-"n/&gt;!4rp"</f>
        <v>#VALUE!</v>
      </c>
      <c r="FQ428" t="e">
        <f>Asia!598:598-"n/&gt;!4rq"</f>
        <v>#VALUE!</v>
      </c>
      <c r="FR428" t="e">
        <f>Asia!599:599-"n/&gt;!4rr"</f>
        <v>#VALUE!</v>
      </c>
      <c r="FS428" t="e">
        <f>Asia!600:600-"n/&gt;!4rs"</f>
        <v>#VALUE!</v>
      </c>
      <c r="FT428" t="e">
        <f>Asia!601:601-"n/&gt;!4rt"</f>
        <v>#VALUE!</v>
      </c>
      <c r="FU428" t="e">
        <f>Asia!602:602-"n/&gt;!4ru"</f>
        <v>#VALUE!</v>
      </c>
      <c r="FV428" t="e">
        <f>Asia!603:603-"n/&gt;!4rv"</f>
        <v>#VALUE!</v>
      </c>
      <c r="FW428" t="e">
        <f>Asia!604:604-"n/&gt;!4rw"</f>
        <v>#VALUE!</v>
      </c>
      <c r="FX428" t="e">
        <f>Asia!605:605-"n/&gt;!4rx"</f>
        <v>#VALUE!</v>
      </c>
      <c r="FY428" t="e">
        <f>Asia!606:606-"n/&gt;!4ry"</f>
        <v>#VALUE!</v>
      </c>
      <c r="FZ428" t="e">
        <f>Asia!607:607-"n/&gt;!4rz"</f>
        <v>#VALUE!</v>
      </c>
      <c r="GA428" t="e">
        <f>Asia!608:608-"n/&gt;!4r{"</f>
        <v>#VALUE!</v>
      </c>
      <c r="GB428" t="e">
        <f>Asia!609:609-"n/&gt;!4r|"</f>
        <v>#VALUE!</v>
      </c>
      <c r="GC428" t="e">
        <f>Asia!610:610-"n/&gt;!4r}"</f>
        <v>#VALUE!</v>
      </c>
      <c r="GD428" t="e">
        <f>Asia!611:611-"n/&gt;!4r~"</f>
        <v>#VALUE!</v>
      </c>
      <c r="GE428" t="e">
        <f>Asia!612:612-"n/&gt;!4s#"</f>
        <v>#VALUE!</v>
      </c>
      <c r="GF428" t="e">
        <f>Asia!613:613-"n/&gt;!4s$"</f>
        <v>#VALUE!</v>
      </c>
      <c r="GG428" t="e">
        <f>Asia!614:614-"n/&gt;!4s%"</f>
        <v>#VALUE!</v>
      </c>
      <c r="GH428" t="e">
        <f>Asia!615:615-"n/&gt;!4s&amp;"</f>
        <v>#VALUE!</v>
      </c>
      <c r="GI428" t="e">
        <f>Asia!616:616-"n/&gt;!4s'"</f>
        <v>#VALUE!</v>
      </c>
      <c r="GJ428" t="e">
        <f>Asia!617:617-"n/&gt;!4s("</f>
        <v>#VALUE!</v>
      </c>
      <c r="GK428" t="e">
        <f>Asia!618:618-"n/&gt;!4s)"</f>
        <v>#VALUE!</v>
      </c>
      <c r="GL428" t="e">
        <f>Asia!619:619-"n/&gt;!4s."</f>
        <v>#VALUE!</v>
      </c>
      <c r="GM428" t="e">
        <f>Asia!620:620-"n/&gt;!4s/"</f>
        <v>#VALUE!</v>
      </c>
      <c r="GN428" t="e">
        <f>Asia!621:621-"n/&gt;!4s0"</f>
        <v>#VALUE!</v>
      </c>
      <c r="GO428" t="e">
        <f>Asia!622:622-"n/&gt;!4s1"</f>
        <v>#VALUE!</v>
      </c>
      <c r="GP428" t="e">
        <f>Asia!623:623-"n/&gt;!4s2"</f>
        <v>#VALUE!</v>
      </c>
      <c r="GQ428" t="e">
        <f>Asia!624:624-"n/&gt;!4s3"</f>
        <v>#VALUE!</v>
      </c>
      <c r="GR428" t="e">
        <f>Asia!625:625-"n/&gt;!4s4"</f>
        <v>#VALUE!</v>
      </c>
      <c r="GS428" t="e">
        <f>Asia!626:626-"n/&gt;!4s5"</f>
        <v>#VALUE!</v>
      </c>
      <c r="GT428" t="e">
        <f>Asia!627:627-"n/&gt;!4s6"</f>
        <v>#VALUE!</v>
      </c>
      <c r="GU428" t="e">
        <f>Asia!628:628-"n/&gt;!4s7"</f>
        <v>#VALUE!</v>
      </c>
      <c r="GV428" t="e">
        <f>Asia!629:629-"n/&gt;!4s8"</f>
        <v>#VALUE!</v>
      </c>
      <c r="GW428" t="e">
        <f>Asia!630:630-"n/&gt;!4s9"</f>
        <v>#VALUE!</v>
      </c>
      <c r="GX428" t="e">
        <f>Asia!631:631-"n/&gt;!4s:"</f>
        <v>#VALUE!</v>
      </c>
      <c r="GY428" t="e">
        <f>Asia!632:632-"n/&gt;!4s;"</f>
        <v>#VALUE!</v>
      </c>
      <c r="GZ428" t="e">
        <f>Asia!633:633-"n/&gt;!4s&lt;"</f>
        <v>#VALUE!</v>
      </c>
      <c r="HA428" t="e">
        <f>Asia!634:634-"n/&gt;!4s="</f>
        <v>#VALUE!</v>
      </c>
      <c r="HB428" t="e">
        <f>Asia!635:635-"n/&gt;!4s&gt;"</f>
        <v>#VALUE!</v>
      </c>
      <c r="HC428" t="e">
        <f>Asia!636:636-"n/&gt;!4s?"</f>
        <v>#VALUE!</v>
      </c>
      <c r="HD428" t="e">
        <f>Asia!637:637-"n/&gt;!4s@"</f>
        <v>#VALUE!</v>
      </c>
      <c r="HE428" t="e">
        <f>Asia!638:638-"n/&gt;!4sA"</f>
        <v>#VALUE!</v>
      </c>
      <c r="HF428" t="e">
        <f>Asia!639:639-"n/&gt;!4sB"</f>
        <v>#VALUE!</v>
      </c>
      <c r="HG428" t="e">
        <f>Asia!640:640-"n/&gt;!4sC"</f>
        <v>#VALUE!</v>
      </c>
      <c r="HH428" t="e">
        <f>Asia!641:641-"n/&gt;!4sD"</f>
        <v>#VALUE!</v>
      </c>
      <c r="HI428" t="e">
        <f>Asia!642:642-"n/&gt;!4sE"</f>
        <v>#VALUE!</v>
      </c>
      <c r="HJ428" t="e">
        <f>Asia!643:643-"n/&gt;!4sF"</f>
        <v>#VALUE!</v>
      </c>
      <c r="HK428" t="e">
        <f>Asia!644:644-"n/&gt;!4sG"</f>
        <v>#VALUE!</v>
      </c>
      <c r="HL428" t="e">
        <f>Asia!645:645-"n/&gt;!4sH"</f>
        <v>#VALUE!</v>
      </c>
      <c r="HM428" t="e">
        <f>Asia!646:646-"n/&gt;!4sI"</f>
        <v>#VALUE!</v>
      </c>
      <c r="HN428" t="e">
        <f>Asia!647:647-"n/&gt;!4sJ"</f>
        <v>#VALUE!</v>
      </c>
      <c r="HO428" t="e">
        <f>Asia!648:648-"n/&gt;!4sK"</f>
        <v>#VALUE!</v>
      </c>
      <c r="HP428" t="e">
        <f>Asia!649:649-"n/&gt;!4sL"</f>
        <v>#VALUE!</v>
      </c>
      <c r="HQ428" t="e">
        <f>Asia!650:650-"n/&gt;!4sM"</f>
        <v>#VALUE!</v>
      </c>
      <c r="HR428" t="e">
        <f>Asia!651:651-"n/&gt;!4sN"</f>
        <v>#VALUE!</v>
      </c>
      <c r="HS428" t="e">
        <f>Asia!652:652-"n/&gt;!4sO"</f>
        <v>#VALUE!</v>
      </c>
      <c r="HT428" t="e">
        <f>Asia!653:653-"n/&gt;!4sP"</f>
        <v>#VALUE!</v>
      </c>
      <c r="HU428" t="e">
        <f>Asia!654:654-"n/&gt;!4sQ"</f>
        <v>#VALUE!</v>
      </c>
      <c r="HV428" t="e">
        <f>Asia!655:655-"n/&gt;!4sR"</f>
        <v>#VALUE!</v>
      </c>
      <c r="HW428" t="e">
        <f>Asia!656:656-"n/&gt;!4sS"</f>
        <v>#VALUE!</v>
      </c>
      <c r="HX428" t="e">
        <f>Asia!657:657-"n/&gt;!4sT"</f>
        <v>#VALUE!</v>
      </c>
      <c r="HY428" t="e">
        <f>Asia!658:658-"n/&gt;!4sU"</f>
        <v>#VALUE!</v>
      </c>
      <c r="HZ428" t="e">
        <f>Asia!659:659-"n/&gt;!4sV"</f>
        <v>#VALUE!</v>
      </c>
      <c r="IA428" t="e">
        <f>Asia!660:660-"n/&gt;!4sW"</f>
        <v>#VALUE!</v>
      </c>
      <c r="IB428" t="e">
        <f>Asia!661:661-"n/&gt;!4sX"</f>
        <v>#VALUE!</v>
      </c>
      <c r="IC428" t="e">
        <f>Asia!662:662-"n/&gt;!4sY"</f>
        <v>#VALUE!</v>
      </c>
      <c r="ID428" t="e">
        <f>Asia!663:663-"n/&gt;!4sZ"</f>
        <v>#VALUE!</v>
      </c>
      <c r="IE428" t="e">
        <f>Asia!664:664-"n/&gt;!4s["</f>
        <v>#VALUE!</v>
      </c>
      <c r="IF428" t="e">
        <f>Asia!665:665-"n/&gt;!4s\"</f>
        <v>#VALUE!</v>
      </c>
      <c r="IG428" t="e">
        <f>Asia!666:666-"n/&gt;!4s]"</f>
        <v>#VALUE!</v>
      </c>
      <c r="IH428" t="e">
        <f>Asia!667:667-"n/&gt;!4s^"</f>
        <v>#VALUE!</v>
      </c>
      <c r="II428" t="e">
        <f>Asia!668:668-"n/&gt;!4s_"</f>
        <v>#VALUE!</v>
      </c>
      <c r="IJ428" t="e">
        <f>Asia!669:669-"n/&gt;!4s`"</f>
        <v>#VALUE!</v>
      </c>
      <c r="IK428" t="e">
        <f>Asia!670:670-"n/&gt;!4sa"</f>
        <v>#VALUE!</v>
      </c>
      <c r="IL428" t="e">
        <f>Asia!671:671-"n/&gt;!4sb"</f>
        <v>#VALUE!</v>
      </c>
      <c r="IM428" t="e">
        <f>Asia!672:672-"n/&gt;!4sc"</f>
        <v>#VALUE!</v>
      </c>
      <c r="IN428" t="e">
        <f>Asia!673:673-"n/&gt;!4sd"</f>
        <v>#VALUE!</v>
      </c>
      <c r="IO428" t="e">
        <f>Asia!674:674-"n/&gt;!4se"</f>
        <v>#VALUE!</v>
      </c>
      <c r="IP428" t="e">
        <f>Asia!675:675-"n/&gt;!4sf"</f>
        <v>#VALUE!</v>
      </c>
      <c r="IQ428" t="e">
        <f>Asia!676:676-"n/&gt;!4sg"</f>
        <v>#VALUE!</v>
      </c>
      <c r="IR428" t="e">
        <f>Asia!677:677-"n/&gt;!4sh"</f>
        <v>#VALUE!</v>
      </c>
      <c r="IS428" t="e">
        <f>Asia!678:678-"n/&gt;!4si"</f>
        <v>#VALUE!</v>
      </c>
      <c r="IT428" t="e">
        <f>Asia!679:679-"n/&gt;!4sj"</f>
        <v>#VALUE!</v>
      </c>
      <c r="IU428" t="e">
        <f>Asia!680:680-"n/&gt;!4sk"</f>
        <v>#VALUE!</v>
      </c>
      <c r="IV428" t="e">
        <f>Asia!681:681-"n/&gt;!4sl"</f>
        <v>#VALUE!</v>
      </c>
    </row>
    <row r="429" spans="6:256" x14ac:dyDescent="0.35">
      <c r="F429" t="e">
        <f>Asia!682:682-"n/&gt;!4sm"</f>
        <v>#VALUE!</v>
      </c>
      <c r="G429" t="e">
        <f>Asia!683:683-"n/&gt;!4sn"</f>
        <v>#VALUE!</v>
      </c>
      <c r="H429" t="e">
        <f>Asia!684:684-"n/&gt;!4so"</f>
        <v>#VALUE!</v>
      </c>
      <c r="I429" t="e">
        <f>Asia!685:685-"n/&gt;!4sp"</f>
        <v>#VALUE!</v>
      </c>
      <c r="J429" t="e">
        <f>Asia!686:686-"n/&gt;!4sq"</f>
        <v>#VALUE!</v>
      </c>
      <c r="K429" t="e">
        <f>Asia!687:687-"n/&gt;!4sr"</f>
        <v>#VALUE!</v>
      </c>
      <c r="L429" t="e">
        <f>Asia!688:688-"n/&gt;!4ss"</f>
        <v>#VALUE!</v>
      </c>
      <c r="M429" t="e">
        <f>Asia!689:689-"n/&gt;!4st"</f>
        <v>#VALUE!</v>
      </c>
      <c r="N429" t="e">
        <f>Asia!690:690-"n/&gt;!4su"</f>
        <v>#VALUE!</v>
      </c>
      <c r="O429" t="e">
        <f>Asia!691:691-"n/&gt;!4sv"</f>
        <v>#VALUE!</v>
      </c>
      <c r="P429" t="e">
        <f>Asia!692:692-"n/&gt;!4sw"</f>
        <v>#VALUE!</v>
      </c>
      <c r="Q429" t="e">
        <f>Asia!693:693-"n/&gt;!4sx"</f>
        <v>#VALUE!</v>
      </c>
      <c r="R429" t="e">
        <f>Asia!694:694-"n/&gt;!4sy"</f>
        <v>#VALUE!</v>
      </c>
      <c r="S429" t="e">
        <f>Asia!695:695-"n/&gt;!4sz"</f>
        <v>#VALUE!</v>
      </c>
      <c r="T429" t="e">
        <f>Asia!696:696-"n/&gt;!4s{"</f>
        <v>#VALUE!</v>
      </c>
      <c r="U429" t="e">
        <f>Asia!697:697-"n/&gt;!4s|"</f>
        <v>#VALUE!</v>
      </c>
      <c r="V429" t="e">
        <f>Asia!698:698-"n/&gt;!4s}"</f>
        <v>#VALUE!</v>
      </c>
      <c r="W429" t="e">
        <f>Asia!699:699-"n/&gt;!4s~"</f>
        <v>#VALUE!</v>
      </c>
      <c r="X429" t="e">
        <f>Asia!700:700-"n/&gt;!4t#"</f>
        <v>#VALUE!</v>
      </c>
      <c r="Y429" t="e">
        <f>Asia!701:701-"n/&gt;!4t$"</f>
        <v>#VALUE!</v>
      </c>
      <c r="Z429" t="e">
        <f>Asia!702:702-"n/&gt;!4t%"</f>
        <v>#VALUE!</v>
      </c>
      <c r="AA429" t="e">
        <f>Asia!703:703-"n/&gt;!4t&amp;"</f>
        <v>#VALUE!</v>
      </c>
      <c r="AB429" t="e">
        <f>Asia!704:704-"n/&gt;!4t'"</f>
        <v>#VALUE!</v>
      </c>
      <c r="AC429" t="e">
        <f>Asia!705:705-"n/&gt;!4t("</f>
        <v>#VALUE!</v>
      </c>
      <c r="AD429" t="e">
        <f>Asia!706:706-"n/&gt;!4t)"</f>
        <v>#VALUE!</v>
      </c>
      <c r="AE429" t="e">
        <f>Asia!707:707-"n/&gt;!4t."</f>
        <v>#VALUE!</v>
      </c>
      <c r="AF429" t="e">
        <f>Asia!708:708-"n/&gt;!4t/"</f>
        <v>#VALUE!</v>
      </c>
      <c r="AG429" t="e">
        <f>Asia!709:709-"n/&gt;!4t0"</f>
        <v>#VALUE!</v>
      </c>
      <c r="AH429" t="e">
        <f>Asia!710:710-"n/&gt;!4t1"</f>
        <v>#VALUE!</v>
      </c>
      <c r="AI429" t="e">
        <f>Asia!711:711-"n/&gt;!4t2"</f>
        <v>#VALUE!</v>
      </c>
      <c r="AJ429" t="e">
        <f>Asia!712:712-"n/&gt;!4t3"</f>
        <v>#VALUE!</v>
      </c>
      <c r="AK429" t="e">
        <f>Asia!713:713-"n/&gt;!4t4"</f>
        <v>#VALUE!</v>
      </c>
      <c r="AL429" t="e">
        <f>Asia!714:714-"n/&gt;!4t5"</f>
        <v>#VALUE!</v>
      </c>
      <c r="AM429" t="e">
        <f>Asia!715:715-"n/&gt;!4t6"</f>
        <v>#VALUE!</v>
      </c>
      <c r="AN429" t="e">
        <f>Asia!716:716-"n/&gt;!4t7"</f>
        <v>#VALUE!</v>
      </c>
      <c r="AO429" t="e">
        <f>Asia!717:717-"n/&gt;!4t8"</f>
        <v>#VALUE!</v>
      </c>
      <c r="AP429" t="e">
        <f>Asia!718:718-"n/&gt;!4t9"</f>
        <v>#VALUE!</v>
      </c>
      <c r="AQ429" t="e">
        <f>Asia!719:719-"n/&gt;!4t:"</f>
        <v>#VALUE!</v>
      </c>
      <c r="AR429" t="e">
        <f>Asia!720:720-"n/&gt;!4t;"</f>
        <v>#VALUE!</v>
      </c>
      <c r="AS429" t="e">
        <f>Asia!721:721-"n/&gt;!4t&lt;"</f>
        <v>#VALUE!</v>
      </c>
      <c r="AT429" t="e">
        <f>Asia!722:722-"n/&gt;!4t="</f>
        <v>#VALUE!</v>
      </c>
      <c r="AU429" t="e">
        <f>Asia!723:723-"n/&gt;!4t&gt;"</f>
        <v>#VALUE!</v>
      </c>
      <c r="AV429" t="e">
        <f>Asia!724:724-"n/&gt;!4t?"</f>
        <v>#VALUE!</v>
      </c>
      <c r="AW429" t="e">
        <f>Asia!725:725-"n/&gt;!4t@"</f>
        <v>#VALUE!</v>
      </c>
      <c r="AX429" t="e">
        <f>Asia!726:726-"n/&gt;!4tA"</f>
        <v>#VALUE!</v>
      </c>
      <c r="AY429" t="e">
        <f>Asia!727:727-"n/&gt;!4tB"</f>
        <v>#VALUE!</v>
      </c>
      <c r="AZ429" t="e">
        <f>Asia!728:728-"n/&gt;!4tC"</f>
        <v>#VALUE!</v>
      </c>
      <c r="BA429" t="e">
        <f>Asia!729:729-"n/&gt;!4tD"</f>
        <v>#VALUE!</v>
      </c>
      <c r="BB429" t="e">
        <f>Asia!730:730-"n/&gt;!4tE"</f>
        <v>#VALUE!</v>
      </c>
      <c r="BC429" t="e">
        <f>Asia!731:731-"n/&gt;!4tF"</f>
        <v>#VALUE!</v>
      </c>
      <c r="BD429" t="e">
        <f>Asia!732:732-"n/&gt;!4tG"</f>
        <v>#VALUE!</v>
      </c>
      <c r="BE429" t="e">
        <f>Asia!733:733-"n/&gt;!4tH"</f>
        <v>#VALUE!</v>
      </c>
      <c r="BF429" t="e">
        <f>Asia!734:734-"n/&gt;!4tI"</f>
        <v>#VALUE!</v>
      </c>
      <c r="BG429" t="e">
        <f>Asia!735:735-"n/&gt;!4tJ"</f>
        <v>#VALUE!</v>
      </c>
      <c r="BH429" t="e">
        <f>Asia!736:736-"n/&gt;!4tK"</f>
        <v>#VALUE!</v>
      </c>
      <c r="BI429" t="e">
        <f>Asia!737:737-"n/&gt;!4tL"</f>
        <v>#VALUE!</v>
      </c>
      <c r="BJ429" t="e">
        <f>Asia!738:738-"n/&gt;!4tM"</f>
        <v>#VALUE!</v>
      </c>
      <c r="BK429" t="e">
        <f>Asia!739:739-"n/&gt;!4tN"</f>
        <v>#VALUE!</v>
      </c>
      <c r="BL429" t="e">
        <f>Asia!740:740-"n/&gt;!4tO"</f>
        <v>#VALUE!</v>
      </c>
      <c r="BM429" t="e">
        <f>Asia!741:741-"n/&gt;!4tP"</f>
        <v>#VALUE!</v>
      </c>
      <c r="BN429" t="e">
        <f>Asia!742:742-"n/&gt;!4tQ"</f>
        <v>#VALUE!</v>
      </c>
      <c r="BO429" t="e">
        <f>Asia!743:743-"n/&gt;!4tR"</f>
        <v>#VALUE!</v>
      </c>
      <c r="BP429" t="e">
        <f>Asia!744:744-"n/&gt;!4tS"</f>
        <v>#VALUE!</v>
      </c>
      <c r="BQ429" t="e">
        <f>Asia!745:745-"n/&gt;!4tT"</f>
        <v>#VALUE!</v>
      </c>
      <c r="BR429" t="e">
        <f>Asia!746:746-"n/&gt;!4tU"</f>
        <v>#VALUE!</v>
      </c>
      <c r="BS429" t="e">
        <f>Asia!747:747-"n/&gt;!4tV"</f>
        <v>#VALUE!</v>
      </c>
      <c r="BT429" t="e">
        <f>Asia!748:748-"n/&gt;!4tW"</f>
        <v>#VALUE!</v>
      </c>
      <c r="BU429" t="e">
        <f>Asia!749:749-"n/&gt;!4tX"</f>
        <v>#VALUE!</v>
      </c>
      <c r="BV429" t="e">
        <f>Asia!750:750-"n/&gt;!4tY"</f>
        <v>#VALUE!</v>
      </c>
      <c r="BW429" t="e">
        <f>Asia!751:751-"n/&gt;!4tZ"</f>
        <v>#VALUE!</v>
      </c>
      <c r="BX429" t="e">
        <f>Asia!752:752-"n/&gt;!4t["</f>
        <v>#VALUE!</v>
      </c>
      <c r="BY429" t="e">
        <f>Asia!753:753-"n/&gt;!4t\"</f>
        <v>#VALUE!</v>
      </c>
      <c r="BZ429" t="e">
        <f>Asia!754:754-"n/&gt;!4t]"</f>
        <v>#VALUE!</v>
      </c>
      <c r="CA429" t="e">
        <f>Asia!755:755-"n/&gt;!4t^"</f>
        <v>#VALUE!</v>
      </c>
      <c r="CB429" t="e">
        <f>Asia!756:756-"n/&gt;!4t_"</f>
        <v>#VALUE!</v>
      </c>
      <c r="CC429" t="e">
        <f>Asia!757:757-"n/&gt;!4t`"</f>
        <v>#VALUE!</v>
      </c>
      <c r="CD429" t="e">
        <f>Asia!758:758-"n/&gt;!4ta"</f>
        <v>#VALUE!</v>
      </c>
      <c r="CE429" t="e">
        <f>Asia!759:759-"n/&gt;!4tb"</f>
        <v>#VALUE!</v>
      </c>
      <c r="CF429" t="e">
        <f>Asia!760:760-"n/&gt;!4tc"</f>
        <v>#VALUE!</v>
      </c>
      <c r="CG429" t="e">
        <f>Asia!761:761-"n/&gt;!4td"</f>
        <v>#VALUE!</v>
      </c>
      <c r="CH429" t="e">
        <f>Asia!762:762-"n/&gt;!4te"</f>
        <v>#VALUE!</v>
      </c>
      <c r="CI429" t="e">
        <f>Asia!763:763-"n/&gt;!4tf"</f>
        <v>#VALUE!</v>
      </c>
      <c r="CJ429" t="e">
        <f>Asia!764:764-"n/&gt;!4tg"</f>
        <v>#VALUE!</v>
      </c>
      <c r="CK429" t="e">
        <f>Asia!765:765-"n/&gt;!4th"</f>
        <v>#VALUE!</v>
      </c>
      <c r="CL429" t="e">
        <f>Asia!766:766-"n/&gt;!4ti"</f>
        <v>#VALUE!</v>
      </c>
      <c r="CM429" t="e">
        <f>Asia!767:767-"n/&gt;!4tj"</f>
        <v>#VALUE!</v>
      </c>
      <c r="CN429" t="e">
        <f>Asia!768:768-"n/&gt;!4tk"</f>
        <v>#VALUE!</v>
      </c>
      <c r="CO429" t="e">
        <f>Asia!769:769-"n/&gt;!4tl"</f>
        <v>#VALUE!</v>
      </c>
      <c r="CP429" t="e">
        <f>Asia!770:770-"n/&gt;!4tm"</f>
        <v>#VALUE!</v>
      </c>
      <c r="CQ429" t="e">
        <f>Asia!771:771-"n/&gt;!4tn"</f>
        <v>#VALUE!</v>
      </c>
      <c r="CR429" t="e">
        <f>Asia!772:772-"n/&gt;!4to"</f>
        <v>#VALUE!</v>
      </c>
      <c r="CS429" t="e">
        <f>Asia!773:773-"n/&gt;!4tp"</f>
        <v>#VALUE!</v>
      </c>
      <c r="CT429" t="e">
        <f>Asia!774:774-"n/&gt;!4tq"</f>
        <v>#VALUE!</v>
      </c>
      <c r="CU429" t="e">
        <f>Asia!775:775-"n/&gt;!4tr"</f>
        <v>#VALUE!</v>
      </c>
      <c r="CV429" t="e">
        <f>Asia!776:776-"n/&gt;!4ts"</f>
        <v>#VALUE!</v>
      </c>
      <c r="CW429" t="e">
        <f>Asia!777:777-"n/&gt;!4tt"</f>
        <v>#VALUE!</v>
      </c>
      <c r="CX429" t="e">
        <f>Asia!778:778-"n/&gt;!4tu"</f>
        <v>#VALUE!</v>
      </c>
      <c r="CY429" t="e">
        <f>Asia!779:779-"n/&gt;!4tv"</f>
        <v>#VALUE!</v>
      </c>
      <c r="CZ429" t="e">
        <f>Asia!780:780-"n/&gt;!4tw"</f>
        <v>#VALUE!</v>
      </c>
      <c r="DA429" t="e">
        <f>Asia!781:781-"n/&gt;!4tx"</f>
        <v>#VALUE!</v>
      </c>
      <c r="DB429" t="e">
        <f>Asia!782:782-"n/&gt;!4ty"</f>
        <v>#VALUE!</v>
      </c>
      <c r="DC429" t="e">
        <f>Asia!783:783-"n/&gt;!4tz"</f>
        <v>#VALUE!</v>
      </c>
      <c r="DD429" t="e">
        <f>Asia!784:784-"n/&gt;!4t{"</f>
        <v>#VALUE!</v>
      </c>
      <c r="DE429" t="e">
        <f>Asia!785:785-"n/&gt;!4t|"</f>
        <v>#VALUE!</v>
      </c>
      <c r="DF429" t="e">
        <f>Asia!786:786-"n/&gt;!4t}"</f>
        <v>#VALUE!</v>
      </c>
      <c r="DG429" t="e">
        <f>Asia!787:787-"n/&gt;!4t~"</f>
        <v>#VALUE!</v>
      </c>
      <c r="DH429" t="e">
        <f>Asia!788:788-"n/&gt;!4u#"</f>
        <v>#VALUE!</v>
      </c>
      <c r="DI429" t="e">
        <f>Asia!789:789-"n/&gt;!4u$"</f>
        <v>#VALUE!</v>
      </c>
      <c r="DJ429" t="e">
        <f>Asia!790:790-"n/&gt;!4u%"</f>
        <v>#VALUE!</v>
      </c>
      <c r="DK429" t="e">
        <f>Asia!791:791-"n/&gt;!4u&amp;"</f>
        <v>#VALUE!</v>
      </c>
      <c r="DL429" t="e">
        <f>Asia!792:792-"n/&gt;!4u'"</f>
        <v>#VALUE!</v>
      </c>
      <c r="DM429" t="e">
        <f>Asia!793:793-"n/&gt;!4u("</f>
        <v>#VALUE!</v>
      </c>
      <c r="DN429" t="e">
        <f>Asia!794:794-"n/&gt;!4u)"</f>
        <v>#VALUE!</v>
      </c>
      <c r="DO429" t="e">
        <f>Asia!795:795-"n/&gt;!4u."</f>
        <v>#VALUE!</v>
      </c>
      <c r="DP429" t="e">
        <f>Asia!796:796-"n/&gt;!4u/"</f>
        <v>#VALUE!</v>
      </c>
      <c r="DQ429" t="e">
        <f>Asia!797:797-"n/&gt;!4u0"</f>
        <v>#VALUE!</v>
      </c>
      <c r="DR429" t="e">
        <f>Asia!798:798-"n/&gt;!4u1"</f>
        <v>#VALUE!</v>
      </c>
      <c r="DS429" t="e">
        <f>Asia!799:799-"n/&gt;!4u2"</f>
        <v>#VALUE!</v>
      </c>
      <c r="DT429" t="e">
        <f>Asia!800:800-"n/&gt;!4u3"</f>
        <v>#VALUE!</v>
      </c>
      <c r="DU429" t="e">
        <f>Asia!801:801-"n/&gt;!4u4"</f>
        <v>#VALUE!</v>
      </c>
      <c r="DV429" t="e">
        <f>Asia!802:802-"n/&gt;!4u5"</f>
        <v>#VALUE!</v>
      </c>
      <c r="DW429" t="e">
        <f>Asia!803:803-"n/&gt;!4u6"</f>
        <v>#VALUE!</v>
      </c>
      <c r="DX429" t="e">
        <f>Asia!804:804-"n/&gt;!4u7"</f>
        <v>#VALUE!</v>
      </c>
      <c r="DY429" t="e">
        <f>Asia!805:805-"n/&gt;!4u8"</f>
        <v>#VALUE!</v>
      </c>
      <c r="DZ429" t="e">
        <f>Asia!806:806-"n/&gt;!4u9"</f>
        <v>#VALUE!</v>
      </c>
      <c r="EA429" t="e">
        <f>Asia!807:807-"n/&gt;!4u:"</f>
        <v>#VALUE!</v>
      </c>
      <c r="EB429" t="e">
        <f>Asia!808:808-"n/&gt;!4u;"</f>
        <v>#VALUE!</v>
      </c>
      <c r="EC429" t="e">
        <f>Asia!809:809-"n/&gt;!4u&lt;"</f>
        <v>#VALUE!</v>
      </c>
      <c r="ED429" t="e">
        <f>Asia!810:810-"n/&gt;!4u="</f>
        <v>#VALUE!</v>
      </c>
      <c r="EE429" t="e">
        <f>Asia!811:811-"n/&gt;!4u&gt;"</f>
        <v>#VALUE!</v>
      </c>
      <c r="EF429" t="e">
        <f>Asia!812:812-"n/&gt;!4u?"</f>
        <v>#VALUE!</v>
      </c>
      <c r="EG429" t="e">
        <f>Asia!813:813-"n/&gt;!4u@"</f>
        <v>#VALUE!</v>
      </c>
      <c r="EH429" t="e">
        <f>Asia!814:814-"n/&gt;!4uA"</f>
        <v>#VALUE!</v>
      </c>
      <c r="EI429" t="e">
        <f>Asia!815:815-"n/&gt;!4uB"</f>
        <v>#VALUE!</v>
      </c>
      <c r="EJ429" t="e">
        <f>Asia!816:816-"n/&gt;!4uC"</f>
        <v>#VALUE!</v>
      </c>
      <c r="EK429" t="e">
        <f>Asia!817:817-"n/&gt;!4uD"</f>
        <v>#VALUE!</v>
      </c>
      <c r="EL429" t="e">
        <f>Asia!818:818-"n/&gt;!4uE"</f>
        <v>#VALUE!</v>
      </c>
      <c r="EM429" t="e">
        <f>Asia!819:819-"n/&gt;!4uF"</f>
        <v>#VALUE!</v>
      </c>
      <c r="EN429" t="e">
        <f>Asia!820:820-"n/&gt;!4uG"</f>
        <v>#VALUE!</v>
      </c>
      <c r="EO429" t="e">
        <f>Asia!821:821-"n/&gt;!4uH"</f>
        <v>#VALUE!</v>
      </c>
      <c r="EP429" t="e">
        <f>Asia!822:822-"n/&gt;!4uI"</f>
        <v>#VALUE!</v>
      </c>
      <c r="EQ429" t="e">
        <f>Asia!823:823-"n/&gt;!4uJ"</f>
        <v>#VALUE!</v>
      </c>
      <c r="ER429" t="e">
        <f>Asia!824:824-"n/&gt;!4uK"</f>
        <v>#VALUE!</v>
      </c>
      <c r="ES429" t="e">
        <f>Asia!825:825-"n/&gt;!4uL"</f>
        <v>#VALUE!</v>
      </c>
      <c r="ET429" t="e">
        <f>Asia!826:826-"n/&gt;!4uM"</f>
        <v>#VALUE!</v>
      </c>
      <c r="EU429" t="e">
        <f>Asia!827:827-"n/&gt;!4uN"</f>
        <v>#VALUE!</v>
      </c>
      <c r="EV429" t="e">
        <f>Asia!828:828-"n/&gt;!4uO"</f>
        <v>#VALUE!</v>
      </c>
      <c r="EW429" t="e">
        <f>Asia!829:829-"n/&gt;!4uP"</f>
        <v>#VALUE!</v>
      </c>
      <c r="EX429" t="e">
        <f>Asia!830:830-"n/&gt;!4uQ"</f>
        <v>#VALUE!</v>
      </c>
      <c r="EY429" t="e">
        <f>Asia!831:831-"n/&gt;!4uR"</f>
        <v>#VALUE!</v>
      </c>
      <c r="EZ429" t="e">
        <f>Asia!832:832-"n/&gt;!4uS"</f>
        <v>#VALUE!</v>
      </c>
      <c r="FA429" t="e">
        <f>Asia!833:833-"n/&gt;!4uT"</f>
        <v>#VALUE!</v>
      </c>
      <c r="FB429" t="e">
        <f>Asia!834:834-"n/&gt;!4uU"</f>
        <v>#VALUE!</v>
      </c>
      <c r="FC429" t="e">
        <f>Asia!835:835-"n/&gt;!4uV"</f>
        <v>#VALUE!</v>
      </c>
      <c r="FD429" t="e">
        <f>Asia!836:836-"n/&gt;!4uW"</f>
        <v>#VALUE!</v>
      </c>
      <c r="FE429" t="e">
        <f>Asia!837:837-"n/&gt;!4uX"</f>
        <v>#VALUE!</v>
      </c>
      <c r="FF429" t="e">
        <f>Asia!838:838-"n/&gt;!4uY"</f>
        <v>#VALUE!</v>
      </c>
      <c r="FG429" t="e">
        <f>Asia!839:839-"n/&gt;!4uZ"</f>
        <v>#VALUE!</v>
      </c>
      <c r="FH429" t="e">
        <f>Asia!840:840-"n/&gt;!4u["</f>
        <v>#VALUE!</v>
      </c>
      <c r="FI429" t="e">
        <f>Asia!841:841-"n/&gt;!4u\"</f>
        <v>#VALUE!</v>
      </c>
      <c r="FJ429" t="e">
        <f>Asia!842:842-"n/&gt;!4u]"</f>
        <v>#VALUE!</v>
      </c>
      <c r="FK429" t="e">
        <f>Asia!843:843-"n/&gt;!4u^"</f>
        <v>#VALUE!</v>
      </c>
      <c r="FL429" t="e">
        <f>Asia!844:844-"n/&gt;!4u_"</f>
        <v>#VALUE!</v>
      </c>
      <c r="FM429" t="e">
        <f>Asia!845:845-"n/&gt;!4u`"</f>
        <v>#VALUE!</v>
      </c>
      <c r="FN429" t="e">
        <f>Asia!846:846-"n/&gt;!4ua"</f>
        <v>#VALUE!</v>
      </c>
      <c r="FO429" t="e">
        <f>Asia!847:847-"n/&gt;!4ub"</f>
        <v>#VALUE!</v>
      </c>
      <c r="FP429" t="e">
        <f>Asia!848:848-"n/&gt;!4uc"</f>
        <v>#VALUE!</v>
      </c>
      <c r="FQ429" t="e">
        <f>Asia!849:849-"n/&gt;!4ud"</f>
        <v>#VALUE!</v>
      </c>
      <c r="FR429" t="e">
        <f>Asia!850:850-"n/&gt;!4ue"</f>
        <v>#VALUE!</v>
      </c>
      <c r="FS429" t="e">
        <f>Asia!851:851-"n/&gt;!4uf"</f>
        <v>#VALUE!</v>
      </c>
      <c r="FT429" t="e">
        <f>Asia!852:852-"n/&gt;!4ug"</f>
        <v>#VALUE!</v>
      </c>
      <c r="FU429" t="e">
        <f>Asia!853:853-"n/&gt;!4uh"</f>
        <v>#VALUE!</v>
      </c>
      <c r="FV429" t="e">
        <f>Asia!854:854-"n/&gt;!4ui"</f>
        <v>#VALUE!</v>
      </c>
      <c r="FW429" t="e">
        <f>Asia!855:855-"n/&gt;!4uj"</f>
        <v>#VALUE!</v>
      </c>
      <c r="FX429" t="e">
        <f>Asia!856:856-"n/&gt;!4uk"</f>
        <v>#VALUE!</v>
      </c>
      <c r="FY429" t="e">
        <f>Asia!857:857-"n/&gt;!4ul"</f>
        <v>#VALUE!</v>
      </c>
      <c r="FZ429" t="e">
        <f>Asia!858:858-"n/&gt;!4um"</f>
        <v>#VALUE!</v>
      </c>
      <c r="GA429" t="e">
        <f>Asia!859:859-"n/&gt;!4un"</f>
        <v>#VALUE!</v>
      </c>
      <c r="GB429" t="e">
        <f>Asia!860:860-"n/&gt;!4uo"</f>
        <v>#VALUE!</v>
      </c>
      <c r="GC429" t="e">
        <f>Asia!861:861-"n/&gt;!4up"</f>
        <v>#VALUE!</v>
      </c>
      <c r="GD429" t="e">
        <f>Asia!862:862-"n/&gt;!4uq"</f>
        <v>#VALUE!</v>
      </c>
      <c r="GE429" t="e">
        <f>Asia!863:863-"n/&gt;!4ur"</f>
        <v>#VALUE!</v>
      </c>
      <c r="GF429" t="e">
        <f>Asia!864:864-"n/&gt;!4us"</f>
        <v>#VALUE!</v>
      </c>
      <c r="GG429" t="e">
        <f>Asia!865:865-"n/&gt;!4ut"</f>
        <v>#VALUE!</v>
      </c>
      <c r="GH429" t="e">
        <f>Asia!866:866-"n/&gt;!4uu"</f>
        <v>#VALUE!</v>
      </c>
      <c r="GI429" t="e">
        <f>Asia!867:867-"n/&gt;!4uv"</f>
        <v>#VALUE!</v>
      </c>
      <c r="GJ429" t="e">
        <f>Asia!868:868-"n/&gt;!4uw"</f>
        <v>#VALUE!</v>
      </c>
      <c r="GK429" t="e">
        <f>Asia!869:869-"n/&gt;!4ux"</f>
        <v>#VALUE!</v>
      </c>
      <c r="GL429" t="e">
        <f>Asia!870:870-"n/&gt;!4uy"</f>
        <v>#VALUE!</v>
      </c>
      <c r="GM429" t="e">
        <f>Asia!871:871-"n/&gt;!4uz"</f>
        <v>#VALUE!</v>
      </c>
      <c r="GN429" t="e">
        <f>Asia!872:872-"n/&gt;!4u{"</f>
        <v>#VALUE!</v>
      </c>
      <c r="GO429" t="e">
        <f>Asia!873:873-"n/&gt;!4u|"</f>
        <v>#VALUE!</v>
      </c>
      <c r="GP429" t="e">
        <f>Asia!874:874-"n/&gt;!4u}"</f>
        <v>#VALUE!</v>
      </c>
      <c r="GQ429" t="e">
        <f>Asia!875:875-"n/&gt;!4u~"</f>
        <v>#VALUE!</v>
      </c>
      <c r="GR429" t="e">
        <f>Asia!876:876-"n/&gt;!4v#"</f>
        <v>#VALUE!</v>
      </c>
      <c r="GS429" t="e">
        <f>Asia!877:877-"n/&gt;!4v$"</f>
        <v>#VALUE!</v>
      </c>
      <c r="GT429" t="e">
        <f>Asia!878:878-"n/&gt;!4v%"</f>
        <v>#VALUE!</v>
      </c>
      <c r="GU429" t="e">
        <f>Asia!879:879-"n/&gt;!4v&amp;"</f>
        <v>#VALUE!</v>
      </c>
      <c r="GV429" t="e">
        <f>Asia!880:880-"n/&gt;!4v'"</f>
        <v>#VALUE!</v>
      </c>
      <c r="GW429" t="e">
        <f>Asia!881:881-"n/&gt;!4v("</f>
        <v>#VALUE!</v>
      </c>
      <c r="GX429" t="e">
        <f>Asia!882:882-"n/&gt;!4v)"</f>
        <v>#VALUE!</v>
      </c>
      <c r="GY429" t="e">
        <f>Asia!883:883-"n/&gt;!4v."</f>
        <v>#VALUE!</v>
      </c>
      <c r="GZ429" t="e">
        <f>Asia!884:884-"n/&gt;!4v/"</f>
        <v>#VALUE!</v>
      </c>
      <c r="HA429" t="e">
        <f>Asia!885:885-"n/&gt;!4v0"</f>
        <v>#VALUE!</v>
      </c>
      <c r="HB429" t="e">
        <f>Asia!886:886-"n/&gt;!4v1"</f>
        <v>#VALUE!</v>
      </c>
      <c r="HC429" t="e">
        <f>Asia!887:887-"n/&gt;!4v2"</f>
        <v>#VALUE!</v>
      </c>
      <c r="HD429" t="e">
        <f>Asia!888:888-"n/&gt;!4v3"</f>
        <v>#VALUE!</v>
      </c>
      <c r="HE429" t="e">
        <f>Asia!889:889-"n/&gt;!4v4"</f>
        <v>#VALUE!</v>
      </c>
      <c r="HF429" t="e">
        <f>Asia!890:890-"n/&gt;!4v5"</f>
        <v>#VALUE!</v>
      </c>
      <c r="HG429" t="e">
        <f>Asia!891:891-"n/&gt;!4v6"</f>
        <v>#VALUE!</v>
      </c>
      <c r="HH429" t="e">
        <f>Asia!892:892-"n/&gt;!4v7"</f>
        <v>#VALUE!</v>
      </c>
      <c r="HI429" t="e">
        <f>Asia!893:893-"n/&gt;!4v8"</f>
        <v>#VALUE!</v>
      </c>
      <c r="HJ429" t="e">
        <f>Asia!894:894-"n/&gt;!4v9"</f>
        <v>#VALUE!</v>
      </c>
      <c r="HK429" t="e">
        <f>Asia!895:895-"n/&gt;!4v:"</f>
        <v>#VALUE!</v>
      </c>
      <c r="HL429" t="e">
        <f>Asia!896:896-"n/&gt;!4v;"</f>
        <v>#VALUE!</v>
      </c>
      <c r="HM429" t="e">
        <f>Asia!897:897-"n/&gt;!4v&lt;"</f>
        <v>#VALUE!</v>
      </c>
      <c r="HN429" t="e">
        <f>Asia!898:898-"n/&gt;!4v="</f>
        <v>#VALUE!</v>
      </c>
      <c r="HO429" t="e">
        <f>Asia!899:899-"n/&gt;!4v&gt;"</f>
        <v>#VALUE!</v>
      </c>
      <c r="HP429" t="e">
        <f>Asia!900:900-"n/&gt;!4v?"</f>
        <v>#VALUE!</v>
      </c>
      <c r="HQ429" t="e">
        <f>Asia!901:901-"n/&gt;!4v@"</f>
        <v>#VALUE!</v>
      </c>
      <c r="HR429" t="e">
        <f>Asia!902:902-"n/&gt;!4vA"</f>
        <v>#VALUE!</v>
      </c>
      <c r="HS429" t="e">
        <f>Asia!903:903-"n/&gt;!4vB"</f>
        <v>#VALUE!</v>
      </c>
      <c r="HT429" t="e">
        <f>Asia!904:904-"n/&gt;!4vC"</f>
        <v>#VALUE!</v>
      </c>
      <c r="HU429" t="e">
        <f>Asia!905:905-"n/&gt;!4vD"</f>
        <v>#VALUE!</v>
      </c>
      <c r="HV429" t="e">
        <f>Asia!906:906-"n/&gt;!4vE"</f>
        <v>#VALUE!</v>
      </c>
      <c r="HW429" t="e">
        <f>Asia!907:907-"n/&gt;!4vF"</f>
        <v>#VALUE!</v>
      </c>
      <c r="HX429" t="e">
        <f>Asia!908:908-"n/&gt;!4vG"</f>
        <v>#VALUE!</v>
      </c>
      <c r="HY429" t="e">
        <f>Asia!909:909-"n/&gt;!4vH"</f>
        <v>#VALUE!</v>
      </c>
      <c r="HZ429" t="e">
        <f>Asia!910:910-"n/&gt;!4vI"</f>
        <v>#VALUE!</v>
      </c>
      <c r="IA429" t="e">
        <f>Asia!911:911-"n/&gt;!4vJ"</f>
        <v>#VALUE!</v>
      </c>
      <c r="IB429" t="e">
        <f>Asia!912:912-"n/&gt;!4vK"</f>
        <v>#VALUE!</v>
      </c>
      <c r="IC429" t="e">
        <f>Asia!913:913-"n/&gt;!4vL"</f>
        <v>#VALUE!</v>
      </c>
      <c r="ID429" t="e">
        <f>Asia!914:914-"n/&gt;!4vM"</f>
        <v>#VALUE!</v>
      </c>
      <c r="IE429" t="e">
        <f>Asia!915:915-"n/&gt;!4vN"</f>
        <v>#VALUE!</v>
      </c>
      <c r="IF429" t="e">
        <f>Asia!916:916-"n/&gt;!4vO"</f>
        <v>#VALUE!</v>
      </c>
      <c r="IG429" t="e">
        <f>Asia!917:917-"n/&gt;!4vP"</f>
        <v>#VALUE!</v>
      </c>
      <c r="IH429" t="e">
        <f>Asia!918:918-"n/&gt;!4vQ"</f>
        <v>#VALUE!</v>
      </c>
      <c r="II429" t="e">
        <f>Asia!919:919-"n/&gt;!4vR"</f>
        <v>#VALUE!</v>
      </c>
      <c r="IJ429" t="e">
        <f>Asia!920:920-"n/&gt;!4vS"</f>
        <v>#VALUE!</v>
      </c>
      <c r="IK429" t="e">
        <f>Asia!921:921-"n/&gt;!4vT"</f>
        <v>#VALUE!</v>
      </c>
      <c r="IL429" t="e">
        <f>Asia!922:922-"n/&gt;!4vU"</f>
        <v>#VALUE!</v>
      </c>
      <c r="IM429" t="e">
        <f>Asia!923:923-"n/&gt;!4vV"</f>
        <v>#VALUE!</v>
      </c>
      <c r="IN429" t="e">
        <f>Asia!924:924-"n/&gt;!4vW"</f>
        <v>#VALUE!</v>
      </c>
      <c r="IO429" t="e">
        <f>Asia!925:925-"n/&gt;!4vX"</f>
        <v>#VALUE!</v>
      </c>
      <c r="IP429" t="e">
        <f>Asia!926:926-"n/&gt;!4vY"</f>
        <v>#VALUE!</v>
      </c>
      <c r="IQ429" t="e">
        <f>Asia!927:927-"n/&gt;!4vZ"</f>
        <v>#VALUE!</v>
      </c>
      <c r="IR429" t="e">
        <f>Asia!928:928-"n/&gt;!4v["</f>
        <v>#VALUE!</v>
      </c>
      <c r="IS429" t="e">
        <f>Asia!929:929-"n/&gt;!4v\"</f>
        <v>#VALUE!</v>
      </c>
      <c r="IT429" t="e">
        <f>Asia!930:930-"n/&gt;!4v]"</f>
        <v>#VALUE!</v>
      </c>
      <c r="IU429" t="e">
        <f>Asia!931:931-"n/&gt;!4v^"</f>
        <v>#VALUE!</v>
      </c>
      <c r="IV429" t="e">
        <f>Asia!932:932-"n/&gt;!4v_"</f>
        <v>#VALUE!</v>
      </c>
    </row>
    <row r="430" spans="6:256" x14ac:dyDescent="0.35">
      <c r="F430" t="e">
        <f>Asia!933:933-"n/&gt;!4v`"</f>
        <v>#VALUE!</v>
      </c>
      <c r="G430" t="e">
        <f>Asia!934:934-"n/&gt;!4va"</f>
        <v>#VALUE!</v>
      </c>
      <c r="H430" t="e">
        <f>Asia!935:935-"n/&gt;!4vb"</f>
        <v>#VALUE!</v>
      </c>
      <c r="I430" t="e">
        <f>Asia!936:936-"n/&gt;!4vc"</f>
        <v>#VALUE!</v>
      </c>
      <c r="J430" t="e">
        <f>Asia!937:937-"n/&gt;!4vd"</f>
        <v>#VALUE!</v>
      </c>
      <c r="K430" t="e">
        <f>Asia!938:938-"n/&gt;!4ve"</f>
        <v>#VALUE!</v>
      </c>
      <c r="L430" t="e">
        <f>Asia!939:939-"n/&gt;!4vf"</f>
        <v>#VALUE!</v>
      </c>
      <c r="M430" t="e">
        <f>Asia!940:940-"n/&gt;!4vg"</f>
        <v>#VALUE!</v>
      </c>
      <c r="N430" t="e">
        <f>Asia!941:941-"n/&gt;!4vh"</f>
        <v>#VALUE!</v>
      </c>
      <c r="O430" t="e">
        <f>Asia!942:942-"n/&gt;!4vi"</f>
        <v>#VALUE!</v>
      </c>
      <c r="P430" t="e">
        <f>Asia!943:943-"n/&gt;!4vj"</f>
        <v>#VALUE!</v>
      </c>
      <c r="Q430" t="e">
        <f>Asia!944:944-"n/&gt;!4vk"</f>
        <v>#VALUE!</v>
      </c>
      <c r="R430" t="e">
        <f>Asia!945:945-"n/&gt;!4vl"</f>
        <v>#VALUE!</v>
      </c>
      <c r="S430" t="e">
        <f>Asia!946:946-"n/&gt;!4vm"</f>
        <v>#VALUE!</v>
      </c>
      <c r="T430" t="e">
        <f>Asia!947:947-"n/&gt;!4vn"</f>
        <v>#VALUE!</v>
      </c>
      <c r="U430" t="e">
        <f>Asia!948:948-"n/&gt;!4vo"</f>
        <v>#VALUE!</v>
      </c>
      <c r="V430" t="e">
        <f>Asia!949:949-"n/&gt;!4vp"</f>
        <v>#VALUE!</v>
      </c>
      <c r="W430" t="e">
        <f>Asia!950:950-"n/&gt;!4vq"</f>
        <v>#VALUE!</v>
      </c>
      <c r="X430" t="e">
        <f>Asia!951:951-"n/&gt;!4vr"</f>
        <v>#VALUE!</v>
      </c>
      <c r="Y430" t="e">
        <f>Asia!952:952-"n/&gt;!4vs"</f>
        <v>#VALUE!</v>
      </c>
      <c r="Z430" t="e">
        <f>Asia!953:953-"n/&gt;!4vt"</f>
        <v>#VALUE!</v>
      </c>
      <c r="AA430" t="e">
        <f>Asia!954:954-"n/&gt;!4vu"</f>
        <v>#VALUE!</v>
      </c>
      <c r="AB430" t="e">
        <f>Asia!955:955-"n/&gt;!4vv"</f>
        <v>#VALUE!</v>
      </c>
      <c r="AC430" t="e">
        <f>Asia!956:956-"n/&gt;!4vw"</f>
        <v>#VALUE!</v>
      </c>
      <c r="AD430" t="e">
        <f>Asia!957:957-"n/&gt;!4vx"</f>
        <v>#VALUE!</v>
      </c>
      <c r="AE430" t="e">
        <f>Asia!958:958-"n/&gt;!4vy"</f>
        <v>#VALUE!</v>
      </c>
      <c r="AF430" t="e">
        <f>Asia!959:959-"n/&gt;!4vz"</f>
        <v>#VALUE!</v>
      </c>
      <c r="AG430" t="e">
        <f>Asia!960:960-"n/&gt;!4v{"</f>
        <v>#VALUE!</v>
      </c>
      <c r="AH430" t="e">
        <f>Asia!961:961-"n/&gt;!4v|"</f>
        <v>#VALUE!</v>
      </c>
      <c r="AI430" t="e">
        <f>Asia!962:962-"n/&gt;!4v}"</f>
        <v>#VALUE!</v>
      </c>
      <c r="AJ430" t="e">
        <f>Asia!963:963-"n/&gt;!4v~"</f>
        <v>#VALUE!</v>
      </c>
      <c r="AK430" t="e">
        <f>Asia!964:964-"n/&gt;!4w#"</f>
        <v>#VALUE!</v>
      </c>
      <c r="AL430" t="e">
        <f>Asia!965:965-"n/&gt;!4w$"</f>
        <v>#VALUE!</v>
      </c>
      <c r="AM430" t="e">
        <f>Asia!966:966-"n/&gt;!4w%"</f>
        <v>#VALUE!</v>
      </c>
      <c r="AN430" t="e">
        <f>Asia!967:967-"n/&gt;!4w&amp;"</f>
        <v>#VALUE!</v>
      </c>
      <c r="AO430" t="e">
        <f>Asia!968:968-"n/&gt;!4w'"</f>
        <v>#VALUE!</v>
      </c>
      <c r="AP430" t="e">
        <f>Asia!969:969-"n/&gt;!4w("</f>
        <v>#VALUE!</v>
      </c>
      <c r="AQ430" t="e">
        <f>Asia!970:970-"n/&gt;!4w)"</f>
        <v>#VALUE!</v>
      </c>
      <c r="AR430" t="e">
        <f>Asia!971:971-"n/&gt;!4w."</f>
        <v>#VALUE!</v>
      </c>
      <c r="AS430" t="e">
        <f>Asia!972:972-"n/&gt;!4w/"</f>
        <v>#VALUE!</v>
      </c>
      <c r="AT430" t="e">
        <f>Asia!973:973-"n/&gt;!4w0"</f>
        <v>#VALUE!</v>
      </c>
      <c r="AU430" t="e">
        <f>Asia!974:974-"n/&gt;!4w1"</f>
        <v>#VALUE!</v>
      </c>
      <c r="AV430" t="e">
        <f>Asia!975:975-"n/&gt;!4w2"</f>
        <v>#VALUE!</v>
      </c>
      <c r="AW430" t="e">
        <f>Asia!976:976-"n/&gt;!4w3"</f>
        <v>#VALUE!</v>
      </c>
      <c r="AX430" t="e">
        <f>Asia!977:977-"n/&gt;!4w4"</f>
        <v>#VALUE!</v>
      </c>
      <c r="AY430" t="e">
        <f>Asia!978:978-"n/&gt;!4w5"</f>
        <v>#VALUE!</v>
      </c>
      <c r="AZ430" t="e">
        <f>Asia!979:979-"n/&gt;!4w6"</f>
        <v>#VALUE!</v>
      </c>
      <c r="BA430" t="e">
        <f>Asia!980:980-"n/&gt;!4w7"</f>
        <v>#VALUE!</v>
      </c>
      <c r="BB430" t="e">
        <f>Asia!981:981-"n/&gt;!4w8"</f>
        <v>#VALUE!</v>
      </c>
      <c r="BC430" t="e">
        <f>Asia!982:982-"n/&gt;!4w9"</f>
        <v>#VALUE!</v>
      </c>
      <c r="BD430" t="e">
        <f>Asia!983:983-"n/&gt;!4w:"</f>
        <v>#VALUE!</v>
      </c>
      <c r="BE430" t="e">
        <f>Asia!984:984-"n/&gt;!4w;"</f>
        <v>#VALUE!</v>
      </c>
      <c r="BF430" t="e">
        <f>Asia!985:985-"n/&gt;!4w&lt;"</f>
        <v>#VALUE!</v>
      </c>
      <c r="BG430" t="e">
        <f>Asia!986:986-"n/&gt;!4w="</f>
        <v>#VALUE!</v>
      </c>
      <c r="BH430" t="e">
        <f>Asia!987:987-"n/&gt;!4w&gt;"</f>
        <v>#VALUE!</v>
      </c>
      <c r="BI430" t="e">
        <f>Asia!988:988-"n/&gt;!4w?"</f>
        <v>#VALUE!</v>
      </c>
      <c r="BJ430" t="e">
        <f>Asia!989:989-"n/&gt;!4w@"</f>
        <v>#VALUE!</v>
      </c>
      <c r="BK430" t="e">
        <f>Asia!990:990-"n/&gt;!4wA"</f>
        <v>#VALUE!</v>
      </c>
      <c r="BL430" t="e">
        <f>Asia!991:991-"n/&gt;!4wB"</f>
        <v>#VALUE!</v>
      </c>
      <c r="BM430" t="e">
        <f>Asia!992:992-"n/&gt;!4wC"</f>
        <v>#VALUE!</v>
      </c>
      <c r="BN430" t="e">
        <f>Asia!993:993-"n/&gt;!4wD"</f>
        <v>#VALUE!</v>
      </c>
      <c r="BO430" t="e">
        <f>Asia!994:994-"n/&gt;!4wE"</f>
        <v>#VALUE!</v>
      </c>
      <c r="BP430" t="e">
        <f>Asia!995:995-"n/&gt;!4wF"</f>
        <v>#VALUE!</v>
      </c>
      <c r="BQ430" t="e">
        <f>Asia!996:996-"n/&gt;!4wG"</f>
        <v>#VALUE!</v>
      </c>
      <c r="BR430" t="e">
        <f>Asia!997:997-"n/&gt;!4wH"</f>
        <v>#VALUE!</v>
      </c>
      <c r="BS430" t="e">
        <f>Asia!998:998-"n/&gt;!4wI"</f>
        <v>#VALUE!</v>
      </c>
      <c r="BT430" t="e">
        <f>Asia!999:999-"n/&gt;!4wJ"</f>
        <v>#VALUE!</v>
      </c>
      <c r="BU430" t="e">
        <f>Asia!1000:1000-"n/&gt;!4wK"</f>
        <v>#VALUE!</v>
      </c>
      <c r="BV430" t="e">
        <f>Asia!1001:1001-"n/&gt;!4wL"</f>
        <v>#VALUE!</v>
      </c>
      <c r="BW430" t="e">
        <f>Asia!1002:1002-"n/&gt;!4wM"</f>
        <v>#VALUE!</v>
      </c>
      <c r="BX430" t="e">
        <f>Asia!1003:1003-"n/&gt;!4wN"</f>
        <v>#VALUE!</v>
      </c>
      <c r="BY430" t="e">
        <f>Asia!1004:1004-"n/&gt;!4wO"</f>
        <v>#VALUE!</v>
      </c>
      <c r="BZ430" t="e">
        <f>Asia!1005:1005-"n/&gt;!4wP"</f>
        <v>#VALUE!</v>
      </c>
      <c r="CA430" t="e">
        <f>Asia!1006:1006-"n/&gt;!4wQ"</f>
        <v>#VALUE!</v>
      </c>
      <c r="CB430" t="e">
        <f>Asia!1007:1007-"n/&gt;!4wR"</f>
        <v>#VALUE!</v>
      </c>
      <c r="CC430" t="e">
        <f>Asia!1008:1008-"n/&gt;!4wS"</f>
        <v>#VALUE!</v>
      </c>
      <c r="CD430" t="e">
        <f>Asia!1009:1009-"n/&gt;!4wT"</f>
        <v>#VALUE!</v>
      </c>
      <c r="CE430" t="e">
        <f>Asia!1010:1010-"n/&gt;!4wU"</f>
        <v>#VALUE!</v>
      </c>
      <c r="CF430" t="e">
        <f>Asia!1011:1011-"n/&gt;!4wV"</f>
        <v>#VALUE!</v>
      </c>
      <c r="CG430" t="e">
        <f>Asia!1012:1012-"n/&gt;!4wW"</f>
        <v>#VALUE!</v>
      </c>
      <c r="CH430" t="e">
        <f>Asia!1013:1013-"n/&gt;!4wX"</f>
        <v>#VALUE!</v>
      </c>
      <c r="CI430" t="e">
        <f>Asia!1014:1014-"n/&gt;!4wY"</f>
        <v>#VALUE!</v>
      </c>
      <c r="CJ430" t="e">
        <f>Asia!1015:1015-"n/&gt;!4wZ"</f>
        <v>#VALUE!</v>
      </c>
      <c r="CK430" t="e">
        <f>Asia!1016:1016-"n/&gt;!4w["</f>
        <v>#VALUE!</v>
      </c>
      <c r="CL430" t="e">
        <f>Asia!1017:1017-"n/&gt;!4w\"</f>
        <v>#VALUE!</v>
      </c>
      <c r="CM430" t="e">
        <f>Asia!1018:1018-"n/&gt;!4w]"</f>
        <v>#VALUE!</v>
      </c>
      <c r="CN430" t="e">
        <f>Asia!1019:1019-"n/&gt;!4w^"</f>
        <v>#VALUE!</v>
      </c>
      <c r="CO430" t="e">
        <f>Asia!1020:1020-"n/&gt;!4w_"</f>
        <v>#VALUE!</v>
      </c>
      <c r="CP430" t="e">
        <f>Asia!1021:1021-"n/&gt;!4w`"</f>
        <v>#VALUE!</v>
      </c>
      <c r="CQ430" t="e">
        <f>Asia!1022:1022-"n/&gt;!4wa"</f>
        <v>#VALUE!</v>
      </c>
      <c r="CR430" t="e">
        <f>Asia!1023:1023-"n/&gt;!4wb"</f>
        <v>#VALUE!</v>
      </c>
      <c r="CS430" t="e">
        <f>Asia!1024:1024-"n/&gt;!4wc"</f>
        <v>#VALUE!</v>
      </c>
      <c r="CT430" t="e">
        <f>Asia!1025:1025-"n/&gt;!4wd"</f>
        <v>#VALUE!</v>
      </c>
      <c r="CU430" t="e">
        <f>Asia!1026:1026-"n/&gt;!4we"</f>
        <v>#VALUE!</v>
      </c>
      <c r="CV430" t="e">
        <f>Asia!1027:1027-"n/&gt;!4wf"</f>
        <v>#VALUE!</v>
      </c>
      <c r="CW430" t="e">
        <f>Asia!1028:1028-"n/&gt;!4wg"</f>
        <v>#VALUE!</v>
      </c>
      <c r="CX430" t="e">
        <f>Asia!1029:1029-"n/&gt;!4wh"</f>
        <v>#VALUE!</v>
      </c>
      <c r="CY430" t="e">
        <f>Asia!1030:1030-"n/&gt;!4wi"</f>
        <v>#VALUE!</v>
      </c>
      <c r="CZ430" t="e">
        <f>Asia!1031:1031-"n/&gt;!4wj"</f>
        <v>#VALUE!</v>
      </c>
      <c r="DA430" t="e">
        <f>Asia!1032:1032-"n/&gt;!4wk"</f>
        <v>#VALUE!</v>
      </c>
      <c r="DB430" t="e">
        <f>Asia!1033:1033-"n/&gt;!4wl"</f>
        <v>#VALUE!</v>
      </c>
      <c r="DC430" t="e">
        <f>Asia!1034:1034-"n/&gt;!4wm"</f>
        <v>#VALUE!</v>
      </c>
      <c r="DD430" t="e">
        <f>Asia!1035:1035-"n/&gt;!4wn"</f>
        <v>#VALUE!</v>
      </c>
      <c r="DE430" t="e">
        <f>Asia!1036:1036-"n/&gt;!4wo"</f>
        <v>#VALUE!</v>
      </c>
      <c r="DF430" t="e">
        <f>Asia!1037:1037-"n/&gt;!4wp"</f>
        <v>#VALUE!</v>
      </c>
      <c r="DG430" t="e">
        <f>Asia!1038:1038-"n/&gt;!4wq"</f>
        <v>#VALUE!</v>
      </c>
      <c r="DH430" t="e">
        <f>Asia!1039:1039-"n/&gt;!4wr"</f>
        <v>#VALUE!</v>
      </c>
      <c r="DI430" t="e">
        <f>Asia!1040:1040-"n/&gt;!4ws"</f>
        <v>#VALUE!</v>
      </c>
      <c r="DJ430" t="e">
        <f>Asia!1041:1041-"n/&gt;!4wt"</f>
        <v>#VALUE!</v>
      </c>
      <c r="DK430" t="e">
        <f>Asia!1042:1042-"n/&gt;!4wu"</f>
        <v>#VALUE!</v>
      </c>
      <c r="DL430" t="e">
        <f>Asia!1043:1043-"n/&gt;!4wv"</f>
        <v>#VALUE!</v>
      </c>
      <c r="DM430" t="e">
        <f>Asia!1044:1044-"n/&gt;!4ww"</f>
        <v>#VALUE!</v>
      </c>
      <c r="DN430" t="e">
        <f>Asia!1045:1045-"n/&gt;!4wx"</f>
        <v>#VALUE!</v>
      </c>
      <c r="DO430" t="e">
        <f>Asia!1046:1046-"n/&gt;!4wy"</f>
        <v>#VALUE!</v>
      </c>
      <c r="DP430" t="e">
        <f>Asia!1047:1047-"n/&gt;!4wz"</f>
        <v>#VALUE!</v>
      </c>
      <c r="DQ430" t="e">
        <f>Asia!1048:1048-"n/&gt;!4w{"</f>
        <v>#VALUE!</v>
      </c>
      <c r="DR430" t="e">
        <f>Asia!1049:1049-"n/&gt;!4w|"</f>
        <v>#VALUE!</v>
      </c>
      <c r="DS430" t="e">
        <f>Asia!1050:1050-"n/&gt;!4w}"</f>
        <v>#VALUE!</v>
      </c>
      <c r="DT430" t="e">
        <f>Asia!1051:1051-"n/&gt;!4w~"</f>
        <v>#VALUE!</v>
      </c>
      <c r="DU430" t="e">
        <f>Asia!1052:1052-"n/&gt;!4x#"</f>
        <v>#VALUE!</v>
      </c>
      <c r="DV430" t="e">
        <f>Asia!1053:1053-"n/&gt;!4x$"</f>
        <v>#VALUE!</v>
      </c>
      <c r="DW430" t="e">
        <f>Asia!1054:1054-"n/&gt;!4x%"</f>
        <v>#VALUE!</v>
      </c>
      <c r="DX430" t="e">
        <f>Asia!1055:1055-"n/&gt;!4x&amp;"</f>
        <v>#VALUE!</v>
      </c>
      <c r="DY430" t="e">
        <f>Asia!1056:1056-"n/&gt;!4x'"</f>
        <v>#VALUE!</v>
      </c>
      <c r="DZ430" t="e">
        <f>Asia!1057:1057-"n/&gt;!4x("</f>
        <v>#VALUE!</v>
      </c>
      <c r="EA430" t="e">
        <f>Asia!1058:1058-"n/&gt;!4x)"</f>
        <v>#VALUE!</v>
      </c>
      <c r="EB430" t="e">
        <f>Asia!1059:1059-"n/&gt;!4x."</f>
        <v>#VALUE!</v>
      </c>
      <c r="EC430" t="e">
        <f>Asia!1060:1060-"n/&gt;!4x/"</f>
        <v>#VALUE!</v>
      </c>
      <c r="ED430" t="e">
        <f>Asia!1061:1061-"n/&gt;!4x0"</f>
        <v>#VALUE!</v>
      </c>
      <c r="EE430" t="e">
        <f>Asia!1062:1062-"n/&gt;!4x1"</f>
        <v>#VALUE!</v>
      </c>
      <c r="EF430" t="e">
        <f>Asia!1063:1063-"n/&gt;!4x2"</f>
        <v>#VALUE!</v>
      </c>
      <c r="EG430" t="e">
        <f>Asia!1064:1064-"n/&gt;!4x3"</f>
        <v>#VALUE!</v>
      </c>
      <c r="EH430" t="e">
        <f>Asia!1065:1065-"n/&gt;!4x4"</f>
        <v>#VALUE!</v>
      </c>
      <c r="EI430" t="e">
        <f>Asia!1066:1066-"n/&gt;!4x5"</f>
        <v>#VALUE!</v>
      </c>
      <c r="EJ430" t="e">
        <f>Asia!1067:1067-"n/&gt;!4x6"</f>
        <v>#VALUE!</v>
      </c>
      <c r="EK430" t="e">
        <f>Asia!1068:1068-"n/&gt;!4x7"</f>
        <v>#VALUE!</v>
      </c>
      <c r="EL430" t="e">
        <f>Asia!1069:1069-"n/&gt;!4x8"</f>
        <v>#VALUE!</v>
      </c>
      <c r="EM430" t="e">
        <f>Asia!1070:1070-"n/&gt;!4x9"</f>
        <v>#VALUE!</v>
      </c>
      <c r="EN430" t="e">
        <f>Asia!1071:1071-"n/&gt;!4x:"</f>
        <v>#VALUE!</v>
      </c>
      <c r="EO430" t="e">
        <f>Asia!1072:1072-"n/&gt;!4x;"</f>
        <v>#VALUE!</v>
      </c>
      <c r="EP430" t="e">
        <f>Asia!1073:1073-"n/&gt;!4x&lt;"</f>
        <v>#VALUE!</v>
      </c>
      <c r="EQ430" t="e">
        <f>Asia!1074:1074-"n/&gt;!4x="</f>
        <v>#VALUE!</v>
      </c>
      <c r="ER430" t="e">
        <f>Asia!1075:1075-"n/&gt;!4x&gt;"</f>
        <v>#VALUE!</v>
      </c>
      <c r="ES430" t="e">
        <f>Asia!1076:1076-"n/&gt;!4x?"</f>
        <v>#VALUE!</v>
      </c>
      <c r="ET430" t="e">
        <f>Asia!1077:1077-"n/&gt;!4x@"</f>
        <v>#VALUE!</v>
      </c>
      <c r="EU430" t="e">
        <f>Asia!1078:1078-"n/&gt;!4xA"</f>
        <v>#VALUE!</v>
      </c>
      <c r="EV430" t="e">
        <f>Asia!1079:1079-"n/&gt;!4xB"</f>
        <v>#VALUE!</v>
      </c>
      <c r="EW430" t="e">
        <f>Asia!1080:1080-"n/&gt;!4xC"</f>
        <v>#VALUE!</v>
      </c>
      <c r="EX430" t="e">
        <f>Asia!1081:1081-"n/&gt;!4xD"</f>
        <v>#VALUE!</v>
      </c>
      <c r="EY430" t="e">
        <f>Asia!1082:1082-"n/&gt;!4xE"</f>
        <v>#VALUE!</v>
      </c>
      <c r="EZ430" t="e">
        <f>Asia!1083:1083-"n/&gt;!4xF"</f>
        <v>#VALUE!</v>
      </c>
      <c r="FA430" t="e">
        <f>Asia!1084:1084-"n/&gt;!4xG"</f>
        <v>#VALUE!</v>
      </c>
      <c r="FB430" t="e">
        <f>Asia!1085:1085-"n/&gt;!4xH"</f>
        <v>#VALUE!</v>
      </c>
      <c r="FC430" t="e">
        <f>Asia!1086:1086-"n/&gt;!4xI"</f>
        <v>#VALUE!</v>
      </c>
      <c r="FD430" t="e">
        <f>Asia!1087:1087-"n/&gt;!4xJ"</f>
        <v>#VALUE!</v>
      </c>
      <c r="FE430" t="e">
        <f>Asia!1088:1088-"n/&gt;!4xK"</f>
        <v>#VALUE!</v>
      </c>
      <c r="FF430" t="e">
        <f>Asia!1089:1089-"n/&gt;!4xL"</f>
        <v>#VALUE!</v>
      </c>
      <c r="FG430" t="e">
        <f>Asia!1090:1090-"n/&gt;!4xM"</f>
        <v>#VALUE!</v>
      </c>
      <c r="FH430" t="e">
        <f>Asia!1091:1091-"n/&gt;!4xN"</f>
        <v>#VALUE!</v>
      </c>
      <c r="FI430" t="e">
        <f>Asia!1092:1092-"n/&gt;!4xO"</f>
        <v>#VALUE!</v>
      </c>
      <c r="FJ430" t="e">
        <f>Asia!1093:1093-"n/&gt;!4xP"</f>
        <v>#VALUE!</v>
      </c>
      <c r="FK430" t="e">
        <f>Asia!1094:1094-"n/&gt;!4xQ"</f>
        <v>#VALUE!</v>
      </c>
      <c r="FL430" t="e">
        <f>Asia!1095:1095-"n/&gt;!4xR"</f>
        <v>#VALUE!</v>
      </c>
      <c r="FM430" t="e">
        <f>Asia!1096:1096-"n/&gt;!4xS"</f>
        <v>#VALUE!</v>
      </c>
      <c r="FN430" t="e">
        <f>Asia!1097:1097-"n/&gt;!4xT"</f>
        <v>#VALUE!</v>
      </c>
      <c r="FO430" t="e">
        <f>Asia!1098:1098-"n/&gt;!4xU"</f>
        <v>#VALUE!</v>
      </c>
      <c r="FP430" t="e">
        <f>Asia!1099:1099-"n/&gt;!4xV"</f>
        <v>#VALUE!</v>
      </c>
      <c r="FQ430" t="e">
        <f>Asia!1100:1100-"n/&gt;!4xW"</f>
        <v>#VALUE!</v>
      </c>
      <c r="FR430" t="e">
        <f>Asia!1101:1101-"n/&gt;!4xX"</f>
        <v>#VALUE!</v>
      </c>
      <c r="FS430" t="e">
        <f>Asia!1102:1102-"n/&gt;!4xY"</f>
        <v>#VALUE!</v>
      </c>
      <c r="FT430" t="e">
        <f>Asia!1103:1103-"n/&gt;!4xZ"</f>
        <v>#VALUE!</v>
      </c>
      <c r="FU430" t="e">
        <f>Asia!1104:1104-"n/&gt;!4x["</f>
        <v>#VALUE!</v>
      </c>
      <c r="FV430" t="e">
        <f>Asia!1105:1105-"n/&gt;!4x\"</f>
        <v>#VALUE!</v>
      </c>
      <c r="FW430" t="e">
        <f>Asia!1106:1106-"n/&gt;!4x]"</f>
        <v>#VALUE!</v>
      </c>
      <c r="FX430" t="e">
        <f>Asia!1107:1107-"n/&gt;!4x^"</f>
        <v>#VALUE!</v>
      </c>
      <c r="FY430" t="e">
        <f>Asia!1108:1108-"n/&gt;!4x_"</f>
        <v>#VALUE!</v>
      </c>
      <c r="FZ430" t="e">
        <f>Asia!1109:1109-"n/&gt;!4x`"</f>
        <v>#VALUE!</v>
      </c>
      <c r="GA430" t="e">
        <f>Asia!1110:1110-"n/&gt;!4xa"</f>
        <v>#VALUE!</v>
      </c>
      <c r="GB430" t="e">
        <f>Asia!1111:1111-"n/&gt;!4xb"</f>
        <v>#VALUE!</v>
      </c>
      <c r="GC430" t="e">
        <f>Asia!1112:1112-"n/&gt;!4xc"</f>
        <v>#VALUE!</v>
      </c>
      <c r="GD430" t="e">
        <f>Asia!1113:1113-"n/&gt;!4xd"</f>
        <v>#VALUE!</v>
      </c>
      <c r="GE430" t="e">
        <f>Asia!1114:1114-"n/&gt;!4xe"</f>
        <v>#VALUE!</v>
      </c>
      <c r="GF430" t="e">
        <f>Asia!1115:1115-"n/&gt;!4xf"</f>
        <v>#VALUE!</v>
      </c>
      <c r="GG430" t="e">
        <f>Asia!1116:1116-"n/&gt;!4xg"</f>
        <v>#VALUE!</v>
      </c>
      <c r="GH430" t="e">
        <f>Asia!1117:1117-"n/&gt;!4xh"</f>
        <v>#VALUE!</v>
      </c>
      <c r="GI430" t="e">
        <f>Asia!1118:1118-"n/&gt;!4xi"</f>
        <v>#VALUE!</v>
      </c>
      <c r="GJ430" t="e">
        <f>Asia!1119:1119-"n/&gt;!4xj"</f>
        <v>#VALUE!</v>
      </c>
      <c r="GK430" t="e">
        <f>Asia!1120:1120-"n/&gt;!4xk"</f>
        <v>#VALUE!</v>
      </c>
      <c r="GL430" t="e">
        <f>Asia!1121:1121-"n/&gt;!4xl"</f>
        <v>#VALUE!</v>
      </c>
      <c r="GM430" t="e">
        <f>Asia!1122:1122-"n/&gt;!4xm"</f>
        <v>#VALUE!</v>
      </c>
      <c r="GN430" t="e">
        <f>Asia!1123:1123-"n/&gt;!4xn"</f>
        <v>#VALUE!</v>
      </c>
      <c r="GO430" t="e">
        <f>Asia!1124:1124-"n/&gt;!4xo"</f>
        <v>#VALUE!</v>
      </c>
      <c r="GP430" t="e">
        <f>Asia!1125:1125-"n/&gt;!4xp"</f>
        <v>#VALUE!</v>
      </c>
      <c r="GQ430" t="e">
        <f>Asia!1126:1126-"n/&gt;!4xq"</f>
        <v>#VALUE!</v>
      </c>
      <c r="GR430" t="e">
        <f>Asia!1127:1127-"n/&gt;!4xr"</f>
        <v>#VALUE!</v>
      </c>
      <c r="GS430" t="e">
        <f>Asia!1128:1128-"n/&gt;!4xs"</f>
        <v>#VALUE!</v>
      </c>
      <c r="GT430" t="e">
        <f>Asia!1129:1129-"n/&gt;!4xt"</f>
        <v>#VALUE!</v>
      </c>
      <c r="GU430" t="e">
        <f>Asia!1130:1130-"n/&gt;!4xu"</f>
        <v>#VALUE!</v>
      </c>
      <c r="GV430" t="e">
        <f>Asia!1131:1131-"n/&gt;!4xv"</f>
        <v>#VALUE!</v>
      </c>
      <c r="GW430" t="e">
        <f>Asia!1132:1132-"n/&gt;!4xw"</f>
        <v>#VALUE!</v>
      </c>
      <c r="GX430" t="e">
        <f>Asia!1133:1133-"n/&gt;!4xx"</f>
        <v>#VALUE!</v>
      </c>
      <c r="GY430" t="e">
        <f>Asia!1134:1134-"n/&gt;!4xy"</f>
        <v>#VALUE!</v>
      </c>
      <c r="GZ430" t="e">
        <f>Asia!1135:1135-"n/&gt;!4xz"</f>
        <v>#VALUE!</v>
      </c>
      <c r="HA430" t="e">
        <f>Asia!1136:1136-"n/&gt;!4x{"</f>
        <v>#VALUE!</v>
      </c>
      <c r="HB430" t="e">
        <f>Asia!1137:1137-"n/&gt;!4x|"</f>
        <v>#VALUE!</v>
      </c>
      <c r="HC430" t="e">
        <f>Asia!1138:1138-"n/&gt;!4x}"</f>
        <v>#VALUE!</v>
      </c>
      <c r="HD430" t="e">
        <f>Asia!1139:1139-"n/&gt;!4x~"</f>
        <v>#VALUE!</v>
      </c>
      <c r="HE430" t="e">
        <f>Asia!1140:1140-"n/&gt;!4y#"</f>
        <v>#VALUE!</v>
      </c>
      <c r="HF430" t="e">
        <f>Asia!1141:1141-"n/&gt;!4y$"</f>
        <v>#VALUE!</v>
      </c>
      <c r="HG430" t="e">
        <f>Asia!1142:1142-"n/&gt;!4y%"</f>
        <v>#VALUE!</v>
      </c>
      <c r="HH430" t="e">
        <f>Asia!1143:1143-"n/&gt;!4y&amp;"</f>
        <v>#VALUE!</v>
      </c>
      <c r="HI430" t="e">
        <f>Asia!1144:1144-"n/&gt;!4y'"</f>
        <v>#VALUE!</v>
      </c>
      <c r="HJ430" t="e">
        <f>Asia!1145:1145-"n/&gt;!4y("</f>
        <v>#VALUE!</v>
      </c>
      <c r="HK430" t="e">
        <f>Asia!1146:1146-"n/&gt;!4y)"</f>
        <v>#VALUE!</v>
      </c>
      <c r="HL430" t="e">
        <f>Asia!1147:1147-"n/&gt;!4y."</f>
        <v>#VALUE!</v>
      </c>
      <c r="HM430" t="e">
        <f>Asia!1148:1148-"n/&gt;!4y/"</f>
        <v>#VALUE!</v>
      </c>
      <c r="HN430" t="e">
        <f>Asia!1149:1149-"n/&gt;!4y0"</f>
        <v>#VALUE!</v>
      </c>
      <c r="HO430" t="e">
        <f>Asia!1150:1150-"n/&gt;!4y1"</f>
        <v>#VALUE!</v>
      </c>
      <c r="HP430" t="e">
        <f>Asia!1151:1151-"n/&gt;!4y2"</f>
        <v>#VALUE!</v>
      </c>
      <c r="HQ430" t="e">
        <f>Asia!1152:1152-"n/&gt;!4y3"</f>
        <v>#VALUE!</v>
      </c>
      <c r="HR430" t="e">
        <f>Asia!1153:1153-"n/&gt;!4y4"</f>
        <v>#VALUE!</v>
      </c>
      <c r="HS430" t="e">
        <f>Asia!1154:1154-"n/&gt;!4y5"</f>
        <v>#VALUE!</v>
      </c>
      <c r="HT430" t="e">
        <f>Asia!1155:1155-"n/&gt;!4y6"</f>
        <v>#VALUE!</v>
      </c>
      <c r="HU430" t="e">
        <f>Asia!1156:1156-"n/&gt;!4y7"</f>
        <v>#VALUE!</v>
      </c>
      <c r="HV430" t="e">
        <f>Asia!1157:1157-"n/&gt;!4y8"</f>
        <v>#VALUE!</v>
      </c>
      <c r="HW430" t="e">
        <f>Asia!1158:1158-"n/&gt;!4y9"</f>
        <v>#VALUE!</v>
      </c>
      <c r="HX430" t="e">
        <f>Asia!1159:1159-"n/&gt;!4y:"</f>
        <v>#VALUE!</v>
      </c>
      <c r="HY430" t="e">
        <f>Asia!1160:1160-"n/&gt;!4y;"</f>
        <v>#VALUE!</v>
      </c>
      <c r="HZ430" t="e">
        <f>Asia!1161:1161-"n/&gt;!4y&lt;"</f>
        <v>#VALUE!</v>
      </c>
      <c r="IA430" t="e">
        <f>Asia!1162:1162-"n/&gt;!4y="</f>
        <v>#VALUE!</v>
      </c>
      <c r="IB430" t="e">
        <f>Asia!1163:1163-"n/&gt;!4y&gt;"</f>
        <v>#VALUE!</v>
      </c>
      <c r="IC430" t="e">
        <f>Asia!1164:1164-"n/&gt;!4y?"</f>
        <v>#VALUE!</v>
      </c>
      <c r="ID430" t="e">
        <f>Asia!1165:1165-"n/&gt;!4y@"</f>
        <v>#VALUE!</v>
      </c>
      <c r="IE430" t="e">
        <f>Asia!1166:1166-"n/&gt;!4yA"</f>
        <v>#VALUE!</v>
      </c>
      <c r="IF430" t="e">
        <f>Asia!1167:1167-"n/&gt;!4yB"</f>
        <v>#VALUE!</v>
      </c>
      <c r="IG430" t="e">
        <f>Asia!1168:1168-"n/&gt;!4yC"</f>
        <v>#VALUE!</v>
      </c>
      <c r="IH430" t="e">
        <f>Asia!1169:1169-"n/&gt;!4yD"</f>
        <v>#VALUE!</v>
      </c>
      <c r="II430" t="e">
        <f>Asia!1170:1170-"n/&gt;!4yE"</f>
        <v>#VALUE!</v>
      </c>
      <c r="IJ430" t="e">
        <f>Asia!1171:1171-"n/&gt;!4yF"</f>
        <v>#VALUE!</v>
      </c>
      <c r="IK430" t="e">
        <f>Asia!1172:1172-"n/&gt;!4yG"</f>
        <v>#VALUE!</v>
      </c>
      <c r="IL430" t="e">
        <f>Asia!1173:1173-"n/&gt;!4yH"</f>
        <v>#VALUE!</v>
      </c>
      <c r="IM430" t="e">
        <f>Asia!1174:1174-"n/&gt;!4yI"</f>
        <v>#VALUE!</v>
      </c>
      <c r="IN430" t="e">
        <f>Asia!1175:1175-"n/&gt;!4yJ"</f>
        <v>#VALUE!</v>
      </c>
      <c r="IO430" t="e">
        <f>Asia!1176:1176-"n/&gt;!4yK"</f>
        <v>#VALUE!</v>
      </c>
      <c r="IP430" t="e">
        <f>Asia!1177:1177-"n/&gt;!4yL"</f>
        <v>#VALUE!</v>
      </c>
      <c r="IQ430" t="e">
        <f>Asia!1178:1178-"n/&gt;!4yM"</f>
        <v>#VALUE!</v>
      </c>
      <c r="IR430" t="e">
        <f>Asia!1179:1179-"n/&gt;!4yN"</f>
        <v>#VALUE!</v>
      </c>
      <c r="IS430" t="e">
        <f>Asia!1180:1180-"n/&gt;!4yO"</f>
        <v>#VALUE!</v>
      </c>
      <c r="IT430" t="e">
        <f>Asia!1181:1181-"n/&gt;!4yP"</f>
        <v>#VALUE!</v>
      </c>
      <c r="IU430" t="e">
        <f>Asia!1182:1182-"n/&gt;!4yQ"</f>
        <v>#VALUE!</v>
      </c>
      <c r="IV430" t="e">
        <f>Asia!1183:1183-"n/&gt;!4yR"</f>
        <v>#VALUE!</v>
      </c>
    </row>
    <row r="431" spans="6:256" x14ac:dyDescent="0.35">
      <c r="F431" t="e">
        <f>Asia!1184:1184-"n/&gt;!4yS"</f>
        <v>#VALUE!</v>
      </c>
      <c r="G431" t="e">
        <f>Asia!1185:1185-"n/&gt;!4yT"</f>
        <v>#VALUE!</v>
      </c>
      <c r="H431" t="e">
        <f>Asia!1186:1186-"n/&gt;!4yU"</f>
        <v>#VALUE!</v>
      </c>
      <c r="I431" t="e">
        <f>Asia!1187:1187-"n/&gt;!4yV"</f>
        <v>#VALUE!</v>
      </c>
      <c r="J431" t="e">
        <f>Asia!1188:1188-"n/&gt;!4yW"</f>
        <v>#VALUE!</v>
      </c>
      <c r="K431" t="e">
        <f>Asia!1189:1189-"n/&gt;!4yX"</f>
        <v>#VALUE!</v>
      </c>
      <c r="L431" t="e">
        <f>Asia!1190:1190-"n/&gt;!4yY"</f>
        <v>#VALUE!</v>
      </c>
      <c r="M431" t="e">
        <f>Asia!1191:1191-"n/&gt;!4yZ"</f>
        <v>#VALUE!</v>
      </c>
      <c r="N431" t="e">
        <f>Asia!1192:1192-"n/&gt;!4y["</f>
        <v>#VALUE!</v>
      </c>
      <c r="O431" t="e">
        <f>Asia!1193:1193-"n/&gt;!4y\"</f>
        <v>#VALUE!</v>
      </c>
      <c r="P431" t="e">
        <f>Asia!1194:1194-"n/&gt;!4y]"</f>
        <v>#VALUE!</v>
      </c>
      <c r="Q431" t="e">
        <f>Asia!1195:1195-"n/&gt;!4y^"</f>
        <v>#VALUE!</v>
      </c>
      <c r="R431" t="e">
        <f>Asia!1196:1196-"n/&gt;!4y_"</f>
        <v>#VALUE!</v>
      </c>
      <c r="S431" t="e">
        <f>Asia!1197:1197-"n/&gt;!4y`"</f>
        <v>#VALUE!</v>
      </c>
      <c r="T431" t="e">
        <f>Asia!1198:1198-"n/&gt;!4ya"</f>
        <v>#VALUE!</v>
      </c>
      <c r="U431" t="e">
        <f>Asia!1199:1199-"n/&gt;!4yb"</f>
        <v>#VALUE!</v>
      </c>
      <c r="V431" t="e">
        <f>Asia!1200:1200-"n/&gt;!4yc"</f>
        <v>#VALUE!</v>
      </c>
      <c r="W431" t="e">
        <f>Asia!1201:1201-"n/&gt;!4yd"</f>
        <v>#VALUE!</v>
      </c>
      <c r="X431" t="e">
        <f>Asia!1202:1202-"n/&gt;!4ye"</f>
        <v>#VALUE!</v>
      </c>
      <c r="Y431" t="e">
        <f>Asia!1203:1203-"n/&gt;!4yf"</f>
        <v>#VALUE!</v>
      </c>
      <c r="Z431" t="e">
        <f>Asia!1204:1204-"n/&gt;!4yg"</f>
        <v>#VALUE!</v>
      </c>
      <c r="AA431" t="e">
        <f>Asia!1205:1205-"n/&gt;!4yh"</f>
        <v>#VALUE!</v>
      </c>
      <c r="AB431" t="e">
        <f>Asia!1206:1206-"n/&gt;!4yi"</f>
        <v>#VALUE!</v>
      </c>
      <c r="AC431" t="e">
        <f>Asia!1207:1207-"n/&gt;!4yj"</f>
        <v>#VALUE!</v>
      </c>
      <c r="AD431" t="e">
        <f>Asia!1208:1208-"n/&gt;!4yk"</f>
        <v>#VALUE!</v>
      </c>
      <c r="AE431" t="e">
        <f>Asia!1209:1209-"n/&gt;!4yl"</f>
        <v>#VALUE!</v>
      </c>
      <c r="AF431" t="e">
        <f>Asia!1210:1210-"n/&gt;!4ym"</f>
        <v>#VALUE!</v>
      </c>
      <c r="AG431" t="e">
        <f>Asia!1211:1211-"n/&gt;!4yn"</f>
        <v>#VALUE!</v>
      </c>
      <c r="AH431" t="e">
        <f>Asia!1212:1212-"n/&gt;!4yo"</f>
        <v>#VALUE!</v>
      </c>
      <c r="AI431" t="e">
        <f>Asia!1213:1213-"n/&gt;!4yp"</f>
        <v>#VALUE!</v>
      </c>
      <c r="AJ431" t="e">
        <f>Asia!1214:1214-"n/&gt;!4yq"</f>
        <v>#VALUE!</v>
      </c>
      <c r="AK431" t="e">
        <f>Asia!1215:1215-"n/&gt;!4yr"</f>
        <v>#VALUE!</v>
      </c>
      <c r="AL431" t="e">
        <f>Asia!1216:1216-"n/&gt;!4ys"</f>
        <v>#VALUE!</v>
      </c>
      <c r="AM431" t="e">
        <f>Asia!1217:1217-"n/&gt;!4yt"</f>
        <v>#VALUE!</v>
      </c>
      <c r="AN431" t="e">
        <f>Asia!1218:1218-"n/&gt;!4yu"</f>
        <v>#VALUE!</v>
      </c>
      <c r="AO431" t="e">
        <f>Asia!1219:1219-"n/&gt;!4yv"</f>
        <v>#VALUE!</v>
      </c>
      <c r="AP431" t="e">
        <f>Asia!1220:1220-"n/&gt;!4yw"</f>
        <v>#VALUE!</v>
      </c>
      <c r="AQ431" t="e">
        <f>Asia!1221:1221-"n/&gt;!4yx"</f>
        <v>#VALUE!</v>
      </c>
      <c r="AR431" t="e">
        <f>Asia!1222:1222-"n/&gt;!4yy"</f>
        <v>#VALUE!</v>
      </c>
      <c r="AS431" t="e">
        <f>Asia!1223:1223-"n/&gt;!4yz"</f>
        <v>#VALUE!</v>
      </c>
      <c r="AT431" t="e">
        <f>Asia!1224:1224-"n/&gt;!4y{"</f>
        <v>#VALUE!</v>
      </c>
      <c r="AU431" t="e">
        <f>Asia!1225:1225-"n/&gt;!4y|"</f>
        <v>#VALUE!</v>
      </c>
      <c r="AV431" t="e">
        <f>Asia!1226:1226-"n/&gt;!4y}"</f>
        <v>#VALUE!</v>
      </c>
      <c r="AW431" t="e">
        <f>Asia!1227:1227-"n/&gt;!4y~"</f>
        <v>#VALUE!</v>
      </c>
      <c r="AX431" t="e">
        <f>Asia!1228:1228-"n/&gt;!4z#"</f>
        <v>#VALUE!</v>
      </c>
      <c r="AY431" t="e">
        <f>Asia!1229:1229-"n/&gt;!4z$"</f>
        <v>#VALUE!</v>
      </c>
      <c r="AZ431" t="e">
        <f>Asia!1230:1230-"n/&gt;!4z%"</f>
        <v>#VALUE!</v>
      </c>
      <c r="BA431" t="e">
        <f>Asia!1231:1231-"n/&gt;!4z&amp;"</f>
        <v>#VALUE!</v>
      </c>
      <c r="BB431" t="e">
        <f>Asia!1232:1232-"n/&gt;!4z'"</f>
        <v>#VALUE!</v>
      </c>
      <c r="BC431" t="e">
        <f>Asia!1233:1233-"n/&gt;!4z("</f>
        <v>#VALUE!</v>
      </c>
      <c r="BD431" t="e">
        <f>Asia!1234:1234-"n/&gt;!4z)"</f>
        <v>#VALUE!</v>
      </c>
      <c r="BE431" t="e">
        <f>Asia!1235:1235-"n/&gt;!4z."</f>
        <v>#VALUE!</v>
      </c>
      <c r="BF431" t="e">
        <f>'Latin America and Caribbean'!A1+"n/&gt;!4z/"</f>
        <v>#VALUE!</v>
      </c>
      <c r="BG431" t="e">
        <f>'Latin America and Caribbean'!B1+"n/&gt;!4z0"</f>
        <v>#VALUE!</v>
      </c>
      <c r="BH431" t="e">
        <f>'Latin America and Caribbean'!C1+"n/&gt;!4z1"</f>
        <v>#VALUE!</v>
      </c>
      <c r="BI431" t="e">
        <f>'Latin America and Caribbean'!D1+"n/&gt;!4z2"</f>
        <v>#VALUE!</v>
      </c>
      <c r="BJ431" t="e">
        <f>'Latin America and Caribbean'!E1+"n/&gt;!4z3"</f>
        <v>#VALUE!</v>
      </c>
      <c r="BK431" t="e">
        <f>'Latin America and Caribbean'!F1+"n/&gt;!4z4"</f>
        <v>#VALUE!</v>
      </c>
      <c r="BL431" t="e">
        <f>'Latin America and Caribbean'!G1+"n/&gt;!4z5"</f>
        <v>#VALUE!</v>
      </c>
      <c r="BM431" t="e">
        <f>'Latin America and Caribbean'!H1+"n/&gt;!4z6"</f>
        <v>#VALUE!</v>
      </c>
      <c r="BN431" t="e">
        <f>'Latin America and Caribbean'!I1+"n/&gt;!4z7"</f>
        <v>#VALUE!</v>
      </c>
      <c r="BO431" t="e">
        <f>'Latin America and Caribbean'!A2+"n/&gt;!4z8"</f>
        <v>#VALUE!</v>
      </c>
      <c r="BP431" t="e">
        <f>'Latin America and Caribbean'!B2+"n/&gt;!4z9"</f>
        <v>#VALUE!</v>
      </c>
      <c r="BQ431" t="e">
        <f>'Latin America and Caribbean'!C2+"n/&gt;!4z:"</f>
        <v>#VALUE!</v>
      </c>
      <c r="BR431" t="e">
        <f>'Latin America and Caribbean'!D2+"n/&gt;!4z;"</f>
        <v>#VALUE!</v>
      </c>
      <c r="BS431" t="e">
        <f>'Latin America and Caribbean'!E2+"n/&gt;!4z&lt;"</f>
        <v>#VALUE!</v>
      </c>
      <c r="BT431" t="e">
        <f>'Latin America and Caribbean'!F2+"n/&gt;!4z="</f>
        <v>#VALUE!</v>
      </c>
      <c r="BU431" t="e">
        <f>'Latin America and Caribbean'!G2+"n/&gt;!4z&gt;"</f>
        <v>#VALUE!</v>
      </c>
      <c r="BV431" t="e">
        <f>'Latin America and Caribbean'!H2+"n/&gt;!4z?"</f>
        <v>#VALUE!</v>
      </c>
      <c r="BW431" t="e">
        <f>'Latin America and Caribbean'!I2+"n/&gt;!4z@"</f>
        <v>#VALUE!</v>
      </c>
      <c r="BX431" t="e">
        <f>'Latin America and Caribbean'!A3+"n/&gt;!4zA"</f>
        <v>#VALUE!</v>
      </c>
      <c r="BY431" t="e">
        <f>'Latin America and Caribbean'!B3+"n/&gt;!4zB"</f>
        <v>#VALUE!</v>
      </c>
      <c r="BZ431" t="e">
        <f>'Latin America and Caribbean'!C3+"n/&gt;!4zC"</f>
        <v>#VALUE!</v>
      </c>
      <c r="CA431" t="e">
        <f>'Latin America and Caribbean'!D3+"n/&gt;!4zD"</f>
        <v>#VALUE!</v>
      </c>
      <c r="CB431" t="e">
        <f>'Latin America and Caribbean'!E3+"n/&gt;!4zE"</f>
        <v>#VALUE!</v>
      </c>
      <c r="CC431" t="e">
        <f>'Latin America and Caribbean'!F3+"n/&gt;!4zF"</f>
        <v>#VALUE!</v>
      </c>
      <c r="CD431" t="e">
        <f>'Latin America and Caribbean'!G3+"n/&gt;!4zG"</f>
        <v>#VALUE!</v>
      </c>
      <c r="CE431" t="e">
        <f>'Latin America and Caribbean'!H3+"n/&gt;!4zH"</f>
        <v>#VALUE!</v>
      </c>
      <c r="CF431" t="e">
        <f>'Latin America and Caribbean'!I3+"n/&gt;!4zI"</f>
        <v>#VALUE!</v>
      </c>
      <c r="CG431" t="e">
        <f>'Latin America and Caribbean'!A4+"n/&gt;!4zJ"</f>
        <v>#VALUE!</v>
      </c>
      <c r="CH431" t="e">
        <f>'Latin America and Caribbean'!B4+"n/&gt;!4zK"</f>
        <v>#VALUE!</v>
      </c>
      <c r="CI431" t="e">
        <f>'Latin America and Caribbean'!C4+"n/&gt;!4zL"</f>
        <v>#VALUE!</v>
      </c>
      <c r="CJ431" t="e">
        <f>'Latin America and Caribbean'!D4+"n/&gt;!4zM"</f>
        <v>#VALUE!</v>
      </c>
      <c r="CK431" t="e">
        <f>'Latin America and Caribbean'!E4+"n/&gt;!4zN"</f>
        <v>#VALUE!</v>
      </c>
      <c r="CL431" t="e">
        <f>'Latin America and Caribbean'!F4+"n/&gt;!4zO"</f>
        <v>#VALUE!</v>
      </c>
      <c r="CM431" t="e">
        <f>'Latin America and Caribbean'!G4+"n/&gt;!4zP"</f>
        <v>#VALUE!</v>
      </c>
      <c r="CN431" t="e">
        <f>'Latin America and Caribbean'!H4+"n/&gt;!4zQ"</f>
        <v>#VALUE!</v>
      </c>
      <c r="CO431" t="e">
        <f>'Latin America and Caribbean'!I4+"n/&gt;!4zR"</f>
        <v>#VALUE!</v>
      </c>
      <c r="CP431" t="e">
        <f>'Latin America and Caribbean'!A5+"n/&gt;!4zS"</f>
        <v>#VALUE!</v>
      </c>
      <c r="CQ431" t="e">
        <f>'Latin America and Caribbean'!B5+"n/&gt;!4zT"</f>
        <v>#VALUE!</v>
      </c>
      <c r="CR431" t="e">
        <f>'Latin America and Caribbean'!C5+"n/&gt;!4zU"</f>
        <v>#VALUE!</v>
      </c>
      <c r="CS431" t="e">
        <f>'Latin America and Caribbean'!D5+"n/&gt;!4zV"</f>
        <v>#VALUE!</v>
      </c>
      <c r="CT431" t="e">
        <f>'Latin America and Caribbean'!E5+"n/&gt;!4zW"</f>
        <v>#VALUE!</v>
      </c>
      <c r="CU431" t="e">
        <f>'Latin America and Caribbean'!F5+"n/&gt;!4zX"</f>
        <v>#VALUE!</v>
      </c>
      <c r="CV431" t="e">
        <f>'Latin America and Caribbean'!G5+"n/&gt;!4zY"</f>
        <v>#VALUE!</v>
      </c>
      <c r="CW431" t="e">
        <f>'Latin America and Caribbean'!H5+"n/&gt;!4zZ"</f>
        <v>#VALUE!</v>
      </c>
      <c r="CX431" t="e">
        <f>'Latin America and Caribbean'!I5+"n/&gt;!4z["</f>
        <v>#VALUE!</v>
      </c>
      <c r="CY431" t="e">
        <f>'Latin America and Caribbean'!A6+"n/&gt;!4z\"</f>
        <v>#VALUE!</v>
      </c>
      <c r="CZ431" t="e">
        <f>'Latin America and Caribbean'!B6+"n/&gt;!4z]"</f>
        <v>#VALUE!</v>
      </c>
      <c r="DA431" t="e">
        <f>'Latin America and Caribbean'!C6+"n/&gt;!4z^"</f>
        <v>#VALUE!</v>
      </c>
      <c r="DB431" t="e">
        <f>'Latin America and Caribbean'!D6+"n/&gt;!4z_"</f>
        <v>#VALUE!</v>
      </c>
      <c r="DC431" t="e">
        <f>'Latin America and Caribbean'!E6+"n/&gt;!4z`"</f>
        <v>#VALUE!</v>
      </c>
      <c r="DD431" t="e">
        <f>'Latin America and Caribbean'!F6+"n/&gt;!4za"</f>
        <v>#VALUE!</v>
      </c>
      <c r="DE431" t="e">
        <f>'Latin America and Caribbean'!G6+"n/&gt;!4zb"</f>
        <v>#VALUE!</v>
      </c>
      <c r="DF431" t="e">
        <f>'Latin America and Caribbean'!H6+"n/&gt;!4zc"</f>
        <v>#VALUE!</v>
      </c>
      <c r="DG431" t="e">
        <f>'Latin America and Caribbean'!I6+"n/&gt;!4zd"</f>
        <v>#VALUE!</v>
      </c>
      <c r="DH431" t="e">
        <f>'Latin America and Caribbean'!A7+"n/&gt;!4ze"</f>
        <v>#VALUE!</v>
      </c>
      <c r="DI431" t="e">
        <f>'Latin America and Caribbean'!B7+"n/&gt;!4zf"</f>
        <v>#VALUE!</v>
      </c>
      <c r="DJ431" t="e">
        <f>'Latin America and Caribbean'!C7+"n/&gt;!4zg"</f>
        <v>#VALUE!</v>
      </c>
      <c r="DK431" t="e">
        <f>'Latin America and Caribbean'!D7+"n/&gt;!4zh"</f>
        <v>#VALUE!</v>
      </c>
      <c r="DL431" t="e">
        <f>'Latin America and Caribbean'!E7+"n/&gt;!4zi"</f>
        <v>#VALUE!</v>
      </c>
      <c r="DM431" t="e">
        <f>'Latin America and Caribbean'!F7+"n/&gt;!4zj"</f>
        <v>#VALUE!</v>
      </c>
      <c r="DN431" t="e">
        <f>'Latin America and Caribbean'!G7+"n/&gt;!4zk"</f>
        <v>#VALUE!</v>
      </c>
      <c r="DO431" t="e">
        <f>'Latin America and Caribbean'!H7+"n/&gt;!4zl"</f>
        <v>#VALUE!</v>
      </c>
      <c r="DP431" t="e">
        <f>'Latin America and Caribbean'!I7+"n/&gt;!4zm"</f>
        <v>#VALUE!</v>
      </c>
      <c r="DQ431" t="e">
        <f>'Latin America and Caribbean'!A8+"n/&gt;!4zn"</f>
        <v>#VALUE!</v>
      </c>
      <c r="DR431" t="e">
        <f>'Latin America and Caribbean'!B8+"n/&gt;!4zo"</f>
        <v>#VALUE!</v>
      </c>
      <c r="DS431" t="e">
        <f>'Latin America and Caribbean'!C8+"n/&gt;!4zp"</f>
        <v>#VALUE!</v>
      </c>
      <c r="DT431" t="e">
        <f>'Latin America and Caribbean'!D8+"n/&gt;!4zq"</f>
        <v>#VALUE!</v>
      </c>
      <c r="DU431" t="e">
        <f>'Latin America and Caribbean'!E8+"n/&gt;!4zr"</f>
        <v>#VALUE!</v>
      </c>
      <c r="DV431" t="e">
        <f>'Latin America and Caribbean'!F8+"n/&gt;!4zs"</f>
        <v>#VALUE!</v>
      </c>
      <c r="DW431" t="e">
        <f>'Latin America and Caribbean'!H8+"n/&gt;!4zt"</f>
        <v>#VALUE!</v>
      </c>
      <c r="DX431" t="e">
        <f>'Latin America and Caribbean'!I8+"n/&gt;!4zu"</f>
        <v>#VALUE!</v>
      </c>
      <c r="DY431" t="e">
        <f>'Latin America and Caribbean'!A9+"n/&gt;!4zv"</f>
        <v>#VALUE!</v>
      </c>
      <c r="DZ431" t="e">
        <f>'Latin America and Caribbean'!B9+"n/&gt;!4zw"</f>
        <v>#VALUE!</v>
      </c>
      <c r="EA431" t="e">
        <f>'Latin America and Caribbean'!C9+"n/&gt;!4zx"</f>
        <v>#VALUE!</v>
      </c>
      <c r="EB431" t="e">
        <f>'Latin America and Caribbean'!D9+"n/&gt;!4zy"</f>
        <v>#VALUE!</v>
      </c>
      <c r="EC431" t="e">
        <f>'Latin America and Caribbean'!E9+"n/&gt;!4zz"</f>
        <v>#VALUE!</v>
      </c>
      <c r="ED431" t="e">
        <f>'Latin America and Caribbean'!F9+"n/&gt;!4z{"</f>
        <v>#VALUE!</v>
      </c>
      <c r="EE431" t="e">
        <f>'Latin America and Caribbean'!G9+"n/&gt;!4z|"</f>
        <v>#VALUE!</v>
      </c>
      <c r="EF431" t="e">
        <f>'Latin America and Caribbean'!H9+"n/&gt;!4z}"</f>
        <v>#VALUE!</v>
      </c>
      <c r="EG431" t="e">
        <f>'Latin America and Caribbean'!I9+"n/&gt;!4z~"</f>
        <v>#VALUE!</v>
      </c>
      <c r="EH431" t="e">
        <f>'Latin America and Caribbean'!A10+"n/&gt;!4{#"</f>
        <v>#VALUE!</v>
      </c>
      <c r="EI431" t="e">
        <f>'Latin America and Caribbean'!B10+"n/&gt;!4{$"</f>
        <v>#VALUE!</v>
      </c>
      <c r="EJ431" t="e">
        <f>'Latin America and Caribbean'!C10+"n/&gt;!4{%"</f>
        <v>#VALUE!</v>
      </c>
      <c r="EK431" t="e">
        <f>'Latin America and Caribbean'!D10+"n/&gt;!4{&amp;"</f>
        <v>#VALUE!</v>
      </c>
      <c r="EL431" t="e">
        <f>'Latin America and Caribbean'!E10+"n/&gt;!4{'"</f>
        <v>#VALUE!</v>
      </c>
      <c r="EM431" t="e">
        <f>'Latin America and Caribbean'!F10+"n/&gt;!4{("</f>
        <v>#VALUE!</v>
      </c>
      <c r="EN431" t="e">
        <f>'Latin America and Caribbean'!G10+"n/&gt;!4{)"</f>
        <v>#VALUE!</v>
      </c>
      <c r="EO431" t="e">
        <f>'Latin America and Caribbean'!H10+"n/&gt;!4{."</f>
        <v>#VALUE!</v>
      </c>
      <c r="EP431" t="e">
        <f>'Latin America and Caribbean'!I10+"n/&gt;!4{/"</f>
        <v>#VALUE!</v>
      </c>
      <c r="EQ431" t="e">
        <f>'Latin America and Caribbean'!A11+"n/&gt;!4{0"</f>
        <v>#VALUE!</v>
      </c>
      <c r="ER431" t="e">
        <f>'Latin America and Caribbean'!B11+"n/&gt;!4{1"</f>
        <v>#VALUE!</v>
      </c>
      <c r="ES431" t="e">
        <f>'Latin America and Caribbean'!C11+"n/&gt;!4{2"</f>
        <v>#VALUE!</v>
      </c>
      <c r="ET431" t="e">
        <f>'Latin America and Caribbean'!D11+"n/&gt;!4{3"</f>
        <v>#VALUE!</v>
      </c>
      <c r="EU431" t="e">
        <f>'Latin America and Caribbean'!E11+"n/&gt;!4{4"</f>
        <v>#VALUE!</v>
      </c>
      <c r="EV431" t="e">
        <f>'Latin America and Caribbean'!F11+"n/&gt;!4{5"</f>
        <v>#VALUE!</v>
      </c>
      <c r="EW431" t="e">
        <f>'Latin America and Caribbean'!G11+"n/&gt;!4{6"</f>
        <v>#VALUE!</v>
      </c>
      <c r="EX431" t="e">
        <f>'Latin America and Caribbean'!H11+"n/&gt;!4{7"</f>
        <v>#VALUE!</v>
      </c>
      <c r="EY431" t="e">
        <f>'Latin America and Caribbean'!I11+"n/&gt;!4{8"</f>
        <v>#VALUE!</v>
      </c>
      <c r="EZ431" t="e">
        <f>'Latin America and Caribbean'!A12+"n/&gt;!4{9"</f>
        <v>#VALUE!</v>
      </c>
      <c r="FA431" t="e">
        <f>'Latin America and Caribbean'!B12+"n/&gt;!4{:"</f>
        <v>#VALUE!</v>
      </c>
      <c r="FB431" t="e">
        <f>'Latin America and Caribbean'!C12+"n/&gt;!4{;"</f>
        <v>#VALUE!</v>
      </c>
      <c r="FC431" t="e">
        <f>'Latin America and Caribbean'!D12+"n/&gt;!4{&lt;"</f>
        <v>#VALUE!</v>
      </c>
      <c r="FD431" t="e">
        <f>'Latin America and Caribbean'!E12+"n/&gt;!4{="</f>
        <v>#VALUE!</v>
      </c>
      <c r="FE431" t="e">
        <f>'Latin America and Caribbean'!F12+"n/&gt;!4{&gt;"</f>
        <v>#VALUE!</v>
      </c>
      <c r="FF431" t="e">
        <f>'Latin America and Caribbean'!G12+"n/&gt;!4{?"</f>
        <v>#VALUE!</v>
      </c>
      <c r="FG431" t="e">
        <f>'Latin America and Caribbean'!H12+"n/&gt;!4{@"</f>
        <v>#VALUE!</v>
      </c>
      <c r="FH431" t="e">
        <f>'Latin America and Caribbean'!I12+"n/&gt;!4{A"</f>
        <v>#VALUE!</v>
      </c>
      <c r="FI431" t="e">
        <f>'Latin America and Caribbean'!A13+"n/&gt;!4{B"</f>
        <v>#VALUE!</v>
      </c>
      <c r="FJ431" t="e">
        <f>'Latin America and Caribbean'!B13+"n/&gt;!4{C"</f>
        <v>#VALUE!</v>
      </c>
      <c r="FK431" t="e">
        <f>'Latin America and Caribbean'!C13+"n/&gt;!4{D"</f>
        <v>#VALUE!</v>
      </c>
      <c r="FL431" t="e">
        <f>'Latin America and Caribbean'!D13+"n/&gt;!4{E"</f>
        <v>#VALUE!</v>
      </c>
      <c r="FM431" t="e">
        <f>'Latin America and Caribbean'!E13+"n/&gt;!4{F"</f>
        <v>#VALUE!</v>
      </c>
      <c r="FN431" t="e">
        <f>'Latin America and Caribbean'!F13+"n/&gt;!4{G"</f>
        <v>#VALUE!</v>
      </c>
      <c r="FO431" t="e">
        <f>'Latin America and Caribbean'!G13+"n/&gt;!4{H"</f>
        <v>#VALUE!</v>
      </c>
      <c r="FP431" t="e">
        <f>'Latin America and Caribbean'!H13+"n/&gt;!4{I"</f>
        <v>#VALUE!</v>
      </c>
      <c r="FQ431" t="e">
        <f>'Latin America and Caribbean'!I13+"n/&gt;!4{J"</f>
        <v>#VALUE!</v>
      </c>
      <c r="FR431" t="e">
        <f>'Latin America and Caribbean'!A14+"n/&gt;!4{K"</f>
        <v>#VALUE!</v>
      </c>
      <c r="FS431" t="e">
        <f>'Latin America and Caribbean'!B14+"n/&gt;!4{L"</f>
        <v>#VALUE!</v>
      </c>
      <c r="FT431" t="e">
        <f>'Latin America and Caribbean'!C14+"n/&gt;!4{M"</f>
        <v>#VALUE!</v>
      </c>
      <c r="FU431" t="e">
        <f>'Latin America and Caribbean'!D14+"n/&gt;!4{N"</f>
        <v>#VALUE!</v>
      </c>
      <c r="FV431" t="e">
        <f>'Latin America and Caribbean'!E14+"n/&gt;!4{O"</f>
        <v>#VALUE!</v>
      </c>
      <c r="FW431" t="e">
        <f>'Latin America and Caribbean'!F14+"n/&gt;!4{P"</f>
        <v>#VALUE!</v>
      </c>
      <c r="FX431" t="e">
        <f>'Latin America and Caribbean'!G14+"n/&gt;!4{Q"</f>
        <v>#VALUE!</v>
      </c>
      <c r="FY431" t="e">
        <f>'Latin America and Caribbean'!H14+"n/&gt;!4{R"</f>
        <v>#VALUE!</v>
      </c>
      <c r="FZ431" t="e">
        <f>'Latin America and Caribbean'!I14+"n/&gt;!4{S"</f>
        <v>#VALUE!</v>
      </c>
      <c r="GA431" t="e">
        <f>'Latin America and Caribbean'!A15+"n/&gt;!4{T"</f>
        <v>#VALUE!</v>
      </c>
      <c r="GB431" t="e">
        <f>'Latin America and Caribbean'!B15+"n/&gt;!4{U"</f>
        <v>#VALUE!</v>
      </c>
      <c r="GC431" t="e">
        <f>'Latin America and Caribbean'!C15+"n/&gt;!4{V"</f>
        <v>#VALUE!</v>
      </c>
      <c r="GD431" t="e">
        <f>'Latin America and Caribbean'!D15+"n/&gt;!4{W"</f>
        <v>#VALUE!</v>
      </c>
      <c r="GE431" t="e">
        <f>'Latin America and Caribbean'!E15+"n/&gt;!4{X"</f>
        <v>#VALUE!</v>
      </c>
      <c r="GF431" t="e">
        <f>'Latin America and Caribbean'!F15+"n/&gt;!4{Y"</f>
        <v>#VALUE!</v>
      </c>
      <c r="GG431" t="e">
        <f>'Latin America and Caribbean'!G15+"n/&gt;!4{Z"</f>
        <v>#VALUE!</v>
      </c>
      <c r="GH431" t="e">
        <f>'Latin America and Caribbean'!H15+"n/&gt;!4{["</f>
        <v>#VALUE!</v>
      </c>
      <c r="GI431" t="e">
        <f>'Latin America and Caribbean'!I15+"n/&gt;!4{\"</f>
        <v>#VALUE!</v>
      </c>
      <c r="GJ431" t="e">
        <f>'Latin America and Caribbean'!A16+"n/&gt;!4{]"</f>
        <v>#VALUE!</v>
      </c>
      <c r="GK431" t="e">
        <f>'Latin America and Caribbean'!B16+"n/&gt;!4{^"</f>
        <v>#VALUE!</v>
      </c>
      <c r="GL431" t="e">
        <f>'Latin America and Caribbean'!C16+"n/&gt;!4{_"</f>
        <v>#VALUE!</v>
      </c>
      <c r="GM431" t="e">
        <f>'Latin America and Caribbean'!D16+"n/&gt;!4{`"</f>
        <v>#VALUE!</v>
      </c>
      <c r="GN431" t="e">
        <f>'Latin America and Caribbean'!E16+"n/&gt;!4{a"</f>
        <v>#VALUE!</v>
      </c>
      <c r="GO431" t="e">
        <f>'Latin America and Caribbean'!F16+"n/&gt;!4{b"</f>
        <v>#VALUE!</v>
      </c>
      <c r="GP431" t="e">
        <f>'Latin America and Caribbean'!G16+"n/&gt;!4{c"</f>
        <v>#VALUE!</v>
      </c>
      <c r="GQ431" t="e">
        <f>'Latin America and Caribbean'!H16+"n/&gt;!4{d"</f>
        <v>#VALUE!</v>
      </c>
      <c r="GR431" t="e">
        <f>'Latin America and Caribbean'!I16+"n/&gt;!4{e"</f>
        <v>#VALUE!</v>
      </c>
      <c r="GS431" t="e">
        <f>'Latin America and Caribbean'!A17+"n/&gt;!4{f"</f>
        <v>#VALUE!</v>
      </c>
      <c r="GT431" t="e">
        <f>'Latin America and Caribbean'!B17+"n/&gt;!4{g"</f>
        <v>#VALUE!</v>
      </c>
      <c r="GU431" t="e">
        <f>'Latin America and Caribbean'!C17+"n/&gt;!4{h"</f>
        <v>#VALUE!</v>
      </c>
      <c r="GV431" t="e">
        <f>'Latin America and Caribbean'!D17+"n/&gt;!4{i"</f>
        <v>#VALUE!</v>
      </c>
      <c r="GW431" t="e">
        <f>'Latin America and Caribbean'!E17+"n/&gt;!4{j"</f>
        <v>#VALUE!</v>
      </c>
      <c r="GX431" t="e">
        <f>'Latin America and Caribbean'!F17+"n/&gt;!4{k"</f>
        <v>#VALUE!</v>
      </c>
      <c r="GY431" t="e">
        <f>'Latin America and Caribbean'!G17+"n/&gt;!4{l"</f>
        <v>#VALUE!</v>
      </c>
      <c r="GZ431" t="e">
        <f>'Latin America and Caribbean'!H17+"n/&gt;!4{m"</f>
        <v>#VALUE!</v>
      </c>
      <c r="HA431" t="e">
        <f>'Latin America and Caribbean'!I17+"n/&gt;!4{n"</f>
        <v>#VALUE!</v>
      </c>
      <c r="HB431" t="e">
        <f>'Latin America and Caribbean'!A18+"n/&gt;!4{o"</f>
        <v>#VALUE!</v>
      </c>
      <c r="HC431" t="e">
        <f>'Latin America and Caribbean'!B18+"n/&gt;!4{p"</f>
        <v>#VALUE!</v>
      </c>
      <c r="HD431" t="e">
        <f>'Latin America and Caribbean'!C18+"n/&gt;!4{q"</f>
        <v>#VALUE!</v>
      </c>
      <c r="HE431" t="e">
        <f>'Latin America and Caribbean'!D18+"n/&gt;!4{r"</f>
        <v>#VALUE!</v>
      </c>
      <c r="HF431" t="e">
        <f>'Latin America and Caribbean'!E18+"n/&gt;!4{s"</f>
        <v>#VALUE!</v>
      </c>
      <c r="HG431" t="e">
        <f>'Latin America and Caribbean'!F18+"n/&gt;!4{t"</f>
        <v>#VALUE!</v>
      </c>
      <c r="HH431" t="e">
        <f>'Latin America and Caribbean'!G18+"n/&gt;!4{u"</f>
        <v>#VALUE!</v>
      </c>
      <c r="HI431" t="e">
        <f>'Latin America and Caribbean'!H18+"n/&gt;!4{v"</f>
        <v>#VALUE!</v>
      </c>
      <c r="HJ431" t="e">
        <f>'Latin America and Caribbean'!I18+"n/&gt;!4{w"</f>
        <v>#VALUE!</v>
      </c>
      <c r="HK431" t="e">
        <f>'Latin America and Caribbean'!A19+"n/&gt;!4{x"</f>
        <v>#VALUE!</v>
      </c>
      <c r="HL431" t="e">
        <f>'Latin America and Caribbean'!B19+"n/&gt;!4{y"</f>
        <v>#VALUE!</v>
      </c>
      <c r="HM431" t="e">
        <f>'Latin America and Caribbean'!C19+"n/&gt;!4{z"</f>
        <v>#VALUE!</v>
      </c>
      <c r="HN431" t="e">
        <f>'Latin America and Caribbean'!D19+"n/&gt;!4{{"</f>
        <v>#VALUE!</v>
      </c>
      <c r="HO431" t="e">
        <f>'Latin America and Caribbean'!E19+"n/&gt;!4{|"</f>
        <v>#VALUE!</v>
      </c>
      <c r="HP431" t="e">
        <f>'Latin America and Caribbean'!F19+"n/&gt;!4{}"</f>
        <v>#VALUE!</v>
      </c>
      <c r="HQ431" t="e">
        <f>'Latin America and Caribbean'!G19+"n/&gt;!4{~"</f>
        <v>#VALUE!</v>
      </c>
      <c r="HR431" t="e">
        <f>'Latin America and Caribbean'!H19+"n/&gt;!4|#"</f>
        <v>#VALUE!</v>
      </c>
      <c r="HS431" t="e">
        <f>'Latin America and Caribbean'!I19+"n/&gt;!4|$"</f>
        <v>#VALUE!</v>
      </c>
      <c r="HT431" t="e">
        <f>'Latin America and Caribbean'!A20+"n/&gt;!4|%"</f>
        <v>#VALUE!</v>
      </c>
      <c r="HU431" t="e">
        <f>'Latin America and Caribbean'!B20+"n/&gt;!4|&amp;"</f>
        <v>#VALUE!</v>
      </c>
      <c r="HV431" t="e">
        <f>'Latin America and Caribbean'!C20+"n/&gt;!4|'"</f>
        <v>#VALUE!</v>
      </c>
      <c r="HW431" t="e">
        <f>'Latin America and Caribbean'!D20+"n/&gt;!4|("</f>
        <v>#VALUE!</v>
      </c>
      <c r="HX431" t="e">
        <f>'Latin America and Caribbean'!E20+"n/&gt;!4|)"</f>
        <v>#VALUE!</v>
      </c>
      <c r="HY431" t="e">
        <f>'Latin America and Caribbean'!F20+"n/&gt;!4|."</f>
        <v>#VALUE!</v>
      </c>
      <c r="HZ431" t="e">
        <f>'Latin America and Caribbean'!G20+"n/&gt;!4|/"</f>
        <v>#VALUE!</v>
      </c>
      <c r="IA431" t="e">
        <f>'Latin America and Caribbean'!H20+"n/&gt;!4|0"</f>
        <v>#VALUE!</v>
      </c>
      <c r="IB431" t="e">
        <f>'Latin America and Caribbean'!I20+"n/&gt;!4|1"</f>
        <v>#VALUE!</v>
      </c>
      <c r="IC431" t="e">
        <f>'Latin America and Caribbean'!A21+"n/&gt;!4|2"</f>
        <v>#VALUE!</v>
      </c>
      <c r="ID431" t="e">
        <f>'Latin America and Caribbean'!B21+"n/&gt;!4|3"</f>
        <v>#VALUE!</v>
      </c>
      <c r="IE431" t="e">
        <f>'Latin America and Caribbean'!C21+"n/&gt;!4|4"</f>
        <v>#VALUE!</v>
      </c>
      <c r="IF431" t="e">
        <f>'Latin America and Caribbean'!D21+"n/&gt;!4|5"</f>
        <v>#VALUE!</v>
      </c>
      <c r="IG431" t="e">
        <f>'Latin America and Caribbean'!E21+"n/&gt;!4|6"</f>
        <v>#VALUE!</v>
      </c>
      <c r="IH431" t="e">
        <f>'Latin America and Caribbean'!F21+"n/&gt;!4|7"</f>
        <v>#VALUE!</v>
      </c>
      <c r="II431" t="e">
        <f>'Latin America and Caribbean'!G21+"n/&gt;!4|8"</f>
        <v>#VALUE!</v>
      </c>
      <c r="IJ431" t="e">
        <f>'Latin America and Caribbean'!H21+"n/&gt;!4|9"</f>
        <v>#VALUE!</v>
      </c>
      <c r="IK431" t="e">
        <f>'Latin America and Caribbean'!I21+"n/&gt;!4|:"</f>
        <v>#VALUE!</v>
      </c>
      <c r="IL431" t="e">
        <f>'Latin America and Caribbean'!A22+"n/&gt;!4|;"</f>
        <v>#VALUE!</v>
      </c>
      <c r="IM431" t="e">
        <f>'Latin America and Caribbean'!B22+"n/&gt;!4|&lt;"</f>
        <v>#VALUE!</v>
      </c>
      <c r="IN431" t="e">
        <f>'Latin America and Caribbean'!C22+"n/&gt;!4|="</f>
        <v>#VALUE!</v>
      </c>
      <c r="IO431" t="e">
        <f>'Latin America and Caribbean'!D22+"n/&gt;!4|&gt;"</f>
        <v>#VALUE!</v>
      </c>
      <c r="IP431" t="e">
        <f>'Latin America and Caribbean'!E22+"n/&gt;!4|?"</f>
        <v>#VALUE!</v>
      </c>
      <c r="IQ431" t="e">
        <f>'Latin America and Caribbean'!F22+"n/&gt;!4|@"</f>
        <v>#VALUE!</v>
      </c>
      <c r="IR431" t="e">
        <f>'Latin America and Caribbean'!G22+"n/&gt;!4|A"</f>
        <v>#VALUE!</v>
      </c>
      <c r="IS431" t="e">
        <f>'Latin America and Caribbean'!H22+"n/&gt;!4|B"</f>
        <v>#VALUE!</v>
      </c>
      <c r="IT431" t="e">
        <f>'Latin America and Caribbean'!I22+"n/&gt;!4|C"</f>
        <v>#VALUE!</v>
      </c>
      <c r="IU431" t="e">
        <f>'Latin America and Caribbean'!A23+"n/&gt;!4|D"</f>
        <v>#VALUE!</v>
      </c>
      <c r="IV431" t="e">
        <f>'Latin America and Caribbean'!B23+"n/&gt;!4|E"</f>
        <v>#VALUE!</v>
      </c>
    </row>
    <row r="432" spans="6:256" x14ac:dyDescent="0.35">
      <c r="F432" t="e">
        <f>'Latin America and Caribbean'!C23+"n/&gt;!4|F"</f>
        <v>#VALUE!</v>
      </c>
      <c r="G432" t="e">
        <f>'Latin America and Caribbean'!D23+"n/&gt;!4|G"</f>
        <v>#VALUE!</v>
      </c>
      <c r="H432" t="e">
        <f>'Latin America and Caribbean'!E23+"n/&gt;!4|H"</f>
        <v>#VALUE!</v>
      </c>
      <c r="I432" t="e">
        <f>'Latin America and Caribbean'!F23+"n/&gt;!4|I"</f>
        <v>#VALUE!</v>
      </c>
      <c r="J432" t="e">
        <f>'Latin America and Caribbean'!G23+"n/&gt;!4|J"</f>
        <v>#VALUE!</v>
      </c>
      <c r="K432" t="e">
        <f>'Latin America and Caribbean'!H23+"n/&gt;!4|K"</f>
        <v>#VALUE!</v>
      </c>
      <c r="L432" t="e">
        <f>'Latin America and Caribbean'!I23+"n/&gt;!4|L"</f>
        <v>#VALUE!</v>
      </c>
      <c r="M432" t="e">
        <f>'Latin America and Caribbean'!A24+"n/&gt;!4|M"</f>
        <v>#VALUE!</v>
      </c>
      <c r="N432" t="e">
        <f>'Latin America and Caribbean'!B24+"n/&gt;!4|N"</f>
        <v>#VALUE!</v>
      </c>
      <c r="O432" t="e">
        <f>'Latin America and Caribbean'!C24+"n/&gt;!4|O"</f>
        <v>#VALUE!</v>
      </c>
      <c r="P432" t="e">
        <f>'Latin America and Caribbean'!D24+"n/&gt;!4|P"</f>
        <v>#VALUE!</v>
      </c>
      <c r="Q432" t="e">
        <f>'Latin America and Caribbean'!E24+"n/&gt;!4|Q"</f>
        <v>#VALUE!</v>
      </c>
      <c r="R432" t="e">
        <f>'Latin America and Caribbean'!F24+"n/&gt;!4|R"</f>
        <v>#VALUE!</v>
      </c>
      <c r="S432" t="e">
        <f>'Latin America and Caribbean'!G24+"n/&gt;!4|S"</f>
        <v>#VALUE!</v>
      </c>
      <c r="T432" t="e">
        <f>'Latin America and Caribbean'!H24+"n/&gt;!4|T"</f>
        <v>#VALUE!</v>
      </c>
      <c r="U432" t="e">
        <f>'Latin America and Caribbean'!I24+"n/&gt;!4|U"</f>
        <v>#VALUE!</v>
      </c>
      <c r="V432" t="e">
        <f>'Latin America and Caribbean'!A25+"n/&gt;!4|V"</f>
        <v>#VALUE!</v>
      </c>
      <c r="W432" t="e">
        <f>'Latin America and Caribbean'!B25+"n/&gt;!4|W"</f>
        <v>#VALUE!</v>
      </c>
      <c r="X432" t="e">
        <f>'Latin America and Caribbean'!C25+"n/&gt;!4|X"</f>
        <v>#VALUE!</v>
      </c>
      <c r="Y432" t="e">
        <f>'Latin America and Caribbean'!D25+"n/&gt;!4|Y"</f>
        <v>#VALUE!</v>
      </c>
      <c r="Z432" t="e">
        <f>'Latin America and Caribbean'!E25+"n/&gt;!4|Z"</f>
        <v>#VALUE!</v>
      </c>
      <c r="AA432" t="e">
        <f>'Latin America and Caribbean'!F25+"n/&gt;!4|["</f>
        <v>#VALUE!</v>
      </c>
      <c r="AB432" t="e">
        <f>'Latin America and Caribbean'!G25+"n/&gt;!4|\"</f>
        <v>#VALUE!</v>
      </c>
      <c r="AC432" t="e">
        <f>'Latin America and Caribbean'!H25+"n/&gt;!4|]"</f>
        <v>#VALUE!</v>
      </c>
      <c r="AD432" t="e">
        <f>'Latin America and Caribbean'!I25+"n/&gt;!4|^"</f>
        <v>#VALUE!</v>
      </c>
      <c r="AE432" t="e">
        <f>'Latin America and Caribbean'!A26+"n/&gt;!4|_"</f>
        <v>#VALUE!</v>
      </c>
      <c r="AF432" t="e">
        <f>'Latin America and Caribbean'!B26+"n/&gt;!4|`"</f>
        <v>#VALUE!</v>
      </c>
      <c r="AG432" t="e">
        <f>'Latin America and Caribbean'!C26+"n/&gt;!4|a"</f>
        <v>#VALUE!</v>
      </c>
      <c r="AH432" t="e">
        <f>'Latin America and Caribbean'!D26+"n/&gt;!4|b"</f>
        <v>#VALUE!</v>
      </c>
      <c r="AI432" t="e">
        <f>'Latin America and Caribbean'!E26+"n/&gt;!4|c"</f>
        <v>#VALUE!</v>
      </c>
      <c r="AJ432" t="e">
        <f>'Latin America and Caribbean'!F26+"n/&gt;!4|d"</f>
        <v>#VALUE!</v>
      </c>
      <c r="AK432" t="e">
        <f>'Latin America and Caribbean'!G26+"n/&gt;!4|e"</f>
        <v>#VALUE!</v>
      </c>
      <c r="AL432" t="e">
        <f>'Latin America and Caribbean'!H26+"n/&gt;!4|f"</f>
        <v>#VALUE!</v>
      </c>
      <c r="AM432" t="e">
        <f>'Latin America and Caribbean'!I26+"n/&gt;!4|g"</f>
        <v>#VALUE!</v>
      </c>
      <c r="AN432" t="e">
        <f>'Latin America and Caribbean'!A27+"n/&gt;!4|h"</f>
        <v>#VALUE!</v>
      </c>
      <c r="AO432" t="e">
        <f>'Latin America and Caribbean'!B27+"n/&gt;!4|i"</f>
        <v>#VALUE!</v>
      </c>
      <c r="AP432" t="e">
        <f>'Latin America and Caribbean'!C27+"n/&gt;!4|j"</f>
        <v>#VALUE!</v>
      </c>
      <c r="AQ432" t="e">
        <f>'Latin America and Caribbean'!D27+"n/&gt;!4|k"</f>
        <v>#VALUE!</v>
      </c>
      <c r="AR432" t="e">
        <f>'Latin America and Caribbean'!E27+"n/&gt;!4|l"</f>
        <v>#VALUE!</v>
      </c>
      <c r="AS432" t="e">
        <f>'Latin America and Caribbean'!F27+"n/&gt;!4|m"</f>
        <v>#VALUE!</v>
      </c>
      <c r="AT432" t="e">
        <f>'Latin America and Caribbean'!G27+"n/&gt;!4|n"</f>
        <v>#VALUE!</v>
      </c>
      <c r="AU432" t="e">
        <f>'Latin America and Caribbean'!H27+"n/&gt;!4|o"</f>
        <v>#VALUE!</v>
      </c>
      <c r="AV432" t="e">
        <f>'Latin America and Caribbean'!I27+"n/&gt;!4|p"</f>
        <v>#VALUE!</v>
      </c>
      <c r="AW432" t="e">
        <f>'Latin America and Caribbean'!A28+"n/&gt;!4|q"</f>
        <v>#VALUE!</v>
      </c>
      <c r="AX432" t="e">
        <f>'Latin America and Caribbean'!B28+"n/&gt;!4|r"</f>
        <v>#VALUE!</v>
      </c>
      <c r="AY432" t="e">
        <f>'Latin America and Caribbean'!C28+"n/&gt;!4|s"</f>
        <v>#VALUE!</v>
      </c>
      <c r="AZ432" t="e">
        <f>'Latin America and Caribbean'!D28+"n/&gt;!4|t"</f>
        <v>#VALUE!</v>
      </c>
      <c r="BA432" t="e">
        <f>'Latin America and Caribbean'!E28+"n/&gt;!4|u"</f>
        <v>#VALUE!</v>
      </c>
      <c r="BB432" t="e">
        <f>'Latin America and Caribbean'!F28+"n/&gt;!4|v"</f>
        <v>#VALUE!</v>
      </c>
      <c r="BC432" t="e">
        <f>'Latin America and Caribbean'!G28+"n/&gt;!4|w"</f>
        <v>#VALUE!</v>
      </c>
      <c r="BD432" t="e">
        <f>'Latin America and Caribbean'!H28+"n/&gt;!4|x"</f>
        <v>#VALUE!</v>
      </c>
      <c r="BE432" t="e">
        <f>'Latin America and Caribbean'!I28+"n/&gt;!4|y"</f>
        <v>#VALUE!</v>
      </c>
      <c r="BF432" t="e">
        <f>'Latin America and Caribbean'!A29+"n/&gt;!4|z"</f>
        <v>#VALUE!</v>
      </c>
      <c r="BG432" t="e">
        <f>'Latin America and Caribbean'!B29+"n/&gt;!4|{"</f>
        <v>#VALUE!</v>
      </c>
      <c r="BH432" t="e">
        <f>'Latin America and Caribbean'!C29+"n/&gt;!4||"</f>
        <v>#VALUE!</v>
      </c>
      <c r="BI432" t="e">
        <f>'Latin America and Caribbean'!D29+"n/&gt;!4|}"</f>
        <v>#VALUE!</v>
      </c>
      <c r="BJ432" t="e">
        <f>'Latin America and Caribbean'!E29+"n/&gt;!4|~"</f>
        <v>#VALUE!</v>
      </c>
      <c r="BK432" t="e">
        <f>'Latin America and Caribbean'!F29+"n/&gt;!4}#"</f>
        <v>#VALUE!</v>
      </c>
      <c r="BL432" t="e">
        <f>'Latin America and Caribbean'!G29+"n/&gt;!4}$"</f>
        <v>#VALUE!</v>
      </c>
      <c r="BM432" t="e">
        <f>'Latin America and Caribbean'!H29+"n/&gt;!4}%"</f>
        <v>#VALUE!</v>
      </c>
      <c r="BN432" t="e">
        <f>'Latin America and Caribbean'!I29+"n/&gt;!4}&amp;"</f>
        <v>#VALUE!</v>
      </c>
      <c r="BO432" t="e">
        <f>'Latin America and Caribbean'!A30+"n/&gt;!4}'"</f>
        <v>#VALUE!</v>
      </c>
      <c r="BP432" t="e">
        <f>'Latin America and Caribbean'!B30+"n/&gt;!4}("</f>
        <v>#VALUE!</v>
      </c>
      <c r="BQ432" t="e">
        <f>'Latin America and Caribbean'!C30+"n/&gt;!4})"</f>
        <v>#VALUE!</v>
      </c>
      <c r="BR432" t="e">
        <f>'Latin America and Caribbean'!D30+"n/&gt;!4}."</f>
        <v>#VALUE!</v>
      </c>
      <c r="BS432" t="e">
        <f>'Latin America and Caribbean'!E30+"n/&gt;!4}/"</f>
        <v>#VALUE!</v>
      </c>
      <c r="BT432" t="e">
        <f>'Latin America and Caribbean'!F30+"n/&gt;!4}0"</f>
        <v>#VALUE!</v>
      </c>
      <c r="BU432" t="e">
        <f>'Latin America and Caribbean'!G30+"n/&gt;!4}1"</f>
        <v>#VALUE!</v>
      </c>
      <c r="BV432" t="e">
        <f>'Latin America and Caribbean'!H30+"n/&gt;!4}2"</f>
        <v>#VALUE!</v>
      </c>
      <c r="BW432" t="e">
        <f>'Latin America and Caribbean'!I30+"n/&gt;!4}3"</f>
        <v>#VALUE!</v>
      </c>
      <c r="BX432" t="e">
        <f>'Latin America and Caribbean'!A31+"n/&gt;!4}4"</f>
        <v>#VALUE!</v>
      </c>
      <c r="BY432" t="e">
        <f>'Latin America and Caribbean'!B31+"n/&gt;!4}5"</f>
        <v>#VALUE!</v>
      </c>
      <c r="BZ432" t="e">
        <f>'Latin America and Caribbean'!C31+"n/&gt;!4}6"</f>
        <v>#VALUE!</v>
      </c>
      <c r="CA432" t="e">
        <f>'Latin America and Caribbean'!D31+"n/&gt;!4}7"</f>
        <v>#VALUE!</v>
      </c>
      <c r="CB432" t="e">
        <f>'Latin America and Caribbean'!E31+"n/&gt;!4}8"</f>
        <v>#VALUE!</v>
      </c>
      <c r="CC432" t="e">
        <f>'Latin America and Caribbean'!F31+"n/&gt;!4}9"</f>
        <v>#VALUE!</v>
      </c>
      <c r="CD432" t="e">
        <f>'Latin America and Caribbean'!G31+"n/&gt;!4}:"</f>
        <v>#VALUE!</v>
      </c>
      <c r="CE432" t="e">
        <f>'Latin America and Caribbean'!H31+"n/&gt;!4};"</f>
        <v>#VALUE!</v>
      </c>
      <c r="CF432" t="e">
        <f>'Latin America and Caribbean'!I31+"n/&gt;!4}&lt;"</f>
        <v>#VALUE!</v>
      </c>
      <c r="CG432" t="e">
        <f>'Latin America and Caribbean'!A32+"n/&gt;!4}="</f>
        <v>#VALUE!</v>
      </c>
      <c r="CH432" t="e">
        <f>'Latin America and Caribbean'!B32+"n/&gt;!4}&gt;"</f>
        <v>#VALUE!</v>
      </c>
      <c r="CI432" t="e">
        <f>'Latin America and Caribbean'!C32+"n/&gt;!4}?"</f>
        <v>#VALUE!</v>
      </c>
      <c r="CJ432" t="e">
        <f>'Latin America and Caribbean'!D32+"n/&gt;!4}@"</f>
        <v>#VALUE!</v>
      </c>
      <c r="CK432" t="e">
        <f>'Latin America and Caribbean'!E32+"n/&gt;!4}A"</f>
        <v>#VALUE!</v>
      </c>
      <c r="CL432" t="e">
        <f>'Latin America and Caribbean'!F32+"n/&gt;!4}B"</f>
        <v>#VALUE!</v>
      </c>
      <c r="CM432" t="e">
        <f>'Latin America and Caribbean'!G32+"n/&gt;!4}C"</f>
        <v>#VALUE!</v>
      </c>
      <c r="CN432" t="e">
        <f>'Latin America and Caribbean'!H32+"n/&gt;!4}D"</f>
        <v>#VALUE!</v>
      </c>
      <c r="CO432" t="e">
        <f>'Latin America and Caribbean'!I32+"n/&gt;!4}E"</f>
        <v>#VALUE!</v>
      </c>
      <c r="CP432" t="e">
        <f>'Latin America and Caribbean'!A33+"n/&gt;!4}F"</f>
        <v>#VALUE!</v>
      </c>
      <c r="CQ432" t="e">
        <f>'Latin America and Caribbean'!B33+"n/&gt;!4}G"</f>
        <v>#VALUE!</v>
      </c>
      <c r="CR432" t="e">
        <f>'Latin America and Caribbean'!C33+"n/&gt;!4}H"</f>
        <v>#VALUE!</v>
      </c>
      <c r="CS432" t="e">
        <f>'Latin America and Caribbean'!D33+"n/&gt;!4}I"</f>
        <v>#VALUE!</v>
      </c>
      <c r="CT432" t="e">
        <f>'Latin America and Caribbean'!E33+"n/&gt;!4}J"</f>
        <v>#VALUE!</v>
      </c>
      <c r="CU432" t="e">
        <f>'Latin America and Caribbean'!F33+"n/&gt;!4}K"</f>
        <v>#VALUE!</v>
      </c>
      <c r="CV432" t="e">
        <f>'Latin America and Caribbean'!G33+"n/&gt;!4}L"</f>
        <v>#VALUE!</v>
      </c>
      <c r="CW432" t="e">
        <f>'Latin America and Caribbean'!H33+"n/&gt;!4}M"</f>
        <v>#VALUE!</v>
      </c>
      <c r="CX432" t="e">
        <f>'Latin America and Caribbean'!I33+"n/&gt;!4}N"</f>
        <v>#VALUE!</v>
      </c>
      <c r="CY432" t="e">
        <f>'Latin America and Caribbean'!A34+"n/&gt;!4}O"</f>
        <v>#VALUE!</v>
      </c>
      <c r="CZ432" t="e">
        <f>'Latin America and Caribbean'!B34+"n/&gt;!4}P"</f>
        <v>#VALUE!</v>
      </c>
      <c r="DA432" t="e">
        <f>'Latin America and Caribbean'!C34+"n/&gt;!4}Q"</f>
        <v>#VALUE!</v>
      </c>
      <c r="DB432" t="e">
        <f>'Latin America and Caribbean'!D34+"n/&gt;!4}R"</f>
        <v>#VALUE!</v>
      </c>
      <c r="DC432" t="e">
        <f>'Latin America and Caribbean'!E34+"n/&gt;!4}S"</f>
        <v>#VALUE!</v>
      </c>
      <c r="DD432" t="e">
        <f>'Latin America and Caribbean'!F34+"n/&gt;!4}T"</f>
        <v>#VALUE!</v>
      </c>
      <c r="DE432" t="e">
        <f>'Latin America and Caribbean'!G34+"n/&gt;!4}U"</f>
        <v>#VALUE!</v>
      </c>
      <c r="DF432" t="e">
        <f>'Latin America and Caribbean'!H34+"n/&gt;!4}V"</f>
        <v>#VALUE!</v>
      </c>
      <c r="DG432" t="e">
        <f>'Latin America and Caribbean'!I34+"n/&gt;!4}W"</f>
        <v>#VALUE!</v>
      </c>
      <c r="DH432" t="e">
        <f>'Latin America and Caribbean'!A35+"n/&gt;!4}X"</f>
        <v>#VALUE!</v>
      </c>
      <c r="DI432" t="e">
        <f>'Latin America and Caribbean'!B35+"n/&gt;!4}Y"</f>
        <v>#VALUE!</v>
      </c>
      <c r="DJ432" t="e">
        <f>'Latin America and Caribbean'!C35+"n/&gt;!4}Z"</f>
        <v>#VALUE!</v>
      </c>
      <c r="DK432" t="e">
        <f>'Latin America and Caribbean'!D35+"n/&gt;!4}["</f>
        <v>#VALUE!</v>
      </c>
      <c r="DL432" t="e">
        <f>'Latin America and Caribbean'!E35+"n/&gt;!4}\"</f>
        <v>#VALUE!</v>
      </c>
      <c r="DM432" t="e">
        <f>'Latin America and Caribbean'!F35+"n/&gt;!4}]"</f>
        <v>#VALUE!</v>
      </c>
      <c r="DN432" t="e">
        <f>'Latin America and Caribbean'!G35+"n/&gt;!4}^"</f>
        <v>#VALUE!</v>
      </c>
      <c r="DO432" t="e">
        <f>'Latin America and Caribbean'!H35+"n/&gt;!4}_"</f>
        <v>#VALUE!</v>
      </c>
      <c r="DP432" t="e">
        <f>'Latin America and Caribbean'!I35+"n/&gt;!4}`"</f>
        <v>#VALUE!</v>
      </c>
      <c r="DQ432" t="e">
        <f>'Latin America and Caribbean'!A36+"n/&gt;!4}a"</f>
        <v>#VALUE!</v>
      </c>
      <c r="DR432" t="e">
        <f>'Latin America and Caribbean'!B36+"n/&gt;!4}b"</f>
        <v>#VALUE!</v>
      </c>
      <c r="DS432" t="e">
        <f>'Latin America and Caribbean'!C36+"n/&gt;!4}c"</f>
        <v>#VALUE!</v>
      </c>
      <c r="DT432" t="e">
        <f>'Latin America and Caribbean'!D36+"n/&gt;!4}d"</f>
        <v>#VALUE!</v>
      </c>
      <c r="DU432" t="e">
        <f>'Latin America and Caribbean'!E36+"n/&gt;!4}e"</f>
        <v>#VALUE!</v>
      </c>
      <c r="DV432" t="e">
        <f>'Latin America and Caribbean'!F36+"n/&gt;!4}f"</f>
        <v>#VALUE!</v>
      </c>
      <c r="DW432" t="e">
        <f>'Latin America and Caribbean'!G36+"n/&gt;!4}g"</f>
        <v>#VALUE!</v>
      </c>
      <c r="DX432" t="e">
        <f>'Latin America and Caribbean'!H36+"n/&gt;!4}h"</f>
        <v>#VALUE!</v>
      </c>
      <c r="DY432" t="e">
        <f>'Latin America and Caribbean'!I36+"n/&gt;!4}i"</f>
        <v>#VALUE!</v>
      </c>
      <c r="DZ432" t="e">
        <f>'Latin America and Caribbean'!A37+"n/&gt;!4}j"</f>
        <v>#VALUE!</v>
      </c>
      <c r="EA432" t="e">
        <f>'Latin America and Caribbean'!B37+"n/&gt;!4}k"</f>
        <v>#VALUE!</v>
      </c>
      <c r="EB432" t="e">
        <f>'Latin America and Caribbean'!C37+"n/&gt;!4}l"</f>
        <v>#VALUE!</v>
      </c>
      <c r="EC432" t="e">
        <f>'Latin America and Caribbean'!D37+"n/&gt;!4}m"</f>
        <v>#VALUE!</v>
      </c>
      <c r="ED432" t="e">
        <f>'Latin America and Caribbean'!E37+"n/&gt;!4}n"</f>
        <v>#VALUE!</v>
      </c>
      <c r="EE432" t="e">
        <f>'Latin America and Caribbean'!F37+"n/&gt;!4}o"</f>
        <v>#VALUE!</v>
      </c>
      <c r="EF432" t="e">
        <f>'Latin America and Caribbean'!G37+"n/&gt;!4}p"</f>
        <v>#VALUE!</v>
      </c>
      <c r="EG432" t="e">
        <f>'Latin America and Caribbean'!H37+"n/&gt;!4}q"</f>
        <v>#VALUE!</v>
      </c>
      <c r="EH432" t="e">
        <f>'Latin America and Caribbean'!I37+"n/&gt;!4}r"</f>
        <v>#VALUE!</v>
      </c>
      <c r="EI432" t="e">
        <f>'Latin America and Caribbean'!A38+"n/&gt;!4}s"</f>
        <v>#VALUE!</v>
      </c>
      <c r="EJ432" t="e">
        <f>'Latin America and Caribbean'!B38+"n/&gt;!4}t"</f>
        <v>#VALUE!</v>
      </c>
      <c r="EK432" t="e">
        <f>'Latin America and Caribbean'!C38+"n/&gt;!4}u"</f>
        <v>#VALUE!</v>
      </c>
      <c r="EL432" t="e">
        <f>'Latin America and Caribbean'!D38+"n/&gt;!4}v"</f>
        <v>#VALUE!</v>
      </c>
      <c r="EM432" t="e">
        <f>'Latin America and Caribbean'!E38+"n/&gt;!4}w"</f>
        <v>#VALUE!</v>
      </c>
      <c r="EN432" t="e">
        <f>'Latin America and Caribbean'!F38+"n/&gt;!4}x"</f>
        <v>#VALUE!</v>
      </c>
      <c r="EO432" t="e">
        <f>'Latin America and Caribbean'!G38+"n/&gt;!4}y"</f>
        <v>#VALUE!</v>
      </c>
      <c r="EP432" t="e">
        <f>'Latin America and Caribbean'!H38+"n/&gt;!4}z"</f>
        <v>#VALUE!</v>
      </c>
      <c r="EQ432" t="e">
        <f>'Latin America and Caribbean'!I38+"n/&gt;!4}{"</f>
        <v>#VALUE!</v>
      </c>
      <c r="ER432" t="e">
        <f>'Latin America and Caribbean'!A39+"n/&gt;!4}|"</f>
        <v>#VALUE!</v>
      </c>
      <c r="ES432" t="e">
        <f>'Latin America and Caribbean'!B39+"n/&gt;!4}}"</f>
        <v>#VALUE!</v>
      </c>
      <c r="ET432" t="e">
        <f>'Latin America and Caribbean'!C39+"n/&gt;!4}~"</f>
        <v>#VALUE!</v>
      </c>
      <c r="EU432" t="e">
        <f>'Latin America and Caribbean'!D39+"n/&gt;!4~#"</f>
        <v>#VALUE!</v>
      </c>
      <c r="EV432" t="e">
        <f>'Latin America and Caribbean'!E39+"n/&gt;!4~$"</f>
        <v>#VALUE!</v>
      </c>
      <c r="EW432" t="e">
        <f>'Latin America and Caribbean'!F39+"n/&gt;!4~%"</f>
        <v>#VALUE!</v>
      </c>
      <c r="EX432" t="e">
        <f>'Latin America and Caribbean'!G39+"n/&gt;!4~&amp;"</f>
        <v>#VALUE!</v>
      </c>
      <c r="EY432" t="e">
        <f>'Latin America and Caribbean'!H39+"n/&gt;!4~'"</f>
        <v>#VALUE!</v>
      </c>
      <c r="EZ432" t="e">
        <f>'Latin America and Caribbean'!I39+"n/&gt;!4~("</f>
        <v>#VALUE!</v>
      </c>
      <c r="FA432" t="e">
        <f>'Latin America and Caribbean'!A40+"n/&gt;!4~)"</f>
        <v>#VALUE!</v>
      </c>
      <c r="FB432" t="e">
        <f>'Latin America and Caribbean'!B40+"n/&gt;!4~."</f>
        <v>#VALUE!</v>
      </c>
      <c r="FC432" t="e">
        <f>'Latin America and Caribbean'!C40+"n/&gt;!4~/"</f>
        <v>#VALUE!</v>
      </c>
      <c r="FD432" t="e">
        <f>'Latin America and Caribbean'!D40+"n/&gt;!4~0"</f>
        <v>#VALUE!</v>
      </c>
      <c r="FE432" t="e">
        <f>'Latin America and Caribbean'!E40+"n/&gt;!4~1"</f>
        <v>#VALUE!</v>
      </c>
      <c r="FF432" t="e">
        <f>'Latin America and Caribbean'!F40+"n/&gt;!4~2"</f>
        <v>#VALUE!</v>
      </c>
      <c r="FG432" t="e">
        <f>'Latin America and Caribbean'!G40+"n/&gt;!4~3"</f>
        <v>#VALUE!</v>
      </c>
      <c r="FH432" t="e">
        <f>'Latin America and Caribbean'!H40+"n/&gt;!4~4"</f>
        <v>#VALUE!</v>
      </c>
      <c r="FI432" t="e">
        <f>'Latin America and Caribbean'!I40+"n/&gt;!4~5"</f>
        <v>#VALUE!</v>
      </c>
      <c r="FJ432" t="e">
        <f>'Latin America and Caribbean'!A41+"n/&gt;!4~6"</f>
        <v>#VALUE!</v>
      </c>
      <c r="FK432" t="e">
        <f>'Latin America and Caribbean'!B41+"n/&gt;!4~7"</f>
        <v>#VALUE!</v>
      </c>
      <c r="FL432" t="e">
        <f>'Latin America and Caribbean'!C41+"n/&gt;!4~8"</f>
        <v>#VALUE!</v>
      </c>
      <c r="FM432" t="e">
        <f>'Latin America and Caribbean'!D41+"n/&gt;!4~9"</f>
        <v>#VALUE!</v>
      </c>
      <c r="FN432" t="e">
        <f>'Latin America and Caribbean'!E41+"n/&gt;!4~:"</f>
        <v>#VALUE!</v>
      </c>
      <c r="FO432" t="e">
        <f>'Latin America and Caribbean'!F41+"n/&gt;!4~;"</f>
        <v>#VALUE!</v>
      </c>
      <c r="FP432" t="e">
        <f>'Latin America and Caribbean'!G41+"n/&gt;!4~&lt;"</f>
        <v>#VALUE!</v>
      </c>
      <c r="FQ432" t="e">
        <f>'Latin America and Caribbean'!H41+"n/&gt;!4~="</f>
        <v>#VALUE!</v>
      </c>
      <c r="FR432" t="e">
        <f>'Latin America and Caribbean'!I41+"n/&gt;!4~&gt;"</f>
        <v>#VALUE!</v>
      </c>
      <c r="FS432" t="e">
        <f>'Latin America and Caribbean'!A42+"n/&gt;!4~?"</f>
        <v>#VALUE!</v>
      </c>
      <c r="FT432" t="e">
        <f>'Latin America and Caribbean'!B42+"n/&gt;!4~@"</f>
        <v>#VALUE!</v>
      </c>
      <c r="FU432" t="e">
        <f>'Latin America and Caribbean'!C42+"n/&gt;!4~A"</f>
        <v>#VALUE!</v>
      </c>
      <c r="FV432" t="e">
        <f>'Latin America and Caribbean'!D42+"n/&gt;!4~B"</f>
        <v>#VALUE!</v>
      </c>
      <c r="FW432" t="e">
        <f>'Latin America and Caribbean'!E42+"n/&gt;!4~C"</f>
        <v>#VALUE!</v>
      </c>
      <c r="FX432" t="e">
        <f>'Latin America and Caribbean'!F42+"n/&gt;!4~D"</f>
        <v>#VALUE!</v>
      </c>
      <c r="FY432" t="e">
        <f>'Latin America and Caribbean'!G42+"n/&gt;!4~E"</f>
        <v>#VALUE!</v>
      </c>
      <c r="FZ432" t="e">
        <f>'Latin America and Caribbean'!H42+"n/&gt;!4~F"</f>
        <v>#VALUE!</v>
      </c>
      <c r="GA432" t="e">
        <f>'Latin America and Caribbean'!I42+"n/&gt;!4~G"</f>
        <v>#VALUE!</v>
      </c>
      <c r="GB432" t="e">
        <f>'Latin America and Caribbean'!A43+"n/&gt;!4~H"</f>
        <v>#VALUE!</v>
      </c>
      <c r="GC432" t="e">
        <f>'Latin America and Caribbean'!B43+"n/&gt;!4~I"</f>
        <v>#VALUE!</v>
      </c>
      <c r="GD432" t="e">
        <f>'Latin America and Caribbean'!C43+"n/&gt;!4~J"</f>
        <v>#VALUE!</v>
      </c>
      <c r="GE432" t="e">
        <f>'Latin America and Caribbean'!D43+"n/&gt;!4~K"</f>
        <v>#VALUE!</v>
      </c>
      <c r="GF432" t="e">
        <f>'Latin America and Caribbean'!E43+"n/&gt;!4~L"</f>
        <v>#VALUE!</v>
      </c>
      <c r="GG432" t="e">
        <f>'Latin America and Caribbean'!F43+"n/&gt;!4~M"</f>
        <v>#VALUE!</v>
      </c>
      <c r="GH432" t="e">
        <f>'Latin America and Caribbean'!G43+"n/&gt;!4~N"</f>
        <v>#VALUE!</v>
      </c>
      <c r="GI432" t="e">
        <f>'Latin America and Caribbean'!H43+"n/&gt;!4~O"</f>
        <v>#VALUE!</v>
      </c>
      <c r="GJ432" t="e">
        <f>'Latin America and Caribbean'!I43+"n/&gt;!4~P"</f>
        <v>#VALUE!</v>
      </c>
      <c r="GK432" t="e">
        <f>'Latin America and Caribbean'!A44+"n/&gt;!4~Q"</f>
        <v>#VALUE!</v>
      </c>
      <c r="GL432" t="e">
        <f>'Latin America and Caribbean'!B44+"n/&gt;!4~R"</f>
        <v>#VALUE!</v>
      </c>
      <c r="GM432" t="e">
        <f>'Latin America and Caribbean'!C44+"n/&gt;!4~S"</f>
        <v>#VALUE!</v>
      </c>
      <c r="GN432" t="e">
        <f>'Latin America and Caribbean'!D44+"n/&gt;!4~T"</f>
        <v>#VALUE!</v>
      </c>
      <c r="GO432" t="e">
        <f>'Latin America and Caribbean'!E44+"n/&gt;!4~U"</f>
        <v>#VALUE!</v>
      </c>
      <c r="GP432" t="e">
        <f>'Latin America and Caribbean'!F44+"n/&gt;!4~V"</f>
        <v>#VALUE!</v>
      </c>
      <c r="GQ432" t="e">
        <f>'Latin America and Caribbean'!G44+"n/&gt;!4~W"</f>
        <v>#VALUE!</v>
      </c>
      <c r="GR432" t="e">
        <f>'Latin America and Caribbean'!H44+"n/&gt;!4~X"</f>
        <v>#VALUE!</v>
      </c>
      <c r="GS432" t="e">
        <f>'Latin America and Caribbean'!I44+"n/&gt;!4~Y"</f>
        <v>#VALUE!</v>
      </c>
      <c r="GT432" t="e">
        <f>'Latin America and Caribbean'!A45+"n/&gt;!4~Z"</f>
        <v>#VALUE!</v>
      </c>
      <c r="GU432" t="e">
        <f>'Latin America and Caribbean'!B45+"n/&gt;!4~["</f>
        <v>#VALUE!</v>
      </c>
      <c r="GV432" t="e">
        <f>'Latin America and Caribbean'!C45+"n/&gt;!4~\"</f>
        <v>#VALUE!</v>
      </c>
      <c r="GW432" t="e">
        <f>'Latin America and Caribbean'!D45+"n/&gt;!4~]"</f>
        <v>#VALUE!</v>
      </c>
      <c r="GX432" t="e">
        <f>'Latin America and Caribbean'!E45+"n/&gt;!4~^"</f>
        <v>#VALUE!</v>
      </c>
      <c r="GY432" t="e">
        <f>'Latin America and Caribbean'!F45+"n/&gt;!4~_"</f>
        <v>#VALUE!</v>
      </c>
      <c r="GZ432" t="e">
        <f>'Latin America and Caribbean'!G45+"n/&gt;!4~`"</f>
        <v>#VALUE!</v>
      </c>
      <c r="HA432" t="e">
        <f>'Latin America and Caribbean'!H45+"n/&gt;!4~a"</f>
        <v>#VALUE!</v>
      </c>
      <c r="HB432" t="e">
        <f>'Latin America and Caribbean'!I45+"n/&gt;!4~b"</f>
        <v>#VALUE!</v>
      </c>
      <c r="HC432" t="e">
        <f>'Latin America and Caribbean'!A46+"n/&gt;!4~c"</f>
        <v>#VALUE!</v>
      </c>
      <c r="HD432" t="e">
        <f>'Latin America and Caribbean'!B46+"n/&gt;!4~d"</f>
        <v>#VALUE!</v>
      </c>
      <c r="HE432" t="e">
        <f>'Latin America and Caribbean'!C46+"n/&gt;!4~e"</f>
        <v>#VALUE!</v>
      </c>
      <c r="HF432" t="e">
        <f>'Latin America and Caribbean'!D46+"n/&gt;!4~f"</f>
        <v>#VALUE!</v>
      </c>
      <c r="HG432" t="e">
        <f>'Latin America and Caribbean'!E46+"n/&gt;!4~g"</f>
        <v>#VALUE!</v>
      </c>
      <c r="HH432" t="e">
        <f>'Latin America and Caribbean'!F46+"n/&gt;!4~h"</f>
        <v>#VALUE!</v>
      </c>
      <c r="HI432" t="e">
        <f>'Latin America and Caribbean'!G46+"n/&gt;!4~i"</f>
        <v>#VALUE!</v>
      </c>
      <c r="HJ432" t="e">
        <f>'Latin America and Caribbean'!H46+"n/&gt;!4~j"</f>
        <v>#VALUE!</v>
      </c>
      <c r="HK432" t="e">
        <f>'Latin America and Caribbean'!I46+"n/&gt;!4~k"</f>
        <v>#VALUE!</v>
      </c>
      <c r="HL432" t="e">
        <f>'Latin America and Caribbean'!A47+"n/&gt;!4~l"</f>
        <v>#VALUE!</v>
      </c>
      <c r="HM432" t="e">
        <f>'Latin America and Caribbean'!B47+"n/&gt;!4~m"</f>
        <v>#VALUE!</v>
      </c>
      <c r="HN432" t="e">
        <f>'Latin America and Caribbean'!C47+"n/&gt;!4~n"</f>
        <v>#VALUE!</v>
      </c>
      <c r="HO432" t="e">
        <f>'Latin America and Caribbean'!D47+"n/&gt;!4~o"</f>
        <v>#VALUE!</v>
      </c>
      <c r="HP432" t="e">
        <f>'Latin America and Caribbean'!E47+"n/&gt;!4~p"</f>
        <v>#VALUE!</v>
      </c>
      <c r="HQ432" t="e">
        <f>'Latin America and Caribbean'!F47+"n/&gt;!4~q"</f>
        <v>#VALUE!</v>
      </c>
      <c r="HR432" t="e">
        <f>'Latin America and Caribbean'!G47+"n/&gt;!4~r"</f>
        <v>#VALUE!</v>
      </c>
      <c r="HS432" t="e">
        <f>'Latin America and Caribbean'!H47+"n/&gt;!4~s"</f>
        <v>#VALUE!</v>
      </c>
      <c r="HT432" t="e">
        <f>'Latin America and Caribbean'!I47+"n/&gt;!4~t"</f>
        <v>#VALUE!</v>
      </c>
      <c r="HU432" t="e">
        <f>'Latin America and Caribbean'!A48+"n/&gt;!4~u"</f>
        <v>#VALUE!</v>
      </c>
      <c r="HV432" t="e">
        <f>'Latin America and Caribbean'!B48+"n/&gt;!4~v"</f>
        <v>#VALUE!</v>
      </c>
      <c r="HW432" t="e">
        <f>'Latin America and Caribbean'!C48+"n/&gt;!4~w"</f>
        <v>#VALUE!</v>
      </c>
      <c r="HX432" t="e">
        <f>'Latin America and Caribbean'!D48+"n/&gt;!4~x"</f>
        <v>#VALUE!</v>
      </c>
      <c r="HY432" t="e">
        <f>'Latin America and Caribbean'!E48+"n/&gt;!4~y"</f>
        <v>#VALUE!</v>
      </c>
      <c r="HZ432" t="e">
        <f>'Latin America and Caribbean'!F48+"n/&gt;!4~z"</f>
        <v>#VALUE!</v>
      </c>
      <c r="IA432" t="e">
        <f>'Latin America and Caribbean'!G48+"n/&gt;!4~{"</f>
        <v>#VALUE!</v>
      </c>
      <c r="IB432" t="e">
        <f>'Latin America and Caribbean'!H48+"n/&gt;!4~|"</f>
        <v>#VALUE!</v>
      </c>
      <c r="IC432" t="e">
        <f>'Latin America and Caribbean'!I48+"n/&gt;!4~}"</f>
        <v>#VALUE!</v>
      </c>
      <c r="ID432" t="e">
        <f>'Latin America and Caribbean'!A49+"n/&gt;!4~~"</f>
        <v>#VALUE!</v>
      </c>
      <c r="IE432" t="e">
        <f>'Latin America and Caribbean'!B49+"n/&gt;!5##"</f>
        <v>#VALUE!</v>
      </c>
      <c r="IF432" t="e">
        <f>'Latin America and Caribbean'!C49+"n/&gt;!5#$"</f>
        <v>#VALUE!</v>
      </c>
      <c r="IG432" t="e">
        <f>'Latin America and Caribbean'!D49+"n/&gt;!5#%"</f>
        <v>#VALUE!</v>
      </c>
      <c r="IH432" t="e">
        <f>'Latin America and Caribbean'!E49+"n/&gt;!5#&amp;"</f>
        <v>#VALUE!</v>
      </c>
      <c r="II432" t="e">
        <f>'Latin America and Caribbean'!F49+"n/&gt;!5#'"</f>
        <v>#VALUE!</v>
      </c>
      <c r="IJ432" t="e">
        <f>'Latin America and Caribbean'!G49+"n/&gt;!5#("</f>
        <v>#VALUE!</v>
      </c>
      <c r="IK432" t="e">
        <f>'Latin America and Caribbean'!H49+"n/&gt;!5#)"</f>
        <v>#VALUE!</v>
      </c>
      <c r="IL432" t="e">
        <f>'Latin America and Caribbean'!I49+"n/&gt;!5#."</f>
        <v>#VALUE!</v>
      </c>
      <c r="IM432" t="e">
        <f>'Latin America and Caribbean'!A50+"n/&gt;!5#/"</f>
        <v>#VALUE!</v>
      </c>
      <c r="IN432" t="e">
        <f>'Latin America and Caribbean'!B50+"n/&gt;!5#0"</f>
        <v>#VALUE!</v>
      </c>
      <c r="IO432" t="e">
        <f>'Latin America and Caribbean'!C50+"n/&gt;!5#1"</f>
        <v>#VALUE!</v>
      </c>
      <c r="IP432" t="e">
        <f>'Latin America and Caribbean'!D50+"n/&gt;!5#2"</f>
        <v>#VALUE!</v>
      </c>
      <c r="IQ432" t="e">
        <f>'Latin America and Caribbean'!E50+"n/&gt;!5#3"</f>
        <v>#VALUE!</v>
      </c>
      <c r="IR432" t="e">
        <f>'Latin America and Caribbean'!F50+"n/&gt;!5#4"</f>
        <v>#VALUE!</v>
      </c>
      <c r="IS432" t="e">
        <f>'Latin America and Caribbean'!G50+"n/&gt;!5#5"</f>
        <v>#VALUE!</v>
      </c>
      <c r="IT432" t="e">
        <f>'Latin America and Caribbean'!H50+"n/&gt;!5#6"</f>
        <v>#VALUE!</v>
      </c>
      <c r="IU432" t="e">
        <f>'Latin America and Caribbean'!I50+"n/&gt;!5#7"</f>
        <v>#VALUE!</v>
      </c>
      <c r="IV432" t="e">
        <f>'Latin America and Caribbean'!A51+"n/&gt;!5#8"</f>
        <v>#VALUE!</v>
      </c>
    </row>
    <row r="433" spans="6:256" x14ac:dyDescent="0.35">
      <c r="F433" t="e">
        <f>'Latin America and Caribbean'!B51+"n/&gt;!5#9"</f>
        <v>#VALUE!</v>
      </c>
      <c r="G433" t="e">
        <f>'Latin America and Caribbean'!C51+"n/&gt;!5#:"</f>
        <v>#VALUE!</v>
      </c>
      <c r="H433" t="e">
        <f>'Latin America and Caribbean'!D51+"n/&gt;!5#;"</f>
        <v>#VALUE!</v>
      </c>
      <c r="I433" t="e">
        <f>'Latin America and Caribbean'!E51+"n/&gt;!5#&lt;"</f>
        <v>#VALUE!</v>
      </c>
      <c r="J433" t="e">
        <f>'Latin America and Caribbean'!F51+"n/&gt;!5#="</f>
        <v>#VALUE!</v>
      </c>
      <c r="K433" t="e">
        <f>'Latin America and Caribbean'!G51+"n/&gt;!5#&gt;"</f>
        <v>#VALUE!</v>
      </c>
      <c r="L433" t="e">
        <f>'Latin America and Caribbean'!H51+"n/&gt;!5#?"</f>
        <v>#VALUE!</v>
      </c>
      <c r="M433" t="e">
        <f>'Latin America and Caribbean'!I51+"n/&gt;!5#@"</f>
        <v>#VALUE!</v>
      </c>
      <c r="N433" t="e">
        <f>'Latin America and Caribbean'!A52+"n/&gt;!5#A"</f>
        <v>#VALUE!</v>
      </c>
      <c r="O433" t="e">
        <f>'Latin America and Caribbean'!B52+"n/&gt;!5#B"</f>
        <v>#VALUE!</v>
      </c>
      <c r="P433" t="e">
        <f>'Latin America and Caribbean'!C52+"n/&gt;!5#C"</f>
        <v>#VALUE!</v>
      </c>
      <c r="Q433" t="e">
        <f>'Latin America and Caribbean'!D52+"n/&gt;!5#D"</f>
        <v>#VALUE!</v>
      </c>
      <c r="R433" t="e">
        <f>'Latin America and Caribbean'!E52+"n/&gt;!5#E"</f>
        <v>#VALUE!</v>
      </c>
      <c r="S433" t="e">
        <f>'Latin America and Caribbean'!F52+"n/&gt;!5#F"</f>
        <v>#VALUE!</v>
      </c>
      <c r="T433" t="e">
        <f>'Latin America and Caribbean'!G52+"n/&gt;!5#G"</f>
        <v>#VALUE!</v>
      </c>
      <c r="U433" t="e">
        <f>'Latin America and Caribbean'!H52+"n/&gt;!5#H"</f>
        <v>#VALUE!</v>
      </c>
      <c r="V433" t="e">
        <f>'Latin America and Caribbean'!I52+"n/&gt;!5#I"</f>
        <v>#VALUE!</v>
      </c>
      <c r="W433" t="e">
        <f>'Latin America and Caribbean'!A53+"n/&gt;!5#J"</f>
        <v>#VALUE!</v>
      </c>
      <c r="X433" t="e">
        <f>'Latin America and Caribbean'!B53+"n/&gt;!5#K"</f>
        <v>#VALUE!</v>
      </c>
      <c r="Y433" t="e">
        <f>'Latin America and Caribbean'!C53+"n/&gt;!5#L"</f>
        <v>#VALUE!</v>
      </c>
      <c r="Z433" t="e">
        <f>'Latin America and Caribbean'!D53+"n/&gt;!5#M"</f>
        <v>#VALUE!</v>
      </c>
      <c r="AA433" t="e">
        <f>'Latin America and Caribbean'!E53+"n/&gt;!5#N"</f>
        <v>#VALUE!</v>
      </c>
      <c r="AB433" t="e">
        <f>'Latin America and Caribbean'!F53+"n/&gt;!5#O"</f>
        <v>#VALUE!</v>
      </c>
      <c r="AC433" t="e">
        <f>'Latin America and Caribbean'!G53+"n/&gt;!5#P"</f>
        <v>#VALUE!</v>
      </c>
      <c r="AD433" t="e">
        <f>'Latin America and Caribbean'!H53+"n/&gt;!5#Q"</f>
        <v>#VALUE!</v>
      </c>
      <c r="AE433" t="e">
        <f>'Latin America and Caribbean'!I53+"n/&gt;!5#R"</f>
        <v>#VALUE!</v>
      </c>
      <c r="AF433" t="e">
        <f>'Latin America and Caribbean'!A54+"n/&gt;!5#S"</f>
        <v>#VALUE!</v>
      </c>
      <c r="AG433" t="e">
        <f>'Latin America and Caribbean'!B54+"n/&gt;!5#T"</f>
        <v>#VALUE!</v>
      </c>
      <c r="AH433" t="e">
        <f>'Latin America and Caribbean'!C54+"n/&gt;!5#U"</f>
        <v>#VALUE!</v>
      </c>
      <c r="AI433" t="e">
        <f>'Latin America and Caribbean'!D54+"n/&gt;!5#V"</f>
        <v>#VALUE!</v>
      </c>
      <c r="AJ433" t="e">
        <f>'Latin America and Caribbean'!E54+"n/&gt;!5#W"</f>
        <v>#VALUE!</v>
      </c>
      <c r="AK433" t="e">
        <f>'Latin America and Caribbean'!F54+"n/&gt;!5#X"</f>
        <v>#VALUE!</v>
      </c>
      <c r="AL433" t="e">
        <f>'Latin America and Caribbean'!G54+"n/&gt;!5#Y"</f>
        <v>#VALUE!</v>
      </c>
      <c r="AM433" t="e">
        <f>'Latin America and Caribbean'!H54+"n/&gt;!5#Z"</f>
        <v>#VALUE!</v>
      </c>
      <c r="AN433" t="e">
        <f>'Latin America and Caribbean'!I54+"n/&gt;!5#["</f>
        <v>#VALUE!</v>
      </c>
      <c r="AO433" t="e">
        <f>'Latin America and Caribbean'!A55+"n/&gt;!5#\"</f>
        <v>#VALUE!</v>
      </c>
      <c r="AP433" t="e">
        <f>'Latin America and Caribbean'!B55+"n/&gt;!5#]"</f>
        <v>#VALUE!</v>
      </c>
      <c r="AQ433" t="e">
        <f>'Latin America and Caribbean'!C55+"n/&gt;!5#^"</f>
        <v>#VALUE!</v>
      </c>
      <c r="AR433" t="e">
        <f>'Latin America and Caribbean'!D55+"n/&gt;!5#_"</f>
        <v>#VALUE!</v>
      </c>
      <c r="AS433" t="e">
        <f>'Latin America and Caribbean'!E55+"n/&gt;!5#`"</f>
        <v>#VALUE!</v>
      </c>
      <c r="AT433" t="e">
        <f>'Latin America and Caribbean'!F55+"n/&gt;!5#a"</f>
        <v>#VALUE!</v>
      </c>
      <c r="AU433" t="e">
        <f>'Latin America and Caribbean'!G55+"n/&gt;!5#b"</f>
        <v>#VALUE!</v>
      </c>
      <c r="AV433" t="e">
        <f>'Latin America and Caribbean'!H55+"n/&gt;!5#c"</f>
        <v>#VALUE!</v>
      </c>
      <c r="AW433" t="e">
        <f>'Latin America and Caribbean'!I55+"n/&gt;!5#d"</f>
        <v>#VALUE!</v>
      </c>
      <c r="AX433" t="e">
        <f>'Latin America and Caribbean'!A56+"n/&gt;!5#e"</f>
        <v>#VALUE!</v>
      </c>
      <c r="AY433" t="e">
        <f>'Latin America and Caribbean'!B56+"n/&gt;!5#f"</f>
        <v>#VALUE!</v>
      </c>
      <c r="AZ433" t="e">
        <f>'Latin America and Caribbean'!C56+"n/&gt;!5#g"</f>
        <v>#VALUE!</v>
      </c>
      <c r="BA433" t="e">
        <f>'Latin America and Caribbean'!D56+"n/&gt;!5#h"</f>
        <v>#VALUE!</v>
      </c>
      <c r="BB433" t="e">
        <f>'Latin America and Caribbean'!E56+"n/&gt;!5#i"</f>
        <v>#VALUE!</v>
      </c>
      <c r="BC433" t="e">
        <f>'Latin America and Caribbean'!F56+"n/&gt;!5#j"</f>
        <v>#VALUE!</v>
      </c>
      <c r="BD433" t="e">
        <f>'Latin America and Caribbean'!G56+"n/&gt;!5#k"</f>
        <v>#VALUE!</v>
      </c>
      <c r="BE433" t="e">
        <f>'Latin America and Caribbean'!H56+"n/&gt;!5#l"</f>
        <v>#VALUE!</v>
      </c>
      <c r="BF433" t="e">
        <f>'Latin America and Caribbean'!I56+"n/&gt;!5#m"</f>
        <v>#VALUE!</v>
      </c>
      <c r="BG433" t="e">
        <f>'Latin America and Caribbean'!A57+"n/&gt;!5#n"</f>
        <v>#VALUE!</v>
      </c>
      <c r="BH433" t="e">
        <f>'Latin America and Caribbean'!B57+"n/&gt;!5#o"</f>
        <v>#VALUE!</v>
      </c>
      <c r="BI433" t="e">
        <f>'Latin America and Caribbean'!C57+"n/&gt;!5#p"</f>
        <v>#VALUE!</v>
      </c>
      <c r="BJ433" t="e">
        <f>'Latin America and Caribbean'!D57+"n/&gt;!5#q"</f>
        <v>#VALUE!</v>
      </c>
      <c r="BK433" t="e">
        <f>'Latin America and Caribbean'!E57+"n/&gt;!5#r"</f>
        <v>#VALUE!</v>
      </c>
      <c r="BL433" t="e">
        <f>'Latin America and Caribbean'!F57+"n/&gt;!5#s"</f>
        <v>#VALUE!</v>
      </c>
      <c r="BM433" t="e">
        <f>'Latin America and Caribbean'!G57+"n/&gt;!5#t"</f>
        <v>#VALUE!</v>
      </c>
      <c r="BN433" t="e">
        <f>'Latin America and Caribbean'!H57+"n/&gt;!5#u"</f>
        <v>#VALUE!</v>
      </c>
      <c r="BO433" t="e">
        <f>'Latin America and Caribbean'!I57+"n/&gt;!5#v"</f>
        <v>#VALUE!</v>
      </c>
      <c r="BP433" t="e">
        <f>'Latin America and Caribbean'!A58+"n/&gt;!5#w"</f>
        <v>#VALUE!</v>
      </c>
      <c r="BQ433" t="e">
        <f>'Latin America and Caribbean'!B58+"n/&gt;!5#x"</f>
        <v>#VALUE!</v>
      </c>
      <c r="BR433" t="e">
        <f>'Latin America and Caribbean'!C58+"n/&gt;!5#y"</f>
        <v>#VALUE!</v>
      </c>
      <c r="BS433" t="e">
        <f>'Latin America and Caribbean'!D58+"n/&gt;!5#z"</f>
        <v>#VALUE!</v>
      </c>
      <c r="BT433" t="e">
        <f>'Latin America and Caribbean'!E58+"n/&gt;!5#{"</f>
        <v>#VALUE!</v>
      </c>
      <c r="BU433" t="e">
        <f>'Latin America and Caribbean'!F58+"n/&gt;!5#|"</f>
        <v>#VALUE!</v>
      </c>
      <c r="BV433" t="e">
        <f>'Latin America and Caribbean'!G58+"n/&gt;!5#}"</f>
        <v>#VALUE!</v>
      </c>
      <c r="BW433" t="e">
        <f>'Latin America and Caribbean'!H58+"n/&gt;!5#~"</f>
        <v>#VALUE!</v>
      </c>
      <c r="BX433" t="e">
        <f>'Latin America and Caribbean'!I58+"n/&gt;!5$#"</f>
        <v>#VALUE!</v>
      </c>
      <c r="BY433" t="e">
        <f>'Latin America and Caribbean'!A59+"n/&gt;!5$$"</f>
        <v>#VALUE!</v>
      </c>
      <c r="BZ433" t="e">
        <f>'Latin America and Caribbean'!B59+"n/&gt;!5$%"</f>
        <v>#VALUE!</v>
      </c>
      <c r="CA433" t="e">
        <f>'Latin America and Caribbean'!C59+"n/&gt;!5$&amp;"</f>
        <v>#VALUE!</v>
      </c>
      <c r="CB433" t="e">
        <f>'Latin America and Caribbean'!D59+"n/&gt;!5$'"</f>
        <v>#VALUE!</v>
      </c>
      <c r="CC433" t="e">
        <f>'Latin America and Caribbean'!E59+"n/&gt;!5$("</f>
        <v>#VALUE!</v>
      </c>
      <c r="CD433" t="e">
        <f>'Latin America and Caribbean'!F59+"n/&gt;!5$)"</f>
        <v>#VALUE!</v>
      </c>
      <c r="CE433" t="e">
        <f>'Latin America and Caribbean'!G59+"n/&gt;!5$."</f>
        <v>#VALUE!</v>
      </c>
      <c r="CF433" t="e">
        <f>'Latin America and Caribbean'!H59+"n/&gt;!5$/"</f>
        <v>#VALUE!</v>
      </c>
      <c r="CG433" t="e">
        <f>'Latin America and Caribbean'!I59+"n/&gt;!5$0"</f>
        <v>#VALUE!</v>
      </c>
      <c r="CH433" t="e">
        <f>'Latin America and Caribbean'!A60+"n/&gt;!5$1"</f>
        <v>#VALUE!</v>
      </c>
      <c r="CI433" t="e">
        <f>'Latin America and Caribbean'!B60+"n/&gt;!5$2"</f>
        <v>#VALUE!</v>
      </c>
      <c r="CJ433" t="e">
        <f>'Latin America and Caribbean'!C60+"n/&gt;!5$3"</f>
        <v>#VALUE!</v>
      </c>
      <c r="CK433" t="e">
        <f>'Latin America and Caribbean'!D60+"n/&gt;!5$4"</f>
        <v>#VALUE!</v>
      </c>
      <c r="CL433" t="e">
        <f>'Latin America and Caribbean'!E60+"n/&gt;!5$5"</f>
        <v>#VALUE!</v>
      </c>
      <c r="CM433" t="e">
        <f>'Latin America and Caribbean'!F60+"n/&gt;!5$6"</f>
        <v>#VALUE!</v>
      </c>
      <c r="CN433" t="e">
        <f>'Latin America and Caribbean'!G60+"n/&gt;!5$7"</f>
        <v>#VALUE!</v>
      </c>
      <c r="CO433" t="e">
        <f>'Latin America and Caribbean'!H60+"n/&gt;!5$8"</f>
        <v>#VALUE!</v>
      </c>
      <c r="CP433" t="e">
        <f>'Latin America and Caribbean'!I60+"n/&gt;!5$9"</f>
        <v>#VALUE!</v>
      </c>
      <c r="CQ433" t="e">
        <f>'Latin America and Caribbean'!A61+"n/&gt;!5$:"</f>
        <v>#VALUE!</v>
      </c>
      <c r="CR433" t="e">
        <f>'Latin America and Caribbean'!B61+"n/&gt;!5$;"</f>
        <v>#VALUE!</v>
      </c>
      <c r="CS433" t="e">
        <f>'Latin America and Caribbean'!C61+"n/&gt;!5$&lt;"</f>
        <v>#VALUE!</v>
      </c>
      <c r="CT433" t="e">
        <f>'Latin America and Caribbean'!D61+"n/&gt;!5$="</f>
        <v>#VALUE!</v>
      </c>
      <c r="CU433" t="e">
        <f>'Latin America and Caribbean'!E61+"n/&gt;!5$&gt;"</f>
        <v>#VALUE!</v>
      </c>
      <c r="CV433" t="e">
        <f>'Latin America and Caribbean'!F61+"n/&gt;!5$?"</f>
        <v>#VALUE!</v>
      </c>
      <c r="CW433" t="e">
        <f>'Latin America and Caribbean'!G61+"n/&gt;!5$@"</f>
        <v>#VALUE!</v>
      </c>
      <c r="CX433" t="e">
        <f>'Latin America and Caribbean'!H61+"n/&gt;!5$A"</f>
        <v>#VALUE!</v>
      </c>
      <c r="CY433" t="e">
        <f>'Latin America and Caribbean'!I61+"n/&gt;!5$B"</f>
        <v>#VALUE!</v>
      </c>
      <c r="CZ433" t="e">
        <f>'Latin America and Caribbean'!A62+"n/&gt;!5$C"</f>
        <v>#VALUE!</v>
      </c>
      <c r="DA433" t="e">
        <f>'Latin America and Caribbean'!B62+"n/&gt;!5$D"</f>
        <v>#VALUE!</v>
      </c>
      <c r="DB433" t="e">
        <f>'Latin America and Caribbean'!C62+"n/&gt;!5$E"</f>
        <v>#VALUE!</v>
      </c>
      <c r="DC433" t="e">
        <f>'Latin America and Caribbean'!D62+"n/&gt;!5$F"</f>
        <v>#VALUE!</v>
      </c>
      <c r="DD433" t="e">
        <f>'Latin America and Caribbean'!E62+"n/&gt;!5$G"</f>
        <v>#VALUE!</v>
      </c>
      <c r="DE433" t="e">
        <f>'Latin America and Caribbean'!F62+"n/&gt;!5$H"</f>
        <v>#VALUE!</v>
      </c>
      <c r="DF433" t="e">
        <f>'Latin America and Caribbean'!G62+"n/&gt;!5$I"</f>
        <v>#VALUE!</v>
      </c>
      <c r="DG433" t="e">
        <f>'Latin America and Caribbean'!H62+"n/&gt;!5$J"</f>
        <v>#VALUE!</v>
      </c>
      <c r="DH433" t="e">
        <f>'Latin America and Caribbean'!I62+"n/&gt;!5$K"</f>
        <v>#VALUE!</v>
      </c>
      <c r="DI433" t="e">
        <f>'Latin America and Caribbean'!A63+"n/&gt;!5$L"</f>
        <v>#VALUE!</v>
      </c>
      <c r="DJ433" t="e">
        <f>'Latin America and Caribbean'!B63+"n/&gt;!5$M"</f>
        <v>#VALUE!</v>
      </c>
      <c r="DK433" t="e">
        <f>'Latin America and Caribbean'!C63+"n/&gt;!5$N"</f>
        <v>#VALUE!</v>
      </c>
      <c r="DL433" t="e">
        <f>'Latin America and Caribbean'!D63+"n/&gt;!5$O"</f>
        <v>#VALUE!</v>
      </c>
      <c r="DM433" t="e">
        <f>'Latin America and Caribbean'!E63+"n/&gt;!5$P"</f>
        <v>#VALUE!</v>
      </c>
      <c r="DN433" t="e">
        <f>'Latin America and Caribbean'!F63+"n/&gt;!5$Q"</f>
        <v>#VALUE!</v>
      </c>
      <c r="DO433" t="e">
        <f>'Latin America and Caribbean'!G63+"n/&gt;!5$R"</f>
        <v>#VALUE!</v>
      </c>
      <c r="DP433" t="e">
        <f>'Latin America and Caribbean'!H63+"n/&gt;!5$S"</f>
        <v>#VALUE!</v>
      </c>
      <c r="DQ433" t="e">
        <f>'Latin America and Caribbean'!I63+"n/&gt;!5$T"</f>
        <v>#VALUE!</v>
      </c>
      <c r="DR433" t="e">
        <f>'Latin America and Caribbean'!A64+"n/&gt;!5$U"</f>
        <v>#VALUE!</v>
      </c>
      <c r="DS433" t="e">
        <f>'Latin America and Caribbean'!B64+"n/&gt;!5$V"</f>
        <v>#VALUE!</v>
      </c>
      <c r="DT433" t="e">
        <f>'Latin America and Caribbean'!C64+"n/&gt;!5$W"</f>
        <v>#VALUE!</v>
      </c>
      <c r="DU433" t="e">
        <f>'Latin America and Caribbean'!D64+"n/&gt;!5$X"</f>
        <v>#VALUE!</v>
      </c>
      <c r="DV433" t="e">
        <f>'Latin America and Caribbean'!E64+"n/&gt;!5$Y"</f>
        <v>#VALUE!</v>
      </c>
      <c r="DW433" t="e">
        <f>'Latin America and Caribbean'!F64+"n/&gt;!5$Z"</f>
        <v>#VALUE!</v>
      </c>
      <c r="DX433" t="e">
        <f>'Latin America and Caribbean'!G64+"n/&gt;!5$["</f>
        <v>#VALUE!</v>
      </c>
      <c r="DY433" t="e">
        <f>'Latin America and Caribbean'!H64+"n/&gt;!5$\"</f>
        <v>#VALUE!</v>
      </c>
      <c r="DZ433" t="e">
        <f>'Latin America and Caribbean'!I64+"n/&gt;!5$]"</f>
        <v>#VALUE!</v>
      </c>
      <c r="EA433" t="e">
        <f>'Latin America and Caribbean'!A65+"n/&gt;!5$^"</f>
        <v>#VALUE!</v>
      </c>
      <c r="EB433" t="e">
        <f>'Latin America and Caribbean'!B65+"n/&gt;!5$_"</f>
        <v>#VALUE!</v>
      </c>
      <c r="EC433" t="e">
        <f>'Latin America and Caribbean'!C65+"n/&gt;!5$`"</f>
        <v>#VALUE!</v>
      </c>
      <c r="ED433" t="e">
        <f>'Latin America and Caribbean'!D65+"n/&gt;!5$a"</f>
        <v>#VALUE!</v>
      </c>
      <c r="EE433" t="e">
        <f>'Latin America and Caribbean'!E65+"n/&gt;!5$b"</f>
        <v>#VALUE!</v>
      </c>
      <c r="EF433" t="e">
        <f>'Latin America and Caribbean'!F65+"n/&gt;!5$c"</f>
        <v>#VALUE!</v>
      </c>
      <c r="EG433" t="e">
        <f>'Latin America and Caribbean'!G65+"n/&gt;!5$d"</f>
        <v>#VALUE!</v>
      </c>
      <c r="EH433" t="e">
        <f>'Latin America and Caribbean'!H65+"n/&gt;!5$e"</f>
        <v>#VALUE!</v>
      </c>
      <c r="EI433" t="e">
        <f>'Latin America and Caribbean'!I65+"n/&gt;!5$f"</f>
        <v>#VALUE!</v>
      </c>
      <c r="EJ433" t="e">
        <f>'Latin America and Caribbean'!A66+"n/&gt;!5$g"</f>
        <v>#VALUE!</v>
      </c>
      <c r="EK433" t="e">
        <f>'Latin America and Caribbean'!B66+"n/&gt;!5$h"</f>
        <v>#VALUE!</v>
      </c>
      <c r="EL433" t="e">
        <f>'Latin America and Caribbean'!C66+"n/&gt;!5$i"</f>
        <v>#VALUE!</v>
      </c>
      <c r="EM433" t="e">
        <f>'Latin America and Caribbean'!D66+"n/&gt;!5$j"</f>
        <v>#VALUE!</v>
      </c>
      <c r="EN433" t="e">
        <f>'Latin America and Caribbean'!E66+"n/&gt;!5$k"</f>
        <v>#VALUE!</v>
      </c>
      <c r="EO433" t="e">
        <f>'Latin America and Caribbean'!F66+"n/&gt;!5$l"</f>
        <v>#VALUE!</v>
      </c>
      <c r="EP433" t="e">
        <f>'Latin America and Caribbean'!G66+"n/&gt;!5$m"</f>
        <v>#VALUE!</v>
      </c>
      <c r="EQ433" t="e">
        <f>'Latin America and Caribbean'!H66+"n/&gt;!5$n"</f>
        <v>#VALUE!</v>
      </c>
      <c r="ER433" t="e">
        <f>'Latin America and Caribbean'!I66+"n/&gt;!5$o"</f>
        <v>#VALUE!</v>
      </c>
      <c r="ES433" t="e">
        <f>'Latin America and Caribbean'!A67+"n/&gt;!5$p"</f>
        <v>#VALUE!</v>
      </c>
      <c r="ET433" t="e">
        <f>'Latin America and Caribbean'!B67+"n/&gt;!5$q"</f>
        <v>#VALUE!</v>
      </c>
      <c r="EU433" t="e">
        <f>'Latin America and Caribbean'!C67+"n/&gt;!5$r"</f>
        <v>#VALUE!</v>
      </c>
      <c r="EV433" t="e">
        <f>'Latin America and Caribbean'!D67+"n/&gt;!5$s"</f>
        <v>#VALUE!</v>
      </c>
      <c r="EW433" t="e">
        <f>'Latin America and Caribbean'!E67+"n/&gt;!5$t"</f>
        <v>#VALUE!</v>
      </c>
      <c r="EX433" t="e">
        <f>'Latin America and Caribbean'!F67+"n/&gt;!5$u"</f>
        <v>#VALUE!</v>
      </c>
      <c r="EY433" t="e">
        <f>'Latin America and Caribbean'!G67+"n/&gt;!5$v"</f>
        <v>#VALUE!</v>
      </c>
      <c r="EZ433" t="e">
        <f>'Latin America and Caribbean'!H67+"n/&gt;!5$w"</f>
        <v>#VALUE!</v>
      </c>
      <c r="FA433" t="e">
        <f>'Latin America and Caribbean'!I67+"n/&gt;!5$x"</f>
        <v>#VALUE!</v>
      </c>
      <c r="FB433" t="e">
        <f>'Latin America and Caribbean'!A68+"n/&gt;!5$y"</f>
        <v>#VALUE!</v>
      </c>
      <c r="FC433" t="e">
        <f>'Latin America and Caribbean'!B68+"n/&gt;!5$z"</f>
        <v>#VALUE!</v>
      </c>
      <c r="FD433" t="e">
        <f>'Latin America and Caribbean'!C68+"n/&gt;!5${"</f>
        <v>#VALUE!</v>
      </c>
      <c r="FE433" t="e">
        <f>'Latin America and Caribbean'!D68+"n/&gt;!5$|"</f>
        <v>#VALUE!</v>
      </c>
      <c r="FF433" t="e">
        <f>'Latin America and Caribbean'!E68+"n/&gt;!5$}"</f>
        <v>#VALUE!</v>
      </c>
      <c r="FG433" t="e">
        <f>'Latin America and Caribbean'!F68+"n/&gt;!5$~"</f>
        <v>#VALUE!</v>
      </c>
      <c r="FH433" t="e">
        <f>'Latin America and Caribbean'!G68+"n/&gt;!5%#"</f>
        <v>#VALUE!</v>
      </c>
      <c r="FI433" t="e">
        <f>'Latin America and Caribbean'!H68+"n/&gt;!5%$"</f>
        <v>#VALUE!</v>
      </c>
      <c r="FJ433" t="e">
        <f>'Latin America and Caribbean'!I68+"n/&gt;!5%%"</f>
        <v>#VALUE!</v>
      </c>
      <c r="FK433" t="e">
        <f>'Latin America and Caribbean'!A69+"n/&gt;!5%&amp;"</f>
        <v>#VALUE!</v>
      </c>
      <c r="FL433" t="e">
        <f>'Latin America and Caribbean'!B69+"n/&gt;!5%'"</f>
        <v>#VALUE!</v>
      </c>
      <c r="FM433" t="e">
        <f>'Latin America and Caribbean'!C69+"n/&gt;!5%("</f>
        <v>#VALUE!</v>
      </c>
      <c r="FN433" t="e">
        <f>'Latin America and Caribbean'!D69+"n/&gt;!5%)"</f>
        <v>#VALUE!</v>
      </c>
      <c r="FO433" t="e">
        <f>'Latin America and Caribbean'!E69+"n/&gt;!5%."</f>
        <v>#VALUE!</v>
      </c>
      <c r="FP433" t="e">
        <f>'Latin America and Caribbean'!F69+"n/&gt;!5%/"</f>
        <v>#VALUE!</v>
      </c>
      <c r="FQ433" t="e">
        <f>'Latin America and Caribbean'!G69+"n/&gt;!5%0"</f>
        <v>#VALUE!</v>
      </c>
      <c r="FR433" t="e">
        <f>'Latin America and Caribbean'!H69+"n/&gt;!5%1"</f>
        <v>#VALUE!</v>
      </c>
      <c r="FS433" t="e">
        <f>'Latin America and Caribbean'!I69+"n/&gt;!5%2"</f>
        <v>#VALUE!</v>
      </c>
      <c r="FT433" t="e">
        <f>'Latin America and Caribbean'!A70+"n/&gt;!5%3"</f>
        <v>#VALUE!</v>
      </c>
      <c r="FU433" t="e">
        <f>'Latin America and Caribbean'!B70+"n/&gt;!5%4"</f>
        <v>#VALUE!</v>
      </c>
      <c r="FV433" t="e">
        <f>'Latin America and Caribbean'!C70+"n/&gt;!5%5"</f>
        <v>#VALUE!</v>
      </c>
      <c r="FW433" t="e">
        <f>'Latin America and Caribbean'!D70+"n/&gt;!5%6"</f>
        <v>#VALUE!</v>
      </c>
      <c r="FX433" t="e">
        <f>'Latin America and Caribbean'!E70+"n/&gt;!5%7"</f>
        <v>#VALUE!</v>
      </c>
      <c r="FY433" t="e">
        <f>'Latin America and Caribbean'!F70+"n/&gt;!5%8"</f>
        <v>#VALUE!</v>
      </c>
      <c r="FZ433" t="e">
        <f>'Latin America and Caribbean'!G70+"n/&gt;!5%9"</f>
        <v>#VALUE!</v>
      </c>
      <c r="GA433" t="e">
        <f>'Latin America and Caribbean'!H70+"n/&gt;!5%:"</f>
        <v>#VALUE!</v>
      </c>
      <c r="GB433" t="e">
        <f>'Latin America and Caribbean'!I70+"n/&gt;!5%;"</f>
        <v>#VALUE!</v>
      </c>
      <c r="GC433" t="e">
        <f>'Latin America and Caribbean'!A71+"n/&gt;!5%&lt;"</f>
        <v>#VALUE!</v>
      </c>
      <c r="GD433" t="e">
        <f>'Latin America and Caribbean'!B71+"n/&gt;!5%="</f>
        <v>#VALUE!</v>
      </c>
      <c r="GE433" t="e">
        <f>'Latin America and Caribbean'!C71+"n/&gt;!5%&gt;"</f>
        <v>#VALUE!</v>
      </c>
      <c r="GF433" t="e">
        <f>'Latin America and Caribbean'!D71+"n/&gt;!5%?"</f>
        <v>#VALUE!</v>
      </c>
      <c r="GG433" t="e">
        <f>'Latin America and Caribbean'!E71+"n/&gt;!5%@"</f>
        <v>#VALUE!</v>
      </c>
      <c r="GH433" t="e">
        <f>'Latin America and Caribbean'!F71+"n/&gt;!5%A"</f>
        <v>#VALUE!</v>
      </c>
      <c r="GI433" t="e">
        <f>'Latin America and Caribbean'!G71+"n/&gt;!5%B"</f>
        <v>#VALUE!</v>
      </c>
      <c r="GJ433" t="e">
        <f>'Latin America and Caribbean'!H71+"n/&gt;!5%C"</f>
        <v>#VALUE!</v>
      </c>
      <c r="GK433" t="e">
        <f>'Latin America and Caribbean'!I71+"n/&gt;!5%D"</f>
        <v>#VALUE!</v>
      </c>
      <c r="GL433" t="e">
        <f>'Latin America and Caribbean'!A72+"n/&gt;!5%E"</f>
        <v>#VALUE!</v>
      </c>
      <c r="GM433" t="e">
        <f>'Latin America and Caribbean'!B72+"n/&gt;!5%F"</f>
        <v>#VALUE!</v>
      </c>
      <c r="GN433" t="e">
        <f>'Latin America and Caribbean'!C72+"n/&gt;!5%G"</f>
        <v>#VALUE!</v>
      </c>
      <c r="GO433" t="e">
        <f>'Latin America and Caribbean'!D72+"n/&gt;!5%H"</f>
        <v>#VALUE!</v>
      </c>
      <c r="GP433" t="e">
        <f>'Latin America and Caribbean'!E72+"n/&gt;!5%I"</f>
        <v>#VALUE!</v>
      </c>
      <c r="GQ433" t="e">
        <f>'Latin America and Caribbean'!F72+"n/&gt;!5%J"</f>
        <v>#VALUE!</v>
      </c>
      <c r="GR433" t="e">
        <f>'Latin America and Caribbean'!G72+"n/&gt;!5%K"</f>
        <v>#VALUE!</v>
      </c>
      <c r="GS433" t="e">
        <f>'Latin America and Caribbean'!H72+"n/&gt;!5%L"</f>
        <v>#VALUE!</v>
      </c>
      <c r="GT433" t="e">
        <f>'Latin America and Caribbean'!I72+"n/&gt;!5%M"</f>
        <v>#VALUE!</v>
      </c>
      <c r="GU433" t="e">
        <f>'Latin America and Caribbean'!A73+"n/&gt;!5%N"</f>
        <v>#VALUE!</v>
      </c>
      <c r="GV433" t="e">
        <f>'Latin America and Caribbean'!B73+"n/&gt;!5%O"</f>
        <v>#VALUE!</v>
      </c>
      <c r="GW433" t="e">
        <f>'Latin America and Caribbean'!C73+"n/&gt;!5%P"</f>
        <v>#VALUE!</v>
      </c>
      <c r="GX433" t="e">
        <f>'Latin America and Caribbean'!D73+"n/&gt;!5%Q"</f>
        <v>#VALUE!</v>
      </c>
      <c r="GY433" t="e">
        <f>'Latin America and Caribbean'!E73+"n/&gt;!5%R"</f>
        <v>#VALUE!</v>
      </c>
      <c r="GZ433" t="e">
        <f>'Latin America and Caribbean'!F73+"n/&gt;!5%S"</f>
        <v>#VALUE!</v>
      </c>
      <c r="HA433" t="e">
        <f>'Latin America and Caribbean'!G73+"n/&gt;!5%T"</f>
        <v>#VALUE!</v>
      </c>
      <c r="HB433" t="e">
        <f>'Latin America and Caribbean'!H73+"n/&gt;!5%U"</f>
        <v>#VALUE!</v>
      </c>
      <c r="HC433" t="e">
        <f>'Latin America and Caribbean'!I73+"n/&gt;!5%V"</f>
        <v>#VALUE!</v>
      </c>
      <c r="HD433" t="e">
        <f>'Latin America and Caribbean'!A74+"n/&gt;!5%W"</f>
        <v>#VALUE!</v>
      </c>
      <c r="HE433" t="e">
        <f>'Latin America and Caribbean'!B74+"n/&gt;!5%X"</f>
        <v>#VALUE!</v>
      </c>
      <c r="HF433" t="e">
        <f>'Latin America and Caribbean'!C74+"n/&gt;!5%Y"</f>
        <v>#VALUE!</v>
      </c>
      <c r="HG433" t="e">
        <f>'Latin America and Caribbean'!D74+"n/&gt;!5%Z"</f>
        <v>#VALUE!</v>
      </c>
      <c r="HH433" t="e">
        <f>'Latin America and Caribbean'!E74+"n/&gt;!5%["</f>
        <v>#VALUE!</v>
      </c>
      <c r="HI433" t="e">
        <f>'Latin America and Caribbean'!F74+"n/&gt;!5%\"</f>
        <v>#VALUE!</v>
      </c>
      <c r="HJ433" t="e">
        <f>'Latin America and Caribbean'!G74+"n/&gt;!5%]"</f>
        <v>#VALUE!</v>
      </c>
      <c r="HK433" t="e">
        <f>'Latin America and Caribbean'!H74+"n/&gt;!5%^"</f>
        <v>#VALUE!</v>
      </c>
      <c r="HL433" t="e">
        <f>'Latin America and Caribbean'!I74+"n/&gt;!5%_"</f>
        <v>#VALUE!</v>
      </c>
      <c r="HM433" t="e">
        <f>'Latin America and Caribbean'!A75+"n/&gt;!5%`"</f>
        <v>#VALUE!</v>
      </c>
      <c r="HN433" t="e">
        <f>'Latin America and Caribbean'!B75+"n/&gt;!5%a"</f>
        <v>#VALUE!</v>
      </c>
      <c r="HO433" t="e">
        <f>'Latin America and Caribbean'!C75+"n/&gt;!5%b"</f>
        <v>#VALUE!</v>
      </c>
      <c r="HP433" t="e">
        <f>'Latin America and Caribbean'!D75+"n/&gt;!5%c"</f>
        <v>#VALUE!</v>
      </c>
      <c r="HQ433" t="e">
        <f>'Latin America and Caribbean'!E75+"n/&gt;!5%d"</f>
        <v>#VALUE!</v>
      </c>
      <c r="HR433" t="e">
        <f>'Latin America and Caribbean'!F75+"n/&gt;!5%e"</f>
        <v>#VALUE!</v>
      </c>
      <c r="HS433" t="e">
        <f>'Latin America and Caribbean'!G75+"n/&gt;!5%f"</f>
        <v>#VALUE!</v>
      </c>
      <c r="HT433" t="e">
        <f>'Latin America and Caribbean'!H75+"n/&gt;!5%g"</f>
        <v>#VALUE!</v>
      </c>
      <c r="HU433" t="e">
        <f>'Latin America and Caribbean'!I75+"n/&gt;!5%h"</f>
        <v>#VALUE!</v>
      </c>
      <c r="HV433" t="e">
        <f>'Latin America and Caribbean'!A76+"n/&gt;!5%i"</f>
        <v>#VALUE!</v>
      </c>
      <c r="HW433" t="e">
        <f>'Latin America and Caribbean'!B76+"n/&gt;!5%j"</f>
        <v>#VALUE!</v>
      </c>
      <c r="HX433" t="e">
        <f>'Latin America and Caribbean'!C76+"n/&gt;!5%k"</f>
        <v>#VALUE!</v>
      </c>
      <c r="HY433" t="e">
        <f>'Latin America and Caribbean'!D76+"n/&gt;!5%l"</f>
        <v>#VALUE!</v>
      </c>
      <c r="HZ433" t="e">
        <f>'Latin America and Caribbean'!E76+"n/&gt;!5%m"</f>
        <v>#VALUE!</v>
      </c>
      <c r="IA433" t="e">
        <f>'Latin America and Caribbean'!F76+"n/&gt;!5%n"</f>
        <v>#VALUE!</v>
      </c>
      <c r="IB433" t="e">
        <f>'Latin America and Caribbean'!G76+"n/&gt;!5%o"</f>
        <v>#VALUE!</v>
      </c>
      <c r="IC433" t="e">
        <f>'Latin America and Caribbean'!H76+"n/&gt;!5%p"</f>
        <v>#VALUE!</v>
      </c>
      <c r="ID433" t="e">
        <f>'Latin America and Caribbean'!I76+"n/&gt;!5%q"</f>
        <v>#VALUE!</v>
      </c>
      <c r="IE433" t="e">
        <f>'Latin America and Caribbean'!A77+"n/&gt;!5%r"</f>
        <v>#VALUE!</v>
      </c>
      <c r="IF433" t="e">
        <f>'Latin America and Caribbean'!B77+"n/&gt;!5%s"</f>
        <v>#VALUE!</v>
      </c>
      <c r="IG433" t="e">
        <f>'Latin America and Caribbean'!C77+"n/&gt;!5%t"</f>
        <v>#VALUE!</v>
      </c>
      <c r="IH433" t="e">
        <f>'Latin America and Caribbean'!D77+"n/&gt;!5%u"</f>
        <v>#VALUE!</v>
      </c>
      <c r="II433" t="e">
        <f>'Latin America and Caribbean'!E77+"n/&gt;!5%v"</f>
        <v>#VALUE!</v>
      </c>
      <c r="IJ433" t="e">
        <f>'Latin America and Caribbean'!F77+"n/&gt;!5%w"</f>
        <v>#VALUE!</v>
      </c>
      <c r="IK433" t="e">
        <f>'Latin America and Caribbean'!G77+"n/&gt;!5%x"</f>
        <v>#VALUE!</v>
      </c>
      <c r="IL433" t="e">
        <f>'Latin America and Caribbean'!H77+"n/&gt;!5%y"</f>
        <v>#VALUE!</v>
      </c>
      <c r="IM433" t="e">
        <f>'Latin America and Caribbean'!I77+"n/&gt;!5%z"</f>
        <v>#VALUE!</v>
      </c>
      <c r="IN433" t="e">
        <f>'Latin America and Caribbean'!A78+"n/&gt;!5%{"</f>
        <v>#VALUE!</v>
      </c>
      <c r="IO433" t="e">
        <f>'Latin America and Caribbean'!B78+"n/&gt;!5%|"</f>
        <v>#VALUE!</v>
      </c>
      <c r="IP433" t="e">
        <f>'Latin America and Caribbean'!C78+"n/&gt;!5%}"</f>
        <v>#VALUE!</v>
      </c>
      <c r="IQ433" t="e">
        <f>'Latin America and Caribbean'!D78+"n/&gt;!5%~"</f>
        <v>#VALUE!</v>
      </c>
      <c r="IR433" t="e">
        <f>'Latin America and Caribbean'!E78+"n/&gt;!5&amp;#"</f>
        <v>#VALUE!</v>
      </c>
      <c r="IS433" t="e">
        <f>'Latin America and Caribbean'!F78+"n/&gt;!5&amp;$"</f>
        <v>#VALUE!</v>
      </c>
      <c r="IT433" t="e">
        <f>'Latin America and Caribbean'!G78+"n/&gt;!5&amp;%"</f>
        <v>#VALUE!</v>
      </c>
      <c r="IU433" t="e">
        <f>'Latin America and Caribbean'!H78+"n/&gt;!5&amp;&amp;"</f>
        <v>#VALUE!</v>
      </c>
      <c r="IV433" t="e">
        <f>'Latin America and Caribbean'!I78+"n/&gt;!5&amp;'"</f>
        <v>#VALUE!</v>
      </c>
    </row>
    <row r="434" spans="6:256" x14ac:dyDescent="0.35">
      <c r="F434" t="e">
        <f>'Latin America and Caribbean'!A79+"n/&gt;!5&amp;("</f>
        <v>#VALUE!</v>
      </c>
      <c r="G434" t="e">
        <f>'Latin America and Caribbean'!B79+"n/&gt;!5&amp;)"</f>
        <v>#VALUE!</v>
      </c>
      <c r="H434" t="e">
        <f>'Latin America and Caribbean'!C79+"n/&gt;!5&amp;."</f>
        <v>#VALUE!</v>
      </c>
      <c r="I434" t="e">
        <f>'Latin America and Caribbean'!D79+"n/&gt;!5&amp;/"</f>
        <v>#VALUE!</v>
      </c>
      <c r="J434" t="e">
        <f>'Latin America and Caribbean'!E79+"n/&gt;!5&amp;0"</f>
        <v>#VALUE!</v>
      </c>
      <c r="K434" t="e">
        <f>'Latin America and Caribbean'!F79+"n/&gt;!5&amp;1"</f>
        <v>#VALUE!</v>
      </c>
      <c r="L434" t="e">
        <f>'Latin America and Caribbean'!G79+"n/&gt;!5&amp;2"</f>
        <v>#VALUE!</v>
      </c>
      <c r="M434" t="e">
        <f>'Latin America and Caribbean'!H79+"n/&gt;!5&amp;3"</f>
        <v>#VALUE!</v>
      </c>
      <c r="N434" t="e">
        <f>'Latin America and Caribbean'!I79+"n/&gt;!5&amp;4"</f>
        <v>#VALUE!</v>
      </c>
      <c r="O434" t="e">
        <f>'Latin America and Caribbean'!A80+"n/&gt;!5&amp;5"</f>
        <v>#VALUE!</v>
      </c>
      <c r="P434" t="e">
        <f>'Latin America and Caribbean'!B80+"n/&gt;!5&amp;6"</f>
        <v>#VALUE!</v>
      </c>
      <c r="Q434" t="e">
        <f>'Latin America and Caribbean'!C80+"n/&gt;!5&amp;7"</f>
        <v>#VALUE!</v>
      </c>
      <c r="R434" t="e">
        <f>'Latin America and Caribbean'!D80+"n/&gt;!5&amp;8"</f>
        <v>#VALUE!</v>
      </c>
      <c r="S434" t="e">
        <f>'Latin America and Caribbean'!E80+"n/&gt;!5&amp;9"</f>
        <v>#VALUE!</v>
      </c>
      <c r="T434" t="e">
        <f>'Latin America and Caribbean'!F80+"n/&gt;!5&amp;:"</f>
        <v>#VALUE!</v>
      </c>
      <c r="U434" t="e">
        <f>'Latin America and Caribbean'!G80+"n/&gt;!5&amp;;"</f>
        <v>#VALUE!</v>
      </c>
      <c r="V434" t="e">
        <f>'Latin America and Caribbean'!H80+"n/&gt;!5&amp;&lt;"</f>
        <v>#VALUE!</v>
      </c>
      <c r="W434" t="e">
        <f>'Latin America and Caribbean'!I80+"n/&gt;!5&amp;="</f>
        <v>#VALUE!</v>
      </c>
      <c r="X434" t="e">
        <f>'Latin America and Caribbean'!A81+"n/&gt;!5&amp;&gt;"</f>
        <v>#VALUE!</v>
      </c>
      <c r="Y434" t="e">
        <f>'Latin America and Caribbean'!B81+"n/&gt;!5&amp;?"</f>
        <v>#VALUE!</v>
      </c>
      <c r="Z434" t="e">
        <f>'Latin America and Caribbean'!C81+"n/&gt;!5&amp;@"</f>
        <v>#VALUE!</v>
      </c>
      <c r="AA434" t="e">
        <f>'Latin America and Caribbean'!D81+"n/&gt;!5&amp;A"</f>
        <v>#VALUE!</v>
      </c>
      <c r="AB434" t="e">
        <f>'Latin America and Caribbean'!E81+"n/&gt;!5&amp;B"</f>
        <v>#VALUE!</v>
      </c>
      <c r="AC434" t="e">
        <f>'Latin America and Caribbean'!F81+"n/&gt;!5&amp;C"</f>
        <v>#VALUE!</v>
      </c>
      <c r="AD434" t="e">
        <f>'Latin America and Caribbean'!G81+"n/&gt;!5&amp;D"</f>
        <v>#VALUE!</v>
      </c>
      <c r="AE434" t="e">
        <f>'Latin America and Caribbean'!H81+"n/&gt;!5&amp;E"</f>
        <v>#VALUE!</v>
      </c>
      <c r="AF434" t="e">
        <f>'Latin America and Caribbean'!I81+"n/&gt;!5&amp;F"</f>
        <v>#VALUE!</v>
      </c>
      <c r="AG434" t="e">
        <f>'Latin America and Caribbean'!A82+"n/&gt;!5&amp;G"</f>
        <v>#VALUE!</v>
      </c>
      <c r="AH434" t="e">
        <f>'Latin America and Caribbean'!B82+"n/&gt;!5&amp;H"</f>
        <v>#VALUE!</v>
      </c>
      <c r="AI434" t="e">
        <f>'Latin America and Caribbean'!C82+"n/&gt;!5&amp;I"</f>
        <v>#VALUE!</v>
      </c>
      <c r="AJ434" t="e">
        <f>'Latin America and Caribbean'!D82+"n/&gt;!5&amp;J"</f>
        <v>#VALUE!</v>
      </c>
      <c r="AK434" t="e">
        <f>'Latin America and Caribbean'!E82+"n/&gt;!5&amp;K"</f>
        <v>#VALUE!</v>
      </c>
      <c r="AL434" t="e">
        <f>'Latin America and Caribbean'!F82+"n/&gt;!5&amp;L"</f>
        <v>#VALUE!</v>
      </c>
      <c r="AM434" t="e">
        <f>'Latin America and Caribbean'!G82+"n/&gt;!5&amp;M"</f>
        <v>#VALUE!</v>
      </c>
      <c r="AN434" t="e">
        <f>'Latin America and Caribbean'!H82+"n/&gt;!5&amp;N"</f>
        <v>#VALUE!</v>
      </c>
      <c r="AO434" t="e">
        <f>'Latin America and Caribbean'!I82+"n/&gt;!5&amp;O"</f>
        <v>#VALUE!</v>
      </c>
      <c r="AP434" t="e">
        <f>'Latin America and Caribbean'!A83+"n/&gt;!5&amp;P"</f>
        <v>#VALUE!</v>
      </c>
      <c r="AQ434" t="e">
        <f>'Latin America and Caribbean'!B83+"n/&gt;!5&amp;Q"</f>
        <v>#VALUE!</v>
      </c>
      <c r="AR434" t="e">
        <f>'Latin America and Caribbean'!C83+"n/&gt;!5&amp;R"</f>
        <v>#VALUE!</v>
      </c>
      <c r="AS434" t="e">
        <f>'Latin America and Caribbean'!D83+"n/&gt;!5&amp;S"</f>
        <v>#VALUE!</v>
      </c>
      <c r="AT434" t="e">
        <f>'Latin America and Caribbean'!E83+"n/&gt;!5&amp;T"</f>
        <v>#VALUE!</v>
      </c>
      <c r="AU434" t="e">
        <f>'Latin America and Caribbean'!F83+"n/&gt;!5&amp;U"</f>
        <v>#VALUE!</v>
      </c>
      <c r="AV434" t="e">
        <f>'Latin America and Caribbean'!G83+"n/&gt;!5&amp;V"</f>
        <v>#VALUE!</v>
      </c>
      <c r="AW434" t="e">
        <f>'Latin America and Caribbean'!H83+"n/&gt;!5&amp;W"</f>
        <v>#VALUE!</v>
      </c>
      <c r="AX434" t="e">
        <f>'Latin America and Caribbean'!I83+"n/&gt;!5&amp;X"</f>
        <v>#VALUE!</v>
      </c>
      <c r="AY434" t="e">
        <f>'Latin America and Caribbean'!A84+"n/&gt;!5&amp;Y"</f>
        <v>#VALUE!</v>
      </c>
      <c r="AZ434" t="e">
        <f>'Latin America and Caribbean'!B84+"n/&gt;!5&amp;Z"</f>
        <v>#VALUE!</v>
      </c>
      <c r="BA434" t="e">
        <f>'Latin America and Caribbean'!C84+"n/&gt;!5&amp;["</f>
        <v>#VALUE!</v>
      </c>
      <c r="BB434" t="e">
        <f>'Latin America and Caribbean'!D84+"n/&gt;!5&amp;\"</f>
        <v>#VALUE!</v>
      </c>
      <c r="BC434" t="e">
        <f>'Latin America and Caribbean'!E84+"n/&gt;!5&amp;]"</f>
        <v>#VALUE!</v>
      </c>
      <c r="BD434" t="e">
        <f>'Latin America and Caribbean'!F84+"n/&gt;!5&amp;^"</f>
        <v>#VALUE!</v>
      </c>
      <c r="BE434" t="e">
        <f>'Latin America and Caribbean'!G84+"n/&gt;!5&amp;_"</f>
        <v>#VALUE!</v>
      </c>
      <c r="BF434" t="e">
        <f>'Latin America and Caribbean'!H84+"n/&gt;!5&amp;`"</f>
        <v>#VALUE!</v>
      </c>
      <c r="BG434" t="e">
        <f>'Latin America and Caribbean'!I84+"n/&gt;!5&amp;a"</f>
        <v>#VALUE!</v>
      </c>
      <c r="BH434" t="e">
        <f>'Latin America and Caribbean'!A85+"n/&gt;!5&amp;b"</f>
        <v>#VALUE!</v>
      </c>
      <c r="BI434" t="e">
        <f>'Latin America and Caribbean'!B85+"n/&gt;!5&amp;c"</f>
        <v>#VALUE!</v>
      </c>
      <c r="BJ434" t="e">
        <f>'Latin America and Caribbean'!C85+"n/&gt;!5&amp;d"</f>
        <v>#VALUE!</v>
      </c>
      <c r="BK434" t="e">
        <f>'Latin America and Caribbean'!D85+"n/&gt;!5&amp;e"</f>
        <v>#VALUE!</v>
      </c>
      <c r="BL434" t="e">
        <f>'Latin America and Caribbean'!E85+"n/&gt;!5&amp;f"</f>
        <v>#VALUE!</v>
      </c>
      <c r="BM434" t="e">
        <f>'Latin America and Caribbean'!F85+"n/&gt;!5&amp;g"</f>
        <v>#VALUE!</v>
      </c>
      <c r="BN434" t="e">
        <f>'Latin America and Caribbean'!G85+"n/&gt;!5&amp;h"</f>
        <v>#VALUE!</v>
      </c>
      <c r="BO434" t="e">
        <f>'Latin America and Caribbean'!H85+"n/&gt;!5&amp;i"</f>
        <v>#VALUE!</v>
      </c>
      <c r="BP434" t="e">
        <f>'Latin America and Caribbean'!I85+"n/&gt;!5&amp;j"</f>
        <v>#VALUE!</v>
      </c>
      <c r="BQ434" t="e">
        <f>'Latin America and Caribbean'!A86+"n/&gt;!5&amp;k"</f>
        <v>#VALUE!</v>
      </c>
      <c r="BR434" t="e">
        <f>'Latin America and Caribbean'!B86+"n/&gt;!5&amp;l"</f>
        <v>#VALUE!</v>
      </c>
      <c r="BS434" t="e">
        <f>'Latin America and Caribbean'!C86+"n/&gt;!5&amp;m"</f>
        <v>#VALUE!</v>
      </c>
      <c r="BT434" t="e">
        <f>'Latin America and Caribbean'!D86+"n/&gt;!5&amp;n"</f>
        <v>#VALUE!</v>
      </c>
      <c r="BU434" t="e">
        <f>'Latin America and Caribbean'!E86+"n/&gt;!5&amp;o"</f>
        <v>#VALUE!</v>
      </c>
      <c r="BV434" t="e">
        <f>'Latin America and Caribbean'!F86+"n/&gt;!5&amp;p"</f>
        <v>#VALUE!</v>
      </c>
      <c r="BW434" t="e">
        <f>'Latin America and Caribbean'!G86+"n/&gt;!5&amp;q"</f>
        <v>#VALUE!</v>
      </c>
      <c r="BX434" t="e">
        <f>'Latin America and Caribbean'!H86+"n/&gt;!5&amp;r"</f>
        <v>#VALUE!</v>
      </c>
      <c r="BY434" t="e">
        <f>'Latin America and Caribbean'!I86+"n/&gt;!5&amp;s"</f>
        <v>#VALUE!</v>
      </c>
      <c r="BZ434" t="e">
        <f>'Latin America and Caribbean'!A87+"n/&gt;!5&amp;t"</f>
        <v>#VALUE!</v>
      </c>
      <c r="CA434" t="e">
        <f>'Latin America and Caribbean'!B87+"n/&gt;!5&amp;u"</f>
        <v>#VALUE!</v>
      </c>
      <c r="CB434" t="e">
        <f>'Latin America and Caribbean'!C87+"n/&gt;!5&amp;v"</f>
        <v>#VALUE!</v>
      </c>
      <c r="CC434" t="e">
        <f>'Latin America and Caribbean'!D87+"n/&gt;!5&amp;w"</f>
        <v>#VALUE!</v>
      </c>
      <c r="CD434" t="e">
        <f>'Latin America and Caribbean'!E87+"n/&gt;!5&amp;x"</f>
        <v>#VALUE!</v>
      </c>
      <c r="CE434" t="e">
        <f>'Latin America and Caribbean'!F87+"n/&gt;!5&amp;y"</f>
        <v>#VALUE!</v>
      </c>
      <c r="CF434" t="e">
        <f>'Latin America and Caribbean'!G87+"n/&gt;!5&amp;z"</f>
        <v>#VALUE!</v>
      </c>
      <c r="CG434" t="e">
        <f>'Latin America and Caribbean'!H87+"n/&gt;!5&amp;{"</f>
        <v>#VALUE!</v>
      </c>
      <c r="CH434" t="e">
        <f>'Latin America and Caribbean'!I87+"n/&gt;!5&amp;|"</f>
        <v>#VALUE!</v>
      </c>
      <c r="CI434" t="e">
        <f>'Latin America and Caribbean'!A88+"n/&gt;!5&amp;}"</f>
        <v>#VALUE!</v>
      </c>
      <c r="CJ434" t="e">
        <f>'Latin America and Caribbean'!B88+"n/&gt;!5&amp;~"</f>
        <v>#VALUE!</v>
      </c>
      <c r="CK434" t="e">
        <f>'Latin America and Caribbean'!C88+"n/&gt;!5'#"</f>
        <v>#VALUE!</v>
      </c>
      <c r="CL434" t="e">
        <f>'Latin America and Caribbean'!D88+"n/&gt;!5'$"</f>
        <v>#VALUE!</v>
      </c>
      <c r="CM434" t="e">
        <f>'Latin America and Caribbean'!E88+"n/&gt;!5'%"</f>
        <v>#VALUE!</v>
      </c>
      <c r="CN434" t="e">
        <f>'Latin America and Caribbean'!F88+"n/&gt;!5'&amp;"</f>
        <v>#VALUE!</v>
      </c>
      <c r="CO434" t="e">
        <f>'Latin America and Caribbean'!G88+"n/&gt;!5''"</f>
        <v>#VALUE!</v>
      </c>
      <c r="CP434" t="e">
        <f>'Latin America and Caribbean'!H88+"n/&gt;!5'("</f>
        <v>#VALUE!</v>
      </c>
      <c r="CQ434" t="e">
        <f>'Latin America and Caribbean'!I88+"n/&gt;!5')"</f>
        <v>#VALUE!</v>
      </c>
      <c r="CR434" t="e">
        <f>'Latin America and Caribbean'!A89+"n/&gt;!5'."</f>
        <v>#VALUE!</v>
      </c>
      <c r="CS434" t="e">
        <f>'Latin America and Caribbean'!B89+"n/&gt;!5'/"</f>
        <v>#VALUE!</v>
      </c>
      <c r="CT434" t="e">
        <f>'Latin America and Caribbean'!C89+"n/&gt;!5'0"</f>
        <v>#VALUE!</v>
      </c>
      <c r="CU434" t="e">
        <f>'Latin America and Caribbean'!D89+"n/&gt;!5'1"</f>
        <v>#VALUE!</v>
      </c>
      <c r="CV434" t="e">
        <f>'Latin America and Caribbean'!E89+"n/&gt;!5'2"</f>
        <v>#VALUE!</v>
      </c>
      <c r="CW434" t="e">
        <f>'Latin America and Caribbean'!F89+"n/&gt;!5'3"</f>
        <v>#VALUE!</v>
      </c>
      <c r="CX434" t="e">
        <f>'Latin America and Caribbean'!G89+"n/&gt;!5'4"</f>
        <v>#VALUE!</v>
      </c>
      <c r="CY434" t="e">
        <f>'Latin America and Caribbean'!H89+"n/&gt;!5'5"</f>
        <v>#VALUE!</v>
      </c>
      <c r="CZ434" t="e">
        <f>'Latin America and Caribbean'!I89+"n/&gt;!5'6"</f>
        <v>#VALUE!</v>
      </c>
      <c r="DA434" t="e">
        <f>'Latin America and Caribbean'!A90+"n/&gt;!5'7"</f>
        <v>#VALUE!</v>
      </c>
      <c r="DB434" t="e">
        <f>'Latin America and Caribbean'!B90+"n/&gt;!5'8"</f>
        <v>#VALUE!</v>
      </c>
      <c r="DC434" t="e">
        <f>'Latin America and Caribbean'!C90+"n/&gt;!5'9"</f>
        <v>#VALUE!</v>
      </c>
      <c r="DD434" t="e">
        <f>'Latin America and Caribbean'!D90+"n/&gt;!5':"</f>
        <v>#VALUE!</v>
      </c>
      <c r="DE434" t="e">
        <f>'Latin America and Caribbean'!E90+"n/&gt;!5';"</f>
        <v>#VALUE!</v>
      </c>
      <c r="DF434" t="e">
        <f>'Latin America and Caribbean'!F90+"n/&gt;!5'&lt;"</f>
        <v>#VALUE!</v>
      </c>
      <c r="DG434" t="e">
        <f>'Latin America and Caribbean'!G90+"n/&gt;!5'="</f>
        <v>#VALUE!</v>
      </c>
      <c r="DH434" t="e">
        <f>'Latin America and Caribbean'!H90+"n/&gt;!5'&gt;"</f>
        <v>#VALUE!</v>
      </c>
      <c r="DI434" t="e">
        <f>'Latin America and Caribbean'!I90+"n/&gt;!5'?"</f>
        <v>#VALUE!</v>
      </c>
      <c r="DJ434" t="e">
        <f>'Latin America and Caribbean'!A91+"n/&gt;!5'@"</f>
        <v>#VALUE!</v>
      </c>
      <c r="DK434" t="e">
        <f>'Latin America and Caribbean'!B91+"n/&gt;!5'A"</f>
        <v>#VALUE!</v>
      </c>
      <c r="DL434" t="e">
        <f>'Latin America and Caribbean'!C91+"n/&gt;!5'B"</f>
        <v>#VALUE!</v>
      </c>
      <c r="DM434" t="e">
        <f>'Latin America and Caribbean'!D91+"n/&gt;!5'C"</f>
        <v>#VALUE!</v>
      </c>
      <c r="DN434" t="e">
        <f>'Latin America and Caribbean'!E91+"n/&gt;!5'D"</f>
        <v>#VALUE!</v>
      </c>
      <c r="DO434" t="e">
        <f>'Latin America and Caribbean'!F91+"n/&gt;!5'E"</f>
        <v>#VALUE!</v>
      </c>
      <c r="DP434" t="e">
        <f>'Latin America and Caribbean'!G91+"n/&gt;!5'F"</f>
        <v>#VALUE!</v>
      </c>
      <c r="DQ434" t="e">
        <f>'Latin America and Caribbean'!H91+"n/&gt;!5'G"</f>
        <v>#VALUE!</v>
      </c>
      <c r="DR434" t="e">
        <f>'Latin America and Caribbean'!I91+"n/&gt;!5'H"</f>
        <v>#VALUE!</v>
      </c>
      <c r="DS434" t="e">
        <f>'Latin America and Caribbean'!A92+"n/&gt;!5'I"</f>
        <v>#VALUE!</v>
      </c>
      <c r="DT434" t="e">
        <f>'Latin America and Caribbean'!B92+"n/&gt;!5'J"</f>
        <v>#VALUE!</v>
      </c>
      <c r="DU434" t="e">
        <f>'Latin America and Caribbean'!C92+"n/&gt;!5'K"</f>
        <v>#VALUE!</v>
      </c>
      <c r="DV434" t="e">
        <f>'Latin America and Caribbean'!D92+"n/&gt;!5'L"</f>
        <v>#VALUE!</v>
      </c>
      <c r="DW434" t="e">
        <f>'Latin America and Caribbean'!E92+"n/&gt;!5'M"</f>
        <v>#VALUE!</v>
      </c>
      <c r="DX434" t="e">
        <f>'Latin America and Caribbean'!F92+"n/&gt;!5'N"</f>
        <v>#VALUE!</v>
      </c>
      <c r="DY434" t="e">
        <f>'Latin America and Caribbean'!G92+"n/&gt;!5'O"</f>
        <v>#VALUE!</v>
      </c>
      <c r="DZ434" t="e">
        <f>'Latin America and Caribbean'!H92+"n/&gt;!5'P"</f>
        <v>#VALUE!</v>
      </c>
      <c r="EA434" t="e">
        <f>'Latin America and Caribbean'!I92+"n/&gt;!5'Q"</f>
        <v>#VALUE!</v>
      </c>
      <c r="EB434" t="e">
        <f>'Latin America and Caribbean'!A93+"n/&gt;!5'R"</f>
        <v>#VALUE!</v>
      </c>
      <c r="EC434" t="e">
        <f>'Latin America and Caribbean'!B93+"n/&gt;!5'S"</f>
        <v>#VALUE!</v>
      </c>
      <c r="ED434" t="e">
        <f>'Latin America and Caribbean'!C93+"n/&gt;!5'T"</f>
        <v>#VALUE!</v>
      </c>
      <c r="EE434" t="e">
        <f>'Latin America and Caribbean'!D93+"n/&gt;!5'U"</f>
        <v>#VALUE!</v>
      </c>
      <c r="EF434" t="e">
        <f>'Latin America and Caribbean'!E93+"n/&gt;!5'V"</f>
        <v>#VALUE!</v>
      </c>
      <c r="EG434" t="e">
        <f>'Latin America and Caribbean'!F93+"n/&gt;!5'W"</f>
        <v>#VALUE!</v>
      </c>
      <c r="EH434" t="e">
        <f>'Latin America and Caribbean'!G93+"n/&gt;!5'X"</f>
        <v>#VALUE!</v>
      </c>
      <c r="EI434" t="e">
        <f>'Latin America and Caribbean'!H93+"n/&gt;!5'Y"</f>
        <v>#VALUE!</v>
      </c>
      <c r="EJ434" t="e">
        <f>'Latin America and Caribbean'!I93+"n/&gt;!5'Z"</f>
        <v>#VALUE!</v>
      </c>
      <c r="EK434" t="e">
        <f>'Latin America and Caribbean'!A94+"n/&gt;!5'["</f>
        <v>#VALUE!</v>
      </c>
      <c r="EL434" t="e">
        <f>'Latin America and Caribbean'!B94+"n/&gt;!5'\"</f>
        <v>#VALUE!</v>
      </c>
      <c r="EM434" t="e">
        <f>'Latin America and Caribbean'!C94+"n/&gt;!5']"</f>
        <v>#VALUE!</v>
      </c>
      <c r="EN434" t="e">
        <f>'Latin America and Caribbean'!D94+"n/&gt;!5'^"</f>
        <v>#VALUE!</v>
      </c>
      <c r="EO434" t="e">
        <f>'Latin America and Caribbean'!E94+"n/&gt;!5'_"</f>
        <v>#VALUE!</v>
      </c>
      <c r="EP434" t="e">
        <f>'Latin America and Caribbean'!F94+"n/&gt;!5'`"</f>
        <v>#VALUE!</v>
      </c>
      <c r="EQ434" t="e">
        <f>'Latin America and Caribbean'!G94+"n/&gt;!5'a"</f>
        <v>#VALUE!</v>
      </c>
      <c r="ER434" t="e">
        <f>'Latin America and Caribbean'!H94+"n/&gt;!5'b"</f>
        <v>#VALUE!</v>
      </c>
      <c r="ES434" t="e">
        <f>'Latin America and Caribbean'!I94+"n/&gt;!5'c"</f>
        <v>#VALUE!</v>
      </c>
      <c r="ET434" t="e">
        <f>'Latin America and Caribbean'!A95+"n/&gt;!5'd"</f>
        <v>#VALUE!</v>
      </c>
      <c r="EU434" t="e">
        <f>'Latin America and Caribbean'!B95+"n/&gt;!5'e"</f>
        <v>#VALUE!</v>
      </c>
      <c r="EV434" t="e">
        <f>'Latin America and Caribbean'!C95+"n/&gt;!5'f"</f>
        <v>#VALUE!</v>
      </c>
      <c r="EW434" t="e">
        <f>'Latin America and Caribbean'!D95+"n/&gt;!5'g"</f>
        <v>#VALUE!</v>
      </c>
      <c r="EX434" t="e">
        <f>'Latin America and Caribbean'!E95+"n/&gt;!5'h"</f>
        <v>#VALUE!</v>
      </c>
      <c r="EY434" t="e">
        <f>'Latin America and Caribbean'!F95+"n/&gt;!5'i"</f>
        <v>#VALUE!</v>
      </c>
      <c r="EZ434" t="e">
        <f>'Latin America and Caribbean'!G95+"n/&gt;!5'j"</f>
        <v>#VALUE!</v>
      </c>
      <c r="FA434" t="e">
        <f>'Latin America and Caribbean'!H95+"n/&gt;!5'k"</f>
        <v>#VALUE!</v>
      </c>
      <c r="FB434" t="e">
        <f>'Latin America and Caribbean'!I95+"n/&gt;!5'l"</f>
        <v>#VALUE!</v>
      </c>
      <c r="FC434" t="e">
        <f>'Latin America and Caribbean'!A96+"n/&gt;!5'm"</f>
        <v>#VALUE!</v>
      </c>
      <c r="FD434" t="e">
        <f>'Latin America and Caribbean'!B96+"n/&gt;!5'n"</f>
        <v>#VALUE!</v>
      </c>
      <c r="FE434" t="e">
        <f>'Latin America and Caribbean'!C96+"n/&gt;!5'o"</f>
        <v>#VALUE!</v>
      </c>
      <c r="FF434" t="e">
        <f>'Latin America and Caribbean'!D96+"n/&gt;!5'p"</f>
        <v>#VALUE!</v>
      </c>
      <c r="FG434" t="e">
        <f>'Latin America and Caribbean'!E96+"n/&gt;!5'q"</f>
        <v>#VALUE!</v>
      </c>
      <c r="FH434" t="e">
        <f>'Latin America and Caribbean'!F96+"n/&gt;!5'r"</f>
        <v>#VALUE!</v>
      </c>
      <c r="FI434" t="e">
        <f>'Latin America and Caribbean'!G96+"n/&gt;!5's"</f>
        <v>#VALUE!</v>
      </c>
      <c r="FJ434" t="e">
        <f>'Latin America and Caribbean'!H96+"n/&gt;!5't"</f>
        <v>#VALUE!</v>
      </c>
      <c r="FK434" t="e">
        <f>'Latin America and Caribbean'!I96+"n/&gt;!5'u"</f>
        <v>#VALUE!</v>
      </c>
      <c r="FL434" t="e">
        <f>'Latin America and Caribbean'!A97+"n/&gt;!5'v"</f>
        <v>#VALUE!</v>
      </c>
      <c r="FM434" t="e">
        <f>'Latin America and Caribbean'!B97+"n/&gt;!5'w"</f>
        <v>#VALUE!</v>
      </c>
      <c r="FN434" t="e">
        <f>'Latin America and Caribbean'!C97+"n/&gt;!5'x"</f>
        <v>#VALUE!</v>
      </c>
      <c r="FO434" t="e">
        <f>'Latin America and Caribbean'!D97+"n/&gt;!5'y"</f>
        <v>#VALUE!</v>
      </c>
      <c r="FP434" t="e">
        <f>'Latin America and Caribbean'!E97+"n/&gt;!5'z"</f>
        <v>#VALUE!</v>
      </c>
      <c r="FQ434" t="e">
        <f>'Latin America and Caribbean'!F97+"n/&gt;!5'{"</f>
        <v>#VALUE!</v>
      </c>
      <c r="FR434" t="e">
        <f>'Latin America and Caribbean'!G97+"n/&gt;!5'|"</f>
        <v>#VALUE!</v>
      </c>
      <c r="FS434" t="e">
        <f>'Latin America and Caribbean'!H97+"n/&gt;!5'}"</f>
        <v>#VALUE!</v>
      </c>
      <c r="FT434" t="e">
        <f>'Latin America and Caribbean'!I97+"n/&gt;!5'~"</f>
        <v>#VALUE!</v>
      </c>
      <c r="FU434" t="e">
        <f>'Latin America and Caribbean'!A98+"n/&gt;!5(#"</f>
        <v>#VALUE!</v>
      </c>
      <c r="FV434" t="e">
        <f>'Latin America and Caribbean'!B98+"n/&gt;!5($"</f>
        <v>#VALUE!</v>
      </c>
      <c r="FW434" t="e">
        <f>'Latin America and Caribbean'!C98+"n/&gt;!5(%"</f>
        <v>#VALUE!</v>
      </c>
      <c r="FX434" t="e">
        <f>'Latin America and Caribbean'!D98+"n/&gt;!5(&amp;"</f>
        <v>#VALUE!</v>
      </c>
      <c r="FY434" t="e">
        <f>'Latin America and Caribbean'!E98+"n/&gt;!5('"</f>
        <v>#VALUE!</v>
      </c>
      <c r="FZ434" t="e">
        <f>'Latin America and Caribbean'!F98+"n/&gt;!5(("</f>
        <v>#VALUE!</v>
      </c>
      <c r="GA434" t="e">
        <f>'Latin America and Caribbean'!G98+"n/&gt;!5()"</f>
        <v>#VALUE!</v>
      </c>
      <c r="GB434" t="e">
        <f>'Latin America and Caribbean'!H98+"n/&gt;!5(."</f>
        <v>#VALUE!</v>
      </c>
      <c r="GC434" t="e">
        <f>'Latin America and Caribbean'!I98+"n/&gt;!5(/"</f>
        <v>#VALUE!</v>
      </c>
      <c r="GD434" t="e">
        <f>'Latin America and Caribbean'!A99+"n/&gt;!5(0"</f>
        <v>#VALUE!</v>
      </c>
      <c r="GE434" t="e">
        <f>'Latin America and Caribbean'!B99+"n/&gt;!5(1"</f>
        <v>#VALUE!</v>
      </c>
      <c r="GF434" t="e">
        <f>'Latin America and Caribbean'!C99+"n/&gt;!5(2"</f>
        <v>#VALUE!</v>
      </c>
      <c r="GG434" t="e">
        <f>'Latin America and Caribbean'!D99+"n/&gt;!5(3"</f>
        <v>#VALUE!</v>
      </c>
      <c r="GH434" t="e">
        <f>'Latin America and Caribbean'!E99+"n/&gt;!5(4"</f>
        <v>#VALUE!</v>
      </c>
      <c r="GI434" t="e">
        <f>'Latin America and Caribbean'!F99+"n/&gt;!5(5"</f>
        <v>#VALUE!</v>
      </c>
      <c r="GJ434" t="e">
        <f>'Latin America and Caribbean'!G99+"n/&gt;!5(6"</f>
        <v>#VALUE!</v>
      </c>
      <c r="GK434" t="e">
        <f>'Latin America and Caribbean'!H99+"n/&gt;!5(7"</f>
        <v>#VALUE!</v>
      </c>
      <c r="GL434" t="e">
        <f>'Latin America and Caribbean'!I99+"n/&gt;!5(8"</f>
        <v>#VALUE!</v>
      </c>
      <c r="GM434" t="e">
        <f>'Latin America and Caribbean'!A100+"n/&gt;!5(9"</f>
        <v>#VALUE!</v>
      </c>
      <c r="GN434" t="e">
        <f>'Latin America and Caribbean'!B100+"n/&gt;!5(:"</f>
        <v>#VALUE!</v>
      </c>
      <c r="GO434" t="e">
        <f>'Latin America and Caribbean'!C100+"n/&gt;!5(;"</f>
        <v>#VALUE!</v>
      </c>
      <c r="GP434" t="e">
        <f>'Latin America and Caribbean'!D100+"n/&gt;!5(&lt;"</f>
        <v>#VALUE!</v>
      </c>
      <c r="GQ434" t="e">
        <f>'Latin America and Caribbean'!E100+"n/&gt;!5(="</f>
        <v>#VALUE!</v>
      </c>
      <c r="GR434" t="e">
        <f>'Latin America and Caribbean'!F100+"n/&gt;!5(&gt;"</f>
        <v>#VALUE!</v>
      </c>
      <c r="GS434" t="e">
        <f>'Latin America and Caribbean'!G100+"n/&gt;!5(?"</f>
        <v>#VALUE!</v>
      </c>
      <c r="GT434" t="e">
        <f>'Latin America and Caribbean'!H100+"n/&gt;!5(@"</f>
        <v>#VALUE!</v>
      </c>
      <c r="GU434" t="e">
        <f>'Latin America and Caribbean'!I100+"n/&gt;!5(A"</f>
        <v>#VALUE!</v>
      </c>
      <c r="GV434" t="e">
        <f>'Latin America and Caribbean'!A101+"n/&gt;!5(B"</f>
        <v>#VALUE!</v>
      </c>
      <c r="GW434" t="e">
        <f>'Latin America and Caribbean'!B101+"n/&gt;!5(C"</f>
        <v>#VALUE!</v>
      </c>
      <c r="GX434" t="e">
        <f>'Latin America and Caribbean'!C101+"n/&gt;!5(D"</f>
        <v>#VALUE!</v>
      </c>
      <c r="GY434" t="e">
        <f>'Latin America and Caribbean'!D101+"n/&gt;!5(E"</f>
        <v>#VALUE!</v>
      </c>
      <c r="GZ434" t="e">
        <f>'Latin America and Caribbean'!E101+"n/&gt;!5(F"</f>
        <v>#VALUE!</v>
      </c>
      <c r="HA434" t="e">
        <f>'Latin America and Caribbean'!F101+"n/&gt;!5(G"</f>
        <v>#VALUE!</v>
      </c>
      <c r="HB434" t="e">
        <f>'Latin America and Caribbean'!G101+"n/&gt;!5(H"</f>
        <v>#VALUE!</v>
      </c>
      <c r="HC434" t="e">
        <f>'Latin America and Caribbean'!H101+"n/&gt;!5(I"</f>
        <v>#VALUE!</v>
      </c>
      <c r="HD434" t="e">
        <f>'Latin America and Caribbean'!I101+"n/&gt;!5(J"</f>
        <v>#VALUE!</v>
      </c>
      <c r="HE434" t="e">
        <f>'Latin America and Caribbean'!A102+"n/&gt;!5(K"</f>
        <v>#VALUE!</v>
      </c>
      <c r="HF434" t="e">
        <f>'Latin America and Caribbean'!B102+"n/&gt;!5(L"</f>
        <v>#VALUE!</v>
      </c>
      <c r="HG434" t="e">
        <f>'Latin America and Caribbean'!C102+"n/&gt;!5(M"</f>
        <v>#VALUE!</v>
      </c>
      <c r="HH434" t="e">
        <f>'Latin America and Caribbean'!D102+"n/&gt;!5(N"</f>
        <v>#VALUE!</v>
      </c>
      <c r="HI434" t="e">
        <f>'Latin America and Caribbean'!E102+"n/&gt;!5(O"</f>
        <v>#VALUE!</v>
      </c>
      <c r="HJ434" t="e">
        <f>'Latin America and Caribbean'!F102+"n/&gt;!5(P"</f>
        <v>#VALUE!</v>
      </c>
      <c r="HK434" t="e">
        <f>'Latin America and Caribbean'!G102+"n/&gt;!5(Q"</f>
        <v>#VALUE!</v>
      </c>
      <c r="HL434" t="e">
        <f>'Latin America and Caribbean'!H102+"n/&gt;!5(R"</f>
        <v>#VALUE!</v>
      </c>
      <c r="HM434" t="e">
        <f>'Latin America and Caribbean'!I102+"n/&gt;!5(S"</f>
        <v>#VALUE!</v>
      </c>
      <c r="HN434" t="e">
        <f>'Latin America and Caribbean'!A103+"n/&gt;!5(T"</f>
        <v>#VALUE!</v>
      </c>
      <c r="HO434" t="e">
        <f>'Latin America and Caribbean'!B103+"n/&gt;!5(U"</f>
        <v>#VALUE!</v>
      </c>
      <c r="HP434" t="e">
        <f>'Latin America and Caribbean'!C103+"n/&gt;!5(V"</f>
        <v>#VALUE!</v>
      </c>
      <c r="HQ434" t="e">
        <f>'Latin America and Caribbean'!D103+"n/&gt;!5(W"</f>
        <v>#VALUE!</v>
      </c>
      <c r="HR434" t="e">
        <f>'Latin America and Caribbean'!E103+"n/&gt;!5(X"</f>
        <v>#VALUE!</v>
      </c>
      <c r="HS434" t="e">
        <f>'Latin America and Caribbean'!F103+"n/&gt;!5(Y"</f>
        <v>#VALUE!</v>
      </c>
      <c r="HT434" t="e">
        <f>'Latin America and Caribbean'!G103+"n/&gt;!5(Z"</f>
        <v>#VALUE!</v>
      </c>
      <c r="HU434" t="e">
        <f>'Latin America and Caribbean'!H103+"n/&gt;!5(["</f>
        <v>#VALUE!</v>
      </c>
      <c r="HV434" t="e">
        <f>'Latin America and Caribbean'!I103+"n/&gt;!5(\"</f>
        <v>#VALUE!</v>
      </c>
      <c r="HW434" t="e">
        <f>'Latin America and Caribbean'!A104+"n/&gt;!5(]"</f>
        <v>#VALUE!</v>
      </c>
      <c r="HX434" t="e">
        <f>'Latin America and Caribbean'!B104+"n/&gt;!5(^"</f>
        <v>#VALUE!</v>
      </c>
      <c r="HY434" t="e">
        <f>'Latin America and Caribbean'!C104+"n/&gt;!5(_"</f>
        <v>#VALUE!</v>
      </c>
      <c r="HZ434" t="e">
        <f>'Latin America and Caribbean'!D104+"n/&gt;!5(`"</f>
        <v>#VALUE!</v>
      </c>
      <c r="IA434" t="e">
        <f>'Latin America and Caribbean'!E104+"n/&gt;!5(a"</f>
        <v>#VALUE!</v>
      </c>
      <c r="IB434" t="e">
        <f>'Latin America and Caribbean'!F104+"n/&gt;!5(b"</f>
        <v>#VALUE!</v>
      </c>
      <c r="IC434" t="e">
        <f>'Latin America and Caribbean'!G104+"n/&gt;!5(c"</f>
        <v>#VALUE!</v>
      </c>
      <c r="ID434" t="e">
        <f>'Latin America and Caribbean'!H104+"n/&gt;!5(d"</f>
        <v>#VALUE!</v>
      </c>
      <c r="IE434" t="e">
        <f>'Latin America and Caribbean'!I104+"n/&gt;!5(e"</f>
        <v>#VALUE!</v>
      </c>
      <c r="IF434" t="e">
        <f>'Latin America and Caribbean'!A105+"n/&gt;!5(f"</f>
        <v>#VALUE!</v>
      </c>
      <c r="IG434" t="e">
        <f>'Latin America and Caribbean'!B105+"n/&gt;!5(g"</f>
        <v>#VALUE!</v>
      </c>
      <c r="IH434" t="e">
        <f>'Latin America and Caribbean'!C105+"n/&gt;!5(h"</f>
        <v>#VALUE!</v>
      </c>
      <c r="II434" t="e">
        <f>'Latin America and Caribbean'!D105+"n/&gt;!5(i"</f>
        <v>#VALUE!</v>
      </c>
      <c r="IJ434" t="e">
        <f>'Latin America and Caribbean'!E105+"n/&gt;!5(j"</f>
        <v>#VALUE!</v>
      </c>
      <c r="IK434" t="e">
        <f>'Latin America and Caribbean'!F105+"n/&gt;!5(k"</f>
        <v>#VALUE!</v>
      </c>
      <c r="IL434" t="e">
        <f>'Latin America and Caribbean'!G105+"n/&gt;!5(l"</f>
        <v>#VALUE!</v>
      </c>
      <c r="IM434" t="e">
        <f>'Latin America and Caribbean'!H105+"n/&gt;!5(m"</f>
        <v>#VALUE!</v>
      </c>
      <c r="IN434" t="e">
        <f>'Latin America and Caribbean'!I105+"n/&gt;!5(n"</f>
        <v>#VALUE!</v>
      </c>
      <c r="IO434" t="e">
        <f>'Latin America and Caribbean'!A106+"n/&gt;!5(o"</f>
        <v>#VALUE!</v>
      </c>
      <c r="IP434" t="e">
        <f>'Latin America and Caribbean'!B106+"n/&gt;!5(p"</f>
        <v>#VALUE!</v>
      </c>
      <c r="IQ434" t="e">
        <f>'Latin America and Caribbean'!C106+"n/&gt;!5(q"</f>
        <v>#VALUE!</v>
      </c>
      <c r="IR434" t="e">
        <f>'Latin America and Caribbean'!D106+"n/&gt;!5(r"</f>
        <v>#VALUE!</v>
      </c>
      <c r="IS434" t="e">
        <f>'Latin America and Caribbean'!E106+"n/&gt;!5(s"</f>
        <v>#VALUE!</v>
      </c>
      <c r="IT434" t="e">
        <f>'Latin America and Caribbean'!F106+"n/&gt;!5(t"</f>
        <v>#VALUE!</v>
      </c>
      <c r="IU434" t="e">
        <f>'Latin America and Caribbean'!G106+"n/&gt;!5(u"</f>
        <v>#VALUE!</v>
      </c>
      <c r="IV434" t="e">
        <f>'Latin America and Caribbean'!H106+"n/&gt;!5(v"</f>
        <v>#VALUE!</v>
      </c>
    </row>
    <row r="435" spans="6:256" x14ac:dyDescent="0.35">
      <c r="F435" t="e">
        <f>'Latin America and Caribbean'!I106+"n/&gt;!5(w"</f>
        <v>#VALUE!</v>
      </c>
      <c r="G435" t="e">
        <f>'Latin America and Caribbean'!A107+"n/&gt;!5(x"</f>
        <v>#VALUE!</v>
      </c>
      <c r="H435" t="e">
        <f>'Latin America and Caribbean'!B107+"n/&gt;!5(y"</f>
        <v>#VALUE!</v>
      </c>
      <c r="I435" t="e">
        <f>'Latin America and Caribbean'!C107+"n/&gt;!5(z"</f>
        <v>#VALUE!</v>
      </c>
      <c r="J435" t="e">
        <f>'Latin America and Caribbean'!D107+"n/&gt;!5({"</f>
        <v>#VALUE!</v>
      </c>
      <c r="K435" t="e">
        <f>'Latin America and Caribbean'!E107+"n/&gt;!5(|"</f>
        <v>#VALUE!</v>
      </c>
      <c r="L435" t="e">
        <f>'Latin America and Caribbean'!F107+"n/&gt;!5(}"</f>
        <v>#VALUE!</v>
      </c>
      <c r="M435" t="e">
        <f>'Latin America and Caribbean'!G107+"n/&gt;!5(~"</f>
        <v>#VALUE!</v>
      </c>
      <c r="N435" t="e">
        <f>'Latin America and Caribbean'!H107+"n/&gt;!5)#"</f>
        <v>#VALUE!</v>
      </c>
      <c r="O435" t="e">
        <f>'Latin America and Caribbean'!I107+"n/&gt;!5)$"</f>
        <v>#VALUE!</v>
      </c>
      <c r="P435" t="e">
        <f>'Latin America and Caribbean'!A108+"n/&gt;!5)%"</f>
        <v>#VALUE!</v>
      </c>
      <c r="Q435" t="e">
        <f>'Latin America and Caribbean'!B108+"n/&gt;!5)&amp;"</f>
        <v>#VALUE!</v>
      </c>
      <c r="R435" t="e">
        <f>'Latin America and Caribbean'!C108+"n/&gt;!5)'"</f>
        <v>#VALUE!</v>
      </c>
      <c r="S435" t="e">
        <f>'Latin America and Caribbean'!D108+"n/&gt;!5)("</f>
        <v>#VALUE!</v>
      </c>
      <c r="T435" t="e">
        <f>'Latin America and Caribbean'!E108+"n/&gt;!5))"</f>
        <v>#VALUE!</v>
      </c>
      <c r="U435" t="e">
        <f>'Latin America and Caribbean'!F108+"n/&gt;!5)."</f>
        <v>#VALUE!</v>
      </c>
      <c r="V435" t="e">
        <f>'Latin America and Caribbean'!G108+"n/&gt;!5)/"</f>
        <v>#VALUE!</v>
      </c>
      <c r="W435" t="e">
        <f>'Latin America and Caribbean'!H108+"n/&gt;!5)0"</f>
        <v>#VALUE!</v>
      </c>
      <c r="X435" t="e">
        <f>'Latin America and Caribbean'!I108+"n/&gt;!5)1"</f>
        <v>#VALUE!</v>
      </c>
      <c r="Y435" t="e">
        <f>'Latin America and Caribbean'!A109+"n/&gt;!5)2"</f>
        <v>#VALUE!</v>
      </c>
      <c r="Z435" t="e">
        <f>'Latin America and Caribbean'!B109+"n/&gt;!5)3"</f>
        <v>#VALUE!</v>
      </c>
      <c r="AA435" t="e">
        <f>'Latin America and Caribbean'!C109+"n/&gt;!5)4"</f>
        <v>#VALUE!</v>
      </c>
      <c r="AB435" t="e">
        <f>'Latin America and Caribbean'!D109+"n/&gt;!5)5"</f>
        <v>#VALUE!</v>
      </c>
      <c r="AC435" t="e">
        <f>'Latin America and Caribbean'!E109+"n/&gt;!5)6"</f>
        <v>#VALUE!</v>
      </c>
      <c r="AD435" t="e">
        <f>'Latin America and Caribbean'!F109+"n/&gt;!5)7"</f>
        <v>#VALUE!</v>
      </c>
      <c r="AE435" t="e">
        <f>'Latin America and Caribbean'!G109+"n/&gt;!5)8"</f>
        <v>#VALUE!</v>
      </c>
      <c r="AF435" t="e">
        <f>'Latin America and Caribbean'!H109+"n/&gt;!5)9"</f>
        <v>#VALUE!</v>
      </c>
      <c r="AG435" t="e">
        <f>'Latin America and Caribbean'!I109+"n/&gt;!5):"</f>
        <v>#VALUE!</v>
      </c>
      <c r="AH435" t="e">
        <f>'Latin America and Caribbean'!A110+"n/&gt;!5);"</f>
        <v>#VALUE!</v>
      </c>
      <c r="AI435" t="e">
        <f>'Latin America and Caribbean'!B110+"n/&gt;!5)&lt;"</f>
        <v>#VALUE!</v>
      </c>
      <c r="AJ435" t="e">
        <f>'Latin America and Caribbean'!C110+"n/&gt;!5)="</f>
        <v>#VALUE!</v>
      </c>
      <c r="AK435" t="e">
        <f>'Latin America and Caribbean'!D110+"n/&gt;!5)&gt;"</f>
        <v>#VALUE!</v>
      </c>
      <c r="AL435" t="e">
        <f>'Latin America and Caribbean'!E110+"n/&gt;!5)?"</f>
        <v>#VALUE!</v>
      </c>
      <c r="AM435" t="e">
        <f>'Latin America and Caribbean'!F110+"n/&gt;!5)@"</f>
        <v>#VALUE!</v>
      </c>
      <c r="AN435" t="e">
        <f>'Latin America and Caribbean'!G110+"n/&gt;!5)A"</f>
        <v>#VALUE!</v>
      </c>
      <c r="AO435" t="e">
        <f>'Latin America and Caribbean'!H110+"n/&gt;!5)B"</f>
        <v>#VALUE!</v>
      </c>
      <c r="AP435" t="e">
        <f>'Latin America and Caribbean'!I110+"n/&gt;!5)C"</f>
        <v>#VALUE!</v>
      </c>
      <c r="AQ435" t="e">
        <f>'Latin America and Caribbean'!A111+"n/&gt;!5)D"</f>
        <v>#VALUE!</v>
      </c>
      <c r="AR435" t="e">
        <f>'Latin America and Caribbean'!B111+"n/&gt;!5)E"</f>
        <v>#VALUE!</v>
      </c>
      <c r="AS435" t="e">
        <f>'Latin America and Caribbean'!C111+"n/&gt;!5)F"</f>
        <v>#VALUE!</v>
      </c>
      <c r="AT435" t="e">
        <f>'Latin America and Caribbean'!D111+"n/&gt;!5)G"</f>
        <v>#VALUE!</v>
      </c>
      <c r="AU435" t="e">
        <f>'Latin America and Caribbean'!E111+"n/&gt;!5)H"</f>
        <v>#VALUE!</v>
      </c>
      <c r="AV435" t="e">
        <f>'Latin America and Caribbean'!F111+"n/&gt;!5)I"</f>
        <v>#VALUE!</v>
      </c>
      <c r="AW435" t="e">
        <f>'Latin America and Caribbean'!G111+"n/&gt;!5)J"</f>
        <v>#VALUE!</v>
      </c>
      <c r="AX435" t="e">
        <f>'Latin America and Caribbean'!H111+"n/&gt;!5)K"</f>
        <v>#VALUE!</v>
      </c>
      <c r="AY435" t="e">
        <f>'Latin America and Caribbean'!I111+"n/&gt;!5)L"</f>
        <v>#VALUE!</v>
      </c>
      <c r="AZ435" t="e">
        <f>'Latin America and Caribbean'!A112+"n/&gt;!5)M"</f>
        <v>#VALUE!</v>
      </c>
      <c r="BA435" t="e">
        <f>'Latin America and Caribbean'!B112+"n/&gt;!5)N"</f>
        <v>#VALUE!</v>
      </c>
      <c r="BB435" t="e">
        <f>'Latin America and Caribbean'!C112+"n/&gt;!5)O"</f>
        <v>#VALUE!</v>
      </c>
      <c r="BC435" t="e">
        <f>'Latin America and Caribbean'!D112+"n/&gt;!5)P"</f>
        <v>#VALUE!</v>
      </c>
      <c r="BD435" t="e">
        <f>'Latin America and Caribbean'!E112+"n/&gt;!5)Q"</f>
        <v>#VALUE!</v>
      </c>
      <c r="BE435" t="e">
        <f>'Latin America and Caribbean'!F112+"n/&gt;!5)R"</f>
        <v>#VALUE!</v>
      </c>
      <c r="BF435" t="e">
        <f>'Latin America and Caribbean'!G112+"n/&gt;!5)S"</f>
        <v>#VALUE!</v>
      </c>
      <c r="BG435" t="e">
        <f>'Latin America and Caribbean'!H112+"n/&gt;!5)T"</f>
        <v>#VALUE!</v>
      </c>
      <c r="BH435" t="e">
        <f>'Latin America and Caribbean'!I112+"n/&gt;!5)U"</f>
        <v>#VALUE!</v>
      </c>
      <c r="BI435" t="e">
        <f>'Latin America and Caribbean'!A113+"n/&gt;!5)V"</f>
        <v>#VALUE!</v>
      </c>
      <c r="BJ435" t="e">
        <f>'Latin America and Caribbean'!B113+"n/&gt;!5)W"</f>
        <v>#VALUE!</v>
      </c>
      <c r="BK435" t="e">
        <f>'Latin America and Caribbean'!C113+"n/&gt;!5)X"</f>
        <v>#VALUE!</v>
      </c>
      <c r="BL435" t="e">
        <f>'Latin America and Caribbean'!D113+"n/&gt;!5)Y"</f>
        <v>#VALUE!</v>
      </c>
      <c r="BM435" t="e">
        <f>'Latin America and Caribbean'!E113+"n/&gt;!5)Z"</f>
        <v>#VALUE!</v>
      </c>
      <c r="BN435" t="e">
        <f>'Latin America and Caribbean'!F113+"n/&gt;!5)["</f>
        <v>#VALUE!</v>
      </c>
      <c r="BO435" t="e">
        <f>'Latin America and Caribbean'!G113+"n/&gt;!5)\"</f>
        <v>#VALUE!</v>
      </c>
      <c r="BP435" t="e">
        <f>'Latin America and Caribbean'!H113+"n/&gt;!5)]"</f>
        <v>#VALUE!</v>
      </c>
      <c r="BQ435" t="e">
        <f>'Latin America and Caribbean'!I113+"n/&gt;!5)^"</f>
        <v>#VALUE!</v>
      </c>
      <c r="BR435" t="e">
        <f>'Latin America and Caribbean'!A114+"n/&gt;!5)_"</f>
        <v>#VALUE!</v>
      </c>
      <c r="BS435" t="e">
        <f>'Latin America and Caribbean'!B114+"n/&gt;!5)`"</f>
        <v>#VALUE!</v>
      </c>
      <c r="BT435" t="e">
        <f>'Latin America and Caribbean'!C114+"n/&gt;!5)a"</f>
        <v>#VALUE!</v>
      </c>
      <c r="BU435" t="e">
        <f>'Latin America and Caribbean'!D114+"n/&gt;!5)b"</f>
        <v>#VALUE!</v>
      </c>
      <c r="BV435" t="e">
        <f>'Latin America and Caribbean'!E114+"n/&gt;!5)c"</f>
        <v>#VALUE!</v>
      </c>
      <c r="BW435" t="e">
        <f>'Latin America and Caribbean'!F114+"n/&gt;!5)d"</f>
        <v>#VALUE!</v>
      </c>
      <c r="BX435" t="e">
        <f>'Latin America and Caribbean'!G114+"n/&gt;!5)e"</f>
        <v>#VALUE!</v>
      </c>
      <c r="BY435" t="e">
        <f>'Latin America and Caribbean'!H114+"n/&gt;!5)f"</f>
        <v>#VALUE!</v>
      </c>
      <c r="BZ435" t="e">
        <f>'Latin America and Caribbean'!I114+"n/&gt;!5)g"</f>
        <v>#VALUE!</v>
      </c>
      <c r="CA435" t="e">
        <f>'Latin America and Caribbean'!A115+"n/&gt;!5)h"</f>
        <v>#VALUE!</v>
      </c>
      <c r="CB435" t="e">
        <f>'Latin America and Caribbean'!B115+"n/&gt;!5)i"</f>
        <v>#VALUE!</v>
      </c>
      <c r="CC435" t="e">
        <f>'Latin America and Caribbean'!C115+"n/&gt;!5)j"</f>
        <v>#VALUE!</v>
      </c>
      <c r="CD435" t="e">
        <f>'Latin America and Caribbean'!D115+"n/&gt;!5)k"</f>
        <v>#VALUE!</v>
      </c>
      <c r="CE435" t="e">
        <f>'Latin America and Caribbean'!E115+"n/&gt;!5)l"</f>
        <v>#VALUE!</v>
      </c>
      <c r="CF435" t="e">
        <f>'Latin America and Caribbean'!F115+"n/&gt;!5)m"</f>
        <v>#VALUE!</v>
      </c>
      <c r="CG435" t="e">
        <f>'Latin America and Caribbean'!G115+"n/&gt;!5)n"</f>
        <v>#VALUE!</v>
      </c>
      <c r="CH435" t="e">
        <f>'Latin America and Caribbean'!H115+"n/&gt;!5)o"</f>
        <v>#VALUE!</v>
      </c>
      <c r="CI435" t="e">
        <f>'Latin America and Caribbean'!I115+"n/&gt;!5)p"</f>
        <v>#VALUE!</v>
      </c>
      <c r="CJ435" t="e">
        <f>'Latin America and Caribbean'!A116+"n/&gt;!5)q"</f>
        <v>#VALUE!</v>
      </c>
      <c r="CK435" t="e">
        <f>'Latin America and Caribbean'!B116+"n/&gt;!5)r"</f>
        <v>#VALUE!</v>
      </c>
      <c r="CL435" t="e">
        <f>'Latin America and Caribbean'!C116+"n/&gt;!5)s"</f>
        <v>#VALUE!</v>
      </c>
      <c r="CM435" t="e">
        <f>'Latin America and Caribbean'!D116+"n/&gt;!5)t"</f>
        <v>#VALUE!</v>
      </c>
      <c r="CN435" t="e">
        <f>'Latin America and Caribbean'!E116+"n/&gt;!5)u"</f>
        <v>#VALUE!</v>
      </c>
      <c r="CO435" t="e">
        <f>'Latin America and Caribbean'!F116+"n/&gt;!5)v"</f>
        <v>#VALUE!</v>
      </c>
      <c r="CP435" t="e">
        <f>'Latin America and Caribbean'!G116+"n/&gt;!5)w"</f>
        <v>#VALUE!</v>
      </c>
      <c r="CQ435" t="e">
        <f>'Latin America and Caribbean'!H116+"n/&gt;!5)x"</f>
        <v>#VALUE!</v>
      </c>
      <c r="CR435" t="e">
        <f>'Latin America and Caribbean'!I116+"n/&gt;!5)y"</f>
        <v>#VALUE!</v>
      </c>
      <c r="CS435" t="e">
        <f>'Latin America and Caribbean'!A117+"n/&gt;!5)z"</f>
        <v>#VALUE!</v>
      </c>
      <c r="CT435" t="e">
        <f>'Latin America and Caribbean'!B117+"n/&gt;!5){"</f>
        <v>#VALUE!</v>
      </c>
      <c r="CU435" t="e">
        <f>'Latin America and Caribbean'!C117+"n/&gt;!5)|"</f>
        <v>#VALUE!</v>
      </c>
      <c r="CV435" t="e">
        <f>'Latin America and Caribbean'!D117+"n/&gt;!5)}"</f>
        <v>#VALUE!</v>
      </c>
      <c r="CW435" t="e">
        <f>'Latin America and Caribbean'!E117+"n/&gt;!5)~"</f>
        <v>#VALUE!</v>
      </c>
      <c r="CX435" t="e">
        <f>'Latin America and Caribbean'!F117+"n/&gt;!5.#"</f>
        <v>#VALUE!</v>
      </c>
      <c r="CY435" t="e">
        <f>'Latin America and Caribbean'!G117+"n/&gt;!5.$"</f>
        <v>#VALUE!</v>
      </c>
      <c r="CZ435" t="e">
        <f>'Latin America and Caribbean'!H117+"n/&gt;!5.%"</f>
        <v>#VALUE!</v>
      </c>
      <c r="DA435" t="e">
        <f>'Latin America and Caribbean'!I117+"n/&gt;!5.&amp;"</f>
        <v>#VALUE!</v>
      </c>
      <c r="DB435" t="e">
        <f>'Latin America and Caribbean'!A118+"n/&gt;!5.'"</f>
        <v>#VALUE!</v>
      </c>
      <c r="DC435" t="e">
        <f>'Latin America and Caribbean'!B118+"n/&gt;!5.("</f>
        <v>#VALUE!</v>
      </c>
      <c r="DD435" t="e">
        <f>'Latin America and Caribbean'!C118+"n/&gt;!5.)"</f>
        <v>#VALUE!</v>
      </c>
      <c r="DE435" t="e">
        <f>'Latin America and Caribbean'!D118+"n/&gt;!5.."</f>
        <v>#VALUE!</v>
      </c>
      <c r="DF435" t="e">
        <f>'Latin America and Caribbean'!E118+"n/&gt;!5./"</f>
        <v>#VALUE!</v>
      </c>
      <c r="DG435" t="e">
        <f>'Latin America and Caribbean'!F118+"n/&gt;!5.0"</f>
        <v>#VALUE!</v>
      </c>
      <c r="DH435" t="e">
        <f>'Latin America and Caribbean'!G118+"n/&gt;!5.1"</f>
        <v>#VALUE!</v>
      </c>
      <c r="DI435" t="e">
        <f>'Latin America and Caribbean'!H118+"n/&gt;!5.2"</f>
        <v>#VALUE!</v>
      </c>
      <c r="DJ435" t="e">
        <f>'Latin America and Caribbean'!I118+"n/&gt;!5.3"</f>
        <v>#VALUE!</v>
      </c>
      <c r="DK435" t="e">
        <f>'Latin America and Caribbean'!A119+"n/&gt;!5.4"</f>
        <v>#VALUE!</v>
      </c>
      <c r="DL435" t="e">
        <f>'Latin America and Caribbean'!B119+"n/&gt;!5.5"</f>
        <v>#VALUE!</v>
      </c>
      <c r="DM435" t="e">
        <f>'Latin America and Caribbean'!C119+"n/&gt;!5.6"</f>
        <v>#VALUE!</v>
      </c>
      <c r="DN435" t="e">
        <f>'Latin America and Caribbean'!D119+"n/&gt;!5.7"</f>
        <v>#VALUE!</v>
      </c>
      <c r="DO435" t="e">
        <f>'Latin America and Caribbean'!E119+"n/&gt;!5.8"</f>
        <v>#VALUE!</v>
      </c>
      <c r="DP435" t="e">
        <f>'Latin America and Caribbean'!F119+"n/&gt;!5.9"</f>
        <v>#VALUE!</v>
      </c>
      <c r="DQ435" t="e">
        <f>'Latin America and Caribbean'!G119+"n/&gt;!5.:"</f>
        <v>#VALUE!</v>
      </c>
      <c r="DR435" t="e">
        <f>'Latin America and Caribbean'!H119+"n/&gt;!5.;"</f>
        <v>#VALUE!</v>
      </c>
      <c r="DS435" t="e">
        <f>'Latin America and Caribbean'!I119+"n/&gt;!5.&lt;"</f>
        <v>#VALUE!</v>
      </c>
      <c r="DT435" t="e">
        <f>'Latin America and Caribbean'!A120+"n/&gt;!5.="</f>
        <v>#VALUE!</v>
      </c>
      <c r="DU435" t="e">
        <f>'Latin America and Caribbean'!B120+"n/&gt;!5.&gt;"</f>
        <v>#VALUE!</v>
      </c>
      <c r="DV435" t="e">
        <f>'Latin America and Caribbean'!C120+"n/&gt;!5.?"</f>
        <v>#VALUE!</v>
      </c>
      <c r="DW435" t="e">
        <f>'Latin America and Caribbean'!D120+"n/&gt;!5.@"</f>
        <v>#VALUE!</v>
      </c>
      <c r="DX435" t="e">
        <f>'Latin America and Caribbean'!E120+"n/&gt;!5.A"</f>
        <v>#VALUE!</v>
      </c>
      <c r="DY435" t="e">
        <f>'Latin America and Caribbean'!F120+"n/&gt;!5.B"</f>
        <v>#VALUE!</v>
      </c>
      <c r="DZ435" t="e">
        <f>'Latin America and Caribbean'!G120+"n/&gt;!5.C"</f>
        <v>#VALUE!</v>
      </c>
      <c r="EA435" t="e">
        <f>'Latin America and Caribbean'!H120+"n/&gt;!5.D"</f>
        <v>#VALUE!</v>
      </c>
      <c r="EB435" t="e">
        <f>'Latin America and Caribbean'!I120+"n/&gt;!5.E"</f>
        <v>#VALUE!</v>
      </c>
      <c r="EC435" t="e">
        <f>'Latin America and Caribbean'!A121+"n/&gt;!5.F"</f>
        <v>#VALUE!</v>
      </c>
      <c r="ED435" t="e">
        <f>'Latin America and Caribbean'!B121+"n/&gt;!5.G"</f>
        <v>#VALUE!</v>
      </c>
      <c r="EE435" t="e">
        <f>'Latin America and Caribbean'!C121+"n/&gt;!5.H"</f>
        <v>#VALUE!</v>
      </c>
      <c r="EF435" t="e">
        <f>'Latin America and Caribbean'!D121+"n/&gt;!5.I"</f>
        <v>#VALUE!</v>
      </c>
      <c r="EG435" t="e">
        <f>'Latin America and Caribbean'!E121+"n/&gt;!5.J"</f>
        <v>#VALUE!</v>
      </c>
      <c r="EH435" t="e">
        <f>'Latin America and Caribbean'!F121+"n/&gt;!5.K"</f>
        <v>#VALUE!</v>
      </c>
      <c r="EI435" t="e">
        <f>'Latin America and Caribbean'!G121+"n/&gt;!5.L"</f>
        <v>#VALUE!</v>
      </c>
      <c r="EJ435" t="e">
        <f>'Latin America and Caribbean'!H121+"n/&gt;!5.M"</f>
        <v>#VALUE!</v>
      </c>
      <c r="EK435" t="e">
        <f>'Latin America and Caribbean'!I121+"n/&gt;!5.N"</f>
        <v>#VALUE!</v>
      </c>
      <c r="EL435" t="e">
        <f>'Latin America and Caribbean'!A122+"n/&gt;!5.O"</f>
        <v>#VALUE!</v>
      </c>
      <c r="EM435" t="e">
        <f>'Latin America and Caribbean'!B122+"n/&gt;!5.P"</f>
        <v>#VALUE!</v>
      </c>
      <c r="EN435" t="e">
        <f>'Latin America and Caribbean'!C122+"n/&gt;!5.Q"</f>
        <v>#VALUE!</v>
      </c>
      <c r="EO435" t="e">
        <f>'Latin America and Caribbean'!D122+"n/&gt;!5.R"</f>
        <v>#VALUE!</v>
      </c>
      <c r="EP435" t="e">
        <f>'Latin America and Caribbean'!E122+"n/&gt;!5.S"</f>
        <v>#VALUE!</v>
      </c>
      <c r="EQ435" t="e">
        <f>'Latin America and Caribbean'!F122+"n/&gt;!5.T"</f>
        <v>#VALUE!</v>
      </c>
      <c r="ER435" t="e">
        <f>'Latin America and Caribbean'!G122+"n/&gt;!5.U"</f>
        <v>#VALUE!</v>
      </c>
      <c r="ES435" t="e">
        <f>'Latin America and Caribbean'!H122+"n/&gt;!5.V"</f>
        <v>#VALUE!</v>
      </c>
      <c r="ET435" t="e">
        <f>'Latin America and Caribbean'!I122+"n/&gt;!5.W"</f>
        <v>#VALUE!</v>
      </c>
      <c r="EU435" t="e">
        <f>'Latin America and Caribbean'!A123+"n/&gt;!5.X"</f>
        <v>#VALUE!</v>
      </c>
      <c r="EV435" t="e">
        <f>'Latin America and Caribbean'!B123+"n/&gt;!5.Y"</f>
        <v>#VALUE!</v>
      </c>
      <c r="EW435" t="e">
        <f>'Latin America and Caribbean'!C123+"n/&gt;!5.Z"</f>
        <v>#VALUE!</v>
      </c>
      <c r="EX435" t="e">
        <f>'Latin America and Caribbean'!D123+"n/&gt;!5.["</f>
        <v>#VALUE!</v>
      </c>
      <c r="EY435" t="e">
        <f>'Latin America and Caribbean'!E123+"n/&gt;!5.\"</f>
        <v>#VALUE!</v>
      </c>
      <c r="EZ435" t="e">
        <f>'Latin America and Caribbean'!F123+"n/&gt;!5.]"</f>
        <v>#VALUE!</v>
      </c>
      <c r="FA435" t="e">
        <f>'Latin America and Caribbean'!G123+"n/&gt;!5.^"</f>
        <v>#VALUE!</v>
      </c>
      <c r="FB435" t="e">
        <f>'Latin America and Caribbean'!H123+"n/&gt;!5._"</f>
        <v>#VALUE!</v>
      </c>
      <c r="FC435" t="e">
        <f>'Latin America and Caribbean'!I123+"n/&gt;!5.`"</f>
        <v>#VALUE!</v>
      </c>
      <c r="FD435" t="e">
        <f>'Latin America and Caribbean'!A124+"n/&gt;!5.a"</f>
        <v>#VALUE!</v>
      </c>
      <c r="FE435" t="e">
        <f>'Latin America and Caribbean'!B124+"n/&gt;!5.b"</f>
        <v>#VALUE!</v>
      </c>
      <c r="FF435" t="e">
        <f>'Latin America and Caribbean'!C124+"n/&gt;!5.c"</f>
        <v>#VALUE!</v>
      </c>
      <c r="FG435" t="e">
        <f>'Latin America and Caribbean'!D124+"n/&gt;!5.d"</f>
        <v>#VALUE!</v>
      </c>
      <c r="FH435" t="e">
        <f>'Latin America and Caribbean'!E124+"n/&gt;!5.e"</f>
        <v>#VALUE!</v>
      </c>
      <c r="FI435" t="e">
        <f>'Latin America and Caribbean'!F124+"n/&gt;!5.f"</f>
        <v>#VALUE!</v>
      </c>
      <c r="FJ435" t="e">
        <f>'Latin America and Caribbean'!G124+"n/&gt;!5.g"</f>
        <v>#VALUE!</v>
      </c>
      <c r="FK435" t="e">
        <f>'Latin America and Caribbean'!H124+"n/&gt;!5.h"</f>
        <v>#VALUE!</v>
      </c>
      <c r="FL435" t="e">
        <f>'Latin America and Caribbean'!I124+"n/&gt;!5.i"</f>
        <v>#VALUE!</v>
      </c>
      <c r="FM435" t="e">
        <f>'Latin America and Caribbean'!A125+"n/&gt;!5.j"</f>
        <v>#VALUE!</v>
      </c>
      <c r="FN435" t="e">
        <f>'Latin America and Caribbean'!B125+"n/&gt;!5.k"</f>
        <v>#VALUE!</v>
      </c>
      <c r="FO435" t="e">
        <f>'Latin America and Caribbean'!C125+"n/&gt;!5.l"</f>
        <v>#VALUE!</v>
      </c>
      <c r="FP435" t="e">
        <f>'Latin America and Caribbean'!D125+"n/&gt;!5.m"</f>
        <v>#VALUE!</v>
      </c>
      <c r="FQ435" t="e">
        <f>'Latin America and Caribbean'!E125+"n/&gt;!5.n"</f>
        <v>#VALUE!</v>
      </c>
      <c r="FR435" t="e">
        <f>'Latin America and Caribbean'!F125+"n/&gt;!5.o"</f>
        <v>#VALUE!</v>
      </c>
      <c r="FS435" t="e">
        <f>'Latin America and Caribbean'!G125+"n/&gt;!5.p"</f>
        <v>#VALUE!</v>
      </c>
      <c r="FT435" t="e">
        <f>'Latin America and Caribbean'!H125+"n/&gt;!5.q"</f>
        <v>#VALUE!</v>
      </c>
      <c r="FU435" t="e">
        <f>'Latin America and Caribbean'!I125+"n/&gt;!5.r"</f>
        <v>#VALUE!</v>
      </c>
      <c r="FV435" t="e">
        <f>'Latin America and Caribbean'!A126+"n/&gt;!5.s"</f>
        <v>#VALUE!</v>
      </c>
      <c r="FW435" t="e">
        <f>'Latin America and Caribbean'!B126+"n/&gt;!5.t"</f>
        <v>#VALUE!</v>
      </c>
      <c r="FX435" t="e">
        <f>'Latin America and Caribbean'!C126+"n/&gt;!5.u"</f>
        <v>#VALUE!</v>
      </c>
      <c r="FY435" t="e">
        <f>'Latin America and Caribbean'!D126+"n/&gt;!5.v"</f>
        <v>#VALUE!</v>
      </c>
      <c r="FZ435" t="e">
        <f>'Latin America and Caribbean'!E126+"n/&gt;!5.w"</f>
        <v>#VALUE!</v>
      </c>
      <c r="GA435" t="e">
        <f>'Latin America and Caribbean'!F126+"n/&gt;!5.x"</f>
        <v>#VALUE!</v>
      </c>
      <c r="GB435" t="e">
        <f>'Latin America and Caribbean'!G126+"n/&gt;!5.y"</f>
        <v>#VALUE!</v>
      </c>
      <c r="GC435" t="e">
        <f>'Latin America and Caribbean'!H126+"n/&gt;!5.z"</f>
        <v>#VALUE!</v>
      </c>
      <c r="GD435" t="e">
        <f>'Latin America and Caribbean'!I126+"n/&gt;!5.{"</f>
        <v>#VALUE!</v>
      </c>
      <c r="GE435" t="e">
        <f>'Latin America and Caribbean'!A127+"n/&gt;!5.|"</f>
        <v>#VALUE!</v>
      </c>
      <c r="GF435" t="e">
        <f>'Latin America and Caribbean'!B127+"n/&gt;!5.}"</f>
        <v>#VALUE!</v>
      </c>
      <c r="GG435" t="e">
        <f>'Latin America and Caribbean'!C127+"n/&gt;!5.~"</f>
        <v>#VALUE!</v>
      </c>
      <c r="GH435" t="e">
        <f>'Latin America and Caribbean'!D127+"n/&gt;!5/#"</f>
        <v>#VALUE!</v>
      </c>
      <c r="GI435" t="e">
        <f>'Latin America and Caribbean'!E127+"n/&gt;!5/$"</f>
        <v>#VALUE!</v>
      </c>
      <c r="GJ435" t="e">
        <f>'Latin America and Caribbean'!F127+"n/&gt;!5/%"</f>
        <v>#VALUE!</v>
      </c>
      <c r="GK435" t="e">
        <f>'Latin America and Caribbean'!G127+"n/&gt;!5/&amp;"</f>
        <v>#VALUE!</v>
      </c>
      <c r="GL435" t="e">
        <f>'Latin America and Caribbean'!H127+"n/&gt;!5/'"</f>
        <v>#VALUE!</v>
      </c>
      <c r="GM435" t="e">
        <f>'Latin America and Caribbean'!I127+"n/&gt;!5/("</f>
        <v>#VALUE!</v>
      </c>
      <c r="GN435" t="e">
        <f>'Latin America and Caribbean'!A128+"n/&gt;!5/)"</f>
        <v>#VALUE!</v>
      </c>
      <c r="GO435" t="e">
        <f>'Latin America and Caribbean'!B128+"n/&gt;!5/."</f>
        <v>#VALUE!</v>
      </c>
      <c r="GP435" t="e">
        <f>'Latin America and Caribbean'!C128+"n/&gt;!5//"</f>
        <v>#VALUE!</v>
      </c>
      <c r="GQ435" t="e">
        <f>'Latin America and Caribbean'!D128+"n/&gt;!5/0"</f>
        <v>#VALUE!</v>
      </c>
      <c r="GR435" t="e">
        <f>'Latin America and Caribbean'!E128+"n/&gt;!5/1"</f>
        <v>#VALUE!</v>
      </c>
      <c r="GS435" t="e">
        <f>'Latin America and Caribbean'!F128+"n/&gt;!5/2"</f>
        <v>#VALUE!</v>
      </c>
      <c r="GT435" t="e">
        <f>'Latin America and Caribbean'!G128+"n/&gt;!5/3"</f>
        <v>#VALUE!</v>
      </c>
      <c r="GU435" t="e">
        <f>'Latin America and Caribbean'!H128+"n/&gt;!5/4"</f>
        <v>#VALUE!</v>
      </c>
      <c r="GV435" t="e">
        <f>'Latin America and Caribbean'!I128+"n/&gt;!5/5"</f>
        <v>#VALUE!</v>
      </c>
      <c r="GW435" t="e">
        <f>'Latin America and Caribbean'!A129+"n/&gt;!5/6"</f>
        <v>#VALUE!</v>
      </c>
      <c r="GX435" t="e">
        <f>'Latin America and Caribbean'!B129+"n/&gt;!5/7"</f>
        <v>#VALUE!</v>
      </c>
      <c r="GY435" t="e">
        <f>'Latin America and Caribbean'!C129+"n/&gt;!5/8"</f>
        <v>#VALUE!</v>
      </c>
      <c r="GZ435" t="e">
        <f>'Latin America and Caribbean'!D129+"n/&gt;!5/9"</f>
        <v>#VALUE!</v>
      </c>
      <c r="HA435" t="e">
        <f>'Latin America and Caribbean'!E129+"n/&gt;!5/:"</f>
        <v>#VALUE!</v>
      </c>
      <c r="HB435" t="e">
        <f>'Latin America and Caribbean'!F129+"n/&gt;!5/;"</f>
        <v>#VALUE!</v>
      </c>
      <c r="HC435" t="e">
        <f>'Latin America and Caribbean'!G129+"n/&gt;!5/&lt;"</f>
        <v>#VALUE!</v>
      </c>
      <c r="HD435" t="e">
        <f>'Latin America and Caribbean'!H129+"n/&gt;!5/="</f>
        <v>#VALUE!</v>
      </c>
      <c r="HE435" t="e">
        <f>'Latin America and Caribbean'!I129+"n/&gt;!5/&gt;"</f>
        <v>#VALUE!</v>
      </c>
      <c r="HF435" t="e">
        <f>'Latin America and Caribbean'!A130+"n/&gt;!5/?"</f>
        <v>#VALUE!</v>
      </c>
      <c r="HG435" t="e">
        <f>'Latin America and Caribbean'!B130+"n/&gt;!5/@"</f>
        <v>#VALUE!</v>
      </c>
      <c r="HH435" t="e">
        <f>'Latin America and Caribbean'!C130+"n/&gt;!5/A"</f>
        <v>#VALUE!</v>
      </c>
      <c r="HI435" t="e">
        <f>'Latin America and Caribbean'!D130+"n/&gt;!5/B"</f>
        <v>#VALUE!</v>
      </c>
      <c r="HJ435" t="e">
        <f>'Latin America and Caribbean'!E130+"n/&gt;!5/C"</f>
        <v>#VALUE!</v>
      </c>
      <c r="HK435" t="e">
        <f>'Latin America and Caribbean'!F130+"n/&gt;!5/D"</f>
        <v>#VALUE!</v>
      </c>
      <c r="HL435" t="e">
        <f>'Latin America and Caribbean'!G130+"n/&gt;!5/E"</f>
        <v>#VALUE!</v>
      </c>
      <c r="HM435" t="e">
        <f>'Latin America and Caribbean'!H130+"n/&gt;!5/F"</f>
        <v>#VALUE!</v>
      </c>
      <c r="HN435" t="e">
        <f>'Latin America and Caribbean'!I130+"n/&gt;!5/G"</f>
        <v>#VALUE!</v>
      </c>
      <c r="HO435" t="e">
        <f>'Latin America and Caribbean'!A131+"n/&gt;!5/H"</f>
        <v>#VALUE!</v>
      </c>
      <c r="HP435" t="e">
        <f>'Latin America and Caribbean'!B131+"n/&gt;!5/I"</f>
        <v>#VALUE!</v>
      </c>
      <c r="HQ435" t="e">
        <f>'Latin America and Caribbean'!C131+"n/&gt;!5/J"</f>
        <v>#VALUE!</v>
      </c>
      <c r="HR435" t="e">
        <f>'Latin America and Caribbean'!D131+"n/&gt;!5/K"</f>
        <v>#VALUE!</v>
      </c>
      <c r="HS435" t="e">
        <f>'Latin America and Caribbean'!E131+"n/&gt;!5/L"</f>
        <v>#VALUE!</v>
      </c>
      <c r="HT435" t="e">
        <f>'Latin America and Caribbean'!F131+"n/&gt;!5/M"</f>
        <v>#VALUE!</v>
      </c>
      <c r="HU435" t="e">
        <f>'Latin America and Caribbean'!G131+"n/&gt;!5/N"</f>
        <v>#VALUE!</v>
      </c>
      <c r="HV435" t="e">
        <f>'Latin America and Caribbean'!H131+"n/&gt;!5/O"</f>
        <v>#VALUE!</v>
      </c>
      <c r="HW435" t="e">
        <f>'Latin America and Caribbean'!I131+"n/&gt;!5/P"</f>
        <v>#VALUE!</v>
      </c>
      <c r="HX435" t="e">
        <f>'Latin America and Caribbean'!A132+"n/&gt;!5/Q"</f>
        <v>#VALUE!</v>
      </c>
      <c r="HY435" t="e">
        <f>'Latin America and Caribbean'!B132+"n/&gt;!5/R"</f>
        <v>#VALUE!</v>
      </c>
      <c r="HZ435" t="e">
        <f>'Latin America and Caribbean'!C132+"n/&gt;!5/S"</f>
        <v>#VALUE!</v>
      </c>
      <c r="IA435" t="e">
        <f>'Latin America and Caribbean'!D132+"n/&gt;!5/T"</f>
        <v>#VALUE!</v>
      </c>
      <c r="IB435" t="e">
        <f>'Latin America and Caribbean'!E132+"n/&gt;!5/U"</f>
        <v>#VALUE!</v>
      </c>
      <c r="IC435" t="e">
        <f>'Latin America and Caribbean'!F132+"n/&gt;!5/V"</f>
        <v>#VALUE!</v>
      </c>
      <c r="ID435" t="e">
        <f>'Latin America and Caribbean'!G132+"n/&gt;!5/W"</f>
        <v>#VALUE!</v>
      </c>
      <c r="IE435" t="e">
        <f>'Latin America and Caribbean'!H132+"n/&gt;!5/X"</f>
        <v>#VALUE!</v>
      </c>
      <c r="IF435" t="e">
        <f>'Latin America and Caribbean'!I132+"n/&gt;!5/Y"</f>
        <v>#VALUE!</v>
      </c>
      <c r="IG435" t="e">
        <f>'Latin America and Caribbean'!A133+"n/&gt;!5/Z"</f>
        <v>#VALUE!</v>
      </c>
      <c r="IH435" t="e">
        <f>'Latin America and Caribbean'!B133+"n/&gt;!5/["</f>
        <v>#VALUE!</v>
      </c>
      <c r="II435" t="e">
        <f>'Latin America and Caribbean'!C133+"n/&gt;!5/\"</f>
        <v>#VALUE!</v>
      </c>
      <c r="IJ435" t="e">
        <f>'Latin America and Caribbean'!D133+"n/&gt;!5/]"</f>
        <v>#VALUE!</v>
      </c>
      <c r="IK435" t="e">
        <f>'Latin America and Caribbean'!E133+"n/&gt;!5/^"</f>
        <v>#VALUE!</v>
      </c>
      <c r="IL435" t="e">
        <f>'Latin America and Caribbean'!F133+"n/&gt;!5/_"</f>
        <v>#VALUE!</v>
      </c>
      <c r="IM435" t="e">
        <f>'Latin America and Caribbean'!G133+"n/&gt;!5/`"</f>
        <v>#VALUE!</v>
      </c>
      <c r="IN435" t="e">
        <f>'Latin America and Caribbean'!H133+"n/&gt;!5/a"</f>
        <v>#VALUE!</v>
      </c>
      <c r="IO435" t="e">
        <f>'Latin America and Caribbean'!I133+"n/&gt;!5/b"</f>
        <v>#VALUE!</v>
      </c>
      <c r="IP435" t="e">
        <f>'Latin America and Caribbean'!A134+"n/&gt;!5/c"</f>
        <v>#VALUE!</v>
      </c>
      <c r="IQ435" t="e">
        <f>'Latin America and Caribbean'!B134+"n/&gt;!5/d"</f>
        <v>#VALUE!</v>
      </c>
      <c r="IR435" t="e">
        <f>'Latin America and Caribbean'!C134+"n/&gt;!5/e"</f>
        <v>#VALUE!</v>
      </c>
      <c r="IS435" t="e">
        <f>'Latin America and Caribbean'!D134+"n/&gt;!5/f"</f>
        <v>#VALUE!</v>
      </c>
      <c r="IT435" t="e">
        <f>'Latin America and Caribbean'!E134+"n/&gt;!5/g"</f>
        <v>#VALUE!</v>
      </c>
      <c r="IU435" t="e">
        <f>'Latin America and Caribbean'!F134+"n/&gt;!5/h"</f>
        <v>#VALUE!</v>
      </c>
      <c r="IV435" t="e">
        <f>'Latin America and Caribbean'!G134+"n/&gt;!5/i"</f>
        <v>#VALUE!</v>
      </c>
    </row>
    <row r="436" spans="6:256" x14ac:dyDescent="0.35">
      <c r="F436" t="e">
        <f>'Latin America and Caribbean'!H134+"n/&gt;!5/j"</f>
        <v>#VALUE!</v>
      </c>
      <c r="G436" t="e">
        <f>'Latin America and Caribbean'!I134+"n/&gt;!5/k"</f>
        <v>#VALUE!</v>
      </c>
      <c r="H436" t="e">
        <f>'Latin America and Caribbean'!A135+"n/&gt;!5/l"</f>
        <v>#VALUE!</v>
      </c>
      <c r="I436" t="e">
        <f>'Latin America and Caribbean'!B135+"n/&gt;!5/m"</f>
        <v>#VALUE!</v>
      </c>
      <c r="J436" t="e">
        <f>'Latin America and Caribbean'!C135+"n/&gt;!5/n"</f>
        <v>#VALUE!</v>
      </c>
      <c r="K436" t="e">
        <f>'Latin America and Caribbean'!D135+"n/&gt;!5/o"</f>
        <v>#VALUE!</v>
      </c>
      <c r="L436" t="e">
        <f>'Latin America and Caribbean'!E135+"n/&gt;!5/p"</f>
        <v>#VALUE!</v>
      </c>
      <c r="M436" t="e">
        <f>'Latin America and Caribbean'!F135+"n/&gt;!5/q"</f>
        <v>#VALUE!</v>
      </c>
      <c r="N436" t="e">
        <f>'Latin America and Caribbean'!G135+"n/&gt;!5/r"</f>
        <v>#VALUE!</v>
      </c>
      <c r="O436" t="e">
        <f>'Latin America and Caribbean'!H135+"n/&gt;!5/s"</f>
        <v>#VALUE!</v>
      </c>
      <c r="P436" t="e">
        <f>'Latin America and Caribbean'!I135+"n/&gt;!5/t"</f>
        <v>#VALUE!</v>
      </c>
      <c r="Q436" t="e">
        <f>'Latin America and Caribbean'!A136+"n/&gt;!5/u"</f>
        <v>#VALUE!</v>
      </c>
      <c r="R436" t="e">
        <f>'Latin America and Caribbean'!B136+"n/&gt;!5/v"</f>
        <v>#VALUE!</v>
      </c>
      <c r="S436" t="e">
        <f>'Latin America and Caribbean'!C136+"n/&gt;!5/w"</f>
        <v>#VALUE!</v>
      </c>
      <c r="T436" t="e">
        <f>'Latin America and Caribbean'!D136+"n/&gt;!5/x"</f>
        <v>#VALUE!</v>
      </c>
      <c r="U436" t="e">
        <f>'Latin America and Caribbean'!E136+"n/&gt;!5/y"</f>
        <v>#VALUE!</v>
      </c>
      <c r="V436" t="e">
        <f>'Latin America and Caribbean'!F136+"n/&gt;!5/z"</f>
        <v>#VALUE!</v>
      </c>
      <c r="W436" t="e">
        <f>'Latin America and Caribbean'!G136+"n/&gt;!5/{"</f>
        <v>#VALUE!</v>
      </c>
      <c r="X436" t="e">
        <f>'Latin America and Caribbean'!H136+"n/&gt;!5/|"</f>
        <v>#VALUE!</v>
      </c>
      <c r="Y436" t="e">
        <f>'Latin America and Caribbean'!I136+"n/&gt;!5/}"</f>
        <v>#VALUE!</v>
      </c>
      <c r="Z436" t="e">
        <f>'Latin America and Caribbean'!A137+"n/&gt;!5/~"</f>
        <v>#VALUE!</v>
      </c>
      <c r="AA436" t="e">
        <f>'Latin America and Caribbean'!B137+"n/&gt;!50#"</f>
        <v>#VALUE!</v>
      </c>
      <c r="AB436" t="e">
        <f>'Latin America and Caribbean'!C137+"n/&gt;!50$"</f>
        <v>#VALUE!</v>
      </c>
      <c r="AC436" t="e">
        <f>'Latin America and Caribbean'!D137+"n/&gt;!50%"</f>
        <v>#VALUE!</v>
      </c>
      <c r="AD436" t="e">
        <f>'Latin America and Caribbean'!E137+"n/&gt;!50&amp;"</f>
        <v>#VALUE!</v>
      </c>
      <c r="AE436" t="e">
        <f>'Latin America and Caribbean'!F137+"n/&gt;!50'"</f>
        <v>#VALUE!</v>
      </c>
      <c r="AF436" t="e">
        <f>'Latin America and Caribbean'!G137+"n/&gt;!50("</f>
        <v>#VALUE!</v>
      </c>
      <c r="AG436" t="e">
        <f>'Latin America and Caribbean'!H137+"n/&gt;!50)"</f>
        <v>#VALUE!</v>
      </c>
      <c r="AH436" t="e">
        <f>'Latin America and Caribbean'!I137+"n/&gt;!50."</f>
        <v>#VALUE!</v>
      </c>
      <c r="AI436" t="e">
        <f>'Latin America and Caribbean'!A138+"n/&gt;!50/"</f>
        <v>#VALUE!</v>
      </c>
      <c r="AJ436" t="e">
        <f>'Latin America and Caribbean'!B138+"n/&gt;!500"</f>
        <v>#VALUE!</v>
      </c>
      <c r="AK436" t="e">
        <f>'Latin America and Caribbean'!C138+"n/&gt;!501"</f>
        <v>#VALUE!</v>
      </c>
      <c r="AL436" t="e">
        <f>'Latin America and Caribbean'!D138+"n/&gt;!502"</f>
        <v>#VALUE!</v>
      </c>
      <c r="AM436" t="e">
        <f>'Latin America and Caribbean'!E138+"n/&gt;!503"</f>
        <v>#VALUE!</v>
      </c>
      <c r="AN436" t="e">
        <f>'Latin America and Caribbean'!F138+"n/&gt;!504"</f>
        <v>#VALUE!</v>
      </c>
      <c r="AO436" t="e">
        <f>'Latin America and Caribbean'!G138+"n/&gt;!505"</f>
        <v>#VALUE!</v>
      </c>
      <c r="AP436" t="e">
        <f>'Latin America and Caribbean'!H138+"n/&gt;!506"</f>
        <v>#VALUE!</v>
      </c>
      <c r="AQ436" t="e">
        <f>'Latin America and Caribbean'!I138+"n/&gt;!507"</f>
        <v>#VALUE!</v>
      </c>
      <c r="AR436" t="e">
        <f>'Latin America and Caribbean'!A139+"n/&gt;!508"</f>
        <v>#VALUE!</v>
      </c>
      <c r="AS436" t="e">
        <f>'Latin America and Caribbean'!B139+"n/&gt;!509"</f>
        <v>#VALUE!</v>
      </c>
      <c r="AT436" t="e">
        <f>'Latin America and Caribbean'!C139+"n/&gt;!50:"</f>
        <v>#VALUE!</v>
      </c>
      <c r="AU436" t="e">
        <f>'Latin America and Caribbean'!D139+"n/&gt;!50;"</f>
        <v>#VALUE!</v>
      </c>
      <c r="AV436" t="e">
        <f>'Latin America and Caribbean'!E139+"n/&gt;!50&lt;"</f>
        <v>#VALUE!</v>
      </c>
      <c r="AW436" t="e">
        <f>'Latin America and Caribbean'!F139+"n/&gt;!50="</f>
        <v>#VALUE!</v>
      </c>
      <c r="AX436" t="e">
        <f>'Latin America and Caribbean'!G139+"n/&gt;!50&gt;"</f>
        <v>#VALUE!</v>
      </c>
      <c r="AY436" t="e">
        <f>'Latin America and Caribbean'!H139+"n/&gt;!50?"</f>
        <v>#VALUE!</v>
      </c>
      <c r="AZ436" t="e">
        <f>'Latin America and Caribbean'!I139+"n/&gt;!50@"</f>
        <v>#VALUE!</v>
      </c>
      <c r="BA436" t="e">
        <f>'Latin America and Caribbean'!A140+"n/&gt;!50A"</f>
        <v>#VALUE!</v>
      </c>
      <c r="BB436" t="e">
        <f>'Latin America and Caribbean'!B140+"n/&gt;!50B"</f>
        <v>#VALUE!</v>
      </c>
      <c r="BC436" t="e">
        <f>'Latin America and Caribbean'!C140+"n/&gt;!50C"</f>
        <v>#VALUE!</v>
      </c>
      <c r="BD436" t="e">
        <f>'Latin America and Caribbean'!D140+"n/&gt;!50D"</f>
        <v>#VALUE!</v>
      </c>
      <c r="BE436" t="e">
        <f>'Latin America and Caribbean'!E140+"n/&gt;!50E"</f>
        <v>#VALUE!</v>
      </c>
      <c r="BF436" t="e">
        <f>'Latin America and Caribbean'!F140+"n/&gt;!50F"</f>
        <v>#VALUE!</v>
      </c>
      <c r="BG436" t="e">
        <f>'Latin America and Caribbean'!G140+"n/&gt;!50G"</f>
        <v>#VALUE!</v>
      </c>
      <c r="BH436" t="e">
        <f>'Latin America and Caribbean'!H140+"n/&gt;!50H"</f>
        <v>#VALUE!</v>
      </c>
      <c r="BI436" t="e">
        <f>'Latin America and Caribbean'!I140+"n/&gt;!50I"</f>
        <v>#VALUE!</v>
      </c>
      <c r="BJ436" t="e">
        <f>'Latin America and Caribbean'!A141+"n/&gt;!50J"</f>
        <v>#VALUE!</v>
      </c>
      <c r="BK436" t="e">
        <f>'Latin America and Caribbean'!B141+"n/&gt;!50K"</f>
        <v>#VALUE!</v>
      </c>
      <c r="BL436" t="e">
        <f>'Latin America and Caribbean'!C141+"n/&gt;!50L"</f>
        <v>#VALUE!</v>
      </c>
      <c r="BM436" t="e">
        <f>'Latin America and Caribbean'!D141+"n/&gt;!50M"</f>
        <v>#VALUE!</v>
      </c>
      <c r="BN436" t="e">
        <f>'Latin America and Caribbean'!E141+"n/&gt;!50N"</f>
        <v>#VALUE!</v>
      </c>
      <c r="BO436" t="e">
        <f>'Latin America and Caribbean'!F141+"n/&gt;!50O"</f>
        <v>#VALUE!</v>
      </c>
      <c r="BP436" t="e">
        <f>'Latin America and Caribbean'!G141+"n/&gt;!50P"</f>
        <v>#VALUE!</v>
      </c>
      <c r="BQ436" t="e">
        <f>'Latin America and Caribbean'!H141+"n/&gt;!50Q"</f>
        <v>#VALUE!</v>
      </c>
      <c r="BR436" t="e">
        <f>'Latin America and Caribbean'!I141+"n/&gt;!50R"</f>
        <v>#VALUE!</v>
      </c>
      <c r="BS436" t="e">
        <f>'Latin America and Caribbean'!A142+"n/&gt;!50S"</f>
        <v>#VALUE!</v>
      </c>
      <c r="BT436" t="e">
        <f>'Latin America and Caribbean'!B142+"n/&gt;!50T"</f>
        <v>#VALUE!</v>
      </c>
      <c r="BU436" t="e">
        <f>'Latin America and Caribbean'!C142+"n/&gt;!50U"</f>
        <v>#VALUE!</v>
      </c>
      <c r="BV436" t="e">
        <f>'Latin America and Caribbean'!D142+"n/&gt;!50V"</f>
        <v>#VALUE!</v>
      </c>
      <c r="BW436" t="e">
        <f>'Latin America and Caribbean'!E142+"n/&gt;!50W"</f>
        <v>#VALUE!</v>
      </c>
      <c r="BX436" t="e">
        <f>'Latin America and Caribbean'!F142+"n/&gt;!50X"</f>
        <v>#VALUE!</v>
      </c>
      <c r="BY436" t="e">
        <f>'Latin America and Caribbean'!G142+"n/&gt;!50Y"</f>
        <v>#VALUE!</v>
      </c>
      <c r="BZ436" t="e">
        <f>'Latin America and Caribbean'!H142+"n/&gt;!50Z"</f>
        <v>#VALUE!</v>
      </c>
      <c r="CA436" t="e">
        <f>'Latin America and Caribbean'!I142+"n/&gt;!50["</f>
        <v>#VALUE!</v>
      </c>
      <c r="CB436" t="e">
        <f>'Latin America and Caribbean'!A143+"n/&gt;!50\"</f>
        <v>#VALUE!</v>
      </c>
      <c r="CC436" t="e">
        <f>'Latin America and Caribbean'!B143+"n/&gt;!50]"</f>
        <v>#VALUE!</v>
      </c>
      <c r="CD436" t="e">
        <f>'Latin America and Caribbean'!C143+"n/&gt;!50^"</f>
        <v>#VALUE!</v>
      </c>
      <c r="CE436" t="e">
        <f>'Latin America and Caribbean'!D143+"n/&gt;!50_"</f>
        <v>#VALUE!</v>
      </c>
      <c r="CF436" t="e">
        <f>'Latin America and Caribbean'!E143+"n/&gt;!50`"</f>
        <v>#VALUE!</v>
      </c>
      <c r="CG436" t="e">
        <f>'Latin America and Caribbean'!F143+"n/&gt;!50a"</f>
        <v>#VALUE!</v>
      </c>
      <c r="CH436" t="e">
        <f>'Latin America and Caribbean'!G143+"n/&gt;!50b"</f>
        <v>#VALUE!</v>
      </c>
      <c r="CI436" t="e">
        <f>'Latin America and Caribbean'!H143+"n/&gt;!50c"</f>
        <v>#VALUE!</v>
      </c>
      <c r="CJ436" t="e">
        <f>'Latin America and Caribbean'!I143+"n/&gt;!50d"</f>
        <v>#VALUE!</v>
      </c>
      <c r="CK436" t="e">
        <f>'Latin America and Caribbean'!A144+"n/&gt;!50e"</f>
        <v>#VALUE!</v>
      </c>
      <c r="CL436" t="e">
        <f>'Latin America and Caribbean'!B144+"n/&gt;!50f"</f>
        <v>#VALUE!</v>
      </c>
      <c r="CM436" t="e">
        <f>'Latin America and Caribbean'!C144+"n/&gt;!50g"</f>
        <v>#VALUE!</v>
      </c>
      <c r="CN436" t="e">
        <f>'Latin America and Caribbean'!D144+"n/&gt;!50h"</f>
        <v>#VALUE!</v>
      </c>
      <c r="CO436" t="e">
        <f>'Latin America and Caribbean'!E144+"n/&gt;!50i"</f>
        <v>#VALUE!</v>
      </c>
      <c r="CP436" t="e">
        <f>'Latin America and Caribbean'!F144+"n/&gt;!50j"</f>
        <v>#VALUE!</v>
      </c>
      <c r="CQ436" t="e">
        <f>'Latin America and Caribbean'!G144+"n/&gt;!50k"</f>
        <v>#VALUE!</v>
      </c>
      <c r="CR436" t="e">
        <f>'Latin America and Caribbean'!H144+"n/&gt;!50l"</f>
        <v>#VALUE!</v>
      </c>
      <c r="CS436" t="e">
        <f>'Latin America and Caribbean'!I144+"n/&gt;!50m"</f>
        <v>#VALUE!</v>
      </c>
      <c r="CT436" t="e">
        <f>'Latin America and Caribbean'!A145+"n/&gt;!50n"</f>
        <v>#VALUE!</v>
      </c>
      <c r="CU436" t="e">
        <f>'Latin America and Caribbean'!B145+"n/&gt;!50o"</f>
        <v>#VALUE!</v>
      </c>
      <c r="CV436" t="e">
        <f>'Latin America and Caribbean'!C145+"n/&gt;!50p"</f>
        <v>#VALUE!</v>
      </c>
      <c r="CW436" t="e">
        <f>'Latin America and Caribbean'!D145+"n/&gt;!50q"</f>
        <v>#VALUE!</v>
      </c>
      <c r="CX436" t="e">
        <f>'Latin America and Caribbean'!E145+"n/&gt;!50r"</f>
        <v>#VALUE!</v>
      </c>
      <c r="CY436" t="e">
        <f>'Latin America and Caribbean'!F145+"n/&gt;!50s"</f>
        <v>#VALUE!</v>
      </c>
      <c r="CZ436" t="e">
        <f>'Latin America and Caribbean'!G145+"n/&gt;!50t"</f>
        <v>#VALUE!</v>
      </c>
      <c r="DA436" t="e">
        <f>'Latin America and Caribbean'!H145+"n/&gt;!50u"</f>
        <v>#VALUE!</v>
      </c>
      <c r="DB436" t="e">
        <f>'Latin America and Caribbean'!I145+"n/&gt;!50v"</f>
        <v>#VALUE!</v>
      </c>
      <c r="DC436" t="e">
        <f>'Latin America and Caribbean'!A146+"n/&gt;!50w"</f>
        <v>#VALUE!</v>
      </c>
      <c r="DD436" t="e">
        <f>'Latin America and Caribbean'!B146+"n/&gt;!50x"</f>
        <v>#VALUE!</v>
      </c>
      <c r="DE436" t="e">
        <f>'Latin America and Caribbean'!C146+"n/&gt;!50y"</f>
        <v>#VALUE!</v>
      </c>
      <c r="DF436" t="e">
        <f>'Latin America and Caribbean'!D146+"n/&gt;!50z"</f>
        <v>#VALUE!</v>
      </c>
      <c r="DG436" t="e">
        <f>'Latin America and Caribbean'!E146+"n/&gt;!50{"</f>
        <v>#VALUE!</v>
      </c>
      <c r="DH436" t="e">
        <f>'Latin America and Caribbean'!F146+"n/&gt;!50|"</f>
        <v>#VALUE!</v>
      </c>
      <c r="DI436" t="e">
        <f>'Latin America and Caribbean'!G146+"n/&gt;!50}"</f>
        <v>#VALUE!</v>
      </c>
      <c r="DJ436" t="e">
        <f>'Latin America and Caribbean'!H146+"n/&gt;!50~"</f>
        <v>#VALUE!</v>
      </c>
      <c r="DK436" t="e">
        <f>'Latin America and Caribbean'!I146+"n/&gt;!51#"</f>
        <v>#VALUE!</v>
      </c>
      <c r="DL436" t="e">
        <f>'Latin America and Caribbean'!A147+"n/&gt;!51$"</f>
        <v>#VALUE!</v>
      </c>
      <c r="DM436" t="e">
        <f>'Latin America and Caribbean'!B147+"n/&gt;!51%"</f>
        <v>#VALUE!</v>
      </c>
      <c r="DN436" t="e">
        <f>'Latin America and Caribbean'!C147+"n/&gt;!51&amp;"</f>
        <v>#VALUE!</v>
      </c>
      <c r="DO436" t="e">
        <f>'Latin America and Caribbean'!D147+"n/&gt;!51'"</f>
        <v>#VALUE!</v>
      </c>
      <c r="DP436" t="e">
        <f>'Latin America and Caribbean'!E147+"n/&gt;!51("</f>
        <v>#VALUE!</v>
      </c>
      <c r="DQ436" t="e">
        <f>'Latin America and Caribbean'!F147+"n/&gt;!51)"</f>
        <v>#VALUE!</v>
      </c>
      <c r="DR436" t="e">
        <f>'Latin America and Caribbean'!G147+"n/&gt;!51."</f>
        <v>#VALUE!</v>
      </c>
      <c r="DS436" t="e">
        <f>'Latin America and Caribbean'!H147+"n/&gt;!51/"</f>
        <v>#VALUE!</v>
      </c>
      <c r="DT436" t="e">
        <f>'Latin America and Caribbean'!I147+"n/&gt;!510"</f>
        <v>#VALUE!</v>
      </c>
      <c r="DU436" t="e">
        <f>'Latin America and Caribbean'!A148+"n/&gt;!511"</f>
        <v>#VALUE!</v>
      </c>
      <c r="DV436" t="e">
        <f>'Latin America and Caribbean'!B148+"n/&gt;!512"</f>
        <v>#VALUE!</v>
      </c>
      <c r="DW436" t="e">
        <f>'Latin America and Caribbean'!C148+"n/&gt;!513"</f>
        <v>#VALUE!</v>
      </c>
      <c r="DX436" t="e">
        <f>'Latin America and Caribbean'!D148+"n/&gt;!514"</f>
        <v>#VALUE!</v>
      </c>
      <c r="DY436" t="e">
        <f>'Latin America and Caribbean'!E148+"n/&gt;!515"</f>
        <v>#VALUE!</v>
      </c>
      <c r="DZ436" t="e">
        <f>'Latin America and Caribbean'!F148+"n/&gt;!516"</f>
        <v>#VALUE!</v>
      </c>
      <c r="EA436" t="e">
        <f>'Latin America and Caribbean'!G148+"n/&gt;!517"</f>
        <v>#VALUE!</v>
      </c>
      <c r="EB436" t="e">
        <f>'Latin America and Caribbean'!H148+"n/&gt;!518"</f>
        <v>#VALUE!</v>
      </c>
      <c r="EC436" t="e">
        <f>'Latin America and Caribbean'!I148+"n/&gt;!519"</f>
        <v>#VALUE!</v>
      </c>
      <c r="ED436" t="e">
        <f>'Latin America and Caribbean'!A149+"n/&gt;!51:"</f>
        <v>#VALUE!</v>
      </c>
      <c r="EE436" t="e">
        <f>'Latin America and Caribbean'!B149+"n/&gt;!51;"</f>
        <v>#VALUE!</v>
      </c>
      <c r="EF436" t="e">
        <f>'Latin America and Caribbean'!C149+"n/&gt;!51&lt;"</f>
        <v>#VALUE!</v>
      </c>
      <c r="EG436" t="e">
        <f>'Latin America and Caribbean'!D149+"n/&gt;!51="</f>
        <v>#VALUE!</v>
      </c>
      <c r="EH436" t="e">
        <f>'Latin America and Caribbean'!E149+"n/&gt;!51&gt;"</f>
        <v>#VALUE!</v>
      </c>
      <c r="EI436" t="e">
        <f>'Latin America and Caribbean'!F149+"n/&gt;!51?"</f>
        <v>#VALUE!</v>
      </c>
      <c r="EJ436" t="e">
        <f>'Latin America and Caribbean'!G149+"n/&gt;!51@"</f>
        <v>#VALUE!</v>
      </c>
      <c r="EK436" t="e">
        <f>'Latin America and Caribbean'!H149+"n/&gt;!51A"</f>
        <v>#VALUE!</v>
      </c>
      <c r="EL436" t="e">
        <f>'Latin America and Caribbean'!I149+"n/&gt;!51B"</f>
        <v>#VALUE!</v>
      </c>
      <c r="EM436" t="e">
        <f>'Latin America and Caribbean'!A150+"n/&gt;!51C"</f>
        <v>#VALUE!</v>
      </c>
      <c r="EN436" t="e">
        <f>'Latin America and Caribbean'!B150+"n/&gt;!51D"</f>
        <v>#VALUE!</v>
      </c>
      <c r="EO436" t="e">
        <f>'Latin America and Caribbean'!C150+"n/&gt;!51E"</f>
        <v>#VALUE!</v>
      </c>
      <c r="EP436" t="e">
        <f>'Latin America and Caribbean'!D150+"n/&gt;!51F"</f>
        <v>#VALUE!</v>
      </c>
      <c r="EQ436" t="e">
        <f>'Latin America and Caribbean'!E150+"n/&gt;!51G"</f>
        <v>#VALUE!</v>
      </c>
      <c r="ER436" t="e">
        <f>'Latin America and Caribbean'!F150+"n/&gt;!51H"</f>
        <v>#VALUE!</v>
      </c>
      <c r="ES436" t="e">
        <f>'Latin America and Caribbean'!G150+"n/&gt;!51I"</f>
        <v>#VALUE!</v>
      </c>
      <c r="ET436" t="e">
        <f>'Latin America and Caribbean'!H150+"n/&gt;!51J"</f>
        <v>#VALUE!</v>
      </c>
      <c r="EU436" t="e">
        <f>'Latin America and Caribbean'!I150+"n/&gt;!51K"</f>
        <v>#VALUE!</v>
      </c>
      <c r="EV436" t="e">
        <f>'Latin America and Caribbean'!A151+"n/&gt;!51L"</f>
        <v>#VALUE!</v>
      </c>
      <c r="EW436" t="e">
        <f>'Latin America and Caribbean'!B151+"n/&gt;!51M"</f>
        <v>#VALUE!</v>
      </c>
      <c r="EX436" t="e">
        <f>'Latin America and Caribbean'!C151+"n/&gt;!51N"</f>
        <v>#VALUE!</v>
      </c>
      <c r="EY436" t="e">
        <f>'Latin America and Caribbean'!D151+"n/&gt;!51O"</f>
        <v>#VALUE!</v>
      </c>
      <c r="EZ436" t="e">
        <f>'Latin America and Caribbean'!E151+"n/&gt;!51P"</f>
        <v>#VALUE!</v>
      </c>
      <c r="FA436" t="e">
        <f>'Latin America and Caribbean'!F151+"n/&gt;!51Q"</f>
        <v>#VALUE!</v>
      </c>
      <c r="FB436" t="e">
        <f>'Latin America and Caribbean'!G151+"n/&gt;!51R"</f>
        <v>#VALUE!</v>
      </c>
      <c r="FC436" t="e">
        <f>'Latin America and Caribbean'!H151+"n/&gt;!51S"</f>
        <v>#VALUE!</v>
      </c>
      <c r="FD436" t="e">
        <f>'Latin America and Caribbean'!I151+"n/&gt;!51T"</f>
        <v>#VALUE!</v>
      </c>
      <c r="FE436" t="e">
        <f>'Latin America and Caribbean'!A152+"n/&gt;!51U"</f>
        <v>#VALUE!</v>
      </c>
      <c r="FF436" t="e">
        <f>'Latin America and Caribbean'!B152+"n/&gt;!51V"</f>
        <v>#VALUE!</v>
      </c>
      <c r="FG436" t="e">
        <f>'Latin America and Caribbean'!C152+"n/&gt;!51W"</f>
        <v>#VALUE!</v>
      </c>
      <c r="FH436" t="e">
        <f>'Latin America and Caribbean'!D152+"n/&gt;!51X"</f>
        <v>#VALUE!</v>
      </c>
      <c r="FI436" t="e">
        <f>'Latin America and Caribbean'!E152+"n/&gt;!51Y"</f>
        <v>#VALUE!</v>
      </c>
      <c r="FJ436" t="e">
        <f>'Latin America and Caribbean'!F152+"n/&gt;!51Z"</f>
        <v>#VALUE!</v>
      </c>
      <c r="FK436" t="e">
        <f>'Latin America and Caribbean'!G152+"n/&gt;!51["</f>
        <v>#VALUE!</v>
      </c>
      <c r="FL436" t="e">
        <f>'Latin America and Caribbean'!H152+"n/&gt;!51\"</f>
        <v>#VALUE!</v>
      </c>
      <c r="FM436" t="e">
        <f>'Latin America and Caribbean'!I152+"n/&gt;!51]"</f>
        <v>#VALUE!</v>
      </c>
      <c r="FN436" t="e">
        <f>'Latin America and Caribbean'!A153+"n/&gt;!51^"</f>
        <v>#VALUE!</v>
      </c>
      <c r="FO436" t="e">
        <f>'Latin America and Caribbean'!B153+"n/&gt;!51_"</f>
        <v>#VALUE!</v>
      </c>
      <c r="FP436" t="e">
        <f>'Latin America and Caribbean'!C153+"n/&gt;!51`"</f>
        <v>#VALUE!</v>
      </c>
      <c r="FQ436" t="e">
        <f>'Latin America and Caribbean'!D153+"n/&gt;!51a"</f>
        <v>#VALUE!</v>
      </c>
      <c r="FR436" t="e">
        <f>'Latin America and Caribbean'!E153+"n/&gt;!51b"</f>
        <v>#VALUE!</v>
      </c>
      <c r="FS436" t="e">
        <f>'Latin America and Caribbean'!F153+"n/&gt;!51c"</f>
        <v>#VALUE!</v>
      </c>
      <c r="FT436" t="e">
        <f>'Latin America and Caribbean'!G153+"n/&gt;!51d"</f>
        <v>#VALUE!</v>
      </c>
      <c r="FU436" t="e">
        <f>'Latin America and Caribbean'!H153+"n/&gt;!51e"</f>
        <v>#VALUE!</v>
      </c>
      <c r="FV436" t="e">
        <f>'Latin America and Caribbean'!I153+"n/&gt;!51f"</f>
        <v>#VALUE!</v>
      </c>
      <c r="FW436" t="e">
        <f>'Latin America and Caribbean'!A154+"n/&gt;!51g"</f>
        <v>#VALUE!</v>
      </c>
      <c r="FX436" t="e">
        <f>'Latin America and Caribbean'!B154+"n/&gt;!51h"</f>
        <v>#VALUE!</v>
      </c>
      <c r="FY436" t="e">
        <f>'Latin America and Caribbean'!C154+"n/&gt;!51i"</f>
        <v>#VALUE!</v>
      </c>
      <c r="FZ436" t="e">
        <f>'Latin America and Caribbean'!D154+"n/&gt;!51j"</f>
        <v>#VALUE!</v>
      </c>
      <c r="GA436" t="e">
        <f>'Latin America and Caribbean'!E154+"n/&gt;!51k"</f>
        <v>#VALUE!</v>
      </c>
      <c r="GB436" t="e">
        <f>'Latin America and Caribbean'!F154+"n/&gt;!51l"</f>
        <v>#VALUE!</v>
      </c>
      <c r="GC436" t="e">
        <f>'Latin America and Caribbean'!G154+"n/&gt;!51m"</f>
        <v>#VALUE!</v>
      </c>
      <c r="GD436" t="e">
        <f>'Latin America and Caribbean'!H154+"n/&gt;!51n"</f>
        <v>#VALUE!</v>
      </c>
      <c r="GE436" t="e">
        <f>'Latin America and Caribbean'!I154+"n/&gt;!51o"</f>
        <v>#VALUE!</v>
      </c>
      <c r="GF436" t="e">
        <f>'Latin America and Caribbean'!A155+"n/&gt;!51p"</f>
        <v>#VALUE!</v>
      </c>
      <c r="GG436" t="e">
        <f>'Latin America and Caribbean'!B155+"n/&gt;!51q"</f>
        <v>#VALUE!</v>
      </c>
      <c r="GH436" t="e">
        <f>'Latin America and Caribbean'!C155+"n/&gt;!51r"</f>
        <v>#VALUE!</v>
      </c>
      <c r="GI436" t="e">
        <f>'Latin America and Caribbean'!D155+"n/&gt;!51s"</f>
        <v>#VALUE!</v>
      </c>
      <c r="GJ436" t="e">
        <f>'Latin America and Caribbean'!E155+"n/&gt;!51t"</f>
        <v>#VALUE!</v>
      </c>
      <c r="GK436" t="e">
        <f>'Latin America and Caribbean'!F155+"n/&gt;!51u"</f>
        <v>#VALUE!</v>
      </c>
      <c r="GL436" t="e">
        <f>'Latin America and Caribbean'!G155+"n/&gt;!51v"</f>
        <v>#VALUE!</v>
      </c>
      <c r="GM436" t="e">
        <f>'Latin America and Caribbean'!H155+"n/&gt;!51w"</f>
        <v>#VALUE!</v>
      </c>
      <c r="GN436" t="e">
        <f>'Latin America and Caribbean'!I155+"n/&gt;!51x"</f>
        <v>#VALUE!</v>
      </c>
      <c r="GO436" t="e">
        <f>'Latin America and Caribbean'!A156+"n/&gt;!51y"</f>
        <v>#VALUE!</v>
      </c>
      <c r="GP436" t="e">
        <f>'Latin America and Caribbean'!B156+"n/&gt;!51z"</f>
        <v>#VALUE!</v>
      </c>
      <c r="GQ436" t="e">
        <f>'Latin America and Caribbean'!C156+"n/&gt;!51{"</f>
        <v>#VALUE!</v>
      </c>
      <c r="GR436" t="e">
        <f>'Latin America and Caribbean'!D156+"n/&gt;!51|"</f>
        <v>#VALUE!</v>
      </c>
      <c r="GS436" t="e">
        <f>'Latin America and Caribbean'!E156+"n/&gt;!51}"</f>
        <v>#VALUE!</v>
      </c>
      <c r="GT436" t="e">
        <f>'Latin America and Caribbean'!F156+"n/&gt;!51~"</f>
        <v>#VALUE!</v>
      </c>
      <c r="GU436" t="e">
        <f>'Latin America and Caribbean'!G156+"n/&gt;!52#"</f>
        <v>#VALUE!</v>
      </c>
      <c r="GV436" t="e">
        <f>'Latin America and Caribbean'!H156+"n/&gt;!52$"</f>
        <v>#VALUE!</v>
      </c>
      <c r="GW436" t="e">
        <f>'Latin America and Caribbean'!I156+"n/&gt;!52%"</f>
        <v>#VALUE!</v>
      </c>
      <c r="GX436" t="e">
        <f>'Latin America and Caribbean'!A157+"n/&gt;!52&amp;"</f>
        <v>#VALUE!</v>
      </c>
      <c r="GY436" t="e">
        <f>'Latin America and Caribbean'!B157+"n/&gt;!52'"</f>
        <v>#VALUE!</v>
      </c>
      <c r="GZ436" t="e">
        <f>'Latin America and Caribbean'!C157+"n/&gt;!52("</f>
        <v>#VALUE!</v>
      </c>
      <c r="HA436" t="e">
        <f>'Latin America and Caribbean'!D157+"n/&gt;!52)"</f>
        <v>#VALUE!</v>
      </c>
      <c r="HB436" t="e">
        <f>'Latin America and Caribbean'!E157+"n/&gt;!52."</f>
        <v>#VALUE!</v>
      </c>
      <c r="HC436" t="e">
        <f>'Latin America and Caribbean'!F157+"n/&gt;!52/"</f>
        <v>#VALUE!</v>
      </c>
      <c r="HD436" t="e">
        <f>'Latin America and Caribbean'!G157+"n/&gt;!520"</f>
        <v>#VALUE!</v>
      </c>
      <c r="HE436" t="e">
        <f>'Latin America and Caribbean'!H157+"n/&gt;!521"</f>
        <v>#VALUE!</v>
      </c>
      <c r="HF436" t="e">
        <f>'Latin America and Caribbean'!I157+"n/&gt;!522"</f>
        <v>#VALUE!</v>
      </c>
      <c r="HG436" t="e">
        <f>'Latin America and Caribbean'!A158+"n/&gt;!523"</f>
        <v>#VALUE!</v>
      </c>
      <c r="HH436" t="e">
        <f>'Latin America and Caribbean'!B158+"n/&gt;!524"</f>
        <v>#VALUE!</v>
      </c>
      <c r="HI436" t="e">
        <f>'Latin America and Caribbean'!C158+"n/&gt;!525"</f>
        <v>#VALUE!</v>
      </c>
      <c r="HJ436" t="e">
        <f>'Latin America and Caribbean'!D158+"n/&gt;!526"</f>
        <v>#VALUE!</v>
      </c>
      <c r="HK436" t="e">
        <f>'Latin America and Caribbean'!E158+"n/&gt;!527"</f>
        <v>#VALUE!</v>
      </c>
      <c r="HL436" t="e">
        <f>'Latin America and Caribbean'!F158+"n/&gt;!528"</f>
        <v>#VALUE!</v>
      </c>
      <c r="HM436" t="e">
        <f>'Latin America and Caribbean'!G158+"n/&gt;!529"</f>
        <v>#VALUE!</v>
      </c>
      <c r="HN436" t="e">
        <f>'Latin America and Caribbean'!H158+"n/&gt;!52:"</f>
        <v>#VALUE!</v>
      </c>
      <c r="HO436" t="e">
        <f>'Latin America and Caribbean'!I158+"n/&gt;!52;"</f>
        <v>#VALUE!</v>
      </c>
      <c r="HP436" t="e">
        <f>'Latin America and Caribbean'!A159+"n/&gt;!52&lt;"</f>
        <v>#VALUE!</v>
      </c>
      <c r="HQ436" t="e">
        <f>'Latin America and Caribbean'!B159+"n/&gt;!52="</f>
        <v>#VALUE!</v>
      </c>
      <c r="HR436" t="e">
        <f>'Latin America and Caribbean'!C159+"n/&gt;!52&gt;"</f>
        <v>#VALUE!</v>
      </c>
      <c r="HS436" t="e">
        <f>'Latin America and Caribbean'!D159+"n/&gt;!52?"</f>
        <v>#VALUE!</v>
      </c>
      <c r="HT436" t="e">
        <f>'Latin America and Caribbean'!E159+"n/&gt;!52@"</f>
        <v>#VALUE!</v>
      </c>
      <c r="HU436" t="e">
        <f>'Latin America and Caribbean'!F159+"n/&gt;!52A"</f>
        <v>#VALUE!</v>
      </c>
      <c r="HV436" t="e">
        <f>'Latin America and Caribbean'!G159+"n/&gt;!52B"</f>
        <v>#VALUE!</v>
      </c>
      <c r="HW436" t="e">
        <f>'Latin America and Caribbean'!H159+"n/&gt;!52C"</f>
        <v>#VALUE!</v>
      </c>
      <c r="HX436" t="e">
        <f>'Latin America and Caribbean'!I159+"n/&gt;!52D"</f>
        <v>#VALUE!</v>
      </c>
      <c r="HY436" t="e">
        <f>'Latin America and Caribbean'!A160+"n/&gt;!52E"</f>
        <v>#VALUE!</v>
      </c>
      <c r="HZ436" t="e">
        <f>'Latin America and Caribbean'!B160+"n/&gt;!52F"</f>
        <v>#VALUE!</v>
      </c>
      <c r="IA436" t="e">
        <f>'Latin America and Caribbean'!C160+"n/&gt;!52G"</f>
        <v>#VALUE!</v>
      </c>
      <c r="IB436" t="e">
        <f>'Latin America and Caribbean'!D160+"n/&gt;!52H"</f>
        <v>#VALUE!</v>
      </c>
      <c r="IC436" t="e">
        <f>'Latin America and Caribbean'!E160+"n/&gt;!52I"</f>
        <v>#VALUE!</v>
      </c>
      <c r="ID436" t="e">
        <f>'Latin America and Caribbean'!F160+"n/&gt;!52J"</f>
        <v>#VALUE!</v>
      </c>
      <c r="IE436" t="e">
        <f>'Latin America and Caribbean'!G160+"n/&gt;!52K"</f>
        <v>#VALUE!</v>
      </c>
      <c r="IF436" t="e">
        <f>'Latin America and Caribbean'!H160+"n/&gt;!52L"</f>
        <v>#VALUE!</v>
      </c>
      <c r="IG436" t="e">
        <f>'Latin America and Caribbean'!I160+"n/&gt;!52M"</f>
        <v>#VALUE!</v>
      </c>
      <c r="IH436" t="e">
        <f>'Latin America and Caribbean'!A161+"n/&gt;!52N"</f>
        <v>#VALUE!</v>
      </c>
      <c r="II436" t="e">
        <f>'Latin America and Caribbean'!B161+"n/&gt;!52O"</f>
        <v>#VALUE!</v>
      </c>
      <c r="IJ436" t="e">
        <f>'Latin America and Caribbean'!C161+"n/&gt;!52P"</f>
        <v>#VALUE!</v>
      </c>
      <c r="IK436" t="e">
        <f>'Latin America and Caribbean'!D161+"n/&gt;!52Q"</f>
        <v>#VALUE!</v>
      </c>
      <c r="IL436" t="e">
        <f>'Latin America and Caribbean'!E161+"n/&gt;!52R"</f>
        <v>#VALUE!</v>
      </c>
      <c r="IM436" t="e">
        <f>'Latin America and Caribbean'!F161+"n/&gt;!52S"</f>
        <v>#VALUE!</v>
      </c>
      <c r="IN436" t="e">
        <f>'Latin America and Caribbean'!G161+"n/&gt;!52T"</f>
        <v>#VALUE!</v>
      </c>
      <c r="IO436" t="e">
        <f>'Latin America and Caribbean'!H161+"n/&gt;!52U"</f>
        <v>#VALUE!</v>
      </c>
      <c r="IP436" t="e">
        <f>'Latin America and Caribbean'!I161+"n/&gt;!52V"</f>
        <v>#VALUE!</v>
      </c>
      <c r="IQ436" t="e">
        <f>'Latin America and Caribbean'!A162+"n/&gt;!52W"</f>
        <v>#VALUE!</v>
      </c>
      <c r="IR436" t="e">
        <f>'Latin America and Caribbean'!B162+"n/&gt;!52X"</f>
        <v>#VALUE!</v>
      </c>
      <c r="IS436" t="e">
        <f>'Latin America and Caribbean'!C162+"n/&gt;!52Y"</f>
        <v>#VALUE!</v>
      </c>
      <c r="IT436" t="e">
        <f>'Latin America and Caribbean'!D162+"n/&gt;!52Z"</f>
        <v>#VALUE!</v>
      </c>
      <c r="IU436" t="e">
        <f>'Latin America and Caribbean'!E162+"n/&gt;!52["</f>
        <v>#VALUE!</v>
      </c>
      <c r="IV436" t="e">
        <f>'Latin America and Caribbean'!F162+"n/&gt;!52\"</f>
        <v>#VALUE!</v>
      </c>
    </row>
    <row r="437" spans="6:256" x14ac:dyDescent="0.35">
      <c r="F437" t="e">
        <f>'Latin America and Caribbean'!G162+"n/&gt;!52]"</f>
        <v>#VALUE!</v>
      </c>
      <c r="G437" t="e">
        <f>'Latin America and Caribbean'!H162+"n/&gt;!52^"</f>
        <v>#VALUE!</v>
      </c>
      <c r="H437" t="e">
        <f>'Latin America and Caribbean'!I162+"n/&gt;!52_"</f>
        <v>#VALUE!</v>
      </c>
      <c r="I437" t="e">
        <f>'Latin America and Caribbean'!A163+"n/&gt;!52`"</f>
        <v>#VALUE!</v>
      </c>
      <c r="J437" t="e">
        <f>'Latin America and Caribbean'!B163+"n/&gt;!52a"</f>
        <v>#VALUE!</v>
      </c>
      <c r="K437" t="e">
        <f>'Latin America and Caribbean'!C163+"n/&gt;!52b"</f>
        <v>#VALUE!</v>
      </c>
      <c r="L437" t="e">
        <f>'Latin America and Caribbean'!D163+"n/&gt;!52c"</f>
        <v>#VALUE!</v>
      </c>
      <c r="M437" t="e">
        <f>'Latin America and Caribbean'!E163+"n/&gt;!52d"</f>
        <v>#VALUE!</v>
      </c>
      <c r="N437" t="e">
        <f>'Latin America and Caribbean'!F163+"n/&gt;!52e"</f>
        <v>#VALUE!</v>
      </c>
      <c r="O437" t="e">
        <f>'Latin America and Caribbean'!G163+"n/&gt;!52f"</f>
        <v>#VALUE!</v>
      </c>
      <c r="P437" t="e">
        <f>'Latin America and Caribbean'!H163+"n/&gt;!52g"</f>
        <v>#VALUE!</v>
      </c>
      <c r="Q437" t="e">
        <f>'Latin America and Caribbean'!I163+"n/&gt;!52h"</f>
        <v>#VALUE!</v>
      </c>
      <c r="R437" t="e">
        <f>'Latin America and Caribbean'!A164+"n/&gt;!52i"</f>
        <v>#VALUE!</v>
      </c>
      <c r="S437" t="e">
        <f>'Latin America and Caribbean'!B164+"n/&gt;!52j"</f>
        <v>#VALUE!</v>
      </c>
      <c r="T437" t="e">
        <f>'Latin America and Caribbean'!C164+"n/&gt;!52k"</f>
        <v>#VALUE!</v>
      </c>
      <c r="U437" t="e">
        <f>'Latin America and Caribbean'!D164+"n/&gt;!52l"</f>
        <v>#VALUE!</v>
      </c>
      <c r="V437" t="e">
        <f>'Latin America and Caribbean'!E164+"n/&gt;!52m"</f>
        <v>#VALUE!</v>
      </c>
      <c r="W437" t="e">
        <f>'Latin America and Caribbean'!F164+"n/&gt;!52n"</f>
        <v>#VALUE!</v>
      </c>
      <c r="X437" t="e">
        <f>'Latin America and Caribbean'!G164+"n/&gt;!52o"</f>
        <v>#VALUE!</v>
      </c>
      <c r="Y437" t="e">
        <f>'Latin America and Caribbean'!H164+"n/&gt;!52p"</f>
        <v>#VALUE!</v>
      </c>
      <c r="Z437" t="e">
        <f>'Latin America and Caribbean'!I164+"n/&gt;!52q"</f>
        <v>#VALUE!</v>
      </c>
      <c r="AA437" t="e">
        <f>'Latin America and Caribbean'!A165+"n/&gt;!52r"</f>
        <v>#VALUE!</v>
      </c>
      <c r="AB437" t="e">
        <f>'Latin America and Caribbean'!B165+"n/&gt;!52s"</f>
        <v>#VALUE!</v>
      </c>
      <c r="AC437" t="e">
        <f>'Latin America and Caribbean'!C165+"n/&gt;!52t"</f>
        <v>#VALUE!</v>
      </c>
      <c r="AD437" t="e">
        <f>'Latin America and Caribbean'!D165+"n/&gt;!52u"</f>
        <v>#VALUE!</v>
      </c>
      <c r="AE437" t="e">
        <f>'Latin America and Caribbean'!E165+"n/&gt;!52v"</f>
        <v>#VALUE!</v>
      </c>
      <c r="AF437" t="e">
        <f>'Latin America and Caribbean'!F165+"n/&gt;!52w"</f>
        <v>#VALUE!</v>
      </c>
      <c r="AG437" t="e">
        <f>'Latin America and Caribbean'!G165+"n/&gt;!52x"</f>
        <v>#VALUE!</v>
      </c>
      <c r="AH437" t="e">
        <f>'Latin America and Caribbean'!H165+"n/&gt;!52y"</f>
        <v>#VALUE!</v>
      </c>
      <c r="AI437" t="e">
        <f>'Latin America and Caribbean'!I165+"n/&gt;!52z"</f>
        <v>#VALUE!</v>
      </c>
      <c r="AJ437" t="e">
        <f>'Latin America and Caribbean'!A166+"n/&gt;!52{"</f>
        <v>#VALUE!</v>
      </c>
      <c r="AK437" t="e">
        <f>'Latin America and Caribbean'!B166+"n/&gt;!52|"</f>
        <v>#VALUE!</v>
      </c>
      <c r="AL437" t="e">
        <f>'Latin America and Caribbean'!C166+"n/&gt;!52}"</f>
        <v>#VALUE!</v>
      </c>
      <c r="AM437" t="e">
        <f>'Latin America and Caribbean'!D166+"n/&gt;!52~"</f>
        <v>#VALUE!</v>
      </c>
      <c r="AN437" t="e">
        <f>'Latin America and Caribbean'!E166+"n/&gt;!53#"</f>
        <v>#VALUE!</v>
      </c>
      <c r="AO437" t="e">
        <f>'Latin America and Caribbean'!F166+"n/&gt;!53$"</f>
        <v>#VALUE!</v>
      </c>
      <c r="AP437" t="e">
        <f>'Latin America and Caribbean'!G166+"n/&gt;!53%"</f>
        <v>#VALUE!</v>
      </c>
      <c r="AQ437" t="e">
        <f>'Latin America and Caribbean'!H166+"n/&gt;!53&amp;"</f>
        <v>#VALUE!</v>
      </c>
      <c r="AR437" t="e">
        <f>'Latin America and Caribbean'!I166+"n/&gt;!53'"</f>
        <v>#VALUE!</v>
      </c>
      <c r="AS437" t="e">
        <f>'Latin America and Caribbean'!A167+"n/&gt;!53("</f>
        <v>#VALUE!</v>
      </c>
      <c r="AT437" t="e">
        <f>'Latin America and Caribbean'!B167+"n/&gt;!53)"</f>
        <v>#VALUE!</v>
      </c>
      <c r="AU437" t="e">
        <f>'Latin America and Caribbean'!C167+"n/&gt;!53."</f>
        <v>#VALUE!</v>
      </c>
      <c r="AV437" t="e">
        <f>'Latin America and Caribbean'!D167+"n/&gt;!53/"</f>
        <v>#VALUE!</v>
      </c>
      <c r="AW437" t="e">
        <f>'Latin America and Caribbean'!E167+"n/&gt;!530"</f>
        <v>#VALUE!</v>
      </c>
      <c r="AX437" t="e">
        <f>'Latin America and Caribbean'!F167+"n/&gt;!531"</f>
        <v>#VALUE!</v>
      </c>
      <c r="AY437" t="e">
        <f>'Latin America and Caribbean'!G167+"n/&gt;!532"</f>
        <v>#VALUE!</v>
      </c>
      <c r="AZ437" t="e">
        <f>'Latin America and Caribbean'!H167+"n/&gt;!533"</f>
        <v>#VALUE!</v>
      </c>
      <c r="BA437" t="e">
        <f>'Latin America and Caribbean'!I167+"n/&gt;!534"</f>
        <v>#VALUE!</v>
      </c>
      <c r="BB437" t="e">
        <f>'Latin America and Caribbean'!A168+"n/&gt;!535"</f>
        <v>#VALUE!</v>
      </c>
      <c r="BC437" t="e">
        <f>'Latin America and Caribbean'!B168+"n/&gt;!536"</f>
        <v>#VALUE!</v>
      </c>
      <c r="BD437" t="e">
        <f>'Latin America and Caribbean'!C168+"n/&gt;!537"</f>
        <v>#VALUE!</v>
      </c>
      <c r="BE437" t="e">
        <f>'Latin America and Caribbean'!D168+"n/&gt;!538"</f>
        <v>#VALUE!</v>
      </c>
      <c r="BF437" t="e">
        <f>'Latin America and Caribbean'!E168+"n/&gt;!539"</f>
        <v>#VALUE!</v>
      </c>
      <c r="BG437" t="e">
        <f>'Latin America and Caribbean'!F168+"n/&gt;!53:"</f>
        <v>#VALUE!</v>
      </c>
      <c r="BH437" t="e">
        <f>'Latin America and Caribbean'!G168+"n/&gt;!53;"</f>
        <v>#VALUE!</v>
      </c>
      <c r="BI437" t="e">
        <f>'Latin America and Caribbean'!H168+"n/&gt;!53&lt;"</f>
        <v>#VALUE!</v>
      </c>
      <c r="BJ437" t="e">
        <f>'Latin America and Caribbean'!I168+"n/&gt;!53="</f>
        <v>#VALUE!</v>
      </c>
      <c r="BK437" t="e">
        <f>'Latin America and Caribbean'!A169+"n/&gt;!53&gt;"</f>
        <v>#VALUE!</v>
      </c>
      <c r="BL437" t="e">
        <f>'Latin America and Caribbean'!B169+"n/&gt;!53?"</f>
        <v>#VALUE!</v>
      </c>
      <c r="BM437" t="e">
        <f>'Latin America and Caribbean'!C169+"n/&gt;!53@"</f>
        <v>#VALUE!</v>
      </c>
      <c r="BN437" t="e">
        <f>'Latin America and Caribbean'!D169+"n/&gt;!53A"</f>
        <v>#VALUE!</v>
      </c>
      <c r="BO437" t="e">
        <f>'Latin America and Caribbean'!E169+"n/&gt;!53B"</f>
        <v>#VALUE!</v>
      </c>
      <c r="BP437" t="e">
        <f>'Latin America and Caribbean'!F169+"n/&gt;!53C"</f>
        <v>#VALUE!</v>
      </c>
      <c r="BQ437" t="e">
        <f>'Latin America and Caribbean'!G169+"n/&gt;!53D"</f>
        <v>#VALUE!</v>
      </c>
      <c r="BR437" t="e">
        <f>'Latin America and Caribbean'!H169+"n/&gt;!53E"</f>
        <v>#VALUE!</v>
      </c>
      <c r="BS437" t="e">
        <f>'Latin America and Caribbean'!I169+"n/&gt;!53F"</f>
        <v>#VALUE!</v>
      </c>
      <c r="BT437" t="e">
        <f>'Latin America and Caribbean'!A170+"n/&gt;!53G"</f>
        <v>#VALUE!</v>
      </c>
      <c r="BU437" t="e">
        <f>'Latin America and Caribbean'!B170+"n/&gt;!53H"</f>
        <v>#VALUE!</v>
      </c>
      <c r="BV437" t="e">
        <f>'Latin America and Caribbean'!C170+"n/&gt;!53I"</f>
        <v>#VALUE!</v>
      </c>
      <c r="BW437" t="e">
        <f>'Latin America and Caribbean'!D170+"n/&gt;!53J"</f>
        <v>#VALUE!</v>
      </c>
      <c r="BX437" t="e">
        <f>'Latin America and Caribbean'!E170+"n/&gt;!53K"</f>
        <v>#VALUE!</v>
      </c>
      <c r="BY437" t="e">
        <f>'Latin America and Caribbean'!F170+"n/&gt;!53L"</f>
        <v>#VALUE!</v>
      </c>
      <c r="BZ437" t="e">
        <f>'Latin America and Caribbean'!G170+"n/&gt;!53M"</f>
        <v>#VALUE!</v>
      </c>
      <c r="CA437" t="e">
        <f>'Latin America and Caribbean'!H170+"n/&gt;!53N"</f>
        <v>#VALUE!</v>
      </c>
      <c r="CB437" t="e">
        <f>'Latin America and Caribbean'!I170+"n/&gt;!53O"</f>
        <v>#VALUE!</v>
      </c>
      <c r="CC437" t="e">
        <f>'Latin America and Caribbean'!A171+"n/&gt;!53P"</f>
        <v>#VALUE!</v>
      </c>
      <c r="CD437" t="e">
        <f>'Latin America and Caribbean'!B171+"n/&gt;!53Q"</f>
        <v>#VALUE!</v>
      </c>
      <c r="CE437" t="e">
        <f>'Latin America and Caribbean'!C171+"n/&gt;!53R"</f>
        <v>#VALUE!</v>
      </c>
      <c r="CF437" t="e">
        <f>'Latin America and Caribbean'!D171+"n/&gt;!53S"</f>
        <v>#VALUE!</v>
      </c>
      <c r="CG437" t="e">
        <f>'Latin America and Caribbean'!E171+"n/&gt;!53T"</f>
        <v>#VALUE!</v>
      </c>
      <c r="CH437" t="e">
        <f>'Latin America and Caribbean'!F171+"n/&gt;!53U"</f>
        <v>#VALUE!</v>
      </c>
      <c r="CI437" t="e">
        <f>'Latin America and Caribbean'!G171+"n/&gt;!53V"</f>
        <v>#VALUE!</v>
      </c>
      <c r="CJ437" t="e">
        <f>'Latin America and Caribbean'!H171+"n/&gt;!53W"</f>
        <v>#VALUE!</v>
      </c>
      <c r="CK437" t="e">
        <f>'Latin America and Caribbean'!I171+"n/&gt;!53X"</f>
        <v>#VALUE!</v>
      </c>
      <c r="CL437" t="e">
        <f>'Latin America and Caribbean'!A172+"n/&gt;!53Y"</f>
        <v>#VALUE!</v>
      </c>
      <c r="CM437" t="e">
        <f>'Latin America and Caribbean'!B172+"n/&gt;!53Z"</f>
        <v>#VALUE!</v>
      </c>
      <c r="CN437" t="e">
        <f>'Latin America and Caribbean'!C172+"n/&gt;!53["</f>
        <v>#VALUE!</v>
      </c>
      <c r="CO437" t="e">
        <f>'Latin America and Caribbean'!D172+"n/&gt;!53\"</f>
        <v>#VALUE!</v>
      </c>
      <c r="CP437" t="e">
        <f>'Latin America and Caribbean'!E172+"n/&gt;!53]"</f>
        <v>#VALUE!</v>
      </c>
      <c r="CQ437" t="e">
        <f>'Latin America and Caribbean'!F172+"n/&gt;!53^"</f>
        <v>#VALUE!</v>
      </c>
      <c r="CR437" t="e">
        <f>'Latin America and Caribbean'!G172+"n/&gt;!53_"</f>
        <v>#VALUE!</v>
      </c>
      <c r="CS437" t="e">
        <f>'Latin America and Caribbean'!H172+"n/&gt;!53`"</f>
        <v>#VALUE!</v>
      </c>
      <c r="CT437" t="e">
        <f>'Latin America and Caribbean'!I172+"n/&gt;!53a"</f>
        <v>#VALUE!</v>
      </c>
      <c r="CU437" t="e">
        <f>'Latin America and Caribbean'!A173+"n/&gt;!53b"</f>
        <v>#VALUE!</v>
      </c>
      <c r="CV437" t="e">
        <f>'Latin America and Caribbean'!B173+"n/&gt;!53c"</f>
        <v>#VALUE!</v>
      </c>
      <c r="CW437" t="e">
        <f>'Latin America and Caribbean'!C173+"n/&gt;!53d"</f>
        <v>#VALUE!</v>
      </c>
      <c r="CX437" t="e">
        <f>'Latin America and Caribbean'!D173+"n/&gt;!53e"</f>
        <v>#VALUE!</v>
      </c>
      <c r="CY437" t="e">
        <f>'Latin America and Caribbean'!E173+"n/&gt;!53f"</f>
        <v>#VALUE!</v>
      </c>
      <c r="CZ437" t="e">
        <f>'Latin America and Caribbean'!F173+"n/&gt;!53g"</f>
        <v>#VALUE!</v>
      </c>
      <c r="DA437" t="e">
        <f>'Latin America and Caribbean'!G173+"n/&gt;!53h"</f>
        <v>#VALUE!</v>
      </c>
      <c r="DB437" t="e">
        <f>'Latin America and Caribbean'!H173+"n/&gt;!53i"</f>
        <v>#VALUE!</v>
      </c>
      <c r="DC437" t="e">
        <f>'Latin America and Caribbean'!I173+"n/&gt;!53j"</f>
        <v>#VALUE!</v>
      </c>
      <c r="DD437" t="e">
        <f>'Latin America and Caribbean'!A174+"n/&gt;!53k"</f>
        <v>#VALUE!</v>
      </c>
      <c r="DE437" t="e">
        <f>'Latin America and Caribbean'!B174+"n/&gt;!53l"</f>
        <v>#VALUE!</v>
      </c>
      <c r="DF437" t="e">
        <f>'Latin America and Caribbean'!C174+"n/&gt;!53m"</f>
        <v>#VALUE!</v>
      </c>
      <c r="DG437" t="e">
        <f>'Latin America and Caribbean'!D174+"n/&gt;!53n"</f>
        <v>#VALUE!</v>
      </c>
      <c r="DH437" t="e">
        <f>'Latin America and Caribbean'!E174+"n/&gt;!53o"</f>
        <v>#VALUE!</v>
      </c>
      <c r="DI437" t="e">
        <f>'Latin America and Caribbean'!F174+"n/&gt;!53p"</f>
        <v>#VALUE!</v>
      </c>
      <c r="DJ437" t="e">
        <f>'Latin America and Caribbean'!G174+"n/&gt;!53q"</f>
        <v>#VALUE!</v>
      </c>
      <c r="DK437" t="e">
        <f>'Latin America and Caribbean'!H174+"n/&gt;!53r"</f>
        <v>#VALUE!</v>
      </c>
      <c r="DL437" t="e">
        <f>'Latin America and Caribbean'!I174+"n/&gt;!53s"</f>
        <v>#VALUE!</v>
      </c>
      <c r="DM437" t="e">
        <f>'Latin America and Caribbean'!A175+"n/&gt;!53t"</f>
        <v>#VALUE!</v>
      </c>
      <c r="DN437" t="e">
        <f>'Latin America and Caribbean'!B175+"n/&gt;!53u"</f>
        <v>#VALUE!</v>
      </c>
      <c r="DO437" t="e">
        <f>'Latin America and Caribbean'!C175+"n/&gt;!53v"</f>
        <v>#VALUE!</v>
      </c>
      <c r="DP437" t="e">
        <f>'Latin America and Caribbean'!D175+"n/&gt;!53w"</f>
        <v>#VALUE!</v>
      </c>
      <c r="DQ437" t="e">
        <f>'Latin America and Caribbean'!E175+"n/&gt;!53x"</f>
        <v>#VALUE!</v>
      </c>
      <c r="DR437" t="e">
        <f>'Latin America and Caribbean'!F175+"n/&gt;!53y"</f>
        <v>#VALUE!</v>
      </c>
      <c r="DS437" t="e">
        <f>'Latin America and Caribbean'!G175+"n/&gt;!53z"</f>
        <v>#VALUE!</v>
      </c>
      <c r="DT437" t="e">
        <f>'Latin America and Caribbean'!H175+"n/&gt;!53{"</f>
        <v>#VALUE!</v>
      </c>
      <c r="DU437" t="e">
        <f>'Latin America and Caribbean'!I175+"n/&gt;!53|"</f>
        <v>#VALUE!</v>
      </c>
      <c r="DV437" t="e">
        <f>'Latin America and Caribbean'!A176+"n/&gt;!53}"</f>
        <v>#VALUE!</v>
      </c>
      <c r="DW437" t="e">
        <f>'Latin America and Caribbean'!B176+"n/&gt;!53~"</f>
        <v>#VALUE!</v>
      </c>
      <c r="DX437" t="e">
        <f>'Latin America and Caribbean'!C176+"n/&gt;!54#"</f>
        <v>#VALUE!</v>
      </c>
      <c r="DY437" t="e">
        <f>'Latin America and Caribbean'!D176+"n/&gt;!54$"</f>
        <v>#VALUE!</v>
      </c>
      <c r="DZ437" t="e">
        <f>'Latin America and Caribbean'!E176+"n/&gt;!54%"</f>
        <v>#VALUE!</v>
      </c>
      <c r="EA437" t="e">
        <f>'Latin America and Caribbean'!F176+"n/&gt;!54&amp;"</f>
        <v>#VALUE!</v>
      </c>
      <c r="EB437" t="e">
        <f>'Latin America and Caribbean'!G176+"n/&gt;!54'"</f>
        <v>#VALUE!</v>
      </c>
      <c r="EC437" t="e">
        <f>'Latin America and Caribbean'!H176+"n/&gt;!54("</f>
        <v>#VALUE!</v>
      </c>
      <c r="ED437" t="e">
        <f>'Latin America and Caribbean'!I176+"n/&gt;!54)"</f>
        <v>#VALUE!</v>
      </c>
      <c r="EE437" t="e">
        <f>'Latin America and Caribbean'!A177+"n/&gt;!54."</f>
        <v>#VALUE!</v>
      </c>
      <c r="EF437" t="e">
        <f>'Latin America and Caribbean'!B177+"n/&gt;!54/"</f>
        <v>#VALUE!</v>
      </c>
      <c r="EG437" t="e">
        <f>'Latin America and Caribbean'!C177+"n/&gt;!540"</f>
        <v>#VALUE!</v>
      </c>
      <c r="EH437" t="e">
        <f>'Latin America and Caribbean'!D177+"n/&gt;!541"</f>
        <v>#VALUE!</v>
      </c>
      <c r="EI437" t="e">
        <f>'Latin America and Caribbean'!E177+"n/&gt;!542"</f>
        <v>#VALUE!</v>
      </c>
      <c r="EJ437" t="e">
        <f>'Latin America and Caribbean'!F177+"n/&gt;!543"</f>
        <v>#VALUE!</v>
      </c>
      <c r="EK437" t="e">
        <f>'Latin America and Caribbean'!G177+"n/&gt;!544"</f>
        <v>#VALUE!</v>
      </c>
      <c r="EL437" t="e">
        <f>'Latin America and Caribbean'!H177+"n/&gt;!545"</f>
        <v>#VALUE!</v>
      </c>
      <c r="EM437" t="e">
        <f>'Latin America and Caribbean'!I177+"n/&gt;!546"</f>
        <v>#VALUE!</v>
      </c>
      <c r="EN437" t="e">
        <f>'Latin America and Caribbean'!A178+"n/&gt;!547"</f>
        <v>#VALUE!</v>
      </c>
      <c r="EO437" t="e">
        <f>'Latin America and Caribbean'!B178+"n/&gt;!548"</f>
        <v>#VALUE!</v>
      </c>
      <c r="EP437" t="e">
        <f>'Latin America and Caribbean'!C178+"n/&gt;!549"</f>
        <v>#VALUE!</v>
      </c>
      <c r="EQ437" t="e">
        <f>'Latin America and Caribbean'!D178+"n/&gt;!54:"</f>
        <v>#VALUE!</v>
      </c>
      <c r="ER437" t="e">
        <f>'Latin America and Caribbean'!E178+"n/&gt;!54;"</f>
        <v>#VALUE!</v>
      </c>
      <c r="ES437" t="e">
        <f>'Latin America and Caribbean'!F178+"n/&gt;!54&lt;"</f>
        <v>#VALUE!</v>
      </c>
      <c r="ET437" t="e">
        <f>'Latin America and Caribbean'!G178+"n/&gt;!54="</f>
        <v>#VALUE!</v>
      </c>
      <c r="EU437" t="e">
        <f>'Latin America and Caribbean'!H178+"n/&gt;!54&gt;"</f>
        <v>#VALUE!</v>
      </c>
      <c r="EV437" t="e">
        <f>'Latin America and Caribbean'!I178+"n/&gt;!54?"</f>
        <v>#VALUE!</v>
      </c>
      <c r="EW437" t="e">
        <f>'Latin America and Caribbean'!A179+"n/&gt;!54@"</f>
        <v>#VALUE!</v>
      </c>
      <c r="EX437" t="e">
        <f>'Latin America and Caribbean'!B179+"n/&gt;!54A"</f>
        <v>#VALUE!</v>
      </c>
      <c r="EY437" t="e">
        <f>'Latin America and Caribbean'!C179+"n/&gt;!54B"</f>
        <v>#VALUE!</v>
      </c>
      <c r="EZ437" t="e">
        <f>'Latin America and Caribbean'!D179+"n/&gt;!54C"</f>
        <v>#VALUE!</v>
      </c>
      <c r="FA437" t="e">
        <f>'Latin America and Caribbean'!E179+"n/&gt;!54D"</f>
        <v>#VALUE!</v>
      </c>
      <c r="FB437" t="e">
        <f>'Latin America and Caribbean'!F179+"n/&gt;!54E"</f>
        <v>#VALUE!</v>
      </c>
      <c r="FC437" t="e">
        <f>'Latin America and Caribbean'!G179+"n/&gt;!54F"</f>
        <v>#VALUE!</v>
      </c>
      <c r="FD437" t="e">
        <f>'Latin America and Caribbean'!H179+"n/&gt;!54G"</f>
        <v>#VALUE!</v>
      </c>
      <c r="FE437" t="e">
        <f>'Latin America and Caribbean'!I179+"n/&gt;!54H"</f>
        <v>#VALUE!</v>
      </c>
      <c r="FF437" t="e">
        <f>'Latin America and Caribbean'!A180+"n/&gt;!54I"</f>
        <v>#VALUE!</v>
      </c>
      <c r="FG437" t="e">
        <f>'Latin America and Caribbean'!B180+"n/&gt;!54J"</f>
        <v>#VALUE!</v>
      </c>
      <c r="FH437" t="e">
        <f>'Latin America and Caribbean'!C180+"n/&gt;!54K"</f>
        <v>#VALUE!</v>
      </c>
      <c r="FI437" t="e">
        <f>'Latin America and Caribbean'!D180+"n/&gt;!54L"</f>
        <v>#VALUE!</v>
      </c>
      <c r="FJ437" t="e">
        <f>'Latin America and Caribbean'!E180+"n/&gt;!54M"</f>
        <v>#VALUE!</v>
      </c>
      <c r="FK437" t="e">
        <f>'Latin America and Caribbean'!F180+"n/&gt;!54N"</f>
        <v>#VALUE!</v>
      </c>
      <c r="FL437" t="e">
        <f>'Latin America and Caribbean'!G180+"n/&gt;!54O"</f>
        <v>#VALUE!</v>
      </c>
      <c r="FM437" t="e">
        <f>'Latin America and Caribbean'!H180+"n/&gt;!54P"</f>
        <v>#VALUE!</v>
      </c>
      <c r="FN437" t="e">
        <f>'Latin America and Caribbean'!I180+"n/&gt;!54Q"</f>
        <v>#VALUE!</v>
      </c>
      <c r="FO437" t="e">
        <f>'Latin America and Caribbean'!A181+"n/&gt;!54R"</f>
        <v>#VALUE!</v>
      </c>
      <c r="FP437" t="e">
        <f>'Latin America and Caribbean'!B181+"n/&gt;!54S"</f>
        <v>#VALUE!</v>
      </c>
      <c r="FQ437" t="e">
        <f>'Latin America and Caribbean'!C181+"n/&gt;!54T"</f>
        <v>#VALUE!</v>
      </c>
      <c r="FR437" t="e">
        <f>'Latin America and Caribbean'!D181+"n/&gt;!54U"</f>
        <v>#VALUE!</v>
      </c>
      <c r="FS437" t="e">
        <f>'Latin America and Caribbean'!E181+"n/&gt;!54V"</f>
        <v>#VALUE!</v>
      </c>
      <c r="FT437" t="e">
        <f>'Latin America and Caribbean'!F181+"n/&gt;!54W"</f>
        <v>#VALUE!</v>
      </c>
      <c r="FU437" t="e">
        <f>'Latin America and Caribbean'!G181+"n/&gt;!54X"</f>
        <v>#VALUE!</v>
      </c>
      <c r="FV437" t="e">
        <f>'Latin America and Caribbean'!H181+"n/&gt;!54Y"</f>
        <v>#VALUE!</v>
      </c>
      <c r="FW437" t="e">
        <f>'Latin America and Caribbean'!I181+"n/&gt;!54Z"</f>
        <v>#VALUE!</v>
      </c>
      <c r="FX437" t="e">
        <f>'Latin America and Caribbean'!A182+"n/&gt;!54["</f>
        <v>#VALUE!</v>
      </c>
      <c r="FY437" t="e">
        <f>'Latin America and Caribbean'!B182+"n/&gt;!54\"</f>
        <v>#VALUE!</v>
      </c>
      <c r="FZ437" t="e">
        <f>'Latin America and Caribbean'!C182+"n/&gt;!54]"</f>
        <v>#VALUE!</v>
      </c>
      <c r="GA437" t="e">
        <f>'Latin America and Caribbean'!D182+"n/&gt;!54^"</f>
        <v>#VALUE!</v>
      </c>
      <c r="GB437" t="e">
        <f>'Latin America and Caribbean'!E182+"n/&gt;!54_"</f>
        <v>#VALUE!</v>
      </c>
      <c r="GC437" t="e">
        <f>'Latin America and Caribbean'!F182+"n/&gt;!54`"</f>
        <v>#VALUE!</v>
      </c>
      <c r="GD437" t="e">
        <f>'Latin America and Caribbean'!G182+"n/&gt;!54a"</f>
        <v>#VALUE!</v>
      </c>
      <c r="GE437" t="e">
        <f>'Latin America and Caribbean'!H182+"n/&gt;!54b"</f>
        <v>#VALUE!</v>
      </c>
      <c r="GF437" t="e">
        <f>'Latin America and Caribbean'!I182+"n/&gt;!54c"</f>
        <v>#VALUE!</v>
      </c>
      <c r="GG437" t="e">
        <f>'Latin America and Caribbean'!A183+"n/&gt;!54d"</f>
        <v>#VALUE!</v>
      </c>
      <c r="GH437" t="e">
        <f>'Latin America and Caribbean'!B183+"n/&gt;!54e"</f>
        <v>#VALUE!</v>
      </c>
      <c r="GI437" t="e">
        <f>'Latin America and Caribbean'!C183+"n/&gt;!54f"</f>
        <v>#VALUE!</v>
      </c>
      <c r="GJ437" t="e">
        <f>'Latin America and Caribbean'!D183+"n/&gt;!54g"</f>
        <v>#VALUE!</v>
      </c>
      <c r="GK437" t="e">
        <f>'Latin America and Caribbean'!E183+"n/&gt;!54h"</f>
        <v>#VALUE!</v>
      </c>
      <c r="GL437" t="e">
        <f>'Latin America and Caribbean'!F183+"n/&gt;!54i"</f>
        <v>#VALUE!</v>
      </c>
      <c r="GM437" t="e">
        <f>'Latin America and Caribbean'!G183+"n/&gt;!54j"</f>
        <v>#VALUE!</v>
      </c>
      <c r="GN437" t="e">
        <f>'Latin America and Caribbean'!H183+"n/&gt;!54k"</f>
        <v>#VALUE!</v>
      </c>
      <c r="GO437" t="e">
        <f>'Latin America and Caribbean'!I183+"n/&gt;!54l"</f>
        <v>#VALUE!</v>
      </c>
      <c r="GP437" t="e">
        <f>'Latin America and Caribbean'!A184+"n/&gt;!54m"</f>
        <v>#VALUE!</v>
      </c>
      <c r="GQ437" t="e">
        <f>'Latin America and Caribbean'!B184+"n/&gt;!54n"</f>
        <v>#VALUE!</v>
      </c>
      <c r="GR437" t="e">
        <f>'Latin America and Caribbean'!C184+"n/&gt;!54o"</f>
        <v>#VALUE!</v>
      </c>
      <c r="GS437" t="e">
        <f>'Latin America and Caribbean'!D184+"n/&gt;!54p"</f>
        <v>#VALUE!</v>
      </c>
      <c r="GT437" t="e">
        <f>'Latin America and Caribbean'!E184+"n/&gt;!54q"</f>
        <v>#VALUE!</v>
      </c>
      <c r="GU437" t="e">
        <f>'Latin America and Caribbean'!F184+"n/&gt;!54r"</f>
        <v>#VALUE!</v>
      </c>
      <c r="GV437" t="e">
        <f>'Latin America and Caribbean'!G184+"n/&gt;!54s"</f>
        <v>#VALUE!</v>
      </c>
      <c r="GW437" t="e">
        <f>'Latin America and Caribbean'!H184+"n/&gt;!54t"</f>
        <v>#VALUE!</v>
      </c>
      <c r="GX437" t="e">
        <f>'Latin America and Caribbean'!I184+"n/&gt;!54u"</f>
        <v>#VALUE!</v>
      </c>
      <c r="GY437" t="e">
        <f>'Latin America and Caribbean'!A185+"n/&gt;!54v"</f>
        <v>#VALUE!</v>
      </c>
      <c r="GZ437" t="e">
        <f>'Latin America and Caribbean'!B185+"n/&gt;!54w"</f>
        <v>#VALUE!</v>
      </c>
      <c r="HA437" t="e">
        <f>'Latin America and Caribbean'!C185+"n/&gt;!54x"</f>
        <v>#VALUE!</v>
      </c>
      <c r="HB437" t="e">
        <f>'Latin America and Caribbean'!D185+"n/&gt;!54y"</f>
        <v>#VALUE!</v>
      </c>
      <c r="HC437" t="e">
        <f>'Latin America and Caribbean'!E185+"n/&gt;!54z"</f>
        <v>#VALUE!</v>
      </c>
      <c r="HD437" t="e">
        <f>'Latin America and Caribbean'!F185+"n/&gt;!54{"</f>
        <v>#VALUE!</v>
      </c>
      <c r="HE437" t="e">
        <f>'Latin America and Caribbean'!G185+"n/&gt;!54|"</f>
        <v>#VALUE!</v>
      </c>
      <c r="HF437" t="e">
        <f>'Latin America and Caribbean'!H185+"n/&gt;!54}"</f>
        <v>#VALUE!</v>
      </c>
      <c r="HG437" t="e">
        <f>'Latin America and Caribbean'!I185+"n/&gt;!54~"</f>
        <v>#VALUE!</v>
      </c>
      <c r="HH437" t="e">
        <f>'Latin America and Caribbean'!A186+"n/&gt;!55#"</f>
        <v>#VALUE!</v>
      </c>
      <c r="HI437" t="e">
        <f>'Latin America and Caribbean'!B186+"n/&gt;!55$"</f>
        <v>#VALUE!</v>
      </c>
      <c r="HJ437" t="e">
        <f>'Latin America and Caribbean'!C186+"n/&gt;!55%"</f>
        <v>#VALUE!</v>
      </c>
      <c r="HK437" t="e">
        <f>'Latin America and Caribbean'!D186+"n/&gt;!55&amp;"</f>
        <v>#VALUE!</v>
      </c>
      <c r="HL437" t="e">
        <f>'Latin America and Caribbean'!E186+"n/&gt;!55'"</f>
        <v>#VALUE!</v>
      </c>
      <c r="HM437" t="e">
        <f>'Latin America and Caribbean'!F186+"n/&gt;!55("</f>
        <v>#VALUE!</v>
      </c>
      <c r="HN437" t="e">
        <f>'Latin America and Caribbean'!G186+"n/&gt;!55)"</f>
        <v>#VALUE!</v>
      </c>
      <c r="HO437" t="e">
        <f>'Latin America and Caribbean'!H186+"n/&gt;!55."</f>
        <v>#VALUE!</v>
      </c>
      <c r="HP437" t="e">
        <f>'Latin America and Caribbean'!I186+"n/&gt;!55/"</f>
        <v>#VALUE!</v>
      </c>
      <c r="HQ437" t="e">
        <f>'Latin America and Caribbean'!A187+"n/&gt;!550"</f>
        <v>#VALUE!</v>
      </c>
      <c r="HR437" t="e">
        <f>'Latin America and Caribbean'!B187+"n/&gt;!551"</f>
        <v>#VALUE!</v>
      </c>
      <c r="HS437" t="e">
        <f>'Latin America and Caribbean'!C187+"n/&gt;!552"</f>
        <v>#VALUE!</v>
      </c>
      <c r="HT437" t="e">
        <f>'Latin America and Caribbean'!D187+"n/&gt;!553"</f>
        <v>#VALUE!</v>
      </c>
      <c r="HU437" t="e">
        <f>'Latin America and Caribbean'!E187+"n/&gt;!554"</f>
        <v>#VALUE!</v>
      </c>
      <c r="HV437" t="e">
        <f>'Latin America and Caribbean'!F187+"n/&gt;!555"</f>
        <v>#VALUE!</v>
      </c>
      <c r="HW437" t="e">
        <f>'Latin America and Caribbean'!G187+"n/&gt;!556"</f>
        <v>#VALUE!</v>
      </c>
      <c r="HX437" t="e">
        <f>'Latin America and Caribbean'!H187+"n/&gt;!557"</f>
        <v>#VALUE!</v>
      </c>
      <c r="HY437" t="e">
        <f>'Latin America and Caribbean'!I187+"n/&gt;!558"</f>
        <v>#VALUE!</v>
      </c>
      <c r="HZ437" t="e">
        <f>'Latin America and Caribbean'!A188+"n/&gt;!559"</f>
        <v>#VALUE!</v>
      </c>
      <c r="IA437" t="e">
        <f>'Latin America and Caribbean'!B188+"n/&gt;!55:"</f>
        <v>#VALUE!</v>
      </c>
      <c r="IB437" t="e">
        <f>'Latin America and Caribbean'!C188+"n/&gt;!55;"</f>
        <v>#VALUE!</v>
      </c>
      <c r="IC437" t="e">
        <f>'Latin America and Caribbean'!D188+"n/&gt;!55&lt;"</f>
        <v>#VALUE!</v>
      </c>
      <c r="ID437" t="e">
        <f>'Latin America and Caribbean'!E188+"n/&gt;!55="</f>
        <v>#VALUE!</v>
      </c>
      <c r="IE437" t="e">
        <f>'Latin America and Caribbean'!F188+"n/&gt;!55&gt;"</f>
        <v>#VALUE!</v>
      </c>
      <c r="IF437" t="e">
        <f>'Latin America and Caribbean'!G188+"n/&gt;!55?"</f>
        <v>#VALUE!</v>
      </c>
      <c r="IG437" t="e">
        <f>'Latin America and Caribbean'!H188+"n/&gt;!55@"</f>
        <v>#VALUE!</v>
      </c>
      <c r="IH437" t="e">
        <f>'Latin America and Caribbean'!I188+"n/&gt;!55A"</f>
        <v>#VALUE!</v>
      </c>
      <c r="II437" t="e">
        <f>'Latin America and Caribbean'!A189+"n/&gt;!55B"</f>
        <v>#VALUE!</v>
      </c>
      <c r="IJ437" t="e">
        <f>'Latin America and Caribbean'!B189+"n/&gt;!55C"</f>
        <v>#VALUE!</v>
      </c>
      <c r="IK437" t="e">
        <f>'Latin America and Caribbean'!C189+"n/&gt;!55D"</f>
        <v>#VALUE!</v>
      </c>
      <c r="IL437" t="e">
        <f>'Latin America and Caribbean'!D189+"n/&gt;!55E"</f>
        <v>#VALUE!</v>
      </c>
      <c r="IM437" t="e">
        <f>'Latin America and Caribbean'!E189+"n/&gt;!55F"</f>
        <v>#VALUE!</v>
      </c>
      <c r="IN437" t="e">
        <f>'Latin America and Caribbean'!F189+"n/&gt;!55G"</f>
        <v>#VALUE!</v>
      </c>
      <c r="IO437" t="e">
        <f>'Latin America and Caribbean'!G189+"n/&gt;!55H"</f>
        <v>#VALUE!</v>
      </c>
      <c r="IP437" t="e">
        <f>'Latin America and Caribbean'!H189+"n/&gt;!55I"</f>
        <v>#VALUE!</v>
      </c>
      <c r="IQ437" t="e">
        <f>'Latin America and Caribbean'!I189+"n/&gt;!55J"</f>
        <v>#VALUE!</v>
      </c>
      <c r="IR437" t="e">
        <f>'Latin America and Caribbean'!A190+"n/&gt;!55K"</f>
        <v>#VALUE!</v>
      </c>
      <c r="IS437" t="e">
        <f>'Latin America and Caribbean'!B190+"n/&gt;!55L"</f>
        <v>#VALUE!</v>
      </c>
      <c r="IT437" t="e">
        <f>'Latin America and Caribbean'!C190+"n/&gt;!55M"</f>
        <v>#VALUE!</v>
      </c>
      <c r="IU437" t="e">
        <f>'Latin America and Caribbean'!D190+"n/&gt;!55N"</f>
        <v>#VALUE!</v>
      </c>
      <c r="IV437" t="e">
        <f>'Latin America and Caribbean'!E190+"n/&gt;!55O"</f>
        <v>#VALUE!</v>
      </c>
    </row>
    <row r="438" spans="6:256" x14ac:dyDescent="0.35">
      <c r="F438" t="e">
        <f>'Latin America and Caribbean'!F190+"n/&gt;!55P"</f>
        <v>#VALUE!</v>
      </c>
      <c r="G438" t="e">
        <f>'Latin America and Caribbean'!G190+"n/&gt;!55Q"</f>
        <v>#VALUE!</v>
      </c>
      <c r="H438" t="e">
        <f>'Latin America and Caribbean'!H190+"n/&gt;!55R"</f>
        <v>#VALUE!</v>
      </c>
      <c r="I438" t="e">
        <f>'Latin America and Caribbean'!I190+"n/&gt;!55S"</f>
        <v>#VALUE!</v>
      </c>
      <c r="J438" t="e">
        <f>'Latin America and Caribbean'!A191+"n/&gt;!55T"</f>
        <v>#VALUE!</v>
      </c>
      <c r="K438" t="e">
        <f>'Latin America and Caribbean'!B191+"n/&gt;!55U"</f>
        <v>#VALUE!</v>
      </c>
      <c r="L438" t="e">
        <f>'Latin America and Caribbean'!C191+"n/&gt;!55V"</f>
        <v>#VALUE!</v>
      </c>
      <c r="M438" t="e">
        <f>'Latin America and Caribbean'!D191+"n/&gt;!55W"</f>
        <v>#VALUE!</v>
      </c>
      <c r="N438" t="e">
        <f>'Latin America and Caribbean'!E191+"n/&gt;!55X"</f>
        <v>#VALUE!</v>
      </c>
      <c r="O438" t="e">
        <f>'Latin America and Caribbean'!F191+"n/&gt;!55Y"</f>
        <v>#VALUE!</v>
      </c>
      <c r="P438" t="e">
        <f>'Latin America and Caribbean'!G191+"n/&gt;!55Z"</f>
        <v>#VALUE!</v>
      </c>
      <c r="Q438" t="e">
        <f>'Latin America and Caribbean'!H191+"n/&gt;!55["</f>
        <v>#VALUE!</v>
      </c>
      <c r="R438" t="e">
        <f>'Latin America and Caribbean'!I191+"n/&gt;!55\"</f>
        <v>#VALUE!</v>
      </c>
      <c r="S438" t="e">
        <f>'Latin America and Caribbean'!A192+"n/&gt;!55]"</f>
        <v>#VALUE!</v>
      </c>
      <c r="T438" t="e">
        <f>'Latin America and Caribbean'!B192+"n/&gt;!55^"</f>
        <v>#VALUE!</v>
      </c>
      <c r="U438" t="e">
        <f>'Latin America and Caribbean'!C192+"n/&gt;!55_"</f>
        <v>#VALUE!</v>
      </c>
      <c r="V438" t="e">
        <f>'Latin America and Caribbean'!D192+"n/&gt;!55`"</f>
        <v>#VALUE!</v>
      </c>
      <c r="W438" t="e">
        <f>'Latin America and Caribbean'!E192+"n/&gt;!55a"</f>
        <v>#VALUE!</v>
      </c>
      <c r="X438" t="e">
        <f>'Latin America and Caribbean'!F192+"n/&gt;!55b"</f>
        <v>#VALUE!</v>
      </c>
      <c r="Y438" t="e">
        <f>'Latin America and Caribbean'!G192+"n/&gt;!55c"</f>
        <v>#VALUE!</v>
      </c>
      <c r="Z438" t="e">
        <f>'Latin America and Caribbean'!H192+"n/&gt;!55d"</f>
        <v>#VALUE!</v>
      </c>
      <c r="AA438" t="e">
        <f>'Latin America and Caribbean'!I192+"n/&gt;!55e"</f>
        <v>#VALUE!</v>
      </c>
      <c r="AB438" t="e">
        <f>'Latin America and Caribbean'!A193+"n/&gt;!55f"</f>
        <v>#VALUE!</v>
      </c>
      <c r="AC438" t="e">
        <f>'Latin America and Caribbean'!B193+"n/&gt;!55g"</f>
        <v>#VALUE!</v>
      </c>
      <c r="AD438" t="e">
        <f>'Latin America and Caribbean'!C193+"n/&gt;!55h"</f>
        <v>#VALUE!</v>
      </c>
      <c r="AE438" t="e">
        <f>'Latin America and Caribbean'!D193+"n/&gt;!55i"</f>
        <v>#VALUE!</v>
      </c>
      <c r="AF438" t="e">
        <f>'Latin America and Caribbean'!E193+"n/&gt;!55j"</f>
        <v>#VALUE!</v>
      </c>
      <c r="AG438" t="e">
        <f>'Latin America and Caribbean'!F193+"n/&gt;!55k"</f>
        <v>#VALUE!</v>
      </c>
      <c r="AH438" t="e">
        <f>'Latin America and Caribbean'!G193+"n/&gt;!55l"</f>
        <v>#VALUE!</v>
      </c>
      <c r="AI438" t="e">
        <f>'Latin America and Caribbean'!H193+"n/&gt;!55m"</f>
        <v>#VALUE!</v>
      </c>
      <c r="AJ438" t="e">
        <f>'Latin America and Caribbean'!I193+"n/&gt;!55n"</f>
        <v>#VALUE!</v>
      </c>
      <c r="AK438" t="e">
        <f>'Latin America and Caribbean'!A194+"n/&gt;!55o"</f>
        <v>#VALUE!</v>
      </c>
      <c r="AL438" t="e">
        <f>'Latin America and Caribbean'!B194+"n/&gt;!55p"</f>
        <v>#VALUE!</v>
      </c>
      <c r="AM438" t="e">
        <f>'Latin America and Caribbean'!C194+"n/&gt;!55q"</f>
        <v>#VALUE!</v>
      </c>
      <c r="AN438" t="e">
        <f>'Latin America and Caribbean'!D194+"n/&gt;!55r"</f>
        <v>#VALUE!</v>
      </c>
      <c r="AO438" t="e">
        <f>'Latin America and Caribbean'!E194+"n/&gt;!55s"</f>
        <v>#VALUE!</v>
      </c>
      <c r="AP438" t="e">
        <f>'Latin America and Caribbean'!F194+"n/&gt;!55t"</f>
        <v>#VALUE!</v>
      </c>
      <c r="AQ438" t="e">
        <f>'Latin America and Caribbean'!G194+"n/&gt;!55u"</f>
        <v>#VALUE!</v>
      </c>
      <c r="AR438" t="e">
        <f>'Latin America and Caribbean'!H194+"n/&gt;!55v"</f>
        <v>#VALUE!</v>
      </c>
      <c r="AS438" t="e">
        <f>'Latin America and Caribbean'!I194+"n/&gt;!55w"</f>
        <v>#VALUE!</v>
      </c>
      <c r="AT438" t="e">
        <f>'Latin America and Caribbean'!A195+"n/&gt;!55x"</f>
        <v>#VALUE!</v>
      </c>
      <c r="AU438" t="e">
        <f>'Latin America and Caribbean'!B195+"n/&gt;!55y"</f>
        <v>#VALUE!</v>
      </c>
      <c r="AV438" t="e">
        <f>'Latin America and Caribbean'!C195+"n/&gt;!55z"</f>
        <v>#VALUE!</v>
      </c>
      <c r="AW438" t="e">
        <f>'Latin America and Caribbean'!D195+"n/&gt;!55{"</f>
        <v>#VALUE!</v>
      </c>
      <c r="AX438" t="e">
        <f>'Latin America and Caribbean'!E195+"n/&gt;!55|"</f>
        <v>#VALUE!</v>
      </c>
      <c r="AY438" t="e">
        <f>'Latin America and Caribbean'!F195+"n/&gt;!55}"</f>
        <v>#VALUE!</v>
      </c>
      <c r="AZ438" t="e">
        <f>'Latin America and Caribbean'!G195+"n/&gt;!55~"</f>
        <v>#VALUE!</v>
      </c>
      <c r="BA438" t="e">
        <f>'Latin America and Caribbean'!H195+"n/&gt;!56#"</f>
        <v>#VALUE!</v>
      </c>
      <c r="BB438" t="e">
        <f>'Latin America and Caribbean'!I195+"n/&gt;!56$"</f>
        <v>#VALUE!</v>
      </c>
      <c r="BC438" t="e">
        <f>'Latin America and Caribbean'!A196+"n/&gt;!56%"</f>
        <v>#VALUE!</v>
      </c>
      <c r="BD438" t="e">
        <f>'Latin America and Caribbean'!B196+"n/&gt;!56&amp;"</f>
        <v>#VALUE!</v>
      </c>
      <c r="BE438" t="e">
        <f>'Latin America and Caribbean'!C196+"n/&gt;!56'"</f>
        <v>#VALUE!</v>
      </c>
      <c r="BF438" t="e">
        <f>'Latin America and Caribbean'!D196+"n/&gt;!56("</f>
        <v>#VALUE!</v>
      </c>
      <c r="BG438" t="e">
        <f>'Latin America and Caribbean'!E196+"n/&gt;!56)"</f>
        <v>#VALUE!</v>
      </c>
      <c r="BH438" t="e">
        <f>'Latin America and Caribbean'!F196+"n/&gt;!56."</f>
        <v>#VALUE!</v>
      </c>
      <c r="BI438" t="e">
        <f>'Latin America and Caribbean'!G196+"n/&gt;!56/"</f>
        <v>#VALUE!</v>
      </c>
      <c r="BJ438" t="e">
        <f>'Latin America and Caribbean'!H196+"n/&gt;!560"</f>
        <v>#VALUE!</v>
      </c>
      <c r="BK438" t="e">
        <f>'Latin America and Caribbean'!I196+"n/&gt;!561"</f>
        <v>#VALUE!</v>
      </c>
      <c r="BL438" t="e">
        <f>'Latin America and Caribbean'!A197+"n/&gt;!562"</f>
        <v>#VALUE!</v>
      </c>
      <c r="BM438" t="e">
        <f>'Latin America and Caribbean'!B197+"n/&gt;!563"</f>
        <v>#VALUE!</v>
      </c>
      <c r="BN438" t="e">
        <f>'Latin America and Caribbean'!C197+"n/&gt;!564"</f>
        <v>#VALUE!</v>
      </c>
      <c r="BO438" t="e">
        <f>'Latin America and Caribbean'!D197+"n/&gt;!565"</f>
        <v>#VALUE!</v>
      </c>
      <c r="BP438" t="e">
        <f>'Latin America and Caribbean'!E197+"n/&gt;!566"</f>
        <v>#VALUE!</v>
      </c>
      <c r="BQ438" t="e">
        <f>'Latin America and Caribbean'!F197+"n/&gt;!567"</f>
        <v>#VALUE!</v>
      </c>
      <c r="BR438" t="e">
        <f>'Latin America and Caribbean'!G197+"n/&gt;!568"</f>
        <v>#VALUE!</v>
      </c>
      <c r="BS438" t="e">
        <f>'Latin America and Caribbean'!H197+"n/&gt;!569"</f>
        <v>#VALUE!</v>
      </c>
      <c r="BT438" t="e">
        <f>'Latin America and Caribbean'!I197+"n/&gt;!56:"</f>
        <v>#VALUE!</v>
      </c>
      <c r="BU438" t="e">
        <f>'Latin America and Caribbean'!A198+"n/&gt;!56;"</f>
        <v>#VALUE!</v>
      </c>
      <c r="BV438" t="e">
        <f>'Latin America and Caribbean'!B198+"n/&gt;!56&lt;"</f>
        <v>#VALUE!</v>
      </c>
      <c r="BW438" t="e">
        <f>'Latin America and Caribbean'!C198+"n/&gt;!56="</f>
        <v>#VALUE!</v>
      </c>
      <c r="BX438" t="e">
        <f>'Latin America and Caribbean'!D198+"n/&gt;!56&gt;"</f>
        <v>#VALUE!</v>
      </c>
      <c r="BY438" t="e">
        <f>'Latin America and Caribbean'!E198+"n/&gt;!56?"</f>
        <v>#VALUE!</v>
      </c>
      <c r="BZ438" t="e">
        <f>'Latin America and Caribbean'!F198+"n/&gt;!56@"</f>
        <v>#VALUE!</v>
      </c>
      <c r="CA438" t="e">
        <f>'Latin America and Caribbean'!G198+"n/&gt;!56A"</f>
        <v>#VALUE!</v>
      </c>
      <c r="CB438" t="e">
        <f>'Latin America and Caribbean'!H198+"n/&gt;!56B"</f>
        <v>#VALUE!</v>
      </c>
      <c r="CC438" t="e">
        <f>'Latin America and Caribbean'!I198+"n/&gt;!56C"</f>
        <v>#VALUE!</v>
      </c>
      <c r="CD438" t="e">
        <f>'Latin America and Caribbean'!A199+"n/&gt;!56D"</f>
        <v>#VALUE!</v>
      </c>
      <c r="CE438" t="e">
        <f>'Latin America and Caribbean'!B199+"n/&gt;!56E"</f>
        <v>#VALUE!</v>
      </c>
      <c r="CF438" t="e">
        <f>'Latin America and Caribbean'!C199+"n/&gt;!56F"</f>
        <v>#VALUE!</v>
      </c>
      <c r="CG438" t="e">
        <f>'Latin America and Caribbean'!D199+"n/&gt;!56G"</f>
        <v>#VALUE!</v>
      </c>
      <c r="CH438" t="e">
        <f>'Latin America and Caribbean'!E199+"n/&gt;!56H"</f>
        <v>#VALUE!</v>
      </c>
      <c r="CI438" t="e">
        <f>'Latin America and Caribbean'!F199+"n/&gt;!56I"</f>
        <v>#VALUE!</v>
      </c>
      <c r="CJ438" t="e">
        <f>'Latin America and Caribbean'!G199+"n/&gt;!56J"</f>
        <v>#VALUE!</v>
      </c>
      <c r="CK438" t="e">
        <f>'Latin America and Caribbean'!H199+"n/&gt;!56K"</f>
        <v>#VALUE!</v>
      </c>
      <c r="CL438" t="e">
        <f>'Latin America and Caribbean'!I199+"n/&gt;!56L"</f>
        <v>#VALUE!</v>
      </c>
      <c r="CM438" t="e">
        <f>'Latin America and Caribbean'!A200+"n/&gt;!56M"</f>
        <v>#VALUE!</v>
      </c>
      <c r="CN438" t="e">
        <f>'Latin America and Caribbean'!B200+"n/&gt;!56N"</f>
        <v>#VALUE!</v>
      </c>
      <c r="CO438" t="e">
        <f>'Latin America and Caribbean'!C200+"n/&gt;!56O"</f>
        <v>#VALUE!</v>
      </c>
      <c r="CP438" t="e">
        <f>'Latin America and Caribbean'!D200+"n/&gt;!56P"</f>
        <v>#VALUE!</v>
      </c>
      <c r="CQ438" t="e">
        <f>'Latin America and Caribbean'!E200+"n/&gt;!56Q"</f>
        <v>#VALUE!</v>
      </c>
      <c r="CR438" t="e">
        <f>'Latin America and Caribbean'!F200+"n/&gt;!56R"</f>
        <v>#VALUE!</v>
      </c>
      <c r="CS438" t="e">
        <f>'Latin America and Caribbean'!G200+"n/&gt;!56S"</f>
        <v>#VALUE!</v>
      </c>
      <c r="CT438" t="e">
        <f>'Latin America and Caribbean'!H200+"n/&gt;!56T"</f>
        <v>#VALUE!</v>
      </c>
      <c r="CU438" t="e">
        <f>'Latin America and Caribbean'!I200+"n/&gt;!56U"</f>
        <v>#VALUE!</v>
      </c>
      <c r="CV438" t="e">
        <f>'Latin America and Caribbean'!A201+"n/&gt;!56V"</f>
        <v>#VALUE!</v>
      </c>
      <c r="CW438" t="e">
        <f>'Latin America and Caribbean'!B201+"n/&gt;!56W"</f>
        <v>#VALUE!</v>
      </c>
      <c r="CX438" t="e">
        <f>'Latin America and Caribbean'!C201+"n/&gt;!56X"</f>
        <v>#VALUE!</v>
      </c>
      <c r="CY438" t="e">
        <f>'Latin America and Caribbean'!D201+"n/&gt;!56Y"</f>
        <v>#VALUE!</v>
      </c>
      <c r="CZ438" t="e">
        <f>'Latin America and Caribbean'!E201+"n/&gt;!56Z"</f>
        <v>#VALUE!</v>
      </c>
      <c r="DA438" t="e">
        <f>'Latin America and Caribbean'!F201+"n/&gt;!56["</f>
        <v>#VALUE!</v>
      </c>
      <c r="DB438" t="e">
        <f>'Latin America and Caribbean'!G201+"n/&gt;!56\"</f>
        <v>#VALUE!</v>
      </c>
      <c r="DC438" t="e">
        <f>'Latin America and Caribbean'!H201+"n/&gt;!56]"</f>
        <v>#VALUE!</v>
      </c>
      <c r="DD438" t="e">
        <f>'Latin America and Caribbean'!I201+"n/&gt;!56^"</f>
        <v>#VALUE!</v>
      </c>
      <c r="DE438" t="e">
        <f>'Latin America and Caribbean'!A202+"n/&gt;!56_"</f>
        <v>#VALUE!</v>
      </c>
      <c r="DF438" t="e">
        <f>'Latin America and Caribbean'!B202+"n/&gt;!56`"</f>
        <v>#VALUE!</v>
      </c>
      <c r="DG438" t="e">
        <f>'Latin America and Caribbean'!C202+"n/&gt;!56a"</f>
        <v>#VALUE!</v>
      </c>
      <c r="DH438" t="e">
        <f>'Latin America and Caribbean'!D202+"n/&gt;!56b"</f>
        <v>#VALUE!</v>
      </c>
      <c r="DI438" t="e">
        <f>'Latin America and Caribbean'!E202+"n/&gt;!56c"</f>
        <v>#VALUE!</v>
      </c>
      <c r="DJ438" t="e">
        <f>'Latin America and Caribbean'!F202+"n/&gt;!56d"</f>
        <v>#VALUE!</v>
      </c>
      <c r="DK438" t="e">
        <f>'Latin America and Caribbean'!G202+"n/&gt;!56e"</f>
        <v>#VALUE!</v>
      </c>
      <c r="DL438" t="e">
        <f>'Latin America and Caribbean'!H202+"n/&gt;!56f"</f>
        <v>#VALUE!</v>
      </c>
      <c r="DM438" t="e">
        <f>'Latin America and Caribbean'!I202+"n/&gt;!56g"</f>
        <v>#VALUE!</v>
      </c>
      <c r="DN438" t="e">
        <f>'Latin America and Caribbean'!A203+"n/&gt;!56h"</f>
        <v>#VALUE!</v>
      </c>
      <c r="DO438" t="e">
        <f>'Latin America and Caribbean'!B203+"n/&gt;!56i"</f>
        <v>#VALUE!</v>
      </c>
      <c r="DP438" t="e">
        <f>'Latin America and Caribbean'!C203+"n/&gt;!56j"</f>
        <v>#VALUE!</v>
      </c>
      <c r="DQ438" t="e">
        <f>'Latin America and Caribbean'!D203+"n/&gt;!56k"</f>
        <v>#VALUE!</v>
      </c>
      <c r="DR438" t="e">
        <f>'Latin America and Caribbean'!E203+"n/&gt;!56l"</f>
        <v>#VALUE!</v>
      </c>
      <c r="DS438" t="e">
        <f>'Latin America and Caribbean'!F203+"n/&gt;!56m"</f>
        <v>#VALUE!</v>
      </c>
      <c r="DT438" t="e">
        <f>'Latin America and Caribbean'!G203+"n/&gt;!56n"</f>
        <v>#VALUE!</v>
      </c>
      <c r="DU438" t="e">
        <f>'Latin America and Caribbean'!H203+"n/&gt;!56o"</f>
        <v>#VALUE!</v>
      </c>
      <c r="DV438" t="e">
        <f>'Latin America and Caribbean'!I203+"n/&gt;!56p"</f>
        <v>#VALUE!</v>
      </c>
      <c r="DW438" t="e">
        <f>'Latin America and Caribbean'!A204+"n/&gt;!56q"</f>
        <v>#VALUE!</v>
      </c>
      <c r="DX438" t="e">
        <f>'Latin America and Caribbean'!B204+"n/&gt;!56r"</f>
        <v>#VALUE!</v>
      </c>
      <c r="DY438" t="e">
        <f>'Latin America and Caribbean'!C204+"n/&gt;!56s"</f>
        <v>#VALUE!</v>
      </c>
      <c r="DZ438" t="e">
        <f>'Latin America and Caribbean'!D204+"n/&gt;!56t"</f>
        <v>#VALUE!</v>
      </c>
      <c r="EA438" t="e">
        <f>'Latin America and Caribbean'!E204+"n/&gt;!56u"</f>
        <v>#VALUE!</v>
      </c>
      <c r="EB438" t="e">
        <f>'Latin America and Caribbean'!F204+"n/&gt;!56v"</f>
        <v>#VALUE!</v>
      </c>
      <c r="EC438" t="e">
        <f>'Latin America and Caribbean'!G204+"n/&gt;!56w"</f>
        <v>#VALUE!</v>
      </c>
      <c r="ED438" t="e">
        <f>'Latin America and Caribbean'!H204+"n/&gt;!56x"</f>
        <v>#VALUE!</v>
      </c>
      <c r="EE438" t="e">
        <f>'Latin America and Caribbean'!I204+"n/&gt;!56y"</f>
        <v>#VALUE!</v>
      </c>
      <c r="EF438" t="e">
        <f>'Latin America and Caribbean'!A205+"n/&gt;!56z"</f>
        <v>#VALUE!</v>
      </c>
      <c r="EG438" t="e">
        <f>'Latin America and Caribbean'!B205+"n/&gt;!56{"</f>
        <v>#VALUE!</v>
      </c>
      <c r="EH438" t="e">
        <f>'Latin America and Caribbean'!C205+"n/&gt;!56|"</f>
        <v>#VALUE!</v>
      </c>
      <c r="EI438" t="e">
        <f>'Latin America and Caribbean'!D205+"n/&gt;!56}"</f>
        <v>#VALUE!</v>
      </c>
      <c r="EJ438" t="e">
        <f>'Latin America and Caribbean'!E205+"n/&gt;!56~"</f>
        <v>#VALUE!</v>
      </c>
      <c r="EK438" t="e">
        <f>'Latin America and Caribbean'!F205+"n/&gt;!57#"</f>
        <v>#VALUE!</v>
      </c>
      <c r="EL438" t="e">
        <f>'Latin America and Caribbean'!G205+"n/&gt;!57$"</f>
        <v>#VALUE!</v>
      </c>
      <c r="EM438" t="e">
        <f>'Latin America and Caribbean'!H205+"n/&gt;!57%"</f>
        <v>#VALUE!</v>
      </c>
      <c r="EN438" t="e">
        <f>'Latin America and Caribbean'!I205+"n/&gt;!57&amp;"</f>
        <v>#VALUE!</v>
      </c>
      <c r="EO438" t="e">
        <f>'Latin America and Caribbean'!A206+"n/&gt;!57'"</f>
        <v>#VALUE!</v>
      </c>
      <c r="EP438" t="e">
        <f>'Latin America and Caribbean'!B206+"n/&gt;!57("</f>
        <v>#VALUE!</v>
      </c>
      <c r="EQ438" t="e">
        <f>'Latin America and Caribbean'!C206+"n/&gt;!57)"</f>
        <v>#VALUE!</v>
      </c>
      <c r="ER438" t="e">
        <f>'Latin America and Caribbean'!D206+"n/&gt;!57."</f>
        <v>#VALUE!</v>
      </c>
      <c r="ES438" t="e">
        <f>'Latin America and Caribbean'!E206+"n/&gt;!57/"</f>
        <v>#VALUE!</v>
      </c>
      <c r="ET438" t="e">
        <f>'Latin America and Caribbean'!F206+"n/&gt;!570"</f>
        <v>#VALUE!</v>
      </c>
      <c r="EU438" t="e">
        <f>'Latin America and Caribbean'!G206+"n/&gt;!571"</f>
        <v>#VALUE!</v>
      </c>
      <c r="EV438" t="e">
        <f>'Latin America and Caribbean'!H206+"n/&gt;!572"</f>
        <v>#VALUE!</v>
      </c>
      <c r="EW438" t="e">
        <f>'Latin America and Caribbean'!I206+"n/&gt;!573"</f>
        <v>#VALUE!</v>
      </c>
      <c r="EX438" t="e">
        <f>'Latin America and Caribbean'!A207+"n/&gt;!574"</f>
        <v>#VALUE!</v>
      </c>
      <c r="EY438" t="e">
        <f>'Latin America and Caribbean'!B207+"n/&gt;!575"</f>
        <v>#VALUE!</v>
      </c>
      <c r="EZ438" t="e">
        <f>'Latin America and Caribbean'!C207+"n/&gt;!576"</f>
        <v>#VALUE!</v>
      </c>
      <c r="FA438" t="e">
        <f>'Latin America and Caribbean'!D207+"n/&gt;!577"</f>
        <v>#VALUE!</v>
      </c>
      <c r="FB438" t="e">
        <f>'Latin America and Caribbean'!E207+"n/&gt;!578"</f>
        <v>#VALUE!</v>
      </c>
      <c r="FC438" t="e">
        <f>'Latin America and Caribbean'!F207+"n/&gt;!579"</f>
        <v>#VALUE!</v>
      </c>
      <c r="FD438" t="e">
        <f>'Latin America and Caribbean'!G207+"n/&gt;!57:"</f>
        <v>#VALUE!</v>
      </c>
      <c r="FE438" t="e">
        <f>'Latin America and Caribbean'!H207+"n/&gt;!57;"</f>
        <v>#VALUE!</v>
      </c>
      <c r="FF438" t="e">
        <f>'Latin America and Caribbean'!I207+"n/&gt;!57&lt;"</f>
        <v>#VALUE!</v>
      </c>
      <c r="FG438" t="e">
        <f>'Latin America and Caribbean'!A208+"n/&gt;!57="</f>
        <v>#VALUE!</v>
      </c>
      <c r="FH438" t="e">
        <f>'Latin America and Caribbean'!B208+"n/&gt;!57&gt;"</f>
        <v>#VALUE!</v>
      </c>
      <c r="FI438" t="e">
        <f>'Latin America and Caribbean'!C208+"n/&gt;!57?"</f>
        <v>#VALUE!</v>
      </c>
      <c r="FJ438" t="e">
        <f>'Latin America and Caribbean'!D208+"n/&gt;!57@"</f>
        <v>#VALUE!</v>
      </c>
      <c r="FK438" t="e">
        <f>'Latin America and Caribbean'!E208+"n/&gt;!57A"</f>
        <v>#VALUE!</v>
      </c>
      <c r="FL438" t="e">
        <f>'Latin America and Caribbean'!F208+"n/&gt;!57B"</f>
        <v>#VALUE!</v>
      </c>
      <c r="FM438" t="e">
        <f>'Latin America and Caribbean'!G208+"n/&gt;!57C"</f>
        <v>#VALUE!</v>
      </c>
      <c r="FN438" t="e">
        <f>'Latin America and Caribbean'!H208+"n/&gt;!57D"</f>
        <v>#VALUE!</v>
      </c>
      <c r="FO438" t="e">
        <f>'Latin America and Caribbean'!I208+"n/&gt;!57E"</f>
        <v>#VALUE!</v>
      </c>
      <c r="FP438" t="e">
        <f>'Latin America and Caribbean'!A209+"n/&gt;!57F"</f>
        <v>#VALUE!</v>
      </c>
      <c r="FQ438" t="e">
        <f>'Latin America and Caribbean'!B209+"n/&gt;!57G"</f>
        <v>#VALUE!</v>
      </c>
      <c r="FR438" t="e">
        <f>'Latin America and Caribbean'!C209+"n/&gt;!57H"</f>
        <v>#VALUE!</v>
      </c>
      <c r="FS438" t="e">
        <f>'Latin America and Caribbean'!D209+"n/&gt;!57I"</f>
        <v>#VALUE!</v>
      </c>
      <c r="FT438" t="e">
        <f>'Latin America and Caribbean'!E209+"n/&gt;!57J"</f>
        <v>#VALUE!</v>
      </c>
      <c r="FU438" t="e">
        <f>'Latin America and Caribbean'!F209+"n/&gt;!57K"</f>
        <v>#VALUE!</v>
      </c>
      <c r="FV438" t="e">
        <f>'Latin America and Caribbean'!G209+"n/&gt;!57L"</f>
        <v>#VALUE!</v>
      </c>
      <c r="FW438" t="e">
        <f>'Latin America and Caribbean'!H209+"n/&gt;!57M"</f>
        <v>#VALUE!</v>
      </c>
      <c r="FX438" t="e">
        <f>'Latin America and Caribbean'!I209+"n/&gt;!57N"</f>
        <v>#VALUE!</v>
      </c>
      <c r="FY438" t="e">
        <f>'Latin America and Caribbean'!A210+"n/&gt;!57O"</f>
        <v>#VALUE!</v>
      </c>
      <c r="FZ438" t="e">
        <f>'Latin America and Caribbean'!B210+"n/&gt;!57P"</f>
        <v>#VALUE!</v>
      </c>
      <c r="GA438" t="e">
        <f>'Latin America and Caribbean'!C210+"n/&gt;!57Q"</f>
        <v>#VALUE!</v>
      </c>
      <c r="GB438" t="e">
        <f>'Latin America and Caribbean'!D210+"n/&gt;!57R"</f>
        <v>#VALUE!</v>
      </c>
      <c r="GC438" t="e">
        <f>'Latin America and Caribbean'!E210+"n/&gt;!57S"</f>
        <v>#VALUE!</v>
      </c>
      <c r="GD438" t="e">
        <f>'Latin America and Caribbean'!F210+"n/&gt;!57T"</f>
        <v>#VALUE!</v>
      </c>
      <c r="GE438" t="e">
        <f>'Latin America and Caribbean'!G210+"n/&gt;!57U"</f>
        <v>#VALUE!</v>
      </c>
      <c r="GF438" t="e">
        <f>'Latin America and Caribbean'!H210+"n/&gt;!57V"</f>
        <v>#VALUE!</v>
      </c>
      <c r="GG438" t="e">
        <f>'Latin America and Caribbean'!I210+"n/&gt;!57W"</f>
        <v>#VALUE!</v>
      </c>
      <c r="GH438" t="e">
        <f>'Latin America and Caribbean'!A211+"n/&gt;!57X"</f>
        <v>#VALUE!</v>
      </c>
      <c r="GI438" t="e">
        <f>'Latin America and Caribbean'!B211+"n/&gt;!57Y"</f>
        <v>#VALUE!</v>
      </c>
      <c r="GJ438" t="e">
        <f>'Latin America and Caribbean'!C211+"n/&gt;!57Z"</f>
        <v>#VALUE!</v>
      </c>
      <c r="GK438" t="e">
        <f>'Latin America and Caribbean'!D211+"n/&gt;!57["</f>
        <v>#VALUE!</v>
      </c>
      <c r="GL438" t="e">
        <f>'Latin America and Caribbean'!E211+"n/&gt;!57\"</f>
        <v>#VALUE!</v>
      </c>
      <c r="GM438" t="e">
        <f>'Latin America and Caribbean'!F211+"n/&gt;!57]"</f>
        <v>#VALUE!</v>
      </c>
      <c r="GN438" t="e">
        <f>'Latin America and Caribbean'!G211+"n/&gt;!57^"</f>
        <v>#VALUE!</v>
      </c>
      <c r="GO438" t="e">
        <f>'Latin America and Caribbean'!H211+"n/&gt;!57_"</f>
        <v>#VALUE!</v>
      </c>
      <c r="GP438" t="e">
        <f>'Latin America and Caribbean'!I211+"n/&gt;!57`"</f>
        <v>#VALUE!</v>
      </c>
      <c r="GQ438" t="e">
        <f>'Latin America and Caribbean'!A212+"n/&gt;!57a"</f>
        <v>#VALUE!</v>
      </c>
      <c r="GR438" t="e">
        <f>'Latin America and Caribbean'!B212+"n/&gt;!57b"</f>
        <v>#VALUE!</v>
      </c>
      <c r="GS438" t="e">
        <f>'Latin America and Caribbean'!C212+"n/&gt;!57c"</f>
        <v>#VALUE!</v>
      </c>
      <c r="GT438" t="e">
        <f>'Latin America and Caribbean'!D212+"n/&gt;!57d"</f>
        <v>#VALUE!</v>
      </c>
      <c r="GU438" t="e">
        <f>'Latin America and Caribbean'!E212+"n/&gt;!57e"</f>
        <v>#VALUE!</v>
      </c>
      <c r="GV438" t="e">
        <f>'Latin America and Caribbean'!F212+"n/&gt;!57f"</f>
        <v>#VALUE!</v>
      </c>
      <c r="GW438" t="e">
        <f>'Latin America and Caribbean'!G212+"n/&gt;!57g"</f>
        <v>#VALUE!</v>
      </c>
      <c r="GX438" t="e">
        <f>'Latin America and Caribbean'!H212+"n/&gt;!57h"</f>
        <v>#VALUE!</v>
      </c>
      <c r="GY438" t="e">
        <f>'Latin America and Caribbean'!I212+"n/&gt;!57i"</f>
        <v>#VALUE!</v>
      </c>
      <c r="GZ438" t="e">
        <f>'Latin America and Caribbean'!A213+"n/&gt;!57j"</f>
        <v>#VALUE!</v>
      </c>
      <c r="HA438" t="e">
        <f>'Latin America and Caribbean'!B213+"n/&gt;!57k"</f>
        <v>#VALUE!</v>
      </c>
      <c r="HB438" t="e">
        <f>'Latin America and Caribbean'!C213+"n/&gt;!57l"</f>
        <v>#VALUE!</v>
      </c>
      <c r="HC438" t="e">
        <f>'Latin America and Caribbean'!D213+"n/&gt;!57m"</f>
        <v>#VALUE!</v>
      </c>
      <c r="HD438" t="e">
        <f>'Latin America and Caribbean'!E213+"n/&gt;!57n"</f>
        <v>#VALUE!</v>
      </c>
      <c r="HE438" t="e">
        <f>'Latin America and Caribbean'!F213+"n/&gt;!57o"</f>
        <v>#VALUE!</v>
      </c>
      <c r="HF438" t="e">
        <f>'Latin America and Caribbean'!G213+"n/&gt;!57p"</f>
        <v>#VALUE!</v>
      </c>
      <c r="HG438" t="e">
        <f>'Latin America and Caribbean'!H213+"n/&gt;!57q"</f>
        <v>#VALUE!</v>
      </c>
      <c r="HH438" t="e">
        <f>'Latin America and Caribbean'!I213+"n/&gt;!57r"</f>
        <v>#VALUE!</v>
      </c>
      <c r="HI438" t="e">
        <f>'Latin America and Caribbean'!A214+"n/&gt;!57s"</f>
        <v>#VALUE!</v>
      </c>
      <c r="HJ438" t="e">
        <f>'Latin America and Caribbean'!B214+"n/&gt;!57t"</f>
        <v>#VALUE!</v>
      </c>
      <c r="HK438" t="e">
        <f>'Latin America and Caribbean'!C214+"n/&gt;!57u"</f>
        <v>#VALUE!</v>
      </c>
      <c r="HL438" t="e">
        <f>'Latin America and Caribbean'!D214+"n/&gt;!57v"</f>
        <v>#VALUE!</v>
      </c>
      <c r="HM438" t="e">
        <f>'Latin America and Caribbean'!E214+"n/&gt;!57w"</f>
        <v>#VALUE!</v>
      </c>
      <c r="HN438" t="e">
        <f>'Latin America and Caribbean'!F214+"n/&gt;!57x"</f>
        <v>#VALUE!</v>
      </c>
      <c r="HO438" t="e">
        <f>'Latin America and Caribbean'!G214+"n/&gt;!57y"</f>
        <v>#VALUE!</v>
      </c>
      <c r="HP438" t="e">
        <f>'Latin America and Caribbean'!H214+"n/&gt;!57z"</f>
        <v>#VALUE!</v>
      </c>
      <c r="HQ438" t="e">
        <f>'Latin America and Caribbean'!I214+"n/&gt;!57{"</f>
        <v>#VALUE!</v>
      </c>
      <c r="HR438" t="e">
        <f>'Latin America and Caribbean'!A215+"n/&gt;!57|"</f>
        <v>#VALUE!</v>
      </c>
      <c r="HS438" t="e">
        <f>'Latin America and Caribbean'!B215+"n/&gt;!57}"</f>
        <v>#VALUE!</v>
      </c>
      <c r="HT438" t="e">
        <f>'Latin America and Caribbean'!C215+"n/&gt;!57~"</f>
        <v>#VALUE!</v>
      </c>
      <c r="HU438" t="e">
        <f>'Latin America and Caribbean'!D215+"n/&gt;!58#"</f>
        <v>#VALUE!</v>
      </c>
      <c r="HV438" t="e">
        <f>'Latin America and Caribbean'!E215+"n/&gt;!58$"</f>
        <v>#VALUE!</v>
      </c>
      <c r="HW438" t="e">
        <f>'Latin America and Caribbean'!F215+"n/&gt;!58%"</f>
        <v>#VALUE!</v>
      </c>
      <c r="HX438" t="e">
        <f>'Latin America and Caribbean'!G215+"n/&gt;!58&amp;"</f>
        <v>#VALUE!</v>
      </c>
      <c r="HY438" t="e">
        <f>'Latin America and Caribbean'!H215+"n/&gt;!58'"</f>
        <v>#VALUE!</v>
      </c>
      <c r="HZ438" t="e">
        <f>'Latin America and Caribbean'!I215+"n/&gt;!58("</f>
        <v>#VALUE!</v>
      </c>
      <c r="IA438" t="e">
        <f>'Latin America and Caribbean'!A216+"n/&gt;!58)"</f>
        <v>#VALUE!</v>
      </c>
      <c r="IB438" t="e">
        <f>'Latin America and Caribbean'!B216+"n/&gt;!58."</f>
        <v>#VALUE!</v>
      </c>
      <c r="IC438" t="e">
        <f>'Latin America and Caribbean'!C216+"n/&gt;!58/"</f>
        <v>#VALUE!</v>
      </c>
      <c r="ID438" t="e">
        <f>'Latin America and Caribbean'!D216+"n/&gt;!580"</f>
        <v>#VALUE!</v>
      </c>
      <c r="IE438" t="e">
        <f>'Latin America and Caribbean'!E216+"n/&gt;!581"</f>
        <v>#VALUE!</v>
      </c>
      <c r="IF438" t="e">
        <f>'Latin America and Caribbean'!F216+"n/&gt;!582"</f>
        <v>#VALUE!</v>
      </c>
      <c r="IG438" t="e">
        <f>'Latin America and Caribbean'!G216+"n/&gt;!583"</f>
        <v>#VALUE!</v>
      </c>
      <c r="IH438" t="e">
        <f>'Latin America and Caribbean'!H216+"n/&gt;!584"</f>
        <v>#VALUE!</v>
      </c>
      <c r="II438" t="e">
        <f>'Latin America and Caribbean'!I216+"n/&gt;!585"</f>
        <v>#VALUE!</v>
      </c>
      <c r="IJ438" t="e">
        <f>'Latin America and Caribbean'!A217+"n/&gt;!586"</f>
        <v>#VALUE!</v>
      </c>
      <c r="IK438" t="e">
        <f>'Latin America and Caribbean'!B217+"n/&gt;!587"</f>
        <v>#VALUE!</v>
      </c>
      <c r="IL438" t="e">
        <f>'Latin America and Caribbean'!C217+"n/&gt;!588"</f>
        <v>#VALUE!</v>
      </c>
      <c r="IM438" t="e">
        <f>'Latin America and Caribbean'!D217+"n/&gt;!589"</f>
        <v>#VALUE!</v>
      </c>
      <c r="IN438" t="e">
        <f>'Latin America and Caribbean'!E217+"n/&gt;!58:"</f>
        <v>#VALUE!</v>
      </c>
      <c r="IO438" t="e">
        <f>'Latin America and Caribbean'!F217+"n/&gt;!58;"</f>
        <v>#VALUE!</v>
      </c>
      <c r="IP438" t="e">
        <f>'Latin America and Caribbean'!G217+"n/&gt;!58&lt;"</f>
        <v>#VALUE!</v>
      </c>
      <c r="IQ438" t="e">
        <f>'Latin America and Caribbean'!H217+"n/&gt;!58="</f>
        <v>#VALUE!</v>
      </c>
      <c r="IR438" t="e">
        <f>'Latin America and Caribbean'!I217+"n/&gt;!58&gt;"</f>
        <v>#VALUE!</v>
      </c>
      <c r="IS438" t="e">
        <f>'Latin America and Caribbean'!A218+"n/&gt;!58?"</f>
        <v>#VALUE!</v>
      </c>
      <c r="IT438" t="e">
        <f>'Latin America and Caribbean'!B218+"n/&gt;!58@"</f>
        <v>#VALUE!</v>
      </c>
      <c r="IU438" t="e">
        <f>'Latin America and Caribbean'!C218+"n/&gt;!58A"</f>
        <v>#VALUE!</v>
      </c>
      <c r="IV438" t="e">
        <f>'Latin America and Caribbean'!D218+"n/&gt;!58B"</f>
        <v>#VALUE!</v>
      </c>
    </row>
    <row r="439" spans="6:256" x14ac:dyDescent="0.35">
      <c r="F439" t="e">
        <f>'Latin America and Caribbean'!E218+"n/&gt;!58C"</f>
        <v>#VALUE!</v>
      </c>
      <c r="G439" t="e">
        <f>'Latin America and Caribbean'!F218+"n/&gt;!58D"</f>
        <v>#VALUE!</v>
      </c>
      <c r="H439" t="e">
        <f>'Latin America and Caribbean'!G218+"n/&gt;!58E"</f>
        <v>#VALUE!</v>
      </c>
      <c r="I439" t="e">
        <f>'Latin America and Caribbean'!H218+"n/&gt;!58F"</f>
        <v>#VALUE!</v>
      </c>
      <c r="J439" t="e">
        <f>'Latin America and Caribbean'!I218+"n/&gt;!58G"</f>
        <v>#VALUE!</v>
      </c>
      <c r="K439" t="e">
        <f>'Latin America and Caribbean'!A219+"n/&gt;!58H"</f>
        <v>#VALUE!</v>
      </c>
      <c r="L439" t="e">
        <f>'Latin America and Caribbean'!B219+"n/&gt;!58I"</f>
        <v>#VALUE!</v>
      </c>
      <c r="M439" t="e">
        <f>'Latin America and Caribbean'!C219+"n/&gt;!58J"</f>
        <v>#VALUE!</v>
      </c>
      <c r="N439" t="e">
        <f>'Latin America and Caribbean'!D219+"n/&gt;!58K"</f>
        <v>#VALUE!</v>
      </c>
      <c r="O439" t="e">
        <f>'Latin America and Caribbean'!E219+"n/&gt;!58L"</f>
        <v>#VALUE!</v>
      </c>
      <c r="P439" t="e">
        <f>'Latin America and Caribbean'!F219+"n/&gt;!58M"</f>
        <v>#VALUE!</v>
      </c>
      <c r="Q439" t="e">
        <f>'Latin America and Caribbean'!G219+"n/&gt;!58N"</f>
        <v>#VALUE!</v>
      </c>
      <c r="R439" t="e">
        <f>'Latin America and Caribbean'!H219+"n/&gt;!58O"</f>
        <v>#VALUE!</v>
      </c>
      <c r="S439" t="e">
        <f>'Latin America and Caribbean'!I219+"n/&gt;!58P"</f>
        <v>#VALUE!</v>
      </c>
      <c r="T439" t="e">
        <f>'Latin America and Caribbean'!A220+"n/&gt;!58Q"</f>
        <v>#VALUE!</v>
      </c>
      <c r="U439" t="e">
        <f>'Latin America and Caribbean'!B220+"n/&gt;!58R"</f>
        <v>#VALUE!</v>
      </c>
      <c r="V439" t="e">
        <f>'Latin America and Caribbean'!C220+"n/&gt;!58S"</f>
        <v>#VALUE!</v>
      </c>
      <c r="W439" t="e">
        <f>'Latin America and Caribbean'!D220+"n/&gt;!58T"</f>
        <v>#VALUE!</v>
      </c>
      <c r="X439" t="e">
        <f>'Latin America and Caribbean'!E220+"n/&gt;!58U"</f>
        <v>#VALUE!</v>
      </c>
      <c r="Y439" t="e">
        <f>'Latin America and Caribbean'!F220+"n/&gt;!58V"</f>
        <v>#VALUE!</v>
      </c>
      <c r="Z439" t="e">
        <f>'Latin America and Caribbean'!G220+"n/&gt;!58W"</f>
        <v>#VALUE!</v>
      </c>
      <c r="AA439" t="e">
        <f>'Latin America and Caribbean'!H220+"n/&gt;!58X"</f>
        <v>#VALUE!</v>
      </c>
      <c r="AB439" t="e">
        <f>'Latin America and Caribbean'!I220+"n/&gt;!58Y"</f>
        <v>#VALUE!</v>
      </c>
      <c r="AC439" t="e">
        <f>'Latin America and Caribbean'!A221+"n/&gt;!58Z"</f>
        <v>#VALUE!</v>
      </c>
      <c r="AD439" t="e">
        <f>'Latin America and Caribbean'!B221+"n/&gt;!58["</f>
        <v>#VALUE!</v>
      </c>
      <c r="AE439" t="e">
        <f>'Latin America and Caribbean'!C221+"n/&gt;!58\"</f>
        <v>#VALUE!</v>
      </c>
      <c r="AF439" t="e">
        <f>'Latin America and Caribbean'!D221+"n/&gt;!58]"</f>
        <v>#VALUE!</v>
      </c>
      <c r="AG439" t="e">
        <f>'Latin America and Caribbean'!E221+"n/&gt;!58^"</f>
        <v>#VALUE!</v>
      </c>
      <c r="AH439" t="e">
        <f>'Latin America and Caribbean'!F221+"n/&gt;!58_"</f>
        <v>#VALUE!</v>
      </c>
      <c r="AI439" t="e">
        <f>'Latin America and Caribbean'!G221+"n/&gt;!58`"</f>
        <v>#VALUE!</v>
      </c>
      <c r="AJ439" t="e">
        <f>'Latin America and Caribbean'!H221+"n/&gt;!58a"</f>
        <v>#VALUE!</v>
      </c>
      <c r="AK439" t="e">
        <f>'Latin America and Caribbean'!I221+"n/&gt;!58b"</f>
        <v>#VALUE!</v>
      </c>
      <c r="AL439" t="e">
        <f>'Latin America and Caribbean'!A222+"n/&gt;!58c"</f>
        <v>#VALUE!</v>
      </c>
      <c r="AM439" t="e">
        <f>'Latin America and Caribbean'!B222+"n/&gt;!58d"</f>
        <v>#VALUE!</v>
      </c>
      <c r="AN439" t="e">
        <f>'Latin America and Caribbean'!C222+"n/&gt;!58e"</f>
        <v>#VALUE!</v>
      </c>
      <c r="AO439" t="e">
        <f>'Latin America and Caribbean'!D222+"n/&gt;!58f"</f>
        <v>#VALUE!</v>
      </c>
      <c r="AP439" t="e">
        <f>'Latin America and Caribbean'!E222+"n/&gt;!58g"</f>
        <v>#VALUE!</v>
      </c>
      <c r="AQ439" t="e">
        <f>'Latin America and Caribbean'!F222+"n/&gt;!58h"</f>
        <v>#VALUE!</v>
      </c>
      <c r="AR439" t="e">
        <f>'Latin America and Caribbean'!G222+"n/&gt;!58i"</f>
        <v>#VALUE!</v>
      </c>
      <c r="AS439" t="e">
        <f>'Latin America and Caribbean'!H222+"n/&gt;!58j"</f>
        <v>#VALUE!</v>
      </c>
      <c r="AT439" t="e">
        <f>'Latin America and Caribbean'!I222+"n/&gt;!58k"</f>
        <v>#VALUE!</v>
      </c>
      <c r="AU439" t="e">
        <f>'Latin America and Caribbean'!A223+"n/&gt;!58l"</f>
        <v>#VALUE!</v>
      </c>
      <c r="AV439" t="e">
        <f>'Latin America and Caribbean'!B223+"n/&gt;!58m"</f>
        <v>#VALUE!</v>
      </c>
      <c r="AW439" t="e">
        <f>'Latin America and Caribbean'!C223+"n/&gt;!58n"</f>
        <v>#VALUE!</v>
      </c>
      <c r="AX439" t="e">
        <f>'Latin America and Caribbean'!D223+"n/&gt;!58o"</f>
        <v>#VALUE!</v>
      </c>
      <c r="AY439" t="e">
        <f>'Latin America and Caribbean'!E223+"n/&gt;!58p"</f>
        <v>#VALUE!</v>
      </c>
      <c r="AZ439" t="e">
        <f>'Latin America and Caribbean'!F223+"n/&gt;!58q"</f>
        <v>#VALUE!</v>
      </c>
      <c r="BA439" t="e">
        <f>'Latin America and Caribbean'!G223+"n/&gt;!58r"</f>
        <v>#VALUE!</v>
      </c>
      <c r="BB439" t="e">
        <f>'Latin America and Caribbean'!H223+"n/&gt;!58s"</f>
        <v>#VALUE!</v>
      </c>
      <c r="BC439" t="e">
        <f>'Latin America and Caribbean'!I223+"n/&gt;!58t"</f>
        <v>#VALUE!</v>
      </c>
      <c r="BD439" t="e">
        <f>'Latin America and Caribbean'!A224+"n/&gt;!58u"</f>
        <v>#VALUE!</v>
      </c>
      <c r="BE439" t="e">
        <f>'Latin America and Caribbean'!B224+"n/&gt;!58v"</f>
        <v>#VALUE!</v>
      </c>
      <c r="BF439" t="e">
        <f>'Latin America and Caribbean'!C224+"n/&gt;!58w"</f>
        <v>#VALUE!</v>
      </c>
      <c r="BG439" t="e">
        <f>'Latin America and Caribbean'!D224+"n/&gt;!58x"</f>
        <v>#VALUE!</v>
      </c>
      <c r="BH439" t="e">
        <f>'Latin America and Caribbean'!E224+"n/&gt;!58y"</f>
        <v>#VALUE!</v>
      </c>
      <c r="BI439" t="e">
        <f>'Latin America and Caribbean'!F224+"n/&gt;!58z"</f>
        <v>#VALUE!</v>
      </c>
      <c r="BJ439" t="e">
        <f>'Latin America and Caribbean'!G224+"n/&gt;!58{"</f>
        <v>#VALUE!</v>
      </c>
      <c r="BK439" t="e">
        <f>'Latin America and Caribbean'!H224+"n/&gt;!58|"</f>
        <v>#VALUE!</v>
      </c>
      <c r="BL439" t="e">
        <f>'Latin America and Caribbean'!I224+"n/&gt;!58}"</f>
        <v>#VALUE!</v>
      </c>
      <c r="BM439" t="e">
        <f>'Latin America and Caribbean'!A225+"n/&gt;!58~"</f>
        <v>#VALUE!</v>
      </c>
      <c r="BN439" t="e">
        <f>'Latin America and Caribbean'!B225+"n/&gt;!59#"</f>
        <v>#VALUE!</v>
      </c>
      <c r="BO439" t="e">
        <f>'Latin America and Caribbean'!C225+"n/&gt;!59$"</f>
        <v>#VALUE!</v>
      </c>
      <c r="BP439" t="e">
        <f>'Latin America and Caribbean'!D225+"n/&gt;!59%"</f>
        <v>#VALUE!</v>
      </c>
      <c r="BQ439" t="e">
        <f>'Latin America and Caribbean'!E225+"n/&gt;!59&amp;"</f>
        <v>#VALUE!</v>
      </c>
      <c r="BR439" t="e">
        <f>'Latin America and Caribbean'!F225+"n/&gt;!59'"</f>
        <v>#VALUE!</v>
      </c>
      <c r="BS439" t="e">
        <f>'Latin America and Caribbean'!G225+"n/&gt;!59("</f>
        <v>#VALUE!</v>
      </c>
      <c r="BT439" t="e">
        <f>'Latin America and Caribbean'!H225+"n/&gt;!59)"</f>
        <v>#VALUE!</v>
      </c>
      <c r="BU439" t="e">
        <f>'Latin America and Caribbean'!I225+"n/&gt;!59."</f>
        <v>#VALUE!</v>
      </c>
      <c r="BV439" t="e">
        <f>'Latin America and Caribbean'!A226+"n/&gt;!59/"</f>
        <v>#VALUE!</v>
      </c>
      <c r="BW439" t="e">
        <f>'Latin America and Caribbean'!B226+"n/&gt;!590"</f>
        <v>#VALUE!</v>
      </c>
      <c r="BX439" t="e">
        <f>'Latin America and Caribbean'!C226+"n/&gt;!591"</f>
        <v>#VALUE!</v>
      </c>
      <c r="BY439" t="e">
        <f>'Latin America and Caribbean'!D226+"n/&gt;!592"</f>
        <v>#VALUE!</v>
      </c>
      <c r="BZ439" t="e">
        <f>'Latin America and Caribbean'!E226+"n/&gt;!593"</f>
        <v>#VALUE!</v>
      </c>
      <c r="CA439" t="e">
        <f>'Latin America and Caribbean'!F226+"n/&gt;!594"</f>
        <v>#VALUE!</v>
      </c>
      <c r="CB439" t="e">
        <f>'Latin America and Caribbean'!G226+"n/&gt;!595"</f>
        <v>#VALUE!</v>
      </c>
      <c r="CC439" t="e">
        <f>'Latin America and Caribbean'!H226+"n/&gt;!596"</f>
        <v>#VALUE!</v>
      </c>
      <c r="CD439" t="e">
        <f>'Latin America and Caribbean'!I226+"n/&gt;!597"</f>
        <v>#VALUE!</v>
      </c>
      <c r="CE439" t="e">
        <f>'Latin America and Caribbean'!A227+"n/&gt;!598"</f>
        <v>#VALUE!</v>
      </c>
      <c r="CF439" t="e">
        <f>'Latin America and Caribbean'!B227+"n/&gt;!599"</f>
        <v>#VALUE!</v>
      </c>
      <c r="CG439" t="e">
        <f>'Latin America and Caribbean'!C227+"n/&gt;!59:"</f>
        <v>#VALUE!</v>
      </c>
      <c r="CH439" t="e">
        <f>'Latin America and Caribbean'!D227+"n/&gt;!59;"</f>
        <v>#VALUE!</v>
      </c>
      <c r="CI439" t="e">
        <f>'Latin America and Caribbean'!E227+"n/&gt;!59&lt;"</f>
        <v>#VALUE!</v>
      </c>
      <c r="CJ439" t="e">
        <f>'Latin America and Caribbean'!F227+"n/&gt;!59="</f>
        <v>#VALUE!</v>
      </c>
      <c r="CK439" t="e">
        <f>'Latin America and Caribbean'!G227+"n/&gt;!59&gt;"</f>
        <v>#VALUE!</v>
      </c>
      <c r="CL439" t="e">
        <f>'Latin America and Caribbean'!H227+"n/&gt;!59?"</f>
        <v>#VALUE!</v>
      </c>
      <c r="CM439" t="e">
        <f>'Latin America and Caribbean'!I227+"n/&gt;!59@"</f>
        <v>#VALUE!</v>
      </c>
      <c r="CN439" t="e">
        <f>'Latin America and Caribbean'!A228+"n/&gt;!59A"</f>
        <v>#VALUE!</v>
      </c>
      <c r="CO439" t="e">
        <f>'Latin America and Caribbean'!B228+"n/&gt;!59B"</f>
        <v>#VALUE!</v>
      </c>
      <c r="CP439" t="e">
        <f>'Latin America and Caribbean'!C228+"n/&gt;!59C"</f>
        <v>#VALUE!</v>
      </c>
      <c r="CQ439" t="e">
        <f>'Latin America and Caribbean'!D228+"n/&gt;!59D"</f>
        <v>#VALUE!</v>
      </c>
      <c r="CR439" t="e">
        <f>'Latin America and Caribbean'!E228+"n/&gt;!59E"</f>
        <v>#VALUE!</v>
      </c>
      <c r="CS439" t="e">
        <f>'Latin America and Caribbean'!F228+"n/&gt;!59F"</f>
        <v>#VALUE!</v>
      </c>
      <c r="CT439" t="e">
        <f>'Latin America and Caribbean'!G228+"n/&gt;!59G"</f>
        <v>#VALUE!</v>
      </c>
      <c r="CU439" t="e">
        <f>'Latin America and Caribbean'!H228+"n/&gt;!59H"</f>
        <v>#VALUE!</v>
      </c>
      <c r="CV439" t="e">
        <f>'Latin America and Caribbean'!I228+"n/&gt;!59I"</f>
        <v>#VALUE!</v>
      </c>
      <c r="CW439" t="e">
        <f>'Latin America and Caribbean'!A229+"n/&gt;!59J"</f>
        <v>#VALUE!</v>
      </c>
      <c r="CX439" t="e">
        <f>'Latin America and Caribbean'!B229+"n/&gt;!59K"</f>
        <v>#VALUE!</v>
      </c>
      <c r="CY439" t="e">
        <f>'Latin America and Caribbean'!C229+"n/&gt;!59L"</f>
        <v>#VALUE!</v>
      </c>
      <c r="CZ439" t="e">
        <f>'Latin America and Caribbean'!D229+"n/&gt;!59M"</f>
        <v>#VALUE!</v>
      </c>
      <c r="DA439" t="e">
        <f>'Latin America and Caribbean'!E229+"n/&gt;!59N"</f>
        <v>#VALUE!</v>
      </c>
      <c r="DB439" t="e">
        <f>'Latin America and Caribbean'!F229+"n/&gt;!59O"</f>
        <v>#VALUE!</v>
      </c>
      <c r="DC439" t="e">
        <f>'Latin America and Caribbean'!G229+"n/&gt;!59P"</f>
        <v>#VALUE!</v>
      </c>
      <c r="DD439" t="e">
        <f>'Latin America and Caribbean'!H229+"n/&gt;!59Q"</f>
        <v>#VALUE!</v>
      </c>
      <c r="DE439" t="e">
        <f>'Latin America and Caribbean'!I229+"n/&gt;!59R"</f>
        <v>#VALUE!</v>
      </c>
      <c r="DF439" t="e">
        <f>'Latin America and Caribbean'!A230+"n/&gt;!59S"</f>
        <v>#VALUE!</v>
      </c>
      <c r="DG439" t="e">
        <f>'Latin America and Caribbean'!B230+"n/&gt;!59T"</f>
        <v>#VALUE!</v>
      </c>
      <c r="DH439" t="e">
        <f>'Latin America and Caribbean'!C230+"n/&gt;!59U"</f>
        <v>#VALUE!</v>
      </c>
      <c r="DI439" t="e">
        <f>'Latin America and Caribbean'!D230+"n/&gt;!59V"</f>
        <v>#VALUE!</v>
      </c>
      <c r="DJ439" t="e">
        <f>'Latin America and Caribbean'!E230+"n/&gt;!59W"</f>
        <v>#VALUE!</v>
      </c>
      <c r="DK439" t="e">
        <f>'Latin America and Caribbean'!F230+"n/&gt;!59X"</f>
        <v>#VALUE!</v>
      </c>
      <c r="DL439" t="e">
        <f>'Latin America and Caribbean'!G230+"n/&gt;!59Y"</f>
        <v>#VALUE!</v>
      </c>
      <c r="DM439" t="e">
        <f>'Latin America and Caribbean'!H230+"n/&gt;!59Z"</f>
        <v>#VALUE!</v>
      </c>
      <c r="DN439" t="e">
        <f>'Latin America and Caribbean'!I230+"n/&gt;!59["</f>
        <v>#VALUE!</v>
      </c>
      <c r="DO439" t="e">
        <f>'Latin America and Caribbean'!A231+"n/&gt;!59\"</f>
        <v>#VALUE!</v>
      </c>
      <c r="DP439" t="e">
        <f>'Latin America and Caribbean'!B231+"n/&gt;!59]"</f>
        <v>#VALUE!</v>
      </c>
      <c r="DQ439" t="e">
        <f>'Latin America and Caribbean'!C231+"n/&gt;!59^"</f>
        <v>#VALUE!</v>
      </c>
      <c r="DR439" t="e">
        <f>'Latin America and Caribbean'!D231+"n/&gt;!59_"</f>
        <v>#VALUE!</v>
      </c>
      <c r="DS439" t="e">
        <f>'Latin America and Caribbean'!E231+"n/&gt;!59`"</f>
        <v>#VALUE!</v>
      </c>
      <c r="DT439" t="e">
        <f>'Latin America and Caribbean'!F231+"n/&gt;!59a"</f>
        <v>#VALUE!</v>
      </c>
      <c r="DU439" t="e">
        <f>'Latin America and Caribbean'!G231+"n/&gt;!59b"</f>
        <v>#VALUE!</v>
      </c>
      <c r="DV439" t="e">
        <f>'Latin America and Caribbean'!H231+"n/&gt;!59c"</f>
        <v>#VALUE!</v>
      </c>
      <c r="DW439" t="e">
        <f>'Latin America and Caribbean'!I231+"n/&gt;!59d"</f>
        <v>#VALUE!</v>
      </c>
      <c r="DX439" t="e">
        <f>'Latin America and Caribbean'!A232+"n/&gt;!59e"</f>
        <v>#VALUE!</v>
      </c>
      <c r="DY439" t="e">
        <f>'Latin America and Caribbean'!B232+"n/&gt;!59f"</f>
        <v>#VALUE!</v>
      </c>
      <c r="DZ439" t="e">
        <f>'Latin America and Caribbean'!C232+"n/&gt;!59g"</f>
        <v>#VALUE!</v>
      </c>
      <c r="EA439" t="e">
        <f>'Latin America and Caribbean'!D232+"n/&gt;!59h"</f>
        <v>#VALUE!</v>
      </c>
      <c r="EB439" t="e">
        <f>'Latin America and Caribbean'!E232+"n/&gt;!59i"</f>
        <v>#VALUE!</v>
      </c>
      <c r="EC439" t="e">
        <f>'Latin America and Caribbean'!F232+"n/&gt;!59j"</f>
        <v>#VALUE!</v>
      </c>
      <c r="ED439" t="e">
        <f>'Latin America and Caribbean'!G232+"n/&gt;!59k"</f>
        <v>#VALUE!</v>
      </c>
      <c r="EE439" t="e">
        <f>'Latin America and Caribbean'!H232+"n/&gt;!59l"</f>
        <v>#VALUE!</v>
      </c>
      <c r="EF439" t="e">
        <f>'Latin America and Caribbean'!I232+"n/&gt;!59m"</f>
        <v>#VALUE!</v>
      </c>
      <c r="EG439" t="e">
        <f>'Latin America and Caribbean'!A233+"n/&gt;!59n"</f>
        <v>#VALUE!</v>
      </c>
      <c r="EH439" t="e">
        <f>'Latin America and Caribbean'!B233+"n/&gt;!59o"</f>
        <v>#VALUE!</v>
      </c>
      <c r="EI439" t="e">
        <f>'Latin America and Caribbean'!C233+"n/&gt;!59p"</f>
        <v>#VALUE!</v>
      </c>
      <c r="EJ439" t="e">
        <f>'Latin America and Caribbean'!D233+"n/&gt;!59q"</f>
        <v>#VALUE!</v>
      </c>
      <c r="EK439" t="e">
        <f>'Latin America and Caribbean'!E233+"n/&gt;!59r"</f>
        <v>#VALUE!</v>
      </c>
      <c r="EL439" t="e">
        <f>'Latin America and Caribbean'!F233+"n/&gt;!59s"</f>
        <v>#VALUE!</v>
      </c>
      <c r="EM439" t="e">
        <f>'Latin America and Caribbean'!G233+"n/&gt;!59t"</f>
        <v>#VALUE!</v>
      </c>
      <c r="EN439" t="e">
        <f>'Latin America and Caribbean'!H233+"n/&gt;!59u"</f>
        <v>#VALUE!</v>
      </c>
      <c r="EO439" t="e">
        <f>'Latin America and Caribbean'!I233+"n/&gt;!59v"</f>
        <v>#VALUE!</v>
      </c>
      <c r="EP439" t="e">
        <f>'Latin America and Caribbean'!A234+"n/&gt;!59w"</f>
        <v>#VALUE!</v>
      </c>
      <c r="EQ439" t="e">
        <f>'Latin America and Caribbean'!B234+"n/&gt;!59x"</f>
        <v>#VALUE!</v>
      </c>
      <c r="ER439" t="e">
        <f>'Latin America and Caribbean'!C234+"n/&gt;!59y"</f>
        <v>#VALUE!</v>
      </c>
      <c r="ES439" t="e">
        <f>'Latin America and Caribbean'!D234+"n/&gt;!59z"</f>
        <v>#VALUE!</v>
      </c>
      <c r="ET439" t="e">
        <f>'Latin America and Caribbean'!E234+"n/&gt;!59{"</f>
        <v>#VALUE!</v>
      </c>
      <c r="EU439" t="e">
        <f>'Latin America and Caribbean'!F234+"n/&gt;!59|"</f>
        <v>#VALUE!</v>
      </c>
      <c r="EV439" t="e">
        <f>'Latin America and Caribbean'!G234+"n/&gt;!59}"</f>
        <v>#VALUE!</v>
      </c>
      <c r="EW439" t="e">
        <f>'Latin America and Caribbean'!H234+"n/&gt;!59~"</f>
        <v>#VALUE!</v>
      </c>
      <c r="EX439" t="e">
        <f>'Latin America and Caribbean'!I234+"n/&gt;!5:#"</f>
        <v>#VALUE!</v>
      </c>
      <c r="EY439" t="e">
        <f>'Latin America and Caribbean'!A235+"n/&gt;!5:$"</f>
        <v>#VALUE!</v>
      </c>
      <c r="EZ439" t="e">
        <f>'Latin America and Caribbean'!B235+"n/&gt;!5:%"</f>
        <v>#VALUE!</v>
      </c>
      <c r="FA439" t="e">
        <f>'Latin America and Caribbean'!C235+"n/&gt;!5:&amp;"</f>
        <v>#VALUE!</v>
      </c>
      <c r="FB439" t="e">
        <f>'Latin America and Caribbean'!D235+"n/&gt;!5:'"</f>
        <v>#VALUE!</v>
      </c>
      <c r="FC439" t="e">
        <f>'Latin America and Caribbean'!E235+"n/&gt;!5:("</f>
        <v>#VALUE!</v>
      </c>
      <c r="FD439" t="e">
        <f>'Latin America and Caribbean'!F235+"n/&gt;!5:)"</f>
        <v>#VALUE!</v>
      </c>
      <c r="FE439" t="e">
        <f>'Latin America and Caribbean'!G235+"n/&gt;!5:."</f>
        <v>#VALUE!</v>
      </c>
      <c r="FF439" t="e">
        <f>'Latin America and Caribbean'!H235+"n/&gt;!5:/"</f>
        <v>#VALUE!</v>
      </c>
      <c r="FG439" t="e">
        <f>'Latin America and Caribbean'!I235+"n/&gt;!5:0"</f>
        <v>#VALUE!</v>
      </c>
      <c r="FH439" t="e">
        <f>'Latin America and Caribbean'!A236+"n/&gt;!5:1"</f>
        <v>#VALUE!</v>
      </c>
      <c r="FI439" t="e">
        <f>'Latin America and Caribbean'!B236+"n/&gt;!5:2"</f>
        <v>#VALUE!</v>
      </c>
      <c r="FJ439" t="e">
        <f>'Latin America and Caribbean'!C236+"n/&gt;!5:3"</f>
        <v>#VALUE!</v>
      </c>
      <c r="FK439" t="e">
        <f>'Latin America and Caribbean'!D236+"n/&gt;!5:4"</f>
        <v>#VALUE!</v>
      </c>
      <c r="FL439" t="e">
        <f>'Latin America and Caribbean'!E236+"n/&gt;!5:5"</f>
        <v>#VALUE!</v>
      </c>
      <c r="FM439" t="e">
        <f>'Latin America and Caribbean'!F236+"n/&gt;!5:6"</f>
        <v>#VALUE!</v>
      </c>
      <c r="FN439" t="e">
        <f>'Latin America and Caribbean'!G236+"n/&gt;!5:7"</f>
        <v>#VALUE!</v>
      </c>
      <c r="FO439" t="e">
        <f>'Latin America and Caribbean'!H236+"n/&gt;!5:8"</f>
        <v>#VALUE!</v>
      </c>
      <c r="FP439" t="e">
        <f>'Latin America and Caribbean'!I236+"n/&gt;!5:9"</f>
        <v>#VALUE!</v>
      </c>
      <c r="FQ439" t="e">
        <f>'Latin America and Caribbean'!A237+"n/&gt;!5::"</f>
        <v>#VALUE!</v>
      </c>
      <c r="FR439" t="e">
        <f>'Latin America and Caribbean'!B237+"n/&gt;!5:;"</f>
        <v>#VALUE!</v>
      </c>
      <c r="FS439" t="e">
        <f>'Latin America and Caribbean'!C237+"n/&gt;!5:&lt;"</f>
        <v>#VALUE!</v>
      </c>
      <c r="FT439" t="e">
        <f>'Latin America and Caribbean'!D237+"n/&gt;!5:="</f>
        <v>#VALUE!</v>
      </c>
      <c r="FU439" t="e">
        <f>'Latin America and Caribbean'!E237+"n/&gt;!5:&gt;"</f>
        <v>#VALUE!</v>
      </c>
      <c r="FV439" t="e">
        <f>'Latin America and Caribbean'!F237+"n/&gt;!5:?"</f>
        <v>#VALUE!</v>
      </c>
      <c r="FW439" t="e">
        <f>'Latin America and Caribbean'!G237+"n/&gt;!5:@"</f>
        <v>#VALUE!</v>
      </c>
      <c r="FX439" t="e">
        <f>'Latin America and Caribbean'!H237+"n/&gt;!5:A"</f>
        <v>#VALUE!</v>
      </c>
      <c r="FY439" t="e">
        <f>'Latin America and Caribbean'!I237+"n/&gt;!5:B"</f>
        <v>#VALUE!</v>
      </c>
      <c r="FZ439" t="e">
        <f>'Latin America and Caribbean'!A238+"n/&gt;!5:C"</f>
        <v>#VALUE!</v>
      </c>
      <c r="GA439" t="e">
        <f>'Latin America and Caribbean'!B238+"n/&gt;!5:D"</f>
        <v>#VALUE!</v>
      </c>
      <c r="GB439" t="e">
        <f>'Latin America and Caribbean'!C238+"n/&gt;!5:E"</f>
        <v>#VALUE!</v>
      </c>
      <c r="GC439" t="e">
        <f>'Latin America and Caribbean'!D238+"n/&gt;!5:F"</f>
        <v>#VALUE!</v>
      </c>
      <c r="GD439" t="e">
        <f>'Latin America and Caribbean'!E238+"n/&gt;!5:G"</f>
        <v>#VALUE!</v>
      </c>
      <c r="GE439" t="e">
        <f>'Latin America and Caribbean'!F238+"n/&gt;!5:H"</f>
        <v>#VALUE!</v>
      </c>
      <c r="GF439" t="e">
        <f>'Latin America and Caribbean'!G238+"n/&gt;!5:I"</f>
        <v>#VALUE!</v>
      </c>
      <c r="GG439" t="e">
        <f>'Latin America and Caribbean'!H238+"n/&gt;!5:J"</f>
        <v>#VALUE!</v>
      </c>
      <c r="GH439" t="e">
        <f>'Latin America and Caribbean'!I238+"n/&gt;!5:K"</f>
        <v>#VALUE!</v>
      </c>
      <c r="GI439" t="e">
        <f>'Latin America and Caribbean'!A239+"n/&gt;!5:L"</f>
        <v>#VALUE!</v>
      </c>
      <c r="GJ439" t="e">
        <f>'Latin America and Caribbean'!B239+"n/&gt;!5:M"</f>
        <v>#VALUE!</v>
      </c>
      <c r="GK439" t="e">
        <f>'Latin America and Caribbean'!C239+"n/&gt;!5:N"</f>
        <v>#VALUE!</v>
      </c>
      <c r="GL439" t="e">
        <f>'Latin America and Caribbean'!D239+"n/&gt;!5:O"</f>
        <v>#VALUE!</v>
      </c>
      <c r="GM439" t="e">
        <f>'Latin America and Caribbean'!E239+"n/&gt;!5:P"</f>
        <v>#VALUE!</v>
      </c>
      <c r="GN439" t="e">
        <f>'Latin America and Caribbean'!F239+"n/&gt;!5:Q"</f>
        <v>#VALUE!</v>
      </c>
      <c r="GO439" t="e">
        <f>'Latin America and Caribbean'!G239+"n/&gt;!5:R"</f>
        <v>#VALUE!</v>
      </c>
      <c r="GP439" t="e">
        <f>'Latin America and Caribbean'!H239+"n/&gt;!5:S"</f>
        <v>#VALUE!</v>
      </c>
      <c r="GQ439" t="e">
        <f>'Latin America and Caribbean'!I239+"n/&gt;!5:T"</f>
        <v>#VALUE!</v>
      </c>
      <c r="GR439" t="e">
        <f>'Latin America and Caribbean'!A240+"n/&gt;!5:U"</f>
        <v>#VALUE!</v>
      </c>
      <c r="GS439" t="e">
        <f>'Latin America and Caribbean'!B240+"n/&gt;!5:V"</f>
        <v>#VALUE!</v>
      </c>
      <c r="GT439" t="e">
        <f>'Latin America and Caribbean'!C240+"n/&gt;!5:W"</f>
        <v>#VALUE!</v>
      </c>
      <c r="GU439" t="e">
        <f>'Latin America and Caribbean'!D240+"n/&gt;!5:X"</f>
        <v>#VALUE!</v>
      </c>
      <c r="GV439" t="e">
        <f>'Latin America and Caribbean'!E240+"n/&gt;!5:Y"</f>
        <v>#VALUE!</v>
      </c>
      <c r="GW439" t="e">
        <f>'Latin America and Caribbean'!F240+"n/&gt;!5:Z"</f>
        <v>#VALUE!</v>
      </c>
      <c r="GX439" t="e">
        <f>'Latin America and Caribbean'!G240+"n/&gt;!5:["</f>
        <v>#VALUE!</v>
      </c>
      <c r="GY439" t="e">
        <f>'Latin America and Caribbean'!H240+"n/&gt;!5:\"</f>
        <v>#VALUE!</v>
      </c>
      <c r="GZ439" t="e">
        <f>'Latin America and Caribbean'!I240+"n/&gt;!5:]"</f>
        <v>#VALUE!</v>
      </c>
      <c r="HA439" t="e">
        <f>'Latin America and Caribbean'!A241+"n/&gt;!5:^"</f>
        <v>#VALUE!</v>
      </c>
      <c r="HB439" t="e">
        <f>'Latin America and Caribbean'!B241+"n/&gt;!5:_"</f>
        <v>#VALUE!</v>
      </c>
      <c r="HC439" t="e">
        <f>'Latin America and Caribbean'!C241+"n/&gt;!5:`"</f>
        <v>#VALUE!</v>
      </c>
      <c r="HD439" t="e">
        <f>'Latin America and Caribbean'!D241+"n/&gt;!5:a"</f>
        <v>#VALUE!</v>
      </c>
      <c r="HE439" t="e">
        <f>'Latin America and Caribbean'!E241+"n/&gt;!5:b"</f>
        <v>#VALUE!</v>
      </c>
      <c r="HF439" t="e">
        <f>'Latin America and Caribbean'!F241+"n/&gt;!5:c"</f>
        <v>#VALUE!</v>
      </c>
      <c r="HG439" t="e">
        <f>'Latin America and Caribbean'!G241+"n/&gt;!5:d"</f>
        <v>#VALUE!</v>
      </c>
      <c r="HH439" t="e">
        <f>'Latin America and Caribbean'!H241+"n/&gt;!5:e"</f>
        <v>#VALUE!</v>
      </c>
      <c r="HI439" t="e">
        <f>'Latin America and Caribbean'!I241+"n/&gt;!5:f"</f>
        <v>#VALUE!</v>
      </c>
      <c r="HJ439" t="e">
        <f>'Latin America and Caribbean'!A242+"n/&gt;!5:g"</f>
        <v>#VALUE!</v>
      </c>
      <c r="HK439" t="e">
        <f>'Latin America and Caribbean'!B242+"n/&gt;!5:h"</f>
        <v>#VALUE!</v>
      </c>
      <c r="HL439" t="e">
        <f>'Latin America and Caribbean'!C242+"n/&gt;!5:i"</f>
        <v>#VALUE!</v>
      </c>
      <c r="HM439" t="e">
        <f>'Latin America and Caribbean'!D242+"n/&gt;!5:j"</f>
        <v>#VALUE!</v>
      </c>
      <c r="HN439" t="e">
        <f>'Latin America and Caribbean'!E242+"n/&gt;!5:k"</f>
        <v>#VALUE!</v>
      </c>
      <c r="HO439" t="e">
        <f>'Latin America and Caribbean'!F242+"n/&gt;!5:l"</f>
        <v>#VALUE!</v>
      </c>
      <c r="HP439" t="e">
        <f>'Latin America and Caribbean'!G242+"n/&gt;!5:m"</f>
        <v>#VALUE!</v>
      </c>
      <c r="HQ439" t="e">
        <f>'Latin America and Caribbean'!H242+"n/&gt;!5:n"</f>
        <v>#VALUE!</v>
      </c>
      <c r="HR439" t="e">
        <f>'Latin America and Caribbean'!I242+"n/&gt;!5:o"</f>
        <v>#VALUE!</v>
      </c>
      <c r="HS439" t="e">
        <f>'Latin America and Caribbean'!A243+"n/&gt;!5:p"</f>
        <v>#VALUE!</v>
      </c>
      <c r="HT439" t="e">
        <f>'Latin America and Caribbean'!B243+"n/&gt;!5:q"</f>
        <v>#VALUE!</v>
      </c>
      <c r="HU439" t="e">
        <f>'Latin America and Caribbean'!C243+"n/&gt;!5:r"</f>
        <v>#VALUE!</v>
      </c>
      <c r="HV439" t="e">
        <f>'Latin America and Caribbean'!D243+"n/&gt;!5:s"</f>
        <v>#VALUE!</v>
      </c>
      <c r="HW439" t="e">
        <f>'Latin America and Caribbean'!E243+"n/&gt;!5:t"</f>
        <v>#VALUE!</v>
      </c>
      <c r="HX439" t="e">
        <f>'Latin America and Caribbean'!F243+"n/&gt;!5:u"</f>
        <v>#VALUE!</v>
      </c>
      <c r="HY439" t="e">
        <f>'Latin America and Caribbean'!G243+"n/&gt;!5:v"</f>
        <v>#VALUE!</v>
      </c>
      <c r="HZ439" t="e">
        <f>'Latin America and Caribbean'!H243+"n/&gt;!5:w"</f>
        <v>#VALUE!</v>
      </c>
      <c r="IA439" t="e">
        <f>'Latin America and Caribbean'!I243+"n/&gt;!5:x"</f>
        <v>#VALUE!</v>
      </c>
      <c r="IB439" t="e">
        <f>'Latin America and Caribbean'!A244+"n/&gt;!5:y"</f>
        <v>#VALUE!</v>
      </c>
      <c r="IC439" t="e">
        <f>'Latin America and Caribbean'!B244+"n/&gt;!5:z"</f>
        <v>#VALUE!</v>
      </c>
      <c r="ID439" t="e">
        <f>'Latin America and Caribbean'!C244+"n/&gt;!5:{"</f>
        <v>#VALUE!</v>
      </c>
      <c r="IE439" t="e">
        <f>'Latin America and Caribbean'!D244+"n/&gt;!5:|"</f>
        <v>#VALUE!</v>
      </c>
      <c r="IF439" t="e">
        <f>'Latin America and Caribbean'!E244+"n/&gt;!5:}"</f>
        <v>#VALUE!</v>
      </c>
      <c r="IG439" t="e">
        <f>'Latin America and Caribbean'!F244+"n/&gt;!5:~"</f>
        <v>#VALUE!</v>
      </c>
      <c r="IH439" t="e">
        <f>'Latin America and Caribbean'!G244+"n/&gt;!5;#"</f>
        <v>#VALUE!</v>
      </c>
      <c r="II439" t="e">
        <f>'Latin America and Caribbean'!H244+"n/&gt;!5;$"</f>
        <v>#VALUE!</v>
      </c>
      <c r="IJ439" t="e">
        <f>'Latin America and Caribbean'!I244+"n/&gt;!5;%"</f>
        <v>#VALUE!</v>
      </c>
      <c r="IK439" t="e">
        <f>'Latin America and Caribbean'!A245+"n/&gt;!5;&amp;"</f>
        <v>#VALUE!</v>
      </c>
      <c r="IL439" t="e">
        <f>'Latin America and Caribbean'!B245+"n/&gt;!5;'"</f>
        <v>#VALUE!</v>
      </c>
      <c r="IM439" t="e">
        <f>'Latin America and Caribbean'!C245+"n/&gt;!5;("</f>
        <v>#VALUE!</v>
      </c>
      <c r="IN439" t="e">
        <f>'Latin America and Caribbean'!D245+"n/&gt;!5;)"</f>
        <v>#VALUE!</v>
      </c>
      <c r="IO439" t="e">
        <f>'Latin America and Caribbean'!E245+"n/&gt;!5;."</f>
        <v>#VALUE!</v>
      </c>
      <c r="IP439" t="e">
        <f>'Latin America and Caribbean'!F245+"n/&gt;!5;/"</f>
        <v>#VALUE!</v>
      </c>
      <c r="IQ439" t="e">
        <f>'Latin America and Caribbean'!G245+"n/&gt;!5;0"</f>
        <v>#VALUE!</v>
      </c>
      <c r="IR439" t="e">
        <f>'Latin America and Caribbean'!H245+"n/&gt;!5;1"</f>
        <v>#VALUE!</v>
      </c>
      <c r="IS439" t="e">
        <f>'Latin America and Caribbean'!I245+"n/&gt;!5;2"</f>
        <v>#VALUE!</v>
      </c>
      <c r="IT439" t="e">
        <f>'Latin America and Caribbean'!A246+"n/&gt;!5;3"</f>
        <v>#VALUE!</v>
      </c>
      <c r="IU439" t="e">
        <f>'Latin America and Caribbean'!B246+"n/&gt;!5;4"</f>
        <v>#VALUE!</v>
      </c>
      <c r="IV439" t="e">
        <f>'Latin America and Caribbean'!C246+"n/&gt;!5;5"</f>
        <v>#VALUE!</v>
      </c>
    </row>
    <row r="440" spans="6:256" x14ac:dyDescent="0.35">
      <c r="F440" t="e">
        <f>'Latin America and Caribbean'!D246+"n/&gt;!5;6"</f>
        <v>#VALUE!</v>
      </c>
      <c r="G440" t="e">
        <f>'Latin America and Caribbean'!E246+"n/&gt;!5;7"</f>
        <v>#VALUE!</v>
      </c>
      <c r="H440" t="e">
        <f>'Latin America and Caribbean'!F246+"n/&gt;!5;8"</f>
        <v>#VALUE!</v>
      </c>
      <c r="I440" t="e">
        <f>'Latin America and Caribbean'!G246+"n/&gt;!5;9"</f>
        <v>#VALUE!</v>
      </c>
      <c r="J440" t="e">
        <f>'Latin America and Caribbean'!H246+"n/&gt;!5;:"</f>
        <v>#VALUE!</v>
      </c>
      <c r="K440" t="e">
        <f>'Latin America and Caribbean'!I246+"n/&gt;!5;;"</f>
        <v>#VALUE!</v>
      </c>
      <c r="L440" t="e">
        <f>'Latin America and Caribbean'!A247+"n/&gt;!5;&lt;"</f>
        <v>#VALUE!</v>
      </c>
      <c r="M440" t="e">
        <f>'Latin America and Caribbean'!B247+"n/&gt;!5;="</f>
        <v>#VALUE!</v>
      </c>
      <c r="N440" t="e">
        <f>'Latin America and Caribbean'!C247+"n/&gt;!5;&gt;"</f>
        <v>#VALUE!</v>
      </c>
      <c r="O440" t="e">
        <f>'Latin America and Caribbean'!D247+"n/&gt;!5;?"</f>
        <v>#VALUE!</v>
      </c>
      <c r="P440" t="e">
        <f>'Latin America and Caribbean'!E247+"n/&gt;!5;@"</f>
        <v>#VALUE!</v>
      </c>
      <c r="Q440" t="e">
        <f>'Latin America and Caribbean'!F247+"n/&gt;!5;A"</f>
        <v>#VALUE!</v>
      </c>
      <c r="R440" t="e">
        <f>'Latin America and Caribbean'!G247+"n/&gt;!5;B"</f>
        <v>#VALUE!</v>
      </c>
      <c r="S440" t="e">
        <f>'Latin America and Caribbean'!H247+"n/&gt;!5;C"</f>
        <v>#VALUE!</v>
      </c>
      <c r="T440" t="e">
        <f>'Latin America and Caribbean'!I247+"n/&gt;!5;D"</f>
        <v>#VALUE!</v>
      </c>
      <c r="U440" t="e">
        <f>'Latin America and Caribbean'!A248+"n/&gt;!5;E"</f>
        <v>#VALUE!</v>
      </c>
      <c r="V440" t="e">
        <f>'Latin America and Caribbean'!B248+"n/&gt;!5;F"</f>
        <v>#VALUE!</v>
      </c>
      <c r="W440" t="e">
        <f>'Latin America and Caribbean'!C248+"n/&gt;!5;G"</f>
        <v>#VALUE!</v>
      </c>
      <c r="X440" t="e">
        <f>'Latin America and Caribbean'!D248+"n/&gt;!5;H"</f>
        <v>#VALUE!</v>
      </c>
      <c r="Y440" t="e">
        <f>'Latin America and Caribbean'!E248+"n/&gt;!5;I"</f>
        <v>#VALUE!</v>
      </c>
      <c r="Z440" t="e">
        <f>'Latin America and Caribbean'!F248+"n/&gt;!5;J"</f>
        <v>#VALUE!</v>
      </c>
      <c r="AA440" t="e">
        <f>'Latin America and Caribbean'!G248+"n/&gt;!5;K"</f>
        <v>#VALUE!</v>
      </c>
      <c r="AB440" t="e">
        <f>'Latin America and Caribbean'!H248+"n/&gt;!5;L"</f>
        <v>#VALUE!</v>
      </c>
      <c r="AC440" t="e">
        <f>'Latin America and Caribbean'!I248+"n/&gt;!5;M"</f>
        <v>#VALUE!</v>
      </c>
      <c r="AD440" t="e">
        <f>'Latin America and Caribbean'!A249+"n/&gt;!5;N"</f>
        <v>#VALUE!</v>
      </c>
      <c r="AE440" t="e">
        <f>'Latin America and Caribbean'!B249+"n/&gt;!5;O"</f>
        <v>#VALUE!</v>
      </c>
      <c r="AF440" t="e">
        <f>'Latin America and Caribbean'!C249+"n/&gt;!5;P"</f>
        <v>#VALUE!</v>
      </c>
      <c r="AG440" t="e">
        <f>'Latin America and Caribbean'!D249+"n/&gt;!5;Q"</f>
        <v>#VALUE!</v>
      </c>
      <c r="AH440" t="e">
        <f>'Latin America and Caribbean'!E249+"n/&gt;!5;R"</f>
        <v>#VALUE!</v>
      </c>
      <c r="AI440" t="e">
        <f>'Latin America and Caribbean'!F249+"n/&gt;!5;S"</f>
        <v>#VALUE!</v>
      </c>
      <c r="AJ440" t="e">
        <f>'Latin America and Caribbean'!G249+"n/&gt;!5;T"</f>
        <v>#VALUE!</v>
      </c>
      <c r="AK440" t="e">
        <f>'Latin America and Caribbean'!H249+"n/&gt;!5;U"</f>
        <v>#VALUE!</v>
      </c>
      <c r="AL440" t="e">
        <f>'Latin America and Caribbean'!I249+"n/&gt;!5;V"</f>
        <v>#VALUE!</v>
      </c>
      <c r="AM440" t="e">
        <f>'Latin America and Caribbean'!A250+"n/&gt;!5;W"</f>
        <v>#VALUE!</v>
      </c>
      <c r="AN440" t="e">
        <f>'Latin America and Caribbean'!B250+"n/&gt;!5;X"</f>
        <v>#VALUE!</v>
      </c>
      <c r="AO440" t="e">
        <f>'Latin America and Caribbean'!C250+"n/&gt;!5;Y"</f>
        <v>#VALUE!</v>
      </c>
      <c r="AP440" t="e">
        <f>'Latin America and Caribbean'!D250+"n/&gt;!5;Z"</f>
        <v>#VALUE!</v>
      </c>
      <c r="AQ440" t="e">
        <f>'Latin America and Caribbean'!E250+"n/&gt;!5;["</f>
        <v>#VALUE!</v>
      </c>
      <c r="AR440" t="e">
        <f>'Latin America and Caribbean'!F250+"n/&gt;!5;\"</f>
        <v>#VALUE!</v>
      </c>
      <c r="AS440" t="e">
        <f>'Latin America and Caribbean'!G250+"n/&gt;!5;]"</f>
        <v>#VALUE!</v>
      </c>
      <c r="AT440" t="e">
        <f>'Latin America and Caribbean'!H250+"n/&gt;!5;^"</f>
        <v>#VALUE!</v>
      </c>
      <c r="AU440" t="e">
        <f>'Latin America and Caribbean'!I250+"n/&gt;!5;_"</f>
        <v>#VALUE!</v>
      </c>
      <c r="AV440" t="e">
        <f>'Latin America and Caribbean'!A251+"n/&gt;!5;`"</f>
        <v>#VALUE!</v>
      </c>
      <c r="AW440" t="e">
        <f>'Latin America and Caribbean'!B251+"n/&gt;!5;a"</f>
        <v>#VALUE!</v>
      </c>
      <c r="AX440" t="e">
        <f>'Latin America and Caribbean'!C251+"n/&gt;!5;b"</f>
        <v>#VALUE!</v>
      </c>
      <c r="AY440" t="e">
        <f>'Latin America and Caribbean'!D251+"n/&gt;!5;c"</f>
        <v>#VALUE!</v>
      </c>
      <c r="AZ440" t="e">
        <f>'Latin America and Caribbean'!E251+"n/&gt;!5;d"</f>
        <v>#VALUE!</v>
      </c>
      <c r="BA440" t="e">
        <f>'Latin America and Caribbean'!F251+"n/&gt;!5;e"</f>
        <v>#VALUE!</v>
      </c>
      <c r="BB440" t="e">
        <f>'Latin America and Caribbean'!G251+"n/&gt;!5;f"</f>
        <v>#VALUE!</v>
      </c>
      <c r="BC440" t="e">
        <f>'Latin America and Caribbean'!H251+"n/&gt;!5;g"</f>
        <v>#VALUE!</v>
      </c>
      <c r="BD440" t="e">
        <f>'Latin America and Caribbean'!I251+"n/&gt;!5;h"</f>
        <v>#VALUE!</v>
      </c>
      <c r="BE440" t="e">
        <f>'Latin America and Caribbean'!A252+"n/&gt;!5;i"</f>
        <v>#VALUE!</v>
      </c>
      <c r="BF440" t="e">
        <f>'Latin America and Caribbean'!B252+"n/&gt;!5;j"</f>
        <v>#VALUE!</v>
      </c>
      <c r="BG440" t="e">
        <f>'Latin America and Caribbean'!C252+"n/&gt;!5;k"</f>
        <v>#VALUE!</v>
      </c>
      <c r="BH440" t="e">
        <f>'Latin America and Caribbean'!D252+"n/&gt;!5;l"</f>
        <v>#VALUE!</v>
      </c>
      <c r="BI440" t="e">
        <f>'Latin America and Caribbean'!E252+"n/&gt;!5;m"</f>
        <v>#VALUE!</v>
      </c>
      <c r="BJ440" t="e">
        <f>'Latin America and Caribbean'!F252+"n/&gt;!5;n"</f>
        <v>#VALUE!</v>
      </c>
      <c r="BK440" t="e">
        <f>'Latin America and Caribbean'!G252+"n/&gt;!5;o"</f>
        <v>#VALUE!</v>
      </c>
      <c r="BL440" t="e">
        <f>'Latin America and Caribbean'!H252+"n/&gt;!5;p"</f>
        <v>#VALUE!</v>
      </c>
      <c r="BM440" t="e">
        <f>'Latin America and Caribbean'!I252+"n/&gt;!5;q"</f>
        <v>#VALUE!</v>
      </c>
      <c r="BN440" t="e">
        <f>'Latin America and Caribbean'!A253+"n/&gt;!5;r"</f>
        <v>#VALUE!</v>
      </c>
      <c r="BO440" t="e">
        <f>'Latin America and Caribbean'!B253+"n/&gt;!5;s"</f>
        <v>#VALUE!</v>
      </c>
      <c r="BP440" t="e">
        <f>'Latin America and Caribbean'!C253+"n/&gt;!5;t"</f>
        <v>#VALUE!</v>
      </c>
      <c r="BQ440" t="e">
        <f>'Latin America and Caribbean'!D253+"n/&gt;!5;u"</f>
        <v>#VALUE!</v>
      </c>
      <c r="BR440" t="e">
        <f>'Latin America and Caribbean'!E253+"n/&gt;!5;v"</f>
        <v>#VALUE!</v>
      </c>
      <c r="BS440" t="e">
        <f>'Latin America and Caribbean'!F253+"n/&gt;!5;w"</f>
        <v>#VALUE!</v>
      </c>
      <c r="BT440" t="e">
        <f>'Latin America and Caribbean'!G253+"n/&gt;!5;x"</f>
        <v>#VALUE!</v>
      </c>
      <c r="BU440" t="e">
        <f>'Latin America and Caribbean'!H253+"n/&gt;!5;y"</f>
        <v>#VALUE!</v>
      </c>
      <c r="BV440" t="e">
        <f>'Latin America and Caribbean'!I253+"n/&gt;!5;z"</f>
        <v>#VALUE!</v>
      </c>
      <c r="BW440" t="e">
        <f>'Latin America and Caribbean'!A254+"n/&gt;!5;{"</f>
        <v>#VALUE!</v>
      </c>
      <c r="BX440" t="e">
        <f>'Latin America and Caribbean'!B254+"n/&gt;!5;|"</f>
        <v>#VALUE!</v>
      </c>
      <c r="BY440" t="e">
        <f>'Latin America and Caribbean'!C254+"n/&gt;!5;}"</f>
        <v>#VALUE!</v>
      </c>
      <c r="BZ440" t="e">
        <f>'Latin America and Caribbean'!D254+"n/&gt;!5;~"</f>
        <v>#VALUE!</v>
      </c>
      <c r="CA440" t="e">
        <f>'Latin America and Caribbean'!E254+"n/&gt;!5&lt;#"</f>
        <v>#VALUE!</v>
      </c>
      <c r="CB440" t="e">
        <f>'Latin America and Caribbean'!F254+"n/&gt;!5&lt;$"</f>
        <v>#VALUE!</v>
      </c>
      <c r="CC440" t="e">
        <f>'Latin America and Caribbean'!G254+"n/&gt;!5&lt;%"</f>
        <v>#VALUE!</v>
      </c>
      <c r="CD440" t="e">
        <f>'Latin America and Caribbean'!H254+"n/&gt;!5&lt;&amp;"</f>
        <v>#VALUE!</v>
      </c>
      <c r="CE440" t="e">
        <f>'Latin America and Caribbean'!I254+"n/&gt;!5&lt;'"</f>
        <v>#VALUE!</v>
      </c>
      <c r="CF440" t="e">
        <f>'Latin America and Caribbean'!A255+"n/&gt;!5&lt;("</f>
        <v>#VALUE!</v>
      </c>
      <c r="CG440" t="e">
        <f>'Latin America and Caribbean'!B255+"n/&gt;!5&lt;)"</f>
        <v>#VALUE!</v>
      </c>
      <c r="CH440" t="e">
        <f>'Latin America and Caribbean'!C255+"n/&gt;!5&lt;."</f>
        <v>#VALUE!</v>
      </c>
      <c r="CI440" t="e">
        <f>'Latin America and Caribbean'!D255+"n/&gt;!5&lt;/"</f>
        <v>#VALUE!</v>
      </c>
      <c r="CJ440" t="e">
        <f>'Latin America and Caribbean'!E255+"n/&gt;!5&lt;0"</f>
        <v>#VALUE!</v>
      </c>
      <c r="CK440" t="e">
        <f>'Latin America and Caribbean'!F255+"n/&gt;!5&lt;1"</f>
        <v>#VALUE!</v>
      </c>
      <c r="CL440" t="e">
        <f>'Latin America and Caribbean'!G255+"n/&gt;!5&lt;2"</f>
        <v>#VALUE!</v>
      </c>
      <c r="CM440" t="e">
        <f>'Latin America and Caribbean'!H255+"n/&gt;!5&lt;3"</f>
        <v>#VALUE!</v>
      </c>
      <c r="CN440" t="e">
        <f>'Latin America and Caribbean'!I255+"n/&gt;!5&lt;4"</f>
        <v>#VALUE!</v>
      </c>
      <c r="CO440" t="e">
        <f>'Latin America and Caribbean'!A256+"n/&gt;!5&lt;5"</f>
        <v>#VALUE!</v>
      </c>
      <c r="CP440" t="e">
        <f>'Latin America and Caribbean'!B256+"n/&gt;!5&lt;6"</f>
        <v>#VALUE!</v>
      </c>
      <c r="CQ440" t="e">
        <f>'Latin America and Caribbean'!C256+"n/&gt;!5&lt;7"</f>
        <v>#VALUE!</v>
      </c>
      <c r="CR440" t="e">
        <f>'Latin America and Caribbean'!D256+"n/&gt;!5&lt;8"</f>
        <v>#VALUE!</v>
      </c>
      <c r="CS440" t="e">
        <f>'Latin America and Caribbean'!E256+"n/&gt;!5&lt;9"</f>
        <v>#VALUE!</v>
      </c>
      <c r="CT440" t="e">
        <f>'Latin America and Caribbean'!F256+"n/&gt;!5&lt;:"</f>
        <v>#VALUE!</v>
      </c>
      <c r="CU440" t="e">
        <f>'Latin America and Caribbean'!G256+"n/&gt;!5&lt;;"</f>
        <v>#VALUE!</v>
      </c>
      <c r="CV440" t="e">
        <f>'Latin America and Caribbean'!H256+"n/&gt;!5&lt;&lt;"</f>
        <v>#VALUE!</v>
      </c>
      <c r="CW440" t="e">
        <f>'Latin America and Caribbean'!I256+"n/&gt;!5&lt;="</f>
        <v>#VALUE!</v>
      </c>
      <c r="CX440" t="e">
        <f>'Latin America and Caribbean'!A257+"n/&gt;!5&lt;&gt;"</f>
        <v>#VALUE!</v>
      </c>
      <c r="CY440" t="e">
        <f>'Latin America and Caribbean'!B257+"n/&gt;!5&lt;?"</f>
        <v>#VALUE!</v>
      </c>
      <c r="CZ440" t="e">
        <f>'Latin America and Caribbean'!C257+"n/&gt;!5&lt;@"</f>
        <v>#VALUE!</v>
      </c>
      <c r="DA440" t="e">
        <f>'Latin America and Caribbean'!D257+"n/&gt;!5&lt;A"</f>
        <v>#VALUE!</v>
      </c>
      <c r="DB440" t="e">
        <f>'Latin America and Caribbean'!E257+"n/&gt;!5&lt;B"</f>
        <v>#VALUE!</v>
      </c>
      <c r="DC440" t="e">
        <f>'Latin America and Caribbean'!F257+"n/&gt;!5&lt;C"</f>
        <v>#VALUE!</v>
      </c>
      <c r="DD440" t="e">
        <f>'Latin America and Caribbean'!G257+"n/&gt;!5&lt;D"</f>
        <v>#VALUE!</v>
      </c>
      <c r="DE440" t="e">
        <f>'Latin America and Caribbean'!H257+"n/&gt;!5&lt;E"</f>
        <v>#VALUE!</v>
      </c>
      <c r="DF440" t="e">
        <f>'Latin America and Caribbean'!I257+"n/&gt;!5&lt;F"</f>
        <v>#VALUE!</v>
      </c>
      <c r="DG440" t="e">
        <f>'Latin America and Caribbean'!A258+"n/&gt;!5&lt;G"</f>
        <v>#VALUE!</v>
      </c>
      <c r="DH440" t="e">
        <f>'Latin America and Caribbean'!B258+"n/&gt;!5&lt;H"</f>
        <v>#VALUE!</v>
      </c>
      <c r="DI440" t="e">
        <f>'Latin America and Caribbean'!C258+"n/&gt;!5&lt;I"</f>
        <v>#VALUE!</v>
      </c>
      <c r="DJ440" t="e">
        <f>'Latin America and Caribbean'!D258+"n/&gt;!5&lt;J"</f>
        <v>#VALUE!</v>
      </c>
      <c r="DK440" t="e">
        <f>'Latin America and Caribbean'!E258+"n/&gt;!5&lt;K"</f>
        <v>#VALUE!</v>
      </c>
      <c r="DL440" t="e">
        <f>'Latin America and Caribbean'!F258+"n/&gt;!5&lt;L"</f>
        <v>#VALUE!</v>
      </c>
      <c r="DM440" t="e">
        <f>'Latin America and Caribbean'!G258+"n/&gt;!5&lt;M"</f>
        <v>#VALUE!</v>
      </c>
      <c r="DN440" t="e">
        <f>'Latin America and Caribbean'!H258+"n/&gt;!5&lt;N"</f>
        <v>#VALUE!</v>
      </c>
      <c r="DO440" t="e">
        <f>'Latin America and Caribbean'!I258+"n/&gt;!5&lt;O"</f>
        <v>#VALUE!</v>
      </c>
      <c r="DP440" t="e">
        <f>'Latin America and Caribbean'!A259+"n/&gt;!5&lt;P"</f>
        <v>#VALUE!</v>
      </c>
      <c r="DQ440" t="e">
        <f>'Latin America and Caribbean'!B259+"n/&gt;!5&lt;Q"</f>
        <v>#VALUE!</v>
      </c>
      <c r="DR440" t="e">
        <f>'Latin America and Caribbean'!C259+"n/&gt;!5&lt;R"</f>
        <v>#VALUE!</v>
      </c>
      <c r="DS440" t="e">
        <f>'Latin America and Caribbean'!D259+"n/&gt;!5&lt;S"</f>
        <v>#VALUE!</v>
      </c>
      <c r="DT440" t="e">
        <f>'Latin America and Caribbean'!E259+"n/&gt;!5&lt;T"</f>
        <v>#VALUE!</v>
      </c>
      <c r="DU440" t="e">
        <f>'Latin America and Caribbean'!F259+"n/&gt;!5&lt;U"</f>
        <v>#VALUE!</v>
      </c>
      <c r="DV440" t="e">
        <f>'Latin America and Caribbean'!G259+"n/&gt;!5&lt;V"</f>
        <v>#VALUE!</v>
      </c>
      <c r="DW440" t="e">
        <f>'Latin America and Caribbean'!H259+"n/&gt;!5&lt;W"</f>
        <v>#VALUE!</v>
      </c>
      <c r="DX440" t="e">
        <f>'Latin America and Caribbean'!I259+"n/&gt;!5&lt;X"</f>
        <v>#VALUE!</v>
      </c>
      <c r="DY440" t="e">
        <f>'Latin America and Caribbean'!A260+"n/&gt;!5&lt;Y"</f>
        <v>#VALUE!</v>
      </c>
      <c r="DZ440" t="e">
        <f>'Latin America and Caribbean'!B260+"n/&gt;!5&lt;Z"</f>
        <v>#VALUE!</v>
      </c>
      <c r="EA440" t="e">
        <f>'Latin America and Caribbean'!C260+"n/&gt;!5&lt;["</f>
        <v>#VALUE!</v>
      </c>
      <c r="EB440" t="e">
        <f>'Latin America and Caribbean'!D260+"n/&gt;!5&lt;\"</f>
        <v>#VALUE!</v>
      </c>
      <c r="EC440" t="e">
        <f>'Latin America and Caribbean'!E260+"n/&gt;!5&lt;]"</f>
        <v>#VALUE!</v>
      </c>
      <c r="ED440" t="e">
        <f>'Latin America and Caribbean'!F260+"n/&gt;!5&lt;^"</f>
        <v>#VALUE!</v>
      </c>
      <c r="EE440" t="e">
        <f>'Latin America and Caribbean'!G260+"n/&gt;!5&lt;_"</f>
        <v>#VALUE!</v>
      </c>
      <c r="EF440" t="e">
        <f>'Latin America and Caribbean'!H260+"n/&gt;!5&lt;`"</f>
        <v>#VALUE!</v>
      </c>
      <c r="EG440" t="e">
        <f>'Latin America and Caribbean'!I260+"n/&gt;!5&lt;a"</f>
        <v>#VALUE!</v>
      </c>
      <c r="EH440" t="e">
        <f>'Latin America and Caribbean'!A261+"n/&gt;!5&lt;b"</f>
        <v>#VALUE!</v>
      </c>
      <c r="EI440" t="e">
        <f>'Latin America and Caribbean'!B261+"n/&gt;!5&lt;c"</f>
        <v>#VALUE!</v>
      </c>
      <c r="EJ440" t="e">
        <f>'Latin America and Caribbean'!C261+"n/&gt;!5&lt;d"</f>
        <v>#VALUE!</v>
      </c>
      <c r="EK440" t="e">
        <f>'Latin America and Caribbean'!D261+"n/&gt;!5&lt;e"</f>
        <v>#VALUE!</v>
      </c>
      <c r="EL440" t="e">
        <f>'Latin America and Caribbean'!E261+"n/&gt;!5&lt;f"</f>
        <v>#VALUE!</v>
      </c>
      <c r="EM440" t="e">
        <f>'Latin America and Caribbean'!F261+"n/&gt;!5&lt;g"</f>
        <v>#VALUE!</v>
      </c>
      <c r="EN440" t="e">
        <f>'Latin America and Caribbean'!G261+"n/&gt;!5&lt;h"</f>
        <v>#VALUE!</v>
      </c>
      <c r="EO440" t="e">
        <f>'Latin America and Caribbean'!H261+"n/&gt;!5&lt;i"</f>
        <v>#VALUE!</v>
      </c>
      <c r="EP440" t="e">
        <f>'Latin America and Caribbean'!I261+"n/&gt;!5&lt;j"</f>
        <v>#VALUE!</v>
      </c>
      <c r="EQ440" t="e">
        <f>'Latin America and Caribbean'!A262+"n/&gt;!5&lt;k"</f>
        <v>#VALUE!</v>
      </c>
      <c r="ER440" t="e">
        <f>'Latin America and Caribbean'!B262+"n/&gt;!5&lt;l"</f>
        <v>#VALUE!</v>
      </c>
      <c r="ES440" t="e">
        <f>'Latin America and Caribbean'!C262+"n/&gt;!5&lt;m"</f>
        <v>#VALUE!</v>
      </c>
      <c r="ET440" t="e">
        <f>'Latin America and Caribbean'!D262+"n/&gt;!5&lt;n"</f>
        <v>#VALUE!</v>
      </c>
      <c r="EU440" t="e">
        <f>'Latin America and Caribbean'!E262+"n/&gt;!5&lt;o"</f>
        <v>#VALUE!</v>
      </c>
      <c r="EV440" t="e">
        <f>'Latin America and Caribbean'!F262+"n/&gt;!5&lt;p"</f>
        <v>#VALUE!</v>
      </c>
      <c r="EW440" t="e">
        <f>'Latin America and Caribbean'!G262+"n/&gt;!5&lt;q"</f>
        <v>#VALUE!</v>
      </c>
      <c r="EX440" t="e">
        <f>'Latin America and Caribbean'!H262+"n/&gt;!5&lt;r"</f>
        <v>#VALUE!</v>
      </c>
      <c r="EY440" t="e">
        <f>'Latin America and Caribbean'!I262+"n/&gt;!5&lt;s"</f>
        <v>#VALUE!</v>
      </c>
      <c r="EZ440" t="e">
        <f>'Latin America and Caribbean'!A263+"n/&gt;!5&lt;t"</f>
        <v>#VALUE!</v>
      </c>
      <c r="FA440" t="e">
        <f>'Latin America and Caribbean'!B263+"n/&gt;!5&lt;u"</f>
        <v>#VALUE!</v>
      </c>
      <c r="FB440" t="e">
        <f>'Latin America and Caribbean'!C263+"n/&gt;!5&lt;v"</f>
        <v>#VALUE!</v>
      </c>
      <c r="FC440" t="e">
        <f>'Latin America and Caribbean'!D263+"n/&gt;!5&lt;w"</f>
        <v>#VALUE!</v>
      </c>
      <c r="FD440" t="e">
        <f>'Latin America and Caribbean'!E263+"n/&gt;!5&lt;x"</f>
        <v>#VALUE!</v>
      </c>
      <c r="FE440" t="e">
        <f>'Latin America and Caribbean'!F263+"n/&gt;!5&lt;y"</f>
        <v>#VALUE!</v>
      </c>
      <c r="FF440" t="e">
        <f>'Latin America and Caribbean'!G263+"n/&gt;!5&lt;z"</f>
        <v>#VALUE!</v>
      </c>
      <c r="FG440" t="e">
        <f>'Latin America and Caribbean'!H263+"n/&gt;!5&lt;{"</f>
        <v>#VALUE!</v>
      </c>
      <c r="FH440" t="e">
        <f>'Latin America and Caribbean'!I263+"n/&gt;!5&lt;|"</f>
        <v>#VALUE!</v>
      </c>
      <c r="FI440" t="e">
        <f>'Latin America and Caribbean'!A264+"n/&gt;!5&lt;}"</f>
        <v>#VALUE!</v>
      </c>
      <c r="FJ440" t="e">
        <f>'Latin America and Caribbean'!B264+"n/&gt;!5&lt;~"</f>
        <v>#VALUE!</v>
      </c>
      <c r="FK440" t="e">
        <f>'Latin America and Caribbean'!C264+"n/&gt;!5=#"</f>
        <v>#VALUE!</v>
      </c>
      <c r="FL440" t="e">
        <f>'Latin America and Caribbean'!D264+"n/&gt;!5=$"</f>
        <v>#VALUE!</v>
      </c>
      <c r="FM440" t="e">
        <f>'Latin America and Caribbean'!E264+"n/&gt;!5=%"</f>
        <v>#VALUE!</v>
      </c>
      <c r="FN440" t="e">
        <f>'Latin America and Caribbean'!F264+"n/&gt;!5=&amp;"</f>
        <v>#VALUE!</v>
      </c>
      <c r="FO440" t="e">
        <f>'Latin America and Caribbean'!G264+"n/&gt;!5='"</f>
        <v>#VALUE!</v>
      </c>
      <c r="FP440" t="e">
        <f>'Latin America and Caribbean'!H264+"n/&gt;!5=("</f>
        <v>#VALUE!</v>
      </c>
      <c r="FQ440" t="e">
        <f>'Latin America and Caribbean'!I264+"n/&gt;!5=)"</f>
        <v>#VALUE!</v>
      </c>
      <c r="FR440" t="e">
        <f>'Latin America and Caribbean'!A265+"n/&gt;!5=."</f>
        <v>#VALUE!</v>
      </c>
      <c r="FS440" t="e">
        <f>'Latin America and Caribbean'!B265+"n/&gt;!5=/"</f>
        <v>#VALUE!</v>
      </c>
      <c r="FT440" t="e">
        <f>'Latin America and Caribbean'!C265+"n/&gt;!5=0"</f>
        <v>#VALUE!</v>
      </c>
      <c r="FU440" t="e">
        <f>'Latin America and Caribbean'!D265+"n/&gt;!5=1"</f>
        <v>#VALUE!</v>
      </c>
      <c r="FV440" t="e">
        <f>'Latin America and Caribbean'!E265+"n/&gt;!5=2"</f>
        <v>#VALUE!</v>
      </c>
      <c r="FW440" t="e">
        <f>'Latin America and Caribbean'!F265+"n/&gt;!5=3"</f>
        <v>#VALUE!</v>
      </c>
      <c r="FX440" t="e">
        <f>'Latin America and Caribbean'!G265+"n/&gt;!5=4"</f>
        <v>#VALUE!</v>
      </c>
      <c r="FY440" t="e">
        <f>'Latin America and Caribbean'!H265+"n/&gt;!5=5"</f>
        <v>#VALUE!</v>
      </c>
      <c r="FZ440" t="e">
        <f>'Latin America and Caribbean'!I265+"n/&gt;!5=6"</f>
        <v>#VALUE!</v>
      </c>
      <c r="GA440" t="e">
        <f>'Latin America and Caribbean'!A266+"n/&gt;!5=7"</f>
        <v>#VALUE!</v>
      </c>
      <c r="GB440" t="e">
        <f>'Latin America and Caribbean'!B266+"n/&gt;!5=8"</f>
        <v>#VALUE!</v>
      </c>
      <c r="GC440" t="e">
        <f>'Latin America and Caribbean'!C266+"n/&gt;!5=9"</f>
        <v>#VALUE!</v>
      </c>
      <c r="GD440" t="e">
        <f>'Latin America and Caribbean'!D266+"n/&gt;!5=:"</f>
        <v>#VALUE!</v>
      </c>
      <c r="GE440" t="e">
        <f>'Latin America and Caribbean'!E266+"n/&gt;!5=;"</f>
        <v>#VALUE!</v>
      </c>
      <c r="GF440" t="e">
        <f>'Latin America and Caribbean'!F266+"n/&gt;!5=&lt;"</f>
        <v>#VALUE!</v>
      </c>
      <c r="GG440" t="e">
        <f>'Latin America and Caribbean'!G266+"n/&gt;!5=="</f>
        <v>#VALUE!</v>
      </c>
      <c r="GH440" t="e">
        <f>'Latin America and Caribbean'!H266+"n/&gt;!5=&gt;"</f>
        <v>#VALUE!</v>
      </c>
      <c r="GI440" t="e">
        <f>'Latin America and Caribbean'!I266+"n/&gt;!5=?"</f>
        <v>#VALUE!</v>
      </c>
      <c r="GJ440" t="e">
        <f>'Latin America and Caribbean'!A267+"n/&gt;!5=@"</f>
        <v>#VALUE!</v>
      </c>
      <c r="GK440" t="e">
        <f>'Latin America and Caribbean'!B267+"n/&gt;!5=A"</f>
        <v>#VALUE!</v>
      </c>
      <c r="GL440" t="e">
        <f>'Latin America and Caribbean'!C267+"n/&gt;!5=B"</f>
        <v>#VALUE!</v>
      </c>
      <c r="GM440" t="e">
        <f>'Latin America and Caribbean'!D267+"n/&gt;!5=C"</f>
        <v>#VALUE!</v>
      </c>
      <c r="GN440" t="e">
        <f>'Latin America and Caribbean'!E267+"n/&gt;!5=D"</f>
        <v>#VALUE!</v>
      </c>
      <c r="GO440" t="e">
        <f>'Latin America and Caribbean'!F267+"n/&gt;!5=E"</f>
        <v>#VALUE!</v>
      </c>
      <c r="GP440" t="e">
        <f>'Latin America and Caribbean'!G267+"n/&gt;!5=F"</f>
        <v>#VALUE!</v>
      </c>
      <c r="GQ440" t="e">
        <f>'Latin America and Caribbean'!H267+"n/&gt;!5=G"</f>
        <v>#VALUE!</v>
      </c>
      <c r="GR440" t="e">
        <f>'Latin America and Caribbean'!I267+"n/&gt;!5=H"</f>
        <v>#VALUE!</v>
      </c>
      <c r="GS440" t="e">
        <f>'Latin America and Caribbean'!A268+"n/&gt;!5=I"</f>
        <v>#VALUE!</v>
      </c>
      <c r="GT440" t="e">
        <f>'Latin America and Caribbean'!B268+"n/&gt;!5=J"</f>
        <v>#VALUE!</v>
      </c>
      <c r="GU440" t="e">
        <f>'Latin America and Caribbean'!C268+"n/&gt;!5=K"</f>
        <v>#VALUE!</v>
      </c>
      <c r="GV440" t="e">
        <f>'Latin America and Caribbean'!D268+"n/&gt;!5=L"</f>
        <v>#VALUE!</v>
      </c>
      <c r="GW440" t="e">
        <f>'Latin America and Caribbean'!E268+"n/&gt;!5=M"</f>
        <v>#VALUE!</v>
      </c>
      <c r="GX440" t="e">
        <f>'Latin America and Caribbean'!F268+"n/&gt;!5=N"</f>
        <v>#VALUE!</v>
      </c>
      <c r="GY440" t="e">
        <f>'Latin America and Caribbean'!G268+"n/&gt;!5=O"</f>
        <v>#VALUE!</v>
      </c>
      <c r="GZ440" t="e">
        <f>'Latin America and Caribbean'!H268+"n/&gt;!5=P"</f>
        <v>#VALUE!</v>
      </c>
      <c r="HA440" t="e">
        <f>'Latin America and Caribbean'!I268+"n/&gt;!5=Q"</f>
        <v>#VALUE!</v>
      </c>
      <c r="HB440" t="e">
        <f>'Latin America and Caribbean'!A269+"n/&gt;!5=R"</f>
        <v>#VALUE!</v>
      </c>
      <c r="HC440" t="e">
        <f>'Latin America and Caribbean'!B269+"n/&gt;!5=S"</f>
        <v>#VALUE!</v>
      </c>
      <c r="HD440" t="e">
        <f>'Latin America and Caribbean'!C269+"n/&gt;!5=T"</f>
        <v>#VALUE!</v>
      </c>
      <c r="HE440" t="e">
        <f>'Latin America and Caribbean'!D269+"n/&gt;!5=U"</f>
        <v>#VALUE!</v>
      </c>
      <c r="HF440" t="e">
        <f>'Latin America and Caribbean'!E269+"n/&gt;!5=V"</f>
        <v>#VALUE!</v>
      </c>
      <c r="HG440" t="e">
        <f>'Latin America and Caribbean'!F269+"n/&gt;!5=W"</f>
        <v>#VALUE!</v>
      </c>
      <c r="HH440" t="e">
        <f>'Latin America and Caribbean'!G269+"n/&gt;!5=X"</f>
        <v>#VALUE!</v>
      </c>
      <c r="HI440" t="e">
        <f>'Latin America and Caribbean'!H269+"n/&gt;!5=Y"</f>
        <v>#VALUE!</v>
      </c>
      <c r="HJ440" t="e">
        <f>'Latin America and Caribbean'!I269+"n/&gt;!5=Z"</f>
        <v>#VALUE!</v>
      </c>
      <c r="HK440" t="e">
        <f>'Latin America and Caribbean'!A270+"n/&gt;!5=["</f>
        <v>#VALUE!</v>
      </c>
      <c r="HL440" t="e">
        <f>'Latin America and Caribbean'!B270+"n/&gt;!5=\"</f>
        <v>#VALUE!</v>
      </c>
      <c r="HM440" t="e">
        <f>'Latin America and Caribbean'!C270+"n/&gt;!5=]"</f>
        <v>#VALUE!</v>
      </c>
      <c r="HN440" t="e">
        <f>'Latin America and Caribbean'!D270+"n/&gt;!5=^"</f>
        <v>#VALUE!</v>
      </c>
      <c r="HO440" t="e">
        <f>'Latin America and Caribbean'!E270+"n/&gt;!5=_"</f>
        <v>#VALUE!</v>
      </c>
      <c r="HP440" t="e">
        <f>'Latin America and Caribbean'!F270+"n/&gt;!5=`"</f>
        <v>#VALUE!</v>
      </c>
      <c r="HQ440" t="e">
        <f>'Latin America and Caribbean'!G270+"n/&gt;!5=a"</f>
        <v>#VALUE!</v>
      </c>
      <c r="HR440" t="e">
        <f>'Latin America and Caribbean'!H270+"n/&gt;!5=b"</f>
        <v>#VALUE!</v>
      </c>
      <c r="HS440" t="e">
        <f>'Latin America and Caribbean'!I270+"n/&gt;!5=c"</f>
        <v>#VALUE!</v>
      </c>
      <c r="HT440" t="e">
        <f>'Latin America and Caribbean'!A271+"n/&gt;!5=d"</f>
        <v>#VALUE!</v>
      </c>
      <c r="HU440" t="e">
        <f>'Latin America and Caribbean'!B271+"n/&gt;!5=e"</f>
        <v>#VALUE!</v>
      </c>
      <c r="HV440" t="e">
        <f>'Latin America and Caribbean'!C271+"n/&gt;!5=f"</f>
        <v>#VALUE!</v>
      </c>
      <c r="HW440" t="e">
        <f>'Latin America and Caribbean'!D271+"n/&gt;!5=g"</f>
        <v>#VALUE!</v>
      </c>
      <c r="HX440" t="e">
        <f>'Latin America and Caribbean'!E271+"n/&gt;!5=h"</f>
        <v>#VALUE!</v>
      </c>
      <c r="HY440" t="e">
        <f>'Latin America and Caribbean'!F271+"n/&gt;!5=i"</f>
        <v>#VALUE!</v>
      </c>
      <c r="HZ440" t="e">
        <f>'Latin America and Caribbean'!G271+"n/&gt;!5=j"</f>
        <v>#VALUE!</v>
      </c>
      <c r="IA440" t="e">
        <f>'Latin America and Caribbean'!H271+"n/&gt;!5=k"</f>
        <v>#VALUE!</v>
      </c>
      <c r="IB440" t="e">
        <f>'Latin America and Caribbean'!I271+"n/&gt;!5=l"</f>
        <v>#VALUE!</v>
      </c>
      <c r="IC440" t="e">
        <f>'Latin America and Caribbean'!A272+"n/&gt;!5=m"</f>
        <v>#VALUE!</v>
      </c>
      <c r="ID440" t="e">
        <f>'Latin America and Caribbean'!B272+"n/&gt;!5=n"</f>
        <v>#VALUE!</v>
      </c>
      <c r="IE440" t="e">
        <f>'Latin America and Caribbean'!C272+"n/&gt;!5=o"</f>
        <v>#VALUE!</v>
      </c>
      <c r="IF440" t="e">
        <f>'Latin America and Caribbean'!D272+"n/&gt;!5=p"</f>
        <v>#VALUE!</v>
      </c>
      <c r="IG440" t="e">
        <f>'Latin America and Caribbean'!E272+"n/&gt;!5=q"</f>
        <v>#VALUE!</v>
      </c>
      <c r="IH440" t="e">
        <f>'Latin America and Caribbean'!F272+"n/&gt;!5=r"</f>
        <v>#VALUE!</v>
      </c>
      <c r="II440" t="e">
        <f>'Latin America and Caribbean'!G272+"n/&gt;!5=s"</f>
        <v>#VALUE!</v>
      </c>
      <c r="IJ440" t="e">
        <f>'Latin America and Caribbean'!H272+"n/&gt;!5=t"</f>
        <v>#VALUE!</v>
      </c>
      <c r="IK440" t="e">
        <f>'Latin America and Caribbean'!I272+"n/&gt;!5=u"</f>
        <v>#VALUE!</v>
      </c>
      <c r="IL440" t="e">
        <f>'Latin America and Caribbean'!A273+"n/&gt;!5=v"</f>
        <v>#VALUE!</v>
      </c>
      <c r="IM440" t="e">
        <f>'Latin America and Caribbean'!B273+"n/&gt;!5=w"</f>
        <v>#VALUE!</v>
      </c>
      <c r="IN440" t="e">
        <f>'Latin America and Caribbean'!C273+"n/&gt;!5=x"</f>
        <v>#VALUE!</v>
      </c>
      <c r="IO440" t="e">
        <f>'Latin America and Caribbean'!D273+"n/&gt;!5=y"</f>
        <v>#VALUE!</v>
      </c>
      <c r="IP440" t="e">
        <f>'Latin America and Caribbean'!E273+"n/&gt;!5=z"</f>
        <v>#VALUE!</v>
      </c>
      <c r="IQ440" t="e">
        <f>'Latin America and Caribbean'!F273+"n/&gt;!5={"</f>
        <v>#VALUE!</v>
      </c>
      <c r="IR440" t="e">
        <f>'Latin America and Caribbean'!G273+"n/&gt;!5=|"</f>
        <v>#VALUE!</v>
      </c>
      <c r="IS440" t="e">
        <f>'Latin America and Caribbean'!H273+"n/&gt;!5=}"</f>
        <v>#VALUE!</v>
      </c>
      <c r="IT440" t="e">
        <f>'Latin America and Caribbean'!I273+"n/&gt;!5=~"</f>
        <v>#VALUE!</v>
      </c>
      <c r="IU440" t="e">
        <f>'Latin America and Caribbean'!A274+"n/&gt;!5&gt;#"</f>
        <v>#VALUE!</v>
      </c>
      <c r="IV440" t="e">
        <f>'Latin America and Caribbean'!B274+"n/&gt;!5&gt;$"</f>
        <v>#VALUE!</v>
      </c>
    </row>
    <row r="441" spans="6:256" x14ac:dyDescent="0.35">
      <c r="F441" t="e">
        <f>'Latin America and Caribbean'!C274+"n/&gt;!5&gt;%"</f>
        <v>#VALUE!</v>
      </c>
      <c r="G441" t="e">
        <f>'Latin America and Caribbean'!D274+"n/&gt;!5&gt;&amp;"</f>
        <v>#VALUE!</v>
      </c>
      <c r="H441" t="e">
        <f>'Latin America and Caribbean'!E274+"n/&gt;!5&gt;'"</f>
        <v>#VALUE!</v>
      </c>
      <c r="I441" t="e">
        <f>'Latin America and Caribbean'!F274+"n/&gt;!5&gt;("</f>
        <v>#VALUE!</v>
      </c>
      <c r="J441" t="e">
        <f>'Latin America and Caribbean'!G274+"n/&gt;!5&gt;)"</f>
        <v>#VALUE!</v>
      </c>
      <c r="K441" t="e">
        <f>'Latin America and Caribbean'!H274+"n/&gt;!5&gt;."</f>
        <v>#VALUE!</v>
      </c>
      <c r="L441" t="e">
        <f>'Latin America and Caribbean'!I274+"n/&gt;!5&gt;/"</f>
        <v>#VALUE!</v>
      </c>
      <c r="M441" t="e">
        <f>'Latin America and Caribbean'!A275+"n/&gt;!5&gt;0"</f>
        <v>#VALUE!</v>
      </c>
      <c r="N441" t="e">
        <f>'Latin America and Caribbean'!B275+"n/&gt;!5&gt;1"</f>
        <v>#VALUE!</v>
      </c>
      <c r="O441" t="e">
        <f>'Latin America and Caribbean'!C275+"n/&gt;!5&gt;2"</f>
        <v>#VALUE!</v>
      </c>
      <c r="P441" t="e">
        <f>'Latin America and Caribbean'!D275+"n/&gt;!5&gt;3"</f>
        <v>#VALUE!</v>
      </c>
      <c r="Q441" t="e">
        <f>'Latin America and Caribbean'!E275+"n/&gt;!5&gt;4"</f>
        <v>#VALUE!</v>
      </c>
      <c r="R441" t="e">
        <f>'Latin America and Caribbean'!F275+"n/&gt;!5&gt;5"</f>
        <v>#VALUE!</v>
      </c>
      <c r="S441" t="e">
        <f>'Latin America and Caribbean'!G275+"n/&gt;!5&gt;6"</f>
        <v>#VALUE!</v>
      </c>
      <c r="T441" t="e">
        <f>'Latin America and Caribbean'!H275+"n/&gt;!5&gt;7"</f>
        <v>#VALUE!</v>
      </c>
      <c r="U441" t="e">
        <f>'Latin America and Caribbean'!I275+"n/&gt;!5&gt;8"</f>
        <v>#VALUE!</v>
      </c>
      <c r="V441" t="e">
        <f>'Latin America and Caribbean'!A276+"n/&gt;!5&gt;9"</f>
        <v>#VALUE!</v>
      </c>
      <c r="W441" t="e">
        <f>'Latin America and Caribbean'!B276+"n/&gt;!5&gt;:"</f>
        <v>#VALUE!</v>
      </c>
      <c r="X441" t="e">
        <f>'Latin America and Caribbean'!C276+"n/&gt;!5&gt;;"</f>
        <v>#VALUE!</v>
      </c>
      <c r="Y441" t="e">
        <f>'Latin America and Caribbean'!D276+"n/&gt;!5&gt;&lt;"</f>
        <v>#VALUE!</v>
      </c>
      <c r="Z441" t="e">
        <f>'Latin America and Caribbean'!E276+"n/&gt;!5&gt;="</f>
        <v>#VALUE!</v>
      </c>
      <c r="AA441" t="e">
        <f>'Latin America and Caribbean'!F276+"n/&gt;!5&gt;&gt;"</f>
        <v>#VALUE!</v>
      </c>
      <c r="AB441" t="e">
        <f>'Latin America and Caribbean'!G276+"n/&gt;!5&gt;?"</f>
        <v>#VALUE!</v>
      </c>
      <c r="AC441" t="e">
        <f>'Latin America and Caribbean'!H276+"n/&gt;!5&gt;@"</f>
        <v>#VALUE!</v>
      </c>
      <c r="AD441" t="e">
        <f>'Latin America and Caribbean'!I276+"n/&gt;!5&gt;A"</f>
        <v>#VALUE!</v>
      </c>
      <c r="AE441" t="e">
        <f>'Latin America and Caribbean'!A277+"n/&gt;!5&gt;B"</f>
        <v>#VALUE!</v>
      </c>
      <c r="AF441" t="e">
        <f>'Latin America and Caribbean'!B277+"n/&gt;!5&gt;C"</f>
        <v>#VALUE!</v>
      </c>
      <c r="AG441" t="e">
        <f>'Latin America and Caribbean'!C277+"n/&gt;!5&gt;D"</f>
        <v>#VALUE!</v>
      </c>
      <c r="AH441" t="e">
        <f>'Latin America and Caribbean'!D277+"n/&gt;!5&gt;E"</f>
        <v>#VALUE!</v>
      </c>
      <c r="AI441" t="e">
        <f>'Latin America and Caribbean'!E277+"n/&gt;!5&gt;F"</f>
        <v>#VALUE!</v>
      </c>
      <c r="AJ441" t="e">
        <f>'Latin America and Caribbean'!F277+"n/&gt;!5&gt;G"</f>
        <v>#VALUE!</v>
      </c>
      <c r="AK441" t="e">
        <f>'Latin America and Caribbean'!G277+"n/&gt;!5&gt;H"</f>
        <v>#VALUE!</v>
      </c>
      <c r="AL441" t="e">
        <f>'Latin America and Caribbean'!H277+"n/&gt;!5&gt;I"</f>
        <v>#VALUE!</v>
      </c>
      <c r="AM441" t="e">
        <f>'Latin America and Caribbean'!I277+"n/&gt;!5&gt;J"</f>
        <v>#VALUE!</v>
      </c>
      <c r="AN441" t="e">
        <f>'Latin America and Caribbean'!A278+"n/&gt;!5&gt;K"</f>
        <v>#VALUE!</v>
      </c>
      <c r="AO441" t="e">
        <f>'Latin America and Caribbean'!B278+"n/&gt;!5&gt;L"</f>
        <v>#VALUE!</v>
      </c>
      <c r="AP441" t="e">
        <f>'Latin America and Caribbean'!C278+"n/&gt;!5&gt;M"</f>
        <v>#VALUE!</v>
      </c>
      <c r="AQ441" t="e">
        <f>'Latin America and Caribbean'!D278+"n/&gt;!5&gt;N"</f>
        <v>#VALUE!</v>
      </c>
      <c r="AR441" t="e">
        <f>'Latin America and Caribbean'!E278+"n/&gt;!5&gt;O"</f>
        <v>#VALUE!</v>
      </c>
      <c r="AS441" t="e">
        <f>'Latin America and Caribbean'!F278+"n/&gt;!5&gt;P"</f>
        <v>#VALUE!</v>
      </c>
      <c r="AT441" t="e">
        <f>'Latin America and Caribbean'!G278+"n/&gt;!5&gt;Q"</f>
        <v>#VALUE!</v>
      </c>
      <c r="AU441" t="e">
        <f>'Latin America and Caribbean'!H278+"n/&gt;!5&gt;R"</f>
        <v>#VALUE!</v>
      </c>
      <c r="AV441" t="e">
        <f>'Latin America and Caribbean'!I278+"n/&gt;!5&gt;S"</f>
        <v>#VALUE!</v>
      </c>
      <c r="AW441" t="e">
        <f>'Latin America and Caribbean'!A279+"n/&gt;!5&gt;T"</f>
        <v>#VALUE!</v>
      </c>
      <c r="AX441" t="e">
        <f>'Latin America and Caribbean'!B279+"n/&gt;!5&gt;U"</f>
        <v>#VALUE!</v>
      </c>
      <c r="AY441" t="e">
        <f>'Latin America and Caribbean'!C279+"n/&gt;!5&gt;V"</f>
        <v>#VALUE!</v>
      </c>
      <c r="AZ441" t="e">
        <f>'Latin America and Caribbean'!D279+"n/&gt;!5&gt;W"</f>
        <v>#VALUE!</v>
      </c>
      <c r="BA441" t="e">
        <f>'Latin America and Caribbean'!E279+"n/&gt;!5&gt;X"</f>
        <v>#VALUE!</v>
      </c>
      <c r="BB441" t="e">
        <f>'Latin America and Caribbean'!F279+"n/&gt;!5&gt;Y"</f>
        <v>#VALUE!</v>
      </c>
      <c r="BC441" t="e">
        <f>'Latin America and Caribbean'!G279+"n/&gt;!5&gt;Z"</f>
        <v>#VALUE!</v>
      </c>
      <c r="BD441" t="e">
        <f>'Latin America and Caribbean'!H279+"n/&gt;!5&gt;["</f>
        <v>#VALUE!</v>
      </c>
      <c r="BE441" t="e">
        <f>'Latin America and Caribbean'!I279+"n/&gt;!5&gt;\"</f>
        <v>#VALUE!</v>
      </c>
      <c r="BF441" t="e">
        <f>'Latin America and Caribbean'!A280+"n/&gt;!5&gt;]"</f>
        <v>#VALUE!</v>
      </c>
      <c r="BG441" t="e">
        <f>'Latin America and Caribbean'!B280+"n/&gt;!5&gt;^"</f>
        <v>#VALUE!</v>
      </c>
      <c r="BH441" t="e">
        <f>'Latin America and Caribbean'!C280+"n/&gt;!5&gt;_"</f>
        <v>#VALUE!</v>
      </c>
      <c r="BI441" t="e">
        <f>'Latin America and Caribbean'!D280+"n/&gt;!5&gt;`"</f>
        <v>#VALUE!</v>
      </c>
      <c r="BJ441" t="e">
        <f>'Latin America and Caribbean'!E280+"n/&gt;!5&gt;a"</f>
        <v>#VALUE!</v>
      </c>
      <c r="BK441" t="e">
        <f>'Latin America and Caribbean'!F280+"n/&gt;!5&gt;b"</f>
        <v>#VALUE!</v>
      </c>
      <c r="BL441" t="e">
        <f>'Latin America and Caribbean'!G280+"n/&gt;!5&gt;c"</f>
        <v>#VALUE!</v>
      </c>
      <c r="BM441" t="e">
        <f>'Latin America and Caribbean'!H280+"n/&gt;!5&gt;d"</f>
        <v>#VALUE!</v>
      </c>
      <c r="BN441" t="e">
        <f>'Latin America and Caribbean'!I280+"n/&gt;!5&gt;e"</f>
        <v>#VALUE!</v>
      </c>
      <c r="BO441" t="e">
        <f>'Latin America and Caribbean'!A281+"n/&gt;!5&gt;f"</f>
        <v>#VALUE!</v>
      </c>
      <c r="BP441" t="e">
        <f>'Latin America and Caribbean'!B281+"n/&gt;!5&gt;g"</f>
        <v>#VALUE!</v>
      </c>
      <c r="BQ441" t="e">
        <f>'Latin America and Caribbean'!C281+"n/&gt;!5&gt;h"</f>
        <v>#VALUE!</v>
      </c>
      <c r="BR441" t="e">
        <f>'Latin America and Caribbean'!D281+"n/&gt;!5&gt;i"</f>
        <v>#VALUE!</v>
      </c>
      <c r="BS441" t="e">
        <f>'Latin America and Caribbean'!E281+"n/&gt;!5&gt;j"</f>
        <v>#VALUE!</v>
      </c>
      <c r="BT441" t="e">
        <f>'Latin America and Caribbean'!F281+"n/&gt;!5&gt;k"</f>
        <v>#VALUE!</v>
      </c>
      <c r="BU441" t="e">
        <f>'Latin America and Caribbean'!G281+"n/&gt;!5&gt;l"</f>
        <v>#VALUE!</v>
      </c>
      <c r="BV441" t="e">
        <f>'Latin America and Caribbean'!H281+"n/&gt;!5&gt;m"</f>
        <v>#VALUE!</v>
      </c>
      <c r="BW441" t="e">
        <f>'Latin America and Caribbean'!I281+"n/&gt;!5&gt;n"</f>
        <v>#VALUE!</v>
      </c>
      <c r="BX441" t="e">
        <f>'Latin America and Caribbean'!A282+"n/&gt;!5&gt;o"</f>
        <v>#VALUE!</v>
      </c>
      <c r="BY441" t="e">
        <f>'Latin America and Caribbean'!B282+"n/&gt;!5&gt;p"</f>
        <v>#VALUE!</v>
      </c>
      <c r="BZ441" t="e">
        <f>'Latin America and Caribbean'!C282+"n/&gt;!5&gt;q"</f>
        <v>#VALUE!</v>
      </c>
      <c r="CA441" t="e">
        <f>'Latin America and Caribbean'!D282+"n/&gt;!5&gt;r"</f>
        <v>#VALUE!</v>
      </c>
      <c r="CB441" t="e">
        <f>'Latin America and Caribbean'!E282+"n/&gt;!5&gt;s"</f>
        <v>#VALUE!</v>
      </c>
      <c r="CC441" t="e">
        <f>'Latin America and Caribbean'!F282+"n/&gt;!5&gt;t"</f>
        <v>#VALUE!</v>
      </c>
      <c r="CD441" t="e">
        <f>'Latin America and Caribbean'!G282+"n/&gt;!5&gt;u"</f>
        <v>#VALUE!</v>
      </c>
      <c r="CE441" t="e">
        <f>'Latin America and Caribbean'!H282+"n/&gt;!5&gt;v"</f>
        <v>#VALUE!</v>
      </c>
      <c r="CF441" t="e">
        <f>'Latin America and Caribbean'!I282+"n/&gt;!5&gt;w"</f>
        <v>#VALUE!</v>
      </c>
      <c r="CG441" t="e">
        <f>'Latin America and Caribbean'!A283+"n/&gt;!5&gt;x"</f>
        <v>#VALUE!</v>
      </c>
      <c r="CH441" t="e">
        <f>'Latin America and Caribbean'!B283+"n/&gt;!5&gt;y"</f>
        <v>#VALUE!</v>
      </c>
      <c r="CI441" t="e">
        <f>'Latin America and Caribbean'!C283+"n/&gt;!5&gt;z"</f>
        <v>#VALUE!</v>
      </c>
      <c r="CJ441" t="e">
        <f>'Latin America and Caribbean'!D283+"n/&gt;!5&gt;{"</f>
        <v>#VALUE!</v>
      </c>
      <c r="CK441" t="e">
        <f>'Latin America and Caribbean'!E283+"n/&gt;!5&gt;|"</f>
        <v>#VALUE!</v>
      </c>
      <c r="CL441" t="e">
        <f>'Latin America and Caribbean'!F283+"n/&gt;!5&gt;}"</f>
        <v>#VALUE!</v>
      </c>
      <c r="CM441" t="e">
        <f>'Latin America and Caribbean'!G283+"n/&gt;!5&gt;~"</f>
        <v>#VALUE!</v>
      </c>
      <c r="CN441" t="e">
        <f>'Latin America and Caribbean'!H283+"n/&gt;!5?#"</f>
        <v>#VALUE!</v>
      </c>
      <c r="CO441" t="e">
        <f>'Latin America and Caribbean'!I283+"n/&gt;!5?$"</f>
        <v>#VALUE!</v>
      </c>
      <c r="CP441" t="e">
        <f>'Latin America and Caribbean'!A284+"n/&gt;!5?%"</f>
        <v>#VALUE!</v>
      </c>
      <c r="CQ441" t="e">
        <f>'Latin America and Caribbean'!B284+"n/&gt;!5?&amp;"</f>
        <v>#VALUE!</v>
      </c>
      <c r="CR441" t="e">
        <f>'Latin America and Caribbean'!C284+"n/&gt;!5?'"</f>
        <v>#VALUE!</v>
      </c>
      <c r="CS441" t="e">
        <f>'Latin America and Caribbean'!D284+"n/&gt;!5?("</f>
        <v>#VALUE!</v>
      </c>
      <c r="CT441" t="e">
        <f>'Latin America and Caribbean'!E284+"n/&gt;!5?)"</f>
        <v>#VALUE!</v>
      </c>
      <c r="CU441" t="e">
        <f>'Latin America and Caribbean'!F284+"n/&gt;!5?."</f>
        <v>#VALUE!</v>
      </c>
      <c r="CV441" t="e">
        <f>'Latin America and Caribbean'!G284+"n/&gt;!5?/"</f>
        <v>#VALUE!</v>
      </c>
      <c r="CW441" t="e">
        <f>'Latin America and Caribbean'!H284+"n/&gt;!5?0"</f>
        <v>#VALUE!</v>
      </c>
      <c r="CX441" t="e">
        <f>'Latin America and Caribbean'!I284+"n/&gt;!5?1"</f>
        <v>#VALUE!</v>
      </c>
      <c r="CY441" t="e">
        <f>'Latin America and Caribbean'!A285+"n/&gt;!5?2"</f>
        <v>#VALUE!</v>
      </c>
      <c r="CZ441" t="e">
        <f>'Latin America and Caribbean'!B285+"n/&gt;!5?3"</f>
        <v>#VALUE!</v>
      </c>
      <c r="DA441" t="e">
        <f>'Latin America and Caribbean'!C285+"n/&gt;!5?4"</f>
        <v>#VALUE!</v>
      </c>
      <c r="DB441" t="e">
        <f>'Latin America and Caribbean'!D285+"n/&gt;!5?5"</f>
        <v>#VALUE!</v>
      </c>
      <c r="DC441" t="e">
        <f>'Latin America and Caribbean'!E285+"n/&gt;!5?6"</f>
        <v>#VALUE!</v>
      </c>
      <c r="DD441" t="e">
        <f>'Latin America and Caribbean'!F285+"n/&gt;!5?7"</f>
        <v>#VALUE!</v>
      </c>
      <c r="DE441" t="e">
        <f>'Latin America and Caribbean'!G285+"n/&gt;!5?8"</f>
        <v>#VALUE!</v>
      </c>
      <c r="DF441" t="e">
        <f>'Latin America and Caribbean'!H285+"n/&gt;!5?9"</f>
        <v>#VALUE!</v>
      </c>
      <c r="DG441" t="e">
        <f>'Latin America and Caribbean'!I285+"n/&gt;!5?:"</f>
        <v>#VALUE!</v>
      </c>
      <c r="DH441" t="e">
        <f>'Latin America and Caribbean'!A286+"n/&gt;!5?;"</f>
        <v>#VALUE!</v>
      </c>
      <c r="DI441" t="e">
        <f>'Latin America and Caribbean'!B286+"n/&gt;!5?&lt;"</f>
        <v>#VALUE!</v>
      </c>
      <c r="DJ441" t="e">
        <f>'Latin America and Caribbean'!C286+"n/&gt;!5?="</f>
        <v>#VALUE!</v>
      </c>
      <c r="DK441" t="e">
        <f>'Latin America and Caribbean'!D286+"n/&gt;!5?&gt;"</f>
        <v>#VALUE!</v>
      </c>
      <c r="DL441" t="e">
        <f>'Latin America and Caribbean'!E286+"n/&gt;!5??"</f>
        <v>#VALUE!</v>
      </c>
      <c r="DM441" t="e">
        <f>'Latin America and Caribbean'!F286+"n/&gt;!5?@"</f>
        <v>#VALUE!</v>
      </c>
      <c r="DN441" t="e">
        <f>'Latin America and Caribbean'!G286+"n/&gt;!5?A"</f>
        <v>#VALUE!</v>
      </c>
      <c r="DO441" t="e">
        <f>'Latin America and Caribbean'!H286+"n/&gt;!5?B"</f>
        <v>#VALUE!</v>
      </c>
      <c r="DP441" t="e">
        <f>'Latin America and Caribbean'!I286+"n/&gt;!5?C"</f>
        <v>#VALUE!</v>
      </c>
      <c r="DQ441" t="e">
        <f>'Latin America and Caribbean'!A287+"n/&gt;!5?D"</f>
        <v>#VALUE!</v>
      </c>
      <c r="DR441" t="e">
        <f>'Latin America and Caribbean'!B287+"n/&gt;!5?E"</f>
        <v>#VALUE!</v>
      </c>
      <c r="DS441" t="e">
        <f>'Latin America and Caribbean'!C287+"n/&gt;!5?F"</f>
        <v>#VALUE!</v>
      </c>
      <c r="DT441" t="e">
        <f>'Latin America and Caribbean'!D287+"n/&gt;!5?G"</f>
        <v>#VALUE!</v>
      </c>
      <c r="DU441" t="e">
        <f>'Latin America and Caribbean'!E287+"n/&gt;!5?H"</f>
        <v>#VALUE!</v>
      </c>
      <c r="DV441" t="e">
        <f>'Latin America and Caribbean'!F287+"n/&gt;!5?I"</f>
        <v>#VALUE!</v>
      </c>
      <c r="DW441" t="e">
        <f>'Latin America and Caribbean'!G287+"n/&gt;!5?J"</f>
        <v>#VALUE!</v>
      </c>
      <c r="DX441" t="e">
        <f>'Latin America and Caribbean'!H287+"n/&gt;!5?K"</f>
        <v>#VALUE!</v>
      </c>
      <c r="DY441" t="e">
        <f>'Latin America and Caribbean'!I287+"n/&gt;!5?L"</f>
        <v>#VALUE!</v>
      </c>
      <c r="DZ441" t="e">
        <f>'Latin America and Caribbean'!A288+"n/&gt;!5?M"</f>
        <v>#VALUE!</v>
      </c>
      <c r="EA441" t="e">
        <f>'Latin America and Caribbean'!B288+"n/&gt;!5?N"</f>
        <v>#VALUE!</v>
      </c>
      <c r="EB441" t="e">
        <f>'Latin America and Caribbean'!C288+"n/&gt;!5?O"</f>
        <v>#VALUE!</v>
      </c>
      <c r="EC441" t="e">
        <f>'Latin America and Caribbean'!D288+"n/&gt;!5?P"</f>
        <v>#VALUE!</v>
      </c>
      <c r="ED441" t="e">
        <f>'Latin America and Caribbean'!E288+"n/&gt;!5?Q"</f>
        <v>#VALUE!</v>
      </c>
      <c r="EE441" t="e">
        <f>'Latin America and Caribbean'!F288+"n/&gt;!5?R"</f>
        <v>#VALUE!</v>
      </c>
      <c r="EF441" t="e">
        <f>'Latin America and Caribbean'!G288+"n/&gt;!5?S"</f>
        <v>#VALUE!</v>
      </c>
      <c r="EG441" t="e">
        <f>'Latin America and Caribbean'!H288+"n/&gt;!5?T"</f>
        <v>#VALUE!</v>
      </c>
      <c r="EH441" t="e">
        <f>'Latin America and Caribbean'!I288+"n/&gt;!5?U"</f>
        <v>#VALUE!</v>
      </c>
      <c r="EI441" t="e">
        <f>'Latin America and Caribbean'!A289+"n/&gt;!5?V"</f>
        <v>#VALUE!</v>
      </c>
      <c r="EJ441" t="e">
        <f>'Latin America and Caribbean'!B289+"n/&gt;!5?W"</f>
        <v>#VALUE!</v>
      </c>
      <c r="EK441" t="e">
        <f>'Latin America and Caribbean'!C289+"n/&gt;!5?X"</f>
        <v>#VALUE!</v>
      </c>
      <c r="EL441" t="e">
        <f>'Latin America and Caribbean'!D289+"n/&gt;!5?Y"</f>
        <v>#VALUE!</v>
      </c>
      <c r="EM441" t="e">
        <f>'Latin America and Caribbean'!E289+"n/&gt;!5?Z"</f>
        <v>#VALUE!</v>
      </c>
      <c r="EN441" t="e">
        <f>'Latin America and Caribbean'!F289+"n/&gt;!5?["</f>
        <v>#VALUE!</v>
      </c>
      <c r="EO441" t="e">
        <f>'Latin America and Caribbean'!G289+"n/&gt;!5?\"</f>
        <v>#VALUE!</v>
      </c>
      <c r="EP441" t="e">
        <f>'Latin America and Caribbean'!H289+"n/&gt;!5?]"</f>
        <v>#VALUE!</v>
      </c>
      <c r="EQ441" t="e">
        <f>'Latin America and Caribbean'!I289+"n/&gt;!5?^"</f>
        <v>#VALUE!</v>
      </c>
      <c r="ER441" t="e">
        <f>'Latin America and Caribbean'!A290+"n/&gt;!5?_"</f>
        <v>#VALUE!</v>
      </c>
      <c r="ES441" t="e">
        <f>'Latin America and Caribbean'!B290+"n/&gt;!5?`"</f>
        <v>#VALUE!</v>
      </c>
      <c r="ET441" t="e">
        <f>'Latin America and Caribbean'!C290+"n/&gt;!5?a"</f>
        <v>#VALUE!</v>
      </c>
      <c r="EU441" t="e">
        <f>'Latin America and Caribbean'!D290+"n/&gt;!5?b"</f>
        <v>#VALUE!</v>
      </c>
      <c r="EV441" t="e">
        <f>'Latin America and Caribbean'!E290+"n/&gt;!5?c"</f>
        <v>#VALUE!</v>
      </c>
      <c r="EW441" t="e">
        <f>'Latin America and Caribbean'!F290+"n/&gt;!5?d"</f>
        <v>#VALUE!</v>
      </c>
      <c r="EX441" t="e">
        <f>'Latin America and Caribbean'!G290+"n/&gt;!5?e"</f>
        <v>#VALUE!</v>
      </c>
      <c r="EY441" t="e">
        <f>'Latin America and Caribbean'!H290+"n/&gt;!5?f"</f>
        <v>#VALUE!</v>
      </c>
      <c r="EZ441" t="e">
        <f>'Latin America and Caribbean'!I290+"n/&gt;!5?g"</f>
        <v>#VALUE!</v>
      </c>
      <c r="FA441" t="e">
        <f>'Latin America and Caribbean'!A291+"n/&gt;!5?h"</f>
        <v>#VALUE!</v>
      </c>
      <c r="FB441" t="e">
        <f>'Latin America and Caribbean'!B291+"n/&gt;!5?i"</f>
        <v>#VALUE!</v>
      </c>
      <c r="FC441" t="e">
        <f>'Latin America and Caribbean'!C291+"n/&gt;!5?j"</f>
        <v>#VALUE!</v>
      </c>
      <c r="FD441" t="e">
        <f>'Latin America and Caribbean'!D291+"n/&gt;!5?k"</f>
        <v>#VALUE!</v>
      </c>
      <c r="FE441" t="e">
        <f>'Latin America and Caribbean'!E291+"n/&gt;!5?l"</f>
        <v>#VALUE!</v>
      </c>
      <c r="FF441" t="e">
        <f>'Latin America and Caribbean'!F291+"n/&gt;!5?m"</f>
        <v>#VALUE!</v>
      </c>
      <c r="FG441" t="e">
        <f>'Latin America and Caribbean'!G291+"n/&gt;!5?n"</f>
        <v>#VALUE!</v>
      </c>
      <c r="FH441" t="e">
        <f>'Latin America and Caribbean'!H291+"n/&gt;!5?o"</f>
        <v>#VALUE!</v>
      </c>
      <c r="FI441" t="e">
        <f>'Latin America and Caribbean'!I291+"n/&gt;!5?p"</f>
        <v>#VALUE!</v>
      </c>
      <c r="FJ441" t="e">
        <f>'Latin America and Caribbean'!A292+"n/&gt;!5?q"</f>
        <v>#VALUE!</v>
      </c>
      <c r="FK441" t="e">
        <f>'Latin America and Caribbean'!B292+"n/&gt;!5?r"</f>
        <v>#VALUE!</v>
      </c>
      <c r="FL441" t="e">
        <f>'Latin America and Caribbean'!C292+"n/&gt;!5?s"</f>
        <v>#VALUE!</v>
      </c>
      <c r="FM441" t="e">
        <f>'Latin America and Caribbean'!D292+"n/&gt;!5?t"</f>
        <v>#VALUE!</v>
      </c>
      <c r="FN441" t="e">
        <f>'Latin America and Caribbean'!E292+"n/&gt;!5?u"</f>
        <v>#VALUE!</v>
      </c>
      <c r="FO441" t="e">
        <f>'Latin America and Caribbean'!F292+"n/&gt;!5?v"</f>
        <v>#VALUE!</v>
      </c>
      <c r="FP441" t="e">
        <f>'Latin America and Caribbean'!G292+"n/&gt;!5?w"</f>
        <v>#VALUE!</v>
      </c>
      <c r="FQ441" t="e">
        <f>'Latin America and Caribbean'!H292+"n/&gt;!5?x"</f>
        <v>#VALUE!</v>
      </c>
      <c r="FR441" t="e">
        <f>'Latin America and Caribbean'!I292+"n/&gt;!5?y"</f>
        <v>#VALUE!</v>
      </c>
      <c r="FS441" t="e">
        <f>'Latin America and Caribbean'!A293+"n/&gt;!5?z"</f>
        <v>#VALUE!</v>
      </c>
      <c r="FT441" t="e">
        <f>'Latin America and Caribbean'!B293+"n/&gt;!5?{"</f>
        <v>#VALUE!</v>
      </c>
      <c r="FU441" t="e">
        <f>'Latin America and Caribbean'!C293+"n/&gt;!5?|"</f>
        <v>#VALUE!</v>
      </c>
      <c r="FV441" t="e">
        <f>'Latin America and Caribbean'!D293+"n/&gt;!5?}"</f>
        <v>#VALUE!</v>
      </c>
      <c r="FW441" t="e">
        <f>'Latin America and Caribbean'!E293+"n/&gt;!5?~"</f>
        <v>#VALUE!</v>
      </c>
      <c r="FX441" t="e">
        <f>'Latin America and Caribbean'!F293+"n/&gt;!5@#"</f>
        <v>#VALUE!</v>
      </c>
      <c r="FY441" t="e">
        <f>'Latin America and Caribbean'!G293+"n/&gt;!5@$"</f>
        <v>#VALUE!</v>
      </c>
      <c r="FZ441" t="e">
        <f>'Latin America and Caribbean'!H293+"n/&gt;!5@%"</f>
        <v>#VALUE!</v>
      </c>
      <c r="GA441" t="e">
        <f>'Latin America and Caribbean'!I293+"n/&gt;!5@&amp;"</f>
        <v>#VALUE!</v>
      </c>
      <c r="GB441" t="e">
        <f>'Latin America and Caribbean'!A294+"n/&gt;!5@'"</f>
        <v>#VALUE!</v>
      </c>
      <c r="GC441" t="e">
        <f>'Latin America and Caribbean'!B294+"n/&gt;!5@("</f>
        <v>#VALUE!</v>
      </c>
      <c r="GD441" t="e">
        <f>'Latin America and Caribbean'!C294+"n/&gt;!5@)"</f>
        <v>#VALUE!</v>
      </c>
      <c r="GE441" t="e">
        <f>'Latin America and Caribbean'!D294+"n/&gt;!5@."</f>
        <v>#VALUE!</v>
      </c>
      <c r="GF441" t="e">
        <f>'Latin America and Caribbean'!E294+"n/&gt;!5@/"</f>
        <v>#VALUE!</v>
      </c>
      <c r="GG441" t="e">
        <f>'Latin America and Caribbean'!F294+"n/&gt;!5@0"</f>
        <v>#VALUE!</v>
      </c>
      <c r="GH441" t="e">
        <f>'Latin America and Caribbean'!G294+"n/&gt;!5@1"</f>
        <v>#VALUE!</v>
      </c>
      <c r="GI441" t="e">
        <f>'Latin America and Caribbean'!H294+"n/&gt;!5@2"</f>
        <v>#VALUE!</v>
      </c>
      <c r="GJ441" t="e">
        <f>'Latin America and Caribbean'!I294+"n/&gt;!5@3"</f>
        <v>#VALUE!</v>
      </c>
      <c r="GK441" t="e">
        <f>'Latin America and Caribbean'!A295+"n/&gt;!5@4"</f>
        <v>#VALUE!</v>
      </c>
      <c r="GL441" t="e">
        <f>'Latin America and Caribbean'!B295+"n/&gt;!5@5"</f>
        <v>#VALUE!</v>
      </c>
      <c r="GM441" t="e">
        <f>'Latin America and Caribbean'!C295+"n/&gt;!5@6"</f>
        <v>#VALUE!</v>
      </c>
      <c r="GN441" t="e">
        <f>'Latin America and Caribbean'!D295+"n/&gt;!5@7"</f>
        <v>#VALUE!</v>
      </c>
      <c r="GO441" t="e">
        <f>'Latin America and Caribbean'!E295+"n/&gt;!5@8"</f>
        <v>#VALUE!</v>
      </c>
      <c r="GP441" t="e">
        <f>'Latin America and Caribbean'!F295+"n/&gt;!5@9"</f>
        <v>#VALUE!</v>
      </c>
      <c r="GQ441" t="e">
        <f>'Latin America and Caribbean'!G295+"n/&gt;!5@:"</f>
        <v>#VALUE!</v>
      </c>
      <c r="GR441" t="e">
        <f>'Latin America and Caribbean'!H295+"n/&gt;!5@;"</f>
        <v>#VALUE!</v>
      </c>
      <c r="GS441" t="e">
        <f>'Latin America and Caribbean'!I295+"n/&gt;!5@&lt;"</f>
        <v>#VALUE!</v>
      </c>
      <c r="GT441" t="e">
        <f>'Latin America and Caribbean'!A296+"n/&gt;!5@="</f>
        <v>#VALUE!</v>
      </c>
      <c r="GU441" t="e">
        <f>'Latin America and Caribbean'!B296+"n/&gt;!5@&gt;"</f>
        <v>#VALUE!</v>
      </c>
      <c r="GV441" t="e">
        <f>'Latin America and Caribbean'!C296+"n/&gt;!5@?"</f>
        <v>#VALUE!</v>
      </c>
      <c r="GW441" t="e">
        <f>'Latin America and Caribbean'!D296+"n/&gt;!5@@"</f>
        <v>#VALUE!</v>
      </c>
      <c r="GX441" t="e">
        <f>'Latin America and Caribbean'!E296+"n/&gt;!5@A"</f>
        <v>#VALUE!</v>
      </c>
      <c r="GY441" t="e">
        <f>'Latin America and Caribbean'!F296+"n/&gt;!5@B"</f>
        <v>#VALUE!</v>
      </c>
      <c r="GZ441" t="e">
        <f>'Latin America and Caribbean'!G296+"n/&gt;!5@C"</f>
        <v>#VALUE!</v>
      </c>
      <c r="HA441" t="e">
        <f>'Latin America and Caribbean'!H296+"n/&gt;!5@D"</f>
        <v>#VALUE!</v>
      </c>
      <c r="HB441" t="e">
        <f>'Latin America and Caribbean'!I296+"n/&gt;!5@E"</f>
        <v>#VALUE!</v>
      </c>
      <c r="HC441" t="e">
        <f>'Latin America and Caribbean'!A297+"n/&gt;!5@F"</f>
        <v>#VALUE!</v>
      </c>
      <c r="HD441" t="e">
        <f>'Latin America and Caribbean'!B297+"n/&gt;!5@G"</f>
        <v>#VALUE!</v>
      </c>
      <c r="HE441" t="e">
        <f>'Latin America and Caribbean'!C297+"n/&gt;!5@H"</f>
        <v>#VALUE!</v>
      </c>
      <c r="HF441" t="e">
        <f>'Latin America and Caribbean'!D297+"n/&gt;!5@I"</f>
        <v>#VALUE!</v>
      </c>
      <c r="HG441" t="e">
        <f>'Latin America and Caribbean'!E297+"n/&gt;!5@J"</f>
        <v>#VALUE!</v>
      </c>
      <c r="HH441" t="e">
        <f>'Latin America and Caribbean'!F297+"n/&gt;!5@K"</f>
        <v>#VALUE!</v>
      </c>
      <c r="HI441" t="e">
        <f>'Latin America and Caribbean'!G297+"n/&gt;!5@L"</f>
        <v>#VALUE!</v>
      </c>
      <c r="HJ441" t="e">
        <f>'Latin America and Caribbean'!H297+"n/&gt;!5@M"</f>
        <v>#VALUE!</v>
      </c>
      <c r="HK441" t="e">
        <f>'Latin America and Caribbean'!I297+"n/&gt;!5@N"</f>
        <v>#VALUE!</v>
      </c>
      <c r="HL441" t="e">
        <f>'Latin America and Caribbean'!A298+"n/&gt;!5@O"</f>
        <v>#VALUE!</v>
      </c>
      <c r="HM441" t="e">
        <f>'Latin America and Caribbean'!B298+"n/&gt;!5@P"</f>
        <v>#VALUE!</v>
      </c>
      <c r="HN441" t="e">
        <f>'Latin America and Caribbean'!C298+"n/&gt;!5@Q"</f>
        <v>#VALUE!</v>
      </c>
      <c r="HO441" t="e">
        <f>'Latin America and Caribbean'!D298+"n/&gt;!5@R"</f>
        <v>#VALUE!</v>
      </c>
      <c r="HP441" t="e">
        <f>'Latin America and Caribbean'!E298+"n/&gt;!5@S"</f>
        <v>#VALUE!</v>
      </c>
      <c r="HQ441" t="e">
        <f>'Latin America and Caribbean'!F298+"n/&gt;!5@T"</f>
        <v>#VALUE!</v>
      </c>
      <c r="HR441" t="e">
        <f>'Latin America and Caribbean'!G298+"n/&gt;!5@U"</f>
        <v>#VALUE!</v>
      </c>
      <c r="HS441" t="e">
        <f>'Latin America and Caribbean'!H298+"n/&gt;!5@V"</f>
        <v>#VALUE!</v>
      </c>
      <c r="HT441" t="e">
        <f>'Latin America and Caribbean'!I298+"n/&gt;!5@W"</f>
        <v>#VALUE!</v>
      </c>
      <c r="HU441" t="e">
        <f>'Latin America and Caribbean'!A299+"n/&gt;!5@X"</f>
        <v>#VALUE!</v>
      </c>
      <c r="HV441" t="e">
        <f>'Latin America and Caribbean'!B299+"n/&gt;!5@Y"</f>
        <v>#VALUE!</v>
      </c>
      <c r="HW441" t="e">
        <f>'Latin America and Caribbean'!C299+"n/&gt;!5@Z"</f>
        <v>#VALUE!</v>
      </c>
      <c r="HX441" t="e">
        <f>'Latin America and Caribbean'!D299+"n/&gt;!5@["</f>
        <v>#VALUE!</v>
      </c>
      <c r="HY441" t="e">
        <f>'Latin America and Caribbean'!E299+"n/&gt;!5@\"</f>
        <v>#VALUE!</v>
      </c>
      <c r="HZ441" t="e">
        <f>'Latin America and Caribbean'!F299+"n/&gt;!5@]"</f>
        <v>#VALUE!</v>
      </c>
      <c r="IA441" t="e">
        <f>'Latin America and Caribbean'!G299+"n/&gt;!5@^"</f>
        <v>#VALUE!</v>
      </c>
      <c r="IB441" t="e">
        <f>'Latin America and Caribbean'!H299+"n/&gt;!5@_"</f>
        <v>#VALUE!</v>
      </c>
      <c r="IC441" t="e">
        <f>'Latin America and Caribbean'!I299+"n/&gt;!5@`"</f>
        <v>#VALUE!</v>
      </c>
      <c r="ID441" t="e">
        <f>'Latin America and Caribbean'!A300+"n/&gt;!5@a"</f>
        <v>#VALUE!</v>
      </c>
      <c r="IE441" t="e">
        <f>'Latin America and Caribbean'!B300+"n/&gt;!5@b"</f>
        <v>#VALUE!</v>
      </c>
      <c r="IF441" t="e">
        <f>'Latin America and Caribbean'!C300+"n/&gt;!5@c"</f>
        <v>#VALUE!</v>
      </c>
      <c r="IG441" t="e">
        <f>'Latin America and Caribbean'!D300+"n/&gt;!5@d"</f>
        <v>#VALUE!</v>
      </c>
      <c r="IH441" t="e">
        <f>'Latin America and Caribbean'!E300+"n/&gt;!5@e"</f>
        <v>#VALUE!</v>
      </c>
      <c r="II441" t="e">
        <f>'Latin America and Caribbean'!F300+"n/&gt;!5@f"</f>
        <v>#VALUE!</v>
      </c>
      <c r="IJ441" t="e">
        <f>'Latin America and Caribbean'!G300+"n/&gt;!5@g"</f>
        <v>#VALUE!</v>
      </c>
      <c r="IK441" t="e">
        <f>'Latin America and Caribbean'!H300+"n/&gt;!5@h"</f>
        <v>#VALUE!</v>
      </c>
      <c r="IL441" t="e">
        <f>'Latin America and Caribbean'!I300+"n/&gt;!5@i"</f>
        <v>#VALUE!</v>
      </c>
      <c r="IM441" t="e">
        <f>'Latin America and Caribbean'!A301+"n/&gt;!5@j"</f>
        <v>#VALUE!</v>
      </c>
      <c r="IN441" t="e">
        <f>'Latin America and Caribbean'!B301+"n/&gt;!5@k"</f>
        <v>#VALUE!</v>
      </c>
      <c r="IO441" t="e">
        <f>'Latin America and Caribbean'!C301+"n/&gt;!5@l"</f>
        <v>#VALUE!</v>
      </c>
      <c r="IP441" t="e">
        <f>'Latin America and Caribbean'!D301+"n/&gt;!5@m"</f>
        <v>#VALUE!</v>
      </c>
      <c r="IQ441" t="e">
        <f>'Latin America and Caribbean'!E301+"n/&gt;!5@n"</f>
        <v>#VALUE!</v>
      </c>
      <c r="IR441" t="e">
        <f>'Latin America and Caribbean'!F301+"n/&gt;!5@o"</f>
        <v>#VALUE!</v>
      </c>
      <c r="IS441" t="e">
        <f>'Latin America and Caribbean'!G301+"n/&gt;!5@p"</f>
        <v>#VALUE!</v>
      </c>
      <c r="IT441" t="e">
        <f>'Latin America and Caribbean'!H301+"n/&gt;!5@q"</f>
        <v>#VALUE!</v>
      </c>
      <c r="IU441" t="e">
        <f>'Latin America and Caribbean'!I301+"n/&gt;!5@r"</f>
        <v>#VALUE!</v>
      </c>
      <c r="IV441" t="e">
        <f>'Latin America and Caribbean'!A302+"n/&gt;!5@s"</f>
        <v>#VALUE!</v>
      </c>
    </row>
    <row r="442" spans="6:256" x14ac:dyDescent="0.35">
      <c r="F442" t="e">
        <f>'Latin America and Caribbean'!B302+"n/&gt;!5@t"</f>
        <v>#VALUE!</v>
      </c>
      <c r="G442" t="e">
        <f>'Latin America and Caribbean'!C302+"n/&gt;!5@u"</f>
        <v>#VALUE!</v>
      </c>
      <c r="H442" t="e">
        <f>'Latin America and Caribbean'!D302+"n/&gt;!5@v"</f>
        <v>#VALUE!</v>
      </c>
      <c r="I442" t="e">
        <f>'Latin America and Caribbean'!E302+"n/&gt;!5@w"</f>
        <v>#VALUE!</v>
      </c>
      <c r="J442" t="e">
        <f>'Latin America and Caribbean'!F302+"n/&gt;!5@x"</f>
        <v>#VALUE!</v>
      </c>
      <c r="K442" t="e">
        <f>'Latin America and Caribbean'!G302+"n/&gt;!5@y"</f>
        <v>#VALUE!</v>
      </c>
      <c r="L442" t="e">
        <f>'Latin America and Caribbean'!H302+"n/&gt;!5@z"</f>
        <v>#VALUE!</v>
      </c>
      <c r="M442" t="e">
        <f>'Latin America and Caribbean'!I302+"n/&gt;!5@{"</f>
        <v>#VALUE!</v>
      </c>
      <c r="N442" t="e">
        <f>'Latin America and Caribbean'!A303+"n/&gt;!5@|"</f>
        <v>#VALUE!</v>
      </c>
      <c r="O442" t="e">
        <f>'Latin America and Caribbean'!B303+"n/&gt;!5@}"</f>
        <v>#VALUE!</v>
      </c>
      <c r="P442" t="e">
        <f>'Latin America and Caribbean'!C303+"n/&gt;!5@~"</f>
        <v>#VALUE!</v>
      </c>
      <c r="Q442" t="e">
        <f>'Latin America and Caribbean'!D303+"n/&gt;!5A#"</f>
        <v>#VALUE!</v>
      </c>
      <c r="R442" t="e">
        <f>'Latin America and Caribbean'!E303+"n/&gt;!5A$"</f>
        <v>#VALUE!</v>
      </c>
      <c r="S442" t="e">
        <f>'Latin America and Caribbean'!F303+"n/&gt;!5A%"</f>
        <v>#VALUE!</v>
      </c>
      <c r="T442" t="e">
        <f>'Latin America and Caribbean'!G303+"n/&gt;!5A&amp;"</f>
        <v>#VALUE!</v>
      </c>
      <c r="U442" t="e">
        <f>'Latin America and Caribbean'!H303+"n/&gt;!5A'"</f>
        <v>#VALUE!</v>
      </c>
      <c r="V442" t="e">
        <f>'Latin America and Caribbean'!I303+"n/&gt;!5A("</f>
        <v>#VALUE!</v>
      </c>
      <c r="W442" t="e">
        <f>'Latin America and Caribbean'!A304+"n/&gt;!5A)"</f>
        <v>#VALUE!</v>
      </c>
      <c r="X442" t="e">
        <f>'Latin America and Caribbean'!B304+"n/&gt;!5A."</f>
        <v>#VALUE!</v>
      </c>
      <c r="Y442" t="e">
        <f>'Latin America and Caribbean'!C304+"n/&gt;!5A/"</f>
        <v>#VALUE!</v>
      </c>
      <c r="Z442" t="e">
        <f>'Latin America and Caribbean'!D304+"n/&gt;!5A0"</f>
        <v>#VALUE!</v>
      </c>
      <c r="AA442" t="e">
        <f>'Latin America and Caribbean'!E304+"n/&gt;!5A1"</f>
        <v>#VALUE!</v>
      </c>
      <c r="AB442" t="e">
        <f>'Latin America and Caribbean'!F304+"n/&gt;!5A2"</f>
        <v>#VALUE!</v>
      </c>
      <c r="AC442" t="e">
        <f>'Latin America and Caribbean'!G304+"n/&gt;!5A3"</f>
        <v>#VALUE!</v>
      </c>
      <c r="AD442" t="e">
        <f>'Latin America and Caribbean'!H304+"n/&gt;!5A4"</f>
        <v>#VALUE!</v>
      </c>
      <c r="AE442" t="e">
        <f>'Latin America and Caribbean'!I304+"n/&gt;!5A5"</f>
        <v>#VALUE!</v>
      </c>
      <c r="AF442" t="e">
        <f>'Latin America and Caribbean'!A305+"n/&gt;!5A6"</f>
        <v>#VALUE!</v>
      </c>
      <c r="AG442" t="e">
        <f>'Latin America and Caribbean'!B305+"n/&gt;!5A7"</f>
        <v>#VALUE!</v>
      </c>
      <c r="AH442" t="e">
        <f>'Latin America and Caribbean'!C305+"n/&gt;!5A8"</f>
        <v>#VALUE!</v>
      </c>
      <c r="AI442" t="e">
        <f>'Latin America and Caribbean'!D305+"n/&gt;!5A9"</f>
        <v>#VALUE!</v>
      </c>
      <c r="AJ442" t="e">
        <f>'Latin America and Caribbean'!E305+"n/&gt;!5A:"</f>
        <v>#VALUE!</v>
      </c>
      <c r="AK442" t="e">
        <f>'Latin America and Caribbean'!F305+"n/&gt;!5A;"</f>
        <v>#VALUE!</v>
      </c>
      <c r="AL442" t="e">
        <f>'Latin America and Caribbean'!G305+"n/&gt;!5A&lt;"</f>
        <v>#VALUE!</v>
      </c>
      <c r="AM442" t="e">
        <f>'Latin America and Caribbean'!H305+"n/&gt;!5A="</f>
        <v>#VALUE!</v>
      </c>
      <c r="AN442" t="e">
        <f>'Latin America and Caribbean'!I305+"n/&gt;!5A&gt;"</f>
        <v>#VALUE!</v>
      </c>
      <c r="AO442" t="e">
        <f>'Latin America and Caribbean'!A306+"n/&gt;!5A?"</f>
        <v>#VALUE!</v>
      </c>
      <c r="AP442" t="e">
        <f>'Latin America and Caribbean'!B306+"n/&gt;!5A@"</f>
        <v>#VALUE!</v>
      </c>
      <c r="AQ442" t="e">
        <f>'Latin America and Caribbean'!C306+"n/&gt;!5AA"</f>
        <v>#VALUE!</v>
      </c>
      <c r="AR442" t="e">
        <f>'Latin America and Caribbean'!D306+"n/&gt;!5AB"</f>
        <v>#VALUE!</v>
      </c>
      <c r="AS442" t="e">
        <f>'Latin America and Caribbean'!E306+"n/&gt;!5AC"</f>
        <v>#VALUE!</v>
      </c>
      <c r="AT442" t="e">
        <f>'Latin America and Caribbean'!F306+"n/&gt;!5AD"</f>
        <v>#VALUE!</v>
      </c>
      <c r="AU442" t="e">
        <f>'Latin America and Caribbean'!G306+"n/&gt;!5AE"</f>
        <v>#VALUE!</v>
      </c>
      <c r="AV442" t="e">
        <f>'Latin America and Caribbean'!H306+"n/&gt;!5AF"</f>
        <v>#VALUE!</v>
      </c>
      <c r="AW442" t="e">
        <f>'Latin America and Caribbean'!I306+"n/&gt;!5AG"</f>
        <v>#VALUE!</v>
      </c>
      <c r="AX442" t="e">
        <f>'Latin America and Caribbean'!A307+"n/&gt;!5AH"</f>
        <v>#VALUE!</v>
      </c>
      <c r="AY442" t="e">
        <f>'Latin America and Caribbean'!B307+"n/&gt;!5AI"</f>
        <v>#VALUE!</v>
      </c>
      <c r="AZ442" t="e">
        <f>'Latin America and Caribbean'!C307+"n/&gt;!5AJ"</f>
        <v>#VALUE!</v>
      </c>
      <c r="BA442" t="e">
        <f>'Latin America and Caribbean'!D307+"n/&gt;!5AK"</f>
        <v>#VALUE!</v>
      </c>
      <c r="BB442" t="e">
        <f>'Latin America and Caribbean'!E307+"n/&gt;!5AL"</f>
        <v>#VALUE!</v>
      </c>
      <c r="BC442" t="e">
        <f>'Latin America and Caribbean'!F307+"n/&gt;!5AM"</f>
        <v>#VALUE!</v>
      </c>
      <c r="BD442" t="e">
        <f>'Latin America and Caribbean'!G307+"n/&gt;!5AN"</f>
        <v>#VALUE!</v>
      </c>
      <c r="BE442" t="e">
        <f>'Latin America and Caribbean'!H307+"n/&gt;!5AO"</f>
        <v>#VALUE!</v>
      </c>
      <c r="BF442" t="e">
        <f>'Latin America and Caribbean'!I307+"n/&gt;!5AP"</f>
        <v>#VALUE!</v>
      </c>
      <c r="BG442" t="e">
        <f>'Latin America and Caribbean'!A308+"n/&gt;!5AQ"</f>
        <v>#VALUE!</v>
      </c>
      <c r="BH442" t="e">
        <f>'Latin America and Caribbean'!B308+"n/&gt;!5AR"</f>
        <v>#VALUE!</v>
      </c>
      <c r="BI442" t="e">
        <f>'Latin America and Caribbean'!C308+"n/&gt;!5AS"</f>
        <v>#VALUE!</v>
      </c>
      <c r="BJ442" t="e">
        <f>'Latin America and Caribbean'!D308+"n/&gt;!5AT"</f>
        <v>#VALUE!</v>
      </c>
      <c r="BK442" t="e">
        <f>'Latin America and Caribbean'!E308+"n/&gt;!5AU"</f>
        <v>#VALUE!</v>
      </c>
      <c r="BL442" t="e">
        <f>'Latin America and Caribbean'!F308+"n/&gt;!5AV"</f>
        <v>#VALUE!</v>
      </c>
      <c r="BM442" t="e">
        <f>'Latin America and Caribbean'!G308+"n/&gt;!5AW"</f>
        <v>#VALUE!</v>
      </c>
      <c r="BN442" t="e">
        <f>'Latin America and Caribbean'!H308+"n/&gt;!5AX"</f>
        <v>#VALUE!</v>
      </c>
      <c r="BO442" t="e">
        <f>'Latin America and Caribbean'!I308+"n/&gt;!5AY"</f>
        <v>#VALUE!</v>
      </c>
      <c r="BP442" t="e">
        <f>'Latin America and Caribbean'!A309+"n/&gt;!5AZ"</f>
        <v>#VALUE!</v>
      </c>
      <c r="BQ442" t="e">
        <f>'Latin America and Caribbean'!B309+"n/&gt;!5A["</f>
        <v>#VALUE!</v>
      </c>
      <c r="BR442" t="e">
        <f>'Latin America and Caribbean'!C309+"n/&gt;!5A\"</f>
        <v>#VALUE!</v>
      </c>
      <c r="BS442" t="e">
        <f>'Latin America and Caribbean'!D309+"n/&gt;!5A]"</f>
        <v>#VALUE!</v>
      </c>
      <c r="BT442" t="e">
        <f>'Latin America and Caribbean'!E309+"n/&gt;!5A^"</f>
        <v>#VALUE!</v>
      </c>
      <c r="BU442" t="e">
        <f>'Latin America and Caribbean'!F309+"n/&gt;!5A_"</f>
        <v>#VALUE!</v>
      </c>
      <c r="BV442" t="e">
        <f>'Latin America and Caribbean'!G309+"n/&gt;!5A`"</f>
        <v>#VALUE!</v>
      </c>
      <c r="BW442" t="e">
        <f>'Latin America and Caribbean'!H309+"n/&gt;!5Aa"</f>
        <v>#VALUE!</v>
      </c>
      <c r="BX442" t="e">
        <f>'Latin America and Caribbean'!I309+"n/&gt;!5Ab"</f>
        <v>#VALUE!</v>
      </c>
      <c r="BY442" t="e">
        <f>'Latin America and Caribbean'!A310+"n/&gt;!5Ac"</f>
        <v>#VALUE!</v>
      </c>
      <c r="BZ442" t="e">
        <f>'Latin America and Caribbean'!B310+"n/&gt;!5Ad"</f>
        <v>#VALUE!</v>
      </c>
      <c r="CA442" t="e">
        <f>'Latin America and Caribbean'!C310+"n/&gt;!5Ae"</f>
        <v>#VALUE!</v>
      </c>
      <c r="CB442" t="e">
        <f>'Latin America and Caribbean'!D310+"n/&gt;!5Af"</f>
        <v>#VALUE!</v>
      </c>
      <c r="CC442" t="e">
        <f>'Latin America and Caribbean'!E310+"n/&gt;!5Ag"</f>
        <v>#VALUE!</v>
      </c>
      <c r="CD442" t="e">
        <f>'Latin America and Caribbean'!F310+"n/&gt;!5Ah"</f>
        <v>#VALUE!</v>
      </c>
      <c r="CE442" t="e">
        <f>'Latin America and Caribbean'!G310+"n/&gt;!5Ai"</f>
        <v>#VALUE!</v>
      </c>
      <c r="CF442" t="e">
        <f>'Latin America and Caribbean'!H310+"n/&gt;!5Aj"</f>
        <v>#VALUE!</v>
      </c>
      <c r="CG442" t="e">
        <f>'Latin America and Caribbean'!I310+"n/&gt;!5Ak"</f>
        <v>#VALUE!</v>
      </c>
      <c r="CH442" t="e">
        <f>'Latin America and Caribbean'!A311+"n/&gt;!5Al"</f>
        <v>#VALUE!</v>
      </c>
      <c r="CI442" t="e">
        <f>'Latin America and Caribbean'!B311+"n/&gt;!5Am"</f>
        <v>#VALUE!</v>
      </c>
      <c r="CJ442" t="e">
        <f>'Latin America and Caribbean'!C311+"n/&gt;!5An"</f>
        <v>#VALUE!</v>
      </c>
      <c r="CK442" t="e">
        <f>'Latin America and Caribbean'!D311+"n/&gt;!5Ao"</f>
        <v>#VALUE!</v>
      </c>
      <c r="CL442" t="e">
        <f>'Latin America and Caribbean'!E311+"n/&gt;!5Ap"</f>
        <v>#VALUE!</v>
      </c>
      <c r="CM442" t="e">
        <f>'Latin America and Caribbean'!F311+"n/&gt;!5Aq"</f>
        <v>#VALUE!</v>
      </c>
      <c r="CN442" t="e">
        <f>'Latin America and Caribbean'!G311+"n/&gt;!5Ar"</f>
        <v>#VALUE!</v>
      </c>
      <c r="CO442" t="e">
        <f>'Latin America and Caribbean'!H311+"n/&gt;!5As"</f>
        <v>#VALUE!</v>
      </c>
      <c r="CP442" t="e">
        <f>'Latin America and Caribbean'!I311+"n/&gt;!5At"</f>
        <v>#VALUE!</v>
      </c>
      <c r="CQ442" t="e">
        <f>'Latin America and Caribbean'!A312+"n/&gt;!5Au"</f>
        <v>#VALUE!</v>
      </c>
      <c r="CR442" t="e">
        <f>'Latin America and Caribbean'!B312+"n/&gt;!5Av"</f>
        <v>#VALUE!</v>
      </c>
      <c r="CS442" t="e">
        <f>'Latin America and Caribbean'!C312+"n/&gt;!5Aw"</f>
        <v>#VALUE!</v>
      </c>
      <c r="CT442" t="e">
        <f>'Latin America and Caribbean'!D312+"n/&gt;!5Ax"</f>
        <v>#VALUE!</v>
      </c>
      <c r="CU442" t="e">
        <f>'Latin America and Caribbean'!E312+"n/&gt;!5Ay"</f>
        <v>#VALUE!</v>
      </c>
      <c r="CV442" t="e">
        <f>'Latin America and Caribbean'!F312+"n/&gt;!5Az"</f>
        <v>#VALUE!</v>
      </c>
      <c r="CW442" t="e">
        <f>'Latin America and Caribbean'!G312+"n/&gt;!5A{"</f>
        <v>#VALUE!</v>
      </c>
      <c r="CX442" t="e">
        <f>'Latin America and Caribbean'!H312+"n/&gt;!5A|"</f>
        <v>#VALUE!</v>
      </c>
      <c r="CY442" t="e">
        <f>'Latin America and Caribbean'!I312+"n/&gt;!5A}"</f>
        <v>#VALUE!</v>
      </c>
      <c r="CZ442" t="e">
        <f>'Latin America and Caribbean'!A313+"n/&gt;!5A~"</f>
        <v>#VALUE!</v>
      </c>
      <c r="DA442" t="e">
        <f>'Latin America and Caribbean'!B313+"n/&gt;!5B#"</f>
        <v>#VALUE!</v>
      </c>
      <c r="DB442" t="e">
        <f>'Latin America and Caribbean'!C313+"n/&gt;!5B$"</f>
        <v>#VALUE!</v>
      </c>
      <c r="DC442" t="e">
        <f>'Latin America and Caribbean'!D313+"n/&gt;!5B%"</f>
        <v>#VALUE!</v>
      </c>
      <c r="DD442" t="e">
        <f>'Latin America and Caribbean'!E313+"n/&gt;!5B&amp;"</f>
        <v>#VALUE!</v>
      </c>
      <c r="DE442" t="e">
        <f>'Latin America and Caribbean'!F313+"n/&gt;!5B'"</f>
        <v>#VALUE!</v>
      </c>
      <c r="DF442" t="e">
        <f>'Latin America and Caribbean'!G313+"n/&gt;!5B("</f>
        <v>#VALUE!</v>
      </c>
      <c r="DG442" t="e">
        <f>'Latin America and Caribbean'!H313+"n/&gt;!5B)"</f>
        <v>#VALUE!</v>
      </c>
      <c r="DH442" t="e">
        <f>'Latin America and Caribbean'!I313+"n/&gt;!5B."</f>
        <v>#VALUE!</v>
      </c>
      <c r="DI442" t="e">
        <f>'Latin America and Caribbean'!A314+"n/&gt;!5B/"</f>
        <v>#VALUE!</v>
      </c>
      <c r="DJ442" t="e">
        <f>'Latin America and Caribbean'!B314+"n/&gt;!5B0"</f>
        <v>#VALUE!</v>
      </c>
      <c r="DK442" t="e">
        <f>'Latin America and Caribbean'!C314+"n/&gt;!5B1"</f>
        <v>#VALUE!</v>
      </c>
      <c r="DL442" t="e">
        <f>'Latin America and Caribbean'!D314+"n/&gt;!5B2"</f>
        <v>#VALUE!</v>
      </c>
      <c r="DM442" t="e">
        <f>'Latin America and Caribbean'!E314+"n/&gt;!5B3"</f>
        <v>#VALUE!</v>
      </c>
      <c r="DN442" t="e">
        <f>'Latin America and Caribbean'!F314+"n/&gt;!5B4"</f>
        <v>#VALUE!</v>
      </c>
      <c r="DO442" t="e">
        <f>'Latin America and Caribbean'!G314+"n/&gt;!5B5"</f>
        <v>#VALUE!</v>
      </c>
      <c r="DP442" t="e">
        <f>'Latin America and Caribbean'!H314+"n/&gt;!5B6"</f>
        <v>#VALUE!</v>
      </c>
      <c r="DQ442" t="e">
        <f>'Latin America and Caribbean'!I314+"n/&gt;!5B7"</f>
        <v>#VALUE!</v>
      </c>
      <c r="DR442" t="e">
        <f>'Latin America and Caribbean'!A315+"n/&gt;!5B8"</f>
        <v>#VALUE!</v>
      </c>
      <c r="DS442" t="e">
        <f>'Latin America and Caribbean'!B315+"n/&gt;!5B9"</f>
        <v>#VALUE!</v>
      </c>
      <c r="DT442" t="e">
        <f>'Latin America and Caribbean'!C315+"n/&gt;!5B:"</f>
        <v>#VALUE!</v>
      </c>
      <c r="DU442" t="e">
        <f>'Latin America and Caribbean'!D315+"n/&gt;!5B;"</f>
        <v>#VALUE!</v>
      </c>
      <c r="DV442" t="e">
        <f>'Latin America and Caribbean'!E315+"n/&gt;!5B&lt;"</f>
        <v>#VALUE!</v>
      </c>
      <c r="DW442" t="e">
        <f>'Latin America and Caribbean'!F315+"n/&gt;!5B="</f>
        <v>#VALUE!</v>
      </c>
      <c r="DX442" t="e">
        <f>'Latin America and Caribbean'!G315+"n/&gt;!5B&gt;"</f>
        <v>#VALUE!</v>
      </c>
      <c r="DY442" t="e">
        <f>'Latin America and Caribbean'!H315+"n/&gt;!5B?"</f>
        <v>#VALUE!</v>
      </c>
      <c r="DZ442" t="e">
        <f>'Latin America and Caribbean'!I315+"n/&gt;!5B@"</f>
        <v>#VALUE!</v>
      </c>
      <c r="EA442" t="e">
        <f>'Latin America and Caribbean'!A316+"n/&gt;!5BA"</f>
        <v>#VALUE!</v>
      </c>
      <c r="EB442" t="e">
        <f>'Latin America and Caribbean'!B316+"n/&gt;!5BB"</f>
        <v>#VALUE!</v>
      </c>
      <c r="EC442" t="e">
        <f>'Latin America and Caribbean'!C316+"n/&gt;!5BC"</f>
        <v>#VALUE!</v>
      </c>
      <c r="ED442" t="e">
        <f>'Latin America and Caribbean'!D316+"n/&gt;!5BD"</f>
        <v>#VALUE!</v>
      </c>
      <c r="EE442" t="e">
        <f>'Latin America and Caribbean'!E316+"n/&gt;!5BE"</f>
        <v>#VALUE!</v>
      </c>
      <c r="EF442" t="e">
        <f>'Latin America and Caribbean'!F316+"n/&gt;!5BF"</f>
        <v>#VALUE!</v>
      </c>
      <c r="EG442" t="e">
        <f>'Latin America and Caribbean'!G316+"n/&gt;!5BG"</f>
        <v>#VALUE!</v>
      </c>
      <c r="EH442" t="e">
        <f>'Latin America and Caribbean'!H316+"n/&gt;!5BH"</f>
        <v>#VALUE!</v>
      </c>
      <c r="EI442" t="e">
        <f>'Latin America and Caribbean'!I316+"n/&gt;!5BI"</f>
        <v>#VALUE!</v>
      </c>
      <c r="EJ442" t="e">
        <f>'Latin America and Caribbean'!A317+"n/&gt;!5BJ"</f>
        <v>#VALUE!</v>
      </c>
      <c r="EK442" t="e">
        <f>'Latin America and Caribbean'!B317+"n/&gt;!5BK"</f>
        <v>#VALUE!</v>
      </c>
      <c r="EL442" t="e">
        <f>'Latin America and Caribbean'!C317+"n/&gt;!5BL"</f>
        <v>#VALUE!</v>
      </c>
      <c r="EM442" t="e">
        <f>'Latin America and Caribbean'!D317+"n/&gt;!5BM"</f>
        <v>#VALUE!</v>
      </c>
      <c r="EN442" t="e">
        <f>'Latin America and Caribbean'!E317+"n/&gt;!5BN"</f>
        <v>#VALUE!</v>
      </c>
      <c r="EO442" t="e">
        <f>'Latin America and Caribbean'!F317+"n/&gt;!5BO"</f>
        <v>#VALUE!</v>
      </c>
      <c r="EP442" t="e">
        <f>'Latin America and Caribbean'!G317+"n/&gt;!5BP"</f>
        <v>#VALUE!</v>
      </c>
      <c r="EQ442" t="e">
        <f>'Latin America and Caribbean'!H317+"n/&gt;!5BQ"</f>
        <v>#VALUE!</v>
      </c>
      <c r="ER442" t="e">
        <f>'Latin America and Caribbean'!I317+"n/&gt;!5BR"</f>
        <v>#VALUE!</v>
      </c>
      <c r="ES442" t="e">
        <f>'Latin America and Caribbean'!A318+"n/&gt;!5BS"</f>
        <v>#VALUE!</v>
      </c>
      <c r="ET442" t="e">
        <f>'Latin America and Caribbean'!B318+"n/&gt;!5BT"</f>
        <v>#VALUE!</v>
      </c>
      <c r="EU442" t="e">
        <f>'Latin America and Caribbean'!C318+"n/&gt;!5BU"</f>
        <v>#VALUE!</v>
      </c>
      <c r="EV442" t="e">
        <f>'Latin America and Caribbean'!D318+"n/&gt;!5BV"</f>
        <v>#VALUE!</v>
      </c>
      <c r="EW442" t="e">
        <f>'Latin America and Caribbean'!E318+"n/&gt;!5BW"</f>
        <v>#VALUE!</v>
      </c>
      <c r="EX442" t="e">
        <f>'Latin America and Caribbean'!F318+"n/&gt;!5BX"</f>
        <v>#VALUE!</v>
      </c>
      <c r="EY442" t="e">
        <f>'Latin America and Caribbean'!G318+"n/&gt;!5BY"</f>
        <v>#VALUE!</v>
      </c>
      <c r="EZ442" t="e">
        <f>'Latin America and Caribbean'!H318+"n/&gt;!5BZ"</f>
        <v>#VALUE!</v>
      </c>
      <c r="FA442" t="e">
        <f>'Latin America and Caribbean'!I318+"n/&gt;!5B["</f>
        <v>#VALUE!</v>
      </c>
      <c r="FB442" t="e">
        <f>'Latin America and Caribbean'!A319+"n/&gt;!5B\"</f>
        <v>#VALUE!</v>
      </c>
      <c r="FC442" t="e">
        <f>'Latin America and Caribbean'!B319+"n/&gt;!5B]"</f>
        <v>#VALUE!</v>
      </c>
      <c r="FD442" t="e">
        <f>'Latin America and Caribbean'!C319+"n/&gt;!5B^"</f>
        <v>#VALUE!</v>
      </c>
      <c r="FE442" t="e">
        <f>'Latin America and Caribbean'!D319+"n/&gt;!5B_"</f>
        <v>#VALUE!</v>
      </c>
      <c r="FF442" t="e">
        <f>'Latin America and Caribbean'!E319+"n/&gt;!5B`"</f>
        <v>#VALUE!</v>
      </c>
      <c r="FG442" t="e">
        <f>'Latin America and Caribbean'!F319+"n/&gt;!5Ba"</f>
        <v>#VALUE!</v>
      </c>
      <c r="FH442" t="e">
        <f>'Latin America and Caribbean'!G319+"n/&gt;!5Bb"</f>
        <v>#VALUE!</v>
      </c>
      <c r="FI442" t="e">
        <f>'Latin America and Caribbean'!H319+"n/&gt;!5Bc"</f>
        <v>#VALUE!</v>
      </c>
      <c r="FJ442" t="e">
        <f>'Latin America and Caribbean'!I319+"n/&gt;!5Bd"</f>
        <v>#VALUE!</v>
      </c>
      <c r="FK442" t="e">
        <f>'Latin America and Caribbean'!A320+"n/&gt;!5Be"</f>
        <v>#VALUE!</v>
      </c>
      <c r="FL442" t="e">
        <f>'Latin America and Caribbean'!B320+"n/&gt;!5Bf"</f>
        <v>#VALUE!</v>
      </c>
      <c r="FM442" t="e">
        <f>'Latin America and Caribbean'!C320+"n/&gt;!5Bg"</f>
        <v>#VALUE!</v>
      </c>
      <c r="FN442" t="e">
        <f>'Latin America and Caribbean'!D320+"n/&gt;!5Bh"</f>
        <v>#VALUE!</v>
      </c>
      <c r="FO442" t="e">
        <f>'Latin America and Caribbean'!E320+"n/&gt;!5Bi"</f>
        <v>#VALUE!</v>
      </c>
      <c r="FP442" t="e">
        <f>'Latin America and Caribbean'!F320+"n/&gt;!5Bj"</f>
        <v>#VALUE!</v>
      </c>
      <c r="FQ442" t="e">
        <f>'Latin America and Caribbean'!G320+"n/&gt;!5Bk"</f>
        <v>#VALUE!</v>
      </c>
      <c r="FR442" t="e">
        <f>'Latin America and Caribbean'!H320+"n/&gt;!5Bl"</f>
        <v>#VALUE!</v>
      </c>
      <c r="FS442" t="e">
        <f>'Latin America and Caribbean'!I320+"n/&gt;!5Bm"</f>
        <v>#VALUE!</v>
      </c>
      <c r="FT442" t="e">
        <f>'Latin America and Caribbean'!A321+"n/&gt;!5Bn"</f>
        <v>#VALUE!</v>
      </c>
      <c r="FU442" t="e">
        <f>'Latin America and Caribbean'!B321+"n/&gt;!5Bo"</f>
        <v>#VALUE!</v>
      </c>
      <c r="FV442" t="e">
        <f>'Latin America and Caribbean'!C321+"n/&gt;!5Bp"</f>
        <v>#VALUE!</v>
      </c>
      <c r="FW442" t="e">
        <f>'Latin America and Caribbean'!D321+"n/&gt;!5Bq"</f>
        <v>#VALUE!</v>
      </c>
      <c r="FX442" t="e">
        <f>'Latin America and Caribbean'!E321+"n/&gt;!5Br"</f>
        <v>#VALUE!</v>
      </c>
      <c r="FY442" t="e">
        <f>'Latin America and Caribbean'!F321+"n/&gt;!5Bs"</f>
        <v>#VALUE!</v>
      </c>
      <c r="FZ442" t="e">
        <f>'Latin America and Caribbean'!G321+"n/&gt;!5Bt"</f>
        <v>#VALUE!</v>
      </c>
      <c r="GA442" t="e">
        <f>'Latin America and Caribbean'!H321+"n/&gt;!5Bu"</f>
        <v>#VALUE!</v>
      </c>
      <c r="GB442" t="e">
        <f>'Latin America and Caribbean'!I321+"n/&gt;!5Bv"</f>
        <v>#VALUE!</v>
      </c>
      <c r="GC442" t="e">
        <f>'Latin America and Caribbean'!A322+"n/&gt;!5Bw"</f>
        <v>#VALUE!</v>
      </c>
      <c r="GD442" t="e">
        <f>'Latin America and Caribbean'!B322+"n/&gt;!5Bx"</f>
        <v>#VALUE!</v>
      </c>
      <c r="GE442" t="e">
        <f>'Latin America and Caribbean'!C322+"n/&gt;!5By"</f>
        <v>#VALUE!</v>
      </c>
      <c r="GF442" t="e">
        <f>'Latin America and Caribbean'!D322+"n/&gt;!5Bz"</f>
        <v>#VALUE!</v>
      </c>
      <c r="GG442" t="e">
        <f>'Latin America and Caribbean'!E322+"n/&gt;!5B{"</f>
        <v>#VALUE!</v>
      </c>
      <c r="GH442" t="e">
        <f>'Latin America and Caribbean'!F322+"n/&gt;!5B|"</f>
        <v>#VALUE!</v>
      </c>
      <c r="GI442" t="e">
        <f>'Latin America and Caribbean'!G322+"n/&gt;!5B}"</f>
        <v>#VALUE!</v>
      </c>
      <c r="GJ442" t="e">
        <f>'Latin America and Caribbean'!H322+"n/&gt;!5B~"</f>
        <v>#VALUE!</v>
      </c>
      <c r="GK442" t="e">
        <f>'Latin America and Caribbean'!I322+"n/&gt;!5C#"</f>
        <v>#VALUE!</v>
      </c>
      <c r="GL442" t="e">
        <f>'Latin America and Caribbean'!A323+"n/&gt;!5C$"</f>
        <v>#VALUE!</v>
      </c>
      <c r="GM442" t="e">
        <f>'Latin America and Caribbean'!B323+"n/&gt;!5C%"</f>
        <v>#VALUE!</v>
      </c>
      <c r="GN442" t="e">
        <f>'Latin America and Caribbean'!C323+"n/&gt;!5C&amp;"</f>
        <v>#VALUE!</v>
      </c>
      <c r="GO442" t="e">
        <f>'Latin America and Caribbean'!D323+"n/&gt;!5C'"</f>
        <v>#VALUE!</v>
      </c>
      <c r="GP442" t="e">
        <f>'Latin America and Caribbean'!E323+"n/&gt;!5C("</f>
        <v>#VALUE!</v>
      </c>
      <c r="GQ442" t="e">
        <f>'Latin America and Caribbean'!F323+"n/&gt;!5C)"</f>
        <v>#VALUE!</v>
      </c>
      <c r="GR442" t="e">
        <f>'Latin America and Caribbean'!G323+"n/&gt;!5C."</f>
        <v>#VALUE!</v>
      </c>
      <c r="GS442" t="e">
        <f>'Latin America and Caribbean'!H323+"n/&gt;!5C/"</f>
        <v>#VALUE!</v>
      </c>
      <c r="GT442" t="e">
        <f>'Latin America and Caribbean'!I323+"n/&gt;!5C0"</f>
        <v>#VALUE!</v>
      </c>
      <c r="GU442" t="e">
        <f>'Latin America and Caribbean'!A324+"n/&gt;!5C1"</f>
        <v>#VALUE!</v>
      </c>
      <c r="GV442" t="e">
        <f>'Latin America and Caribbean'!B324+"n/&gt;!5C2"</f>
        <v>#VALUE!</v>
      </c>
      <c r="GW442" t="e">
        <f>'Latin America and Caribbean'!C324+"n/&gt;!5C3"</f>
        <v>#VALUE!</v>
      </c>
      <c r="GX442" t="e">
        <f>'Latin America and Caribbean'!D324+"n/&gt;!5C4"</f>
        <v>#VALUE!</v>
      </c>
      <c r="GY442" t="e">
        <f>'Latin America and Caribbean'!E324+"n/&gt;!5C5"</f>
        <v>#VALUE!</v>
      </c>
      <c r="GZ442" t="e">
        <f>'Latin America and Caribbean'!F324+"n/&gt;!5C6"</f>
        <v>#VALUE!</v>
      </c>
      <c r="HA442" t="e">
        <f>'Latin America and Caribbean'!G324+"n/&gt;!5C7"</f>
        <v>#VALUE!</v>
      </c>
      <c r="HB442" t="e">
        <f>'Latin America and Caribbean'!H324+"n/&gt;!5C8"</f>
        <v>#VALUE!</v>
      </c>
      <c r="HC442" t="e">
        <f>'Latin America and Caribbean'!I324+"n/&gt;!5C9"</f>
        <v>#VALUE!</v>
      </c>
      <c r="HD442" t="e">
        <f>'Latin America and Caribbean'!A325+"n/&gt;!5C:"</f>
        <v>#VALUE!</v>
      </c>
      <c r="HE442" t="e">
        <f>'Latin America and Caribbean'!B325+"n/&gt;!5C;"</f>
        <v>#VALUE!</v>
      </c>
      <c r="HF442" t="e">
        <f>'Latin America and Caribbean'!C325+"n/&gt;!5C&lt;"</f>
        <v>#VALUE!</v>
      </c>
      <c r="HG442" t="e">
        <f>'Latin America and Caribbean'!D325+"n/&gt;!5C="</f>
        <v>#VALUE!</v>
      </c>
      <c r="HH442" t="e">
        <f>'Latin America and Caribbean'!E325+"n/&gt;!5C&gt;"</f>
        <v>#VALUE!</v>
      </c>
      <c r="HI442" t="e">
        <f>'Latin America and Caribbean'!F325+"n/&gt;!5C?"</f>
        <v>#VALUE!</v>
      </c>
      <c r="HJ442" t="e">
        <f>'Latin America and Caribbean'!G325+"n/&gt;!5C@"</f>
        <v>#VALUE!</v>
      </c>
      <c r="HK442" t="e">
        <f>'Latin America and Caribbean'!H325+"n/&gt;!5CA"</f>
        <v>#VALUE!</v>
      </c>
      <c r="HL442" t="e">
        <f>'Latin America and Caribbean'!I325+"n/&gt;!5CB"</f>
        <v>#VALUE!</v>
      </c>
      <c r="HM442" t="e">
        <f>'Latin America and Caribbean'!A326+"n/&gt;!5CC"</f>
        <v>#VALUE!</v>
      </c>
      <c r="HN442" t="e">
        <f>'Latin America and Caribbean'!B326+"n/&gt;!5CD"</f>
        <v>#VALUE!</v>
      </c>
      <c r="HO442" t="e">
        <f>'Latin America and Caribbean'!C326+"n/&gt;!5CE"</f>
        <v>#VALUE!</v>
      </c>
      <c r="HP442" t="e">
        <f>'Latin America and Caribbean'!D326+"n/&gt;!5CF"</f>
        <v>#VALUE!</v>
      </c>
      <c r="HQ442" t="e">
        <f>'Latin America and Caribbean'!E326+"n/&gt;!5CG"</f>
        <v>#VALUE!</v>
      </c>
      <c r="HR442" t="e">
        <f>'Latin America and Caribbean'!F326+"n/&gt;!5CH"</f>
        <v>#VALUE!</v>
      </c>
      <c r="HS442" t="e">
        <f>'Latin America and Caribbean'!G326+"n/&gt;!5CI"</f>
        <v>#VALUE!</v>
      </c>
      <c r="HT442" t="e">
        <f>'Latin America and Caribbean'!H326+"n/&gt;!5CJ"</f>
        <v>#VALUE!</v>
      </c>
      <c r="HU442" t="e">
        <f>'Latin America and Caribbean'!I326+"n/&gt;!5CK"</f>
        <v>#VALUE!</v>
      </c>
      <c r="HV442" t="e">
        <f>'Latin America and Caribbean'!A327+"n/&gt;!5CL"</f>
        <v>#VALUE!</v>
      </c>
      <c r="HW442" t="e">
        <f>'Latin America and Caribbean'!B327+"n/&gt;!5CM"</f>
        <v>#VALUE!</v>
      </c>
      <c r="HX442" t="e">
        <f>'Latin America and Caribbean'!C327+"n/&gt;!5CN"</f>
        <v>#VALUE!</v>
      </c>
      <c r="HY442" t="e">
        <f>'Latin America and Caribbean'!D327+"n/&gt;!5CO"</f>
        <v>#VALUE!</v>
      </c>
      <c r="HZ442" t="e">
        <f>'Latin America and Caribbean'!E327+"n/&gt;!5CP"</f>
        <v>#VALUE!</v>
      </c>
      <c r="IA442" t="e">
        <f>'Latin America and Caribbean'!F327+"n/&gt;!5CQ"</f>
        <v>#VALUE!</v>
      </c>
      <c r="IB442" t="e">
        <f>'Latin America and Caribbean'!G327+"n/&gt;!5CR"</f>
        <v>#VALUE!</v>
      </c>
      <c r="IC442" t="e">
        <f>'Latin America and Caribbean'!H327+"n/&gt;!5CS"</f>
        <v>#VALUE!</v>
      </c>
      <c r="ID442" t="e">
        <f>'Latin America and Caribbean'!I327+"n/&gt;!5CT"</f>
        <v>#VALUE!</v>
      </c>
      <c r="IE442" t="e">
        <f>'Latin America and Caribbean'!A328+"n/&gt;!5CU"</f>
        <v>#VALUE!</v>
      </c>
      <c r="IF442" t="e">
        <f>'Latin America and Caribbean'!B328+"n/&gt;!5CV"</f>
        <v>#VALUE!</v>
      </c>
      <c r="IG442" t="e">
        <f>'Latin America and Caribbean'!C328+"n/&gt;!5CW"</f>
        <v>#VALUE!</v>
      </c>
      <c r="IH442" t="e">
        <f>'Latin America and Caribbean'!D328+"n/&gt;!5CX"</f>
        <v>#VALUE!</v>
      </c>
      <c r="II442" t="e">
        <f>'Latin America and Caribbean'!E328+"n/&gt;!5CY"</f>
        <v>#VALUE!</v>
      </c>
      <c r="IJ442" t="e">
        <f>'Latin America and Caribbean'!F328+"n/&gt;!5CZ"</f>
        <v>#VALUE!</v>
      </c>
      <c r="IK442" t="e">
        <f>'Latin America and Caribbean'!G328+"n/&gt;!5C["</f>
        <v>#VALUE!</v>
      </c>
      <c r="IL442" t="e">
        <f>'Latin America and Caribbean'!H328+"n/&gt;!5C\"</f>
        <v>#VALUE!</v>
      </c>
      <c r="IM442" t="e">
        <f>'Latin America and Caribbean'!I328+"n/&gt;!5C]"</f>
        <v>#VALUE!</v>
      </c>
      <c r="IN442" t="e">
        <f>'Latin America and Caribbean'!A329+"n/&gt;!5C^"</f>
        <v>#VALUE!</v>
      </c>
      <c r="IO442" t="e">
        <f>'Latin America and Caribbean'!B329+"n/&gt;!5C_"</f>
        <v>#VALUE!</v>
      </c>
      <c r="IP442" t="e">
        <f>'Latin America and Caribbean'!C329+"n/&gt;!5C`"</f>
        <v>#VALUE!</v>
      </c>
      <c r="IQ442" t="e">
        <f>'Latin America and Caribbean'!D329+"n/&gt;!5Ca"</f>
        <v>#VALUE!</v>
      </c>
      <c r="IR442" t="e">
        <f>'Latin America and Caribbean'!E329+"n/&gt;!5Cb"</f>
        <v>#VALUE!</v>
      </c>
      <c r="IS442" t="e">
        <f>'Latin America and Caribbean'!F329+"n/&gt;!5Cc"</f>
        <v>#VALUE!</v>
      </c>
      <c r="IT442" t="e">
        <f>'Latin America and Caribbean'!G329+"n/&gt;!5Cd"</f>
        <v>#VALUE!</v>
      </c>
      <c r="IU442" t="e">
        <f>'Latin America and Caribbean'!H329+"n/&gt;!5Ce"</f>
        <v>#VALUE!</v>
      </c>
      <c r="IV442" t="e">
        <f>'Latin America and Caribbean'!I329+"n/&gt;!5Cf"</f>
        <v>#VALUE!</v>
      </c>
    </row>
    <row r="443" spans="6:256" x14ac:dyDescent="0.35">
      <c r="F443" t="e">
        <f>'Latin America and Caribbean'!A330+"n/&gt;!5Cg"</f>
        <v>#VALUE!</v>
      </c>
      <c r="G443" t="e">
        <f>'Latin America and Caribbean'!B330+"n/&gt;!5Ch"</f>
        <v>#VALUE!</v>
      </c>
      <c r="H443" t="e">
        <f>'Latin America and Caribbean'!C330+"n/&gt;!5Ci"</f>
        <v>#VALUE!</v>
      </c>
      <c r="I443" t="e">
        <f>'Latin America and Caribbean'!D330+"n/&gt;!5Cj"</f>
        <v>#VALUE!</v>
      </c>
      <c r="J443" t="e">
        <f>'Latin America and Caribbean'!E330+"n/&gt;!5Ck"</f>
        <v>#VALUE!</v>
      </c>
      <c r="K443" t="e">
        <f>'Latin America and Caribbean'!F330+"n/&gt;!5Cl"</f>
        <v>#VALUE!</v>
      </c>
      <c r="L443" t="e">
        <f>'Latin America and Caribbean'!G330+"n/&gt;!5Cm"</f>
        <v>#VALUE!</v>
      </c>
      <c r="M443" t="e">
        <f>'Latin America and Caribbean'!H330+"n/&gt;!5Cn"</f>
        <v>#VALUE!</v>
      </c>
      <c r="N443" t="e">
        <f>'Latin America and Caribbean'!I330+"n/&gt;!5Co"</f>
        <v>#VALUE!</v>
      </c>
      <c r="O443" t="e">
        <f>'Latin America and Caribbean'!A331+"n/&gt;!5Cp"</f>
        <v>#VALUE!</v>
      </c>
      <c r="P443" t="e">
        <f>'Latin America and Caribbean'!B331+"n/&gt;!5Cq"</f>
        <v>#VALUE!</v>
      </c>
      <c r="Q443" t="e">
        <f>'Latin America and Caribbean'!C331+"n/&gt;!5Cr"</f>
        <v>#VALUE!</v>
      </c>
      <c r="R443" t="e">
        <f>'Latin America and Caribbean'!D331+"n/&gt;!5Cs"</f>
        <v>#VALUE!</v>
      </c>
      <c r="S443" t="e">
        <f>'Latin America and Caribbean'!E331+"n/&gt;!5Ct"</f>
        <v>#VALUE!</v>
      </c>
      <c r="T443" t="e">
        <f>'Latin America and Caribbean'!F331+"n/&gt;!5Cu"</f>
        <v>#VALUE!</v>
      </c>
      <c r="U443" t="e">
        <f>'Latin America and Caribbean'!G331+"n/&gt;!5Cv"</f>
        <v>#VALUE!</v>
      </c>
      <c r="V443" t="e">
        <f>'Latin America and Caribbean'!H331+"n/&gt;!5Cw"</f>
        <v>#VALUE!</v>
      </c>
      <c r="W443" t="e">
        <f>'Latin America and Caribbean'!I331+"n/&gt;!5Cx"</f>
        <v>#VALUE!</v>
      </c>
      <c r="X443" t="e">
        <f>'Latin America and Caribbean'!A332+"n/&gt;!5Cy"</f>
        <v>#VALUE!</v>
      </c>
      <c r="Y443" t="e">
        <f>'Latin America and Caribbean'!B332+"n/&gt;!5Cz"</f>
        <v>#VALUE!</v>
      </c>
      <c r="Z443" t="e">
        <f>'Latin America and Caribbean'!C332+"n/&gt;!5C{"</f>
        <v>#VALUE!</v>
      </c>
      <c r="AA443" t="e">
        <f>'Latin America and Caribbean'!D332+"n/&gt;!5C|"</f>
        <v>#VALUE!</v>
      </c>
      <c r="AB443" t="e">
        <f>'Latin America and Caribbean'!E332+"n/&gt;!5C}"</f>
        <v>#VALUE!</v>
      </c>
      <c r="AC443" t="e">
        <f>'Latin America and Caribbean'!F332+"n/&gt;!5C~"</f>
        <v>#VALUE!</v>
      </c>
      <c r="AD443" t="e">
        <f>'Latin America and Caribbean'!G332+"n/&gt;!5D#"</f>
        <v>#VALUE!</v>
      </c>
      <c r="AE443" t="e">
        <f>'Latin America and Caribbean'!H332+"n/&gt;!5D$"</f>
        <v>#VALUE!</v>
      </c>
      <c r="AF443" t="e">
        <f>'Latin America and Caribbean'!I332+"n/&gt;!5D%"</f>
        <v>#VALUE!</v>
      </c>
      <c r="AG443" t="e">
        <f>'Latin America and Caribbean'!A333+"n/&gt;!5D&amp;"</f>
        <v>#VALUE!</v>
      </c>
      <c r="AH443" t="e">
        <f>'Latin America and Caribbean'!B333+"n/&gt;!5D'"</f>
        <v>#VALUE!</v>
      </c>
      <c r="AI443" t="e">
        <f>'Latin America and Caribbean'!C333+"n/&gt;!5D("</f>
        <v>#VALUE!</v>
      </c>
      <c r="AJ443" t="e">
        <f>'Latin America and Caribbean'!D333+"n/&gt;!5D)"</f>
        <v>#VALUE!</v>
      </c>
      <c r="AK443" t="e">
        <f>'Latin America and Caribbean'!E333+"n/&gt;!5D."</f>
        <v>#VALUE!</v>
      </c>
      <c r="AL443" t="e">
        <f>'Latin America and Caribbean'!F333+"n/&gt;!5D/"</f>
        <v>#VALUE!</v>
      </c>
      <c r="AM443" t="e">
        <f>'Latin America and Caribbean'!G333+"n/&gt;!5D0"</f>
        <v>#VALUE!</v>
      </c>
      <c r="AN443" t="e">
        <f>'Latin America and Caribbean'!H333+"n/&gt;!5D1"</f>
        <v>#VALUE!</v>
      </c>
      <c r="AO443" t="e">
        <f>'Latin America and Caribbean'!I333+"n/&gt;!5D2"</f>
        <v>#VALUE!</v>
      </c>
      <c r="AP443" t="e">
        <f>'Latin America and Caribbean'!A334+"n/&gt;!5D3"</f>
        <v>#VALUE!</v>
      </c>
      <c r="AQ443" t="e">
        <f>'Latin America and Caribbean'!B334+"n/&gt;!5D4"</f>
        <v>#VALUE!</v>
      </c>
      <c r="AR443" t="e">
        <f>'Latin America and Caribbean'!C334+"n/&gt;!5D5"</f>
        <v>#VALUE!</v>
      </c>
      <c r="AS443" t="e">
        <f>'Latin America and Caribbean'!D334+"n/&gt;!5D6"</f>
        <v>#VALUE!</v>
      </c>
      <c r="AT443" t="e">
        <f>'Latin America and Caribbean'!E334+"n/&gt;!5D7"</f>
        <v>#VALUE!</v>
      </c>
      <c r="AU443" t="e">
        <f>'Latin America and Caribbean'!F334+"n/&gt;!5D8"</f>
        <v>#VALUE!</v>
      </c>
      <c r="AV443" t="e">
        <f>'Latin America and Caribbean'!G334+"n/&gt;!5D9"</f>
        <v>#VALUE!</v>
      </c>
      <c r="AW443" t="e">
        <f>'Latin America and Caribbean'!H334+"n/&gt;!5D:"</f>
        <v>#VALUE!</v>
      </c>
      <c r="AX443" t="e">
        <f>'Latin America and Caribbean'!I334+"n/&gt;!5D;"</f>
        <v>#VALUE!</v>
      </c>
      <c r="AY443" t="e">
        <f>'Latin America and Caribbean'!A335+"n/&gt;!5D&lt;"</f>
        <v>#VALUE!</v>
      </c>
      <c r="AZ443" t="e">
        <f>'Latin America and Caribbean'!B335+"n/&gt;!5D="</f>
        <v>#VALUE!</v>
      </c>
      <c r="BA443" t="e">
        <f>'Latin America and Caribbean'!C335+"n/&gt;!5D&gt;"</f>
        <v>#VALUE!</v>
      </c>
      <c r="BB443" t="e">
        <f>'Latin America and Caribbean'!D335+"n/&gt;!5D?"</f>
        <v>#VALUE!</v>
      </c>
      <c r="BC443" t="e">
        <f>'Latin America and Caribbean'!E335+"n/&gt;!5D@"</f>
        <v>#VALUE!</v>
      </c>
      <c r="BD443" t="e">
        <f>'Latin America and Caribbean'!F335+"n/&gt;!5DA"</f>
        <v>#VALUE!</v>
      </c>
      <c r="BE443" t="e">
        <f>'Latin America and Caribbean'!G335+"n/&gt;!5DB"</f>
        <v>#VALUE!</v>
      </c>
      <c r="BF443" t="e">
        <f>'Latin America and Caribbean'!H335+"n/&gt;!5DC"</f>
        <v>#VALUE!</v>
      </c>
      <c r="BG443" t="e">
        <f>'Latin America and Caribbean'!I335+"n/&gt;!5DD"</f>
        <v>#VALUE!</v>
      </c>
      <c r="BH443" t="e">
        <f>'Latin America and Caribbean'!A336+"n/&gt;!5DE"</f>
        <v>#VALUE!</v>
      </c>
      <c r="BI443" t="e">
        <f>'Latin America and Caribbean'!B336+"n/&gt;!5DF"</f>
        <v>#VALUE!</v>
      </c>
      <c r="BJ443" t="e">
        <f>'Latin America and Caribbean'!C336+"n/&gt;!5DG"</f>
        <v>#VALUE!</v>
      </c>
      <c r="BK443" t="e">
        <f>'Latin America and Caribbean'!D336+"n/&gt;!5DH"</f>
        <v>#VALUE!</v>
      </c>
      <c r="BL443" t="e">
        <f>'Latin America and Caribbean'!E336+"n/&gt;!5DI"</f>
        <v>#VALUE!</v>
      </c>
      <c r="BM443" t="e">
        <f>'Latin America and Caribbean'!F336+"n/&gt;!5DJ"</f>
        <v>#VALUE!</v>
      </c>
      <c r="BN443" t="e">
        <f>'Latin America and Caribbean'!G336+"n/&gt;!5DK"</f>
        <v>#VALUE!</v>
      </c>
      <c r="BO443" t="e">
        <f>'Latin America and Caribbean'!H336+"n/&gt;!5DL"</f>
        <v>#VALUE!</v>
      </c>
      <c r="BP443" t="e">
        <f>'Latin America and Caribbean'!I336+"n/&gt;!5DM"</f>
        <v>#VALUE!</v>
      </c>
      <c r="BQ443" t="e">
        <f>'Latin America and Caribbean'!A337+"n/&gt;!5DN"</f>
        <v>#VALUE!</v>
      </c>
      <c r="BR443" t="e">
        <f>'Latin America and Caribbean'!B337+"n/&gt;!5DO"</f>
        <v>#VALUE!</v>
      </c>
      <c r="BS443" t="e">
        <f>'Latin America and Caribbean'!C337+"n/&gt;!5DP"</f>
        <v>#VALUE!</v>
      </c>
      <c r="BT443" t="e">
        <f>'Latin America and Caribbean'!D337+"n/&gt;!5DQ"</f>
        <v>#VALUE!</v>
      </c>
      <c r="BU443" t="e">
        <f>'Latin America and Caribbean'!E337+"n/&gt;!5DR"</f>
        <v>#VALUE!</v>
      </c>
      <c r="BV443" t="e">
        <f>'Latin America and Caribbean'!F337+"n/&gt;!5DS"</f>
        <v>#VALUE!</v>
      </c>
      <c r="BW443" t="e">
        <f>'Latin America and Caribbean'!G337+"n/&gt;!5DT"</f>
        <v>#VALUE!</v>
      </c>
      <c r="BX443" t="e">
        <f>'Latin America and Caribbean'!H337+"n/&gt;!5DU"</f>
        <v>#VALUE!</v>
      </c>
      <c r="BY443" t="e">
        <f>'Latin America and Caribbean'!I337+"n/&gt;!5DV"</f>
        <v>#VALUE!</v>
      </c>
      <c r="BZ443" t="e">
        <f>'Latin America and Caribbean'!A338+"n/&gt;!5DW"</f>
        <v>#VALUE!</v>
      </c>
      <c r="CA443" t="e">
        <f>'Latin America and Caribbean'!B338+"n/&gt;!5DX"</f>
        <v>#VALUE!</v>
      </c>
      <c r="CB443" t="e">
        <f>'Latin America and Caribbean'!C338+"n/&gt;!5DY"</f>
        <v>#VALUE!</v>
      </c>
      <c r="CC443" t="e">
        <f>'Latin America and Caribbean'!D338+"n/&gt;!5DZ"</f>
        <v>#VALUE!</v>
      </c>
      <c r="CD443" t="e">
        <f>'Latin America and Caribbean'!E338+"n/&gt;!5D["</f>
        <v>#VALUE!</v>
      </c>
      <c r="CE443" t="e">
        <f>'Latin America and Caribbean'!F338+"n/&gt;!5D\"</f>
        <v>#VALUE!</v>
      </c>
      <c r="CF443" t="e">
        <f>'Latin America and Caribbean'!G338+"n/&gt;!5D]"</f>
        <v>#VALUE!</v>
      </c>
      <c r="CG443" t="e">
        <f>'Latin America and Caribbean'!H338+"n/&gt;!5D^"</f>
        <v>#VALUE!</v>
      </c>
      <c r="CH443" t="e">
        <f>'Latin America and Caribbean'!I338+"n/&gt;!5D_"</f>
        <v>#VALUE!</v>
      </c>
      <c r="CI443" t="e">
        <f>'Latin America and Caribbean'!A339+"n/&gt;!5D`"</f>
        <v>#VALUE!</v>
      </c>
      <c r="CJ443" t="e">
        <f>'Latin America and Caribbean'!B339+"n/&gt;!5Da"</f>
        <v>#VALUE!</v>
      </c>
      <c r="CK443" t="e">
        <f>'Latin America and Caribbean'!C339+"n/&gt;!5Db"</f>
        <v>#VALUE!</v>
      </c>
      <c r="CL443" t="e">
        <f>'Latin America and Caribbean'!D339+"n/&gt;!5Dc"</f>
        <v>#VALUE!</v>
      </c>
      <c r="CM443" t="e">
        <f>'Latin America and Caribbean'!E339+"n/&gt;!5Dd"</f>
        <v>#VALUE!</v>
      </c>
      <c r="CN443" t="e">
        <f>'Latin America and Caribbean'!F339+"n/&gt;!5De"</f>
        <v>#VALUE!</v>
      </c>
      <c r="CO443" t="e">
        <f>'Latin America and Caribbean'!G339+"n/&gt;!5Df"</f>
        <v>#VALUE!</v>
      </c>
      <c r="CP443" t="e">
        <f>'Latin America and Caribbean'!H339+"n/&gt;!5Dg"</f>
        <v>#VALUE!</v>
      </c>
      <c r="CQ443" t="e">
        <f>'Latin America and Caribbean'!I339+"n/&gt;!5Dh"</f>
        <v>#VALUE!</v>
      </c>
      <c r="CR443" t="e">
        <f>'Latin America and Caribbean'!A340+"n/&gt;!5Di"</f>
        <v>#VALUE!</v>
      </c>
      <c r="CS443" t="e">
        <f>'Latin America and Caribbean'!B340+"n/&gt;!5Dj"</f>
        <v>#VALUE!</v>
      </c>
      <c r="CT443" t="e">
        <f>'Latin America and Caribbean'!C340+"n/&gt;!5Dk"</f>
        <v>#VALUE!</v>
      </c>
      <c r="CU443" t="e">
        <f>'Latin America and Caribbean'!D340+"n/&gt;!5Dl"</f>
        <v>#VALUE!</v>
      </c>
      <c r="CV443" t="e">
        <f>'Latin America and Caribbean'!E340+"n/&gt;!5Dm"</f>
        <v>#VALUE!</v>
      </c>
      <c r="CW443" t="e">
        <f>'Latin America and Caribbean'!F340+"n/&gt;!5Dn"</f>
        <v>#VALUE!</v>
      </c>
      <c r="CX443" t="e">
        <f>'Latin America and Caribbean'!G340+"n/&gt;!5Do"</f>
        <v>#VALUE!</v>
      </c>
      <c r="CY443" t="e">
        <f>'Latin America and Caribbean'!H340+"n/&gt;!5Dp"</f>
        <v>#VALUE!</v>
      </c>
      <c r="CZ443" t="e">
        <f>'Latin America and Caribbean'!I340+"n/&gt;!5Dq"</f>
        <v>#VALUE!</v>
      </c>
      <c r="DA443" t="e">
        <f>'Latin America and Caribbean'!A341+"n/&gt;!5Dr"</f>
        <v>#VALUE!</v>
      </c>
      <c r="DB443" t="e">
        <f>'Latin America and Caribbean'!B341+"n/&gt;!5Ds"</f>
        <v>#VALUE!</v>
      </c>
      <c r="DC443" t="e">
        <f>'Latin America and Caribbean'!C341+"n/&gt;!5Dt"</f>
        <v>#VALUE!</v>
      </c>
      <c r="DD443" t="e">
        <f>'Latin America and Caribbean'!D341+"n/&gt;!5Du"</f>
        <v>#VALUE!</v>
      </c>
      <c r="DE443" t="e">
        <f>'Latin America and Caribbean'!E341+"n/&gt;!5Dv"</f>
        <v>#VALUE!</v>
      </c>
      <c r="DF443" t="e">
        <f>'Latin America and Caribbean'!F341+"n/&gt;!5Dw"</f>
        <v>#VALUE!</v>
      </c>
      <c r="DG443" t="e">
        <f>'Latin America and Caribbean'!G341+"n/&gt;!5Dx"</f>
        <v>#VALUE!</v>
      </c>
      <c r="DH443" t="e">
        <f>'Latin America and Caribbean'!H341+"n/&gt;!5Dy"</f>
        <v>#VALUE!</v>
      </c>
      <c r="DI443" t="e">
        <f>'Latin America and Caribbean'!I341+"n/&gt;!5Dz"</f>
        <v>#VALUE!</v>
      </c>
      <c r="DJ443" t="e">
        <f>'Latin America and Caribbean'!A342+"n/&gt;!5D{"</f>
        <v>#VALUE!</v>
      </c>
      <c r="DK443" t="e">
        <f>'Latin America and Caribbean'!B342+"n/&gt;!5D|"</f>
        <v>#VALUE!</v>
      </c>
      <c r="DL443" t="e">
        <f>'Latin America and Caribbean'!C342+"n/&gt;!5D}"</f>
        <v>#VALUE!</v>
      </c>
      <c r="DM443" t="e">
        <f>'Latin America and Caribbean'!D342+"n/&gt;!5D~"</f>
        <v>#VALUE!</v>
      </c>
      <c r="DN443" t="e">
        <f>'Latin America and Caribbean'!E342+"n/&gt;!5E#"</f>
        <v>#VALUE!</v>
      </c>
      <c r="DO443" t="e">
        <f>'Latin America and Caribbean'!F342+"n/&gt;!5E$"</f>
        <v>#VALUE!</v>
      </c>
      <c r="DP443" t="e">
        <f>'Latin America and Caribbean'!G342+"n/&gt;!5E%"</f>
        <v>#VALUE!</v>
      </c>
      <c r="DQ443" t="e">
        <f>'Latin America and Caribbean'!H342+"n/&gt;!5E&amp;"</f>
        <v>#VALUE!</v>
      </c>
      <c r="DR443" t="e">
        <f>'Latin America and Caribbean'!I342+"n/&gt;!5E'"</f>
        <v>#VALUE!</v>
      </c>
      <c r="DS443" t="e">
        <f>'Latin America and Caribbean'!A343+"n/&gt;!5E("</f>
        <v>#VALUE!</v>
      </c>
      <c r="DT443" t="e">
        <f>'Latin America and Caribbean'!B343+"n/&gt;!5E)"</f>
        <v>#VALUE!</v>
      </c>
      <c r="DU443" t="e">
        <f>'Latin America and Caribbean'!C343+"n/&gt;!5E."</f>
        <v>#VALUE!</v>
      </c>
      <c r="DV443" t="e">
        <f>'Latin America and Caribbean'!D343+"n/&gt;!5E/"</f>
        <v>#VALUE!</v>
      </c>
      <c r="DW443" t="e">
        <f>'Latin America and Caribbean'!E343+"n/&gt;!5E0"</f>
        <v>#VALUE!</v>
      </c>
      <c r="DX443" t="e">
        <f>'Latin America and Caribbean'!F343+"n/&gt;!5E1"</f>
        <v>#VALUE!</v>
      </c>
      <c r="DY443" t="e">
        <f>'Latin America and Caribbean'!G343+"n/&gt;!5E2"</f>
        <v>#VALUE!</v>
      </c>
      <c r="DZ443" t="e">
        <f>'Latin America and Caribbean'!H343+"n/&gt;!5E3"</f>
        <v>#VALUE!</v>
      </c>
      <c r="EA443" t="e">
        <f>'Latin America and Caribbean'!I343+"n/&gt;!5E4"</f>
        <v>#VALUE!</v>
      </c>
      <c r="EB443" t="e">
        <f>'Latin America and Caribbean'!A344+"n/&gt;!5E5"</f>
        <v>#VALUE!</v>
      </c>
      <c r="EC443" t="e">
        <f>'Latin America and Caribbean'!B344+"n/&gt;!5E6"</f>
        <v>#VALUE!</v>
      </c>
      <c r="ED443" t="e">
        <f>'Latin America and Caribbean'!C344+"n/&gt;!5E7"</f>
        <v>#VALUE!</v>
      </c>
      <c r="EE443" t="e">
        <f>'Latin America and Caribbean'!D344+"n/&gt;!5E8"</f>
        <v>#VALUE!</v>
      </c>
      <c r="EF443" t="e">
        <f>'Latin America and Caribbean'!E344+"n/&gt;!5E9"</f>
        <v>#VALUE!</v>
      </c>
      <c r="EG443" t="e">
        <f>'Latin America and Caribbean'!F344+"n/&gt;!5E:"</f>
        <v>#VALUE!</v>
      </c>
      <c r="EH443" t="e">
        <f>'Latin America and Caribbean'!G344+"n/&gt;!5E;"</f>
        <v>#VALUE!</v>
      </c>
      <c r="EI443" t="e">
        <f>'Latin America and Caribbean'!H344+"n/&gt;!5E&lt;"</f>
        <v>#VALUE!</v>
      </c>
      <c r="EJ443" t="e">
        <f>'Latin America and Caribbean'!I344+"n/&gt;!5E="</f>
        <v>#VALUE!</v>
      </c>
      <c r="EK443" t="e">
        <f>'Latin America and Caribbean'!A345+"n/&gt;!5E&gt;"</f>
        <v>#VALUE!</v>
      </c>
      <c r="EL443" t="e">
        <f>'Latin America and Caribbean'!B345+"n/&gt;!5E?"</f>
        <v>#VALUE!</v>
      </c>
      <c r="EM443" t="e">
        <f>'Latin America and Caribbean'!C345+"n/&gt;!5E@"</f>
        <v>#VALUE!</v>
      </c>
      <c r="EN443" t="e">
        <f>'Latin America and Caribbean'!D345+"n/&gt;!5EA"</f>
        <v>#VALUE!</v>
      </c>
      <c r="EO443" t="e">
        <f>'Latin America and Caribbean'!E345+"n/&gt;!5EB"</f>
        <v>#VALUE!</v>
      </c>
      <c r="EP443" t="e">
        <f>'Latin America and Caribbean'!F345+"n/&gt;!5EC"</f>
        <v>#VALUE!</v>
      </c>
      <c r="EQ443" t="e">
        <f>'Latin America and Caribbean'!G345+"n/&gt;!5ED"</f>
        <v>#VALUE!</v>
      </c>
      <c r="ER443" t="e">
        <f>'Latin America and Caribbean'!H345+"n/&gt;!5EE"</f>
        <v>#VALUE!</v>
      </c>
      <c r="ES443" t="e">
        <f>'Latin America and Caribbean'!I345+"n/&gt;!5EF"</f>
        <v>#VALUE!</v>
      </c>
      <c r="ET443" t="e">
        <f>'Latin America and Caribbean'!A346+"n/&gt;!5EG"</f>
        <v>#VALUE!</v>
      </c>
      <c r="EU443" t="e">
        <f>'Latin America and Caribbean'!B346+"n/&gt;!5EH"</f>
        <v>#VALUE!</v>
      </c>
      <c r="EV443" t="e">
        <f>'Latin America and Caribbean'!C346+"n/&gt;!5EI"</f>
        <v>#VALUE!</v>
      </c>
      <c r="EW443" t="e">
        <f>'Latin America and Caribbean'!D346+"n/&gt;!5EJ"</f>
        <v>#VALUE!</v>
      </c>
      <c r="EX443" t="e">
        <f>'Latin America and Caribbean'!E346+"n/&gt;!5EK"</f>
        <v>#VALUE!</v>
      </c>
      <c r="EY443" t="e">
        <f>'Latin America and Caribbean'!F346+"n/&gt;!5EL"</f>
        <v>#VALUE!</v>
      </c>
      <c r="EZ443" t="e">
        <f>'Latin America and Caribbean'!G346+"n/&gt;!5EM"</f>
        <v>#VALUE!</v>
      </c>
      <c r="FA443" t="e">
        <f>'Latin America and Caribbean'!H346+"n/&gt;!5EN"</f>
        <v>#VALUE!</v>
      </c>
      <c r="FB443" t="e">
        <f>'Latin America and Caribbean'!I346+"n/&gt;!5EO"</f>
        <v>#VALUE!</v>
      </c>
      <c r="FC443" t="e">
        <f>'Latin America and Caribbean'!A347+"n/&gt;!5EP"</f>
        <v>#VALUE!</v>
      </c>
      <c r="FD443" t="e">
        <f>'Latin America and Caribbean'!B347+"n/&gt;!5EQ"</f>
        <v>#VALUE!</v>
      </c>
      <c r="FE443" t="e">
        <f>'Latin America and Caribbean'!C347+"n/&gt;!5ER"</f>
        <v>#VALUE!</v>
      </c>
      <c r="FF443" t="e">
        <f>'Latin America and Caribbean'!D347+"n/&gt;!5ES"</f>
        <v>#VALUE!</v>
      </c>
      <c r="FG443" t="e">
        <f>'Latin America and Caribbean'!E347+"n/&gt;!5ET"</f>
        <v>#VALUE!</v>
      </c>
      <c r="FH443" t="e">
        <f>'Latin America and Caribbean'!F347+"n/&gt;!5EU"</f>
        <v>#VALUE!</v>
      </c>
      <c r="FI443" t="e">
        <f>'Latin America and Caribbean'!G347+"n/&gt;!5EV"</f>
        <v>#VALUE!</v>
      </c>
      <c r="FJ443" t="e">
        <f>'Latin America and Caribbean'!H347+"n/&gt;!5EW"</f>
        <v>#VALUE!</v>
      </c>
      <c r="FK443" t="e">
        <f>'Latin America and Caribbean'!I347+"n/&gt;!5EX"</f>
        <v>#VALUE!</v>
      </c>
      <c r="FL443" t="e">
        <f>'Latin America and Caribbean'!A348+"n/&gt;!5EY"</f>
        <v>#VALUE!</v>
      </c>
      <c r="FM443" t="e">
        <f>'Latin America and Caribbean'!B348+"n/&gt;!5EZ"</f>
        <v>#VALUE!</v>
      </c>
      <c r="FN443" t="e">
        <f>'Latin America and Caribbean'!C348+"n/&gt;!5E["</f>
        <v>#VALUE!</v>
      </c>
      <c r="FO443" t="e">
        <f>'Latin America and Caribbean'!D348+"n/&gt;!5E\"</f>
        <v>#VALUE!</v>
      </c>
      <c r="FP443" t="e">
        <f>'Latin America and Caribbean'!E348+"n/&gt;!5E]"</f>
        <v>#VALUE!</v>
      </c>
      <c r="FQ443" t="e">
        <f>'Latin America and Caribbean'!F348+"n/&gt;!5E^"</f>
        <v>#VALUE!</v>
      </c>
      <c r="FR443" t="e">
        <f>'Latin America and Caribbean'!G348+"n/&gt;!5E_"</f>
        <v>#VALUE!</v>
      </c>
      <c r="FS443" t="e">
        <f>'Latin America and Caribbean'!H348+"n/&gt;!5E`"</f>
        <v>#VALUE!</v>
      </c>
      <c r="FT443" t="e">
        <f>'Latin America and Caribbean'!I348+"n/&gt;!5Ea"</f>
        <v>#VALUE!</v>
      </c>
      <c r="FU443" t="e">
        <f>'Latin America and Caribbean'!A349+"n/&gt;!5Eb"</f>
        <v>#VALUE!</v>
      </c>
      <c r="FV443" t="e">
        <f>'Latin America and Caribbean'!B349+"n/&gt;!5Ec"</f>
        <v>#VALUE!</v>
      </c>
      <c r="FW443" t="e">
        <f>'Latin America and Caribbean'!C349+"n/&gt;!5Ed"</f>
        <v>#VALUE!</v>
      </c>
      <c r="FX443" t="e">
        <f>'Latin America and Caribbean'!D349+"n/&gt;!5Ee"</f>
        <v>#VALUE!</v>
      </c>
      <c r="FY443" t="e">
        <f>'Latin America and Caribbean'!E349+"n/&gt;!5Ef"</f>
        <v>#VALUE!</v>
      </c>
      <c r="FZ443" t="e">
        <f>'Latin America and Caribbean'!F349+"n/&gt;!5Eg"</f>
        <v>#VALUE!</v>
      </c>
      <c r="GA443" t="e">
        <f>'Latin America and Caribbean'!G349+"n/&gt;!5Eh"</f>
        <v>#VALUE!</v>
      </c>
      <c r="GB443" t="e">
        <f>'Latin America and Caribbean'!H349+"n/&gt;!5Ei"</f>
        <v>#VALUE!</v>
      </c>
      <c r="GC443" t="e">
        <f>'Latin America and Caribbean'!I349+"n/&gt;!5Ej"</f>
        <v>#VALUE!</v>
      </c>
      <c r="GD443" t="e">
        <f>'Latin America and Caribbean'!A350+"n/&gt;!5Ek"</f>
        <v>#VALUE!</v>
      </c>
      <c r="GE443" t="e">
        <f>'Latin America and Caribbean'!B350+"n/&gt;!5El"</f>
        <v>#VALUE!</v>
      </c>
      <c r="GF443" t="e">
        <f>'Latin America and Caribbean'!C350+"n/&gt;!5Em"</f>
        <v>#VALUE!</v>
      </c>
      <c r="GG443" t="e">
        <f>'Latin America and Caribbean'!D350+"n/&gt;!5En"</f>
        <v>#VALUE!</v>
      </c>
      <c r="GH443" t="e">
        <f>'Latin America and Caribbean'!E350+"n/&gt;!5Eo"</f>
        <v>#VALUE!</v>
      </c>
      <c r="GI443" t="e">
        <f>'Latin America and Caribbean'!F350+"n/&gt;!5Ep"</f>
        <v>#VALUE!</v>
      </c>
      <c r="GJ443" t="e">
        <f>'Latin America and Caribbean'!G350+"n/&gt;!5Eq"</f>
        <v>#VALUE!</v>
      </c>
      <c r="GK443" t="e">
        <f>'Latin America and Caribbean'!H350+"n/&gt;!5Er"</f>
        <v>#VALUE!</v>
      </c>
      <c r="GL443" t="e">
        <f>'Latin America and Caribbean'!I350+"n/&gt;!5Es"</f>
        <v>#VALUE!</v>
      </c>
      <c r="GM443" t="e">
        <f>'Latin America and Caribbean'!A351+"n/&gt;!5Et"</f>
        <v>#VALUE!</v>
      </c>
      <c r="GN443" t="e">
        <f>'Latin America and Caribbean'!B351+"n/&gt;!5Eu"</f>
        <v>#VALUE!</v>
      </c>
      <c r="GO443" t="e">
        <f>'Latin America and Caribbean'!C351+"n/&gt;!5Ev"</f>
        <v>#VALUE!</v>
      </c>
      <c r="GP443" t="e">
        <f>'Latin America and Caribbean'!D351+"n/&gt;!5Ew"</f>
        <v>#VALUE!</v>
      </c>
      <c r="GQ443" t="e">
        <f>'Latin America and Caribbean'!E351+"n/&gt;!5Ex"</f>
        <v>#VALUE!</v>
      </c>
      <c r="GR443" t="e">
        <f>'Latin America and Caribbean'!F351+"n/&gt;!5Ey"</f>
        <v>#VALUE!</v>
      </c>
      <c r="GS443" t="e">
        <f>'Latin America and Caribbean'!G351+"n/&gt;!5Ez"</f>
        <v>#VALUE!</v>
      </c>
      <c r="GT443" t="e">
        <f>'Latin America and Caribbean'!H351+"n/&gt;!5E{"</f>
        <v>#VALUE!</v>
      </c>
      <c r="GU443" t="e">
        <f>'Latin America and Caribbean'!I351+"n/&gt;!5E|"</f>
        <v>#VALUE!</v>
      </c>
      <c r="GV443" t="e">
        <f>'Latin America and Caribbean'!A352+"n/&gt;!5E}"</f>
        <v>#VALUE!</v>
      </c>
      <c r="GW443" t="e">
        <f>'Latin America and Caribbean'!B352+"n/&gt;!5E~"</f>
        <v>#VALUE!</v>
      </c>
      <c r="GX443" t="e">
        <f>'Latin America and Caribbean'!C352+"n/&gt;!5F#"</f>
        <v>#VALUE!</v>
      </c>
      <c r="GY443" t="e">
        <f>'Latin America and Caribbean'!D352+"n/&gt;!5F$"</f>
        <v>#VALUE!</v>
      </c>
      <c r="GZ443" t="e">
        <f>'Latin America and Caribbean'!E352+"n/&gt;!5F%"</f>
        <v>#VALUE!</v>
      </c>
      <c r="HA443" t="e">
        <f>'Latin America and Caribbean'!F352+"n/&gt;!5F&amp;"</f>
        <v>#VALUE!</v>
      </c>
      <c r="HB443" t="e">
        <f>'Latin America and Caribbean'!G352+"n/&gt;!5F'"</f>
        <v>#VALUE!</v>
      </c>
      <c r="HC443" t="e">
        <f>'Latin America and Caribbean'!H352+"n/&gt;!5F("</f>
        <v>#VALUE!</v>
      </c>
      <c r="HD443" t="e">
        <f>'Latin America and Caribbean'!I352+"n/&gt;!5F)"</f>
        <v>#VALUE!</v>
      </c>
      <c r="HE443" t="e">
        <f>'Latin America and Caribbean'!A353+"n/&gt;!5F."</f>
        <v>#VALUE!</v>
      </c>
      <c r="HF443" t="e">
        <f>'Latin America and Caribbean'!B353+"n/&gt;!5F/"</f>
        <v>#VALUE!</v>
      </c>
      <c r="HG443" t="e">
        <f>'Latin America and Caribbean'!C353+"n/&gt;!5F0"</f>
        <v>#VALUE!</v>
      </c>
      <c r="HH443" t="e">
        <f>'Latin America and Caribbean'!D353+"n/&gt;!5F1"</f>
        <v>#VALUE!</v>
      </c>
      <c r="HI443" t="e">
        <f>'Latin America and Caribbean'!E353+"n/&gt;!5F2"</f>
        <v>#VALUE!</v>
      </c>
      <c r="HJ443" t="e">
        <f>'Latin America and Caribbean'!F353+"n/&gt;!5F3"</f>
        <v>#VALUE!</v>
      </c>
      <c r="HK443" t="e">
        <f>'Latin America and Caribbean'!G353+"n/&gt;!5F4"</f>
        <v>#VALUE!</v>
      </c>
      <c r="HL443" t="e">
        <f>'Latin America and Caribbean'!H353+"n/&gt;!5F5"</f>
        <v>#VALUE!</v>
      </c>
      <c r="HM443" t="e">
        <f>'Latin America and Caribbean'!I353+"n/&gt;!5F6"</f>
        <v>#VALUE!</v>
      </c>
      <c r="HN443" t="e">
        <f>'Latin America and Caribbean'!A354+"n/&gt;!5F7"</f>
        <v>#VALUE!</v>
      </c>
      <c r="HO443" t="e">
        <f>'Latin America and Caribbean'!B354+"n/&gt;!5F8"</f>
        <v>#VALUE!</v>
      </c>
      <c r="HP443" t="e">
        <f>'Latin America and Caribbean'!C354+"n/&gt;!5F9"</f>
        <v>#VALUE!</v>
      </c>
      <c r="HQ443" t="e">
        <f>'Latin America and Caribbean'!D354+"n/&gt;!5F:"</f>
        <v>#VALUE!</v>
      </c>
      <c r="HR443" t="e">
        <f>'Latin America and Caribbean'!E354+"n/&gt;!5F;"</f>
        <v>#VALUE!</v>
      </c>
      <c r="HS443" t="e">
        <f>'Latin America and Caribbean'!F354+"n/&gt;!5F&lt;"</f>
        <v>#VALUE!</v>
      </c>
      <c r="HT443" t="e">
        <f>'Latin America and Caribbean'!G354+"n/&gt;!5F="</f>
        <v>#VALUE!</v>
      </c>
      <c r="HU443" t="e">
        <f>'Latin America and Caribbean'!H354+"n/&gt;!5F&gt;"</f>
        <v>#VALUE!</v>
      </c>
      <c r="HV443" t="e">
        <f>'Latin America and Caribbean'!I354+"n/&gt;!5F?"</f>
        <v>#VALUE!</v>
      </c>
      <c r="HW443" t="e">
        <f>'Latin America and Caribbean'!A355+"n/&gt;!5F@"</f>
        <v>#VALUE!</v>
      </c>
      <c r="HX443" t="e">
        <f>'Latin America and Caribbean'!B355+"n/&gt;!5FA"</f>
        <v>#VALUE!</v>
      </c>
      <c r="HY443" t="e">
        <f>'Latin America and Caribbean'!C355+"n/&gt;!5FB"</f>
        <v>#VALUE!</v>
      </c>
      <c r="HZ443" t="e">
        <f>'Latin America and Caribbean'!D355+"n/&gt;!5FC"</f>
        <v>#VALUE!</v>
      </c>
      <c r="IA443" t="e">
        <f>'Latin America and Caribbean'!E355+"n/&gt;!5FD"</f>
        <v>#VALUE!</v>
      </c>
      <c r="IB443" t="e">
        <f>'Latin America and Caribbean'!F355+"n/&gt;!5FE"</f>
        <v>#VALUE!</v>
      </c>
      <c r="IC443" t="e">
        <f>'Latin America and Caribbean'!G355+"n/&gt;!5FF"</f>
        <v>#VALUE!</v>
      </c>
      <c r="ID443" t="e">
        <f>'Latin America and Caribbean'!H355+"n/&gt;!5FG"</f>
        <v>#VALUE!</v>
      </c>
      <c r="IE443" t="e">
        <f>'Latin America and Caribbean'!I355+"n/&gt;!5FH"</f>
        <v>#VALUE!</v>
      </c>
      <c r="IF443" t="e">
        <f>'Latin America and Caribbean'!A356+"n/&gt;!5FI"</f>
        <v>#VALUE!</v>
      </c>
      <c r="IG443" t="e">
        <f>'Latin America and Caribbean'!B356+"n/&gt;!5FJ"</f>
        <v>#VALUE!</v>
      </c>
      <c r="IH443" t="e">
        <f>'Latin America and Caribbean'!C356+"n/&gt;!5FK"</f>
        <v>#VALUE!</v>
      </c>
      <c r="II443" t="e">
        <f>'Latin America and Caribbean'!D356+"n/&gt;!5FL"</f>
        <v>#VALUE!</v>
      </c>
      <c r="IJ443" t="e">
        <f>'Latin America and Caribbean'!E356+"n/&gt;!5FM"</f>
        <v>#VALUE!</v>
      </c>
      <c r="IK443" t="e">
        <f>'Latin America and Caribbean'!F356+"n/&gt;!5FN"</f>
        <v>#VALUE!</v>
      </c>
      <c r="IL443" t="e">
        <f>'Latin America and Caribbean'!G356+"n/&gt;!5FO"</f>
        <v>#VALUE!</v>
      </c>
      <c r="IM443" t="e">
        <f>'Latin America and Caribbean'!H356+"n/&gt;!5FP"</f>
        <v>#VALUE!</v>
      </c>
      <c r="IN443" t="e">
        <f>'Latin America and Caribbean'!I356+"n/&gt;!5FQ"</f>
        <v>#VALUE!</v>
      </c>
      <c r="IO443" t="e">
        <f>'Latin America and Caribbean'!A357+"n/&gt;!5FR"</f>
        <v>#VALUE!</v>
      </c>
      <c r="IP443" t="e">
        <f>'Latin America and Caribbean'!B357+"n/&gt;!5FS"</f>
        <v>#VALUE!</v>
      </c>
      <c r="IQ443" t="e">
        <f>'Latin America and Caribbean'!C357+"n/&gt;!5FT"</f>
        <v>#VALUE!</v>
      </c>
      <c r="IR443" t="e">
        <f>'Latin America and Caribbean'!D357+"n/&gt;!5FU"</f>
        <v>#VALUE!</v>
      </c>
      <c r="IS443" t="e">
        <f>'Latin America and Caribbean'!E357+"n/&gt;!5FV"</f>
        <v>#VALUE!</v>
      </c>
      <c r="IT443" t="e">
        <f>'Latin America and Caribbean'!F357+"n/&gt;!5FW"</f>
        <v>#VALUE!</v>
      </c>
      <c r="IU443" t="e">
        <f>'Latin America and Caribbean'!G357+"n/&gt;!5FX"</f>
        <v>#VALUE!</v>
      </c>
      <c r="IV443" t="e">
        <f>'Latin America and Caribbean'!H357+"n/&gt;!5FY"</f>
        <v>#VALUE!</v>
      </c>
    </row>
    <row r="444" spans="6:256" x14ac:dyDescent="0.35">
      <c r="F444" t="e">
        <f>'Latin America and Caribbean'!I357+"n/&gt;!5FZ"</f>
        <v>#VALUE!</v>
      </c>
      <c r="G444" t="e">
        <f>'Latin America and Caribbean'!A358+"n/&gt;!5F["</f>
        <v>#VALUE!</v>
      </c>
      <c r="H444" t="e">
        <f>'Latin America and Caribbean'!B358+"n/&gt;!5F\"</f>
        <v>#VALUE!</v>
      </c>
      <c r="I444" t="e">
        <f>'Latin America and Caribbean'!C358+"n/&gt;!5F]"</f>
        <v>#VALUE!</v>
      </c>
      <c r="J444" t="e">
        <f>'Latin America and Caribbean'!D358+"n/&gt;!5F^"</f>
        <v>#VALUE!</v>
      </c>
      <c r="K444" t="e">
        <f>'Latin America and Caribbean'!E358+"n/&gt;!5F_"</f>
        <v>#VALUE!</v>
      </c>
      <c r="L444" t="e">
        <f>'Latin America and Caribbean'!F358+"n/&gt;!5F`"</f>
        <v>#VALUE!</v>
      </c>
      <c r="M444" t="e">
        <f>'Latin America and Caribbean'!G358+"n/&gt;!5Fa"</f>
        <v>#VALUE!</v>
      </c>
      <c r="N444" t="e">
        <f>'Latin America and Caribbean'!H358+"n/&gt;!5Fb"</f>
        <v>#VALUE!</v>
      </c>
      <c r="O444" t="e">
        <f>'Latin America and Caribbean'!I358+"n/&gt;!5Fc"</f>
        <v>#VALUE!</v>
      </c>
      <c r="P444" t="e">
        <f>'Latin America and Caribbean'!A359+"n/&gt;!5Fd"</f>
        <v>#VALUE!</v>
      </c>
      <c r="Q444" t="e">
        <f>'Latin America and Caribbean'!B359+"n/&gt;!5Fe"</f>
        <v>#VALUE!</v>
      </c>
      <c r="R444" t="e">
        <f>'Latin America and Caribbean'!C359+"n/&gt;!5Ff"</f>
        <v>#VALUE!</v>
      </c>
      <c r="S444" t="e">
        <f>'Latin America and Caribbean'!D359+"n/&gt;!5Fg"</f>
        <v>#VALUE!</v>
      </c>
      <c r="T444" t="e">
        <f>'Latin America and Caribbean'!E359+"n/&gt;!5Fh"</f>
        <v>#VALUE!</v>
      </c>
      <c r="U444" t="e">
        <f>'Latin America and Caribbean'!F359+"n/&gt;!5Fi"</f>
        <v>#VALUE!</v>
      </c>
      <c r="V444" t="e">
        <f>'Latin America and Caribbean'!G359+"n/&gt;!5Fj"</f>
        <v>#VALUE!</v>
      </c>
      <c r="W444" t="e">
        <f>'Latin America and Caribbean'!H359+"n/&gt;!5Fk"</f>
        <v>#VALUE!</v>
      </c>
      <c r="X444" t="e">
        <f>'Latin America and Caribbean'!I359+"n/&gt;!5Fl"</f>
        <v>#VALUE!</v>
      </c>
      <c r="Y444" t="e">
        <f>'Latin America and Caribbean'!A360+"n/&gt;!5Fm"</f>
        <v>#VALUE!</v>
      </c>
      <c r="Z444" t="e">
        <f>'Latin America and Caribbean'!B360+"n/&gt;!5Fn"</f>
        <v>#VALUE!</v>
      </c>
      <c r="AA444" t="e">
        <f>'Latin America and Caribbean'!C360+"n/&gt;!5Fo"</f>
        <v>#VALUE!</v>
      </c>
      <c r="AB444" t="e">
        <f>'Latin America and Caribbean'!D360+"n/&gt;!5Fp"</f>
        <v>#VALUE!</v>
      </c>
      <c r="AC444" t="e">
        <f>'Latin America and Caribbean'!E360+"n/&gt;!5Fq"</f>
        <v>#VALUE!</v>
      </c>
      <c r="AD444" t="e">
        <f>'Latin America and Caribbean'!F360+"n/&gt;!5Fr"</f>
        <v>#VALUE!</v>
      </c>
      <c r="AE444" t="e">
        <f>'Latin America and Caribbean'!G360+"n/&gt;!5Fs"</f>
        <v>#VALUE!</v>
      </c>
      <c r="AF444" t="e">
        <f>'Latin America and Caribbean'!H360+"n/&gt;!5Ft"</f>
        <v>#VALUE!</v>
      </c>
      <c r="AG444" t="e">
        <f>'Latin America and Caribbean'!I360+"n/&gt;!5Fu"</f>
        <v>#VALUE!</v>
      </c>
      <c r="AH444" t="e">
        <f>'Latin America and Caribbean'!A361+"n/&gt;!5Fv"</f>
        <v>#VALUE!</v>
      </c>
      <c r="AI444" t="e">
        <f>'Latin America and Caribbean'!B361+"n/&gt;!5Fw"</f>
        <v>#VALUE!</v>
      </c>
      <c r="AJ444" t="e">
        <f>'Latin America and Caribbean'!C361+"n/&gt;!5Fx"</f>
        <v>#VALUE!</v>
      </c>
      <c r="AK444" t="e">
        <f>'Latin America and Caribbean'!D361+"n/&gt;!5Fy"</f>
        <v>#VALUE!</v>
      </c>
      <c r="AL444" t="e">
        <f>'Latin America and Caribbean'!E361+"n/&gt;!5Fz"</f>
        <v>#VALUE!</v>
      </c>
      <c r="AM444" t="e">
        <f>'Latin America and Caribbean'!F361+"n/&gt;!5F{"</f>
        <v>#VALUE!</v>
      </c>
      <c r="AN444" t="e">
        <f>'Latin America and Caribbean'!G361+"n/&gt;!5F|"</f>
        <v>#VALUE!</v>
      </c>
      <c r="AO444" t="e">
        <f>'Latin America and Caribbean'!H361+"n/&gt;!5F}"</f>
        <v>#VALUE!</v>
      </c>
      <c r="AP444" t="e">
        <f>'Latin America and Caribbean'!I361+"n/&gt;!5F~"</f>
        <v>#VALUE!</v>
      </c>
      <c r="AQ444" t="e">
        <f>'Latin America and Caribbean'!A362+"n/&gt;!5G#"</f>
        <v>#VALUE!</v>
      </c>
      <c r="AR444" t="e">
        <f>'Latin America and Caribbean'!B362+"n/&gt;!5G$"</f>
        <v>#VALUE!</v>
      </c>
      <c r="AS444" t="e">
        <f>'Latin America and Caribbean'!C362+"n/&gt;!5G%"</f>
        <v>#VALUE!</v>
      </c>
      <c r="AT444" t="e">
        <f>'Latin America and Caribbean'!D362+"n/&gt;!5G&amp;"</f>
        <v>#VALUE!</v>
      </c>
      <c r="AU444" t="e">
        <f>'Latin America and Caribbean'!E362+"n/&gt;!5G'"</f>
        <v>#VALUE!</v>
      </c>
      <c r="AV444" t="e">
        <f>'Latin America and Caribbean'!F362+"n/&gt;!5G("</f>
        <v>#VALUE!</v>
      </c>
      <c r="AW444" t="e">
        <f>'Latin America and Caribbean'!G362+"n/&gt;!5G)"</f>
        <v>#VALUE!</v>
      </c>
      <c r="AX444" t="e">
        <f>'Latin America and Caribbean'!H362+"n/&gt;!5G."</f>
        <v>#VALUE!</v>
      </c>
      <c r="AY444" t="e">
        <f>'Latin America and Caribbean'!I362+"n/&gt;!5G/"</f>
        <v>#VALUE!</v>
      </c>
      <c r="AZ444" t="e">
        <f>'Latin America and Caribbean'!A363+"n/&gt;!5G0"</f>
        <v>#VALUE!</v>
      </c>
      <c r="BA444" t="e">
        <f>'Latin America and Caribbean'!B363+"n/&gt;!5G1"</f>
        <v>#VALUE!</v>
      </c>
      <c r="BB444" t="e">
        <f>'Latin America and Caribbean'!C363+"n/&gt;!5G2"</f>
        <v>#VALUE!</v>
      </c>
      <c r="BC444" t="e">
        <f>'Latin America and Caribbean'!D363+"n/&gt;!5G3"</f>
        <v>#VALUE!</v>
      </c>
      <c r="BD444" t="e">
        <f>'Latin America and Caribbean'!E363+"n/&gt;!5G4"</f>
        <v>#VALUE!</v>
      </c>
      <c r="BE444" t="e">
        <f>'Latin America and Caribbean'!F363+"n/&gt;!5G5"</f>
        <v>#VALUE!</v>
      </c>
      <c r="BF444" t="e">
        <f>'Latin America and Caribbean'!G363+"n/&gt;!5G6"</f>
        <v>#VALUE!</v>
      </c>
      <c r="BG444" t="e">
        <f>'Latin America and Caribbean'!H363+"n/&gt;!5G7"</f>
        <v>#VALUE!</v>
      </c>
      <c r="BH444" t="e">
        <f>'Latin America and Caribbean'!I363+"n/&gt;!5G8"</f>
        <v>#VALUE!</v>
      </c>
      <c r="BI444" t="e">
        <f>'Latin America and Caribbean'!A364+"n/&gt;!5G9"</f>
        <v>#VALUE!</v>
      </c>
      <c r="BJ444" t="e">
        <f>'Latin America and Caribbean'!B364+"n/&gt;!5G:"</f>
        <v>#VALUE!</v>
      </c>
      <c r="BK444" t="e">
        <f>'Latin America and Caribbean'!C364+"n/&gt;!5G;"</f>
        <v>#VALUE!</v>
      </c>
      <c r="BL444" t="e">
        <f>'Latin America and Caribbean'!D364+"n/&gt;!5G&lt;"</f>
        <v>#VALUE!</v>
      </c>
      <c r="BM444" t="e">
        <f>'Latin America and Caribbean'!E364+"n/&gt;!5G="</f>
        <v>#VALUE!</v>
      </c>
      <c r="BN444" t="e">
        <f>'Latin America and Caribbean'!F364+"n/&gt;!5G&gt;"</f>
        <v>#VALUE!</v>
      </c>
      <c r="BO444" t="e">
        <f>'Latin America and Caribbean'!G364+"n/&gt;!5G?"</f>
        <v>#VALUE!</v>
      </c>
      <c r="BP444" t="e">
        <f>'Latin America and Caribbean'!H364+"n/&gt;!5G@"</f>
        <v>#VALUE!</v>
      </c>
      <c r="BQ444" t="e">
        <f>'Latin America and Caribbean'!I364+"n/&gt;!5GA"</f>
        <v>#VALUE!</v>
      </c>
      <c r="BR444" t="e">
        <f>'Latin America and Caribbean'!A365+"n/&gt;!5GB"</f>
        <v>#VALUE!</v>
      </c>
      <c r="BS444" t="e">
        <f>'Latin America and Caribbean'!B365+"n/&gt;!5GC"</f>
        <v>#VALUE!</v>
      </c>
      <c r="BT444" t="e">
        <f>'Latin America and Caribbean'!C365+"n/&gt;!5GD"</f>
        <v>#VALUE!</v>
      </c>
      <c r="BU444" t="e">
        <f>'Latin America and Caribbean'!D365+"n/&gt;!5GE"</f>
        <v>#VALUE!</v>
      </c>
      <c r="BV444" t="e">
        <f>'Latin America and Caribbean'!E365+"n/&gt;!5GF"</f>
        <v>#VALUE!</v>
      </c>
      <c r="BW444" t="e">
        <f>'Latin America and Caribbean'!F365+"n/&gt;!5GG"</f>
        <v>#VALUE!</v>
      </c>
      <c r="BX444" t="e">
        <f>'Latin America and Caribbean'!G365+"n/&gt;!5GH"</f>
        <v>#VALUE!</v>
      </c>
      <c r="BY444" t="e">
        <f>'Latin America and Caribbean'!H365+"n/&gt;!5GI"</f>
        <v>#VALUE!</v>
      </c>
      <c r="BZ444" t="e">
        <f>'Latin America and Caribbean'!I365+"n/&gt;!5GJ"</f>
        <v>#VALUE!</v>
      </c>
      <c r="CA444" t="e">
        <f>'Latin America and Caribbean'!A366+"n/&gt;!5GK"</f>
        <v>#VALUE!</v>
      </c>
      <c r="CB444" t="e">
        <f>'Latin America and Caribbean'!B366+"n/&gt;!5GL"</f>
        <v>#VALUE!</v>
      </c>
      <c r="CC444" t="e">
        <f>'Latin America and Caribbean'!C366+"n/&gt;!5GM"</f>
        <v>#VALUE!</v>
      </c>
      <c r="CD444" t="e">
        <f>'Latin America and Caribbean'!D366+"n/&gt;!5GN"</f>
        <v>#VALUE!</v>
      </c>
      <c r="CE444" t="e">
        <f>'Latin America and Caribbean'!E366+"n/&gt;!5GO"</f>
        <v>#VALUE!</v>
      </c>
      <c r="CF444" t="e">
        <f>'Latin America and Caribbean'!F366+"n/&gt;!5GP"</f>
        <v>#VALUE!</v>
      </c>
      <c r="CG444" t="e">
        <f>'Latin America and Caribbean'!G366+"n/&gt;!5GQ"</f>
        <v>#VALUE!</v>
      </c>
      <c r="CH444" t="e">
        <f>'Latin America and Caribbean'!H366+"n/&gt;!5GR"</f>
        <v>#VALUE!</v>
      </c>
      <c r="CI444" t="e">
        <f>'Latin America and Caribbean'!I366+"n/&gt;!5GS"</f>
        <v>#VALUE!</v>
      </c>
      <c r="CJ444" t="e">
        <f>'Latin America and Caribbean'!A367+"n/&gt;!5GT"</f>
        <v>#VALUE!</v>
      </c>
      <c r="CK444" t="e">
        <f>'Latin America and Caribbean'!B367+"n/&gt;!5GU"</f>
        <v>#VALUE!</v>
      </c>
      <c r="CL444" t="e">
        <f>'Latin America and Caribbean'!C367+"n/&gt;!5GV"</f>
        <v>#VALUE!</v>
      </c>
      <c r="CM444" t="e">
        <f>'Latin America and Caribbean'!D367+"n/&gt;!5GW"</f>
        <v>#VALUE!</v>
      </c>
      <c r="CN444" t="e">
        <f>'Latin America and Caribbean'!E367+"n/&gt;!5GX"</f>
        <v>#VALUE!</v>
      </c>
      <c r="CO444" t="e">
        <f>'Latin America and Caribbean'!F367+"n/&gt;!5GY"</f>
        <v>#VALUE!</v>
      </c>
      <c r="CP444" t="e">
        <f>'Latin America and Caribbean'!G367+"n/&gt;!5GZ"</f>
        <v>#VALUE!</v>
      </c>
      <c r="CQ444" t="e">
        <f>'Latin America and Caribbean'!H367+"n/&gt;!5G["</f>
        <v>#VALUE!</v>
      </c>
      <c r="CR444" t="e">
        <f>'Latin America and Caribbean'!A368+"n/&gt;!5G\"</f>
        <v>#VALUE!</v>
      </c>
      <c r="CS444" t="e">
        <f>'Latin America and Caribbean'!B368+"n/&gt;!5G]"</f>
        <v>#VALUE!</v>
      </c>
      <c r="CT444" t="e">
        <f>'Latin America and Caribbean'!C368+"n/&gt;!5G^"</f>
        <v>#VALUE!</v>
      </c>
      <c r="CU444" t="e">
        <f>'Latin America and Caribbean'!D368+"n/&gt;!5G_"</f>
        <v>#VALUE!</v>
      </c>
      <c r="CV444" t="e">
        <f>'Latin America and Caribbean'!E368+"n/&gt;!5G`"</f>
        <v>#VALUE!</v>
      </c>
      <c r="CW444" t="e">
        <f>'Latin America and Caribbean'!F368+"n/&gt;!5Ga"</f>
        <v>#VALUE!</v>
      </c>
      <c r="CX444" t="e">
        <f>'Latin America and Caribbean'!G368+"n/&gt;!5Gb"</f>
        <v>#VALUE!</v>
      </c>
      <c r="CY444" t="e">
        <f>'Latin America and Caribbean'!H368+"n/&gt;!5Gc"</f>
        <v>#VALUE!</v>
      </c>
      <c r="CZ444" t="e">
        <f>'Latin America and Caribbean'!I368+"n/&gt;!5Gd"</f>
        <v>#VALUE!</v>
      </c>
      <c r="DA444" t="e">
        <f>'Latin America and Caribbean'!A369+"n/&gt;!5Ge"</f>
        <v>#VALUE!</v>
      </c>
      <c r="DB444" t="e">
        <f>'Latin America and Caribbean'!B369+"n/&gt;!5Gf"</f>
        <v>#VALUE!</v>
      </c>
      <c r="DC444" t="e">
        <f>'Latin America and Caribbean'!C369+"n/&gt;!5Gg"</f>
        <v>#VALUE!</v>
      </c>
      <c r="DD444" t="e">
        <f>'Latin America and Caribbean'!D369+"n/&gt;!5Gh"</f>
        <v>#VALUE!</v>
      </c>
      <c r="DE444" t="e">
        <f>'Latin America and Caribbean'!E369+"n/&gt;!5Gi"</f>
        <v>#VALUE!</v>
      </c>
      <c r="DF444" t="e">
        <f>'Latin America and Caribbean'!F369+"n/&gt;!5Gj"</f>
        <v>#VALUE!</v>
      </c>
      <c r="DG444" t="e">
        <f>'Latin America and Caribbean'!G369+"n/&gt;!5Gk"</f>
        <v>#VALUE!</v>
      </c>
      <c r="DH444" t="e">
        <f>'Latin America and Caribbean'!H369+"n/&gt;!5Gl"</f>
        <v>#VALUE!</v>
      </c>
      <c r="DI444" t="e">
        <f>'Latin America and Caribbean'!I369+"n/&gt;!5Gm"</f>
        <v>#VALUE!</v>
      </c>
      <c r="DJ444" t="e">
        <f>'Latin America and Caribbean'!A370+"n/&gt;!5Gn"</f>
        <v>#VALUE!</v>
      </c>
      <c r="DK444" t="e">
        <f>'Latin America and Caribbean'!B370+"n/&gt;!5Go"</f>
        <v>#VALUE!</v>
      </c>
      <c r="DL444" t="e">
        <f>'Latin America and Caribbean'!C370+"n/&gt;!5Gp"</f>
        <v>#VALUE!</v>
      </c>
      <c r="DM444" t="e">
        <f>'Latin America and Caribbean'!D370+"n/&gt;!5Gq"</f>
        <v>#VALUE!</v>
      </c>
      <c r="DN444" t="e">
        <f>'Latin America and Caribbean'!E370+"n/&gt;!5Gr"</f>
        <v>#VALUE!</v>
      </c>
      <c r="DO444" t="e">
        <f>'Latin America and Caribbean'!F370+"n/&gt;!5Gs"</f>
        <v>#VALUE!</v>
      </c>
      <c r="DP444" t="e">
        <f>'Latin America and Caribbean'!G370+"n/&gt;!5Gt"</f>
        <v>#VALUE!</v>
      </c>
      <c r="DQ444" t="e">
        <f>'Latin America and Caribbean'!H370+"n/&gt;!5Gu"</f>
        <v>#VALUE!</v>
      </c>
      <c r="DR444" t="e">
        <f>'Latin America and Caribbean'!I370+"n/&gt;!5Gv"</f>
        <v>#VALUE!</v>
      </c>
      <c r="DS444" t="e">
        <f>'Latin America and Caribbean'!A371+"n/&gt;!5Gw"</f>
        <v>#VALUE!</v>
      </c>
      <c r="DT444" t="e">
        <f>'Latin America and Caribbean'!B371+"n/&gt;!5Gx"</f>
        <v>#VALUE!</v>
      </c>
      <c r="DU444" t="e">
        <f>'Latin America and Caribbean'!C371+"n/&gt;!5Gy"</f>
        <v>#VALUE!</v>
      </c>
      <c r="DV444" t="e">
        <f>'Latin America and Caribbean'!D371+"n/&gt;!5Gz"</f>
        <v>#VALUE!</v>
      </c>
      <c r="DW444" t="e">
        <f>'Latin America and Caribbean'!E371+"n/&gt;!5G{"</f>
        <v>#VALUE!</v>
      </c>
      <c r="DX444" t="e">
        <f>'Latin America and Caribbean'!F371+"n/&gt;!5G|"</f>
        <v>#VALUE!</v>
      </c>
      <c r="DY444" t="e">
        <f>'Latin America and Caribbean'!G371+"n/&gt;!5G}"</f>
        <v>#VALUE!</v>
      </c>
      <c r="DZ444" t="e">
        <f>'Latin America and Caribbean'!H371+"n/&gt;!5G~"</f>
        <v>#VALUE!</v>
      </c>
      <c r="EA444" t="e">
        <f>'Latin America and Caribbean'!I371+"n/&gt;!5H#"</f>
        <v>#VALUE!</v>
      </c>
      <c r="EB444" t="e">
        <f>'Latin America and Caribbean'!A372+"n/&gt;!5H$"</f>
        <v>#VALUE!</v>
      </c>
      <c r="EC444" t="e">
        <f>'Latin America and Caribbean'!B372+"n/&gt;!5H%"</f>
        <v>#VALUE!</v>
      </c>
      <c r="ED444" t="e">
        <f>'Latin America and Caribbean'!C372+"n/&gt;!5H&amp;"</f>
        <v>#VALUE!</v>
      </c>
      <c r="EE444" t="e">
        <f>'Latin America and Caribbean'!D372+"n/&gt;!5H'"</f>
        <v>#VALUE!</v>
      </c>
      <c r="EF444" t="e">
        <f>'Latin America and Caribbean'!E372+"n/&gt;!5H("</f>
        <v>#VALUE!</v>
      </c>
      <c r="EG444" t="e">
        <f>'Latin America and Caribbean'!F372+"n/&gt;!5H)"</f>
        <v>#VALUE!</v>
      </c>
      <c r="EH444" t="e">
        <f>'Latin America and Caribbean'!G372+"n/&gt;!5H."</f>
        <v>#VALUE!</v>
      </c>
      <c r="EI444" t="e">
        <f>'Latin America and Caribbean'!H372+"n/&gt;!5H/"</f>
        <v>#VALUE!</v>
      </c>
      <c r="EJ444" t="e">
        <f>'Latin America and Caribbean'!I372+"n/&gt;!5H0"</f>
        <v>#VALUE!</v>
      </c>
      <c r="EK444" t="e">
        <f>'Latin America and Caribbean'!A373+"n/&gt;!5H1"</f>
        <v>#VALUE!</v>
      </c>
      <c r="EL444" t="e">
        <f>'Latin America and Caribbean'!B373+"n/&gt;!5H2"</f>
        <v>#VALUE!</v>
      </c>
      <c r="EM444" t="e">
        <f>'Latin America and Caribbean'!C373+"n/&gt;!5H3"</f>
        <v>#VALUE!</v>
      </c>
      <c r="EN444" t="e">
        <f>'Latin America and Caribbean'!D373+"n/&gt;!5H4"</f>
        <v>#VALUE!</v>
      </c>
      <c r="EO444" t="e">
        <f>'Latin America and Caribbean'!E373+"n/&gt;!5H5"</f>
        <v>#VALUE!</v>
      </c>
      <c r="EP444" t="e">
        <f>'Latin America and Caribbean'!F373+"n/&gt;!5H6"</f>
        <v>#VALUE!</v>
      </c>
      <c r="EQ444" t="e">
        <f>'Latin America and Caribbean'!G373+"n/&gt;!5H7"</f>
        <v>#VALUE!</v>
      </c>
      <c r="ER444" t="e">
        <f>'Latin America and Caribbean'!H373+"n/&gt;!5H8"</f>
        <v>#VALUE!</v>
      </c>
      <c r="ES444" t="e">
        <f>'Latin America and Caribbean'!I373+"n/&gt;!5H9"</f>
        <v>#VALUE!</v>
      </c>
      <c r="ET444" t="e">
        <f>'Latin America and Caribbean'!A374+"n/&gt;!5H:"</f>
        <v>#VALUE!</v>
      </c>
      <c r="EU444" t="e">
        <f>'Latin America and Caribbean'!B374+"n/&gt;!5H;"</f>
        <v>#VALUE!</v>
      </c>
      <c r="EV444" t="e">
        <f>'Latin America and Caribbean'!C374+"n/&gt;!5H&lt;"</f>
        <v>#VALUE!</v>
      </c>
      <c r="EW444" t="e">
        <f>'Latin America and Caribbean'!D374+"n/&gt;!5H="</f>
        <v>#VALUE!</v>
      </c>
      <c r="EX444" t="e">
        <f>'Latin America and Caribbean'!E374+"n/&gt;!5H&gt;"</f>
        <v>#VALUE!</v>
      </c>
      <c r="EY444" t="e">
        <f>'Latin America and Caribbean'!F374+"n/&gt;!5H?"</f>
        <v>#VALUE!</v>
      </c>
      <c r="EZ444" t="e">
        <f>'Latin America and Caribbean'!G374+"n/&gt;!5H@"</f>
        <v>#VALUE!</v>
      </c>
      <c r="FA444" t="e">
        <f>'Latin America and Caribbean'!H374+"n/&gt;!5HA"</f>
        <v>#VALUE!</v>
      </c>
      <c r="FB444" t="e">
        <f>'Latin America and Caribbean'!I374+"n/&gt;!5HB"</f>
        <v>#VALUE!</v>
      </c>
      <c r="FC444" t="e">
        <f>'Latin America and Caribbean'!A375+"n/&gt;!5HC"</f>
        <v>#VALUE!</v>
      </c>
      <c r="FD444" t="e">
        <f>'Latin America and Caribbean'!B375+"n/&gt;!5HD"</f>
        <v>#VALUE!</v>
      </c>
      <c r="FE444" t="e">
        <f>'Latin America and Caribbean'!C375+"n/&gt;!5HE"</f>
        <v>#VALUE!</v>
      </c>
      <c r="FF444" t="e">
        <f>'Latin America and Caribbean'!D375+"n/&gt;!5HF"</f>
        <v>#VALUE!</v>
      </c>
      <c r="FG444" t="e">
        <f>'Latin America and Caribbean'!E375+"n/&gt;!5HG"</f>
        <v>#VALUE!</v>
      </c>
      <c r="FH444" t="e">
        <f>'Latin America and Caribbean'!F375+"n/&gt;!5HH"</f>
        <v>#VALUE!</v>
      </c>
      <c r="FI444" t="e">
        <f>'Latin America and Caribbean'!G375+"n/&gt;!5HI"</f>
        <v>#VALUE!</v>
      </c>
      <c r="FJ444" t="e">
        <f>'Latin America and Caribbean'!H375+"n/&gt;!5HJ"</f>
        <v>#VALUE!</v>
      </c>
      <c r="FK444" t="e">
        <f>'Latin America and Caribbean'!I375+"n/&gt;!5HK"</f>
        <v>#VALUE!</v>
      </c>
      <c r="FL444" t="e">
        <f>'Latin America and Caribbean'!A376+"n/&gt;!5HL"</f>
        <v>#VALUE!</v>
      </c>
      <c r="FM444" t="e">
        <f>'Latin America and Caribbean'!B376+"n/&gt;!5HM"</f>
        <v>#VALUE!</v>
      </c>
      <c r="FN444" t="e">
        <f>'Latin America and Caribbean'!C376+"n/&gt;!5HN"</f>
        <v>#VALUE!</v>
      </c>
      <c r="FO444" t="e">
        <f>'Latin America and Caribbean'!D376+"n/&gt;!5HO"</f>
        <v>#VALUE!</v>
      </c>
      <c r="FP444" t="e">
        <f>'Latin America and Caribbean'!E376+"n/&gt;!5HP"</f>
        <v>#VALUE!</v>
      </c>
      <c r="FQ444" t="e">
        <f>'Latin America and Caribbean'!F376+"n/&gt;!5HQ"</f>
        <v>#VALUE!</v>
      </c>
      <c r="FR444" t="e">
        <f>'Latin America and Caribbean'!G376+"n/&gt;!5HR"</f>
        <v>#VALUE!</v>
      </c>
      <c r="FS444" t="e">
        <f>'Latin America and Caribbean'!H376+"n/&gt;!5HS"</f>
        <v>#VALUE!</v>
      </c>
      <c r="FT444" t="e">
        <f>'Latin America and Caribbean'!I376+"n/&gt;!5HT"</f>
        <v>#VALUE!</v>
      </c>
      <c r="FU444" t="e">
        <f>'Latin America and Caribbean'!A377+"n/&gt;!5HU"</f>
        <v>#VALUE!</v>
      </c>
      <c r="FV444" t="e">
        <f>'Latin America and Caribbean'!B377+"n/&gt;!5HV"</f>
        <v>#VALUE!</v>
      </c>
      <c r="FW444" t="e">
        <f>'Latin America and Caribbean'!C377+"n/&gt;!5HW"</f>
        <v>#VALUE!</v>
      </c>
      <c r="FX444" t="e">
        <f>'Latin America and Caribbean'!D377+"n/&gt;!5HX"</f>
        <v>#VALUE!</v>
      </c>
      <c r="FY444" t="e">
        <f>'Latin America and Caribbean'!E377+"n/&gt;!5HY"</f>
        <v>#VALUE!</v>
      </c>
      <c r="FZ444" t="e">
        <f>'Latin America and Caribbean'!F377+"n/&gt;!5HZ"</f>
        <v>#VALUE!</v>
      </c>
      <c r="GA444" t="e">
        <f>'Latin America and Caribbean'!G377+"n/&gt;!5H["</f>
        <v>#VALUE!</v>
      </c>
      <c r="GB444" t="e">
        <f>'Latin America and Caribbean'!H377+"n/&gt;!5H\"</f>
        <v>#VALUE!</v>
      </c>
      <c r="GC444" t="e">
        <f>'Latin America and Caribbean'!I377+"n/&gt;!5H]"</f>
        <v>#VALUE!</v>
      </c>
      <c r="GD444" t="e">
        <f>'Latin America and Caribbean'!A378+"n/&gt;!5H^"</f>
        <v>#VALUE!</v>
      </c>
      <c r="GE444" t="e">
        <f>'Latin America and Caribbean'!B378+"n/&gt;!5H_"</f>
        <v>#VALUE!</v>
      </c>
      <c r="GF444" t="e">
        <f>'Latin America and Caribbean'!C378+"n/&gt;!5H`"</f>
        <v>#VALUE!</v>
      </c>
      <c r="GG444" t="e">
        <f>'Latin America and Caribbean'!D378+"n/&gt;!5Ha"</f>
        <v>#VALUE!</v>
      </c>
      <c r="GH444" t="e">
        <f>'Latin America and Caribbean'!E378+"n/&gt;!5Hb"</f>
        <v>#VALUE!</v>
      </c>
      <c r="GI444" t="e">
        <f>'Latin America and Caribbean'!F378+"n/&gt;!5Hc"</f>
        <v>#VALUE!</v>
      </c>
      <c r="GJ444" t="e">
        <f>'Latin America and Caribbean'!G378+"n/&gt;!5Hd"</f>
        <v>#VALUE!</v>
      </c>
      <c r="GK444" t="e">
        <f>'Latin America and Caribbean'!H378+"n/&gt;!5He"</f>
        <v>#VALUE!</v>
      </c>
      <c r="GL444" t="e">
        <f>'Latin America and Caribbean'!I378+"n/&gt;!5Hf"</f>
        <v>#VALUE!</v>
      </c>
      <c r="GM444" t="e">
        <f>'Latin America and Caribbean'!A379+"n/&gt;!5Hg"</f>
        <v>#VALUE!</v>
      </c>
      <c r="GN444" t="e">
        <f>'Latin America and Caribbean'!B379+"n/&gt;!5Hh"</f>
        <v>#VALUE!</v>
      </c>
      <c r="GO444" t="e">
        <f>'Latin America and Caribbean'!C379+"n/&gt;!5Hi"</f>
        <v>#VALUE!</v>
      </c>
      <c r="GP444" t="e">
        <f>'Latin America and Caribbean'!D379+"n/&gt;!5Hj"</f>
        <v>#VALUE!</v>
      </c>
      <c r="GQ444" t="e">
        <f>'Latin America and Caribbean'!E379+"n/&gt;!5Hk"</f>
        <v>#VALUE!</v>
      </c>
      <c r="GR444" t="e">
        <f>'Latin America and Caribbean'!F379+"n/&gt;!5Hl"</f>
        <v>#VALUE!</v>
      </c>
      <c r="GS444" t="e">
        <f>'Latin America and Caribbean'!G379+"n/&gt;!5Hm"</f>
        <v>#VALUE!</v>
      </c>
      <c r="GT444" t="e">
        <f>'Latin America and Caribbean'!H379+"n/&gt;!5Hn"</f>
        <v>#VALUE!</v>
      </c>
      <c r="GU444" t="e">
        <f>'Latin America and Caribbean'!I379+"n/&gt;!5Ho"</f>
        <v>#VALUE!</v>
      </c>
      <c r="GV444" t="e">
        <f>'Latin America and Caribbean'!A380+"n/&gt;!5Hp"</f>
        <v>#VALUE!</v>
      </c>
      <c r="GW444" t="e">
        <f>'Latin America and Caribbean'!B380+"n/&gt;!5Hq"</f>
        <v>#VALUE!</v>
      </c>
      <c r="GX444" t="e">
        <f>'Latin America and Caribbean'!C380+"n/&gt;!5Hr"</f>
        <v>#VALUE!</v>
      </c>
      <c r="GY444" t="e">
        <f>'Latin America and Caribbean'!D380+"n/&gt;!5Hs"</f>
        <v>#VALUE!</v>
      </c>
      <c r="GZ444" t="e">
        <f>'Latin America and Caribbean'!E380+"n/&gt;!5Ht"</f>
        <v>#VALUE!</v>
      </c>
      <c r="HA444" t="e">
        <f>'Latin America and Caribbean'!F380+"n/&gt;!5Hu"</f>
        <v>#VALUE!</v>
      </c>
      <c r="HB444" t="e">
        <f>'Latin America and Caribbean'!G380+"n/&gt;!5Hv"</f>
        <v>#VALUE!</v>
      </c>
      <c r="HC444" t="e">
        <f>'Latin America and Caribbean'!H380+"n/&gt;!5Hw"</f>
        <v>#VALUE!</v>
      </c>
      <c r="HD444" t="e">
        <f>'Latin America and Caribbean'!I380+"n/&gt;!5Hx"</f>
        <v>#VALUE!</v>
      </c>
      <c r="HE444" t="e">
        <f>'Latin America and Caribbean'!A381+"n/&gt;!5Hy"</f>
        <v>#VALUE!</v>
      </c>
      <c r="HF444" t="e">
        <f>'Latin America and Caribbean'!B381+"n/&gt;!5Hz"</f>
        <v>#VALUE!</v>
      </c>
      <c r="HG444" t="e">
        <f>'Latin America and Caribbean'!C381+"n/&gt;!5H{"</f>
        <v>#VALUE!</v>
      </c>
      <c r="HH444" t="e">
        <f>'Latin America and Caribbean'!D381+"n/&gt;!5H|"</f>
        <v>#VALUE!</v>
      </c>
      <c r="HI444" t="e">
        <f>'Latin America and Caribbean'!E381+"n/&gt;!5H}"</f>
        <v>#VALUE!</v>
      </c>
      <c r="HJ444" t="e">
        <f>'Latin America and Caribbean'!F381+"n/&gt;!5H~"</f>
        <v>#VALUE!</v>
      </c>
      <c r="HK444" t="e">
        <f>'Latin America and Caribbean'!G381+"n/&gt;!5I#"</f>
        <v>#VALUE!</v>
      </c>
      <c r="HL444" t="e">
        <f>'Latin America and Caribbean'!H381+"n/&gt;!5I$"</f>
        <v>#VALUE!</v>
      </c>
      <c r="HM444" t="e">
        <f>'Latin America and Caribbean'!I381+"n/&gt;!5I%"</f>
        <v>#VALUE!</v>
      </c>
      <c r="HN444" t="e">
        <f>'Latin America and Caribbean'!A382+"n/&gt;!5I&amp;"</f>
        <v>#VALUE!</v>
      </c>
      <c r="HO444" t="e">
        <f>'Latin America and Caribbean'!B382+"n/&gt;!5I'"</f>
        <v>#VALUE!</v>
      </c>
      <c r="HP444" t="e">
        <f>'Latin America and Caribbean'!C382+"n/&gt;!5I("</f>
        <v>#VALUE!</v>
      </c>
      <c r="HQ444" t="e">
        <f>'Latin America and Caribbean'!D382+"n/&gt;!5I)"</f>
        <v>#VALUE!</v>
      </c>
      <c r="HR444" t="e">
        <f>'Latin America and Caribbean'!E382+"n/&gt;!5I."</f>
        <v>#VALUE!</v>
      </c>
      <c r="HS444" t="e">
        <f>'Latin America and Caribbean'!F382+"n/&gt;!5I/"</f>
        <v>#VALUE!</v>
      </c>
      <c r="HT444" t="e">
        <f>'Latin America and Caribbean'!G382+"n/&gt;!5I0"</f>
        <v>#VALUE!</v>
      </c>
      <c r="HU444" t="e">
        <f>'Latin America and Caribbean'!H382+"n/&gt;!5I1"</f>
        <v>#VALUE!</v>
      </c>
      <c r="HV444" t="e">
        <f>'Latin America and Caribbean'!I382+"n/&gt;!5I2"</f>
        <v>#VALUE!</v>
      </c>
      <c r="HW444" t="e">
        <f>'Latin America and Caribbean'!A383+"n/&gt;!5I3"</f>
        <v>#VALUE!</v>
      </c>
      <c r="HX444" t="e">
        <f>'Latin America and Caribbean'!B383+"n/&gt;!5I4"</f>
        <v>#VALUE!</v>
      </c>
      <c r="HY444" t="e">
        <f>'Latin America and Caribbean'!C383+"n/&gt;!5I5"</f>
        <v>#VALUE!</v>
      </c>
      <c r="HZ444" t="e">
        <f>'Latin America and Caribbean'!D383+"n/&gt;!5I6"</f>
        <v>#VALUE!</v>
      </c>
      <c r="IA444" t="e">
        <f>'Latin America and Caribbean'!E383+"n/&gt;!5I7"</f>
        <v>#VALUE!</v>
      </c>
      <c r="IB444" t="e">
        <f>'Latin America and Caribbean'!F383+"n/&gt;!5I8"</f>
        <v>#VALUE!</v>
      </c>
      <c r="IC444" t="e">
        <f>'Latin America and Caribbean'!G383+"n/&gt;!5I9"</f>
        <v>#VALUE!</v>
      </c>
      <c r="ID444" t="e">
        <f>'Latin America and Caribbean'!H383+"n/&gt;!5I:"</f>
        <v>#VALUE!</v>
      </c>
      <c r="IE444" t="e">
        <f>'Latin America and Caribbean'!I383+"n/&gt;!5I;"</f>
        <v>#VALUE!</v>
      </c>
      <c r="IF444" t="e">
        <f>'Latin America and Caribbean'!A384+"n/&gt;!5I&lt;"</f>
        <v>#VALUE!</v>
      </c>
      <c r="IG444" t="e">
        <f>'Latin America and Caribbean'!B384+"n/&gt;!5I="</f>
        <v>#VALUE!</v>
      </c>
      <c r="IH444" t="e">
        <f>'Latin America and Caribbean'!C384+"n/&gt;!5I&gt;"</f>
        <v>#VALUE!</v>
      </c>
      <c r="II444" t="e">
        <f>'Latin America and Caribbean'!D384+"n/&gt;!5I?"</f>
        <v>#VALUE!</v>
      </c>
      <c r="IJ444" t="e">
        <f>'Latin America and Caribbean'!E384+"n/&gt;!5I@"</f>
        <v>#VALUE!</v>
      </c>
      <c r="IK444" t="e">
        <f>'Latin America and Caribbean'!F384+"n/&gt;!5IA"</f>
        <v>#VALUE!</v>
      </c>
      <c r="IL444" t="e">
        <f>'Latin America and Caribbean'!G384+"n/&gt;!5IB"</f>
        <v>#VALUE!</v>
      </c>
      <c r="IM444" t="e">
        <f>'Latin America and Caribbean'!H384+"n/&gt;!5IC"</f>
        <v>#VALUE!</v>
      </c>
      <c r="IN444" t="e">
        <f>'Latin America and Caribbean'!I384+"n/&gt;!5ID"</f>
        <v>#VALUE!</v>
      </c>
      <c r="IO444" t="e">
        <f>'Latin America and Caribbean'!A385+"n/&gt;!5IE"</f>
        <v>#VALUE!</v>
      </c>
      <c r="IP444" t="e">
        <f>'Latin America and Caribbean'!B385+"n/&gt;!5IF"</f>
        <v>#VALUE!</v>
      </c>
      <c r="IQ444" t="e">
        <f>'Latin America and Caribbean'!C385+"n/&gt;!5IG"</f>
        <v>#VALUE!</v>
      </c>
      <c r="IR444" t="e">
        <f>'Latin America and Caribbean'!D385+"n/&gt;!5IH"</f>
        <v>#VALUE!</v>
      </c>
      <c r="IS444" t="e">
        <f>'Latin America and Caribbean'!E385+"n/&gt;!5II"</f>
        <v>#VALUE!</v>
      </c>
      <c r="IT444" t="e">
        <f>'Latin America and Caribbean'!F385+"n/&gt;!5IJ"</f>
        <v>#VALUE!</v>
      </c>
      <c r="IU444" t="e">
        <f>'Latin America and Caribbean'!G385+"n/&gt;!5IK"</f>
        <v>#VALUE!</v>
      </c>
      <c r="IV444" t="e">
        <f>'Latin America and Caribbean'!H385+"n/&gt;!5IL"</f>
        <v>#VALUE!</v>
      </c>
    </row>
    <row r="445" spans="6:256" x14ac:dyDescent="0.35">
      <c r="F445" t="e">
        <f>'Latin America and Caribbean'!I385+"n/&gt;!5IM"</f>
        <v>#VALUE!</v>
      </c>
      <c r="G445" t="e">
        <f>'Latin America and Caribbean'!A386+"n/&gt;!5IN"</f>
        <v>#VALUE!</v>
      </c>
      <c r="H445" t="e">
        <f>'Latin America and Caribbean'!B386+"n/&gt;!5IO"</f>
        <v>#VALUE!</v>
      </c>
      <c r="I445" t="e">
        <f>'Latin America and Caribbean'!C386+"n/&gt;!5IP"</f>
        <v>#VALUE!</v>
      </c>
      <c r="J445" t="e">
        <f>'Latin America and Caribbean'!D386+"n/&gt;!5IQ"</f>
        <v>#VALUE!</v>
      </c>
      <c r="K445" t="e">
        <f>'Latin America and Caribbean'!E386+"n/&gt;!5IR"</f>
        <v>#VALUE!</v>
      </c>
      <c r="L445" t="e">
        <f>'Latin America and Caribbean'!F386+"n/&gt;!5IS"</f>
        <v>#VALUE!</v>
      </c>
      <c r="M445" t="e">
        <f>'Latin America and Caribbean'!G386+"n/&gt;!5IT"</f>
        <v>#VALUE!</v>
      </c>
      <c r="N445" t="e">
        <f>'Latin America and Caribbean'!H386+"n/&gt;!5IU"</f>
        <v>#VALUE!</v>
      </c>
      <c r="O445" t="e">
        <f>'Latin America and Caribbean'!I386+"n/&gt;!5IV"</f>
        <v>#VALUE!</v>
      </c>
      <c r="P445" t="e">
        <f>'Latin America and Caribbean'!A387+"n/&gt;!5IW"</f>
        <v>#VALUE!</v>
      </c>
      <c r="Q445" t="e">
        <f>'Latin America and Caribbean'!B387+"n/&gt;!5IX"</f>
        <v>#VALUE!</v>
      </c>
      <c r="R445" t="e">
        <f>'Latin America and Caribbean'!C387+"n/&gt;!5IY"</f>
        <v>#VALUE!</v>
      </c>
      <c r="S445" t="e">
        <f>'Latin America and Caribbean'!D387+"n/&gt;!5IZ"</f>
        <v>#VALUE!</v>
      </c>
      <c r="T445" t="e">
        <f>'Latin America and Caribbean'!E387+"n/&gt;!5I["</f>
        <v>#VALUE!</v>
      </c>
      <c r="U445" t="e">
        <f>'Latin America and Caribbean'!F387+"n/&gt;!5I\"</f>
        <v>#VALUE!</v>
      </c>
      <c r="V445" t="e">
        <f>'Latin America and Caribbean'!G387+"n/&gt;!5I]"</f>
        <v>#VALUE!</v>
      </c>
      <c r="W445" t="e">
        <f>'Latin America and Caribbean'!H387+"n/&gt;!5I^"</f>
        <v>#VALUE!</v>
      </c>
      <c r="X445" t="e">
        <f>'Latin America and Caribbean'!I387+"n/&gt;!5I_"</f>
        <v>#VALUE!</v>
      </c>
      <c r="Y445" t="e">
        <f>'Latin America and Caribbean'!A388+"n/&gt;!5I`"</f>
        <v>#VALUE!</v>
      </c>
      <c r="Z445" t="e">
        <f>'Latin America and Caribbean'!B388+"n/&gt;!5Ia"</f>
        <v>#VALUE!</v>
      </c>
      <c r="AA445" t="e">
        <f>'Latin America and Caribbean'!C388+"n/&gt;!5Ib"</f>
        <v>#VALUE!</v>
      </c>
      <c r="AB445" t="e">
        <f>'Latin America and Caribbean'!D388+"n/&gt;!5Ic"</f>
        <v>#VALUE!</v>
      </c>
      <c r="AC445" t="e">
        <f>'Latin America and Caribbean'!E388+"n/&gt;!5Id"</f>
        <v>#VALUE!</v>
      </c>
      <c r="AD445" t="e">
        <f>'Latin America and Caribbean'!F388+"n/&gt;!5Ie"</f>
        <v>#VALUE!</v>
      </c>
      <c r="AE445" t="e">
        <f>'Latin America and Caribbean'!G388+"n/&gt;!5If"</f>
        <v>#VALUE!</v>
      </c>
      <c r="AF445" t="e">
        <f>'Latin America and Caribbean'!H388+"n/&gt;!5Ig"</f>
        <v>#VALUE!</v>
      </c>
      <c r="AG445" t="e">
        <f>'Latin America and Caribbean'!I388+"n/&gt;!5Ih"</f>
        <v>#VALUE!</v>
      </c>
      <c r="AH445" t="e">
        <f>'Latin America and Caribbean'!A389+"n/&gt;!5Ii"</f>
        <v>#VALUE!</v>
      </c>
      <c r="AI445" t="e">
        <f>'Latin America and Caribbean'!B389+"n/&gt;!5Ij"</f>
        <v>#VALUE!</v>
      </c>
      <c r="AJ445" t="e">
        <f>'Latin America and Caribbean'!C389+"n/&gt;!5Ik"</f>
        <v>#VALUE!</v>
      </c>
      <c r="AK445" t="e">
        <f>'Latin America and Caribbean'!D389+"n/&gt;!5Il"</f>
        <v>#VALUE!</v>
      </c>
      <c r="AL445" t="e">
        <f>'Latin America and Caribbean'!E389+"n/&gt;!5Im"</f>
        <v>#VALUE!</v>
      </c>
      <c r="AM445" t="e">
        <f>'Latin America and Caribbean'!F389+"n/&gt;!5In"</f>
        <v>#VALUE!</v>
      </c>
      <c r="AN445" t="e">
        <f>'Latin America and Caribbean'!G389+"n/&gt;!5Io"</f>
        <v>#VALUE!</v>
      </c>
      <c r="AO445" t="e">
        <f>'Latin America and Caribbean'!H389+"n/&gt;!5Ip"</f>
        <v>#VALUE!</v>
      </c>
      <c r="AP445" t="e">
        <f>'Latin America and Caribbean'!I389+"n/&gt;!5Iq"</f>
        <v>#VALUE!</v>
      </c>
      <c r="AQ445" t="e">
        <f>'Latin America and Caribbean'!A390+"n/&gt;!5Ir"</f>
        <v>#VALUE!</v>
      </c>
      <c r="AR445" t="e">
        <f>'Latin America and Caribbean'!B390+"n/&gt;!5Is"</f>
        <v>#VALUE!</v>
      </c>
      <c r="AS445" t="e">
        <f>'Latin America and Caribbean'!C390+"n/&gt;!5It"</f>
        <v>#VALUE!</v>
      </c>
      <c r="AT445" t="e">
        <f>'Latin America and Caribbean'!D390+"n/&gt;!5Iu"</f>
        <v>#VALUE!</v>
      </c>
      <c r="AU445" t="e">
        <f>'Latin America and Caribbean'!E390+"n/&gt;!5Iv"</f>
        <v>#VALUE!</v>
      </c>
      <c r="AV445" t="e">
        <f>'Latin America and Caribbean'!F390+"n/&gt;!5Iw"</f>
        <v>#VALUE!</v>
      </c>
      <c r="AW445" t="e">
        <f>'Latin America and Caribbean'!G390+"n/&gt;!5Ix"</f>
        <v>#VALUE!</v>
      </c>
      <c r="AX445" t="e">
        <f>'Latin America and Caribbean'!H390+"n/&gt;!5Iy"</f>
        <v>#VALUE!</v>
      </c>
      <c r="AY445" t="e">
        <f>'Latin America and Caribbean'!I390+"n/&gt;!5Iz"</f>
        <v>#VALUE!</v>
      </c>
      <c r="AZ445" t="e">
        <f>'Latin America and Caribbean'!A391+"n/&gt;!5I{"</f>
        <v>#VALUE!</v>
      </c>
      <c r="BA445" t="e">
        <f>'Latin America and Caribbean'!B391+"n/&gt;!5I|"</f>
        <v>#VALUE!</v>
      </c>
      <c r="BB445" t="e">
        <f>'Latin America and Caribbean'!C391+"n/&gt;!5I}"</f>
        <v>#VALUE!</v>
      </c>
      <c r="BC445" t="e">
        <f>'Latin America and Caribbean'!D391+"n/&gt;!5I~"</f>
        <v>#VALUE!</v>
      </c>
      <c r="BD445" t="e">
        <f>'Latin America and Caribbean'!E391+"n/&gt;!5J#"</f>
        <v>#VALUE!</v>
      </c>
      <c r="BE445" t="e">
        <f>'Latin America and Caribbean'!F391+"n/&gt;!5J$"</f>
        <v>#VALUE!</v>
      </c>
      <c r="BF445" t="e">
        <f>'Latin America and Caribbean'!G391+"n/&gt;!5J%"</f>
        <v>#VALUE!</v>
      </c>
      <c r="BG445" t="e">
        <f>'Latin America and Caribbean'!H391+"n/&gt;!5J&amp;"</f>
        <v>#VALUE!</v>
      </c>
      <c r="BH445" t="e">
        <f>'Latin America and Caribbean'!I391+"n/&gt;!5J'"</f>
        <v>#VALUE!</v>
      </c>
      <c r="BI445" t="e">
        <f>'Latin America and Caribbean'!A392+"n/&gt;!5J("</f>
        <v>#VALUE!</v>
      </c>
      <c r="BJ445" t="e">
        <f>'Latin America and Caribbean'!B392+"n/&gt;!5J)"</f>
        <v>#VALUE!</v>
      </c>
      <c r="BK445" t="e">
        <f>'Latin America and Caribbean'!C392+"n/&gt;!5J."</f>
        <v>#VALUE!</v>
      </c>
      <c r="BL445" t="e">
        <f>'Latin America and Caribbean'!D392+"n/&gt;!5J/"</f>
        <v>#VALUE!</v>
      </c>
      <c r="BM445" t="e">
        <f>'Latin America and Caribbean'!E392+"n/&gt;!5J0"</f>
        <v>#VALUE!</v>
      </c>
      <c r="BN445" t="e">
        <f>'Latin America and Caribbean'!F392+"n/&gt;!5J1"</f>
        <v>#VALUE!</v>
      </c>
      <c r="BO445" t="e">
        <f>'Latin America and Caribbean'!G392+"n/&gt;!5J2"</f>
        <v>#VALUE!</v>
      </c>
      <c r="BP445" t="e">
        <f>'Latin America and Caribbean'!H392+"n/&gt;!5J3"</f>
        <v>#VALUE!</v>
      </c>
      <c r="BQ445" t="e">
        <f>'Latin America and Caribbean'!I392+"n/&gt;!5J4"</f>
        <v>#VALUE!</v>
      </c>
      <c r="BR445" t="e">
        <f>'Latin America and Caribbean'!A393+"n/&gt;!5J5"</f>
        <v>#VALUE!</v>
      </c>
      <c r="BS445" t="e">
        <f>'Latin America and Caribbean'!B393+"n/&gt;!5J6"</f>
        <v>#VALUE!</v>
      </c>
      <c r="BT445" t="e">
        <f>'Latin America and Caribbean'!C393+"n/&gt;!5J7"</f>
        <v>#VALUE!</v>
      </c>
      <c r="BU445" t="e">
        <f>'Latin America and Caribbean'!D393+"n/&gt;!5J8"</f>
        <v>#VALUE!</v>
      </c>
      <c r="BV445" t="e">
        <f>'Latin America and Caribbean'!E393+"n/&gt;!5J9"</f>
        <v>#VALUE!</v>
      </c>
      <c r="BW445" t="e">
        <f>'Latin America and Caribbean'!F393+"n/&gt;!5J:"</f>
        <v>#VALUE!</v>
      </c>
      <c r="BX445" t="e">
        <f>'Latin America and Caribbean'!G393+"n/&gt;!5J;"</f>
        <v>#VALUE!</v>
      </c>
      <c r="BY445" t="e">
        <f>'Latin America and Caribbean'!H393+"n/&gt;!5J&lt;"</f>
        <v>#VALUE!</v>
      </c>
      <c r="BZ445" t="e">
        <f>'Latin America and Caribbean'!I393+"n/&gt;!5J="</f>
        <v>#VALUE!</v>
      </c>
      <c r="CA445" t="e">
        <f>'Latin America and Caribbean'!A394+"n/&gt;!5J&gt;"</f>
        <v>#VALUE!</v>
      </c>
      <c r="CB445" t="e">
        <f>'Latin America and Caribbean'!B394+"n/&gt;!5J?"</f>
        <v>#VALUE!</v>
      </c>
      <c r="CC445" t="e">
        <f>'Latin America and Caribbean'!C394+"n/&gt;!5J@"</f>
        <v>#VALUE!</v>
      </c>
      <c r="CD445" t="e">
        <f>'Latin America and Caribbean'!D394+"n/&gt;!5JA"</f>
        <v>#VALUE!</v>
      </c>
      <c r="CE445" t="e">
        <f>'Latin America and Caribbean'!E394+"n/&gt;!5JB"</f>
        <v>#VALUE!</v>
      </c>
      <c r="CF445" t="e">
        <f>'Latin America and Caribbean'!F394+"n/&gt;!5JC"</f>
        <v>#VALUE!</v>
      </c>
      <c r="CG445" t="e">
        <f>'Latin America and Caribbean'!G394+"n/&gt;!5JD"</f>
        <v>#VALUE!</v>
      </c>
      <c r="CH445" t="e">
        <f>'Latin America and Caribbean'!H394+"n/&gt;!5JE"</f>
        <v>#VALUE!</v>
      </c>
      <c r="CI445" t="e">
        <f>'Latin America and Caribbean'!I394+"n/&gt;!5JF"</f>
        <v>#VALUE!</v>
      </c>
      <c r="CJ445" t="e">
        <f>'Latin America and Caribbean'!A395+"n/&gt;!5JG"</f>
        <v>#VALUE!</v>
      </c>
      <c r="CK445" t="e">
        <f>'Latin America and Caribbean'!B395+"n/&gt;!5JH"</f>
        <v>#VALUE!</v>
      </c>
      <c r="CL445" t="e">
        <f>'Latin America and Caribbean'!C395+"n/&gt;!5JI"</f>
        <v>#VALUE!</v>
      </c>
      <c r="CM445" t="e">
        <f>'Latin America and Caribbean'!D395+"n/&gt;!5JJ"</f>
        <v>#VALUE!</v>
      </c>
      <c r="CN445" t="e">
        <f>'Latin America and Caribbean'!E395+"n/&gt;!5JK"</f>
        <v>#VALUE!</v>
      </c>
      <c r="CO445" t="e">
        <f>'Latin America and Caribbean'!F395+"n/&gt;!5JL"</f>
        <v>#VALUE!</v>
      </c>
      <c r="CP445" t="e">
        <f>'Latin America and Caribbean'!G395+"n/&gt;!5JM"</f>
        <v>#VALUE!</v>
      </c>
      <c r="CQ445" t="e">
        <f>'Latin America and Caribbean'!H395+"n/&gt;!5JN"</f>
        <v>#VALUE!</v>
      </c>
      <c r="CR445" t="e">
        <f>'Latin America and Caribbean'!I395+"n/&gt;!5JO"</f>
        <v>#VALUE!</v>
      </c>
      <c r="CS445" t="e">
        <f>'Latin America and Caribbean'!A396+"n/&gt;!5JP"</f>
        <v>#VALUE!</v>
      </c>
      <c r="CT445" t="e">
        <f>'Latin America and Caribbean'!B396+"n/&gt;!5JQ"</f>
        <v>#VALUE!</v>
      </c>
      <c r="CU445" t="e">
        <f>'Latin America and Caribbean'!C396+"n/&gt;!5JR"</f>
        <v>#VALUE!</v>
      </c>
      <c r="CV445" t="e">
        <f>'Latin America and Caribbean'!D396+"n/&gt;!5JS"</f>
        <v>#VALUE!</v>
      </c>
      <c r="CW445" t="e">
        <f>'Latin America and Caribbean'!E396+"n/&gt;!5JT"</f>
        <v>#VALUE!</v>
      </c>
      <c r="CX445" t="e">
        <f>'Latin America and Caribbean'!F396+"n/&gt;!5JU"</f>
        <v>#VALUE!</v>
      </c>
      <c r="CY445" t="e">
        <f>'Latin America and Caribbean'!G396+"n/&gt;!5JV"</f>
        <v>#VALUE!</v>
      </c>
      <c r="CZ445" t="e">
        <f>'Latin America and Caribbean'!H396+"n/&gt;!5JW"</f>
        <v>#VALUE!</v>
      </c>
      <c r="DA445" t="e">
        <f>'Latin America and Caribbean'!I396+"n/&gt;!5JX"</f>
        <v>#VALUE!</v>
      </c>
      <c r="DB445" t="e">
        <f>'Latin America and Caribbean'!A397+"n/&gt;!5JY"</f>
        <v>#VALUE!</v>
      </c>
      <c r="DC445" t="e">
        <f>'Latin America and Caribbean'!B397+"n/&gt;!5JZ"</f>
        <v>#VALUE!</v>
      </c>
      <c r="DD445" t="e">
        <f>'Latin America and Caribbean'!C397+"n/&gt;!5J["</f>
        <v>#VALUE!</v>
      </c>
      <c r="DE445" t="e">
        <f>'Latin America and Caribbean'!D397+"n/&gt;!5J\"</f>
        <v>#VALUE!</v>
      </c>
      <c r="DF445" t="e">
        <f>'Latin America and Caribbean'!E397+"n/&gt;!5J]"</f>
        <v>#VALUE!</v>
      </c>
      <c r="DG445" t="e">
        <f>'Latin America and Caribbean'!F397+"n/&gt;!5J^"</f>
        <v>#VALUE!</v>
      </c>
      <c r="DH445" t="e">
        <f>'Latin America and Caribbean'!G397+"n/&gt;!5J_"</f>
        <v>#VALUE!</v>
      </c>
      <c r="DI445" t="e">
        <f>'Latin America and Caribbean'!H397+"n/&gt;!5J`"</f>
        <v>#VALUE!</v>
      </c>
      <c r="DJ445" t="e">
        <f>'Latin America and Caribbean'!I397+"n/&gt;!5Ja"</f>
        <v>#VALUE!</v>
      </c>
      <c r="DK445" t="e">
        <f>'Latin America and Caribbean'!A398+"n/&gt;!5Jb"</f>
        <v>#VALUE!</v>
      </c>
      <c r="DL445" t="e">
        <f>'Latin America and Caribbean'!B398+"n/&gt;!5Jc"</f>
        <v>#VALUE!</v>
      </c>
      <c r="DM445" t="e">
        <f>'Latin America and Caribbean'!C398+"n/&gt;!5Jd"</f>
        <v>#VALUE!</v>
      </c>
      <c r="DN445" t="e">
        <f>'Latin America and Caribbean'!D398+"n/&gt;!5Je"</f>
        <v>#VALUE!</v>
      </c>
      <c r="DO445" t="e">
        <f>'Latin America and Caribbean'!E398+"n/&gt;!5Jf"</f>
        <v>#VALUE!</v>
      </c>
      <c r="DP445" t="e">
        <f>'Latin America and Caribbean'!F398+"n/&gt;!5Jg"</f>
        <v>#VALUE!</v>
      </c>
      <c r="DQ445" t="e">
        <f>'Latin America and Caribbean'!G398+"n/&gt;!5Jh"</f>
        <v>#VALUE!</v>
      </c>
      <c r="DR445" t="e">
        <f>'Latin America and Caribbean'!H398+"n/&gt;!5Ji"</f>
        <v>#VALUE!</v>
      </c>
      <c r="DS445" t="e">
        <f>'Latin America and Caribbean'!I398+"n/&gt;!5Jj"</f>
        <v>#VALUE!</v>
      </c>
      <c r="DT445" t="e">
        <f>'Latin America and Caribbean'!A399+"n/&gt;!5Jk"</f>
        <v>#VALUE!</v>
      </c>
      <c r="DU445" t="e">
        <f>'Latin America and Caribbean'!B399+"n/&gt;!5Jl"</f>
        <v>#VALUE!</v>
      </c>
      <c r="DV445" t="e">
        <f>'Latin America and Caribbean'!C399+"n/&gt;!5Jm"</f>
        <v>#VALUE!</v>
      </c>
      <c r="DW445" t="e">
        <f>'Latin America and Caribbean'!D399+"n/&gt;!5Jn"</f>
        <v>#VALUE!</v>
      </c>
      <c r="DX445" t="e">
        <f>'Latin America and Caribbean'!E399+"n/&gt;!5Jo"</f>
        <v>#VALUE!</v>
      </c>
      <c r="DY445" t="e">
        <f>'Latin America and Caribbean'!F399+"n/&gt;!5Jp"</f>
        <v>#VALUE!</v>
      </c>
      <c r="DZ445" t="e">
        <f>'Latin America and Caribbean'!G399+"n/&gt;!5Jq"</f>
        <v>#VALUE!</v>
      </c>
      <c r="EA445" t="e">
        <f>'Latin America and Caribbean'!H399+"n/&gt;!5Jr"</f>
        <v>#VALUE!</v>
      </c>
      <c r="EB445" t="e">
        <f>'Latin America and Caribbean'!I399+"n/&gt;!5Js"</f>
        <v>#VALUE!</v>
      </c>
      <c r="EC445" t="e">
        <f>'Latin America and Caribbean'!A400+"n/&gt;!5Jt"</f>
        <v>#VALUE!</v>
      </c>
      <c r="ED445" t="e">
        <f>'Latin America and Caribbean'!B400+"n/&gt;!5Ju"</f>
        <v>#VALUE!</v>
      </c>
      <c r="EE445" t="e">
        <f>'Latin America and Caribbean'!C400+"n/&gt;!5Jv"</f>
        <v>#VALUE!</v>
      </c>
      <c r="EF445" t="e">
        <f>'Latin America and Caribbean'!D400+"n/&gt;!5Jw"</f>
        <v>#VALUE!</v>
      </c>
      <c r="EG445" t="e">
        <f>'Latin America and Caribbean'!E400+"n/&gt;!5Jx"</f>
        <v>#VALUE!</v>
      </c>
      <c r="EH445" t="e">
        <f>'Latin America and Caribbean'!F400+"n/&gt;!5Jy"</f>
        <v>#VALUE!</v>
      </c>
      <c r="EI445" t="e">
        <f>'Latin America and Caribbean'!G400+"n/&gt;!5Jz"</f>
        <v>#VALUE!</v>
      </c>
      <c r="EJ445" t="e">
        <f>'Latin America and Caribbean'!H400+"n/&gt;!5J{"</f>
        <v>#VALUE!</v>
      </c>
      <c r="EK445" t="e">
        <f>'Latin America and Caribbean'!I400+"n/&gt;!5J|"</f>
        <v>#VALUE!</v>
      </c>
      <c r="EL445" t="e">
        <f>'Latin America and Caribbean'!A401+"n/&gt;!5J}"</f>
        <v>#VALUE!</v>
      </c>
      <c r="EM445" t="e">
        <f>'Latin America and Caribbean'!B401+"n/&gt;!5J~"</f>
        <v>#VALUE!</v>
      </c>
      <c r="EN445" t="e">
        <f>'Latin America and Caribbean'!C401+"n/&gt;!5K#"</f>
        <v>#VALUE!</v>
      </c>
      <c r="EO445" t="e">
        <f>'Latin America and Caribbean'!D401+"n/&gt;!5K$"</f>
        <v>#VALUE!</v>
      </c>
      <c r="EP445" t="e">
        <f>'Latin America and Caribbean'!E401+"n/&gt;!5K%"</f>
        <v>#VALUE!</v>
      </c>
      <c r="EQ445" t="e">
        <f>'Latin America and Caribbean'!F401+"n/&gt;!5K&amp;"</f>
        <v>#VALUE!</v>
      </c>
      <c r="ER445" t="e">
        <f>'Latin America and Caribbean'!G401+"n/&gt;!5K'"</f>
        <v>#VALUE!</v>
      </c>
      <c r="ES445" t="e">
        <f>'Latin America and Caribbean'!H401+"n/&gt;!5K("</f>
        <v>#VALUE!</v>
      </c>
      <c r="ET445" t="e">
        <f>'Latin America and Caribbean'!I401+"n/&gt;!5K)"</f>
        <v>#VALUE!</v>
      </c>
      <c r="EU445" t="e">
        <f>'Latin America and Caribbean'!A402+"n/&gt;!5K."</f>
        <v>#VALUE!</v>
      </c>
      <c r="EV445" t="e">
        <f>'Latin America and Caribbean'!B402+"n/&gt;!5K/"</f>
        <v>#VALUE!</v>
      </c>
      <c r="EW445" t="e">
        <f>'Latin America and Caribbean'!C402+"n/&gt;!5K0"</f>
        <v>#VALUE!</v>
      </c>
      <c r="EX445" t="e">
        <f>'Latin America and Caribbean'!D402+"n/&gt;!5K1"</f>
        <v>#VALUE!</v>
      </c>
      <c r="EY445" t="e">
        <f>'Latin America and Caribbean'!E402+"n/&gt;!5K2"</f>
        <v>#VALUE!</v>
      </c>
      <c r="EZ445" t="e">
        <f>'Latin America and Caribbean'!F402+"n/&gt;!5K3"</f>
        <v>#VALUE!</v>
      </c>
      <c r="FA445" t="e">
        <f>'Latin America and Caribbean'!G402+"n/&gt;!5K4"</f>
        <v>#VALUE!</v>
      </c>
      <c r="FB445" t="e">
        <f>'Latin America and Caribbean'!H402+"n/&gt;!5K5"</f>
        <v>#VALUE!</v>
      </c>
      <c r="FC445" t="e">
        <f>'Latin America and Caribbean'!I402+"n/&gt;!5K6"</f>
        <v>#VALUE!</v>
      </c>
      <c r="FD445" t="e">
        <f>'Latin America and Caribbean'!A403+"n/&gt;!5K7"</f>
        <v>#VALUE!</v>
      </c>
      <c r="FE445" t="e">
        <f>'Latin America and Caribbean'!B403+"n/&gt;!5K8"</f>
        <v>#VALUE!</v>
      </c>
      <c r="FF445" t="e">
        <f>'Latin America and Caribbean'!C403+"n/&gt;!5K9"</f>
        <v>#VALUE!</v>
      </c>
      <c r="FG445" t="e">
        <f>'Latin America and Caribbean'!D403+"n/&gt;!5K:"</f>
        <v>#VALUE!</v>
      </c>
      <c r="FH445" t="e">
        <f>'Latin America and Caribbean'!E403+"n/&gt;!5K;"</f>
        <v>#VALUE!</v>
      </c>
      <c r="FI445" t="e">
        <f>'Latin America and Caribbean'!F403+"n/&gt;!5K&lt;"</f>
        <v>#VALUE!</v>
      </c>
      <c r="FJ445" t="e">
        <f>'Latin America and Caribbean'!G403+"n/&gt;!5K="</f>
        <v>#VALUE!</v>
      </c>
      <c r="FK445" t="e">
        <f>'Latin America and Caribbean'!H403+"n/&gt;!5K&gt;"</f>
        <v>#VALUE!</v>
      </c>
      <c r="FL445" t="e">
        <f>'Latin America and Caribbean'!I403+"n/&gt;!5K?"</f>
        <v>#VALUE!</v>
      </c>
      <c r="FM445" t="e">
        <f>'Latin America and Caribbean'!A404+"n/&gt;!5K@"</f>
        <v>#VALUE!</v>
      </c>
      <c r="FN445" t="e">
        <f>'Latin America and Caribbean'!B404+"n/&gt;!5KA"</f>
        <v>#VALUE!</v>
      </c>
      <c r="FO445" t="e">
        <f>'Latin America and Caribbean'!C404+"n/&gt;!5KB"</f>
        <v>#VALUE!</v>
      </c>
      <c r="FP445" t="e">
        <f>'Latin America and Caribbean'!D404+"n/&gt;!5KC"</f>
        <v>#VALUE!</v>
      </c>
      <c r="FQ445" t="e">
        <f>'Latin America and Caribbean'!E404+"n/&gt;!5KD"</f>
        <v>#VALUE!</v>
      </c>
      <c r="FR445" t="e">
        <f>'Latin America and Caribbean'!F404+"n/&gt;!5KE"</f>
        <v>#VALUE!</v>
      </c>
      <c r="FS445" t="e">
        <f>'Latin America and Caribbean'!G404+"n/&gt;!5KF"</f>
        <v>#VALUE!</v>
      </c>
      <c r="FT445" t="e">
        <f>'Latin America and Caribbean'!H404+"n/&gt;!5KG"</f>
        <v>#VALUE!</v>
      </c>
      <c r="FU445" t="e">
        <f>'Latin America and Caribbean'!I404+"n/&gt;!5KH"</f>
        <v>#VALUE!</v>
      </c>
      <c r="FV445" t="e">
        <f>'Latin America and Caribbean'!A405+"n/&gt;!5KI"</f>
        <v>#VALUE!</v>
      </c>
      <c r="FW445" t="e">
        <f>'Latin America and Caribbean'!B405+"n/&gt;!5KJ"</f>
        <v>#VALUE!</v>
      </c>
      <c r="FX445" t="e">
        <f>'Latin America and Caribbean'!C405+"n/&gt;!5KK"</f>
        <v>#VALUE!</v>
      </c>
      <c r="FY445" t="e">
        <f>'Latin America and Caribbean'!D405+"n/&gt;!5KL"</f>
        <v>#VALUE!</v>
      </c>
      <c r="FZ445" t="e">
        <f>'Latin America and Caribbean'!E405+"n/&gt;!5KM"</f>
        <v>#VALUE!</v>
      </c>
      <c r="GA445" t="e">
        <f>'Latin America and Caribbean'!F405+"n/&gt;!5KN"</f>
        <v>#VALUE!</v>
      </c>
      <c r="GB445" t="e">
        <f>'Latin America and Caribbean'!G405+"n/&gt;!5KO"</f>
        <v>#VALUE!</v>
      </c>
      <c r="GC445" t="e">
        <f>'Latin America and Caribbean'!H405+"n/&gt;!5KP"</f>
        <v>#VALUE!</v>
      </c>
      <c r="GD445" t="e">
        <f>'Latin America and Caribbean'!I405+"n/&gt;!5KQ"</f>
        <v>#VALUE!</v>
      </c>
      <c r="GE445" t="e">
        <f>'Latin America and Caribbean'!A406+"n/&gt;!5KR"</f>
        <v>#VALUE!</v>
      </c>
      <c r="GF445" t="e">
        <f>'Latin America and Caribbean'!B406+"n/&gt;!5KS"</f>
        <v>#VALUE!</v>
      </c>
      <c r="GG445" t="e">
        <f>'Latin America and Caribbean'!C406+"n/&gt;!5KT"</f>
        <v>#VALUE!</v>
      </c>
      <c r="GH445" t="e">
        <f>'Latin America and Caribbean'!D406+"n/&gt;!5KU"</f>
        <v>#VALUE!</v>
      </c>
      <c r="GI445" t="e">
        <f>'Latin America and Caribbean'!E406+"n/&gt;!5KV"</f>
        <v>#VALUE!</v>
      </c>
      <c r="GJ445" t="e">
        <f>'Latin America and Caribbean'!F406+"n/&gt;!5KW"</f>
        <v>#VALUE!</v>
      </c>
      <c r="GK445" t="e">
        <f>'Latin America and Caribbean'!G406+"n/&gt;!5KX"</f>
        <v>#VALUE!</v>
      </c>
      <c r="GL445" t="e">
        <f>'Latin America and Caribbean'!H406+"n/&gt;!5KY"</f>
        <v>#VALUE!</v>
      </c>
      <c r="GM445" t="e">
        <f>'Latin America and Caribbean'!I406+"n/&gt;!5KZ"</f>
        <v>#VALUE!</v>
      </c>
      <c r="GN445" t="e">
        <f>'Latin America and Caribbean'!A407+"n/&gt;!5K["</f>
        <v>#VALUE!</v>
      </c>
      <c r="GO445" t="e">
        <f>'Latin America and Caribbean'!B407+"n/&gt;!5K\"</f>
        <v>#VALUE!</v>
      </c>
      <c r="GP445" t="e">
        <f>'Latin America and Caribbean'!C407+"n/&gt;!5K]"</f>
        <v>#VALUE!</v>
      </c>
      <c r="GQ445" t="e">
        <f>'Latin America and Caribbean'!D407+"n/&gt;!5K^"</f>
        <v>#VALUE!</v>
      </c>
      <c r="GR445" t="e">
        <f>'Latin America and Caribbean'!E407+"n/&gt;!5K_"</f>
        <v>#VALUE!</v>
      </c>
      <c r="GS445" t="e">
        <f>'Latin America and Caribbean'!F407+"n/&gt;!5K`"</f>
        <v>#VALUE!</v>
      </c>
      <c r="GT445" t="e">
        <f>'Latin America and Caribbean'!G407+"n/&gt;!5Ka"</f>
        <v>#VALUE!</v>
      </c>
      <c r="GU445" t="e">
        <f>'Latin America and Caribbean'!H407+"n/&gt;!5Kb"</f>
        <v>#VALUE!</v>
      </c>
      <c r="GV445" t="e">
        <f>'Latin America and Caribbean'!I407+"n/&gt;!5Kc"</f>
        <v>#VALUE!</v>
      </c>
      <c r="GW445" t="e">
        <f>'Latin America and Caribbean'!A408+"n/&gt;!5Kd"</f>
        <v>#VALUE!</v>
      </c>
      <c r="GX445" t="e">
        <f>'Latin America and Caribbean'!B408+"n/&gt;!5Ke"</f>
        <v>#VALUE!</v>
      </c>
      <c r="GY445" t="e">
        <f>'Latin America and Caribbean'!C408+"n/&gt;!5Kf"</f>
        <v>#VALUE!</v>
      </c>
      <c r="GZ445" t="e">
        <f>'Latin America and Caribbean'!D408+"n/&gt;!5Kg"</f>
        <v>#VALUE!</v>
      </c>
      <c r="HA445" t="e">
        <f>'Latin America and Caribbean'!E408+"n/&gt;!5Kh"</f>
        <v>#VALUE!</v>
      </c>
      <c r="HB445" t="e">
        <f>'Latin America and Caribbean'!F408+"n/&gt;!5Ki"</f>
        <v>#VALUE!</v>
      </c>
      <c r="HC445" t="e">
        <f>'Latin America and Caribbean'!G408+"n/&gt;!5Kj"</f>
        <v>#VALUE!</v>
      </c>
      <c r="HD445" t="e">
        <f>'Latin America and Caribbean'!H408+"n/&gt;!5Kk"</f>
        <v>#VALUE!</v>
      </c>
      <c r="HE445" t="e">
        <f>'Latin America and Caribbean'!I408+"n/&gt;!5Kl"</f>
        <v>#VALUE!</v>
      </c>
      <c r="HF445" t="e">
        <f>'Latin America and Caribbean'!A409+"n/&gt;!5Km"</f>
        <v>#VALUE!</v>
      </c>
      <c r="HG445" t="e">
        <f>'Latin America and Caribbean'!B409+"n/&gt;!5Kn"</f>
        <v>#VALUE!</v>
      </c>
      <c r="HH445" t="e">
        <f>'Latin America and Caribbean'!C409+"n/&gt;!5Ko"</f>
        <v>#VALUE!</v>
      </c>
      <c r="HI445" t="e">
        <f>'Latin America and Caribbean'!D409+"n/&gt;!5Kp"</f>
        <v>#VALUE!</v>
      </c>
      <c r="HJ445" t="e">
        <f>'Latin America and Caribbean'!E409+"n/&gt;!5Kq"</f>
        <v>#VALUE!</v>
      </c>
      <c r="HK445" t="e">
        <f>'Latin America and Caribbean'!F409+"n/&gt;!5Kr"</f>
        <v>#VALUE!</v>
      </c>
      <c r="HL445" t="e">
        <f>'Latin America and Caribbean'!G409+"n/&gt;!5Ks"</f>
        <v>#VALUE!</v>
      </c>
      <c r="HM445" t="e">
        <f>'Latin America and Caribbean'!H409+"n/&gt;!5Kt"</f>
        <v>#VALUE!</v>
      </c>
      <c r="HN445" t="e">
        <f>'Latin America and Caribbean'!I409+"n/&gt;!5Ku"</f>
        <v>#VALUE!</v>
      </c>
      <c r="HO445" t="e">
        <f>'Latin America and Caribbean'!A410+"n/&gt;!5Kv"</f>
        <v>#VALUE!</v>
      </c>
      <c r="HP445" t="e">
        <f>'Latin America and Caribbean'!B410+"n/&gt;!5Kw"</f>
        <v>#VALUE!</v>
      </c>
      <c r="HQ445" t="e">
        <f>'Latin America and Caribbean'!C410+"n/&gt;!5Kx"</f>
        <v>#VALUE!</v>
      </c>
      <c r="HR445" t="e">
        <f>'Latin America and Caribbean'!D410+"n/&gt;!5Ky"</f>
        <v>#VALUE!</v>
      </c>
      <c r="HS445" t="e">
        <f>'Latin America and Caribbean'!E410+"n/&gt;!5Kz"</f>
        <v>#VALUE!</v>
      </c>
      <c r="HT445" t="e">
        <f>'Latin America and Caribbean'!F410+"n/&gt;!5K{"</f>
        <v>#VALUE!</v>
      </c>
      <c r="HU445" t="e">
        <f>'Latin America and Caribbean'!G410+"n/&gt;!5K|"</f>
        <v>#VALUE!</v>
      </c>
      <c r="HV445" t="e">
        <f>'Latin America and Caribbean'!H410+"n/&gt;!5K}"</f>
        <v>#VALUE!</v>
      </c>
      <c r="HW445" t="e">
        <f>'Latin America and Caribbean'!I410+"n/&gt;!5K~"</f>
        <v>#VALUE!</v>
      </c>
      <c r="HX445" t="e">
        <f>'Latin America and Caribbean'!A411+"n/&gt;!5L#"</f>
        <v>#VALUE!</v>
      </c>
      <c r="HY445" t="e">
        <f>'Latin America and Caribbean'!B411+"n/&gt;!5L$"</f>
        <v>#VALUE!</v>
      </c>
      <c r="HZ445" t="e">
        <f>'Latin America and Caribbean'!C411+"n/&gt;!5L%"</f>
        <v>#VALUE!</v>
      </c>
      <c r="IA445" t="e">
        <f>'Latin America and Caribbean'!D411+"n/&gt;!5L&amp;"</f>
        <v>#VALUE!</v>
      </c>
      <c r="IB445" t="e">
        <f>'Latin America and Caribbean'!E411+"n/&gt;!5L'"</f>
        <v>#VALUE!</v>
      </c>
      <c r="IC445" t="e">
        <f>'Latin America and Caribbean'!F411+"n/&gt;!5L("</f>
        <v>#VALUE!</v>
      </c>
      <c r="ID445" t="e">
        <f>'Latin America and Caribbean'!G411+"n/&gt;!5L)"</f>
        <v>#VALUE!</v>
      </c>
      <c r="IE445" t="e">
        <f>'Latin America and Caribbean'!H411+"n/&gt;!5L."</f>
        <v>#VALUE!</v>
      </c>
      <c r="IF445" t="e">
        <f>'Latin America and Caribbean'!I411+"n/&gt;!5L/"</f>
        <v>#VALUE!</v>
      </c>
      <c r="IG445" t="e">
        <f>'Latin America and Caribbean'!A412+"n/&gt;!5L0"</f>
        <v>#VALUE!</v>
      </c>
      <c r="IH445" t="e">
        <f>'Latin America and Caribbean'!B412+"n/&gt;!5L1"</f>
        <v>#VALUE!</v>
      </c>
      <c r="II445" t="e">
        <f>'Latin America and Caribbean'!C412+"n/&gt;!5L2"</f>
        <v>#VALUE!</v>
      </c>
      <c r="IJ445" t="e">
        <f>'Latin America and Caribbean'!D412+"n/&gt;!5L3"</f>
        <v>#VALUE!</v>
      </c>
      <c r="IK445" t="e">
        <f>'Latin America and Caribbean'!E412+"n/&gt;!5L4"</f>
        <v>#VALUE!</v>
      </c>
      <c r="IL445" t="e">
        <f>'Latin America and Caribbean'!F412+"n/&gt;!5L5"</f>
        <v>#VALUE!</v>
      </c>
      <c r="IM445" t="e">
        <f>'Latin America and Caribbean'!G412+"n/&gt;!5L6"</f>
        <v>#VALUE!</v>
      </c>
      <c r="IN445" t="e">
        <f>'Latin America and Caribbean'!H412+"n/&gt;!5L7"</f>
        <v>#VALUE!</v>
      </c>
      <c r="IO445" t="e">
        <f>'Latin America and Caribbean'!I412+"n/&gt;!5L8"</f>
        <v>#VALUE!</v>
      </c>
      <c r="IP445" t="e">
        <f>'Latin America and Caribbean'!A413+"n/&gt;!5L9"</f>
        <v>#VALUE!</v>
      </c>
      <c r="IQ445" t="e">
        <f>'Latin America and Caribbean'!B413+"n/&gt;!5L:"</f>
        <v>#VALUE!</v>
      </c>
      <c r="IR445" t="e">
        <f>'Latin America and Caribbean'!C413+"n/&gt;!5L;"</f>
        <v>#VALUE!</v>
      </c>
      <c r="IS445" t="e">
        <f>'Latin America and Caribbean'!D413+"n/&gt;!5L&lt;"</f>
        <v>#VALUE!</v>
      </c>
      <c r="IT445" t="e">
        <f>'Latin America and Caribbean'!E413+"n/&gt;!5L="</f>
        <v>#VALUE!</v>
      </c>
      <c r="IU445" t="e">
        <f>'Latin America and Caribbean'!F413+"n/&gt;!5L&gt;"</f>
        <v>#VALUE!</v>
      </c>
      <c r="IV445" t="e">
        <f>'Latin America and Caribbean'!G413+"n/&gt;!5L?"</f>
        <v>#VALUE!</v>
      </c>
    </row>
    <row r="446" spans="6:256" x14ac:dyDescent="0.35">
      <c r="F446" t="e">
        <f>'Latin America and Caribbean'!H413+"n/&gt;!5L@"</f>
        <v>#VALUE!</v>
      </c>
      <c r="G446" t="e">
        <f>'Latin America and Caribbean'!I413+"n/&gt;!5LA"</f>
        <v>#VALUE!</v>
      </c>
      <c r="H446" t="e">
        <f>'Latin America and Caribbean'!A414+"n/&gt;!5LB"</f>
        <v>#VALUE!</v>
      </c>
      <c r="I446" t="e">
        <f>'Latin America and Caribbean'!B414+"n/&gt;!5LC"</f>
        <v>#VALUE!</v>
      </c>
      <c r="J446" t="e">
        <f>'Latin America and Caribbean'!C414+"n/&gt;!5LD"</f>
        <v>#VALUE!</v>
      </c>
      <c r="K446" t="e">
        <f>'Latin America and Caribbean'!D414+"n/&gt;!5LE"</f>
        <v>#VALUE!</v>
      </c>
      <c r="L446" t="e">
        <f>'Latin America and Caribbean'!E414+"n/&gt;!5LF"</f>
        <v>#VALUE!</v>
      </c>
      <c r="M446" t="e">
        <f>'Latin America and Caribbean'!F414+"n/&gt;!5LG"</f>
        <v>#VALUE!</v>
      </c>
      <c r="N446" t="e">
        <f>'Latin America and Caribbean'!G414+"n/&gt;!5LH"</f>
        <v>#VALUE!</v>
      </c>
      <c r="O446" t="e">
        <f>'Latin America and Caribbean'!H414+"n/&gt;!5LI"</f>
        <v>#VALUE!</v>
      </c>
      <c r="P446" t="e">
        <f>'Latin America and Caribbean'!I414+"n/&gt;!5LJ"</f>
        <v>#VALUE!</v>
      </c>
      <c r="Q446" t="e">
        <f>'Latin America and Caribbean'!A415+"n/&gt;!5LK"</f>
        <v>#VALUE!</v>
      </c>
      <c r="R446" t="e">
        <f>'Latin America and Caribbean'!B415+"n/&gt;!5LL"</f>
        <v>#VALUE!</v>
      </c>
      <c r="S446" t="e">
        <f>'Latin America and Caribbean'!C415+"n/&gt;!5LM"</f>
        <v>#VALUE!</v>
      </c>
      <c r="T446" t="e">
        <f>'Latin America and Caribbean'!D415+"n/&gt;!5LN"</f>
        <v>#VALUE!</v>
      </c>
      <c r="U446" t="e">
        <f>'Latin America and Caribbean'!E415+"n/&gt;!5LO"</f>
        <v>#VALUE!</v>
      </c>
      <c r="V446" t="e">
        <f>'Latin America and Caribbean'!F415+"n/&gt;!5LP"</f>
        <v>#VALUE!</v>
      </c>
      <c r="W446" t="e">
        <f>'Latin America and Caribbean'!G415+"n/&gt;!5LQ"</f>
        <v>#VALUE!</v>
      </c>
      <c r="X446" t="e">
        <f>'Latin America and Caribbean'!H415+"n/&gt;!5LR"</f>
        <v>#VALUE!</v>
      </c>
      <c r="Y446" t="e">
        <f>'Latin America and Caribbean'!I415+"n/&gt;!5LS"</f>
        <v>#VALUE!</v>
      </c>
      <c r="Z446" t="e">
        <f>'Latin America and Caribbean'!A416+"n/&gt;!5LT"</f>
        <v>#VALUE!</v>
      </c>
      <c r="AA446" t="e">
        <f>'Latin America and Caribbean'!B416+"n/&gt;!5LU"</f>
        <v>#VALUE!</v>
      </c>
      <c r="AB446" t="e">
        <f>'Latin America and Caribbean'!C416+"n/&gt;!5LV"</f>
        <v>#VALUE!</v>
      </c>
      <c r="AC446" t="e">
        <f>'Latin America and Caribbean'!D416+"n/&gt;!5LW"</f>
        <v>#VALUE!</v>
      </c>
      <c r="AD446" t="e">
        <f>'Latin America and Caribbean'!E416+"n/&gt;!5LX"</f>
        <v>#VALUE!</v>
      </c>
      <c r="AE446" t="e">
        <f>'Latin America and Caribbean'!F416+"n/&gt;!5LY"</f>
        <v>#VALUE!</v>
      </c>
      <c r="AF446" t="e">
        <f>'Latin America and Caribbean'!G416+"n/&gt;!5LZ"</f>
        <v>#VALUE!</v>
      </c>
      <c r="AG446" t="e">
        <f>'Latin America and Caribbean'!H416+"n/&gt;!5L["</f>
        <v>#VALUE!</v>
      </c>
      <c r="AH446" t="e">
        <f>'Latin America and Caribbean'!I416+"n/&gt;!5L\"</f>
        <v>#VALUE!</v>
      </c>
      <c r="AI446" t="e">
        <f>'Latin America and Caribbean'!A417+"n/&gt;!5L]"</f>
        <v>#VALUE!</v>
      </c>
      <c r="AJ446" t="e">
        <f>'Latin America and Caribbean'!B417+"n/&gt;!5L^"</f>
        <v>#VALUE!</v>
      </c>
      <c r="AK446" t="e">
        <f>'Latin America and Caribbean'!C417+"n/&gt;!5L_"</f>
        <v>#VALUE!</v>
      </c>
      <c r="AL446" t="e">
        <f>'Latin America and Caribbean'!D417+"n/&gt;!5L`"</f>
        <v>#VALUE!</v>
      </c>
      <c r="AM446" t="e">
        <f>'Latin America and Caribbean'!E417+"n/&gt;!5La"</f>
        <v>#VALUE!</v>
      </c>
      <c r="AN446" t="e">
        <f>'Latin America and Caribbean'!F417+"n/&gt;!5Lb"</f>
        <v>#VALUE!</v>
      </c>
      <c r="AO446" t="e">
        <f>'Latin America and Caribbean'!G417+"n/&gt;!5Lc"</f>
        <v>#VALUE!</v>
      </c>
      <c r="AP446" t="e">
        <f>'Latin America and Caribbean'!H417+"n/&gt;!5Ld"</f>
        <v>#VALUE!</v>
      </c>
      <c r="AQ446" t="e">
        <f>'Latin America and Caribbean'!I417+"n/&gt;!5Le"</f>
        <v>#VALUE!</v>
      </c>
      <c r="AR446" t="e">
        <f>'Latin America and Caribbean'!A418+"n/&gt;!5Lf"</f>
        <v>#VALUE!</v>
      </c>
      <c r="AS446" t="e">
        <f>'Latin America and Caribbean'!B418+"n/&gt;!5Lg"</f>
        <v>#VALUE!</v>
      </c>
      <c r="AT446" t="e">
        <f>'Latin America and Caribbean'!C418+"n/&gt;!5Lh"</f>
        <v>#VALUE!</v>
      </c>
      <c r="AU446" t="e">
        <f>'Latin America and Caribbean'!D418+"n/&gt;!5Li"</f>
        <v>#VALUE!</v>
      </c>
      <c r="AV446" t="e">
        <f>'Latin America and Caribbean'!E418+"n/&gt;!5Lj"</f>
        <v>#VALUE!</v>
      </c>
      <c r="AW446" t="e">
        <f>'Latin America and Caribbean'!F418+"n/&gt;!5Lk"</f>
        <v>#VALUE!</v>
      </c>
      <c r="AX446" t="e">
        <f>'Latin America and Caribbean'!G418+"n/&gt;!5Ll"</f>
        <v>#VALUE!</v>
      </c>
      <c r="AY446" t="e">
        <f>'Latin America and Caribbean'!H418+"n/&gt;!5Lm"</f>
        <v>#VALUE!</v>
      </c>
      <c r="AZ446" t="e">
        <f>'Latin America and Caribbean'!I418+"n/&gt;!5Ln"</f>
        <v>#VALUE!</v>
      </c>
      <c r="BA446" t="e">
        <f>'Latin America and Caribbean'!A419+"n/&gt;!5Lo"</f>
        <v>#VALUE!</v>
      </c>
      <c r="BB446" t="e">
        <f>'Latin America and Caribbean'!B419+"n/&gt;!5Lp"</f>
        <v>#VALUE!</v>
      </c>
      <c r="BC446" t="e">
        <f>'Latin America and Caribbean'!C419+"n/&gt;!5Lq"</f>
        <v>#VALUE!</v>
      </c>
      <c r="BD446" t="e">
        <f>'Latin America and Caribbean'!D419+"n/&gt;!5Lr"</f>
        <v>#VALUE!</v>
      </c>
      <c r="BE446" t="e">
        <f>'Latin America and Caribbean'!E419+"n/&gt;!5Ls"</f>
        <v>#VALUE!</v>
      </c>
      <c r="BF446" t="e">
        <f>'Latin America and Caribbean'!F419+"n/&gt;!5Lt"</f>
        <v>#VALUE!</v>
      </c>
      <c r="BG446" t="e">
        <f>'Latin America and Caribbean'!G419+"n/&gt;!5Lu"</f>
        <v>#VALUE!</v>
      </c>
      <c r="BH446" t="e">
        <f>'Latin America and Caribbean'!H419+"n/&gt;!5Lv"</f>
        <v>#VALUE!</v>
      </c>
      <c r="BI446" t="e">
        <f>'Latin America and Caribbean'!I419+"n/&gt;!5Lw"</f>
        <v>#VALUE!</v>
      </c>
      <c r="BJ446" t="e">
        <f>'Latin America and Caribbean'!A420+"n/&gt;!5Lx"</f>
        <v>#VALUE!</v>
      </c>
      <c r="BK446" t="e">
        <f>'Latin America and Caribbean'!B420+"n/&gt;!5Ly"</f>
        <v>#VALUE!</v>
      </c>
      <c r="BL446" t="e">
        <f>'Latin America and Caribbean'!C420+"n/&gt;!5Lz"</f>
        <v>#VALUE!</v>
      </c>
      <c r="BM446" t="e">
        <f>'Latin America and Caribbean'!D420+"n/&gt;!5L{"</f>
        <v>#VALUE!</v>
      </c>
      <c r="BN446" t="e">
        <f>'Latin America and Caribbean'!E420+"n/&gt;!5L|"</f>
        <v>#VALUE!</v>
      </c>
      <c r="BO446" t="e">
        <f>'Latin America and Caribbean'!F420+"n/&gt;!5L}"</f>
        <v>#VALUE!</v>
      </c>
      <c r="BP446" t="e">
        <f>'Latin America and Caribbean'!G420+"n/&gt;!5L~"</f>
        <v>#VALUE!</v>
      </c>
      <c r="BQ446" t="e">
        <f>'Latin America and Caribbean'!H420+"n/&gt;!5M#"</f>
        <v>#VALUE!</v>
      </c>
      <c r="BR446" t="e">
        <f>'Latin America and Caribbean'!I420+"n/&gt;!5M$"</f>
        <v>#VALUE!</v>
      </c>
      <c r="BS446" t="e">
        <f>'Latin America and Caribbean'!A421+"n/&gt;!5M%"</f>
        <v>#VALUE!</v>
      </c>
      <c r="BT446" t="e">
        <f>'Latin America and Caribbean'!B421+"n/&gt;!5M&amp;"</f>
        <v>#VALUE!</v>
      </c>
      <c r="BU446" t="e">
        <f>'Latin America and Caribbean'!C421+"n/&gt;!5M'"</f>
        <v>#VALUE!</v>
      </c>
      <c r="BV446" t="e">
        <f>'Latin America and Caribbean'!D421+"n/&gt;!5M("</f>
        <v>#VALUE!</v>
      </c>
      <c r="BW446" t="e">
        <f>'Latin America and Caribbean'!E421+"n/&gt;!5M)"</f>
        <v>#VALUE!</v>
      </c>
      <c r="BX446" t="e">
        <f>'Latin America and Caribbean'!F421+"n/&gt;!5M."</f>
        <v>#VALUE!</v>
      </c>
      <c r="BY446" t="e">
        <f>'Latin America and Caribbean'!G421+"n/&gt;!5M/"</f>
        <v>#VALUE!</v>
      </c>
      <c r="BZ446" t="e">
        <f>'Latin America and Caribbean'!H421+"n/&gt;!5M0"</f>
        <v>#VALUE!</v>
      </c>
      <c r="CA446" t="e">
        <f>'Latin America and Caribbean'!I421+"n/&gt;!5M1"</f>
        <v>#VALUE!</v>
      </c>
      <c r="CB446" t="e">
        <f>'Latin America and Caribbean'!A422+"n/&gt;!5M2"</f>
        <v>#VALUE!</v>
      </c>
      <c r="CC446" t="e">
        <f>'Latin America and Caribbean'!B422+"n/&gt;!5M3"</f>
        <v>#VALUE!</v>
      </c>
      <c r="CD446" t="e">
        <f>'Latin America and Caribbean'!C422+"n/&gt;!5M4"</f>
        <v>#VALUE!</v>
      </c>
      <c r="CE446" t="e">
        <f>'Latin America and Caribbean'!D422+"n/&gt;!5M5"</f>
        <v>#VALUE!</v>
      </c>
      <c r="CF446" t="e">
        <f>'Latin America and Caribbean'!E422+"n/&gt;!5M6"</f>
        <v>#VALUE!</v>
      </c>
      <c r="CG446" t="e">
        <f>'Latin America and Caribbean'!F422+"n/&gt;!5M7"</f>
        <v>#VALUE!</v>
      </c>
      <c r="CH446" t="e">
        <f>'Latin America and Caribbean'!G422+"n/&gt;!5M8"</f>
        <v>#VALUE!</v>
      </c>
      <c r="CI446" t="e">
        <f>'Latin America and Caribbean'!H422+"n/&gt;!5M9"</f>
        <v>#VALUE!</v>
      </c>
      <c r="CJ446" t="e">
        <f>'Latin America and Caribbean'!I422+"n/&gt;!5M:"</f>
        <v>#VALUE!</v>
      </c>
      <c r="CK446" t="e">
        <f>'Latin America and Caribbean'!A423+"n/&gt;!5M;"</f>
        <v>#VALUE!</v>
      </c>
      <c r="CL446" t="e">
        <f>'Latin America and Caribbean'!B423+"n/&gt;!5M&lt;"</f>
        <v>#VALUE!</v>
      </c>
      <c r="CM446" t="e">
        <f>'Latin America and Caribbean'!C423+"n/&gt;!5M="</f>
        <v>#VALUE!</v>
      </c>
      <c r="CN446" t="e">
        <f>'Latin America and Caribbean'!D423+"n/&gt;!5M&gt;"</f>
        <v>#VALUE!</v>
      </c>
      <c r="CO446" t="e">
        <f>'Latin America and Caribbean'!E423+"n/&gt;!5M?"</f>
        <v>#VALUE!</v>
      </c>
      <c r="CP446" t="e">
        <f>'Latin America and Caribbean'!F423+"n/&gt;!5M@"</f>
        <v>#VALUE!</v>
      </c>
      <c r="CQ446" t="e">
        <f>'Latin America and Caribbean'!G423+"n/&gt;!5MA"</f>
        <v>#VALUE!</v>
      </c>
      <c r="CR446" t="e">
        <f>'Latin America and Caribbean'!H423+"n/&gt;!5MB"</f>
        <v>#VALUE!</v>
      </c>
      <c r="CS446" t="e">
        <f>'Latin America and Caribbean'!I423+"n/&gt;!5MC"</f>
        <v>#VALUE!</v>
      </c>
      <c r="CT446" t="e">
        <f>'Latin America and Caribbean'!A424+"n/&gt;!5MD"</f>
        <v>#VALUE!</v>
      </c>
      <c r="CU446" t="e">
        <f>'Latin America and Caribbean'!B424+"n/&gt;!5ME"</f>
        <v>#VALUE!</v>
      </c>
      <c r="CV446" t="e">
        <f>'Latin America and Caribbean'!C424+"n/&gt;!5MF"</f>
        <v>#VALUE!</v>
      </c>
      <c r="CW446" t="e">
        <f>'Latin America and Caribbean'!D424+"n/&gt;!5MG"</f>
        <v>#VALUE!</v>
      </c>
      <c r="CX446" t="e">
        <f>'Latin America and Caribbean'!E424+"n/&gt;!5MH"</f>
        <v>#VALUE!</v>
      </c>
      <c r="CY446" t="e">
        <f>'Latin America and Caribbean'!F424+"n/&gt;!5MI"</f>
        <v>#VALUE!</v>
      </c>
      <c r="CZ446" t="e">
        <f>'Latin America and Caribbean'!G424+"n/&gt;!5MJ"</f>
        <v>#VALUE!</v>
      </c>
      <c r="DA446" t="e">
        <f>'Latin America and Caribbean'!H424+"n/&gt;!5MK"</f>
        <v>#VALUE!</v>
      </c>
      <c r="DB446" t="e">
        <f>'Latin America and Caribbean'!I424+"n/&gt;!5ML"</f>
        <v>#VALUE!</v>
      </c>
      <c r="DC446" t="e">
        <f>'Latin America and Caribbean'!A425+"n/&gt;!5MM"</f>
        <v>#VALUE!</v>
      </c>
      <c r="DD446" t="e">
        <f>'Latin America and Caribbean'!B425+"n/&gt;!5MN"</f>
        <v>#VALUE!</v>
      </c>
      <c r="DE446" t="e">
        <f>'Latin America and Caribbean'!C425+"n/&gt;!5MO"</f>
        <v>#VALUE!</v>
      </c>
      <c r="DF446" t="e">
        <f>'Latin America and Caribbean'!D425+"n/&gt;!5MP"</f>
        <v>#VALUE!</v>
      </c>
      <c r="DG446" t="e">
        <f>'Latin America and Caribbean'!E425+"n/&gt;!5MQ"</f>
        <v>#VALUE!</v>
      </c>
      <c r="DH446" t="e">
        <f>'Latin America and Caribbean'!F425+"n/&gt;!5MR"</f>
        <v>#VALUE!</v>
      </c>
      <c r="DI446" t="e">
        <f>'Latin America and Caribbean'!G425+"n/&gt;!5MS"</f>
        <v>#VALUE!</v>
      </c>
      <c r="DJ446" t="e">
        <f>'Latin America and Caribbean'!H425+"n/&gt;!5MT"</f>
        <v>#VALUE!</v>
      </c>
      <c r="DK446" t="e">
        <f>'Latin America and Caribbean'!I425+"n/&gt;!5MU"</f>
        <v>#VALUE!</v>
      </c>
      <c r="DL446" t="e">
        <f>'Latin America and Caribbean'!A426+"n/&gt;!5MV"</f>
        <v>#VALUE!</v>
      </c>
      <c r="DM446" t="e">
        <f>'Latin America and Caribbean'!B426+"n/&gt;!5MW"</f>
        <v>#VALUE!</v>
      </c>
      <c r="DN446" t="e">
        <f>'Latin America and Caribbean'!C426+"n/&gt;!5MX"</f>
        <v>#VALUE!</v>
      </c>
      <c r="DO446" t="e">
        <f>'Latin America and Caribbean'!D426+"n/&gt;!5MY"</f>
        <v>#VALUE!</v>
      </c>
      <c r="DP446" t="e">
        <f>'Latin America and Caribbean'!E426+"n/&gt;!5MZ"</f>
        <v>#VALUE!</v>
      </c>
      <c r="DQ446" t="e">
        <f>'Latin America and Caribbean'!F426+"n/&gt;!5M["</f>
        <v>#VALUE!</v>
      </c>
      <c r="DR446" t="e">
        <f>'Latin America and Caribbean'!G426+"n/&gt;!5M\"</f>
        <v>#VALUE!</v>
      </c>
      <c r="DS446" t="e">
        <f>'Latin America and Caribbean'!H426+"n/&gt;!5M]"</f>
        <v>#VALUE!</v>
      </c>
      <c r="DT446" t="e">
        <f>'Latin America and Caribbean'!I426+"n/&gt;!5M^"</f>
        <v>#VALUE!</v>
      </c>
      <c r="DU446" t="e">
        <f>'Latin America and Caribbean'!A427+"n/&gt;!5M_"</f>
        <v>#VALUE!</v>
      </c>
      <c r="DV446" t="e">
        <f>'Latin America and Caribbean'!B427+"n/&gt;!5M`"</f>
        <v>#VALUE!</v>
      </c>
      <c r="DW446" t="e">
        <f>'Latin America and Caribbean'!C427+"n/&gt;!5Ma"</f>
        <v>#VALUE!</v>
      </c>
      <c r="DX446" t="e">
        <f>'Latin America and Caribbean'!D427+"n/&gt;!5Mb"</f>
        <v>#VALUE!</v>
      </c>
      <c r="DY446" t="e">
        <f>'Latin America and Caribbean'!E427+"n/&gt;!5Mc"</f>
        <v>#VALUE!</v>
      </c>
      <c r="DZ446" t="e">
        <f>'Latin America and Caribbean'!F427+"n/&gt;!5Md"</f>
        <v>#VALUE!</v>
      </c>
      <c r="EA446" t="e">
        <f>'Latin America and Caribbean'!G427+"n/&gt;!5Me"</f>
        <v>#VALUE!</v>
      </c>
      <c r="EB446" t="e">
        <f>'Latin America and Caribbean'!H427+"n/&gt;!5Mf"</f>
        <v>#VALUE!</v>
      </c>
      <c r="EC446" t="e">
        <f>'Latin America and Caribbean'!I427+"n/&gt;!5Mg"</f>
        <v>#VALUE!</v>
      </c>
      <c r="ED446" t="e">
        <f>'Latin America and Caribbean'!A428+"n/&gt;!5Mh"</f>
        <v>#VALUE!</v>
      </c>
      <c r="EE446" t="e">
        <f>'Latin America and Caribbean'!B428+"n/&gt;!5Mi"</f>
        <v>#VALUE!</v>
      </c>
      <c r="EF446" t="e">
        <f>'Latin America and Caribbean'!C428+"n/&gt;!5Mj"</f>
        <v>#VALUE!</v>
      </c>
      <c r="EG446" t="e">
        <f>'Latin America and Caribbean'!D428+"n/&gt;!5Mk"</f>
        <v>#VALUE!</v>
      </c>
      <c r="EH446" t="e">
        <f>'Latin America and Caribbean'!E428+"n/&gt;!5Ml"</f>
        <v>#VALUE!</v>
      </c>
      <c r="EI446" t="e">
        <f>'Latin America and Caribbean'!F428+"n/&gt;!5Mm"</f>
        <v>#VALUE!</v>
      </c>
      <c r="EJ446" t="e">
        <f>'Latin America and Caribbean'!G428+"n/&gt;!5Mn"</f>
        <v>#VALUE!</v>
      </c>
      <c r="EK446" t="e">
        <f>'Latin America and Caribbean'!H428+"n/&gt;!5Mo"</f>
        <v>#VALUE!</v>
      </c>
      <c r="EL446" t="e">
        <f>'Latin America and Caribbean'!I428+"n/&gt;!5Mp"</f>
        <v>#VALUE!</v>
      </c>
      <c r="EM446" t="e">
        <f>'Latin America and Caribbean'!A429+"n/&gt;!5Mq"</f>
        <v>#VALUE!</v>
      </c>
      <c r="EN446" t="e">
        <f>'Latin America and Caribbean'!B429+"n/&gt;!5Mr"</f>
        <v>#VALUE!</v>
      </c>
      <c r="EO446" t="e">
        <f>'Latin America and Caribbean'!C429+"n/&gt;!5Ms"</f>
        <v>#VALUE!</v>
      </c>
      <c r="EP446" t="e">
        <f>'Latin America and Caribbean'!D429+"n/&gt;!5Mt"</f>
        <v>#VALUE!</v>
      </c>
      <c r="EQ446" t="e">
        <f>'Latin America and Caribbean'!E429+"n/&gt;!5Mu"</f>
        <v>#VALUE!</v>
      </c>
      <c r="ER446" t="e">
        <f>'Latin America and Caribbean'!F429+"n/&gt;!5Mv"</f>
        <v>#VALUE!</v>
      </c>
      <c r="ES446" t="e">
        <f>'Latin America and Caribbean'!G429+"n/&gt;!5Mw"</f>
        <v>#VALUE!</v>
      </c>
      <c r="ET446" t="e">
        <f>'Latin America and Caribbean'!H429+"n/&gt;!5Mx"</f>
        <v>#VALUE!</v>
      </c>
      <c r="EU446" t="e">
        <f>'Latin America and Caribbean'!I429+"n/&gt;!5My"</f>
        <v>#VALUE!</v>
      </c>
      <c r="EV446" t="e">
        <f>'Latin America and Caribbean'!A430+"n/&gt;!5Mz"</f>
        <v>#VALUE!</v>
      </c>
      <c r="EW446" t="e">
        <f>'Latin America and Caribbean'!B430+"n/&gt;!5M{"</f>
        <v>#VALUE!</v>
      </c>
      <c r="EX446" t="e">
        <f>'Latin America and Caribbean'!C430+"n/&gt;!5M|"</f>
        <v>#VALUE!</v>
      </c>
      <c r="EY446" t="e">
        <f>'Latin America and Caribbean'!D430+"n/&gt;!5M}"</f>
        <v>#VALUE!</v>
      </c>
      <c r="EZ446" t="e">
        <f>'Latin America and Caribbean'!E430+"n/&gt;!5M~"</f>
        <v>#VALUE!</v>
      </c>
      <c r="FA446" t="e">
        <f>'Latin America and Caribbean'!F430+"n/&gt;!5N#"</f>
        <v>#VALUE!</v>
      </c>
      <c r="FB446" t="e">
        <f>'Latin America and Caribbean'!G430+"n/&gt;!5N$"</f>
        <v>#VALUE!</v>
      </c>
      <c r="FC446" t="e">
        <f>'Latin America and Caribbean'!H430+"n/&gt;!5N%"</f>
        <v>#VALUE!</v>
      </c>
      <c r="FD446" t="e">
        <f>'Latin America and Caribbean'!I430+"n/&gt;!5N&amp;"</f>
        <v>#VALUE!</v>
      </c>
      <c r="FE446" t="e">
        <f>'Latin America and Caribbean'!A431+"n/&gt;!5N'"</f>
        <v>#VALUE!</v>
      </c>
      <c r="FF446" t="e">
        <f>'Latin America and Caribbean'!B431+"n/&gt;!5N("</f>
        <v>#VALUE!</v>
      </c>
      <c r="FG446" t="e">
        <f>'Latin America and Caribbean'!C431+"n/&gt;!5N)"</f>
        <v>#VALUE!</v>
      </c>
      <c r="FH446" t="e">
        <f>'Latin America and Caribbean'!D431+"n/&gt;!5N."</f>
        <v>#VALUE!</v>
      </c>
      <c r="FI446" t="e">
        <f>'Latin America and Caribbean'!E431+"n/&gt;!5N/"</f>
        <v>#VALUE!</v>
      </c>
      <c r="FJ446" t="e">
        <f>'Latin America and Caribbean'!F431+"n/&gt;!5N0"</f>
        <v>#VALUE!</v>
      </c>
      <c r="FK446" t="e">
        <f>'Latin America and Caribbean'!G431+"n/&gt;!5N1"</f>
        <v>#VALUE!</v>
      </c>
      <c r="FL446" t="e">
        <f>'Latin America and Caribbean'!H431+"n/&gt;!5N2"</f>
        <v>#VALUE!</v>
      </c>
      <c r="FM446" t="e">
        <f>'Latin America and Caribbean'!I431+"n/&gt;!5N3"</f>
        <v>#VALUE!</v>
      </c>
      <c r="FN446" t="e">
        <f>'Latin America and Caribbean'!A432+"n/&gt;!5N4"</f>
        <v>#VALUE!</v>
      </c>
      <c r="FO446" t="e">
        <f>'Latin America and Caribbean'!B432+"n/&gt;!5N5"</f>
        <v>#VALUE!</v>
      </c>
      <c r="FP446" t="e">
        <f>'Latin America and Caribbean'!C432+"n/&gt;!5N6"</f>
        <v>#VALUE!</v>
      </c>
      <c r="FQ446" t="e">
        <f>'Latin America and Caribbean'!D432+"n/&gt;!5N7"</f>
        <v>#VALUE!</v>
      </c>
      <c r="FR446" t="e">
        <f>'Latin America and Caribbean'!E432+"n/&gt;!5N8"</f>
        <v>#VALUE!</v>
      </c>
      <c r="FS446" t="e">
        <f>'Latin America and Caribbean'!F432+"n/&gt;!5N9"</f>
        <v>#VALUE!</v>
      </c>
      <c r="FT446" t="e">
        <f>'Latin America and Caribbean'!G432+"n/&gt;!5N:"</f>
        <v>#VALUE!</v>
      </c>
      <c r="FU446" t="e">
        <f>'Latin America and Caribbean'!H432+"n/&gt;!5N;"</f>
        <v>#VALUE!</v>
      </c>
      <c r="FV446" t="e">
        <f>'Latin America and Caribbean'!I432+"n/&gt;!5N&lt;"</f>
        <v>#VALUE!</v>
      </c>
      <c r="FW446" t="e">
        <f>'Latin America and Caribbean'!A433+"n/&gt;!5N="</f>
        <v>#VALUE!</v>
      </c>
      <c r="FX446" t="e">
        <f>'Latin America and Caribbean'!B433+"n/&gt;!5N&gt;"</f>
        <v>#VALUE!</v>
      </c>
      <c r="FY446" t="e">
        <f>'Latin America and Caribbean'!C433+"n/&gt;!5N?"</f>
        <v>#VALUE!</v>
      </c>
      <c r="FZ446" t="e">
        <f>'Latin America and Caribbean'!D433+"n/&gt;!5N@"</f>
        <v>#VALUE!</v>
      </c>
      <c r="GA446" t="e">
        <f>'Latin America and Caribbean'!E433+"n/&gt;!5NA"</f>
        <v>#VALUE!</v>
      </c>
      <c r="GB446" t="e">
        <f>'Latin America and Caribbean'!F433+"n/&gt;!5NB"</f>
        <v>#VALUE!</v>
      </c>
      <c r="GC446" t="e">
        <f>'Latin America and Caribbean'!G433+"n/&gt;!5NC"</f>
        <v>#VALUE!</v>
      </c>
      <c r="GD446" t="e">
        <f>'Latin America and Caribbean'!H433+"n/&gt;!5ND"</f>
        <v>#VALUE!</v>
      </c>
      <c r="GE446" t="e">
        <f>'Latin America and Caribbean'!I433+"n/&gt;!5NE"</f>
        <v>#VALUE!</v>
      </c>
      <c r="GF446" t="e">
        <f>'Latin America and Caribbean'!A434+"n/&gt;!5NF"</f>
        <v>#VALUE!</v>
      </c>
      <c r="GG446" t="e">
        <f>'Latin America and Caribbean'!B434+"n/&gt;!5NG"</f>
        <v>#VALUE!</v>
      </c>
      <c r="GH446" t="e">
        <f>'Latin America and Caribbean'!C434+"n/&gt;!5NH"</f>
        <v>#VALUE!</v>
      </c>
      <c r="GI446" t="e">
        <f>'Latin America and Caribbean'!D434+"n/&gt;!5NI"</f>
        <v>#VALUE!</v>
      </c>
      <c r="GJ446" t="e">
        <f>'Latin America and Caribbean'!E434+"n/&gt;!5NJ"</f>
        <v>#VALUE!</v>
      </c>
      <c r="GK446" t="e">
        <f>'Latin America and Caribbean'!F434+"n/&gt;!5NK"</f>
        <v>#VALUE!</v>
      </c>
      <c r="GL446" t="e">
        <f>'Latin America and Caribbean'!G434+"n/&gt;!5NL"</f>
        <v>#VALUE!</v>
      </c>
      <c r="GM446" t="e">
        <f>'Latin America and Caribbean'!H434+"n/&gt;!5NM"</f>
        <v>#VALUE!</v>
      </c>
      <c r="GN446" t="e">
        <f>'Latin America and Caribbean'!I434+"n/&gt;!5NN"</f>
        <v>#VALUE!</v>
      </c>
      <c r="GO446" t="e">
        <f>'Latin America and Caribbean'!A435+"n/&gt;!5NO"</f>
        <v>#VALUE!</v>
      </c>
      <c r="GP446" t="e">
        <f>'Latin America and Caribbean'!B435+"n/&gt;!5NP"</f>
        <v>#VALUE!</v>
      </c>
      <c r="GQ446" t="e">
        <f>'Latin America and Caribbean'!C435+"n/&gt;!5NQ"</f>
        <v>#VALUE!</v>
      </c>
      <c r="GR446" t="e">
        <f>'Latin America and Caribbean'!D435+"n/&gt;!5NR"</f>
        <v>#VALUE!</v>
      </c>
      <c r="GS446" t="e">
        <f>'Latin America and Caribbean'!E435+"n/&gt;!5NS"</f>
        <v>#VALUE!</v>
      </c>
      <c r="GT446" t="e">
        <f>'Latin America and Caribbean'!F435+"n/&gt;!5NT"</f>
        <v>#VALUE!</v>
      </c>
      <c r="GU446" t="e">
        <f>'Latin America and Caribbean'!G435+"n/&gt;!5NU"</f>
        <v>#VALUE!</v>
      </c>
      <c r="GV446" t="e">
        <f>'Latin America and Caribbean'!H435+"n/&gt;!5NV"</f>
        <v>#VALUE!</v>
      </c>
      <c r="GW446" t="e">
        <f>'Latin America and Caribbean'!I435+"n/&gt;!5NW"</f>
        <v>#VALUE!</v>
      </c>
      <c r="GX446" t="e">
        <f>'Latin America and Caribbean'!A436+"n/&gt;!5NX"</f>
        <v>#VALUE!</v>
      </c>
      <c r="GY446" t="e">
        <f>'Latin America and Caribbean'!B436+"n/&gt;!5NY"</f>
        <v>#VALUE!</v>
      </c>
      <c r="GZ446" t="e">
        <f>'Latin America and Caribbean'!C436+"n/&gt;!5NZ"</f>
        <v>#VALUE!</v>
      </c>
      <c r="HA446" t="e">
        <f>'Latin America and Caribbean'!D436+"n/&gt;!5N["</f>
        <v>#VALUE!</v>
      </c>
      <c r="HB446" t="e">
        <f>'Latin America and Caribbean'!E436+"n/&gt;!5N\"</f>
        <v>#VALUE!</v>
      </c>
      <c r="HC446" t="e">
        <f>'Latin America and Caribbean'!F436+"n/&gt;!5N]"</f>
        <v>#VALUE!</v>
      </c>
      <c r="HD446" t="e">
        <f>'Latin America and Caribbean'!G436+"n/&gt;!5N^"</f>
        <v>#VALUE!</v>
      </c>
      <c r="HE446" t="e">
        <f>'Latin America and Caribbean'!H436+"n/&gt;!5N_"</f>
        <v>#VALUE!</v>
      </c>
      <c r="HF446" t="e">
        <f>'Latin America and Caribbean'!I436+"n/&gt;!5N`"</f>
        <v>#VALUE!</v>
      </c>
      <c r="HG446" t="e">
        <f>'Latin America and Caribbean'!A437+"n/&gt;!5Na"</f>
        <v>#VALUE!</v>
      </c>
      <c r="HH446" t="e">
        <f>'Latin America and Caribbean'!B437+"n/&gt;!5Nb"</f>
        <v>#VALUE!</v>
      </c>
      <c r="HI446" t="e">
        <f>'Latin America and Caribbean'!C437+"n/&gt;!5Nc"</f>
        <v>#VALUE!</v>
      </c>
      <c r="HJ446" t="e">
        <f>'Latin America and Caribbean'!D437+"n/&gt;!5Nd"</f>
        <v>#VALUE!</v>
      </c>
      <c r="HK446" t="e">
        <f>'Latin America and Caribbean'!E437+"n/&gt;!5Ne"</f>
        <v>#VALUE!</v>
      </c>
      <c r="HL446" t="e">
        <f>'Latin America and Caribbean'!F437+"n/&gt;!5Nf"</f>
        <v>#VALUE!</v>
      </c>
      <c r="HM446" t="e">
        <f>'Latin America and Caribbean'!G437+"n/&gt;!5Ng"</f>
        <v>#VALUE!</v>
      </c>
      <c r="HN446" t="e">
        <f>'Latin America and Caribbean'!H437+"n/&gt;!5Nh"</f>
        <v>#VALUE!</v>
      </c>
      <c r="HO446" t="e">
        <f>'Latin America and Caribbean'!I437+"n/&gt;!5Ni"</f>
        <v>#VALUE!</v>
      </c>
      <c r="HP446" t="e">
        <f>'Latin America and Caribbean'!A438+"n/&gt;!5Nj"</f>
        <v>#VALUE!</v>
      </c>
      <c r="HQ446" t="e">
        <f>'Latin America and Caribbean'!B438+"n/&gt;!5Nk"</f>
        <v>#VALUE!</v>
      </c>
      <c r="HR446" t="e">
        <f>'Latin America and Caribbean'!C438+"n/&gt;!5Nl"</f>
        <v>#VALUE!</v>
      </c>
      <c r="HS446" t="e">
        <f>'Latin America and Caribbean'!D438+"n/&gt;!5Nm"</f>
        <v>#VALUE!</v>
      </c>
      <c r="HT446" t="e">
        <f>'Latin America and Caribbean'!E438+"n/&gt;!5Nn"</f>
        <v>#VALUE!</v>
      </c>
      <c r="HU446" t="e">
        <f>'Latin America and Caribbean'!F438+"n/&gt;!5No"</f>
        <v>#VALUE!</v>
      </c>
      <c r="HV446" t="e">
        <f>'Latin America and Caribbean'!G438+"n/&gt;!5Np"</f>
        <v>#VALUE!</v>
      </c>
      <c r="HW446" t="e">
        <f>'Latin America and Caribbean'!H438+"n/&gt;!5Nq"</f>
        <v>#VALUE!</v>
      </c>
      <c r="HX446" t="e">
        <f>'Latin America and Caribbean'!I438+"n/&gt;!5Nr"</f>
        <v>#VALUE!</v>
      </c>
      <c r="HY446" t="e">
        <f>'Latin America and Caribbean'!A439+"n/&gt;!5Ns"</f>
        <v>#VALUE!</v>
      </c>
      <c r="HZ446" t="e">
        <f>'Latin America and Caribbean'!B439+"n/&gt;!5Nt"</f>
        <v>#VALUE!</v>
      </c>
      <c r="IA446" t="e">
        <f>'Latin America and Caribbean'!C439+"n/&gt;!5Nu"</f>
        <v>#VALUE!</v>
      </c>
      <c r="IB446" t="e">
        <f>'Latin America and Caribbean'!D439+"n/&gt;!5Nv"</f>
        <v>#VALUE!</v>
      </c>
      <c r="IC446" t="e">
        <f>'Latin America and Caribbean'!E439+"n/&gt;!5Nw"</f>
        <v>#VALUE!</v>
      </c>
      <c r="ID446" t="e">
        <f>'Latin America and Caribbean'!F439+"n/&gt;!5Nx"</f>
        <v>#VALUE!</v>
      </c>
      <c r="IE446" t="e">
        <f>'Latin America and Caribbean'!G439+"n/&gt;!5Ny"</f>
        <v>#VALUE!</v>
      </c>
      <c r="IF446" t="e">
        <f>'Latin America and Caribbean'!H439+"n/&gt;!5Nz"</f>
        <v>#VALUE!</v>
      </c>
      <c r="IG446" t="e">
        <f>'Latin America and Caribbean'!I439+"n/&gt;!5N{"</f>
        <v>#VALUE!</v>
      </c>
      <c r="IH446" t="e">
        <f>'Latin America and Caribbean'!A440+"n/&gt;!5N|"</f>
        <v>#VALUE!</v>
      </c>
      <c r="II446" t="e">
        <f>'Latin America and Caribbean'!B440+"n/&gt;!5N}"</f>
        <v>#VALUE!</v>
      </c>
      <c r="IJ446" t="e">
        <f>'Latin America and Caribbean'!C440+"n/&gt;!5N~"</f>
        <v>#VALUE!</v>
      </c>
      <c r="IK446" t="e">
        <f>'Latin America and Caribbean'!D440+"n/&gt;!5O#"</f>
        <v>#VALUE!</v>
      </c>
      <c r="IL446" t="e">
        <f>'Latin America and Caribbean'!E440+"n/&gt;!5O$"</f>
        <v>#VALUE!</v>
      </c>
      <c r="IM446" t="e">
        <f>'Latin America and Caribbean'!F440+"n/&gt;!5O%"</f>
        <v>#VALUE!</v>
      </c>
      <c r="IN446" t="e">
        <f>'Latin America and Caribbean'!G440+"n/&gt;!5O&amp;"</f>
        <v>#VALUE!</v>
      </c>
      <c r="IO446" t="e">
        <f>'Latin America and Caribbean'!H440+"n/&gt;!5O'"</f>
        <v>#VALUE!</v>
      </c>
      <c r="IP446" t="e">
        <f>'Latin America and Caribbean'!I440+"n/&gt;!5O("</f>
        <v>#VALUE!</v>
      </c>
      <c r="IQ446" t="e">
        <f>'Latin America and Caribbean'!A441+"n/&gt;!5O)"</f>
        <v>#VALUE!</v>
      </c>
      <c r="IR446" t="e">
        <f>'Latin America and Caribbean'!B441+"n/&gt;!5O."</f>
        <v>#VALUE!</v>
      </c>
      <c r="IS446" t="e">
        <f>'Latin America and Caribbean'!C441+"n/&gt;!5O/"</f>
        <v>#VALUE!</v>
      </c>
      <c r="IT446" t="e">
        <f>'Latin America and Caribbean'!D441+"n/&gt;!5O0"</f>
        <v>#VALUE!</v>
      </c>
      <c r="IU446" t="e">
        <f>'Latin America and Caribbean'!E441+"n/&gt;!5O1"</f>
        <v>#VALUE!</v>
      </c>
      <c r="IV446" t="e">
        <f>'Latin America and Caribbean'!F441+"n/&gt;!5O2"</f>
        <v>#VALUE!</v>
      </c>
    </row>
    <row r="447" spans="6:256" x14ac:dyDescent="0.35">
      <c r="F447" t="e">
        <f>'Latin America and Caribbean'!G441+"n/&gt;!5O3"</f>
        <v>#VALUE!</v>
      </c>
      <c r="G447" t="e">
        <f>'Latin America and Caribbean'!H441+"n/&gt;!5O4"</f>
        <v>#VALUE!</v>
      </c>
      <c r="H447" t="e">
        <f>'Latin America and Caribbean'!I441+"n/&gt;!5O5"</f>
        <v>#VALUE!</v>
      </c>
      <c r="I447" t="e">
        <f>'Latin America and Caribbean'!A442+"n/&gt;!5O6"</f>
        <v>#VALUE!</v>
      </c>
      <c r="J447" t="e">
        <f>'Latin America and Caribbean'!B442+"n/&gt;!5O7"</f>
        <v>#VALUE!</v>
      </c>
      <c r="K447" t="e">
        <f>'Latin America and Caribbean'!C442+"n/&gt;!5O8"</f>
        <v>#VALUE!</v>
      </c>
      <c r="L447" t="e">
        <f>'Latin America and Caribbean'!D442+"n/&gt;!5O9"</f>
        <v>#VALUE!</v>
      </c>
      <c r="M447" t="e">
        <f>'Latin America and Caribbean'!E442+"n/&gt;!5O:"</f>
        <v>#VALUE!</v>
      </c>
      <c r="N447" t="e">
        <f>'Latin America and Caribbean'!F442+"n/&gt;!5O;"</f>
        <v>#VALUE!</v>
      </c>
      <c r="O447" t="e">
        <f>'Latin America and Caribbean'!G442+"n/&gt;!5O&lt;"</f>
        <v>#VALUE!</v>
      </c>
      <c r="P447" t="e">
        <f>'Latin America and Caribbean'!H442+"n/&gt;!5O="</f>
        <v>#VALUE!</v>
      </c>
      <c r="Q447" t="e">
        <f>'Latin America and Caribbean'!I442+"n/&gt;!5O&gt;"</f>
        <v>#VALUE!</v>
      </c>
      <c r="R447" t="e">
        <f>'Latin America and Caribbean'!A443+"n/&gt;!5O?"</f>
        <v>#VALUE!</v>
      </c>
      <c r="S447" t="e">
        <f>'Latin America and Caribbean'!B443+"n/&gt;!5O@"</f>
        <v>#VALUE!</v>
      </c>
      <c r="T447" t="e">
        <f>'Latin America and Caribbean'!C443+"n/&gt;!5OA"</f>
        <v>#VALUE!</v>
      </c>
      <c r="U447" t="e">
        <f>'Latin America and Caribbean'!D443+"n/&gt;!5OB"</f>
        <v>#VALUE!</v>
      </c>
      <c r="V447" t="e">
        <f>'Latin America and Caribbean'!E443+"n/&gt;!5OC"</f>
        <v>#VALUE!</v>
      </c>
      <c r="W447" t="e">
        <f>'Latin America and Caribbean'!F443+"n/&gt;!5OD"</f>
        <v>#VALUE!</v>
      </c>
      <c r="X447" t="e">
        <f>'Latin America and Caribbean'!G443+"n/&gt;!5OE"</f>
        <v>#VALUE!</v>
      </c>
      <c r="Y447" t="e">
        <f>'Latin America and Caribbean'!H443+"n/&gt;!5OF"</f>
        <v>#VALUE!</v>
      </c>
      <c r="Z447" t="e">
        <f>'Latin America and Caribbean'!I443+"n/&gt;!5OG"</f>
        <v>#VALUE!</v>
      </c>
      <c r="AA447" t="e">
        <f>'Latin America and Caribbean'!A444+"n/&gt;!5OH"</f>
        <v>#VALUE!</v>
      </c>
      <c r="AB447" t="e">
        <f>'Latin America and Caribbean'!B444+"n/&gt;!5OI"</f>
        <v>#VALUE!</v>
      </c>
      <c r="AC447" t="e">
        <f>'Latin America and Caribbean'!C444+"n/&gt;!5OJ"</f>
        <v>#VALUE!</v>
      </c>
      <c r="AD447" t="e">
        <f>'Latin America and Caribbean'!D444+"n/&gt;!5OK"</f>
        <v>#VALUE!</v>
      </c>
      <c r="AE447" t="e">
        <f>'Latin America and Caribbean'!E444+"n/&gt;!5OL"</f>
        <v>#VALUE!</v>
      </c>
      <c r="AF447" t="e">
        <f>'Latin America and Caribbean'!F444+"n/&gt;!5OM"</f>
        <v>#VALUE!</v>
      </c>
      <c r="AG447" t="e">
        <f>'Latin America and Caribbean'!G444+"n/&gt;!5ON"</f>
        <v>#VALUE!</v>
      </c>
      <c r="AH447" t="e">
        <f>'Latin America and Caribbean'!H444+"n/&gt;!5OO"</f>
        <v>#VALUE!</v>
      </c>
      <c r="AI447" t="e">
        <f>'Latin America and Caribbean'!I444+"n/&gt;!5OP"</f>
        <v>#VALUE!</v>
      </c>
      <c r="AJ447" t="e">
        <f>'Latin America and Caribbean'!A445+"n/&gt;!5OQ"</f>
        <v>#VALUE!</v>
      </c>
      <c r="AK447" t="e">
        <f>'Latin America and Caribbean'!B445+"n/&gt;!5OR"</f>
        <v>#VALUE!</v>
      </c>
      <c r="AL447" t="e">
        <f>'Latin America and Caribbean'!C445+"n/&gt;!5OS"</f>
        <v>#VALUE!</v>
      </c>
      <c r="AM447" t="e">
        <f>'Latin America and Caribbean'!D445+"n/&gt;!5OT"</f>
        <v>#VALUE!</v>
      </c>
      <c r="AN447" t="e">
        <f>'Latin America and Caribbean'!E445+"n/&gt;!5OU"</f>
        <v>#VALUE!</v>
      </c>
      <c r="AO447" t="e">
        <f>'Latin America and Caribbean'!F445+"n/&gt;!5OV"</f>
        <v>#VALUE!</v>
      </c>
      <c r="AP447" t="e">
        <f>'Latin America and Caribbean'!G445+"n/&gt;!5OW"</f>
        <v>#VALUE!</v>
      </c>
      <c r="AQ447" t="e">
        <f>'Latin America and Caribbean'!H445+"n/&gt;!5OX"</f>
        <v>#VALUE!</v>
      </c>
      <c r="AR447" t="e">
        <f>'Latin America and Caribbean'!I445+"n/&gt;!5OY"</f>
        <v>#VALUE!</v>
      </c>
      <c r="AS447" t="e">
        <f>'Latin America and Caribbean'!A446+"n/&gt;!5OZ"</f>
        <v>#VALUE!</v>
      </c>
      <c r="AT447" t="e">
        <f>'Latin America and Caribbean'!B446+"n/&gt;!5O["</f>
        <v>#VALUE!</v>
      </c>
      <c r="AU447" t="e">
        <f>'Latin America and Caribbean'!C446+"n/&gt;!5O\"</f>
        <v>#VALUE!</v>
      </c>
      <c r="AV447" t="e">
        <f>'Latin America and Caribbean'!D446+"n/&gt;!5O]"</f>
        <v>#VALUE!</v>
      </c>
      <c r="AW447" t="e">
        <f>'Latin America and Caribbean'!E446+"n/&gt;!5O^"</f>
        <v>#VALUE!</v>
      </c>
      <c r="AX447" t="e">
        <f>'Latin America and Caribbean'!F446+"n/&gt;!5O_"</f>
        <v>#VALUE!</v>
      </c>
      <c r="AY447" t="e">
        <f>'Latin America and Caribbean'!G446+"n/&gt;!5O`"</f>
        <v>#VALUE!</v>
      </c>
      <c r="AZ447" t="e">
        <f>'Latin America and Caribbean'!H446+"n/&gt;!5Oa"</f>
        <v>#VALUE!</v>
      </c>
      <c r="BA447" t="e">
        <f>'Latin America and Caribbean'!I446+"n/&gt;!5Ob"</f>
        <v>#VALUE!</v>
      </c>
      <c r="BB447" t="e">
        <f>'Latin America and Caribbean'!A447+"n/&gt;!5Oc"</f>
        <v>#VALUE!</v>
      </c>
      <c r="BC447" t="e">
        <f>'Latin America and Caribbean'!B447+"n/&gt;!5Od"</f>
        <v>#VALUE!</v>
      </c>
      <c r="BD447" t="e">
        <f>'Latin America and Caribbean'!C447+"n/&gt;!5Oe"</f>
        <v>#VALUE!</v>
      </c>
      <c r="BE447" t="e">
        <f>'Latin America and Caribbean'!D447+"n/&gt;!5Of"</f>
        <v>#VALUE!</v>
      </c>
      <c r="BF447" t="e">
        <f>'Latin America and Caribbean'!E447+"n/&gt;!5Og"</f>
        <v>#VALUE!</v>
      </c>
      <c r="BG447" t="e">
        <f>'Latin America and Caribbean'!F447+"n/&gt;!5Oh"</f>
        <v>#VALUE!</v>
      </c>
      <c r="BH447" t="e">
        <f>'Latin America and Caribbean'!G447+"n/&gt;!5Oi"</f>
        <v>#VALUE!</v>
      </c>
      <c r="BI447" t="e">
        <f>'Latin America and Caribbean'!H447+"n/&gt;!5Oj"</f>
        <v>#VALUE!</v>
      </c>
      <c r="BJ447" t="e">
        <f>'Latin America and Caribbean'!I447+"n/&gt;!5Ok"</f>
        <v>#VALUE!</v>
      </c>
      <c r="BK447" t="e">
        <f>'Latin America and Caribbean'!A448+"n/&gt;!5Ol"</f>
        <v>#VALUE!</v>
      </c>
      <c r="BL447" t="e">
        <f>'Latin America and Caribbean'!B448+"n/&gt;!5Om"</f>
        <v>#VALUE!</v>
      </c>
      <c r="BM447" t="e">
        <f>'Latin America and Caribbean'!C448+"n/&gt;!5On"</f>
        <v>#VALUE!</v>
      </c>
      <c r="BN447" t="e">
        <f>'Latin America and Caribbean'!D448+"n/&gt;!5Oo"</f>
        <v>#VALUE!</v>
      </c>
      <c r="BO447" t="e">
        <f>'Latin America and Caribbean'!E448+"n/&gt;!5Op"</f>
        <v>#VALUE!</v>
      </c>
      <c r="BP447" t="e">
        <f>'Latin America and Caribbean'!F448+"n/&gt;!5Oq"</f>
        <v>#VALUE!</v>
      </c>
      <c r="BQ447" t="e">
        <f>'Latin America and Caribbean'!G448+"n/&gt;!5Or"</f>
        <v>#VALUE!</v>
      </c>
      <c r="BR447" t="e">
        <f>'Latin America and Caribbean'!H448+"n/&gt;!5Os"</f>
        <v>#VALUE!</v>
      </c>
      <c r="BS447" t="e">
        <f>'Latin America and Caribbean'!I448+"n/&gt;!5Ot"</f>
        <v>#VALUE!</v>
      </c>
      <c r="BT447" t="e">
        <f>'Latin America and Caribbean'!A449+"n/&gt;!5Ou"</f>
        <v>#VALUE!</v>
      </c>
      <c r="BU447" t="e">
        <f>'Latin America and Caribbean'!B449+"n/&gt;!5Ov"</f>
        <v>#VALUE!</v>
      </c>
      <c r="BV447" t="e">
        <f>'Latin America and Caribbean'!C449+"n/&gt;!5Ow"</f>
        <v>#VALUE!</v>
      </c>
      <c r="BW447" t="e">
        <f>'Latin America and Caribbean'!D449+"n/&gt;!5Ox"</f>
        <v>#VALUE!</v>
      </c>
      <c r="BX447" t="e">
        <f>'Latin America and Caribbean'!E449+"n/&gt;!5Oy"</f>
        <v>#VALUE!</v>
      </c>
      <c r="BY447" t="e">
        <f>'Latin America and Caribbean'!F449+"n/&gt;!5Oz"</f>
        <v>#VALUE!</v>
      </c>
      <c r="BZ447" t="e">
        <f>'Latin America and Caribbean'!G449+"n/&gt;!5O{"</f>
        <v>#VALUE!</v>
      </c>
      <c r="CA447" t="e">
        <f>'Latin America and Caribbean'!H449+"n/&gt;!5O|"</f>
        <v>#VALUE!</v>
      </c>
      <c r="CB447" t="e">
        <f>'Latin America and Caribbean'!I449+"n/&gt;!5O}"</f>
        <v>#VALUE!</v>
      </c>
      <c r="CC447" t="e">
        <f>'Latin America and Caribbean'!A450+"n/&gt;!5O~"</f>
        <v>#VALUE!</v>
      </c>
      <c r="CD447" t="e">
        <f>'Latin America and Caribbean'!B450+"n/&gt;!5P#"</f>
        <v>#VALUE!</v>
      </c>
      <c r="CE447" t="e">
        <f>'Latin America and Caribbean'!C450+"n/&gt;!5P$"</f>
        <v>#VALUE!</v>
      </c>
      <c r="CF447" t="e">
        <f>'Latin America and Caribbean'!D450+"n/&gt;!5P%"</f>
        <v>#VALUE!</v>
      </c>
      <c r="CG447" t="e">
        <f>'Latin America and Caribbean'!E450+"n/&gt;!5P&amp;"</f>
        <v>#VALUE!</v>
      </c>
      <c r="CH447" t="e">
        <f>'Latin America and Caribbean'!F450+"n/&gt;!5P'"</f>
        <v>#VALUE!</v>
      </c>
      <c r="CI447" t="e">
        <f>'Latin America and Caribbean'!G450+"n/&gt;!5P("</f>
        <v>#VALUE!</v>
      </c>
      <c r="CJ447" t="e">
        <f>'Latin America and Caribbean'!H450+"n/&gt;!5P)"</f>
        <v>#VALUE!</v>
      </c>
      <c r="CK447" t="e">
        <f>'Latin America and Caribbean'!I450+"n/&gt;!5P."</f>
        <v>#VALUE!</v>
      </c>
      <c r="CL447" t="e">
        <f>'Latin America and Caribbean'!A451+"n/&gt;!5P/"</f>
        <v>#VALUE!</v>
      </c>
      <c r="CM447" t="e">
        <f>'Latin America and Caribbean'!B451+"n/&gt;!5P0"</f>
        <v>#VALUE!</v>
      </c>
      <c r="CN447" t="e">
        <f>'Latin America and Caribbean'!C451+"n/&gt;!5P1"</f>
        <v>#VALUE!</v>
      </c>
      <c r="CO447" t="e">
        <f>'Latin America and Caribbean'!D451+"n/&gt;!5P2"</f>
        <v>#VALUE!</v>
      </c>
      <c r="CP447" t="e">
        <f>'Latin America and Caribbean'!E451+"n/&gt;!5P3"</f>
        <v>#VALUE!</v>
      </c>
      <c r="CQ447" t="e">
        <f>'Latin America and Caribbean'!F451+"n/&gt;!5P4"</f>
        <v>#VALUE!</v>
      </c>
      <c r="CR447" t="e">
        <f>'Latin America and Caribbean'!G451+"n/&gt;!5P5"</f>
        <v>#VALUE!</v>
      </c>
      <c r="CS447" t="e">
        <f>'Latin America and Caribbean'!H451+"n/&gt;!5P6"</f>
        <v>#VALUE!</v>
      </c>
      <c r="CT447" t="e">
        <f>'Latin America and Caribbean'!I451+"n/&gt;!5P7"</f>
        <v>#VALUE!</v>
      </c>
      <c r="CU447" t="e">
        <f>'Latin America and Caribbean'!A452+"n/&gt;!5P8"</f>
        <v>#VALUE!</v>
      </c>
      <c r="CV447" t="e">
        <f>'Latin America and Caribbean'!B452+"n/&gt;!5P9"</f>
        <v>#VALUE!</v>
      </c>
      <c r="CW447" t="e">
        <f>'Latin America and Caribbean'!C452+"n/&gt;!5P:"</f>
        <v>#VALUE!</v>
      </c>
      <c r="CX447" t="e">
        <f>'Latin America and Caribbean'!D452+"n/&gt;!5P;"</f>
        <v>#VALUE!</v>
      </c>
      <c r="CY447" t="e">
        <f>'Latin America and Caribbean'!E452+"n/&gt;!5P&lt;"</f>
        <v>#VALUE!</v>
      </c>
      <c r="CZ447" t="e">
        <f>'Latin America and Caribbean'!F452+"n/&gt;!5P="</f>
        <v>#VALUE!</v>
      </c>
      <c r="DA447" t="e">
        <f>'Latin America and Caribbean'!G452+"n/&gt;!5P&gt;"</f>
        <v>#VALUE!</v>
      </c>
      <c r="DB447" t="e">
        <f>'Latin America and Caribbean'!H452+"n/&gt;!5P?"</f>
        <v>#VALUE!</v>
      </c>
      <c r="DC447" t="e">
        <f>'Latin America and Caribbean'!I452+"n/&gt;!5P@"</f>
        <v>#VALUE!</v>
      </c>
      <c r="DD447" t="e">
        <f>'Latin America and Caribbean'!A453+"n/&gt;!5PA"</f>
        <v>#VALUE!</v>
      </c>
      <c r="DE447" t="e">
        <f>'Latin America and Caribbean'!B453+"n/&gt;!5PB"</f>
        <v>#VALUE!</v>
      </c>
      <c r="DF447" t="e">
        <f>'Latin America and Caribbean'!C453+"n/&gt;!5PC"</f>
        <v>#VALUE!</v>
      </c>
      <c r="DG447" t="e">
        <f>'Latin America and Caribbean'!D453+"n/&gt;!5PD"</f>
        <v>#VALUE!</v>
      </c>
      <c r="DH447" t="e">
        <f>'Latin America and Caribbean'!E453+"n/&gt;!5PE"</f>
        <v>#VALUE!</v>
      </c>
      <c r="DI447" t="e">
        <f>'Latin America and Caribbean'!F453+"n/&gt;!5PF"</f>
        <v>#VALUE!</v>
      </c>
      <c r="DJ447" t="e">
        <f>'Latin America and Caribbean'!G453+"n/&gt;!5PG"</f>
        <v>#VALUE!</v>
      </c>
      <c r="DK447" t="e">
        <f>'Latin America and Caribbean'!H453+"n/&gt;!5PH"</f>
        <v>#VALUE!</v>
      </c>
      <c r="DL447" t="e">
        <f>'Latin America and Caribbean'!I453+"n/&gt;!5PI"</f>
        <v>#VALUE!</v>
      </c>
      <c r="DM447" t="e">
        <f>'Latin America and Caribbean'!A454+"n/&gt;!5PJ"</f>
        <v>#VALUE!</v>
      </c>
      <c r="DN447" t="e">
        <f>'Latin America and Caribbean'!B454+"n/&gt;!5PK"</f>
        <v>#VALUE!</v>
      </c>
      <c r="DO447" t="e">
        <f>'Latin America and Caribbean'!C454+"n/&gt;!5PL"</f>
        <v>#VALUE!</v>
      </c>
      <c r="DP447" t="e">
        <f>'Latin America and Caribbean'!D454+"n/&gt;!5PM"</f>
        <v>#VALUE!</v>
      </c>
      <c r="DQ447" t="e">
        <f>'Latin America and Caribbean'!E454+"n/&gt;!5PN"</f>
        <v>#VALUE!</v>
      </c>
      <c r="DR447" t="e">
        <f>'Latin America and Caribbean'!F454+"n/&gt;!5PO"</f>
        <v>#VALUE!</v>
      </c>
      <c r="DS447" t="e">
        <f>'Latin America and Caribbean'!G454+"n/&gt;!5PP"</f>
        <v>#VALUE!</v>
      </c>
      <c r="DT447" t="e">
        <f>'Latin America and Caribbean'!H454+"n/&gt;!5PQ"</f>
        <v>#VALUE!</v>
      </c>
      <c r="DU447" t="e">
        <f>'Latin America and Caribbean'!I454+"n/&gt;!5PR"</f>
        <v>#VALUE!</v>
      </c>
      <c r="DV447" t="e">
        <f>'Latin America and Caribbean'!A455+"n/&gt;!5PS"</f>
        <v>#VALUE!</v>
      </c>
      <c r="DW447" t="e">
        <f>'Latin America and Caribbean'!B455+"n/&gt;!5PT"</f>
        <v>#VALUE!</v>
      </c>
      <c r="DX447" t="e">
        <f>'Latin America and Caribbean'!C455+"n/&gt;!5PU"</f>
        <v>#VALUE!</v>
      </c>
      <c r="DY447" t="e">
        <f>'Latin America and Caribbean'!D455+"n/&gt;!5PV"</f>
        <v>#VALUE!</v>
      </c>
      <c r="DZ447" t="e">
        <f>'Latin America and Caribbean'!E455+"n/&gt;!5PW"</f>
        <v>#VALUE!</v>
      </c>
      <c r="EA447" t="e">
        <f>'Latin America and Caribbean'!F455+"n/&gt;!5PX"</f>
        <v>#VALUE!</v>
      </c>
      <c r="EB447" t="e">
        <f>'Latin America and Caribbean'!G455+"n/&gt;!5PY"</f>
        <v>#VALUE!</v>
      </c>
      <c r="EC447" t="e">
        <f>'Latin America and Caribbean'!H455+"n/&gt;!5PZ"</f>
        <v>#VALUE!</v>
      </c>
      <c r="ED447" t="e">
        <f>'Latin America and Caribbean'!I455+"n/&gt;!5P["</f>
        <v>#VALUE!</v>
      </c>
      <c r="EE447" t="e">
        <f>'Latin America and Caribbean'!A456+"n/&gt;!5P\"</f>
        <v>#VALUE!</v>
      </c>
      <c r="EF447" t="e">
        <f>'Latin America and Caribbean'!B456+"n/&gt;!5P]"</f>
        <v>#VALUE!</v>
      </c>
      <c r="EG447" t="e">
        <f>'Latin America and Caribbean'!C456+"n/&gt;!5P^"</f>
        <v>#VALUE!</v>
      </c>
      <c r="EH447" t="e">
        <f>'Latin America and Caribbean'!D456+"n/&gt;!5P_"</f>
        <v>#VALUE!</v>
      </c>
      <c r="EI447" t="e">
        <f>'Latin America and Caribbean'!E456+"n/&gt;!5P`"</f>
        <v>#VALUE!</v>
      </c>
      <c r="EJ447" t="e">
        <f>'Latin America and Caribbean'!F456+"n/&gt;!5Pa"</f>
        <v>#VALUE!</v>
      </c>
      <c r="EK447" t="e">
        <f>'Latin America and Caribbean'!G456+"n/&gt;!5Pb"</f>
        <v>#VALUE!</v>
      </c>
      <c r="EL447" t="e">
        <f>'Latin America and Caribbean'!H456+"n/&gt;!5Pc"</f>
        <v>#VALUE!</v>
      </c>
      <c r="EM447" t="e">
        <f>'Latin America and Caribbean'!I456+"n/&gt;!5Pd"</f>
        <v>#VALUE!</v>
      </c>
      <c r="EN447" t="e">
        <f>'Latin America and Caribbean'!A457+"n/&gt;!5Pe"</f>
        <v>#VALUE!</v>
      </c>
      <c r="EO447" t="e">
        <f>'Latin America and Caribbean'!B457+"n/&gt;!5Pf"</f>
        <v>#VALUE!</v>
      </c>
      <c r="EP447" t="e">
        <f>'Latin America and Caribbean'!C457+"n/&gt;!5Pg"</f>
        <v>#VALUE!</v>
      </c>
      <c r="EQ447" t="e">
        <f>'Latin America and Caribbean'!D457+"n/&gt;!5Ph"</f>
        <v>#VALUE!</v>
      </c>
      <c r="ER447" t="e">
        <f>'Latin America and Caribbean'!E457+"n/&gt;!5Pi"</f>
        <v>#VALUE!</v>
      </c>
      <c r="ES447" t="e">
        <f>'Latin America and Caribbean'!F457+"n/&gt;!5Pj"</f>
        <v>#VALUE!</v>
      </c>
      <c r="ET447" t="e">
        <f>'Latin America and Caribbean'!G457+"n/&gt;!5Pk"</f>
        <v>#VALUE!</v>
      </c>
      <c r="EU447" t="e">
        <f>'Latin America and Caribbean'!H457+"n/&gt;!5Pl"</f>
        <v>#VALUE!</v>
      </c>
      <c r="EV447" t="e">
        <f>'Latin America and Caribbean'!I457+"n/&gt;!5Pm"</f>
        <v>#VALUE!</v>
      </c>
      <c r="EW447" t="e">
        <f>'Latin America and Caribbean'!A458+"n/&gt;!5Pn"</f>
        <v>#VALUE!</v>
      </c>
      <c r="EX447" t="e">
        <f>'Latin America and Caribbean'!B458+"n/&gt;!5Po"</f>
        <v>#VALUE!</v>
      </c>
      <c r="EY447" t="e">
        <f>'Latin America and Caribbean'!C458+"n/&gt;!5Pp"</f>
        <v>#VALUE!</v>
      </c>
      <c r="EZ447" t="e">
        <f>'Latin America and Caribbean'!D458+"n/&gt;!5Pq"</f>
        <v>#VALUE!</v>
      </c>
      <c r="FA447" t="e">
        <f>'Latin America and Caribbean'!E458+"n/&gt;!5Pr"</f>
        <v>#VALUE!</v>
      </c>
      <c r="FB447" t="e">
        <f>'Latin America and Caribbean'!F458+"n/&gt;!5Ps"</f>
        <v>#VALUE!</v>
      </c>
      <c r="FC447" t="e">
        <f>'Latin America and Caribbean'!G458+"n/&gt;!5Pt"</f>
        <v>#VALUE!</v>
      </c>
      <c r="FD447" t="e">
        <f>'Latin America and Caribbean'!H458+"n/&gt;!5Pu"</f>
        <v>#VALUE!</v>
      </c>
      <c r="FE447" t="e">
        <f>'Latin America and Caribbean'!I458+"n/&gt;!5Pv"</f>
        <v>#VALUE!</v>
      </c>
      <c r="FF447" t="e">
        <f>'Latin America and Caribbean'!A459+"n/&gt;!5Pw"</f>
        <v>#VALUE!</v>
      </c>
      <c r="FG447" t="e">
        <f>'Latin America and Caribbean'!B459+"n/&gt;!5Px"</f>
        <v>#VALUE!</v>
      </c>
      <c r="FH447" t="e">
        <f>'Latin America and Caribbean'!C459+"n/&gt;!5Py"</f>
        <v>#VALUE!</v>
      </c>
      <c r="FI447" t="e">
        <f>'Latin America and Caribbean'!D459+"n/&gt;!5Pz"</f>
        <v>#VALUE!</v>
      </c>
      <c r="FJ447" t="e">
        <f>'Latin America and Caribbean'!E459+"n/&gt;!5P{"</f>
        <v>#VALUE!</v>
      </c>
      <c r="FK447" t="e">
        <f>'Latin America and Caribbean'!F459+"n/&gt;!5P|"</f>
        <v>#VALUE!</v>
      </c>
      <c r="FL447" t="e">
        <f>'Latin America and Caribbean'!G459+"n/&gt;!5P}"</f>
        <v>#VALUE!</v>
      </c>
      <c r="FM447" t="e">
        <f>'Latin America and Caribbean'!H459+"n/&gt;!5P~"</f>
        <v>#VALUE!</v>
      </c>
      <c r="FN447" t="e">
        <f>'Latin America and Caribbean'!I459+"n/&gt;!5Q#"</f>
        <v>#VALUE!</v>
      </c>
      <c r="FO447" t="e">
        <f>'Latin America and Caribbean'!A460+"n/&gt;!5Q$"</f>
        <v>#VALUE!</v>
      </c>
      <c r="FP447" t="e">
        <f>'Latin America and Caribbean'!B460+"n/&gt;!5Q%"</f>
        <v>#VALUE!</v>
      </c>
      <c r="FQ447" t="e">
        <f>'Latin America and Caribbean'!C460+"n/&gt;!5Q&amp;"</f>
        <v>#VALUE!</v>
      </c>
      <c r="FR447" t="e">
        <f>'Latin America and Caribbean'!D460+"n/&gt;!5Q'"</f>
        <v>#VALUE!</v>
      </c>
      <c r="FS447" t="e">
        <f>'Latin America and Caribbean'!E460+"n/&gt;!5Q("</f>
        <v>#VALUE!</v>
      </c>
      <c r="FT447" t="e">
        <f>'Latin America and Caribbean'!F460+"n/&gt;!5Q)"</f>
        <v>#VALUE!</v>
      </c>
      <c r="FU447" t="e">
        <f>'Latin America and Caribbean'!G460+"n/&gt;!5Q."</f>
        <v>#VALUE!</v>
      </c>
      <c r="FV447" t="e">
        <f>'Latin America and Caribbean'!H460+"n/&gt;!5Q/"</f>
        <v>#VALUE!</v>
      </c>
      <c r="FW447" t="e">
        <f>'Latin America and Caribbean'!I460+"n/&gt;!5Q0"</f>
        <v>#VALUE!</v>
      </c>
      <c r="FX447" t="e">
        <f>'Latin America and Caribbean'!A461+"n/&gt;!5Q1"</f>
        <v>#VALUE!</v>
      </c>
      <c r="FY447" t="e">
        <f>'Latin America and Caribbean'!B461+"n/&gt;!5Q2"</f>
        <v>#VALUE!</v>
      </c>
      <c r="FZ447" t="e">
        <f>'Latin America and Caribbean'!C461+"n/&gt;!5Q3"</f>
        <v>#VALUE!</v>
      </c>
      <c r="GA447" t="e">
        <f>'Latin America and Caribbean'!D461+"n/&gt;!5Q4"</f>
        <v>#VALUE!</v>
      </c>
      <c r="GB447" t="e">
        <f>'Latin America and Caribbean'!E461+"n/&gt;!5Q5"</f>
        <v>#VALUE!</v>
      </c>
      <c r="GC447" t="e">
        <f>'Latin America and Caribbean'!F461+"n/&gt;!5Q6"</f>
        <v>#VALUE!</v>
      </c>
      <c r="GD447" t="e">
        <f>'Latin America and Caribbean'!G461+"n/&gt;!5Q7"</f>
        <v>#VALUE!</v>
      </c>
      <c r="GE447" t="e">
        <f>'Latin America and Caribbean'!H461+"n/&gt;!5Q8"</f>
        <v>#VALUE!</v>
      </c>
      <c r="GF447" t="e">
        <f>'Latin America and Caribbean'!I461+"n/&gt;!5Q9"</f>
        <v>#VALUE!</v>
      </c>
      <c r="GG447" t="e">
        <f>'Latin America and Caribbean'!A462+"n/&gt;!5Q:"</f>
        <v>#VALUE!</v>
      </c>
      <c r="GH447" t="e">
        <f>'Latin America and Caribbean'!B462+"n/&gt;!5Q;"</f>
        <v>#VALUE!</v>
      </c>
      <c r="GI447" t="e">
        <f>'Latin America and Caribbean'!C462+"n/&gt;!5Q&lt;"</f>
        <v>#VALUE!</v>
      </c>
      <c r="GJ447" t="e">
        <f>'Latin America and Caribbean'!D462+"n/&gt;!5Q="</f>
        <v>#VALUE!</v>
      </c>
      <c r="GK447" t="e">
        <f>'Latin America and Caribbean'!E462+"n/&gt;!5Q&gt;"</f>
        <v>#VALUE!</v>
      </c>
      <c r="GL447" t="e">
        <f>'Latin America and Caribbean'!F462+"n/&gt;!5Q?"</f>
        <v>#VALUE!</v>
      </c>
      <c r="GM447" t="e">
        <f>'Latin America and Caribbean'!G462+"n/&gt;!5Q@"</f>
        <v>#VALUE!</v>
      </c>
      <c r="GN447" t="e">
        <f>'Latin America and Caribbean'!H462+"n/&gt;!5QA"</f>
        <v>#VALUE!</v>
      </c>
      <c r="GO447" t="e">
        <f>'Latin America and Caribbean'!I462+"n/&gt;!5QB"</f>
        <v>#VALUE!</v>
      </c>
      <c r="GP447" t="e">
        <f>'Latin America and Caribbean'!A463+"n/&gt;!5QC"</f>
        <v>#VALUE!</v>
      </c>
      <c r="GQ447" t="e">
        <f>'Latin America and Caribbean'!B463+"n/&gt;!5QD"</f>
        <v>#VALUE!</v>
      </c>
      <c r="GR447" t="e">
        <f>'Latin America and Caribbean'!C463+"n/&gt;!5QE"</f>
        <v>#VALUE!</v>
      </c>
      <c r="GS447" t="e">
        <f>'Latin America and Caribbean'!D463+"n/&gt;!5QF"</f>
        <v>#VALUE!</v>
      </c>
      <c r="GT447" t="e">
        <f>'Latin America and Caribbean'!E463+"n/&gt;!5QG"</f>
        <v>#VALUE!</v>
      </c>
      <c r="GU447" t="e">
        <f>'Latin America and Caribbean'!F463+"n/&gt;!5QH"</f>
        <v>#VALUE!</v>
      </c>
      <c r="GV447" t="e">
        <f>'Latin America and Caribbean'!G463+"n/&gt;!5QI"</f>
        <v>#VALUE!</v>
      </c>
      <c r="GW447" t="e">
        <f>'Latin America and Caribbean'!H463+"n/&gt;!5QJ"</f>
        <v>#VALUE!</v>
      </c>
      <c r="GX447" t="e">
        <f>'Latin America and Caribbean'!I463+"n/&gt;!5QK"</f>
        <v>#VALUE!</v>
      </c>
      <c r="GY447" t="e">
        <f>'Latin America and Caribbean'!A464+"n/&gt;!5QL"</f>
        <v>#VALUE!</v>
      </c>
      <c r="GZ447" t="e">
        <f>'Latin America and Caribbean'!B464+"n/&gt;!5QM"</f>
        <v>#VALUE!</v>
      </c>
      <c r="HA447" t="e">
        <f>'Latin America and Caribbean'!C464+"n/&gt;!5QN"</f>
        <v>#VALUE!</v>
      </c>
      <c r="HB447" t="e">
        <f>'Latin America and Caribbean'!D464+"n/&gt;!5QO"</f>
        <v>#VALUE!</v>
      </c>
      <c r="HC447" t="e">
        <f>'Latin America and Caribbean'!E464+"n/&gt;!5QP"</f>
        <v>#VALUE!</v>
      </c>
      <c r="HD447" t="e">
        <f>'Latin America and Caribbean'!F464+"n/&gt;!5QQ"</f>
        <v>#VALUE!</v>
      </c>
      <c r="HE447" t="e">
        <f>'Latin America and Caribbean'!G464+"n/&gt;!5QR"</f>
        <v>#VALUE!</v>
      </c>
      <c r="HF447" t="e">
        <f>'Latin America and Caribbean'!H464+"n/&gt;!5QS"</f>
        <v>#VALUE!</v>
      </c>
      <c r="HG447" t="e">
        <f>'Latin America and Caribbean'!I464+"n/&gt;!5QT"</f>
        <v>#VALUE!</v>
      </c>
      <c r="HH447" t="e">
        <f>'Latin America and Caribbean'!A465+"n/&gt;!5QU"</f>
        <v>#VALUE!</v>
      </c>
      <c r="HI447" t="e">
        <f>'Latin America and Caribbean'!B465+"n/&gt;!5QV"</f>
        <v>#VALUE!</v>
      </c>
      <c r="HJ447" t="e">
        <f>'Latin America and Caribbean'!C465+"n/&gt;!5QW"</f>
        <v>#VALUE!</v>
      </c>
      <c r="HK447" t="e">
        <f>'Latin America and Caribbean'!D465+"n/&gt;!5QX"</f>
        <v>#VALUE!</v>
      </c>
      <c r="HL447" t="e">
        <f>'Latin America and Caribbean'!E465+"n/&gt;!5QY"</f>
        <v>#VALUE!</v>
      </c>
      <c r="HM447" t="e">
        <f>'Latin America and Caribbean'!F465+"n/&gt;!5QZ"</f>
        <v>#VALUE!</v>
      </c>
      <c r="HN447" t="e">
        <f>'Latin America and Caribbean'!G465+"n/&gt;!5Q["</f>
        <v>#VALUE!</v>
      </c>
      <c r="HO447" t="e">
        <f>'Latin America and Caribbean'!H465+"n/&gt;!5Q\"</f>
        <v>#VALUE!</v>
      </c>
      <c r="HP447" t="e">
        <f>'Latin America and Caribbean'!I465+"n/&gt;!5Q]"</f>
        <v>#VALUE!</v>
      </c>
      <c r="HQ447" t="e">
        <f>'Latin America and Caribbean'!A466+"n/&gt;!5Q^"</f>
        <v>#VALUE!</v>
      </c>
      <c r="HR447" t="e">
        <f>'Latin America and Caribbean'!B466+"n/&gt;!5Q_"</f>
        <v>#VALUE!</v>
      </c>
      <c r="HS447" t="e">
        <f>'Latin America and Caribbean'!C466+"n/&gt;!5Q`"</f>
        <v>#VALUE!</v>
      </c>
      <c r="HT447" t="e">
        <f>'Latin America and Caribbean'!D466+"n/&gt;!5Qa"</f>
        <v>#VALUE!</v>
      </c>
      <c r="HU447" t="e">
        <f>'Latin America and Caribbean'!E466+"n/&gt;!5Qb"</f>
        <v>#VALUE!</v>
      </c>
      <c r="HV447" t="e">
        <f>'Latin America and Caribbean'!F466+"n/&gt;!5Qc"</f>
        <v>#VALUE!</v>
      </c>
      <c r="HW447" t="e">
        <f>'Latin America and Caribbean'!G466+"n/&gt;!5Qd"</f>
        <v>#VALUE!</v>
      </c>
      <c r="HX447" t="e">
        <f>'Latin America and Caribbean'!H466+"n/&gt;!5Qe"</f>
        <v>#VALUE!</v>
      </c>
      <c r="HY447" t="e">
        <f>'Latin America and Caribbean'!I466+"n/&gt;!5Qf"</f>
        <v>#VALUE!</v>
      </c>
      <c r="HZ447" t="e">
        <f>'Latin America and Caribbean'!A467+"n/&gt;!5Qg"</f>
        <v>#VALUE!</v>
      </c>
      <c r="IA447" t="e">
        <f>'Latin America and Caribbean'!B467+"n/&gt;!5Qh"</f>
        <v>#VALUE!</v>
      </c>
      <c r="IB447" t="e">
        <f>'Latin America and Caribbean'!C467+"n/&gt;!5Qi"</f>
        <v>#VALUE!</v>
      </c>
      <c r="IC447" t="e">
        <f>'Latin America and Caribbean'!D467+"n/&gt;!5Qj"</f>
        <v>#VALUE!</v>
      </c>
      <c r="ID447" t="e">
        <f>'Latin America and Caribbean'!E467+"n/&gt;!5Qk"</f>
        <v>#VALUE!</v>
      </c>
      <c r="IE447" t="e">
        <f>'Latin America and Caribbean'!F467+"n/&gt;!5Ql"</f>
        <v>#VALUE!</v>
      </c>
      <c r="IF447" t="e">
        <f>'Latin America and Caribbean'!G467+"n/&gt;!5Qm"</f>
        <v>#VALUE!</v>
      </c>
      <c r="IG447" t="e">
        <f>'Latin America and Caribbean'!H467+"n/&gt;!5Qn"</f>
        <v>#VALUE!</v>
      </c>
      <c r="IH447" t="e">
        <f>'Latin America and Caribbean'!I467+"n/&gt;!5Qo"</f>
        <v>#VALUE!</v>
      </c>
      <c r="II447" t="e">
        <f>'Latin America and Caribbean'!A468+"n/&gt;!5Qp"</f>
        <v>#VALUE!</v>
      </c>
      <c r="IJ447" t="e">
        <f>'Latin America and Caribbean'!B468+"n/&gt;!5Qq"</f>
        <v>#VALUE!</v>
      </c>
      <c r="IK447" t="e">
        <f>'Latin America and Caribbean'!C468+"n/&gt;!5Qr"</f>
        <v>#VALUE!</v>
      </c>
      <c r="IL447" t="e">
        <f>'Latin America and Caribbean'!D468+"n/&gt;!5Qs"</f>
        <v>#VALUE!</v>
      </c>
      <c r="IM447" t="e">
        <f>'Latin America and Caribbean'!E468+"n/&gt;!5Qt"</f>
        <v>#VALUE!</v>
      </c>
      <c r="IN447" t="e">
        <f>'Latin America and Caribbean'!F468+"n/&gt;!5Qu"</f>
        <v>#VALUE!</v>
      </c>
      <c r="IO447" t="e">
        <f>'Latin America and Caribbean'!G468+"n/&gt;!5Qv"</f>
        <v>#VALUE!</v>
      </c>
      <c r="IP447" t="e">
        <f>'Latin America and Caribbean'!H468+"n/&gt;!5Qw"</f>
        <v>#VALUE!</v>
      </c>
      <c r="IQ447" t="e">
        <f>'Latin America and Caribbean'!I468+"n/&gt;!5Qx"</f>
        <v>#VALUE!</v>
      </c>
      <c r="IR447" t="e">
        <f>'Latin America and Caribbean'!A469+"n/&gt;!5Qy"</f>
        <v>#VALUE!</v>
      </c>
      <c r="IS447" t="e">
        <f>'Latin America and Caribbean'!B469+"n/&gt;!5Qz"</f>
        <v>#VALUE!</v>
      </c>
      <c r="IT447" t="e">
        <f>'Latin America and Caribbean'!C469+"n/&gt;!5Q{"</f>
        <v>#VALUE!</v>
      </c>
      <c r="IU447" t="e">
        <f>'Latin America and Caribbean'!D469+"n/&gt;!5Q|"</f>
        <v>#VALUE!</v>
      </c>
      <c r="IV447" t="e">
        <f>'Latin America and Caribbean'!E469+"n/&gt;!5Q}"</f>
        <v>#VALUE!</v>
      </c>
    </row>
    <row r="448" spans="6:256" x14ac:dyDescent="0.35">
      <c r="F448" t="e">
        <f>'Latin America and Caribbean'!F469+"n/&gt;!5Q~"</f>
        <v>#VALUE!</v>
      </c>
      <c r="G448" t="e">
        <f>'Latin America and Caribbean'!G469+"n/&gt;!5R#"</f>
        <v>#VALUE!</v>
      </c>
      <c r="H448" t="e">
        <f>'Latin America and Caribbean'!H469+"n/&gt;!5R$"</f>
        <v>#VALUE!</v>
      </c>
      <c r="I448" t="e">
        <f>'Latin America and Caribbean'!I469+"n/&gt;!5R%"</f>
        <v>#VALUE!</v>
      </c>
      <c r="J448" t="e">
        <f>'Latin America and Caribbean'!A470+"n/&gt;!5R&amp;"</f>
        <v>#VALUE!</v>
      </c>
      <c r="K448" t="e">
        <f>'Latin America and Caribbean'!B470+"n/&gt;!5R'"</f>
        <v>#VALUE!</v>
      </c>
      <c r="L448" t="e">
        <f>'Latin America and Caribbean'!C470+"n/&gt;!5R("</f>
        <v>#VALUE!</v>
      </c>
      <c r="M448" t="e">
        <f>'Latin America and Caribbean'!D470+"n/&gt;!5R)"</f>
        <v>#VALUE!</v>
      </c>
      <c r="N448" t="e">
        <f>'Latin America and Caribbean'!E470+"n/&gt;!5R."</f>
        <v>#VALUE!</v>
      </c>
      <c r="O448" t="e">
        <f>'Latin America and Caribbean'!F470+"n/&gt;!5R/"</f>
        <v>#VALUE!</v>
      </c>
      <c r="P448" t="e">
        <f>'Latin America and Caribbean'!G470+"n/&gt;!5R0"</f>
        <v>#VALUE!</v>
      </c>
      <c r="Q448" t="e">
        <f>'Latin America and Caribbean'!H470+"n/&gt;!5R1"</f>
        <v>#VALUE!</v>
      </c>
      <c r="R448" t="e">
        <f>'Latin America and Caribbean'!I470+"n/&gt;!5R2"</f>
        <v>#VALUE!</v>
      </c>
      <c r="S448" t="e">
        <f>'Latin America and Caribbean'!A471+"n/&gt;!5R3"</f>
        <v>#VALUE!</v>
      </c>
      <c r="T448" t="e">
        <f>'Latin America and Caribbean'!B471+"n/&gt;!5R4"</f>
        <v>#VALUE!</v>
      </c>
      <c r="U448" t="e">
        <f>'Latin America and Caribbean'!C471+"n/&gt;!5R5"</f>
        <v>#VALUE!</v>
      </c>
      <c r="V448" t="e">
        <f>'Latin America and Caribbean'!D471+"n/&gt;!5R6"</f>
        <v>#VALUE!</v>
      </c>
      <c r="W448" t="e">
        <f>'Latin America and Caribbean'!E471+"n/&gt;!5R7"</f>
        <v>#VALUE!</v>
      </c>
      <c r="X448" t="e">
        <f>'Latin America and Caribbean'!F471+"n/&gt;!5R8"</f>
        <v>#VALUE!</v>
      </c>
      <c r="Y448" t="e">
        <f>'Latin America and Caribbean'!G471+"n/&gt;!5R9"</f>
        <v>#VALUE!</v>
      </c>
      <c r="Z448" t="e">
        <f>'Latin America and Caribbean'!H471+"n/&gt;!5R:"</f>
        <v>#VALUE!</v>
      </c>
      <c r="AA448" t="e">
        <f>'Latin America and Caribbean'!I471+"n/&gt;!5R;"</f>
        <v>#VALUE!</v>
      </c>
      <c r="AB448" t="e">
        <f>'Latin America and Caribbean'!A472+"n/&gt;!5R&lt;"</f>
        <v>#VALUE!</v>
      </c>
      <c r="AC448" t="e">
        <f>'Latin America and Caribbean'!B472+"n/&gt;!5R="</f>
        <v>#VALUE!</v>
      </c>
      <c r="AD448" t="e">
        <f>'Latin America and Caribbean'!C472+"n/&gt;!5R&gt;"</f>
        <v>#VALUE!</v>
      </c>
      <c r="AE448" t="e">
        <f>'Latin America and Caribbean'!D472+"n/&gt;!5R?"</f>
        <v>#VALUE!</v>
      </c>
      <c r="AF448" t="e">
        <f>'Latin America and Caribbean'!E472+"n/&gt;!5R@"</f>
        <v>#VALUE!</v>
      </c>
      <c r="AG448" t="e">
        <f>'Latin America and Caribbean'!F472+"n/&gt;!5RA"</f>
        <v>#VALUE!</v>
      </c>
      <c r="AH448" t="e">
        <f>'Latin America and Caribbean'!G472+"n/&gt;!5RB"</f>
        <v>#VALUE!</v>
      </c>
      <c r="AI448" t="e">
        <f>'Latin America and Caribbean'!H472+"n/&gt;!5RC"</f>
        <v>#VALUE!</v>
      </c>
      <c r="AJ448" t="e">
        <f>'Latin America and Caribbean'!I472+"n/&gt;!5RD"</f>
        <v>#VALUE!</v>
      </c>
      <c r="AK448" t="e">
        <f>'Latin America and Caribbean'!A473+"n/&gt;!5RE"</f>
        <v>#VALUE!</v>
      </c>
      <c r="AL448" t="e">
        <f>'Latin America and Caribbean'!B473+"n/&gt;!5RF"</f>
        <v>#VALUE!</v>
      </c>
      <c r="AM448" t="e">
        <f>'Latin America and Caribbean'!C473+"n/&gt;!5RG"</f>
        <v>#VALUE!</v>
      </c>
      <c r="AN448" t="e">
        <f>'Latin America and Caribbean'!D473+"n/&gt;!5RH"</f>
        <v>#VALUE!</v>
      </c>
      <c r="AO448" t="e">
        <f>'Latin America and Caribbean'!E473+"n/&gt;!5RI"</f>
        <v>#VALUE!</v>
      </c>
      <c r="AP448" t="e">
        <f>'Latin America and Caribbean'!F473+"n/&gt;!5RJ"</f>
        <v>#VALUE!</v>
      </c>
      <c r="AQ448" t="e">
        <f>'Latin America and Caribbean'!G473+"n/&gt;!5RK"</f>
        <v>#VALUE!</v>
      </c>
      <c r="AR448" t="e">
        <f>'Latin America and Caribbean'!H473+"n/&gt;!5RL"</f>
        <v>#VALUE!</v>
      </c>
      <c r="AS448" t="e">
        <f>'Latin America and Caribbean'!I473+"n/&gt;!5RM"</f>
        <v>#VALUE!</v>
      </c>
      <c r="AT448" t="e">
        <f>'Latin America and Caribbean'!A474+"n/&gt;!5RN"</f>
        <v>#VALUE!</v>
      </c>
      <c r="AU448" t="e">
        <f>'Latin America and Caribbean'!B474+"n/&gt;!5RO"</f>
        <v>#VALUE!</v>
      </c>
      <c r="AV448" t="e">
        <f>'Latin America and Caribbean'!C474+"n/&gt;!5RP"</f>
        <v>#VALUE!</v>
      </c>
      <c r="AW448" t="e">
        <f>'Latin America and Caribbean'!D474+"n/&gt;!5RQ"</f>
        <v>#VALUE!</v>
      </c>
      <c r="AX448" t="e">
        <f>'Latin America and Caribbean'!E474+"n/&gt;!5RR"</f>
        <v>#VALUE!</v>
      </c>
      <c r="AY448" t="e">
        <f>'Latin America and Caribbean'!F474+"n/&gt;!5RS"</f>
        <v>#VALUE!</v>
      </c>
      <c r="AZ448" t="e">
        <f>'Latin America and Caribbean'!G474+"n/&gt;!5RT"</f>
        <v>#VALUE!</v>
      </c>
      <c r="BA448" t="e">
        <f>'Latin America and Caribbean'!H474+"n/&gt;!5RU"</f>
        <v>#VALUE!</v>
      </c>
      <c r="BB448" t="e">
        <f>'Latin America and Caribbean'!I474+"n/&gt;!5RV"</f>
        <v>#VALUE!</v>
      </c>
      <c r="BC448" t="e">
        <f>'Latin America and Caribbean'!A475+"n/&gt;!5RW"</f>
        <v>#VALUE!</v>
      </c>
      <c r="BD448" t="e">
        <f>'Latin America and Caribbean'!B475+"n/&gt;!5RX"</f>
        <v>#VALUE!</v>
      </c>
      <c r="BE448" t="e">
        <f>'Latin America and Caribbean'!C475+"n/&gt;!5RY"</f>
        <v>#VALUE!</v>
      </c>
      <c r="BF448" t="e">
        <f>'Latin America and Caribbean'!D475+"n/&gt;!5RZ"</f>
        <v>#VALUE!</v>
      </c>
      <c r="BG448" t="e">
        <f>'Latin America and Caribbean'!E475+"n/&gt;!5R["</f>
        <v>#VALUE!</v>
      </c>
      <c r="BH448" t="e">
        <f>'Latin America and Caribbean'!F475+"n/&gt;!5R\"</f>
        <v>#VALUE!</v>
      </c>
      <c r="BI448" t="e">
        <f>'Latin America and Caribbean'!G475+"n/&gt;!5R]"</f>
        <v>#VALUE!</v>
      </c>
      <c r="BJ448" t="e">
        <f>'Latin America and Caribbean'!H475+"n/&gt;!5R^"</f>
        <v>#VALUE!</v>
      </c>
      <c r="BK448" t="e">
        <f>'Latin America and Caribbean'!I475+"n/&gt;!5R_"</f>
        <v>#VALUE!</v>
      </c>
      <c r="BL448" t="e">
        <f>'Latin America and Caribbean'!A476+"n/&gt;!5R`"</f>
        <v>#VALUE!</v>
      </c>
      <c r="BM448" t="e">
        <f>'Latin America and Caribbean'!B476+"n/&gt;!5Ra"</f>
        <v>#VALUE!</v>
      </c>
      <c r="BN448" t="e">
        <f>'Latin America and Caribbean'!C476+"n/&gt;!5Rb"</f>
        <v>#VALUE!</v>
      </c>
      <c r="BO448" t="e">
        <f>'Latin America and Caribbean'!D476+"n/&gt;!5Rc"</f>
        <v>#VALUE!</v>
      </c>
      <c r="BP448" t="e">
        <f>'Latin America and Caribbean'!E476+"n/&gt;!5Rd"</f>
        <v>#VALUE!</v>
      </c>
      <c r="BQ448" t="e">
        <f>'Latin America and Caribbean'!F476+"n/&gt;!5Re"</f>
        <v>#VALUE!</v>
      </c>
      <c r="BR448" t="e">
        <f>'Latin America and Caribbean'!G476+"n/&gt;!5Rf"</f>
        <v>#VALUE!</v>
      </c>
      <c r="BS448" t="e">
        <f>'Latin America and Caribbean'!H476+"n/&gt;!5Rg"</f>
        <v>#VALUE!</v>
      </c>
      <c r="BT448" t="e">
        <f>'Latin America and Caribbean'!I476+"n/&gt;!5Rh"</f>
        <v>#VALUE!</v>
      </c>
      <c r="BU448" t="e">
        <f>'Latin America and Caribbean'!A477+"n/&gt;!5Ri"</f>
        <v>#VALUE!</v>
      </c>
      <c r="BV448" t="e">
        <f>'Latin America and Caribbean'!B477+"n/&gt;!5Rj"</f>
        <v>#VALUE!</v>
      </c>
      <c r="BW448" t="e">
        <f>'Latin America and Caribbean'!C477+"n/&gt;!5Rk"</f>
        <v>#VALUE!</v>
      </c>
      <c r="BX448" t="e">
        <f>'Latin America and Caribbean'!D477+"n/&gt;!5Rl"</f>
        <v>#VALUE!</v>
      </c>
      <c r="BY448" t="e">
        <f>'Latin America and Caribbean'!E477+"n/&gt;!5Rm"</f>
        <v>#VALUE!</v>
      </c>
      <c r="BZ448" t="e">
        <f>'Latin America and Caribbean'!F477+"n/&gt;!5Rn"</f>
        <v>#VALUE!</v>
      </c>
      <c r="CA448" t="e">
        <f>'Latin America and Caribbean'!G477+"n/&gt;!5Ro"</f>
        <v>#VALUE!</v>
      </c>
      <c r="CB448" t="e">
        <f>'Latin America and Caribbean'!H477+"n/&gt;!5Rp"</f>
        <v>#VALUE!</v>
      </c>
      <c r="CC448" t="e">
        <f>'Latin America and Caribbean'!I477+"n/&gt;!5Rq"</f>
        <v>#VALUE!</v>
      </c>
      <c r="CD448" t="e">
        <f>'Latin America and Caribbean'!A478+"n/&gt;!5Rr"</f>
        <v>#VALUE!</v>
      </c>
      <c r="CE448" t="e">
        <f>'Latin America and Caribbean'!B478+"n/&gt;!5Rs"</f>
        <v>#VALUE!</v>
      </c>
      <c r="CF448" t="e">
        <f>'Latin America and Caribbean'!C478+"n/&gt;!5Rt"</f>
        <v>#VALUE!</v>
      </c>
      <c r="CG448" t="e">
        <f>'Latin America and Caribbean'!D478+"n/&gt;!5Ru"</f>
        <v>#VALUE!</v>
      </c>
      <c r="CH448" t="e">
        <f>'Latin America and Caribbean'!E478+"n/&gt;!5Rv"</f>
        <v>#VALUE!</v>
      </c>
      <c r="CI448" t="e">
        <f>'Latin America and Caribbean'!F478+"n/&gt;!5Rw"</f>
        <v>#VALUE!</v>
      </c>
      <c r="CJ448" t="e">
        <f>'Latin America and Caribbean'!G478+"n/&gt;!5Rx"</f>
        <v>#VALUE!</v>
      </c>
      <c r="CK448" t="e">
        <f>'Latin America and Caribbean'!H478+"n/&gt;!5Ry"</f>
        <v>#VALUE!</v>
      </c>
      <c r="CL448" t="e">
        <f>'Latin America and Caribbean'!I478+"n/&gt;!5Rz"</f>
        <v>#VALUE!</v>
      </c>
      <c r="CM448" t="e">
        <f>'Latin America and Caribbean'!A479+"n/&gt;!5R{"</f>
        <v>#VALUE!</v>
      </c>
      <c r="CN448" t="e">
        <f>'Latin America and Caribbean'!B479+"n/&gt;!5R|"</f>
        <v>#VALUE!</v>
      </c>
      <c r="CO448" t="e">
        <f>'Latin America and Caribbean'!C479+"n/&gt;!5R}"</f>
        <v>#VALUE!</v>
      </c>
      <c r="CP448" t="e">
        <f>'Latin America and Caribbean'!D479+"n/&gt;!5R~"</f>
        <v>#VALUE!</v>
      </c>
      <c r="CQ448" t="e">
        <f>'Latin America and Caribbean'!E479+"n/&gt;!5S#"</f>
        <v>#VALUE!</v>
      </c>
      <c r="CR448" t="e">
        <f>'Latin America and Caribbean'!F479+"n/&gt;!5S$"</f>
        <v>#VALUE!</v>
      </c>
      <c r="CS448" t="e">
        <f>'Latin America and Caribbean'!G479+"n/&gt;!5S%"</f>
        <v>#VALUE!</v>
      </c>
      <c r="CT448" t="e">
        <f>'Latin America and Caribbean'!H479+"n/&gt;!5S&amp;"</f>
        <v>#VALUE!</v>
      </c>
      <c r="CU448" t="e">
        <f>'Latin America and Caribbean'!I479+"n/&gt;!5S'"</f>
        <v>#VALUE!</v>
      </c>
      <c r="CV448" t="e">
        <f>'Latin America and Caribbean'!A480+"n/&gt;!5S("</f>
        <v>#VALUE!</v>
      </c>
      <c r="CW448" t="e">
        <f>'Latin America and Caribbean'!B480+"n/&gt;!5S)"</f>
        <v>#VALUE!</v>
      </c>
      <c r="CX448" t="e">
        <f>'Latin America and Caribbean'!C480+"n/&gt;!5S."</f>
        <v>#VALUE!</v>
      </c>
      <c r="CY448" t="e">
        <f>'Latin America and Caribbean'!D480+"n/&gt;!5S/"</f>
        <v>#VALUE!</v>
      </c>
      <c r="CZ448" t="e">
        <f>'Latin America and Caribbean'!E480+"n/&gt;!5S0"</f>
        <v>#VALUE!</v>
      </c>
      <c r="DA448" t="e">
        <f>'Latin America and Caribbean'!F480+"n/&gt;!5S1"</f>
        <v>#VALUE!</v>
      </c>
      <c r="DB448" t="e">
        <f>'Latin America and Caribbean'!G480+"n/&gt;!5S2"</f>
        <v>#VALUE!</v>
      </c>
      <c r="DC448" t="e">
        <f>'Latin America and Caribbean'!H480+"n/&gt;!5S3"</f>
        <v>#VALUE!</v>
      </c>
      <c r="DD448" t="e">
        <f>'Latin America and Caribbean'!I480+"n/&gt;!5S4"</f>
        <v>#VALUE!</v>
      </c>
      <c r="DE448" t="e">
        <f>'Latin America and Caribbean'!A481+"n/&gt;!5S5"</f>
        <v>#VALUE!</v>
      </c>
      <c r="DF448" t="e">
        <f>'Latin America and Caribbean'!B481+"n/&gt;!5S6"</f>
        <v>#VALUE!</v>
      </c>
      <c r="DG448" t="e">
        <f>'Latin America and Caribbean'!C481+"n/&gt;!5S7"</f>
        <v>#VALUE!</v>
      </c>
      <c r="DH448" t="e">
        <f>'Latin America and Caribbean'!D481+"n/&gt;!5S8"</f>
        <v>#VALUE!</v>
      </c>
      <c r="DI448" t="e">
        <f>'Latin America and Caribbean'!E481+"n/&gt;!5S9"</f>
        <v>#VALUE!</v>
      </c>
      <c r="DJ448" t="e">
        <f>'Latin America and Caribbean'!F481+"n/&gt;!5S:"</f>
        <v>#VALUE!</v>
      </c>
      <c r="DK448" t="e">
        <f>'Latin America and Caribbean'!G481+"n/&gt;!5S;"</f>
        <v>#VALUE!</v>
      </c>
      <c r="DL448" t="e">
        <f>'Latin America and Caribbean'!H481+"n/&gt;!5S&lt;"</f>
        <v>#VALUE!</v>
      </c>
      <c r="DM448" t="e">
        <f>'Latin America and Caribbean'!I481+"n/&gt;!5S="</f>
        <v>#VALUE!</v>
      </c>
      <c r="DN448" t="e">
        <f>'Latin America and Caribbean'!A482+"n/&gt;!5S&gt;"</f>
        <v>#VALUE!</v>
      </c>
      <c r="DO448" t="e">
        <f>'Latin America and Caribbean'!B482+"n/&gt;!5S?"</f>
        <v>#VALUE!</v>
      </c>
      <c r="DP448" t="e">
        <f>'Latin America and Caribbean'!C482+"n/&gt;!5S@"</f>
        <v>#VALUE!</v>
      </c>
      <c r="DQ448" t="e">
        <f>'Latin America and Caribbean'!D482+"n/&gt;!5SA"</f>
        <v>#VALUE!</v>
      </c>
      <c r="DR448" t="e">
        <f>'Latin America and Caribbean'!E482+"n/&gt;!5SB"</f>
        <v>#VALUE!</v>
      </c>
      <c r="DS448" t="e">
        <f>'Latin America and Caribbean'!F482+"n/&gt;!5SC"</f>
        <v>#VALUE!</v>
      </c>
      <c r="DT448" t="e">
        <f>'Latin America and Caribbean'!G482+"n/&gt;!5SD"</f>
        <v>#VALUE!</v>
      </c>
      <c r="DU448" t="e">
        <f>'Latin America and Caribbean'!H482+"n/&gt;!5SE"</f>
        <v>#VALUE!</v>
      </c>
      <c r="DV448" t="e">
        <f>'Latin America and Caribbean'!I482+"n/&gt;!5SF"</f>
        <v>#VALUE!</v>
      </c>
      <c r="DW448" t="e">
        <f>'Latin America and Caribbean'!A483+"n/&gt;!5SG"</f>
        <v>#VALUE!</v>
      </c>
      <c r="DX448" t="e">
        <f>'Latin America and Caribbean'!B483+"n/&gt;!5SH"</f>
        <v>#VALUE!</v>
      </c>
      <c r="DY448" t="e">
        <f>'Latin America and Caribbean'!C483+"n/&gt;!5SI"</f>
        <v>#VALUE!</v>
      </c>
      <c r="DZ448" t="e">
        <f>'Latin America and Caribbean'!D483+"n/&gt;!5SJ"</f>
        <v>#VALUE!</v>
      </c>
      <c r="EA448" t="e">
        <f>'Latin America and Caribbean'!E483+"n/&gt;!5SK"</f>
        <v>#VALUE!</v>
      </c>
      <c r="EB448" t="e">
        <f>'Latin America and Caribbean'!F483+"n/&gt;!5SL"</f>
        <v>#VALUE!</v>
      </c>
      <c r="EC448" t="e">
        <f>'Latin America and Caribbean'!G483+"n/&gt;!5SM"</f>
        <v>#VALUE!</v>
      </c>
      <c r="ED448" t="e">
        <f>'Latin America and Caribbean'!H483+"n/&gt;!5SN"</f>
        <v>#VALUE!</v>
      </c>
      <c r="EE448" t="e">
        <f>'Latin America and Caribbean'!I483+"n/&gt;!5SO"</f>
        <v>#VALUE!</v>
      </c>
      <c r="EF448" t="e">
        <f>'Latin America and Caribbean'!A:A*"n/&gt;!5SP"</f>
        <v>#VALUE!</v>
      </c>
      <c r="EG448" t="e">
        <f>'Latin America and Caribbean'!B:B*"n/&gt;!5SQ"</f>
        <v>#VALUE!</v>
      </c>
      <c r="EH448" t="e">
        <f>'Latin America and Caribbean'!C:C*"n/&gt;!5SR"</f>
        <v>#VALUE!</v>
      </c>
      <c r="EI448" t="e">
        <f>'Latin America and Caribbean'!D:D*"n/&gt;!5SS"</f>
        <v>#VALUE!</v>
      </c>
      <c r="EJ448" t="e">
        <f>'Latin America and Caribbean'!E:E*"n/&gt;!5ST"</f>
        <v>#VALUE!</v>
      </c>
      <c r="EK448" t="e">
        <f>'Latin America and Caribbean'!F:F*"n/&gt;!5SU"</f>
        <v>#VALUE!</v>
      </c>
      <c r="EL448" t="e">
        <f>'Latin America and Caribbean'!G:G*"n/&gt;!5SV"</f>
        <v>#VALUE!</v>
      </c>
      <c r="EM448" t="e">
        <f>'Latin America and Caribbean'!H:H*"n/&gt;!5SW"</f>
        <v>#VALUE!</v>
      </c>
      <c r="EN448" t="e">
        <f>'Latin America and Caribbean'!I:I*"n/&gt;!5SX"</f>
        <v>#VALUE!</v>
      </c>
      <c r="EO448" t="e">
        <f>'Latin America and Caribbean'!J:J*"n/&gt;!5SY"</f>
        <v>#VALUE!</v>
      </c>
      <c r="EP448" t="e">
        <f>'Latin America and Caribbean'!K:K*"n/&gt;!5SZ"</f>
        <v>#VALUE!</v>
      </c>
      <c r="EQ448" t="e">
        <f>'Latin America and Caribbean'!L:L*"n/&gt;!5S["</f>
        <v>#VALUE!</v>
      </c>
      <c r="ER448" t="e">
        <f>'Latin America and Caribbean'!M:M*"n/&gt;!5S\"</f>
        <v>#VALUE!</v>
      </c>
      <c r="ES448" t="e">
        <f>'Latin America and Caribbean'!N:N*"n/&gt;!5S]"</f>
        <v>#VALUE!</v>
      </c>
      <c r="ET448" t="e">
        <f>'Latin America and Caribbean'!O:O*"n/&gt;!5S^"</f>
        <v>#VALUE!</v>
      </c>
      <c r="EU448" t="e">
        <f>'Latin America and Caribbean'!P:P*"n/&gt;!5S_"</f>
        <v>#VALUE!</v>
      </c>
      <c r="EV448" t="e">
        <f>'Latin America and Caribbean'!Q:Q*"n/&gt;!5S`"</f>
        <v>#VALUE!</v>
      </c>
      <c r="EW448" t="e">
        <f>'Latin America and Caribbean'!R:R*"n/&gt;!5Sa"</f>
        <v>#VALUE!</v>
      </c>
      <c r="EX448" t="e">
        <f>'Latin America and Caribbean'!S:S*"n/&gt;!5Sb"</f>
        <v>#VALUE!</v>
      </c>
      <c r="EY448" t="e">
        <f>'Latin America and Caribbean'!T:T*"n/&gt;!5Sc"</f>
        <v>#VALUE!</v>
      </c>
      <c r="EZ448" t="e">
        <f>'Latin America and Caribbean'!U:U*"n/&gt;!5Sd"</f>
        <v>#VALUE!</v>
      </c>
      <c r="FA448" t="e">
        <f>'Latin America and Caribbean'!V:V*"n/&gt;!5Se"</f>
        <v>#VALUE!</v>
      </c>
      <c r="FB448" t="e">
        <f>'Latin America and Caribbean'!W:W*"n/&gt;!5Sf"</f>
        <v>#VALUE!</v>
      </c>
      <c r="FC448" t="e">
        <f>'Latin America and Caribbean'!X:X*"n/&gt;!5Sg"</f>
        <v>#VALUE!</v>
      </c>
      <c r="FD448" t="e">
        <f>'Latin America and Caribbean'!Y:Y*"n/&gt;!5Sh"</f>
        <v>#VALUE!</v>
      </c>
      <c r="FE448" t="e">
        <f>'Latin America and Caribbean'!Z:Z*"n/&gt;!5Si"</f>
        <v>#VALUE!</v>
      </c>
      <c r="FF448" t="e">
        <f>'Latin America and Caribbean'!AA:AA*"n/&gt;!5Sj"</f>
        <v>#VALUE!</v>
      </c>
      <c r="FG448" t="e">
        <f>'Latin America and Caribbean'!AB:AB*"n/&gt;!5Sk"</f>
        <v>#VALUE!</v>
      </c>
      <c r="FH448" t="e">
        <f>'Latin America and Caribbean'!AC:AC*"n/&gt;!5Sl"</f>
        <v>#VALUE!</v>
      </c>
      <c r="FI448" t="e">
        <f>'Latin America and Caribbean'!AD:AD*"n/&gt;!5Sm"</f>
        <v>#VALUE!</v>
      </c>
      <c r="FJ448" t="e">
        <f>'Latin America and Caribbean'!AE:AE*"n/&gt;!5Sn"</f>
        <v>#VALUE!</v>
      </c>
      <c r="FK448" t="e">
        <f>'Latin America and Caribbean'!AF:AF*"n/&gt;!5So"</f>
        <v>#VALUE!</v>
      </c>
      <c r="FL448" t="e">
        <f>'Latin America and Caribbean'!AG:AG*"n/&gt;!5Sp"</f>
        <v>#VALUE!</v>
      </c>
      <c r="FM448" t="e">
        <f>'Latin America and Caribbean'!AH:AH*"n/&gt;!5Sq"</f>
        <v>#VALUE!</v>
      </c>
      <c r="FN448" t="e">
        <f>'Latin America and Caribbean'!AI:AI*"n/&gt;!5Sr"</f>
        <v>#VALUE!</v>
      </c>
      <c r="FO448" t="e">
        <f>'Latin America and Caribbean'!AJ:AJ*"n/&gt;!5Ss"</f>
        <v>#VALUE!</v>
      </c>
      <c r="FP448" t="e">
        <f>'Latin America and Caribbean'!AK:AK*"n/&gt;!5St"</f>
        <v>#VALUE!</v>
      </c>
      <c r="FQ448" t="e">
        <f>'Latin America and Caribbean'!AL:AL*"n/&gt;!5Su"</f>
        <v>#VALUE!</v>
      </c>
      <c r="FR448" t="e">
        <f>'Latin America and Caribbean'!AM:AM*"n/&gt;!5Sv"</f>
        <v>#VALUE!</v>
      </c>
      <c r="FS448" t="e">
        <f>'Latin America and Caribbean'!AN:AN*"n/&gt;!5Sw"</f>
        <v>#VALUE!</v>
      </c>
      <c r="FT448" t="e">
        <f>'Latin America and Caribbean'!AO:AO*"n/&gt;!5Sx"</f>
        <v>#VALUE!</v>
      </c>
      <c r="FU448" t="e">
        <f>'Latin America and Caribbean'!AP:AP*"n/&gt;!5Sy"</f>
        <v>#VALUE!</v>
      </c>
      <c r="FV448" t="e">
        <f>'Latin America and Caribbean'!AQ:AQ*"n/&gt;!5Sz"</f>
        <v>#VALUE!</v>
      </c>
      <c r="FW448" t="e">
        <f>'Latin America and Caribbean'!AR:AR*"n/&gt;!5S{"</f>
        <v>#VALUE!</v>
      </c>
      <c r="FX448" t="e">
        <f>'Latin America and Caribbean'!AS:AS*"n/&gt;!5S|"</f>
        <v>#VALUE!</v>
      </c>
      <c r="FY448" t="e">
        <f>'Latin America and Caribbean'!AT:AT*"n/&gt;!5S}"</f>
        <v>#VALUE!</v>
      </c>
      <c r="FZ448" t="e">
        <f>'Latin America and Caribbean'!AU:AU*"n/&gt;!5S~"</f>
        <v>#VALUE!</v>
      </c>
      <c r="GA448" t="e">
        <f>'Latin America and Caribbean'!AV:AV*"n/&gt;!5T#"</f>
        <v>#VALUE!</v>
      </c>
      <c r="GB448" t="e">
        <f>'Latin America and Caribbean'!AW:AW*"n/&gt;!5T$"</f>
        <v>#VALUE!</v>
      </c>
      <c r="GC448" t="e">
        <f>'Latin America and Caribbean'!AX:AX*"n/&gt;!5T%"</f>
        <v>#VALUE!</v>
      </c>
      <c r="GD448" t="e">
        <f>'Latin America and Caribbean'!AY:AY*"n/&gt;!5T&amp;"</f>
        <v>#VALUE!</v>
      </c>
      <c r="GE448" t="e">
        <f>'Latin America and Caribbean'!AZ:AZ*"n/&gt;!5T'"</f>
        <v>#VALUE!</v>
      </c>
      <c r="GF448" t="e">
        <f>'Latin America and Caribbean'!BA:BA*"n/&gt;!5T("</f>
        <v>#VALUE!</v>
      </c>
      <c r="GG448" t="e">
        <f>'Latin America and Caribbean'!BB:BB*"n/&gt;!5T)"</f>
        <v>#VALUE!</v>
      </c>
      <c r="GH448" t="e">
        <f>'Latin America and Caribbean'!BC:BC*"n/&gt;!5T."</f>
        <v>#VALUE!</v>
      </c>
      <c r="GI448" t="e">
        <f>'Latin America and Caribbean'!BD:BD*"n/&gt;!5T/"</f>
        <v>#VALUE!</v>
      </c>
      <c r="GJ448" t="e">
        <f>'Latin America and Caribbean'!BE:BE*"n/&gt;!5T0"</f>
        <v>#VALUE!</v>
      </c>
      <c r="GK448" t="e">
        <f>'Latin America and Caribbean'!BF:BF*"n/&gt;!5T1"</f>
        <v>#VALUE!</v>
      </c>
      <c r="GL448" t="e">
        <f>'Latin America and Caribbean'!BG:BG*"n/&gt;!5T2"</f>
        <v>#VALUE!</v>
      </c>
      <c r="GM448" t="e">
        <f>'Latin America and Caribbean'!1:1-"n/&gt;!5T3"</f>
        <v>#VALUE!</v>
      </c>
      <c r="GN448" t="e">
        <f>'Latin America and Caribbean'!2:2-"n/&gt;!5T4"</f>
        <v>#VALUE!</v>
      </c>
      <c r="GO448" t="e">
        <f>'Latin America and Caribbean'!3:3-"n/&gt;!5T5"</f>
        <v>#VALUE!</v>
      </c>
      <c r="GP448" t="e">
        <f>'Latin America and Caribbean'!4:4-"n/&gt;!5T6"</f>
        <v>#VALUE!</v>
      </c>
      <c r="GQ448" t="e">
        <f>'Latin America and Caribbean'!5:5-"n/&gt;!5T7"</f>
        <v>#VALUE!</v>
      </c>
      <c r="GR448" t="e">
        <f>'Latin America and Caribbean'!6:6-"n/&gt;!5T8"</f>
        <v>#VALUE!</v>
      </c>
      <c r="GS448" t="e">
        <f>'Latin America and Caribbean'!7:7-"n/&gt;!5T9"</f>
        <v>#VALUE!</v>
      </c>
      <c r="GT448" t="e">
        <f>'Latin America and Caribbean'!8:8-"n/&gt;!5T:"</f>
        <v>#VALUE!</v>
      </c>
      <c r="GU448" t="e">
        <f>'Latin America and Caribbean'!9:9-"n/&gt;!5T;"</f>
        <v>#VALUE!</v>
      </c>
      <c r="GV448" t="e">
        <f>'Latin America and Caribbean'!10:10-"n/&gt;!5T&lt;"</f>
        <v>#VALUE!</v>
      </c>
      <c r="GW448" t="e">
        <f>'Latin America and Caribbean'!11:11-"n/&gt;!5T="</f>
        <v>#VALUE!</v>
      </c>
      <c r="GX448" t="e">
        <f>'Latin America and Caribbean'!12:12-"n/&gt;!5T&gt;"</f>
        <v>#VALUE!</v>
      </c>
      <c r="GY448" t="e">
        <f>'Latin America and Caribbean'!13:13-"n/&gt;!5T?"</f>
        <v>#VALUE!</v>
      </c>
      <c r="GZ448" t="e">
        <f>'Latin America and Caribbean'!14:14-"n/&gt;!5T@"</f>
        <v>#VALUE!</v>
      </c>
      <c r="HA448" t="e">
        <f>'Latin America and Caribbean'!15:15-"n/&gt;!5TA"</f>
        <v>#VALUE!</v>
      </c>
      <c r="HB448" t="e">
        <f>'Latin America and Caribbean'!16:16-"n/&gt;!5TB"</f>
        <v>#VALUE!</v>
      </c>
      <c r="HC448" t="e">
        <f>'Latin America and Caribbean'!17:17-"n/&gt;!5TC"</f>
        <v>#VALUE!</v>
      </c>
      <c r="HD448" t="e">
        <f>'Latin America and Caribbean'!18:18-"n/&gt;!5TD"</f>
        <v>#VALUE!</v>
      </c>
      <c r="HE448" t="e">
        <f>'Latin America and Caribbean'!19:19-"n/&gt;!5TE"</f>
        <v>#VALUE!</v>
      </c>
      <c r="HF448" t="e">
        <f>'Latin America and Caribbean'!20:20-"n/&gt;!5TF"</f>
        <v>#VALUE!</v>
      </c>
      <c r="HG448" t="e">
        <f>'Latin America and Caribbean'!21:21-"n/&gt;!5TG"</f>
        <v>#VALUE!</v>
      </c>
      <c r="HH448" t="e">
        <f>'Latin America and Caribbean'!22:22-"n/&gt;!5TH"</f>
        <v>#VALUE!</v>
      </c>
      <c r="HI448" t="e">
        <f>'Latin America and Caribbean'!23:23-"n/&gt;!5TI"</f>
        <v>#VALUE!</v>
      </c>
      <c r="HJ448" t="e">
        <f>'Latin America and Caribbean'!24:24-"n/&gt;!5TJ"</f>
        <v>#VALUE!</v>
      </c>
      <c r="HK448" t="e">
        <f>'Latin America and Caribbean'!25:25-"n/&gt;!5TK"</f>
        <v>#VALUE!</v>
      </c>
      <c r="HL448" t="e">
        <f>'Latin America and Caribbean'!26:26-"n/&gt;!5TL"</f>
        <v>#VALUE!</v>
      </c>
      <c r="HM448" t="e">
        <f>'Latin America and Caribbean'!27:27-"n/&gt;!5TM"</f>
        <v>#VALUE!</v>
      </c>
      <c r="HN448" t="e">
        <f>'Latin America and Caribbean'!28:28-"n/&gt;!5TN"</f>
        <v>#VALUE!</v>
      </c>
      <c r="HO448" t="e">
        <f>'Latin America and Caribbean'!29:29-"n/&gt;!5TO"</f>
        <v>#VALUE!</v>
      </c>
      <c r="HP448" t="e">
        <f>'Latin America and Caribbean'!30:30-"n/&gt;!5TP"</f>
        <v>#VALUE!</v>
      </c>
      <c r="HQ448" t="e">
        <f>'Latin America and Caribbean'!31:31-"n/&gt;!5TQ"</f>
        <v>#VALUE!</v>
      </c>
      <c r="HR448" t="e">
        <f>'Latin America and Caribbean'!32:32-"n/&gt;!5TR"</f>
        <v>#VALUE!</v>
      </c>
      <c r="HS448" t="e">
        <f>'Latin America and Caribbean'!33:33-"n/&gt;!5TS"</f>
        <v>#VALUE!</v>
      </c>
      <c r="HT448" t="e">
        <f>'Latin America and Caribbean'!34:34-"n/&gt;!5TT"</f>
        <v>#VALUE!</v>
      </c>
      <c r="HU448" t="e">
        <f>'Latin America and Caribbean'!35:35-"n/&gt;!5TU"</f>
        <v>#VALUE!</v>
      </c>
      <c r="HV448" t="e">
        <f>'Latin America and Caribbean'!36:36-"n/&gt;!5TV"</f>
        <v>#VALUE!</v>
      </c>
      <c r="HW448" t="e">
        <f>'Latin America and Caribbean'!37:37-"n/&gt;!5TW"</f>
        <v>#VALUE!</v>
      </c>
      <c r="HX448" t="e">
        <f>'Latin America and Caribbean'!38:38-"n/&gt;!5TX"</f>
        <v>#VALUE!</v>
      </c>
      <c r="HY448" t="e">
        <f>'Latin America and Caribbean'!39:39-"n/&gt;!5TY"</f>
        <v>#VALUE!</v>
      </c>
      <c r="HZ448" t="e">
        <f>'Latin America and Caribbean'!40:40-"n/&gt;!5TZ"</f>
        <v>#VALUE!</v>
      </c>
      <c r="IA448" t="e">
        <f>'Latin America and Caribbean'!41:41-"n/&gt;!5T["</f>
        <v>#VALUE!</v>
      </c>
      <c r="IB448" t="e">
        <f>'Latin America and Caribbean'!42:42-"n/&gt;!5T\"</f>
        <v>#VALUE!</v>
      </c>
      <c r="IC448" t="e">
        <f>'Latin America and Caribbean'!43:43-"n/&gt;!5T]"</f>
        <v>#VALUE!</v>
      </c>
      <c r="ID448" t="e">
        <f>'Latin America and Caribbean'!44:44-"n/&gt;!5T^"</f>
        <v>#VALUE!</v>
      </c>
      <c r="IE448" t="e">
        <f>'Latin America and Caribbean'!45:45-"n/&gt;!5T_"</f>
        <v>#VALUE!</v>
      </c>
      <c r="IF448" t="e">
        <f>'Latin America and Caribbean'!46:46-"n/&gt;!5T`"</f>
        <v>#VALUE!</v>
      </c>
      <c r="IG448" t="e">
        <f>'Latin America and Caribbean'!47:47-"n/&gt;!5Ta"</f>
        <v>#VALUE!</v>
      </c>
      <c r="IH448" t="e">
        <f>'Latin America and Caribbean'!48:48-"n/&gt;!5Tb"</f>
        <v>#VALUE!</v>
      </c>
      <c r="II448" t="e">
        <f>'Latin America and Caribbean'!49:49-"n/&gt;!5Tc"</f>
        <v>#VALUE!</v>
      </c>
      <c r="IJ448" t="e">
        <f>'Latin America and Caribbean'!50:50-"n/&gt;!5Td"</f>
        <v>#VALUE!</v>
      </c>
      <c r="IK448" t="e">
        <f>'Latin America and Caribbean'!51:51-"n/&gt;!5Te"</f>
        <v>#VALUE!</v>
      </c>
      <c r="IL448" t="e">
        <f>'Latin America and Caribbean'!52:52-"n/&gt;!5Tf"</f>
        <v>#VALUE!</v>
      </c>
      <c r="IM448" t="e">
        <f>'Latin America and Caribbean'!53:53-"n/&gt;!5Tg"</f>
        <v>#VALUE!</v>
      </c>
      <c r="IN448" t="e">
        <f>'Latin America and Caribbean'!54:54-"n/&gt;!5Th"</f>
        <v>#VALUE!</v>
      </c>
      <c r="IO448" t="e">
        <f>'Latin America and Caribbean'!55:55-"n/&gt;!5Ti"</f>
        <v>#VALUE!</v>
      </c>
      <c r="IP448" t="e">
        <f>'Latin America and Caribbean'!56:56-"n/&gt;!5Tj"</f>
        <v>#VALUE!</v>
      </c>
      <c r="IQ448" t="e">
        <f>'Latin America and Caribbean'!57:57-"n/&gt;!5Tk"</f>
        <v>#VALUE!</v>
      </c>
      <c r="IR448" t="e">
        <f>'Latin America and Caribbean'!58:58-"n/&gt;!5Tl"</f>
        <v>#VALUE!</v>
      </c>
      <c r="IS448" t="e">
        <f>'Latin America and Caribbean'!59:59-"n/&gt;!5Tm"</f>
        <v>#VALUE!</v>
      </c>
      <c r="IT448" t="e">
        <f>'Latin America and Caribbean'!60:60-"n/&gt;!5Tn"</f>
        <v>#VALUE!</v>
      </c>
      <c r="IU448" t="e">
        <f>'Latin America and Caribbean'!61:61-"n/&gt;!5To"</f>
        <v>#VALUE!</v>
      </c>
      <c r="IV448" t="e">
        <f>'Latin America and Caribbean'!62:62-"n/&gt;!5Tp"</f>
        <v>#VALUE!</v>
      </c>
    </row>
    <row r="449" spans="6:256" x14ac:dyDescent="0.35">
      <c r="F449" t="e">
        <f>'Latin America and Caribbean'!63:63-"n/&gt;!5Tq"</f>
        <v>#VALUE!</v>
      </c>
      <c r="G449" t="e">
        <f>'Latin America and Caribbean'!64:64-"n/&gt;!5Tr"</f>
        <v>#VALUE!</v>
      </c>
      <c r="H449" t="e">
        <f>'Latin America and Caribbean'!65:65-"n/&gt;!5Ts"</f>
        <v>#VALUE!</v>
      </c>
      <c r="I449" t="e">
        <f>'Latin America and Caribbean'!66:66-"n/&gt;!5Tt"</f>
        <v>#VALUE!</v>
      </c>
      <c r="J449" t="e">
        <f>'Latin America and Caribbean'!67:67-"n/&gt;!5Tu"</f>
        <v>#VALUE!</v>
      </c>
      <c r="K449" t="e">
        <f>'Latin America and Caribbean'!68:68-"n/&gt;!5Tv"</f>
        <v>#VALUE!</v>
      </c>
      <c r="L449" t="e">
        <f>'Latin America and Caribbean'!69:69-"n/&gt;!5Tw"</f>
        <v>#VALUE!</v>
      </c>
      <c r="M449" t="e">
        <f>'Latin America and Caribbean'!70:70-"n/&gt;!5Tx"</f>
        <v>#VALUE!</v>
      </c>
      <c r="N449" t="e">
        <f>'Latin America and Caribbean'!71:71-"n/&gt;!5Ty"</f>
        <v>#VALUE!</v>
      </c>
      <c r="O449" t="e">
        <f>'Latin America and Caribbean'!72:72-"n/&gt;!5Tz"</f>
        <v>#VALUE!</v>
      </c>
      <c r="P449" t="e">
        <f>'Latin America and Caribbean'!73:73-"n/&gt;!5T{"</f>
        <v>#VALUE!</v>
      </c>
      <c r="Q449" t="e">
        <f>'Latin America and Caribbean'!74:74-"n/&gt;!5T|"</f>
        <v>#VALUE!</v>
      </c>
      <c r="R449" t="e">
        <f>'Latin America and Caribbean'!75:75-"n/&gt;!5T}"</f>
        <v>#VALUE!</v>
      </c>
      <c r="S449" t="e">
        <f>'Latin America and Caribbean'!76:76-"n/&gt;!5T~"</f>
        <v>#VALUE!</v>
      </c>
      <c r="T449" t="e">
        <f>'Latin America and Caribbean'!77:77-"n/&gt;!5U#"</f>
        <v>#VALUE!</v>
      </c>
      <c r="U449" t="e">
        <f>'Latin America and Caribbean'!78:78-"n/&gt;!5U$"</f>
        <v>#VALUE!</v>
      </c>
      <c r="V449" t="e">
        <f>'Latin America and Caribbean'!79:79-"n/&gt;!5U%"</f>
        <v>#VALUE!</v>
      </c>
      <c r="W449" t="e">
        <f>'Latin America and Caribbean'!80:80-"n/&gt;!5U&amp;"</f>
        <v>#VALUE!</v>
      </c>
      <c r="X449" t="e">
        <f>'Latin America and Caribbean'!81:81-"n/&gt;!5U'"</f>
        <v>#VALUE!</v>
      </c>
      <c r="Y449" t="e">
        <f>'Latin America and Caribbean'!82:82-"n/&gt;!5U("</f>
        <v>#VALUE!</v>
      </c>
      <c r="Z449" t="e">
        <f>'Latin America and Caribbean'!83:83-"n/&gt;!5U)"</f>
        <v>#VALUE!</v>
      </c>
      <c r="AA449" t="e">
        <f>'Latin America and Caribbean'!84:84-"n/&gt;!5U."</f>
        <v>#VALUE!</v>
      </c>
      <c r="AB449" t="e">
        <f>'Latin America and Caribbean'!85:85-"n/&gt;!5U/"</f>
        <v>#VALUE!</v>
      </c>
      <c r="AC449" t="e">
        <f>'Latin America and Caribbean'!86:86-"n/&gt;!5U0"</f>
        <v>#VALUE!</v>
      </c>
      <c r="AD449" t="e">
        <f>'Latin America and Caribbean'!87:87-"n/&gt;!5U1"</f>
        <v>#VALUE!</v>
      </c>
      <c r="AE449" t="e">
        <f>'Latin America and Caribbean'!88:88-"n/&gt;!5U2"</f>
        <v>#VALUE!</v>
      </c>
      <c r="AF449" t="e">
        <f>'Latin America and Caribbean'!89:89-"n/&gt;!5U3"</f>
        <v>#VALUE!</v>
      </c>
      <c r="AG449" t="e">
        <f>'Latin America and Caribbean'!90:90-"n/&gt;!5U4"</f>
        <v>#VALUE!</v>
      </c>
      <c r="AH449" t="e">
        <f>'Latin America and Caribbean'!91:91-"n/&gt;!5U5"</f>
        <v>#VALUE!</v>
      </c>
      <c r="AI449" t="e">
        <f>'Latin America and Caribbean'!92:92-"n/&gt;!5U6"</f>
        <v>#VALUE!</v>
      </c>
      <c r="AJ449" t="e">
        <f>'Latin America and Caribbean'!93:93-"n/&gt;!5U7"</f>
        <v>#VALUE!</v>
      </c>
      <c r="AK449" t="e">
        <f>'Latin America and Caribbean'!94:94-"n/&gt;!5U8"</f>
        <v>#VALUE!</v>
      </c>
      <c r="AL449" t="e">
        <f>'Latin America and Caribbean'!95:95-"n/&gt;!5U9"</f>
        <v>#VALUE!</v>
      </c>
      <c r="AM449" t="e">
        <f>'Latin America and Caribbean'!96:96-"n/&gt;!5U:"</f>
        <v>#VALUE!</v>
      </c>
      <c r="AN449" t="e">
        <f>'Latin America and Caribbean'!97:97-"n/&gt;!5U;"</f>
        <v>#VALUE!</v>
      </c>
      <c r="AO449" t="e">
        <f>'Latin America and Caribbean'!98:98-"n/&gt;!5U&lt;"</f>
        <v>#VALUE!</v>
      </c>
      <c r="AP449" t="e">
        <f>'Latin America and Caribbean'!99:99-"n/&gt;!5U="</f>
        <v>#VALUE!</v>
      </c>
      <c r="AQ449" t="e">
        <f>'Latin America and Caribbean'!100:100-"n/&gt;!5U&gt;"</f>
        <v>#VALUE!</v>
      </c>
      <c r="AR449" t="e">
        <f>'Latin America and Caribbean'!101:101-"n/&gt;!5U?"</f>
        <v>#VALUE!</v>
      </c>
      <c r="AS449" t="e">
        <f>'Latin America and Caribbean'!102:102-"n/&gt;!5U@"</f>
        <v>#VALUE!</v>
      </c>
      <c r="AT449" t="e">
        <f>'Latin America and Caribbean'!103:103-"n/&gt;!5UA"</f>
        <v>#VALUE!</v>
      </c>
      <c r="AU449" t="e">
        <f>'Latin America and Caribbean'!104:104-"n/&gt;!5UB"</f>
        <v>#VALUE!</v>
      </c>
      <c r="AV449" t="e">
        <f>'Latin America and Caribbean'!105:105-"n/&gt;!5UC"</f>
        <v>#VALUE!</v>
      </c>
      <c r="AW449" t="e">
        <f>'Latin America and Caribbean'!106:106-"n/&gt;!5UD"</f>
        <v>#VALUE!</v>
      </c>
      <c r="AX449" t="e">
        <f>'Latin America and Caribbean'!107:107-"n/&gt;!5UE"</f>
        <v>#VALUE!</v>
      </c>
      <c r="AY449" t="e">
        <f>'Latin America and Caribbean'!108:108-"n/&gt;!5UF"</f>
        <v>#VALUE!</v>
      </c>
      <c r="AZ449" t="e">
        <f>'Latin America and Caribbean'!109:109-"n/&gt;!5UG"</f>
        <v>#VALUE!</v>
      </c>
      <c r="BA449" t="e">
        <f>'Latin America and Caribbean'!110:110-"n/&gt;!5UH"</f>
        <v>#VALUE!</v>
      </c>
      <c r="BB449" t="e">
        <f>'Latin America and Caribbean'!111:111-"n/&gt;!5UI"</f>
        <v>#VALUE!</v>
      </c>
      <c r="BC449" t="e">
        <f>'Latin America and Caribbean'!112:112-"n/&gt;!5UJ"</f>
        <v>#VALUE!</v>
      </c>
      <c r="BD449" t="e">
        <f>'Latin America and Caribbean'!113:113-"n/&gt;!5UK"</f>
        <v>#VALUE!</v>
      </c>
      <c r="BE449" t="e">
        <f>'Latin America and Caribbean'!114:114-"n/&gt;!5UL"</f>
        <v>#VALUE!</v>
      </c>
      <c r="BF449" t="e">
        <f>'Latin America and Caribbean'!115:115-"n/&gt;!5UM"</f>
        <v>#VALUE!</v>
      </c>
      <c r="BG449" t="e">
        <f>'Latin America and Caribbean'!116:116-"n/&gt;!5UN"</f>
        <v>#VALUE!</v>
      </c>
      <c r="BH449" t="e">
        <f>'Latin America and Caribbean'!117:117-"n/&gt;!5UO"</f>
        <v>#VALUE!</v>
      </c>
      <c r="BI449" t="e">
        <f>'Latin America and Caribbean'!118:118-"n/&gt;!5UP"</f>
        <v>#VALUE!</v>
      </c>
      <c r="BJ449" t="e">
        <f>'Latin America and Caribbean'!119:119-"n/&gt;!5UQ"</f>
        <v>#VALUE!</v>
      </c>
      <c r="BK449" t="e">
        <f>'Latin America and Caribbean'!120:120-"n/&gt;!5UR"</f>
        <v>#VALUE!</v>
      </c>
      <c r="BL449" t="e">
        <f>'Latin America and Caribbean'!121:121-"n/&gt;!5US"</f>
        <v>#VALUE!</v>
      </c>
      <c r="BM449" t="e">
        <f>'Latin America and Caribbean'!122:122-"n/&gt;!5UT"</f>
        <v>#VALUE!</v>
      </c>
      <c r="BN449" t="e">
        <f>'Latin America and Caribbean'!123:123-"n/&gt;!5UU"</f>
        <v>#VALUE!</v>
      </c>
      <c r="BO449" t="e">
        <f>'Latin America and Caribbean'!124:124-"n/&gt;!5UV"</f>
        <v>#VALUE!</v>
      </c>
      <c r="BP449" t="e">
        <f>'Latin America and Caribbean'!125:125-"n/&gt;!5UW"</f>
        <v>#VALUE!</v>
      </c>
      <c r="BQ449" t="e">
        <f>'Latin America and Caribbean'!126:126-"n/&gt;!5UX"</f>
        <v>#VALUE!</v>
      </c>
      <c r="BR449" t="e">
        <f>'Latin America and Caribbean'!127:127-"n/&gt;!5UY"</f>
        <v>#VALUE!</v>
      </c>
      <c r="BS449" t="e">
        <f>'Latin America and Caribbean'!128:128-"n/&gt;!5UZ"</f>
        <v>#VALUE!</v>
      </c>
      <c r="BT449" t="e">
        <f>'Latin America and Caribbean'!129:129-"n/&gt;!5U["</f>
        <v>#VALUE!</v>
      </c>
      <c r="BU449" t="e">
        <f>'Latin America and Caribbean'!130:130-"n/&gt;!5U\"</f>
        <v>#VALUE!</v>
      </c>
      <c r="BV449" t="e">
        <f>'Latin America and Caribbean'!131:131-"n/&gt;!5U]"</f>
        <v>#VALUE!</v>
      </c>
      <c r="BW449" t="e">
        <f>'Latin America and Caribbean'!132:132-"n/&gt;!5U^"</f>
        <v>#VALUE!</v>
      </c>
      <c r="BX449" t="e">
        <f>'Latin America and Caribbean'!133:133-"n/&gt;!5U_"</f>
        <v>#VALUE!</v>
      </c>
      <c r="BY449" t="e">
        <f>'Latin America and Caribbean'!134:134-"n/&gt;!5U`"</f>
        <v>#VALUE!</v>
      </c>
      <c r="BZ449" t="e">
        <f>'Latin America and Caribbean'!135:135-"n/&gt;!5Ua"</f>
        <v>#VALUE!</v>
      </c>
      <c r="CA449" t="e">
        <f>'Latin America and Caribbean'!136:136-"n/&gt;!5Ub"</f>
        <v>#VALUE!</v>
      </c>
      <c r="CB449" t="e">
        <f>'Latin America and Caribbean'!137:137-"n/&gt;!5Uc"</f>
        <v>#VALUE!</v>
      </c>
      <c r="CC449" t="e">
        <f>'Latin America and Caribbean'!138:138-"n/&gt;!5Ud"</f>
        <v>#VALUE!</v>
      </c>
      <c r="CD449" t="e">
        <f>'Latin America and Caribbean'!139:139-"n/&gt;!5Ue"</f>
        <v>#VALUE!</v>
      </c>
      <c r="CE449" t="e">
        <f>'Latin America and Caribbean'!140:140-"n/&gt;!5Uf"</f>
        <v>#VALUE!</v>
      </c>
      <c r="CF449" t="e">
        <f>'Latin America and Caribbean'!141:141-"n/&gt;!5Ug"</f>
        <v>#VALUE!</v>
      </c>
      <c r="CG449" t="e">
        <f>'Latin America and Caribbean'!142:142-"n/&gt;!5Uh"</f>
        <v>#VALUE!</v>
      </c>
      <c r="CH449" t="e">
        <f>'Latin America and Caribbean'!143:143-"n/&gt;!5Ui"</f>
        <v>#VALUE!</v>
      </c>
      <c r="CI449" t="e">
        <f>'Latin America and Caribbean'!144:144-"n/&gt;!5Uj"</f>
        <v>#VALUE!</v>
      </c>
      <c r="CJ449" t="e">
        <f>'Latin America and Caribbean'!145:145-"n/&gt;!5Uk"</f>
        <v>#VALUE!</v>
      </c>
      <c r="CK449" t="e">
        <f>'Latin America and Caribbean'!146:146-"n/&gt;!5Ul"</f>
        <v>#VALUE!</v>
      </c>
      <c r="CL449" t="e">
        <f>'Latin America and Caribbean'!147:147-"n/&gt;!5Um"</f>
        <v>#VALUE!</v>
      </c>
      <c r="CM449" t="e">
        <f>'Latin America and Caribbean'!148:148-"n/&gt;!5Un"</f>
        <v>#VALUE!</v>
      </c>
      <c r="CN449" t="e">
        <f>'Latin America and Caribbean'!149:149-"n/&gt;!5Uo"</f>
        <v>#VALUE!</v>
      </c>
      <c r="CO449" t="e">
        <f>'Latin America and Caribbean'!150:150-"n/&gt;!5Up"</f>
        <v>#VALUE!</v>
      </c>
      <c r="CP449" t="e">
        <f>'Latin America and Caribbean'!151:151-"n/&gt;!5Uq"</f>
        <v>#VALUE!</v>
      </c>
      <c r="CQ449" t="e">
        <f>'Latin America and Caribbean'!152:152-"n/&gt;!5Ur"</f>
        <v>#VALUE!</v>
      </c>
      <c r="CR449" t="e">
        <f>'Latin America and Caribbean'!153:153-"n/&gt;!5Us"</f>
        <v>#VALUE!</v>
      </c>
      <c r="CS449" t="e">
        <f>'Latin America and Caribbean'!154:154-"n/&gt;!5Ut"</f>
        <v>#VALUE!</v>
      </c>
      <c r="CT449" t="e">
        <f>'Latin America and Caribbean'!155:155-"n/&gt;!5Uu"</f>
        <v>#VALUE!</v>
      </c>
      <c r="CU449" t="e">
        <f>'Latin America and Caribbean'!156:156-"n/&gt;!5Uv"</f>
        <v>#VALUE!</v>
      </c>
      <c r="CV449" t="e">
        <f>'Latin America and Caribbean'!157:157-"n/&gt;!5Uw"</f>
        <v>#VALUE!</v>
      </c>
      <c r="CW449" t="e">
        <f>'Latin America and Caribbean'!158:158-"n/&gt;!5Ux"</f>
        <v>#VALUE!</v>
      </c>
      <c r="CX449" t="e">
        <f>'Latin America and Caribbean'!159:159-"n/&gt;!5Uy"</f>
        <v>#VALUE!</v>
      </c>
      <c r="CY449" t="e">
        <f>'Latin America and Caribbean'!160:160-"n/&gt;!5Uz"</f>
        <v>#VALUE!</v>
      </c>
      <c r="CZ449" t="e">
        <f>'Latin America and Caribbean'!161:161-"n/&gt;!5U{"</f>
        <v>#VALUE!</v>
      </c>
      <c r="DA449" t="e">
        <f>'Latin America and Caribbean'!162:162-"n/&gt;!5U|"</f>
        <v>#VALUE!</v>
      </c>
      <c r="DB449" t="e">
        <f>'Latin America and Caribbean'!163:163-"n/&gt;!5U}"</f>
        <v>#VALUE!</v>
      </c>
      <c r="DC449" t="e">
        <f>'Latin America and Caribbean'!164:164-"n/&gt;!5U~"</f>
        <v>#VALUE!</v>
      </c>
      <c r="DD449" t="e">
        <f>'Latin America and Caribbean'!165:165-"n/&gt;!5V#"</f>
        <v>#VALUE!</v>
      </c>
      <c r="DE449" t="e">
        <f>'Latin America and Caribbean'!166:166-"n/&gt;!5V$"</f>
        <v>#VALUE!</v>
      </c>
      <c r="DF449" t="e">
        <f>'Latin America and Caribbean'!167:167-"n/&gt;!5V%"</f>
        <v>#VALUE!</v>
      </c>
      <c r="DG449" t="e">
        <f>'Latin America and Caribbean'!168:168-"n/&gt;!5V&amp;"</f>
        <v>#VALUE!</v>
      </c>
      <c r="DH449" t="e">
        <f>'Latin America and Caribbean'!169:169-"n/&gt;!5V'"</f>
        <v>#VALUE!</v>
      </c>
      <c r="DI449" t="e">
        <f>'Latin America and Caribbean'!170:170-"n/&gt;!5V("</f>
        <v>#VALUE!</v>
      </c>
      <c r="DJ449" t="e">
        <f>'Latin America and Caribbean'!171:171-"n/&gt;!5V)"</f>
        <v>#VALUE!</v>
      </c>
      <c r="DK449" t="e">
        <f>'Latin America and Caribbean'!172:172-"n/&gt;!5V."</f>
        <v>#VALUE!</v>
      </c>
      <c r="DL449" t="e">
        <f>'Latin America and Caribbean'!173:173-"n/&gt;!5V/"</f>
        <v>#VALUE!</v>
      </c>
      <c r="DM449" t="e">
        <f>'Latin America and Caribbean'!174:174-"n/&gt;!5V0"</f>
        <v>#VALUE!</v>
      </c>
      <c r="DN449" t="e">
        <f>'Latin America and Caribbean'!175:175-"n/&gt;!5V1"</f>
        <v>#VALUE!</v>
      </c>
      <c r="DO449" t="e">
        <f>'Latin America and Caribbean'!176:176-"n/&gt;!5V2"</f>
        <v>#VALUE!</v>
      </c>
      <c r="DP449" t="e">
        <f>'Latin America and Caribbean'!177:177-"n/&gt;!5V3"</f>
        <v>#VALUE!</v>
      </c>
      <c r="DQ449" t="e">
        <f>'Latin America and Caribbean'!178:178-"n/&gt;!5V4"</f>
        <v>#VALUE!</v>
      </c>
      <c r="DR449" t="e">
        <f>'Latin America and Caribbean'!179:179-"n/&gt;!5V5"</f>
        <v>#VALUE!</v>
      </c>
      <c r="DS449" t="e">
        <f>'Latin America and Caribbean'!180:180-"n/&gt;!5V6"</f>
        <v>#VALUE!</v>
      </c>
      <c r="DT449" t="e">
        <f>'Latin America and Caribbean'!181:181-"n/&gt;!5V7"</f>
        <v>#VALUE!</v>
      </c>
      <c r="DU449" t="e">
        <f>'Latin America and Caribbean'!182:182-"n/&gt;!5V8"</f>
        <v>#VALUE!</v>
      </c>
      <c r="DV449" t="e">
        <f>'Latin America and Caribbean'!183:183-"n/&gt;!5V9"</f>
        <v>#VALUE!</v>
      </c>
      <c r="DW449" t="e">
        <f>'Latin America and Caribbean'!184:184-"n/&gt;!5V:"</f>
        <v>#VALUE!</v>
      </c>
      <c r="DX449" t="e">
        <f>'Latin America and Caribbean'!185:185-"n/&gt;!5V;"</f>
        <v>#VALUE!</v>
      </c>
      <c r="DY449" t="e">
        <f>'Latin America and Caribbean'!186:186-"n/&gt;!5V&lt;"</f>
        <v>#VALUE!</v>
      </c>
      <c r="DZ449" t="e">
        <f>'Latin America and Caribbean'!187:187-"n/&gt;!5V="</f>
        <v>#VALUE!</v>
      </c>
      <c r="EA449" t="e">
        <f>'Latin America and Caribbean'!188:188-"n/&gt;!5V&gt;"</f>
        <v>#VALUE!</v>
      </c>
      <c r="EB449" t="e">
        <f>'Latin America and Caribbean'!189:189-"n/&gt;!5V?"</f>
        <v>#VALUE!</v>
      </c>
      <c r="EC449" t="e">
        <f>'Latin America and Caribbean'!190:190-"n/&gt;!5V@"</f>
        <v>#VALUE!</v>
      </c>
      <c r="ED449" t="e">
        <f>'Latin America and Caribbean'!191:191-"n/&gt;!5VA"</f>
        <v>#VALUE!</v>
      </c>
      <c r="EE449" t="e">
        <f>'Latin America and Caribbean'!192:192-"n/&gt;!5VB"</f>
        <v>#VALUE!</v>
      </c>
      <c r="EF449" t="e">
        <f>'Latin America and Caribbean'!193:193-"n/&gt;!5VC"</f>
        <v>#VALUE!</v>
      </c>
      <c r="EG449" t="e">
        <f>'Latin America and Caribbean'!194:194-"n/&gt;!5VD"</f>
        <v>#VALUE!</v>
      </c>
      <c r="EH449" t="e">
        <f>'Latin America and Caribbean'!195:195-"n/&gt;!5VE"</f>
        <v>#VALUE!</v>
      </c>
      <c r="EI449" t="e">
        <f>'Latin America and Caribbean'!196:196-"n/&gt;!5VF"</f>
        <v>#VALUE!</v>
      </c>
      <c r="EJ449" t="e">
        <f>'Latin America and Caribbean'!197:197-"n/&gt;!5VG"</f>
        <v>#VALUE!</v>
      </c>
      <c r="EK449" t="e">
        <f>'Latin America and Caribbean'!198:198-"n/&gt;!5VH"</f>
        <v>#VALUE!</v>
      </c>
      <c r="EL449" t="e">
        <f>'Latin America and Caribbean'!199:199-"n/&gt;!5VI"</f>
        <v>#VALUE!</v>
      </c>
      <c r="EM449" t="e">
        <f>'Latin America and Caribbean'!200:200-"n/&gt;!5VJ"</f>
        <v>#VALUE!</v>
      </c>
      <c r="EN449" t="e">
        <f>'Latin America and Caribbean'!201:201-"n/&gt;!5VK"</f>
        <v>#VALUE!</v>
      </c>
      <c r="EO449" t="e">
        <f>'Latin America and Caribbean'!202:202-"n/&gt;!5VL"</f>
        <v>#VALUE!</v>
      </c>
      <c r="EP449" t="e">
        <f>'Latin America and Caribbean'!203:203-"n/&gt;!5VM"</f>
        <v>#VALUE!</v>
      </c>
      <c r="EQ449" t="e">
        <f>'Latin America and Caribbean'!204:204-"n/&gt;!5VN"</f>
        <v>#VALUE!</v>
      </c>
      <c r="ER449" t="e">
        <f>'Latin America and Caribbean'!205:205-"n/&gt;!5VO"</f>
        <v>#VALUE!</v>
      </c>
      <c r="ES449" t="e">
        <f>'Latin America and Caribbean'!206:206-"n/&gt;!5VP"</f>
        <v>#VALUE!</v>
      </c>
      <c r="ET449" t="e">
        <f>'Latin America and Caribbean'!207:207-"n/&gt;!5VQ"</f>
        <v>#VALUE!</v>
      </c>
      <c r="EU449" t="e">
        <f>'Latin America and Caribbean'!208:208-"n/&gt;!5VR"</f>
        <v>#VALUE!</v>
      </c>
      <c r="EV449" t="e">
        <f>'Latin America and Caribbean'!209:209-"n/&gt;!5VS"</f>
        <v>#VALUE!</v>
      </c>
      <c r="EW449" t="e">
        <f>'Latin America and Caribbean'!210:210-"n/&gt;!5VT"</f>
        <v>#VALUE!</v>
      </c>
      <c r="EX449" t="e">
        <f>'Latin America and Caribbean'!211:211-"n/&gt;!5VU"</f>
        <v>#VALUE!</v>
      </c>
      <c r="EY449" t="e">
        <f>'Latin America and Caribbean'!212:212-"n/&gt;!5VV"</f>
        <v>#VALUE!</v>
      </c>
      <c r="EZ449" t="e">
        <f>'Latin America and Caribbean'!213:213-"n/&gt;!5VW"</f>
        <v>#VALUE!</v>
      </c>
      <c r="FA449" t="e">
        <f>'Latin America and Caribbean'!214:214-"n/&gt;!5VX"</f>
        <v>#VALUE!</v>
      </c>
      <c r="FB449" t="e">
        <f>'Latin America and Caribbean'!215:215-"n/&gt;!5VY"</f>
        <v>#VALUE!</v>
      </c>
      <c r="FC449" t="e">
        <f>'Latin America and Caribbean'!216:216-"n/&gt;!5VZ"</f>
        <v>#VALUE!</v>
      </c>
      <c r="FD449" t="e">
        <f>'Latin America and Caribbean'!217:217-"n/&gt;!5V["</f>
        <v>#VALUE!</v>
      </c>
      <c r="FE449" t="e">
        <f>'Latin America and Caribbean'!218:218-"n/&gt;!5V\"</f>
        <v>#VALUE!</v>
      </c>
      <c r="FF449" t="e">
        <f>'Latin America and Caribbean'!219:219-"n/&gt;!5V]"</f>
        <v>#VALUE!</v>
      </c>
      <c r="FG449" t="e">
        <f>'Latin America and Caribbean'!220:220-"n/&gt;!5V^"</f>
        <v>#VALUE!</v>
      </c>
      <c r="FH449" t="e">
        <f>'Latin America and Caribbean'!221:221-"n/&gt;!5V_"</f>
        <v>#VALUE!</v>
      </c>
      <c r="FI449" t="e">
        <f>'Latin America and Caribbean'!222:222-"n/&gt;!5V`"</f>
        <v>#VALUE!</v>
      </c>
      <c r="FJ449" t="e">
        <f>'Latin America and Caribbean'!223:223-"n/&gt;!5Va"</f>
        <v>#VALUE!</v>
      </c>
      <c r="FK449" t="e">
        <f>'Latin America and Caribbean'!224:224-"n/&gt;!5Vb"</f>
        <v>#VALUE!</v>
      </c>
      <c r="FL449" t="e">
        <f>'Latin America and Caribbean'!225:225-"n/&gt;!5Vc"</f>
        <v>#VALUE!</v>
      </c>
      <c r="FM449" t="e">
        <f>'Latin America and Caribbean'!226:226-"n/&gt;!5Vd"</f>
        <v>#VALUE!</v>
      </c>
      <c r="FN449" t="e">
        <f>'Latin America and Caribbean'!227:227-"n/&gt;!5Ve"</f>
        <v>#VALUE!</v>
      </c>
      <c r="FO449" t="e">
        <f>'Latin America and Caribbean'!228:228-"n/&gt;!5Vf"</f>
        <v>#VALUE!</v>
      </c>
      <c r="FP449" t="e">
        <f>'Latin America and Caribbean'!229:229-"n/&gt;!5Vg"</f>
        <v>#VALUE!</v>
      </c>
      <c r="FQ449" t="e">
        <f>'Latin America and Caribbean'!230:230-"n/&gt;!5Vh"</f>
        <v>#VALUE!</v>
      </c>
      <c r="FR449" t="e">
        <f>'Latin America and Caribbean'!231:231-"n/&gt;!5Vi"</f>
        <v>#VALUE!</v>
      </c>
      <c r="FS449" t="e">
        <f>'Latin America and Caribbean'!232:232-"n/&gt;!5Vj"</f>
        <v>#VALUE!</v>
      </c>
      <c r="FT449" t="e">
        <f>'Latin America and Caribbean'!233:233-"n/&gt;!5Vk"</f>
        <v>#VALUE!</v>
      </c>
      <c r="FU449" t="e">
        <f>'Latin America and Caribbean'!234:234-"n/&gt;!5Vl"</f>
        <v>#VALUE!</v>
      </c>
      <c r="FV449" t="e">
        <f>'Latin America and Caribbean'!235:235-"n/&gt;!5Vm"</f>
        <v>#VALUE!</v>
      </c>
      <c r="FW449" t="e">
        <f>'Latin America and Caribbean'!236:236-"n/&gt;!5Vn"</f>
        <v>#VALUE!</v>
      </c>
      <c r="FX449" t="e">
        <f>'Latin America and Caribbean'!237:237-"n/&gt;!5Vo"</f>
        <v>#VALUE!</v>
      </c>
      <c r="FY449" t="e">
        <f>'Latin America and Caribbean'!238:238-"n/&gt;!5Vp"</f>
        <v>#VALUE!</v>
      </c>
      <c r="FZ449" t="e">
        <f>'Latin America and Caribbean'!239:239-"n/&gt;!5Vq"</f>
        <v>#VALUE!</v>
      </c>
      <c r="GA449" t="e">
        <f>'Latin America and Caribbean'!240:240-"n/&gt;!5Vr"</f>
        <v>#VALUE!</v>
      </c>
      <c r="GB449" t="e">
        <f>'Latin America and Caribbean'!241:241-"n/&gt;!5Vs"</f>
        <v>#VALUE!</v>
      </c>
      <c r="GC449" t="e">
        <f>'Latin America and Caribbean'!242:242-"n/&gt;!5Vt"</f>
        <v>#VALUE!</v>
      </c>
      <c r="GD449" t="e">
        <f>'Latin America and Caribbean'!243:243-"n/&gt;!5Vu"</f>
        <v>#VALUE!</v>
      </c>
      <c r="GE449" t="e">
        <f>'Latin America and Caribbean'!244:244-"n/&gt;!5Vv"</f>
        <v>#VALUE!</v>
      </c>
      <c r="GF449" t="e">
        <f>'Latin America and Caribbean'!245:245-"n/&gt;!5Vw"</f>
        <v>#VALUE!</v>
      </c>
      <c r="GG449" t="e">
        <f>'Latin America and Caribbean'!246:246-"n/&gt;!5Vx"</f>
        <v>#VALUE!</v>
      </c>
      <c r="GH449" t="e">
        <f>'Latin America and Caribbean'!247:247-"n/&gt;!5Vy"</f>
        <v>#VALUE!</v>
      </c>
      <c r="GI449" t="e">
        <f>'Latin America and Caribbean'!248:248-"n/&gt;!5Vz"</f>
        <v>#VALUE!</v>
      </c>
      <c r="GJ449" t="e">
        <f>'Latin America and Caribbean'!249:249-"n/&gt;!5V{"</f>
        <v>#VALUE!</v>
      </c>
      <c r="GK449" t="e">
        <f>'Latin America and Caribbean'!250:250-"n/&gt;!5V|"</f>
        <v>#VALUE!</v>
      </c>
      <c r="GL449" t="e">
        <f>'Latin America and Caribbean'!251:251-"n/&gt;!5V}"</f>
        <v>#VALUE!</v>
      </c>
      <c r="GM449" t="e">
        <f>'Latin America and Caribbean'!252:252-"n/&gt;!5V~"</f>
        <v>#VALUE!</v>
      </c>
      <c r="GN449" t="e">
        <f>'Latin America and Caribbean'!253:253-"n/&gt;!5W#"</f>
        <v>#VALUE!</v>
      </c>
      <c r="GO449" t="e">
        <f>'Latin America and Caribbean'!254:254-"n/&gt;!5W$"</f>
        <v>#VALUE!</v>
      </c>
      <c r="GP449" t="e">
        <f>'Latin America and Caribbean'!255:255-"n/&gt;!5W%"</f>
        <v>#VALUE!</v>
      </c>
      <c r="GQ449" t="e">
        <f>'Latin America and Caribbean'!256:256-"n/&gt;!5W&amp;"</f>
        <v>#VALUE!</v>
      </c>
      <c r="GR449" t="e">
        <f>'Latin America and Caribbean'!257:257-"n/&gt;!5W'"</f>
        <v>#VALUE!</v>
      </c>
      <c r="GS449" t="e">
        <f>'Latin America and Caribbean'!258:258-"n/&gt;!5W("</f>
        <v>#VALUE!</v>
      </c>
      <c r="GT449" t="e">
        <f>'Latin America and Caribbean'!259:259-"n/&gt;!5W)"</f>
        <v>#VALUE!</v>
      </c>
      <c r="GU449" t="e">
        <f>'Latin America and Caribbean'!260:260-"n/&gt;!5W."</f>
        <v>#VALUE!</v>
      </c>
      <c r="GV449" t="e">
        <f>'Latin America and Caribbean'!261:261-"n/&gt;!5W/"</f>
        <v>#VALUE!</v>
      </c>
      <c r="GW449" t="e">
        <f>'Latin America and Caribbean'!262:262-"n/&gt;!5W0"</f>
        <v>#VALUE!</v>
      </c>
      <c r="GX449" t="e">
        <f>'Latin America and Caribbean'!263:263-"n/&gt;!5W1"</f>
        <v>#VALUE!</v>
      </c>
      <c r="GY449" t="e">
        <f>'Latin America and Caribbean'!264:264-"n/&gt;!5W2"</f>
        <v>#VALUE!</v>
      </c>
      <c r="GZ449" t="e">
        <f>'Latin America and Caribbean'!265:265-"n/&gt;!5W3"</f>
        <v>#VALUE!</v>
      </c>
      <c r="HA449" t="e">
        <f>'Latin America and Caribbean'!266:266-"n/&gt;!5W4"</f>
        <v>#VALUE!</v>
      </c>
      <c r="HB449" t="e">
        <f>'Latin America and Caribbean'!267:267-"n/&gt;!5W5"</f>
        <v>#VALUE!</v>
      </c>
      <c r="HC449" t="e">
        <f>'Latin America and Caribbean'!268:268-"n/&gt;!5W6"</f>
        <v>#VALUE!</v>
      </c>
      <c r="HD449" t="e">
        <f>'Latin America and Caribbean'!269:269-"n/&gt;!5W7"</f>
        <v>#VALUE!</v>
      </c>
      <c r="HE449" t="e">
        <f>'Latin America and Caribbean'!270:270-"n/&gt;!5W8"</f>
        <v>#VALUE!</v>
      </c>
      <c r="HF449" t="e">
        <f>'Latin America and Caribbean'!271:271-"n/&gt;!5W9"</f>
        <v>#VALUE!</v>
      </c>
      <c r="HG449" t="e">
        <f>'Latin America and Caribbean'!272:272-"n/&gt;!5W:"</f>
        <v>#VALUE!</v>
      </c>
      <c r="HH449" t="e">
        <f>'Latin America and Caribbean'!273:273-"n/&gt;!5W;"</f>
        <v>#VALUE!</v>
      </c>
      <c r="HI449" t="e">
        <f>'Latin America and Caribbean'!274:274-"n/&gt;!5W&lt;"</f>
        <v>#VALUE!</v>
      </c>
      <c r="HJ449" t="e">
        <f>'Latin America and Caribbean'!275:275-"n/&gt;!5W="</f>
        <v>#VALUE!</v>
      </c>
      <c r="HK449" t="e">
        <f>'Latin America and Caribbean'!276:276-"n/&gt;!5W&gt;"</f>
        <v>#VALUE!</v>
      </c>
      <c r="HL449" t="e">
        <f>'Latin America and Caribbean'!277:277-"n/&gt;!5W?"</f>
        <v>#VALUE!</v>
      </c>
      <c r="HM449" t="e">
        <f>'Latin America and Caribbean'!278:278-"n/&gt;!5W@"</f>
        <v>#VALUE!</v>
      </c>
      <c r="HN449" t="e">
        <f>'Latin America and Caribbean'!279:279-"n/&gt;!5WA"</f>
        <v>#VALUE!</v>
      </c>
      <c r="HO449" t="e">
        <f>'Latin America and Caribbean'!280:280-"n/&gt;!5WB"</f>
        <v>#VALUE!</v>
      </c>
      <c r="HP449" t="e">
        <f>'Latin America and Caribbean'!281:281-"n/&gt;!5WC"</f>
        <v>#VALUE!</v>
      </c>
      <c r="HQ449" t="e">
        <f>'Latin America and Caribbean'!282:282-"n/&gt;!5WD"</f>
        <v>#VALUE!</v>
      </c>
      <c r="HR449" t="e">
        <f>'Latin America and Caribbean'!283:283-"n/&gt;!5WE"</f>
        <v>#VALUE!</v>
      </c>
      <c r="HS449" t="e">
        <f>'Latin America and Caribbean'!284:284-"n/&gt;!5WF"</f>
        <v>#VALUE!</v>
      </c>
      <c r="HT449" t="e">
        <f>'Latin America and Caribbean'!285:285-"n/&gt;!5WG"</f>
        <v>#VALUE!</v>
      </c>
      <c r="HU449" t="e">
        <f>'Latin America and Caribbean'!286:286-"n/&gt;!5WH"</f>
        <v>#VALUE!</v>
      </c>
      <c r="HV449" t="e">
        <f>'Latin America and Caribbean'!287:287-"n/&gt;!5WI"</f>
        <v>#VALUE!</v>
      </c>
      <c r="HW449" t="e">
        <f>'Latin America and Caribbean'!288:288-"n/&gt;!5WJ"</f>
        <v>#VALUE!</v>
      </c>
      <c r="HX449" t="e">
        <f>'Latin America and Caribbean'!289:289-"n/&gt;!5WK"</f>
        <v>#VALUE!</v>
      </c>
      <c r="HY449" t="e">
        <f>'Latin America and Caribbean'!290:290-"n/&gt;!5WL"</f>
        <v>#VALUE!</v>
      </c>
      <c r="HZ449" t="e">
        <f>'Latin America and Caribbean'!291:291-"n/&gt;!5WM"</f>
        <v>#VALUE!</v>
      </c>
      <c r="IA449" t="e">
        <f>'Latin America and Caribbean'!292:292-"n/&gt;!5WN"</f>
        <v>#VALUE!</v>
      </c>
      <c r="IB449" t="e">
        <f>'Latin America and Caribbean'!293:293-"n/&gt;!5WO"</f>
        <v>#VALUE!</v>
      </c>
      <c r="IC449" t="e">
        <f>'Latin America and Caribbean'!294:294-"n/&gt;!5WP"</f>
        <v>#VALUE!</v>
      </c>
      <c r="ID449" t="e">
        <f>'Latin America and Caribbean'!295:295-"n/&gt;!5WQ"</f>
        <v>#VALUE!</v>
      </c>
      <c r="IE449" t="e">
        <f>'Latin America and Caribbean'!296:296-"n/&gt;!5WR"</f>
        <v>#VALUE!</v>
      </c>
      <c r="IF449" t="e">
        <f>'Latin America and Caribbean'!297:297-"n/&gt;!5WS"</f>
        <v>#VALUE!</v>
      </c>
      <c r="IG449" t="e">
        <f>'Latin America and Caribbean'!298:298-"n/&gt;!5WT"</f>
        <v>#VALUE!</v>
      </c>
      <c r="IH449" t="e">
        <f>'Latin America and Caribbean'!299:299-"n/&gt;!5WU"</f>
        <v>#VALUE!</v>
      </c>
      <c r="II449" t="e">
        <f>'Latin America and Caribbean'!300:300-"n/&gt;!5WV"</f>
        <v>#VALUE!</v>
      </c>
      <c r="IJ449" t="e">
        <f>'Latin America and Caribbean'!301:301-"n/&gt;!5WW"</f>
        <v>#VALUE!</v>
      </c>
      <c r="IK449" t="e">
        <f>'Latin America and Caribbean'!302:302-"n/&gt;!5WX"</f>
        <v>#VALUE!</v>
      </c>
      <c r="IL449" t="e">
        <f>'Latin America and Caribbean'!303:303-"n/&gt;!5WY"</f>
        <v>#VALUE!</v>
      </c>
      <c r="IM449" t="e">
        <f>'Latin America and Caribbean'!304:304-"n/&gt;!5WZ"</f>
        <v>#VALUE!</v>
      </c>
      <c r="IN449" t="e">
        <f>'Latin America and Caribbean'!305:305-"n/&gt;!5W["</f>
        <v>#VALUE!</v>
      </c>
      <c r="IO449" t="e">
        <f>'Latin America and Caribbean'!306:306-"n/&gt;!5W\"</f>
        <v>#VALUE!</v>
      </c>
      <c r="IP449" t="e">
        <f>'Latin America and Caribbean'!307:307-"n/&gt;!5W]"</f>
        <v>#VALUE!</v>
      </c>
      <c r="IQ449" t="e">
        <f>'Latin America and Caribbean'!308:308-"n/&gt;!5W^"</f>
        <v>#VALUE!</v>
      </c>
      <c r="IR449" t="e">
        <f>'Latin America and Caribbean'!309:309-"n/&gt;!5W_"</f>
        <v>#VALUE!</v>
      </c>
      <c r="IS449" t="e">
        <f>'Latin America and Caribbean'!310:310-"n/&gt;!5W`"</f>
        <v>#VALUE!</v>
      </c>
      <c r="IT449" t="e">
        <f>'Latin America and Caribbean'!311:311-"n/&gt;!5Wa"</f>
        <v>#VALUE!</v>
      </c>
      <c r="IU449" t="e">
        <f>'Latin America and Caribbean'!312:312-"n/&gt;!5Wb"</f>
        <v>#VALUE!</v>
      </c>
      <c r="IV449" t="e">
        <f>'Latin America and Caribbean'!313:313-"n/&gt;!5Wc"</f>
        <v>#VALUE!</v>
      </c>
    </row>
    <row r="450" spans="6:256" x14ac:dyDescent="0.35">
      <c r="F450" t="e">
        <f>'Latin America and Caribbean'!314:314-"n/&gt;!5Wd"</f>
        <v>#VALUE!</v>
      </c>
      <c r="G450" t="e">
        <f>'Latin America and Caribbean'!315:315-"n/&gt;!5We"</f>
        <v>#VALUE!</v>
      </c>
      <c r="H450" t="e">
        <f>'Latin America and Caribbean'!316:316-"n/&gt;!5Wf"</f>
        <v>#VALUE!</v>
      </c>
      <c r="I450" t="e">
        <f>'Latin America and Caribbean'!317:317-"n/&gt;!5Wg"</f>
        <v>#VALUE!</v>
      </c>
      <c r="J450" t="e">
        <f>'Latin America and Caribbean'!318:318-"n/&gt;!5Wh"</f>
        <v>#VALUE!</v>
      </c>
      <c r="K450" t="e">
        <f>'Latin America and Caribbean'!319:319-"n/&gt;!5Wi"</f>
        <v>#VALUE!</v>
      </c>
      <c r="L450" t="e">
        <f>'Latin America and Caribbean'!320:320-"n/&gt;!5Wj"</f>
        <v>#VALUE!</v>
      </c>
      <c r="M450" t="e">
        <f>'Latin America and Caribbean'!321:321-"n/&gt;!5Wk"</f>
        <v>#VALUE!</v>
      </c>
      <c r="N450" t="e">
        <f>'Latin America and Caribbean'!322:322-"n/&gt;!5Wl"</f>
        <v>#VALUE!</v>
      </c>
      <c r="O450" t="e">
        <f>'Latin America and Caribbean'!323:323-"n/&gt;!5Wm"</f>
        <v>#VALUE!</v>
      </c>
      <c r="P450" t="e">
        <f>'Latin America and Caribbean'!324:324-"n/&gt;!5Wn"</f>
        <v>#VALUE!</v>
      </c>
      <c r="Q450" t="e">
        <f>'Latin America and Caribbean'!325:325-"n/&gt;!5Wo"</f>
        <v>#VALUE!</v>
      </c>
      <c r="R450" t="e">
        <f>'Latin America and Caribbean'!326:326-"n/&gt;!5Wp"</f>
        <v>#VALUE!</v>
      </c>
      <c r="S450" t="e">
        <f>'Latin America and Caribbean'!327:327-"n/&gt;!5Wq"</f>
        <v>#VALUE!</v>
      </c>
      <c r="T450" t="e">
        <f>'Latin America and Caribbean'!328:328-"n/&gt;!5Wr"</f>
        <v>#VALUE!</v>
      </c>
      <c r="U450" t="e">
        <f>'Latin America and Caribbean'!329:329-"n/&gt;!5Ws"</f>
        <v>#VALUE!</v>
      </c>
      <c r="V450" t="e">
        <f>'Latin America and Caribbean'!330:330-"n/&gt;!5Wt"</f>
        <v>#VALUE!</v>
      </c>
      <c r="W450" t="e">
        <f>'Latin America and Caribbean'!331:331-"n/&gt;!5Wu"</f>
        <v>#VALUE!</v>
      </c>
      <c r="X450" t="e">
        <f>'Latin America and Caribbean'!332:332-"n/&gt;!5Wv"</f>
        <v>#VALUE!</v>
      </c>
      <c r="Y450" t="e">
        <f>'Latin America and Caribbean'!333:333-"n/&gt;!5Ww"</f>
        <v>#VALUE!</v>
      </c>
      <c r="Z450" t="e">
        <f>'Latin America and Caribbean'!334:334-"n/&gt;!5Wx"</f>
        <v>#VALUE!</v>
      </c>
      <c r="AA450" t="e">
        <f>'Latin America and Caribbean'!335:335-"n/&gt;!5Wy"</f>
        <v>#VALUE!</v>
      </c>
      <c r="AB450" t="e">
        <f>'Latin America and Caribbean'!336:336-"n/&gt;!5Wz"</f>
        <v>#VALUE!</v>
      </c>
      <c r="AC450" t="e">
        <f>'Latin America and Caribbean'!337:337-"n/&gt;!5W{"</f>
        <v>#VALUE!</v>
      </c>
      <c r="AD450" t="e">
        <f>'Latin America and Caribbean'!338:338-"n/&gt;!5W|"</f>
        <v>#VALUE!</v>
      </c>
      <c r="AE450" t="e">
        <f>'Latin America and Caribbean'!339:339-"n/&gt;!5W}"</f>
        <v>#VALUE!</v>
      </c>
      <c r="AF450" t="e">
        <f>'Latin America and Caribbean'!340:340-"n/&gt;!5W~"</f>
        <v>#VALUE!</v>
      </c>
      <c r="AG450" t="e">
        <f>'Latin America and Caribbean'!341:341-"n/&gt;!5X#"</f>
        <v>#VALUE!</v>
      </c>
      <c r="AH450" t="e">
        <f>'Latin America and Caribbean'!342:342-"n/&gt;!5X$"</f>
        <v>#VALUE!</v>
      </c>
      <c r="AI450" t="e">
        <f>'Latin America and Caribbean'!343:343-"n/&gt;!5X%"</f>
        <v>#VALUE!</v>
      </c>
      <c r="AJ450" t="e">
        <f>'Latin America and Caribbean'!344:344-"n/&gt;!5X&amp;"</f>
        <v>#VALUE!</v>
      </c>
      <c r="AK450" t="e">
        <f>'Latin America and Caribbean'!345:345-"n/&gt;!5X'"</f>
        <v>#VALUE!</v>
      </c>
      <c r="AL450" t="e">
        <f>'Latin America and Caribbean'!346:346-"n/&gt;!5X("</f>
        <v>#VALUE!</v>
      </c>
      <c r="AM450" t="e">
        <f>'Latin America and Caribbean'!347:347-"n/&gt;!5X)"</f>
        <v>#VALUE!</v>
      </c>
      <c r="AN450" t="e">
        <f>'Latin America and Caribbean'!348:348-"n/&gt;!5X."</f>
        <v>#VALUE!</v>
      </c>
      <c r="AO450" t="e">
        <f>'Latin America and Caribbean'!349:349-"n/&gt;!5X/"</f>
        <v>#VALUE!</v>
      </c>
      <c r="AP450" t="e">
        <f>'Latin America and Caribbean'!350:350-"n/&gt;!5X0"</f>
        <v>#VALUE!</v>
      </c>
      <c r="AQ450" t="e">
        <f>'Latin America and Caribbean'!351:351-"n/&gt;!5X1"</f>
        <v>#VALUE!</v>
      </c>
      <c r="AR450" t="e">
        <f>'Latin America and Caribbean'!352:352-"n/&gt;!5X2"</f>
        <v>#VALUE!</v>
      </c>
      <c r="AS450" t="e">
        <f>'Latin America and Caribbean'!353:353-"n/&gt;!5X3"</f>
        <v>#VALUE!</v>
      </c>
      <c r="AT450" t="e">
        <f>'Latin America and Caribbean'!354:354-"n/&gt;!5X4"</f>
        <v>#VALUE!</v>
      </c>
      <c r="AU450" t="e">
        <f>'Latin America and Caribbean'!355:355-"n/&gt;!5X5"</f>
        <v>#VALUE!</v>
      </c>
      <c r="AV450" t="e">
        <f>'Latin America and Caribbean'!356:356-"n/&gt;!5X6"</f>
        <v>#VALUE!</v>
      </c>
      <c r="AW450" t="e">
        <f>'Latin America and Caribbean'!357:357-"n/&gt;!5X7"</f>
        <v>#VALUE!</v>
      </c>
      <c r="AX450" t="e">
        <f>'Latin America and Caribbean'!358:358-"n/&gt;!5X8"</f>
        <v>#VALUE!</v>
      </c>
      <c r="AY450" t="e">
        <f>'Latin America and Caribbean'!359:359-"n/&gt;!5X9"</f>
        <v>#VALUE!</v>
      </c>
      <c r="AZ450" t="e">
        <f>'Latin America and Caribbean'!360:360-"n/&gt;!5X:"</f>
        <v>#VALUE!</v>
      </c>
      <c r="BA450" t="e">
        <f>'Latin America and Caribbean'!361:361-"n/&gt;!5X;"</f>
        <v>#VALUE!</v>
      </c>
      <c r="BB450" t="e">
        <f>'Latin America and Caribbean'!362:362-"n/&gt;!5X&lt;"</f>
        <v>#VALUE!</v>
      </c>
      <c r="BC450" t="e">
        <f>'Latin America and Caribbean'!363:363-"n/&gt;!5X="</f>
        <v>#VALUE!</v>
      </c>
      <c r="BD450" t="e">
        <f>'Latin America and Caribbean'!364:364-"n/&gt;!5X&gt;"</f>
        <v>#VALUE!</v>
      </c>
      <c r="BE450" t="e">
        <f>'Latin America and Caribbean'!365:365-"n/&gt;!5X?"</f>
        <v>#VALUE!</v>
      </c>
      <c r="BF450" t="e">
        <f>'Latin America and Caribbean'!366:366-"n/&gt;!5X@"</f>
        <v>#VALUE!</v>
      </c>
      <c r="BG450" t="e">
        <f>'Latin America and Caribbean'!367:367-"n/&gt;!5XA"</f>
        <v>#VALUE!</v>
      </c>
      <c r="BH450" t="e">
        <f>'Latin America and Caribbean'!368:368-"n/&gt;!5XB"</f>
        <v>#VALUE!</v>
      </c>
      <c r="BI450" t="e">
        <f>'Latin America and Caribbean'!369:369-"n/&gt;!5XC"</f>
        <v>#VALUE!</v>
      </c>
      <c r="BJ450" t="e">
        <f>'Latin America and Caribbean'!370:370-"n/&gt;!5XD"</f>
        <v>#VALUE!</v>
      </c>
      <c r="BK450" t="e">
        <f>'Latin America and Caribbean'!371:371-"n/&gt;!5XE"</f>
        <v>#VALUE!</v>
      </c>
      <c r="BL450" t="e">
        <f>'Latin America and Caribbean'!372:372-"n/&gt;!5XF"</f>
        <v>#VALUE!</v>
      </c>
      <c r="BM450" t="e">
        <f>'Latin America and Caribbean'!373:373-"n/&gt;!5XG"</f>
        <v>#VALUE!</v>
      </c>
      <c r="BN450" t="e">
        <f>'Latin America and Caribbean'!374:374-"n/&gt;!5XH"</f>
        <v>#VALUE!</v>
      </c>
      <c r="BO450" t="e">
        <f>'Latin America and Caribbean'!375:375-"n/&gt;!5XI"</f>
        <v>#VALUE!</v>
      </c>
      <c r="BP450" t="e">
        <f>'Latin America and Caribbean'!376:376-"n/&gt;!5XJ"</f>
        <v>#VALUE!</v>
      </c>
      <c r="BQ450" t="e">
        <f>'Latin America and Caribbean'!377:377-"n/&gt;!5XK"</f>
        <v>#VALUE!</v>
      </c>
      <c r="BR450" t="e">
        <f>'Latin America and Caribbean'!378:378-"n/&gt;!5XL"</f>
        <v>#VALUE!</v>
      </c>
      <c r="BS450" t="e">
        <f>'Latin America and Caribbean'!379:379-"n/&gt;!5XM"</f>
        <v>#VALUE!</v>
      </c>
      <c r="BT450" t="e">
        <f>'Latin America and Caribbean'!380:380-"n/&gt;!5XN"</f>
        <v>#VALUE!</v>
      </c>
      <c r="BU450" t="e">
        <f>'Latin America and Caribbean'!381:381-"n/&gt;!5XO"</f>
        <v>#VALUE!</v>
      </c>
      <c r="BV450" t="e">
        <f>'Latin America and Caribbean'!382:382-"n/&gt;!5XP"</f>
        <v>#VALUE!</v>
      </c>
      <c r="BW450" t="e">
        <f>'Latin America and Caribbean'!383:383-"n/&gt;!5XQ"</f>
        <v>#VALUE!</v>
      </c>
      <c r="BX450" t="e">
        <f>'Latin America and Caribbean'!384:384-"n/&gt;!5XR"</f>
        <v>#VALUE!</v>
      </c>
      <c r="BY450" t="e">
        <f>'Latin America and Caribbean'!385:385-"n/&gt;!5XS"</f>
        <v>#VALUE!</v>
      </c>
      <c r="BZ450" t="e">
        <f>'Latin America and Caribbean'!386:386-"n/&gt;!5XT"</f>
        <v>#VALUE!</v>
      </c>
      <c r="CA450" t="e">
        <f>'Latin America and Caribbean'!387:387-"n/&gt;!5XU"</f>
        <v>#VALUE!</v>
      </c>
      <c r="CB450" t="e">
        <f>'Latin America and Caribbean'!388:388-"n/&gt;!5XV"</f>
        <v>#VALUE!</v>
      </c>
      <c r="CC450" t="e">
        <f>'Latin America and Caribbean'!389:389-"n/&gt;!5XW"</f>
        <v>#VALUE!</v>
      </c>
      <c r="CD450" t="e">
        <f>'Latin America and Caribbean'!390:390-"n/&gt;!5XX"</f>
        <v>#VALUE!</v>
      </c>
      <c r="CE450" t="e">
        <f>'Latin America and Caribbean'!391:391-"n/&gt;!5XY"</f>
        <v>#VALUE!</v>
      </c>
      <c r="CF450" t="e">
        <f>'Latin America and Caribbean'!392:392-"n/&gt;!5XZ"</f>
        <v>#VALUE!</v>
      </c>
      <c r="CG450" t="e">
        <f>'Latin America and Caribbean'!393:393-"n/&gt;!5X["</f>
        <v>#VALUE!</v>
      </c>
      <c r="CH450" t="e">
        <f>'Latin America and Caribbean'!394:394-"n/&gt;!5X\"</f>
        <v>#VALUE!</v>
      </c>
      <c r="CI450" t="e">
        <f>'Latin America and Caribbean'!395:395-"n/&gt;!5X]"</f>
        <v>#VALUE!</v>
      </c>
      <c r="CJ450" t="e">
        <f>'Latin America and Caribbean'!396:396-"n/&gt;!5X^"</f>
        <v>#VALUE!</v>
      </c>
      <c r="CK450" t="e">
        <f>'Latin America and Caribbean'!397:397-"n/&gt;!5X_"</f>
        <v>#VALUE!</v>
      </c>
      <c r="CL450" t="e">
        <f>'Latin America and Caribbean'!398:398-"n/&gt;!5X`"</f>
        <v>#VALUE!</v>
      </c>
      <c r="CM450" t="e">
        <f>'Latin America and Caribbean'!399:399-"n/&gt;!5Xa"</f>
        <v>#VALUE!</v>
      </c>
      <c r="CN450" t="e">
        <f>'Latin America and Caribbean'!400:400-"n/&gt;!5Xb"</f>
        <v>#VALUE!</v>
      </c>
      <c r="CO450" t="e">
        <f>'Latin America and Caribbean'!401:401-"n/&gt;!5Xc"</f>
        <v>#VALUE!</v>
      </c>
      <c r="CP450" t="e">
        <f>'Latin America and Caribbean'!402:402-"n/&gt;!5Xd"</f>
        <v>#VALUE!</v>
      </c>
      <c r="CQ450" t="e">
        <f>'Latin America and Caribbean'!403:403-"n/&gt;!5Xe"</f>
        <v>#VALUE!</v>
      </c>
      <c r="CR450" t="e">
        <f>'Latin America and Caribbean'!404:404-"n/&gt;!5Xf"</f>
        <v>#VALUE!</v>
      </c>
      <c r="CS450" t="e">
        <f>'Latin America and Caribbean'!405:405-"n/&gt;!5Xg"</f>
        <v>#VALUE!</v>
      </c>
      <c r="CT450" t="e">
        <f>'Latin America and Caribbean'!406:406-"n/&gt;!5Xh"</f>
        <v>#VALUE!</v>
      </c>
      <c r="CU450" t="e">
        <f>'Latin America and Caribbean'!407:407-"n/&gt;!5Xi"</f>
        <v>#VALUE!</v>
      </c>
      <c r="CV450" t="e">
        <f>'Latin America and Caribbean'!408:408-"n/&gt;!5Xj"</f>
        <v>#VALUE!</v>
      </c>
      <c r="CW450" t="e">
        <f>'Latin America and Caribbean'!409:409-"n/&gt;!5Xk"</f>
        <v>#VALUE!</v>
      </c>
      <c r="CX450" t="e">
        <f>'Latin America and Caribbean'!410:410-"n/&gt;!5Xl"</f>
        <v>#VALUE!</v>
      </c>
      <c r="CY450" t="e">
        <f>'Latin America and Caribbean'!411:411-"n/&gt;!5Xm"</f>
        <v>#VALUE!</v>
      </c>
      <c r="CZ450" t="e">
        <f>'Latin America and Caribbean'!412:412-"n/&gt;!5Xn"</f>
        <v>#VALUE!</v>
      </c>
      <c r="DA450" t="e">
        <f>'Latin America and Caribbean'!413:413-"n/&gt;!5Xo"</f>
        <v>#VALUE!</v>
      </c>
      <c r="DB450" t="e">
        <f>'Latin America and Caribbean'!414:414-"n/&gt;!5Xp"</f>
        <v>#VALUE!</v>
      </c>
      <c r="DC450" t="e">
        <f>'Latin America and Caribbean'!415:415-"n/&gt;!5Xq"</f>
        <v>#VALUE!</v>
      </c>
      <c r="DD450" t="e">
        <f>'Latin America and Caribbean'!416:416-"n/&gt;!5Xr"</f>
        <v>#VALUE!</v>
      </c>
      <c r="DE450" t="e">
        <f>'Latin America and Caribbean'!417:417-"n/&gt;!5Xs"</f>
        <v>#VALUE!</v>
      </c>
      <c r="DF450" t="e">
        <f>'Latin America and Caribbean'!418:418-"n/&gt;!5Xt"</f>
        <v>#VALUE!</v>
      </c>
      <c r="DG450" t="e">
        <f>'Latin America and Caribbean'!419:419-"n/&gt;!5Xu"</f>
        <v>#VALUE!</v>
      </c>
      <c r="DH450" t="e">
        <f>'Latin America and Caribbean'!420:420-"n/&gt;!5Xv"</f>
        <v>#VALUE!</v>
      </c>
      <c r="DI450" t="e">
        <f>'Latin America and Caribbean'!421:421-"n/&gt;!5Xw"</f>
        <v>#VALUE!</v>
      </c>
      <c r="DJ450" t="e">
        <f>'Latin America and Caribbean'!422:422-"n/&gt;!5Xx"</f>
        <v>#VALUE!</v>
      </c>
      <c r="DK450" t="e">
        <f>'Latin America and Caribbean'!423:423-"n/&gt;!5Xy"</f>
        <v>#VALUE!</v>
      </c>
      <c r="DL450" t="e">
        <f>'Latin America and Caribbean'!424:424-"n/&gt;!5Xz"</f>
        <v>#VALUE!</v>
      </c>
      <c r="DM450" t="e">
        <f>'Latin America and Caribbean'!425:425-"n/&gt;!5X{"</f>
        <v>#VALUE!</v>
      </c>
      <c r="DN450" t="e">
        <f>'Latin America and Caribbean'!426:426-"n/&gt;!5X|"</f>
        <v>#VALUE!</v>
      </c>
      <c r="DO450" t="e">
        <f>'Latin America and Caribbean'!427:427-"n/&gt;!5X}"</f>
        <v>#VALUE!</v>
      </c>
      <c r="DP450" t="e">
        <f>'Latin America and Caribbean'!428:428-"n/&gt;!5X~"</f>
        <v>#VALUE!</v>
      </c>
      <c r="DQ450" t="e">
        <f>'Latin America and Caribbean'!429:429-"n/&gt;!5Y#"</f>
        <v>#VALUE!</v>
      </c>
      <c r="DR450" t="e">
        <f>'Latin America and Caribbean'!430:430-"n/&gt;!5Y$"</f>
        <v>#VALUE!</v>
      </c>
      <c r="DS450" t="e">
        <f>'Latin America and Caribbean'!431:431-"n/&gt;!5Y%"</f>
        <v>#VALUE!</v>
      </c>
      <c r="DT450" t="e">
        <f>'Latin America and Caribbean'!432:432-"n/&gt;!5Y&amp;"</f>
        <v>#VALUE!</v>
      </c>
      <c r="DU450" t="e">
        <f>'Latin America and Caribbean'!433:433-"n/&gt;!5Y'"</f>
        <v>#VALUE!</v>
      </c>
      <c r="DV450" t="e">
        <f>'Latin America and Caribbean'!434:434-"n/&gt;!5Y("</f>
        <v>#VALUE!</v>
      </c>
      <c r="DW450" t="e">
        <f>'Latin America and Caribbean'!435:435-"n/&gt;!5Y)"</f>
        <v>#VALUE!</v>
      </c>
      <c r="DX450" t="e">
        <f>'Latin America and Caribbean'!436:436-"n/&gt;!5Y."</f>
        <v>#VALUE!</v>
      </c>
      <c r="DY450" t="e">
        <f>'Latin America and Caribbean'!437:437-"n/&gt;!5Y/"</f>
        <v>#VALUE!</v>
      </c>
      <c r="DZ450" t="e">
        <f>'Latin America and Caribbean'!438:438-"n/&gt;!5Y0"</f>
        <v>#VALUE!</v>
      </c>
      <c r="EA450" t="e">
        <f>'Latin America and Caribbean'!439:439-"n/&gt;!5Y1"</f>
        <v>#VALUE!</v>
      </c>
      <c r="EB450" t="e">
        <f>'Latin America and Caribbean'!440:440-"n/&gt;!5Y2"</f>
        <v>#VALUE!</v>
      </c>
      <c r="EC450" t="e">
        <f>'Latin America and Caribbean'!441:441-"n/&gt;!5Y3"</f>
        <v>#VALUE!</v>
      </c>
      <c r="ED450" t="e">
        <f>'Latin America and Caribbean'!442:442-"n/&gt;!5Y4"</f>
        <v>#VALUE!</v>
      </c>
      <c r="EE450" t="e">
        <f>'Latin America and Caribbean'!443:443-"n/&gt;!5Y5"</f>
        <v>#VALUE!</v>
      </c>
      <c r="EF450" t="e">
        <f>'Latin America and Caribbean'!444:444-"n/&gt;!5Y6"</f>
        <v>#VALUE!</v>
      </c>
      <c r="EG450" t="e">
        <f>'Latin America and Caribbean'!445:445-"n/&gt;!5Y7"</f>
        <v>#VALUE!</v>
      </c>
      <c r="EH450" t="e">
        <f>'Latin America and Caribbean'!446:446-"n/&gt;!5Y8"</f>
        <v>#VALUE!</v>
      </c>
      <c r="EI450" t="e">
        <f>'Latin America and Caribbean'!447:447-"n/&gt;!5Y9"</f>
        <v>#VALUE!</v>
      </c>
      <c r="EJ450" t="e">
        <f>'Latin America and Caribbean'!448:448-"n/&gt;!5Y:"</f>
        <v>#VALUE!</v>
      </c>
      <c r="EK450" t="e">
        <f>'Latin America and Caribbean'!449:449-"n/&gt;!5Y;"</f>
        <v>#VALUE!</v>
      </c>
      <c r="EL450" t="e">
        <f>'Latin America and Caribbean'!450:450-"n/&gt;!5Y&lt;"</f>
        <v>#VALUE!</v>
      </c>
      <c r="EM450" t="e">
        <f>'Latin America and Caribbean'!451:451-"n/&gt;!5Y="</f>
        <v>#VALUE!</v>
      </c>
      <c r="EN450" t="e">
        <f>'Latin America and Caribbean'!452:452-"n/&gt;!5Y&gt;"</f>
        <v>#VALUE!</v>
      </c>
      <c r="EO450" t="e">
        <f>'Latin America and Caribbean'!453:453-"n/&gt;!5Y?"</f>
        <v>#VALUE!</v>
      </c>
      <c r="EP450" t="e">
        <f>'Latin America and Caribbean'!454:454-"n/&gt;!5Y@"</f>
        <v>#VALUE!</v>
      </c>
      <c r="EQ450" t="e">
        <f>'Latin America and Caribbean'!455:455-"n/&gt;!5YA"</f>
        <v>#VALUE!</v>
      </c>
      <c r="ER450" t="e">
        <f>'Latin America and Caribbean'!456:456-"n/&gt;!5YB"</f>
        <v>#VALUE!</v>
      </c>
      <c r="ES450" t="e">
        <f>'Latin America and Caribbean'!457:457-"n/&gt;!5YC"</f>
        <v>#VALUE!</v>
      </c>
      <c r="ET450" t="e">
        <f>'Latin America and Caribbean'!458:458-"n/&gt;!5YD"</f>
        <v>#VALUE!</v>
      </c>
      <c r="EU450" t="e">
        <f>'Latin America and Caribbean'!459:459-"n/&gt;!5YE"</f>
        <v>#VALUE!</v>
      </c>
      <c r="EV450" t="e">
        <f>'Latin America and Caribbean'!460:460-"n/&gt;!5YF"</f>
        <v>#VALUE!</v>
      </c>
      <c r="EW450" t="e">
        <f>'Latin America and Caribbean'!461:461-"n/&gt;!5YG"</f>
        <v>#VALUE!</v>
      </c>
      <c r="EX450" t="e">
        <f>'Latin America and Caribbean'!462:462-"n/&gt;!5YH"</f>
        <v>#VALUE!</v>
      </c>
      <c r="EY450" t="e">
        <f>'Latin America and Caribbean'!463:463-"n/&gt;!5YI"</f>
        <v>#VALUE!</v>
      </c>
      <c r="EZ450" t="e">
        <f>'Latin America and Caribbean'!464:464-"n/&gt;!5YJ"</f>
        <v>#VALUE!</v>
      </c>
      <c r="FA450" t="e">
        <f>'Latin America and Caribbean'!465:465-"n/&gt;!5YK"</f>
        <v>#VALUE!</v>
      </c>
      <c r="FB450" t="e">
        <f>'Latin America and Caribbean'!466:466-"n/&gt;!5YL"</f>
        <v>#VALUE!</v>
      </c>
      <c r="FC450" t="e">
        <f>'Latin America and Caribbean'!467:467-"n/&gt;!5YM"</f>
        <v>#VALUE!</v>
      </c>
      <c r="FD450" t="e">
        <f>'Latin America and Caribbean'!468:468-"n/&gt;!5YN"</f>
        <v>#VALUE!</v>
      </c>
      <c r="FE450" t="e">
        <f>'Latin America and Caribbean'!469:469-"n/&gt;!5YO"</f>
        <v>#VALUE!</v>
      </c>
      <c r="FF450" t="e">
        <f>'Latin America and Caribbean'!470:470-"n/&gt;!5YP"</f>
        <v>#VALUE!</v>
      </c>
      <c r="FG450" t="e">
        <f>'Latin America and Caribbean'!471:471-"n/&gt;!5YQ"</f>
        <v>#VALUE!</v>
      </c>
      <c r="FH450" t="e">
        <f>'Latin America and Caribbean'!472:472-"n/&gt;!5YR"</f>
        <v>#VALUE!</v>
      </c>
      <c r="FI450" t="e">
        <f>'Latin America and Caribbean'!473:473-"n/&gt;!5YS"</f>
        <v>#VALUE!</v>
      </c>
      <c r="FJ450" t="e">
        <f>'Latin America and Caribbean'!474:474-"n/&gt;!5YT"</f>
        <v>#VALUE!</v>
      </c>
      <c r="FK450" t="e">
        <f>'Latin America and Caribbean'!475:475-"n/&gt;!5YU"</f>
        <v>#VALUE!</v>
      </c>
      <c r="FL450" t="e">
        <f>'Latin America and Caribbean'!476:476-"n/&gt;!5YV"</f>
        <v>#VALUE!</v>
      </c>
      <c r="FM450" t="e">
        <f>'Latin America and Caribbean'!477:477-"n/&gt;!5YW"</f>
        <v>#VALUE!</v>
      </c>
      <c r="FN450" t="e">
        <f>'Latin America and Caribbean'!478:478-"n/&gt;!5YX"</f>
        <v>#VALUE!</v>
      </c>
      <c r="FO450" t="e">
        <f>'Latin America and Caribbean'!479:479-"n/&gt;!5YY"</f>
        <v>#VALUE!</v>
      </c>
      <c r="FP450" t="e">
        <f>'Latin America and Caribbean'!480:480-"n/&gt;!5YZ"</f>
        <v>#VALUE!</v>
      </c>
      <c r="FQ450" t="e">
        <f>'Latin America and Caribbean'!481:481-"n/&gt;!5Y["</f>
        <v>#VALUE!</v>
      </c>
      <c r="FR450" t="e">
        <f>'Latin America and Caribbean'!482:482-"n/&gt;!5Y\"</f>
        <v>#VALUE!</v>
      </c>
      <c r="FS450" t="e">
        <f>'Latin America and Caribbean'!483:483-"n/&gt;!5Y]"</f>
        <v>#VALUE!</v>
      </c>
      <c r="FT450" t="e">
        <f>'Latin America and Caribbean'!484:484-"n/&gt;!5Y^"</f>
        <v>#VALUE!</v>
      </c>
      <c r="FU450" t="e">
        <f>'Latin America and Caribbean'!485:485-"n/&gt;!5Y_"</f>
        <v>#VALUE!</v>
      </c>
      <c r="FV450" t="e">
        <f>'Latin America and Caribbean'!486:486-"n/&gt;!5Y`"</f>
        <v>#VALUE!</v>
      </c>
      <c r="FW450" t="e">
        <f>'Latin America and Caribbean'!487:487-"n/&gt;!5Ya"</f>
        <v>#VALUE!</v>
      </c>
      <c r="FX450" t="e">
        <f>'Latin America and Caribbean'!488:488-"n/&gt;!5Yb"</f>
        <v>#VALUE!</v>
      </c>
      <c r="FY450" t="e">
        <f>'Latin America and Caribbean'!489:489-"n/&gt;!5Yc"</f>
        <v>#VALUE!</v>
      </c>
      <c r="FZ450" t="e">
        <f>'Latin America and Caribbean'!490:490-"n/&gt;!5Yd"</f>
        <v>#VALUE!</v>
      </c>
      <c r="GA450" t="e">
        <f>'Latin America and Caribbean'!491:491-"n/&gt;!5Ye"</f>
        <v>#VALUE!</v>
      </c>
      <c r="GB450" t="e">
        <f>'Latin America and Caribbean'!492:492-"n/&gt;!5Yf"</f>
        <v>#VALUE!</v>
      </c>
      <c r="GC450" t="e">
        <f>'Latin America and Caribbean'!493:493-"n/&gt;!5Yg"</f>
        <v>#VALUE!</v>
      </c>
      <c r="GD450" t="e">
        <f>'Latin America and Caribbean'!494:494-"n/&gt;!5Yh"</f>
        <v>#VALUE!</v>
      </c>
      <c r="GE450" t="e">
        <f>'Latin America and Caribbean'!495:495-"n/&gt;!5Yi"</f>
        <v>#VALUE!</v>
      </c>
      <c r="GF450" t="e">
        <f>'Latin America and Caribbean'!496:496-"n/&gt;!5Yj"</f>
        <v>#VALUE!</v>
      </c>
      <c r="GG450" t="e">
        <f>'Latin America and Caribbean'!497:497-"n/&gt;!5Yk"</f>
        <v>#VALUE!</v>
      </c>
      <c r="GH450" t="e">
        <f>'Latin America and Caribbean'!498:498-"n/&gt;!5Yl"</f>
        <v>#VALUE!</v>
      </c>
      <c r="GI450" t="e">
        <f>'Latin America and Caribbean'!499:499-"n/&gt;!5Ym"</f>
        <v>#VALUE!</v>
      </c>
      <c r="GJ450" t="e">
        <f>'Latin America and Caribbean'!500:500-"n/&gt;!5Yn"</f>
        <v>#VALUE!</v>
      </c>
      <c r="GK450" t="e">
        <f>'Latin America and Caribbean'!501:501-"n/&gt;!5Yo"</f>
        <v>#VALUE!</v>
      </c>
      <c r="GL450" t="e">
        <f>'Latin America and Caribbean'!502:502-"n/&gt;!5Yp"</f>
        <v>#VALUE!</v>
      </c>
      <c r="GM450" t="e">
        <f>'Latin America and Caribbean'!503:503-"n/&gt;!5Yq"</f>
        <v>#VALUE!</v>
      </c>
      <c r="GN450" t="e">
        <f>'Latin America and Caribbean'!504:504-"n/&gt;!5Yr"</f>
        <v>#VALUE!</v>
      </c>
      <c r="GO450" t="e">
        <f>'Latin America and Caribbean'!505:505-"n/&gt;!5Ys"</f>
        <v>#VALUE!</v>
      </c>
      <c r="GP450" t="e">
        <f>'Latin America and Caribbean'!506:506-"n/&gt;!5Yt"</f>
        <v>#VALUE!</v>
      </c>
      <c r="GQ450" t="e">
        <f>'Latin America and Caribbean'!507:507-"n/&gt;!5Yu"</f>
        <v>#VALUE!</v>
      </c>
      <c r="GR450" t="e">
        <f>'Latin America and Caribbean'!508:508-"n/&gt;!5Yv"</f>
        <v>#VALUE!</v>
      </c>
      <c r="GS450" t="e">
        <f>'Latin America and Caribbean'!509:509-"n/&gt;!5Yw"</f>
        <v>#VALUE!</v>
      </c>
      <c r="GT450" t="e">
        <f>'Latin America and Caribbean'!510:510-"n/&gt;!5Yx"</f>
        <v>#VALUE!</v>
      </c>
      <c r="GU450" t="e">
        <f>'Latin America and Caribbean'!511:511-"n/&gt;!5Yy"</f>
        <v>#VALUE!</v>
      </c>
      <c r="GV450" t="e">
        <f>'Latin America and Caribbean'!512:512-"n/&gt;!5Yz"</f>
        <v>#VALUE!</v>
      </c>
      <c r="GW450" t="e">
        <f>'Latin America and Caribbean'!513:513-"n/&gt;!5Y{"</f>
        <v>#VALUE!</v>
      </c>
      <c r="GX450" t="e">
        <f>'Latin America and Caribbean'!514:514-"n/&gt;!5Y|"</f>
        <v>#VALUE!</v>
      </c>
      <c r="GY450" t="e">
        <f>'Latin America and Caribbean'!515:515-"n/&gt;!5Y}"</f>
        <v>#VALUE!</v>
      </c>
      <c r="GZ450" t="e">
        <f>'Latin America and Caribbean'!516:516-"n/&gt;!5Y~"</f>
        <v>#VALUE!</v>
      </c>
      <c r="HA450" t="e">
        <f>'Latin America and Caribbean'!517:517-"n/&gt;!5Z#"</f>
        <v>#VALUE!</v>
      </c>
      <c r="HB450" t="e">
        <f>'Latin America and Caribbean'!518:518-"n/&gt;!5Z$"</f>
        <v>#VALUE!</v>
      </c>
      <c r="HC450" t="e">
        <f>'Latin America and Caribbean'!519:519-"n/&gt;!5Z%"</f>
        <v>#VALUE!</v>
      </c>
      <c r="HD450" t="e">
        <f>'Latin America and Caribbean'!520:520-"n/&gt;!5Z&amp;"</f>
        <v>#VALUE!</v>
      </c>
      <c r="HE450" t="e">
        <f>'Latin America and Caribbean'!521:521-"n/&gt;!5Z'"</f>
        <v>#VALUE!</v>
      </c>
      <c r="HF450" t="e">
        <f>'Latin America and Caribbean'!522:522-"n/&gt;!5Z("</f>
        <v>#VALUE!</v>
      </c>
      <c r="HG450" t="e">
        <f>'Latin America and Caribbean'!523:523-"n/&gt;!5Z)"</f>
        <v>#VALUE!</v>
      </c>
      <c r="HH450" t="e">
        <f>'Latin America and Caribbean'!524:524-"n/&gt;!5Z."</f>
        <v>#VALUE!</v>
      </c>
      <c r="HI450" t="e">
        <f>'Latin America and Caribbean'!525:525-"n/&gt;!5Z/"</f>
        <v>#VALUE!</v>
      </c>
      <c r="HJ450" t="e">
        <f>'Latin America and Caribbean'!526:526-"n/&gt;!5Z0"</f>
        <v>#VALUE!</v>
      </c>
      <c r="HK450" t="e">
        <f>'Latin America and Caribbean'!527:527-"n/&gt;!5Z1"</f>
        <v>#VALUE!</v>
      </c>
      <c r="HL450" t="e">
        <f>'Latin America and Caribbean'!528:528-"n/&gt;!5Z2"</f>
        <v>#VALUE!</v>
      </c>
      <c r="HM450" t="e">
        <f>'Latin America and Caribbean'!529:529-"n/&gt;!5Z3"</f>
        <v>#VALUE!</v>
      </c>
      <c r="HN450" t="e">
        <f>'Latin America and Caribbean'!530:530-"n/&gt;!5Z4"</f>
        <v>#VALUE!</v>
      </c>
      <c r="HO450" t="e">
        <f>'Latin America and Caribbean'!531:531-"n/&gt;!5Z5"</f>
        <v>#VALUE!</v>
      </c>
      <c r="HP450" t="e">
        <f>'Latin America and Caribbean'!532:532-"n/&gt;!5Z6"</f>
        <v>#VALUE!</v>
      </c>
      <c r="HQ450" t="e">
        <f>'Latin America and Caribbean'!533:533-"n/&gt;!5Z7"</f>
        <v>#VALUE!</v>
      </c>
      <c r="HR450" t="e">
        <f>'Latin America and Caribbean'!534:534-"n/&gt;!5Z8"</f>
        <v>#VALUE!</v>
      </c>
      <c r="HS450" t="e">
        <f>'Latin America and Caribbean'!535:535-"n/&gt;!5Z9"</f>
        <v>#VALUE!</v>
      </c>
      <c r="HT450" t="e">
        <f>'Latin America and Caribbean'!536:536-"n/&gt;!5Z:"</f>
        <v>#VALUE!</v>
      </c>
      <c r="HU450" t="e">
        <f>'Latin America and Caribbean'!537:537-"n/&gt;!5Z;"</f>
        <v>#VALUE!</v>
      </c>
      <c r="HV450" t="e">
        <f>'Latin America and Caribbean'!538:538-"n/&gt;!5Z&lt;"</f>
        <v>#VALUE!</v>
      </c>
      <c r="HW450" t="e">
        <f>'Latin America and Caribbean'!539:539-"n/&gt;!5Z="</f>
        <v>#VALUE!</v>
      </c>
      <c r="HX450" t="e">
        <f>'Latin America and Caribbean'!540:540-"n/&gt;!5Z&gt;"</f>
        <v>#VALUE!</v>
      </c>
      <c r="HY450" t="e">
        <f>'Latin America and Caribbean'!541:541-"n/&gt;!5Z?"</f>
        <v>#VALUE!</v>
      </c>
      <c r="HZ450" t="e">
        <f>'Latin America and Caribbean'!542:542-"n/&gt;!5Z@"</f>
        <v>#VALUE!</v>
      </c>
      <c r="IA450" t="e">
        <f>'Latin America and Caribbean'!543:543-"n/&gt;!5ZA"</f>
        <v>#VALUE!</v>
      </c>
      <c r="IB450" t="e">
        <f>'Latin America and Caribbean'!544:544-"n/&gt;!5ZB"</f>
        <v>#VALUE!</v>
      </c>
      <c r="IC450" t="e">
        <f>'Latin America and Caribbean'!545:545-"n/&gt;!5ZC"</f>
        <v>#VALUE!</v>
      </c>
      <c r="ID450" t="e">
        <f>'Latin America and Caribbean'!546:546-"n/&gt;!5ZD"</f>
        <v>#VALUE!</v>
      </c>
      <c r="IE450" t="e">
        <f>'Latin America and Caribbean'!547:547-"n/&gt;!5ZE"</f>
        <v>#VALUE!</v>
      </c>
      <c r="IF450" t="e">
        <f>'Latin America and Caribbean'!548:548-"n/&gt;!5ZF"</f>
        <v>#VALUE!</v>
      </c>
      <c r="IG450" t="e">
        <f>'Latin America and Caribbean'!549:549-"n/&gt;!5ZG"</f>
        <v>#VALUE!</v>
      </c>
      <c r="IH450" t="e">
        <f>'Latin America and Caribbean'!550:550-"n/&gt;!5ZH"</f>
        <v>#VALUE!</v>
      </c>
      <c r="II450" t="e">
        <f>'Latin America and Caribbean'!551:551-"n/&gt;!5ZI"</f>
        <v>#VALUE!</v>
      </c>
      <c r="IJ450" t="e">
        <f>'Latin America and Caribbean'!552:552-"n/&gt;!5ZJ"</f>
        <v>#VALUE!</v>
      </c>
      <c r="IK450" t="e">
        <f>'Latin America and Caribbean'!553:553-"n/&gt;!5ZK"</f>
        <v>#VALUE!</v>
      </c>
      <c r="IL450" t="e">
        <f>'Latin America and Caribbean'!554:554-"n/&gt;!5ZL"</f>
        <v>#VALUE!</v>
      </c>
      <c r="IM450" t="e">
        <f>'Latin America and Caribbean'!555:555-"n/&gt;!5ZM"</f>
        <v>#VALUE!</v>
      </c>
      <c r="IN450" t="e">
        <f>'Latin America and Caribbean'!556:556-"n/&gt;!5ZN"</f>
        <v>#VALUE!</v>
      </c>
      <c r="IO450" t="e">
        <f>'Latin America and Caribbean'!557:557-"n/&gt;!5ZO"</f>
        <v>#VALUE!</v>
      </c>
      <c r="IP450" t="e">
        <f>'Latin America and Caribbean'!558:558-"n/&gt;!5ZP"</f>
        <v>#VALUE!</v>
      </c>
      <c r="IQ450" t="e">
        <f>'Latin America and Caribbean'!559:559-"n/&gt;!5ZQ"</f>
        <v>#VALUE!</v>
      </c>
      <c r="IR450" t="e">
        <f>'Latin America and Caribbean'!560:560-"n/&gt;!5ZR"</f>
        <v>#VALUE!</v>
      </c>
      <c r="IS450" t="e">
        <f>'Latin America and Caribbean'!561:561-"n/&gt;!5ZS"</f>
        <v>#VALUE!</v>
      </c>
      <c r="IT450" t="e">
        <f>'Latin America and Caribbean'!562:562-"n/&gt;!5ZT"</f>
        <v>#VALUE!</v>
      </c>
      <c r="IU450" t="e">
        <f>'Latin America and Caribbean'!563:563-"n/&gt;!5ZU"</f>
        <v>#VALUE!</v>
      </c>
      <c r="IV450" t="e">
        <f>'Latin America and Caribbean'!564:564-"n/&gt;!5ZV"</f>
        <v>#VALUE!</v>
      </c>
    </row>
    <row r="451" spans="6:256" x14ac:dyDescent="0.35">
      <c r="F451" t="e">
        <f>'Latin America and Caribbean'!565:565-"n/&gt;!5ZW"</f>
        <v>#VALUE!</v>
      </c>
      <c r="G451" t="e">
        <f>'Latin America and Caribbean'!566:566-"n/&gt;!5ZX"</f>
        <v>#VALUE!</v>
      </c>
      <c r="H451" t="e">
        <f>'Latin America and Caribbean'!567:567-"n/&gt;!5ZY"</f>
        <v>#VALUE!</v>
      </c>
      <c r="I451" t="e">
        <f>'Latin America and Caribbean'!568:568-"n/&gt;!5ZZ"</f>
        <v>#VALUE!</v>
      </c>
      <c r="J451" t="e">
        <f>'Latin America and Caribbean'!569:569-"n/&gt;!5Z["</f>
        <v>#VALUE!</v>
      </c>
      <c r="K451" t="e">
        <f>'Latin America and Caribbean'!570:570-"n/&gt;!5Z\"</f>
        <v>#VALUE!</v>
      </c>
      <c r="L451" t="e">
        <f>'Latin America and Caribbean'!571:571-"n/&gt;!5Z]"</f>
        <v>#VALUE!</v>
      </c>
      <c r="M451" t="e">
        <f>'Latin America and Caribbean'!572:572-"n/&gt;!5Z^"</f>
        <v>#VALUE!</v>
      </c>
      <c r="N451" t="e">
        <f>'Latin America and Caribbean'!573:573-"n/&gt;!5Z_"</f>
        <v>#VALUE!</v>
      </c>
      <c r="O451" t="e">
        <f>'Latin America and Caribbean'!574:574-"n/&gt;!5Z`"</f>
        <v>#VALUE!</v>
      </c>
      <c r="P451" t="e">
        <f>'Latin America and Caribbean'!575:575-"n/&gt;!5Za"</f>
        <v>#VALUE!</v>
      </c>
      <c r="Q451" t="e">
        <f>'Latin America and Caribbean'!576:576-"n/&gt;!5Zb"</f>
        <v>#VALUE!</v>
      </c>
      <c r="R451" t="e">
        <f>'Latin America and Caribbean'!577:577-"n/&gt;!5Zc"</f>
        <v>#VALUE!</v>
      </c>
      <c r="S451" t="e">
        <f>'Latin America and Caribbean'!578:578-"n/&gt;!5Zd"</f>
        <v>#VALUE!</v>
      </c>
      <c r="T451" t="e">
        <f>'Latin America and Caribbean'!579:579-"n/&gt;!5Ze"</f>
        <v>#VALUE!</v>
      </c>
      <c r="U451" t="e">
        <f>'Latin America and Caribbean'!580:580-"n/&gt;!5Zf"</f>
        <v>#VALUE!</v>
      </c>
      <c r="V451" t="e">
        <f>'Latin America and Caribbean'!581:581-"n/&gt;!5Zg"</f>
        <v>#VALUE!</v>
      </c>
      <c r="W451" t="e">
        <f>'Latin America and Caribbean'!582:582-"n/&gt;!5Zh"</f>
        <v>#VALUE!</v>
      </c>
      <c r="X451" t="e">
        <f>'Latin America and Caribbean'!583:583-"n/&gt;!5Zi"</f>
        <v>#VALUE!</v>
      </c>
      <c r="Y451" t="e">
        <f>'Latin America and Caribbean'!584:584-"n/&gt;!5Zj"</f>
        <v>#VALUE!</v>
      </c>
      <c r="Z451" t="e">
        <f>'Latin America and Caribbean'!585:585-"n/&gt;!5Zk"</f>
        <v>#VALUE!</v>
      </c>
      <c r="AA451" t="e">
        <f>'Latin America and Caribbean'!586:586-"n/&gt;!5Zl"</f>
        <v>#VALUE!</v>
      </c>
      <c r="AB451" t="e">
        <f>'Latin America and Caribbean'!587:587-"n/&gt;!5Zm"</f>
        <v>#VALUE!</v>
      </c>
      <c r="AC451" t="e">
        <f>'Latin America and Caribbean'!588:588-"n/&gt;!5Zn"</f>
        <v>#VALUE!</v>
      </c>
      <c r="AD451" t="e">
        <f>'Latin America and Caribbean'!589:589-"n/&gt;!5Zo"</f>
        <v>#VALUE!</v>
      </c>
      <c r="AE451" t="e">
        <f>'Latin America and Caribbean'!590:590-"n/&gt;!5Zp"</f>
        <v>#VALUE!</v>
      </c>
      <c r="AF451" t="e">
        <f>'Latin America and Caribbean'!591:591-"n/&gt;!5Zq"</f>
        <v>#VALUE!</v>
      </c>
      <c r="AG451" t="e">
        <f>'Latin America and Caribbean'!592:592-"n/&gt;!5Zr"</f>
        <v>#VALUE!</v>
      </c>
      <c r="AH451" t="e">
        <f>'Latin America and Caribbean'!593:593-"n/&gt;!5Zs"</f>
        <v>#VALUE!</v>
      </c>
      <c r="AI451" t="e">
        <f>'Latin America and Caribbean'!594:594-"n/&gt;!5Zt"</f>
        <v>#VALUE!</v>
      </c>
      <c r="AJ451" t="e">
        <f>'Latin America and Caribbean'!595:595-"n/&gt;!5Zu"</f>
        <v>#VALUE!</v>
      </c>
      <c r="AK451" t="e">
        <f>'Latin America and Caribbean'!596:596-"n/&gt;!5Zv"</f>
        <v>#VALUE!</v>
      </c>
      <c r="AL451" t="e">
        <f>'Latin America and Caribbean'!597:597-"n/&gt;!5Zw"</f>
        <v>#VALUE!</v>
      </c>
      <c r="AM451" t="e">
        <f>'Latin America and Caribbean'!598:598-"n/&gt;!5Zx"</f>
        <v>#VALUE!</v>
      </c>
      <c r="AN451" t="e">
        <f>'Latin America and Caribbean'!599:599-"n/&gt;!5Zy"</f>
        <v>#VALUE!</v>
      </c>
      <c r="AO451" t="e">
        <f>'Latin America and Caribbean'!600:600-"n/&gt;!5Zz"</f>
        <v>#VALUE!</v>
      </c>
      <c r="AP451" t="e">
        <f>'Latin America and Caribbean'!601:601-"n/&gt;!5Z{"</f>
        <v>#VALUE!</v>
      </c>
      <c r="AQ451" t="e">
        <f>'Latin America and Caribbean'!602:602-"n/&gt;!5Z|"</f>
        <v>#VALUE!</v>
      </c>
      <c r="AR451" t="e">
        <f>'Latin America and Caribbean'!603:603-"n/&gt;!5Z}"</f>
        <v>#VALUE!</v>
      </c>
      <c r="AS451" t="e">
        <f>'Latin America and Caribbean'!604:604-"n/&gt;!5Z~"</f>
        <v>#VALUE!</v>
      </c>
      <c r="AT451" t="e">
        <f>'Latin America and Caribbean'!605:605-"n/&gt;!5[#"</f>
        <v>#VALUE!</v>
      </c>
      <c r="AU451" t="e">
        <f>'Latin America and Caribbean'!606:606-"n/&gt;!5[$"</f>
        <v>#VALUE!</v>
      </c>
      <c r="AV451" t="e">
        <f>'Latin America and Caribbean'!607:607-"n/&gt;!5[%"</f>
        <v>#VALUE!</v>
      </c>
      <c r="AW451" t="e">
        <f>'Latin America and Caribbean'!608:608-"n/&gt;!5[&amp;"</f>
        <v>#VALUE!</v>
      </c>
      <c r="AX451" t="e">
        <f>'Latin America and Caribbean'!609:609-"n/&gt;!5['"</f>
        <v>#VALUE!</v>
      </c>
      <c r="AY451" t="e">
        <f>'Latin America and Caribbean'!610:610-"n/&gt;!5[("</f>
        <v>#VALUE!</v>
      </c>
      <c r="AZ451" t="e">
        <f>'Latin America and Caribbean'!611:611-"n/&gt;!5[)"</f>
        <v>#VALUE!</v>
      </c>
      <c r="BA451" t="e">
        <f>'Latin America and Caribbean'!612:612-"n/&gt;!5[."</f>
        <v>#VALUE!</v>
      </c>
      <c r="BB451" t="e">
        <f>'Latin America and Caribbean'!613:613-"n/&gt;!5[/"</f>
        <v>#VALUE!</v>
      </c>
      <c r="BC451" t="e">
        <f>'Latin America and Caribbean'!614:614-"n/&gt;!5[0"</f>
        <v>#VALUE!</v>
      </c>
      <c r="BD451" t="e">
        <f>'Latin America and Caribbean'!615:615-"n/&gt;!5[1"</f>
        <v>#VALUE!</v>
      </c>
      <c r="BE451" t="e">
        <f>'Latin America and Caribbean'!616:616-"n/&gt;!5[2"</f>
        <v>#VALUE!</v>
      </c>
      <c r="BF451" t="e">
        <f>'Latin America and Caribbean'!617:617-"n/&gt;!5[3"</f>
        <v>#VALUE!</v>
      </c>
      <c r="BG451" t="e">
        <f>'Latin America and Caribbean'!618:618-"n/&gt;!5[4"</f>
        <v>#VALUE!</v>
      </c>
      <c r="BH451" t="e">
        <f>'Latin America and Caribbean'!619:619-"n/&gt;!5[5"</f>
        <v>#VALUE!</v>
      </c>
      <c r="BI451" t="e">
        <f>'Latin America and Caribbean'!620:620-"n/&gt;!5[6"</f>
        <v>#VALUE!</v>
      </c>
      <c r="BJ451" t="e">
        <f>'Latin America and Caribbean'!621:621-"n/&gt;!5[7"</f>
        <v>#VALUE!</v>
      </c>
      <c r="BK451" t="e">
        <f>'Latin America and Caribbean'!622:622-"n/&gt;!5[8"</f>
        <v>#VALUE!</v>
      </c>
      <c r="BL451" t="e">
        <f>'Latin America and Caribbean'!623:623-"n/&gt;!5[9"</f>
        <v>#VALUE!</v>
      </c>
      <c r="BM451" t="e">
        <f>'Latin America and Caribbean'!624:624-"n/&gt;!5[:"</f>
        <v>#VALUE!</v>
      </c>
      <c r="BN451" t="e">
        <f>'Latin America and Caribbean'!625:625-"n/&gt;!5[;"</f>
        <v>#VALUE!</v>
      </c>
      <c r="BO451" t="e">
        <f>'Latin America and Caribbean'!626:626-"n/&gt;!5[&lt;"</f>
        <v>#VALUE!</v>
      </c>
      <c r="BP451" t="e">
        <f>'Latin America and Caribbean'!627:627-"n/&gt;!5[="</f>
        <v>#VALUE!</v>
      </c>
      <c r="BQ451" t="e">
        <f>'Latin America and Caribbean'!628:628-"n/&gt;!5[&gt;"</f>
        <v>#VALUE!</v>
      </c>
      <c r="BR451" t="e">
        <f>'Latin America and Caribbean'!629:629-"n/&gt;!5[?"</f>
        <v>#VALUE!</v>
      </c>
      <c r="BS451" t="e">
        <f>'Latin America and Caribbean'!630:630-"n/&gt;!5[@"</f>
        <v>#VALUE!</v>
      </c>
      <c r="BT451" t="e">
        <f>'Latin America and Caribbean'!631:631-"n/&gt;!5[A"</f>
        <v>#VALUE!</v>
      </c>
      <c r="BU451" t="e">
        <f>'Latin America and Caribbean'!632:632-"n/&gt;!5[B"</f>
        <v>#VALUE!</v>
      </c>
      <c r="BV451" t="e">
        <f>'Latin America and Caribbean'!633:633-"n/&gt;!5[C"</f>
        <v>#VALUE!</v>
      </c>
      <c r="BW451" t="e">
        <f>'Latin America and Caribbean'!634:634-"n/&gt;!5[D"</f>
        <v>#VALUE!</v>
      </c>
      <c r="BX451" t="e">
        <f>'Latin America and Caribbean'!635:635-"n/&gt;!5[E"</f>
        <v>#VALUE!</v>
      </c>
      <c r="BY451" t="e">
        <f>'Latin America and Caribbean'!636:636-"n/&gt;!5[F"</f>
        <v>#VALUE!</v>
      </c>
      <c r="BZ451" t="e">
        <f>'Latin America and Caribbean'!637:637-"n/&gt;!5[G"</f>
        <v>#VALUE!</v>
      </c>
      <c r="CA451" t="e">
        <f>'Latin America and Caribbean'!638:638-"n/&gt;!5[H"</f>
        <v>#VALUE!</v>
      </c>
      <c r="CB451" t="e">
        <f>'Latin America and Caribbean'!639:639-"n/&gt;!5[I"</f>
        <v>#VALUE!</v>
      </c>
      <c r="CC451" t="e">
        <f>'Latin America and Caribbean'!640:640-"n/&gt;!5[J"</f>
        <v>#VALUE!</v>
      </c>
      <c r="CD451" t="e">
        <f>'Latin America and Caribbean'!641:641-"n/&gt;!5[K"</f>
        <v>#VALUE!</v>
      </c>
      <c r="CE451" t="e">
        <f>'Latin America and Caribbean'!642:642-"n/&gt;!5[L"</f>
        <v>#VALUE!</v>
      </c>
      <c r="CF451" t="e">
        <f>'Latin America and Caribbean'!643:643-"n/&gt;!5[M"</f>
        <v>#VALUE!</v>
      </c>
      <c r="CG451" t="e">
        <f>'Latin America and Caribbean'!644:644-"n/&gt;!5[N"</f>
        <v>#VALUE!</v>
      </c>
      <c r="CH451" t="e">
        <f>'Latin America and Caribbean'!645:645-"n/&gt;!5[O"</f>
        <v>#VALUE!</v>
      </c>
      <c r="CI451" t="e">
        <f>'Latin America and Caribbean'!646:646-"n/&gt;!5[P"</f>
        <v>#VALUE!</v>
      </c>
      <c r="CJ451" t="e">
        <f>'Latin America and Caribbean'!647:647-"n/&gt;!5[Q"</f>
        <v>#VALUE!</v>
      </c>
      <c r="CK451" t="e">
        <f>'Latin America and Caribbean'!648:648-"n/&gt;!5[R"</f>
        <v>#VALUE!</v>
      </c>
      <c r="CL451" t="e">
        <f>'Latin America and Caribbean'!649:649-"n/&gt;!5[S"</f>
        <v>#VALUE!</v>
      </c>
      <c r="CM451" t="e">
        <f>'Latin America and Caribbean'!650:650-"n/&gt;!5[T"</f>
        <v>#VALUE!</v>
      </c>
      <c r="CN451" t="e">
        <f>'Latin America and Caribbean'!651:651-"n/&gt;!5[U"</f>
        <v>#VALUE!</v>
      </c>
      <c r="CO451" t="e">
        <f>'Latin America and Caribbean'!652:652-"n/&gt;!5[V"</f>
        <v>#VALUE!</v>
      </c>
      <c r="CP451" t="e">
        <f>'Latin America and Caribbean'!653:653-"n/&gt;!5[W"</f>
        <v>#VALUE!</v>
      </c>
      <c r="CQ451" t="e">
        <f>'Latin America and Caribbean'!654:654-"n/&gt;!5[X"</f>
        <v>#VALUE!</v>
      </c>
      <c r="CR451" t="e">
        <f>'Latin America and Caribbean'!655:655-"n/&gt;!5[Y"</f>
        <v>#VALUE!</v>
      </c>
      <c r="CS451" t="e">
        <f>'Latin America and Caribbean'!656:656-"n/&gt;!5[Z"</f>
        <v>#VALUE!</v>
      </c>
      <c r="CT451" t="e">
        <f>'Latin America and Caribbean'!657:657-"n/&gt;!5[["</f>
        <v>#VALUE!</v>
      </c>
      <c r="CU451" t="e">
        <f>'Latin America and Caribbean'!658:658-"n/&gt;!5[\"</f>
        <v>#VALUE!</v>
      </c>
      <c r="CV451" t="e">
        <f>'Latin America and Caribbean'!659:659-"n/&gt;!5[]"</f>
        <v>#VALUE!</v>
      </c>
      <c r="CW451" t="e">
        <f>'Latin America and Caribbean'!660:660-"n/&gt;!5[^"</f>
        <v>#VALUE!</v>
      </c>
      <c r="CX451" t="e">
        <f>'Latin America and Caribbean'!661:661-"n/&gt;!5[_"</f>
        <v>#VALUE!</v>
      </c>
      <c r="CY451" t="e">
        <f>'Latin America and Caribbean'!662:662-"n/&gt;!5[`"</f>
        <v>#VALUE!</v>
      </c>
      <c r="CZ451" t="e">
        <f>'Latin America and Caribbean'!663:663-"n/&gt;!5[a"</f>
        <v>#VALUE!</v>
      </c>
      <c r="DA451" t="e">
        <f>'Latin America and Caribbean'!664:664-"n/&gt;!5[b"</f>
        <v>#VALUE!</v>
      </c>
      <c r="DB451" t="e">
        <f>'Latin America and Caribbean'!665:665-"n/&gt;!5[c"</f>
        <v>#VALUE!</v>
      </c>
      <c r="DC451" t="e">
        <f>'Latin America and Caribbean'!666:666-"n/&gt;!5[d"</f>
        <v>#VALUE!</v>
      </c>
      <c r="DD451" t="e">
        <f>'Latin America and Caribbean'!667:667-"n/&gt;!5[e"</f>
        <v>#VALUE!</v>
      </c>
      <c r="DE451" t="e">
        <f>'Latin America and Caribbean'!668:668-"n/&gt;!5[f"</f>
        <v>#VALUE!</v>
      </c>
      <c r="DF451" t="e">
        <f>'Latin America and Caribbean'!669:669-"n/&gt;!5[g"</f>
        <v>#VALUE!</v>
      </c>
      <c r="DG451" t="e">
        <f>'Latin America and Caribbean'!670:670-"n/&gt;!5[h"</f>
        <v>#VALUE!</v>
      </c>
      <c r="DH451" t="e">
        <f>'Latin America and Caribbean'!671:671-"n/&gt;!5[i"</f>
        <v>#VALUE!</v>
      </c>
      <c r="DI451" t="e">
        <f>'Latin America and Caribbean'!672:672-"n/&gt;!5[j"</f>
        <v>#VALUE!</v>
      </c>
      <c r="DJ451" t="e">
        <f>'Latin America and Caribbean'!673:673-"n/&gt;!5[k"</f>
        <v>#VALUE!</v>
      </c>
      <c r="DK451" t="e">
        <f>'Latin America and Caribbean'!674:674-"n/&gt;!5[l"</f>
        <v>#VALUE!</v>
      </c>
      <c r="DL451" t="e">
        <f>'Latin America and Caribbean'!675:675-"n/&gt;!5[m"</f>
        <v>#VALUE!</v>
      </c>
      <c r="DM451" t="e">
        <f>'Latin America and Caribbean'!676:676-"n/&gt;!5[n"</f>
        <v>#VALUE!</v>
      </c>
      <c r="DN451" t="e">
        <f>'Latin America and Caribbean'!677:677-"n/&gt;!5[o"</f>
        <v>#VALUE!</v>
      </c>
      <c r="DO451" t="e">
        <f>'Latin America and Caribbean'!678:678-"n/&gt;!5[p"</f>
        <v>#VALUE!</v>
      </c>
      <c r="DP451" t="e">
        <f>'Latin America and Caribbean'!679:679-"n/&gt;!5[q"</f>
        <v>#VALUE!</v>
      </c>
      <c r="DQ451" t="e">
        <f>'Latin America and Caribbean'!680:680-"n/&gt;!5[r"</f>
        <v>#VALUE!</v>
      </c>
      <c r="DR451" t="e">
        <f>'Latin America and Caribbean'!681:681-"n/&gt;!5[s"</f>
        <v>#VALUE!</v>
      </c>
      <c r="DS451" t="e">
        <f>'Latin America and Caribbean'!682:682-"n/&gt;!5[t"</f>
        <v>#VALUE!</v>
      </c>
      <c r="DT451" t="e">
        <f>'Latin America and Caribbean'!683:683-"n/&gt;!5[u"</f>
        <v>#VALUE!</v>
      </c>
      <c r="DU451" t="e">
        <f>'Australia and Oceania'!A1+"n/&gt;!5[v"</f>
        <v>#VALUE!</v>
      </c>
      <c r="DV451" t="e">
        <f>'Australia and Oceania'!B1+"n/&gt;!5[w"</f>
        <v>#VALUE!</v>
      </c>
      <c r="DW451" t="e">
        <f>'Australia and Oceania'!C1+"n/&gt;!5[x"</f>
        <v>#VALUE!</v>
      </c>
      <c r="DX451" t="e">
        <f>'Australia and Oceania'!D1+"n/&gt;!5[y"</f>
        <v>#VALUE!</v>
      </c>
      <c r="DY451" t="e">
        <f>'Australia and Oceania'!E1+"n/&gt;!5[z"</f>
        <v>#VALUE!</v>
      </c>
      <c r="DZ451" t="e">
        <f>'Australia and Oceania'!F1+"n/&gt;!5[{"</f>
        <v>#VALUE!</v>
      </c>
      <c r="EA451" t="e">
        <f>'Australia and Oceania'!G1+"n/&gt;!5[|"</f>
        <v>#VALUE!</v>
      </c>
      <c r="EB451" t="e">
        <f>'Australia and Oceania'!H1+"n/&gt;!5[}"</f>
        <v>#VALUE!</v>
      </c>
      <c r="EC451" t="e">
        <f>'Australia and Oceania'!I1+"n/&gt;!5[~"</f>
        <v>#VALUE!</v>
      </c>
      <c r="ED451" t="e">
        <f>'Australia and Oceania'!A2+"n/&gt;!5\#"</f>
        <v>#VALUE!</v>
      </c>
      <c r="EE451" t="e">
        <f>'Australia and Oceania'!B2+"n/&gt;!5\$"</f>
        <v>#VALUE!</v>
      </c>
      <c r="EF451" t="e">
        <f>'Australia and Oceania'!C2+"n/&gt;!5\%"</f>
        <v>#VALUE!</v>
      </c>
      <c r="EG451" t="e">
        <f>'Australia and Oceania'!D2+"n/&gt;!5\&amp;"</f>
        <v>#VALUE!</v>
      </c>
      <c r="EH451" t="e">
        <f>'Australia and Oceania'!E2+"n/&gt;!5\'"</f>
        <v>#VALUE!</v>
      </c>
      <c r="EI451" t="e">
        <f>'Australia and Oceania'!F2+"n/&gt;!5\("</f>
        <v>#VALUE!</v>
      </c>
      <c r="EJ451" t="e">
        <f>'Australia and Oceania'!G2+"n/&gt;!5\)"</f>
        <v>#VALUE!</v>
      </c>
      <c r="EK451" t="e">
        <f>'Australia and Oceania'!H2+"n/&gt;!5\."</f>
        <v>#VALUE!</v>
      </c>
      <c r="EL451" t="e">
        <f>'Australia and Oceania'!I2+"n/&gt;!5\/"</f>
        <v>#VALUE!</v>
      </c>
      <c r="EM451" t="e">
        <f>'Australia and Oceania'!A3+"n/&gt;!5\0"</f>
        <v>#VALUE!</v>
      </c>
      <c r="EN451" t="e">
        <f>'Australia and Oceania'!B3+"n/&gt;!5\1"</f>
        <v>#VALUE!</v>
      </c>
      <c r="EO451" t="e">
        <f>'Australia and Oceania'!C3+"n/&gt;!5\2"</f>
        <v>#VALUE!</v>
      </c>
      <c r="EP451" t="e">
        <f>'Australia and Oceania'!D3+"n/&gt;!5\3"</f>
        <v>#VALUE!</v>
      </c>
      <c r="EQ451" t="e">
        <f>'Australia and Oceania'!E3+"n/&gt;!5\4"</f>
        <v>#VALUE!</v>
      </c>
      <c r="ER451" t="e">
        <f>'Australia and Oceania'!F3+"n/&gt;!5\5"</f>
        <v>#VALUE!</v>
      </c>
      <c r="ES451" t="e">
        <f>'Australia and Oceania'!G3+"n/&gt;!5\6"</f>
        <v>#VALUE!</v>
      </c>
      <c r="ET451" t="e">
        <f>'Australia and Oceania'!H3+"n/&gt;!5\7"</f>
        <v>#VALUE!</v>
      </c>
      <c r="EU451" t="e">
        <f>'Australia and Oceania'!I3+"n/&gt;!5\8"</f>
        <v>#VALUE!</v>
      </c>
      <c r="EV451" t="e">
        <f>'Australia and Oceania'!A4+"n/&gt;!5\9"</f>
        <v>#VALUE!</v>
      </c>
      <c r="EW451" t="e">
        <f>'Australia and Oceania'!B4+"n/&gt;!5\:"</f>
        <v>#VALUE!</v>
      </c>
      <c r="EX451" t="e">
        <f>'Australia and Oceania'!C4+"n/&gt;!5\;"</f>
        <v>#VALUE!</v>
      </c>
      <c r="EY451" t="e">
        <f>'Australia and Oceania'!D4+"n/&gt;!5\&lt;"</f>
        <v>#VALUE!</v>
      </c>
      <c r="EZ451" t="e">
        <f>'Australia and Oceania'!E4+"n/&gt;!5\="</f>
        <v>#VALUE!</v>
      </c>
      <c r="FA451" t="e">
        <f>'Australia and Oceania'!F4+"n/&gt;!5\&gt;"</f>
        <v>#VALUE!</v>
      </c>
      <c r="FB451" t="e">
        <f>'Australia and Oceania'!G4+"n/&gt;!5\?"</f>
        <v>#VALUE!</v>
      </c>
      <c r="FC451" t="e">
        <f>'Australia and Oceania'!H4+"n/&gt;!5\@"</f>
        <v>#VALUE!</v>
      </c>
      <c r="FD451" t="e">
        <f>'Australia and Oceania'!I4+"n/&gt;!5\A"</f>
        <v>#VALUE!</v>
      </c>
      <c r="FE451" t="e">
        <f>'Australia and Oceania'!A5+"n/&gt;!5\B"</f>
        <v>#VALUE!</v>
      </c>
      <c r="FF451" t="e">
        <f>'Australia and Oceania'!B5+"n/&gt;!5\C"</f>
        <v>#VALUE!</v>
      </c>
      <c r="FG451" t="e">
        <f>'Australia and Oceania'!C5+"n/&gt;!5\D"</f>
        <v>#VALUE!</v>
      </c>
      <c r="FH451" t="e">
        <f>'Australia and Oceania'!D5+"n/&gt;!5\E"</f>
        <v>#VALUE!</v>
      </c>
      <c r="FI451" t="e">
        <f>'Australia and Oceania'!E5+"n/&gt;!5\F"</f>
        <v>#VALUE!</v>
      </c>
      <c r="FJ451" t="e">
        <f>'Australia and Oceania'!F5+"n/&gt;!5\G"</f>
        <v>#VALUE!</v>
      </c>
      <c r="FK451" t="e">
        <f>'Australia and Oceania'!G5+"n/&gt;!5\H"</f>
        <v>#VALUE!</v>
      </c>
      <c r="FL451" t="e">
        <f>'Australia and Oceania'!H5+"n/&gt;!5\I"</f>
        <v>#VALUE!</v>
      </c>
      <c r="FM451" t="e">
        <f>'Australia and Oceania'!I5+"n/&gt;!5\J"</f>
        <v>#VALUE!</v>
      </c>
      <c r="FN451" t="e">
        <f>'Australia and Oceania'!A6+"n/&gt;!5\K"</f>
        <v>#VALUE!</v>
      </c>
      <c r="FO451" t="e">
        <f>'Australia and Oceania'!B6+"n/&gt;!5\L"</f>
        <v>#VALUE!</v>
      </c>
      <c r="FP451" t="e">
        <f>'Australia and Oceania'!C6+"n/&gt;!5\M"</f>
        <v>#VALUE!</v>
      </c>
      <c r="FQ451" t="e">
        <f>'Australia and Oceania'!D6+"n/&gt;!5\N"</f>
        <v>#VALUE!</v>
      </c>
      <c r="FR451" t="e">
        <f>'Australia and Oceania'!E6+"n/&gt;!5\O"</f>
        <v>#VALUE!</v>
      </c>
      <c r="FS451" t="e">
        <f>'Australia and Oceania'!F6+"n/&gt;!5\P"</f>
        <v>#VALUE!</v>
      </c>
      <c r="FT451" t="e">
        <f>'Australia and Oceania'!G6+"n/&gt;!5\Q"</f>
        <v>#VALUE!</v>
      </c>
      <c r="FU451" t="e">
        <f>'Australia and Oceania'!H6+"n/&gt;!5\R"</f>
        <v>#VALUE!</v>
      </c>
      <c r="FV451" t="e">
        <f>'Australia and Oceania'!I6+"n/&gt;!5\S"</f>
        <v>#VALUE!</v>
      </c>
      <c r="FW451" t="e">
        <f>'Australia and Oceania'!A7+"n/&gt;!5\T"</f>
        <v>#VALUE!</v>
      </c>
      <c r="FX451" t="e">
        <f>'Australia and Oceania'!B7+"n/&gt;!5\U"</f>
        <v>#VALUE!</v>
      </c>
      <c r="FY451" t="e">
        <f>'Australia and Oceania'!C7+"n/&gt;!5\V"</f>
        <v>#VALUE!</v>
      </c>
      <c r="FZ451" t="e">
        <f>'Australia and Oceania'!D7+"n/&gt;!5\W"</f>
        <v>#VALUE!</v>
      </c>
      <c r="GA451" t="e">
        <f>'Australia and Oceania'!E7+"n/&gt;!5\X"</f>
        <v>#VALUE!</v>
      </c>
      <c r="GB451" t="e">
        <f>'Australia and Oceania'!F7+"n/&gt;!5\Y"</f>
        <v>#VALUE!</v>
      </c>
      <c r="GC451" t="e">
        <f>'Australia and Oceania'!G7+"n/&gt;!5\Z"</f>
        <v>#VALUE!</v>
      </c>
      <c r="GD451" t="e">
        <f>'Australia and Oceania'!H7+"n/&gt;!5\["</f>
        <v>#VALUE!</v>
      </c>
      <c r="GE451" t="e">
        <f>'Australia and Oceania'!I7+"n/&gt;!5\\"</f>
        <v>#VALUE!</v>
      </c>
      <c r="GF451" t="e">
        <f>'Australia and Oceania'!A8+"n/&gt;!5\]"</f>
        <v>#VALUE!</v>
      </c>
      <c r="GG451" t="e">
        <f>'Australia and Oceania'!B8+"n/&gt;!5\^"</f>
        <v>#VALUE!</v>
      </c>
      <c r="GH451" t="e">
        <f>'Australia and Oceania'!C8+"n/&gt;!5\_"</f>
        <v>#VALUE!</v>
      </c>
      <c r="GI451" t="e">
        <f>'Australia and Oceania'!D8+"n/&gt;!5\`"</f>
        <v>#VALUE!</v>
      </c>
      <c r="GJ451" t="e">
        <f>'Australia and Oceania'!E8+"n/&gt;!5\a"</f>
        <v>#VALUE!</v>
      </c>
      <c r="GK451" t="e">
        <f>'Australia and Oceania'!F8+"n/&gt;!5\b"</f>
        <v>#VALUE!</v>
      </c>
      <c r="GL451" t="e">
        <f>'Australia and Oceania'!G8+"n/&gt;!5\c"</f>
        <v>#VALUE!</v>
      </c>
      <c r="GM451" t="e">
        <f>'Australia and Oceania'!H8+"n/&gt;!5\d"</f>
        <v>#VALUE!</v>
      </c>
      <c r="GN451" t="e">
        <f>'Australia and Oceania'!I8+"n/&gt;!5\e"</f>
        <v>#VALUE!</v>
      </c>
      <c r="GO451" t="e">
        <f>'Australia and Oceania'!A9+"n/&gt;!5\f"</f>
        <v>#VALUE!</v>
      </c>
      <c r="GP451" t="e">
        <f>'Australia and Oceania'!B9+"n/&gt;!5\g"</f>
        <v>#VALUE!</v>
      </c>
      <c r="GQ451" t="e">
        <f>'Australia and Oceania'!C9+"n/&gt;!5\h"</f>
        <v>#VALUE!</v>
      </c>
      <c r="GR451" t="e">
        <f>'Australia and Oceania'!D9+"n/&gt;!5\i"</f>
        <v>#VALUE!</v>
      </c>
      <c r="GS451" t="e">
        <f>'Australia and Oceania'!E9+"n/&gt;!5\j"</f>
        <v>#VALUE!</v>
      </c>
      <c r="GT451" t="e">
        <f>'Australia and Oceania'!F9+"n/&gt;!5\k"</f>
        <v>#VALUE!</v>
      </c>
      <c r="GU451" t="e">
        <f>'Australia and Oceania'!G9+"n/&gt;!5\l"</f>
        <v>#VALUE!</v>
      </c>
      <c r="GV451" t="e">
        <f>'Australia and Oceania'!H9+"n/&gt;!5\m"</f>
        <v>#VALUE!</v>
      </c>
      <c r="GW451" t="e">
        <f>'Australia and Oceania'!I9+"n/&gt;!5\n"</f>
        <v>#VALUE!</v>
      </c>
      <c r="GX451" t="e">
        <f>'Australia and Oceania'!A10+"n/&gt;!5\o"</f>
        <v>#VALUE!</v>
      </c>
      <c r="GY451" t="e">
        <f>'Australia and Oceania'!B10+"n/&gt;!5\p"</f>
        <v>#VALUE!</v>
      </c>
      <c r="GZ451" t="e">
        <f>'Australia and Oceania'!C10+"n/&gt;!5\q"</f>
        <v>#VALUE!</v>
      </c>
      <c r="HA451" t="e">
        <f>'Australia and Oceania'!D10+"n/&gt;!5\r"</f>
        <v>#VALUE!</v>
      </c>
      <c r="HB451" t="e">
        <f>'Australia and Oceania'!E10+"n/&gt;!5\s"</f>
        <v>#VALUE!</v>
      </c>
      <c r="HC451" t="e">
        <f>'Australia and Oceania'!F10+"n/&gt;!5\t"</f>
        <v>#VALUE!</v>
      </c>
      <c r="HD451" t="e">
        <f>'Australia and Oceania'!G10+"n/&gt;!5\u"</f>
        <v>#VALUE!</v>
      </c>
      <c r="HE451" t="e">
        <f>'Australia and Oceania'!H10+"n/&gt;!5\v"</f>
        <v>#VALUE!</v>
      </c>
      <c r="HF451" t="e">
        <f>'Australia and Oceania'!I10+"n/&gt;!5\w"</f>
        <v>#VALUE!</v>
      </c>
      <c r="HG451" t="e">
        <f>'Australia and Oceania'!A11+"n/&gt;!5\x"</f>
        <v>#VALUE!</v>
      </c>
      <c r="HH451" t="e">
        <f>'Australia and Oceania'!B11+"n/&gt;!5\y"</f>
        <v>#VALUE!</v>
      </c>
      <c r="HI451" t="e">
        <f>'Australia and Oceania'!C11+"n/&gt;!5\z"</f>
        <v>#VALUE!</v>
      </c>
      <c r="HJ451" t="e">
        <f>'Australia and Oceania'!D11+"n/&gt;!5\{"</f>
        <v>#VALUE!</v>
      </c>
      <c r="HK451" t="e">
        <f>'Australia and Oceania'!E11+"n/&gt;!5\|"</f>
        <v>#VALUE!</v>
      </c>
      <c r="HL451" t="e">
        <f>'Australia and Oceania'!F11+"n/&gt;!5\}"</f>
        <v>#VALUE!</v>
      </c>
      <c r="HM451" t="e">
        <f>'Australia and Oceania'!G11+"n/&gt;!5\~"</f>
        <v>#VALUE!</v>
      </c>
      <c r="HN451" t="e">
        <f>'Australia and Oceania'!H11+"n/&gt;!5]#"</f>
        <v>#VALUE!</v>
      </c>
      <c r="HO451" t="e">
        <f>'Australia and Oceania'!I11+"n/&gt;!5]$"</f>
        <v>#VALUE!</v>
      </c>
      <c r="HP451" t="e">
        <f>'Australia and Oceania'!A12+"n/&gt;!5]%"</f>
        <v>#VALUE!</v>
      </c>
      <c r="HQ451" t="e">
        <f>'Australia and Oceania'!B12+"n/&gt;!5]&amp;"</f>
        <v>#VALUE!</v>
      </c>
      <c r="HR451" t="e">
        <f>'Australia and Oceania'!C12+"n/&gt;!5]'"</f>
        <v>#VALUE!</v>
      </c>
      <c r="HS451" t="e">
        <f>'Australia and Oceania'!D12+"n/&gt;!5]("</f>
        <v>#VALUE!</v>
      </c>
      <c r="HT451" t="e">
        <f>'Australia and Oceania'!E12+"n/&gt;!5])"</f>
        <v>#VALUE!</v>
      </c>
      <c r="HU451" t="e">
        <f>'Australia and Oceania'!F12+"n/&gt;!5]."</f>
        <v>#VALUE!</v>
      </c>
      <c r="HV451" t="e">
        <f>'Australia and Oceania'!G12+"n/&gt;!5]/"</f>
        <v>#VALUE!</v>
      </c>
      <c r="HW451" t="e">
        <f>'Australia and Oceania'!H12+"n/&gt;!5]0"</f>
        <v>#VALUE!</v>
      </c>
      <c r="HX451" t="e">
        <f>'Australia and Oceania'!I12+"n/&gt;!5]1"</f>
        <v>#VALUE!</v>
      </c>
      <c r="HY451" t="e">
        <f>'Australia and Oceania'!A13+"n/&gt;!5]2"</f>
        <v>#VALUE!</v>
      </c>
      <c r="HZ451" t="e">
        <f>'Australia and Oceania'!B13+"n/&gt;!5]3"</f>
        <v>#VALUE!</v>
      </c>
      <c r="IA451" t="e">
        <f>'Australia and Oceania'!C13+"n/&gt;!5]4"</f>
        <v>#VALUE!</v>
      </c>
      <c r="IB451" t="e">
        <f>'Australia and Oceania'!D13+"n/&gt;!5]5"</f>
        <v>#VALUE!</v>
      </c>
      <c r="IC451" t="e">
        <f>'Australia and Oceania'!E13+"n/&gt;!5]6"</f>
        <v>#VALUE!</v>
      </c>
      <c r="ID451" t="e">
        <f>'Australia and Oceania'!F13+"n/&gt;!5]7"</f>
        <v>#VALUE!</v>
      </c>
      <c r="IE451" t="e">
        <f>'Australia and Oceania'!G13+"n/&gt;!5]8"</f>
        <v>#VALUE!</v>
      </c>
      <c r="IF451" t="e">
        <f>'Australia and Oceania'!H13+"n/&gt;!5]9"</f>
        <v>#VALUE!</v>
      </c>
      <c r="IG451" t="e">
        <f>'Australia and Oceania'!I13+"n/&gt;!5]:"</f>
        <v>#VALUE!</v>
      </c>
      <c r="IH451" t="e">
        <f>'Australia and Oceania'!A14+"n/&gt;!5];"</f>
        <v>#VALUE!</v>
      </c>
      <c r="II451" t="e">
        <f>'Australia and Oceania'!B14+"n/&gt;!5]&lt;"</f>
        <v>#VALUE!</v>
      </c>
      <c r="IJ451" t="e">
        <f>'Australia and Oceania'!C14+"n/&gt;!5]="</f>
        <v>#VALUE!</v>
      </c>
      <c r="IK451" t="e">
        <f>'Australia and Oceania'!D14+"n/&gt;!5]&gt;"</f>
        <v>#VALUE!</v>
      </c>
      <c r="IL451" t="e">
        <f>'Australia and Oceania'!E14+"n/&gt;!5]?"</f>
        <v>#VALUE!</v>
      </c>
      <c r="IM451" t="e">
        <f>'Australia and Oceania'!F14+"n/&gt;!5]@"</f>
        <v>#VALUE!</v>
      </c>
      <c r="IN451" t="e">
        <f>'Australia and Oceania'!G14+"n/&gt;!5]A"</f>
        <v>#VALUE!</v>
      </c>
      <c r="IO451" t="e">
        <f>'Australia and Oceania'!H14+"n/&gt;!5]B"</f>
        <v>#VALUE!</v>
      </c>
      <c r="IP451" t="e">
        <f>'Australia and Oceania'!I14+"n/&gt;!5]C"</f>
        <v>#VALUE!</v>
      </c>
      <c r="IQ451" t="e">
        <f>'Australia and Oceania'!A15+"n/&gt;!5]D"</f>
        <v>#VALUE!</v>
      </c>
      <c r="IR451" t="e">
        <f>'Australia and Oceania'!B15+"n/&gt;!5]E"</f>
        <v>#VALUE!</v>
      </c>
      <c r="IS451" t="e">
        <f>'Australia and Oceania'!C15+"n/&gt;!5]F"</f>
        <v>#VALUE!</v>
      </c>
      <c r="IT451" t="e">
        <f>'Australia and Oceania'!D15+"n/&gt;!5]G"</f>
        <v>#VALUE!</v>
      </c>
      <c r="IU451" t="e">
        <f>'Australia and Oceania'!E15+"n/&gt;!5]H"</f>
        <v>#VALUE!</v>
      </c>
      <c r="IV451" t="e">
        <f>'Australia and Oceania'!F15+"n/&gt;!5]I"</f>
        <v>#VALUE!</v>
      </c>
    </row>
    <row r="452" spans="6:256" x14ac:dyDescent="0.35">
      <c r="F452" t="e">
        <f>'Australia and Oceania'!G15+"n/&gt;!5]J"</f>
        <v>#VALUE!</v>
      </c>
      <c r="G452" t="e">
        <f>'Australia and Oceania'!H15+"n/&gt;!5]K"</f>
        <v>#VALUE!</v>
      </c>
      <c r="H452" t="e">
        <f>'Australia and Oceania'!I15+"n/&gt;!5]L"</f>
        <v>#VALUE!</v>
      </c>
      <c r="I452" t="e">
        <f>'Australia and Oceania'!A16+"n/&gt;!5]M"</f>
        <v>#VALUE!</v>
      </c>
      <c r="J452" t="e">
        <f>'Australia and Oceania'!B16+"n/&gt;!5]N"</f>
        <v>#VALUE!</v>
      </c>
      <c r="K452" t="e">
        <f>'Australia and Oceania'!C16+"n/&gt;!5]O"</f>
        <v>#VALUE!</v>
      </c>
      <c r="L452" t="e">
        <f>'Australia and Oceania'!D16+"n/&gt;!5]P"</f>
        <v>#VALUE!</v>
      </c>
      <c r="M452" t="e">
        <f>'Australia and Oceania'!E16+"n/&gt;!5]Q"</f>
        <v>#VALUE!</v>
      </c>
      <c r="N452" t="e">
        <f>'Australia and Oceania'!F16+"n/&gt;!5]R"</f>
        <v>#VALUE!</v>
      </c>
      <c r="O452" t="e">
        <f>'Australia and Oceania'!G16+"n/&gt;!5]S"</f>
        <v>#VALUE!</v>
      </c>
      <c r="P452" t="e">
        <f>'Australia and Oceania'!H16+"n/&gt;!5]T"</f>
        <v>#VALUE!</v>
      </c>
      <c r="Q452" t="e">
        <f>'Australia and Oceania'!I16+"n/&gt;!5]U"</f>
        <v>#VALUE!</v>
      </c>
      <c r="R452" t="e">
        <f>'Australia and Oceania'!A17+"n/&gt;!5]V"</f>
        <v>#VALUE!</v>
      </c>
      <c r="S452" t="e">
        <f>'Australia and Oceania'!B17+"n/&gt;!5]W"</f>
        <v>#VALUE!</v>
      </c>
      <c r="T452" t="e">
        <f>'Australia and Oceania'!C17+"n/&gt;!5]X"</f>
        <v>#VALUE!</v>
      </c>
      <c r="U452" t="e">
        <f>'Australia and Oceania'!D17+"n/&gt;!5]Y"</f>
        <v>#VALUE!</v>
      </c>
      <c r="V452" t="e">
        <f>'Australia and Oceania'!E17+"n/&gt;!5]Z"</f>
        <v>#VALUE!</v>
      </c>
      <c r="W452" t="e">
        <f>'Australia and Oceania'!F17+"n/&gt;!5]["</f>
        <v>#VALUE!</v>
      </c>
      <c r="X452" t="e">
        <f>'Australia and Oceania'!G17+"n/&gt;!5]\"</f>
        <v>#VALUE!</v>
      </c>
      <c r="Y452" t="e">
        <f>'Australia and Oceania'!H17+"n/&gt;!5]]"</f>
        <v>#VALUE!</v>
      </c>
      <c r="Z452" t="e">
        <f>'Australia and Oceania'!I17+"n/&gt;!5]^"</f>
        <v>#VALUE!</v>
      </c>
      <c r="AA452" t="e">
        <f>'Australia and Oceania'!A18+"n/&gt;!5]_"</f>
        <v>#VALUE!</v>
      </c>
      <c r="AB452" t="e">
        <f>'Australia and Oceania'!B18+"n/&gt;!5]`"</f>
        <v>#VALUE!</v>
      </c>
      <c r="AC452" t="e">
        <f>'Australia and Oceania'!C18+"n/&gt;!5]a"</f>
        <v>#VALUE!</v>
      </c>
      <c r="AD452" t="e">
        <f>'Australia and Oceania'!D18+"n/&gt;!5]b"</f>
        <v>#VALUE!</v>
      </c>
      <c r="AE452" t="e">
        <f>'Australia and Oceania'!E18+"n/&gt;!5]c"</f>
        <v>#VALUE!</v>
      </c>
      <c r="AF452" t="e">
        <f>'Australia and Oceania'!F18+"n/&gt;!5]d"</f>
        <v>#VALUE!</v>
      </c>
      <c r="AG452" t="e">
        <f>'Australia and Oceania'!G18+"n/&gt;!5]e"</f>
        <v>#VALUE!</v>
      </c>
      <c r="AH452" t="e">
        <f>'Australia and Oceania'!H18+"n/&gt;!5]f"</f>
        <v>#VALUE!</v>
      </c>
      <c r="AI452" t="e">
        <f>'Australia and Oceania'!I18+"n/&gt;!5]g"</f>
        <v>#VALUE!</v>
      </c>
      <c r="AJ452" t="e">
        <f>'Australia and Oceania'!A19+"n/&gt;!5]h"</f>
        <v>#VALUE!</v>
      </c>
      <c r="AK452" t="e">
        <f>'Australia and Oceania'!B19+"n/&gt;!5]i"</f>
        <v>#VALUE!</v>
      </c>
      <c r="AL452" t="e">
        <f>'Australia and Oceania'!C19+"n/&gt;!5]j"</f>
        <v>#VALUE!</v>
      </c>
      <c r="AM452" t="e">
        <f>'Australia and Oceania'!D19+"n/&gt;!5]k"</f>
        <v>#VALUE!</v>
      </c>
      <c r="AN452" t="e">
        <f>'Australia and Oceania'!E19+"n/&gt;!5]l"</f>
        <v>#VALUE!</v>
      </c>
      <c r="AO452" t="e">
        <f>'Australia and Oceania'!F19+"n/&gt;!5]m"</f>
        <v>#VALUE!</v>
      </c>
      <c r="AP452" t="e">
        <f>'Australia and Oceania'!G19+"n/&gt;!5]n"</f>
        <v>#VALUE!</v>
      </c>
      <c r="AQ452" t="e">
        <f>'Australia and Oceania'!H19+"n/&gt;!5]o"</f>
        <v>#VALUE!</v>
      </c>
      <c r="AR452" t="e">
        <f>'Australia and Oceania'!I19+"n/&gt;!5]p"</f>
        <v>#VALUE!</v>
      </c>
      <c r="AS452" t="e">
        <f>'Australia and Oceania'!A20+"n/&gt;!5]q"</f>
        <v>#VALUE!</v>
      </c>
      <c r="AT452" t="e">
        <f>'Australia and Oceania'!B20+"n/&gt;!5]r"</f>
        <v>#VALUE!</v>
      </c>
      <c r="AU452" t="e">
        <f>'Australia and Oceania'!C20+"n/&gt;!5]s"</f>
        <v>#VALUE!</v>
      </c>
      <c r="AV452" t="e">
        <f>'Australia and Oceania'!D20+"n/&gt;!5]t"</f>
        <v>#VALUE!</v>
      </c>
      <c r="AW452" t="e">
        <f>'Australia and Oceania'!E20+"n/&gt;!5]u"</f>
        <v>#VALUE!</v>
      </c>
      <c r="AX452" t="e">
        <f>'Australia and Oceania'!F20+"n/&gt;!5]v"</f>
        <v>#VALUE!</v>
      </c>
      <c r="AY452" t="e">
        <f>'Australia and Oceania'!G20+"n/&gt;!5]w"</f>
        <v>#VALUE!</v>
      </c>
      <c r="AZ452" t="e">
        <f>'Australia and Oceania'!H20+"n/&gt;!5]x"</f>
        <v>#VALUE!</v>
      </c>
      <c r="BA452" t="e">
        <f>'Australia and Oceania'!I20+"n/&gt;!5]y"</f>
        <v>#VALUE!</v>
      </c>
      <c r="BB452" t="e">
        <f>'Australia and Oceania'!A21+"n/&gt;!5]z"</f>
        <v>#VALUE!</v>
      </c>
      <c r="BC452" t="e">
        <f>'Australia and Oceania'!B21+"n/&gt;!5]{"</f>
        <v>#VALUE!</v>
      </c>
      <c r="BD452" t="e">
        <f>'Australia and Oceania'!C21+"n/&gt;!5]|"</f>
        <v>#VALUE!</v>
      </c>
      <c r="BE452" t="e">
        <f>'Australia and Oceania'!D21+"n/&gt;!5]}"</f>
        <v>#VALUE!</v>
      </c>
      <c r="BF452" t="e">
        <f>'Australia and Oceania'!E21+"n/&gt;!5]~"</f>
        <v>#VALUE!</v>
      </c>
      <c r="BG452" t="e">
        <f>'Australia and Oceania'!F21+"n/&gt;!5^#"</f>
        <v>#VALUE!</v>
      </c>
      <c r="BH452" t="e">
        <f>'Australia and Oceania'!G21+"n/&gt;!5^$"</f>
        <v>#VALUE!</v>
      </c>
      <c r="BI452" t="e">
        <f>'Australia and Oceania'!H21+"n/&gt;!5^%"</f>
        <v>#VALUE!</v>
      </c>
      <c r="BJ452" t="e">
        <f>'Australia and Oceania'!I21+"n/&gt;!5^&amp;"</f>
        <v>#VALUE!</v>
      </c>
      <c r="BK452" t="e">
        <f>'Australia and Oceania'!A22+"n/&gt;!5^'"</f>
        <v>#VALUE!</v>
      </c>
      <c r="BL452" t="e">
        <f>'Australia and Oceania'!B22+"n/&gt;!5^("</f>
        <v>#VALUE!</v>
      </c>
      <c r="BM452" t="e">
        <f>'Australia and Oceania'!C22+"n/&gt;!5^)"</f>
        <v>#VALUE!</v>
      </c>
      <c r="BN452" t="e">
        <f>'Australia and Oceania'!D22+"n/&gt;!5^."</f>
        <v>#VALUE!</v>
      </c>
      <c r="BO452" t="e">
        <f>'Australia and Oceania'!E22+"n/&gt;!5^/"</f>
        <v>#VALUE!</v>
      </c>
      <c r="BP452" t="e">
        <f>'Australia and Oceania'!F22+"n/&gt;!5^0"</f>
        <v>#VALUE!</v>
      </c>
      <c r="BQ452" t="e">
        <f>'Australia and Oceania'!G22+"n/&gt;!5^1"</f>
        <v>#VALUE!</v>
      </c>
      <c r="BR452" t="e">
        <f>'Australia and Oceania'!H22+"n/&gt;!5^2"</f>
        <v>#VALUE!</v>
      </c>
      <c r="BS452" t="e">
        <f>'Australia and Oceania'!I22+"n/&gt;!5^3"</f>
        <v>#VALUE!</v>
      </c>
      <c r="BT452" t="e">
        <f>'Australia and Oceania'!A23+"n/&gt;!5^4"</f>
        <v>#VALUE!</v>
      </c>
      <c r="BU452" t="e">
        <f>'Australia and Oceania'!B23+"n/&gt;!5^5"</f>
        <v>#VALUE!</v>
      </c>
      <c r="BV452" t="e">
        <f>'Australia and Oceania'!C23+"n/&gt;!5^6"</f>
        <v>#VALUE!</v>
      </c>
      <c r="BW452" t="e">
        <f>'Australia and Oceania'!D23+"n/&gt;!5^7"</f>
        <v>#VALUE!</v>
      </c>
      <c r="BX452" t="e">
        <f>'Australia and Oceania'!E23+"n/&gt;!5^8"</f>
        <v>#VALUE!</v>
      </c>
      <c r="BY452" t="e">
        <f>'Australia and Oceania'!F23+"n/&gt;!5^9"</f>
        <v>#VALUE!</v>
      </c>
      <c r="BZ452" t="e">
        <f>'Australia and Oceania'!G23+"n/&gt;!5^:"</f>
        <v>#VALUE!</v>
      </c>
      <c r="CA452" t="e">
        <f>'Australia and Oceania'!H23+"n/&gt;!5^;"</f>
        <v>#VALUE!</v>
      </c>
      <c r="CB452" t="e">
        <f>'Australia and Oceania'!I23+"n/&gt;!5^&lt;"</f>
        <v>#VALUE!</v>
      </c>
      <c r="CC452" t="e">
        <f>'Australia and Oceania'!A24+"n/&gt;!5^="</f>
        <v>#VALUE!</v>
      </c>
      <c r="CD452" t="e">
        <f>'Australia and Oceania'!B24+"n/&gt;!5^&gt;"</f>
        <v>#VALUE!</v>
      </c>
      <c r="CE452" t="e">
        <f>'Australia and Oceania'!C24+"n/&gt;!5^?"</f>
        <v>#VALUE!</v>
      </c>
      <c r="CF452" t="e">
        <f>'Australia and Oceania'!D24+"n/&gt;!5^@"</f>
        <v>#VALUE!</v>
      </c>
      <c r="CG452" t="e">
        <f>'Australia and Oceania'!E24+"n/&gt;!5^A"</f>
        <v>#VALUE!</v>
      </c>
      <c r="CH452" t="e">
        <f>'Australia and Oceania'!F24+"n/&gt;!5^B"</f>
        <v>#VALUE!</v>
      </c>
      <c r="CI452" t="e">
        <f>'Australia and Oceania'!G24+"n/&gt;!5^C"</f>
        <v>#VALUE!</v>
      </c>
      <c r="CJ452" t="e">
        <f>'Australia and Oceania'!H24+"n/&gt;!5^D"</f>
        <v>#VALUE!</v>
      </c>
      <c r="CK452" t="e">
        <f>'Australia and Oceania'!I24+"n/&gt;!5^E"</f>
        <v>#VALUE!</v>
      </c>
      <c r="CL452" t="e">
        <f>'Australia and Oceania'!A25+"n/&gt;!5^F"</f>
        <v>#VALUE!</v>
      </c>
      <c r="CM452" t="e">
        <f>'Australia and Oceania'!B25+"n/&gt;!5^G"</f>
        <v>#VALUE!</v>
      </c>
      <c r="CN452" t="e">
        <f>'Australia and Oceania'!C25+"n/&gt;!5^H"</f>
        <v>#VALUE!</v>
      </c>
      <c r="CO452" t="e">
        <f>'Australia and Oceania'!D25+"n/&gt;!5^I"</f>
        <v>#VALUE!</v>
      </c>
      <c r="CP452" t="e">
        <f>'Australia and Oceania'!E25+"n/&gt;!5^J"</f>
        <v>#VALUE!</v>
      </c>
      <c r="CQ452" t="e">
        <f>'Australia and Oceania'!F25+"n/&gt;!5^K"</f>
        <v>#VALUE!</v>
      </c>
      <c r="CR452" t="e">
        <f>'Australia and Oceania'!G25+"n/&gt;!5^L"</f>
        <v>#VALUE!</v>
      </c>
      <c r="CS452" t="e">
        <f>'Australia and Oceania'!H25+"n/&gt;!5^M"</f>
        <v>#VALUE!</v>
      </c>
      <c r="CT452" t="e">
        <f>'Australia and Oceania'!I25+"n/&gt;!5^N"</f>
        <v>#VALUE!</v>
      </c>
      <c r="CU452" t="e">
        <f>'Australia and Oceania'!A26+"n/&gt;!5^O"</f>
        <v>#VALUE!</v>
      </c>
      <c r="CV452" t="e">
        <f>'Australia and Oceania'!B26+"n/&gt;!5^P"</f>
        <v>#VALUE!</v>
      </c>
      <c r="CW452" t="e">
        <f>'Australia and Oceania'!C26+"n/&gt;!5^Q"</f>
        <v>#VALUE!</v>
      </c>
      <c r="CX452" t="e">
        <f>'Australia and Oceania'!D26+"n/&gt;!5^R"</f>
        <v>#VALUE!</v>
      </c>
      <c r="CY452" t="e">
        <f>'Australia and Oceania'!E26+"n/&gt;!5^S"</f>
        <v>#VALUE!</v>
      </c>
      <c r="CZ452" t="e">
        <f>'Australia and Oceania'!F26+"n/&gt;!5^T"</f>
        <v>#VALUE!</v>
      </c>
      <c r="DA452" t="e">
        <f>'Australia and Oceania'!G26+"n/&gt;!5^U"</f>
        <v>#VALUE!</v>
      </c>
      <c r="DB452" t="e">
        <f>'Australia and Oceania'!H26+"n/&gt;!5^V"</f>
        <v>#VALUE!</v>
      </c>
      <c r="DC452" t="e">
        <f>'Australia and Oceania'!I26+"n/&gt;!5^W"</f>
        <v>#VALUE!</v>
      </c>
      <c r="DD452" t="e">
        <f>'Australia and Oceania'!A27+"n/&gt;!5^X"</f>
        <v>#VALUE!</v>
      </c>
      <c r="DE452" t="e">
        <f>'Australia and Oceania'!B27+"n/&gt;!5^Y"</f>
        <v>#VALUE!</v>
      </c>
      <c r="DF452" t="e">
        <f>'Australia and Oceania'!C27+"n/&gt;!5^Z"</f>
        <v>#VALUE!</v>
      </c>
      <c r="DG452" t="e">
        <f>'Australia and Oceania'!D27+"n/&gt;!5^["</f>
        <v>#VALUE!</v>
      </c>
      <c r="DH452" t="e">
        <f>'Australia and Oceania'!E27+"n/&gt;!5^\"</f>
        <v>#VALUE!</v>
      </c>
      <c r="DI452" t="e">
        <f>'Australia and Oceania'!F27+"n/&gt;!5^]"</f>
        <v>#VALUE!</v>
      </c>
      <c r="DJ452" t="e">
        <f>'Australia and Oceania'!G27+"n/&gt;!5^^"</f>
        <v>#VALUE!</v>
      </c>
      <c r="DK452" t="e">
        <f>'Australia and Oceania'!H27+"n/&gt;!5^_"</f>
        <v>#VALUE!</v>
      </c>
      <c r="DL452" t="e">
        <f>'Australia and Oceania'!I27+"n/&gt;!5^`"</f>
        <v>#VALUE!</v>
      </c>
      <c r="DM452" t="e">
        <f>'Australia and Oceania'!A28+"n/&gt;!5^a"</f>
        <v>#VALUE!</v>
      </c>
      <c r="DN452" t="e">
        <f>'Australia and Oceania'!B28+"n/&gt;!5^b"</f>
        <v>#VALUE!</v>
      </c>
      <c r="DO452" t="e">
        <f>'Australia and Oceania'!C28+"n/&gt;!5^c"</f>
        <v>#VALUE!</v>
      </c>
      <c r="DP452" t="e">
        <f>'Australia and Oceania'!D28+"n/&gt;!5^d"</f>
        <v>#VALUE!</v>
      </c>
      <c r="DQ452" t="e">
        <f>'Australia and Oceania'!E28+"n/&gt;!5^e"</f>
        <v>#VALUE!</v>
      </c>
      <c r="DR452" t="e">
        <f>'Australia and Oceania'!F28+"n/&gt;!5^f"</f>
        <v>#VALUE!</v>
      </c>
      <c r="DS452" t="e">
        <f>'Australia and Oceania'!G28+"n/&gt;!5^g"</f>
        <v>#VALUE!</v>
      </c>
      <c r="DT452" t="e">
        <f>'Australia and Oceania'!H28+"n/&gt;!5^h"</f>
        <v>#VALUE!</v>
      </c>
      <c r="DU452" t="e">
        <f>'Australia and Oceania'!I28+"n/&gt;!5^i"</f>
        <v>#VALUE!</v>
      </c>
      <c r="DV452" t="e">
        <f>'Australia and Oceania'!A29+"n/&gt;!5^j"</f>
        <v>#VALUE!</v>
      </c>
      <c r="DW452" t="e">
        <f>'Australia and Oceania'!B29+"n/&gt;!5^k"</f>
        <v>#VALUE!</v>
      </c>
      <c r="DX452" t="e">
        <f>'Australia and Oceania'!C29+"n/&gt;!5^l"</f>
        <v>#VALUE!</v>
      </c>
      <c r="DY452" t="e">
        <f>'Australia and Oceania'!D29+"n/&gt;!5^m"</f>
        <v>#VALUE!</v>
      </c>
      <c r="DZ452" t="e">
        <f>'Australia and Oceania'!E29+"n/&gt;!5^n"</f>
        <v>#VALUE!</v>
      </c>
      <c r="EA452" t="e">
        <f>'Australia and Oceania'!F29+"n/&gt;!5^o"</f>
        <v>#VALUE!</v>
      </c>
      <c r="EB452" t="e">
        <f>'Australia and Oceania'!G29+"n/&gt;!5^p"</f>
        <v>#VALUE!</v>
      </c>
      <c r="EC452" t="e">
        <f>'Australia and Oceania'!H29+"n/&gt;!5^q"</f>
        <v>#VALUE!</v>
      </c>
      <c r="ED452" t="e">
        <f>'Australia and Oceania'!I29+"n/&gt;!5^r"</f>
        <v>#VALUE!</v>
      </c>
      <c r="EE452" t="e">
        <f>'Australia and Oceania'!A30+"n/&gt;!5^s"</f>
        <v>#VALUE!</v>
      </c>
      <c r="EF452" t="e">
        <f>'Australia and Oceania'!B30+"n/&gt;!5^t"</f>
        <v>#VALUE!</v>
      </c>
      <c r="EG452" t="e">
        <f>'Australia and Oceania'!C30+"n/&gt;!5^u"</f>
        <v>#VALUE!</v>
      </c>
      <c r="EH452" t="e">
        <f>'Australia and Oceania'!D30+"n/&gt;!5^v"</f>
        <v>#VALUE!</v>
      </c>
      <c r="EI452" t="e">
        <f>'Australia and Oceania'!E30+"n/&gt;!5^w"</f>
        <v>#VALUE!</v>
      </c>
      <c r="EJ452" t="e">
        <f>'Australia and Oceania'!F30+"n/&gt;!5^x"</f>
        <v>#VALUE!</v>
      </c>
      <c r="EK452" t="e">
        <f>'Australia and Oceania'!G30+"n/&gt;!5^y"</f>
        <v>#VALUE!</v>
      </c>
      <c r="EL452" t="e">
        <f>'Australia and Oceania'!H30+"n/&gt;!5^z"</f>
        <v>#VALUE!</v>
      </c>
      <c r="EM452" t="e">
        <f>'Australia and Oceania'!I30+"n/&gt;!5^{"</f>
        <v>#VALUE!</v>
      </c>
      <c r="EN452" t="e">
        <f>'Australia and Oceania'!A31+"n/&gt;!5^|"</f>
        <v>#VALUE!</v>
      </c>
      <c r="EO452" t="e">
        <f>'Australia and Oceania'!B31+"n/&gt;!5^}"</f>
        <v>#VALUE!</v>
      </c>
      <c r="EP452" t="e">
        <f>'Australia and Oceania'!C31+"n/&gt;!5^~"</f>
        <v>#VALUE!</v>
      </c>
      <c r="EQ452" t="e">
        <f>'Australia and Oceania'!D31+"n/&gt;!5_#"</f>
        <v>#VALUE!</v>
      </c>
      <c r="ER452" t="e">
        <f>'Australia and Oceania'!E31+"n/&gt;!5_$"</f>
        <v>#VALUE!</v>
      </c>
      <c r="ES452" t="e">
        <f>'Australia and Oceania'!F31+"n/&gt;!5_%"</f>
        <v>#VALUE!</v>
      </c>
      <c r="ET452" t="e">
        <f>'Australia and Oceania'!G31+"n/&gt;!5_&amp;"</f>
        <v>#VALUE!</v>
      </c>
      <c r="EU452" t="e">
        <f>'Australia and Oceania'!H31+"n/&gt;!5_'"</f>
        <v>#VALUE!</v>
      </c>
      <c r="EV452" t="e">
        <f>'Australia and Oceania'!I31+"n/&gt;!5_("</f>
        <v>#VALUE!</v>
      </c>
      <c r="EW452" t="e">
        <f>'Australia and Oceania'!A32+"n/&gt;!5_)"</f>
        <v>#VALUE!</v>
      </c>
      <c r="EX452" t="e">
        <f>'Australia and Oceania'!B32+"n/&gt;!5_."</f>
        <v>#VALUE!</v>
      </c>
      <c r="EY452" t="e">
        <f>'Australia and Oceania'!C32+"n/&gt;!5_/"</f>
        <v>#VALUE!</v>
      </c>
      <c r="EZ452" t="e">
        <f>'Australia and Oceania'!D32+"n/&gt;!5_0"</f>
        <v>#VALUE!</v>
      </c>
      <c r="FA452" t="e">
        <f>'Australia and Oceania'!E32+"n/&gt;!5_1"</f>
        <v>#VALUE!</v>
      </c>
      <c r="FB452" t="e">
        <f>'Australia and Oceania'!F32+"n/&gt;!5_2"</f>
        <v>#VALUE!</v>
      </c>
      <c r="FC452" t="e">
        <f>'Australia and Oceania'!G32+"n/&gt;!5_3"</f>
        <v>#VALUE!</v>
      </c>
      <c r="FD452" t="e">
        <f>'Australia and Oceania'!H32+"n/&gt;!5_4"</f>
        <v>#VALUE!</v>
      </c>
      <c r="FE452" t="e">
        <f>'Australia and Oceania'!I32+"n/&gt;!5_5"</f>
        <v>#VALUE!</v>
      </c>
      <c r="FF452" t="e">
        <f>'Australia and Oceania'!A33+"n/&gt;!5_6"</f>
        <v>#VALUE!</v>
      </c>
      <c r="FG452" t="e">
        <f>'Australia and Oceania'!B33+"n/&gt;!5_7"</f>
        <v>#VALUE!</v>
      </c>
      <c r="FH452" t="e">
        <f>'Australia and Oceania'!C33+"n/&gt;!5_8"</f>
        <v>#VALUE!</v>
      </c>
      <c r="FI452" t="e">
        <f>'Australia and Oceania'!D33+"n/&gt;!5_9"</f>
        <v>#VALUE!</v>
      </c>
      <c r="FJ452" t="e">
        <f>'Australia and Oceania'!E33+"n/&gt;!5_:"</f>
        <v>#VALUE!</v>
      </c>
      <c r="FK452" t="e">
        <f>'Australia and Oceania'!F33+"n/&gt;!5_;"</f>
        <v>#VALUE!</v>
      </c>
      <c r="FL452" t="e">
        <f>'Australia and Oceania'!G33+"n/&gt;!5_&lt;"</f>
        <v>#VALUE!</v>
      </c>
      <c r="FM452" t="e">
        <f>'Australia and Oceania'!H33+"n/&gt;!5_="</f>
        <v>#VALUE!</v>
      </c>
      <c r="FN452" t="e">
        <f>'Australia and Oceania'!I33+"n/&gt;!5_&gt;"</f>
        <v>#VALUE!</v>
      </c>
      <c r="FO452" t="e">
        <f>'Australia and Oceania'!A34+"n/&gt;!5_?"</f>
        <v>#VALUE!</v>
      </c>
      <c r="FP452" t="e">
        <f>'Australia and Oceania'!B34+"n/&gt;!5_@"</f>
        <v>#VALUE!</v>
      </c>
      <c r="FQ452" t="e">
        <f>'Australia and Oceania'!C34+"n/&gt;!5_A"</f>
        <v>#VALUE!</v>
      </c>
      <c r="FR452" t="e">
        <f>'Australia and Oceania'!D34+"n/&gt;!5_B"</f>
        <v>#VALUE!</v>
      </c>
      <c r="FS452" t="e">
        <f>'Australia and Oceania'!E34+"n/&gt;!5_C"</f>
        <v>#VALUE!</v>
      </c>
      <c r="FT452" t="e">
        <f>'Australia and Oceania'!F34+"n/&gt;!5_D"</f>
        <v>#VALUE!</v>
      </c>
      <c r="FU452" t="e">
        <f>'Australia and Oceania'!G34+"n/&gt;!5_E"</f>
        <v>#VALUE!</v>
      </c>
      <c r="FV452" t="e">
        <f>'Australia and Oceania'!H34+"n/&gt;!5_F"</f>
        <v>#VALUE!</v>
      </c>
      <c r="FW452" t="e">
        <f>'Australia and Oceania'!I34+"n/&gt;!5_G"</f>
        <v>#VALUE!</v>
      </c>
      <c r="FX452" t="e">
        <f>'Australia and Oceania'!A35+"n/&gt;!5_H"</f>
        <v>#VALUE!</v>
      </c>
      <c r="FY452" t="e">
        <f>'Australia and Oceania'!B35+"n/&gt;!5_I"</f>
        <v>#VALUE!</v>
      </c>
      <c r="FZ452" t="e">
        <f>'Australia and Oceania'!C35+"n/&gt;!5_J"</f>
        <v>#VALUE!</v>
      </c>
      <c r="GA452" t="e">
        <f>'Australia and Oceania'!D35+"n/&gt;!5_K"</f>
        <v>#VALUE!</v>
      </c>
      <c r="GB452" t="e">
        <f>'Australia and Oceania'!E35+"n/&gt;!5_L"</f>
        <v>#VALUE!</v>
      </c>
      <c r="GC452" t="e">
        <f>'Australia and Oceania'!F35+"n/&gt;!5_M"</f>
        <v>#VALUE!</v>
      </c>
      <c r="GD452" t="e">
        <f>'Australia and Oceania'!G35+"n/&gt;!5_N"</f>
        <v>#VALUE!</v>
      </c>
      <c r="GE452" t="e">
        <f>'Australia and Oceania'!H35+"n/&gt;!5_O"</f>
        <v>#VALUE!</v>
      </c>
      <c r="GF452" t="e">
        <f>'Australia and Oceania'!I35+"n/&gt;!5_P"</f>
        <v>#VALUE!</v>
      </c>
      <c r="GG452" t="e">
        <f>'Australia and Oceania'!A36+"n/&gt;!5_Q"</f>
        <v>#VALUE!</v>
      </c>
      <c r="GH452" t="e">
        <f>'Australia and Oceania'!B36+"n/&gt;!5_R"</f>
        <v>#VALUE!</v>
      </c>
      <c r="GI452" t="e">
        <f>'Australia and Oceania'!C36+"n/&gt;!5_S"</f>
        <v>#VALUE!</v>
      </c>
      <c r="GJ452" t="e">
        <f>'Australia and Oceania'!D36+"n/&gt;!5_T"</f>
        <v>#VALUE!</v>
      </c>
      <c r="GK452" t="e">
        <f>'Australia and Oceania'!E36+"n/&gt;!5_U"</f>
        <v>#VALUE!</v>
      </c>
      <c r="GL452" t="e">
        <f>'Australia and Oceania'!F36+"n/&gt;!5_V"</f>
        <v>#VALUE!</v>
      </c>
      <c r="GM452" t="e">
        <f>'Australia and Oceania'!G36+"n/&gt;!5_W"</f>
        <v>#VALUE!</v>
      </c>
      <c r="GN452" t="e">
        <f>'Australia and Oceania'!H36+"n/&gt;!5_X"</f>
        <v>#VALUE!</v>
      </c>
      <c r="GO452" t="e">
        <f>'Australia and Oceania'!I36+"n/&gt;!5_Y"</f>
        <v>#VALUE!</v>
      </c>
      <c r="GP452" t="e">
        <f>'Australia and Oceania'!A37+"n/&gt;!5_Z"</f>
        <v>#VALUE!</v>
      </c>
      <c r="GQ452" t="e">
        <f>'Australia and Oceania'!B37+"n/&gt;!5_["</f>
        <v>#VALUE!</v>
      </c>
      <c r="GR452" t="e">
        <f>'Australia and Oceania'!C37+"n/&gt;!5_\"</f>
        <v>#VALUE!</v>
      </c>
      <c r="GS452" t="e">
        <f>'Australia and Oceania'!D37+"n/&gt;!5_]"</f>
        <v>#VALUE!</v>
      </c>
      <c r="GT452" t="e">
        <f>'Australia and Oceania'!E37+"n/&gt;!5_^"</f>
        <v>#VALUE!</v>
      </c>
      <c r="GU452" t="e">
        <f>'Australia and Oceania'!F37+"n/&gt;!5__"</f>
        <v>#VALUE!</v>
      </c>
      <c r="GV452" t="e">
        <f>'Australia and Oceania'!G37+"n/&gt;!5_`"</f>
        <v>#VALUE!</v>
      </c>
      <c r="GW452" t="e">
        <f>'Australia and Oceania'!H37+"n/&gt;!5_a"</f>
        <v>#VALUE!</v>
      </c>
      <c r="GX452" t="e">
        <f>'Australia and Oceania'!I37+"n/&gt;!5_b"</f>
        <v>#VALUE!</v>
      </c>
      <c r="GY452" t="e">
        <f>'Australia and Oceania'!A38+"n/&gt;!5_c"</f>
        <v>#VALUE!</v>
      </c>
      <c r="GZ452" t="e">
        <f>'Australia and Oceania'!B38+"n/&gt;!5_d"</f>
        <v>#VALUE!</v>
      </c>
      <c r="HA452" t="e">
        <f>'Australia and Oceania'!C38+"n/&gt;!5_e"</f>
        <v>#VALUE!</v>
      </c>
      <c r="HB452" t="e">
        <f>'Australia and Oceania'!D38+"n/&gt;!5_f"</f>
        <v>#VALUE!</v>
      </c>
      <c r="HC452" t="e">
        <f>'Australia and Oceania'!E38+"n/&gt;!5_g"</f>
        <v>#VALUE!</v>
      </c>
      <c r="HD452" t="e">
        <f>'Australia and Oceania'!F38+"n/&gt;!5_h"</f>
        <v>#VALUE!</v>
      </c>
      <c r="HE452" t="e">
        <f>'Australia and Oceania'!G38+"n/&gt;!5_i"</f>
        <v>#VALUE!</v>
      </c>
      <c r="HF452" t="e">
        <f>'Australia and Oceania'!H38+"n/&gt;!5_j"</f>
        <v>#VALUE!</v>
      </c>
      <c r="HG452" t="e">
        <f>'Australia and Oceania'!I38+"n/&gt;!5_k"</f>
        <v>#VALUE!</v>
      </c>
      <c r="HH452" t="e">
        <f>'Australia and Oceania'!A39+"n/&gt;!5_l"</f>
        <v>#VALUE!</v>
      </c>
      <c r="HI452" t="e">
        <f>'Australia and Oceania'!B39+"n/&gt;!5_m"</f>
        <v>#VALUE!</v>
      </c>
      <c r="HJ452" t="e">
        <f>'Australia and Oceania'!C39+"n/&gt;!5_n"</f>
        <v>#VALUE!</v>
      </c>
      <c r="HK452" t="e">
        <f>'Australia and Oceania'!D39+"n/&gt;!5_o"</f>
        <v>#VALUE!</v>
      </c>
      <c r="HL452" t="e">
        <f>'Australia and Oceania'!E39+"n/&gt;!5_p"</f>
        <v>#VALUE!</v>
      </c>
      <c r="HM452" t="e">
        <f>'Australia and Oceania'!F39+"n/&gt;!5_q"</f>
        <v>#VALUE!</v>
      </c>
      <c r="HN452" t="e">
        <f>'Australia and Oceania'!G39+"n/&gt;!5_r"</f>
        <v>#VALUE!</v>
      </c>
      <c r="HO452" t="e">
        <f>'Australia and Oceania'!H39+"n/&gt;!5_s"</f>
        <v>#VALUE!</v>
      </c>
      <c r="HP452" t="e">
        <f>'Australia and Oceania'!I39+"n/&gt;!5_t"</f>
        <v>#VALUE!</v>
      </c>
      <c r="HQ452" t="e">
        <f>'Australia and Oceania'!A40+"n/&gt;!5_u"</f>
        <v>#VALUE!</v>
      </c>
      <c r="HR452" t="e">
        <f>'Australia and Oceania'!B40+"n/&gt;!5_v"</f>
        <v>#VALUE!</v>
      </c>
      <c r="HS452" t="e">
        <f>'Australia and Oceania'!C40+"n/&gt;!5_w"</f>
        <v>#VALUE!</v>
      </c>
      <c r="HT452" t="e">
        <f>'Australia and Oceania'!D40+"n/&gt;!5_x"</f>
        <v>#VALUE!</v>
      </c>
      <c r="HU452" t="e">
        <f>'Australia and Oceania'!E40+"n/&gt;!5_y"</f>
        <v>#VALUE!</v>
      </c>
      <c r="HV452" t="e">
        <f>'Australia and Oceania'!F40+"n/&gt;!5_z"</f>
        <v>#VALUE!</v>
      </c>
      <c r="HW452" t="e">
        <f>'Australia and Oceania'!G40+"n/&gt;!5_{"</f>
        <v>#VALUE!</v>
      </c>
      <c r="HX452" t="e">
        <f>'Australia and Oceania'!H40+"n/&gt;!5_|"</f>
        <v>#VALUE!</v>
      </c>
      <c r="HY452" t="e">
        <f>'Australia and Oceania'!I40+"n/&gt;!5_}"</f>
        <v>#VALUE!</v>
      </c>
      <c r="HZ452" t="e">
        <f>'Australia and Oceania'!A41+"n/&gt;!5_~"</f>
        <v>#VALUE!</v>
      </c>
      <c r="IA452" t="e">
        <f>'Australia and Oceania'!B41+"n/&gt;!5`#"</f>
        <v>#VALUE!</v>
      </c>
      <c r="IB452" t="e">
        <f>'Australia and Oceania'!C41+"n/&gt;!5`$"</f>
        <v>#VALUE!</v>
      </c>
      <c r="IC452" t="e">
        <f>'Australia and Oceania'!D41+"n/&gt;!5`%"</f>
        <v>#VALUE!</v>
      </c>
      <c r="ID452" t="e">
        <f>'Australia and Oceania'!E41+"n/&gt;!5`&amp;"</f>
        <v>#VALUE!</v>
      </c>
      <c r="IE452" t="e">
        <f>'Australia and Oceania'!F41+"n/&gt;!5`'"</f>
        <v>#VALUE!</v>
      </c>
      <c r="IF452" t="e">
        <f>'Australia and Oceania'!G41+"n/&gt;!5`("</f>
        <v>#VALUE!</v>
      </c>
      <c r="IG452" t="e">
        <f>'Australia and Oceania'!H41+"n/&gt;!5`)"</f>
        <v>#VALUE!</v>
      </c>
      <c r="IH452" t="e">
        <f>'Australia and Oceania'!I41+"n/&gt;!5`."</f>
        <v>#VALUE!</v>
      </c>
      <c r="II452" t="e">
        <f>'Australia and Oceania'!A42+"n/&gt;!5`/"</f>
        <v>#VALUE!</v>
      </c>
      <c r="IJ452" t="e">
        <f>'Australia and Oceania'!B42+"n/&gt;!5`0"</f>
        <v>#VALUE!</v>
      </c>
      <c r="IK452" t="e">
        <f>'Australia and Oceania'!C42+"n/&gt;!5`1"</f>
        <v>#VALUE!</v>
      </c>
      <c r="IL452" t="e">
        <f>'Australia and Oceania'!D42+"n/&gt;!5`2"</f>
        <v>#VALUE!</v>
      </c>
      <c r="IM452" t="e">
        <f>'Australia and Oceania'!E42+"n/&gt;!5`3"</f>
        <v>#VALUE!</v>
      </c>
      <c r="IN452" t="e">
        <f>'Australia and Oceania'!F42+"n/&gt;!5`4"</f>
        <v>#VALUE!</v>
      </c>
      <c r="IO452" t="e">
        <f>'Australia and Oceania'!G42+"n/&gt;!5`5"</f>
        <v>#VALUE!</v>
      </c>
      <c r="IP452" t="e">
        <f>'Australia and Oceania'!H42+"n/&gt;!5`6"</f>
        <v>#VALUE!</v>
      </c>
      <c r="IQ452" t="e">
        <f>'Australia and Oceania'!I42+"n/&gt;!5`7"</f>
        <v>#VALUE!</v>
      </c>
      <c r="IR452" t="e">
        <f>'Australia and Oceania'!A43+"n/&gt;!5`8"</f>
        <v>#VALUE!</v>
      </c>
      <c r="IS452" t="e">
        <f>'Australia and Oceania'!B43+"n/&gt;!5`9"</f>
        <v>#VALUE!</v>
      </c>
      <c r="IT452" t="e">
        <f>'Australia and Oceania'!C43+"n/&gt;!5`:"</f>
        <v>#VALUE!</v>
      </c>
      <c r="IU452" t="e">
        <f>'Australia and Oceania'!D43+"n/&gt;!5`;"</f>
        <v>#VALUE!</v>
      </c>
      <c r="IV452" t="e">
        <f>'Australia and Oceania'!E43+"n/&gt;!5`&lt;"</f>
        <v>#VALUE!</v>
      </c>
    </row>
    <row r="453" spans="6:256" x14ac:dyDescent="0.35">
      <c r="F453" t="e">
        <f>'Australia and Oceania'!F43+"n/&gt;!5`="</f>
        <v>#VALUE!</v>
      </c>
      <c r="G453" t="e">
        <f>'Australia and Oceania'!G43+"n/&gt;!5`&gt;"</f>
        <v>#VALUE!</v>
      </c>
      <c r="H453" t="e">
        <f>'Australia and Oceania'!H43+"n/&gt;!5`?"</f>
        <v>#VALUE!</v>
      </c>
      <c r="I453" t="e">
        <f>'Australia and Oceania'!I43+"n/&gt;!5`@"</f>
        <v>#VALUE!</v>
      </c>
      <c r="J453" t="e">
        <f>'Australia and Oceania'!A44+"n/&gt;!5`A"</f>
        <v>#VALUE!</v>
      </c>
      <c r="K453" t="e">
        <f>'Australia and Oceania'!B44+"n/&gt;!5`B"</f>
        <v>#VALUE!</v>
      </c>
      <c r="L453" t="e">
        <f>'Australia and Oceania'!C44+"n/&gt;!5`C"</f>
        <v>#VALUE!</v>
      </c>
      <c r="M453" t="e">
        <f>'Australia and Oceania'!D44+"n/&gt;!5`D"</f>
        <v>#VALUE!</v>
      </c>
      <c r="N453" t="e">
        <f>'Australia and Oceania'!E44+"n/&gt;!5`E"</f>
        <v>#VALUE!</v>
      </c>
      <c r="O453" t="e">
        <f>'Australia and Oceania'!F44+"n/&gt;!5`F"</f>
        <v>#VALUE!</v>
      </c>
      <c r="P453" t="e">
        <f>'Australia and Oceania'!G44+"n/&gt;!5`G"</f>
        <v>#VALUE!</v>
      </c>
      <c r="Q453" t="e">
        <f>'Australia and Oceania'!H44+"n/&gt;!5`H"</f>
        <v>#VALUE!</v>
      </c>
      <c r="R453" t="e">
        <f>'Australia and Oceania'!I44+"n/&gt;!5`I"</f>
        <v>#VALUE!</v>
      </c>
      <c r="S453" t="e">
        <f>'Australia and Oceania'!A45+"n/&gt;!5`J"</f>
        <v>#VALUE!</v>
      </c>
      <c r="T453" t="e">
        <f>'Australia and Oceania'!B45+"n/&gt;!5`K"</f>
        <v>#VALUE!</v>
      </c>
      <c r="U453" t="e">
        <f>'Australia and Oceania'!C45+"n/&gt;!5`L"</f>
        <v>#VALUE!</v>
      </c>
      <c r="V453" t="e">
        <f>'Australia and Oceania'!D45+"n/&gt;!5`M"</f>
        <v>#VALUE!</v>
      </c>
      <c r="W453" t="e">
        <f>'Australia and Oceania'!E45+"n/&gt;!5`N"</f>
        <v>#VALUE!</v>
      </c>
      <c r="X453" t="e">
        <f>'Australia and Oceania'!F45+"n/&gt;!5`O"</f>
        <v>#VALUE!</v>
      </c>
      <c r="Y453" t="e">
        <f>'Australia and Oceania'!G45+"n/&gt;!5`P"</f>
        <v>#VALUE!</v>
      </c>
      <c r="Z453" t="e">
        <f>'Australia and Oceania'!H45+"n/&gt;!5`Q"</f>
        <v>#VALUE!</v>
      </c>
      <c r="AA453" t="e">
        <f>'Australia and Oceania'!I45+"n/&gt;!5`R"</f>
        <v>#VALUE!</v>
      </c>
      <c r="AB453" t="e">
        <f>'Australia and Oceania'!A46+"n/&gt;!5`S"</f>
        <v>#VALUE!</v>
      </c>
      <c r="AC453" t="e">
        <f>'Australia and Oceania'!B46+"n/&gt;!5`T"</f>
        <v>#VALUE!</v>
      </c>
      <c r="AD453" t="e">
        <f>'Australia and Oceania'!C46+"n/&gt;!5`U"</f>
        <v>#VALUE!</v>
      </c>
      <c r="AE453" t="e">
        <f>'Australia and Oceania'!D46+"n/&gt;!5`V"</f>
        <v>#VALUE!</v>
      </c>
      <c r="AF453" t="e">
        <f>'Australia and Oceania'!E46+"n/&gt;!5`W"</f>
        <v>#VALUE!</v>
      </c>
      <c r="AG453" t="e">
        <f>'Australia and Oceania'!F46+"n/&gt;!5`X"</f>
        <v>#VALUE!</v>
      </c>
      <c r="AH453" t="e">
        <f>'Australia and Oceania'!G46+"n/&gt;!5`Y"</f>
        <v>#VALUE!</v>
      </c>
      <c r="AI453" t="e">
        <f>'Australia and Oceania'!H46+"n/&gt;!5`Z"</f>
        <v>#VALUE!</v>
      </c>
      <c r="AJ453" t="e">
        <f>'Australia and Oceania'!I46+"n/&gt;!5`["</f>
        <v>#VALUE!</v>
      </c>
      <c r="AK453" t="e">
        <f>'Australia and Oceania'!A47+"n/&gt;!5`\"</f>
        <v>#VALUE!</v>
      </c>
      <c r="AL453" t="e">
        <f>'Australia and Oceania'!B47+"n/&gt;!5`]"</f>
        <v>#VALUE!</v>
      </c>
      <c r="AM453" t="e">
        <f>'Australia and Oceania'!C47+"n/&gt;!5`^"</f>
        <v>#VALUE!</v>
      </c>
      <c r="AN453" t="e">
        <f>'Australia and Oceania'!D47+"n/&gt;!5`_"</f>
        <v>#VALUE!</v>
      </c>
      <c r="AO453" t="e">
        <f>'Australia and Oceania'!E47+"n/&gt;!5``"</f>
        <v>#VALUE!</v>
      </c>
      <c r="AP453" t="e">
        <f>'Australia and Oceania'!F47+"n/&gt;!5`a"</f>
        <v>#VALUE!</v>
      </c>
      <c r="AQ453" t="e">
        <f>'Australia and Oceania'!G47+"n/&gt;!5`b"</f>
        <v>#VALUE!</v>
      </c>
      <c r="AR453" t="e">
        <f>'Australia and Oceania'!H47+"n/&gt;!5`c"</f>
        <v>#VALUE!</v>
      </c>
      <c r="AS453" t="e">
        <f>'Australia and Oceania'!I47+"n/&gt;!5`d"</f>
        <v>#VALUE!</v>
      </c>
      <c r="AT453" t="e">
        <f>'Australia and Oceania'!A48+"n/&gt;!5`e"</f>
        <v>#VALUE!</v>
      </c>
      <c r="AU453" t="e">
        <f>'Australia and Oceania'!B48+"n/&gt;!5`f"</f>
        <v>#VALUE!</v>
      </c>
      <c r="AV453" t="e">
        <f>'Australia and Oceania'!C48+"n/&gt;!5`g"</f>
        <v>#VALUE!</v>
      </c>
      <c r="AW453" t="e">
        <f>'Australia and Oceania'!D48+"n/&gt;!5`h"</f>
        <v>#VALUE!</v>
      </c>
      <c r="AX453" t="e">
        <f>'Australia and Oceania'!E48+"n/&gt;!5`i"</f>
        <v>#VALUE!</v>
      </c>
      <c r="AY453" t="e">
        <f>'Australia and Oceania'!F48+"n/&gt;!5`j"</f>
        <v>#VALUE!</v>
      </c>
      <c r="AZ453" t="e">
        <f>'Australia and Oceania'!G48+"n/&gt;!5`k"</f>
        <v>#VALUE!</v>
      </c>
      <c r="BA453" t="e">
        <f>'Australia and Oceania'!H48+"n/&gt;!5`l"</f>
        <v>#VALUE!</v>
      </c>
      <c r="BB453" t="e">
        <f>'Australia and Oceania'!I48+"n/&gt;!5`m"</f>
        <v>#VALUE!</v>
      </c>
      <c r="BC453" t="e">
        <f>'Australia and Oceania'!A49+"n/&gt;!5`n"</f>
        <v>#VALUE!</v>
      </c>
      <c r="BD453" t="e">
        <f>'Australia and Oceania'!B49+"n/&gt;!5`o"</f>
        <v>#VALUE!</v>
      </c>
      <c r="BE453" t="e">
        <f>'Australia and Oceania'!C49+"n/&gt;!5`p"</f>
        <v>#VALUE!</v>
      </c>
      <c r="BF453" t="e">
        <f>'Australia and Oceania'!D49+"n/&gt;!5`q"</f>
        <v>#VALUE!</v>
      </c>
      <c r="BG453" t="e">
        <f>'Australia and Oceania'!E49+"n/&gt;!5`r"</f>
        <v>#VALUE!</v>
      </c>
      <c r="BH453" t="e">
        <f>'Australia and Oceania'!F49+"n/&gt;!5`s"</f>
        <v>#VALUE!</v>
      </c>
      <c r="BI453" t="e">
        <f>'Australia and Oceania'!G49+"n/&gt;!5`t"</f>
        <v>#VALUE!</v>
      </c>
      <c r="BJ453" t="e">
        <f>'Australia and Oceania'!H49+"n/&gt;!5`u"</f>
        <v>#VALUE!</v>
      </c>
      <c r="BK453" t="e">
        <f>'Australia and Oceania'!I49+"n/&gt;!5`v"</f>
        <v>#VALUE!</v>
      </c>
      <c r="BL453" t="e">
        <f>'Australia and Oceania'!A50+"n/&gt;!5`w"</f>
        <v>#VALUE!</v>
      </c>
      <c r="BM453" t="e">
        <f>'Australia and Oceania'!B50+"n/&gt;!5`x"</f>
        <v>#VALUE!</v>
      </c>
      <c r="BN453" t="e">
        <f>'Australia and Oceania'!C50+"n/&gt;!5`y"</f>
        <v>#VALUE!</v>
      </c>
      <c r="BO453" t="e">
        <f>'Australia and Oceania'!D50+"n/&gt;!5`z"</f>
        <v>#VALUE!</v>
      </c>
      <c r="BP453" t="e">
        <f>'Australia and Oceania'!E50+"n/&gt;!5`{"</f>
        <v>#VALUE!</v>
      </c>
      <c r="BQ453" t="e">
        <f>'Australia and Oceania'!F50+"n/&gt;!5`|"</f>
        <v>#VALUE!</v>
      </c>
      <c r="BR453" t="e">
        <f>'Australia and Oceania'!G50+"n/&gt;!5`}"</f>
        <v>#VALUE!</v>
      </c>
      <c r="BS453" t="e">
        <f>'Australia and Oceania'!H50+"n/&gt;!5`~"</f>
        <v>#VALUE!</v>
      </c>
      <c r="BT453" t="e">
        <f>'Australia and Oceania'!I50+"n/&gt;!5a#"</f>
        <v>#VALUE!</v>
      </c>
      <c r="BU453" t="e">
        <f>'Australia and Oceania'!A51+"n/&gt;!5a$"</f>
        <v>#VALUE!</v>
      </c>
      <c r="BV453" t="e">
        <f>'Australia and Oceania'!B51+"n/&gt;!5a%"</f>
        <v>#VALUE!</v>
      </c>
      <c r="BW453" t="e">
        <f>'Australia and Oceania'!C51+"n/&gt;!5a&amp;"</f>
        <v>#VALUE!</v>
      </c>
      <c r="BX453" t="e">
        <f>'Australia and Oceania'!D51+"n/&gt;!5a'"</f>
        <v>#VALUE!</v>
      </c>
      <c r="BY453" t="e">
        <f>'Australia and Oceania'!E51+"n/&gt;!5a("</f>
        <v>#VALUE!</v>
      </c>
      <c r="BZ453" t="e">
        <f>'Australia and Oceania'!F51+"n/&gt;!5a)"</f>
        <v>#VALUE!</v>
      </c>
      <c r="CA453" t="e">
        <f>'Australia and Oceania'!G51+"n/&gt;!5a."</f>
        <v>#VALUE!</v>
      </c>
      <c r="CB453" t="e">
        <f>'Australia and Oceania'!H51+"n/&gt;!5a/"</f>
        <v>#VALUE!</v>
      </c>
      <c r="CC453" t="e">
        <f>'Australia and Oceania'!I51+"n/&gt;!5a0"</f>
        <v>#VALUE!</v>
      </c>
      <c r="CD453" t="e">
        <f>'Australia and Oceania'!A52+"n/&gt;!5a1"</f>
        <v>#VALUE!</v>
      </c>
      <c r="CE453" t="e">
        <f>'Australia and Oceania'!B52+"n/&gt;!5a2"</f>
        <v>#VALUE!</v>
      </c>
      <c r="CF453" t="e">
        <f>'Australia and Oceania'!C52+"n/&gt;!5a3"</f>
        <v>#VALUE!</v>
      </c>
      <c r="CG453" t="e">
        <f>'Australia and Oceania'!D52+"n/&gt;!5a4"</f>
        <v>#VALUE!</v>
      </c>
      <c r="CH453" t="e">
        <f>'Australia and Oceania'!E52+"n/&gt;!5a5"</f>
        <v>#VALUE!</v>
      </c>
      <c r="CI453" t="e">
        <f>'Australia and Oceania'!F52+"n/&gt;!5a6"</f>
        <v>#VALUE!</v>
      </c>
      <c r="CJ453" t="e">
        <f>'Australia and Oceania'!G52+"n/&gt;!5a7"</f>
        <v>#VALUE!</v>
      </c>
      <c r="CK453" t="e">
        <f>'Australia and Oceania'!H52+"n/&gt;!5a8"</f>
        <v>#VALUE!</v>
      </c>
      <c r="CL453" t="e">
        <f>'Australia and Oceania'!I52+"n/&gt;!5a9"</f>
        <v>#VALUE!</v>
      </c>
      <c r="CM453" t="e">
        <f>'Australia and Oceania'!A53+"n/&gt;!5a:"</f>
        <v>#VALUE!</v>
      </c>
      <c r="CN453" t="e">
        <f>'Australia and Oceania'!B53+"n/&gt;!5a;"</f>
        <v>#VALUE!</v>
      </c>
      <c r="CO453" t="e">
        <f>'Australia and Oceania'!C53+"n/&gt;!5a&lt;"</f>
        <v>#VALUE!</v>
      </c>
      <c r="CP453" t="e">
        <f>'Australia and Oceania'!D53+"n/&gt;!5a="</f>
        <v>#VALUE!</v>
      </c>
      <c r="CQ453" t="e">
        <f>'Australia and Oceania'!E53+"n/&gt;!5a&gt;"</f>
        <v>#VALUE!</v>
      </c>
      <c r="CR453" t="e">
        <f>'Australia and Oceania'!F53+"n/&gt;!5a?"</f>
        <v>#VALUE!</v>
      </c>
      <c r="CS453" t="e">
        <f>'Australia and Oceania'!G53+"n/&gt;!5a@"</f>
        <v>#VALUE!</v>
      </c>
      <c r="CT453" t="e">
        <f>'Australia and Oceania'!H53+"n/&gt;!5aA"</f>
        <v>#VALUE!</v>
      </c>
      <c r="CU453" t="e">
        <f>'Australia and Oceania'!I53+"n/&gt;!5aB"</f>
        <v>#VALUE!</v>
      </c>
      <c r="CV453" t="e">
        <f>'Australia and Oceania'!A54+"n/&gt;!5aC"</f>
        <v>#VALUE!</v>
      </c>
      <c r="CW453" t="e">
        <f>'Australia and Oceania'!B54+"n/&gt;!5aD"</f>
        <v>#VALUE!</v>
      </c>
      <c r="CX453" t="e">
        <f>'Australia and Oceania'!C54+"n/&gt;!5aE"</f>
        <v>#VALUE!</v>
      </c>
      <c r="CY453" t="e">
        <f>'Australia and Oceania'!D54+"n/&gt;!5aF"</f>
        <v>#VALUE!</v>
      </c>
      <c r="CZ453" t="e">
        <f>'Australia and Oceania'!E54+"n/&gt;!5aG"</f>
        <v>#VALUE!</v>
      </c>
      <c r="DA453" t="e">
        <f>'Australia and Oceania'!F54+"n/&gt;!5aH"</f>
        <v>#VALUE!</v>
      </c>
      <c r="DB453" t="e">
        <f>'Australia and Oceania'!G54+"n/&gt;!5aI"</f>
        <v>#VALUE!</v>
      </c>
      <c r="DC453" t="e">
        <f>'Australia and Oceania'!H54+"n/&gt;!5aJ"</f>
        <v>#VALUE!</v>
      </c>
      <c r="DD453" t="e">
        <f>'Australia and Oceania'!I54+"n/&gt;!5aK"</f>
        <v>#VALUE!</v>
      </c>
      <c r="DE453" t="e">
        <f>'Australia and Oceania'!A55+"n/&gt;!5aL"</f>
        <v>#VALUE!</v>
      </c>
      <c r="DF453" t="e">
        <f>'Australia and Oceania'!B55+"n/&gt;!5aM"</f>
        <v>#VALUE!</v>
      </c>
      <c r="DG453" t="e">
        <f>'Australia and Oceania'!C55+"n/&gt;!5aN"</f>
        <v>#VALUE!</v>
      </c>
      <c r="DH453" t="e">
        <f>'Australia and Oceania'!D55+"n/&gt;!5aO"</f>
        <v>#VALUE!</v>
      </c>
      <c r="DI453" t="e">
        <f>'Australia and Oceania'!E55+"n/&gt;!5aP"</f>
        <v>#VALUE!</v>
      </c>
      <c r="DJ453" t="e">
        <f>'Australia and Oceania'!F55+"n/&gt;!5aQ"</f>
        <v>#VALUE!</v>
      </c>
      <c r="DK453" t="e">
        <f>'Australia and Oceania'!G55+"n/&gt;!5aR"</f>
        <v>#VALUE!</v>
      </c>
      <c r="DL453" t="e">
        <f>'Australia and Oceania'!H55+"n/&gt;!5aS"</f>
        <v>#VALUE!</v>
      </c>
      <c r="DM453" t="e">
        <f>'Australia and Oceania'!I55+"n/&gt;!5aT"</f>
        <v>#VALUE!</v>
      </c>
      <c r="DN453" t="e">
        <f>'Australia and Oceania'!A56+"n/&gt;!5aU"</f>
        <v>#VALUE!</v>
      </c>
      <c r="DO453" t="e">
        <f>'Australia and Oceania'!B56+"n/&gt;!5aV"</f>
        <v>#VALUE!</v>
      </c>
      <c r="DP453" t="e">
        <f>'Australia and Oceania'!C56+"n/&gt;!5aW"</f>
        <v>#VALUE!</v>
      </c>
      <c r="DQ453" t="e">
        <f>'Australia and Oceania'!D56+"n/&gt;!5aX"</f>
        <v>#VALUE!</v>
      </c>
      <c r="DR453" t="e">
        <f>'Australia and Oceania'!E56+"n/&gt;!5aY"</f>
        <v>#VALUE!</v>
      </c>
      <c r="DS453" t="e">
        <f>'Australia and Oceania'!F56+"n/&gt;!5aZ"</f>
        <v>#VALUE!</v>
      </c>
      <c r="DT453" t="e">
        <f>'Australia and Oceania'!G56+"n/&gt;!5a["</f>
        <v>#VALUE!</v>
      </c>
      <c r="DU453" t="e">
        <f>'Australia and Oceania'!H56+"n/&gt;!5a\"</f>
        <v>#VALUE!</v>
      </c>
      <c r="DV453" t="e">
        <f>'Australia and Oceania'!I56+"n/&gt;!5a]"</f>
        <v>#VALUE!</v>
      </c>
      <c r="DW453" t="e">
        <f>'Australia and Oceania'!A57+"n/&gt;!5a^"</f>
        <v>#VALUE!</v>
      </c>
      <c r="DX453" t="e">
        <f>'Australia and Oceania'!B57+"n/&gt;!5a_"</f>
        <v>#VALUE!</v>
      </c>
      <c r="DY453" t="e">
        <f>'Australia and Oceania'!C57+"n/&gt;!5a`"</f>
        <v>#VALUE!</v>
      </c>
      <c r="DZ453" t="e">
        <f>'Australia and Oceania'!D57+"n/&gt;!5aa"</f>
        <v>#VALUE!</v>
      </c>
      <c r="EA453" t="e">
        <f>'Australia and Oceania'!E57+"n/&gt;!5ab"</f>
        <v>#VALUE!</v>
      </c>
      <c r="EB453" t="e">
        <f>'Australia and Oceania'!F57+"n/&gt;!5ac"</f>
        <v>#VALUE!</v>
      </c>
      <c r="EC453" t="e">
        <f>'Australia and Oceania'!G57+"n/&gt;!5ad"</f>
        <v>#VALUE!</v>
      </c>
      <c r="ED453" t="e">
        <f>'Australia and Oceania'!H57+"n/&gt;!5ae"</f>
        <v>#VALUE!</v>
      </c>
      <c r="EE453" t="e">
        <f>'Australia and Oceania'!I57+"n/&gt;!5af"</f>
        <v>#VALUE!</v>
      </c>
      <c r="EF453" t="e">
        <f>'Australia and Oceania'!A58+"n/&gt;!5ag"</f>
        <v>#VALUE!</v>
      </c>
      <c r="EG453" t="e">
        <f>'Australia and Oceania'!B58+"n/&gt;!5ah"</f>
        <v>#VALUE!</v>
      </c>
      <c r="EH453" t="e">
        <f>'Australia and Oceania'!C58+"n/&gt;!5ai"</f>
        <v>#VALUE!</v>
      </c>
      <c r="EI453" t="e">
        <f>'Australia and Oceania'!D58+"n/&gt;!5aj"</f>
        <v>#VALUE!</v>
      </c>
      <c r="EJ453" t="e">
        <f>'Australia and Oceania'!E58+"n/&gt;!5ak"</f>
        <v>#VALUE!</v>
      </c>
      <c r="EK453" t="e">
        <f>'Australia and Oceania'!F58+"n/&gt;!5al"</f>
        <v>#VALUE!</v>
      </c>
      <c r="EL453" t="e">
        <f>'Australia and Oceania'!G58+"n/&gt;!5am"</f>
        <v>#VALUE!</v>
      </c>
      <c r="EM453" t="e">
        <f>'Australia and Oceania'!H58+"n/&gt;!5an"</f>
        <v>#VALUE!</v>
      </c>
      <c r="EN453" t="e">
        <f>'Australia and Oceania'!I58+"n/&gt;!5ao"</f>
        <v>#VALUE!</v>
      </c>
      <c r="EO453" t="e">
        <f>'Australia and Oceania'!A59+"n/&gt;!5ap"</f>
        <v>#VALUE!</v>
      </c>
      <c r="EP453" t="e">
        <f>'Australia and Oceania'!B59+"n/&gt;!5aq"</f>
        <v>#VALUE!</v>
      </c>
      <c r="EQ453" t="e">
        <f>'Australia and Oceania'!C59+"n/&gt;!5ar"</f>
        <v>#VALUE!</v>
      </c>
      <c r="ER453" t="e">
        <f>'Australia and Oceania'!D59+"n/&gt;!5as"</f>
        <v>#VALUE!</v>
      </c>
      <c r="ES453" t="e">
        <f>'Australia and Oceania'!E59+"n/&gt;!5at"</f>
        <v>#VALUE!</v>
      </c>
      <c r="ET453" t="e">
        <f>'Australia and Oceania'!F59+"n/&gt;!5au"</f>
        <v>#VALUE!</v>
      </c>
      <c r="EU453" t="e">
        <f>'Australia and Oceania'!G59+"n/&gt;!5av"</f>
        <v>#VALUE!</v>
      </c>
      <c r="EV453" t="e">
        <f>'Australia and Oceania'!H59+"n/&gt;!5aw"</f>
        <v>#VALUE!</v>
      </c>
      <c r="EW453" t="e">
        <f>'Australia and Oceania'!I59+"n/&gt;!5ax"</f>
        <v>#VALUE!</v>
      </c>
      <c r="EX453" t="e">
        <f>'Australia and Oceania'!A60+"n/&gt;!5ay"</f>
        <v>#VALUE!</v>
      </c>
      <c r="EY453" t="e">
        <f>'Australia and Oceania'!B60+"n/&gt;!5az"</f>
        <v>#VALUE!</v>
      </c>
      <c r="EZ453" t="e">
        <f>'Australia and Oceania'!C60+"n/&gt;!5a{"</f>
        <v>#VALUE!</v>
      </c>
      <c r="FA453" t="e">
        <f>'Australia and Oceania'!D60+"n/&gt;!5a|"</f>
        <v>#VALUE!</v>
      </c>
      <c r="FB453" t="e">
        <f>'Australia and Oceania'!E60+"n/&gt;!5a}"</f>
        <v>#VALUE!</v>
      </c>
      <c r="FC453" t="e">
        <f>'Australia and Oceania'!F60+"n/&gt;!5a~"</f>
        <v>#VALUE!</v>
      </c>
      <c r="FD453" t="e">
        <f>'Australia and Oceania'!G60+"n/&gt;!5b#"</f>
        <v>#VALUE!</v>
      </c>
      <c r="FE453" t="e">
        <f>'Australia and Oceania'!H60+"n/&gt;!5b$"</f>
        <v>#VALUE!</v>
      </c>
      <c r="FF453" t="e">
        <f>'Australia and Oceania'!I60+"n/&gt;!5b%"</f>
        <v>#VALUE!</v>
      </c>
      <c r="FG453" t="e">
        <f>'Australia and Oceania'!A61+"n/&gt;!5b&amp;"</f>
        <v>#VALUE!</v>
      </c>
      <c r="FH453" t="e">
        <f>'Australia and Oceania'!B61+"n/&gt;!5b'"</f>
        <v>#VALUE!</v>
      </c>
      <c r="FI453" t="e">
        <f>'Australia and Oceania'!C61+"n/&gt;!5b("</f>
        <v>#VALUE!</v>
      </c>
      <c r="FJ453" t="e">
        <f>'Australia and Oceania'!D61+"n/&gt;!5b)"</f>
        <v>#VALUE!</v>
      </c>
      <c r="FK453" t="e">
        <f>'Australia and Oceania'!E61+"n/&gt;!5b."</f>
        <v>#VALUE!</v>
      </c>
      <c r="FL453" t="e">
        <f>'Australia and Oceania'!F61+"n/&gt;!5b/"</f>
        <v>#VALUE!</v>
      </c>
      <c r="FM453" t="e">
        <f>'Australia and Oceania'!G61+"n/&gt;!5b0"</f>
        <v>#VALUE!</v>
      </c>
      <c r="FN453" t="e">
        <f>'Australia and Oceania'!H61+"n/&gt;!5b1"</f>
        <v>#VALUE!</v>
      </c>
      <c r="FO453" t="e">
        <f>'Australia and Oceania'!I61+"n/&gt;!5b2"</f>
        <v>#VALUE!</v>
      </c>
      <c r="FP453" t="e">
        <f>'Australia and Oceania'!A62+"n/&gt;!5b3"</f>
        <v>#VALUE!</v>
      </c>
      <c r="FQ453" t="e">
        <f>'Australia and Oceania'!B62+"n/&gt;!5b4"</f>
        <v>#VALUE!</v>
      </c>
      <c r="FR453" t="e">
        <f>'Australia and Oceania'!C62+"n/&gt;!5b5"</f>
        <v>#VALUE!</v>
      </c>
      <c r="FS453" t="e">
        <f>'Australia and Oceania'!D62+"n/&gt;!5b6"</f>
        <v>#VALUE!</v>
      </c>
      <c r="FT453" t="e">
        <f>'Australia and Oceania'!E62+"n/&gt;!5b7"</f>
        <v>#VALUE!</v>
      </c>
      <c r="FU453" t="e">
        <f>'Australia and Oceania'!F62+"n/&gt;!5b8"</f>
        <v>#VALUE!</v>
      </c>
      <c r="FV453" t="e">
        <f>'Australia and Oceania'!G62+"n/&gt;!5b9"</f>
        <v>#VALUE!</v>
      </c>
      <c r="FW453" t="e">
        <f>'Australia and Oceania'!H62+"n/&gt;!5b:"</f>
        <v>#VALUE!</v>
      </c>
      <c r="FX453" t="e">
        <f>'Australia and Oceania'!I62+"n/&gt;!5b;"</f>
        <v>#VALUE!</v>
      </c>
      <c r="FY453" t="e">
        <f>'Australia and Oceania'!A63+"n/&gt;!5b&lt;"</f>
        <v>#VALUE!</v>
      </c>
      <c r="FZ453" t="e">
        <f>'Australia and Oceania'!B63+"n/&gt;!5b="</f>
        <v>#VALUE!</v>
      </c>
      <c r="GA453" t="e">
        <f>'Australia and Oceania'!C63+"n/&gt;!5b&gt;"</f>
        <v>#VALUE!</v>
      </c>
      <c r="GB453" t="e">
        <f>'Australia and Oceania'!D63+"n/&gt;!5b?"</f>
        <v>#VALUE!</v>
      </c>
      <c r="GC453" t="e">
        <f>'Australia and Oceania'!E63+"n/&gt;!5b@"</f>
        <v>#VALUE!</v>
      </c>
      <c r="GD453" t="e">
        <f>'Australia and Oceania'!F63+"n/&gt;!5bA"</f>
        <v>#VALUE!</v>
      </c>
      <c r="GE453" t="e">
        <f>'Australia and Oceania'!G63+"n/&gt;!5bB"</f>
        <v>#VALUE!</v>
      </c>
      <c r="GF453" t="e">
        <f>'Australia and Oceania'!H63+"n/&gt;!5bC"</f>
        <v>#VALUE!</v>
      </c>
      <c r="GG453" t="e">
        <f>'Australia and Oceania'!I63+"n/&gt;!5bD"</f>
        <v>#VALUE!</v>
      </c>
      <c r="GH453" t="e">
        <f>'Australia and Oceania'!A64+"n/&gt;!5bE"</f>
        <v>#VALUE!</v>
      </c>
      <c r="GI453" t="e">
        <f>'Australia and Oceania'!B64+"n/&gt;!5bF"</f>
        <v>#VALUE!</v>
      </c>
      <c r="GJ453" t="e">
        <f>'Australia and Oceania'!C64+"n/&gt;!5bG"</f>
        <v>#VALUE!</v>
      </c>
      <c r="GK453" t="e">
        <f>'Australia and Oceania'!D64+"n/&gt;!5bH"</f>
        <v>#VALUE!</v>
      </c>
      <c r="GL453" t="e">
        <f>'Australia and Oceania'!E64+"n/&gt;!5bI"</f>
        <v>#VALUE!</v>
      </c>
      <c r="GM453" t="e">
        <f>'Australia and Oceania'!F64+"n/&gt;!5bJ"</f>
        <v>#VALUE!</v>
      </c>
      <c r="GN453" t="e">
        <f>'Australia and Oceania'!G64+"n/&gt;!5bK"</f>
        <v>#VALUE!</v>
      </c>
      <c r="GO453" t="e">
        <f>'Australia and Oceania'!H64+"n/&gt;!5bL"</f>
        <v>#VALUE!</v>
      </c>
      <c r="GP453" t="e">
        <f>'Australia and Oceania'!I64+"n/&gt;!5bM"</f>
        <v>#VALUE!</v>
      </c>
      <c r="GQ453" t="e">
        <f>'Australia and Oceania'!A65+"n/&gt;!5bN"</f>
        <v>#VALUE!</v>
      </c>
      <c r="GR453" t="e">
        <f>'Australia and Oceania'!B65+"n/&gt;!5bO"</f>
        <v>#VALUE!</v>
      </c>
      <c r="GS453" t="e">
        <f>'Australia and Oceania'!C65+"n/&gt;!5bP"</f>
        <v>#VALUE!</v>
      </c>
      <c r="GT453" t="e">
        <f>'Australia and Oceania'!D65+"n/&gt;!5bQ"</f>
        <v>#VALUE!</v>
      </c>
      <c r="GU453" t="e">
        <f>'Australia and Oceania'!E65+"n/&gt;!5bR"</f>
        <v>#VALUE!</v>
      </c>
      <c r="GV453" t="e">
        <f>'Australia and Oceania'!F65+"n/&gt;!5bS"</f>
        <v>#VALUE!</v>
      </c>
      <c r="GW453" t="e">
        <f>'Australia and Oceania'!G65+"n/&gt;!5bT"</f>
        <v>#VALUE!</v>
      </c>
      <c r="GX453" t="e">
        <f>'Australia and Oceania'!H65+"n/&gt;!5bU"</f>
        <v>#VALUE!</v>
      </c>
      <c r="GY453" t="e">
        <f>'Australia and Oceania'!I65+"n/&gt;!5bV"</f>
        <v>#VALUE!</v>
      </c>
      <c r="GZ453" t="e">
        <f>'Australia and Oceania'!A66+"n/&gt;!5bW"</f>
        <v>#VALUE!</v>
      </c>
      <c r="HA453" t="e">
        <f>'Australia and Oceania'!B66+"n/&gt;!5bX"</f>
        <v>#VALUE!</v>
      </c>
      <c r="HB453" t="e">
        <f>'Australia and Oceania'!C66+"n/&gt;!5bY"</f>
        <v>#VALUE!</v>
      </c>
      <c r="HC453" t="e">
        <f>'Australia and Oceania'!D66+"n/&gt;!5bZ"</f>
        <v>#VALUE!</v>
      </c>
      <c r="HD453" t="e">
        <f>'Australia and Oceania'!E66+"n/&gt;!5b["</f>
        <v>#VALUE!</v>
      </c>
      <c r="HE453" t="e">
        <f>'Australia and Oceania'!F66+"n/&gt;!5b\"</f>
        <v>#VALUE!</v>
      </c>
      <c r="HF453" t="e">
        <f>'Australia and Oceania'!G66+"n/&gt;!5b]"</f>
        <v>#VALUE!</v>
      </c>
      <c r="HG453" t="e">
        <f>'Australia and Oceania'!H66+"n/&gt;!5b^"</f>
        <v>#VALUE!</v>
      </c>
      <c r="HH453" t="e">
        <f>'Australia and Oceania'!I66+"n/&gt;!5b_"</f>
        <v>#VALUE!</v>
      </c>
      <c r="HI453" t="e">
        <f>'Australia and Oceania'!A67+"n/&gt;!5b`"</f>
        <v>#VALUE!</v>
      </c>
      <c r="HJ453" t="e">
        <f>'Australia and Oceania'!B67+"n/&gt;!5ba"</f>
        <v>#VALUE!</v>
      </c>
      <c r="HK453" t="e">
        <f>'Australia and Oceania'!C67+"n/&gt;!5bb"</f>
        <v>#VALUE!</v>
      </c>
      <c r="HL453" t="e">
        <f>'Australia and Oceania'!D67+"n/&gt;!5bc"</f>
        <v>#VALUE!</v>
      </c>
      <c r="HM453" t="e">
        <f>'Australia and Oceania'!E67+"n/&gt;!5bd"</f>
        <v>#VALUE!</v>
      </c>
      <c r="HN453" t="e">
        <f>'Australia and Oceania'!F67+"n/&gt;!5be"</f>
        <v>#VALUE!</v>
      </c>
      <c r="HO453" t="e">
        <f>'Australia and Oceania'!G67+"n/&gt;!5bf"</f>
        <v>#VALUE!</v>
      </c>
      <c r="HP453" t="e">
        <f>'Australia and Oceania'!H67+"n/&gt;!5bg"</f>
        <v>#VALUE!</v>
      </c>
      <c r="HQ453" t="e">
        <f>'Australia and Oceania'!I67+"n/&gt;!5bh"</f>
        <v>#VALUE!</v>
      </c>
      <c r="HR453" t="e">
        <f>'Australia and Oceania'!A68+"n/&gt;!5bi"</f>
        <v>#VALUE!</v>
      </c>
      <c r="HS453" t="e">
        <f>'Australia and Oceania'!B68+"n/&gt;!5bj"</f>
        <v>#VALUE!</v>
      </c>
      <c r="HT453" t="e">
        <f>'Australia and Oceania'!C68+"n/&gt;!5bk"</f>
        <v>#VALUE!</v>
      </c>
      <c r="HU453" t="e">
        <f>'Australia and Oceania'!D68+"n/&gt;!5bl"</f>
        <v>#VALUE!</v>
      </c>
      <c r="HV453" t="e">
        <f>'Australia and Oceania'!E68+"n/&gt;!5bm"</f>
        <v>#VALUE!</v>
      </c>
      <c r="HW453" t="e">
        <f>'Australia and Oceania'!F68+"n/&gt;!5bn"</f>
        <v>#VALUE!</v>
      </c>
      <c r="HX453" t="e">
        <f>'Australia and Oceania'!G68+"n/&gt;!5bo"</f>
        <v>#VALUE!</v>
      </c>
      <c r="HY453" t="e">
        <f>'Australia and Oceania'!H68+"n/&gt;!5bp"</f>
        <v>#VALUE!</v>
      </c>
      <c r="HZ453" t="e">
        <f>'Australia and Oceania'!I68+"n/&gt;!5bq"</f>
        <v>#VALUE!</v>
      </c>
      <c r="IA453" t="e">
        <f>'Australia and Oceania'!A69+"n/&gt;!5br"</f>
        <v>#VALUE!</v>
      </c>
      <c r="IB453" t="e">
        <f>'Australia and Oceania'!B69+"n/&gt;!5bs"</f>
        <v>#VALUE!</v>
      </c>
      <c r="IC453" t="e">
        <f>'Australia and Oceania'!C69+"n/&gt;!5bt"</f>
        <v>#VALUE!</v>
      </c>
      <c r="ID453" t="e">
        <f>'Australia and Oceania'!D69+"n/&gt;!5bu"</f>
        <v>#VALUE!</v>
      </c>
      <c r="IE453" t="e">
        <f>'Australia and Oceania'!E69+"n/&gt;!5bv"</f>
        <v>#VALUE!</v>
      </c>
      <c r="IF453" t="e">
        <f>'Australia and Oceania'!F69+"n/&gt;!5bw"</f>
        <v>#VALUE!</v>
      </c>
      <c r="IG453" t="e">
        <f>'Australia and Oceania'!G69+"n/&gt;!5bx"</f>
        <v>#VALUE!</v>
      </c>
      <c r="IH453" t="e">
        <f>'Australia and Oceania'!H69+"n/&gt;!5by"</f>
        <v>#VALUE!</v>
      </c>
      <c r="II453" t="e">
        <f>'Australia and Oceania'!I69+"n/&gt;!5bz"</f>
        <v>#VALUE!</v>
      </c>
      <c r="IJ453" t="e">
        <f>'Australia and Oceania'!A70+"n/&gt;!5b{"</f>
        <v>#VALUE!</v>
      </c>
      <c r="IK453" t="e">
        <f>'Australia and Oceania'!B70+"n/&gt;!5b|"</f>
        <v>#VALUE!</v>
      </c>
      <c r="IL453" t="e">
        <f>'Australia and Oceania'!C70+"n/&gt;!5b}"</f>
        <v>#VALUE!</v>
      </c>
      <c r="IM453" t="e">
        <f>'Australia and Oceania'!D70+"n/&gt;!5b~"</f>
        <v>#VALUE!</v>
      </c>
      <c r="IN453" t="e">
        <f>'Australia and Oceania'!E70+"n/&gt;!5c#"</f>
        <v>#VALUE!</v>
      </c>
      <c r="IO453" t="e">
        <f>'Australia and Oceania'!F70+"n/&gt;!5c$"</f>
        <v>#VALUE!</v>
      </c>
      <c r="IP453" t="e">
        <f>'Australia and Oceania'!G70+"n/&gt;!5c%"</f>
        <v>#VALUE!</v>
      </c>
      <c r="IQ453" t="e">
        <f>'Australia and Oceania'!H70+"n/&gt;!5c&amp;"</f>
        <v>#VALUE!</v>
      </c>
      <c r="IR453" t="e">
        <f>'Australia and Oceania'!I70+"n/&gt;!5c'"</f>
        <v>#VALUE!</v>
      </c>
      <c r="IS453" t="e">
        <f>'Australia and Oceania'!A71+"n/&gt;!5c("</f>
        <v>#VALUE!</v>
      </c>
      <c r="IT453" t="e">
        <f>'Australia and Oceania'!B71+"n/&gt;!5c)"</f>
        <v>#VALUE!</v>
      </c>
      <c r="IU453" t="e">
        <f>'Australia and Oceania'!C71+"n/&gt;!5c."</f>
        <v>#VALUE!</v>
      </c>
      <c r="IV453" t="e">
        <f>'Australia and Oceania'!D71+"n/&gt;!5c/"</f>
        <v>#VALUE!</v>
      </c>
    </row>
    <row r="454" spans="6:256" x14ac:dyDescent="0.35">
      <c r="F454" t="e">
        <f>'Australia and Oceania'!E71+"n/&gt;!5c0"</f>
        <v>#VALUE!</v>
      </c>
      <c r="G454" t="e">
        <f>'Australia and Oceania'!F71+"n/&gt;!5c1"</f>
        <v>#VALUE!</v>
      </c>
      <c r="H454" t="e">
        <f>'Australia and Oceania'!G71+"n/&gt;!5c2"</f>
        <v>#VALUE!</v>
      </c>
      <c r="I454" t="e">
        <f>'Australia and Oceania'!H71+"n/&gt;!5c3"</f>
        <v>#VALUE!</v>
      </c>
      <c r="J454" t="e">
        <f>'Australia and Oceania'!I71+"n/&gt;!5c4"</f>
        <v>#VALUE!</v>
      </c>
      <c r="K454" t="e">
        <f>'Australia and Oceania'!A72+"n/&gt;!5c5"</f>
        <v>#VALUE!</v>
      </c>
      <c r="L454" t="e">
        <f>'Australia and Oceania'!B72+"n/&gt;!5c6"</f>
        <v>#VALUE!</v>
      </c>
      <c r="M454" t="e">
        <f>'Australia and Oceania'!C72+"n/&gt;!5c7"</f>
        <v>#VALUE!</v>
      </c>
      <c r="N454" t="e">
        <f>'Australia and Oceania'!D72+"n/&gt;!5c8"</f>
        <v>#VALUE!</v>
      </c>
      <c r="O454" t="e">
        <f>'Australia and Oceania'!E72+"n/&gt;!5c9"</f>
        <v>#VALUE!</v>
      </c>
      <c r="P454" t="e">
        <f>'Australia and Oceania'!F72+"n/&gt;!5c:"</f>
        <v>#VALUE!</v>
      </c>
      <c r="Q454" t="e">
        <f>'Australia and Oceania'!G72+"n/&gt;!5c;"</f>
        <v>#VALUE!</v>
      </c>
      <c r="R454" t="e">
        <f>'Australia and Oceania'!H72+"n/&gt;!5c&lt;"</f>
        <v>#VALUE!</v>
      </c>
      <c r="S454" t="e">
        <f>'Australia and Oceania'!I72+"n/&gt;!5c="</f>
        <v>#VALUE!</v>
      </c>
      <c r="T454" t="e">
        <f>'Australia and Oceania'!A73+"n/&gt;!5c&gt;"</f>
        <v>#VALUE!</v>
      </c>
      <c r="U454" t="e">
        <f>'Australia and Oceania'!B73+"n/&gt;!5c?"</f>
        <v>#VALUE!</v>
      </c>
      <c r="V454" t="e">
        <f>'Australia and Oceania'!C73+"n/&gt;!5c@"</f>
        <v>#VALUE!</v>
      </c>
      <c r="W454" t="e">
        <f>'Australia and Oceania'!D73+"n/&gt;!5cA"</f>
        <v>#VALUE!</v>
      </c>
      <c r="X454" t="e">
        <f>'Australia and Oceania'!E73+"n/&gt;!5cB"</f>
        <v>#VALUE!</v>
      </c>
      <c r="Y454" t="e">
        <f>'Australia and Oceania'!F73+"n/&gt;!5cC"</f>
        <v>#VALUE!</v>
      </c>
      <c r="Z454" t="e">
        <f>'Australia and Oceania'!G73+"n/&gt;!5cD"</f>
        <v>#VALUE!</v>
      </c>
      <c r="AA454" t="e">
        <f>'Australia and Oceania'!H73+"n/&gt;!5cE"</f>
        <v>#VALUE!</v>
      </c>
      <c r="AB454" t="e">
        <f>'Australia and Oceania'!I73+"n/&gt;!5cF"</f>
        <v>#VALUE!</v>
      </c>
      <c r="AC454" t="e">
        <f>'Australia and Oceania'!A74+"n/&gt;!5cG"</f>
        <v>#VALUE!</v>
      </c>
      <c r="AD454" t="e">
        <f>'Australia and Oceania'!B74+"n/&gt;!5cH"</f>
        <v>#VALUE!</v>
      </c>
      <c r="AE454" t="e">
        <f>'Australia and Oceania'!C74+"n/&gt;!5cI"</f>
        <v>#VALUE!</v>
      </c>
      <c r="AF454" t="e">
        <f>'Australia and Oceania'!D74+"n/&gt;!5cJ"</f>
        <v>#VALUE!</v>
      </c>
      <c r="AG454" t="e">
        <f>'Australia and Oceania'!E74+"n/&gt;!5cK"</f>
        <v>#VALUE!</v>
      </c>
      <c r="AH454" t="e">
        <f>'Australia and Oceania'!F74+"n/&gt;!5cL"</f>
        <v>#VALUE!</v>
      </c>
      <c r="AI454" t="e">
        <f>'Australia and Oceania'!G74+"n/&gt;!5cM"</f>
        <v>#VALUE!</v>
      </c>
      <c r="AJ454" t="e">
        <f>'Australia and Oceania'!H74+"n/&gt;!5cN"</f>
        <v>#VALUE!</v>
      </c>
      <c r="AK454" t="e">
        <f>'Australia and Oceania'!I74+"n/&gt;!5cO"</f>
        <v>#VALUE!</v>
      </c>
      <c r="AL454" t="e">
        <f>'Australia and Oceania'!A75+"n/&gt;!5cP"</f>
        <v>#VALUE!</v>
      </c>
      <c r="AM454" t="e">
        <f>'Australia and Oceania'!B75+"n/&gt;!5cQ"</f>
        <v>#VALUE!</v>
      </c>
      <c r="AN454" t="e">
        <f>'Australia and Oceania'!C75+"n/&gt;!5cR"</f>
        <v>#VALUE!</v>
      </c>
      <c r="AO454" t="e">
        <f>'Australia and Oceania'!D75+"n/&gt;!5cS"</f>
        <v>#VALUE!</v>
      </c>
      <c r="AP454" t="e">
        <f>'Australia and Oceania'!E75+"n/&gt;!5cT"</f>
        <v>#VALUE!</v>
      </c>
      <c r="AQ454" t="e">
        <f>'Australia and Oceania'!F75+"n/&gt;!5cU"</f>
        <v>#VALUE!</v>
      </c>
      <c r="AR454" t="e">
        <f>'Australia and Oceania'!G75+"n/&gt;!5cV"</f>
        <v>#VALUE!</v>
      </c>
      <c r="AS454" t="e">
        <f>'Australia and Oceania'!H75+"n/&gt;!5cW"</f>
        <v>#VALUE!</v>
      </c>
      <c r="AT454" t="e">
        <f>'Australia and Oceania'!I75+"n/&gt;!5cX"</f>
        <v>#VALUE!</v>
      </c>
      <c r="AU454" t="e">
        <f>'Australia and Oceania'!A76+"n/&gt;!5cY"</f>
        <v>#VALUE!</v>
      </c>
      <c r="AV454" t="e">
        <f>'Australia and Oceania'!B76+"n/&gt;!5cZ"</f>
        <v>#VALUE!</v>
      </c>
      <c r="AW454" t="e">
        <f>'Australia and Oceania'!C76+"n/&gt;!5c["</f>
        <v>#VALUE!</v>
      </c>
      <c r="AX454" t="e">
        <f>'Australia and Oceania'!D76+"n/&gt;!5c\"</f>
        <v>#VALUE!</v>
      </c>
      <c r="AY454" t="e">
        <f>'Australia and Oceania'!E76+"n/&gt;!5c]"</f>
        <v>#VALUE!</v>
      </c>
      <c r="AZ454" t="e">
        <f>'Australia and Oceania'!F76+"n/&gt;!5c^"</f>
        <v>#VALUE!</v>
      </c>
      <c r="BA454" t="e">
        <f>'Australia and Oceania'!G76+"n/&gt;!5c_"</f>
        <v>#VALUE!</v>
      </c>
      <c r="BB454" t="e">
        <f>'Australia and Oceania'!H76+"n/&gt;!5c`"</f>
        <v>#VALUE!</v>
      </c>
      <c r="BC454" t="e">
        <f>'Australia and Oceania'!I76+"n/&gt;!5ca"</f>
        <v>#VALUE!</v>
      </c>
      <c r="BD454" t="e">
        <f>'Australia and Oceania'!A77+"n/&gt;!5cb"</f>
        <v>#VALUE!</v>
      </c>
      <c r="BE454" t="e">
        <f>'Australia and Oceania'!B77+"n/&gt;!5cc"</f>
        <v>#VALUE!</v>
      </c>
      <c r="BF454" t="e">
        <f>'Australia and Oceania'!C77+"n/&gt;!5cd"</f>
        <v>#VALUE!</v>
      </c>
      <c r="BG454" t="e">
        <f>'Australia and Oceania'!D77+"n/&gt;!5ce"</f>
        <v>#VALUE!</v>
      </c>
      <c r="BH454" t="e">
        <f>'Australia and Oceania'!E77+"n/&gt;!5cf"</f>
        <v>#VALUE!</v>
      </c>
      <c r="BI454" t="e">
        <f>'Australia and Oceania'!F77+"n/&gt;!5cg"</f>
        <v>#VALUE!</v>
      </c>
      <c r="BJ454" t="e">
        <f>'Australia and Oceania'!G77+"n/&gt;!5ch"</f>
        <v>#VALUE!</v>
      </c>
      <c r="BK454" t="e">
        <f>'Australia and Oceania'!H77+"n/&gt;!5ci"</f>
        <v>#VALUE!</v>
      </c>
      <c r="BL454" t="e">
        <f>'Australia and Oceania'!I77+"n/&gt;!5cj"</f>
        <v>#VALUE!</v>
      </c>
      <c r="BM454" t="e">
        <f>'Australia and Oceania'!A78+"n/&gt;!5ck"</f>
        <v>#VALUE!</v>
      </c>
      <c r="BN454" t="e">
        <f>'Australia and Oceania'!B78+"n/&gt;!5cl"</f>
        <v>#VALUE!</v>
      </c>
      <c r="BO454" t="e">
        <f>'Australia and Oceania'!C78+"n/&gt;!5cm"</f>
        <v>#VALUE!</v>
      </c>
      <c r="BP454" t="e">
        <f>'Australia and Oceania'!D78+"n/&gt;!5cn"</f>
        <v>#VALUE!</v>
      </c>
      <c r="BQ454" t="e">
        <f>'Australia and Oceania'!E78+"n/&gt;!5co"</f>
        <v>#VALUE!</v>
      </c>
      <c r="BR454" t="e">
        <f>'Australia and Oceania'!F78+"n/&gt;!5cp"</f>
        <v>#VALUE!</v>
      </c>
      <c r="BS454" t="e">
        <f>'Australia and Oceania'!G78+"n/&gt;!5cq"</f>
        <v>#VALUE!</v>
      </c>
      <c r="BT454" t="e">
        <f>'Australia and Oceania'!H78+"n/&gt;!5cr"</f>
        <v>#VALUE!</v>
      </c>
      <c r="BU454" t="e">
        <f>'Australia and Oceania'!I78+"n/&gt;!5cs"</f>
        <v>#VALUE!</v>
      </c>
      <c r="BV454" t="e">
        <f>'Australia and Oceania'!A79+"n/&gt;!5ct"</f>
        <v>#VALUE!</v>
      </c>
      <c r="BW454" t="e">
        <f>'Australia and Oceania'!B79+"n/&gt;!5cu"</f>
        <v>#VALUE!</v>
      </c>
      <c r="BX454" t="e">
        <f>'Australia and Oceania'!C79+"n/&gt;!5cv"</f>
        <v>#VALUE!</v>
      </c>
      <c r="BY454" t="e">
        <f>'Australia and Oceania'!D79+"n/&gt;!5cw"</f>
        <v>#VALUE!</v>
      </c>
      <c r="BZ454" t="e">
        <f>'Australia and Oceania'!E79+"n/&gt;!5cx"</f>
        <v>#VALUE!</v>
      </c>
      <c r="CA454" t="e">
        <f>'Australia and Oceania'!F79+"n/&gt;!5cy"</f>
        <v>#VALUE!</v>
      </c>
      <c r="CB454" t="e">
        <f>'Australia and Oceania'!G79+"n/&gt;!5cz"</f>
        <v>#VALUE!</v>
      </c>
      <c r="CC454" t="e">
        <f>'Australia and Oceania'!H79+"n/&gt;!5c{"</f>
        <v>#VALUE!</v>
      </c>
      <c r="CD454" t="e">
        <f>'Australia and Oceania'!I79+"n/&gt;!5c|"</f>
        <v>#VALUE!</v>
      </c>
      <c r="CE454" t="e">
        <f>'Australia and Oceania'!A80+"n/&gt;!5c}"</f>
        <v>#VALUE!</v>
      </c>
      <c r="CF454" t="e">
        <f>'Australia and Oceania'!B80+"n/&gt;!5c~"</f>
        <v>#VALUE!</v>
      </c>
      <c r="CG454" t="e">
        <f>'Australia and Oceania'!C80+"n/&gt;!5d#"</f>
        <v>#VALUE!</v>
      </c>
      <c r="CH454" t="e">
        <f>'Australia and Oceania'!D80+"n/&gt;!5d$"</f>
        <v>#VALUE!</v>
      </c>
      <c r="CI454" t="e">
        <f>'Australia and Oceania'!E80+"n/&gt;!5d%"</f>
        <v>#VALUE!</v>
      </c>
      <c r="CJ454" t="e">
        <f>'Australia and Oceania'!F80+"n/&gt;!5d&amp;"</f>
        <v>#VALUE!</v>
      </c>
      <c r="CK454" t="e">
        <f>'Australia and Oceania'!G80+"n/&gt;!5d'"</f>
        <v>#VALUE!</v>
      </c>
      <c r="CL454" t="e">
        <f>'Australia and Oceania'!H80+"n/&gt;!5d("</f>
        <v>#VALUE!</v>
      </c>
      <c r="CM454" t="e">
        <f>'Australia and Oceania'!I80+"n/&gt;!5d)"</f>
        <v>#VALUE!</v>
      </c>
      <c r="CN454" t="e">
        <f>'Australia and Oceania'!A81+"n/&gt;!5d."</f>
        <v>#VALUE!</v>
      </c>
      <c r="CO454" t="e">
        <f>'Australia and Oceania'!B81+"n/&gt;!5d/"</f>
        <v>#VALUE!</v>
      </c>
      <c r="CP454" t="e">
        <f>'Australia and Oceania'!C81+"n/&gt;!5d0"</f>
        <v>#VALUE!</v>
      </c>
      <c r="CQ454" t="e">
        <f>'Australia and Oceania'!D81+"n/&gt;!5d1"</f>
        <v>#VALUE!</v>
      </c>
      <c r="CR454" t="e">
        <f>'Australia and Oceania'!E81+"n/&gt;!5d2"</f>
        <v>#VALUE!</v>
      </c>
      <c r="CS454" t="e">
        <f>'Australia and Oceania'!F81+"n/&gt;!5d3"</f>
        <v>#VALUE!</v>
      </c>
      <c r="CT454" t="e">
        <f>'Australia and Oceania'!G81+"n/&gt;!5d4"</f>
        <v>#VALUE!</v>
      </c>
      <c r="CU454" t="e">
        <f>'Australia and Oceania'!H81+"n/&gt;!5d5"</f>
        <v>#VALUE!</v>
      </c>
      <c r="CV454" t="e">
        <f>'Australia and Oceania'!I81+"n/&gt;!5d6"</f>
        <v>#VALUE!</v>
      </c>
      <c r="CW454" t="e">
        <f>'Australia and Oceania'!A82+"n/&gt;!5d7"</f>
        <v>#VALUE!</v>
      </c>
      <c r="CX454" t="e">
        <f>'Australia and Oceania'!B82+"n/&gt;!5d8"</f>
        <v>#VALUE!</v>
      </c>
      <c r="CY454" t="e">
        <f>'Australia and Oceania'!C82+"n/&gt;!5d9"</f>
        <v>#VALUE!</v>
      </c>
      <c r="CZ454" t="e">
        <f>'Australia and Oceania'!D82+"n/&gt;!5d:"</f>
        <v>#VALUE!</v>
      </c>
      <c r="DA454" t="e">
        <f>'Australia and Oceania'!E82+"n/&gt;!5d;"</f>
        <v>#VALUE!</v>
      </c>
      <c r="DB454" t="e">
        <f>'Australia and Oceania'!F82+"n/&gt;!5d&lt;"</f>
        <v>#VALUE!</v>
      </c>
      <c r="DC454" t="e">
        <f>'Australia and Oceania'!G82+"n/&gt;!5d="</f>
        <v>#VALUE!</v>
      </c>
      <c r="DD454" t="e">
        <f>'Australia and Oceania'!H82+"n/&gt;!5d&gt;"</f>
        <v>#VALUE!</v>
      </c>
      <c r="DE454" t="e">
        <f>'Australia and Oceania'!I82+"n/&gt;!5d?"</f>
        <v>#VALUE!</v>
      </c>
      <c r="DF454" t="e">
        <f>'Australia and Oceania'!A83+"n/&gt;!5d@"</f>
        <v>#VALUE!</v>
      </c>
      <c r="DG454" t="e">
        <f>'Australia and Oceania'!B83+"n/&gt;!5dA"</f>
        <v>#VALUE!</v>
      </c>
      <c r="DH454" t="e">
        <f>'Australia and Oceania'!C83+"n/&gt;!5dB"</f>
        <v>#VALUE!</v>
      </c>
      <c r="DI454" t="e">
        <f>'Australia and Oceania'!D83+"n/&gt;!5dC"</f>
        <v>#VALUE!</v>
      </c>
      <c r="DJ454" t="e">
        <f>'Australia and Oceania'!E83+"n/&gt;!5dD"</f>
        <v>#VALUE!</v>
      </c>
      <c r="DK454" t="e">
        <f>'Australia and Oceania'!F83+"n/&gt;!5dE"</f>
        <v>#VALUE!</v>
      </c>
      <c r="DL454" t="e">
        <f>'Australia and Oceania'!G83+"n/&gt;!5dF"</f>
        <v>#VALUE!</v>
      </c>
      <c r="DM454" t="e">
        <f>'Australia and Oceania'!H83+"n/&gt;!5dG"</f>
        <v>#VALUE!</v>
      </c>
      <c r="DN454" t="e">
        <f>'Australia and Oceania'!I83+"n/&gt;!5dH"</f>
        <v>#VALUE!</v>
      </c>
      <c r="DO454" t="e">
        <f>'Australia and Oceania'!A84+"n/&gt;!5dI"</f>
        <v>#VALUE!</v>
      </c>
      <c r="DP454" t="e">
        <f>'Australia and Oceania'!B84+"n/&gt;!5dJ"</f>
        <v>#VALUE!</v>
      </c>
      <c r="DQ454" t="e">
        <f>'Australia and Oceania'!C84+"n/&gt;!5dK"</f>
        <v>#VALUE!</v>
      </c>
      <c r="DR454" t="e">
        <f>'Australia and Oceania'!D84+"n/&gt;!5dL"</f>
        <v>#VALUE!</v>
      </c>
      <c r="DS454" t="e">
        <f>'Australia and Oceania'!E84+"n/&gt;!5dM"</f>
        <v>#VALUE!</v>
      </c>
      <c r="DT454" t="e">
        <f>'Australia and Oceania'!F84+"n/&gt;!5dN"</f>
        <v>#VALUE!</v>
      </c>
      <c r="DU454" t="e">
        <f>'Australia and Oceania'!G84+"n/&gt;!5dO"</f>
        <v>#VALUE!</v>
      </c>
      <c r="DV454" t="e">
        <f>'Australia and Oceania'!H84+"n/&gt;!5dP"</f>
        <v>#VALUE!</v>
      </c>
      <c r="DW454" t="e">
        <f>'Australia and Oceania'!I84+"n/&gt;!5dQ"</f>
        <v>#VALUE!</v>
      </c>
      <c r="DX454" t="e">
        <f>'Australia and Oceania'!A85+"n/&gt;!5dR"</f>
        <v>#VALUE!</v>
      </c>
      <c r="DY454" t="e">
        <f>'Australia and Oceania'!B85+"n/&gt;!5dS"</f>
        <v>#VALUE!</v>
      </c>
      <c r="DZ454" t="e">
        <f>'Australia and Oceania'!C85+"n/&gt;!5dT"</f>
        <v>#VALUE!</v>
      </c>
      <c r="EA454" t="e">
        <f>'Australia and Oceania'!D85+"n/&gt;!5dU"</f>
        <v>#VALUE!</v>
      </c>
      <c r="EB454" t="e">
        <f>'Australia and Oceania'!E85+"n/&gt;!5dV"</f>
        <v>#VALUE!</v>
      </c>
      <c r="EC454" t="e">
        <f>'Australia and Oceania'!F85+"n/&gt;!5dW"</f>
        <v>#VALUE!</v>
      </c>
      <c r="ED454" t="e">
        <f>'Australia and Oceania'!G85+"n/&gt;!5dX"</f>
        <v>#VALUE!</v>
      </c>
      <c r="EE454" t="e">
        <f>'Australia and Oceania'!H85+"n/&gt;!5dY"</f>
        <v>#VALUE!</v>
      </c>
      <c r="EF454" t="e">
        <f>'Australia and Oceania'!I85+"n/&gt;!5dZ"</f>
        <v>#VALUE!</v>
      </c>
      <c r="EG454" t="e">
        <f>'Australia and Oceania'!A86+"n/&gt;!5d["</f>
        <v>#VALUE!</v>
      </c>
      <c r="EH454" t="e">
        <f>'Australia and Oceania'!B86+"n/&gt;!5d\"</f>
        <v>#VALUE!</v>
      </c>
      <c r="EI454" t="e">
        <f>'Australia and Oceania'!C86+"n/&gt;!5d]"</f>
        <v>#VALUE!</v>
      </c>
      <c r="EJ454" t="e">
        <f>'Australia and Oceania'!D86+"n/&gt;!5d^"</f>
        <v>#VALUE!</v>
      </c>
      <c r="EK454" t="e">
        <f>'Australia and Oceania'!E86+"n/&gt;!5d_"</f>
        <v>#VALUE!</v>
      </c>
      <c r="EL454" t="e">
        <f>'Australia and Oceania'!F86+"n/&gt;!5d`"</f>
        <v>#VALUE!</v>
      </c>
      <c r="EM454" t="e">
        <f>'Australia and Oceania'!G86+"n/&gt;!5da"</f>
        <v>#VALUE!</v>
      </c>
      <c r="EN454" t="e">
        <f>'Australia and Oceania'!H86+"n/&gt;!5db"</f>
        <v>#VALUE!</v>
      </c>
      <c r="EO454" t="e">
        <f>'Australia and Oceania'!I86+"n/&gt;!5dc"</f>
        <v>#VALUE!</v>
      </c>
      <c r="EP454" t="e">
        <f>'Australia and Oceania'!A87+"n/&gt;!5dd"</f>
        <v>#VALUE!</v>
      </c>
      <c r="EQ454" t="e">
        <f>'Australia and Oceania'!B87+"n/&gt;!5de"</f>
        <v>#VALUE!</v>
      </c>
      <c r="ER454" t="e">
        <f>'Australia and Oceania'!C87+"n/&gt;!5df"</f>
        <v>#VALUE!</v>
      </c>
      <c r="ES454" t="e">
        <f>'Australia and Oceania'!D87+"n/&gt;!5dg"</f>
        <v>#VALUE!</v>
      </c>
      <c r="ET454" t="e">
        <f>'Australia and Oceania'!E87+"n/&gt;!5dh"</f>
        <v>#VALUE!</v>
      </c>
      <c r="EU454" t="e">
        <f>'Australia and Oceania'!F87+"n/&gt;!5di"</f>
        <v>#VALUE!</v>
      </c>
      <c r="EV454" t="e">
        <f>'Australia and Oceania'!G87+"n/&gt;!5dj"</f>
        <v>#VALUE!</v>
      </c>
      <c r="EW454" t="e">
        <f>'Australia and Oceania'!H87+"n/&gt;!5dk"</f>
        <v>#VALUE!</v>
      </c>
      <c r="EX454" t="e">
        <f>'Australia and Oceania'!I87+"n/&gt;!5dl"</f>
        <v>#VALUE!</v>
      </c>
      <c r="EY454" t="e">
        <f>'Australia and Oceania'!A88+"n/&gt;!5dm"</f>
        <v>#VALUE!</v>
      </c>
      <c r="EZ454" t="e">
        <f>'Australia and Oceania'!B88+"n/&gt;!5dn"</f>
        <v>#VALUE!</v>
      </c>
      <c r="FA454" t="e">
        <f>'Australia and Oceania'!C88+"n/&gt;!5do"</f>
        <v>#VALUE!</v>
      </c>
      <c r="FB454" t="e">
        <f>'Australia and Oceania'!D88+"n/&gt;!5dp"</f>
        <v>#VALUE!</v>
      </c>
      <c r="FC454" t="e">
        <f>'Australia and Oceania'!E88+"n/&gt;!5dq"</f>
        <v>#VALUE!</v>
      </c>
      <c r="FD454" t="e">
        <f>'Australia and Oceania'!F88+"n/&gt;!5dr"</f>
        <v>#VALUE!</v>
      </c>
      <c r="FE454" t="e">
        <f>'Australia and Oceania'!G88+"n/&gt;!5ds"</f>
        <v>#VALUE!</v>
      </c>
      <c r="FF454" t="e">
        <f>'Australia and Oceania'!H88+"n/&gt;!5dt"</f>
        <v>#VALUE!</v>
      </c>
      <c r="FG454" t="e">
        <f>'Australia and Oceania'!I88+"n/&gt;!5du"</f>
        <v>#VALUE!</v>
      </c>
      <c r="FH454" t="e">
        <f>'Australia and Oceania'!A89+"n/&gt;!5dv"</f>
        <v>#VALUE!</v>
      </c>
      <c r="FI454" t="e">
        <f>'Australia and Oceania'!B89+"n/&gt;!5dw"</f>
        <v>#VALUE!</v>
      </c>
      <c r="FJ454" t="e">
        <f>'Australia and Oceania'!C89+"n/&gt;!5dx"</f>
        <v>#VALUE!</v>
      </c>
      <c r="FK454" t="e">
        <f>'Australia and Oceania'!D89+"n/&gt;!5dy"</f>
        <v>#VALUE!</v>
      </c>
      <c r="FL454" t="e">
        <f>'Australia and Oceania'!E89+"n/&gt;!5dz"</f>
        <v>#VALUE!</v>
      </c>
      <c r="FM454" t="e">
        <f>'Australia and Oceania'!F89+"n/&gt;!5d{"</f>
        <v>#VALUE!</v>
      </c>
      <c r="FN454" t="e">
        <f>'Australia and Oceania'!G89+"n/&gt;!5d|"</f>
        <v>#VALUE!</v>
      </c>
      <c r="FO454" t="e">
        <f>'Australia and Oceania'!H89+"n/&gt;!5d}"</f>
        <v>#VALUE!</v>
      </c>
      <c r="FP454" t="e">
        <f>'Australia and Oceania'!I89+"n/&gt;!5d~"</f>
        <v>#VALUE!</v>
      </c>
      <c r="FQ454" t="e">
        <f>'Australia and Oceania'!A90+"n/&gt;!5e#"</f>
        <v>#VALUE!</v>
      </c>
      <c r="FR454" t="e">
        <f>'Australia and Oceania'!B90+"n/&gt;!5e$"</f>
        <v>#VALUE!</v>
      </c>
      <c r="FS454" t="e">
        <f>'Australia and Oceania'!C90+"n/&gt;!5e%"</f>
        <v>#VALUE!</v>
      </c>
      <c r="FT454" t="e">
        <f>'Australia and Oceania'!D90+"n/&gt;!5e&amp;"</f>
        <v>#VALUE!</v>
      </c>
      <c r="FU454" t="e">
        <f>'Australia and Oceania'!E90+"n/&gt;!5e'"</f>
        <v>#VALUE!</v>
      </c>
      <c r="FV454" t="e">
        <f>'Australia and Oceania'!F90+"n/&gt;!5e("</f>
        <v>#VALUE!</v>
      </c>
      <c r="FW454" t="e">
        <f>'Australia and Oceania'!G90+"n/&gt;!5e)"</f>
        <v>#VALUE!</v>
      </c>
      <c r="FX454" t="e">
        <f>'Australia and Oceania'!H90+"n/&gt;!5e."</f>
        <v>#VALUE!</v>
      </c>
      <c r="FY454" t="e">
        <f>'Australia and Oceania'!I90+"n/&gt;!5e/"</f>
        <v>#VALUE!</v>
      </c>
      <c r="FZ454" t="e">
        <f>'Australia and Oceania'!A91+"n/&gt;!5e0"</f>
        <v>#VALUE!</v>
      </c>
      <c r="GA454" t="e">
        <f>'Australia and Oceania'!B91+"n/&gt;!5e1"</f>
        <v>#VALUE!</v>
      </c>
      <c r="GB454" t="e">
        <f>'Australia and Oceania'!C91+"n/&gt;!5e2"</f>
        <v>#VALUE!</v>
      </c>
      <c r="GC454" t="e">
        <f>'Australia and Oceania'!D91+"n/&gt;!5e3"</f>
        <v>#VALUE!</v>
      </c>
      <c r="GD454" t="e">
        <f>'Australia and Oceania'!E91+"n/&gt;!5e4"</f>
        <v>#VALUE!</v>
      </c>
      <c r="GE454" t="e">
        <f>'Australia and Oceania'!F91+"n/&gt;!5e5"</f>
        <v>#VALUE!</v>
      </c>
      <c r="GF454" t="e">
        <f>'Australia and Oceania'!G91+"n/&gt;!5e6"</f>
        <v>#VALUE!</v>
      </c>
      <c r="GG454" t="e">
        <f>'Australia and Oceania'!H91+"n/&gt;!5e7"</f>
        <v>#VALUE!</v>
      </c>
      <c r="GH454" t="e">
        <f>'Australia and Oceania'!I91+"n/&gt;!5e8"</f>
        <v>#VALUE!</v>
      </c>
      <c r="GI454" t="e">
        <f>'Australia and Oceania'!A92+"n/&gt;!5e9"</f>
        <v>#VALUE!</v>
      </c>
      <c r="GJ454" t="e">
        <f>'Australia and Oceania'!B92+"n/&gt;!5e:"</f>
        <v>#VALUE!</v>
      </c>
      <c r="GK454" t="e">
        <f>'Australia and Oceania'!C92+"n/&gt;!5e;"</f>
        <v>#VALUE!</v>
      </c>
      <c r="GL454" t="e">
        <f>'Australia and Oceania'!D92+"n/&gt;!5e&lt;"</f>
        <v>#VALUE!</v>
      </c>
      <c r="GM454" t="e">
        <f>'Australia and Oceania'!E92+"n/&gt;!5e="</f>
        <v>#VALUE!</v>
      </c>
      <c r="GN454" t="e">
        <f>'Australia and Oceania'!F92+"n/&gt;!5e&gt;"</f>
        <v>#VALUE!</v>
      </c>
      <c r="GO454" t="e">
        <f>'Australia and Oceania'!G92+"n/&gt;!5e?"</f>
        <v>#VALUE!</v>
      </c>
      <c r="GP454" t="e">
        <f>'Australia and Oceania'!H92+"n/&gt;!5e@"</f>
        <v>#VALUE!</v>
      </c>
      <c r="GQ454" t="e">
        <f>'Australia and Oceania'!I92+"n/&gt;!5eA"</f>
        <v>#VALUE!</v>
      </c>
      <c r="GR454" t="e">
        <f>'Australia and Oceania'!A93+"n/&gt;!5eB"</f>
        <v>#VALUE!</v>
      </c>
      <c r="GS454" t="e">
        <f>'Australia and Oceania'!B93+"n/&gt;!5eC"</f>
        <v>#VALUE!</v>
      </c>
      <c r="GT454" t="e">
        <f>'Australia and Oceania'!C93+"n/&gt;!5eD"</f>
        <v>#VALUE!</v>
      </c>
      <c r="GU454" t="e">
        <f>'Australia and Oceania'!D93+"n/&gt;!5eE"</f>
        <v>#VALUE!</v>
      </c>
      <c r="GV454" t="e">
        <f>'Australia and Oceania'!E93+"n/&gt;!5eF"</f>
        <v>#VALUE!</v>
      </c>
      <c r="GW454" t="e">
        <f>'Australia and Oceania'!F93+"n/&gt;!5eG"</f>
        <v>#VALUE!</v>
      </c>
      <c r="GX454" t="e">
        <f>'Australia and Oceania'!G93+"n/&gt;!5eH"</f>
        <v>#VALUE!</v>
      </c>
      <c r="GY454" t="e">
        <f>'Australia and Oceania'!H93+"n/&gt;!5eI"</f>
        <v>#VALUE!</v>
      </c>
      <c r="GZ454" t="e">
        <f>'Australia and Oceania'!I93+"n/&gt;!5eJ"</f>
        <v>#VALUE!</v>
      </c>
      <c r="HA454" t="e">
        <f>'Australia and Oceania'!A94+"n/&gt;!5eK"</f>
        <v>#VALUE!</v>
      </c>
      <c r="HB454" t="e">
        <f>'Australia and Oceania'!B94+"n/&gt;!5eL"</f>
        <v>#VALUE!</v>
      </c>
      <c r="HC454" t="e">
        <f>'Australia and Oceania'!C94+"n/&gt;!5eM"</f>
        <v>#VALUE!</v>
      </c>
      <c r="HD454" t="e">
        <f>'Australia and Oceania'!D94+"n/&gt;!5eN"</f>
        <v>#VALUE!</v>
      </c>
      <c r="HE454" t="e">
        <f>'Australia and Oceania'!E94+"n/&gt;!5eO"</f>
        <v>#VALUE!</v>
      </c>
      <c r="HF454" t="e">
        <f>'Australia and Oceania'!F94+"n/&gt;!5eP"</f>
        <v>#VALUE!</v>
      </c>
      <c r="HG454" t="e">
        <f>'Australia and Oceania'!G94+"n/&gt;!5eQ"</f>
        <v>#VALUE!</v>
      </c>
      <c r="HH454" t="e">
        <f>'Australia and Oceania'!H94+"n/&gt;!5eR"</f>
        <v>#VALUE!</v>
      </c>
      <c r="HI454" t="e">
        <f>'Australia and Oceania'!I94+"n/&gt;!5eS"</f>
        <v>#VALUE!</v>
      </c>
      <c r="HJ454" t="e">
        <f>'Australia and Oceania'!A95+"n/&gt;!5eT"</f>
        <v>#VALUE!</v>
      </c>
      <c r="HK454" t="e">
        <f>'Australia and Oceania'!B95+"n/&gt;!5eU"</f>
        <v>#VALUE!</v>
      </c>
      <c r="HL454" t="e">
        <f>'Australia and Oceania'!C95+"n/&gt;!5eV"</f>
        <v>#VALUE!</v>
      </c>
      <c r="HM454" t="e">
        <f>'Australia and Oceania'!D95+"n/&gt;!5eW"</f>
        <v>#VALUE!</v>
      </c>
      <c r="HN454" t="e">
        <f>'Australia and Oceania'!E95+"n/&gt;!5eX"</f>
        <v>#VALUE!</v>
      </c>
      <c r="HO454" t="e">
        <f>'Australia and Oceania'!F95+"n/&gt;!5eY"</f>
        <v>#VALUE!</v>
      </c>
      <c r="HP454" t="e">
        <f>'Australia and Oceania'!G95+"n/&gt;!5eZ"</f>
        <v>#VALUE!</v>
      </c>
      <c r="HQ454" t="e">
        <f>'Australia and Oceania'!H95+"n/&gt;!5e["</f>
        <v>#VALUE!</v>
      </c>
      <c r="HR454" t="e">
        <f>'Australia and Oceania'!I95+"n/&gt;!5e\"</f>
        <v>#VALUE!</v>
      </c>
      <c r="HS454" t="e">
        <f>'Australia and Oceania'!A96+"n/&gt;!5e]"</f>
        <v>#VALUE!</v>
      </c>
      <c r="HT454" t="e">
        <f>'Australia and Oceania'!B96+"n/&gt;!5e^"</f>
        <v>#VALUE!</v>
      </c>
      <c r="HU454" t="e">
        <f>'Australia and Oceania'!C96+"n/&gt;!5e_"</f>
        <v>#VALUE!</v>
      </c>
      <c r="HV454" t="e">
        <f>'Australia and Oceania'!D96+"n/&gt;!5e`"</f>
        <v>#VALUE!</v>
      </c>
      <c r="HW454" t="e">
        <f>'Australia and Oceania'!E96+"n/&gt;!5ea"</f>
        <v>#VALUE!</v>
      </c>
      <c r="HX454" t="e">
        <f>'Australia and Oceania'!F96+"n/&gt;!5eb"</f>
        <v>#VALUE!</v>
      </c>
      <c r="HY454" t="e">
        <f>'Australia and Oceania'!G96+"n/&gt;!5ec"</f>
        <v>#VALUE!</v>
      </c>
      <c r="HZ454" t="e">
        <f>'Australia and Oceania'!H96+"n/&gt;!5ed"</f>
        <v>#VALUE!</v>
      </c>
      <c r="IA454" t="e">
        <f>'Australia and Oceania'!I96+"n/&gt;!5ee"</f>
        <v>#VALUE!</v>
      </c>
      <c r="IB454" t="e">
        <f>'Australia and Oceania'!A97+"n/&gt;!5ef"</f>
        <v>#VALUE!</v>
      </c>
      <c r="IC454" t="e">
        <f>'Australia and Oceania'!B97+"n/&gt;!5eg"</f>
        <v>#VALUE!</v>
      </c>
      <c r="ID454" t="e">
        <f>'Australia and Oceania'!C97+"n/&gt;!5eh"</f>
        <v>#VALUE!</v>
      </c>
      <c r="IE454" t="e">
        <f>'Australia and Oceania'!D97+"n/&gt;!5ei"</f>
        <v>#VALUE!</v>
      </c>
      <c r="IF454" t="e">
        <f>'Australia and Oceania'!E97+"n/&gt;!5ej"</f>
        <v>#VALUE!</v>
      </c>
      <c r="IG454" t="e">
        <f>'Australia and Oceania'!F97+"n/&gt;!5ek"</f>
        <v>#VALUE!</v>
      </c>
      <c r="IH454" t="e">
        <f>'Australia and Oceania'!G97+"n/&gt;!5el"</f>
        <v>#VALUE!</v>
      </c>
      <c r="II454" t="e">
        <f>'Australia and Oceania'!H97+"n/&gt;!5em"</f>
        <v>#VALUE!</v>
      </c>
      <c r="IJ454" t="e">
        <f>'Australia and Oceania'!I97+"n/&gt;!5en"</f>
        <v>#VALUE!</v>
      </c>
      <c r="IK454" t="e">
        <f>'Australia and Oceania'!A98+"n/&gt;!5eo"</f>
        <v>#VALUE!</v>
      </c>
      <c r="IL454" t="e">
        <f>'Australia and Oceania'!B98+"n/&gt;!5ep"</f>
        <v>#VALUE!</v>
      </c>
      <c r="IM454" t="e">
        <f>'Australia and Oceania'!C98+"n/&gt;!5eq"</f>
        <v>#VALUE!</v>
      </c>
      <c r="IN454" t="e">
        <f>'Australia and Oceania'!D98+"n/&gt;!5er"</f>
        <v>#VALUE!</v>
      </c>
      <c r="IO454" t="e">
        <f>'Australia and Oceania'!E98+"n/&gt;!5es"</f>
        <v>#VALUE!</v>
      </c>
      <c r="IP454" t="e">
        <f>'Australia and Oceania'!F98+"n/&gt;!5et"</f>
        <v>#VALUE!</v>
      </c>
      <c r="IQ454" t="e">
        <f>'Australia and Oceania'!G98+"n/&gt;!5eu"</f>
        <v>#VALUE!</v>
      </c>
      <c r="IR454" t="e">
        <f>'Australia and Oceania'!H98+"n/&gt;!5ev"</f>
        <v>#VALUE!</v>
      </c>
      <c r="IS454" t="e">
        <f>'Australia and Oceania'!I98+"n/&gt;!5ew"</f>
        <v>#VALUE!</v>
      </c>
      <c r="IT454" t="e">
        <f>'Australia and Oceania'!A99+"n/&gt;!5ex"</f>
        <v>#VALUE!</v>
      </c>
      <c r="IU454" t="e">
        <f>'Australia and Oceania'!B99+"n/&gt;!5ey"</f>
        <v>#VALUE!</v>
      </c>
      <c r="IV454" t="e">
        <f>'Australia and Oceania'!C99+"n/&gt;!5ez"</f>
        <v>#VALUE!</v>
      </c>
    </row>
    <row r="455" spans="6:256" x14ac:dyDescent="0.35">
      <c r="F455" t="e">
        <f>'Australia and Oceania'!D99+"n/&gt;!5e{"</f>
        <v>#VALUE!</v>
      </c>
      <c r="G455" t="e">
        <f>'Australia and Oceania'!E99+"n/&gt;!5e|"</f>
        <v>#VALUE!</v>
      </c>
      <c r="H455" t="e">
        <f>'Australia and Oceania'!F99+"n/&gt;!5e}"</f>
        <v>#VALUE!</v>
      </c>
      <c r="I455" t="e">
        <f>'Australia and Oceania'!G99+"n/&gt;!5e~"</f>
        <v>#VALUE!</v>
      </c>
      <c r="J455" t="e">
        <f>'Australia and Oceania'!H99+"n/&gt;!5f#"</f>
        <v>#VALUE!</v>
      </c>
      <c r="K455" t="e">
        <f>'Australia and Oceania'!I99+"n/&gt;!5f$"</f>
        <v>#VALUE!</v>
      </c>
      <c r="L455" t="e">
        <f>'Australia and Oceania'!A100+"n/&gt;!5f%"</f>
        <v>#VALUE!</v>
      </c>
      <c r="M455" t="e">
        <f>'Australia and Oceania'!B100+"n/&gt;!5f&amp;"</f>
        <v>#VALUE!</v>
      </c>
      <c r="N455" t="e">
        <f>'Australia and Oceania'!C100+"n/&gt;!5f'"</f>
        <v>#VALUE!</v>
      </c>
      <c r="O455" t="e">
        <f>'Australia and Oceania'!D100+"n/&gt;!5f("</f>
        <v>#VALUE!</v>
      </c>
      <c r="P455" t="e">
        <f>'Australia and Oceania'!E100+"n/&gt;!5f)"</f>
        <v>#VALUE!</v>
      </c>
      <c r="Q455" t="e">
        <f>'Australia and Oceania'!F100+"n/&gt;!5f."</f>
        <v>#VALUE!</v>
      </c>
      <c r="R455" t="e">
        <f>'Australia and Oceania'!G100+"n/&gt;!5f/"</f>
        <v>#VALUE!</v>
      </c>
      <c r="S455" t="e">
        <f>'Australia and Oceania'!H100+"n/&gt;!5f0"</f>
        <v>#VALUE!</v>
      </c>
      <c r="T455" t="e">
        <f>'Australia and Oceania'!I100+"n/&gt;!5f1"</f>
        <v>#VALUE!</v>
      </c>
      <c r="U455" t="e">
        <f>'Australia and Oceania'!A101+"n/&gt;!5f2"</f>
        <v>#VALUE!</v>
      </c>
      <c r="V455" t="e">
        <f>'Australia and Oceania'!B101+"n/&gt;!5f3"</f>
        <v>#VALUE!</v>
      </c>
      <c r="W455" t="e">
        <f>'Australia and Oceania'!C101+"n/&gt;!5f4"</f>
        <v>#VALUE!</v>
      </c>
      <c r="X455" t="e">
        <f>'Australia and Oceania'!D101+"n/&gt;!5f5"</f>
        <v>#VALUE!</v>
      </c>
      <c r="Y455" t="e">
        <f>'Australia and Oceania'!E101+"n/&gt;!5f6"</f>
        <v>#VALUE!</v>
      </c>
      <c r="Z455" t="e">
        <f>'Australia and Oceania'!F101+"n/&gt;!5f7"</f>
        <v>#VALUE!</v>
      </c>
      <c r="AA455" t="e">
        <f>'Australia and Oceania'!G101+"n/&gt;!5f8"</f>
        <v>#VALUE!</v>
      </c>
      <c r="AB455" t="e">
        <f>'Australia and Oceania'!H101+"n/&gt;!5f9"</f>
        <v>#VALUE!</v>
      </c>
      <c r="AC455" t="e">
        <f>'Australia and Oceania'!I101+"n/&gt;!5f:"</f>
        <v>#VALUE!</v>
      </c>
      <c r="AD455" t="e">
        <f>'Australia and Oceania'!A102+"n/&gt;!5f;"</f>
        <v>#VALUE!</v>
      </c>
      <c r="AE455" t="e">
        <f>'Australia and Oceania'!B102+"n/&gt;!5f&lt;"</f>
        <v>#VALUE!</v>
      </c>
      <c r="AF455" t="e">
        <f>'Australia and Oceania'!C102+"n/&gt;!5f="</f>
        <v>#VALUE!</v>
      </c>
      <c r="AG455" t="e">
        <f>'Australia and Oceania'!D102+"n/&gt;!5f&gt;"</f>
        <v>#VALUE!</v>
      </c>
      <c r="AH455" t="e">
        <f>'Australia and Oceania'!E102+"n/&gt;!5f?"</f>
        <v>#VALUE!</v>
      </c>
      <c r="AI455" t="e">
        <f>'Australia and Oceania'!F102+"n/&gt;!5f@"</f>
        <v>#VALUE!</v>
      </c>
      <c r="AJ455" t="e">
        <f>'Australia and Oceania'!G102+"n/&gt;!5fA"</f>
        <v>#VALUE!</v>
      </c>
      <c r="AK455" t="e">
        <f>'Australia and Oceania'!H102+"n/&gt;!5fB"</f>
        <v>#VALUE!</v>
      </c>
      <c r="AL455" t="e">
        <f>'Australia and Oceania'!I102+"n/&gt;!5fC"</f>
        <v>#VALUE!</v>
      </c>
      <c r="AM455" t="e">
        <f>'Australia and Oceania'!A103+"n/&gt;!5fD"</f>
        <v>#VALUE!</v>
      </c>
      <c r="AN455" t="e">
        <f>'Australia and Oceania'!B103+"n/&gt;!5fE"</f>
        <v>#VALUE!</v>
      </c>
      <c r="AO455" t="e">
        <f>'Australia and Oceania'!C103+"n/&gt;!5fF"</f>
        <v>#VALUE!</v>
      </c>
      <c r="AP455" t="e">
        <f>'Australia and Oceania'!D103+"n/&gt;!5fG"</f>
        <v>#VALUE!</v>
      </c>
      <c r="AQ455" t="e">
        <f>'Australia and Oceania'!E103+"n/&gt;!5fH"</f>
        <v>#VALUE!</v>
      </c>
      <c r="AR455" t="e">
        <f>'Australia and Oceania'!F103+"n/&gt;!5fI"</f>
        <v>#VALUE!</v>
      </c>
      <c r="AS455" t="e">
        <f>'Australia and Oceania'!G103+"n/&gt;!5fJ"</f>
        <v>#VALUE!</v>
      </c>
      <c r="AT455" t="e">
        <f>'Australia and Oceania'!H103+"n/&gt;!5fK"</f>
        <v>#VALUE!</v>
      </c>
      <c r="AU455" t="e">
        <f>'Australia and Oceania'!I103+"n/&gt;!5fL"</f>
        <v>#VALUE!</v>
      </c>
      <c r="AV455" t="e">
        <f>'Australia and Oceania'!A104+"n/&gt;!5fM"</f>
        <v>#VALUE!</v>
      </c>
      <c r="AW455" t="e">
        <f>'Australia and Oceania'!B104+"n/&gt;!5fN"</f>
        <v>#VALUE!</v>
      </c>
      <c r="AX455" t="e">
        <f>'Australia and Oceania'!C104+"n/&gt;!5fO"</f>
        <v>#VALUE!</v>
      </c>
      <c r="AY455" t="e">
        <f>'Australia and Oceania'!D104+"n/&gt;!5fP"</f>
        <v>#VALUE!</v>
      </c>
      <c r="AZ455" t="e">
        <f>'Australia and Oceania'!E104+"n/&gt;!5fQ"</f>
        <v>#VALUE!</v>
      </c>
      <c r="BA455" t="e">
        <f>'Australia and Oceania'!F104+"n/&gt;!5fR"</f>
        <v>#VALUE!</v>
      </c>
      <c r="BB455" t="e">
        <f>'Australia and Oceania'!G104+"n/&gt;!5fS"</f>
        <v>#VALUE!</v>
      </c>
      <c r="BC455" t="e">
        <f>'Australia and Oceania'!H104+"n/&gt;!5fT"</f>
        <v>#VALUE!</v>
      </c>
      <c r="BD455" t="e">
        <f>'Australia and Oceania'!I104+"n/&gt;!5fU"</f>
        <v>#VALUE!</v>
      </c>
      <c r="BE455" t="e">
        <f>'Australia and Oceania'!A105+"n/&gt;!5fV"</f>
        <v>#VALUE!</v>
      </c>
      <c r="BF455" t="e">
        <f>'Australia and Oceania'!B105+"n/&gt;!5fW"</f>
        <v>#VALUE!</v>
      </c>
      <c r="BG455" t="e">
        <f>'Australia and Oceania'!C105+"n/&gt;!5fX"</f>
        <v>#VALUE!</v>
      </c>
      <c r="BH455" t="e">
        <f>'Australia and Oceania'!D105+"n/&gt;!5fY"</f>
        <v>#VALUE!</v>
      </c>
      <c r="BI455" t="e">
        <f>'Australia and Oceania'!E105+"n/&gt;!5fZ"</f>
        <v>#VALUE!</v>
      </c>
      <c r="BJ455" t="e">
        <f>'Australia and Oceania'!F105+"n/&gt;!5f["</f>
        <v>#VALUE!</v>
      </c>
      <c r="BK455" t="e">
        <f>'Australia and Oceania'!G105+"n/&gt;!5f\"</f>
        <v>#VALUE!</v>
      </c>
      <c r="BL455" t="e">
        <f>'Australia and Oceania'!H105+"n/&gt;!5f]"</f>
        <v>#VALUE!</v>
      </c>
      <c r="BM455" t="e">
        <f>'Australia and Oceania'!I105+"n/&gt;!5f^"</f>
        <v>#VALUE!</v>
      </c>
      <c r="BN455" t="e">
        <f>'Australia and Oceania'!A106+"n/&gt;!5f_"</f>
        <v>#VALUE!</v>
      </c>
      <c r="BO455" t="e">
        <f>'Australia and Oceania'!B106+"n/&gt;!5f`"</f>
        <v>#VALUE!</v>
      </c>
      <c r="BP455" t="e">
        <f>'Australia and Oceania'!C106+"n/&gt;!5fa"</f>
        <v>#VALUE!</v>
      </c>
      <c r="BQ455" t="e">
        <f>'Australia and Oceania'!D106+"n/&gt;!5fb"</f>
        <v>#VALUE!</v>
      </c>
      <c r="BR455" t="e">
        <f>'Australia and Oceania'!E106+"n/&gt;!5fc"</f>
        <v>#VALUE!</v>
      </c>
      <c r="BS455" t="e">
        <f>'Australia and Oceania'!F106+"n/&gt;!5fd"</f>
        <v>#VALUE!</v>
      </c>
      <c r="BT455" t="e">
        <f>'Australia and Oceania'!G106+"n/&gt;!5fe"</f>
        <v>#VALUE!</v>
      </c>
      <c r="BU455" t="e">
        <f>'Australia and Oceania'!H106+"n/&gt;!5ff"</f>
        <v>#VALUE!</v>
      </c>
      <c r="BV455" t="e">
        <f>'Australia and Oceania'!I106+"n/&gt;!5fg"</f>
        <v>#VALUE!</v>
      </c>
      <c r="BW455" t="e">
        <f>'Australia and Oceania'!A107+"n/&gt;!5fh"</f>
        <v>#VALUE!</v>
      </c>
      <c r="BX455" t="e">
        <f>'Australia and Oceania'!B107+"n/&gt;!5fi"</f>
        <v>#VALUE!</v>
      </c>
      <c r="BY455" t="e">
        <f>'Australia and Oceania'!C107+"n/&gt;!5fj"</f>
        <v>#VALUE!</v>
      </c>
      <c r="BZ455" t="e">
        <f>'Australia and Oceania'!D107+"n/&gt;!5fk"</f>
        <v>#VALUE!</v>
      </c>
      <c r="CA455" t="e">
        <f>'Australia and Oceania'!E107+"n/&gt;!5fl"</f>
        <v>#VALUE!</v>
      </c>
      <c r="CB455" t="e">
        <f>'Australia and Oceania'!F107+"n/&gt;!5fm"</f>
        <v>#VALUE!</v>
      </c>
      <c r="CC455" t="e">
        <f>'Australia and Oceania'!G107+"n/&gt;!5fn"</f>
        <v>#VALUE!</v>
      </c>
      <c r="CD455" t="e">
        <f>'Australia and Oceania'!H107+"n/&gt;!5fo"</f>
        <v>#VALUE!</v>
      </c>
      <c r="CE455" t="e">
        <f>'Australia and Oceania'!I107+"n/&gt;!5fp"</f>
        <v>#VALUE!</v>
      </c>
      <c r="CF455" t="e">
        <f>'Australia and Oceania'!A108+"n/&gt;!5fq"</f>
        <v>#VALUE!</v>
      </c>
      <c r="CG455" t="e">
        <f>'Australia and Oceania'!B108+"n/&gt;!5fr"</f>
        <v>#VALUE!</v>
      </c>
      <c r="CH455" t="e">
        <f>'Australia and Oceania'!C108+"n/&gt;!5fs"</f>
        <v>#VALUE!</v>
      </c>
      <c r="CI455" t="e">
        <f>'Australia and Oceania'!D108+"n/&gt;!5ft"</f>
        <v>#VALUE!</v>
      </c>
      <c r="CJ455" t="e">
        <f>'Australia and Oceania'!E108+"n/&gt;!5fu"</f>
        <v>#VALUE!</v>
      </c>
      <c r="CK455" t="e">
        <f>'Australia and Oceania'!F108+"n/&gt;!5fv"</f>
        <v>#VALUE!</v>
      </c>
      <c r="CL455" t="e">
        <f>'Australia and Oceania'!G108+"n/&gt;!5fw"</f>
        <v>#VALUE!</v>
      </c>
      <c r="CM455" t="e">
        <f>'Australia and Oceania'!H108+"n/&gt;!5fx"</f>
        <v>#VALUE!</v>
      </c>
      <c r="CN455" t="e">
        <f>'Australia and Oceania'!I108+"n/&gt;!5fy"</f>
        <v>#VALUE!</v>
      </c>
      <c r="CO455" t="e">
        <f>'Australia and Oceania'!A109+"n/&gt;!5fz"</f>
        <v>#VALUE!</v>
      </c>
      <c r="CP455" t="e">
        <f>'Australia and Oceania'!B109+"n/&gt;!5f{"</f>
        <v>#VALUE!</v>
      </c>
      <c r="CQ455" t="e">
        <f>'Australia and Oceania'!C109+"n/&gt;!5f|"</f>
        <v>#VALUE!</v>
      </c>
      <c r="CR455" t="e">
        <f>'Australia and Oceania'!D109+"n/&gt;!5f}"</f>
        <v>#VALUE!</v>
      </c>
      <c r="CS455" t="e">
        <f>'Australia and Oceania'!E109+"n/&gt;!5f~"</f>
        <v>#VALUE!</v>
      </c>
      <c r="CT455" t="e">
        <f>'Australia and Oceania'!F109+"n/&gt;!5g#"</f>
        <v>#VALUE!</v>
      </c>
      <c r="CU455" t="e">
        <f>'Australia and Oceania'!G109+"n/&gt;!5g$"</f>
        <v>#VALUE!</v>
      </c>
      <c r="CV455" t="e">
        <f>'Australia and Oceania'!H109+"n/&gt;!5g%"</f>
        <v>#VALUE!</v>
      </c>
      <c r="CW455" t="e">
        <f>'Australia and Oceania'!I109+"n/&gt;!5g&amp;"</f>
        <v>#VALUE!</v>
      </c>
      <c r="CX455" t="e">
        <f>'Australia and Oceania'!A110+"n/&gt;!5g'"</f>
        <v>#VALUE!</v>
      </c>
      <c r="CY455" t="e">
        <f>'Australia and Oceania'!B110+"n/&gt;!5g("</f>
        <v>#VALUE!</v>
      </c>
      <c r="CZ455" t="e">
        <f>'Australia and Oceania'!C110+"n/&gt;!5g)"</f>
        <v>#VALUE!</v>
      </c>
      <c r="DA455" t="e">
        <f>'Australia and Oceania'!D110+"n/&gt;!5g."</f>
        <v>#VALUE!</v>
      </c>
      <c r="DB455" t="e">
        <f>'Australia and Oceania'!E110+"n/&gt;!5g/"</f>
        <v>#VALUE!</v>
      </c>
      <c r="DC455" t="e">
        <f>'Australia and Oceania'!F110+"n/&gt;!5g0"</f>
        <v>#VALUE!</v>
      </c>
      <c r="DD455" t="e">
        <f>'Australia and Oceania'!G110+"n/&gt;!5g1"</f>
        <v>#VALUE!</v>
      </c>
      <c r="DE455" t="e">
        <f>'Australia and Oceania'!H110+"n/&gt;!5g2"</f>
        <v>#VALUE!</v>
      </c>
      <c r="DF455" t="e">
        <f>'Australia and Oceania'!I110+"n/&gt;!5g3"</f>
        <v>#VALUE!</v>
      </c>
      <c r="DG455" t="e">
        <f>'Australia and Oceania'!A111+"n/&gt;!5g4"</f>
        <v>#VALUE!</v>
      </c>
      <c r="DH455" t="e">
        <f>'Australia and Oceania'!B111+"n/&gt;!5g5"</f>
        <v>#VALUE!</v>
      </c>
      <c r="DI455" t="e">
        <f>'Australia and Oceania'!C111+"n/&gt;!5g6"</f>
        <v>#VALUE!</v>
      </c>
      <c r="DJ455" t="e">
        <f>'Australia and Oceania'!D111+"n/&gt;!5g7"</f>
        <v>#VALUE!</v>
      </c>
      <c r="DK455" t="e">
        <f>'Australia and Oceania'!E111+"n/&gt;!5g8"</f>
        <v>#VALUE!</v>
      </c>
      <c r="DL455" t="e">
        <f>'Australia and Oceania'!F111+"n/&gt;!5g9"</f>
        <v>#VALUE!</v>
      </c>
      <c r="DM455" t="e">
        <f>'Australia and Oceania'!G111+"n/&gt;!5g:"</f>
        <v>#VALUE!</v>
      </c>
      <c r="DN455" t="e">
        <f>'Australia and Oceania'!H111+"n/&gt;!5g;"</f>
        <v>#VALUE!</v>
      </c>
      <c r="DO455" t="e">
        <f>'Australia and Oceania'!I111+"n/&gt;!5g&lt;"</f>
        <v>#VALUE!</v>
      </c>
      <c r="DP455" t="e">
        <f>'Australia and Oceania'!A112+"n/&gt;!5g="</f>
        <v>#VALUE!</v>
      </c>
      <c r="DQ455" t="e">
        <f>'Australia and Oceania'!B112+"n/&gt;!5g&gt;"</f>
        <v>#VALUE!</v>
      </c>
      <c r="DR455" t="e">
        <f>'Australia and Oceania'!C112+"n/&gt;!5g?"</f>
        <v>#VALUE!</v>
      </c>
      <c r="DS455" t="e">
        <f>'Australia and Oceania'!D112+"n/&gt;!5g@"</f>
        <v>#VALUE!</v>
      </c>
      <c r="DT455" t="e">
        <f>'Australia and Oceania'!E112+"n/&gt;!5gA"</f>
        <v>#VALUE!</v>
      </c>
      <c r="DU455" t="e">
        <f>'Australia and Oceania'!F112+"n/&gt;!5gB"</f>
        <v>#VALUE!</v>
      </c>
      <c r="DV455" t="e">
        <f>'Australia and Oceania'!G112+"n/&gt;!5gC"</f>
        <v>#VALUE!</v>
      </c>
      <c r="DW455" t="e">
        <f>'Australia and Oceania'!H112+"n/&gt;!5gD"</f>
        <v>#VALUE!</v>
      </c>
      <c r="DX455" t="e">
        <f>'Australia and Oceania'!I112+"n/&gt;!5gE"</f>
        <v>#VALUE!</v>
      </c>
      <c r="DY455" t="e">
        <f>'Australia and Oceania'!A113+"n/&gt;!5gF"</f>
        <v>#VALUE!</v>
      </c>
      <c r="DZ455" t="e">
        <f>'Australia and Oceania'!B113+"n/&gt;!5gG"</f>
        <v>#VALUE!</v>
      </c>
      <c r="EA455" t="e">
        <f>'Australia and Oceania'!C113+"n/&gt;!5gH"</f>
        <v>#VALUE!</v>
      </c>
      <c r="EB455" t="e">
        <f>'Australia and Oceania'!D113+"n/&gt;!5gI"</f>
        <v>#VALUE!</v>
      </c>
      <c r="EC455" t="e">
        <f>'Australia and Oceania'!E113+"n/&gt;!5gJ"</f>
        <v>#VALUE!</v>
      </c>
      <c r="ED455" t="e">
        <f>'Australia and Oceania'!F113+"n/&gt;!5gK"</f>
        <v>#VALUE!</v>
      </c>
      <c r="EE455" t="e">
        <f>'Australia and Oceania'!G113+"n/&gt;!5gL"</f>
        <v>#VALUE!</v>
      </c>
      <c r="EF455" t="e">
        <f>'Australia and Oceania'!H113+"n/&gt;!5gM"</f>
        <v>#VALUE!</v>
      </c>
      <c r="EG455" t="e">
        <f>'Australia and Oceania'!I113+"n/&gt;!5gN"</f>
        <v>#VALUE!</v>
      </c>
      <c r="EH455" t="e">
        <f>'Australia and Oceania'!A114+"n/&gt;!5gO"</f>
        <v>#VALUE!</v>
      </c>
      <c r="EI455" t="e">
        <f>'Australia and Oceania'!B114+"n/&gt;!5gP"</f>
        <v>#VALUE!</v>
      </c>
      <c r="EJ455" t="e">
        <f>'Australia and Oceania'!C114+"n/&gt;!5gQ"</f>
        <v>#VALUE!</v>
      </c>
      <c r="EK455" t="e">
        <f>'Australia and Oceania'!D114+"n/&gt;!5gR"</f>
        <v>#VALUE!</v>
      </c>
      <c r="EL455" t="e">
        <f>'Australia and Oceania'!E114+"n/&gt;!5gS"</f>
        <v>#VALUE!</v>
      </c>
      <c r="EM455" t="e">
        <f>'Australia and Oceania'!F114+"n/&gt;!5gT"</f>
        <v>#VALUE!</v>
      </c>
      <c r="EN455" t="e">
        <f>'Australia and Oceania'!G114+"n/&gt;!5gU"</f>
        <v>#VALUE!</v>
      </c>
      <c r="EO455" t="e">
        <f>'Australia and Oceania'!H114+"n/&gt;!5gV"</f>
        <v>#VALUE!</v>
      </c>
      <c r="EP455" t="e">
        <f>'Australia and Oceania'!I114+"n/&gt;!5gW"</f>
        <v>#VALUE!</v>
      </c>
      <c r="EQ455" t="e">
        <f>'Australia and Oceania'!A115+"n/&gt;!5gX"</f>
        <v>#VALUE!</v>
      </c>
      <c r="ER455" t="e">
        <f>'Australia and Oceania'!B115+"n/&gt;!5gY"</f>
        <v>#VALUE!</v>
      </c>
      <c r="ES455" t="e">
        <f>'Australia and Oceania'!C115+"n/&gt;!5gZ"</f>
        <v>#VALUE!</v>
      </c>
      <c r="ET455" t="e">
        <f>'Australia and Oceania'!D115+"n/&gt;!5g["</f>
        <v>#VALUE!</v>
      </c>
      <c r="EU455" t="e">
        <f>'Australia and Oceania'!E115+"n/&gt;!5g\"</f>
        <v>#VALUE!</v>
      </c>
      <c r="EV455" t="e">
        <f>'Australia and Oceania'!F115+"n/&gt;!5g]"</f>
        <v>#VALUE!</v>
      </c>
      <c r="EW455" t="e">
        <f>'Australia and Oceania'!G115+"n/&gt;!5g^"</f>
        <v>#VALUE!</v>
      </c>
      <c r="EX455" t="e">
        <f>'Australia and Oceania'!H115+"n/&gt;!5g_"</f>
        <v>#VALUE!</v>
      </c>
      <c r="EY455" t="e">
        <f>'Australia and Oceania'!I115+"n/&gt;!5g`"</f>
        <v>#VALUE!</v>
      </c>
      <c r="EZ455" t="e">
        <f>'Australia and Oceania'!A116+"n/&gt;!5ga"</f>
        <v>#VALUE!</v>
      </c>
      <c r="FA455" t="e">
        <f>'Australia and Oceania'!B116+"n/&gt;!5gb"</f>
        <v>#VALUE!</v>
      </c>
      <c r="FB455" t="e">
        <f>'Australia and Oceania'!C116+"n/&gt;!5gc"</f>
        <v>#VALUE!</v>
      </c>
      <c r="FC455" t="e">
        <f>'Australia and Oceania'!D116+"n/&gt;!5gd"</f>
        <v>#VALUE!</v>
      </c>
      <c r="FD455" t="e">
        <f>'Australia and Oceania'!E116+"n/&gt;!5ge"</f>
        <v>#VALUE!</v>
      </c>
      <c r="FE455" t="e">
        <f>'Australia and Oceania'!F116+"n/&gt;!5gf"</f>
        <v>#VALUE!</v>
      </c>
      <c r="FF455" t="e">
        <f>'Australia and Oceania'!G116+"n/&gt;!5gg"</f>
        <v>#VALUE!</v>
      </c>
      <c r="FG455" t="e">
        <f>'Australia and Oceania'!H116+"n/&gt;!5gh"</f>
        <v>#VALUE!</v>
      </c>
      <c r="FH455" t="e">
        <f>'Australia and Oceania'!I116+"n/&gt;!5gi"</f>
        <v>#VALUE!</v>
      </c>
      <c r="FI455" t="e">
        <f>'Australia and Oceania'!A117+"n/&gt;!5gj"</f>
        <v>#VALUE!</v>
      </c>
      <c r="FJ455" t="e">
        <f>'Australia and Oceania'!B117+"n/&gt;!5gk"</f>
        <v>#VALUE!</v>
      </c>
      <c r="FK455" t="e">
        <f>'Australia and Oceania'!C117+"n/&gt;!5gl"</f>
        <v>#VALUE!</v>
      </c>
      <c r="FL455" t="e">
        <f>'Australia and Oceania'!D117+"n/&gt;!5gm"</f>
        <v>#VALUE!</v>
      </c>
      <c r="FM455" t="e">
        <f>'Australia and Oceania'!E117+"n/&gt;!5gn"</f>
        <v>#VALUE!</v>
      </c>
      <c r="FN455" t="e">
        <f>'Australia and Oceania'!F117+"n/&gt;!5go"</f>
        <v>#VALUE!</v>
      </c>
      <c r="FO455" t="e">
        <f>'Australia and Oceania'!G117+"n/&gt;!5gp"</f>
        <v>#VALUE!</v>
      </c>
      <c r="FP455" t="e">
        <f>'Australia and Oceania'!H117+"n/&gt;!5gq"</f>
        <v>#VALUE!</v>
      </c>
      <c r="FQ455" t="e">
        <f>'Australia and Oceania'!I117+"n/&gt;!5gr"</f>
        <v>#VALUE!</v>
      </c>
      <c r="FR455" t="e">
        <f>'Australia and Oceania'!A118+"n/&gt;!5gs"</f>
        <v>#VALUE!</v>
      </c>
      <c r="FS455" t="e">
        <f>'Australia and Oceania'!B118+"n/&gt;!5gt"</f>
        <v>#VALUE!</v>
      </c>
      <c r="FT455" t="e">
        <f>'Australia and Oceania'!C118+"n/&gt;!5gu"</f>
        <v>#VALUE!</v>
      </c>
      <c r="FU455" t="e">
        <f>'Australia and Oceania'!D118+"n/&gt;!5gv"</f>
        <v>#VALUE!</v>
      </c>
      <c r="FV455" t="e">
        <f>'Australia and Oceania'!E118+"n/&gt;!5gw"</f>
        <v>#VALUE!</v>
      </c>
      <c r="FW455" t="e">
        <f>'Australia and Oceania'!F118+"n/&gt;!5gx"</f>
        <v>#VALUE!</v>
      </c>
      <c r="FX455" t="e">
        <f>'Australia and Oceania'!G118+"n/&gt;!5gy"</f>
        <v>#VALUE!</v>
      </c>
      <c r="FY455" t="e">
        <f>'Australia and Oceania'!H118+"n/&gt;!5gz"</f>
        <v>#VALUE!</v>
      </c>
      <c r="FZ455" t="e">
        <f>'Australia and Oceania'!I118+"n/&gt;!5g{"</f>
        <v>#VALUE!</v>
      </c>
      <c r="GA455" t="e">
        <f>'Australia and Oceania'!A119+"n/&gt;!5g|"</f>
        <v>#VALUE!</v>
      </c>
      <c r="GB455" t="e">
        <f>'Australia and Oceania'!B119+"n/&gt;!5g}"</f>
        <v>#VALUE!</v>
      </c>
      <c r="GC455" t="e">
        <f>'Australia and Oceania'!C119+"n/&gt;!5g~"</f>
        <v>#VALUE!</v>
      </c>
      <c r="GD455" t="e">
        <f>'Australia and Oceania'!D119+"n/&gt;!5h#"</f>
        <v>#VALUE!</v>
      </c>
      <c r="GE455" t="e">
        <f>'Australia and Oceania'!E119+"n/&gt;!5h$"</f>
        <v>#VALUE!</v>
      </c>
      <c r="GF455" t="e">
        <f>'Australia and Oceania'!F119+"n/&gt;!5h%"</f>
        <v>#VALUE!</v>
      </c>
      <c r="GG455" t="e">
        <f>'Australia and Oceania'!G119+"n/&gt;!5h&amp;"</f>
        <v>#VALUE!</v>
      </c>
      <c r="GH455" t="e">
        <f>'Australia and Oceania'!H119+"n/&gt;!5h'"</f>
        <v>#VALUE!</v>
      </c>
      <c r="GI455" t="e">
        <f>'Australia and Oceania'!I119+"n/&gt;!5h("</f>
        <v>#VALUE!</v>
      </c>
      <c r="GJ455" t="e">
        <f>'Australia and Oceania'!A120+"n/&gt;!5h)"</f>
        <v>#VALUE!</v>
      </c>
      <c r="GK455" t="e">
        <f>'Australia and Oceania'!B120+"n/&gt;!5h."</f>
        <v>#VALUE!</v>
      </c>
      <c r="GL455" t="e">
        <f>'Australia and Oceania'!C120+"n/&gt;!5h/"</f>
        <v>#VALUE!</v>
      </c>
      <c r="GM455" t="e">
        <f>'Australia and Oceania'!D120+"n/&gt;!5h0"</f>
        <v>#VALUE!</v>
      </c>
      <c r="GN455" t="e">
        <f>'Australia and Oceania'!E120+"n/&gt;!5h1"</f>
        <v>#VALUE!</v>
      </c>
      <c r="GO455" t="e">
        <f>'Australia and Oceania'!F120+"n/&gt;!5h2"</f>
        <v>#VALUE!</v>
      </c>
      <c r="GP455" t="e">
        <f>'Australia and Oceania'!G120+"n/&gt;!5h3"</f>
        <v>#VALUE!</v>
      </c>
      <c r="GQ455" t="e">
        <f>'Australia and Oceania'!H120+"n/&gt;!5h4"</f>
        <v>#VALUE!</v>
      </c>
      <c r="GR455" t="e">
        <f>'Australia and Oceania'!I120+"n/&gt;!5h5"</f>
        <v>#VALUE!</v>
      </c>
      <c r="GS455" t="e">
        <f>'Australia and Oceania'!A121+"n/&gt;!5h6"</f>
        <v>#VALUE!</v>
      </c>
      <c r="GT455" t="e">
        <f>'Australia and Oceania'!B121+"n/&gt;!5h7"</f>
        <v>#VALUE!</v>
      </c>
      <c r="GU455" t="e">
        <f>'Australia and Oceania'!C121+"n/&gt;!5h8"</f>
        <v>#VALUE!</v>
      </c>
      <c r="GV455" t="e">
        <f>'Australia and Oceania'!D121+"n/&gt;!5h9"</f>
        <v>#VALUE!</v>
      </c>
      <c r="GW455" t="e">
        <f>'Australia and Oceania'!E121+"n/&gt;!5h:"</f>
        <v>#VALUE!</v>
      </c>
      <c r="GX455" t="e">
        <f>'Australia and Oceania'!F121+"n/&gt;!5h;"</f>
        <v>#VALUE!</v>
      </c>
      <c r="GY455" t="e">
        <f>'Australia and Oceania'!G121+"n/&gt;!5h&lt;"</f>
        <v>#VALUE!</v>
      </c>
      <c r="GZ455" t="e">
        <f>'Australia and Oceania'!H121+"n/&gt;!5h="</f>
        <v>#VALUE!</v>
      </c>
      <c r="HA455" t="e">
        <f>'Australia and Oceania'!I121+"n/&gt;!5h&gt;"</f>
        <v>#VALUE!</v>
      </c>
      <c r="HB455" t="e">
        <f>'Australia and Oceania'!A122+"n/&gt;!5h?"</f>
        <v>#VALUE!</v>
      </c>
      <c r="HC455" t="e">
        <f>'Australia and Oceania'!B122+"n/&gt;!5h@"</f>
        <v>#VALUE!</v>
      </c>
      <c r="HD455" t="e">
        <f>'Australia and Oceania'!C122+"n/&gt;!5hA"</f>
        <v>#VALUE!</v>
      </c>
      <c r="HE455" t="e">
        <f>'Australia and Oceania'!D122+"n/&gt;!5hB"</f>
        <v>#VALUE!</v>
      </c>
      <c r="HF455" t="e">
        <f>'Australia and Oceania'!E122+"n/&gt;!5hC"</f>
        <v>#VALUE!</v>
      </c>
      <c r="HG455" t="e">
        <f>'Australia and Oceania'!F122+"n/&gt;!5hD"</f>
        <v>#VALUE!</v>
      </c>
      <c r="HH455" t="e">
        <f>'Australia and Oceania'!G122+"n/&gt;!5hE"</f>
        <v>#VALUE!</v>
      </c>
      <c r="HI455" t="e">
        <f>'Australia and Oceania'!H122+"n/&gt;!5hF"</f>
        <v>#VALUE!</v>
      </c>
      <c r="HJ455" t="e">
        <f>'Australia and Oceania'!I122+"n/&gt;!5hG"</f>
        <v>#VALUE!</v>
      </c>
      <c r="HK455" t="e">
        <f>'Australia and Oceania'!A123+"n/&gt;!5hH"</f>
        <v>#VALUE!</v>
      </c>
      <c r="HL455" t="e">
        <f>'Australia and Oceania'!B123+"n/&gt;!5hI"</f>
        <v>#VALUE!</v>
      </c>
      <c r="HM455" t="e">
        <f>'Australia and Oceania'!C123+"n/&gt;!5hJ"</f>
        <v>#VALUE!</v>
      </c>
      <c r="HN455" t="e">
        <f>'Australia and Oceania'!D123+"n/&gt;!5hK"</f>
        <v>#VALUE!</v>
      </c>
      <c r="HO455" t="e">
        <f>'Australia and Oceania'!E123+"n/&gt;!5hL"</f>
        <v>#VALUE!</v>
      </c>
      <c r="HP455" t="e">
        <f>'Australia and Oceania'!F123+"n/&gt;!5hM"</f>
        <v>#VALUE!</v>
      </c>
      <c r="HQ455" t="e">
        <f>'Australia and Oceania'!G123+"n/&gt;!5hN"</f>
        <v>#VALUE!</v>
      </c>
      <c r="HR455" t="e">
        <f>'Australia and Oceania'!H123+"n/&gt;!5hO"</f>
        <v>#VALUE!</v>
      </c>
      <c r="HS455" t="e">
        <f>'Australia and Oceania'!I123+"n/&gt;!5hP"</f>
        <v>#VALUE!</v>
      </c>
      <c r="HT455" t="e">
        <f>'Australia and Oceania'!A124+"n/&gt;!5hQ"</f>
        <v>#VALUE!</v>
      </c>
      <c r="HU455" t="e">
        <f>'Australia and Oceania'!B124+"n/&gt;!5hR"</f>
        <v>#VALUE!</v>
      </c>
      <c r="HV455" t="e">
        <f>'Australia and Oceania'!C124+"n/&gt;!5hS"</f>
        <v>#VALUE!</v>
      </c>
      <c r="HW455" t="e">
        <f>'Australia and Oceania'!D124+"n/&gt;!5hT"</f>
        <v>#VALUE!</v>
      </c>
      <c r="HX455" t="e">
        <f>'Australia and Oceania'!E124+"n/&gt;!5hU"</f>
        <v>#VALUE!</v>
      </c>
      <c r="HY455" t="e">
        <f>'Australia and Oceania'!F124+"n/&gt;!5hV"</f>
        <v>#VALUE!</v>
      </c>
      <c r="HZ455" t="e">
        <f>'Australia and Oceania'!G124+"n/&gt;!5hW"</f>
        <v>#VALUE!</v>
      </c>
      <c r="IA455" t="e">
        <f>'Australia and Oceania'!H124+"n/&gt;!5hX"</f>
        <v>#VALUE!</v>
      </c>
      <c r="IB455" t="e">
        <f>'Australia and Oceania'!I124+"n/&gt;!5hY"</f>
        <v>#VALUE!</v>
      </c>
      <c r="IC455" t="e">
        <f>'Australia and Oceania'!A125+"n/&gt;!5hZ"</f>
        <v>#VALUE!</v>
      </c>
      <c r="ID455" t="e">
        <f>'Australia and Oceania'!B125+"n/&gt;!5h["</f>
        <v>#VALUE!</v>
      </c>
      <c r="IE455" t="e">
        <f>'Australia and Oceania'!C125+"n/&gt;!5h\"</f>
        <v>#VALUE!</v>
      </c>
      <c r="IF455" t="e">
        <f>'Australia and Oceania'!D125+"n/&gt;!5h]"</f>
        <v>#VALUE!</v>
      </c>
      <c r="IG455" t="e">
        <f>'Australia and Oceania'!E125+"n/&gt;!5h^"</f>
        <v>#VALUE!</v>
      </c>
      <c r="IH455" t="e">
        <f>'Australia and Oceania'!F125+"n/&gt;!5h_"</f>
        <v>#VALUE!</v>
      </c>
      <c r="II455" t="e">
        <f>'Australia and Oceania'!G125+"n/&gt;!5h`"</f>
        <v>#VALUE!</v>
      </c>
      <c r="IJ455" t="e">
        <f>'Australia and Oceania'!H125+"n/&gt;!5ha"</f>
        <v>#VALUE!</v>
      </c>
      <c r="IK455" t="e">
        <f>'Australia and Oceania'!I125+"n/&gt;!5hb"</f>
        <v>#VALUE!</v>
      </c>
      <c r="IL455" t="e">
        <f>'Australia and Oceania'!A126+"n/&gt;!5hc"</f>
        <v>#VALUE!</v>
      </c>
      <c r="IM455" t="e">
        <f>'Australia and Oceania'!B126+"n/&gt;!5hd"</f>
        <v>#VALUE!</v>
      </c>
      <c r="IN455" t="e">
        <f>'Australia and Oceania'!C126+"n/&gt;!5he"</f>
        <v>#VALUE!</v>
      </c>
      <c r="IO455" t="e">
        <f>'Australia and Oceania'!D126+"n/&gt;!5hf"</f>
        <v>#VALUE!</v>
      </c>
      <c r="IP455" t="e">
        <f>'Australia and Oceania'!E126+"n/&gt;!5hg"</f>
        <v>#VALUE!</v>
      </c>
      <c r="IQ455" t="e">
        <f>'Australia and Oceania'!F126+"n/&gt;!5hh"</f>
        <v>#VALUE!</v>
      </c>
      <c r="IR455" t="e">
        <f>'Australia and Oceania'!G126+"n/&gt;!5hi"</f>
        <v>#VALUE!</v>
      </c>
      <c r="IS455" t="e">
        <f>'Australia and Oceania'!H126+"n/&gt;!5hj"</f>
        <v>#VALUE!</v>
      </c>
      <c r="IT455" t="e">
        <f>'Australia and Oceania'!I126+"n/&gt;!5hk"</f>
        <v>#VALUE!</v>
      </c>
      <c r="IU455" t="e">
        <f>'Australia and Oceania'!A127+"n/&gt;!5hl"</f>
        <v>#VALUE!</v>
      </c>
      <c r="IV455" t="e">
        <f>'Australia and Oceania'!B127+"n/&gt;!5hm"</f>
        <v>#VALUE!</v>
      </c>
    </row>
    <row r="456" spans="6:256" x14ac:dyDescent="0.35">
      <c r="F456" t="e">
        <f>'Australia and Oceania'!C127+"n/&gt;!5hn"</f>
        <v>#VALUE!</v>
      </c>
      <c r="G456" t="e">
        <f>'Australia and Oceania'!D127+"n/&gt;!5ho"</f>
        <v>#VALUE!</v>
      </c>
      <c r="H456" t="e">
        <f>'Australia and Oceania'!E127+"n/&gt;!5hp"</f>
        <v>#VALUE!</v>
      </c>
      <c r="I456" t="e">
        <f>'Australia and Oceania'!F127+"n/&gt;!5hq"</f>
        <v>#VALUE!</v>
      </c>
      <c r="J456" t="e">
        <f>'Australia and Oceania'!G127+"n/&gt;!5hr"</f>
        <v>#VALUE!</v>
      </c>
      <c r="K456" t="e">
        <f>'Australia and Oceania'!H127+"n/&gt;!5hs"</f>
        <v>#VALUE!</v>
      </c>
      <c r="L456" t="e">
        <f>'Australia and Oceania'!I127+"n/&gt;!5ht"</f>
        <v>#VALUE!</v>
      </c>
      <c r="M456" t="e">
        <f>'Australia and Oceania'!A128+"n/&gt;!5hu"</f>
        <v>#VALUE!</v>
      </c>
      <c r="N456" t="e">
        <f>'Australia and Oceania'!B128+"n/&gt;!5hv"</f>
        <v>#VALUE!</v>
      </c>
      <c r="O456" t="e">
        <f>'Australia and Oceania'!C128+"n/&gt;!5hw"</f>
        <v>#VALUE!</v>
      </c>
      <c r="P456" t="e">
        <f>'Australia and Oceania'!D128+"n/&gt;!5hx"</f>
        <v>#VALUE!</v>
      </c>
      <c r="Q456" t="e">
        <f>'Australia and Oceania'!E128+"n/&gt;!5hy"</f>
        <v>#VALUE!</v>
      </c>
      <c r="R456" t="e">
        <f>'Australia and Oceania'!F128+"n/&gt;!5hz"</f>
        <v>#VALUE!</v>
      </c>
      <c r="S456" t="e">
        <f>'Australia and Oceania'!G128+"n/&gt;!5h{"</f>
        <v>#VALUE!</v>
      </c>
      <c r="T456" t="e">
        <f>'Australia and Oceania'!H128+"n/&gt;!5h|"</f>
        <v>#VALUE!</v>
      </c>
      <c r="U456" t="e">
        <f>'Australia and Oceania'!I128+"n/&gt;!5h}"</f>
        <v>#VALUE!</v>
      </c>
      <c r="V456" t="e">
        <f>'Australia and Oceania'!A129+"n/&gt;!5h~"</f>
        <v>#VALUE!</v>
      </c>
      <c r="W456" t="e">
        <f>'Australia and Oceania'!B129+"n/&gt;!5i#"</f>
        <v>#VALUE!</v>
      </c>
      <c r="X456" t="e">
        <f>'Australia and Oceania'!C129+"n/&gt;!5i$"</f>
        <v>#VALUE!</v>
      </c>
      <c r="Y456" t="e">
        <f>'Australia and Oceania'!D129+"n/&gt;!5i%"</f>
        <v>#VALUE!</v>
      </c>
      <c r="Z456" t="e">
        <f>'Australia and Oceania'!E129+"n/&gt;!5i&amp;"</f>
        <v>#VALUE!</v>
      </c>
      <c r="AA456" t="e">
        <f>'Australia and Oceania'!F129+"n/&gt;!5i'"</f>
        <v>#VALUE!</v>
      </c>
      <c r="AB456" t="e">
        <f>'Australia and Oceania'!G129+"n/&gt;!5i("</f>
        <v>#VALUE!</v>
      </c>
      <c r="AC456" t="e">
        <f>'Australia and Oceania'!H129+"n/&gt;!5i)"</f>
        <v>#VALUE!</v>
      </c>
      <c r="AD456" t="e">
        <f>'Australia and Oceania'!I129+"n/&gt;!5i."</f>
        <v>#VALUE!</v>
      </c>
      <c r="AE456" t="e">
        <f>'Australia and Oceania'!A130+"n/&gt;!5i/"</f>
        <v>#VALUE!</v>
      </c>
      <c r="AF456" t="e">
        <f>'Australia and Oceania'!B130+"n/&gt;!5i0"</f>
        <v>#VALUE!</v>
      </c>
      <c r="AG456" t="e">
        <f>'Australia and Oceania'!C130+"n/&gt;!5i1"</f>
        <v>#VALUE!</v>
      </c>
      <c r="AH456" t="e">
        <f>'Australia and Oceania'!D130+"n/&gt;!5i2"</f>
        <v>#VALUE!</v>
      </c>
      <c r="AI456" t="e">
        <f>'Australia and Oceania'!E130+"n/&gt;!5i3"</f>
        <v>#VALUE!</v>
      </c>
      <c r="AJ456" t="e">
        <f>'Australia and Oceania'!F130+"n/&gt;!5i4"</f>
        <v>#VALUE!</v>
      </c>
      <c r="AK456" t="e">
        <f>'Australia and Oceania'!G130+"n/&gt;!5i5"</f>
        <v>#VALUE!</v>
      </c>
      <c r="AL456" t="e">
        <f>'Australia and Oceania'!H130+"n/&gt;!5i6"</f>
        <v>#VALUE!</v>
      </c>
      <c r="AM456" t="e">
        <f>'Australia and Oceania'!I130+"n/&gt;!5i7"</f>
        <v>#VALUE!</v>
      </c>
      <c r="AN456" t="e">
        <f>'Australia and Oceania'!A131+"n/&gt;!5i8"</f>
        <v>#VALUE!</v>
      </c>
      <c r="AO456" t="e">
        <f>'Australia and Oceania'!B131+"n/&gt;!5i9"</f>
        <v>#VALUE!</v>
      </c>
      <c r="AP456" t="e">
        <f>'Australia and Oceania'!C131+"n/&gt;!5i:"</f>
        <v>#VALUE!</v>
      </c>
      <c r="AQ456" t="e">
        <f>'Australia and Oceania'!D131+"n/&gt;!5i;"</f>
        <v>#VALUE!</v>
      </c>
      <c r="AR456" t="e">
        <f>'Australia and Oceania'!E131+"n/&gt;!5i&lt;"</f>
        <v>#VALUE!</v>
      </c>
      <c r="AS456" t="e">
        <f>'Australia and Oceania'!F131+"n/&gt;!5i="</f>
        <v>#VALUE!</v>
      </c>
      <c r="AT456" t="e">
        <f>'Australia and Oceania'!G131+"n/&gt;!5i&gt;"</f>
        <v>#VALUE!</v>
      </c>
      <c r="AU456" t="e">
        <f>'Australia and Oceania'!H131+"n/&gt;!5i?"</f>
        <v>#VALUE!</v>
      </c>
      <c r="AV456" t="e">
        <f>'Australia and Oceania'!I131+"n/&gt;!5i@"</f>
        <v>#VALUE!</v>
      </c>
      <c r="AW456" t="e">
        <f>'Australia and Oceania'!A132+"n/&gt;!5iA"</f>
        <v>#VALUE!</v>
      </c>
      <c r="AX456" t="e">
        <f>'Australia and Oceania'!B132+"n/&gt;!5iB"</f>
        <v>#VALUE!</v>
      </c>
      <c r="AY456" t="e">
        <f>'Australia and Oceania'!C132+"n/&gt;!5iC"</f>
        <v>#VALUE!</v>
      </c>
      <c r="AZ456" t="e">
        <f>'Australia and Oceania'!D132+"n/&gt;!5iD"</f>
        <v>#VALUE!</v>
      </c>
      <c r="BA456" t="e">
        <f>'Australia and Oceania'!E132+"n/&gt;!5iE"</f>
        <v>#VALUE!</v>
      </c>
      <c r="BB456" t="e">
        <f>'Australia and Oceania'!F132+"n/&gt;!5iF"</f>
        <v>#VALUE!</v>
      </c>
      <c r="BC456" t="e">
        <f>'Australia and Oceania'!G132+"n/&gt;!5iG"</f>
        <v>#VALUE!</v>
      </c>
      <c r="BD456" t="e">
        <f>'Australia and Oceania'!H132+"n/&gt;!5iH"</f>
        <v>#VALUE!</v>
      </c>
      <c r="BE456" t="e">
        <f>'Australia and Oceania'!I132+"n/&gt;!5iI"</f>
        <v>#VALUE!</v>
      </c>
      <c r="BF456" t="e">
        <f>'Australia and Oceania'!A133+"n/&gt;!5iJ"</f>
        <v>#VALUE!</v>
      </c>
      <c r="BG456" t="e">
        <f>'Australia and Oceania'!B133+"n/&gt;!5iK"</f>
        <v>#VALUE!</v>
      </c>
      <c r="BH456" t="e">
        <f>'Australia and Oceania'!C133+"n/&gt;!5iL"</f>
        <v>#VALUE!</v>
      </c>
      <c r="BI456" t="e">
        <f>'Australia and Oceania'!D133+"n/&gt;!5iM"</f>
        <v>#VALUE!</v>
      </c>
      <c r="BJ456" t="e">
        <f>'Australia and Oceania'!E133+"n/&gt;!5iN"</f>
        <v>#VALUE!</v>
      </c>
      <c r="BK456" t="e">
        <f>'Australia and Oceania'!F133+"n/&gt;!5iO"</f>
        <v>#VALUE!</v>
      </c>
      <c r="BL456" t="e">
        <f>'Australia and Oceania'!G133+"n/&gt;!5iP"</f>
        <v>#VALUE!</v>
      </c>
      <c r="BM456" t="e">
        <f>'Australia and Oceania'!H133+"n/&gt;!5iQ"</f>
        <v>#VALUE!</v>
      </c>
      <c r="BN456" t="e">
        <f>'Australia and Oceania'!I133+"n/&gt;!5iR"</f>
        <v>#VALUE!</v>
      </c>
      <c r="BO456" t="e">
        <f>'Australia and Oceania'!A134+"n/&gt;!5iS"</f>
        <v>#VALUE!</v>
      </c>
      <c r="BP456" t="e">
        <f>'Australia and Oceania'!B134+"n/&gt;!5iT"</f>
        <v>#VALUE!</v>
      </c>
      <c r="BQ456" t="e">
        <f>'Australia and Oceania'!C134+"n/&gt;!5iU"</f>
        <v>#VALUE!</v>
      </c>
      <c r="BR456" t="e">
        <f>'Australia and Oceania'!D134+"n/&gt;!5iV"</f>
        <v>#VALUE!</v>
      </c>
      <c r="BS456" t="e">
        <f>'Australia and Oceania'!E134+"n/&gt;!5iW"</f>
        <v>#VALUE!</v>
      </c>
      <c r="BT456" t="e">
        <f>'Australia and Oceania'!F134+"n/&gt;!5iX"</f>
        <v>#VALUE!</v>
      </c>
      <c r="BU456" t="e">
        <f>'Australia and Oceania'!G134+"n/&gt;!5iY"</f>
        <v>#VALUE!</v>
      </c>
      <c r="BV456" t="e">
        <f>'Australia and Oceania'!H134+"n/&gt;!5iZ"</f>
        <v>#VALUE!</v>
      </c>
      <c r="BW456" t="e">
        <f>'Australia and Oceania'!I134+"n/&gt;!5i["</f>
        <v>#VALUE!</v>
      </c>
      <c r="BX456" t="e">
        <f>'Australia and Oceania'!A135+"n/&gt;!5i\"</f>
        <v>#VALUE!</v>
      </c>
      <c r="BY456" t="e">
        <f>'Australia and Oceania'!B135+"n/&gt;!5i]"</f>
        <v>#VALUE!</v>
      </c>
      <c r="BZ456" t="e">
        <f>'Australia and Oceania'!C135+"n/&gt;!5i^"</f>
        <v>#VALUE!</v>
      </c>
      <c r="CA456" t="e">
        <f>'Australia and Oceania'!D135+"n/&gt;!5i_"</f>
        <v>#VALUE!</v>
      </c>
      <c r="CB456" t="e">
        <f>'Australia and Oceania'!E135+"n/&gt;!5i`"</f>
        <v>#VALUE!</v>
      </c>
      <c r="CC456" t="e">
        <f>'Australia and Oceania'!F135+"n/&gt;!5ia"</f>
        <v>#VALUE!</v>
      </c>
      <c r="CD456" t="e">
        <f>'Australia and Oceania'!G135+"n/&gt;!5ib"</f>
        <v>#VALUE!</v>
      </c>
      <c r="CE456" t="e">
        <f>'Australia and Oceania'!H135+"n/&gt;!5ic"</f>
        <v>#VALUE!</v>
      </c>
      <c r="CF456" t="e">
        <f>'Australia and Oceania'!I135+"n/&gt;!5id"</f>
        <v>#VALUE!</v>
      </c>
      <c r="CG456" t="e">
        <f>'Australia and Oceania'!A136+"n/&gt;!5ie"</f>
        <v>#VALUE!</v>
      </c>
      <c r="CH456" t="e">
        <f>'Australia and Oceania'!B136+"n/&gt;!5if"</f>
        <v>#VALUE!</v>
      </c>
      <c r="CI456" t="e">
        <f>'Australia and Oceania'!C136+"n/&gt;!5ig"</f>
        <v>#VALUE!</v>
      </c>
      <c r="CJ456" t="e">
        <f>'Australia and Oceania'!D136+"n/&gt;!5ih"</f>
        <v>#VALUE!</v>
      </c>
      <c r="CK456" t="e">
        <f>'Australia and Oceania'!E136+"n/&gt;!5ii"</f>
        <v>#VALUE!</v>
      </c>
      <c r="CL456" t="e">
        <f>'Australia and Oceania'!F136+"n/&gt;!5ij"</f>
        <v>#VALUE!</v>
      </c>
      <c r="CM456" t="e">
        <f>'Australia and Oceania'!G136+"n/&gt;!5ik"</f>
        <v>#VALUE!</v>
      </c>
      <c r="CN456" t="e">
        <f>'Australia and Oceania'!H136+"n/&gt;!5il"</f>
        <v>#VALUE!</v>
      </c>
      <c r="CO456" t="e">
        <f>'Australia and Oceania'!I136+"n/&gt;!5im"</f>
        <v>#VALUE!</v>
      </c>
      <c r="CP456" t="e">
        <f>'Australia and Oceania'!A137+"n/&gt;!5in"</f>
        <v>#VALUE!</v>
      </c>
      <c r="CQ456" t="e">
        <f>'Australia and Oceania'!B137+"n/&gt;!5io"</f>
        <v>#VALUE!</v>
      </c>
      <c r="CR456" t="e">
        <f>'Australia and Oceania'!C137+"n/&gt;!5ip"</f>
        <v>#VALUE!</v>
      </c>
      <c r="CS456" t="e">
        <f>'Australia and Oceania'!D137+"n/&gt;!5iq"</f>
        <v>#VALUE!</v>
      </c>
      <c r="CT456" t="e">
        <f>'Australia and Oceania'!E137+"n/&gt;!5ir"</f>
        <v>#VALUE!</v>
      </c>
      <c r="CU456" t="e">
        <f>'Australia and Oceania'!F137+"n/&gt;!5is"</f>
        <v>#VALUE!</v>
      </c>
      <c r="CV456" t="e">
        <f>'Australia and Oceania'!G137+"n/&gt;!5it"</f>
        <v>#VALUE!</v>
      </c>
      <c r="CW456" t="e">
        <f>'Australia and Oceania'!H137+"n/&gt;!5iu"</f>
        <v>#VALUE!</v>
      </c>
      <c r="CX456" t="e">
        <f>'Australia and Oceania'!I137+"n/&gt;!5iv"</f>
        <v>#VALUE!</v>
      </c>
      <c r="CY456" t="e">
        <f>'Australia and Oceania'!A138+"n/&gt;!5iw"</f>
        <v>#VALUE!</v>
      </c>
      <c r="CZ456" t="e">
        <f>'Australia and Oceania'!B138+"n/&gt;!5ix"</f>
        <v>#VALUE!</v>
      </c>
      <c r="DA456" t="e">
        <f>'Australia and Oceania'!C138+"n/&gt;!5iy"</f>
        <v>#VALUE!</v>
      </c>
      <c r="DB456" t="e">
        <f>'Australia and Oceania'!D138+"n/&gt;!5iz"</f>
        <v>#VALUE!</v>
      </c>
      <c r="DC456" t="e">
        <f>'Australia and Oceania'!E138+"n/&gt;!5i{"</f>
        <v>#VALUE!</v>
      </c>
      <c r="DD456" t="e">
        <f>'Australia and Oceania'!F138+"n/&gt;!5i|"</f>
        <v>#VALUE!</v>
      </c>
      <c r="DE456" t="e">
        <f>'Australia and Oceania'!G138+"n/&gt;!5i}"</f>
        <v>#VALUE!</v>
      </c>
      <c r="DF456" t="e">
        <f>'Australia and Oceania'!H138+"n/&gt;!5i~"</f>
        <v>#VALUE!</v>
      </c>
      <c r="DG456" t="e">
        <f>'Australia and Oceania'!I138+"n/&gt;!5j#"</f>
        <v>#VALUE!</v>
      </c>
      <c r="DH456" t="e">
        <f>'Australia and Oceania'!A139+"n/&gt;!5j$"</f>
        <v>#VALUE!</v>
      </c>
      <c r="DI456" t="e">
        <f>'Australia and Oceania'!B139+"n/&gt;!5j%"</f>
        <v>#VALUE!</v>
      </c>
      <c r="DJ456" t="e">
        <f>'Australia and Oceania'!C139+"n/&gt;!5j&amp;"</f>
        <v>#VALUE!</v>
      </c>
      <c r="DK456" t="e">
        <f>'Australia and Oceania'!D139+"n/&gt;!5j'"</f>
        <v>#VALUE!</v>
      </c>
      <c r="DL456" t="e">
        <f>'Australia and Oceania'!E139+"n/&gt;!5j("</f>
        <v>#VALUE!</v>
      </c>
      <c r="DM456" t="e">
        <f>'Australia and Oceania'!F139+"n/&gt;!5j)"</f>
        <v>#VALUE!</v>
      </c>
      <c r="DN456" t="e">
        <f>'Australia and Oceania'!G139+"n/&gt;!5j."</f>
        <v>#VALUE!</v>
      </c>
      <c r="DO456" t="e">
        <f>'Australia and Oceania'!H139+"n/&gt;!5j/"</f>
        <v>#VALUE!</v>
      </c>
      <c r="DP456" t="e">
        <f>'Australia and Oceania'!I139+"n/&gt;!5j0"</f>
        <v>#VALUE!</v>
      </c>
      <c r="DQ456" t="e">
        <f>'Australia and Oceania'!A140+"n/&gt;!5j1"</f>
        <v>#VALUE!</v>
      </c>
      <c r="DR456" t="e">
        <f>'Australia and Oceania'!B140+"n/&gt;!5j2"</f>
        <v>#VALUE!</v>
      </c>
      <c r="DS456" t="e">
        <f>'Australia and Oceania'!C140+"n/&gt;!5j3"</f>
        <v>#VALUE!</v>
      </c>
      <c r="DT456" t="e">
        <f>'Australia and Oceania'!D140+"n/&gt;!5j4"</f>
        <v>#VALUE!</v>
      </c>
      <c r="DU456" t="e">
        <f>'Australia and Oceania'!E140+"n/&gt;!5j5"</f>
        <v>#VALUE!</v>
      </c>
      <c r="DV456" t="e">
        <f>'Australia and Oceania'!F140+"n/&gt;!5j6"</f>
        <v>#VALUE!</v>
      </c>
      <c r="DW456" t="e">
        <f>'Australia and Oceania'!G140+"n/&gt;!5j7"</f>
        <v>#VALUE!</v>
      </c>
      <c r="DX456" t="e">
        <f>'Australia and Oceania'!H140+"n/&gt;!5j8"</f>
        <v>#VALUE!</v>
      </c>
      <c r="DY456" t="e">
        <f>'Australia and Oceania'!I140+"n/&gt;!5j9"</f>
        <v>#VALUE!</v>
      </c>
      <c r="DZ456" t="e">
        <f>'Australia and Oceania'!A141+"n/&gt;!5j:"</f>
        <v>#VALUE!</v>
      </c>
      <c r="EA456" t="e">
        <f>'Australia and Oceania'!B141+"n/&gt;!5j;"</f>
        <v>#VALUE!</v>
      </c>
      <c r="EB456" t="e">
        <f>'Australia and Oceania'!C141+"n/&gt;!5j&lt;"</f>
        <v>#VALUE!</v>
      </c>
      <c r="EC456" t="e">
        <f>'Australia and Oceania'!D141+"n/&gt;!5j="</f>
        <v>#VALUE!</v>
      </c>
      <c r="ED456" t="e">
        <f>'Australia and Oceania'!E141+"n/&gt;!5j&gt;"</f>
        <v>#VALUE!</v>
      </c>
      <c r="EE456" t="e">
        <f>'Australia and Oceania'!F141+"n/&gt;!5j?"</f>
        <v>#VALUE!</v>
      </c>
      <c r="EF456" t="e">
        <f>'Australia and Oceania'!G141+"n/&gt;!5j@"</f>
        <v>#VALUE!</v>
      </c>
      <c r="EG456" t="e">
        <f>'Australia and Oceania'!H141+"n/&gt;!5jA"</f>
        <v>#VALUE!</v>
      </c>
      <c r="EH456" t="e">
        <f>'Australia and Oceania'!I141+"n/&gt;!5jB"</f>
        <v>#VALUE!</v>
      </c>
      <c r="EI456" t="e">
        <f>'Australia and Oceania'!A142+"n/&gt;!5jC"</f>
        <v>#VALUE!</v>
      </c>
      <c r="EJ456" t="e">
        <f>'Australia and Oceania'!B142+"n/&gt;!5jD"</f>
        <v>#VALUE!</v>
      </c>
      <c r="EK456" t="e">
        <f>'Australia and Oceania'!C142+"n/&gt;!5jE"</f>
        <v>#VALUE!</v>
      </c>
      <c r="EL456" t="e">
        <f>'Australia and Oceania'!D142+"n/&gt;!5jF"</f>
        <v>#VALUE!</v>
      </c>
      <c r="EM456" t="e">
        <f>'Australia and Oceania'!E142+"n/&gt;!5jG"</f>
        <v>#VALUE!</v>
      </c>
      <c r="EN456" t="e">
        <f>'Australia and Oceania'!F142+"n/&gt;!5jH"</f>
        <v>#VALUE!</v>
      </c>
      <c r="EO456" t="e">
        <f>'Australia and Oceania'!G142+"n/&gt;!5jI"</f>
        <v>#VALUE!</v>
      </c>
      <c r="EP456" t="e">
        <f>'Australia and Oceania'!H142+"n/&gt;!5jJ"</f>
        <v>#VALUE!</v>
      </c>
      <c r="EQ456" t="e">
        <f>'Australia and Oceania'!I142+"n/&gt;!5jK"</f>
        <v>#VALUE!</v>
      </c>
      <c r="ER456" t="e">
        <f>'Australia and Oceania'!A143+"n/&gt;!5jL"</f>
        <v>#VALUE!</v>
      </c>
      <c r="ES456" t="e">
        <f>'Australia and Oceania'!B143+"n/&gt;!5jM"</f>
        <v>#VALUE!</v>
      </c>
      <c r="ET456" t="e">
        <f>'Australia and Oceania'!C143+"n/&gt;!5jN"</f>
        <v>#VALUE!</v>
      </c>
      <c r="EU456" t="e">
        <f>'Australia and Oceania'!D143+"n/&gt;!5jO"</f>
        <v>#VALUE!</v>
      </c>
      <c r="EV456" t="e">
        <f>'Australia and Oceania'!E143+"n/&gt;!5jP"</f>
        <v>#VALUE!</v>
      </c>
      <c r="EW456" t="e">
        <f>'Australia and Oceania'!F143+"n/&gt;!5jQ"</f>
        <v>#VALUE!</v>
      </c>
      <c r="EX456" t="e">
        <f>'Australia and Oceania'!G143+"n/&gt;!5jR"</f>
        <v>#VALUE!</v>
      </c>
      <c r="EY456" t="e">
        <f>'Australia and Oceania'!H143+"n/&gt;!5jS"</f>
        <v>#VALUE!</v>
      </c>
      <c r="EZ456" t="e">
        <f>'Australia and Oceania'!I143+"n/&gt;!5jT"</f>
        <v>#VALUE!</v>
      </c>
      <c r="FA456" t="e">
        <f>'Australia and Oceania'!A144+"n/&gt;!5jU"</f>
        <v>#VALUE!</v>
      </c>
      <c r="FB456" t="e">
        <f>'Australia and Oceania'!B144+"n/&gt;!5jV"</f>
        <v>#VALUE!</v>
      </c>
      <c r="FC456" t="e">
        <f>'Australia and Oceania'!C144+"n/&gt;!5jW"</f>
        <v>#VALUE!</v>
      </c>
      <c r="FD456" t="e">
        <f>'Australia and Oceania'!D144+"n/&gt;!5jX"</f>
        <v>#VALUE!</v>
      </c>
      <c r="FE456" t="e">
        <f>'Australia and Oceania'!E144+"n/&gt;!5jY"</f>
        <v>#VALUE!</v>
      </c>
      <c r="FF456" t="e">
        <f>'Australia and Oceania'!F144+"n/&gt;!5jZ"</f>
        <v>#VALUE!</v>
      </c>
      <c r="FG456" t="e">
        <f>'Australia and Oceania'!G144+"n/&gt;!5j["</f>
        <v>#VALUE!</v>
      </c>
      <c r="FH456" t="e">
        <f>'Australia and Oceania'!H144+"n/&gt;!5j\"</f>
        <v>#VALUE!</v>
      </c>
      <c r="FI456" t="e">
        <f>'Australia and Oceania'!I144+"n/&gt;!5j]"</f>
        <v>#VALUE!</v>
      </c>
      <c r="FJ456" t="e">
        <f>'Australia and Oceania'!A145+"n/&gt;!5j^"</f>
        <v>#VALUE!</v>
      </c>
      <c r="FK456" t="e">
        <f>'Australia and Oceania'!B145+"n/&gt;!5j_"</f>
        <v>#VALUE!</v>
      </c>
      <c r="FL456" t="e">
        <f>'Australia and Oceania'!C145+"n/&gt;!5j`"</f>
        <v>#VALUE!</v>
      </c>
      <c r="FM456" t="e">
        <f>'Australia and Oceania'!D145+"n/&gt;!5ja"</f>
        <v>#VALUE!</v>
      </c>
      <c r="FN456" t="e">
        <f>'Australia and Oceania'!E145+"n/&gt;!5jb"</f>
        <v>#VALUE!</v>
      </c>
      <c r="FO456" t="e">
        <f>'Australia and Oceania'!F145+"n/&gt;!5jc"</f>
        <v>#VALUE!</v>
      </c>
      <c r="FP456" t="e">
        <f>'Australia and Oceania'!G145+"n/&gt;!5jd"</f>
        <v>#VALUE!</v>
      </c>
      <c r="FQ456" t="e">
        <f>'Australia and Oceania'!H145+"n/&gt;!5je"</f>
        <v>#VALUE!</v>
      </c>
      <c r="FR456" t="e">
        <f>'Australia and Oceania'!I145+"n/&gt;!5jf"</f>
        <v>#VALUE!</v>
      </c>
      <c r="FS456" t="e">
        <f>'Australia and Oceania'!A146+"n/&gt;!5jg"</f>
        <v>#VALUE!</v>
      </c>
      <c r="FT456" t="e">
        <f>'Australia and Oceania'!B146+"n/&gt;!5jh"</f>
        <v>#VALUE!</v>
      </c>
      <c r="FU456" t="e">
        <f>'Australia and Oceania'!C146+"n/&gt;!5ji"</f>
        <v>#VALUE!</v>
      </c>
      <c r="FV456" t="e">
        <f>'Australia and Oceania'!D146+"n/&gt;!5jj"</f>
        <v>#VALUE!</v>
      </c>
      <c r="FW456" t="e">
        <f>'Australia and Oceania'!E146+"n/&gt;!5jk"</f>
        <v>#VALUE!</v>
      </c>
      <c r="FX456" t="e">
        <f>'Australia and Oceania'!F146+"n/&gt;!5jl"</f>
        <v>#VALUE!</v>
      </c>
      <c r="FY456" t="e">
        <f>'Australia and Oceania'!G146+"n/&gt;!5jm"</f>
        <v>#VALUE!</v>
      </c>
      <c r="FZ456" t="e">
        <f>'Australia and Oceania'!H146+"n/&gt;!5jn"</f>
        <v>#VALUE!</v>
      </c>
      <c r="GA456" t="e">
        <f>'Australia and Oceania'!I146+"n/&gt;!5jo"</f>
        <v>#VALUE!</v>
      </c>
      <c r="GB456" t="e">
        <f>'Australia and Oceania'!A147+"n/&gt;!5jp"</f>
        <v>#VALUE!</v>
      </c>
      <c r="GC456" t="e">
        <f>'Australia and Oceania'!B147+"n/&gt;!5jq"</f>
        <v>#VALUE!</v>
      </c>
      <c r="GD456" t="e">
        <f>'Australia and Oceania'!C147+"n/&gt;!5jr"</f>
        <v>#VALUE!</v>
      </c>
      <c r="GE456" t="e">
        <f>'Australia and Oceania'!D147+"n/&gt;!5js"</f>
        <v>#VALUE!</v>
      </c>
      <c r="GF456" t="e">
        <f>'Australia and Oceania'!E147+"n/&gt;!5jt"</f>
        <v>#VALUE!</v>
      </c>
      <c r="GG456" t="e">
        <f>'Australia and Oceania'!F147+"n/&gt;!5ju"</f>
        <v>#VALUE!</v>
      </c>
      <c r="GH456" t="e">
        <f>'Australia and Oceania'!G147+"n/&gt;!5jv"</f>
        <v>#VALUE!</v>
      </c>
      <c r="GI456" t="e">
        <f>'Australia and Oceania'!H147+"n/&gt;!5jw"</f>
        <v>#VALUE!</v>
      </c>
      <c r="GJ456" t="e">
        <f>'Australia and Oceania'!I147+"n/&gt;!5jx"</f>
        <v>#VALUE!</v>
      </c>
      <c r="GK456" t="e">
        <f>'Australia and Oceania'!A148+"n/&gt;!5jy"</f>
        <v>#VALUE!</v>
      </c>
      <c r="GL456" t="e">
        <f>'Australia and Oceania'!B148+"n/&gt;!5jz"</f>
        <v>#VALUE!</v>
      </c>
      <c r="GM456" t="e">
        <f>'Australia and Oceania'!C148+"n/&gt;!5j{"</f>
        <v>#VALUE!</v>
      </c>
      <c r="GN456" t="e">
        <f>'Australia and Oceania'!D148+"n/&gt;!5j|"</f>
        <v>#VALUE!</v>
      </c>
      <c r="GO456" t="e">
        <f>'Australia and Oceania'!E148+"n/&gt;!5j}"</f>
        <v>#VALUE!</v>
      </c>
      <c r="GP456" t="e">
        <f>'Australia and Oceania'!F148+"n/&gt;!5j~"</f>
        <v>#VALUE!</v>
      </c>
      <c r="GQ456" t="e">
        <f>'Australia and Oceania'!G148+"n/&gt;!5k#"</f>
        <v>#VALUE!</v>
      </c>
      <c r="GR456" t="e">
        <f>'Australia and Oceania'!H148+"n/&gt;!5k$"</f>
        <v>#VALUE!</v>
      </c>
      <c r="GS456" t="e">
        <f>'Australia and Oceania'!I148+"n/&gt;!5k%"</f>
        <v>#VALUE!</v>
      </c>
      <c r="GT456" t="e">
        <f>'Australia and Oceania'!A149+"n/&gt;!5k&amp;"</f>
        <v>#VALUE!</v>
      </c>
      <c r="GU456" t="e">
        <f>'Australia and Oceania'!B149+"n/&gt;!5k'"</f>
        <v>#VALUE!</v>
      </c>
      <c r="GV456" t="e">
        <f>'Australia and Oceania'!C149+"n/&gt;!5k("</f>
        <v>#VALUE!</v>
      </c>
      <c r="GW456" t="e">
        <f>'Australia and Oceania'!D149+"n/&gt;!5k)"</f>
        <v>#VALUE!</v>
      </c>
      <c r="GX456" t="e">
        <f>'Australia and Oceania'!E149+"n/&gt;!5k."</f>
        <v>#VALUE!</v>
      </c>
      <c r="GY456" t="e">
        <f>'Australia and Oceania'!F149+"n/&gt;!5k/"</f>
        <v>#VALUE!</v>
      </c>
      <c r="GZ456" t="e">
        <f>'Australia and Oceania'!G149+"n/&gt;!5k0"</f>
        <v>#VALUE!</v>
      </c>
      <c r="HA456" t="e">
        <f>'Australia and Oceania'!H149+"n/&gt;!5k1"</f>
        <v>#VALUE!</v>
      </c>
      <c r="HB456" t="e">
        <f>'Australia and Oceania'!I149+"n/&gt;!5k2"</f>
        <v>#VALUE!</v>
      </c>
      <c r="HC456" t="e">
        <f>'Australia and Oceania'!A150+"n/&gt;!5k3"</f>
        <v>#VALUE!</v>
      </c>
      <c r="HD456" t="e">
        <f>'Australia and Oceania'!B150+"n/&gt;!5k4"</f>
        <v>#VALUE!</v>
      </c>
      <c r="HE456" t="e">
        <f>'Australia and Oceania'!C150+"n/&gt;!5k5"</f>
        <v>#VALUE!</v>
      </c>
      <c r="HF456" t="e">
        <f>'Australia and Oceania'!D150+"n/&gt;!5k6"</f>
        <v>#VALUE!</v>
      </c>
      <c r="HG456" t="e">
        <f>'Australia and Oceania'!E150+"n/&gt;!5k7"</f>
        <v>#VALUE!</v>
      </c>
      <c r="HH456" t="e">
        <f>'Australia and Oceania'!F150+"n/&gt;!5k8"</f>
        <v>#VALUE!</v>
      </c>
      <c r="HI456" t="e">
        <f>'Australia and Oceania'!G150+"n/&gt;!5k9"</f>
        <v>#VALUE!</v>
      </c>
      <c r="HJ456" t="e">
        <f>'Australia and Oceania'!H150+"n/&gt;!5k:"</f>
        <v>#VALUE!</v>
      </c>
      <c r="HK456" t="e">
        <f>'Australia and Oceania'!I150+"n/&gt;!5k;"</f>
        <v>#VALUE!</v>
      </c>
      <c r="HL456" t="e">
        <f>'Australia and Oceania'!A151+"n/&gt;!5k&lt;"</f>
        <v>#VALUE!</v>
      </c>
      <c r="HM456" t="e">
        <f>'Australia and Oceania'!B151+"n/&gt;!5k="</f>
        <v>#VALUE!</v>
      </c>
      <c r="HN456" t="e">
        <f>'Australia and Oceania'!C151+"n/&gt;!5k&gt;"</f>
        <v>#VALUE!</v>
      </c>
      <c r="HO456" t="e">
        <f>'Australia and Oceania'!D151+"n/&gt;!5k?"</f>
        <v>#VALUE!</v>
      </c>
      <c r="HP456" t="e">
        <f>'Australia and Oceania'!E151+"n/&gt;!5k@"</f>
        <v>#VALUE!</v>
      </c>
      <c r="HQ456" t="e">
        <f>'Australia and Oceania'!F151+"n/&gt;!5kA"</f>
        <v>#VALUE!</v>
      </c>
      <c r="HR456" t="e">
        <f>'Australia and Oceania'!G151+"n/&gt;!5kB"</f>
        <v>#VALUE!</v>
      </c>
      <c r="HS456" t="e">
        <f>'Australia and Oceania'!H151+"n/&gt;!5kC"</f>
        <v>#VALUE!</v>
      </c>
      <c r="HT456" t="e">
        <f>'Australia and Oceania'!I151+"n/&gt;!5kD"</f>
        <v>#VALUE!</v>
      </c>
      <c r="HU456" t="e">
        <f>'Australia and Oceania'!A152+"n/&gt;!5kE"</f>
        <v>#VALUE!</v>
      </c>
      <c r="HV456" t="e">
        <f>'Australia and Oceania'!B152+"n/&gt;!5kF"</f>
        <v>#VALUE!</v>
      </c>
      <c r="HW456" t="e">
        <f>'Australia and Oceania'!C152+"n/&gt;!5kG"</f>
        <v>#VALUE!</v>
      </c>
      <c r="HX456" t="e">
        <f>'Australia and Oceania'!D152+"n/&gt;!5kH"</f>
        <v>#VALUE!</v>
      </c>
      <c r="HY456" t="e">
        <f>'Australia and Oceania'!E152+"n/&gt;!5kI"</f>
        <v>#VALUE!</v>
      </c>
      <c r="HZ456" t="e">
        <f>'Australia and Oceania'!F152+"n/&gt;!5kJ"</f>
        <v>#VALUE!</v>
      </c>
      <c r="IA456" t="e">
        <f>'Australia and Oceania'!G152+"n/&gt;!5kK"</f>
        <v>#VALUE!</v>
      </c>
      <c r="IB456" t="e">
        <f>'Australia and Oceania'!H152+"n/&gt;!5kL"</f>
        <v>#VALUE!</v>
      </c>
      <c r="IC456" t="e">
        <f>'Australia and Oceania'!I152+"n/&gt;!5kM"</f>
        <v>#VALUE!</v>
      </c>
      <c r="ID456" t="e">
        <f>'Australia and Oceania'!A153+"n/&gt;!5kN"</f>
        <v>#VALUE!</v>
      </c>
      <c r="IE456" t="e">
        <f>'Australia and Oceania'!B153+"n/&gt;!5kO"</f>
        <v>#VALUE!</v>
      </c>
      <c r="IF456" t="e">
        <f>'Australia and Oceania'!C153+"n/&gt;!5kP"</f>
        <v>#VALUE!</v>
      </c>
      <c r="IG456" t="e">
        <f>'Australia and Oceania'!D153+"n/&gt;!5kQ"</f>
        <v>#VALUE!</v>
      </c>
      <c r="IH456" t="e">
        <f>'Australia and Oceania'!E153+"n/&gt;!5kR"</f>
        <v>#VALUE!</v>
      </c>
      <c r="II456" t="e">
        <f>'Australia and Oceania'!F153+"n/&gt;!5kS"</f>
        <v>#VALUE!</v>
      </c>
      <c r="IJ456" t="e">
        <f>'Australia and Oceania'!G153+"n/&gt;!5kT"</f>
        <v>#VALUE!</v>
      </c>
      <c r="IK456" t="e">
        <f>'Australia and Oceania'!H153+"n/&gt;!5kU"</f>
        <v>#VALUE!</v>
      </c>
      <c r="IL456" t="e">
        <f>'Australia and Oceania'!I153+"n/&gt;!5kV"</f>
        <v>#VALUE!</v>
      </c>
      <c r="IM456" t="e">
        <f>'Australia and Oceania'!A154+"n/&gt;!5kW"</f>
        <v>#VALUE!</v>
      </c>
      <c r="IN456" t="e">
        <f>'Australia and Oceania'!B154+"n/&gt;!5kX"</f>
        <v>#VALUE!</v>
      </c>
      <c r="IO456" t="e">
        <f>'Australia and Oceania'!C154+"n/&gt;!5kY"</f>
        <v>#VALUE!</v>
      </c>
      <c r="IP456" t="e">
        <f>'Australia and Oceania'!D154+"n/&gt;!5kZ"</f>
        <v>#VALUE!</v>
      </c>
      <c r="IQ456" t="e">
        <f>'Australia and Oceania'!E154+"n/&gt;!5k["</f>
        <v>#VALUE!</v>
      </c>
      <c r="IR456" t="e">
        <f>'Australia and Oceania'!F154+"n/&gt;!5k\"</f>
        <v>#VALUE!</v>
      </c>
      <c r="IS456" t="e">
        <f>'Australia and Oceania'!G154+"n/&gt;!5k]"</f>
        <v>#VALUE!</v>
      </c>
      <c r="IT456" t="e">
        <f>'Australia and Oceania'!H154+"n/&gt;!5k^"</f>
        <v>#VALUE!</v>
      </c>
      <c r="IU456" t="e">
        <f>'Australia and Oceania'!I154+"n/&gt;!5k_"</f>
        <v>#VALUE!</v>
      </c>
      <c r="IV456" t="e">
        <f>'Australia and Oceania'!A155+"n/&gt;!5k`"</f>
        <v>#VALUE!</v>
      </c>
    </row>
    <row r="457" spans="6:256" x14ac:dyDescent="0.35">
      <c r="F457" t="e">
        <f>'Australia and Oceania'!B155+"n/&gt;!5ka"</f>
        <v>#VALUE!</v>
      </c>
      <c r="G457" t="e">
        <f>'Australia and Oceania'!C155+"n/&gt;!5kb"</f>
        <v>#VALUE!</v>
      </c>
      <c r="H457" t="e">
        <f>'Australia and Oceania'!D155+"n/&gt;!5kc"</f>
        <v>#VALUE!</v>
      </c>
      <c r="I457" t="e">
        <f>'Australia and Oceania'!E155+"n/&gt;!5kd"</f>
        <v>#VALUE!</v>
      </c>
      <c r="J457" t="e">
        <f>'Australia and Oceania'!F155+"n/&gt;!5ke"</f>
        <v>#VALUE!</v>
      </c>
      <c r="K457" t="e">
        <f>'Australia and Oceania'!G155+"n/&gt;!5kf"</f>
        <v>#VALUE!</v>
      </c>
      <c r="L457" t="e">
        <f>'Australia and Oceania'!H155+"n/&gt;!5kg"</f>
        <v>#VALUE!</v>
      </c>
      <c r="M457" t="e">
        <f>'Australia and Oceania'!I155+"n/&gt;!5kh"</f>
        <v>#VALUE!</v>
      </c>
      <c r="N457" t="e">
        <f>'Australia and Oceania'!A156+"n/&gt;!5ki"</f>
        <v>#VALUE!</v>
      </c>
      <c r="O457" t="e">
        <f>'Australia and Oceania'!B156+"n/&gt;!5kj"</f>
        <v>#VALUE!</v>
      </c>
      <c r="P457" t="e">
        <f>'Australia and Oceania'!C156+"n/&gt;!5kk"</f>
        <v>#VALUE!</v>
      </c>
      <c r="Q457" t="e">
        <f>'Australia and Oceania'!D156+"n/&gt;!5kl"</f>
        <v>#VALUE!</v>
      </c>
      <c r="R457" t="e">
        <f>'Australia and Oceania'!E156+"n/&gt;!5km"</f>
        <v>#VALUE!</v>
      </c>
      <c r="S457" t="e">
        <f>'Australia and Oceania'!F156+"n/&gt;!5kn"</f>
        <v>#VALUE!</v>
      </c>
      <c r="T457" t="e">
        <f>'Australia and Oceania'!G156+"n/&gt;!5ko"</f>
        <v>#VALUE!</v>
      </c>
      <c r="U457" t="e">
        <f>'Australia and Oceania'!H156+"n/&gt;!5kp"</f>
        <v>#VALUE!</v>
      </c>
      <c r="V457" t="e">
        <f>'Australia and Oceania'!I156+"n/&gt;!5kq"</f>
        <v>#VALUE!</v>
      </c>
      <c r="W457" t="e">
        <f>'Australia and Oceania'!A157+"n/&gt;!5kr"</f>
        <v>#VALUE!</v>
      </c>
      <c r="X457" t="e">
        <f>'Australia and Oceania'!B157+"n/&gt;!5ks"</f>
        <v>#VALUE!</v>
      </c>
      <c r="Y457" t="e">
        <f>'Australia and Oceania'!C157+"n/&gt;!5kt"</f>
        <v>#VALUE!</v>
      </c>
      <c r="Z457" t="e">
        <f>'Australia and Oceania'!D157+"n/&gt;!5ku"</f>
        <v>#VALUE!</v>
      </c>
      <c r="AA457" t="e">
        <f>'Australia and Oceania'!E157+"n/&gt;!5kv"</f>
        <v>#VALUE!</v>
      </c>
      <c r="AB457" t="e">
        <f>'Australia and Oceania'!F157+"n/&gt;!5kw"</f>
        <v>#VALUE!</v>
      </c>
      <c r="AC457" t="e">
        <f>'Australia and Oceania'!G157+"n/&gt;!5kx"</f>
        <v>#VALUE!</v>
      </c>
      <c r="AD457" t="e">
        <f>'Australia and Oceania'!H157+"n/&gt;!5ky"</f>
        <v>#VALUE!</v>
      </c>
      <c r="AE457" t="e">
        <f>'Australia and Oceania'!I157+"n/&gt;!5kz"</f>
        <v>#VALUE!</v>
      </c>
      <c r="AF457" t="e">
        <f>'Australia and Oceania'!A158+"n/&gt;!5k{"</f>
        <v>#VALUE!</v>
      </c>
      <c r="AG457" t="e">
        <f>'Australia and Oceania'!B158+"n/&gt;!5k|"</f>
        <v>#VALUE!</v>
      </c>
      <c r="AH457" t="e">
        <f>'Australia and Oceania'!C158+"n/&gt;!5k}"</f>
        <v>#VALUE!</v>
      </c>
      <c r="AI457" t="e">
        <f>'Australia and Oceania'!D158+"n/&gt;!5k~"</f>
        <v>#VALUE!</v>
      </c>
      <c r="AJ457" t="e">
        <f>'Australia and Oceania'!E158+"n/&gt;!5l#"</f>
        <v>#VALUE!</v>
      </c>
      <c r="AK457" t="e">
        <f>'Australia and Oceania'!F158+"n/&gt;!5l$"</f>
        <v>#VALUE!</v>
      </c>
      <c r="AL457" t="e">
        <f>'Australia and Oceania'!G158+"n/&gt;!5l%"</f>
        <v>#VALUE!</v>
      </c>
      <c r="AM457" t="e">
        <f>'Australia and Oceania'!H158+"n/&gt;!5l&amp;"</f>
        <v>#VALUE!</v>
      </c>
      <c r="AN457" t="e">
        <f>'Australia and Oceania'!I158+"n/&gt;!5l'"</f>
        <v>#VALUE!</v>
      </c>
      <c r="AO457" t="e">
        <f>'Australia and Oceania'!A159+"n/&gt;!5l("</f>
        <v>#VALUE!</v>
      </c>
      <c r="AP457" t="e">
        <f>'Australia and Oceania'!B159+"n/&gt;!5l)"</f>
        <v>#VALUE!</v>
      </c>
      <c r="AQ457" t="e">
        <f>'Australia and Oceania'!C159+"n/&gt;!5l."</f>
        <v>#VALUE!</v>
      </c>
      <c r="AR457" t="e">
        <f>'Australia and Oceania'!D159+"n/&gt;!5l/"</f>
        <v>#VALUE!</v>
      </c>
      <c r="AS457" t="e">
        <f>'Australia and Oceania'!E159+"n/&gt;!5l0"</f>
        <v>#VALUE!</v>
      </c>
      <c r="AT457" t="e">
        <f>'Australia and Oceania'!F159+"n/&gt;!5l1"</f>
        <v>#VALUE!</v>
      </c>
      <c r="AU457" t="e">
        <f>'Australia and Oceania'!G159+"n/&gt;!5l2"</f>
        <v>#VALUE!</v>
      </c>
      <c r="AV457" t="e">
        <f>'Australia and Oceania'!H159+"n/&gt;!5l3"</f>
        <v>#VALUE!</v>
      </c>
      <c r="AW457" t="e">
        <f>'Australia and Oceania'!I159+"n/&gt;!5l4"</f>
        <v>#VALUE!</v>
      </c>
      <c r="AX457" t="e">
        <f>'Australia and Oceania'!A160+"n/&gt;!5l5"</f>
        <v>#VALUE!</v>
      </c>
      <c r="AY457" t="e">
        <f>'Australia and Oceania'!B160+"n/&gt;!5l6"</f>
        <v>#VALUE!</v>
      </c>
      <c r="AZ457" t="e">
        <f>'Australia and Oceania'!C160+"n/&gt;!5l7"</f>
        <v>#VALUE!</v>
      </c>
      <c r="BA457" t="e">
        <f>'Australia and Oceania'!D160+"n/&gt;!5l8"</f>
        <v>#VALUE!</v>
      </c>
      <c r="BB457" t="e">
        <f>'Australia and Oceania'!E160+"n/&gt;!5l9"</f>
        <v>#VALUE!</v>
      </c>
      <c r="BC457" t="e">
        <f>'Australia and Oceania'!F160+"n/&gt;!5l:"</f>
        <v>#VALUE!</v>
      </c>
      <c r="BD457" t="e">
        <f>'Australia and Oceania'!G160+"n/&gt;!5l;"</f>
        <v>#VALUE!</v>
      </c>
      <c r="BE457" t="e">
        <f>'Australia and Oceania'!H160+"n/&gt;!5l&lt;"</f>
        <v>#VALUE!</v>
      </c>
      <c r="BF457" t="e">
        <f>'Australia and Oceania'!I160+"n/&gt;!5l="</f>
        <v>#VALUE!</v>
      </c>
      <c r="BG457" t="e">
        <f>'Australia and Oceania'!A161+"n/&gt;!5l&gt;"</f>
        <v>#VALUE!</v>
      </c>
      <c r="BH457" t="e">
        <f>'Australia and Oceania'!B161+"n/&gt;!5l?"</f>
        <v>#VALUE!</v>
      </c>
      <c r="BI457" t="e">
        <f>'Australia and Oceania'!C161+"n/&gt;!5l@"</f>
        <v>#VALUE!</v>
      </c>
      <c r="BJ457" t="e">
        <f>'Australia and Oceania'!D161+"n/&gt;!5lA"</f>
        <v>#VALUE!</v>
      </c>
      <c r="BK457" t="e">
        <f>'Australia and Oceania'!E161+"n/&gt;!5lB"</f>
        <v>#VALUE!</v>
      </c>
      <c r="BL457" t="e">
        <f>'Australia and Oceania'!F161+"n/&gt;!5lC"</f>
        <v>#VALUE!</v>
      </c>
      <c r="BM457" t="e">
        <f>'Australia and Oceania'!G161+"n/&gt;!5lD"</f>
        <v>#VALUE!</v>
      </c>
      <c r="BN457" t="e">
        <f>'Australia and Oceania'!H161+"n/&gt;!5lE"</f>
        <v>#VALUE!</v>
      </c>
      <c r="BO457" t="e">
        <f>'Australia and Oceania'!I161+"n/&gt;!5lF"</f>
        <v>#VALUE!</v>
      </c>
      <c r="BP457" t="e">
        <f>'Australia and Oceania'!A162+"n/&gt;!5lG"</f>
        <v>#VALUE!</v>
      </c>
      <c r="BQ457" t="e">
        <f>'Australia and Oceania'!B162+"n/&gt;!5lH"</f>
        <v>#VALUE!</v>
      </c>
      <c r="BR457" t="e">
        <f>'Australia and Oceania'!C162+"n/&gt;!5lI"</f>
        <v>#VALUE!</v>
      </c>
      <c r="BS457" t="e">
        <f>'Australia and Oceania'!D162+"n/&gt;!5lJ"</f>
        <v>#VALUE!</v>
      </c>
      <c r="BT457" t="e">
        <f>'Australia and Oceania'!E162+"n/&gt;!5lK"</f>
        <v>#VALUE!</v>
      </c>
      <c r="BU457" t="e">
        <f>'Australia and Oceania'!F162+"n/&gt;!5lL"</f>
        <v>#VALUE!</v>
      </c>
      <c r="BV457" t="e">
        <f>'Australia and Oceania'!G162+"n/&gt;!5lM"</f>
        <v>#VALUE!</v>
      </c>
      <c r="BW457" t="e">
        <f>'Australia and Oceania'!H162+"n/&gt;!5lN"</f>
        <v>#VALUE!</v>
      </c>
      <c r="BX457" t="e">
        <f>'Australia and Oceania'!I162+"n/&gt;!5lO"</f>
        <v>#VALUE!</v>
      </c>
      <c r="BY457" t="e">
        <f>'Australia and Oceania'!A163+"n/&gt;!5lP"</f>
        <v>#VALUE!</v>
      </c>
      <c r="BZ457" t="e">
        <f>'Australia and Oceania'!B163+"n/&gt;!5lQ"</f>
        <v>#VALUE!</v>
      </c>
      <c r="CA457" t="e">
        <f>'Australia and Oceania'!C163+"n/&gt;!5lR"</f>
        <v>#VALUE!</v>
      </c>
      <c r="CB457" t="e">
        <f>'Australia and Oceania'!D163+"n/&gt;!5lS"</f>
        <v>#VALUE!</v>
      </c>
      <c r="CC457" t="e">
        <f>'Australia and Oceania'!E163+"n/&gt;!5lT"</f>
        <v>#VALUE!</v>
      </c>
      <c r="CD457" t="e">
        <f>'Australia and Oceania'!F163+"n/&gt;!5lU"</f>
        <v>#VALUE!</v>
      </c>
      <c r="CE457" t="e">
        <f>'Australia and Oceania'!G163+"n/&gt;!5lV"</f>
        <v>#VALUE!</v>
      </c>
      <c r="CF457" t="e">
        <f>'Australia and Oceania'!H163+"n/&gt;!5lW"</f>
        <v>#VALUE!</v>
      </c>
      <c r="CG457" t="e">
        <f>'Australia and Oceania'!I163+"n/&gt;!5lX"</f>
        <v>#VALUE!</v>
      </c>
      <c r="CH457" t="e">
        <f>'Australia and Oceania'!A164+"n/&gt;!5lY"</f>
        <v>#VALUE!</v>
      </c>
      <c r="CI457" t="e">
        <f>'Australia and Oceania'!B164+"n/&gt;!5lZ"</f>
        <v>#VALUE!</v>
      </c>
      <c r="CJ457" t="e">
        <f>'Australia and Oceania'!C164+"n/&gt;!5l["</f>
        <v>#VALUE!</v>
      </c>
      <c r="CK457" t="e">
        <f>'Australia and Oceania'!D164+"n/&gt;!5l\"</f>
        <v>#VALUE!</v>
      </c>
      <c r="CL457" t="e">
        <f>'Australia and Oceania'!E164+"n/&gt;!5l]"</f>
        <v>#VALUE!</v>
      </c>
      <c r="CM457" t="e">
        <f>'Australia and Oceania'!F164+"n/&gt;!5l^"</f>
        <v>#VALUE!</v>
      </c>
      <c r="CN457" t="e">
        <f>'Australia and Oceania'!G164+"n/&gt;!5l_"</f>
        <v>#VALUE!</v>
      </c>
      <c r="CO457" t="e">
        <f>'Australia and Oceania'!H164+"n/&gt;!5l`"</f>
        <v>#VALUE!</v>
      </c>
      <c r="CP457" t="e">
        <f>'Australia and Oceania'!I164+"n/&gt;!5la"</f>
        <v>#VALUE!</v>
      </c>
      <c r="CQ457" t="e">
        <f>'Australia and Oceania'!A165+"n/&gt;!5lb"</f>
        <v>#VALUE!</v>
      </c>
      <c r="CR457" t="e">
        <f>'Australia and Oceania'!B165+"n/&gt;!5lc"</f>
        <v>#VALUE!</v>
      </c>
      <c r="CS457" t="e">
        <f>'Australia and Oceania'!C165+"n/&gt;!5ld"</f>
        <v>#VALUE!</v>
      </c>
      <c r="CT457" t="e">
        <f>'Australia and Oceania'!D165+"n/&gt;!5le"</f>
        <v>#VALUE!</v>
      </c>
      <c r="CU457" t="e">
        <f>'Australia and Oceania'!E165+"n/&gt;!5lf"</f>
        <v>#VALUE!</v>
      </c>
      <c r="CV457" t="e">
        <f>'Australia and Oceania'!F165+"n/&gt;!5lg"</f>
        <v>#VALUE!</v>
      </c>
      <c r="CW457" t="e">
        <f>'Australia and Oceania'!G165+"n/&gt;!5lh"</f>
        <v>#VALUE!</v>
      </c>
      <c r="CX457" t="e">
        <f>'Australia and Oceania'!H165+"n/&gt;!5li"</f>
        <v>#VALUE!</v>
      </c>
      <c r="CY457" t="e">
        <f>'Australia and Oceania'!I165+"n/&gt;!5lj"</f>
        <v>#VALUE!</v>
      </c>
      <c r="CZ457" t="e">
        <f>'Australia and Oceania'!A166+"n/&gt;!5lk"</f>
        <v>#VALUE!</v>
      </c>
      <c r="DA457" t="e">
        <f>'Australia and Oceania'!B166+"n/&gt;!5ll"</f>
        <v>#VALUE!</v>
      </c>
      <c r="DB457" t="e">
        <f>'Australia and Oceania'!C166+"n/&gt;!5lm"</f>
        <v>#VALUE!</v>
      </c>
      <c r="DC457" t="e">
        <f>'Australia and Oceania'!D166+"n/&gt;!5ln"</f>
        <v>#VALUE!</v>
      </c>
      <c r="DD457" t="e">
        <f>'Australia and Oceania'!E166+"n/&gt;!5lo"</f>
        <v>#VALUE!</v>
      </c>
      <c r="DE457" t="e">
        <f>'Australia and Oceania'!F166+"n/&gt;!5lp"</f>
        <v>#VALUE!</v>
      </c>
      <c r="DF457" t="e">
        <f>'Australia and Oceania'!G166+"n/&gt;!5lq"</f>
        <v>#VALUE!</v>
      </c>
      <c r="DG457" t="e">
        <f>'Australia and Oceania'!H166+"n/&gt;!5lr"</f>
        <v>#VALUE!</v>
      </c>
      <c r="DH457" t="e">
        <f>'Australia and Oceania'!I166+"n/&gt;!5ls"</f>
        <v>#VALUE!</v>
      </c>
      <c r="DI457" t="e">
        <f>'Australia and Oceania'!A167+"n/&gt;!5lt"</f>
        <v>#VALUE!</v>
      </c>
      <c r="DJ457" t="e">
        <f>'Australia and Oceania'!B167+"n/&gt;!5lu"</f>
        <v>#VALUE!</v>
      </c>
      <c r="DK457" t="e">
        <f>'Australia and Oceania'!C167+"n/&gt;!5lv"</f>
        <v>#VALUE!</v>
      </c>
      <c r="DL457" t="e">
        <f>'Australia and Oceania'!D167+"n/&gt;!5lw"</f>
        <v>#VALUE!</v>
      </c>
      <c r="DM457" t="e">
        <f>'Australia and Oceania'!E167+"n/&gt;!5lx"</f>
        <v>#VALUE!</v>
      </c>
      <c r="DN457" t="e">
        <f>'Australia and Oceania'!F167+"n/&gt;!5ly"</f>
        <v>#VALUE!</v>
      </c>
      <c r="DO457" t="e">
        <f>'Australia and Oceania'!G167+"n/&gt;!5lz"</f>
        <v>#VALUE!</v>
      </c>
      <c r="DP457" t="e">
        <f>'Australia and Oceania'!H167+"n/&gt;!5l{"</f>
        <v>#VALUE!</v>
      </c>
      <c r="DQ457" t="e">
        <f>'Australia and Oceania'!I167+"n/&gt;!5l|"</f>
        <v>#VALUE!</v>
      </c>
      <c r="DR457" t="e">
        <f>'Australia and Oceania'!A168+"n/&gt;!5l}"</f>
        <v>#VALUE!</v>
      </c>
      <c r="DS457" t="e">
        <f>'Australia and Oceania'!B168+"n/&gt;!5l~"</f>
        <v>#VALUE!</v>
      </c>
      <c r="DT457" t="e">
        <f>'Australia and Oceania'!C168+"n/&gt;!5m#"</f>
        <v>#VALUE!</v>
      </c>
      <c r="DU457" t="e">
        <f>'Australia and Oceania'!D168+"n/&gt;!5m$"</f>
        <v>#VALUE!</v>
      </c>
      <c r="DV457" t="e">
        <f>'Australia and Oceania'!E168+"n/&gt;!5m%"</f>
        <v>#VALUE!</v>
      </c>
      <c r="DW457" t="e">
        <f>'Australia and Oceania'!F168+"n/&gt;!5m&amp;"</f>
        <v>#VALUE!</v>
      </c>
      <c r="DX457" t="e">
        <f>'Australia and Oceania'!G168+"n/&gt;!5m'"</f>
        <v>#VALUE!</v>
      </c>
      <c r="DY457" t="e">
        <f>'Australia and Oceania'!H168+"n/&gt;!5m("</f>
        <v>#VALUE!</v>
      </c>
      <c r="DZ457" t="e">
        <f>'Australia and Oceania'!I168+"n/&gt;!5m)"</f>
        <v>#VALUE!</v>
      </c>
      <c r="EA457" t="e">
        <f>'Australia and Oceania'!A169+"n/&gt;!5m."</f>
        <v>#VALUE!</v>
      </c>
      <c r="EB457" t="e">
        <f>'Australia and Oceania'!B169+"n/&gt;!5m/"</f>
        <v>#VALUE!</v>
      </c>
      <c r="EC457" t="e">
        <f>'Australia and Oceania'!C169+"n/&gt;!5m0"</f>
        <v>#VALUE!</v>
      </c>
      <c r="ED457" t="e">
        <f>'Australia and Oceania'!D169+"n/&gt;!5m1"</f>
        <v>#VALUE!</v>
      </c>
      <c r="EE457" t="e">
        <f>'Australia and Oceania'!E169+"n/&gt;!5m2"</f>
        <v>#VALUE!</v>
      </c>
      <c r="EF457" t="e">
        <f>'Australia and Oceania'!F169+"n/&gt;!5m3"</f>
        <v>#VALUE!</v>
      </c>
      <c r="EG457" t="e">
        <f>'Australia and Oceania'!G169+"n/&gt;!5m4"</f>
        <v>#VALUE!</v>
      </c>
      <c r="EH457" t="e">
        <f>'Australia and Oceania'!H169+"n/&gt;!5m5"</f>
        <v>#VALUE!</v>
      </c>
      <c r="EI457" t="e">
        <f>'Australia and Oceania'!I169+"n/&gt;!5m6"</f>
        <v>#VALUE!</v>
      </c>
      <c r="EJ457" t="e">
        <f>'Australia and Oceania'!A170+"n/&gt;!5m7"</f>
        <v>#VALUE!</v>
      </c>
      <c r="EK457" t="e">
        <f>'Australia and Oceania'!B170+"n/&gt;!5m8"</f>
        <v>#VALUE!</v>
      </c>
      <c r="EL457" t="e">
        <f>'Australia and Oceania'!C170+"n/&gt;!5m9"</f>
        <v>#VALUE!</v>
      </c>
      <c r="EM457" t="e">
        <f>'Australia and Oceania'!D170+"n/&gt;!5m:"</f>
        <v>#VALUE!</v>
      </c>
      <c r="EN457" t="e">
        <f>'Australia and Oceania'!E170+"n/&gt;!5m;"</f>
        <v>#VALUE!</v>
      </c>
      <c r="EO457" t="e">
        <f>'Australia and Oceania'!F170+"n/&gt;!5m&lt;"</f>
        <v>#VALUE!</v>
      </c>
      <c r="EP457" t="e">
        <f>'Australia and Oceania'!G170+"n/&gt;!5m="</f>
        <v>#VALUE!</v>
      </c>
      <c r="EQ457" t="e">
        <f>'Australia and Oceania'!H170+"n/&gt;!5m&gt;"</f>
        <v>#VALUE!</v>
      </c>
      <c r="ER457" t="e">
        <f>'Australia and Oceania'!I170+"n/&gt;!5m?"</f>
        <v>#VALUE!</v>
      </c>
      <c r="ES457" t="e">
        <f>'Australia and Oceania'!A171+"n/&gt;!5m@"</f>
        <v>#VALUE!</v>
      </c>
      <c r="ET457" t="e">
        <f>'Australia and Oceania'!B171+"n/&gt;!5mA"</f>
        <v>#VALUE!</v>
      </c>
      <c r="EU457" t="e">
        <f>'Australia and Oceania'!C171+"n/&gt;!5mB"</f>
        <v>#VALUE!</v>
      </c>
      <c r="EV457" t="e">
        <f>'Australia and Oceania'!D171+"n/&gt;!5mC"</f>
        <v>#VALUE!</v>
      </c>
      <c r="EW457" t="e">
        <f>'Australia and Oceania'!E171+"n/&gt;!5mD"</f>
        <v>#VALUE!</v>
      </c>
      <c r="EX457" t="e">
        <f>'Australia and Oceania'!F171+"n/&gt;!5mE"</f>
        <v>#VALUE!</v>
      </c>
      <c r="EY457" t="e">
        <f>'Australia and Oceania'!G171+"n/&gt;!5mF"</f>
        <v>#VALUE!</v>
      </c>
      <c r="EZ457" t="e">
        <f>'Australia and Oceania'!H171+"n/&gt;!5mG"</f>
        <v>#VALUE!</v>
      </c>
      <c r="FA457" t="e">
        <f>'Australia and Oceania'!I171+"n/&gt;!5mH"</f>
        <v>#VALUE!</v>
      </c>
      <c r="FB457" t="e">
        <f>'Australia and Oceania'!A172+"n/&gt;!5mI"</f>
        <v>#VALUE!</v>
      </c>
      <c r="FC457" t="e">
        <f>'Australia and Oceania'!B172+"n/&gt;!5mJ"</f>
        <v>#VALUE!</v>
      </c>
      <c r="FD457" t="e">
        <f>'Australia and Oceania'!C172+"n/&gt;!5mK"</f>
        <v>#VALUE!</v>
      </c>
      <c r="FE457" t="e">
        <f>'Australia and Oceania'!D172+"n/&gt;!5mL"</f>
        <v>#VALUE!</v>
      </c>
      <c r="FF457" t="e">
        <f>'Australia and Oceania'!E172+"n/&gt;!5mM"</f>
        <v>#VALUE!</v>
      </c>
      <c r="FG457" t="e">
        <f>'Australia and Oceania'!F172+"n/&gt;!5mN"</f>
        <v>#VALUE!</v>
      </c>
      <c r="FH457" t="e">
        <f>'Australia and Oceania'!G172+"n/&gt;!5mO"</f>
        <v>#VALUE!</v>
      </c>
      <c r="FI457" t="e">
        <f>'Australia and Oceania'!H172+"n/&gt;!5mP"</f>
        <v>#VALUE!</v>
      </c>
      <c r="FJ457" t="e">
        <f>'Australia and Oceania'!I172+"n/&gt;!5mQ"</f>
        <v>#VALUE!</v>
      </c>
      <c r="FK457" t="e">
        <f>'Australia and Oceania'!A173+"n/&gt;!5mR"</f>
        <v>#VALUE!</v>
      </c>
      <c r="FL457" t="e">
        <f>'Australia and Oceania'!B173+"n/&gt;!5mS"</f>
        <v>#VALUE!</v>
      </c>
      <c r="FM457" t="e">
        <f>'Australia and Oceania'!C173+"n/&gt;!5mT"</f>
        <v>#VALUE!</v>
      </c>
      <c r="FN457" t="e">
        <f>'Australia and Oceania'!D173+"n/&gt;!5mU"</f>
        <v>#VALUE!</v>
      </c>
      <c r="FO457" t="e">
        <f>'Australia and Oceania'!E173+"n/&gt;!5mV"</f>
        <v>#VALUE!</v>
      </c>
      <c r="FP457" t="e">
        <f>'Australia and Oceania'!F173+"n/&gt;!5mW"</f>
        <v>#VALUE!</v>
      </c>
      <c r="FQ457" t="e">
        <f>'Australia and Oceania'!G173+"n/&gt;!5mX"</f>
        <v>#VALUE!</v>
      </c>
      <c r="FR457" t="e">
        <f>'Australia and Oceania'!H173+"n/&gt;!5mY"</f>
        <v>#VALUE!</v>
      </c>
      <c r="FS457" t="e">
        <f>'Australia and Oceania'!I173+"n/&gt;!5mZ"</f>
        <v>#VALUE!</v>
      </c>
      <c r="FT457" t="e">
        <f>'Australia and Oceania'!A174+"n/&gt;!5m["</f>
        <v>#VALUE!</v>
      </c>
      <c r="FU457" t="e">
        <f>'Australia and Oceania'!B174+"n/&gt;!5m\"</f>
        <v>#VALUE!</v>
      </c>
      <c r="FV457" t="e">
        <f>'Australia and Oceania'!C174+"n/&gt;!5m]"</f>
        <v>#VALUE!</v>
      </c>
      <c r="FW457" t="e">
        <f>'Australia and Oceania'!D174+"n/&gt;!5m^"</f>
        <v>#VALUE!</v>
      </c>
      <c r="FX457" t="e">
        <f>'Australia and Oceania'!E174+"n/&gt;!5m_"</f>
        <v>#VALUE!</v>
      </c>
      <c r="FY457" t="e">
        <f>'Australia and Oceania'!F174+"n/&gt;!5m`"</f>
        <v>#VALUE!</v>
      </c>
      <c r="FZ457" t="e">
        <f>'Australia and Oceania'!G174+"n/&gt;!5ma"</f>
        <v>#VALUE!</v>
      </c>
      <c r="GA457" t="e">
        <f>'Australia and Oceania'!H174+"n/&gt;!5mb"</f>
        <v>#VALUE!</v>
      </c>
      <c r="GB457" t="e">
        <f>'Australia and Oceania'!I174+"n/&gt;!5mc"</f>
        <v>#VALUE!</v>
      </c>
      <c r="GC457" t="e">
        <f>'Australia and Oceania'!A175+"n/&gt;!5md"</f>
        <v>#VALUE!</v>
      </c>
      <c r="GD457" t="e">
        <f>'Australia and Oceania'!B175+"n/&gt;!5me"</f>
        <v>#VALUE!</v>
      </c>
      <c r="GE457" t="e">
        <f>'Australia and Oceania'!C175+"n/&gt;!5mf"</f>
        <v>#VALUE!</v>
      </c>
      <c r="GF457" t="e">
        <f>'Australia and Oceania'!D175+"n/&gt;!5mg"</f>
        <v>#VALUE!</v>
      </c>
      <c r="GG457" t="e">
        <f>'Australia and Oceania'!E175+"n/&gt;!5mh"</f>
        <v>#VALUE!</v>
      </c>
      <c r="GH457" t="e">
        <f>'Australia and Oceania'!F175+"n/&gt;!5mi"</f>
        <v>#VALUE!</v>
      </c>
      <c r="GI457" t="e">
        <f>'Australia and Oceania'!G175+"n/&gt;!5mj"</f>
        <v>#VALUE!</v>
      </c>
      <c r="GJ457" t="e">
        <f>'Australia and Oceania'!H175+"n/&gt;!5mk"</f>
        <v>#VALUE!</v>
      </c>
      <c r="GK457" t="e">
        <f>'Australia and Oceania'!I175+"n/&gt;!5ml"</f>
        <v>#VALUE!</v>
      </c>
      <c r="GL457" t="e">
        <f>'Australia and Oceania'!A176+"n/&gt;!5mm"</f>
        <v>#VALUE!</v>
      </c>
      <c r="GM457" t="e">
        <f>'Australia and Oceania'!B176+"n/&gt;!5mn"</f>
        <v>#VALUE!</v>
      </c>
      <c r="GN457" t="e">
        <f>'Australia and Oceania'!C176+"n/&gt;!5mo"</f>
        <v>#VALUE!</v>
      </c>
      <c r="GO457" t="e">
        <f>'Australia and Oceania'!D176+"n/&gt;!5mp"</f>
        <v>#VALUE!</v>
      </c>
      <c r="GP457" t="e">
        <f>'Australia and Oceania'!E176+"n/&gt;!5mq"</f>
        <v>#VALUE!</v>
      </c>
      <c r="GQ457" t="e">
        <f>'Australia and Oceania'!F176+"n/&gt;!5mr"</f>
        <v>#VALUE!</v>
      </c>
      <c r="GR457" t="e">
        <f>'Australia and Oceania'!G176+"n/&gt;!5ms"</f>
        <v>#VALUE!</v>
      </c>
      <c r="GS457" t="e">
        <f>'Australia and Oceania'!H176+"n/&gt;!5mt"</f>
        <v>#VALUE!</v>
      </c>
      <c r="GT457" t="e">
        <f>'Australia and Oceania'!I176+"n/&gt;!5mu"</f>
        <v>#VALUE!</v>
      </c>
      <c r="GU457" t="e">
        <f>'Australia and Oceania'!A177+"n/&gt;!5mv"</f>
        <v>#VALUE!</v>
      </c>
      <c r="GV457" t="e">
        <f>'Australia and Oceania'!B177+"n/&gt;!5mw"</f>
        <v>#VALUE!</v>
      </c>
      <c r="GW457" t="e">
        <f>'Australia and Oceania'!C177+"n/&gt;!5mx"</f>
        <v>#VALUE!</v>
      </c>
      <c r="GX457" t="e">
        <f>'Australia and Oceania'!D177+"n/&gt;!5my"</f>
        <v>#VALUE!</v>
      </c>
      <c r="GY457" t="e">
        <f>'Australia and Oceania'!E177+"n/&gt;!5mz"</f>
        <v>#VALUE!</v>
      </c>
      <c r="GZ457" t="e">
        <f>'Australia and Oceania'!F177+"n/&gt;!5m{"</f>
        <v>#VALUE!</v>
      </c>
      <c r="HA457" t="e">
        <f>'Australia and Oceania'!G177+"n/&gt;!5m|"</f>
        <v>#VALUE!</v>
      </c>
      <c r="HB457" t="e">
        <f>'Australia and Oceania'!H177+"n/&gt;!5m}"</f>
        <v>#VALUE!</v>
      </c>
      <c r="HC457" t="e">
        <f>'Australia and Oceania'!I177+"n/&gt;!5m~"</f>
        <v>#VALUE!</v>
      </c>
      <c r="HD457" t="e">
        <f>'Australia and Oceania'!A178+"n/&gt;!5n#"</f>
        <v>#VALUE!</v>
      </c>
      <c r="HE457" t="e">
        <f>'Australia and Oceania'!B178+"n/&gt;!5n$"</f>
        <v>#VALUE!</v>
      </c>
      <c r="HF457" t="e">
        <f>'Australia and Oceania'!C178+"n/&gt;!5n%"</f>
        <v>#VALUE!</v>
      </c>
      <c r="HG457" t="e">
        <f>'Australia and Oceania'!D178+"n/&gt;!5n&amp;"</f>
        <v>#VALUE!</v>
      </c>
      <c r="HH457" t="e">
        <f>'Australia and Oceania'!E178+"n/&gt;!5n'"</f>
        <v>#VALUE!</v>
      </c>
      <c r="HI457" t="e">
        <f>'Australia and Oceania'!F178+"n/&gt;!5n("</f>
        <v>#VALUE!</v>
      </c>
      <c r="HJ457" t="e">
        <f>'Australia and Oceania'!G178+"n/&gt;!5n)"</f>
        <v>#VALUE!</v>
      </c>
      <c r="HK457" t="e">
        <f>'Australia and Oceania'!H178+"n/&gt;!5n."</f>
        <v>#VALUE!</v>
      </c>
      <c r="HL457" t="e">
        <f>'Australia and Oceania'!I178+"n/&gt;!5n/"</f>
        <v>#VALUE!</v>
      </c>
      <c r="HM457" t="e">
        <f>'Australia and Oceania'!A179+"n/&gt;!5n0"</f>
        <v>#VALUE!</v>
      </c>
      <c r="HN457" t="e">
        <f>'Australia and Oceania'!B179+"n/&gt;!5n1"</f>
        <v>#VALUE!</v>
      </c>
      <c r="HO457" t="e">
        <f>'Australia and Oceania'!C179+"n/&gt;!5n2"</f>
        <v>#VALUE!</v>
      </c>
      <c r="HP457" t="e">
        <f>'Australia and Oceania'!D179+"n/&gt;!5n3"</f>
        <v>#VALUE!</v>
      </c>
      <c r="HQ457" t="e">
        <f>'Australia and Oceania'!E179+"n/&gt;!5n4"</f>
        <v>#VALUE!</v>
      </c>
      <c r="HR457" t="e">
        <f>'Australia and Oceania'!F179+"n/&gt;!5n5"</f>
        <v>#VALUE!</v>
      </c>
      <c r="HS457" t="e">
        <f>'Australia and Oceania'!G179+"n/&gt;!5n6"</f>
        <v>#VALUE!</v>
      </c>
      <c r="HT457" t="e">
        <f>'Australia and Oceania'!H179+"n/&gt;!5n7"</f>
        <v>#VALUE!</v>
      </c>
      <c r="HU457" t="e">
        <f>'Australia and Oceania'!I179+"n/&gt;!5n8"</f>
        <v>#VALUE!</v>
      </c>
      <c r="HV457" t="e">
        <f>'Australia and Oceania'!A180+"n/&gt;!5n9"</f>
        <v>#VALUE!</v>
      </c>
      <c r="HW457" t="e">
        <f>'Australia and Oceania'!B180+"n/&gt;!5n:"</f>
        <v>#VALUE!</v>
      </c>
      <c r="HX457" t="e">
        <f>'Australia and Oceania'!C180+"n/&gt;!5n;"</f>
        <v>#VALUE!</v>
      </c>
      <c r="HY457" t="e">
        <f>'Australia and Oceania'!D180+"n/&gt;!5n&lt;"</f>
        <v>#VALUE!</v>
      </c>
      <c r="HZ457" t="e">
        <f>'Australia and Oceania'!E180+"n/&gt;!5n="</f>
        <v>#VALUE!</v>
      </c>
      <c r="IA457" t="e">
        <f>'Australia and Oceania'!F180+"n/&gt;!5n&gt;"</f>
        <v>#VALUE!</v>
      </c>
      <c r="IB457" t="e">
        <f>'Australia and Oceania'!G180+"n/&gt;!5n?"</f>
        <v>#VALUE!</v>
      </c>
      <c r="IC457" t="e">
        <f>'Australia and Oceania'!H180+"n/&gt;!5n@"</f>
        <v>#VALUE!</v>
      </c>
      <c r="ID457" t="e">
        <f>'Australia and Oceania'!I180+"n/&gt;!5nA"</f>
        <v>#VALUE!</v>
      </c>
      <c r="IE457" t="e">
        <f>'Australia and Oceania'!A181+"n/&gt;!5nB"</f>
        <v>#VALUE!</v>
      </c>
      <c r="IF457" t="e">
        <f>'Australia and Oceania'!B181+"n/&gt;!5nC"</f>
        <v>#VALUE!</v>
      </c>
      <c r="IG457" t="e">
        <f>'Australia and Oceania'!C181+"n/&gt;!5nD"</f>
        <v>#VALUE!</v>
      </c>
      <c r="IH457" t="e">
        <f>'Australia and Oceania'!D181+"n/&gt;!5nE"</f>
        <v>#VALUE!</v>
      </c>
      <c r="II457" t="e">
        <f>'Australia and Oceania'!E181+"n/&gt;!5nF"</f>
        <v>#VALUE!</v>
      </c>
      <c r="IJ457" t="e">
        <f>'Australia and Oceania'!F181+"n/&gt;!5nG"</f>
        <v>#VALUE!</v>
      </c>
      <c r="IK457" t="e">
        <f>'Australia and Oceania'!G181+"n/&gt;!5nH"</f>
        <v>#VALUE!</v>
      </c>
      <c r="IL457" t="e">
        <f>'Australia and Oceania'!H181+"n/&gt;!5nI"</f>
        <v>#VALUE!</v>
      </c>
      <c r="IM457" t="e">
        <f>'Australia and Oceania'!I181+"n/&gt;!5nJ"</f>
        <v>#VALUE!</v>
      </c>
      <c r="IN457" t="e">
        <f>'Australia and Oceania'!A182+"n/&gt;!5nK"</f>
        <v>#VALUE!</v>
      </c>
      <c r="IO457" t="e">
        <f>'Australia and Oceania'!B182+"n/&gt;!5nL"</f>
        <v>#VALUE!</v>
      </c>
      <c r="IP457" t="e">
        <f>'Australia and Oceania'!C182+"n/&gt;!5nM"</f>
        <v>#VALUE!</v>
      </c>
      <c r="IQ457" t="e">
        <f>'Australia and Oceania'!D182+"n/&gt;!5nN"</f>
        <v>#VALUE!</v>
      </c>
      <c r="IR457" t="e">
        <f>'Australia and Oceania'!E182+"n/&gt;!5nO"</f>
        <v>#VALUE!</v>
      </c>
      <c r="IS457" t="e">
        <f>'Australia and Oceania'!F182+"n/&gt;!5nP"</f>
        <v>#VALUE!</v>
      </c>
      <c r="IT457" t="e">
        <f>'Australia and Oceania'!G182+"n/&gt;!5nQ"</f>
        <v>#VALUE!</v>
      </c>
      <c r="IU457" t="e">
        <f>'Australia and Oceania'!H182+"n/&gt;!5nR"</f>
        <v>#VALUE!</v>
      </c>
      <c r="IV457" t="e">
        <f>'Australia and Oceania'!I182+"n/&gt;!5nS"</f>
        <v>#VALUE!</v>
      </c>
    </row>
    <row r="458" spans="6:256" x14ac:dyDescent="0.35">
      <c r="F458" t="e">
        <f>'Australia and Oceania'!A183+"n/&gt;!5nT"</f>
        <v>#VALUE!</v>
      </c>
      <c r="G458" t="e">
        <f>'Australia and Oceania'!B183+"n/&gt;!5nU"</f>
        <v>#VALUE!</v>
      </c>
      <c r="H458" t="e">
        <f>'Australia and Oceania'!C183+"n/&gt;!5nV"</f>
        <v>#VALUE!</v>
      </c>
      <c r="I458" t="e">
        <f>'Australia and Oceania'!D183+"n/&gt;!5nW"</f>
        <v>#VALUE!</v>
      </c>
      <c r="J458" t="e">
        <f>'Australia and Oceania'!E183+"n/&gt;!5nX"</f>
        <v>#VALUE!</v>
      </c>
      <c r="K458" t="e">
        <f>'Australia and Oceania'!F183+"n/&gt;!5nY"</f>
        <v>#VALUE!</v>
      </c>
      <c r="L458" t="e">
        <f>'Australia and Oceania'!G183+"n/&gt;!5nZ"</f>
        <v>#VALUE!</v>
      </c>
      <c r="M458" t="e">
        <f>'Australia and Oceania'!H183+"n/&gt;!5n["</f>
        <v>#VALUE!</v>
      </c>
      <c r="N458" t="e">
        <f>'Australia and Oceania'!I183+"n/&gt;!5n\"</f>
        <v>#VALUE!</v>
      </c>
      <c r="O458" t="e">
        <f>'Australia and Oceania'!A184+"n/&gt;!5n]"</f>
        <v>#VALUE!</v>
      </c>
      <c r="P458" t="e">
        <f>'Australia and Oceania'!B184+"n/&gt;!5n^"</f>
        <v>#VALUE!</v>
      </c>
      <c r="Q458" t="e">
        <f>'Australia and Oceania'!C184+"n/&gt;!5n_"</f>
        <v>#VALUE!</v>
      </c>
      <c r="R458" t="e">
        <f>'Australia and Oceania'!D184+"n/&gt;!5n`"</f>
        <v>#VALUE!</v>
      </c>
      <c r="S458" t="e">
        <f>'Australia and Oceania'!E184+"n/&gt;!5na"</f>
        <v>#VALUE!</v>
      </c>
      <c r="T458" t="e">
        <f>'Australia and Oceania'!F184+"n/&gt;!5nb"</f>
        <v>#VALUE!</v>
      </c>
      <c r="U458" t="e">
        <f>'Australia and Oceania'!G184+"n/&gt;!5nc"</f>
        <v>#VALUE!</v>
      </c>
      <c r="V458" t="e">
        <f>'Australia and Oceania'!H184+"n/&gt;!5nd"</f>
        <v>#VALUE!</v>
      </c>
      <c r="W458" t="e">
        <f>'Australia and Oceania'!I184+"n/&gt;!5ne"</f>
        <v>#VALUE!</v>
      </c>
      <c r="X458" t="e">
        <f>'Australia and Oceania'!A185+"n/&gt;!5nf"</f>
        <v>#VALUE!</v>
      </c>
      <c r="Y458" t="e">
        <f>'Australia and Oceania'!B185+"n/&gt;!5ng"</f>
        <v>#VALUE!</v>
      </c>
      <c r="Z458" t="e">
        <f>'Australia and Oceania'!C185+"n/&gt;!5nh"</f>
        <v>#VALUE!</v>
      </c>
      <c r="AA458" t="e">
        <f>'Australia and Oceania'!D185+"n/&gt;!5ni"</f>
        <v>#VALUE!</v>
      </c>
      <c r="AB458" t="e">
        <f>'Australia and Oceania'!E185+"n/&gt;!5nj"</f>
        <v>#VALUE!</v>
      </c>
      <c r="AC458" t="e">
        <f>'Australia and Oceania'!F185+"n/&gt;!5nk"</f>
        <v>#VALUE!</v>
      </c>
      <c r="AD458" t="e">
        <f>'Australia and Oceania'!G185+"n/&gt;!5nl"</f>
        <v>#VALUE!</v>
      </c>
      <c r="AE458" t="e">
        <f>'Australia and Oceania'!H185+"n/&gt;!5nm"</f>
        <v>#VALUE!</v>
      </c>
      <c r="AF458" t="e">
        <f>'Australia and Oceania'!I185+"n/&gt;!5nn"</f>
        <v>#VALUE!</v>
      </c>
      <c r="AG458" t="e">
        <f>'Australia and Oceania'!A186+"n/&gt;!5no"</f>
        <v>#VALUE!</v>
      </c>
      <c r="AH458" t="e">
        <f>'Australia and Oceania'!B186+"n/&gt;!5np"</f>
        <v>#VALUE!</v>
      </c>
      <c r="AI458" t="e">
        <f>'Australia and Oceania'!C186+"n/&gt;!5nq"</f>
        <v>#VALUE!</v>
      </c>
      <c r="AJ458" t="e">
        <f>'Australia and Oceania'!D186+"n/&gt;!5nr"</f>
        <v>#VALUE!</v>
      </c>
      <c r="AK458" t="e">
        <f>'Australia and Oceania'!E186+"n/&gt;!5ns"</f>
        <v>#VALUE!</v>
      </c>
      <c r="AL458" t="e">
        <f>'Australia and Oceania'!F186+"n/&gt;!5nt"</f>
        <v>#VALUE!</v>
      </c>
      <c r="AM458" t="e">
        <f>'Australia and Oceania'!G186+"n/&gt;!5nu"</f>
        <v>#VALUE!</v>
      </c>
      <c r="AN458" t="e">
        <f>'Australia and Oceania'!H186+"n/&gt;!5nv"</f>
        <v>#VALUE!</v>
      </c>
      <c r="AO458" t="e">
        <f>'Australia and Oceania'!I186+"n/&gt;!5nw"</f>
        <v>#VALUE!</v>
      </c>
      <c r="AP458" t="e">
        <f>'Australia and Oceania'!A187+"n/&gt;!5nx"</f>
        <v>#VALUE!</v>
      </c>
      <c r="AQ458" t="e">
        <f>'Australia and Oceania'!B187+"n/&gt;!5ny"</f>
        <v>#VALUE!</v>
      </c>
      <c r="AR458" t="e">
        <f>'Australia and Oceania'!C187+"n/&gt;!5nz"</f>
        <v>#VALUE!</v>
      </c>
      <c r="AS458" t="e">
        <f>'Australia and Oceania'!D187+"n/&gt;!5n{"</f>
        <v>#VALUE!</v>
      </c>
      <c r="AT458" t="e">
        <f>'Australia and Oceania'!E187+"n/&gt;!5n|"</f>
        <v>#VALUE!</v>
      </c>
      <c r="AU458" t="e">
        <f>'Australia and Oceania'!F187+"n/&gt;!5n}"</f>
        <v>#VALUE!</v>
      </c>
      <c r="AV458" t="e">
        <f>'Australia and Oceania'!G187+"n/&gt;!5n~"</f>
        <v>#VALUE!</v>
      </c>
      <c r="AW458" t="e">
        <f>'Australia and Oceania'!H187+"n/&gt;!5o#"</f>
        <v>#VALUE!</v>
      </c>
      <c r="AX458" t="e">
        <f>'Australia and Oceania'!I187+"n/&gt;!5o$"</f>
        <v>#VALUE!</v>
      </c>
      <c r="AY458" t="e">
        <f>'Australia and Oceania'!A188+"n/&gt;!5o%"</f>
        <v>#VALUE!</v>
      </c>
      <c r="AZ458" t="e">
        <f>'Australia and Oceania'!B188+"n/&gt;!5o&amp;"</f>
        <v>#VALUE!</v>
      </c>
      <c r="BA458" t="e">
        <f>'Australia and Oceania'!C188+"n/&gt;!5o'"</f>
        <v>#VALUE!</v>
      </c>
      <c r="BB458" t="e">
        <f>'Australia and Oceania'!D188+"n/&gt;!5o("</f>
        <v>#VALUE!</v>
      </c>
      <c r="BC458" t="e">
        <f>'Australia and Oceania'!E188+"n/&gt;!5o)"</f>
        <v>#VALUE!</v>
      </c>
      <c r="BD458" t="e">
        <f>'Australia and Oceania'!F188+"n/&gt;!5o."</f>
        <v>#VALUE!</v>
      </c>
      <c r="BE458" t="e">
        <f>'Australia and Oceania'!G188+"n/&gt;!5o/"</f>
        <v>#VALUE!</v>
      </c>
      <c r="BF458" t="e">
        <f>'Australia and Oceania'!H188+"n/&gt;!5o0"</f>
        <v>#VALUE!</v>
      </c>
      <c r="BG458" t="e">
        <f>'Australia and Oceania'!I188+"n/&gt;!5o1"</f>
        <v>#VALUE!</v>
      </c>
      <c r="BH458" t="e">
        <f>'Australia and Oceania'!A189+"n/&gt;!5o2"</f>
        <v>#VALUE!</v>
      </c>
      <c r="BI458" t="e">
        <f>'Australia and Oceania'!B189+"n/&gt;!5o3"</f>
        <v>#VALUE!</v>
      </c>
      <c r="BJ458" t="e">
        <f>'Australia and Oceania'!C189+"n/&gt;!5o4"</f>
        <v>#VALUE!</v>
      </c>
      <c r="BK458" t="e">
        <f>'Australia and Oceania'!D189+"n/&gt;!5o5"</f>
        <v>#VALUE!</v>
      </c>
      <c r="BL458" t="e">
        <f>'Australia and Oceania'!E189+"n/&gt;!5o6"</f>
        <v>#VALUE!</v>
      </c>
      <c r="BM458" t="e">
        <f>'Australia and Oceania'!F189+"n/&gt;!5o7"</f>
        <v>#VALUE!</v>
      </c>
      <c r="BN458" t="e">
        <f>'Australia and Oceania'!G189+"n/&gt;!5o8"</f>
        <v>#VALUE!</v>
      </c>
      <c r="BO458" t="e">
        <f>'Australia and Oceania'!H189+"n/&gt;!5o9"</f>
        <v>#VALUE!</v>
      </c>
      <c r="BP458" t="e">
        <f>'Australia and Oceania'!I189+"n/&gt;!5o:"</f>
        <v>#VALUE!</v>
      </c>
      <c r="BQ458" t="e">
        <f>'Australia and Oceania'!A190+"n/&gt;!5o;"</f>
        <v>#VALUE!</v>
      </c>
      <c r="BR458" t="e">
        <f>'Australia and Oceania'!B190+"n/&gt;!5o&lt;"</f>
        <v>#VALUE!</v>
      </c>
      <c r="BS458" t="e">
        <f>'Australia and Oceania'!C190+"n/&gt;!5o="</f>
        <v>#VALUE!</v>
      </c>
      <c r="BT458" t="e">
        <f>'Australia and Oceania'!D190+"n/&gt;!5o&gt;"</f>
        <v>#VALUE!</v>
      </c>
      <c r="BU458" t="e">
        <f>'Australia and Oceania'!E190+"n/&gt;!5o?"</f>
        <v>#VALUE!</v>
      </c>
      <c r="BV458" t="e">
        <f>'Australia and Oceania'!F190+"n/&gt;!5o@"</f>
        <v>#VALUE!</v>
      </c>
      <c r="BW458" t="e">
        <f>'Australia and Oceania'!G190+"n/&gt;!5oA"</f>
        <v>#VALUE!</v>
      </c>
      <c r="BX458" t="e">
        <f>'Australia and Oceania'!H190+"n/&gt;!5oB"</f>
        <v>#VALUE!</v>
      </c>
      <c r="BY458" t="e">
        <f>'Australia and Oceania'!I190+"n/&gt;!5oC"</f>
        <v>#VALUE!</v>
      </c>
      <c r="BZ458" t="e">
        <f>'Australia and Oceania'!A191+"n/&gt;!5oD"</f>
        <v>#VALUE!</v>
      </c>
      <c r="CA458" t="e">
        <f>'Australia and Oceania'!B191+"n/&gt;!5oE"</f>
        <v>#VALUE!</v>
      </c>
      <c r="CB458" t="e">
        <f>'Australia and Oceania'!C191+"n/&gt;!5oF"</f>
        <v>#VALUE!</v>
      </c>
      <c r="CC458" t="e">
        <f>'Australia and Oceania'!D191+"n/&gt;!5oG"</f>
        <v>#VALUE!</v>
      </c>
      <c r="CD458" t="e">
        <f>'Australia and Oceania'!E191+"n/&gt;!5oH"</f>
        <v>#VALUE!</v>
      </c>
      <c r="CE458" t="e">
        <f>'Australia and Oceania'!F191+"n/&gt;!5oI"</f>
        <v>#VALUE!</v>
      </c>
      <c r="CF458" t="e">
        <f>'Australia and Oceania'!G191+"n/&gt;!5oJ"</f>
        <v>#VALUE!</v>
      </c>
      <c r="CG458" t="e">
        <f>'Australia and Oceania'!H191+"n/&gt;!5oK"</f>
        <v>#VALUE!</v>
      </c>
      <c r="CH458" t="e">
        <f>'Australia and Oceania'!I191+"n/&gt;!5oL"</f>
        <v>#VALUE!</v>
      </c>
      <c r="CI458" t="e">
        <f>'Australia and Oceania'!A192+"n/&gt;!5oM"</f>
        <v>#VALUE!</v>
      </c>
      <c r="CJ458" t="e">
        <f>'Australia and Oceania'!B192+"n/&gt;!5oN"</f>
        <v>#VALUE!</v>
      </c>
      <c r="CK458" t="e">
        <f>'Australia and Oceania'!C192+"n/&gt;!5oO"</f>
        <v>#VALUE!</v>
      </c>
      <c r="CL458" t="e">
        <f>'Australia and Oceania'!D192+"n/&gt;!5oP"</f>
        <v>#VALUE!</v>
      </c>
      <c r="CM458" t="e">
        <f>'Australia and Oceania'!E192+"n/&gt;!5oQ"</f>
        <v>#VALUE!</v>
      </c>
      <c r="CN458" t="e">
        <f>'Australia and Oceania'!F192+"n/&gt;!5oR"</f>
        <v>#VALUE!</v>
      </c>
      <c r="CO458" t="e">
        <f>'Australia and Oceania'!G192+"n/&gt;!5oS"</f>
        <v>#VALUE!</v>
      </c>
      <c r="CP458" t="e">
        <f>'Australia and Oceania'!H192+"n/&gt;!5oT"</f>
        <v>#VALUE!</v>
      </c>
      <c r="CQ458" t="e">
        <f>'Australia and Oceania'!I192+"n/&gt;!5oU"</f>
        <v>#VALUE!</v>
      </c>
      <c r="CR458" t="e">
        <f>'Australia and Oceania'!A193+"n/&gt;!5oV"</f>
        <v>#VALUE!</v>
      </c>
      <c r="CS458" t="e">
        <f>'Australia and Oceania'!B193+"n/&gt;!5oW"</f>
        <v>#VALUE!</v>
      </c>
      <c r="CT458" t="e">
        <f>'Australia and Oceania'!C193+"n/&gt;!5oX"</f>
        <v>#VALUE!</v>
      </c>
      <c r="CU458" t="e">
        <f>'Australia and Oceania'!D193+"n/&gt;!5oY"</f>
        <v>#VALUE!</v>
      </c>
      <c r="CV458" t="e">
        <f>'Australia and Oceania'!E193+"n/&gt;!5oZ"</f>
        <v>#VALUE!</v>
      </c>
      <c r="CW458" t="e">
        <f>'Australia and Oceania'!F193+"n/&gt;!5o["</f>
        <v>#VALUE!</v>
      </c>
      <c r="CX458" t="e">
        <f>'Australia and Oceania'!G193+"n/&gt;!5o\"</f>
        <v>#VALUE!</v>
      </c>
      <c r="CY458" t="e">
        <f>'Australia and Oceania'!H193+"n/&gt;!5o]"</f>
        <v>#VALUE!</v>
      </c>
      <c r="CZ458" t="e">
        <f>'Australia and Oceania'!I193+"n/&gt;!5o^"</f>
        <v>#VALUE!</v>
      </c>
      <c r="DA458" t="e">
        <f>'Australia and Oceania'!A194+"n/&gt;!5o_"</f>
        <v>#VALUE!</v>
      </c>
      <c r="DB458" t="e">
        <f>'Australia and Oceania'!B194+"n/&gt;!5o`"</f>
        <v>#VALUE!</v>
      </c>
      <c r="DC458" t="e">
        <f>'Australia and Oceania'!C194+"n/&gt;!5oa"</f>
        <v>#VALUE!</v>
      </c>
      <c r="DD458" t="e">
        <f>'Australia and Oceania'!D194+"n/&gt;!5ob"</f>
        <v>#VALUE!</v>
      </c>
      <c r="DE458" t="e">
        <f>'Australia and Oceania'!E194+"n/&gt;!5oc"</f>
        <v>#VALUE!</v>
      </c>
      <c r="DF458" t="e">
        <f>'Australia and Oceania'!F194+"n/&gt;!5od"</f>
        <v>#VALUE!</v>
      </c>
      <c r="DG458" t="e">
        <f>'Australia and Oceania'!G194+"n/&gt;!5oe"</f>
        <v>#VALUE!</v>
      </c>
      <c r="DH458" t="e">
        <f>'Australia and Oceania'!H194+"n/&gt;!5of"</f>
        <v>#VALUE!</v>
      </c>
      <c r="DI458" t="e">
        <f>'Australia and Oceania'!I194+"n/&gt;!5og"</f>
        <v>#VALUE!</v>
      </c>
      <c r="DJ458" t="e">
        <f>'Australia and Oceania'!A195+"n/&gt;!5oh"</f>
        <v>#VALUE!</v>
      </c>
      <c r="DK458" t="e">
        <f>'Australia and Oceania'!B195+"n/&gt;!5oi"</f>
        <v>#VALUE!</v>
      </c>
      <c r="DL458" t="e">
        <f>'Australia and Oceania'!C195+"n/&gt;!5oj"</f>
        <v>#VALUE!</v>
      </c>
      <c r="DM458" t="e">
        <f>'Australia and Oceania'!D195+"n/&gt;!5ok"</f>
        <v>#VALUE!</v>
      </c>
      <c r="DN458" t="e">
        <f>'Australia and Oceania'!E195+"n/&gt;!5ol"</f>
        <v>#VALUE!</v>
      </c>
      <c r="DO458" t="e">
        <f>'Australia and Oceania'!F195+"n/&gt;!5om"</f>
        <v>#VALUE!</v>
      </c>
      <c r="DP458" t="e">
        <f>'Australia and Oceania'!G195+"n/&gt;!5on"</f>
        <v>#VALUE!</v>
      </c>
      <c r="DQ458" t="e">
        <f>'Australia and Oceania'!H195+"n/&gt;!5oo"</f>
        <v>#VALUE!</v>
      </c>
      <c r="DR458" t="e">
        <f>'Australia and Oceania'!I195+"n/&gt;!5op"</f>
        <v>#VALUE!</v>
      </c>
      <c r="DS458" t="e">
        <f>'Australia and Oceania'!A196+"n/&gt;!5oq"</f>
        <v>#VALUE!</v>
      </c>
      <c r="DT458" t="e">
        <f>'Australia and Oceania'!B196+"n/&gt;!5or"</f>
        <v>#VALUE!</v>
      </c>
      <c r="DU458" t="e">
        <f>'Australia and Oceania'!C196+"n/&gt;!5os"</f>
        <v>#VALUE!</v>
      </c>
      <c r="DV458" t="e">
        <f>'Australia and Oceania'!D196+"n/&gt;!5ot"</f>
        <v>#VALUE!</v>
      </c>
      <c r="DW458" t="e">
        <f>'Australia and Oceania'!E196+"n/&gt;!5ou"</f>
        <v>#VALUE!</v>
      </c>
      <c r="DX458" t="e">
        <f>'Australia and Oceania'!F196+"n/&gt;!5ov"</f>
        <v>#VALUE!</v>
      </c>
      <c r="DY458" t="e">
        <f>'Australia and Oceania'!G196+"n/&gt;!5ow"</f>
        <v>#VALUE!</v>
      </c>
      <c r="DZ458" t="e">
        <f>'Australia and Oceania'!H196+"n/&gt;!5ox"</f>
        <v>#VALUE!</v>
      </c>
      <c r="EA458" t="e">
        <f>'Australia and Oceania'!I196+"n/&gt;!5oy"</f>
        <v>#VALUE!</v>
      </c>
      <c r="EB458" t="e">
        <f>'Australia and Oceania'!A197+"n/&gt;!5oz"</f>
        <v>#VALUE!</v>
      </c>
      <c r="EC458" t="e">
        <f>'Australia and Oceania'!B197+"n/&gt;!5o{"</f>
        <v>#VALUE!</v>
      </c>
      <c r="ED458" t="e">
        <f>'Australia and Oceania'!C197+"n/&gt;!5o|"</f>
        <v>#VALUE!</v>
      </c>
      <c r="EE458" t="e">
        <f>'Australia and Oceania'!D197+"n/&gt;!5o}"</f>
        <v>#VALUE!</v>
      </c>
      <c r="EF458" t="e">
        <f>'Australia and Oceania'!E197+"n/&gt;!5o~"</f>
        <v>#VALUE!</v>
      </c>
      <c r="EG458" t="e">
        <f>'Australia and Oceania'!F197+"n/&gt;!5p#"</f>
        <v>#VALUE!</v>
      </c>
      <c r="EH458" t="e">
        <f>'Australia and Oceania'!G197+"n/&gt;!5p$"</f>
        <v>#VALUE!</v>
      </c>
      <c r="EI458" t="e">
        <f>'Australia and Oceania'!H197+"n/&gt;!5p%"</f>
        <v>#VALUE!</v>
      </c>
      <c r="EJ458" t="e">
        <f>'Australia and Oceania'!I197+"n/&gt;!5p&amp;"</f>
        <v>#VALUE!</v>
      </c>
      <c r="EK458" t="e">
        <f>'Australia and Oceania'!A198+"n/&gt;!5p'"</f>
        <v>#VALUE!</v>
      </c>
      <c r="EL458" t="e">
        <f>'Australia and Oceania'!B198+"n/&gt;!5p("</f>
        <v>#VALUE!</v>
      </c>
      <c r="EM458" t="e">
        <f>'Australia and Oceania'!C198+"n/&gt;!5p)"</f>
        <v>#VALUE!</v>
      </c>
      <c r="EN458" t="e">
        <f>'Australia and Oceania'!D198+"n/&gt;!5p."</f>
        <v>#VALUE!</v>
      </c>
      <c r="EO458" t="e">
        <f>'Australia and Oceania'!E198+"n/&gt;!5p/"</f>
        <v>#VALUE!</v>
      </c>
      <c r="EP458" t="e">
        <f>'Australia and Oceania'!F198+"n/&gt;!5p0"</f>
        <v>#VALUE!</v>
      </c>
      <c r="EQ458" t="e">
        <f>'Australia and Oceania'!G198+"n/&gt;!5p1"</f>
        <v>#VALUE!</v>
      </c>
      <c r="ER458" t="e">
        <f>'Australia and Oceania'!H198+"n/&gt;!5p2"</f>
        <v>#VALUE!</v>
      </c>
      <c r="ES458" t="e">
        <f>'Australia and Oceania'!I198+"n/&gt;!5p3"</f>
        <v>#VALUE!</v>
      </c>
      <c r="ET458" t="e">
        <f>'Australia and Oceania'!A199+"n/&gt;!5p4"</f>
        <v>#VALUE!</v>
      </c>
      <c r="EU458" t="e">
        <f>'Australia and Oceania'!B199+"n/&gt;!5p5"</f>
        <v>#VALUE!</v>
      </c>
      <c r="EV458" t="e">
        <f>'Australia and Oceania'!C199+"n/&gt;!5p6"</f>
        <v>#VALUE!</v>
      </c>
      <c r="EW458" t="e">
        <f>'Australia and Oceania'!D199+"n/&gt;!5p7"</f>
        <v>#VALUE!</v>
      </c>
      <c r="EX458" t="e">
        <f>'Australia and Oceania'!E199+"n/&gt;!5p8"</f>
        <v>#VALUE!</v>
      </c>
      <c r="EY458" t="e">
        <f>'Australia and Oceania'!F199+"n/&gt;!5p9"</f>
        <v>#VALUE!</v>
      </c>
      <c r="EZ458" t="e">
        <f>'Australia and Oceania'!G199+"n/&gt;!5p:"</f>
        <v>#VALUE!</v>
      </c>
      <c r="FA458" t="e">
        <f>'Australia and Oceania'!H199+"n/&gt;!5p;"</f>
        <v>#VALUE!</v>
      </c>
      <c r="FB458" t="e">
        <f>'Australia and Oceania'!I199+"n/&gt;!5p&lt;"</f>
        <v>#VALUE!</v>
      </c>
      <c r="FC458" t="e">
        <f>'Australia and Oceania'!A200+"n/&gt;!5p="</f>
        <v>#VALUE!</v>
      </c>
      <c r="FD458" t="e">
        <f>'Australia and Oceania'!B200+"n/&gt;!5p&gt;"</f>
        <v>#VALUE!</v>
      </c>
      <c r="FE458" t="e">
        <f>'Australia and Oceania'!C200+"n/&gt;!5p?"</f>
        <v>#VALUE!</v>
      </c>
      <c r="FF458" t="e">
        <f>'Australia and Oceania'!D200+"n/&gt;!5p@"</f>
        <v>#VALUE!</v>
      </c>
      <c r="FG458" t="e">
        <f>'Australia and Oceania'!E200+"n/&gt;!5pA"</f>
        <v>#VALUE!</v>
      </c>
      <c r="FH458" t="e">
        <f>'Australia and Oceania'!F200+"n/&gt;!5pB"</f>
        <v>#VALUE!</v>
      </c>
      <c r="FI458" t="e">
        <f>'Australia and Oceania'!G200+"n/&gt;!5pC"</f>
        <v>#VALUE!</v>
      </c>
      <c r="FJ458" t="e">
        <f>'Australia and Oceania'!H200+"n/&gt;!5pD"</f>
        <v>#VALUE!</v>
      </c>
      <c r="FK458" t="e">
        <f>'Australia and Oceania'!I200+"n/&gt;!5pE"</f>
        <v>#VALUE!</v>
      </c>
      <c r="FL458" t="e">
        <f>'Australia and Oceania'!A201+"n/&gt;!5pF"</f>
        <v>#VALUE!</v>
      </c>
      <c r="FM458" t="e">
        <f>'Australia and Oceania'!B201+"n/&gt;!5pG"</f>
        <v>#VALUE!</v>
      </c>
      <c r="FN458" t="e">
        <f>'Australia and Oceania'!C201+"n/&gt;!5pH"</f>
        <v>#VALUE!</v>
      </c>
      <c r="FO458" t="e">
        <f>'Australia and Oceania'!D201+"n/&gt;!5pI"</f>
        <v>#VALUE!</v>
      </c>
      <c r="FP458" t="e">
        <f>'Australia and Oceania'!E201+"n/&gt;!5pJ"</f>
        <v>#VALUE!</v>
      </c>
      <c r="FQ458" t="e">
        <f>'Australia and Oceania'!F201+"n/&gt;!5pK"</f>
        <v>#VALUE!</v>
      </c>
      <c r="FR458" t="e">
        <f>'Australia and Oceania'!G201+"n/&gt;!5pL"</f>
        <v>#VALUE!</v>
      </c>
      <c r="FS458" t="e">
        <f>'Australia and Oceania'!H201+"n/&gt;!5pM"</f>
        <v>#VALUE!</v>
      </c>
      <c r="FT458" t="e">
        <f>'Australia and Oceania'!I201+"n/&gt;!5pN"</f>
        <v>#VALUE!</v>
      </c>
      <c r="FU458" t="e">
        <f>'Australia and Oceania'!A202+"n/&gt;!5pO"</f>
        <v>#VALUE!</v>
      </c>
      <c r="FV458" t="e">
        <f>'Australia and Oceania'!B202+"n/&gt;!5pP"</f>
        <v>#VALUE!</v>
      </c>
      <c r="FW458" t="e">
        <f>'Australia and Oceania'!C202+"n/&gt;!5pQ"</f>
        <v>#VALUE!</v>
      </c>
      <c r="FX458" t="e">
        <f>'Australia and Oceania'!D202+"n/&gt;!5pR"</f>
        <v>#VALUE!</v>
      </c>
      <c r="FY458" t="e">
        <f>'Australia and Oceania'!E202+"n/&gt;!5pS"</f>
        <v>#VALUE!</v>
      </c>
      <c r="FZ458" t="e">
        <f>'Australia and Oceania'!F202+"n/&gt;!5pT"</f>
        <v>#VALUE!</v>
      </c>
      <c r="GA458" t="e">
        <f>'Australia and Oceania'!G202+"n/&gt;!5pU"</f>
        <v>#VALUE!</v>
      </c>
      <c r="GB458" t="e">
        <f>'Australia and Oceania'!H202+"n/&gt;!5pV"</f>
        <v>#VALUE!</v>
      </c>
      <c r="GC458" t="e">
        <f>'Australia and Oceania'!I202+"n/&gt;!5pW"</f>
        <v>#VALUE!</v>
      </c>
      <c r="GD458" t="e">
        <f>'Australia and Oceania'!A203+"n/&gt;!5pX"</f>
        <v>#VALUE!</v>
      </c>
      <c r="GE458" t="e">
        <f>'Australia and Oceania'!B203+"n/&gt;!5pY"</f>
        <v>#VALUE!</v>
      </c>
      <c r="GF458" t="e">
        <f>'Australia and Oceania'!C203+"n/&gt;!5pZ"</f>
        <v>#VALUE!</v>
      </c>
      <c r="GG458" t="e">
        <f>'Australia and Oceania'!D203+"n/&gt;!5p["</f>
        <v>#VALUE!</v>
      </c>
      <c r="GH458" t="e">
        <f>'Australia and Oceania'!E203+"n/&gt;!5p\"</f>
        <v>#VALUE!</v>
      </c>
      <c r="GI458" t="e">
        <f>'Australia and Oceania'!F203+"n/&gt;!5p]"</f>
        <v>#VALUE!</v>
      </c>
      <c r="GJ458" t="e">
        <f>'Australia and Oceania'!G203+"n/&gt;!5p^"</f>
        <v>#VALUE!</v>
      </c>
      <c r="GK458" t="e">
        <f>'Australia and Oceania'!H203+"n/&gt;!5p_"</f>
        <v>#VALUE!</v>
      </c>
      <c r="GL458" t="e">
        <f>'Australia and Oceania'!I203+"n/&gt;!5p`"</f>
        <v>#VALUE!</v>
      </c>
      <c r="GM458" t="e">
        <f>'Australia and Oceania'!A204+"n/&gt;!5pa"</f>
        <v>#VALUE!</v>
      </c>
      <c r="GN458" t="e">
        <f>'Australia and Oceania'!B204+"n/&gt;!5pb"</f>
        <v>#VALUE!</v>
      </c>
      <c r="GO458" t="e">
        <f>'Australia and Oceania'!C204+"n/&gt;!5pc"</f>
        <v>#VALUE!</v>
      </c>
      <c r="GP458" t="e">
        <f>'Australia and Oceania'!D204+"n/&gt;!5pd"</f>
        <v>#VALUE!</v>
      </c>
      <c r="GQ458" t="e">
        <f>'Australia and Oceania'!E204+"n/&gt;!5pe"</f>
        <v>#VALUE!</v>
      </c>
      <c r="GR458" t="e">
        <f>'Australia and Oceania'!F204+"n/&gt;!5pf"</f>
        <v>#VALUE!</v>
      </c>
      <c r="GS458" t="e">
        <f>'Australia and Oceania'!G204+"n/&gt;!5pg"</f>
        <v>#VALUE!</v>
      </c>
      <c r="GT458" t="e">
        <f>'Australia and Oceania'!H204+"n/&gt;!5ph"</f>
        <v>#VALUE!</v>
      </c>
      <c r="GU458" t="e">
        <f>'Australia and Oceania'!I204+"n/&gt;!5pi"</f>
        <v>#VALUE!</v>
      </c>
      <c r="GV458" t="e">
        <f>'Australia and Oceania'!A205+"n/&gt;!5pj"</f>
        <v>#VALUE!</v>
      </c>
      <c r="GW458" t="e">
        <f>'Australia and Oceania'!B205+"n/&gt;!5pk"</f>
        <v>#VALUE!</v>
      </c>
      <c r="GX458" t="e">
        <f>'Australia and Oceania'!C205+"n/&gt;!5pl"</f>
        <v>#VALUE!</v>
      </c>
      <c r="GY458" t="e">
        <f>'Australia and Oceania'!D205+"n/&gt;!5pm"</f>
        <v>#VALUE!</v>
      </c>
      <c r="GZ458" t="e">
        <f>'Australia and Oceania'!E205+"n/&gt;!5pn"</f>
        <v>#VALUE!</v>
      </c>
      <c r="HA458" t="e">
        <f>'Australia and Oceania'!F205+"n/&gt;!5po"</f>
        <v>#VALUE!</v>
      </c>
      <c r="HB458" t="e">
        <f>'Australia and Oceania'!G205+"n/&gt;!5pp"</f>
        <v>#VALUE!</v>
      </c>
      <c r="HC458" t="e">
        <f>'Australia and Oceania'!H205+"n/&gt;!5pq"</f>
        <v>#VALUE!</v>
      </c>
      <c r="HD458" t="e">
        <f>'Australia and Oceania'!I205+"n/&gt;!5pr"</f>
        <v>#VALUE!</v>
      </c>
      <c r="HE458" t="e">
        <f>'Australia and Oceania'!A206+"n/&gt;!5ps"</f>
        <v>#VALUE!</v>
      </c>
      <c r="HF458" t="e">
        <f>'Australia and Oceania'!B206+"n/&gt;!5pt"</f>
        <v>#VALUE!</v>
      </c>
      <c r="HG458" t="e">
        <f>'Australia and Oceania'!C206+"n/&gt;!5pu"</f>
        <v>#VALUE!</v>
      </c>
      <c r="HH458" t="e">
        <f>'Australia and Oceania'!D206+"n/&gt;!5pv"</f>
        <v>#VALUE!</v>
      </c>
      <c r="HI458" t="e">
        <f>'Australia and Oceania'!E206+"n/&gt;!5pw"</f>
        <v>#VALUE!</v>
      </c>
      <c r="HJ458" t="e">
        <f>'Australia and Oceania'!F206+"n/&gt;!5px"</f>
        <v>#VALUE!</v>
      </c>
      <c r="HK458" t="e">
        <f>'Australia and Oceania'!G206+"n/&gt;!5py"</f>
        <v>#VALUE!</v>
      </c>
      <c r="HL458" t="e">
        <f>'Australia and Oceania'!H206+"n/&gt;!5pz"</f>
        <v>#VALUE!</v>
      </c>
      <c r="HM458" t="e">
        <f>'Australia and Oceania'!I206+"n/&gt;!5p{"</f>
        <v>#VALUE!</v>
      </c>
      <c r="HN458" t="e">
        <f>'Australia and Oceania'!A207+"n/&gt;!5p|"</f>
        <v>#VALUE!</v>
      </c>
      <c r="HO458" t="e">
        <f>'Australia and Oceania'!B207+"n/&gt;!5p}"</f>
        <v>#VALUE!</v>
      </c>
      <c r="HP458" t="e">
        <f>'Australia and Oceania'!C207+"n/&gt;!5p~"</f>
        <v>#VALUE!</v>
      </c>
      <c r="HQ458" t="e">
        <f>'Australia and Oceania'!D207+"n/&gt;!5q#"</f>
        <v>#VALUE!</v>
      </c>
      <c r="HR458" t="e">
        <f>'Australia and Oceania'!E207+"n/&gt;!5q$"</f>
        <v>#VALUE!</v>
      </c>
      <c r="HS458" t="e">
        <f>'Australia and Oceania'!F207+"n/&gt;!5q%"</f>
        <v>#VALUE!</v>
      </c>
      <c r="HT458" t="e">
        <f>'Australia and Oceania'!G207+"n/&gt;!5q&amp;"</f>
        <v>#VALUE!</v>
      </c>
      <c r="HU458" t="e">
        <f>'Australia and Oceania'!H207+"n/&gt;!5q'"</f>
        <v>#VALUE!</v>
      </c>
      <c r="HV458" t="e">
        <f>'Australia and Oceania'!I207+"n/&gt;!5q("</f>
        <v>#VALUE!</v>
      </c>
      <c r="HW458" t="e">
        <f>'Australia and Oceania'!A208+"n/&gt;!5q)"</f>
        <v>#VALUE!</v>
      </c>
      <c r="HX458" t="e">
        <f>'Australia and Oceania'!B208+"n/&gt;!5q."</f>
        <v>#VALUE!</v>
      </c>
      <c r="HY458" t="e">
        <f>'Australia and Oceania'!C208+"n/&gt;!5q/"</f>
        <v>#VALUE!</v>
      </c>
      <c r="HZ458" t="e">
        <f>'Australia and Oceania'!D208+"n/&gt;!5q0"</f>
        <v>#VALUE!</v>
      </c>
      <c r="IA458" t="e">
        <f>'Australia and Oceania'!E208+"n/&gt;!5q1"</f>
        <v>#VALUE!</v>
      </c>
      <c r="IB458" t="e">
        <f>'Australia and Oceania'!F208+"n/&gt;!5q2"</f>
        <v>#VALUE!</v>
      </c>
      <c r="IC458" t="e">
        <f>'Australia and Oceania'!G208+"n/&gt;!5q3"</f>
        <v>#VALUE!</v>
      </c>
      <c r="ID458" t="e">
        <f>'Australia and Oceania'!H208+"n/&gt;!5q4"</f>
        <v>#VALUE!</v>
      </c>
      <c r="IE458" t="e">
        <f>'Australia and Oceania'!I208+"n/&gt;!5q5"</f>
        <v>#VALUE!</v>
      </c>
      <c r="IF458" t="e">
        <f>'Australia and Oceania'!A209+"n/&gt;!5q6"</f>
        <v>#VALUE!</v>
      </c>
      <c r="IG458" t="e">
        <f>'Australia and Oceania'!B209+"n/&gt;!5q7"</f>
        <v>#VALUE!</v>
      </c>
      <c r="IH458" t="e">
        <f>'Australia and Oceania'!C209+"n/&gt;!5q8"</f>
        <v>#VALUE!</v>
      </c>
      <c r="II458" t="e">
        <f>'Australia and Oceania'!D209+"n/&gt;!5q9"</f>
        <v>#VALUE!</v>
      </c>
      <c r="IJ458" t="e">
        <f>'Australia and Oceania'!E209+"n/&gt;!5q:"</f>
        <v>#VALUE!</v>
      </c>
      <c r="IK458" t="e">
        <f>'Australia and Oceania'!F209+"n/&gt;!5q;"</f>
        <v>#VALUE!</v>
      </c>
      <c r="IL458" t="e">
        <f>'Australia and Oceania'!G209+"n/&gt;!5q&lt;"</f>
        <v>#VALUE!</v>
      </c>
      <c r="IM458" t="e">
        <f>'Australia and Oceania'!H209+"n/&gt;!5q="</f>
        <v>#VALUE!</v>
      </c>
      <c r="IN458" t="e">
        <f>'Australia and Oceania'!I209+"n/&gt;!5q&gt;"</f>
        <v>#VALUE!</v>
      </c>
      <c r="IO458" t="e">
        <f>'Australia and Oceania'!A210+"n/&gt;!5q?"</f>
        <v>#VALUE!</v>
      </c>
      <c r="IP458" t="e">
        <f>'Australia and Oceania'!B210+"n/&gt;!5q@"</f>
        <v>#VALUE!</v>
      </c>
      <c r="IQ458" t="e">
        <f>'Australia and Oceania'!C210+"n/&gt;!5qA"</f>
        <v>#VALUE!</v>
      </c>
      <c r="IR458" t="e">
        <f>'Australia and Oceania'!D210+"n/&gt;!5qB"</f>
        <v>#VALUE!</v>
      </c>
      <c r="IS458" t="e">
        <f>'Australia and Oceania'!E210+"n/&gt;!5qC"</f>
        <v>#VALUE!</v>
      </c>
      <c r="IT458" t="e">
        <f>'Australia and Oceania'!F210+"n/&gt;!5qD"</f>
        <v>#VALUE!</v>
      </c>
      <c r="IU458" t="e">
        <f>'Australia and Oceania'!G210+"n/&gt;!5qE"</f>
        <v>#VALUE!</v>
      </c>
      <c r="IV458" t="e">
        <f>'Australia and Oceania'!H210+"n/&gt;!5qF"</f>
        <v>#VALUE!</v>
      </c>
    </row>
    <row r="459" spans="6:256" x14ac:dyDescent="0.35">
      <c r="F459" t="e">
        <f>'Australia and Oceania'!I210+"n/&gt;!5qG"</f>
        <v>#VALUE!</v>
      </c>
      <c r="G459" t="e">
        <f>'Australia and Oceania'!A211+"n/&gt;!5qH"</f>
        <v>#VALUE!</v>
      </c>
      <c r="H459" t="e">
        <f>'Australia and Oceania'!B211+"n/&gt;!5qI"</f>
        <v>#VALUE!</v>
      </c>
      <c r="I459" t="e">
        <f>'Australia and Oceania'!C211+"n/&gt;!5qJ"</f>
        <v>#VALUE!</v>
      </c>
      <c r="J459" t="e">
        <f>'Australia and Oceania'!D211+"n/&gt;!5qK"</f>
        <v>#VALUE!</v>
      </c>
      <c r="K459" t="e">
        <f>'Australia and Oceania'!E211+"n/&gt;!5qL"</f>
        <v>#VALUE!</v>
      </c>
      <c r="L459" t="e">
        <f>'Australia and Oceania'!F211+"n/&gt;!5qM"</f>
        <v>#VALUE!</v>
      </c>
      <c r="M459" t="e">
        <f>'Australia and Oceania'!G211+"n/&gt;!5qN"</f>
        <v>#VALUE!</v>
      </c>
      <c r="N459" t="e">
        <f>'Australia and Oceania'!H211+"n/&gt;!5qO"</f>
        <v>#VALUE!</v>
      </c>
      <c r="O459" t="e">
        <f>'Australia and Oceania'!I211+"n/&gt;!5qP"</f>
        <v>#VALUE!</v>
      </c>
      <c r="P459" t="e">
        <f>'Australia and Oceania'!A212+"n/&gt;!5qQ"</f>
        <v>#VALUE!</v>
      </c>
      <c r="Q459" t="e">
        <f>'Australia and Oceania'!B212+"n/&gt;!5qR"</f>
        <v>#VALUE!</v>
      </c>
      <c r="R459" t="e">
        <f>'Australia and Oceania'!C212+"n/&gt;!5qS"</f>
        <v>#VALUE!</v>
      </c>
      <c r="S459" t="e">
        <f>'Australia and Oceania'!D212+"n/&gt;!5qT"</f>
        <v>#VALUE!</v>
      </c>
      <c r="T459" t="e">
        <f>'Australia and Oceania'!E212+"n/&gt;!5qU"</f>
        <v>#VALUE!</v>
      </c>
      <c r="U459" t="e">
        <f>'Australia and Oceania'!F212+"n/&gt;!5qV"</f>
        <v>#VALUE!</v>
      </c>
      <c r="V459" t="e">
        <f>'Australia and Oceania'!G212+"n/&gt;!5qW"</f>
        <v>#VALUE!</v>
      </c>
      <c r="W459" t="e">
        <f>'Australia and Oceania'!H212+"n/&gt;!5qX"</f>
        <v>#VALUE!</v>
      </c>
      <c r="X459" t="e">
        <f>'Australia and Oceania'!I212+"n/&gt;!5qY"</f>
        <v>#VALUE!</v>
      </c>
      <c r="Y459" t="e">
        <f>'Australia and Oceania'!A213+"n/&gt;!5qZ"</f>
        <v>#VALUE!</v>
      </c>
      <c r="Z459" t="e">
        <f>'Australia and Oceania'!B213+"n/&gt;!5q["</f>
        <v>#VALUE!</v>
      </c>
      <c r="AA459" t="e">
        <f>'Australia and Oceania'!C213+"n/&gt;!5q\"</f>
        <v>#VALUE!</v>
      </c>
      <c r="AB459" t="e">
        <f>'Australia and Oceania'!D213+"n/&gt;!5q]"</f>
        <v>#VALUE!</v>
      </c>
      <c r="AC459" t="e">
        <f>'Australia and Oceania'!E213+"n/&gt;!5q^"</f>
        <v>#VALUE!</v>
      </c>
      <c r="AD459" t="e">
        <f>'Australia and Oceania'!F213+"n/&gt;!5q_"</f>
        <v>#VALUE!</v>
      </c>
      <c r="AE459" t="e">
        <f>'Australia and Oceania'!G213+"n/&gt;!5q`"</f>
        <v>#VALUE!</v>
      </c>
      <c r="AF459" t="e">
        <f>'Australia and Oceania'!H213+"n/&gt;!5qa"</f>
        <v>#VALUE!</v>
      </c>
      <c r="AG459" t="e">
        <f>'Australia and Oceania'!I213+"n/&gt;!5qb"</f>
        <v>#VALUE!</v>
      </c>
      <c r="AH459" t="e">
        <f>'Australia and Oceania'!A214+"n/&gt;!5qc"</f>
        <v>#VALUE!</v>
      </c>
      <c r="AI459" t="e">
        <f>'Australia and Oceania'!B214+"n/&gt;!5qd"</f>
        <v>#VALUE!</v>
      </c>
      <c r="AJ459" t="e">
        <f>'Australia and Oceania'!C214+"n/&gt;!5qe"</f>
        <v>#VALUE!</v>
      </c>
      <c r="AK459" t="e">
        <f>'Australia and Oceania'!D214+"n/&gt;!5qf"</f>
        <v>#VALUE!</v>
      </c>
      <c r="AL459" t="e">
        <f>'Australia and Oceania'!E214+"n/&gt;!5qg"</f>
        <v>#VALUE!</v>
      </c>
      <c r="AM459" t="e">
        <f>'Australia and Oceania'!F214+"n/&gt;!5qh"</f>
        <v>#VALUE!</v>
      </c>
      <c r="AN459" t="e">
        <f>'Australia and Oceania'!G214+"n/&gt;!5qi"</f>
        <v>#VALUE!</v>
      </c>
      <c r="AO459" t="e">
        <f>'Australia and Oceania'!H214+"n/&gt;!5qj"</f>
        <v>#VALUE!</v>
      </c>
      <c r="AP459" t="e">
        <f>'Australia and Oceania'!I214+"n/&gt;!5qk"</f>
        <v>#VALUE!</v>
      </c>
      <c r="AQ459" t="e">
        <f>'Australia and Oceania'!A215+"n/&gt;!5ql"</f>
        <v>#VALUE!</v>
      </c>
      <c r="AR459" t="e">
        <f>'Australia and Oceania'!B215+"n/&gt;!5qm"</f>
        <v>#VALUE!</v>
      </c>
      <c r="AS459" t="e">
        <f>'Australia and Oceania'!C215+"n/&gt;!5qn"</f>
        <v>#VALUE!</v>
      </c>
      <c r="AT459" t="e">
        <f>'Australia and Oceania'!D215+"n/&gt;!5qo"</f>
        <v>#VALUE!</v>
      </c>
      <c r="AU459" t="e">
        <f>'Australia and Oceania'!E215+"n/&gt;!5qp"</f>
        <v>#VALUE!</v>
      </c>
      <c r="AV459" t="e">
        <f>'Australia and Oceania'!F215+"n/&gt;!5qq"</f>
        <v>#VALUE!</v>
      </c>
      <c r="AW459" t="e">
        <f>'Australia and Oceania'!G215+"n/&gt;!5qr"</f>
        <v>#VALUE!</v>
      </c>
      <c r="AX459" t="e">
        <f>'Australia and Oceania'!H215+"n/&gt;!5qs"</f>
        <v>#VALUE!</v>
      </c>
      <c r="AY459" t="e">
        <f>'Australia and Oceania'!I215+"n/&gt;!5qt"</f>
        <v>#VALUE!</v>
      </c>
      <c r="AZ459" t="e">
        <f>'Australia and Oceania'!A216+"n/&gt;!5qu"</f>
        <v>#VALUE!</v>
      </c>
      <c r="BA459" t="e">
        <f>'Australia and Oceania'!B216+"n/&gt;!5qv"</f>
        <v>#VALUE!</v>
      </c>
      <c r="BB459" t="e">
        <f>'Australia and Oceania'!C216+"n/&gt;!5qw"</f>
        <v>#VALUE!</v>
      </c>
      <c r="BC459" t="e">
        <f>'Australia and Oceania'!D216+"n/&gt;!5qx"</f>
        <v>#VALUE!</v>
      </c>
      <c r="BD459" t="e">
        <f>'Australia and Oceania'!E216+"n/&gt;!5qy"</f>
        <v>#VALUE!</v>
      </c>
      <c r="BE459" t="e">
        <f>'Australia and Oceania'!F216+"n/&gt;!5qz"</f>
        <v>#VALUE!</v>
      </c>
      <c r="BF459" t="e">
        <f>'Australia and Oceania'!G216+"n/&gt;!5q{"</f>
        <v>#VALUE!</v>
      </c>
      <c r="BG459" t="e">
        <f>'Australia and Oceania'!H216+"n/&gt;!5q|"</f>
        <v>#VALUE!</v>
      </c>
      <c r="BH459" t="e">
        <f>'Australia and Oceania'!I216+"n/&gt;!5q}"</f>
        <v>#VALUE!</v>
      </c>
      <c r="BI459" t="e">
        <f>'Australia and Oceania'!A217+"n/&gt;!5q~"</f>
        <v>#VALUE!</v>
      </c>
      <c r="BJ459" t="e">
        <f>'Australia and Oceania'!B217+"n/&gt;!5r#"</f>
        <v>#VALUE!</v>
      </c>
      <c r="BK459" t="e">
        <f>'Australia and Oceania'!C217+"n/&gt;!5r$"</f>
        <v>#VALUE!</v>
      </c>
      <c r="BL459" t="e">
        <f>'Australia and Oceania'!D217+"n/&gt;!5r%"</f>
        <v>#VALUE!</v>
      </c>
      <c r="BM459" t="e">
        <f>'Australia and Oceania'!E217+"n/&gt;!5r&amp;"</f>
        <v>#VALUE!</v>
      </c>
      <c r="BN459" t="e">
        <f>'Australia and Oceania'!F217+"n/&gt;!5r'"</f>
        <v>#VALUE!</v>
      </c>
      <c r="BO459" t="e">
        <f>'Australia and Oceania'!G217+"n/&gt;!5r("</f>
        <v>#VALUE!</v>
      </c>
      <c r="BP459" t="e">
        <f>'Australia and Oceania'!H217+"n/&gt;!5r)"</f>
        <v>#VALUE!</v>
      </c>
      <c r="BQ459" t="e">
        <f>'Australia and Oceania'!I217+"n/&gt;!5r."</f>
        <v>#VALUE!</v>
      </c>
      <c r="BR459" t="e">
        <f>'Australia and Oceania'!A218+"n/&gt;!5r/"</f>
        <v>#VALUE!</v>
      </c>
      <c r="BS459" t="e">
        <f>'Australia and Oceania'!B218+"n/&gt;!5r0"</f>
        <v>#VALUE!</v>
      </c>
      <c r="BT459" t="e">
        <f>'Australia and Oceania'!C218+"n/&gt;!5r1"</f>
        <v>#VALUE!</v>
      </c>
      <c r="BU459" t="e">
        <f>'Australia and Oceania'!D218+"n/&gt;!5r2"</f>
        <v>#VALUE!</v>
      </c>
      <c r="BV459" t="e">
        <f>'Australia and Oceania'!E218+"n/&gt;!5r3"</f>
        <v>#VALUE!</v>
      </c>
      <c r="BW459" t="e">
        <f>'Australia and Oceania'!F218+"n/&gt;!5r4"</f>
        <v>#VALUE!</v>
      </c>
      <c r="BX459" t="e">
        <f>'Australia and Oceania'!G218+"n/&gt;!5r5"</f>
        <v>#VALUE!</v>
      </c>
      <c r="BY459" t="e">
        <f>'Australia and Oceania'!H218+"n/&gt;!5r6"</f>
        <v>#VALUE!</v>
      </c>
      <c r="BZ459" t="e">
        <f>'Australia and Oceania'!I218+"n/&gt;!5r7"</f>
        <v>#VALUE!</v>
      </c>
      <c r="CA459" t="e">
        <f>'Australia and Oceania'!A219+"n/&gt;!5r8"</f>
        <v>#VALUE!</v>
      </c>
      <c r="CB459" t="e">
        <f>'Australia and Oceania'!B219+"n/&gt;!5r9"</f>
        <v>#VALUE!</v>
      </c>
      <c r="CC459" t="e">
        <f>'Australia and Oceania'!C219+"n/&gt;!5r:"</f>
        <v>#VALUE!</v>
      </c>
      <c r="CD459" t="e">
        <f>'Australia and Oceania'!D219+"n/&gt;!5r;"</f>
        <v>#VALUE!</v>
      </c>
      <c r="CE459" t="e">
        <f>'Australia and Oceania'!E219+"n/&gt;!5r&lt;"</f>
        <v>#VALUE!</v>
      </c>
      <c r="CF459" t="e">
        <f>'Australia and Oceania'!F219+"n/&gt;!5r="</f>
        <v>#VALUE!</v>
      </c>
      <c r="CG459" t="e">
        <f>'Australia and Oceania'!G219+"n/&gt;!5r&gt;"</f>
        <v>#VALUE!</v>
      </c>
      <c r="CH459" t="e">
        <f>'Australia and Oceania'!H219+"n/&gt;!5r?"</f>
        <v>#VALUE!</v>
      </c>
      <c r="CI459" t="e">
        <f>'Australia and Oceania'!I219+"n/&gt;!5r@"</f>
        <v>#VALUE!</v>
      </c>
      <c r="CJ459" t="e">
        <f>'Australia and Oceania'!A220+"n/&gt;!5rA"</f>
        <v>#VALUE!</v>
      </c>
      <c r="CK459" t="e">
        <f>'Australia and Oceania'!B220+"n/&gt;!5rB"</f>
        <v>#VALUE!</v>
      </c>
      <c r="CL459" t="e">
        <f>'Australia and Oceania'!C220+"n/&gt;!5rC"</f>
        <v>#VALUE!</v>
      </c>
      <c r="CM459" t="e">
        <f>'Australia and Oceania'!D220+"n/&gt;!5rD"</f>
        <v>#VALUE!</v>
      </c>
      <c r="CN459" t="e">
        <f>'Australia and Oceania'!E220+"n/&gt;!5rE"</f>
        <v>#VALUE!</v>
      </c>
      <c r="CO459" t="e">
        <f>'Australia and Oceania'!F220+"n/&gt;!5rF"</f>
        <v>#VALUE!</v>
      </c>
      <c r="CP459" t="e">
        <f>'Australia and Oceania'!G220+"n/&gt;!5rG"</f>
        <v>#VALUE!</v>
      </c>
      <c r="CQ459" t="e">
        <f>'Australia and Oceania'!H220+"n/&gt;!5rH"</f>
        <v>#VALUE!</v>
      </c>
      <c r="CR459" t="e">
        <f>'Australia and Oceania'!I220+"n/&gt;!5rI"</f>
        <v>#VALUE!</v>
      </c>
      <c r="CS459" t="e">
        <f>'Australia and Oceania'!A221+"n/&gt;!5rJ"</f>
        <v>#VALUE!</v>
      </c>
      <c r="CT459" t="e">
        <f>'Australia and Oceania'!B221+"n/&gt;!5rK"</f>
        <v>#VALUE!</v>
      </c>
      <c r="CU459" t="e">
        <f>'Australia and Oceania'!C221+"n/&gt;!5rL"</f>
        <v>#VALUE!</v>
      </c>
      <c r="CV459" t="e">
        <f>'Australia and Oceania'!D221+"n/&gt;!5rM"</f>
        <v>#VALUE!</v>
      </c>
      <c r="CW459" t="e">
        <f>'Australia and Oceania'!E221+"n/&gt;!5rN"</f>
        <v>#VALUE!</v>
      </c>
      <c r="CX459" t="e">
        <f>'Australia and Oceania'!F221+"n/&gt;!5rO"</f>
        <v>#VALUE!</v>
      </c>
      <c r="CY459" t="e">
        <f>'Australia and Oceania'!G221+"n/&gt;!5rP"</f>
        <v>#VALUE!</v>
      </c>
      <c r="CZ459" t="e">
        <f>'Australia and Oceania'!H221+"n/&gt;!5rQ"</f>
        <v>#VALUE!</v>
      </c>
      <c r="DA459" t="e">
        <f>'Australia and Oceania'!I221+"n/&gt;!5rR"</f>
        <v>#VALUE!</v>
      </c>
      <c r="DB459" t="e">
        <f>'Australia and Oceania'!A222+"n/&gt;!5rS"</f>
        <v>#VALUE!</v>
      </c>
      <c r="DC459" t="e">
        <f>'Australia and Oceania'!B222+"n/&gt;!5rT"</f>
        <v>#VALUE!</v>
      </c>
      <c r="DD459" t="e">
        <f>'Australia and Oceania'!C222+"n/&gt;!5rU"</f>
        <v>#VALUE!</v>
      </c>
      <c r="DE459" t="e">
        <f>'Australia and Oceania'!D222+"n/&gt;!5rV"</f>
        <v>#VALUE!</v>
      </c>
      <c r="DF459" t="e">
        <f>'Australia and Oceania'!E222+"n/&gt;!5rW"</f>
        <v>#VALUE!</v>
      </c>
      <c r="DG459" t="e">
        <f>'Australia and Oceania'!F222+"n/&gt;!5rX"</f>
        <v>#VALUE!</v>
      </c>
      <c r="DH459" t="e">
        <f>'Australia and Oceania'!G222+"n/&gt;!5rY"</f>
        <v>#VALUE!</v>
      </c>
      <c r="DI459" t="e">
        <f>'Australia and Oceania'!H222+"n/&gt;!5rZ"</f>
        <v>#VALUE!</v>
      </c>
      <c r="DJ459" t="e">
        <f>'Australia and Oceania'!I222+"n/&gt;!5r["</f>
        <v>#VALUE!</v>
      </c>
      <c r="DK459" t="e">
        <f>'Australia and Oceania'!A223+"n/&gt;!5r\"</f>
        <v>#VALUE!</v>
      </c>
      <c r="DL459" t="e">
        <f>'Australia and Oceania'!B223+"n/&gt;!5r]"</f>
        <v>#VALUE!</v>
      </c>
      <c r="DM459" t="e">
        <f>'Australia and Oceania'!C223+"n/&gt;!5r^"</f>
        <v>#VALUE!</v>
      </c>
      <c r="DN459" t="e">
        <f>'Australia and Oceania'!D223+"n/&gt;!5r_"</f>
        <v>#VALUE!</v>
      </c>
      <c r="DO459" t="e">
        <f>'Australia and Oceania'!E223+"n/&gt;!5r`"</f>
        <v>#VALUE!</v>
      </c>
      <c r="DP459" t="e">
        <f>'Australia and Oceania'!F223+"n/&gt;!5ra"</f>
        <v>#VALUE!</v>
      </c>
      <c r="DQ459" t="e">
        <f>'Australia and Oceania'!G223+"n/&gt;!5rb"</f>
        <v>#VALUE!</v>
      </c>
      <c r="DR459" t="e">
        <f>'Australia and Oceania'!H223+"n/&gt;!5rc"</f>
        <v>#VALUE!</v>
      </c>
      <c r="DS459" t="e">
        <f>'Australia and Oceania'!I223+"n/&gt;!5rd"</f>
        <v>#VALUE!</v>
      </c>
      <c r="DT459" t="e">
        <f>'Australia and Oceania'!A224+"n/&gt;!5re"</f>
        <v>#VALUE!</v>
      </c>
      <c r="DU459" t="e">
        <f>'Australia and Oceania'!B224+"n/&gt;!5rf"</f>
        <v>#VALUE!</v>
      </c>
      <c r="DV459" t="e">
        <f>'Australia and Oceania'!C224+"n/&gt;!5rg"</f>
        <v>#VALUE!</v>
      </c>
      <c r="DW459" t="e">
        <f>'Australia and Oceania'!D224+"n/&gt;!5rh"</f>
        <v>#VALUE!</v>
      </c>
      <c r="DX459" t="e">
        <f>'Australia and Oceania'!E224+"n/&gt;!5ri"</f>
        <v>#VALUE!</v>
      </c>
      <c r="DY459" t="e">
        <f>'Australia and Oceania'!F224+"n/&gt;!5rj"</f>
        <v>#VALUE!</v>
      </c>
      <c r="DZ459" t="e">
        <f>'Australia and Oceania'!G224+"n/&gt;!5rk"</f>
        <v>#VALUE!</v>
      </c>
      <c r="EA459" t="e">
        <f>'Australia and Oceania'!H224+"n/&gt;!5rl"</f>
        <v>#VALUE!</v>
      </c>
      <c r="EB459" t="e">
        <f>'Australia and Oceania'!I224+"n/&gt;!5rm"</f>
        <v>#VALUE!</v>
      </c>
      <c r="EC459" t="e">
        <f>'Australia and Oceania'!A225+"n/&gt;!5rn"</f>
        <v>#VALUE!</v>
      </c>
      <c r="ED459" t="e">
        <f>'Australia and Oceania'!B225+"n/&gt;!5ro"</f>
        <v>#VALUE!</v>
      </c>
      <c r="EE459" t="e">
        <f>'Australia and Oceania'!C225+"n/&gt;!5rp"</f>
        <v>#VALUE!</v>
      </c>
      <c r="EF459" t="e">
        <f>'Australia and Oceania'!D225+"n/&gt;!5rq"</f>
        <v>#VALUE!</v>
      </c>
      <c r="EG459" t="e">
        <f>'Australia and Oceania'!E225+"n/&gt;!5rr"</f>
        <v>#VALUE!</v>
      </c>
      <c r="EH459" t="e">
        <f>'Australia and Oceania'!F225+"n/&gt;!5rs"</f>
        <v>#VALUE!</v>
      </c>
      <c r="EI459" t="e">
        <f>'Australia and Oceania'!G225+"n/&gt;!5rt"</f>
        <v>#VALUE!</v>
      </c>
      <c r="EJ459" t="e">
        <f>'Australia and Oceania'!H225+"n/&gt;!5ru"</f>
        <v>#VALUE!</v>
      </c>
      <c r="EK459" t="e">
        <f>'Australia and Oceania'!I225+"n/&gt;!5rv"</f>
        <v>#VALUE!</v>
      </c>
      <c r="EL459" t="e">
        <f>'Australia and Oceania'!A226+"n/&gt;!5rw"</f>
        <v>#VALUE!</v>
      </c>
      <c r="EM459" t="e">
        <f>'Australia and Oceania'!B226+"n/&gt;!5rx"</f>
        <v>#VALUE!</v>
      </c>
      <c r="EN459" t="e">
        <f>'Australia and Oceania'!C226+"n/&gt;!5ry"</f>
        <v>#VALUE!</v>
      </c>
      <c r="EO459" t="e">
        <f>'Australia and Oceania'!D226+"n/&gt;!5rz"</f>
        <v>#VALUE!</v>
      </c>
      <c r="EP459" t="e">
        <f>'Australia and Oceania'!E226+"n/&gt;!5r{"</f>
        <v>#VALUE!</v>
      </c>
      <c r="EQ459" t="e">
        <f>'Australia and Oceania'!F226+"n/&gt;!5r|"</f>
        <v>#VALUE!</v>
      </c>
      <c r="ER459" t="e">
        <f>'Australia and Oceania'!G226+"n/&gt;!5r}"</f>
        <v>#VALUE!</v>
      </c>
      <c r="ES459" t="e">
        <f>'Australia and Oceania'!H226+"n/&gt;!5r~"</f>
        <v>#VALUE!</v>
      </c>
      <c r="ET459" t="e">
        <f>'Australia and Oceania'!I226+"n/&gt;!5s#"</f>
        <v>#VALUE!</v>
      </c>
      <c r="EU459" t="e">
        <f>'Australia and Oceania'!A227+"n/&gt;!5s$"</f>
        <v>#VALUE!</v>
      </c>
      <c r="EV459" t="e">
        <f>'Australia and Oceania'!B227+"n/&gt;!5s%"</f>
        <v>#VALUE!</v>
      </c>
      <c r="EW459" t="e">
        <f>'Australia and Oceania'!C227+"n/&gt;!5s&amp;"</f>
        <v>#VALUE!</v>
      </c>
      <c r="EX459" t="e">
        <f>'Australia and Oceania'!D227+"n/&gt;!5s'"</f>
        <v>#VALUE!</v>
      </c>
      <c r="EY459" t="e">
        <f>'Australia and Oceania'!E227+"n/&gt;!5s("</f>
        <v>#VALUE!</v>
      </c>
      <c r="EZ459" t="e">
        <f>'Australia and Oceania'!F227+"n/&gt;!5s)"</f>
        <v>#VALUE!</v>
      </c>
      <c r="FA459" t="e">
        <f>'Australia and Oceania'!G227+"n/&gt;!5s."</f>
        <v>#VALUE!</v>
      </c>
      <c r="FB459" t="e">
        <f>'Australia and Oceania'!H227+"n/&gt;!5s/"</f>
        <v>#VALUE!</v>
      </c>
      <c r="FC459" t="e">
        <f>'Australia and Oceania'!I227+"n/&gt;!5s0"</f>
        <v>#VALUE!</v>
      </c>
      <c r="FD459" t="e">
        <f>'Australia and Oceania'!A228+"n/&gt;!5s1"</f>
        <v>#VALUE!</v>
      </c>
      <c r="FE459" t="e">
        <f>'Australia and Oceania'!B228+"n/&gt;!5s2"</f>
        <v>#VALUE!</v>
      </c>
      <c r="FF459" t="e">
        <f>'Australia and Oceania'!C228+"n/&gt;!5s3"</f>
        <v>#VALUE!</v>
      </c>
      <c r="FG459" t="e">
        <f>'Australia and Oceania'!D228+"n/&gt;!5s4"</f>
        <v>#VALUE!</v>
      </c>
      <c r="FH459" t="e">
        <f>'Australia and Oceania'!E228+"n/&gt;!5s5"</f>
        <v>#VALUE!</v>
      </c>
      <c r="FI459" t="e">
        <f>'Australia and Oceania'!F228+"n/&gt;!5s6"</f>
        <v>#VALUE!</v>
      </c>
      <c r="FJ459" t="e">
        <f>'Australia and Oceania'!G228+"n/&gt;!5s7"</f>
        <v>#VALUE!</v>
      </c>
      <c r="FK459" t="e">
        <f>'Australia and Oceania'!H228+"n/&gt;!5s8"</f>
        <v>#VALUE!</v>
      </c>
      <c r="FL459" t="e">
        <f>'Australia and Oceania'!I228+"n/&gt;!5s9"</f>
        <v>#VALUE!</v>
      </c>
      <c r="FM459" t="e">
        <f>'Australia and Oceania'!A229+"n/&gt;!5s:"</f>
        <v>#VALUE!</v>
      </c>
      <c r="FN459" t="e">
        <f>'Australia and Oceania'!B229+"n/&gt;!5s;"</f>
        <v>#VALUE!</v>
      </c>
      <c r="FO459" t="e">
        <f>'Australia and Oceania'!C229+"n/&gt;!5s&lt;"</f>
        <v>#VALUE!</v>
      </c>
      <c r="FP459" t="e">
        <f>'Australia and Oceania'!D229+"n/&gt;!5s="</f>
        <v>#VALUE!</v>
      </c>
      <c r="FQ459" t="e">
        <f>'Australia and Oceania'!E229+"n/&gt;!5s&gt;"</f>
        <v>#VALUE!</v>
      </c>
      <c r="FR459" t="e">
        <f>'Australia and Oceania'!F229+"n/&gt;!5s?"</f>
        <v>#VALUE!</v>
      </c>
      <c r="FS459" t="e">
        <f>'Australia and Oceania'!G229+"n/&gt;!5s@"</f>
        <v>#VALUE!</v>
      </c>
      <c r="FT459" t="e">
        <f>'Australia and Oceania'!H229+"n/&gt;!5sA"</f>
        <v>#VALUE!</v>
      </c>
      <c r="FU459" t="e">
        <f>'Australia and Oceania'!I229+"n/&gt;!5sB"</f>
        <v>#VALUE!</v>
      </c>
      <c r="FV459" t="e">
        <f>'Australia and Oceania'!A230+"n/&gt;!5sC"</f>
        <v>#VALUE!</v>
      </c>
      <c r="FW459" t="e">
        <f>'Australia and Oceania'!B230+"n/&gt;!5sD"</f>
        <v>#VALUE!</v>
      </c>
      <c r="FX459" t="e">
        <f>'Australia and Oceania'!C230+"n/&gt;!5sE"</f>
        <v>#VALUE!</v>
      </c>
      <c r="FY459" t="e">
        <f>'Australia and Oceania'!D230+"n/&gt;!5sF"</f>
        <v>#VALUE!</v>
      </c>
      <c r="FZ459" t="e">
        <f>'Australia and Oceania'!E230+"n/&gt;!5sG"</f>
        <v>#VALUE!</v>
      </c>
      <c r="GA459" t="e">
        <f>'Australia and Oceania'!F230+"n/&gt;!5sH"</f>
        <v>#VALUE!</v>
      </c>
      <c r="GB459" t="e">
        <f>'Australia and Oceania'!G230+"n/&gt;!5sI"</f>
        <v>#VALUE!</v>
      </c>
      <c r="GC459" t="e">
        <f>'Australia and Oceania'!H230+"n/&gt;!5sJ"</f>
        <v>#VALUE!</v>
      </c>
      <c r="GD459" t="e">
        <f>'Australia and Oceania'!I230+"n/&gt;!5sK"</f>
        <v>#VALUE!</v>
      </c>
      <c r="GE459" t="e">
        <f>'Australia and Oceania'!A231+"n/&gt;!5sL"</f>
        <v>#VALUE!</v>
      </c>
      <c r="GF459" t="e">
        <f>'Australia and Oceania'!B231+"n/&gt;!5sM"</f>
        <v>#VALUE!</v>
      </c>
      <c r="GG459" t="e">
        <f>'Australia and Oceania'!C231+"n/&gt;!5sN"</f>
        <v>#VALUE!</v>
      </c>
      <c r="GH459" t="e">
        <f>'Australia and Oceania'!D231+"n/&gt;!5sO"</f>
        <v>#VALUE!</v>
      </c>
      <c r="GI459" t="e">
        <f>'Australia and Oceania'!E231+"n/&gt;!5sP"</f>
        <v>#VALUE!</v>
      </c>
      <c r="GJ459" t="e">
        <f>'Australia and Oceania'!F231+"n/&gt;!5sQ"</f>
        <v>#VALUE!</v>
      </c>
      <c r="GK459" t="e">
        <f>'Australia and Oceania'!G231+"n/&gt;!5sR"</f>
        <v>#VALUE!</v>
      </c>
      <c r="GL459" t="e">
        <f>'Australia and Oceania'!H231+"n/&gt;!5sS"</f>
        <v>#VALUE!</v>
      </c>
      <c r="GM459" t="e">
        <f>'Australia and Oceania'!I231+"n/&gt;!5sT"</f>
        <v>#VALUE!</v>
      </c>
      <c r="GN459" t="e">
        <f>'Australia and Oceania'!A232+"n/&gt;!5sU"</f>
        <v>#VALUE!</v>
      </c>
      <c r="GO459" t="e">
        <f>'Australia and Oceania'!B232+"n/&gt;!5sV"</f>
        <v>#VALUE!</v>
      </c>
      <c r="GP459" t="e">
        <f>'Australia and Oceania'!C232+"n/&gt;!5sW"</f>
        <v>#VALUE!</v>
      </c>
      <c r="GQ459" t="e">
        <f>'Australia and Oceania'!D232+"n/&gt;!5sX"</f>
        <v>#VALUE!</v>
      </c>
      <c r="GR459" t="e">
        <f>'Australia and Oceania'!E232+"n/&gt;!5sY"</f>
        <v>#VALUE!</v>
      </c>
      <c r="GS459" t="e">
        <f>'Australia and Oceania'!F232+"n/&gt;!5sZ"</f>
        <v>#VALUE!</v>
      </c>
      <c r="GT459" t="e">
        <f>'Australia and Oceania'!G232+"n/&gt;!5s["</f>
        <v>#VALUE!</v>
      </c>
      <c r="GU459" t="e">
        <f>'Australia and Oceania'!H232+"n/&gt;!5s\"</f>
        <v>#VALUE!</v>
      </c>
      <c r="GV459" t="e">
        <f>'Australia and Oceania'!I232+"n/&gt;!5s]"</f>
        <v>#VALUE!</v>
      </c>
      <c r="GW459" t="e">
        <f>'Australia and Oceania'!A233+"n/&gt;!5s^"</f>
        <v>#VALUE!</v>
      </c>
      <c r="GX459" t="e">
        <f>'Australia and Oceania'!B233+"n/&gt;!5s_"</f>
        <v>#VALUE!</v>
      </c>
      <c r="GY459" t="e">
        <f>'Australia and Oceania'!C233+"n/&gt;!5s`"</f>
        <v>#VALUE!</v>
      </c>
      <c r="GZ459" t="e">
        <f>'Australia and Oceania'!D233+"n/&gt;!5sa"</f>
        <v>#VALUE!</v>
      </c>
      <c r="HA459" t="e">
        <f>'Australia and Oceania'!E233+"n/&gt;!5sb"</f>
        <v>#VALUE!</v>
      </c>
      <c r="HB459" t="e">
        <f>'Australia and Oceania'!F233+"n/&gt;!5sc"</f>
        <v>#VALUE!</v>
      </c>
      <c r="HC459" t="e">
        <f>'Australia and Oceania'!G233+"n/&gt;!5sd"</f>
        <v>#VALUE!</v>
      </c>
      <c r="HD459" t="e">
        <f>'Australia and Oceania'!H233+"n/&gt;!5se"</f>
        <v>#VALUE!</v>
      </c>
      <c r="HE459" t="e">
        <f>'Australia and Oceania'!I233+"n/&gt;!5sf"</f>
        <v>#VALUE!</v>
      </c>
      <c r="HF459" t="e">
        <f>'Australia and Oceania'!A234+"n/&gt;!5sg"</f>
        <v>#VALUE!</v>
      </c>
      <c r="HG459" t="e">
        <f>'Australia and Oceania'!B234+"n/&gt;!5sh"</f>
        <v>#VALUE!</v>
      </c>
      <c r="HH459" t="e">
        <f>'Australia and Oceania'!C234+"n/&gt;!5si"</f>
        <v>#VALUE!</v>
      </c>
      <c r="HI459" t="e">
        <f>'Australia and Oceania'!D234+"n/&gt;!5sj"</f>
        <v>#VALUE!</v>
      </c>
      <c r="HJ459" t="e">
        <f>'Australia and Oceania'!E234+"n/&gt;!5sk"</f>
        <v>#VALUE!</v>
      </c>
      <c r="HK459" t="e">
        <f>'Australia and Oceania'!F234+"n/&gt;!5sl"</f>
        <v>#VALUE!</v>
      </c>
      <c r="HL459" t="e">
        <f>'Australia and Oceania'!G234+"n/&gt;!5sm"</f>
        <v>#VALUE!</v>
      </c>
      <c r="HM459" t="e">
        <f>'Australia and Oceania'!H234+"n/&gt;!5sn"</f>
        <v>#VALUE!</v>
      </c>
      <c r="HN459" t="e">
        <f>'Australia and Oceania'!I234+"n/&gt;!5so"</f>
        <v>#VALUE!</v>
      </c>
      <c r="HO459" t="e">
        <f>'Australia and Oceania'!A235+"n/&gt;!5sp"</f>
        <v>#VALUE!</v>
      </c>
      <c r="HP459" t="e">
        <f>'Australia and Oceania'!B235+"n/&gt;!5sq"</f>
        <v>#VALUE!</v>
      </c>
      <c r="HQ459" t="e">
        <f>'Australia and Oceania'!C235+"n/&gt;!5sr"</f>
        <v>#VALUE!</v>
      </c>
      <c r="HR459" t="e">
        <f>'Australia and Oceania'!D235+"n/&gt;!5ss"</f>
        <v>#VALUE!</v>
      </c>
      <c r="HS459" t="e">
        <f>'Australia and Oceania'!E235+"n/&gt;!5st"</f>
        <v>#VALUE!</v>
      </c>
      <c r="HT459" t="e">
        <f>'Australia and Oceania'!F235+"n/&gt;!5su"</f>
        <v>#VALUE!</v>
      </c>
      <c r="HU459" t="e">
        <f>'Australia and Oceania'!G235+"n/&gt;!5sv"</f>
        <v>#VALUE!</v>
      </c>
      <c r="HV459" t="e">
        <f>'Australia and Oceania'!H235+"n/&gt;!5sw"</f>
        <v>#VALUE!</v>
      </c>
      <c r="HW459" t="e">
        <f>'Australia and Oceania'!I235+"n/&gt;!5sx"</f>
        <v>#VALUE!</v>
      </c>
      <c r="HX459" t="e">
        <f>'Australia and Oceania'!A236+"n/&gt;!5sy"</f>
        <v>#VALUE!</v>
      </c>
      <c r="HY459" t="e">
        <f>'Australia and Oceania'!B236+"n/&gt;!5sz"</f>
        <v>#VALUE!</v>
      </c>
      <c r="HZ459" t="e">
        <f>'Australia and Oceania'!C236+"n/&gt;!5s{"</f>
        <v>#VALUE!</v>
      </c>
      <c r="IA459" t="e">
        <f>'Australia and Oceania'!D236+"n/&gt;!5s|"</f>
        <v>#VALUE!</v>
      </c>
      <c r="IB459" t="e">
        <f>'Australia and Oceania'!E236+"n/&gt;!5s}"</f>
        <v>#VALUE!</v>
      </c>
      <c r="IC459" t="e">
        <f>'Australia and Oceania'!F236+"n/&gt;!5s~"</f>
        <v>#VALUE!</v>
      </c>
      <c r="ID459" t="e">
        <f>'Australia and Oceania'!G236+"n/&gt;!5t#"</f>
        <v>#VALUE!</v>
      </c>
      <c r="IE459" t="e">
        <f>'Australia and Oceania'!H236+"n/&gt;!5t$"</f>
        <v>#VALUE!</v>
      </c>
      <c r="IF459" t="e">
        <f>'Australia and Oceania'!I236+"n/&gt;!5t%"</f>
        <v>#VALUE!</v>
      </c>
      <c r="IG459" t="e">
        <f>'Australia and Oceania'!A237+"n/&gt;!5t&amp;"</f>
        <v>#VALUE!</v>
      </c>
      <c r="IH459" t="e">
        <f>'Australia and Oceania'!B237+"n/&gt;!5t'"</f>
        <v>#VALUE!</v>
      </c>
      <c r="II459" t="e">
        <f>'Australia and Oceania'!C237+"n/&gt;!5t("</f>
        <v>#VALUE!</v>
      </c>
      <c r="IJ459" t="e">
        <f>'Australia and Oceania'!D237+"n/&gt;!5t)"</f>
        <v>#VALUE!</v>
      </c>
      <c r="IK459" t="e">
        <f>'Australia and Oceania'!E237+"n/&gt;!5t."</f>
        <v>#VALUE!</v>
      </c>
      <c r="IL459" t="e">
        <f>'Australia and Oceania'!F237+"n/&gt;!5t/"</f>
        <v>#VALUE!</v>
      </c>
      <c r="IM459" t="e">
        <f>'Australia and Oceania'!G237+"n/&gt;!5t0"</f>
        <v>#VALUE!</v>
      </c>
      <c r="IN459" t="e">
        <f>'Australia and Oceania'!H237+"n/&gt;!5t1"</f>
        <v>#VALUE!</v>
      </c>
      <c r="IO459" t="e">
        <f>'Australia and Oceania'!I237+"n/&gt;!5t2"</f>
        <v>#VALUE!</v>
      </c>
      <c r="IP459" t="e">
        <f>'Australia and Oceania'!A238+"n/&gt;!5t3"</f>
        <v>#VALUE!</v>
      </c>
      <c r="IQ459" t="e">
        <f>'Australia and Oceania'!B238+"n/&gt;!5t4"</f>
        <v>#VALUE!</v>
      </c>
      <c r="IR459" t="e">
        <f>'Australia and Oceania'!C238+"n/&gt;!5t5"</f>
        <v>#VALUE!</v>
      </c>
      <c r="IS459" t="e">
        <f>'Australia and Oceania'!D238+"n/&gt;!5t6"</f>
        <v>#VALUE!</v>
      </c>
      <c r="IT459" t="e">
        <f>'Australia and Oceania'!E238+"n/&gt;!5t7"</f>
        <v>#VALUE!</v>
      </c>
      <c r="IU459" t="e">
        <f>'Australia and Oceania'!F238+"n/&gt;!5t8"</f>
        <v>#VALUE!</v>
      </c>
      <c r="IV459" t="e">
        <f>'Australia and Oceania'!G238+"n/&gt;!5t9"</f>
        <v>#VALUE!</v>
      </c>
    </row>
    <row r="460" spans="6:256" x14ac:dyDescent="0.35">
      <c r="F460" t="e">
        <f>'Australia and Oceania'!H238+"n/&gt;!5t:"</f>
        <v>#VALUE!</v>
      </c>
      <c r="G460" t="e">
        <f>'Australia and Oceania'!I238+"n/&gt;!5t;"</f>
        <v>#VALUE!</v>
      </c>
      <c r="H460" t="e">
        <f>'Australia and Oceania'!A239+"n/&gt;!5t&lt;"</f>
        <v>#VALUE!</v>
      </c>
      <c r="I460" t="e">
        <f>'Australia and Oceania'!B239+"n/&gt;!5t="</f>
        <v>#VALUE!</v>
      </c>
      <c r="J460" t="e">
        <f>'Australia and Oceania'!C239+"n/&gt;!5t&gt;"</f>
        <v>#VALUE!</v>
      </c>
      <c r="K460" t="e">
        <f>'Australia and Oceania'!D239+"n/&gt;!5t?"</f>
        <v>#VALUE!</v>
      </c>
      <c r="L460" t="e">
        <f>'Australia and Oceania'!E239+"n/&gt;!5t@"</f>
        <v>#VALUE!</v>
      </c>
      <c r="M460" t="e">
        <f>'Australia and Oceania'!F239+"n/&gt;!5tA"</f>
        <v>#VALUE!</v>
      </c>
      <c r="N460" t="e">
        <f>'Australia and Oceania'!G239+"n/&gt;!5tB"</f>
        <v>#VALUE!</v>
      </c>
      <c r="O460" t="e">
        <f>'Australia and Oceania'!H239+"n/&gt;!5tC"</f>
        <v>#VALUE!</v>
      </c>
      <c r="P460" t="e">
        <f>'Australia and Oceania'!I239+"n/&gt;!5tD"</f>
        <v>#VALUE!</v>
      </c>
      <c r="Q460" t="e">
        <f>'Australia and Oceania'!A240+"n/&gt;!5tE"</f>
        <v>#VALUE!</v>
      </c>
      <c r="R460" t="e">
        <f>'Australia and Oceania'!B240+"n/&gt;!5tF"</f>
        <v>#VALUE!</v>
      </c>
      <c r="S460" t="e">
        <f>'Australia and Oceania'!C240+"n/&gt;!5tG"</f>
        <v>#VALUE!</v>
      </c>
      <c r="T460" t="e">
        <f>'Australia and Oceania'!D240+"n/&gt;!5tH"</f>
        <v>#VALUE!</v>
      </c>
      <c r="U460" t="e">
        <f>'Australia and Oceania'!E240+"n/&gt;!5tI"</f>
        <v>#VALUE!</v>
      </c>
      <c r="V460" t="e">
        <f>'Australia and Oceania'!F240+"n/&gt;!5tJ"</f>
        <v>#VALUE!</v>
      </c>
      <c r="W460" t="e">
        <f>'Australia and Oceania'!G240+"n/&gt;!5tK"</f>
        <v>#VALUE!</v>
      </c>
      <c r="X460" t="e">
        <f>'Australia and Oceania'!H240+"n/&gt;!5tL"</f>
        <v>#VALUE!</v>
      </c>
      <c r="Y460" t="e">
        <f>'Australia and Oceania'!I240+"n/&gt;!5tM"</f>
        <v>#VALUE!</v>
      </c>
      <c r="Z460" t="e">
        <f>'Australia and Oceania'!A241+"n/&gt;!5tN"</f>
        <v>#VALUE!</v>
      </c>
      <c r="AA460" t="e">
        <f>'Australia and Oceania'!B241+"n/&gt;!5tO"</f>
        <v>#VALUE!</v>
      </c>
      <c r="AB460" t="e">
        <f>'Australia and Oceania'!C241+"n/&gt;!5tP"</f>
        <v>#VALUE!</v>
      </c>
      <c r="AC460" t="e">
        <f>'Australia and Oceania'!D241+"n/&gt;!5tQ"</f>
        <v>#VALUE!</v>
      </c>
      <c r="AD460" t="e">
        <f>'Australia and Oceania'!E241+"n/&gt;!5tR"</f>
        <v>#VALUE!</v>
      </c>
      <c r="AE460" t="e">
        <f>'Australia and Oceania'!F241+"n/&gt;!5tS"</f>
        <v>#VALUE!</v>
      </c>
      <c r="AF460" t="e">
        <f>'Australia and Oceania'!G241+"n/&gt;!5tT"</f>
        <v>#VALUE!</v>
      </c>
      <c r="AG460" t="e">
        <f>'Australia and Oceania'!H241+"n/&gt;!5tU"</f>
        <v>#VALUE!</v>
      </c>
      <c r="AH460" t="e">
        <f>'Australia and Oceania'!I241+"n/&gt;!5tV"</f>
        <v>#VALUE!</v>
      </c>
      <c r="AI460" t="e">
        <f>'Australia and Oceania'!A242+"n/&gt;!5tW"</f>
        <v>#VALUE!</v>
      </c>
      <c r="AJ460" t="e">
        <f>'Australia and Oceania'!B242+"n/&gt;!5tX"</f>
        <v>#VALUE!</v>
      </c>
      <c r="AK460" t="e">
        <f>'Australia and Oceania'!C242+"n/&gt;!5tY"</f>
        <v>#VALUE!</v>
      </c>
      <c r="AL460" t="e">
        <f>'Australia and Oceania'!D242+"n/&gt;!5tZ"</f>
        <v>#VALUE!</v>
      </c>
      <c r="AM460" t="e">
        <f>'Australia and Oceania'!E242+"n/&gt;!5t["</f>
        <v>#VALUE!</v>
      </c>
      <c r="AN460" t="e">
        <f>'Australia and Oceania'!F242+"n/&gt;!5t\"</f>
        <v>#VALUE!</v>
      </c>
      <c r="AO460" t="e">
        <f>'Australia and Oceania'!G242+"n/&gt;!5t]"</f>
        <v>#VALUE!</v>
      </c>
      <c r="AP460" t="e">
        <f>'Australia and Oceania'!H242+"n/&gt;!5t^"</f>
        <v>#VALUE!</v>
      </c>
      <c r="AQ460" t="e">
        <f>'Australia and Oceania'!I242+"n/&gt;!5t_"</f>
        <v>#VALUE!</v>
      </c>
      <c r="AR460" t="e">
        <f>'Australia and Oceania'!A243+"n/&gt;!5t`"</f>
        <v>#VALUE!</v>
      </c>
      <c r="AS460" t="e">
        <f>'Australia and Oceania'!B243+"n/&gt;!5ta"</f>
        <v>#VALUE!</v>
      </c>
      <c r="AT460" t="e">
        <f>'Australia and Oceania'!C243+"n/&gt;!5tb"</f>
        <v>#VALUE!</v>
      </c>
      <c r="AU460" t="e">
        <f>'Australia and Oceania'!D243+"n/&gt;!5tc"</f>
        <v>#VALUE!</v>
      </c>
      <c r="AV460" t="e">
        <f>'Australia and Oceania'!E243+"n/&gt;!5td"</f>
        <v>#VALUE!</v>
      </c>
      <c r="AW460" t="e">
        <f>'Australia and Oceania'!F243+"n/&gt;!5te"</f>
        <v>#VALUE!</v>
      </c>
      <c r="AX460" t="e">
        <f>'Australia and Oceania'!G243+"n/&gt;!5tf"</f>
        <v>#VALUE!</v>
      </c>
      <c r="AY460" t="e">
        <f>'Australia and Oceania'!H243+"n/&gt;!5tg"</f>
        <v>#VALUE!</v>
      </c>
      <c r="AZ460" t="e">
        <f>'Australia and Oceania'!I243+"n/&gt;!5th"</f>
        <v>#VALUE!</v>
      </c>
      <c r="BA460" t="e">
        <f>'Australia and Oceania'!A244+"n/&gt;!5ti"</f>
        <v>#VALUE!</v>
      </c>
      <c r="BB460" t="e">
        <f>'Australia and Oceania'!B244+"n/&gt;!5tj"</f>
        <v>#VALUE!</v>
      </c>
      <c r="BC460" t="e">
        <f>'Australia and Oceania'!C244+"n/&gt;!5tk"</f>
        <v>#VALUE!</v>
      </c>
      <c r="BD460" t="e">
        <f>'Australia and Oceania'!D244+"n/&gt;!5tl"</f>
        <v>#VALUE!</v>
      </c>
      <c r="BE460" t="e">
        <f>'Australia and Oceania'!E244+"n/&gt;!5tm"</f>
        <v>#VALUE!</v>
      </c>
      <c r="BF460" t="e">
        <f>'Australia and Oceania'!F244+"n/&gt;!5tn"</f>
        <v>#VALUE!</v>
      </c>
      <c r="BG460" t="e">
        <f>'Australia and Oceania'!G244+"n/&gt;!5to"</f>
        <v>#VALUE!</v>
      </c>
      <c r="BH460" t="e">
        <f>'Australia and Oceania'!H244+"n/&gt;!5tp"</f>
        <v>#VALUE!</v>
      </c>
      <c r="BI460" t="e">
        <f>'Australia and Oceania'!I244+"n/&gt;!5tq"</f>
        <v>#VALUE!</v>
      </c>
      <c r="BJ460" t="e">
        <f>'Australia and Oceania'!A245+"n/&gt;!5tr"</f>
        <v>#VALUE!</v>
      </c>
      <c r="BK460" t="e">
        <f>'Australia and Oceania'!B245+"n/&gt;!5ts"</f>
        <v>#VALUE!</v>
      </c>
      <c r="BL460" t="e">
        <f>'Australia and Oceania'!C245+"n/&gt;!5tt"</f>
        <v>#VALUE!</v>
      </c>
      <c r="BM460" t="e">
        <f>'Australia and Oceania'!D245+"n/&gt;!5tu"</f>
        <v>#VALUE!</v>
      </c>
      <c r="BN460" t="e">
        <f>'Australia and Oceania'!E245+"n/&gt;!5tv"</f>
        <v>#VALUE!</v>
      </c>
      <c r="BO460" t="e">
        <f>'Australia and Oceania'!F245+"n/&gt;!5tw"</f>
        <v>#VALUE!</v>
      </c>
      <c r="BP460" t="e">
        <f>'Australia and Oceania'!G245+"n/&gt;!5tx"</f>
        <v>#VALUE!</v>
      </c>
      <c r="BQ460" t="e">
        <f>'Australia and Oceania'!H245+"n/&gt;!5ty"</f>
        <v>#VALUE!</v>
      </c>
      <c r="BR460" t="e">
        <f>'Australia and Oceania'!I245+"n/&gt;!5tz"</f>
        <v>#VALUE!</v>
      </c>
      <c r="BS460" t="e">
        <f>'Australia and Oceania'!A246+"n/&gt;!5t{"</f>
        <v>#VALUE!</v>
      </c>
      <c r="BT460" t="e">
        <f>'Australia and Oceania'!B246+"n/&gt;!5t|"</f>
        <v>#VALUE!</v>
      </c>
      <c r="BU460" t="e">
        <f>'Australia and Oceania'!C246+"n/&gt;!5t}"</f>
        <v>#VALUE!</v>
      </c>
      <c r="BV460" t="e">
        <f>'Australia and Oceania'!D246+"n/&gt;!5t~"</f>
        <v>#VALUE!</v>
      </c>
      <c r="BW460" t="e">
        <f>'Australia and Oceania'!E246+"n/&gt;!5u#"</f>
        <v>#VALUE!</v>
      </c>
      <c r="BX460" t="e">
        <f>'Australia and Oceania'!F246+"n/&gt;!5u$"</f>
        <v>#VALUE!</v>
      </c>
      <c r="BY460" t="e">
        <f>'Australia and Oceania'!G246+"n/&gt;!5u%"</f>
        <v>#VALUE!</v>
      </c>
      <c r="BZ460" t="e">
        <f>'Australia and Oceania'!H246+"n/&gt;!5u&amp;"</f>
        <v>#VALUE!</v>
      </c>
      <c r="CA460" t="e">
        <f>'Australia and Oceania'!I246+"n/&gt;!5u'"</f>
        <v>#VALUE!</v>
      </c>
      <c r="CB460" t="e">
        <f>'Australia and Oceania'!A247+"n/&gt;!5u("</f>
        <v>#VALUE!</v>
      </c>
      <c r="CC460" t="e">
        <f>'Australia and Oceania'!B247+"n/&gt;!5u)"</f>
        <v>#VALUE!</v>
      </c>
      <c r="CD460" t="e">
        <f>'Australia and Oceania'!C247+"n/&gt;!5u."</f>
        <v>#VALUE!</v>
      </c>
      <c r="CE460" t="e">
        <f>'Australia and Oceania'!D247+"n/&gt;!5u/"</f>
        <v>#VALUE!</v>
      </c>
      <c r="CF460" t="e">
        <f>'Australia and Oceania'!E247+"n/&gt;!5u0"</f>
        <v>#VALUE!</v>
      </c>
      <c r="CG460" t="e">
        <f>'Australia and Oceania'!F247+"n/&gt;!5u1"</f>
        <v>#VALUE!</v>
      </c>
      <c r="CH460" t="e">
        <f>'Australia and Oceania'!G247+"n/&gt;!5u2"</f>
        <v>#VALUE!</v>
      </c>
      <c r="CI460" t="e">
        <f>'Australia and Oceania'!H247+"n/&gt;!5u3"</f>
        <v>#VALUE!</v>
      </c>
      <c r="CJ460" t="e">
        <f>'Australia and Oceania'!I247+"n/&gt;!5u4"</f>
        <v>#VALUE!</v>
      </c>
      <c r="CK460" t="e">
        <f>'Australia and Oceania'!A248+"n/&gt;!5u5"</f>
        <v>#VALUE!</v>
      </c>
      <c r="CL460" t="e">
        <f>'Australia and Oceania'!B248+"n/&gt;!5u6"</f>
        <v>#VALUE!</v>
      </c>
      <c r="CM460" t="e">
        <f>'Australia and Oceania'!C248+"n/&gt;!5u7"</f>
        <v>#VALUE!</v>
      </c>
      <c r="CN460" t="e">
        <f>'Australia and Oceania'!D248+"n/&gt;!5u8"</f>
        <v>#VALUE!</v>
      </c>
      <c r="CO460" t="e">
        <f>'Australia and Oceania'!E248+"n/&gt;!5u9"</f>
        <v>#VALUE!</v>
      </c>
      <c r="CP460" t="e">
        <f>'Australia and Oceania'!F248+"n/&gt;!5u:"</f>
        <v>#VALUE!</v>
      </c>
      <c r="CQ460" t="e">
        <f>'Australia and Oceania'!G248+"n/&gt;!5u;"</f>
        <v>#VALUE!</v>
      </c>
      <c r="CR460" t="e">
        <f>'Australia and Oceania'!H248+"n/&gt;!5u&lt;"</f>
        <v>#VALUE!</v>
      </c>
      <c r="CS460" t="e">
        <f>'Australia and Oceania'!I248+"n/&gt;!5u="</f>
        <v>#VALUE!</v>
      </c>
      <c r="CT460" t="e">
        <f>'Australia and Oceania'!A249+"n/&gt;!5u&gt;"</f>
        <v>#VALUE!</v>
      </c>
      <c r="CU460" t="e">
        <f>'Australia and Oceania'!B249+"n/&gt;!5u?"</f>
        <v>#VALUE!</v>
      </c>
      <c r="CV460" t="e">
        <f>'Australia and Oceania'!C249+"n/&gt;!5u@"</f>
        <v>#VALUE!</v>
      </c>
      <c r="CW460" t="e">
        <f>'Australia and Oceania'!D249+"n/&gt;!5uA"</f>
        <v>#VALUE!</v>
      </c>
      <c r="CX460" t="e">
        <f>'Australia and Oceania'!E249+"n/&gt;!5uB"</f>
        <v>#VALUE!</v>
      </c>
      <c r="CY460" t="e">
        <f>'Australia and Oceania'!F249+"n/&gt;!5uC"</f>
        <v>#VALUE!</v>
      </c>
      <c r="CZ460" t="e">
        <f>'Australia and Oceania'!G249+"n/&gt;!5uD"</f>
        <v>#VALUE!</v>
      </c>
      <c r="DA460" t="e">
        <f>'Australia and Oceania'!H249+"n/&gt;!5uE"</f>
        <v>#VALUE!</v>
      </c>
      <c r="DB460" t="e">
        <f>'Australia and Oceania'!I249+"n/&gt;!5uF"</f>
        <v>#VALUE!</v>
      </c>
      <c r="DC460" t="e">
        <f>'Australia and Oceania'!A250+"n/&gt;!5uG"</f>
        <v>#VALUE!</v>
      </c>
      <c r="DD460" t="e">
        <f>'Australia and Oceania'!B250+"n/&gt;!5uH"</f>
        <v>#VALUE!</v>
      </c>
      <c r="DE460" t="e">
        <f>'Australia and Oceania'!C250+"n/&gt;!5uI"</f>
        <v>#VALUE!</v>
      </c>
      <c r="DF460" t="e">
        <f>'Australia and Oceania'!D250+"n/&gt;!5uJ"</f>
        <v>#VALUE!</v>
      </c>
      <c r="DG460" t="e">
        <f>'Australia and Oceania'!E250+"n/&gt;!5uK"</f>
        <v>#VALUE!</v>
      </c>
      <c r="DH460" t="e">
        <f>'Australia and Oceania'!F250+"n/&gt;!5uL"</f>
        <v>#VALUE!</v>
      </c>
      <c r="DI460" t="e">
        <f>'Australia and Oceania'!G250+"n/&gt;!5uM"</f>
        <v>#VALUE!</v>
      </c>
      <c r="DJ460" t="e">
        <f>'Australia and Oceania'!H250+"n/&gt;!5uN"</f>
        <v>#VALUE!</v>
      </c>
      <c r="DK460" t="e">
        <f>'Australia and Oceania'!I250+"n/&gt;!5uO"</f>
        <v>#VALUE!</v>
      </c>
      <c r="DL460" t="e">
        <f>'Australia and Oceania'!A251+"n/&gt;!5uP"</f>
        <v>#VALUE!</v>
      </c>
      <c r="DM460" t="e">
        <f>'Australia and Oceania'!B251+"n/&gt;!5uQ"</f>
        <v>#VALUE!</v>
      </c>
      <c r="DN460" t="e">
        <f>'Australia and Oceania'!C251+"n/&gt;!5uR"</f>
        <v>#VALUE!</v>
      </c>
      <c r="DO460" t="e">
        <f>'Australia and Oceania'!D251+"n/&gt;!5uS"</f>
        <v>#VALUE!</v>
      </c>
      <c r="DP460" t="e">
        <f>'Australia and Oceania'!E251+"n/&gt;!5uT"</f>
        <v>#VALUE!</v>
      </c>
      <c r="DQ460" t="e">
        <f>'Australia and Oceania'!F251+"n/&gt;!5uU"</f>
        <v>#VALUE!</v>
      </c>
      <c r="DR460" t="e">
        <f>'Australia and Oceania'!G251+"n/&gt;!5uV"</f>
        <v>#VALUE!</v>
      </c>
      <c r="DS460" t="e">
        <f>'Australia and Oceania'!H251+"n/&gt;!5uW"</f>
        <v>#VALUE!</v>
      </c>
      <c r="DT460" t="e">
        <f>'Australia and Oceania'!I251+"n/&gt;!5uX"</f>
        <v>#VALUE!</v>
      </c>
      <c r="DU460" t="e">
        <f>'Australia and Oceania'!A252+"n/&gt;!5uY"</f>
        <v>#VALUE!</v>
      </c>
      <c r="DV460" t="e">
        <f>'Australia and Oceania'!B252+"n/&gt;!5uZ"</f>
        <v>#VALUE!</v>
      </c>
      <c r="DW460" t="e">
        <f>'Australia and Oceania'!C252+"n/&gt;!5u["</f>
        <v>#VALUE!</v>
      </c>
      <c r="DX460" t="e">
        <f>'Australia and Oceania'!D252+"n/&gt;!5u\"</f>
        <v>#VALUE!</v>
      </c>
      <c r="DY460" t="e">
        <f>'Australia and Oceania'!E252+"n/&gt;!5u]"</f>
        <v>#VALUE!</v>
      </c>
      <c r="DZ460" t="e">
        <f>'Australia and Oceania'!F252+"n/&gt;!5u^"</f>
        <v>#VALUE!</v>
      </c>
      <c r="EA460" t="e">
        <f>'Australia and Oceania'!G252+"n/&gt;!5u_"</f>
        <v>#VALUE!</v>
      </c>
      <c r="EB460" t="e">
        <f>'Australia and Oceania'!H252+"n/&gt;!5u`"</f>
        <v>#VALUE!</v>
      </c>
      <c r="EC460" t="e">
        <f>'Australia and Oceania'!I252+"n/&gt;!5ua"</f>
        <v>#VALUE!</v>
      </c>
      <c r="ED460" t="e">
        <f>'Australia and Oceania'!A253+"n/&gt;!5ub"</f>
        <v>#VALUE!</v>
      </c>
      <c r="EE460" t="e">
        <f>'Australia and Oceania'!B253+"n/&gt;!5uc"</f>
        <v>#VALUE!</v>
      </c>
      <c r="EF460" t="e">
        <f>'Australia and Oceania'!C253+"n/&gt;!5ud"</f>
        <v>#VALUE!</v>
      </c>
      <c r="EG460" t="e">
        <f>'Australia and Oceania'!D253+"n/&gt;!5ue"</f>
        <v>#VALUE!</v>
      </c>
      <c r="EH460" t="e">
        <f>'Australia and Oceania'!E253+"n/&gt;!5uf"</f>
        <v>#VALUE!</v>
      </c>
      <c r="EI460" t="e">
        <f>'Australia and Oceania'!F253+"n/&gt;!5ug"</f>
        <v>#VALUE!</v>
      </c>
      <c r="EJ460" t="e">
        <f>'Australia and Oceania'!G253+"n/&gt;!5uh"</f>
        <v>#VALUE!</v>
      </c>
      <c r="EK460" t="e">
        <f>'Australia and Oceania'!H253+"n/&gt;!5ui"</f>
        <v>#VALUE!</v>
      </c>
      <c r="EL460" t="e">
        <f>'Australia and Oceania'!I253+"n/&gt;!5uj"</f>
        <v>#VALUE!</v>
      </c>
      <c r="EM460" t="e">
        <f>'Australia and Oceania'!A254+"n/&gt;!5uk"</f>
        <v>#VALUE!</v>
      </c>
      <c r="EN460" t="e">
        <f>'Australia and Oceania'!B254+"n/&gt;!5ul"</f>
        <v>#VALUE!</v>
      </c>
      <c r="EO460" t="e">
        <f>'Australia and Oceania'!C254+"n/&gt;!5um"</f>
        <v>#VALUE!</v>
      </c>
      <c r="EP460" t="e">
        <f>'Australia and Oceania'!D254+"n/&gt;!5un"</f>
        <v>#VALUE!</v>
      </c>
      <c r="EQ460" t="e">
        <f>'Australia and Oceania'!E254+"n/&gt;!5uo"</f>
        <v>#VALUE!</v>
      </c>
      <c r="ER460" t="e">
        <f>'Australia and Oceania'!F254+"n/&gt;!5up"</f>
        <v>#VALUE!</v>
      </c>
      <c r="ES460" t="e">
        <f>'Australia and Oceania'!G254+"n/&gt;!5uq"</f>
        <v>#VALUE!</v>
      </c>
      <c r="ET460" t="e">
        <f>'Australia and Oceania'!H254+"n/&gt;!5ur"</f>
        <v>#VALUE!</v>
      </c>
      <c r="EU460" t="e">
        <f>'Australia and Oceania'!I254+"n/&gt;!5us"</f>
        <v>#VALUE!</v>
      </c>
      <c r="EV460" t="e">
        <f>'Australia and Oceania'!A255+"n/&gt;!5ut"</f>
        <v>#VALUE!</v>
      </c>
      <c r="EW460" t="e">
        <f>'Australia and Oceania'!B255+"n/&gt;!5uu"</f>
        <v>#VALUE!</v>
      </c>
      <c r="EX460" t="e">
        <f>'Australia and Oceania'!C255+"n/&gt;!5uv"</f>
        <v>#VALUE!</v>
      </c>
      <c r="EY460" t="e">
        <f>'Australia and Oceania'!D255+"n/&gt;!5uw"</f>
        <v>#VALUE!</v>
      </c>
      <c r="EZ460" t="e">
        <f>'Australia and Oceania'!E255+"n/&gt;!5ux"</f>
        <v>#VALUE!</v>
      </c>
      <c r="FA460" t="e">
        <f>'Australia and Oceania'!F255+"n/&gt;!5uy"</f>
        <v>#VALUE!</v>
      </c>
      <c r="FB460" t="e">
        <f>'Australia and Oceania'!G255+"n/&gt;!5uz"</f>
        <v>#VALUE!</v>
      </c>
      <c r="FC460" t="e">
        <f>'Australia and Oceania'!H255+"n/&gt;!5u{"</f>
        <v>#VALUE!</v>
      </c>
      <c r="FD460" t="e">
        <f>'Australia and Oceania'!I255+"n/&gt;!5u|"</f>
        <v>#VALUE!</v>
      </c>
      <c r="FE460" t="e">
        <f>'Australia and Oceania'!A256+"n/&gt;!5u}"</f>
        <v>#VALUE!</v>
      </c>
      <c r="FF460" t="e">
        <f>'Australia and Oceania'!B256+"n/&gt;!5u~"</f>
        <v>#VALUE!</v>
      </c>
      <c r="FG460" t="e">
        <f>'Australia and Oceania'!C256+"n/&gt;!5v#"</f>
        <v>#VALUE!</v>
      </c>
      <c r="FH460" t="e">
        <f>'Australia and Oceania'!D256+"n/&gt;!5v$"</f>
        <v>#VALUE!</v>
      </c>
      <c r="FI460" t="e">
        <f>'Australia and Oceania'!E256+"n/&gt;!5v%"</f>
        <v>#VALUE!</v>
      </c>
      <c r="FJ460" t="e">
        <f>'Australia and Oceania'!F256+"n/&gt;!5v&amp;"</f>
        <v>#VALUE!</v>
      </c>
      <c r="FK460" t="e">
        <f>'Australia and Oceania'!G256+"n/&gt;!5v'"</f>
        <v>#VALUE!</v>
      </c>
      <c r="FL460" t="e">
        <f>'Australia and Oceania'!H256+"n/&gt;!5v("</f>
        <v>#VALUE!</v>
      </c>
      <c r="FM460" t="e">
        <f>'Australia and Oceania'!I256+"n/&gt;!5v)"</f>
        <v>#VALUE!</v>
      </c>
      <c r="FN460" t="e">
        <f>'Australia and Oceania'!A257+"n/&gt;!5v."</f>
        <v>#VALUE!</v>
      </c>
      <c r="FO460" t="e">
        <f>'Australia and Oceania'!B257+"n/&gt;!5v/"</f>
        <v>#VALUE!</v>
      </c>
      <c r="FP460" t="e">
        <f>'Australia and Oceania'!C257+"n/&gt;!5v0"</f>
        <v>#VALUE!</v>
      </c>
      <c r="FQ460" t="e">
        <f>'Australia and Oceania'!D257+"n/&gt;!5v1"</f>
        <v>#VALUE!</v>
      </c>
      <c r="FR460" t="e">
        <f>'Australia and Oceania'!E257+"n/&gt;!5v2"</f>
        <v>#VALUE!</v>
      </c>
      <c r="FS460" t="e">
        <f>'Australia and Oceania'!F257+"n/&gt;!5v3"</f>
        <v>#VALUE!</v>
      </c>
      <c r="FT460" t="e">
        <f>'Australia and Oceania'!G257+"n/&gt;!5v4"</f>
        <v>#VALUE!</v>
      </c>
      <c r="FU460" t="e">
        <f>'Australia and Oceania'!H257+"n/&gt;!5v5"</f>
        <v>#VALUE!</v>
      </c>
      <c r="FV460" t="e">
        <f>'Australia and Oceania'!I257+"n/&gt;!5v6"</f>
        <v>#VALUE!</v>
      </c>
      <c r="FW460" t="e">
        <f>'Australia and Oceania'!A258+"n/&gt;!5v7"</f>
        <v>#VALUE!</v>
      </c>
      <c r="FX460" t="e">
        <f>'Australia and Oceania'!B258+"n/&gt;!5v8"</f>
        <v>#VALUE!</v>
      </c>
      <c r="FY460" t="e">
        <f>'Australia and Oceania'!C258+"n/&gt;!5v9"</f>
        <v>#VALUE!</v>
      </c>
      <c r="FZ460" t="e">
        <f>'Australia and Oceania'!D258+"n/&gt;!5v:"</f>
        <v>#VALUE!</v>
      </c>
      <c r="GA460" t="e">
        <f>'Australia and Oceania'!E258+"n/&gt;!5v;"</f>
        <v>#VALUE!</v>
      </c>
      <c r="GB460" t="e">
        <f>'Australia and Oceania'!F258+"n/&gt;!5v&lt;"</f>
        <v>#VALUE!</v>
      </c>
      <c r="GC460" t="e">
        <f>'Australia and Oceania'!G258+"n/&gt;!5v="</f>
        <v>#VALUE!</v>
      </c>
      <c r="GD460" t="e">
        <f>'Australia and Oceania'!H258+"n/&gt;!5v&gt;"</f>
        <v>#VALUE!</v>
      </c>
      <c r="GE460" t="e">
        <f>'Australia and Oceania'!I258+"n/&gt;!5v?"</f>
        <v>#VALUE!</v>
      </c>
      <c r="GF460" t="e">
        <f>'Australia and Oceania'!A259+"n/&gt;!5v@"</f>
        <v>#VALUE!</v>
      </c>
      <c r="GG460" t="e">
        <f>'Australia and Oceania'!B259+"n/&gt;!5vA"</f>
        <v>#VALUE!</v>
      </c>
      <c r="GH460" t="e">
        <f>'Australia and Oceania'!C259+"n/&gt;!5vB"</f>
        <v>#VALUE!</v>
      </c>
      <c r="GI460" t="e">
        <f>'Australia and Oceania'!D259+"n/&gt;!5vC"</f>
        <v>#VALUE!</v>
      </c>
      <c r="GJ460" t="e">
        <f>'Australia and Oceania'!E259+"n/&gt;!5vD"</f>
        <v>#VALUE!</v>
      </c>
      <c r="GK460" t="e">
        <f>'Australia and Oceania'!F259+"n/&gt;!5vE"</f>
        <v>#VALUE!</v>
      </c>
      <c r="GL460" t="e">
        <f>'Australia and Oceania'!G259+"n/&gt;!5vF"</f>
        <v>#VALUE!</v>
      </c>
      <c r="GM460" t="e">
        <f>'Australia and Oceania'!H259+"n/&gt;!5vG"</f>
        <v>#VALUE!</v>
      </c>
      <c r="GN460" t="e">
        <f>'Australia and Oceania'!I259+"n/&gt;!5vH"</f>
        <v>#VALUE!</v>
      </c>
      <c r="GO460" t="e">
        <f>'Australia and Oceania'!A260+"n/&gt;!5vI"</f>
        <v>#VALUE!</v>
      </c>
      <c r="GP460" t="e">
        <f>'Australia and Oceania'!B260+"n/&gt;!5vJ"</f>
        <v>#VALUE!</v>
      </c>
      <c r="GQ460" t="e">
        <f>'Australia and Oceania'!C260+"n/&gt;!5vK"</f>
        <v>#VALUE!</v>
      </c>
      <c r="GR460" t="e">
        <f>'Australia and Oceania'!D260+"n/&gt;!5vL"</f>
        <v>#VALUE!</v>
      </c>
      <c r="GS460" t="e">
        <f>'Australia and Oceania'!E260+"n/&gt;!5vM"</f>
        <v>#VALUE!</v>
      </c>
      <c r="GT460" t="e">
        <f>'Australia and Oceania'!F260+"n/&gt;!5vN"</f>
        <v>#VALUE!</v>
      </c>
      <c r="GU460" t="e">
        <f>'Australia and Oceania'!G260+"n/&gt;!5vO"</f>
        <v>#VALUE!</v>
      </c>
      <c r="GV460" t="e">
        <f>'Australia and Oceania'!H260+"n/&gt;!5vP"</f>
        <v>#VALUE!</v>
      </c>
      <c r="GW460" t="e">
        <f>'Australia and Oceania'!I260+"n/&gt;!5vQ"</f>
        <v>#VALUE!</v>
      </c>
      <c r="GX460" t="e">
        <f>'Australia and Oceania'!A261+"n/&gt;!5vR"</f>
        <v>#VALUE!</v>
      </c>
      <c r="GY460" t="e">
        <f>'Australia and Oceania'!B261+"n/&gt;!5vS"</f>
        <v>#VALUE!</v>
      </c>
      <c r="GZ460" t="e">
        <f>'Australia and Oceania'!C261+"n/&gt;!5vT"</f>
        <v>#VALUE!</v>
      </c>
      <c r="HA460" t="e">
        <f>'Australia and Oceania'!D261+"n/&gt;!5vU"</f>
        <v>#VALUE!</v>
      </c>
      <c r="HB460" t="e">
        <f>'Australia and Oceania'!E261+"n/&gt;!5vV"</f>
        <v>#VALUE!</v>
      </c>
      <c r="HC460" t="e">
        <f>'Australia and Oceania'!F261+"n/&gt;!5vW"</f>
        <v>#VALUE!</v>
      </c>
      <c r="HD460" t="e">
        <f>'Australia and Oceania'!G261+"n/&gt;!5vX"</f>
        <v>#VALUE!</v>
      </c>
      <c r="HE460" t="e">
        <f>'Australia and Oceania'!H261+"n/&gt;!5vY"</f>
        <v>#VALUE!</v>
      </c>
      <c r="HF460" t="e">
        <f>'Australia and Oceania'!I261+"n/&gt;!5vZ"</f>
        <v>#VALUE!</v>
      </c>
      <c r="HG460" t="e">
        <f>'Australia and Oceania'!A262+"n/&gt;!5v["</f>
        <v>#VALUE!</v>
      </c>
      <c r="HH460" t="e">
        <f>'Australia and Oceania'!B262+"n/&gt;!5v\"</f>
        <v>#VALUE!</v>
      </c>
      <c r="HI460" t="e">
        <f>'Australia and Oceania'!C262+"n/&gt;!5v]"</f>
        <v>#VALUE!</v>
      </c>
      <c r="HJ460" t="e">
        <f>'Australia and Oceania'!D262+"n/&gt;!5v^"</f>
        <v>#VALUE!</v>
      </c>
      <c r="HK460" t="e">
        <f>'Australia and Oceania'!E262+"n/&gt;!5v_"</f>
        <v>#VALUE!</v>
      </c>
      <c r="HL460" t="e">
        <f>'Australia and Oceania'!F262+"n/&gt;!5v`"</f>
        <v>#VALUE!</v>
      </c>
      <c r="HM460" t="e">
        <f>'Australia and Oceania'!G262+"n/&gt;!5va"</f>
        <v>#VALUE!</v>
      </c>
      <c r="HN460" t="e">
        <f>'Australia and Oceania'!H262+"n/&gt;!5vb"</f>
        <v>#VALUE!</v>
      </c>
      <c r="HO460" t="e">
        <f>'Australia and Oceania'!I262+"n/&gt;!5vc"</f>
        <v>#VALUE!</v>
      </c>
      <c r="HP460" t="e">
        <f>'Australia and Oceania'!A263+"n/&gt;!5vd"</f>
        <v>#VALUE!</v>
      </c>
      <c r="HQ460" t="e">
        <f>'Australia and Oceania'!B263+"n/&gt;!5ve"</f>
        <v>#VALUE!</v>
      </c>
      <c r="HR460" t="e">
        <f>'Australia and Oceania'!C263+"n/&gt;!5vf"</f>
        <v>#VALUE!</v>
      </c>
      <c r="HS460" t="e">
        <f>'Australia and Oceania'!D263+"n/&gt;!5vg"</f>
        <v>#VALUE!</v>
      </c>
      <c r="HT460" t="e">
        <f>'Australia and Oceania'!E263+"n/&gt;!5vh"</f>
        <v>#VALUE!</v>
      </c>
      <c r="HU460" t="e">
        <f>'Australia and Oceania'!F263+"n/&gt;!5vi"</f>
        <v>#VALUE!</v>
      </c>
      <c r="HV460" t="e">
        <f>'Australia and Oceania'!G263+"n/&gt;!5vj"</f>
        <v>#VALUE!</v>
      </c>
      <c r="HW460" t="e">
        <f>'Australia and Oceania'!H263+"n/&gt;!5vk"</f>
        <v>#VALUE!</v>
      </c>
      <c r="HX460" t="e">
        <f>'Australia and Oceania'!I263+"n/&gt;!5vl"</f>
        <v>#VALUE!</v>
      </c>
      <c r="HY460" t="e">
        <f>'Australia and Oceania'!A264+"n/&gt;!5vm"</f>
        <v>#VALUE!</v>
      </c>
      <c r="HZ460" t="e">
        <f>'Australia and Oceania'!B264+"n/&gt;!5vn"</f>
        <v>#VALUE!</v>
      </c>
      <c r="IA460" t="e">
        <f>'Australia and Oceania'!C264+"n/&gt;!5vo"</f>
        <v>#VALUE!</v>
      </c>
      <c r="IB460" t="e">
        <f>'Australia and Oceania'!D264+"n/&gt;!5vp"</f>
        <v>#VALUE!</v>
      </c>
      <c r="IC460" t="e">
        <f>'Australia and Oceania'!E264+"n/&gt;!5vq"</f>
        <v>#VALUE!</v>
      </c>
      <c r="ID460" t="e">
        <f>'Australia and Oceania'!F264+"n/&gt;!5vr"</f>
        <v>#VALUE!</v>
      </c>
      <c r="IE460" t="e">
        <f>'Australia and Oceania'!G264+"n/&gt;!5vs"</f>
        <v>#VALUE!</v>
      </c>
      <c r="IF460" t="e">
        <f>'Australia and Oceania'!H264+"n/&gt;!5vt"</f>
        <v>#VALUE!</v>
      </c>
      <c r="IG460" t="e">
        <f>'Australia and Oceania'!I264+"n/&gt;!5vu"</f>
        <v>#VALUE!</v>
      </c>
      <c r="IH460" t="e">
        <f>'Australia and Oceania'!A265+"n/&gt;!5vv"</f>
        <v>#VALUE!</v>
      </c>
      <c r="II460" t="e">
        <f>'Australia and Oceania'!B265+"n/&gt;!5vw"</f>
        <v>#VALUE!</v>
      </c>
      <c r="IJ460" t="e">
        <f>'Australia and Oceania'!C265+"n/&gt;!5vx"</f>
        <v>#VALUE!</v>
      </c>
      <c r="IK460" t="e">
        <f>'Australia and Oceania'!D265+"n/&gt;!5vy"</f>
        <v>#VALUE!</v>
      </c>
      <c r="IL460" t="e">
        <f>'Australia and Oceania'!E265+"n/&gt;!5vz"</f>
        <v>#VALUE!</v>
      </c>
      <c r="IM460" t="e">
        <f>'Australia and Oceania'!F265+"n/&gt;!5v{"</f>
        <v>#VALUE!</v>
      </c>
      <c r="IN460" t="e">
        <f>'Australia and Oceania'!G265+"n/&gt;!5v|"</f>
        <v>#VALUE!</v>
      </c>
      <c r="IO460" t="e">
        <f>'Australia and Oceania'!H265+"n/&gt;!5v}"</f>
        <v>#VALUE!</v>
      </c>
      <c r="IP460" t="e">
        <f>'Australia and Oceania'!I265+"n/&gt;!5v~"</f>
        <v>#VALUE!</v>
      </c>
      <c r="IQ460" t="e">
        <f>'Australia and Oceania'!A266+"n/&gt;!5w#"</f>
        <v>#VALUE!</v>
      </c>
      <c r="IR460" t="e">
        <f>'Australia and Oceania'!B266+"n/&gt;!5w$"</f>
        <v>#VALUE!</v>
      </c>
      <c r="IS460" t="e">
        <f>'Australia and Oceania'!C266+"n/&gt;!5w%"</f>
        <v>#VALUE!</v>
      </c>
      <c r="IT460" t="e">
        <f>'Australia and Oceania'!D266+"n/&gt;!5w&amp;"</f>
        <v>#VALUE!</v>
      </c>
      <c r="IU460" t="e">
        <f>'Australia and Oceania'!E266+"n/&gt;!5w'"</f>
        <v>#VALUE!</v>
      </c>
      <c r="IV460" t="e">
        <f>'Australia and Oceania'!F266+"n/&gt;!5w("</f>
        <v>#VALUE!</v>
      </c>
    </row>
    <row r="461" spans="6:256" x14ac:dyDescent="0.35">
      <c r="F461" t="e">
        <f>'Australia and Oceania'!G266+"n/&gt;!5w)"</f>
        <v>#VALUE!</v>
      </c>
      <c r="G461" t="e">
        <f>'Australia and Oceania'!H266+"n/&gt;!5w."</f>
        <v>#VALUE!</v>
      </c>
      <c r="H461" t="e">
        <f>'Australia and Oceania'!I266+"n/&gt;!5w/"</f>
        <v>#VALUE!</v>
      </c>
      <c r="I461" t="e">
        <f>'Australia and Oceania'!A267+"n/&gt;!5w0"</f>
        <v>#VALUE!</v>
      </c>
      <c r="J461" t="e">
        <f>'Australia and Oceania'!B267+"n/&gt;!5w1"</f>
        <v>#VALUE!</v>
      </c>
      <c r="K461" t="e">
        <f>'Australia and Oceania'!C267+"n/&gt;!5w2"</f>
        <v>#VALUE!</v>
      </c>
      <c r="L461" t="e">
        <f>'Australia and Oceania'!D267+"n/&gt;!5w3"</f>
        <v>#VALUE!</v>
      </c>
      <c r="M461" t="e">
        <f>'Australia and Oceania'!E267+"n/&gt;!5w4"</f>
        <v>#VALUE!</v>
      </c>
      <c r="N461" t="e">
        <f>'Australia and Oceania'!F267+"n/&gt;!5w5"</f>
        <v>#VALUE!</v>
      </c>
      <c r="O461" t="e">
        <f>'Australia and Oceania'!G267+"n/&gt;!5w6"</f>
        <v>#VALUE!</v>
      </c>
      <c r="P461" t="e">
        <f>'Australia and Oceania'!H267+"n/&gt;!5w7"</f>
        <v>#VALUE!</v>
      </c>
      <c r="Q461" t="e">
        <f>'Australia and Oceania'!I267+"n/&gt;!5w8"</f>
        <v>#VALUE!</v>
      </c>
      <c r="R461" t="e">
        <f>'Australia and Oceania'!A268+"n/&gt;!5w9"</f>
        <v>#VALUE!</v>
      </c>
      <c r="S461" t="e">
        <f>'Australia and Oceania'!B268+"n/&gt;!5w:"</f>
        <v>#VALUE!</v>
      </c>
      <c r="T461" t="e">
        <f>'Australia and Oceania'!C268+"n/&gt;!5w;"</f>
        <v>#VALUE!</v>
      </c>
      <c r="U461" t="e">
        <f>'Australia and Oceania'!D268+"n/&gt;!5w&lt;"</f>
        <v>#VALUE!</v>
      </c>
      <c r="V461" t="e">
        <f>'Australia and Oceania'!E268+"n/&gt;!5w="</f>
        <v>#VALUE!</v>
      </c>
      <c r="W461" t="e">
        <f>'Australia and Oceania'!F268+"n/&gt;!5w&gt;"</f>
        <v>#VALUE!</v>
      </c>
      <c r="X461" t="e">
        <f>'Australia and Oceania'!G268+"n/&gt;!5w?"</f>
        <v>#VALUE!</v>
      </c>
      <c r="Y461" t="e">
        <f>'Australia and Oceania'!H268+"n/&gt;!5w@"</f>
        <v>#VALUE!</v>
      </c>
      <c r="Z461" t="e">
        <f>'Australia and Oceania'!I268+"n/&gt;!5wA"</f>
        <v>#VALUE!</v>
      </c>
      <c r="AA461" t="e">
        <f>'Australia and Oceania'!A269+"n/&gt;!5wB"</f>
        <v>#VALUE!</v>
      </c>
      <c r="AB461" t="e">
        <f>'Australia and Oceania'!B269+"n/&gt;!5wC"</f>
        <v>#VALUE!</v>
      </c>
      <c r="AC461" t="e">
        <f>'Australia and Oceania'!C269+"n/&gt;!5wD"</f>
        <v>#VALUE!</v>
      </c>
      <c r="AD461" t="e">
        <f>'Australia and Oceania'!D269+"n/&gt;!5wE"</f>
        <v>#VALUE!</v>
      </c>
      <c r="AE461" t="e">
        <f>'Australia and Oceania'!E269+"n/&gt;!5wF"</f>
        <v>#VALUE!</v>
      </c>
      <c r="AF461" t="e">
        <f>'Australia and Oceania'!F269+"n/&gt;!5wG"</f>
        <v>#VALUE!</v>
      </c>
      <c r="AG461" t="e">
        <f>'Australia and Oceania'!G269+"n/&gt;!5wH"</f>
        <v>#VALUE!</v>
      </c>
      <c r="AH461" t="e">
        <f>'Australia and Oceania'!H269+"n/&gt;!5wI"</f>
        <v>#VALUE!</v>
      </c>
      <c r="AI461" t="e">
        <f>'Australia and Oceania'!I269+"n/&gt;!5wJ"</f>
        <v>#VALUE!</v>
      </c>
      <c r="AJ461" t="e">
        <f>'Australia and Oceania'!A270+"n/&gt;!5wK"</f>
        <v>#VALUE!</v>
      </c>
      <c r="AK461" t="e">
        <f>'Australia and Oceania'!B270+"n/&gt;!5wL"</f>
        <v>#VALUE!</v>
      </c>
      <c r="AL461" t="e">
        <f>'Australia and Oceania'!C270+"n/&gt;!5wM"</f>
        <v>#VALUE!</v>
      </c>
      <c r="AM461" t="e">
        <f>'Australia and Oceania'!D270+"n/&gt;!5wN"</f>
        <v>#VALUE!</v>
      </c>
      <c r="AN461" t="e">
        <f>'Australia and Oceania'!E270+"n/&gt;!5wO"</f>
        <v>#VALUE!</v>
      </c>
      <c r="AO461" t="e">
        <f>'Australia and Oceania'!F270+"n/&gt;!5wP"</f>
        <v>#VALUE!</v>
      </c>
      <c r="AP461" t="e">
        <f>'Australia and Oceania'!G270+"n/&gt;!5wQ"</f>
        <v>#VALUE!</v>
      </c>
      <c r="AQ461" t="e">
        <f>'Australia and Oceania'!H270+"n/&gt;!5wR"</f>
        <v>#VALUE!</v>
      </c>
      <c r="AR461" t="e">
        <f>'Australia and Oceania'!I270+"n/&gt;!5wS"</f>
        <v>#VALUE!</v>
      </c>
      <c r="AS461" t="e">
        <f>'Australia and Oceania'!A271+"n/&gt;!5wT"</f>
        <v>#VALUE!</v>
      </c>
      <c r="AT461" t="e">
        <f>'Australia and Oceania'!B271+"n/&gt;!5wU"</f>
        <v>#VALUE!</v>
      </c>
      <c r="AU461" t="e">
        <f>'Australia and Oceania'!C271+"n/&gt;!5wV"</f>
        <v>#VALUE!</v>
      </c>
      <c r="AV461" t="e">
        <f>'Australia and Oceania'!D271+"n/&gt;!5wW"</f>
        <v>#VALUE!</v>
      </c>
      <c r="AW461" t="e">
        <f>'Australia and Oceania'!E271+"n/&gt;!5wX"</f>
        <v>#VALUE!</v>
      </c>
      <c r="AX461" t="e">
        <f>'Australia and Oceania'!F271+"n/&gt;!5wY"</f>
        <v>#VALUE!</v>
      </c>
      <c r="AY461" t="e">
        <f>'Australia and Oceania'!G271+"n/&gt;!5wZ"</f>
        <v>#VALUE!</v>
      </c>
      <c r="AZ461" t="e">
        <f>'Australia and Oceania'!H271+"n/&gt;!5w["</f>
        <v>#VALUE!</v>
      </c>
      <c r="BA461" t="e">
        <f>'Australia and Oceania'!I271+"n/&gt;!5w\"</f>
        <v>#VALUE!</v>
      </c>
      <c r="BB461" t="e">
        <f>'Australia and Oceania'!A272+"n/&gt;!5w]"</f>
        <v>#VALUE!</v>
      </c>
      <c r="BC461" t="e">
        <f>'Australia and Oceania'!B272+"n/&gt;!5w^"</f>
        <v>#VALUE!</v>
      </c>
      <c r="BD461" t="e">
        <f>'Australia and Oceania'!C272+"n/&gt;!5w_"</f>
        <v>#VALUE!</v>
      </c>
      <c r="BE461" t="e">
        <f>'Australia and Oceania'!D272+"n/&gt;!5w`"</f>
        <v>#VALUE!</v>
      </c>
      <c r="BF461" t="e">
        <f>'Australia and Oceania'!E272+"n/&gt;!5wa"</f>
        <v>#VALUE!</v>
      </c>
      <c r="BG461" t="e">
        <f>'Australia and Oceania'!F272+"n/&gt;!5wb"</f>
        <v>#VALUE!</v>
      </c>
      <c r="BH461" t="e">
        <f>'Australia and Oceania'!G272+"n/&gt;!5wc"</f>
        <v>#VALUE!</v>
      </c>
      <c r="BI461" t="e">
        <f>'Australia and Oceania'!H272+"n/&gt;!5wd"</f>
        <v>#VALUE!</v>
      </c>
      <c r="BJ461" t="e">
        <f>'Australia and Oceania'!I272+"n/&gt;!5we"</f>
        <v>#VALUE!</v>
      </c>
      <c r="BK461" t="e">
        <f>'Australia and Oceania'!A273+"n/&gt;!5wf"</f>
        <v>#VALUE!</v>
      </c>
      <c r="BL461" t="e">
        <f>'Australia and Oceania'!B273+"n/&gt;!5wg"</f>
        <v>#VALUE!</v>
      </c>
      <c r="BM461" t="e">
        <f>'Australia and Oceania'!C273+"n/&gt;!5wh"</f>
        <v>#VALUE!</v>
      </c>
      <c r="BN461" t="e">
        <f>'Australia and Oceania'!D273+"n/&gt;!5wi"</f>
        <v>#VALUE!</v>
      </c>
      <c r="BO461" t="e">
        <f>'Australia and Oceania'!E273+"n/&gt;!5wj"</f>
        <v>#VALUE!</v>
      </c>
      <c r="BP461" t="e">
        <f>'Australia and Oceania'!F273+"n/&gt;!5wk"</f>
        <v>#VALUE!</v>
      </c>
      <c r="BQ461" t="e">
        <f>'Australia and Oceania'!G273+"n/&gt;!5wl"</f>
        <v>#VALUE!</v>
      </c>
      <c r="BR461" t="e">
        <f>'Australia and Oceania'!H273+"n/&gt;!5wm"</f>
        <v>#VALUE!</v>
      </c>
      <c r="BS461" t="e">
        <f>'Australia and Oceania'!I273+"n/&gt;!5wn"</f>
        <v>#VALUE!</v>
      </c>
      <c r="BT461" t="e">
        <f>'Australia and Oceania'!A274+"n/&gt;!5wo"</f>
        <v>#VALUE!</v>
      </c>
      <c r="BU461" t="e">
        <f>'Australia and Oceania'!B274+"n/&gt;!5wp"</f>
        <v>#VALUE!</v>
      </c>
      <c r="BV461" t="e">
        <f>'Australia and Oceania'!C274+"n/&gt;!5wq"</f>
        <v>#VALUE!</v>
      </c>
      <c r="BW461" t="e">
        <f>'Australia and Oceania'!D274+"n/&gt;!5wr"</f>
        <v>#VALUE!</v>
      </c>
      <c r="BX461" t="e">
        <f>'Australia and Oceania'!E274+"n/&gt;!5ws"</f>
        <v>#VALUE!</v>
      </c>
      <c r="BY461" t="e">
        <f>'Australia and Oceania'!F274+"n/&gt;!5wt"</f>
        <v>#VALUE!</v>
      </c>
      <c r="BZ461" t="e">
        <f>'Australia and Oceania'!G274+"n/&gt;!5wu"</f>
        <v>#VALUE!</v>
      </c>
      <c r="CA461" t="e">
        <f>'Australia and Oceania'!H274+"n/&gt;!5wv"</f>
        <v>#VALUE!</v>
      </c>
      <c r="CB461" t="e">
        <f>'Australia and Oceania'!I274+"n/&gt;!5ww"</f>
        <v>#VALUE!</v>
      </c>
      <c r="CC461" t="e">
        <f>'Australia and Oceania'!A275+"n/&gt;!5wx"</f>
        <v>#VALUE!</v>
      </c>
      <c r="CD461" t="e">
        <f>'Australia and Oceania'!B275+"n/&gt;!5wy"</f>
        <v>#VALUE!</v>
      </c>
      <c r="CE461" t="e">
        <f>'Australia and Oceania'!C275+"n/&gt;!5wz"</f>
        <v>#VALUE!</v>
      </c>
      <c r="CF461" t="e">
        <f>'Australia and Oceania'!D275+"n/&gt;!5w{"</f>
        <v>#VALUE!</v>
      </c>
      <c r="CG461" t="e">
        <f>'Australia and Oceania'!E275+"n/&gt;!5w|"</f>
        <v>#VALUE!</v>
      </c>
      <c r="CH461" t="e">
        <f>'Australia and Oceania'!F275+"n/&gt;!5w}"</f>
        <v>#VALUE!</v>
      </c>
      <c r="CI461" t="e">
        <f>'Australia and Oceania'!G275+"n/&gt;!5w~"</f>
        <v>#VALUE!</v>
      </c>
      <c r="CJ461" t="e">
        <f>'Australia and Oceania'!H275+"n/&gt;!5x#"</f>
        <v>#VALUE!</v>
      </c>
      <c r="CK461" t="e">
        <f>'Australia and Oceania'!I275+"n/&gt;!5x$"</f>
        <v>#VALUE!</v>
      </c>
      <c r="CL461" t="e">
        <f>'Australia and Oceania'!A276+"n/&gt;!5x%"</f>
        <v>#VALUE!</v>
      </c>
      <c r="CM461" t="e">
        <f>'Australia and Oceania'!B276+"n/&gt;!5x&amp;"</f>
        <v>#VALUE!</v>
      </c>
      <c r="CN461" t="e">
        <f>'Australia and Oceania'!C276+"n/&gt;!5x'"</f>
        <v>#VALUE!</v>
      </c>
      <c r="CO461" t="e">
        <f>'Australia and Oceania'!D276+"n/&gt;!5x("</f>
        <v>#VALUE!</v>
      </c>
      <c r="CP461" t="e">
        <f>'Australia and Oceania'!E276+"n/&gt;!5x)"</f>
        <v>#VALUE!</v>
      </c>
      <c r="CQ461" t="e">
        <f>'Australia and Oceania'!F276+"n/&gt;!5x."</f>
        <v>#VALUE!</v>
      </c>
      <c r="CR461" t="e">
        <f>'Australia and Oceania'!G276+"n/&gt;!5x/"</f>
        <v>#VALUE!</v>
      </c>
      <c r="CS461" t="e">
        <f>'Australia and Oceania'!H276+"n/&gt;!5x0"</f>
        <v>#VALUE!</v>
      </c>
      <c r="CT461" t="e">
        <f>'Australia and Oceania'!I276+"n/&gt;!5x1"</f>
        <v>#VALUE!</v>
      </c>
      <c r="CU461" t="e">
        <f>'Australia and Oceania'!A277+"n/&gt;!5x2"</f>
        <v>#VALUE!</v>
      </c>
      <c r="CV461" t="e">
        <f>'Australia and Oceania'!B277+"n/&gt;!5x3"</f>
        <v>#VALUE!</v>
      </c>
      <c r="CW461" t="e">
        <f>'Australia and Oceania'!C277+"n/&gt;!5x4"</f>
        <v>#VALUE!</v>
      </c>
      <c r="CX461" t="e">
        <f>'Australia and Oceania'!D277+"n/&gt;!5x5"</f>
        <v>#VALUE!</v>
      </c>
      <c r="CY461" t="e">
        <f>'Australia and Oceania'!E277+"n/&gt;!5x6"</f>
        <v>#VALUE!</v>
      </c>
      <c r="CZ461" t="e">
        <f>'Australia and Oceania'!F277+"n/&gt;!5x7"</f>
        <v>#VALUE!</v>
      </c>
      <c r="DA461" t="e">
        <f>'Australia and Oceania'!G277+"n/&gt;!5x8"</f>
        <v>#VALUE!</v>
      </c>
      <c r="DB461" t="e">
        <f>'Australia and Oceania'!H277+"n/&gt;!5x9"</f>
        <v>#VALUE!</v>
      </c>
      <c r="DC461" t="e">
        <f>'Australia and Oceania'!I277+"n/&gt;!5x:"</f>
        <v>#VALUE!</v>
      </c>
      <c r="DD461" t="e">
        <f>'Australia and Oceania'!A278+"n/&gt;!5x;"</f>
        <v>#VALUE!</v>
      </c>
      <c r="DE461" t="e">
        <f>'Australia and Oceania'!B278+"n/&gt;!5x&lt;"</f>
        <v>#VALUE!</v>
      </c>
      <c r="DF461" t="e">
        <f>'Australia and Oceania'!C278+"n/&gt;!5x="</f>
        <v>#VALUE!</v>
      </c>
      <c r="DG461" t="e">
        <f>'Australia and Oceania'!D278+"n/&gt;!5x&gt;"</f>
        <v>#VALUE!</v>
      </c>
      <c r="DH461" t="e">
        <f>'Australia and Oceania'!E278+"n/&gt;!5x?"</f>
        <v>#VALUE!</v>
      </c>
      <c r="DI461" t="e">
        <f>'Australia and Oceania'!F278+"n/&gt;!5x@"</f>
        <v>#VALUE!</v>
      </c>
      <c r="DJ461" t="e">
        <f>'Australia and Oceania'!G278+"n/&gt;!5xA"</f>
        <v>#VALUE!</v>
      </c>
      <c r="DK461" t="e">
        <f>'Australia and Oceania'!H278+"n/&gt;!5xB"</f>
        <v>#VALUE!</v>
      </c>
      <c r="DL461" t="e">
        <f>'Australia and Oceania'!I278+"n/&gt;!5xC"</f>
        <v>#VALUE!</v>
      </c>
      <c r="DM461" t="e">
        <f>'Australia and Oceania'!A279+"n/&gt;!5xD"</f>
        <v>#VALUE!</v>
      </c>
      <c r="DN461" t="e">
        <f>'Australia and Oceania'!B279+"n/&gt;!5xE"</f>
        <v>#VALUE!</v>
      </c>
      <c r="DO461" t="e">
        <f>'Australia and Oceania'!C279+"n/&gt;!5xF"</f>
        <v>#VALUE!</v>
      </c>
      <c r="DP461" t="e">
        <f>'Australia and Oceania'!D279+"n/&gt;!5xG"</f>
        <v>#VALUE!</v>
      </c>
      <c r="DQ461" t="e">
        <f>'Australia and Oceania'!E279+"n/&gt;!5xH"</f>
        <v>#VALUE!</v>
      </c>
      <c r="DR461" t="e">
        <f>'Australia and Oceania'!F279+"n/&gt;!5xI"</f>
        <v>#VALUE!</v>
      </c>
      <c r="DS461" t="e">
        <f>'Australia and Oceania'!G279+"n/&gt;!5xJ"</f>
        <v>#VALUE!</v>
      </c>
      <c r="DT461" t="e">
        <f>'Australia and Oceania'!H279+"n/&gt;!5xK"</f>
        <v>#VALUE!</v>
      </c>
      <c r="DU461" t="e">
        <f>'Australia and Oceania'!I279+"n/&gt;!5xL"</f>
        <v>#VALUE!</v>
      </c>
      <c r="DV461" t="e">
        <f>'Australia and Oceania'!A280+"n/&gt;!5xM"</f>
        <v>#VALUE!</v>
      </c>
      <c r="DW461" t="e">
        <f>'Australia and Oceania'!B280+"n/&gt;!5xN"</f>
        <v>#VALUE!</v>
      </c>
      <c r="DX461" t="e">
        <f>'Australia and Oceania'!C280+"n/&gt;!5xO"</f>
        <v>#VALUE!</v>
      </c>
      <c r="DY461" t="e">
        <f>'Australia and Oceania'!D280+"n/&gt;!5xP"</f>
        <v>#VALUE!</v>
      </c>
      <c r="DZ461" t="e">
        <f>'Australia and Oceania'!E280+"n/&gt;!5xQ"</f>
        <v>#VALUE!</v>
      </c>
      <c r="EA461" t="e">
        <f>'Australia and Oceania'!F280+"n/&gt;!5xR"</f>
        <v>#VALUE!</v>
      </c>
      <c r="EB461" t="e">
        <f>'Australia and Oceania'!G280+"n/&gt;!5xS"</f>
        <v>#VALUE!</v>
      </c>
      <c r="EC461" t="e">
        <f>'Australia and Oceania'!H280+"n/&gt;!5xT"</f>
        <v>#VALUE!</v>
      </c>
      <c r="ED461" t="e">
        <f>'Australia and Oceania'!I280+"n/&gt;!5xU"</f>
        <v>#VALUE!</v>
      </c>
      <c r="EE461" t="e">
        <f>'Australia and Oceania'!A281+"n/&gt;!5xV"</f>
        <v>#VALUE!</v>
      </c>
      <c r="EF461" t="e">
        <f>'Australia and Oceania'!B281+"n/&gt;!5xW"</f>
        <v>#VALUE!</v>
      </c>
      <c r="EG461" t="e">
        <f>'Australia and Oceania'!C281+"n/&gt;!5xX"</f>
        <v>#VALUE!</v>
      </c>
      <c r="EH461" t="e">
        <f>'Australia and Oceania'!D281+"n/&gt;!5xY"</f>
        <v>#VALUE!</v>
      </c>
      <c r="EI461" t="e">
        <f>'Australia and Oceania'!E281+"n/&gt;!5xZ"</f>
        <v>#VALUE!</v>
      </c>
      <c r="EJ461" t="e">
        <f>'Australia and Oceania'!F281+"n/&gt;!5x["</f>
        <v>#VALUE!</v>
      </c>
      <c r="EK461" t="e">
        <f>'Australia and Oceania'!G281+"n/&gt;!5x\"</f>
        <v>#VALUE!</v>
      </c>
      <c r="EL461" t="e">
        <f>'Australia and Oceania'!H281+"n/&gt;!5x]"</f>
        <v>#VALUE!</v>
      </c>
      <c r="EM461" t="e">
        <f>'Australia and Oceania'!I281+"n/&gt;!5x^"</f>
        <v>#VALUE!</v>
      </c>
      <c r="EN461" t="e">
        <f>'Australia and Oceania'!A282+"n/&gt;!5x_"</f>
        <v>#VALUE!</v>
      </c>
      <c r="EO461" t="e">
        <f>'Australia and Oceania'!B282+"n/&gt;!5x`"</f>
        <v>#VALUE!</v>
      </c>
      <c r="EP461" t="e">
        <f>'Australia and Oceania'!C282+"n/&gt;!5xa"</f>
        <v>#VALUE!</v>
      </c>
      <c r="EQ461" t="e">
        <f>'Australia and Oceania'!D282+"n/&gt;!5xb"</f>
        <v>#VALUE!</v>
      </c>
      <c r="ER461" t="e">
        <f>'Australia and Oceania'!E282+"n/&gt;!5xc"</f>
        <v>#VALUE!</v>
      </c>
      <c r="ES461" t="e">
        <f>'Australia and Oceania'!G282+"n/&gt;!5xd"</f>
        <v>#VALUE!</v>
      </c>
      <c r="ET461" t="e">
        <f>'Australia and Oceania'!H282+"n/&gt;!5xe"</f>
        <v>#VALUE!</v>
      </c>
      <c r="EU461" t="e">
        <f>'Australia and Oceania'!I282+"n/&gt;!5xf"</f>
        <v>#VALUE!</v>
      </c>
      <c r="EV461" t="e">
        <f>'Australia and Oceania'!A283+"n/&gt;!5xg"</f>
        <v>#VALUE!</v>
      </c>
      <c r="EW461" t="e">
        <f>'Australia and Oceania'!B283+"n/&gt;!5xh"</f>
        <v>#VALUE!</v>
      </c>
      <c r="EX461" t="e">
        <f>'Australia and Oceania'!C283+"n/&gt;!5xi"</f>
        <v>#VALUE!</v>
      </c>
      <c r="EY461" t="e">
        <f>'Australia and Oceania'!D283+"n/&gt;!5xj"</f>
        <v>#VALUE!</v>
      </c>
      <c r="EZ461" t="e">
        <f>'Australia and Oceania'!E283+"n/&gt;!5xk"</f>
        <v>#VALUE!</v>
      </c>
      <c r="FA461" t="e">
        <f>'Australia and Oceania'!F283+"n/&gt;!5xl"</f>
        <v>#VALUE!</v>
      </c>
      <c r="FB461" t="e">
        <f>'Australia and Oceania'!G283+"n/&gt;!5xm"</f>
        <v>#VALUE!</v>
      </c>
      <c r="FC461" t="e">
        <f>'Australia and Oceania'!H283+"n/&gt;!5xn"</f>
        <v>#VALUE!</v>
      </c>
      <c r="FD461" t="e">
        <f>'Australia and Oceania'!I283+"n/&gt;!5xo"</f>
        <v>#VALUE!</v>
      </c>
      <c r="FE461" t="e">
        <f>'Australia and Oceania'!A284+"n/&gt;!5xp"</f>
        <v>#VALUE!</v>
      </c>
      <c r="FF461" t="e">
        <f>'Australia and Oceania'!B284+"n/&gt;!5xq"</f>
        <v>#VALUE!</v>
      </c>
      <c r="FG461" t="e">
        <f>'Australia and Oceania'!C284+"n/&gt;!5xr"</f>
        <v>#VALUE!</v>
      </c>
      <c r="FH461" t="e">
        <f>'Australia and Oceania'!D284+"n/&gt;!5xs"</f>
        <v>#VALUE!</v>
      </c>
      <c r="FI461" t="e">
        <f>'Australia and Oceania'!E284+"n/&gt;!5xt"</f>
        <v>#VALUE!</v>
      </c>
      <c r="FJ461" t="e">
        <f>'Australia and Oceania'!F284+"n/&gt;!5xu"</f>
        <v>#VALUE!</v>
      </c>
      <c r="FK461" t="e">
        <f>'Australia and Oceania'!G284+"n/&gt;!5xv"</f>
        <v>#VALUE!</v>
      </c>
      <c r="FL461" t="e">
        <f>'Australia and Oceania'!H284+"n/&gt;!5xw"</f>
        <v>#VALUE!</v>
      </c>
      <c r="FM461" t="e">
        <f>'Australia and Oceania'!I284+"n/&gt;!5xx"</f>
        <v>#VALUE!</v>
      </c>
      <c r="FN461" t="e">
        <f>'Australia and Oceania'!A285+"n/&gt;!5xy"</f>
        <v>#VALUE!</v>
      </c>
      <c r="FO461" t="e">
        <f>'Australia and Oceania'!B285+"n/&gt;!5xz"</f>
        <v>#VALUE!</v>
      </c>
      <c r="FP461" t="e">
        <f>'Australia and Oceania'!C285+"n/&gt;!5x{"</f>
        <v>#VALUE!</v>
      </c>
      <c r="FQ461" t="e">
        <f>'Australia and Oceania'!D285+"n/&gt;!5x|"</f>
        <v>#VALUE!</v>
      </c>
      <c r="FR461" t="e">
        <f>'Australia and Oceania'!E285+"n/&gt;!5x}"</f>
        <v>#VALUE!</v>
      </c>
      <c r="FS461" t="e">
        <f>'Australia and Oceania'!F285+"n/&gt;!5x~"</f>
        <v>#VALUE!</v>
      </c>
      <c r="FT461" t="e">
        <f>'Australia and Oceania'!G285+"n/&gt;!5y#"</f>
        <v>#VALUE!</v>
      </c>
      <c r="FU461" t="e">
        <f>'Australia and Oceania'!H285+"n/&gt;!5y$"</f>
        <v>#VALUE!</v>
      </c>
      <c r="FV461" t="e">
        <f>'Australia and Oceania'!I285+"n/&gt;!5y%"</f>
        <v>#VALUE!</v>
      </c>
      <c r="FW461" t="e">
        <f>'Australia and Oceania'!A286+"n/&gt;!5y&amp;"</f>
        <v>#VALUE!</v>
      </c>
      <c r="FX461" t="e">
        <f>'Australia and Oceania'!B286+"n/&gt;!5y'"</f>
        <v>#VALUE!</v>
      </c>
      <c r="FY461" t="e">
        <f>'Australia and Oceania'!C286+"n/&gt;!5y("</f>
        <v>#VALUE!</v>
      </c>
      <c r="FZ461" t="e">
        <f>'Australia and Oceania'!D286+"n/&gt;!5y)"</f>
        <v>#VALUE!</v>
      </c>
      <c r="GA461" t="e">
        <f>'Australia and Oceania'!E286+"n/&gt;!5y."</f>
        <v>#VALUE!</v>
      </c>
      <c r="GB461" t="e">
        <f>'Australia and Oceania'!F286+"n/&gt;!5y/"</f>
        <v>#VALUE!</v>
      </c>
      <c r="GC461" t="e">
        <f>'Australia and Oceania'!G286+"n/&gt;!5y0"</f>
        <v>#VALUE!</v>
      </c>
      <c r="GD461" t="e">
        <f>'Australia and Oceania'!H286+"n/&gt;!5y1"</f>
        <v>#VALUE!</v>
      </c>
      <c r="GE461" t="e">
        <f>'Australia and Oceania'!I286+"n/&gt;!5y2"</f>
        <v>#VALUE!</v>
      </c>
      <c r="GF461" t="e">
        <f>'Australia and Oceania'!A287+"n/&gt;!5y3"</f>
        <v>#VALUE!</v>
      </c>
      <c r="GG461" t="e">
        <f>'Australia and Oceania'!B287+"n/&gt;!5y4"</f>
        <v>#VALUE!</v>
      </c>
      <c r="GH461" t="e">
        <f>'Australia and Oceania'!C287+"n/&gt;!5y5"</f>
        <v>#VALUE!</v>
      </c>
      <c r="GI461" t="e">
        <f>'Australia and Oceania'!D287+"n/&gt;!5y6"</f>
        <v>#VALUE!</v>
      </c>
      <c r="GJ461" t="e">
        <f>'Australia and Oceania'!E287+"n/&gt;!5y7"</f>
        <v>#VALUE!</v>
      </c>
      <c r="GK461" t="e">
        <f>'Australia and Oceania'!F287+"n/&gt;!5y8"</f>
        <v>#VALUE!</v>
      </c>
      <c r="GL461" t="e">
        <f>'Australia and Oceania'!G287+"n/&gt;!5y9"</f>
        <v>#VALUE!</v>
      </c>
      <c r="GM461" t="e">
        <f>'Australia and Oceania'!H287+"n/&gt;!5y:"</f>
        <v>#VALUE!</v>
      </c>
      <c r="GN461" t="e">
        <f>'Australia and Oceania'!I287+"n/&gt;!5y;"</f>
        <v>#VALUE!</v>
      </c>
      <c r="GO461" t="e">
        <f>'Australia and Oceania'!A288+"n/&gt;!5y&lt;"</f>
        <v>#VALUE!</v>
      </c>
      <c r="GP461" t="e">
        <f>'Australia and Oceania'!B288+"n/&gt;!5y="</f>
        <v>#VALUE!</v>
      </c>
      <c r="GQ461" t="e">
        <f>'Australia and Oceania'!C288+"n/&gt;!5y&gt;"</f>
        <v>#VALUE!</v>
      </c>
      <c r="GR461" t="e">
        <f>'Australia and Oceania'!D288+"n/&gt;!5y?"</f>
        <v>#VALUE!</v>
      </c>
      <c r="GS461" t="e">
        <f>'Australia and Oceania'!E288+"n/&gt;!5y@"</f>
        <v>#VALUE!</v>
      </c>
      <c r="GT461" t="e">
        <f>'Australia and Oceania'!F288+"n/&gt;!5yA"</f>
        <v>#VALUE!</v>
      </c>
      <c r="GU461" t="e">
        <f>'Australia and Oceania'!G288+"n/&gt;!5yB"</f>
        <v>#VALUE!</v>
      </c>
      <c r="GV461" t="e">
        <f>'Australia and Oceania'!H288+"n/&gt;!5yC"</f>
        <v>#VALUE!</v>
      </c>
      <c r="GW461" t="e">
        <f>'Australia and Oceania'!I288+"n/&gt;!5yD"</f>
        <v>#VALUE!</v>
      </c>
      <c r="GX461" t="e">
        <f>'Australia and Oceania'!A289+"n/&gt;!5yE"</f>
        <v>#VALUE!</v>
      </c>
      <c r="GY461" t="e">
        <f>'Australia and Oceania'!B289+"n/&gt;!5yF"</f>
        <v>#VALUE!</v>
      </c>
      <c r="GZ461" t="e">
        <f>'Australia and Oceania'!C289+"n/&gt;!5yG"</f>
        <v>#VALUE!</v>
      </c>
      <c r="HA461" t="e">
        <f>'Australia and Oceania'!D289+"n/&gt;!5yH"</f>
        <v>#VALUE!</v>
      </c>
      <c r="HB461" t="e">
        <f>'Australia and Oceania'!E289+"n/&gt;!5yI"</f>
        <v>#VALUE!</v>
      </c>
      <c r="HC461" t="e">
        <f>'Australia and Oceania'!F289+"n/&gt;!5yJ"</f>
        <v>#VALUE!</v>
      </c>
      <c r="HD461" t="e">
        <f>'Australia and Oceania'!G289+"n/&gt;!5yK"</f>
        <v>#VALUE!</v>
      </c>
      <c r="HE461" t="e">
        <f>'Australia and Oceania'!H289+"n/&gt;!5yL"</f>
        <v>#VALUE!</v>
      </c>
      <c r="HF461" t="e">
        <f>'Australia and Oceania'!I289+"n/&gt;!5yM"</f>
        <v>#VALUE!</v>
      </c>
      <c r="HG461" t="e">
        <f>'Australia and Oceania'!A290+"n/&gt;!5yN"</f>
        <v>#VALUE!</v>
      </c>
      <c r="HH461" t="e">
        <f>'Australia and Oceania'!B290+"n/&gt;!5yO"</f>
        <v>#VALUE!</v>
      </c>
      <c r="HI461" t="e">
        <f>'Australia and Oceania'!C290+"n/&gt;!5yP"</f>
        <v>#VALUE!</v>
      </c>
      <c r="HJ461" t="e">
        <f>'Australia and Oceania'!D290+"n/&gt;!5yQ"</f>
        <v>#VALUE!</v>
      </c>
      <c r="HK461" t="e">
        <f>'Australia and Oceania'!E290+"n/&gt;!5yR"</f>
        <v>#VALUE!</v>
      </c>
      <c r="HL461" t="e">
        <f>'Australia and Oceania'!F290+"n/&gt;!5yS"</f>
        <v>#VALUE!</v>
      </c>
      <c r="HM461" t="e">
        <f>'Australia and Oceania'!G290+"n/&gt;!5yT"</f>
        <v>#VALUE!</v>
      </c>
      <c r="HN461" t="e">
        <f>'Australia and Oceania'!H290+"n/&gt;!5yU"</f>
        <v>#VALUE!</v>
      </c>
      <c r="HO461" t="e">
        <f>'Australia and Oceania'!I290+"n/&gt;!5yV"</f>
        <v>#VALUE!</v>
      </c>
      <c r="HP461" t="e">
        <f>'Australia and Oceania'!A291+"n/&gt;!5yW"</f>
        <v>#VALUE!</v>
      </c>
      <c r="HQ461" t="e">
        <f>'Australia and Oceania'!B291+"n/&gt;!5yX"</f>
        <v>#VALUE!</v>
      </c>
      <c r="HR461" t="e">
        <f>'Australia and Oceania'!C291+"n/&gt;!5yY"</f>
        <v>#VALUE!</v>
      </c>
      <c r="HS461" t="e">
        <f>'Australia and Oceania'!D291+"n/&gt;!5yZ"</f>
        <v>#VALUE!</v>
      </c>
      <c r="HT461" t="e">
        <f>'Australia and Oceania'!E291+"n/&gt;!5y["</f>
        <v>#VALUE!</v>
      </c>
      <c r="HU461" t="e">
        <f>'Australia and Oceania'!F291+"n/&gt;!5y\"</f>
        <v>#VALUE!</v>
      </c>
      <c r="HV461" t="e">
        <f>'Australia and Oceania'!G291+"n/&gt;!5y]"</f>
        <v>#VALUE!</v>
      </c>
      <c r="HW461" t="e">
        <f>'Australia and Oceania'!H291+"n/&gt;!5y^"</f>
        <v>#VALUE!</v>
      </c>
      <c r="HX461" t="e">
        <f>'Australia and Oceania'!I291+"n/&gt;!5y_"</f>
        <v>#VALUE!</v>
      </c>
      <c r="HY461" t="e">
        <f>'Australia and Oceania'!A292+"n/&gt;!5y`"</f>
        <v>#VALUE!</v>
      </c>
      <c r="HZ461" t="e">
        <f>'Australia and Oceania'!B292+"n/&gt;!5ya"</f>
        <v>#VALUE!</v>
      </c>
      <c r="IA461" t="e">
        <f>'Australia and Oceania'!C292+"n/&gt;!5yb"</f>
        <v>#VALUE!</v>
      </c>
      <c r="IB461" t="e">
        <f>'Australia and Oceania'!D292+"n/&gt;!5yc"</f>
        <v>#VALUE!</v>
      </c>
      <c r="IC461" t="e">
        <f>'Australia and Oceania'!E292+"n/&gt;!5yd"</f>
        <v>#VALUE!</v>
      </c>
      <c r="ID461" t="e">
        <f>'Australia and Oceania'!F292+"n/&gt;!5ye"</f>
        <v>#VALUE!</v>
      </c>
      <c r="IE461" t="e">
        <f>'Australia and Oceania'!G292+"n/&gt;!5yf"</f>
        <v>#VALUE!</v>
      </c>
      <c r="IF461" t="e">
        <f>'Australia and Oceania'!H292+"n/&gt;!5yg"</f>
        <v>#VALUE!</v>
      </c>
      <c r="IG461" t="e">
        <f>'Australia and Oceania'!I292+"n/&gt;!5yh"</f>
        <v>#VALUE!</v>
      </c>
      <c r="IH461" t="e">
        <f>'Australia and Oceania'!A293+"n/&gt;!5yi"</f>
        <v>#VALUE!</v>
      </c>
      <c r="II461" t="e">
        <f>'Australia and Oceania'!B293+"n/&gt;!5yj"</f>
        <v>#VALUE!</v>
      </c>
      <c r="IJ461" t="e">
        <f>'Australia and Oceania'!C293+"n/&gt;!5yk"</f>
        <v>#VALUE!</v>
      </c>
      <c r="IK461" t="e">
        <f>'Australia and Oceania'!D293+"n/&gt;!5yl"</f>
        <v>#VALUE!</v>
      </c>
      <c r="IL461" t="e">
        <f>'Australia and Oceania'!E293+"n/&gt;!5ym"</f>
        <v>#VALUE!</v>
      </c>
      <c r="IM461" t="e">
        <f>'Australia and Oceania'!F293+"n/&gt;!5yn"</f>
        <v>#VALUE!</v>
      </c>
      <c r="IN461" t="e">
        <f>'Australia and Oceania'!G293+"n/&gt;!5yo"</f>
        <v>#VALUE!</v>
      </c>
      <c r="IO461" t="e">
        <f>'Australia and Oceania'!H293+"n/&gt;!5yp"</f>
        <v>#VALUE!</v>
      </c>
      <c r="IP461" t="e">
        <f>'Australia and Oceania'!I293+"n/&gt;!5yq"</f>
        <v>#VALUE!</v>
      </c>
      <c r="IQ461" t="e">
        <f>'Australia and Oceania'!A294+"n/&gt;!5yr"</f>
        <v>#VALUE!</v>
      </c>
      <c r="IR461" t="e">
        <f>'Australia and Oceania'!B294+"n/&gt;!5ys"</f>
        <v>#VALUE!</v>
      </c>
      <c r="IS461" t="e">
        <f>'Australia and Oceania'!C294+"n/&gt;!5yt"</f>
        <v>#VALUE!</v>
      </c>
      <c r="IT461" t="e">
        <f>'Australia and Oceania'!D294+"n/&gt;!5yu"</f>
        <v>#VALUE!</v>
      </c>
      <c r="IU461" t="e">
        <f>'Australia and Oceania'!E294+"n/&gt;!5yv"</f>
        <v>#VALUE!</v>
      </c>
      <c r="IV461" t="e">
        <f>'Australia and Oceania'!F294+"n/&gt;!5yw"</f>
        <v>#VALUE!</v>
      </c>
    </row>
    <row r="462" spans="6:256" x14ac:dyDescent="0.35">
      <c r="F462" t="e">
        <f>'Australia and Oceania'!G294+"n/&gt;!5yx"</f>
        <v>#VALUE!</v>
      </c>
      <c r="G462" t="e">
        <f>'Australia and Oceania'!H294+"n/&gt;!5yy"</f>
        <v>#VALUE!</v>
      </c>
      <c r="H462" t="e">
        <f>'Australia and Oceania'!I294+"n/&gt;!5yz"</f>
        <v>#VALUE!</v>
      </c>
      <c r="I462" t="e">
        <f>'Australia and Oceania'!A295+"n/&gt;!5y{"</f>
        <v>#VALUE!</v>
      </c>
      <c r="J462" t="e">
        <f>'Australia and Oceania'!B295+"n/&gt;!5y|"</f>
        <v>#VALUE!</v>
      </c>
      <c r="K462" t="e">
        <f>'Australia and Oceania'!C295+"n/&gt;!5y}"</f>
        <v>#VALUE!</v>
      </c>
      <c r="L462" t="e">
        <f>'Australia and Oceania'!D295+"n/&gt;!5y~"</f>
        <v>#VALUE!</v>
      </c>
      <c r="M462" t="e">
        <f>'Australia and Oceania'!E295+"n/&gt;!5z#"</f>
        <v>#VALUE!</v>
      </c>
      <c r="N462" t="e">
        <f>'Australia and Oceania'!F295+"n/&gt;!5z$"</f>
        <v>#VALUE!</v>
      </c>
      <c r="O462" t="e">
        <f>'Australia and Oceania'!G295+"n/&gt;!5z%"</f>
        <v>#VALUE!</v>
      </c>
      <c r="P462" t="e">
        <f>'Australia and Oceania'!H295+"n/&gt;!5z&amp;"</f>
        <v>#VALUE!</v>
      </c>
      <c r="Q462" t="e">
        <f>'Australia and Oceania'!I295+"n/&gt;!5z'"</f>
        <v>#VALUE!</v>
      </c>
      <c r="R462" t="e">
        <f>'Australia and Oceania'!A296+"n/&gt;!5z("</f>
        <v>#VALUE!</v>
      </c>
      <c r="S462" t="e">
        <f>'Australia and Oceania'!B296+"n/&gt;!5z)"</f>
        <v>#VALUE!</v>
      </c>
      <c r="T462" t="e">
        <f>'Australia and Oceania'!C296+"n/&gt;!5z."</f>
        <v>#VALUE!</v>
      </c>
      <c r="U462" t="e">
        <f>'Australia and Oceania'!D296+"n/&gt;!5z/"</f>
        <v>#VALUE!</v>
      </c>
      <c r="V462" t="e">
        <f>'Australia and Oceania'!E296+"n/&gt;!5z0"</f>
        <v>#VALUE!</v>
      </c>
      <c r="W462" t="e">
        <f>'Australia and Oceania'!F296+"n/&gt;!5z1"</f>
        <v>#VALUE!</v>
      </c>
      <c r="X462" t="e">
        <f>'Australia and Oceania'!G296+"n/&gt;!5z2"</f>
        <v>#VALUE!</v>
      </c>
      <c r="Y462" t="e">
        <f>'Australia and Oceania'!H296+"n/&gt;!5z3"</f>
        <v>#VALUE!</v>
      </c>
      <c r="Z462" t="e">
        <f>'Australia and Oceania'!I296+"n/&gt;!5z4"</f>
        <v>#VALUE!</v>
      </c>
      <c r="AA462" t="e">
        <f>'Australia and Oceania'!A297+"n/&gt;!5z5"</f>
        <v>#VALUE!</v>
      </c>
      <c r="AB462" t="e">
        <f>'Australia and Oceania'!B297+"n/&gt;!5z6"</f>
        <v>#VALUE!</v>
      </c>
      <c r="AC462" t="e">
        <f>'Australia and Oceania'!C297+"n/&gt;!5z7"</f>
        <v>#VALUE!</v>
      </c>
      <c r="AD462" t="e">
        <f>'Australia and Oceania'!D297+"n/&gt;!5z8"</f>
        <v>#VALUE!</v>
      </c>
      <c r="AE462" t="e">
        <f>'Australia and Oceania'!E297+"n/&gt;!5z9"</f>
        <v>#VALUE!</v>
      </c>
      <c r="AF462" t="e">
        <f>'Australia and Oceania'!F297+"n/&gt;!5z:"</f>
        <v>#VALUE!</v>
      </c>
      <c r="AG462" t="e">
        <f>'Australia and Oceania'!G297+"n/&gt;!5z;"</f>
        <v>#VALUE!</v>
      </c>
      <c r="AH462" t="e">
        <f>'Australia and Oceania'!H297+"n/&gt;!5z&lt;"</f>
        <v>#VALUE!</v>
      </c>
      <c r="AI462" t="e">
        <f>'Australia and Oceania'!I297+"n/&gt;!5z="</f>
        <v>#VALUE!</v>
      </c>
      <c r="AJ462" t="e">
        <f>'Australia and Oceania'!A298+"n/&gt;!5z&gt;"</f>
        <v>#VALUE!</v>
      </c>
      <c r="AK462" t="e">
        <f>'Australia and Oceania'!B298+"n/&gt;!5z?"</f>
        <v>#VALUE!</v>
      </c>
      <c r="AL462" t="e">
        <f>'Australia and Oceania'!C298+"n/&gt;!5z@"</f>
        <v>#VALUE!</v>
      </c>
      <c r="AM462" t="e">
        <f>'Australia and Oceania'!D298+"n/&gt;!5zA"</f>
        <v>#VALUE!</v>
      </c>
      <c r="AN462" t="e">
        <f>'Australia and Oceania'!E298+"n/&gt;!5zB"</f>
        <v>#VALUE!</v>
      </c>
      <c r="AO462" t="e">
        <f>'Australia and Oceania'!F298+"n/&gt;!5zC"</f>
        <v>#VALUE!</v>
      </c>
      <c r="AP462" t="e">
        <f>'Australia and Oceania'!G298+"n/&gt;!5zD"</f>
        <v>#VALUE!</v>
      </c>
      <c r="AQ462" t="e">
        <f>'Australia and Oceania'!H298+"n/&gt;!5zE"</f>
        <v>#VALUE!</v>
      </c>
      <c r="AR462" t="e">
        <f>'Australia and Oceania'!I298+"n/&gt;!5zF"</f>
        <v>#VALUE!</v>
      </c>
      <c r="AS462" t="e">
        <f>'Australia and Oceania'!A299+"n/&gt;!5zG"</f>
        <v>#VALUE!</v>
      </c>
      <c r="AT462" t="e">
        <f>'Australia and Oceania'!B299+"n/&gt;!5zH"</f>
        <v>#VALUE!</v>
      </c>
      <c r="AU462" t="e">
        <f>'Australia and Oceania'!C299+"n/&gt;!5zI"</f>
        <v>#VALUE!</v>
      </c>
      <c r="AV462" t="e">
        <f>'Australia and Oceania'!D299+"n/&gt;!5zJ"</f>
        <v>#VALUE!</v>
      </c>
      <c r="AW462" t="e">
        <f>'Australia and Oceania'!E299+"n/&gt;!5zK"</f>
        <v>#VALUE!</v>
      </c>
      <c r="AX462" t="e">
        <f>'Australia and Oceania'!F299+"n/&gt;!5zL"</f>
        <v>#VALUE!</v>
      </c>
      <c r="AY462" t="e">
        <f>'Australia and Oceania'!G299+"n/&gt;!5zM"</f>
        <v>#VALUE!</v>
      </c>
      <c r="AZ462" t="e">
        <f>'Australia and Oceania'!H299+"n/&gt;!5zN"</f>
        <v>#VALUE!</v>
      </c>
      <c r="BA462" t="e">
        <f>'Australia and Oceania'!I299+"n/&gt;!5zO"</f>
        <v>#VALUE!</v>
      </c>
      <c r="BB462" t="e">
        <f>'Australia and Oceania'!A300+"n/&gt;!5zP"</f>
        <v>#VALUE!</v>
      </c>
      <c r="BC462" t="e">
        <f>'Australia and Oceania'!B300+"n/&gt;!5zQ"</f>
        <v>#VALUE!</v>
      </c>
      <c r="BD462" t="e">
        <f>'Australia and Oceania'!C300+"n/&gt;!5zR"</f>
        <v>#VALUE!</v>
      </c>
      <c r="BE462" t="e">
        <f>'Australia and Oceania'!D300+"n/&gt;!5zS"</f>
        <v>#VALUE!</v>
      </c>
      <c r="BF462" t="e">
        <f>'Australia and Oceania'!E300+"n/&gt;!5zT"</f>
        <v>#VALUE!</v>
      </c>
      <c r="BG462" t="e">
        <f>'Australia and Oceania'!F300+"n/&gt;!5zU"</f>
        <v>#VALUE!</v>
      </c>
      <c r="BH462" t="e">
        <f>'Australia and Oceania'!G300+"n/&gt;!5zV"</f>
        <v>#VALUE!</v>
      </c>
      <c r="BI462" t="e">
        <f>'Australia and Oceania'!H300+"n/&gt;!5zW"</f>
        <v>#VALUE!</v>
      </c>
      <c r="BJ462" t="e">
        <f>'Australia and Oceania'!I300+"n/&gt;!5zX"</f>
        <v>#VALUE!</v>
      </c>
      <c r="BK462" t="e">
        <f>'Australia and Oceania'!A:A*"n/&gt;!5zY"</f>
        <v>#VALUE!</v>
      </c>
      <c r="BL462" t="e">
        <f>'Australia and Oceania'!B:B*"n/&gt;!5zZ"</f>
        <v>#VALUE!</v>
      </c>
      <c r="BM462" t="e">
        <f>'Australia and Oceania'!C:C*"n/&gt;!5z["</f>
        <v>#VALUE!</v>
      </c>
      <c r="BN462" t="e">
        <f>'Australia and Oceania'!D:D*"n/&gt;!5z\"</f>
        <v>#VALUE!</v>
      </c>
      <c r="BO462" t="e">
        <f>'Australia and Oceania'!E:E*"n/&gt;!5z]"</f>
        <v>#VALUE!</v>
      </c>
      <c r="BP462" t="e">
        <f>'Australia and Oceania'!F:F*"n/&gt;!5z^"</f>
        <v>#VALUE!</v>
      </c>
      <c r="BQ462" t="e">
        <f>'Australia and Oceania'!G:G*"n/&gt;!5z_"</f>
        <v>#VALUE!</v>
      </c>
      <c r="BR462" t="e">
        <f>'Australia and Oceania'!H:H*"n/&gt;!5z`"</f>
        <v>#VALUE!</v>
      </c>
      <c r="BS462" t="e">
        <f>'Australia and Oceania'!I:I*"n/&gt;!5za"</f>
        <v>#VALUE!</v>
      </c>
      <c r="BT462" t="e">
        <f>'Australia and Oceania'!J:J*"n/&gt;!5zb"</f>
        <v>#VALUE!</v>
      </c>
      <c r="BU462" t="e">
        <f>'Australia and Oceania'!K:K*"n/&gt;!5zc"</f>
        <v>#VALUE!</v>
      </c>
      <c r="BV462" t="e">
        <f>'Australia and Oceania'!L:L*"n/&gt;!5zd"</f>
        <v>#VALUE!</v>
      </c>
      <c r="BW462" t="e">
        <f>'Australia and Oceania'!M:M*"n/&gt;!5ze"</f>
        <v>#VALUE!</v>
      </c>
      <c r="BX462" t="e">
        <f>'Australia and Oceania'!N:N*"n/&gt;!5zf"</f>
        <v>#VALUE!</v>
      </c>
      <c r="BY462" t="e">
        <f>'Australia and Oceania'!O:O*"n/&gt;!5zg"</f>
        <v>#VALUE!</v>
      </c>
      <c r="BZ462" t="e">
        <f>'Australia and Oceania'!P:P*"n/&gt;!5zh"</f>
        <v>#VALUE!</v>
      </c>
      <c r="CA462" t="e">
        <f>'Australia and Oceania'!Q:Q*"n/&gt;!5zi"</f>
        <v>#VALUE!</v>
      </c>
      <c r="CB462" t="e">
        <f>'Australia and Oceania'!R:R*"n/&gt;!5zj"</f>
        <v>#VALUE!</v>
      </c>
      <c r="CC462" t="e">
        <f>'Australia and Oceania'!S:S*"n/&gt;!5zk"</f>
        <v>#VALUE!</v>
      </c>
      <c r="CD462" t="e">
        <f>'Australia and Oceania'!T:T*"n/&gt;!5zl"</f>
        <v>#VALUE!</v>
      </c>
      <c r="CE462" t="e">
        <f>'Australia and Oceania'!U:U*"n/&gt;!5zm"</f>
        <v>#VALUE!</v>
      </c>
      <c r="CF462" t="e">
        <f>'Australia and Oceania'!V:V*"n/&gt;!5zn"</f>
        <v>#VALUE!</v>
      </c>
      <c r="CG462" t="e">
        <f>'Australia and Oceania'!W:W*"n/&gt;!5zo"</f>
        <v>#VALUE!</v>
      </c>
      <c r="CH462" t="e">
        <f>'Australia and Oceania'!X:X*"n/&gt;!5zp"</f>
        <v>#VALUE!</v>
      </c>
      <c r="CI462" t="e">
        <f>'Australia and Oceania'!Y:Y*"n/&gt;!5zq"</f>
        <v>#VALUE!</v>
      </c>
      <c r="CJ462" t="e">
        <f>'Australia and Oceania'!Z:Z*"n/&gt;!5zr"</f>
        <v>#VALUE!</v>
      </c>
      <c r="CK462" t="e">
        <f>'Australia and Oceania'!AA:AA*"n/&gt;!5zs"</f>
        <v>#VALUE!</v>
      </c>
      <c r="CL462" t="e">
        <f>'Australia and Oceania'!AB:AB*"n/&gt;!5zt"</f>
        <v>#VALUE!</v>
      </c>
      <c r="CM462" t="e">
        <f>'Australia and Oceania'!AC:AC*"n/&gt;!5zu"</f>
        <v>#VALUE!</v>
      </c>
      <c r="CN462" t="e">
        <f>'Australia and Oceania'!AD:AD*"n/&gt;!5zv"</f>
        <v>#VALUE!</v>
      </c>
      <c r="CO462" t="e">
        <f>'Australia and Oceania'!AE:AE*"n/&gt;!5zw"</f>
        <v>#VALUE!</v>
      </c>
      <c r="CP462" t="e">
        <f>'Australia and Oceania'!AF:AF*"n/&gt;!5zx"</f>
        <v>#VALUE!</v>
      </c>
      <c r="CQ462" t="e">
        <f>'Australia and Oceania'!AG:AG*"n/&gt;!5zy"</f>
        <v>#VALUE!</v>
      </c>
      <c r="CR462" t="e">
        <f>'Australia and Oceania'!AH:AH*"n/&gt;!5zz"</f>
        <v>#VALUE!</v>
      </c>
      <c r="CS462" t="e">
        <f>'Australia and Oceania'!AI:AI*"n/&gt;!5z{"</f>
        <v>#VALUE!</v>
      </c>
      <c r="CT462" t="e">
        <f>'Australia and Oceania'!AJ:AJ*"n/&gt;!5z|"</f>
        <v>#VALUE!</v>
      </c>
      <c r="CU462" t="e">
        <f>'Australia and Oceania'!AK:AK*"n/&gt;!5z}"</f>
        <v>#VALUE!</v>
      </c>
      <c r="CV462" t="e">
        <f>'Australia and Oceania'!AL:AL*"n/&gt;!5z~"</f>
        <v>#VALUE!</v>
      </c>
      <c r="CW462" t="e">
        <f>'Australia and Oceania'!AM:AM*"n/&gt;!5{#"</f>
        <v>#VALUE!</v>
      </c>
      <c r="CX462" t="e">
        <f>'Australia and Oceania'!AN:AN*"n/&gt;!5{$"</f>
        <v>#VALUE!</v>
      </c>
      <c r="CY462" t="e">
        <f>'Australia and Oceania'!AO:AO*"n/&gt;!5{%"</f>
        <v>#VALUE!</v>
      </c>
      <c r="CZ462" t="e">
        <f>'Australia and Oceania'!AP:AP*"n/&gt;!5{&amp;"</f>
        <v>#VALUE!</v>
      </c>
      <c r="DA462" t="e">
        <f>'Australia and Oceania'!AQ:AQ*"n/&gt;!5{'"</f>
        <v>#VALUE!</v>
      </c>
      <c r="DB462" t="e">
        <f>'Australia and Oceania'!AR:AR*"n/&gt;!5{("</f>
        <v>#VALUE!</v>
      </c>
      <c r="DC462" t="e">
        <f>'Australia and Oceania'!AS:AS*"n/&gt;!5{)"</f>
        <v>#VALUE!</v>
      </c>
      <c r="DD462" t="e">
        <f>'Australia and Oceania'!AT:AT*"n/&gt;!5{."</f>
        <v>#VALUE!</v>
      </c>
      <c r="DE462" t="e">
        <f>'Australia and Oceania'!AU:AU*"n/&gt;!5{/"</f>
        <v>#VALUE!</v>
      </c>
      <c r="DF462" t="e">
        <f>'Australia and Oceania'!AV:AV*"n/&gt;!5{0"</f>
        <v>#VALUE!</v>
      </c>
      <c r="DG462" t="e">
        <f>'Australia and Oceania'!AW:AW*"n/&gt;!5{1"</f>
        <v>#VALUE!</v>
      </c>
      <c r="DH462" t="e">
        <f>'Australia and Oceania'!AX:AX*"n/&gt;!5{2"</f>
        <v>#VALUE!</v>
      </c>
      <c r="DI462" t="e">
        <f>'Australia and Oceania'!AY:AY*"n/&gt;!5{3"</f>
        <v>#VALUE!</v>
      </c>
      <c r="DJ462" t="e">
        <f>'Australia and Oceania'!AZ:AZ*"n/&gt;!5{4"</f>
        <v>#VALUE!</v>
      </c>
      <c r="DK462" t="e">
        <f>'Australia and Oceania'!BA:BA*"n/&gt;!5{5"</f>
        <v>#VALUE!</v>
      </c>
      <c r="DL462" t="e">
        <f>'Australia and Oceania'!BB:BB*"n/&gt;!5{6"</f>
        <v>#VALUE!</v>
      </c>
      <c r="DM462" t="e">
        <f>'Australia and Oceania'!BC:BC*"n/&gt;!5{7"</f>
        <v>#VALUE!</v>
      </c>
      <c r="DN462" t="e">
        <f>'Australia and Oceania'!BD:BD*"n/&gt;!5{8"</f>
        <v>#VALUE!</v>
      </c>
      <c r="DO462" t="e">
        <f>'Australia and Oceania'!BE:BE*"n/&gt;!5{9"</f>
        <v>#VALUE!</v>
      </c>
      <c r="DP462" t="e">
        <f>'Australia and Oceania'!BF:BF*"n/&gt;!5{:"</f>
        <v>#VALUE!</v>
      </c>
      <c r="DQ462" t="e">
        <f>'Australia and Oceania'!BG:BG*"n/&gt;!5{;"</f>
        <v>#VALUE!</v>
      </c>
      <c r="DR462" t="e">
        <f>'Australia and Oceania'!1:1-"n/&gt;!5{&lt;"</f>
        <v>#VALUE!</v>
      </c>
      <c r="DS462" t="e">
        <f>'Australia and Oceania'!2:2-"n/&gt;!5{="</f>
        <v>#VALUE!</v>
      </c>
      <c r="DT462" t="e">
        <f>'Australia and Oceania'!3:3-"n/&gt;!5{&gt;"</f>
        <v>#VALUE!</v>
      </c>
      <c r="DU462" t="e">
        <f>'Australia and Oceania'!4:4-"n/&gt;!5{?"</f>
        <v>#VALUE!</v>
      </c>
      <c r="DV462" t="e">
        <f>'Australia and Oceania'!5:5-"n/&gt;!5{@"</f>
        <v>#VALUE!</v>
      </c>
      <c r="DW462" t="e">
        <f>'Australia and Oceania'!6:6-"n/&gt;!5{A"</f>
        <v>#VALUE!</v>
      </c>
      <c r="DX462" t="e">
        <f>'Australia and Oceania'!7:7-"n/&gt;!5{B"</f>
        <v>#VALUE!</v>
      </c>
      <c r="DY462" t="e">
        <f>'Australia and Oceania'!8:8-"n/&gt;!5{C"</f>
        <v>#VALUE!</v>
      </c>
      <c r="DZ462" t="e">
        <f>'Australia and Oceania'!9:9-"n/&gt;!5{D"</f>
        <v>#VALUE!</v>
      </c>
      <c r="EA462" t="e">
        <f>'Australia and Oceania'!10:10-"n/&gt;!5{E"</f>
        <v>#VALUE!</v>
      </c>
      <c r="EB462" t="e">
        <f>'Australia and Oceania'!11:11-"n/&gt;!5{F"</f>
        <v>#VALUE!</v>
      </c>
      <c r="EC462" t="e">
        <f>'Australia and Oceania'!12:12-"n/&gt;!5{G"</f>
        <v>#VALUE!</v>
      </c>
      <c r="ED462" t="e">
        <f>'Australia and Oceania'!13:13-"n/&gt;!5{H"</f>
        <v>#VALUE!</v>
      </c>
      <c r="EE462" t="e">
        <f>'Australia and Oceania'!14:14-"n/&gt;!5{I"</f>
        <v>#VALUE!</v>
      </c>
      <c r="EF462" t="e">
        <f>'Australia and Oceania'!15:15-"n/&gt;!5{J"</f>
        <v>#VALUE!</v>
      </c>
      <c r="EG462" t="e">
        <f>'Australia and Oceania'!16:16-"n/&gt;!5{K"</f>
        <v>#VALUE!</v>
      </c>
      <c r="EH462" t="e">
        <f>'Australia and Oceania'!17:17-"n/&gt;!5{L"</f>
        <v>#VALUE!</v>
      </c>
      <c r="EI462" t="e">
        <f>'Australia and Oceania'!18:18-"n/&gt;!5{M"</f>
        <v>#VALUE!</v>
      </c>
      <c r="EJ462" t="e">
        <f>'Australia and Oceania'!19:19-"n/&gt;!5{N"</f>
        <v>#VALUE!</v>
      </c>
      <c r="EK462" t="e">
        <f>'Australia and Oceania'!20:20-"n/&gt;!5{O"</f>
        <v>#VALUE!</v>
      </c>
      <c r="EL462" t="e">
        <f>'Australia and Oceania'!21:21-"n/&gt;!5{P"</f>
        <v>#VALUE!</v>
      </c>
      <c r="EM462" t="e">
        <f>'Australia and Oceania'!22:22-"n/&gt;!5{Q"</f>
        <v>#VALUE!</v>
      </c>
      <c r="EN462" t="e">
        <f>'Australia and Oceania'!23:23-"n/&gt;!5{R"</f>
        <v>#VALUE!</v>
      </c>
      <c r="EO462" t="e">
        <f>'Australia and Oceania'!24:24-"n/&gt;!5{S"</f>
        <v>#VALUE!</v>
      </c>
      <c r="EP462" t="e">
        <f>'Australia and Oceania'!25:25-"n/&gt;!5{T"</f>
        <v>#VALUE!</v>
      </c>
      <c r="EQ462" t="e">
        <f>'Australia and Oceania'!26:26-"n/&gt;!5{U"</f>
        <v>#VALUE!</v>
      </c>
      <c r="ER462" t="e">
        <f>'Australia and Oceania'!27:27-"n/&gt;!5{V"</f>
        <v>#VALUE!</v>
      </c>
      <c r="ES462" t="e">
        <f>'Australia and Oceania'!28:28-"n/&gt;!5{W"</f>
        <v>#VALUE!</v>
      </c>
      <c r="ET462" t="e">
        <f>'Australia and Oceania'!29:29-"n/&gt;!5{X"</f>
        <v>#VALUE!</v>
      </c>
      <c r="EU462" t="e">
        <f>'Australia and Oceania'!30:30-"n/&gt;!5{Y"</f>
        <v>#VALUE!</v>
      </c>
      <c r="EV462" t="e">
        <f>'Australia and Oceania'!31:31-"n/&gt;!5{Z"</f>
        <v>#VALUE!</v>
      </c>
      <c r="EW462" t="e">
        <f>'Australia and Oceania'!32:32-"n/&gt;!5{["</f>
        <v>#VALUE!</v>
      </c>
      <c r="EX462" t="e">
        <f>'Australia and Oceania'!33:33-"n/&gt;!5{\"</f>
        <v>#VALUE!</v>
      </c>
      <c r="EY462" t="e">
        <f>'Australia and Oceania'!34:34-"n/&gt;!5{]"</f>
        <v>#VALUE!</v>
      </c>
      <c r="EZ462" t="e">
        <f>'Australia and Oceania'!35:35-"n/&gt;!5{^"</f>
        <v>#VALUE!</v>
      </c>
      <c r="FA462" t="e">
        <f>'Australia and Oceania'!36:36-"n/&gt;!5{_"</f>
        <v>#VALUE!</v>
      </c>
      <c r="FB462" t="e">
        <f>'Australia and Oceania'!37:37-"n/&gt;!5{`"</f>
        <v>#VALUE!</v>
      </c>
      <c r="FC462" t="e">
        <f>'Australia and Oceania'!38:38-"n/&gt;!5{a"</f>
        <v>#VALUE!</v>
      </c>
      <c r="FD462" t="e">
        <f>'Australia and Oceania'!39:39-"n/&gt;!5{b"</f>
        <v>#VALUE!</v>
      </c>
      <c r="FE462" t="e">
        <f>'Australia and Oceania'!40:40-"n/&gt;!5{c"</f>
        <v>#VALUE!</v>
      </c>
      <c r="FF462" t="e">
        <f>'Australia and Oceania'!41:41-"n/&gt;!5{d"</f>
        <v>#VALUE!</v>
      </c>
      <c r="FG462" t="e">
        <f>'Australia and Oceania'!42:42-"n/&gt;!5{e"</f>
        <v>#VALUE!</v>
      </c>
      <c r="FH462" t="e">
        <f>'Australia and Oceania'!43:43-"n/&gt;!5{f"</f>
        <v>#VALUE!</v>
      </c>
      <c r="FI462" t="e">
        <f>'Australia and Oceania'!44:44-"n/&gt;!5{g"</f>
        <v>#VALUE!</v>
      </c>
      <c r="FJ462" t="e">
        <f>'Australia and Oceania'!45:45-"n/&gt;!5{h"</f>
        <v>#VALUE!</v>
      </c>
      <c r="FK462" t="e">
        <f>'Australia and Oceania'!46:46-"n/&gt;!5{i"</f>
        <v>#VALUE!</v>
      </c>
      <c r="FL462" t="e">
        <f>'Australia and Oceania'!47:47-"n/&gt;!5{j"</f>
        <v>#VALUE!</v>
      </c>
      <c r="FM462" t="e">
        <f>'Australia and Oceania'!48:48-"n/&gt;!5{k"</f>
        <v>#VALUE!</v>
      </c>
      <c r="FN462" t="e">
        <f>'Australia and Oceania'!49:49-"n/&gt;!5{l"</f>
        <v>#VALUE!</v>
      </c>
      <c r="FO462" t="e">
        <f>'Australia and Oceania'!50:50-"n/&gt;!5{m"</f>
        <v>#VALUE!</v>
      </c>
      <c r="FP462" t="e">
        <f>'Australia and Oceania'!51:51-"n/&gt;!5{n"</f>
        <v>#VALUE!</v>
      </c>
      <c r="FQ462" t="e">
        <f>'Australia and Oceania'!52:52-"n/&gt;!5{o"</f>
        <v>#VALUE!</v>
      </c>
      <c r="FR462" t="e">
        <f>'Australia and Oceania'!53:53-"n/&gt;!5{p"</f>
        <v>#VALUE!</v>
      </c>
      <c r="FS462" t="e">
        <f>'Australia and Oceania'!54:54-"n/&gt;!5{q"</f>
        <v>#VALUE!</v>
      </c>
      <c r="FT462" t="e">
        <f>'Australia and Oceania'!55:55-"n/&gt;!5{r"</f>
        <v>#VALUE!</v>
      </c>
      <c r="FU462" t="e">
        <f>'Australia and Oceania'!56:56-"n/&gt;!5{s"</f>
        <v>#VALUE!</v>
      </c>
      <c r="FV462" t="e">
        <f>'Australia and Oceania'!57:57-"n/&gt;!5{t"</f>
        <v>#VALUE!</v>
      </c>
      <c r="FW462" t="e">
        <f>'Australia and Oceania'!58:58-"n/&gt;!5{u"</f>
        <v>#VALUE!</v>
      </c>
      <c r="FX462" t="e">
        <f>'Australia and Oceania'!59:59-"n/&gt;!5{v"</f>
        <v>#VALUE!</v>
      </c>
      <c r="FY462" t="e">
        <f>'Australia and Oceania'!60:60-"n/&gt;!5{w"</f>
        <v>#VALUE!</v>
      </c>
      <c r="FZ462" t="e">
        <f>'Australia and Oceania'!61:61-"n/&gt;!5{x"</f>
        <v>#VALUE!</v>
      </c>
      <c r="GA462" t="e">
        <f>'Australia and Oceania'!62:62-"n/&gt;!5{y"</f>
        <v>#VALUE!</v>
      </c>
      <c r="GB462" t="e">
        <f>'Australia and Oceania'!63:63-"n/&gt;!5{z"</f>
        <v>#VALUE!</v>
      </c>
      <c r="GC462" t="e">
        <f>'Australia and Oceania'!64:64-"n/&gt;!5{{"</f>
        <v>#VALUE!</v>
      </c>
      <c r="GD462" t="e">
        <f>'Australia and Oceania'!65:65-"n/&gt;!5{|"</f>
        <v>#VALUE!</v>
      </c>
      <c r="GE462" t="e">
        <f>'Australia and Oceania'!66:66-"n/&gt;!5{}"</f>
        <v>#VALUE!</v>
      </c>
      <c r="GF462" t="e">
        <f>'Australia and Oceania'!67:67-"n/&gt;!5{~"</f>
        <v>#VALUE!</v>
      </c>
      <c r="GG462" t="e">
        <f>'Australia and Oceania'!68:68-"n/&gt;!5|#"</f>
        <v>#VALUE!</v>
      </c>
      <c r="GH462" t="e">
        <f>'Australia and Oceania'!69:69-"n/&gt;!5|$"</f>
        <v>#VALUE!</v>
      </c>
      <c r="GI462" t="e">
        <f>'Australia and Oceania'!70:70-"n/&gt;!5|%"</f>
        <v>#VALUE!</v>
      </c>
      <c r="GJ462" t="e">
        <f>'Australia and Oceania'!71:71-"n/&gt;!5|&amp;"</f>
        <v>#VALUE!</v>
      </c>
      <c r="GK462" t="e">
        <f>'Australia and Oceania'!72:72-"n/&gt;!5|'"</f>
        <v>#VALUE!</v>
      </c>
      <c r="GL462" t="e">
        <f>'Australia and Oceania'!73:73-"n/&gt;!5|("</f>
        <v>#VALUE!</v>
      </c>
      <c r="GM462" t="e">
        <f>'Australia and Oceania'!74:74-"n/&gt;!5|)"</f>
        <v>#VALUE!</v>
      </c>
      <c r="GN462" t="e">
        <f>'Australia and Oceania'!75:75-"n/&gt;!5|."</f>
        <v>#VALUE!</v>
      </c>
      <c r="GO462" t="e">
        <f>'Australia and Oceania'!76:76-"n/&gt;!5|/"</f>
        <v>#VALUE!</v>
      </c>
      <c r="GP462" t="e">
        <f>'Australia and Oceania'!77:77-"n/&gt;!5|0"</f>
        <v>#VALUE!</v>
      </c>
      <c r="GQ462" t="e">
        <f>'Australia and Oceania'!78:78-"n/&gt;!5|1"</f>
        <v>#VALUE!</v>
      </c>
      <c r="GR462" t="e">
        <f>'Australia and Oceania'!79:79-"n/&gt;!5|2"</f>
        <v>#VALUE!</v>
      </c>
      <c r="GS462" t="e">
        <f>'Australia and Oceania'!80:80-"n/&gt;!5|3"</f>
        <v>#VALUE!</v>
      </c>
      <c r="GT462" t="e">
        <f>'Australia and Oceania'!81:81-"n/&gt;!5|4"</f>
        <v>#VALUE!</v>
      </c>
      <c r="GU462" t="e">
        <f>'Australia and Oceania'!82:82-"n/&gt;!5|5"</f>
        <v>#VALUE!</v>
      </c>
      <c r="GV462" t="e">
        <f>'Australia and Oceania'!83:83-"n/&gt;!5|6"</f>
        <v>#VALUE!</v>
      </c>
      <c r="GW462" t="e">
        <f>'Australia and Oceania'!84:84-"n/&gt;!5|7"</f>
        <v>#VALUE!</v>
      </c>
      <c r="GX462" t="e">
        <f>'Australia and Oceania'!85:85-"n/&gt;!5|8"</f>
        <v>#VALUE!</v>
      </c>
      <c r="GY462" t="e">
        <f>'Australia and Oceania'!86:86-"n/&gt;!5|9"</f>
        <v>#VALUE!</v>
      </c>
      <c r="GZ462" t="e">
        <f>'Australia and Oceania'!87:87-"n/&gt;!5|:"</f>
        <v>#VALUE!</v>
      </c>
      <c r="HA462" t="e">
        <f>'Australia and Oceania'!88:88-"n/&gt;!5|;"</f>
        <v>#VALUE!</v>
      </c>
      <c r="HB462" t="e">
        <f>'Australia and Oceania'!89:89-"n/&gt;!5|&lt;"</f>
        <v>#VALUE!</v>
      </c>
      <c r="HC462" t="e">
        <f>'Australia and Oceania'!90:90-"n/&gt;!5|="</f>
        <v>#VALUE!</v>
      </c>
      <c r="HD462" t="e">
        <f>'Australia and Oceania'!91:91-"n/&gt;!5|&gt;"</f>
        <v>#VALUE!</v>
      </c>
      <c r="HE462" t="e">
        <f>'Australia and Oceania'!92:92-"n/&gt;!5|?"</f>
        <v>#VALUE!</v>
      </c>
      <c r="HF462" t="e">
        <f>'Australia and Oceania'!93:93-"n/&gt;!5|@"</f>
        <v>#VALUE!</v>
      </c>
      <c r="HG462" t="e">
        <f>'Australia and Oceania'!94:94-"n/&gt;!5|A"</f>
        <v>#VALUE!</v>
      </c>
      <c r="HH462" t="e">
        <f>'Australia and Oceania'!95:95-"n/&gt;!5|B"</f>
        <v>#VALUE!</v>
      </c>
      <c r="HI462" t="e">
        <f>'Australia and Oceania'!96:96-"n/&gt;!5|C"</f>
        <v>#VALUE!</v>
      </c>
      <c r="HJ462" t="e">
        <f>'Australia and Oceania'!97:97-"n/&gt;!5|D"</f>
        <v>#VALUE!</v>
      </c>
      <c r="HK462" t="e">
        <f>'Australia and Oceania'!98:98-"n/&gt;!5|E"</f>
        <v>#VALUE!</v>
      </c>
      <c r="HL462" t="e">
        <f>'Australia and Oceania'!99:99-"n/&gt;!5|F"</f>
        <v>#VALUE!</v>
      </c>
      <c r="HM462" t="e">
        <f>'Australia and Oceania'!100:100-"n/&gt;!5|G"</f>
        <v>#VALUE!</v>
      </c>
      <c r="HN462" t="e">
        <f>'Australia and Oceania'!101:101-"n/&gt;!5|H"</f>
        <v>#VALUE!</v>
      </c>
      <c r="HO462" t="e">
        <f>'Australia and Oceania'!102:102-"n/&gt;!5|I"</f>
        <v>#VALUE!</v>
      </c>
      <c r="HP462" t="e">
        <f>'Australia and Oceania'!103:103-"n/&gt;!5|J"</f>
        <v>#VALUE!</v>
      </c>
      <c r="HQ462" t="e">
        <f>'Australia and Oceania'!104:104-"n/&gt;!5|K"</f>
        <v>#VALUE!</v>
      </c>
      <c r="HR462" t="e">
        <f>'Australia and Oceania'!105:105-"n/&gt;!5|L"</f>
        <v>#VALUE!</v>
      </c>
      <c r="HS462" t="e">
        <f>'Australia and Oceania'!106:106-"n/&gt;!5|M"</f>
        <v>#VALUE!</v>
      </c>
      <c r="HT462" t="e">
        <f>'Australia and Oceania'!107:107-"n/&gt;!5|N"</f>
        <v>#VALUE!</v>
      </c>
      <c r="HU462" t="e">
        <f>'Australia and Oceania'!108:108-"n/&gt;!5|O"</f>
        <v>#VALUE!</v>
      </c>
      <c r="HV462" t="e">
        <f>'Australia and Oceania'!109:109-"n/&gt;!5|P"</f>
        <v>#VALUE!</v>
      </c>
      <c r="HW462" t="e">
        <f>'Australia and Oceania'!110:110-"n/&gt;!5|Q"</f>
        <v>#VALUE!</v>
      </c>
      <c r="HX462" t="e">
        <f>'Australia and Oceania'!111:111-"n/&gt;!5|R"</f>
        <v>#VALUE!</v>
      </c>
      <c r="HY462" t="e">
        <f>'Australia and Oceania'!112:112-"n/&gt;!5|S"</f>
        <v>#VALUE!</v>
      </c>
      <c r="HZ462" t="e">
        <f>'Australia and Oceania'!113:113-"n/&gt;!5|T"</f>
        <v>#VALUE!</v>
      </c>
      <c r="IA462" t="e">
        <f>'Australia and Oceania'!114:114-"n/&gt;!5|U"</f>
        <v>#VALUE!</v>
      </c>
      <c r="IB462" t="e">
        <f>'Australia and Oceania'!115:115-"n/&gt;!5|V"</f>
        <v>#VALUE!</v>
      </c>
      <c r="IC462" t="e">
        <f>'Australia and Oceania'!116:116-"n/&gt;!5|W"</f>
        <v>#VALUE!</v>
      </c>
      <c r="ID462" t="e">
        <f>'Australia and Oceania'!117:117-"n/&gt;!5|X"</f>
        <v>#VALUE!</v>
      </c>
      <c r="IE462" t="e">
        <f>'Australia and Oceania'!118:118-"n/&gt;!5|Y"</f>
        <v>#VALUE!</v>
      </c>
      <c r="IF462" t="e">
        <f>'Australia and Oceania'!119:119-"n/&gt;!5|Z"</f>
        <v>#VALUE!</v>
      </c>
      <c r="IG462" t="e">
        <f>'Australia and Oceania'!120:120-"n/&gt;!5|["</f>
        <v>#VALUE!</v>
      </c>
      <c r="IH462" t="e">
        <f>'Australia and Oceania'!121:121-"n/&gt;!5|\"</f>
        <v>#VALUE!</v>
      </c>
      <c r="II462" t="e">
        <f>'Australia and Oceania'!122:122-"n/&gt;!5|]"</f>
        <v>#VALUE!</v>
      </c>
      <c r="IJ462" t="e">
        <f>'Australia and Oceania'!123:123-"n/&gt;!5|^"</f>
        <v>#VALUE!</v>
      </c>
      <c r="IK462" t="e">
        <f>'Australia and Oceania'!124:124-"n/&gt;!5|_"</f>
        <v>#VALUE!</v>
      </c>
      <c r="IL462" t="e">
        <f>'Australia and Oceania'!125:125-"n/&gt;!5|`"</f>
        <v>#VALUE!</v>
      </c>
      <c r="IM462" t="e">
        <f>'Australia and Oceania'!126:126-"n/&gt;!5|a"</f>
        <v>#VALUE!</v>
      </c>
      <c r="IN462" t="e">
        <f>'Australia and Oceania'!127:127-"n/&gt;!5|b"</f>
        <v>#VALUE!</v>
      </c>
      <c r="IO462" t="e">
        <f>'Australia and Oceania'!128:128-"n/&gt;!5|c"</f>
        <v>#VALUE!</v>
      </c>
      <c r="IP462" t="e">
        <f>'Australia and Oceania'!129:129-"n/&gt;!5|d"</f>
        <v>#VALUE!</v>
      </c>
      <c r="IQ462" t="e">
        <f>'Australia and Oceania'!130:130-"n/&gt;!5|e"</f>
        <v>#VALUE!</v>
      </c>
      <c r="IR462" t="e">
        <f>'Australia and Oceania'!131:131-"n/&gt;!5|f"</f>
        <v>#VALUE!</v>
      </c>
      <c r="IS462" t="e">
        <f>'Australia and Oceania'!132:132-"n/&gt;!5|g"</f>
        <v>#VALUE!</v>
      </c>
      <c r="IT462" t="e">
        <f>'Australia and Oceania'!133:133-"n/&gt;!5|h"</f>
        <v>#VALUE!</v>
      </c>
      <c r="IU462" t="e">
        <f>'Australia and Oceania'!134:134-"n/&gt;!5|i"</f>
        <v>#VALUE!</v>
      </c>
      <c r="IV462" t="e">
        <f>'Australia and Oceania'!135:135-"n/&gt;!5|j"</f>
        <v>#VALUE!</v>
      </c>
    </row>
    <row r="463" spans="6:256" x14ac:dyDescent="0.35">
      <c r="F463" t="e">
        <f>'Australia and Oceania'!136:136-"n/&gt;!5|k"</f>
        <v>#VALUE!</v>
      </c>
      <c r="G463" t="e">
        <f>'Australia and Oceania'!137:137-"n/&gt;!5|l"</f>
        <v>#VALUE!</v>
      </c>
      <c r="H463" t="e">
        <f>'Australia and Oceania'!138:138-"n/&gt;!5|m"</f>
        <v>#VALUE!</v>
      </c>
      <c r="I463" t="e">
        <f>'Australia and Oceania'!139:139-"n/&gt;!5|n"</f>
        <v>#VALUE!</v>
      </c>
      <c r="J463" t="e">
        <f>'Australia and Oceania'!140:140-"n/&gt;!5|o"</f>
        <v>#VALUE!</v>
      </c>
      <c r="K463" t="e">
        <f>'Australia and Oceania'!141:141-"n/&gt;!5|p"</f>
        <v>#VALUE!</v>
      </c>
      <c r="L463" t="e">
        <f>'Australia and Oceania'!142:142-"n/&gt;!5|q"</f>
        <v>#VALUE!</v>
      </c>
      <c r="M463" t="e">
        <f>'Australia and Oceania'!143:143-"n/&gt;!5|r"</f>
        <v>#VALUE!</v>
      </c>
      <c r="N463" t="e">
        <f>'Australia and Oceania'!144:144-"n/&gt;!5|s"</f>
        <v>#VALUE!</v>
      </c>
      <c r="O463" t="e">
        <f>'Australia and Oceania'!145:145-"n/&gt;!5|t"</f>
        <v>#VALUE!</v>
      </c>
      <c r="P463" t="e">
        <f>'Australia and Oceania'!146:146-"n/&gt;!5|u"</f>
        <v>#VALUE!</v>
      </c>
      <c r="Q463" t="e">
        <f>'Australia and Oceania'!147:147-"n/&gt;!5|v"</f>
        <v>#VALUE!</v>
      </c>
      <c r="R463" t="e">
        <f>'Australia and Oceania'!148:148-"n/&gt;!5|w"</f>
        <v>#VALUE!</v>
      </c>
      <c r="S463" t="e">
        <f>'Australia and Oceania'!149:149-"n/&gt;!5|x"</f>
        <v>#VALUE!</v>
      </c>
      <c r="T463" t="e">
        <f>'Australia and Oceania'!150:150-"n/&gt;!5|y"</f>
        <v>#VALUE!</v>
      </c>
      <c r="U463" t="e">
        <f>'Australia and Oceania'!151:151-"n/&gt;!5|z"</f>
        <v>#VALUE!</v>
      </c>
      <c r="V463" t="e">
        <f>'Australia and Oceania'!152:152-"n/&gt;!5|{"</f>
        <v>#VALUE!</v>
      </c>
      <c r="W463" t="e">
        <f>'Australia and Oceania'!153:153-"n/&gt;!5||"</f>
        <v>#VALUE!</v>
      </c>
      <c r="X463" t="e">
        <f>'Australia and Oceania'!154:154-"n/&gt;!5|}"</f>
        <v>#VALUE!</v>
      </c>
      <c r="Y463" t="e">
        <f>'Australia and Oceania'!155:155-"n/&gt;!5|~"</f>
        <v>#VALUE!</v>
      </c>
      <c r="Z463" t="e">
        <f>'Australia and Oceania'!156:156-"n/&gt;!5}#"</f>
        <v>#VALUE!</v>
      </c>
      <c r="AA463" t="e">
        <f>'Australia and Oceania'!157:157-"n/&gt;!5}$"</f>
        <v>#VALUE!</v>
      </c>
      <c r="AB463" t="e">
        <f>'Australia and Oceania'!158:158-"n/&gt;!5}%"</f>
        <v>#VALUE!</v>
      </c>
      <c r="AC463" t="e">
        <f>'Australia and Oceania'!159:159-"n/&gt;!5}&amp;"</f>
        <v>#VALUE!</v>
      </c>
      <c r="AD463" t="e">
        <f>'Australia and Oceania'!160:160-"n/&gt;!5}'"</f>
        <v>#VALUE!</v>
      </c>
      <c r="AE463" t="e">
        <f>'Australia and Oceania'!161:161-"n/&gt;!5}("</f>
        <v>#VALUE!</v>
      </c>
      <c r="AF463" t="e">
        <f>'Australia and Oceania'!162:162-"n/&gt;!5})"</f>
        <v>#VALUE!</v>
      </c>
      <c r="AG463" t="e">
        <f>'Australia and Oceania'!163:163-"n/&gt;!5}."</f>
        <v>#VALUE!</v>
      </c>
      <c r="AH463" t="e">
        <f>'Australia and Oceania'!164:164-"n/&gt;!5}/"</f>
        <v>#VALUE!</v>
      </c>
      <c r="AI463" t="e">
        <f>'Australia and Oceania'!165:165-"n/&gt;!5}0"</f>
        <v>#VALUE!</v>
      </c>
      <c r="AJ463" t="e">
        <f>'Australia and Oceania'!166:166-"n/&gt;!5}1"</f>
        <v>#VALUE!</v>
      </c>
      <c r="AK463" t="e">
        <f>'Australia and Oceania'!167:167-"n/&gt;!5}2"</f>
        <v>#VALUE!</v>
      </c>
      <c r="AL463" t="e">
        <f>'Australia and Oceania'!168:168-"n/&gt;!5}3"</f>
        <v>#VALUE!</v>
      </c>
      <c r="AM463" t="e">
        <f>'Australia and Oceania'!169:169-"n/&gt;!5}4"</f>
        <v>#VALUE!</v>
      </c>
      <c r="AN463" t="e">
        <f>'Australia and Oceania'!170:170-"n/&gt;!5}5"</f>
        <v>#VALUE!</v>
      </c>
      <c r="AO463" t="e">
        <f>'Australia and Oceania'!171:171-"n/&gt;!5}6"</f>
        <v>#VALUE!</v>
      </c>
      <c r="AP463" t="e">
        <f>'Australia and Oceania'!172:172-"n/&gt;!5}7"</f>
        <v>#VALUE!</v>
      </c>
      <c r="AQ463" t="e">
        <f>'Australia and Oceania'!173:173-"n/&gt;!5}8"</f>
        <v>#VALUE!</v>
      </c>
      <c r="AR463" t="e">
        <f>'Australia and Oceania'!174:174-"n/&gt;!5}9"</f>
        <v>#VALUE!</v>
      </c>
      <c r="AS463" t="e">
        <f>'Australia and Oceania'!175:175-"n/&gt;!5}:"</f>
        <v>#VALUE!</v>
      </c>
      <c r="AT463" t="e">
        <f>'Australia and Oceania'!176:176-"n/&gt;!5};"</f>
        <v>#VALUE!</v>
      </c>
      <c r="AU463" t="e">
        <f>'Australia and Oceania'!177:177-"n/&gt;!5}&lt;"</f>
        <v>#VALUE!</v>
      </c>
      <c r="AV463" t="e">
        <f>'Australia and Oceania'!178:178-"n/&gt;!5}="</f>
        <v>#VALUE!</v>
      </c>
      <c r="AW463" t="e">
        <f>'Australia and Oceania'!179:179-"n/&gt;!5}&gt;"</f>
        <v>#VALUE!</v>
      </c>
      <c r="AX463" t="e">
        <f>'Australia and Oceania'!180:180-"n/&gt;!5}?"</f>
        <v>#VALUE!</v>
      </c>
      <c r="AY463" t="e">
        <f>'Australia and Oceania'!181:181-"n/&gt;!5}@"</f>
        <v>#VALUE!</v>
      </c>
      <c r="AZ463" t="e">
        <f>'Australia and Oceania'!182:182-"n/&gt;!5}A"</f>
        <v>#VALUE!</v>
      </c>
      <c r="BA463" t="e">
        <f>'Australia and Oceania'!183:183-"n/&gt;!5}B"</f>
        <v>#VALUE!</v>
      </c>
      <c r="BB463" t="e">
        <f>'Australia and Oceania'!184:184-"n/&gt;!5}C"</f>
        <v>#VALUE!</v>
      </c>
      <c r="BC463" t="e">
        <f>'Australia and Oceania'!185:185-"n/&gt;!5}D"</f>
        <v>#VALUE!</v>
      </c>
      <c r="BD463" t="e">
        <f>'Australia and Oceania'!186:186-"n/&gt;!5}E"</f>
        <v>#VALUE!</v>
      </c>
      <c r="BE463" t="e">
        <f>'Australia and Oceania'!187:187-"n/&gt;!5}F"</f>
        <v>#VALUE!</v>
      </c>
      <c r="BF463" t="e">
        <f>'Australia and Oceania'!188:188-"n/&gt;!5}G"</f>
        <v>#VALUE!</v>
      </c>
      <c r="BG463" t="e">
        <f>'Australia and Oceania'!189:189-"n/&gt;!5}H"</f>
        <v>#VALUE!</v>
      </c>
      <c r="BH463" t="e">
        <f>'Australia and Oceania'!190:190-"n/&gt;!5}I"</f>
        <v>#VALUE!</v>
      </c>
      <c r="BI463" t="e">
        <f>'Australia and Oceania'!191:191-"n/&gt;!5}J"</f>
        <v>#VALUE!</v>
      </c>
      <c r="BJ463" t="e">
        <f>'Australia and Oceania'!192:192-"n/&gt;!5}K"</f>
        <v>#VALUE!</v>
      </c>
      <c r="BK463" t="e">
        <f>'Australia and Oceania'!193:193-"n/&gt;!5}L"</f>
        <v>#VALUE!</v>
      </c>
      <c r="BL463" t="e">
        <f>'Australia and Oceania'!194:194-"n/&gt;!5}M"</f>
        <v>#VALUE!</v>
      </c>
      <c r="BM463" t="e">
        <f>'Australia and Oceania'!195:195-"n/&gt;!5}N"</f>
        <v>#VALUE!</v>
      </c>
      <c r="BN463" t="e">
        <f>'Australia and Oceania'!196:196-"n/&gt;!5}O"</f>
        <v>#VALUE!</v>
      </c>
      <c r="BO463" t="e">
        <f>'Australia and Oceania'!197:197-"n/&gt;!5}P"</f>
        <v>#VALUE!</v>
      </c>
      <c r="BP463" t="e">
        <f>'Australia and Oceania'!198:198-"n/&gt;!5}Q"</f>
        <v>#VALUE!</v>
      </c>
      <c r="BQ463" t="e">
        <f>'Australia and Oceania'!199:199-"n/&gt;!5}R"</f>
        <v>#VALUE!</v>
      </c>
      <c r="BR463" t="e">
        <f>'Australia and Oceania'!200:200-"n/&gt;!5}S"</f>
        <v>#VALUE!</v>
      </c>
      <c r="BS463" t="e">
        <f>'Australia and Oceania'!201:201-"n/&gt;!5}T"</f>
        <v>#VALUE!</v>
      </c>
      <c r="BT463" t="e">
        <f>'Australia and Oceania'!202:202-"n/&gt;!5}U"</f>
        <v>#VALUE!</v>
      </c>
      <c r="BU463" t="e">
        <f>'Australia and Oceania'!203:203-"n/&gt;!5}V"</f>
        <v>#VALUE!</v>
      </c>
      <c r="BV463" t="e">
        <f>'Australia and Oceania'!204:204-"n/&gt;!5}W"</f>
        <v>#VALUE!</v>
      </c>
      <c r="BW463" t="e">
        <f>'Australia and Oceania'!205:205-"n/&gt;!5}X"</f>
        <v>#VALUE!</v>
      </c>
      <c r="BX463" t="e">
        <f>'Australia and Oceania'!206:206-"n/&gt;!5}Y"</f>
        <v>#VALUE!</v>
      </c>
      <c r="BY463" t="e">
        <f>'Australia and Oceania'!207:207-"n/&gt;!5}Z"</f>
        <v>#VALUE!</v>
      </c>
      <c r="BZ463" t="e">
        <f>'Australia and Oceania'!208:208-"n/&gt;!5}["</f>
        <v>#VALUE!</v>
      </c>
      <c r="CA463" t="e">
        <f>'Australia and Oceania'!209:209-"n/&gt;!5}\"</f>
        <v>#VALUE!</v>
      </c>
      <c r="CB463" t="e">
        <f>'Australia and Oceania'!210:210-"n/&gt;!5}]"</f>
        <v>#VALUE!</v>
      </c>
      <c r="CC463" t="e">
        <f>'Australia and Oceania'!211:211-"n/&gt;!5}^"</f>
        <v>#VALUE!</v>
      </c>
      <c r="CD463" t="e">
        <f>'Australia and Oceania'!212:212-"n/&gt;!5}_"</f>
        <v>#VALUE!</v>
      </c>
      <c r="CE463" t="e">
        <f>'Australia and Oceania'!213:213-"n/&gt;!5}`"</f>
        <v>#VALUE!</v>
      </c>
      <c r="CF463" t="e">
        <f>'Australia and Oceania'!214:214-"n/&gt;!5}a"</f>
        <v>#VALUE!</v>
      </c>
      <c r="CG463" t="e">
        <f>'Australia and Oceania'!215:215-"n/&gt;!5}b"</f>
        <v>#VALUE!</v>
      </c>
      <c r="CH463" t="e">
        <f>'Australia and Oceania'!216:216-"n/&gt;!5}c"</f>
        <v>#VALUE!</v>
      </c>
      <c r="CI463" t="e">
        <f>'Australia and Oceania'!217:217-"n/&gt;!5}d"</f>
        <v>#VALUE!</v>
      </c>
      <c r="CJ463" t="e">
        <f>'Australia and Oceania'!218:218-"n/&gt;!5}e"</f>
        <v>#VALUE!</v>
      </c>
      <c r="CK463" t="e">
        <f>'Australia and Oceania'!219:219-"n/&gt;!5}f"</f>
        <v>#VALUE!</v>
      </c>
      <c r="CL463" t="e">
        <f>'Australia and Oceania'!220:220-"n/&gt;!5}g"</f>
        <v>#VALUE!</v>
      </c>
      <c r="CM463" t="e">
        <f>'Australia and Oceania'!221:221-"n/&gt;!5}h"</f>
        <v>#VALUE!</v>
      </c>
      <c r="CN463" t="e">
        <f>'Australia and Oceania'!222:222-"n/&gt;!5}i"</f>
        <v>#VALUE!</v>
      </c>
      <c r="CO463" t="e">
        <f>'Australia and Oceania'!223:223-"n/&gt;!5}j"</f>
        <v>#VALUE!</v>
      </c>
      <c r="CP463" t="e">
        <f>'Australia and Oceania'!224:224-"n/&gt;!5}k"</f>
        <v>#VALUE!</v>
      </c>
      <c r="CQ463" t="e">
        <f>'Australia and Oceania'!225:225-"n/&gt;!5}l"</f>
        <v>#VALUE!</v>
      </c>
      <c r="CR463" t="e">
        <f>'Australia and Oceania'!226:226-"n/&gt;!5}m"</f>
        <v>#VALUE!</v>
      </c>
      <c r="CS463" t="e">
        <f>'Australia and Oceania'!227:227-"n/&gt;!5}n"</f>
        <v>#VALUE!</v>
      </c>
      <c r="CT463" t="e">
        <f>'Australia and Oceania'!228:228-"n/&gt;!5}o"</f>
        <v>#VALUE!</v>
      </c>
      <c r="CU463" t="e">
        <f>'Australia and Oceania'!229:229-"n/&gt;!5}p"</f>
        <v>#VALUE!</v>
      </c>
      <c r="CV463" t="e">
        <f>'Australia and Oceania'!230:230-"n/&gt;!5}q"</f>
        <v>#VALUE!</v>
      </c>
      <c r="CW463" t="e">
        <f>'Australia and Oceania'!231:231-"n/&gt;!5}r"</f>
        <v>#VALUE!</v>
      </c>
      <c r="CX463" t="e">
        <f>'Australia and Oceania'!232:232-"n/&gt;!5}s"</f>
        <v>#VALUE!</v>
      </c>
      <c r="CY463" t="e">
        <f>'Australia and Oceania'!233:233-"n/&gt;!5}t"</f>
        <v>#VALUE!</v>
      </c>
      <c r="CZ463" t="e">
        <f>'Australia and Oceania'!234:234-"n/&gt;!5}u"</f>
        <v>#VALUE!</v>
      </c>
      <c r="DA463" t="e">
        <f>'Australia and Oceania'!235:235-"n/&gt;!5}v"</f>
        <v>#VALUE!</v>
      </c>
      <c r="DB463" t="e">
        <f>'Australia and Oceania'!236:236-"n/&gt;!5}w"</f>
        <v>#VALUE!</v>
      </c>
      <c r="DC463" t="e">
        <f>'Australia and Oceania'!237:237-"n/&gt;!5}x"</f>
        <v>#VALUE!</v>
      </c>
      <c r="DD463" t="e">
        <f>'Australia and Oceania'!238:238-"n/&gt;!5}y"</f>
        <v>#VALUE!</v>
      </c>
      <c r="DE463" t="e">
        <f>'Australia and Oceania'!239:239-"n/&gt;!5}z"</f>
        <v>#VALUE!</v>
      </c>
      <c r="DF463" t="e">
        <f>'Australia and Oceania'!240:240-"n/&gt;!5}{"</f>
        <v>#VALUE!</v>
      </c>
      <c r="DG463" t="e">
        <f>'Australia and Oceania'!241:241-"n/&gt;!5}|"</f>
        <v>#VALUE!</v>
      </c>
      <c r="DH463" t="e">
        <f>'Australia and Oceania'!242:242-"n/&gt;!5}}"</f>
        <v>#VALUE!</v>
      </c>
      <c r="DI463" t="e">
        <f>'Australia and Oceania'!243:243-"n/&gt;!5}~"</f>
        <v>#VALUE!</v>
      </c>
      <c r="DJ463" t="e">
        <f>'Australia and Oceania'!244:244-"n/&gt;!5~#"</f>
        <v>#VALUE!</v>
      </c>
      <c r="DK463" t="e">
        <f>'Australia and Oceania'!245:245-"n/&gt;!5~$"</f>
        <v>#VALUE!</v>
      </c>
      <c r="DL463" t="e">
        <f>'Australia and Oceania'!246:246-"n/&gt;!5~%"</f>
        <v>#VALUE!</v>
      </c>
      <c r="DM463" t="e">
        <f>'Australia and Oceania'!247:247-"n/&gt;!5~&amp;"</f>
        <v>#VALUE!</v>
      </c>
      <c r="DN463" t="e">
        <f>'Australia and Oceania'!248:248-"n/&gt;!5~'"</f>
        <v>#VALUE!</v>
      </c>
      <c r="DO463" t="e">
        <f>'Australia and Oceania'!249:249-"n/&gt;!5~("</f>
        <v>#VALUE!</v>
      </c>
      <c r="DP463" t="e">
        <f>'Australia and Oceania'!250:250-"n/&gt;!5~)"</f>
        <v>#VALUE!</v>
      </c>
      <c r="DQ463" t="e">
        <f>'Australia and Oceania'!251:251-"n/&gt;!5~."</f>
        <v>#VALUE!</v>
      </c>
      <c r="DR463" t="e">
        <f>'Australia and Oceania'!252:252-"n/&gt;!5~/"</f>
        <v>#VALUE!</v>
      </c>
      <c r="DS463" t="e">
        <f>'Australia and Oceania'!253:253-"n/&gt;!5~0"</f>
        <v>#VALUE!</v>
      </c>
      <c r="DT463" t="e">
        <f>'Australia and Oceania'!254:254-"n/&gt;!5~1"</f>
        <v>#VALUE!</v>
      </c>
      <c r="DU463" t="e">
        <f>'Australia and Oceania'!255:255-"n/&gt;!5~2"</f>
        <v>#VALUE!</v>
      </c>
      <c r="DV463" t="e">
        <f>'Australia and Oceania'!256:256-"n/&gt;!5~3"</f>
        <v>#VALUE!</v>
      </c>
      <c r="DW463" t="e">
        <f>'Australia and Oceania'!257:257-"n/&gt;!5~4"</f>
        <v>#VALUE!</v>
      </c>
      <c r="DX463" t="e">
        <f>'Australia and Oceania'!258:258-"n/&gt;!5~5"</f>
        <v>#VALUE!</v>
      </c>
      <c r="DY463" t="e">
        <f>'Australia and Oceania'!259:259-"n/&gt;!5~6"</f>
        <v>#VALUE!</v>
      </c>
      <c r="DZ463" t="e">
        <f>'Australia and Oceania'!260:260-"n/&gt;!5~7"</f>
        <v>#VALUE!</v>
      </c>
      <c r="EA463" t="e">
        <f>'Australia and Oceania'!261:261-"n/&gt;!5~8"</f>
        <v>#VALUE!</v>
      </c>
      <c r="EB463" t="e">
        <f>'Australia and Oceania'!262:262-"n/&gt;!5~9"</f>
        <v>#VALUE!</v>
      </c>
      <c r="EC463" t="e">
        <f>'Australia and Oceania'!263:263-"n/&gt;!5~:"</f>
        <v>#VALUE!</v>
      </c>
      <c r="ED463" t="e">
        <f>'Australia and Oceania'!264:264-"n/&gt;!5~;"</f>
        <v>#VALUE!</v>
      </c>
      <c r="EE463" t="e">
        <f>'Australia and Oceania'!265:265-"n/&gt;!5~&lt;"</f>
        <v>#VALUE!</v>
      </c>
      <c r="EF463" t="e">
        <f>'Australia and Oceania'!266:266-"n/&gt;!5~="</f>
        <v>#VALUE!</v>
      </c>
      <c r="EG463" t="e">
        <f>'Australia and Oceania'!267:267-"n/&gt;!5~&gt;"</f>
        <v>#VALUE!</v>
      </c>
      <c r="EH463" t="e">
        <f>'Australia and Oceania'!268:268-"n/&gt;!5~?"</f>
        <v>#VALUE!</v>
      </c>
      <c r="EI463" t="e">
        <f>'Australia and Oceania'!269:269-"n/&gt;!5~@"</f>
        <v>#VALUE!</v>
      </c>
      <c r="EJ463" t="e">
        <f>'Australia and Oceania'!270:270-"n/&gt;!5~A"</f>
        <v>#VALUE!</v>
      </c>
      <c r="EK463" t="e">
        <f>'Australia and Oceania'!271:271-"n/&gt;!5~B"</f>
        <v>#VALUE!</v>
      </c>
      <c r="EL463" t="e">
        <f>'Australia and Oceania'!272:272-"n/&gt;!5~C"</f>
        <v>#VALUE!</v>
      </c>
      <c r="EM463" t="e">
        <f>'Australia and Oceania'!273:273-"n/&gt;!5~D"</f>
        <v>#VALUE!</v>
      </c>
      <c r="EN463" t="e">
        <f>'Australia and Oceania'!274:274-"n/&gt;!5~E"</f>
        <v>#VALUE!</v>
      </c>
      <c r="EO463" t="e">
        <f>'Australia and Oceania'!275:275-"n/&gt;!5~F"</f>
        <v>#VALUE!</v>
      </c>
      <c r="EP463" t="e">
        <f>'Australia and Oceania'!276:276-"n/&gt;!5~G"</f>
        <v>#VALUE!</v>
      </c>
      <c r="EQ463" t="e">
        <f>'Australia and Oceania'!277:277-"n/&gt;!5~H"</f>
        <v>#VALUE!</v>
      </c>
      <c r="ER463" t="e">
        <f>'Australia and Oceania'!278:278-"n/&gt;!5~I"</f>
        <v>#VALUE!</v>
      </c>
      <c r="ES463" t="e">
        <f>'Australia and Oceania'!279:279-"n/&gt;!5~J"</f>
        <v>#VALUE!</v>
      </c>
      <c r="ET463" t="e">
        <f>'Australia and Oceania'!280:280-"n/&gt;!5~K"</f>
        <v>#VALUE!</v>
      </c>
      <c r="EU463" t="e">
        <f>'Australia and Oceania'!281:281-"n/&gt;!5~L"</f>
        <v>#VALUE!</v>
      </c>
      <c r="EV463" t="e">
        <f>'Australia and Oceania'!282:282-"n/&gt;!5~M"</f>
        <v>#VALUE!</v>
      </c>
      <c r="EW463" t="e">
        <f>'Australia and Oceania'!283:283-"n/&gt;!5~N"</f>
        <v>#VALUE!</v>
      </c>
      <c r="EX463" t="e">
        <f>'Australia and Oceania'!284:284-"n/&gt;!5~O"</f>
        <v>#VALUE!</v>
      </c>
      <c r="EY463" t="e">
        <f>'Australia and Oceania'!285:285-"n/&gt;!5~P"</f>
        <v>#VALUE!</v>
      </c>
      <c r="EZ463" t="e">
        <f>'Australia and Oceania'!286:286-"n/&gt;!5~Q"</f>
        <v>#VALUE!</v>
      </c>
      <c r="FA463" t="e">
        <f>'Australia and Oceania'!287:287-"n/&gt;!5~R"</f>
        <v>#VALUE!</v>
      </c>
      <c r="FB463" t="e">
        <f>'Australia and Oceania'!288:288-"n/&gt;!5~S"</f>
        <v>#VALUE!</v>
      </c>
      <c r="FC463" t="e">
        <f>'Australia and Oceania'!289:289-"n/&gt;!5~T"</f>
        <v>#VALUE!</v>
      </c>
      <c r="FD463" t="e">
        <f>'Australia and Oceania'!290:290-"n/&gt;!5~U"</f>
        <v>#VALUE!</v>
      </c>
      <c r="FE463" t="e">
        <f>'Australia and Oceania'!291:291-"n/&gt;!5~V"</f>
        <v>#VALUE!</v>
      </c>
      <c r="FF463" t="e">
        <f>'Australia and Oceania'!292:292-"n/&gt;!5~W"</f>
        <v>#VALUE!</v>
      </c>
      <c r="FG463" t="e">
        <f>'Australia and Oceania'!293:293-"n/&gt;!5~X"</f>
        <v>#VALUE!</v>
      </c>
      <c r="FH463" t="e">
        <f>'Australia and Oceania'!294:294-"n/&gt;!5~Y"</f>
        <v>#VALUE!</v>
      </c>
      <c r="FI463" t="e">
        <f>'Australia and Oceania'!295:295-"n/&gt;!5~Z"</f>
        <v>#VALUE!</v>
      </c>
      <c r="FJ463" t="e">
        <f>'Australia and Oceania'!296:296-"n/&gt;!5~["</f>
        <v>#VALUE!</v>
      </c>
      <c r="FK463" t="e">
        <f>'Australia and Oceania'!297:297-"n/&gt;!5~\"</f>
        <v>#VALUE!</v>
      </c>
      <c r="FL463" t="e">
        <f>'Australia and Oceania'!298:298-"n/&gt;!5~]"</f>
        <v>#VALUE!</v>
      </c>
      <c r="FM463" t="e">
        <f>'Australia and Oceania'!299:299-"n/&gt;!5~^"</f>
        <v>#VALUE!</v>
      </c>
      <c r="FN463" t="e">
        <f>'Australia and Oceania'!300:300-"n/&gt;!5~_"</f>
        <v>#VALUE!</v>
      </c>
      <c r="FO463" t="e">
        <f>'Australia and Oceania'!301:301-"n/&gt;!5~`"</f>
        <v>#VALUE!</v>
      </c>
      <c r="FP463" t="e">
        <f>'Australia and Oceania'!302:302-"n/&gt;!5~a"</f>
        <v>#VALUE!</v>
      </c>
      <c r="FQ463" t="e">
        <f>'Australia and Oceania'!303:303-"n/&gt;!5~b"</f>
        <v>#VALUE!</v>
      </c>
      <c r="FR463" t="e">
        <f>'Australia and Oceania'!304:304-"n/&gt;!5~c"</f>
        <v>#VALUE!</v>
      </c>
      <c r="FS463" t="e">
        <f>'Australia and Oceania'!305:305-"n/&gt;!5~d"</f>
        <v>#VALUE!</v>
      </c>
      <c r="FT463" t="e">
        <f>'Australia and Oceania'!306:306-"n/&gt;!5~e"</f>
        <v>#VALUE!</v>
      </c>
      <c r="FU463" t="e">
        <f>'Australia and Oceania'!307:307-"n/&gt;!5~f"</f>
        <v>#VALUE!</v>
      </c>
      <c r="FV463" t="e">
        <f>'Australia and Oceania'!308:308-"n/&gt;!5~g"</f>
        <v>#VALUE!</v>
      </c>
      <c r="FW463" t="e">
        <f>'Australia and Oceania'!309:309-"n/&gt;!5~h"</f>
        <v>#VALUE!</v>
      </c>
      <c r="FX463" t="e">
        <f>'Australia and Oceania'!310:310-"n/&gt;!5~i"</f>
        <v>#VALUE!</v>
      </c>
      <c r="FY463" t="e">
        <f>'Australia and Oceania'!311:311-"n/&gt;!5~j"</f>
        <v>#VALUE!</v>
      </c>
      <c r="FZ463" t="e">
        <f>'Australia and Oceania'!312:312-"n/&gt;!5~k"</f>
        <v>#VALUE!</v>
      </c>
      <c r="GA463" t="e">
        <f>'Australia and Oceania'!313:313-"n/&gt;!5~l"</f>
        <v>#VALUE!</v>
      </c>
      <c r="GB463" t="e">
        <f>'Australia and Oceania'!314:314-"n/&gt;!5~m"</f>
        <v>#VALUE!</v>
      </c>
      <c r="GC463" t="e">
        <f>'Australia and Oceania'!315:315-"n/&gt;!5~n"</f>
        <v>#VALUE!</v>
      </c>
      <c r="GD463" t="e">
        <f>'Australia and Oceania'!316:316-"n/&gt;!5~o"</f>
        <v>#VALUE!</v>
      </c>
      <c r="GE463" t="e">
        <f>'Australia and Oceania'!317:317-"n/&gt;!5~p"</f>
        <v>#VALUE!</v>
      </c>
      <c r="GF463" t="e">
        <f>'Australia and Oceania'!318:318-"n/&gt;!5~q"</f>
        <v>#VALUE!</v>
      </c>
      <c r="GG463" t="e">
        <f>'Australia and Oceania'!319:319-"n/&gt;!5~r"</f>
        <v>#VALUE!</v>
      </c>
      <c r="GH463" t="e">
        <f>'Australia and Oceania'!320:320-"n/&gt;!5~s"</f>
        <v>#VALUE!</v>
      </c>
      <c r="GI463" t="e">
        <f>'Australia and Oceania'!321:321-"n/&gt;!5~t"</f>
        <v>#VALUE!</v>
      </c>
      <c r="GJ463" t="e">
        <f>'Australia and Oceania'!322:322-"n/&gt;!5~u"</f>
        <v>#VALUE!</v>
      </c>
      <c r="GK463" t="e">
        <f>'Australia and Oceania'!323:323-"n/&gt;!5~v"</f>
        <v>#VALUE!</v>
      </c>
      <c r="GL463" t="e">
        <f>'Australia and Oceania'!324:324-"n/&gt;!5~w"</f>
        <v>#VALUE!</v>
      </c>
      <c r="GM463" t="e">
        <f>'Australia and Oceania'!325:325-"n/&gt;!5~x"</f>
        <v>#VALUE!</v>
      </c>
      <c r="GN463" t="e">
        <f>'Australia and Oceania'!326:326-"n/&gt;!5~y"</f>
        <v>#VALUE!</v>
      </c>
      <c r="GO463" t="e">
        <f>'Australia and Oceania'!327:327-"n/&gt;!5~z"</f>
        <v>#VALUE!</v>
      </c>
      <c r="GP463" t="e">
        <f>'Australia and Oceania'!328:328-"n/&gt;!5~{"</f>
        <v>#VALUE!</v>
      </c>
      <c r="GQ463" t="e">
        <f>'Australia and Oceania'!329:329-"n/&gt;!5~|"</f>
        <v>#VALUE!</v>
      </c>
      <c r="GR463" t="e">
        <f>'Australia and Oceania'!330:330-"n/&gt;!5~}"</f>
        <v>#VALUE!</v>
      </c>
      <c r="GS463" t="e">
        <f>'Australia and Oceania'!331:331-"n/&gt;!5~~"</f>
        <v>#VALUE!</v>
      </c>
      <c r="GT463" t="e">
        <f>'Australia and Oceania'!332:332-"n/&gt;!6##"</f>
        <v>#VALUE!</v>
      </c>
      <c r="GU463" t="e">
        <f>'Australia and Oceania'!333:333-"n/&gt;!6#$"</f>
        <v>#VALUE!</v>
      </c>
      <c r="GV463" t="e">
        <f>'Australia and Oceania'!334:334-"n/&gt;!6#%"</f>
        <v>#VALUE!</v>
      </c>
      <c r="GW463" t="e">
        <f>'Australia and Oceania'!335:335-"n/&gt;!6#&amp;"</f>
        <v>#VALUE!</v>
      </c>
      <c r="GX463" t="e">
        <f>'Australia and Oceania'!336:336-"n/&gt;!6#'"</f>
        <v>#VALUE!</v>
      </c>
      <c r="GY463" t="e">
        <f>'Australia and Oceania'!337:337-"n/&gt;!6#("</f>
        <v>#VALUE!</v>
      </c>
      <c r="GZ463" t="e">
        <f>'Australia and Oceania'!338:338-"n/&gt;!6#)"</f>
        <v>#VALUE!</v>
      </c>
      <c r="HA463" t="e">
        <f>'Australia and Oceania'!339:339-"n/&gt;!6#."</f>
        <v>#VALUE!</v>
      </c>
      <c r="HB463" t="e">
        <f>'Australia and Oceania'!340:340-"n/&gt;!6#/"</f>
        <v>#VALUE!</v>
      </c>
      <c r="HC463" t="e">
        <f>'Australia and Oceania'!341:341-"n/&gt;!6#0"</f>
        <v>#VALUE!</v>
      </c>
      <c r="HD463" t="e">
        <f>'Australia and Oceania'!342:342-"n/&gt;!6#1"</f>
        <v>#VALUE!</v>
      </c>
      <c r="HE463" t="e">
        <f>'Australia and Oceania'!343:343-"n/&gt;!6#2"</f>
        <v>#VALUE!</v>
      </c>
      <c r="HF463" t="e">
        <f>'Australia and Oceania'!344:344-"n/&gt;!6#3"</f>
        <v>#VALUE!</v>
      </c>
      <c r="HG463" t="e">
        <f>'Australia and Oceania'!345:345-"n/&gt;!6#4"</f>
        <v>#VALUE!</v>
      </c>
      <c r="HH463" t="e">
        <f>'Australia and Oceania'!346:346-"n/&gt;!6#5"</f>
        <v>#VALUE!</v>
      </c>
      <c r="HI463" t="e">
        <f>'Australia and Oceania'!347:347-"n/&gt;!6#6"</f>
        <v>#VALUE!</v>
      </c>
      <c r="HJ463" t="e">
        <f>'Australia and Oceania'!348:348-"n/&gt;!6#7"</f>
        <v>#VALUE!</v>
      </c>
      <c r="HK463" t="e">
        <f>'Australia and Oceania'!349:349-"n/&gt;!6#8"</f>
        <v>#VALUE!</v>
      </c>
      <c r="HL463" t="e">
        <f>'Australia and Oceania'!350:350-"n/&gt;!6#9"</f>
        <v>#VALUE!</v>
      </c>
      <c r="HM463" t="e">
        <f>'Australia and Oceania'!351:351-"n/&gt;!6#:"</f>
        <v>#VALUE!</v>
      </c>
      <c r="HN463" t="e">
        <f>'Australia and Oceania'!352:352-"n/&gt;!6#;"</f>
        <v>#VALUE!</v>
      </c>
      <c r="HO463" t="e">
        <f>'Australia and Oceania'!353:353-"n/&gt;!6#&lt;"</f>
        <v>#VALUE!</v>
      </c>
      <c r="HP463" t="e">
        <f>'Australia and Oceania'!354:354-"n/&gt;!6#="</f>
        <v>#VALUE!</v>
      </c>
      <c r="HQ463" t="e">
        <f>'Australia and Oceania'!355:355-"n/&gt;!6#&gt;"</f>
        <v>#VALUE!</v>
      </c>
      <c r="HR463" t="e">
        <f>'Australia and Oceania'!356:356-"n/&gt;!6#?"</f>
        <v>#VALUE!</v>
      </c>
      <c r="HS463" t="e">
        <f>'Australia and Oceania'!357:357-"n/&gt;!6#@"</f>
        <v>#VALUE!</v>
      </c>
      <c r="HT463" t="e">
        <f>'Australia and Oceania'!358:358-"n/&gt;!6#A"</f>
        <v>#VALUE!</v>
      </c>
      <c r="HU463" t="e">
        <f>'Australia and Oceania'!359:359-"n/&gt;!6#B"</f>
        <v>#VALUE!</v>
      </c>
      <c r="HV463" t="e">
        <f>'Australia and Oceania'!360:360-"n/&gt;!6#C"</f>
        <v>#VALUE!</v>
      </c>
      <c r="HW463" t="e">
        <f>'Australia and Oceania'!361:361-"n/&gt;!6#D"</f>
        <v>#VALUE!</v>
      </c>
      <c r="HX463" t="e">
        <f>'Australia and Oceania'!362:362-"n/&gt;!6#E"</f>
        <v>#VALUE!</v>
      </c>
      <c r="HY463" t="e">
        <f>'Australia and Oceania'!363:363-"n/&gt;!6#F"</f>
        <v>#VALUE!</v>
      </c>
      <c r="HZ463" t="e">
        <f>'Australia and Oceania'!364:364-"n/&gt;!6#G"</f>
        <v>#VALUE!</v>
      </c>
      <c r="IA463" t="e">
        <f>'Australia and Oceania'!365:365-"n/&gt;!6#H"</f>
        <v>#VALUE!</v>
      </c>
      <c r="IB463" t="e">
        <f>'Australia and Oceania'!366:366-"n/&gt;!6#I"</f>
        <v>#VALUE!</v>
      </c>
      <c r="IC463" t="e">
        <f>'Australia and Oceania'!367:367-"n/&gt;!6#J"</f>
        <v>#VALUE!</v>
      </c>
      <c r="ID463" t="e">
        <f>'Australia and Oceania'!368:368-"n/&gt;!6#K"</f>
        <v>#VALUE!</v>
      </c>
      <c r="IE463" t="e">
        <f>'Australia and Oceania'!369:369-"n/&gt;!6#L"</f>
        <v>#VALUE!</v>
      </c>
      <c r="IF463" t="e">
        <f>'Australia and Oceania'!370:370-"n/&gt;!6#M"</f>
        <v>#VALUE!</v>
      </c>
      <c r="IG463" t="e">
        <f>'Australia and Oceania'!371:371-"n/&gt;!6#N"</f>
        <v>#VALUE!</v>
      </c>
      <c r="IH463" t="e">
        <f>'Australia and Oceania'!372:372-"n/&gt;!6#O"</f>
        <v>#VALUE!</v>
      </c>
      <c r="II463" t="e">
        <f>'Australia and Oceania'!373:373-"n/&gt;!6#P"</f>
        <v>#VALUE!</v>
      </c>
      <c r="IJ463" t="e">
        <f>'Australia and Oceania'!374:374-"n/&gt;!6#Q"</f>
        <v>#VALUE!</v>
      </c>
      <c r="IK463" t="e">
        <f>'Australia and Oceania'!375:375-"n/&gt;!6#R"</f>
        <v>#VALUE!</v>
      </c>
      <c r="IL463" t="e">
        <f>'Australia and Oceania'!376:376-"n/&gt;!6#S"</f>
        <v>#VALUE!</v>
      </c>
      <c r="IM463" t="e">
        <f>'Australia and Oceania'!377:377-"n/&gt;!6#T"</f>
        <v>#VALUE!</v>
      </c>
      <c r="IN463" t="e">
        <f>'Australia and Oceania'!378:378-"n/&gt;!6#U"</f>
        <v>#VALUE!</v>
      </c>
      <c r="IO463" t="e">
        <f>'Australia and Oceania'!379:379-"n/&gt;!6#V"</f>
        <v>#VALUE!</v>
      </c>
      <c r="IP463" t="e">
        <f>'Australia and Oceania'!380:380-"n/&gt;!6#W"</f>
        <v>#VALUE!</v>
      </c>
      <c r="IQ463" t="e">
        <f>'Australia and Oceania'!381:381-"n/&gt;!6#X"</f>
        <v>#VALUE!</v>
      </c>
      <c r="IR463" t="e">
        <f>'Australia and Oceania'!382:382-"n/&gt;!6#Y"</f>
        <v>#VALUE!</v>
      </c>
      <c r="IS463" t="e">
        <f>'Australia and Oceania'!383:383-"n/&gt;!6#Z"</f>
        <v>#VALUE!</v>
      </c>
      <c r="IT463" t="e">
        <f>'Australia and Oceania'!384:384-"n/&gt;!6#["</f>
        <v>#VALUE!</v>
      </c>
      <c r="IU463" t="e">
        <f>'Australia and Oceania'!385:385-"n/&gt;!6#\"</f>
        <v>#VALUE!</v>
      </c>
      <c r="IV463" t="e">
        <f>'Australia and Oceania'!386:386-"n/&gt;!6#]"</f>
        <v>#VALUE!</v>
      </c>
    </row>
    <row r="464" spans="6:256" x14ac:dyDescent="0.35">
      <c r="F464" t="e">
        <f>'Australia and Oceania'!387:387-"n/&gt;!6#^"</f>
        <v>#VALUE!</v>
      </c>
      <c r="G464" t="e">
        <f>'Australia and Oceania'!388:388-"n/&gt;!6#_"</f>
        <v>#VALUE!</v>
      </c>
      <c r="H464" t="e">
        <f>'Australia and Oceania'!389:389-"n/&gt;!6#`"</f>
        <v>#VALUE!</v>
      </c>
      <c r="I464" t="e">
        <f>'Australia and Oceania'!390:390-"n/&gt;!6#a"</f>
        <v>#VALUE!</v>
      </c>
      <c r="J464" t="e">
        <f>'Australia and Oceania'!391:391-"n/&gt;!6#b"</f>
        <v>#VALUE!</v>
      </c>
      <c r="K464" t="e">
        <f>'Australia and Oceania'!392:392-"n/&gt;!6#c"</f>
        <v>#VALUE!</v>
      </c>
      <c r="L464" t="e">
        <f>'Australia and Oceania'!393:393-"n/&gt;!6#d"</f>
        <v>#VALUE!</v>
      </c>
      <c r="M464" t="e">
        <f>'Australia and Oceania'!394:394-"n/&gt;!6#e"</f>
        <v>#VALUE!</v>
      </c>
      <c r="N464" t="e">
        <f>'Australia and Oceania'!395:395-"n/&gt;!6#f"</f>
        <v>#VALUE!</v>
      </c>
      <c r="O464" t="e">
        <f>'Australia and Oceania'!396:396-"n/&gt;!6#g"</f>
        <v>#VALUE!</v>
      </c>
      <c r="P464" t="e">
        <f>'Australia and Oceania'!397:397-"n/&gt;!6#h"</f>
        <v>#VALUE!</v>
      </c>
      <c r="Q464" t="e">
        <f>'Australia and Oceania'!398:398-"n/&gt;!6#i"</f>
        <v>#VALUE!</v>
      </c>
      <c r="R464" t="e">
        <f>'Australia and Oceania'!399:399-"n/&gt;!6#j"</f>
        <v>#VALUE!</v>
      </c>
      <c r="S464" t="e">
        <f>'Australia and Oceania'!400:400-"n/&gt;!6#k"</f>
        <v>#VALUE!</v>
      </c>
      <c r="T464" t="e">
        <f>'Australia and Oceania'!401:401-"n/&gt;!6#l"</f>
        <v>#VALUE!</v>
      </c>
      <c r="U464" t="e">
        <f>'Australia and Oceania'!402:402-"n/&gt;!6#m"</f>
        <v>#VALUE!</v>
      </c>
      <c r="V464" t="e">
        <f>'Australia and Oceania'!403:403-"n/&gt;!6#n"</f>
        <v>#VALUE!</v>
      </c>
      <c r="W464" t="e">
        <f>'Australia and Oceania'!404:404-"n/&gt;!6#o"</f>
        <v>#VALUE!</v>
      </c>
      <c r="X464" t="e">
        <f>'Australia and Oceania'!405:405-"n/&gt;!6#p"</f>
        <v>#VALUE!</v>
      </c>
      <c r="Y464" t="e">
        <f>'Australia and Oceania'!406:406-"n/&gt;!6#q"</f>
        <v>#VALUE!</v>
      </c>
      <c r="Z464" t="e">
        <f>'Australia and Oceania'!407:407-"n/&gt;!6#r"</f>
        <v>#VALUE!</v>
      </c>
      <c r="AA464" t="e">
        <f>'Australia and Oceania'!408:408-"n/&gt;!6#s"</f>
        <v>#VALUE!</v>
      </c>
      <c r="AB464" t="e">
        <f>'Australia and Oceania'!409:409-"n/&gt;!6#t"</f>
        <v>#VALUE!</v>
      </c>
      <c r="AC464" t="e">
        <f>'Australia and Oceania'!410:410-"n/&gt;!6#u"</f>
        <v>#VALUE!</v>
      </c>
      <c r="AD464" t="e">
        <f>'Australia and Oceania'!411:411-"n/&gt;!6#v"</f>
        <v>#VALUE!</v>
      </c>
      <c r="AE464" t="e">
        <f>'Australia and Oceania'!412:412-"n/&gt;!6#w"</f>
        <v>#VALUE!</v>
      </c>
      <c r="AF464" t="e">
        <f>'Australia and Oceania'!413:413-"n/&gt;!6#x"</f>
        <v>#VALUE!</v>
      </c>
      <c r="AG464" t="e">
        <f>'Australia and Oceania'!414:414-"n/&gt;!6#y"</f>
        <v>#VALUE!</v>
      </c>
      <c r="AH464" t="e">
        <f>'Australia and Oceania'!415:415-"n/&gt;!6#z"</f>
        <v>#VALUE!</v>
      </c>
      <c r="AI464" t="e">
        <f>'Australia and Oceania'!416:416-"n/&gt;!6#{"</f>
        <v>#VALUE!</v>
      </c>
      <c r="AJ464" t="e">
        <f>'Australia and Oceania'!417:417-"n/&gt;!6#|"</f>
        <v>#VALUE!</v>
      </c>
      <c r="AK464" t="e">
        <f>'Australia and Oceania'!418:418-"n/&gt;!6#}"</f>
        <v>#VALUE!</v>
      </c>
      <c r="AL464" t="e">
        <f>'Australia and Oceania'!419:419-"n/&gt;!6#~"</f>
        <v>#VALUE!</v>
      </c>
      <c r="AM464" t="e">
        <f>'Australia and Oceania'!420:420-"n/&gt;!6$#"</f>
        <v>#VALUE!</v>
      </c>
      <c r="AN464" t="e">
        <f>'Australia and Oceania'!421:421-"n/&gt;!6$$"</f>
        <v>#VALUE!</v>
      </c>
      <c r="AO464" t="e">
        <f>'Australia and Oceania'!422:422-"n/&gt;!6$%"</f>
        <v>#VALUE!</v>
      </c>
      <c r="AP464" t="e">
        <f>'Australia and Oceania'!423:423-"n/&gt;!6$&amp;"</f>
        <v>#VALUE!</v>
      </c>
      <c r="AQ464" t="e">
        <f>'Australia and Oceania'!424:424-"n/&gt;!6$'"</f>
        <v>#VALUE!</v>
      </c>
      <c r="AR464" t="e">
        <f>'Australia and Oceania'!425:425-"n/&gt;!6$("</f>
        <v>#VALUE!</v>
      </c>
      <c r="AS464" t="e">
        <f>'Australia and Oceania'!426:426-"n/&gt;!6$)"</f>
        <v>#VALUE!</v>
      </c>
      <c r="AT464" t="e">
        <f>'Australia and Oceania'!427:427-"n/&gt;!6$."</f>
        <v>#VALUE!</v>
      </c>
      <c r="AU464" t="e">
        <f>'Australia and Oceania'!428:428-"n/&gt;!6$/"</f>
        <v>#VALUE!</v>
      </c>
      <c r="AV464" t="e">
        <f>'Australia and Oceania'!429:429-"n/&gt;!6$0"</f>
        <v>#VALUE!</v>
      </c>
      <c r="AW464" t="e">
        <f>'Australia and Oceania'!430:430-"n/&gt;!6$1"</f>
        <v>#VALUE!</v>
      </c>
      <c r="AX464" t="e">
        <f>'Australia and Oceania'!431:431-"n/&gt;!6$2"</f>
        <v>#VALUE!</v>
      </c>
      <c r="AY464" t="e">
        <f>'Australia and Oceania'!432:432-"n/&gt;!6$3"</f>
        <v>#VALUE!</v>
      </c>
      <c r="AZ464" t="e">
        <f>'Australia and Oceania'!433:433-"n/&gt;!6$4"</f>
        <v>#VALUE!</v>
      </c>
      <c r="BA464" t="e">
        <f>'Australia and Oceania'!434:434-"n/&gt;!6$5"</f>
        <v>#VALUE!</v>
      </c>
      <c r="BB464" t="e">
        <f>'Australia and Oceania'!435:435-"n/&gt;!6$6"</f>
        <v>#VALUE!</v>
      </c>
      <c r="BC464" t="e">
        <f>'Australia and Oceania'!436:436-"n/&gt;!6$7"</f>
        <v>#VALUE!</v>
      </c>
      <c r="BD464" t="e">
        <f>'Australia and Oceania'!437:437-"n/&gt;!6$8"</f>
        <v>#VALUE!</v>
      </c>
      <c r="BE464" t="e">
        <f>'Australia and Oceania'!438:438-"n/&gt;!6$9"</f>
        <v>#VALUE!</v>
      </c>
      <c r="BF464" t="e">
        <f>'Australia and Oceania'!439:439-"n/&gt;!6$:"</f>
        <v>#VALUE!</v>
      </c>
      <c r="BG464" t="e">
        <f>'Australia and Oceania'!440:440-"n/&gt;!6$;"</f>
        <v>#VALUE!</v>
      </c>
      <c r="BH464" t="e">
        <f>'Australia and Oceania'!441:441-"n/&gt;!6$&lt;"</f>
        <v>#VALUE!</v>
      </c>
      <c r="BI464" t="e">
        <f>'Australia and Oceania'!442:442-"n/&gt;!6$="</f>
        <v>#VALUE!</v>
      </c>
      <c r="BJ464" t="e">
        <f>'Australia and Oceania'!443:443-"n/&gt;!6$&gt;"</f>
        <v>#VALUE!</v>
      </c>
      <c r="BK464" t="e">
        <f>'Australia and Oceania'!444:444-"n/&gt;!6$?"</f>
        <v>#VALUE!</v>
      </c>
      <c r="BL464" t="e">
        <f>'Australia and Oceania'!445:445-"n/&gt;!6$@"</f>
        <v>#VALUE!</v>
      </c>
      <c r="BM464" t="e">
        <f>'Australia and Oceania'!446:446-"n/&gt;!6$A"</f>
        <v>#VALUE!</v>
      </c>
      <c r="BN464" t="e">
        <f>'Australia and Oceania'!447:447-"n/&gt;!6$B"</f>
        <v>#VALUE!</v>
      </c>
      <c r="BO464" t="e">
        <f>'Australia and Oceania'!448:448-"n/&gt;!6$C"</f>
        <v>#VALUE!</v>
      </c>
      <c r="BP464" t="e">
        <f>'Australia and Oceania'!449:449-"n/&gt;!6$D"</f>
        <v>#VALUE!</v>
      </c>
      <c r="BQ464" t="e">
        <f>'Australia and Oceania'!450:450-"n/&gt;!6$E"</f>
        <v>#VALUE!</v>
      </c>
      <c r="BR464" t="e">
        <f>'Australia and Oceania'!451:451-"n/&gt;!6$F"</f>
        <v>#VALUE!</v>
      </c>
      <c r="BS464" t="e">
        <f>'Australia and Oceania'!452:452-"n/&gt;!6$G"</f>
        <v>#VALUE!</v>
      </c>
      <c r="BT464" t="e">
        <f>'Australia and Oceania'!453:453-"n/&gt;!6$H"</f>
        <v>#VALUE!</v>
      </c>
      <c r="BU464" t="e">
        <f>'Australia and Oceania'!454:454-"n/&gt;!6$I"</f>
        <v>#VALUE!</v>
      </c>
      <c r="BV464" t="e">
        <f>'Australia and Oceania'!455:455-"n/&gt;!6$J"</f>
        <v>#VALUE!</v>
      </c>
      <c r="BW464" t="e">
        <f>'Australia and Oceania'!456:456-"n/&gt;!6$K"</f>
        <v>#VALUE!</v>
      </c>
      <c r="BX464" t="e">
        <f>'Australia and Oceania'!457:457-"n/&gt;!6$L"</f>
        <v>#VALUE!</v>
      </c>
      <c r="BY464" t="e">
        <f>'Australia and Oceania'!458:458-"n/&gt;!6$M"</f>
        <v>#VALUE!</v>
      </c>
      <c r="BZ464" t="e">
        <f>'Australia and Oceania'!459:459-"n/&gt;!6$N"</f>
        <v>#VALUE!</v>
      </c>
      <c r="CA464" t="e">
        <f>'Australia and Oceania'!460:460-"n/&gt;!6$O"</f>
        <v>#VALUE!</v>
      </c>
      <c r="CB464" t="e">
        <f>'Australia and Oceania'!461:461-"n/&gt;!6$P"</f>
        <v>#VALUE!</v>
      </c>
      <c r="CC464" t="e">
        <f>'Australia and Oceania'!462:462-"n/&gt;!6$Q"</f>
        <v>#VALUE!</v>
      </c>
      <c r="CD464" t="e">
        <f>'Australia and Oceania'!463:463-"n/&gt;!6$R"</f>
        <v>#VALUE!</v>
      </c>
      <c r="CE464" t="e">
        <f>'Australia and Oceania'!464:464-"n/&gt;!6$S"</f>
        <v>#VALUE!</v>
      </c>
      <c r="CF464" t="e">
        <f>'Australia and Oceania'!465:465-"n/&gt;!6$T"</f>
        <v>#VALUE!</v>
      </c>
      <c r="CG464" t="e">
        <f>'Australia and Oceania'!466:466-"n/&gt;!6$U"</f>
        <v>#VALUE!</v>
      </c>
      <c r="CH464" t="e">
        <f>'Australia and Oceania'!467:467-"n/&gt;!6$V"</f>
        <v>#VALUE!</v>
      </c>
      <c r="CI464" t="e">
        <f>'Australia and Oceania'!468:468-"n/&gt;!6$W"</f>
        <v>#VALUE!</v>
      </c>
      <c r="CJ464" t="e">
        <f>'Australia and Oceania'!469:469-"n/&gt;!6$X"</f>
        <v>#VALUE!</v>
      </c>
      <c r="CK464" t="e">
        <f>'Australia and Oceania'!470:470-"n/&gt;!6$Y"</f>
        <v>#VALUE!</v>
      </c>
      <c r="CL464" t="e">
        <f>'Australia and Oceania'!471:471-"n/&gt;!6$Z"</f>
        <v>#VALUE!</v>
      </c>
      <c r="CM464" t="e">
        <f>'Australia and Oceania'!472:472-"n/&gt;!6$["</f>
        <v>#VALUE!</v>
      </c>
      <c r="CN464" t="e">
        <f>'Australia and Oceania'!473:473-"n/&gt;!6$\"</f>
        <v>#VALUE!</v>
      </c>
      <c r="CO464" t="e">
        <f>'Australia and Oceania'!474:474-"n/&gt;!6$]"</f>
        <v>#VALUE!</v>
      </c>
      <c r="CP464" t="e">
        <f>'Australia and Oceania'!475:475-"n/&gt;!6$^"</f>
        <v>#VALUE!</v>
      </c>
      <c r="CQ464" t="e">
        <f>'Australia and Oceania'!476:476-"n/&gt;!6$_"</f>
        <v>#VALUE!</v>
      </c>
      <c r="CR464" t="e">
        <f>'Australia and Oceania'!477:477-"n/&gt;!6$`"</f>
        <v>#VALUE!</v>
      </c>
      <c r="CS464" t="e">
        <f>'Australia and Oceania'!478:478-"n/&gt;!6$a"</f>
        <v>#VALUE!</v>
      </c>
      <c r="CT464" t="e">
        <f>'Australia and Oceania'!479:479-"n/&gt;!6$b"</f>
        <v>#VALUE!</v>
      </c>
      <c r="CU464" t="e">
        <f>'Australia and Oceania'!480:480-"n/&gt;!6$c"</f>
        <v>#VALUE!</v>
      </c>
      <c r="CV464" t="e">
        <f>'Australia and Oceania'!481:481-"n/&gt;!6$d"</f>
        <v>#VALUE!</v>
      </c>
      <c r="CW464" t="e">
        <f>'Australia and Oceania'!482:482-"n/&gt;!6$e"</f>
        <v>#VALUE!</v>
      </c>
      <c r="CX464" t="e">
        <f>'Australia and Oceania'!483:483-"n/&gt;!6$f"</f>
        <v>#VALUE!</v>
      </c>
      <c r="CY464" t="e">
        <f>'Australia and Oceania'!484:484-"n/&gt;!6$g"</f>
        <v>#VALUE!</v>
      </c>
      <c r="CZ464" t="e">
        <f>'Australia and Oceania'!485:485-"n/&gt;!6$h"</f>
        <v>#VALUE!</v>
      </c>
      <c r="DA464" t="e">
        <f>'Australia and Oceania'!486:486-"n/&gt;!6$i"</f>
        <v>#VALUE!</v>
      </c>
      <c r="DB464" t="e">
        <f>'Australia and Oceania'!487:487-"n/&gt;!6$j"</f>
        <v>#VALUE!</v>
      </c>
      <c r="DC464" t="e">
        <f>'Australia and Oceania'!488:488-"n/&gt;!6$k"</f>
        <v>#VALUE!</v>
      </c>
      <c r="DD464" t="e">
        <f>'Australia and Oceania'!489:489-"n/&gt;!6$l"</f>
        <v>#VALUE!</v>
      </c>
      <c r="DE464" t="e">
        <f>'Australia and Oceania'!490:490-"n/&gt;!6$m"</f>
        <v>#VALUE!</v>
      </c>
      <c r="DF464" t="e">
        <f>'Australia and Oceania'!491:491-"n/&gt;!6$n"</f>
        <v>#VALUE!</v>
      </c>
      <c r="DG464" t="e">
        <f>'Australia and Oceania'!492:492-"n/&gt;!6$o"</f>
        <v>#VALUE!</v>
      </c>
      <c r="DH464" t="e">
        <f>'Australia and Oceania'!493:493-"n/&gt;!6$p"</f>
        <v>#VALUE!</v>
      </c>
      <c r="DI464" t="e">
        <f>'Australia and Oceania'!494:494-"n/&gt;!6$q"</f>
        <v>#VALUE!</v>
      </c>
      <c r="DJ464" t="e">
        <f>'Australia and Oceania'!495:495-"n/&gt;!6$r"</f>
        <v>#VALUE!</v>
      </c>
      <c r="DK464" t="e">
        <f>'Australia and Oceania'!496:496-"n/&gt;!6$s"</f>
        <v>#VALUE!</v>
      </c>
      <c r="DL464" t="e">
        <f>'Australia and Oceania'!497:497-"n/&gt;!6$t"</f>
        <v>#VALUE!</v>
      </c>
      <c r="DM464" t="e">
        <f>'Australia and Oceania'!498:498-"n/&gt;!6$u"</f>
        <v>#VALUE!</v>
      </c>
      <c r="DN464" t="e">
        <f>'Australia and Oceania'!499:499-"n/&gt;!6$v"</f>
        <v>#VALUE!</v>
      </c>
      <c r="DO464" t="e">
        <f>'Australia and Oceania'!500:500-"n/&gt;!6$w"</f>
        <v>#VALUE!</v>
      </c>
      <c r="DP464" t="e">
        <f>Africa!A1+"n/&gt;!6$x"</f>
        <v>#VALUE!</v>
      </c>
      <c r="DQ464" t="e">
        <f>Africa!B1+"n/&gt;!6$y"</f>
        <v>#VALUE!</v>
      </c>
      <c r="DR464" t="e">
        <f>Africa!C1+"n/&gt;!6$z"</f>
        <v>#VALUE!</v>
      </c>
      <c r="DS464" t="e">
        <f>Africa!D1+"n/&gt;!6${"</f>
        <v>#VALUE!</v>
      </c>
      <c r="DT464" t="e">
        <f>Africa!E1+"n/&gt;!6$|"</f>
        <v>#VALUE!</v>
      </c>
      <c r="DU464" t="e">
        <f>Africa!F1+"n/&gt;!6$}"</f>
        <v>#VALUE!</v>
      </c>
      <c r="DV464" t="e">
        <f>Africa!G1+"n/&gt;!6$~"</f>
        <v>#VALUE!</v>
      </c>
      <c r="DW464" t="e">
        <f>Africa!H1+"n/&gt;!6%#"</f>
        <v>#VALUE!</v>
      </c>
      <c r="DX464" t="e">
        <f>Africa!I1+"n/&gt;!6%$"</f>
        <v>#VALUE!</v>
      </c>
      <c r="DY464" t="e">
        <f>Africa!A2+"n/&gt;!6%%"</f>
        <v>#VALUE!</v>
      </c>
      <c r="DZ464" t="e">
        <f>Africa!B2+"n/&gt;!6%&amp;"</f>
        <v>#VALUE!</v>
      </c>
      <c r="EA464" t="e">
        <f>Africa!C2+"n/&gt;!6%'"</f>
        <v>#VALUE!</v>
      </c>
      <c r="EB464" t="e">
        <f>Africa!D2+"n/&gt;!6%("</f>
        <v>#VALUE!</v>
      </c>
      <c r="EC464" t="e">
        <f>Africa!E2+"n/&gt;!6%)"</f>
        <v>#VALUE!</v>
      </c>
      <c r="ED464" t="e">
        <f>Africa!F2+"n/&gt;!6%."</f>
        <v>#VALUE!</v>
      </c>
      <c r="EE464" t="e">
        <f>Africa!G2+"n/&gt;!6%/"</f>
        <v>#VALUE!</v>
      </c>
      <c r="EF464" t="e">
        <f>Africa!H2+"n/&gt;!6%0"</f>
        <v>#VALUE!</v>
      </c>
      <c r="EG464" t="e">
        <f>Africa!I2+"n/&gt;!6%1"</f>
        <v>#VALUE!</v>
      </c>
      <c r="EH464" t="e">
        <f>Africa!A3+"n/&gt;!6%2"</f>
        <v>#VALUE!</v>
      </c>
      <c r="EI464" t="e">
        <f>Africa!B3+"n/&gt;!6%3"</f>
        <v>#VALUE!</v>
      </c>
      <c r="EJ464" t="e">
        <f>Africa!C3+"n/&gt;!6%4"</f>
        <v>#VALUE!</v>
      </c>
      <c r="EK464" t="e">
        <f>Africa!D3+"n/&gt;!6%5"</f>
        <v>#VALUE!</v>
      </c>
      <c r="EL464" t="e">
        <f>Africa!E3+"n/&gt;!6%6"</f>
        <v>#VALUE!</v>
      </c>
      <c r="EM464" t="e">
        <f>Africa!F3+"n/&gt;!6%7"</f>
        <v>#VALUE!</v>
      </c>
      <c r="EN464" t="e">
        <f>Africa!G3+"n/&gt;!6%8"</f>
        <v>#VALUE!</v>
      </c>
      <c r="EO464" t="e">
        <f>Africa!H3+"n/&gt;!6%9"</f>
        <v>#VALUE!</v>
      </c>
      <c r="EP464" t="e">
        <f>Africa!I3+"n/&gt;!6%:"</f>
        <v>#VALUE!</v>
      </c>
      <c r="EQ464" t="e">
        <f>Africa!A4+"n/&gt;!6%;"</f>
        <v>#VALUE!</v>
      </c>
      <c r="ER464" t="e">
        <f>Africa!B4+"n/&gt;!6%&lt;"</f>
        <v>#VALUE!</v>
      </c>
      <c r="ES464" t="e">
        <f>Africa!C4+"n/&gt;!6%="</f>
        <v>#VALUE!</v>
      </c>
      <c r="ET464" t="e">
        <f>Africa!D4+"n/&gt;!6%&gt;"</f>
        <v>#VALUE!</v>
      </c>
      <c r="EU464" t="e">
        <f>Africa!E4+"n/&gt;!6%?"</f>
        <v>#VALUE!</v>
      </c>
      <c r="EV464" t="e">
        <f>Africa!F4+"n/&gt;!6%@"</f>
        <v>#VALUE!</v>
      </c>
      <c r="EW464" t="e">
        <f>Africa!G4+"n/&gt;!6%A"</f>
        <v>#VALUE!</v>
      </c>
      <c r="EX464" t="e">
        <f>Africa!H4+"n/&gt;!6%B"</f>
        <v>#VALUE!</v>
      </c>
      <c r="EY464" t="e">
        <f>Africa!I4+"n/&gt;!6%C"</f>
        <v>#VALUE!</v>
      </c>
      <c r="EZ464" t="e">
        <f>Africa!A5+"n/&gt;!6%D"</f>
        <v>#VALUE!</v>
      </c>
      <c r="FA464" t="e">
        <f>Africa!B5+"n/&gt;!6%E"</f>
        <v>#VALUE!</v>
      </c>
      <c r="FB464" t="e">
        <f>Africa!C5+"n/&gt;!6%F"</f>
        <v>#VALUE!</v>
      </c>
      <c r="FC464" t="e">
        <f>Africa!D5+"n/&gt;!6%G"</f>
        <v>#VALUE!</v>
      </c>
      <c r="FD464" t="e">
        <f>Africa!E5+"n/&gt;!6%H"</f>
        <v>#VALUE!</v>
      </c>
      <c r="FE464" t="e">
        <f>Africa!F5+"n/&gt;!6%I"</f>
        <v>#VALUE!</v>
      </c>
      <c r="FF464" t="e">
        <f>Africa!G5+"n/&gt;!6%J"</f>
        <v>#VALUE!</v>
      </c>
      <c r="FG464" t="e">
        <f>Africa!H5+"n/&gt;!6%K"</f>
        <v>#VALUE!</v>
      </c>
      <c r="FH464" t="e">
        <f>Africa!I5+"n/&gt;!6%L"</f>
        <v>#VALUE!</v>
      </c>
      <c r="FI464" t="e">
        <f>Africa!A6+"n/&gt;!6%M"</f>
        <v>#VALUE!</v>
      </c>
      <c r="FJ464" t="e">
        <f>Africa!B6+"n/&gt;!6%N"</f>
        <v>#VALUE!</v>
      </c>
      <c r="FK464" t="e">
        <f>Africa!C6+"n/&gt;!6%O"</f>
        <v>#VALUE!</v>
      </c>
      <c r="FL464" t="e">
        <f>Africa!D6+"n/&gt;!6%P"</f>
        <v>#VALUE!</v>
      </c>
      <c r="FM464" t="e">
        <f>Africa!E6+"n/&gt;!6%Q"</f>
        <v>#VALUE!</v>
      </c>
      <c r="FN464" t="e">
        <f>Africa!F6+"n/&gt;!6%R"</f>
        <v>#VALUE!</v>
      </c>
      <c r="FO464" t="e">
        <f>Africa!G6+"n/&gt;!6%S"</f>
        <v>#VALUE!</v>
      </c>
      <c r="FP464" t="e">
        <f>Africa!H6+"n/&gt;!6%T"</f>
        <v>#VALUE!</v>
      </c>
      <c r="FQ464" t="e">
        <f>Africa!I6+"n/&gt;!6%U"</f>
        <v>#VALUE!</v>
      </c>
      <c r="FR464" t="e">
        <f>Africa!A7+"n/&gt;!6%V"</f>
        <v>#VALUE!</v>
      </c>
      <c r="FS464" t="e">
        <f>Africa!B7+"n/&gt;!6%W"</f>
        <v>#VALUE!</v>
      </c>
      <c r="FT464" t="e">
        <f>Africa!C7+"n/&gt;!6%X"</f>
        <v>#VALUE!</v>
      </c>
      <c r="FU464" t="e">
        <f>Africa!D7+"n/&gt;!6%Y"</f>
        <v>#VALUE!</v>
      </c>
      <c r="FV464" t="e">
        <f>Africa!E7+"n/&gt;!6%Z"</f>
        <v>#VALUE!</v>
      </c>
      <c r="FW464" t="e">
        <f>Africa!F7+"n/&gt;!6%["</f>
        <v>#VALUE!</v>
      </c>
      <c r="FX464" t="e">
        <f>Africa!G7+"n/&gt;!6%\"</f>
        <v>#VALUE!</v>
      </c>
      <c r="FY464" t="e">
        <f>Africa!H7+"n/&gt;!6%]"</f>
        <v>#VALUE!</v>
      </c>
      <c r="FZ464" t="e">
        <f>Africa!I7+"n/&gt;!6%^"</f>
        <v>#VALUE!</v>
      </c>
      <c r="GA464" t="e">
        <f>Africa!A8+"n/&gt;!6%_"</f>
        <v>#VALUE!</v>
      </c>
      <c r="GB464" t="e">
        <f>Africa!B8+"n/&gt;!6%`"</f>
        <v>#VALUE!</v>
      </c>
      <c r="GC464" t="e">
        <f>Africa!C8+"n/&gt;!6%a"</f>
        <v>#VALUE!</v>
      </c>
      <c r="GD464" t="e">
        <f>Africa!D8+"n/&gt;!6%b"</f>
        <v>#VALUE!</v>
      </c>
      <c r="GE464" t="e">
        <f>Africa!E8+"n/&gt;!6%c"</f>
        <v>#VALUE!</v>
      </c>
      <c r="GF464" t="e">
        <f>Africa!F8+"n/&gt;!6%d"</f>
        <v>#VALUE!</v>
      </c>
      <c r="GG464" t="e">
        <f>Africa!G8+"n/&gt;!6%e"</f>
        <v>#VALUE!</v>
      </c>
      <c r="GH464" t="e">
        <f>Africa!H8+"n/&gt;!6%f"</f>
        <v>#VALUE!</v>
      </c>
      <c r="GI464" t="e">
        <f>Africa!I8+"n/&gt;!6%g"</f>
        <v>#VALUE!</v>
      </c>
      <c r="GJ464" t="e">
        <f>Africa!A9+"n/&gt;!6%h"</f>
        <v>#VALUE!</v>
      </c>
      <c r="GK464" t="e">
        <f>Africa!B9+"n/&gt;!6%i"</f>
        <v>#VALUE!</v>
      </c>
      <c r="GL464" t="e">
        <f>Africa!C9+"n/&gt;!6%j"</f>
        <v>#VALUE!</v>
      </c>
      <c r="GM464" t="e">
        <f>Africa!D9+"n/&gt;!6%k"</f>
        <v>#VALUE!</v>
      </c>
      <c r="GN464" t="e">
        <f>Africa!E9+"n/&gt;!6%l"</f>
        <v>#VALUE!</v>
      </c>
      <c r="GO464" t="e">
        <f>Africa!F9+"n/&gt;!6%m"</f>
        <v>#VALUE!</v>
      </c>
      <c r="GP464" t="e">
        <f>Africa!G9+"n/&gt;!6%n"</f>
        <v>#VALUE!</v>
      </c>
      <c r="GQ464" t="e">
        <f>Africa!H9+"n/&gt;!6%o"</f>
        <v>#VALUE!</v>
      </c>
      <c r="GR464" t="e">
        <f>Africa!I9+"n/&gt;!6%p"</f>
        <v>#VALUE!</v>
      </c>
      <c r="GS464" t="e">
        <f>Africa!A10+"n/&gt;!6%q"</f>
        <v>#VALUE!</v>
      </c>
      <c r="GT464" t="e">
        <f>Africa!B10+"n/&gt;!6%r"</f>
        <v>#VALUE!</v>
      </c>
      <c r="GU464" t="e">
        <f>Africa!C10+"n/&gt;!6%s"</f>
        <v>#VALUE!</v>
      </c>
      <c r="GV464" t="e">
        <f>Africa!D10+"n/&gt;!6%t"</f>
        <v>#VALUE!</v>
      </c>
      <c r="GW464" t="e">
        <f>Africa!E10+"n/&gt;!6%u"</f>
        <v>#VALUE!</v>
      </c>
      <c r="GX464" t="e">
        <f>Africa!F10+"n/&gt;!6%v"</f>
        <v>#VALUE!</v>
      </c>
      <c r="GY464" t="e">
        <f>Africa!G10+"n/&gt;!6%w"</f>
        <v>#VALUE!</v>
      </c>
      <c r="GZ464" t="e">
        <f>Africa!H10+"n/&gt;!6%x"</f>
        <v>#VALUE!</v>
      </c>
      <c r="HA464" t="e">
        <f>Africa!I10+"n/&gt;!6%y"</f>
        <v>#VALUE!</v>
      </c>
      <c r="HB464" t="e">
        <f>Africa!A11+"n/&gt;!6%z"</f>
        <v>#VALUE!</v>
      </c>
      <c r="HC464" t="e">
        <f>Africa!B11+"n/&gt;!6%{"</f>
        <v>#VALUE!</v>
      </c>
      <c r="HD464" t="e">
        <f>Africa!C11+"n/&gt;!6%|"</f>
        <v>#VALUE!</v>
      </c>
      <c r="HE464" t="e">
        <f>Africa!D11+"n/&gt;!6%}"</f>
        <v>#VALUE!</v>
      </c>
      <c r="HF464" t="e">
        <f>Africa!E11+"n/&gt;!6%~"</f>
        <v>#VALUE!</v>
      </c>
      <c r="HG464" t="e">
        <f>Africa!F11+"n/&gt;!6&amp;#"</f>
        <v>#VALUE!</v>
      </c>
      <c r="HH464" t="e">
        <f>Africa!G11+"n/&gt;!6&amp;$"</f>
        <v>#VALUE!</v>
      </c>
      <c r="HI464" t="e">
        <f>Africa!H11+"n/&gt;!6&amp;%"</f>
        <v>#VALUE!</v>
      </c>
      <c r="HJ464" t="e">
        <f>Africa!I11+"n/&gt;!6&amp;&amp;"</f>
        <v>#VALUE!</v>
      </c>
      <c r="HK464" t="e">
        <f>Africa!A12+"n/&gt;!6&amp;'"</f>
        <v>#VALUE!</v>
      </c>
      <c r="HL464" t="e">
        <f>Africa!B12+"n/&gt;!6&amp;("</f>
        <v>#VALUE!</v>
      </c>
      <c r="HM464" t="e">
        <f>Africa!C12+"n/&gt;!6&amp;)"</f>
        <v>#VALUE!</v>
      </c>
      <c r="HN464" t="e">
        <f>Africa!D12+"n/&gt;!6&amp;."</f>
        <v>#VALUE!</v>
      </c>
      <c r="HO464" t="e">
        <f>Africa!E12+"n/&gt;!6&amp;/"</f>
        <v>#VALUE!</v>
      </c>
      <c r="HP464" t="e">
        <f>Africa!F12+"n/&gt;!6&amp;0"</f>
        <v>#VALUE!</v>
      </c>
      <c r="HQ464" t="e">
        <f>Africa!G12+"n/&gt;!6&amp;1"</f>
        <v>#VALUE!</v>
      </c>
      <c r="HR464" t="e">
        <f>Africa!H12+"n/&gt;!6&amp;2"</f>
        <v>#VALUE!</v>
      </c>
      <c r="HS464" t="e">
        <f>Africa!I12+"n/&gt;!6&amp;3"</f>
        <v>#VALUE!</v>
      </c>
      <c r="HT464" t="e">
        <f>Africa!A13+"n/&gt;!6&amp;4"</f>
        <v>#VALUE!</v>
      </c>
      <c r="HU464" t="e">
        <f>Africa!B13+"n/&gt;!6&amp;5"</f>
        <v>#VALUE!</v>
      </c>
      <c r="HV464" t="e">
        <f>Africa!C13+"n/&gt;!6&amp;6"</f>
        <v>#VALUE!</v>
      </c>
      <c r="HW464" t="e">
        <f>Africa!D13+"n/&gt;!6&amp;7"</f>
        <v>#VALUE!</v>
      </c>
      <c r="HX464" t="e">
        <f>Africa!E13+"n/&gt;!6&amp;8"</f>
        <v>#VALUE!</v>
      </c>
      <c r="HY464" t="e">
        <f>Africa!F13+"n/&gt;!6&amp;9"</f>
        <v>#VALUE!</v>
      </c>
      <c r="HZ464" t="e">
        <f>Africa!G13+"n/&gt;!6&amp;:"</f>
        <v>#VALUE!</v>
      </c>
      <c r="IA464" t="e">
        <f>Africa!H13+"n/&gt;!6&amp;;"</f>
        <v>#VALUE!</v>
      </c>
      <c r="IB464" t="e">
        <f>Africa!I13+"n/&gt;!6&amp;&lt;"</f>
        <v>#VALUE!</v>
      </c>
      <c r="IC464" t="e">
        <f>Africa!A14+"n/&gt;!6&amp;="</f>
        <v>#VALUE!</v>
      </c>
      <c r="ID464" t="e">
        <f>Africa!B14+"n/&gt;!6&amp;&gt;"</f>
        <v>#VALUE!</v>
      </c>
      <c r="IE464" t="e">
        <f>Africa!C14+"n/&gt;!6&amp;?"</f>
        <v>#VALUE!</v>
      </c>
      <c r="IF464" t="e">
        <f>Africa!D14+"n/&gt;!6&amp;@"</f>
        <v>#VALUE!</v>
      </c>
      <c r="IG464" t="e">
        <f>Africa!E14+"n/&gt;!6&amp;A"</f>
        <v>#VALUE!</v>
      </c>
      <c r="IH464" t="e">
        <f>Africa!F14+"n/&gt;!6&amp;B"</f>
        <v>#VALUE!</v>
      </c>
      <c r="II464" t="e">
        <f>Africa!G14+"n/&gt;!6&amp;C"</f>
        <v>#VALUE!</v>
      </c>
      <c r="IJ464" t="e">
        <f>Africa!H14+"n/&gt;!6&amp;D"</f>
        <v>#VALUE!</v>
      </c>
      <c r="IK464" t="e">
        <f>Africa!I14+"n/&gt;!6&amp;E"</f>
        <v>#VALUE!</v>
      </c>
      <c r="IL464" t="e">
        <f>Africa!A15+"n/&gt;!6&amp;F"</f>
        <v>#VALUE!</v>
      </c>
      <c r="IM464" t="e">
        <f>Africa!B15+"n/&gt;!6&amp;G"</f>
        <v>#VALUE!</v>
      </c>
      <c r="IN464" t="e">
        <f>Africa!C15+"n/&gt;!6&amp;H"</f>
        <v>#VALUE!</v>
      </c>
      <c r="IO464" t="e">
        <f>Africa!D15+"n/&gt;!6&amp;I"</f>
        <v>#VALUE!</v>
      </c>
      <c r="IP464" t="e">
        <f>Africa!E15+"n/&gt;!6&amp;J"</f>
        <v>#VALUE!</v>
      </c>
      <c r="IQ464" t="e">
        <f>Africa!F15+"n/&gt;!6&amp;K"</f>
        <v>#VALUE!</v>
      </c>
      <c r="IR464" t="e">
        <f>Africa!G15+"n/&gt;!6&amp;L"</f>
        <v>#VALUE!</v>
      </c>
      <c r="IS464" t="e">
        <f>Africa!H15+"n/&gt;!6&amp;M"</f>
        <v>#VALUE!</v>
      </c>
      <c r="IT464" t="e">
        <f>Africa!I15+"n/&gt;!6&amp;N"</f>
        <v>#VALUE!</v>
      </c>
      <c r="IU464" t="e">
        <f>Africa!A16+"n/&gt;!6&amp;O"</f>
        <v>#VALUE!</v>
      </c>
      <c r="IV464" t="e">
        <f>Africa!B16+"n/&gt;!6&amp;P"</f>
        <v>#VALUE!</v>
      </c>
    </row>
    <row r="465" spans="6:256" x14ac:dyDescent="0.35">
      <c r="F465" t="e">
        <f>Africa!C16+"n/&gt;!6&amp;Q"</f>
        <v>#VALUE!</v>
      </c>
      <c r="G465" t="e">
        <f>Africa!D16+"n/&gt;!6&amp;R"</f>
        <v>#VALUE!</v>
      </c>
      <c r="H465" t="e">
        <f>Africa!E16+"n/&gt;!6&amp;S"</f>
        <v>#VALUE!</v>
      </c>
      <c r="I465" t="e">
        <f>Africa!F16+"n/&gt;!6&amp;T"</f>
        <v>#VALUE!</v>
      </c>
      <c r="J465" t="e">
        <f>Africa!G16+"n/&gt;!6&amp;U"</f>
        <v>#VALUE!</v>
      </c>
      <c r="K465" t="e">
        <f>Africa!H16+"n/&gt;!6&amp;V"</f>
        <v>#VALUE!</v>
      </c>
      <c r="L465" t="e">
        <f>Africa!I16+"n/&gt;!6&amp;W"</f>
        <v>#VALUE!</v>
      </c>
      <c r="M465" t="e">
        <f>Africa!A17+"n/&gt;!6&amp;X"</f>
        <v>#VALUE!</v>
      </c>
      <c r="N465" t="e">
        <f>Africa!B17+"n/&gt;!6&amp;Y"</f>
        <v>#VALUE!</v>
      </c>
      <c r="O465" t="e">
        <f>Africa!C17+"n/&gt;!6&amp;Z"</f>
        <v>#VALUE!</v>
      </c>
      <c r="P465" t="e">
        <f>Africa!D17+"n/&gt;!6&amp;["</f>
        <v>#VALUE!</v>
      </c>
      <c r="Q465" t="e">
        <f>Africa!E17+"n/&gt;!6&amp;\"</f>
        <v>#VALUE!</v>
      </c>
      <c r="R465" t="e">
        <f>Africa!F17+"n/&gt;!6&amp;]"</f>
        <v>#VALUE!</v>
      </c>
      <c r="S465" t="e">
        <f>Africa!G17+"n/&gt;!6&amp;^"</f>
        <v>#VALUE!</v>
      </c>
      <c r="T465" t="e">
        <f>Africa!H17+"n/&gt;!6&amp;_"</f>
        <v>#VALUE!</v>
      </c>
      <c r="U465" t="e">
        <f>Africa!I17+"n/&gt;!6&amp;`"</f>
        <v>#VALUE!</v>
      </c>
      <c r="V465" t="e">
        <f>Africa!A18+"n/&gt;!6&amp;a"</f>
        <v>#VALUE!</v>
      </c>
      <c r="W465" t="e">
        <f>Africa!B18+"n/&gt;!6&amp;b"</f>
        <v>#VALUE!</v>
      </c>
      <c r="X465" t="e">
        <f>Africa!C18+"n/&gt;!6&amp;c"</f>
        <v>#VALUE!</v>
      </c>
      <c r="Y465" t="e">
        <f>Africa!D18+"n/&gt;!6&amp;d"</f>
        <v>#VALUE!</v>
      </c>
      <c r="Z465" t="e">
        <f>Africa!E18+"n/&gt;!6&amp;e"</f>
        <v>#VALUE!</v>
      </c>
      <c r="AA465" t="e">
        <f>Africa!F18+"n/&gt;!6&amp;f"</f>
        <v>#VALUE!</v>
      </c>
      <c r="AB465" t="e">
        <f>Africa!G18+"n/&gt;!6&amp;g"</f>
        <v>#VALUE!</v>
      </c>
      <c r="AC465" t="e">
        <f>Africa!H18+"n/&gt;!6&amp;h"</f>
        <v>#VALUE!</v>
      </c>
      <c r="AD465" t="e">
        <f>Africa!I18+"n/&gt;!6&amp;i"</f>
        <v>#VALUE!</v>
      </c>
      <c r="AE465" t="e">
        <f>Africa!A19+"n/&gt;!6&amp;j"</f>
        <v>#VALUE!</v>
      </c>
      <c r="AF465" t="e">
        <f>Africa!B19+"n/&gt;!6&amp;k"</f>
        <v>#VALUE!</v>
      </c>
      <c r="AG465" t="e">
        <f>Africa!C19+"n/&gt;!6&amp;l"</f>
        <v>#VALUE!</v>
      </c>
      <c r="AH465" t="e">
        <f>Africa!D19+"n/&gt;!6&amp;m"</f>
        <v>#VALUE!</v>
      </c>
      <c r="AI465" t="e">
        <f>Africa!E19+"n/&gt;!6&amp;n"</f>
        <v>#VALUE!</v>
      </c>
      <c r="AJ465" t="e">
        <f>Africa!F19+"n/&gt;!6&amp;o"</f>
        <v>#VALUE!</v>
      </c>
      <c r="AK465" t="e">
        <f>Africa!G19+"n/&gt;!6&amp;p"</f>
        <v>#VALUE!</v>
      </c>
      <c r="AL465" t="e">
        <f>Africa!H19+"n/&gt;!6&amp;q"</f>
        <v>#VALUE!</v>
      </c>
      <c r="AM465" t="e">
        <f>Africa!I19+"n/&gt;!6&amp;r"</f>
        <v>#VALUE!</v>
      </c>
      <c r="AN465" t="e">
        <f>Africa!A20+"n/&gt;!6&amp;s"</f>
        <v>#VALUE!</v>
      </c>
      <c r="AO465" t="e">
        <f>Africa!B20+"n/&gt;!6&amp;t"</f>
        <v>#VALUE!</v>
      </c>
      <c r="AP465" t="e">
        <f>Africa!C20+"n/&gt;!6&amp;u"</f>
        <v>#VALUE!</v>
      </c>
      <c r="AQ465" t="e">
        <f>Africa!D20+"n/&gt;!6&amp;v"</f>
        <v>#VALUE!</v>
      </c>
      <c r="AR465" t="e">
        <f>Africa!E20+"n/&gt;!6&amp;w"</f>
        <v>#VALUE!</v>
      </c>
      <c r="AS465" t="e">
        <f>Africa!F20+"n/&gt;!6&amp;x"</f>
        <v>#VALUE!</v>
      </c>
      <c r="AT465" t="e">
        <f>Africa!G20+"n/&gt;!6&amp;y"</f>
        <v>#VALUE!</v>
      </c>
      <c r="AU465" t="e">
        <f>Africa!H20+"n/&gt;!6&amp;z"</f>
        <v>#VALUE!</v>
      </c>
      <c r="AV465" t="e">
        <f>Africa!I20+"n/&gt;!6&amp;{"</f>
        <v>#VALUE!</v>
      </c>
      <c r="AW465" t="e">
        <f>Africa!A21+"n/&gt;!6&amp;|"</f>
        <v>#VALUE!</v>
      </c>
      <c r="AX465" t="e">
        <f>Africa!B21+"n/&gt;!6&amp;}"</f>
        <v>#VALUE!</v>
      </c>
      <c r="AY465" t="e">
        <f>Africa!C21+"n/&gt;!6&amp;~"</f>
        <v>#VALUE!</v>
      </c>
      <c r="AZ465" t="e">
        <f>Africa!D21+"n/&gt;!6'#"</f>
        <v>#VALUE!</v>
      </c>
      <c r="BA465" t="e">
        <f>Africa!E21+"n/&gt;!6'$"</f>
        <v>#VALUE!</v>
      </c>
      <c r="BB465" t="e">
        <f>Africa!F21+"n/&gt;!6'%"</f>
        <v>#VALUE!</v>
      </c>
      <c r="BC465" t="e">
        <f>Africa!G21+"n/&gt;!6'&amp;"</f>
        <v>#VALUE!</v>
      </c>
      <c r="BD465" t="e">
        <f>Africa!H21+"n/&gt;!6''"</f>
        <v>#VALUE!</v>
      </c>
      <c r="BE465" t="e">
        <f>Africa!I21+"n/&gt;!6'("</f>
        <v>#VALUE!</v>
      </c>
      <c r="BF465" t="e">
        <f>Africa!A22+"n/&gt;!6')"</f>
        <v>#VALUE!</v>
      </c>
      <c r="BG465" t="e">
        <f>Africa!B22+"n/&gt;!6'."</f>
        <v>#VALUE!</v>
      </c>
      <c r="BH465" t="e">
        <f>Africa!C22+"n/&gt;!6'/"</f>
        <v>#VALUE!</v>
      </c>
      <c r="BI465" t="e">
        <f>Africa!D22+"n/&gt;!6'0"</f>
        <v>#VALUE!</v>
      </c>
      <c r="BJ465" t="e">
        <f>Africa!E22+"n/&gt;!6'1"</f>
        <v>#VALUE!</v>
      </c>
      <c r="BK465" t="e">
        <f>Africa!F22+"n/&gt;!6'2"</f>
        <v>#VALUE!</v>
      </c>
      <c r="BL465" t="e">
        <f>Africa!G22+"n/&gt;!6'3"</f>
        <v>#VALUE!</v>
      </c>
      <c r="BM465" t="e">
        <f>Africa!H22+"n/&gt;!6'4"</f>
        <v>#VALUE!</v>
      </c>
      <c r="BN465" t="e">
        <f>Africa!I22+"n/&gt;!6'5"</f>
        <v>#VALUE!</v>
      </c>
      <c r="BO465" t="e">
        <f>Africa!A23+"n/&gt;!6'6"</f>
        <v>#VALUE!</v>
      </c>
      <c r="BP465" t="e">
        <f>Africa!B23+"n/&gt;!6'7"</f>
        <v>#VALUE!</v>
      </c>
      <c r="BQ465" t="e">
        <f>Africa!C23+"n/&gt;!6'8"</f>
        <v>#VALUE!</v>
      </c>
      <c r="BR465" t="e">
        <f>Africa!D23+"n/&gt;!6'9"</f>
        <v>#VALUE!</v>
      </c>
      <c r="BS465" t="e">
        <f>Africa!E23+"n/&gt;!6':"</f>
        <v>#VALUE!</v>
      </c>
      <c r="BT465" t="e">
        <f>Africa!F23+"n/&gt;!6';"</f>
        <v>#VALUE!</v>
      </c>
      <c r="BU465" t="e">
        <f>Africa!G23+"n/&gt;!6'&lt;"</f>
        <v>#VALUE!</v>
      </c>
      <c r="BV465" t="e">
        <f>Africa!H23+"n/&gt;!6'="</f>
        <v>#VALUE!</v>
      </c>
      <c r="BW465" t="e">
        <f>Africa!I23+"n/&gt;!6'&gt;"</f>
        <v>#VALUE!</v>
      </c>
      <c r="BX465" t="e">
        <f>Africa!A24+"n/&gt;!6'?"</f>
        <v>#VALUE!</v>
      </c>
      <c r="BY465" t="e">
        <f>Africa!B24+"n/&gt;!6'@"</f>
        <v>#VALUE!</v>
      </c>
      <c r="BZ465" t="e">
        <f>Africa!C24+"n/&gt;!6'A"</f>
        <v>#VALUE!</v>
      </c>
      <c r="CA465" t="e">
        <f>Africa!D24+"n/&gt;!6'B"</f>
        <v>#VALUE!</v>
      </c>
      <c r="CB465" t="e">
        <f>Africa!E24+"n/&gt;!6'C"</f>
        <v>#VALUE!</v>
      </c>
      <c r="CC465" t="e">
        <f>Africa!F24+"n/&gt;!6'D"</f>
        <v>#VALUE!</v>
      </c>
      <c r="CD465" t="e">
        <f>Africa!G24+"n/&gt;!6'E"</f>
        <v>#VALUE!</v>
      </c>
      <c r="CE465" t="e">
        <f>Africa!H24+"n/&gt;!6'F"</f>
        <v>#VALUE!</v>
      </c>
      <c r="CF465" t="e">
        <f>Africa!I24+"n/&gt;!6'G"</f>
        <v>#VALUE!</v>
      </c>
      <c r="CG465" t="e">
        <f>Africa!A25+"n/&gt;!6'H"</f>
        <v>#VALUE!</v>
      </c>
      <c r="CH465" t="e">
        <f>Africa!B25+"n/&gt;!6'I"</f>
        <v>#VALUE!</v>
      </c>
      <c r="CI465" t="e">
        <f>Africa!C25+"n/&gt;!6'J"</f>
        <v>#VALUE!</v>
      </c>
      <c r="CJ465" t="e">
        <f>Africa!D25+"n/&gt;!6'K"</f>
        <v>#VALUE!</v>
      </c>
      <c r="CK465" t="e">
        <f>Africa!E25+"n/&gt;!6'L"</f>
        <v>#VALUE!</v>
      </c>
      <c r="CL465" t="e">
        <f>Africa!F25+"n/&gt;!6'M"</f>
        <v>#VALUE!</v>
      </c>
      <c r="CM465" t="e">
        <f>Africa!G25+"n/&gt;!6'N"</f>
        <v>#VALUE!</v>
      </c>
      <c r="CN465" t="e">
        <f>Africa!H25+"n/&gt;!6'O"</f>
        <v>#VALUE!</v>
      </c>
      <c r="CO465" t="e">
        <f>Africa!I25+"n/&gt;!6'P"</f>
        <v>#VALUE!</v>
      </c>
      <c r="CP465" t="e">
        <f>Africa!A26+"n/&gt;!6'Q"</f>
        <v>#VALUE!</v>
      </c>
      <c r="CQ465" t="e">
        <f>Africa!B26+"n/&gt;!6'R"</f>
        <v>#VALUE!</v>
      </c>
      <c r="CR465" t="e">
        <f>Africa!C26+"n/&gt;!6'S"</f>
        <v>#VALUE!</v>
      </c>
      <c r="CS465" t="e">
        <f>Africa!D26+"n/&gt;!6'T"</f>
        <v>#VALUE!</v>
      </c>
      <c r="CT465" t="e">
        <f>Africa!E26+"n/&gt;!6'U"</f>
        <v>#VALUE!</v>
      </c>
      <c r="CU465" t="e">
        <f>Africa!F26+"n/&gt;!6'V"</f>
        <v>#VALUE!</v>
      </c>
      <c r="CV465" t="e">
        <f>Africa!G26+"n/&gt;!6'W"</f>
        <v>#VALUE!</v>
      </c>
      <c r="CW465" t="e">
        <f>Africa!H26+"n/&gt;!6'X"</f>
        <v>#VALUE!</v>
      </c>
      <c r="CX465" t="e">
        <f>Africa!I26+"n/&gt;!6'Y"</f>
        <v>#VALUE!</v>
      </c>
      <c r="CY465" t="e">
        <f>Africa!A27+"n/&gt;!6'Z"</f>
        <v>#VALUE!</v>
      </c>
      <c r="CZ465" t="e">
        <f>Africa!B27+"n/&gt;!6'["</f>
        <v>#VALUE!</v>
      </c>
      <c r="DA465" t="e">
        <f>Africa!C27+"n/&gt;!6'\"</f>
        <v>#VALUE!</v>
      </c>
      <c r="DB465" t="e">
        <f>Africa!D27+"n/&gt;!6']"</f>
        <v>#VALUE!</v>
      </c>
      <c r="DC465" t="e">
        <f>Africa!E27+"n/&gt;!6'^"</f>
        <v>#VALUE!</v>
      </c>
      <c r="DD465" t="e">
        <f>Africa!F27+"n/&gt;!6'_"</f>
        <v>#VALUE!</v>
      </c>
      <c r="DE465" t="e">
        <f>Africa!G27+"n/&gt;!6'`"</f>
        <v>#VALUE!</v>
      </c>
      <c r="DF465" t="e">
        <f>Africa!H27+"n/&gt;!6'a"</f>
        <v>#VALUE!</v>
      </c>
      <c r="DG465" t="e">
        <f>Africa!I27+"n/&gt;!6'b"</f>
        <v>#VALUE!</v>
      </c>
      <c r="DH465" t="e">
        <f>Africa!A28+"n/&gt;!6'c"</f>
        <v>#VALUE!</v>
      </c>
      <c r="DI465" t="e">
        <f>Africa!B28+"n/&gt;!6'd"</f>
        <v>#VALUE!</v>
      </c>
      <c r="DJ465" t="e">
        <f>Africa!C28+"n/&gt;!6'e"</f>
        <v>#VALUE!</v>
      </c>
      <c r="DK465" t="e">
        <f>Africa!D28+"n/&gt;!6'f"</f>
        <v>#VALUE!</v>
      </c>
      <c r="DL465" t="e">
        <f>Africa!E28+"n/&gt;!6'g"</f>
        <v>#VALUE!</v>
      </c>
      <c r="DM465" t="e">
        <f>Africa!F28+"n/&gt;!6'h"</f>
        <v>#VALUE!</v>
      </c>
      <c r="DN465" t="e">
        <f>Africa!G28+"n/&gt;!6'i"</f>
        <v>#VALUE!</v>
      </c>
      <c r="DO465" t="e">
        <f>Africa!H28+"n/&gt;!6'j"</f>
        <v>#VALUE!</v>
      </c>
      <c r="DP465" t="e">
        <f>Africa!I28+"n/&gt;!6'k"</f>
        <v>#VALUE!</v>
      </c>
      <c r="DQ465" t="e">
        <f>Africa!A29+"n/&gt;!6'l"</f>
        <v>#VALUE!</v>
      </c>
      <c r="DR465" t="e">
        <f>Africa!B29+"n/&gt;!6'm"</f>
        <v>#VALUE!</v>
      </c>
      <c r="DS465" t="e">
        <f>Africa!C29+"n/&gt;!6'n"</f>
        <v>#VALUE!</v>
      </c>
      <c r="DT465" t="e">
        <f>Africa!D29+"n/&gt;!6'o"</f>
        <v>#VALUE!</v>
      </c>
      <c r="DU465" t="e">
        <f>Africa!E29+"n/&gt;!6'p"</f>
        <v>#VALUE!</v>
      </c>
      <c r="DV465" t="e">
        <f>Africa!F29+"n/&gt;!6'q"</f>
        <v>#VALUE!</v>
      </c>
      <c r="DW465" t="e">
        <f>Africa!G29+"n/&gt;!6'r"</f>
        <v>#VALUE!</v>
      </c>
      <c r="DX465" t="e">
        <f>Africa!H29+"n/&gt;!6's"</f>
        <v>#VALUE!</v>
      </c>
      <c r="DY465" t="e">
        <f>Africa!I29+"n/&gt;!6't"</f>
        <v>#VALUE!</v>
      </c>
      <c r="DZ465" t="e">
        <f>Africa!A30+"n/&gt;!6'u"</f>
        <v>#VALUE!</v>
      </c>
      <c r="EA465" t="e">
        <f>Africa!B30+"n/&gt;!6'v"</f>
        <v>#VALUE!</v>
      </c>
      <c r="EB465" t="e">
        <f>Africa!C30+"n/&gt;!6'w"</f>
        <v>#VALUE!</v>
      </c>
      <c r="EC465" t="e">
        <f>Africa!D30+"n/&gt;!6'x"</f>
        <v>#VALUE!</v>
      </c>
      <c r="ED465" t="e">
        <f>Africa!E30+"n/&gt;!6'y"</f>
        <v>#VALUE!</v>
      </c>
      <c r="EE465" t="e">
        <f>Africa!F30+"n/&gt;!6'z"</f>
        <v>#VALUE!</v>
      </c>
      <c r="EF465" t="e">
        <f>Africa!G30+"n/&gt;!6'{"</f>
        <v>#VALUE!</v>
      </c>
      <c r="EG465" t="e">
        <f>Africa!H30+"n/&gt;!6'|"</f>
        <v>#VALUE!</v>
      </c>
      <c r="EH465" t="e">
        <f>Africa!I30+"n/&gt;!6'}"</f>
        <v>#VALUE!</v>
      </c>
      <c r="EI465" t="e">
        <f>Africa!A31+"n/&gt;!6'~"</f>
        <v>#VALUE!</v>
      </c>
      <c r="EJ465" t="e">
        <f>Africa!B31+"n/&gt;!6(#"</f>
        <v>#VALUE!</v>
      </c>
      <c r="EK465" t="e">
        <f>Africa!C31+"n/&gt;!6($"</f>
        <v>#VALUE!</v>
      </c>
      <c r="EL465" t="e">
        <f>Africa!D31+"n/&gt;!6(%"</f>
        <v>#VALUE!</v>
      </c>
      <c r="EM465" t="e">
        <f>Africa!E31+"n/&gt;!6(&amp;"</f>
        <v>#VALUE!</v>
      </c>
      <c r="EN465" t="e">
        <f>Africa!F31+"n/&gt;!6('"</f>
        <v>#VALUE!</v>
      </c>
      <c r="EO465" t="e">
        <f>Africa!G31+"n/&gt;!6(("</f>
        <v>#VALUE!</v>
      </c>
      <c r="EP465" t="e">
        <f>Africa!H31+"n/&gt;!6()"</f>
        <v>#VALUE!</v>
      </c>
      <c r="EQ465" t="e">
        <f>Africa!I31+"n/&gt;!6(."</f>
        <v>#VALUE!</v>
      </c>
      <c r="ER465" t="e">
        <f>Africa!A32+"n/&gt;!6(/"</f>
        <v>#VALUE!</v>
      </c>
      <c r="ES465" t="e">
        <f>Africa!B32+"n/&gt;!6(0"</f>
        <v>#VALUE!</v>
      </c>
      <c r="ET465" t="e">
        <f>Africa!C32+"n/&gt;!6(1"</f>
        <v>#VALUE!</v>
      </c>
      <c r="EU465" t="e">
        <f>Africa!D32+"n/&gt;!6(2"</f>
        <v>#VALUE!</v>
      </c>
      <c r="EV465" t="e">
        <f>Africa!E32+"n/&gt;!6(3"</f>
        <v>#VALUE!</v>
      </c>
      <c r="EW465" t="e">
        <f>Africa!F32+"n/&gt;!6(4"</f>
        <v>#VALUE!</v>
      </c>
      <c r="EX465" t="e">
        <f>Africa!G32+"n/&gt;!6(5"</f>
        <v>#VALUE!</v>
      </c>
      <c r="EY465" t="e">
        <f>Africa!H32+"n/&gt;!6(6"</f>
        <v>#VALUE!</v>
      </c>
      <c r="EZ465" t="e">
        <f>Africa!I32+"n/&gt;!6(7"</f>
        <v>#VALUE!</v>
      </c>
      <c r="FA465" t="e">
        <f>Africa!A33+"n/&gt;!6(8"</f>
        <v>#VALUE!</v>
      </c>
      <c r="FB465" t="e">
        <f>Africa!B33+"n/&gt;!6(9"</f>
        <v>#VALUE!</v>
      </c>
      <c r="FC465" t="e">
        <f>Africa!C33+"n/&gt;!6(:"</f>
        <v>#VALUE!</v>
      </c>
      <c r="FD465" t="e">
        <f>Africa!D33+"n/&gt;!6(;"</f>
        <v>#VALUE!</v>
      </c>
      <c r="FE465" t="e">
        <f>Africa!E33+"n/&gt;!6(&lt;"</f>
        <v>#VALUE!</v>
      </c>
      <c r="FF465" t="e">
        <f>Africa!F33+"n/&gt;!6(="</f>
        <v>#VALUE!</v>
      </c>
      <c r="FG465" t="e">
        <f>Africa!G33+"n/&gt;!6(&gt;"</f>
        <v>#VALUE!</v>
      </c>
      <c r="FH465" t="e">
        <f>Africa!H33+"n/&gt;!6(?"</f>
        <v>#VALUE!</v>
      </c>
      <c r="FI465" t="e">
        <f>Africa!I33+"n/&gt;!6(@"</f>
        <v>#VALUE!</v>
      </c>
      <c r="FJ465" t="e">
        <f>Africa!A34+"n/&gt;!6(A"</f>
        <v>#VALUE!</v>
      </c>
      <c r="FK465" t="e">
        <f>Africa!B34+"n/&gt;!6(B"</f>
        <v>#VALUE!</v>
      </c>
      <c r="FL465" t="e">
        <f>Africa!C34+"n/&gt;!6(C"</f>
        <v>#VALUE!</v>
      </c>
      <c r="FM465" t="e">
        <f>Africa!D34+"n/&gt;!6(D"</f>
        <v>#VALUE!</v>
      </c>
      <c r="FN465" t="e">
        <f>Africa!E34+"n/&gt;!6(E"</f>
        <v>#VALUE!</v>
      </c>
      <c r="FO465" t="e">
        <f>Africa!F34+"n/&gt;!6(F"</f>
        <v>#VALUE!</v>
      </c>
      <c r="FP465" t="e">
        <f>Africa!G34+"n/&gt;!6(G"</f>
        <v>#VALUE!</v>
      </c>
      <c r="FQ465" t="e">
        <f>Africa!H34+"n/&gt;!6(H"</f>
        <v>#VALUE!</v>
      </c>
      <c r="FR465" t="e">
        <f>Africa!I34+"n/&gt;!6(I"</f>
        <v>#VALUE!</v>
      </c>
      <c r="FS465" t="e">
        <f>Africa!A35+"n/&gt;!6(J"</f>
        <v>#VALUE!</v>
      </c>
      <c r="FT465" t="e">
        <f>Africa!B35+"n/&gt;!6(K"</f>
        <v>#VALUE!</v>
      </c>
      <c r="FU465" t="e">
        <f>Africa!C35+"n/&gt;!6(L"</f>
        <v>#VALUE!</v>
      </c>
      <c r="FV465" t="e">
        <f>Africa!D35+"n/&gt;!6(M"</f>
        <v>#VALUE!</v>
      </c>
      <c r="FW465" t="e">
        <f>Africa!E35+"n/&gt;!6(N"</f>
        <v>#VALUE!</v>
      </c>
      <c r="FX465" t="e">
        <f>Africa!F35+"n/&gt;!6(O"</f>
        <v>#VALUE!</v>
      </c>
      <c r="FY465" t="e">
        <f>Africa!G35+"n/&gt;!6(P"</f>
        <v>#VALUE!</v>
      </c>
      <c r="FZ465" t="e">
        <f>Africa!H35+"n/&gt;!6(Q"</f>
        <v>#VALUE!</v>
      </c>
      <c r="GA465" t="e">
        <f>Africa!I35+"n/&gt;!6(R"</f>
        <v>#VALUE!</v>
      </c>
      <c r="GB465" t="e">
        <f>Africa!A36+"n/&gt;!6(S"</f>
        <v>#VALUE!</v>
      </c>
      <c r="GC465" t="e">
        <f>Africa!B36+"n/&gt;!6(T"</f>
        <v>#VALUE!</v>
      </c>
      <c r="GD465" t="e">
        <f>Africa!C36+"n/&gt;!6(U"</f>
        <v>#VALUE!</v>
      </c>
      <c r="GE465" t="e">
        <f>Africa!D36+"n/&gt;!6(V"</f>
        <v>#VALUE!</v>
      </c>
      <c r="GF465" t="e">
        <f>Africa!E36+"n/&gt;!6(W"</f>
        <v>#VALUE!</v>
      </c>
      <c r="GG465" t="e">
        <f>Africa!F36+"n/&gt;!6(X"</f>
        <v>#VALUE!</v>
      </c>
      <c r="GH465" t="e">
        <f>Africa!G36+"n/&gt;!6(Y"</f>
        <v>#VALUE!</v>
      </c>
      <c r="GI465" t="e">
        <f>Africa!H36+"n/&gt;!6(Z"</f>
        <v>#VALUE!</v>
      </c>
      <c r="GJ465" t="e">
        <f>Africa!I36+"n/&gt;!6(["</f>
        <v>#VALUE!</v>
      </c>
      <c r="GK465" t="e">
        <f>Africa!A37+"n/&gt;!6(\"</f>
        <v>#VALUE!</v>
      </c>
      <c r="GL465" t="e">
        <f>Africa!B37+"n/&gt;!6(]"</f>
        <v>#VALUE!</v>
      </c>
      <c r="GM465" t="e">
        <f>Africa!C37+"n/&gt;!6(^"</f>
        <v>#VALUE!</v>
      </c>
      <c r="GN465" t="e">
        <f>Africa!D37+"n/&gt;!6(_"</f>
        <v>#VALUE!</v>
      </c>
      <c r="GO465" t="e">
        <f>Africa!E37+"n/&gt;!6(`"</f>
        <v>#VALUE!</v>
      </c>
      <c r="GP465" t="e">
        <f>Africa!F37+"n/&gt;!6(a"</f>
        <v>#VALUE!</v>
      </c>
      <c r="GQ465" t="e">
        <f>Africa!G37+"n/&gt;!6(b"</f>
        <v>#VALUE!</v>
      </c>
      <c r="GR465" t="e">
        <f>Africa!H37+"n/&gt;!6(c"</f>
        <v>#VALUE!</v>
      </c>
      <c r="GS465" t="e">
        <f>Africa!I37+"n/&gt;!6(d"</f>
        <v>#VALUE!</v>
      </c>
      <c r="GT465" t="e">
        <f>Africa!A38+"n/&gt;!6(e"</f>
        <v>#VALUE!</v>
      </c>
      <c r="GU465" t="e">
        <f>Africa!B38+"n/&gt;!6(f"</f>
        <v>#VALUE!</v>
      </c>
      <c r="GV465" t="e">
        <f>Africa!C38+"n/&gt;!6(g"</f>
        <v>#VALUE!</v>
      </c>
      <c r="GW465" t="e">
        <f>Africa!D38+"n/&gt;!6(h"</f>
        <v>#VALUE!</v>
      </c>
      <c r="GX465" t="e">
        <f>Africa!E38+"n/&gt;!6(i"</f>
        <v>#VALUE!</v>
      </c>
      <c r="GY465" t="e">
        <f>Africa!F38+"n/&gt;!6(j"</f>
        <v>#VALUE!</v>
      </c>
      <c r="GZ465" t="e">
        <f>Africa!G38+"n/&gt;!6(k"</f>
        <v>#VALUE!</v>
      </c>
      <c r="HA465" t="e">
        <f>Africa!H38+"n/&gt;!6(l"</f>
        <v>#VALUE!</v>
      </c>
      <c r="HB465" t="e">
        <f>Africa!I38+"n/&gt;!6(m"</f>
        <v>#VALUE!</v>
      </c>
      <c r="HC465" t="e">
        <f>Africa!A39+"n/&gt;!6(n"</f>
        <v>#VALUE!</v>
      </c>
      <c r="HD465" t="e">
        <f>Africa!B39+"n/&gt;!6(o"</f>
        <v>#VALUE!</v>
      </c>
      <c r="HE465" t="e">
        <f>Africa!C39+"n/&gt;!6(p"</f>
        <v>#VALUE!</v>
      </c>
      <c r="HF465" t="e">
        <f>Africa!D39+"n/&gt;!6(q"</f>
        <v>#VALUE!</v>
      </c>
      <c r="HG465" t="e">
        <f>Africa!E39+"n/&gt;!6(r"</f>
        <v>#VALUE!</v>
      </c>
      <c r="HH465" t="e">
        <f>Africa!F39+"n/&gt;!6(s"</f>
        <v>#VALUE!</v>
      </c>
      <c r="HI465" t="e">
        <f>Africa!G39+"n/&gt;!6(t"</f>
        <v>#VALUE!</v>
      </c>
      <c r="HJ465" t="e">
        <f>Africa!H39+"n/&gt;!6(u"</f>
        <v>#VALUE!</v>
      </c>
      <c r="HK465" t="e">
        <f>Africa!I39+"n/&gt;!6(v"</f>
        <v>#VALUE!</v>
      </c>
      <c r="HL465" t="e">
        <f>Africa!A40+"n/&gt;!6(w"</f>
        <v>#VALUE!</v>
      </c>
      <c r="HM465" t="e">
        <f>Africa!B40+"n/&gt;!6(x"</f>
        <v>#VALUE!</v>
      </c>
      <c r="HN465" t="e">
        <f>Africa!C40+"n/&gt;!6(y"</f>
        <v>#VALUE!</v>
      </c>
      <c r="HO465" t="e">
        <f>Africa!D40+"n/&gt;!6(z"</f>
        <v>#VALUE!</v>
      </c>
      <c r="HP465" t="e">
        <f>Africa!E40+"n/&gt;!6({"</f>
        <v>#VALUE!</v>
      </c>
      <c r="HQ465" t="e">
        <f>Africa!F40+"n/&gt;!6(|"</f>
        <v>#VALUE!</v>
      </c>
      <c r="HR465" t="e">
        <f>Africa!G40+"n/&gt;!6(}"</f>
        <v>#VALUE!</v>
      </c>
      <c r="HS465" t="e">
        <f>Africa!H40+"n/&gt;!6(~"</f>
        <v>#VALUE!</v>
      </c>
      <c r="HT465" t="e">
        <f>Africa!I40+"n/&gt;!6)#"</f>
        <v>#VALUE!</v>
      </c>
      <c r="HU465" t="e">
        <f>Africa!A41+"n/&gt;!6)$"</f>
        <v>#VALUE!</v>
      </c>
      <c r="HV465" t="e">
        <f>Africa!B41+"n/&gt;!6)%"</f>
        <v>#VALUE!</v>
      </c>
      <c r="HW465" t="e">
        <f>Africa!C41+"n/&gt;!6)&amp;"</f>
        <v>#VALUE!</v>
      </c>
      <c r="HX465" t="e">
        <f>Africa!D41+"n/&gt;!6)'"</f>
        <v>#VALUE!</v>
      </c>
      <c r="HY465" t="e">
        <f>Africa!E41+"n/&gt;!6)("</f>
        <v>#VALUE!</v>
      </c>
      <c r="HZ465" t="e">
        <f>Africa!F41+"n/&gt;!6))"</f>
        <v>#VALUE!</v>
      </c>
      <c r="IA465" t="e">
        <f>Africa!G41+"n/&gt;!6)."</f>
        <v>#VALUE!</v>
      </c>
      <c r="IB465" t="e">
        <f>Africa!H41+"n/&gt;!6)/"</f>
        <v>#VALUE!</v>
      </c>
      <c r="IC465" t="e">
        <f>Africa!I41+"n/&gt;!6)0"</f>
        <v>#VALUE!</v>
      </c>
      <c r="ID465" t="e">
        <f>Africa!A42+"n/&gt;!6)1"</f>
        <v>#VALUE!</v>
      </c>
      <c r="IE465" t="e">
        <f>Africa!B42+"n/&gt;!6)2"</f>
        <v>#VALUE!</v>
      </c>
      <c r="IF465" t="e">
        <f>Africa!C42+"n/&gt;!6)3"</f>
        <v>#VALUE!</v>
      </c>
      <c r="IG465" t="e">
        <f>Africa!D42+"n/&gt;!6)4"</f>
        <v>#VALUE!</v>
      </c>
      <c r="IH465" t="e">
        <f>Africa!E42+"n/&gt;!6)5"</f>
        <v>#VALUE!</v>
      </c>
      <c r="II465" t="e">
        <f>Africa!F42+"n/&gt;!6)6"</f>
        <v>#VALUE!</v>
      </c>
      <c r="IJ465" t="e">
        <f>Africa!G42+"n/&gt;!6)7"</f>
        <v>#VALUE!</v>
      </c>
      <c r="IK465" t="e">
        <f>Africa!H42+"n/&gt;!6)8"</f>
        <v>#VALUE!</v>
      </c>
      <c r="IL465" t="e">
        <f>Africa!I42+"n/&gt;!6)9"</f>
        <v>#VALUE!</v>
      </c>
      <c r="IM465" t="e">
        <f>Africa!A43+"n/&gt;!6):"</f>
        <v>#VALUE!</v>
      </c>
      <c r="IN465" t="e">
        <f>Africa!B43+"n/&gt;!6);"</f>
        <v>#VALUE!</v>
      </c>
      <c r="IO465" t="e">
        <f>Africa!C43+"n/&gt;!6)&lt;"</f>
        <v>#VALUE!</v>
      </c>
      <c r="IP465" t="e">
        <f>Africa!D43+"n/&gt;!6)="</f>
        <v>#VALUE!</v>
      </c>
      <c r="IQ465" t="e">
        <f>Africa!E43+"n/&gt;!6)&gt;"</f>
        <v>#VALUE!</v>
      </c>
      <c r="IR465" t="e">
        <f>Africa!F43+"n/&gt;!6)?"</f>
        <v>#VALUE!</v>
      </c>
      <c r="IS465" t="e">
        <f>Africa!G43+"n/&gt;!6)@"</f>
        <v>#VALUE!</v>
      </c>
      <c r="IT465" t="e">
        <f>Africa!H43+"n/&gt;!6)A"</f>
        <v>#VALUE!</v>
      </c>
      <c r="IU465" t="e">
        <f>Africa!I43+"n/&gt;!6)B"</f>
        <v>#VALUE!</v>
      </c>
      <c r="IV465" t="e">
        <f>Africa!A44+"n/&gt;!6)C"</f>
        <v>#VALUE!</v>
      </c>
    </row>
    <row r="466" spans="6:256" x14ac:dyDescent="0.35">
      <c r="F466" t="e">
        <f>Africa!B44+"n/&gt;!6)D"</f>
        <v>#VALUE!</v>
      </c>
      <c r="G466" t="e">
        <f>Africa!C44+"n/&gt;!6)E"</f>
        <v>#VALUE!</v>
      </c>
      <c r="H466" t="e">
        <f>Africa!D44+"n/&gt;!6)F"</f>
        <v>#VALUE!</v>
      </c>
      <c r="I466" t="e">
        <f>Africa!E44+"n/&gt;!6)G"</f>
        <v>#VALUE!</v>
      </c>
      <c r="J466" t="e">
        <f>Africa!F44+"n/&gt;!6)H"</f>
        <v>#VALUE!</v>
      </c>
      <c r="K466" t="e">
        <f>Africa!G44+"n/&gt;!6)I"</f>
        <v>#VALUE!</v>
      </c>
      <c r="L466" t="e">
        <f>Africa!H44+"n/&gt;!6)J"</f>
        <v>#VALUE!</v>
      </c>
      <c r="M466" t="e">
        <f>Africa!I44+"n/&gt;!6)K"</f>
        <v>#VALUE!</v>
      </c>
      <c r="N466" t="e">
        <f>Africa!A45+"n/&gt;!6)L"</f>
        <v>#VALUE!</v>
      </c>
      <c r="O466" t="e">
        <f>Africa!B45+"n/&gt;!6)M"</f>
        <v>#VALUE!</v>
      </c>
      <c r="P466" t="e">
        <f>Africa!C45+"n/&gt;!6)N"</f>
        <v>#VALUE!</v>
      </c>
      <c r="Q466" t="e">
        <f>Africa!D45+"n/&gt;!6)O"</f>
        <v>#VALUE!</v>
      </c>
      <c r="R466" t="e">
        <f>Africa!E45+"n/&gt;!6)P"</f>
        <v>#VALUE!</v>
      </c>
      <c r="S466" t="e">
        <f>Africa!F45+"n/&gt;!6)Q"</f>
        <v>#VALUE!</v>
      </c>
      <c r="T466" t="e">
        <f>Africa!G45+"n/&gt;!6)R"</f>
        <v>#VALUE!</v>
      </c>
      <c r="U466" t="e">
        <f>Africa!H45+"n/&gt;!6)S"</f>
        <v>#VALUE!</v>
      </c>
      <c r="V466" t="e">
        <f>Africa!I45+"n/&gt;!6)T"</f>
        <v>#VALUE!</v>
      </c>
      <c r="W466" t="e">
        <f>Africa!A46+"n/&gt;!6)U"</f>
        <v>#VALUE!</v>
      </c>
      <c r="X466" t="e">
        <f>Africa!B46+"n/&gt;!6)V"</f>
        <v>#VALUE!</v>
      </c>
      <c r="Y466" t="e">
        <f>Africa!C46+"n/&gt;!6)W"</f>
        <v>#VALUE!</v>
      </c>
      <c r="Z466" t="e">
        <f>Africa!D46+"n/&gt;!6)X"</f>
        <v>#VALUE!</v>
      </c>
      <c r="AA466" t="e">
        <f>Africa!E46+"n/&gt;!6)Y"</f>
        <v>#VALUE!</v>
      </c>
      <c r="AB466" t="e">
        <f>Africa!F46+"n/&gt;!6)Z"</f>
        <v>#VALUE!</v>
      </c>
      <c r="AC466" t="e">
        <f>Africa!G46+"n/&gt;!6)["</f>
        <v>#VALUE!</v>
      </c>
      <c r="AD466" t="e">
        <f>Africa!H46+"n/&gt;!6)\"</f>
        <v>#VALUE!</v>
      </c>
      <c r="AE466" t="e">
        <f>Africa!I46+"n/&gt;!6)]"</f>
        <v>#VALUE!</v>
      </c>
      <c r="AF466" t="e">
        <f>Africa!A47+"n/&gt;!6)^"</f>
        <v>#VALUE!</v>
      </c>
      <c r="AG466" t="e">
        <f>Africa!B47+"n/&gt;!6)_"</f>
        <v>#VALUE!</v>
      </c>
      <c r="AH466" t="e">
        <f>Africa!C47+"n/&gt;!6)`"</f>
        <v>#VALUE!</v>
      </c>
      <c r="AI466" t="e">
        <f>Africa!D47+"n/&gt;!6)a"</f>
        <v>#VALUE!</v>
      </c>
      <c r="AJ466" t="e">
        <f>Africa!E47+"n/&gt;!6)b"</f>
        <v>#VALUE!</v>
      </c>
      <c r="AK466" t="e">
        <f>Africa!F47+"n/&gt;!6)c"</f>
        <v>#VALUE!</v>
      </c>
      <c r="AL466" t="e">
        <f>Africa!G47+"n/&gt;!6)d"</f>
        <v>#VALUE!</v>
      </c>
      <c r="AM466" t="e">
        <f>Africa!H47+"n/&gt;!6)e"</f>
        <v>#VALUE!</v>
      </c>
      <c r="AN466" t="e">
        <f>Africa!I47+"n/&gt;!6)f"</f>
        <v>#VALUE!</v>
      </c>
      <c r="AO466" t="e">
        <f>Africa!A48+"n/&gt;!6)g"</f>
        <v>#VALUE!</v>
      </c>
      <c r="AP466" t="e">
        <f>Africa!B48+"n/&gt;!6)h"</f>
        <v>#VALUE!</v>
      </c>
      <c r="AQ466" t="e">
        <f>Africa!C48+"n/&gt;!6)i"</f>
        <v>#VALUE!</v>
      </c>
      <c r="AR466" t="e">
        <f>Africa!D48+"n/&gt;!6)j"</f>
        <v>#VALUE!</v>
      </c>
      <c r="AS466" t="e">
        <f>Africa!E48+"n/&gt;!6)k"</f>
        <v>#VALUE!</v>
      </c>
      <c r="AT466" t="e">
        <f>Africa!F48+"n/&gt;!6)l"</f>
        <v>#VALUE!</v>
      </c>
      <c r="AU466" t="e">
        <f>Africa!G48+"n/&gt;!6)m"</f>
        <v>#VALUE!</v>
      </c>
      <c r="AV466" t="e">
        <f>Africa!H48+"n/&gt;!6)n"</f>
        <v>#VALUE!</v>
      </c>
      <c r="AW466" t="e">
        <f>Africa!I48+"n/&gt;!6)o"</f>
        <v>#VALUE!</v>
      </c>
      <c r="AX466" t="e">
        <f>Africa!A49+"n/&gt;!6)p"</f>
        <v>#VALUE!</v>
      </c>
      <c r="AY466" t="e">
        <f>Africa!B49+"n/&gt;!6)q"</f>
        <v>#VALUE!</v>
      </c>
      <c r="AZ466" t="e">
        <f>Africa!C49+"n/&gt;!6)r"</f>
        <v>#VALUE!</v>
      </c>
      <c r="BA466" t="e">
        <f>Africa!D49+"n/&gt;!6)s"</f>
        <v>#VALUE!</v>
      </c>
      <c r="BB466" t="e">
        <f>Africa!E49+"n/&gt;!6)t"</f>
        <v>#VALUE!</v>
      </c>
      <c r="BC466" t="e">
        <f>Africa!F49+"n/&gt;!6)u"</f>
        <v>#VALUE!</v>
      </c>
      <c r="BD466" t="e">
        <f>Africa!G49+"n/&gt;!6)v"</f>
        <v>#VALUE!</v>
      </c>
      <c r="BE466" t="e">
        <f>Africa!H49+"n/&gt;!6)w"</f>
        <v>#VALUE!</v>
      </c>
      <c r="BF466" t="e">
        <f>Africa!I49+"n/&gt;!6)x"</f>
        <v>#VALUE!</v>
      </c>
      <c r="BG466" t="e">
        <f>Africa!A50+"n/&gt;!6)y"</f>
        <v>#VALUE!</v>
      </c>
      <c r="BH466" t="e">
        <f>Africa!B50+"n/&gt;!6)z"</f>
        <v>#VALUE!</v>
      </c>
      <c r="BI466" t="e">
        <f>Africa!C50+"n/&gt;!6){"</f>
        <v>#VALUE!</v>
      </c>
      <c r="BJ466" t="e">
        <f>Africa!D50+"n/&gt;!6)|"</f>
        <v>#VALUE!</v>
      </c>
      <c r="BK466" t="e">
        <f>Africa!E50+"n/&gt;!6)}"</f>
        <v>#VALUE!</v>
      </c>
      <c r="BL466" t="e">
        <f>Africa!F50+"n/&gt;!6)~"</f>
        <v>#VALUE!</v>
      </c>
      <c r="BM466" t="e">
        <f>Africa!G50+"n/&gt;!6.#"</f>
        <v>#VALUE!</v>
      </c>
      <c r="BN466" t="e">
        <f>Africa!H50+"n/&gt;!6.$"</f>
        <v>#VALUE!</v>
      </c>
      <c r="BO466" t="e">
        <f>Africa!I50+"n/&gt;!6.%"</f>
        <v>#VALUE!</v>
      </c>
      <c r="BP466" t="e">
        <f>Africa!A51+"n/&gt;!6.&amp;"</f>
        <v>#VALUE!</v>
      </c>
      <c r="BQ466" t="e">
        <f>Africa!B51+"n/&gt;!6.'"</f>
        <v>#VALUE!</v>
      </c>
      <c r="BR466" t="e">
        <f>Africa!C51+"n/&gt;!6.("</f>
        <v>#VALUE!</v>
      </c>
      <c r="BS466" t="e">
        <f>Africa!D51+"n/&gt;!6.)"</f>
        <v>#VALUE!</v>
      </c>
      <c r="BT466" t="e">
        <f>Africa!E51+"n/&gt;!6.."</f>
        <v>#VALUE!</v>
      </c>
      <c r="BU466" t="e">
        <f>Africa!F51+"n/&gt;!6./"</f>
        <v>#VALUE!</v>
      </c>
      <c r="BV466" t="e">
        <f>Africa!G51+"n/&gt;!6.0"</f>
        <v>#VALUE!</v>
      </c>
      <c r="BW466" t="e">
        <f>Africa!H51+"n/&gt;!6.1"</f>
        <v>#VALUE!</v>
      </c>
      <c r="BX466" t="e">
        <f>Africa!I51+"n/&gt;!6.2"</f>
        <v>#VALUE!</v>
      </c>
      <c r="BY466" t="e">
        <f>Africa!A52+"n/&gt;!6.3"</f>
        <v>#VALUE!</v>
      </c>
      <c r="BZ466" t="e">
        <f>Africa!B52+"n/&gt;!6.4"</f>
        <v>#VALUE!</v>
      </c>
      <c r="CA466" t="e">
        <f>Africa!C52+"n/&gt;!6.5"</f>
        <v>#VALUE!</v>
      </c>
      <c r="CB466" t="e">
        <f>Africa!D52+"n/&gt;!6.6"</f>
        <v>#VALUE!</v>
      </c>
      <c r="CC466" t="e">
        <f>Africa!E52+"n/&gt;!6.7"</f>
        <v>#VALUE!</v>
      </c>
      <c r="CD466" t="e">
        <f>Africa!F52+"n/&gt;!6.8"</f>
        <v>#VALUE!</v>
      </c>
      <c r="CE466" t="e">
        <f>Africa!G52+"n/&gt;!6.9"</f>
        <v>#VALUE!</v>
      </c>
      <c r="CF466" t="e">
        <f>Africa!H52+"n/&gt;!6.:"</f>
        <v>#VALUE!</v>
      </c>
      <c r="CG466" t="e">
        <f>Africa!I52+"n/&gt;!6.;"</f>
        <v>#VALUE!</v>
      </c>
      <c r="CH466" t="e">
        <f>Africa!A53+"n/&gt;!6.&lt;"</f>
        <v>#VALUE!</v>
      </c>
      <c r="CI466" t="e">
        <f>Africa!B53+"n/&gt;!6.="</f>
        <v>#VALUE!</v>
      </c>
      <c r="CJ466" t="e">
        <f>Africa!C53+"n/&gt;!6.&gt;"</f>
        <v>#VALUE!</v>
      </c>
      <c r="CK466" t="e">
        <f>Africa!D53+"n/&gt;!6.?"</f>
        <v>#VALUE!</v>
      </c>
      <c r="CL466" t="e">
        <f>Africa!E53+"n/&gt;!6.@"</f>
        <v>#VALUE!</v>
      </c>
      <c r="CM466" t="e">
        <f>Africa!F53+"n/&gt;!6.A"</f>
        <v>#VALUE!</v>
      </c>
      <c r="CN466" t="e">
        <f>Africa!G53+"n/&gt;!6.B"</f>
        <v>#VALUE!</v>
      </c>
      <c r="CO466" t="e">
        <f>Africa!H53+"n/&gt;!6.C"</f>
        <v>#VALUE!</v>
      </c>
      <c r="CP466" t="e">
        <f>Africa!I53+"n/&gt;!6.D"</f>
        <v>#VALUE!</v>
      </c>
      <c r="CQ466" t="e">
        <f>Africa!A54+"n/&gt;!6.E"</f>
        <v>#VALUE!</v>
      </c>
      <c r="CR466" t="e">
        <f>Africa!B54+"n/&gt;!6.F"</f>
        <v>#VALUE!</v>
      </c>
      <c r="CS466" t="e">
        <f>Africa!C54+"n/&gt;!6.G"</f>
        <v>#VALUE!</v>
      </c>
      <c r="CT466" t="e">
        <f>Africa!D54+"n/&gt;!6.H"</f>
        <v>#VALUE!</v>
      </c>
      <c r="CU466" t="e">
        <f>Africa!E54+"n/&gt;!6.I"</f>
        <v>#VALUE!</v>
      </c>
      <c r="CV466" t="e">
        <f>Africa!F54+"n/&gt;!6.J"</f>
        <v>#VALUE!</v>
      </c>
      <c r="CW466" t="e">
        <f>Africa!G54+"n/&gt;!6.K"</f>
        <v>#VALUE!</v>
      </c>
      <c r="CX466" t="e">
        <f>Africa!H54+"n/&gt;!6.L"</f>
        <v>#VALUE!</v>
      </c>
      <c r="CY466" t="e">
        <f>Africa!I54+"n/&gt;!6.M"</f>
        <v>#VALUE!</v>
      </c>
      <c r="CZ466" t="e">
        <f>Africa!A55+"n/&gt;!6.N"</f>
        <v>#VALUE!</v>
      </c>
      <c r="DA466" t="e">
        <f>Africa!B55+"n/&gt;!6.O"</f>
        <v>#VALUE!</v>
      </c>
      <c r="DB466" t="e">
        <f>Africa!C55+"n/&gt;!6.P"</f>
        <v>#VALUE!</v>
      </c>
      <c r="DC466" t="e">
        <f>Africa!D55+"n/&gt;!6.Q"</f>
        <v>#VALUE!</v>
      </c>
      <c r="DD466" t="e">
        <f>Africa!E55+"n/&gt;!6.R"</f>
        <v>#VALUE!</v>
      </c>
      <c r="DE466" t="e">
        <f>Africa!F55+"n/&gt;!6.S"</f>
        <v>#VALUE!</v>
      </c>
      <c r="DF466" t="e">
        <f>Africa!G55+"n/&gt;!6.T"</f>
        <v>#VALUE!</v>
      </c>
      <c r="DG466" t="e">
        <f>Africa!H55+"n/&gt;!6.U"</f>
        <v>#VALUE!</v>
      </c>
      <c r="DH466" t="e">
        <f>Africa!I55+"n/&gt;!6.V"</f>
        <v>#VALUE!</v>
      </c>
      <c r="DI466" t="e">
        <f>Africa!A56+"n/&gt;!6.W"</f>
        <v>#VALUE!</v>
      </c>
      <c r="DJ466" t="e">
        <f>Africa!B56+"n/&gt;!6.X"</f>
        <v>#VALUE!</v>
      </c>
      <c r="DK466" t="e">
        <f>Africa!C56+"n/&gt;!6.Y"</f>
        <v>#VALUE!</v>
      </c>
      <c r="DL466" t="e">
        <f>Africa!D56+"n/&gt;!6.Z"</f>
        <v>#VALUE!</v>
      </c>
      <c r="DM466" t="e">
        <f>Africa!E56+"n/&gt;!6.["</f>
        <v>#VALUE!</v>
      </c>
      <c r="DN466" t="e">
        <f>Africa!F56+"n/&gt;!6.\"</f>
        <v>#VALUE!</v>
      </c>
      <c r="DO466" t="e">
        <f>Africa!G56+"n/&gt;!6.]"</f>
        <v>#VALUE!</v>
      </c>
      <c r="DP466" t="e">
        <f>Africa!H56+"n/&gt;!6.^"</f>
        <v>#VALUE!</v>
      </c>
      <c r="DQ466" t="e">
        <f>Africa!I56+"n/&gt;!6._"</f>
        <v>#VALUE!</v>
      </c>
      <c r="DR466" t="e">
        <f>Africa!A57+"n/&gt;!6.`"</f>
        <v>#VALUE!</v>
      </c>
      <c r="DS466" t="e">
        <f>Africa!B57+"n/&gt;!6.a"</f>
        <v>#VALUE!</v>
      </c>
      <c r="DT466" t="e">
        <f>Africa!C57+"n/&gt;!6.b"</f>
        <v>#VALUE!</v>
      </c>
      <c r="DU466" t="e">
        <f>Africa!D57+"n/&gt;!6.c"</f>
        <v>#VALUE!</v>
      </c>
      <c r="DV466" t="e">
        <f>Africa!E57+"n/&gt;!6.d"</f>
        <v>#VALUE!</v>
      </c>
      <c r="DW466" t="e">
        <f>Africa!F57+"n/&gt;!6.e"</f>
        <v>#VALUE!</v>
      </c>
      <c r="DX466" t="e">
        <f>Africa!G57+"n/&gt;!6.f"</f>
        <v>#VALUE!</v>
      </c>
      <c r="DY466" t="e">
        <f>Africa!H57+"n/&gt;!6.g"</f>
        <v>#VALUE!</v>
      </c>
      <c r="DZ466" t="e">
        <f>Africa!I57+"n/&gt;!6.h"</f>
        <v>#VALUE!</v>
      </c>
      <c r="EA466" t="e">
        <f>Africa!A58+"n/&gt;!6.i"</f>
        <v>#VALUE!</v>
      </c>
      <c r="EB466" t="e">
        <f>Africa!B58+"n/&gt;!6.j"</f>
        <v>#VALUE!</v>
      </c>
      <c r="EC466" t="e">
        <f>Africa!C58+"n/&gt;!6.k"</f>
        <v>#VALUE!</v>
      </c>
      <c r="ED466" t="e">
        <f>Africa!D58+"n/&gt;!6.l"</f>
        <v>#VALUE!</v>
      </c>
      <c r="EE466" t="e">
        <f>Africa!E58+"n/&gt;!6.m"</f>
        <v>#VALUE!</v>
      </c>
      <c r="EF466" t="e">
        <f>Africa!F58+"n/&gt;!6.n"</f>
        <v>#VALUE!</v>
      </c>
      <c r="EG466" t="e">
        <f>Africa!G58+"n/&gt;!6.o"</f>
        <v>#VALUE!</v>
      </c>
      <c r="EH466" t="e">
        <f>Africa!H58+"n/&gt;!6.p"</f>
        <v>#VALUE!</v>
      </c>
      <c r="EI466" t="e">
        <f>Africa!I58+"n/&gt;!6.q"</f>
        <v>#VALUE!</v>
      </c>
      <c r="EJ466" t="e">
        <f>Africa!A59+"n/&gt;!6.r"</f>
        <v>#VALUE!</v>
      </c>
      <c r="EK466" t="e">
        <f>Africa!B59+"n/&gt;!6.s"</f>
        <v>#VALUE!</v>
      </c>
      <c r="EL466" t="e">
        <f>Africa!C59+"n/&gt;!6.t"</f>
        <v>#VALUE!</v>
      </c>
      <c r="EM466" t="e">
        <f>Africa!D59+"n/&gt;!6.u"</f>
        <v>#VALUE!</v>
      </c>
      <c r="EN466" t="e">
        <f>Africa!E59+"n/&gt;!6.v"</f>
        <v>#VALUE!</v>
      </c>
      <c r="EO466" t="e">
        <f>Africa!F59+"n/&gt;!6.w"</f>
        <v>#VALUE!</v>
      </c>
      <c r="EP466" t="e">
        <f>Africa!G59+"n/&gt;!6.x"</f>
        <v>#VALUE!</v>
      </c>
      <c r="EQ466" t="e">
        <f>Africa!H59+"n/&gt;!6.y"</f>
        <v>#VALUE!</v>
      </c>
      <c r="ER466" t="e">
        <f>Africa!I59+"n/&gt;!6.z"</f>
        <v>#VALUE!</v>
      </c>
      <c r="ES466" t="e">
        <f>Africa!A60+"n/&gt;!6.{"</f>
        <v>#VALUE!</v>
      </c>
      <c r="ET466" t="e">
        <f>Africa!B60+"n/&gt;!6.|"</f>
        <v>#VALUE!</v>
      </c>
      <c r="EU466" t="e">
        <f>Africa!C60+"n/&gt;!6.}"</f>
        <v>#VALUE!</v>
      </c>
      <c r="EV466" t="e">
        <f>Africa!D60+"n/&gt;!6.~"</f>
        <v>#VALUE!</v>
      </c>
      <c r="EW466" t="e">
        <f>Africa!E60+"n/&gt;!6/#"</f>
        <v>#VALUE!</v>
      </c>
      <c r="EX466" t="e">
        <f>Africa!F60+"n/&gt;!6/$"</f>
        <v>#VALUE!</v>
      </c>
      <c r="EY466" t="e">
        <f>Africa!G60+"n/&gt;!6/%"</f>
        <v>#VALUE!</v>
      </c>
      <c r="EZ466" t="e">
        <f>Africa!H60+"n/&gt;!6/&amp;"</f>
        <v>#VALUE!</v>
      </c>
      <c r="FA466" t="e">
        <f>Africa!I60+"n/&gt;!6/'"</f>
        <v>#VALUE!</v>
      </c>
      <c r="FB466" t="e">
        <f>Africa!A61+"n/&gt;!6/("</f>
        <v>#VALUE!</v>
      </c>
      <c r="FC466" t="e">
        <f>Africa!B61+"n/&gt;!6/)"</f>
        <v>#VALUE!</v>
      </c>
      <c r="FD466" t="e">
        <f>Africa!C61+"n/&gt;!6/."</f>
        <v>#VALUE!</v>
      </c>
      <c r="FE466" t="e">
        <f>Africa!D61+"n/&gt;!6//"</f>
        <v>#VALUE!</v>
      </c>
      <c r="FF466" t="e">
        <f>Africa!E61+"n/&gt;!6/0"</f>
        <v>#VALUE!</v>
      </c>
      <c r="FG466" t="e">
        <f>Africa!F61+"n/&gt;!6/1"</f>
        <v>#VALUE!</v>
      </c>
      <c r="FH466" t="e">
        <f>Africa!G61+"n/&gt;!6/2"</f>
        <v>#VALUE!</v>
      </c>
      <c r="FI466" t="e">
        <f>Africa!H61+"n/&gt;!6/3"</f>
        <v>#VALUE!</v>
      </c>
      <c r="FJ466" t="e">
        <f>Africa!I61+"n/&gt;!6/4"</f>
        <v>#VALUE!</v>
      </c>
      <c r="FK466" t="e">
        <f>Africa!A62+"n/&gt;!6/5"</f>
        <v>#VALUE!</v>
      </c>
      <c r="FL466" t="e">
        <f>Africa!B62+"n/&gt;!6/6"</f>
        <v>#VALUE!</v>
      </c>
      <c r="FM466" t="e">
        <f>Africa!C62+"n/&gt;!6/7"</f>
        <v>#VALUE!</v>
      </c>
      <c r="FN466" t="e">
        <f>Africa!D62+"n/&gt;!6/8"</f>
        <v>#VALUE!</v>
      </c>
      <c r="FO466" t="e">
        <f>Africa!E62+"n/&gt;!6/9"</f>
        <v>#VALUE!</v>
      </c>
      <c r="FP466" t="e">
        <f>Africa!F62+"n/&gt;!6/:"</f>
        <v>#VALUE!</v>
      </c>
      <c r="FQ466" t="e">
        <f>Africa!G62+"n/&gt;!6/;"</f>
        <v>#VALUE!</v>
      </c>
      <c r="FR466" t="e">
        <f>Africa!H62+"n/&gt;!6/&lt;"</f>
        <v>#VALUE!</v>
      </c>
      <c r="FS466" t="e">
        <f>Africa!I62+"n/&gt;!6/="</f>
        <v>#VALUE!</v>
      </c>
      <c r="FT466" t="e">
        <f>Africa!A63+"n/&gt;!6/&gt;"</f>
        <v>#VALUE!</v>
      </c>
      <c r="FU466" t="e">
        <f>Africa!B63+"n/&gt;!6/?"</f>
        <v>#VALUE!</v>
      </c>
      <c r="FV466" t="e">
        <f>Africa!C63+"n/&gt;!6/@"</f>
        <v>#VALUE!</v>
      </c>
      <c r="FW466" t="e">
        <f>Africa!D63+"n/&gt;!6/A"</f>
        <v>#VALUE!</v>
      </c>
      <c r="FX466" t="e">
        <f>Africa!E63+"n/&gt;!6/B"</f>
        <v>#VALUE!</v>
      </c>
      <c r="FY466" t="e">
        <f>Africa!F63+"n/&gt;!6/C"</f>
        <v>#VALUE!</v>
      </c>
      <c r="FZ466" t="e">
        <f>Africa!G63+"n/&gt;!6/D"</f>
        <v>#VALUE!</v>
      </c>
      <c r="GA466" t="e">
        <f>Africa!H63+"n/&gt;!6/E"</f>
        <v>#VALUE!</v>
      </c>
      <c r="GB466" t="e">
        <f>Africa!I63+"n/&gt;!6/F"</f>
        <v>#VALUE!</v>
      </c>
      <c r="GC466" t="e">
        <f>Africa!A64+"n/&gt;!6/G"</f>
        <v>#VALUE!</v>
      </c>
      <c r="GD466" t="e">
        <f>Africa!B64+"n/&gt;!6/H"</f>
        <v>#VALUE!</v>
      </c>
      <c r="GE466" t="e">
        <f>Africa!C64+"n/&gt;!6/I"</f>
        <v>#VALUE!</v>
      </c>
      <c r="GF466" t="e">
        <f>Africa!D64+"n/&gt;!6/J"</f>
        <v>#VALUE!</v>
      </c>
      <c r="GG466" t="e">
        <f>Africa!E64+"n/&gt;!6/K"</f>
        <v>#VALUE!</v>
      </c>
      <c r="GH466" t="e">
        <f>Africa!F64+"n/&gt;!6/L"</f>
        <v>#VALUE!</v>
      </c>
      <c r="GI466" t="e">
        <f>Africa!G64+"n/&gt;!6/M"</f>
        <v>#VALUE!</v>
      </c>
      <c r="GJ466" t="e">
        <f>Africa!H64+"n/&gt;!6/N"</f>
        <v>#VALUE!</v>
      </c>
      <c r="GK466" t="e">
        <f>Africa!I64+"n/&gt;!6/O"</f>
        <v>#VALUE!</v>
      </c>
      <c r="GL466" t="e">
        <f>Africa!A65+"n/&gt;!6/P"</f>
        <v>#VALUE!</v>
      </c>
      <c r="GM466" t="e">
        <f>Africa!B65+"n/&gt;!6/Q"</f>
        <v>#VALUE!</v>
      </c>
      <c r="GN466" t="e">
        <f>Africa!C65+"n/&gt;!6/R"</f>
        <v>#VALUE!</v>
      </c>
      <c r="GO466" t="e">
        <f>Africa!D65+"n/&gt;!6/S"</f>
        <v>#VALUE!</v>
      </c>
      <c r="GP466" t="e">
        <f>Africa!E65+"n/&gt;!6/T"</f>
        <v>#VALUE!</v>
      </c>
      <c r="GQ466" t="e">
        <f>Africa!F65+"n/&gt;!6/U"</f>
        <v>#VALUE!</v>
      </c>
      <c r="GR466" t="e">
        <f>Africa!G65+"n/&gt;!6/V"</f>
        <v>#VALUE!</v>
      </c>
      <c r="GS466" t="e">
        <f>Africa!H65+"n/&gt;!6/W"</f>
        <v>#VALUE!</v>
      </c>
      <c r="GT466" t="e">
        <f>Africa!I65+"n/&gt;!6/X"</f>
        <v>#VALUE!</v>
      </c>
      <c r="GU466" t="e">
        <f>Africa!A66+"n/&gt;!6/Y"</f>
        <v>#VALUE!</v>
      </c>
      <c r="GV466" t="e">
        <f>Africa!B66+"n/&gt;!6/Z"</f>
        <v>#VALUE!</v>
      </c>
      <c r="GW466" t="e">
        <f>Africa!C66+"n/&gt;!6/["</f>
        <v>#VALUE!</v>
      </c>
      <c r="GX466" t="e">
        <f>Africa!D66+"n/&gt;!6/\"</f>
        <v>#VALUE!</v>
      </c>
      <c r="GY466" t="e">
        <f>Africa!E66+"n/&gt;!6/]"</f>
        <v>#VALUE!</v>
      </c>
      <c r="GZ466" t="e">
        <f>Africa!F66+"n/&gt;!6/^"</f>
        <v>#VALUE!</v>
      </c>
      <c r="HA466" t="e">
        <f>Africa!G66+"n/&gt;!6/_"</f>
        <v>#VALUE!</v>
      </c>
      <c r="HB466" t="e">
        <f>Africa!H66+"n/&gt;!6/`"</f>
        <v>#VALUE!</v>
      </c>
      <c r="HC466" t="e">
        <f>Africa!I66+"n/&gt;!6/a"</f>
        <v>#VALUE!</v>
      </c>
      <c r="HD466" t="e">
        <f>Africa!A67+"n/&gt;!6/b"</f>
        <v>#VALUE!</v>
      </c>
      <c r="HE466" t="e">
        <f>Africa!B67+"n/&gt;!6/c"</f>
        <v>#VALUE!</v>
      </c>
      <c r="HF466" t="e">
        <f>Africa!C67+"n/&gt;!6/d"</f>
        <v>#VALUE!</v>
      </c>
      <c r="HG466" t="e">
        <f>Africa!D67+"n/&gt;!6/e"</f>
        <v>#VALUE!</v>
      </c>
      <c r="HH466" t="e">
        <f>Africa!E67+"n/&gt;!6/f"</f>
        <v>#VALUE!</v>
      </c>
      <c r="HI466" t="e">
        <f>Africa!F67+"n/&gt;!6/g"</f>
        <v>#VALUE!</v>
      </c>
      <c r="HJ466" t="e">
        <f>Africa!G67+"n/&gt;!6/h"</f>
        <v>#VALUE!</v>
      </c>
      <c r="HK466" t="e">
        <f>Africa!H67+"n/&gt;!6/i"</f>
        <v>#VALUE!</v>
      </c>
      <c r="HL466" t="e">
        <f>Africa!I67+"n/&gt;!6/j"</f>
        <v>#VALUE!</v>
      </c>
      <c r="HM466" t="e">
        <f>Africa!A68+"n/&gt;!6/k"</f>
        <v>#VALUE!</v>
      </c>
      <c r="HN466" t="e">
        <f>Africa!B68+"n/&gt;!6/l"</f>
        <v>#VALUE!</v>
      </c>
      <c r="HO466" t="e">
        <f>Africa!C68+"n/&gt;!6/m"</f>
        <v>#VALUE!</v>
      </c>
      <c r="HP466" t="e">
        <f>Africa!D68+"n/&gt;!6/n"</f>
        <v>#VALUE!</v>
      </c>
      <c r="HQ466" t="e">
        <f>Africa!E68+"n/&gt;!6/o"</f>
        <v>#VALUE!</v>
      </c>
      <c r="HR466" t="e">
        <f>Africa!F68+"n/&gt;!6/p"</f>
        <v>#VALUE!</v>
      </c>
      <c r="HS466" t="e">
        <f>Africa!G68+"n/&gt;!6/q"</f>
        <v>#VALUE!</v>
      </c>
      <c r="HT466" t="e">
        <f>Africa!H68+"n/&gt;!6/r"</f>
        <v>#VALUE!</v>
      </c>
      <c r="HU466" t="e">
        <f>Africa!I68+"n/&gt;!6/s"</f>
        <v>#VALUE!</v>
      </c>
      <c r="HV466" t="e">
        <f>Africa!A69+"n/&gt;!6/t"</f>
        <v>#VALUE!</v>
      </c>
      <c r="HW466" t="e">
        <f>Africa!B69+"n/&gt;!6/u"</f>
        <v>#VALUE!</v>
      </c>
      <c r="HX466" t="e">
        <f>Africa!C69+"n/&gt;!6/v"</f>
        <v>#VALUE!</v>
      </c>
      <c r="HY466" t="e">
        <f>Africa!D69+"n/&gt;!6/w"</f>
        <v>#VALUE!</v>
      </c>
      <c r="HZ466" t="e">
        <f>Africa!E69+"n/&gt;!6/x"</f>
        <v>#VALUE!</v>
      </c>
      <c r="IA466" t="e">
        <f>Africa!F69+"n/&gt;!6/y"</f>
        <v>#VALUE!</v>
      </c>
      <c r="IB466" t="e">
        <f>Africa!G69+"n/&gt;!6/z"</f>
        <v>#VALUE!</v>
      </c>
      <c r="IC466" t="e">
        <f>Africa!H69+"n/&gt;!6/{"</f>
        <v>#VALUE!</v>
      </c>
      <c r="ID466" t="e">
        <f>Africa!I69+"n/&gt;!6/|"</f>
        <v>#VALUE!</v>
      </c>
      <c r="IE466" t="e">
        <f>Africa!A70+"n/&gt;!6/}"</f>
        <v>#VALUE!</v>
      </c>
      <c r="IF466" t="e">
        <f>Africa!B70+"n/&gt;!6/~"</f>
        <v>#VALUE!</v>
      </c>
      <c r="IG466" t="e">
        <f>Africa!C70+"n/&gt;!60#"</f>
        <v>#VALUE!</v>
      </c>
      <c r="IH466" t="e">
        <f>Africa!D70+"n/&gt;!60$"</f>
        <v>#VALUE!</v>
      </c>
      <c r="II466" t="e">
        <f>Africa!E70+"n/&gt;!60%"</f>
        <v>#VALUE!</v>
      </c>
      <c r="IJ466" t="e">
        <f>Africa!F70+"n/&gt;!60&amp;"</f>
        <v>#VALUE!</v>
      </c>
      <c r="IK466" t="e">
        <f>Africa!G70+"n/&gt;!60'"</f>
        <v>#VALUE!</v>
      </c>
      <c r="IL466" t="e">
        <f>Africa!H70+"n/&gt;!60("</f>
        <v>#VALUE!</v>
      </c>
      <c r="IM466" t="e">
        <f>Africa!I70+"n/&gt;!60)"</f>
        <v>#VALUE!</v>
      </c>
      <c r="IN466" t="e">
        <f>Africa!A71+"n/&gt;!60."</f>
        <v>#VALUE!</v>
      </c>
      <c r="IO466" t="e">
        <f>Africa!B71+"n/&gt;!60/"</f>
        <v>#VALUE!</v>
      </c>
      <c r="IP466" t="e">
        <f>Africa!C71+"n/&gt;!600"</f>
        <v>#VALUE!</v>
      </c>
      <c r="IQ466" t="e">
        <f>Africa!D71+"n/&gt;!601"</f>
        <v>#VALUE!</v>
      </c>
      <c r="IR466" t="e">
        <f>Africa!E71+"n/&gt;!602"</f>
        <v>#VALUE!</v>
      </c>
      <c r="IS466" t="e">
        <f>Africa!F71+"n/&gt;!603"</f>
        <v>#VALUE!</v>
      </c>
      <c r="IT466" t="e">
        <f>Africa!G71+"n/&gt;!604"</f>
        <v>#VALUE!</v>
      </c>
      <c r="IU466" t="e">
        <f>Africa!H71+"n/&gt;!605"</f>
        <v>#VALUE!</v>
      </c>
      <c r="IV466" t="e">
        <f>Africa!I71+"n/&gt;!606"</f>
        <v>#VALUE!</v>
      </c>
    </row>
    <row r="467" spans="6:256" x14ac:dyDescent="0.35">
      <c r="F467" t="e">
        <f>Africa!A72+"n/&gt;!607"</f>
        <v>#VALUE!</v>
      </c>
      <c r="G467" t="e">
        <f>Africa!B72+"n/&gt;!608"</f>
        <v>#VALUE!</v>
      </c>
      <c r="H467" t="e">
        <f>Africa!C72+"n/&gt;!609"</f>
        <v>#VALUE!</v>
      </c>
      <c r="I467" t="e">
        <f>Africa!D72+"n/&gt;!60:"</f>
        <v>#VALUE!</v>
      </c>
      <c r="J467" t="e">
        <f>Africa!E72+"n/&gt;!60;"</f>
        <v>#VALUE!</v>
      </c>
      <c r="K467" t="e">
        <f>Africa!F72+"n/&gt;!60&lt;"</f>
        <v>#VALUE!</v>
      </c>
      <c r="L467" t="e">
        <f>Africa!G72+"n/&gt;!60="</f>
        <v>#VALUE!</v>
      </c>
      <c r="M467" t="e">
        <f>Africa!H72+"n/&gt;!60&gt;"</f>
        <v>#VALUE!</v>
      </c>
      <c r="N467" t="e">
        <f>Africa!I72+"n/&gt;!60?"</f>
        <v>#VALUE!</v>
      </c>
      <c r="O467" t="e">
        <f>Africa!A73+"n/&gt;!60@"</f>
        <v>#VALUE!</v>
      </c>
      <c r="P467" t="e">
        <f>Africa!B73+"n/&gt;!60A"</f>
        <v>#VALUE!</v>
      </c>
      <c r="Q467" t="e">
        <f>Africa!C73+"n/&gt;!60B"</f>
        <v>#VALUE!</v>
      </c>
      <c r="R467" t="e">
        <f>Africa!D73+"n/&gt;!60C"</f>
        <v>#VALUE!</v>
      </c>
      <c r="S467" t="e">
        <f>Africa!E73+"n/&gt;!60D"</f>
        <v>#VALUE!</v>
      </c>
      <c r="T467" t="e">
        <f>Africa!F73+"n/&gt;!60E"</f>
        <v>#VALUE!</v>
      </c>
      <c r="U467" t="e">
        <f>Africa!G73+"n/&gt;!60F"</f>
        <v>#VALUE!</v>
      </c>
      <c r="V467" t="e">
        <f>Africa!H73+"n/&gt;!60G"</f>
        <v>#VALUE!</v>
      </c>
      <c r="W467" t="e">
        <f>Africa!I73+"n/&gt;!60H"</f>
        <v>#VALUE!</v>
      </c>
      <c r="X467" t="e">
        <f>Africa!A74+"n/&gt;!60I"</f>
        <v>#VALUE!</v>
      </c>
      <c r="Y467" t="e">
        <f>Africa!B74+"n/&gt;!60J"</f>
        <v>#VALUE!</v>
      </c>
      <c r="Z467" t="e">
        <f>Africa!C74+"n/&gt;!60K"</f>
        <v>#VALUE!</v>
      </c>
      <c r="AA467" t="e">
        <f>Africa!D74+"n/&gt;!60L"</f>
        <v>#VALUE!</v>
      </c>
      <c r="AB467" t="e">
        <f>Africa!E74+"n/&gt;!60M"</f>
        <v>#VALUE!</v>
      </c>
      <c r="AC467" t="e">
        <f>Africa!F74+"n/&gt;!60N"</f>
        <v>#VALUE!</v>
      </c>
      <c r="AD467" t="e">
        <f>Africa!G74+"n/&gt;!60O"</f>
        <v>#VALUE!</v>
      </c>
      <c r="AE467" t="e">
        <f>Africa!H74+"n/&gt;!60P"</f>
        <v>#VALUE!</v>
      </c>
      <c r="AF467" t="e">
        <f>Africa!I74+"n/&gt;!60Q"</f>
        <v>#VALUE!</v>
      </c>
      <c r="AG467" t="e">
        <f>Africa!A75+"n/&gt;!60R"</f>
        <v>#VALUE!</v>
      </c>
      <c r="AH467" t="e">
        <f>Africa!B75+"n/&gt;!60S"</f>
        <v>#VALUE!</v>
      </c>
      <c r="AI467" t="e">
        <f>Africa!C75+"n/&gt;!60T"</f>
        <v>#VALUE!</v>
      </c>
      <c r="AJ467" t="e">
        <f>Africa!D75+"n/&gt;!60U"</f>
        <v>#VALUE!</v>
      </c>
      <c r="AK467" t="e">
        <f>Africa!E75+"n/&gt;!60V"</f>
        <v>#VALUE!</v>
      </c>
      <c r="AL467" t="e">
        <f>Africa!F75+"n/&gt;!60W"</f>
        <v>#VALUE!</v>
      </c>
      <c r="AM467" t="e">
        <f>Africa!G75+"n/&gt;!60X"</f>
        <v>#VALUE!</v>
      </c>
      <c r="AN467" t="e">
        <f>Africa!H75+"n/&gt;!60Y"</f>
        <v>#VALUE!</v>
      </c>
      <c r="AO467" t="e">
        <f>Africa!I75+"n/&gt;!60Z"</f>
        <v>#VALUE!</v>
      </c>
      <c r="AP467" t="e">
        <f>Africa!A76+"n/&gt;!60["</f>
        <v>#VALUE!</v>
      </c>
      <c r="AQ467" t="e">
        <f>Africa!B76+"n/&gt;!60\"</f>
        <v>#VALUE!</v>
      </c>
      <c r="AR467" t="e">
        <f>Africa!C76+"n/&gt;!60]"</f>
        <v>#VALUE!</v>
      </c>
      <c r="AS467" t="e">
        <f>Africa!D76+"n/&gt;!60^"</f>
        <v>#VALUE!</v>
      </c>
      <c r="AT467" t="e">
        <f>Africa!E76+"n/&gt;!60_"</f>
        <v>#VALUE!</v>
      </c>
      <c r="AU467" t="e">
        <f>Africa!F76+"n/&gt;!60`"</f>
        <v>#VALUE!</v>
      </c>
      <c r="AV467" t="e">
        <f>Africa!G76+"n/&gt;!60a"</f>
        <v>#VALUE!</v>
      </c>
      <c r="AW467" t="e">
        <f>Africa!H76+"n/&gt;!60b"</f>
        <v>#VALUE!</v>
      </c>
      <c r="AX467" t="e">
        <f>Africa!I76+"n/&gt;!60c"</f>
        <v>#VALUE!</v>
      </c>
      <c r="AY467" t="e">
        <f>Africa!A77+"n/&gt;!60d"</f>
        <v>#VALUE!</v>
      </c>
      <c r="AZ467" t="e">
        <f>Africa!B77+"n/&gt;!60e"</f>
        <v>#VALUE!</v>
      </c>
      <c r="BA467" t="e">
        <f>Africa!C77+"n/&gt;!60f"</f>
        <v>#VALUE!</v>
      </c>
      <c r="BB467" t="e">
        <f>Africa!D77+"n/&gt;!60g"</f>
        <v>#VALUE!</v>
      </c>
      <c r="BC467" t="e">
        <f>Africa!E77+"n/&gt;!60h"</f>
        <v>#VALUE!</v>
      </c>
      <c r="BD467" t="e">
        <f>Africa!F77+"n/&gt;!60i"</f>
        <v>#VALUE!</v>
      </c>
      <c r="BE467" t="e">
        <f>Africa!G77+"n/&gt;!60j"</f>
        <v>#VALUE!</v>
      </c>
      <c r="BF467" t="e">
        <f>Africa!H77+"n/&gt;!60k"</f>
        <v>#VALUE!</v>
      </c>
      <c r="BG467" t="e">
        <f>Africa!I77+"n/&gt;!60l"</f>
        <v>#VALUE!</v>
      </c>
      <c r="BH467" t="e">
        <f>Africa!A78+"n/&gt;!60m"</f>
        <v>#VALUE!</v>
      </c>
      <c r="BI467" t="e">
        <f>Africa!B78+"n/&gt;!60n"</f>
        <v>#VALUE!</v>
      </c>
      <c r="BJ467" t="e">
        <f>Africa!C78+"n/&gt;!60o"</f>
        <v>#VALUE!</v>
      </c>
      <c r="BK467" t="e">
        <f>Africa!D78+"n/&gt;!60p"</f>
        <v>#VALUE!</v>
      </c>
      <c r="BL467" t="e">
        <f>Africa!E78+"n/&gt;!60q"</f>
        <v>#VALUE!</v>
      </c>
      <c r="BM467" t="e">
        <f>Africa!F78+"n/&gt;!60r"</f>
        <v>#VALUE!</v>
      </c>
      <c r="BN467" t="e">
        <f>Africa!G78+"n/&gt;!60s"</f>
        <v>#VALUE!</v>
      </c>
      <c r="BO467" t="e">
        <f>Africa!H78+"n/&gt;!60t"</f>
        <v>#VALUE!</v>
      </c>
      <c r="BP467" t="e">
        <f>Africa!I78+"n/&gt;!60u"</f>
        <v>#VALUE!</v>
      </c>
      <c r="BQ467" t="e">
        <f>Africa!A79+"n/&gt;!60v"</f>
        <v>#VALUE!</v>
      </c>
      <c r="BR467" t="e">
        <f>Africa!B79+"n/&gt;!60w"</f>
        <v>#VALUE!</v>
      </c>
      <c r="BS467" t="e">
        <f>Africa!C79+"n/&gt;!60x"</f>
        <v>#VALUE!</v>
      </c>
      <c r="BT467" t="e">
        <f>Africa!D79+"n/&gt;!60y"</f>
        <v>#VALUE!</v>
      </c>
      <c r="BU467" t="e">
        <f>Africa!E79+"n/&gt;!60z"</f>
        <v>#VALUE!</v>
      </c>
      <c r="BV467" t="e">
        <f>Africa!F79+"n/&gt;!60{"</f>
        <v>#VALUE!</v>
      </c>
      <c r="BW467" t="e">
        <f>Africa!G79+"n/&gt;!60|"</f>
        <v>#VALUE!</v>
      </c>
      <c r="BX467" t="e">
        <f>Africa!H79+"n/&gt;!60}"</f>
        <v>#VALUE!</v>
      </c>
      <c r="BY467" t="e">
        <f>Africa!I79+"n/&gt;!60~"</f>
        <v>#VALUE!</v>
      </c>
      <c r="BZ467" t="e">
        <f>Africa!A80+"n/&gt;!61#"</f>
        <v>#VALUE!</v>
      </c>
      <c r="CA467" t="e">
        <f>Africa!B80+"n/&gt;!61$"</f>
        <v>#VALUE!</v>
      </c>
      <c r="CB467" t="e">
        <f>Africa!C80+"n/&gt;!61%"</f>
        <v>#VALUE!</v>
      </c>
      <c r="CC467" t="e">
        <f>Africa!D80+"n/&gt;!61&amp;"</f>
        <v>#VALUE!</v>
      </c>
      <c r="CD467" t="e">
        <f>Africa!E80+"n/&gt;!61'"</f>
        <v>#VALUE!</v>
      </c>
      <c r="CE467" t="e">
        <f>Africa!F80+"n/&gt;!61("</f>
        <v>#VALUE!</v>
      </c>
      <c r="CF467" t="e">
        <f>Africa!G80+"n/&gt;!61)"</f>
        <v>#VALUE!</v>
      </c>
      <c r="CG467" t="e">
        <f>Africa!H80+"n/&gt;!61."</f>
        <v>#VALUE!</v>
      </c>
      <c r="CH467" t="e">
        <f>Africa!I80+"n/&gt;!61/"</f>
        <v>#VALUE!</v>
      </c>
      <c r="CI467" t="e">
        <f>Africa!A81+"n/&gt;!610"</f>
        <v>#VALUE!</v>
      </c>
      <c r="CJ467" t="e">
        <f>Africa!B81+"n/&gt;!611"</f>
        <v>#VALUE!</v>
      </c>
      <c r="CK467" t="e">
        <f>Africa!C81+"n/&gt;!612"</f>
        <v>#VALUE!</v>
      </c>
      <c r="CL467" t="e">
        <f>Africa!D81+"n/&gt;!613"</f>
        <v>#VALUE!</v>
      </c>
      <c r="CM467" t="e">
        <f>Africa!E81+"n/&gt;!614"</f>
        <v>#VALUE!</v>
      </c>
      <c r="CN467" t="e">
        <f>Africa!F81+"n/&gt;!615"</f>
        <v>#VALUE!</v>
      </c>
      <c r="CO467" t="e">
        <f>Africa!G81+"n/&gt;!616"</f>
        <v>#VALUE!</v>
      </c>
      <c r="CP467" t="e">
        <f>Africa!H81+"n/&gt;!617"</f>
        <v>#VALUE!</v>
      </c>
      <c r="CQ467" t="e">
        <f>Africa!I81+"n/&gt;!618"</f>
        <v>#VALUE!</v>
      </c>
      <c r="CR467" t="e">
        <f>Africa!A82+"n/&gt;!619"</f>
        <v>#VALUE!</v>
      </c>
      <c r="CS467" t="e">
        <f>Africa!B82+"n/&gt;!61:"</f>
        <v>#VALUE!</v>
      </c>
      <c r="CT467" t="e">
        <f>Africa!C82+"n/&gt;!61;"</f>
        <v>#VALUE!</v>
      </c>
      <c r="CU467" t="e">
        <f>Africa!D82+"n/&gt;!61&lt;"</f>
        <v>#VALUE!</v>
      </c>
      <c r="CV467" t="e">
        <f>Africa!E82+"n/&gt;!61="</f>
        <v>#VALUE!</v>
      </c>
      <c r="CW467" t="e">
        <f>Africa!F82+"n/&gt;!61&gt;"</f>
        <v>#VALUE!</v>
      </c>
      <c r="CX467" t="e">
        <f>Africa!G82+"n/&gt;!61?"</f>
        <v>#VALUE!</v>
      </c>
      <c r="CY467" t="e">
        <f>Africa!H82+"n/&gt;!61@"</f>
        <v>#VALUE!</v>
      </c>
      <c r="CZ467" t="e">
        <f>Africa!I82+"n/&gt;!61A"</f>
        <v>#VALUE!</v>
      </c>
      <c r="DA467" t="e">
        <f>Africa!A83+"n/&gt;!61B"</f>
        <v>#VALUE!</v>
      </c>
      <c r="DB467" t="e">
        <f>Africa!B83+"n/&gt;!61C"</f>
        <v>#VALUE!</v>
      </c>
      <c r="DC467" t="e">
        <f>Africa!C83+"n/&gt;!61D"</f>
        <v>#VALUE!</v>
      </c>
      <c r="DD467" t="e">
        <f>Africa!D83+"n/&gt;!61E"</f>
        <v>#VALUE!</v>
      </c>
      <c r="DE467" t="e">
        <f>Africa!E83+"n/&gt;!61F"</f>
        <v>#VALUE!</v>
      </c>
      <c r="DF467" t="e">
        <f>Africa!F83+"n/&gt;!61G"</f>
        <v>#VALUE!</v>
      </c>
      <c r="DG467" t="e">
        <f>Africa!G83+"n/&gt;!61H"</f>
        <v>#VALUE!</v>
      </c>
      <c r="DH467" t="e">
        <f>Africa!H83+"n/&gt;!61I"</f>
        <v>#VALUE!</v>
      </c>
      <c r="DI467" t="e">
        <f>Africa!I83+"n/&gt;!61J"</f>
        <v>#VALUE!</v>
      </c>
      <c r="DJ467" t="e">
        <f>Africa!A84+"n/&gt;!61K"</f>
        <v>#VALUE!</v>
      </c>
      <c r="DK467" t="e">
        <f>Africa!B84+"n/&gt;!61L"</f>
        <v>#VALUE!</v>
      </c>
      <c r="DL467" t="e">
        <f>Africa!C84+"n/&gt;!61M"</f>
        <v>#VALUE!</v>
      </c>
      <c r="DM467" t="e">
        <f>Africa!D84+"n/&gt;!61N"</f>
        <v>#VALUE!</v>
      </c>
      <c r="DN467" t="e">
        <f>Africa!E84+"n/&gt;!61O"</f>
        <v>#VALUE!</v>
      </c>
      <c r="DO467" t="e">
        <f>Africa!F84+"n/&gt;!61P"</f>
        <v>#VALUE!</v>
      </c>
      <c r="DP467" t="e">
        <f>Africa!G84+"n/&gt;!61Q"</f>
        <v>#VALUE!</v>
      </c>
      <c r="DQ467" t="e">
        <f>Africa!H84+"n/&gt;!61R"</f>
        <v>#VALUE!</v>
      </c>
      <c r="DR467" t="e">
        <f>Africa!I84+"n/&gt;!61S"</f>
        <v>#VALUE!</v>
      </c>
      <c r="DS467" t="e">
        <f>Africa!A85+"n/&gt;!61T"</f>
        <v>#VALUE!</v>
      </c>
      <c r="DT467" t="e">
        <f>Africa!B85+"n/&gt;!61U"</f>
        <v>#VALUE!</v>
      </c>
      <c r="DU467" t="e">
        <f>Africa!C85+"n/&gt;!61V"</f>
        <v>#VALUE!</v>
      </c>
      <c r="DV467" t="e">
        <f>Africa!D85+"n/&gt;!61W"</f>
        <v>#VALUE!</v>
      </c>
      <c r="DW467" t="e">
        <f>Africa!E85+"n/&gt;!61X"</f>
        <v>#VALUE!</v>
      </c>
      <c r="DX467" t="e">
        <f>Africa!F85+"n/&gt;!61Y"</f>
        <v>#VALUE!</v>
      </c>
      <c r="DY467" t="e">
        <f>Africa!G85+"n/&gt;!61Z"</f>
        <v>#VALUE!</v>
      </c>
      <c r="DZ467" t="e">
        <f>Africa!H85+"n/&gt;!61["</f>
        <v>#VALUE!</v>
      </c>
      <c r="EA467" t="e">
        <f>Africa!I85+"n/&gt;!61\"</f>
        <v>#VALUE!</v>
      </c>
      <c r="EB467" t="e">
        <f>Africa!A86+"n/&gt;!61]"</f>
        <v>#VALUE!</v>
      </c>
      <c r="EC467" t="e">
        <f>Africa!B86+"n/&gt;!61^"</f>
        <v>#VALUE!</v>
      </c>
      <c r="ED467" t="e">
        <f>Africa!C86+"n/&gt;!61_"</f>
        <v>#VALUE!</v>
      </c>
      <c r="EE467" t="e">
        <f>Africa!D86+"n/&gt;!61`"</f>
        <v>#VALUE!</v>
      </c>
      <c r="EF467" t="e">
        <f>Africa!E86+"n/&gt;!61a"</f>
        <v>#VALUE!</v>
      </c>
      <c r="EG467" t="e">
        <f>Africa!F86+"n/&gt;!61b"</f>
        <v>#VALUE!</v>
      </c>
      <c r="EH467" t="e">
        <f>Africa!G86+"n/&gt;!61c"</f>
        <v>#VALUE!</v>
      </c>
      <c r="EI467" t="e">
        <f>Africa!H86+"n/&gt;!61d"</f>
        <v>#VALUE!</v>
      </c>
      <c r="EJ467" t="e">
        <f>Africa!I86+"n/&gt;!61e"</f>
        <v>#VALUE!</v>
      </c>
      <c r="EK467" t="e">
        <f>Africa!A87+"n/&gt;!61f"</f>
        <v>#VALUE!</v>
      </c>
      <c r="EL467" t="e">
        <f>Africa!B87+"n/&gt;!61g"</f>
        <v>#VALUE!</v>
      </c>
      <c r="EM467" t="e">
        <f>Africa!C87+"n/&gt;!61h"</f>
        <v>#VALUE!</v>
      </c>
      <c r="EN467" t="e">
        <f>Africa!D87+"n/&gt;!61i"</f>
        <v>#VALUE!</v>
      </c>
      <c r="EO467" t="e">
        <f>Africa!E87+"n/&gt;!61j"</f>
        <v>#VALUE!</v>
      </c>
      <c r="EP467" t="e">
        <f>Africa!F87+"n/&gt;!61k"</f>
        <v>#VALUE!</v>
      </c>
      <c r="EQ467" t="e">
        <f>Africa!G87+"n/&gt;!61l"</f>
        <v>#VALUE!</v>
      </c>
      <c r="ER467" t="e">
        <f>Africa!H87+"n/&gt;!61m"</f>
        <v>#VALUE!</v>
      </c>
      <c r="ES467" t="e">
        <f>Africa!I87+"n/&gt;!61n"</f>
        <v>#VALUE!</v>
      </c>
      <c r="ET467" t="e">
        <f>Africa!A88+"n/&gt;!61o"</f>
        <v>#VALUE!</v>
      </c>
      <c r="EU467" t="e">
        <f>Africa!B88+"n/&gt;!61p"</f>
        <v>#VALUE!</v>
      </c>
      <c r="EV467" t="e">
        <f>Africa!C88+"n/&gt;!61q"</f>
        <v>#VALUE!</v>
      </c>
      <c r="EW467" t="e">
        <f>Africa!D88+"n/&gt;!61r"</f>
        <v>#VALUE!</v>
      </c>
      <c r="EX467" t="e">
        <f>Africa!E88+"n/&gt;!61s"</f>
        <v>#VALUE!</v>
      </c>
      <c r="EY467" t="e">
        <f>Africa!F88+"n/&gt;!61t"</f>
        <v>#VALUE!</v>
      </c>
      <c r="EZ467" t="e">
        <f>Africa!G88+"n/&gt;!61u"</f>
        <v>#VALUE!</v>
      </c>
      <c r="FA467" t="e">
        <f>Africa!H88+"n/&gt;!61v"</f>
        <v>#VALUE!</v>
      </c>
      <c r="FB467" t="e">
        <f>Africa!I88+"n/&gt;!61w"</f>
        <v>#VALUE!</v>
      </c>
      <c r="FC467" t="e">
        <f>Africa!A89+"n/&gt;!61x"</f>
        <v>#VALUE!</v>
      </c>
      <c r="FD467" t="e">
        <f>Africa!B89+"n/&gt;!61y"</f>
        <v>#VALUE!</v>
      </c>
      <c r="FE467" t="e">
        <f>Africa!C89+"n/&gt;!61z"</f>
        <v>#VALUE!</v>
      </c>
      <c r="FF467" t="e">
        <f>Africa!D89+"n/&gt;!61{"</f>
        <v>#VALUE!</v>
      </c>
      <c r="FG467" t="e">
        <f>Africa!E89+"n/&gt;!61|"</f>
        <v>#VALUE!</v>
      </c>
      <c r="FH467" t="e">
        <f>Africa!F89+"n/&gt;!61}"</f>
        <v>#VALUE!</v>
      </c>
      <c r="FI467" t="e">
        <f>Africa!G89+"n/&gt;!61~"</f>
        <v>#VALUE!</v>
      </c>
      <c r="FJ467" t="e">
        <f>Africa!H89+"n/&gt;!62#"</f>
        <v>#VALUE!</v>
      </c>
      <c r="FK467" t="e">
        <f>Africa!I89+"n/&gt;!62$"</f>
        <v>#VALUE!</v>
      </c>
      <c r="FL467" t="e">
        <f>Africa!A90+"n/&gt;!62%"</f>
        <v>#VALUE!</v>
      </c>
      <c r="FM467" t="e">
        <f>Africa!B90+"n/&gt;!62&amp;"</f>
        <v>#VALUE!</v>
      </c>
      <c r="FN467" t="e">
        <f>Africa!C90+"n/&gt;!62'"</f>
        <v>#VALUE!</v>
      </c>
      <c r="FO467" t="e">
        <f>Africa!D90+"n/&gt;!62("</f>
        <v>#VALUE!</v>
      </c>
      <c r="FP467" t="e">
        <f>Africa!E90+"n/&gt;!62)"</f>
        <v>#VALUE!</v>
      </c>
      <c r="FQ467" t="e">
        <f>Africa!F90+"n/&gt;!62."</f>
        <v>#VALUE!</v>
      </c>
      <c r="FR467" t="e">
        <f>Africa!G90+"n/&gt;!62/"</f>
        <v>#VALUE!</v>
      </c>
      <c r="FS467" t="e">
        <f>Africa!H90+"n/&gt;!620"</f>
        <v>#VALUE!</v>
      </c>
      <c r="FT467" t="e">
        <f>Africa!I90+"n/&gt;!621"</f>
        <v>#VALUE!</v>
      </c>
      <c r="FU467" t="e">
        <f>Africa!A91+"n/&gt;!622"</f>
        <v>#VALUE!</v>
      </c>
      <c r="FV467" t="e">
        <f>Africa!B91+"n/&gt;!623"</f>
        <v>#VALUE!</v>
      </c>
      <c r="FW467" t="e">
        <f>Africa!C91+"n/&gt;!624"</f>
        <v>#VALUE!</v>
      </c>
      <c r="FX467" t="e">
        <f>Africa!D91+"n/&gt;!625"</f>
        <v>#VALUE!</v>
      </c>
      <c r="FY467" t="e">
        <f>Africa!E91+"n/&gt;!626"</f>
        <v>#VALUE!</v>
      </c>
      <c r="FZ467" t="e">
        <f>Africa!F91+"n/&gt;!627"</f>
        <v>#VALUE!</v>
      </c>
      <c r="GA467" t="e">
        <f>Africa!G91+"n/&gt;!628"</f>
        <v>#VALUE!</v>
      </c>
      <c r="GB467" t="e">
        <f>Africa!H91+"n/&gt;!629"</f>
        <v>#VALUE!</v>
      </c>
      <c r="GC467" t="e">
        <f>Africa!I91+"n/&gt;!62:"</f>
        <v>#VALUE!</v>
      </c>
      <c r="GD467" t="e">
        <f>Africa!A92+"n/&gt;!62;"</f>
        <v>#VALUE!</v>
      </c>
      <c r="GE467" t="e">
        <f>Africa!B92+"n/&gt;!62&lt;"</f>
        <v>#VALUE!</v>
      </c>
      <c r="GF467" t="e">
        <f>Africa!C92+"n/&gt;!62="</f>
        <v>#VALUE!</v>
      </c>
      <c r="GG467" t="e">
        <f>Africa!D92+"n/&gt;!62&gt;"</f>
        <v>#VALUE!</v>
      </c>
      <c r="GH467" t="e">
        <f>Africa!E92+"n/&gt;!62?"</f>
        <v>#VALUE!</v>
      </c>
      <c r="GI467" t="e">
        <f>Africa!F92+"n/&gt;!62@"</f>
        <v>#VALUE!</v>
      </c>
      <c r="GJ467" t="e">
        <f>Africa!G92+"n/&gt;!62A"</f>
        <v>#VALUE!</v>
      </c>
      <c r="GK467" t="e">
        <f>Africa!H92+"n/&gt;!62B"</f>
        <v>#VALUE!</v>
      </c>
      <c r="GL467" t="e">
        <f>Africa!I92+"n/&gt;!62C"</f>
        <v>#VALUE!</v>
      </c>
      <c r="GM467" t="e">
        <f>Africa!A93+"n/&gt;!62D"</f>
        <v>#VALUE!</v>
      </c>
      <c r="GN467" t="e">
        <f>Africa!B93+"n/&gt;!62E"</f>
        <v>#VALUE!</v>
      </c>
      <c r="GO467" t="e">
        <f>Africa!C93+"n/&gt;!62F"</f>
        <v>#VALUE!</v>
      </c>
      <c r="GP467" t="e">
        <f>Africa!D93+"n/&gt;!62G"</f>
        <v>#VALUE!</v>
      </c>
      <c r="GQ467" t="e">
        <f>Africa!E93+"n/&gt;!62H"</f>
        <v>#VALUE!</v>
      </c>
      <c r="GR467" t="e">
        <f>Africa!F93+"n/&gt;!62I"</f>
        <v>#VALUE!</v>
      </c>
      <c r="GS467" t="e">
        <f>Africa!G93+"n/&gt;!62J"</f>
        <v>#VALUE!</v>
      </c>
      <c r="GT467" t="e">
        <f>Africa!H93+"n/&gt;!62K"</f>
        <v>#VALUE!</v>
      </c>
      <c r="GU467" t="e">
        <f>Africa!I93+"n/&gt;!62L"</f>
        <v>#VALUE!</v>
      </c>
      <c r="GV467" t="e">
        <f>Africa!A94+"n/&gt;!62M"</f>
        <v>#VALUE!</v>
      </c>
      <c r="GW467" t="e">
        <f>Africa!B94+"n/&gt;!62N"</f>
        <v>#VALUE!</v>
      </c>
      <c r="GX467" t="e">
        <f>Africa!C94+"n/&gt;!62O"</f>
        <v>#VALUE!</v>
      </c>
      <c r="GY467" t="e">
        <f>Africa!D94+"n/&gt;!62P"</f>
        <v>#VALUE!</v>
      </c>
      <c r="GZ467" t="e">
        <f>Africa!E94+"n/&gt;!62Q"</f>
        <v>#VALUE!</v>
      </c>
      <c r="HA467" t="e">
        <f>Africa!F94+"n/&gt;!62R"</f>
        <v>#VALUE!</v>
      </c>
      <c r="HB467" t="e">
        <f>Africa!G94+"n/&gt;!62S"</f>
        <v>#VALUE!</v>
      </c>
      <c r="HC467" t="e">
        <f>Africa!H94+"n/&gt;!62T"</f>
        <v>#VALUE!</v>
      </c>
      <c r="HD467" t="e">
        <f>Africa!I94+"n/&gt;!62U"</f>
        <v>#VALUE!</v>
      </c>
      <c r="HE467" t="e">
        <f>Africa!A95+"n/&gt;!62V"</f>
        <v>#VALUE!</v>
      </c>
      <c r="HF467" t="e">
        <f>Africa!B95+"n/&gt;!62W"</f>
        <v>#VALUE!</v>
      </c>
      <c r="HG467" t="e">
        <f>Africa!C95+"n/&gt;!62X"</f>
        <v>#VALUE!</v>
      </c>
      <c r="HH467" t="e">
        <f>Africa!D95+"n/&gt;!62Y"</f>
        <v>#VALUE!</v>
      </c>
      <c r="HI467" t="e">
        <f>Africa!E95+"n/&gt;!62Z"</f>
        <v>#VALUE!</v>
      </c>
      <c r="HJ467" t="e">
        <f>Africa!F95+"n/&gt;!62["</f>
        <v>#VALUE!</v>
      </c>
      <c r="HK467" t="e">
        <f>Africa!G95+"n/&gt;!62\"</f>
        <v>#VALUE!</v>
      </c>
      <c r="HL467" t="e">
        <f>Africa!H95+"n/&gt;!62]"</f>
        <v>#VALUE!</v>
      </c>
      <c r="HM467" t="e">
        <f>Africa!I95+"n/&gt;!62^"</f>
        <v>#VALUE!</v>
      </c>
      <c r="HN467" t="e">
        <f>Africa!A96+"n/&gt;!62_"</f>
        <v>#VALUE!</v>
      </c>
      <c r="HO467" t="e">
        <f>Africa!B96+"n/&gt;!62`"</f>
        <v>#VALUE!</v>
      </c>
      <c r="HP467" t="e">
        <f>Africa!C96+"n/&gt;!62a"</f>
        <v>#VALUE!</v>
      </c>
      <c r="HQ467" t="e">
        <f>Africa!D96+"n/&gt;!62b"</f>
        <v>#VALUE!</v>
      </c>
      <c r="HR467" t="e">
        <f>Africa!E96+"n/&gt;!62c"</f>
        <v>#VALUE!</v>
      </c>
      <c r="HS467" t="e">
        <f>Africa!F96+"n/&gt;!62d"</f>
        <v>#VALUE!</v>
      </c>
      <c r="HT467" t="e">
        <f>Africa!G96+"n/&gt;!62e"</f>
        <v>#VALUE!</v>
      </c>
      <c r="HU467" t="e">
        <f>Africa!H96+"n/&gt;!62f"</f>
        <v>#VALUE!</v>
      </c>
      <c r="HV467" t="e">
        <f>Africa!I96+"n/&gt;!62g"</f>
        <v>#VALUE!</v>
      </c>
      <c r="HW467" t="e">
        <f>Africa!A97+"n/&gt;!62h"</f>
        <v>#VALUE!</v>
      </c>
      <c r="HX467" t="e">
        <f>Africa!B97+"n/&gt;!62i"</f>
        <v>#VALUE!</v>
      </c>
      <c r="HY467" t="e">
        <f>Africa!C97+"n/&gt;!62j"</f>
        <v>#VALUE!</v>
      </c>
      <c r="HZ467" t="e">
        <f>Africa!D97+"n/&gt;!62k"</f>
        <v>#VALUE!</v>
      </c>
      <c r="IA467" t="e">
        <f>Africa!E97+"n/&gt;!62l"</f>
        <v>#VALUE!</v>
      </c>
      <c r="IB467" t="e">
        <f>Africa!F97+"n/&gt;!62m"</f>
        <v>#VALUE!</v>
      </c>
      <c r="IC467" t="e">
        <f>Africa!G97+"n/&gt;!62n"</f>
        <v>#VALUE!</v>
      </c>
      <c r="ID467" t="e">
        <f>Africa!H97+"n/&gt;!62o"</f>
        <v>#VALUE!</v>
      </c>
      <c r="IE467" t="e">
        <f>Africa!I97+"n/&gt;!62p"</f>
        <v>#VALUE!</v>
      </c>
      <c r="IF467" t="e">
        <f>Africa!A98+"n/&gt;!62q"</f>
        <v>#VALUE!</v>
      </c>
      <c r="IG467" t="e">
        <f>Africa!B98+"n/&gt;!62r"</f>
        <v>#VALUE!</v>
      </c>
      <c r="IH467" t="e">
        <f>Africa!C98+"n/&gt;!62s"</f>
        <v>#VALUE!</v>
      </c>
      <c r="II467" t="e">
        <f>Africa!D98+"n/&gt;!62t"</f>
        <v>#VALUE!</v>
      </c>
      <c r="IJ467" t="e">
        <f>Africa!E98+"n/&gt;!62u"</f>
        <v>#VALUE!</v>
      </c>
      <c r="IK467" t="e">
        <f>Africa!F98+"n/&gt;!62v"</f>
        <v>#VALUE!</v>
      </c>
      <c r="IL467" t="e">
        <f>Africa!G98+"n/&gt;!62w"</f>
        <v>#VALUE!</v>
      </c>
      <c r="IM467" t="e">
        <f>Africa!H98+"n/&gt;!62x"</f>
        <v>#VALUE!</v>
      </c>
      <c r="IN467" t="e">
        <f>Africa!I98+"n/&gt;!62y"</f>
        <v>#VALUE!</v>
      </c>
      <c r="IO467" t="e">
        <f>Africa!A99+"n/&gt;!62z"</f>
        <v>#VALUE!</v>
      </c>
      <c r="IP467" t="e">
        <f>Africa!B99+"n/&gt;!62{"</f>
        <v>#VALUE!</v>
      </c>
      <c r="IQ467" t="e">
        <f>Africa!C99+"n/&gt;!62|"</f>
        <v>#VALUE!</v>
      </c>
      <c r="IR467" t="e">
        <f>Africa!D99+"n/&gt;!62}"</f>
        <v>#VALUE!</v>
      </c>
      <c r="IS467" t="e">
        <f>Africa!E99+"n/&gt;!62~"</f>
        <v>#VALUE!</v>
      </c>
      <c r="IT467" t="e">
        <f>Africa!F99+"n/&gt;!63#"</f>
        <v>#VALUE!</v>
      </c>
      <c r="IU467" t="e">
        <f>Africa!G99+"n/&gt;!63$"</f>
        <v>#VALUE!</v>
      </c>
      <c r="IV467" t="e">
        <f>Africa!H99+"n/&gt;!63%"</f>
        <v>#VALUE!</v>
      </c>
    </row>
    <row r="468" spans="6:256" x14ac:dyDescent="0.35">
      <c r="F468" t="e">
        <f>Africa!I99+"n/&gt;!63&amp;"</f>
        <v>#VALUE!</v>
      </c>
      <c r="G468" t="e">
        <f>Africa!A100+"n/&gt;!63'"</f>
        <v>#VALUE!</v>
      </c>
      <c r="H468" t="e">
        <f>Africa!B100+"n/&gt;!63("</f>
        <v>#VALUE!</v>
      </c>
      <c r="I468" t="e">
        <f>Africa!C100+"n/&gt;!63)"</f>
        <v>#VALUE!</v>
      </c>
      <c r="J468" t="e">
        <f>Africa!D100+"n/&gt;!63."</f>
        <v>#VALUE!</v>
      </c>
      <c r="K468" t="e">
        <f>Africa!E100+"n/&gt;!63/"</f>
        <v>#VALUE!</v>
      </c>
      <c r="L468" t="e">
        <f>Africa!F100+"n/&gt;!630"</f>
        <v>#VALUE!</v>
      </c>
      <c r="M468" t="e">
        <f>Africa!G100+"n/&gt;!631"</f>
        <v>#VALUE!</v>
      </c>
      <c r="N468" t="e">
        <f>Africa!H100+"n/&gt;!632"</f>
        <v>#VALUE!</v>
      </c>
      <c r="O468" t="e">
        <f>Africa!I100+"n/&gt;!633"</f>
        <v>#VALUE!</v>
      </c>
      <c r="P468" t="e">
        <f>Africa!A101+"n/&gt;!634"</f>
        <v>#VALUE!</v>
      </c>
      <c r="Q468" t="e">
        <f>Africa!B101+"n/&gt;!635"</f>
        <v>#VALUE!</v>
      </c>
      <c r="R468" t="e">
        <f>Africa!C101+"n/&gt;!636"</f>
        <v>#VALUE!</v>
      </c>
      <c r="S468" t="e">
        <f>Africa!D101+"n/&gt;!637"</f>
        <v>#VALUE!</v>
      </c>
      <c r="T468" t="e">
        <f>Africa!E101+"n/&gt;!638"</f>
        <v>#VALUE!</v>
      </c>
      <c r="U468" t="e">
        <f>Africa!F101+"n/&gt;!639"</f>
        <v>#VALUE!</v>
      </c>
      <c r="V468" t="e">
        <f>Africa!G101+"n/&gt;!63:"</f>
        <v>#VALUE!</v>
      </c>
      <c r="W468" t="e">
        <f>Africa!H101+"n/&gt;!63;"</f>
        <v>#VALUE!</v>
      </c>
      <c r="X468" t="e">
        <f>Africa!I101+"n/&gt;!63&lt;"</f>
        <v>#VALUE!</v>
      </c>
      <c r="Y468" t="e">
        <f>Africa!A102+"n/&gt;!63="</f>
        <v>#VALUE!</v>
      </c>
      <c r="Z468" t="e">
        <f>Africa!B102+"n/&gt;!63&gt;"</f>
        <v>#VALUE!</v>
      </c>
      <c r="AA468" t="e">
        <f>Africa!C102+"n/&gt;!63?"</f>
        <v>#VALUE!</v>
      </c>
      <c r="AB468" t="e">
        <f>Africa!D102+"n/&gt;!63@"</f>
        <v>#VALUE!</v>
      </c>
      <c r="AC468" t="e">
        <f>Africa!E102+"n/&gt;!63A"</f>
        <v>#VALUE!</v>
      </c>
      <c r="AD468" t="e">
        <f>Africa!F102+"n/&gt;!63B"</f>
        <v>#VALUE!</v>
      </c>
      <c r="AE468" t="e">
        <f>Africa!G102+"n/&gt;!63C"</f>
        <v>#VALUE!</v>
      </c>
      <c r="AF468" t="e">
        <f>Africa!H102+"n/&gt;!63D"</f>
        <v>#VALUE!</v>
      </c>
      <c r="AG468" t="e">
        <f>Africa!I102+"n/&gt;!63E"</f>
        <v>#VALUE!</v>
      </c>
      <c r="AH468" t="e">
        <f>Africa!A103+"n/&gt;!63F"</f>
        <v>#VALUE!</v>
      </c>
      <c r="AI468" t="e">
        <f>Africa!B103+"n/&gt;!63G"</f>
        <v>#VALUE!</v>
      </c>
      <c r="AJ468" t="e">
        <f>Africa!C103+"n/&gt;!63H"</f>
        <v>#VALUE!</v>
      </c>
      <c r="AK468" t="e">
        <f>Africa!D103+"n/&gt;!63I"</f>
        <v>#VALUE!</v>
      </c>
      <c r="AL468" t="e">
        <f>Africa!E103+"n/&gt;!63J"</f>
        <v>#VALUE!</v>
      </c>
      <c r="AM468" t="e">
        <f>Africa!F103+"n/&gt;!63K"</f>
        <v>#VALUE!</v>
      </c>
      <c r="AN468" t="e">
        <f>Africa!G103+"n/&gt;!63L"</f>
        <v>#VALUE!</v>
      </c>
      <c r="AO468" t="e">
        <f>Africa!H103+"n/&gt;!63M"</f>
        <v>#VALUE!</v>
      </c>
      <c r="AP468" t="e">
        <f>Africa!I103+"n/&gt;!63N"</f>
        <v>#VALUE!</v>
      </c>
      <c r="AQ468" t="e">
        <f>Africa!A104+"n/&gt;!63O"</f>
        <v>#VALUE!</v>
      </c>
      <c r="AR468" t="e">
        <f>Africa!B104+"n/&gt;!63P"</f>
        <v>#VALUE!</v>
      </c>
      <c r="AS468" t="e">
        <f>Africa!C104+"n/&gt;!63Q"</f>
        <v>#VALUE!</v>
      </c>
      <c r="AT468" t="e">
        <f>Africa!D104+"n/&gt;!63R"</f>
        <v>#VALUE!</v>
      </c>
      <c r="AU468" t="e">
        <f>Africa!E104+"n/&gt;!63S"</f>
        <v>#VALUE!</v>
      </c>
      <c r="AV468" t="e">
        <f>Africa!F104+"n/&gt;!63T"</f>
        <v>#VALUE!</v>
      </c>
      <c r="AW468" t="e">
        <f>Africa!G104+"n/&gt;!63U"</f>
        <v>#VALUE!</v>
      </c>
      <c r="AX468" t="e">
        <f>Africa!H104+"n/&gt;!63V"</f>
        <v>#VALUE!</v>
      </c>
      <c r="AY468" t="e">
        <f>Africa!I104+"n/&gt;!63W"</f>
        <v>#VALUE!</v>
      </c>
      <c r="AZ468" t="e">
        <f>Africa!A105+"n/&gt;!63X"</f>
        <v>#VALUE!</v>
      </c>
      <c r="BA468" t="e">
        <f>Africa!B105+"n/&gt;!63Y"</f>
        <v>#VALUE!</v>
      </c>
      <c r="BB468" t="e">
        <f>Africa!C105+"n/&gt;!63Z"</f>
        <v>#VALUE!</v>
      </c>
      <c r="BC468" t="e">
        <f>Africa!D105+"n/&gt;!63["</f>
        <v>#VALUE!</v>
      </c>
      <c r="BD468" t="e">
        <f>Africa!E105+"n/&gt;!63\"</f>
        <v>#VALUE!</v>
      </c>
      <c r="BE468" t="e">
        <f>Africa!F105+"n/&gt;!63]"</f>
        <v>#VALUE!</v>
      </c>
      <c r="BF468" t="e">
        <f>Africa!G105+"n/&gt;!63^"</f>
        <v>#VALUE!</v>
      </c>
      <c r="BG468" t="e">
        <f>Africa!H105+"n/&gt;!63_"</f>
        <v>#VALUE!</v>
      </c>
      <c r="BH468" t="e">
        <f>Africa!I105+"n/&gt;!63`"</f>
        <v>#VALUE!</v>
      </c>
      <c r="BI468" t="e">
        <f>Africa!A106+"n/&gt;!63a"</f>
        <v>#VALUE!</v>
      </c>
      <c r="BJ468" t="e">
        <f>Africa!B106+"n/&gt;!63b"</f>
        <v>#VALUE!</v>
      </c>
      <c r="BK468" t="e">
        <f>Africa!C106+"n/&gt;!63c"</f>
        <v>#VALUE!</v>
      </c>
      <c r="BL468" t="e">
        <f>Africa!D106+"n/&gt;!63d"</f>
        <v>#VALUE!</v>
      </c>
      <c r="BM468" t="e">
        <f>Africa!E106+"n/&gt;!63e"</f>
        <v>#VALUE!</v>
      </c>
      <c r="BN468" t="e">
        <f>Africa!F106+"n/&gt;!63f"</f>
        <v>#VALUE!</v>
      </c>
      <c r="BO468" t="e">
        <f>Africa!G106+"n/&gt;!63g"</f>
        <v>#VALUE!</v>
      </c>
      <c r="BP468" t="e">
        <f>Africa!H106+"n/&gt;!63h"</f>
        <v>#VALUE!</v>
      </c>
      <c r="BQ468" t="e">
        <f>Africa!I106+"n/&gt;!63i"</f>
        <v>#VALUE!</v>
      </c>
      <c r="BR468" t="e">
        <f>Africa!A107+"n/&gt;!63j"</f>
        <v>#VALUE!</v>
      </c>
      <c r="BS468" t="e">
        <f>Africa!B107+"n/&gt;!63k"</f>
        <v>#VALUE!</v>
      </c>
      <c r="BT468" t="e">
        <f>Africa!C107+"n/&gt;!63l"</f>
        <v>#VALUE!</v>
      </c>
      <c r="BU468" t="e">
        <f>Africa!D107+"n/&gt;!63m"</f>
        <v>#VALUE!</v>
      </c>
      <c r="BV468" t="e">
        <f>Africa!E107+"n/&gt;!63n"</f>
        <v>#VALUE!</v>
      </c>
      <c r="BW468" t="e">
        <f>Africa!F107+"n/&gt;!63o"</f>
        <v>#VALUE!</v>
      </c>
      <c r="BX468" t="e">
        <f>Africa!G107+"n/&gt;!63p"</f>
        <v>#VALUE!</v>
      </c>
      <c r="BY468" t="e">
        <f>Africa!H107+"n/&gt;!63q"</f>
        <v>#VALUE!</v>
      </c>
      <c r="BZ468" t="e">
        <f>Africa!I107+"n/&gt;!63r"</f>
        <v>#VALUE!</v>
      </c>
      <c r="CA468" t="e">
        <f>Africa!A108+"n/&gt;!63s"</f>
        <v>#VALUE!</v>
      </c>
      <c r="CB468" t="e">
        <f>Africa!B108+"n/&gt;!63t"</f>
        <v>#VALUE!</v>
      </c>
      <c r="CC468" t="e">
        <f>Africa!C108+"n/&gt;!63u"</f>
        <v>#VALUE!</v>
      </c>
      <c r="CD468" t="e">
        <f>Africa!D108+"n/&gt;!63v"</f>
        <v>#VALUE!</v>
      </c>
      <c r="CE468" t="e">
        <f>Africa!E108+"n/&gt;!63w"</f>
        <v>#VALUE!</v>
      </c>
      <c r="CF468" t="e">
        <f>Africa!F108+"n/&gt;!63x"</f>
        <v>#VALUE!</v>
      </c>
      <c r="CG468" t="e">
        <f>Africa!G108+"n/&gt;!63y"</f>
        <v>#VALUE!</v>
      </c>
      <c r="CH468" t="e">
        <f>Africa!H108+"n/&gt;!63z"</f>
        <v>#VALUE!</v>
      </c>
      <c r="CI468" t="e">
        <f>Africa!I108+"n/&gt;!63{"</f>
        <v>#VALUE!</v>
      </c>
      <c r="CJ468" t="e">
        <f>Africa!A109+"n/&gt;!63|"</f>
        <v>#VALUE!</v>
      </c>
      <c r="CK468" t="e">
        <f>Africa!B109+"n/&gt;!63}"</f>
        <v>#VALUE!</v>
      </c>
      <c r="CL468" t="e">
        <f>Africa!C109+"n/&gt;!63~"</f>
        <v>#VALUE!</v>
      </c>
      <c r="CM468" t="e">
        <f>Africa!D109+"n/&gt;!64#"</f>
        <v>#VALUE!</v>
      </c>
      <c r="CN468" t="e">
        <f>Africa!E109+"n/&gt;!64$"</f>
        <v>#VALUE!</v>
      </c>
      <c r="CO468" t="e">
        <f>Africa!F109+"n/&gt;!64%"</f>
        <v>#VALUE!</v>
      </c>
      <c r="CP468" t="e">
        <f>Africa!G109+"n/&gt;!64&amp;"</f>
        <v>#VALUE!</v>
      </c>
      <c r="CQ468" t="e">
        <f>Africa!H109+"n/&gt;!64'"</f>
        <v>#VALUE!</v>
      </c>
      <c r="CR468" t="e">
        <f>Africa!I109+"n/&gt;!64("</f>
        <v>#VALUE!</v>
      </c>
      <c r="CS468" t="e">
        <f>Africa!A110+"n/&gt;!64)"</f>
        <v>#VALUE!</v>
      </c>
      <c r="CT468" t="e">
        <f>Africa!B110+"n/&gt;!64."</f>
        <v>#VALUE!</v>
      </c>
      <c r="CU468" t="e">
        <f>Africa!C110+"n/&gt;!64/"</f>
        <v>#VALUE!</v>
      </c>
      <c r="CV468" t="e">
        <f>Africa!D110+"n/&gt;!640"</f>
        <v>#VALUE!</v>
      </c>
      <c r="CW468" t="e">
        <f>Africa!E110+"n/&gt;!641"</f>
        <v>#VALUE!</v>
      </c>
      <c r="CX468" t="e">
        <f>Africa!F110+"n/&gt;!642"</f>
        <v>#VALUE!</v>
      </c>
      <c r="CY468" t="e">
        <f>Africa!G110+"n/&gt;!643"</f>
        <v>#VALUE!</v>
      </c>
      <c r="CZ468" t="e">
        <f>Africa!H110+"n/&gt;!644"</f>
        <v>#VALUE!</v>
      </c>
      <c r="DA468" t="e">
        <f>Africa!I110+"n/&gt;!645"</f>
        <v>#VALUE!</v>
      </c>
      <c r="DB468" t="e">
        <f>Africa!A111+"n/&gt;!646"</f>
        <v>#VALUE!</v>
      </c>
      <c r="DC468" t="e">
        <f>Africa!B111+"n/&gt;!647"</f>
        <v>#VALUE!</v>
      </c>
      <c r="DD468" t="e">
        <f>Africa!C111+"n/&gt;!648"</f>
        <v>#VALUE!</v>
      </c>
      <c r="DE468" t="e">
        <f>Africa!D111+"n/&gt;!649"</f>
        <v>#VALUE!</v>
      </c>
      <c r="DF468" t="e">
        <f>Africa!E111+"n/&gt;!64:"</f>
        <v>#VALUE!</v>
      </c>
      <c r="DG468" t="e">
        <f>Africa!F111+"n/&gt;!64;"</f>
        <v>#VALUE!</v>
      </c>
      <c r="DH468" t="e">
        <f>Africa!G111+"n/&gt;!64&lt;"</f>
        <v>#VALUE!</v>
      </c>
      <c r="DI468" t="e">
        <f>Africa!H111+"n/&gt;!64="</f>
        <v>#VALUE!</v>
      </c>
      <c r="DJ468" t="e">
        <f>Africa!I111+"n/&gt;!64&gt;"</f>
        <v>#VALUE!</v>
      </c>
      <c r="DK468" t="e">
        <f>Africa!A112+"n/&gt;!64?"</f>
        <v>#VALUE!</v>
      </c>
      <c r="DL468" t="e">
        <f>Africa!B112+"n/&gt;!64@"</f>
        <v>#VALUE!</v>
      </c>
      <c r="DM468" t="e">
        <f>Africa!C112+"n/&gt;!64A"</f>
        <v>#VALUE!</v>
      </c>
      <c r="DN468" t="e">
        <f>Africa!D112+"n/&gt;!64B"</f>
        <v>#VALUE!</v>
      </c>
      <c r="DO468" t="e">
        <f>Africa!E112+"n/&gt;!64C"</f>
        <v>#VALUE!</v>
      </c>
      <c r="DP468" t="e">
        <f>Africa!F112+"n/&gt;!64D"</f>
        <v>#VALUE!</v>
      </c>
      <c r="DQ468" t="e">
        <f>Africa!G112+"n/&gt;!64E"</f>
        <v>#VALUE!</v>
      </c>
      <c r="DR468" t="e">
        <f>Africa!H112+"n/&gt;!64F"</f>
        <v>#VALUE!</v>
      </c>
      <c r="DS468" t="e">
        <f>Africa!I112+"n/&gt;!64G"</f>
        <v>#VALUE!</v>
      </c>
      <c r="DT468" t="e">
        <f>Africa!A113+"n/&gt;!64H"</f>
        <v>#VALUE!</v>
      </c>
      <c r="DU468" t="e">
        <f>Africa!B113+"n/&gt;!64I"</f>
        <v>#VALUE!</v>
      </c>
      <c r="DV468" t="e">
        <f>Africa!C113+"n/&gt;!64J"</f>
        <v>#VALUE!</v>
      </c>
      <c r="DW468" t="e">
        <f>Africa!D113+"n/&gt;!64K"</f>
        <v>#VALUE!</v>
      </c>
      <c r="DX468" t="e">
        <f>Africa!E113+"n/&gt;!64L"</f>
        <v>#VALUE!</v>
      </c>
      <c r="DY468" t="e">
        <f>Africa!F113+"n/&gt;!64M"</f>
        <v>#VALUE!</v>
      </c>
      <c r="DZ468" t="e">
        <f>Africa!G113+"n/&gt;!64N"</f>
        <v>#VALUE!</v>
      </c>
      <c r="EA468" t="e">
        <f>Africa!H113+"n/&gt;!64O"</f>
        <v>#VALUE!</v>
      </c>
      <c r="EB468" t="e">
        <f>Africa!I113+"n/&gt;!64P"</f>
        <v>#VALUE!</v>
      </c>
      <c r="EC468" t="e">
        <f>Africa!A114+"n/&gt;!64Q"</f>
        <v>#VALUE!</v>
      </c>
      <c r="ED468" t="e">
        <f>Africa!B114+"n/&gt;!64R"</f>
        <v>#VALUE!</v>
      </c>
      <c r="EE468" t="e">
        <f>Africa!C114+"n/&gt;!64S"</f>
        <v>#VALUE!</v>
      </c>
      <c r="EF468" t="e">
        <f>Africa!D114+"n/&gt;!64T"</f>
        <v>#VALUE!</v>
      </c>
      <c r="EG468" t="e">
        <f>Africa!E114+"n/&gt;!64U"</f>
        <v>#VALUE!</v>
      </c>
      <c r="EH468" t="e">
        <f>Africa!F114+"n/&gt;!64V"</f>
        <v>#VALUE!</v>
      </c>
      <c r="EI468" t="e">
        <f>Africa!G114+"n/&gt;!64W"</f>
        <v>#VALUE!</v>
      </c>
      <c r="EJ468" t="e">
        <f>Africa!H114+"n/&gt;!64X"</f>
        <v>#VALUE!</v>
      </c>
      <c r="EK468" t="e">
        <f>Africa!I114+"n/&gt;!64Y"</f>
        <v>#VALUE!</v>
      </c>
      <c r="EL468" t="e">
        <f>Africa!A115+"n/&gt;!64Z"</f>
        <v>#VALUE!</v>
      </c>
      <c r="EM468" t="e">
        <f>Africa!B115+"n/&gt;!64["</f>
        <v>#VALUE!</v>
      </c>
      <c r="EN468" t="e">
        <f>Africa!C115+"n/&gt;!64\"</f>
        <v>#VALUE!</v>
      </c>
      <c r="EO468" t="e">
        <f>Africa!D115+"n/&gt;!64]"</f>
        <v>#VALUE!</v>
      </c>
      <c r="EP468" t="e">
        <f>Africa!E115+"n/&gt;!64^"</f>
        <v>#VALUE!</v>
      </c>
      <c r="EQ468" t="e">
        <f>Africa!F115+"n/&gt;!64_"</f>
        <v>#VALUE!</v>
      </c>
      <c r="ER468" t="e">
        <f>Africa!G115+"n/&gt;!64`"</f>
        <v>#VALUE!</v>
      </c>
      <c r="ES468" t="e">
        <f>Africa!H115+"n/&gt;!64a"</f>
        <v>#VALUE!</v>
      </c>
      <c r="ET468" t="e">
        <f>Africa!I115+"n/&gt;!64b"</f>
        <v>#VALUE!</v>
      </c>
      <c r="EU468" t="e">
        <f>Africa!A116+"n/&gt;!64c"</f>
        <v>#VALUE!</v>
      </c>
      <c r="EV468" t="e">
        <f>Africa!B116+"n/&gt;!64d"</f>
        <v>#VALUE!</v>
      </c>
      <c r="EW468" t="e">
        <f>Africa!C116+"n/&gt;!64e"</f>
        <v>#VALUE!</v>
      </c>
      <c r="EX468" t="e">
        <f>Africa!D116+"n/&gt;!64f"</f>
        <v>#VALUE!</v>
      </c>
      <c r="EY468" t="e">
        <f>Africa!E116+"n/&gt;!64g"</f>
        <v>#VALUE!</v>
      </c>
      <c r="EZ468" t="e">
        <f>Africa!F116+"n/&gt;!64h"</f>
        <v>#VALUE!</v>
      </c>
      <c r="FA468" t="e">
        <f>Africa!G116+"n/&gt;!64i"</f>
        <v>#VALUE!</v>
      </c>
      <c r="FB468" t="e">
        <f>Africa!H116+"n/&gt;!64j"</f>
        <v>#VALUE!</v>
      </c>
      <c r="FC468" t="e">
        <f>Africa!I116+"n/&gt;!64k"</f>
        <v>#VALUE!</v>
      </c>
      <c r="FD468" t="e">
        <f>Africa!A117+"n/&gt;!64l"</f>
        <v>#VALUE!</v>
      </c>
      <c r="FE468" t="e">
        <f>Africa!B117+"n/&gt;!64m"</f>
        <v>#VALUE!</v>
      </c>
      <c r="FF468" t="e">
        <f>Africa!C117+"n/&gt;!64n"</f>
        <v>#VALUE!</v>
      </c>
      <c r="FG468" t="e">
        <f>Africa!D117+"n/&gt;!64o"</f>
        <v>#VALUE!</v>
      </c>
      <c r="FH468" t="e">
        <f>Africa!E117+"n/&gt;!64p"</f>
        <v>#VALUE!</v>
      </c>
      <c r="FI468" t="e">
        <f>Africa!F117+"n/&gt;!64q"</f>
        <v>#VALUE!</v>
      </c>
      <c r="FJ468" t="e">
        <f>Africa!G117+"n/&gt;!64r"</f>
        <v>#VALUE!</v>
      </c>
      <c r="FK468" t="e">
        <f>Africa!H117+"n/&gt;!64s"</f>
        <v>#VALUE!</v>
      </c>
      <c r="FL468" t="e">
        <f>Africa!I117+"n/&gt;!64t"</f>
        <v>#VALUE!</v>
      </c>
      <c r="FM468" t="e">
        <f>Africa!A118+"n/&gt;!64u"</f>
        <v>#VALUE!</v>
      </c>
      <c r="FN468" t="e">
        <f>Africa!B118+"n/&gt;!64v"</f>
        <v>#VALUE!</v>
      </c>
      <c r="FO468" t="e">
        <f>Africa!C118+"n/&gt;!64w"</f>
        <v>#VALUE!</v>
      </c>
      <c r="FP468" t="e">
        <f>Africa!D118+"n/&gt;!64x"</f>
        <v>#VALUE!</v>
      </c>
      <c r="FQ468" t="e">
        <f>Africa!E118+"n/&gt;!64y"</f>
        <v>#VALUE!</v>
      </c>
      <c r="FR468" t="e">
        <f>Africa!F118+"n/&gt;!64z"</f>
        <v>#VALUE!</v>
      </c>
      <c r="FS468" t="e">
        <f>Africa!G118+"n/&gt;!64{"</f>
        <v>#VALUE!</v>
      </c>
      <c r="FT468" t="e">
        <f>Africa!H118+"n/&gt;!64|"</f>
        <v>#VALUE!</v>
      </c>
      <c r="FU468" t="e">
        <f>Africa!A119+"n/&gt;!64}"</f>
        <v>#VALUE!</v>
      </c>
      <c r="FV468" t="e">
        <f>Africa!B119+"n/&gt;!64~"</f>
        <v>#VALUE!</v>
      </c>
      <c r="FW468" t="e">
        <f>Africa!C119+"n/&gt;!65#"</f>
        <v>#VALUE!</v>
      </c>
      <c r="FX468" t="e">
        <f>Africa!D119+"n/&gt;!65$"</f>
        <v>#VALUE!</v>
      </c>
      <c r="FY468" t="e">
        <f>Africa!E119+"n/&gt;!65%"</f>
        <v>#VALUE!</v>
      </c>
      <c r="FZ468" t="e">
        <f>Africa!F119+"n/&gt;!65&amp;"</f>
        <v>#VALUE!</v>
      </c>
      <c r="GA468" t="e">
        <f>Africa!G119+"n/&gt;!65'"</f>
        <v>#VALUE!</v>
      </c>
      <c r="GB468" t="e">
        <f>Africa!H119+"n/&gt;!65("</f>
        <v>#VALUE!</v>
      </c>
      <c r="GC468" t="e">
        <f>Africa!I119+"n/&gt;!65)"</f>
        <v>#VALUE!</v>
      </c>
      <c r="GD468" t="e">
        <f>Africa!A120+"n/&gt;!65."</f>
        <v>#VALUE!</v>
      </c>
      <c r="GE468" t="e">
        <f>Africa!B120+"n/&gt;!65/"</f>
        <v>#VALUE!</v>
      </c>
      <c r="GF468" t="e">
        <f>Africa!C120+"n/&gt;!650"</f>
        <v>#VALUE!</v>
      </c>
      <c r="GG468" t="e">
        <f>Africa!D120+"n/&gt;!651"</f>
        <v>#VALUE!</v>
      </c>
      <c r="GH468" t="e">
        <f>Africa!E120+"n/&gt;!652"</f>
        <v>#VALUE!</v>
      </c>
      <c r="GI468" t="e">
        <f>Africa!F120+"n/&gt;!653"</f>
        <v>#VALUE!</v>
      </c>
      <c r="GJ468" t="e">
        <f>Africa!G120+"n/&gt;!654"</f>
        <v>#VALUE!</v>
      </c>
      <c r="GK468" t="e">
        <f>Africa!H120+"n/&gt;!655"</f>
        <v>#VALUE!</v>
      </c>
      <c r="GL468" t="e">
        <f>Africa!I120+"n/&gt;!656"</f>
        <v>#VALUE!</v>
      </c>
      <c r="GM468" t="e">
        <f>Africa!A121+"n/&gt;!657"</f>
        <v>#VALUE!</v>
      </c>
      <c r="GN468" t="e">
        <f>Africa!B121+"n/&gt;!658"</f>
        <v>#VALUE!</v>
      </c>
      <c r="GO468" t="e">
        <f>Africa!C121+"n/&gt;!659"</f>
        <v>#VALUE!</v>
      </c>
      <c r="GP468" t="e">
        <f>Africa!D121+"n/&gt;!65:"</f>
        <v>#VALUE!</v>
      </c>
      <c r="GQ468" t="e">
        <f>Africa!E121+"n/&gt;!65;"</f>
        <v>#VALUE!</v>
      </c>
      <c r="GR468" t="e">
        <f>Africa!F121+"n/&gt;!65&lt;"</f>
        <v>#VALUE!</v>
      </c>
      <c r="GS468" t="e">
        <f>Africa!G121+"n/&gt;!65="</f>
        <v>#VALUE!</v>
      </c>
      <c r="GT468" t="e">
        <f>Africa!H121+"n/&gt;!65&gt;"</f>
        <v>#VALUE!</v>
      </c>
      <c r="GU468" t="e">
        <f>Africa!I121+"n/&gt;!65?"</f>
        <v>#VALUE!</v>
      </c>
      <c r="GV468" t="e">
        <f>Africa!A122+"n/&gt;!65@"</f>
        <v>#VALUE!</v>
      </c>
      <c r="GW468" t="e">
        <f>Africa!B122+"n/&gt;!65A"</f>
        <v>#VALUE!</v>
      </c>
      <c r="GX468" t="e">
        <f>Africa!C122+"n/&gt;!65B"</f>
        <v>#VALUE!</v>
      </c>
      <c r="GY468" t="e">
        <f>Africa!D122+"n/&gt;!65C"</f>
        <v>#VALUE!</v>
      </c>
      <c r="GZ468" t="e">
        <f>Africa!E122+"n/&gt;!65D"</f>
        <v>#VALUE!</v>
      </c>
      <c r="HA468" t="e">
        <f>Africa!F122+"n/&gt;!65E"</f>
        <v>#VALUE!</v>
      </c>
      <c r="HB468" t="e">
        <f>Africa!G122+"n/&gt;!65F"</f>
        <v>#VALUE!</v>
      </c>
      <c r="HC468" t="e">
        <f>Africa!H122+"n/&gt;!65G"</f>
        <v>#VALUE!</v>
      </c>
      <c r="HD468" t="e">
        <f>Africa!I122+"n/&gt;!65H"</f>
        <v>#VALUE!</v>
      </c>
      <c r="HE468" t="e">
        <f>Africa!A123+"n/&gt;!65I"</f>
        <v>#VALUE!</v>
      </c>
      <c r="HF468" t="e">
        <f>Africa!B123+"n/&gt;!65J"</f>
        <v>#VALUE!</v>
      </c>
      <c r="HG468" t="e">
        <f>Africa!C123+"n/&gt;!65K"</f>
        <v>#VALUE!</v>
      </c>
      <c r="HH468" t="e">
        <f>Africa!D123+"n/&gt;!65L"</f>
        <v>#VALUE!</v>
      </c>
      <c r="HI468" t="e">
        <f>Africa!E123+"n/&gt;!65M"</f>
        <v>#VALUE!</v>
      </c>
      <c r="HJ468" t="e">
        <f>Africa!F123+"n/&gt;!65N"</f>
        <v>#VALUE!</v>
      </c>
      <c r="HK468" t="e">
        <f>Africa!G123+"n/&gt;!65O"</f>
        <v>#VALUE!</v>
      </c>
      <c r="HL468" t="e">
        <f>Africa!H123+"n/&gt;!65P"</f>
        <v>#VALUE!</v>
      </c>
      <c r="HM468" t="e">
        <f>Africa!I123+"n/&gt;!65Q"</f>
        <v>#VALUE!</v>
      </c>
      <c r="HN468" t="e">
        <f>Africa!A124+"n/&gt;!65R"</f>
        <v>#VALUE!</v>
      </c>
      <c r="HO468" t="e">
        <f>Africa!B124+"n/&gt;!65S"</f>
        <v>#VALUE!</v>
      </c>
      <c r="HP468" t="e">
        <f>Africa!C124+"n/&gt;!65T"</f>
        <v>#VALUE!</v>
      </c>
      <c r="HQ468" t="e">
        <f>Africa!D124+"n/&gt;!65U"</f>
        <v>#VALUE!</v>
      </c>
      <c r="HR468" t="e">
        <f>Africa!E124+"n/&gt;!65V"</f>
        <v>#VALUE!</v>
      </c>
      <c r="HS468" t="e">
        <f>Africa!F124+"n/&gt;!65W"</f>
        <v>#VALUE!</v>
      </c>
      <c r="HT468" t="e">
        <f>Africa!G124+"n/&gt;!65X"</f>
        <v>#VALUE!</v>
      </c>
      <c r="HU468" t="e">
        <f>Africa!H124+"n/&gt;!65Y"</f>
        <v>#VALUE!</v>
      </c>
      <c r="HV468" t="e">
        <f>Africa!I124+"n/&gt;!65Z"</f>
        <v>#VALUE!</v>
      </c>
      <c r="HW468" t="e">
        <f>Africa!A125+"n/&gt;!65["</f>
        <v>#VALUE!</v>
      </c>
      <c r="HX468" t="e">
        <f>Africa!B125+"n/&gt;!65\"</f>
        <v>#VALUE!</v>
      </c>
      <c r="HY468" t="e">
        <f>Africa!C125+"n/&gt;!65]"</f>
        <v>#VALUE!</v>
      </c>
      <c r="HZ468" t="e">
        <f>Africa!D125+"n/&gt;!65^"</f>
        <v>#VALUE!</v>
      </c>
      <c r="IA468" t="e">
        <f>Africa!E125+"n/&gt;!65_"</f>
        <v>#VALUE!</v>
      </c>
      <c r="IB468" t="e">
        <f>Africa!F125+"n/&gt;!65`"</f>
        <v>#VALUE!</v>
      </c>
      <c r="IC468" t="e">
        <f>Africa!G125+"n/&gt;!65a"</f>
        <v>#VALUE!</v>
      </c>
      <c r="ID468" t="e">
        <f>Africa!H125+"n/&gt;!65b"</f>
        <v>#VALUE!</v>
      </c>
      <c r="IE468" t="e">
        <f>Africa!I125+"n/&gt;!65c"</f>
        <v>#VALUE!</v>
      </c>
      <c r="IF468" t="e">
        <f>Africa!A126+"n/&gt;!65d"</f>
        <v>#VALUE!</v>
      </c>
      <c r="IG468" t="e">
        <f>Africa!B126+"n/&gt;!65e"</f>
        <v>#VALUE!</v>
      </c>
      <c r="IH468" t="e">
        <f>Africa!C126+"n/&gt;!65f"</f>
        <v>#VALUE!</v>
      </c>
      <c r="II468" t="e">
        <f>Africa!D126+"n/&gt;!65g"</f>
        <v>#VALUE!</v>
      </c>
      <c r="IJ468" t="e">
        <f>Africa!E126+"n/&gt;!65h"</f>
        <v>#VALUE!</v>
      </c>
      <c r="IK468" t="e">
        <f>Africa!F126+"n/&gt;!65i"</f>
        <v>#VALUE!</v>
      </c>
      <c r="IL468" t="e">
        <f>Africa!G126+"n/&gt;!65j"</f>
        <v>#VALUE!</v>
      </c>
      <c r="IM468" t="e">
        <f>Africa!H126+"n/&gt;!65k"</f>
        <v>#VALUE!</v>
      </c>
      <c r="IN468" t="e">
        <f>Africa!I126+"n/&gt;!65l"</f>
        <v>#VALUE!</v>
      </c>
      <c r="IO468" t="e">
        <f>Africa!A127+"n/&gt;!65m"</f>
        <v>#VALUE!</v>
      </c>
      <c r="IP468" t="e">
        <f>Africa!B127+"n/&gt;!65n"</f>
        <v>#VALUE!</v>
      </c>
      <c r="IQ468" t="e">
        <f>Africa!C127+"n/&gt;!65o"</f>
        <v>#VALUE!</v>
      </c>
      <c r="IR468" t="e">
        <f>Africa!D127+"n/&gt;!65p"</f>
        <v>#VALUE!</v>
      </c>
      <c r="IS468" t="e">
        <f>Africa!E127+"n/&gt;!65q"</f>
        <v>#VALUE!</v>
      </c>
      <c r="IT468" t="e">
        <f>Africa!F127+"n/&gt;!65r"</f>
        <v>#VALUE!</v>
      </c>
      <c r="IU468" t="e">
        <f>Africa!G127+"n/&gt;!65s"</f>
        <v>#VALUE!</v>
      </c>
      <c r="IV468" t="e">
        <f>Africa!H127+"n/&gt;!65t"</f>
        <v>#VALUE!</v>
      </c>
    </row>
    <row r="469" spans="6:256" x14ac:dyDescent="0.35">
      <c r="F469" t="e">
        <f>Africa!I127+"n/&gt;!65u"</f>
        <v>#VALUE!</v>
      </c>
      <c r="G469" t="e">
        <f>Africa!A128+"n/&gt;!65v"</f>
        <v>#VALUE!</v>
      </c>
      <c r="H469" t="e">
        <f>Africa!B128+"n/&gt;!65w"</f>
        <v>#VALUE!</v>
      </c>
      <c r="I469" t="e">
        <f>Africa!C128+"n/&gt;!65x"</f>
        <v>#VALUE!</v>
      </c>
      <c r="J469" t="e">
        <f>Africa!D128+"n/&gt;!65y"</f>
        <v>#VALUE!</v>
      </c>
      <c r="K469" t="e">
        <f>Africa!E128+"n/&gt;!65z"</f>
        <v>#VALUE!</v>
      </c>
      <c r="L469" t="e">
        <f>Africa!F128+"n/&gt;!65{"</f>
        <v>#VALUE!</v>
      </c>
      <c r="M469" t="e">
        <f>Africa!G128+"n/&gt;!65|"</f>
        <v>#VALUE!</v>
      </c>
      <c r="N469" t="e">
        <f>Africa!H128+"n/&gt;!65}"</f>
        <v>#VALUE!</v>
      </c>
      <c r="O469" t="e">
        <f>Africa!I128+"n/&gt;!65~"</f>
        <v>#VALUE!</v>
      </c>
      <c r="P469" t="e">
        <f>Africa!A129+"n/&gt;!66#"</f>
        <v>#VALUE!</v>
      </c>
      <c r="Q469" t="e">
        <f>Africa!B129+"n/&gt;!66$"</f>
        <v>#VALUE!</v>
      </c>
      <c r="R469" t="e">
        <f>Africa!C129+"n/&gt;!66%"</f>
        <v>#VALUE!</v>
      </c>
      <c r="S469" t="e">
        <f>Africa!D129+"n/&gt;!66&amp;"</f>
        <v>#VALUE!</v>
      </c>
      <c r="T469" t="e">
        <f>Africa!E129+"n/&gt;!66'"</f>
        <v>#VALUE!</v>
      </c>
      <c r="U469" t="e">
        <f>Africa!F129+"n/&gt;!66("</f>
        <v>#VALUE!</v>
      </c>
      <c r="V469" t="e">
        <f>Africa!G129+"n/&gt;!66)"</f>
        <v>#VALUE!</v>
      </c>
      <c r="W469" t="e">
        <f>Africa!H129+"n/&gt;!66."</f>
        <v>#VALUE!</v>
      </c>
      <c r="X469" t="e">
        <f>Africa!I129+"n/&gt;!66/"</f>
        <v>#VALUE!</v>
      </c>
      <c r="Y469" t="e">
        <f>Africa!A130+"n/&gt;!660"</f>
        <v>#VALUE!</v>
      </c>
      <c r="Z469" t="e">
        <f>Africa!B130+"n/&gt;!661"</f>
        <v>#VALUE!</v>
      </c>
      <c r="AA469" t="e">
        <f>Africa!C130+"n/&gt;!662"</f>
        <v>#VALUE!</v>
      </c>
      <c r="AB469" t="e">
        <f>Africa!D130+"n/&gt;!663"</f>
        <v>#VALUE!</v>
      </c>
      <c r="AC469" t="e">
        <f>Africa!E130+"n/&gt;!664"</f>
        <v>#VALUE!</v>
      </c>
      <c r="AD469" t="e">
        <f>Africa!F130+"n/&gt;!665"</f>
        <v>#VALUE!</v>
      </c>
      <c r="AE469" t="e">
        <f>Africa!G130+"n/&gt;!666"</f>
        <v>#VALUE!</v>
      </c>
      <c r="AF469" t="e">
        <f>Africa!H130+"n/&gt;!667"</f>
        <v>#VALUE!</v>
      </c>
      <c r="AG469" t="e">
        <f>Africa!I130+"n/&gt;!668"</f>
        <v>#VALUE!</v>
      </c>
      <c r="AH469" t="e">
        <f>Africa!A131+"n/&gt;!669"</f>
        <v>#VALUE!</v>
      </c>
      <c r="AI469" t="e">
        <f>Africa!B131+"n/&gt;!66:"</f>
        <v>#VALUE!</v>
      </c>
      <c r="AJ469" t="e">
        <f>Africa!C131+"n/&gt;!66;"</f>
        <v>#VALUE!</v>
      </c>
      <c r="AK469" t="e">
        <f>Africa!D131+"n/&gt;!66&lt;"</f>
        <v>#VALUE!</v>
      </c>
      <c r="AL469" t="e">
        <f>Africa!E131+"n/&gt;!66="</f>
        <v>#VALUE!</v>
      </c>
      <c r="AM469" t="e">
        <f>Africa!F131+"n/&gt;!66&gt;"</f>
        <v>#VALUE!</v>
      </c>
      <c r="AN469" t="e">
        <f>Africa!G131+"n/&gt;!66?"</f>
        <v>#VALUE!</v>
      </c>
      <c r="AO469" t="e">
        <f>Africa!H131+"n/&gt;!66@"</f>
        <v>#VALUE!</v>
      </c>
      <c r="AP469" t="e">
        <f>Africa!I131+"n/&gt;!66A"</f>
        <v>#VALUE!</v>
      </c>
      <c r="AQ469" t="e">
        <f>Africa!A132+"n/&gt;!66B"</f>
        <v>#VALUE!</v>
      </c>
      <c r="AR469" t="e">
        <f>Africa!B132+"n/&gt;!66C"</f>
        <v>#VALUE!</v>
      </c>
      <c r="AS469" t="e">
        <f>Africa!C132+"n/&gt;!66D"</f>
        <v>#VALUE!</v>
      </c>
      <c r="AT469" t="e">
        <f>Africa!D132+"n/&gt;!66E"</f>
        <v>#VALUE!</v>
      </c>
      <c r="AU469" t="e">
        <f>Africa!E132+"n/&gt;!66F"</f>
        <v>#VALUE!</v>
      </c>
      <c r="AV469" t="e">
        <f>Africa!F132+"n/&gt;!66G"</f>
        <v>#VALUE!</v>
      </c>
      <c r="AW469" t="e">
        <f>Africa!G132+"n/&gt;!66H"</f>
        <v>#VALUE!</v>
      </c>
      <c r="AX469" t="e">
        <f>Africa!H132+"n/&gt;!66I"</f>
        <v>#VALUE!</v>
      </c>
      <c r="AY469" t="e">
        <f>Africa!I132+"n/&gt;!66J"</f>
        <v>#VALUE!</v>
      </c>
      <c r="AZ469" t="e">
        <f>Africa!A133+"n/&gt;!66K"</f>
        <v>#VALUE!</v>
      </c>
      <c r="BA469" t="e">
        <f>Africa!B133+"n/&gt;!66L"</f>
        <v>#VALUE!</v>
      </c>
      <c r="BB469" t="e">
        <f>Africa!C133+"n/&gt;!66M"</f>
        <v>#VALUE!</v>
      </c>
      <c r="BC469" t="e">
        <f>Africa!D133+"n/&gt;!66N"</f>
        <v>#VALUE!</v>
      </c>
      <c r="BD469" t="e">
        <f>Africa!E133+"n/&gt;!66O"</f>
        <v>#VALUE!</v>
      </c>
      <c r="BE469" t="e">
        <f>Africa!F133+"n/&gt;!66P"</f>
        <v>#VALUE!</v>
      </c>
      <c r="BF469" t="e">
        <f>Africa!G133+"n/&gt;!66Q"</f>
        <v>#VALUE!</v>
      </c>
      <c r="BG469" t="e">
        <f>Africa!H133+"n/&gt;!66R"</f>
        <v>#VALUE!</v>
      </c>
      <c r="BH469" t="e">
        <f>Africa!I133+"n/&gt;!66S"</f>
        <v>#VALUE!</v>
      </c>
      <c r="BI469" t="e">
        <f>Africa!A134+"n/&gt;!66T"</f>
        <v>#VALUE!</v>
      </c>
      <c r="BJ469" t="e">
        <f>Africa!B134+"n/&gt;!66U"</f>
        <v>#VALUE!</v>
      </c>
      <c r="BK469" t="e">
        <f>Africa!C134+"n/&gt;!66V"</f>
        <v>#VALUE!</v>
      </c>
      <c r="BL469" t="e">
        <f>Africa!D134+"n/&gt;!66W"</f>
        <v>#VALUE!</v>
      </c>
      <c r="BM469" t="e">
        <f>Africa!E134+"n/&gt;!66X"</f>
        <v>#VALUE!</v>
      </c>
      <c r="BN469" t="e">
        <f>Africa!F134+"n/&gt;!66Y"</f>
        <v>#VALUE!</v>
      </c>
      <c r="BO469" t="e">
        <f>Africa!G134+"n/&gt;!66Z"</f>
        <v>#VALUE!</v>
      </c>
      <c r="BP469" t="e">
        <f>Africa!H134+"n/&gt;!66["</f>
        <v>#VALUE!</v>
      </c>
      <c r="BQ469" t="e">
        <f>Africa!I134+"n/&gt;!66\"</f>
        <v>#VALUE!</v>
      </c>
      <c r="BR469" t="e">
        <f>Africa!A135+"n/&gt;!66]"</f>
        <v>#VALUE!</v>
      </c>
      <c r="BS469" t="e">
        <f>Africa!B135+"n/&gt;!66^"</f>
        <v>#VALUE!</v>
      </c>
      <c r="BT469" t="e">
        <f>Africa!C135+"n/&gt;!66_"</f>
        <v>#VALUE!</v>
      </c>
      <c r="BU469" t="e">
        <f>Africa!D135+"n/&gt;!66`"</f>
        <v>#VALUE!</v>
      </c>
      <c r="BV469" t="e">
        <f>Africa!E135+"n/&gt;!66a"</f>
        <v>#VALUE!</v>
      </c>
      <c r="BW469" t="e">
        <f>Africa!F135+"n/&gt;!66b"</f>
        <v>#VALUE!</v>
      </c>
      <c r="BX469" t="e">
        <f>Africa!G135+"n/&gt;!66c"</f>
        <v>#VALUE!</v>
      </c>
      <c r="BY469" t="e">
        <f>Africa!H135+"n/&gt;!66d"</f>
        <v>#VALUE!</v>
      </c>
      <c r="BZ469" t="e">
        <f>Africa!I135+"n/&gt;!66e"</f>
        <v>#VALUE!</v>
      </c>
      <c r="CA469" t="e">
        <f>Africa!A136+"n/&gt;!66f"</f>
        <v>#VALUE!</v>
      </c>
      <c r="CB469" t="e">
        <f>Africa!B136+"n/&gt;!66g"</f>
        <v>#VALUE!</v>
      </c>
      <c r="CC469" t="e">
        <f>Africa!C136+"n/&gt;!66h"</f>
        <v>#VALUE!</v>
      </c>
      <c r="CD469" t="e">
        <f>Africa!D136+"n/&gt;!66i"</f>
        <v>#VALUE!</v>
      </c>
      <c r="CE469" t="e">
        <f>Africa!E136+"n/&gt;!66j"</f>
        <v>#VALUE!</v>
      </c>
      <c r="CF469" t="e">
        <f>Africa!F136+"n/&gt;!66k"</f>
        <v>#VALUE!</v>
      </c>
      <c r="CG469" t="e">
        <f>Africa!G136+"n/&gt;!66l"</f>
        <v>#VALUE!</v>
      </c>
      <c r="CH469" t="e">
        <f>Africa!H136+"n/&gt;!66m"</f>
        <v>#VALUE!</v>
      </c>
      <c r="CI469" t="e">
        <f>Africa!I136+"n/&gt;!66n"</f>
        <v>#VALUE!</v>
      </c>
      <c r="CJ469" t="e">
        <f>Africa!A137+"n/&gt;!66o"</f>
        <v>#VALUE!</v>
      </c>
      <c r="CK469" t="e">
        <f>Africa!B137+"n/&gt;!66p"</f>
        <v>#VALUE!</v>
      </c>
      <c r="CL469" t="e">
        <f>Africa!C137+"n/&gt;!66q"</f>
        <v>#VALUE!</v>
      </c>
      <c r="CM469" t="e">
        <f>Africa!D137+"n/&gt;!66r"</f>
        <v>#VALUE!</v>
      </c>
      <c r="CN469" t="e">
        <f>Africa!E137+"n/&gt;!66s"</f>
        <v>#VALUE!</v>
      </c>
      <c r="CO469" t="e">
        <f>Africa!F137+"n/&gt;!66t"</f>
        <v>#VALUE!</v>
      </c>
      <c r="CP469" t="e">
        <f>Africa!G137+"n/&gt;!66u"</f>
        <v>#VALUE!</v>
      </c>
      <c r="CQ469" t="e">
        <f>Africa!H137+"n/&gt;!66v"</f>
        <v>#VALUE!</v>
      </c>
      <c r="CR469" t="e">
        <f>Africa!I137+"n/&gt;!66w"</f>
        <v>#VALUE!</v>
      </c>
      <c r="CS469" t="e">
        <f>Africa!A138+"n/&gt;!66x"</f>
        <v>#VALUE!</v>
      </c>
      <c r="CT469" t="e">
        <f>Africa!B138+"n/&gt;!66y"</f>
        <v>#VALUE!</v>
      </c>
      <c r="CU469" t="e">
        <f>Africa!C138+"n/&gt;!66z"</f>
        <v>#VALUE!</v>
      </c>
      <c r="CV469" t="e">
        <f>Africa!D138+"n/&gt;!66{"</f>
        <v>#VALUE!</v>
      </c>
      <c r="CW469" t="e">
        <f>Africa!E138+"n/&gt;!66|"</f>
        <v>#VALUE!</v>
      </c>
      <c r="CX469" t="e">
        <f>Africa!F138+"n/&gt;!66}"</f>
        <v>#VALUE!</v>
      </c>
      <c r="CY469" t="e">
        <f>Africa!G138+"n/&gt;!66~"</f>
        <v>#VALUE!</v>
      </c>
      <c r="CZ469" t="e">
        <f>Africa!H138+"n/&gt;!67#"</f>
        <v>#VALUE!</v>
      </c>
      <c r="DA469" t="e">
        <f>Africa!I138+"n/&gt;!67$"</f>
        <v>#VALUE!</v>
      </c>
      <c r="DB469" t="e">
        <f>Africa!A139+"n/&gt;!67%"</f>
        <v>#VALUE!</v>
      </c>
      <c r="DC469" t="e">
        <f>Africa!B139+"n/&gt;!67&amp;"</f>
        <v>#VALUE!</v>
      </c>
      <c r="DD469" t="e">
        <f>Africa!C139+"n/&gt;!67'"</f>
        <v>#VALUE!</v>
      </c>
      <c r="DE469" t="e">
        <f>Africa!D139+"n/&gt;!67("</f>
        <v>#VALUE!</v>
      </c>
      <c r="DF469" t="e">
        <f>Africa!E139+"n/&gt;!67)"</f>
        <v>#VALUE!</v>
      </c>
      <c r="DG469" t="e">
        <f>Africa!F139+"n/&gt;!67."</f>
        <v>#VALUE!</v>
      </c>
      <c r="DH469" t="e">
        <f>Africa!G139+"n/&gt;!67/"</f>
        <v>#VALUE!</v>
      </c>
      <c r="DI469" t="e">
        <f>Africa!H139+"n/&gt;!670"</f>
        <v>#VALUE!</v>
      </c>
      <c r="DJ469" t="e">
        <f>Africa!I139+"n/&gt;!671"</f>
        <v>#VALUE!</v>
      </c>
      <c r="DK469" t="e">
        <f>Africa!A140+"n/&gt;!672"</f>
        <v>#VALUE!</v>
      </c>
      <c r="DL469" t="e">
        <f>Africa!B140+"n/&gt;!673"</f>
        <v>#VALUE!</v>
      </c>
      <c r="DM469" t="e">
        <f>Africa!C140+"n/&gt;!674"</f>
        <v>#VALUE!</v>
      </c>
      <c r="DN469" t="e">
        <f>Africa!D140+"n/&gt;!675"</f>
        <v>#VALUE!</v>
      </c>
      <c r="DO469" t="e">
        <f>Africa!E140+"n/&gt;!676"</f>
        <v>#VALUE!</v>
      </c>
      <c r="DP469" t="e">
        <f>Africa!F140+"n/&gt;!677"</f>
        <v>#VALUE!</v>
      </c>
      <c r="DQ469" t="e">
        <f>Africa!G140+"n/&gt;!678"</f>
        <v>#VALUE!</v>
      </c>
      <c r="DR469" t="e">
        <f>Africa!H140+"n/&gt;!679"</f>
        <v>#VALUE!</v>
      </c>
      <c r="DS469" t="e">
        <f>Africa!I140+"n/&gt;!67:"</f>
        <v>#VALUE!</v>
      </c>
      <c r="DT469" t="e">
        <f>Africa!A141+"n/&gt;!67;"</f>
        <v>#VALUE!</v>
      </c>
      <c r="DU469" t="e">
        <f>Africa!B141+"n/&gt;!67&lt;"</f>
        <v>#VALUE!</v>
      </c>
      <c r="DV469" t="e">
        <f>Africa!C141+"n/&gt;!67="</f>
        <v>#VALUE!</v>
      </c>
      <c r="DW469" t="e">
        <f>Africa!D141+"n/&gt;!67&gt;"</f>
        <v>#VALUE!</v>
      </c>
      <c r="DX469" t="e">
        <f>Africa!E141+"n/&gt;!67?"</f>
        <v>#VALUE!</v>
      </c>
      <c r="DY469" t="e">
        <f>Africa!F141+"n/&gt;!67@"</f>
        <v>#VALUE!</v>
      </c>
      <c r="DZ469" t="e">
        <f>Africa!G141+"n/&gt;!67A"</f>
        <v>#VALUE!</v>
      </c>
      <c r="EA469" t="e">
        <f>Africa!H141+"n/&gt;!67B"</f>
        <v>#VALUE!</v>
      </c>
      <c r="EB469" t="e">
        <f>Africa!I141+"n/&gt;!67C"</f>
        <v>#VALUE!</v>
      </c>
      <c r="EC469" t="e">
        <f>Africa!A142+"n/&gt;!67D"</f>
        <v>#VALUE!</v>
      </c>
      <c r="ED469" t="e">
        <f>Africa!B142+"n/&gt;!67E"</f>
        <v>#VALUE!</v>
      </c>
      <c r="EE469" t="e">
        <f>Africa!C142+"n/&gt;!67F"</f>
        <v>#VALUE!</v>
      </c>
      <c r="EF469" t="e">
        <f>Africa!D142+"n/&gt;!67G"</f>
        <v>#VALUE!</v>
      </c>
      <c r="EG469" t="e">
        <f>Africa!E142+"n/&gt;!67H"</f>
        <v>#VALUE!</v>
      </c>
      <c r="EH469" t="e">
        <f>Africa!F142+"n/&gt;!67I"</f>
        <v>#VALUE!</v>
      </c>
      <c r="EI469" t="e">
        <f>Africa!G142+"n/&gt;!67J"</f>
        <v>#VALUE!</v>
      </c>
      <c r="EJ469" t="e">
        <f>Africa!H142+"n/&gt;!67K"</f>
        <v>#VALUE!</v>
      </c>
      <c r="EK469" t="e">
        <f>Africa!I142+"n/&gt;!67L"</f>
        <v>#VALUE!</v>
      </c>
      <c r="EL469" t="e">
        <f>Africa!A143+"n/&gt;!67M"</f>
        <v>#VALUE!</v>
      </c>
      <c r="EM469" t="e">
        <f>Africa!B143+"n/&gt;!67N"</f>
        <v>#VALUE!</v>
      </c>
      <c r="EN469" t="e">
        <f>Africa!C143+"n/&gt;!67O"</f>
        <v>#VALUE!</v>
      </c>
      <c r="EO469" t="e">
        <f>Africa!D143+"n/&gt;!67P"</f>
        <v>#VALUE!</v>
      </c>
      <c r="EP469" t="e">
        <f>Africa!E143+"n/&gt;!67Q"</f>
        <v>#VALUE!</v>
      </c>
      <c r="EQ469" t="e">
        <f>Africa!F143+"n/&gt;!67R"</f>
        <v>#VALUE!</v>
      </c>
      <c r="ER469" t="e">
        <f>Africa!G143+"n/&gt;!67S"</f>
        <v>#VALUE!</v>
      </c>
      <c r="ES469" t="e">
        <f>Africa!H143+"n/&gt;!67T"</f>
        <v>#VALUE!</v>
      </c>
      <c r="ET469" t="e">
        <f>Africa!I143+"n/&gt;!67U"</f>
        <v>#VALUE!</v>
      </c>
      <c r="EU469" t="e">
        <f>Africa!A144+"n/&gt;!67V"</f>
        <v>#VALUE!</v>
      </c>
      <c r="EV469" t="e">
        <f>Africa!B144+"n/&gt;!67W"</f>
        <v>#VALUE!</v>
      </c>
      <c r="EW469" t="e">
        <f>Africa!C144+"n/&gt;!67X"</f>
        <v>#VALUE!</v>
      </c>
      <c r="EX469" t="e">
        <f>Africa!D144+"n/&gt;!67Y"</f>
        <v>#VALUE!</v>
      </c>
      <c r="EY469" t="e">
        <f>Africa!E144+"n/&gt;!67Z"</f>
        <v>#VALUE!</v>
      </c>
      <c r="EZ469" t="e">
        <f>Africa!F144+"n/&gt;!67["</f>
        <v>#VALUE!</v>
      </c>
      <c r="FA469" t="e">
        <f>Africa!G144+"n/&gt;!67\"</f>
        <v>#VALUE!</v>
      </c>
      <c r="FB469" t="e">
        <f>Africa!H144+"n/&gt;!67]"</f>
        <v>#VALUE!</v>
      </c>
      <c r="FC469" t="e">
        <f>Africa!I144+"n/&gt;!67^"</f>
        <v>#VALUE!</v>
      </c>
      <c r="FD469" t="e">
        <f>Africa!A145+"n/&gt;!67_"</f>
        <v>#VALUE!</v>
      </c>
      <c r="FE469" t="e">
        <f>Africa!B145+"n/&gt;!67`"</f>
        <v>#VALUE!</v>
      </c>
      <c r="FF469" t="e">
        <f>Africa!C145+"n/&gt;!67a"</f>
        <v>#VALUE!</v>
      </c>
      <c r="FG469" t="e">
        <f>Africa!D145+"n/&gt;!67b"</f>
        <v>#VALUE!</v>
      </c>
      <c r="FH469" t="e">
        <f>Africa!E145+"n/&gt;!67c"</f>
        <v>#VALUE!</v>
      </c>
      <c r="FI469" t="e">
        <f>Africa!F145+"n/&gt;!67d"</f>
        <v>#VALUE!</v>
      </c>
      <c r="FJ469" t="e">
        <f>Africa!G145+"n/&gt;!67e"</f>
        <v>#VALUE!</v>
      </c>
      <c r="FK469" t="e">
        <f>Africa!H145+"n/&gt;!67f"</f>
        <v>#VALUE!</v>
      </c>
      <c r="FL469" t="e">
        <f>Africa!I145+"n/&gt;!67g"</f>
        <v>#VALUE!</v>
      </c>
      <c r="FM469" t="e">
        <f>Africa!A146+"n/&gt;!67h"</f>
        <v>#VALUE!</v>
      </c>
      <c r="FN469" t="e">
        <f>Africa!B146+"n/&gt;!67i"</f>
        <v>#VALUE!</v>
      </c>
      <c r="FO469" t="e">
        <f>Africa!C146+"n/&gt;!67j"</f>
        <v>#VALUE!</v>
      </c>
      <c r="FP469" t="e">
        <f>Africa!D146+"n/&gt;!67k"</f>
        <v>#VALUE!</v>
      </c>
      <c r="FQ469" t="e">
        <f>Africa!E146+"n/&gt;!67l"</f>
        <v>#VALUE!</v>
      </c>
      <c r="FR469" t="e">
        <f>Africa!F146+"n/&gt;!67m"</f>
        <v>#VALUE!</v>
      </c>
      <c r="FS469" t="e">
        <f>Africa!G146+"n/&gt;!67n"</f>
        <v>#VALUE!</v>
      </c>
      <c r="FT469" t="e">
        <f>Africa!H146+"n/&gt;!67o"</f>
        <v>#VALUE!</v>
      </c>
      <c r="FU469" t="e">
        <f>Africa!I146+"n/&gt;!67p"</f>
        <v>#VALUE!</v>
      </c>
      <c r="FV469" t="e">
        <f>Africa!A147+"n/&gt;!67q"</f>
        <v>#VALUE!</v>
      </c>
      <c r="FW469" t="e">
        <f>Africa!B147+"n/&gt;!67r"</f>
        <v>#VALUE!</v>
      </c>
      <c r="FX469" t="e">
        <f>Africa!C147+"n/&gt;!67s"</f>
        <v>#VALUE!</v>
      </c>
      <c r="FY469" t="e">
        <f>Africa!D147+"n/&gt;!67t"</f>
        <v>#VALUE!</v>
      </c>
      <c r="FZ469" t="e">
        <f>Africa!E147+"n/&gt;!67u"</f>
        <v>#VALUE!</v>
      </c>
      <c r="GA469" t="e">
        <f>Africa!F147+"n/&gt;!67v"</f>
        <v>#VALUE!</v>
      </c>
      <c r="GB469" t="e">
        <f>Africa!G147+"n/&gt;!67w"</f>
        <v>#VALUE!</v>
      </c>
      <c r="GC469" t="e">
        <f>Africa!H147+"n/&gt;!67x"</f>
        <v>#VALUE!</v>
      </c>
      <c r="GD469" t="e">
        <f>Africa!I147+"n/&gt;!67y"</f>
        <v>#VALUE!</v>
      </c>
      <c r="GE469" t="e">
        <f>Africa!A148+"n/&gt;!67z"</f>
        <v>#VALUE!</v>
      </c>
      <c r="GF469" t="e">
        <f>Africa!B148+"n/&gt;!67{"</f>
        <v>#VALUE!</v>
      </c>
      <c r="GG469" t="e">
        <f>Africa!C148+"n/&gt;!67|"</f>
        <v>#VALUE!</v>
      </c>
      <c r="GH469" t="e">
        <f>Africa!D148+"n/&gt;!67}"</f>
        <v>#VALUE!</v>
      </c>
      <c r="GI469" t="e">
        <f>Africa!E148+"n/&gt;!67~"</f>
        <v>#VALUE!</v>
      </c>
      <c r="GJ469" t="e">
        <f>Africa!F148+"n/&gt;!68#"</f>
        <v>#VALUE!</v>
      </c>
      <c r="GK469" t="e">
        <f>Africa!G148+"n/&gt;!68$"</f>
        <v>#VALUE!</v>
      </c>
      <c r="GL469" t="e">
        <f>Africa!H148+"n/&gt;!68%"</f>
        <v>#VALUE!</v>
      </c>
      <c r="GM469" t="e">
        <f>Africa!I148+"n/&gt;!68&amp;"</f>
        <v>#VALUE!</v>
      </c>
      <c r="GN469" t="e">
        <f>Africa!A149+"n/&gt;!68'"</f>
        <v>#VALUE!</v>
      </c>
      <c r="GO469" t="e">
        <f>Africa!B149+"n/&gt;!68("</f>
        <v>#VALUE!</v>
      </c>
      <c r="GP469" t="e">
        <f>Africa!C149+"n/&gt;!68)"</f>
        <v>#VALUE!</v>
      </c>
      <c r="GQ469" t="e">
        <f>Africa!D149+"n/&gt;!68."</f>
        <v>#VALUE!</v>
      </c>
      <c r="GR469" t="e">
        <f>Africa!E149+"n/&gt;!68/"</f>
        <v>#VALUE!</v>
      </c>
      <c r="GS469" t="e">
        <f>Africa!F149+"n/&gt;!680"</f>
        <v>#VALUE!</v>
      </c>
      <c r="GT469" t="e">
        <f>Africa!G149+"n/&gt;!681"</f>
        <v>#VALUE!</v>
      </c>
      <c r="GU469" t="e">
        <f>Africa!H149+"n/&gt;!682"</f>
        <v>#VALUE!</v>
      </c>
      <c r="GV469" t="e">
        <f>Africa!I149+"n/&gt;!683"</f>
        <v>#VALUE!</v>
      </c>
      <c r="GW469" t="e">
        <f>Africa!A150+"n/&gt;!684"</f>
        <v>#VALUE!</v>
      </c>
      <c r="GX469" t="e">
        <f>Africa!B150+"n/&gt;!685"</f>
        <v>#VALUE!</v>
      </c>
      <c r="GY469" t="e">
        <f>Africa!C150+"n/&gt;!686"</f>
        <v>#VALUE!</v>
      </c>
      <c r="GZ469" t="e">
        <f>Africa!D150+"n/&gt;!687"</f>
        <v>#VALUE!</v>
      </c>
      <c r="HA469" t="e">
        <f>Africa!E150+"n/&gt;!688"</f>
        <v>#VALUE!</v>
      </c>
      <c r="HB469" t="e">
        <f>Africa!F150+"n/&gt;!689"</f>
        <v>#VALUE!</v>
      </c>
      <c r="HC469" t="e">
        <f>Africa!G150+"n/&gt;!68:"</f>
        <v>#VALUE!</v>
      </c>
      <c r="HD469" t="e">
        <f>Africa!H150+"n/&gt;!68;"</f>
        <v>#VALUE!</v>
      </c>
      <c r="HE469" t="e">
        <f>Africa!I150+"n/&gt;!68&lt;"</f>
        <v>#VALUE!</v>
      </c>
      <c r="HF469" t="e">
        <f>Africa!A151+"n/&gt;!68="</f>
        <v>#VALUE!</v>
      </c>
      <c r="HG469" t="e">
        <f>Africa!B151+"n/&gt;!68&gt;"</f>
        <v>#VALUE!</v>
      </c>
      <c r="HH469" t="e">
        <f>Africa!C151+"n/&gt;!68?"</f>
        <v>#VALUE!</v>
      </c>
      <c r="HI469" t="e">
        <f>Africa!D151+"n/&gt;!68@"</f>
        <v>#VALUE!</v>
      </c>
      <c r="HJ469" t="e">
        <f>Africa!E151+"n/&gt;!68A"</f>
        <v>#VALUE!</v>
      </c>
      <c r="HK469" t="e">
        <f>Africa!F151+"n/&gt;!68B"</f>
        <v>#VALUE!</v>
      </c>
      <c r="HL469" t="e">
        <f>Africa!G151+"n/&gt;!68C"</f>
        <v>#VALUE!</v>
      </c>
      <c r="HM469" t="e">
        <f>Africa!H151+"n/&gt;!68D"</f>
        <v>#VALUE!</v>
      </c>
      <c r="HN469" t="e">
        <f>Africa!I151+"n/&gt;!68E"</f>
        <v>#VALUE!</v>
      </c>
      <c r="HO469" t="e">
        <f>Africa!A152+"n/&gt;!68F"</f>
        <v>#VALUE!</v>
      </c>
      <c r="HP469" t="e">
        <f>Africa!B152+"n/&gt;!68G"</f>
        <v>#VALUE!</v>
      </c>
      <c r="HQ469" t="e">
        <f>Africa!C152+"n/&gt;!68H"</f>
        <v>#VALUE!</v>
      </c>
      <c r="HR469" t="e">
        <f>Africa!D152+"n/&gt;!68I"</f>
        <v>#VALUE!</v>
      </c>
      <c r="HS469" t="e">
        <f>Africa!E152+"n/&gt;!68J"</f>
        <v>#VALUE!</v>
      </c>
      <c r="HT469" t="e">
        <f>Africa!F152+"n/&gt;!68K"</f>
        <v>#VALUE!</v>
      </c>
      <c r="HU469" t="e">
        <f>Africa!G152+"n/&gt;!68L"</f>
        <v>#VALUE!</v>
      </c>
      <c r="HV469" t="e">
        <f>Africa!H152+"n/&gt;!68M"</f>
        <v>#VALUE!</v>
      </c>
      <c r="HW469" t="e">
        <f>Africa!I152+"n/&gt;!68N"</f>
        <v>#VALUE!</v>
      </c>
      <c r="HX469" t="e">
        <f>Africa!A153+"n/&gt;!68O"</f>
        <v>#VALUE!</v>
      </c>
      <c r="HY469" t="e">
        <f>Africa!B153+"n/&gt;!68P"</f>
        <v>#VALUE!</v>
      </c>
      <c r="HZ469" t="e">
        <f>Africa!C153+"n/&gt;!68Q"</f>
        <v>#VALUE!</v>
      </c>
      <c r="IA469" t="e">
        <f>Africa!D153+"n/&gt;!68R"</f>
        <v>#VALUE!</v>
      </c>
      <c r="IB469" t="e">
        <f>Africa!E153+"n/&gt;!68S"</f>
        <v>#VALUE!</v>
      </c>
      <c r="IC469" t="e">
        <f>Africa!F153+"n/&gt;!68T"</f>
        <v>#VALUE!</v>
      </c>
      <c r="ID469" t="e">
        <f>Africa!G153+"n/&gt;!68U"</f>
        <v>#VALUE!</v>
      </c>
      <c r="IE469" t="e">
        <f>Africa!H153+"n/&gt;!68V"</f>
        <v>#VALUE!</v>
      </c>
      <c r="IF469" t="e">
        <f>Africa!I153+"n/&gt;!68W"</f>
        <v>#VALUE!</v>
      </c>
      <c r="IG469" t="e">
        <f>Africa!A154+"n/&gt;!68X"</f>
        <v>#VALUE!</v>
      </c>
      <c r="IH469" t="e">
        <f>Africa!B154+"n/&gt;!68Y"</f>
        <v>#VALUE!</v>
      </c>
      <c r="II469" t="e">
        <f>Africa!C154+"n/&gt;!68Z"</f>
        <v>#VALUE!</v>
      </c>
      <c r="IJ469" t="e">
        <f>Africa!D154+"n/&gt;!68["</f>
        <v>#VALUE!</v>
      </c>
      <c r="IK469" t="e">
        <f>Africa!E154+"n/&gt;!68\"</f>
        <v>#VALUE!</v>
      </c>
      <c r="IL469" t="e">
        <f>Africa!F154+"n/&gt;!68]"</f>
        <v>#VALUE!</v>
      </c>
      <c r="IM469" t="e">
        <f>Africa!G154+"n/&gt;!68^"</f>
        <v>#VALUE!</v>
      </c>
      <c r="IN469" t="e">
        <f>Africa!H154+"n/&gt;!68_"</f>
        <v>#VALUE!</v>
      </c>
      <c r="IO469" t="e">
        <f>Africa!I154+"n/&gt;!68`"</f>
        <v>#VALUE!</v>
      </c>
      <c r="IP469" t="e">
        <f>Africa!A155+"n/&gt;!68a"</f>
        <v>#VALUE!</v>
      </c>
      <c r="IQ469" t="e">
        <f>Africa!B155+"n/&gt;!68b"</f>
        <v>#VALUE!</v>
      </c>
      <c r="IR469" t="e">
        <f>Africa!C155+"n/&gt;!68c"</f>
        <v>#VALUE!</v>
      </c>
      <c r="IS469" t="e">
        <f>Africa!D155+"n/&gt;!68d"</f>
        <v>#VALUE!</v>
      </c>
      <c r="IT469" t="e">
        <f>Africa!E155+"n/&gt;!68e"</f>
        <v>#VALUE!</v>
      </c>
      <c r="IU469" t="e">
        <f>Africa!F155+"n/&gt;!68f"</f>
        <v>#VALUE!</v>
      </c>
      <c r="IV469" t="e">
        <f>Africa!G155+"n/&gt;!68g"</f>
        <v>#VALUE!</v>
      </c>
    </row>
    <row r="470" spans="6:256" x14ac:dyDescent="0.35">
      <c r="F470" t="e">
        <f>Africa!H155+"n/&gt;!68h"</f>
        <v>#VALUE!</v>
      </c>
      <c r="G470" t="e">
        <f>Africa!I155+"n/&gt;!68i"</f>
        <v>#VALUE!</v>
      </c>
      <c r="H470" t="e">
        <f>Africa!A156+"n/&gt;!68j"</f>
        <v>#VALUE!</v>
      </c>
      <c r="I470" t="e">
        <f>Africa!B156+"n/&gt;!68k"</f>
        <v>#VALUE!</v>
      </c>
      <c r="J470" t="e">
        <f>Africa!C156+"n/&gt;!68l"</f>
        <v>#VALUE!</v>
      </c>
      <c r="K470" t="e">
        <f>Africa!D156+"n/&gt;!68m"</f>
        <v>#VALUE!</v>
      </c>
      <c r="L470" t="e">
        <f>Africa!E156+"n/&gt;!68n"</f>
        <v>#VALUE!</v>
      </c>
      <c r="M470" t="e">
        <f>Africa!F156+"n/&gt;!68o"</f>
        <v>#VALUE!</v>
      </c>
      <c r="N470" t="e">
        <f>Africa!G156+"n/&gt;!68p"</f>
        <v>#VALUE!</v>
      </c>
      <c r="O470" t="e">
        <f>Africa!H156+"n/&gt;!68q"</f>
        <v>#VALUE!</v>
      </c>
      <c r="P470" t="e">
        <f>Africa!I156+"n/&gt;!68r"</f>
        <v>#VALUE!</v>
      </c>
      <c r="Q470" t="e">
        <f>Africa!A157+"n/&gt;!68s"</f>
        <v>#VALUE!</v>
      </c>
      <c r="R470" t="e">
        <f>Africa!B157+"n/&gt;!68t"</f>
        <v>#VALUE!</v>
      </c>
      <c r="S470" t="e">
        <f>Africa!C157+"n/&gt;!68u"</f>
        <v>#VALUE!</v>
      </c>
      <c r="T470" t="e">
        <f>Africa!D157+"n/&gt;!68v"</f>
        <v>#VALUE!</v>
      </c>
      <c r="U470" t="e">
        <f>Africa!E157+"n/&gt;!68w"</f>
        <v>#VALUE!</v>
      </c>
      <c r="V470" t="e">
        <f>Africa!F157+"n/&gt;!68x"</f>
        <v>#VALUE!</v>
      </c>
      <c r="W470" t="e">
        <f>Africa!G157+"n/&gt;!68y"</f>
        <v>#VALUE!</v>
      </c>
      <c r="X470" t="e">
        <f>Africa!H157+"n/&gt;!68z"</f>
        <v>#VALUE!</v>
      </c>
      <c r="Y470" t="e">
        <f>Africa!I157+"n/&gt;!68{"</f>
        <v>#VALUE!</v>
      </c>
      <c r="Z470" t="e">
        <f>Africa!A158+"n/&gt;!68|"</f>
        <v>#VALUE!</v>
      </c>
      <c r="AA470" t="e">
        <f>Africa!B158+"n/&gt;!68}"</f>
        <v>#VALUE!</v>
      </c>
      <c r="AB470" t="e">
        <f>Africa!C158+"n/&gt;!68~"</f>
        <v>#VALUE!</v>
      </c>
      <c r="AC470" t="e">
        <f>Africa!D158+"n/&gt;!69#"</f>
        <v>#VALUE!</v>
      </c>
      <c r="AD470" t="e">
        <f>Africa!E158+"n/&gt;!69$"</f>
        <v>#VALUE!</v>
      </c>
      <c r="AE470" t="e">
        <f>Africa!F158+"n/&gt;!69%"</f>
        <v>#VALUE!</v>
      </c>
      <c r="AF470" t="e">
        <f>Africa!G158+"n/&gt;!69&amp;"</f>
        <v>#VALUE!</v>
      </c>
      <c r="AG470" t="e">
        <f>Africa!H158+"n/&gt;!69'"</f>
        <v>#VALUE!</v>
      </c>
      <c r="AH470" t="e">
        <f>Africa!I158+"n/&gt;!69("</f>
        <v>#VALUE!</v>
      </c>
      <c r="AI470" t="e">
        <f>Africa!A159+"n/&gt;!69)"</f>
        <v>#VALUE!</v>
      </c>
      <c r="AJ470" t="e">
        <f>Africa!B159+"n/&gt;!69."</f>
        <v>#VALUE!</v>
      </c>
      <c r="AK470" t="e">
        <f>Africa!C159+"n/&gt;!69/"</f>
        <v>#VALUE!</v>
      </c>
      <c r="AL470" t="e">
        <f>Africa!D159+"n/&gt;!690"</f>
        <v>#VALUE!</v>
      </c>
      <c r="AM470" t="e">
        <f>Africa!E159+"n/&gt;!691"</f>
        <v>#VALUE!</v>
      </c>
      <c r="AN470" t="e">
        <f>Africa!F159+"n/&gt;!692"</f>
        <v>#VALUE!</v>
      </c>
      <c r="AO470" t="e">
        <f>Africa!G159+"n/&gt;!693"</f>
        <v>#VALUE!</v>
      </c>
      <c r="AP470" t="e">
        <f>Africa!H159+"n/&gt;!694"</f>
        <v>#VALUE!</v>
      </c>
      <c r="AQ470" t="e">
        <f>Africa!I159+"n/&gt;!695"</f>
        <v>#VALUE!</v>
      </c>
      <c r="AR470" t="e">
        <f>Africa!A160+"n/&gt;!696"</f>
        <v>#VALUE!</v>
      </c>
      <c r="AS470" t="e">
        <f>Africa!B160+"n/&gt;!697"</f>
        <v>#VALUE!</v>
      </c>
      <c r="AT470" t="e">
        <f>Africa!C160+"n/&gt;!698"</f>
        <v>#VALUE!</v>
      </c>
      <c r="AU470" t="e">
        <f>Africa!D160+"n/&gt;!699"</f>
        <v>#VALUE!</v>
      </c>
      <c r="AV470" t="e">
        <f>Africa!E160+"n/&gt;!69:"</f>
        <v>#VALUE!</v>
      </c>
      <c r="AW470" t="e">
        <f>Africa!F160+"n/&gt;!69;"</f>
        <v>#VALUE!</v>
      </c>
      <c r="AX470" t="e">
        <f>Africa!G160+"n/&gt;!69&lt;"</f>
        <v>#VALUE!</v>
      </c>
      <c r="AY470" t="e">
        <f>Africa!H160+"n/&gt;!69="</f>
        <v>#VALUE!</v>
      </c>
      <c r="AZ470" t="e">
        <f>Africa!I160+"n/&gt;!69&gt;"</f>
        <v>#VALUE!</v>
      </c>
      <c r="BA470" t="e">
        <f>Africa!A161+"n/&gt;!69?"</f>
        <v>#VALUE!</v>
      </c>
      <c r="BB470" t="e">
        <f>Africa!B161+"n/&gt;!69@"</f>
        <v>#VALUE!</v>
      </c>
      <c r="BC470" t="e">
        <f>Africa!C161+"n/&gt;!69A"</f>
        <v>#VALUE!</v>
      </c>
      <c r="BD470" t="e">
        <f>Africa!D161+"n/&gt;!69B"</f>
        <v>#VALUE!</v>
      </c>
      <c r="BE470" t="e">
        <f>Africa!E161+"n/&gt;!69C"</f>
        <v>#VALUE!</v>
      </c>
      <c r="BF470" t="e">
        <f>Africa!F161+"n/&gt;!69D"</f>
        <v>#VALUE!</v>
      </c>
      <c r="BG470" t="e">
        <f>Africa!G161+"n/&gt;!69E"</f>
        <v>#VALUE!</v>
      </c>
      <c r="BH470" t="e">
        <f>Africa!H161+"n/&gt;!69F"</f>
        <v>#VALUE!</v>
      </c>
      <c r="BI470" t="e">
        <f>Africa!I161+"n/&gt;!69G"</f>
        <v>#VALUE!</v>
      </c>
      <c r="BJ470" t="e">
        <f>Africa!A162+"n/&gt;!69H"</f>
        <v>#VALUE!</v>
      </c>
      <c r="BK470" t="e">
        <f>Africa!B162+"n/&gt;!69I"</f>
        <v>#VALUE!</v>
      </c>
      <c r="BL470" t="e">
        <f>Africa!C162+"n/&gt;!69J"</f>
        <v>#VALUE!</v>
      </c>
      <c r="BM470" t="e">
        <f>Africa!D162+"n/&gt;!69K"</f>
        <v>#VALUE!</v>
      </c>
      <c r="BN470" t="e">
        <f>Africa!E162+"n/&gt;!69L"</f>
        <v>#VALUE!</v>
      </c>
      <c r="BO470" t="e">
        <f>Africa!F162+"n/&gt;!69M"</f>
        <v>#VALUE!</v>
      </c>
      <c r="BP470" t="e">
        <f>Africa!G162+"n/&gt;!69N"</f>
        <v>#VALUE!</v>
      </c>
      <c r="BQ470" t="e">
        <f>Africa!H162+"n/&gt;!69O"</f>
        <v>#VALUE!</v>
      </c>
      <c r="BR470" t="e">
        <f>Africa!I162+"n/&gt;!69P"</f>
        <v>#VALUE!</v>
      </c>
      <c r="BS470" t="e">
        <f>Africa!A163+"n/&gt;!69Q"</f>
        <v>#VALUE!</v>
      </c>
      <c r="BT470" t="e">
        <f>Africa!B163+"n/&gt;!69R"</f>
        <v>#VALUE!</v>
      </c>
      <c r="BU470" t="e">
        <f>Africa!C163+"n/&gt;!69S"</f>
        <v>#VALUE!</v>
      </c>
      <c r="BV470" t="e">
        <f>Africa!D163+"n/&gt;!69T"</f>
        <v>#VALUE!</v>
      </c>
      <c r="BW470" t="e">
        <f>Africa!E163+"n/&gt;!69U"</f>
        <v>#VALUE!</v>
      </c>
      <c r="BX470" t="e">
        <f>Africa!F163+"n/&gt;!69V"</f>
        <v>#VALUE!</v>
      </c>
      <c r="BY470" t="e">
        <f>Africa!G163+"n/&gt;!69W"</f>
        <v>#VALUE!</v>
      </c>
      <c r="BZ470" t="e">
        <f>Africa!H163+"n/&gt;!69X"</f>
        <v>#VALUE!</v>
      </c>
      <c r="CA470" t="e">
        <f>Africa!I163+"n/&gt;!69Y"</f>
        <v>#VALUE!</v>
      </c>
      <c r="CB470" t="e">
        <f>Africa!A164+"n/&gt;!69Z"</f>
        <v>#VALUE!</v>
      </c>
      <c r="CC470" t="e">
        <f>Africa!B164+"n/&gt;!69["</f>
        <v>#VALUE!</v>
      </c>
      <c r="CD470" t="e">
        <f>Africa!C164+"n/&gt;!69\"</f>
        <v>#VALUE!</v>
      </c>
      <c r="CE470" t="e">
        <f>Africa!D164+"n/&gt;!69]"</f>
        <v>#VALUE!</v>
      </c>
      <c r="CF470" t="e">
        <f>Africa!E164+"n/&gt;!69^"</f>
        <v>#VALUE!</v>
      </c>
      <c r="CG470" t="e">
        <f>Africa!F164+"n/&gt;!69_"</f>
        <v>#VALUE!</v>
      </c>
      <c r="CH470" t="e">
        <f>Africa!G164+"n/&gt;!69`"</f>
        <v>#VALUE!</v>
      </c>
      <c r="CI470" t="e">
        <f>Africa!H164+"n/&gt;!69a"</f>
        <v>#VALUE!</v>
      </c>
      <c r="CJ470" t="e">
        <f>Africa!I164+"n/&gt;!69b"</f>
        <v>#VALUE!</v>
      </c>
      <c r="CK470" t="e">
        <f>Africa!A165+"n/&gt;!69c"</f>
        <v>#VALUE!</v>
      </c>
      <c r="CL470" t="e">
        <f>Africa!B165+"n/&gt;!69d"</f>
        <v>#VALUE!</v>
      </c>
      <c r="CM470" t="e">
        <f>Africa!C165+"n/&gt;!69e"</f>
        <v>#VALUE!</v>
      </c>
      <c r="CN470" t="e">
        <f>Africa!D165+"n/&gt;!69f"</f>
        <v>#VALUE!</v>
      </c>
      <c r="CO470" t="e">
        <f>Africa!E165+"n/&gt;!69g"</f>
        <v>#VALUE!</v>
      </c>
      <c r="CP470" t="e">
        <f>Africa!F165+"n/&gt;!69h"</f>
        <v>#VALUE!</v>
      </c>
      <c r="CQ470" t="e">
        <f>Africa!G165+"n/&gt;!69i"</f>
        <v>#VALUE!</v>
      </c>
      <c r="CR470" t="e">
        <f>Africa!H165+"n/&gt;!69j"</f>
        <v>#VALUE!</v>
      </c>
      <c r="CS470" t="e">
        <f>Africa!I165+"n/&gt;!69k"</f>
        <v>#VALUE!</v>
      </c>
      <c r="CT470" t="e">
        <f>Africa!A166+"n/&gt;!69l"</f>
        <v>#VALUE!</v>
      </c>
      <c r="CU470" t="e">
        <f>Africa!B166+"n/&gt;!69m"</f>
        <v>#VALUE!</v>
      </c>
      <c r="CV470" t="e">
        <f>Africa!C166+"n/&gt;!69n"</f>
        <v>#VALUE!</v>
      </c>
      <c r="CW470" t="e">
        <f>Africa!D166+"n/&gt;!69o"</f>
        <v>#VALUE!</v>
      </c>
      <c r="CX470" t="e">
        <f>Africa!E166+"n/&gt;!69p"</f>
        <v>#VALUE!</v>
      </c>
      <c r="CY470" t="e">
        <f>Africa!F166+"n/&gt;!69q"</f>
        <v>#VALUE!</v>
      </c>
      <c r="CZ470" t="e">
        <f>Africa!G166+"n/&gt;!69r"</f>
        <v>#VALUE!</v>
      </c>
      <c r="DA470" t="e">
        <f>Africa!H166+"n/&gt;!69s"</f>
        <v>#VALUE!</v>
      </c>
      <c r="DB470" t="e">
        <f>Africa!I166+"n/&gt;!69t"</f>
        <v>#VALUE!</v>
      </c>
      <c r="DC470" t="e">
        <f>Africa!A167+"n/&gt;!69u"</f>
        <v>#VALUE!</v>
      </c>
      <c r="DD470" t="e">
        <f>Africa!B167+"n/&gt;!69v"</f>
        <v>#VALUE!</v>
      </c>
      <c r="DE470" t="e">
        <f>Africa!C167+"n/&gt;!69w"</f>
        <v>#VALUE!</v>
      </c>
      <c r="DF470" t="e">
        <f>Africa!D167+"n/&gt;!69x"</f>
        <v>#VALUE!</v>
      </c>
      <c r="DG470" t="e">
        <f>Africa!E167+"n/&gt;!69y"</f>
        <v>#VALUE!</v>
      </c>
      <c r="DH470" t="e">
        <f>Africa!F167+"n/&gt;!69z"</f>
        <v>#VALUE!</v>
      </c>
      <c r="DI470" t="e">
        <f>Africa!G167+"n/&gt;!69{"</f>
        <v>#VALUE!</v>
      </c>
      <c r="DJ470" t="e">
        <f>Africa!H167+"n/&gt;!69|"</f>
        <v>#VALUE!</v>
      </c>
      <c r="DK470" t="e">
        <f>Africa!I167+"n/&gt;!69}"</f>
        <v>#VALUE!</v>
      </c>
      <c r="DL470" t="e">
        <f>Africa!A168+"n/&gt;!69~"</f>
        <v>#VALUE!</v>
      </c>
      <c r="DM470" t="e">
        <f>Africa!B168+"n/&gt;!6:#"</f>
        <v>#VALUE!</v>
      </c>
      <c r="DN470" t="e">
        <f>Africa!C168+"n/&gt;!6:$"</f>
        <v>#VALUE!</v>
      </c>
      <c r="DO470" t="e">
        <f>Africa!D168+"n/&gt;!6:%"</f>
        <v>#VALUE!</v>
      </c>
      <c r="DP470" t="e">
        <f>Africa!E168+"n/&gt;!6:&amp;"</f>
        <v>#VALUE!</v>
      </c>
      <c r="DQ470" t="e">
        <f>Africa!F168+"n/&gt;!6:'"</f>
        <v>#VALUE!</v>
      </c>
      <c r="DR470" t="e">
        <f>Africa!G168+"n/&gt;!6:("</f>
        <v>#VALUE!</v>
      </c>
      <c r="DS470" t="e">
        <f>Africa!H168+"n/&gt;!6:)"</f>
        <v>#VALUE!</v>
      </c>
      <c r="DT470" t="e">
        <f>Africa!I168+"n/&gt;!6:."</f>
        <v>#VALUE!</v>
      </c>
      <c r="DU470" t="e">
        <f>Africa!A169+"n/&gt;!6:/"</f>
        <v>#VALUE!</v>
      </c>
      <c r="DV470" t="e">
        <f>Africa!B169+"n/&gt;!6:0"</f>
        <v>#VALUE!</v>
      </c>
      <c r="DW470" t="e">
        <f>Africa!C169+"n/&gt;!6:1"</f>
        <v>#VALUE!</v>
      </c>
      <c r="DX470" t="e">
        <f>Africa!D169+"n/&gt;!6:2"</f>
        <v>#VALUE!</v>
      </c>
      <c r="DY470" t="e">
        <f>Africa!E169+"n/&gt;!6:3"</f>
        <v>#VALUE!</v>
      </c>
      <c r="DZ470" t="e">
        <f>Africa!F169+"n/&gt;!6:4"</f>
        <v>#VALUE!</v>
      </c>
      <c r="EA470" t="e">
        <f>Africa!G169+"n/&gt;!6:5"</f>
        <v>#VALUE!</v>
      </c>
      <c r="EB470" t="e">
        <f>Africa!H169+"n/&gt;!6:6"</f>
        <v>#VALUE!</v>
      </c>
      <c r="EC470" t="e">
        <f>Africa!I169+"n/&gt;!6:7"</f>
        <v>#VALUE!</v>
      </c>
      <c r="ED470" t="e">
        <f>Africa!A170+"n/&gt;!6:8"</f>
        <v>#VALUE!</v>
      </c>
      <c r="EE470" t="e">
        <f>Africa!B170+"n/&gt;!6:9"</f>
        <v>#VALUE!</v>
      </c>
      <c r="EF470" t="e">
        <f>Africa!C170+"n/&gt;!6::"</f>
        <v>#VALUE!</v>
      </c>
      <c r="EG470" t="e">
        <f>Africa!D170+"n/&gt;!6:;"</f>
        <v>#VALUE!</v>
      </c>
      <c r="EH470" t="e">
        <f>Africa!E170+"n/&gt;!6:&lt;"</f>
        <v>#VALUE!</v>
      </c>
      <c r="EI470" t="e">
        <f>Africa!F170+"n/&gt;!6:="</f>
        <v>#VALUE!</v>
      </c>
      <c r="EJ470" t="e">
        <f>Africa!G170+"n/&gt;!6:&gt;"</f>
        <v>#VALUE!</v>
      </c>
      <c r="EK470" t="e">
        <f>Africa!H170+"n/&gt;!6:?"</f>
        <v>#VALUE!</v>
      </c>
      <c r="EL470" t="e">
        <f>Africa!I170+"n/&gt;!6:@"</f>
        <v>#VALUE!</v>
      </c>
      <c r="EM470" t="e">
        <f>Africa!A171+"n/&gt;!6:A"</f>
        <v>#VALUE!</v>
      </c>
      <c r="EN470" t="e">
        <f>Africa!B171+"n/&gt;!6:B"</f>
        <v>#VALUE!</v>
      </c>
      <c r="EO470" t="e">
        <f>Africa!C171+"n/&gt;!6:C"</f>
        <v>#VALUE!</v>
      </c>
      <c r="EP470" t="e">
        <f>Africa!D171+"n/&gt;!6:D"</f>
        <v>#VALUE!</v>
      </c>
      <c r="EQ470" t="e">
        <f>Africa!E171+"n/&gt;!6:E"</f>
        <v>#VALUE!</v>
      </c>
      <c r="ER470" t="e">
        <f>Africa!F171+"n/&gt;!6:F"</f>
        <v>#VALUE!</v>
      </c>
      <c r="ES470" t="e">
        <f>Africa!G171+"n/&gt;!6:G"</f>
        <v>#VALUE!</v>
      </c>
      <c r="ET470" t="e">
        <f>Africa!H171+"n/&gt;!6:H"</f>
        <v>#VALUE!</v>
      </c>
      <c r="EU470" t="e">
        <f>Africa!I171+"n/&gt;!6:I"</f>
        <v>#VALUE!</v>
      </c>
      <c r="EV470" t="e">
        <f>Africa!A172+"n/&gt;!6:J"</f>
        <v>#VALUE!</v>
      </c>
      <c r="EW470" t="e">
        <f>Africa!B172+"n/&gt;!6:K"</f>
        <v>#VALUE!</v>
      </c>
      <c r="EX470" t="e">
        <f>Africa!C172+"n/&gt;!6:L"</f>
        <v>#VALUE!</v>
      </c>
      <c r="EY470" t="e">
        <f>Africa!D172+"n/&gt;!6:M"</f>
        <v>#VALUE!</v>
      </c>
      <c r="EZ470" t="e">
        <f>Africa!E172+"n/&gt;!6:N"</f>
        <v>#VALUE!</v>
      </c>
      <c r="FA470" t="e">
        <f>Africa!F172+"n/&gt;!6:O"</f>
        <v>#VALUE!</v>
      </c>
      <c r="FB470" t="e">
        <f>Africa!G172+"n/&gt;!6:P"</f>
        <v>#VALUE!</v>
      </c>
      <c r="FC470" t="e">
        <f>Africa!H172+"n/&gt;!6:Q"</f>
        <v>#VALUE!</v>
      </c>
      <c r="FD470" t="e">
        <f>Africa!I172+"n/&gt;!6:R"</f>
        <v>#VALUE!</v>
      </c>
      <c r="FE470" t="e">
        <f>Africa!A173+"n/&gt;!6:S"</f>
        <v>#VALUE!</v>
      </c>
      <c r="FF470" t="e">
        <f>Africa!B173+"n/&gt;!6:T"</f>
        <v>#VALUE!</v>
      </c>
      <c r="FG470" t="e">
        <f>Africa!C173+"n/&gt;!6:U"</f>
        <v>#VALUE!</v>
      </c>
      <c r="FH470" t="e">
        <f>Africa!D173+"n/&gt;!6:V"</f>
        <v>#VALUE!</v>
      </c>
      <c r="FI470" t="e">
        <f>Africa!E173+"n/&gt;!6:W"</f>
        <v>#VALUE!</v>
      </c>
      <c r="FJ470" t="e">
        <f>Africa!F173+"n/&gt;!6:X"</f>
        <v>#VALUE!</v>
      </c>
      <c r="FK470" t="e">
        <f>Africa!G173+"n/&gt;!6:Y"</f>
        <v>#VALUE!</v>
      </c>
      <c r="FL470" t="e">
        <f>Africa!H173+"n/&gt;!6:Z"</f>
        <v>#VALUE!</v>
      </c>
      <c r="FM470" t="e">
        <f>Africa!I173+"n/&gt;!6:["</f>
        <v>#VALUE!</v>
      </c>
      <c r="FN470" t="e">
        <f>Africa!A174+"n/&gt;!6:\"</f>
        <v>#VALUE!</v>
      </c>
      <c r="FO470" t="e">
        <f>Africa!B174+"n/&gt;!6:]"</f>
        <v>#VALUE!</v>
      </c>
      <c r="FP470" t="e">
        <f>Africa!C174+"n/&gt;!6:^"</f>
        <v>#VALUE!</v>
      </c>
      <c r="FQ470" t="e">
        <f>Africa!D174+"n/&gt;!6:_"</f>
        <v>#VALUE!</v>
      </c>
      <c r="FR470" t="e">
        <f>Africa!E174+"n/&gt;!6:`"</f>
        <v>#VALUE!</v>
      </c>
      <c r="FS470" t="e">
        <f>Africa!F174+"n/&gt;!6:a"</f>
        <v>#VALUE!</v>
      </c>
      <c r="FT470" t="e">
        <f>Africa!G174+"n/&gt;!6:b"</f>
        <v>#VALUE!</v>
      </c>
      <c r="FU470" t="e">
        <f>Africa!H174+"n/&gt;!6:c"</f>
        <v>#VALUE!</v>
      </c>
      <c r="FV470" t="e">
        <f>Africa!I174+"n/&gt;!6:d"</f>
        <v>#VALUE!</v>
      </c>
      <c r="FW470" t="e">
        <f>Africa!A175+"n/&gt;!6:e"</f>
        <v>#VALUE!</v>
      </c>
      <c r="FX470" t="e">
        <f>Africa!B175+"n/&gt;!6:f"</f>
        <v>#VALUE!</v>
      </c>
      <c r="FY470" t="e">
        <f>Africa!C175+"n/&gt;!6:g"</f>
        <v>#VALUE!</v>
      </c>
      <c r="FZ470" t="e">
        <f>Africa!D175+"n/&gt;!6:h"</f>
        <v>#VALUE!</v>
      </c>
      <c r="GA470" t="e">
        <f>Africa!E175+"n/&gt;!6:i"</f>
        <v>#VALUE!</v>
      </c>
      <c r="GB470" t="e">
        <f>Africa!F175+"n/&gt;!6:j"</f>
        <v>#VALUE!</v>
      </c>
      <c r="GC470" t="e">
        <f>Africa!G175+"n/&gt;!6:k"</f>
        <v>#VALUE!</v>
      </c>
      <c r="GD470" t="e">
        <f>Africa!H175+"n/&gt;!6:l"</f>
        <v>#VALUE!</v>
      </c>
      <c r="GE470" t="e">
        <f>Africa!I175+"n/&gt;!6:m"</f>
        <v>#VALUE!</v>
      </c>
      <c r="GF470" t="e">
        <f>Africa!A176+"n/&gt;!6:n"</f>
        <v>#VALUE!</v>
      </c>
      <c r="GG470" t="e">
        <f>Africa!B176+"n/&gt;!6:o"</f>
        <v>#VALUE!</v>
      </c>
      <c r="GH470" t="e">
        <f>Africa!C176+"n/&gt;!6:p"</f>
        <v>#VALUE!</v>
      </c>
      <c r="GI470" t="e">
        <f>Africa!D176+"n/&gt;!6:q"</f>
        <v>#VALUE!</v>
      </c>
      <c r="GJ470" t="e">
        <f>Africa!E176+"n/&gt;!6:r"</f>
        <v>#VALUE!</v>
      </c>
      <c r="GK470" t="e">
        <f>Africa!F176+"n/&gt;!6:s"</f>
        <v>#VALUE!</v>
      </c>
      <c r="GL470" t="e">
        <f>Africa!G176+"n/&gt;!6:t"</f>
        <v>#VALUE!</v>
      </c>
      <c r="GM470" t="e">
        <f>Africa!H176+"n/&gt;!6:u"</f>
        <v>#VALUE!</v>
      </c>
      <c r="GN470" t="e">
        <f>Africa!I176+"n/&gt;!6:v"</f>
        <v>#VALUE!</v>
      </c>
      <c r="GO470" t="e">
        <f>Africa!A177+"n/&gt;!6:w"</f>
        <v>#VALUE!</v>
      </c>
      <c r="GP470" t="e">
        <f>Africa!B177+"n/&gt;!6:x"</f>
        <v>#VALUE!</v>
      </c>
      <c r="GQ470" t="e">
        <f>Africa!C177+"n/&gt;!6:y"</f>
        <v>#VALUE!</v>
      </c>
      <c r="GR470" t="e">
        <f>Africa!D177+"n/&gt;!6:z"</f>
        <v>#VALUE!</v>
      </c>
      <c r="GS470" t="e">
        <f>Africa!E177+"n/&gt;!6:{"</f>
        <v>#VALUE!</v>
      </c>
      <c r="GT470" t="e">
        <f>Africa!F177+"n/&gt;!6:|"</f>
        <v>#VALUE!</v>
      </c>
      <c r="GU470" t="e">
        <f>Africa!G177+"n/&gt;!6:}"</f>
        <v>#VALUE!</v>
      </c>
      <c r="GV470" t="e">
        <f>Africa!H177+"n/&gt;!6:~"</f>
        <v>#VALUE!</v>
      </c>
      <c r="GW470" t="e">
        <f>Africa!I177+"n/&gt;!6;#"</f>
        <v>#VALUE!</v>
      </c>
      <c r="GX470" t="e">
        <f>Africa!A178+"n/&gt;!6;$"</f>
        <v>#VALUE!</v>
      </c>
      <c r="GY470" t="e">
        <f>Africa!B178+"n/&gt;!6;%"</f>
        <v>#VALUE!</v>
      </c>
      <c r="GZ470" t="e">
        <f>Africa!C178+"n/&gt;!6;&amp;"</f>
        <v>#VALUE!</v>
      </c>
      <c r="HA470" t="e">
        <f>Africa!D178+"n/&gt;!6;'"</f>
        <v>#VALUE!</v>
      </c>
      <c r="HB470" t="e">
        <f>Africa!E178+"n/&gt;!6;("</f>
        <v>#VALUE!</v>
      </c>
      <c r="HC470" t="e">
        <f>Africa!F178+"n/&gt;!6;)"</f>
        <v>#VALUE!</v>
      </c>
      <c r="HD470" t="e">
        <f>Africa!G178+"n/&gt;!6;."</f>
        <v>#VALUE!</v>
      </c>
      <c r="HE470" t="e">
        <f>Africa!H178+"n/&gt;!6;/"</f>
        <v>#VALUE!</v>
      </c>
      <c r="HF470" t="e">
        <f>Africa!I178+"n/&gt;!6;0"</f>
        <v>#VALUE!</v>
      </c>
      <c r="HG470" t="e">
        <f>Africa!A179+"n/&gt;!6;1"</f>
        <v>#VALUE!</v>
      </c>
      <c r="HH470" t="e">
        <f>Africa!B179+"n/&gt;!6;2"</f>
        <v>#VALUE!</v>
      </c>
      <c r="HI470" t="e">
        <f>Africa!C179+"n/&gt;!6;3"</f>
        <v>#VALUE!</v>
      </c>
      <c r="HJ470" t="e">
        <f>Africa!D179+"n/&gt;!6;4"</f>
        <v>#VALUE!</v>
      </c>
      <c r="HK470" t="e">
        <f>Africa!E179+"n/&gt;!6;5"</f>
        <v>#VALUE!</v>
      </c>
      <c r="HL470" t="e">
        <f>Africa!F179+"n/&gt;!6;6"</f>
        <v>#VALUE!</v>
      </c>
      <c r="HM470" t="e">
        <f>Africa!G179+"n/&gt;!6;7"</f>
        <v>#VALUE!</v>
      </c>
      <c r="HN470" t="e">
        <f>Africa!H179+"n/&gt;!6;8"</f>
        <v>#VALUE!</v>
      </c>
      <c r="HO470" t="e">
        <f>Africa!I179+"n/&gt;!6;9"</f>
        <v>#VALUE!</v>
      </c>
      <c r="HP470" t="e">
        <f>Africa!A180+"n/&gt;!6;:"</f>
        <v>#VALUE!</v>
      </c>
      <c r="HQ470" t="e">
        <f>Africa!B180+"n/&gt;!6;;"</f>
        <v>#VALUE!</v>
      </c>
      <c r="HR470" t="e">
        <f>Africa!C180+"n/&gt;!6;&lt;"</f>
        <v>#VALUE!</v>
      </c>
      <c r="HS470" t="e">
        <f>Africa!D180+"n/&gt;!6;="</f>
        <v>#VALUE!</v>
      </c>
      <c r="HT470" t="e">
        <f>Africa!E180+"n/&gt;!6;&gt;"</f>
        <v>#VALUE!</v>
      </c>
      <c r="HU470" t="e">
        <f>Africa!F180+"n/&gt;!6;?"</f>
        <v>#VALUE!</v>
      </c>
      <c r="HV470" t="e">
        <f>Africa!G180+"n/&gt;!6;@"</f>
        <v>#VALUE!</v>
      </c>
      <c r="HW470" t="e">
        <f>Africa!H180+"n/&gt;!6;A"</f>
        <v>#VALUE!</v>
      </c>
      <c r="HX470" t="e">
        <f>Africa!I180+"n/&gt;!6;B"</f>
        <v>#VALUE!</v>
      </c>
      <c r="HY470" t="e">
        <f>Africa!A181+"n/&gt;!6;C"</f>
        <v>#VALUE!</v>
      </c>
      <c r="HZ470" t="e">
        <f>Africa!B181+"n/&gt;!6;D"</f>
        <v>#VALUE!</v>
      </c>
      <c r="IA470" t="e">
        <f>Africa!C181+"n/&gt;!6;E"</f>
        <v>#VALUE!</v>
      </c>
      <c r="IB470" t="e">
        <f>Africa!D181+"n/&gt;!6;F"</f>
        <v>#VALUE!</v>
      </c>
      <c r="IC470" t="e">
        <f>Africa!E181+"n/&gt;!6;G"</f>
        <v>#VALUE!</v>
      </c>
      <c r="ID470" t="e">
        <f>Africa!F181+"n/&gt;!6;H"</f>
        <v>#VALUE!</v>
      </c>
      <c r="IE470" t="e">
        <f>Africa!G181+"n/&gt;!6;I"</f>
        <v>#VALUE!</v>
      </c>
      <c r="IF470" t="e">
        <f>Africa!H181+"n/&gt;!6;J"</f>
        <v>#VALUE!</v>
      </c>
      <c r="IG470" t="e">
        <f>Africa!I181+"n/&gt;!6;K"</f>
        <v>#VALUE!</v>
      </c>
      <c r="IH470" t="e">
        <f>Africa!A182+"n/&gt;!6;L"</f>
        <v>#VALUE!</v>
      </c>
      <c r="II470" t="e">
        <f>Africa!B182+"n/&gt;!6;M"</f>
        <v>#VALUE!</v>
      </c>
      <c r="IJ470" t="e">
        <f>Africa!C182+"n/&gt;!6;N"</f>
        <v>#VALUE!</v>
      </c>
      <c r="IK470" t="e">
        <f>Africa!D182+"n/&gt;!6;O"</f>
        <v>#VALUE!</v>
      </c>
      <c r="IL470" t="e">
        <f>Africa!E182+"n/&gt;!6;P"</f>
        <v>#VALUE!</v>
      </c>
      <c r="IM470" t="e">
        <f>Africa!F182+"n/&gt;!6;Q"</f>
        <v>#VALUE!</v>
      </c>
      <c r="IN470" t="e">
        <f>Africa!G182+"n/&gt;!6;R"</f>
        <v>#VALUE!</v>
      </c>
      <c r="IO470" t="e">
        <f>Africa!H182+"n/&gt;!6;S"</f>
        <v>#VALUE!</v>
      </c>
      <c r="IP470" t="e">
        <f>Africa!I182+"n/&gt;!6;T"</f>
        <v>#VALUE!</v>
      </c>
      <c r="IQ470" t="e">
        <f>Africa!A183+"n/&gt;!6;U"</f>
        <v>#VALUE!</v>
      </c>
      <c r="IR470" t="e">
        <f>Africa!B183+"n/&gt;!6;V"</f>
        <v>#VALUE!</v>
      </c>
      <c r="IS470" t="e">
        <f>Africa!C183+"n/&gt;!6;W"</f>
        <v>#VALUE!</v>
      </c>
      <c r="IT470" t="e">
        <f>Africa!D183+"n/&gt;!6;X"</f>
        <v>#VALUE!</v>
      </c>
      <c r="IU470" t="e">
        <f>Africa!E183+"n/&gt;!6;Y"</f>
        <v>#VALUE!</v>
      </c>
      <c r="IV470" t="e">
        <f>Africa!F183+"n/&gt;!6;Z"</f>
        <v>#VALUE!</v>
      </c>
    </row>
    <row r="471" spans="6:256" x14ac:dyDescent="0.35">
      <c r="F471" t="e">
        <f>Africa!G183+"n/&gt;!6;["</f>
        <v>#VALUE!</v>
      </c>
      <c r="G471" t="e">
        <f>Africa!H183+"n/&gt;!6;\"</f>
        <v>#VALUE!</v>
      </c>
      <c r="H471" t="e">
        <f>Africa!I183+"n/&gt;!6;]"</f>
        <v>#VALUE!</v>
      </c>
      <c r="I471" t="e">
        <f>Africa!A184+"n/&gt;!6;^"</f>
        <v>#VALUE!</v>
      </c>
      <c r="J471" t="e">
        <f>Africa!B184+"n/&gt;!6;_"</f>
        <v>#VALUE!</v>
      </c>
      <c r="K471" t="e">
        <f>Africa!C184+"n/&gt;!6;`"</f>
        <v>#VALUE!</v>
      </c>
      <c r="L471" t="e">
        <f>Africa!D184+"n/&gt;!6;a"</f>
        <v>#VALUE!</v>
      </c>
      <c r="M471" t="e">
        <f>Africa!E184+"n/&gt;!6;b"</f>
        <v>#VALUE!</v>
      </c>
      <c r="N471" t="e">
        <f>Africa!F184+"n/&gt;!6;c"</f>
        <v>#VALUE!</v>
      </c>
      <c r="O471" t="e">
        <f>Africa!G184+"n/&gt;!6;d"</f>
        <v>#VALUE!</v>
      </c>
      <c r="P471" t="e">
        <f>Africa!H184+"n/&gt;!6;e"</f>
        <v>#VALUE!</v>
      </c>
      <c r="Q471" t="e">
        <f>Africa!I184+"n/&gt;!6;f"</f>
        <v>#VALUE!</v>
      </c>
      <c r="R471" t="e">
        <f>Africa!A185+"n/&gt;!6;g"</f>
        <v>#VALUE!</v>
      </c>
      <c r="S471" t="e">
        <f>Africa!B185+"n/&gt;!6;h"</f>
        <v>#VALUE!</v>
      </c>
      <c r="T471" t="e">
        <f>Africa!C185+"n/&gt;!6;i"</f>
        <v>#VALUE!</v>
      </c>
      <c r="U471" t="e">
        <f>Africa!D185+"n/&gt;!6;j"</f>
        <v>#VALUE!</v>
      </c>
      <c r="V471" t="e">
        <f>Africa!E185+"n/&gt;!6;k"</f>
        <v>#VALUE!</v>
      </c>
      <c r="W471" t="e">
        <f>Africa!F185+"n/&gt;!6;l"</f>
        <v>#VALUE!</v>
      </c>
      <c r="X471" t="e">
        <f>Africa!G185+"n/&gt;!6;m"</f>
        <v>#VALUE!</v>
      </c>
      <c r="Y471" t="e">
        <f>Africa!H185+"n/&gt;!6;n"</f>
        <v>#VALUE!</v>
      </c>
      <c r="Z471" t="e">
        <f>Africa!I185+"n/&gt;!6;o"</f>
        <v>#VALUE!</v>
      </c>
      <c r="AA471" t="e">
        <f>Africa!A186+"n/&gt;!6;p"</f>
        <v>#VALUE!</v>
      </c>
      <c r="AB471" t="e">
        <f>Africa!B186+"n/&gt;!6;q"</f>
        <v>#VALUE!</v>
      </c>
      <c r="AC471" t="e">
        <f>Africa!C186+"n/&gt;!6;r"</f>
        <v>#VALUE!</v>
      </c>
      <c r="AD471" t="e">
        <f>Africa!D186+"n/&gt;!6;s"</f>
        <v>#VALUE!</v>
      </c>
      <c r="AE471" t="e">
        <f>Africa!E186+"n/&gt;!6;t"</f>
        <v>#VALUE!</v>
      </c>
      <c r="AF471" t="e">
        <f>Africa!F186+"n/&gt;!6;u"</f>
        <v>#VALUE!</v>
      </c>
      <c r="AG471" t="e">
        <f>Africa!G186+"n/&gt;!6;v"</f>
        <v>#VALUE!</v>
      </c>
      <c r="AH471" t="e">
        <f>Africa!H186+"n/&gt;!6;w"</f>
        <v>#VALUE!</v>
      </c>
      <c r="AI471" t="e">
        <f>Africa!I186+"n/&gt;!6;x"</f>
        <v>#VALUE!</v>
      </c>
      <c r="AJ471" t="e">
        <f>Africa!A187+"n/&gt;!6;y"</f>
        <v>#VALUE!</v>
      </c>
      <c r="AK471" t="e">
        <f>Africa!B187+"n/&gt;!6;z"</f>
        <v>#VALUE!</v>
      </c>
      <c r="AL471" t="e">
        <f>Africa!C187+"n/&gt;!6;{"</f>
        <v>#VALUE!</v>
      </c>
      <c r="AM471" t="e">
        <f>Africa!D187+"n/&gt;!6;|"</f>
        <v>#VALUE!</v>
      </c>
      <c r="AN471" t="e">
        <f>Africa!E187+"n/&gt;!6;}"</f>
        <v>#VALUE!</v>
      </c>
      <c r="AO471" t="e">
        <f>Africa!F187+"n/&gt;!6;~"</f>
        <v>#VALUE!</v>
      </c>
      <c r="AP471" t="e">
        <f>Africa!G187+"n/&gt;!6&lt;#"</f>
        <v>#VALUE!</v>
      </c>
      <c r="AQ471" t="e">
        <f>Africa!H187+"n/&gt;!6&lt;$"</f>
        <v>#VALUE!</v>
      </c>
      <c r="AR471" t="e">
        <f>Africa!I187+"n/&gt;!6&lt;%"</f>
        <v>#VALUE!</v>
      </c>
      <c r="AS471" t="e">
        <f>Africa!A188+"n/&gt;!6&lt;&amp;"</f>
        <v>#VALUE!</v>
      </c>
      <c r="AT471" t="e">
        <f>Africa!B188+"n/&gt;!6&lt;'"</f>
        <v>#VALUE!</v>
      </c>
      <c r="AU471" t="e">
        <f>Africa!C188+"n/&gt;!6&lt;("</f>
        <v>#VALUE!</v>
      </c>
      <c r="AV471" t="e">
        <f>Africa!D188+"n/&gt;!6&lt;)"</f>
        <v>#VALUE!</v>
      </c>
      <c r="AW471" t="e">
        <f>Africa!E188+"n/&gt;!6&lt;."</f>
        <v>#VALUE!</v>
      </c>
      <c r="AX471" t="e">
        <f>Africa!F188+"n/&gt;!6&lt;/"</f>
        <v>#VALUE!</v>
      </c>
      <c r="AY471" t="e">
        <f>Africa!G188+"n/&gt;!6&lt;0"</f>
        <v>#VALUE!</v>
      </c>
      <c r="AZ471" t="e">
        <f>Africa!H188+"n/&gt;!6&lt;1"</f>
        <v>#VALUE!</v>
      </c>
      <c r="BA471" t="e">
        <f>Africa!I188+"n/&gt;!6&lt;2"</f>
        <v>#VALUE!</v>
      </c>
      <c r="BB471" t="e">
        <f>Africa!A189+"n/&gt;!6&lt;3"</f>
        <v>#VALUE!</v>
      </c>
      <c r="BC471" t="e">
        <f>Africa!B189+"n/&gt;!6&lt;4"</f>
        <v>#VALUE!</v>
      </c>
      <c r="BD471" t="e">
        <f>Africa!C189+"n/&gt;!6&lt;5"</f>
        <v>#VALUE!</v>
      </c>
      <c r="BE471" t="e">
        <f>Africa!D189+"n/&gt;!6&lt;6"</f>
        <v>#VALUE!</v>
      </c>
      <c r="BF471" t="e">
        <f>Africa!E189+"n/&gt;!6&lt;7"</f>
        <v>#VALUE!</v>
      </c>
      <c r="BG471" t="e">
        <f>Africa!F189+"n/&gt;!6&lt;8"</f>
        <v>#VALUE!</v>
      </c>
      <c r="BH471" t="e">
        <f>Africa!G189+"n/&gt;!6&lt;9"</f>
        <v>#VALUE!</v>
      </c>
      <c r="BI471" t="e">
        <f>Africa!H189+"n/&gt;!6&lt;:"</f>
        <v>#VALUE!</v>
      </c>
      <c r="BJ471" t="e">
        <f>Africa!I189+"n/&gt;!6&lt;;"</f>
        <v>#VALUE!</v>
      </c>
      <c r="BK471" t="e">
        <f>Africa!A190+"n/&gt;!6&lt;&lt;"</f>
        <v>#VALUE!</v>
      </c>
      <c r="BL471" t="e">
        <f>Africa!B190+"n/&gt;!6&lt;="</f>
        <v>#VALUE!</v>
      </c>
      <c r="BM471" t="e">
        <f>Africa!C190+"n/&gt;!6&lt;&gt;"</f>
        <v>#VALUE!</v>
      </c>
      <c r="BN471" t="e">
        <f>Africa!D190+"n/&gt;!6&lt;?"</f>
        <v>#VALUE!</v>
      </c>
      <c r="BO471" t="e">
        <f>Africa!E190+"n/&gt;!6&lt;@"</f>
        <v>#VALUE!</v>
      </c>
      <c r="BP471" t="e">
        <f>Africa!F190+"n/&gt;!6&lt;A"</f>
        <v>#VALUE!</v>
      </c>
      <c r="BQ471" t="e">
        <f>Africa!G190+"n/&gt;!6&lt;B"</f>
        <v>#VALUE!</v>
      </c>
      <c r="BR471" t="e">
        <f>Africa!H190+"n/&gt;!6&lt;C"</f>
        <v>#VALUE!</v>
      </c>
      <c r="BS471" t="e">
        <f>Africa!I190+"n/&gt;!6&lt;D"</f>
        <v>#VALUE!</v>
      </c>
      <c r="BT471" t="e">
        <f>Africa!A191+"n/&gt;!6&lt;E"</f>
        <v>#VALUE!</v>
      </c>
      <c r="BU471" t="e">
        <f>Africa!B191+"n/&gt;!6&lt;F"</f>
        <v>#VALUE!</v>
      </c>
      <c r="BV471" t="e">
        <f>Africa!C191+"n/&gt;!6&lt;G"</f>
        <v>#VALUE!</v>
      </c>
      <c r="BW471" t="e">
        <f>Africa!D191+"n/&gt;!6&lt;H"</f>
        <v>#VALUE!</v>
      </c>
      <c r="BX471" t="e">
        <f>Africa!E191+"n/&gt;!6&lt;I"</f>
        <v>#VALUE!</v>
      </c>
      <c r="BY471" t="e">
        <f>Africa!F191+"n/&gt;!6&lt;J"</f>
        <v>#VALUE!</v>
      </c>
      <c r="BZ471" t="e">
        <f>Africa!G191+"n/&gt;!6&lt;K"</f>
        <v>#VALUE!</v>
      </c>
      <c r="CA471" t="e">
        <f>Africa!H191+"n/&gt;!6&lt;L"</f>
        <v>#VALUE!</v>
      </c>
      <c r="CB471" t="e">
        <f>Africa!I191+"n/&gt;!6&lt;M"</f>
        <v>#VALUE!</v>
      </c>
      <c r="CC471" t="e">
        <f>Africa!A192+"n/&gt;!6&lt;N"</f>
        <v>#VALUE!</v>
      </c>
      <c r="CD471" t="e">
        <f>Africa!B192+"n/&gt;!6&lt;O"</f>
        <v>#VALUE!</v>
      </c>
      <c r="CE471" t="e">
        <f>Africa!C192+"n/&gt;!6&lt;P"</f>
        <v>#VALUE!</v>
      </c>
      <c r="CF471" t="e">
        <f>Africa!D192+"n/&gt;!6&lt;Q"</f>
        <v>#VALUE!</v>
      </c>
      <c r="CG471" t="e">
        <f>Africa!E192+"n/&gt;!6&lt;R"</f>
        <v>#VALUE!</v>
      </c>
      <c r="CH471" t="e">
        <f>Africa!F192+"n/&gt;!6&lt;S"</f>
        <v>#VALUE!</v>
      </c>
      <c r="CI471" t="e">
        <f>Africa!G192+"n/&gt;!6&lt;T"</f>
        <v>#VALUE!</v>
      </c>
      <c r="CJ471" t="e">
        <f>Africa!H192+"n/&gt;!6&lt;U"</f>
        <v>#VALUE!</v>
      </c>
      <c r="CK471" t="e">
        <f>Africa!I192+"n/&gt;!6&lt;V"</f>
        <v>#VALUE!</v>
      </c>
      <c r="CL471" t="e">
        <f>Africa!A193+"n/&gt;!6&lt;W"</f>
        <v>#VALUE!</v>
      </c>
      <c r="CM471" t="e">
        <f>Africa!B193+"n/&gt;!6&lt;X"</f>
        <v>#VALUE!</v>
      </c>
      <c r="CN471" t="e">
        <f>Africa!C193+"n/&gt;!6&lt;Y"</f>
        <v>#VALUE!</v>
      </c>
      <c r="CO471" t="e">
        <f>Africa!D193+"n/&gt;!6&lt;Z"</f>
        <v>#VALUE!</v>
      </c>
      <c r="CP471" t="e">
        <f>Africa!E193+"n/&gt;!6&lt;["</f>
        <v>#VALUE!</v>
      </c>
      <c r="CQ471" t="e">
        <f>Africa!F193+"n/&gt;!6&lt;\"</f>
        <v>#VALUE!</v>
      </c>
      <c r="CR471" t="e">
        <f>Africa!G193+"n/&gt;!6&lt;]"</f>
        <v>#VALUE!</v>
      </c>
      <c r="CS471" t="e">
        <f>Africa!H193+"n/&gt;!6&lt;^"</f>
        <v>#VALUE!</v>
      </c>
      <c r="CT471" t="e">
        <f>Africa!I193+"n/&gt;!6&lt;_"</f>
        <v>#VALUE!</v>
      </c>
      <c r="CU471" t="e">
        <f>Africa!A194+"n/&gt;!6&lt;`"</f>
        <v>#VALUE!</v>
      </c>
      <c r="CV471" t="e">
        <f>Africa!B194+"n/&gt;!6&lt;a"</f>
        <v>#VALUE!</v>
      </c>
      <c r="CW471" t="e">
        <f>Africa!C194+"n/&gt;!6&lt;b"</f>
        <v>#VALUE!</v>
      </c>
      <c r="CX471" t="e">
        <f>Africa!D194+"n/&gt;!6&lt;c"</f>
        <v>#VALUE!</v>
      </c>
      <c r="CY471" t="e">
        <f>Africa!E194+"n/&gt;!6&lt;d"</f>
        <v>#VALUE!</v>
      </c>
      <c r="CZ471" t="e">
        <f>Africa!F194+"n/&gt;!6&lt;e"</f>
        <v>#VALUE!</v>
      </c>
      <c r="DA471" t="e">
        <f>Africa!G194+"n/&gt;!6&lt;f"</f>
        <v>#VALUE!</v>
      </c>
      <c r="DB471" t="e">
        <f>Africa!H194+"n/&gt;!6&lt;g"</f>
        <v>#VALUE!</v>
      </c>
      <c r="DC471" t="e">
        <f>Africa!I194+"n/&gt;!6&lt;h"</f>
        <v>#VALUE!</v>
      </c>
      <c r="DD471" t="e">
        <f>Africa!A195+"n/&gt;!6&lt;i"</f>
        <v>#VALUE!</v>
      </c>
      <c r="DE471" t="e">
        <f>Africa!B195+"n/&gt;!6&lt;j"</f>
        <v>#VALUE!</v>
      </c>
      <c r="DF471" t="e">
        <f>Africa!C195+"n/&gt;!6&lt;k"</f>
        <v>#VALUE!</v>
      </c>
      <c r="DG471" t="e">
        <f>Africa!D195+"n/&gt;!6&lt;l"</f>
        <v>#VALUE!</v>
      </c>
      <c r="DH471" t="e">
        <f>Africa!E195+"n/&gt;!6&lt;m"</f>
        <v>#VALUE!</v>
      </c>
      <c r="DI471" t="e">
        <f>Africa!F195+"n/&gt;!6&lt;n"</f>
        <v>#VALUE!</v>
      </c>
      <c r="DJ471" t="e">
        <f>Africa!G195+"n/&gt;!6&lt;o"</f>
        <v>#VALUE!</v>
      </c>
      <c r="DK471" t="e">
        <f>Africa!H195+"n/&gt;!6&lt;p"</f>
        <v>#VALUE!</v>
      </c>
      <c r="DL471" t="e">
        <f>Africa!I195+"n/&gt;!6&lt;q"</f>
        <v>#VALUE!</v>
      </c>
      <c r="DM471" t="e">
        <f>Africa!A196+"n/&gt;!6&lt;r"</f>
        <v>#VALUE!</v>
      </c>
      <c r="DN471" t="e">
        <f>Africa!B196+"n/&gt;!6&lt;s"</f>
        <v>#VALUE!</v>
      </c>
      <c r="DO471" t="e">
        <f>Africa!C196+"n/&gt;!6&lt;t"</f>
        <v>#VALUE!</v>
      </c>
      <c r="DP471" t="e">
        <f>Africa!D196+"n/&gt;!6&lt;u"</f>
        <v>#VALUE!</v>
      </c>
      <c r="DQ471" t="e">
        <f>Africa!E196+"n/&gt;!6&lt;v"</f>
        <v>#VALUE!</v>
      </c>
      <c r="DR471" t="e">
        <f>Africa!F196+"n/&gt;!6&lt;w"</f>
        <v>#VALUE!</v>
      </c>
      <c r="DS471" t="e">
        <f>Africa!G196+"n/&gt;!6&lt;x"</f>
        <v>#VALUE!</v>
      </c>
      <c r="DT471" t="e">
        <f>Africa!H196+"n/&gt;!6&lt;y"</f>
        <v>#VALUE!</v>
      </c>
      <c r="DU471" t="e">
        <f>Africa!I196+"n/&gt;!6&lt;z"</f>
        <v>#VALUE!</v>
      </c>
      <c r="DV471" t="e">
        <f>Africa!A197+"n/&gt;!6&lt;{"</f>
        <v>#VALUE!</v>
      </c>
      <c r="DW471" t="e">
        <f>Africa!B197+"n/&gt;!6&lt;|"</f>
        <v>#VALUE!</v>
      </c>
      <c r="DX471" t="e">
        <f>Africa!C197+"n/&gt;!6&lt;}"</f>
        <v>#VALUE!</v>
      </c>
      <c r="DY471" t="e">
        <f>Africa!D197+"n/&gt;!6&lt;~"</f>
        <v>#VALUE!</v>
      </c>
      <c r="DZ471" t="e">
        <f>Africa!E197+"n/&gt;!6=#"</f>
        <v>#VALUE!</v>
      </c>
      <c r="EA471" t="e">
        <f>Africa!F197+"n/&gt;!6=$"</f>
        <v>#VALUE!</v>
      </c>
      <c r="EB471" t="e">
        <f>Africa!G197+"n/&gt;!6=%"</f>
        <v>#VALUE!</v>
      </c>
      <c r="EC471" t="e">
        <f>Africa!H197+"n/&gt;!6=&amp;"</f>
        <v>#VALUE!</v>
      </c>
      <c r="ED471" t="e">
        <f>Africa!I197+"n/&gt;!6='"</f>
        <v>#VALUE!</v>
      </c>
      <c r="EE471" t="e">
        <f>Africa!A198+"n/&gt;!6=("</f>
        <v>#VALUE!</v>
      </c>
      <c r="EF471" t="e">
        <f>Africa!B198+"n/&gt;!6=)"</f>
        <v>#VALUE!</v>
      </c>
      <c r="EG471" t="e">
        <f>Africa!C198+"n/&gt;!6=."</f>
        <v>#VALUE!</v>
      </c>
      <c r="EH471" t="e">
        <f>Africa!D198+"n/&gt;!6=/"</f>
        <v>#VALUE!</v>
      </c>
      <c r="EI471" t="e">
        <f>Africa!E198+"n/&gt;!6=0"</f>
        <v>#VALUE!</v>
      </c>
      <c r="EJ471" t="e">
        <f>Africa!F198+"n/&gt;!6=1"</f>
        <v>#VALUE!</v>
      </c>
      <c r="EK471" t="e">
        <f>Africa!G198+"n/&gt;!6=2"</f>
        <v>#VALUE!</v>
      </c>
      <c r="EL471" t="e">
        <f>Africa!H198+"n/&gt;!6=3"</f>
        <v>#VALUE!</v>
      </c>
      <c r="EM471" t="e">
        <f>Africa!I198+"n/&gt;!6=4"</f>
        <v>#VALUE!</v>
      </c>
      <c r="EN471" t="e">
        <f>Africa!A199+"n/&gt;!6=5"</f>
        <v>#VALUE!</v>
      </c>
      <c r="EO471" t="e">
        <f>Africa!B199+"n/&gt;!6=6"</f>
        <v>#VALUE!</v>
      </c>
      <c r="EP471" t="e">
        <f>Africa!C199+"n/&gt;!6=7"</f>
        <v>#VALUE!</v>
      </c>
      <c r="EQ471" t="e">
        <f>Africa!D199+"n/&gt;!6=8"</f>
        <v>#VALUE!</v>
      </c>
      <c r="ER471" t="e">
        <f>Africa!E199+"n/&gt;!6=9"</f>
        <v>#VALUE!</v>
      </c>
      <c r="ES471" t="e">
        <f>Africa!F199+"n/&gt;!6=:"</f>
        <v>#VALUE!</v>
      </c>
      <c r="ET471" t="e">
        <f>Africa!G199+"n/&gt;!6=;"</f>
        <v>#VALUE!</v>
      </c>
      <c r="EU471" t="e">
        <f>Africa!H199+"n/&gt;!6=&lt;"</f>
        <v>#VALUE!</v>
      </c>
      <c r="EV471" t="e">
        <f>Africa!I199+"n/&gt;!6=="</f>
        <v>#VALUE!</v>
      </c>
      <c r="EW471" t="e">
        <f>Africa!A200+"n/&gt;!6=&gt;"</f>
        <v>#VALUE!</v>
      </c>
      <c r="EX471" t="e">
        <f>Africa!B200+"n/&gt;!6=?"</f>
        <v>#VALUE!</v>
      </c>
      <c r="EY471" t="e">
        <f>Africa!C200+"n/&gt;!6=@"</f>
        <v>#VALUE!</v>
      </c>
      <c r="EZ471" t="e">
        <f>Africa!D200+"n/&gt;!6=A"</f>
        <v>#VALUE!</v>
      </c>
      <c r="FA471" t="e">
        <f>Africa!E200+"n/&gt;!6=B"</f>
        <v>#VALUE!</v>
      </c>
      <c r="FB471" t="e">
        <f>Africa!F200+"n/&gt;!6=C"</f>
        <v>#VALUE!</v>
      </c>
      <c r="FC471" t="e">
        <f>Africa!G200+"n/&gt;!6=D"</f>
        <v>#VALUE!</v>
      </c>
      <c r="FD471" t="e">
        <f>Africa!H200+"n/&gt;!6=E"</f>
        <v>#VALUE!</v>
      </c>
      <c r="FE471" t="e">
        <f>Africa!I200+"n/&gt;!6=F"</f>
        <v>#VALUE!</v>
      </c>
      <c r="FF471" t="e">
        <f>Africa!A201+"n/&gt;!6=G"</f>
        <v>#VALUE!</v>
      </c>
      <c r="FG471" t="e">
        <f>Africa!B201+"n/&gt;!6=H"</f>
        <v>#VALUE!</v>
      </c>
      <c r="FH471" t="e">
        <f>Africa!C201+"n/&gt;!6=I"</f>
        <v>#VALUE!</v>
      </c>
      <c r="FI471" t="e">
        <f>Africa!D201+"n/&gt;!6=J"</f>
        <v>#VALUE!</v>
      </c>
      <c r="FJ471" t="e">
        <f>Africa!E201+"n/&gt;!6=K"</f>
        <v>#VALUE!</v>
      </c>
      <c r="FK471" t="e">
        <f>Africa!F201+"n/&gt;!6=L"</f>
        <v>#VALUE!</v>
      </c>
      <c r="FL471" t="e">
        <f>Africa!G201+"n/&gt;!6=M"</f>
        <v>#VALUE!</v>
      </c>
      <c r="FM471" t="e">
        <f>Africa!H201+"n/&gt;!6=N"</f>
        <v>#VALUE!</v>
      </c>
      <c r="FN471" t="e">
        <f>Africa!I201+"n/&gt;!6=O"</f>
        <v>#VALUE!</v>
      </c>
      <c r="FO471" t="e">
        <f>Africa!A202+"n/&gt;!6=P"</f>
        <v>#VALUE!</v>
      </c>
      <c r="FP471" t="e">
        <f>Africa!B202+"n/&gt;!6=Q"</f>
        <v>#VALUE!</v>
      </c>
      <c r="FQ471" t="e">
        <f>Africa!C202+"n/&gt;!6=R"</f>
        <v>#VALUE!</v>
      </c>
      <c r="FR471" t="e">
        <f>Africa!D202+"n/&gt;!6=S"</f>
        <v>#VALUE!</v>
      </c>
      <c r="FS471" t="e">
        <f>Africa!E202+"n/&gt;!6=T"</f>
        <v>#VALUE!</v>
      </c>
      <c r="FT471" t="e">
        <f>Africa!F202+"n/&gt;!6=U"</f>
        <v>#VALUE!</v>
      </c>
      <c r="FU471" t="e">
        <f>Africa!G202+"n/&gt;!6=V"</f>
        <v>#VALUE!</v>
      </c>
      <c r="FV471" t="e">
        <f>Africa!H202+"n/&gt;!6=W"</f>
        <v>#VALUE!</v>
      </c>
      <c r="FW471" t="e">
        <f>Africa!I202+"n/&gt;!6=X"</f>
        <v>#VALUE!</v>
      </c>
      <c r="FX471" t="e">
        <f>Africa!A203+"n/&gt;!6=Y"</f>
        <v>#VALUE!</v>
      </c>
      <c r="FY471" t="e">
        <f>Africa!B203+"n/&gt;!6=Z"</f>
        <v>#VALUE!</v>
      </c>
      <c r="FZ471" t="e">
        <f>Africa!C203+"n/&gt;!6=["</f>
        <v>#VALUE!</v>
      </c>
      <c r="GA471" t="e">
        <f>Africa!D203+"n/&gt;!6=\"</f>
        <v>#VALUE!</v>
      </c>
      <c r="GB471" t="e">
        <f>Africa!E203+"n/&gt;!6=]"</f>
        <v>#VALUE!</v>
      </c>
      <c r="GC471" t="e">
        <f>Africa!F203+"n/&gt;!6=^"</f>
        <v>#VALUE!</v>
      </c>
      <c r="GD471" t="e">
        <f>Africa!G203+"n/&gt;!6=_"</f>
        <v>#VALUE!</v>
      </c>
      <c r="GE471" t="e">
        <f>Africa!H203+"n/&gt;!6=`"</f>
        <v>#VALUE!</v>
      </c>
      <c r="GF471" t="e">
        <f>Africa!I203+"n/&gt;!6=a"</f>
        <v>#VALUE!</v>
      </c>
      <c r="GG471" t="e">
        <f>Africa!A204+"n/&gt;!6=b"</f>
        <v>#VALUE!</v>
      </c>
      <c r="GH471" t="e">
        <f>Africa!B204+"n/&gt;!6=c"</f>
        <v>#VALUE!</v>
      </c>
      <c r="GI471" t="e">
        <f>Africa!C204+"n/&gt;!6=d"</f>
        <v>#VALUE!</v>
      </c>
      <c r="GJ471" t="e">
        <f>Africa!D204+"n/&gt;!6=e"</f>
        <v>#VALUE!</v>
      </c>
      <c r="GK471" t="e">
        <f>Africa!E204+"n/&gt;!6=f"</f>
        <v>#VALUE!</v>
      </c>
      <c r="GL471" t="e">
        <f>Africa!F204+"n/&gt;!6=g"</f>
        <v>#VALUE!</v>
      </c>
      <c r="GM471" t="e">
        <f>Africa!G204+"n/&gt;!6=h"</f>
        <v>#VALUE!</v>
      </c>
      <c r="GN471" t="e">
        <f>Africa!H204+"n/&gt;!6=i"</f>
        <v>#VALUE!</v>
      </c>
      <c r="GO471" t="e">
        <f>Africa!I204+"n/&gt;!6=j"</f>
        <v>#VALUE!</v>
      </c>
      <c r="GP471" t="e">
        <f>Africa!A205+"n/&gt;!6=k"</f>
        <v>#VALUE!</v>
      </c>
      <c r="GQ471" t="e">
        <f>Africa!B205+"n/&gt;!6=l"</f>
        <v>#VALUE!</v>
      </c>
      <c r="GR471" t="e">
        <f>Africa!C205+"n/&gt;!6=m"</f>
        <v>#VALUE!</v>
      </c>
      <c r="GS471" t="e">
        <f>Africa!D205+"n/&gt;!6=n"</f>
        <v>#VALUE!</v>
      </c>
      <c r="GT471" t="e">
        <f>Africa!E205+"n/&gt;!6=o"</f>
        <v>#VALUE!</v>
      </c>
      <c r="GU471" t="e">
        <f>Africa!F205+"n/&gt;!6=p"</f>
        <v>#VALUE!</v>
      </c>
      <c r="GV471" t="e">
        <f>Africa!G205+"n/&gt;!6=q"</f>
        <v>#VALUE!</v>
      </c>
      <c r="GW471" t="e">
        <f>Africa!H205+"n/&gt;!6=r"</f>
        <v>#VALUE!</v>
      </c>
      <c r="GX471" t="e">
        <f>Africa!I205+"n/&gt;!6=s"</f>
        <v>#VALUE!</v>
      </c>
      <c r="GY471" t="e">
        <f>Africa!A206+"n/&gt;!6=t"</f>
        <v>#VALUE!</v>
      </c>
      <c r="GZ471" t="e">
        <f>Africa!B206+"n/&gt;!6=u"</f>
        <v>#VALUE!</v>
      </c>
      <c r="HA471" t="e">
        <f>Africa!C206+"n/&gt;!6=v"</f>
        <v>#VALUE!</v>
      </c>
      <c r="HB471" t="e">
        <f>Africa!D206+"n/&gt;!6=w"</f>
        <v>#VALUE!</v>
      </c>
      <c r="HC471" t="e">
        <f>Africa!E206+"n/&gt;!6=x"</f>
        <v>#VALUE!</v>
      </c>
      <c r="HD471" t="e">
        <f>Africa!F206+"n/&gt;!6=y"</f>
        <v>#VALUE!</v>
      </c>
      <c r="HE471" t="e">
        <f>Africa!G206+"n/&gt;!6=z"</f>
        <v>#VALUE!</v>
      </c>
      <c r="HF471" t="e">
        <f>Africa!H206+"n/&gt;!6={"</f>
        <v>#VALUE!</v>
      </c>
      <c r="HG471" t="e">
        <f>Africa!I206+"n/&gt;!6=|"</f>
        <v>#VALUE!</v>
      </c>
      <c r="HH471" t="e">
        <f>Africa!A207+"n/&gt;!6=}"</f>
        <v>#VALUE!</v>
      </c>
      <c r="HI471" t="e">
        <f>Africa!B207+"n/&gt;!6=~"</f>
        <v>#VALUE!</v>
      </c>
      <c r="HJ471" t="e">
        <f>Africa!C207+"n/&gt;!6&gt;#"</f>
        <v>#VALUE!</v>
      </c>
      <c r="HK471" t="e">
        <f>Africa!D207+"n/&gt;!6&gt;$"</f>
        <v>#VALUE!</v>
      </c>
      <c r="HL471" t="e">
        <f>Africa!E207+"n/&gt;!6&gt;%"</f>
        <v>#VALUE!</v>
      </c>
      <c r="HM471" t="e">
        <f>Africa!F207+"n/&gt;!6&gt;&amp;"</f>
        <v>#VALUE!</v>
      </c>
      <c r="HN471" t="e">
        <f>Africa!G207+"n/&gt;!6&gt;'"</f>
        <v>#VALUE!</v>
      </c>
      <c r="HO471" t="e">
        <f>Africa!H207+"n/&gt;!6&gt;("</f>
        <v>#VALUE!</v>
      </c>
      <c r="HP471" t="e">
        <f>Africa!I207+"n/&gt;!6&gt;)"</f>
        <v>#VALUE!</v>
      </c>
      <c r="HQ471" t="e">
        <f>Africa!A208+"n/&gt;!6&gt;."</f>
        <v>#VALUE!</v>
      </c>
      <c r="HR471" t="e">
        <f>Africa!B208+"n/&gt;!6&gt;/"</f>
        <v>#VALUE!</v>
      </c>
      <c r="HS471" t="e">
        <f>Africa!C208+"n/&gt;!6&gt;0"</f>
        <v>#VALUE!</v>
      </c>
      <c r="HT471" t="e">
        <f>Africa!D208+"n/&gt;!6&gt;1"</f>
        <v>#VALUE!</v>
      </c>
      <c r="HU471" t="e">
        <f>Africa!E208+"n/&gt;!6&gt;2"</f>
        <v>#VALUE!</v>
      </c>
      <c r="HV471" t="e">
        <f>Africa!F208+"n/&gt;!6&gt;3"</f>
        <v>#VALUE!</v>
      </c>
      <c r="HW471" t="e">
        <f>Africa!G208+"n/&gt;!6&gt;4"</f>
        <v>#VALUE!</v>
      </c>
      <c r="HX471" t="e">
        <f>Africa!H208+"n/&gt;!6&gt;5"</f>
        <v>#VALUE!</v>
      </c>
      <c r="HY471" t="e">
        <f>Africa!I208+"n/&gt;!6&gt;6"</f>
        <v>#VALUE!</v>
      </c>
      <c r="HZ471" t="e">
        <f>Africa!A209+"n/&gt;!6&gt;7"</f>
        <v>#VALUE!</v>
      </c>
      <c r="IA471" t="e">
        <f>Africa!B209+"n/&gt;!6&gt;8"</f>
        <v>#VALUE!</v>
      </c>
      <c r="IB471" t="e">
        <f>Africa!C209+"n/&gt;!6&gt;9"</f>
        <v>#VALUE!</v>
      </c>
      <c r="IC471" t="e">
        <f>Africa!D209+"n/&gt;!6&gt;:"</f>
        <v>#VALUE!</v>
      </c>
      <c r="ID471" t="e">
        <f>Africa!E209+"n/&gt;!6&gt;;"</f>
        <v>#VALUE!</v>
      </c>
      <c r="IE471" t="e">
        <f>Africa!F209+"n/&gt;!6&gt;&lt;"</f>
        <v>#VALUE!</v>
      </c>
      <c r="IF471" t="e">
        <f>Africa!G209+"n/&gt;!6&gt;="</f>
        <v>#VALUE!</v>
      </c>
      <c r="IG471" t="e">
        <f>Africa!H209+"n/&gt;!6&gt;&gt;"</f>
        <v>#VALUE!</v>
      </c>
      <c r="IH471" t="e">
        <f>Africa!I209+"n/&gt;!6&gt;?"</f>
        <v>#VALUE!</v>
      </c>
      <c r="II471" t="e">
        <f>Africa!A210+"n/&gt;!6&gt;@"</f>
        <v>#VALUE!</v>
      </c>
      <c r="IJ471" t="e">
        <f>Africa!B210+"n/&gt;!6&gt;A"</f>
        <v>#VALUE!</v>
      </c>
      <c r="IK471" t="e">
        <f>Africa!C210+"n/&gt;!6&gt;B"</f>
        <v>#VALUE!</v>
      </c>
      <c r="IL471" t="e">
        <f>Africa!D210+"n/&gt;!6&gt;C"</f>
        <v>#VALUE!</v>
      </c>
      <c r="IM471" t="e">
        <f>Africa!E210+"n/&gt;!6&gt;D"</f>
        <v>#VALUE!</v>
      </c>
      <c r="IN471" t="e">
        <f>Africa!F210+"n/&gt;!6&gt;E"</f>
        <v>#VALUE!</v>
      </c>
      <c r="IO471" t="e">
        <f>Africa!G210+"n/&gt;!6&gt;F"</f>
        <v>#VALUE!</v>
      </c>
      <c r="IP471" t="e">
        <f>Africa!H210+"n/&gt;!6&gt;G"</f>
        <v>#VALUE!</v>
      </c>
      <c r="IQ471" t="e">
        <f>Africa!I210+"n/&gt;!6&gt;H"</f>
        <v>#VALUE!</v>
      </c>
      <c r="IR471" t="e">
        <f>Africa!A211+"n/&gt;!6&gt;I"</f>
        <v>#VALUE!</v>
      </c>
      <c r="IS471" t="e">
        <f>Africa!B211+"n/&gt;!6&gt;J"</f>
        <v>#VALUE!</v>
      </c>
      <c r="IT471" t="e">
        <f>Africa!C211+"n/&gt;!6&gt;K"</f>
        <v>#VALUE!</v>
      </c>
      <c r="IU471" t="e">
        <f>Africa!D211+"n/&gt;!6&gt;L"</f>
        <v>#VALUE!</v>
      </c>
      <c r="IV471" t="e">
        <f>Africa!E211+"n/&gt;!6&gt;M"</f>
        <v>#VALUE!</v>
      </c>
    </row>
    <row r="472" spans="6:256" x14ac:dyDescent="0.35">
      <c r="F472" t="e">
        <f>Africa!F211+"n/&gt;!6&gt;N"</f>
        <v>#VALUE!</v>
      </c>
      <c r="G472" t="e">
        <f>Africa!G211+"n/&gt;!6&gt;O"</f>
        <v>#VALUE!</v>
      </c>
      <c r="H472" t="e">
        <f>Africa!H211+"n/&gt;!6&gt;P"</f>
        <v>#VALUE!</v>
      </c>
      <c r="I472" t="e">
        <f>Africa!I211+"n/&gt;!6&gt;Q"</f>
        <v>#VALUE!</v>
      </c>
      <c r="J472" t="e">
        <f>Africa!A212+"n/&gt;!6&gt;R"</f>
        <v>#VALUE!</v>
      </c>
      <c r="K472" t="e">
        <f>Africa!B212+"n/&gt;!6&gt;S"</f>
        <v>#VALUE!</v>
      </c>
      <c r="L472" t="e">
        <f>Africa!C212+"n/&gt;!6&gt;T"</f>
        <v>#VALUE!</v>
      </c>
      <c r="M472" t="e">
        <f>Africa!D212+"n/&gt;!6&gt;U"</f>
        <v>#VALUE!</v>
      </c>
      <c r="N472" t="e">
        <f>Africa!E212+"n/&gt;!6&gt;V"</f>
        <v>#VALUE!</v>
      </c>
      <c r="O472" t="e">
        <f>Africa!F212+"n/&gt;!6&gt;W"</f>
        <v>#VALUE!</v>
      </c>
      <c r="P472" t="e">
        <f>Africa!G212+"n/&gt;!6&gt;X"</f>
        <v>#VALUE!</v>
      </c>
      <c r="Q472" t="e">
        <f>Africa!H212+"n/&gt;!6&gt;Y"</f>
        <v>#VALUE!</v>
      </c>
      <c r="R472" t="e">
        <f>Africa!I212+"n/&gt;!6&gt;Z"</f>
        <v>#VALUE!</v>
      </c>
      <c r="S472" t="e">
        <f>Africa!A213+"n/&gt;!6&gt;["</f>
        <v>#VALUE!</v>
      </c>
      <c r="T472" t="e">
        <f>Africa!B213+"n/&gt;!6&gt;\"</f>
        <v>#VALUE!</v>
      </c>
      <c r="U472" t="e">
        <f>Africa!C213+"n/&gt;!6&gt;]"</f>
        <v>#VALUE!</v>
      </c>
      <c r="V472" t="e">
        <f>Africa!D213+"n/&gt;!6&gt;^"</f>
        <v>#VALUE!</v>
      </c>
      <c r="W472" t="e">
        <f>Africa!E213+"n/&gt;!6&gt;_"</f>
        <v>#VALUE!</v>
      </c>
      <c r="X472" t="e">
        <f>Africa!F213+"n/&gt;!6&gt;`"</f>
        <v>#VALUE!</v>
      </c>
      <c r="Y472" t="e">
        <f>Africa!G213+"n/&gt;!6&gt;a"</f>
        <v>#VALUE!</v>
      </c>
      <c r="Z472" t="e">
        <f>Africa!H213+"n/&gt;!6&gt;b"</f>
        <v>#VALUE!</v>
      </c>
      <c r="AA472" t="e">
        <f>Africa!I213+"n/&gt;!6&gt;c"</f>
        <v>#VALUE!</v>
      </c>
      <c r="AB472" t="e">
        <f>Africa!A214+"n/&gt;!6&gt;d"</f>
        <v>#VALUE!</v>
      </c>
      <c r="AC472" t="e">
        <f>Africa!B214+"n/&gt;!6&gt;e"</f>
        <v>#VALUE!</v>
      </c>
      <c r="AD472" t="e">
        <f>Africa!C214+"n/&gt;!6&gt;f"</f>
        <v>#VALUE!</v>
      </c>
      <c r="AE472" t="e">
        <f>Africa!D214+"n/&gt;!6&gt;g"</f>
        <v>#VALUE!</v>
      </c>
      <c r="AF472" t="e">
        <f>Africa!E214+"n/&gt;!6&gt;h"</f>
        <v>#VALUE!</v>
      </c>
      <c r="AG472" t="e">
        <f>Africa!F214+"n/&gt;!6&gt;i"</f>
        <v>#VALUE!</v>
      </c>
      <c r="AH472" t="e">
        <f>Africa!G214+"n/&gt;!6&gt;j"</f>
        <v>#VALUE!</v>
      </c>
      <c r="AI472" t="e">
        <f>Africa!H214+"n/&gt;!6&gt;k"</f>
        <v>#VALUE!</v>
      </c>
      <c r="AJ472" t="e">
        <f>Africa!I214+"n/&gt;!6&gt;l"</f>
        <v>#VALUE!</v>
      </c>
      <c r="AK472" t="e">
        <f>Africa!A215+"n/&gt;!6&gt;m"</f>
        <v>#VALUE!</v>
      </c>
      <c r="AL472" t="e">
        <f>Africa!B215+"n/&gt;!6&gt;n"</f>
        <v>#VALUE!</v>
      </c>
      <c r="AM472" t="e">
        <f>Africa!C215+"n/&gt;!6&gt;o"</f>
        <v>#VALUE!</v>
      </c>
      <c r="AN472" t="e">
        <f>Africa!D215+"n/&gt;!6&gt;p"</f>
        <v>#VALUE!</v>
      </c>
      <c r="AO472" t="e">
        <f>Africa!E215+"n/&gt;!6&gt;q"</f>
        <v>#VALUE!</v>
      </c>
      <c r="AP472" t="e">
        <f>Africa!F215+"n/&gt;!6&gt;r"</f>
        <v>#VALUE!</v>
      </c>
      <c r="AQ472" t="e">
        <f>Africa!G215+"n/&gt;!6&gt;s"</f>
        <v>#VALUE!</v>
      </c>
      <c r="AR472" t="e">
        <f>Africa!H215+"n/&gt;!6&gt;t"</f>
        <v>#VALUE!</v>
      </c>
      <c r="AS472" t="e">
        <f>Africa!I215+"n/&gt;!6&gt;u"</f>
        <v>#VALUE!</v>
      </c>
      <c r="AT472" t="e">
        <f>Africa!A216+"n/&gt;!6&gt;v"</f>
        <v>#VALUE!</v>
      </c>
      <c r="AU472" t="e">
        <f>Africa!B216+"n/&gt;!6&gt;w"</f>
        <v>#VALUE!</v>
      </c>
      <c r="AV472" t="e">
        <f>Africa!C216+"n/&gt;!6&gt;x"</f>
        <v>#VALUE!</v>
      </c>
      <c r="AW472" t="e">
        <f>Africa!D216+"n/&gt;!6&gt;y"</f>
        <v>#VALUE!</v>
      </c>
      <c r="AX472" t="e">
        <f>Africa!E216+"n/&gt;!6&gt;z"</f>
        <v>#VALUE!</v>
      </c>
      <c r="AY472" t="e">
        <f>Africa!F216+"n/&gt;!6&gt;{"</f>
        <v>#VALUE!</v>
      </c>
      <c r="AZ472" t="e">
        <f>Africa!G216+"n/&gt;!6&gt;|"</f>
        <v>#VALUE!</v>
      </c>
      <c r="BA472" t="e">
        <f>Africa!H216+"n/&gt;!6&gt;}"</f>
        <v>#VALUE!</v>
      </c>
      <c r="BB472" t="e">
        <f>Africa!I216+"n/&gt;!6&gt;~"</f>
        <v>#VALUE!</v>
      </c>
      <c r="BC472" t="e">
        <f>Africa!A217+"n/&gt;!6?#"</f>
        <v>#VALUE!</v>
      </c>
      <c r="BD472" t="e">
        <f>Africa!B217+"n/&gt;!6?$"</f>
        <v>#VALUE!</v>
      </c>
      <c r="BE472" t="e">
        <f>Africa!C217+"n/&gt;!6?%"</f>
        <v>#VALUE!</v>
      </c>
      <c r="BF472" t="e">
        <f>Africa!D217+"n/&gt;!6?&amp;"</f>
        <v>#VALUE!</v>
      </c>
      <c r="BG472" t="e">
        <f>Africa!E217+"n/&gt;!6?'"</f>
        <v>#VALUE!</v>
      </c>
      <c r="BH472" t="e">
        <f>Africa!F217+"n/&gt;!6?("</f>
        <v>#VALUE!</v>
      </c>
      <c r="BI472" t="e">
        <f>Africa!G217+"n/&gt;!6?)"</f>
        <v>#VALUE!</v>
      </c>
      <c r="BJ472" t="e">
        <f>Africa!H217+"n/&gt;!6?."</f>
        <v>#VALUE!</v>
      </c>
      <c r="BK472" t="e">
        <f>Africa!I217+"n/&gt;!6?/"</f>
        <v>#VALUE!</v>
      </c>
      <c r="BL472" t="e">
        <f>Africa!A218+"n/&gt;!6?0"</f>
        <v>#VALUE!</v>
      </c>
      <c r="BM472" t="e">
        <f>Africa!B218+"n/&gt;!6?1"</f>
        <v>#VALUE!</v>
      </c>
      <c r="BN472" t="e">
        <f>Africa!C218+"n/&gt;!6?2"</f>
        <v>#VALUE!</v>
      </c>
      <c r="BO472" t="e">
        <f>Africa!D218+"n/&gt;!6?3"</f>
        <v>#VALUE!</v>
      </c>
      <c r="BP472" t="e">
        <f>Africa!E218+"n/&gt;!6?4"</f>
        <v>#VALUE!</v>
      </c>
      <c r="BQ472" t="e">
        <f>Africa!F218+"n/&gt;!6?5"</f>
        <v>#VALUE!</v>
      </c>
      <c r="BR472" t="e">
        <f>Africa!G218+"n/&gt;!6?6"</f>
        <v>#VALUE!</v>
      </c>
      <c r="BS472" t="e">
        <f>Africa!H218+"n/&gt;!6?7"</f>
        <v>#VALUE!</v>
      </c>
      <c r="BT472" t="e">
        <f>Africa!I218+"n/&gt;!6?8"</f>
        <v>#VALUE!</v>
      </c>
      <c r="BU472" t="e">
        <f>Africa!A219+"n/&gt;!6?9"</f>
        <v>#VALUE!</v>
      </c>
      <c r="BV472" t="e">
        <f>Africa!B219+"n/&gt;!6?:"</f>
        <v>#VALUE!</v>
      </c>
      <c r="BW472" t="e">
        <f>Africa!C219+"n/&gt;!6?;"</f>
        <v>#VALUE!</v>
      </c>
      <c r="BX472" t="e">
        <f>Africa!D219+"n/&gt;!6?&lt;"</f>
        <v>#VALUE!</v>
      </c>
      <c r="BY472" t="e">
        <f>Africa!E219+"n/&gt;!6?="</f>
        <v>#VALUE!</v>
      </c>
      <c r="BZ472" t="e">
        <f>Africa!F219+"n/&gt;!6?&gt;"</f>
        <v>#VALUE!</v>
      </c>
      <c r="CA472" t="e">
        <f>Africa!G219+"n/&gt;!6??"</f>
        <v>#VALUE!</v>
      </c>
      <c r="CB472" t="e">
        <f>Africa!H219+"n/&gt;!6?@"</f>
        <v>#VALUE!</v>
      </c>
      <c r="CC472" t="e">
        <f>Africa!I219+"n/&gt;!6?A"</f>
        <v>#VALUE!</v>
      </c>
      <c r="CD472" t="e">
        <f>Africa!A220+"n/&gt;!6?B"</f>
        <v>#VALUE!</v>
      </c>
      <c r="CE472" t="e">
        <f>Africa!B220+"n/&gt;!6?C"</f>
        <v>#VALUE!</v>
      </c>
      <c r="CF472" t="e">
        <f>Africa!C220+"n/&gt;!6?D"</f>
        <v>#VALUE!</v>
      </c>
      <c r="CG472" t="e">
        <f>Africa!D220+"n/&gt;!6?E"</f>
        <v>#VALUE!</v>
      </c>
      <c r="CH472" t="e">
        <f>Africa!E220+"n/&gt;!6?F"</f>
        <v>#VALUE!</v>
      </c>
      <c r="CI472" t="e">
        <f>Africa!F220+"n/&gt;!6?G"</f>
        <v>#VALUE!</v>
      </c>
      <c r="CJ472" t="e">
        <f>Africa!G220+"n/&gt;!6?H"</f>
        <v>#VALUE!</v>
      </c>
      <c r="CK472" t="e">
        <f>Africa!H220+"n/&gt;!6?I"</f>
        <v>#VALUE!</v>
      </c>
      <c r="CL472" t="e">
        <f>Africa!I220+"n/&gt;!6?J"</f>
        <v>#VALUE!</v>
      </c>
      <c r="CM472" t="e">
        <f>Africa!A221+"n/&gt;!6?K"</f>
        <v>#VALUE!</v>
      </c>
      <c r="CN472" t="e">
        <f>Africa!B221+"n/&gt;!6?L"</f>
        <v>#VALUE!</v>
      </c>
      <c r="CO472" t="e">
        <f>Africa!C221+"n/&gt;!6?M"</f>
        <v>#VALUE!</v>
      </c>
      <c r="CP472" t="e">
        <f>Africa!D221+"n/&gt;!6?N"</f>
        <v>#VALUE!</v>
      </c>
      <c r="CQ472" t="e">
        <f>Africa!E221+"n/&gt;!6?O"</f>
        <v>#VALUE!</v>
      </c>
      <c r="CR472" t="e">
        <f>Africa!F221+"n/&gt;!6?P"</f>
        <v>#VALUE!</v>
      </c>
      <c r="CS472" t="e">
        <f>Africa!G221+"n/&gt;!6?Q"</f>
        <v>#VALUE!</v>
      </c>
      <c r="CT472" t="e">
        <f>Africa!H221+"n/&gt;!6?R"</f>
        <v>#VALUE!</v>
      </c>
      <c r="CU472" t="e">
        <f>Africa!I221+"n/&gt;!6?S"</f>
        <v>#VALUE!</v>
      </c>
      <c r="CV472" t="e">
        <f>Africa!A222+"n/&gt;!6?T"</f>
        <v>#VALUE!</v>
      </c>
      <c r="CW472" t="e">
        <f>Africa!B222+"n/&gt;!6?U"</f>
        <v>#VALUE!</v>
      </c>
      <c r="CX472" t="e">
        <f>Africa!C222+"n/&gt;!6?V"</f>
        <v>#VALUE!</v>
      </c>
      <c r="CY472" t="e">
        <f>Africa!D222+"n/&gt;!6?W"</f>
        <v>#VALUE!</v>
      </c>
      <c r="CZ472" t="e">
        <f>Africa!E222+"n/&gt;!6?X"</f>
        <v>#VALUE!</v>
      </c>
      <c r="DA472" t="e">
        <f>Africa!F222+"n/&gt;!6?Y"</f>
        <v>#VALUE!</v>
      </c>
      <c r="DB472" t="e">
        <f>Africa!G222+"n/&gt;!6?Z"</f>
        <v>#VALUE!</v>
      </c>
      <c r="DC472" t="e">
        <f>Africa!H222+"n/&gt;!6?["</f>
        <v>#VALUE!</v>
      </c>
      <c r="DD472" t="e">
        <f>Africa!I222+"n/&gt;!6?\"</f>
        <v>#VALUE!</v>
      </c>
      <c r="DE472" t="e">
        <f>Africa!A223+"n/&gt;!6?]"</f>
        <v>#VALUE!</v>
      </c>
      <c r="DF472" t="e">
        <f>Africa!B223+"n/&gt;!6?^"</f>
        <v>#VALUE!</v>
      </c>
      <c r="DG472" t="e">
        <f>Africa!C223+"n/&gt;!6?_"</f>
        <v>#VALUE!</v>
      </c>
      <c r="DH472" t="e">
        <f>Africa!D223+"n/&gt;!6?`"</f>
        <v>#VALUE!</v>
      </c>
      <c r="DI472" t="e">
        <f>Africa!E223+"n/&gt;!6?a"</f>
        <v>#VALUE!</v>
      </c>
      <c r="DJ472" t="e">
        <f>Africa!F223+"n/&gt;!6?b"</f>
        <v>#VALUE!</v>
      </c>
      <c r="DK472" t="e">
        <f>Africa!G223+"n/&gt;!6?c"</f>
        <v>#VALUE!</v>
      </c>
      <c r="DL472" t="e">
        <f>Africa!H223+"n/&gt;!6?d"</f>
        <v>#VALUE!</v>
      </c>
      <c r="DM472" t="e">
        <f>Africa!I223+"n/&gt;!6?e"</f>
        <v>#VALUE!</v>
      </c>
      <c r="DN472" t="e">
        <f>Africa!A224+"n/&gt;!6?f"</f>
        <v>#VALUE!</v>
      </c>
      <c r="DO472" t="e">
        <f>Africa!B224+"n/&gt;!6?g"</f>
        <v>#VALUE!</v>
      </c>
      <c r="DP472" t="e">
        <f>Africa!C224+"n/&gt;!6?h"</f>
        <v>#VALUE!</v>
      </c>
      <c r="DQ472" t="e">
        <f>Africa!D224+"n/&gt;!6?i"</f>
        <v>#VALUE!</v>
      </c>
      <c r="DR472" t="e">
        <f>Africa!E224+"n/&gt;!6?j"</f>
        <v>#VALUE!</v>
      </c>
      <c r="DS472" t="e">
        <f>Africa!F224+"n/&gt;!6?k"</f>
        <v>#VALUE!</v>
      </c>
      <c r="DT472" t="e">
        <f>Africa!G224+"n/&gt;!6?l"</f>
        <v>#VALUE!</v>
      </c>
      <c r="DU472" t="e">
        <f>Africa!H224+"n/&gt;!6?m"</f>
        <v>#VALUE!</v>
      </c>
      <c r="DV472" t="e">
        <f>Africa!I224+"n/&gt;!6?n"</f>
        <v>#VALUE!</v>
      </c>
      <c r="DW472" t="e">
        <f>Africa!A225+"n/&gt;!6?o"</f>
        <v>#VALUE!</v>
      </c>
      <c r="DX472" t="e">
        <f>Africa!B225+"n/&gt;!6?p"</f>
        <v>#VALUE!</v>
      </c>
      <c r="DY472" t="e">
        <f>Africa!C225+"n/&gt;!6?q"</f>
        <v>#VALUE!</v>
      </c>
      <c r="DZ472" t="e">
        <f>Africa!D225+"n/&gt;!6?r"</f>
        <v>#VALUE!</v>
      </c>
      <c r="EA472" t="e">
        <f>Africa!E225+"n/&gt;!6?s"</f>
        <v>#VALUE!</v>
      </c>
      <c r="EB472" t="e">
        <f>Africa!F225+"n/&gt;!6?t"</f>
        <v>#VALUE!</v>
      </c>
      <c r="EC472" t="e">
        <f>Africa!G225+"n/&gt;!6?u"</f>
        <v>#VALUE!</v>
      </c>
      <c r="ED472" t="e">
        <f>Africa!H225+"n/&gt;!6?v"</f>
        <v>#VALUE!</v>
      </c>
      <c r="EE472" t="e">
        <f>Africa!I225+"n/&gt;!6?w"</f>
        <v>#VALUE!</v>
      </c>
      <c r="EF472" t="e">
        <f>Africa!A226+"n/&gt;!6?x"</f>
        <v>#VALUE!</v>
      </c>
      <c r="EG472" t="e">
        <f>Africa!B226+"n/&gt;!6?y"</f>
        <v>#VALUE!</v>
      </c>
      <c r="EH472" t="e">
        <f>Africa!C226+"n/&gt;!6?z"</f>
        <v>#VALUE!</v>
      </c>
      <c r="EI472" t="e">
        <f>Africa!D226+"n/&gt;!6?{"</f>
        <v>#VALUE!</v>
      </c>
      <c r="EJ472" t="e">
        <f>Africa!E226+"n/&gt;!6?|"</f>
        <v>#VALUE!</v>
      </c>
      <c r="EK472" t="e">
        <f>Africa!F226+"n/&gt;!6?}"</f>
        <v>#VALUE!</v>
      </c>
      <c r="EL472" t="e">
        <f>Africa!G226+"n/&gt;!6?~"</f>
        <v>#VALUE!</v>
      </c>
      <c r="EM472" t="e">
        <f>Africa!H226+"n/&gt;!6@#"</f>
        <v>#VALUE!</v>
      </c>
      <c r="EN472" t="e">
        <f>Africa!I226+"n/&gt;!6@$"</f>
        <v>#VALUE!</v>
      </c>
      <c r="EO472" t="e">
        <f>Africa!A227+"n/&gt;!6@%"</f>
        <v>#VALUE!</v>
      </c>
      <c r="EP472" t="e">
        <f>Africa!B227+"n/&gt;!6@&amp;"</f>
        <v>#VALUE!</v>
      </c>
      <c r="EQ472" t="e">
        <f>Africa!C227+"n/&gt;!6@'"</f>
        <v>#VALUE!</v>
      </c>
      <c r="ER472" t="e">
        <f>Africa!D227+"n/&gt;!6@("</f>
        <v>#VALUE!</v>
      </c>
      <c r="ES472" t="e">
        <f>Africa!E227+"n/&gt;!6@)"</f>
        <v>#VALUE!</v>
      </c>
      <c r="ET472" t="e">
        <f>Africa!F227+"n/&gt;!6@."</f>
        <v>#VALUE!</v>
      </c>
      <c r="EU472" t="e">
        <f>Africa!G227+"n/&gt;!6@/"</f>
        <v>#VALUE!</v>
      </c>
      <c r="EV472" t="e">
        <f>Africa!H227+"n/&gt;!6@0"</f>
        <v>#VALUE!</v>
      </c>
      <c r="EW472" t="e">
        <f>Africa!I227+"n/&gt;!6@1"</f>
        <v>#VALUE!</v>
      </c>
      <c r="EX472" t="e">
        <f>Africa!A228+"n/&gt;!6@2"</f>
        <v>#VALUE!</v>
      </c>
      <c r="EY472" t="e">
        <f>Africa!B228+"n/&gt;!6@3"</f>
        <v>#VALUE!</v>
      </c>
      <c r="EZ472" t="e">
        <f>Africa!C228+"n/&gt;!6@4"</f>
        <v>#VALUE!</v>
      </c>
      <c r="FA472" t="e">
        <f>Africa!D228+"n/&gt;!6@5"</f>
        <v>#VALUE!</v>
      </c>
      <c r="FB472" t="e">
        <f>Africa!E228+"n/&gt;!6@6"</f>
        <v>#VALUE!</v>
      </c>
      <c r="FC472" t="e">
        <f>Africa!F228+"n/&gt;!6@7"</f>
        <v>#VALUE!</v>
      </c>
      <c r="FD472" t="e">
        <f>Africa!G228+"n/&gt;!6@8"</f>
        <v>#VALUE!</v>
      </c>
      <c r="FE472" t="e">
        <f>Africa!H228+"n/&gt;!6@9"</f>
        <v>#VALUE!</v>
      </c>
      <c r="FF472" t="e">
        <f>Africa!I228+"n/&gt;!6@:"</f>
        <v>#VALUE!</v>
      </c>
      <c r="FG472" t="e">
        <f>Africa!A229+"n/&gt;!6@;"</f>
        <v>#VALUE!</v>
      </c>
      <c r="FH472" t="e">
        <f>Africa!B229+"n/&gt;!6@&lt;"</f>
        <v>#VALUE!</v>
      </c>
      <c r="FI472" t="e">
        <f>Africa!C229+"n/&gt;!6@="</f>
        <v>#VALUE!</v>
      </c>
      <c r="FJ472" t="e">
        <f>Africa!D229+"n/&gt;!6@&gt;"</f>
        <v>#VALUE!</v>
      </c>
      <c r="FK472" t="e">
        <f>Africa!E229+"n/&gt;!6@?"</f>
        <v>#VALUE!</v>
      </c>
      <c r="FL472" t="e">
        <f>Africa!F229+"n/&gt;!6@@"</f>
        <v>#VALUE!</v>
      </c>
      <c r="FM472" t="e">
        <f>Africa!G229+"n/&gt;!6@A"</f>
        <v>#VALUE!</v>
      </c>
      <c r="FN472" t="e">
        <f>Africa!H229+"n/&gt;!6@B"</f>
        <v>#VALUE!</v>
      </c>
      <c r="FO472" t="e">
        <f>Africa!I229+"n/&gt;!6@C"</f>
        <v>#VALUE!</v>
      </c>
      <c r="FP472" t="e">
        <f>Africa!A230+"n/&gt;!6@D"</f>
        <v>#VALUE!</v>
      </c>
      <c r="FQ472" t="e">
        <f>Africa!B230+"n/&gt;!6@E"</f>
        <v>#VALUE!</v>
      </c>
      <c r="FR472" t="e">
        <f>Africa!C230+"n/&gt;!6@F"</f>
        <v>#VALUE!</v>
      </c>
      <c r="FS472" t="e">
        <f>Africa!D230+"n/&gt;!6@G"</f>
        <v>#VALUE!</v>
      </c>
      <c r="FT472" t="e">
        <f>Africa!E230+"n/&gt;!6@H"</f>
        <v>#VALUE!</v>
      </c>
      <c r="FU472" t="e">
        <f>Africa!F230+"n/&gt;!6@I"</f>
        <v>#VALUE!</v>
      </c>
      <c r="FV472" t="e">
        <f>Africa!G230+"n/&gt;!6@J"</f>
        <v>#VALUE!</v>
      </c>
      <c r="FW472" t="e">
        <f>Africa!H230+"n/&gt;!6@K"</f>
        <v>#VALUE!</v>
      </c>
      <c r="FX472" t="e">
        <f>Africa!I230+"n/&gt;!6@L"</f>
        <v>#VALUE!</v>
      </c>
      <c r="FY472" t="e">
        <f>Africa!A231+"n/&gt;!6@M"</f>
        <v>#VALUE!</v>
      </c>
      <c r="FZ472" t="e">
        <f>Africa!B231+"n/&gt;!6@N"</f>
        <v>#VALUE!</v>
      </c>
      <c r="GA472" t="e">
        <f>Africa!C231+"n/&gt;!6@O"</f>
        <v>#VALUE!</v>
      </c>
      <c r="GB472" t="e">
        <f>Africa!D231+"n/&gt;!6@P"</f>
        <v>#VALUE!</v>
      </c>
      <c r="GC472" t="e">
        <f>Africa!E231+"n/&gt;!6@Q"</f>
        <v>#VALUE!</v>
      </c>
      <c r="GD472" t="e">
        <f>Africa!F231+"n/&gt;!6@R"</f>
        <v>#VALUE!</v>
      </c>
      <c r="GE472" t="e">
        <f>Africa!G231+"n/&gt;!6@S"</f>
        <v>#VALUE!</v>
      </c>
      <c r="GF472" t="e">
        <f>Africa!H231+"n/&gt;!6@T"</f>
        <v>#VALUE!</v>
      </c>
      <c r="GG472" t="e">
        <f>Africa!I231+"n/&gt;!6@U"</f>
        <v>#VALUE!</v>
      </c>
      <c r="GH472" t="e">
        <f>Africa!A232+"n/&gt;!6@V"</f>
        <v>#VALUE!</v>
      </c>
      <c r="GI472" t="e">
        <f>Africa!B232+"n/&gt;!6@W"</f>
        <v>#VALUE!</v>
      </c>
      <c r="GJ472" t="e">
        <f>Africa!C232+"n/&gt;!6@X"</f>
        <v>#VALUE!</v>
      </c>
      <c r="GK472" t="e">
        <f>Africa!D232+"n/&gt;!6@Y"</f>
        <v>#VALUE!</v>
      </c>
      <c r="GL472" t="e">
        <f>Africa!E232+"n/&gt;!6@Z"</f>
        <v>#VALUE!</v>
      </c>
      <c r="GM472" t="e">
        <f>Africa!F232+"n/&gt;!6@["</f>
        <v>#VALUE!</v>
      </c>
      <c r="GN472" t="e">
        <f>Africa!G232+"n/&gt;!6@\"</f>
        <v>#VALUE!</v>
      </c>
      <c r="GO472" t="e">
        <f>Africa!H232+"n/&gt;!6@]"</f>
        <v>#VALUE!</v>
      </c>
      <c r="GP472" t="e">
        <f>Africa!I232+"n/&gt;!6@^"</f>
        <v>#VALUE!</v>
      </c>
      <c r="GQ472" t="e">
        <f>Africa!A233+"n/&gt;!6@_"</f>
        <v>#VALUE!</v>
      </c>
      <c r="GR472" t="e">
        <f>Africa!B233+"n/&gt;!6@`"</f>
        <v>#VALUE!</v>
      </c>
      <c r="GS472" t="e">
        <f>Africa!C233+"n/&gt;!6@a"</f>
        <v>#VALUE!</v>
      </c>
      <c r="GT472" t="e">
        <f>Africa!D233+"n/&gt;!6@b"</f>
        <v>#VALUE!</v>
      </c>
      <c r="GU472" t="e">
        <f>Africa!E233+"n/&gt;!6@c"</f>
        <v>#VALUE!</v>
      </c>
      <c r="GV472" t="e">
        <f>Africa!F233+"n/&gt;!6@d"</f>
        <v>#VALUE!</v>
      </c>
      <c r="GW472" t="e">
        <f>Africa!G233+"n/&gt;!6@e"</f>
        <v>#VALUE!</v>
      </c>
      <c r="GX472" t="e">
        <f>Africa!H233+"n/&gt;!6@f"</f>
        <v>#VALUE!</v>
      </c>
      <c r="GY472" t="e">
        <f>Africa!I233+"n/&gt;!6@g"</f>
        <v>#VALUE!</v>
      </c>
      <c r="GZ472" t="e">
        <f>Africa!A234+"n/&gt;!6@h"</f>
        <v>#VALUE!</v>
      </c>
      <c r="HA472" t="e">
        <f>Africa!B234+"n/&gt;!6@i"</f>
        <v>#VALUE!</v>
      </c>
      <c r="HB472" t="e">
        <f>Africa!C234+"n/&gt;!6@j"</f>
        <v>#VALUE!</v>
      </c>
      <c r="HC472" t="e">
        <f>Africa!D234+"n/&gt;!6@k"</f>
        <v>#VALUE!</v>
      </c>
      <c r="HD472" t="e">
        <f>Africa!E234+"n/&gt;!6@l"</f>
        <v>#VALUE!</v>
      </c>
      <c r="HE472" t="e">
        <f>Africa!F234+"n/&gt;!6@m"</f>
        <v>#VALUE!</v>
      </c>
      <c r="HF472" t="e">
        <f>Africa!G234+"n/&gt;!6@n"</f>
        <v>#VALUE!</v>
      </c>
      <c r="HG472" t="e">
        <f>Africa!H234+"n/&gt;!6@o"</f>
        <v>#VALUE!</v>
      </c>
      <c r="HH472" t="e">
        <f>Africa!I234+"n/&gt;!6@p"</f>
        <v>#VALUE!</v>
      </c>
      <c r="HI472" t="e">
        <f>Africa!A235+"n/&gt;!6@q"</f>
        <v>#VALUE!</v>
      </c>
      <c r="HJ472" t="e">
        <f>Africa!B235+"n/&gt;!6@r"</f>
        <v>#VALUE!</v>
      </c>
      <c r="HK472" t="e">
        <f>Africa!C235+"n/&gt;!6@s"</f>
        <v>#VALUE!</v>
      </c>
      <c r="HL472" t="e">
        <f>Africa!D235+"n/&gt;!6@t"</f>
        <v>#VALUE!</v>
      </c>
      <c r="HM472" t="e">
        <f>Africa!E235+"n/&gt;!6@u"</f>
        <v>#VALUE!</v>
      </c>
      <c r="HN472" t="e">
        <f>Africa!F235+"n/&gt;!6@v"</f>
        <v>#VALUE!</v>
      </c>
      <c r="HO472" t="e">
        <f>Africa!G235+"n/&gt;!6@w"</f>
        <v>#VALUE!</v>
      </c>
      <c r="HP472" t="e">
        <f>Africa!H235+"n/&gt;!6@x"</f>
        <v>#VALUE!</v>
      </c>
      <c r="HQ472" t="e">
        <f>Africa!I235+"n/&gt;!6@y"</f>
        <v>#VALUE!</v>
      </c>
      <c r="HR472" t="e">
        <f>Africa!A236+"n/&gt;!6@z"</f>
        <v>#VALUE!</v>
      </c>
      <c r="HS472" t="e">
        <f>Africa!B236+"n/&gt;!6@{"</f>
        <v>#VALUE!</v>
      </c>
      <c r="HT472" t="e">
        <f>Africa!C236+"n/&gt;!6@|"</f>
        <v>#VALUE!</v>
      </c>
      <c r="HU472" t="e">
        <f>Africa!D236+"n/&gt;!6@}"</f>
        <v>#VALUE!</v>
      </c>
      <c r="HV472" t="e">
        <f>Africa!E236+"n/&gt;!6@~"</f>
        <v>#VALUE!</v>
      </c>
      <c r="HW472" t="e">
        <f>Africa!F236+"n/&gt;!6A#"</f>
        <v>#VALUE!</v>
      </c>
      <c r="HX472" t="e">
        <f>Africa!G236+"n/&gt;!6A$"</f>
        <v>#VALUE!</v>
      </c>
      <c r="HY472" t="e">
        <f>Africa!H236+"n/&gt;!6A%"</f>
        <v>#VALUE!</v>
      </c>
      <c r="HZ472" t="e">
        <f>Africa!I236+"n/&gt;!6A&amp;"</f>
        <v>#VALUE!</v>
      </c>
      <c r="IA472" t="e">
        <f>Africa!A237+"n/&gt;!6A'"</f>
        <v>#VALUE!</v>
      </c>
      <c r="IB472" t="e">
        <f>Africa!B237+"n/&gt;!6A("</f>
        <v>#VALUE!</v>
      </c>
      <c r="IC472" t="e">
        <f>Africa!C237+"n/&gt;!6A)"</f>
        <v>#VALUE!</v>
      </c>
      <c r="ID472" t="e">
        <f>Africa!D237+"n/&gt;!6A."</f>
        <v>#VALUE!</v>
      </c>
      <c r="IE472" t="e">
        <f>Africa!E237+"n/&gt;!6A/"</f>
        <v>#VALUE!</v>
      </c>
      <c r="IF472" t="e">
        <f>Africa!F237+"n/&gt;!6A0"</f>
        <v>#VALUE!</v>
      </c>
      <c r="IG472" t="e">
        <f>Africa!G237+"n/&gt;!6A1"</f>
        <v>#VALUE!</v>
      </c>
      <c r="IH472" t="e">
        <f>Africa!H237+"n/&gt;!6A2"</f>
        <v>#VALUE!</v>
      </c>
      <c r="II472" t="e">
        <f>Africa!I237+"n/&gt;!6A3"</f>
        <v>#VALUE!</v>
      </c>
      <c r="IJ472" t="e">
        <f>Africa!A238+"n/&gt;!6A4"</f>
        <v>#VALUE!</v>
      </c>
      <c r="IK472" t="e">
        <f>Africa!B238+"n/&gt;!6A5"</f>
        <v>#VALUE!</v>
      </c>
      <c r="IL472" t="e">
        <f>Africa!C238+"n/&gt;!6A6"</f>
        <v>#VALUE!</v>
      </c>
      <c r="IM472" t="e">
        <f>Africa!D238+"n/&gt;!6A7"</f>
        <v>#VALUE!</v>
      </c>
      <c r="IN472" t="e">
        <f>Africa!E238+"n/&gt;!6A8"</f>
        <v>#VALUE!</v>
      </c>
      <c r="IO472" t="e">
        <f>Africa!F238+"n/&gt;!6A9"</f>
        <v>#VALUE!</v>
      </c>
      <c r="IP472" t="e">
        <f>Africa!G238+"n/&gt;!6A:"</f>
        <v>#VALUE!</v>
      </c>
      <c r="IQ472" t="e">
        <f>Africa!H238+"n/&gt;!6A;"</f>
        <v>#VALUE!</v>
      </c>
      <c r="IR472" t="e">
        <f>Africa!I238+"n/&gt;!6A&lt;"</f>
        <v>#VALUE!</v>
      </c>
      <c r="IS472" t="e">
        <f>Africa!A239+"n/&gt;!6A="</f>
        <v>#VALUE!</v>
      </c>
      <c r="IT472" t="e">
        <f>Africa!B239+"n/&gt;!6A&gt;"</f>
        <v>#VALUE!</v>
      </c>
      <c r="IU472" t="e">
        <f>Africa!C239+"n/&gt;!6A?"</f>
        <v>#VALUE!</v>
      </c>
      <c r="IV472" t="e">
        <f>Africa!D239+"n/&gt;!6A@"</f>
        <v>#VALUE!</v>
      </c>
    </row>
    <row r="473" spans="6:256" x14ac:dyDescent="0.35">
      <c r="F473" t="e">
        <f>Africa!E239+"n/&gt;!6AA"</f>
        <v>#VALUE!</v>
      </c>
      <c r="G473" t="e">
        <f>Africa!F239+"n/&gt;!6AB"</f>
        <v>#VALUE!</v>
      </c>
      <c r="H473" t="e">
        <f>Africa!G239+"n/&gt;!6AC"</f>
        <v>#VALUE!</v>
      </c>
      <c r="I473" t="e">
        <f>Africa!H239+"n/&gt;!6AD"</f>
        <v>#VALUE!</v>
      </c>
      <c r="J473" t="e">
        <f>Africa!I239+"n/&gt;!6AE"</f>
        <v>#VALUE!</v>
      </c>
      <c r="K473" t="e">
        <f>Africa!A240+"n/&gt;!6AF"</f>
        <v>#VALUE!</v>
      </c>
      <c r="L473" t="e">
        <f>Africa!B240+"n/&gt;!6AG"</f>
        <v>#VALUE!</v>
      </c>
      <c r="M473" t="e">
        <f>Africa!C240+"n/&gt;!6AH"</f>
        <v>#VALUE!</v>
      </c>
      <c r="N473" t="e">
        <f>Africa!D240+"n/&gt;!6AI"</f>
        <v>#VALUE!</v>
      </c>
      <c r="O473" t="e">
        <f>Africa!E240+"n/&gt;!6AJ"</f>
        <v>#VALUE!</v>
      </c>
      <c r="P473" t="e">
        <f>Africa!F240+"n/&gt;!6AK"</f>
        <v>#VALUE!</v>
      </c>
      <c r="Q473" t="e">
        <f>Africa!G240+"n/&gt;!6AL"</f>
        <v>#VALUE!</v>
      </c>
      <c r="R473" t="e">
        <f>Africa!H240+"n/&gt;!6AM"</f>
        <v>#VALUE!</v>
      </c>
      <c r="S473" t="e">
        <f>Africa!I240+"n/&gt;!6AN"</f>
        <v>#VALUE!</v>
      </c>
      <c r="T473" t="e">
        <f>Africa!A241+"n/&gt;!6AO"</f>
        <v>#VALUE!</v>
      </c>
      <c r="U473" t="e">
        <f>Africa!B241+"n/&gt;!6AP"</f>
        <v>#VALUE!</v>
      </c>
      <c r="V473" t="e">
        <f>Africa!C241+"n/&gt;!6AQ"</f>
        <v>#VALUE!</v>
      </c>
      <c r="W473" t="e">
        <f>Africa!D241+"n/&gt;!6AR"</f>
        <v>#VALUE!</v>
      </c>
      <c r="X473" t="e">
        <f>Africa!E241+"n/&gt;!6AS"</f>
        <v>#VALUE!</v>
      </c>
      <c r="Y473" t="e">
        <f>Africa!F241+"n/&gt;!6AT"</f>
        <v>#VALUE!</v>
      </c>
      <c r="Z473" t="e">
        <f>Africa!G241+"n/&gt;!6AU"</f>
        <v>#VALUE!</v>
      </c>
      <c r="AA473" t="e">
        <f>Africa!H241+"n/&gt;!6AV"</f>
        <v>#VALUE!</v>
      </c>
      <c r="AB473" t="e">
        <f>Africa!I241+"n/&gt;!6AW"</f>
        <v>#VALUE!</v>
      </c>
      <c r="AC473" t="e">
        <f>Africa!A242+"n/&gt;!6AX"</f>
        <v>#VALUE!</v>
      </c>
      <c r="AD473" t="e">
        <f>Africa!B242+"n/&gt;!6AY"</f>
        <v>#VALUE!</v>
      </c>
      <c r="AE473" t="e">
        <f>Africa!C242+"n/&gt;!6AZ"</f>
        <v>#VALUE!</v>
      </c>
      <c r="AF473" t="e">
        <f>Africa!D242+"n/&gt;!6A["</f>
        <v>#VALUE!</v>
      </c>
      <c r="AG473" t="e">
        <f>Africa!E242+"n/&gt;!6A\"</f>
        <v>#VALUE!</v>
      </c>
      <c r="AH473" t="e">
        <f>Africa!F242+"n/&gt;!6A]"</f>
        <v>#VALUE!</v>
      </c>
      <c r="AI473" t="e">
        <f>Africa!G242+"n/&gt;!6A^"</f>
        <v>#VALUE!</v>
      </c>
      <c r="AJ473" t="e">
        <f>Africa!H242+"n/&gt;!6A_"</f>
        <v>#VALUE!</v>
      </c>
      <c r="AK473" t="e">
        <f>Africa!I242+"n/&gt;!6A`"</f>
        <v>#VALUE!</v>
      </c>
      <c r="AL473" t="e">
        <f>Africa!A243+"n/&gt;!6Aa"</f>
        <v>#VALUE!</v>
      </c>
      <c r="AM473" t="e">
        <f>Africa!B243+"n/&gt;!6Ab"</f>
        <v>#VALUE!</v>
      </c>
      <c r="AN473" t="e">
        <f>Africa!C243+"n/&gt;!6Ac"</f>
        <v>#VALUE!</v>
      </c>
      <c r="AO473" t="e">
        <f>Africa!D243+"n/&gt;!6Ad"</f>
        <v>#VALUE!</v>
      </c>
      <c r="AP473" t="e">
        <f>Africa!E243+"n/&gt;!6Ae"</f>
        <v>#VALUE!</v>
      </c>
      <c r="AQ473" t="e">
        <f>Africa!F243+"n/&gt;!6Af"</f>
        <v>#VALUE!</v>
      </c>
      <c r="AR473" t="e">
        <f>Africa!G243+"n/&gt;!6Ag"</f>
        <v>#VALUE!</v>
      </c>
      <c r="AS473" t="e">
        <f>Africa!H243+"n/&gt;!6Ah"</f>
        <v>#VALUE!</v>
      </c>
      <c r="AT473" t="e">
        <f>Africa!I243+"n/&gt;!6Ai"</f>
        <v>#VALUE!</v>
      </c>
      <c r="AU473" t="e">
        <f>Africa!A244+"n/&gt;!6Aj"</f>
        <v>#VALUE!</v>
      </c>
      <c r="AV473" t="e">
        <f>Africa!B244+"n/&gt;!6Ak"</f>
        <v>#VALUE!</v>
      </c>
      <c r="AW473" t="e">
        <f>Africa!C244+"n/&gt;!6Al"</f>
        <v>#VALUE!</v>
      </c>
      <c r="AX473" t="e">
        <f>Africa!D244+"n/&gt;!6Am"</f>
        <v>#VALUE!</v>
      </c>
      <c r="AY473" t="e">
        <f>Africa!E244+"n/&gt;!6An"</f>
        <v>#VALUE!</v>
      </c>
      <c r="AZ473" t="e">
        <f>Africa!F244+"n/&gt;!6Ao"</f>
        <v>#VALUE!</v>
      </c>
      <c r="BA473" t="e">
        <f>Africa!G244+"n/&gt;!6Ap"</f>
        <v>#VALUE!</v>
      </c>
      <c r="BB473" t="e">
        <f>Africa!H244+"n/&gt;!6Aq"</f>
        <v>#VALUE!</v>
      </c>
      <c r="BC473" t="e">
        <f>Africa!I244+"n/&gt;!6Ar"</f>
        <v>#VALUE!</v>
      </c>
      <c r="BD473" t="e">
        <f>Africa!A245+"n/&gt;!6As"</f>
        <v>#VALUE!</v>
      </c>
      <c r="BE473" t="e">
        <f>Africa!B245+"n/&gt;!6At"</f>
        <v>#VALUE!</v>
      </c>
      <c r="BF473" t="e">
        <f>Africa!C245+"n/&gt;!6Au"</f>
        <v>#VALUE!</v>
      </c>
      <c r="BG473" t="e">
        <f>Africa!D245+"n/&gt;!6Av"</f>
        <v>#VALUE!</v>
      </c>
      <c r="BH473" t="e">
        <f>Africa!E245+"n/&gt;!6Aw"</f>
        <v>#VALUE!</v>
      </c>
      <c r="BI473" t="e">
        <f>Africa!F245+"n/&gt;!6Ax"</f>
        <v>#VALUE!</v>
      </c>
      <c r="BJ473" t="e">
        <f>Africa!G245+"n/&gt;!6Ay"</f>
        <v>#VALUE!</v>
      </c>
      <c r="BK473" t="e">
        <f>Africa!H245+"n/&gt;!6Az"</f>
        <v>#VALUE!</v>
      </c>
      <c r="BL473" t="e">
        <f>Africa!I245+"n/&gt;!6A{"</f>
        <v>#VALUE!</v>
      </c>
      <c r="BM473" t="e">
        <f>Africa!A246+"n/&gt;!6A|"</f>
        <v>#VALUE!</v>
      </c>
      <c r="BN473" t="e">
        <f>Africa!B246+"n/&gt;!6A}"</f>
        <v>#VALUE!</v>
      </c>
      <c r="BO473" t="e">
        <f>Africa!C246+"n/&gt;!6A~"</f>
        <v>#VALUE!</v>
      </c>
      <c r="BP473" t="e">
        <f>Africa!D246+"n/&gt;!6B#"</f>
        <v>#VALUE!</v>
      </c>
      <c r="BQ473" t="e">
        <f>Africa!E246+"n/&gt;!6B$"</f>
        <v>#VALUE!</v>
      </c>
      <c r="BR473" t="e">
        <f>Africa!F246+"n/&gt;!6B%"</f>
        <v>#VALUE!</v>
      </c>
      <c r="BS473" t="e">
        <f>Africa!G246+"n/&gt;!6B&amp;"</f>
        <v>#VALUE!</v>
      </c>
      <c r="BT473" t="e">
        <f>Africa!H246+"n/&gt;!6B'"</f>
        <v>#VALUE!</v>
      </c>
      <c r="BU473" t="e">
        <f>Africa!I246+"n/&gt;!6B("</f>
        <v>#VALUE!</v>
      </c>
      <c r="BV473" t="e">
        <f>Africa!A247+"n/&gt;!6B)"</f>
        <v>#VALUE!</v>
      </c>
      <c r="BW473" t="e">
        <f>Africa!B247+"n/&gt;!6B."</f>
        <v>#VALUE!</v>
      </c>
      <c r="BX473" t="e">
        <f>Africa!C247+"n/&gt;!6B/"</f>
        <v>#VALUE!</v>
      </c>
      <c r="BY473" t="e">
        <f>Africa!D247+"n/&gt;!6B0"</f>
        <v>#VALUE!</v>
      </c>
      <c r="BZ473" t="e">
        <f>Africa!E247+"n/&gt;!6B1"</f>
        <v>#VALUE!</v>
      </c>
      <c r="CA473" t="e">
        <f>Africa!F247+"n/&gt;!6B2"</f>
        <v>#VALUE!</v>
      </c>
      <c r="CB473" t="e">
        <f>Africa!G247+"n/&gt;!6B3"</f>
        <v>#VALUE!</v>
      </c>
      <c r="CC473" t="e">
        <f>Africa!H247+"n/&gt;!6B4"</f>
        <v>#VALUE!</v>
      </c>
      <c r="CD473" t="e">
        <f>Africa!I247+"n/&gt;!6B5"</f>
        <v>#VALUE!</v>
      </c>
      <c r="CE473" t="e">
        <f>Africa!A248+"n/&gt;!6B6"</f>
        <v>#VALUE!</v>
      </c>
      <c r="CF473" t="e">
        <f>Africa!B248+"n/&gt;!6B7"</f>
        <v>#VALUE!</v>
      </c>
      <c r="CG473" t="e">
        <f>Africa!C248+"n/&gt;!6B8"</f>
        <v>#VALUE!</v>
      </c>
      <c r="CH473" t="e">
        <f>Africa!D248+"n/&gt;!6B9"</f>
        <v>#VALUE!</v>
      </c>
      <c r="CI473" t="e">
        <f>Africa!E248+"n/&gt;!6B:"</f>
        <v>#VALUE!</v>
      </c>
      <c r="CJ473" t="e">
        <f>Africa!F248+"n/&gt;!6B;"</f>
        <v>#VALUE!</v>
      </c>
      <c r="CK473" t="e">
        <f>Africa!G248+"n/&gt;!6B&lt;"</f>
        <v>#VALUE!</v>
      </c>
      <c r="CL473" t="e">
        <f>Africa!H248+"n/&gt;!6B="</f>
        <v>#VALUE!</v>
      </c>
      <c r="CM473" t="e">
        <f>Africa!I248+"n/&gt;!6B&gt;"</f>
        <v>#VALUE!</v>
      </c>
      <c r="CN473" t="e">
        <f>Africa!A249+"n/&gt;!6B?"</f>
        <v>#VALUE!</v>
      </c>
      <c r="CO473" t="e">
        <f>Africa!B249+"n/&gt;!6B@"</f>
        <v>#VALUE!</v>
      </c>
      <c r="CP473" t="e">
        <f>Africa!C249+"n/&gt;!6BA"</f>
        <v>#VALUE!</v>
      </c>
      <c r="CQ473" t="e">
        <f>Africa!D249+"n/&gt;!6BB"</f>
        <v>#VALUE!</v>
      </c>
      <c r="CR473" t="e">
        <f>Africa!E249+"n/&gt;!6BC"</f>
        <v>#VALUE!</v>
      </c>
      <c r="CS473" t="e">
        <f>Africa!F249+"n/&gt;!6BD"</f>
        <v>#VALUE!</v>
      </c>
      <c r="CT473" t="e">
        <f>Africa!G249+"n/&gt;!6BE"</f>
        <v>#VALUE!</v>
      </c>
      <c r="CU473" t="e">
        <f>Africa!H249+"n/&gt;!6BF"</f>
        <v>#VALUE!</v>
      </c>
      <c r="CV473" t="e">
        <f>Africa!I249+"n/&gt;!6BG"</f>
        <v>#VALUE!</v>
      </c>
      <c r="CW473" t="e">
        <f>Africa!A:A*"n/&gt;!6BH"</f>
        <v>#VALUE!</v>
      </c>
      <c r="CX473" t="e">
        <f>Africa!B:B*"n/&gt;!6BI"</f>
        <v>#VALUE!</v>
      </c>
      <c r="CY473" t="e">
        <f>Africa!C:C*"n/&gt;!6BJ"</f>
        <v>#VALUE!</v>
      </c>
      <c r="CZ473" t="e">
        <f>Africa!D:D*"n/&gt;!6BK"</f>
        <v>#VALUE!</v>
      </c>
      <c r="DA473" t="e">
        <f>Africa!E:E*"n/&gt;!6BL"</f>
        <v>#VALUE!</v>
      </c>
      <c r="DB473" t="e">
        <f>Africa!F:F*"n/&gt;!6BM"</f>
        <v>#VALUE!</v>
      </c>
      <c r="DC473" t="e">
        <f>Africa!G:G*"n/&gt;!6BN"</f>
        <v>#VALUE!</v>
      </c>
      <c r="DD473" t="e">
        <f>Africa!H:H*"n/&gt;!6BO"</f>
        <v>#VALUE!</v>
      </c>
      <c r="DE473" t="e">
        <f>Africa!I:I*"n/&gt;!6BP"</f>
        <v>#VALUE!</v>
      </c>
      <c r="DF473" t="e">
        <f>Africa!J:J*"n/&gt;!6BQ"</f>
        <v>#VALUE!</v>
      </c>
      <c r="DG473" t="e">
        <f>Africa!K:K*"n/&gt;!6BR"</f>
        <v>#VALUE!</v>
      </c>
      <c r="DH473" t="e">
        <f>Africa!L:L*"n/&gt;!6BS"</f>
        <v>#VALUE!</v>
      </c>
      <c r="DI473" t="e">
        <f>Africa!M:M*"n/&gt;!6BT"</f>
        <v>#VALUE!</v>
      </c>
      <c r="DJ473" t="e">
        <f>Africa!N:N*"n/&gt;!6BU"</f>
        <v>#VALUE!</v>
      </c>
      <c r="DK473" t="e">
        <f>Africa!O:O*"n/&gt;!6BV"</f>
        <v>#VALUE!</v>
      </c>
      <c r="DL473" t="e">
        <f>Africa!P:P*"n/&gt;!6BW"</f>
        <v>#VALUE!</v>
      </c>
      <c r="DM473" t="e">
        <f>Africa!Q:Q*"n/&gt;!6BX"</f>
        <v>#VALUE!</v>
      </c>
      <c r="DN473" t="e">
        <f>Africa!R:R*"n/&gt;!6BY"</f>
        <v>#VALUE!</v>
      </c>
      <c r="DO473" t="e">
        <f>Africa!S:S*"n/&gt;!6BZ"</f>
        <v>#VALUE!</v>
      </c>
      <c r="DP473" t="e">
        <f>Africa!T:T*"n/&gt;!6B["</f>
        <v>#VALUE!</v>
      </c>
      <c r="DQ473" t="e">
        <f>Africa!U:U*"n/&gt;!6B\"</f>
        <v>#VALUE!</v>
      </c>
      <c r="DR473" t="e">
        <f>Africa!V:V*"n/&gt;!6B]"</f>
        <v>#VALUE!</v>
      </c>
      <c r="DS473" t="e">
        <f>Africa!W:W*"n/&gt;!6B^"</f>
        <v>#VALUE!</v>
      </c>
      <c r="DT473" t="e">
        <f>Africa!X:X*"n/&gt;!6B_"</f>
        <v>#VALUE!</v>
      </c>
      <c r="DU473" t="e">
        <f>Africa!Y:Y*"n/&gt;!6B`"</f>
        <v>#VALUE!</v>
      </c>
      <c r="DV473" t="e">
        <f>Africa!Z:Z*"n/&gt;!6Ba"</f>
        <v>#VALUE!</v>
      </c>
      <c r="DW473" t="e">
        <f>Africa!AA:AA*"n/&gt;!6Bb"</f>
        <v>#VALUE!</v>
      </c>
      <c r="DX473" t="e">
        <f>Africa!AB:AB*"n/&gt;!6Bc"</f>
        <v>#VALUE!</v>
      </c>
      <c r="DY473" t="e">
        <f>Africa!AC:AC*"n/&gt;!6Bd"</f>
        <v>#VALUE!</v>
      </c>
      <c r="DZ473" t="e">
        <f>Africa!AD:AD*"n/&gt;!6Be"</f>
        <v>#VALUE!</v>
      </c>
      <c r="EA473" t="e">
        <f>Africa!AE:AE*"n/&gt;!6Bf"</f>
        <v>#VALUE!</v>
      </c>
      <c r="EB473" t="e">
        <f>Africa!AF:AF*"n/&gt;!6Bg"</f>
        <v>#VALUE!</v>
      </c>
      <c r="EC473" t="e">
        <f>Africa!AG:AG*"n/&gt;!6Bh"</f>
        <v>#VALUE!</v>
      </c>
      <c r="ED473" t="e">
        <f>Africa!AH:AH*"n/&gt;!6Bi"</f>
        <v>#VALUE!</v>
      </c>
      <c r="EE473" t="e">
        <f>Africa!AI:AI*"n/&gt;!6Bj"</f>
        <v>#VALUE!</v>
      </c>
      <c r="EF473" t="e">
        <f>Africa!AJ:AJ*"n/&gt;!6Bk"</f>
        <v>#VALUE!</v>
      </c>
      <c r="EG473" t="e">
        <f>Africa!AK:AK*"n/&gt;!6Bl"</f>
        <v>#VALUE!</v>
      </c>
      <c r="EH473" t="e">
        <f>Africa!AL:AL*"n/&gt;!6Bm"</f>
        <v>#VALUE!</v>
      </c>
      <c r="EI473" t="e">
        <f>Africa!AM:AM*"n/&gt;!6Bn"</f>
        <v>#VALUE!</v>
      </c>
      <c r="EJ473" t="e">
        <f>Africa!AN:AN*"n/&gt;!6Bo"</f>
        <v>#VALUE!</v>
      </c>
      <c r="EK473" t="e">
        <f>Africa!AO:AO*"n/&gt;!6Bp"</f>
        <v>#VALUE!</v>
      </c>
      <c r="EL473" t="e">
        <f>Africa!AP:AP*"n/&gt;!6Bq"</f>
        <v>#VALUE!</v>
      </c>
      <c r="EM473" t="e">
        <f>Africa!AQ:AQ*"n/&gt;!6Br"</f>
        <v>#VALUE!</v>
      </c>
      <c r="EN473" t="e">
        <f>Africa!AR:AR*"n/&gt;!6Bs"</f>
        <v>#VALUE!</v>
      </c>
      <c r="EO473" t="e">
        <f>Africa!AS:AS*"n/&gt;!6Bt"</f>
        <v>#VALUE!</v>
      </c>
      <c r="EP473" t="e">
        <f>Africa!AT:AT*"n/&gt;!6Bu"</f>
        <v>#VALUE!</v>
      </c>
      <c r="EQ473" t="e">
        <f>Africa!AU:AU*"n/&gt;!6Bv"</f>
        <v>#VALUE!</v>
      </c>
      <c r="ER473" t="e">
        <f>Africa!AV:AV*"n/&gt;!6Bw"</f>
        <v>#VALUE!</v>
      </c>
      <c r="ES473" t="e">
        <f>Africa!AW:AW*"n/&gt;!6Bx"</f>
        <v>#VALUE!</v>
      </c>
      <c r="ET473" t="e">
        <f>Africa!AX:AX*"n/&gt;!6By"</f>
        <v>#VALUE!</v>
      </c>
      <c r="EU473" t="e">
        <f>Africa!AY:AY*"n/&gt;!6Bz"</f>
        <v>#VALUE!</v>
      </c>
      <c r="EV473" t="e">
        <f>Africa!AZ:AZ*"n/&gt;!6B{"</f>
        <v>#VALUE!</v>
      </c>
      <c r="EW473" t="e">
        <f>Africa!BA:BA*"n/&gt;!6B|"</f>
        <v>#VALUE!</v>
      </c>
      <c r="EX473" t="e">
        <f>Africa!BB:BB*"n/&gt;!6B}"</f>
        <v>#VALUE!</v>
      </c>
      <c r="EY473" t="e">
        <f>Africa!BC:BC*"n/&gt;!6B~"</f>
        <v>#VALUE!</v>
      </c>
      <c r="EZ473" t="e">
        <f>Africa!BD:BD*"n/&gt;!6C#"</f>
        <v>#VALUE!</v>
      </c>
      <c r="FA473" t="e">
        <f>Africa!BE:BE*"n/&gt;!6C$"</f>
        <v>#VALUE!</v>
      </c>
      <c r="FB473" t="e">
        <f>Africa!BF:BF*"n/&gt;!6C%"</f>
        <v>#VALUE!</v>
      </c>
      <c r="FC473" t="e">
        <f>Africa!BG:BG*"n/&gt;!6C&amp;"</f>
        <v>#VALUE!</v>
      </c>
      <c r="FD473" t="e">
        <f>Africa!1:1-"n/&gt;!6C'"</f>
        <v>#VALUE!</v>
      </c>
      <c r="FE473" t="e">
        <f>Africa!2:2-"n/&gt;!6C("</f>
        <v>#VALUE!</v>
      </c>
      <c r="FF473" t="e">
        <f>Africa!3:3-"n/&gt;!6C)"</f>
        <v>#VALUE!</v>
      </c>
      <c r="FG473" t="e">
        <f>Africa!4:4-"n/&gt;!6C."</f>
        <v>#VALUE!</v>
      </c>
      <c r="FH473" t="e">
        <f>Africa!5:5-"n/&gt;!6C/"</f>
        <v>#VALUE!</v>
      </c>
      <c r="FI473" t="e">
        <f>Africa!6:6-"n/&gt;!6C0"</f>
        <v>#VALUE!</v>
      </c>
      <c r="FJ473" t="e">
        <f>Africa!7:7-"n/&gt;!6C1"</f>
        <v>#VALUE!</v>
      </c>
      <c r="FK473" t="e">
        <f>Africa!8:8-"n/&gt;!6C2"</f>
        <v>#VALUE!</v>
      </c>
      <c r="FL473" t="e">
        <f>Africa!9:9-"n/&gt;!6C3"</f>
        <v>#VALUE!</v>
      </c>
      <c r="FM473" t="e">
        <f>Africa!10:10-"n/&gt;!6C4"</f>
        <v>#VALUE!</v>
      </c>
      <c r="FN473" t="e">
        <f>Africa!11:11-"n/&gt;!6C5"</f>
        <v>#VALUE!</v>
      </c>
      <c r="FO473" t="e">
        <f>Africa!12:12-"n/&gt;!6C6"</f>
        <v>#VALUE!</v>
      </c>
      <c r="FP473" t="e">
        <f>Africa!13:13-"n/&gt;!6C7"</f>
        <v>#VALUE!</v>
      </c>
      <c r="FQ473" t="e">
        <f>Africa!14:14-"n/&gt;!6C8"</f>
        <v>#VALUE!</v>
      </c>
      <c r="FR473" t="e">
        <f>Africa!15:15-"n/&gt;!6C9"</f>
        <v>#VALUE!</v>
      </c>
      <c r="FS473" t="e">
        <f>Africa!16:16-"n/&gt;!6C:"</f>
        <v>#VALUE!</v>
      </c>
      <c r="FT473" t="e">
        <f>Africa!17:17-"n/&gt;!6C;"</f>
        <v>#VALUE!</v>
      </c>
      <c r="FU473" t="e">
        <f>Africa!18:18-"n/&gt;!6C&lt;"</f>
        <v>#VALUE!</v>
      </c>
      <c r="FV473" t="e">
        <f>Africa!19:19-"n/&gt;!6C="</f>
        <v>#VALUE!</v>
      </c>
      <c r="FW473" t="e">
        <f>Africa!20:20-"n/&gt;!6C&gt;"</f>
        <v>#VALUE!</v>
      </c>
      <c r="FX473" t="e">
        <f>Africa!21:21-"n/&gt;!6C?"</f>
        <v>#VALUE!</v>
      </c>
      <c r="FY473" t="e">
        <f>Africa!22:22-"n/&gt;!6C@"</f>
        <v>#VALUE!</v>
      </c>
      <c r="FZ473" t="e">
        <f>Africa!23:23-"n/&gt;!6CA"</f>
        <v>#VALUE!</v>
      </c>
      <c r="GA473" t="e">
        <f>Africa!24:24-"n/&gt;!6CB"</f>
        <v>#VALUE!</v>
      </c>
      <c r="GB473" t="e">
        <f>Africa!25:25-"n/&gt;!6CC"</f>
        <v>#VALUE!</v>
      </c>
      <c r="GC473" t="e">
        <f>Africa!26:26-"n/&gt;!6CD"</f>
        <v>#VALUE!</v>
      </c>
      <c r="GD473" t="e">
        <f>Africa!27:27-"n/&gt;!6CE"</f>
        <v>#VALUE!</v>
      </c>
      <c r="GE473" t="e">
        <f>Africa!28:28-"n/&gt;!6CF"</f>
        <v>#VALUE!</v>
      </c>
      <c r="GF473" t="e">
        <f>Africa!29:29-"n/&gt;!6CG"</f>
        <v>#VALUE!</v>
      </c>
      <c r="GG473" t="e">
        <f>Africa!30:30-"n/&gt;!6CH"</f>
        <v>#VALUE!</v>
      </c>
      <c r="GH473" t="e">
        <f>Africa!31:31-"n/&gt;!6CI"</f>
        <v>#VALUE!</v>
      </c>
      <c r="GI473" t="e">
        <f>Africa!32:32-"n/&gt;!6CJ"</f>
        <v>#VALUE!</v>
      </c>
      <c r="GJ473" t="e">
        <f>Africa!33:33-"n/&gt;!6CK"</f>
        <v>#VALUE!</v>
      </c>
      <c r="GK473" t="e">
        <f>Africa!34:34-"n/&gt;!6CL"</f>
        <v>#VALUE!</v>
      </c>
      <c r="GL473" t="e">
        <f>Africa!35:35-"n/&gt;!6CM"</f>
        <v>#VALUE!</v>
      </c>
      <c r="GM473" t="e">
        <f>Africa!36:36-"n/&gt;!6CN"</f>
        <v>#VALUE!</v>
      </c>
      <c r="GN473" t="e">
        <f>Africa!37:37-"n/&gt;!6CO"</f>
        <v>#VALUE!</v>
      </c>
      <c r="GO473" t="e">
        <f>Africa!38:38-"n/&gt;!6CP"</f>
        <v>#VALUE!</v>
      </c>
      <c r="GP473" t="e">
        <f>Africa!39:39-"n/&gt;!6CQ"</f>
        <v>#VALUE!</v>
      </c>
      <c r="GQ473" t="e">
        <f>Africa!40:40-"n/&gt;!6CR"</f>
        <v>#VALUE!</v>
      </c>
      <c r="GR473" t="e">
        <f>Africa!41:41-"n/&gt;!6CS"</f>
        <v>#VALUE!</v>
      </c>
      <c r="GS473" t="e">
        <f>Africa!42:42-"n/&gt;!6CT"</f>
        <v>#VALUE!</v>
      </c>
      <c r="GT473" t="e">
        <f>Africa!43:43-"n/&gt;!6CU"</f>
        <v>#VALUE!</v>
      </c>
      <c r="GU473" t="e">
        <f>Africa!44:44-"n/&gt;!6CV"</f>
        <v>#VALUE!</v>
      </c>
      <c r="GV473" t="e">
        <f>Africa!45:45-"n/&gt;!6CW"</f>
        <v>#VALUE!</v>
      </c>
      <c r="GW473" t="e">
        <f>Africa!46:46-"n/&gt;!6CX"</f>
        <v>#VALUE!</v>
      </c>
      <c r="GX473" t="e">
        <f>Africa!47:47-"n/&gt;!6CY"</f>
        <v>#VALUE!</v>
      </c>
      <c r="GY473" t="e">
        <f>Africa!48:48-"n/&gt;!6CZ"</f>
        <v>#VALUE!</v>
      </c>
      <c r="GZ473" t="e">
        <f>Africa!49:49-"n/&gt;!6C["</f>
        <v>#VALUE!</v>
      </c>
      <c r="HA473" t="e">
        <f>Africa!50:50-"n/&gt;!6C\"</f>
        <v>#VALUE!</v>
      </c>
      <c r="HB473" t="e">
        <f>Africa!51:51-"n/&gt;!6C]"</f>
        <v>#VALUE!</v>
      </c>
      <c r="HC473" t="e">
        <f>Africa!52:52-"n/&gt;!6C^"</f>
        <v>#VALUE!</v>
      </c>
      <c r="HD473" t="e">
        <f>Africa!53:53-"n/&gt;!6C_"</f>
        <v>#VALUE!</v>
      </c>
      <c r="HE473" t="e">
        <f>Africa!54:54-"n/&gt;!6C`"</f>
        <v>#VALUE!</v>
      </c>
      <c r="HF473" t="e">
        <f>Africa!55:55-"n/&gt;!6Ca"</f>
        <v>#VALUE!</v>
      </c>
      <c r="HG473" t="e">
        <f>Africa!56:56-"n/&gt;!6Cb"</f>
        <v>#VALUE!</v>
      </c>
      <c r="HH473" t="e">
        <f>Africa!57:57-"n/&gt;!6Cc"</f>
        <v>#VALUE!</v>
      </c>
      <c r="HI473" t="e">
        <f>Africa!58:58-"n/&gt;!6Cd"</f>
        <v>#VALUE!</v>
      </c>
      <c r="HJ473" t="e">
        <f>Africa!59:59-"n/&gt;!6Ce"</f>
        <v>#VALUE!</v>
      </c>
      <c r="HK473" t="e">
        <f>Africa!60:60-"n/&gt;!6Cf"</f>
        <v>#VALUE!</v>
      </c>
      <c r="HL473" t="e">
        <f>Africa!61:61-"n/&gt;!6Cg"</f>
        <v>#VALUE!</v>
      </c>
      <c r="HM473" t="e">
        <f>Africa!62:62-"n/&gt;!6Ch"</f>
        <v>#VALUE!</v>
      </c>
      <c r="HN473" t="e">
        <f>Africa!63:63-"n/&gt;!6Ci"</f>
        <v>#VALUE!</v>
      </c>
      <c r="HO473" t="e">
        <f>Africa!64:64-"n/&gt;!6Cj"</f>
        <v>#VALUE!</v>
      </c>
      <c r="HP473" t="e">
        <f>Africa!65:65-"n/&gt;!6Ck"</f>
        <v>#VALUE!</v>
      </c>
      <c r="HQ473" t="e">
        <f>Africa!66:66-"n/&gt;!6Cl"</f>
        <v>#VALUE!</v>
      </c>
      <c r="HR473" t="e">
        <f>Africa!67:67-"n/&gt;!6Cm"</f>
        <v>#VALUE!</v>
      </c>
      <c r="HS473" t="e">
        <f>Africa!68:68-"n/&gt;!6Cn"</f>
        <v>#VALUE!</v>
      </c>
      <c r="HT473" t="e">
        <f>Africa!69:69-"n/&gt;!6Co"</f>
        <v>#VALUE!</v>
      </c>
      <c r="HU473" t="e">
        <f>Africa!70:70-"n/&gt;!6Cp"</f>
        <v>#VALUE!</v>
      </c>
      <c r="HV473" t="e">
        <f>Africa!71:71-"n/&gt;!6Cq"</f>
        <v>#VALUE!</v>
      </c>
      <c r="HW473" t="e">
        <f>Africa!72:72-"n/&gt;!6Cr"</f>
        <v>#VALUE!</v>
      </c>
      <c r="HX473" t="e">
        <f>Africa!73:73-"n/&gt;!6Cs"</f>
        <v>#VALUE!</v>
      </c>
      <c r="HY473" t="e">
        <f>Africa!74:74-"n/&gt;!6Ct"</f>
        <v>#VALUE!</v>
      </c>
      <c r="HZ473" t="e">
        <f>Africa!75:75-"n/&gt;!6Cu"</f>
        <v>#VALUE!</v>
      </c>
      <c r="IA473" t="e">
        <f>Africa!76:76-"n/&gt;!6Cv"</f>
        <v>#VALUE!</v>
      </c>
      <c r="IB473" t="e">
        <f>Africa!77:77-"n/&gt;!6Cw"</f>
        <v>#VALUE!</v>
      </c>
      <c r="IC473" t="e">
        <f>Africa!78:78-"n/&gt;!6Cx"</f>
        <v>#VALUE!</v>
      </c>
      <c r="ID473" t="e">
        <f>Africa!79:79-"n/&gt;!6Cy"</f>
        <v>#VALUE!</v>
      </c>
      <c r="IE473" t="e">
        <f>Africa!80:80-"n/&gt;!6Cz"</f>
        <v>#VALUE!</v>
      </c>
      <c r="IF473" t="e">
        <f>Africa!81:81-"n/&gt;!6C{"</f>
        <v>#VALUE!</v>
      </c>
      <c r="IG473" t="e">
        <f>Africa!82:82-"n/&gt;!6C|"</f>
        <v>#VALUE!</v>
      </c>
      <c r="IH473" t="e">
        <f>Africa!83:83-"n/&gt;!6C}"</f>
        <v>#VALUE!</v>
      </c>
      <c r="II473" t="e">
        <f>Africa!84:84-"n/&gt;!6C~"</f>
        <v>#VALUE!</v>
      </c>
      <c r="IJ473" t="e">
        <f>Africa!85:85-"n/&gt;!6D#"</f>
        <v>#VALUE!</v>
      </c>
      <c r="IK473" t="e">
        <f>Africa!86:86-"n/&gt;!6D$"</f>
        <v>#VALUE!</v>
      </c>
      <c r="IL473" t="e">
        <f>Africa!87:87-"n/&gt;!6D%"</f>
        <v>#VALUE!</v>
      </c>
      <c r="IM473" t="e">
        <f>Africa!88:88-"n/&gt;!6D&amp;"</f>
        <v>#VALUE!</v>
      </c>
      <c r="IN473" t="e">
        <f>Africa!89:89-"n/&gt;!6D'"</f>
        <v>#VALUE!</v>
      </c>
      <c r="IO473" t="e">
        <f>Africa!90:90-"n/&gt;!6D("</f>
        <v>#VALUE!</v>
      </c>
      <c r="IP473" t="e">
        <f>Africa!91:91-"n/&gt;!6D)"</f>
        <v>#VALUE!</v>
      </c>
      <c r="IQ473" t="e">
        <f>Africa!92:92-"n/&gt;!6D."</f>
        <v>#VALUE!</v>
      </c>
      <c r="IR473" t="e">
        <f>Africa!93:93-"n/&gt;!6D/"</f>
        <v>#VALUE!</v>
      </c>
      <c r="IS473" t="e">
        <f>Africa!94:94-"n/&gt;!6D0"</f>
        <v>#VALUE!</v>
      </c>
      <c r="IT473" t="e">
        <f>Africa!95:95-"n/&gt;!6D1"</f>
        <v>#VALUE!</v>
      </c>
      <c r="IU473" t="e">
        <f>Africa!96:96-"n/&gt;!6D2"</f>
        <v>#VALUE!</v>
      </c>
      <c r="IV473" t="e">
        <f>Africa!97:97-"n/&gt;!6D3"</f>
        <v>#VALUE!</v>
      </c>
    </row>
    <row r="474" spans="6:256" x14ac:dyDescent="0.35">
      <c r="F474" t="e">
        <f>Africa!98:98-"n/&gt;!6D4"</f>
        <v>#VALUE!</v>
      </c>
      <c r="G474" t="e">
        <f>Africa!99:99-"n/&gt;!6D5"</f>
        <v>#VALUE!</v>
      </c>
      <c r="H474" t="e">
        <f>Africa!100:100-"n/&gt;!6D6"</f>
        <v>#VALUE!</v>
      </c>
      <c r="I474" t="e">
        <f>Africa!101:101-"n/&gt;!6D7"</f>
        <v>#VALUE!</v>
      </c>
      <c r="J474" t="e">
        <f>Africa!102:102-"n/&gt;!6D8"</f>
        <v>#VALUE!</v>
      </c>
      <c r="K474" t="e">
        <f>Africa!103:103-"n/&gt;!6D9"</f>
        <v>#VALUE!</v>
      </c>
      <c r="L474" t="e">
        <f>Africa!104:104-"n/&gt;!6D:"</f>
        <v>#VALUE!</v>
      </c>
      <c r="M474" t="e">
        <f>Africa!105:105-"n/&gt;!6D;"</f>
        <v>#VALUE!</v>
      </c>
      <c r="N474" t="e">
        <f>Africa!106:106-"n/&gt;!6D&lt;"</f>
        <v>#VALUE!</v>
      </c>
      <c r="O474" t="e">
        <f>Africa!107:107-"n/&gt;!6D="</f>
        <v>#VALUE!</v>
      </c>
      <c r="P474" t="e">
        <f>Africa!108:108-"n/&gt;!6D&gt;"</f>
        <v>#VALUE!</v>
      </c>
      <c r="Q474" t="e">
        <f>Africa!109:109-"n/&gt;!6D?"</f>
        <v>#VALUE!</v>
      </c>
      <c r="R474" t="e">
        <f>Africa!110:110-"n/&gt;!6D@"</f>
        <v>#VALUE!</v>
      </c>
      <c r="S474" t="e">
        <f>Africa!111:111-"n/&gt;!6DA"</f>
        <v>#VALUE!</v>
      </c>
      <c r="T474" t="e">
        <f>Africa!112:112-"n/&gt;!6DB"</f>
        <v>#VALUE!</v>
      </c>
      <c r="U474" t="e">
        <f>Africa!113:113-"n/&gt;!6DC"</f>
        <v>#VALUE!</v>
      </c>
      <c r="V474" t="e">
        <f>Africa!114:114-"n/&gt;!6DD"</f>
        <v>#VALUE!</v>
      </c>
      <c r="W474" t="e">
        <f>Africa!115:115-"n/&gt;!6DE"</f>
        <v>#VALUE!</v>
      </c>
      <c r="X474" t="e">
        <f>Africa!116:116-"n/&gt;!6DF"</f>
        <v>#VALUE!</v>
      </c>
      <c r="Y474" t="e">
        <f>Africa!117:117-"n/&gt;!6DG"</f>
        <v>#VALUE!</v>
      </c>
      <c r="Z474" t="e">
        <f>Africa!118:118-"n/&gt;!6DH"</f>
        <v>#VALUE!</v>
      </c>
      <c r="AA474" t="e">
        <f>Africa!119:119-"n/&gt;!6DI"</f>
        <v>#VALUE!</v>
      </c>
      <c r="AB474" t="e">
        <f>Africa!120:120-"n/&gt;!6DJ"</f>
        <v>#VALUE!</v>
      </c>
      <c r="AC474" t="e">
        <f>Africa!121:121-"n/&gt;!6DK"</f>
        <v>#VALUE!</v>
      </c>
      <c r="AD474" t="e">
        <f>Africa!122:122-"n/&gt;!6DL"</f>
        <v>#VALUE!</v>
      </c>
      <c r="AE474" t="e">
        <f>Africa!123:123-"n/&gt;!6DM"</f>
        <v>#VALUE!</v>
      </c>
      <c r="AF474" t="e">
        <f>Africa!124:124-"n/&gt;!6DN"</f>
        <v>#VALUE!</v>
      </c>
      <c r="AG474" t="e">
        <f>Africa!125:125-"n/&gt;!6DO"</f>
        <v>#VALUE!</v>
      </c>
      <c r="AH474" t="e">
        <f>Africa!126:126-"n/&gt;!6DP"</f>
        <v>#VALUE!</v>
      </c>
      <c r="AI474" t="e">
        <f>Africa!127:127-"n/&gt;!6DQ"</f>
        <v>#VALUE!</v>
      </c>
      <c r="AJ474" t="e">
        <f>Africa!128:128-"n/&gt;!6DR"</f>
        <v>#VALUE!</v>
      </c>
      <c r="AK474" t="e">
        <f>Africa!129:129-"n/&gt;!6DS"</f>
        <v>#VALUE!</v>
      </c>
      <c r="AL474" t="e">
        <f>Africa!130:130-"n/&gt;!6DT"</f>
        <v>#VALUE!</v>
      </c>
      <c r="AM474" t="e">
        <f>Africa!131:131-"n/&gt;!6DU"</f>
        <v>#VALUE!</v>
      </c>
      <c r="AN474" t="e">
        <f>Africa!132:132-"n/&gt;!6DV"</f>
        <v>#VALUE!</v>
      </c>
      <c r="AO474" t="e">
        <f>Africa!133:133-"n/&gt;!6DW"</f>
        <v>#VALUE!</v>
      </c>
      <c r="AP474" t="e">
        <f>Africa!134:134-"n/&gt;!6DX"</f>
        <v>#VALUE!</v>
      </c>
      <c r="AQ474" t="e">
        <f>Africa!135:135-"n/&gt;!6DY"</f>
        <v>#VALUE!</v>
      </c>
      <c r="AR474" t="e">
        <f>Africa!136:136-"n/&gt;!6DZ"</f>
        <v>#VALUE!</v>
      </c>
      <c r="AS474" t="e">
        <f>Africa!137:137-"n/&gt;!6D["</f>
        <v>#VALUE!</v>
      </c>
      <c r="AT474" t="e">
        <f>Africa!138:138-"n/&gt;!6D\"</f>
        <v>#VALUE!</v>
      </c>
      <c r="AU474" t="e">
        <f>Africa!139:139-"n/&gt;!6D]"</f>
        <v>#VALUE!</v>
      </c>
      <c r="AV474" t="e">
        <f>Africa!140:140-"n/&gt;!6D^"</f>
        <v>#VALUE!</v>
      </c>
      <c r="AW474" t="e">
        <f>Africa!141:141-"n/&gt;!6D_"</f>
        <v>#VALUE!</v>
      </c>
      <c r="AX474" t="e">
        <f>Africa!142:142-"n/&gt;!6D`"</f>
        <v>#VALUE!</v>
      </c>
      <c r="AY474" t="e">
        <f>Africa!143:143-"n/&gt;!6Da"</f>
        <v>#VALUE!</v>
      </c>
      <c r="AZ474" t="e">
        <f>Africa!144:144-"n/&gt;!6Db"</f>
        <v>#VALUE!</v>
      </c>
      <c r="BA474" t="e">
        <f>Africa!145:145-"n/&gt;!6Dc"</f>
        <v>#VALUE!</v>
      </c>
      <c r="BB474" t="e">
        <f>Africa!146:146-"n/&gt;!6Dd"</f>
        <v>#VALUE!</v>
      </c>
      <c r="BC474" t="e">
        <f>Africa!147:147-"n/&gt;!6De"</f>
        <v>#VALUE!</v>
      </c>
      <c r="BD474" t="e">
        <f>Africa!148:148-"n/&gt;!6Df"</f>
        <v>#VALUE!</v>
      </c>
      <c r="BE474" t="e">
        <f>Africa!149:149-"n/&gt;!6Dg"</f>
        <v>#VALUE!</v>
      </c>
      <c r="BF474" t="e">
        <f>Africa!150:150-"n/&gt;!6Dh"</f>
        <v>#VALUE!</v>
      </c>
      <c r="BG474" t="e">
        <f>Africa!151:151-"n/&gt;!6Di"</f>
        <v>#VALUE!</v>
      </c>
      <c r="BH474" t="e">
        <f>Africa!152:152-"n/&gt;!6Dj"</f>
        <v>#VALUE!</v>
      </c>
      <c r="BI474" t="e">
        <f>Africa!153:153-"n/&gt;!6Dk"</f>
        <v>#VALUE!</v>
      </c>
      <c r="BJ474" t="e">
        <f>Africa!154:154-"n/&gt;!6Dl"</f>
        <v>#VALUE!</v>
      </c>
      <c r="BK474" t="e">
        <f>Africa!155:155-"n/&gt;!6Dm"</f>
        <v>#VALUE!</v>
      </c>
      <c r="BL474" t="e">
        <f>Africa!156:156-"n/&gt;!6Dn"</f>
        <v>#VALUE!</v>
      </c>
      <c r="BM474" t="e">
        <f>Africa!157:157-"n/&gt;!6Do"</f>
        <v>#VALUE!</v>
      </c>
      <c r="BN474" t="e">
        <f>Africa!158:158-"n/&gt;!6Dp"</f>
        <v>#VALUE!</v>
      </c>
      <c r="BO474" t="e">
        <f>Africa!159:159-"n/&gt;!6Dq"</f>
        <v>#VALUE!</v>
      </c>
      <c r="BP474" t="e">
        <f>Africa!160:160-"n/&gt;!6Dr"</f>
        <v>#VALUE!</v>
      </c>
      <c r="BQ474" t="e">
        <f>Africa!161:161-"n/&gt;!6Ds"</f>
        <v>#VALUE!</v>
      </c>
      <c r="BR474" t="e">
        <f>Africa!162:162-"n/&gt;!6Dt"</f>
        <v>#VALUE!</v>
      </c>
      <c r="BS474" t="e">
        <f>Africa!163:163-"n/&gt;!6Du"</f>
        <v>#VALUE!</v>
      </c>
      <c r="BT474" t="e">
        <f>Africa!164:164-"n/&gt;!6Dv"</f>
        <v>#VALUE!</v>
      </c>
      <c r="BU474" t="e">
        <f>Africa!165:165-"n/&gt;!6Dw"</f>
        <v>#VALUE!</v>
      </c>
      <c r="BV474" t="e">
        <f>Africa!166:166-"n/&gt;!6Dx"</f>
        <v>#VALUE!</v>
      </c>
      <c r="BW474" t="e">
        <f>Africa!167:167-"n/&gt;!6Dy"</f>
        <v>#VALUE!</v>
      </c>
      <c r="BX474" t="e">
        <f>Africa!168:168-"n/&gt;!6Dz"</f>
        <v>#VALUE!</v>
      </c>
      <c r="BY474" t="e">
        <f>Africa!169:169-"n/&gt;!6D{"</f>
        <v>#VALUE!</v>
      </c>
      <c r="BZ474" t="e">
        <f>Africa!170:170-"n/&gt;!6D|"</f>
        <v>#VALUE!</v>
      </c>
      <c r="CA474" t="e">
        <f>Africa!171:171-"n/&gt;!6D}"</f>
        <v>#VALUE!</v>
      </c>
      <c r="CB474" t="e">
        <f>Africa!172:172-"n/&gt;!6D~"</f>
        <v>#VALUE!</v>
      </c>
      <c r="CC474" t="e">
        <f>Africa!173:173-"n/&gt;!6E#"</f>
        <v>#VALUE!</v>
      </c>
      <c r="CD474" t="e">
        <f>Africa!174:174-"n/&gt;!6E$"</f>
        <v>#VALUE!</v>
      </c>
      <c r="CE474" t="e">
        <f>Africa!175:175-"n/&gt;!6E%"</f>
        <v>#VALUE!</v>
      </c>
      <c r="CF474" t="e">
        <f>Africa!176:176-"n/&gt;!6E&amp;"</f>
        <v>#VALUE!</v>
      </c>
      <c r="CG474" t="e">
        <f>Africa!177:177-"n/&gt;!6E'"</f>
        <v>#VALUE!</v>
      </c>
      <c r="CH474" t="e">
        <f>Africa!178:178-"n/&gt;!6E("</f>
        <v>#VALUE!</v>
      </c>
      <c r="CI474" t="e">
        <f>Africa!179:179-"n/&gt;!6E)"</f>
        <v>#VALUE!</v>
      </c>
      <c r="CJ474" t="e">
        <f>Africa!180:180-"n/&gt;!6E."</f>
        <v>#VALUE!</v>
      </c>
      <c r="CK474" t="e">
        <f>Africa!181:181-"n/&gt;!6E/"</f>
        <v>#VALUE!</v>
      </c>
      <c r="CL474" t="e">
        <f>Africa!182:182-"n/&gt;!6E0"</f>
        <v>#VALUE!</v>
      </c>
      <c r="CM474" t="e">
        <f>Africa!183:183-"n/&gt;!6E1"</f>
        <v>#VALUE!</v>
      </c>
      <c r="CN474" t="e">
        <f>Africa!184:184-"n/&gt;!6E2"</f>
        <v>#VALUE!</v>
      </c>
      <c r="CO474" t="e">
        <f>Africa!185:185-"n/&gt;!6E3"</f>
        <v>#VALUE!</v>
      </c>
      <c r="CP474" t="e">
        <f>Africa!186:186-"n/&gt;!6E4"</f>
        <v>#VALUE!</v>
      </c>
      <c r="CQ474" t="e">
        <f>Africa!187:187-"n/&gt;!6E5"</f>
        <v>#VALUE!</v>
      </c>
      <c r="CR474" t="e">
        <f>Africa!188:188-"n/&gt;!6E6"</f>
        <v>#VALUE!</v>
      </c>
      <c r="CS474" t="e">
        <f>Africa!189:189-"n/&gt;!6E7"</f>
        <v>#VALUE!</v>
      </c>
      <c r="CT474" t="e">
        <f>Africa!190:190-"n/&gt;!6E8"</f>
        <v>#VALUE!</v>
      </c>
      <c r="CU474" t="e">
        <f>Africa!191:191-"n/&gt;!6E9"</f>
        <v>#VALUE!</v>
      </c>
      <c r="CV474" t="e">
        <f>Africa!192:192-"n/&gt;!6E:"</f>
        <v>#VALUE!</v>
      </c>
      <c r="CW474" t="e">
        <f>Africa!193:193-"n/&gt;!6E;"</f>
        <v>#VALUE!</v>
      </c>
      <c r="CX474" t="e">
        <f>Africa!194:194-"n/&gt;!6E&lt;"</f>
        <v>#VALUE!</v>
      </c>
      <c r="CY474" t="e">
        <f>Africa!195:195-"n/&gt;!6E="</f>
        <v>#VALUE!</v>
      </c>
      <c r="CZ474" t="e">
        <f>Africa!196:196-"n/&gt;!6E&gt;"</f>
        <v>#VALUE!</v>
      </c>
      <c r="DA474" t="e">
        <f>Africa!197:197-"n/&gt;!6E?"</f>
        <v>#VALUE!</v>
      </c>
      <c r="DB474" t="e">
        <f>Africa!198:198-"n/&gt;!6E@"</f>
        <v>#VALUE!</v>
      </c>
      <c r="DC474" t="e">
        <f>Africa!199:199-"n/&gt;!6EA"</f>
        <v>#VALUE!</v>
      </c>
      <c r="DD474" t="e">
        <f>Africa!200:200-"n/&gt;!6EB"</f>
        <v>#VALUE!</v>
      </c>
      <c r="DE474" t="e">
        <f>Africa!201:201-"n/&gt;!6EC"</f>
        <v>#VALUE!</v>
      </c>
      <c r="DF474" t="e">
        <f>Africa!202:202-"n/&gt;!6ED"</f>
        <v>#VALUE!</v>
      </c>
      <c r="DG474" t="e">
        <f>Africa!203:203-"n/&gt;!6EE"</f>
        <v>#VALUE!</v>
      </c>
      <c r="DH474" t="e">
        <f>Africa!204:204-"n/&gt;!6EF"</f>
        <v>#VALUE!</v>
      </c>
      <c r="DI474" t="e">
        <f>Africa!205:205-"n/&gt;!6EG"</f>
        <v>#VALUE!</v>
      </c>
      <c r="DJ474" t="e">
        <f>Africa!206:206-"n/&gt;!6EH"</f>
        <v>#VALUE!</v>
      </c>
      <c r="DK474" t="e">
        <f>Africa!207:207-"n/&gt;!6EI"</f>
        <v>#VALUE!</v>
      </c>
      <c r="DL474" t="e">
        <f>Africa!208:208-"n/&gt;!6EJ"</f>
        <v>#VALUE!</v>
      </c>
      <c r="DM474" t="e">
        <f>Africa!209:209-"n/&gt;!6EK"</f>
        <v>#VALUE!</v>
      </c>
      <c r="DN474" t="e">
        <f>Africa!210:210-"n/&gt;!6EL"</f>
        <v>#VALUE!</v>
      </c>
      <c r="DO474" t="e">
        <f>Africa!211:211-"n/&gt;!6EM"</f>
        <v>#VALUE!</v>
      </c>
      <c r="DP474" t="e">
        <f>Africa!212:212-"n/&gt;!6EN"</f>
        <v>#VALUE!</v>
      </c>
      <c r="DQ474" t="e">
        <f>Africa!213:213-"n/&gt;!6EO"</f>
        <v>#VALUE!</v>
      </c>
      <c r="DR474" t="e">
        <f>Africa!214:214-"n/&gt;!6EP"</f>
        <v>#VALUE!</v>
      </c>
      <c r="DS474" t="e">
        <f>Africa!215:215-"n/&gt;!6EQ"</f>
        <v>#VALUE!</v>
      </c>
      <c r="DT474" t="e">
        <f>Africa!216:216-"n/&gt;!6ER"</f>
        <v>#VALUE!</v>
      </c>
      <c r="DU474" t="e">
        <f>Africa!217:217-"n/&gt;!6ES"</f>
        <v>#VALUE!</v>
      </c>
      <c r="DV474" t="e">
        <f>Africa!218:218-"n/&gt;!6ET"</f>
        <v>#VALUE!</v>
      </c>
      <c r="DW474" t="e">
        <f>Africa!219:219-"n/&gt;!6EU"</f>
        <v>#VALUE!</v>
      </c>
      <c r="DX474" t="e">
        <f>Africa!220:220-"n/&gt;!6EV"</f>
        <v>#VALUE!</v>
      </c>
      <c r="DY474" t="e">
        <f>Africa!221:221-"n/&gt;!6EW"</f>
        <v>#VALUE!</v>
      </c>
      <c r="DZ474" t="e">
        <f>Africa!222:222-"n/&gt;!6EX"</f>
        <v>#VALUE!</v>
      </c>
      <c r="EA474" t="e">
        <f>Africa!223:223-"n/&gt;!6EY"</f>
        <v>#VALUE!</v>
      </c>
      <c r="EB474" t="e">
        <f>Africa!224:224-"n/&gt;!6EZ"</f>
        <v>#VALUE!</v>
      </c>
      <c r="EC474" t="e">
        <f>Africa!225:225-"n/&gt;!6E["</f>
        <v>#VALUE!</v>
      </c>
      <c r="ED474" t="e">
        <f>Africa!226:226-"n/&gt;!6E\"</f>
        <v>#VALUE!</v>
      </c>
      <c r="EE474" t="e">
        <f>Africa!227:227-"n/&gt;!6E]"</f>
        <v>#VALUE!</v>
      </c>
      <c r="EF474" t="e">
        <f>Africa!228:228-"n/&gt;!6E^"</f>
        <v>#VALUE!</v>
      </c>
      <c r="EG474" t="e">
        <f>Africa!229:229-"n/&gt;!6E_"</f>
        <v>#VALUE!</v>
      </c>
      <c r="EH474" t="e">
        <f>Africa!230:230-"n/&gt;!6E`"</f>
        <v>#VALUE!</v>
      </c>
      <c r="EI474" t="e">
        <f>Africa!231:231-"n/&gt;!6Ea"</f>
        <v>#VALUE!</v>
      </c>
      <c r="EJ474" t="e">
        <f>Africa!232:232-"n/&gt;!6Eb"</f>
        <v>#VALUE!</v>
      </c>
      <c r="EK474" t="e">
        <f>Africa!233:233-"n/&gt;!6Ec"</f>
        <v>#VALUE!</v>
      </c>
      <c r="EL474" t="e">
        <f>Africa!234:234-"n/&gt;!6Ed"</f>
        <v>#VALUE!</v>
      </c>
      <c r="EM474" t="e">
        <f>Africa!235:235-"n/&gt;!6Ee"</f>
        <v>#VALUE!</v>
      </c>
      <c r="EN474" t="e">
        <f>Africa!236:236-"n/&gt;!6Ef"</f>
        <v>#VALUE!</v>
      </c>
      <c r="EO474" t="e">
        <f>Africa!237:237-"n/&gt;!6Eg"</f>
        <v>#VALUE!</v>
      </c>
      <c r="EP474" t="e">
        <f>Africa!238:238-"n/&gt;!6Eh"</f>
        <v>#VALUE!</v>
      </c>
      <c r="EQ474" t="e">
        <f>Africa!239:239-"n/&gt;!6Ei"</f>
        <v>#VALUE!</v>
      </c>
      <c r="ER474" t="e">
        <f>Africa!240:240-"n/&gt;!6Ej"</f>
        <v>#VALUE!</v>
      </c>
      <c r="ES474" t="e">
        <f>Africa!241:241-"n/&gt;!6Ek"</f>
        <v>#VALUE!</v>
      </c>
      <c r="ET474" t="e">
        <f>Africa!242:242-"n/&gt;!6El"</f>
        <v>#VALUE!</v>
      </c>
      <c r="EU474" t="e">
        <f>Africa!243:243-"n/&gt;!6Em"</f>
        <v>#VALUE!</v>
      </c>
      <c r="EV474" t="e">
        <f>Africa!244:244-"n/&gt;!6En"</f>
        <v>#VALUE!</v>
      </c>
      <c r="EW474" t="e">
        <f>Africa!245:245-"n/&gt;!6Eo"</f>
        <v>#VALUE!</v>
      </c>
      <c r="EX474" t="e">
        <f>Africa!246:246-"n/&gt;!6Ep"</f>
        <v>#VALUE!</v>
      </c>
      <c r="EY474" t="e">
        <f>Africa!247:247-"n/&gt;!6Eq"</f>
        <v>#VALUE!</v>
      </c>
      <c r="EZ474" t="e">
        <f>Africa!248:248-"n/&gt;!6Er"</f>
        <v>#VALUE!</v>
      </c>
      <c r="FA474" t="e">
        <f>Africa!249:249-"n/&gt;!6Es"</f>
        <v>#VALUE!</v>
      </c>
      <c r="FB474" t="e">
        <f>Africa!250:250-"n/&gt;!6Et"</f>
        <v>#VALUE!</v>
      </c>
      <c r="FC474" t="e">
        <f>Africa!251:251-"n/&gt;!6Eu"</f>
        <v>#VALUE!</v>
      </c>
      <c r="FD474" t="e">
        <f>Africa!252:252-"n/&gt;!6Ev"</f>
        <v>#VALUE!</v>
      </c>
      <c r="FE474" t="e">
        <f>Africa!253:253-"n/&gt;!6Ew"</f>
        <v>#VALUE!</v>
      </c>
      <c r="FF474" t="e">
        <f>Africa!254:254-"n/&gt;!6Ex"</f>
        <v>#VALUE!</v>
      </c>
      <c r="FG474" t="e">
        <f>Africa!255:255-"n/&gt;!6Ey"</f>
        <v>#VALUE!</v>
      </c>
      <c r="FH474" t="e">
        <f>Africa!256:256-"n/&gt;!6Ez"</f>
        <v>#VALUE!</v>
      </c>
      <c r="FI474" t="e">
        <f>Africa!257:257-"n/&gt;!6E{"</f>
        <v>#VALUE!</v>
      </c>
      <c r="FJ474" t="e">
        <f>Africa!258:258-"n/&gt;!6E|"</f>
        <v>#VALUE!</v>
      </c>
      <c r="FK474" t="e">
        <f>Africa!259:259-"n/&gt;!6E}"</f>
        <v>#VALUE!</v>
      </c>
      <c r="FL474" t="e">
        <f>Africa!260:260-"n/&gt;!6E~"</f>
        <v>#VALUE!</v>
      </c>
      <c r="FM474" t="e">
        <f>Africa!261:261-"n/&gt;!6F#"</f>
        <v>#VALUE!</v>
      </c>
      <c r="FN474" t="e">
        <f>Africa!262:262-"n/&gt;!6F$"</f>
        <v>#VALUE!</v>
      </c>
      <c r="FO474" t="e">
        <f>Africa!263:263-"n/&gt;!6F%"</f>
        <v>#VALUE!</v>
      </c>
      <c r="FP474" t="e">
        <f>Africa!264:264-"n/&gt;!6F&amp;"</f>
        <v>#VALUE!</v>
      </c>
      <c r="FQ474" t="e">
        <f>Africa!265:265-"n/&gt;!6F'"</f>
        <v>#VALUE!</v>
      </c>
      <c r="FR474" t="e">
        <f>Africa!266:266-"n/&gt;!6F("</f>
        <v>#VALUE!</v>
      </c>
      <c r="FS474" t="e">
        <f>Africa!267:267-"n/&gt;!6F)"</f>
        <v>#VALUE!</v>
      </c>
      <c r="FT474" t="e">
        <f>Africa!268:268-"n/&gt;!6F."</f>
        <v>#VALUE!</v>
      </c>
      <c r="FU474" t="e">
        <f>Africa!269:269-"n/&gt;!6F/"</f>
        <v>#VALUE!</v>
      </c>
      <c r="FV474" t="e">
        <f>Africa!270:270-"n/&gt;!6F0"</f>
        <v>#VALUE!</v>
      </c>
      <c r="FW474" t="e">
        <f>Africa!271:271-"n/&gt;!6F1"</f>
        <v>#VALUE!</v>
      </c>
      <c r="FX474" t="e">
        <f>Africa!272:272-"n/&gt;!6F2"</f>
        <v>#VALUE!</v>
      </c>
      <c r="FY474" t="e">
        <f>Africa!273:273-"n/&gt;!6F3"</f>
        <v>#VALUE!</v>
      </c>
      <c r="FZ474" t="e">
        <f>Africa!274:274-"n/&gt;!6F4"</f>
        <v>#VALUE!</v>
      </c>
      <c r="GA474" t="e">
        <f>Africa!275:275-"n/&gt;!6F5"</f>
        <v>#VALUE!</v>
      </c>
      <c r="GB474" t="e">
        <f>Africa!276:276-"n/&gt;!6F6"</f>
        <v>#VALUE!</v>
      </c>
      <c r="GC474" t="e">
        <f>Africa!277:277-"n/&gt;!6F7"</f>
        <v>#VALUE!</v>
      </c>
      <c r="GD474" t="e">
        <f>Africa!278:278-"n/&gt;!6F8"</f>
        <v>#VALUE!</v>
      </c>
      <c r="GE474" t="e">
        <f>Africa!279:279-"n/&gt;!6F9"</f>
        <v>#VALUE!</v>
      </c>
      <c r="GF474" t="e">
        <f>Africa!280:280-"n/&gt;!6F:"</f>
        <v>#VALUE!</v>
      </c>
      <c r="GG474" t="e">
        <f>Africa!281:281-"n/&gt;!6F;"</f>
        <v>#VALUE!</v>
      </c>
      <c r="GH474" t="e">
        <f>Africa!282:282-"n/&gt;!6F&lt;"</f>
        <v>#VALUE!</v>
      </c>
      <c r="GI474" t="e">
        <f>Africa!283:283-"n/&gt;!6F="</f>
        <v>#VALUE!</v>
      </c>
      <c r="GJ474" t="e">
        <f>Africa!284:284-"n/&gt;!6F&gt;"</f>
        <v>#VALUE!</v>
      </c>
      <c r="GK474" t="e">
        <f>Africa!285:285-"n/&gt;!6F?"</f>
        <v>#VALUE!</v>
      </c>
      <c r="GL474" t="e">
        <f>Africa!286:286-"n/&gt;!6F@"</f>
        <v>#VALUE!</v>
      </c>
      <c r="GM474" t="e">
        <f>Africa!287:287-"n/&gt;!6FA"</f>
        <v>#VALUE!</v>
      </c>
      <c r="GN474" t="e">
        <f>Africa!288:288-"n/&gt;!6FB"</f>
        <v>#VALUE!</v>
      </c>
      <c r="GO474" t="e">
        <f>Africa!289:289-"n/&gt;!6FC"</f>
        <v>#VALUE!</v>
      </c>
      <c r="GP474" t="e">
        <f>Africa!290:290-"n/&gt;!6FD"</f>
        <v>#VALUE!</v>
      </c>
      <c r="GQ474" t="e">
        <f>Africa!291:291-"n/&gt;!6FE"</f>
        <v>#VALUE!</v>
      </c>
      <c r="GR474" t="e">
        <f>Africa!292:292-"n/&gt;!6FF"</f>
        <v>#VALUE!</v>
      </c>
      <c r="GS474" t="e">
        <f>Africa!293:293-"n/&gt;!6FG"</f>
        <v>#VALUE!</v>
      </c>
      <c r="GT474" t="e">
        <f>Africa!294:294-"n/&gt;!6FH"</f>
        <v>#VALUE!</v>
      </c>
      <c r="GU474" t="e">
        <f>Africa!295:295-"n/&gt;!6FI"</f>
        <v>#VALUE!</v>
      </c>
      <c r="GV474" t="e">
        <f>Africa!296:296-"n/&gt;!6FJ"</f>
        <v>#VALUE!</v>
      </c>
      <c r="GW474" t="e">
        <f>Africa!297:297-"n/&gt;!6FK"</f>
        <v>#VALUE!</v>
      </c>
      <c r="GX474" t="e">
        <f>Africa!298:298-"n/&gt;!6FL"</f>
        <v>#VALUE!</v>
      </c>
      <c r="GY474" t="e">
        <f>Africa!299:299-"n/&gt;!6FM"</f>
        <v>#VALUE!</v>
      </c>
      <c r="GZ474" t="e">
        <f>Africa!300:300-"n/&gt;!6FN"</f>
        <v>#VALUE!</v>
      </c>
      <c r="HA474" t="e">
        <f>Africa!301:301-"n/&gt;!6FO"</f>
        <v>#VALUE!</v>
      </c>
      <c r="HB474" t="e">
        <f>Africa!302:302-"n/&gt;!6FP"</f>
        <v>#VALUE!</v>
      </c>
      <c r="HC474" t="e">
        <f>Africa!303:303-"n/&gt;!6FQ"</f>
        <v>#VALUE!</v>
      </c>
      <c r="HD474" t="e">
        <f>Africa!304:304-"n/&gt;!6FR"</f>
        <v>#VALUE!</v>
      </c>
      <c r="HE474" t="e">
        <f>Africa!305:305-"n/&gt;!6FS"</f>
        <v>#VALUE!</v>
      </c>
      <c r="HF474" t="e">
        <f>Africa!306:306-"n/&gt;!6FT"</f>
        <v>#VALUE!</v>
      </c>
      <c r="HG474" t="e">
        <f>Africa!307:307-"n/&gt;!6FU"</f>
        <v>#VALUE!</v>
      </c>
      <c r="HH474" t="e">
        <f>Africa!308:308-"n/&gt;!6FV"</f>
        <v>#VALUE!</v>
      </c>
      <c r="HI474" t="e">
        <f>Africa!309:309-"n/&gt;!6FW"</f>
        <v>#VALUE!</v>
      </c>
      <c r="HJ474" t="e">
        <f>Africa!310:310-"n/&gt;!6FX"</f>
        <v>#VALUE!</v>
      </c>
      <c r="HK474" t="e">
        <f>Africa!311:311-"n/&gt;!6FY"</f>
        <v>#VALUE!</v>
      </c>
      <c r="HL474" t="e">
        <f>Africa!312:312-"n/&gt;!6FZ"</f>
        <v>#VALUE!</v>
      </c>
      <c r="HM474" t="e">
        <f>Africa!313:313-"n/&gt;!6F["</f>
        <v>#VALUE!</v>
      </c>
      <c r="HN474" t="e">
        <f>Africa!314:314-"n/&gt;!6F\"</f>
        <v>#VALUE!</v>
      </c>
      <c r="HO474" t="e">
        <f>Africa!315:315-"n/&gt;!6F]"</f>
        <v>#VALUE!</v>
      </c>
      <c r="HP474" t="e">
        <f>Africa!316:316-"n/&gt;!6F^"</f>
        <v>#VALUE!</v>
      </c>
      <c r="HQ474" t="e">
        <f>Africa!317:317-"n/&gt;!6F_"</f>
        <v>#VALUE!</v>
      </c>
      <c r="HR474" t="e">
        <f>Africa!318:318-"n/&gt;!6F`"</f>
        <v>#VALUE!</v>
      </c>
      <c r="HS474" t="e">
        <f>Africa!319:319-"n/&gt;!6Fa"</f>
        <v>#VALUE!</v>
      </c>
      <c r="HT474" t="e">
        <f>Africa!320:320-"n/&gt;!6Fb"</f>
        <v>#VALUE!</v>
      </c>
      <c r="HU474" t="e">
        <f>Africa!321:321-"n/&gt;!6Fc"</f>
        <v>#VALUE!</v>
      </c>
      <c r="HV474" t="e">
        <f>Africa!322:322-"n/&gt;!6Fd"</f>
        <v>#VALUE!</v>
      </c>
      <c r="HW474" t="e">
        <f>Africa!323:323-"n/&gt;!6Fe"</f>
        <v>#VALUE!</v>
      </c>
      <c r="HX474" t="e">
        <f>Africa!324:324-"n/&gt;!6Ff"</f>
        <v>#VALUE!</v>
      </c>
      <c r="HY474" t="e">
        <f>Africa!325:325-"n/&gt;!6Fg"</f>
        <v>#VALUE!</v>
      </c>
      <c r="HZ474" t="e">
        <f>Africa!326:326-"n/&gt;!6Fh"</f>
        <v>#VALUE!</v>
      </c>
      <c r="IA474" t="e">
        <f>Africa!327:327-"n/&gt;!6Fi"</f>
        <v>#VALUE!</v>
      </c>
      <c r="IB474" t="e">
        <f>Africa!328:328-"n/&gt;!6Fj"</f>
        <v>#VALUE!</v>
      </c>
      <c r="IC474" t="e">
        <f>Africa!329:329-"n/&gt;!6Fk"</f>
        <v>#VALUE!</v>
      </c>
      <c r="ID474" t="e">
        <f>Africa!330:330-"n/&gt;!6Fl"</f>
        <v>#VALUE!</v>
      </c>
      <c r="IE474" t="e">
        <f>Africa!331:331-"n/&gt;!6Fm"</f>
        <v>#VALUE!</v>
      </c>
      <c r="IF474" t="e">
        <f>Africa!332:332-"n/&gt;!6Fn"</f>
        <v>#VALUE!</v>
      </c>
      <c r="IG474" t="e">
        <f>Africa!333:333-"n/&gt;!6Fo"</f>
        <v>#VALUE!</v>
      </c>
      <c r="IH474" t="e">
        <f>Africa!334:334-"n/&gt;!6Fp"</f>
        <v>#VALUE!</v>
      </c>
      <c r="II474" t="e">
        <f>Africa!335:335-"n/&gt;!6Fq"</f>
        <v>#VALUE!</v>
      </c>
      <c r="IJ474" t="e">
        <f>Africa!336:336-"n/&gt;!6Fr"</f>
        <v>#VALUE!</v>
      </c>
      <c r="IK474" t="e">
        <f>Africa!337:337-"n/&gt;!6Fs"</f>
        <v>#VALUE!</v>
      </c>
      <c r="IL474" t="e">
        <f>Africa!338:338-"n/&gt;!6Ft"</f>
        <v>#VALUE!</v>
      </c>
      <c r="IM474" t="e">
        <f>Africa!339:339-"n/&gt;!6Fu"</f>
        <v>#VALUE!</v>
      </c>
      <c r="IN474" t="e">
        <f>Africa!340:340-"n/&gt;!6Fv"</f>
        <v>#VALUE!</v>
      </c>
      <c r="IO474" t="e">
        <f>Africa!341:341-"n/&gt;!6Fw"</f>
        <v>#VALUE!</v>
      </c>
      <c r="IP474" t="e">
        <f>Africa!342:342-"n/&gt;!6Fx"</f>
        <v>#VALUE!</v>
      </c>
      <c r="IQ474" t="e">
        <f>Africa!343:343-"n/&gt;!6Fy"</f>
        <v>#VALUE!</v>
      </c>
      <c r="IR474" t="e">
        <f>Africa!344:344-"n/&gt;!6Fz"</f>
        <v>#VALUE!</v>
      </c>
      <c r="IS474" t="e">
        <f>Africa!345:345-"n/&gt;!6F{"</f>
        <v>#VALUE!</v>
      </c>
      <c r="IT474" t="e">
        <f>Africa!346:346-"n/&gt;!6F|"</f>
        <v>#VALUE!</v>
      </c>
      <c r="IU474" t="e">
        <f>Africa!347:347-"n/&gt;!6F}"</f>
        <v>#VALUE!</v>
      </c>
      <c r="IV474" t="e">
        <f>Africa!348:348-"n/&gt;!6F~"</f>
        <v>#VALUE!</v>
      </c>
    </row>
    <row r="475" spans="6:256" x14ac:dyDescent="0.35">
      <c r="F475" t="e">
        <f>Africa!349:349-"n/&gt;!6G#"</f>
        <v>#VALUE!</v>
      </c>
      <c r="G475" t="e">
        <f>Africa!350:350-"n/&gt;!6G$"</f>
        <v>#VALUE!</v>
      </c>
      <c r="H475" t="e">
        <f>Africa!351:351-"n/&gt;!6G%"</f>
        <v>#VALUE!</v>
      </c>
      <c r="I475" t="e">
        <f>Africa!352:352-"n/&gt;!6G&amp;"</f>
        <v>#VALUE!</v>
      </c>
      <c r="J475" t="e">
        <f>Africa!353:353-"n/&gt;!6G'"</f>
        <v>#VALUE!</v>
      </c>
      <c r="K475" t="e">
        <f>Africa!354:354-"n/&gt;!6G("</f>
        <v>#VALUE!</v>
      </c>
      <c r="L475" t="e">
        <f>Africa!355:355-"n/&gt;!6G)"</f>
        <v>#VALUE!</v>
      </c>
      <c r="M475" t="e">
        <f>Africa!356:356-"n/&gt;!6G."</f>
        <v>#VALUE!</v>
      </c>
      <c r="N475" t="e">
        <f>Africa!357:357-"n/&gt;!6G/"</f>
        <v>#VALUE!</v>
      </c>
      <c r="O475" t="e">
        <f>Africa!358:358-"n/&gt;!6G0"</f>
        <v>#VALUE!</v>
      </c>
      <c r="P475" t="e">
        <f>Africa!359:359-"n/&gt;!6G1"</f>
        <v>#VALUE!</v>
      </c>
      <c r="Q475" t="e">
        <f>Africa!360:360-"n/&gt;!6G2"</f>
        <v>#VALUE!</v>
      </c>
      <c r="R475" t="e">
        <f>Africa!361:361-"n/&gt;!6G3"</f>
        <v>#VALUE!</v>
      </c>
      <c r="S475" t="e">
        <f>Africa!362:362-"n/&gt;!6G4"</f>
        <v>#VALUE!</v>
      </c>
      <c r="T475" t="e">
        <f>Africa!363:363-"n/&gt;!6G5"</f>
        <v>#VALUE!</v>
      </c>
      <c r="U475" t="e">
        <f>Africa!364:364-"n/&gt;!6G6"</f>
        <v>#VALUE!</v>
      </c>
      <c r="V475" t="e">
        <f>Africa!365:365-"n/&gt;!6G7"</f>
        <v>#VALUE!</v>
      </c>
      <c r="W475" t="e">
        <f>Africa!366:366-"n/&gt;!6G8"</f>
        <v>#VALUE!</v>
      </c>
      <c r="X475" t="e">
        <f>Africa!367:367-"n/&gt;!6G9"</f>
        <v>#VALUE!</v>
      </c>
      <c r="Y475" t="e">
        <f>Africa!368:368-"n/&gt;!6G:"</f>
        <v>#VALUE!</v>
      </c>
      <c r="Z475" t="e">
        <f>Africa!369:369-"n/&gt;!6G;"</f>
        <v>#VALUE!</v>
      </c>
      <c r="AA475" t="e">
        <f>Africa!370:370-"n/&gt;!6G&lt;"</f>
        <v>#VALUE!</v>
      </c>
      <c r="AB475" t="e">
        <f>Africa!371:371-"n/&gt;!6G="</f>
        <v>#VALUE!</v>
      </c>
      <c r="AC475" t="e">
        <f>Africa!372:372-"n/&gt;!6G&gt;"</f>
        <v>#VALUE!</v>
      </c>
      <c r="AD475" t="e">
        <f>Africa!373:373-"n/&gt;!6G?"</f>
        <v>#VALUE!</v>
      </c>
      <c r="AE475" t="e">
        <f>Africa!374:374-"n/&gt;!6G@"</f>
        <v>#VALUE!</v>
      </c>
      <c r="AF475" t="e">
        <f>Africa!375:375-"n/&gt;!6GA"</f>
        <v>#VALUE!</v>
      </c>
      <c r="AG475" t="e">
        <f>Africa!376:376-"n/&gt;!6GB"</f>
        <v>#VALUE!</v>
      </c>
      <c r="AH475" t="e">
        <f>Africa!377:377-"n/&gt;!6GC"</f>
        <v>#VALUE!</v>
      </c>
      <c r="AI475" t="e">
        <f>Africa!378:378-"n/&gt;!6GD"</f>
        <v>#VALUE!</v>
      </c>
      <c r="AJ475" t="e">
        <f>Africa!379:379-"n/&gt;!6GE"</f>
        <v>#VALUE!</v>
      </c>
      <c r="AK475" t="e">
        <f>Africa!380:380-"n/&gt;!6GF"</f>
        <v>#VALUE!</v>
      </c>
      <c r="AL475" t="e">
        <f>Africa!381:381-"n/&gt;!6GG"</f>
        <v>#VALUE!</v>
      </c>
      <c r="AM475" t="e">
        <f>Africa!382:382-"n/&gt;!6GH"</f>
        <v>#VALUE!</v>
      </c>
      <c r="AN475" t="e">
        <f>Africa!383:383-"n/&gt;!6GI"</f>
        <v>#VALUE!</v>
      </c>
      <c r="AO475" t="e">
        <f>Africa!384:384-"n/&gt;!6GJ"</f>
        <v>#VALUE!</v>
      </c>
      <c r="AP475" t="e">
        <f>Africa!385:385-"n/&gt;!6GK"</f>
        <v>#VALUE!</v>
      </c>
      <c r="AQ475" t="e">
        <f>Africa!386:386-"n/&gt;!6GL"</f>
        <v>#VALUE!</v>
      </c>
      <c r="AR475" t="e">
        <f>Africa!387:387-"n/&gt;!6GM"</f>
        <v>#VALUE!</v>
      </c>
      <c r="AS475" t="e">
        <f>Africa!388:388-"n/&gt;!6GN"</f>
        <v>#VALUE!</v>
      </c>
      <c r="AT475" t="e">
        <f>Africa!389:389-"n/&gt;!6GO"</f>
        <v>#VALUE!</v>
      </c>
      <c r="AU475" t="e">
        <f>Africa!390:390-"n/&gt;!6GP"</f>
        <v>#VALUE!</v>
      </c>
      <c r="AV475" t="e">
        <f>Africa!391:391-"n/&gt;!6GQ"</f>
        <v>#VALUE!</v>
      </c>
      <c r="AW475" t="e">
        <f>Africa!392:392-"n/&gt;!6GR"</f>
        <v>#VALUE!</v>
      </c>
      <c r="AX475" t="e">
        <f>Africa!393:393-"n/&gt;!6GS"</f>
        <v>#VALUE!</v>
      </c>
      <c r="AY475" t="e">
        <f>Africa!394:394-"n/&gt;!6GT"</f>
        <v>#VALUE!</v>
      </c>
      <c r="AZ475" t="e">
        <f>Africa!395:395-"n/&gt;!6GU"</f>
        <v>#VALUE!</v>
      </c>
      <c r="BA475" t="e">
        <f>Africa!396:396-"n/&gt;!6GV"</f>
        <v>#VALUE!</v>
      </c>
      <c r="BB475" t="e">
        <f>Africa!397:397-"n/&gt;!6GW"</f>
        <v>#VALUE!</v>
      </c>
      <c r="BC475" t="e">
        <f>Africa!398:398-"n/&gt;!6GX"</f>
        <v>#VALUE!</v>
      </c>
      <c r="BD475" t="e">
        <f>Africa!399:399-"n/&gt;!6GY"</f>
        <v>#VALUE!</v>
      </c>
      <c r="BE475" t="e">
        <f>Africa!400:400-"n/&gt;!6GZ"</f>
        <v>#VALUE!</v>
      </c>
      <c r="BF475" t="e">
        <f>Africa!401:401-"n/&gt;!6G["</f>
        <v>#VALUE!</v>
      </c>
      <c r="BG475" t="e">
        <f>Africa!402:402-"n/&gt;!6G\"</f>
        <v>#VALUE!</v>
      </c>
      <c r="BH475" t="e">
        <f>Africa!403:403-"n/&gt;!6G]"</f>
        <v>#VALUE!</v>
      </c>
      <c r="BI475" t="e">
        <f>Africa!404:404-"n/&gt;!6G^"</f>
        <v>#VALUE!</v>
      </c>
      <c r="BJ475" t="e">
        <f>Africa!405:405-"n/&gt;!6G_"</f>
        <v>#VALUE!</v>
      </c>
      <c r="BK475" t="e">
        <f>Africa!406:406-"n/&gt;!6G`"</f>
        <v>#VALUE!</v>
      </c>
      <c r="BL475" t="e">
        <f>Africa!407:407-"n/&gt;!6Ga"</f>
        <v>#VALUE!</v>
      </c>
      <c r="BM475" t="e">
        <f>Africa!408:408-"n/&gt;!6Gb"</f>
        <v>#VALUE!</v>
      </c>
      <c r="BN475" t="e">
        <f>Africa!409:409-"n/&gt;!6Gc"</f>
        <v>#VALUE!</v>
      </c>
      <c r="BO475" t="e">
        <f>Africa!410:410-"n/&gt;!6Gd"</f>
        <v>#VALUE!</v>
      </c>
      <c r="BP475" t="e">
        <f>Africa!411:411-"n/&gt;!6Ge"</f>
        <v>#VALUE!</v>
      </c>
      <c r="BQ475" t="e">
        <f>Africa!412:412-"n/&gt;!6Gf"</f>
        <v>#VALUE!</v>
      </c>
      <c r="BR475" t="e">
        <f>Africa!413:413-"n/&gt;!6Gg"</f>
        <v>#VALUE!</v>
      </c>
      <c r="BS475" t="e">
        <f>Africa!414:414-"n/&gt;!6Gh"</f>
        <v>#VALUE!</v>
      </c>
      <c r="BT475" t="e">
        <f>Africa!415:415-"n/&gt;!6Gi"</f>
        <v>#VALUE!</v>
      </c>
      <c r="BU475" t="e">
        <f>Africa!416:416-"n/&gt;!6Gj"</f>
        <v>#VALUE!</v>
      </c>
      <c r="BV475" t="e">
        <f>Africa!417:417-"n/&gt;!6Gk"</f>
        <v>#VALUE!</v>
      </c>
      <c r="BW475" t="e">
        <f>Africa!418:418-"n/&gt;!6Gl"</f>
        <v>#VALUE!</v>
      </c>
      <c r="BX475" t="e">
        <f>Africa!419:419-"n/&gt;!6Gm"</f>
        <v>#VALUE!</v>
      </c>
      <c r="BY475" t="e">
        <f>Africa!420:420-"n/&gt;!6Gn"</f>
        <v>#VALUE!</v>
      </c>
      <c r="BZ475" t="e">
        <f>Africa!421:421-"n/&gt;!6Go"</f>
        <v>#VALUE!</v>
      </c>
      <c r="CA475" t="e">
        <f>Africa!422:422-"n/&gt;!6Gp"</f>
        <v>#VALUE!</v>
      </c>
      <c r="CB475" t="e">
        <f>Africa!423:423-"n/&gt;!6Gq"</f>
        <v>#VALUE!</v>
      </c>
      <c r="CC475" t="e">
        <f>Africa!424:424-"n/&gt;!6Gr"</f>
        <v>#VALUE!</v>
      </c>
      <c r="CD475" t="e">
        <f>Africa!425:425-"n/&gt;!6Gs"</f>
        <v>#VALUE!</v>
      </c>
      <c r="CE475" t="e">
        <f>Africa!426:426-"n/&gt;!6Gt"</f>
        <v>#VALUE!</v>
      </c>
      <c r="CF475" t="e">
        <f>Africa!427:427-"n/&gt;!6Gu"</f>
        <v>#VALUE!</v>
      </c>
      <c r="CG475" t="e">
        <f>Africa!428:428-"n/&gt;!6Gv"</f>
        <v>#VALUE!</v>
      </c>
      <c r="CH475" t="e">
        <f>Africa!429:429-"n/&gt;!6Gw"</f>
        <v>#VALUE!</v>
      </c>
      <c r="CI475" t="e">
        <f>Africa!430:430-"n/&gt;!6Gx"</f>
        <v>#VALUE!</v>
      </c>
      <c r="CJ475" t="e">
        <f>Africa!431:431-"n/&gt;!6Gy"</f>
        <v>#VALUE!</v>
      </c>
      <c r="CK475" t="e">
        <f>Africa!432:432-"n/&gt;!6Gz"</f>
        <v>#VALUE!</v>
      </c>
      <c r="CL475" t="e">
        <f>Africa!433:433-"n/&gt;!6G{"</f>
        <v>#VALUE!</v>
      </c>
      <c r="CM475" t="e">
        <f>Africa!434:434-"n/&gt;!6G|"</f>
        <v>#VALUE!</v>
      </c>
      <c r="CN475" t="e">
        <f>Africa!435:435-"n/&gt;!6G}"</f>
        <v>#VALUE!</v>
      </c>
      <c r="CO475" t="e">
        <f>Africa!436:436-"n/&gt;!6G~"</f>
        <v>#VALUE!</v>
      </c>
      <c r="CP475" t="e">
        <f>Africa!437:437-"n/&gt;!6H#"</f>
        <v>#VALUE!</v>
      </c>
      <c r="CQ475" t="e">
        <f>Africa!438:438-"n/&gt;!6H$"</f>
        <v>#VALUE!</v>
      </c>
      <c r="CR475" t="e">
        <f>Africa!439:439-"n/&gt;!6H%"</f>
        <v>#VALUE!</v>
      </c>
      <c r="CS475" t="e">
        <f>Africa!440:440-"n/&gt;!6H&amp;"</f>
        <v>#VALUE!</v>
      </c>
      <c r="CT475" t="e">
        <f>Africa!441:441-"n/&gt;!6H'"</f>
        <v>#VALUE!</v>
      </c>
      <c r="CU475" t="e">
        <f>Africa!442:442-"n/&gt;!6H("</f>
        <v>#VALUE!</v>
      </c>
      <c r="CV475" t="e">
        <f>Africa!443:443-"n/&gt;!6H)"</f>
        <v>#VALUE!</v>
      </c>
      <c r="CW475" t="e">
        <f>Africa!444:444-"n/&gt;!6H."</f>
        <v>#VALUE!</v>
      </c>
      <c r="CX475" t="e">
        <f>Africa!445:445-"n/&gt;!6H/"</f>
        <v>#VALUE!</v>
      </c>
      <c r="CY475" t="e">
        <f>Africa!446:446-"n/&gt;!6H0"</f>
        <v>#VALUE!</v>
      </c>
      <c r="CZ475" t="e">
        <f>Africa!447:447-"n/&gt;!6H1"</f>
        <v>#VALUE!</v>
      </c>
      <c r="DA475" t="e">
        <f>Africa!448:448-"n/&gt;!6H2"</f>
        <v>#VALUE!</v>
      </c>
      <c r="DB475" t="e">
        <f>Africa!449:449-"n/&gt;!6H3"</f>
        <v>#VALUE!</v>
      </c>
      <c r="DC475" t="e">
        <f>International!A1+"n/&gt;!6H4"</f>
        <v>#VALUE!</v>
      </c>
      <c r="DD475" t="e">
        <f>International!B1+"n/&gt;!6H5"</f>
        <v>#VALUE!</v>
      </c>
      <c r="DE475" t="e">
        <f>International!C1+"n/&gt;!6H6"</f>
        <v>#VALUE!</v>
      </c>
      <c r="DF475" t="e">
        <f>International!D1+"n/&gt;!6H7"</f>
        <v>#VALUE!</v>
      </c>
      <c r="DG475" t="e">
        <f>International!E1+"n/&gt;!6H8"</f>
        <v>#VALUE!</v>
      </c>
      <c r="DH475" t="e">
        <f>International!F1+"n/&gt;!6H9"</f>
        <v>#VALUE!</v>
      </c>
      <c r="DI475" t="e">
        <f>International!G1+"n/&gt;!6H:"</f>
        <v>#VALUE!</v>
      </c>
      <c r="DJ475" t="e">
        <f>International!H1+"n/&gt;!6H;"</f>
        <v>#VALUE!</v>
      </c>
      <c r="DK475" t="e">
        <f>International!I1+"n/&gt;!6H&lt;"</f>
        <v>#VALUE!</v>
      </c>
      <c r="DL475" t="e">
        <f>International!A2+"n/&gt;!6H="</f>
        <v>#VALUE!</v>
      </c>
      <c r="DM475" t="e">
        <f>International!B2+"n/&gt;!6H&gt;"</f>
        <v>#VALUE!</v>
      </c>
      <c r="DN475" t="e">
        <f>International!C2+"n/&gt;!6H?"</f>
        <v>#VALUE!</v>
      </c>
      <c r="DO475" t="e">
        <f>International!D2+"n/&gt;!6H@"</f>
        <v>#VALUE!</v>
      </c>
      <c r="DP475" t="e">
        <f>International!E2+"n/&gt;!6HA"</f>
        <v>#VALUE!</v>
      </c>
      <c r="DQ475" t="e">
        <f>International!F2+"n/&gt;!6HB"</f>
        <v>#VALUE!</v>
      </c>
      <c r="DR475" t="e">
        <f>International!G2+"n/&gt;!6HC"</f>
        <v>#VALUE!</v>
      </c>
      <c r="DS475" t="e">
        <f>International!H2+"n/&gt;!6HD"</f>
        <v>#VALUE!</v>
      </c>
      <c r="DT475" t="e">
        <f>International!I2+"n/&gt;!6HE"</f>
        <v>#VALUE!</v>
      </c>
      <c r="DU475" t="e">
        <f>International!A3+"n/&gt;!6HF"</f>
        <v>#VALUE!</v>
      </c>
      <c r="DV475" t="e">
        <f>International!B3+"n/&gt;!6HG"</f>
        <v>#VALUE!</v>
      </c>
      <c r="DW475" t="e">
        <f>International!C3+"n/&gt;!6HH"</f>
        <v>#VALUE!</v>
      </c>
      <c r="DX475" t="e">
        <f>International!D3+"n/&gt;!6HI"</f>
        <v>#VALUE!</v>
      </c>
      <c r="DY475" t="e">
        <f>International!E3+"n/&gt;!6HJ"</f>
        <v>#VALUE!</v>
      </c>
      <c r="DZ475" t="e">
        <f>International!F3+"n/&gt;!6HK"</f>
        <v>#VALUE!</v>
      </c>
      <c r="EA475" t="e">
        <f>International!G3+"n/&gt;!6HL"</f>
        <v>#VALUE!</v>
      </c>
      <c r="EB475" t="e">
        <f>International!H3+"n/&gt;!6HM"</f>
        <v>#VALUE!</v>
      </c>
      <c r="EC475" t="e">
        <f>International!I3+"n/&gt;!6HN"</f>
        <v>#VALUE!</v>
      </c>
      <c r="ED475" t="e">
        <f>International!A4+"n/&gt;!6HO"</f>
        <v>#VALUE!</v>
      </c>
      <c r="EE475" t="e">
        <f>International!B4+"n/&gt;!6HP"</f>
        <v>#VALUE!</v>
      </c>
      <c r="EF475" t="e">
        <f>International!C4+"n/&gt;!6HQ"</f>
        <v>#VALUE!</v>
      </c>
      <c r="EG475" t="e">
        <f>International!D4+"n/&gt;!6HR"</f>
        <v>#VALUE!</v>
      </c>
      <c r="EH475" t="e">
        <f>International!E4+"n/&gt;!6HS"</f>
        <v>#VALUE!</v>
      </c>
      <c r="EI475" t="e">
        <f>International!F4+"n/&gt;!6HT"</f>
        <v>#VALUE!</v>
      </c>
      <c r="EJ475" t="e">
        <f>International!G4+"n/&gt;!6HU"</f>
        <v>#VALUE!</v>
      </c>
      <c r="EK475" t="e">
        <f>International!H4+"n/&gt;!6HV"</f>
        <v>#VALUE!</v>
      </c>
      <c r="EL475" t="e">
        <f>International!I4+"n/&gt;!6HW"</f>
        <v>#VALUE!</v>
      </c>
      <c r="EM475" t="e">
        <f>International!A5+"n/&gt;!6HX"</f>
        <v>#VALUE!</v>
      </c>
      <c r="EN475" t="e">
        <f>International!B5+"n/&gt;!6HY"</f>
        <v>#VALUE!</v>
      </c>
      <c r="EO475" t="e">
        <f>International!C5+"n/&gt;!6HZ"</f>
        <v>#VALUE!</v>
      </c>
      <c r="EP475" t="e">
        <f>International!D5+"n/&gt;!6H["</f>
        <v>#VALUE!</v>
      </c>
      <c r="EQ475" t="e">
        <f>International!E5+"n/&gt;!6H\"</f>
        <v>#VALUE!</v>
      </c>
      <c r="ER475" t="e">
        <f>International!F5+"n/&gt;!6H]"</f>
        <v>#VALUE!</v>
      </c>
      <c r="ES475" t="e">
        <f>International!G5+"n/&gt;!6H^"</f>
        <v>#VALUE!</v>
      </c>
      <c r="ET475" t="e">
        <f>International!H5+"n/&gt;!6H_"</f>
        <v>#VALUE!</v>
      </c>
      <c r="EU475" t="e">
        <f>International!I5+"n/&gt;!6H`"</f>
        <v>#VALUE!</v>
      </c>
      <c r="EV475" t="e">
        <f>International!A6+"n/&gt;!6Ha"</f>
        <v>#VALUE!</v>
      </c>
      <c r="EW475" t="e">
        <f>International!B6+"n/&gt;!6Hb"</f>
        <v>#VALUE!</v>
      </c>
      <c r="EX475" t="e">
        <f>International!C6+"n/&gt;!6Hc"</f>
        <v>#VALUE!</v>
      </c>
      <c r="EY475" t="e">
        <f>International!D6+"n/&gt;!6Hd"</f>
        <v>#VALUE!</v>
      </c>
      <c r="EZ475" t="e">
        <f>International!E6+"n/&gt;!6He"</f>
        <v>#VALUE!</v>
      </c>
      <c r="FA475" t="e">
        <f>International!F6+"n/&gt;!6Hf"</f>
        <v>#VALUE!</v>
      </c>
      <c r="FB475" t="e">
        <f>International!G6+"n/&gt;!6Hg"</f>
        <v>#VALUE!</v>
      </c>
      <c r="FC475" t="e">
        <f>International!H6+"n/&gt;!6Hh"</f>
        <v>#VALUE!</v>
      </c>
      <c r="FD475" t="e">
        <f>International!I6+"n/&gt;!6Hi"</f>
        <v>#VALUE!</v>
      </c>
      <c r="FE475" t="e">
        <f>International!A7+"n/&gt;!6Hj"</f>
        <v>#VALUE!</v>
      </c>
      <c r="FF475" t="e">
        <f>International!B7+"n/&gt;!6Hk"</f>
        <v>#VALUE!</v>
      </c>
      <c r="FG475" t="e">
        <f>International!C7+"n/&gt;!6Hl"</f>
        <v>#VALUE!</v>
      </c>
      <c r="FH475" t="e">
        <f>International!D7+"n/&gt;!6Hm"</f>
        <v>#VALUE!</v>
      </c>
      <c r="FI475" t="e">
        <f>International!E7+"n/&gt;!6Hn"</f>
        <v>#VALUE!</v>
      </c>
      <c r="FJ475" t="e">
        <f>International!F7+"n/&gt;!6Ho"</f>
        <v>#VALUE!</v>
      </c>
      <c r="FK475" t="e">
        <f>International!G7+"n/&gt;!6Hp"</f>
        <v>#VALUE!</v>
      </c>
      <c r="FL475" t="e">
        <f>International!H7+"n/&gt;!6Hq"</f>
        <v>#VALUE!</v>
      </c>
      <c r="FM475" t="e">
        <f>International!I7+"n/&gt;!6Hr"</f>
        <v>#VALUE!</v>
      </c>
      <c r="FN475" t="e">
        <f>International!A8+"n/&gt;!6Hs"</f>
        <v>#VALUE!</v>
      </c>
      <c r="FO475" t="e">
        <f>International!B8+"n/&gt;!6Ht"</f>
        <v>#VALUE!</v>
      </c>
      <c r="FP475" t="e">
        <f>International!C8+"n/&gt;!6Hu"</f>
        <v>#VALUE!</v>
      </c>
      <c r="FQ475" t="e">
        <f>International!D8+"n/&gt;!6Hv"</f>
        <v>#VALUE!</v>
      </c>
      <c r="FR475" t="e">
        <f>International!E8+"n/&gt;!6Hw"</f>
        <v>#VALUE!</v>
      </c>
      <c r="FS475" t="e">
        <f>International!F8+"n/&gt;!6Hx"</f>
        <v>#VALUE!</v>
      </c>
      <c r="FT475" t="e">
        <f>International!G8+"n/&gt;!6Hy"</f>
        <v>#VALUE!</v>
      </c>
      <c r="FU475" t="e">
        <f>International!H8+"n/&gt;!6Hz"</f>
        <v>#VALUE!</v>
      </c>
      <c r="FV475" t="e">
        <f>International!I8+"n/&gt;!6H{"</f>
        <v>#VALUE!</v>
      </c>
      <c r="FW475" t="e">
        <f>International!A9+"n/&gt;!6H|"</f>
        <v>#VALUE!</v>
      </c>
      <c r="FX475" t="e">
        <f>International!B9+"n/&gt;!6H}"</f>
        <v>#VALUE!</v>
      </c>
      <c r="FY475" t="e">
        <f>International!C9+"n/&gt;!6H~"</f>
        <v>#VALUE!</v>
      </c>
      <c r="FZ475" t="e">
        <f>International!D9+"n/&gt;!6I#"</f>
        <v>#VALUE!</v>
      </c>
      <c r="GA475" t="e">
        <f>International!E9+"n/&gt;!6I$"</f>
        <v>#VALUE!</v>
      </c>
      <c r="GB475" t="e">
        <f>International!F9+"n/&gt;!6I%"</f>
        <v>#VALUE!</v>
      </c>
      <c r="GC475" t="e">
        <f>International!G9+"n/&gt;!6I&amp;"</f>
        <v>#VALUE!</v>
      </c>
      <c r="GD475" t="e">
        <f>International!H9+"n/&gt;!6I'"</f>
        <v>#VALUE!</v>
      </c>
      <c r="GE475" t="e">
        <f>International!I9+"n/&gt;!6I("</f>
        <v>#VALUE!</v>
      </c>
      <c r="GF475" t="e">
        <f>International!A10+"n/&gt;!6I)"</f>
        <v>#VALUE!</v>
      </c>
      <c r="GG475" t="e">
        <f>International!B10+"n/&gt;!6I."</f>
        <v>#VALUE!</v>
      </c>
      <c r="GH475" t="e">
        <f>International!C10+"n/&gt;!6I/"</f>
        <v>#VALUE!</v>
      </c>
      <c r="GI475" t="e">
        <f>International!D10+"n/&gt;!6I0"</f>
        <v>#VALUE!</v>
      </c>
      <c r="GJ475" t="e">
        <f>International!E10+"n/&gt;!6I1"</f>
        <v>#VALUE!</v>
      </c>
      <c r="GK475" t="e">
        <f>International!F10+"n/&gt;!6I2"</f>
        <v>#VALUE!</v>
      </c>
      <c r="GL475" t="e">
        <f>International!G10+"n/&gt;!6I3"</f>
        <v>#VALUE!</v>
      </c>
      <c r="GM475" t="e">
        <f>International!H10+"n/&gt;!6I4"</f>
        <v>#VALUE!</v>
      </c>
      <c r="GN475" t="e">
        <f>International!I10+"n/&gt;!6I5"</f>
        <v>#VALUE!</v>
      </c>
      <c r="GO475" t="e">
        <f>International!A11+"n/&gt;!6I6"</f>
        <v>#VALUE!</v>
      </c>
      <c r="GP475" t="e">
        <f>International!B11+"n/&gt;!6I7"</f>
        <v>#VALUE!</v>
      </c>
      <c r="GQ475" t="e">
        <f>International!C11+"n/&gt;!6I8"</f>
        <v>#VALUE!</v>
      </c>
      <c r="GR475" t="e">
        <f>International!D11+"n/&gt;!6I9"</f>
        <v>#VALUE!</v>
      </c>
      <c r="GS475" t="e">
        <f>International!E11+"n/&gt;!6I:"</f>
        <v>#VALUE!</v>
      </c>
      <c r="GT475" t="e">
        <f>International!F11+"n/&gt;!6I;"</f>
        <v>#VALUE!</v>
      </c>
      <c r="GU475" t="e">
        <f>International!G11+"n/&gt;!6I&lt;"</f>
        <v>#VALUE!</v>
      </c>
      <c r="GV475" t="e">
        <f>International!H11+"n/&gt;!6I="</f>
        <v>#VALUE!</v>
      </c>
      <c r="GW475" t="e">
        <f>International!I11+"n/&gt;!6I&gt;"</f>
        <v>#VALUE!</v>
      </c>
      <c r="GX475" t="e">
        <f>International!A12+"n/&gt;!6I?"</f>
        <v>#VALUE!</v>
      </c>
      <c r="GY475" t="e">
        <f>International!B12+"n/&gt;!6I@"</f>
        <v>#VALUE!</v>
      </c>
      <c r="GZ475" t="e">
        <f>International!C12+"n/&gt;!6IA"</f>
        <v>#VALUE!</v>
      </c>
      <c r="HA475" t="e">
        <f>International!D12+"n/&gt;!6IB"</f>
        <v>#VALUE!</v>
      </c>
      <c r="HB475" t="e">
        <f>International!E12+"n/&gt;!6IC"</f>
        <v>#VALUE!</v>
      </c>
      <c r="HC475" t="e">
        <f>International!F12+"n/&gt;!6ID"</f>
        <v>#VALUE!</v>
      </c>
      <c r="HD475" t="e">
        <f>International!G12+"n/&gt;!6IE"</f>
        <v>#VALUE!</v>
      </c>
      <c r="HE475" t="e">
        <f>International!H12+"n/&gt;!6IF"</f>
        <v>#VALUE!</v>
      </c>
      <c r="HF475" t="e">
        <f>International!I12+"n/&gt;!6IG"</f>
        <v>#VALUE!</v>
      </c>
      <c r="HG475" t="e">
        <f>International!A13+"n/&gt;!6IH"</f>
        <v>#VALUE!</v>
      </c>
      <c r="HH475" t="e">
        <f>International!B13+"n/&gt;!6II"</f>
        <v>#VALUE!</v>
      </c>
      <c r="HI475" t="e">
        <f>International!C13+"n/&gt;!6IJ"</f>
        <v>#VALUE!</v>
      </c>
      <c r="HJ475" t="e">
        <f>International!D13+"n/&gt;!6IK"</f>
        <v>#VALUE!</v>
      </c>
      <c r="HK475" t="e">
        <f>International!E13+"n/&gt;!6IL"</f>
        <v>#VALUE!</v>
      </c>
      <c r="HL475" t="e">
        <f>International!F13+"n/&gt;!6IM"</f>
        <v>#VALUE!</v>
      </c>
      <c r="HM475" t="e">
        <f>International!G13+"n/&gt;!6IN"</f>
        <v>#VALUE!</v>
      </c>
      <c r="HN475" t="e">
        <f>International!H13+"n/&gt;!6IO"</f>
        <v>#VALUE!</v>
      </c>
      <c r="HO475" t="e">
        <f>International!I13+"n/&gt;!6IP"</f>
        <v>#VALUE!</v>
      </c>
      <c r="HP475" t="e">
        <f>International!A14+"n/&gt;!6IQ"</f>
        <v>#VALUE!</v>
      </c>
      <c r="HQ475" t="e">
        <f>International!B14+"n/&gt;!6IR"</f>
        <v>#VALUE!</v>
      </c>
      <c r="HR475" t="e">
        <f>International!C14+"n/&gt;!6IS"</f>
        <v>#VALUE!</v>
      </c>
      <c r="HS475" t="e">
        <f>International!D14+"n/&gt;!6IT"</f>
        <v>#VALUE!</v>
      </c>
      <c r="HT475" t="e">
        <f>International!E14+"n/&gt;!6IU"</f>
        <v>#VALUE!</v>
      </c>
      <c r="HU475" t="e">
        <f>International!F14+"n/&gt;!6IV"</f>
        <v>#VALUE!</v>
      </c>
      <c r="HV475" t="e">
        <f>International!G14+"n/&gt;!6IW"</f>
        <v>#VALUE!</v>
      </c>
      <c r="HW475" t="e">
        <f>International!H14+"n/&gt;!6IX"</f>
        <v>#VALUE!</v>
      </c>
      <c r="HX475" t="e">
        <f>International!I14+"n/&gt;!6IY"</f>
        <v>#VALUE!</v>
      </c>
      <c r="HY475" t="e">
        <f>International!A15+"n/&gt;!6IZ"</f>
        <v>#VALUE!</v>
      </c>
      <c r="HZ475" t="e">
        <f>International!B15+"n/&gt;!6I["</f>
        <v>#VALUE!</v>
      </c>
      <c r="IA475" t="e">
        <f>International!C15+"n/&gt;!6I\"</f>
        <v>#VALUE!</v>
      </c>
      <c r="IB475" t="e">
        <f>International!D15+"n/&gt;!6I]"</f>
        <v>#VALUE!</v>
      </c>
      <c r="IC475" t="e">
        <f>International!E15+"n/&gt;!6I^"</f>
        <v>#VALUE!</v>
      </c>
      <c r="ID475" t="e">
        <f>International!F15+"n/&gt;!6I_"</f>
        <v>#VALUE!</v>
      </c>
      <c r="IE475" t="e">
        <f>International!G15+"n/&gt;!6I`"</f>
        <v>#VALUE!</v>
      </c>
      <c r="IF475" t="e">
        <f>International!H15+"n/&gt;!6Ia"</f>
        <v>#VALUE!</v>
      </c>
      <c r="IG475" t="e">
        <f>International!I15+"n/&gt;!6Ib"</f>
        <v>#VALUE!</v>
      </c>
      <c r="IH475" t="e">
        <f>International!A16+"n/&gt;!6Ic"</f>
        <v>#VALUE!</v>
      </c>
      <c r="II475" t="e">
        <f>International!B16+"n/&gt;!6Id"</f>
        <v>#VALUE!</v>
      </c>
      <c r="IJ475" t="e">
        <f>International!C16+"n/&gt;!6Ie"</f>
        <v>#VALUE!</v>
      </c>
      <c r="IK475" t="e">
        <f>International!D16+"n/&gt;!6If"</f>
        <v>#VALUE!</v>
      </c>
      <c r="IL475" t="e">
        <f>International!E16+"n/&gt;!6Ig"</f>
        <v>#VALUE!</v>
      </c>
      <c r="IM475" t="e">
        <f>International!F16+"n/&gt;!6Ih"</f>
        <v>#VALUE!</v>
      </c>
      <c r="IN475" t="e">
        <f>International!G16+"n/&gt;!6Ii"</f>
        <v>#VALUE!</v>
      </c>
      <c r="IO475" t="e">
        <f>International!H16+"n/&gt;!6Ij"</f>
        <v>#VALUE!</v>
      </c>
      <c r="IP475" t="e">
        <f>International!I16+"n/&gt;!6Ik"</f>
        <v>#VALUE!</v>
      </c>
      <c r="IQ475" t="e">
        <f>International!A17+"n/&gt;!6Il"</f>
        <v>#VALUE!</v>
      </c>
      <c r="IR475" t="e">
        <f>International!B17+"n/&gt;!6Im"</f>
        <v>#VALUE!</v>
      </c>
      <c r="IS475" t="e">
        <f>International!C17+"n/&gt;!6In"</f>
        <v>#VALUE!</v>
      </c>
      <c r="IT475" t="e">
        <f>International!D17+"n/&gt;!6Io"</f>
        <v>#VALUE!</v>
      </c>
      <c r="IU475" t="e">
        <f>International!E17+"n/&gt;!6Ip"</f>
        <v>#VALUE!</v>
      </c>
      <c r="IV475" t="e">
        <f>International!F17+"n/&gt;!6Iq"</f>
        <v>#VALUE!</v>
      </c>
    </row>
    <row r="476" spans="6:256" x14ac:dyDescent="0.35">
      <c r="F476" t="e">
        <f>International!G17+"n/&gt;!6Ir"</f>
        <v>#VALUE!</v>
      </c>
      <c r="G476" t="e">
        <f>International!H17+"n/&gt;!6Is"</f>
        <v>#VALUE!</v>
      </c>
      <c r="H476" t="e">
        <f>International!I17+"n/&gt;!6It"</f>
        <v>#VALUE!</v>
      </c>
      <c r="I476" t="e">
        <f>International!A18+"n/&gt;!6Iu"</f>
        <v>#VALUE!</v>
      </c>
      <c r="J476" t="e">
        <f>International!B18+"n/&gt;!6Iv"</f>
        <v>#VALUE!</v>
      </c>
      <c r="K476" t="e">
        <f>International!C18+"n/&gt;!6Iw"</f>
        <v>#VALUE!</v>
      </c>
      <c r="L476" t="e">
        <f>International!D18+"n/&gt;!6Ix"</f>
        <v>#VALUE!</v>
      </c>
      <c r="M476" t="e">
        <f>International!E18+"n/&gt;!6Iy"</f>
        <v>#VALUE!</v>
      </c>
      <c r="N476" t="e">
        <f>International!F18+"n/&gt;!6Iz"</f>
        <v>#VALUE!</v>
      </c>
      <c r="O476" t="e">
        <f>International!G18+"n/&gt;!6I{"</f>
        <v>#VALUE!</v>
      </c>
      <c r="P476" t="e">
        <f>International!H18+"n/&gt;!6I|"</f>
        <v>#VALUE!</v>
      </c>
      <c r="Q476" t="e">
        <f>International!I18+"n/&gt;!6I}"</f>
        <v>#VALUE!</v>
      </c>
      <c r="R476" t="e">
        <f>International!A19+"n/&gt;!6I~"</f>
        <v>#VALUE!</v>
      </c>
      <c r="S476" t="e">
        <f>International!B19+"n/&gt;!6J#"</f>
        <v>#VALUE!</v>
      </c>
      <c r="T476" t="e">
        <f>International!C19+"n/&gt;!6J$"</f>
        <v>#VALUE!</v>
      </c>
      <c r="U476" t="e">
        <f>International!D19+"n/&gt;!6J%"</f>
        <v>#VALUE!</v>
      </c>
      <c r="V476" t="e">
        <f>International!E19+"n/&gt;!6J&amp;"</f>
        <v>#VALUE!</v>
      </c>
      <c r="W476" t="e">
        <f>International!F19+"n/&gt;!6J'"</f>
        <v>#VALUE!</v>
      </c>
      <c r="X476" t="e">
        <f>International!G19+"n/&gt;!6J("</f>
        <v>#VALUE!</v>
      </c>
      <c r="Y476" t="e">
        <f>International!H19+"n/&gt;!6J)"</f>
        <v>#VALUE!</v>
      </c>
      <c r="Z476" t="e">
        <f>International!I19+"n/&gt;!6J."</f>
        <v>#VALUE!</v>
      </c>
      <c r="AA476" t="e">
        <f>International!A20+"n/&gt;!6J/"</f>
        <v>#VALUE!</v>
      </c>
      <c r="AB476" t="e">
        <f>International!B20+"n/&gt;!6J0"</f>
        <v>#VALUE!</v>
      </c>
      <c r="AC476" t="e">
        <f>International!C20+"n/&gt;!6J1"</f>
        <v>#VALUE!</v>
      </c>
      <c r="AD476" t="e">
        <f>International!D20+"n/&gt;!6J2"</f>
        <v>#VALUE!</v>
      </c>
      <c r="AE476" t="e">
        <f>International!E20+"n/&gt;!6J3"</f>
        <v>#VALUE!</v>
      </c>
      <c r="AF476" t="e">
        <f>International!F20+"n/&gt;!6J4"</f>
        <v>#VALUE!</v>
      </c>
      <c r="AG476" t="e">
        <f>International!G20+"n/&gt;!6J5"</f>
        <v>#VALUE!</v>
      </c>
      <c r="AH476" t="e">
        <f>International!H20+"n/&gt;!6J6"</f>
        <v>#VALUE!</v>
      </c>
      <c r="AI476" t="e">
        <f>International!I20+"n/&gt;!6J7"</f>
        <v>#VALUE!</v>
      </c>
      <c r="AJ476" t="e">
        <f>International!A21+"n/&gt;!6J8"</f>
        <v>#VALUE!</v>
      </c>
      <c r="AK476" t="e">
        <f>International!B21+"n/&gt;!6J9"</f>
        <v>#VALUE!</v>
      </c>
      <c r="AL476" t="e">
        <f>International!C21+"n/&gt;!6J:"</f>
        <v>#VALUE!</v>
      </c>
      <c r="AM476" t="e">
        <f>International!D21+"n/&gt;!6J;"</f>
        <v>#VALUE!</v>
      </c>
      <c r="AN476" t="e">
        <f>International!E21+"n/&gt;!6J&lt;"</f>
        <v>#VALUE!</v>
      </c>
      <c r="AO476" t="e">
        <f>International!F21+"n/&gt;!6J="</f>
        <v>#VALUE!</v>
      </c>
      <c r="AP476" t="e">
        <f>International!G21+"n/&gt;!6J&gt;"</f>
        <v>#VALUE!</v>
      </c>
      <c r="AQ476" t="e">
        <f>International!H21+"n/&gt;!6J?"</f>
        <v>#VALUE!</v>
      </c>
      <c r="AR476" t="e">
        <f>International!I21+"n/&gt;!6J@"</f>
        <v>#VALUE!</v>
      </c>
      <c r="AS476" t="e">
        <f>International!A22+"n/&gt;!6JA"</f>
        <v>#VALUE!</v>
      </c>
      <c r="AT476" t="e">
        <f>International!B22+"n/&gt;!6JB"</f>
        <v>#VALUE!</v>
      </c>
      <c r="AU476" t="e">
        <f>International!C22+"n/&gt;!6JC"</f>
        <v>#VALUE!</v>
      </c>
      <c r="AV476" t="e">
        <f>International!D22+"n/&gt;!6JD"</f>
        <v>#VALUE!</v>
      </c>
      <c r="AW476" t="e">
        <f>International!E22+"n/&gt;!6JE"</f>
        <v>#VALUE!</v>
      </c>
      <c r="AX476" t="e">
        <f>International!F22+"n/&gt;!6JF"</f>
        <v>#VALUE!</v>
      </c>
      <c r="AY476" t="e">
        <f>International!G22+"n/&gt;!6JG"</f>
        <v>#VALUE!</v>
      </c>
      <c r="AZ476" t="e">
        <f>International!H22+"n/&gt;!6JH"</f>
        <v>#VALUE!</v>
      </c>
      <c r="BA476" t="e">
        <f>International!I22+"n/&gt;!6JI"</f>
        <v>#VALUE!</v>
      </c>
      <c r="BB476" t="e">
        <f>International!A23+"n/&gt;!6JJ"</f>
        <v>#VALUE!</v>
      </c>
      <c r="BC476" t="e">
        <f>International!B23+"n/&gt;!6JK"</f>
        <v>#VALUE!</v>
      </c>
      <c r="BD476" t="e">
        <f>International!C23+"n/&gt;!6JL"</f>
        <v>#VALUE!</v>
      </c>
      <c r="BE476" t="e">
        <f>International!D23+"n/&gt;!6JM"</f>
        <v>#VALUE!</v>
      </c>
      <c r="BF476" t="e">
        <f>International!E23+"n/&gt;!6JN"</f>
        <v>#VALUE!</v>
      </c>
      <c r="BG476" t="e">
        <f>International!F23+"n/&gt;!6JO"</f>
        <v>#VALUE!</v>
      </c>
      <c r="BH476" t="e">
        <f>International!G23+"n/&gt;!6JP"</f>
        <v>#VALUE!</v>
      </c>
      <c r="BI476" t="e">
        <f>International!H23+"n/&gt;!6JQ"</f>
        <v>#VALUE!</v>
      </c>
      <c r="BJ476" t="e">
        <f>International!I23+"n/&gt;!6JR"</f>
        <v>#VALUE!</v>
      </c>
      <c r="BK476" t="e">
        <f>International!A24+"n/&gt;!6JS"</f>
        <v>#VALUE!</v>
      </c>
      <c r="BL476" t="e">
        <f>International!B24+"n/&gt;!6JT"</f>
        <v>#VALUE!</v>
      </c>
      <c r="BM476" t="e">
        <f>International!C24+"n/&gt;!6JU"</f>
        <v>#VALUE!</v>
      </c>
      <c r="BN476" t="e">
        <f>International!D24+"n/&gt;!6JV"</f>
        <v>#VALUE!</v>
      </c>
      <c r="BO476" t="e">
        <f>International!E24+"n/&gt;!6JW"</f>
        <v>#VALUE!</v>
      </c>
      <c r="BP476" t="e">
        <f>International!F24+"n/&gt;!6JX"</f>
        <v>#VALUE!</v>
      </c>
      <c r="BQ476" t="e">
        <f>International!G24+"n/&gt;!6JY"</f>
        <v>#VALUE!</v>
      </c>
      <c r="BR476" t="e">
        <f>International!H24+"n/&gt;!6JZ"</f>
        <v>#VALUE!</v>
      </c>
      <c r="BS476" t="e">
        <f>International!I24+"n/&gt;!6J["</f>
        <v>#VALUE!</v>
      </c>
      <c r="BT476" t="e">
        <f>International!A25+"n/&gt;!6J\"</f>
        <v>#VALUE!</v>
      </c>
      <c r="BU476" t="e">
        <f>International!B25+"n/&gt;!6J]"</f>
        <v>#VALUE!</v>
      </c>
      <c r="BV476" t="e">
        <f>International!C25+"n/&gt;!6J^"</f>
        <v>#VALUE!</v>
      </c>
      <c r="BW476" t="e">
        <f>International!D25+"n/&gt;!6J_"</f>
        <v>#VALUE!</v>
      </c>
      <c r="BX476" t="e">
        <f>International!E25+"n/&gt;!6J`"</f>
        <v>#VALUE!</v>
      </c>
      <c r="BY476" t="e">
        <f>International!F25+"n/&gt;!6Ja"</f>
        <v>#VALUE!</v>
      </c>
      <c r="BZ476" t="e">
        <f>International!G25+"n/&gt;!6Jb"</f>
        <v>#VALUE!</v>
      </c>
      <c r="CA476" t="e">
        <f>International!H25+"n/&gt;!6Jc"</f>
        <v>#VALUE!</v>
      </c>
      <c r="CB476" t="e">
        <f>International!I25+"n/&gt;!6Jd"</f>
        <v>#VALUE!</v>
      </c>
      <c r="CC476" t="e">
        <f>International!A26+"n/&gt;!6Je"</f>
        <v>#VALUE!</v>
      </c>
      <c r="CD476" t="e">
        <f>International!B26+"n/&gt;!6Jf"</f>
        <v>#VALUE!</v>
      </c>
      <c r="CE476" t="e">
        <f>International!C26+"n/&gt;!6Jg"</f>
        <v>#VALUE!</v>
      </c>
      <c r="CF476" t="e">
        <f>International!D26+"n/&gt;!6Jh"</f>
        <v>#VALUE!</v>
      </c>
      <c r="CG476" t="e">
        <f>International!E26+"n/&gt;!6Ji"</f>
        <v>#VALUE!</v>
      </c>
      <c r="CH476" t="e">
        <f>International!F26+"n/&gt;!6Jj"</f>
        <v>#VALUE!</v>
      </c>
      <c r="CI476" t="e">
        <f>International!G26+"n/&gt;!6Jk"</f>
        <v>#VALUE!</v>
      </c>
      <c r="CJ476" t="e">
        <f>International!H26+"n/&gt;!6Jl"</f>
        <v>#VALUE!</v>
      </c>
      <c r="CK476" t="e">
        <f>International!A27+"n/&gt;!6Jm"</f>
        <v>#VALUE!</v>
      </c>
      <c r="CL476" t="e">
        <f>International!B27+"n/&gt;!6Jn"</f>
        <v>#VALUE!</v>
      </c>
      <c r="CM476" t="e">
        <f>International!C27+"n/&gt;!6Jo"</f>
        <v>#VALUE!</v>
      </c>
      <c r="CN476" t="e">
        <f>International!D27+"n/&gt;!6Jp"</f>
        <v>#VALUE!</v>
      </c>
      <c r="CO476" t="e">
        <f>International!E27+"n/&gt;!6Jq"</f>
        <v>#VALUE!</v>
      </c>
      <c r="CP476" t="e">
        <f>International!F27+"n/&gt;!6Jr"</f>
        <v>#VALUE!</v>
      </c>
      <c r="CQ476" t="e">
        <f>International!G27+"n/&gt;!6Js"</f>
        <v>#VALUE!</v>
      </c>
      <c r="CR476" t="e">
        <f>International!H27+"n/&gt;!6Jt"</f>
        <v>#VALUE!</v>
      </c>
      <c r="CS476" t="e">
        <f>International!A28+"n/&gt;!6Ju"</f>
        <v>#VALUE!</v>
      </c>
      <c r="CT476" t="e">
        <f>International!B28+"n/&gt;!6Jv"</f>
        <v>#VALUE!</v>
      </c>
      <c r="CU476" t="e">
        <f>International!C28+"n/&gt;!6Jw"</f>
        <v>#VALUE!</v>
      </c>
      <c r="CV476" t="e">
        <f>International!D28+"n/&gt;!6Jx"</f>
        <v>#VALUE!</v>
      </c>
      <c r="CW476" t="e">
        <f>International!E28+"n/&gt;!6Jy"</f>
        <v>#VALUE!</v>
      </c>
      <c r="CX476" t="e">
        <f>International!F28+"n/&gt;!6Jz"</f>
        <v>#VALUE!</v>
      </c>
      <c r="CY476" t="e">
        <f>International!G28+"n/&gt;!6J{"</f>
        <v>#VALUE!</v>
      </c>
      <c r="CZ476" t="e">
        <f>International!H28+"n/&gt;!6J|"</f>
        <v>#VALUE!</v>
      </c>
      <c r="DA476" t="e">
        <f>International!A29+"n/&gt;!6J}"</f>
        <v>#VALUE!</v>
      </c>
      <c r="DB476" t="e">
        <f>International!B29+"n/&gt;!6J~"</f>
        <v>#VALUE!</v>
      </c>
      <c r="DC476" t="e">
        <f>International!C29+"n/&gt;!6K#"</f>
        <v>#VALUE!</v>
      </c>
      <c r="DD476" t="e">
        <f>International!D29+"n/&gt;!6K$"</f>
        <v>#VALUE!</v>
      </c>
      <c r="DE476" t="e">
        <f>International!E29+"n/&gt;!6K%"</f>
        <v>#VALUE!</v>
      </c>
      <c r="DF476" t="e">
        <f>International!F29+"n/&gt;!6K&amp;"</f>
        <v>#VALUE!</v>
      </c>
      <c r="DG476" t="e">
        <f>International!G29+"n/&gt;!6K'"</f>
        <v>#VALUE!</v>
      </c>
      <c r="DH476" t="e">
        <f>International!H29+"n/&gt;!6K("</f>
        <v>#VALUE!</v>
      </c>
      <c r="DI476" t="e">
        <f>International!A30+"n/&gt;!6K)"</f>
        <v>#VALUE!</v>
      </c>
      <c r="DJ476" t="e">
        <f>International!B30+"n/&gt;!6K."</f>
        <v>#VALUE!</v>
      </c>
      <c r="DK476" t="e">
        <f>International!C30+"n/&gt;!6K/"</f>
        <v>#VALUE!</v>
      </c>
      <c r="DL476" t="e">
        <f>International!D30+"n/&gt;!6K0"</f>
        <v>#VALUE!</v>
      </c>
      <c r="DM476" t="e">
        <f>International!E30+"n/&gt;!6K1"</f>
        <v>#VALUE!</v>
      </c>
      <c r="DN476" t="e">
        <f>International!F30+"n/&gt;!6K2"</f>
        <v>#VALUE!</v>
      </c>
      <c r="DO476" t="e">
        <f>International!G30+"n/&gt;!6K3"</f>
        <v>#VALUE!</v>
      </c>
      <c r="DP476" t="e">
        <f>International!H30+"n/&gt;!6K4"</f>
        <v>#VALUE!</v>
      </c>
      <c r="DQ476" t="e">
        <f>International!A31+"n/&gt;!6K5"</f>
        <v>#VALUE!</v>
      </c>
      <c r="DR476" t="e">
        <f>International!B31+"n/&gt;!6K6"</f>
        <v>#VALUE!</v>
      </c>
      <c r="DS476" t="e">
        <f>International!C31+"n/&gt;!6K7"</f>
        <v>#VALUE!</v>
      </c>
      <c r="DT476" t="e">
        <f>International!D31+"n/&gt;!6K8"</f>
        <v>#VALUE!</v>
      </c>
      <c r="DU476" t="e">
        <f>International!E31+"n/&gt;!6K9"</f>
        <v>#VALUE!</v>
      </c>
      <c r="DV476" t="e">
        <f>International!F31+"n/&gt;!6K:"</f>
        <v>#VALUE!</v>
      </c>
      <c r="DW476" t="e">
        <f>International!G31+"n/&gt;!6K;"</f>
        <v>#VALUE!</v>
      </c>
      <c r="DX476" t="e">
        <f>International!H31+"n/&gt;!6K&lt;"</f>
        <v>#VALUE!</v>
      </c>
      <c r="DY476" t="e">
        <f>International!A32+"n/&gt;!6K="</f>
        <v>#VALUE!</v>
      </c>
      <c r="DZ476" t="e">
        <f>International!B32+"n/&gt;!6K&gt;"</f>
        <v>#VALUE!</v>
      </c>
      <c r="EA476" t="e">
        <f>International!C32+"n/&gt;!6K?"</f>
        <v>#VALUE!</v>
      </c>
      <c r="EB476" t="e">
        <f>International!D32+"n/&gt;!6K@"</f>
        <v>#VALUE!</v>
      </c>
      <c r="EC476" t="e">
        <f>International!E32+"n/&gt;!6KA"</f>
        <v>#VALUE!</v>
      </c>
      <c r="ED476" t="e">
        <f>International!F32+"n/&gt;!6KB"</f>
        <v>#VALUE!</v>
      </c>
      <c r="EE476" t="e">
        <f>International!G32+"n/&gt;!6KC"</f>
        <v>#VALUE!</v>
      </c>
      <c r="EF476" t="e">
        <f>International!H32+"n/&gt;!6KD"</f>
        <v>#VALUE!</v>
      </c>
      <c r="EG476" t="e">
        <f>International!A33+"n/&gt;!6KE"</f>
        <v>#VALUE!</v>
      </c>
      <c r="EH476" t="e">
        <f>International!B33+"n/&gt;!6KF"</f>
        <v>#VALUE!</v>
      </c>
      <c r="EI476" t="e">
        <f>International!C33+"n/&gt;!6KG"</f>
        <v>#VALUE!</v>
      </c>
      <c r="EJ476" t="e">
        <f>International!D33+"n/&gt;!6KH"</f>
        <v>#VALUE!</v>
      </c>
      <c r="EK476" t="e">
        <f>International!E33+"n/&gt;!6KI"</f>
        <v>#VALUE!</v>
      </c>
      <c r="EL476" t="e">
        <f>International!F33+"n/&gt;!6KJ"</f>
        <v>#VALUE!</v>
      </c>
      <c r="EM476" t="e">
        <f>International!G33+"n/&gt;!6KK"</f>
        <v>#VALUE!</v>
      </c>
      <c r="EN476" t="e">
        <f>International!H33+"n/&gt;!6KL"</f>
        <v>#VALUE!</v>
      </c>
      <c r="EO476" t="e">
        <f>International!A34+"n/&gt;!6KM"</f>
        <v>#VALUE!</v>
      </c>
      <c r="EP476" t="e">
        <f>International!B34+"n/&gt;!6KN"</f>
        <v>#VALUE!</v>
      </c>
      <c r="EQ476" t="e">
        <f>International!C34+"n/&gt;!6KO"</f>
        <v>#VALUE!</v>
      </c>
      <c r="ER476" t="e">
        <f>International!D34+"n/&gt;!6KP"</f>
        <v>#VALUE!</v>
      </c>
      <c r="ES476" t="e">
        <f>International!E34+"n/&gt;!6KQ"</f>
        <v>#VALUE!</v>
      </c>
      <c r="ET476" t="e">
        <f>International!F34+"n/&gt;!6KR"</f>
        <v>#VALUE!</v>
      </c>
      <c r="EU476" t="e">
        <f>International!G34+"n/&gt;!6KS"</f>
        <v>#VALUE!</v>
      </c>
      <c r="EV476" t="e">
        <f>International!H34+"n/&gt;!6KT"</f>
        <v>#VALUE!</v>
      </c>
      <c r="EW476" t="e">
        <f>International!A35+"n/&gt;!6KU"</f>
        <v>#VALUE!</v>
      </c>
      <c r="EX476" t="e">
        <f>International!B35+"n/&gt;!6KV"</f>
        <v>#VALUE!</v>
      </c>
      <c r="EY476" t="e">
        <f>International!C35+"n/&gt;!6KW"</f>
        <v>#VALUE!</v>
      </c>
      <c r="EZ476" t="e">
        <f>International!D35+"n/&gt;!6KX"</f>
        <v>#VALUE!</v>
      </c>
      <c r="FA476" t="e">
        <f>International!E35+"n/&gt;!6KY"</f>
        <v>#VALUE!</v>
      </c>
      <c r="FB476" t="e">
        <f>International!F35+"n/&gt;!6KZ"</f>
        <v>#VALUE!</v>
      </c>
      <c r="FC476" t="e">
        <f>International!G35+"n/&gt;!6K["</f>
        <v>#VALUE!</v>
      </c>
      <c r="FD476" t="e">
        <f>International!H35+"n/&gt;!6K\"</f>
        <v>#VALUE!</v>
      </c>
      <c r="FE476" t="e">
        <f>International!A36+"n/&gt;!6K]"</f>
        <v>#VALUE!</v>
      </c>
      <c r="FF476" t="e">
        <f>International!B36+"n/&gt;!6K^"</f>
        <v>#VALUE!</v>
      </c>
      <c r="FG476" t="e">
        <f>International!C36+"n/&gt;!6K_"</f>
        <v>#VALUE!</v>
      </c>
      <c r="FH476" t="e">
        <f>International!D36+"n/&gt;!6K`"</f>
        <v>#VALUE!</v>
      </c>
      <c r="FI476" t="e">
        <f>International!E36+"n/&gt;!6Ka"</f>
        <v>#VALUE!</v>
      </c>
      <c r="FJ476" t="e">
        <f>International!F36+"n/&gt;!6Kb"</f>
        <v>#VALUE!</v>
      </c>
      <c r="FK476" t="e">
        <f>International!G36+"n/&gt;!6Kc"</f>
        <v>#VALUE!</v>
      </c>
      <c r="FL476" t="e">
        <f>International!H36+"n/&gt;!6Kd"</f>
        <v>#VALUE!</v>
      </c>
      <c r="FM476" t="e">
        <f>International!A37+"n/&gt;!6Ke"</f>
        <v>#VALUE!</v>
      </c>
      <c r="FN476" t="e">
        <f>International!B37+"n/&gt;!6Kf"</f>
        <v>#VALUE!</v>
      </c>
      <c r="FO476" t="e">
        <f>International!C37+"n/&gt;!6Kg"</f>
        <v>#VALUE!</v>
      </c>
      <c r="FP476" t="e">
        <f>International!D37+"n/&gt;!6Kh"</f>
        <v>#VALUE!</v>
      </c>
      <c r="FQ476" t="e">
        <f>International!E37+"n/&gt;!6Ki"</f>
        <v>#VALUE!</v>
      </c>
      <c r="FR476" t="e">
        <f>International!F37+"n/&gt;!6Kj"</f>
        <v>#VALUE!</v>
      </c>
      <c r="FS476" t="e">
        <f>International!G37+"n/&gt;!6Kk"</f>
        <v>#VALUE!</v>
      </c>
      <c r="FT476" t="e">
        <f>International!H37+"n/&gt;!6Kl"</f>
        <v>#VALUE!</v>
      </c>
      <c r="FU476" t="e">
        <f>International!A38+"n/&gt;!6Km"</f>
        <v>#VALUE!</v>
      </c>
      <c r="FV476" t="e">
        <f>International!B38+"n/&gt;!6Kn"</f>
        <v>#VALUE!</v>
      </c>
      <c r="FW476" t="e">
        <f>International!C38+"n/&gt;!6Ko"</f>
        <v>#VALUE!</v>
      </c>
      <c r="FX476" t="e">
        <f>International!D38+"n/&gt;!6Kp"</f>
        <v>#VALUE!</v>
      </c>
      <c r="FY476" t="e">
        <f>International!E38+"n/&gt;!6Kq"</f>
        <v>#VALUE!</v>
      </c>
      <c r="FZ476" t="e">
        <f>International!F38+"n/&gt;!6Kr"</f>
        <v>#VALUE!</v>
      </c>
      <c r="GA476" t="e">
        <f>International!G38+"n/&gt;!6Ks"</f>
        <v>#VALUE!</v>
      </c>
      <c r="GB476" t="e">
        <f>International!H38+"n/&gt;!6Kt"</f>
        <v>#VALUE!</v>
      </c>
      <c r="GC476" t="e">
        <f>International!A39+"n/&gt;!6Ku"</f>
        <v>#VALUE!</v>
      </c>
      <c r="GD476" t="e">
        <f>International!B39+"n/&gt;!6Kv"</f>
        <v>#VALUE!</v>
      </c>
      <c r="GE476" t="e">
        <f>International!C39+"n/&gt;!6Kw"</f>
        <v>#VALUE!</v>
      </c>
      <c r="GF476" t="e">
        <f>International!D39+"n/&gt;!6Kx"</f>
        <v>#VALUE!</v>
      </c>
      <c r="GG476" t="e">
        <f>International!E39+"n/&gt;!6Ky"</f>
        <v>#VALUE!</v>
      </c>
      <c r="GH476" t="e">
        <f>International!F39+"n/&gt;!6Kz"</f>
        <v>#VALUE!</v>
      </c>
      <c r="GI476" t="e">
        <f>International!G39+"n/&gt;!6K{"</f>
        <v>#VALUE!</v>
      </c>
      <c r="GJ476" t="e">
        <f>International!H39+"n/&gt;!6K|"</f>
        <v>#VALUE!</v>
      </c>
      <c r="GK476" t="e">
        <f>International!I39+"n/&gt;!6K}"</f>
        <v>#VALUE!</v>
      </c>
      <c r="GL476" t="e">
        <f>International!A40+"n/&gt;!6K~"</f>
        <v>#VALUE!</v>
      </c>
      <c r="GM476" t="e">
        <f>International!B40+"n/&gt;!6L#"</f>
        <v>#VALUE!</v>
      </c>
      <c r="GN476" t="e">
        <f>International!C40+"n/&gt;!6L$"</f>
        <v>#VALUE!</v>
      </c>
      <c r="GO476" t="e">
        <f>International!D40+"n/&gt;!6L%"</f>
        <v>#VALUE!</v>
      </c>
      <c r="GP476" t="e">
        <f>International!E40+"n/&gt;!6L&amp;"</f>
        <v>#VALUE!</v>
      </c>
      <c r="GQ476" t="e">
        <f>International!F40+"n/&gt;!6L'"</f>
        <v>#VALUE!</v>
      </c>
      <c r="GR476" t="e">
        <f>International!G40+"n/&gt;!6L("</f>
        <v>#VALUE!</v>
      </c>
      <c r="GS476" t="e">
        <f>International!H40+"n/&gt;!6L)"</f>
        <v>#VALUE!</v>
      </c>
      <c r="GT476" t="e">
        <f>International!I40+"n/&gt;!6L."</f>
        <v>#VALUE!</v>
      </c>
      <c r="GU476" t="e">
        <f>International!A41+"n/&gt;!6L/"</f>
        <v>#VALUE!</v>
      </c>
      <c r="GV476" t="e">
        <f>International!B41+"n/&gt;!6L0"</f>
        <v>#VALUE!</v>
      </c>
      <c r="GW476" t="e">
        <f>International!C41+"n/&gt;!6L1"</f>
        <v>#VALUE!</v>
      </c>
      <c r="GX476" t="e">
        <f>International!D41+"n/&gt;!6L2"</f>
        <v>#VALUE!</v>
      </c>
      <c r="GY476" t="e">
        <f>International!E41+"n/&gt;!6L3"</f>
        <v>#VALUE!</v>
      </c>
      <c r="GZ476" t="e">
        <f>International!F41+"n/&gt;!6L4"</f>
        <v>#VALUE!</v>
      </c>
      <c r="HA476" t="e">
        <f>International!G41+"n/&gt;!6L5"</f>
        <v>#VALUE!</v>
      </c>
      <c r="HB476" t="e">
        <f>International!H41+"n/&gt;!6L6"</f>
        <v>#VALUE!</v>
      </c>
      <c r="HC476" t="e">
        <f>International!I41+"n/&gt;!6L7"</f>
        <v>#VALUE!</v>
      </c>
      <c r="HD476" t="e">
        <f>International!A42+"n/&gt;!6L8"</f>
        <v>#VALUE!</v>
      </c>
      <c r="HE476" t="e">
        <f>International!B42+"n/&gt;!6L9"</f>
        <v>#VALUE!</v>
      </c>
      <c r="HF476" t="e">
        <f>International!C42+"n/&gt;!6L:"</f>
        <v>#VALUE!</v>
      </c>
      <c r="HG476" t="e">
        <f>International!D42+"n/&gt;!6L;"</f>
        <v>#VALUE!</v>
      </c>
      <c r="HH476" t="e">
        <f>International!E42+"n/&gt;!6L&lt;"</f>
        <v>#VALUE!</v>
      </c>
      <c r="HI476" t="e">
        <f>International!F42+"n/&gt;!6L="</f>
        <v>#VALUE!</v>
      </c>
      <c r="HJ476" t="e">
        <f>International!G42+"n/&gt;!6L&gt;"</f>
        <v>#VALUE!</v>
      </c>
      <c r="HK476" t="e">
        <f>International!H42+"n/&gt;!6L?"</f>
        <v>#VALUE!</v>
      </c>
      <c r="HL476" t="e">
        <f>International!I42+"n/&gt;!6L@"</f>
        <v>#VALUE!</v>
      </c>
      <c r="HM476" t="e">
        <f>International!A43+"n/&gt;!6LA"</f>
        <v>#VALUE!</v>
      </c>
      <c r="HN476" t="e">
        <f>International!B43+"n/&gt;!6LB"</f>
        <v>#VALUE!</v>
      </c>
      <c r="HO476" t="e">
        <f>International!C43+"n/&gt;!6LC"</f>
        <v>#VALUE!</v>
      </c>
      <c r="HP476" t="e">
        <f>International!D43+"n/&gt;!6LD"</f>
        <v>#VALUE!</v>
      </c>
      <c r="HQ476" t="e">
        <f>International!E43+"n/&gt;!6LE"</f>
        <v>#VALUE!</v>
      </c>
      <c r="HR476" t="e">
        <f>International!F43+"n/&gt;!6LF"</f>
        <v>#VALUE!</v>
      </c>
      <c r="HS476" t="e">
        <f>International!G43+"n/&gt;!6LG"</f>
        <v>#VALUE!</v>
      </c>
      <c r="HT476" t="e">
        <f>International!H43+"n/&gt;!6LH"</f>
        <v>#VALUE!</v>
      </c>
      <c r="HU476" t="e">
        <f>International!I43+"n/&gt;!6LI"</f>
        <v>#VALUE!</v>
      </c>
      <c r="HV476" t="e">
        <f>International!A44+"n/&gt;!6LJ"</f>
        <v>#VALUE!</v>
      </c>
      <c r="HW476" t="e">
        <f>International!B44+"n/&gt;!6LK"</f>
        <v>#VALUE!</v>
      </c>
      <c r="HX476" t="e">
        <f>International!C44+"n/&gt;!6LL"</f>
        <v>#VALUE!</v>
      </c>
      <c r="HY476" t="e">
        <f>International!D44+"n/&gt;!6LM"</f>
        <v>#VALUE!</v>
      </c>
      <c r="HZ476" t="e">
        <f>International!E44+"n/&gt;!6LN"</f>
        <v>#VALUE!</v>
      </c>
      <c r="IA476" t="e">
        <f>International!F44+"n/&gt;!6LO"</f>
        <v>#VALUE!</v>
      </c>
      <c r="IB476" t="e">
        <f>International!G44+"n/&gt;!6LP"</f>
        <v>#VALUE!</v>
      </c>
      <c r="IC476" t="e">
        <f>International!H44+"n/&gt;!6LQ"</f>
        <v>#VALUE!</v>
      </c>
      <c r="ID476" t="e">
        <f>International!I44+"n/&gt;!6LR"</f>
        <v>#VALUE!</v>
      </c>
      <c r="IE476" t="e">
        <f>International!A45+"n/&gt;!6LS"</f>
        <v>#VALUE!</v>
      </c>
      <c r="IF476" t="e">
        <f>International!B45+"n/&gt;!6LT"</f>
        <v>#VALUE!</v>
      </c>
      <c r="IG476" t="e">
        <f>International!C45+"n/&gt;!6LU"</f>
        <v>#VALUE!</v>
      </c>
      <c r="IH476" t="e">
        <f>International!D45+"n/&gt;!6LV"</f>
        <v>#VALUE!</v>
      </c>
      <c r="II476" t="e">
        <f>International!E45+"n/&gt;!6LW"</f>
        <v>#VALUE!</v>
      </c>
      <c r="IJ476" t="e">
        <f>International!F45+"n/&gt;!6LX"</f>
        <v>#VALUE!</v>
      </c>
      <c r="IK476" t="e">
        <f>International!G45+"n/&gt;!6LY"</f>
        <v>#VALUE!</v>
      </c>
      <c r="IL476" t="e">
        <f>International!H45+"n/&gt;!6LZ"</f>
        <v>#VALUE!</v>
      </c>
      <c r="IM476" t="e">
        <f>International!I45+"n/&gt;!6L["</f>
        <v>#VALUE!</v>
      </c>
      <c r="IN476" t="e">
        <f>International!A46+"n/&gt;!6L\"</f>
        <v>#VALUE!</v>
      </c>
      <c r="IO476" t="e">
        <f>International!B46+"n/&gt;!6L]"</f>
        <v>#VALUE!</v>
      </c>
      <c r="IP476" t="e">
        <f>International!C46+"n/&gt;!6L^"</f>
        <v>#VALUE!</v>
      </c>
      <c r="IQ476" t="e">
        <f>International!D46+"n/&gt;!6L_"</f>
        <v>#VALUE!</v>
      </c>
      <c r="IR476" t="e">
        <f>International!E46+"n/&gt;!6L`"</f>
        <v>#VALUE!</v>
      </c>
      <c r="IS476" t="e">
        <f>International!F46+"n/&gt;!6La"</f>
        <v>#VALUE!</v>
      </c>
      <c r="IT476" t="e">
        <f>International!G46+"n/&gt;!6Lb"</f>
        <v>#VALUE!</v>
      </c>
      <c r="IU476" t="e">
        <f>International!H46+"n/&gt;!6Lc"</f>
        <v>#VALUE!</v>
      </c>
      <c r="IV476" t="e">
        <f>International!I46+"n/&gt;!6Ld"</f>
        <v>#VALUE!</v>
      </c>
    </row>
    <row r="477" spans="6:256" x14ac:dyDescent="0.35">
      <c r="F477" t="e">
        <f>International!A47+"n/&gt;!6Le"</f>
        <v>#VALUE!</v>
      </c>
      <c r="G477" t="e">
        <f>International!B47+"n/&gt;!6Lf"</f>
        <v>#VALUE!</v>
      </c>
      <c r="H477" t="e">
        <f>International!C47+"n/&gt;!6Lg"</f>
        <v>#VALUE!</v>
      </c>
      <c r="I477" t="e">
        <f>International!D47+"n/&gt;!6Lh"</f>
        <v>#VALUE!</v>
      </c>
      <c r="J477" t="e">
        <f>International!E47+"n/&gt;!6Li"</f>
        <v>#VALUE!</v>
      </c>
      <c r="K477" t="e">
        <f>International!F47+"n/&gt;!6Lj"</f>
        <v>#VALUE!</v>
      </c>
      <c r="L477" t="e">
        <f>International!G47+"n/&gt;!6Lk"</f>
        <v>#VALUE!</v>
      </c>
      <c r="M477" t="e">
        <f>International!H47+"n/&gt;!6Ll"</f>
        <v>#VALUE!</v>
      </c>
      <c r="N477" t="e">
        <f>International!I47+"n/&gt;!6Lm"</f>
        <v>#VALUE!</v>
      </c>
      <c r="O477" t="e">
        <f>International!A48+"n/&gt;!6Ln"</f>
        <v>#VALUE!</v>
      </c>
      <c r="P477" t="e">
        <f>International!B48+"n/&gt;!6Lo"</f>
        <v>#VALUE!</v>
      </c>
      <c r="Q477" t="e">
        <f>International!C48+"n/&gt;!6Lp"</f>
        <v>#VALUE!</v>
      </c>
      <c r="R477" t="e">
        <f>International!D48+"n/&gt;!6Lq"</f>
        <v>#VALUE!</v>
      </c>
      <c r="S477" t="e">
        <f>International!E48+"n/&gt;!6Lr"</f>
        <v>#VALUE!</v>
      </c>
      <c r="T477" t="e">
        <f>International!F48+"n/&gt;!6Ls"</f>
        <v>#VALUE!</v>
      </c>
      <c r="U477" t="e">
        <f>International!G48+"n/&gt;!6Lt"</f>
        <v>#VALUE!</v>
      </c>
      <c r="V477" t="e">
        <f>International!H48+"n/&gt;!6Lu"</f>
        <v>#VALUE!</v>
      </c>
      <c r="W477" t="e">
        <f>International!I48+"n/&gt;!6Lv"</f>
        <v>#VALUE!</v>
      </c>
      <c r="X477" t="e">
        <f>International!A49+"n/&gt;!6Lw"</f>
        <v>#VALUE!</v>
      </c>
      <c r="Y477" t="e">
        <f>International!B49+"n/&gt;!6Lx"</f>
        <v>#VALUE!</v>
      </c>
      <c r="Z477" t="e">
        <f>International!C49+"n/&gt;!6Ly"</f>
        <v>#VALUE!</v>
      </c>
      <c r="AA477" t="e">
        <f>International!D49+"n/&gt;!6Lz"</f>
        <v>#VALUE!</v>
      </c>
      <c r="AB477" t="e">
        <f>International!E49+"n/&gt;!6L{"</f>
        <v>#VALUE!</v>
      </c>
      <c r="AC477" t="e">
        <f>International!F49+"n/&gt;!6L|"</f>
        <v>#VALUE!</v>
      </c>
      <c r="AD477" t="e">
        <f>International!G49+"n/&gt;!6L}"</f>
        <v>#VALUE!</v>
      </c>
      <c r="AE477" t="e">
        <f>International!H49+"n/&gt;!6L~"</f>
        <v>#VALUE!</v>
      </c>
      <c r="AF477" t="e">
        <f>International!I49+"n/&gt;!6M#"</f>
        <v>#VALUE!</v>
      </c>
      <c r="AG477" t="e">
        <f>International!A50+"n/&gt;!6M$"</f>
        <v>#VALUE!</v>
      </c>
      <c r="AH477" t="e">
        <f>International!B50+"n/&gt;!6M%"</f>
        <v>#VALUE!</v>
      </c>
      <c r="AI477" t="e">
        <f>International!C50+"n/&gt;!6M&amp;"</f>
        <v>#VALUE!</v>
      </c>
      <c r="AJ477" t="e">
        <f>International!D50+"n/&gt;!6M'"</f>
        <v>#VALUE!</v>
      </c>
      <c r="AK477" t="e">
        <f>International!E50+"n/&gt;!6M("</f>
        <v>#VALUE!</v>
      </c>
      <c r="AL477" t="e">
        <f>International!F50+"n/&gt;!6M)"</f>
        <v>#VALUE!</v>
      </c>
      <c r="AM477" t="e">
        <f>International!G50+"n/&gt;!6M."</f>
        <v>#VALUE!</v>
      </c>
      <c r="AN477" t="e">
        <f>International!H50+"n/&gt;!6M/"</f>
        <v>#VALUE!</v>
      </c>
      <c r="AO477" t="e">
        <f>International!I50+"n/&gt;!6M0"</f>
        <v>#VALUE!</v>
      </c>
      <c r="AP477" t="e">
        <f>International!A51+"n/&gt;!6M1"</f>
        <v>#VALUE!</v>
      </c>
      <c r="AQ477" t="e">
        <f>International!B51+"n/&gt;!6M2"</f>
        <v>#VALUE!</v>
      </c>
      <c r="AR477" t="e">
        <f>International!C51+"n/&gt;!6M3"</f>
        <v>#VALUE!</v>
      </c>
      <c r="AS477" t="e">
        <f>International!D51+"n/&gt;!6M4"</f>
        <v>#VALUE!</v>
      </c>
      <c r="AT477" t="e">
        <f>International!E51+"n/&gt;!6M5"</f>
        <v>#VALUE!</v>
      </c>
      <c r="AU477" t="e">
        <f>International!F51+"n/&gt;!6M6"</f>
        <v>#VALUE!</v>
      </c>
      <c r="AV477" t="e">
        <f>International!G51+"n/&gt;!6M7"</f>
        <v>#VALUE!</v>
      </c>
      <c r="AW477" t="e">
        <f>International!H51+"n/&gt;!6M8"</f>
        <v>#VALUE!</v>
      </c>
      <c r="AX477" t="e">
        <f>International!I51+"n/&gt;!6M9"</f>
        <v>#VALUE!</v>
      </c>
      <c r="AY477" t="e">
        <f>International!A52+"n/&gt;!6M:"</f>
        <v>#VALUE!</v>
      </c>
      <c r="AZ477" t="e">
        <f>International!B52+"n/&gt;!6M;"</f>
        <v>#VALUE!</v>
      </c>
      <c r="BA477" t="e">
        <f>International!C52+"n/&gt;!6M&lt;"</f>
        <v>#VALUE!</v>
      </c>
      <c r="BB477" t="e">
        <f>International!D52+"n/&gt;!6M="</f>
        <v>#VALUE!</v>
      </c>
      <c r="BC477" t="e">
        <f>International!E52+"n/&gt;!6M&gt;"</f>
        <v>#VALUE!</v>
      </c>
      <c r="BD477" t="e">
        <f>International!F52+"n/&gt;!6M?"</f>
        <v>#VALUE!</v>
      </c>
      <c r="BE477" t="e">
        <f>International!G52+"n/&gt;!6M@"</f>
        <v>#VALUE!</v>
      </c>
      <c r="BF477" t="e">
        <f>International!H52+"n/&gt;!6MA"</f>
        <v>#VALUE!</v>
      </c>
      <c r="BG477" t="e">
        <f>International!I52+"n/&gt;!6MB"</f>
        <v>#VALUE!</v>
      </c>
      <c r="BH477" t="e">
        <f>International!A53+"n/&gt;!6MC"</f>
        <v>#VALUE!</v>
      </c>
      <c r="BI477" t="e">
        <f>International!B53+"n/&gt;!6MD"</f>
        <v>#VALUE!</v>
      </c>
      <c r="BJ477" t="e">
        <f>International!C53+"n/&gt;!6ME"</f>
        <v>#VALUE!</v>
      </c>
      <c r="BK477" t="e">
        <f>International!D53+"n/&gt;!6MF"</f>
        <v>#VALUE!</v>
      </c>
      <c r="BL477" t="e">
        <f>International!E53+"n/&gt;!6MG"</f>
        <v>#VALUE!</v>
      </c>
      <c r="BM477" t="e">
        <f>International!F53+"n/&gt;!6MH"</f>
        <v>#VALUE!</v>
      </c>
      <c r="BN477" t="e">
        <f>International!G53+"n/&gt;!6MI"</f>
        <v>#VALUE!</v>
      </c>
      <c r="BO477" t="e">
        <f>International!H53+"n/&gt;!6MJ"</f>
        <v>#VALUE!</v>
      </c>
      <c r="BP477" t="e">
        <f>International!I53+"n/&gt;!6MK"</f>
        <v>#VALUE!</v>
      </c>
      <c r="BQ477" t="e">
        <f>International!A54+"n/&gt;!6ML"</f>
        <v>#VALUE!</v>
      </c>
      <c r="BR477" t="e">
        <f>International!B54+"n/&gt;!6MM"</f>
        <v>#VALUE!</v>
      </c>
      <c r="BS477" t="e">
        <f>International!C54+"n/&gt;!6MN"</f>
        <v>#VALUE!</v>
      </c>
      <c r="BT477" t="e">
        <f>International!D54+"n/&gt;!6MO"</f>
        <v>#VALUE!</v>
      </c>
      <c r="BU477" t="e">
        <f>International!E54+"n/&gt;!6MP"</f>
        <v>#VALUE!</v>
      </c>
      <c r="BV477" t="e">
        <f>International!F54+"n/&gt;!6MQ"</f>
        <v>#VALUE!</v>
      </c>
      <c r="BW477" t="e">
        <f>International!G54+"n/&gt;!6MR"</f>
        <v>#VALUE!</v>
      </c>
      <c r="BX477" t="e">
        <f>International!H54+"n/&gt;!6MS"</f>
        <v>#VALUE!</v>
      </c>
      <c r="BY477" t="e">
        <f>International!I54+"n/&gt;!6MT"</f>
        <v>#VALUE!</v>
      </c>
      <c r="BZ477" t="e">
        <f>International!A55+"n/&gt;!6MU"</f>
        <v>#VALUE!</v>
      </c>
      <c r="CA477" t="e">
        <f>International!B55+"n/&gt;!6MV"</f>
        <v>#VALUE!</v>
      </c>
      <c r="CB477" t="e">
        <f>International!C55+"n/&gt;!6MW"</f>
        <v>#VALUE!</v>
      </c>
      <c r="CC477" t="e">
        <f>International!D55+"n/&gt;!6MX"</f>
        <v>#VALUE!</v>
      </c>
      <c r="CD477" t="e">
        <f>International!E55+"n/&gt;!6MY"</f>
        <v>#VALUE!</v>
      </c>
      <c r="CE477" t="e">
        <f>International!F55+"n/&gt;!6MZ"</f>
        <v>#VALUE!</v>
      </c>
      <c r="CF477" t="e">
        <f>International!G55+"n/&gt;!6M["</f>
        <v>#VALUE!</v>
      </c>
      <c r="CG477" t="e">
        <f>International!H55+"n/&gt;!6M\"</f>
        <v>#VALUE!</v>
      </c>
      <c r="CH477" t="e">
        <f>International!I55+"n/&gt;!6M]"</f>
        <v>#VALUE!</v>
      </c>
      <c r="CI477" t="e">
        <f>International!A56+"n/&gt;!6M^"</f>
        <v>#VALUE!</v>
      </c>
      <c r="CJ477" t="e">
        <f>International!B56+"n/&gt;!6M_"</f>
        <v>#VALUE!</v>
      </c>
      <c r="CK477" t="e">
        <f>International!C56+"n/&gt;!6M`"</f>
        <v>#VALUE!</v>
      </c>
      <c r="CL477" t="e">
        <f>International!D56+"n/&gt;!6Ma"</f>
        <v>#VALUE!</v>
      </c>
      <c r="CM477" t="e">
        <f>International!E56+"n/&gt;!6Mb"</f>
        <v>#VALUE!</v>
      </c>
      <c r="CN477" t="e">
        <f>International!F56+"n/&gt;!6Mc"</f>
        <v>#VALUE!</v>
      </c>
      <c r="CO477" t="e">
        <f>International!G56+"n/&gt;!6Md"</f>
        <v>#VALUE!</v>
      </c>
      <c r="CP477" t="e">
        <f>International!H56+"n/&gt;!6Me"</f>
        <v>#VALUE!</v>
      </c>
      <c r="CQ477" t="e">
        <f>International!I56+"n/&gt;!6Mf"</f>
        <v>#VALUE!</v>
      </c>
      <c r="CR477" t="e">
        <f>International!A57+"n/&gt;!6Mg"</f>
        <v>#VALUE!</v>
      </c>
      <c r="CS477" t="e">
        <f>International!B57+"n/&gt;!6Mh"</f>
        <v>#VALUE!</v>
      </c>
      <c r="CT477" t="e">
        <f>International!C57+"n/&gt;!6Mi"</f>
        <v>#VALUE!</v>
      </c>
      <c r="CU477" t="e">
        <f>International!D57+"n/&gt;!6Mj"</f>
        <v>#VALUE!</v>
      </c>
      <c r="CV477" t="e">
        <f>International!E57+"n/&gt;!6Mk"</f>
        <v>#VALUE!</v>
      </c>
      <c r="CW477" t="e">
        <f>International!F57+"n/&gt;!6Ml"</f>
        <v>#VALUE!</v>
      </c>
      <c r="CX477" t="e">
        <f>International!G57+"n/&gt;!6Mm"</f>
        <v>#VALUE!</v>
      </c>
      <c r="CY477" t="e">
        <f>International!H57+"n/&gt;!6Mn"</f>
        <v>#VALUE!</v>
      </c>
      <c r="CZ477" t="e">
        <f>International!I57+"n/&gt;!6Mo"</f>
        <v>#VALUE!</v>
      </c>
      <c r="DA477" t="e">
        <f>International!A58+"n/&gt;!6Mp"</f>
        <v>#VALUE!</v>
      </c>
      <c r="DB477" t="e">
        <f>International!B58+"n/&gt;!6Mq"</f>
        <v>#VALUE!</v>
      </c>
      <c r="DC477" t="e">
        <f>International!C58+"n/&gt;!6Mr"</f>
        <v>#VALUE!</v>
      </c>
      <c r="DD477" t="e">
        <f>International!D58+"n/&gt;!6Ms"</f>
        <v>#VALUE!</v>
      </c>
      <c r="DE477" t="e">
        <f>International!E58+"n/&gt;!6Mt"</f>
        <v>#VALUE!</v>
      </c>
      <c r="DF477" t="e">
        <f>International!F58+"n/&gt;!6Mu"</f>
        <v>#VALUE!</v>
      </c>
      <c r="DG477" t="e">
        <f>International!G58+"n/&gt;!6Mv"</f>
        <v>#VALUE!</v>
      </c>
      <c r="DH477" t="e">
        <f>International!H58+"n/&gt;!6Mw"</f>
        <v>#VALUE!</v>
      </c>
      <c r="DI477" t="e">
        <f>International!I58+"n/&gt;!6Mx"</f>
        <v>#VALUE!</v>
      </c>
      <c r="DJ477" t="e">
        <f>International!A59+"n/&gt;!6My"</f>
        <v>#VALUE!</v>
      </c>
      <c r="DK477" t="e">
        <f>International!B59+"n/&gt;!6Mz"</f>
        <v>#VALUE!</v>
      </c>
      <c r="DL477" t="e">
        <f>International!C59+"n/&gt;!6M{"</f>
        <v>#VALUE!</v>
      </c>
      <c r="DM477" t="e">
        <f>International!D59+"n/&gt;!6M|"</f>
        <v>#VALUE!</v>
      </c>
      <c r="DN477" t="e">
        <f>International!E59+"n/&gt;!6M}"</f>
        <v>#VALUE!</v>
      </c>
      <c r="DO477" t="e">
        <f>International!F59+"n/&gt;!6M~"</f>
        <v>#VALUE!</v>
      </c>
      <c r="DP477" t="e">
        <f>International!G59+"n/&gt;!6N#"</f>
        <v>#VALUE!</v>
      </c>
      <c r="DQ477" t="e">
        <f>International!H59+"n/&gt;!6N$"</f>
        <v>#VALUE!</v>
      </c>
      <c r="DR477" t="e">
        <f>International!I59+"n/&gt;!6N%"</f>
        <v>#VALUE!</v>
      </c>
      <c r="DS477" t="e">
        <f>International!A60+"n/&gt;!6N&amp;"</f>
        <v>#VALUE!</v>
      </c>
      <c r="DT477" t="e">
        <f>International!B60+"n/&gt;!6N'"</f>
        <v>#VALUE!</v>
      </c>
      <c r="DU477" t="e">
        <f>International!C60+"n/&gt;!6N("</f>
        <v>#VALUE!</v>
      </c>
      <c r="DV477" t="e">
        <f>International!D60+"n/&gt;!6N)"</f>
        <v>#VALUE!</v>
      </c>
      <c r="DW477" t="e">
        <f>International!E60+"n/&gt;!6N."</f>
        <v>#VALUE!</v>
      </c>
      <c r="DX477" t="e">
        <f>International!F60+"n/&gt;!6N/"</f>
        <v>#VALUE!</v>
      </c>
      <c r="DY477" t="e">
        <f>International!G60+"n/&gt;!6N0"</f>
        <v>#VALUE!</v>
      </c>
      <c r="DZ477" t="e">
        <f>International!H60+"n/&gt;!6N1"</f>
        <v>#VALUE!</v>
      </c>
      <c r="EA477" t="e">
        <f>International!I60+"n/&gt;!6N2"</f>
        <v>#VALUE!</v>
      </c>
      <c r="EB477" t="e">
        <f>International!A61+"n/&gt;!6N3"</f>
        <v>#VALUE!</v>
      </c>
      <c r="EC477" t="e">
        <f>International!B61+"n/&gt;!6N4"</f>
        <v>#VALUE!</v>
      </c>
      <c r="ED477" t="e">
        <f>International!C61+"n/&gt;!6N5"</f>
        <v>#VALUE!</v>
      </c>
      <c r="EE477" t="e">
        <f>International!D61+"n/&gt;!6N6"</f>
        <v>#VALUE!</v>
      </c>
      <c r="EF477" t="e">
        <f>International!E61+"n/&gt;!6N7"</f>
        <v>#VALUE!</v>
      </c>
      <c r="EG477" t="e">
        <f>International!F61+"n/&gt;!6N8"</f>
        <v>#VALUE!</v>
      </c>
      <c r="EH477" t="e">
        <f>International!G61+"n/&gt;!6N9"</f>
        <v>#VALUE!</v>
      </c>
      <c r="EI477" t="e">
        <f>International!H61+"n/&gt;!6N:"</f>
        <v>#VALUE!</v>
      </c>
      <c r="EJ477" t="e">
        <f>International!I61+"n/&gt;!6N;"</f>
        <v>#VALUE!</v>
      </c>
      <c r="EK477" t="e">
        <f>International!A62+"n/&gt;!6N&lt;"</f>
        <v>#VALUE!</v>
      </c>
      <c r="EL477" t="e">
        <f>International!B62+"n/&gt;!6N="</f>
        <v>#VALUE!</v>
      </c>
      <c r="EM477" t="e">
        <f>International!C62+"n/&gt;!6N&gt;"</f>
        <v>#VALUE!</v>
      </c>
      <c r="EN477" t="e">
        <f>International!D62+"n/&gt;!6N?"</f>
        <v>#VALUE!</v>
      </c>
      <c r="EO477" t="e">
        <f>International!E62+"n/&gt;!6N@"</f>
        <v>#VALUE!</v>
      </c>
      <c r="EP477" t="e">
        <f>International!F62+"n/&gt;!6NA"</f>
        <v>#VALUE!</v>
      </c>
      <c r="EQ477" t="e">
        <f>International!G62+"n/&gt;!6NB"</f>
        <v>#VALUE!</v>
      </c>
      <c r="ER477" t="e">
        <f>International!H62+"n/&gt;!6NC"</f>
        <v>#VALUE!</v>
      </c>
      <c r="ES477" t="e">
        <f>International!I62+"n/&gt;!6ND"</f>
        <v>#VALUE!</v>
      </c>
      <c r="ET477" t="e">
        <f>International!A63+"n/&gt;!6NE"</f>
        <v>#VALUE!</v>
      </c>
      <c r="EU477" t="e">
        <f>International!B63+"n/&gt;!6NF"</f>
        <v>#VALUE!</v>
      </c>
      <c r="EV477" t="e">
        <f>International!C63+"n/&gt;!6NG"</f>
        <v>#VALUE!</v>
      </c>
      <c r="EW477" t="e">
        <f>International!D63+"n/&gt;!6NH"</f>
        <v>#VALUE!</v>
      </c>
      <c r="EX477" t="e">
        <f>International!E63+"n/&gt;!6NI"</f>
        <v>#VALUE!</v>
      </c>
      <c r="EY477" t="e">
        <f>International!F63+"n/&gt;!6NJ"</f>
        <v>#VALUE!</v>
      </c>
      <c r="EZ477" t="e">
        <f>International!G63+"n/&gt;!6NK"</f>
        <v>#VALUE!</v>
      </c>
      <c r="FA477" t="e">
        <f>International!H63+"n/&gt;!6NL"</f>
        <v>#VALUE!</v>
      </c>
      <c r="FB477" t="e">
        <f>International!I63+"n/&gt;!6NM"</f>
        <v>#VALUE!</v>
      </c>
      <c r="FC477" t="e">
        <f>International!A64+"n/&gt;!6NN"</f>
        <v>#VALUE!</v>
      </c>
      <c r="FD477" t="e">
        <f>International!B64+"n/&gt;!6NO"</f>
        <v>#VALUE!</v>
      </c>
      <c r="FE477" t="e">
        <f>International!C64+"n/&gt;!6NP"</f>
        <v>#VALUE!</v>
      </c>
      <c r="FF477" t="e">
        <f>International!D64+"n/&gt;!6NQ"</f>
        <v>#VALUE!</v>
      </c>
      <c r="FG477" t="e">
        <f>International!E64+"n/&gt;!6NR"</f>
        <v>#VALUE!</v>
      </c>
      <c r="FH477" t="e">
        <f>International!F64+"n/&gt;!6NS"</f>
        <v>#VALUE!</v>
      </c>
      <c r="FI477" t="e">
        <f>International!G64+"n/&gt;!6NT"</f>
        <v>#VALUE!</v>
      </c>
      <c r="FJ477" t="e">
        <f>International!H64+"n/&gt;!6NU"</f>
        <v>#VALUE!</v>
      </c>
      <c r="FK477" t="e">
        <f>International!I64+"n/&gt;!6NV"</f>
        <v>#VALUE!</v>
      </c>
      <c r="FL477" t="e">
        <f>International!A65+"n/&gt;!6NW"</f>
        <v>#VALUE!</v>
      </c>
      <c r="FM477" t="e">
        <f>International!B65+"n/&gt;!6NX"</f>
        <v>#VALUE!</v>
      </c>
      <c r="FN477" t="e">
        <f>International!C65+"n/&gt;!6NY"</f>
        <v>#VALUE!</v>
      </c>
      <c r="FO477" t="e">
        <f>International!D65+"n/&gt;!6NZ"</f>
        <v>#VALUE!</v>
      </c>
      <c r="FP477" t="e">
        <f>International!E65+"n/&gt;!6N["</f>
        <v>#VALUE!</v>
      </c>
      <c r="FQ477" t="e">
        <f>International!F65+"n/&gt;!6N\"</f>
        <v>#VALUE!</v>
      </c>
      <c r="FR477" t="e">
        <f>International!G65+"n/&gt;!6N]"</f>
        <v>#VALUE!</v>
      </c>
      <c r="FS477" t="e">
        <f>International!H65+"n/&gt;!6N^"</f>
        <v>#VALUE!</v>
      </c>
      <c r="FT477" t="e">
        <f>International!I65+"n/&gt;!6N_"</f>
        <v>#VALUE!</v>
      </c>
      <c r="FU477" t="e">
        <f>International!A66+"n/&gt;!6N`"</f>
        <v>#VALUE!</v>
      </c>
      <c r="FV477" t="e">
        <f>International!B66+"n/&gt;!6Na"</f>
        <v>#VALUE!</v>
      </c>
      <c r="FW477" t="e">
        <f>International!C66+"n/&gt;!6Nb"</f>
        <v>#VALUE!</v>
      </c>
      <c r="FX477" t="e">
        <f>International!D66+"n/&gt;!6Nc"</f>
        <v>#VALUE!</v>
      </c>
      <c r="FY477" t="e">
        <f>International!E66+"n/&gt;!6Nd"</f>
        <v>#VALUE!</v>
      </c>
      <c r="FZ477" t="e">
        <f>International!F66+"n/&gt;!6Ne"</f>
        <v>#VALUE!</v>
      </c>
      <c r="GA477" t="e">
        <f>International!G66+"n/&gt;!6Nf"</f>
        <v>#VALUE!</v>
      </c>
      <c r="GB477" t="e">
        <f>International!H66+"n/&gt;!6Ng"</f>
        <v>#VALUE!</v>
      </c>
      <c r="GC477" t="e">
        <f>International!I66+"n/&gt;!6Nh"</f>
        <v>#VALUE!</v>
      </c>
      <c r="GD477" t="e">
        <f>International!A67+"n/&gt;!6Ni"</f>
        <v>#VALUE!</v>
      </c>
      <c r="GE477" t="e">
        <f>International!B67+"n/&gt;!6Nj"</f>
        <v>#VALUE!</v>
      </c>
      <c r="GF477" t="e">
        <f>International!C67+"n/&gt;!6Nk"</f>
        <v>#VALUE!</v>
      </c>
      <c r="GG477" t="e">
        <f>International!D67+"n/&gt;!6Nl"</f>
        <v>#VALUE!</v>
      </c>
      <c r="GH477" t="e">
        <f>International!E67+"n/&gt;!6Nm"</f>
        <v>#VALUE!</v>
      </c>
      <c r="GI477" t="e">
        <f>International!F67+"n/&gt;!6Nn"</f>
        <v>#VALUE!</v>
      </c>
      <c r="GJ477" t="e">
        <f>International!G67+"n/&gt;!6No"</f>
        <v>#VALUE!</v>
      </c>
      <c r="GK477" t="e">
        <f>International!H67+"n/&gt;!6Np"</f>
        <v>#VALUE!</v>
      </c>
      <c r="GL477" t="e">
        <f>International!I67+"n/&gt;!6Nq"</f>
        <v>#VALUE!</v>
      </c>
      <c r="GM477" t="e">
        <f>International!A68+"n/&gt;!6Nr"</f>
        <v>#VALUE!</v>
      </c>
      <c r="GN477" t="e">
        <f>International!B68+"n/&gt;!6Ns"</f>
        <v>#VALUE!</v>
      </c>
      <c r="GO477" t="e">
        <f>International!C68+"n/&gt;!6Nt"</f>
        <v>#VALUE!</v>
      </c>
      <c r="GP477" t="e">
        <f>International!D68+"n/&gt;!6Nu"</f>
        <v>#VALUE!</v>
      </c>
      <c r="GQ477" t="e">
        <f>International!E68+"n/&gt;!6Nv"</f>
        <v>#VALUE!</v>
      </c>
      <c r="GR477" t="e">
        <f>International!F68+"n/&gt;!6Nw"</f>
        <v>#VALUE!</v>
      </c>
      <c r="GS477" t="e">
        <f>International!G68+"n/&gt;!6Nx"</f>
        <v>#VALUE!</v>
      </c>
      <c r="GT477" t="e">
        <f>International!H68+"n/&gt;!6Ny"</f>
        <v>#VALUE!</v>
      </c>
      <c r="GU477" t="e">
        <f>International!I68+"n/&gt;!6Nz"</f>
        <v>#VALUE!</v>
      </c>
      <c r="GV477" t="e">
        <f>International!A69+"n/&gt;!6N{"</f>
        <v>#VALUE!</v>
      </c>
      <c r="GW477" t="e">
        <f>International!B69+"n/&gt;!6N|"</f>
        <v>#VALUE!</v>
      </c>
      <c r="GX477" t="e">
        <f>International!C69+"n/&gt;!6N}"</f>
        <v>#VALUE!</v>
      </c>
      <c r="GY477" t="e">
        <f>International!D69+"n/&gt;!6N~"</f>
        <v>#VALUE!</v>
      </c>
      <c r="GZ477" t="e">
        <f>International!E69+"n/&gt;!6O#"</f>
        <v>#VALUE!</v>
      </c>
      <c r="HA477" t="e">
        <f>International!F69+"n/&gt;!6O$"</f>
        <v>#VALUE!</v>
      </c>
      <c r="HB477" t="e">
        <f>International!G69+"n/&gt;!6O%"</f>
        <v>#VALUE!</v>
      </c>
      <c r="HC477" t="e">
        <f>International!H69+"n/&gt;!6O&amp;"</f>
        <v>#VALUE!</v>
      </c>
      <c r="HD477" t="e">
        <f>International!I69+"n/&gt;!6O'"</f>
        <v>#VALUE!</v>
      </c>
      <c r="HE477" t="e">
        <f>International!A70+"n/&gt;!6O("</f>
        <v>#VALUE!</v>
      </c>
      <c r="HF477" t="e">
        <f>International!B70+"n/&gt;!6O)"</f>
        <v>#VALUE!</v>
      </c>
      <c r="HG477" t="e">
        <f>International!C70+"n/&gt;!6O."</f>
        <v>#VALUE!</v>
      </c>
      <c r="HH477" t="e">
        <f>International!D70+"n/&gt;!6O/"</f>
        <v>#VALUE!</v>
      </c>
      <c r="HI477" t="e">
        <f>International!E70+"n/&gt;!6O0"</f>
        <v>#VALUE!</v>
      </c>
      <c r="HJ477" t="e">
        <f>International!F70+"n/&gt;!6O1"</f>
        <v>#VALUE!</v>
      </c>
      <c r="HK477" t="e">
        <f>International!G70+"n/&gt;!6O2"</f>
        <v>#VALUE!</v>
      </c>
      <c r="HL477" t="e">
        <f>International!H70+"n/&gt;!6O3"</f>
        <v>#VALUE!</v>
      </c>
      <c r="HM477" t="e">
        <f>International!I70+"n/&gt;!6O4"</f>
        <v>#VALUE!</v>
      </c>
      <c r="HN477" t="e">
        <f>International!A71+"n/&gt;!6O5"</f>
        <v>#VALUE!</v>
      </c>
      <c r="HO477" t="e">
        <f>International!B71+"n/&gt;!6O6"</f>
        <v>#VALUE!</v>
      </c>
      <c r="HP477" t="e">
        <f>International!C71+"n/&gt;!6O7"</f>
        <v>#VALUE!</v>
      </c>
      <c r="HQ477" t="e">
        <f>International!D71+"n/&gt;!6O8"</f>
        <v>#VALUE!</v>
      </c>
      <c r="HR477" t="e">
        <f>International!E71+"n/&gt;!6O9"</f>
        <v>#VALUE!</v>
      </c>
      <c r="HS477" t="e">
        <f>International!F71+"n/&gt;!6O:"</f>
        <v>#VALUE!</v>
      </c>
      <c r="HT477" t="e">
        <f>International!G71+"n/&gt;!6O;"</f>
        <v>#VALUE!</v>
      </c>
      <c r="HU477" t="e">
        <f>International!H71+"n/&gt;!6O&lt;"</f>
        <v>#VALUE!</v>
      </c>
      <c r="HV477" t="e">
        <f>International!I71+"n/&gt;!6O="</f>
        <v>#VALUE!</v>
      </c>
      <c r="HW477" t="e">
        <f>International!A72+"n/&gt;!6O&gt;"</f>
        <v>#VALUE!</v>
      </c>
      <c r="HX477" t="e">
        <f>International!B72+"n/&gt;!6O?"</f>
        <v>#VALUE!</v>
      </c>
      <c r="HY477" t="e">
        <f>International!C72+"n/&gt;!6O@"</f>
        <v>#VALUE!</v>
      </c>
      <c r="HZ477" t="e">
        <f>International!D72+"n/&gt;!6OA"</f>
        <v>#VALUE!</v>
      </c>
      <c r="IA477" t="e">
        <f>International!E72+"n/&gt;!6OB"</f>
        <v>#VALUE!</v>
      </c>
      <c r="IB477" t="e">
        <f>International!F72+"n/&gt;!6OC"</f>
        <v>#VALUE!</v>
      </c>
      <c r="IC477" t="e">
        <f>International!G72+"n/&gt;!6OD"</f>
        <v>#VALUE!</v>
      </c>
      <c r="ID477" t="e">
        <f>International!H72+"n/&gt;!6OE"</f>
        <v>#VALUE!</v>
      </c>
      <c r="IE477" t="e">
        <f>International!I72+"n/&gt;!6OF"</f>
        <v>#VALUE!</v>
      </c>
      <c r="IF477" t="e">
        <f>International!A73+"n/&gt;!6OG"</f>
        <v>#VALUE!</v>
      </c>
      <c r="IG477" t="e">
        <f>International!B73+"n/&gt;!6OH"</f>
        <v>#VALUE!</v>
      </c>
      <c r="IH477" t="e">
        <f>International!C73+"n/&gt;!6OI"</f>
        <v>#VALUE!</v>
      </c>
      <c r="II477" t="e">
        <f>International!D73+"n/&gt;!6OJ"</f>
        <v>#VALUE!</v>
      </c>
      <c r="IJ477" t="e">
        <f>International!E73+"n/&gt;!6OK"</f>
        <v>#VALUE!</v>
      </c>
      <c r="IK477" t="e">
        <f>International!F73+"n/&gt;!6OL"</f>
        <v>#VALUE!</v>
      </c>
      <c r="IL477" t="e">
        <f>International!G73+"n/&gt;!6OM"</f>
        <v>#VALUE!</v>
      </c>
      <c r="IM477" t="e">
        <f>International!H73+"n/&gt;!6ON"</f>
        <v>#VALUE!</v>
      </c>
      <c r="IN477" t="e">
        <f>International!I73+"n/&gt;!6OO"</f>
        <v>#VALUE!</v>
      </c>
      <c r="IO477" t="e">
        <f>International!A74+"n/&gt;!6OP"</f>
        <v>#VALUE!</v>
      </c>
      <c r="IP477" t="e">
        <f>International!B74+"n/&gt;!6OQ"</f>
        <v>#VALUE!</v>
      </c>
      <c r="IQ477" t="e">
        <f>International!C74+"n/&gt;!6OR"</f>
        <v>#VALUE!</v>
      </c>
      <c r="IR477" t="e">
        <f>International!D74+"n/&gt;!6OS"</f>
        <v>#VALUE!</v>
      </c>
      <c r="IS477" t="e">
        <f>International!E74+"n/&gt;!6OT"</f>
        <v>#VALUE!</v>
      </c>
      <c r="IT477" t="e">
        <f>International!F74+"n/&gt;!6OU"</f>
        <v>#VALUE!</v>
      </c>
      <c r="IU477" t="e">
        <f>International!G74+"n/&gt;!6OV"</f>
        <v>#VALUE!</v>
      </c>
      <c r="IV477" t="e">
        <f>International!H74+"n/&gt;!6OW"</f>
        <v>#VALUE!</v>
      </c>
    </row>
    <row r="478" spans="6:256" x14ac:dyDescent="0.35">
      <c r="F478" t="e">
        <f>International!I74+"n/&gt;!6OX"</f>
        <v>#VALUE!</v>
      </c>
      <c r="G478" t="e">
        <f>International!A75+"n/&gt;!6OY"</f>
        <v>#VALUE!</v>
      </c>
      <c r="H478" t="e">
        <f>International!B75+"n/&gt;!6OZ"</f>
        <v>#VALUE!</v>
      </c>
      <c r="I478" t="e">
        <f>International!C75+"n/&gt;!6O["</f>
        <v>#VALUE!</v>
      </c>
      <c r="J478" t="e">
        <f>International!D75+"n/&gt;!6O\"</f>
        <v>#VALUE!</v>
      </c>
      <c r="K478" t="e">
        <f>International!E75+"n/&gt;!6O]"</f>
        <v>#VALUE!</v>
      </c>
      <c r="L478" t="e">
        <f>International!F75+"n/&gt;!6O^"</f>
        <v>#VALUE!</v>
      </c>
      <c r="M478" t="e">
        <f>International!G75+"n/&gt;!6O_"</f>
        <v>#VALUE!</v>
      </c>
      <c r="N478" t="e">
        <f>International!H75+"n/&gt;!6O`"</f>
        <v>#VALUE!</v>
      </c>
      <c r="O478" t="e">
        <f>International!I75+"n/&gt;!6Oa"</f>
        <v>#VALUE!</v>
      </c>
      <c r="P478" t="e">
        <f>International!A76+"n/&gt;!6Ob"</f>
        <v>#VALUE!</v>
      </c>
      <c r="Q478" t="e">
        <f>International!B76+"n/&gt;!6Oc"</f>
        <v>#VALUE!</v>
      </c>
      <c r="R478" t="e">
        <f>International!C76+"n/&gt;!6Od"</f>
        <v>#VALUE!</v>
      </c>
      <c r="S478" t="e">
        <f>International!D76+"n/&gt;!6Oe"</f>
        <v>#VALUE!</v>
      </c>
      <c r="T478" t="e">
        <f>International!E76+"n/&gt;!6Of"</f>
        <v>#VALUE!</v>
      </c>
      <c r="U478" t="e">
        <f>International!F76+"n/&gt;!6Og"</f>
        <v>#VALUE!</v>
      </c>
      <c r="V478" t="e">
        <f>International!G76+"n/&gt;!6Oh"</f>
        <v>#VALUE!</v>
      </c>
      <c r="W478" t="e">
        <f>International!H76+"n/&gt;!6Oi"</f>
        <v>#VALUE!</v>
      </c>
      <c r="X478" t="e">
        <f>International!I76+"n/&gt;!6Oj"</f>
        <v>#VALUE!</v>
      </c>
      <c r="Y478" t="e">
        <f>International!A77+"n/&gt;!6Ok"</f>
        <v>#VALUE!</v>
      </c>
      <c r="Z478" t="e">
        <f>International!B77+"n/&gt;!6Ol"</f>
        <v>#VALUE!</v>
      </c>
      <c r="AA478" t="e">
        <f>International!C77+"n/&gt;!6Om"</f>
        <v>#VALUE!</v>
      </c>
      <c r="AB478" t="e">
        <f>International!D77+"n/&gt;!6On"</f>
        <v>#VALUE!</v>
      </c>
      <c r="AC478" t="e">
        <f>International!E77+"n/&gt;!6Oo"</f>
        <v>#VALUE!</v>
      </c>
      <c r="AD478" t="e">
        <f>International!F77+"n/&gt;!6Op"</f>
        <v>#VALUE!</v>
      </c>
      <c r="AE478" t="e">
        <f>International!G77+"n/&gt;!6Oq"</f>
        <v>#VALUE!</v>
      </c>
      <c r="AF478" t="e">
        <f>International!H77+"n/&gt;!6Or"</f>
        <v>#VALUE!</v>
      </c>
      <c r="AG478" t="e">
        <f>International!I77+"n/&gt;!6Os"</f>
        <v>#VALUE!</v>
      </c>
      <c r="AH478" t="e">
        <f>International!A78+"n/&gt;!6Ot"</f>
        <v>#VALUE!</v>
      </c>
      <c r="AI478" t="e">
        <f>International!B78+"n/&gt;!6Ou"</f>
        <v>#VALUE!</v>
      </c>
      <c r="AJ478" t="e">
        <f>International!C78+"n/&gt;!6Ov"</f>
        <v>#VALUE!</v>
      </c>
      <c r="AK478" t="e">
        <f>International!D78+"n/&gt;!6Ow"</f>
        <v>#VALUE!</v>
      </c>
      <c r="AL478" t="e">
        <f>International!E78+"n/&gt;!6Ox"</f>
        <v>#VALUE!</v>
      </c>
      <c r="AM478" t="e">
        <f>International!F78+"n/&gt;!6Oy"</f>
        <v>#VALUE!</v>
      </c>
      <c r="AN478" t="e">
        <f>International!G78+"n/&gt;!6Oz"</f>
        <v>#VALUE!</v>
      </c>
      <c r="AO478" t="e">
        <f>International!H78+"n/&gt;!6O{"</f>
        <v>#VALUE!</v>
      </c>
      <c r="AP478" t="e">
        <f>International!I78+"n/&gt;!6O|"</f>
        <v>#VALUE!</v>
      </c>
      <c r="AQ478" t="e">
        <f>International!A79+"n/&gt;!6O}"</f>
        <v>#VALUE!</v>
      </c>
      <c r="AR478" t="e">
        <f>International!B79+"n/&gt;!6O~"</f>
        <v>#VALUE!</v>
      </c>
      <c r="AS478" t="e">
        <f>International!C79+"n/&gt;!6P#"</f>
        <v>#VALUE!</v>
      </c>
      <c r="AT478" t="e">
        <f>International!D79+"n/&gt;!6P$"</f>
        <v>#VALUE!</v>
      </c>
      <c r="AU478" t="e">
        <f>International!E79+"n/&gt;!6P%"</f>
        <v>#VALUE!</v>
      </c>
      <c r="AV478" t="e">
        <f>International!F79+"n/&gt;!6P&amp;"</f>
        <v>#VALUE!</v>
      </c>
      <c r="AW478" t="e">
        <f>International!G79+"n/&gt;!6P'"</f>
        <v>#VALUE!</v>
      </c>
      <c r="AX478" t="e">
        <f>International!H79+"n/&gt;!6P("</f>
        <v>#VALUE!</v>
      </c>
      <c r="AY478" t="e">
        <f>International!I79+"n/&gt;!6P)"</f>
        <v>#VALUE!</v>
      </c>
      <c r="AZ478" t="e">
        <f>International!A80+"n/&gt;!6P."</f>
        <v>#VALUE!</v>
      </c>
      <c r="BA478" t="e">
        <f>International!B80+"n/&gt;!6P/"</f>
        <v>#VALUE!</v>
      </c>
      <c r="BB478" t="e">
        <f>International!C80+"n/&gt;!6P0"</f>
        <v>#VALUE!</v>
      </c>
      <c r="BC478" t="e">
        <f>International!D80+"n/&gt;!6P1"</f>
        <v>#VALUE!</v>
      </c>
      <c r="BD478" t="e">
        <f>International!E80+"n/&gt;!6P2"</f>
        <v>#VALUE!</v>
      </c>
      <c r="BE478" t="e">
        <f>International!F80+"n/&gt;!6P3"</f>
        <v>#VALUE!</v>
      </c>
      <c r="BF478" t="e">
        <f>International!G80+"n/&gt;!6P4"</f>
        <v>#VALUE!</v>
      </c>
      <c r="BG478" t="e">
        <f>International!H80+"n/&gt;!6P5"</f>
        <v>#VALUE!</v>
      </c>
      <c r="BH478" t="e">
        <f>International!I80+"n/&gt;!6P6"</f>
        <v>#VALUE!</v>
      </c>
      <c r="BI478" t="e">
        <f>International!A81+"n/&gt;!6P7"</f>
        <v>#VALUE!</v>
      </c>
      <c r="BJ478" t="e">
        <f>International!B81+"n/&gt;!6P8"</f>
        <v>#VALUE!</v>
      </c>
      <c r="BK478" t="e">
        <f>International!C81+"n/&gt;!6P9"</f>
        <v>#VALUE!</v>
      </c>
      <c r="BL478" t="e">
        <f>International!D81+"n/&gt;!6P:"</f>
        <v>#VALUE!</v>
      </c>
      <c r="BM478" t="e">
        <f>International!E81+"n/&gt;!6P;"</f>
        <v>#VALUE!</v>
      </c>
      <c r="BN478" t="e">
        <f>International!F81+"n/&gt;!6P&lt;"</f>
        <v>#VALUE!</v>
      </c>
      <c r="BO478" t="e">
        <f>International!G81+"n/&gt;!6P="</f>
        <v>#VALUE!</v>
      </c>
      <c r="BP478" t="e">
        <f>International!H81+"n/&gt;!6P&gt;"</f>
        <v>#VALUE!</v>
      </c>
      <c r="BQ478" t="e">
        <f>International!I81+"n/&gt;!6P?"</f>
        <v>#VALUE!</v>
      </c>
      <c r="BR478" t="e">
        <f>International!A82+"n/&gt;!6P@"</f>
        <v>#VALUE!</v>
      </c>
      <c r="BS478" t="e">
        <f>International!B82+"n/&gt;!6PA"</f>
        <v>#VALUE!</v>
      </c>
      <c r="BT478" t="e">
        <f>International!C82+"n/&gt;!6PB"</f>
        <v>#VALUE!</v>
      </c>
      <c r="BU478" t="e">
        <f>International!D82+"n/&gt;!6PC"</f>
        <v>#VALUE!</v>
      </c>
      <c r="BV478" t="e">
        <f>International!E82+"n/&gt;!6PD"</f>
        <v>#VALUE!</v>
      </c>
      <c r="BW478" t="e">
        <f>International!F82+"n/&gt;!6PE"</f>
        <v>#VALUE!</v>
      </c>
      <c r="BX478" t="e">
        <f>International!G82+"n/&gt;!6PF"</f>
        <v>#VALUE!</v>
      </c>
      <c r="BY478" t="e">
        <f>International!H82+"n/&gt;!6PG"</f>
        <v>#VALUE!</v>
      </c>
      <c r="BZ478" t="e">
        <f>International!I82+"n/&gt;!6PH"</f>
        <v>#VALUE!</v>
      </c>
      <c r="CA478" t="e">
        <f>International!A83+"n/&gt;!6PI"</f>
        <v>#VALUE!</v>
      </c>
      <c r="CB478" t="e">
        <f>International!B83+"n/&gt;!6PJ"</f>
        <v>#VALUE!</v>
      </c>
      <c r="CC478" t="e">
        <f>International!C83+"n/&gt;!6PK"</f>
        <v>#VALUE!</v>
      </c>
      <c r="CD478" t="e">
        <f>International!D83+"n/&gt;!6PL"</f>
        <v>#VALUE!</v>
      </c>
      <c r="CE478" t="e">
        <f>International!E83+"n/&gt;!6PM"</f>
        <v>#VALUE!</v>
      </c>
      <c r="CF478" t="e">
        <f>International!F83+"n/&gt;!6PN"</f>
        <v>#VALUE!</v>
      </c>
      <c r="CG478" t="e">
        <f>International!G83+"n/&gt;!6PO"</f>
        <v>#VALUE!</v>
      </c>
      <c r="CH478" t="e">
        <f>International!H83+"n/&gt;!6PP"</f>
        <v>#VALUE!</v>
      </c>
      <c r="CI478" t="e">
        <f>International!I83+"n/&gt;!6PQ"</f>
        <v>#VALUE!</v>
      </c>
      <c r="CJ478" t="e">
        <f>International!A84+"n/&gt;!6PR"</f>
        <v>#VALUE!</v>
      </c>
      <c r="CK478" t="e">
        <f>International!B84+"n/&gt;!6PS"</f>
        <v>#VALUE!</v>
      </c>
      <c r="CL478" t="e">
        <f>International!C84+"n/&gt;!6PT"</f>
        <v>#VALUE!</v>
      </c>
      <c r="CM478" t="e">
        <f>International!D84+"n/&gt;!6PU"</f>
        <v>#VALUE!</v>
      </c>
      <c r="CN478" t="e">
        <f>International!E84+"n/&gt;!6PV"</f>
        <v>#VALUE!</v>
      </c>
      <c r="CO478" t="e">
        <f>International!F84+"n/&gt;!6PW"</f>
        <v>#VALUE!</v>
      </c>
      <c r="CP478" t="e">
        <f>International!G84+"n/&gt;!6PX"</f>
        <v>#VALUE!</v>
      </c>
      <c r="CQ478" t="e">
        <f>International!H84+"n/&gt;!6PY"</f>
        <v>#VALUE!</v>
      </c>
      <c r="CR478" t="e">
        <f>International!I84+"n/&gt;!6PZ"</f>
        <v>#VALUE!</v>
      </c>
      <c r="CS478" t="e">
        <f>International!A85+"n/&gt;!6P["</f>
        <v>#VALUE!</v>
      </c>
      <c r="CT478" t="e">
        <f>International!B85+"n/&gt;!6P\"</f>
        <v>#VALUE!</v>
      </c>
      <c r="CU478" t="e">
        <f>International!C85+"n/&gt;!6P]"</f>
        <v>#VALUE!</v>
      </c>
      <c r="CV478" t="e">
        <f>International!D85+"n/&gt;!6P^"</f>
        <v>#VALUE!</v>
      </c>
      <c r="CW478" t="e">
        <f>International!E85+"n/&gt;!6P_"</f>
        <v>#VALUE!</v>
      </c>
      <c r="CX478" t="e">
        <f>International!F85+"n/&gt;!6P`"</f>
        <v>#VALUE!</v>
      </c>
      <c r="CY478" t="e">
        <f>International!G85+"n/&gt;!6Pa"</f>
        <v>#VALUE!</v>
      </c>
      <c r="CZ478" t="e">
        <f>International!H85+"n/&gt;!6Pb"</f>
        <v>#VALUE!</v>
      </c>
      <c r="DA478" t="e">
        <f>International!I85+"n/&gt;!6Pc"</f>
        <v>#VALUE!</v>
      </c>
      <c r="DB478" t="e">
        <f>International!A86+"n/&gt;!6Pd"</f>
        <v>#VALUE!</v>
      </c>
      <c r="DC478" t="e">
        <f>International!B86+"n/&gt;!6Pe"</f>
        <v>#VALUE!</v>
      </c>
      <c r="DD478" t="e">
        <f>International!C86+"n/&gt;!6Pf"</f>
        <v>#VALUE!</v>
      </c>
      <c r="DE478" t="e">
        <f>International!D86+"n/&gt;!6Pg"</f>
        <v>#VALUE!</v>
      </c>
      <c r="DF478" t="e">
        <f>International!E86+"n/&gt;!6Ph"</f>
        <v>#VALUE!</v>
      </c>
      <c r="DG478" t="e">
        <f>International!F86+"n/&gt;!6Pi"</f>
        <v>#VALUE!</v>
      </c>
      <c r="DH478" t="e">
        <f>International!G86+"n/&gt;!6Pj"</f>
        <v>#VALUE!</v>
      </c>
      <c r="DI478" t="e">
        <f>International!H86+"n/&gt;!6Pk"</f>
        <v>#VALUE!</v>
      </c>
      <c r="DJ478" t="e">
        <f>International!I86+"n/&gt;!6Pl"</f>
        <v>#VALUE!</v>
      </c>
      <c r="DK478" t="e">
        <f>International!A87+"n/&gt;!6Pm"</f>
        <v>#VALUE!</v>
      </c>
      <c r="DL478" t="e">
        <f>International!B87+"n/&gt;!6Pn"</f>
        <v>#VALUE!</v>
      </c>
      <c r="DM478" t="e">
        <f>International!C87+"n/&gt;!6Po"</f>
        <v>#VALUE!</v>
      </c>
      <c r="DN478" t="e">
        <f>International!D87+"n/&gt;!6Pp"</f>
        <v>#VALUE!</v>
      </c>
      <c r="DO478" t="e">
        <f>International!E87+"n/&gt;!6Pq"</f>
        <v>#VALUE!</v>
      </c>
      <c r="DP478" t="e">
        <f>International!F87+"n/&gt;!6Pr"</f>
        <v>#VALUE!</v>
      </c>
      <c r="DQ478" t="e">
        <f>International!G87+"n/&gt;!6Ps"</f>
        <v>#VALUE!</v>
      </c>
      <c r="DR478" t="e">
        <f>International!H87+"n/&gt;!6Pt"</f>
        <v>#VALUE!</v>
      </c>
      <c r="DS478" t="e">
        <f>International!A88+"n/&gt;!6Pu"</f>
        <v>#VALUE!</v>
      </c>
      <c r="DT478" t="e">
        <f>International!B88+"n/&gt;!6Pv"</f>
        <v>#VALUE!</v>
      </c>
      <c r="DU478" t="e">
        <f>International!C88+"n/&gt;!6Pw"</f>
        <v>#VALUE!</v>
      </c>
      <c r="DV478" t="e">
        <f>International!D88+"n/&gt;!6Px"</f>
        <v>#VALUE!</v>
      </c>
      <c r="DW478" t="e">
        <f>International!E88+"n/&gt;!6Py"</f>
        <v>#VALUE!</v>
      </c>
      <c r="DX478" t="e">
        <f>International!F88+"n/&gt;!6Pz"</f>
        <v>#VALUE!</v>
      </c>
      <c r="DY478" t="e">
        <f>International!G88+"n/&gt;!6P{"</f>
        <v>#VALUE!</v>
      </c>
      <c r="DZ478" t="e">
        <f>International!H88+"n/&gt;!6P|"</f>
        <v>#VALUE!</v>
      </c>
      <c r="EA478" t="e">
        <f>International!I88+"n/&gt;!6P}"</f>
        <v>#VALUE!</v>
      </c>
      <c r="EB478" t="e">
        <f>International!A89+"n/&gt;!6P~"</f>
        <v>#VALUE!</v>
      </c>
      <c r="EC478" t="e">
        <f>International!B89+"n/&gt;!6Q#"</f>
        <v>#VALUE!</v>
      </c>
      <c r="ED478" t="e">
        <f>International!C89+"n/&gt;!6Q$"</f>
        <v>#VALUE!</v>
      </c>
      <c r="EE478" t="e">
        <f>International!D89+"n/&gt;!6Q%"</f>
        <v>#VALUE!</v>
      </c>
      <c r="EF478" t="e">
        <f>International!E89+"n/&gt;!6Q&amp;"</f>
        <v>#VALUE!</v>
      </c>
      <c r="EG478" t="e">
        <f>International!F89+"n/&gt;!6Q'"</f>
        <v>#VALUE!</v>
      </c>
      <c r="EH478" t="e">
        <f>International!G89+"n/&gt;!6Q("</f>
        <v>#VALUE!</v>
      </c>
      <c r="EI478" t="e">
        <f>International!H89+"n/&gt;!6Q)"</f>
        <v>#VALUE!</v>
      </c>
      <c r="EJ478" t="e">
        <f>International!I89+"n/&gt;!6Q."</f>
        <v>#VALUE!</v>
      </c>
      <c r="EK478" t="e">
        <f>International!A90+"n/&gt;!6Q/"</f>
        <v>#VALUE!</v>
      </c>
      <c r="EL478" t="e">
        <f>International!B90+"n/&gt;!6Q0"</f>
        <v>#VALUE!</v>
      </c>
      <c r="EM478" t="e">
        <f>International!C90+"n/&gt;!6Q1"</f>
        <v>#VALUE!</v>
      </c>
      <c r="EN478" t="e">
        <f>International!D90+"n/&gt;!6Q2"</f>
        <v>#VALUE!</v>
      </c>
      <c r="EO478" t="e">
        <f>International!E90+"n/&gt;!6Q3"</f>
        <v>#VALUE!</v>
      </c>
      <c r="EP478" t="e">
        <f>International!F90+"n/&gt;!6Q4"</f>
        <v>#VALUE!</v>
      </c>
      <c r="EQ478" t="e">
        <f>International!G90+"n/&gt;!6Q5"</f>
        <v>#VALUE!</v>
      </c>
      <c r="ER478" t="e">
        <f>International!H90+"n/&gt;!6Q6"</f>
        <v>#VALUE!</v>
      </c>
      <c r="ES478" t="e">
        <f>International!I90+"n/&gt;!6Q7"</f>
        <v>#VALUE!</v>
      </c>
      <c r="ET478" t="e">
        <f>International!A91+"n/&gt;!6Q8"</f>
        <v>#VALUE!</v>
      </c>
      <c r="EU478" t="e">
        <f>International!B91+"n/&gt;!6Q9"</f>
        <v>#VALUE!</v>
      </c>
      <c r="EV478" t="e">
        <f>International!C91+"n/&gt;!6Q:"</f>
        <v>#VALUE!</v>
      </c>
      <c r="EW478" t="e">
        <f>International!D91+"n/&gt;!6Q;"</f>
        <v>#VALUE!</v>
      </c>
      <c r="EX478" t="e">
        <f>International!E91+"n/&gt;!6Q&lt;"</f>
        <v>#VALUE!</v>
      </c>
      <c r="EY478" t="e">
        <f>International!F91+"n/&gt;!6Q="</f>
        <v>#VALUE!</v>
      </c>
      <c r="EZ478" t="e">
        <f>International!G91+"n/&gt;!6Q&gt;"</f>
        <v>#VALUE!</v>
      </c>
      <c r="FA478" t="e">
        <f>International!H91+"n/&gt;!6Q?"</f>
        <v>#VALUE!</v>
      </c>
      <c r="FB478" t="e">
        <f>International!I91+"n/&gt;!6Q@"</f>
        <v>#VALUE!</v>
      </c>
      <c r="FC478" t="e">
        <f>International!A92+"n/&gt;!6QA"</f>
        <v>#VALUE!</v>
      </c>
      <c r="FD478" t="e">
        <f>International!B92+"n/&gt;!6QB"</f>
        <v>#VALUE!</v>
      </c>
      <c r="FE478" t="e">
        <f>International!C92+"n/&gt;!6QC"</f>
        <v>#VALUE!</v>
      </c>
      <c r="FF478" t="e">
        <f>International!D92+"n/&gt;!6QD"</f>
        <v>#VALUE!</v>
      </c>
      <c r="FG478" t="e">
        <f>International!E92+"n/&gt;!6QE"</f>
        <v>#VALUE!</v>
      </c>
      <c r="FH478" t="e">
        <f>International!F92+"n/&gt;!6QF"</f>
        <v>#VALUE!</v>
      </c>
      <c r="FI478" t="e">
        <f>International!G92+"n/&gt;!6QG"</f>
        <v>#VALUE!</v>
      </c>
      <c r="FJ478" t="e">
        <f>International!H92+"n/&gt;!6QH"</f>
        <v>#VALUE!</v>
      </c>
      <c r="FK478" t="e">
        <f>International!I92+"n/&gt;!6QI"</f>
        <v>#VALUE!</v>
      </c>
      <c r="FL478" t="e">
        <f>International!A93+"n/&gt;!6QJ"</f>
        <v>#VALUE!</v>
      </c>
      <c r="FM478" t="e">
        <f>International!B93+"n/&gt;!6QK"</f>
        <v>#VALUE!</v>
      </c>
      <c r="FN478" t="e">
        <f>International!C93+"n/&gt;!6QL"</f>
        <v>#VALUE!</v>
      </c>
      <c r="FO478" t="e">
        <f>International!D93+"n/&gt;!6QM"</f>
        <v>#VALUE!</v>
      </c>
      <c r="FP478" t="e">
        <f>International!E93+"n/&gt;!6QN"</f>
        <v>#VALUE!</v>
      </c>
      <c r="FQ478" t="e">
        <f>International!F93+"n/&gt;!6QO"</f>
        <v>#VALUE!</v>
      </c>
      <c r="FR478" t="e">
        <f>International!G93+"n/&gt;!6QP"</f>
        <v>#VALUE!</v>
      </c>
      <c r="FS478" t="e">
        <f>International!H93+"n/&gt;!6QQ"</f>
        <v>#VALUE!</v>
      </c>
      <c r="FT478" t="e">
        <f>International!I93+"n/&gt;!6QR"</f>
        <v>#VALUE!</v>
      </c>
      <c r="FU478" t="e">
        <f>International!A94+"n/&gt;!6QS"</f>
        <v>#VALUE!</v>
      </c>
      <c r="FV478" t="e">
        <f>International!B94+"n/&gt;!6QT"</f>
        <v>#VALUE!</v>
      </c>
      <c r="FW478" t="e">
        <f>International!C94+"n/&gt;!6QU"</f>
        <v>#VALUE!</v>
      </c>
      <c r="FX478" t="e">
        <f>International!D94+"n/&gt;!6QV"</f>
        <v>#VALUE!</v>
      </c>
      <c r="FY478" t="e">
        <f>International!E94+"n/&gt;!6QW"</f>
        <v>#VALUE!</v>
      </c>
      <c r="FZ478" t="e">
        <f>International!F94+"n/&gt;!6QX"</f>
        <v>#VALUE!</v>
      </c>
      <c r="GA478" t="e">
        <f>International!G94+"n/&gt;!6QY"</f>
        <v>#VALUE!</v>
      </c>
      <c r="GB478" t="e">
        <f>International!H94+"n/&gt;!6QZ"</f>
        <v>#VALUE!</v>
      </c>
      <c r="GC478" t="e">
        <f>International!I94+"n/&gt;!6Q["</f>
        <v>#VALUE!</v>
      </c>
      <c r="GD478" t="e">
        <f>International!A95+"n/&gt;!6Q\"</f>
        <v>#VALUE!</v>
      </c>
      <c r="GE478" t="e">
        <f>International!B95+"n/&gt;!6Q]"</f>
        <v>#VALUE!</v>
      </c>
      <c r="GF478" t="e">
        <f>International!C95+"n/&gt;!6Q^"</f>
        <v>#VALUE!</v>
      </c>
      <c r="GG478" t="e">
        <f>International!D95+"n/&gt;!6Q_"</f>
        <v>#VALUE!</v>
      </c>
      <c r="GH478" t="e">
        <f>International!E95+"n/&gt;!6Q`"</f>
        <v>#VALUE!</v>
      </c>
      <c r="GI478" t="e">
        <f>International!F95+"n/&gt;!6Qa"</f>
        <v>#VALUE!</v>
      </c>
      <c r="GJ478" t="e">
        <f>International!G95+"n/&gt;!6Qb"</f>
        <v>#VALUE!</v>
      </c>
      <c r="GK478" t="e">
        <f>International!H95+"n/&gt;!6Qc"</f>
        <v>#VALUE!</v>
      </c>
      <c r="GL478" t="e">
        <f>International!I95+"n/&gt;!6Qd"</f>
        <v>#VALUE!</v>
      </c>
      <c r="GM478" t="e">
        <f>International!A96+"n/&gt;!6Qe"</f>
        <v>#VALUE!</v>
      </c>
      <c r="GN478" t="e">
        <f>International!B96+"n/&gt;!6Qf"</f>
        <v>#VALUE!</v>
      </c>
      <c r="GO478" t="e">
        <f>International!C96+"n/&gt;!6Qg"</f>
        <v>#VALUE!</v>
      </c>
      <c r="GP478" t="e">
        <f>International!D96+"n/&gt;!6Qh"</f>
        <v>#VALUE!</v>
      </c>
      <c r="GQ478" t="e">
        <f>International!E96+"n/&gt;!6Qi"</f>
        <v>#VALUE!</v>
      </c>
      <c r="GR478" t="e">
        <f>International!F96+"n/&gt;!6Qj"</f>
        <v>#VALUE!</v>
      </c>
      <c r="GS478" t="e">
        <f>International!G96+"n/&gt;!6Qk"</f>
        <v>#VALUE!</v>
      </c>
      <c r="GT478" t="e">
        <f>International!H96+"n/&gt;!6Ql"</f>
        <v>#VALUE!</v>
      </c>
      <c r="GU478" t="e">
        <f>International!I96+"n/&gt;!6Qm"</f>
        <v>#VALUE!</v>
      </c>
      <c r="GV478" t="e">
        <f>International!A97+"n/&gt;!6Qn"</f>
        <v>#VALUE!</v>
      </c>
      <c r="GW478" t="e">
        <f>International!B97+"n/&gt;!6Qo"</f>
        <v>#VALUE!</v>
      </c>
      <c r="GX478" t="e">
        <f>International!C97+"n/&gt;!6Qp"</f>
        <v>#VALUE!</v>
      </c>
      <c r="GY478" t="e">
        <f>International!D97+"n/&gt;!6Qq"</f>
        <v>#VALUE!</v>
      </c>
      <c r="GZ478" t="e">
        <f>International!E97+"n/&gt;!6Qr"</f>
        <v>#VALUE!</v>
      </c>
      <c r="HA478" t="e">
        <f>International!F97+"n/&gt;!6Qs"</f>
        <v>#VALUE!</v>
      </c>
      <c r="HB478" t="e">
        <f>International!G97+"n/&gt;!6Qt"</f>
        <v>#VALUE!</v>
      </c>
      <c r="HC478" t="e">
        <f>International!H97+"n/&gt;!6Qu"</f>
        <v>#VALUE!</v>
      </c>
      <c r="HD478" t="e">
        <f>International!I97+"n/&gt;!6Qv"</f>
        <v>#VALUE!</v>
      </c>
      <c r="HE478" t="e">
        <f>International!A98+"n/&gt;!6Qw"</f>
        <v>#VALUE!</v>
      </c>
      <c r="HF478" t="e">
        <f>International!B98+"n/&gt;!6Qx"</f>
        <v>#VALUE!</v>
      </c>
      <c r="HG478" t="e">
        <f>International!C98+"n/&gt;!6Qy"</f>
        <v>#VALUE!</v>
      </c>
      <c r="HH478" t="e">
        <f>International!D98+"n/&gt;!6Qz"</f>
        <v>#VALUE!</v>
      </c>
      <c r="HI478" t="e">
        <f>International!E98+"n/&gt;!6Q{"</f>
        <v>#VALUE!</v>
      </c>
      <c r="HJ478" t="e">
        <f>International!F98+"n/&gt;!6Q|"</f>
        <v>#VALUE!</v>
      </c>
      <c r="HK478" t="e">
        <f>International!G98+"n/&gt;!6Q}"</f>
        <v>#VALUE!</v>
      </c>
      <c r="HL478" t="e">
        <f>International!H98+"n/&gt;!6Q~"</f>
        <v>#VALUE!</v>
      </c>
      <c r="HM478" t="e">
        <f>International!I98+"n/&gt;!6R#"</f>
        <v>#VALUE!</v>
      </c>
      <c r="HN478" t="e">
        <f>International!A99+"n/&gt;!6R$"</f>
        <v>#VALUE!</v>
      </c>
      <c r="HO478" t="e">
        <f>International!B99+"n/&gt;!6R%"</f>
        <v>#VALUE!</v>
      </c>
      <c r="HP478" t="e">
        <f>International!C99+"n/&gt;!6R&amp;"</f>
        <v>#VALUE!</v>
      </c>
      <c r="HQ478" t="e">
        <f>International!D99+"n/&gt;!6R'"</f>
        <v>#VALUE!</v>
      </c>
      <c r="HR478" t="e">
        <f>International!E99+"n/&gt;!6R("</f>
        <v>#VALUE!</v>
      </c>
      <c r="HS478" t="e">
        <f>International!F99+"n/&gt;!6R)"</f>
        <v>#VALUE!</v>
      </c>
      <c r="HT478" t="e">
        <f>International!G99+"n/&gt;!6R."</f>
        <v>#VALUE!</v>
      </c>
      <c r="HU478" t="e">
        <f>International!H99+"n/&gt;!6R/"</f>
        <v>#VALUE!</v>
      </c>
      <c r="HV478" t="e">
        <f>International!I99+"n/&gt;!6R0"</f>
        <v>#VALUE!</v>
      </c>
      <c r="HW478" t="e">
        <f>International!A100+"n/&gt;!6R1"</f>
        <v>#VALUE!</v>
      </c>
      <c r="HX478" t="e">
        <f>International!B100+"n/&gt;!6R2"</f>
        <v>#VALUE!</v>
      </c>
      <c r="HY478" t="e">
        <f>International!C100+"n/&gt;!6R3"</f>
        <v>#VALUE!</v>
      </c>
      <c r="HZ478" t="e">
        <f>International!D100+"n/&gt;!6R4"</f>
        <v>#VALUE!</v>
      </c>
      <c r="IA478" t="e">
        <f>International!E100+"n/&gt;!6R5"</f>
        <v>#VALUE!</v>
      </c>
      <c r="IB478" t="e">
        <f>International!F100+"n/&gt;!6R6"</f>
        <v>#VALUE!</v>
      </c>
      <c r="IC478" t="e">
        <f>International!G100+"n/&gt;!6R7"</f>
        <v>#VALUE!</v>
      </c>
      <c r="ID478" t="e">
        <f>International!H100+"n/&gt;!6R8"</f>
        <v>#VALUE!</v>
      </c>
      <c r="IE478" t="e">
        <f>International!I100+"n/&gt;!6R9"</f>
        <v>#VALUE!</v>
      </c>
      <c r="IF478" t="e">
        <f>International!A101+"n/&gt;!6R:"</f>
        <v>#VALUE!</v>
      </c>
      <c r="IG478" t="e">
        <f>International!B101+"n/&gt;!6R;"</f>
        <v>#VALUE!</v>
      </c>
      <c r="IH478" t="e">
        <f>International!C101+"n/&gt;!6R&lt;"</f>
        <v>#VALUE!</v>
      </c>
      <c r="II478" t="e">
        <f>International!D101+"n/&gt;!6R="</f>
        <v>#VALUE!</v>
      </c>
      <c r="IJ478" t="e">
        <f>International!E101+"n/&gt;!6R&gt;"</f>
        <v>#VALUE!</v>
      </c>
      <c r="IK478" t="e">
        <f>International!F101+"n/&gt;!6R?"</f>
        <v>#VALUE!</v>
      </c>
      <c r="IL478" t="e">
        <f>International!G101+"n/&gt;!6R@"</f>
        <v>#VALUE!</v>
      </c>
      <c r="IM478" t="e">
        <f>International!H101+"n/&gt;!6RA"</f>
        <v>#VALUE!</v>
      </c>
      <c r="IN478" t="e">
        <f>International!I101+"n/&gt;!6RB"</f>
        <v>#VALUE!</v>
      </c>
      <c r="IO478" t="e">
        <f>International!A102+"n/&gt;!6RC"</f>
        <v>#VALUE!</v>
      </c>
      <c r="IP478" t="e">
        <f>International!B102+"n/&gt;!6RD"</f>
        <v>#VALUE!</v>
      </c>
      <c r="IQ478" t="e">
        <f>International!C102+"n/&gt;!6RE"</f>
        <v>#VALUE!</v>
      </c>
      <c r="IR478" t="e">
        <f>International!D102+"n/&gt;!6RF"</f>
        <v>#VALUE!</v>
      </c>
      <c r="IS478" t="e">
        <f>International!E102+"n/&gt;!6RG"</f>
        <v>#VALUE!</v>
      </c>
      <c r="IT478" t="e">
        <f>International!F102+"n/&gt;!6RH"</f>
        <v>#VALUE!</v>
      </c>
      <c r="IU478" t="e">
        <f>International!G102+"n/&gt;!6RI"</f>
        <v>#VALUE!</v>
      </c>
      <c r="IV478" t="e">
        <f>International!H102+"n/&gt;!6RJ"</f>
        <v>#VALUE!</v>
      </c>
    </row>
    <row r="479" spans="6:256" x14ac:dyDescent="0.35">
      <c r="F479" t="e">
        <f>International!I102+"n/&gt;!6RK"</f>
        <v>#VALUE!</v>
      </c>
      <c r="G479" t="e">
        <f>International!A103+"n/&gt;!6RL"</f>
        <v>#VALUE!</v>
      </c>
      <c r="H479" t="e">
        <f>International!B103+"n/&gt;!6RM"</f>
        <v>#VALUE!</v>
      </c>
      <c r="I479" t="e">
        <f>International!C103+"n/&gt;!6RN"</f>
        <v>#VALUE!</v>
      </c>
      <c r="J479" t="e">
        <f>International!D103+"n/&gt;!6RO"</f>
        <v>#VALUE!</v>
      </c>
      <c r="K479" t="e">
        <f>International!E103+"n/&gt;!6RP"</f>
        <v>#VALUE!</v>
      </c>
      <c r="L479" t="e">
        <f>International!F103+"n/&gt;!6RQ"</f>
        <v>#VALUE!</v>
      </c>
      <c r="M479" t="e">
        <f>International!G103+"n/&gt;!6RR"</f>
        <v>#VALUE!</v>
      </c>
      <c r="N479" t="e">
        <f>International!H103+"n/&gt;!6RS"</f>
        <v>#VALUE!</v>
      </c>
      <c r="O479" t="e">
        <f>International!I103+"n/&gt;!6RT"</f>
        <v>#VALUE!</v>
      </c>
      <c r="P479" t="e">
        <f>International!A104+"n/&gt;!6RU"</f>
        <v>#VALUE!</v>
      </c>
      <c r="Q479" t="e">
        <f>International!B104+"n/&gt;!6RV"</f>
        <v>#VALUE!</v>
      </c>
      <c r="R479" t="e">
        <f>International!C104+"n/&gt;!6RW"</f>
        <v>#VALUE!</v>
      </c>
      <c r="S479" t="e">
        <f>International!D104+"n/&gt;!6RX"</f>
        <v>#VALUE!</v>
      </c>
      <c r="T479" t="e">
        <f>International!E104+"n/&gt;!6RY"</f>
        <v>#VALUE!</v>
      </c>
      <c r="U479" t="e">
        <f>International!F104+"n/&gt;!6RZ"</f>
        <v>#VALUE!</v>
      </c>
      <c r="V479" t="e">
        <f>International!G104+"n/&gt;!6R["</f>
        <v>#VALUE!</v>
      </c>
      <c r="W479" t="e">
        <f>International!H104+"n/&gt;!6R\"</f>
        <v>#VALUE!</v>
      </c>
      <c r="X479" t="e">
        <f>International!I104+"n/&gt;!6R]"</f>
        <v>#VALUE!</v>
      </c>
      <c r="Y479" t="e">
        <f>International!A105+"n/&gt;!6R^"</f>
        <v>#VALUE!</v>
      </c>
      <c r="Z479" t="e">
        <f>International!B105+"n/&gt;!6R_"</f>
        <v>#VALUE!</v>
      </c>
      <c r="AA479" t="e">
        <f>International!C105+"n/&gt;!6R`"</f>
        <v>#VALUE!</v>
      </c>
      <c r="AB479" t="e">
        <f>International!D105+"n/&gt;!6Ra"</f>
        <v>#VALUE!</v>
      </c>
      <c r="AC479" t="e">
        <f>International!E105+"n/&gt;!6Rb"</f>
        <v>#VALUE!</v>
      </c>
      <c r="AD479" t="e">
        <f>International!F105+"n/&gt;!6Rc"</f>
        <v>#VALUE!</v>
      </c>
      <c r="AE479" t="e">
        <f>International!G105+"n/&gt;!6Rd"</f>
        <v>#VALUE!</v>
      </c>
      <c r="AF479" t="e">
        <f>International!H105+"n/&gt;!6Re"</f>
        <v>#VALUE!</v>
      </c>
      <c r="AG479" t="e">
        <f>International!I105+"n/&gt;!6Rf"</f>
        <v>#VALUE!</v>
      </c>
      <c r="AH479" t="e">
        <f>International!A106+"n/&gt;!6Rg"</f>
        <v>#VALUE!</v>
      </c>
      <c r="AI479" t="e">
        <f>International!B106+"n/&gt;!6Rh"</f>
        <v>#VALUE!</v>
      </c>
      <c r="AJ479" t="e">
        <f>International!C106+"n/&gt;!6Ri"</f>
        <v>#VALUE!</v>
      </c>
      <c r="AK479" t="e">
        <f>International!D106+"n/&gt;!6Rj"</f>
        <v>#VALUE!</v>
      </c>
      <c r="AL479" t="e">
        <f>International!E106+"n/&gt;!6Rk"</f>
        <v>#VALUE!</v>
      </c>
      <c r="AM479" t="e">
        <f>International!F106+"n/&gt;!6Rl"</f>
        <v>#VALUE!</v>
      </c>
      <c r="AN479" t="e">
        <f>International!G106+"n/&gt;!6Rm"</f>
        <v>#VALUE!</v>
      </c>
      <c r="AO479" t="e">
        <f>International!H106+"n/&gt;!6Rn"</f>
        <v>#VALUE!</v>
      </c>
      <c r="AP479" t="e">
        <f>International!I106+"n/&gt;!6Ro"</f>
        <v>#VALUE!</v>
      </c>
      <c r="AQ479" t="e">
        <f>International!A107+"n/&gt;!6Rp"</f>
        <v>#VALUE!</v>
      </c>
      <c r="AR479" t="e">
        <f>International!B107+"n/&gt;!6Rq"</f>
        <v>#VALUE!</v>
      </c>
      <c r="AS479" t="e">
        <f>International!C107+"n/&gt;!6Rr"</f>
        <v>#VALUE!</v>
      </c>
      <c r="AT479" t="e">
        <f>International!D107+"n/&gt;!6Rs"</f>
        <v>#VALUE!</v>
      </c>
      <c r="AU479" t="e">
        <f>International!E107+"n/&gt;!6Rt"</f>
        <v>#VALUE!</v>
      </c>
      <c r="AV479" t="e">
        <f>International!F107+"n/&gt;!6Ru"</f>
        <v>#VALUE!</v>
      </c>
      <c r="AW479" t="e">
        <f>International!G107+"n/&gt;!6Rv"</f>
        <v>#VALUE!</v>
      </c>
      <c r="AX479" t="e">
        <f>International!H107+"n/&gt;!6Rw"</f>
        <v>#VALUE!</v>
      </c>
      <c r="AY479" t="e">
        <f>International!A108+"n/&gt;!6Rx"</f>
        <v>#VALUE!</v>
      </c>
      <c r="AZ479" t="e">
        <f>International!B108+"n/&gt;!6Ry"</f>
        <v>#VALUE!</v>
      </c>
      <c r="BA479" t="e">
        <f>International!C108+"n/&gt;!6Rz"</f>
        <v>#VALUE!</v>
      </c>
      <c r="BB479" t="e">
        <f>International!D108+"n/&gt;!6R{"</f>
        <v>#VALUE!</v>
      </c>
      <c r="BC479" t="e">
        <f>International!E108+"n/&gt;!6R|"</f>
        <v>#VALUE!</v>
      </c>
      <c r="BD479" t="e">
        <f>International!F108+"n/&gt;!6R}"</f>
        <v>#VALUE!</v>
      </c>
      <c r="BE479" t="e">
        <f>International!G108+"n/&gt;!6R~"</f>
        <v>#VALUE!</v>
      </c>
      <c r="BF479" t="e">
        <f>International!H108+"n/&gt;!6S#"</f>
        <v>#VALUE!</v>
      </c>
      <c r="BG479" t="e">
        <f>International!A109+"n/&gt;!6S$"</f>
        <v>#VALUE!</v>
      </c>
      <c r="BH479" t="e">
        <f>International!B109+"n/&gt;!6S%"</f>
        <v>#VALUE!</v>
      </c>
      <c r="BI479" t="e">
        <f>International!C109+"n/&gt;!6S&amp;"</f>
        <v>#VALUE!</v>
      </c>
      <c r="BJ479" t="e">
        <f>International!D109+"n/&gt;!6S'"</f>
        <v>#VALUE!</v>
      </c>
      <c r="BK479" t="e">
        <f>International!E109+"n/&gt;!6S("</f>
        <v>#VALUE!</v>
      </c>
      <c r="BL479" t="e">
        <f>International!F109+"n/&gt;!6S)"</f>
        <v>#VALUE!</v>
      </c>
      <c r="BM479" t="e">
        <f>International!G109+"n/&gt;!6S."</f>
        <v>#VALUE!</v>
      </c>
      <c r="BN479" t="e">
        <f>International!H109+"n/&gt;!6S/"</f>
        <v>#VALUE!</v>
      </c>
      <c r="BO479" t="e">
        <f>International!I109+"n/&gt;!6S0"</f>
        <v>#VALUE!</v>
      </c>
      <c r="BP479" t="e">
        <f>International!A110+"n/&gt;!6S1"</f>
        <v>#VALUE!</v>
      </c>
      <c r="BQ479" t="e">
        <f>International!B110+"n/&gt;!6S2"</f>
        <v>#VALUE!</v>
      </c>
      <c r="BR479" t="e">
        <f>International!C110+"n/&gt;!6S3"</f>
        <v>#VALUE!</v>
      </c>
      <c r="BS479" t="e">
        <f>International!D110+"n/&gt;!6S4"</f>
        <v>#VALUE!</v>
      </c>
      <c r="BT479" t="e">
        <f>International!E110+"n/&gt;!6S5"</f>
        <v>#VALUE!</v>
      </c>
      <c r="BU479" t="e">
        <f>International!F110+"n/&gt;!6S6"</f>
        <v>#VALUE!</v>
      </c>
      <c r="BV479" t="e">
        <f>International!G110+"n/&gt;!6S7"</f>
        <v>#VALUE!</v>
      </c>
      <c r="BW479" t="e">
        <f>International!H110+"n/&gt;!6S8"</f>
        <v>#VALUE!</v>
      </c>
      <c r="BX479" t="e">
        <f>International!I110+"n/&gt;!6S9"</f>
        <v>#VALUE!</v>
      </c>
      <c r="BY479" t="e">
        <f>International!A111+"n/&gt;!6S:"</f>
        <v>#VALUE!</v>
      </c>
      <c r="BZ479" t="e">
        <f>International!B111+"n/&gt;!6S;"</f>
        <v>#VALUE!</v>
      </c>
      <c r="CA479" t="e">
        <f>International!C111+"n/&gt;!6S&lt;"</f>
        <v>#VALUE!</v>
      </c>
      <c r="CB479" t="e">
        <f>International!D111+"n/&gt;!6S="</f>
        <v>#VALUE!</v>
      </c>
      <c r="CC479" t="e">
        <f>International!E111+"n/&gt;!6S&gt;"</f>
        <v>#VALUE!</v>
      </c>
      <c r="CD479" t="e">
        <f>International!F111+"n/&gt;!6S?"</f>
        <v>#VALUE!</v>
      </c>
      <c r="CE479" t="e">
        <f>International!G111+"n/&gt;!6S@"</f>
        <v>#VALUE!</v>
      </c>
      <c r="CF479" t="e">
        <f>International!H111+"n/&gt;!6SA"</f>
        <v>#VALUE!</v>
      </c>
      <c r="CG479" t="e">
        <f>International!I111+"n/&gt;!6SB"</f>
        <v>#VALUE!</v>
      </c>
      <c r="CH479" t="e">
        <f>International!A112+"n/&gt;!6SC"</f>
        <v>#VALUE!</v>
      </c>
      <c r="CI479" t="e">
        <f>International!B112+"n/&gt;!6SD"</f>
        <v>#VALUE!</v>
      </c>
      <c r="CJ479" t="e">
        <f>International!C112+"n/&gt;!6SE"</f>
        <v>#VALUE!</v>
      </c>
      <c r="CK479" t="e">
        <f>International!D112+"n/&gt;!6SF"</f>
        <v>#VALUE!</v>
      </c>
      <c r="CL479" t="e">
        <f>International!E112+"n/&gt;!6SG"</f>
        <v>#VALUE!</v>
      </c>
      <c r="CM479" t="e">
        <f>International!F112+"n/&gt;!6SH"</f>
        <v>#VALUE!</v>
      </c>
      <c r="CN479" t="e">
        <f>International!G112+"n/&gt;!6SI"</f>
        <v>#VALUE!</v>
      </c>
      <c r="CO479" t="e">
        <f>International!H112+"n/&gt;!6SJ"</f>
        <v>#VALUE!</v>
      </c>
      <c r="CP479" t="e">
        <f>International!I112+"n/&gt;!6SK"</f>
        <v>#VALUE!</v>
      </c>
      <c r="CQ479" t="e">
        <f>International!A113+"n/&gt;!6SL"</f>
        <v>#VALUE!</v>
      </c>
      <c r="CR479" t="e">
        <f>International!B113+"n/&gt;!6SM"</f>
        <v>#VALUE!</v>
      </c>
      <c r="CS479" t="e">
        <f>International!C113+"n/&gt;!6SN"</f>
        <v>#VALUE!</v>
      </c>
      <c r="CT479" t="e">
        <f>International!D113+"n/&gt;!6SO"</f>
        <v>#VALUE!</v>
      </c>
      <c r="CU479" t="e">
        <f>International!E113+"n/&gt;!6SP"</f>
        <v>#VALUE!</v>
      </c>
      <c r="CV479" t="e">
        <f>International!F113+"n/&gt;!6SQ"</f>
        <v>#VALUE!</v>
      </c>
      <c r="CW479" t="e">
        <f>International!G113+"n/&gt;!6SR"</f>
        <v>#VALUE!</v>
      </c>
      <c r="CX479" t="e">
        <f>International!H113+"n/&gt;!6SS"</f>
        <v>#VALUE!</v>
      </c>
      <c r="CY479" t="e">
        <f>International!I113+"n/&gt;!6ST"</f>
        <v>#VALUE!</v>
      </c>
      <c r="CZ479" t="e">
        <f>International!A114+"n/&gt;!6SU"</f>
        <v>#VALUE!</v>
      </c>
      <c r="DA479" t="e">
        <f>International!B114+"n/&gt;!6SV"</f>
        <v>#VALUE!</v>
      </c>
      <c r="DB479" t="e">
        <f>International!C114+"n/&gt;!6SW"</f>
        <v>#VALUE!</v>
      </c>
      <c r="DC479" t="e">
        <f>International!D114+"n/&gt;!6SX"</f>
        <v>#VALUE!</v>
      </c>
      <c r="DD479" t="e">
        <f>International!E114+"n/&gt;!6SY"</f>
        <v>#VALUE!</v>
      </c>
      <c r="DE479" t="e">
        <f>International!F114+"n/&gt;!6SZ"</f>
        <v>#VALUE!</v>
      </c>
      <c r="DF479" t="e">
        <f>International!G114+"n/&gt;!6S["</f>
        <v>#VALUE!</v>
      </c>
      <c r="DG479" t="e">
        <f>International!H114+"n/&gt;!6S\"</f>
        <v>#VALUE!</v>
      </c>
      <c r="DH479" t="e">
        <f>International!I114+"n/&gt;!6S]"</f>
        <v>#VALUE!</v>
      </c>
      <c r="DI479" t="e">
        <f>International!A115+"n/&gt;!6S^"</f>
        <v>#VALUE!</v>
      </c>
      <c r="DJ479" t="e">
        <f>International!B115+"n/&gt;!6S_"</f>
        <v>#VALUE!</v>
      </c>
      <c r="DK479" t="e">
        <f>International!C115+"n/&gt;!6S`"</f>
        <v>#VALUE!</v>
      </c>
      <c r="DL479" t="e">
        <f>International!D115+"n/&gt;!6Sa"</f>
        <v>#VALUE!</v>
      </c>
      <c r="DM479" t="e">
        <f>International!E115+"n/&gt;!6Sb"</f>
        <v>#VALUE!</v>
      </c>
      <c r="DN479" t="e">
        <f>International!F115+"n/&gt;!6Sc"</f>
        <v>#VALUE!</v>
      </c>
      <c r="DO479" t="e">
        <f>International!G115+"n/&gt;!6Sd"</f>
        <v>#VALUE!</v>
      </c>
      <c r="DP479" t="e">
        <f>International!H115+"n/&gt;!6Se"</f>
        <v>#VALUE!</v>
      </c>
      <c r="DQ479" t="e">
        <f>International!I115+"n/&gt;!6Sf"</f>
        <v>#VALUE!</v>
      </c>
      <c r="DR479" t="e">
        <f>International!A116+"n/&gt;!6Sg"</f>
        <v>#VALUE!</v>
      </c>
      <c r="DS479" t="e">
        <f>International!B116+"n/&gt;!6Sh"</f>
        <v>#VALUE!</v>
      </c>
      <c r="DT479" t="e">
        <f>International!C116+"n/&gt;!6Si"</f>
        <v>#VALUE!</v>
      </c>
      <c r="DU479" t="e">
        <f>International!D116+"n/&gt;!6Sj"</f>
        <v>#VALUE!</v>
      </c>
      <c r="DV479" t="e">
        <f>International!E116+"n/&gt;!6Sk"</f>
        <v>#VALUE!</v>
      </c>
      <c r="DW479" t="e">
        <f>International!F116+"n/&gt;!6Sl"</f>
        <v>#VALUE!</v>
      </c>
      <c r="DX479" t="e">
        <f>International!G116+"n/&gt;!6Sm"</f>
        <v>#VALUE!</v>
      </c>
      <c r="DY479" t="e">
        <f>International!H116+"n/&gt;!6Sn"</f>
        <v>#VALUE!</v>
      </c>
      <c r="DZ479" t="e">
        <f>International!I116+"n/&gt;!6So"</f>
        <v>#VALUE!</v>
      </c>
      <c r="EA479" t="e">
        <f>International!A117+"n/&gt;!6Sp"</f>
        <v>#VALUE!</v>
      </c>
      <c r="EB479" t="e">
        <f>International!B117+"n/&gt;!6Sq"</f>
        <v>#VALUE!</v>
      </c>
      <c r="EC479" t="e">
        <f>International!C117+"n/&gt;!6Sr"</f>
        <v>#VALUE!</v>
      </c>
      <c r="ED479" t="e">
        <f>International!D117+"n/&gt;!6Ss"</f>
        <v>#VALUE!</v>
      </c>
      <c r="EE479" t="e">
        <f>International!E117+"n/&gt;!6St"</f>
        <v>#VALUE!</v>
      </c>
      <c r="EF479" t="e">
        <f>International!F117+"n/&gt;!6Su"</f>
        <v>#VALUE!</v>
      </c>
      <c r="EG479" t="e">
        <f>International!G117+"n/&gt;!6Sv"</f>
        <v>#VALUE!</v>
      </c>
      <c r="EH479" t="e">
        <f>International!H117+"n/&gt;!6Sw"</f>
        <v>#VALUE!</v>
      </c>
      <c r="EI479" t="e">
        <f>International!I117+"n/&gt;!6Sx"</f>
        <v>#VALUE!</v>
      </c>
      <c r="EJ479" t="e">
        <f>International!A118+"n/&gt;!6Sy"</f>
        <v>#VALUE!</v>
      </c>
      <c r="EK479" t="e">
        <f>International!B118+"n/&gt;!6Sz"</f>
        <v>#VALUE!</v>
      </c>
      <c r="EL479" t="e">
        <f>International!C118+"n/&gt;!6S{"</f>
        <v>#VALUE!</v>
      </c>
      <c r="EM479" t="e">
        <f>International!D118+"n/&gt;!6S|"</f>
        <v>#VALUE!</v>
      </c>
      <c r="EN479" t="e">
        <f>International!E118+"n/&gt;!6S}"</f>
        <v>#VALUE!</v>
      </c>
      <c r="EO479" t="e">
        <f>International!F118+"n/&gt;!6S~"</f>
        <v>#VALUE!</v>
      </c>
      <c r="EP479" t="e">
        <f>International!G118+"n/&gt;!6T#"</f>
        <v>#VALUE!</v>
      </c>
      <c r="EQ479" t="e">
        <f>International!H118+"n/&gt;!6T$"</f>
        <v>#VALUE!</v>
      </c>
      <c r="ER479" t="e">
        <f>International!I118+"n/&gt;!6T%"</f>
        <v>#VALUE!</v>
      </c>
      <c r="ES479" t="e">
        <f>International!A119+"n/&gt;!6T&amp;"</f>
        <v>#VALUE!</v>
      </c>
      <c r="ET479" t="e">
        <f>International!B119+"n/&gt;!6T'"</f>
        <v>#VALUE!</v>
      </c>
      <c r="EU479" t="e">
        <f>International!C119+"n/&gt;!6T("</f>
        <v>#VALUE!</v>
      </c>
      <c r="EV479" t="e">
        <f>International!D119+"n/&gt;!6T)"</f>
        <v>#VALUE!</v>
      </c>
      <c r="EW479" t="e">
        <f>International!E119+"n/&gt;!6T."</f>
        <v>#VALUE!</v>
      </c>
      <c r="EX479" t="e">
        <f>International!F119+"n/&gt;!6T/"</f>
        <v>#VALUE!</v>
      </c>
      <c r="EY479" t="e">
        <f>International!G119+"n/&gt;!6T0"</f>
        <v>#VALUE!</v>
      </c>
      <c r="EZ479" t="e">
        <f>International!H119+"n/&gt;!6T1"</f>
        <v>#VALUE!</v>
      </c>
      <c r="FA479" t="e">
        <f>International!I119+"n/&gt;!6T2"</f>
        <v>#VALUE!</v>
      </c>
      <c r="FB479" t="e">
        <f>International!A120+"n/&gt;!6T3"</f>
        <v>#VALUE!</v>
      </c>
      <c r="FC479" t="e">
        <f>International!B120+"n/&gt;!6T4"</f>
        <v>#VALUE!</v>
      </c>
      <c r="FD479" t="e">
        <f>International!C120+"n/&gt;!6T5"</f>
        <v>#VALUE!</v>
      </c>
      <c r="FE479" t="e">
        <f>International!D120+"n/&gt;!6T6"</f>
        <v>#VALUE!</v>
      </c>
      <c r="FF479" t="e">
        <f>International!E120+"n/&gt;!6T7"</f>
        <v>#VALUE!</v>
      </c>
      <c r="FG479" t="e">
        <f>International!F120+"n/&gt;!6T8"</f>
        <v>#VALUE!</v>
      </c>
      <c r="FH479" t="e">
        <f>International!G120+"n/&gt;!6T9"</f>
        <v>#VALUE!</v>
      </c>
      <c r="FI479" t="e">
        <f>International!H120+"n/&gt;!6T:"</f>
        <v>#VALUE!</v>
      </c>
      <c r="FJ479" t="e">
        <f>International!I120+"n/&gt;!6T;"</f>
        <v>#VALUE!</v>
      </c>
      <c r="FK479" t="e">
        <f>International!A121+"n/&gt;!6T&lt;"</f>
        <v>#VALUE!</v>
      </c>
      <c r="FL479" t="e">
        <f>International!B121+"n/&gt;!6T="</f>
        <v>#VALUE!</v>
      </c>
      <c r="FM479" t="e">
        <f>International!C121+"n/&gt;!6T&gt;"</f>
        <v>#VALUE!</v>
      </c>
      <c r="FN479" t="e">
        <f>International!D121+"n/&gt;!6T?"</f>
        <v>#VALUE!</v>
      </c>
      <c r="FO479" t="e">
        <f>International!E121+"n/&gt;!6T@"</f>
        <v>#VALUE!</v>
      </c>
      <c r="FP479" t="e">
        <f>International!F121+"n/&gt;!6TA"</f>
        <v>#VALUE!</v>
      </c>
      <c r="FQ479" t="e">
        <f>International!G121+"n/&gt;!6TB"</f>
        <v>#VALUE!</v>
      </c>
      <c r="FR479" t="e">
        <f>International!H121+"n/&gt;!6TC"</f>
        <v>#VALUE!</v>
      </c>
      <c r="FS479" t="e">
        <f>International!I121+"n/&gt;!6TD"</f>
        <v>#VALUE!</v>
      </c>
      <c r="FT479" t="e">
        <f>International!A122+"n/&gt;!6TE"</f>
        <v>#VALUE!</v>
      </c>
      <c r="FU479" t="e">
        <f>International!B122+"n/&gt;!6TF"</f>
        <v>#VALUE!</v>
      </c>
      <c r="FV479" t="e">
        <f>International!C122+"n/&gt;!6TG"</f>
        <v>#VALUE!</v>
      </c>
      <c r="FW479" t="e">
        <f>International!D122+"n/&gt;!6TH"</f>
        <v>#VALUE!</v>
      </c>
      <c r="FX479" t="e">
        <f>International!E122+"n/&gt;!6TI"</f>
        <v>#VALUE!</v>
      </c>
      <c r="FY479" t="e">
        <f>International!F122+"n/&gt;!6TJ"</f>
        <v>#VALUE!</v>
      </c>
      <c r="FZ479" t="e">
        <f>International!G122+"n/&gt;!6TK"</f>
        <v>#VALUE!</v>
      </c>
      <c r="GA479" t="e">
        <f>International!H122+"n/&gt;!6TL"</f>
        <v>#VALUE!</v>
      </c>
      <c r="GB479" t="e">
        <f>International!I122+"n/&gt;!6TM"</f>
        <v>#VALUE!</v>
      </c>
      <c r="GC479" t="e">
        <f>International!A123+"n/&gt;!6TN"</f>
        <v>#VALUE!</v>
      </c>
      <c r="GD479" t="e">
        <f>International!B123+"n/&gt;!6TO"</f>
        <v>#VALUE!</v>
      </c>
      <c r="GE479" t="e">
        <f>International!C123+"n/&gt;!6TP"</f>
        <v>#VALUE!</v>
      </c>
      <c r="GF479" t="e">
        <f>International!D123+"n/&gt;!6TQ"</f>
        <v>#VALUE!</v>
      </c>
      <c r="GG479" t="e">
        <f>International!E123+"n/&gt;!6TR"</f>
        <v>#VALUE!</v>
      </c>
      <c r="GH479" t="e">
        <f>International!F123+"n/&gt;!6TS"</f>
        <v>#VALUE!</v>
      </c>
      <c r="GI479" t="e">
        <f>International!G123+"n/&gt;!6TT"</f>
        <v>#VALUE!</v>
      </c>
      <c r="GJ479" t="e">
        <f>International!H123+"n/&gt;!6TU"</f>
        <v>#VALUE!</v>
      </c>
      <c r="GK479" t="e">
        <f>International!I123+"n/&gt;!6TV"</f>
        <v>#VALUE!</v>
      </c>
      <c r="GL479" t="e">
        <f>International!A124+"n/&gt;!6TW"</f>
        <v>#VALUE!</v>
      </c>
      <c r="GM479" t="e">
        <f>International!B124+"n/&gt;!6TX"</f>
        <v>#VALUE!</v>
      </c>
      <c r="GN479" t="e">
        <f>International!C124+"n/&gt;!6TY"</f>
        <v>#VALUE!</v>
      </c>
      <c r="GO479" t="e">
        <f>International!D124+"n/&gt;!6TZ"</f>
        <v>#VALUE!</v>
      </c>
      <c r="GP479" t="e">
        <f>International!E124+"n/&gt;!6T["</f>
        <v>#VALUE!</v>
      </c>
      <c r="GQ479" t="e">
        <f>International!F124+"n/&gt;!6T\"</f>
        <v>#VALUE!</v>
      </c>
      <c r="GR479" t="e">
        <f>International!G124+"n/&gt;!6T]"</f>
        <v>#VALUE!</v>
      </c>
      <c r="GS479" t="e">
        <f>International!H124+"n/&gt;!6T^"</f>
        <v>#VALUE!</v>
      </c>
      <c r="GT479" t="e">
        <f>International!I124+"n/&gt;!6T_"</f>
        <v>#VALUE!</v>
      </c>
      <c r="GU479" t="e">
        <f>International!A125+"n/&gt;!6T`"</f>
        <v>#VALUE!</v>
      </c>
      <c r="GV479" t="e">
        <f>International!B125+"n/&gt;!6Ta"</f>
        <v>#VALUE!</v>
      </c>
      <c r="GW479" t="e">
        <f>International!C125+"n/&gt;!6Tb"</f>
        <v>#VALUE!</v>
      </c>
      <c r="GX479" t="e">
        <f>International!D125+"n/&gt;!6Tc"</f>
        <v>#VALUE!</v>
      </c>
      <c r="GY479" t="e">
        <f>International!E125+"n/&gt;!6Td"</f>
        <v>#VALUE!</v>
      </c>
      <c r="GZ479" t="e">
        <f>International!F125+"n/&gt;!6Te"</f>
        <v>#VALUE!</v>
      </c>
      <c r="HA479" t="e">
        <f>International!G125+"n/&gt;!6Tf"</f>
        <v>#VALUE!</v>
      </c>
      <c r="HB479" t="e">
        <f>International!H125+"n/&gt;!6Tg"</f>
        <v>#VALUE!</v>
      </c>
      <c r="HC479" t="e">
        <f>International!I125+"n/&gt;!6Th"</f>
        <v>#VALUE!</v>
      </c>
      <c r="HD479" t="e">
        <f>International!A126+"n/&gt;!6Ti"</f>
        <v>#VALUE!</v>
      </c>
      <c r="HE479" t="e">
        <f>International!B126+"n/&gt;!6Tj"</f>
        <v>#VALUE!</v>
      </c>
      <c r="HF479" t="e">
        <f>International!C126+"n/&gt;!6Tk"</f>
        <v>#VALUE!</v>
      </c>
      <c r="HG479" t="e">
        <f>International!D126+"n/&gt;!6Tl"</f>
        <v>#VALUE!</v>
      </c>
      <c r="HH479" t="e">
        <f>International!E126+"n/&gt;!6Tm"</f>
        <v>#VALUE!</v>
      </c>
      <c r="HI479" t="e">
        <f>International!F126+"n/&gt;!6Tn"</f>
        <v>#VALUE!</v>
      </c>
      <c r="HJ479" t="e">
        <f>International!G126+"n/&gt;!6To"</f>
        <v>#VALUE!</v>
      </c>
      <c r="HK479" t="e">
        <f>International!H126+"n/&gt;!6Tp"</f>
        <v>#VALUE!</v>
      </c>
      <c r="HL479" t="e">
        <f>International!I126+"n/&gt;!6Tq"</f>
        <v>#VALUE!</v>
      </c>
      <c r="HM479" t="e">
        <f>International!A127+"n/&gt;!6Tr"</f>
        <v>#VALUE!</v>
      </c>
      <c r="HN479" t="e">
        <f>International!B127+"n/&gt;!6Ts"</f>
        <v>#VALUE!</v>
      </c>
      <c r="HO479" t="e">
        <f>International!C127+"n/&gt;!6Tt"</f>
        <v>#VALUE!</v>
      </c>
      <c r="HP479" t="e">
        <f>International!D127+"n/&gt;!6Tu"</f>
        <v>#VALUE!</v>
      </c>
      <c r="HQ479" t="e">
        <f>International!E127+"n/&gt;!6Tv"</f>
        <v>#VALUE!</v>
      </c>
      <c r="HR479" t="e">
        <f>International!F127+"n/&gt;!6Tw"</f>
        <v>#VALUE!</v>
      </c>
      <c r="HS479" t="e">
        <f>International!G127+"n/&gt;!6Tx"</f>
        <v>#VALUE!</v>
      </c>
      <c r="HT479" t="e">
        <f>International!H127+"n/&gt;!6Ty"</f>
        <v>#VALUE!</v>
      </c>
      <c r="HU479" t="e">
        <f>International!I127+"n/&gt;!6Tz"</f>
        <v>#VALUE!</v>
      </c>
      <c r="HV479" t="e">
        <f>International!A128+"n/&gt;!6T{"</f>
        <v>#VALUE!</v>
      </c>
      <c r="HW479" t="e">
        <f>International!B128+"n/&gt;!6T|"</f>
        <v>#VALUE!</v>
      </c>
      <c r="HX479" t="e">
        <f>International!C128+"n/&gt;!6T}"</f>
        <v>#VALUE!</v>
      </c>
      <c r="HY479" t="e">
        <f>International!D128+"n/&gt;!6T~"</f>
        <v>#VALUE!</v>
      </c>
      <c r="HZ479" t="e">
        <f>International!E128+"n/&gt;!6U#"</f>
        <v>#VALUE!</v>
      </c>
      <c r="IA479" t="e">
        <f>International!F128+"n/&gt;!6U$"</f>
        <v>#VALUE!</v>
      </c>
      <c r="IB479" t="e">
        <f>International!G128+"n/&gt;!6U%"</f>
        <v>#VALUE!</v>
      </c>
      <c r="IC479" t="e">
        <f>International!H128+"n/&gt;!6U&amp;"</f>
        <v>#VALUE!</v>
      </c>
      <c r="ID479" t="e">
        <f>International!I128+"n/&gt;!6U'"</f>
        <v>#VALUE!</v>
      </c>
      <c r="IE479" t="e">
        <f>International!A129+"n/&gt;!6U("</f>
        <v>#VALUE!</v>
      </c>
      <c r="IF479" t="e">
        <f>International!B129+"n/&gt;!6U)"</f>
        <v>#VALUE!</v>
      </c>
      <c r="IG479" t="e">
        <f>International!C129+"n/&gt;!6U."</f>
        <v>#VALUE!</v>
      </c>
      <c r="IH479" t="e">
        <f>International!D129+"n/&gt;!6U/"</f>
        <v>#VALUE!</v>
      </c>
      <c r="II479" t="e">
        <f>International!E129+"n/&gt;!6U0"</f>
        <v>#VALUE!</v>
      </c>
      <c r="IJ479" t="e">
        <f>International!F129+"n/&gt;!6U1"</f>
        <v>#VALUE!</v>
      </c>
      <c r="IK479" t="e">
        <f>International!G129+"n/&gt;!6U2"</f>
        <v>#VALUE!</v>
      </c>
      <c r="IL479" t="e">
        <f>International!H129+"n/&gt;!6U3"</f>
        <v>#VALUE!</v>
      </c>
      <c r="IM479" t="e">
        <f>International!I129+"n/&gt;!6U4"</f>
        <v>#VALUE!</v>
      </c>
      <c r="IN479" t="e">
        <f>International!A130+"n/&gt;!6U5"</f>
        <v>#VALUE!</v>
      </c>
      <c r="IO479" t="e">
        <f>International!B130+"n/&gt;!6U6"</f>
        <v>#VALUE!</v>
      </c>
      <c r="IP479" t="e">
        <f>International!C130+"n/&gt;!6U7"</f>
        <v>#VALUE!</v>
      </c>
      <c r="IQ479" t="e">
        <f>International!D130+"n/&gt;!6U8"</f>
        <v>#VALUE!</v>
      </c>
      <c r="IR479" t="e">
        <f>International!E130+"n/&gt;!6U9"</f>
        <v>#VALUE!</v>
      </c>
      <c r="IS479" t="e">
        <f>International!F130+"n/&gt;!6U:"</f>
        <v>#VALUE!</v>
      </c>
      <c r="IT479" t="e">
        <f>International!G130+"n/&gt;!6U;"</f>
        <v>#VALUE!</v>
      </c>
      <c r="IU479" t="e">
        <f>International!H130+"n/&gt;!6U&lt;"</f>
        <v>#VALUE!</v>
      </c>
      <c r="IV479" t="e">
        <f>International!I130+"n/&gt;!6U="</f>
        <v>#VALUE!</v>
      </c>
    </row>
    <row r="480" spans="6:256" x14ac:dyDescent="0.35">
      <c r="F480" t="e">
        <f>International!A131+"n/&gt;!6U&gt;"</f>
        <v>#VALUE!</v>
      </c>
      <c r="G480" t="e">
        <f>International!B131+"n/&gt;!6U?"</f>
        <v>#VALUE!</v>
      </c>
      <c r="H480" t="e">
        <f>International!C131+"n/&gt;!6U@"</f>
        <v>#VALUE!</v>
      </c>
      <c r="I480" t="e">
        <f>International!D131+"n/&gt;!6UA"</f>
        <v>#VALUE!</v>
      </c>
      <c r="J480" t="e">
        <f>International!E131+"n/&gt;!6UB"</f>
        <v>#VALUE!</v>
      </c>
      <c r="K480" t="e">
        <f>International!F131+"n/&gt;!6UC"</f>
        <v>#VALUE!</v>
      </c>
      <c r="L480" t="e">
        <f>International!G131+"n/&gt;!6UD"</f>
        <v>#VALUE!</v>
      </c>
      <c r="M480" t="e">
        <f>International!H131+"n/&gt;!6UE"</f>
        <v>#VALUE!</v>
      </c>
      <c r="N480" t="e">
        <f>International!I131+"n/&gt;!6UF"</f>
        <v>#VALUE!</v>
      </c>
      <c r="O480" t="e">
        <f>International!A132+"n/&gt;!6UG"</f>
        <v>#VALUE!</v>
      </c>
      <c r="P480" t="e">
        <f>International!B132+"n/&gt;!6UH"</f>
        <v>#VALUE!</v>
      </c>
      <c r="Q480" t="e">
        <f>International!C132+"n/&gt;!6UI"</f>
        <v>#VALUE!</v>
      </c>
      <c r="R480" t="e">
        <f>International!D132+"n/&gt;!6UJ"</f>
        <v>#VALUE!</v>
      </c>
      <c r="S480" t="e">
        <f>International!E132+"n/&gt;!6UK"</f>
        <v>#VALUE!</v>
      </c>
      <c r="T480" t="e">
        <f>International!F132+"n/&gt;!6UL"</f>
        <v>#VALUE!</v>
      </c>
      <c r="U480" t="e">
        <f>International!G132+"n/&gt;!6UM"</f>
        <v>#VALUE!</v>
      </c>
      <c r="V480" t="e">
        <f>International!H132+"n/&gt;!6UN"</f>
        <v>#VALUE!</v>
      </c>
      <c r="W480" t="e">
        <f>International!I132+"n/&gt;!6UO"</f>
        <v>#VALUE!</v>
      </c>
      <c r="X480" t="e">
        <f>International!A133+"n/&gt;!6UP"</f>
        <v>#VALUE!</v>
      </c>
      <c r="Y480" t="e">
        <f>International!B133+"n/&gt;!6UQ"</f>
        <v>#VALUE!</v>
      </c>
      <c r="Z480" t="e">
        <f>International!C133+"n/&gt;!6UR"</f>
        <v>#VALUE!</v>
      </c>
      <c r="AA480" t="e">
        <f>International!D133+"n/&gt;!6US"</f>
        <v>#VALUE!</v>
      </c>
      <c r="AB480" t="e">
        <f>International!E133+"n/&gt;!6UT"</f>
        <v>#VALUE!</v>
      </c>
      <c r="AC480" t="e">
        <f>International!F133+"n/&gt;!6UU"</f>
        <v>#VALUE!</v>
      </c>
      <c r="AD480" t="e">
        <f>International!G133+"n/&gt;!6UV"</f>
        <v>#VALUE!</v>
      </c>
      <c r="AE480" t="e">
        <f>International!H133+"n/&gt;!6UW"</f>
        <v>#VALUE!</v>
      </c>
      <c r="AF480" t="e">
        <f>International!I133+"n/&gt;!6UX"</f>
        <v>#VALUE!</v>
      </c>
      <c r="AG480" t="e">
        <f>International!A134+"n/&gt;!6UY"</f>
        <v>#VALUE!</v>
      </c>
      <c r="AH480" t="e">
        <f>International!B134+"n/&gt;!6UZ"</f>
        <v>#VALUE!</v>
      </c>
      <c r="AI480" t="e">
        <f>International!C134+"n/&gt;!6U["</f>
        <v>#VALUE!</v>
      </c>
      <c r="AJ480" t="e">
        <f>International!D134+"n/&gt;!6U\"</f>
        <v>#VALUE!</v>
      </c>
      <c r="AK480" t="e">
        <f>International!E134+"n/&gt;!6U]"</f>
        <v>#VALUE!</v>
      </c>
      <c r="AL480" t="e">
        <f>International!F134+"n/&gt;!6U^"</f>
        <v>#VALUE!</v>
      </c>
      <c r="AM480" t="e">
        <f>International!G134+"n/&gt;!6U_"</f>
        <v>#VALUE!</v>
      </c>
      <c r="AN480" t="e">
        <f>International!H134+"n/&gt;!6U`"</f>
        <v>#VALUE!</v>
      </c>
      <c r="AO480" t="e">
        <f>International!I134+"n/&gt;!6Ua"</f>
        <v>#VALUE!</v>
      </c>
      <c r="AP480" t="e">
        <f>International!A135+"n/&gt;!6Ub"</f>
        <v>#VALUE!</v>
      </c>
      <c r="AQ480" t="e">
        <f>International!B135+"n/&gt;!6Uc"</f>
        <v>#VALUE!</v>
      </c>
      <c r="AR480" t="e">
        <f>International!C135+"n/&gt;!6Ud"</f>
        <v>#VALUE!</v>
      </c>
      <c r="AS480" t="e">
        <f>International!D135+"n/&gt;!6Ue"</f>
        <v>#VALUE!</v>
      </c>
      <c r="AT480" t="e">
        <f>International!E135+"n/&gt;!6Uf"</f>
        <v>#VALUE!</v>
      </c>
      <c r="AU480" t="e">
        <f>International!F135+"n/&gt;!6Ug"</f>
        <v>#VALUE!</v>
      </c>
      <c r="AV480" t="e">
        <f>International!G135+"n/&gt;!6Uh"</f>
        <v>#VALUE!</v>
      </c>
      <c r="AW480" t="e">
        <f>International!H135+"n/&gt;!6Ui"</f>
        <v>#VALUE!</v>
      </c>
      <c r="AX480" t="e">
        <f>International!I135+"n/&gt;!6Uj"</f>
        <v>#VALUE!</v>
      </c>
      <c r="AY480" t="e">
        <f>International!A136+"n/&gt;!6Uk"</f>
        <v>#VALUE!</v>
      </c>
      <c r="AZ480" t="e">
        <f>International!B136+"n/&gt;!6Ul"</f>
        <v>#VALUE!</v>
      </c>
      <c r="BA480" t="e">
        <f>International!C136+"n/&gt;!6Um"</f>
        <v>#VALUE!</v>
      </c>
      <c r="BB480" t="e">
        <f>International!D136+"n/&gt;!6Un"</f>
        <v>#VALUE!</v>
      </c>
      <c r="BC480" t="e">
        <f>International!E136+"n/&gt;!6Uo"</f>
        <v>#VALUE!</v>
      </c>
      <c r="BD480" t="e">
        <f>International!F136+"n/&gt;!6Up"</f>
        <v>#VALUE!</v>
      </c>
      <c r="BE480" t="e">
        <f>International!G136+"n/&gt;!6Uq"</f>
        <v>#VALUE!</v>
      </c>
      <c r="BF480" t="e">
        <f>International!H136+"n/&gt;!6Ur"</f>
        <v>#VALUE!</v>
      </c>
      <c r="BG480" t="e">
        <f>International!I136+"n/&gt;!6Us"</f>
        <v>#VALUE!</v>
      </c>
      <c r="BH480" t="e">
        <f>International!A137+"n/&gt;!6Ut"</f>
        <v>#VALUE!</v>
      </c>
      <c r="BI480" t="e">
        <f>International!B137+"n/&gt;!6Uu"</f>
        <v>#VALUE!</v>
      </c>
      <c r="BJ480" t="e">
        <f>International!C137+"n/&gt;!6Uv"</f>
        <v>#VALUE!</v>
      </c>
      <c r="BK480" t="e">
        <f>International!D137+"n/&gt;!6Uw"</f>
        <v>#VALUE!</v>
      </c>
      <c r="BL480" t="e">
        <f>International!E137+"n/&gt;!6Ux"</f>
        <v>#VALUE!</v>
      </c>
      <c r="BM480" t="e">
        <f>International!F137+"n/&gt;!6Uy"</f>
        <v>#VALUE!</v>
      </c>
      <c r="BN480" t="e">
        <f>International!G137+"n/&gt;!6Uz"</f>
        <v>#VALUE!</v>
      </c>
      <c r="BO480" t="e">
        <f>International!H137+"n/&gt;!6U{"</f>
        <v>#VALUE!</v>
      </c>
      <c r="BP480" t="e">
        <f>International!I137+"n/&gt;!6U|"</f>
        <v>#VALUE!</v>
      </c>
      <c r="BQ480" t="e">
        <f>International!A138+"n/&gt;!6U}"</f>
        <v>#VALUE!</v>
      </c>
      <c r="BR480" t="e">
        <f>International!B138+"n/&gt;!6U~"</f>
        <v>#VALUE!</v>
      </c>
      <c r="BS480" t="e">
        <f>International!C138+"n/&gt;!6V#"</f>
        <v>#VALUE!</v>
      </c>
      <c r="BT480" t="e">
        <f>International!D138+"n/&gt;!6V$"</f>
        <v>#VALUE!</v>
      </c>
      <c r="BU480" t="e">
        <f>International!E138+"n/&gt;!6V%"</f>
        <v>#VALUE!</v>
      </c>
      <c r="BV480" t="e">
        <f>International!F138+"n/&gt;!6V&amp;"</f>
        <v>#VALUE!</v>
      </c>
      <c r="BW480" t="e">
        <f>International!G138+"n/&gt;!6V'"</f>
        <v>#VALUE!</v>
      </c>
      <c r="BX480" t="e">
        <f>International!H138+"n/&gt;!6V("</f>
        <v>#VALUE!</v>
      </c>
      <c r="BY480" t="e">
        <f>International!I138+"n/&gt;!6V)"</f>
        <v>#VALUE!</v>
      </c>
      <c r="BZ480" t="e">
        <f>International!A:A*"n/&gt;!6V."</f>
        <v>#VALUE!</v>
      </c>
      <c r="CA480" t="e">
        <f>International!B:B*"n/&gt;!6V/"</f>
        <v>#VALUE!</v>
      </c>
      <c r="CB480" t="e">
        <f>International!C:C*"n/&gt;!6V0"</f>
        <v>#VALUE!</v>
      </c>
      <c r="CC480" t="e">
        <f>International!D:D*"n/&gt;!6V1"</f>
        <v>#VALUE!</v>
      </c>
      <c r="CD480" t="e">
        <f>International!E:E*"n/&gt;!6V2"</f>
        <v>#VALUE!</v>
      </c>
      <c r="CE480" t="e">
        <f>International!F:F*"n/&gt;!6V3"</f>
        <v>#VALUE!</v>
      </c>
      <c r="CF480" t="e">
        <f>International!G:G*"n/&gt;!6V4"</f>
        <v>#VALUE!</v>
      </c>
      <c r="CG480" t="e">
        <f>International!H:H*"n/&gt;!6V5"</f>
        <v>#VALUE!</v>
      </c>
      <c r="CH480" t="e">
        <f>International!I:I*"n/&gt;!6V6"</f>
        <v>#VALUE!</v>
      </c>
      <c r="CI480" t="e">
        <f>International!J:J*"n/&gt;!6V7"</f>
        <v>#VALUE!</v>
      </c>
      <c r="CJ480" t="e">
        <f>International!K:K*"n/&gt;!6V8"</f>
        <v>#VALUE!</v>
      </c>
      <c r="CK480" t="e">
        <f>International!L:L*"n/&gt;!6V9"</f>
        <v>#VALUE!</v>
      </c>
      <c r="CL480" t="e">
        <f>International!M:M*"n/&gt;!6V:"</f>
        <v>#VALUE!</v>
      </c>
      <c r="CM480" t="e">
        <f>International!N:N*"n/&gt;!6V;"</f>
        <v>#VALUE!</v>
      </c>
      <c r="CN480" t="e">
        <f>International!O:O*"n/&gt;!6V&lt;"</f>
        <v>#VALUE!</v>
      </c>
      <c r="CO480" t="e">
        <f>International!P:P*"n/&gt;!6V="</f>
        <v>#VALUE!</v>
      </c>
      <c r="CP480" t="e">
        <f>International!Q:Q*"n/&gt;!6V&gt;"</f>
        <v>#VALUE!</v>
      </c>
      <c r="CQ480" t="e">
        <f>International!R:R*"n/&gt;!6V?"</f>
        <v>#VALUE!</v>
      </c>
      <c r="CR480" t="e">
        <f>International!S:S*"n/&gt;!6V@"</f>
        <v>#VALUE!</v>
      </c>
      <c r="CS480" t="e">
        <f>International!T:T*"n/&gt;!6VA"</f>
        <v>#VALUE!</v>
      </c>
      <c r="CT480" t="e">
        <f>International!U:U*"n/&gt;!6VB"</f>
        <v>#VALUE!</v>
      </c>
      <c r="CU480" t="e">
        <f>International!V:V*"n/&gt;!6VC"</f>
        <v>#VALUE!</v>
      </c>
      <c r="CV480" t="e">
        <f>International!W:W*"n/&gt;!6VD"</f>
        <v>#VALUE!</v>
      </c>
      <c r="CW480" t="e">
        <f>International!X:X*"n/&gt;!6VE"</f>
        <v>#VALUE!</v>
      </c>
      <c r="CX480" t="e">
        <f>International!Y:Y*"n/&gt;!6VF"</f>
        <v>#VALUE!</v>
      </c>
      <c r="CY480" t="e">
        <f>International!Z:Z*"n/&gt;!6VG"</f>
        <v>#VALUE!</v>
      </c>
      <c r="CZ480" t="e">
        <f>International!AA:AA*"n/&gt;!6VH"</f>
        <v>#VALUE!</v>
      </c>
      <c r="DA480" t="e">
        <f>International!AB:AB*"n/&gt;!6VI"</f>
        <v>#VALUE!</v>
      </c>
      <c r="DB480" t="e">
        <f>International!AC:AC*"n/&gt;!6VJ"</f>
        <v>#VALUE!</v>
      </c>
      <c r="DC480" t="e">
        <f>International!AD:AD*"n/&gt;!6VK"</f>
        <v>#VALUE!</v>
      </c>
      <c r="DD480" t="e">
        <f>International!AE:AE*"n/&gt;!6VL"</f>
        <v>#VALUE!</v>
      </c>
      <c r="DE480" t="e">
        <f>International!AF:AF*"n/&gt;!6VM"</f>
        <v>#VALUE!</v>
      </c>
      <c r="DF480" t="e">
        <f>International!AG:AG*"n/&gt;!6VN"</f>
        <v>#VALUE!</v>
      </c>
      <c r="DG480" t="e">
        <f>International!AH:AH*"n/&gt;!6VO"</f>
        <v>#VALUE!</v>
      </c>
      <c r="DH480" t="e">
        <f>International!AI:AI*"n/&gt;!6VP"</f>
        <v>#VALUE!</v>
      </c>
      <c r="DI480" t="e">
        <f>International!AJ:AJ*"n/&gt;!6VQ"</f>
        <v>#VALUE!</v>
      </c>
      <c r="DJ480" t="e">
        <f>International!AK:AK*"n/&gt;!6VR"</f>
        <v>#VALUE!</v>
      </c>
      <c r="DK480" t="e">
        <f>International!AL:AL*"n/&gt;!6VS"</f>
        <v>#VALUE!</v>
      </c>
      <c r="DL480" t="e">
        <f>International!AM:AM*"n/&gt;!6VT"</f>
        <v>#VALUE!</v>
      </c>
      <c r="DM480" t="e">
        <f>International!AN:AN*"n/&gt;!6VU"</f>
        <v>#VALUE!</v>
      </c>
      <c r="DN480" t="e">
        <f>International!AO:AO*"n/&gt;!6VV"</f>
        <v>#VALUE!</v>
      </c>
      <c r="DO480" t="e">
        <f>International!AP:AP*"n/&gt;!6VW"</f>
        <v>#VALUE!</v>
      </c>
      <c r="DP480" t="e">
        <f>International!AQ:AQ*"n/&gt;!6VX"</f>
        <v>#VALUE!</v>
      </c>
      <c r="DQ480" t="e">
        <f>International!AR:AR*"n/&gt;!6VY"</f>
        <v>#VALUE!</v>
      </c>
      <c r="DR480" t="e">
        <f>International!AS:AS*"n/&gt;!6VZ"</f>
        <v>#VALUE!</v>
      </c>
      <c r="DS480" t="e">
        <f>International!AT:AT*"n/&gt;!6V["</f>
        <v>#VALUE!</v>
      </c>
      <c r="DT480" t="e">
        <f>International!AU:AU*"n/&gt;!6V\"</f>
        <v>#VALUE!</v>
      </c>
      <c r="DU480" t="e">
        <f>International!AV:AV*"n/&gt;!6V]"</f>
        <v>#VALUE!</v>
      </c>
      <c r="DV480" t="e">
        <f>International!AW:AW*"n/&gt;!6V^"</f>
        <v>#VALUE!</v>
      </c>
      <c r="DW480" t="e">
        <f>International!AX:AX*"n/&gt;!6V_"</f>
        <v>#VALUE!</v>
      </c>
      <c r="DX480" t="e">
        <f>International!AY:AY*"n/&gt;!6V`"</f>
        <v>#VALUE!</v>
      </c>
      <c r="DY480" t="e">
        <f>International!AZ:AZ*"n/&gt;!6Va"</f>
        <v>#VALUE!</v>
      </c>
      <c r="DZ480" t="e">
        <f>International!BA:BA*"n/&gt;!6Vb"</f>
        <v>#VALUE!</v>
      </c>
      <c r="EA480" t="e">
        <f>International!BB:BB*"n/&gt;!6Vc"</f>
        <v>#VALUE!</v>
      </c>
      <c r="EB480" t="e">
        <f>International!BC:BC*"n/&gt;!6Vd"</f>
        <v>#VALUE!</v>
      </c>
      <c r="EC480" t="e">
        <f>International!BD:BD*"n/&gt;!6Ve"</f>
        <v>#VALUE!</v>
      </c>
      <c r="ED480" t="e">
        <f>International!BE:BE*"n/&gt;!6Vf"</f>
        <v>#VALUE!</v>
      </c>
      <c r="EE480" t="e">
        <f>International!BF:BF*"n/&gt;!6Vg"</f>
        <v>#VALUE!</v>
      </c>
      <c r="EF480" t="e">
        <f>International!BG:BG*"n/&gt;!6Vh"</f>
        <v>#VALUE!</v>
      </c>
      <c r="EG480" t="e">
        <f>International!1:1-"n/&gt;!6Vi"</f>
        <v>#VALUE!</v>
      </c>
      <c r="EH480" t="e">
        <f>International!2:2-"n/&gt;!6Vj"</f>
        <v>#VALUE!</v>
      </c>
      <c r="EI480" t="e">
        <f>International!3:3-"n/&gt;!6Vk"</f>
        <v>#VALUE!</v>
      </c>
      <c r="EJ480" t="e">
        <f>International!4:4-"n/&gt;!6Vl"</f>
        <v>#VALUE!</v>
      </c>
      <c r="EK480" t="e">
        <f>International!5:5-"n/&gt;!6Vm"</f>
        <v>#VALUE!</v>
      </c>
      <c r="EL480" t="e">
        <f>International!6:6-"n/&gt;!6Vn"</f>
        <v>#VALUE!</v>
      </c>
      <c r="EM480" t="e">
        <f>International!7:7-"n/&gt;!6Vo"</f>
        <v>#VALUE!</v>
      </c>
      <c r="EN480" t="e">
        <f>International!8:8-"n/&gt;!6Vp"</f>
        <v>#VALUE!</v>
      </c>
      <c r="EO480" t="e">
        <f>International!9:9-"n/&gt;!6Vq"</f>
        <v>#VALUE!</v>
      </c>
      <c r="EP480" t="e">
        <f>International!10:10-"n/&gt;!6Vr"</f>
        <v>#VALUE!</v>
      </c>
      <c r="EQ480" t="e">
        <f>International!11:11-"n/&gt;!6Vs"</f>
        <v>#VALUE!</v>
      </c>
      <c r="ER480" t="e">
        <f>International!12:12-"n/&gt;!6Vt"</f>
        <v>#VALUE!</v>
      </c>
      <c r="ES480" t="e">
        <f>International!13:13-"n/&gt;!6Vu"</f>
        <v>#VALUE!</v>
      </c>
      <c r="ET480" t="e">
        <f>International!14:14-"n/&gt;!6Vv"</f>
        <v>#VALUE!</v>
      </c>
      <c r="EU480" t="e">
        <f>International!15:15-"n/&gt;!6Vw"</f>
        <v>#VALUE!</v>
      </c>
      <c r="EV480" t="e">
        <f>International!16:16-"n/&gt;!6Vx"</f>
        <v>#VALUE!</v>
      </c>
      <c r="EW480" t="e">
        <f>International!17:17-"n/&gt;!6Vy"</f>
        <v>#VALUE!</v>
      </c>
      <c r="EX480" t="e">
        <f>International!18:18-"n/&gt;!6Vz"</f>
        <v>#VALUE!</v>
      </c>
      <c r="EY480" t="e">
        <f>International!19:19-"n/&gt;!6V{"</f>
        <v>#VALUE!</v>
      </c>
      <c r="EZ480" t="e">
        <f>International!20:20-"n/&gt;!6V|"</f>
        <v>#VALUE!</v>
      </c>
      <c r="FA480" t="e">
        <f>International!21:21-"n/&gt;!6V}"</f>
        <v>#VALUE!</v>
      </c>
      <c r="FB480" t="e">
        <f>International!22:22-"n/&gt;!6V~"</f>
        <v>#VALUE!</v>
      </c>
      <c r="FC480" t="e">
        <f>International!23:23-"n/&gt;!6W#"</f>
        <v>#VALUE!</v>
      </c>
      <c r="FD480" t="e">
        <f>International!24:24-"n/&gt;!6W$"</f>
        <v>#VALUE!</v>
      </c>
      <c r="FE480" t="e">
        <f>International!25:25-"n/&gt;!6W%"</f>
        <v>#VALUE!</v>
      </c>
      <c r="FF480" t="e">
        <f>International!26:26-"n/&gt;!6W&amp;"</f>
        <v>#VALUE!</v>
      </c>
      <c r="FG480" t="e">
        <f>International!27:27-"n/&gt;!6W'"</f>
        <v>#VALUE!</v>
      </c>
      <c r="FH480" t="e">
        <f>International!28:28-"n/&gt;!6W("</f>
        <v>#VALUE!</v>
      </c>
      <c r="FI480" t="e">
        <f>International!29:29-"n/&gt;!6W)"</f>
        <v>#VALUE!</v>
      </c>
      <c r="FJ480" t="e">
        <f>International!30:30-"n/&gt;!6W."</f>
        <v>#VALUE!</v>
      </c>
      <c r="FK480" t="e">
        <f>International!31:31-"n/&gt;!6W/"</f>
        <v>#VALUE!</v>
      </c>
      <c r="FL480" t="e">
        <f>International!32:32-"n/&gt;!6W0"</f>
        <v>#VALUE!</v>
      </c>
      <c r="FM480" t="e">
        <f>International!33:33-"n/&gt;!6W1"</f>
        <v>#VALUE!</v>
      </c>
      <c r="FN480" t="e">
        <f>International!34:34-"n/&gt;!6W2"</f>
        <v>#VALUE!</v>
      </c>
      <c r="FO480" t="e">
        <f>International!35:35-"n/&gt;!6W3"</f>
        <v>#VALUE!</v>
      </c>
      <c r="FP480" t="e">
        <f>International!36:36-"n/&gt;!6W4"</f>
        <v>#VALUE!</v>
      </c>
      <c r="FQ480" t="e">
        <f>International!37:37-"n/&gt;!6W5"</f>
        <v>#VALUE!</v>
      </c>
      <c r="FR480" t="e">
        <f>International!38:38-"n/&gt;!6W6"</f>
        <v>#VALUE!</v>
      </c>
      <c r="FS480" t="e">
        <f>International!39:39-"n/&gt;!6W7"</f>
        <v>#VALUE!</v>
      </c>
      <c r="FT480" t="e">
        <f>International!40:40-"n/&gt;!6W8"</f>
        <v>#VALUE!</v>
      </c>
      <c r="FU480" t="e">
        <f>International!41:41-"n/&gt;!6W9"</f>
        <v>#VALUE!</v>
      </c>
      <c r="FV480" t="e">
        <f>International!42:42-"n/&gt;!6W:"</f>
        <v>#VALUE!</v>
      </c>
      <c r="FW480" t="e">
        <f>International!43:43-"n/&gt;!6W;"</f>
        <v>#VALUE!</v>
      </c>
      <c r="FX480" t="e">
        <f>International!44:44-"n/&gt;!6W&lt;"</f>
        <v>#VALUE!</v>
      </c>
      <c r="FY480" t="e">
        <f>International!45:45-"n/&gt;!6W="</f>
        <v>#VALUE!</v>
      </c>
      <c r="FZ480" t="e">
        <f>International!46:46-"n/&gt;!6W&gt;"</f>
        <v>#VALUE!</v>
      </c>
      <c r="GA480" t="e">
        <f>International!47:47-"n/&gt;!6W?"</f>
        <v>#VALUE!</v>
      </c>
      <c r="GB480" t="e">
        <f>International!48:48-"n/&gt;!6W@"</f>
        <v>#VALUE!</v>
      </c>
      <c r="GC480" t="e">
        <f>International!49:49-"n/&gt;!6WA"</f>
        <v>#VALUE!</v>
      </c>
      <c r="GD480" t="e">
        <f>International!50:50-"n/&gt;!6WB"</f>
        <v>#VALUE!</v>
      </c>
      <c r="GE480" t="e">
        <f>International!51:51-"n/&gt;!6WC"</f>
        <v>#VALUE!</v>
      </c>
      <c r="GF480" t="e">
        <f>International!52:52-"n/&gt;!6WD"</f>
        <v>#VALUE!</v>
      </c>
      <c r="GG480" t="e">
        <f>International!53:53-"n/&gt;!6WE"</f>
        <v>#VALUE!</v>
      </c>
      <c r="GH480" t="e">
        <f>International!54:54-"n/&gt;!6WF"</f>
        <v>#VALUE!</v>
      </c>
      <c r="GI480" t="e">
        <f>International!55:55-"n/&gt;!6WG"</f>
        <v>#VALUE!</v>
      </c>
      <c r="GJ480" t="e">
        <f>International!56:56-"n/&gt;!6WH"</f>
        <v>#VALUE!</v>
      </c>
      <c r="GK480" t="e">
        <f>International!57:57-"n/&gt;!6WI"</f>
        <v>#VALUE!</v>
      </c>
      <c r="GL480" t="e">
        <f>International!58:58-"n/&gt;!6WJ"</f>
        <v>#VALUE!</v>
      </c>
      <c r="GM480" t="e">
        <f>International!59:59-"n/&gt;!6WK"</f>
        <v>#VALUE!</v>
      </c>
      <c r="GN480" t="e">
        <f>International!60:60-"n/&gt;!6WL"</f>
        <v>#VALUE!</v>
      </c>
      <c r="GO480" t="e">
        <f>International!61:61-"n/&gt;!6WM"</f>
        <v>#VALUE!</v>
      </c>
      <c r="GP480" t="e">
        <f>International!62:62-"n/&gt;!6WN"</f>
        <v>#VALUE!</v>
      </c>
      <c r="GQ480" t="e">
        <f>International!63:63-"n/&gt;!6WO"</f>
        <v>#VALUE!</v>
      </c>
      <c r="GR480" t="e">
        <f>International!64:64-"n/&gt;!6WP"</f>
        <v>#VALUE!</v>
      </c>
      <c r="GS480" t="e">
        <f>International!65:65-"n/&gt;!6WQ"</f>
        <v>#VALUE!</v>
      </c>
      <c r="GT480" t="e">
        <f>International!66:66-"n/&gt;!6WR"</f>
        <v>#VALUE!</v>
      </c>
      <c r="GU480" t="e">
        <f>International!67:67-"n/&gt;!6WS"</f>
        <v>#VALUE!</v>
      </c>
      <c r="GV480" t="e">
        <f>International!68:68-"n/&gt;!6WT"</f>
        <v>#VALUE!</v>
      </c>
      <c r="GW480" t="e">
        <f>International!69:69-"n/&gt;!6WU"</f>
        <v>#VALUE!</v>
      </c>
      <c r="GX480" t="e">
        <f>International!70:70-"n/&gt;!6WV"</f>
        <v>#VALUE!</v>
      </c>
      <c r="GY480" t="e">
        <f>International!71:71-"n/&gt;!6WW"</f>
        <v>#VALUE!</v>
      </c>
      <c r="GZ480" t="e">
        <f>International!72:72-"n/&gt;!6WX"</f>
        <v>#VALUE!</v>
      </c>
      <c r="HA480" t="e">
        <f>International!73:73-"n/&gt;!6WY"</f>
        <v>#VALUE!</v>
      </c>
      <c r="HB480" t="e">
        <f>International!74:74-"n/&gt;!6WZ"</f>
        <v>#VALUE!</v>
      </c>
      <c r="HC480" t="e">
        <f>International!75:75-"n/&gt;!6W["</f>
        <v>#VALUE!</v>
      </c>
      <c r="HD480" t="e">
        <f>International!76:76-"n/&gt;!6W\"</f>
        <v>#VALUE!</v>
      </c>
      <c r="HE480" t="e">
        <f>International!77:77-"n/&gt;!6W]"</f>
        <v>#VALUE!</v>
      </c>
      <c r="HF480" t="e">
        <f>International!78:78-"n/&gt;!6W^"</f>
        <v>#VALUE!</v>
      </c>
      <c r="HG480" t="e">
        <f>International!79:79-"n/&gt;!6W_"</f>
        <v>#VALUE!</v>
      </c>
      <c r="HH480" t="e">
        <f>International!80:80-"n/&gt;!6W`"</f>
        <v>#VALUE!</v>
      </c>
      <c r="HI480" t="e">
        <f>International!81:81-"n/&gt;!6Wa"</f>
        <v>#VALUE!</v>
      </c>
      <c r="HJ480" t="e">
        <f>International!82:82-"n/&gt;!6Wb"</f>
        <v>#VALUE!</v>
      </c>
      <c r="HK480" t="e">
        <f>International!83:83-"n/&gt;!6Wc"</f>
        <v>#VALUE!</v>
      </c>
      <c r="HL480" t="e">
        <f>International!84:84-"n/&gt;!6Wd"</f>
        <v>#VALUE!</v>
      </c>
      <c r="HM480" t="e">
        <f>International!85:85-"n/&gt;!6We"</f>
        <v>#VALUE!</v>
      </c>
      <c r="HN480" t="e">
        <f>International!86:86-"n/&gt;!6Wf"</f>
        <v>#VALUE!</v>
      </c>
      <c r="HO480" t="e">
        <f>International!87:87-"n/&gt;!6Wg"</f>
        <v>#VALUE!</v>
      </c>
      <c r="HP480" t="e">
        <f>International!88:88-"n/&gt;!6Wh"</f>
        <v>#VALUE!</v>
      </c>
      <c r="HQ480" t="e">
        <f>International!89:89-"n/&gt;!6Wi"</f>
        <v>#VALUE!</v>
      </c>
      <c r="HR480" t="e">
        <f>International!90:90-"n/&gt;!6Wj"</f>
        <v>#VALUE!</v>
      </c>
      <c r="HS480" t="e">
        <f>International!91:91-"n/&gt;!6Wk"</f>
        <v>#VALUE!</v>
      </c>
      <c r="HT480" t="e">
        <f>International!92:92-"n/&gt;!6Wl"</f>
        <v>#VALUE!</v>
      </c>
      <c r="HU480" t="e">
        <f>International!93:93-"n/&gt;!6Wm"</f>
        <v>#VALUE!</v>
      </c>
      <c r="HV480" t="e">
        <f>International!94:94-"n/&gt;!6Wn"</f>
        <v>#VALUE!</v>
      </c>
      <c r="HW480" t="e">
        <f>International!95:95-"n/&gt;!6Wo"</f>
        <v>#VALUE!</v>
      </c>
      <c r="HX480" t="e">
        <f>International!96:96-"n/&gt;!6Wp"</f>
        <v>#VALUE!</v>
      </c>
      <c r="HY480" t="e">
        <f>International!97:97-"n/&gt;!6Wq"</f>
        <v>#VALUE!</v>
      </c>
      <c r="HZ480" t="e">
        <f>International!98:98-"n/&gt;!6Wr"</f>
        <v>#VALUE!</v>
      </c>
      <c r="IA480" t="e">
        <f>International!99:99-"n/&gt;!6Ws"</f>
        <v>#VALUE!</v>
      </c>
      <c r="IB480" t="e">
        <f>International!100:100-"n/&gt;!6Wt"</f>
        <v>#VALUE!</v>
      </c>
      <c r="IC480" t="e">
        <f>International!101:101-"n/&gt;!6Wu"</f>
        <v>#VALUE!</v>
      </c>
      <c r="ID480" t="e">
        <f>International!102:102-"n/&gt;!6Wv"</f>
        <v>#VALUE!</v>
      </c>
      <c r="IE480" t="e">
        <f>International!103:103-"n/&gt;!6Ww"</f>
        <v>#VALUE!</v>
      </c>
      <c r="IF480" t="e">
        <f>International!104:104-"n/&gt;!6Wx"</f>
        <v>#VALUE!</v>
      </c>
      <c r="IG480" t="e">
        <f>International!105:105-"n/&gt;!6Wy"</f>
        <v>#VALUE!</v>
      </c>
      <c r="IH480" t="e">
        <f>International!106:106-"n/&gt;!6Wz"</f>
        <v>#VALUE!</v>
      </c>
      <c r="II480" t="e">
        <f>International!107:107-"n/&gt;!6W{"</f>
        <v>#VALUE!</v>
      </c>
      <c r="IJ480" t="e">
        <f>International!108:108-"n/&gt;!6W|"</f>
        <v>#VALUE!</v>
      </c>
      <c r="IK480" t="e">
        <f>International!109:109-"n/&gt;!6W}"</f>
        <v>#VALUE!</v>
      </c>
      <c r="IL480" t="e">
        <f>International!110:110-"n/&gt;!6W~"</f>
        <v>#VALUE!</v>
      </c>
      <c r="IM480" t="e">
        <f>International!111:111-"n/&gt;!6X#"</f>
        <v>#VALUE!</v>
      </c>
      <c r="IN480" t="e">
        <f>International!112:112-"n/&gt;!6X$"</f>
        <v>#VALUE!</v>
      </c>
      <c r="IO480" t="e">
        <f>International!113:113-"n/&gt;!6X%"</f>
        <v>#VALUE!</v>
      </c>
      <c r="IP480" t="e">
        <f>International!114:114-"n/&gt;!6X&amp;"</f>
        <v>#VALUE!</v>
      </c>
      <c r="IQ480" t="e">
        <f>International!115:115-"n/&gt;!6X'"</f>
        <v>#VALUE!</v>
      </c>
      <c r="IR480" t="e">
        <f>International!116:116-"n/&gt;!6X("</f>
        <v>#VALUE!</v>
      </c>
      <c r="IS480" t="e">
        <f>International!117:117-"n/&gt;!6X)"</f>
        <v>#VALUE!</v>
      </c>
      <c r="IT480" t="e">
        <f>International!118:118-"n/&gt;!6X."</f>
        <v>#VALUE!</v>
      </c>
      <c r="IU480" t="e">
        <f>International!119:119-"n/&gt;!6X/"</f>
        <v>#VALUE!</v>
      </c>
      <c r="IV480" t="e">
        <f>International!120:120-"n/&gt;!6X0"</f>
        <v>#VALUE!</v>
      </c>
    </row>
    <row r="481" spans="6:256" x14ac:dyDescent="0.35">
      <c r="F481" t="e">
        <f>International!121:121-"n/&gt;!6X1"</f>
        <v>#VALUE!</v>
      </c>
      <c r="G481" t="e">
        <f>International!122:122-"n/&gt;!6X2"</f>
        <v>#VALUE!</v>
      </c>
      <c r="H481" t="e">
        <f>International!123:123-"n/&gt;!6X3"</f>
        <v>#VALUE!</v>
      </c>
      <c r="I481" t="e">
        <f>International!124:124-"n/&gt;!6X4"</f>
        <v>#VALUE!</v>
      </c>
      <c r="J481" t="e">
        <f>International!125:125-"n/&gt;!6X5"</f>
        <v>#VALUE!</v>
      </c>
      <c r="K481" t="e">
        <f>International!126:126-"n/&gt;!6X6"</f>
        <v>#VALUE!</v>
      </c>
      <c r="L481" t="e">
        <f>International!127:127-"n/&gt;!6X7"</f>
        <v>#VALUE!</v>
      </c>
      <c r="M481" t="e">
        <f>International!128:128-"n/&gt;!6X8"</f>
        <v>#VALUE!</v>
      </c>
      <c r="N481" t="e">
        <f>International!129:129-"n/&gt;!6X9"</f>
        <v>#VALUE!</v>
      </c>
      <c r="O481" t="e">
        <f>International!130:130-"n/&gt;!6X:"</f>
        <v>#VALUE!</v>
      </c>
      <c r="P481" t="e">
        <f>International!131:131-"n/&gt;!6X;"</f>
        <v>#VALUE!</v>
      </c>
      <c r="Q481" t="e">
        <f>International!132:132-"n/&gt;!6X&lt;"</f>
        <v>#VALUE!</v>
      </c>
      <c r="R481" t="e">
        <f>International!133:133-"n/&gt;!6X="</f>
        <v>#VALUE!</v>
      </c>
      <c r="S481" t="e">
        <f>International!134:134-"n/&gt;!6X&gt;"</f>
        <v>#VALUE!</v>
      </c>
      <c r="T481" t="e">
        <f>International!135:135-"n/&gt;!6X?"</f>
        <v>#VALUE!</v>
      </c>
      <c r="U481" t="e">
        <f>International!136:136-"n/&gt;!6X@"</f>
        <v>#VALUE!</v>
      </c>
      <c r="V481" t="e">
        <f>International!137:137-"n/&gt;!6XA"</f>
        <v>#VALUE!</v>
      </c>
      <c r="W481" t="e">
        <f>International!138:138-"n/&gt;!6XB"</f>
        <v>#VALUE!</v>
      </c>
      <c r="X481" t="e">
        <f>International!139:139-"n/&gt;!6XC"</f>
        <v>#VALUE!</v>
      </c>
      <c r="Y481" t="e">
        <f>International!140:140-"n/&gt;!6XD"</f>
        <v>#VALUE!</v>
      </c>
      <c r="Z481" t="e">
        <f>International!141:141-"n/&gt;!6XE"</f>
        <v>#VALUE!</v>
      </c>
      <c r="AA481" t="e">
        <f>International!142:142-"n/&gt;!6XF"</f>
        <v>#VALUE!</v>
      </c>
      <c r="AB481" t="e">
        <f>International!143:143-"n/&gt;!6XG"</f>
        <v>#VALUE!</v>
      </c>
      <c r="AC481" t="e">
        <f>International!144:144-"n/&gt;!6XH"</f>
        <v>#VALUE!</v>
      </c>
      <c r="AD481" t="e">
        <f>International!145:145-"n/&gt;!6XI"</f>
        <v>#VALUE!</v>
      </c>
      <c r="AE481" t="e">
        <f>International!146:146-"n/&gt;!6XJ"</f>
        <v>#VALUE!</v>
      </c>
      <c r="AF481" t="e">
        <f>International!147:147-"n/&gt;!6XK"</f>
        <v>#VALUE!</v>
      </c>
      <c r="AG481" t="e">
        <f>International!148:148-"n/&gt;!6XL"</f>
        <v>#VALUE!</v>
      </c>
      <c r="AH481" t="e">
        <f>International!149:149-"n/&gt;!6XM"</f>
        <v>#VALUE!</v>
      </c>
      <c r="AI481" t="e">
        <f>International!150:150-"n/&gt;!6XN"</f>
        <v>#VALUE!</v>
      </c>
      <c r="AJ481" t="e">
        <f>International!151:151-"n/&gt;!6XO"</f>
        <v>#VALUE!</v>
      </c>
      <c r="AK481" t="e">
        <f>International!152:152-"n/&gt;!6XP"</f>
        <v>#VALUE!</v>
      </c>
      <c r="AL481" t="e">
        <f>International!153:153-"n/&gt;!6XQ"</f>
        <v>#VALUE!</v>
      </c>
      <c r="AM481" t="e">
        <f>International!154:154-"n/&gt;!6XR"</f>
        <v>#VALUE!</v>
      </c>
      <c r="AN481" t="e">
        <f>International!155:155-"n/&gt;!6XS"</f>
        <v>#VALUE!</v>
      </c>
      <c r="AO481" t="e">
        <f>International!156:156-"n/&gt;!6XT"</f>
        <v>#VALUE!</v>
      </c>
      <c r="AP481" t="e">
        <f>International!157:157-"n/&gt;!6XU"</f>
        <v>#VALUE!</v>
      </c>
      <c r="AQ481" t="e">
        <f>International!158:158-"n/&gt;!6XV"</f>
        <v>#VALUE!</v>
      </c>
      <c r="AR481" t="e">
        <f>International!159:159-"n/&gt;!6XW"</f>
        <v>#VALUE!</v>
      </c>
      <c r="AS481" t="e">
        <f>International!160:160-"n/&gt;!6XX"</f>
        <v>#VALUE!</v>
      </c>
      <c r="AT481" t="e">
        <f>International!161:161-"n/&gt;!6XY"</f>
        <v>#VALUE!</v>
      </c>
      <c r="AU481" t="e">
        <f>International!162:162-"n/&gt;!6XZ"</f>
        <v>#VALUE!</v>
      </c>
      <c r="AV481" t="e">
        <f>International!163:163-"n/&gt;!6X["</f>
        <v>#VALUE!</v>
      </c>
      <c r="AW481" t="e">
        <f>International!164:164-"n/&gt;!6X\"</f>
        <v>#VALUE!</v>
      </c>
      <c r="AX481" t="e">
        <f>International!165:165-"n/&gt;!6X]"</f>
        <v>#VALUE!</v>
      </c>
      <c r="AY481" t="e">
        <f>International!166:166-"n/&gt;!6X^"</f>
        <v>#VALUE!</v>
      </c>
      <c r="AZ481" t="e">
        <f>International!167:167-"n/&gt;!6X_"</f>
        <v>#VALUE!</v>
      </c>
      <c r="BA481" t="e">
        <f>International!168:168-"n/&gt;!6X`"</f>
        <v>#VALUE!</v>
      </c>
      <c r="BB481" t="e">
        <f>International!169:169-"n/&gt;!6Xa"</f>
        <v>#VALUE!</v>
      </c>
      <c r="BC481" t="e">
        <f>International!170:170-"n/&gt;!6Xb"</f>
        <v>#VALUE!</v>
      </c>
      <c r="BD481" t="e">
        <f>International!171:171-"n/&gt;!6Xc"</f>
        <v>#VALUE!</v>
      </c>
      <c r="BE481" t="e">
        <f>International!172:172-"n/&gt;!6Xd"</f>
        <v>#VALUE!</v>
      </c>
      <c r="BF481" t="e">
        <f>International!173:173-"n/&gt;!6Xe"</f>
        <v>#VALUE!</v>
      </c>
      <c r="BG481" t="e">
        <f>International!174:174-"n/&gt;!6Xf"</f>
        <v>#VALUE!</v>
      </c>
      <c r="BH481" t="e">
        <f>International!175:175-"n/&gt;!6Xg"</f>
        <v>#VALUE!</v>
      </c>
      <c r="BI481" t="e">
        <f>International!176:176-"n/&gt;!6Xh"</f>
        <v>#VALUE!</v>
      </c>
      <c r="BJ481" t="e">
        <f>International!177:177-"n/&gt;!6Xi"</f>
        <v>#VALUE!</v>
      </c>
      <c r="BK481" t="e">
        <f>International!178:178-"n/&gt;!6Xj"</f>
        <v>#VALUE!</v>
      </c>
      <c r="BL481" t="e">
        <f>International!179:179-"n/&gt;!6Xk"</f>
        <v>#VALUE!</v>
      </c>
      <c r="BM481" t="e">
        <f>International!180:180-"n/&gt;!6Xl"</f>
        <v>#VALUE!</v>
      </c>
      <c r="BN481" t="e">
        <f>International!181:181-"n/&gt;!6Xm"</f>
        <v>#VALUE!</v>
      </c>
      <c r="BO481" t="e">
        <f>International!182:182-"n/&gt;!6Xn"</f>
        <v>#VALUE!</v>
      </c>
      <c r="BP481" t="e">
        <f>International!183:183-"n/&gt;!6Xo"</f>
        <v>#VALUE!</v>
      </c>
      <c r="BQ481" t="e">
        <f>International!184:184-"n/&gt;!6Xp"</f>
        <v>#VALUE!</v>
      </c>
      <c r="BR481" t="e">
        <f>International!185:185-"n/&gt;!6Xq"</f>
        <v>#VALUE!</v>
      </c>
      <c r="BS481" t="e">
        <f>International!186:186-"n/&gt;!6Xr"</f>
        <v>#VALUE!</v>
      </c>
      <c r="BT481" t="e">
        <f>International!187:187-"n/&gt;!6Xs"</f>
        <v>#VALUE!</v>
      </c>
      <c r="BU481" t="e">
        <f>International!188:188-"n/&gt;!6Xt"</f>
        <v>#VALUE!</v>
      </c>
      <c r="BV481" t="e">
        <f>International!189:189-"n/&gt;!6Xu"</f>
        <v>#VALUE!</v>
      </c>
      <c r="BW481" t="e">
        <f>International!190:190-"n/&gt;!6Xv"</f>
        <v>#VALUE!</v>
      </c>
      <c r="BX481" t="e">
        <f>International!191:191-"n/&gt;!6Xw"</f>
        <v>#VALUE!</v>
      </c>
      <c r="BY481" t="e">
        <f>International!192:192-"n/&gt;!6Xx"</f>
        <v>#VALUE!</v>
      </c>
      <c r="BZ481" t="e">
        <f>International!193:193-"n/&gt;!6Xy"</f>
        <v>#VALUE!</v>
      </c>
      <c r="CA481" t="e">
        <f>International!194:194-"n/&gt;!6Xz"</f>
        <v>#VALUE!</v>
      </c>
      <c r="CB481" t="e">
        <f>International!195:195-"n/&gt;!6X{"</f>
        <v>#VALUE!</v>
      </c>
      <c r="CC481" t="e">
        <f>International!196:196-"n/&gt;!6X|"</f>
        <v>#VALUE!</v>
      </c>
      <c r="CD481" t="e">
        <f>International!197:197-"n/&gt;!6X}"</f>
        <v>#VALUE!</v>
      </c>
      <c r="CE481" t="e">
        <f>International!198:198-"n/&gt;!6X~"</f>
        <v>#VALUE!</v>
      </c>
      <c r="CF481" t="e">
        <f>International!199:199-"n/&gt;!6Y#"</f>
        <v>#VALUE!</v>
      </c>
      <c r="CG481" t="e">
        <f>International!200:200-"n/&gt;!6Y$"</f>
        <v>#VALUE!</v>
      </c>
      <c r="CH481" t="e">
        <f>International!201:201-"n/&gt;!6Y%"</f>
        <v>#VALUE!</v>
      </c>
      <c r="CI481" t="e">
        <f>International!202:202-"n/&gt;!6Y&amp;"</f>
        <v>#VALUE!</v>
      </c>
      <c r="CJ481" t="e">
        <f>International!203:203-"n/&gt;!6Y'"</f>
        <v>#VALUE!</v>
      </c>
      <c r="CK481" t="e">
        <f>International!204:204-"n/&gt;!6Y("</f>
        <v>#VALUE!</v>
      </c>
      <c r="CL481" t="e">
        <f>International!205:205-"n/&gt;!6Y)"</f>
        <v>#VALUE!</v>
      </c>
      <c r="CM481" t="e">
        <f>International!206:206-"n/&gt;!6Y."</f>
        <v>#VALUE!</v>
      </c>
      <c r="CN481" t="e">
        <f>International!207:207-"n/&gt;!6Y/"</f>
        <v>#VALUE!</v>
      </c>
      <c r="CO481" t="e">
        <f>International!208:208-"n/&gt;!6Y0"</f>
        <v>#VALUE!</v>
      </c>
      <c r="CP481" t="e">
        <f>International!209:209-"n/&gt;!6Y1"</f>
        <v>#VALUE!</v>
      </c>
      <c r="CQ481" t="e">
        <f>International!210:210-"n/&gt;!6Y2"</f>
        <v>#VALUE!</v>
      </c>
      <c r="CR481" t="e">
        <f>International!211:211-"n/&gt;!6Y3"</f>
        <v>#VALUE!</v>
      </c>
      <c r="CS481" t="e">
        <f>International!212:212-"n/&gt;!6Y4"</f>
        <v>#VALUE!</v>
      </c>
      <c r="CT481" t="e">
        <f>International!213:213-"n/&gt;!6Y5"</f>
        <v>#VALUE!</v>
      </c>
      <c r="CU481" t="e">
        <f>International!214:214-"n/&gt;!6Y6"</f>
        <v>#VALUE!</v>
      </c>
      <c r="CV481" t="e">
        <f>International!215:215-"n/&gt;!6Y7"</f>
        <v>#VALUE!</v>
      </c>
      <c r="CW481" t="e">
        <f>International!216:216-"n/&gt;!6Y8"</f>
        <v>#VALUE!</v>
      </c>
      <c r="CX481" t="e">
        <f>International!217:217-"n/&gt;!6Y9"</f>
        <v>#VALUE!</v>
      </c>
      <c r="CY481" t="e">
        <f>International!218:218-"n/&gt;!6Y:"</f>
        <v>#VALUE!</v>
      </c>
      <c r="CZ481" t="e">
        <f>International!219:219-"n/&gt;!6Y;"</f>
        <v>#VALUE!</v>
      </c>
      <c r="DA481" t="e">
        <f>International!220:220-"n/&gt;!6Y&lt;"</f>
        <v>#VALUE!</v>
      </c>
      <c r="DB481" t="e">
        <f>International!221:221-"n/&gt;!6Y="</f>
        <v>#VALUE!</v>
      </c>
      <c r="DC481" t="e">
        <f>International!222:222-"n/&gt;!6Y&gt;"</f>
        <v>#VALUE!</v>
      </c>
      <c r="DD481" t="e">
        <f>International!223:223-"n/&gt;!6Y?"</f>
        <v>#VALUE!</v>
      </c>
      <c r="DE481" t="e">
        <f>International!224:224-"n/&gt;!6Y@"</f>
        <v>#VALUE!</v>
      </c>
      <c r="DF481" t="e">
        <f>International!225:225-"n/&gt;!6YA"</f>
        <v>#VALUE!</v>
      </c>
      <c r="DG481" t="e">
        <f>International!226:226-"n/&gt;!6YB"</f>
        <v>#VALUE!</v>
      </c>
      <c r="DH481" t="e">
        <f>International!227:227-"n/&gt;!6YC"</f>
        <v>#VALUE!</v>
      </c>
      <c r="DI481" t="e">
        <f>International!228:228-"n/&gt;!6YD"</f>
        <v>#VALUE!</v>
      </c>
      <c r="DJ481" t="e">
        <f>International!229:229-"n/&gt;!6YE"</f>
        <v>#VALUE!</v>
      </c>
      <c r="DK481" t="e">
        <f>International!230:230-"n/&gt;!6YF"</f>
        <v>#VALUE!</v>
      </c>
      <c r="DL481" t="e">
        <f>International!231:231-"n/&gt;!6YG"</f>
        <v>#VALUE!</v>
      </c>
      <c r="DM481" t="e">
        <f>International!232:232-"n/&gt;!6YH"</f>
        <v>#VALUE!</v>
      </c>
      <c r="DN481" t="e">
        <f>International!233:233-"n/&gt;!6YI"</f>
        <v>#VALUE!</v>
      </c>
      <c r="DO481" t="e">
        <f>International!234:234-"n/&gt;!6YJ"</f>
        <v>#VALUE!</v>
      </c>
      <c r="DP481" t="e">
        <f>International!235:235-"n/&gt;!6YK"</f>
        <v>#VALUE!</v>
      </c>
      <c r="DQ481" t="e">
        <f>International!236:236-"n/&gt;!6YL"</f>
        <v>#VALUE!</v>
      </c>
      <c r="DR481" t="e">
        <f>International!237:237-"n/&gt;!6YM"</f>
        <v>#VALUE!</v>
      </c>
      <c r="DS481" t="e">
        <f>International!238:238-"n/&gt;!6YN"</f>
        <v>#VALUE!</v>
      </c>
      <c r="DT481" t="e">
        <f>International!239:239-"n/&gt;!6YO"</f>
        <v>#VALUE!</v>
      </c>
      <c r="DU481" t="e">
        <f>International!240:240-"n/&gt;!6YP"</f>
        <v>#VALUE!</v>
      </c>
      <c r="DV481" t="e">
        <f>International!241:241-"n/&gt;!6YQ"</f>
        <v>#VALUE!</v>
      </c>
      <c r="DW481" t="e">
        <f>International!242:242-"n/&gt;!6YR"</f>
        <v>#VALUE!</v>
      </c>
      <c r="DX481" t="e">
        <f>International!243:243-"n/&gt;!6YS"</f>
        <v>#VALUE!</v>
      </c>
      <c r="DY481" t="e">
        <f>International!244:244-"n/&gt;!6YT"</f>
        <v>#VALUE!</v>
      </c>
      <c r="DZ481" t="e">
        <f>International!245:245-"n/&gt;!6YU"</f>
        <v>#VALUE!</v>
      </c>
      <c r="EA481" t="e">
        <f>International!246:246-"n/&gt;!6YV"</f>
        <v>#VALUE!</v>
      </c>
      <c r="EB481" t="e">
        <f>International!247:247-"n/&gt;!6YW"</f>
        <v>#VALUE!</v>
      </c>
      <c r="EC481" t="e">
        <f>International!248:248-"n/&gt;!6YX"</f>
        <v>#VALUE!</v>
      </c>
      <c r="ED481" t="e">
        <f>International!249:249-"n/&gt;!6YY"</f>
        <v>#VALUE!</v>
      </c>
      <c r="EE481" t="e">
        <f>International!250:250-"n/&gt;!6YZ"</f>
        <v>#VALUE!</v>
      </c>
      <c r="EF481" t="e">
        <f>International!251:251-"n/&gt;!6Y["</f>
        <v>#VALUE!</v>
      </c>
      <c r="EG481" t="e">
        <f>International!252:252-"n/&gt;!6Y\"</f>
        <v>#VALUE!</v>
      </c>
      <c r="EH481" t="e">
        <f>International!253:253-"n/&gt;!6Y]"</f>
        <v>#VALUE!</v>
      </c>
      <c r="EI481" t="e">
        <f>International!254:254-"n/&gt;!6Y^"</f>
        <v>#VALUE!</v>
      </c>
      <c r="EJ481" t="e">
        <f>International!255:255-"n/&gt;!6Y_"</f>
        <v>#VALUE!</v>
      </c>
      <c r="EK481" t="e">
        <f>International!256:256-"n/&gt;!6Y`"</f>
        <v>#VALUE!</v>
      </c>
      <c r="EL481" t="e">
        <f>International!257:257-"n/&gt;!6Ya"</f>
        <v>#VALUE!</v>
      </c>
      <c r="EM481" t="e">
        <f>International!258:258-"n/&gt;!6Yb"</f>
        <v>#VALUE!</v>
      </c>
      <c r="EN481" t="e">
        <f>International!259:259-"n/&gt;!6Yc"</f>
        <v>#VALUE!</v>
      </c>
      <c r="EO481" t="e">
        <f>International!260:260-"n/&gt;!6Yd"</f>
        <v>#VALUE!</v>
      </c>
      <c r="EP481" t="e">
        <f>International!261:261-"n/&gt;!6Ye"</f>
        <v>#VALUE!</v>
      </c>
      <c r="EQ481" t="e">
        <f>International!262:262-"n/&gt;!6Yf"</f>
        <v>#VALUE!</v>
      </c>
      <c r="ER481" t="e">
        <f>International!263:263-"n/&gt;!6Yg"</f>
        <v>#VALUE!</v>
      </c>
      <c r="ES481" t="e">
        <f>International!264:264-"n/&gt;!6Yh"</f>
        <v>#VALUE!</v>
      </c>
      <c r="ET481" t="e">
        <f>International!265:265-"n/&gt;!6Yi"</f>
        <v>#VALUE!</v>
      </c>
      <c r="EU481" t="e">
        <f>International!266:266-"n/&gt;!6Yj"</f>
        <v>#VALUE!</v>
      </c>
      <c r="EV481" t="e">
        <f>International!267:267-"n/&gt;!6Yk"</f>
        <v>#VALUE!</v>
      </c>
      <c r="EW481" t="e">
        <f>International!268:268-"n/&gt;!6Yl"</f>
        <v>#VALUE!</v>
      </c>
      <c r="EX481" t="e">
        <f>International!269:269-"n/&gt;!6Ym"</f>
        <v>#VALUE!</v>
      </c>
      <c r="EY481" t="e">
        <f>International!270:270-"n/&gt;!6Yn"</f>
        <v>#VALUE!</v>
      </c>
      <c r="EZ481" t="e">
        <f>International!271:271-"n/&gt;!6Yo"</f>
        <v>#VALUE!</v>
      </c>
      <c r="FA481" t="e">
        <f>International!272:272-"n/&gt;!6Yp"</f>
        <v>#VALUE!</v>
      </c>
      <c r="FB481" t="e">
        <f>International!273:273-"n/&gt;!6Yq"</f>
        <v>#VALUE!</v>
      </c>
      <c r="FC481" t="e">
        <f>International!274:274-"n/&gt;!6Yr"</f>
        <v>#VALUE!</v>
      </c>
      <c r="FD481" t="e">
        <f>International!275:275-"n/&gt;!6Ys"</f>
        <v>#VALUE!</v>
      </c>
      <c r="FE481" t="e">
        <f>International!276:276-"n/&gt;!6Yt"</f>
        <v>#VALUE!</v>
      </c>
      <c r="FF481" t="e">
        <f>International!277:277-"n/&gt;!6Yu"</f>
        <v>#VALUE!</v>
      </c>
      <c r="FG481" t="e">
        <f>International!278:278-"n/&gt;!6Yv"</f>
        <v>#VALUE!</v>
      </c>
      <c r="FH481" t="e">
        <f>International!279:279-"n/&gt;!6Yw"</f>
        <v>#VALUE!</v>
      </c>
      <c r="FI481" t="e">
        <f>International!280:280-"n/&gt;!6Yx"</f>
        <v>#VALUE!</v>
      </c>
      <c r="FJ481" t="e">
        <f>International!281:281-"n/&gt;!6Yy"</f>
        <v>#VALUE!</v>
      </c>
      <c r="FK481" t="e">
        <f>International!282:282-"n/&gt;!6Yz"</f>
        <v>#VALUE!</v>
      </c>
      <c r="FL481" t="e">
        <f>International!283:283-"n/&gt;!6Y{"</f>
        <v>#VALUE!</v>
      </c>
      <c r="FM481" t="e">
        <f>International!284:284-"n/&gt;!6Y|"</f>
        <v>#VALUE!</v>
      </c>
      <c r="FN481" t="e">
        <f>International!285:285-"n/&gt;!6Y}"</f>
        <v>#VALUE!</v>
      </c>
      <c r="FO481" t="e">
        <f>International!286:286-"n/&gt;!6Y~"</f>
        <v>#VALUE!</v>
      </c>
      <c r="FP481" t="e">
        <f>International!287:287-"n/&gt;!6Z#"</f>
        <v>#VALUE!</v>
      </c>
      <c r="FQ481" t="e">
        <f>International!288:288-"n/&gt;!6Z$"</f>
        <v>#VALUE!</v>
      </c>
      <c r="FR481" t="e">
        <f>International!289:289-"n/&gt;!6Z%"</f>
        <v>#VALUE!</v>
      </c>
      <c r="FS481" t="e">
        <f>International!290:290-"n/&gt;!6Z&amp;"</f>
        <v>#VALUE!</v>
      </c>
      <c r="FT481" t="e">
        <f>International!291:291-"n/&gt;!6Z'"</f>
        <v>#VALUE!</v>
      </c>
      <c r="FU481" t="e">
        <f>International!292:292-"n/&gt;!6Z("</f>
        <v>#VALUE!</v>
      </c>
      <c r="FV481" t="e">
        <f>International!293:293-"n/&gt;!6Z)"</f>
        <v>#VALUE!</v>
      </c>
      <c r="FW481" t="e">
        <f>International!294:294-"n/&gt;!6Z."</f>
        <v>#VALUE!</v>
      </c>
      <c r="FX481" t="e">
        <f>International!295:295-"n/&gt;!6Z/"</f>
        <v>#VALUE!</v>
      </c>
      <c r="FY481" t="e">
        <f>International!296:296-"n/&gt;!6Z0"</f>
        <v>#VALUE!</v>
      </c>
      <c r="FZ481" t="e">
        <f>International!297:297-"n/&gt;!6Z1"</f>
        <v>#VALUE!</v>
      </c>
      <c r="GA481" t="e">
        <f>International!298:298-"n/&gt;!6Z2"</f>
        <v>#VALUE!</v>
      </c>
      <c r="GB481" t="e">
        <f>International!299:299-"n/&gt;!6Z3"</f>
        <v>#VALUE!</v>
      </c>
      <c r="GC481" t="e">
        <f>International!300:300-"n/&gt;!6Z4"</f>
        <v>#VALUE!</v>
      </c>
      <c r="GD481" t="e">
        <f>International!301:301-"n/&gt;!6Z5"</f>
        <v>#VALUE!</v>
      </c>
      <c r="GE481" t="e">
        <f>International!302:302-"n/&gt;!6Z6"</f>
        <v>#VALUE!</v>
      </c>
      <c r="GF481" t="e">
        <f>International!303:303-"n/&gt;!6Z7"</f>
        <v>#VALUE!</v>
      </c>
      <c r="GG481" t="e">
        <f>International!304:304-"n/&gt;!6Z8"</f>
        <v>#VALUE!</v>
      </c>
      <c r="GH481" t="e">
        <f>International!305:305-"n/&gt;!6Z9"</f>
        <v>#VALUE!</v>
      </c>
      <c r="GI481" t="e">
        <f>International!306:306-"n/&gt;!6Z:"</f>
        <v>#VALUE!</v>
      </c>
      <c r="GJ481" t="e">
        <f>International!307:307-"n/&gt;!6Z;"</f>
        <v>#VALUE!</v>
      </c>
      <c r="GK481" t="e">
        <f>International!308:308-"n/&gt;!6Z&lt;"</f>
        <v>#VALUE!</v>
      </c>
      <c r="GL481" t="e">
        <f>International!309:309-"n/&gt;!6Z="</f>
        <v>#VALUE!</v>
      </c>
      <c r="GM481" t="e">
        <f>International!310:310-"n/&gt;!6Z&gt;"</f>
        <v>#VALUE!</v>
      </c>
      <c r="GN481" t="e">
        <f>International!311:311-"n/&gt;!6Z?"</f>
        <v>#VALUE!</v>
      </c>
      <c r="GO481" t="e">
        <f>International!312:312-"n/&gt;!6Z@"</f>
        <v>#VALUE!</v>
      </c>
      <c r="GP481" t="e">
        <f>International!313:313-"n/&gt;!6ZA"</f>
        <v>#VALUE!</v>
      </c>
      <c r="GQ481" t="e">
        <f>International!314:314-"n/&gt;!6ZB"</f>
        <v>#VALUE!</v>
      </c>
      <c r="GR481" t="e">
        <f>International!315:315-"n/&gt;!6ZC"</f>
        <v>#VALUE!</v>
      </c>
      <c r="GS481" t="e">
        <f>International!316:316-"n/&gt;!6ZD"</f>
        <v>#VALUE!</v>
      </c>
      <c r="GT481" t="e">
        <f>International!317:317-"n/&gt;!6ZE"</f>
        <v>#VALUE!</v>
      </c>
      <c r="GU481" t="e">
        <f>International!318:318-"n/&gt;!6ZF"</f>
        <v>#VALUE!</v>
      </c>
      <c r="GV481" t="e">
        <f>International!319:319-"n/&gt;!6ZG"</f>
        <v>#VALUE!</v>
      </c>
      <c r="GW481" t="e">
        <f>International!320:320-"n/&gt;!6ZH"</f>
        <v>#VALUE!</v>
      </c>
      <c r="GX481" t="e">
        <f>International!321:321-"n/&gt;!6ZI"</f>
        <v>#VALUE!</v>
      </c>
      <c r="GY481" t="e">
        <f>International!322:322-"n/&gt;!6ZJ"</f>
        <v>#VALUE!</v>
      </c>
      <c r="GZ481" t="e">
        <f>International!323:323-"n/&gt;!6ZK"</f>
        <v>#VALUE!</v>
      </c>
      <c r="HA481" t="e">
        <f>International!324:324-"n/&gt;!6ZL"</f>
        <v>#VALUE!</v>
      </c>
      <c r="HB481" t="e">
        <f>International!325:325-"n/&gt;!6ZM"</f>
        <v>#VALUE!</v>
      </c>
      <c r="HC481" t="e">
        <f>International!326:326-"n/&gt;!6ZN"</f>
        <v>#VALUE!</v>
      </c>
      <c r="HD481" t="e">
        <f>International!327:327-"n/&gt;!6ZO"</f>
        <v>#VALUE!</v>
      </c>
      <c r="HE481" t="e">
        <f>International!328:328-"n/&gt;!6ZP"</f>
        <v>#VALUE!</v>
      </c>
      <c r="HF481" t="e">
        <f>International!329:329-"n/&gt;!6ZQ"</f>
        <v>#VALUE!</v>
      </c>
      <c r="HG481" t="e">
        <f>International!330:330-"n/&gt;!6ZR"</f>
        <v>#VALUE!</v>
      </c>
      <c r="HH481" t="e">
        <f>International!331:331-"n/&gt;!6ZS"</f>
        <v>#VALUE!</v>
      </c>
      <c r="HI481" t="e">
        <f>International!332:332-"n/&gt;!6ZT"</f>
        <v>#VALUE!</v>
      </c>
      <c r="HJ481" t="e">
        <f>International!333:333-"n/&gt;!6ZU"</f>
        <v>#VALUE!</v>
      </c>
      <c r="HK481" t="e">
        <f>International!334:334-"n/&gt;!6ZV"</f>
        <v>#VALUE!</v>
      </c>
      <c r="HL481" t="e">
        <f>International!335:335-"n/&gt;!6ZW"</f>
        <v>#VALUE!</v>
      </c>
      <c r="HM481" t="e">
        <f>International!336:336-"n/&gt;!6ZX"</f>
        <v>#VALUE!</v>
      </c>
      <c r="HN481" t="e">
        <f>International!337:337-"n/&gt;!6ZY"</f>
        <v>#VALUE!</v>
      </c>
      <c r="HO481" t="e">
        <f>International!338:338-"n/&gt;!6ZZ"</f>
        <v>#VALUE!</v>
      </c>
      <c r="HP481" t="e">
        <f>'TRRI Content Type Definitions'!A1+"n/&gt;!6Z["</f>
        <v>#VALUE!</v>
      </c>
      <c r="HQ481" t="e">
        <f>'TRRI Content Type Definitions'!B1+"n/&gt;!6Z\"</f>
        <v>#VALUE!</v>
      </c>
      <c r="HR481" t="e">
        <f>'TRRI Content Type Definitions'!C1+"n/&gt;!6Z]"</f>
        <v>#VALUE!</v>
      </c>
      <c r="HS481" t="e">
        <f>'TRRI Content Type Definitions'!D1+"n/&gt;!6Z^"</f>
        <v>#VALUE!</v>
      </c>
      <c r="HT481" t="e">
        <f>'TRRI Content Type Definitions'!E1+"n/&gt;!6Z_"</f>
        <v>#VALUE!</v>
      </c>
      <c r="HU481" t="e">
        <f>'TRRI Content Type Definitions'!F1+"n/&gt;!6Z`"</f>
        <v>#VALUE!</v>
      </c>
      <c r="HV481" t="e">
        <f>'TRRI Content Type Definitions'!A2+"n/&gt;!6Za"</f>
        <v>#VALUE!</v>
      </c>
      <c r="HW481" t="e">
        <f>'TRRI Content Type Definitions'!B2+"n/&gt;!6Zb"</f>
        <v>#VALUE!</v>
      </c>
      <c r="HX481" t="e">
        <f>'TRRI Content Type Definitions'!C2+"n/&gt;!6Zc"</f>
        <v>#VALUE!</v>
      </c>
      <c r="HY481" t="e">
        <f>'TRRI Content Type Definitions'!D2+"n/&gt;!6Zd"</f>
        <v>#VALUE!</v>
      </c>
      <c r="HZ481" t="e">
        <f>'TRRI Content Type Definitions'!E2+"n/&gt;!6Ze"</f>
        <v>#VALUE!</v>
      </c>
      <c r="IA481" t="e">
        <f>'TRRI Content Type Definitions'!F2+"n/&gt;!6Zf"</f>
        <v>#VALUE!</v>
      </c>
      <c r="IB481" t="e">
        <f>'TRRI Content Type Definitions'!A3+"n/&gt;!6Zg"</f>
        <v>#VALUE!</v>
      </c>
      <c r="IC481" t="e">
        <f>'TRRI Content Type Definitions'!B3+"n/&gt;!6Zh"</f>
        <v>#VALUE!</v>
      </c>
      <c r="ID481" t="e">
        <f>'TRRI Content Type Definitions'!C3+"n/&gt;!6Zi"</f>
        <v>#VALUE!</v>
      </c>
      <c r="IE481" t="e">
        <f>'TRRI Content Type Definitions'!D3+"n/&gt;!6Zj"</f>
        <v>#VALUE!</v>
      </c>
      <c r="IF481" t="e">
        <f>'TRRI Content Type Definitions'!E3+"n/&gt;!6Zk"</f>
        <v>#VALUE!</v>
      </c>
      <c r="IG481" t="e">
        <f>'TRRI Content Type Definitions'!F3+"n/&gt;!6Zl"</f>
        <v>#VALUE!</v>
      </c>
      <c r="IH481" t="e">
        <f>'TRRI Content Type Definitions'!A4+"n/&gt;!6Zm"</f>
        <v>#VALUE!</v>
      </c>
      <c r="II481" t="e">
        <f>'TRRI Content Type Definitions'!B4+"n/&gt;!6Zn"</f>
        <v>#VALUE!</v>
      </c>
      <c r="IJ481" t="e">
        <f>'TRRI Content Type Definitions'!C4+"n/&gt;!6Zo"</f>
        <v>#VALUE!</v>
      </c>
      <c r="IK481" t="e">
        <f>'TRRI Content Type Definitions'!D4+"n/&gt;!6Zp"</f>
        <v>#VALUE!</v>
      </c>
      <c r="IL481" t="e">
        <f>'TRRI Content Type Definitions'!E4+"n/&gt;!6Zq"</f>
        <v>#VALUE!</v>
      </c>
      <c r="IM481" t="e">
        <f>'TRRI Content Type Definitions'!F4+"n/&gt;!6Zr"</f>
        <v>#VALUE!</v>
      </c>
      <c r="IN481" t="e">
        <f>'TRRI Content Type Definitions'!A5+"n/&gt;!6Zs"</f>
        <v>#VALUE!</v>
      </c>
      <c r="IO481" t="e">
        <f>'TRRI Content Type Definitions'!B5+"n/&gt;!6Zt"</f>
        <v>#VALUE!</v>
      </c>
      <c r="IP481" t="e">
        <f>'TRRI Content Type Definitions'!C5+"n/&gt;!6Zu"</f>
        <v>#VALUE!</v>
      </c>
      <c r="IQ481" t="e">
        <f>'TRRI Content Type Definitions'!D5+"n/&gt;!6Zv"</f>
        <v>#VALUE!</v>
      </c>
      <c r="IR481" t="e">
        <f>'TRRI Content Type Definitions'!E5+"n/&gt;!6Zw"</f>
        <v>#VALUE!</v>
      </c>
      <c r="IS481" t="e">
        <f>'TRRI Content Type Definitions'!F5+"n/&gt;!6Zx"</f>
        <v>#VALUE!</v>
      </c>
      <c r="IT481" t="e">
        <f>'TRRI Content Type Definitions'!A6+"n/&gt;!6Zy"</f>
        <v>#VALUE!</v>
      </c>
      <c r="IU481" t="e">
        <f>'TRRI Content Type Definitions'!B6+"n/&gt;!6Zz"</f>
        <v>#VALUE!</v>
      </c>
      <c r="IV481" t="e">
        <f>'TRRI Content Type Definitions'!C6+"n/&gt;!6Z{"</f>
        <v>#VALUE!</v>
      </c>
    </row>
    <row r="482" spans="6:256" x14ac:dyDescent="0.35">
      <c r="F482" t="e">
        <f>'TRRI Content Type Definitions'!D6+"n/&gt;!6Z|"</f>
        <v>#VALUE!</v>
      </c>
      <c r="G482" t="e">
        <f>'TRRI Content Type Definitions'!E6+"n/&gt;!6Z}"</f>
        <v>#VALUE!</v>
      </c>
      <c r="H482" t="e">
        <f>'TRRI Content Type Definitions'!F6+"n/&gt;!6Z~"</f>
        <v>#VALUE!</v>
      </c>
      <c r="I482" t="e">
        <f>'TRRI Content Type Definitions'!A7+"n/&gt;!6[#"</f>
        <v>#VALUE!</v>
      </c>
      <c r="J482" t="e">
        <f>'TRRI Content Type Definitions'!B7+"n/&gt;!6[$"</f>
        <v>#VALUE!</v>
      </c>
      <c r="K482" t="e">
        <f>'TRRI Content Type Definitions'!C7+"n/&gt;!6[%"</f>
        <v>#VALUE!</v>
      </c>
      <c r="L482" t="e">
        <f>'TRRI Content Type Definitions'!D7+"n/&gt;!6[&amp;"</f>
        <v>#VALUE!</v>
      </c>
      <c r="M482" t="e">
        <f>'TRRI Content Type Definitions'!E7+"n/&gt;!6['"</f>
        <v>#VALUE!</v>
      </c>
      <c r="N482" t="e">
        <f>'TRRI Content Type Definitions'!F7+"n/&gt;!6[("</f>
        <v>#VALUE!</v>
      </c>
      <c r="O482" t="e">
        <f>'TRRI Content Type Definitions'!A8+"n/&gt;!6[)"</f>
        <v>#VALUE!</v>
      </c>
      <c r="P482" t="e">
        <f>'TRRI Content Type Definitions'!B8+"n/&gt;!6[."</f>
        <v>#VALUE!</v>
      </c>
      <c r="Q482" t="e">
        <f>'TRRI Content Type Definitions'!C8+"n/&gt;!6[/"</f>
        <v>#VALUE!</v>
      </c>
      <c r="R482" t="e">
        <f>'TRRI Content Type Definitions'!D8+"n/&gt;!6[0"</f>
        <v>#VALUE!</v>
      </c>
      <c r="S482" t="e">
        <f>'TRRI Content Type Definitions'!E8+"n/&gt;!6[1"</f>
        <v>#VALUE!</v>
      </c>
      <c r="T482" t="e">
        <f>'TRRI Content Type Definitions'!F8+"n/&gt;!6[2"</f>
        <v>#VALUE!</v>
      </c>
      <c r="U482" t="e">
        <f>'TRRI Content Type Definitions'!A9+"n/&gt;!6[3"</f>
        <v>#VALUE!</v>
      </c>
      <c r="V482" t="e">
        <f>'TRRI Content Type Definitions'!B9+"n/&gt;!6[4"</f>
        <v>#VALUE!</v>
      </c>
      <c r="W482" t="e">
        <f>'TRRI Content Type Definitions'!C9+"n/&gt;!6[5"</f>
        <v>#VALUE!</v>
      </c>
      <c r="X482" t="e">
        <f>'TRRI Content Type Definitions'!D9+"n/&gt;!6[6"</f>
        <v>#VALUE!</v>
      </c>
      <c r="Y482" t="e">
        <f>'TRRI Content Type Definitions'!E9+"n/&gt;!6[7"</f>
        <v>#VALUE!</v>
      </c>
      <c r="Z482" t="e">
        <f>'TRRI Content Type Definitions'!F9+"n/&gt;!6[8"</f>
        <v>#VALUE!</v>
      </c>
      <c r="AA482" t="e">
        <f>'TRRI Content Type Definitions'!A10+"n/&gt;!6[9"</f>
        <v>#VALUE!</v>
      </c>
      <c r="AB482" t="e">
        <f>'TRRI Content Type Definitions'!B10+"n/&gt;!6[:"</f>
        <v>#VALUE!</v>
      </c>
      <c r="AC482" t="e">
        <f>'TRRI Content Type Definitions'!C10+"n/&gt;!6[;"</f>
        <v>#VALUE!</v>
      </c>
      <c r="AD482" t="e">
        <f>'TRRI Content Type Definitions'!D10+"n/&gt;!6[&lt;"</f>
        <v>#VALUE!</v>
      </c>
      <c r="AE482" t="e">
        <f>'TRRI Content Type Definitions'!E10+"n/&gt;!6[="</f>
        <v>#VALUE!</v>
      </c>
      <c r="AF482" t="e">
        <f>'TRRI Content Type Definitions'!F10+"n/&gt;!6[&gt;"</f>
        <v>#VALUE!</v>
      </c>
      <c r="AG482" t="e">
        <f>'TRRI Content Type Definitions'!A11+"n/&gt;!6[?"</f>
        <v>#VALUE!</v>
      </c>
      <c r="AH482" t="e">
        <f>'TRRI Content Type Definitions'!B11+"n/&gt;!6[@"</f>
        <v>#VALUE!</v>
      </c>
      <c r="AI482" t="e">
        <f>'TRRI Content Type Definitions'!C11+"n/&gt;!6[A"</f>
        <v>#VALUE!</v>
      </c>
      <c r="AJ482" t="e">
        <f>'TRRI Content Type Definitions'!D11+"n/&gt;!6[B"</f>
        <v>#VALUE!</v>
      </c>
      <c r="AK482" t="e">
        <f>'TRRI Content Type Definitions'!E11+"n/&gt;!6[C"</f>
        <v>#VALUE!</v>
      </c>
      <c r="AL482" t="e">
        <f>'TRRI Content Type Definitions'!F11+"n/&gt;!6[D"</f>
        <v>#VALUE!</v>
      </c>
      <c r="AM482" t="e">
        <f>'TRRI Content Type Definitions'!A12+"n/&gt;!6[E"</f>
        <v>#VALUE!</v>
      </c>
      <c r="AN482" t="e">
        <f>'TRRI Content Type Definitions'!B12+"n/&gt;!6[F"</f>
        <v>#VALUE!</v>
      </c>
      <c r="AO482" t="e">
        <f>'TRRI Content Type Definitions'!C12+"n/&gt;!6[G"</f>
        <v>#VALUE!</v>
      </c>
      <c r="AP482" t="e">
        <f>'TRRI Content Type Definitions'!D12+"n/&gt;!6[H"</f>
        <v>#VALUE!</v>
      </c>
      <c r="AQ482" t="e">
        <f>'TRRI Content Type Definitions'!E12+"n/&gt;!6[I"</f>
        <v>#VALUE!</v>
      </c>
      <c r="AR482" t="e">
        <f>'TRRI Content Type Definitions'!F12+"n/&gt;!6[J"</f>
        <v>#VALUE!</v>
      </c>
      <c r="AS482" t="e">
        <f>'TRRI Content Type Definitions'!A13+"n/&gt;!6[K"</f>
        <v>#VALUE!</v>
      </c>
      <c r="AT482" t="e">
        <f>'TRRI Content Type Definitions'!B13+"n/&gt;!6[L"</f>
        <v>#VALUE!</v>
      </c>
      <c r="AU482" t="e">
        <f>'TRRI Content Type Definitions'!C13+"n/&gt;!6[M"</f>
        <v>#VALUE!</v>
      </c>
      <c r="AV482" t="e">
        <f>'TRRI Content Type Definitions'!D13+"n/&gt;!6[N"</f>
        <v>#VALUE!</v>
      </c>
      <c r="AW482" t="e">
        <f>'TRRI Content Type Definitions'!E13+"n/&gt;!6[O"</f>
        <v>#VALUE!</v>
      </c>
      <c r="AX482" t="e">
        <f>'TRRI Content Type Definitions'!F13+"n/&gt;!6[P"</f>
        <v>#VALUE!</v>
      </c>
      <c r="AY482" t="e">
        <f>'TRRI Content Type Definitions'!A14+"n/&gt;!6[Q"</f>
        <v>#VALUE!</v>
      </c>
      <c r="AZ482" t="e">
        <f>'TRRI Content Type Definitions'!B14+"n/&gt;!6[R"</f>
        <v>#VALUE!</v>
      </c>
      <c r="BA482" t="e">
        <f>'TRRI Content Type Definitions'!C14+"n/&gt;!6[S"</f>
        <v>#VALUE!</v>
      </c>
      <c r="BB482" t="e">
        <f>'TRRI Content Type Definitions'!D14+"n/&gt;!6[T"</f>
        <v>#VALUE!</v>
      </c>
      <c r="BC482" t="e">
        <f>'TRRI Content Type Definitions'!E14+"n/&gt;!6[U"</f>
        <v>#VALUE!</v>
      </c>
      <c r="BD482" t="e">
        <f>'TRRI Content Type Definitions'!F14+"n/&gt;!6[V"</f>
        <v>#VALUE!</v>
      </c>
      <c r="BE482" t="e">
        <f>'TRRI Content Type Definitions'!A15+"n/&gt;!6[W"</f>
        <v>#VALUE!</v>
      </c>
      <c r="BF482" t="e">
        <f>'TRRI Content Type Definitions'!B15+"n/&gt;!6[X"</f>
        <v>#VALUE!</v>
      </c>
      <c r="BG482" t="e">
        <f>'TRRI Content Type Definitions'!C15+"n/&gt;!6[Y"</f>
        <v>#VALUE!</v>
      </c>
      <c r="BH482" t="e">
        <f>'TRRI Content Type Definitions'!D15+"n/&gt;!6[Z"</f>
        <v>#VALUE!</v>
      </c>
      <c r="BI482" t="e">
        <f>'TRRI Content Type Definitions'!E15+"n/&gt;!6[["</f>
        <v>#VALUE!</v>
      </c>
      <c r="BJ482" t="e">
        <f>'TRRI Content Type Definitions'!F15+"n/&gt;!6[\"</f>
        <v>#VALUE!</v>
      </c>
      <c r="BK482" t="e">
        <f>'TRRI Content Type Definitions'!A16+"n/&gt;!6[]"</f>
        <v>#VALUE!</v>
      </c>
      <c r="BL482" t="e">
        <f>'TRRI Content Type Definitions'!B16+"n/&gt;!6[^"</f>
        <v>#VALUE!</v>
      </c>
      <c r="BM482" t="e">
        <f>'TRRI Content Type Definitions'!C16+"n/&gt;!6[_"</f>
        <v>#VALUE!</v>
      </c>
      <c r="BN482" t="e">
        <f>'TRRI Content Type Definitions'!D16+"n/&gt;!6[`"</f>
        <v>#VALUE!</v>
      </c>
      <c r="BO482" t="e">
        <f>'TRRI Content Type Definitions'!E16+"n/&gt;!6[a"</f>
        <v>#VALUE!</v>
      </c>
      <c r="BP482" t="e">
        <f>'TRRI Content Type Definitions'!F16+"n/&gt;!6[b"</f>
        <v>#VALUE!</v>
      </c>
      <c r="BQ482" t="e">
        <f>'TRRI Content Type Definitions'!A17+"n/&gt;!6[c"</f>
        <v>#VALUE!</v>
      </c>
      <c r="BR482" t="e">
        <f>'TRRI Content Type Definitions'!B17+"n/&gt;!6[d"</f>
        <v>#VALUE!</v>
      </c>
      <c r="BS482" t="e">
        <f>'TRRI Content Type Definitions'!C17+"n/&gt;!6[e"</f>
        <v>#VALUE!</v>
      </c>
      <c r="BT482" t="e">
        <f>'TRRI Content Type Definitions'!D17+"n/&gt;!6[f"</f>
        <v>#VALUE!</v>
      </c>
      <c r="BU482" t="e">
        <f>'TRRI Content Type Definitions'!E17+"n/&gt;!6[g"</f>
        <v>#VALUE!</v>
      </c>
      <c r="BV482" t="e">
        <f>'TRRI Content Type Definitions'!F17+"n/&gt;!6[h"</f>
        <v>#VALUE!</v>
      </c>
      <c r="BW482" t="e">
        <f>'TRRI Content Type Definitions'!A18+"n/&gt;!6[i"</f>
        <v>#VALUE!</v>
      </c>
      <c r="BX482" t="e">
        <f>'TRRI Content Type Definitions'!B18+"n/&gt;!6[j"</f>
        <v>#VALUE!</v>
      </c>
      <c r="BY482" t="e">
        <f>'TRRI Content Type Definitions'!C18+"n/&gt;!6[k"</f>
        <v>#VALUE!</v>
      </c>
      <c r="BZ482" t="e">
        <f>'TRRI Content Type Definitions'!D18+"n/&gt;!6[l"</f>
        <v>#VALUE!</v>
      </c>
      <c r="CA482" t="e">
        <f>'TRRI Content Type Definitions'!E18+"n/&gt;!6[m"</f>
        <v>#VALUE!</v>
      </c>
      <c r="CB482" t="e">
        <f>'TRRI Content Type Definitions'!F18+"n/&gt;!6[n"</f>
        <v>#VALUE!</v>
      </c>
      <c r="CC482" t="e">
        <f>'TRRI Content Type Definitions'!A19+"n/&gt;!6[o"</f>
        <v>#VALUE!</v>
      </c>
      <c r="CD482" t="e">
        <f>'TRRI Content Type Definitions'!B19+"n/&gt;!6[p"</f>
        <v>#VALUE!</v>
      </c>
      <c r="CE482" t="e">
        <f>'TRRI Content Type Definitions'!C19+"n/&gt;!6[q"</f>
        <v>#VALUE!</v>
      </c>
      <c r="CF482" t="e">
        <f>'TRRI Content Type Definitions'!D19+"n/&gt;!6[r"</f>
        <v>#VALUE!</v>
      </c>
      <c r="CG482" t="e">
        <f>'TRRI Content Type Definitions'!E19+"n/&gt;!6[s"</f>
        <v>#VALUE!</v>
      </c>
      <c r="CH482" t="e">
        <f>'TRRI Content Type Definitions'!F19+"n/&gt;!6[t"</f>
        <v>#VALUE!</v>
      </c>
      <c r="CI482" t="e">
        <f>'TRRI Content Type Definitions'!A20+"n/&gt;!6[u"</f>
        <v>#VALUE!</v>
      </c>
      <c r="CJ482" t="e">
        <f>'TRRI Content Type Definitions'!B20+"n/&gt;!6[v"</f>
        <v>#VALUE!</v>
      </c>
      <c r="CK482" t="e">
        <f>'TRRI Content Type Definitions'!C20+"n/&gt;!6[w"</f>
        <v>#VALUE!</v>
      </c>
      <c r="CL482" t="e">
        <f>'TRRI Content Type Definitions'!D20+"n/&gt;!6[x"</f>
        <v>#VALUE!</v>
      </c>
      <c r="CM482" t="e">
        <f>'TRRI Content Type Definitions'!E20+"n/&gt;!6[y"</f>
        <v>#VALUE!</v>
      </c>
      <c r="CN482" t="e">
        <f>'TRRI Content Type Definitions'!F20+"n/&gt;!6[z"</f>
        <v>#VALUE!</v>
      </c>
      <c r="CO482" t="e">
        <f>'TRRI Content Type Definitions'!A21+"n/&gt;!6[{"</f>
        <v>#VALUE!</v>
      </c>
      <c r="CP482" t="e">
        <f>'TRRI Content Type Definitions'!B21+"n/&gt;!6[|"</f>
        <v>#VALUE!</v>
      </c>
      <c r="CQ482" t="e">
        <f>'TRRI Content Type Definitions'!C21+"n/&gt;!6[}"</f>
        <v>#VALUE!</v>
      </c>
      <c r="CR482" t="e">
        <f>'TRRI Content Type Definitions'!D21+"n/&gt;!6[~"</f>
        <v>#VALUE!</v>
      </c>
      <c r="CS482" t="e">
        <f>'TRRI Content Type Definitions'!E21+"n/&gt;!6\#"</f>
        <v>#VALUE!</v>
      </c>
      <c r="CT482" t="e">
        <f>'TRRI Content Type Definitions'!F21+"n/&gt;!6\$"</f>
        <v>#VALUE!</v>
      </c>
      <c r="CU482" t="e">
        <f>'TRRI Content Type Definitions'!A22+"n/&gt;!6\%"</f>
        <v>#VALUE!</v>
      </c>
      <c r="CV482" t="e">
        <f>'TRRI Content Type Definitions'!B22+"n/&gt;!6\&amp;"</f>
        <v>#VALUE!</v>
      </c>
      <c r="CW482" t="e">
        <f>'TRRI Content Type Definitions'!C22+"n/&gt;!6\'"</f>
        <v>#VALUE!</v>
      </c>
      <c r="CX482" t="e">
        <f>'TRRI Content Type Definitions'!D22+"n/&gt;!6\("</f>
        <v>#VALUE!</v>
      </c>
      <c r="CY482" t="e">
        <f>'TRRI Content Type Definitions'!E22+"n/&gt;!6\)"</f>
        <v>#VALUE!</v>
      </c>
      <c r="CZ482" t="e">
        <f>'TRRI Content Type Definitions'!F22+"n/&gt;!6\."</f>
        <v>#VALUE!</v>
      </c>
      <c r="DA482" t="e">
        <f>'TRRI Content Type Definitions'!A23+"n/&gt;!6\/"</f>
        <v>#VALUE!</v>
      </c>
      <c r="DB482" t="e">
        <f>'TRRI Content Type Definitions'!B23+"n/&gt;!6\0"</f>
        <v>#VALUE!</v>
      </c>
      <c r="DC482" t="e">
        <f>'TRRI Content Type Definitions'!C23+"n/&gt;!6\1"</f>
        <v>#VALUE!</v>
      </c>
      <c r="DD482" t="e">
        <f>'TRRI Content Type Definitions'!D23+"n/&gt;!6\2"</f>
        <v>#VALUE!</v>
      </c>
      <c r="DE482" t="e">
        <f>'TRRI Content Type Definitions'!E23+"n/&gt;!6\3"</f>
        <v>#VALUE!</v>
      </c>
      <c r="DF482" t="e">
        <f>'TRRI Content Type Definitions'!F23+"n/&gt;!6\4"</f>
        <v>#VALUE!</v>
      </c>
      <c r="DG482" t="e">
        <f>'TRRI Content Type Definitions'!A24+"n/&gt;!6\5"</f>
        <v>#VALUE!</v>
      </c>
      <c r="DH482" t="e">
        <f>'TRRI Content Type Definitions'!B24+"n/&gt;!6\6"</f>
        <v>#VALUE!</v>
      </c>
      <c r="DI482" t="e">
        <f>'TRRI Content Type Definitions'!C24+"n/&gt;!6\7"</f>
        <v>#VALUE!</v>
      </c>
      <c r="DJ482" t="e">
        <f>'TRRI Content Type Definitions'!D24+"n/&gt;!6\8"</f>
        <v>#VALUE!</v>
      </c>
      <c r="DK482" t="e">
        <f>'TRRI Content Type Definitions'!E24+"n/&gt;!6\9"</f>
        <v>#VALUE!</v>
      </c>
      <c r="DL482" t="e">
        <f>'TRRI Content Type Definitions'!F24+"n/&gt;!6\:"</f>
        <v>#VALUE!</v>
      </c>
      <c r="DM482" t="e">
        <f>'TRRI Content Type Definitions'!A25+"n/&gt;!6\;"</f>
        <v>#VALUE!</v>
      </c>
      <c r="DN482" t="e">
        <f>'TRRI Content Type Definitions'!B25+"n/&gt;!6\&lt;"</f>
        <v>#VALUE!</v>
      </c>
      <c r="DO482" t="e">
        <f>'TRRI Content Type Definitions'!C25+"n/&gt;!6\="</f>
        <v>#VALUE!</v>
      </c>
      <c r="DP482" t="e">
        <f>'TRRI Content Type Definitions'!D25+"n/&gt;!6\&gt;"</f>
        <v>#VALUE!</v>
      </c>
      <c r="DQ482" t="e">
        <f>'TRRI Content Type Definitions'!E25+"n/&gt;!6\?"</f>
        <v>#VALUE!</v>
      </c>
      <c r="DR482" t="e">
        <f>'TRRI Content Type Definitions'!F25+"n/&gt;!6\@"</f>
        <v>#VALUE!</v>
      </c>
      <c r="DS482" t="e">
        <f>'TRRI Content Type Definitions'!A26+"n/&gt;!6\A"</f>
        <v>#VALUE!</v>
      </c>
      <c r="DT482" t="e">
        <f>'TRRI Content Type Definitions'!B26+"n/&gt;!6\B"</f>
        <v>#VALUE!</v>
      </c>
      <c r="DU482" t="e">
        <f>'TRRI Content Type Definitions'!C26+"n/&gt;!6\C"</f>
        <v>#VALUE!</v>
      </c>
      <c r="DV482" t="e">
        <f>'TRRI Content Type Definitions'!D26+"n/&gt;!6\D"</f>
        <v>#VALUE!</v>
      </c>
      <c r="DW482" t="e">
        <f>'TRRI Content Type Definitions'!E26+"n/&gt;!6\E"</f>
        <v>#VALUE!</v>
      </c>
      <c r="DX482" t="e">
        <f>'TRRI Content Type Definitions'!F26+"n/&gt;!6\F"</f>
        <v>#VALUE!</v>
      </c>
      <c r="DY482" t="e">
        <f>'TRRI Content Type Definitions'!A27+"n/&gt;!6\G"</f>
        <v>#VALUE!</v>
      </c>
      <c r="DZ482" t="e">
        <f>'TRRI Content Type Definitions'!B27+"n/&gt;!6\H"</f>
        <v>#VALUE!</v>
      </c>
      <c r="EA482" t="e">
        <f>'TRRI Content Type Definitions'!C27+"n/&gt;!6\I"</f>
        <v>#VALUE!</v>
      </c>
      <c r="EB482" t="e">
        <f>'TRRI Content Type Definitions'!D27+"n/&gt;!6\J"</f>
        <v>#VALUE!</v>
      </c>
      <c r="EC482" t="e">
        <f>'TRRI Content Type Definitions'!E27+"n/&gt;!6\K"</f>
        <v>#VALUE!</v>
      </c>
      <c r="ED482" t="e">
        <f>'TRRI Content Type Definitions'!F27+"n/&gt;!6\L"</f>
        <v>#VALUE!</v>
      </c>
      <c r="EE482" t="e">
        <f>'TRRI Content Type Definitions'!A28+"n/&gt;!6\M"</f>
        <v>#VALUE!</v>
      </c>
      <c r="EF482" t="e">
        <f>'TRRI Content Type Definitions'!B28+"n/&gt;!6\N"</f>
        <v>#VALUE!</v>
      </c>
      <c r="EG482" t="e">
        <f>'TRRI Content Type Definitions'!C28+"n/&gt;!6\O"</f>
        <v>#VALUE!</v>
      </c>
      <c r="EH482" t="e">
        <f>'TRRI Content Type Definitions'!D28+"n/&gt;!6\P"</f>
        <v>#VALUE!</v>
      </c>
      <c r="EI482" t="e">
        <f>'TRRI Content Type Definitions'!E28+"n/&gt;!6\Q"</f>
        <v>#VALUE!</v>
      </c>
      <c r="EJ482" t="e">
        <f>'TRRI Content Type Definitions'!F28+"n/&gt;!6\R"</f>
        <v>#VALUE!</v>
      </c>
      <c r="EK482" t="e">
        <f>'TRRI Content Type Definitions'!A29+"n/&gt;!6\S"</f>
        <v>#VALUE!</v>
      </c>
      <c r="EL482" t="e">
        <f>'TRRI Content Type Definitions'!B29+"n/&gt;!6\T"</f>
        <v>#VALUE!</v>
      </c>
      <c r="EM482" t="e">
        <f>'TRRI Content Type Definitions'!C29+"n/&gt;!6\U"</f>
        <v>#VALUE!</v>
      </c>
      <c r="EN482" t="e">
        <f>'TRRI Content Type Definitions'!D29+"n/&gt;!6\V"</f>
        <v>#VALUE!</v>
      </c>
      <c r="EO482" t="e">
        <f>'TRRI Content Type Definitions'!E29+"n/&gt;!6\W"</f>
        <v>#VALUE!</v>
      </c>
      <c r="EP482" t="e">
        <f>'TRRI Content Type Definitions'!F29+"n/&gt;!6\X"</f>
        <v>#VALUE!</v>
      </c>
      <c r="EQ482" t="e">
        <f>'TRRI Content Type Definitions'!A30+"n/&gt;!6\Y"</f>
        <v>#VALUE!</v>
      </c>
      <c r="ER482" t="e">
        <f>'TRRI Content Type Definitions'!B30+"n/&gt;!6\Z"</f>
        <v>#VALUE!</v>
      </c>
      <c r="ES482" t="e">
        <f>'TRRI Content Type Definitions'!C30+"n/&gt;!6\["</f>
        <v>#VALUE!</v>
      </c>
      <c r="ET482" t="e">
        <f>'TRRI Content Type Definitions'!D30+"n/&gt;!6\\"</f>
        <v>#VALUE!</v>
      </c>
      <c r="EU482" t="e">
        <f>'TRRI Content Type Definitions'!E30+"n/&gt;!6\]"</f>
        <v>#VALUE!</v>
      </c>
      <c r="EV482" t="e">
        <f>'TRRI Content Type Definitions'!F30+"n/&gt;!6\^"</f>
        <v>#VALUE!</v>
      </c>
      <c r="EW482" t="e">
        <f>'TRRI Content Type Definitions'!A31+"n/&gt;!6\_"</f>
        <v>#VALUE!</v>
      </c>
      <c r="EX482" t="e">
        <f>'TRRI Content Type Definitions'!B31+"n/&gt;!6\`"</f>
        <v>#VALUE!</v>
      </c>
      <c r="EY482" t="e">
        <f>'TRRI Content Type Definitions'!C31+"n/&gt;!6\a"</f>
        <v>#VALUE!</v>
      </c>
      <c r="EZ482" t="e">
        <f>'TRRI Content Type Definitions'!D31+"n/&gt;!6\b"</f>
        <v>#VALUE!</v>
      </c>
      <c r="FA482" t="e">
        <f>'TRRI Content Type Definitions'!E31+"n/&gt;!6\c"</f>
        <v>#VALUE!</v>
      </c>
      <c r="FB482" t="e">
        <f>'TRRI Content Type Definitions'!F31+"n/&gt;!6\d"</f>
        <v>#VALUE!</v>
      </c>
      <c r="FC482" t="e">
        <f>'TRRI Content Type Definitions'!A32+"n/&gt;!6\e"</f>
        <v>#VALUE!</v>
      </c>
      <c r="FD482" t="e">
        <f>'TRRI Content Type Definitions'!B32+"n/&gt;!6\f"</f>
        <v>#VALUE!</v>
      </c>
      <c r="FE482" t="e">
        <f>'TRRI Content Type Definitions'!C32+"n/&gt;!6\g"</f>
        <v>#VALUE!</v>
      </c>
      <c r="FF482" t="e">
        <f>'TRRI Content Type Definitions'!D32+"n/&gt;!6\h"</f>
        <v>#VALUE!</v>
      </c>
      <c r="FG482" t="e">
        <f>'TRRI Content Type Definitions'!E32+"n/&gt;!6\i"</f>
        <v>#VALUE!</v>
      </c>
      <c r="FH482" t="e">
        <f>'TRRI Content Type Definitions'!F32+"n/&gt;!6\j"</f>
        <v>#VALUE!</v>
      </c>
      <c r="FI482" t="e">
        <f>'TRRI Content Type Definitions'!A33+"n/&gt;!6\k"</f>
        <v>#VALUE!</v>
      </c>
      <c r="FJ482" t="e">
        <f>'TRRI Content Type Definitions'!B33+"n/&gt;!6\l"</f>
        <v>#VALUE!</v>
      </c>
      <c r="FK482" t="e">
        <f>'TRRI Content Type Definitions'!C33+"n/&gt;!6\m"</f>
        <v>#VALUE!</v>
      </c>
      <c r="FL482" t="e">
        <f>'TRRI Content Type Definitions'!D33+"n/&gt;!6\n"</f>
        <v>#VALUE!</v>
      </c>
      <c r="FM482" t="e">
        <f>'TRRI Content Type Definitions'!E33+"n/&gt;!6\o"</f>
        <v>#VALUE!</v>
      </c>
      <c r="FN482" t="e">
        <f>'TRRI Content Type Definitions'!F33+"n/&gt;!6\p"</f>
        <v>#VALUE!</v>
      </c>
      <c r="FO482" t="e">
        <f>'TRRI Content Type Definitions'!A34+"n/&gt;!6\q"</f>
        <v>#VALUE!</v>
      </c>
      <c r="FP482" t="e">
        <f>'TRRI Content Type Definitions'!B34+"n/&gt;!6\r"</f>
        <v>#VALUE!</v>
      </c>
      <c r="FQ482" t="e">
        <f>'TRRI Content Type Definitions'!C34+"n/&gt;!6\s"</f>
        <v>#VALUE!</v>
      </c>
      <c r="FR482" t="e">
        <f>'TRRI Content Type Definitions'!D34+"n/&gt;!6\t"</f>
        <v>#VALUE!</v>
      </c>
      <c r="FS482" t="e">
        <f>'TRRI Content Type Definitions'!E34+"n/&gt;!6\u"</f>
        <v>#VALUE!</v>
      </c>
      <c r="FT482" t="e">
        <f>'TRRI Content Type Definitions'!F34+"n/&gt;!6\v"</f>
        <v>#VALUE!</v>
      </c>
      <c r="FU482" t="e">
        <f>'TRRI Content Type Definitions'!A35+"n/&gt;!6\w"</f>
        <v>#VALUE!</v>
      </c>
      <c r="FV482" t="e">
        <f>'TRRI Content Type Definitions'!B35+"n/&gt;!6\x"</f>
        <v>#VALUE!</v>
      </c>
      <c r="FW482" t="e">
        <f>'TRRI Content Type Definitions'!C35+"n/&gt;!6\y"</f>
        <v>#VALUE!</v>
      </c>
      <c r="FX482" t="e">
        <f>'TRRI Content Type Definitions'!D35+"n/&gt;!6\z"</f>
        <v>#VALUE!</v>
      </c>
      <c r="FY482" t="e">
        <f>'TRRI Content Type Definitions'!E35+"n/&gt;!6\{"</f>
        <v>#VALUE!</v>
      </c>
      <c r="FZ482" t="e">
        <f>'TRRI Content Type Definitions'!F35+"n/&gt;!6\|"</f>
        <v>#VALUE!</v>
      </c>
      <c r="GA482" t="e">
        <f>'TRRI Content Type Definitions'!A36+"n/&gt;!6\}"</f>
        <v>#VALUE!</v>
      </c>
      <c r="GB482" t="e">
        <f>'TRRI Content Type Definitions'!B36+"n/&gt;!6\~"</f>
        <v>#VALUE!</v>
      </c>
      <c r="GC482" t="e">
        <f>'TRRI Content Type Definitions'!C36+"n/&gt;!6]#"</f>
        <v>#VALUE!</v>
      </c>
      <c r="GD482" t="e">
        <f>'TRRI Content Type Definitions'!D36+"n/&gt;!6]$"</f>
        <v>#VALUE!</v>
      </c>
      <c r="GE482" t="e">
        <f>'TRRI Content Type Definitions'!E36+"n/&gt;!6]%"</f>
        <v>#VALUE!</v>
      </c>
      <c r="GF482" t="e">
        <f>'TRRI Content Type Definitions'!F36+"n/&gt;!6]&amp;"</f>
        <v>#VALUE!</v>
      </c>
      <c r="GG482" t="e">
        <f>'TRRI Content Type Definitions'!A37+"n/&gt;!6]'"</f>
        <v>#VALUE!</v>
      </c>
      <c r="GH482" t="e">
        <f>'TRRI Content Type Definitions'!B37+"n/&gt;!6]("</f>
        <v>#VALUE!</v>
      </c>
      <c r="GI482" t="e">
        <f>'TRRI Content Type Definitions'!C37+"n/&gt;!6])"</f>
        <v>#VALUE!</v>
      </c>
      <c r="GJ482" t="e">
        <f>'TRRI Content Type Definitions'!D37+"n/&gt;!6]."</f>
        <v>#VALUE!</v>
      </c>
      <c r="GK482" t="e">
        <f>'TRRI Content Type Definitions'!E37+"n/&gt;!6]/"</f>
        <v>#VALUE!</v>
      </c>
      <c r="GL482" t="e">
        <f>'TRRI Content Type Definitions'!F37+"n/&gt;!6]0"</f>
        <v>#VALUE!</v>
      </c>
      <c r="GM482" t="e">
        <f>'TRRI Content Type Definitions'!A38+"n/&gt;!6]1"</f>
        <v>#VALUE!</v>
      </c>
      <c r="GN482" t="e">
        <f>'TRRI Content Type Definitions'!B38+"n/&gt;!6]2"</f>
        <v>#VALUE!</v>
      </c>
      <c r="GO482" t="e">
        <f>'TRRI Content Type Definitions'!C38+"n/&gt;!6]3"</f>
        <v>#VALUE!</v>
      </c>
      <c r="GP482" t="e">
        <f>'TRRI Content Type Definitions'!D38+"n/&gt;!6]4"</f>
        <v>#VALUE!</v>
      </c>
      <c r="GQ482" t="e">
        <f>'TRRI Content Type Definitions'!E38+"n/&gt;!6]5"</f>
        <v>#VALUE!</v>
      </c>
      <c r="GR482" t="e">
        <f>'TRRI Content Type Definitions'!F38+"n/&gt;!6]6"</f>
        <v>#VALUE!</v>
      </c>
      <c r="GS482" t="e">
        <f>'TRRI Content Type Definitions'!A39+"n/&gt;!6]7"</f>
        <v>#VALUE!</v>
      </c>
      <c r="GT482" t="e">
        <f>'TRRI Content Type Definitions'!B39+"n/&gt;!6]8"</f>
        <v>#VALUE!</v>
      </c>
      <c r="GU482" t="e">
        <f>'TRRI Content Type Definitions'!C39+"n/&gt;!6]9"</f>
        <v>#VALUE!</v>
      </c>
      <c r="GV482" t="e">
        <f>'TRRI Content Type Definitions'!D39+"n/&gt;!6]:"</f>
        <v>#VALUE!</v>
      </c>
      <c r="GW482" t="e">
        <f>'TRRI Content Type Definitions'!E39+"n/&gt;!6];"</f>
        <v>#VALUE!</v>
      </c>
      <c r="GX482" t="e">
        <f>'TRRI Content Type Definitions'!F39+"n/&gt;!6]&lt;"</f>
        <v>#VALUE!</v>
      </c>
      <c r="GY482" t="e">
        <f>'TRRI Content Type Definitions'!A40+"n/&gt;!6]="</f>
        <v>#VALUE!</v>
      </c>
      <c r="GZ482" t="e">
        <f>'TRRI Content Type Definitions'!B40+"n/&gt;!6]&gt;"</f>
        <v>#VALUE!</v>
      </c>
      <c r="HA482" t="e">
        <f>'TRRI Content Type Definitions'!C40+"n/&gt;!6]?"</f>
        <v>#VALUE!</v>
      </c>
      <c r="HB482" t="e">
        <f>'TRRI Content Type Definitions'!D40+"n/&gt;!6]@"</f>
        <v>#VALUE!</v>
      </c>
      <c r="HC482" t="e">
        <f>'TRRI Content Type Definitions'!E40+"n/&gt;!6]A"</f>
        <v>#VALUE!</v>
      </c>
      <c r="HD482" t="e">
        <f>'TRRI Content Type Definitions'!F40+"n/&gt;!6]B"</f>
        <v>#VALUE!</v>
      </c>
      <c r="HE482" t="e">
        <f>'TRRI Content Type Definitions'!A41+"n/&gt;!6]C"</f>
        <v>#VALUE!</v>
      </c>
      <c r="HF482" t="e">
        <f>'TRRI Content Type Definitions'!B41+"n/&gt;!6]D"</f>
        <v>#VALUE!</v>
      </c>
      <c r="HG482" t="e">
        <f>'TRRI Content Type Definitions'!C41+"n/&gt;!6]E"</f>
        <v>#VALUE!</v>
      </c>
      <c r="HH482" t="e">
        <f>'TRRI Content Type Definitions'!D41+"n/&gt;!6]F"</f>
        <v>#VALUE!</v>
      </c>
      <c r="HI482" t="e">
        <f>'TRRI Content Type Definitions'!E41+"n/&gt;!6]G"</f>
        <v>#VALUE!</v>
      </c>
      <c r="HJ482" t="e">
        <f>'TRRI Content Type Definitions'!F41+"n/&gt;!6]H"</f>
        <v>#VALUE!</v>
      </c>
      <c r="HK482" t="e">
        <f>'TRRI Content Type Definitions'!A42+"n/&gt;!6]I"</f>
        <v>#VALUE!</v>
      </c>
      <c r="HL482" t="e">
        <f>'TRRI Content Type Definitions'!B42+"n/&gt;!6]J"</f>
        <v>#VALUE!</v>
      </c>
      <c r="HM482" t="e">
        <f>'TRRI Content Type Definitions'!C42+"n/&gt;!6]K"</f>
        <v>#VALUE!</v>
      </c>
      <c r="HN482" t="e">
        <f>'TRRI Content Type Definitions'!D42+"n/&gt;!6]L"</f>
        <v>#VALUE!</v>
      </c>
      <c r="HO482" t="e">
        <f>'TRRI Content Type Definitions'!E42+"n/&gt;!6]M"</f>
        <v>#VALUE!</v>
      </c>
      <c r="HP482" t="e">
        <f>'TRRI Content Type Definitions'!F42+"n/&gt;!6]N"</f>
        <v>#VALUE!</v>
      </c>
      <c r="HQ482" t="e">
        <f>'TRRI Content Type Definitions'!A43+"n/&gt;!6]O"</f>
        <v>#VALUE!</v>
      </c>
      <c r="HR482" t="e">
        <f>'TRRI Content Type Definitions'!B43+"n/&gt;!6]P"</f>
        <v>#VALUE!</v>
      </c>
      <c r="HS482" t="e">
        <f>'TRRI Content Type Definitions'!C43+"n/&gt;!6]Q"</f>
        <v>#VALUE!</v>
      </c>
      <c r="HT482" t="e">
        <f>'TRRI Content Type Definitions'!D43+"n/&gt;!6]R"</f>
        <v>#VALUE!</v>
      </c>
      <c r="HU482" t="e">
        <f>'TRRI Content Type Definitions'!E43+"n/&gt;!6]S"</f>
        <v>#VALUE!</v>
      </c>
      <c r="HV482" t="e">
        <f>'TRRI Content Type Definitions'!F43+"n/&gt;!6]T"</f>
        <v>#VALUE!</v>
      </c>
      <c r="HW482" t="e">
        <f>'TRRI Content Type Definitions'!A44+"n/&gt;!6]U"</f>
        <v>#VALUE!</v>
      </c>
      <c r="HX482" t="e">
        <f>'TRRI Content Type Definitions'!B44+"n/&gt;!6]V"</f>
        <v>#VALUE!</v>
      </c>
      <c r="HY482" t="e">
        <f>'TRRI Content Type Definitions'!C44+"n/&gt;!6]W"</f>
        <v>#VALUE!</v>
      </c>
      <c r="HZ482" t="e">
        <f>'TRRI Content Type Definitions'!D44+"n/&gt;!6]X"</f>
        <v>#VALUE!</v>
      </c>
      <c r="IA482" t="e">
        <f>'TRRI Content Type Definitions'!E44+"n/&gt;!6]Y"</f>
        <v>#VALUE!</v>
      </c>
      <c r="IB482" t="e">
        <f>'TRRI Content Type Definitions'!F44+"n/&gt;!6]Z"</f>
        <v>#VALUE!</v>
      </c>
      <c r="IC482" t="e">
        <f>'TRRI Content Type Definitions'!A45+"n/&gt;!6]["</f>
        <v>#VALUE!</v>
      </c>
      <c r="ID482" t="e">
        <f>'TRRI Content Type Definitions'!B45+"n/&gt;!6]\"</f>
        <v>#VALUE!</v>
      </c>
      <c r="IE482" t="e">
        <f>'TRRI Content Type Definitions'!C45+"n/&gt;!6]]"</f>
        <v>#VALUE!</v>
      </c>
      <c r="IF482" t="e">
        <f>'TRRI Content Type Definitions'!D45+"n/&gt;!6]^"</f>
        <v>#VALUE!</v>
      </c>
      <c r="IG482" t="e">
        <f>'TRRI Content Type Definitions'!E45+"n/&gt;!6]_"</f>
        <v>#VALUE!</v>
      </c>
      <c r="IH482" t="e">
        <f>'TRRI Content Type Definitions'!F45+"n/&gt;!6]`"</f>
        <v>#VALUE!</v>
      </c>
      <c r="II482" t="e">
        <f>'TRRI Content Type Definitions'!A46+"n/&gt;!6]a"</f>
        <v>#VALUE!</v>
      </c>
      <c r="IJ482" t="e">
        <f>'TRRI Content Type Definitions'!B46+"n/&gt;!6]b"</f>
        <v>#VALUE!</v>
      </c>
      <c r="IK482" t="e">
        <f>'TRRI Content Type Definitions'!C46+"n/&gt;!6]c"</f>
        <v>#VALUE!</v>
      </c>
      <c r="IL482" t="e">
        <f>'TRRI Content Type Definitions'!D46+"n/&gt;!6]d"</f>
        <v>#VALUE!</v>
      </c>
      <c r="IM482" t="e">
        <f>'TRRI Content Type Definitions'!E46+"n/&gt;!6]e"</f>
        <v>#VALUE!</v>
      </c>
      <c r="IN482" t="e">
        <f>'TRRI Content Type Definitions'!F46+"n/&gt;!6]f"</f>
        <v>#VALUE!</v>
      </c>
      <c r="IO482" t="e">
        <f>'TRRI Content Type Definitions'!A47+"n/&gt;!6]g"</f>
        <v>#VALUE!</v>
      </c>
      <c r="IP482" t="e">
        <f>'TRRI Content Type Definitions'!B47+"n/&gt;!6]h"</f>
        <v>#VALUE!</v>
      </c>
      <c r="IQ482" t="e">
        <f>'TRRI Content Type Definitions'!C47+"n/&gt;!6]i"</f>
        <v>#VALUE!</v>
      </c>
      <c r="IR482" t="e">
        <f>'TRRI Content Type Definitions'!D47+"n/&gt;!6]j"</f>
        <v>#VALUE!</v>
      </c>
      <c r="IS482" t="e">
        <f>'TRRI Content Type Definitions'!E47+"n/&gt;!6]k"</f>
        <v>#VALUE!</v>
      </c>
      <c r="IT482" t="e">
        <f>'TRRI Content Type Definitions'!F47+"n/&gt;!6]l"</f>
        <v>#VALUE!</v>
      </c>
      <c r="IU482" t="e">
        <f>'TRRI Content Type Definitions'!A48+"n/&gt;!6]m"</f>
        <v>#VALUE!</v>
      </c>
      <c r="IV482" t="e">
        <f>'TRRI Content Type Definitions'!B48+"n/&gt;!6]n"</f>
        <v>#VALUE!</v>
      </c>
    </row>
    <row r="483" spans="6:256" x14ac:dyDescent="0.35">
      <c r="F483" t="e">
        <f>'TRRI Content Type Definitions'!C48+"n/&gt;!6]o"</f>
        <v>#VALUE!</v>
      </c>
      <c r="G483" t="e">
        <f>'TRRI Content Type Definitions'!D48+"n/&gt;!6]p"</f>
        <v>#VALUE!</v>
      </c>
      <c r="H483" t="e">
        <f>'TRRI Content Type Definitions'!E48+"n/&gt;!6]q"</f>
        <v>#VALUE!</v>
      </c>
      <c r="I483" t="e">
        <f>'TRRI Content Type Definitions'!F48+"n/&gt;!6]r"</f>
        <v>#VALUE!</v>
      </c>
      <c r="J483" t="e">
        <f>'TRRI Content Type Definitions'!A49+"n/&gt;!6]s"</f>
        <v>#VALUE!</v>
      </c>
      <c r="K483" t="e">
        <f>'TRRI Content Type Definitions'!B49+"n/&gt;!6]t"</f>
        <v>#VALUE!</v>
      </c>
      <c r="L483" t="e">
        <f>'TRRI Content Type Definitions'!C49+"n/&gt;!6]u"</f>
        <v>#VALUE!</v>
      </c>
      <c r="M483" t="e">
        <f>'TRRI Content Type Definitions'!D49+"n/&gt;!6]v"</f>
        <v>#VALUE!</v>
      </c>
      <c r="N483" t="e">
        <f>'TRRI Content Type Definitions'!E49+"n/&gt;!6]w"</f>
        <v>#VALUE!</v>
      </c>
      <c r="O483" t="e">
        <f>'TRRI Content Type Definitions'!F49+"n/&gt;!6]x"</f>
        <v>#VALUE!</v>
      </c>
      <c r="P483" t="e">
        <f>'TRRI Content Type Definitions'!A50+"n/&gt;!6]y"</f>
        <v>#VALUE!</v>
      </c>
      <c r="Q483" t="e">
        <f>'TRRI Content Type Definitions'!B50+"n/&gt;!6]z"</f>
        <v>#VALUE!</v>
      </c>
      <c r="R483" t="e">
        <f>'TRRI Content Type Definitions'!C50+"n/&gt;!6]{"</f>
        <v>#VALUE!</v>
      </c>
      <c r="S483" t="e">
        <f>'TRRI Content Type Definitions'!D50+"n/&gt;!6]|"</f>
        <v>#VALUE!</v>
      </c>
      <c r="T483" t="e">
        <f>'TRRI Content Type Definitions'!E50+"n/&gt;!6]}"</f>
        <v>#VALUE!</v>
      </c>
      <c r="U483" t="e">
        <f>'TRRI Content Type Definitions'!F50+"n/&gt;!6]~"</f>
        <v>#VALUE!</v>
      </c>
      <c r="V483" t="e">
        <f>'TRRI Content Type Definitions'!A51+"n/&gt;!6^#"</f>
        <v>#VALUE!</v>
      </c>
      <c r="W483" t="e">
        <f>'TRRI Content Type Definitions'!B51+"n/&gt;!6^$"</f>
        <v>#VALUE!</v>
      </c>
      <c r="X483" t="e">
        <f>'TRRI Content Type Definitions'!C51+"n/&gt;!6^%"</f>
        <v>#VALUE!</v>
      </c>
      <c r="Y483" t="e">
        <f>'TRRI Content Type Definitions'!D51+"n/&gt;!6^&amp;"</f>
        <v>#VALUE!</v>
      </c>
      <c r="Z483" t="e">
        <f>'TRRI Content Type Definitions'!E51+"n/&gt;!6^'"</f>
        <v>#VALUE!</v>
      </c>
      <c r="AA483" t="e">
        <f>'TRRI Content Type Definitions'!F51+"n/&gt;!6^("</f>
        <v>#VALUE!</v>
      </c>
      <c r="AB483" t="e">
        <f>'TRRI Content Type Definitions'!A52+"n/&gt;!6^)"</f>
        <v>#VALUE!</v>
      </c>
      <c r="AC483" t="e">
        <f>'TRRI Content Type Definitions'!B52+"n/&gt;!6^."</f>
        <v>#VALUE!</v>
      </c>
      <c r="AD483" t="e">
        <f>'TRRI Content Type Definitions'!C52+"n/&gt;!6^/"</f>
        <v>#VALUE!</v>
      </c>
      <c r="AE483" t="e">
        <f>'TRRI Content Type Definitions'!D52+"n/&gt;!6^0"</f>
        <v>#VALUE!</v>
      </c>
      <c r="AF483" t="e">
        <f>'TRRI Content Type Definitions'!E52+"n/&gt;!6^1"</f>
        <v>#VALUE!</v>
      </c>
      <c r="AG483" t="e">
        <f>'TRRI Content Type Definitions'!F52+"n/&gt;!6^2"</f>
        <v>#VALUE!</v>
      </c>
      <c r="AH483" t="e">
        <f>'TRRI Content Type Definitions'!A53+"n/&gt;!6^3"</f>
        <v>#VALUE!</v>
      </c>
      <c r="AI483" t="e">
        <f>'TRRI Content Type Definitions'!B53+"n/&gt;!6^4"</f>
        <v>#VALUE!</v>
      </c>
      <c r="AJ483" t="e">
        <f>'TRRI Content Type Definitions'!C53+"n/&gt;!6^5"</f>
        <v>#VALUE!</v>
      </c>
      <c r="AK483" t="e">
        <f>'TRRI Content Type Definitions'!D53+"n/&gt;!6^6"</f>
        <v>#VALUE!</v>
      </c>
      <c r="AL483" t="e">
        <f>'TRRI Content Type Definitions'!E53+"n/&gt;!6^7"</f>
        <v>#VALUE!</v>
      </c>
      <c r="AM483" t="e">
        <f>'TRRI Content Type Definitions'!F53+"n/&gt;!6^8"</f>
        <v>#VALUE!</v>
      </c>
      <c r="AN483" t="e">
        <f>'TRRI Content Type Definitions'!A54+"n/&gt;!6^9"</f>
        <v>#VALUE!</v>
      </c>
      <c r="AO483" t="e">
        <f>'TRRI Content Type Definitions'!B54+"n/&gt;!6^:"</f>
        <v>#VALUE!</v>
      </c>
      <c r="AP483" t="e">
        <f>'TRRI Content Type Definitions'!C54+"n/&gt;!6^;"</f>
        <v>#VALUE!</v>
      </c>
      <c r="AQ483" t="e">
        <f>'TRRI Content Type Definitions'!D54+"n/&gt;!6^&lt;"</f>
        <v>#VALUE!</v>
      </c>
      <c r="AR483" t="e">
        <f>'TRRI Content Type Definitions'!E54+"n/&gt;!6^="</f>
        <v>#VALUE!</v>
      </c>
      <c r="AS483" t="e">
        <f>'TRRI Content Type Definitions'!F54+"n/&gt;!6^&gt;"</f>
        <v>#VALUE!</v>
      </c>
      <c r="AT483" t="e">
        <f>'TRRI Content Type Definitions'!A55+"n/&gt;!6^?"</f>
        <v>#VALUE!</v>
      </c>
      <c r="AU483" t="e">
        <f>'TRRI Content Type Definitions'!B55+"n/&gt;!6^@"</f>
        <v>#VALUE!</v>
      </c>
      <c r="AV483" t="e">
        <f>'TRRI Content Type Definitions'!C55+"n/&gt;!6^A"</f>
        <v>#VALUE!</v>
      </c>
      <c r="AW483" t="e">
        <f>'TRRI Content Type Definitions'!D55+"n/&gt;!6^B"</f>
        <v>#VALUE!</v>
      </c>
      <c r="AX483" t="e">
        <f>'TRRI Content Type Definitions'!E55+"n/&gt;!6^C"</f>
        <v>#VALUE!</v>
      </c>
      <c r="AY483" t="e">
        <f>'TRRI Content Type Definitions'!F55+"n/&gt;!6^D"</f>
        <v>#VALUE!</v>
      </c>
      <c r="AZ483" t="e">
        <f>'TRRI Content Type Definitions'!A56+"n/&gt;!6^E"</f>
        <v>#VALUE!</v>
      </c>
      <c r="BA483" t="e">
        <f>'TRRI Content Type Definitions'!B56+"n/&gt;!6^F"</f>
        <v>#VALUE!</v>
      </c>
      <c r="BB483" t="e">
        <f>'TRRI Content Type Definitions'!C56+"n/&gt;!6^G"</f>
        <v>#VALUE!</v>
      </c>
      <c r="BC483" t="e">
        <f>'TRRI Content Type Definitions'!D56+"n/&gt;!6^H"</f>
        <v>#VALUE!</v>
      </c>
      <c r="BD483" t="e">
        <f>'TRRI Content Type Definitions'!E56+"n/&gt;!6^I"</f>
        <v>#VALUE!</v>
      </c>
      <c r="BE483" t="e">
        <f>'TRRI Content Type Definitions'!F56+"n/&gt;!6^J"</f>
        <v>#VALUE!</v>
      </c>
      <c r="BF483" t="e">
        <f>'TRRI Content Type Definitions'!A57+"n/&gt;!6^K"</f>
        <v>#VALUE!</v>
      </c>
      <c r="BG483" t="e">
        <f>'TRRI Content Type Definitions'!B57+"n/&gt;!6^L"</f>
        <v>#VALUE!</v>
      </c>
      <c r="BH483" t="e">
        <f>'TRRI Content Type Definitions'!C57+"n/&gt;!6^M"</f>
        <v>#VALUE!</v>
      </c>
      <c r="BI483" t="e">
        <f>'TRRI Content Type Definitions'!D57+"n/&gt;!6^N"</f>
        <v>#VALUE!</v>
      </c>
      <c r="BJ483" t="e">
        <f>'TRRI Content Type Definitions'!E57+"n/&gt;!6^O"</f>
        <v>#VALUE!</v>
      </c>
      <c r="BK483" t="e">
        <f>'TRRI Content Type Definitions'!F57+"n/&gt;!6^P"</f>
        <v>#VALUE!</v>
      </c>
      <c r="BL483" t="e">
        <f>'TRRI Content Type Definitions'!A58+"n/&gt;!6^Q"</f>
        <v>#VALUE!</v>
      </c>
      <c r="BM483" t="e">
        <f>'TRRI Content Type Definitions'!B58+"n/&gt;!6^R"</f>
        <v>#VALUE!</v>
      </c>
      <c r="BN483" t="e">
        <f>'TRRI Content Type Definitions'!C58+"n/&gt;!6^S"</f>
        <v>#VALUE!</v>
      </c>
      <c r="BO483" t="e">
        <f>'TRRI Content Type Definitions'!D58+"n/&gt;!6^T"</f>
        <v>#VALUE!</v>
      </c>
      <c r="BP483" t="e">
        <f>'TRRI Content Type Definitions'!E58+"n/&gt;!6^U"</f>
        <v>#VALUE!</v>
      </c>
      <c r="BQ483" t="e">
        <f>'TRRI Content Type Definitions'!F58+"n/&gt;!6^V"</f>
        <v>#VALUE!</v>
      </c>
      <c r="BR483" t="e">
        <f>'TRRI Content Type Definitions'!A59+"n/&gt;!6^W"</f>
        <v>#VALUE!</v>
      </c>
      <c r="BS483" t="e">
        <f>'TRRI Content Type Definitions'!B59+"n/&gt;!6^X"</f>
        <v>#VALUE!</v>
      </c>
      <c r="BT483" t="e">
        <f>'TRRI Content Type Definitions'!C59+"n/&gt;!6^Y"</f>
        <v>#VALUE!</v>
      </c>
      <c r="BU483" t="e">
        <f>'TRRI Content Type Definitions'!D59+"n/&gt;!6^Z"</f>
        <v>#VALUE!</v>
      </c>
      <c r="BV483" t="e">
        <f>'TRRI Content Type Definitions'!E59+"n/&gt;!6^["</f>
        <v>#VALUE!</v>
      </c>
      <c r="BW483" t="e">
        <f>'TRRI Content Type Definitions'!F59+"n/&gt;!6^\"</f>
        <v>#VALUE!</v>
      </c>
      <c r="BX483" t="e">
        <f>'TRRI Content Type Definitions'!A60+"n/&gt;!6^]"</f>
        <v>#VALUE!</v>
      </c>
      <c r="BY483" t="e">
        <f>'TRRI Content Type Definitions'!B60+"n/&gt;!6^^"</f>
        <v>#VALUE!</v>
      </c>
      <c r="BZ483" t="e">
        <f>'TRRI Content Type Definitions'!C60+"n/&gt;!6^_"</f>
        <v>#VALUE!</v>
      </c>
      <c r="CA483" t="e">
        <f>'TRRI Content Type Definitions'!D60+"n/&gt;!6^`"</f>
        <v>#VALUE!</v>
      </c>
      <c r="CB483" t="e">
        <f>'TRRI Content Type Definitions'!E60+"n/&gt;!6^a"</f>
        <v>#VALUE!</v>
      </c>
      <c r="CC483" t="e">
        <f>'TRRI Content Type Definitions'!F60+"n/&gt;!6^b"</f>
        <v>#VALUE!</v>
      </c>
      <c r="CD483" t="e">
        <f>'TRRI Content Type Definitions'!A61+"n/&gt;!6^c"</f>
        <v>#VALUE!</v>
      </c>
      <c r="CE483" t="e">
        <f>'TRRI Content Type Definitions'!B61+"n/&gt;!6^d"</f>
        <v>#VALUE!</v>
      </c>
      <c r="CF483" t="e">
        <f>'TRRI Content Type Definitions'!C61+"n/&gt;!6^e"</f>
        <v>#VALUE!</v>
      </c>
      <c r="CG483" t="e">
        <f>'TRRI Content Type Definitions'!D61+"n/&gt;!6^f"</f>
        <v>#VALUE!</v>
      </c>
      <c r="CH483" t="e">
        <f>'TRRI Content Type Definitions'!E61+"n/&gt;!6^g"</f>
        <v>#VALUE!</v>
      </c>
      <c r="CI483" t="e">
        <f>'TRRI Content Type Definitions'!F61+"n/&gt;!6^h"</f>
        <v>#VALUE!</v>
      </c>
      <c r="CJ483" t="e">
        <f>'TRRI Content Type Definitions'!A62+"n/&gt;!6^i"</f>
        <v>#VALUE!</v>
      </c>
      <c r="CK483" t="e">
        <f>'TRRI Content Type Definitions'!B62+"n/&gt;!6^j"</f>
        <v>#VALUE!</v>
      </c>
      <c r="CL483" t="e">
        <f>'TRRI Content Type Definitions'!C62+"n/&gt;!6^k"</f>
        <v>#VALUE!</v>
      </c>
      <c r="CM483" t="e">
        <f>'TRRI Content Type Definitions'!D62+"n/&gt;!6^l"</f>
        <v>#VALUE!</v>
      </c>
      <c r="CN483" t="e">
        <f>'TRRI Content Type Definitions'!E62+"n/&gt;!6^m"</f>
        <v>#VALUE!</v>
      </c>
      <c r="CO483" t="e">
        <f>'TRRI Content Type Definitions'!F62+"n/&gt;!6^n"</f>
        <v>#VALUE!</v>
      </c>
      <c r="CP483" t="e">
        <f>'TRRI Content Type Definitions'!A63+"n/&gt;!6^o"</f>
        <v>#VALUE!</v>
      </c>
      <c r="CQ483" t="e">
        <f>'TRRI Content Type Definitions'!B63+"n/&gt;!6^p"</f>
        <v>#VALUE!</v>
      </c>
      <c r="CR483" t="e">
        <f>'TRRI Content Type Definitions'!C63+"n/&gt;!6^q"</f>
        <v>#VALUE!</v>
      </c>
      <c r="CS483" t="e">
        <f>'TRRI Content Type Definitions'!D63+"n/&gt;!6^r"</f>
        <v>#VALUE!</v>
      </c>
      <c r="CT483" t="e">
        <f>'TRRI Content Type Definitions'!E63+"n/&gt;!6^s"</f>
        <v>#VALUE!</v>
      </c>
      <c r="CU483" t="e">
        <f>'TRRI Content Type Definitions'!F63+"n/&gt;!6^t"</f>
        <v>#VALUE!</v>
      </c>
      <c r="CV483" t="e">
        <f>'TRRI Content Type Definitions'!A64+"n/&gt;!6^u"</f>
        <v>#VALUE!</v>
      </c>
      <c r="CW483" t="e">
        <f>'TRRI Content Type Definitions'!B64+"n/&gt;!6^v"</f>
        <v>#VALUE!</v>
      </c>
      <c r="CX483" t="e">
        <f>'TRRI Content Type Definitions'!C64+"n/&gt;!6^w"</f>
        <v>#VALUE!</v>
      </c>
      <c r="CY483" t="e">
        <f>'TRRI Content Type Definitions'!D64+"n/&gt;!6^x"</f>
        <v>#VALUE!</v>
      </c>
      <c r="CZ483" t="e">
        <f>'TRRI Content Type Definitions'!E64+"n/&gt;!6^y"</f>
        <v>#VALUE!</v>
      </c>
      <c r="DA483" t="e">
        <f>'TRRI Content Type Definitions'!F64+"n/&gt;!6^z"</f>
        <v>#VALUE!</v>
      </c>
      <c r="DB483" t="e">
        <f>'TRRI Content Type Definitions'!A65+"n/&gt;!6^{"</f>
        <v>#VALUE!</v>
      </c>
      <c r="DC483" t="e">
        <f>'TRRI Content Type Definitions'!B65+"n/&gt;!6^|"</f>
        <v>#VALUE!</v>
      </c>
      <c r="DD483" t="e">
        <f>'TRRI Content Type Definitions'!C65+"n/&gt;!6^}"</f>
        <v>#VALUE!</v>
      </c>
      <c r="DE483" t="e">
        <f>'TRRI Content Type Definitions'!D65+"n/&gt;!6^~"</f>
        <v>#VALUE!</v>
      </c>
      <c r="DF483" t="e">
        <f>'TRRI Content Type Definitions'!E65+"n/&gt;!6_#"</f>
        <v>#VALUE!</v>
      </c>
      <c r="DG483" t="e">
        <f>'TRRI Content Type Definitions'!F65+"n/&gt;!6_$"</f>
        <v>#VALUE!</v>
      </c>
      <c r="DH483" t="e">
        <f>'TRRI Content Type Definitions'!A66+"n/&gt;!6_%"</f>
        <v>#VALUE!</v>
      </c>
      <c r="DI483" t="e">
        <f>'TRRI Content Type Definitions'!B66+"n/&gt;!6_&amp;"</f>
        <v>#VALUE!</v>
      </c>
      <c r="DJ483" t="e">
        <f>'TRRI Content Type Definitions'!C66+"n/&gt;!6_'"</f>
        <v>#VALUE!</v>
      </c>
      <c r="DK483" t="e">
        <f>'TRRI Content Type Definitions'!D66+"n/&gt;!6_("</f>
        <v>#VALUE!</v>
      </c>
      <c r="DL483" t="e">
        <f>'TRRI Content Type Definitions'!E66+"n/&gt;!6_)"</f>
        <v>#VALUE!</v>
      </c>
      <c r="DM483" t="e">
        <f>'TRRI Content Type Definitions'!F66+"n/&gt;!6_."</f>
        <v>#VALUE!</v>
      </c>
      <c r="DN483" t="e">
        <f>'TRRI Content Type Definitions'!A67+"n/&gt;!6_/"</f>
        <v>#VALUE!</v>
      </c>
      <c r="DO483" t="e">
        <f>'TRRI Content Type Definitions'!B67+"n/&gt;!6_0"</f>
        <v>#VALUE!</v>
      </c>
      <c r="DP483" t="e">
        <f>'TRRI Content Type Definitions'!C67+"n/&gt;!6_1"</f>
        <v>#VALUE!</v>
      </c>
      <c r="DQ483" t="e">
        <f>'TRRI Content Type Definitions'!D67+"n/&gt;!6_2"</f>
        <v>#VALUE!</v>
      </c>
      <c r="DR483" t="e">
        <f>'TRRI Content Type Definitions'!E67+"n/&gt;!6_3"</f>
        <v>#VALUE!</v>
      </c>
      <c r="DS483" t="e">
        <f>'TRRI Content Type Definitions'!F67+"n/&gt;!6_4"</f>
        <v>#VALUE!</v>
      </c>
      <c r="DT483" t="e">
        <f>'TRRI Content Type Definitions'!A68+"n/&gt;!6_5"</f>
        <v>#VALUE!</v>
      </c>
      <c r="DU483" t="e">
        <f>'TRRI Content Type Definitions'!B68+"n/&gt;!6_6"</f>
        <v>#VALUE!</v>
      </c>
      <c r="DV483" t="e">
        <f>'TRRI Content Type Definitions'!C68+"n/&gt;!6_7"</f>
        <v>#VALUE!</v>
      </c>
      <c r="DW483" t="e">
        <f>'TRRI Content Type Definitions'!D68+"n/&gt;!6_8"</f>
        <v>#VALUE!</v>
      </c>
      <c r="DX483" t="e">
        <f>'TRRI Content Type Definitions'!E68+"n/&gt;!6_9"</f>
        <v>#VALUE!</v>
      </c>
      <c r="DY483" t="e">
        <f>'TRRI Content Type Definitions'!F68+"n/&gt;!6_:"</f>
        <v>#VALUE!</v>
      </c>
      <c r="DZ483" t="e">
        <f>'TRRI Content Type Definitions'!A69+"n/&gt;!6_;"</f>
        <v>#VALUE!</v>
      </c>
      <c r="EA483" t="e">
        <f>'TRRI Content Type Definitions'!B69+"n/&gt;!6_&lt;"</f>
        <v>#VALUE!</v>
      </c>
      <c r="EB483" t="e">
        <f>'TRRI Content Type Definitions'!C69+"n/&gt;!6_="</f>
        <v>#VALUE!</v>
      </c>
      <c r="EC483" t="e">
        <f>'TRRI Content Type Definitions'!D69+"n/&gt;!6_&gt;"</f>
        <v>#VALUE!</v>
      </c>
      <c r="ED483" t="e">
        <f>'TRRI Content Type Definitions'!E69+"n/&gt;!6_?"</f>
        <v>#VALUE!</v>
      </c>
      <c r="EE483" t="e">
        <f>'TRRI Content Type Definitions'!F69+"n/&gt;!6_@"</f>
        <v>#VALUE!</v>
      </c>
      <c r="EF483" t="e">
        <f>'TRRI Content Type Definitions'!A70+"n/&gt;!6_A"</f>
        <v>#VALUE!</v>
      </c>
      <c r="EG483" t="e">
        <f>'TRRI Content Type Definitions'!B70+"n/&gt;!6_B"</f>
        <v>#VALUE!</v>
      </c>
      <c r="EH483" t="e">
        <f>'TRRI Content Type Definitions'!C70+"n/&gt;!6_C"</f>
        <v>#VALUE!</v>
      </c>
      <c r="EI483" t="e">
        <f>'TRRI Content Type Definitions'!D70+"n/&gt;!6_D"</f>
        <v>#VALUE!</v>
      </c>
      <c r="EJ483" t="e">
        <f>'TRRI Content Type Definitions'!E70+"n/&gt;!6_E"</f>
        <v>#VALUE!</v>
      </c>
      <c r="EK483" t="e">
        <f>'TRRI Content Type Definitions'!F70+"n/&gt;!6_F"</f>
        <v>#VALUE!</v>
      </c>
      <c r="EL483" t="e">
        <f>'TRRI Content Type Definitions'!A71+"n/&gt;!6_G"</f>
        <v>#VALUE!</v>
      </c>
      <c r="EM483" t="e">
        <f>'TRRI Content Type Definitions'!B71+"n/&gt;!6_H"</f>
        <v>#VALUE!</v>
      </c>
      <c r="EN483" t="e">
        <f>'TRRI Content Type Definitions'!C71+"n/&gt;!6_I"</f>
        <v>#VALUE!</v>
      </c>
      <c r="EO483" t="e">
        <f>'TRRI Content Type Definitions'!D71+"n/&gt;!6_J"</f>
        <v>#VALUE!</v>
      </c>
      <c r="EP483" t="e">
        <f>'TRRI Content Type Definitions'!E71+"n/&gt;!6_K"</f>
        <v>#VALUE!</v>
      </c>
      <c r="EQ483" t="e">
        <f>'TRRI Content Type Definitions'!F71+"n/&gt;!6_L"</f>
        <v>#VALUE!</v>
      </c>
      <c r="ER483" t="e">
        <f>'TRRI Content Type Definitions'!A72+"n/&gt;!6_M"</f>
        <v>#VALUE!</v>
      </c>
      <c r="ES483" t="e">
        <f>'TRRI Content Type Definitions'!B72+"n/&gt;!6_N"</f>
        <v>#VALUE!</v>
      </c>
      <c r="ET483" t="e">
        <f>'TRRI Content Type Definitions'!C72+"n/&gt;!6_O"</f>
        <v>#VALUE!</v>
      </c>
      <c r="EU483" t="e">
        <f>'TRRI Content Type Definitions'!D72+"n/&gt;!6_P"</f>
        <v>#VALUE!</v>
      </c>
      <c r="EV483" t="e">
        <f>'TRRI Content Type Definitions'!E72+"n/&gt;!6_Q"</f>
        <v>#VALUE!</v>
      </c>
      <c r="EW483" t="e">
        <f>'TRRI Content Type Definitions'!F72+"n/&gt;!6_R"</f>
        <v>#VALUE!</v>
      </c>
      <c r="EX483" t="e">
        <f>'TRRI Content Type Definitions'!A73+"n/&gt;!6_S"</f>
        <v>#VALUE!</v>
      </c>
      <c r="EY483" t="e">
        <f>'TRRI Content Type Definitions'!B73+"n/&gt;!6_T"</f>
        <v>#VALUE!</v>
      </c>
      <c r="EZ483" t="e">
        <f>'TRRI Content Type Definitions'!C73+"n/&gt;!6_U"</f>
        <v>#VALUE!</v>
      </c>
      <c r="FA483" t="e">
        <f>'TRRI Content Type Definitions'!D73+"n/&gt;!6_V"</f>
        <v>#VALUE!</v>
      </c>
      <c r="FB483" t="e">
        <f>'TRRI Content Type Definitions'!E73+"n/&gt;!6_W"</f>
        <v>#VALUE!</v>
      </c>
      <c r="FC483" t="e">
        <f>'TRRI Content Type Definitions'!F73+"n/&gt;!6_X"</f>
        <v>#VALUE!</v>
      </c>
      <c r="FD483" t="e">
        <f>'TRRI Content Type Definitions'!A74+"n/&gt;!6_Y"</f>
        <v>#VALUE!</v>
      </c>
      <c r="FE483" t="e">
        <f>'TRRI Content Type Definitions'!B74+"n/&gt;!6_Z"</f>
        <v>#VALUE!</v>
      </c>
      <c r="FF483" t="e">
        <f>'TRRI Content Type Definitions'!C74+"n/&gt;!6_["</f>
        <v>#VALUE!</v>
      </c>
      <c r="FG483" t="e">
        <f>'TRRI Content Type Definitions'!D74+"n/&gt;!6_\"</f>
        <v>#VALUE!</v>
      </c>
      <c r="FH483" t="e">
        <f>'TRRI Content Type Definitions'!E74+"n/&gt;!6_]"</f>
        <v>#VALUE!</v>
      </c>
      <c r="FI483" t="e">
        <f>'TRRI Content Type Definitions'!F74+"n/&gt;!6_^"</f>
        <v>#VALUE!</v>
      </c>
      <c r="FJ483" t="e">
        <f>'TRRI Content Type Definitions'!A75+"n/&gt;!6__"</f>
        <v>#VALUE!</v>
      </c>
      <c r="FK483" t="e">
        <f>'TRRI Content Type Definitions'!B75+"n/&gt;!6_`"</f>
        <v>#VALUE!</v>
      </c>
      <c r="FL483" t="e">
        <f>'TRRI Content Type Definitions'!C75+"n/&gt;!6_a"</f>
        <v>#VALUE!</v>
      </c>
      <c r="FM483" t="e">
        <f>'TRRI Content Type Definitions'!D75+"n/&gt;!6_b"</f>
        <v>#VALUE!</v>
      </c>
      <c r="FN483" t="e">
        <f>'TRRI Content Type Definitions'!E75+"n/&gt;!6_c"</f>
        <v>#VALUE!</v>
      </c>
      <c r="FO483" t="e">
        <f>'TRRI Content Type Definitions'!F75+"n/&gt;!6_d"</f>
        <v>#VALUE!</v>
      </c>
      <c r="FP483" t="e">
        <f>'TRRI Content Type Definitions'!A76+"n/&gt;!6_e"</f>
        <v>#VALUE!</v>
      </c>
      <c r="FQ483" t="e">
        <f>'TRRI Content Type Definitions'!B76+"n/&gt;!6_f"</f>
        <v>#VALUE!</v>
      </c>
      <c r="FR483" t="e">
        <f>'TRRI Content Type Definitions'!C76+"n/&gt;!6_g"</f>
        <v>#VALUE!</v>
      </c>
      <c r="FS483" t="e">
        <f>'TRRI Content Type Definitions'!D76+"n/&gt;!6_h"</f>
        <v>#VALUE!</v>
      </c>
      <c r="FT483" t="e">
        <f>'TRRI Content Type Definitions'!E76+"n/&gt;!6_i"</f>
        <v>#VALUE!</v>
      </c>
      <c r="FU483" t="e">
        <f>'TRRI Content Type Definitions'!F76+"n/&gt;!6_j"</f>
        <v>#VALUE!</v>
      </c>
      <c r="FV483" t="e">
        <f>'TRRI Content Type Definitions'!A77+"n/&gt;!6_k"</f>
        <v>#VALUE!</v>
      </c>
      <c r="FW483" t="e">
        <f>'TRRI Content Type Definitions'!B77+"n/&gt;!6_l"</f>
        <v>#VALUE!</v>
      </c>
      <c r="FX483" t="e">
        <f>'TRRI Content Type Definitions'!C77+"n/&gt;!6_m"</f>
        <v>#VALUE!</v>
      </c>
      <c r="FY483" t="e">
        <f>'TRRI Content Type Definitions'!D77+"n/&gt;!6_n"</f>
        <v>#VALUE!</v>
      </c>
      <c r="FZ483" t="e">
        <f>'TRRI Content Type Definitions'!E77+"n/&gt;!6_o"</f>
        <v>#VALUE!</v>
      </c>
      <c r="GA483" t="e">
        <f>'TRRI Content Type Definitions'!F77+"n/&gt;!6_p"</f>
        <v>#VALUE!</v>
      </c>
      <c r="GB483" t="e">
        <f>'TRRI Content Type Definitions'!A78+"n/&gt;!6_q"</f>
        <v>#VALUE!</v>
      </c>
      <c r="GC483" t="e">
        <f>'TRRI Content Type Definitions'!B78+"n/&gt;!6_r"</f>
        <v>#VALUE!</v>
      </c>
      <c r="GD483" t="e">
        <f>'TRRI Content Type Definitions'!C78+"n/&gt;!6_s"</f>
        <v>#VALUE!</v>
      </c>
      <c r="GE483" t="e">
        <f>'TRRI Content Type Definitions'!D78+"n/&gt;!6_t"</f>
        <v>#VALUE!</v>
      </c>
      <c r="GF483" t="e">
        <f>'TRRI Content Type Definitions'!E78+"n/&gt;!6_u"</f>
        <v>#VALUE!</v>
      </c>
      <c r="GG483" t="e">
        <f>'TRRI Content Type Definitions'!F78+"n/&gt;!6_v"</f>
        <v>#VALUE!</v>
      </c>
      <c r="GH483" t="e">
        <f>'TRRI Content Type Definitions'!A79+"n/&gt;!6_w"</f>
        <v>#VALUE!</v>
      </c>
      <c r="GI483" t="e">
        <f>'TRRI Content Type Definitions'!B79+"n/&gt;!6_x"</f>
        <v>#VALUE!</v>
      </c>
      <c r="GJ483" t="e">
        <f>'TRRI Content Type Definitions'!C79+"n/&gt;!6_y"</f>
        <v>#VALUE!</v>
      </c>
      <c r="GK483" t="e">
        <f>'TRRI Content Type Definitions'!D79+"n/&gt;!6_z"</f>
        <v>#VALUE!</v>
      </c>
      <c r="GL483" t="e">
        <f>'TRRI Content Type Definitions'!E79+"n/&gt;!6_{"</f>
        <v>#VALUE!</v>
      </c>
      <c r="GM483" t="e">
        <f>'TRRI Content Type Definitions'!F79+"n/&gt;!6_|"</f>
        <v>#VALUE!</v>
      </c>
      <c r="GN483" t="e">
        <f>'TRRI Content Type Definitions'!A80+"n/&gt;!6_}"</f>
        <v>#VALUE!</v>
      </c>
      <c r="GO483" t="e">
        <f>'TRRI Content Type Definitions'!B80+"n/&gt;!6_~"</f>
        <v>#VALUE!</v>
      </c>
      <c r="GP483" t="e">
        <f>'TRRI Content Type Definitions'!C80+"n/&gt;!6`#"</f>
        <v>#VALUE!</v>
      </c>
      <c r="GQ483" t="e">
        <f>'TRRI Content Type Definitions'!D80+"n/&gt;!6`$"</f>
        <v>#VALUE!</v>
      </c>
      <c r="GR483" t="e">
        <f>'TRRI Content Type Definitions'!E80+"n/&gt;!6`%"</f>
        <v>#VALUE!</v>
      </c>
      <c r="GS483" t="e">
        <f>'TRRI Content Type Definitions'!F80+"n/&gt;!6`&amp;"</f>
        <v>#VALUE!</v>
      </c>
      <c r="GT483" t="e">
        <f>'TRRI Content Type Definitions'!A81+"n/&gt;!6`'"</f>
        <v>#VALUE!</v>
      </c>
      <c r="GU483" t="e">
        <f>'TRRI Content Type Definitions'!B81+"n/&gt;!6`("</f>
        <v>#VALUE!</v>
      </c>
      <c r="GV483" t="e">
        <f>'TRRI Content Type Definitions'!C81+"n/&gt;!6`)"</f>
        <v>#VALUE!</v>
      </c>
      <c r="GW483" t="e">
        <f>'TRRI Content Type Definitions'!D81+"n/&gt;!6`."</f>
        <v>#VALUE!</v>
      </c>
      <c r="GX483" t="e">
        <f>'TRRI Content Type Definitions'!E81+"n/&gt;!6`/"</f>
        <v>#VALUE!</v>
      </c>
      <c r="GY483" t="e">
        <f>'TRRI Content Type Definitions'!F81+"n/&gt;!6`0"</f>
        <v>#VALUE!</v>
      </c>
      <c r="GZ483" t="e">
        <f>'TRRI Content Type Definitions'!A82+"n/&gt;!6`1"</f>
        <v>#VALUE!</v>
      </c>
      <c r="HA483" t="e">
        <f>'TRRI Content Type Definitions'!B82+"n/&gt;!6`2"</f>
        <v>#VALUE!</v>
      </c>
      <c r="HB483" t="e">
        <f>'TRRI Content Type Definitions'!C82+"n/&gt;!6`3"</f>
        <v>#VALUE!</v>
      </c>
      <c r="HC483" t="e">
        <f>'TRRI Content Type Definitions'!D82+"n/&gt;!6`4"</f>
        <v>#VALUE!</v>
      </c>
      <c r="HD483" t="e">
        <f>'TRRI Content Type Definitions'!E82+"n/&gt;!6`5"</f>
        <v>#VALUE!</v>
      </c>
      <c r="HE483" t="e">
        <f>'TRRI Content Type Definitions'!F82+"n/&gt;!6`6"</f>
        <v>#VALUE!</v>
      </c>
      <c r="HF483" t="e">
        <f>'TRRI Content Type Definitions'!A83+"n/&gt;!6`7"</f>
        <v>#VALUE!</v>
      </c>
      <c r="HG483" t="e">
        <f>'TRRI Content Type Definitions'!B83+"n/&gt;!6`8"</f>
        <v>#VALUE!</v>
      </c>
      <c r="HH483" t="e">
        <f>'TRRI Content Type Definitions'!C83+"n/&gt;!6`9"</f>
        <v>#VALUE!</v>
      </c>
      <c r="HI483" t="e">
        <f>'TRRI Content Type Definitions'!D83+"n/&gt;!6`:"</f>
        <v>#VALUE!</v>
      </c>
      <c r="HJ483" t="e">
        <f>'TRRI Content Type Definitions'!E83+"n/&gt;!6`;"</f>
        <v>#VALUE!</v>
      </c>
      <c r="HK483" t="e">
        <f>'TRRI Content Type Definitions'!F83+"n/&gt;!6`&lt;"</f>
        <v>#VALUE!</v>
      </c>
      <c r="HL483" t="e">
        <f>'TRRI Content Type Definitions'!A84+"n/&gt;!6`="</f>
        <v>#VALUE!</v>
      </c>
      <c r="HM483" t="e">
        <f>'TRRI Content Type Definitions'!B84+"n/&gt;!6`&gt;"</f>
        <v>#VALUE!</v>
      </c>
      <c r="HN483" t="e">
        <f>'TRRI Content Type Definitions'!C84+"n/&gt;!6`?"</f>
        <v>#VALUE!</v>
      </c>
      <c r="HO483" t="e">
        <f>'TRRI Content Type Definitions'!D84+"n/&gt;!6`@"</f>
        <v>#VALUE!</v>
      </c>
      <c r="HP483" t="e">
        <f>'TRRI Content Type Definitions'!E84+"n/&gt;!6`A"</f>
        <v>#VALUE!</v>
      </c>
      <c r="HQ483" t="e">
        <f>'TRRI Content Type Definitions'!F84+"n/&gt;!6`B"</f>
        <v>#VALUE!</v>
      </c>
      <c r="HR483" t="e">
        <f>'TRRI Content Type Definitions'!A85+"n/&gt;!6`C"</f>
        <v>#VALUE!</v>
      </c>
      <c r="HS483" t="e">
        <f>'TRRI Content Type Definitions'!B85+"n/&gt;!6`D"</f>
        <v>#VALUE!</v>
      </c>
      <c r="HT483" t="e">
        <f>'TRRI Content Type Definitions'!C85+"n/&gt;!6`E"</f>
        <v>#VALUE!</v>
      </c>
      <c r="HU483" t="e">
        <f>'TRRI Content Type Definitions'!D85+"n/&gt;!6`F"</f>
        <v>#VALUE!</v>
      </c>
      <c r="HV483" t="e">
        <f>'TRRI Content Type Definitions'!E85+"n/&gt;!6`G"</f>
        <v>#VALUE!</v>
      </c>
      <c r="HW483" t="e">
        <f>'TRRI Content Type Definitions'!F85+"n/&gt;!6`H"</f>
        <v>#VALUE!</v>
      </c>
      <c r="HX483" t="e">
        <f>'TRRI Content Type Definitions'!A86+"n/&gt;!6`I"</f>
        <v>#VALUE!</v>
      </c>
      <c r="HY483" t="e">
        <f>'TRRI Content Type Definitions'!B86+"n/&gt;!6`J"</f>
        <v>#VALUE!</v>
      </c>
      <c r="HZ483" t="e">
        <f>'TRRI Content Type Definitions'!C86+"n/&gt;!6`K"</f>
        <v>#VALUE!</v>
      </c>
      <c r="IA483" t="e">
        <f>'TRRI Content Type Definitions'!D86+"n/&gt;!6`L"</f>
        <v>#VALUE!</v>
      </c>
      <c r="IB483" t="e">
        <f>'TRRI Content Type Definitions'!E86+"n/&gt;!6`M"</f>
        <v>#VALUE!</v>
      </c>
      <c r="IC483" t="e">
        <f>'TRRI Content Type Definitions'!F86+"n/&gt;!6`N"</f>
        <v>#VALUE!</v>
      </c>
      <c r="ID483" t="e">
        <f>'TRRI Content Type Definitions'!A87+"n/&gt;!6`O"</f>
        <v>#VALUE!</v>
      </c>
      <c r="IE483" t="e">
        <f>'TRRI Content Type Definitions'!B87+"n/&gt;!6`P"</f>
        <v>#VALUE!</v>
      </c>
      <c r="IF483" t="e">
        <f>'TRRI Content Type Definitions'!C87+"n/&gt;!6`Q"</f>
        <v>#VALUE!</v>
      </c>
      <c r="IG483" t="e">
        <f>'TRRI Content Type Definitions'!D87+"n/&gt;!6`R"</f>
        <v>#VALUE!</v>
      </c>
      <c r="IH483" t="e">
        <f>'TRRI Content Type Definitions'!E87+"n/&gt;!6`S"</f>
        <v>#VALUE!</v>
      </c>
      <c r="II483" t="e">
        <f>'TRRI Content Type Definitions'!F87+"n/&gt;!6`T"</f>
        <v>#VALUE!</v>
      </c>
      <c r="IJ483" t="e">
        <f>'TRRI Content Type Definitions'!A88+"n/&gt;!6`U"</f>
        <v>#VALUE!</v>
      </c>
      <c r="IK483" t="e">
        <f>'TRRI Content Type Definitions'!B88+"n/&gt;!6`V"</f>
        <v>#VALUE!</v>
      </c>
      <c r="IL483" t="e">
        <f>'TRRI Content Type Definitions'!C88+"n/&gt;!6`W"</f>
        <v>#VALUE!</v>
      </c>
      <c r="IM483" t="e">
        <f>'TRRI Content Type Definitions'!D88+"n/&gt;!6`X"</f>
        <v>#VALUE!</v>
      </c>
      <c r="IN483" t="e">
        <f>'TRRI Content Type Definitions'!E88+"n/&gt;!6`Y"</f>
        <v>#VALUE!</v>
      </c>
      <c r="IO483" t="e">
        <f>'TRRI Content Type Definitions'!F88+"n/&gt;!6`Z"</f>
        <v>#VALUE!</v>
      </c>
      <c r="IP483" t="e">
        <f>'TRRI Content Type Definitions'!A89+"n/&gt;!6`["</f>
        <v>#VALUE!</v>
      </c>
      <c r="IQ483" t="e">
        <f>'TRRI Content Type Definitions'!B89+"n/&gt;!6`\"</f>
        <v>#VALUE!</v>
      </c>
      <c r="IR483" t="e">
        <f>'TRRI Content Type Definitions'!C89+"n/&gt;!6`]"</f>
        <v>#VALUE!</v>
      </c>
      <c r="IS483" t="e">
        <f>'TRRI Content Type Definitions'!D89+"n/&gt;!6`^"</f>
        <v>#VALUE!</v>
      </c>
      <c r="IT483" t="e">
        <f>'TRRI Content Type Definitions'!E89+"n/&gt;!6`_"</f>
        <v>#VALUE!</v>
      </c>
      <c r="IU483" t="e">
        <f>'TRRI Content Type Definitions'!F89+"n/&gt;!6``"</f>
        <v>#VALUE!</v>
      </c>
      <c r="IV483" t="e">
        <f>'TRRI Content Type Definitions'!A90+"n/&gt;!6`a"</f>
        <v>#VALUE!</v>
      </c>
    </row>
    <row r="484" spans="6:256" x14ac:dyDescent="0.35">
      <c r="F484" t="e">
        <f>'TRRI Content Type Definitions'!B90+"n/&gt;!6`b"</f>
        <v>#VALUE!</v>
      </c>
      <c r="G484" t="e">
        <f>'TRRI Content Type Definitions'!C90+"n/&gt;!6`c"</f>
        <v>#VALUE!</v>
      </c>
      <c r="H484" t="e">
        <f>'TRRI Content Type Definitions'!D90+"n/&gt;!6`d"</f>
        <v>#VALUE!</v>
      </c>
      <c r="I484" t="e">
        <f>'TRRI Content Type Definitions'!E90+"n/&gt;!6`e"</f>
        <v>#VALUE!</v>
      </c>
      <c r="J484" t="e">
        <f>'TRRI Content Type Definitions'!F90+"n/&gt;!6`f"</f>
        <v>#VALUE!</v>
      </c>
      <c r="K484" t="e">
        <f>'TRRI Content Type Definitions'!A91+"n/&gt;!6`g"</f>
        <v>#VALUE!</v>
      </c>
      <c r="L484" t="e">
        <f>'TRRI Content Type Definitions'!B91+"n/&gt;!6`h"</f>
        <v>#VALUE!</v>
      </c>
      <c r="M484" t="e">
        <f>'TRRI Content Type Definitions'!C91+"n/&gt;!6`i"</f>
        <v>#VALUE!</v>
      </c>
      <c r="N484" t="e">
        <f>'TRRI Content Type Definitions'!D91+"n/&gt;!6`j"</f>
        <v>#VALUE!</v>
      </c>
      <c r="O484" t="e">
        <f>'TRRI Content Type Definitions'!E91+"n/&gt;!6`k"</f>
        <v>#VALUE!</v>
      </c>
      <c r="P484" t="e">
        <f>'TRRI Content Type Definitions'!F91+"n/&gt;!6`l"</f>
        <v>#VALUE!</v>
      </c>
      <c r="Q484" t="e">
        <f>'TRRI Content Type Definitions'!A92+"n/&gt;!6`m"</f>
        <v>#VALUE!</v>
      </c>
      <c r="R484" t="e">
        <f>'TRRI Content Type Definitions'!B92+"n/&gt;!6`n"</f>
        <v>#VALUE!</v>
      </c>
      <c r="S484" t="e">
        <f>'TRRI Content Type Definitions'!C92+"n/&gt;!6`o"</f>
        <v>#VALUE!</v>
      </c>
      <c r="T484" t="e">
        <f>'TRRI Content Type Definitions'!D92+"n/&gt;!6`p"</f>
        <v>#VALUE!</v>
      </c>
      <c r="U484" t="e">
        <f>'TRRI Content Type Definitions'!E92+"n/&gt;!6`q"</f>
        <v>#VALUE!</v>
      </c>
      <c r="V484" t="e">
        <f>'TRRI Content Type Definitions'!F92+"n/&gt;!6`r"</f>
        <v>#VALUE!</v>
      </c>
      <c r="W484" t="e">
        <f>'TRRI Content Type Definitions'!A93+"n/&gt;!6`s"</f>
        <v>#VALUE!</v>
      </c>
      <c r="X484" t="e">
        <f>'TRRI Content Type Definitions'!B93+"n/&gt;!6`t"</f>
        <v>#VALUE!</v>
      </c>
      <c r="Y484" t="e">
        <f>'TRRI Content Type Definitions'!C93+"n/&gt;!6`u"</f>
        <v>#VALUE!</v>
      </c>
      <c r="Z484" t="e">
        <f>'TRRI Content Type Definitions'!D93+"n/&gt;!6`v"</f>
        <v>#VALUE!</v>
      </c>
      <c r="AA484" t="e">
        <f>'TRRI Content Type Definitions'!E93+"n/&gt;!6`w"</f>
        <v>#VALUE!</v>
      </c>
      <c r="AB484" t="e">
        <f>'TRRI Content Type Definitions'!F93+"n/&gt;!6`x"</f>
        <v>#VALUE!</v>
      </c>
      <c r="AC484" t="e">
        <f>'TRRI Content Type Definitions'!A94+"n/&gt;!6`y"</f>
        <v>#VALUE!</v>
      </c>
      <c r="AD484" t="e">
        <f>'TRRI Content Type Definitions'!B94+"n/&gt;!6`z"</f>
        <v>#VALUE!</v>
      </c>
      <c r="AE484" t="e">
        <f>'TRRI Content Type Definitions'!C94+"n/&gt;!6`{"</f>
        <v>#VALUE!</v>
      </c>
      <c r="AF484" t="e">
        <f>'TRRI Content Type Definitions'!D94+"n/&gt;!6`|"</f>
        <v>#VALUE!</v>
      </c>
      <c r="AG484" t="e">
        <f>'TRRI Content Type Definitions'!E94+"n/&gt;!6`}"</f>
        <v>#VALUE!</v>
      </c>
      <c r="AH484" t="e">
        <f>'TRRI Content Type Definitions'!F94+"n/&gt;!6`~"</f>
        <v>#VALUE!</v>
      </c>
      <c r="AI484" t="e">
        <f>'TRRI Content Type Definitions'!A95+"n/&gt;!6a#"</f>
        <v>#VALUE!</v>
      </c>
      <c r="AJ484" t="e">
        <f>'TRRI Content Type Definitions'!B95+"n/&gt;!6a$"</f>
        <v>#VALUE!</v>
      </c>
      <c r="AK484" t="e">
        <f>'TRRI Content Type Definitions'!C95+"n/&gt;!6a%"</f>
        <v>#VALUE!</v>
      </c>
      <c r="AL484" t="e">
        <f>'TRRI Content Type Definitions'!D95+"n/&gt;!6a&amp;"</f>
        <v>#VALUE!</v>
      </c>
      <c r="AM484" t="e">
        <f>'TRRI Content Type Definitions'!E95+"n/&gt;!6a'"</f>
        <v>#VALUE!</v>
      </c>
      <c r="AN484" t="e">
        <f>'TRRI Content Type Definitions'!F95+"n/&gt;!6a("</f>
        <v>#VALUE!</v>
      </c>
      <c r="AO484" t="e">
        <f>'TRRI Content Type Definitions'!A96+"n/&gt;!6a)"</f>
        <v>#VALUE!</v>
      </c>
      <c r="AP484" t="e">
        <f>'TRRI Content Type Definitions'!B96+"n/&gt;!6a."</f>
        <v>#VALUE!</v>
      </c>
      <c r="AQ484" t="e">
        <f>'TRRI Content Type Definitions'!C96+"n/&gt;!6a/"</f>
        <v>#VALUE!</v>
      </c>
      <c r="AR484" t="e">
        <f>'TRRI Content Type Definitions'!D96+"n/&gt;!6a0"</f>
        <v>#VALUE!</v>
      </c>
      <c r="AS484" t="e">
        <f>'TRRI Content Type Definitions'!E96+"n/&gt;!6a1"</f>
        <v>#VALUE!</v>
      </c>
      <c r="AT484" t="e">
        <f>'TRRI Content Type Definitions'!F96+"n/&gt;!6a2"</f>
        <v>#VALUE!</v>
      </c>
      <c r="AU484" t="e">
        <f>'TRRI Content Type Definitions'!A97+"n/&gt;!6a3"</f>
        <v>#VALUE!</v>
      </c>
      <c r="AV484" t="e">
        <f>'TRRI Content Type Definitions'!B97+"n/&gt;!6a4"</f>
        <v>#VALUE!</v>
      </c>
      <c r="AW484" t="e">
        <f>'TRRI Content Type Definitions'!C97+"n/&gt;!6a5"</f>
        <v>#VALUE!</v>
      </c>
      <c r="AX484" t="e">
        <f>'TRRI Content Type Definitions'!D97+"n/&gt;!6a6"</f>
        <v>#VALUE!</v>
      </c>
      <c r="AY484" t="e">
        <f>'TRRI Content Type Definitions'!E97+"n/&gt;!6a7"</f>
        <v>#VALUE!</v>
      </c>
      <c r="AZ484" t="e">
        <f>'TRRI Content Type Definitions'!F97+"n/&gt;!6a8"</f>
        <v>#VALUE!</v>
      </c>
      <c r="BA484" t="e">
        <f>'TRRI Content Type Definitions'!A98+"n/&gt;!6a9"</f>
        <v>#VALUE!</v>
      </c>
      <c r="BB484" t="e">
        <f>'TRRI Content Type Definitions'!B98+"n/&gt;!6a:"</f>
        <v>#VALUE!</v>
      </c>
      <c r="BC484" t="e">
        <f>'TRRI Content Type Definitions'!C98+"n/&gt;!6a;"</f>
        <v>#VALUE!</v>
      </c>
      <c r="BD484" t="e">
        <f>'TRRI Content Type Definitions'!D98+"n/&gt;!6a&lt;"</f>
        <v>#VALUE!</v>
      </c>
      <c r="BE484" t="e">
        <f>'TRRI Content Type Definitions'!E98+"n/&gt;!6a="</f>
        <v>#VALUE!</v>
      </c>
      <c r="BF484" t="e">
        <f>'TRRI Content Type Definitions'!F98+"n/&gt;!6a&gt;"</f>
        <v>#VALUE!</v>
      </c>
      <c r="BG484" t="e">
        <f>'TRRI Content Type Definitions'!A99+"n/&gt;!6a?"</f>
        <v>#VALUE!</v>
      </c>
      <c r="BH484" t="e">
        <f>'TRRI Content Type Definitions'!B99+"n/&gt;!6a@"</f>
        <v>#VALUE!</v>
      </c>
      <c r="BI484" t="e">
        <f>'TRRI Content Type Definitions'!C99+"n/&gt;!6aA"</f>
        <v>#VALUE!</v>
      </c>
      <c r="BJ484" t="e">
        <f>'TRRI Content Type Definitions'!D99+"n/&gt;!6aB"</f>
        <v>#VALUE!</v>
      </c>
      <c r="BK484" t="e">
        <f>'TRRI Content Type Definitions'!E99+"n/&gt;!6aC"</f>
        <v>#VALUE!</v>
      </c>
      <c r="BL484" t="e">
        <f>'TRRI Content Type Definitions'!F99+"n/&gt;!6aD"</f>
        <v>#VALUE!</v>
      </c>
      <c r="BM484" t="e">
        <f>'TRRI Content Type Definitions'!A100+"n/&gt;!6aE"</f>
        <v>#VALUE!</v>
      </c>
      <c r="BN484" t="e">
        <f>'TRRI Content Type Definitions'!B100+"n/&gt;!6aF"</f>
        <v>#VALUE!</v>
      </c>
      <c r="BO484" t="e">
        <f>'TRRI Content Type Definitions'!C100+"n/&gt;!6aG"</f>
        <v>#VALUE!</v>
      </c>
      <c r="BP484" t="e">
        <f>'TRRI Content Type Definitions'!D100+"n/&gt;!6aH"</f>
        <v>#VALUE!</v>
      </c>
      <c r="BQ484" t="e">
        <f>'TRRI Content Type Definitions'!E100+"n/&gt;!6aI"</f>
        <v>#VALUE!</v>
      </c>
      <c r="BR484" t="e">
        <f>'TRRI Content Type Definitions'!F100+"n/&gt;!6aJ"</f>
        <v>#VALUE!</v>
      </c>
      <c r="BS484" t="e">
        <f>'TRRI Content Type Definitions'!A101+"n/&gt;!6aK"</f>
        <v>#VALUE!</v>
      </c>
      <c r="BT484" t="e">
        <f>'TRRI Content Type Definitions'!B101+"n/&gt;!6aL"</f>
        <v>#VALUE!</v>
      </c>
      <c r="BU484" t="e">
        <f>'TRRI Content Type Definitions'!C101+"n/&gt;!6aM"</f>
        <v>#VALUE!</v>
      </c>
      <c r="BV484" t="e">
        <f>'TRRI Content Type Definitions'!D101+"n/&gt;!6aN"</f>
        <v>#VALUE!</v>
      </c>
      <c r="BW484" t="e">
        <f>'TRRI Content Type Definitions'!E101+"n/&gt;!6aO"</f>
        <v>#VALUE!</v>
      </c>
      <c r="BX484" t="e">
        <f>'TRRI Content Type Definitions'!F101+"n/&gt;!6aP"</f>
        <v>#VALUE!</v>
      </c>
      <c r="BY484" t="e">
        <f>'TRRI Content Type Definitions'!A102+"n/&gt;!6aQ"</f>
        <v>#VALUE!</v>
      </c>
      <c r="BZ484" t="e">
        <f>'TRRI Content Type Definitions'!B102+"n/&gt;!6aR"</f>
        <v>#VALUE!</v>
      </c>
      <c r="CA484" t="e">
        <f>'TRRI Content Type Definitions'!C102+"n/&gt;!6aS"</f>
        <v>#VALUE!</v>
      </c>
      <c r="CB484" t="e">
        <f>'TRRI Content Type Definitions'!D102+"n/&gt;!6aT"</f>
        <v>#VALUE!</v>
      </c>
      <c r="CC484" t="e">
        <f>'TRRI Content Type Definitions'!E102+"n/&gt;!6aU"</f>
        <v>#VALUE!</v>
      </c>
      <c r="CD484" t="e">
        <f>'TRRI Content Type Definitions'!F102+"n/&gt;!6aV"</f>
        <v>#VALUE!</v>
      </c>
      <c r="CE484" t="e">
        <f>'TRRI Content Type Definitions'!A103+"n/&gt;!6aW"</f>
        <v>#VALUE!</v>
      </c>
      <c r="CF484" t="e">
        <f>'TRRI Content Type Definitions'!B103+"n/&gt;!6aX"</f>
        <v>#VALUE!</v>
      </c>
      <c r="CG484" t="e">
        <f>'TRRI Content Type Definitions'!C103+"n/&gt;!6aY"</f>
        <v>#VALUE!</v>
      </c>
      <c r="CH484" t="e">
        <f>'TRRI Content Type Definitions'!D103+"n/&gt;!6aZ"</f>
        <v>#VALUE!</v>
      </c>
      <c r="CI484" t="e">
        <f>'TRRI Content Type Definitions'!E103+"n/&gt;!6a["</f>
        <v>#VALUE!</v>
      </c>
      <c r="CJ484" t="e">
        <f>'TRRI Content Type Definitions'!F103+"n/&gt;!6a\"</f>
        <v>#VALUE!</v>
      </c>
      <c r="CK484" t="e">
        <f>'TRRI Content Type Definitions'!A104+"n/&gt;!6a]"</f>
        <v>#VALUE!</v>
      </c>
      <c r="CL484" t="e">
        <f>'TRRI Content Type Definitions'!B104+"n/&gt;!6a^"</f>
        <v>#VALUE!</v>
      </c>
      <c r="CM484" t="e">
        <f>'TRRI Content Type Definitions'!C104+"n/&gt;!6a_"</f>
        <v>#VALUE!</v>
      </c>
      <c r="CN484" t="e">
        <f>'TRRI Content Type Definitions'!D104+"n/&gt;!6a`"</f>
        <v>#VALUE!</v>
      </c>
      <c r="CO484" t="e">
        <f>'TRRI Content Type Definitions'!E104+"n/&gt;!6aa"</f>
        <v>#VALUE!</v>
      </c>
      <c r="CP484" t="e">
        <f>'TRRI Content Type Definitions'!F104+"n/&gt;!6ab"</f>
        <v>#VALUE!</v>
      </c>
      <c r="CQ484" t="e">
        <f>'TRRI Content Type Definitions'!A105+"n/&gt;!6ac"</f>
        <v>#VALUE!</v>
      </c>
      <c r="CR484" t="e">
        <f>'TRRI Content Type Definitions'!B105+"n/&gt;!6ad"</f>
        <v>#VALUE!</v>
      </c>
      <c r="CS484" t="e">
        <f>'TRRI Content Type Definitions'!C105+"n/&gt;!6ae"</f>
        <v>#VALUE!</v>
      </c>
      <c r="CT484" t="e">
        <f>'TRRI Content Type Definitions'!D105+"n/&gt;!6af"</f>
        <v>#VALUE!</v>
      </c>
      <c r="CU484" t="e">
        <f>'TRRI Content Type Definitions'!E105+"n/&gt;!6ag"</f>
        <v>#VALUE!</v>
      </c>
      <c r="CV484" t="e">
        <f>'TRRI Content Type Definitions'!F105+"n/&gt;!6ah"</f>
        <v>#VALUE!</v>
      </c>
      <c r="CW484" t="e">
        <f>'TRRI Content Type Definitions'!A106+"n/&gt;!6ai"</f>
        <v>#VALUE!</v>
      </c>
      <c r="CX484" t="e">
        <f>'TRRI Content Type Definitions'!B106+"n/&gt;!6aj"</f>
        <v>#VALUE!</v>
      </c>
      <c r="CY484" t="e">
        <f>'TRRI Content Type Definitions'!C106+"n/&gt;!6ak"</f>
        <v>#VALUE!</v>
      </c>
      <c r="CZ484" t="e">
        <f>'TRRI Content Type Definitions'!D106+"n/&gt;!6al"</f>
        <v>#VALUE!</v>
      </c>
      <c r="DA484" t="e">
        <f>'TRRI Content Type Definitions'!E106+"n/&gt;!6am"</f>
        <v>#VALUE!</v>
      </c>
      <c r="DB484" t="e">
        <f>'TRRI Content Type Definitions'!F106+"n/&gt;!6an"</f>
        <v>#VALUE!</v>
      </c>
      <c r="DC484" t="e">
        <f>'TRRI Content Type Definitions'!A107+"n/&gt;!6ao"</f>
        <v>#VALUE!</v>
      </c>
      <c r="DD484" t="e">
        <f>'TRRI Content Type Definitions'!B107+"n/&gt;!6ap"</f>
        <v>#VALUE!</v>
      </c>
      <c r="DE484" t="e">
        <f>'TRRI Content Type Definitions'!C107+"n/&gt;!6aq"</f>
        <v>#VALUE!</v>
      </c>
      <c r="DF484" t="e">
        <f>'TRRI Content Type Definitions'!D107+"n/&gt;!6ar"</f>
        <v>#VALUE!</v>
      </c>
      <c r="DG484" t="e">
        <f>'TRRI Content Type Definitions'!E107+"n/&gt;!6as"</f>
        <v>#VALUE!</v>
      </c>
      <c r="DH484" t="e">
        <f>'TRRI Content Type Definitions'!F107+"n/&gt;!6at"</f>
        <v>#VALUE!</v>
      </c>
      <c r="DI484" t="e">
        <f>'TRRI Content Type Definitions'!A:A*"n/&gt;!6au"</f>
        <v>#VALUE!</v>
      </c>
      <c r="DJ484" t="e">
        <f>'TRRI Content Type Definitions'!B:B*"n/&gt;!6av"</f>
        <v>#VALUE!</v>
      </c>
      <c r="DK484" t="e">
        <f>'TRRI Content Type Definitions'!C:C*"n/&gt;!6aw"</f>
        <v>#VALUE!</v>
      </c>
      <c r="DL484" t="e">
        <f>'TRRI Content Type Definitions'!D:D*"n/&gt;!6ax"</f>
        <v>#VALUE!</v>
      </c>
      <c r="DM484" t="e">
        <f>'TRRI Content Type Definitions'!E:E*"n/&gt;!6ay"</f>
        <v>#VALUE!</v>
      </c>
      <c r="DN484" t="e">
        <f>'TRRI Content Type Definitions'!F:F*"n/&gt;!6az"</f>
        <v>#VALUE!</v>
      </c>
      <c r="DO484" t="e">
        <f>'TRRI Content Type Definitions'!G:G*"n/&gt;!6a{"</f>
        <v>#VALUE!</v>
      </c>
      <c r="DP484" t="e">
        <f>'TRRI Content Type Definitions'!H:H*"n/&gt;!6a|"</f>
        <v>#VALUE!</v>
      </c>
      <c r="DQ484" t="e">
        <f>'TRRI Content Type Definitions'!I:I*"n/&gt;!6a}"</f>
        <v>#VALUE!</v>
      </c>
      <c r="DR484" t="e">
        <f>'TRRI Content Type Definitions'!J:J*"n/&gt;!6a~"</f>
        <v>#VALUE!</v>
      </c>
      <c r="DS484" t="e">
        <f>'TRRI Content Type Definitions'!K:K*"n/&gt;!6b#"</f>
        <v>#VALUE!</v>
      </c>
      <c r="DT484" t="e">
        <f>'TRRI Content Type Definitions'!L:L*"n/&gt;!6b$"</f>
        <v>#VALUE!</v>
      </c>
      <c r="DU484" t="e">
        <f>'TRRI Content Type Definitions'!M:M*"n/&gt;!6b%"</f>
        <v>#VALUE!</v>
      </c>
      <c r="DV484" t="e">
        <f>'TRRI Content Type Definitions'!N:N*"n/&gt;!6b&amp;"</f>
        <v>#VALUE!</v>
      </c>
      <c r="DW484" t="e">
        <f>'TRRI Content Type Definitions'!O:O*"n/&gt;!6b'"</f>
        <v>#VALUE!</v>
      </c>
      <c r="DX484" t="e">
        <f>'TRRI Content Type Definitions'!P:P*"n/&gt;!6b("</f>
        <v>#VALUE!</v>
      </c>
      <c r="DY484" t="e">
        <f>'TRRI Content Type Definitions'!Q:Q*"n/&gt;!6b)"</f>
        <v>#VALUE!</v>
      </c>
      <c r="DZ484" t="e">
        <f>'TRRI Content Type Definitions'!R:R*"n/&gt;!6b."</f>
        <v>#VALUE!</v>
      </c>
      <c r="EA484" t="e">
        <f>'TRRI Content Type Definitions'!S:S*"n/&gt;!6b/"</f>
        <v>#VALUE!</v>
      </c>
      <c r="EB484" t="e">
        <f>'TRRI Content Type Definitions'!T:T*"n/&gt;!6b0"</f>
        <v>#VALUE!</v>
      </c>
      <c r="EC484" t="e">
        <f>'TRRI Content Type Definitions'!U:U*"n/&gt;!6b1"</f>
        <v>#VALUE!</v>
      </c>
      <c r="ED484" t="e">
        <f>'TRRI Content Type Definitions'!V:V*"n/&gt;!6b2"</f>
        <v>#VALUE!</v>
      </c>
      <c r="EE484" t="e">
        <f>'TRRI Content Type Definitions'!W:W*"n/&gt;!6b3"</f>
        <v>#VALUE!</v>
      </c>
      <c r="EF484" t="e">
        <f>'TRRI Content Type Definitions'!X:X*"n/&gt;!6b4"</f>
        <v>#VALUE!</v>
      </c>
      <c r="EG484" t="e">
        <f>'TRRI Content Type Definitions'!Y:Y*"n/&gt;!6b5"</f>
        <v>#VALUE!</v>
      </c>
      <c r="EH484" t="e">
        <f>'TRRI Content Type Definitions'!Z:Z*"n/&gt;!6b6"</f>
        <v>#VALUE!</v>
      </c>
      <c r="EI484" t="e">
        <f>'TRRI Content Type Definitions'!AA:AA*"n/&gt;!6b7"</f>
        <v>#VALUE!</v>
      </c>
      <c r="EJ484" t="e">
        <f>'TRRI Content Type Definitions'!AB:AB*"n/&gt;!6b8"</f>
        <v>#VALUE!</v>
      </c>
      <c r="EK484" t="e">
        <f>'TRRI Content Type Definitions'!AC:AC*"n/&gt;!6b9"</f>
        <v>#VALUE!</v>
      </c>
      <c r="EL484" t="e">
        <f>'TRRI Content Type Definitions'!AD:AD*"n/&gt;!6b:"</f>
        <v>#VALUE!</v>
      </c>
      <c r="EM484" t="e">
        <f>'TRRI Content Type Definitions'!AE:AE*"n/&gt;!6b;"</f>
        <v>#VALUE!</v>
      </c>
      <c r="EN484" t="e">
        <f>'TRRI Content Type Definitions'!AF:AF*"n/&gt;!6b&lt;"</f>
        <v>#VALUE!</v>
      </c>
      <c r="EO484" t="e">
        <f>'TRRI Content Type Definitions'!AG:AG*"n/&gt;!6b="</f>
        <v>#VALUE!</v>
      </c>
      <c r="EP484" t="e">
        <f>'TRRI Content Type Definitions'!AH:AH*"n/&gt;!6b&gt;"</f>
        <v>#VALUE!</v>
      </c>
      <c r="EQ484" t="e">
        <f>'TRRI Content Type Definitions'!AI:AI*"n/&gt;!6b?"</f>
        <v>#VALUE!</v>
      </c>
      <c r="ER484" t="e">
        <f>'TRRI Content Type Definitions'!AJ:AJ*"n/&gt;!6b@"</f>
        <v>#VALUE!</v>
      </c>
      <c r="ES484" t="e">
        <f>'TRRI Content Type Definitions'!AK:AK*"n/&gt;!6bA"</f>
        <v>#VALUE!</v>
      </c>
      <c r="ET484" t="e">
        <f>'TRRI Content Type Definitions'!AL:AL*"n/&gt;!6bB"</f>
        <v>#VALUE!</v>
      </c>
      <c r="EU484" t="e">
        <f>'TRRI Content Type Definitions'!AM:AM*"n/&gt;!6bC"</f>
        <v>#VALUE!</v>
      </c>
      <c r="EV484" t="e">
        <f>'TRRI Content Type Definitions'!AN:AN*"n/&gt;!6bD"</f>
        <v>#VALUE!</v>
      </c>
      <c r="EW484" t="e">
        <f>'TRRI Content Type Definitions'!AO:AO*"n/&gt;!6bE"</f>
        <v>#VALUE!</v>
      </c>
      <c r="EX484" t="e">
        <f>'TRRI Content Type Definitions'!AP:AP*"n/&gt;!6bF"</f>
        <v>#VALUE!</v>
      </c>
      <c r="EY484" t="e">
        <f>'TRRI Content Type Definitions'!AQ:AQ*"n/&gt;!6bG"</f>
        <v>#VALUE!</v>
      </c>
      <c r="EZ484" t="e">
        <f>'TRRI Content Type Definitions'!AR:AR*"n/&gt;!6bH"</f>
        <v>#VALUE!</v>
      </c>
      <c r="FA484" t="e">
        <f>'TRRI Content Type Definitions'!AS:AS*"n/&gt;!6bI"</f>
        <v>#VALUE!</v>
      </c>
      <c r="FB484" t="e">
        <f>'TRRI Content Type Definitions'!AT:AT*"n/&gt;!6bJ"</f>
        <v>#VALUE!</v>
      </c>
      <c r="FC484" t="e">
        <f>'TRRI Content Type Definitions'!AU:AU*"n/&gt;!6bK"</f>
        <v>#VALUE!</v>
      </c>
      <c r="FD484" t="e">
        <f>'TRRI Content Type Definitions'!AV:AV*"n/&gt;!6bL"</f>
        <v>#VALUE!</v>
      </c>
      <c r="FE484" t="e">
        <f>'TRRI Content Type Definitions'!AW:AW*"n/&gt;!6bM"</f>
        <v>#VALUE!</v>
      </c>
      <c r="FF484" t="e">
        <f>'TRRI Content Type Definitions'!AX:AX*"n/&gt;!6bN"</f>
        <v>#VALUE!</v>
      </c>
      <c r="FG484" t="e">
        <f>'TRRI Content Type Definitions'!AY:AY*"n/&gt;!6bO"</f>
        <v>#VALUE!</v>
      </c>
      <c r="FH484" t="e">
        <f>'TRRI Content Type Definitions'!AZ:AZ*"n/&gt;!6bP"</f>
        <v>#VALUE!</v>
      </c>
      <c r="FI484" t="e">
        <f>'TRRI Content Type Definitions'!BA:BA*"n/&gt;!6bQ"</f>
        <v>#VALUE!</v>
      </c>
      <c r="FJ484" t="e">
        <f>'TRRI Content Type Definitions'!BB:BB*"n/&gt;!6bR"</f>
        <v>#VALUE!</v>
      </c>
      <c r="FK484" t="e">
        <f>'TRRI Content Type Definitions'!BC:BC*"n/&gt;!6bS"</f>
        <v>#VALUE!</v>
      </c>
      <c r="FL484" t="e">
        <f>'TRRI Content Type Definitions'!BD:BD*"n/&gt;!6bT"</f>
        <v>#VALUE!</v>
      </c>
      <c r="FM484" t="e">
        <f>'TRRI Content Type Definitions'!1:1-"n/&gt;!6bU"</f>
        <v>#VALUE!</v>
      </c>
      <c r="FN484" t="e">
        <f>'TRRI Content Type Definitions'!2:2-"n/&gt;!6bV"</f>
        <v>#VALUE!</v>
      </c>
      <c r="FO484" t="e">
        <f>'TRRI Content Type Definitions'!3:3-"n/&gt;!6bW"</f>
        <v>#VALUE!</v>
      </c>
      <c r="FP484" t="e">
        <f>'TRRI Content Type Definitions'!4:4-"n/&gt;!6bX"</f>
        <v>#VALUE!</v>
      </c>
      <c r="FQ484" t="e">
        <f>'TRRI Content Type Definitions'!5:5-"n/&gt;!6bY"</f>
        <v>#VALUE!</v>
      </c>
      <c r="FR484" t="e">
        <f>'TRRI Content Type Definitions'!6:6-"n/&gt;!6bZ"</f>
        <v>#VALUE!</v>
      </c>
      <c r="FS484" t="e">
        <f>'TRRI Content Type Definitions'!7:7-"n/&gt;!6b["</f>
        <v>#VALUE!</v>
      </c>
      <c r="FT484" t="e">
        <f>'TRRI Content Type Definitions'!8:8-"n/&gt;!6b\"</f>
        <v>#VALUE!</v>
      </c>
      <c r="FU484" t="e">
        <f>'TRRI Content Type Definitions'!9:9-"n/&gt;!6b]"</f>
        <v>#VALUE!</v>
      </c>
      <c r="FV484" t="e">
        <f>'TRRI Content Type Definitions'!10:10-"n/&gt;!6b^"</f>
        <v>#VALUE!</v>
      </c>
      <c r="FW484" t="e">
        <f>'TRRI Content Type Definitions'!11:11-"n/&gt;!6b_"</f>
        <v>#VALUE!</v>
      </c>
      <c r="FX484" t="e">
        <f>'TRRI Content Type Definitions'!12:12-"n/&gt;!6b`"</f>
        <v>#VALUE!</v>
      </c>
      <c r="FY484" t="e">
        <f>'TRRI Content Type Definitions'!13:13-"n/&gt;!6ba"</f>
        <v>#VALUE!</v>
      </c>
      <c r="FZ484" t="e">
        <f>'TRRI Content Type Definitions'!14:14-"n/&gt;!6bb"</f>
        <v>#VALUE!</v>
      </c>
      <c r="GA484" t="e">
        <f>'TRRI Content Type Definitions'!15:15-"n/&gt;!6bc"</f>
        <v>#VALUE!</v>
      </c>
      <c r="GB484" t="e">
        <f>'TRRI Content Type Definitions'!16:16-"n/&gt;!6bd"</f>
        <v>#VALUE!</v>
      </c>
      <c r="GC484" t="e">
        <f>'TRRI Content Type Definitions'!17:17-"n/&gt;!6be"</f>
        <v>#VALUE!</v>
      </c>
      <c r="GD484" t="e">
        <f>'TRRI Content Type Definitions'!18:18-"n/&gt;!6bf"</f>
        <v>#VALUE!</v>
      </c>
      <c r="GE484" t="e">
        <f>'TRRI Content Type Definitions'!19:19-"n/&gt;!6bg"</f>
        <v>#VALUE!</v>
      </c>
      <c r="GF484" t="e">
        <f>'TRRI Content Type Definitions'!20:20-"n/&gt;!6bh"</f>
        <v>#VALUE!</v>
      </c>
      <c r="GG484" t="e">
        <f>'TRRI Content Type Definitions'!21:21-"n/&gt;!6bi"</f>
        <v>#VALUE!</v>
      </c>
      <c r="GH484" t="e">
        <f>'TRRI Content Type Definitions'!22:22-"n/&gt;!6bj"</f>
        <v>#VALUE!</v>
      </c>
      <c r="GI484" t="e">
        <f>'TRRI Content Type Definitions'!23:23-"n/&gt;!6bk"</f>
        <v>#VALUE!</v>
      </c>
      <c r="GJ484" t="e">
        <f>'TRRI Content Type Definitions'!24:24-"n/&gt;!6bl"</f>
        <v>#VALUE!</v>
      </c>
      <c r="GK484" t="e">
        <f>'TRRI Content Type Definitions'!25:25-"n/&gt;!6bm"</f>
        <v>#VALUE!</v>
      </c>
      <c r="GL484" t="e">
        <f>'TRRI Content Type Definitions'!26:26-"n/&gt;!6bn"</f>
        <v>#VALUE!</v>
      </c>
      <c r="GM484" t="e">
        <f>'TRRI Content Type Definitions'!27:27-"n/&gt;!6bo"</f>
        <v>#VALUE!</v>
      </c>
      <c r="GN484" t="e">
        <f>'TRRI Content Type Definitions'!28:28-"n/&gt;!6bp"</f>
        <v>#VALUE!</v>
      </c>
      <c r="GO484" t="e">
        <f>'TRRI Content Type Definitions'!29:29-"n/&gt;!6bq"</f>
        <v>#VALUE!</v>
      </c>
      <c r="GP484" t="e">
        <f>'TRRI Content Type Definitions'!30:30-"n/&gt;!6br"</f>
        <v>#VALUE!</v>
      </c>
      <c r="GQ484" t="e">
        <f>'TRRI Content Type Definitions'!31:31-"n/&gt;!6bs"</f>
        <v>#VALUE!</v>
      </c>
      <c r="GR484" t="e">
        <f>'TRRI Content Type Definitions'!32:32-"n/&gt;!6bt"</f>
        <v>#VALUE!</v>
      </c>
      <c r="GS484" t="e">
        <f>'TRRI Content Type Definitions'!33:33-"n/&gt;!6bu"</f>
        <v>#VALUE!</v>
      </c>
      <c r="GT484" t="e">
        <f>'TRRI Content Type Definitions'!34:34-"n/&gt;!6bv"</f>
        <v>#VALUE!</v>
      </c>
      <c r="GU484" t="e">
        <f>'TRRI Content Type Definitions'!35:35-"n/&gt;!6bw"</f>
        <v>#VALUE!</v>
      </c>
      <c r="GV484" t="e">
        <f>'TRRI Content Type Definitions'!36:36-"n/&gt;!6bx"</f>
        <v>#VALUE!</v>
      </c>
      <c r="GW484" t="e">
        <f>'TRRI Content Type Definitions'!37:37-"n/&gt;!6by"</f>
        <v>#VALUE!</v>
      </c>
      <c r="GX484" t="e">
        <f>'TRRI Content Type Definitions'!38:38-"n/&gt;!6bz"</f>
        <v>#VALUE!</v>
      </c>
      <c r="GY484" t="e">
        <f>'TRRI Content Type Definitions'!39:39-"n/&gt;!6b{"</f>
        <v>#VALUE!</v>
      </c>
      <c r="GZ484" t="e">
        <f>'TRRI Content Type Definitions'!40:40-"n/&gt;!6b|"</f>
        <v>#VALUE!</v>
      </c>
      <c r="HA484" t="e">
        <f>'TRRI Content Type Definitions'!41:41-"n/&gt;!6b}"</f>
        <v>#VALUE!</v>
      </c>
      <c r="HB484" t="e">
        <f>'TRRI Content Type Definitions'!42:42-"n/&gt;!6b~"</f>
        <v>#VALUE!</v>
      </c>
      <c r="HC484" t="e">
        <f>'TRRI Content Type Definitions'!43:43-"n/&gt;!6c#"</f>
        <v>#VALUE!</v>
      </c>
      <c r="HD484" t="e">
        <f>'TRRI Content Type Definitions'!44:44-"n/&gt;!6c$"</f>
        <v>#VALUE!</v>
      </c>
      <c r="HE484" t="e">
        <f>'TRRI Content Type Definitions'!45:45-"n/&gt;!6c%"</f>
        <v>#VALUE!</v>
      </c>
      <c r="HF484" t="e">
        <f>'TRRI Content Type Definitions'!46:46-"n/&gt;!6c&amp;"</f>
        <v>#VALUE!</v>
      </c>
      <c r="HG484" t="e">
        <f>'TRRI Content Type Definitions'!47:47-"n/&gt;!6c'"</f>
        <v>#VALUE!</v>
      </c>
      <c r="HH484" t="e">
        <f>'TRRI Content Type Definitions'!48:48-"n/&gt;!6c("</f>
        <v>#VALUE!</v>
      </c>
      <c r="HI484" t="e">
        <f>'TRRI Content Type Definitions'!49:49-"n/&gt;!6c)"</f>
        <v>#VALUE!</v>
      </c>
      <c r="HJ484" t="e">
        <f>'TRRI Content Type Definitions'!50:50-"n/&gt;!6c."</f>
        <v>#VALUE!</v>
      </c>
      <c r="HK484" t="e">
        <f>'TRRI Content Type Definitions'!51:51-"n/&gt;!6c/"</f>
        <v>#VALUE!</v>
      </c>
      <c r="HL484" t="e">
        <f>'TRRI Content Type Definitions'!52:52-"n/&gt;!6c0"</f>
        <v>#VALUE!</v>
      </c>
      <c r="HM484" t="e">
        <f>'TRRI Content Type Definitions'!53:53-"n/&gt;!6c1"</f>
        <v>#VALUE!</v>
      </c>
      <c r="HN484" t="e">
        <f>'TRRI Content Type Definitions'!54:54-"n/&gt;!6c2"</f>
        <v>#VALUE!</v>
      </c>
      <c r="HO484" t="e">
        <f>'TRRI Content Type Definitions'!55:55-"n/&gt;!6c3"</f>
        <v>#VALUE!</v>
      </c>
      <c r="HP484" t="e">
        <f>'TRRI Content Type Definitions'!56:56-"n/&gt;!6c4"</f>
        <v>#VALUE!</v>
      </c>
      <c r="HQ484" t="e">
        <f>'TRRI Content Type Definitions'!57:57-"n/&gt;!6c5"</f>
        <v>#VALUE!</v>
      </c>
      <c r="HR484" t="e">
        <f>'TRRI Content Type Definitions'!58:58-"n/&gt;!6c6"</f>
        <v>#VALUE!</v>
      </c>
      <c r="HS484" t="e">
        <f>'TRRI Content Type Definitions'!59:59-"n/&gt;!6c7"</f>
        <v>#VALUE!</v>
      </c>
      <c r="HT484" t="e">
        <f>'TRRI Content Type Definitions'!60:60-"n/&gt;!6c8"</f>
        <v>#VALUE!</v>
      </c>
      <c r="HU484" t="e">
        <f>'TRRI Content Type Definitions'!61:61-"n/&gt;!6c9"</f>
        <v>#VALUE!</v>
      </c>
      <c r="HV484" t="e">
        <f>'TRRI Content Type Definitions'!62:62-"n/&gt;!6c:"</f>
        <v>#VALUE!</v>
      </c>
      <c r="HW484" t="e">
        <f>'TRRI Content Type Definitions'!63:63-"n/&gt;!6c;"</f>
        <v>#VALUE!</v>
      </c>
      <c r="HX484" t="e">
        <f>'TRRI Content Type Definitions'!64:64-"n/&gt;!6c&lt;"</f>
        <v>#VALUE!</v>
      </c>
      <c r="HY484" t="e">
        <f>'TRRI Content Type Definitions'!65:65-"n/&gt;!6c="</f>
        <v>#VALUE!</v>
      </c>
      <c r="HZ484" t="e">
        <f>'TRRI Content Type Definitions'!66:66-"n/&gt;!6c&gt;"</f>
        <v>#VALUE!</v>
      </c>
      <c r="IA484" t="e">
        <f>'TRRI Content Type Definitions'!67:67-"n/&gt;!6c?"</f>
        <v>#VALUE!</v>
      </c>
      <c r="IB484" t="e">
        <f>'TRRI Content Type Definitions'!68:68-"n/&gt;!6c@"</f>
        <v>#VALUE!</v>
      </c>
      <c r="IC484" t="e">
        <f>'TRRI Content Type Definitions'!69:69-"n/&gt;!6cA"</f>
        <v>#VALUE!</v>
      </c>
      <c r="ID484" t="e">
        <f>'TRRI Content Type Definitions'!70:70-"n/&gt;!6cB"</f>
        <v>#VALUE!</v>
      </c>
      <c r="IE484" t="e">
        <f>'TRRI Content Type Definitions'!71:71-"n/&gt;!6cC"</f>
        <v>#VALUE!</v>
      </c>
      <c r="IF484" t="e">
        <f>'TRRI Content Type Definitions'!72:72-"n/&gt;!6cD"</f>
        <v>#VALUE!</v>
      </c>
      <c r="IG484" t="e">
        <f>'TRRI Content Type Definitions'!73:73-"n/&gt;!6cE"</f>
        <v>#VALUE!</v>
      </c>
      <c r="IH484" t="e">
        <f>'TRRI Content Type Definitions'!74:74-"n/&gt;!6cF"</f>
        <v>#VALUE!</v>
      </c>
      <c r="II484" t="e">
        <f>'TRRI Content Type Definitions'!75:75-"n/&gt;!6cG"</f>
        <v>#VALUE!</v>
      </c>
      <c r="IJ484" t="e">
        <f>'TRRI Content Type Definitions'!76:76-"n/&gt;!6cH"</f>
        <v>#VALUE!</v>
      </c>
      <c r="IK484" t="e">
        <f>'TRRI Content Type Definitions'!77:77-"n/&gt;!6cI"</f>
        <v>#VALUE!</v>
      </c>
      <c r="IL484" t="e">
        <f>'TRRI Content Type Definitions'!78:78-"n/&gt;!6cJ"</f>
        <v>#VALUE!</v>
      </c>
      <c r="IM484" t="e">
        <f>'TRRI Content Type Definitions'!79:79-"n/&gt;!6cK"</f>
        <v>#VALUE!</v>
      </c>
      <c r="IN484" t="e">
        <f>'TRRI Content Type Definitions'!80:80-"n/&gt;!6cL"</f>
        <v>#VALUE!</v>
      </c>
      <c r="IO484" t="e">
        <f>'TRRI Content Type Definitions'!81:81-"n/&gt;!6cM"</f>
        <v>#VALUE!</v>
      </c>
      <c r="IP484" t="e">
        <f>'TRRI Content Type Definitions'!82:82-"n/&gt;!6cN"</f>
        <v>#VALUE!</v>
      </c>
      <c r="IQ484" t="e">
        <f>'TRRI Content Type Definitions'!83:83-"n/&gt;!6cO"</f>
        <v>#VALUE!</v>
      </c>
      <c r="IR484" t="e">
        <f>'TRRI Content Type Definitions'!84:84-"n/&gt;!6cP"</f>
        <v>#VALUE!</v>
      </c>
      <c r="IS484" t="e">
        <f>'TRRI Content Type Definitions'!85:85-"n/&gt;!6cQ"</f>
        <v>#VALUE!</v>
      </c>
      <c r="IT484" t="e">
        <f>'TRRI Content Type Definitions'!86:86-"n/&gt;!6cR"</f>
        <v>#VALUE!</v>
      </c>
      <c r="IU484" t="e">
        <f>'TRRI Content Type Definitions'!87:87-"n/&gt;!6cS"</f>
        <v>#VALUE!</v>
      </c>
      <c r="IV484" t="e">
        <f>'TRRI Content Type Definitions'!88:88-"n/&gt;!6cT"</f>
        <v>#VALUE!</v>
      </c>
    </row>
    <row r="485" spans="6:256" x14ac:dyDescent="0.35">
      <c r="F485" t="e">
        <f>'TRRI Content Type Definitions'!89:89-"n/&gt;!6cU"</f>
        <v>#VALUE!</v>
      </c>
      <c r="G485" t="e">
        <f>'TRRI Content Type Definitions'!90:90-"n/&gt;!6cV"</f>
        <v>#VALUE!</v>
      </c>
      <c r="H485" t="e">
        <f>'TRRI Content Type Definitions'!91:91-"n/&gt;!6cW"</f>
        <v>#VALUE!</v>
      </c>
      <c r="I485" t="e">
        <f>'TRRI Content Type Definitions'!92:92-"n/&gt;!6cX"</f>
        <v>#VALUE!</v>
      </c>
      <c r="J485" t="e">
        <f>'TRRI Content Type Definitions'!93:93-"n/&gt;!6cY"</f>
        <v>#VALUE!</v>
      </c>
      <c r="K485" t="e">
        <f>'TRRI Content Type Definitions'!94:94-"n/&gt;!6cZ"</f>
        <v>#VALUE!</v>
      </c>
      <c r="L485" t="e">
        <f>'TRRI Content Type Definitions'!95:95-"n/&gt;!6c["</f>
        <v>#VALUE!</v>
      </c>
      <c r="M485" t="e">
        <f>'TRRI Content Type Definitions'!96:96-"n/&gt;!6c\"</f>
        <v>#VALUE!</v>
      </c>
      <c r="N485" t="e">
        <f>'TRRI Content Type Definitions'!97:97-"n/&gt;!6c]"</f>
        <v>#VALUE!</v>
      </c>
      <c r="O485" t="e">
        <f>'TRRI Content Type Definitions'!98:98-"n/&gt;!6c^"</f>
        <v>#VALUE!</v>
      </c>
      <c r="P485" t="e">
        <f>'TRRI Content Type Definitions'!99:99-"n/&gt;!6c_"</f>
        <v>#VALUE!</v>
      </c>
      <c r="Q485" t="e">
        <f>'TRRI Content Type Definitions'!100:100-"n/&gt;!6c`"</f>
        <v>#VALUE!</v>
      </c>
      <c r="R485" t="e">
        <f>'TRRI Content Type Definitions'!101:101-"n/&gt;!6ca"</f>
        <v>#VALUE!</v>
      </c>
      <c r="S485" t="e">
        <f>'TRRI Content Type Definitions'!102:102-"n/&gt;!6cb"</f>
        <v>#VALUE!</v>
      </c>
      <c r="T485" t="e">
        <f>'TRRI Content Type Definitions'!103:103-"n/&gt;!6cc"</f>
        <v>#VALUE!</v>
      </c>
      <c r="U485" t="e">
        <f>'TRRI Content Type Definitions'!104:104-"n/&gt;!6cd"</f>
        <v>#VALUE!</v>
      </c>
      <c r="V485" t="e">
        <f>'TRRI Content Type Definitions'!105:105-"n/&gt;!6ce"</f>
        <v>#VALUE!</v>
      </c>
      <c r="W485" t="e">
        <f>'TRRI Content Type Definitions'!106:106-"n/&gt;!6cf"</f>
        <v>#VALUE!</v>
      </c>
      <c r="X485" t="e">
        <f>'TRRI Content Type Definitions'!107:107-"n/&gt;!6cg"</f>
        <v>#VALUE!</v>
      </c>
      <c r="Y485" t="e">
        <f>'TRRI Content Type Definitions'!108:108-"n/&gt;!6ch"</f>
        <v>#VALUE!</v>
      </c>
      <c r="Z485" t="e">
        <f>'TRRI Content Type Definitions'!109:109-"n/&gt;!6ci"</f>
        <v>#VALUE!</v>
      </c>
      <c r="AA485" t="e">
        <f>'TRRI Content Type Definitions'!110:110-"n/&gt;!6cj"</f>
        <v>#VALUE!</v>
      </c>
      <c r="AB485" t="e">
        <f>'TRRI Content Type Definitions'!111:111-"n/&gt;!6ck"</f>
        <v>#VALUE!</v>
      </c>
      <c r="AC485" t="e">
        <f>'TRRI Content Type Definitions'!112:112-"n/&gt;!6cl"</f>
        <v>#VALUE!</v>
      </c>
      <c r="AD485" t="e">
        <f>'TRRI Content Type Definitions'!113:113-"n/&gt;!6cm"</f>
        <v>#VALUE!</v>
      </c>
      <c r="AE485" t="e">
        <f>'TRRI Content Type Definitions'!114:114-"n/&gt;!6cn"</f>
        <v>#VALUE!</v>
      </c>
      <c r="AF485" t="e">
        <f>'TRRI Content Type Definitions'!115:115-"n/&gt;!6co"</f>
        <v>#VALUE!</v>
      </c>
      <c r="AG485" t="e">
        <f>'TRRI Content Type Definitions'!116:116-"n/&gt;!6cp"</f>
        <v>#VALUE!</v>
      </c>
      <c r="AH485" t="e">
        <f>'TRRI Content Type Definitions'!117:117-"n/&gt;!6cq"</f>
        <v>#VALUE!</v>
      </c>
      <c r="AI485" t="e">
        <f>'TRRI Content Type Definitions'!118:118-"n/&gt;!6cr"</f>
        <v>#VALUE!</v>
      </c>
      <c r="AJ485" t="e">
        <f>'TRRI Content Type Definitions'!119:119-"n/&gt;!6cs"</f>
        <v>#VALUE!</v>
      </c>
      <c r="AK485" t="e">
        <f>'TRRI Content Type Definitions'!120:120-"n/&gt;!6ct"</f>
        <v>#VALUE!</v>
      </c>
      <c r="AL485" t="e">
        <f>'TRRI Content Type Definitions'!121:121-"n/&gt;!6cu"</f>
        <v>#VALUE!</v>
      </c>
      <c r="AM485" t="e">
        <f>'TRRI Content Type Definitions'!122:122-"n/&gt;!6cv"</f>
        <v>#VALUE!</v>
      </c>
      <c r="AN485" t="e">
        <f>'TRRI Content Type Definitions'!123:123-"n/&gt;!6cw"</f>
        <v>#VALUE!</v>
      </c>
      <c r="AO485" t="e">
        <f>'TRRI Content Type Definitions'!124:124-"n/&gt;!6cx"</f>
        <v>#VALUE!</v>
      </c>
      <c r="AP485" t="e">
        <f>'TRRI Content Type Definitions'!125:125-"n/&gt;!6cy"</f>
        <v>#VALUE!</v>
      </c>
      <c r="AQ485" t="e">
        <f>'TRRI Content Type Definitions'!126:126-"n/&gt;!6cz"</f>
        <v>#VALUE!</v>
      </c>
      <c r="AR485" t="e">
        <f>'TRRI Content Type Definitions'!127:127-"n/&gt;!6c{"</f>
        <v>#VALUE!</v>
      </c>
      <c r="AS485" t="e">
        <f>'TRRI Content Type Definitions'!128:128-"n/&gt;!6c|"</f>
        <v>#VALUE!</v>
      </c>
      <c r="AT485" t="e">
        <f>'TRRI Content Type Definitions'!129:129-"n/&gt;!6c}"</f>
        <v>#VALUE!</v>
      </c>
      <c r="AU485" t="e">
        <f>'TRRI Content Type Definitions'!130:130-"n/&gt;!6c~"</f>
        <v>#VALUE!</v>
      </c>
      <c r="AV485" t="e">
        <f>'TRRI Content Type Definitions'!131:131-"n/&gt;!6d#"</f>
        <v>#VALUE!</v>
      </c>
      <c r="AW485" t="e">
        <f>'TRRI Content Type Definitions'!132:132-"n/&gt;!6d$"</f>
        <v>#VALUE!</v>
      </c>
      <c r="AX485" t="e">
        <f>'TRRI Content Type Definitions'!133:133-"n/&gt;!6d%"</f>
        <v>#VALUE!</v>
      </c>
      <c r="AY485" t="e">
        <f>'TRRI Content Type Definitions'!134:134-"n/&gt;!6d&amp;"</f>
        <v>#VALUE!</v>
      </c>
      <c r="AZ485" t="e">
        <f>'TRRI Content Type Definitions'!135:135-"n/&gt;!6d'"</f>
        <v>#VALUE!</v>
      </c>
      <c r="BA485" t="e">
        <f>'TRRI Content Type Definitions'!136:136-"n/&gt;!6d("</f>
        <v>#VALUE!</v>
      </c>
      <c r="BB485" t="e">
        <f>'TRRI Content Type Definitions'!137:137-"n/&gt;!6d)"</f>
        <v>#VALUE!</v>
      </c>
      <c r="BC485" t="e">
        <f>'TRRI Content Type Definitions'!138:138-"n/&gt;!6d."</f>
        <v>#VALUE!</v>
      </c>
      <c r="BD485" t="e">
        <f>'TRRI Content Type Definitions'!139:139-"n/&gt;!6d/"</f>
        <v>#VALUE!</v>
      </c>
      <c r="BE485" t="e">
        <f>'TRRI Content Type Definitions'!140:140-"n/&gt;!6d0"</f>
        <v>#VALUE!</v>
      </c>
      <c r="BF485" t="e">
        <f>'TRRI Content Type Definitions'!141:141-"n/&gt;!6d1"</f>
        <v>#VALUE!</v>
      </c>
      <c r="BG485" t="e">
        <f>'TRRI Content Type Definitions'!142:142-"n/&gt;!6d2"</f>
        <v>#VALUE!</v>
      </c>
      <c r="BH485" t="e">
        <f>'TRRI Content Type Definitions'!143:143-"n/&gt;!6d3"</f>
        <v>#VALUE!</v>
      </c>
      <c r="BI485" t="e">
        <f>'TRRI Content Type Definitions'!144:144-"n/&gt;!6d4"</f>
        <v>#VALUE!</v>
      </c>
      <c r="BJ485" t="e">
        <f>'TRRI Content Type Definitions'!145:145-"n/&gt;!6d5"</f>
        <v>#VALUE!</v>
      </c>
      <c r="BK485" t="e">
        <f>'TRRI Content Type Definitions'!146:146-"n/&gt;!6d6"</f>
        <v>#VALUE!</v>
      </c>
      <c r="BL485" t="e">
        <f>'TRRI Content Type Definitions'!147:147-"n/&gt;!6d7"</f>
        <v>#VALUE!</v>
      </c>
      <c r="BM485" t="e">
        <f>'TRRI Content Type Definitions'!148:148-"n/&gt;!6d8"</f>
        <v>#VALUE!</v>
      </c>
      <c r="BN485" t="e">
        <f>'TRRI Content Type Definitions'!149:149-"n/&gt;!6d9"</f>
        <v>#VALUE!</v>
      </c>
      <c r="BO485" t="e">
        <f>'TRRI Content Type Definitions'!150:150-"n/&gt;!6d:"</f>
        <v>#VALUE!</v>
      </c>
      <c r="BP485" t="e">
        <f>'TRRI Content Type Definitions'!151:151-"n/&gt;!6d;"</f>
        <v>#VALUE!</v>
      </c>
      <c r="BQ485" t="e">
        <f>'TRRI Content Type Definitions'!152:152-"n/&gt;!6d&lt;"</f>
        <v>#VALUE!</v>
      </c>
      <c r="BR485" t="e">
        <f>'TRRI Content Type Definitions'!153:153-"n/&gt;!6d="</f>
        <v>#VALUE!</v>
      </c>
      <c r="BS485" t="e">
        <f>'TRRI Content Type Definitions'!154:154-"n/&gt;!6d&gt;"</f>
        <v>#VALUE!</v>
      </c>
      <c r="BT485" t="e">
        <f>'TRRI Content Type Definitions'!155:155-"n/&gt;!6d?"</f>
        <v>#VALUE!</v>
      </c>
      <c r="BU485" t="e">
        <f>'TRRI Content Type Definitions'!156:156-"n/&gt;!6d@"</f>
        <v>#VALUE!</v>
      </c>
      <c r="BV485" t="e">
        <f>'TRRI Content Type Definitions'!157:157-"n/&gt;!6dA"</f>
        <v>#VALUE!</v>
      </c>
      <c r="BW485" t="e">
        <f>'TRRI Content Type Definitions'!158:158-"n/&gt;!6dB"</f>
        <v>#VALUE!</v>
      </c>
      <c r="BX485" t="e">
        <f>'TRRI Content Type Definitions'!159:159-"n/&gt;!6dC"</f>
        <v>#VALUE!</v>
      </c>
      <c r="BY485" t="e">
        <f>'TRRI Content Type Definitions'!160:160-"n/&gt;!6dD"</f>
        <v>#VALUE!</v>
      </c>
      <c r="BZ485" t="e">
        <f>'TRRI Content Type Definitions'!161:161-"n/&gt;!6dE"</f>
        <v>#VALUE!</v>
      </c>
      <c r="CA485" t="e">
        <f>'TRRI Content Type Definitions'!162:162-"n/&gt;!6dF"</f>
        <v>#VALUE!</v>
      </c>
      <c r="CB485" t="e">
        <f>'TRRI Content Type Definitions'!163:163-"n/&gt;!6dG"</f>
        <v>#VALUE!</v>
      </c>
      <c r="CC485" t="e">
        <f>'TRRI Content Type Definitions'!164:164-"n/&gt;!6dH"</f>
        <v>#VALUE!</v>
      </c>
      <c r="CD485" t="e">
        <f>'TRRI Content Type Definitions'!165:165-"n/&gt;!6dI"</f>
        <v>#VALUE!</v>
      </c>
      <c r="CE485" t="e">
        <f>'TRRI Content Type Definitions'!166:166-"n/&gt;!6dJ"</f>
        <v>#VALUE!</v>
      </c>
      <c r="CF485" t="e">
        <f>'TRRI Content Type Definitions'!167:167-"n/&gt;!6dK"</f>
        <v>#VALUE!</v>
      </c>
      <c r="CG485" t="e">
        <f>'TRRI Content Type Definitions'!168:168-"n/&gt;!6dL"</f>
        <v>#VALUE!</v>
      </c>
      <c r="CH485" t="e">
        <f>'TRRI Content Type Definitions'!169:169-"n/&gt;!6dM"</f>
        <v>#VALUE!</v>
      </c>
      <c r="CI485" t="e">
        <f>'TRRI Content Type Definitions'!170:170-"n/&gt;!6dN"</f>
        <v>#VALUE!</v>
      </c>
      <c r="CJ485" t="e">
        <f>'TRRI Content Type Definitions'!171:171-"n/&gt;!6dO"</f>
        <v>#VALUE!</v>
      </c>
      <c r="CK485" t="e">
        <f>'TRRI Content Type Definitions'!172:172-"n/&gt;!6dP"</f>
        <v>#VALUE!</v>
      </c>
      <c r="CL485" t="e">
        <f>'TRRI Content Type Definitions'!173:173-"n/&gt;!6dQ"</f>
        <v>#VALUE!</v>
      </c>
      <c r="CM485" t="e">
        <f>'TRRI Content Type Definitions'!174:174-"n/&gt;!6dR"</f>
        <v>#VALUE!</v>
      </c>
      <c r="CN485" t="e">
        <f>'TRRI Content Type Definitions'!175:175-"n/&gt;!6dS"</f>
        <v>#VALUE!</v>
      </c>
      <c r="CO485" t="e">
        <f>'TRRI Content Type Definitions'!176:176-"n/&gt;!6dT"</f>
        <v>#VALUE!</v>
      </c>
      <c r="CP485" t="e">
        <f>'TRRI Content Type Definitions'!177:177-"n/&gt;!6dU"</f>
        <v>#VALUE!</v>
      </c>
      <c r="CQ485" t="e">
        <f>'TRRI Content Type Definitions'!178:178-"n/&gt;!6dV"</f>
        <v>#VALUE!</v>
      </c>
      <c r="CR485" t="e">
        <f>'TRRI Content Type Definitions'!179:179-"n/&gt;!6dW"</f>
        <v>#VALUE!</v>
      </c>
      <c r="CS485" t="e">
        <f>'TRRI Content Type Definitions'!180:180-"n/&gt;!6dX"</f>
        <v>#VALUE!</v>
      </c>
      <c r="CT485" t="e">
        <f>'TRRI Content Type Definitions'!181:181-"n/&gt;!6dY"</f>
        <v>#VALUE!</v>
      </c>
      <c r="CU485" t="e">
        <f>'TRRI Content Type Definitions'!182:182-"n/&gt;!6dZ"</f>
        <v>#VALUE!</v>
      </c>
      <c r="CV485" t="e">
        <f>'TRRI Content Type Definitions'!183:183-"n/&gt;!6d["</f>
        <v>#VALUE!</v>
      </c>
      <c r="CW485" t="e">
        <f>'TRRI Content Type Definitions'!184:184-"n/&gt;!6d\"</f>
        <v>#VALUE!</v>
      </c>
      <c r="CX485" t="e">
        <f>'TRRI Content Type Definitions'!185:185-"n/&gt;!6d]"</f>
        <v>#VALUE!</v>
      </c>
      <c r="CY485" t="e">
        <f>'TRRI Content Type Definitions'!186:186-"n/&gt;!6d^"</f>
        <v>#VALUE!</v>
      </c>
      <c r="CZ485" t="e">
        <f>'TRRI Content Type Definitions'!187:187-"n/&gt;!6d_"</f>
        <v>#VALUE!</v>
      </c>
      <c r="DA485" t="e">
        <f>'TRRI Content Type Definitions'!188:188-"n/&gt;!6d`"</f>
        <v>#VALUE!</v>
      </c>
      <c r="DB485" t="e">
        <f>'TRRI Content Type Definitions'!189:189-"n/&gt;!6da"</f>
        <v>#VALUE!</v>
      </c>
      <c r="DC485" t="e">
        <f>'TRRI Content Type Definitions'!190:190-"n/&gt;!6db"</f>
        <v>#VALUE!</v>
      </c>
      <c r="DD485" t="e">
        <f>'TRRI Content Type Definitions'!191:191-"n/&gt;!6dc"</f>
        <v>#VALUE!</v>
      </c>
      <c r="DE485" t="e">
        <f>'TRRI Content Type Definitions'!192:192-"n/&gt;!6dd"</f>
        <v>#VALUE!</v>
      </c>
      <c r="DF485" t="e">
        <f>'TRRI Content Type Definitions'!193:193-"n/&gt;!6de"</f>
        <v>#VALUE!</v>
      </c>
      <c r="DG485" t="e">
        <f>'TRRI Content Type Definitions'!194:194-"n/&gt;!6df"</f>
        <v>#VALUE!</v>
      </c>
      <c r="DH485" t="e">
        <f>'TRRI Content Type Definitions'!195:195-"n/&gt;!6dg"</f>
        <v>#VALUE!</v>
      </c>
      <c r="DI485" t="e">
        <f>'TRRI Content Type Definitions'!196:196-"n/&gt;!6dh"</f>
        <v>#VALUE!</v>
      </c>
      <c r="DJ485" t="e">
        <f>'TRRI Content Type Definitions'!197:197-"n/&gt;!6di"</f>
        <v>#VALUE!</v>
      </c>
      <c r="DK485" t="e">
        <f>'TRRI Content Type Definitions'!198:198-"n/&gt;!6dj"</f>
        <v>#VALUE!</v>
      </c>
      <c r="DL485" t="e">
        <f>'TRRI Content Type Definitions'!199:199-"n/&gt;!6dk"</f>
        <v>#VALUE!</v>
      </c>
      <c r="DM485" t="e">
        <f>'TRRI Content Type Definitions'!200:200-"n/&gt;!6dl"</f>
        <v>#VALUE!</v>
      </c>
      <c r="DN485" t="e">
        <f>'TRRI Content Type Definitions'!201:201-"n/&gt;!6dm"</f>
        <v>#VALUE!</v>
      </c>
      <c r="DO485" t="e">
        <f>'TRRI Content Type Definitions'!202:202-"n/&gt;!6dn"</f>
        <v>#VALUE!</v>
      </c>
      <c r="DP485" t="e">
        <f>'TRRI Content Type Definitions'!203:203-"n/&gt;!6do"</f>
        <v>#VALUE!</v>
      </c>
      <c r="DQ485" t="e">
        <f>'TRRI Content Type Definitions'!204:204-"n/&gt;!6dp"</f>
        <v>#VALUE!</v>
      </c>
      <c r="DR485" t="e">
        <f>'TRRI Content Type Definitions'!205:205-"n/&gt;!6dq"</f>
        <v>#VALUE!</v>
      </c>
      <c r="DS485" t="e">
        <f>'TRRI Content Type Definitions'!206:206-"n/&gt;!6dr"</f>
        <v>#VALUE!</v>
      </c>
      <c r="DT485" t="e">
        <f>'TRRI Content Type Definitions'!207:207-"n/&gt;!6ds"</f>
        <v>#VALUE!</v>
      </c>
      <c r="DU485" t="e">
        <f>'TRRI Content Type Definitions'!208:208-"n/&gt;!6dt"</f>
        <v>#VALUE!</v>
      </c>
      <c r="DV485" t="e">
        <f>'TRRI Content Type Definitions'!209:209-"n/&gt;!6du"</f>
        <v>#VALUE!</v>
      </c>
      <c r="DW485" t="e">
        <f>'TRRI Content Type Definitions'!210:210-"n/&gt;!6dv"</f>
        <v>#VALUE!</v>
      </c>
      <c r="DX485" t="e">
        <f>'TRRI Content Type Definitions'!211:211-"n/&gt;!6dw"</f>
        <v>#VALUE!</v>
      </c>
      <c r="DY485" t="e">
        <f>'TRRI Content Type Definitions'!212:212-"n/&gt;!6dx"</f>
        <v>#VALUE!</v>
      </c>
      <c r="DZ485" t="e">
        <f>'TRRI Content Type Definitions'!213:213-"n/&gt;!6dy"</f>
        <v>#VALUE!</v>
      </c>
      <c r="EA485" t="e">
        <f>'TRRI Content Type Definitions'!214:214-"n/&gt;!6dz"</f>
        <v>#VALUE!</v>
      </c>
      <c r="EB485" t="e">
        <f>'TRRI Content Type Definitions'!215:215-"n/&gt;!6d{"</f>
        <v>#VALUE!</v>
      </c>
      <c r="EC485" t="e">
        <f>'TRRI Content Type Definitions'!216:216-"n/&gt;!6d|"</f>
        <v>#VALUE!</v>
      </c>
      <c r="ED485" t="e">
        <f>'TRRI Content Type Definitions'!217:217-"n/&gt;!6d}"</f>
        <v>#VALUE!</v>
      </c>
      <c r="EE485" t="e">
        <f>'TRRI Content Type Definitions'!218:218-"n/&gt;!6d~"</f>
        <v>#VALUE!</v>
      </c>
      <c r="EF485" t="e">
        <f>'TRRI Content Type Definitions'!219:219-"n/&gt;!6e#"</f>
        <v>#VALUE!</v>
      </c>
      <c r="EG485" t="e">
        <f>'TRRI Content Type Definitions'!220:220-"n/&gt;!6e$"</f>
        <v>#VALUE!</v>
      </c>
      <c r="EH485" t="e">
        <f>'TRRI Content Type Definitions'!221:221-"n/&gt;!6e%"</f>
        <v>#VALUE!</v>
      </c>
      <c r="EI485" t="e">
        <f>'TRRI Content Type Definitions'!222:222-"n/&gt;!6e&amp;"</f>
        <v>#VALUE!</v>
      </c>
      <c r="EJ485" t="e">
        <f>'TRRI Content Type Definitions'!223:223-"n/&gt;!6e'"</f>
        <v>#VALUE!</v>
      </c>
      <c r="EK485" t="e">
        <f>'TRRI Content Type Definitions'!224:224-"n/&gt;!6e("</f>
        <v>#VALUE!</v>
      </c>
      <c r="EL485" t="e">
        <f>'TRRI Content Type Definitions'!225:225-"n/&gt;!6e)"</f>
        <v>#VALUE!</v>
      </c>
      <c r="EM485" t="e">
        <f>'TRRI Content Type Definitions'!226:226-"n/&gt;!6e."</f>
        <v>#VALUE!</v>
      </c>
      <c r="EN485" t="e">
        <f>'TRRI Content Type Definitions'!227:227-"n/&gt;!6e/"</f>
        <v>#VALUE!</v>
      </c>
      <c r="EO485" t="e">
        <f>'TRRI Content Type Definitions'!228:228-"n/&gt;!6e0"</f>
        <v>#VALUE!</v>
      </c>
      <c r="EP485" t="e">
        <f>'TRRI Content Type Definitions'!229:229-"n/&gt;!6e1"</f>
        <v>#VALUE!</v>
      </c>
      <c r="EQ485" t="e">
        <f>'TRRI Content Type Definitions'!230:230-"n/&gt;!6e2"</f>
        <v>#VALUE!</v>
      </c>
      <c r="ER485" t="e">
        <f>'TRRI Content Type Definitions'!231:231-"n/&gt;!6e3"</f>
        <v>#VALUE!</v>
      </c>
      <c r="ES485" t="e">
        <f>'TRRI Content Type Definitions'!232:232-"n/&gt;!6e4"</f>
        <v>#VALUE!</v>
      </c>
      <c r="ET485" t="e">
        <f>'TRRI Content Type Definitions'!233:233-"n/&gt;!6e5"</f>
        <v>#VALUE!</v>
      </c>
      <c r="EU485" t="e">
        <f>'TRRI Content Type Definitions'!234:234-"n/&gt;!6e6"</f>
        <v>#VALUE!</v>
      </c>
      <c r="EV485" t="e">
        <f>'TRRI Content Type Definitions'!235:235-"n/&gt;!6e7"</f>
        <v>#VALUE!</v>
      </c>
      <c r="EW485" t="e">
        <f>'TRRI Content Type Definitions'!236:236-"n/&gt;!6e8"</f>
        <v>#VALUE!</v>
      </c>
      <c r="EX485" t="e">
        <f>'TRRI Content Type Definitions'!237:237-"n/&gt;!6e9"</f>
        <v>#VALUE!</v>
      </c>
      <c r="EY485" t="e">
        <f>'TRRI Content Type Definitions'!238:238-"n/&gt;!6e:"</f>
        <v>#VALUE!</v>
      </c>
      <c r="EZ485" t="e">
        <f>'TRRI Content Type Definitions'!239:239-"n/&gt;!6e;"</f>
        <v>#VALUE!</v>
      </c>
      <c r="FA485" t="e">
        <f>'TRRI Content Type Definitions'!240:240-"n/&gt;!6e&lt;"</f>
        <v>#VALUE!</v>
      </c>
      <c r="FB485" t="e">
        <f>'TRRI Content Type Definitions'!241:241-"n/&gt;!6e="</f>
        <v>#VALUE!</v>
      </c>
      <c r="FC485" t="e">
        <f>'TRRI Content Type Definitions'!242:242-"n/&gt;!6e&gt;"</f>
        <v>#VALUE!</v>
      </c>
      <c r="FD485" t="e">
        <f>'TRRI Content Type Definitions'!243:243-"n/&gt;!6e?"</f>
        <v>#VALUE!</v>
      </c>
      <c r="FE485" t="e">
        <f>'TRRI Content Type Definitions'!244:244-"n/&gt;!6e@"</f>
        <v>#VALUE!</v>
      </c>
      <c r="FF485" t="e">
        <f>'TRRI Content Type Definitions'!245:245-"n/&gt;!6eA"</f>
        <v>#VALUE!</v>
      </c>
      <c r="FG485" t="e">
        <f>'TRRI Content Type Definitions'!246:246-"n/&gt;!6eB"</f>
        <v>#VALUE!</v>
      </c>
      <c r="FH485" t="e">
        <f>'TRRI Content Type Definitions'!247:247-"n/&gt;!6eC"</f>
        <v>#VALUE!</v>
      </c>
      <c r="FI485" t="e">
        <f>'TRRI Content Type Definitions'!248:248-"n/&gt;!6eD"</f>
        <v>#VALUE!</v>
      </c>
      <c r="FJ485" t="e">
        <f>'TRRI Content Type Definitions'!249:249-"n/&gt;!6eE"</f>
        <v>#VALUE!</v>
      </c>
      <c r="FK485" t="e">
        <f>'TRRI Content Type Definitions'!250:250-"n/&gt;!6eF"</f>
        <v>#VALUE!</v>
      </c>
      <c r="FL485" t="e">
        <f>'TRRI Content Type Definitions'!251:251-"n/&gt;!6eG"</f>
        <v>#VALUE!</v>
      </c>
      <c r="FM485" t="e">
        <f>'TRRI Content Type Definitions'!252:252-"n/&gt;!6eH"</f>
        <v>#VALUE!</v>
      </c>
      <c r="FN485" t="e">
        <f>'TRRI Content Type Definitions'!253:253-"n/&gt;!6eI"</f>
        <v>#VALUE!</v>
      </c>
      <c r="FO485" t="e">
        <f>'TRRI Content Type Definitions'!254:254-"n/&gt;!6eJ"</f>
        <v>#VALUE!</v>
      </c>
      <c r="FP485" t="e">
        <f>'TRRI Content Type Definitions'!255:255-"n/&gt;!6eK"</f>
        <v>#VALUE!</v>
      </c>
      <c r="FQ485" t="e">
        <f>'TRRI Content Type Definitions'!256:256-"n/&gt;!6eL"</f>
        <v>#VALUE!</v>
      </c>
      <c r="FR485" t="e">
        <f>'TRRI Content Type Definitions'!257:257-"n/&gt;!6eM"</f>
        <v>#VALUE!</v>
      </c>
      <c r="FS485" t="e">
        <f>'TRRI Content Type Definitions'!258:258-"n/&gt;!6eN"</f>
        <v>#VALUE!</v>
      </c>
      <c r="FT485" t="e">
        <f>'TRRI Content Type Definitions'!259:259-"n/&gt;!6eO"</f>
        <v>#VALUE!</v>
      </c>
      <c r="FU485" t="e">
        <f>'TRRI Content Type Definitions'!260:260-"n/&gt;!6eP"</f>
        <v>#VALUE!</v>
      </c>
      <c r="FV485" t="e">
        <f>'TRRI Content Type Definitions'!261:261-"n/&gt;!6eQ"</f>
        <v>#VALUE!</v>
      </c>
      <c r="FW485" t="e">
        <f>'TRRI Content Type Definitions'!262:262-"n/&gt;!6eR"</f>
        <v>#VALUE!</v>
      </c>
      <c r="FX485" t="e">
        <f>'TRRI Content Type Definitions'!263:263-"n/&gt;!6eS"</f>
        <v>#VALUE!</v>
      </c>
      <c r="FY485" t="e">
        <f>'TRRI Content Type Definitions'!264:264-"n/&gt;!6eT"</f>
        <v>#VALUE!</v>
      </c>
      <c r="FZ485" t="e">
        <f>'TRRI Content Type Definitions'!265:265-"n/&gt;!6eU"</f>
        <v>#VALUE!</v>
      </c>
      <c r="GA485" t="e">
        <f>'TRRI Content Type Definitions'!266:266-"n/&gt;!6eV"</f>
        <v>#VALUE!</v>
      </c>
      <c r="GB485" t="e">
        <f>'TRRI Content Type Definitions'!267:267-"n/&gt;!6eW"</f>
        <v>#VALUE!</v>
      </c>
      <c r="GC485" t="e">
        <f>'TRRI Content Type Definitions'!268:268-"n/&gt;!6eX"</f>
        <v>#VALUE!</v>
      </c>
      <c r="GD485" t="e">
        <f>'TRRI Content Type Definitions'!269:269-"n/&gt;!6eY"</f>
        <v>#VALUE!</v>
      </c>
      <c r="GE485" t="e">
        <f>'TRRI Content Type Definitions'!270:270-"n/&gt;!6eZ"</f>
        <v>#VALUE!</v>
      </c>
      <c r="GF485" t="e">
        <f>'TRRI Content Type Definitions'!271:271-"n/&gt;!6e["</f>
        <v>#VALUE!</v>
      </c>
      <c r="GG485" t="e">
        <f>'TRRI Content Type Definitions'!272:272-"n/&gt;!6e\"</f>
        <v>#VALUE!</v>
      </c>
      <c r="GH485" t="e">
        <f>'TRRI Content Type Definitions'!273:273-"n/&gt;!6e]"</f>
        <v>#VALUE!</v>
      </c>
      <c r="GI485" t="e">
        <f>'TRRI Content Type Definitions'!274:274-"n/&gt;!6e^"</f>
        <v>#VALUE!</v>
      </c>
      <c r="GJ485" t="e">
        <f>'TRRI Content Type Definitions'!275:275-"n/&gt;!6e_"</f>
        <v>#VALUE!</v>
      </c>
      <c r="GK485" t="e">
        <f>'TRRI Content Type Definitions'!276:276-"n/&gt;!6e`"</f>
        <v>#VALUE!</v>
      </c>
      <c r="GL485" t="e">
        <f>'TRRI Content Type Definitions'!277:277-"n/&gt;!6ea"</f>
        <v>#VALUE!</v>
      </c>
      <c r="GM485" t="e">
        <f>'TRRI Content Type Definitions'!278:278-"n/&gt;!6eb"</f>
        <v>#VALUE!</v>
      </c>
      <c r="GN485" t="e">
        <f>'TRRI Content Type Definitions'!279:279-"n/&gt;!6ec"</f>
        <v>#VALUE!</v>
      </c>
      <c r="GO485" t="e">
        <f>'TRRI Content Type Definitions'!280:280-"n/&gt;!6ed"</f>
        <v>#VALUE!</v>
      </c>
      <c r="GP485" t="e">
        <f>'TRRI Content Type Definitions'!281:281-"n/&gt;!6ee"</f>
        <v>#VALUE!</v>
      </c>
      <c r="GQ485" t="e">
        <f>'TRRI Content Type Definitions'!282:282-"n/&gt;!6ef"</f>
        <v>#VALUE!</v>
      </c>
      <c r="GR485" t="e">
        <f>'TRRI Content Type Definitions'!283:283-"n/&gt;!6eg"</f>
        <v>#VALUE!</v>
      </c>
      <c r="GS485" t="e">
        <f>'TRRI Content Type Definitions'!284:284-"n/&gt;!6eh"</f>
        <v>#VALUE!</v>
      </c>
      <c r="GT485" t="e">
        <f>'TRRI Content Type Definitions'!285:285-"n/&gt;!6ei"</f>
        <v>#VALUE!</v>
      </c>
      <c r="GU485" t="e">
        <f>'TRRI Content Type Definitions'!286:286-"n/&gt;!6ej"</f>
        <v>#VALUE!</v>
      </c>
      <c r="GV485" t="e">
        <f>'TRRI Content Type Definitions'!287:287-"n/&gt;!6ek"</f>
        <v>#VALUE!</v>
      </c>
      <c r="GW485" t="e">
        <f>'TRRI Content Type Definitions'!288:288-"n/&gt;!6el"</f>
        <v>#VALUE!</v>
      </c>
      <c r="GX485" t="e">
        <f>'TRRI Content Type Definitions'!289:289-"n/&gt;!6em"</f>
        <v>#VALUE!</v>
      </c>
      <c r="GY485" t="e">
        <f>'TRRI Content Type Definitions'!290:290-"n/&gt;!6en"</f>
        <v>#VALUE!</v>
      </c>
      <c r="GZ485" t="e">
        <f>'TRRI Content Type Definitions'!291:291-"n/&gt;!6eo"</f>
        <v>#VALUE!</v>
      </c>
      <c r="HA485" t="e">
        <f>'TRRI Content Type Definitions'!292:292-"n/&gt;!6ep"</f>
        <v>#VALUE!</v>
      </c>
      <c r="HB485" t="e">
        <f>'TRRI Content Type Definitions'!293:293-"n/&gt;!6eq"</f>
        <v>#VALUE!</v>
      </c>
      <c r="HC485" t="e">
        <f>'TRRI Content Type Definitions'!294:294-"n/&gt;!6er"</f>
        <v>#VALUE!</v>
      </c>
      <c r="HD485" t="e">
        <f>'TRRI Content Type Definitions'!295:295-"n/&gt;!6es"</f>
        <v>#VALUE!</v>
      </c>
      <c r="HE485" t="e">
        <f>'TRRI Content Type Definitions'!296:296-"n/&gt;!6et"</f>
        <v>#VALUE!</v>
      </c>
      <c r="HF485" t="e">
        <f>'TRRI Content Type Definitions'!297:297-"n/&gt;!6eu"</f>
        <v>#VALUE!</v>
      </c>
      <c r="HG485" t="e">
        <f>'TRRI Content Type Definitions'!298:298-"n/&gt;!6ev"</f>
        <v>#VALUE!</v>
      </c>
      <c r="HH485" t="e">
        <f>'TRRI Content Type Definitions'!299:299-"n/&gt;!6ew"</f>
        <v>#VALUE!</v>
      </c>
      <c r="HI485" t="e">
        <f>'TRRI Content Type Definitions'!300:300-"n/&gt;!6ex"</f>
        <v>#VALUE!</v>
      </c>
      <c r="HJ485" t="e">
        <f>'TRRI Content Type Definitions'!301:301-"n/&gt;!6ey"</f>
        <v>#VALUE!</v>
      </c>
      <c r="HK485" t="e">
        <f>'TRRI Content Type Definitions'!302:302-"n/&gt;!6ez"</f>
        <v>#VALUE!</v>
      </c>
      <c r="HL485" t="e">
        <f>'TRRI Content Type Definitions'!303:303-"n/&gt;!6e{"</f>
        <v>#VALUE!</v>
      </c>
      <c r="HM485" t="e">
        <f>'TRRI Content Type Definitions'!304:304-"n/&gt;!6e|"</f>
        <v>#VALUE!</v>
      </c>
      <c r="HN485" t="e">
        <f>'TRRI Content Type Definitions'!305:305-"n/&gt;!6e}"</f>
        <v>#VALUE!</v>
      </c>
      <c r="HO485" t="e">
        <f>'TRRI Content Type Definitions'!306:306-"n/&gt;!6e~"</f>
        <v>#VALUE!</v>
      </c>
      <c r="HP485" t="e">
        <f>'TRRI Content Type Definitions'!307:307-"n/&gt;!6f#"</f>
        <v>#VALUE!</v>
      </c>
      <c r="HQ485" t="e">
        <f>'TRRI Content Type Definitions'!308:308-"n/&gt;!6f$"</f>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676"/>
  <sheetViews>
    <sheetView tabSelected="1" topLeftCell="D1" workbookViewId="0">
      <selection activeCell="C1677" sqref="C1677"/>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11</v>
      </c>
      <c r="B2" s="2" t="s">
        <v>12</v>
      </c>
      <c r="C2" s="3" t="s">
        <v>13</v>
      </c>
      <c r="D2" s="2" t="s">
        <v>14</v>
      </c>
      <c r="E2" s="2" t="s">
        <v>15</v>
      </c>
      <c r="F2" s="21"/>
      <c r="G2" s="21"/>
      <c r="H2" s="2" t="s">
        <v>16</v>
      </c>
      <c r="I2" s="2" t="s">
        <v>17</v>
      </c>
    </row>
    <row r="3" spans="1:9" x14ac:dyDescent="0.35">
      <c r="A3" s="2" t="s">
        <v>11</v>
      </c>
      <c r="B3" s="2" t="s">
        <v>12</v>
      </c>
      <c r="C3" s="3" t="s">
        <v>13</v>
      </c>
      <c r="D3" s="2" t="s">
        <v>18</v>
      </c>
      <c r="E3" s="2" t="s">
        <v>19</v>
      </c>
      <c r="F3" s="2" t="s">
        <v>20</v>
      </c>
      <c r="G3" s="2" t="s">
        <v>21</v>
      </c>
      <c r="H3" s="2" t="s">
        <v>16</v>
      </c>
      <c r="I3" s="2" t="s">
        <v>17</v>
      </c>
    </row>
    <row r="4" spans="1:9" x14ac:dyDescent="0.35">
      <c r="A4" s="2" t="s">
        <v>11</v>
      </c>
      <c r="B4" s="2" t="s">
        <v>12</v>
      </c>
      <c r="C4" s="3" t="s">
        <v>22</v>
      </c>
      <c r="D4" s="2" t="s">
        <v>18</v>
      </c>
      <c r="E4" s="2" t="s">
        <v>19</v>
      </c>
      <c r="F4" s="2" t="s">
        <v>20</v>
      </c>
      <c r="G4" s="2" t="s">
        <v>23</v>
      </c>
      <c r="H4" s="2" t="s">
        <v>16</v>
      </c>
      <c r="I4" s="2" t="s">
        <v>17</v>
      </c>
    </row>
    <row r="5" spans="1:9" x14ac:dyDescent="0.35">
      <c r="A5" s="2" t="s">
        <v>11</v>
      </c>
      <c r="B5" s="2" t="s">
        <v>24</v>
      </c>
      <c r="C5" s="2" t="s">
        <v>25</v>
      </c>
      <c r="D5" s="2" t="s">
        <v>14</v>
      </c>
      <c r="E5" s="2" t="s">
        <v>15</v>
      </c>
      <c r="F5" s="2"/>
      <c r="G5" s="2"/>
      <c r="H5" s="2" t="s">
        <v>16</v>
      </c>
      <c r="I5" s="2" t="s">
        <v>26</v>
      </c>
    </row>
    <row r="6" spans="1:9" x14ac:dyDescent="0.35">
      <c r="A6" s="2" t="s">
        <v>11</v>
      </c>
      <c r="B6" s="2" t="s">
        <v>24</v>
      </c>
      <c r="C6" s="2" t="s">
        <v>25</v>
      </c>
      <c r="D6" s="2" t="s">
        <v>27</v>
      </c>
      <c r="E6" s="2" t="s">
        <v>28</v>
      </c>
      <c r="F6" s="2"/>
      <c r="G6" s="2"/>
      <c r="H6" s="2" t="s">
        <v>16</v>
      </c>
      <c r="I6" s="2" t="s">
        <v>26</v>
      </c>
    </row>
    <row r="7" spans="1:9" x14ac:dyDescent="0.35">
      <c r="A7" s="2" t="s">
        <v>11</v>
      </c>
      <c r="B7" s="2" t="s">
        <v>24</v>
      </c>
      <c r="C7" s="2" t="s">
        <v>25</v>
      </c>
      <c r="D7" s="2" t="s">
        <v>29</v>
      </c>
      <c r="E7" s="2" t="s">
        <v>30</v>
      </c>
      <c r="F7" s="2"/>
      <c r="G7" s="2"/>
      <c r="H7" s="2" t="s">
        <v>16</v>
      </c>
      <c r="I7" s="2" t="s">
        <v>26</v>
      </c>
    </row>
    <row r="8" spans="1:9" x14ac:dyDescent="0.35">
      <c r="A8" s="2" t="s">
        <v>11</v>
      </c>
      <c r="B8" s="2" t="s">
        <v>24</v>
      </c>
      <c r="C8" s="2" t="s">
        <v>25</v>
      </c>
      <c r="D8" s="2" t="s">
        <v>31</v>
      </c>
      <c r="E8" s="2" t="s">
        <v>32</v>
      </c>
      <c r="F8" s="2"/>
      <c r="G8" s="2"/>
      <c r="H8" s="2" t="s">
        <v>16</v>
      </c>
      <c r="I8" s="2" t="s">
        <v>26</v>
      </c>
    </row>
    <row r="9" spans="1:9" x14ac:dyDescent="0.35">
      <c r="A9" s="2" t="s">
        <v>11</v>
      </c>
      <c r="B9" s="2" t="s">
        <v>24</v>
      </c>
      <c r="C9" s="2" t="s">
        <v>25</v>
      </c>
      <c r="D9" s="2" t="s">
        <v>33</v>
      </c>
      <c r="E9" s="2" t="s">
        <v>34</v>
      </c>
      <c r="F9" s="2"/>
      <c r="G9" s="2"/>
      <c r="H9" s="2" t="s">
        <v>16</v>
      </c>
      <c r="I9" s="2" t="s">
        <v>26</v>
      </c>
    </row>
    <row r="10" spans="1:9" x14ac:dyDescent="0.35">
      <c r="A10" s="2" t="s">
        <v>11</v>
      </c>
      <c r="B10" s="2" t="s">
        <v>24</v>
      </c>
      <c r="C10" s="2" t="s">
        <v>25</v>
      </c>
      <c r="D10" s="2" t="s">
        <v>35</v>
      </c>
      <c r="E10" s="2" t="s">
        <v>36</v>
      </c>
      <c r="F10" s="2"/>
      <c r="G10" s="2"/>
      <c r="H10" s="2" t="s">
        <v>16</v>
      </c>
      <c r="I10" s="2" t="s">
        <v>26</v>
      </c>
    </row>
    <row r="11" spans="1:9" x14ac:dyDescent="0.35">
      <c r="A11" s="2" t="s">
        <v>11</v>
      </c>
      <c r="B11" s="2" t="s">
        <v>24</v>
      </c>
      <c r="C11" s="2" t="s">
        <v>25</v>
      </c>
      <c r="D11" s="2" t="s">
        <v>37</v>
      </c>
      <c r="E11" s="2" t="s">
        <v>38</v>
      </c>
      <c r="F11" s="2"/>
      <c r="G11" s="2"/>
      <c r="H11" s="2" t="s">
        <v>16</v>
      </c>
      <c r="I11" s="2" t="s">
        <v>26</v>
      </c>
    </row>
    <row r="12" spans="1:9" x14ac:dyDescent="0.35">
      <c r="A12" s="2" t="s">
        <v>11</v>
      </c>
      <c r="B12" s="2" t="s">
        <v>24</v>
      </c>
      <c r="C12" s="2" t="s">
        <v>25</v>
      </c>
      <c r="D12" s="2" t="s">
        <v>39</v>
      </c>
      <c r="E12" s="2" t="s">
        <v>40</v>
      </c>
      <c r="F12" s="2"/>
      <c r="G12" s="2"/>
      <c r="H12" s="2" t="s">
        <v>16</v>
      </c>
      <c r="I12" s="2" t="s">
        <v>26</v>
      </c>
    </row>
    <row r="13" spans="1:9" x14ac:dyDescent="0.35">
      <c r="A13" s="2" t="s">
        <v>11</v>
      </c>
      <c r="B13" s="2" t="s">
        <v>24</v>
      </c>
      <c r="C13" s="2" t="s">
        <v>25</v>
      </c>
      <c r="D13" s="2" t="s">
        <v>18</v>
      </c>
      <c r="E13" s="2" t="s">
        <v>19</v>
      </c>
      <c r="F13" s="2" t="s">
        <v>16</v>
      </c>
      <c r="G13" s="2" t="s">
        <v>41</v>
      </c>
      <c r="H13" s="2" t="s">
        <v>16</v>
      </c>
      <c r="I13" s="2" t="s">
        <v>26</v>
      </c>
    </row>
    <row r="14" spans="1:9" x14ac:dyDescent="0.35">
      <c r="A14" s="2" t="s">
        <v>11</v>
      </c>
      <c r="B14" s="2" t="s">
        <v>24</v>
      </c>
      <c r="C14" s="2" t="s">
        <v>25</v>
      </c>
      <c r="D14" s="2" t="s">
        <v>42</v>
      </c>
      <c r="E14" s="2" t="s">
        <v>43</v>
      </c>
      <c r="F14" s="2"/>
      <c r="G14" s="2"/>
      <c r="H14" s="2" t="s">
        <v>16</v>
      </c>
      <c r="I14" s="2" t="s">
        <v>26</v>
      </c>
    </row>
    <row r="15" spans="1:9" x14ac:dyDescent="0.35">
      <c r="A15" s="2" t="s">
        <v>11</v>
      </c>
      <c r="B15" s="2" t="s">
        <v>24</v>
      </c>
      <c r="C15" s="2" t="s">
        <v>25</v>
      </c>
      <c r="D15" s="2" t="s">
        <v>44</v>
      </c>
      <c r="E15" s="2" t="s">
        <v>45</v>
      </c>
      <c r="F15" s="2" t="s">
        <v>46</v>
      </c>
      <c r="G15" s="2" t="s">
        <v>47</v>
      </c>
      <c r="H15" s="2" t="s">
        <v>16</v>
      </c>
      <c r="I15" s="2" t="s">
        <v>26</v>
      </c>
    </row>
    <row r="16" spans="1:9" x14ac:dyDescent="0.35">
      <c r="A16" s="2" t="s">
        <v>11</v>
      </c>
      <c r="B16" s="2" t="s">
        <v>24</v>
      </c>
      <c r="C16" s="2" t="s">
        <v>48</v>
      </c>
      <c r="D16" s="2" t="s">
        <v>49</v>
      </c>
      <c r="E16" s="2" t="s">
        <v>50</v>
      </c>
      <c r="F16" s="2"/>
      <c r="G16" s="2"/>
      <c r="H16" s="2" t="s">
        <v>16</v>
      </c>
      <c r="I16" s="2" t="s">
        <v>17</v>
      </c>
    </row>
    <row r="17" spans="1:9" x14ac:dyDescent="0.35">
      <c r="A17" s="2" t="s">
        <v>11</v>
      </c>
      <c r="B17" s="2" t="s">
        <v>24</v>
      </c>
      <c r="C17" s="2" t="s">
        <v>48</v>
      </c>
      <c r="D17" s="2" t="s">
        <v>35</v>
      </c>
      <c r="E17" s="2" t="s">
        <v>36</v>
      </c>
      <c r="F17" s="2"/>
      <c r="G17" s="2"/>
      <c r="H17" s="2" t="s">
        <v>16</v>
      </c>
      <c r="I17" s="2" t="s">
        <v>17</v>
      </c>
    </row>
    <row r="18" spans="1:9" x14ac:dyDescent="0.35">
      <c r="A18" s="2" t="s">
        <v>11</v>
      </c>
      <c r="B18" s="2" t="s">
        <v>24</v>
      </c>
      <c r="C18" s="2" t="s">
        <v>48</v>
      </c>
      <c r="D18" s="2" t="s">
        <v>51</v>
      </c>
      <c r="E18" s="2" t="s">
        <v>52</v>
      </c>
      <c r="F18" s="2"/>
      <c r="G18" s="2"/>
      <c r="H18" s="2" t="s">
        <v>16</v>
      </c>
      <c r="I18" s="2" t="s">
        <v>17</v>
      </c>
    </row>
    <row r="19" spans="1:9" x14ac:dyDescent="0.35">
      <c r="A19" s="2" t="s">
        <v>11</v>
      </c>
      <c r="B19" s="2" t="s">
        <v>24</v>
      </c>
      <c r="C19" s="2" t="s">
        <v>48</v>
      </c>
      <c r="D19" s="2" t="s">
        <v>18</v>
      </c>
      <c r="E19" s="2" t="s">
        <v>19</v>
      </c>
      <c r="F19" s="2" t="s">
        <v>16</v>
      </c>
      <c r="G19" s="2" t="s">
        <v>53</v>
      </c>
      <c r="H19" s="2" t="s">
        <v>16</v>
      </c>
      <c r="I19" s="2" t="s">
        <v>17</v>
      </c>
    </row>
    <row r="20" spans="1:9" x14ac:dyDescent="0.35">
      <c r="A20" s="2" t="s">
        <v>11</v>
      </c>
      <c r="B20" s="2" t="s">
        <v>54</v>
      </c>
      <c r="C20" s="2" t="s">
        <v>55</v>
      </c>
      <c r="D20" s="2" t="s">
        <v>18</v>
      </c>
      <c r="E20" s="2" t="s">
        <v>19</v>
      </c>
      <c r="F20" s="2" t="s">
        <v>20</v>
      </c>
      <c r="G20" s="2" t="s">
        <v>56</v>
      </c>
      <c r="H20" s="2" t="s">
        <v>16</v>
      </c>
      <c r="I20" s="2" t="s">
        <v>17</v>
      </c>
    </row>
    <row r="21" spans="1:9" x14ac:dyDescent="0.35">
      <c r="A21" s="2" t="s">
        <v>11</v>
      </c>
      <c r="B21" s="2" t="s">
        <v>57</v>
      </c>
      <c r="C21" s="2" t="s">
        <v>58</v>
      </c>
      <c r="D21" s="2" t="s">
        <v>59</v>
      </c>
      <c r="E21" s="2" t="s">
        <v>60</v>
      </c>
      <c r="F21" s="2"/>
      <c r="G21" s="2"/>
      <c r="H21" s="2" t="s">
        <v>16</v>
      </c>
      <c r="I21" s="2" t="s">
        <v>17</v>
      </c>
    </row>
    <row r="22" spans="1:9" x14ac:dyDescent="0.35">
      <c r="A22" s="2" t="s">
        <v>11</v>
      </c>
      <c r="B22" s="2" t="s">
        <v>57</v>
      </c>
      <c r="C22" s="2" t="s">
        <v>58</v>
      </c>
      <c r="D22" s="2" t="s">
        <v>18</v>
      </c>
      <c r="E22" s="2" t="s">
        <v>19</v>
      </c>
      <c r="F22" s="2"/>
      <c r="G22" s="2"/>
      <c r="H22" s="2" t="s">
        <v>16</v>
      </c>
      <c r="I22" s="2" t="s">
        <v>17</v>
      </c>
    </row>
    <row r="23" spans="1:9" x14ac:dyDescent="0.35">
      <c r="A23" s="2" t="s">
        <v>11</v>
      </c>
      <c r="B23" s="2" t="s">
        <v>57</v>
      </c>
      <c r="C23" s="2" t="s">
        <v>58</v>
      </c>
      <c r="D23" s="2" t="s">
        <v>61</v>
      </c>
      <c r="E23" s="2" t="s">
        <v>30</v>
      </c>
      <c r="F23" s="2"/>
      <c r="G23" s="2"/>
      <c r="H23" s="2" t="s">
        <v>16</v>
      </c>
      <c r="I23" s="2" t="s">
        <v>17</v>
      </c>
    </row>
    <row r="24" spans="1:9" x14ac:dyDescent="0.35">
      <c r="A24" s="2" t="s">
        <v>11</v>
      </c>
      <c r="B24" s="2" t="s">
        <v>62</v>
      </c>
      <c r="C24" s="2" t="s">
        <v>63</v>
      </c>
      <c r="D24" s="2" t="s">
        <v>64</v>
      </c>
      <c r="E24" s="2" t="s">
        <v>65</v>
      </c>
      <c r="F24" s="2"/>
      <c r="G24" s="2"/>
      <c r="H24" s="2" t="s">
        <v>16</v>
      </c>
      <c r="I24" s="2" t="s">
        <v>26</v>
      </c>
    </row>
    <row r="25" spans="1:9" x14ac:dyDescent="0.35">
      <c r="A25" s="2" t="s">
        <v>11</v>
      </c>
      <c r="B25" s="2" t="s">
        <v>62</v>
      </c>
      <c r="C25" s="2" t="s">
        <v>63</v>
      </c>
      <c r="D25" s="2" t="s">
        <v>18</v>
      </c>
      <c r="E25" s="2" t="s">
        <v>19</v>
      </c>
      <c r="F25" s="2" t="s">
        <v>16</v>
      </c>
      <c r="G25" s="2" t="s">
        <v>66</v>
      </c>
      <c r="H25" s="2" t="s">
        <v>16</v>
      </c>
      <c r="I25" s="2" t="s">
        <v>26</v>
      </c>
    </row>
    <row r="26" spans="1:9" x14ac:dyDescent="0.35">
      <c r="A26" s="2" t="s">
        <v>11</v>
      </c>
      <c r="B26" s="2" t="s">
        <v>62</v>
      </c>
      <c r="C26" s="2" t="s">
        <v>63</v>
      </c>
      <c r="D26" s="2" t="s">
        <v>61</v>
      </c>
      <c r="E26" s="2" t="s">
        <v>30</v>
      </c>
      <c r="F26" s="2"/>
      <c r="G26" s="2"/>
      <c r="H26" s="2" t="s">
        <v>16</v>
      </c>
      <c r="I26" s="2" t="s">
        <v>26</v>
      </c>
    </row>
    <row r="27" spans="1:9" x14ac:dyDescent="0.35">
      <c r="A27" s="2" t="s">
        <v>67</v>
      </c>
      <c r="B27" s="2" t="s">
        <v>57</v>
      </c>
      <c r="C27" s="2" t="s">
        <v>68</v>
      </c>
      <c r="D27" s="2" t="s">
        <v>35</v>
      </c>
      <c r="E27" s="2" t="s">
        <v>36</v>
      </c>
      <c r="F27" s="2"/>
      <c r="G27" s="2"/>
      <c r="H27" s="2" t="s">
        <v>20</v>
      </c>
      <c r="I27" s="2" t="s">
        <v>69</v>
      </c>
    </row>
    <row r="28" spans="1:9" x14ac:dyDescent="0.35">
      <c r="A28" s="2" t="s">
        <v>67</v>
      </c>
      <c r="B28" s="2" t="s">
        <v>57</v>
      </c>
      <c r="C28" s="2" t="s">
        <v>68</v>
      </c>
      <c r="D28" s="2" t="s">
        <v>18</v>
      </c>
      <c r="E28" s="2" t="s">
        <v>19</v>
      </c>
      <c r="F28" s="2" t="s">
        <v>20</v>
      </c>
      <c r="G28" s="2" t="s">
        <v>70</v>
      </c>
      <c r="H28" s="2" t="s">
        <v>20</v>
      </c>
      <c r="I28" s="2" t="s">
        <v>69</v>
      </c>
    </row>
    <row r="29" spans="1:9" x14ac:dyDescent="0.35">
      <c r="A29" s="2" t="s">
        <v>67</v>
      </c>
      <c r="B29" s="2" t="s">
        <v>57</v>
      </c>
      <c r="C29" s="2" t="s">
        <v>68</v>
      </c>
      <c r="D29" s="2" t="s">
        <v>61</v>
      </c>
      <c r="E29" s="2" t="s">
        <v>30</v>
      </c>
      <c r="F29" s="2"/>
      <c r="G29" s="2"/>
      <c r="H29" s="2" t="s">
        <v>20</v>
      </c>
      <c r="I29" s="2" t="s">
        <v>69</v>
      </c>
    </row>
    <row r="30" spans="1:9" x14ac:dyDescent="0.35">
      <c r="A30" s="2" t="s">
        <v>71</v>
      </c>
      <c r="B30" s="2" t="s">
        <v>24</v>
      </c>
      <c r="C30" s="2" t="s">
        <v>72</v>
      </c>
      <c r="D30" s="2" t="s">
        <v>14</v>
      </c>
      <c r="E30" s="2" t="s">
        <v>15</v>
      </c>
      <c r="F30" s="2" t="s">
        <v>46</v>
      </c>
      <c r="G30" s="2" t="s">
        <v>73</v>
      </c>
      <c r="H30" s="2"/>
      <c r="I30" s="2"/>
    </row>
    <row r="31" spans="1:9" x14ac:dyDescent="0.35">
      <c r="A31" s="2" t="s">
        <v>71</v>
      </c>
      <c r="B31" s="2" t="s">
        <v>24</v>
      </c>
      <c r="C31" s="2" t="s">
        <v>72</v>
      </c>
      <c r="D31" s="2" t="s">
        <v>74</v>
      </c>
      <c r="E31" s="2" t="s">
        <v>75</v>
      </c>
      <c r="F31" s="2" t="s">
        <v>46</v>
      </c>
      <c r="G31" s="2" t="s">
        <v>73</v>
      </c>
      <c r="H31" s="2"/>
      <c r="I31" s="2"/>
    </row>
    <row r="32" spans="1:9" x14ac:dyDescent="0.35">
      <c r="A32" s="2" t="s">
        <v>71</v>
      </c>
      <c r="B32" s="2" t="s">
        <v>24</v>
      </c>
      <c r="C32" s="2" t="s">
        <v>72</v>
      </c>
      <c r="D32" s="2" t="s">
        <v>27</v>
      </c>
      <c r="E32" s="2" t="s">
        <v>28</v>
      </c>
      <c r="F32" s="2" t="s">
        <v>46</v>
      </c>
      <c r="G32" s="2" t="s">
        <v>73</v>
      </c>
      <c r="H32" s="2"/>
      <c r="I32" s="2"/>
    </row>
    <row r="33" spans="1:9" x14ac:dyDescent="0.35">
      <c r="A33" s="2" t="s">
        <v>71</v>
      </c>
      <c r="B33" s="2" t="s">
        <v>24</v>
      </c>
      <c r="C33" s="2" t="s">
        <v>72</v>
      </c>
      <c r="D33" s="2" t="s">
        <v>76</v>
      </c>
      <c r="E33" s="2" t="s">
        <v>75</v>
      </c>
      <c r="F33" s="2" t="s">
        <v>46</v>
      </c>
      <c r="G33" s="2" t="s">
        <v>73</v>
      </c>
      <c r="H33" s="2"/>
      <c r="I33" s="2"/>
    </row>
    <row r="34" spans="1:9" x14ac:dyDescent="0.35">
      <c r="A34" s="2" t="s">
        <v>71</v>
      </c>
      <c r="B34" s="2" t="s">
        <v>24</v>
      </c>
      <c r="C34" s="2" t="s">
        <v>72</v>
      </c>
      <c r="D34" s="2" t="s">
        <v>31</v>
      </c>
      <c r="E34" s="2" t="s">
        <v>32</v>
      </c>
      <c r="F34" s="2" t="s">
        <v>46</v>
      </c>
      <c r="G34" s="2" t="s">
        <v>73</v>
      </c>
      <c r="H34" s="2"/>
      <c r="I34" s="2"/>
    </row>
    <row r="35" spans="1:9" x14ac:dyDescent="0.35">
      <c r="A35" s="2" t="s">
        <v>71</v>
      </c>
      <c r="B35" s="2" t="s">
        <v>24</v>
      </c>
      <c r="C35" s="2" t="s">
        <v>72</v>
      </c>
      <c r="D35" s="2" t="s">
        <v>77</v>
      </c>
      <c r="E35" s="2" t="s">
        <v>78</v>
      </c>
      <c r="F35" s="2" t="s">
        <v>46</v>
      </c>
      <c r="G35" s="2" t="s">
        <v>73</v>
      </c>
      <c r="H35" s="2"/>
      <c r="I35" s="2"/>
    </row>
    <row r="36" spans="1:9" x14ac:dyDescent="0.35">
      <c r="A36" s="2" t="s">
        <v>71</v>
      </c>
      <c r="B36" s="2" t="s">
        <v>24</v>
      </c>
      <c r="C36" s="2" t="s">
        <v>72</v>
      </c>
      <c r="D36" s="2" t="s">
        <v>79</v>
      </c>
      <c r="E36" s="2" t="s">
        <v>38</v>
      </c>
      <c r="F36" s="2" t="s">
        <v>46</v>
      </c>
      <c r="G36" s="2" t="s">
        <v>73</v>
      </c>
      <c r="H36" s="2"/>
      <c r="I36" s="2"/>
    </row>
    <row r="37" spans="1:9" x14ac:dyDescent="0.35">
      <c r="A37" s="2" t="s">
        <v>71</v>
      </c>
      <c r="B37" s="2" t="s">
        <v>24</v>
      </c>
      <c r="C37" s="2" t="s">
        <v>72</v>
      </c>
      <c r="D37" s="2" t="s">
        <v>44</v>
      </c>
      <c r="E37" s="2" t="s">
        <v>45</v>
      </c>
      <c r="F37" s="2" t="s">
        <v>46</v>
      </c>
      <c r="G37" s="2" t="s">
        <v>73</v>
      </c>
      <c r="H37" s="2"/>
      <c r="I37" s="2"/>
    </row>
    <row r="38" spans="1:9" x14ac:dyDescent="0.35">
      <c r="A38" s="2" t="s">
        <v>71</v>
      </c>
      <c r="B38" s="2" t="s">
        <v>24</v>
      </c>
      <c r="C38" s="2" t="s">
        <v>80</v>
      </c>
      <c r="D38" s="2" t="s">
        <v>14</v>
      </c>
      <c r="E38" s="2" t="s">
        <v>15</v>
      </c>
      <c r="F38" s="2"/>
      <c r="G38" s="2"/>
      <c r="H38" s="2" t="s">
        <v>16</v>
      </c>
      <c r="I38" s="2" t="s">
        <v>81</v>
      </c>
    </row>
    <row r="39" spans="1:9" x14ac:dyDescent="0.35">
      <c r="A39" s="2" t="s">
        <v>71</v>
      </c>
      <c r="B39" s="2" t="s">
        <v>24</v>
      </c>
      <c r="C39" s="2" t="s">
        <v>80</v>
      </c>
      <c r="D39" s="2" t="s">
        <v>82</v>
      </c>
      <c r="E39" s="2" t="s">
        <v>83</v>
      </c>
      <c r="F39" s="2" t="s">
        <v>16</v>
      </c>
      <c r="G39" s="2" t="s">
        <v>84</v>
      </c>
      <c r="H39" s="2" t="s">
        <v>16</v>
      </c>
      <c r="I39" s="2" t="s">
        <v>81</v>
      </c>
    </row>
    <row r="40" spans="1:9" x14ac:dyDescent="0.35">
      <c r="A40" s="2" t="s">
        <v>71</v>
      </c>
      <c r="B40" s="2" t="s">
        <v>24</v>
      </c>
      <c r="C40" s="2" t="s">
        <v>80</v>
      </c>
      <c r="D40" s="2" t="s">
        <v>51</v>
      </c>
      <c r="E40" s="2" t="s">
        <v>52</v>
      </c>
      <c r="F40" s="2" t="s">
        <v>16</v>
      </c>
      <c r="G40" s="2" t="s">
        <v>84</v>
      </c>
      <c r="H40" s="2" t="s">
        <v>16</v>
      </c>
      <c r="I40" s="2" t="s">
        <v>81</v>
      </c>
    </row>
    <row r="41" spans="1:9" x14ac:dyDescent="0.35">
      <c r="A41" s="2" t="s">
        <v>71</v>
      </c>
      <c r="B41" s="2" t="s">
        <v>24</v>
      </c>
      <c r="C41" s="2" t="s">
        <v>80</v>
      </c>
      <c r="D41" s="2" t="s">
        <v>85</v>
      </c>
      <c r="E41" s="2" t="s">
        <v>85</v>
      </c>
      <c r="F41" s="2" t="s">
        <v>16</v>
      </c>
      <c r="G41" s="2" t="s">
        <v>84</v>
      </c>
      <c r="H41" s="2" t="s">
        <v>16</v>
      </c>
      <c r="I41" s="2" t="s">
        <v>81</v>
      </c>
    </row>
    <row r="42" spans="1:9" x14ac:dyDescent="0.35">
      <c r="A42" s="2" t="s">
        <v>71</v>
      </c>
      <c r="B42" s="2" t="s">
        <v>24</v>
      </c>
      <c r="C42" s="2" t="s">
        <v>86</v>
      </c>
      <c r="D42" s="2" t="s">
        <v>87</v>
      </c>
      <c r="E42" s="2" t="s">
        <v>75</v>
      </c>
      <c r="F42" s="2" t="s">
        <v>16</v>
      </c>
      <c r="G42" s="2" t="s">
        <v>88</v>
      </c>
      <c r="H42" s="2" t="s">
        <v>16</v>
      </c>
      <c r="I42" s="2" t="s">
        <v>81</v>
      </c>
    </row>
    <row r="43" spans="1:9" x14ac:dyDescent="0.35">
      <c r="A43" s="2" t="s">
        <v>71</v>
      </c>
      <c r="B43" s="2" t="s">
        <v>24</v>
      </c>
      <c r="C43" s="2" t="s">
        <v>86</v>
      </c>
      <c r="D43" s="2" t="s">
        <v>89</v>
      </c>
      <c r="E43" s="2" t="s">
        <v>45</v>
      </c>
      <c r="F43" s="2"/>
      <c r="G43" s="2"/>
      <c r="H43" s="2" t="s">
        <v>16</v>
      </c>
      <c r="I43" s="2" t="s">
        <v>81</v>
      </c>
    </row>
    <row r="44" spans="1:9" x14ac:dyDescent="0.35">
      <c r="A44" s="2" t="s">
        <v>71</v>
      </c>
      <c r="B44" s="2" t="s">
        <v>12</v>
      </c>
      <c r="C44" s="2" t="s">
        <v>90</v>
      </c>
      <c r="D44" s="2" t="s">
        <v>14</v>
      </c>
      <c r="E44" s="2" t="s">
        <v>15</v>
      </c>
      <c r="F44" s="2"/>
      <c r="G44" s="2"/>
      <c r="H44" s="2"/>
      <c r="I44" s="2"/>
    </row>
    <row r="45" spans="1:9" x14ac:dyDescent="0.35">
      <c r="A45" s="2" t="s">
        <v>71</v>
      </c>
      <c r="B45" s="2" t="s">
        <v>12</v>
      </c>
      <c r="C45" s="2" t="s">
        <v>90</v>
      </c>
      <c r="D45" s="2" t="s">
        <v>77</v>
      </c>
      <c r="E45" s="2" t="s">
        <v>78</v>
      </c>
      <c r="F45" s="2"/>
      <c r="G45" s="2"/>
      <c r="H45" s="2"/>
      <c r="I45" s="2"/>
    </row>
    <row r="46" spans="1:9" x14ac:dyDescent="0.35">
      <c r="A46" s="2" t="s">
        <v>71</v>
      </c>
      <c r="B46" s="2" t="s">
        <v>12</v>
      </c>
      <c r="C46" s="2" t="s">
        <v>90</v>
      </c>
      <c r="D46" s="2" t="s">
        <v>91</v>
      </c>
      <c r="E46" s="2" t="s">
        <v>19</v>
      </c>
      <c r="F46" s="2" t="s">
        <v>16</v>
      </c>
      <c r="G46" s="2" t="s">
        <v>92</v>
      </c>
      <c r="H46" s="2"/>
      <c r="I46" s="2"/>
    </row>
    <row r="47" spans="1:9" x14ac:dyDescent="0.35">
      <c r="A47" s="2" t="s">
        <v>71</v>
      </c>
      <c r="B47" s="2" t="s">
        <v>12</v>
      </c>
      <c r="C47" s="2" t="s">
        <v>90</v>
      </c>
      <c r="D47" s="2" t="s">
        <v>89</v>
      </c>
      <c r="E47" s="2" t="s">
        <v>45</v>
      </c>
      <c r="F47" s="2" t="s">
        <v>16</v>
      </c>
      <c r="G47" s="2" t="s">
        <v>93</v>
      </c>
      <c r="H47" s="2"/>
      <c r="I47" s="2"/>
    </row>
    <row r="48" spans="1:9" x14ac:dyDescent="0.35">
      <c r="A48" s="2" t="s">
        <v>71</v>
      </c>
      <c r="B48" s="2" t="s">
        <v>24</v>
      </c>
      <c r="C48" s="2" t="s">
        <v>94</v>
      </c>
      <c r="D48" s="2" t="s">
        <v>27</v>
      </c>
      <c r="E48" s="2" t="s">
        <v>28</v>
      </c>
      <c r="F48" s="2"/>
      <c r="G48" s="2"/>
      <c r="H48" s="2" t="s">
        <v>16</v>
      </c>
      <c r="I48" s="2" t="s">
        <v>95</v>
      </c>
    </row>
    <row r="49" spans="1:9" x14ac:dyDescent="0.35">
      <c r="A49" s="2" t="s">
        <v>71</v>
      </c>
      <c r="B49" s="2" t="s">
        <v>24</v>
      </c>
      <c r="C49" s="2" t="s">
        <v>94</v>
      </c>
      <c r="D49" s="2" t="s">
        <v>76</v>
      </c>
      <c r="E49" s="2" t="s">
        <v>75</v>
      </c>
      <c r="F49" s="2"/>
      <c r="G49" s="2"/>
      <c r="H49" s="2" t="s">
        <v>16</v>
      </c>
      <c r="I49" s="2" t="s">
        <v>95</v>
      </c>
    </row>
    <row r="50" spans="1:9" x14ac:dyDescent="0.35">
      <c r="A50" s="2" t="s">
        <v>71</v>
      </c>
      <c r="B50" s="2" t="s">
        <v>24</v>
      </c>
      <c r="C50" s="2" t="s">
        <v>94</v>
      </c>
      <c r="D50" s="2" t="s">
        <v>31</v>
      </c>
      <c r="E50" s="2" t="s">
        <v>32</v>
      </c>
      <c r="F50" s="2"/>
      <c r="G50" s="2"/>
      <c r="H50" s="2" t="s">
        <v>16</v>
      </c>
      <c r="I50" s="2" t="s">
        <v>95</v>
      </c>
    </row>
    <row r="51" spans="1:9" x14ac:dyDescent="0.35">
      <c r="A51" s="2" t="s">
        <v>71</v>
      </c>
      <c r="B51" s="2" t="s">
        <v>24</v>
      </c>
      <c r="C51" s="2" t="s">
        <v>94</v>
      </c>
      <c r="D51" s="2" t="s">
        <v>96</v>
      </c>
      <c r="E51" s="2" t="s">
        <v>83</v>
      </c>
      <c r="F51" s="2"/>
      <c r="G51" s="2"/>
      <c r="H51" s="2" t="s">
        <v>16</v>
      </c>
      <c r="I51" s="2" t="s">
        <v>97</v>
      </c>
    </row>
    <row r="52" spans="1:9" x14ac:dyDescent="0.35">
      <c r="A52" s="2" t="s">
        <v>71</v>
      </c>
      <c r="B52" s="2" t="s">
        <v>24</v>
      </c>
      <c r="C52" s="2" t="s">
        <v>94</v>
      </c>
      <c r="D52" s="2" t="s">
        <v>98</v>
      </c>
      <c r="E52" s="2" t="s">
        <v>98</v>
      </c>
      <c r="F52" s="2"/>
      <c r="G52" s="2"/>
      <c r="H52" s="2" t="s">
        <v>16</v>
      </c>
      <c r="I52" s="2" t="s">
        <v>97</v>
      </c>
    </row>
    <row r="53" spans="1:9" x14ac:dyDescent="0.35">
      <c r="A53" s="2" t="s">
        <v>71</v>
      </c>
      <c r="B53" s="2" t="s">
        <v>24</v>
      </c>
      <c r="C53" s="2" t="s">
        <v>94</v>
      </c>
      <c r="D53" s="2" t="s">
        <v>51</v>
      </c>
      <c r="E53" s="2" t="s">
        <v>52</v>
      </c>
      <c r="F53" s="2"/>
      <c r="G53" s="2"/>
      <c r="H53" s="2" t="s">
        <v>16</v>
      </c>
      <c r="I53" s="2" t="s">
        <v>95</v>
      </c>
    </row>
    <row r="54" spans="1:9" x14ac:dyDescent="0.35">
      <c r="A54" s="2" t="s">
        <v>71</v>
      </c>
      <c r="B54" s="2" t="s">
        <v>24</v>
      </c>
      <c r="C54" s="2" t="s">
        <v>94</v>
      </c>
      <c r="D54" s="2" t="s">
        <v>18</v>
      </c>
      <c r="E54" s="2" t="s">
        <v>19</v>
      </c>
      <c r="F54" s="2" t="s">
        <v>16</v>
      </c>
      <c r="G54" s="2" t="s">
        <v>99</v>
      </c>
      <c r="H54" s="2" t="s">
        <v>16</v>
      </c>
      <c r="I54" s="2" t="s">
        <v>95</v>
      </c>
    </row>
    <row r="55" spans="1:9" x14ac:dyDescent="0.35">
      <c r="A55" s="2" t="s">
        <v>71</v>
      </c>
      <c r="B55" s="2" t="s">
        <v>24</v>
      </c>
      <c r="C55" s="2" t="s">
        <v>94</v>
      </c>
      <c r="D55" s="2" t="s">
        <v>79</v>
      </c>
      <c r="E55" s="2" t="s">
        <v>38</v>
      </c>
      <c r="F55" s="2" t="s">
        <v>46</v>
      </c>
      <c r="G55" s="2" t="s">
        <v>47</v>
      </c>
      <c r="H55" s="2"/>
      <c r="I55" s="2"/>
    </row>
    <row r="56" spans="1:9" x14ac:dyDescent="0.35">
      <c r="A56" s="2" t="s">
        <v>71</v>
      </c>
      <c r="B56" s="2" t="s">
        <v>24</v>
      </c>
      <c r="C56" s="2" t="s">
        <v>94</v>
      </c>
      <c r="D56" s="2" t="s">
        <v>100</v>
      </c>
      <c r="E56" s="2" t="s">
        <v>101</v>
      </c>
      <c r="F56" s="2"/>
      <c r="G56" s="2"/>
      <c r="H56" s="2"/>
      <c r="I56" s="2"/>
    </row>
    <row r="57" spans="1:9" x14ac:dyDescent="0.35">
      <c r="A57" s="2" t="s">
        <v>71</v>
      </c>
      <c r="B57" s="2" t="s">
        <v>54</v>
      </c>
      <c r="C57" s="2" t="s">
        <v>102</v>
      </c>
      <c r="D57" s="2" t="s">
        <v>14</v>
      </c>
      <c r="E57" s="2" t="s">
        <v>15</v>
      </c>
      <c r="F57" s="2"/>
      <c r="G57" s="2"/>
      <c r="H57" s="2" t="s">
        <v>20</v>
      </c>
      <c r="I57" s="2" t="s">
        <v>103</v>
      </c>
    </row>
    <row r="58" spans="1:9" x14ac:dyDescent="0.35">
      <c r="A58" s="2" t="s">
        <v>71</v>
      </c>
      <c r="B58" s="2" t="s">
        <v>54</v>
      </c>
      <c r="C58" s="2" t="s">
        <v>102</v>
      </c>
      <c r="D58" s="2" t="s">
        <v>35</v>
      </c>
      <c r="E58" s="2" t="s">
        <v>36</v>
      </c>
      <c r="F58" s="2" t="s">
        <v>20</v>
      </c>
      <c r="G58" s="2" t="s">
        <v>104</v>
      </c>
      <c r="H58" s="2" t="s">
        <v>20</v>
      </c>
      <c r="I58" s="2" t="s">
        <v>103</v>
      </c>
    </row>
    <row r="59" spans="1:9" x14ac:dyDescent="0.35">
      <c r="A59" s="2" t="s">
        <v>71</v>
      </c>
      <c r="B59" s="2" t="s">
        <v>54</v>
      </c>
      <c r="C59" s="2" t="s">
        <v>102</v>
      </c>
      <c r="D59" s="2" t="s">
        <v>61</v>
      </c>
      <c r="E59" s="2" t="s">
        <v>30</v>
      </c>
      <c r="F59" s="2" t="s">
        <v>20</v>
      </c>
      <c r="G59" s="2" t="s">
        <v>104</v>
      </c>
      <c r="H59" s="2" t="s">
        <v>20</v>
      </c>
      <c r="I59" s="2" t="s">
        <v>103</v>
      </c>
    </row>
    <row r="60" spans="1:9" x14ac:dyDescent="0.35">
      <c r="A60" s="2" t="s">
        <v>71</v>
      </c>
      <c r="B60" s="2" t="s">
        <v>62</v>
      </c>
      <c r="C60" s="2" t="s">
        <v>105</v>
      </c>
      <c r="D60" s="2" t="s">
        <v>106</v>
      </c>
      <c r="E60" s="2" t="s">
        <v>107</v>
      </c>
      <c r="F60" s="2"/>
      <c r="G60" s="2"/>
      <c r="H60" s="2"/>
      <c r="I60" s="2"/>
    </row>
    <row r="61" spans="1:9" x14ac:dyDescent="0.35">
      <c r="A61" s="2" t="s">
        <v>71</v>
      </c>
      <c r="B61" s="2" t="s">
        <v>57</v>
      </c>
      <c r="C61" s="2" t="s">
        <v>108</v>
      </c>
      <c r="D61" s="2" t="s">
        <v>14</v>
      </c>
      <c r="E61" s="2" t="s">
        <v>15</v>
      </c>
      <c r="F61" s="2"/>
      <c r="G61" s="2"/>
      <c r="H61" s="2" t="s">
        <v>16</v>
      </c>
      <c r="I61" s="2" t="s">
        <v>95</v>
      </c>
    </row>
    <row r="62" spans="1:9" x14ac:dyDescent="0.35">
      <c r="A62" s="2" t="s">
        <v>71</v>
      </c>
      <c r="B62" s="2" t="s">
        <v>57</v>
      </c>
      <c r="C62" s="2" t="s">
        <v>108</v>
      </c>
      <c r="D62" s="2" t="s">
        <v>27</v>
      </c>
      <c r="E62" s="2" t="s">
        <v>28</v>
      </c>
      <c r="F62" s="2"/>
      <c r="G62" s="2"/>
      <c r="H62" s="2" t="s">
        <v>16</v>
      </c>
      <c r="I62" s="2" t="s">
        <v>95</v>
      </c>
    </row>
    <row r="63" spans="1:9" x14ac:dyDescent="0.35">
      <c r="A63" s="2" t="s">
        <v>71</v>
      </c>
      <c r="B63" s="2" t="s">
        <v>57</v>
      </c>
      <c r="C63" s="2" t="s">
        <v>108</v>
      </c>
      <c r="D63" s="2" t="s">
        <v>76</v>
      </c>
      <c r="E63" s="2" t="s">
        <v>75</v>
      </c>
      <c r="F63" s="2" t="s">
        <v>16</v>
      </c>
      <c r="G63" s="2" t="s">
        <v>109</v>
      </c>
      <c r="H63" s="2" t="s">
        <v>16</v>
      </c>
      <c r="I63" s="2" t="s">
        <v>95</v>
      </c>
    </row>
    <row r="64" spans="1:9" x14ac:dyDescent="0.35">
      <c r="A64" s="2" t="s">
        <v>71</v>
      </c>
      <c r="B64" s="2" t="s">
        <v>57</v>
      </c>
      <c r="C64" s="2" t="s">
        <v>108</v>
      </c>
      <c r="D64" s="2" t="s">
        <v>31</v>
      </c>
      <c r="E64" s="2" t="s">
        <v>32</v>
      </c>
      <c r="F64" s="2"/>
      <c r="G64" s="2"/>
      <c r="H64" s="2" t="s">
        <v>16</v>
      </c>
      <c r="I64" s="2" t="s">
        <v>95</v>
      </c>
    </row>
    <row r="65" spans="1:9" x14ac:dyDescent="0.35">
      <c r="A65" s="2" t="s">
        <v>71</v>
      </c>
      <c r="B65" s="2" t="s">
        <v>57</v>
      </c>
      <c r="C65" s="2" t="s">
        <v>108</v>
      </c>
      <c r="D65" s="2" t="s">
        <v>35</v>
      </c>
      <c r="E65" s="2" t="s">
        <v>36</v>
      </c>
      <c r="F65" s="2"/>
      <c r="G65" s="2"/>
      <c r="H65" s="2" t="s">
        <v>16</v>
      </c>
      <c r="I65" s="2" t="s">
        <v>95</v>
      </c>
    </row>
    <row r="66" spans="1:9" x14ac:dyDescent="0.35">
      <c r="A66" s="2" t="s">
        <v>71</v>
      </c>
      <c r="B66" s="2" t="s">
        <v>57</v>
      </c>
      <c r="C66" s="2" t="s">
        <v>108</v>
      </c>
      <c r="D66" s="2" t="s">
        <v>18</v>
      </c>
      <c r="E66" s="2" t="s">
        <v>19</v>
      </c>
      <c r="F66" s="2" t="s">
        <v>16</v>
      </c>
      <c r="G66" s="2" t="s">
        <v>110</v>
      </c>
      <c r="H66" s="2" t="s">
        <v>16</v>
      </c>
      <c r="I66" s="2" t="s">
        <v>95</v>
      </c>
    </row>
    <row r="67" spans="1:9" x14ac:dyDescent="0.35">
      <c r="A67" s="2" t="s">
        <v>71</v>
      </c>
      <c r="B67" s="2" t="s">
        <v>57</v>
      </c>
      <c r="C67" s="2" t="s">
        <v>108</v>
      </c>
      <c r="D67" s="2" t="s">
        <v>42</v>
      </c>
      <c r="E67" s="2" t="s">
        <v>43</v>
      </c>
      <c r="F67" s="2" t="s">
        <v>46</v>
      </c>
      <c r="G67" s="2" t="s">
        <v>111</v>
      </c>
      <c r="H67" s="2" t="s">
        <v>16</v>
      </c>
      <c r="I67" s="2" t="s">
        <v>95</v>
      </c>
    </row>
    <row r="68" spans="1:9" x14ac:dyDescent="0.35">
      <c r="A68" s="2" t="s">
        <v>71</v>
      </c>
      <c r="B68" s="2" t="s">
        <v>57</v>
      </c>
      <c r="C68" s="2" t="s">
        <v>108</v>
      </c>
      <c r="D68" s="2" t="s">
        <v>112</v>
      </c>
      <c r="E68" s="2" t="s">
        <v>113</v>
      </c>
      <c r="F68" s="2" t="s">
        <v>16</v>
      </c>
      <c r="G68" s="2" t="s">
        <v>114</v>
      </c>
      <c r="H68" s="2" t="s">
        <v>16</v>
      </c>
      <c r="I68" s="2" t="s">
        <v>95</v>
      </c>
    </row>
    <row r="69" spans="1:9" x14ac:dyDescent="0.35">
      <c r="A69" s="2" t="s">
        <v>71</v>
      </c>
      <c r="B69" s="2" t="s">
        <v>62</v>
      </c>
      <c r="C69" s="2" t="s">
        <v>115</v>
      </c>
      <c r="D69" s="2" t="s">
        <v>116</v>
      </c>
      <c r="E69" s="2" t="s">
        <v>30</v>
      </c>
      <c r="F69" s="2"/>
      <c r="G69" s="2"/>
      <c r="H69" s="2"/>
      <c r="I69" s="2"/>
    </row>
    <row r="70" spans="1:9" x14ac:dyDescent="0.35">
      <c r="A70" s="2" t="s">
        <v>117</v>
      </c>
      <c r="B70" s="2" t="s">
        <v>24</v>
      </c>
      <c r="C70" s="2" t="s">
        <v>118</v>
      </c>
      <c r="D70" s="2" t="s">
        <v>29</v>
      </c>
      <c r="E70" s="2" t="s">
        <v>30</v>
      </c>
      <c r="F70" s="2"/>
      <c r="G70" s="2"/>
      <c r="H70" s="2" t="s">
        <v>20</v>
      </c>
      <c r="I70" s="2" t="s">
        <v>119</v>
      </c>
    </row>
    <row r="71" spans="1:9" x14ac:dyDescent="0.35">
      <c r="A71" s="2" t="s">
        <v>117</v>
      </c>
      <c r="B71" s="2" t="s">
        <v>24</v>
      </c>
      <c r="C71" s="2" t="s">
        <v>118</v>
      </c>
      <c r="D71" s="2" t="s">
        <v>120</v>
      </c>
      <c r="E71" s="2" t="s">
        <v>32</v>
      </c>
      <c r="F71" s="2"/>
      <c r="G71" s="2"/>
      <c r="H71" s="2" t="s">
        <v>20</v>
      </c>
      <c r="I71" s="2" t="s">
        <v>119</v>
      </c>
    </row>
    <row r="72" spans="1:9" x14ac:dyDescent="0.35">
      <c r="A72" s="2" t="s">
        <v>117</v>
      </c>
      <c r="B72" s="2" t="s">
        <v>24</v>
      </c>
      <c r="C72" s="2" t="s">
        <v>118</v>
      </c>
      <c r="D72" s="2" t="s">
        <v>121</v>
      </c>
      <c r="E72" s="2" t="s">
        <v>122</v>
      </c>
      <c r="F72" s="2"/>
      <c r="G72" s="2"/>
      <c r="H72" s="2" t="s">
        <v>20</v>
      </c>
      <c r="I72" s="2" t="s">
        <v>119</v>
      </c>
    </row>
    <row r="73" spans="1:9" x14ac:dyDescent="0.35">
      <c r="A73" s="2" t="s">
        <v>117</v>
      </c>
      <c r="B73" s="2" t="s">
        <v>24</v>
      </c>
      <c r="C73" s="2" t="s">
        <v>118</v>
      </c>
      <c r="D73" s="2" t="s">
        <v>35</v>
      </c>
      <c r="E73" s="2" t="s">
        <v>36</v>
      </c>
      <c r="F73" s="2"/>
      <c r="G73" s="2"/>
      <c r="H73" s="2" t="s">
        <v>20</v>
      </c>
      <c r="I73" s="2" t="s">
        <v>119</v>
      </c>
    </row>
    <row r="74" spans="1:9" x14ac:dyDescent="0.35">
      <c r="A74" s="2" t="s">
        <v>117</v>
      </c>
      <c r="B74" s="2" t="s">
        <v>24</v>
      </c>
      <c r="C74" s="2" t="s">
        <v>118</v>
      </c>
      <c r="D74" s="2" t="s">
        <v>91</v>
      </c>
      <c r="E74" s="2" t="s">
        <v>19</v>
      </c>
      <c r="F74" s="2" t="s">
        <v>20</v>
      </c>
      <c r="G74" s="2" t="s">
        <v>123</v>
      </c>
      <c r="H74" s="2" t="s">
        <v>20</v>
      </c>
      <c r="I74" s="2" t="s">
        <v>119</v>
      </c>
    </row>
    <row r="75" spans="1:9" x14ac:dyDescent="0.35">
      <c r="A75" s="2" t="s">
        <v>117</v>
      </c>
      <c r="B75" s="2" t="s">
        <v>24</v>
      </c>
      <c r="C75" s="2" t="s">
        <v>118</v>
      </c>
      <c r="D75" s="2" t="s">
        <v>124</v>
      </c>
      <c r="E75" s="2" t="s">
        <v>125</v>
      </c>
      <c r="F75" s="2"/>
      <c r="G75" s="2"/>
      <c r="H75" s="2" t="s">
        <v>20</v>
      </c>
      <c r="I75" s="2" t="s">
        <v>119</v>
      </c>
    </row>
    <row r="76" spans="1:9" x14ac:dyDescent="0.35">
      <c r="A76" s="2" t="s">
        <v>117</v>
      </c>
      <c r="B76" s="2" t="s">
        <v>24</v>
      </c>
      <c r="C76" s="2" t="s">
        <v>118</v>
      </c>
      <c r="D76" s="2" t="s">
        <v>126</v>
      </c>
      <c r="E76" s="2" t="s">
        <v>36</v>
      </c>
      <c r="F76" s="2"/>
      <c r="G76" s="2"/>
      <c r="H76" s="2" t="s">
        <v>20</v>
      </c>
      <c r="I76" s="2" t="s">
        <v>119</v>
      </c>
    </row>
    <row r="77" spans="1:9" x14ac:dyDescent="0.35">
      <c r="A77" s="2" t="s">
        <v>117</v>
      </c>
      <c r="B77" s="2" t="s">
        <v>24</v>
      </c>
      <c r="C77" s="2" t="s">
        <v>118</v>
      </c>
      <c r="D77" s="2" t="s">
        <v>61</v>
      </c>
      <c r="E77" s="2" t="s">
        <v>30</v>
      </c>
      <c r="F77" s="2"/>
      <c r="G77" s="2"/>
      <c r="H77" s="2" t="s">
        <v>20</v>
      </c>
      <c r="I77" s="2" t="s">
        <v>119</v>
      </c>
    </row>
    <row r="78" spans="1:9" x14ac:dyDescent="0.35">
      <c r="A78" s="2" t="s">
        <v>117</v>
      </c>
      <c r="B78" s="2" t="s">
        <v>24</v>
      </c>
      <c r="C78" s="2" t="s">
        <v>118</v>
      </c>
      <c r="D78" s="2" t="s">
        <v>127</v>
      </c>
      <c r="E78" s="2" t="s">
        <v>107</v>
      </c>
      <c r="F78" s="2"/>
      <c r="G78" s="2"/>
      <c r="H78" s="2" t="s">
        <v>20</v>
      </c>
      <c r="I78" s="2" t="s">
        <v>119</v>
      </c>
    </row>
    <row r="79" spans="1:9" x14ac:dyDescent="0.35">
      <c r="A79" s="2" t="s">
        <v>128</v>
      </c>
      <c r="B79" s="2" t="s">
        <v>24</v>
      </c>
      <c r="C79" s="2" t="s">
        <v>129</v>
      </c>
      <c r="D79" s="2" t="s">
        <v>130</v>
      </c>
      <c r="E79" s="2" t="s">
        <v>36</v>
      </c>
      <c r="F79" s="2"/>
      <c r="G79" s="2"/>
      <c r="H79" s="2" t="s">
        <v>16</v>
      </c>
      <c r="I79" s="2" t="s">
        <v>131</v>
      </c>
    </row>
    <row r="80" spans="1:9" x14ac:dyDescent="0.35">
      <c r="A80" s="2" t="s">
        <v>128</v>
      </c>
      <c r="B80" s="2" t="s">
        <v>24</v>
      </c>
      <c r="C80" s="2" t="s">
        <v>129</v>
      </c>
      <c r="D80" s="2" t="s">
        <v>121</v>
      </c>
      <c r="E80" s="2" t="s">
        <v>122</v>
      </c>
      <c r="F80" s="2" t="s">
        <v>20</v>
      </c>
      <c r="G80" s="2" t="s">
        <v>132</v>
      </c>
      <c r="H80" s="2" t="s">
        <v>16</v>
      </c>
      <c r="I80" s="2" t="s">
        <v>131</v>
      </c>
    </row>
    <row r="81" spans="1:9" x14ac:dyDescent="0.35">
      <c r="A81" s="2" t="s">
        <v>128</v>
      </c>
      <c r="B81" s="2" t="s">
        <v>24</v>
      </c>
      <c r="C81" s="2" t="s">
        <v>129</v>
      </c>
      <c r="D81" s="2" t="s">
        <v>91</v>
      </c>
      <c r="E81" s="2" t="s">
        <v>19</v>
      </c>
      <c r="F81" s="2"/>
      <c r="G81" s="2"/>
      <c r="H81" s="2" t="s">
        <v>16</v>
      </c>
      <c r="I81" s="2" t="s">
        <v>131</v>
      </c>
    </row>
    <row r="82" spans="1:9" x14ac:dyDescent="0.35">
      <c r="A82" s="2" t="s">
        <v>128</v>
      </c>
      <c r="B82" s="2" t="s">
        <v>24</v>
      </c>
      <c r="C82" s="2" t="s">
        <v>129</v>
      </c>
      <c r="D82" s="2" t="s">
        <v>51</v>
      </c>
      <c r="E82" s="2" t="s">
        <v>52</v>
      </c>
      <c r="F82" s="2" t="s">
        <v>20</v>
      </c>
      <c r="G82" s="2" t="s">
        <v>132</v>
      </c>
      <c r="H82" s="2" t="s">
        <v>16</v>
      </c>
      <c r="I82" s="2" t="s">
        <v>131</v>
      </c>
    </row>
    <row r="83" spans="1:9" x14ac:dyDescent="0.35">
      <c r="A83" s="2" t="s">
        <v>128</v>
      </c>
      <c r="B83" s="2" t="s">
        <v>24</v>
      </c>
      <c r="C83" s="2" t="s">
        <v>129</v>
      </c>
      <c r="D83" s="2" t="s">
        <v>126</v>
      </c>
      <c r="E83" s="2" t="s">
        <v>36</v>
      </c>
      <c r="F83" s="2" t="s">
        <v>20</v>
      </c>
      <c r="G83" s="2" t="s">
        <v>132</v>
      </c>
      <c r="H83" s="2" t="s">
        <v>16</v>
      </c>
      <c r="I83" s="2" t="s">
        <v>131</v>
      </c>
    </row>
    <row r="84" spans="1:9" x14ac:dyDescent="0.35">
      <c r="A84" s="2" t="s">
        <v>133</v>
      </c>
      <c r="B84" s="2" t="s">
        <v>57</v>
      </c>
      <c r="C84" s="2" t="s">
        <v>134</v>
      </c>
      <c r="D84" s="2" t="s">
        <v>74</v>
      </c>
      <c r="E84" s="2" t="s">
        <v>75</v>
      </c>
      <c r="F84" s="2" t="s">
        <v>20</v>
      </c>
      <c r="G84" s="2" t="s">
        <v>135</v>
      </c>
      <c r="H84" s="2"/>
      <c r="I84" s="2"/>
    </row>
    <row r="85" spans="1:9" x14ac:dyDescent="0.35">
      <c r="A85" s="2" t="s">
        <v>133</v>
      </c>
      <c r="B85" s="2" t="s">
        <v>57</v>
      </c>
      <c r="C85" s="2" t="s">
        <v>134</v>
      </c>
      <c r="D85" s="2" t="s">
        <v>14</v>
      </c>
      <c r="E85" s="2" t="s">
        <v>15</v>
      </c>
      <c r="F85" s="2"/>
      <c r="G85" s="2"/>
      <c r="H85" s="2"/>
      <c r="I85" s="2"/>
    </row>
    <row r="86" spans="1:9" x14ac:dyDescent="0.35">
      <c r="A86" s="2" t="s">
        <v>133</v>
      </c>
      <c r="B86" s="2" t="s">
        <v>57</v>
      </c>
      <c r="C86" s="2" t="s">
        <v>134</v>
      </c>
      <c r="D86" s="2" t="s">
        <v>136</v>
      </c>
      <c r="E86" s="2" t="s">
        <v>107</v>
      </c>
      <c r="F86" s="2"/>
      <c r="G86" s="2" t="s">
        <v>137</v>
      </c>
      <c r="H86" s="2"/>
      <c r="I86" s="2"/>
    </row>
    <row r="87" spans="1:9" x14ac:dyDescent="0.35">
      <c r="A87" s="2" t="s">
        <v>133</v>
      </c>
      <c r="B87" s="2" t="s">
        <v>57</v>
      </c>
      <c r="C87" s="2" t="s">
        <v>134</v>
      </c>
      <c r="D87" s="2" t="s">
        <v>138</v>
      </c>
      <c r="E87" s="2" t="s">
        <v>139</v>
      </c>
      <c r="F87" s="2"/>
      <c r="G87" s="2"/>
      <c r="H87" s="2"/>
      <c r="I87" s="2"/>
    </row>
    <row r="88" spans="1:9" x14ac:dyDescent="0.35">
      <c r="A88" s="2" t="s">
        <v>133</v>
      </c>
      <c r="B88" s="2" t="s">
        <v>57</v>
      </c>
      <c r="C88" s="2" t="s">
        <v>134</v>
      </c>
      <c r="D88" s="2" t="s">
        <v>59</v>
      </c>
      <c r="E88" s="2" t="s">
        <v>60</v>
      </c>
      <c r="F88" s="2"/>
      <c r="G88" s="2"/>
      <c r="H88" s="2"/>
      <c r="I88" s="2"/>
    </row>
    <row r="89" spans="1:9" x14ac:dyDescent="0.35">
      <c r="A89" s="2" t="s">
        <v>133</v>
      </c>
      <c r="B89" s="2" t="s">
        <v>24</v>
      </c>
      <c r="C89" s="2" t="s">
        <v>140</v>
      </c>
      <c r="D89" s="2" t="s">
        <v>74</v>
      </c>
      <c r="E89" s="2" t="s">
        <v>75</v>
      </c>
      <c r="F89" s="2" t="s">
        <v>16</v>
      </c>
      <c r="G89" s="2" t="s">
        <v>141</v>
      </c>
      <c r="H89" s="2" t="s">
        <v>16</v>
      </c>
      <c r="I89" s="2" t="s">
        <v>142</v>
      </c>
    </row>
    <row r="90" spans="1:9" x14ac:dyDescent="0.35">
      <c r="A90" s="2" t="s">
        <v>133</v>
      </c>
      <c r="B90" s="2" t="s">
        <v>24</v>
      </c>
      <c r="C90" s="2" t="s">
        <v>140</v>
      </c>
      <c r="D90" s="2" t="s">
        <v>27</v>
      </c>
      <c r="E90" s="2" t="s">
        <v>28</v>
      </c>
      <c r="F90" s="2"/>
      <c r="G90" s="2"/>
      <c r="H90" s="2" t="s">
        <v>16</v>
      </c>
      <c r="I90" s="2" t="s">
        <v>142</v>
      </c>
    </row>
    <row r="91" spans="1:9" x14ac:dyDescent="0.35">
      <c r="A91" s="2" t="s">
        <v>133</v>
      </c>
      <c r="B91" s="2" t="s">
        <v>24</v>
      </c>
      <c r="C91" s="2" t="s">
        <v>140</v>
      </c>
      <c r="D91" s="2" t="s">
        <v>31</v>
      </c>
      <c r="E91" s="2" t="s">
        <v>32</v>
      </c>
      <c r="F91" s="2"/>
      <c r="G91" s="2"/>
      <c r="H91" s="2" t="s">
        <v>16</v>
      </c>
      <c r="I91" s="2" t="s">
        <v>142</v>
      </c>
    </row>
    <row r="92" spans="1:9" x14ac:dyDescent="0.35">
      <c r="A92" s="2" t="s">
        <v>133</v>
      </c>
      <c r="B92" s="2" t="s">
        <v>24</v>
      </c>
      <c r="C92" s="2" t="s">
        <v>140</v>
      </c>
      <c r="D92" s="2" t="s">
        <v>100</v>
      </c>
      <c r="E92" s="2" t="s">
        <v>101</v>
      </c>
      <c r="F92" s="2"/>
      <c r="G92" s="2"/>
      <c r="H92" s="2"/>
      <c r="I92" s="2"/>
    </row>
    <row r="93" spans="1:9" x14ac:dyDescent="0.35">
      <c r="A93" s="2" t="s">
        <v>133</v>
      </c>
      <c r="B93" s="2" t="s">
        <v>62</v>
      </c>
      <c r="C93" s="2" t="s">
        <v>143</v>
      </c>
      <c r="D93" s="2" t="s">
        <v>144</v>
      </c>
      <c r="E93" s="2" t="s">
        <v>50</v>
      </c>
      <c r="F93" s="2"/>
      <c r="G93" s="2"/>
      <c r="H93" s="2"/>
      <c r="I93" s="2"/>
    </row>
    <row r="94" spans="1:9" x14ac:dyDescent="0.35">
      <c r="A94" s="2" t="s">
        <v>133</v>
      </c>
      <c r="B94" s="2" t="s">
        <v>62</v>
      </c>
      <c r="C94" s="2" t="s">
        <v>143</v>
      </c>
      <c r="D94" s="2" t="s">
        <v>27</v>
      </c>
      <c r="E94" s="2" t="s">
        <v>28</v>
      </c>
      <c r="F94" s="2"/>
      <c r="G94" s="2" t="s">
        <v>145</v>
      </c>
      <c r="H94" s="2"/>
      <c r="I94" s="2"/>
    </row>
    <row r="95" spans="1:9" x14ac:dyDescent="0.35">
      <c r="A95" s="2" t="s">
        <v>133</v>
      </c>
      <c r="B95" s="2" t="s">
        <v>54</v>
      </c>
      <c r="C95" s="2" t="s">
        <v>146</v>
      </c>
      <c r="D95" s="2" t="s">
        <v>74</v>
      </c>
      <c r="E95" s="2" t="s">
        <v>75</v>
      </c>
      <c r="F95" s="2" t="s">
        <v>20</v>
      </c>
      <c r="G95" s="2" t="s">
        <v>147</v>
      </c>
      <c r="H95" s="2" t="s">
        <v>16</v>
      </c>
      <c r="I95" s="2" t="s">
        <v>148</v>
      </c>
    </row>
    <row r="96" spans="1:9" x14ac:dyDescent="0.35">
      <c r="A96" s="2" t="s">
        <v>133</v>
      </c>
      <c r="B96" s="2" t="s">
        <v>54</v>
      </c>
      <c r="C96" s="2" t="s">
        <v>146</v>
      </c>
      <c r="D96" s="2" t="s">
        <v>14</v>
      </c>
      <c r="E96" s="2" t="s">
        <v>15</v>
      </c>
      <c r="F96" s="2"/>
      <c r="G96" s="2"/>
      <c r="H96" s="2" t="s">
        <v>16</v>
      </c>
      <c r="I96" s="2" t="s">
        <v>148</v>
      </c>
    </row>
    <row r="97" spans="1:9" x14ac:dyDescent="0.35">
      <c r="A97" s="2" t="s">
        <v>133</v>
      </c>
      <c r="B97" s="2" t="s">
        <v>54</v>
      </c>
      <c r="C97" s="2" t="s">
        <v>146</v>
      </c>
      <c r="D97" s="2" t="s">
        <v>120</v>
      </c>
      <c r="E97" s="2" t="s">
        <v>32</v>
      </c>
      <c r="F97" s="2"/>
      <c r="G97" s="2"/>
      <c r="H97" s="2" t="s">
        <v>16</v>
      </c>
      <c r="I97" s="2" t="s">
        <v>148</v>
      </c>
    </row>
    <row r="98" spans="1:9" x14ac:dyDescent="0.35">
      <c r="A98" s="2" t="s">
        <v>133</v>
      </c>
      <c r="B98" s="2" t="s">
        <v>54</v>
      </c>
      <c r="C98" s="2" t="s">
        <v>146</v>
      </c>
      <c r="D98" s="2" t="s">
        <v>35</v>
      </c>
      <c r="E98" s="2" t="s">
        <v>36</v>
      </c>
      <c r="F98" s="2"/>
      <c r="G98" s="2"/>
      <c r="H98" s="2" t="s">
        <v>16</v>
      </c>
      <c r="I98" s="2" t="s">
        <v>148</v>
      </c>
    </row>
    <row r="99" spans="1:9" x14ac:dyDescent="0.35">
      <c r="A99" s="2" t="s">
        <v>133</v>
      </c>
      <c r="B99" s="2" t="s">
        <v>54</v>
      </c>
      <c r="C99" s="2" t="s">
        <v>146</v>
      </c>
      <c r="D99" s="2" t="s">
        <v>149</v>
      </c>
      <c r="E99" s="2" t="s">
        <v>150</v>
      </c>
      <c r="F99" s="2"/>
      <c r="G99" s="2"/>
      <c r="H99" s="2" t="s">
        <v>16</v>
      </c>
      <c r="I99" s="2" t="s">
        <v>148</v>
      </c>
    </row>
    <row r="100" spans="1:9" x14ac:dyDescent="0.35">
      <c r="A100" s="2" t="s">
        <v>133</v>
      </c>
      <c r="B100" s="2" t="s">
        <v>24</v>
      </c>
      <c r="C100" s="2" t="s">
        <v>151</v>
      </c>
      <c r="D100" s="2" t="s">
        <v>27</v>
      </c>
      <c r="E100" s="2" t="s">
        <v>28</v>
      </c>
      <c r="F100" s="2"/>
      <c r="G100" s="2"/>
      <c r="H100" s="2" t="s">
        <v>16</v>
      </c>
      <c r="I100" s="2" t="s">
        <v>148</v>
      </c>
    </row>
    <row r="101" spans="1:9" x14ac:dyDescent="0.35">
      <c r="A101" s="2" t="s">
        <v>133</v>
      </c>
      <c r="B101" s="2" t="s">
        <v>24</v>
      </c>
      <c r="C101" s="2" t="s">
        <v>151</v>
      </c>
      <c r="D101" s="2" t="s">
        <v>121</v>
      </c>
      <c r="E101" s="2" t="s">
        <v>122</v>
      </c>
      <c r="F101" s="2"/>
      <c r="G101" s="2"/>
      <c r="H101" s="2" t="s">
        <v>16</v>
      </c>
      <c r="I101" s="2" t="s">
        <v>148</v>
      </c>
    </row>
    <row r="102" spans="1:9" x14ac:dyDescent="0.35">
      <c r="A102" s="2" t="s">
        <v>133</v>
      </c>
      <c r="B102" s="2" t="s">
        <v>24</v>
      </c>
      <c r="C102" s="2" t="s">
        <v>151</v>
      </c>
      <c r="D102" s="2" t="s">
        <v>35</v>
      </c>
      <c r="E102" s="2" t="s">
        <v>36</v>
      </c>
      <c r="F102" s="2"/>
      <c r="G102" s="2"/>
      <c r="H102" s="2" t="s">
        <v>16</v>
      </c>
      <c r="I102" s="2" t="s">
        <v>148</v>
      </c>
    </row>
    <row r="103" spans="1:9" x14ac:dyDescent="0.35">
      <c r="A103" s="2" t="s">
        <v>152</v>
      </c>
      <c r="B103" s="2" t="s">
        <v>57</v>
      </c>
      <c r="C103" s="2" t="s">
        <v>153</v>
      </c>
      <c r="D103" s="2" t="s">
        <v>130</v>
      </c>
      <c r="E103" s="2" t="s">
        <v>36</v>
      </c>
      <c r="F103" s="2"/>
      <c r="G103" s="2"/>
      <c r="H103" s="2" t="s">
        <v>16</v>
      </c>
      <c r="I103" s="2" t="s">
        <v>154</v>
      </c>
    </row>
    <row r="104" spans="1:9" x14ac:dyDescent="0.35">
      <c r="A104" s="2" t="s">
        <v>152</v>
      </c>
      <c r="B104" s="2" t="s">
        <v>57</v>
      </c>
      <c r="C104" s="2" t="s">
        <v>153</v>
      </c>
      <c r="D104" s="2" t="s">
        <v>155</v>
      </c>
      <c r="E104" s="2" t="s">
        <v>32</v>
      </c>
      <c r="F104" s="2"/>
      <c r="G104" s="2"/>
      <c r="H104" s="2" t="s">
        <v>16</v>
      </c>
      <c r="I104" s="2" t="s">
        <v>154</v>
      </c>
    </row>
    <row r="105" spans="1:9" x14ac:dyDescent="0.35">
      <c r="A105" s="2" t="s">
        <v>152</v>
      </c>
      <c r="B105" s="2" t="s">
        <v>57</v>
      </c>
      <c r="C105" s="2" t="s">
        <v>153</v>
      </c>
      <c r="D105" s="2" t="s">
        <v>136</v>
      </c>
      <c r="E105" s="2" t="s">
        <v>107</v>
      </c>
      <c r="F105" s="2"/>
      <c r="G105" s="2"/>
      <c r="H105" s="2" t="s">
        <v>16</v>
      </c>
      <c r="I105" s="2" t="s">
        <v>154</v>
      </c>
    </row>
    <row r="106" spans="1:9" x14ac:dyDescent="0.35">
      <c r="A106" s="2" t="s">
        <v>152</v>
      </c>
      <c r="B106" s="2" t="s">
        <v>57</v>
      </c>
      <c r="C106" s="2" t="s">
        <v>153</v>
      </c>
      <c r="D106" s="2" t="s">
        <v>33</v>
      </c>
      <c r="E106" s="2" t="s">
        <v>34</v>
      </c>
      <c r="F106" s="2"/>
      <c r="G106" s="2"/>
      <c r="H106" s="2" t="s">
        <v>16</v>
      </c>
      <c r="I106" s="2" t="s">
        <v>154</v>
      </c>
    </row>
    <row r="107" spans="1:9" x14ac:dyDescent="0.35">
      <c r="A107" s="2" t="s">
        <v>152</v>
      </c>
      <c r="B107" s="2" t="s">
        <v>57</v>
      </c>
      <c r="C107" s="2" t="s">
        <v>153</v>
      </c>
      <c r="D107" s="2" t="s">
        <v>59</v>
      </c>
      <c r="E107" s="2" t="s">
        <v>60</v>
      </c>
      <c r="F107" s="2"/>
      <c r="G107" s="2"/>
      <c r="H107" s="2" t="s">
        <v>16</v>
      </c>
      <c r="I107" s="2" t="s">
        <v>154</v>
      </c>
    </row>
    <row r="108" spans="1:9" x14ac:dyDescent="0.35">
      <c r="A108" s="2" t="s">
        <v>152</v>
      </c>
      <c r="B108" s="2" t="s">
        <v>57</v>
      </c>
      <c r="C108" s="2" t="s">
        <v>153</v>
      </c>
      <c r="D108" s="2" t="s">
        <v>156</v>
      </c>
      <c r="E108" s="2" t="s">
        <v>45</v>
      </c>
      <c r="F108" s="2" t="s">
        <v>16</v>
      </c>
      <c r="G108" s="2" t="s">
        <v>157</v>
      </c>
      <c r="H108" s="2" t="s">
        <v>16</v>
      </c>
      <c r="I108" s="2" t="s">
        <v>154</v>
      </c>
    </row>
    <row r="109" spans="1:9" x14ac:dyDescent="0.35">
      <c r="A109" s="2" t="s">
        <v>152</v>
      </c>
      <c r="B109" s="2" t="s">
        <v>57</v>
      </c>
      <c r="C109" s="2" t="s">
        <v>153</v>
      </c>
      <c r="D109" s="2" t="s">
        <v>158</v>
      </c>
      <c r="E109" s="2" t="s">
        <v>40</v>
      </c>
      <c r="F109" s="2" t="s">
        <v>16</v>
      </c>
      <c r="G109" s="2" t="s">
        <v>159</v>
      </c>
      <c r="H109" s="2" t="s">
        <v>16</v>
      </c>
      <c r="I109" s="2" t="s">
        <v>154</v>
      </c>
    </row>
    <row r="110" spans="1:9" x14ac:dyDescent="0.35">
      <c r="A110" s="2" t="s">
        <v>152</v>
      </c>
      <c r="B110" s="2" t="s">
        <v>57</v>
      </c>
      <c r="C110" s="2" t="s">
        <v>153</v>
      </c>
      <c r="D110" s="2" t="s">
        <v>52</v>
      </c>
      <c r="E110" s="2" t="s">
        <v>52</v>
      </c>
      <c r="F110" s="2"/>
      <c r="G110" s="2"/>
      <c r="H110" s="2" t="s">
        <v>16</v>
      </c>
      <c r="I110" s="2" t="s">
        <v>154</v>
      </c>
    </row>
    <row r="111" spans="1:9" x14ac:dyDescent="0.35">
      <c r="A111" s="2" t="s">
        <v>152</v>
      </c>
      <c r="B111" s="2" t="s">
        <v>24</v>
      </c>
      <c r="C111" s="2" t="s">
        <v>160</v>
      </c>
      <c r="D111" s="2" t="s">
        <v>130</v>
      </c>
      <c r="E111" s="2" t="s">
        <v>36</v>
      </c>
      <c r="F111" s="2"/>
      <c r="G111" s="2"/>
      <c r="H111" s="2" t="s">
        <v>16</v>
      </c>
      <c r="I111" s="2" t="s">
        <v>161</v>
      </c>
    </row>
    <row r="112" spans="1:9" x14ac:dyDescent="0.35">
      <c r="A112" s="2" t="s">
        <v>152</v>
      </c>
      <c r="B112" s="2" t="s">
        <v>24</v>
      </c>
      <c r="C112" s="2" t="s">
        <v>160</v>
      </c>
      <c r="D112" s="2" t="s">
        <v>14</v>
      </c>
      <c r="E112" s="2" t="s">
        <v>15</v>
      </c>
      <c r="F112" s="2"/>
      <c r="G112" s="2"/>
      <c r="H112" s="2" t="s">
        <v>16</v>
      </c>
      <c r="I112" s="2" t="s">
        <v>161</v>
      </c>
    </row>
    <row r="113" spans="1:9" x14ac:dyDescent="0.35">
      <c r="A113" s="2" t="s">
        <v>152</v>
      </c>
      <c r="B113" s="2" t="s">
        <v>24</v>
      </c>
      <c r="C113" s="2" t="s">
        <v>160</v>
      </c>
      <c r="D113" s="2" t="s">
        <v>136</v>
      </c>
      <c r="E113" s="2" t="s">
        <v>107</v>
      </c>
      <c r="F113" s="2"/>
      <c r="G113" s="2"/>
      <c r="H113" s="2" t="s">
        <v>16</v>
      </c>
      <c r="I113" s="2" t="s">
        <v>161</v>
      </c>
    </row>
    <row r="114" spans="1:9" x14ac:dyDescent="0.35">
      <c r="A114" s="2" t="s">
        <v>152</v>
      </c>
      <c r="B114" s="2" t="s">
        <v>24</v>
      </c>
      <c r="C114" s="2" t="s">
        <v>160</v>
      </c>
      <c r="D114" s="2" t="s">
        <v>121</v>
      </c>
      <c r="E114" s="2" t="s">
        <v>122</v>
      </c>
      <c r="F114" s="2"/>
      <c r="G114" s="2"/>
      <c r="H114" s="2" t="s">
        <v>16</v>
      </c>
      <c r="I114" s="2" t="s">
        <v>161</v>
      </c>
    </row>
    <row r="115" spans="1:9" x14ac:dyDescent="0.35">
      <c r="A115" s="2" t="s">
        <v>152</v>
      </c>
      <c r="B115" s="2" t="s">
        <v>24</v>
      </c>
      <c r="C115" s="2" t="s">
        <v>160</v>
      </c>
      <c r="D115" s="2" t="s">
        <v>51</v>
      </c>
      <c r="E115" s="2" t="s">
        <v>52</v>
      </c>
      <c r="F115" s="2"/>
      <c r="G115" s="2"/>
      <c r="H115" s="2" t="s">
        <v>16</v>
      </c>
      <c r="I115" s="2" t="s">
        <v>161</v>
      </c>
    </row>
    <row r="116" spans="1:9" x14ac:dyDescent="0.35">
      <c r="A116" s="2" t="s">
        <v>152</v>
      </c>
      <c r="B116" s="2" t="s">
        <v>24</v>
      </c>
      <c r="C116" s="2" t="s">
        <v>160</v>
      </c>
      <c r="D116" s="2" t="s">
        <v>18</v>
      </c>
      <c r="E116" s="2" t="s">
        <v>19</v>
      </c>
      <c r="F116" s="2" t="s">
        <v>20</v>
      </c>
      <c r="G116" s="2" t="s">
        <v>162</v>
      </c>
      <c r="H116" s="2" t="s">
        <v>16</v>
      </c>
      <c r="I116" s="2" t="s">
        <v>161</v>
      </c>
    </row>
    <row r="117" spans="1:9" x14ac:dyDescent="0.35">
      <c r="A117" s="2" t="s">
        <v>152</v>
      </c>
      <c r="B117" s="2" t="s">
        <v>62</v>
      </c>
      <c r="C117" s="2" t="s">
        <v>163</v>
      </c>
      <c r="D117" s="2" t="s">
        <v>61</v>
      </c>
      <c r="E117" s="2" t="s">
        <v>30</v>
      </c>
      <c r="F117" s="2"/>
      <c r="G117" s="2"/>
      <c r="H117" s="2" t="s">
        <v>16</v>
      </c>
      <c r="I117" s="2" t="s">
        <v>154</v>
      </c>
    </row>
    <row r="118" spans="1:9" x14ac:dyDescent="0.35">
      <c r="A118" s="2" t="s">
        <v>164</v>
      </c>
      <c r="B118" s="2" t="s">
        <v>24</v>
      </c>
      <c r="C118" s="2" t="s">
        <v>165</v>
      </c>
      <c r="D118" s="2" t="s">
        <v>31</v>
      </c>
      <c r="E118" s="2" t="s">
        <v>32</v>
      </c>
      <c r="F118" s="2"/>
      <c r="G118" s="2"/>
      <c r="H118" s="2" t="s">
        <v>16</v>
      </c>
      <c r="I118" s="2" t="s">
        <v>166</v>
      </c>
    </row>
    <row r="119" spans="1:9" x14ac:dyDescent="0.35">
      <c r="A119" s="2" t="s">
        <v>164</v>
      </c>
      <c r="B119" s="2" t="s">
        <v>24</v>
      </c>
      <c r="C119" s="2" t="s">
        <v>165</v>
      </c>
      <c r="D119" s="2" t="s">
        <v>82</v>
      </c>
      <c r="E119" s="2" t="s">
        <v>83</v>
      </c>
      <c r="F119" s="2"/>
      <c r="G119" s="2"/>
      <c r="H119" s="2" t="s">
        <v>16</v>
      </c>
      <c r="I119" s="2" t="s">
        <v>166</v>
      </c>
    </row>
    <row r="120" spans="1:9" x14ac:dyDescent="0.35">
      <c r="A120" s="2" t="s">
        <v>164</v>
      </c>
      <c r="B120" s="2" t="s">
        <v>24</v>
      </c>
      <c r="C120" s="2" t="s">
        <v>165</v>
      </c>
      <c r="D120" s="2" t="s">
        <v>33</v>
      </c>
      <c r="E120" s="2" t="s">
        <v>34</v>
      </c>
      <c r="F120" s="2"/>
      <c r="G120" s="2"/>
      <c r="H120" s="2" t="s">
        <v>16</v>
      </c>
      <c r="I120" s="2" t="s">
        <v>166</v>
      </c>
    </row>
    <row r="121" spans="1:9" x14ac:dyDescent="0.35">
      <c r="A121" s="2" t="s">
        <v>164</v>
      </c>
      <c r="B121" s="2" t="s">
        <v>24</v>
      </c>
      <c r="C121" s="2" t="s">
        <v>165</v>
      </c>
      <c r="D121" s="2" t="s">
        <v>167</v>
      </c>
      <c r="E121" s="2" t="s">
        <v>40</v>
      </c>
      <c r="F121" s="2"/>
      <c r="G121" s="2"/>
      <c r="H121" s="2" t="s">
        <v>16</v>
      </c>
      <c r="I121" s="2" t="s">
        <v>166</v>
      </c>
    </row>
    <row r="122" spans="1:9" x14ac:dyDescent="0.35">
      <c r="A122" s="2" t="s">
        <v>164</v>
      </c>
      <c r="B122" s="2" t="s">
        <v>24</v>
      </c>
      <c r="C122" s="2" t="s">
        <v>165</v>
      </c>
      <c r="D122" s="2" t="s">
        <v>121</v>
      </c>
      <c r="E122" s="2" t="s">
        <v>122</v>
      </c>
      <c r="F122" s="2"/>
      <c r="G122" s="2"/>
      <c r="H122" s="2" t="s">
        <v>16</v>
      </c>
      <c r="I122" s="2" t="s">
        <v>166</v>
      </c>
    </row>
    <row r="123" spans="1:9" x14ac:dyDescent="0.35">
      <c r="A123" s="2" t="s">
        <v>164</v>
      </c>
      <c r="B123" s="2" t="s">
        <v>24</v>
      </c>
      <c r="C123" s="2" t="s">
        <v>165</v>
      </c>
      <c r="D123" s="2" t="s">
        <v>35</v>
      </c>
      <c r="E123" s="2" t="s">
        <v>36</v>
      </c>
      <c r="F123" s="2"/>
      <c r="G123" s="2"/>
      <c r="H123" s="2" t="s">
        <v>16</v>
      </c>
      <c r="I123" s="2" t="s">
        <v>166</v>
      </c>
    </row>
    <row r="124" spans="1:9" x14ac:dyDescent="0.35">
      <c r="A124" s="2" t="s">
        <v>164</v>
      </c>
      <c r="B124" s="2" t="s">
        <v>24</v>
      </c>
      <c r="C124" s="2" t="s">
        <v>165</v>
      </c>
      <c r="D124" s="2" t="s">
        <v>168</v>
      </c>
      <c r="E124" s="2" t="s">
        <v>45</v>
      </c>
      <c r="F124" s="2"/>
      <c r="G124" s="2" t="s">
        <v>169</v>
      </c>
      <c r="H124" s="2" t="s">
        <v>16</v>
      </c>
      <c r="I124" s="2" t="s">
        <v>166</v>
      </c>
    </row>
    <row r="125" spans="1:9" x14ac:dyDescent="0.35">
      <c r="A125" s="2" t="s">
        <v>164</v>
      </c>
      <c r="B125" s="2" t="s">
        <v>24</v>
      </c>
      <c r="C125" s="2" t="s">
        <v>165</v>
      </c>
      <c r="D125" s="2" t="s">
        <v>170</v>
      </c>
      <c r="E125" s="2" t="s">
        <v>30</v>
      </c>
      <c r="F125" s="2"/>
      <c r="G125" s="2"/>
      <c r="H125" s="2" t="s">
        <v>16</v>
      </c>
      <c r="I125" s="2" t="s">
        <v>166</v>
      </c>
    </row>
    <row r="126" spans="1:9" x14ac:dyDescent="0.35">
      <c r="A126" s="2" t="s">
        <v>164</v>
      </c>
      <c r="B126" s="2" t="s">
        <v>24</v>
      </c>
      <c r="C126" s="2" t="s">
        <v>165</v>
      </c>
      <c r="D126" s="2" t="s">
        <v>100</v>
      </c>
      <c r="E126" s="2" t="s">
        <v>101</v>
      </c>
      <c r="F126" s="2"/>
      <c r="G126" s="2"/>
      <c r="H126" s="2"/>
      <c r="I126" s="2"/>
    </row>
    <row r="127" spans="1:9" x14ac:dyDescent="0.35">
      <c r="A127" s="2" t="s">
        <v>164</v>
      </c>
      <c r="B127" s="2" t="s">
        <v>12</v>
      </c>
      <c r="C127" s="2" t="s">
        <v>171</v>
      </c>
      <c r="D127" s="2" t="s">
        <v>172</v>
      </c>
      <c r="E127" s="2" t="s">
        <v>65</v>
      </c>
      <c r="F127" s="2"/>
      <c r="G127" s="2"/>
      <c r="H127" s="2"/>
      <c r="I127" s="2"/>
    </row>
    <row r="128" spans="1:9" x14ac:dyDescent="0.35">
      <c r="A128" s="2" t="s">
        <v>164</v>
      </c>
      <c r="B128" s="2" t="s">
        <v>12</v>
      </c>
      <c r="C128" s="2" t="s">
        <v>171</v>
      </c>
      <c r="D128" s="2" t="s">
        <v>91</v>
      </c>
      <c r="E128" s="2" t="s">
        <v>19</v>
      </c>
      <c r="F128" s="2"/>
      <c r="G128" s="2"/>
      <c r="H128" s="2"/>
      <c r="I128" s="2"/>
    </row>
    <row r="129" spans="1:9" x14ac:dyDescent="0.35">
      <c r="A129" s="2" t="s">
        <v>164</v>
      </c>
      <c r="B129" s="2" t="s">
        <v>62</v>
      </c>
      <c r="C129" s="2" t="s">
        <v>173</v>
      </c>
      <c r="D129" s="2" t="s">
        <v>106</v>
      </c>
      <c r="E129" s="2" t="s">
        <v>107</v>
      </c>
      <c r="F129" s="2"/>
      <c r="G129" s="2"/>
      <c r="H129" s="2"/>
      <c r="I129" s="2"/>
    </row>
    <row r="130" spans="1:9" x14ac:dyDescent="0.35">
      <c r="A130" s="2" t="s">
        <v>174</v>
      </c>
      <c r="B130" s="2" t="s">
        <v>24</v>
      </c>
      <c r="C130" s="2" t="s">
        <v>175</v>
      </c>
      <c r="D130" s="2" t="s">
        <v>14</v>
      </c>
      <c r="E130" s="2" t="s">
        <v>15</v>
      </c>
      <c r="F130" s="2"/>
      <c r="G130" s="2"/>
      <c r="H130" s="2"/>
      <c r="I130" s="2"/>
    </row>
    <row r="131" spans="1:9" x14ac:dyDescent="0.35">
      <c r="A131" s="2" t="s">
        <v>174</v>
      </c>
      <c r="B131" s="2" t="s">
        <v>24</v>
      </c>
      <c r="C131" s="2" t="s">
        <v>175</v>
      </c>
      <c r="D131" s="2" t="s">
        <v>121</v>
      </c>
      <c r="E131" s="2" t="s">
        <v>122</v>
      </c>
      <c r="F131" s="2"/>
      <c r="G131" s="2"/>
      <c r="H131" s="2"/>
      <c r="I131" s="2"/>
    </row>
    <row r="132" spans="1:9" x14ac:dyDescent="0.35">
      <c r="A132" s="2" t="s">
        <v>174</v>
      </c>
      <c r="B132" s="2" t="s">
        <v>24</v>
      </c>
      <c r="C132" s="2" t="s">
        <v>175</v>
      </c>
      <c r="D132" s="2" t="s">
        <v>35</v>
      </c>
      <c r="E132" s="2" t="s">
        <v>36</v>
      </c>
      <c r="F132" s="2"/>
      <c r="G132" s="2"/>
      <c r="H132" s="2"/>
      <c r="I132" s="2"/>
    </row>
    <row r="133" spans="1:9" x14ac:dyDescent="0.35">
      <c r="A133" s="2" t="s">
        <v>174</v>
      </c>
      <c r="B133" s="2" t="s">
        <v>24</v>
      </c>
      <c r="C133" s="2" t="s">
        <v>175</v>
      </c>
      <c r="D133" s="2" t="s">
        <v>176</v>
      </c>
      <c r="E133" s="2" t="s">
        <v>40</v>
      </c>
      <c r="F133" s="2"/>
      <c r="G133" s="2"/>
      <c r="H133" s="2"/>
      <c r="I133" s="2"/>
    </row>
    <row r="134" spans="1:9" x14ac:dyDescent="0.35">
      <c r="A134" s="2" t="s">
        <v>174</v>
      </c>
      <c r="B134" s="2" t="s">
        <v>24</v>
      </c>
      <c r="C134" s="2" t="s">
        <v>175</v>
      </c>
      <c r="D134" s="2" t="s">
        <v>18</v>
      </c>
      <c r="E134" s="2" t="s">
        <v>19</v>
      </c>
      <c r="F134" s="2" t="s">
        <v>20</v>
      </c>
      <c r="G134" s="2" t="s">
        <v>123</v>
      </c>
      <c r="H134" s="2"/>
      <c r="I134" s="2"/>
    </row>
    <row r="135" spans="1:9" x14ac:dyDescent="0.35">
      <c r="A135" s="2" t="s">
        <v>174</v>
      </c>
      <c r="B135" s="2" t="s">
        <v>24</v>
      </c>
      <c r="C135" s="2" t="s">
        <v>175</v>
      </c>
      <c r="D135" s="2" t="s">
        <v>61</v>
      </c>
      <c r="E135" s="2" t="s">
        <v>30</v>
      </c>
      <c r="F135" s="2" t="s">
        <v>20</v>
      </c>
      <c r="G135" s="2" t="s">
        <v>177</v>
      </c>
      <c r="H135" s="2"/>
      <c r="I135" s="2"/>
    </row>
    <row r="136" spans="1:9" x14ac:dyDescent="0.35">
      <c r="A136" s="2" t="s">
        <v>174</v>
      </c>
      <c r="B136" s="2" t="s">
        <v>62</v>
      </c>
      <c r="C136" s="2" t="s">
        <v>178</v>
      </c>
      <c r="D136" s="2" t="s">
        <v>18</v>
      </c>
      <c r="E136" s="2" t="s">
        <v>19</v>
      </c>
      <c r="F136" s="2" t="s">
        <v>16</v>
      </c>
      <c r="G136" s="2" t="s">
        <v>179</v>
      </c>
      <c r="H136" s="2"/>
      <c r="I136" s="2"/>
    </row>
    <row r="137" spans="1:9" x14ac:dyDescent="0.35">
      <c r="A137" s="2" t="s">
        <v>174</v>
      </c>
      <c r="B137" s="2" t="s">
        <v>62</v>
      </c>
      <c r="C137" s="2" t="s">
        <v>178</v>
      </c>
      <c r="D137" s="2" t="s">
        <v>127</v>
      </c>
      <c r="E137" s="2" t="s">
        <v>107</v>
      </c>
      <c r="F137" s="2"/>
      <c r="G137" s="2"/>
      <c r="H137" s="2"/>
      <c r="I137" s="2"/>
    </row>
    <row r="138" spans="1:9" x14ac:dyDescent="0.35">
      <c r="A138" s="2" t="s">
        <v>180</v>
      </c>
      <c r="B138" s="2" t="s">
        <v>181</v>
      </c>
      <c r="C138" s="2" t="s">
        <v>182</v>
      </c>
      <c r="D138" s="2" t="s">
        <v>14</v>
      </c>
      <c r="E138" s="2" t="s">
        <v>15</v>
      </c>
      <c r="F138" s="2"/>
      <c r="G138" s="2"/>
      <c r="H138" s="2"/>
      <c r="I138" s="2"/>
    </row>
    <row r="139" spans="1:9" x14ac:dyDescent="0.35">
      <c r="A139" s="2" t="s">
        <v>180</v>
      </c>
      <c r="B139" s="2" t="s">
        <v>181</v>
      </c>
      <c r="C139" s="2" t="s">
        <v>182</v>
      </c>
      <c r="D139" s="2" t="s">
        <v>31</v>
      </c>
      <c r="E139" s="2" t="s">
        <v>32</v>
      </c>
      <c r="F139" s="2" t="s">
        <v>16</v>
      </c>
      <c r="G139" s="2" t="s">
        <v>183</v>
      </c>
      <c r="H139" s="2"/>
      <c r="I139" s="2"/>
    </row>
    <row r="140" spans="1:9" x14ac:dyDescent="0.35">
      <c r="A140" s="2" t="s">
        <v>180</v>
      </c>
      <c r="B140" s="2" t="s">
        <v>181</v>
      </c>
      <c r="C140" s="2" t="s">
        <v>182</v>
      </c>
      <c r="D140" s="2" t="s">
        <v>82</v>
      </c>
      <c r="E140" s="2" t="s">
        <v>83</v>
      </c>
      <c r="F140" s="2" t="s">
        <v>16</v>
      </c>
      <c r="G140" s="2" t="s">
        <v>183</v>
      </c>
      <c r="H140" s="2"/>
      <c r="I140" s="2"/>
    </row>
    <row r="141" spans="1:9" x14ac:dyDescent="0.35">
      <c r="A141" s="2" t="s">
        <v>180</v>
      </c>
      <c r="B141" s="2" t="s">
        <v>181</v>
      </c>
      <c r="C141" s="2" t="s">
        <v>182</v>
      </c>
      <c r="D141" s="2" t="s">
        <v>38</v>
      </c>
      <c r="E141" s="2" t="s">
        <v>38</v>
      </c>
      <c r="F141" s="2" t="s">
        <v>16</v>
      </c>
      <c r="G141" s="2" t="s">
        <v>183</v>
      </c>
      <c r="H141" s="2"/>
      <c r="I141" s="2"/>
    </row>
    <row r="142" spans="1:9" x14ac:dyDescent="0.35">
      <c r="A142" s="2" t="s">
        <v>180</v>
      </c>
      <c r="B142" s="2" t="s">
        <v>181</v>
      </c>
      <c r="C142" s="2" t="s">
        <v>182</v>
      </c>
      <c r="D142" s="2" t="s">
        <v>121</v>
      </c>
      <c r="E142" s="2" t="s">
        <v>122</v>
      </c>
      <c r="F142" s="2" t="s">
        <v>16</v>
      </c>
      <c r="G142" s="2" t="s">
        <v>183</v>
      </c>
      <c r="H142" s="2"/>
      <c r="I142" s="2"/>
    </row>
    <row r="143" spans="1:9" x14ac:dyDescent="0.35">
      <c r="A143" s="2" t="s">
        <v>180</v>
      </c>
      <c r="B143" s="2" t="s">
        <v>181</v>
      </c>
      <c r="C143" s="2" t="s">
        <v>182</v>
      </c>
      <c r="D143" s="2" t="s">
        <v>184</v>
      </c>
      <c r="E143" s="2" t="s">
        <v>45</v>
      </c>
      <c r="F143" s="2" t="s">
        <v>16</v>
      </c>
      <c r="G143" s="2" t="s">
        <v>183</v>
      </c>
      <c r="H143" s="2"/>
      <c r="I143" s="2"/>
    </row>
    <row r="144" spans="1:9" x14ac:dyDescent="0.35">
      <c r="A144" s="2" t="s">
        <v>180</v>
      </c>
      <c r="B144" s="2" t="s">
        <v>181</v>
      </c>
      <c r="C144" s="2" t="s">
        <v>182</v>
      </c>
      <c r="D144" s="2" t="s">
        <v>51</v>
      </c>
      <c r="E144" s="2" t="s">
        <v>52</v>
      </c>
      <c r="F144" s="2" t="s">
        <v>16</v>
      </c>
      <c r="G144" s="2" t="s">
        <v>183</v>
      </c>
      <c r="H144" s="2"/>
      <c r="I144" s="2"/>
    </row>
    <row r="145" spans="1:9" x14ac:dyDescent="0.35">
      <c r="A145" s="2" t="s">
        <v>180</v>
      </c>
      <c r="B145" s="2" t="s">
        <v>181</v>
      </c>
      <c r="C145" s="2" t="s">
        <v>182</v>
      </c>
      <c r="D145" s="2" t="s">
        <v>85</v>
      </c>
      <c r="E145" s="2" t="s">
        <v>85</v>
      </c>
      <c r="F145" s="2" t="s">
        <v>16</v>
      </c>
      <c r="G145" s="2" t="s">
        <v>183</v>
      </c>
      <c r="H145" s="2"/>
      <c r="I145" s="2"/>
    </row>
    <row r="146" spans="1:9" x14ac:dyDescent="0.35">
      <c r="A146" s="2" t="s">
        <v>180</v>
      </c>
      <c r="B146" s="2" t="s">
        <v>181</v>
      </c>
      <c r="C146" s="2" t="s">
        <v>185</v>
      </c>
      <c r="D146" s="2" t="s">
        <v>18</v>
      </c>
      <c r="E146" s="2" t="s">
        <v>19</v>
      </c>
      <c r="F146" s="2" t="s">
        <v>16</v>
      </c>
      <c r="G146" s="2" t="s">
        <v>186</v>
      </c>
      <c r="H146" s="2"/>
      <c r="I146" s="2"/>
    </row>
    <row r="147" spans="1:9" x14ac:dyDescent="0.35">
      <c r="A147" s="2" t="s">
        <v>180</v>
      </c>
      <c r="B147" s="2" t="s">
        <v>181</v>
      </c>
      <c r="C147" s="2" t="s">
        <v>185</v>
      </c>
      <c r="D147" s="2" t="s">
        <v>187</v>
      </c>
      <c r="E147" s="2" t="s">
        <v>150</v>
      </c>
      <c r="F147" s="2" t="s">
        <v>16</v>
      </c>
      <c r="G147" s="2" t="s">
        <v>186</v>
      </c>
      <c r="H147" s="2"/>
      <c r="I147" s="2"/>
    </row>
    <row r="148" spans="1:9" x14ac:dyDescent="0.35">
      <c r="A148" s="2" t="s">
        <v>180</v>
      </c>
      <c r="B148" s="2" t="s">
        <v>181</v>
      </c>
      <c r="C148" s="2" t="s">
        <v>185</v>
      </c>
      <c r="D148" s="2" t="s">
        <v>188</v>
      </c>
      <c r="E148" s="2" t="s">
        <v>189</v>
      </c>
      <c r="F148" s="2" t="s">
        <v>16</v>
      </c>
      <c r="G148" s="2" t="s">
        <v>186</v>
      </c>
      <c r="H148" s="2"/>
      <c r="I148" s="2"/>
    </row>
    <row r="149" spans="1:9" x14ac:dyDescent="0.35">
      <c r="A149" s="2" t="s">
        <v>180</v>
      </c>
      <c r="B149" s="2" t="s">
        <v>181</v>
      </c>
      <c r="C149" s="2" t="s">
        <v>190</v>
      </c>
      <c r="D149" s="2" t="s">
        <v>74</v>
      </c>
      <c r="E149" s="2" t="s">
        <v>75</v>
      </c>
      <c r="F149" s="2" t="s">
        <v>16</v>
      </c>
      <c r="G149" s="2" t="s">
        <v>191</v>
      </c>
      <c r="H149" s="2"/>
      <c r="I149" s="2"/>
    </row>
    <row r="150" spans="1:9" x14ac:dyDescent="0.35">
      <c r="A150" s="2" t="s">
        <v>180</v>
      </c>
      <c r="B150" s="2" t="s">
        <v>181</v>
      </c>
      <c r="C150" s="2" t="s">
        <v>190</v>
      </c>
      <c r="D150" s="2" t="s">
        <v>33</v>
      </c>
      <c r="E150" s="2" t="s">
        <v>34</v>
      </c>
      <c r="F150" s="2"/>
      <c r="G150" s="2"/>
      <c r="H150" s="2"/>
      <c r="I150" s="2"/>
    </row>
    <row r="151" spans="1:9" x14ac:dyDescent="0.35">
      <c r="A151" s="2" t="s">
        <v>180</v>
      </c>
      <c r="B151" s="2" t="s">
        <v>181</v>
      </c>
      <c r="C151" s="2" t="s">
        <v>190</v>
      </c>
      <c r="D151" s="2" t="s">
        <v>18</v>
      </c>
      <c r="E151" s="2" t="s">
        <v>19</v>
      </c>
      <c r="F151" s="2" t="s">
        <v>16</v>
      </c>
      <c r="G151" s="2" t="s">
        <v>192</v>
      </c>
      <c r="H151" s="2"/>
      <c r="I151" s="2"/>
    </row>
    <row r="152" spans="1:9" x14ac:dyDescent="0.35">
      <c r="A152" s="2" t="s">
        <v>180</v>
      </c>
      <c r="B152" s="2" t="s">
        <v>181</v>
      </c>
      <c r="C152" s="2" t="s">
        <v>190</v>
      </c>
      <c r="D152" s="2" t="s">
        <v>100</v>
      </c>
      <c r="E152" s="2" t="s">
        <v>101</v>
      </c>
      <c r="F152" s="2"/>
      <c r="G152" s="2"/>
      <c r="H152" s="2"/>
      <c r="I152" s="2"/>
    </row>
    <row r="153" spans="1:9" x14ac:dyDescent="0.35">
      <c r="A153" s="2" t="s">
        <v>180</v>
      </c>
      <c r="B153" s="2" t="s">
        <v>181</v>
      </c>
      <c r="C153" s="2" t="s">
        <v>190</v>
      </c>
      <c r="D153" s="2" t="s">
        <v>188</v>
      </c>
      <c r="E153" s="2" t="s">
        <v>189</v>
      </c>
      <c r="F153" s="2"/>
      <c r="G153" s="2"/>
      <c r="H153" s="2"/>
      <c r="I153" s="2"/>
    </row>
    <row r="154" spans="1:9" x14ac:dyDescent="0.35">
      <c r="A154" s="2" t="s">
        <v>180</v>
      </c>
      <c r="B154" s="2" t="s">
        <v>181</v>
      </c>
      <c r="C154" s="2" t="s">
        <v>190</v>
      </c>
      <c r="D154" s="2" t="s">
        <v>193</v>
      </c>
      <c r="E154" s="2" t="s">
        <v>40</v>
      </c>
      <c r="F154" s="2" t="s">
        <v>16</v>
      </c>
      <c r="G154" s="2" t="s">
        <v>191</v>
      </c>
      <c r="H154" s="2"/>
      <c r="I154" s="2"/>
    </row>
    <row r="155" spans="1:9" x14ac:dyDescent="0.35">
      <c r="A155" s="2" t="s">
        <v>180</v>
      </c>
      <c r="B155" s="2" t="s">
        <v>12</v>
      </c>
      <c r="C155" s="2" t="s">
        <v>194</v>
      </c>
      <c r="D155" s="2" t="s">
        <v>89</v>
      </c>
      <c r="E155" s="2" t="s">
        <v>45</v>
      </c>
      <c r="F155" s="2"/>
      <c r="G155" s="2"/>
      <c r="H155" s="2"/>
      <c r="I155" s="2"/>
    </row>
    <row r="156" spans="1:9" x14ac:dyDescent="0.35">
      <c r="A156" s="2" t="s">
        <v>180</v>
      </c>
      <c r="B156" s="2" t="s">
        <v>12</v>
      </c>
      <c r="C156" s="2" t="s">
        <v>194</v>
      </c>
      <c r="D156" s="2" t="s">
        <v>149</v>
      </c>
      <c r="E156" s="2" t="s">
        <v>150</v>
      </c>
      <c r="F156" s="2"/>
      <c r="G156" s="2"/>
      <c r="H156" s="2"/>
      <c r="I156" s="2"/>
    </row>
    <row r="157" spans="1:9" x14ac:dyDescent="0.35">
      <c r="A157" s="2" t="s">
        <v>180</v>
      </c>
      <c r="B157" s="2" t="s">
        <v>181</v>
      </c>
      <c r="C157" s="2" t="s">
        <v>195</v>
      </c>
      <c r="D157" s="2" t="s">
        <v>196</v>
      </c>
      <c r="E157" s="2" t="s">
        <v>197</v>
      </c>
      <c r="F157" s="2"/>
      <c r="G157" s="2"/>
      <c r="H157" s="2"/>
      <c r="I157" s="2"/>
    </row>
    <row r="158" spans="1:9" x14ac:dyDescent="0.35">
      <c r="A158" s="2" t="s">
        <v>180</v>
      </c>
      <c r="B158" s="2" t="s">
        <v>181</v>
      </c>
      <c r="C158" s="2" t="s">
        <v>195</v>
      </c>
      <c r="D158" s="2" t="s">
        <v>14</v>
      </c>
      <c r="E158" s="2" t="s">
        <v>15</v>
      </c>
      <c r="F158" s="2"/>
      <c r="G158" s="2"/>
      <c r="H158" s="2"/>
      <c r="I158" s="2"/>
    </row>
    <row r="159" spans="1:9" x14ac:dyDescent="0.35">
      <c r="A159" s="2" t="s">
        <v>180</v>
      </c>
      <c r="B159" s="2" t="s">
        <v>181</v>
      </c>
      <c r="C159" s="2" t="s">
        <v>195</v>
      </c>
      <c r="D159" s="2" t="s">
        <v>198</v>
      </c>
      <c r="E159" s="2" t="s">
        <v>65</v>
      </c>
      <c r="F159" s="2"/>
      <c r="G159" s="2"/>
      <c r="H159" s="2"/>
      <c r="I159" s="2"/>
    </row>
    <row r="160" spans="1:9" x14ac:dyDescent="0.35">
      <c r="A160" s="2" t="s">
        <v>180</v>
      </c>
      <c r="B160" s="2" t="s">
        <v>181</v>
      </c>
      <c r="C160" s="2" t="s">
        <v>195</v>
      </c>
      <c r="D160" s="2" t="s">
        <v>31</v>
      </c>
      <c r="E160" s="2" t="s">
        <v>32</v>
      </c>
      <c r="F160" s="2"/>
      <c r="G160" s="2"/>
      <c r="H160" s="2"/>
      <c r="I160" s="2"/>
    </row>
    <row r="161" spans="1:9" x14ac:dyDescent="0.35">
      <c r="A161" s="2" t="s">
        <v>180</v>
      </c>
      <c r="B161" s="2" t="s">
        <v>181</v>
      </c>
      <c r="C161" s="2" t="s">
        <v>195</v>
      </c>
      <c r="D161" s="2" t="s">
        <v>172</v>
      </c>
      <c r="E161" s="2" t="s">
        <v>65</v>
      </c>
      <c r="F161" s="2"/>
      <c r="G161" s="2" t="s">
        <v>199</v>
      </c>
      <c r="H161" s="2"/>
      <c r="I161" s="2"/>
    </row>
    <row r="162" spans="1:9" x14ac:dyDescent="0.35">
      <c r="A162" s="2" t="s">
        <v>180</v>
      </c>
      <c r="B162" s="2" t="s">
        <v>181</v>
      </c>
      <c r="C162" s="2" t="s">
        <v>195</v>
      </c>
      <c r="D162" s="2" t="s">
        <v>200</v>
      </c>
      <c r="E162" s="2" t="s">
        <v>201</v>
      </c>
      <c r="F162" s="2"/>
      <c r="G162" s="2"/>
      <c r="H162" s="2"/>
      <c r="I162" s="2"/>
    </row>
    <row r="163" spans="1:9" x14ac:dyDescent="0.35">
      <c r="A163" s="2" t="s">
        <v>180</v>
      </c>
      <c r="B163" s="2" t="s">
        <v>181</v>
      </c>
      <c r="C163" s="2" t="s">
        <v>195</v>
      </c>
      <c r="D163" s="2" t="s">
        <v>202</v>
      </c>
      <c r="E163" s="2" t="s">
        <v>203</v>
      </c>
      <c r="F163" s="2"/>
      <c r="G163" s="2"/>
      <c r="H163" s="2"/>
      <c r="I163" s="2"/>
    </row>
    <row r="164" spans="1:9" x14ac:dyDescent="0.35">
      <c r="A164" s="2" t="s">
        <v>180</v>
      </c>
      <c r="B164" s="2" t="s">
        <v>181</v>
      </c>
      <c r="C164" s="2" t="s">
        <v>195</v>
      </c>
      <c r="D164" s="2" t="s">
        <v>51</v>
      </c>
      <c r="E164" s="2" t="s">
        <v>52</v>
      </c>
      <c r="F164" s="2"/>
      <c r="G164" s="2"/>
      <c r="H164" s="2"/>
      <c r="I164" s="2"/>
    </row>
    <row r="165" spans="1:9" x14ac:dyDescent="0.35">
      <c r="A165" s="2" t="s">
        <v>180</v>
      </c>
      <c r="B165" s="2" t="s">
        <v>181</v>
      </c>
      <c r="C165" s="2" t="s">
        <v>195</v>
      </c>
      <c r="D165" s="2" t="s">
        <v>204</v>
      </c>
      <c r="E165" s="2" t="s">
        <v>40</v>
      </c>
      <c r="F165" s="2"/>
      <c r="G165" s="2"/>
      <c r="H165" s="2"/>
      <c r="I165" s="2"/>
    </row>
    <row r="166" spans="1:9" x14ac:dyDescent="0.35">
      <c r="A166" s="2" t="s">
        <v>180</v>
      </c>
      <c r="B166" s="2" t="s">
        <v>181</v>
      </c>
      <c r="C166" s="2" t="s">
        <v>195</v>
      </c>
      <c r="D166" s="2" t="s">
        <v>64</v>
      </c>
      <c r="E166" s="2" t="s">
        <v>65</v>
      </c>
      <c r="F166" s="2"/>
      <c r="G166" s="2" t="s">
        <v>199</v>
      </c>
      <c r="H166" s="2"/>
      <c r="I166" s="2"/>
    </row>
    <row r="167" spans="1:9" x14ac:dyDescent="0.35">
      <c r="A167" s="2" t="s">
        <v>180</v>
      </c>
      <c r="B167" s="2" t="s">
        <v>181</v>
      </c>
      <c r="C167" s="2" t="s">
        <v>195</v>
      </c>
      <c r="D167" s="2" t="s">
        <v>18</v>
      </c>
      <c r="E167" s="2" t="s">
        <v>19</v>
      </c>
      <c r="F167" s="2" t="s">
        <v>16</v>
      </c>
      <c r="G167" s="2" t="s">
        <v>205</v>
      </c>
      <c r="H167" s="2"/>
      <c r="I167" s="2"/>
    </row>
    <row r="168" spans="1:9" x14ac:dyDescent="0.35">
      <c r="A168" s="2" t="s">
        <v>180</v>
      </c>
      <c r="B168" s="2" t="s">
        <v>181</v>
      </c>
      <c r="C168" s="2" t="s">
        <v>195</v>
      </c>
      <c r="D168" s="2" t="s">
        <v>89</v>
      </c>
      <c r="E168" s="2" t="s">
        <v>45</v>
      </c>
      <c r="F168" s="2"/>
      <c r="G168" s="2" t="s">
        <v>199</v>
      </c>
      <c r="H168" s="2"/>
      <c r="I168" s="2"/>
    </row>
    <row r="169" spans="1:9" x14ac:dyDescent="0.35">
      <c r="A169" s="2" t="s">
        <v>180</v>
      </c>
      <c r="B169" s="2" t="s">
        <v>181</v>
      </c>
      <c r="C169" s="2" t="s">
        <v>195</v>
      </c>
      <c r="D169" s="2" t="s">
        <v>98</v>
      </c>
      <c r="E169" s="2" t="s">
        <v>98</v>
      </c>
      <c r="F169" s="2"/>
      <c r="G169" s="2"/>
      <c r="H169" s="2"/>
      <c r="I169" s="2"/>
    </row>
    <row r="170" spans="1:9" x14ac:dyDescent="0.35">
      <c r="A170" s="2" t="s">
        <v>180</v>
      </c>
      <c r="B170" s="2" t="s">
        <v>181</v>
      </c>
      <c r="C170" s="2" t="s">
        <v>195</v>
      </c>
      <c r="D170" s="2" t="s">
        <v>85</v>
      </c>
      <c r="E170" s="2" t="s">
        <v>85</v>
      </c>
      <c r="F170" s="2"/>
      <c r="G170" s="2"/>
      <c r="H170" s="2"/>
      <c r="I170" s="2"/>
    </row>
    <row r="171" spans="1:9" x14ac:dyDescent="0.35">
      <c r="A171" s="2" t="s">
        <v>180</v>
      </c>
      <c r="B171" s="2" t="s">
        <v>181</v>
      </c>
      <c r="C171" s="2" t="s">
        <v>195</v>
      </c>
      <c r="D171" s="2" t="s">
        <v>61</v>
      </c>
      <c r="E171" s="2" t="s">
        <v>30</v>
      </c>
      <c r="F171" s="2"/>
      <c r="G171" s="2"/>
      <c r="H171" s="2"/>
      <c r="I171" s="2"/>
    </row>
    <row r="172" spans="1:9" x14ac:dyDescent="0.35">
      <c r="A172" s="2" t="s">
        <v>180</v>
      </c>
      <c r="B172" s="2" t="s">
        <v>181</v>
      </c>
      <c r="C172" s="2" t="s">
        <v>195</v>
      </c>
      <c r="D172" s="2" t="s">
        <v>100</v>
      </c>
      <c r="E172" s="2" t="s">
        <v>101</v>
      </c>
      <c r="F172" s="2"/>
      <c r="G172" s="2"/>
      <c r="H172" s="2"/>
      <c r="I172" s="2"/>
    </row>
    <row r="173" spans="1:9" x14ac:dyDescent="0.35">
      <c r="A173" s="2" t="s">
        <v>180</v>
      </c>
      <c r="B173" s="2" t="s">
        <v>181</v>
      </c>
      <c r="C173" s="2" t="s">
        <v>195</v>
      </c>
      <c r="D173" s="2" t="s">
        <v>188</v>
      </c>
      <c r="E173" s="2" t="s">
        <v>189</v>
      </c>
      <c r="F173" s="2"/>
      <c r="G173" s="2"/>
      <c r="H173" s="2"/>
      <c r="I173" s="2"/>
    </row>
    <row r="174" spans="1:9" x14ac:dyDescent="0.35">
      <c r="A174" s="2" t="s">
        <v>180</v>
      </c>
      <c r="B174" s="2" t="s">
        <v>181</v>
      </c>
      <c r="C174" s="2" t="s">
        <v>195</v>
      </c>
      <c r="D174" s="2" t="s">
        <v>149</v>
      </c>
      <c r="E174" s="2" t="s">
        <v>150</v>
      </c>
      <c r="F174" s="2" t="s">
        <v>16</v>
      </c>
      <c r="G174" s="2" t="s">
        <v>206</v>
      </c>
      <c r="H174" s="2"/>
      <c r="I174" s="2"/>
    </row>
    <row r="175" spans="1:9" x14ac:dyDescent="0.35">
      <c r="A175" s="2" t="s">
        <v>180</v>
      </c>
      <c r="B175" s="2" t="s">
        <v>181</v>
      </c>
      <c r="C175" s="2" t="s">
        <v>195</v>
      </c>
      <c r="D175" s="2" t="s">
        <v>207</v>
      </c>
      <c r="E175" s="2" t="s">
        <v>122</v>
      </c>
      <c r="F175" s="2"/>
      <c r="G175" s="2"/>
      <c r="H175" s="2"/>
      <c r="I175" s="2"/>
    </row>
    <row r="176" spans="1:9" x14ac:dyDescent="0.35">
      <c r="A176" s="2" t="s">
        <v>180</v>
      </c>
      <c r="B176" s="2" t="s">
        <v>181</v>
      </c>
      <c r="C176" s="2" t="s">
        <v>195</v>
      </c>
      <c r="D176" s="2" t="s">
        <v>208</v>
      </c>
      <c r="E176" s="2" t="s">
        <v>65</v>
      </c>
      <c r="F176" s="2"/>
      <c r="G176" s="2"/>
      <c r="H176" s="2"/>
      <c r="I176" s="2"/>
    </row>
    <row r="177" spans="1:9" x14ac:dyDescent="0.35">
      <c r="A177" s="2" t="s">
        <v>180</v>
      </c>
      <c r="B177" s="2" t="s">
        <v>12</v>
      </c>
      <c r="C177" s="2" t="s">
        <v>209</v>
      </c>
      <c r="D177" s="2" t="s">
        <v>121</v>
      </c>
      <c r="E177" s="2" t="s">
        <v>122</v>
      </c>
      <c r="F177" s="2"/>
      <c r="G177" s="2"/>
      <c r="H177" s="2"/>
      <c r="I177" s="2"/>
    </row>
    <row r="178" spans="1:9" x14ac:dyDescent="0.35">
      <c r="A178" s="2" t="s">
        <v>180</v>
      </c>
      <c r="B178" s="2" t="s">
        <v>12</v>
      </c>
      <c r="C178" s="2" t="s">
        <v>209</v>
      </c>
      <c r="D178" s="2" t="s">
        <v>39</v>
      </c>
      <c r="E178" s="2" t="s">
        <v>40</v>
      </c>
      <c r="F178" s="2"/>
      <c r="G178" s="2"/>
      <c r="H178" s="2"/>
      <c r="I178" s="2"/>
    </row>
    <row r="179" spans="1:9" x14ac:dyDescent="0.35">
      <c r="A179" s="2" t="s">
        <v>180</v>
      </c>
      <c r="B179" s="2" t="s">
        <v>12</v>
      </c>
      <c r="C179" s="2" t="s">
        <v>209</v>
      </c>
      <c r="D179" s="2" t="s">
        <v>18</v>
      </c>
      <c r="E179" s="2" t="s">
        <v>19</v>
      </c>
      <c r="F179" s="2"/>
      <c r="G179" s="2"/>
      <c r="H179" s="2"/>
      <c r="I179" s="2"/>
    </row>
    <row r="180" spans="1:9" x14ac:dyDescent="0.35">
      <c r="A180" s="2" t="s">
        <v>180</v>
      </c>
      <c r="B180" s="2" t="s">
        <v>12</v>
      </c>
      <c r="C180" s="2" t="s">
        <v>209</v>
      </c>
      <c r="D180" s="2" t="s">
        <v>89</v>
      </c>
      <c r="E180" s="2" t="s">
        <v>45</v>
      </c>
      <c r="F180" s="2"/>
      <c r="G180" s="2"/>
      <c r="H180" s="2"/>
      <c r="I180" s="2"/>
    </row>
    <row r="181" spans="1:9" x14ac:dyDescent="0.35">
      <c r="A181" s="2" t="s">
        <v>180</v>
      </c>
      <c r="B181" s="2" t="s">
        <v>57</v>
      </c>
      <c r="C181" s="2" t="s">
        <v>210</v>
      </c>
      <c r="D181" s="2" t="s">
        <v>14</v>
      </c>
      <c r="E181" s="2" t="s">
        <v>15</v>
      </c>
      <c r="F181" s="2"/>
      <c r="G181" s="2"/>
      <c r="H181" s="2"/>
      <c r="I181" s="2"/>
    </row>
    <row r="182" spans="1:9" x14ac:dyDescent="0.35">
      <c r="A182" s="2" t="s">
        <v>180</v>
      </c>
      <c r="B182" s="2" t="s">
        <v>57</v>
      </c>
      <c r="C182" s="2" t="s">
        <v>210</v>
      </c>
      <c r="D182" s="2" t="s">
        <v>120</v>
      </c>
      <c r="E182" s="2" t="s">
        <v>32</v>
      </c>
      <c r="F182" s="2"/>
      <c r="G182" s="2"/>
      <c r="H182" s="2"/>
      <c r="I182" s="2"/>
    </row>
    <row r="183" spans="1:9" x14ac:dyDescent="0.35">
      <c r="A183" s="2" t="s">
        <v>180</v>
      </c>
      <c r="B183" s="2" t="s">
        <v>57</v>
      </c>
      <c r="C183" s="2" t="s">
        <v>210</v>
      </c>
      <c r="D183" s="2" t="s">
        <v>82</v>
      </c>
      <c r="E183" s="2" t="s">
        <v>83</v>
      </c>
      <c r="F183" s="2"/>
      <c r="G183" s="2"/>
      <c r="H183" s="2"/>
      <c r="I183" s="2"/>
    </row>
    <row r="184" spans="1:9" x14ac:dyDescent="0.35">
      <c r="A184" s="2" t="s">
        <v>180</v>
      </c>
      <c r="B184" s="2" t="s">
        <v>57</v>
      </c>
      <c r="C184" s="2" t="s">
        <v>210</v>
      </c>
      <c r="D184" s="2" t="s">
        <v>211</v>
      </c>
      <c r="E184" s="2" t="s">
        <v>203</v>
      </c>
      <c r="F184" s="2" t="s">
        <v>16</v>
      </c>
      <c r="G184" s="2" t="s">
        <v>206</v>
      </c>
      <c r="H184" s="2"/>
      <c r="I184" s="2"/>
    </row>
    <row r="185" spans="1:9" x14ac:dyDescent="0.35">
      <c r="A185" s="2" t="s">
        <v>180</v>
      </c>
      <c r="B185" s="2" t="s">
        <v>57</v>
      </c>
      <c r="C185" s="2" t="s">
        <v>210</v>
      </c>
      <c r="D185" s="2" t="s">
        <v>212</v>
      </c>
      <c r="E185" s="2" t="s">
        <v>78</v>
      </c>
      <c r="F185" s="2"/>
      <c r="G185" s="2"/>
      <c r="H185" s="2"/>
      <c r="I185" s="2"/>
    </row>
    <row r="186" spans="1:9" x14ac:dyDescent="0.35">
      <c r="A186" s="2" t="s">
        <v>180</v>
      </c>
      <c r="B186" s="2" t="s">
        <v>57</v>
      </c>
      <c r="C186" s="2" t="s">
        <v>210</v>
      </c>
      <c r="D186" s="2" t="s">
        <v>121</v>
      </c>
      <c r="E186" s="2" t="s">
        <v>122</v>
      </c>
      <c r="F186" s="2" t="s">
        <v>16</v>
      </c>
      <c r="G186" s="2" t="s">
        <v>206</v>
      </c>
      <c r="H186" s="2"/>
      <c r="I186" s="2"/>
    </row>
    <row r="187" spans="1:9" x14ac:dyDescent="0.35">
      <c r="A187" s="2" t="s">
        <v>180</v>
      </c>
      <c r="B187" s="2" t="s">
        <v>57</v>
      </c>
      <c r="C187" s="2" t="s">
        <v>210</v>
      </c>
      <c r="D187" s="2" t="s">
        <v>213</v>
      </c>
      <c r="E187" s="2" t="s">
        <v>45</v>
      </c>
      <c r="F187" s="2" t="s">
        <v>16</v>
      </c>
      <c r="G187" s="2" t="s">
        <v>206</v>
      </c>
      <c r="H187" s="2"/>
      <c r="I187" s="2"/>
    </row>
    <row r="188" spans="1:9" x14ac:dyDescent="0.35">
      <c r="A188" s="2" t="s">
        <v>180</v>
      </c>
      <c r="B188" s="2" t="s">
        <v>57</v>
      </c>
      <c r="C188" s="2" t="s">
        <v>210</v>
      </c>
      <c r="D188" s="2" t="s">
        <v>156</v>
      </c>
      <c r="E188" s="2" t="s">
        <v>45</v>
      </c>
      <c r="F188" s="2" t="s">
        <v>16</v>
      </c>
      <c r="G188" s="2" t="s">
        <v>214</v>
      </c>
      <c r="H188" s="2"/>
      <c r="I188" s="2"/>
    </row>
    <row r="189" spans="1:9" x14ac:dyDescent="0.35">
      <c r="A189" s="2" t="s">
        <v>180</v>
      </c>
      <c r="B189" s="2" t="s">
        <v>57</v>
      </c>
      <c r="C189" s="2" t="s">
        <v>210</v>
      </c>
      <c r="D189" s="2" t="s">
        <v>51</v>
      </c>
      <c r="E189" s="2" t="s">
        <v>52</v>
      </c>
      <c r="F189" s="2" t="s">
        <v>16</v>
      </c>
      <c r="G189" s="2" t="s">
        <v>206</v>
      </c>
      <c r="H189" s="2"/>
      <c r="I189" s="2"/>
    </row>
    <row r="190" spans="1:9" x14ac:dyDescent="0.35">
      <c r="A190" s="2" t="s">
        <v>180</v>
      </c>
      <c r="B190" s="2" t="s">
        <v>57</v>
      </c>
      <c r="C190" s="2" t="s">
        <v>210</v>
      </c>
      <c r="D190" s="2" t="s">
        <v>18</v>
      </c>
      <c r="E190" s="2" t="s">
        <v>19</v>
      </c>
      <c r="F190" s="2" t="s">
        <v>16</v>
      </c>
      <c r="G190" s="2" t="s">
        <v>215</v>
      </c>
      <c r="H190" s="2"/>
      <c r="I190" s="2"/>
    </row>
    <row r="191" spans="1:9" x14ac:dyDescent="0.35">
      <c r="A191" s="2" t="s">
        <v>180</v>
      </c>
      <c r="B191" s="2" t="s">
        <v>57</v>
      </c>
      <c r="C191" s="2" t="s">
        <v>210</v>
      </c>
      <c r="D191" s="2" t="s">
        <v>61</v>
      </c>
      <c r="E191" s="2" t="s">
        <v>30</v>
      </c>
      <c r="F191" s="2" t="s">
        <v>16</v>
      </c>
      <c r="G191" s="2" t="s">
        <v>216</v>
      </c>
      <c r="H191" s="2"/>
      <c r="I191" s="2"/>
    </row>
    <row r="192" spans="1:9" x14ac:dyDescent="0.35">
      <c r="A192" s="2" t="s">
        <v>180</v>
      </c>
      <c r="B192" s="2" t="s">
        <v>57</v>
      </c>
      <c r="C192" s="2" t="s">
        <v>210</v>
      </c>
      <c r="D192" s="2" t="s">
        <v>100</v>
      </c>
      <c r="E192" s="2" t="s">
        <v>101</v>
      </c>
      <c r="F192" s="2"/>
      <c r="G192" s="2"/>
      <c r="H192" s="2"/>
      <c r="I192" s="2"/>
    </row>
    <row r="193" spans="1:9" x14ac:dyDescent="0.35">
      <c r="A193" s="2" t="s">
        <v>180</v>
      </c>
      <c r="B193" s="2" t="s">
        <v>57</v>
      </c>
      <c r="C193" s="2" t="s">
        <v>210</v>
      </c>
      <c r="D193" s="2" t="s">
        <v>188</v>
      </c>
      <c r="E193" s="2" t="s">
        <v>189</v>
      </c>
      <c r="F193" s="2" t="s">
        <v>16</v>
      </c>
      <c r="G193" s="2" t="s">
        <v>217</v>
      </c>
      <c r="H193" s="2"/>
      <c r="I193" s="2"/>
    </row>
    <row r="194" spans="1:9" x14ac:dyDescent="0.35">
      <c r="A194" s="2" t="s">
        <v>180</v>
      </c>
      <c r="B194" s="2" t="s">
        <v>57</v>
      </c>
      <c r="C194" s="2" t="s">
        <v>210</v>
      </c>
      <c r="D194" s="2" t="s">
        <v>149</v>
      </c>
      <c r="E194" s="2" t="s">
        <v>150</v>
      </c>
      <c r="F194" s="2" t="s">
        <v>16</v>
      </c>
      <c r="G194" s="2" t="s">
        <v>206</v>
      </c>
      <c r="H194" s="2"/>
      <c r="I194" s="2"/>
    </row>
    <row r="195" spans="1:9" x14ac:dyDescent="0.35">
      <c r="A195" s="2" t="s">
        <v>180</v>
      </c>
      <c r="B195" s="2" t="s">
        <v>181</v>
      </c>
      <c r="C195" s="2" t="s">
        <v>218</v>
      </c>
      <c r="D195" s="2" t="s">
        <v>196</v>
      </c>
      <c r="E195" s="2" t="s">
        <v>197</v>
      </c>
      <c r="F195" s="2"/>
      <c r="G195" s="2"/>
      <c r="H195" s="2"/>
      <c r="I195" s="2"/>
    </row>
    <row r="196" spans="1:9" x14ac:dyDescent="0.35">
      <c r="A196" s="2" t="s">
        <v>180</v>
      </c>
      <c r="B196" s="2" t="s">
        <v>181</v>
      </c>
      <c r="C196" s="2" t="s">
        <v>218</v>
      </c>
      <c r="D196" s="2" t="s">
        <v>76</v>
      </c>
      <c r="E196" s="2" t="s">
        <v>75</v>
      </c>
      <c r="F196" s="2" t="s">
        <v>16</v>
      </c>
      <c r="G196" s="2" t="s">
        <v>219</v>
      </c>
      <c r="H196" s="2"/>
      <c r="I196" s="2"/>
    </row>
    <row r="197" spans="1:9" x14ac:dyDescent="0.35">
      <c r="A197" s="2" t="s">
        <v>180</v>
      </c>
      <c r="B197" s="2" t="s">
        <v>181</v>
      </c>
      <c r="C197" s="2" t="s">
        <v>218</v>
      </c>
      <c r="D197" s="2" t="s">
        <v>220</v>
      </c>
      <c r="E197" s="2" t="s">
        <v>32</v>
      </c>
      <c r="F197" s="2" t="s">
        <v>16</v>
      </c>
      <c r="G197" s="2" t="s">
        <v>191</v>
      </c>
      <c r="H197" s="2"/>
      <c r="I197" s="2"/>
    </row>
    <row r="198" spans="1:9" x14ac:dyDescent="0.35">
      <c r="A198" s="2" t="s">
        <v>180</v>
      </c>
      <c r="B198" s="2" t="s">
        <v>181</v>
      </c>
      <c r="C198" s="2" t="s">
        <v>218</v>
      </c>
      <c r="D198" s="2" t="s">
        <v>221</v>
      </c>
      <c r="E198" s="2" t="s">
        <v>75</v>
      </c>
      <c r="F198" s="2" t="s">
        <v>16</v>
      </c>
      <c r="G198" s="2" t="s">
        <v>191</v>
      </c>
      <c r="H198" s="2"/>
      <c r="I198" s="2"/>
    </row>
    <row r="199" spans="1:9" x14ac:dyDescent="0.35">
      <c r="A199" s="2" t="s">
        <v>180</v>
      </c>
      <c r="B199" s="2" t="s">
        <v>181</v>
      </c>
      <c r="C199" s="2" t="s">
        <v>218</v>
      </c>
      <c r="D199" s="2" t="s">
        <v>82</v>
      </c>
      <c r="E199" s="2" t="s">
        <v>83</v>
      </c>
      <c r="F199" s="2" t="s">
        <v>16</v>
      </c>
      <c r="G199" s="2" t="s">
        <v>191</v>
      </c>
      <c r="H199" s="2"/>
      <c r="I199" s="2"/>
    </row>
    <row r="200" spans="1:9" x14ac:dyDescent="0.35">
      <c r="A200" s="2" t="s">
        <v>180</v>
      </c>
      <c r="B200" s="2" t="s">
        <v>181</v>
      </c>
      <c r="C200" s="2" t="s">
        <v>218</v>
      </c>
      <c r="D200" s="2" t="s">
        <v>138</v>
      </c>
      <c r="E200" s="2" t="s">
        <v>139</v>
      </c>
      <c r="F200" s="2" t="s">
        <v>16</v>
      </c>
      <c r="G200" s="2" t="s">
        <v>191</v>
      </c>
      <c r="H200" s="2"/>
      <c r="I200" s="2"/>
    </row>
    <row r="201" spans="1:9" x14ac:dyDescent="0.35">
      <c r="A201" s="2" t="s">
        <v>180</v>
      </c>
      <c r="B201" s="2" t="s">
        <v>181</v>
      </c>
      <c r="C201" s="2" t="s">
        <v>218</v>
      </c>
      <c r="D201" s="2" t="s">
        <v>222</v>
      </c>
      <c r="E201" s="2" t="s">
        <v>189</v>
      </c>
      <c r="F201" s="2"/>
      <c r="G201" s="2"/>
      <c r="H201" s="2"/>
      <c r="I201" s="2"/>
    </row>
    <row r="202" spans="1:9" x14ac:dyDescent="0.35">
      <c r="A202" s="2" t="s">
        <v>180</v>
      </c>
      <c r="B202" s="2" t="s">
        <v>181</v>
      </c>
      <c r="C202" s="2" t="s">
        <v>218</v>
      </c>
      <c r="D202" s="2" t="s">
        <v>98</v>
      </c>
      <c r="E202" s="2" t="s">
        <v>98</v>
      </c>
      <c r="F202" s="2" t="s">
        <v>16</v>
      </c>
      <c r="G202" s="2" t="s">
        <v>191</v>
      </c>
      <c r="H202" s="2"/>
      <c r="I202" s="2"/>
    </row>
    <row r="203" spans="1:9" x14ac:dyDescent="0.35">
      <c r="A203" s="2" t="s">
        <v>180</v>
      </c>
      <c r="B203" s="2" t="s">
        <v>181</v>
      </c>
      <c r="C203" s="2" t="s">
        <v>218</v>
      </c>
      <c r="D203" s="2" t="s">
        <v>202</v>
      </c>
      <c r="E203" s="2" t="s">
        <v>203</v>
      </c>
      <c r="F203" s="2" t="s">
        <v>16</v>
      </c>
      <c r="G203" s="2" t="s">
        <v>191</v>
      </c>
      <c r="H203" s="2"/>
      <c r="I203" s="2"/>
    </row>
    <row r="204" spans="1:9" x14ac:dyDescent="0.35">
      <c r="A204" s="2" t="s">
        <v>180</v>
      </c>
      <c r="B204" s="2" t="s">
        <v>181</v>
      </c>
      <c r="C204" s="2" t="s">
        <v>218</v>
      </c>
      <c r="D204" s="2" t="s">
        <v>223</v>
      </c>
      <c r="E204" s="2" t="s">
        <v>78</v>
      </c>
      <c r="F204" s="2"/>
      <c r="G204" s="2"/>
      <c r="H204" s="2"/>
      <c r="I204" s="2"/>
    </row>
    <row r="205" spans="1:9" x14ac:dyDescent="0.35">
      <c r="A205" s="2" t="s">
        <v>180</v>
      </c>
      <c r="B205" s="2" t="s">
        <v>181</v>
      </c>
      <c r="C205" s="2" t="s">
        <v>218</v>
      </c>
      <c r="D205" s="2" t="s">
        <v>224</v>
      </c>
      <c r="E205" s="2" t="s">
        <v>40</v>
      </c>
      <c r="F205" s="2" t="s">
        <v>16</v>
      </c>
      <c r="G205" s="2" t="s">
        <v>191</v>
      </c>
      <c r="H205" s="2"/>
      <c r="I205" s="2"/>
    </row>
    <row r="206" spans="1:9" x14ac:dyDescent="0.35">
      <c r="A206" s="2" t="s">
        <v>180</v>
      </c>
      <c r="B206" s="2" t="s">
        <v>181</v>
      </c>
      <c r="C206" s="2" t="s">
        <v>218</v>
      </c>
      <c r="D206" s="2" t="s">
        <v>225</v>
      </c>
      <c r="E206" s="2" t="s">
        <v>32</v>
      </c>
      <c r="F206" s="2" t="s">
        <v>16</v>
      </c>
      <c r="G206" s="2" t="s">
        <v>191</v>
      </c>
      <c r="H206" s="2"/>
      <c r="I206" s="2"/>
    </row>
    <row r="207" spans="1:9" x14ac:dyDescent="0.35">
      <c r="A207" s="2" t="s">
        <v>180</v>
      </c>
      <c r="B207" s="2" t="s">
        <v>181</v>
      </c>
      <c r="C207" s="2" t="s">
        <v>218</v>
      </c>
      <c r="D207" s="2" t="s">
        <v>156</v>
      </c>
      <c r="E207" s="2" t="s">
        <v>45</v>
      </c>
      <c r="F207" s="2" t="s">
        <v>16</v>
      </c>
      <c r="G207" s="2" t="s">
        <v>219</v>
      </c>
      <c r="H207" s="2"/>
      <c r="I207" s="2"/>
    </row>
    <row r="208" spans="1:9" x14ac:dyDescent="0.35">
      <c r="A208" s="2" t="s">
        <v>180</v>
      </c>
      <c r="B208" s="2" t="s">
        <v>181</v>
      </c>
      <c r="C208" s="2" t="s">
        <v>218</v>
      </c>
      <c r="D208" s="2" t="s">
        <v>18</v>
      </c>
      <c r="E208" s="2" t="s">
        <v>19</v>
      </c>
      <c r="F208" s="2" t="s">
        <v>16</v>
      </c>
      <c r="G208" s="2" t="s">
        <v>219</v>
      </c>
      <c r="H208" s="2"/>
      <c r="I208" s="2"/>
    </row>
    <row r="209" spans="1:9" x14ac:dyDescent="0.35">
      <c r="A209" s="2" t="s">
        <v>180</v>
      </c>
      <c r="B209" s="2" t="s">
        <v>181</v>
      </c>
      <c r="C209" s="2" t="s">
        <v>218</v>
      </c>
      <c r="D209" s="2" t="s">
        <v>226</v>
      </c>
      <c r="E209" s="2" t="s">
        <v>34</v>
      </c>
      <c r="F209" s="2" t="s">
        <v>16</v>
      </c>
      <c r="G209" s="2" t="s">
        <v>191</v>
      </c>
      <c r="H209" s="2"/>
      <c r="I209" s="2"/>
    </row>
    <row r="210" spans="1:9" x14ac:dyDescent="0.35">
      <c r="A210" s="2" t="s">
        <v>180</v>
      </c>
      <c r="B210" s="2" t="s">
        <v>181</v>
      </c>
      <c r="C210" s="2" t="s">
        <v>218</v>
      </c>
      <c r="D210" s="2" t="s">
        <v>227</v>
      </c>
      <c r="E210" s="2" t="s">
        <v>228</v>
      </c>
      <c r="F210" s="2" t="s">
        <v>16</v>
      </c>
      <c r="G210" s="2" t="s">
        <v>191</v>
      </c>
      <c r="H210" s="2"/>
      <c r="I210" s="2"/>
    </row>
    <row r="211" spans="1:9" x14ac:dyDescent="0.35">
      <c r="A211" s="2" t="s">
        <v>180</v>
      </c>
      <c r="B211" s="2" t="s">
        <v>181</v>
      </c>
      <c r="C211" s="2" t="s">
        <v>218</v>
      </c>
      <c r="D211" s="2" t="s">
        <v>61</v>
      </c>
      <c r="E211" s="2" t="s">
        <v>30</v>
      </c>
      <c r="F211" s="2" t="s">
        <v>16</v>
      </c>
      <c r="G211" s="2" t="s">
        <v>191</v>
      </c>
      <c r="H211" s="2"/>
      <c r="I211" s="2"/>
    </row>
    <row r="212" spans="1:9" x14ac:dyDescent="0.35">
      <c r="A212" s="2" t="s">
        <v>180</v>
      </c>
      <c r="B212" s="2" t="s">
        <v>181</v>
      </c>
      <c r="C212" s="2" t="s">
        <v>218</v>
      </c>
      <c r="D212" s="2" t="s">
        <v>100</v>
      </c>
      <c r="E212" s="2" t="s">
        <v>101</v>
      </c>
      <c r="F212" s="2"/>
      <c r="G212" s="2"/>
      <c r="H212" s="2"/>
      <c r="I212" s="2"/>
    </row>
    <row r="213" spans="1:9" x14ac:dyDescent="0.35">
      <c r="A213" s="2" t="s">
        <v>180</v>
      </c>
      <c r="B213" s="2" t="s">
        <v>181</v>
      </c>
      <c r="C213" s="2" t="s">
        <v>218</v>
      </c>
      <c r="D213" s="2" t="s">
        <v>188</v>
      </c>
      <c r="E213" s="2" t="s">
        <v>189</v>
      </c>
      <c r="F213" s="2" t="s">
        <v>16</v>
      </c>
      <c r="G213" s="2" t="s">
        <v>229</v>
      </c>
      <c r="H213" s="2"/>
      <c r="I213" s="2"/>
    </row>
    <row r="214" spans="1:9" x14ac:dyDescent="0.35">
      <c r="A214" s="2" t="s">
        <v>180</v>
      </c>
      <c r="B214" s="2" t="s">
        <v>181</v>
      </c>
      <c r="C214" s="2" t="s">
        <v>218</v>
      </c>
      <c r="D214" s="2" t="s">
        <v>42</v>
      </c>
      <c r="E214" s="2" t="s">
        <v>43</v>
      </c>
      <c r="F214" s="2" t="s">
        <v>16</v>
      </c>
      <c r="G214" s="2" t="s">
        <v>191</v>
      </c>
      <c r="H214" s="2"/>
      <c r="I214" s="2"/>
    </row>
    <row r="215" spans="1:9" x14ac:dyDescent="0.35">
      <c r="A215" s="2" t="s">
        <v>180</v>
      </c>
      <c r="B215" s="2" t="s">
        <v>181</v>
      </c>
      <c r="C215" s="2" t="s">
        <v>218</v>
      </c>
      <c r="D215" s="2" t="s">
        <v>149</v>
      </c>
      <c r="E215" s="2" t="s">
        <v>150</v>
      </c>
      <c r="F215" s="2" t="s">
        <v>16</v>
      </c>
      <c r="G215" s="2" t="s">
        <v>191</v>
      </c>
      <c r="H215" s="2"/>
      <c r="I215" s="2"/>
    </row>
    <row r="216" spans="1:9" x14ac:dyDescent="0.35">
      <c r="A216" s="2" t="s">
        <v>180</v>
      </c>
      <c r="B216" s="2" t="s">
        <v>181</v>
      </c>
      <c r="C216" s="2" t="s">
        <v>218</v>
      </c>
      <c r="D216" s="2" t="s">
        <v>230</v>
      </c>
      <c r="E216" s="2" t="s">
        <v>189</v>
      </c>
      <c r="F216" s="2" t="s">
        <v>16</v>
      </c>
      <c r="G216" s="2" t="s">
        <v>191</v>
      </c>
      <c r="H216" s="2"/>
      <c r="I216" s="2"/>
    </row>
    <row r="217" spans="1:9" x14ac:dyDescent="0.35">
      <c r="A217" s="2" t="s">
        <v>180</v>
      </c>
      <c r="B217" s="2" t="s">
        <v>12</v>
      </c>
      <c r="C217" s="2" t="s">
        <v>231</v>
      </c>
      <c r="D217" s="2" t="s">
        <v>14</v>
      </c>
      <c r="E217" s="2" t="s">
        <v>15</v>
      </c>
      <c r="F217" s="2"/>
      <c r="G217" s="2"/>
      <c r="H217" s="2"/>
      <c r="I217" s="2"/>
    </row>
    <row r="218" spans="1:9" x14ac:dyDescent="0.35">
      <c r="A218" s="2" t="s">
        <v>180</v>
      </c>
      <c r="B218" s="2" t="s">
        <v>12</v>
      </c>
      <c r="C218" s="2" t="s">
        <v>231</v>
      </c>
      <c r="D218" s="2" t="s">
        <v>91</v>
      </c>
      <c r="E218" s="2" t="s">
        <v>19</v>
      </c>
      <c r="F218" s="2" t="s">
        <v>20</v>
      </c>
      <c r="G218" s="2" t="s">
        <v>232</v>
      </c>
      <c r="H218" s="2"/>
      <c r="I218" s="2"/>
    </row>
    <row r="219" spans="1:9" x14ac:dyDescent="0.35">
      <c r="A219" s="2" t="s">
        <v>180</v>
      </c>
      <c r="B219" s="2" t="s">
        <v>12</v>
      </c>
      <c r="C219" s="2" t="s">
        <v>231</v>
      </c>
      <c r="D219" s="2" t="s">
        <v>89</v>
      </c>
      <c r="E219" s="2" t="s">
        <v>45</v>
      </c>
      <c r="F219" s="2"/>
      <c r="G219" s="2"/>
      <c r="H219" s="2"/>
      <c r="I219" s="2"/>
    </row>
    <row r="220" spans="1:9" x14ac:dyDescent="0.35">
      <c r="A220" s="2" t="s">
        <v>180</v>
      </c>
      <c r="B220" s="2" t="s">
        <v>12</v>
      </c>
      <c r="C220" s="2" t="s">
        <v>233</v>
      </c>
      <c r="D220" s="2" t="s">
        <v>14</v>
      </c>
      <c r="E220" s="2" t="s">
        <v>15</v>
      </c>
      <c r="F220" s="2"/>
      <c r="G220" s="2"/>
      <c r="H220" s="2"/>
      <c r="I220" s="2"/>
    </row>
    <row r="221" spans="1:9" x14ac:dyDescent="0.35">
      <c r="A221" s="2" t="s">
        <v>180</v>
      </c>
      <c r="B221" s="2" t="s">
        <v>12</v>
      </c>
      <c r="C221" s="2" t="s">
        <v>233</v>
      </c>
      <c r="D221" s="2" t="s">
        <v>213</v>
      </c>
      <c r="E221" s="2" t="s">
        <v>45</v>
      </c>
      <c r="F221" s="2" t="s">
        <v>20</v>
      </c>
      <c r="G221" s="2" t="s">
        <v>234</v>
      </c>
      <c r="H221" s="2"/>
      <c r="I221" s="2"/>
    </row>
    <row r="222" spans="1:9" x14ac:dyDescent="0.35">
      <c r="A222" s="2" t="s">
        <v>180</v>
      </c>
      <c r="B222" s="2" t="s">
        <v>12</v>
      </c>
      <c r="C222" s="2" t="s">
        <v>233</v>
      </c>
      <c r="D222" s="2" t="s">
        <v>204</v>
      </c>
      <c r="E222" s="2" t="s">
        <v>40</v>
      </c>
      <c r="F222" s="2" t="s">
        <v>20</v>
      </c>
      <c r="G222" s="2" t="s">
        <v>234</v>
      </c>
      <c r="H222" s="2"/>
      <c r="I222" s="2"/>
    </row>
    <row r="223" spans="1:9" x14ac:dyDescent="0.35">
      <c r="A223" s="2" t="s">
        <v>180</v>
      </c>
      <c r="B223" s="2" t="s">
        <v>12</v>
      </c>
      <c r="C223" s="2" t="s">
        <v>233</v>
      </c>
      <c r="D223" s="2" t="s">
        <v>64</v>
      </c>
      <c r="E223" s="2" t="s">
        <v>65</v>
      </c>
      <c r="F223" s="2" t="s">
        <v>20</v>
      </c>
      <c r="G223" s="2" t="s">
        <v>234</v>
      </c>
      <c r="H223" s="2"/>
      <c r="I223" s="2"/>
    </row>
    <row r="224" spans="1:9" x14ac:dyDescent="0.35">
      <c r="A224" s="2" t="s">
        <v>180</v>
      </c>
      <c r="B224" s="2" t="s">
        <v>12</v>
      </c>
      <c r="C224" s="2" t="s">
        <v>235</v>
      </c>
      <c r="D224" s="2" t="s">
        <v>14</v>
      </c>
      <c r="E224" s="2" t="s">
        <v>15</v>
      </c>
      <c r="F224" s="2"/>
      <c r="G224" s="2"/>
      <c r="H224" s="2"/>
      <c r="I224" s="2"/>
    </row>
    <row r="225" spans="1:9" x14ac:dyDescent="0.35">
      <c r="A225" s="2" t="s">
        <v>180</v>
      </c>
      <c r="B225" s="2" t="s">
        <v>12</v>
      </c>
      <c r="C225" s="2" t="s">
        <v>235</v>
      </c>
      <c r="D225" s="2" t="s">
        <v>18</v>
      </c>
      <c r="E225" s="2" t="s">
        <v>19</v>
      </c>
      <c r="F225" s="2"/>
      <c r="G225" s="2"/>
      <c r="H225" s="2"/>
      <c r="I225" s="2"/>
    </row>
    <row r="226" spans="1:9" x14ac:dyDescent="0.35">
      <c r="A226" s="2" t="s">
        <v>180</v>
      </c>
      <c r="B226" s="2" t="s">
        <v>12</v>
      </c>
      <c r="C226" s="2" t="s">
        <v>235</v>
      </c>
      <c r="D226" s="2" t="s">
        <v>89</v>
      </c>
      <c r="E226" s="2" t="s">
        <v>45</v>
      </c>
      <c r="F226" s="2" t="s">
        <v>20</v>
      </c>
      <c r="G226" s="2" t="s">
        <v>236</v>
      </c>
      <c r="H226" s="2"/>
      <c r="I226" s="2"/>
    </row>
    <row r="227" spans="1:9" x14ac:dyDescent="0.35">
      <c r="A227" s="2" t="s">
        <v>180</v>
      </c>
      <c r="B227" s="2" t="s">
        <v>181</v>
      </c>
      <c r="C227" s="2" t="s">
        <v>237</v>
      </c>
      <c r="D227" s="2" t="s">
        <v>196</v>
      </c>
      <c r="E227" s="2" t="s">
        <v>197</v>
      </c>
      <c r="F227" s="2"/>
      <c r="G227" s="2"/>
      <c r="H227" s="2"/>
      <c r="I227" s="2"/>
    </row>
    <row r="228" spans="1:9" x14ac:dyDescent="0.35">
      <c r="A228" s="2" t="s">
        <v>180</v>
      </c>
      <c r="B228" s="2" t="s">
        <v>181</v>
      </c>
      <c r="C228" s="2" t="s">
        <v>237</v>
      </c>
      <c r="D228" s="2" t="s">
        <v>31</v>
      </c>
      <c r="E228" s="2" t="s">
        <v>32</v>
      </c>
      <c r="F228" s="2"/>
      <c r="G228" s="2"/>
      <c r="H228" s="2"/>
      <c r="I228" s="2"/>
    </row>
    <row r="229" spans="1:9" x14ac:dyDescent="0.35">
      <c r="A229" s="2" t="s">
        <v>180</v>
      </c>
      <c r="B229" s="2" t="s">
        <v>181</v>
      </c>
      <c r="C229" s="2" t="s">
        <v>237</v>
      </c>
      <c r="D229" s="2" t="s">
        <v>200</v>
      </c>
      <c r="E229" s="2" t="s">
        <v>201</v>
      </c>
      <c r="F229" s="2"/>
      <c r="G229" s="2"/>
      <c r="H229" s="2"/>
      <c r="I229" s="2"/>
    </row>
    <row r="230" spans="1:9" x14ac:dyDescent="0.35">
      <c r="A230" s="2" t="s">
        <v>180</v>
      </c>
      <c r="B230" s="2" t="s">
        <v>181</v>
      </c>
      <c r="C230" s="2" t="s">
        <v>237</v>
      </c>
      <c r="D230" s="2" t="s">
        <v>168</v>
      </c>
      <c r="E230" s="2" t="s">
        <v>45</v>
      </c>
      <c r="F230" s="2" t="s">
        <v>16</v>
      </c>
      <c r="G230" s="2" t="s">
        <v>238</v>
      </c>
      <c r="H230" s="2"/>
      <c r="I230" s="2"/>
    </row>
    <row r="231" spans="1:9" x14ac:dyDescent="0.35">
      <c r="A231" s="2" t="s">
        <v>180</v>
      </c>
      <c r="B231" s="2" t="s">
        <v>181</v>
      </c>
      <c r="C231" s="2" t="s">
        <v>237</v>
      </c>
      <c r="D231" s="2" t="s">
        <v>51</v>
      </c>
      <c r="E231" s="2" t="s">
        <v>52</v>
      </c>
      <c r="F231" s="2"/>
      <c r="G231" s="2"/>
      <c r="H231" s="2"/>
      <c r="I231" s="2"/>
    </row>
    <row r="232" spans="1:9" x14ac:dyDescent="0.35">
      <c r="A232" s="2" t="s">
        <v>180</v>
      </c>
      <c r="B232" s="2" t="s">
        <v>181</v>
      </c>
      <c r="C232" s="2" t="s">
        <v>237</v>
      </c>
      <c r="D232" s="2" t="s">
        <v>18</v>
      </c>
      <c r="E232" s="2" t="s">
        <v>19</v>
      </c>
      <c r="F232" s="2" t="s">
        <v>16</v>
      </c>
      <c r="G232" s="2" t="s">
        <v>239</v>
      </c>
      <c r="H232" s="2"/>
      <c r="I232" s="2"/>
    </row>
    <row r="233" spans="1:9" x14ac:dyDescent="0.35">
      <c r="A233" s="2" t="s">
        <v>180</v>
      </c>
      <c r="B233" s="2" t="s">
        <v>181</v>
      </c>
      <c r="C233" s="2" t="s">
        <v>237</v>
      </c>
      <c r="D233" s="2" t="s">
        <v>100</v>
      </c>
      <c r="E233" s="2" t="s">
        <v>101</v>
      </c>
      <c r="F233" s="2"/>
      <c r="G233" s="2"/>
      <c r="H233" s="2"/>
      <c r="I233" s="2"/>
    </row>
    <row r="234" spans="1:9" x14ac:dyDescent="0.35">
      <c r="A234" s="2" t="s">
        <v>180</v>
      </c>
      <c r="B234" s="2" t="s">
        <v>181</v>
      </c>
      <c r="C234" s="2" t="s">
        <v>237</v>
      </c>
      <c r="D234" s="2" t="s">
        <v>188</v>
      </c>
      <c r="E234" s="2" t="s">
        <v>189</v>
      </c>
      <c r="F234" s="2" t="s">
        <v>16</v>
      </c>
      <c r="G234" s="2" t="s">
        <v>240</v>
      </c>
      <c r="H234" s="2"/>
      <c r="I234" s="2"/>
    </row>
    <row r="235" spans="1:9" x14ac:dyDescent="0.35">
      <c r="A235" s="2" t="s">
        <v>180</v>
      </c>
      <c r="B235" s="2" t="s">
        <v>181</v>
      </c>
      <c r="C235" s="2" t="s">
        <v>237</v>
      </c>
      <c r="D235" s="2" t="s">
        <v>61</v>
      </c>
      <c r="E235" s="2" t="s">
        <v>30</v>
      </c>
      <c r="F235" s="2"/>
      <c r="G235" s="2"/>
      <c r="H235" s="2"/>
      <c r="I235" s="2"/>
    </row>
    <row r="236" spans="1:9" x14ac:dyDescent="0.35">
      <c r="A236" s="2" t="s">
        <v>180</v>
      </c>
      <c r="B236" s="2" t="s">
        <v>181</v>
      </c>
      <c r="C236" s="2" t="s">
        <v>237</v>
      </c>
      <c r="D236" s="2" t="s">
        <v>149</v>
      </c>
      <c r="E236" s="2" t="s">
        <v>150</v>
      </c>
      <c r="F236" s="2" t="s">
        <v>16</v>
      </c>
      <c r="G236" s="2" t="s">
        <v>241</v>
      </c>
      <c r="H236" s="2"/>
      <c r="I236" s="2"/>
    </row>
    <row r="237" spans="1:9" x14ac:dyDescent="0.35">
      <c r="A237" s="2" t="s">
        <v>180</v>
      </c>
      <c r="B237" s="2" t="s">
        <v>181</v>
      </c>
      <c r="C237" s="2" t="s">
        <v>237</v>
      </c>
      <c r="D237" s="2" t="s">
        <v>207</v>
      </c>
      <c r="E237" s="2" t="s">
        <v>122</v>
      </c>
      <c r="F237" s="2"/>
      <c r="G237" s="2"/>
      <c r="H237" s="2"/>
      <c r="I237" s="2"/>
    </row>
    <row r="238" spans="1:9" x14ac:dyDescent="0.35">
      <c r="A238" s="2" t="s">
        <v>180</v>
      </c>
      <c r="B238" s="2" t="s">
        <v>181</v>
      </c>
      <c r="C238" s="2" t="s">
        <v>237</v>
      </c>
      <c r="D238" s="2" t="s">
        <v>208</v>
      </c>
      <c r="E238" s="2" t="s">
        <v>65</v>
      </c>
      <c r="F238" s="2"/>
      <c r="G238" s="2"/>
      <c r="H238" s="2"/>
      <c r="I238" s="2"/>
    </row>
    <row r="239" spans="1:9" x14ac:dyDescent="0.35">
      <c r="A239" s="2" t="s">
        <v>180</v>
      </c>
      <c r="B239" s="2" t="s">
        <v>12</v>
      </c>
      <c r="C239" s="2" t="s">
        <v>242</v>
      </c>
      <c r="D239" s="2" t="s">
        <v>168</v>
      </c>
      <c r="E239" s="2" t="s">
        <v>45</v>
      </c>
      <c r="F239" s="2" t="s">
        <v>46</v>
      </c>
      <c r="G239" s="2" t="s">
        <v>243</v>
      </c>
      <c r="H239" s="2"/>
      <c r="I239" s="2"/>
    </row>
    <row r="240" spans="1:9" x14ac:dyDescent="0.35">
      <c r="A240" s="2" t="s">
        <v>180</v>
      </c>
      <c r="B240" s="2" t="s">
        <v>12</v>
      </c>
      <c r="C240" s="2" t="s">
        <v>242</v>
      </c>
      <c r="D240" s="2" t="s">
        <v>18</v>
      </c>
      <c r="E240" s="2" t="s">
        <v>19</v>
      </c>
      <c r="F240" s="2"/>
      <c r="G240" s="2"/>
      <c r="H240" s="2"/>
      <c r="I240" s="2"/>
    </row>
    <row r="241" spans="1:9" x14ac:dyDescent="0.35">
      <c r="A241" s="2" t="s">
        <v>180</v>
      </c>
      <c r="B241" s="2" t="s">
        <v>12</v>
      </c>
      <c r="C241" s="2" t="s">
        <v>242</v>
      </c>
      <c r="D241" s="2" t="s">
        <v>188</v>
      </c>
      <c r="E241" s="2" t="s">
        <v>189</v>
      </c>
      <c r="F241" s="2" t="s">
        <v>46</v>
      </c>
      <c r="G241" s="2" t="s">
        <v>243</v>
      </c>
      <c r="H241" s="2"/>
      <c r="I241" s="2"/>
    </row>
    <row r="242" spans="1:9" x14ac:dyDescent="0.35">
      <c r="A242" s="2" t="s">
        <v>180</v>
      </c>
      <c r="B242" s="2" t="s">
        <v>12</v>
      </c>
      <c r="C242" s="2" t="s">
        <v>242</v>
      </c>
      <c r="D242" s="2" t="s">
        <v>244</v>
      </c>
      <c r="E242" s="2" t="s">
        <v>65</v>
      </c>
      <c r="F242" s="2" t="s">
        <v>46</v>
      </c>
      <c r="G242" s="2" t="s">
        <v>243</v>
      </c>
      <c r="H242" s="2"/>
      <c r="I242" s="2"/>
    </row>
    <row r="243" spans="1:9" x14ac:dyDescent="0.35">
      <c r="A243" s="2" t="s">
        <v>180</v>
      </c>
      <c r="B243" s="2" t="s">
        <v>181</v>
      </c>
      <c r="C243" s="2" t="s">
        <v>245</v>
      </c>
      <c r="D243" s="2" t="s">
        <v>246</v>
      </c>
      <c r="E243" s="2" t="s">
        <v>107</v>
      </c>
      <c r="F243" s="2" t="s">
        <v>20</v>
      </c>
      <c r="G243" s="2" t="s">
        <v>247</v>
      </c>
      <c r="H243" s="2"/>
      <c r="I243" s="2"/>
    </row>
    <row r="244" spans="1:9" x14ac:dyDescent="0.35">
      <c r="A244" s="2" t="s">
        <v>180</v>
      </c>
      <c r="B244" s="2" t="s">
        <v>181</v>
      </c>
      <c r="C244" s="2" t="s">
        <v>245</v>
      </c>
      <c r="D244" s="2" t="s">
        <v>91</v>
      </c>
      <c r="E244" s="2" t="s">
        <v>19</v>
      </c>
      <c r="F244" s="2" t="s">
        <v>20</v>
      </c>
      <c r="G244" s="2" t="s">
        <v>248</v>
      </c>
      <c r="H244" s="2"/>
      <c r="I244" s="2"/>
    </row>
    <row r="245" spans="1:9" x14ac:dyDescent="0.35">
      <c r="A245" s="2" t="s">
        <v>180</v>
      </c>
      <c r="B245" s="2" t="s">
        <v>181</v>
      </c>
      <c r="C245" s="2" t="s">
        <v>245</v>
      </c>
      <c r="D245" s="2" t="s">
        <v>51</v>
      </c>
      <c r="E245" s="2" t="s">
        <v>52</v>
      </c>
      <c r="F245" s="2" t="s">
        <v>20</v>
      </c>
      <c r="G245" s="2" t="s">
        <v>249</v>
      </c>
      <c r="H245" s="2"/>
      <c r="I245" s="2"/>
    </row>
    <row r="246" spans="1:9" x14ac:dyDescent="0.35">
      <c r="A246" s="2" t="s">
        <v>180</v>
      </c>
      <c r="B246" s="2" t="s">
        <v>181</v>
      </c>
      <c r="C246" s="2" t="s">
        <v>245</v>
      </c>
      <c r="D246" s="2" t="s">
        <v>188</v>
      </c>
      <c r="E246" s="2" t="s">
        <v>189</v>
      </c>
      <c r="F246" s="2" t="s">
        <v>20</v>
      </c>
      <c r="G246" s="2" t="s">
        <v>250</v>
      </c>
      <c r="H246" s="2"/>
      <c r="I246" s="2"/>
    </row>
    <row r="247" spans="1:9" x14ac:dyDescent="0.35">
      <c r="A247" s="2" t="s">
        <v>180</v>
      </c>
      <c r="B247" s="2" t="s">
        <v>12</v>
      </c>
      <c r="C247" s="2" t="s">
        <v>251</v>
      </c>
      <c r="D247" s="2" t="s">
        <v>120</v>
      </c>
      <c r="E247" s="2" t="s">
        <v>32</v>
      </c>
      <c r="F247" s="2"/>
      <c r="G247" s="2"/>
      <c r="H247" s="2"/>
      <c r="I247" s="2"/>
    </row>
    <row r="248" spans="1:9" x14ac:dyDescent="0.35">
      <c r="A248" s="2" t="s">
        <v>180</v>
      </c>
      <c r="B248" s="2" t="s">
        <v>12</v>
      </c>
      <c r="C248" s="2" t="s">
        <v>251</v>
      </c>
      <c r="D248" s="2" t="s">
        <v>38</v>
      </c>
      <c r="E248" s="2" t="s">
        <v>38</v>
      </c>
      <c r="F248" s="2"/>
      <c r="G248" s="2"/>
      <c r="H248" s="2"/>
      <c r="I248" s="2"/>
    </row>
    <row r="249" spans="1:9" x14ac:dyDescent="0.35">
      <c r="A249" s="2" t="s">
        <v>180</v>
      </c>
      <c r="B249" s="2" t="s">
        <v>12</v>
      </c>
      <c r="C249" s="2" t="s">
        <v>251</v>
      </c>
      <c r="D249" s="2" t="s">
        <v>168</v>
      </c>
      <c r="E249" s="2" t="s">
        <v>45</v>
      </c>
      <c r="F249" s="2"/>
      <c r="G249" s="2"/>
      <c r="H249" s="2"/>
      <c r="I249" s="2"/>
    </row>
    <row r="250" spans="1:9" x14ac:dyDescent="0.35">
      <c r="A250" s="2" t="s">
        <v>180</v>
      </c>
      <c r="B250" s="2" t="s">
        <v>12</v>
      </c>
      <c r="C250" s="2" t="s">
        <v>251</v>
      </c>
      <c r="D250" s="2" t="s">
        <v>39</v>
      </c>
      <c r="E250" s="2" t="s">
        <v>40</v>
      </c>
      <c r="F250" s="2"/>
      <c r="G250" s="2"/>
      <c r="H250" s="2"/>
      <c r="I250" s="2"/>
    </row>
    <row r="251" spans="1:9" x14ac:dyDescent="0.35">
      <c r="A251" s="2" t="s">
        <v>180</v>
      </c>
      <c r="B251" s="2" t="s">
        <v>12</v>
      </c>
      <c r="C251" s="2" t="s">
        <v>251</v>
      </c>
      <c r="D251" s="2" t="s">
        <v>18</v>
      </c>
      <c r="E251" s="2" t="s">
        <v>19</v>
      </c>
      <c r="F251" s="2"/>
      <c r="G251" s="2"/>
      <c r="H251" s="2"/>
      <c r="I251" s="2"/>
    </row>
    <row r="252" spans="1:9" x14ac:dyDescent="0.35">
      <c r="A252" s="2" t="s">
        <v>180</v>
      </c>
      <c r="B252" s="2" t="s">
        <v>12</v>
      </c>
      <c r="C252" s="2" t="s">
        <v>251</v>
      </c>
      <c r="D252" s="2" t="s">
        <v>188</v>
      </c>
      <c r="E252" s="2" t="s">
        <v>189</v>
      </c>
      <c r="F252" s="2"/>
      <c r="G252" s="2"/>
      <c r="H252" s="2"/>
      <c r="I252" s="2"/>
    </row>
    <row r="253" spans="1:9" x14ac:dyDescent="0.35">
      <c r="A253" s="2" t="s">
        <v>180</v>
      </c>
      <c r="B253" s="2" t="s">
        <v>12</v>
      </c>
      <c r="C253" s="2" t="s">
        <v>251</v>
      </c>
      <c r="D253" s="2" t="s">
        <v>116</v>
      </c>
      <c r="E253" s="2" t="s">
        <v>30</v>
      </c>
      <c r="F253" s="2"/>
      <c r="G253" s="2"/>
      <c r="H253" s="2"/>
      <c r="I253" s="2"/>
    </row>
    <row r="254" spans="1:9" x14ac:dyDescent="0.35">
      <c r="A254" s="2" t="s">
        <v>180</v>
      </c>
      <c r="B254" s="2" t="s">
        <v>181</v>
      </c>
      <c r="C254" s="2" t="s">
        <v>252</v>
      </c>
      <c r="D254" s="2" t="s">
        <v>196</v>
      </c>
      <c r="E254" s="2" t="s">
        <v>197</v>
      </c>
      <c r="F254" s="2"/>
      <c r="G254" s="2"/>
      <c r="H254" s="2"/>
      <c r="I254" s="2"/>
    </row>
    <row r="255" spans="1:9" x14ac:dyDescent="0.35">
      <c r="A255" s="2" t="s">
        <v>180</v>
      </c>
      <c r="B255" s="2" t="s">
        <v>181</v>
      </c>
      <c r="C255" s="2" t="s">
        <v>252</v>
      </c>
      <c r="D255" s="2" t="s">
        <v>253</v>
      </c>
      <c r="E255" s="2" t="s">
        <v>32</v>
      </c>
      <c r="F255" s="2"/>
      <c r="G255" s="2"/>
      <c r="H255" s="2"/>
      <c r="I255" s="2"/>
    </row>
    <row r="256" spans="1:9" x14ac:dyDescent="0.35">
      <c r="A256" s="2" t="s">
        <v>180</v>
      </c>
      <c r="B256" s="2" t="s">
        <v>181</v>
      </c>
      <c r="C256" s="2" t="s">
        <v>252</v>
      </c>
      <c r="D256" s="2" t="s">
        <v>31</v>
      </c>
      <c r="E256" s="2" t="s">
        <v>32</v>
      </c>
      <c r="F256" s="2"/>
      <c r="G256" s="2"/>
      <c r="H256" s="2"/>
      <c r="I256" s="2"/>
    </row>
    <row r="257" spans="1:9" x14ac:dyDescent="0.35">
      <c r="A257" s="2" t="s">
        <v>180</v>
      </c>
      <c r="B257" s="2" t="s">
        <v>181</v>
      </c>
      <c r="C257" s="2" t="s">
        <v>252</v>
      </c>
      <c r="D257" s="2" t="s">
        <v>200</v>
      </c>
      <c r="E257" s="2" t="s">
        <v>201</v>
      </c>
      <c r="F257" s="2"/>
      <c r="G257" s="2"/>
      <c r="H257" s="2"/>
      <c r="I257" s="2"/>
    </row>
    <row r="258" spans="1:9" x14ac:dyDescent="0.35">
      <c r="A258" s="2" t="s">
        <v>180</v>
      </c>
      <c r="B258" s="2" t="s">
        <v>181</v>
      </c>
      <c r="C258" s="2" t="s">
        <v>252</v>
      </c>
      <c r="D258" s="2" t="s">
        <v>98</v>
      </c>
      <c r="E258" s="2" t="s">
        <v>98</v>
      </c>
      <c r="F258" s="2"/>
      <c r="G258" s="2"/>
      <c r="H258" s="2"/>
      <c r="I258" s="2"/>
    </row>
    <row r="259" spans="1:9" x14ac:dyDescent="0.35">
      <c r="A259" s="2" t="s">
        <v>180</v>
      </c>
      <c r="B259" s="2" t="s">
        <v>181</v>
      </c>
      <c r="C259" s="2" t="s">
        <v>252</v>
      </c>
      <c r="D259" s="2" t="s">
        <v>211</v>
      </c>
      <c r="E259" s="2" t="s">
        <v>203</v>
      </c>
      <c r="F259" s="2"/>
      <c r="G259" s="2"/>
      <c r="H259" s="2"/>
      <c r="I259" s="2"/>
    </row>
    <row r="260" spans="1:9" x14ac:dyDescent="0.35">
      <c r="A260" s="2" t="s">
        <v>180</v>
      </c>
      <c r="B260" s="2" t="s">
        <v>181</v>
      </c>
      <c r="C260" s="2" t="s">
        <v>252</v>
      </c>
      <c r="D260" s="2" t="s">
        <v>213</v>
      </c>
      <c r="E260" s="2" t="s">
        <v>45</v>
      </c>
      <c r="F260" s="2"/>
      <c r="G260" s="2"/>
      <c r="H260" s="2"/>
      <c r="I260" s="2"/>
    </row>
    <row r="261" spans="1:9" x14ac:dyDescent="0.35">
      <c r="A261" s="2" t="s">
        <v>180</v>
      </c>
      <c r="B261" s="2" t="s">
        <v>181</v>
      </c>
      <c r="C261" s="2" t="s">
        <v>252</v>
      </c>
      <c r="D261" s="2" t="s">
        <v>156</v>
      </c>
      <c r="E261" s="2" t="s">
        <v>45</v>
      </c>
      <c r="F261" s="2" t="s">
        <v>16</v>
      </c>
      <c r="G261" s="2" t="s">
        <v>254</v>
      </c>
      <c r="H261" s="2"/>
      <c r="I261" s="2"/>
    </row>
    <row r="262" spans="1:9" x14ac:dyDescent="0.35">
      <c r="A262" s="2" t="s">
        <v>180</v>
      </c>
      <c r="B262" s="2" t="s">
        <v>181</v>
      </c>
      <c r="C262" s="2" t="s">
        <v>252</v>
      </c>
      <c r="D262" s="2" t="s">
        <v>51</v>
      </c>
      <c r="E262" s="2" t="s">
        <v>52</v>
      </c>
      <c r="F262" s="2"/>
      <c r="G262" s="2"/>
      <c r="H262" s="2"/>
      <c r="I262" s="2"/>
    </row>
    <row r="263" spans="1:9" x14ac:dyDescent="0.35">
      <c r="A263" s="2" t="s">
        <v>180</v>
      </c>
      <c r="B263" s="2" t="s">
        <v>181</v>
      </c>
      <c r="C263" s="2" t="s">
        <v>252</v>
      </c>
      <c r="D263" s="2" t="s">
        <v>18</v>
      </c>
      <c r="E263" s="2" t="s">
        <v>19</v>
      </c>
      <c r="F263" s="2" t="s">
        <v>16</v>
      </c>
      <c r="G263" s="2" t="s">
        <v>255</v>
      </c>
      <c r="H263" s="2"/>
      <c r="I263" s="2"/>
    </row>
    <row r="264" spans="1:9" x14ac:dyDescent="0.35">
      <c r="A264" s="2" t="s">
        <v>180</v>
      </c>
      <c r="B264" s="2" t="s">
        <v>181</v>
      </c>
      <c r="C264" s="2" t="s">
        <v>252</v>
      </c>
      <c r="D264" s="2" t="s">
        <v>61</v>
      </c>
      <c r="E264" s="2" t="s">
        <v>30</v>
      </c>
      <c r="F264" s="2"/>
      <c r="G264" s="2"/>
      <c r="H264" s="2"/>
      <c r="I264" s="2"/>
    </row>
    <row r="265" spans="1:9" x14ac:dyDescent="0.35">
      <c r="A265" s="2" t="s">
        <v>180</v>
      </c>
      <c r="B265" s="2" t="s">
        <v>181</v>
      </c>
      <c r="C265" s="2" t="s">
        <v>252</v>
      </c>
      <c r="D265" s="2" t="s">
        <v>100</v>
      </c>
      <c r="E265" s="2" t="s">
        <v>101</v>
      </c>
      <c r="F265" s="2"/>
      <c r="G265" s="2"/>
      <c r="H265" s="2"/>
      <c r="I265" s="2"/>
    </row>
    <row r="266" spans="1:9" x14ac:dyDescent="0.35">
      <c r="A266" s="2" t="s">
        <v>180</v>
      </c>
      <c r="B266" s="2" t="s">
        <v>181</v>
      </c>
      <c r="C266" s="2" t="s">
        <v>252</v>
      </c>
      <c r="D266" s="2" t="s">
        <v>188</v>
      </c>
      <c r="E266" s="2" t="s">
        <v>189</v>
      </c>
      <c r="F266" s="2"/>
      <c r="G266" s="2"/>
      <c r="H266" s="2"/>
      <c r="I266" s="2"/>
    </row>
    <row r="267" spans="1:9" x14ac:dyDescent="0.35">
      <c r="A267" s="2" t="s">
        <v>180</v>
      </c>
      <c r="B267" s="2" t="s">
        <v>181</v>
      </c>
      <c r="C267" s="2" t="s">
        <v>252</v>
      </c>
      <c r="D267" s="2" t="s">
        <v>149</v>
      </c>
      <c r="E267" s="2" t="s">
        <v>150</v>
      </c>
      <c r="F267" s="2"/>
      <c r="G267" s="2"/>
      <c r="H267" s="2"/>
      <c r="I267" s="2"/>
    </row>
    <row r="268" spans="1:9" x14ac:dyDescent="0.35">
      <c r="A268" s="2" t="s">
        <v>180</v>
      </c>
      <c r="B268" s="2" t="s">
        <v>181</v>
      </c>
      <c r="C268" s="2" t="s">
        <v>252</v>
      </c>
      <c r="D268" s="2" t="s">
        <v>207</v>
      </c>
      <c r="E268" s="2" t="s">
        <v>122</v>
      </c>
      <c r="F268" s="2"/>
      <c r="G268" s="2"/>
      <c r="H268" s="2"/>
      <c r="I268" s="2"/>
    </row>
    <row r="269" spans="1:9" x14ac:dyDescent="0.35">
      <c r="A269" s="2" t="s">
        <v>180</v>
      </c>
      <c r="B269" s="2" t="s">
        <v>181</v>
      </c>
      <c r="C269" s="2" t="s">
        <v>252</v>
      </c>
      <c r="D269" s="2" t="s">
        <v>193</v>
      </c>
      <c r="E269" s="2" t="s">
        <v>40</v>
      </c>
      <c r="F269" s="2"/>
      <c r="G269" s="2"/>
      <c r="H269" s="2"/>
      <c r="I269" s="2"/>
    </row>
    <row r="270" spans="1:9" x14ac:dyDescent="0.35">
      <c r="A270" s="2" t="s">
        <v>180</v>
      </c>
      <c r="B270" s="2" t="s">
        <v>181</v>
      </c>
      <c r="C270" s="2" t="s">
        <v>252</v>
      </c>
      <c r="D270" s="2" t="s">
        <v>208</v>
      </c>
      <c r="E270" s="2" t="s">
        <v>65</v>
      </c>
      <c r="F270" s="2"/>
      <c r="G270" s="2"/>
      <c r="H270" s="2"/>
      <c r="I270" s="2"/>
    </row>
    <row r="271" spans="1:9" x14ac:dyDescent="0.35">
      <c r="A271" s="2" t="s">
        <v>180</v>
      </c>
      <c r="B271" s="2" t="s">
        <v>181</v>
      </c>
      <c r="C271" s="2" t="s">
        <v>252</v>
      </c>
      <c r="D271" s="2" t="s">
        <v>44</v>
      </c>
      <c r="E271" s="2" t="s">
        <v>45</v>
      </c>
      <c r="F271" s="2"/>
      <c r="G271" s="2"/>
      <c r="H271" s="2"/>
      <c r="I271" s="2"/>
    </row>
    <row r="272" spans="1:9" x14ac:dyDescent="0.35">
      <c r="A272" s="2" t="s">
        <v>180</v>
      </c>
      <c r="B272" s="2" t="s">
        <v>181</v>
      </c>
      <c r="C272" s="2" t="s">
        <v>256</v>
      </c>
      <c r="D272" s="2" t="s">
        <v>82</v>
      </c>
      <c r="E272" s="2" t="s">
        <v>83</v>
      </c>
      <c r="F272" s="2"/>
      <c r="G272" s="2"/>
      <c r="H272" s="2"/>
      <c r="I272" s="2"/>
    </row>
    <row r="273" spans="1:9" x14ac:dyDescent="0.35">
      <c r="A273" s="2" t="s">
        <v>180</v>
      </c>
      <c r="B273" s="2" t="s">
        <v>181</v>
      </c>
      <c r="C273" s="2" t="s">
        <v>256</v>
      </c>
      <c r="D273" s="2" t="s">
        <v>156</v>
      </c>
      <c r="E273" s="2" t="s">
        <v>45</v>
      </c>
      <c r="F273" s="2"/>
      <c r="G273" s="2"/>
      <c r="H273" s="2"/>
      <c r="I273" s="2"/>
    </row>
    <row r="274" spans="1:9" x14ac:dyDescent="0.35">
      <c r="A274" s="2" t="s">
        <v>180</v>
      </c>
      <c r="B274" s="2" t="s">
        <v>181</v>
      </c>
      <c r="C274" s="2" t="s">
        <v>256</v>
      </c>
      <c r="D274" s="2" t="s">
        <v>257</v>
      </c>
      <c r="E274" s="2" t="s">
        <v>45</v>
      </c>
      <c r="F274" s="2"/>
      <c r="G274" s="2"/>
      <c r="H274" s="2"/>
      <c r="I274" s="2"/>
    </row>
    <row r="275" spans="1:9" x14ac:dyDescent="0.35">
      <c r="A275" s="2" t="s">
        <v>180</v>
      </c>
      <c r="B275" s="2" t="s">
        <v>181</v>
      </c>
      <c r="C275" s="2" t="s">
        <v>256</v>
      </c>
      <c r="D275" s="2" t="s">
        <v>258</v>
      </c>
      <c r="E275" s="2" t="s">
        <v>259</v>
      </c>
      <c r="F275" s="2"/>
      <c r="G275" s="2"/>
      <c r="H275" s="2"/>
      <c r="I275" s="2"/>
    </row>
    <row r="276" spans="1:9" x14ac:dyDescent="0.35">
      <c r="A276" s="2" t="s">
        <v>180</v>
      </c>
      <c r="B276" s="2" t="s">
        <v>181</v>
      </c>
      <c r="C276" s="2" t="s">
        <v>256</v>
      </c>
      <c r="D276" s="2" t="s">
        <v>18</v>
      </c>
      <c r="E276" s="2" t="s">
        <v>19</v>
      </c>
      <c r="F276" s="2" t="s">
        <v>16</v>
      </c>
      <c r="G276" s="2" t="s">
        <v>260</v>
      </c>
      <c r="H276" s="2"/>
      <c r="I276" s="2"/>
    </row>
    <row r="277" spans="1:9" x14ac:dyDescent="0.35">
      <c r="A277" s="2" t="s">
        <v>180</v>
      </c>
      <c r="B277" s="2" t="s">
        <v>181</v>
      </c>
      <c r="C277" s="2" t="s">
        <v>256</v>
      </c>
      <c r="D277" s="2" t="s">
        <v>85</v>
      </c>
      <c r="E277" s="2" t="s">
        <v>85</v>
      </c>
      <c r="F277" s="2"/>
      <c r="G277" s="2"/>
      <c r="H277" s="2"/>
      <c r="I277" s="2"/>
    </row>
    <row r="278" spans="1:9" x14ac:dyDescent="0.35">
      <c r="A278" s="2" t="s">
        <v>180</v>
      </c>
      <c r="B278" s="2" t="s">
        <v>181</v>
      </c>
      <c r="C278" s="2" t="s">
        <v>256</v>
      </c>
      <c r="D278" s="2" t="s">
        <v>100</v>
      </c>
      <c r="E278" s="2" t="s">
        <v>101</v>
      </c>
      <c r="F278" s="2"/>
      <c r="G278" s="2"/>
      <c r="H278" s="2"/>
      <c r="I278" s="2"/>
    </row>
    <row r="279" spans="1:9" x14ac:dyDescent="0.35">
      <c r="A279" s="2" t="s">
        <v>180</v>
      </c>
      <c r="B279" s="2" t="s">
        <v>181</v>
      </c>
      <c r="C279" s="2" t="s">
        <v>256</v>
      </c>
      <c r="D279" s="2" t="s">
        <v>188</v>
      </c>
      <c r="E279" s="2" t="s">
        <v>189</v>
      </c>
      <c r="F279" s="2"/>
      <c r="G279" s="2"/>
      <c r="H279" s="2"/>
      <c r="I279" s="2"/>
    </row>
    <row r="280" spans="1:9" x14ac:dyDescent="0.35">
      <c r="A280" s="2" t="s">
        <v>180</v>
      </c>
      <c r="B280" s="2" t="s">
        <v>181</v>
      </c>
      <c r="C280" s="2" t="s">
        <v>256</v>
      </c>
      <c r="D280" s="2" t="s">
        <v>193</v>
      </c>
      <c r="E280" s="2" t="s">
        <v>40</v>
      </c>
      <c r="F280" s="2" t="s">
        <v>16</v>
      </c>
      <c r="G280" s="2" t="s">
        <v>261</v>
      </c>
      <c r="H280" s="2"/>
      <c r="I280" s="2"/>
    </row>
    <row r="281" spans="1:9" x14ac:dyDescent="0.35">
      <c r="A281" s="2" t="s">
        <v>180</v>
      </c>
      <c r="B281" s="2" t="s">
        <v>12</v>
      </c>
      <c r="C281" s="2" t="s">
        <v>262</v>
      </c>
      <c r="D281" s="2" t="s">
        <v>64</v>
      </c>
      <c r="E281" s="2" t="s">
        <v>65</v>
      </c>
      <c r="F281" s="2"/>
      <c r="G281" s="2"/>
      <c r="H281" s="2"/>
      <c r="I281" s="2"/>
    </row>
    <row r="282" spans="1:9" x14ac:dyDescent="0.35">
      <c r="A282" s="2" t="s">
        <v>180</v>
      </c>
      <c r="B282" s="2" t="s">
        <v>12</v>
      </c>
      <c r="C282" s="2" t="s">
        <v>262</v>
      </c>
      <c r="D282" s="2" t="s">
        <v>18</v>
      </c>
      <c r="E282" s="2" t="s">
        <v>19</v>
      </c>
      <c r="F282" s="2" t="s">
        <v>16</v>
      </c>
      <c r="G282" s="2" t="s">
        <v>263</v>
      </c>
      <c r="H282" s="2"/>
      <c r="I282" s="2"/>
    </row>
    <row r="283" spans="1:9" x14ac:dyDescent="0.35">
      <c r="A283" s="2" t="s">
        <v>180</v>
      </c>
      <c r="B283" s="2" t="s">
        <v>12</v>
      </c>
      <c r="C283" s="2" t="s">
        <v>262</v>
      </c>
      <c r="D283" s="2" t="s">
        <v>149</v>
      </c>
      <c r="E283" s="2" t="s">
        <v>150</v>
      </c>
      <c r="F283" s="2"/>
      <c r="G283" s="2"/>
      <c r="H283" s="2"/>
      <c r="I283" s="2"/>
    </row>
    <row r="284" spans="1:9" x14ac:dyDescent="0.35">
      <c r="A284" s="2" t="s">
        <v>180</v>
      </c>
      <c r="B284" s="2" t="s">
        <v>12</v>
      </c>
      <c r="C284" s="2" t="s">
        <v>264</v>
      </c>
      <c r="D284" s="2" t="s">
        <v>14</v>
      </c>
      <c r="E284" s="2" t="s">
        <v>15</v>
      </c>
      <c r="F284" s="2"/>
      <c r="G284" s="2"/>
      <c r="H284" s="2"/>
      <c r="I284" s="2"/>
    </row>
    <row r="285" spans="1:9" x14ac:dyDescent="0.35">
      <c r="A285" s="2" t="s">
        <v>180</v>
      </c>
      <c r="B285" s="2" t="s">
        <v>12</v>
      </c>
      <c r="C285" s="2" t="s">
        <v>264</v>
      </c>
      <c r="D285" s="2" t="s">
        <v>64</v>
      </c>
      <c r="E285" s="2" t="s">
        <v>65</v>
      </c>
      <c r="F285" s="2" t="s">
        <v>16</v>
      </c>
      <c r="G285" s="2" t="s">
        <v>265</v>
      </c>
      <c r="H285" s="2"/>
      <c r="I285" s="2"/>
    </row>
    <row r="286" spans="1:9" x14ac:dyDescent="0.35">
      <c r="A286" s="2" t="s">
        <v>180</v>
      </c>
      <c r="B286" s="2" t="s">
        <v>12</v>
      </c>
      <c r="C286" s="2" t="s">
        <v>264</v>
      </c>
      <c r="D286" s="2" t="s">
        <v>18</v>
      </c>
      <c r="E286" s="2" t="s">
        <v>19</v>
      </c>
      <c r="F286" s="2" t="s">
        <v>16</v>
      </c>
      <c r="G286" s="2" t="s">
        <v>266</v>
      </c>
      <c r="H286" s="2"/>
      <c r="I286" s="2"/>
    </row>
    <row r="287" spans="1:9" x14ac:dyDescent="0.35">
      <c r="A287" s="2" t="s">
        <v>180</v>
      </c>
      <c r="B287" s="2" t="s">
        <v>12</v>
      </c>
      <c r="C287" s="2" t="s">
        <v>264</v>
      </c>
      <c r="D287" s="2" t="s">
        <v>149</v>
      </c>
      <c r="E287" s="2" t="s">
        <v>150</v>
      </c>
      <c r="F287" s="2"/>
      <c r="G287" s="2"/>
      <c r="H287" s="2"/>
      <c r="I287" s="2"/>
    </row>
    <row r="288" spans="1:9" x14ac:dyDescent="0.35">
      <c r="A288" s="2" t="s">
        <v>180</v>
      </c>
      <c r="B288" s="2" t="s">
        <v>181</v>
      </c>
      <c r="C288" s="2" t="s">
        <v>267</v>
      </c>
      <c r="D288" s="2" t="s">
        <v>14</v>
      </c>
      <c r="E288" s="2" t="s">
        <v>15</v>
      </c>
      <c r="F288" s="2"/>
      <c r="G288" s="2"/>
      <c r="H288" s="2"/>
      <c r="I288" s="2"/>
    </row>
    <row r="289" spans="1:9" x14ac:dyDescent="0.35">
      <c r="A289" s="2" t="s">
        <v>180</v>
      </c>
      <c r="B289" s="2" t="s">
        <v>181</v>
      </c>
      <c r="C289" s="2" t="s">
        <v>267</v>
      </c>
      <c r="D289" s="2" t="s">
        <v>121</v>
      </c>
      <c r="E289" s="2" t="s">
        <v>122</v>
      </c>
      <c r="F289" s="2"/>
      <c r="G289" s="2"/>
      <c r="H289" s="2"/>
      <c r="I289" s="2"/>
    </row>
    <row r="290" spans="1:9" x14ac:dyDescent="0.35">
      <c r="A290" s="2" t="s">
        <v>180</v>
      </c>
      <c r="B290" s="2" t="s">
        <v>181</v>
      </c>
      <c r="C290" s="2" t="s">
        <v>267</v>
      </c>
      <c r="D290" s="2" t="s">
        <v>213</v>
      </c>
      <c r="E290" s="2" t="s">
        <v>45</v>
      </c>
      <c r="F290" s="2"/>
      <c r="G290" s="2"/>
      <c r="H290" s="2"/>
      <c r="I290" s="2"/>
    </row>
    <row r="291" spans="1:9" x14ac:dyDescent="0.35">
      <c r="A291" s="2" t="s">
        <v>180</v>
      </c>
      <c r="B291" s="2" t="s">
        <v>62</v>
      </c>
      <c r="C291" s="2" t="s">
        <v>268</v>
      </c>
      <c r="D291" s="2" t="s">
        <v>269</v>
      </c>
      <c r="E291" s="2" t="s">
        <v>270</v>
      </c>
      <c r="F291" s="2" t="s">
        <v>46</v>
      </c>
      <c r="G291" s="2" t="s">
        <v>271</v>
      </c>
      <c r="H291" s="2"/>
      <c r="I291" s="2"/>
    </row>
    <row r="292" spans="1:9" x14ac:dyDescent="0.35">
      <c r="A292" s="2" t="s">
        <v>180</v>
      </c>
      <c r="B292" s="2" t="s">
        <v>62</v>
      </c>
      <c r="C292" s="2" t="s">
        <v>268</v>
      </c>
      <c r="D292" s="2" t="s">
        <v>91</v>
      </c>
      <c r="E292" s="2" t="s">
        <v>19</v>
      </c>
      <c r="F292" s="2" t="s">
        <v>46</v>
      </c>
      <c r="G292" s="2" t="s">
        <v>271</v>
      </c>
      <c r="H292" s="2"/>
      <c r="I292" s="2"/>
    </row>
    <row r="293" spans="1:9" x14ac:dyDescent="0.35">
      <c r="A293" s="2" t="s">
        <v>180</v>
      </c>
      <c r="B293" s="2" t="s">
        <v>62</v>
      </c>
      <c r="C293" s="2" t="s">
        <v>268</v>
      </c>
      <c r="D293" s="2" t="s">
        <v>127</v>
      </c>
      <c r="E293" s="2" t="s">
        <v>107</v>
      </c>
      <c r="F293" s="2" t="s">
        <v>46</v>
      </c>
      <c r="G293" s="2" t="s">
        <v>271</v>
      </c>
      <c r="H293" s="2"/>
      <c r="I293" s="2"/>
    </row>
    <row r="294" spans="1:9" x14ac:dyDescent="0.35">
      <c r="A294" s="2" t="s">
        <v>272</v>
      </c>
      <c r="B294" s="2" t="s">
        <v>24</v>
      </c>
      <c r="C294" s="2" t="s">
        <v>273</v>
      </c>
      <c r="D294" s="2" t="s">
        <v>18</v>
      </c>
      <c r="E294" s="2" t="s">
        <v>19</v>
      </c>
      <c r="F294" s="2" t="s">
        <v>16</v>
      </c>
      <c r="G294" s="2" t="s">
        <v>274</v>
      </c>
      <c r="H294" s="2" t="s">
        <v>16</v>
      </c>
      <c r="I294" s="2" t="s">
        <v>275</v>
      </c>
    </row>
    <row r="295" spans="1:9" x14ac:dyDescent="0.35">
      <c r="A295" s="2" t="s">
        <v>272</v>
      </c>
      <c r="B295" s="2" t="s">
        <v>24</v>
      </c>
      <c r="C295" s="2" t="s">
        <v>273</v>
      </c>
      <c r="D295" s="2" t="s">
        <v>100</v>
      </c>
      <c r="E295" s="2" t="s">
        <v>101</v>
      </c>
      <c r="F295" s="2"/>
      <c r="G295" s="2"/>
      <c r="H295" s="2"/>
      <c r="I295" s="2"/>
    </row>
    <row r="296" spans="1:9" x14ac:dyDescent="0.35">
      <c r="A296" s="2" t="s">
        <v>272</v>
      </c>
      <c r="B296" s="2" t="s">
        <v>24</v>
      </c>
      <c r="C296" s="2" t="s">
        <v>273</v>
      </c>
      <c r="D296" s="2" t="s">
        <v>276</v>
      </c>
      <c r="E296" s="2" t="s">
        <v>277</v>
      </c>
      <c r="F296" s="2"/>
      <c r="G296" s="2"/>
      <c r="H296" s="2" t="s">
        <v>16</v>
      </c>
      <c r="I296" s="2" t="s">
        <v>275</v>
      </c>
    </row>
    <row r="297" spans="1:9" x14ac:dyDescent="0.35">
      <c r="A297" s="2" t="s">
        <v>272</v>
      </c>
      <c r="B297" s="2" t="s">
        <v>24</v>
      </c>
      <c r="C297" s="2" t="s">
        <v>273</v>
      </c>
      <c r="D297" s="2" t="s">
        <v>278</v>
      </c>
      <c r="E297" s="2" t="s">
        <v>45</v>
      </c>
      <c r="F297" s="2"/>
      <c r="G297" s="2"/>
      <c r="H297" s="2" t="s">
        <v>16</v>
      </c>
      <c r="I297" s="2" t="s">
        <v>275</v>
      </c>
    </row>
    <row r="298" spans="1:9" x14ac:dyDescent="0.35">
      <c r="A298" s="2" t="s">
        <v>272</v>
      </c>
      <c r="B298" s="2" t="s">
        <v>62</v>
      </c>
      <c r="C298" s="2" t="s">
        <v>279</v>
      </c>
      <c r="D298" s="2" t="s">
        <v>106</v>
      </c>
      <c r="E298" s="2" t="s">
        <v>107</v>
      </c>
      <c r="F298" s="2"/>
      <c r="G298" s="2"/>
      <c r="H298" s="2"/>
      <c r="I298" s="2"/>
    </row>
    <row r="299" spans="1:9" x14ac:dyDescent="0.35">
      <c r="A299" s="2" t="s">
        <v>280</v>
      </c>
      <c r="B299" s="2" t="s">
        <v>12</v>
      </c>
      <c r="C299" s="2" t="s">
        <v>281</v>
      </c>
      <c r="D299" s="2" t="s">
        <v>172</v>
      </c>
      <c r="E299" s="2" t="s">
        <v>65</v>
      </c>
      <c r="F299" s="2" t="s">
        <v>20</v>
      </c>
      <c r="G299" s="2" t="s">
        <v>282</v>
      </c>
      <c r="H299" s="2" t="s">
        <v>16</v>
      </c>
      <c r="I299" s="2" t="s">
        <v>95</v>
      </c>
    </row>
    <row r="300" spans="1:9" x14ac:dyDescent="0.35">
      <c r="A300" s="2" t="s">
        <v>280</v>
      </c>
      <c r="B300" s="2" t="s">
        <v>12</v>
      </c>
      <c r="C300" s="2" t="s">
        <v>281</v>
      </c>
      <c r="D300" s="2" t="s">
        <v>89</v>
      </c>
      <c r="E300" s="2" t="s">
        <v>45</v>
      </c>
      <c r="F300" s="2" t="s">
        <v>20</v>
      </c>
      <c r="G300" s="2" t="s">
        <v>283</v>
      </c>
      <c r="H300" s="2" t="s">
        <v>16</v>
      </c>
      <c r="I300" s="2" t="s">
        <v>81</v>
      </c>
    </row>
    <row r="301" spans="1:9" x14ac:dyDescent="0.35">
      <c r="A301" s="2" t="s">
        <v>280</v>
      </c>
      <c r="B301" s="2" t="s">
        <v>12</v>
      </c>
      <c r="C301" s="2" t="s">
        <v>284</v>
      </c>
      <c r="D301" s="2" t="s">
        <v>38</v>
      </c>
      <c r="E301" s="2" t="s">
        <v>38</v>
      </c>
      <c r="F301" s="2" t="s">
        <v>20</v>
      </c>
      <c r="G301" s="2" t="s">
        <v>285</v>
      </c>
      <c r="H301" s="2" t="s">
        <v>16</v>
      </c>
      <c r="I301" s="2" t="s">
        <v>81</v>
      </c>
    </row>
    <row r="302" spans="1:9" x14ac:dyDescent="0.35">
      <c r="A302" s="2" t="s">
        <v>280</v>
      </c>
      <c r="B302" s="2" t="s">
        <v>12</v>
      </c>
      <c r="C302" s="2" t="s">
        <v>284</v>
      </c>
      <c r="D302" s="2" t="s">
        <v>91</v>
      </c>
      <c r="E302" s="2" t="s">
        <v>19</v>
      </c>
      <c r="F302" s="2"/>
      <c r="G302" s="2"/>
      <c r="H302" s="2" t="s">
        <v>16</v>
      </c>
      <c r="I302" s="2" t="s">
        <v>81</v>
      </c>
    </row>
    <row r="303" spans="1:9" x14ac:dyDescent="0.35">
      <c r="A303" s="2" t="s">
        <v>280</v>
      </c>
      <c r="B303" s="2" t="s">
        <v>12</v>
      </c>
      <c r="C303" s="2" t="s">
        <v>284</v>
      </c>
      <c r="D303" s="2" t="s">
        <v>64</v>
      </c>
      <c r="E303" s="2" t="s">
        <v>65</v>
      </c>
      <c r="F303" s="2"/>
      <c r="G303" s="2"/>
      <c r="H303" s="2" t="s">
        <v>16</v>
      </c>
      <c r="I303" s="2" t="s">
        <v>81</v>
      </c>
    </row>
    <row r="304" spans="1:9" x14ac:dyDescent="0.35">
      <c r="A304" s="2" t="s">
        <v>280</v>
      </c>
      <c r="B304" s="2" t="s">
        <v>62</v>
      </c>
      <c r="C304" s="2" t="s">
        <v>286</v>
      </c>
      <c r="D304" s="2" t="s">
        <v>106</v>
      </c>
      <c r="E304" s="2" t="s">
        <v>107</v>
      </c>
      <c r="F304" s="2"/>
      <c r="G304" s="2"/>
      <c r="H304" s="2"/>
      <c r="I304" s="2"/>
    </row>
    <row r="305" spans="1:9" x14ac:dyDescent="0.35">
      <c r="A305" s="2" t="s">
        <v>280</v>
      </c>
      <c r="B305" s="2" t="s">
        <v>24</v>
      </c>
      <c r="C305" s="2" t="s">
        <v>287</v>
      </c>
      <c r="D305" s="2" t="s">
        <v>18</v>
      </c>
      <c r="E305" s="2" t="s">
        <v>19</v>
      </c>
      <c r="F305" s="2" t="s">
        <v>46</v>
      </c>
      <c r="G305" s="2" t="s">
        <v>288</v>
      </c>
      <c r="H305" s="2"/>
      <c r="I305" s="2"/>
    </row>
    <row r="306" spans="1:9" x14ac:dyDescent="0.35">
      <c r="A306" s="2" t="s">
        <v>280</v>
      </c>
      <c r="B306" s="2" t="s">
        <v>24</v>
      </c>
      <c r="C306" s="2" t="s">
        <v>289</v>
      </c>
      <c r="D306" s="2" t="s">
        <v>76</v>
      </c>
      <c r="E306" s="2" t="s">
        <v>75</v>
      </c>
      <c r="F306" s="2" t="s">
        <v>16</v>
      </c>
      <c r="G306" s="2" t="s">
        <v>290</v>
      </c>
      <c r="H306" s="2" t="s">
        <v>16</v>
      </c>
      <c r="I306" s="2" t="s">
        <v>95</v>
      </c>
    </row>
    <row r="307" spans="1:9" x14ac:dyDescent="0.35">
      <c r="A307" s="2" t="s">
        <v>280</v>
      </c>
      <c r="B307" s="2" t="s">
        <v>24</v>
      </c>
      <c r="C307" s="2" t="s">
        <v>289</v>
      </c>
      <c r="D307" s="2" t="s">
        <v>82</v>
      </c>
      <c r="E307" s="2" t="s">
        <v>83</v>
      </c>
      <c r="F307" s="2"/>
      <c r="G307" s="2"/>
      <c r="H307" s="2" t="s">
        <v>16</v>
      </c>
      <c r="I307" s="2" t="s">
        <v>95</v>
      </c>
    </row>
    <row r="308" spans="1:9" x14ac:dyDescent="0.35">
      <c r="A308" s="2" t="s">
        <v>280</v>
      </c>
      <c r="B308" s="2" t="s">
        <v>24</v>
      </c>
      <c r="C308" s="2" t="s">
        <v>289</v>
      </c>
      <c r="D308" s="2" t="s">
        <v>96</v>
      </c>
      <c r="E308" s="2" t="s">
        <v>83</v>
      </c>
      <c r="F308" s="2"/>
      <c r="G308" s="2"/>
      <c r="H308" s="2" t="s">
        <v>16</v>
      </c>
      <c r="I308" s="2" t="s">
        <v>95</v>
      </c>
    </row>
    <row r="309" spans="1:9" x14ac:dyDescent="0.35">
      <c r="A309" s="2" t="s">
        <v>280</v>
      </c>
      <c r="B309" s="2" t="s">
        <v>24</v>
      </c>
      <c r="C309" s="2" t="s">
        <v>289</v>
      </c>
      <c r="D309" s="2" t="s">
        <v>121</v>
      </c>
      <c r="E309" s="2" t="s">
        <v>122</v>
      </c>
      <c r="F309" s="2"/>
      <c r="G309" s="2"/>
      <c r="H309" s="2" t="s">
        <v>16</v>
      </c>
      <c r="I309" s="2" t="s">
        <v>95</v>
      </c>
    </row>
    <row r="310" spans="1:9" x14ac:dyDescent="0.35">
      <c r="A310" s="2" t="s">
        <v>280</v>
      </c>
      <c r="B310" s="2" t="s">
        <v>24</v>
      </c>
      <c r="C310" s="2" t="s">
        <v>289</v>
      </c>
      <c r="D310" s="2" t="s">
        <v>291</v>
      </c>
      <c r="E310" s="2" t="s">
        <v>139</v>
      </c>
      <c r="F310" s="2"/>
      <c r="G310" s="2"/>
      <c r="H310" s="2" t="s">
        <v>16</v>
      </c>
      <c r="I310" s="2" t="s">
        <v>95</v>
      </c>
    </row>
    <row r="311" spans="1:9" x14ac:dyDescent="0.35">
      <c r="A311" s="2" t="s">
        <v>280</v>
      </c>
      <c r="B311" s="2" t="s">
        <v>24</v>
      </c>
      <c r="C311" s="2" t="s">
        <v>289</v>
      </c>
      <c r="D311" s="2" t="s">
        <v>168</v>
      </c>
      <c r="E311" s="2" t="s">
        <v>45</v>
      </c>
      <c r="F311" s="2" t="s">
        <v>16</v>
      </c>
      <c r="G311" s="2" t="s">
        <v>292</v>
      </c>
      <c r="H311" s="2" t="s">
        <v>16</v>
      </c>
      <c r="I311" s="2" t="s">
        <v>95</v>
      </c>
    </row>
    <row r="312" spans="1:9" x14ac:dyDescent="0.35">
      <c r="A312" s="2" t="s">
        <v>280</v>
      </c>
      <c r="B312" s="2" t="s">
        <v>24</v>
      </c>
      <c r="C312" s="2" t="s">
        <v>289</v>
      </c>
      <c r="D312" s="2" t="s">
        <v>18</v>
      </c>
      <c r="E312" s="2" t="s">
        <v>19</v>
      </c>
      <c r="F312" s="2" t="s">
        <v>16</v>
      </c>
      <c r="G312" s="2" t="s">
        <v>293</v>
      </c>
      <c r="H312" s="2" t="s">
        <v>16</v>
      </c>
      <c r="I312" s="2" t="s">
        <v>95</v>
      </c>
    </row>
    <row r="313" spans="1:9" x14ac:dyDescent="0.35">
      <c r="A313" s="2" t="s">
        <v>280</v>
      </c>
      <c r="B313" s="2" t="s">
        <v>24</v>
      </c>
      <c r="C313" s="2" t="s">
        <v>289</v>
      </c>
      <c r="D313" s="2" t="s">
        <v>61</v>
      </c>
      <c r="E313" s="2" t="s">
        <v>30</v>
      </c>
      <c r="F313" s="2"/>
      <c r="G313" s="2"/>
      <c r="H313" s="2" t="s">
        <v>16</v>
      </c>
      <c r="I313" s="2" t="s">
        <v>95</v>
      </c>
    </row>
    <row r="314" spans="1:9" x14ac:dyDescent="0.35">
      <c r="A314" s="2" t="s">
        <v>280</v>
      </c>
      <c r="B314" s="2" t="s">
        <v>24</v>
      </c>
      <c r="C314" s="2" t="s">
        <v>289</v>
      </c>
      <c r="D314" s="2" t="s">
        <v>100</v>
      </c>
      <c r="E314" s="2" t="s">
        <v>101</v>
      </c>
      <c r="F314" s="2"/>
      <c r="G314" s="2"/>
      <c r="H314" s="2" t="s">
        <v>16</v>
      </c>
      <c r="I314" s="2" t="s">
        <v>95</v>
      </c>
    </row>
    <row r="315" spans="1:9" x14ac:dyDescent="0.35">
      <c r="A315" s="2" t="s">
        <v>280</v>
      </c>
      <c r="B315" s="2" t="s">
        <v>24</v>
      </c>
      <c r="C315" s="2" t="s">
        <v>289</v>
      </c>
      <c r="D315" s="2" t="s">
        <v>149</v>
      </c>
      <c r="E315" s="2" t="s">
        <v>150</v>
      </c>
      <c r="F315" s="2" t="s">
        <v>16</v>
      </c>
      <c r="G315" s="2" t="s">
        <v>206</v>
      </c>
      <c r="H315" s="2" t="s">
        <v>16</v>
      </c>
      <c r="I315" s="2" t="s">
        <v>95</v>
      </c>
    </row>
    <row r="316" spans="1:9" x14ac:dyDescent="0.35">
      <c r="A316" s="2" t="s">
        <v>280</v>
      </c>
      <c r="B316" s="2" t="s">
        <v>24</v>
      </c>
      <c r="C316" s="2" t="s">
        <v>294</v>
      </c>
      <c r="D316" s="2" t="s">
        <v>196</v>
      </c>
      <c r="E316" s="2" t="s">
        <v>197</v>
      </c>
      <c r="F316" s="2"/>
      <c r="G316" s="2"/>
      <c r="H316" s="2"/>
      <c r="I316" s="2"/>
    </row>
    <row r="317" spans="1:9" x14ac:dyDescent="0.35">
      <c r="A317" s="2" t="s">
        <v>280</v>
      </c>
      <c r="B317" s="2" t="s">
        <v>24</v>
      </c>
      <c r="C317" s="2" t="s">
        <v>294</v>
      </c>
      <c r="D317" s="2" t="s">
        <v>74</v>
      </c>
      <c r="E317" s="2" t="s">
        <v>75</v>
      </c>
      <c r="F317" s="2"/>
      <c r="G317" s="2"/>
      <c r="H317" s="2" t="s">
        <v>16</v>
      </c>
      <c r="I317" s="2" t="s">
        <v>95</v>
      </c>
    </row>
    <row r="318" spans="1:9" x14ac:dyDescent="0.35">
      <c r="A318" s="2" t="s">
        <v>280</v>
      </c>
      <c r="B318" s="2" t="s">
        <v>24</v>
      </c>
      <c r="C318" s="2" t="s">
        <v>294</v>
      </c>
      <c r="D318" s="2" t="s">
        <v>31</v>
      </c>
      <c r="E318" s="2" t="s">
        <v>32</v>
      </c>
      <c r="F318" s="2"/>
      <c r="G318" s="2"/>
      <c r="H318" s="2" t="s">
        <v>16</v>
      </c>
      <c r="I318" s="2" t="s">
        <v>95</v>
      </c>
    </row>
    <row r="319" spans="1:9" x14ac:dyDescent="0.35">
      <c r="A319" s="2" t="s">
        <v>280</v>
      </c>
      <c r="B319" s="2" t="s">
        <v>24</v>
      </c>
      <c r="C319" s="2" t="s">
        <v>294</v>
      </c>
      <c r="D319" s="2" t="s">
        <v>82</v>
      </c>
      <c r="E319" s="2" t="s">
        <v>83</v>
      </c>
      <c r="F319" s="2"/>
      <c r="G319" s="2"/>
      <c r="H319" s="2" t="s">
        <v>16</v>
      </c>
      <c r="I319" s="2" t="s">
        <v>95</v>
      </c>
    </row>
    <row r="320" spans="1:9" x14ac:dyDescent="0.35">
      <c r="A320" s="2" t="s">
        <v>280</v>
      </c>
      <c r="B320" s="2" t="s">
        <v>24</v>
      </c>
      <c r="C320" s="2" t="s">
        <v>294</v>
      </c>
      <c r="D320" s="2" t="s">
        <v>136</v>
      </c>
      <c r="E320" s="2" t="s">
        <v>107</v>
      </c>
      <c r="F320" s="2"/>
      <c r="G320" s="2"/>
      <c r="H320" s="2" t="s">
        <v>16</v>
      </c>
      <c r="I320" s="2" t="s">
        <v>95</v>
      </c>
    </row>
    <row r="321" spans="1:9" x14ac:dyDescent="0.35">
      <c r="A321" s="2" t="s">
        <v>280</v>
      </c>
      <c r="B321" s="2" t="s">
        <v>24</v>
      </c>
      <c r="C321" s="2" t="s">
        <v>294</v>
      </c>
      <c r="D321" s="2" t="s">
        <v>295</v>
      </c>
      <c r="E321" s="2" t="s">
        <v>83</v>
      </c>
      <c r="F321" s="2"/>
      <c r="G321" s="2"/>
      <c r="H321" s="2" t="s">
        <v>16</v>
      </c>
      <c r="I321" s="2" t="s">
        <v>95</v>
      </c>
    </row>
    <row r="322" spans="1:9" x14ac:dyDescent="0.35">
      <c r="A322" s="2" t="s">
        <v>280</v>
      </c>
      <c r="B322" s="2" t="s">
        <v>24</v>
      </c>
      <c r="C322" s="2" t="s">
        <v>294</v>
      </c>
      <c r="D322" s="2" t="s">
        <v>291</v>
      </c>
      <c r="E322" s="2" t="s">
        <v>139</v>
      </c>
      <c r="F322" s="2"/>
      <c r="G322" s="2"/>
      <c r="H322" s="2" t="s">
        <v>16</v>
      </c>
      <c r="I322" s="2" t="s">
        <v>95</v>
      </c>
    </row>
    <row r="323" spans="1:9" x14ac:dyDescent="0.35">
      <c r="A323" s="2" t="s">
        <v>280</v>
      </c>
      <c r="B323" s="2" t="s">
        <v>24</v>
      </c>
      <c r="C323" s="2" t="s">
        <v>294</v>
      </c>
      <c r="D323" s="2" t="s">
        <v>91</v>
      </c>
      <c r="E323" s="2" t="s">
        <v>19</v>
      </c>
      <c r="F323" s="2" t="s">
        <v>16</v>
      </c>
      <c r="G323" s="2" t="s">
        <v>296</v>
      </c>
      <c r="H323" s="2" t="s">
        <v>16</v>
      </c>
      <c r="I323" s="2" t="s">
        <v>95</v>
      </c>
    </row>
    <row r="324" spans="1:9" x14ac:dyDescent="0.35">
      <c r="A324" s="2" t="s">
        <v>280</v>
      </c>
      <c r="B324" s="2" t="s">
        <v>24</v>
      </c>
      <c r="C324" s="2" t="s">
        <v>294</v>
      </c>
      <c r="D324" s="2" t="s">
        <v>124</v>
      </c>
      <c r="E324" s="2" t="s">
        <v>125</v>
      </c>
      <c r="F324" s="2"/>
      <c r="G324" s="2"/>
      <c r="H324" s="2" t="s">
        <v>16</v>
      </c>
      <c r="I324" s="2" t="s">
        <v>95</v>
      </c>
    </row>
    <row r="325" spans="1:9" x14ac:dyDescent="0.35">
      <c r="A325" s="2" t="s">
        <v>280</v>
      </c>
      <c r="B325" s="2" t="s">
        <v>24</v>
      </c>
      <c r="C325" s="2" t="s">
        <v>294</v>
      </c>
      <c r="D325" s="2" t="s">
        <v>39</v>
      </c>
      <c r="E325" s="2" t="s">
        <v>40</v>
      </c>
      <c r="F325" s="2"/>
      <c r="G325" s="2"/>
      <c r="H325" s="2" t="s">
        <v>16</v>
      </c>
      <c r="I325" s="2" t="s">
        <v>95</v>
      </c>
    </row>
    <row r="326" spans="1:9" x14ac:dyDescent="0.35">
      <c r="A326" s="2" t="s">
        <v>280</v>
      </c>
      <c r="B326" s="2" t="s">
        <v>24</v>
      </c>
      <c r="C326" s="2" t="s">
        <v>294</v>
      </c>
      <c r="D326" s="2" t="s">
        <v>297</v>
      </c>
      <c r="E326" s="2" t="s">
        <v>38</v>
      </c>
      <c r="F326" s="2" t="s">
        <v>16</v>
      </c>
      <c r="G326" s="2" t="s">
        <v>298</v>
      </c>
      <c r="H326" s="2" t="s">
        <v>16</v>
      </c>
      <c r="I326" s="2" t="s">
        <v>95</v>
      </c>
    </row>
    <row r="327" spans="1:9" x14ac:dyDescent="0.35">
      <c r="A327" s="2" t="s">
        <v>280</v>
      </c>
      <c r="B327" s="2" t="s">
        <v>24</v>
      </c>
      <c r="C327" s="2" t="s">
        <v>294</v>
      </c>
      <c r="D327" s="2" t="s">
        <v>85</v>
      </c>
      <c r="E327" s="2" t="s">
        <v>85</v>
      </c>
      <c r="F327" s="2"/>
      <c r="G327" s="2"/>
      <c r="H327" s="2" t="s">
        <v>16</v>
      </c>
      <c r="I327" s="2" t="s">
        <v>95</v>
      </c>
    </row>
    <row r="328" spans="1:9" x14ac:dyDescent="0.35">
      <c r="A328" s="2" t="s">
        <v>280</v>
      </c>
      <c r="B328" s="2" t="s">
        <v>24</v>
      </c>
      <c r="C328" s="2" t="s">
        <v>294</v>
      </c>
      <c r="D328" s="2" t="s">
        <v>299</v>
      </c>
      <c r="E328" s="2" t="s">
        <v>78</v>
      </c>
      <c r="F328" s="2"/>
      <c r="G328" s="2"/>
      <c r="H328" s="2" t="s">
        <v>16</v>
      </c>
      <c r="I328" s="2" t="s">
        <v>95</v>
      </c>
    </row>
    <row r="329" spans="1:9" x14ac:dyDescent="0.35">
      <c r="A329" s="2" t="s">
        <v>280</v>
      </c>
      <c r="B329" s="2" t="s">
        <v>24</v>
      </c>
      <c r="C329" s="2" t="s">
        <v>294</v>
      </c>
      <c r="D329" s="2" t="s">
        <v>100</v>
      </c>
      <c r="E329" s="2" t="s">
        <v>101</v>
      </c>
      <c r="F329" s="2"/>
      <c r="G329" s="2"/>
      <c r="H329" s="2"/>
      <c r="I329" s="2"/>
    </row>
    <row r="330" spans="1:9" x14ac:dyDescent="0.35">
      <c r="A330" s="2" t="s">
        <v>280</v>
      </c>
      <c r="B330" s="2" t="s">
        <v>24</v>
      </c>
      <c r="C330" s="2" t="s">
        <v>294</v>
      </c>
      <c r="D330" s="2" t="s">
        <v>188</v>
      </c>
      <c r="E330" s="2" t="s">
        <v>189</v>
      </c>
      <c r="F330" s="2"/>
      <c r="G330" s="2"/>
      <c r="H330" s="2" t="s">
        <v>16</v>
      </c>
      <c r="I330" s="2" t="s">
        <v>95</v>
      </c>
    </row>
    <row r="331" spans="1:9" x14ac:dyDescent="0.35">
      <c r="A331" s="2" t="s">
        <v>280</v>
      </c>
      <c r="B331" s="2" t="s">
        <v>24</v>
      </c>
      <c r="C331" s="2" t="s">
        <v>294</v>
      </c>
      <c r="D331" s="2" t="s">
        <v>300</v>
      </c>
      <c r="E331" s="2" t="s">
        <v>189</v>
      </c>
      <c r="F331" s="2"/>
      <c r="G331" s="2"/>
      <c r="H331" s="2" t="s">
        <v>16</v>
      </c>
      <c r="I331" s="2" t="s">
        <v>95</v>
      </c>
    </row>
    <row r="332" spans="1:9" x14ac:dyDescent="0.35">
      <c r="A332" s="2" t="s">
        <v>280</v>
      </c>
      <c r="B332" s="2" t="s">
        <v>24</v>
      </c>
      <c r="C332" s="2" t="s">
        <v>294</v>
      </c>
      <c r="D332" s="2" t="s">
        <v>149</v>
      </c>
      <c r="E332" s="2" t="s">
        <v>150</v>
      </c>
      <c r="F332" s="2" t="s">
        <v>16</v>
      </c>
      <c r="G332" s="2" t="s">
        <v>301</v>
      </c>
      <c r="H332" s="2" t="s">
        <v>16</v>
      </c>
      <c r="I332" s="2" t="s">
        <v>95</v>
      </c>
    </row>
    <row r="333" spans="1:9" x14ac:dyDescent="0.35">
      <c r="A333" s="2" t="s">
        <v>280</v>
      </c>
      <c r="B333" s="2" t="s">
        <v>24</v>
      </c>
      <c r="C333" s="2" t="s">
        <v>294</v>
      </c>
      <c r="D333" s="2" t="s">
        <v>302</v>
      </c>
      <c r="E333" s="2" t="s">
        <v>65</v>
      </c>
      <c r="F333" s="2"/>
      <c r="G333" s="2"/>
      <c r="H333" s="2" t="s">
        <v>16</v>
      </c>
      <c r="I333" s="2" t="s">
        <v>95</v>
      </c>
    </row>
    <row r="334" spans="1:9" x14ac:dyDescent="0.35">
      <c r="A334" s="2" t="s">
        <v>280</v>
      </c>
      <c r="B334" s="2" t="s">
        <v>24</v>
      </c>
      <c r="C334" s="2" t="s">
        <v>294</v>
      </c>
      <c r="D334" s="2" t="s">
        <v>303</v>
      </c>
      <c r="E334" s="2" t="s">
        <v>189</v>
      </c>
      <c r="F334" s="2"/>
      <c r="G334" s="2"/>
      <c r="H334" s="2" t="s">
        <v>16</v>
      </c>
      <c r="I334" s="2" t="s">
        <v>95</v>
      </c>
    </row>
    <row r="335" spans="1:9" x14ac:dyDescent="0.35">
      <c r="A335" s="2" t="s">
        <v>280</v>
      </c>
      <c r="B335" s="2" t="s">
        <v>57</v>
      </c>
      <c r="C335" s="2" t="s">
        <v>304</v>
      </c>
      <c r="D335" s="2" t="s">
        <v>74</v>
      </c>
      <c r="E335" s="2" t="s">
        <v>75</v>
      </c>
      <c r="F335" s="2" t="s">
        <v>16</v>
      </c>
      <c r="G335" s="2" t="s">
        <v>305</v>
      </c>
      <c r="H335" s="2" t="s">
        <v>16</v>
      </c>
      <c r="I335" s="2" t="s">
        <v>95</v>
      </c>
    </row>
    <row r="336" spans="1:9" x14ac:dyDescent="0.35">
      <c r="A336" s="2" t="s">
        <v>280</v>
      </c>
      <c r="B336" s="2" t="s">
        <v>57</v>
      </c>
      <c r="C336" s="2" t="s">
        <v>304</v>
      </c>
      <c r="D336" s="2" t="s">
        <v>14</v>
      </c>
      <c r="E336" s="2" t="s">
        <v>15</v>
      </c>
      <c r="F336" s="2"/>
      <c r="G336" s="2"/>
      <c r="H336" s="2" t="s">
        <v>16</v>
      </c>
      <c r="I336" s="2" t="s">
        <v>95</v>
      </c>
    </row>
    <row r="337" spans="1:9" x14ac:dyDescent="0.35">
      <c r="A337" s="2" t="s">
        <v>280</v>
      </c>
      <c r="B337" s="2" t="s">
        <v>57</v>
      </c>
      <c r="C337" s="2" t="s">
        <v>304</v>
      </c>
      <c r="D337" s="2" t="s">
        <v>212</v>
      </c>
      <c r="E337" s="2" t="s">
        <v>78</v>
      </c>
      <c r="F337" s="2"/>
      <c r="G337" s="2"/>
      <c r="H337" s="2" t="s">
        <v>16</v>
      </c>
      <c r="I337" s="2" t="s">
        <v>95</v>
      </c>
    </row>
    <row r="338" spans="1:9" x14ac:dyDescent="0.35">
      <c r="A338" s="2" t="s">
        <v>280</v>
      </c>
      <c r="B338" s="2" t="s">
        <v>57</v>
      </c>
      <c r="C338" s="2" t="s">
        <v>304</v>
      </c>
      <c r="D338" s="2" t="s">
        <v>149</v>
      </c>
      <c r="E338" s="2" t="s">
        <v>150</v>
      </c>
      <c r="F338" s="2" t="s">
        <v>16</v>
      </c>
      <c r="G338" s="2" t="s">
        <v>206</v>
      </c>
      <c r="H338" s="2" t="s">
        <v>16</v>
      </c>
      <c r="I338" s="2" t="s">
        <v>95</v>
      </c>
    </row>
    <row r="339" spans="1:9" x14ac:dyDescent="0.35">
      <c r="A339" s="2" t="s">
        <v>280</v>
      </c>
      <c r="B339" s="2" t="s">
        <v>57</v>
      </c>
      <c r="C339" s="2" t="s">
        <v>304</v>
      </c>
      <c r="D339" s="2" t="s">
        <v>112</v>
      </c>
      <c r="E339" s="2" t="s">
        <v>113</v>
      </c>
      <c r="F339" s="2" t="s">
        <v>16</v>
      </c>
      <c r="G339" s="2" t="s">
        <v>306</v>
      </c>
      <c r="H339" s="2" t="s">
        <v>16</v>
      </c>
      <c r="I339" s="2" t="s">
        <v>95</v>
      </c>
    </row>
    <row r="340" spans="1:9" x14ac:dyDescent="0.35">
      <c r="A340" s="2" t="s">
        <v>280</v>
      </c>
      <c r="B340" s="2" t="s">
        <v>24</v>
      </c>
      <c r="C340" s="2" t="s">
        <v>307</v>
      </c>
      <c r="D340" s="2" t="s">
        <v>14</v>
      </c>
      <c r="E340" s="2" t="s">
        <v>15</v>
      </c>
      <c r="F340" s="2"/>
      <c r="G340" s="2"/>
      <c r="H340" s="2" t="s">
        <v>16</v>
      </c>
      <c r="I340" s="2" t="s">
        <v>81</v>
      </c>
    </row>
    <row r="341" spans="1:9" x14ac:dyDescent="0.35">
      <c r="A341" s="2" t="s">
        <v>280</v>
      </c>
      <c r="B341" s="2" t="s">
        <v>24</v>
      </c>
      <c r="C341" s="2" t="s">
        <v>307</v>
      </c>
      <c r="D341" s="2" t="s">
        <v>87</v>
      </c>
      <c r="E341" s="2" t="s">
        <v>75</v>
      </c>
      <c r="F341" s="2"/>
      <c r="G341" s="2"/>
      <c r="H341" s="2" t="s">
        <v>16</v>
      </c>
      <c r="I341" s="2" t="s">
        <v>81</v>
      </c>
    </row>
    <row r="342" spans="1:9" x14ac:dyDescent="0.35">
      <c r="A342" s="2" t="s">
        <v>280</v>
      </c>
      <c r="B342" s="2" t="s">
        <v>24</v>
      </c>
      <c r="C342" s="2" t="s">
        <v>307</v>
      </c>
      <c r="D342" s="2" t="s">
        <v>204</v>
      </c>
      <c r="E342" s="2" t="s">
        <v>40</v>
      </c>
      <c r="F342" s="2"/>
      <c r="G342" s="2"/>
      <c r="H342" s="2" t="s">
        <v>16</v>
      </c>
      <c r="I342" s="2" t="s">
        <v>81</v>
      </c>
    </row>
    <row r="343" spans="1:9" x14ac:dyDescent="0.35">
      <c r="A343" s="2" t="s">
        <v>280</v>
      </c>
      <c r="B343" s="2" t="s">
        <v>24</v>
      </c>
      <c r="C343" s="2" t="s">
        <v>308</v>
      </c>
      <c r="D343" s="2" t="s">
        <v>196</v>
      </c>
      <c r="E343" s="2" t="s">
        <v>197</v>
      </c>
      <c r="F343" s="2" t="s">
        <v>46</v>
      </c>
      <c r="G343" s="2" t="s">
        <v>288</v>
      </c>
      <c r="H343" s="2"/>
      <c r="I343" s="2"/>
    </row>
    <row r="344" spans="1:9" x14ac:dyDescent="0.35">
      <c r="A344" s="2" t="s">
        <v>280</v>
      </c>
      <c r="B344" s="2" t="s">
        <v>24</v>
      </c>
      <c r="C344" s="2" t="s">
        <v>308</v>
      </c>
      <c r="D344" s="2" t="s">
        <v>14</v>
      </c>
      <c r="E344" s="2" t="s">
        <v>15</v>
      </c>
      <c r="F344" s="2" t="s">
        <v>46</v>
      </c>
      <c r="G344" s="2" t="s">
        <v>288</v>
      </c>
      <c r="H344" s="2"/>
      <c r="I344" s="2"/>
    </row>
    <row r="345" spans="1:9" x14ac:dyDescent="0.35">
      <c r="A345" s="2" t="s">
        <v>280</v>
      </c>
      <c r="B345" s="2" t="s">
        <v>24</v>
      </c>
      <c r="C345" s="2" t="s">
        <v>308</v>
      </c>
      <c r="D345" s="2" t="s">
        <v>212</v>
      </c>
      <c r="E345" s="2" t="s">
        <v>78</v>
      </c>
      <c r="F345" s="2" t="s">
        <v>46</v>
      </c>
      <c r="G345" s="2" t="s">
        <v>288</v>
      </c>
      <c r="H345" s="2"/>
      <c r="I345" s="2"/>
    </row>
    <row r="346" spans="1:9" x14ac:dyDescent="0.35">
      <c r="A346" s="2" t="s">
        <v>280</v>
      </c>
      <c r="B346" s="2" t="s">
        <v>24</v>
      </c>
      <c r="C346" s="2" t="s">
        <v>308</v>
      </c>
      <c r="D346" s="2" t="s">
        <v>309</v>
      </c>
      <c r="E346" s="2" t="s">
        <v>40</v>
      </c>
      <c r="F346" s="2" t="s">
        <v>46</v>
      </c>
      <c r="G346" s="2" t="s">
        <v>288</v>
      </c>
      <c r="H346" s="2"/>
      <c r="I346" s="2"/>
    </row>
    <row r="347" spans="1:9" x14ac:dyDescent="0.35">
      <c r="A347" s="2" t="s">
        <v>280</v>
      </c>
      <c r="B347" s="2" t="s">
        <v>24</v>
      </c>
      <c r="C347" s="2" t="s">
        <v>308</v>
      </c>
      <c r="D347" s="2" t="s">
        <v>310</v>
      </c>
      <c r="E347" s="2" t="s">
        <v>38</v>
      </c>
      <c r="F347" s="2" t="s">
        <v>46</v>
      </c>
      <c r="G347" s="2" t="s">
        <v>288</v>
      </c>
      <c r="H347" s="2"/>
      <c r="I347" s="2"/>
    </row>
    <row r="348" spans="1:9" x14ac:dyDescent="0.35">
      <c r="A348" s="2" t="s">
        <v>280</v>
      </c>
      <c r="B348" s="2" t="s">
        <v>24</v>
      </c>
      <c r="C348" s="2" t="s">
        <v>308</v>
      </c>
      <c r="D348" s="2" t="s">
        <v>149</v>
      </c>
      <c r="E348" s="2" t="s">
        <v>150</v>
      </c>
      <c r="F348" s="2" t="s">
        <v>46</v>
      </c>
      <c r="G348" s="2" t="s">
        <v>288</v>
      </c>
      <c r="H348" s="2"/>
      <c r="I348" s="2"/>
    </row>
    <row r="349" spans="1:9" x14ac:dyDescent="0.35">
      <c r="A349" s="2" t="s">
        <v>280</v>
      </c>
      <c r="B349" s="2" t="s">
        <v>12</v>
      </c>
      <c r="C349" s="2" t="s">
        <v>311</v>
      </c>
      <c r="D349" s="2" t="s">
        <v>64</v>
      </c>
      <c r="E349" s="2" t="s">
        <v>65</v>
      </c>
      <c r="F349" s="2" t="s">
        <v>20</v>
      </c>
      <c r="G349" s="2" t="s">
        <v>312</v>
      </c>
      <c r="H349" s="2" t="s">
        <v>16</v>
      </c>
      <c r="I349" s="2" t="s">
        <v>81</v>
      </c>
    </row>
    <row r="350" spans="1:9" x14ac:dyDescent="0.35">
      <c r="A350" s="2" t="s">
        <v>280</v>
      </c>
      <c r="B350" s="2" t="s">
        <v>12</v>
      </c>
      <c r="C350" s="2" t="s">
        <v>311</v>
      </c>
      <c r="D350" s="2" t="s">
        <v>18</v>
      </c>
      <c r="E350" s="2" t="s">
        <v>19</v>
      </c>
      <c r="F350" s="2" t="s">
        <v>20</v>
      </c>
      <c r="G350" s="2" t="s">
        <v>313</v>
      </c>
      <c r="H350" s="2" t="s">
        <v>16</v>
      </c>
      <c r="I350" s="2" t="s">
        <v>81</v>
      </c>
    </row>
    <row r="351" spans="1:9" x14ac:dyDescent="0.35">
      <c r="A351" s="2" t="s">
        <v>280</v>
      </c>
      <c r="B351" s="2" t="s">
        <v>12</v>
      </c>
      <c r="C351" s="2" t="s">
        <v>311</v>
      </c>
      <c r="D351" s="2" t="s">
        <v>89</v>
      </c>
      <c r="E351" s="2" t="s">
        <v>45</v>
      </c>
      <c r="F351" s="2" t="s">
        <v>20</v>
      </c>
      <c r="G351" s="2" t="s">
        <v>314</v>
      </c>
      <c r="H351" s="2" t="s">
        <v>16</v>
      </c>
      <c r="I351" s="2" t="s">
        <v>81</v>
      </c>
    </row>
    <row r="352" spans="1:9" x14ac:dyDescent="0.35">
      <c r="A352" s="2" t="s">
        <v>280</v>
      </c>
      <c r="B352" s="2" t="s">
        <v>12</v>
      </c>
      <c r="C352" s="2" t="s">
        <v>311</v>
      </c>
      <c r="D352" s="2" t="s">
        <v>188</v>
      </c>
      <c r="E352" s="2" t="s">
        <v>189</v>
      </c>
      <c r="F352" s="2" t="s">
        <v>20</v>
      </c>
      <c r="G352" s="2" t="s">
        <v>315</v>
      </c>
      <c r="H352" s="2" t="s">
        <v>16</v>
      </c>
      <c r="I352" s="2" t="s">
        <v>81</v>
      </c>
    </row>
    <row r="353" spans="1:9" x14ac:dyDescent="0.35">
      <c r="A353" s="2" t="s">
        <v>280</v>
      </c>
      <c r="B353" s="2" t="s">
        <v>62</v>
      </c>
      <c r="C353" s="2" t="s">
        <v>316</v>
      </c>
      <c r="D353" s="2" t="s">
        <v>317</v>
      </c>
      <c r="E353" s="2" t="s">
        <v>318</v>
      </c>
      <c r="F353" s="2"/>
      <c r="G353" s="2"/>
      <c r="H353" s="2"/>
      <c r="I353" s="2"/>
    </row>
    <row r="354" spans="1:9" x14ac:dyDescent="0.35">
      <c r="A354" s="2" t="s">
        <v>280</v>
      </c>
      <c r="B354" s="2" t="s">
        <v>62</v>
      </c>
      <c r="C354" s="2" t="s">
        <v>316</v>
      </c>
      <c r="D354" s="2" t="s">
        <v>319</v>
      </c>
      <c r="E354" s="2" t="s">
        <v>320</v>
      </c>
      <c r="F354" s="2"/>
      <c r="G354" s="2"/>
      <c r="H354" s="2"/>
      <c r="I354" s="2"/>
    </row>
    <row r="355" spans="1:9" x14ac:dyDescent="0.35">
      <c r="A355" s="2" t="s">
        <v>280</v>
      </c>
      <c r="B355" s="2" t="s">
        <v>62</v>
      </c>
      <c r="C355" s="2" t="s">
        <v>316</v>
      </c>
      <c r="D355" s="2" t="s">
        <v>321</v>
      </c>
      <c r="E355" s="2" t="s">
        <v>321</v>
      </c>
      <c r="F355" s="2"/>
      <c r="G355" s="2"/>
      <c r="H355" s="2"/>
      <c r="I355" s="2"/>
    </row>
    <row r="356" spans="1:9" x14ac:dyDescent="0.35">
      <c r="A356" s="2" t="s">
        <v>280</v>
      </c>
      <c r="B356" s="2" t="s">
        <v>62</v>
      </c>
      <c r="C356" s="2" t="s">
        <v>316</v>
      </c>
      <c r="D356" s="2" t="s">
        <v>106</v>
      </c>
      <c r="E356" s="2" t="s">
        <v>107</v>
      </c>
      <c r="F356" s="2"/>
      <c r="G356" s="2"/>
      <c r="H356" s="2"/>
      <c r="I356" s="2"/>
    </row>
    <row r="357" spans="1:9" x14ac:dyDescent="0.35">
      <c r="A357" s="2" t="s">
        <v>280</v>
      </c>
      <c r="B357" s="2" t="s">
        <v>62</v>
      </c>
      <c r="C357" s="2" t="s">
        <v>316</v>
      </c>
      <c r="D357" s="2" t="s">
        <v>322</v>
      </c>
      <c r="E357" s="2" t="s">
        <v>246</v>
      </c>
      <c r="F357" s="2"/>
      <c r="G357" s="2"/>
      <c r="H357" s="2"/>
      <c r="I357" s="2"/>
    </row>
    <row r="358" spans="1:9" x14ac:dyDescent="0.35">
      <c r="A358" s="2" t="s">
        <v>280</v>
      </c>
      <c r="B358" s="2" t="s">
        <v>62</v>
      </c>
      <c r="C358" s="2" t="s">
        <v>316</v>
      </c>
      <c r="D358" s="2" t="s">
        <v>323</v>
      </c>
      <c r="E358" s="2" t="s">
        <v>246</v>
      </c>
      <c r="F358" s="2"/>
      <c r="G358" s="2"/>
      <c r="H358" s="2"/>
      <c r="I358" s="2"/>
    </row>
    <row r="359" spans="1:9" x14ac:dyDescent="0.35">
      <c r="A359" s="2" t="s">
        <v>280</v>
      </c>
      <c r="B359" s="2" t="s">
        <v>62</v>
      </c>
      <c r="C359" s="2" t="s">
        <v>316</v>
      </c>
      <c r="D359" s="2" t="s">
        <v>324</v>
      </c>
      <c r="E359" s="2" t="s">
        <v>246</v>
      </c>
      <c r="F359" s="2"/>
      <c r="G359" s="2"/>
      <c r="H359" s="2"/>
      <c r="I359" s="2"/>
    </row>
    <row r="360" spans="1:9" x14ac:dyDescent="0.35">
      <c r="A360" s="2" t="s">
        <v>280</v>
      </c>
      <c r="B360" s="2" t="s">
        <v>62</v>
      </c>
      <c r="C360" s="2" t="s">
        <v>316</v>
      </c>
      <c r="D360" s="2" t="s">
        <v>325</v>
      </c>
      <c r="E360" s="2" t="s">
        <v>326</v>
      </c>
      <c r="F360" s="2"/>
      <c r="G360" s="2"/>
      <c r="H360" s="2"/>
      <c r="I360" s="2"/>
    </row>
    <row r="361" spans="1:9" x14ac:dyDescent="0.35">
      <c r="A361" s="2" t="s">
        <v>280</v>
      </c>
      <c r="B361" s="2" t="s">
        <v>62</v>
      </c>
      <c r="C361" s="2" t="s">
        <v>316</v>
      </c>
      <c r="D361" s="2" t="s">
        <v>327</v>
      </c>
      <c r="E361" s="2" t="s">
        <v>328</v>
      </c>
      <c r="F361" s="2"/>
      <c r="G361" s="2"/>
      <c r="H361" s="2"/>
      <c r="I361" s="2"/>
    </row>
    <row r="362" spans="1:9" x14ac:dyDescent="0.35">
      <c r="A362" s="2" t="s">
        <v>280</v>
      </c>
      <c r="B362" s="2" t="s">
        <v>62</v>
      </c>
      <c r="C362" s="2" t="s">
        <v>316</v>
      </c>
      <c r="D362" s="2" t="s">
        <v>329</v>
      </c>
      <c r="E362" s="2" t="s">
        <v>330</v>
      </c>
      <c r="F362" s="2"/>
      <c r="G362" s="2"/>
      <c r="H362" s="2"/>
      <c r="I362" s="2"/>
    </row>
    <row r="363" spans="1:9" x14ac:dyDescent="0.35">
      <c r="A363" s="2" t="s">
        <v>280</v>
      </c>
      <c r="B363" s="2" t="s">
        <v>62</v>
      </c>
      <c r="C363" s="2" t="s">
        <v>316</v>
      </c>
      <c r="D363" s="2" t="s">
        <v>331</v>
      </c>
      <c r="E363" s="2" t="s">
        <v>332</v>
      </c>
      <c r="F363" s="2"/>
      <c r="G363" s="2"/>
      <c r="H363" s="2"/>
      <c r="I363" s="2"/>
    </row>
    <row r="364" spans="1:9" x14ac:dyDescent="0.35">
      <c r="A364" s="2" t="s">
        <v>280</v>
      </c>
      <c r="B364" s="2" t="s">
        <v>62</v>
      </c>
      <c r="C364" s="2" t="s">
        <v>316</v>
      </c>
      <c r="D364" s="2" t="s">
        <v>333</v>
      </c>
      <c r="E364" s="2" t="s">
        <v>334</v>
      </c>
      <c r="F364" s="2"/>
      <c r="G364" s="2"/>
      <c r="H364" s="2"/>
      <c r="I364" s="2"/>
    </row>
    <row r="365" spans="1:9" x14ac:dyDescent="0.35">
      <c r="A365" s="2" t="s">
        <v>280</v>
      </c>
      <c r="B365" s="2" t="s">
        <v>62</v>
      </c>
      <c r="C365" s="2" t="s">
        <v>316</v>
      </c>
      <c r="D365" s="2" t="s">
        <v>335</v>
      </c>
      <c r="E365" s="2" t="s">
        <v>336</v>
      </c>
      <c r="F365" s="2"/>
      <c r="G365" s="2"/>
      <c r="H365" s="2"/>
      <c r="I365" s="2"/>
    </row>
    <row r="366" spans="1:9" x14ac:dyDescent="0.35">
      <c r="A366" s="2" t="s">
        <v>280</v>
      </c>
      <c r="B366" s="2" t="s">
        <v>62</v>
      </c>
      <c r="C366" s="2" t="s">
        <v>316</v>
      </c>
      <c r="D366" s="2" t="s">
        <v>337</v>
      </c>
      <c r="E366" s="2" t="s">
        <v>338</v>
      </c>
      <c r="F366" s="2"/>
      <c r="G366" s="2"/>
      <c r="H366" s="2"/>
      <c r="I366" s="2"/>
    </row>
    <row r="367" spans="1:9" x14ac:dyDescent="0.35">
      <c r="A367" s="2" t="s">
        <v>280</v>
      </c>
      <c r="B367" s="2" t="s">
        <v>62</v>
      </c>
      <c r="C367" s="2" t="s">
        <v>316</v>
      </c>
      <c r="D367" s="2" t="s">
        <v>339</v>
      </c>
      <c r="E367" s="2" t="s">
        <v>340</v>
      </c>
      <c r="F367" s="2"/>
      <c r="G367" s="2"/>
      <c r="H367" s="2"/>
      <c r="I367" s="2"/>
    </row>
    <row r="368" spans="1:9" x14ac:dyDescent="0.35">
      <c r="A368" s="2" t="s">
        <v>280</v>
      </c>
      <c r="B368" s="2" t="s">
        <v>62</v>
      </c>
      <c r="C368" s="2" t="s">
        <v>316</v>
      </c>
      <c r="D368" s="2" t="s">
        <v>341</v>
      </c>
      <c r="E368" s="2" t="s">
        <v>342</v>
      </c>
      <c r="F368" s="2"/>
      <c r="G368" s="2"/>
      <c r="H368" s="2"/>
      <c r="I368" s="2"/>
    </row>
    <row r="369" spans="1:9" x14ac:dyDescent="0.35">
      <c r="A369" s="2" t="s">
        <v>280</v>
      </c>
      <c r="B369" s="2" t="s">
        <v>62</v>
      </c>
      <c r="C369" s="2" t="s">
        <v>316</v>
      </c>
      <c r="D369" s="2" t="s">
        <v>343</v>
      </c>
      <c r="E369" s="2" t="s">
        <v>344</v>
      </c>
      <c r="F369" s="2"/>
      <c r="G369" s="2"/>
      <c r="H369" s="2"/>
      <c r="I369" s="2"/>
    </row>
    <row r="370" spans="1:9" x14ac:dyDescent="0.35">
      <c r="A370" s="2" t="s">
        <v>280</v>
      </c>
      <c r="B370" s="2" t="s">
        <v>62</v>
      </c>
      <c r="C370" s="2" t="s">
        <v>316</v>
      </c>
      <c r="D370" s="2" t="s">
        <v>345</v>
      </c>
      <c r="E370" s="2" t="s">
        <v>346</v>
      </c>
      <c r="F370" s="2"/>
      <c r="G370" s="2"/>
      <c r="H370" s="2"/>
      <c r="I370" s="2"/>
    </row>
    <row r="371" spans="1:9" x14ac:dyDescent="0.35">
      <c r="A371" s="2" t="s">
        <v>280</v>
      </c>
      <c r="B371" s="2" t="s">
        <v>54</v>
      </c>
      <c r="C371" s="2" t="s">
        <v>347</v>
      </c>
      <c r="D371" s="2" t="s">
        <v>120</v>
      </c>
      <c r="E371" s="2" t="s">
        <v>32</v>
      </c>
      <c r="F371" s="2" t="s">
        <v>16</v>
      </c>
      <c r="G371" s="2" t="s">
        <v>348</v>
      </c>
      <c r="H371" s="2" t="s">
        <v>16</v>
      </c>
      <c r="I371" s="2" t="s">
        <v>81</v>
      </c>
    </row>
    <row r="372" spans="1:9" x14ac:dyDescent="0.35">
      <c r="A372" s="2" t="s">
        <v>280</v>
      </c>
      <c r="B372" s="2" t="s">
        <v>54</v>
      </c>
      <c r="C372" s="2" t="s">
        <v>347</v>
      </c>
      <c r="D372" s="2" t="s">
        <v>136</v>
      </c>
      <c r="E372" s="2" t="s">
        <v>107</v>
      </c>
      <c r="F372" s="2" t="s">
        <v>16</v>
      </c>
      <c r="G372" s="2" t="s">
        <v>191</v>
      </c>
      <c r="H372" s="2" t="s">
        <v>16</v>
      </c>
      <c r="I372" s="2" t="s">
        <v>81</v>
      </c>
    </row>
    <row r="373" spans="1:9" x14ac:dyDescent="0.35">
      <c r="A373" s="2" t="s">
        <v>280</v>
      </c>
      <c r="B373" s="2" t="s">
        <v>54</v>
      </c>
      <c r="C373" s="2" t="s">
        <v>347</v>
      </c>
      <c r="D373" s="2" t="s">
        <v>33</v>
      </c>
      <c r="E373" s="2" t="s">
        <v>34</v>
      </c>
      <c r="F373" s="2" t="s">
        <v>16</v>
      </c>
      <c r="G373" s="2" t="s">
        <v>191</v>
      </c>
      <c r="H373" s="2" t="s">
        <v>16</v>
      </c>
      <c r="I373" s="2" t="s">
        <v>81</v>
      </c>
    </row>
    <row r="374" spans="1:9" x14ac:dyDescent="0.35">
      <c r="A374" s="2" t="s">
        <v>280</v>
      </c>
      <c r="B374" s="2" t="s">
        <v>54</v>
      </c>
      <c r="C374" s="2" t="s">
        <v>347</v>
      </c>
      <c r="D374" s="2" t="s">
        <v>121</v>
      </c>
      <c r="E374" s="2" t="s">
        <v>122</v>
      </c>
      <c r="F374" s="2" t="s">
        <v>16</v>
      </c>
      <c r="G374" s="2" t="s">
        <v>191</v>
      </c>
      <c r="H374" s="2" t="s">
        <v>16</v>
      </c>
      <c r="I374" s="2" t="s">
        <v>81</v>
      </c>
    </row>
    <row r="375" spans="1:9" x14ac:dyDescent="0.35">
      <c r="A375" s="2" t="s">
        <v>280</v>
      </c>
      <c r="B375" s="2" t="s">
        <v>54</v>
      </c>
      <c r="C375" s="2" t="s">
        <v>347</v>
      </c>
      <c r="D375" s="2" t="s">
        <v>35</v>
      </c>
      <c r="E375" s="2" t="s">
        <v>36</v>
      </c>
      <c r="F375" s="2" t="s">
        <v>16</v>
      </c>
      <c r="G375" s="2" t="s">
        <v>191</v>
      </c>
      <c r="H375" s="2" t="s">
        <v>16</v>
      </c>
      <c r="I375" s="2" t="s">
        <v>81</v>
      </c>
    </row>
    <row r="376" spans="1:9" x14ac:dyDescent="0.35">
      <c r="A376" s="2" t="s">
        <v>280</v>
      </c>
      <c r="B376" s="2" t="s">
        <v>54</v>
      </c>
      <c r="C376" s="2" t="s">
        <v>347</v>
      </c>
      <c r="D376" s="2" t="s">
        <v>124</v>
      </c>
      <c r="E376" s="2" t="s">
        <v>125</v>
      </c>
      <c r="F376" s="2" t="s">
        <v>16</v>
      </c>
      <c r="G376" s="2" t="s">
        <v>191</v>
      </c>
      <c r="H376" s="2" t="s">
        <v>16</v>
      </c>
      <c r="I376" s="2" t="s">
        <v>81</v>
      </c>
    </row>
    <row r="377" spans="1:9" x14ac:dyDescent="0.35">
      <c r="A377" s="2" t="s">
        <v>280</v>
      </c>
      <c r="B377" s="2" t="s">
        <v>54</v>
      </c>
      <c r="C377" s="2" t="s">
        <v>347</v>
      </c>
      <c r="D377" s="2" t="s">
        <v>126</v>
      </c>
      <c r="E377" s="2" t="s">
        <v>36</v>
      </c>
      <c r="F377" s="2" t="s">
        <v>16</v>
      </c>
      <c r="G377" s="2" t="s">
        <v>191</v>
      </c>
      <c r="H377" s="2" t="s">
        <v>16</v>
      </c>
      <c r="I377" s="2" t="s">
        <v>81</v>
      </c>
    </row>
    <row r="378" spans="1:9" x14ac:dyDescent="0.35">
      <c r="A378" s="2" t="s">
        <v>280</v>
      </c>
      <c r="B378" s="2" t="s">
        <v>54</v>
      </c>
      <c r="C378" s="2" t="s">
        <v>347</v>
      </c>
      <c r="D378" s="2" t="s">
        <v>18</v>
      </c>
      <c r="E378" s="2" t="s">
        <v>19</v>
      </c>
      <c r="F378" s="2" t="s">
        <v>16</v>
      </c>
      <c r="G378" s="2" t="s">
        <v>191</v>
      </c>
      <c r="H378" s="2" t="s">
        <v>16</v>
      </c>
      <c r="I378" s="2" t="s">
        <v>95</v>
      </c>
    </row>
    <row r="379" spans="1:9" x14ac:dyDescent="0.35">
      <c r="A379" s="2" t="s">
        <v>280</v>
      </c>
      <c r="B379" s="2" t="s">
        <v>54</v>
      </c>
      <c r="C379" s="2" t="s">
        <v>347</v>
      </c>
      <c r="D379" s="2" t="s">
        <v>188</v>
      </c>
      <c r="E379" s="2" t="s">
        <v>189</v>
      </c>
      <c r="F379" s="2" t="s">
        <v>16</v>
      </c>
      <c r="G379" s="2" t="s">
        <v>349</v>
      </c>
      <c r="H379" s="2" t="s">
        <v>16</v>
      </c>
      <c r="I379" s="2" t="s">
        <v>95</v>
      </c>
    </row>
    <row r="380" spans="1:9" x14ac:dyDescent="0.35">
      <c r="A380" s="2" t="s">
        <v>280</v>
      </c>
      <c r="B380" s="2" t="s">
        <v>62</v>
      </c>
      <c r="C380" s="2" t="s">
        <v>350</v>
      </c>
      <c r="D380" s="2" t="s">
        <v>106</v>
      </c>
      <c r="E380" s="2" t="s">
        <v>107</v>
      </c>
      <c r="F380" s="2"/>
      <c r="G380" s="2"/>
      <c r="H380" s="2"/>
      <c r="I380" s="2"/>
    </row>
    <row r="381" spans="1:9" x14ac:dyDescent="0.35">
      <c r="A381" s="2" t="s">
        <v>280</v>
      </c>
      <c r="B381" s="2" t="s">
        <v>62</v>
      </c>
      <c r="C381" s="2" t="s">
        <v>351</v>
      </c>
      <c r="D381" s="2" t="s">
        <v>291</v>
      </c>
      <c r="E381" s="2" t="s">
        <v>139</v>
      </c>
      <c r="F381" s="2"/>
      <c r="G381" s="2"/>
      <c r="H381" s="2"/>
      <c r="I381" s="2"/>
    </row>
    <row r="382" spans="1:9" x14ac:dyDescent="0.35">
      <c r="A382" s="2" t="s">
        <v>280</v>
      </c>
      <c r="B382" s="2" t="s">
        <v>62</v>
      </c>
      <c r="C382" s="2" t="s">
        <v>351</v>
      </c>
      <c r="D382" s="2" t="s">
        <v>352</v>
      </c>
      <c r="E382" s="2" t="s">
        <v>107</v>
      </c>
      <c r="F382" s="2"/>
      <c r="G382" s="2"/>
      <c r="H382" s="2"/>
      <c r="I382" s="2"/>
    </row>
    <row r="383" spans="1:9" x14ac:dyDescent="0.35">
      <c r="A383" s="2" t="s">
        <v>280</v>
      </c>
      <c r="B383" s="2" t="s">
        <v>62</v>
      </c>
      <c r="C383" s="2" t="s">
        <v>353</v>
      </c>
      <c r="D383" s="2" t="s">
        <v>77</v>
      </c>
      <c r="E383" s="2" t="s">
        <v>78</v>
      </c>
      <c r="F383" s="2"/>
      <c r="G383" s="2"/>
      <c r="H383" s="2"/>
      <c r="I383" s="2"/>
    </row>
    <row r="384" spans="1:9" x14ac:dyDescent="0.35">
      <c r="A384" s="2" t="s">
        <v>280</v>
      </c>
      <c r="B384" s="2" t="s">
        <v>62</v>
      </c>
      <c r="C384" s="2" t="s">
        <v>353</v>
      </c>
      <c r="D384" s="2" t="s">
        <v>354</v>
      </c>
      <c r="E384" s="2" t="s">
        <v>45</v>
      </c>
      <c r="F384" s="2" t="s">
        <v>46</v>
      </c>
      <c r="G384" s="2" t="s">
        <v>47</v>
      </c>
      <c r="H384" s="2"/>
      <c r="I384" s="2"/>
    </row>
    <row r="385" spans="1:9" x14ac:dyDescent="0.35">
      <c r="A385" s="2" t="s">
        <v>280</v>
      </c>
      <c r="B385" s="2" t="s">
        <v>62</v>
      </c>
      <c r="C385" s="2" t="s">
        <v>355</v>
      </c>
      <c r="D385" s="2" t="s">
        <v>106</v>
      </c>
      <c r="E385" s="2" t="s">
        <v>107</v>
      </c>
      <c r="F385" s="2"/>
      <c r="G385" s="2"/>
      <c r="H385" s="2"/>
      <c r="I385" s="2"/>
    </row>
    <row r="386" spans="1:9" x14ac:dyDescent="0.35">
      <c r="A386" s="2" t="s">
        <v>356</v>
      </c>
      <c r="B386" s="2" t="s">
        <v>62</v>
      </c>
      <c r="C386" s="2" t="s">
        <v>357</v>
      </c>
      <c r="D386" s="2" t="s">
        <v>106</v>
      </c>
      <c r="E386" s="2" t="s">
        <v>107</v>
      </c>
      <c r="F386" s="2"/>
      <c r="G386" s="2"/>
      <c r="H386" s="2"/>
      <c r="I386" s="2"/>
    </row>
    <row r="387" spans="1:9" x14ac:dyDescent="0.35">
      <c r="A387" s="2" t="s">
        <v>356</v>
      </c>
      <c r="B387" s="2" t="s">
        <v>12</v>
      </c>
      <c r="C387" s="2" t="s">
        <v>358</v>
      </c>
      <c r="D387" s="2" t="s">
        <v>172</v>
      </c>
      <c r="E387" s="2" t="s">
        <v>65</v>
      </c>
      <c r="F387" s="2"/>
      <c r="G387" s="2"/>
      <c r="H387" s="2" t="s">
        <v>16</v>
      </c>
      <c r="I387" s="2" t="s">
        <v>17</v>
      </c>
    </row>
    <row r="388" spans="1:9" x14ac:dyDescent="0.35">
      <c r="A388" s="2" t="s">
        <v>356</v>
      </c>
      <c r="B388" s="2" t="s">
        <v>12</v>
      </c>
      <c r="C388" s="2" t="s">
        <v>358</v>
      </c>
      <c r="D388" s="2" t="s">
        <v>18</v>
      </c>
      <c r="E388" s="2" t="s">
        <v>19</v>
      </c>
      <c r="F388" s="2" t="s">
        <v>20</v>
      </c>
      <c r="G388" s="2" t="s">
        <v>359</v>
      </c>
      <c r="H388" s="2" t="s">
        <v>16</v>
      </c>
      <c r="I388" s="2" t="s">
        <v>17</v>
      </c>
    </row>
    <row r="389" spans="1:9" x14ac:dyDescent="0.35">
      <c r="A389" s="2" t="s">
        <v>356</v>
      </c>
      <c r="B389" s="2" t="s">
        <v>12</v>
      </c>
      <c r="C389" s="2" t="s">
        <v>358</v>
      </c>
      <c r="D389" s="2" t="s">
        <v>149</v>
      </c>
      <c r="E389" s="2" t="s">
        <v>150</v>
      </c>
      <c r="F389" s="2" t="s">
        <v>20</v>
      </c>
      <c r="G389" s="2" t="s">
        <v>360</v>
      </c>
      <c r="H389" s="2" t="s">
        <v>16</v>
      </c>
      <c r="I389" s="2" t="s">
        <v>17</v>
      </c>
    </row>
    <row r="390" spans="1:9" x14ac:dyDescent="0.35">
      <c r="A390" s="2" t="s">
        <v>356</v>
      </c>
      <c r="B390" s="2" t="s">
        <v>24</v>
      </c>
      <c r="C390" s="2" t="s">
        <v>361</v>
      </c>
      <c r="D390" s="2" t="s">
        <v>196</v>
      </c>
      <c r="E390" s="2" t="s">
        <v>197</v>
      </c>
      <c r="F390" s="2"/>
      <c r="G390" s="2"/>
      <c r="H390" s="2"/>
      <c r="I390" s="2"/>
    </row>
    <row r="391" spans="1:9" x14ac:dyDescent="0.35">
      <c r="A391" s="2" t="s">
        <v>356</v>
      </c>
      <c r="B391" s="2" t="s">
        <v>24</v>
      </c>
      <c r="C391" s="2" t="s">
        <v>361</v>
      </c>
      <c r="D391" s="2" t="s">
        <v>14</v>
      </c>
      <c r="E391" s="2" t="s">
        <v>15</v>
      </c>
      <c r="F391" s="2"/>
      <c r="G391" s="2"/>
      <c r="H391" s="2" t="s">
        <v>16</v>
      </c>
      <c r="I391" s="2" t="s">
        <v>26</v>
      </c>
    </row>
    <row r="392" spans="1:9" x14ac:dyDescent="0.35">
      <c r="A392" s="2" t="s">
        <v>356</v>
      </c>
      <c r="B392" s="2" t="s">
        <v>24</v>
      </c>
      <c r="C392" s="2" t="s">
        <v>361</v>
      </c>
      <c r="D392" s="2" t="s">
        <v>27</v>
      </c>
      <c r="E392" s="2" t="s">
        <v>28</v>
      </c>
      <c r="F392" s="2"/>
      <c r="G392" s="2"/>
      <c r="H392" s="2" t="s">
        <v>16</v>
      </c>
      <c r="I392" s="2" t="s">
        <v>26</v>
      </c>
    </row>
    <row r="393" spans="1:9" x14ac:dyDescent="0.35">
      <c r="A393" s="2" t="s">
        <v>356</v>
      </c>
      <c r="B393" s="2" t="s">
        <v>24</v>
      </c>
      <c r="C393" s="2" t="s">
        <v>361</v>
      </c>
      <c r="D393" s="2" t="s">
        <v>31</v>
      </c>
      <c r="E393" s="2" t="s">
        <v>32</v>
      </c>
      <c r="F393" s="2"/>
      <c r="G393" s="2"/>
      <c r="H393" s="2" t="s">
        <v>16</v>
      </c>
      <c r="I393" s="2" t="s">
        <v>26</v>
      </c>
    </row>
    <row r="394" spans="1:9" x14ac:dyDescent="0.35">
      <c r="A394" s="2" t="s">
        <v>356</v>
      </c>
      <c r="B394" s="2" t="s">
        <v>24</v>
      </c>
      <c r="C394" s="2" t="s">
        <v>361</v>
      </c>
      <c r="D394" s="2" t="s">
        <v>96</v>
      </c>
      <c r="E394" s="2" t="s">
        <v>83</v>
      </c>
      <c r="F394" s="2"/>
      <c r="G394" s="2"/>
      <c r="H394" s="2" t="s">
        <v>16</v>
      </c>
      <c r="I394" s="2" t="s">
        <v>26</v>
      </c>
    </row>
    <row r="395" spans="1:9" x14ac:dyDescent="0.35">
      <c r="A395" s="2" t="s">
        <v>356</v>
      </c>
      <c r="B395" s="2" t="s">
        <v>24</v>
      </c>
      <c r="C395" s="2" t="s">
        <v>361</v>
      </c>
      <c r="D395" s="2" t="s">
        <v>121</v>
      </c>
      <c r="E395" s="2" t="s">
        <v>122</v>
      </c>
      <c r="F395" s="2"/>
      <c r="G395" s="2"/>
      <c r="H395" s="2" t="s">
        <v>16</v>
      </c>
      <c r="I395" s="2" t="s">
        <v>26</v>
      </c>
    </row>
    <row r="396" spans="1:9" x14ac:dyDescent="0.35">
      <c r="A396" s="2" t="s">
        <v>356</v>
      </c>
      <c r="B396" s="2" t="s">
        <v>24</v>
      </c>
      <c r="C396" s="2" t="s">
        <v>361</v>
      </c>
      <c r="D396" s="2" t="s">
        <v>362</v>
      </c>
      <c r="E396" s="2" t="s">
        <v>363</v>
      </c>
      <c r="F396" s="2"/>
      <c r="G396" s="2"/>
      <c r="H396" s="2" t="s">
        <v>16</v>
      </c>
      <c r="I396" s="2" t="s">
        <v>26</v>
      </c>
    </row>
    <row r="397" spans="1:9" x14ac:dyDescent="0.35">
      <c r="A397" s="2" t="s">
        <v>356</v>
      </c>
      <c r="B397" s="2" t="s">
        <v>24</v>
      </c>
      <c r="C397" s="2" t="s">
        <v>361</v>
      </c>
      <c r="D397" s="2" t="s">
        <v>77</v>
      </c>
      <c r="E397" s="2" t="s">
        <v>78</v>
      </c>
      <c r="F397" s="2"/>
      <c r="G397" s="2"/>
      <c r="H397" s="2" t="s">
        <v>16</v>
      </c>
      <c r="I397" s="2" t="s">
        <v>26</v>
      </c>
    </row>
    <row r="398" spans="1:9" x14ac:dyDescent="0.35">
      <c r="A398" s="2" t="s">
        <v>356</v>
      </c>
      <c r="B398" s="2" t="s">
        <v>24</v>
      </c>
      <c r="C398" s="2" t="s">
        <v>361</v>
      </c>
      <c r="D398" s="2" t="s">
        <v>91</v>
      </c>
      <c r="E398" s="2" t="s">
        <v>19</v>
      </c>
      <c r="F398" s="2" t="s">
        <v>16</v>
      </c>
      <c r="G398" s="2" t="s">
        <v>364</v>
      </c>
      <c r="H398" s="2" t="s">
        <v>16</v>
      </c>
      <c r="I398" s="2" t="s">
        <v>26</v>
      </c>
    </row>
    <row r="399" spans="1:9" x14ac:dyDescent="0.35">
      <c r="A399" s="2" t="s">
        <v>356</v>
      </c>
      <c r="B399" s="2" t="s">
        <v>24</v>
      </c>
      <c r="C399" s="2" t="s">
        <v>361</v>
      </c>
      <c r="D399" s="2" t="s">
        <v>87</v>
      </c>
      <c r="E399" s="2" t="s">
        <v>75</v>
      </c>
      <c r="F399" s="2" t="s">
        <v>16</v>
      </c>
      <c r="G399" s="2" t="s">
        <v>365</v>
      </c>
      <c r="H399" s="2" t="s">
        <v>16</v>
      </c>
      <c r="I399" s="2" t="s">
        <v>26</v>
      </c>
    </row>
    <row r="400" spans="1:9" x14ac:dyDescent="0.35">
      <c r="A400" s="2" t="s">
        <v>356</v>
      </c>
      <c r="B400" s="2" t="s">
        <v>24</v>
      </c>
      <c r="C400" s="2" t="s">
        <v>361</v>
      </c>
      <c r="D400" s="2" t="s">
        <v>124</v>
      </c>
      <c r="E400" s="2" t="s">
        <v>125</v>
      </c>
      <c r="F400" s="2"/>
      <c r="G400" s="2"/>
      <c r="H400" s="2" t="s">
        <v>16</v>
      </c>
      <c r="I400" s="2" t="s">
        <v>26</v>
      </c>
    </row>
    <row r="401" spans="1:9" x14ac:dyDescent="0.35">
      <c r="A401" s="2" t="s">
        <v>356</v>
      </c>
      <c r="B401" s="2" t="s">
        <v>24</v>
      </c>
      <c r="C401" s="2" t="s">
        <v>361</v>
      </c>
      <c r="D401" s="2" t="s">
        <v>61</v>
      </c>
      <c r="E401" s="2" t="s">
        <v>30</v>
      </c>
      <c r="F401" s="2"/>
      <c r="G401" s="2"/>
      <c r="H401" s="2" t="s">
        <v>16</v>
      </c>
      <c r="I401" s="2" t="s">
        <v>26</v>
      </c>
    </row>
    <row r="402" spans="1:9" x14ac:dyDescent="0.35">
      <c r="A402" s="2" t="s">
        <v>356</v>
      </c>
      <c r="B402" s="2" t="s">
        <v>24</v>
      </c>
      <c r="C402" s="2" t="s">
        <v>361</v>
      </c>
      <c r="D402" s="2" t="s">
        <v>100</v>
      </c>
      <c r="E402" s="2" t="s">
        <v>101</v>
      </c>
      <c r="F402" s="2"/>
      <c r="G402" s="2"/>
      <c r="H402" s="2"/>
      <c r="I402" s="2"/>
    </row>
    <row r="403" spans="1:9" x14ac:dyDescent="0.35">
      <c r="A403" s="2" t="s">
        <v>356</v>
      </c>
      <c r="B403" s="2" t="s">
        <v>24</v>
      </c>
      <c r="C403" s="2" t="s">
        <v>361</v>
      </c>
      <c r="D403" s="2" t="s">
        <v>366</v>
      </c>
      <c r="E403" s="2" t="s">
        <v>367</v>
      </c>
      <c r="F403" s="2" t="s">
        <v>46</v>
      </c>
      <c r="G403" s="2" t="s">
        <v>368</v>
      </c>
      <c r="H403" s="2" t="s">
        <v>16</v>
      </c>
      <c r="I403" s="2" t="s">
        <v>26</v>
      </c>
    </row>
    <row r="404" spans="1:9" x14ac:dyDescent="0.35">
      <c r="A404" s="2" t="s">
        <v>356</v>
      </c>
      <c r="B404" s="2" t="s">
        <v>24</v>
      </c>
      <c r="C404" s="2" t="s">
        <v>361</v>
      </c>
      <c r="D404" s="2" t="s">
        <v>149</v>
      </c>
      <c r="E404" s="2" t="s">
        <v>150</v>
      </c>
      <c r="F404" s="2"/>
      <c r="G404" s="2"/>
      <c r="H404" s="2" t="s">
        <v>16</v>
      </c>
      <c r="I404" s="2" t="s">
        <v>26</v>
      </c>
    </row>
    <row r="405" spans="1:9" x14ac:dyDescent="0.35">
      <c r="A405" s="2" t="s">
        <v>356</v>
      </c>
      <c r="B405" s="2" t="s">
        <v>62</v>
      </c>
      <c r="C405" s="2" t="s">
        <v>369</v>
      </c>
      <c r="D405" s="2" t="s">
        <v>18</v>
      </c>
      <c r="E405" s="2" t="s">
        <v>19</v>
      </c>
      <c r="F405" s="2" t="s">
        <v>16</v>
      </c>
      <c r="G405" s="2" t="s">
        <v>370</v>
      </c>
      <c r="H405" s="2" t="s">
        <v>16</v>
      </c>
      <c r="I405" s="2" t="s">
        <v>17</v>
      </c>
    </row>
    <row r="406" spans="1:9" x14ac:dyDescent="0.35">
      <c r="A406" s="2" t="s">
        <v>356</v>
      </c>
      <c r="B406" s="2" t="s">
        <v>62</v>
      </c>
      <c r="C406" s="2" t="s">
        <v>369</v>
      </c>
      <c r="D406" s="2" t="s">
        <v>352</v>
      </c>
      <c r="E406" s="2" t="s">
        <v>107</v>
      </c>
      <c r="F406" s="2"/>
      <c r="G406" s="2"/>
      <c r="H406" s="2" t="s">
        <v>16</v>
      </c>
      <c r="I406" s="2" t="s">
        <v>17</v>
      </c>
    </row>
    <row r="407" spans="1:9" x14ac:dyDescent="0.35">
      <c r="A407" s="2" t="s">
        <v>356</v>
      </c>
      <c r="B407" s="2" t="s">
        <v>62</v>
      </c>
      <c r="C407" s="2" t="s">
        <v>371</v>
      </c>
      <c r="D407" s="2" t="s">
        <v>18</v>
      </c>
      <c r="E407" s="2" t="s">
        <v>19</v>
      </c>
      <c r="F407" s="2" t="s">
        <v>16</v>
      </c>
      <c r="G407" s="2" t="s">
        <v>372</v>
      </c>
      <c r="H407" s="2" t="s">
        <v>16</v>
      </c>
      <c r="I407" s="2" t="s">
        <v>17</v>
      </c>
    </row>
    <row r="408" spans="1:9" x14ac:dyDescent="0.35">
      <c r="A408" s="2" t="s">
        <v>356</v>
      </c>
      <c r="B408" s="2" t="s">
        <v>62</v>
      </c>
      <c r="C408" s="2" t="s">
        <v>371</v>
      </c>
      <c r="D408" s="2" t="s">
        <v>352</v>
      </c>
      <c r="E408" s="2" t="s">
        <v>107</v>
      </c>
      <c r="F408" s="2"/>
      <c r="G408" s="2"/>
      <c r="H408" s="2" t="s">
        <v>16</v>
      </c>
      <c r="I408" s="2" t="s">
        <v>17</v>
      </c>
    </row>
    <row r="409" spans="1:9" x14ac:dyDescent="0.35">
      <c r="A409" s="2" t="s">
        <v>356</v>
      </c>
      <c r="B409" s="2" t="s">
        <v>62</v>
      </c>
      <c r="C409" s="2" t="s">
        <v>373</v>
      </c>
      <c r="D409" s="2" t="s">
        <v>91</v>
      </c>
      <c r="E409" s="2" t="s">
        <v>19</v>
      </c>
      <c r="F409" s="2" t="s">
        <v>16</v>
      </c>
      <c r="G409" s="2" t="s">
        <v>374</v>
      </c>
      <c r="H409" s="2" t="s">
        <v>16</v>
      </c>
      <c r="I409" s="2" t="s">
        <v>17</v>
      </c>
    </row>
    <row r="410" spans="1:9" x14ac:dyDescent="0.35">
      <c r="A410" s="2" t="s">
        <v>356</v>
      </c>
      <c r="B410" s="2" t="s">
        <v>62</v>
      </c>
      <c r="C410" s="2" t="s">
        <v>373</v>
      </c>
      <c r="D410" s="2" t="s">
        <v>375</v>
      </c>
      <c r="E410" s="2" t="s">
        <v>107</v>
      </c>
      <c r="F410" s="2"/>
      <c r="G410" s="2"/>
      <c r="H410" s="2" t="s">
        <v>16</v>
      </c>
      <c r="I410" s="2" t="s">
        <v>17</v>
      </c>
    </row>
    <row r="411" spans="1:9" x14ac:dyDescent="0.35">
      <c r="A411" s="2" t="s">
        <v>356</v>
      </c>
      <c r="B411" s="2" t="s">
        <v>62</v>
      </c>
      <c r="C411" s="2" t="s">
        <v>376</v>
      </c>
      <c r="D411" s="2" t="s">
        <v>377</v>
      </c>
      <c r="E411" s="2" t="s">
        <v>270</v>
      </c>
      <c r="F411" s="2"/>
      <c r="G411" s="2"/>
      <c r="H411" s="2"/>
      <c r="I411" s="2"/>
    </row>
    <row r="412" spans="1:9" x14ac:dyDescent="0.35">
      <c r="A412" s="2" t="s">
        <v>356</v>
      </c>
      <c r="B412" s="2" t="s">
        <v>62</v>
      </c>
      <c r="C412" s="2" t="s">
        <v>376</v>
      </c>
      <c r="D412" s="2" t="s">
        <v>18</v>
      </c>
      <c r="E412" s="2" t="s">
        <v>19</v>
      </c>
      <c r="F412" s="2" t="s">
        <v>20</v>
      </c>
      <c r="G412" s="2" t="s">
        <v>378</v>
      </c>
      <c r="H412" s="2"/>
      <c r="I412" s="2"/>
    </row>
    <row r="413" spans="1:9" x14ac:dyDescent="0.35">
      <c r="A413" s="2" t="s">
        <v>356</v>
      </c>
      <c r="B413" s="2" t="s">
        <v>62</v>
      </c>
      <c r="C413" s="2" t="s">
        <v>379</v>
      </c>
      <c r="D413" s="2" t="s">
        <v>352</v>
      </c>
      <c r="E413" s="2" t="s">
        <v>107</v>
      </c>
      <c r="F413" s="2"/>
      <c r="G413" s="2"/>
      <c r="H413" s="2" t="s">
        <v>16</v>
      </c>
      <c r="I413" s="2" t="s">
        <v>26</v>
      </c>
    </row>
    <row r="414" spans="1:9" x14ac:dyDescent="0.35">
      <c r="A414" s="2" t="s">
        <v>356</v>
      </c>
      <c r="B414" s="2" t="s">
        <v>57</v>
      </c>
      <c r="C414" s="2" t="s">
        <v>380</v>
      </c>
      <c r="D414" s="2" t="s">
        <v>27</v>
      </c>
      <c r="E414" s="2" t="s">
        <v>28</v>
      </c>
      <c r="F414" s="2" t="s">
        <v>20</v>
      </c>
      <c r="G414" s="2" t="s">
        <v>381</v>
      </c>
      <c r="H414" s="2" t="s">
        <v>16</v>
      </c>
      <c r="I414" s="2" t="s">
        <v>26</v>
      </c>
    </row>
    <row r="415" spans="1:9" x14ac:dyDescent="0.35">
      <c r="A415" s="2" t="s">
        <v>356</v>
      </c>
      <c r="B415" s="2" t="s">
        <v>57</v>
      </c>
      <c r="C415" s="2" t="s">
        <v>380</v>
      </c>
      <c r="D415" s="2" t="s">
        <v>31</v>
      </c>
      <c r="E415" s="2" t="s">
        <v>32</v>
      </c>
      <c r="F415" s="2"/>
      <c r="G415" s="2"/>
      <c r="H415" s="2" t="s">
        <v>16</v>
      </c>
      <c r="I415" s="2" t="s">
        <v>26</v>
      </c>
    </row>
    <row r="416" spans="1:9" x14ac:dyDescent="0.35">
      <c r="A416" s="2" t="s">
        <v>356</v>
      </c>
      <c r="B416" s="2" t="s">
        <v>57</v>
      </c>
      <c r="C416" s="2" t="s">
        <v>380</v>
      </c>
      <c r="D416" s="2" t="s">
        <v>200</v>
      </c>
      <c r="E416" s="2" t="s">
        <v>201</v>
      </c>
      <c r="F416" s="2" t="s">
        <v>16</v>
      </c>
      <c r="G416" s="2" t="s">
        <v>382</v>
      </c>
      <c r="H416" s="2" t="s">
        <v>16</v>
      </c>
      <c r="I416" s="2" t="s">
        <v>26</v>
      </c>
    </row>
    <row r="417" spans="1:9" x14ac:dyDescent="0.35">
      <c r="A417" s="2" t="s">
        <v>356</v>
      </c>
      <c r="B417" s="2" t="s">
        <v>57</v>
      </c>
      <c r="C417" s="2" t="s">
        <v>380</v>
      </c>
      <c r="D417" s="2" t="s">
        <v>212</v>
      </c>
      <c r="E417" s="2" t="s">
        <v>78</v>
      </c>
      <c r="F417" s="2"/>
      <c r="G417" s="2"/>
      <c r="H417" s="2" t="s">
        <v>16</v>
      </c>
      <c r="I417" s="2" t="s">
        <v>26</v>
      </c>
    </row>
    <row r="418" spans="1:9" x14ac:dyDescent="0.35">
      <c r="A418" s="2" t="s">
        <v>356</v>
      </c>
      <c r="B418" s="2" t="s">
        <v>57</v>
      </c>
      <c r="C418" s="2" t="s">
        <v>380</v>
      </c>
      <c r="D418" s="2" t="s">
        <v>121</v>
      </c>
      <c r="E418" s="2" t="s">
        <v>122</v>
      </c>
      <c r="F418" s="2"/>
      <c r="G418" s="2"/>
      <c r="H418" s="2" t="s">
        <v>16</v>
      </c>
      <c r="I418" s="2" t="s">
        <v>26</v>
      </c>
    </row>
    <row r="419" spans="1:9" x14ac:dyDescent="0.35">
      <c r="A419" s="2" t="s">
        <v>356</v>
      </c>
      <c r="B419" s="2" t="s">
        <v>57</v>
      </c>
      <c r="C419" s="2" t="s">
        <v>380</v>
      </c>
      <c r="D419" s="2" t="s">
        <v>87</v>
      </c>
      <c r="E419" s="2" t="s">
        <v>75</v>
      </c>
      <c r="F419" s="2" t="s">
        <v>16</v>
      </c>
      <c r="G419" s="2" t="s">
        <v>383</v>
      </c>
      <c r="H419" s="2" t="s">
        <v>16</v>
      </c>
      <c r="I419" s="2" t="s">
        <v>26</v>
      </c>
    </row>
    <row r="420" spans="1:9" x14ac:dyDescent="0.35">
      <c r="A420" s="2" t="s">
        <v>356</v>
      </c>
      <c r="B420" s="2" t="s">
        <v>57</v>
      </c>
      <c r="C420" s="2" t="s">
        <v>380</v>
      </c>
      <c r="D420" s="2" t="s">
        <v>51</v>
      </c>
      <c r="E420" s="2" t="s">
        <v>52</v>
      </c>
      <c r="F420" s="2"/>
      <c r="G420" s="2"/>
      <c r="H420" s="2" t="s">
        <v>16</v>
      </c>
      <c r="I420" s="2" t="s">
        <v>26</v>
      </c>
    </row>
    <row r="421" spans="1:9" x14ac:dyDescent="0.35">
      <c r="A421" s="2" t="s">
        <v>356</v>
      </c>
      <c r="B421" s="2" t="s">
        <v>57</v>
      </c>
      <c r="C421" s="2" t="s">
        <v>380</v>
      </c>
      <c r="D421" s="2" t="s">
        <v>149</v>
      </c>
      <c r="E421" s="2" t="s">
        <v>150</v>
      </c>
      <c r="F421" s="2" t="s">
        <v>16</v>
      </c>
      <c r="G421" s="2" t="s">
        <v>384</v>
      </c>
      <c r="H421" s="2" t="s">
        <v>16</v>
      </c>
      <c r="I421" s="2" t="s">
        <v>26</v>
      </c>
    </row>
    <row r="422" spans="1:9" x14ac:dyDescent="0.35">
      <c r="A422" s="2" t="s">
        <v>356</v>
      </c>
      <c r="B422" s="2" t="s">
        <v>62</v>
      </c>
      <c r="C422" s="2" t="s">
        <v>385</v>
      </c>
      <c r="D422" s="2" t="s">
        <v>386</v>
      </c>
      <c r="E422" s="2" t="s">
        <v>28</v>
      </c>
      <c r="F422" s="2"/>
      <c r="G422" s="2"/>
      <c r="H422" s="2"/>
      <c r="I422" s="2"/>
    </row>
    <row r="423" spans="1:9" x14ac:dyDescent="0.35">
      <c r="A423" s="2" t="s">
        <v>356</v>
      </c>
      <c r="B423" s="2" t="s">
        <v>62</v>
      </c>
      <c r="C423" s="2" t="s">
        <v>385</v>
      </c>
      <c r="D423" s="2" t="s">
        <v>387</v>
      </c>
      <c r="E423" s="2" t="s">
        <v>367</v>
      </c>
      <c r="F423" s="2"/>
      <c r="G423" s="2"/>
      <c r="H423" s="2"/>
      <c r="I423" s="2"/>
    </row>
    <row r="424" spans="1:9" x14ac:dyDescent="0.35">
      <c r="A424" s="2" t="s">
        <v>356</v>
      </c>
      <c r="B424" s="2" t="s">
        <v>62</v>
      </c>
      <c r="C424" s="2" t="s">
        <v>385</v>
      </c>
      <c r="D424" s="2" t="s">
        <v>388</v>
      </c>
      <c r="E424" s="2" t="s">
        <v>28</v>
      </c>
      <c r="F424" s="2"/>
      <c r="G424" s="2"/>
      <c r="H424" s="2"/>
      <c r="I424" s="2"/>
    </row>
    <row r="425" spans="1:9" x14ac:dyDescent="0.35">
      <c r="A425" s="2" t="s">
        <v>356</v>
      </c>
      <c r="B425" s="2" t="s">
        <v>62</v>
      </c>
      <c r="C425" s="2" t="s">
        <v>389</v>
      </c>
      <c r="D425" s="2" t="s">
        <v>106</v>
      </c>
      <c r="E425" s="2" t="s">
        <v>107</v>
      </c>
      <c r="F425" s="2"/>
      <c r="G425" s="2"/>
      <c r="H425" s="2"/>
      <c r="I425" s="2"/>
    </row>
    <row r="426" spans="1:9" x14ac:dyDescent="0.35">
      <c r="A426" s="2" t="s">
        <v>356</v>
      </c>
      <c r="B426" s="2" t="s">
        <v>62</v>
      </c>
      <c r="C426" s="2" t="s">
        <v>390</v>
      </c>
      <c r="D426" s="2" t="s">
        <v>391</v>
      </c>
      <c r="E426" s="2" t="s">
        <v>78</v>
      </c>
      <c r="F426" s="2"/>
      <c r="G426" s="2"/>
      <c r="H426" s="2"/>
      <c r="I426" s="2"/>
    </row>
    <row r="427" spans="1:9" x14ac:dyDescent="0.35">
      <c r="A427" s="2" t="s">
        <v>356</v>
      </c>
      <c r="B427" s="2" t="s">
        <v>62</v>
      </c>
      <c r="C427" s="2" t="s">
        <v>390</v>
      </c>
      <c r="D427" s="2" t="s">
        <v>352</v>
      </c>
      <c r="E427" s="2" t="s">
        <v>107</v>
      </c>
      <c r="F427" s="2"/>
      <c r="G427" s="2"/>
      <c r="H427" s="2"/>
      <c r="I427" s="2"/>
    </row>
    <row r="428" spans="1:9" x14ac:dyDescent="0.35">
      <c r="A428" s="2" t="s">
        <v>356</v>
      </c>
      <c r="B428" s="2" t="s">
        <v>54</v>
      </c>
      <c r="C428" s="2" t="s">
        <v>392</v>
      </c>
      <c r="D428" s="2" t="s">
        <v>393</v>
      </c>
      <c r="E428" s="2" t="s">
        <v>36</v>
      </c>
      <c r="F428" s="2" t="s">
        <v>16</v>
      </c>
      <c r="G428" s="2" t="s">
        <v>191</v>
      </c>
      <c r="H428" s="2" t="s">
        <v>16</v>
      </c>
      <c r="I428" s="2" t="s">
        <v>17</v>
      </c>
    </row>
    <row r="429" spans="1:9" x14ac:dyDescent="0.35">
      <c r="A429" s="2" t="s">
        <v>356</v>
      </c>
      <c r="B429" s="2" t="s">
        <v>54</v>
      </c>
      <c r="C429" s="2" t="s">
        <v>392</v>
      </c>
      <c r="D429" s="2" t="s">
        <v>91</v>
      </c>
      <c r="E429" s="2" t="s">
        <v>19</v>
      </c>
      <c r="F429" s="2" t="s">
        <v>16</v>
      </c>
      <c r="G429" s="2" t="s">
        <v>191</v>
      </c>
      <c r="H429" s="2" t="s">
        <v>16</v>
      </c>
      <c r="I429" s="2" t="s">
        <v>17</v>
      </c>
    </row>
    <row r="430" spans="1:9" x14ac:dyDescent="0.35">
      <c r="A430" s="2" t="s">
        <v>356</v>
      </c>
      <c r="B430" s="2" t="s">
        <v>54</v>
      </c>
      <c r="C430" s="2" t="s">
        <v>392</v>
      </c>
      <c r="D430" s="2" t="s">
        <v>89</v>
      </c>
      <c r="E430" s="2" t="s">
        <v>45</v>
      </c>
      <c r="F430" s="2" t="s">
        <v>16</v>
      </c>
      <c r="G430" s="2" t="s">
        <v>394</v>
      </c>
      <c r="H430" s="2" t="s">
        <v>16</v>
      </c>
      <c r="I430" s="2" t="s">
        <v>17</v>
      </c>
    </row>
    <row r="431" spans="1:9" x14ac:dyDescent="0.35">
      <c r="A431" s="2" t="s">
        <v>356</v>
      </c>
      <c r="B431" s="2" t="s">
        <v>54</v>
      </c>
      <c r="C431" s="2" t="s">
        <v>392</v>
      </c>
      <c r="D431" s="2" t="s">
        <v>149</v>
      </c>
      <c r="E431" s="2" t="s">
        <v>150</v>
      </c>
      <c r="F431" s="2" t="s">
        <v>16</v>
      </c>
      <c r="G431" s="2" t="s">
        <v>191</v>
      </c>
      <c r="H431" s="2" t="s">
        <v>16</v>
      </c>
      <c r="I431" s="2" t="s">
        <v>17</v>
      </c>
    </row>
    <row r="432" spans="1:9" x14ac:dyDescent="0.35">
      <c r="A432" s="2" t="s">
        <v>356</v>
      </c>
      <c r="B432" s="2" t="s">
        <v>24</v>
      </c>
      <c r="C432" s="2" t="s">
        <v>395</v>
      </c>
      <c r="D432" s="2" t="s">
        <v>172</v>
      </c>
      <c r="E432" s="2" t="s">
        <v>65</v>
      </c>
      <c r="F432" s="2"/>
      <c r="G432" s="2"/>
      <c r="H432" s="2" t="s">
        <v>16</v>
      </c>
      <c r="I432" s="2" t="s">
        <v>17</v>
      </c>
    </row>
    <row r="433" spans="1:9" x14ac:dyDescent="0.35">
      <c r="A433" s="2" t="s">
        <v>356</v>
      </c>
      <c r="B433" s="2" t="s">
        <v>24</v>
      </c>
      <c r="C433" s="2" t="s">
        <v>395</v>
      </c>
      <c r="D433" s="2" t="s">
        <v>18</v>
      </c>
      <c r="E433" s="2" t="s">
        <v>19</v>
      </c>
      <c r="F433" s="2" t="s">
        <v>20</v>
      </c>
      <c r="G433" s="2" t="s">
        <v>396</v>
      </c>
      <c r="H433" s="2" t="s">
        <v>16</v>
      </c>
      <c r="I433" s="2" t="s">
        <v>17</v>
      </c>
    </row>
    <row r="434" spans="1:9" x14ac:dyDescent="0.35">
      <c r="A434" s="2" t="s">
        <v>356</v>
      </c>
      <c r="B434" s="2" t="s">
        <v>12</v>
      </c>
      <c r="C434" s="2" t="s">
        <v>397</v>
      </c>
      <c r="D434" s="2" t="s">
        <v>14</v>
      </c>
      <c r="E434" s="2" t="s">
        <v>15</v>
      </c>
      <c r="F434" s="2"/>
      <c r="G434" s="2"/>
      <c r="H434" s="2" t="s">
        <v>16</v>
      </c>
      <c r="I434" s="2" t="s">
        <v>26</v>
      </c>
    </row>
    <row r="435" spans="1:9" x14ac:dyDescent="0.35">
      <c r="A435" s="2" t="s">
        <v>356</v>
      </c>
      <c r="B435" s="2" t="s">
        <v>12</v>
      </c>
      <c r="C435" s="2" t="s">
        <v>397</v>
      </c>
      <c r="D435" s="2" t="s">
        <v>39</v>
      </c>
      <c r="E435" s="2" t="s">
        <v>40</v>
      </c>
      <c r="F435" s="2"/>
      <c r="G435" s="2"/>
      <c r="H435" s="2" t="s">
        <v>16</v>
      </c>
      <c r="I435" s="2" t="s">
        <v>26</v>
      </c>
    </row>
    <row r="436" spans="1:9" x14ac:dyDescent="0.35">
      <c r="A436" s="2" t="s">
        <v>356</v>
      </c>
      <c r="B436" s="2" t="s">
        <v>12</v>
      </c>
      <c r="C436" s="2" t="s">
        <v>397</v>
      </c>
      <c r="D436" s="2" t="s">
        <v>18</v>
      </c>
      <c r="E436" s="2" t="s">
        <v>19</v>
      </c>
      <c r="F436" s="2" t="s">
        <v>16</v>
      </c>
      <c r="G436" s="2" t="s">
        <v>398</v>
      </c>
      <c r="H436" s="2" t="s">
        <v>16</v>
      </c>
      <c r="I436" s="2" t="s">
        <v>26</v>
      </c>
    </row>
    <row r="437" spans="1:9" x14ac:dyDescent="0.35">
      <c r="A437" s="2" t="s">
        <v>356</v>
      </c>
      <c r="B437" s="2" t="s">
        <v>12</v>
      </c>
      <c r="C437" s="2" t="s">
        <v>399</v>
      </c>
      <c r="D437" s="2" t="s">
        <v>51</v>
      </c>
      <c r="E437" s="2" t="s">
        <v>52</v>
      </c>
      <c r="F437" s="2"/>
      <c r="G437" s="2"/>
      <c r="H437" s="2" t="s">
        <v>16</v>
      </c>
      <c r="I437" s="2" t="s">
        <v>26</v>
      </c>
    </row>
    <row r="438" spans="1:9" x14ac:dyDescent="0.35">
      <c r="A438" s="2" t="s">
        <v>356</v>
      </c>
      <c r="B438" s="2" t="s">
        <v>12</v>
      </c>
      <c r="C438" s="2" t="s">
        <v>399</v>
      </c>
      <c r="D438" s="2" t="s">
        <v>18</v>
      </c>
      <c r="E438" s="2" t="s">
        <v>19</v>
      </c>
      <c r="F438" s="2" t="s">
        <v>20</v>
      </c>
      <c r="G438" s="2" t="s">
        <v>400</v>
      </c>
      <c r="H438" s="2" t="s">
        <v>16</v>
      </c>
      <c r="I438" s="2" t="s">
        <v>26</v>
      </c>
    </row>
    <row r="439" spans="1:9" x14ac:dyDescent="0.35">
      <c r="A439" s="2" t="s">
        <v>356</v>
      </c>
      <c r="B439" s="2" t="s">
        <v>12</v>
      </c>
      <c r="C439" s="2" t="s">
        <v>401</v>
      </c>
      <c r="D439" s="2" t="s">
        <v>91</v>
      </c>
      <c r="E439" s="2" t="s">
        <v>19</v>
      </c>
      <c r="F439" s="2" t="s">
        <v>20</v>
      </c>
      <c r="G439" s="2" t="s">
        <v>402</v>
      </c>
      <c r="H439" s="2"/>
      <c r="I439" s="2"/>
    </row>
    <row r="440" spans="1:9" x14ac:dyDescent="0.35">
      <c r="A440" s="2" t="s">
        <v>356</v>
      </c>
      <c r="B440" s="2" t="s">
        <v>12</v>
      </c>
      <c r="C440" s="2" t="s">
        <v>401</v>
      </c>
      <c r="D440" s="2" t="s">
        <v>64</v>
      </c>
      <c r="E440" s="2" t="s">
        <v>65</v>
      </c>
      <c r="F440" s="2"/>
      <c r="G440" s="2"/>
      <c r="H440" s="2"/>
      <c r="I440" s="2"/>
    </row>
    <row r="441" spans="1:9" x14ac:dyDescent="0.35">
      <c r="A441" s="2" t="s">
        <v>356</v>
      </c>
      <c r="B441" s="2" t="s">
        <v>54</v>
      </c>
      <c r="C441" s="2" t="s">
        <v>403</v>
      </c>
      <c r="D441" s="2" t="s">
        <v>33</v>
      </c>
      <c r="E441" s="2" t="s">
        <v>34</v>
      </c>
      <c r="F441" s="2" t="s">
        <v>16</v>
      </c>
      <c r="G441" s="2" t="s">
        <v>191</v>
      </c>
      <c r="H441" s="2" t="s">
        <v>16</v>
      </c>
      <c r="I441" s="2" t="s">
        <v>404</v>
      </c>
    </row>
    <row r="442" spans="1:9" x14ac:dyDescent="0.35">
      <c r="A442" s="2" t="s">
        <v>356</v>
      </c>
      <c r="B442" s="2" t="s">
        <v>54</v>
      </c>
      <c r="C442" s="2" t="s">
        <v>403</v>
      </c>
      <c r="D442" s="2" t="s">
        <v>35</v>
      </c>
      <c r="E442" s="2" t="s">
        <v>36</v>
      </c>
      <c r="F442" s="2" t="s">
        <v>16</v>
      </c>
      <c r="G442" s="2" t="s">
        <v>191</v>
      </c>
      <c r="H442" s="2" t="s">
        <v>16</v>
      </c>
      <c r="I442" s="2" t="s">
        <v>404</v>
      </c>
    </row>
    <row r="443" spans="1:9" x14ac:dyDescent="0.35">
      <c r="A443" s="2" t="s">
        <v>356</v>
      </c>
      <c r="B443" s="2" t="s">
        <v>54</v>
      </c>
      <c r="C443" s="2" t="s">
        <v>403</v>
      </c>
      <c r="D443" s="2" t="s">
        <v>213</v>
      </c>
      <c r="E443" s="2" t="s">
        <v>45</v>
      </c>
      <c r="F443" s="2" t="s">
        <v>16</v>
      </c>
      <c r="G443" s="2" t="s">
        <v>191</v>
      </c>
      <c r="H443" s="2" t="s">
        <v>16</v>
      </c>
      <c r="I443" s="2" t="s">
        <v>404</v>
      </c>
    </row>
    <row r="444" spans="1:9" x14ac:dyDescent="0.35">
      <c r="A444" s="2" t="s">
        <v>356</v>
      </c>
      <c r="B444" s="2" t="s">
        <v>54</v>
      </c>
      <c r="C444" s="2" t="s">
        <v>403</v>
      </c>
      <c r="D444" s="2" t="s">
        <v>61</v>
      </c>
      <c r="E444" s="2" t="s">
        <v>30</v>
      </c>
      <c r="F444" s="2" t="s">
        <v>16</v>
      </c>
      <c r="G444" s="2" t="s">
        <v>191</v>
      </c>
      <c r="H444" s="2" t="s">
        <v>16</v>
      </c>
      <c r="I444" s="2" t="s">
        <v>404</v>
      </c>
    </row>
    <row r="445" spans="1:9" x14ac:dyDescent="0.35">
      <c r="A445" s="2" t="s">
        <v>356</v>
      </c>
      <c r="B445" s="2" t="s">
        <v>54</v>
      </c>
      <c r="C445" s="2" t="s">
        <v>403</v>
      </c>
      <c r="D445" s="2" t="s">
        <v>188</v>
      </c>
      <c r="E445" s="2" t="s">
        <v>189</v>
      </c>
      <c r="F445" s="2" t="s">
        <v>16</v>
      </c>
      <c r="G445" s="2" t="s">
        <v>405</v>
      </c>
      <c r="H445" s="2" t="s">
        <v>16</v>
      </c>
      <c r="I445" s="2" t="s">
        <v>404</v>
      </c>
    </row>
    <row r="446" spans="1:9" x14ac:dyDescent="0.35">
      <c r="A446" s="2" t="s">
        <v>356</v>
      </c>
      <c r="B446" s="2" t="s">
        <v>54</v>
      </c>
      <c r="C446" s="2" t="s">
        <v>403</v>
      </c>
      <c r="D446" s="2" t="s">
        <v>193</v>
      </c>
      <c r="E446" s="2" t="s">
        <v>40</v>
      </c>
      <c r="F446" s="2" t="s">
        <v>16</v>
      </c>
      <c r="G446" s="2" t="s">
        <v>406</v>
      </c>
      <c r="H446" s="2" t="s">
        <v>16</v>
      </c>
      <c r="I446" s="2" t="s">
        <v>404</v>
      </c>
    </row>
    <row r="447" spans="1:9" x14ac:dyDescent="0.35">
      <c r="A447" s="2" t="s">
        <v>356</v>
      </c>
      <c r="B447" s="2" t="s">
        <v>62</v>
      </c>
      <c r="C447" s="2" t="s">
        <v>407</v>
      </c>
      <c r="D447" s="2" t="s">
        <v>64</v>
      </c>
      <c r="E447" s="2" t="s">
        <v>65</v>
      </c>
      <c r="F447" s="2"/>
      <c r="G447" s="2"/>
      <c r="H447" s="2" t="s">
        <v>16</v>
      </c>
      <c r="I447" s="2" t="s">
        <v>26</v>
      </c>
    </row>
    <row r="448" spans="1:9" x14ac:dyDescent="0.35">
      <c r="A448" s="2" t="s">
        <v>356</v>
      </c>
      <c r="B448" s="2" t="s">
        <v>62</v>
      </c>
      <c r="C448" s="2" t="s">
        <v>407</v>
      </c>
      <c r="D448" s="2" t="s">
        <v>18</v>
      </c>
      <c r="E448" s="2" t="s">
        <v>19</v>
      </c>
      <c r="F448" s="2" t="s">
        <v>16</v>
      </c>
      <c r="G448" s="2" t="s">
        <v>408</v>
      </c>
      <c r="H448" s="2" t="s">
        <v>16</v>
      </c>
      <c r="I448" s="2" t="s">
        <v>26</v>
      </c>
    </row>
    <row r="449" spans="1:9" x14ac:dyDescent="0.35">
      <c r="A449" s="2" t="s">
        <v>356</v>
      </c>
      <c r="B449" s="2" t="s">
        <v>62</v>
      </c>
      <c r="C449" s="2" t="s">
        <v>407</v>
      </c>
      <c r="D449" s="2" t="s">
        <v>352</v>
      </c>
      <c r="E449" s="2" t="s">
        <v>107</v>
      </c>
      <c r="F449" s="2"/>
      <c r="G449" s="2"/>
      <c r="H449" s="2" t="s">
        <v>16</v>
      </c>
      <c r="I449" s="2" t="s">
        <v>26</v>
      </c>
    </row>
    <row r="450" spans="1:9" x14ac:dyDescent="0.35">
      <c r="A450" s="2" t="s">
        <v>356</v>
      </c>
      <c r="B450" s="2" t="s">
        <v>62</v>
      </c>
      <c r="C450" s="2" t="s">
        <v>409</v>
      </c>
      <c r="D450" s="2" t="s">
        <v>352</v>
      </c>
      <c r="E450" s="2" t="s">
        <v>107</v>
      </c>
      <c r="F450" s="2"/>
      <c r="G450" s="2"/>
      <c r="H450" s="2" t="s">
        <v>16</v>
      </c>
      <c r="I450" s="2" t="s">
        <v>17</v>
      </c>
    </row>
    <row r="451" spans="1:9" x14ac:dyDescent="0.35">
      <c r="A451" s="2" t="s">
        <v>356</v>
      </c>
      <c r="B451" s="2" t="s">
        <v>12</v>
      </c>
      <c r="C451" s="2" t="s">
        <v>410</v>
      </c>
      <c r="D451" s="2" t="s">
        <v>144</v>
      </c>
      <c r="E451" s="2" t="s">
        <v>50</v>
      </c>
      <c r="F451" s="2"/>
      <c r="G451" s="2"/>
      <c r="H451" s="2" t="s">
        <v>16</v>
      </c>
      <c r="I451" s="2" t="s">
        <v>17</v>
      </c>
    </row>
    <row r="452" spans="1:9" x14ac:dyDescent="0.35">
      <c r="A452" s="2" t="s">
        <v>356</v>
      </c>
      <c r="B452" s="2" t="s">
        <v>12</v>
      </c>
      <c r="C452" s="2" t="s">
        <v>410</v>
      </c>
      <c r="D452" s="2" t="s">
        <v>172</v>
      </c>
      <c r="E452" s="2" t="s">
        <v>65</v>
      </c>
      <c r="F452" s="2" t="s">
        <v>20</v>
      </c>
      <c r="G452" s="2" t="s">
        <v>411</v>
      </c>
      <c r="H452" s="2" t="s">
        <v>16</v>
      </c>
      <c r="I452" s="2" t="s">
        <v>17</v>
      </c>
    </row>
    <row r="453" spans="1:9" x14ac:dyDescent="0.35">
      <c r="A453" s="2" t="s">
        <v>356</v>
      </c>
      <c r="B453" s="2" t="s">
        <v>12</v>
      </c>
      <c r="C453" s="2" t="s">
        <v>410</v>
      </c>
      <c r="D453" s="2" t="s">
        <v>18</v>
      </c>
      <c r="E453" s="2" t="s">
        <v>19</v>
      </c>
      <c r="F453" s="2" t="s">
        <v>20</v>
      </c>
      <c r="G453" s="2" t="s">
        <v>412</v>
      </c>
      <c r="H453" s="2" t="s">
        <v>16</v>
      </c>
      <c r="I453" s="2" t="s">
        <v>17</v>
      </c>
    </row>
    <row r="454" spans="1:9" x14ac:dyDescent="0.35">
      <c r="A454" s="2" t="s">
        <v>356</v>
      </c>
      <c r="B454" s="2" t="s">
        <v>12</v>
      </c>
      <c r="C454" s="2" t="s">
        <v>410</v>
      </c>
      <c r="D454" s="2" t="s">
        <v>149</v>
      </c>
      <c r="E454" s="2" t="s">
        <v>150</v>
      </c>
      <c r="F454" s="2" t="s">
        <v>20</v>
      </c>
      <c r="G454" s="2" t="s">
        <v>412</v>
      </c>
      <c r="H454" s="2" t="s">
        <v>16</v>
      </c>
      <c r="I454" s="2" t="s">
        <v>17</v>
      </c>
    </row>
    <row r="455" spans="1:9" x14ac:dyDescent="0.35">
      <c r="A455" s="2" t="s">
        <v>356</v>
      </c>
      <c r="B455" s="2" t="s">
        <v>62</v>
      </c>
      <c r="C455" s="2" t="s">
        <v>413</v>
      </c>
      <c r="D455" s="2" t="s">
        <v>27</v>
      </c>
      <c r="E455" s="2" t="s">
        <v>28</v>
      </c>
      <c r="F455" s="2"/>
      <c r="G455" s="2"/>
      <c r="H455" s="2"/>
      <c r="I455" s="2"/>
    </row>
    <row r="456" spans="1:9" x14ac:dyDescent="0.35">
      <c r="A456" s="2" t="s">
        <v>356</v>
      </c>
      <c r="B456" s="2" t="s">
        <v>62</v>
      </c>
      <c r="C456" s="2" t="s">
        <v>413</v>
      </c>
      <c r="D456" s="2" t="s">
        <v>106</v>
      </c>
      <c r="E456" s="2" t="s">
        <v>107</v>
      </c>
      <c r="F456" s="2"/>
      <c r="G456" s="2"/>
      <c r="H456" s="2"/>
      <c r="I456" s="2"/>
    </row>
    <row r="457" spans="1:9" x14ac:dyDescent="0.35">
      <c r="A457" s="2" t="s">
        <v>414</v>
      </c>
      <c r="B457" s="2" t="s">
        <v>24</v>
      </c>
      <c r="C457" s="2" t="s">
        <v>415</v>
      </c>
      <c r="D457" s="2" t="s">
        <v>31</v>
      </c>
      <c r="E457" s="2" t="s">
        <v>32</v>
      </c>
      <c r="F457" s="2"/>
      <c r="G457" s="2"/>
      <c r="H457" s="2"/>
      <c r="I457" s="2"/>
    </row>
    <row r="458" spans="1:9" x14ac:dyDescent="0.35">
      <c r="A458" s="2" t="s">
        <v>414</v>
      </c>
      <c r="B458" s="2" t="s">
        <v>24</v>
      </c>
      <c r="C458" s="2" t="s">
        <v>415</v>
      </c>
      <c r="D458" s="2" t="s">
        <v>416</v>
      </c>
      <c r="E458" s="2" t="s">
        <v>38</v>
      </c>
      <c r="F458" s="2"/>
      <c r="G458" s="2"/>
      <c r="H458" s="2"/>
      <c r="I458" s="2"/>
    </row>
    <row r="459" spans="1:9" x14ac:dyDescent="0.35">
      <c r="A459" s="2" t="s">
        <v>414</v>
      </c>
      <c r="B459" s="2" t="s">
        <v>24</v>
      </c>
      <c r="C459" s="2" t="s">
        <v>415</v>
      </c>
      <c r="D459" s="2" t="s">
        <v>417</v>
      </c>
      <c r="E459" s="2" t="s">
        <v>40</v>
      </c>
      <c r="F459" s="2"/>
      <c r="G459" s="2"/>
      <c r="H459" s="2"/>
      <c r="I459" s="2"/>
    </row>
    <row r="460" spans="1:9" x14ac:dyDescent="0.35">
      <c r="A460" s="2" t="s">
        <v>414</v>
      </c>
      <c r="B460" s="2" t="s">
        <v>24</v>
      </c>
      <c r="C460" s="2" t="s">
        <v>415</v>
      </c>
      <c r="D460" s="2" t="s">
        <v>18</v>
      </c>
      <c r="E460" s="2" t="s">
        <v>19</v>
      </c>
      <c r="F460" s="2" t="s">
        <v>16</v>
      </c>
      <c r="G460" s="2" t="s">
        <v>418</v>
      </c>
      <c r="H460" s="2"/>
      <c r="I460" s="2"/>
    </row>
    <row r="461" spans="1:9" x14ac:dyDescent="0.35">
      <c r="A461" s="2" t="s">
        <v>414</v>
      </c>
      <c r="B461" s="2" t="s">
        <v>24</v>
      </c>
      <c r="C461" s="2" t="s">
        <v>415</v>
      </c>
      <c r="D461" s="2" t="s">
        <v>193</v>
      </c>
      <c r="E461" s="2" t="s">
        <v>40</v>
      </c>
      <c r="F461" s="2"/>
      <c r="G461" s="2"/>
      <c r="H461" s="2"/>
      <c r="I461" s="2"/>
    </row>
    <row r="462" spans="1:9" x14ac:dyDescent="0.35">
      <c r="A462" s="2" t="s">
        <v>414</v>
      </c>
      <c r="B462" s="2" t="s">
        <v>24</v>
      </c>
      <c r="C462" s="2" t="s">
        <v>415</v>
      </c>
      <c r="D462" s="2" t="s">
        <v>302</v>
      </c>
      <c r="E462" s="2" t="s">
        <v>65</v>
      </c>
      <c r="F462" s="2"/>
      <c r="G462" s="2"/>
      <c r="H462" s="2"/>
      <c r="I462" s="2"/>
    </row>
    <row r="463" spans="1:9" x14ac:dyDescent="0.35">
      <c r="A463" s="2" t="s">
        <v>414</v>
      </c>
      <c r="B463" s="2" t="s">
        <v>54</v>
      </c>
      <c r="C463" s="2" t="s">
        <v>419</v>
      </c>
      <c r="D463" s="2" t="s">
        <v>31</v>
      </c>
      <c r="E463" s="2" t="s">
        <v>32</v>
      </c>
      <c r="F463" s="2"/>
      <c r="G463" s="2"/>
      <c r="H463" s="2"/>
      <c r="I463" s="2"/>
    </row>
    <row r="464" spans="1:9" x14ac:dyDescent="0.35">
      <c r="A464" s="2" t="s">
        <v>414</v>
      </c>
      <c r="B464" s="2" t="s">
        <v>54</v>
      </c>
      <c r="C464" s="2" t="s">
        <v>419</v>
      </c>
      <c r="D464" s="2" t="s">
        <v>38</v>
      </c>
      <c r="E464" s="2" t="s">
        <v>38</v>
      </c>
      <c r="F464" s="2"/>
      <c r="G464" s="2"/>
      <c r="H464" s="2"/>
      <c r="I464" s="2"/>
    </row>
    <row r="465" spans="1:9" x14ac:dyDescent="0.35">
      <c r="A465" s="2" t="s">
        <v>414</v>
      </c>
      <c r="B465" s="2" t="s">
        <v>54</v>
      </c>
      <c r="C465" s="2" t="s">
        <v>419</v>
      </c>
      <c r="D465" s="2" t="s">
        <v>18</v>
      </c>
      <c r="E465" s="2" t="s">
        <v>19</v>
      </c>
      <c r="F465" s="2" t="s">
        <v>16</v>
      </c>
      <c r="G465" s="2" t="s">
        <v>420</v>
      </c>
      <c r="H465" s="2"/>
      <c r="I465" s="2"/>
    </row>
    <row r="466" spans="1:9" x14ac:dyDescent="0.35">
      <c r="A466" s="2" t="s">
        <v>421</v>
      </c>
      <c r="B466" s="2" t="s">
        <v>62</v>
      </c>
      <c r="C466" s="2" t="s">
        <v>422</v>
      </c>
      <c r="D466" s="2" t="s">
        <v>77</v>
      </c>
      <c r="E466" s="2" t="s">
        <v>78</v>
      </c>
      <c r="F466" s="2"/>
      <c r="G466" s="2"/>
      <c r="H466" s="2" t="s">
        <v>16</v>
      </c>
      <c r="I466" s="2" t="s">
        <v>142</v>
      </c>
    </row>
    <row r="467" spans="1:9" x14ac:dyDescent="0.35">
      <c r="A467" s="2" t="s">
        <v>421</v>
      </c>
      <c r="B467" s="2" t="s">
        <v>62</v>
      </c>
      <c r="C467" s="2" t="s">
        <v>422</v>
      </c>
      <c r="D467" s="2" t="s">
        <v>64</v>
      </c>
      <c r="E467" s="2" t="s">
        <v>65</v>
      </c>
      <c r="F467" s="2"/>
      <c r="G467" s="2"/>
      <c r="H467" s="2" t="s">
        <v>16</v>
      </c>
      <c r="I467" s="2" t="s">
        <v>142</v>
      </c>
    </row>
    <row r="468" spans="1:9" x14ac:dyDescent="0.35">
      <c r="A468" s="2" t="s">
        <v>421</v>
      </c>
      <c r="B468" s="2" t="s">
        <v>62</v>
      </c>
      <c r="C468" s="2" t="s">
        <v>422</v>
      </c>
      <c r="D468" s="2" t="s">
        <v>61</v>
      </c>
      <c r="E468" s="2" t="s">
        <v>30</v>
      </c>
      <c r="F468" s="2"/>
      <c r="G468" s="2"/>
      <c r="H468" s="2" t="s">
        <v>16</v>
      </c>
      <c r="I468" s="2" t="s">
        <v>142</v>
      </c>
    </row>
    <row r="469" spans="1:9" x14ac:dyDescent="0.35">
      <c r="A469" s="2" t="s">
        <v>421</v>
      </c>
      <c r="B469" s="2" t="s">
        <v>62</v>
      </c>
      <c r="C469" s="2" t="s">
        <v>422</v>
      </c>
      <c r="D469" s="2" t="s">
        <v>423</v>
      </c>
      <c r="E469" s="2" t="s">
        <v>424</v>
      </c>
      <c r="F469" s="2"/>
      <c r="G469" s="2"/>
      <c r="H469" s="2" t="s">
        <v>16</v>
      </c>
      <c r="I469" s="2" t="s">
        <v>142</v>
      </c>
    </row>
    <row r="470" spans="1:9" x14ac:dyDescent="0.35">
      <c r="A470" s="2" t="s">
        <v>421</v>
      </c>
      <c r="B470" s="2" t="s">
        <v>57</v>
      </c>
      <c r="C470" s="2" t="s">
        <v>425</v>
      </c>
      <c r="D470" s="2" t="s">
        <v>130</v>
      </c>
      <c r="E470" s="2" t="s">
        <v>36</v>
      </c>
      <c r="F470" s="2"/>
      <c r="G470" s="2"/>
      <c r="H470" s="2" t="s">
        <v>16</v>
      </c>
      <c r="I470" s="2" t="s">
        <v>148</v>
      </c>
    </row>
    <row r="471" spans="1:9" x14ac:dyDescent="0.35">
      <c r="A471" s="2" t="s">
        <v>421</v>
      </c>
      <c r="B471" s="2" t="s">
        <v>57</v>
      </c>
      <c r="C471" s="2" t="s">
        <v>425</v>
      </c>
      <c r="D471" s="2" t="s">
        <v>14</v>
      </c>
      <c r="E471" s="2" t="s">
        <v>15</v>
      </c>
      <c r="F471" s="2"/>
      <c r="G471" s="2"/>
      <c r="H471" s="2"/>
      <c r="I471" s="2"/>
    </row>
    <row r="472" spans="1:9" x14ac:dyDescent="0.35">
      <c r="A472" s="2" t="s">
        <v>421</v>
      </c>
      <c r="B472" s="2" t="s">
        <v>57</v>
      </c>
      <c r="C472" s="2" t="s">
        <v>425</v>
      </c>
      <c r="D472" s="2" t="s">
        <v>74</v>
      </c>
      <c r="E472" s="2" t="s">
        <v>75</v>
      </c>
      <c r="F472" s="2" t="s">
        <v>16</v>
      </c>
      <c r="G472" s="2" t="s">
        <v>426</v>
      </c>
      <c r="H472" s="2" t="s">
        <v>16</v>
      </c>
      <c r="I472" s="2" t="s">
        <v>427</v>
      </c>
    </row>
    <row r="473" spans="1:9" x14ac:dyDescent="0.35">
      <c r="A473" s="2" t="s">
        <v>421</v>
      </c>
      <c r="B473" s="2" t="s">
        <v>57</v>
      </c>
      <c r="C473" s="2" t="s">
        <v>425</v>
      </c>
      <c r="D473" s="2" t="s">
        <v>31</v>
      </c>
      <c r="E473" s="2" t="s">
        <v>32</v>
      </c>
      <c r="F473" s="2"/>
      <c r="G473" s="2"/>
      <c r="H473" s="2" t="s">
        <v>16</v>
      </c>
      <c r="I473" s="2" t="s">
        <v>427</v>
      </c>
    </row>
    <row r="474" spans="1:9" x14ac:dyDescent="0.35">
      <c r="A474" s="2" t="s">
        <v>421</v>
      </c>
      <c r="B474" s="2" t="s">
        <v>57</v>
      </c>
      <c r="C474" s="2" t="s">
        <v>425</v>
      </c>
      <c r="D474" s="2" t="s">
        <v>112</v>
      </c>
      <c r="E474" s="2" t="s">
        <v>113</v>
      </c>
      <c r="F474" s="2" t="s">
        <v>16</v>
      </c>
      <c r="G474" s="2" t="s">
        <v>261</v>
      </c>
      <c r="H474" s="2" t="s">
        <v>16</v>
      </c>
      <c r="I474" s="2" t="s">
        <v>427</v>
      </c>
    </row>
    <row r="475" spans="1:9" x14ac:dyDescent="0.35">
      <c r="A475" s="2" t="s">
        <v>421</v>
      </c>
      <c r="B475" s="2" t="s">
        <v>62</v>
      </c>
      <c r="C475" s="2" t="s">
        <v>428</v>
      </c>
      <c r="D475" s="2" t="s">
        <v>106</v>
      </c>
      <c r="E475" s="2" t="s">
        <v>107</v>
      </c>
      <c r="F475" s="2"/>
      <c r="G475" s="2"/>
      <c r="H475" s="2"/>
      <c r="I475" s="2"/>
    </row>
    <row r="476" spans="1:9" x14ac:dyDescent="0.35">
      <c r="A476" s="2" t="s">
        <v>421</v>
      </c>
      <c r="B476" s="2" t="s">
        <v>24</v>
      </c>
      <c r="C476" s="2" t="s">
        <v>429</v>
      </c>
      <c r="D476" s="2" t="s">
        <v>74</v>
      </c>
      <c r="E476" s="2" t="s">
        <v>75</v>
      </c>
      <c r="F476" s="2"/>
      <c r="G476" s="2" t="s">
        <v>430</v>
      </c>
      <c r="H476" s="2" t="s">
        <v>16</v>
      </c>
      <c r="I476" s="2" t="s">
        <v>427</v>
      </c>
    </row>
    <row r="477" spans="1:9" x14ac:dyDescent="0.35">
      <c r="A477" s="2" t="s">
        <v>421</v>
      </c>
      <c r="B477" s="2" t="s">
        <v>24</v>
      </c>
      <c r="C477" s="2" t="s">
        <v>431</v>
      </c>
      <c r="D477" s="2" t="s">
        <v>27</v>
      </c>
      <c r="E477" s="2" t="s">
        <v>28</v>
      </c>
      <c r="F477" s="2"/>
      <c r="G477" s="2"/>
      <c r="H477" s="2" t="s">
        <v>16</v>
      </c>
      <c r="I477" s="2" t="s">
        <v>427</v>
      </c>
    </row>
    <row r="478" spans="1:9" x14ac:dyDescent="0.35">
      <c r="A478" s="2" t="s">
        <v>421</v>
      </c>
      <c r="B478" s="2" t="s">
        <v>24</v>
      </c>
      <c r="C478" s="2" t="s">
        <v>431</v>
      </c>
      <c r="D478" s="2" t="s">
        <v>31</v>
      </c>
      <c r="E478" s="2" t="s">
        <v>32</v>
      </c>
      <c r="F478" s="2"/>
      <c r="G478" s="2"/>
      <c r="H478" s="2" t="s">
        <v>16</v>
      </c>
      <c r="I478" s="2" t="s">
        <v>427</v>
      </c>
    </row>
    <row r="479" spans="1:9" x14ac:dyDescent="0.35">
      <c r="A479" s="2" t="s">
        <v>421</v>
      </c>
      <c r="B479" s="2" t="s">
        <v>24</v>
      </c>
      <c r="C479" s="2" t="s">
        <v>431</v>
      </c>
      <c r="D479" s="2" t="s">
        <v>82</v>
      </c>
      <c r="E479" s="2" t="s">
        <v>83</v>
      </c>
      <c r="F479" s="2"/>
      <c r="G479" s="2"/>
      <c r="H479" s="2" t="s">
        <v>16</v>
      </c>
      <c r="I479" s="2" t="s">
        <v>427</v>
      </c>
    </row>
    <row r="480" spans="1:9" x14ac:dyDescent="0.35">
      <c r="A480" s="2" t="s">
        <v>421</v>
      </c>
      <c r="B480" s="2" t="s">
        <v>24</v>
      </c>
      <c r="C480" s="2" t="s">
        <v>431</v>
      </c>
      <c r="D480" s="2" t="s">
        <v>416</v>
      </c>
      <c r="E480" s="2" t="s">
        <v>38</v>
      </c>
      <c r="F480" s="2"/>
      <c r="G480" s="2"/>
      <c r="H480" s="2" t="s">
        <v>16</v>
      </c>
      <c r="I480" s="2" t="s">
        <v>427</v>
      </c>
    </row>
    <row r="481" spans="1:9" x14ac:dyDescent="0.35">
      <c r="A481" s="2" t="s">
        <v>421</v>
      </c>
      <c r="B481" s="2" t="s">
        <v>24</v>
      </c>
      <c r="C481" s="2" t="s">
        <v>431</v>
      </c>
      <c r="D481" s="2" t="s">
        <v>87</v>
      </c>
      <c r="E481" s="2" t="s">
        <v>75</v>
      </c>
      <c r="F481" s="2" t="s">
        <v>16</v>
      </c>
      <c r="G481" s="2" t="s">
        <v>432</v>
      </c>
      <c r="H481" s="2" t="s">
        <v>16</v>
      </c>
      <c r="I481" s="2" t="s">
        <v>427</v>
      </c>
    </row>
    <row r="482" spans="1:9" x14ac:dyDescent="0.35">
      <c r="A482" s="2" t="s">
        <v>421</v>
      </c>
      <c r="B482" s="2" t="s">
        <v>54</v>
      </c>
      <c r="C482" s="2" t="s">
        <v>433</v>
      </c>
      <c r="D482" s="2" t="s">
        <v>136</v>
      </c>
      <c r="E482" s="2" t="s">
        <v>107</v>
      </c>
      <c r="F482" s="2" t="s">
        <v>20</v>
      </c>
      <c r="G482" s="2" t="s">
        <v>434</v>
      </c>
      <c r="H482" s="2" t="s">
        <v>16</v>
      </c>
      <c r="I482" s="2" t="s">
        <v>427</v>
      </c>
    </row>
    <row r="483" spans="1:9" x14ac:dyDescent="0.35">
      <c r="A483" s="2" t="s">
        <v>421</v>
      </c>
      <c r="B483" s="2" t="s">
        <v>54</v>
      </c>
      <c r="C483" s="2" t="s">
        <v>433</v>
      </c>
      <c r="D483" s="2" t="s">
        <v>33</v>
      </c>
      <c r="E483" s="2" t="s">
        <v>34</v>
      </c>
      <c r="F483" s="2" t="s">
        <v>20</v>
      </c>
      <c r="G483" s="2" t="s">
        <v>434</v>
      </c>
      <c r="H483" s="2" t="s">
        <v>16</v>
      </c>
      <c r="I483" s="2" t="s">
        <v>427</v>
      </c>
    </row>
    <row r="484" spans="1:9" x14ac:dyDescent="0.35">
      <c r="A484" s="2" t="s">
        <v>421</v>
      </c>
      <c r="B484" s="2" t="s">
        <v>54</v>
      </c>
      <c r="C484" s="2" t="s">
        <v>433</v>
      </c>
      <c r="D484" s="2" t="s">
        <v>35</v>
      </c>
      <c r="E484" s="2" t="s">
        <v>36</v>
      </c>
      <c r="F484" s="2" t="s">
        <v>20</v>
      </c>
      <c r="G484" s="2" t="s">
        <v>434</v>
      </c>
      <c r="H484" s="2" t="s">
        <v>16</v>
      </c>
      <c r="I484" s="2" t="s">
        <v>427</v>
      </c>
    </row>
    <row r="485" spans="1:9" x14ac:dyDescent="0.35">
      <c r="A485" s="2" t="s">
        <v>421</v>
      </c>
      <c r="B485" s="2" t="s">
        <v>54</v>
      </c>
      <c r="C485" s="2" t="s">
        <v>433</v>
      </c>
      <c r="D485" s="2" t="s">
        <v>188</v>
      </c>
      <c r="E485" s="2" t="s">
        <v>189</v>
      </c>
      <c r="F485" s="2" t="s">
        <v>20</v>
      </c>
      <c r="G485" s="2" t="s">
        <v>434</v>
      </c>
      <c r="H485" s="2" t="s">
        <v>16</v>
      </c>
      <c r="I485" s="2" t="s">
        <v>427</v>
      </c>
    </row>
    <row r="486" spans="1:9" x14ac:dyDescent="0.35">
      <c r="A486" s="2" t="s">
        <v>421</v>
      </c>
      <c r="B486" s="2" t="s">
        <v>54</v>
      </c>
      <c r="C486" s="2" t="s">
        <v>433</v>
      </c>
      <c r="D486" s="2" t="s">
        <v>149</v>
      </c>
      <c r="E486" s="2" t="s">
        <v>150</v>
      </c>
      <c r="F486" s="2" t="s">
        <v>20</v>
      </c>
      <c r="G486" s="2" t="s">
        <v>434</v>
      </c>
      <c r="H486" s="2" t="s">
        <v>16</v>
      </c>
      <c r="I486" s="2" t="s">
        <v>427</v>
      </c>
    </row>
    <row r="487" spans="1:9" x14ac:dyDescent="0.35">
      <c r="A487" s="2" t="s">
        <v>435</v>
      </c>
      <c r="B487" s="2" t="s">
        <v>436</v>
      </c>
      <c r="C487" s="2" t="s">
        <v>437</v>
      </c>
      <c r="D487" s="2" t="s">
        <v>14</v>
      </c>
      <c r="E487" s="2" t="s">
        <v>15</v>
      </c>
      <c r="F487" s="2"/>
      <c r="G487" s="2"/>
      <c r="H487" s="2"/>
      <c r="I487" s="2"/>
    </row>
    <row r="488" spans="1:9" x14ac:dyDescent="0.35">
      <c r="A488" s="2" t="s">
        <v>435</v>
      </c>
      <c r="B488" s="2" t="s">
        <v>436</v>
      </c>
      <c r="C488" s="2" t="s">
        <v>437</v>
      </c>
      <c r="D488" s="2" t="s">
        <v>31</v>
      </c>
      <c r="E488" s="2" t="s">
        <v>32</v>
      </c>
      <c r="F488" s="2"/>
      <c r="G488" s="2"/>
      <c r="H488" s="2"/>
      <c r="I488" s="2"/>
    </row>
    <row r="489" spans="1:9" x14ac:dyDescent="0.35">
      <c r="A489" s="2" t="s">
        <v>435</v>
      </c>
      <c r="B489" s="2" t="s">
        <v>436</v>
      </c>
      <c r="C489" s="2" t="s">
        <v>437</v>
      </c>
      <c r="D489" s="2" t="s">
        <v>211</v>
      </c>
      <c r="E489" s="2" t="s">
        <v>203</v>
      </c>
      <c r="F489" s="2"/>
      <c r="G489" s="2"/>
      <c r="H489" s="2"/>
      <c r="I489" s="2"/>
    </row>
    <row r="490" spans="1:9" x14ac:dyDescent="0.35">
      <c r="A490" s="2" t="s">
        <v>435</v>
      </c>
      <c r="B490" s="2" t="s">
        <v>436</v>
      </c>
      <c r="C490" s="2" t="s">
        <v>437</v>
      </c>
      <c r="D490" s="2" t="s">
        <v>438</v>
      </c>
      <c r="E490" s="2" t="s">
        <v>19</v>
      </c>
      <c r="F490" s="2" t="s">
        <v>20</v>
      </c>
      <c r="G490" s="2" t="s">
        <v>439</v>
      </c>
      <c r="H490" s="2"/>
      <c r="I490" s="2"/>
    </row>
    <row r="491" spans="1:9" x14ac:dyDescent="0.35">
      <c r="A491" s="2" t="s">
        <v>440</v>
      </c>
      <c r="B491" s="2" t="s">
        <v>24</v>
      </c>
      <c r="C491" s="2" t="s">
        <v>441</v>
      </c>
      <c r="D491" s="2" t="s">
        <v>196</v>
      </c>
      <c r="E491" s="2" t="s">
        <v>197</v>
      </c>
      <c r="F491" s="2"/>
      <c r="G491" s="2"/>
      <c r="H491" s="2"/>
      <c r="I491" s="2"/>
    </row>
    <row r="492" spans="1:9" x14ac:dyDescent="0.35">
      <c r="A492" s="2" t="s">
        <v>440</v>
      </c>
      <c r="B492" s="2" t="s">
        <v>24</v>
      </c>
      <c r="C492" s="2" t="s">
        <v>441</v>
      </c>
      <c r="D492" s="2" t="s">
        <v>14</v>
      </c>
      <c r="E492" s="2" t="s">
        <v>15</v>
      </c>
      <c r="F492" s="2"/>
      <c r="G492" s="2"/>
      <c r="H492" s="2"/>
      <c r="I492" s="2"/>
    </row>
    <row r="493" spans="1:9" x14ac:dyDescent="0.35">
      <c r="A493" s="2" t="s">
        <v>440</v>
      </c>
      <c r="B493" s="2" t="s">
        <v>24</v>
      </c>
      <c r="C493" s="2" t="s">
        <v>441</v>
      </c>
      <c r="D493" s="2" t="s">
        <v>74</v>
      </c>
      <c r="E493" s="2" t="s">
        <v>75</v>
      </c>
      <c r="F493" s="2" t="s">
        <v>16</v>
      </c>
      <c r="G493" s="2" t="s">
        <v>442</v>
      </c>
      <c r="H493" s="2"/>
      <c r="I493" s="2"/>
    </row>
    <row r="494" spans="1:9" x14ac:dyDescent="0.35">
      <c r="A494" s="2" t="s">
        <v>440</v>
      </c>
      <c r="B494" s="2" t="s">
        <v>24</v>
      </c>
      <c r="C494" s="2" t="s">
        <v>441</v>
      </c>
      <c r="D494" s="2" t="s">
        <v>443</v>
      </c>
      <c r="E494" s="2" t="s">
        <v>189</v>
      </c>
      <c r="F494" s="2"/>
      <c r="G494" s="2"/>
      <c r="H494" s="2"/>
      <c r="I494" s="2"/>
    </row>
    <row r="495" spans="1:9" x14ac:dyDescent="0.35">
      <c r="A495" s="2" t="s">
        <v>440</v>
      </c>
      <c r="B495" s="2" t="s">
        <v>24</v>
      </c>
      <c r="C495" s="2" t="s">
        <v>441</v>
      </c>
      <c r="D495" s="2" t="s">
        <v>31</v>
      </c>
      <c r="E495" s="2" t="s">
        <v>32</v>
      </c>
      <c r="F495" s="2"/>
      <c r="G495" s="2"/>
      <c r="H495" s="2"/>
      <c r="I495" s="2"/>
    </row>
    <row r="496" spans="1:9" x14ac:dyDescent="0.35">
      <c r="A496" s="2" t="s">
        <v>440</v>
      </c>
      <c r="B496" s="2" t="s">
        <v>24</v>
      </c>
      <c r="C496" s="2" t="s">
        <v>441</v>
      </c>
      <c r="D496" s="2" t="s">
        <v>202</v>
      </c>
      <c r="E496" s="2" t="s">
        <v>203</v>
      </c>
      <c r="F496" s="2"/>
      <c r="G496" s="2"/>
      <c r="H496" s="2"/>
      <c r="I496" s="2"/>
    </row>
    <row r="497" spans="1:9" x14ac:dyDescent="0.35">
      <c r="A497" s="2" t="s">
        <v>440</v>
      </c>
      <c r="B497" s="2" t="s">
        <v>24</v>
      </c>
      <c r="C497" s="2" t="s">
        <v>441</v>
      </c>
      <c r="D497" s="2" t="s">
        <v>416</v>
      </c>
      <c r="E497" s="2" t="s">
        <v>38</v>
      </c>
      <c r="F497" s="2"/>
      <c r="G497" s="2"/>
      <c r="H497" s="2"/>
      <c r="I497" s="2"/>
    </row>
    <row r="498" spans="1:9" x14ac:dyDescent="0.35">
      <c r="A498" s="2" t="s">
        <v>440</v>
      </c>
      <c r="B498" s="2" t="s">
        <v>24</v>
      </c>
      <c r="C498" s="2" t="s">
        <v>441</v>
      </c>
      <c r="D498" s="2" t="s">
        <v>291</v>
      </c>
      <c r="E498" s="2" t="s">
        <v>139</v>
      </c>
      <c r="F498" s="2"/>
      <c r="G498" s="2"/>
      <c r="H498" s="2"/>
      <c r="I498" s="2"/>
    </row>
    <row r="499" spans="1:9" x14ac:dyDescent="0.35">
      <c r="A499" s="2" t="s">
        <v>440</v>
      </c>
      <c r="B499" s="2" t="s">
        <v>24</v>
      </c>
      <c r="C499" s="2" t="s">
        <v>441</v>
      </c>
      <c r="D499" s="2" t="s">
        <v>100</v>
      </c>
      <c r="E499" s="2" t="s">
        <v>101</v>
      </c>
      <c r="F499" s="2"/>
      <c r="G499" s="2"/>
      <c r="H499" s="2"/>
      <c r="I499" s="2"/>
    </row>
    <row r="500" spans="1:9" x14ac:dyDescent="0.35">
      <c r="A500" s="2" t="s">
        <v>440</v>
      </c>
      <c r="B500" s="2" t="s">
        <v>24</v>
      </c>
      <c r="C500" s="2" t="s">
        <v>441</v>
      </c>
      <c r="D500" s="2" t="s">
        <v>188</v>
      </c>
      <c r="E500" s="2" t="s">
        <v>189</v>
      </c>
      <c r="F500" s="2" t="s">
        <v>16</v>
      </c>
      <c r="G500" s="2" t="s">
        <v>444</v>
      </c>
      <c r="H500" s="2"/>
      <c r="I500" s="2"/>
    </row>
    <row r="501" spans="1:9" x14ac:dyDescent="0.35">
      <c r="A501" s="2" t="s">
        <v>440</v>
      </c>
      <c r="B501" s="2" t="s">
        <v>24</v>
      </c>
      <c r="C501" s="2" t="s">
        <v>441</v>
      </c>
      <c r="D501" s="2" t="s">
        <v>42</v>
      </c>
      <c r="E501" s="2" t="s">
        <v>43</v>
      </c>
      <c r="F501" s="2"/>
      <c r="G501" s="2"/>
      <c r="H501" s="2"/>
      <c r="I501" s="2"/>
    </row>
    <row r="502" spans="1:9" x14ac:dyDescent="0.35">
      <c r="A502" s="2" t="s">
        <v>440</v>
      </c>
      <c r="B502" s="2" t="s">
        <v>24</v>
      </c>
      <c r="C502" s="2" t="s">
        <v>441</v>
      </c>
      <c r="D502" s="2" t="s">
        <v>445</v>
      </c>
      <c r="E502" s="2" t="s">
        <v>38</v>
      </c>
      <c r="F502" s="2"/>
      <c r="G502" s="2"/>
      <c r="H502" s="2"/>
      <c r="I502" s="2"/>
    </row>
    <row r="503" spans="1:9" x14ac:dyDescent="0.35">
      <c r="A503" s="2" t="s">
        <v>440</v>
      </c>
      <c r="B503" s="2" t="s">
        <v>12</v>
      </c>
      <c r="C503" s="2" t="s">
        <v>446</v>
      </c>
      <c r="D503" s="2" t="s">
        <v>91</v>
      </c>
      <c r="E503" s="2" t="s">
        <v>19</v>
      </c>
      <c r="F503" s="2" t="s">
        <v>20</v>
      </c>
      <c r="G503" s="2" t="s">
        <v>179</v>
      </c>
      <c r="H503" s="2"/>
      <c r="I503" s="2"/>
    </row>
    <row r="504" spans="1:9" x14ac:dyDescent="0.35">
      <c r="A504" s="2" t="s">
        <v>447</v>
      </c>
      <c r="B504" s="2" t="s">
        <v>24</v>
      </c>
      <c r="C504" s="2" t="s">
        <v>448</v>
      </c>
      <c r="D504" s="2" t="s">
        <v>14</v>
      </c>
      <c r="E504" s="2" t="s">
        <v>15</v>
      </c>
      <c r="F504" s="2"/>
      <c r="G504" s="2"/>
      <c r="H504" s="2" t="s">
        <v>16</v>
      </c>
      <c r="I504" s="2" t="s">
        <v>449</v>
      </c>
    </row>
    <row r="505" spans="1:9" x14ac:dyDescent="0.35">
      <c r="A505" s="2" t="s">
        <v>447</v>
      </c>
      <c r="B505" s="2" t="s">
        <v>24</v>
      </c>
      <c r="C505" s="2" t="s">
        <v>448</v>
      </c>
      <c r="D505" s="2" t="s">
        <v>87</v>
      </c>
      <c r="E505" s="2" t="s">
        <v>75</v>
      </c>
      <c r="F505" s="2"/>
      <c r="G505" s="2"/>
      <c r="H505" s="2" t="s">
        <v>16</v>
      </c>
      <c r="I505" s="2" t="s">
        <v>449</v>
      </c>
    </row>
    <row r="506" spans="1:9" x14ac:dyDescent="0.35">
      <c r="A506" s="2" t="s">
        <v>447</v>
      </c>
      <c r="B506" s="2" t="s">
        <v>24</v>
      </c>
      <c r="C506" s="2" t="s">
        <v>450</v>
      </c>
      <c r="D506" s="2" t="s">
        <v>130</v>
      </c>
      <c r="E506" s="2" t="s">
        <v>36</v>
      </c>
      <c r="F506" s="2" t="s">
        <v>46</v>
      </c>
      <c r="G506" s="2" t="s">
        <v>451</v>
      </c>
      <c r="H506" s="2"/>
      <c r="I506" s="2"/>
    </row>
    <row r="507" spans="1:9" x14ac:dyDescent="0.35">
      <c r="A507" s="2" t="s">
        <v>447</v>
      </c>
      <c r="B507" s="2" t="s">
        <v>24</v>
      </c>
      <c r="C507" s="2" t="s">
        <v>450</v>
      </c>
      <c r="D507" s="2" t="s">
        <v>29</v>
      </c>
      <c r="E507" s="2" t="s">
        <v>30</v>
      </c>
      <c r="F507" s="2" t="s">
        <v>46</v>
      </c>
      <c r="G507" s="2" t="s">
        <v>451</v>
      </c>
      <c r="H507" s="2"/>
      <c r="I507" s="2"/>
    </row>
    <row r="508" spans="1:9" x14ac:dyDescent="0.35">
      <c r="A508" s="2" t="s">
        <v>447</v>
      </c>
      <c r="B508" s="2" t="s">
        <v>24</v>
      </c>
      <c r="C508" s="2" t="s">
        <v>450</v>
      </c>
      <c r="D508" s="2" t="s">
        <v>452</v>
      </c>
      <c r="E508" s="2" t="s">
        <v>38</v>
      </c>
      <c r="F508" s="2" t="s">
        <v>46</v>
      </c>
      <c r="G508" s="2" t="s">
        <v>451</v>
      </c>
      <c r="H508" s="2"/>
      <c r="I508" s="2"/>
    </row>
    <row r="509" spans="1:9" x14ac:dyDescent="0.35">
      <c r="A509" s="2" t="s">
        <v>447</v>
      </c>
      <c r="B509" s="2" t="s">
        <v>24</v>
      </c>
      <c r="C509" s="2" t="s">
        <v>450</v>
      </c>
      <c r="D509" s="2" t="s">
        <v>136</v>
      </c>
      <c r="E509" s="2" t="s">
        <v>107</v>
      </c>
      <c r="F509" s="2" t="s">
        <v>46</v>
      </c>
      <c r="G509" s="2" t="s">
        <v>451</v>
      </c>
      <c r="H509" s="2"/>
      <c r="I509" s="2"/>
    </row>
    <row r="510" spans="1:9" x14ac:dyDescent="0.35">
      <c r="A510" s="2" t="s">
        <v>447</v>
      </c>
      <c r="B510" s="2" t="s">
        <v>24</v>
      </c>
      <c r="C510" s="2" t="s">
        <v>450</v>
      </c>
      <c r="D510" s="2" t="s">
        <v>38</v>
      </c>
      <c r="E510" s="2" t="s">
        <v>38</v>
      </c>
      <c r="F510" s="2" t="s">
        <v>46</v>
      </c>
      <c r="G510" s="2" t="s">
        <v>451</v>
      </c>
      <c r="H510" s="2"/>
      <c r="I510" s="2"/>
    </row>
    <row r="511" spans="1:9" x14ac:dyDescent="0.35">
      <c r="A511" s="2" t="s">
        <v>447</v>
      </c>
      <c r="B511" s="2" t="s">
        <v>24</v>
      </c>
      <c r="C511" s="2" t="s">
        <v>450</v>
      </c>
      <c r="D511" s="2" t="s">
        <v>121</v>
      </c>
      <c r="E511" s="2" t="s">
        <v>122</v>
      </c>
      <c r="F511" s="2" t="s">
        <v>46</v>
      </c>
      <c r="G511" s="2" t="s">
        <v>451</v>
      </c>
      <c r="H511" s="2"/>
      <c r="I511" s="2"/>
    </row>
    <row r="512" spans="1:9" x14ac:dyDescent="0.35">
      <c r="A512" s="2" t="s">
        <v>447</v>
      </c>
      <c r="B512" s="2" t="s">
        <v>24</v>
      </c>
      <c r="C512" s="2" t="s">
        <v>450</v>
      </c>
      <c r="D512" s="2" t="s">
        <v>18</v>
      </c>
      <c r="E512" s="2" t="s">
        <v>19</v>
      </c>
      <c r="F512" s="2" t="s">
        <v>46</v>
      </c>
      <c r="G512" s="2" t="s">
        <v>451</v>
      </c>
      <c r="H512" s="2"/>
      <c r="I512" s="2"/>
    </row>
    <row r="513" spans="1:9" x14ac:dyDescent="0.35">
      <c r="A513" s="2" t="s">
        <v>447</v>
      </c>
      <c r="B513" s="2" t="s">
        <v>24</v>
      </c>
      <c r="C513" s="2" t="s">
        <v>450</v>
      </c>
      <c r="D513" s="2" t="s">
        <v>85</v>
      </c>
      <c r="E513" s="2" t="s">
        <v>85</v>
      </c>
      <c r="F513" s="2" t="s">
        <v>46</v>
      </c>
      <c r="G513" s="2" t="s">
        <v>451</v>
      </c>
      <c r="H513" s="2"/>
      <c r="I513" s="2"/>
    </row>
    <row r="514" spans="1:9" x14ac:dyDescent="0.35">
      <c r="A514" s="2" t="s">
        <v>447</v>
      </c>
      <c r="B514" s="2" t="s">
        <v>24</v>
      </c>
      <c r="C514" s="2" t="s">
        <v>450</v>
      </c>
      <c r="D514" s="2" t="s">
        <v>188</v>
      </c>
      <c r="E514" s="2" t="s">
        <v>189</v>
      </c>
      <c r="F514" s="2" t="s">
        <v>46</v>
      </c>
      <c r="G514" s="2" t="s">
        <v>451</v>
      </c>
      <c r="H514" s="2"/>
      <c r="I514" s="2"/>
    </row>
    <row r="515" spans="1:9" x14ac:dyDescent="0.35">
      <c r="A515" s="2" t="s">
        <v>447</v>
      </c>
      <c r="B515" s="2" t="s">
        <v>57</v>
      </c>
      <c r="C515" s="2" t="s">
        <v>453</v>
      </c>
      <c r="D515" s="2" t="s">
        <v>130</v>
      </c>
      <c r="E515" s="2" t="s">
        <v>36</v>
      </c>
      <c r="F515" s="2"/>
      <c r="G515" s="2"/>
      <c r="H515" s="2" t="s">
        <v>16</v>
      </c>
      <c r="I515" s="2" t="s">
        <v>454</v>
      </c>
    </row>
    <row r="516" spans="1:9" x14ac:dyDescent="0.35">
      <c r="A516" s="2" t="s">
        <v>447</v>
      </c>
      <c r="B516" s="2" t="s">
        <v>57</v>
      </c>
      <c r="C516" s="2" t="s">
        <v>453</v>
      </c>
      <c r="D516" s="2" t="s">
        <v>144</v>
      </c>
      <c r="E516" s="2" t="s">
        <v>50</v>
      </c>
      <c r="F516" s="2" t="s">
        <v>46</v>
      </c>
      <c r="G516" s="2" t="s">
        <v>451</v>
      </c>
      <c r="H516" s="2" t="s">
        <v>16</v>
      </c>
      <c r="I516" s="2" t="s">
        <v>454</v>
      </c>
    </row>
    <row r="517" spans="1:9" x14ac:dyDescent="0.35">
      <c r="A517" s="2" t="s">
        <v>447</v>
      </c>
      <c r="B517" s="2" t="s">
        <v>57</v>
      </c>
      <c r="C517" s="2" t="s">
        <v>453</v>
      </c>
      <c r="D517" s="2" t="s">
        <v>136</v>
      </c>
      <c r="E517" s="2" t="s">
        <v>107</v>
      </c>
      <c r="F517" s="2"/>
      <c r="G517" s="2"/>
      <c r="H517" s="2" t="s">
        <v>16</v>
      </c>
      <c r="I517" s="2" t="s">
        <v>454</v>
      </c>
    </row>
    <row r="518" spans="1:9" x14ac:dyDescent="0.35">
      <c r="A518" s="2" t="s">
        <v>447</v>
      </c>
      <c r="B518" s="2" t="s">
        <v>57</v>
      </c>
      <c r="C518" s="2" t="s">
        <v>453</v>
      </c>
      <c r="D518" s="2" t="s">
        <v>59</v>
      </c>
      <c r="E518" s="2" t="s">
        <v>60</v>
      </c>
      <c r="F518" s="2"/>
      <c r="G518" s="2"/>
      <c r="H518" s="2" t="s">
        <v>16</v>
      </c>
      <c r="I518" s="2" t="s">
        <v>454</v>
      </c>
    </row>
    <row r="519" spans="1:9" x14ac:dyDescent="0.35">
      <c r="A519" s="2" t="s">
        <v>447</v>
      </c>
      <c r="B519" s="2" t="s">
        <v>57</v>
      </c>
      <c r="C519" s="2" t="s">
        <v>453</v>
      </c>
      <c r="D519" s="2" t="s">
        <v>121</v>
      </c>
      <c r="E519" s="2" t="s">
        <v>122</v>
      </c>
      <c r="F519" s="2"/>
      <c r="G519" s="2"/>
      <c r="H519" s="2" t="s">
        <v>16</v>
      </c>
      <c r="I519" s="2" t="s">
        <v>454</v>
      </c>
    </row>
    <row r="520" spans="1:9" x14ac:dyDescent="0.35">
      <c r="A520" s="2" t="s">
        <v>447</v>
      </c>
      <c r="B520" s="2" t="s">
        <v>57</v>
      </c>
      <c r="C520" s="2" t="s">
        <v>453</v>
      </c>
      <c r="D520" s="2" t="s">
        <v>455</v>
      </c>
      <c r="E520" s="2" t="s">
        <v>52</v>
      </c>
      <c r="F520" s="2"/>
      <c r="G520" s="2"/>
      <c r="H520" s="2" t="s">
        <v>16</v>
      </c>
      <c r="I520" s="2" t="s">
        <v>454</v>
      </c>
    </row>
    <row r="521" spans="1:9" x14ac:dyDescent="0.35">
      <c r="A521" s="2" t="s">
        <v>447</v>
      </c>
      <c r="B521" s="2" t="s">
        <v>57</v>
      </c>
      <c r="C521" s="2" t="s">
        <v>453</v>
      </c>
      <c r="D521" s="2" t="s">
        <v>204</v>
      </c>
      <c r="E521" s="2" t="s">
        <v>40</v>
      </c>
      <c r="F521" s="2" t="s">
        <v>16</v>
      </c>
      <c r="G521" s="2" t="s">
        <v>261</v>
      </c>
      <c r="H521" s="2" t="s">
        <v>16</v>
      </c>
      <c r="I521" s="2" t="s">
        <v>454</v>
      </c>
    </row>
    <row r="522" spans="1:9" x14ac:dyDescent="0.35">
      <c r="A522" s="2" t="s">
        <v>447</v>
      </c>
      <c r="B522" s="2" t="s">
        <v>57</v>
      </c>
      <c r="C522" s="2" t="s">
        <v>453</v>
      </c>
      <c r="D522" s="2" t="s">
        <v>18</v>
      </c>
      <c r="E522" s="2" t="s">
        <v>19</v>
      </c>
      <c r="F522" s="2" t="s">
        <v>16</v>
      </c>
      <c r="G522" s="2" t="s">
        <v>456</v>
      </c>
      <c r="H522" s="2" t="s">
        <v>16</v>
      </c>
      <c r="I522" s="2" t="s">
        <v>454</v>
      </c>
    </row>
    <row r="523" spans="1:9" x14ac:dyDescent="0.35">
      <c r="A523" s="2" t="s">
        <v>447</v>
      </c>
      <c r="B523" s="2" t="s">
        <v>57</v>
      </c>
      <c r="C523" s="2" t="s">
        <v>453</v>
      </c>
      <c r="D523" s="2" t="s">
        <v>188</v>
      </c>
      <c r="E523" s="2" t="s">
        <v>189</v>
      </c>
      <c r="F523" s="2" t="s">
        <v>16</v>
      </c>
      <c r="G523" s="2" t="s">
        <v>457</v>
      </c>
      <c r="H523" s="2" t="s">
        <v>16</v>
      </c>
      <c r="I523" s="2" t="s">
        <v>454</v>
      </c>
    </row>
    <row r="524" spans="1:9" x14ac:dyDescent="0.35">
      <c r="A524" s="2" t="s">
        <v>458</v>
      </c>
      <c r="B524" s="2" t="s">
        <v>57</v>
      </c>
      <c r="C524" s="2" t="s">
        <v>459</v>
      </c>
      <c r="D524" s="2" t="s">
        <v>14</v>
      </c>
      <c r="E524" s="2" t="s">
        <v>15</v>
      </c>
      <c r="F524" s="2"/>
      <c r="G524" s="2"/>
      <c r="H524" s="2"/>
      <c r="I524" s="2"/>
    </row>
    <row r="525" spans="1:9" x14ac:dyDescent="0.35">
      <c r="A525" s="2" t="s">
        <v>458</v>
      </c>
      <c r="B525" s="2" t="s">
        <v>57</v>
      </c>
      <c r="C525" s="2" t="s">
        <v>459</v>
      </c>
      <c r="D525" s="2" t="s">
        <v>144</v>
      </c>
      <c r="E525" s="2" t="s">
        <v>50</v>
      </c>
      <c r="F525" s="2" t="s">
        <v>46</v>
      </c>
      <c r="G525" s="2" t="s">
        <v>451</v>
      </c>
      <c r="H525" s="2"/>
      <c r="I525" s="2"/>
    </row>
    <row r="526" spans="1:9" x14ac:dyDescent="0.35">
      <c r="A526" s="2" t="s">
        <v>458</v>
      </c>
      <c r="B526" s="2" t="s">
        <v>57</v>
      </c>
      <c r="C526" s="2" t="s">
        <v>459</v>
      </c>
      <c r="D526" s="2" t="s">
        <v>91</v>
      </c>
      <c r="E526" s="2" t="s">
        <v>19</v>
      </c>
      <c r="F526" s="2" t="s">
        <v>16</v>
      </c>
      <c r="G526" s="2" t="s">
        <v>460</v>
      </c>
      <c r="H526" s="2"/>
      <c r="I526" s="2"/>
    </row>
    <row r="527" spans="1:9" x14ac:dyDescent="0.35">
      <c r="A527" s="2" t="s">
        <v>458</v>
      </c>
      <c r="B527" s="2" t="s">
        <v>24</v>
      </c>
      <c r="C527" s="2" t="s">
        <v>461</v>
      </c>
      <c r="D527" s="2" t="s">
        <v>130</v>
      </c>
      <c r="E527" s="2" t="s">
        <v>36</v>
      </c>
      <c r="F527" s="2"/>
      <c r="G527" s="2"/>
      <c r="H527" s="2"/>
      <c r="I527" s="2"/>
    </row>
    <row r="528" spans="1:9" x14ac:dyDescent="0.35">
      <c r="A528" s="2" t="s">
        <v>458</v>
      </c>
      <c r="B528" s="2" t="s">
        <v>24</v>
      </c>
      <c r="C528" s="2" t="s">
        <v>461</v>
      </c>
      <c r="D528" s="2" t="s">
        <v>14</v>
      </c>
      <c r="E528" s="2" t="s">
        <v>15</v>
      </c>
      <c r="F528" s="2"/>
      <c r="G528" s="2"/>
      <c r="H528" s="2"/>
      <c r="I528" s="2"/>
    </row>
    <row r="529" spans="1:9" x14ac:dyDescent="0.35">
      <c r="A529" s="2" t="s">
        <v>458</v>
      </c>
      <c r="B529" s="2" t="s">
        <v>24</v>
      </c>
      <c r="C529" s="2" t="s">
        <v>461</v>
      </c>
      <c r="D529" s="2" t="s">
        <v>82</v>
      </c>
      <c r="E529" s="2" t="s">
        <v>83</v>
      </c>
      <c r="F529" s="2"/>
      <c r="G529" s="2"/>
      <c r="H529" s="2"/>
      <c r="I529" s="2"/>
    </row>
    <row r="530" spans="1:9" x14ac:dyDescent="0.35">
      <c r="A530" s="2" t="s">
        <v>458</v>
      </c>
      <c r="B530" s="2" t="s">
        <v>24</v>
      </c>
      <c r="C530" s="2" t="s">
        <v>461</v>
      </c>
      <c r="D530" s="2" t="s">
        <v>121</v>
      </c>
      <c r="E530" s="2" t="s">
        <v>122</v>
      </c>
      <c r="F530" s="2"/>
      <c r="G530" s="2"/>
      <c r="H530" s="2"/>
      <c r="I530" s="2"/>
    </row>
    <row r="531" spans="1:9" x14ac:dyDescent="0.35">
      <c r="A531" s="2" t="s">
        <v>458</v>
      </c>
      <c r="B531" s="2" t="s">
        <v>24</v>
      </c>
      <c r="C531" s="2" t="s">
        <v>461</v>
      </c>
      <c r="D531" s="2" t="s">
        <v>91</v>
      </c>
      <c r="E531" s="2" t="s">
        <v>19</v>
      </c>
      <c r="F531" s="2"/>
      <c r="G531" s="2"/>
      <c r="H531" s="2"/>
      <c r="I531" s="2"/>
    </row>
    <row r="532" spans="1:9" x14ac:dyDescent="0.35">
      <c r="A532" s="2" t="s">
        <v>458</v>
      </c>
      <c r="B532" s="2" t="s">
        <v>24</v>
      </c>
      <c r="C532" s="2" t="s">
        <v>461</v>
      </c>
      <c r="D532" s="2" t="s">
        <v>188</v>
      </c>
      <c r="E532" s="2" t="s">
        <v>189</v>
      </c>
      <c r="F532" s="2"/>
      <c r="G532" s="2"/>
      <c r="H532" s="2"/>
      <c r="I532" s="2"/>
    </row>
    <row r="533" spans="1:9" x14ac:dyDescent="0.35">
      <c r="A533" s="2" t="s">
        <v>458</v>
      </c>
      <c r="B533" s="2" t="s">
        <v>24</v>
      </c>
      <c r="C533" s="2" t="s">
        <v>461</v>
      </c>
      <c r="D533" s="2" t="s">
        <v>127</v>
      </c>
      <c r="E533" s="2" t="s">
        <v>107</v>
      </c>
      <c r="F533" s="2"/>
      <c r="G533" s="2"/>
      <c r="H533" s="2"/>
      <c r="I533" s="2"/>
    </row>
    <row r="534" spans="1:9" x14ac:dyDescent="0.35">
      <c r="A534" s="2" t="s">
        <v>462</v>
      </c>
      <c r="B534" s="2" t="s">
        <v>57</v>
      </c>
      <c r="C534" s="2" t="s">
        <v>463</v>
      </c>
      <c r="D534" s="2" t="s">
        <v>196</v>
      </c>
      <c r="E534" s="2" t="s">
        <v>197</v>
      </c>
      <c r="F534" s="2"/>
      <c r="G534" s="2"/>
      <c r="H534" s="2"/>
      <c r="I534" s="2"/>
    </row>
    <row r="535" spans="1:9" x14ac:dyDescent="0.35">
      <c r="A535" s="2" t="s">
        <v>462</v>
      </c>
      <c r="B535" s="2" t="s">
        <v>57</v>
      </c>
      <c r="C535" s="2" t="s">
        <v>463</v>
      </c>
      <c r="D535" s="2" t="s">
        <v>14</v>
      </c>
      <c r="E535" s="2" t="s">
        <v>15</v>
      </c>
      <c r="F535" s="2"/>
      <c r="G535" s="2"/>
      <c r="H535" s="2"/>
      <c r="I535" s="2"/>
    </row>
    <row r="536" spans="1:9" x14ac:dyDescent="0.35">
      <c r="A536" s="2" t="s">
        <v>462</v>
      </c>
      <c r="B536" s="2" t="s">
        <v>57</v>
      </c>
      <c r="C536" s="2" t="s">
        <v>463</v>
      </c>
      <c r="D536" s="2" t="s">
        <v>464</v>
      </c>
      <c r="E536" s="2" t="s">
        <v>38</v>
      </c>
      <c r="F536" s="2"/>
      <c r="G536" s="2"/>
      <c r="H536" s="2"/>
      <c r="I536" s="2"/>
    </row>
    <row r="537" spans="1:9" x14ac:dyDescent="0.35">
      <c r="A537" s="2" t="s">
        <v>462</v>
      </c>
      <c r="B537" s="2" t="s">
        <v>57</v>
      </c>
      <c r="C537" s="2" t="s">
        <v>463</v>
      </c>
      <c r="D537" s="2" t="s">
        <v>31</v>
      </c>
      <c r="E537" s="2" t="s">
        <v>32</v>
      </c>
      <c r="F537" s="2"/>
      <c r="G537" s="2"/>
      <c r="H537" s="2"/>
      <c r="I537" s="2"/>
    </row>
    <row r="538" spans="1:9" x14ac:dyDescent="0.35">
      <c r="A538" s="2" t="s">
        <v>462</v>
      </c>
      <c r="B538" s="2" t="s">
        <v>57</v>
      </c>
      <c r="C538" s="2" t="s">
        <v>463</v>
      </c>
      <c r="D538" s="2" t="s">
        <v>200</v>
      </c>
      <c r="E538" s="2" t="s">
        <v>201</v>
      </c>
      <c r="F538" s="2" t="s">
        <v>16</v>
      </c>
      <c r="G538" s="2" t="s">
        <v>465</v>
      </c>
      <c r="H538" s="2"/>
      <c r="I538" s="2"/>
    </row>
    <row r="539" spans="1:9" x14ac:dyDescent="0.35">
      <c r="A539" s="2" t="s">
        <v>462</v>
      </c>
      <c r="B539" s="2" t="s">
        <v>57</v>
      </c>
      <c r="C539" s="2" t="s">
        <v>463</v>
      </c>
      <c r="D539" s="2" t="s">
        <v>466</v>
      </c>
      <c r="E539" s="2" t="s">
        <v>203</v>
      </c>
      <c r="F539" s="2"/>
      <c r="G539" s="2"/>
      <c r="H539" s="2"/>
      <c r="I539" s="2"/>
    </row>
    <row r="540" spans="1:9" x14ac:dyDescent="0.35">
      <c r="A540" s="2" t="s">
        <v>462</v>
      </c>
      <c r="B540" s="2" t="s">
        <v>57</v>
      </c>
      <c r="C540" s="2" t="s">
        <v>463</v>
      </c>
      <c r="D540" s="2" t="s">
        <v>416</v>
      </c>
      <c r="E540" s="2" t="s">
        <v>38</v>
      </c>
      <c r="F540" s="2"/>
      <c r="G540" s="2"/>
      <c r="H540" s="2"/>
      <c r="I540" s="2"/>
    </row>
    <row r="541" spans="1:9" x14ac:dyDescent="0.35">
      <c r="A541" s="2" t="s">
        <v>462</v>
      </c>
      <c r="B541" s="2" t="s">
        <v>57</v>
      </c>
      <c r="C541" s="2" t="s">
        <v>463</v>
      </c>
      <c r="D541" s="2" t="s">
        <v>121</v>
      </c>
      <c r="E541" s="2" t="s">
        <v>122</v>
      </c>
      <c r="F541" s="2"/>
      <c r="G541" s="2"/>
      <c r="H541" s="2"/>
      <c r="I541" s="2"/>
    </row>
    <row r="542" spans="1:9" x14ac:dyDescent="0.35">
      <c r="A542" s="2" t="s">
        <v>462</v>
      </c>
      <c r="B542" s="2" t="s">
        <v>57</v>
      </c>
      <c r="C542" s="2" t="s">
        <v>463</v>
      </c>
      <c r="D542" s="2" t="s">
        <v>467</v>
      </c>
      <c r="E542" s="2" t="s">
        <v>45</v>
      </c>
      <c r="F542" s="2"/>
      <c r="G542" s="2"/>
      <c r="H542" s="2"/>
      <c r="I542" s="2"/>
    </row>
    <row r="543" spans="1:9" x14ac:dyDescent="0.35">
      <c r="A543" s="2" t="s">
        <v>462</v>
      </c>
      <c r="B543" s="2" t="s">
        <v>57</v>
      </c>
      <c r="C543" s="2" t="s">
        <v>463</v>
      </c>
      <c r="D543" s="2" t="s">
        <v>168</v>
      </c>
      <c r="E543" s="2" t="s">
        <v>45</v>
      </c>
      <c r="F543" s="2"/>
      <c r="G543" s="2" t="s">
        <v>468</v>
      </c>
      <c r="H543" s="2"/>
      <c r="I543" s="2"/>
    </row>
    <row r="544" spans="1:9" x14ac:dyDescent="0.35">
      <c r="A544" s="2" t="s">
        <v>462</v>
      </c>
      <c r="B544" s="2" t="s">
        <v>57</v>
      </c>
      <c r="C544" s="2" t="s">
        <v>463</v>
      </c>
      <c r="D544" s="2" t="s">
        <v>77</v>
      </c>
      <c r="E544" s="2" t="s">
        <v>78</v>
      </c>
      <c r="F544" s="2"/>
      <c r="G544" s="2"/>
      <c r="H544" s="2"/>
      <c r="I544" s="2"/>
    </row>
    <row r="545" spans="1:9" x14ac:dyDescent="0.35">
      <c r="A545" s="2" t="s">
        <v>462</v>
      </c>
      <c r="B545" s="2" t="s">
        <v>57</v>
      </c>
      <c r="C545" s="2" t="s">
        <v>463</v>
      </c>
      <c r="D545" s="2" t="s">
        <v>469</v>
      </c>
      <c r="E545" s="2" t="s">
        <v>40</v>
      </c>
      <c r="F545" s="2"/>
      <c r="G545" s="2"/>
      <c r="H545" s="2"/>
      <c r="I545" s="2"/>
    </row>
    <row r="546" spans="1:9" x14ac:dyDescent="0.35">
      <c r="A546" s="2" t="s">
        <v>462</v>
      </c>
      <c r="B546" s="2" t="s">
        <v>57</v>
      </c>
      <c r="C546" s="2" t="s">
        <v>463</v>
      </c>
      <c r="D546" s="2" t="s">
        <v>18</v>
      </c>
      <c r="E546" s="2" t="s">
        <v>19</v>
      </c>
      <c r="F546" s="2" t="s">
        <v>16</v>
      </c>
      <c r="G546" s="2" t="s">
        <v>470</v>
      </c>
      <c r="H546" s="2"/>
      <c r="I546" s="2"/>
    </row>
    <row r="547" spans="1:9" x14ac:dyDescent="0.35">
      <c r="A547" s="2" t="s">
        <v>462</v>
      </c>
      <c r="B547" s="2" t="s">
        <v>57</v>
      </c>
      <c r="C547" s="2" t="s">
        <v>463</v>
      </c>
      <c r="D547" s="2" t="s">
        <v>471</v>
      </c>
      <c r="E547" s="2" t="s">
        <v>150</v>
      </c>
      <c r="F547" s="2"/>
      <c r="G547" s="2"/>
      <c r="H547" s="2"/>
      <c r="I547" s="2"/>
    </row>
    <row r="548" spans="1:9" x14ac:dyDescent="0.35">
      <c r="A548" s="2" t="s">
        <v>462</v>
      </c>
      <c r="B548" s="2" t="s">
        <v>57</v>
      </c>
      <c r="C548" s="2" t="s">
        <v>463</v>
      </c>
      <c r="D548" s="2" t="s">
        <v>100</v>
      </c>
      <c r="E548" s="2" t="s">
        <v>101</v>
      </c>
      <c r="F548" s="2"/>
      <c r="G548" s="2"/>
      <c r="H548" s="2"/>
      <c r="I548" s="2"/>
    </row>
    <row r="549" spans="1:9" x14ac:dyDescent="0.35">
      <c r="A549" s="2" t="s">
        <v>462</v>
      </c>
      <c r="B549" s="2" t="s">
        <v>57</v>
      </c>
      <c r="C549" s="2" t="s">
        <v>463</v>
      </c>
      <c r="D549" s="2" t="s">
        <v>188</v>
      </c>
      <c r="E549" s="2" t="s">
        <v>189</v>
      </c>
      <c r="F549" s="2"/>
      <c r="G549" s="2"/>
      <c r="H549" s="2"/>
      <c r="I549" s="2"/>
    </row>
    <row r="550" spans="1:9" x14ac:dyDescent="0.35">
      <c r="A550" s="2" t="s">
        <v>462</v>
      </c>
      <c r="B550" s="2" t="s">
        <v>57</v>
      </c>
      <c r="C550" s="2" t="s">
        <v>463</v>
      </c>
      <c r="D550" s="2" t="s">
        <v>472</v>
      </c>
      <c r="E550" s="2" t="s">
        <v>473</v>
      </c>
      <c r="F550" s="2"/>
      <c r="G550" s="2"/>
      <c r="H550" s="2"/>
      <c r="I550" s="2"/>
    </row>
    <row r="551" spans="1:9" x14ac:dyDescent="0.35">
      <c r="A551" s="2" t="s">
        <v>462</v>
      </c>
      <c r="B551" s="2" t="s">
        <v>57</v>
      </c>
      <c r="C551" s="2" t="s">
        <v>463</v>
      </c>
      <c r="D551" s="2" t="s">
        <v>149</v>
      </c>
      <c r="E551" s="2" t="s">
        <v>150</v>
      </c>
      <c r="F551" s="2" t="s">
        <v>16</v>
      </c>
      <c r="G551" s="2" t="s">
        <v>465</v>
      </c>
      <c r="H551" s="2"/>
      <c r="I551" s="2"/>
    </row>
    <row r="552" spans="1:9" x14ac:dyDescent="0.35">
      <c r="A552" s="2" t="s">
        <v>462</v>
      </c>
      <c r="B552" s="2" t="s">
        <v>57</v>
      </c>
      <c r="C552" s="2" t="s">
        <v>463</v>
      </c>
      <c r="D552" s="2" t="s">
        <v>474</v>
      </c>
      <c r="E552" s="2" t="s">
        <v>125</v>
      </c>
      <c r="F552" s="2"/>
      <c r="G552" s="2"/>
      <c r="H552" s="2"/>
      <c r="I552" s="2"/>
    </row>
    <row r="553" spans="1:9" x14ac:dyDescent="0.35">
      <c r="A553" s="2" t="s">
        <v>462</v>
      </c>
      <c r="B553" s="2" t="s">
        <v>54</v>
      </c>
      <c r="C553" s="2" t="s">
        <v>475</v>
      </c>
      <c r="D553" s="2" t="s">
        <v>476</v>
      </c>
      <c r="E553" s="2" t="s">
        <v>78</v>
      </c>
      <c r="F553" s="2"/>
      <c r="G553" s="2"/>
      <c r="H553" s="2"/>
      <c r="I553" s="2"/>
    </row>
    <row r="554" spans="1:9" x14ac:dyDescent="0.35">
      <c r="A554" s="2" t="s">
        <v>462</v>
      </c>
      <c r="B554" s="2" t="s">
        <v>24</v>
      </c>
      <c r="C554" s="2" t="s">
        <v>477</v>
      </c>
      <c r="D554" s="2" t="s">
        <v>120</v>
      </c>
      <c r="E554" s="2" t="s">
        <v>32</v>
      </c>
      <c r="F554" s="2"/>
      <c r="G554" s="2"/>
      <c r="H554" s="2"/>
      <c r="I554" s="2"/>
    </row>
    <row r="555" spans="1:9" x14ac:dyDescent="0.35">
      <c r="A555" s="2" t="s">
        <v>462</v>
      </c>
      <c r="B555" s="2" t="s">
        <v>24</v>
      </c>
      <c r="C555" s="2" t="s">
        <v>477</v>
      </c>
      <c r="D555" s="2" t="s">
        <v>18</v>
      </c>
      <c r="E555" s="2" t="s">
        <v>19</v>
      </c>
      <c r="F555" s="2" t="s">
        <v>16</v>
      </c>
      <c r="G555" s="2" t="s">
        <v>478</v>
      </c>
      <c r="H555" s="2"/>
      <c r="I555" s="2"/>
    </row>
    <row r="556" spans="1:9" x14ac:dyDescent="0.35">
      <c r="A556" s="2" t="s">
        <v>462</v>
      </c>
      <c r="B556" s="2" t="s">
        <v>54</v>
      </c>
      <c r="C556" s="2" t="s">
        <v>479</v>
      </c>
      <c r="D556" s="2" t="s">
        <v>31</v>
      </c>
      <c r="E556" s="2" t="s">
        <v>32</v>
      </c>
      <c r="F556" s="2"/>
      <c r="G556" s="2"/>
      <c r="H556" s="2"/>
      <c r="I556" s="2"/>
    </row>
    <row r="557" spans="1:9" x14ac:dyDescent="0.35">
      <c r="A557" s="2" t="s">
        <v>462</v>
      </c>
      <c r="B557" s="2" t="s">
        <v>54</v>
      </c>
      <c r="C557" s="2" t="s">
        <v>479</v>
      </c>
      <c r="D557" s="2" t="s">
        <v>172</v>
      </c>
      <c r="E557" s="2" t="s">
        <v>65</v>
      </c>
      <c r="F557" s="2"/>
      <c r="G557" s="2"/>
      <c r="H557" s="2"/>
      <c r="I557" s="2"/>
    </row>
    <row r="558" spans="1:9" x14ac:dyDescent="0.35">
      <c r="A558" s="2" t="s">
        <v>462</v>
      </c>
      <c r="B558" s="2" t="s">
        <v>54</v>
      </c>
      <c r="C558" s="2" t="s">
        <v>479</v>
      </c>
      <c r="D558" s="2" t="s">
        <v>121</v>
      </c>
      <c r="E558" s="2" t="s">
        <v>122</v>
      </c>
      <c r="F558" s="2"/>
      <c r="G558" s="2"/>
      <c r="H558" s="2"/>
      <c r="I558" s="2"/>
    </row>
    <row r="559" spans="1:9" x14ac:dyDescent="0.35">
      <c r="A559" s="2" t="s">
        <v>462</v>
      </c>
      <c r="B559" s="2" t="s">
        <v>54</v>
      </c>
      <c r="C559" s="2" t="s">
        <v>479</v>
      </c>
      <c r="D559" s="2" t="s">
        <v>188</v>
      </c>
      <c r="E559" s="2" t="s">
        <v>189</v>
      </c>
      <c r="F559" s="2" t="s">
        <v>16</v>
      </c>
      <c r="G559" s="2" t="s">
        <v>480</v>
      </c>
      <c r="H559" s="2"/>
      <c r="I559" s="2"/>
    </row>
    <row r="560" spans="1:9" x14ac:dyDescent="0.35">
      <c r="A560" s="2" t="s">
        <v>462</v>
      </c>
      <c r="B560" s="2" t="s">
        <v>54</v>
      </c>
      <c r="C560" s="2" t="s">
        <v>479</v>
      </c>
      <c r="D560" s="2" t="s">
        <v>127</v>
      </c>
      <c r="E560" s="2" t="s">
        <v>107</v>
      </c>
      <c r="F560" s="2"/>
      <c r="G560" s="2"/>
      <c r="H560" s="2"/>
      <c r="I560" s="2"/>
    </row>
    <row r="561" spans="1:9" x14ac:dyDescent="0.35">
      <c r="A561" s="2" t="s">
        <v>462</v>
      </c>
      <c r="B561" s="2" t="s">
        <v>62</v>
      </c>
      <c r="C561" s="2" t="s">
        <v>481</v>
      </c>
      <c r="D561" s="2" t="s">
        <v>106</v>
      </c>
      <c r="E561" s="2" t="s">
        <v>107</v>
      </c>
      <c r="F561" s="2"/>
      <c r="G561" s="2"/>
      <c r="H561" s="2"/>
      <c r="I561" s="2"/>
    </row>
    <row r="562" spans="1:9" x14ac:dyDescent="0.35">
      <c r="A562" s="2" t="s">
        <v>462</v>
      </c>
      <c r="B562" s="2" t="s">
        <v>24</v>
      </c>
      <c r="C562" s="2" t="s">
        <v>482</v>
      </c>
      <c r="D562" s="2" t="s">
        <v>196</v>
      </c>
      <c r="E562" s="2" t="s">
        <v>197</v>
      </c>
      <c r="F562" s="2" t="s">
        <v>46</v>
      </c>
      <c r="G562" s="2" t="s">
        <v>483</v>
      </c>
      <c r="H562" s="2"/>
      <c r="I562" s="2"/>
    </row>
    <row r="563" spans="1:9" x14ac:dyDescent="0.35">
      <c r="A563" s="2" t="s">
        <v>462</v>
      </c>
      <c r="B563" s="2" t="s">
        <v>24</v>
      </c>
      <c r="C563" s="2" t="s">
        <v>482</v>
      </c>
      <c r="D563" s="2" t="s">
        <v>14</v>
      </c>
      <c r="E563" s="2" t="s">
        <v>15</v>
      </c>
      <c r="F563" s="2" t="s">
        <v>46</v>
      </c>
      <c r="G563" s="2" t="s">
        <v>483</v>
      </c>
      <c r="H563" s="2"/>
      <c r="I563" s="2"/>
    </row>
    <row r="564" spans="1:9" x14ac:dyDescent="0.35">
      <c r="A564" s="2" t="s">
        <v>462</v>
      </c>
      <c r="B564" s="2" t="s">
        <v>24</v>
      </c>
      <c r="C564" s="2" t="s">
        <v>482</v>
      </c>
      <c r="D564" s="2" t="s">
        <v>464</v>
      </c>
      <c r="E564" s="2" t="s">
        <v>38</v>
      </c>
      <c r="F564" s="2" t="s">
        <v>46</v>
      </c>
      <c r="G564" s="2" t="s">
        <v>483</v>
      </c>
      <c r="H564" s="2"/>
      <c r="I564" s="2"/>
    </row>
    <row r="565" spans="1:9" x14ac:dyDescent="0.35">
      <c r="A565" s="2" t="s">
        <v>462</v>
      </c>
      <c r="B565" s="2" t="s">
        <v>24</v>
      </c>
      <c r="C565" s="2" t="s">
        <v>482</v>
      </c>
      <c r="D565" s="2" t="s">
        <v>31</v>
      </c>
      <c r="E565" s="2" t="s">
        <v>32</v>
      </c>
      <c r="F565" s="2" t="s">
        <v>46</v>
      </c>
      <c r="G565" s="2" t="s">
        <v>483</v>
      </c>
      <c r="H565" s="2"/>
      <c r="I565" s="2"/>
    </row>
    <row r="566" spans="1:9" x14ac:dyDescent="0.35">
      <c r="A566" s="2" t="s">
        <v>462</v>
      </c>
      <c r="B566" s="2" t="s">
        <v>24</v>
      </c>
      <c r="C566" s="2" t="s">
        <v>482</v>
      </c>
      <c r="D566" s="2" t="s">
        <v>416</v>
      </c>
      <c r="E566" s="2" t="s">
        <v>38</v>
      </c>
      <c r="F566" s="2" t="s">
        <v>46</v>
      </c>
      <c r="G566" s="2" t="s">
        <v>483</v>
      </c>
      <c r="H566" s="2"/>
      <c r="I566" s="2"/>
    </row>
    <row r="567" spans="1:9" x14ac:dyDescent="0.35">
      <c r="A567" s="2" t="s">
        <v>462</v>
      </c>
      <c r="B567" s="2" t="s">
        <v>24</v>
      </c>
      <c r="C567" s="2" t="s">
        <v>482</v>
      </c>
      <c r="D567" s="2" t="s">
        <v>467</v>
      </c>
      <c r="E567" s="2" t="s">
        <v>45</v>
      </c>
      <c r="F567" s="2" t="s">
        <v>46</v>
      </c>
      <c r="G567" s="2" t="s">
        <v>483</v>
      </c>
      <c r="H567" s="2"/>
      <c r="I567" s="2"/>
    </row>
    <row r="568" spans="1:9" x14ac:dyDescent="0.35">
      <c r="A568" s="2" t="s">
        <v>462</v>
      </c>
      <c r="B568" s="2" t="s">
        <v>24</v>
      </c>
      <c r="C568" s="2" t="s">
        <v>482</v>
      </c>
      <c r="D568" s="2" t="s">
        <v>77</v>
      </c>
      <c r="E568" s="2" t="s">
        <v>78</v>
      </c>
      <c r="F568" s="2" t="s">
        <v>46</v>
      </c>
      <c r="G568" s="2" t="s">
        <v>483</v>
      </c>
      <c r="H568" s="2"/>
      <c r="I568" s="2"/>
    </row>
    <row r="569" spans="1:9" x14ac:dyDescent="0.35">
      <c r="A569" s="2" t="s">
        <v>462</v>
      </c>
      <c r="B569" s="2" t="s">
        <v>24</v>
      </c>
      <c r="C569" s="2" t="s">
        <v>482</v>
      </c>
      <c r="D569" s="2" t="s">
        <v>471</v>
      </c>
      <c r="E569" s="2" t="s">
        <v>150</v>
      </c>
      <c r="F569" s="2" t="s">
        <v>46</v>
      </c>
      <c r="G569" s="2" t="s">
        <v>483</v>
      </c>
      <c r="H569" s="2"/>
      <c r="I569" s="2"/>
    </row>
    <row r="570" spans="1:9" x14ac:dyDescent="0.35">
      <c r="A570" s="2" t="s">
        <v>462</v>
      </c>
      <c r="B570" s="2" t="s">
        <v>24</v>
      </c>
      <c r="C570" s="2" t="s">
        <v>482</v>
      </c>
      <c r="D570" s="2" t="s">
        <v>188</v>
      </c>
      <c r="E570" s="2" t="s">
        <v>189</v>
      </c>
      <c r="F570" s="2" t="s">
        <v>46</v>
      </c>
      <c r="G570" s="2" t="s">
        <v>483</v>
      </c>
      <c r="H570" s="2"/>
      <c r="I570" s="2"/>
    </row>
    <row r="571" spans="1:9" x14ac:dyDescent="0.35">
      <c r="A571" s="2" t="s">
        <v>462</v>
      </c>
      <c r="B571" s="2" t="s">
        <v>24</v>
      </c>
      <c r="C571" s="2" t="s">
        <v>482</v>
      </c>
      <c r="D571" s="2" t="s">
        <v>472</v>
      </c>
      <c r="E571" s="2" t="s">
        <v>473</v>
      </c>
      <c r="F571" s="2" t="s">
        <v>46</v>
      </c>
      <c r="G571" s="2" t="s">
        <v>483</v>
      </c>
      <c r="H571" s="2"/>
      <c r="I571" s="2"/>
    </row>
    <row r="572" spans="1:9" x14ac:dyDescent="0.35">
      <c r="A572" s="2" t="s">
        <v>462</v>
      </c>
      <c r="B572" s="2" t="s">
        <v>24</v>
      </c>
      <c r="C572" s="2" t="s">
        <v>482</v>
      </c>
      <c r="D572" s="2" t="s">
        <v>149</v>
      </c>
      <c r="E572" s="2" t="s">
        <v>150</v>
      </c>
      <c r="F572" s="2" t="s">
        <v>46</v>
      </c>
      <c r="G572" s="2" t="s">
        <v>483</v>
      </c>
      <c r="H572" s="2"/>
      <c r="I572" s="2"/>
    </row>
    <row r="573" spans="1:9" x14ac:dyDescent="0.35">
      <c r="A573" s="2" t="s">
        <v>462</v>
      </c>
      <c r="B573" s="2" t="s">
        <v>24</v>
      </c>
      <c r="C573" s="2" t="s">
        <v>482</v>
      </c>
      <c r="D573" s="2" t="s">
        <v>474</v>
      </c>
      <c r="E573" s="2" t="s">
        <v>125</v>
      </c>
      <c r="F573" s="2" t="s">
        <v>46</v>
      </c>
      <c r="G573" s="2" t="s">
        <v>483</v>
      </c>
      <c r="H573" s="2"/>
      <c r="I573" s="2"/>
    </row>
    <row r="574" spans="1:9" x14ac:dyDescent="0.35">
      <c r="A574" s="2" t="s">
        <v>462</v>
      </c>
      <c r="B574" s="2" t="s">
        <v>436</v>
      </c>
      <c r="C574" s="2" t="s">
        <v>484</v>
      </c>
      <c r="D574" s="2" t="s">
        <v>14</v>
      </c>
      <c r="E574" s="2" t="s">
        <v>15</v>
      </c>
      <c r="F574" s="2"/>
      <c r="G574" s="2"/>
      <c r="H574" s="2"/>
      <c r="I574" s="2"/>
    </row>
    <row r="575" spans="1:9" x14ac:dyDescent="0.35">
      <c r="A575" s="2" t="s">
        <v>462</v>
      </c>
      <c r="B575" s="2" t="s">
        <v>436</v>
      </c>
      <c r="C575" s="2" t="s">
        <v>484</v>
      </c>
      <c r="D575" s="2" t="s">
        <v>485</v>
      </c>
      <c r="E575" s="2" t="s">
        <v>15</v>
      </c>
      <c r="F575" s="2"/>
      <c r="G575" s="2"/>
      <c r="H575" s="2"/>
      <c r="I575" s="2"/>
    </row>
    <row r="576" spans="1:9" x14ac:dyDescent="0.35">
      <c r="A576" s="2" t="s">
        <v>462</v>
      </c>
      <c r="B576" s="2" t="s">
        <v>62</v>
      </c>
      <c r="C576" s="2" t="s">
        <v>486</v>
      </c>
      <c r="D576" s="2" t="s">
        <v>31</v>
      </c>
      <c r="E576" s="2" t="s">
        <v>32</v>
      </c>
      <c r="F576" s="2"/>
      <c r="G576" s="2"/>
      <c r="H576" s="2"/>
      <c r="I576" s="2"/>
    </row>
    <row r="577" spans="1:9" x14ac:dyDescent="0.35">
      <c r="A577" s="2" t="s">
        <v>462</v>
      </c>
      <c r="B577" s="2" t="s">
        <v>62</v>
      </c>
      <c r="C577" s="2" t="s">
        <v>486</v>
      </c>
      <c r="D577" s="2" t="s">
        <v>96</v>
      </c>
      <c r="E577" s="2" t="s">
        <v>83</v>
      </c>
      <c r="F577" s="2"/>
      <c r="G577" s="2"/>
      <c r="H577" s="2"/>
      <c r="I577" s="2"/>
    </row>
    <row r="578" spans="1:9" x14ac:dyDescent="0.35">
      <c r="A578" s="2" t="s">
        <v>462</v>
      </c>
      <c r="B578" s="2" t="s">
        <v>62</v>
      </c>
      <c r="C578" s="2" t="s">
        <v>486</v>
      </c>
      <c r="D578" s="2" t="s">
        <v>487</v>
      </c>
      <c r="E578" s="2" t="s">
        <v>75</v>
      </c>
      <c r="F578" s="2"/>
      <c r="G578" s="2"/>
      <c r="H578" s="2"/>
      <c r="I578" s="2"/>
    </row>
    <row r="579" spans="1:9" x14ac:dyDescent="0.35">
      <c r="A579" s="2" t="s">
        <v>462</v>
      </c>
      <c r="B579" s="2" t="s">
        <v>62</v>
      </c>
      <c r="C579" s="2" t="s">
        <v>486</v>
      </c>
      <c r="D579" s="2" t="s">
        <v>18</v>
      </c>
      <c r="E579" s="2" t="s">
        <v>19</v>
      </c>
      <c r="F579" s="2" t="s">
        <v>16</v>
      </c>
      <c r="G579" s="2" t="s">
        <v>488</v>
      </c>
      <c r="H579" s="2"/>
      <c r="I579" s="2"/>
    </row>
    <row r="580" spans="1:9" x14ac:dyDescent="0.35">
      <c r="A580" s="2" t="s">
        <v>462</v>
      </c>
      <c r="B580" s="2" t="s">
        <v>62</v>
      </c>
      <c r="C580" s="2" t="s">
        <v>486</v>
      </c>
      <c r="D580" s="2" t="s">
        <v>244</v>
      </c>
      <c r="E580" s="2" t="s">
        <v>65</v>
      </c>
      <c r="F580" s="2"/>
      <c r="G580" s="2"/>
      <c r="H580" s="2"/>
      <c r="I580" s="2"/>
    </row>
    <row r="581" spans="1:9" x14ac:dyDescent="0.35">
      <c r="A581" s="2" t="s">
        <v>462</v>
      </c>
      <c r="B581" s="2" t="s">
        <v>62</v>
      </c>
      <c r="C581" s="2" t="s">
        <v>486</v>
      </c>
      <c r="D581" s="2" t="s">
        <v>489</v>
      </c>
      <c r="E581" s="2" t="s">
        <v>363</v>
      </c>
      <c r="F581" s="2"/>
      <c r="G581" s="2"/>
      <c r="H581" s="2"/>
      <c r="I581" s="2"/>
    </row>
    <row r="582" spans="1:9" x14ac:dyDescent="0.35">
      <c r="A582" s="2" t="s">
        <v>462</v>
      </c>
      <c r="B582" s="2" t="s">
        <v>62</v>
      </c>
      <c r="C582" s="2" t="s">
        <v>490</v>
      </c>
      <c r="D582" s="2" t="s">
        <v>121</v>
      </c>
      <c r="E582" s="2" t="s">
        <v>122</v>
      </c>
      <c r="F582" s="2"/>
      <c r="G582" s="2"/>
      <c r="H582" s="2"/>
      <c r="I582" s="2"/>
    </row>
    <row r="583" spans="1:9" x14ac:dyDescent="0.35">
      <c r="A583" s="2" t="s">
        <v>462</v>
      </c>
      <c r="B583" s="2" t="s">
        <v>62</v>
      </c>
      <c r="C583" s="2" t="s">
        <v>491</v>
      </c>
      <c r="D583" s="2" t="s">
        <v>38</v>
      </c>
      <c r="E583" s="2" t="s">
        <v>38</v>
      </c>
      <c r="F583" s="2"/>
      <c r="G583" s="2"/>
      <c r="H583" s="2"/>
      <c r="I583" s="2"/>
    </row>
    <row r="584" spans="1:9" x14ac:dyDescent="0.35">
      <c r="A584" s="2" t="s">
        <v>462</v>
      </c>
      <c r="B584" s="2" t="s">
        <v>62</v>
      </c>
      <c r="C584" s="2" t="s">
        <v>491</v>
      </c>
      <c r="D584" s="2" t="s">
        <v>269</v>
      </c>
      <c r="E584" s="2" t="s">
        <v>270</v>
      </c>
      <c r="F584" s="2"/>
      <c r="G584" s="2"/>
      <c r="H584" s="2"/>
      <c r="I584" s="2"/>
    </row>
    <row r="585" spans="1:9" x14ac:dyDescent="0.35">
      <c r="A585" s="2" t="s">
        <v>462</v>
      </c>
      <c r="B585" s="2" t="s">
        <v>62</v>
      </c>
      <c r="C585" s="2" t="s">
        <v>491</v>
      </c>
      <c r="D585" s="2" t="s">
        <v>106</v>
      </c>
      <c r="E585" s="2" t="s">
        <v>107</v>
      </c>
      <c r="F585" s="2"/>
      <c r="G585" s="2"/>
      <c r="H585" s="2"/>
      <c r="I585" s="2"/>
    </row>
    <row r="586" spans="1:9" x14ac:dyDescent="0.35">
      <c r="A586" s="2" t="s">
        <v>492</v>
      </c>
      <c r="B586" s="2" t="s">
        <v>54</v>
      </c>
      <c r="C586" s="2" t="s">
        <v>493</v>
      </c>
      <c r="D586" s="2" t="s">
        <v>120</v>
      </c>
      <c r="E586" s="2" t="s">
        <v>32</v>
      </c>
      <c r="F586" s="2"/>
      <c r="G586" s="2"/>
      <c r="H586" s="2"/>
      <c r="I586" s="2"/>
    </row>
    <row r="587" spans="1:9" x14ac:dyDescent="0.35">
      <c r="A587" s="2" t="s">
        <v>492</v>
      </c>
      <c r="B587" s="2" t="s">
        <v>54</v>
      </c>
      <c r="C587" s="2" t="s">
        <v>493</v>
      </c>
      <c r="D587" s="2" t="s">
        <v>91</v>
      </c>
      <c r="E587" s="2" t="s">
        <v>19</v>
      </c>
      <c r="F587" s="2" t="s">
        <v>16</v>
      </c>
      <c r="G587" s="2" t="s">
        <v>494</v>
      </c>
      <c r="H587" s="2"/>
      <c r="I587" s="2"/>
    </row>
    <row r="588" spans="1:9" x14ac:dyDescent="0.35">
      <c r="A588" s="2" t="s">
        <v>492</v>
      </c>
      <c r="B588" s="2" t="s">
        <v>54</v>
      </c>
      <c r="C588" s="2" t="s">
        <v>495</v>
      </c>
      <c r="D588" s="2" t="s">
        <v>120</v>
      </c>
      <c r="E588" s="2" t="s">
        <v>32</v>
      </c>
      <c r="F588" s="2" t="s">
        <v>16</v>
      </c>
      <c r="G588" s="2" t="s">
        <v>496</v>
      </c>
      <c r="H588" s="2"/>
      <c r="I588" s="2"/>
    </row>
    <row r="589" spans="1:9" x14ac:dyDescent="0.35">
      <c r="A589" s="2" t="s">
        <v>492</v>
      </c>
      <c r="B589" s="2" t="s">
        <v>54</v>
      </c>
      <c r="C589" s="2" t="s">
        <v>495</v>
      </c>
      <c r="D589" s="2" t="s">
        <v>211</v>
      </c>
      <c r="E589" s="2" t="s">
        <v>203</v>
      </c>
      <c r="F589" s="2" t="s">
        <v>16</v>
      </c>
      <c r="G589" s="2" t="s">
        <v>496</v>
      </c>
      <c r="H589" s="2"/>
      <c r="I589" s="2"/>
    </row>
    <row r="590" spans="1:9" x14ac:dyDescent="0.35">
      <c r="A590" s="2" t="s">
        <v>492</v>
      </c>
      <c r="B590" s="2" t="s">
        <v>24</v>
      </c>
      <c r="C590" s="2" t="s">
        <v>497</v>
      </c>
      <c r="D590" s="2" t="s">
        <v>31</v>
      </c>
      <c r="E590" s="2" t="s">
        <v>32</v>
      </c>
      <c r="F590" s="2" t="s">
        <v>46</v>
      </c>
      <c r="G590" s="2" t="s">
        <v>498</v>
      </c>
      <c r="H590" s="2"/>
      <c r="I590" s="2"/>
    </row>
    <row r="591" spans="1:9" x14ac:dyDescent="0.35">
      <c r="A591" s="2" t="s">
        <v>492</v>
      </c>
      <c r="B591" s="2" t="s">
        <v>24</v>
      </c>
      <c r="C591" s="2" t="s">
        <v>497</v>
      </c>
      <c r="D591" s="2" t="s">
        <v>416</v>
      </c>
      <c r="E591" s="2" t="s">
        <v>38</v>
      </c>
      <c r="F591" s="2" t="s">
        <v>46</v>
      </c>
      <c r="G591" s="2" t="s">
        <v>498</v>
      </c>
      <c r="H591" s="2"/>
      <c r="I591" s="2"/>
    </row>
    <row r="592" spans="1:9" x14ac:dyDescent="0.35">
      <c r="A592" s="2" t="s">
        <v>492</v>
      </c>
      <c r="B592" s="2" t="s">
        <v>24</v>
      </c>
      <c r="C592" s="2" t="s">
        <v>497</v>
      </c>
      <c r="D592" s="2" t="s">
        <v>42</v>
      </c>
      <c r="E592" s="2" t="s">
        <v>43</v>
      </c>
      <c r="F592" s="2" t="s">
        <v>46</v>
      </c>
      <c r="G592" s="2" t="s">
        <v>498</v>
      </c>
      <c r="H592" s="2"/>
      <c r="I592" s="2"/>
    </row>
    <row r="593" spans="1:9" x14ac:dyDescent="0.35">
      <c r="A593" s="2" t="s">
        <v>492</v>
      </c>
      <c r="B593" s="2" t="s">
        <v>24</v>
      </c>
      <c r="C593" s="2" t="s">
        <v>499</v>
      </c>
      <c r="D593" s="2" t="s">
        <v>31</v>
      </c>
      <c r="E593" s="2" t="s">
        <v>32</v>
      </c>
      <c r="F593" s="2"/>
      <c r="G593" s="2"/>
      <c r="H593" s="2"/>
      <c r="I593" s="2"/>
    </row>
    <row r="594" spans="1:9" x14ac:dyDescent="0.35">
      <c r="A594" s="2" t="s">
        <v>492</v>
      </c>
      <c r="B594" s="2" t="s">
        <v>24</v>
      </c>
      <c r="C594" s="2" t="s">
        <v>499</v>
      </c>
      <c r="D594" s="2" t="s">
        <v>416</v>
      </c>
      <c r="E594" s="2" t="s">
        <v>38</v>
      </c>
      <c r="F594" s="2"/>
      <c r="G594" s="2"/>
      <c r="H594" s="2"/>
      <c r="I594" s="2"/>
    </row>
    <row r="595" spans="1:9" x14ac:dyDescent="0.35">
      <c r="A595" s="2" t="s">
        <v>492</v>
      </c>
      <c r="B595" s="2" t="s">
        <v>24</v>
      </c>
      <c r="C595" s="2" t="s">
        <v>499</v>
      </c>
      <c r="D595" s="2" t="s">
        <v>377</v>
      </c>
      <c r="E595" s="2" t="s">
        <v>270</v>
      </c>
      <c r="F595" s="2"/>
      <c r="G595" s="2"/>
      <c r="H595" s="2"/>
      <c r="I595" s="2"/>
    </row>
    <row r="596" spans="1:9" x14ac:dyDescent="0.35">
      <c r="A596" s="2" t="s">
        <v>492</v>
      </c>
      <c r="B596" s="2" t="s">
        <v>24</v>
      </c>
      <c r="C596" s="2" t="s">
        <v>499</v>
      </c>
      <c r="D596" s="2" t="s">
        <v>77</v>
      </c>
      <c r="E596" s="2" t="s">
        <v>78</v>
      </c>
      <c r="F596" s="2"/>
      <c r="G596" s="2"/>
      <c r="H596" s="2"/>
      <c r="I596" s="2"/>
    </row>
    <row r="597" spans="1:9" x14ac:dyDescent="0.35">
      <c r="A597" s="2" t="s">
        <v>492</v>
      </c>
      <c r="B597" s="2" t="s">
        <v>24</v>
      </c>
      <c r="C597" s="2" t="s">
        <v>499</v>
      </c>
      <c r="D597" s="2" t="s">
        <v>417</v>
      </c>
      <c r="E597" s="2" t="s">
        <v>40</v>
      </c>
      <c r="F597" s="2"/>
      <c r="G597" s="2"/>
      <c r="H597" s="2"/>
      <c r="I597" s="2"/>
    </row>
    <row r="598" spans="1:9" x14ac:dyDescent="0.35">
      <c r="A598" s="2" t="s">
        <v>492</v>
      </c>
      <c r="B598" s="2" t="s">
        <v>24</v>
      </c>
      <c r="C598" s="2" t="s">
        <v>499</v>
      </c>
      <c r="D598" s="2" t="s">
        <v>18</v>
      </c>
      <c r="E598" s="2" t="s">
        <v>19</v>
      </c>
      <c r="F598" s="2"/>
      <c r="G598" s="2"/>
      <c r="H598" s="2"/>
      <c r="I598" s="2"/>
    </row>
    <row r="599" spans="1:9" x14ac:dyDescent="0.35">
      <c r="A599" s="2" t="s">
        <v>492</v>
      </c>
      <c r="B599" s="2" t="s">
        <v>24</v>
      </c>
      <c r="C599" s="2" t="s">
        <v>499</v>
      </c>
      <c r="D599" s="2" t="s">
        <v>42</v>
      </c>
      <c r="E599" s="2" t="s">
        <v>43</v>
      </c>
      <c r="F599" s="2"/>
      <c r="G599" s="2"/>
      <c r="H599" s="2"/>
      <c r="I599" s="2"/>
    </row>
    <row r="600" spans="1:9" x14ac:dyDescent="0.35">
      <c r="A600" s="2" t="s">
        <v>492</v>
      </c>
      <c r="B600" s="2" t="s">
        <v>24</v>
      </c>
      <c r="C600" s="2" t="s">
        <v>499</v>
      </c>
      <c r="D600" s="2" t="s">
        <v>302</v>
      </c>
      <c r="E600" s="2" t="s">
        <v>65</v>
      </c>
      <c r="F600" s="2"/>
      <c r="G600" s="2"/>
      <c r="H600" s="2"/>
      <c r="I600" s="2"/>
    </row>
    <row r="601" spans="1:9" x14ac:dyDescent="0.35">
      <c r="A601" s="2" t="s">
        <v>492</v>
      </c>
      <c r="B601" s="2" t="s">
        <v>24</v>
      </c>
      <c r="C601" s="2" t="s">
        <v>500</v>
      </c>
      <c r="D601" s="2" t="s">
        <v>31</v>
      </c>
      <c r="E601" s="2" t="s">
        <v>32</v>
      </c>
      <c r="F601" s="2" t="s">
        <v>46</v>
      </c>
      <c r="G601" s="2" t="s">
        <v>498</v>
      </c>
      <c r="H601" s="2"/>
      <c r="I601" s="2"/>
    </row>
    <row r="602" spans="1:9" x14ac:dyDescent="0.35">
      <c r="A602" s="2" t="s">
        <v>492</v>
      </c>
      <c r="B602" s="2" t="s">
        <v>24</v>
      </c>
      <c r="C602" s="2" t="s">
        <v>500</v>
      </c>
      <c r="D602" s="2" t="s">
        <v>416</v>
      </c>
      <c r="E602" s="2" t="s">
        <v>38</v>
      </c>
      <c r="F602" s="2" t="s">
        <v>46</v>
      </c>
      <c r="G602" s="2" t="s">
        <v>498</v>
      </c>
      <c r="H602" s="2"/>
      <c r="I602" s="2"/>
    </row>
    <row r="603" spans="1:9" x14ac:dyDescent="0.35">
      <c r="A603" s="2" t="s">
        <v>492</v>
      </c>
      <c r="B603" s="2" t="s">
        <v>24</v>
      </c>
      <c r="C603" s="2" t="s">
        <v>500</v>
      </c>
      <c r="D603" s="2" t="s">
        <v>501</v>
      </c>
      <c r="E603" s="2" t="s">
        <v>270</v>
      </c>
      <c r="F603" s="2" t="s">
        <v>46</v>
      </c>
      <c r="G603" s="2" t="s">
        <v>498</v>
      </c>
      <c r="H603" s="2"/>
      <c r="I603" s="2"/>
    </row>
    <row r="604" spans="1:9" x14ac:dyDescent="0.35">
      <c r="A604" s="2" t="s">
        <v>492</v>
      </c>
      <c r="B604" s="2" t="s">
        <v>24</v>
      </c>
      <c r="C604" s="2" t="s">
        <v>500</v>
      </c>
      <c r="D604" s="2" t="s">
        <v>502</v>
      </c>
      <c r="E604" s="2" t="s">
        <v>65</v>
      </c>
      <c r="F604" s="2" t="s">
        <v>46</v>
      </c>
      <c r="G604" s="2" t="s">
        <v>498</v>
      </c>
      <c r="H604" s="2"/>
      <c r="I604" s="2"/>
    </row>
    <row r="605" spans="1:9" x14ac:dyDescent="0.35">
      <c r="A605" s="2" t="s">
        <v>492</v>
      </c>
      <c r="B605" s="2" t="s">
        <v>24</v>
      </c>
      <c r="C605" s="2" t="s">
        <v>500</v>
      </c>
      <c r="D605" s="2" t="s">
        <v>156</v>
      </c>
      <c r="E605" s="2" t="s">
        <v>45</v>
      </c>
      <c r="F605" s="2" t="s">
        <v>46</v>
      </c>
      <c r="G605" s="2" t="s">
        <v>498</v>
      </c>
      <c r="H605" s="2"/>
      <c r="I605" s="2"/>
    </row>
    <row r="606" spans="1:9" x14ac:dyDescent="0.35">
      <c r="A606" s="2" t="s">
        <v>492</v>
      </c>
      <c r="B606" s="2" t="s">
        <v>24</v>
      </c>
      <c r="C606" s="2" t="s">
        <v>500</v>
      </c>
      <c r="D606" s="2" t="s">
        <v>77</v>
      </c>
      <c r="E606" s="2" t="s">
        <v>78</v>
      </c>
      <c r="F606" s="2" t="s">
        <v>46</v>
      </c>
      <c r="G606" s="2" t="s">
        <v>498</v>
      </c>
      <c r="H606" s="2"/>
      <c r="I606" s="2"/>
    </row>
    <row r="607" spans="1:9" x14ac:dyDescent="0.35">
      <c r="A607" s="2" t="s">
        <v>492</v>
      </c>
      <c r="B607" s="2" t="s">
        <v>24</v>
      </c>
      <c r="C607" s="2" t="s">
        <v>500</v>
      </c>
      <c r="D607" s="2" t="s">
        <v>417</v>
      </c>
      <c r="E607" s="2" t="s">
        <v>40</v>
      </c>
      <c r="F607" s="2" t="s">
        <v>46</v>
      </c>
      <c r="G607" s="2" t="s">
        <v>498</v>
      </c>
      <c r="H607" s="2"/>
      <c r="I607" s="2"/>
    </row>
    <row r="608" spans="1:9" x14ac:dyDescent="0.35">
      <c r="A608" s="2" t="s">
        <v>492</v>
      </c>
      <c r="B608" s="2" t="s">
        <v>24</v>
      </c>
      <c r="C608" s="2" t="s">
        <v>500</v>
      </c>
      <c r="D608" s="2" t="s">
        <v>503</v>
      </c>
      <c r="E608" s="2" t="s">
        <v>45</v>
      </c>
      <c r="F608" s="2" t="s">
        <v>46</v>
      </c>
      <c r="G608" s="2" t="s">
        <v>498</v>
      </c>
      <c r="H608" s="2"/>
      <c r="I608" s="2"/>
    </row>
    <row r="609" spans="1:9" x14ac:dyDescent="0.35">
      <c r="A609" s="2" t="s">
        <v>492</v>
      </c>
      <c r="B609" s="2" t="s">
        <v>24</v>
      </c>
      <c r="C609" s="2" t="s">
        <v>500</v>
      </c>
      <c r="D609" s="2" t="s">
        <v>100</v>
      </c>
      <c r="E609" s="2" t="s">
        <v>101</v>
      </c>
      <c r="F609" s="2" t="s">
        <v>46</v>
      </c>
      <c r="G609" s="2" t="s">
        <v>498</v>
      </c>
      <c r="H609" s="2"/>
      <c r="I609" s="2"/>
    </row>
    <row r="610" spans="1:9" x14ac:dyDescent="0.35">
      <c r="A610" s="2" t="s">
        <v>492</v>
      </c>
      <c r="B610" s="2" t="s">
        <v>24</v>
      </c>
      <c r="C610" s="2" t="s">
        <v>500</v>
      </c>
      <c r="D610" s="2" t="s">
        <v>504</v>
      </c>
      <c r="E610" s="2" t="s">
        <v>228</v>
      </c>
      <c r="F610" s="2" t="s">
        <v>46</v>
      </c>
      <c r="G610" s="2" t="s">
        <v>498</v>
      </c>
      <c r="H610" s="2"/>
      <c r="I610" s="2"/>
    </row>
    <row r="611" spans="1:9" x14ac:dyDescent="0.35">
      <c r="A611" s="2" t="s">
        <v>492</v>
      </c>
      <c r="B611" s="2" t="s">
        <v>24</v>
      </c>
      <c r="C611" s="2" t="s">
        <v>500</v>
      </c>
      <c r="D611" s="2" t="s">
        <v>42</v>
      </c>
      <c r="E611" s="2" t="s">
        <v>43</v>
      </c>
      <c r="F611" s="2" t="s">
        <v>46</v>
      </c>
      <c r="G611" s="2" t="s">
        <v>498</v>
      </c>
      <c r="H611" s="2"/>
      <c r="I611" s="2"/>
    </row>
    <row r="612" spans="1:9" x14ac:dyDescent="0.35">
      <c r="A612" s="2" t="s">
        <v>492</v>
      </c>
      <c r="B612" s="2" t="s">
        <v>24</v>
      </c>
      <c r="C612" s="2" t="s">
        <v>500</v>
      </c>
      <c r="D612" s="2" t="s">
        <v>505</v>
      </c>
      <c r="E612" s="2" t="s">
        <v>107</v>
      </c>
      <c r="F612" s="2" t="s">
        <v>46</v>
      </c>
      <c r="G612" s="2" t="s">
        <v>498</v>
      </c>
      <c r="H612" s="2"/>
      <c r="I612" s="2"/>
    </row>
    <row r="613" spans="1:9" x14ac:dyDescent="0.35">
      <c r="A613" s="2" t="s">
        <v>492</v>
      </c>
      <c r="B613" s="2" t="s">
        <v>54</v>
      </c>
      <c r="C613" s="2" t="s">
        <v>506</v>
      </c>
      <c r="D613" s="2" t="s">
        <v>31</v>
      </c>
      <c r="E613" s="2" t="s">
        <v>32</v>
      </c>
      <c r="F613" s="2"/>
      <c r="G613" s="2"/>
      <c r="H613" s="2"/>
      <c r="I613" s="2"/>
    </row>
    <row r="614" spans="1:9" x14ac:dyDescent="0.35">
      <c r="A614" s="2" t="s">
        <v>492</v>
      </c>
      <c r="B614" s="2" t="s">
        <v>54</v>
      </c>
      <c r="C614" s="2" t="s">
        <v>506</v>
      </c>
      <c r="D614" s="2" t="s">
        <v>87</v>
      </c>
      <c r="E614" s="2" t="s">
        <v>75</v>
      </c>
      <c r="F614" s="2"/>
      <c r="G614" s="2"/>
      <c r="H614" s="2"/>
      <c r="I614" s="2"/>
    </row>
    <row r="615" spans="1:9" x14ac:dyDescent="0.35">
      <c r="A615" s="2" t="s">
        <v>492</v>
      </c>
      <c r="B615" s="2" t="s">
        <v>54</v>
      </c>
      <c r="C615" s="2" t="s">
        <v>507</v>
      </c>
      <c r="D615" s="2" t="s">
        <v>38</v>
      </c>
      <c r="E615" s="2" t="s">
        <v>38</v>
      </c>
      <c r="F615" s="2"/>
      <c r="G615" s="2"/>
      <c r="H615" s="2"/>
      <c r="I615" s="2"/>
    </row>
    <row r="616" spans="1:9" x14ac:dyDescent="0.35">
      <c r="A616" s="2" t="s">
        <v>492</v>
      </c>
      <c r="B616" s="2" t="s">
        <v>54</v>
      </c>
      <c r="C616" s="2" t="s">
        <v>507</v>
      </c>
      <c r="D616" s="2" t="s">
        <v>508</v>
      </c>
      <c r="E616" s="2" t="s">
        <v>40</v>
      </c>
      <c r="F616" s="2"/>
      <c r="G616" s="2"/>
      <c r="H616" s="2"/>
      <c r="I616" s="2"/>
    </row>
    <row r="617" spans="1:9" x14ac:dyDescent="0.35">
      <c r="A617" s="2" t="s">
        <v>492</v>
      </c>
      <c r="B617" s="2" t="s">
        <v>54</v>
      </c>
      <c r="C617" s="2" t="s">
        <v>509</v>
      </c>
      <c r="D617" s="2" t="s">
        <v>416</v>
      </c>
      <c r="E617" s="2" t="s">
        <v>38</v>
      </c>
      <c r="F617" s="2"/>
      <c r="G617" s="2"/>
      <c r="H617" s="2"/>
      <c r="I617" s="2"/>
    </row>
    <row r="618" spans="1:9" x14ac:dyDescent="0.35">
      <c r="A618" s="2" t="s">
        <v>492</v>
      </c>
      <c r="B618" s="2" t="s">
        <v>54</v>
      </c>
      <c r="C618" s="2" t="s">
        <v>509</v>
      </c>
      <c r="D618" s="2" t="s">
        <v>18</v>
      </c>
      <c r="E618" s="2" t="s">
        <v>19</v>
      </c>
      <c r="F618" s="2" t="s">
        <v>16</v>
      </c>
      <c r="G618" s="2" t="s">
        <v>510</v>
      </c>
      <c r="H618" s="2"/>
      <c r="I618" s="2"/>
    </row>
    <row r="619" spans="1:9" x14ac:dyDescent="0.35">
      <c r="A619" s="2" t="s">
        <v>492</v>
      </c>
      <c r="B619" s="2" t="s">
        <v>54</v>
      </c>
      <c r="C619" s="2" t="s">
        <v>509</v>
      </c>
      <c r="D619" s="2" t="s">
        <v>42</v>
      </c>
      <c r="E619" s="2" t="s">
        <v>43</v>
      </c>
      <c r="F619" s="2"/>
      <c r="G619" s="2"/>
      <c r="H619" s="2"/>
      <c r="I619" s="2"/>
    </row>
    <row r="620" spans="1:9" x14ac:dyDescent="0.35">
      <c r="A620" s="2" t="s">
        <v>511</v>
      </c>
      <c r="B620" s="2" t="s">
        <v>12</v>
      </c>
      <c r="C620" s="2" t="s">
        <v>512</v>
      </c>
      <c r="D620" s="2" t="s">
        <v>513</v>
      </c>
      <c r="E620" s="2" t="s">
        <v>203</v>
      </c>
      <c r="F620" s="2"/>
      <c r="G620" s="2"/>
      <c r="H620" s="2" t="s">
        <v>20</v>
      </c>
      <c r="I620" s="2" t="s">
        <v>514</v>
      </c>
    </row>
    <row r="621" spans="1:9" x14ac:dyDescent="0.35">
      <c r="A621" s="2" t="s">
        <v>511</v>
      </c>
      <c r="B621" s="2" t="s">
        <v>12</v>
      </c>
      <c r="C621" s="2" t="s">
        <v>515</v>
      </c>
      <c r="D621" s="2" t="s">
        <v>27</v>
      </c>
      <c r="E621" s="2" t="s">
        <v>28</v>
      </c>
      <c r="F621" s="2"/>
      <c r="G621" s="2"/>
      <c r="H621" s="2" t="s">
        <v>20</v>
      </c>
      <c r="I621" s="2" t="s">
        <v>516</v>
      </c>
    </row>
    <row r="622" spans="1:9" x14ac:dyDescent="0.35">
      <c r="A622" s="2" t="s">
        <v>511</v>
      </c>
      <c r="B622" s="2" t="s">
        <v>12</v>
      </c>
      <c r="C622" s="2" t="s">
        <v>515</v>
      </c>
      <c r="D622" s="2" t="s">
        <v>121</v>
      </c>
      <c r="E622" s="2" t="s">
        <v>122</v>
      </c>
      <c r="F622" s="2"/>
      <c r="G622" s="2"/>
      <c r="H622" s="2" t="s">
        <v>20</v>
      </c>
      <c r="I622" s="2" t="s">
        <v>516</v>
      </c>
    </row>
    <row r="623" spans="1:9" x14ac:dyDescent="0.35">
      <c r="A623" s="2" t="s">
        <v>511</v>
      </c>
      <c r="B623" s="2" t="s">
        <v>12</v>
      </c>
      <c r="C623" s="2" t="s">
        <v>515</v>
      </c>
      <c r="D623" s="2" t="s">
        <v>77</v>
      </c>
      <c r="E623" s="2" t="s">
        <v>78</v>
      </c>
      <c r="F623" s="2" t="s">
        <v>20</v>
      </c>
      <c r="G623" s="2" t="s">
        <v>517</v>
      </c>
      <c r="H623" s="2" t="s">
        <v>20</v>
      </c>
      <c r="I623" s="2" t="s">
        <v>514</v>
      </c>
    </row>
    <row r="624" spans="1:9" x14ac:dyDescent="0.35">
      <c r="A624" s="2" t="s">
        <v>511</v>
      </c>
      <c r="B624" s="2" t="s">
        <v>12</v>
      </c>
      <c r="C624" s="2" t="s">
        <v>515</v>
      </c>
      <c r="D624" s="2" t="s">
        <v>64</v>
      </c>
      <c r="E624" s="2" t="s">
        <v>65</v>
      </c>
      <c r="F624" s="2"/>
      <c r="G624" s="2"/>
      <c r="H624" s="2" t="s">
        <v>20</v>
      </c>
      <c r="I624" s="2" t="s">
        <v>516</v>
      </c>
    </row>
    <row r="625" spans="1:9" x14ac:dyDescent="0.35">
      <c r="A625" s="2" t="s">
        <v>511</v>
      </c>
      <c r="B625" s="2" t="s">
        <v>12</v>
      </c>
      <c r="C625" s="2" t="s">
        <v>515</v>
      </c>
      <c r="D625" s="2" t="s">
        <v>18</v>
      </c>
      <c r="E625" s="2" t="s">
        <v>19</v>
      </c>
      <c r="F625" s="2" t="s">
        <v>20</v>
      </c>
      <c r="G625" s="2" t="s">
        <v>518</v>
      </c>
      <c r="H625" s="2" t="s">
        <v>20</v>
      </c>
      <c r="I625" s="2" t="s">
        <v>516</v>
      </c>
    </row>
    <row r="626" spans="1:9" x14ac:dyDescent="0.35">
      <c r="A626" s="2" t="s">
        <v>511</v>
      </c>
      <c r="B626" s="2" t="s">
        <v>12</v>
      </c>
      <c r="C626" s="2" t="s">
        <v>515</v>
      </c>
      <c r="D626" s="2" t="s">
        <v>149</v>
      </c>
      <c r="E626" s="2" t="s">
        <v>150</v>
      </c>
      <c r="F626" s="2" t="s">
        <v>20</v>
      </c>
      <c r="G626" s="2" t="s">
        <v>519</v>
      </c>
      <c r="H626" s="2" t="s">
        <v>20</v>
      </c>
      <c r="I626" s="2" t="s">
        <v>514</v>
      </c>
    </row>
    <row r="627" spans="1:9" x14ac:dyDescent="0.35">
      <c r="A627" s="2" t="s">
        <v>511</v>
      </c>
      <c r="B627" s="2" t="s">
        <v>12</v>
      </c>
      <c r="C627" s="2" t="s">
        <v>520</v>
      </c>
      <c r="D627" s="2" t="s">
        <v>513</v>
      </c>
      <c r="E627" s="2" t="s">
        <v>203</v>
      </c>
      <c r="F627" s="2"/>
      <c r="G627" s="2"/>
      <c r="H627" s="2" t="s">
        <v>20</v>
      </c>
      <c r="I627" s="2" t="s">
        <v>514</v>
      </c>
    </row>
    <row r="628" spans="1:9" x14ac:dyDescent="0.35">
      <c r="A628" s="2" t="s">
        <v>511</v>
      </c>
      <c r="B628" s="2" t="s">
        <v>12</v>
      </c>
      <c r="C628" s="2" t="s">
        <v>521</v>
      </c>
      <c r="D628" s="2" t="s">
        <v>18</v>
      </c>
      <c r="E628" s="2" t="s">
        <v>19</v>
      </c>
      <c r="F628" s="2" t="s">
        <v>20</v>
      </c>
      <c r="G628" s="2" t="s">
        <v>522</v>
      </c>
      <c r="H628" s="2" t="s">
        <v>20</v>
      </c>
      <c r="I628" s="2" t="s">
        <v>514</v>
      </c>
    </row>
    <row r="629" spans="1:9" x14ac:dyDescent="0.35">
      <c r="A629" s="2" t="s">
        <v>511</v>
      </c>
      <c r="B629" s="2" t="s">
        <v>24</v>
      </c>
      <c r="C629" s="2" t="s">
        <v>523</v>
      </c>
      <c r="D629" s="2" t="s">
        <v>14</v>
      </c>
      <c r="E629" s="2" t="s">
        <v>15</v>
      </c>
      <c r="F629" s="2"/>
      <c r="G629" s="2"/>
      <c r="H629" s="2" t="s">
        <v>16</v>
      </c>
      <c r="I629" s="2" t="s">
        <v>514</v>
      </c>
    </row>
    <row r="630" spans="1:9" x14ac:dyDescent="0.35">
      <c r="A630" s="2" t="s">
        <v>511</v>
      </c>
      <c r="B630" s="2" t="s">
        <v>24</v>
      </c>
      <c r="C630" s="2" t="s">
        <v>523</v>
      </c>
      <c r="D630" s="2" t="s">
        <v>144</v>
      </c>
      <c r="E630" s="2" t="s">
        <v>50</v>
      </c>
      <c r="F630" s="2"/>
      <c r="G630" s="2"/>
      <c r="H630" s="2" t="s">
        <v>16</v>
      </c>
      <c r="I630" s="2" t="s">
        <v>514</v>
      </c>
    </row>
    <row r="631" spans="1:9" x14ac:dyDescent="0.35">
      <c r="A631" s="2" t="s">
        <v>511</v>
      </c>
      <c r="B631" s="2" t="s">
        <v>24</v>
      </c>
      <c r="C631" s="2" t="s">
        <v>523</v>
      </c>
      <c r="D631" s="2" t="s">
        <v>120</v>
      </c>
      <c r="E631" s="2" t="s">
        <v>32</v>
      </c>
      <c r="F631" s="2" t="s">
        <v>16</v>
      </c>
      <c r="G631" s="2" t="s">
        <v>524</v>
      </c>
      <c r="H631" s="2" t="s">
        <v>16</v>
      </c>
      <c r="I631" s="2" t="s">
        <v>514</v>
      </c>
    </row>
    <row r="632" spans="1:9" x14ac:dyDescent="0.35">
      <c r="A632" s="2" t="s">
        <v>511</v>
      </c>
      <c r="B632" s="2" t="s">
        <v>24</v>
      </c>
      <c r="C632" s="2" t="s">
        <v>523</v>
      </c>
      <c r="D632" s="2" t="s">
        <v>91</v>
      </c>
      <c r="E632" s="2" t="s">
        <v>19</v>
      </c>
      <c r="F632" s="2" t="s">
        <v>16</v>
      </c>
      <c r="G632" s="2" t="s">
        <v>524</v>
      </c>
      <c r="H632" s="2" t="s">
        <v>16</v>
      </c>
      <c r="I632" s="2" t="s">
        <v>514</v>
      </c>
    </row>
    <row r="633" spans="1:9" x14ac:dyDescent="0.35">
      <c r="A633" s="2" t="s">
        <v>511</v>
      </c>
      <c r="B633" s="2" t="s">
        <v>24</v>
      </c>
      <c r="C633" s="2" t="s">
        <v>523</v>
      </c>
      <c r="D633" s="2" t="s">
        <v>423</v>
      </c>
      <c r="E633" s="2" t="s">
        <v>424</v>
      </c>
      <c r="F633" s="2" t="s">
        <v>16</v>
      </c>
      <c r="G633" s="2" t="s">
        <v>524</v>
      </c>
      <c r="H633" s="2" t="s">
        <v>16</v>
      </c>
      <c r="I633" s="2" t="s">
        <v>514</v>
      </c>
    </row>
    <row r="634" spans="1:9" x14ac:dyDescent="0.35">
      <c r="A634" s="2" t="s">
        <v>511</v>
      </c>
      <c r="B634" s="2" t="s">
        <v>24</v>
      </c>
      <c r="C634" s="2" t="s">
        <v>523</v>
      </c>
      <c r="D634" s="2" t="s">
        <v>149</v>
      </c>
      <c r="E634" s="2" t="s">
        <v>150</v>
      </c>
      <c r="F634" s="2"/>
      <c r="G634" s="2"/>
      <c r="H634" s="2" t="s">
        <v>16</v>
      </c>
      <c r="I634" s="2" t="s">
        <v>514</v>
      </c>
    </row>
    <row r="635" spans="1:9" x14ac:dyDescent="0.35">
      <c r="A635" s="2" t="s">
        <v>511</v>
      </c>
      <c r="B635" s="2" t="s">
        <v>57</v>
      </c>
      <c r="C635" s="2" t="s">
        <v>525</v>
      </c>
      <c r="D635" s="2" t="s">
        <v>14</v>
      </c>
      <c r="E635" s="2" t="s">
        <v>15</v>
      </c>
      <c r="F635" s="2"/>
      <c r="G635" s="2"/>
      <c r="H635" s="2" t="s">
        <v>16</v>
      </c>
      <c r="I635" s="2" t="s">
        <v>526</v>
      </c>
    </row>
    <row r="636" spans="1:9" x14ac:dyDescent="0.35">
      <c r="A636" s="2" t="s">
        <v>511</v>
      </c>
      <c r="B636" s="2" t="s">
        <v>57</v>
      </c>
      <c r="C636" s="2" t="s">
        <v>525</v>
      </c>
      <c r="D636" s="2" t="s">
        <v>144</v>
      </c>
      <c r="E636" s="2" t="s">
        <v>50</v>
      </c>
      <c r="F636" s="2"/>
      <c r="G636" s="2"/>
      <c r="H636" s="2" t="s">
        <v>16</v>
      </c>
      <c r="I636" s="2" t="s">
        <v>526</v>
      </c>
    </row>
    <row r="637" spans="1:9" x14ac:dyDescent="0.35">
      <c r="A637" s="2" t="s">
        <v>511</v>
      </c>
      <c r="B637" s="2" t="s">
        <v>57</v>
      </c>
      <c r="C637" s="2" t="s">
        <v>525</v>
      </c>
      <c r="D637" s="2" t="s">
        <v>27</v>
      </c>
      <c r="E637" s="2" t="s">
        <v>28</v>
      </c>
      <c r="F637" s="2"/>
      <c r="G637" s="2"/>
      <c r="H637" s="2" t="s">
        <v>16</v>
      </c>
      <c r="I637" s="2" t="s">
        <v>526</v>
      </c>
    </row>
    <row r="638" spans="1:9" x14ac:dyDescent="0.35">
      <c r="A638" s="2" t="s">
        <v>511</v>
      </c>
      <c r="B638" s="2" t="s">
        <v>57</v>
      </c>
      <c r="C638" s="2" t="s">
        <v>525</v>
      </c>
      <c r="D638" s="2" t="s">
        <v>76</v>
      </c>
      <c r="E638" s="2" t="s">
        <v>75</v>
      </c>
      <c r="F638" s="2" t="s">
        <v>16</v>
      </c>
      <c r="G638" s="2" t="s">
        <v>527</v>
      </c>
      <c r="H638" s="2" t="s">
        <v>16</v>
      </c>
      <c r="I638" s="2" t="s">
        <v>526</v>
      </c>
    </row>
    <row r="639" spans="1:9" x14ac:dyDescent="0.35">
      <c r="A639" s="2" t="s">
        <v>511</v>
      </c>
      <c r="B639" s="2" t="s">
        <v>57</v>
      </c>
      <c r="C639" s="2" t="s">
        <v>525</v>
      </c>
      <c r="D639" s="2" t="s">
        <v>31</v>
      </c>
      <c r="E639" s="2" t="s">
        <v>32</v>
      </c>
      <c r="F639" s="2"/>
      <c r="G639" s="2"/>
      <c r="H639" s="2" t="s">
        <v>16</v>
      </c>
      <c r="I639" s="2" t="s">
        <v>526</v>
      </c>
    </row>
    <row r="640" spans="1:9" x14ac:dyDescent="0.35">
      <c r="A640" s="2" t="s">
        <v>511</v>
      </c>
      <c r="B640" s="2" t="s">
        <v>57</v>
      </c>
      <c r="C640" s="2" t="s">
        <v>525</v>
      </c>
      <c r="D640" s="2" t="s">
        <v>528</v>
      </c>
      <c r="E640" s="2" t="s">
        <v>203</v>
      </c>
      <c r="F640" s="2"/>
      <c r="G640" s="2"/>
      <c r="H640" s="2" t="s">
        <v>16</v>
      </c>
      <c r="I640" s="2" t="s">
        <v>526</v>
      </c>
    </row>
    <row r="641" spans="1:9" x14ac:dyDescent="0.35">
      <c r="A641" s="2" t="s">
        <v>511</v>
      </c>
      <c r="B641" s="2" t="s">
        <v>57</v>
      </c>
      <c r="C641" s="2" t="s">
        <v>525</v>
      </c>
      <c r="D641" s="2" t="s">
        <v>59</v>
      </c>
      <c r="E641" s="2" t="s">
        <v>60</v>
      </c>
      <c r="F641" s="2"/>
      <c r="G641" s="2"/>
      <c r="H641" s="2" t="s">
        <v>16</v>
      </c>
      <c r="I641" s="2" t="s">
        <v>526</v>
      </c>
    </row>
    <row r="642" spans="1:9" x14ac:dyDescent="0.35">
      <c r="A642" s="2" t="s">
        <v>511</v>
      </c>
      <c r="B642" s="2" t="s">
        <v>57</v>
      </c>
      <c r="C642" s="2" t="s">
        <v>525</v>
      </c>
      <c r="D642" s="2" t="s">
        <v>38</v>
      </c>
      <c r="E642" s="2" t="s">
        <v>38</v>
      </c>
      <c r="F642" s="2"/>
      <c r="G642" s="2"/>
      <c r="H642" s="2" t="s">
        <v>16</v>
      </c>
      <c r="I642" s="2" t="s">
        <v>526</v>
      </c>
    </row>
    <row r="643" spans="1:9" x14ac:dyDescent="0.35">
      <c r="A643" s="2" t="s">
        <v>511</v>
      </c>
      <c r="B643" s="2" t="s">
        <v>57</v>
      </c>
      <c r="C643" s="2" t="s">
        <v>525</v>
      </c>
      <c r="D643" s="2" t="s">
        <v>77</v>
      </c>
      <c r="E643" s="2" t="s">
        <v>78</v>
      </c>
      <c r="F643" s="2"/>
      <c r="G643" s="2"/>
      <c r="H643" s="2" t="s">
        <v>16</v>
      </c>
      <c r="I643" s="2" t="s">
        <v>526</v>
      </c>
    </row>
    <row r="644" spans="1:9" x14ac:dyDescent="0.35">
      <c r="A644" s="2" t="s">
        <v>511</v>
      </c>
      <c r="B644" s="2" t="s">
        <v>57</v>
      </c>
      <c r="C644" s="2" t="s">
        <v>525</v>
      </c>
      <c r="D644" s="2" t="s">
        <v>258</v>
      </c>
      <c r="E644" s="2" t="s">
        <v>259</v>
      </c>
      <c r="F644" s="2" t="s">
        <v>16</v>
      </c>
      <c r="G644" s="2" t="s">
        <v>465</v>
      </c>
      <c r="H644" s="2" t="s">
        <v>16</v>
      </c>
      <c r="I644" s="2" t="s">
        <v>526</v>
      </c>
    </row>
    <row r="645" spans="1:9" x14ac:dyDescent="0.35">
      <c r="A645" s="2" t="s">
        <v>511</v>
      </c>
      <c r="B645" s="2" t="s">
        <v>57</v>
      </c>
      <c r="C645" s="2" t="s">
        <v>525</v>
      </c>
      <c r="D645" s="2" t="s">
        <v>124</v>
      </c>
      <c r="E645" s="2" t="s">
        <v>125</v>
      </c>
      <c r="F645" s="2" t="s">
        <v>16</v>
      </c>
      <c r="G645" s="2" t="s">
        <v>529</v>
      </c>
      <c r="H645" s="2" t="s">
        <v>16</v>
      </c>
      <c r="I645" s="2" t="s">
        <v>526</v>
      </c>
    </row>
    <row r="646" spans="1:9" x14ac:dyDescent="0.35">
      <c r="A646" s="2" t="s">
        <v>511</v>
      </c>
      <c r="B646" s="2" t="s">
        <v>57</v>
      </c>
      <c r="C646" s="2" t="s">
        <v>525</v>
      </c>
      <c r="D646" s="2" t="s">
        <v>204</v>
      </c>
      <c r="E646" s="2" t="s">
        <v>40</v>
      </c>
      <c r="F646" s="2" t="s">
        <v>16</v>
      </c>
      <c r="G646" s="2" t="s">
        <v>465</v>
      </c>
      <c r="H646" s="2" t="s">
        <v>16</v>
      </c>
      <c r="I646" s="2" t="s">
        <v>526</v>
      </c>
    </row>
    <row r="647" spans="1:9" x14ac:dyDescent="0.35">
      <c r="A647" s="2" t="s">
        <v>511</v>
      </c>
      <c r="B647" s="2" t="s">
        <v>57</v>
      </c>
      <c r="C647" s="2" t="s">
        <v>525</v>
      </c>
      <c r="D647" s="2" t="s">
        <v>61</v>
      </c>
      <c r="E647" s="2" t="s">
        <v>30</v>
      </c>
      <c r="F647" s="2"/>
      <c r="G647" s="2"/>
      <c r="H647" s="2" t="s">
        <v>16</v>
      </c>
      <c r="I647" s="2" t="s">
        <v>526</v>
      </c>
    </row>
    <row r="648" spans="1:9" x14ac:dyDescent="0.35">
      <c r="A648" s="2" t="s">
        <v>511</v>
      </c>
      <c r="B648" s="2" t="s">
        <v>57</v>
      </c>
      <c r="C648" s="2" t="s">
        <v>525</v>
      </c>
      <c r="D648" s="2" t="s">
        <v>149</v>
      </c>
      <c r="E648" s="2" t="s">
        <v>150</v>
      </c>
      <c r="F648" s="2" t="s">
        <v>16</v>
      </c>
      <c r="G648" s="2" t="s">
        <v>465</v>
      </c>
      <c r="H648" s="2" t="s">
        <v>16</v>
      </c>
      <c r="I648" s="2" t="s">
        <v>526</v>
      </c>
    </row>
    <row r="649" spans="1:9" x14ac:dyDescent="0.35">
      <c r="A649" s="2" t="s">
        <v>511</v>
      </c>
      <c r="B649" s="2" t="s">
        <v>62</v>
      </c>
      <c r="C649" s="2" t="s">
        <v>530</v>
      </c>
      <c r="D649" s="2" t="s">
        <v>106</v>
      </c>
      <c r="E649" s="2" t="s">
        <v>107</v>
      </c>
      <c r="F649" s="2"/>
      <c r="G649" s="2"/>
      <c r="H649" s="2" t="s">
        <v>16</v>
      </c>
      <c r="I649" s="2" t="s">
        <v>526</v>
      </c>
    </row>
    <row r="650" spans="1:9" x14ac:dyDescent="0.35">
      <c r="A650" s="2" t="s">
        <v>511</v>
      </c>
      <c r="B650" s="2" t="s">
        <v>62</v>
      </c>
      <c r="C650" s="2" t="s">
        <v>531</v>
      </c>
      <c r="D650" s="2" t="s">
        <v>532</v>
      </c>
      <c r="E650" s="2" t="s">
        <v>533</v>
      </c>
      <c r="F650" s="2"/>
      <c r="G650" s="2"/>
      <c r="H650" s="2" t="s">
        <v>16</v>
      </c>
      <c r="I650" s="2" t="s">
        <v>526</v>
      </c>
    </row>
    <row r="651" spans="1:9" x14ac:dyDescent="0.35">
      <c r="A651" s="2" t="s">
        <v>511</v>
      </c>
      <c r="B651" s="2" t="s">
        <v>62</v>
      </c>
      <c r="C651" s="2" t="s">
        <v>531</v>
      </c>
      <c r="D651" s="2" t="s">
        <v>534</v>
      </c>
      <c r="E651" s="2" t="s">
        <v>38</v>
      </c>
      <c r="F651" s="2"/>
      <c r="G651" s="2"/>
      <c r="H651" s="2" t="s">
        <v>16</v>
      </c>
      <c r="I651" s="2" t="s">
        <v>526</v>
      </c>
    </row>
    <row r="652" spans="1:9" x14ac:dyDescent="0.35">
      <c r="A652" s="2" t="s">
        <v>511</v>
      </c>
      <c r="B652" s="2" t="s">
        <v>62</v>
      </c>
      <c r="C652" s="2" t="s">
        <v>531</v>
      </c>
      <c r="D652" s="2" t="s">
        <v>87</v>
      </c>
      <c r="E652" s="2" t="s">
        <v>75</v>
      </c>
      <c r="F652" s="2" t="s">
        <v>16</v>
      </c>
      <c r="G652" s="2" t="s">
        <v>535</v>
      </c>
      <c r="H652" s="2" t="s">
        <v>16</v>
      </c>
      <c r="I652" s="2" t="s">
        <v>526</v>
      </c>
    </row>
    <row r="653" spans="1:9" x14ac:dyDescent="0.35">
      <c r="A653" s="2" t="s">
        <v>511</v>
      </c>
      <c r="B653" s="2" t="s">
        <v>62</v>
      </c>
      <c r="C653" s="2" t="s">
        <v>531</v>
      </c>
      <c r="D653" s="2" t="s">
        <v>100</v>
      </c>
      <c r="E653" s="2" t="s">
        <v>101</v>
      </c>
      <c r="F653" s="2"/>
      <c r="G653" s="2"/>
      <c r="H653" s="2" t="s">
        <v>16</v>
      </c>
      <c r="I653" s="2" t="s">
        <v>526</v>
      </c>
    </row>
    <row r="654" spans="1:9" x14ac:dyDescent="0.35">
      <c r="A654" s="2" t="s">
        <v>511</v>
      </c>
      <c r="B654" s="2" t="s">
        <v>62</v>
      </c>
      <c r="C654" s="2" t="s">
        <v>531</v>
      </c>
      <c r="D654" s="2" t="s">
        <v>536</v>
      </c>
      <c r="E654" s="2" t="s">
        <v>65</v>
      </c>
      <c r="F654" s="2"/>
      <c r="G654" s="2"/>
      <c r="H654" s="2" t="s">
        <v>16</v>
      </c>
      <c r="I654" s="2" t="s">
        <v>526</v>
      </c>
    </row>
    <row r="655" spans="1:9" x14ac:dyDescent="0.35">
      <c r="A655" s="2" t="s">
        <v>511</v>
      </c>
      <c r="B655" s="2" t="s">
        <v>62</v>
      </c>
      <c r="C655" s="2" t="s">
        <v>531</v>
      </c>
      <c r="D655" s="2" t="s">
        <v>387</v>
      </c>
      <c r="E655" s="2" t="s">
        <v>367</v>
      </c>
      <c r="F655" s="2"/>
      <c r="G655" s="2"/>
      <c r="H655" s="2" t="s">
        <v>16</v>
      </c>
      <c r="I655" s="2" t="s">
        <v>526</v>
      </c>
    </row>
    <row r="656" spans="1:9" x14ac:dyDescent="0.35">
      <c r="A656" s="2" t="s">
        <v>511</v>
      </c>
      <c r="B656" s="2" t="s">
        <v>24</v>
      </c>
      <c r="C656" s="2" t="s">
        <v>537</v>
      </c>
      <c r="D656" s="2" t="s">
        <v>14</v>
      </c>
      <c r="E656" s="2" t="s">
        <v>15</v>
      </c>
      <c r="F656" s="2"/>
      <c r="G656" s="2"/>
      <c r="H656" s="2" t="s">
        <v>16</v>
      </c>
      <c r="I656" s="2" t="s">
        <v>514</v>
      </c>
    </row>
    <row r="657" spans="1:9" x14ac:dyDescent="0.35">
      <c r="A657" s="2" t="s">
        <v>511</v>
      </c>
      <c r="B657" s="2" t="s">
        <v>24</v>
      </c>
      <c r="C657" s="2" t="s">
        <v>537</v>
      </c>
      <c r="D657" s="2" t="s">
        <v>144</v>
      </c>
      <c r="E657" s="2" t="s">
        <v>50</v>
      </c>
      <c r="F657" s="2"/>
      <c r="G657" s="2"/>
      <c r="H657" s="2" t="s">
        <v>16</v>
      </c>
      <c r="I657" s="2" t="s">
        <v>514</v>
      </c>
    </row>
    <row r="658" spans="1:9" x14ac:dyDescent="0.35">
      <c r="A658" s="2" t="s">
        <v>511</v>
      </c>
      <c r="B658" s="2" t="s">
        <v>24</v>
      </c>
      <c r="C658" s="2" t="s">
        <v>537</v>
      </c>
      <c r="D658" s="2" t="s">
        <v>27</v>
      </c>
      <c r="E658" s="2" t="s">
        <v>28</v>
      </c>
      <c r="F658" s="2"/>
      <c r="G658" s="2"/>
      <c r="H658" s="2" t="s">
        <v>16</v>
      </c>
      <c r="I658" s="2" t="s">
        <v>514</v>
      </c>
    </row>
    <row r="659" spans="1:9" x14ac:dyDescent="0.35">
      <c r="A659" s="2" t="s">
        <v>511</v>
      </c>
      <c r="B659" s="2" t="s">
        <v>24</v>
      </c>
      <c r="C659" s="2" t="s">
        <v>537</v>
      </c>
      <c r="D659" s="2" t="s">
        <v>31</v>
      </c>
      <c r="E659" s="2" t="s">
        <v>32</v>
      </c>
      <c r="F659" s="2"/>
      <c r="G659" s="2"/>
      <c r="H659" s="2" t="s">
        <v>16</v>
      </c>
      <c r="I659" s="2" t="s">
        <v>514</v>
      </c>
    </row>
    <row r="660" spans="1:9" x14ac:dyDescent="0.35">
      <c r="A660" s="2" t="s">
        <v>511</v>
      </c>
      <c r="B660" s="2" t="s">
        <v>24</v>
      </c>
      <c r="C660" s="2" t="s">
        <v>537</v>
      </c>
      <c r="D660" s="2" t="s">
        <v>121</v>
      </c>
      <c r="E660" s="2" t="s">
        <v>122</v>
      </c>
      <c r="F660" s="2"/>
      <c r="G660" s="2"/>
      <c r="H660" s="2" t="s">
        <v>16</v>
      </c>
      <c r="I660" s="2" t="s">
        <v>514</v>
      </c>
    </row>
    <row r="661" spans="1:9" x14ac:dyDescent="0.35">
      <c r="A661" s="2" t="s">
        <v>511</v>
      </c>
      <c r="B661" s="2" t="s">
        <v>24</v>
      </c>
      <c r="C661" s="2" t="s">
        <v>537</v>
      </c>
      <c r="D661" s="2" t="s">
        <v>393</v>
      </c>
      <c r="E661" s="2" t="s">
        <v>36</v>
      </c>
      <c r="F661" s="2"/>
      <c r="G661" s="2"/>
      <c r="H661" s="2" t="s">
        <v>16</v>
      </c>
      <c r="I661" s="2" t="s">
        <v>514</v>
      </c>
    </row>
    <row r="662" spans="1:9" x14ac:dyDescent="0.35">
      <c r="A662" s="2" t="s">
        <v>511</v>
      </c>
      <c r="B662" s="2" t="s">
        <v>24</v>
      </c>
      <c r="C662" s="2" t="s">
        <v>537</v>
      </c>
      <c r="D662" s="2" t="s">
        <v>91</v>
      </c>
      <c r="E662" s="2" t="s">
        <v>19</v>
      </c>
      <c r="F662" s="2" t="s">
        <v>20</v>
      </c>
      <c r="G662" s="2" t="s">
        <v>538</v>
      </c>
      <c r="H662" s="2" t="s">
        <v>16</v>
      </c>
      <c r="I662" s="2" t="s">
        <v>514</v>
      </c>
    </row>
    <row r="663" spans="1:9" x14ac:dyDescent="0.35">
      <c r="A663" s="2" t="s">
        <v>511</v>
      </c>
      <c r="B663" s="2" t="s">
        <v>24</v>
      </c>
      <c r="C663" s="2" t="s">
        <v>537</v>
      </c>
      <c r="D663" s="2" t="s">
        <v>124</v>
      </c>
      <c r="E663" s="2" t="s">
        <v>125</v>
      </c>
      <c r="F663" s="2"/>
      <c r="G663" s="2"/>
      <c r="H663" s="2" t="s">
        <v>16</v>
      </c>
      <c r="I663" s="2" t="s">
        <v>514</v>
      </c>
    </row>
    <row r="664" spans="1:9" x14ac:dyDescent="0.35">
      <c r="A664" s="2" t="s">
        <v>511</v>
      </c>
      <c r="B664" s="2" t="s">
        <v>24</v>
      </c>
      <c r="C664" s="2" t="s">
        <v>537</v>
      </c>
      <c r="D664" s="2" t="s">
        <v>149</v>
      </c>
      <c r="E664" s="2" t="s">
        <v>150</v>
      </c>
      <c r="F664" s="2"/>
      <c r="G664" s="2"/>
      <c r="H664" s="2" t="s">
        <v>16</v>
      </c>
      <c r="I664" s="2" t="s">
        <v>514</v>
      </c>
    </row>
    <row r="665" spans="1:9" x14ac:dyDescent="0.35">
      <c r="A665" s="2" t="s">
        <v>511</v>
      </c>
      <c r="B665" s="2" t="s">
        <v>54</v>
      </c>
      <c r="C665" s="2" t="s">
        <v>539</v>
      </c>
      <c r="D665" s="2" t="s">
        <v>76</v>
      </c>
      <c r="E665" s="2" t="s">
        <v>75</v>
      </c>
      <c r="F665" s="2" t="s">
        <v>16</v>
      </c>
      <c r="G665" s="2" t="s">
        <v>540</v>
      </c>
      <c r="H665" s="2" t="s">
        <v>16</v>
      </c>
      <c r="I665" s="2" t="s">
        <v>526</v>
      </c>
    </row>
    <row r="666" spans="1:9" x14ac:dyDescent="0.35">
      <c r="A666" s="2" t="s">
        <v>511</v>
      </c>
      <c r="B666" s="2" t="s">
        <v>54</v>
      </c>
      <c r="C666" s="2" t="s">
        <v>539</v>
      </c>
      <c r="D666" s="2" t="s">
        <v>31</v>
      </c>
      <c r="E666" s="2" t="s">
        <v>32</v>
      </c>
      <c r="F666" s="2"/>
      <c r="G666" s="2"/>
      <c r="H666" s="2" t="s">
        <v>16</v>
      </c>
      <c r="I666" s="2" t="s">
        <v>526</v>
      </c>
    </row>
    <row r="667" spans="1:9" x14ac:dyDescent="0.35">
      <c r="A667" s="2" t="s">
        <v>511</v>
      </c>
      <c r="B667" s="2" t="s">
        <v>54</v>
      </c>
      <c r="C667" s="2" t="s">
        <v>539</v>
      </c>
      <c r="D667" s="2" t="s">
        <v>528</v>
      </c>
      <c r="E667" s="2" t="s">
        <v>203</v>
      </c>
      <c r="F667" s="2"/>
      <c r="G667" s="2"/>
      <c r="H667" s="2" t="s">
        <v>16</v>
      </c>
      <c r="I667" s="2" t="s">
        <v>526</v>
      </c>
    </row>
    <row r="668" spans="1:9" x14ac:dyDescent="0.35">
      <c r="A668" s="2" t="s">
        <v>511</v>
      </c>
      <c r="B668" s="2" t="s">
        <v>54</v>
      </c>
      <c r="C668" s="2" t="s">
        <v>539</v>
      </c>
      <c r="D668" s="2" t="s">
        <v>136</v>
      </c>
      <c r="E668" s="2" t="s">
        <v>107</v>
      </c>
      <c r="F668" s="2"/>
      <c r="G668" s="2"/>
      <c r="H668" s="2" t="s">
        <v>16</v>
      </c>
      <c r="I668" s="2" t="s">
        <v>514</v>
      </c>
    </row>
    <row r="669" spans="1:9" x14ac:dyDescent="0.35">
      <c r="A669" s="2" t="s">
        <v>511</v>
      </c>
      <c r="B669" s="2" t="s">
        <v>54</v>
      </c>
      <c r="C669" s="2" t="s">
        <v>539</v>
      </c>
      <c r="D669" s="2" t="s">
        <v>156</v>
      </c>
      <c r="E669" s="2" t="s">
        <v>45</v>
      </c>
      <c r="F669" s="2" t="s">
        <v>16</v>
      </c>
      <c r="G669" s="2" t="s">
        <v>541</v>
      </c>
      <c r="H669" s="2" t="s">
        <v>16</v>
      </c>
      <c r="I669" s="2" t="s">
        <v>526</v>
      </c>
    </row>
    <row r="670" spans="1:9" x14ac:dyDescent="0.35">
      <c r="A670" s="2" t="s">
        <v>511</v>
      </c>
      <c r="B670" s="2" t="s">
        <v>54</v>
      </c>
      <c r="C670" s="2" t="s">
        <v>539</v>
      </c>
      <c r="D670" s="2" t="s">
        <v>18</v>
      </c>
      <c r="E670" s="2" t="s">
        <v>19</v>
      </c>
      <c r="F670" s="2" t="s">
        <v>16</v>
      </c>
      <c r="G670" s="2" t="s">
        <v>541</v>
      </c>
      <c r="H670" s="2" t="s">
        <v>16</v>
      </c>
      <c r="I670" s="2" t="s">
        <v>526</v>
      </c>
    </row>
    <row r="671" spans="1:9" x14ac:dyDescent="0.35">
      <c r="A671" s="2" t="s">
        <v>511</v>
      </c>
      <c r="B671" s="2" t="s">
        <v>54</v>
      </c>
      <c r="C671" s="2" t="s">
        <v>539</v>
      </c>
      <c r="D671" s="2" t="s">
        <v>61</v>
      </c>
      <c r="E671" s="2" t="s">
        <v>30</v>
      </c>
      <c r="F671" s="2"/>
      <c r="G671" s="2"/>
      <c r="H671" s="2" t="s">
        <v>16</v>
      </c>
      <c r="I671" s="2" t="s">
        <v>514</v>
      </c>
    </row>
    <row r="672" spans="1:9" x14ac:dyDescent="0.35">
      <c r="A672" s="2" t="s">
        <v>511</v>
      </c>
      <c r="B672" s="2" t="s">
        <v>54</v>
      </c>
      <c r="C672" s="2" t="s">
        <v>539</v>
      </c>
      <c r="D672" s="2" t="s">
        <v>188</v>
      </c>
      <c r="E672" s="2" t="s">
        <v>189</v>
      </c>
      <c r="F672" s="2"/>
      <c r="G672" s="2"/>
      <c r="H672" s="2" t="s">
        <v>16</v>
      </c>
      <c r="I672" s="2" t="s">
        <v>526</v>
      </c>
    </row>
    <row r="673" spans="1:9" x14ac:dyDescent="0.35">
      <c r="A673" s="2" t="s">
        <v>511</v>
      </c>
      <c r="B673" s="2" t="s">
        <v>54</v>
      </c>
      <c r="C673" s="2" t="s">
        <v>539</v>
      </c>
      <c r="D673" s="2" t="s">
        <v>423</v>
      </c>
      <c r="E673" s="2" t="s">
        <v>424</v>
      </c>
      <c r="F673" s="2"/>
      <c r="G673" s="2"/>
      <c r="H673" s="2" t="s">
        <v>16</v>
      </c>
      <c r="I673" s="2" t="s">
        <v>514</v>
      </c>
    </row>
    <row r="674" spans="1:9" x14ac:dyDescent="0.35">
      <c r="A674" s="2" t="s">
        <v>511</v>
      </c>
      <c r="B674" s="2" t="s">
        <v>54</v>
      </c>
      <c r="C674" s="2" t="s">
        <v>539</v>
      </c>
      <c r="D674" s="2" t="s">
        <v>352</v>
      </c>
      <c r="E674" s="2" t="s">
        <v>107</v>
      </c>
      <c r="F674" s="2"/>
      <c r="G674" s="2"/>
      <c r="H674" s="2" t="s">
        <v>16</v>
      </c>
      <c r="I674" s="2" t="s">
        <v>526</v>
      </c>
    </row>
    <row r="675" spans="1:9" x14ac:dyDescent="0.35">
      <c r="A675" s="2" t="s">
        <v>511</v>
      </c>
      <c r="B675" s="2" t="s">
        <v>54</v>
      </c>
      <c r="C675" s="2" t="s">
        <v>539</v>
      </c>
      <c r="D675" s="2" t="s">
        <v>149</v>
      </c>
      <c r="E675" s="2" t="s">
        <v>150</v>
      </c>
      <c r="F675" s="2"/>
      <c r="G675" s="2"/>
      <c r="H675" s="2" t="s">
        <v>16</v>
      </c>
      <c r="I675" s="2" t="s">
        <v>526</v>
      </c>
    </row>
    <row r="676" spans="1:9" x14ac:dyDescent="0.35">
      <c r="A676" s="2" t="s">
        <v>511</v>
      </c>
      <c r="B676" s="2" t="s">
        <v>54</v>
      </c>
      <c r="C676" s="2" t="s">
        <v>539</v>
      </c>
      <c r="D676" s="2" t="s">
        <v>542</v>
      </c>
      <c r="E676" s="2" t="s">
        <v>78</v>
      </c>
      <c r="F676" s="2"/>
      <c r="G676" s="2"/>
      <c r="H676" s="2"/>
      <c r="I676" s="2"/>
    </row>
    <row r="677" spans="1:9" x14ac:dyDescent="0.35">
      <c r="A677" s="2" t="s">
        <v>511</v>
      </c>
      <c r="B677" s="2" t="s">
        <v>62</v>
      </c>
      <c r="C677" s="2" t="s">
        <v>543</v>
      </c>
      <c r="D677" s="2" t="s">
        <v>106</v>
      </c>
      <c r="E677" s="2" t="s">
        <v>107</v>
      </c>
      <c r="F677" s="2"/>
      <c r="G677" s="2"/>
      <c r="H677" s="2" t="s">
        <v>20</v>
      </c>
      <c r="I677" s="2" t="s">
        <v>514</v>
      </c>
    </row>
    <row r="678" spans="1:9" x14ac:dyDescent="0.35">
      <c r="A678" s="2" t="s">
        <v>511</v>
      </c>
      <c r="B678" s="2" t="s">
        <v>24</v>
      </c>
      <c r="C678" s="2" t="s">
        <v>544</v>
      </c>
      <c r="D678" s="2" t="s">
        <v>14</v>
      </c>
      <c r="E678" s="2" t="s">
        <v>15</v>
      </c>
      <c r="F678" s="2"/>
      <c r="G678" s="2"/>
      <c r="H678" s="2" t="s">
        <v>16</v>
      </c>
      <c r="I678" s="2" t="s">
        <v>514</v>
      </c>
    </row>
    <row r="679" spans="1:9" x14ac:dyDescent="0.35">
      <c r="A679" s="2" t="s">
        <v>511</v>
      </c>
      <c r="B679" s="2" t="s">
        <v>24</v>
      </c>
      <c r="C679" s="2" t="s">
        <v>544</v>
      </c>
      <c r="D679" s="2" t="s">
        <v>136</v>
      </c>
      <c r="E679" s="2" t="s">
        <v>107</v>
      </c>
      <c r="F679" s="2" t="s">
        <v>16</v>
      </c>
      <c r="G679" s="2" t="s">
        <v>545</v>
      </c>
      <c r="H679" s="2" t="s">
        <v>16</v>
      </c>
      <c r="I679" s="2" t="s">
        <v>514</v>
      </c>
    </row>
    <row r="680" spans="1:9" x14ac:dyDescent="0.35">
      <c r="A680" s="2" t="s">
        <v>511</v>
      </c>
      <c r="B680" s="2" t="s">
        <v>24</v>
      </c>
      <c r="C680" s="2" t="s">
        <v>544</v>
      </c>
      <c r="D680" s="2" t="s">
        <v>121</v>
      </c>
      <c r="E680" s="2" t="s">
        <v>122</v>
      </c>
      <c r="F680" s="2" t="s">
        <v>16</v>
      </c>
      <c r="G680" s="2" t="s">
        <v>545</v>
      </c>
      <c r="H680" s="2" t="s">
        <v>16</v>
      </c>
      <c r="I680" s="2" t="s">
        <v>514</v>
      </c>
    </row>
    <row r="681" spans="1:9" x14ac:dyDescent="0.35">
      <c r="A681" s="2" t="s">
        <v>511</v>
      </c>
      <c r="B681" s="2" t="s">
        <v>24</v>
      </c>
      <c r="C681" s="2" t="s">
        <v>544</v>
      </c>
      <c r="D681" s="2" t="s">
        <v>91</v>
      </c>
      <c r="E681" s="2" t="s">
        <v>19</v>
      </c>
      <c r="F681" s="2" t="s">
        <v>16</v>
      </c>
      <c r="G681" s="2" t="s">
        <v>546</v>
      </c>
      <c r="H681" s="2" t="s">
        <v>16</v>
      </c>
      <c r="I681" s="2" t="s">
        <v>514</v>
      </c>
    </row>
    <row r="682" spans="1:9" x14ac:dyDescent="0.35">
      <c r="A682" s="2" t="s">
        <v>511</v>
      </c>
      <c r="B682" s="2" t="s">
        <v>24</v>
      </c>
      <c r="C682" s="2" t="s">
        <v>544</v>
      </c>
      <c r="D682" s="2" t="s">
        <v>51</v>
      </c>
      <c r="E682" s="2" t="s">
        <v>52</v>
      </c>
      <c r="F682" s="2" t="s">
        <v>16</v>
      </c>
      <c r="G682" s="2" t="s">
        <v>545</v>
      </c>
      <c r="H682" s="2" t="s">
        <v>16</v>
      </c>
      <c r="I682" s="2" t="s">
        <v>514</v>
      </c>
    </row>
    <row r="683" spans="1:9" x14ac:dyDescent="0.35">
      <c r="A683" s="2" t="s">
        <v>511</v>
      </c>
      <c r="B683" s="2" t="s">
        <v>24</v>
      </c>
      <c r="C683" s="2" t="s">
        <v>544</v>
      </c>
      <c r="D683" s="2" t="s">
        <v>124</v>
      </c>
      <c r="E683" s="2" t="s">
        <v>125</v>
      </c>
      <c r="F683" s="2" t="s">
        <v>16</v>
      </c>
      <c r="G683" s="2" t="s">
        <v>545</v>
      </c>
      <c r="H683" s="2" t="s">
        <v>16</v>
      </c>
      <c r="I683" s="2" t="s">
        <v>514</v>
      </c>
    </row>
    <row r="684" spans="1:9" x14ac:dyDescent="0.35">
      <c r="A684" s="2" t="s">
        <v>511</v>
      </c>
      <c r="B684" s="2" t="s">
        <v>24</v>
      </c>
      <c r="C684" s="2" t="s">
        <v>544</v>
      </c>
      <c r="D684" s="2" t="s">
        <v>61</v>
      </c>
      <c r="E684" s="2" t="s">
        <v>30</v>
      </c>
      <c r="F684" s="2" t="s">
        <v>16</v>
      </c>
      <c r="G684" s="2" t="s">
        <v>547</v>
      </c>
      <c r="H684" s="2" t="s">
        <v>16</v>
      </c>
      <c r="I684" s="2" t="s">
        <v>514</v>
      </c>
    </row>
    <row r="685" spans="1:9" x14ac:dyDescent="0.35">
      <c r="A685" s="2" t="s">
        <v>511</v>
      </c>
      <c r="B685" s="2" t="s">
        <v>24</v>
      </c>
      <c r="C685" s="2" t="s">
        <v>548</v>
      </c>
      <c r="D685" s="2" t="s">
        <v>27</v>
      </c>
      <c r="E685" s="2" t="s">
        <v>28</v>
      </c>
      <c r="F685" s="2"/>
      <c r="G685" s="2"/>
      <c r="H685" s="2" t="s">
        <v>16</v>
      </c>
      <c r="I685" s="2" t="s">
        <v>514</v>
      </c>
    </row>
    <row r="686" spans="1:9" x14ac:dyDescent="0.35">
      <c r="A686" s="2" t="s">
        <v>511</v>
      </c>
      <c r="B686" s="2" t="s">
        <v>24</v>
      </c>
      <c r="C686" s="2" t="s">
        <v>548</v>
      </c>
      <c r="D686" s="2" t="s">
        <v>76</v>
      </c>
      <c r="E686" s="2" t="s">
        <v>75</v>
      </c>
      <c r="F686" s="2" t="s">
        <v>16</v>
      </c>
      <c r="G686" s="2" t="s">
        <v>549</v>
      </c>
      <c r="H686" s="2" t="s">
        <v>16</v>
      </c>
      <c r="I686" s="2" t="s">
        <v>514</v>
      </c>
    </row>
    <row r="687" spans="1:9" x14ac:dyDescent="0.35">
      <c r="A687" s="2" t="s">
        <v>511</v>
      </c>
      <c r="B687" s="2" t="s">
        <v>24</v>
      </c>
      <c r="C687" s="2" t="s">
        <v>548</v>
      </c>
      <c r="D687" s="2" t="s">
        <v>31</v>
      </c>
      <c r="E687" s="2" t="s">
        <v>32</v>
      </c>
      <c r="F687" s="2"/>
      <c r="G687" s="2"/>
      <c r="H687" s="2" t="s">
        <v>16</v>
      </c>
      <c r="I687" s="2" t="s">
        <v>514</v>
      </c>
    </row>
    <row r="688" spans="1:9" x14ac:dyDescent="0.35">
      <c r="A688" s="2" t="s">
        <v>511</v>
      </c>
      <c r="B688" s="2" t="s">
        <v>24</v>
      </c>
      <c r="C688" s="2" t="s">
        <v>548</v>
      </c>
      <c r="D688" s="2" t="s">
        <v>467</v>
      </c>
      <c r="E688" s="2" t="s">
        <v>45</v>
      </c>
      <c r="F688" s="2"/>
      <c r="G688" s="2"/>
      <c r="H688" s="2" t="s">
        <v>16</v>
      </c>
      <c r="I688" s="2" t="s">
        <v>514</v>
      </c>
    </row>
    <row r="689" spans="1:9" x14ac:dyDescent="0.35">
      <c r="A689" s="2" t="s">
        <v>511</v>
      </c>
      <c r="B689" s="2" t="s">
        <v>24</v>
      </c>
      <c r="C689" s="2" t="s">
        <v>548</v>
      </c>
      <c r="D689" s="2" t="s">
        <v>61</v>
      </c>
      <c r="E689" s="2" t="s">
        <v>30</v>
      </c>
      <c r="F689" s="2"/>
      <c r="G689" s="2"/>
      <c r="H689" s="2" t="s">
        <v>16</v>
      </c>
      <c r="I689" s="2" t="s">
        <v>514</v>
      </c>
    </row>
    <row r="690" spans="1:9" x14ac:dyDescent="0.35">
      <c r="A690" s="2" t="s">
        <v>511</v>
      </c>
      <c r="B690" s="2" t="s">
        <v>24</v>
      </c>
      <c r="C690" s="2" t="s">
        <v>550</v>
      </c>
      <c r="D690" s="2" t="s">
        <v>27</v>
      </c>
      <c r="E690" s="2" t="s">
        <v>28</v>
      </c>
      <c r="F690" s="2"/>
      <c r="G690" s="2"/>
      <c r="H690" s="2" t="s">
        <v>16</v>
      </c>
      <c r="I690" s="2" t="s">
        <v>514</v>
      </c>
    </row>
    <row r="691" spans="1:9" x14ac:dyDescent="0.35">
      <c r="A691" s="2" t="s">
        <v>511</v>
      </c>
      <c r="B691" s="2" t="s">
        <v>24</v>
      </c>
      <c r="C691" s="2" t="s">
        <v>550</v>
      </c>
      <c r="D691" s="2" t="s">
        <v>551</v>
      </c>
      <c r="E691" s="2" t="s">
        <v>203</v>
      </c>
      <c r="F691" s="2"/>
      <c r="G691" s="2"/>
      <c r="H691" s="2" t="s">
        <v>16</v>
      </c>
      <c r="I691" s="2" t="s">
        <v>514</v>
      </c>
    </row>
    <row r="692" spans="1:9" x14ac:dyDescent="0.35">
      <c r="A692" s="2" t="s">
        <v>511</v>
      </c>
      <c r="B692" s="2" t="s">
        <v>24</v>
      </c>
      <c r="C692" s="2" t="s">
        <v>550</v>
      </c>
      <c r="D692" s="2" t="s">
        <v>31</v>
      </c>
      <c r="E692" s="2" t="s">
        <v>32</v>
      </c>
      <c r="F692" s="2"/>
      <c r="G692" s="2"/>
      <c r="H692" s="2" t="s">
        <v>16</v>
      </c>
      <c r="I692" s="2" t="s">
        <v>514</v>
      </c>
    </row>
    <row r="693" spans="1:9" x14ac:dyDescent="0.35">
      <c r="A693" s="2" t="s">
        <v>511</v>
      </c>
      <c r="B693" s="2" t="s">
        <v>54</v>
      </c>
      <c r="C693" s="2" t="s">
        <v>552</v>
      </c>
      <c r="D693" s="2" t="s">
        <v>27</v>
      </c>
      <c r="E693" s="2" t="s">
        <v>28</v>
      </c>
      <c r="F693" s="2" t="s">
        <v>16</v>
      </c>
      <c r="G693" s="2" t="s">
        <v>553</v>
      </c>
      <c r="H693" s="2" t="s">
        <v>16</v>
      </c>
      <c r="I693" s="2" t="s">
        <v>514</v>
      </c>
    </row>
    <row r="694" spans="1:9" x14ac:dyDescent="0.35">
      <c r="A694" s="2" t="s">
        <v>511</v>
      </c>
      <c r="B694" s="2" t="s">
        <v>54</v>
      </c>
      <c r="C694" s="2" t="s">
        <v>552</v>
      </c>
      <c r="D694" s="2" t="s">
        <v>31</v>
      </c>
      <c r="E694" s="2" t="s">
        <v>32</v>
      </c>
      <c r="F694" s="2"/>
      <c r="G694" s="2"/>
      <c r="H694" s="2" t="s">
        <v>16</v>
      </c>
      <c r="I694" s="2" t="s">
        <v>514</v>
      </c>
    </row>
    <row r="695" spans="1:9" x14ac:dyDescent="0.35">
      <c r="A695" s="2" t="s">
        <v>511</v>
      </c>
      <c r="B695" s="2" t="s">
        <v>54</v>
      </c>
      <c r="C695" s="2" t="s">
        <v>552</v>
      </c>
      <c r="D695" s="2" t="s">
        <v>172</v>
      </c>
      <c r="E695" s="2" t="s">
        <v>65</v>
      </c>
      <c r="F695" s="2" t="s">
        <v>16</v>
      </c>
      <c r="G695" s="2" t="s">
        <v>554</v>
      </c>
      <c r="H695" s="2" t="s">
        <v>16</v>
      </c>
      <c r="I695" s="2" t="s">
        <v>514</v>
      </c>
    </row>
    <row r="696" spans="1:9" x14ac:dyDescent="0.35">
      <c r="A696" s="2" t="s">
        <v>511</v>
      </c>
      <c r="B696" s="2" t="s">
        <v>54</v>
      </c>
      <c r="C696" s="2" t="s">
        <v>552</v>
      </c>
      <c r="D696" s="2" t="s">
        <v>33</v>
      </c>
      <c r="E696" s="2" t="s">
        <v>34</v>
      </c>
      <c r="F696" s="2" t="s">
        <v>20</v>
      </c>
      <c r="G696" s="2" t="s">
        <v>554</v>
      </c>
      <c r="H696" s="2" t="s">
        <v>20</v>
      </c>
      <c r="I696" s="2" t="s">
        <v>514</v>
      </c>
    </row>
    <row r="697" spans="1:9" x14ac:dyDescent="0.35">
      <c r="A697" s="2" t="s">
        <v>511</v>
      </c>
      <c r="B697" s="2" t="s">
        <v>54</v>
      </c>
      <c r="C697" s="2" t="s">
        <v>552</v>
      </c>
      <c r="D697" s="2" t="s">
        <v>168</v>
      </c>
      <c r="E697" s="2" t="s">
        <v>45</v>
      </c>
      <c r="F697" s="2" t="s">
        <v>16</v>
      </c>
      <c r="G697" s="2" t="s">
        <v>553</v>
      </c>
      <c r="H697" s="2" t="s">
        <v>16</v>
      </c>
      <c r="I697" s="2" t="s">
        <v>514</v>
      </c>
    </row>
    <row r="698" spans="1:9" x14ac:dyDescent="0.35">
      <c r="A698" s="2" t="s">
        <v>511</v>
      </c>
      <c r="B698" s="2" t="s">
        <v>54</v>
      </c>
      <c r="C698" s="2" t="s">
        <v>552</v>
      </c>
      <c r="D698" s="2" t="s">
        <v>61</v>
      </c>
      <c r="E698" s="2" t="s">
        <v>30</v>
      </c>
      <c r="F698" s="2" t="s">
        <v>16</v>
      </c>
      <c r="G698" s="2" t="s">
        <v>554</v>
      </c>
      <c r="H698" s="2" t="s">
        <v>16</v>
      </c>
      <c r="I698" s="2" t="s">
        <v>514</v>
      </c>
    </row>
    <row r="699" spans="1:9" x14ac:dyDescent="0.35">
      <c r="A699" s="2" t="s">
        <v>511</v>
      </c>
      <c r="B699" s="2" t="s">
        <v>54</v>
      </c>
      <c r="C699" s="2" t="s">
        <v>552</v>
      </c>
      <c r="D699" s="2" t="s">
        <v>112</v>
      </c>
      <c r="E699" s="2" t="s">
        <v>113</v>
      </c>
      <c r="F699" s="2" t="s">
        <v>16</v>
      </c>
      <c r="G699" s="2" t="s">
        <v>216</v>
      </c>
      <c r="H699" s="2" t="s">
        <v>16</v>
      </c>
      <c r="I699" s="2" t="s">
        <v>514</v>
      </c>
    </row>
    <row r="700" spans="1:9" x14ac:dyDescent="0.35">
      <c r="A700" s="2" t="s">
        <v>511</v>
      </c>
      <c r="B700" s="2" t="s">
        <v>62</v>
      </c>
      <c r="C700" s="2" t="s">
        <v>555</v>
      </c>
      <c r="D700" s="2" t="s">
        <v>106</v>
      </c>
      <c r="E700" s="2" t="s">
        <v>107</v>
      </c>
      <c r="F700" s="2"/>
      <c r="G700" s="2"/>
      <c r="H700" s="2"/>
      <c r="I700" s="2"/>
    </row>
    <row r="701" spans="1:9" x14ac:dyDescent="0.35">
      <c r="A701" s="2" t="s">
        <v>511</v>
      </c>
      <c r="B701" s="2" t="s">
        <v>24</v>
      </c>
      <c r="C701" s="2" t="s">
        <v>556</v>
      </c>
      <c r="D701" s="2" t="s">
        <v>14</v>
      </c>
      <c r="E701" s="2" t="s">
        <v>15</v>
      </c>
      <c r="F701" s="2"/>
      <c r="G701" s="2"/>
      <c r="H701" s="2" t="s">
        <v>16</v>
      </c>
      <c r="I701" s="2" t="s">
        <v>514</v>
      </c>
    </row>
    <row r="702" spans="1:9" x14ac:dyDescent="0.35">
      <c r="A702" s="2" t="s">
        <v>511</v>
      </c>
      <c r="B702" s="2" t="s">
        <v>24</v>
      </c>
      <c r="C702" s="2" t="s">
        <v>556</v>
      </c>
      <c r="D702" s="3" t="s">
        <v>77</v>
      </c>
      <c r="E702" s="2" t="s">
        <v>78</v>
      </c>
      <c r="F702" s="2"/>
      <c r="G702" s="2"/>
      <c r="H702" s="2" t="s">
        <v>16</v>
      </c>
      <c r="I702" s="2" t="s">
        <v>514</v>
      </c>
    </row>
    <row r="703" spans="1:9" x14ac:dyDescent="0.35">
      <c r="A703" s="2" t="s">
        <v>511</v>
      </c>
      <c r="B703" s="2" t="s">
        <v>24</v>
      </c>
      <c r="C703" s="2" t="s">
        <v>556</v>
      </c>
      <c r="D703" s="2" t="s">
        <v>18</v>
      </c>
      <c r="E703" s="2" t="s">
        <v>19</v>
      </c>
      <c r="F703" s="2" t="s">
        <v>20</v>
      </c>
      <c r="G703" s="2" t="s">
        <v>557</v>
      </c>
      <c r="H703" s="2" t="s">
        <v>16</v>
      </c>
      <c r="I703" s="2" t="s">
        <v>514</v>
      </c>
    </row>
    <row r="704" spans="1:9" x14ac:dyDescent="0.35">
      <c r="A704" s="2" t="s">
        <v>511</v>
      </c>
      <c r="B704" s="2" t="s">
        <v>24</v>
      </c>
      <c r="C704" s="2" t="s">
        <v>556</v>
      </c>
      <c r="D704" s="2" t="s">
        <v>89</v>
      </c>
      <c r="E704" s="2" t="s">
        <v>45</v>
      </c>
      <c r="F704" s="2"/>
      <c r="G704" s="2"/>
      <c r="H704" s="2" t="s">
        <v>16</v>
      </c>
      <c r="I704" s="2" t="s">
        <v>514</v>
      </c>
    </row>
    <row r="705" spans="1:9" x14ac:dyDescent="0.35">
      <c r="A705" s="2" t="s">
        <v>511</v>
      </c>
      <c r="B705" s="2" t="s">
        <v>24</v>
      </c>
      <c r="C705" s="2" t="s">
        <v>556</v>
      </c>
      <c r="D705" s="2" t="s">
        <v>112</v>
      </c>
      <c r="E705" s="2" t="s">
        <v>113</v>
      </c>
      <c r="F705" s="2" t="s">
        <v>20</v>
      </c>
      <c r="G705" s="2" t="s">
        <v>558</v>
      </c>
      <c r="H705" s="2" t="s">
        <v>16</v>
      </c>
      <c r="I705" s="2" t="s">
        <v>514</v>
      </c>
    </row>
    <row r="706" spans="1:9" x14ac:dyDescent="0.35">
      <c r="A706" s="2" t="s">
        <v>559</v>
      </c>
      <c r="B706" s="2" t="s">
        <v>12</v>
      </c>
      <c r="C706" s="2" t="s">
        <v>560</v>
      </c>
      <c r="D706" s="2" t="s">
        <v>91</v>
      </c>
      <c r="E706" s="2" t="s">
        <v>19</v>
      </c>
      <c r="F706" s="2" t="s">
        <v>20</v>
      </c>
      <c r="G706" s="2" t="s">
        <v>561</v>
      </c>
      <c r="H706" s="2"/>
      <c r="I706" s="2"/>
    </row>
    <row r="707" spans="1:9" x14ac:dyDescent="0.35">
      <c r="A707" s="2" t="s">
        <v>559</v>
      </c>
      <c r="B707" s="2" t="s">
        <v>24</v>
      </c>
      <c r="C707" s="2" t="s">
        <v>562</v>
      </c>
      <c r="D707" s="2" t="s">
        <v>196</v>
      </c>
      <c r="E707" s="2" t="s">
        <v>197</v>
      </c>
      <c r="F707" s="2"/>
      <c r="G707" s="2"/>
      <c r="H707" s="2"/>
      <c r="I707" s="2"/>
    </row>
    <row r="708" spans="1:9" x14ac:dyDescent="0.35">
      <c r="A708" s="2" t="s">
        <v>559</v>
      </c>
      <c r="B708" s="2" t="s">
        <v>24</v>
      </c>
      <c r="C708" s="2" t="s">
        <v>562</v>
      </c>
      <c r="D708" s="2" t="s">
        <v>563</v>
      </c>
      <c r="E708" s="2" t="s">
        <v>45</v>
      </c>
      <c r="F708" s="2"/>
      <c r="G708" s="2"/>
      <c r="H708" s="2"/>
      <c r="I708" s="2"/>
    </row>
    <row r="709" spans="1:9" x14ac:dyDescent="0.35">
      <c r="A709" s="2" t="s">
        <v>559</v>
      </c>
      <c r="B709" s="2" t="s">
        <v>24</v>
      </c>
      <c r="C709" s="2" t="s">
        <v>562</v>
      </c>
      <c r="D709" s="2" t="s">
        <v>31</v>
      </c>
      <c r="E709" s="2" t="s">
        <v>32</v>
      </c>
      <c r="F709" s="2"/>
      <c r="G709" s="2"/>
      <c r="H709" s="2"/>
      <c r="I709" s="2"/>
    </row>
    <row r="710" spans="1:9" x14ac:dyDescent="0.35">
      <c r="A710" s="2" t="s">
        <v>559</v>
      </c>
      <c r="B710" s="2" t="s">
        <v>24</v>
      </c>
      <c r="C710" s="2" t="s">
        <v>562</v>
      </c>
      <c r="D710" s="2" t="s">
        <v>452</v>
      </c>
      <c r="E710" s="2" t="s">
        <v>38</v>
      </c>
      <c r="F710" s="2"/>
      <c r="G710" s="2"/>
      <c r="H710" s="2"/>
      <c r="I710" s="2"/>
    </row>
    <row r="711" spans="1:9" x14ac:dyDescent="0.35">
      <c r="A711" s="2" t="s">
        <v>559</v>
      </c>
      <c r="B711" s="2" t="s">
        <v>24</v>
      </c>
      <c r="C711" s="2" t="s">
        <v>562</v>
      </c>
      <c r="D711" s="2" t="s">
        <v>466</v>
      </c>
      <c r="E711" s="2" t="s">
        <v>203</v>
      </c>
      <c r="F711" s="2"/>
      <c r="G711" s="2"/>
      <c r="H711" s="2"/>
      <c r="I711" s="2"/>
    </row>
    <row r="712" spans="1:9" x14ac:dyDescent="0.35">
      <c r="A712" s="2" t="s">
        <v>559</v>
      </c>
      <c r="B712" s="2" t="s">
        <v>24</v>
      </c>
      <c r="C712" s="2" t="s">
        <v>562</v>
      </c>
      <c r="D712" s="2" t="s">
        <v>416</v>
      </c>
      <c r="E712" s="2" t="s">
        <v>38</v>
      </c>
      <c r="F712" s="2"/>
      <c r="G712" s="2"/>
      <c r="H712" s="2"/>
      <c r="I712" s="2"/>
    </row>
    <row r="713" spans="1:9" x14ac:dyDescent="0.35">
      <c r="A713" s="2" t="s">
        <v>559</v>
      </c>
      <c r="B713" s="2" t="s">
        <v>24</v>
      </c>
      <c r="C713" s="2" t="s">
        <v>562</v>
      </c>
      <c r="D713" s="2" t="s">
        <v>377</v>
      </c>
      <c r="E713" s="2" t="s">
        <v>270</v>
      </c>
      <c r="F713" s="2"/>
      <c r="G713" s="2"/>
      <c r="H713" s="2"/>
      <c r="I713" s="2"/>
    </row>
    <row r="714" spans="1:9" x14ac:dyDescent="0.35">
      <c r="A714" s="2" t="s">
        <v>559</v>
      </c>
      <c r="B714" s="2" t="s">
        <v>24</v>
      </c>
      <c r="C714" s="2" t="s">
        <v>562</v>
      </c>
      <c r="D714" s="2" t="s">
        <v>417</v>
      </c>
      <c r="E714" s="2" t="s">
        <v>40</v>
      </c>
      <c r="F714" s="2"/>
      <c r="G714" s="2"/>
      <c r="H714" s="2"/>
      <c r="I714" s="2"/>
    </row>
    <row r="715" spans="1:9" x14ac:dyDescent="0.35">
      <c r="A715" s="2" t="s">
        <v>559</v>
      </c>
      <c r="B715" s="2" t="s">
        <v>24</v>
      </c>
      <c r="C715" s="2" t="s">
        <v>562</v>
      </c>
      <c r="D715" s="2" t="s">
        <v>64</v>
      </c>
      <c r="E715" s="2" t="s">
        <v>65</v>
      </c>
      <c r="F715" s="2"/>
      <c r="G715" s="2"/>
      <c r="H715" s="2"/>
      <c r="I715" s="2"/>
    </row>
    <row r="716" spans="1:9" x14ac:dyDescent="0.35">
      <c r="A716" s="2" t="s">
        <v>559</v>
      </c>
      <c r="B716" s="2" t="s">
        <v>24</v>
      </c>
      <c r="C716" s="2" t="s">
        <v>562</v>
      </c>
      <c r="D716" s="2" t="s">
        <v>187</v>
      </c>
      <c r="E716" s="2" t="s">
        <v>150</v>
      </c>
      <c r="F716" s="2" t="s">
        <v>16</v>
      </c>
      <c r="G716" s="2" t="s">
        <v>261</v>
      </c>
      <c r="H716" s="2"/>
      <c r="I716" s="2"/>
    </row>
    <row r="717" spans="1:9" x14ac:dyDescent="0.35">
      <c r="A717" s="2" t="s">
        <v>559</v>
      </c>
      <c r="B717" s="2" t="s">
        <v>24</v>
      </c>
      <c r="C717" s="2" t="s">
        <v>562</v>
      </c>
      <c r="D717" s="2" t="s">
        <v>564</v>
      </c>
      <c r="E717" s="2" t="s">
        <v>78</v>
      </c>
      <c r="F717" s="2"/>
      <c r="G717" s="2"/>
      <c r="H717" s="2"/>
      <c r="I717" s="2"/>
    </row>
    <row r="718" spans="1:9" x14ac:dyDescent="0.35">
      <c r="A718" s="2" t="s">
        <v>559</v>
      </c>
      <c r="B718" s="2" t="s">
        <v>24</v>
      </c>
      <c r="C718" s="2" t="s">
        <v>562</v>
      </c>
      <c r="D718" s="2" t="s">
        <v>100</v>
      </c>
      <c r="E718" s="2" t="s">
        <v>101</v>
      </c>
      <c r="F718" s="2"/>
      <c r="G718" s="2"/>
      <c r="H718" s="2"/>
      <c r="I718" s="2"/>
    </row>
    <row r="719" spans="1:9" x14ac:dyDescent="0.35">
      <c r="A719" s="2" t="s">
        <v>559</v>
      </c>
      <c r="B719" s="2" t="s">
        <v>24</v>
      </c>
      <c r="C719" s="2" t="s">
        <v>562</v>
      </c>
      <c r="D719" s="2" t="s">
        <v>188</v>
      </c>
      <c r="E719" s="2" t="s">
        <v>189</v>
      </c>
      <c r="F719" s="2" t="s">
        <v>16</v>
      </c>
      <c r="G719" s="2" t="s">
        <v>565</v>
      </c>
      <c r="H719" s="2"/>
      <c r="I719" s="2"/>
    </row>
    <row r="720" spans="1:9" x14ac:dyDescent="0.35">
      <c r="A720" s="2" t="s">
        <v>559</v>
      </c>
      <c r="B720" s="2" t="s">
        <v>24</v>
      </c>
      <c r="C720" s="2" t="s">
        <v>562</v>
      </c>
      <c r="D720" s="2" t="s">
        <v>149</v>
      </c>
      <c r="E720" s="2" t="s">
        <v>150</v>
      </c>
      <c r="F720" s="2"/>
      <c r="G720" s="2" t="s">
        <v>566</v>
      </c>
      <c r="H720" s="2"/>
      <c r="I720" s="2"/>
    </row>
    <row r="721" spans="1:9" x14ac:dyDescent="0.35">
      <c r="A721" s="2" t="s">
        <v>559</v>
      </c>
      <c r="B721" s="2" t="s">
        <v>12</v>
      </c>
      <c r="C721" s="2" t="s">
        <v>567</v>
      </c>
      <c r="D721" s="2" t="s">
        <v>91</v>
      </c>
      <c r="E721" s="2" t="s">
        <v>19</v>
      </c>
      <c r="F721" s="2" t="s">
        <v>20</v>
      </c>
      <c r="G721" s="2" t="s">
        <v>561</v>
      </c>
      <c r="H721" s="2"/>
      <c r="I721" s="2"/>
    </row>
    <row r="722" spans="1:9" x14ac:dyDescent="0.35">
      <c r="A722" s="2" t="s">
        <v>568</v>
      </c>
      <c r="B722" s="2" t="s">
        <v>24</v>
      </c>
      <c r="C722" s="2" t="s">
        <v>569</v>
      </c>
      <c r="D722" s="2" t="s">
        <v>35</v>
      </c>
      <c r="E722" s="2" t="s">
        <v>36</v>
      </c>
      <c r="F722" s="2"/>
      <c r="G722" s="2"/>
      <c r="H722" s="2"/>
      <c r="I722" s="2"/>
    </row>
    <row r="723" spans="1:9" x14ac:dyDescent="0.35">
      <c r="A723" s="2" t="s">
        <v>568</v>
      </c>
      <c r="B723" s="2" t="s">
        <v>24</v>
      </c>
      <c r="C723" s="2" t="s">
        <v>569</v>
      </c>
      <c r="D723" s="2" t="s">
        <v>91</v>
      </c>
      <c r="E723" s="2" t="s">
        <v>19</v>
      </c>
      <c r="F723" s="2"/>
      <c r="G723" s="2"/>
      <c r="H723" s="2"/>
      <c r="I723" s="2"/>
    </row>
    <row r="724" spans="1:9" x14ac:dyDescent="0.35">
      <c r="A724" s="2" t="s">
        <v>568</v>
      </c>
      <c r="B724" s="2" t="s">
        <v>24</v>
      </c>
      <c r="C724" s="2" t="s">
        <v>569</v>
      </c>
      <c r="D724" s="2" t="s">
        <v>18</v>
      </c>
      <c r="E724" s="2" t="s">
        <v>19</v>
      </c>
      <c r="F724" s="2"/>
      <c r="G724" s="2"/>
      <c r="H724" s="2"/>
      <c r="I724" s="2"/>
    </row>
    <row r="725" spans="1:9" x14ac:dyDescent="0.35">
      <c r="A725" s="2" t="s">
        <v>568</v>
      </c>
      <c r="B725" s="2" t="s">
        <v>24</v>
      </c>
      <c r="C725" s="2" t="s">
        <v>569</v>
      </c>
      <c r="D725" s="2" t="s">
        <v>61</v>
      </c>
      <c r="E725" s="2" t="s">
        <v>30</v>
      </c>
      <c r="F725" s="2"/>
      <c r="G725" s="2"/>
      <c r="H725" s="2"/>
      <c r="I725" s="2"/>
    </row>
    <row r="726" spans="1:9" x14ac:dyDescent="0.35">
      <c r="A726" s="2" t="s">
        <v>570</v>
      </c>
      <c r="B726" s="2" t="s">
        <v>24</v>
      </c>
      <c r="C726" s="2" t="s">
        <v>571</v>
      </c>
      <c r="D726" s="2" t="s">
        <v>14</v>
      </c>
      <c r="E726" s="2" t="s">
        <v>15</v>
      </c>
      <c r="F726" s="2"/>
      <c r="G726" s="2"/>
      <c r="H726" s="2" t="s">
        <v>16</v>
      </c>
      <c r="I726" s="2" t="s">
        <v>26</v>
      </c>
    </row>
    <row r="727" spans="1:9" x14ac:dyDescent="0.35">
      <c r="A727" s="2" t="s">
        <v>570</v>
      </c>
      <c r="B727" s="2" t="s">
        <v>24</v>
      </c>
      <c r="C727" s="2" t="s">
        <v>571</v>
      </c>
      <c r="D727" s="2" t="s">
        <v>76</v>
      </c>
      <c r="E727" s="2" t="s">
        <v>75</v>
      </c>
      <c r="F727" s="2" t="s">
        <v>16</v>
      </c>
      <c r="G727" s="2" t="s">
        <v>572</v>
      </c>
      <c r="H727" s="2" t="s">
        <v>16</v>
      </c>
      <c r="I727" s="2" t="s">
        <v>26</v>
      </c>
    </row>
    <row r="728" spans="1:9" x14ac:dyDescent="0.35">
      <c r="A728" s="2" t="s">
        <v>570</v>
      </c>
      <c r="B728" s="2" t="s">
        <v>24</v>
      </c>
      <c r="C728" s="2" t="s">
        <v>571</v>
      </c>
      <c r="D728" s="2" t="s">
        <v>38</v>
      </c>
      <c r="E728" s="2" t="s">
        <v>38</v>
      </c>
      <c r="F728" s="2"/>
      <c r="G728" s="2"/>
      <c r="H728" s="2" t="s">
        <v>16</v>
      </c>
      <c r="I728" s="2" t="s">
        <v>17</v>
      </c>
    </row>
    <row r="729" spans="1:9" x14ac:dyDescent="0.35">
      <c r="A729" s="2" t="s">
        <v>570</v>
      </c>
      <c r="B729" s="2" t="s">
        <v>24</v>
      </c>
      <c r="C729" s="2" t="s">
        <v>571</v>
      </c>
      <c r="D729" s="2" t="s">
        <v>35</v>
      </c>
      <c r="E729" s="2" t="s">
        <v>36</v>
      </c>
      <c r="F729" s="2"/>
      <c r="G729" s="2"/>
      <c r="H729" s="2" t="s">
        <v>16</v>
      </c>
      <c r="I729" s="2" t="s">
        <v>17</v>
      </c>
    </row>
    <row r="730" spans="1:9" x14ac:dyDescent="0.35">
      <c r="A730" s="2" t="s">
        <v>570</v>
      </c>
      <c r="B730" s="2" t="s">
        <v>24</v>
      </c>
      <c r="C730" s="2" t="s">
        <v>571</v>
      </c>
      <c r="D730" s="2" t="s">
        <v>91</v>
      </c>
      <c r="E730" s="2" t="s">
        <v>19</v>
      </c>
      <c r="F730" s="2" t="s">
        <v>16</v>
      </c>
      <c r="G730" s="2" t="s">
        <v>572</v>
      </c>
      <c r="H730" s="2" t="s">
        <v>16</v>
      </c>
      <c r="I730" s="2" t="s">
        <v>26</v>
      </c>
    </row>
    <row r="731" spans="1:9" x14ac:dyDescent="0.35">
      <c r="A731" s="2" t="s">
        <v>570</v>
      </c>
      <c r="B731" s="2" t="s">
        <v>24</v>
      </c>
      <c r="C731" s="2" t="s">
        <v>571</v>
      </c>
      <c r="D731" s="2" t="s">
        <v>87</v>
      </c>
      <c r="E731" s="2" t="s">
        <v>75</v>
      </c>
      <c r="F731" s="2" t="s">
        <v>16</v>
      </c>
      <c r="G731" s="2" t="s">
        <v>572</v>
      </c>
      <c r="H731" s="2" t="s">
        <v>16</v>
      </c>
      <c r="I731" s="2" t="s">
        <v>26</v>
      </c>
    </row>
    <row r="732" spans="1:9" x14ac:dyDescent="0.35">
      <c r="A732" s="2" t="s">
        <v>570</v>
      </c>
      <c r="B732" s="2" t="s">
        <v>24</v>
      </c>
      <c r="C732" s="2" t="s">
        <v>571</v>
      </c>
      <c r="D732" s="2" t="s">
        <v>126</v>
      </c>
      <c r="E732" s="2" t="s">
        <v>36</v>
      </c>
      <c r="F732" s="2"/>
      <c r="G732" s="2"/>
      <c r="H732" s="2" t="s">
        <v>16</v>
      </c>
      <c r="I732" s="2" t="s">
        <v>17</v>
      </c>
    </row>
    <row r="733" spans="1:9" x14ac:dyDescent="0.35">
      <c r="A733" s="2" t="s">
        <v>570</v>
      </c>
      <c r="B733" s="2" t="s">
        <v>24</v>
      </c>
      <c r="C733" s="2" t="s">
        <v>571</v>
      </c>
      <c r="D733" s="2" t="s">
        <v>149</v>
      </c>
      <c r="E733" s="2" t="s">
        <v>150</v>
      </c>
      <c r="F733" s="2" t="s">
        <v>16</v>
      </c>
      <c r="G733" s="2" t="s">
        <v>301</v>
      </c>
      <c r="H733" s="2" t="s">
        <v>16</v>
      </c>
      <c r="I733" s="2" t="s">
        <v>26</v>
      </c>
    </row>
    <row r="734" spans="1:9" x14ac:dyDescent="0.35">
      <c r="A734" s="3" t="s">
        <v>573</v>
      </c>
      <c r="B734" s="3" t="s">
        <v>57</v>
      </c>
      <c r="C734" s="3" t="s">
        <v>574</v>
      </c>
      <c r="D734" s="3" t="s">
        <v>120</v>
      </c>
      <c r="E734" s="3" t="s">
        <v>32</v>
      </c>
      <c r="F734" s="3"/>
      <c r="G734" s="3"/>
      <c r="H734" s="3"/>
      <c r="I734" s="3"/>
    </row>
    <row r="735" spans="1:9" x14ac:dyDescent="0.35">
      <c r="A735" s="3" t="s">
        <v>573</v>
      </c>
      <c r="B735" s="3" t="s">
        <v>57</v>
      </c>
      <c r="C735" s="3" t="s">
        <v>574</v>
      </c>
      <c r="D735" s="3" t="s">
        <v>121</v>
      </c>
      <c r="E735" s="3" t="s">
        <v>122</v>
      </c>
      <c r="F735" s="3"/>
      <c r="G735" s="3"/>
      <c r="H735" s="3"/>
      <c r="I735" s="3"/>
    </row>
    <row r="736" spans="1:9" x14ac:dyDescent="0.35">
      <c r="A736" s="3" t="s">
        <v>573</v>
      </c>
      <c r="B736" s="3" t="s">
        <v>57</v>
      </c>
      <c r="C736" s="3" t="s">
        <v>574</v>
      </c>
      <c r="D736" s="3" t="s">
        <v>35</v>
      </c>
      <c r="E736" s="3" t="s">
        <v>36</v>
      </c>
      <c r="F736" s="3"/>
      <c r="G736" s="3"/>
      <c r="H736" s="3"/>
      <c r="I736" s="3"/>
    </row>
    <row r="737" spans="1:9" x14ac:dyDescent="0.35">
      <c r="A737" s="3" t="s">
        <v>573</v>
      </c>
      <c r="B737" s="3" t="s">
        <v>57</v>
      </c>
      <c r="C737" s="3" t="s">
        <v>574</v>
      </c>
      <c r="D737" s="3" t="s">
        <v>39</v>
      </c>
      <c r="E737" s="3" t="s">
        <v>40</v>
      </c>
      <c r="F737" s="3"/>
      <c r="G737" s="3"/>
      <c r="H737" s="3"/>
      <c r="I737" s="3"/>
    </row>
    <row r="738" spans="1:9" x14ac:dyDescent="0.35">
      <c r="A738" s="3" t="s">
        <v>573</v>
      </c>
      <c r="B738" s="3" t="s">
        <v>57</v>
      </c>
      <c r="C738" s="3" t="s">
        <v>574</v>
      </c>
      <c r="D738" s="3" t="s">
        <v>188</v>
      </c>
      <c r="E738" s="3" t="s">
        <v>189</v>
      </c>
      <c r="F738" s="3"/>
      <c r="G738" s="3"/>
      <c r="H738" s="3"/>
      <c r="I738" s="3"/>
    </row>
    <row r="739" spans="1:9" x14ac:dyDescent="0.35">
      <c r="A739" s="3" t="s">
        <v>575</v>
      </c>
      <c r="B739" s="3" t="s">
        <v>54</v>
      </c>
      <c r="C739" s="3" t="s">
        <v>576</v>
      </c>
      <c r="D739" s="3" t="s">
        <v>27</v>
      </c>
      <c r="E739" s="3" t="s">
        <v>28</v>
      </c>
      <c r="F739" s="3" t="s">
        <v>20</v>
      </c>
      <c r="G739" s="3" t="s">
        <v>577</v>
      </c>
      <c r="H739" s="3" t="s">
        <v>16</v>
      </c>
      <c r="I739" s="3" t="s">
        <v>578</v>
      </c>
    </row>
    <row r="740" spans="1:9" x14ac:dyDescent="0.35">
      <c r="A740" s="2" t="s">
        <v>575</v>
      </c>
      <c r="B740" s="2" t="s">
        <v>54</v>
      </c>
      <c r="C740" s="2" t="s">
        <v>576</v>
      </c>
      <c r="D740" s="3" t="s">
        <v>35</v>
      </c>
      <c r="E740" s="2" t="s">
        <v>36</v>
      </c>
      <c r="F740" s="2" t="s">
        <v>20</v>
      </c>
      <c r="G740" s="2" t="s">
        <v>577</v>
      </c>
      <c r="H740" s="2" t="s">
        <v>16</v>
      </c>
      <c r="I740" s="2" t="s">
        <v>578</v>
      </c>
    </row>
    <row r="741" spans="1:9" x14ac:dyDescent="0.35">
      <c r="A741" s="2" t="s">
        <v>575</v>
      </c>
      <c r="B741" s="2" t="s">
        <v>54</v>
      </c>
      <c r="C741" s="2" t="s">
        <v>576</v>
      </c>
      <c r="D741" s="3" t="s">
        <v>77</v>
      </c>
      <c r="E741" s="2" t="s">
        <v>78</v>
      </c>
      <c r="F741" s="2" t="s">
        <v>20</v>
      </c>
      <c r="G741" s="2" t="s">
        <v>577</v>
      </c>
      <c r="H741" s="2" t="s">
        <v>16</v>
      </c>
      <c r="I741" s="2" t="s">
        <v>578</v>
      </c>
    </row>
    <row r="742" spans="1:9" x14ac:dyDescent="0.35">
      <c r="A742" s="2" t="s">
        <v>575</v>
      </c>
      <c r="B742" s="2" t="s">
        <v>12</v>
      </c>
      <c r="C742" s="2" t="s">
        <v>579</v>
      </c>
      <c r="D742" s="2" t="s">
        <v>91</v>
      </c>
      <c r="E742" s="2" t="s">
        <v>19</v>
      </c>
      <c r="F742" s="2" t="s">
        <v>16</v>
      </c>
      <c r="G742" s="2" t="s">
        <v>580</v>
      </c>
      <c r="H742" s="2" t="s">
        <v>16</v>
      </c>
      <c r="I742" s="2" t="s">
        <v>95</v>
      </c>
    </row>
    <row r="743" spans="1:9" x14ac:dyDescent="0.35">
      <c r="A743" s="2" t="s">
        <v>575</v>
      </c>
      <c r="B743" s="2" t="s">
        <v>12</v>
      </c>
      <c r="C743" s="2" t="s">
        <v>579</v>
      </c>
      <c r="D743" s="2" t="s">
        <v>77</v>
      </c>
      <c r="E743" s="2" t="s">
        <v>78</v>
      </c>
      <c r="F743" s="2"/>
      <c r="G743" s="2"/>
      <c r="H743" s="2"/>
      <c r="I743" s="2"/>
    </row>
    <row r="744" spans="1:9" x14ac:dyDescent="0.35">
      <c r="A744" s="2" t="s">
        <v>575</v>
      </c>
      <c r="B744" s="2" t="s">
        <v>12</v>
      </c>
      <c r="C744" s="2" t="s">
        <v>581</v>
      </c>
      <c r="D744" s="2" t="s">
        <v>144</v>
      </c>
      <c r="E744" s="2" t="s">
        <v>50</v>
      </c>
      <c r="F744" s="2"/>
      <c r="G744" s="2"/>
      <c r="H744" s="2" t="s">
        <v>16</v>
      </c>
      <c r="I744" s="2" t="s">
        <v>81</v>
      </c>
    </row>
    <row r="745" spans="1:9" x14ac:dyDescent="0.35">
      <c r="A745" s="2" t="s">
        <v>575</v>
      </c>
      <c r="B745" s="2" t="s">
        <v>12</v>
      </c>
      <c r="C745" s="2" t="s">
        <v>581</v>
      </c>
      <c r="D745" s="2" t="s">
        <v>18</v>
      </c>
      <c r="E745" s="2" t="s">
        <v>19</v>
      </c>
      <c r="F745" s="2"/>
      <c r="G745" s="2" t="s">
        <v>582</v>
      </c>
      <c r="H745" s="2" t="s">
        <v>16</v>
      </c>
      <c r="I745" s="2" t="s">
        <v>81</v>
      </c>
    </row>
    <row r="746" spans="1:9" x14ac:dyDescent="0.35">
      <c r="A746" s="2" t="s">
        <v>575</v>
      </c>
      <c r="B746" s="2" t="s">
        <v>12</v>
      </c>
      <c r="C746" s="2" t="s">
        <v>583</v>
      </c>
      <c r="D746" s="2" t="s">
        <v>14</v>
      </c>
      <c r="E746" s="2" t="s">
        <v>15</v>
      </c>
      <c r="F746" s="2"/>
      <c r="G746" s="2"/>
      <c r="H746" s="2" t="s">
        <v>16</v>
      </c>
      <c r="I746" s="2" t="s">
        <v>95</v>
      </c>
    </row>
    <row r="747" spans="1:9" x14ac:dyDescent="0.35">
      <c r="A747" s="2" t="s">
        <v>575</v>
      </c>
      <c r="B747" s="2" t="s">
        <v>12</v>
      </c>
      <c r="C747" s="2" t="s">
        <v>583</v>
      </c>
      <c r="D747" s="2" t="s">
        <v>121</v>
      </c>
      <c r="E747" s="2" t="s">
        <v>122</v>
      </c>
      <c r="F747" s="2" t="s">
        <v>16</v>
      </c>
      <c r="G747" s="2" t="s">
        <v>584</v>
      </c>
      <c r="H747" s="2" t="s">
        <v>16</v>
      </c>
      <c r="I747" s="2" t="s">
        <v>95</v>
      </c>
    </row>
    <row r="748" spans="1:9" x14ac:dyDescent="0.35">
      <c r="A748" s="2" t="s">
        <v>575</v>
      </c>
      <c r="B748" s="2" t="s">
        <v>12</v>
      </c>
      <c r="C748" s="2" t="s">
        <v>583</v>
      </c>
      <c r="D748" s="2" t="s">
        <v>18</v>
      </c>
      <c r="E748" s="2" t="s">
        <v>19</v>
      </c>
      <c r="F748" s="2"/>
      <c r="G748" s="2"/>
      <c r="H748" s="2" t="s">
        <v>16</v>
      </c>
      <c r="I748" s="2" t="s">
        <v>95</v>
      </c>
    </row>
    <row r="749" spans="1:9" x14ac:dyDescent="0.35">
      <c r="A749" s="2" t="s">
        <v>575</v>
      </c>
      <c r="B749" s="2" t="s">
        <v>12</v>
      </c>
      <c r="C749" s="2" t="s">
        <v>583</v>
      </c>
      <c r="D749" s="2" t="s">
        <v>89</v>
      </c>
      <c r="E749" s="2" t="s">
        <v>45</v>
      </c>
      <c r="F749" s="2"/>
      <c r="G749" s="2"/>
      <c r="H749" s="2" t="s">
        <v>16</v>
      </c>
      <c r="I749" s="2" t="s">
        <v>95</v>
      </c>
    </row>
    <row r="750" spans="1:9" x14ac:dyDescent="0.35">
      <c r="A750" s="2" t="s">
        <v>575</v>
      </c>
      <c r="B750" s="2" t="s">
        <v>12</v>
      </c>
      <c r="C750" s="2" t="s">
        <v>583</v>
      </c>
      <c r="D750" s="2" t="s">
        <v>193</v>
      </c>
      <c r="E750" s="2" t="s">
        <v>40</v>
      </c>
      <c r="F750" s="2"/>
      <c r="G750" s="2"/>
      <c r="H750" s="2" t="s">
        <v>16</v>
      </c>
      <c r="I750" s="2" t="s">
        <v>95</v>
      </c>
    </row>
    <row r="751" spans="1:9" x14ac:dyDescent="0.35">
      <c r="A751" s="2" t="s">
        <v>575</v>
      </c>
      <c r="B751" s="2" t="s">
        <v>24</v>
      </c>
      <c r="C751" s="2" t="s">
        <v>585</v>
      </c>
      <c r="D751" s="2" t="s">
        <v>27</v>
      </c>
      <c r="E751" s="2" t="s">
        <v>28</v>
      </c>
      <c r="F751" s="2"/>
      <c r="G751" s="2"/>
      <c r="H751" s="2" t="s">
        <v>16</v>
      </c>
      <c r="I751" s="2" t="s">
        <v>81</v>
      </c>
    </row>
    <row r="752" spans="1:9" x14ac:dyDescent="0.35">
      <c r="A752" s="2" t="s">
        <v>575</v>
      </c>
      <c r="B752" s="2" t="s">
        <v>24</v>
      </c>
      <c r="C752" s="2" t="s">
        <v>585</v>
      </c>
      <c r="D752" s="2" t="s">
        <v>89</v>
      </c>
      <c r="E752" s="2" t="s">
        <v>45</v>
      </c>
      <c r="F752" s="2"/>
      <c r="G752" s="2"/>
      <c r="H752" s="2" t="s">
        <v>16</v>
      </c>
      <c r="I752" s="2" t="s">
        <v>81</v>
      </c>
    </row>
    <row r="753" spans="1:9" x14ac:dyDescent="0.35">
      <c r="A753" s="2" t="s">
        <v>575</v>
      </c>
      <c r="B753" s="2" t="s">
        <v>57</v>
      </c>
      <c r="C753" s="2" t="s">
        <v>586</v>
      </c>
      <c r="D753" s="2" t="s">
        <v>14</v>
      </c>
      <c r="E753" s="2" t="s">
        <v>15</v>
      </c>
      <c r="F753" s="2"/>
      <c r="G753" s="2"/>
      <c r="H753" s="2" t="s">
        <v>16</v>
      </c>
      <c r="I753" s="2" t="s">
        <v>95</v>
      </c>
    </row>
    <row r="754" spans="1:9" x14ac:dyDescent="0.35">
      <c r="A754" s="2" t="s">
        <v>575</v>
      </c>
      <c r="B754" s="2" t="s">
        <v>57</v>
      </c>
      <c r="C754" s="2" t="s">
        <v>586</v>
      </c>
      <c r="D754" s="2" t="s">
        <v>27</v>
      </c>
      <c r="E754" s="2" t="s">
        <v>28</v>
      </c>
      <c r="F754" s="2"/>
      <c r="G754" s="2"/>
      <c r="H754" s="2" t="s">
        <v>16</v>
      </c>
      <c r="I754" s="2" t="s">
        <v>95</v>
      </c>
    </row>
    <row r="755" spans="1:9" x14ac:dyDescent="0.35">
      <c r="A755" s="2" t="s">
        <v>575</v>
      </c>
      <c r="B755" s="2" t="s">
        <v>57</v>
      </c>
      <c r="C755" s="2" t="s">
        <v>586</v>
      </c>
      <c r="D755" s="2" t="s">
        <v>59</v>
      </c>
      <c r="E755" s="2" t="s">
        <v>60</v>
      </c>
      <c r="F755" s="2"/>
      <c r="G755" s="2"/>
      <c r="H755" s="2" t="s">
        <v>16</v>
      </c>
      <c r="I755" s="2" t="s">
        <v>95</v>
      </c>
    </row>
    <row r="756" spans="1:9" x14ac:dyDescent="0.35">
      <c r="A756" s="2" t="s">
        <v>575</v>
      </c>
      <c r="B756" s="2" t="s">
        <v>57</v>
      </c>
      <c r="C756" s="2" t="s">
        <v>586</v>
      </c>
      <c r="D756" s="2" t="s">
        <v>38</v>
      </c>
      <c r="E756" s="2" t="s">
        <v>38</v>
      </c>
      <c r="F756" s="2"/>
      <c r="G756" s="2"/>
      <c r="H756" s="2" t="s">
        <v>16</v>
      </c>
      <c r="I756" s="2" t="s">
        <v>95</v>
      </c>
    </row>
    <row r="757" spans="1:9" x14ac:dyDescent="0.35">
      <c r="A757" s="2" t="s">
        <v>575</v>
      </c>
      <c r="B757" s="2" t="s">
        <v>57</v>
      </c>
      <c r="C757" s="2" t="s">
        <v>586</v>
      </c>
      <c r="D757" s="2" t="s">
        <v>35</v>
      </c>
      <c r="E757" s="2" t="s">
        <v>36</v>
      </c>
      <c r="F757" s="2"/>
      <c r="G757" s="2"/>
      <c r="H757" s="2" t="s">
        <v>16</v>
      </c>
      <c r="I757" s="2" t="s">
        <v>95</v>
      </c>
    </row>
    <row r="758" spans="1:9" x14ac:dyDescent="0.35">
      <c r="A758" s="2" t="s">
        <v>575</v>
      </c>
      <c r="B758" s="2" t="s">
        <v>57</v>
      </c>
      <c r="C758" s="2" t="s">
        <v>586</v>
      </c>
      <c r="D758" s="2" t="s">
        <v>18</v>
      </c>
      <c r="E758" s="2" t="s">
        <v>19</v>
      </c>
      <c r="F758" s="2" t="s">
        <v>16</v>
      </c>
      <c r="G758" s="2" t="s">
        <v>587</v>
      </c>
      <c r="H758" s="2" t="s">
        <v>16</v>
      </c>
      <c r="I758" s="2" t="s">
        <v>95</v>
      </c>
    </row>
    <row r="759" spans="1:9" x14ac:dyDescent="0.35">
      <c r="A759" s="2" t="s">
        <v>575</v>
      </c>
      <c r="B759" s="2" t="s">
        <v>57</v>
      </c>
      <c r="C759" s="2" t="s">
        <v>586</v>
      </c>
      <c r="D759" s="2" t="s">
        <v>61</v>
      </c>
      <c r="E759" s="2" t="s">
        <v>30</v>
      </c>
      <c r="F759" s="2"/>
      <c r="G759" s="2"/>
      <c r="H759" s="2" t="s">
        <v>16</v>
      </c>
      <c r="I759" s="2" t="s">
        <v>95</v>
      </c>
    </row>
    <row r="760" spans="1:9" x14ac:dyDescent="0.35">
      <c r="A760" s="2" t="s">
        <v>575</v>
      </c>
      <c r="B760" s="2" t="s">
        <v>57</v>
      </c>
      <c r="C760" s="2" t="s">
        <v>586</v>
      </c>
      <c r="D760" s="2" t="s">
        <v>112</v>
      </c>
      <c r="E760" s="2" t="s">
        <v>113</v>
      </c>
      <c r="F760" s="2"/>
      <c r="G760" s="2"/>
      <c r="H760" s="2" t="s">
        <v>16</v>
      </c>
      <c r="I760" s="2" t="s">
        <v>95</v>
      </c>
    </row>
    <row r="761" spans="1:9" x14ac:dyDescent="0.35">
      <c r="A761" s="2" t="s">
        <v>575</v>
      </c>
      <c r="B761" s="2" t="s">
        <v>24</v>
      </c>
      <c r="C761" s="2" t="s">
        <v>588</v>
      </c>
      <c r="D761" s="2" t="s">
        <v>14</v>
      </c>
      <c r="E761" s="2" t="s">
        <v>15</v>
      </c>
      <c r="F761" s="2"/>
      <c r="G761" s="2"/>
      <c r="H761" s="2" t="s">
        <v>16</v>
      </c>
      <c r="I761" s="2" t="s">
        <v>81</v>
      </c>
    </row>
    <row r="762" spans="1:9" x14ac:dyDescent="0.35">
      <c r="A762" s="2" t="s">
        <v>575</v>
      </c>
      <c r="B762" s="2" t="s">
        <v>24</v>
      </c>
      <c r="C762" s="2" t="s">
        <v>588</v>
      </c>
      <c r="D762" s="2" t="s">
        <v>27</v>
      </c>
      <c r="E762" s="2" t="s">
        <v>28</v>
      </c>
      <c r="F762" s="2"/>
      <c r="G762" s="2"/>
      <c r="H762" s="2" t="s">
        <v>16</v>
      </c>
      <c r="I762" s="2" t="s">
        <v>81</v>
      </c>
    </row>
    <row r="763" spans="1:9" x14ac:dyDescent="0.35">
      <c r="A763" s="2" t="s">
        <v>575</v>
      </c>
      <c r="B763" s="2" t="s">
        <v>24</v>
      </c>
      <c r="C763" s="2" t="s">
        <v>588</v>
      </c>
      <c r="D763" s="2" t="s">
        <v>38</v>
      </c>
      <c r="E763" s="2" t="s">
        <v>38</v>
      </c>
      <c r="F763" s="2"/>
      <c r="G763" s="2"/>
      <c r="H763" s="2" t="s">
        <v>16</v>
      </c>
      <c r="I763" s="2" t="s">
        <v>81</v>
      </c>
    </row>
    <row r="764" spans="1:9" x14ac:dyDescent="0.35">
      <c r="A764" s="2" t="s">
        <v>575</v>
      </c>
      <c r="B764" s="2" t="s">
        <v>24</v>
      </c>
      <c r="C764" s="2" t="s">
        <v>588</v>
      </c>
      <c r="D764" s="2" t="s">
        <v>35</v>
      </c>
      <c r="E764" s="2" t="s">
        <v>36</v>
      </c>
      <c r="F764" s="2"/>
      <c r="G764" s="2"/>
      <c r="H764" s="2" t="s">
        <v>16</v>
      </c>
      <c r="I764" s="2" t="s">
        <v>81</v>
      </c>
    </row>
    <row r="765" spans="1:9" x14ac:dyDescent="0.35">
      <c r="A765" s="2" t="s">
        <v>575</v>
      </c>
      <c r="B765" s="2" t="s">
        <v>24</v>
      </c>
      <c r="C765" s="2" t="s">
        <v>588</v>
      </c>
      <c r="D765" s="2" t="s">
        <v>61</v>
      </c>
      <c r="E765" s="2" t="s">
        <v>30</v>
      </c>
      <c r="F765" s="2"/>
      <c r="G765" s="2"/>
      <c r="H765" s="2" t="s">
        <v>16</v>
      </c>
      <c r="I765" s="2" t="s">
        <v>81</v>
      </c>
    </row>
    <row r="766" spans="1:9" x14ac:dyDescent="0.35">
      <c r="A766" s="2" t="s">
        <v>575</v>
      </c>
      <c r="B766" s="2" t="s">
        <v>24</v>
      </c>
      <c r="C766" s="2" t="s">
        <v>588</v>
      </c>
      <c r="D766" s="2" t="s">
        <v>100</v>
      </c>
      <c r="E766" s="2" t="s">
        <v>101</v>
      </c>
      <c r="F766" s="2"/>
      <c r="G766" s="2"/>
      <c r="H766" s="2"/>
      <c r="I766" s="2"/>
    </row>
    <row r="767" spans="1:9" x14ac:dyDescent="0.35">
      <c r="A767" s="2" t="s">
        <v>575</v>
      </c>
      <c r="B767" s="2" t="s">
        <v>24</v>
      </c>
      <c r="C767" s="2" t="s">
        <v>589</v>
      </c>
      <c r="D767" s="2" t="s">
        <v>14</v>
      </c>
      <c r="E767" s="2" t="s">
        <v>15</v>
      </c>
      <c r="F767" s="2"/>
      <c r="G767" s="2"/>
      <c r="H767" s="2" t="s">
        <v>16</v>
      </c>
      <c r="I767" s="2" t="s">
        <v>95</v>
      </c>
    </row>
    <row r="768" spans="1:9" x14ac:dyDescent="0.35">
      <c r="A768" s="2" t="s">
        <v>575</v>
      </c>
      <c r="B768" s="2" t="s">
        <v>24</v>
      </c>
      <c r="C768" s="2" t="s">
        <v>589</v>
      </c>
      <c r="D768" s="2" t="s">
        <v>27</v>
      </c>
      <c r="E768" s="2" t="s">
        <v>28</v>
      </c>
      <c r="F768" s="2"/>
      <c r="G768" s="2"/>
      <c r="H768" s="2" t="s">
        <v>16</v>
      </c>
      <c r="I768" s="2" t="s">
        <v>95</v>
      </c>
    </row>
    <row r="769" spans="1:9" x14ac:dyDescent="0.35">
      <c r="A769" s="2" t="s">
        <v>575</v>
      </c>
      <c r="B769" s="2" t="s">
        <v>24</v>
      </c>
      <c r="C769" s="2" t="s">
        <v>589</v>
      </c>
      <c r="D769" s="2" t="s">
        <v>76</v>
      </c>
      <c r="E769" s="2" t="s">
        <v>75</v>
      </c>
      <c r="F769" s="2" t="s">
        <v>16</v>
      </c>
      <c r="G769" s="2" t="s">
        <v>590</v>
      </c>
      <c r="H769" s="2" t="s">
        <v>16</v>
      </c>
      <c r="I769" s="2" t="s">
        <v>95</v>
      </c>
    </row>
    <row r="770" spans="1:9" x14ac:dyDescent="0.35">
      <c r="A770" s="2" t="s">
        <v>575</v>
      </c>
      <c r="B770" s="2" t="s">
        <v>24</v>
      </c>
      <c r="C770" s="2" t="s">
        <v>589</v>
      </c>
      <c r="D770" s="2" t="s">
        <v>98</v>
      </c>
      <c r="E770" s="2" t="s">
        <v>98</v>
      </c>
      <c r="F770" s="2"/>
      <c r="G770" s="2"/>
      <c r="H770" s="2" t="s">
        <v>16</v>
      </c>
      <c r="I770" s="2" t="s">
        <v>95</v>
      </c>
    </row>
    <row r="771" spans="1:9" x14ac:dyDescent="0.35">
      <c r="A771" s="2" t="s">
        <v>575</v>
      </c>
      <c r="B771" s="2" t="s">
        <v>24</v>
      </c>
      <c r="C771" s="2" t="s">
        <v>589</v>
      </c>
      <c r="D771" s="2" t="s">
        <v>35</v>
      </c>
      <c r="E771" s="2" t="s">
        <v>36</v>
      </c>
      <c r="F771" s="2"/>
      <c r="G771" s="2"/>
      <c r="H771" s="2" t="s">
        <v>16</v>
      </c>
      <c r="I771" s="2" t="s">
        <v>578</v>
      </c>
    </row>
    <row r="772" spans="1:9" x14ac:dyDescent="0.35">
      <c r="A772" s="2" t="s">
        <v>575</v>
      </c>
      <c r="B772" s="2" t="s">
        <v>24</v>
      </c>
      <c r="C772" s="2" t="s">
        <v>589</v>
      </c>
      <c r="D772" s="2" t="s">
        <v>168</v>
      </c>
      <c r="E772" s="2" t="s">
        <v>45</v>
      </c>
      <c r="F772" s="2" t="s">
        <v>16</v>
      </c>
      <c r="G772" s="2" t="s">
        <v>591</v>
      </c>
      <c r="H772" s="2" t="s">
        <v>16</v>
      </c>
      <c r="I772" s="2" t="s">
        <v>95</v>
      </c>
    </row>
    <row r="773" spans="1:9" x14ac:dyDescent="0.35">
      <c r="A773" s="2" t="s">
        <v>575</v>
      </c>
      <c r="B773" s="2" t="s">
        <v>24</v>
      </c>
      <c r="C773" s="2" t="s">
        <v>589</v>
      </c>
      <c r="D773" s="2" t="s">
        <v>77</v>
      </c>
      <c r="E773" s="2" t="s">
        <v>78</v>
      </c>
      <c r="F773" s="2"/>
      <c r="G773" s="2"/>
      <c r="H773" s="2" t="s">
        <v>16</v>
      </c>
      <c r="I773" s="2" t="s">
        <v>95</v>
      </c>
    </row>
    <row r="774" spans="1:9" x14ac:dyDescent="0.35">
      <c r="A774" s="2" t="s">
        <v>575</v>
      </c>
      <c r="B774" s="2" t="s">
        <v>24</v>
      </c>
      <c r="C774" s="2" t="s">
        <v>589</v>
      </c>
      <c r="D774" s="2" t="s">
        <v>61</v>
      </c>
      <c r="E774" s="2" t="s">
        <v>30</v>
      </c>
      <c r="F774" s="2"/>
      <c r="G774" s="2"/>
      <c r="H774" s="2" t="s">
        <v>16</v>
      </c>
      <c r="I774" s="2" t="s">
        <v>95</v>
      </c>
    </row>
    <row r="775" spans="1:9" x14ac:dyDescent="0.35">
      <c r="A775" s="2" t="s">
        <v>575</v>
      </c>
      <c r="B775" s="2" t="s">
        <v>24</v>
      </c>
      <c r="C775" s="2" t="s">
        <v>589</v>
      </c>
      <c r="D775" s="2" t="s">
        <v>100</v>
      </c>
      <c r="E775" s="2" t="s">
        <v>101</v>
      </c>
      <c r="F775" s="2"/>
      <c r="G775" s="2"/>
      <c r="H775" s="2" t="s">
        <v>16</v>
      </c>
      <c r="I775" s="2" t="s">
        <v>95</v>
      </c>
    </row>
    <row r="776" spans="1:9" x14ac:dyDescent="0.35">
      <c r="A776" s="2" t="s">
        <v>575</v>
      </c>
      <c r="B776" s="2" t="s">
        <v>24</v>
      </c>
      <c r="C776" s="2" t="s">
        <v>589</v>
      </c>
      <c r="D776" s="2" t="s">
        <v>592</v>
      </c>
      <c r="E776" s="2" t="s">
        <v>189</v>
      </c>
      <c r="F776" s="2"/>
      <c r="G776" s="2"/>
      <c r="H776" s="2" t="s">
        <v>16</v>
      </c>
      <c r="I776" s="2" t="s">
        <v>95</v>
      </c>
    </row>
    <row r="777" spans="1:9" x14ac:dyDescent="0.35">
      <c r="A777" s="2" t="s">
        <v>575</v>
      </c>
      <c r="B777" s="2" t="s">
        <v>24</v>
      </c>
      <c r="C777" s="2" t="s">
        <v>589</v>
      </c>
      <c r="D777" s="2" t="s">
        <v>44</v>
      </c>
      <c r="E777" s="2" t="s">
        <v>45</v>
      </c>
      <c r="F777" s="2" t="s">
        <v>46</v>
      </c>
      <c r="G777" s="2" t="s">
        <v>451</v>
      </c>
      <c r="H777" s="2" t="s">
        <v>16</v>
      </c>
      <c r="I777" s="2" t="s">
        <v>95</v>
      </c>
    </row>
    <row r="778" spans="1:9" x14ac:dyDescent="0.35">
      <c r="A778" s="2" t="s">
        <v>575</v>
      </c>
      <c r="B778" s="2" t="s">
        <v>12</v>
      </c>
      <c r="C778" s="2" t="s">
        <v>593</v>
      </c>
      <c r="D778" s="2" t="s">
        <v>91</v>
      </c>
      <c r="E778" s="2" t="s">
        <v>19</v>
      </c>
      <c r="F778" s="2" t="s">
        <v>16</v>
      </c>
      <c r="G778" s="2" t="s">
        <v>594</v>
      </c>
      <c r="H778" s="2"/>
      <c r="I778" s="2"/>
    </row>
    <row r="779" spans="1:9" x14ac:dyDescent="0.35">
      <c r="A779" s="2" t="s">
        <v>575</v>
      </c>
      <c r="B779" s="2" t="s">
        <v>62</v>
      </c>
      <c r="C779" s="2" t="s">
        <v>595</v>
      </c>
      <c r="D779" s="2" t="s">
        <v>18</v>
      </c>
      <c r="E779" s="2" t="s">
        <v>19</v>
      </c>
      <c r="F779" s="2" t="s">
        <v>16</v>
      </c>
      <c r="G779" s="2" t="s">
        <v>596</v>
      </c>
      <c r="H779" s="2"/>
      <c r="I779" s="2"/>
    </row>
    <row r="780" spans="1:9" x14ac:dyDescent="0.35">
      <c r="A780" s="2" t="s">
        <v>575</v>
      </c>
      <c r="B780" s="2" t="s">
        <v>62</v>
      </c>
      <c r="C780" s="2" t="s">
        <v>595</v>
      </c>
      <c r="D780" s="2" t="s">
        <v>89</v>
      </c>
      <c r="E780" s="2" t="s">
        <v>45</v>
      </c>
      <c r="F780" s="2" t="s">
        <v>16</v>
      </c>
      <c r="G780" s="2" t="s">
        <v>597</v>
      </c>
      <c r="H780" s="2"/>
      <c r="I780" s="2"/>
    </row>
    <row r="781" spans="1:9" x14ac:dyDescent="0.35">
      <c r="A781" s="2" t="s">
        <v>575</v>
      </c>
      <c r="B781" s="2" t="s">
        <v>54</v>
      </c>
      <c r="C781" s="2" t="s">
        <v>598</v>
      </c>
      <c r="D781" s="2" t="s">
        <v>393</v>
      </c>
      <c r="E781" s="2" t="s">
        <v>36</v>
      </c>
      <c r="F781" s="2" t="s">
        <v>20</v>
      </c>
      <c r="G781" s="2" t="s">
        <v>599</v>
      </c>
      <c r="H781" s="2" t="s">
        <v>16</v>
      </c>
      <c r="I781" s="2" t="s">
        <v>81</v>
      </c>
    </row>
    <row r="782" spans="1:9" x14ac:dyDescent="0.35">
      <c r="A782" s="2" t="s">
        <v>575</v>
      </c>
      <c r="B782" s="2" t="s">
        <v>54</v>
      </c>
      <c r="C782" s="2" t="s">
        <v>598</v>
      </c>
      <c r="D782" s="2" t="s">
        <v>91</v>
      </c>
      <c r="E782" s="2" t="s">
        <v>19</v>
      </c>
      <c r="F782" s="2" t="s">
        <v>16</v>
      </c>
      <c r="G782" s="2" t="s">
        <v>600</v>
      </c>
      <c r="H782" s="2" t="s">
        <v>16</v>
      </c>
      <c r="I782" s="2" t="s">
        <v>81</v>
      </c>
    </row>
    <row r="783" spans="1:9" x14ac:dyDescent="0.35">
      <c r="A783" s="2" t="s">
        <v>575</v>
      </c>
      <c r="B783" s="2" t="s">
        <v>54</v>
      </c>
      <c r="C783" s="2" t="s">
        <v>598</v>
      </c>
      <c r="D783" s="2" t="s">
        <v>89</v>
      </c>
      <c r="E783" s="2" t="s">
        <v>45</v>
      </c>
      <c r="F783" s="2" t="s">
        <v>16</v>
      </c>
      <c r="G783" s="2" t="s">
        <v>601</v>
      </c>
      <c r="H783" s="2" t="s">
        <v>16</v>
      </c>
      <c r="I783" s="2" t="s">
        <v>81</v>
      </c>
    </row>
    <row r="784" spans="1:9" x14ac:dyDescent="0.35">
      <c r="A784" s="2" t="s">
        <v>575</v>
      </c>
      <c r="B784" s="2" t="s">
        <v>54</v>
      </c>
      <c r="C784" s="2" t="s">
        <v>598</v>
      </c>
      <c r="D784" s="2" t="s">
        <v>42</v>
      </c>
      <c r="E784" s="2" t="s">
        <v>43</v>
      </c>
      <c r="F784" s="2"/>
      <c r="G784" s="2"/>
      <c r="H784" s="2" t="s">
        <v>16</v>
      </c>
      <c r="I784" s="2" t="s">
        <v>81</v>
      </c>
    </row>
    <row r="785" spans="1:9" x14ac:dyDescent="0.35">
      <c r="A785" s="2" t="s">
        <v>602</v>
      </c>
      <c r="B785" s="2" t="s">
        <v>57</v>
      </c>
      <c r="C785" s="2" t="s">
        <v>603</v>
      </c>
      <c r="D785" s="2" t="s">
        <v>14</v>
      </c>
      <c r="E785" s="2" t="s">
        <v>15</v>
      </c>
      <c r="F785" s="2"/>
      <c r="G785" s="2"/>
      <c r="H785" s="2"/>
      <c r="I785" s="2"/>
    </row>
    <row r="786" spans="1:9" x14ac:dyDescent="0.35">
      <c r="A786" s="2" t="s">
        <v>602</v>
      </c>
      <c r="B786" s="2" t="s">
        <v>57</v>
      </c>
      <c r="C786" s="2" t="s">
        <v>603</v>
      </c>
      <c r="D786" s="2" t="s">
        <v>144</v>
      </c>
      <c r="E786" s="2" t="s">
        <v>50</v>
      </c>
      <c r="F786" s="2"/>
      <c r="G786" s="2"/>
      <c r="H786" s="2"/>
      <c r="I786" s="2"/>
    </row>
    <row r="787" spans="1:9" x14ac:dyDescent="0.35">
      <c r="A787" s="2" t="s">
        <v>602</v>
      </c>
      <c r="B787" s="2" t="s">
        <v>57</v>
      </c>
      <c r="C787" s="2" t="s">
        <v>603</v>
      </c>
      <c r="D787" s="2" t="s">
        <v>155</v>
      </c>
      <c r="E787" s="2" t="s">
        <v>32</v>
      </c>
      <c r="F787" s="2"/>
      <c r="G787" s="2"/>
      <c r="H787" s="2"/>
      <c r="I787" s="2"/>
    </row>
    <row r="788" spans="1:9" x14ac:dyDescent="0.35">
      <c r="A788" s="2" t="s">
        <v>602</v>
      </c>
      <c r="B788" s="2" t="s">
        <v>57</v>
      </c>
      <c r="C788" s="2" t="s">
        <v>603</v>
      </c>
      <c r="D788" s="2" t="s">
        <v>138</v>
      </c>
      <c r="E788" s="2" t="s">
        <v>139</v>
      </c>
      <c r="F788" s="2"/>
      <c r="G788" s="2"/>
      <c r="H788" s="2"/>
      <c r="I788" s="2"/>
    </row>
    <row r="789" spans="1:9" x14ac:dyDescent="0.35">
      <c r="A789" s="2" t="s">
        <v>602</v>
      </c>
      <c r="B789" s="2" t="s">
        <v>57</v>
      </c>
      <c r="C789" s="2" t="s">
        <v>603</v>
      </c>
      <c r="D789" s="2" t="s">
        <v>211</v>
      </c>
      <c r="E789" s="2" t="s">
        <v>203</v>
      </c>
      <c r="F789" s="2"/>
      <c r="G789" s="2"/>
      <c r="H789" s="2"/>
      <c r="I789" s="2"/>
    </row>
    <row r="790" spans="1:9" x14ac:dyDescent="0.35">
      <c r="A790" s="2" t="s">
        <v>602</v>
      </c>
      <c r="B790" s="2" t="s">
        <v>57</v>
      </c>
      <c r="C790" s="2" t="s">
        <v>603</v>
      </c>
      <c r="D790" s="2" t="s">
        <v>59</v>
      </c>
      <c r="E790" s="2" t="s">
        <v>60</v>
      </c>
      <c r="F790" s="2"/>
      <c r="G790" s="2"/>
      <c r="H790" s="2"/>
      <c r="I790" s="2"/>
    </row>
    <row r="791" spans="1:9" x14ac:dyDescent="0.35">
      <c r="A791" s="2" t="s">
        <v>602</v>
      </c>
      <c r="B791" s="2" t="s">
        <v>57</v>
      </c>
      <c r="C791" s="2" t="s">
        <v>603</v>
      </c>
      <c r="D791" s="2" t="s">
        <v>89</v>
      </c>
      <c r="E791" s="2" t="s">
        <v>45</v>
      </c>
      <c r="F791" s="2"/>
      <c r="G791" s="2"/>
      <c r="H791" s="2"/>
      <c r="I791" s="2"/>
    </row>
    <row r="792" spans="1:9" x14ac:dyDescent="0.35">
      <c r="A792" s="2" t="s">
        <v>602</v>
      </c>
      <c r="B792" s="2" t="s">
        <v>57</v>
      </c>
      <c r="C792" s="2" t="s">
        <v>603</v>
      </c>
      <c r="D792" s="2" t="s">
        <v>604</v>
      </c>
      <c r="E792" s="2" t="s">
        <v>78</v>
      </c>
      <c r="F792" s="2"/>
      <c r="G792" s="2"/>
      <c r="H792" s="2"/>
      <c r="I792" s="2"/>
    </row>
    <row r="793" spans="1:9" x14ac:dyDescent="0.35">
      <c r="A793" s="2" t="s">
        <v>602</v>
      </c>
      <c r="B793" s="2" t="s">
        <v>57</v>
      </c>
      <c r="C793" s="2" t="s">
        <v>603</v>
      </c>
      <c r="D793" s="2" t="s">
        <v>112</v>
      </c>
      <c r="E793" s="2" t="s">
        <v>113</v>
      </c>
      <c r="F793" s="2"/>
      <c r="G793" s="2"/>
      <c r="H793" s="2"/>
      <c r="I793" s="2"/>
    </row>
    <row r="794" spans="1:9" x14ac:dyDescent="0.35">
      <c r="A794" s="2" t="s">
        <v>602</v>
      </c>
      <c r="B794" s="2" t="s">
        <v>24</v>
      </c>
      <c r="C794" s="2" t="s">
        <v>605</v>
      </c>
      <c r="D794" s="2" t="s">
        <v>14</v>
      </c>
      <c r="E794" s="2" t="s">
        <v>15</v>
      </c>
      <c r="F794" s="2"/>
      <c r="G794" s="2"/>
      <c r="H794" s="2"/>
      <c r="I794" s="2"/>
    </row>
    <row r="795" spans="1:9" x14ac:dyDescent="0.35">
      <c r="A795" s="2" t="s">
        <v>602</v>
      </c>
      <c r="B795" s="2" t="s">
        <v>24</v>
      </c>
      <c r="C795" s="2" t="s">
        <v>605</v>
      </c>
      <c r="D795" s="2" t="s">
        <v>96</v>
      </c>
      <c r="E795" s="2" t="s">
        <v>83</v>
      </c>
      <c r="F795" s="2"/>
      <c r="G795" s="2"/>
      <c r="H795" s="2"/>
      <c r="I795" s="2"/>
    </row>
    <row r="796" spans="1:9" x14ac:dyDescent="0.35">
      <c r="A796" s="2" t="s">
        <v>602</v>
      </c>
      <c r="B796" s="2" t="s">
        <v>24</v>
      </c>
      <c r="C796" s="2" t="s">
        <v>605</v>
      </c>
      <c r="D796" s="2" t="s">
        <v>87</v>
      </c>
      <c r="E796" s="2" t="s">
        <v>75</v>
      </c>
      <c r="F796" s="2" t="s">
        <v>16</v>
      </c>
      <c r="G796" s="2" t="s">
        <v>606</v>
      </c>
      <c r="H796" s="2"/>
      <c r="I796" s="2"/>
    </row>
    <row r="797" spans="1:9" x14ac:dyDescent="0.35">
      <c r="A797" s="2" t="s">
        <v>602</v>
      </c>
      <c r="B797" s="2" t="s">
        <v>54</v>
      </c>
      <c r="C797" s="2" t="s">
        <v>607</v>
      </c>
      <c r="D797" s="2" t="s">
        <v>416</v>
      </c>
      <c r="E797" s="2" t="s">
        <v>38</v>
      </c>
      <c r="F797" s="2"/>
      <c r="G797" s="2"/>
      <c r="H797" s="2"/>
      <c r="I797" s="2"/>
    </row>
    <row r="798" spans="1:9" x14ac:dyDescent="0.35">
      <c r="A798" s="2" t="s">
        <v>602</v>
      </c>
      <c r="B798" s="2" t="s">
        <v>54</v>
      </c>
      <c r="C798" s="2" t="s">
        <v>607</v>
      </c>
      <c r="D798" s="2" t="s">
        <v>121</v>
      </c>
      <c r="E798" s="2" t="s">
        <v>122</v>
      </c>
      <c r="F798" s="2"/>
      <c r="G798" s="2"/>
      <c r="H798" s="2"/>
      <c r="I798" s="2"/>
    </row>
    <row r="799" spans="1:9" x14ac:dyDescent="0.35">
      <c r="A799" s="2" t="s">
        <v>602</v>
      </c>
      <c r="B799" s="2" t="s">
        <v>54</v>
      </c>
      <c r="C799" s="2" t="s">
        <v>607</v>
      </c>
      <c r="D799" s="2" t="s">
        <v>91</v>
      </c>
      <c r="E799" s="2" t="s">
        <v>19</v>
      </c>
      <c r="F799" s="2" t="s">
        <v>16</v>
      </c>
      <c r="G799" s="2" t="s">
        <v>608</v>
      </c>
      <c r="H799" s="2"/>
      <c r="I799" s="2"/>
    </row>
    <row r="800" spans="1:9" x14ac:dyDescent="0.35">
      <c r="A800" s="2" t="s">
        <v>602</v>
      </c>
      <c r="B800" s="2" t="s">
        <v>12</v>
      </c>
      <c r="C800" s="2" t="s">
        <v>609</v>
      </c>
      <c r="D800" s="2" t="s">
        <v>610</v>
      </c>
      <c r="E800" s="2" t="s">
        <v>19</v>
      </c>
      <c r="F800" s="2" t="s">
        <v>20</v>
      </c>
      <c r="G800" s="2" t="s">
        <v>611</v>
      </c>
      <c r="H800" s="2"/>
      <c r="I800" s="2"/>
    </row>
    <row r="801" spans="1:9" x14ac:dyDescent="0.35">
      <c r="A801" s="2" t="s">
        <v>602</v>
      </c>
      <c r="B801" s="2" t="s">
        <v>12</v>
      </c>
      <c r="C801" s="2" t="s">
        <v>609</v>
      </c>
      <c r="D801" s="2" t="s">
        <v>89</v>
      </c>
      <c r="E801" s="2" t="s">
        <v>45</v>
      </c>
      <c r="F801" s="2"/>
      <c r="G801" s="2"/>
      <c r="H801" s="2"/>
      <c r="I801" s="2"/>
    </row>
    <row r="802" spans="1:9" x14ac:dyDescent="0.35">
      <c r="A802" s="2" t="s">
        <v>602</v>
      </c>
      <c r="B802" s="2" t="s">
        <v>24</v>
      </c>
      <c r="C802" s="2" t="s">
        <v>612</v>
      </c>
      <c r="D802" s="2" t="s">
        <v>27</v>
      </c>
      <c r="E802" s="2" t="s">
        <v>28</v>
      </c>
      <c r="F802" s="2"/>
      <c r="G802" s="2"/>
      <c r="H802" s="2"/>
      <c r="I802" s="2"/>
    </row>
    <row r="803" spans="1:9" x14ac:dyDescent="0.35">
      <c r="A803" s="2" t="s">
        <v>602</v>
      </c>
      <c r="B803" s="2" t="s">
        <v>24</v>
      </c>
      <c r="C803" s="2" t="s">
        <v>612</v>
      </c>
      <c r="D803" s="2" t="s">
        <v>31</v>
      </c>
      <c r="E803" s="2" t="s">
        <v>32</v>
      </c>
      <c r="F803" s="2"/>
      <c r="G803" s="2"/>
      <c r="H803" s="2"/>
      <c r="I803" s="2"/>
    </row>
    <row r="804" spans="1:9" x14ac:dyDescent="0.35">
      <c r="A804" s="2" t="s">
        <v>602</v>
      </c>
      <c r="B804" s="2" t="s">
        <v>24</v>
      </c>
      <c r="C804" s="2" t="s">
        <v>612</v>
      </c>
      <c r="D804" s="2" t="s">
        <v>613</v>
      </c>
      <c r="E804" s="2" t="s">
        <v>125</v>
      </c>
      <c r="F804" s="2"/>
      <c r="G804" s="2"/>
      <c r="H804" s="2"/>
      <c r="I804" s="2"/>
    </row>
    <row r="805" spans="1:9" x14ac:dyDescent="0.35">
      <c r="A805" s="2" t="s">
        <v>602</v>
      </c>
      <c r="B805" s="2" t="s">
        <v>24</v>
      </c>
      <c r="C805" s="2" t="s">
        <v>612</v>
      </c>
      <c r="D805" s="2" t="s">
        <v>211</v>
      </c>
      <c r="E805" s="2" t="s">
        <v>203</v>
      </c>
      <c r="F805" s="2"/>
      <c r="G805" s="2"/>
      <c r="H805" s="2"/>
      <c r="I805" s="2"/>
    </row>
    <row r="806" spans="1:9" x14ac:dyDescent="0.35">
      <c r="A806" s="2" t="s">
        <v>602</v>
      </c>
      <c r="B806" s="2" t="s">
        <v>24</v>
      </c>
      <c r="C806" s="2" t="s">
        <v>612</v>
      </c>
      <c r="D806" s="2" t="s">
        <v>416</v>
      </c>
      <c r="E806" s="2" t="s">
        <v>38</v>
      </c>
      <c r="F806" s="2"/>
      <c r="G806" s="2"/>
      <c r="H806" s="2"/>
      <c r="I806" s="2"/>
    </row>
    <row r="807" spans="1:9" x14ac:dyDescent="0.35">
      <c r="A807" s="2" t="s">
        <v>602</v>
      </c>
      <c r="B807" s="2" t="s">
        <v>24</v>
      </c>
      <c r="C807" s="2" t="s">
        <v>612</v>
      </c>
      <c r="D807" s="2" t="s">
        <v>87</v>
      </c>
      <c r="E807" s="2" t="s">
        <v>75</v>
      </c>
      <c r="F807" s="2" t="s">
        <v>16</v>
      </c>
      <c r="G807" s="2" t="s">
        <v>614</v>
      </c>
      <c r="H807" s="2"/>
      <c r="I807" s="2"/>
    </row>
    <row r="808" spans="1:9" x14ac:dyDescent="0.35">
      <c r="A808" s="2" t="s">
        <v>602</v>
      </c>
      <c r="B808" s="2" t="s">
        <v>24</v>
      </c>
      <c r="C808" s="2" t="s">
        <v>612</v>
      </c>
      <c r="D808" s="2" t="s">
        <v>615</v>
      </c>
      <c r="E808" s="2" t="s">
        <v>40</v>
      </c>
      <c r="F808" s="2"/>
      <c r="G808" s="2"/>
      <c r="H808" s="2"/>
      <c r="I808" s="2"/>
    </row>
    <row r="809" spans="1:9" x14ac:dyDescent="0.35">
      <c r="A809" s="2" t="s">
        <v>602</v>
      </c>
      <c r="B809" s="2" t="s">
        <v>24</v>
      </c>
      <c r="C809" s="2" t="s">
        <v>616</v>
      </c>
      <c r="D809" s="2" t="s">
        <v>31</v>
      </c>
      <c r="E809" s="2" t="s">
        <v>32</v>
      </c>
      <c r="F809" s="2"/>
      <c r="G809" s="2"/>
      <c r="H809" s="2"/>
      <c r="I809" s="2"/>
    </row>
    <row r="810" spans="1:9" x14ac:dyDescent="0.35">
      <c r="A810" s="2" t="s">
        <v>602</v>
      </c>
      <c r="B810" s="2" t="s">
        <v>24</v>
      </c>
      <c r="C810" s="2" t="s">
        <v>616</v>
      </c>
      <c r="D810" s="2" t="s">
        <v>18</v>
      </c>
      <c r="E810" s="2" t="s">
        <v>19</v>
      </c>
      <c r="F810" s="2" t="s">
        <v>16</v>
      </c>
      <c r="G810" s="2" t="s">
        <v>524</v>
      </c>
      <c r="H810" s="2"/>
      <c r="I810" s="2"/>
    </row>
    <row r="811" spans="1:9" x14ac:dyDescent="0.35">
      <c r="A811" s="2" t="s">
        <v>602</v>
      </c>
      <c r="B811" s="2" t="s">
        <v>24</v>
      </c>
      <c r="C811" s="2" t="s">
        <v>617</v>
      </c>
      <c r="D811" s="2" t="s">
        <v>96</v>
      </c>
      <c r="E811" s="2" t="s">
        <v>83</v>
      </c>
      <c r="F811" s="2"/>
      <c r="G811" s="2"/>
      <c r="H811" s="2"/>
      <c r="I811" s="2"/>
    </row>
    <row r="812" spans="1:9" x14ac:dyDescent="0.35">
      <c r="A812" s="2" t="s">
        <v>618</v>
      </c>
      <c r="B812" s="2" t="s">
        <v>12</v>
      </c>
      <c r="C812" s="2" t="s">
        <v>619</v>
      </c>
      <c r="D812" s="2" t="s">
        <v>14</v>
      </c>
      <c r="E812" s="2" t="s">
        <v>15</v>
      </c>
      <c r="F812" s="2"/>
      <c r="G812" s="2"/>
      <c r="H812" s="2" t="s">
        <v>16</v>
      </c>
      <c r="I812" s="2" t="s">
        <v>95</v>
      </c>
    </row>
    <row r="813" spans="1:9" x14ac:dyDescent="0.35">
      <c r="A813" s="2" t="s">
        <v>618</v>
      </c>
      <c r="B813" s="2" t="s">
        <v>12</v>
      </c>
      <c r="C813" s="2" t="s">
        <v>619</v>
      </c>
      <c r="D813" s="2" t="s">
        <v>18</v>
      </c>
      <c r="E813" s="2" t="s">
        <v>19</v>
      </c>
      <c r="F813" s="2" t="s">
        <v>16</v>
      </c>
      <c r="G813" s="2" t="s">
        <v>620</v>
      </c>
      <c r="H813" s="2" t="s">
        <v>16</v>
      </c>
      <c r="I813" s="2" t="s">
        <v>95</v>
      </c>
    </row>
    <row r="814" spans="1:9" x14ac:dyDescent="0.35">
      <c r="A814" s="2" t="s">
        <v>618</v>
      </c>
      <c r="B814" s="2" t="s">
        <v>12</v>
      </c>
      <c r="C814" s="2" t="s">
        <v>619</v>
      </c>
      <c r="D814" s="2" t="s">
        <v>89</v>
      </c>
      <c r="E814" s="2" t="s">
        <v>45</v>
      </c>
      <c r="F814" s="2" t="s">
        <v>16</v>
      </c>
      <c r="G814" s="2" t="s">
        <v>597</v>
      </c>
      <c r="H814" s="2" t="s">
        <v>16</v>
      </c>
      <c r="I814" s="2" t="s">
        <v>95</v>
      </c>
    </row>
    <row r="815" spans="1:9" x14ac:dyDescent="0.35">
      <c r="A815" s="2" t="s">
        <v>618</v>
      </c>
      <c r="B815" s="2" t="s">
        <v>12</v>
      </c>
      <c r="C815" s="2" t="s">
        <v>621</v>
      </c>
      <c r="D815" s="2" t="s">
        <v>136</v>
      </c>
      <c r="E815" s="2" t="s">
        <v>107</v>
      </c>
      <c r="F815" s="2"/>
      <c r="G815" s="2"/>
      <c r="H815" s="2" t="s">
        <v>16</v>
      </c>
      <c r="I815" s="2" t="s">
        <v>81</v>
      </c>
    </row>
    <row r="816" spans="1:9" x14ac:dyDescent="0.35">
      <c r="A816" s="2" t="s">
        <v>618</v>
      </c>
      <c r="B816" s="2" t="s">
        <v>12</v>
      </c>
      <c r="C816" s="2" t="s">
        <v>621</v>
      </c>
      <c r="D816" s="2" t="s">
        <v>124</v>
      </c>
      <c r="E816" s="2" t="s">
        <v>125</v>
      </c>
      <c r="F816" s="2"/>
      <c r="G816" s="2"/>
      <c r="H816" s="2" t="s">
        <v>16</v>
      </c>
      <c r="I816" s="2" t="s">
        <v>81</v>
      </c>
    </row>
    <row r="817" spans="1:9" x14ac:dyDescent="0.35">
      <c r="A817" s="2" t="s">
        <v>618</v>
      </c>
      <c r="B817" s="2" t="s">
        <v>12</v>
      </c>
      <c r="C817" s="2" t="s">
        <v>621</v>
      </c>
      <c r="D817" s="2" t="s">
        <v>18</v>
      </c>
      <c r="E817" s="2" t="s">
        <v>19</v>
      </c>
      <c r="F817" s="2" t="s">
        <v>46</v>
      </c>
      <c r="G817" s="2" t="s">
        <v>451</v>
      </c>
      <c r="H817" s="2" t="s">
        <v>16</v>
      </c>
      <c r="I817" s="2" t="s">
        <v>81</v>
      </c>
    </row>
    <row r="818" spans="1:9" x14ac:dyDescent="0.35">
      <c r="A818" s="2" t="s">
        <v>622</v>
      </c>
      <c r="B818" s="2" t="s">
        <v>57</v>
      </c>
      <c r="C818" s="2" t="s">
        <v>623</v>
      </c>
      <c r="D818" s="2" t="s">
        <v>14</v>
      </c>
      <c r="E818" s="2" t="s">
        <v>15</v>
      </c>
      <c r="F818" s="2"/>
      <c r="G818" s="2"/>
      <c r="H818" s="2" t="s">
        <v>16</v>
      </c>
      <c r="I818" s="2" t="s">
        <v>624</v>
      </c>
    </row>
    <row r="819" spans="1:9" x14ac:dyDescent="0.35">
      <c r="A819" s="2" t="s">
        <v>622</v>
      </c>
      <c r="B819" s="2" t="s">
        <v>57</v>
      </c>
      <c r="C819" s="2" t="s">
        <v>623</v>
      </c>
      <c r="D819" s="2" t="s">
        <v>120</v>
      </c>
      <c r="E819" s="2" t="s">
        <v>32</v>
      </c>
      <c r="F819" s="2"/>
      <c r="G819" s="2"/>
      <c r="H819" s="2" t="s">
        <v>16</v>
      </c>
      <c r="I819" s="2" t="s">
        <v>624</v>
      </c>
    </row>
    <row r="820" spans="1:9" x14ac:dyDescent="0.35">
      <c r="A820" s="2" t="s">
        <v>622</v>
      </c>
      <c r="B820" s="2" t="s">
        <v>57</v>
      </c>
      <c r="C820" s="2" t="s">
        <v>623</v>
      </c>
      <c r="D820" s="2" t="s">
        <v>625</v>
      </c>
      <c r="E820" s="2" t="s">
        <v>38</v>
      </c>
      <c r="F820" s="2"/>
      <c r="G820" s="2"/>
      <c r="H820" s="2" t="s">
        <v>16</v>
      </c>
      <c r="I820" s="2" t="s">
        <v>624</v>
      </c>
    </row>
    <row r="821" spans="1:9" x14ac:dyDescent="0.35">
      <c r="A821" s="2" t="s">
        <v>622</v>
      </c>
      <c r="B821" s="2" t="s">
        <v>57</v>
      </c>
      <c r="C821" s="2" t="s">
        <v>623</v>
      </c>
      <c r="D821" s="2" t="s">
        <v>156</v>
      </c>
      <c r="E821" s="2" t="s">
        <v>45</v>
      </c>
      <c r="F821" s="2" t="s">
        <v>16</v>
      </c>
      <c r="G821" s="2" t="s">
        <v>626</v>
      </c>
      <c r="H821" s="2" t="s">
        <v>16</v>
      </c>
      <c r="I821" s="2" t="s">
        <v>624</v>
      </c>
    </row>
    <row r="822" spans="1:9" x14ac:dyDescent="0.35">
      <c r="A822" s="2" t="s">
        <v>622</v>
      </c>
      <c r="B822" s="2" t="s">
        <v>57</v>
      </c>
      <c r="C822" s="2" t="s">
        <v>623</v>
      </c>
      <c r="D822" s="2" t="s">
        <v>77</v>
      </c>
      <c r="E822" s="2" t="s">
        <v>78</v>
      </c>
      <c r="F822" s="2"/>
      <c r="G822" s="2"/>
      <c r="H822" s="2" t="s">
        <v>16</v>
      </c>
      <c r="I822" s="2" t="s">
        <v>624</v>
      </c>
    </row>
    <row r="823" spans="1:9" x14ac:dyDescent="0.35">
      <c r="A823" s="2" t="s">
        <v>622</v>
      </c>
      <c r="B823" s="2" t="s">
        <v>57</v>
      </c>
      <c r="C823" s="2" t="s">
        <v>623</v>
      </c>
      <c r="D823" s="2" t="s">
        <v>627</v>
      </c>
      <c r="E823" s="2" t="s">
        <v>259</v>
      </c>
      <c r="F823" s="2"/>
      <c r="G823" s="2"/>
      <c r="H823" s="2" t="s">
        <v>16</v>
      </c>
      <c r="I823" s="2" t="s">
        <v>624</v>
      </c>
    </row>
    <row r="824" spans="1:9" x14ac:dyDescent="0.35">
      <c r="A824" s="2" t="s">
        <v>622</v>
      </c>
      <c r="B824" s="2" t="s">
        <v>57</v>
      </c>
      <c r="C824" s="2" t="s">
        <v>623</v>
      </c>
      <c r="D824" s="2" t="s">
        <v>628</v>
      </c>
      <c r="E824" s="2" t="s">
        <v>50</v>
      </c>
      <c r="F824" s="2" t="s">
        <v>46</v>
      </c>
      <c r="G824" s="2" t="s">
        <v>451</v>
      </c>
      <c r="H824" s="2" t="s">
        <v>16</v>
      </c>
      <c r="I824" s="2" t="s">
        <v>624</v>
      </c>
    </row>
    <row r="825" spans="1:9" x14ac:dyDescent="0.35">
      <c r="A825" s="2" t="s">
        <v>622</v>
      </c>
      <c r="B825" s="2" t="s">
        <v>57</v>
      </c>
      <c r="C825" s="2" t="s">
        <v>623</v>
      </c>
      <c r="D825" s="2" t="s">
        <v>149</v>
      </c>
      <c r="E825" s="2" t="s">
        <v>150</v>
      </c>
      <c r="F825" s="2" t="s">
        <v>16</v>
      </c>
      <c r="G825" s="2" t="s">
        <v>465</v>
      </c>
      <c r="H825" s="2" t="s">
        <v>16</v>
      </c>
      <c r="I825" s="2" t="s">
        <v>624</v>
      </c>
    </row>
    <row r="826" spans="1:9" x14ac:dyDescent="0.35">
      <c r="A826" s="2" t="s">
        <v>622</v>
      </c>
      <c r="B826" s="2" t="s">
        <v>57</v>
      </c>
      <c r="C826" s="2" t="s">
        <v>623</v>
      </c>
      <c r="D826" s="2" t="s">
        <v>112</v>
      </c>
      <c r="E826" s="2" t="s">
        <v>113</v>
      </c>
      <c r="F826" s="2" t="s">
        <v>16</v>
      </c>
      <c r="G826" s="2" t="s">
        <v>465</v>
      </c>
      <c r="H826" s="2" t="s">
        <v>16</v>
      </c>
      <c r="I826" s="2" t="s">
        <v>624</v>
      </c>
    </row>
    <row r="827" spans="1:9" x14ac:dyDescent="0.35">
      <c r="A827" s="2" t="s">
        <v>622</v>
      </c>
      <c r="B827" s="2" t="s">
        <v>12</v>
      </c>
      <c r="C827" s="2" t="s">
        <v>629</v>
      </c>
      <c r="D827" s="2" t="s">
        <v>38</v>
      </c>
      <c r="E827" s="2" t="s">
        <v>38</v>
      </c>
      <c r="F827" s="2"/>
      <c r="G827" s="2"/>
      <c r="H827" s="2" t="s">
        <v>16</v>
      </c>
      <c r="I827" s="2" t="s">
        <v>630</v>
      </c>
    </row>
    <row r="828" spans="1:9" x14ac:dyDescent="0.35">
      <c r="A828" s="2" t="s">
        <v>622</v>
      </c>
      <c r="B828" s="2" t="s">
        <v>12</v>
      </c>
      <c r="C828" s="2" t="s">
        <v>629</v>
      </c>
      <c r="D828" s="2" t="s">
        <v>18</v>
      </c>
      <c r="E828" s="2" t="s">
        <v>19</v>
      </c>
      <c r="F828" s="2" t="s">
        <v>16</v>
      </c>
      <c r="G828" s="2" t="s">
        <v>631</v>
      </c>
      <c r="H828" s="2" t="s">
        <v>16</v>
      </c>
      <c r="I828" s="2" t="s">
        <v>630</v>
      </c>
    </row>
    <row r="829" spans="1:9" x14ac:dyDescent="0.35">
      <c r="A829" s="2" t="s">
        <v>622</v>
      </c>
      <c r="B829" s="2" t="s">
        <v>12</v>
      </c>
      <c r="C829" s="2" t="s">
        <v>629</v>
      </c>
      <c r="D829" s="2" t="s">
        <v>89</v>
      </c>
      <c r="E829" s="2" t="s">
        <v>45</v>
      </c>
      <c r="F829" s="2" t="s">
        <v>16</v>
      </c>
      <c r="G829" s="2" t="s">
        <v>632</v>
      </c>
      <c r="H829" s="2" t="s">
        <v>16</v>
      </c>
      <c r="I829" s="2" t="s">
        <v>630</v>
      </c>
    </row>
    <row r="830" spans="1:9" x14ac:dyDescent="0.35">
      <c r="A830" s="2" t="s">
        <v>622</v>
      </c>
      <c r="B830" s="2" t="s">
        <v>12</v>
      </c>
      <c r="C830" s="2" t="s">
        <v>633</v>
      </c>
      <c r="D830" s="2" t="s">
        <v>64</v>
      </c>
      <c r="E830" s="2" t="s">
        <v>65</v>
      </c>
      <c r="F830" s="2"/>
      <c r="G830" s="2"/>
      <c r="H830" s="2" t="s">
        <v>16</v>
      </c>
      <c r="I830" s="2" t="s">
        <v>624</v>
      </c>
    </row>
    <row r="831" spans="1:9" x14ac:dyDescent="0.35">
      <c r="A831" s="2" t="s">
        <v>622</v>
      </c>
      <c r="B831" s="2" t="s">
        <v>12</v>
      </c>
      <c r="C831" s="2" t="s">
        <v>633</v>
      </c>
      <c r="D831" s="2" t="s">
        <v>18</v>
      </c>
      <c r="E831" s="2" t="s">
        <v>19</v>
      </c>
      <c r="F831" s="2" t="s">
        <v>16</v>
      </c>
      <c r="G831" s="2" t="s">
        <v>634</v>
      </c>
      <c r="H831" s="2" t="s">
        <v>16</v>
      </c>
      <c r="I831" s="2" t="s">
        <v>624</v>
      </c>
    </row>
    <row r="832" spans="1:9" x14ac:dyDescent="0.35">
      <c r="A832" s="2" t="s">
        <v>622</v>
      </c>
      <c r="B832" s="2" t="s">
        <v>24</v>
      </c>
      <c r="C832" s="2" t="s">
        <v>635</v>
      </c>
      <c r="D832" s="2" t="s">
        <v>14</v>
      </c>
      <c r="E832" s="2" t="s">
        <v>15</v>
      </c>
      <c r="F832" s="2" t="s">
        <v>16</v>
      </c>
      <c r="G832" s="2" t="s">
        <v>524</v>
      </c>
      <c r="H832" s="2" t="s">
        <v>16</v>
      </c>
      <c r="I832" s="2" t="s">
        <v>636</v>
      </c>
    </row>
    <row r="833" spans="1:9" x14ac:dyDescent="0.35">
      <c r="A833" s="2" t="s">
        <v>622</v>
      </c>
      <c r="B833" s="2" t="s">
        <v>24</v>
      </c>
      <c r="C833" s="2" t="s">
        <v>635</v>
      </c>
      <c r="D833" s="2" t="s">
        <v>91</v>
      </c>
      <c r="E833" s="2" t="s">
        <v>19</v>
      </c>
      <c r="F833" s="2" t="s">
        <v>16</v>
      </c>
      <c r="G833" s="2" t="s">
        <v>524</v>
      </c>
      <c r="H833" s="2" t="s">
        <v>16</v>
      </c>
      <c r="I833" s="2" t="s">
        <v>636</v>
      </c>
    </row>
    <row r="834" spans="1:9" x14ac:dyDescent="0.35">
      <c r="A834" s="2" t="s">
        <v>622</v>
      </c>
      <c r="B834" s="2" t="s">
        <v>24</v>
      </c>
      <c r="C834" s="2" t="s">
        <v>635</v>
      </c>
      <c r="D834" s="2" t="s">
        <v>51</v>
      </c>
      <c r="E834" s="2" t="s">
        <v>52</v>
      </c>
      <c r="F834" s="2" t="s">
        <v>16</v>
      </c>
      <c r="G834" s="2" t="s">
        <v>524</v>
      </c>
      <c r="H834" s="2" t="s">
        <v>16</v>
      </c>
      <c r="I834" s="2" t="s">
        <v>636</v>
      </c>
    </row>
    <row r="835" spans="1:9" x14ac:dyDescent="0.35">
      <c r="A835" s="2" t="s">
        <v>622</v>
      </c>
      <c r="B835" s="2" t="s">
        <v>24</v>
      </c>
      <c r="C835" s="2" t="s">
        <v>635</v>
      </c>
      <c r="D835" s="2" t="s">
        <v>188</v>
      </c>
      <c r="E835" s="2" t="s">
        <v>189</v>
      </c>
      <c r="F835" s="2"/>
      <c r="G835" s="2"/>
      <c r="H835" s="2" t="s">
        <v>16</v>
      </c>
      <c r="I835" s="2" t="s">
        <v>636</v>
      </c>
    </row>
    <row r="836" spans="1:9" x14ac:dyDescent="0.35">
      <c r="A836" s="2" t="s">
        <v>622</v>
      </c>
      <c r="B836" s="2" t="s">
        <v>62</v>
      </c>
      <c r="C836" s="2" t="s">
        <v>637</v>
      </c>
      <c r="D836" s="2" t="s">
        <v>106</v>
      </c>
      <c r="E836" s="2" t="s">
        <v>107</v>
      </c>
      <c r="F836" s="2"/>
      <c r="G836" s="2"/>
      <c r="H836" s="2"/>
      <c r="I836" s="2"/>
    </row>
    <row r="837" spans="1:9" x14ac:dyDescent="0.35">
      <c r="A837" s="2" t="s">
        <v>622</v>
      </c>
      <c r="B837" s="2" t="s">
        <v>24</v>
      </c>
      <c r="C837" s="2" t="s">
        <v>638</v>
      </c>
      <c r="D837" s="2" t="s">
        <v>14</v>
      </c>
      <c r="E837" s="2" t="s">
        <v>15</v>
      </c>
      <c r="F837" s="2"/>
      <c r="G837" s="2"/>
      <c r="H837" s="2" t="s">
        <v>20</v>
      </c>
      <c r="I837" s="2" t="s">
        <v>624</v>
      </c>
    </row>
    <row r="838" spans="1:9" x14ac:dyDescent="0.35">
      <c r="A838" s="2" t="s">
        <v>622</v>
      </c>
      <c r="B838" s="2" t="s">
        <v>24</v>
      </c>
      <c r="C838" s="2" t="s">
        <v>638</v>
      </c>
      <c r="D838" s="2" t="s">
        <v>98</v>
      </c>
      <c r="E838" s="2" t="s">
        <v>98</v>
      </c>
      <c r="F838" s="2"/>
      <c r="G838" s="2"/>
      <c r="H838" s="2" t="s">
        <v>20</v>
      </c>
      <c r="I838" s="2" t="s">
        <v>636</v>
      </c>
    </row>
    <row r="839" spans="1:9" x14ac:dyDescent="0.35">
      <c r="A839" s="2" t="s">
        <v>622</v>
      </c>
      <c r="B839" s="2" t="s">
        <v>24</v>
      </c>
      <c r="C839" s="2" t="s">
        <v>638</v>
      </c>
      <c r="D839" s="2" t="s">
        <v>18</v>
      </c>
      <c r="E839" s="2" t="s">
        <v>19</v>
      </c>
      <c r="F839" s="2" t="s">
        <v>20</v>
      </c>
      <c r="G839" s="2" t="s">
        <v>639</v>
      </c>
      <c r="H839" s="2" t="s">
        <v>20</v>
      </c>
      <c r="I839" s="2" t="s">
        <v>636</v>
      </c>
    </row>
    <row r="840" spans="1:9" x14ac:dyDescent="0.35">
      <c r="A840" s="2" t="s">
        <v>622</v>
      </c>
      <c r="B840" s="2" t="s">
        <v>62</v>
      </c>
      <c r="C840" s="2" t="s">
        <v>640</v>
      </c>
      <c r="D840" s="2" t="s">
        <v>74</v>
      </c>
      <c r="E840" s="2" t="s">
        <v>75</v>
      </c>
      <c r="F840" s="2" t="s">
        <v>16</v>
      </c>
      <c r="G840" s="2" t="s">
        <v>641</v>
      </c>
      <c r="H840" s="2"/>
      <c r="I840" s="2"/>
    </row>
    <row r="841" spans="1:9" x14ac:dyDescent="0.35">
      <c r="A841" s="2" t="s">
        <v>622</v>
      </c>
      <c r="B841" s="2" t="s">
        <v>62</v>
      </c>
      <c r="C841" s="2" t="s">
        <v>640</v>
      </c>
      <c r="D841" s="2" t="s">
        <v>352</v>
      </c>
      <c r="E841" s="2" t="s">
        <v>107</v>
      </c>
      <c r="F841" s="2"/>
      <c r="G841" s="2"/>
      <c r="H841" s="2"/>
      <c r="I841" s="2"/>
    </row>
    <row r="842" spans="1:9" x14ac:dyDescent="0.35">
      <c r="A842" s="2" t="s">
        <v>622</v>
      </c>
      <c r="B842" s="2" t="s">
        <v>62</v>
      </c>
      <c r="C842" s="2" t="s">
        <v>642</v>
      </c>
      <c r="D842" s="2" t="s">
        <v>106</v>
      </c>
      <c r="E842" s="2" t="s">
        <v>107</v>
      </c>
      <c r="F842" s="2"/>
      <c r="G842" s="2"/>
      <c r="H842" s="2"/>
      <c r="I842" s="2"/>
    </row>
    <row r="843" spans="1:9" x14ac:dyDescent="0.35">
      <c r="A843" s="2" t="s">
        <v>622</v>
      </c>
      <c r="B843" s="2" t="s">
        <v>54</v>
      </c>
      <c r="C843" s="2" t="s">
        <v>643</v>
      </c>
      <c r="D843" s="2" t="s">
        <v>168</v>
      </c>
      <c r="E843" s="2" t="s">
        <v>45</v>
      </c>
      <c r="F843" s="2" t="s">
        <v>20</v>
      </c>
      <c r="G843" s="2" t="s">
        <v>644</v>
      </c>
      <c r="H843" s="2" t="s">
        <v>20</v>
      </c>
      <c r="I843" s="2" t="s">
        <v>636</v>
      </c>
    </row>
    <row r="844" spans="1:9" x14ac:dyDescent="0.35">
      <c r="A844" s="2" t="s">
        <v>622</v>
      </c>
      <c r="B844" s="2" t="s">
        <v>54</v>
      </c>
      <c r="C844" s="2" t="s">
        <v>643</v>
      </c>
      <c r="D844" s="2" t="s">
        <v>18</v>
      </c>
      <c r="E844" s="2" t="s">
        <v>19</v>
      </c>
      <c r="F844" s="2" t="s">
        <v>20</v>
      </c>
      <c r="G844" s="2" t="s">
        <v>645</v>
      </c>
      <c r="H844" s="2" t="s">
        <v>20</v>
      </c>
      <c r="I844" s="2" t="s">
        <v>636</v>
      </c>
    </row>
    <row r="845" spans="1:9" x14ac:dyDescent="0.35">
      <c r="A845" s="2" t="s">
        <v>622</v>
      </c>
      <c r="B845" s="2" t="s">
        <v>24</v>
      </c>
      <c r="C845" s="2" t="s">
        <v>646</v>
      </c>
      <c r="D845" s="2" t="s">
        <v>14</v>
      </c>
      <c r="E845" s="2" t="s">
        <v>15</v>
      </c>
      <c r="F845" s="2"/>
      <c r="G845" s="2"/>
      <c r="H845" s="2" t="s">
        <v>16</v>
      </c>
      <c r="I845" s="2" t="s">
        <v>636</v>
      </c>
    </row>
    <row r="846" spans="1:9" x14ac:dyDescent="0.35">
      <c r="A846" s="2" t="s">
        <v>622</v>
      </c>
      <c r="B846" s="2" t="s">
        <v>24</v>
      </c>
      <c r="C846" s="2" t="s">
        <v>646</v>
      </c>
      <c r="D846" s="2" t="s">
        <v>31</v>
      </c>
      <c r="E846" s="2" t="s">
        <v>32</v>
      </c>
      <c r="F846" s="2" t="s">
        <v>16</v>
      </c>
      <c r="G846" s="2" t="s">
        <v>524</v>
      </c>
      <c r="H846" s="2" t="s">
        <v>16</v>
      </c>
      <c r="I846" s="2" t="s">
        <v>636</v>
      </c>
    </row>
    <row r="847" spans="1:9" x14ac:dyDescent="0.35">
      <c r="A847" s="2" t="s">
        <v>622</v>
      </c>
      <c r="B847" s="2" t="s">
        <v>24</v>
      </c>
      <c r="C847" s="2" t="s">
        <v>646</v>
      </c>
      <c r="D847" s="2" t="s">
        <v>136</v>
      </c>
      <c r="E847" s="2" t="s">
        <v>107</v>
      </c>
      <c r="F847" s="2" t="s">
        <v>16</v>
      </c>
      <c r="G847" s="2" t="s">
        <v>524</v>
      </c>
      <c r="H847" s="2" t="s">
        <v>16</v>
      </c>
      <c r="I847" s="2" t="s">
        <v>636</v>
      </c>
    </row>
    <row r="848" spans="1:9" x14ac:dyDescent="0.35">
      <c r="A848" s="2" t="s">
        <v>622</v>
      </c>
      <c r="B848" s="2" t="s">
        <v>24</v>
      </c>
      <c r="C848" s="2" t="s">
        <v>646</v>
      </c>
      <c r="D848" s="2" t="s">
        <v>96</v>
      </c>
      <c r="E848" s="2" t="s">
        <v>83</v>
      </c>
      <c r="F848" s="2" t="s">
        <v>16</v>
      </c>
      <c r="G848" s="2" t="s">
        <v>524</v>
      </c>
      <c r="H848" s="2" t="s">
        <v>16</v>
      </c>
      <c r="I848" s="2" t="s">
        <v>636</v>
      </c>
    </row>
    <row r="849" spans="1:9" x14ac:dyDescent="0.35">
      <c r="A849" s="2" t="s">
        <v>622</v>
      </c>
      <c r="B849" s="2" t="s">
        <v>24</v>
      </c>
      <c r="C849" s="2" t="s">
        <v>646</v>
      </c>
      <c r="D849" s="2" t="s">
        <v>91</v>
      </c>
      <c r="E849" s="2" t="s">
        <v>19</v>
      </c>
      <c r="F849" s="2" t="s">
        <v>16</v>
      </c>
      <c r="G849" s="2" t="s">
        <v>524</v>
      </c>
      <c r="H849" s="2" t="s">
        <v>16</v>
      </c>
      <c r="I849" s="2" t="s">
        <v>636</v>
      </c>
    </row>
    <row r="850" spans="1:9" x14ac:dyDescent="0.35">
      <c r="A850" s="2" t="s">
        <v>622</v>
      </c>
      <c r="B850" s="2" t="s">
        <v>24</v>
      </c>
      <c r="C850" s="2" t="s">
        <v>647</v>
      </c>
      <c r="D850" s="2" t="s">
        <v>14</v>
      </c>
      <c r="E850" s="2" t="s">
        <v>15</v>
      </c>
      <c r="F850" s="2"/>
      <c r="G850" s="2"/>
      <c r="H850" s="2" t="s">
        <v>16</v>
      </c>
      <c r="I850" s="2" t="s">
        <v>624</v>
      </c>
    </row>
    <row r="851" spans="1:9" x14ac:dyDescent="0.35">
      <c r="A851" s="2" t="s">
        <v>622</v>
      </c>
      <c r="B851" s="2" t="s">
        <v>24</v>
      </c>
      <c r="C851" s="2" t="s">
        <v>647</v>
      </c>
      <c r="D851" s="2" t="s">
        <v>31</v>
      </c>
      <c r="E851" s="2" t="s">
        <v>32</v>
      </c>
      <c r="F851" s="2"/>
      <c r="G851" s="2"/>
      <c r="H851" s="2" t="s">
        <v>16</v>
      </c>
      <c r="I851" s="2" t="s">
        <v>624</v>
      </c>
    </row>
    <row r="852" spans="1:9" x14ac:dyDescent="0.35">
      <c r="A852" s="2" t="s">
        <v>622</v>
      </c>
      <c r="B852" s="2" t="s">
        <v>24</v>
      </c>
      <c r="C852" s="2" t="s">
        <v>647</v>
      </c>
      <c r="D852" s="2" t="s">
        <v>648</v>
      </c>
      <c r="E852" s="2" t="s">
        <v>125</v>
      </c>
      <c r="F852" s="2"/>
      <c r="G852" s="2"/>
      <c r="H852" s="2" t="s">
        <v>16</v>
      </c>
      <c r="I852" s="2" t="s">
        <v>624</v>
      </c>
    </row>
    <row r="853" spans="1:9" x14ac:dyDescent="0.35">
      <c r="A853" s="2" t="s">
        <v>622</v>
      </c>
      <c r="B853" s="2" t="s">
        <v>24</v>
      </c>
      <c r="C853" s="2" t="s">
        <v>647</v>
      </c>
      <c r="D853" s="2" t="s">
        <v>649</v>
      </c>
      <c r="E853" s="2" t="s">
        <v>363</v>
      </c>
      <c r="F853" s="2"/>
      <c r="G853" s="2"/>
      <c r="H853" s="2" t="s">
        <v>16</v>
      </c>
      <c r="I853" s="2" t="s">
        <v>624</v>
      </c>
    </row>
    <row r="854" spans="1:9" x14ac:dyDescent="0.35">
      <c r="A854" s="2" t="s">
        <v>622</v>
      </c>
      <c r="B854" s="2" t="s">
        <v>24</v>
      </c>
      <c r="C854" s="2" t="s">
        <v>647</v>
      </c>
      <c r="D854" s="2" t="s">
        <v>91</v>
      </c>
      <c r="E854" s="2" t="s">
        <v>19</v>
      </c>
      <c r="F854" s="2" t="s">
        <v>16</v>
      </c>
      <c r="G854" s="2" t="s">
        <v>650</v>
      </c>
      <c r="H854" s="2" t="s">
        <v>16</v>
      </c>
      <c r="I854" s="2" t="s">
        <v>624</v>
      </c>
    </row>
    <row r="855" spans="1:9" x14ac:dyDescent="0.35">
      <c r="A855" s="2" t="s">
        <v>622</v>
      </c>
      <c r="B855" s="2" t="s">
        <v>24</v>
      </c>
      <c r="C855" s="2" t="s">
        <v>647</v>
      </c>
      <c r="D855" s="2" t="s">
        <v>651</v>
      </c>
      <c r="E855" s="2" t="s">
        <v>40</v>
      </c>
      <c r="F855" s="2" t="s">
        <v>46</v>
      </c>
      <c r="G855" s="2" t="s">
        <v>451</v>
      </c>
      <c r="H855" s="2" t="s">
        <v>16</v>
      </c>
      <c r="I855" s="2" t="s">
        <v>624</v>
      </c>
    </row>
    <row r="856" spans="1:9" x14ac:dyDescent="0.35">
      <c r="A856" s="2" t="s">
        <v>622</v>
      </c>
      <c r="B856" s="2" t="s">
        <v>24</v>
      </c>
      <c r="C856" s="2" t="s">
        <v>647</v>
      </c>
      <c r="D856" s="2" t="s">
        <v>64</v>
      </c>
      <c r="E856" s="2" t="s">
        <v>65</v>
      </c>
      <c r="F856" s="2"/>
      <c r="G856" s="2"/>
      <c r="H856" s="2" t="s">
        <v>16</v>
      </c>
      <c r="I856" s="2" t="s">
        <v>624</v>
      </c>
    </row>
    <row r="857" spans="1:9" x14ac:dyDescent="0.35">
      <c r="A857" s="2" t="s">
        <v>622</v>
      </c>
      <c r="B857" s="2" t="s">
        <v>24</v>
      </c>
      <c r="C857" s="2" t="s">
        <v>647</v>
      </c>
      <c r="D857" s="2" t="s">
        <v>89</v>
      </c>
      <c r="E857" s="2" t="s">
        <v>45</v>
      </c>
      <c r="F857" s="2" t="s">
        <v>16</v>
      </c>
      <c r="G857" s="2" t="s">
        <v>652</v>
      </c>
      <c r="H857" s="2" t="s">
        <v>16</v>
      </c>
      <c r="I857" s="2" t="s">
        <v>624</v>
      </c>
    </row>
    <row r="858" spans="1:9" x14ac:dyDescent="0.35">
      <c r="A858" s="2" t="s">
        <v>622</v>
      </c>
      <c r="B858" s="2" t="s">
        <v>24</v>
      </c>
      <c r="C858" s="2" t="s">
        <v>647</v>
      </c>
      <c r="D858" s="2" t="s">
        <v>100</v>
      </c>
      <c r="E858" s="2" t="s">
        <v>101</v>
      </c>
      <c r="F858" s="2"/>
      <c r="G858" s="2"/>
      <c r="H858" s="2" t="s">
        <v>16</v>
      </c>
      <c r="I858" s="2" t="s">
        <v>624</v>
      </c>
    </row>
    <row r="859" spans="1:9" x14ac:dyDescent="0.35">
      <c r="A859" s="2" t="s">
        <v>622</v>
      </c>
      <c r="B859" s="2" t="s">
        <v>24</v>
      </c>
      <c r="C859" s="2" t="s">
        <v>647</v>
      </c>
      <c r="D859" s="2" t="s">
        <v>149</v>
      </c>
      <c r="E859" s="2" t="s">
        <v>150</v>
      </c>
      <c r="F859" s="2" t="s">
        <v>16</v>
      </c>
      <c r="G859" s="2" t="s">
        <v>653</v>
      </c>
      <c r="H859" s="2" t="s">
        <v>16</v>
      </c>
      <c r="I859" s="2" t="s">
        <v>624</v>
      </c>
    </row>
    <row r="860" spans="1:9" x14ac:dyDescent="0.35">
      <c r="A860" s="2" t="s">
        <v>622</v>
      </c>
      <c r="B860" s="2" t="s">
        <v>24</v>
      </c>
      <c r="C860" s="2" t="s">
        <v>647</v>
      </c>
      <c r="D860" s="2" t="s">
        <v>654</v>
      </c>
      <c r="E860" s="2" t="s">
        <v>45</v>
      </c>
      <c r="F860" s="2" t="s">
        <v>46</v>
      </c>
      <c r="G860" s="2" t="s">
        <v>451</v>
      </c>
      <c r="H860" s="2" t="s">
        <v>16</v>
      </c>
      <c r="I860" s="2" t="s">
        <v>624</v>
      </c>
    </row>
    <row r="861" spans="1:9" x14ac:dyDescent="0.35">
      <c r="A861" s="2" t="s">
        <v>622</v>
      </c>
      <c r="B861" s="2" t="s">
        <v>436</v>
      </c>
      <c r="C861" s="2" t="s">
        <v>655</v>
      </c>
      <c r="D861" s="2" t="s">
        <v>14</v>
      </c>
      <c r="E861" s="2" t="s">
        <v>15</v>
      </c>
      <c r="F861" s="2"/>
      <c r="G861" s="2"/>
      <c r="H861" s="2" t="s">
        <v>16</v>
      </c>
      <c r="I861" s="2" t="s">
        <v>636</v>
      </c>
    </row>
    <row r="862" spans="1:9" x14ac:dyDescent="0.35">
      <c r="A862" s="2" t="s">
        <v>622</v>
      </c>
      <c r="B862" s="2" t="s">
        <v>436</v>
      </c>
      <c r="C862" s="2" t="s">
        <v>655</v>
      </c>
      <c r="D862" s="2" t="s">
        <v>193</v>
      </c>
      <c r="E862" s="2" t="s">
        <v>40</v>
      </c>
      <c r="F862" s="2"/>
      <c r="G862" s="2"/>
      <c r="H862" s="2" t="s">
        <v>16</v>
      </c>
      <c r="I862" s="2" t="s">
        <v>636</v>
      </c>
    </row>
    <row r="863" spans="1:9" x14ac:dyDescent="0.35">
      <c r="A863" s="2" t="s">
        <v>622</v>
      </c>
      <c r="B863" s="2" t="s">
        <v>62</v>
      </c>
      <c r="C863" s="2" t="s">
        <v>656</v>
      </c>
      <c r="D863" s="2" t="s">
        <v>116</v>
      </c>
      <c r="E863" s="2" t="s">
        <v>30</v>
      </c>
      <c r="F863" s="2"/>
      <c r="G863" s="2"/>
      <c r="H863" s="2"/>
      <c r="I863" s="2"/>
    </row>
    <row r="864" spans="1:9" x14ac:dyDescent="0.35">
      <c r="A864" s="2" t="s">
        <v>622</v>
      </c>
      <c r="B864" s="2" t="s">
        <v>62</v>
      </c>
      <c r="C864" s="2" t="s">
        <v>657</v>
      </c>
      <c r="D864" s="2" t="s">
        <v>106</v>
      </c>
      <c r="E864" s="2" t="s">
        <v>107</v>
      </c>
      <c r="F864" s="2"/>
      <c r="G864" s="2"/>
      <c r="H864" s="2"/>
      <c r="I864" s="2"/>
    </row>
    <row r="865" spans="1:9" x14ac:dyDescent="0.35">
      <c r="A865" s="2" t="s">
        <v>658</v>
      </c>
      <c r="B865" s="2" t="s">
        <v>62</v>
      </c>
      <c r="C865" s="2" t="s">
        <v>659</v>
      </c>
      <c r="D865" s="2" t="s">
        <v>613</v>
      </c>
      <c r="E865" s="2" t="s">
        <v>125</v>
      </c>
      <c r="F865" s="2"/>
      <c r="G865" s="2"/>
      <c r="H865" s="2"/>
      <c r="I865" s="2"/>
    </row>
    <row r="866" spans="1:9" x14ac:dyDescent="0.35">
      <c r="A866" s="2" t="s">
        <v>658</v>
      </c>
      <c r="B866" s="2" t="s">
        <v>62</v>
      </c>
      <c r="C866" s="2" t="s">
        <v>659</v>
      </c>
      <c r="D866" s="2" t="s">
        <v>660</v>
      </c>
      <c r="E866" s="2" t="s">
        <v>75</v>
      </c>
      <c r="F866" s="2" t="s">
        <v>16</v>
      </c>
      <c r="G866" s="2" t="s">
        <v>661</v>
      </c>
      <c r="H866" s="2"/>
      <c r="I866" s="2"/>
    </row>
    <row r="867" spans="1:9" x14ac:dyDescent="0.35">
      <c r="A867" s="2" t="s">
        <v>658</v>
      </c>
      <c r="B867" s="2" t="s">
        <v>62</v>
      </c>
      <c r="C867" s="2" t="s">
        <v>659</v>
      </c>
      <c r="D867" s="2" t="s">
        <v>662</v>
      </c>
      <c r="E867" s="2" t="s">
        <v>663</v>
      </c>
      <c r="F867" s="2"/>
      <c r="G867" s="2"/>
      <c r="H867" s="2"/>
      <c r="I867" s="2"/>
    </row>
    <row r="868" spans="1:9" x14ac:dyDescent="0.35">
      <c r="A868" s="2" t="s">
        <v>658</v>
      </c>
      <c r="B868" s="2" t="s">
        <v>62</v>
      </c>
      <c r="C868" s="2" t="s">
        <v>659</v>
      </c>
      <c r="D868" s="2" t="s">
        <v>106</v>
      </c>
      <c r="E868" s="2" t="s">
        <v>107</v>
      </c>
      <c r="F868" s="2"/>
      <c r="G868" s="2"/>
      <c r="H868" s="2"/>
      <c r="I868" s="2"/>
    </row>
    <row r="869" spans="1:9" x14ac:dyDescent="0.35">
      <c r="A869" s="2" t="s">
        <v>658</v>
      </c>
      <c r="B869" s="2" t="s">
        <v>24</v>
      </c>
      <c r="C869" s="2" t="s">
        <v>664</v>
      </c>
      <c r="D869" s="2" t="s">
        <v>27</v>
      </c>
      <c r="E869" s="2" t="s">
        <v>28</v>
      </c>
      <c r="F869" s="2"/>
      <c r="G869" s="2"/>
      <c r="H869" s="2" t="s">
        <v>16</v>
      </c>
      <c r="I869" s="2" t="s">
        <v>665</v>
      </c>
    </row>
    <row r="870" spans="1:9" x14ac:dyDescent="0.35">
      <c r="A870" s="2" t="s">
        <v>658</v>
      </c>
      <c r="B870" s="2" t="s">
        <v>24</v>
      </c>
      <c r="C870" s="2" t="s">
        <v>664</v>
      </c>
      <c r="D870" s="2" t="s">
        <v>155</v>
      </c>
      <c r="E870" s="2" t="s">
        <v>32</v>
      </c>
      <c r="F870" s="2"/>
      <c r="G870" s="2"/>
      <c r="H870" s="2" t="s">
        <v>16</v>
      </c>
      <c r="I870" s="2" t="s">
        <v>665</v>
      </c>
    </row>
    <row r="871" spans="1:9" x14ac:dyDescent="0.35">
      <c r="A871" s="2" t="s">
        <v>658</v>
      </c>
      <c r="B871" s="2" t="s">
        <v>24</v>
      </c>
      <c r="C871" s="2" t="s">
        <v>664</v>
      </c>
      <c r="D871" s="2" t="s">
        <v>213</v>
      </c>
      <c r="E871" s="2" t="s">
        <v>45</v>
      </c>
      <c r="F871" s="2"/>
      <c r="G871" s="2"/>
      <c r="H871" s="2" t="s">
        <v>16</v>
      </c>
      <c r="I871" s="2" t="s">
        <v>665</v>
      </c>
    </row>
    <row r="872" spans="1:9" x14ac:dyDescent="0.35">
      <c r="A872" s="2" t="s">
        <v>658</v>
      </c>
      <c r="B872" s="2" t="s">
        <v>24</v>
      </c>
      <c r="C872" s="2" t="s">
        <v>664</v>
      </c>
      <c r="D872" s="2" t="s">
        <v>89</v>
      </c>
      <c r="E872" s="2" t="s">
        <v>45</v>
      </c>
      <c r="F872" s="2" t="s">
        <v>16</v>
      </c>
      <c r="G872" s="2" t="s">
        <v>216</v>
      </c>
      <c r="H872" s="2" t="s">
        <v>16</v>
      </c>
      <c r="I872" s="2" t="s">
        <v>665</v>
      </c>
    </row>
    <row r="873" spans="1:9" x14ac:dyDescent="0.35">
      <c r="A873" s="2" t="s">
        <v>658</v>
      </c>
      <c r="B873" s="2" t="s">
        <v>24</v>
      </c>
      <c r="C873" s="2" t="s">
        <v>664</v>
      </c>
      <c r="D873" s="2" t="s">
        <v>100</v>
      </c>
      <c r="E873" s="2" t="s">
        <v>101</v>
      </c>
      <c r="F873" s="2"/>
      <c r="G873" s="2"/>
      <c r="H873" s="2"/>
      <c r="I873" s="2"/>
    </row>
    <row r="874" spans="1:9" x14ac:dyDescent="0.35">
      <c r="A874" s="2" t="s">
        <v>658</v>
      </c>
      <c r="B874" s="2" t="s">
        <v>54</v>
      </c>
      <c r="C874" s="2" t="s">
        <v>666</v>
      </c>
      <c r="D874" s="2" t="s">
        <v>61</v>
      </c>
      <c r="E874" s="2" t="s">
        <v>30</v>
      </c>
      <c r="F874" s="2"/>
      <c r="G874" s="2"/>
      <c r="H874" s="2"/>
      <c r="I874" s="2"/>
    </row>
    <row r="875" spans="1:9" x14ac:dyDescent="0.35">
      <c r="A875" s="2" t="s">
        <v>658</v>
      </c>
      <c r="B875" s="2" t="s">
        <v>62</v>
      </c>
      <c r="C875" s="2" t="s">
        <v>667</v>
      </c>
      <c r="D875" s="2" t="s">
        <v>87</v>
      </c>
      <c r="E875" s="2" t="s">
        <v>75</v>
      </c>
      <c r="F875" s="2" t="s">
        <v>16</v>
      </c>
      <c r="G875" s="2" t="s">
        <v>668</v>
      </c>
      <c r="H875" s="2"/>
      <c r="I875" s="2"/>
    </row>
    <row r="876" spans="1:9" x14ac:dyDescent="0.35">
      <c r="A876" s="2" t="s">
        <v>658</v>
      </c>
      <c r="B876" s="2" t="s">
        <v>62</v>
      </c>
      <c r="C876" s="2" t="s">
        <v>667</v>
      </c>
      <c r="D876" s="2" t="s">
        <v>352</v>
      </c>
      <c r="E876" s="2" t="s">
        <v>107</v>
      </c>
      <c r="F876" s="2"/>
      <c r="G876" s="2"/>
      <c r="H876" s="2"/>
      <c r="I876" s="2"/>
    </row>
    <row r="877" spans="1:9" x14ac:dyDescent="0.35">
      <c r="A877" s="2" t="s">
        <v>658</v>
      </c>
      <c r="B877" s="2" t="s">
        <v>62</v>
      </c>
      <c r="C877" s="2" t="s">
        <v>669</v>
      </c>
      <c r="D877" s="2" t="s">
        <v>27</v>
      </c>
      <c r="E877" s="2" t="s">
        <v>28</v>
      </c>
      <c r="F877" s="2"/>
      <c r="G877" s="2"/>
      <c r="H877" s="2"/>
      <c r="I877" s="2"/>
    </row>
    <row r="878" spans="1:9" x14ac:dyDescent="0.35">
      <c r="A878" s="2" t="s">
        <v>658</v>
      </c>
      <c r="B878" s="2" t="s">
        <v>62</v>
      </c>
      <c r="C878" s="2" t="s">
        <v>669</v>
      </c>
      <c r="D878" s="2" t="s">
        <v>31</v>
      </c>
      <c r="E878" s="2" t="s">
        <v>32</v>
      </c>
      <c r="F878" s="2"/>
      <c r="G878" s="2"/>
      <c r="H878" s="2"/>
      <c r="I878" s="2"/>
    </row>
    <row r="879" spans="1:9" x14ac:dyDescent="0.35">
      <c r="A879" s="2" t="s">
        <v>670</v>
      </c>
      <c r="B879" s="2" t="s">
        <v>62</v>
      </c>
      <c r="C879" s="2" t="s">
        <v>671</v>
      </c>
      <c r="D879" s="2" t="s">
        <v>14</v>
      </c>
      <c r="E879" s="2" t="s">
        <v>15</v>
      </c>
      <c r="F879" s="2"/>
      <c r="G879" s="2"/>
      <c r="H879" s="2" t="s">
        <v>20</v>
      </c>
      <c r="I879" s="2" t="s">
        <v>672</v>
      </c>
    </row>
    <row r="880" spans="1:9" x14ac:dyDescent="0.35">
      <c r="A880" s="2" t="s">
        <v>670</v>
      </c>
      <c r="B880" s="2" t="s">
        <v>62</v>
      </c>
      <c r="C880" s="2" t="s">
        <v>671</v>
      </c>
      <c r="D880" s="2" t="s">
        <v>91</v>
      </c>
      <c r="E880" s="2" t="s">
        <v>19</v>
      </c>
      <c r="F880" s="2" t="s">
        <v>20</v>
      </c>
      <c r="G880" s="2" t="s">
        <v>673</v>
      </c>
      <c r="H880" s="2" t="s">
        <v>20</v>
      </c>
      <c r="I880" s="2" t="s">
        <v>672</v>
      </c>
    </row>
    <row r="881" spans="1:9" x14ac:dyDescent="0.35">
      <c r="A881" s="2" t="s">
        <v>670</v>
      </c>
      <c r="B881" s="2" t="s">
        <v>62</v>
      </c>
      <c r="C881" s="2" t="s">
        <v>671</v>
      </c>
      <c r="D881" s="2" t="s">
        <v>61</v>
      </c>
      <c r="E881" s="2" t="s">
        <v>30</v>
      </c>
      <c r="F881" s="2"/>
      <c r="G881" s="2"/>
      <c r="H881" s="2" t="s">
        <v>20</v>
      </c>
      <c r="I881" s="2" t="s">
        <v>672</v>
      </c>
    </row>
    <row r="882" spans="1:9" x14ac:dyDescent="0.35">
      <c r="A882" s="2" t="s">
        <v>670</v>
      </c>
      <c r="B882" s="2" t="s">
        <v>24</v>
      </c>
      <c r="C882" s="2" t="s">
        <v>674</v>
      </c>
      <c r="D882" s="2" t="s">
        <v>74</v>
      </c>
      <c r="E882" s="2" t="s">
        <v>75</v>
      </c>
      <c r="F882" s="2" t="s">
        <v>46</v>
      </c>
      <c r="G882" s="2" t="s">
        <v>675</v>
      </c>
      <c r="H882" s="2"/>
      <c r="I882" s="2"/>
    </row>
    <row r="883" spans="1:9" x14ac:dyDescent="0.35">
      <c r="A883" s="2" t="s">
        <v>670</v>
      </c>
      <c r="B883" s="2" t="s">
        <v>24</v>
      </c>
      <c r="C883" s="2" t="s">
        <v>674</v>
      </c>
      <c r="D883" s="2" t="s">
        <v>96</v>
      </c>
      <c r="E883" s="2" t="s">
        <v>83</v>
      </c>
      <c r="F883" s="2" t="s">
        <v>46</v>
      </c>
      <c r="G883" s="2" t="s">
        <v>675</v>
      </c>
      <c r="H883" s="2"/>
      <c r="I883" s="2"/>
    </row>
    <row r="884" spans="1:9" x14ac:dyDescent="0.35">
      <c r="A884" s="2" t="s">
        <v>670</v>
      </c>
      <c r="B884" s="2" t="s">
        <v>24</v>
      </c>
      <c r="C884" s="2" t="s">
        <v>674</v>
      </c>
      <c r="D884" s="2" t="s">
        <v>38</v>
      </c>
      <c r="E884" s="2" t="s">
        <v>38</v>
      </c>
      <c r="F884" s="2" t="s">
        <v>46</v>
      </c>
      <c r="G884" s="2" t="s">
        <v>675</v>
      </c>
      <c r="H884" s="2"/>
      <c r="I884" s="2"/>
    </row>
    <row r="885" spans="1:9" x14ac:dyDescent="0.35">
      <c r="A885" s="2" t="s">
        <v>670</v>
      </c>
      <c r="B885" s="2" t="s">
        <v>54</v>
      </c>
      <c r="C885" s="2" t="s">
        <v>676</v>
      </c>
      <c r="D885" s="2" t="s">
        <v>14</v>
      </c>
      <c r="E885" s="2" t="s">
        <v>15</v>
      </c>
      <c r="F885" s="2"/>
      <c r="G885" s="2"/>
      <c r="H885" s="2" t="s">
        <v>16</v>
      </c>
      <c r="I885" s="2" t="s">
        <v>672</v>
      </c>
    </row>
    <row r="886" spans="1:9" x14ac:dyDescent="0.35">
      <c r="A886" s="2" t="s">
        <v>670</v>
      </c>
      <c r="B886" s="2" t="s">
        <v>54</v>
      </c>
      <c r="C886" s="2" t="s">
        <v>676</v>
      </c>
      <c r="D886" s="2" t="s">
        <v>74</v>
      </c>
      <c r="E886" s="2" t="s">
        <v>75</v>
      </c>
      <c r="F886" s="2" t="s">
        <v>16</v>
      </c>
      <c r="G886" s="2" t="s">
        <v>677</v>
      </c>
      <c r="H886" s="2" t="s">
        <v>16</v>
      </c>
      <c r="I886" s="2" t="s">
        <v>672</v>
      </c>
    </row>
    <row r="887" spans="1:9" x14ac:dyDescent="0.35">
      <c r="A887" s="2" t="s">
        <v>670</v>
      </c>
      <c r="B887" s="2" t="s">
        <v>54</v>
      </c>
      <c r="C887" s="2" t="s">
        <v>676</v>
      </c>
      <c r="D887" s="2" t="s">
        <v>393</v>
      </c>
      <c r="E887" s="2" t="s">
        <v>36</v>
      </c>
      <c r="F887" s="2" t="s">
        <v>16</v>
      </c>
      <c r="G887" s="2" t="s">
        <v>191</v>
      </c>
      <c r="H887" s="2" t="s">
        <v>16</v>
      </c>
      <c r="I887" s="2" t="s">
        <v>672</v>
      </c>
    </row>
    <row r="888" spans="1:9" x14ac:dyDescent="0.35">
      <c r="A888" s="2" t="s">
        <v>670</v>
      </c>
      <c r="B888" s="2" t="s">
        <v>54</v>
      </c>
      <c r="C888" s="2" t="s">
        <v>676</v>
      </c>
      <c r="D888" s="2" t="s">
        <v>176</v>
      </c>
      <c r="E888" s="2" t="s">
        <v>40</v>
      </c>
      <c r="F888" s="2"/>
      <c r="G888" s="2"/>
      <c r="H888" s="2" t="s">
        <v>16</v>
      </c>
      <c r="I888" s="2" t="s">
        <v>672</v>
      </c>
    </row>
    <row r="889" spans="1:9" x14ac:dyDescent="0.35">
      <c r="A889" s="2" t="s">
        <v>670</v>
      </c>
      <c r="B889" s="2" t="s">
        <v>54</v>
      </c>
      <c r="C889" s="2" t="s">
        <v>676</v>
      </c>
      <c r="D889" s="2" t="s">
        <v>33</v>
      </c>
      <c r="E889" s="2" t="s">
        <v>34</v>
      </c>
      <c r="F889" s="2" t="s">
        <v>16</v>
      </c>
      <c r="G889" s="2" t="s">
        <v>191</v>
      </c>
      <c r="H889" s="2" t="s">
        <v>16</v>
      </c>
      <c r="I889" s="2" t="s">
        <v>672</v>
      </c>
    </row>
    <row r="890" spans="1:9" x14ac:dyDescent="0.35">
      <c r="A890" s="2" t="s">
        <v>670</v>
      </c>
      <c r="B890" s="2" t="s">
        <v>57</v>
      </c>
      <c r="C890" s="2" t="s">
        <v>678</v>
      </c>
      <c r="D890" s="2" t="s">
        <v>74</v>
      </c>
      <c r="E890" s="2" t="s">
        <v>75</v>
      </c>
      <c r="F890" s="2" t="s">
        <v>16</v>
      </c>
      <c r="G890" s="2" t="s">
        <v>679</v>
      </c>
      <c r="H890" s="2" t="s">
        <v>16</v>
      </c>
      <c r="I890" s="2" t="s">
        <v>672</v>
      </c>
    </row>
    <row r="891" spans="1:9" x14ac:dyDescent="0.35">
      <c r="A891" s="2" t="s">
        <v>670</v>
      </c>
      <c r="B891" s="2" t="s">
        <v>57</v>
      </c>
      <c r="C891" s="2" t="s">
        <v>678</v>
      </c>
      <c r="D891" s="2" t="s">
        <v>59</v>
      </c>
      <c r="E891" s="2" t="s">
        <v>60</v>
      </c>
      <c r="F891" s="2"/>
      <c r="G891" s="2"/>
      <c r="H891" s="2" t="s">
        <v>16</v>
      </c>
      <c r="I891" s="2" t="s">
        <v>672</v>
      </c>
    </row>
    <row r="892" spans="1:9" x14ac:dyDescent="0.35">
      <c r="A892" s="2" t="s">
        <v>670</v>
      </c>
      <c r="B892" s="2" t="s">
        <v>57</v>
      </c>
      <c r="C892" s="2" t="s">
        <v>678</v>
      </c>
      <c r="D892" s="2" t="s">
        <v>188</v>
      </c>
      <c r="E892" s="2" t="s">
        <v>189</v>
      </c>
      <c r="F892" s="2" t="s">
        <v>16</v>
      </c>
      <c r="G892" s="2" t="s">
        <v>680</v>
      </c>
      <c r="H892" s="2" t="s">
        <v>16</v>
      </c>
      <c r="I892" s="2" t="s">
        <v>672</v>
      </c>
    </row>
    <row r="893" spans="1:9" x14ac:dyDescent="0.35">
      <c r="A893" s="2" t="s">
        <v>670</v>
      </c>
      <c r="B893" s="2" t="s">
        <v>57</v>
      </c>
      <c r="C893" s="2" t="s">
        <v>678</v>
      </c>
      <c r="D893" s="2" t="s">
        <v>112</v>
      </c>
      <c r="E893" s="2" t="s">
        <v>113</v>
      </c>
      <c r="F893" s="2" t="s">
        <v>16</v>
      </c>
      <c r="G893" s="2" t="s">
        <v>465</v>
      </c>
      <c r="H893" s="2" t="s">
        <v>16</v>
      </c>
      <c r="I893" s="2" t="s">
        <v>672</v>
      </c>
    </row>
    <row r="894" spans="1:9" x14ac:dyDescent="0.35">
      <c r="A894" s="2" t="s">
        <v>670</v>
      </c>
      <c r="B894" s="2" t="s">
        <v>54</v>
      </c>
      <c r="C894" s="2" t="s">
        <v>681</v>
      </c>
      <c r="D894" s="2" t="s">
        <v>91</v>
      </c>
      <c r="E894" s="2" t="s">
        <v>19</v>
      </c>
      <c r="F894" s="2" t="s">
        <v>16</v>
      </c>
      <c r="G894" s="2" t="s">
        <v>524</v>
      </c>
      <c r="H894" s="2"/>
      <c r="I894" s="2"/>
    </row>
    <row r="895" spans="1:9" x14ac:dyDescent="0.35">
      <c r="A895" s="2" t="s">
        <v>670</v>
      </c>
      <c r="B895" s="2" t="s">
        <v>12</v>
      </c>
      <c r="C895" s="2" t="s">
        <v>682</v>
      </c>
      <c r="D895" s="2" t="s">
        <v>14</v>
      </c>
      <c r="E895" s="2" t="s">
        <v>15</v>
      </c>
      <c r="F895" s="2"/>
      <c r="G895" s="2"/>
      <c r="H895" s="2" t="s">
        <v>16</v>
      </c>
      <c r="I895" s="2" t="s">
        <v>672</v>
      </c>
    </row>
    <row r="896" spans="1:9" x14ac:dyDescent="0.35">
      <c r="A896" s="2" t="s">
        <v>670</v>
      </c>
      <c r="B896" s="2" t="s">
        <v>12</v>
      </c>
      <c r="C896" s="2" t="s">
        <v>682</v>
      </c>
      <c r="D896" s="2" t="s">
        <v>91</v>
      </c>
      <c r="E896" s="2" t="s">
        <v>19</v>
      </c>
      <c r="F896" s="2"/>
      <c r="G896" s="2"/>
      <c r="H896" s="2" t="s">
        <v>16</v>
      </c>
      <c r="I896" s="2" t="s">
        <v>672</v>
      </c>
    </row>
    <row r="897" spans="1:9" x14ac:dyDescent="0.35">
      <c r="A897" s="2" t="s">
        <v>670</v>
      </c>
      <c r="B897" s="2" t="s">
        <v>12</v>
      </c>
      <c r="C897" s="2" t="s">
        <v>682</v>
      </c>
      <c r="D897" s="2" t="s">
        <v>188</v>
      </c>
      <c r="E897" s="2" t="s">
        <v>189</v>
      </c>
      <c r="F897" s="2"/>
      <c r="G897" s="2"/>
      <c r="H897" s="2" t="s">
        <v>16</v>
      </c>
      <c r="I897" s="2" t="s">
        <v>672</v>
      </c>
    </row>
    <row r="898" spans="1:9" x14ac:dyDescent="0.35">
      <c r="A898" s="2" t="s">
        <v>670</v>
      </c>
      <c r="B898" s="2" t="s">
        <v>24</v>
      </c>
      <c r="C898" s="2" t="s">
        <v>683</v>
      </c>
      <c r="D898" s="2" t="s">
        <v>31</v>
      </c>
      <c r="E898" s="2" t="s">
        <v>32</v>
      </c>
      <c r="F898" s="2"/>
      <c r="G898" s="2"/>
      <c r="H898" s="2" t="s">
        <v>16</v>
      </c>
      <c r="I898" s="2" t="s">
        <v>672</v>
      </c>
    </row>
    <row r="899" spans="1:9" x14ac:dyDescent="0.35">
      <c r="A899" s="2" t="s">
        <v>670</v>
      </c>
      <c r="B899" s="2" t="s">
        <v>24</v>
      </c>
      <c r="C899" s="2" t="s">
        <v>683</v>
      </c>
      <c r="D899" s="2" t="s">
        <v>121</v>
      </c>
      <c r="E899" s="2" t="s">
        <v>122</v>
      </c>
      <c r="F899" s="2"/>
      <c r="G899" s="2"/>
      <c r="H899" s="2" t="s">
        <v>16</v>
      </c>
      <c r="I899" s="2" t="s">
        <v>672</v>
      </c>
    </row>
    <row r="900" spans="1:9" x14ac:dyDescent="0.35">
      <c r="A900" s="2" t="s">
        <v>670</v>
      </c>
      <c r="B900" s="2" t="s">
        <v>24</v>
      </c>
      <c r="C900" s="2" t="s">
        <v>683</v>
      </c>
      <c r="D900" s="2" t="s">
        <v>91</v>
      </c>
      <c r="E900" s="2" t="s">
        <v>19</v>
      </c>
      <c r="F900" s="2" t="s">
        <v>16</v>
      </c>
      <c r="G900" s="2" t="s">
        <v>684</v>
      </c>
      <c r="H900" s="2" t="s">
        <v>16</v>
      </c>
      <c r="I900" s="2" t="s">
        <v>672</v>
      </c>
    </row>
    <row r="901" spans="1:9" x14ac:dyDescent="0.35">
      <c r="A901" s="2" t="s">
        <v>670</v>
      </c>
      <c r="B901" s="2" t="s">
        <v>24</v>
      </c>
      <c r="C901" s="2" t="s">
        <v>683</v>
      </c>
      <c r="D901" s="2" t="s">
        <v>61</v>
      </c>
      <c r="E901" s="2" t="s">
        <v>30</v>
      </c>
      <c r="F901" s="2"/>
      <c r="G901" s="2"/>
      <c r="H901" s="2" t="s">
        <v>16</v>
      </c>
      <c r="I901" s="2" t="s">
        <v>672</v>
      </c>
    </row>
    <row r="902" spans="1:9" x14ac:dyDescent="0.35">
      <c r="A902" s="2" t="s">
        <v>670</v>
      </c>
      <c r="B902" s="2" t="s">
        <v>24</v>
      </c>
      <c r="C902" s="2" t="s">
        <v>683</v>
      </c>
      <c r="D902" s="2" t="s">
        <v>188</v>
      </c>
      <c r="E902" s="2" t="s">
        <v>189</v>
      </c>
      <c r="F902" s="2" t="s">
        <v>16</v>
      </c>
      <c r="G902" s="2"/>
      <c r="H902" s="2" t="s">
        <v>16</v>
      </c>
      <c r="I902" s="2" t="s">
        <v>672</v>
      </c>
    </row>
    <row r="903" spans="1:9" x14ac:dyDescent="0.35">
      <c r="A903" s="2" t="s">
        <v>670</v>
      </c>
      <c r="B903" s="2" t="s">
        <v>62</v>
      </c>
      <c r="C903" s="2" t="s">
        <v>685</v>
      </c>
      <c r="D903" s="2" t="s">
        <v>74</v>
      </c>
      <c r="E903" s="2" t="s">
        <v>75</v>
      </c>
      <c r="F903" s="2" t="s">
        <v>16</v>
      </c>
      <c r="G903" s="2" t="s">
        <v>686</v>
      </c>
      <c r="H903" s="2" t="s">
        <v>16</v>
      </c>
      <c r="I903" s="2" t="s">
        <v>672</v>
      </c>
    </row>
    <row r="904" spans="1:9" x14ac:dyDescent="0.35">
      <c r="A904" s="2" t="s">
        <v>670</v>
      </c>
      <c r="B904" s="2" t="s">
        <v>62</v>
      </c>
      <c r="C904" s="2" t="s">
        <v>685</v>
      </c>
      <c r="D904" s="2" t="s">
        <v>18</v>
      </c>
      <c r="E904" s="2" t="s">
        <v>19</v>
      </c>
      <c r="F904" s="2" t="s">
        <v>16</v>
      </c>
      <c r="G904" s="2" t="s">
        <v>686</v>
      </c>
      <c r="H904" s="2" t="s">
        <v>16</v>
      </c>
      <c r="I904" s="2" t="s">
        <v>672</v>
      </c>
    </row>
    <row r="905" spans="1:9" x14ac:dyDescent="0.35">
      <c r="A905" s="2" t="s">
        <v>670</v>
      </c>
      <c r="B905" s="2" t="s">
        <v>62</v>
      </c>
      <c r="C905" s="2" t="s">
        <v>685</v>
      </c>
      <c r="D905" s="2" t="s">
        <v>61</v>
      </c>
      <c r="E905" s="2" t="s">
        <v>30</v>
      </c>
      <c r="F905" s="2"/>
      <c r="G905" s="2"/>
      <c r="H905" s="2" t="s">
        <v>16</v>
      </c>
      <c r="I905" s="2" t="s">
        <v>672</v>
      </c>
    </row>
    <row r="906" spans="1:9" x14ac:dyDescent="0.35">
      <c r="A906" s="2" t="s">
        <v>670</v>
      </c>
      <c r="B906" s="2" t="s">
        <v>62</v>
      </c>
      <c r="C906" s="2" t="s">
        <v>685</v>
      </c>
      <c r="D906" s="2" t="s">
        <v>423</v>
      </c>
      <c r="E906" s="2" t="s">
        <v>424</v>
      </c>
      <c r="F906" s="2"/>
      <c r="G906" s="2"/>
      <c r="H906" s="2" t="s">
        <v>16</v>
      </c>
      <c r="I906" s="2" t="s">
        <v>672</v>
      </c>
    </row>
    <row r="907" spans="1:9" x14ac:dyDescent="0.35">
      <c r="A907" s="2" t="s">
        <v>670</v>
      </c>
      <c r="B907" s="2" t="s">
        <v>62</v>
      </c>
      <c r="C907" s="2" t="s">
        <v>685</v>
      </c>
      <c r="D907" s="2" t="s">
        <v>127</v>
      </c>
      <c r="E907" s="2" t="s">
        <v>107</v>
      </c>
      <c r="F907" s="2"/>
      <c r="G907" s="2"/>
      <c r="H907" s="2" t="s">
        <v>16</v>
      </c>
      <c r="I907" s="2" t="s">
        <v>672</v>
      </c>
    </row>
    <row r="908" spans="1:9" x14ac:dyDescent="0.35">
      <c r="A908" s="2" t="s">
        <v>670</v>
      </c>
      <c r="B908" s="2" t="s">
        <v>62</v>
      </c>
      <c r="C908" s="2" t="s">
        <v>687</v>
      </c>
      <c r="D908" s="2" t="s">
        <v>106</v>
      </c>
      <c r="E908" s="2" t="s">
        <v>107</v>
      </c>
      <c r="F908" s="2"/>
      <c r="G908" s="2"/>
      <c r="H908" s="2"/>
      <c r="I908" s="2"/>
    </row>
    <row r="909" spans="1:9" x14ac:dyDescent="0.35">
      <c r="A909" s="2" t="s">
        <v>670</v>
      </c>
      <c r="B909" s="2" t="s">
        <v>62</v>
      </c>
      <c r="C909" s="2" t="s">
        <v>688</v>
      </c>
      <c r="D909" s="2" t="s">
        <v>18</v>
      </c>
      <c r="E909" s="2" t="s">
        <v>19</v>
      </c>
      <c r="F909" s="2" t="s">
        <v>16</v>
      </c>
      <c r="G909" s="2" t="s">
        <v>689</v>
      </c>
      <c r="H909" s="2" t="s">
        <v>16</v>
      </c>
      <c r="I909" s="2" t="s">
        <v>690</v>
      </c>
    </row>
    <row r="910" spans="1:9" x14ac:dyDescent="0.35">
      <c r="A910" s="2" t="s">
        <v>670</v>
      </c>
      <c r="B910" s="2" t="s">
        <v>62</v>
      </c>
      <c r="C910" s="2" t="s">
        <v>688</v>
      </c>
      <c r="D910" s="2" t="s">
        <v>691</v>
      </c>
      <c r="E910" s="2" t="s">
        <v>45</v>
      </c>
      <c r="F910" s="2" t="s">
        <v>16</v>
      </c>
      <c r="G910" s="2" t="s">
        <v>692</v>
      </c>
      <c r="H910" s="2" t="s">
        <v>16</v>
      </c>
      <c r="I910" s="2" t="s">
        <v>672</v>
      </c>
    </row>
    <row r="911" spans="1:9" x14ac:dyDescent="0.35">
      <c r="A911" s="2" t="s">
        <v>670</v>
      </c>
      <c r="B911" s="2" t="s">
        <v>62</v>
      </c>
      <c r="C911" s="2" t="s">
        <v>688</v>
      </c>
      <c r="D911" s="2" t="s">
        <v>61</v>
      </c>
      <c r="E911" s="2" t="s">
        <v>30</v>
      </c>
      <c r="F911" s="2"/>
      <c r="G911" s="2"/>
      <c r="H911" s="2" t="s">
        <v>16</v>
      </c>
      <c r="I911" s="2" t="s">
        <v>672</v>
      </c>
    </row>
    <row r="912" spans="1:9" x14ac:dyDescent="0.35">
      <c r="A912" s="2" t="s">
        <v>670</v>
      </c>
      <c r="B912" s="2" t="s">
        <v>62</v>
      </c>
      <c r="C912" s="2" t="s">
        <v>688</v>
      </c>
      <c r="D912" s="2" t="s">
        <v>423</v>
      </c>
      <c r="E912" s="2" t="s">
        <v>424</v>
      </c>
      <c r="F912" s="2"/>
      <c r="G912" s="2"/>
      <c r="H912" s="2" t="s">
        <v>16</v>
      </c>
      <c r="I912" s="2" t="s">
        <v>690</v>
      </c>
    </row>
    <row r="913" spans="1:9" x14ac:dyDescent="0.35">
      <c r="A913" s="2" t="s">
        <v>693</v>
      </c>
      <c r="B913" s="2" t="s">
        <v>54</v>
      </c>
      <c r="C913" s="2" t="s">
        <v>694</v>
      </c>
      <c r="D913" s="2" t="s">
        <v>27</v>
      </c>
      <c r="E913" s="2" t="s">
        <v>28</v>
      </c>
      <c r="F913" s="2"/>
      <c r="G913" s="2"/>
      <c r="H913" s="2" t="s">
        <v>16</v>
      </c>
      <c r="I913" s="2" t="s">
        <v>695</v>
      </c>
    </row>
    <row r="914" spans="1:9" x14ac:dyDescent="0.35">
      <c r="A914" s="2" t="s">
        <v>693</v>
      </c>
      <c r="B914" s="2" t="s">
        <v>54</v>
      </c>
      <c r="C914" s="2" t="s">
        <v>694</v>
      </c>
      <c r="D914" s="2" t="s">
        <v>120</v>
      </c>
      <c r="E914" s="2" t="s">
        <v>32</v>
      </c>
      <c r="F914" s="2"/>
      <c r="G914" s="2"/>
      <c r="H914" s="2" t="s">
        <v>16</v>
      </c>
      <c r="I914" s="2" t="s">
        <v>695</v>
      </c>
    </row>
    <row r="915" spans="1:9" x14ac:dyDescent="0.35">
      <c r="A915" s="2" t="s">
        <v>693</v>
      </c>
      <c r="B915" s="2" t="s">
        <v>54</v>
      </c>
      <c r="C915" s="2" t="s">
        <v>694</v>
      </c>
      <c r="D915" s="2" t="s">
        <v>393</v>
      </c>
      <c r="E915" s="2" t="s">
        <v>36</v>
      </c>
      <c r="F915" s="2"/>
      <c r="G915" s="2"/>
      <c r="H915" s="2" t="s">
        <v>16</v>
      </c>
      <c r="I915" s="2" t="s">
        <v>695</v>
      </c>
    </row>
    <row r="916" spans="1:9" x14ac:dyDescent="0.35">
      <c r="A916" s="2" t="s">
        <v>693</v>
      </c>
      <c r="B916" s="2" t="s">
        <v>54</v>
      </c>
      <c r="C916" s="2" t="s">
        <v>694</v>
      </c>
      <c r="D916" s="2" t="s">
        <v>156</v>
      </c>
      <c r="E916" s="2" t="s">
        <v>45</v>
      </c>
      <c r="F916" s="2" t="s">
        <v>16</v>
      </c>
      <c r="G916" s="2" t="s">
        <v>696</v>
      </c>
      <c r="H916" s="2" t="s">
        <v>16</v>
      </c>
      <c r="I916" s="2" t="s">
        <v>695</v>
      </c>
    </row>
    <row r="917" spans="1:9" x14ac:dyDescent="0.35">
      <c r="A917" s="2" t="s">
        <v>693</v>
      </c>
      <c r="B917" s="2" t="s">
        <v>57</v>
      </c>
      <c r="C917" s="2" t="s">
        <v>697</v>
      </c>
      <c r="D917" s="2" t="s">
        <v>27</v>
      </c>
      <c r="E917" s="2" t="s">
        <v>28</v>
      </c>
      <c r="F917" s="2"/>
      <c r="G917" s="2"/>
      <c r="H917" s="2" t="s">
        <v>16</v>
      </c>
      <c r="I917" s="2" t="s">
        <v>698</v>
      </c>
    </row>
    <row r="918" spans="1:9" x14ac:dyDescent="0.35">
      <c r="A918" s="2" t="s">
        <v>693</v>
      </c>
      <c r="B918" s="2" t="s">
        <v>57</v>
      </c>
      <c r="C918" s="2" t="s">
        <v>697</v>
      </c>
      <c r="D918" s="2" t="s">
        <v>31</v>
      </c>
      <c r="E918" s="2" t="s">
        <v>32</v>
      </c>
      <c r="F918" s="2"/>
      <c r="G918" s="2"/>
      <c r="H918" s="2" t="s">
        <v>16</v>
      </c>
      <c r="I918" s="2" t="s">
        <v>698</v>
      </c>
    </row>
    <row r="919" spans="1:9" x14ac:dyDescent="0.35">
      <c r="A919" s="2" t="s">
        <v>693</v>
      </c>
      <c r="B919" s="2" t="s">
        <v>57</v>
      </c>
      <c r="C919" s="2" t="s">
        <v>697</v>
      </c>
      <c r="D919" s="2" t="s">
        <v>211</v>
      </c>
      <c r="E919" s="2" t="s">
        <v>203</v>
      </c>
      <c r="F919" s="2"/>
      <c r="G919" s="2"/>
      <c r="H919" s="2" t="s">
        <v>16</v>
      </c>
      <c r="I919" s="2" t="s">
        <v>698</v>
      </c>
    </row>
    <row r="920" spans="1:9" x14ac:dyDescent="0.35">
      <c r="A920" s="2" t="s">
        <v>693</v>
      </c>
      <c r="B920" s="2" t="s">
        <v>57</v>
      </c>
      <c r="C920" s="2" t="s">
        <v>697</v>
      </c>
      <c r="D920" s="2" t="s">
        <v>59</v>
      </c>
      <c r="E920" s="2" t="s">
        <v>60</v>
      </c>
      <c r="F920" s="2"/>
      <c r="G920" s="2"/>
      <c r="H920" s="2" t="s">
        <v>16</v>
      </c>
      <c r="I920" s="2" t="s">
        <v>698</v>
      </c>
    </row>
    <row r="921" spans="1:9" x14ac:dyDescent="0.35">
      <c r="A921" s="2" t="s">
        <v>693</v>
      </c>
      <c r="B921" s="2" t="s">
        <v>57</v>
      </c>
      <c r="C921" s="2" t="s">
        <v>697</v>
      </c>
      <c r="D921" s="2" t="s">
        <v>291</v>
      </c>
      <c r="E921" s="2" t="s">
        <v>139</v>
      </c>
      <c r="F921" s="2"/>
      <c r="G921" s="2"/>
      <c r="H921" s="2" t="s">
        <v>16</v>
      </c>
      <c r="I921" s="2" t="s">
        <v>698</v>
      </c>
    </row>
    <row r="922" spans="1:9" x14ac:dyDescent="0.35">
      <c r="A922" s="2" t="s">
        <v>693</v>
      </c>
      <c r="B922" s="2" t="s">
        <v>57</v>
      </c>
      <c r="C922" s="2" t="s">
        <v>697</v>
      </c>
      <c r="D922" s="2" t="s">
        <v>699</v>
      </c>
      <c r="E922" s="2" t="s">
        <v>36</v>
      </c>
      <c r="F922" s="2"/>
      <c r="G922" s="2"/>
      <c r="H922" s="2" t="s">
        <v>16</v>
      </c>
      <c r="I922" s="2" t="s">
        <v>698</v>
      </c>
    </row>
    <row r="923" spans="1:9" x14ac:dyDescent="0.35">
      <c r="A923" s="2" t="s">
        <v>693</v>
      </c>
      <c r="B923" s="2" t="s">
        <v>57</v>
      </c>
      <c r="C923" s="2" t="s">
        <v>697</v>
      </c>
      <c r="D923" s="2" t="s">
        <v>156</v>
      </c>
      <c r="E923" s="2" t="s">
        <v>45</v>
      </c>
      <c r="F923" s="2" t="s">
        <v>16</v>
      </c>
      <c r="G923" s="2" t="s">
        <v>700</v>
      </c>
      <c r="H923" s="2" t="s">
        <v>16</v>
      </c>
      <c r="I923" s="2" t="s">
        <v>698</v>
      </c>
    </row>
    <row r="924" spans="1:9" x14ac:dyDescent="0.35">
      <c r="A924" s="2" t="s">
        <v>693</v>
      </c>
      <c r="B924" s="2" t="s">
        <v>57</v>
      </c>
      <c r="C924" s="2" t="s">
        <v>697</v>
      </c>
      <c r="D924" s="2" t="s">
        <v>188</v>
      </c>
      <c r="E924" s="2" t="s">
        <v>189</v>
      </c>
      <c r="F924" s="2" t="s">
        <v>16</v>
      </c>
      <c r="G924" s="2" t="s">
        <v>701</v>
      </c>
      <c r="H924" s="2" t="s">
        <v>16</v>
      </c>
      <c r="I924" s="2" t="s">
        <v>698</v>
      </c>
    </row>
    <row r="925" spans="1:9" x14ac:dyDescent="0.35">
      <c r="A925" s="2" t="s">
        <v>693</v>
      </c>
      <c r="B925" s="2" t="s">
        <v>57</v>
      </c>
      <c r="C925" s="2" t="s">
        <v>697</v>
      </c>
      <c r="D925" s="2" t="s">
        <v>149</v>
      </c>
      <c r="E925" s="2" t="s">
        <v>150</v>
      </c>
      <c r="F925" s="2" t="s">
        <v>16</v>
      </c>
      <c r="G925" s="2" t="s">
        <v>702</v>
      </c>
      <c r="H925" s="2" t="s">
        <v>16</v>
      </c>
      <c r="I925" s="2" t="s">
        <v>698</v>
      </c>
    </row>
    <row r="926" spans="1:9" x14ac:dyDescent="0.35">
      <c r="A926" s="2" t="s">
        <v>693</v>
      </c>
      <c r="B926" s="2" t="s">
        <v>62</v>
      </c>
      <c r="C926" s="2" t="s">
        <v>703</v>
      </c>
      <c r="D926" s="2" t="s">
        <v>352</v>
      </c>
      <c r="E926" s="2" t="s">
        <v>107</v>
      </c>
      <c r="F926" s="2"/>
      <c r="G926" s="2"/>
      <c r="H926" s="2"/>
      <c r="I926" s="2"/>
    </row>
    <row r="927" spans="1:9" x14ac:dyDescent="0.35">
      <c r="A927" s="2" t="s">
        <v>693</v>
      </c>
      <c r="B927" s="2" t="s">
        <v>62</v>
      </c>
      <c r="C927" s="2" t="s">
        <v>704</v>
      </c>
      <c r="D927" s="2" t="s">
        <v>705</v>
      </c>
      <c r="E927" s="2" t="s">
        <v>75</v>
      </c>
      <c r="F927" s="2"/>
      <c r="G927" s="2"/>
      <c r="H927" s="2"/>
      <c r="I927" s="2"/>
    </row>
    <row r="928" spans="1:9" x14ac:dyDescent="0.35">
      <c r="A928" s="2" t="s">
        <v>693</v>
      </c>
      <c r="B928" s="2" t="s">
        <v>62</v>
      </c>
      <c r="C928" s="2" t="s">
        <v>704</v>
      </c>
      <c r="D928" s="2" t="s">
        <v>87</v>
      </c>
      <c r="E928" s="2" t="s">
        <v>75</v>
      </c>
      <c r="F928" s="2" t="s">
        <v>16</v>
      </c>
      <c r="G928" s="2" t="s">
        <v>706</v>
      </c>
      <c r="H928" s="2"/>
      <c r="I928" s="2"/>
    </row>
    <row r="929" spans="1:9" x14ac:dyDescent="0.35">
      <c r="A929" s="2" t="s">
        <v>693</v>
      </c>
      <c r="B929" s="2" t="s">
        <v>24</v>
      </c>
      <c r="C929" s="2" t="s">
        <v>707</v>
      </c>
      <c r="D929" s="2" t="s">
        <v>121</v>
      </c>
      <c r="E929" s="2" t="s">
        <v>122</v>
      </c>
      <c r="F929" s="2" t="s">
        <v>16</v>
      </c>
      <c r="G929" s="2" t="s">
        <v>524</v>
      </c>
      <c r="H929" s="2" t="s">
        <v>16</v>
      </c>
      <c r="I929" s="2" t="s">
        <v>695</v>
      </c>
    </row>
    <row r="930" spans="1:9" x14ac:dyDescent="0.35">
      <c r="A930" s="2" t="s">
        <v>693</v>
      </c>
      <c r="B930" s="2" t="s">
        <v>24</v>
      </c>
      <c r="C930" s="2" t="s">
        <v>707</v>
      </c>
      <c r="D930" s="2" t="s">
        <v>708</v>
      </c>
      <c r="E930" s="2" t="s">
        <v>125</v>
      </c>
      <c r="F930" s="2" t="s">
        <v>16</v>
      </c>
      <c r="G930" s="2" t="s">
        <v>709</v>
      </c>
      <c r="H930" s="2" t="s">
        <v>16</v>
      </c>
      <c r="I930" s="2" t="s">
        <v>695</v>
      </c>
    </row>
    <row r="931" spans="1:9" x14ac:dyDescent="0.35">
      <c r="A931" s="2" t="s">
        <v>693</v>
      </c>
      <c r="B931" s="2" t="s">
        <v>24</v>
      </c>
      <c r="C931" s="2" t="s">
        <v>707</v>
      </c>
      <c r="D931" s="2" t="s">
        <v>699</v>
      </c>
      <c r="E931" s="2" t="s">
        <v>36</v>
      </c>
      <c r="F931" s="2" t="s">
        <v>16</v>
      </c>
      <c r="G931" s="2" t="s">
        <v>524</v>
      </c>
      <c r="H931" s="2" t="s">
        <v>16</v>
      </c>
      <c r="I931" s="2" t="s">
        <v>695</v>
      </c>
    </row>
    <row r="932" spans="1:9" x14ac:dyDescent="0.35">
      <c r="A932" s="2" t="s">
        <v>693</v>
      </c>
      <c r="B932" s="2" t="s">
        <v>24</v>
      </c>
      <c r="C932" s="2" t="s">
        <v>707</v>
      </c>
      <c r="D932" s="2" t="s">
        <v>18</v>
      </c>
      <c r="E932" s="2" t="s">
        <v>19</v>
      </c>
      <c r="F932" s="2" t="s">
        <v>16</v>
      </c>
      <c r="G932" s="2" t="s">
        <v>710</v>
      </c>
      <c r="H932" s="2" t="s">
        <v>16</v>
      </c>
      <c r="I932" s="2" t="s">
        <v>695</v>
      </c>
    </row>
    <row r="933" spans="1:9" x14ac:dyDescent="0.35">
      <c r="A933" s="2" t="s">
        <v>693</v>
      </c>
      <c r="B933" s="2" t="s">
        <v>24</v>
      </c>
      <c r="C933" s="2" t="s">
        <v>711</v>
      </c>
      <c r="D933" s="2" t="s">
        <v>14</v>
      </c>
      <c r="E933" s="2" t="s">
        <v>15</v>
      </c>
      <c r="F933" s="2"/>
      <c r="G933" s="2"/>
      <c r="H933" s="2" t="s">
        <v>16</v>
      </c>
      <c r="I933" s="2" t="s">
        <v>698</v>
      </c>
    </row>
    <row r="934" spans="1:9" x14ac:dyDescent="0.35">
      <c r="A934" s="2" t="s">
        <v>693</v>
      </c>
      <c r="B934" s="2" t="s">
        <v>24</v>
      </c>
      <c r="C934" s="2" t="s">
        <v>711</v>
      </c>
      <c r="D934" s="2" t="s">
        <v>27</v>
      </c>
      <c r="E934" s="2" t="s">
        <v>28</v>
      </c>
      <c r="F934" s="2"/>
      <c r="G934" s="2"/>
      <c r="H934" s="2" t="s">
        <v>16</v>
      </c>
      <c r="I934" s="2" t="s">
        <v>698</v>
      </c>
    </row>
    <row r="935" spans="1:9" x14ac:dyDescent="0.35">
      <c r="A935" s="2" t="s">
        <v>693</v>
      </c>
      <c r="B935" s="2" t="s">
        <v>24</v>
      </c>
      <c r="C935" s="2" t="s">
        <v>711</v>
      </c>
      <c r="D935" s="2" t="s">
        <v>76</v>
      </c>
      <c r="E935" s="2" t="s">
        <v>75</v>
      </c>
      <c r="F935" s="2" t="s">
        <v>16</v>
      </c>
      <c r="G935" s="2" t="s">
        <v>712</v>
      </c>
      <c r="H935" s="2" t="s">
        <v>16</v>
      </c>
      <c r="I935" s="2" t="s">
        <v>698</v>
      </c>
    </row>
    <row r="936" spans="1:9" x14ac:dyDescent="0.35">
      <c r="A936" s="2" t="s">
        <v>693</v>
      </c>
      <c r="B936" s="2" t="s">
        <v>24</v>
      </c>
      <c r="C936" s="2" t="s">
        <v>711</v>
      </c>
      <c r="D936" s="2" t="s">
        <v>31</v>
      </c>
      <c r="E936" s="2" t="s">
        <v>32</v>
      </c>
      <c r="F936" s="2"/>
      <c r="G936" s="2"/>
      <c r="H936" s="2" t="s">
        <v>16</v>
      </c>
      <c r="I936" s="2" t="s">
        <v>698</v>
      </c>
    </row>
    <row r="937" spans="1:9" x14ac:dyDescent="0.35">
      <c r="A937" s="2" t="s">
        <v>693</v>
      </c>
      <c r="B937" s="2" t="s">
        <v>24</v>
      </c>
      <c r="C937" s="2" t="s">
        <v>711</v>
      </c>
      <c r="D937" s="2" t="s">
        <v>96</v>
      </c>
      <c r="E937" s="2" t="s">
        <v>83</v>
      </c>
      <c r="F937" s="2"/>
      <c r="G937" s="2"/>
      <c r="H937" s="2" t="s">
        <v>16</v>
      </c>
      <c r="I937" s="2" t="s">
        <v>695</v>
      </c>
    </row>
    <row r="938" spans="1:9" x14ac:dyDescent="0.35">
      <c r="A938" s="2" t="s">
        <v>693</v>
      </c>
      <c r="B938" s="2" t="s">
        <v>24</v>
      </c>
      <c r="C938" s="2" t="s">
        <v>711</v>
      </c>
      <c r="D938" s="2" t="s">
        <v>52</v>
      </c>
      <c r="E938" s="2" t="s">
        <v>52</v>
      </c>
      <c r="F938" s="2"/>
      <c r="G938" s="2"/>
      <c r="H938" s="2" t="s">
        <v>16</v>
      </c>
      <c r="I938" s="2" t="s">
        <v>698</v>
      </c>
    </row>
    <row r="939" spans="1:9" x14ac:dyDescent="0.35">
      <c r="A939" s="2" t="s">
        <v>693</v>
      </c>
      <c r="B939" s="2" t="s">
        <v>24</v>
      </c>
      <c r="C939" s="2" t="s">
        <v>711</v>
      </c>
      <c r="D939" s="2" t="s">
        <v>713</v>
      </c>
      <c r="E939" s="2" t="s">
        <v>424</v>
      </c>
      <c r="F939" s="2"/>
      <c r="G939" s="2"/>
      <c r="H939" s="2" t="s">
        <v>16</v>
      </c>
      <c r="I939" s="2" t="s">
        <v>698</v>
      </c>
    </row>
    <row r="940" spans="1:9" x14ac:dyDescent="0.35">
      <c r="A940" s="2" t="s">
        <v>693</v>
      </c>
      <c r="B940" s="2" t="s">
        <v>24</v>
      </c>
      <c r="C940" s="2" t="s">
        <v>711</v>
      </c>
      <c r="D940" s="2" t="s">
        <v>85</v>
      </c>
      <c r="E940" s="2" t="s">
        <v>85</v>
      </c>
      <c r="F940" s="2"/>
      <c r="G940" s="2"/>
      <c r="H940" s="2" t="s">
        <v>16</v>
      </c>
      <c r="I940" s="2" t="s">
        <v>698</v>
      </c>
    </row>
    <row r="941" spans="1:9" x14ac:dyDescent="0.35">
      <c r="A941" s="2" t="s">
        <v>693</v>
      </c>
      <c r="B941" s="2" t="s">
        <v>24</v>
      </c>
      <c r="C941" s="2" t="s">
        <v>711</v>
      </c>
      <c r="D941" s="2" t="s">
        <v>61</v>
      </c>
      <c r="E941" s="2" t="s">
        <v>30</v>
      </c>
      <c r="F941" s="2"/>
      <c r="G941" s="2"/>
      <c r="H941" s="2" t="s">
        <v>16</v>
      </c>
      <c r="I941" s="2" t="s">
        <v>698</v>
      </c>
    </row>
    <row r="942" spans="1:9" x14ac:dyDescent="0.35">
      <c r="A942" s="2" t="s">
        <v>693</v>
      </c>
      <c r="B942" s="2" t="s">
        <v>24</v>
      </c>
      <c r="C942" s="2" t="s">
        <v>711</v>
      </c>
      <c r="D942" s="2" t="s">
        <v>714</v>
      </c>
      <c r="E942" s="2" t="s">
        <v>38</v>
      </c>
      <c r="F942" s="2"/>
      <c r="G942" s="2"/>
      <c r="H942" s="2" t="s">
        <v>16</v>
      </c>
      <c r="I942" s="2" t="s">
        <v>698</v>
      </c>
    </row>
    <row r="943" spans="1:9" x14ac:dyDescent="0.35">
      <c r="A943" s="2" t="s">
        <v>693</v>
      </c>
      <c r="B943" s="2" t="s">
        <v>24</v>
      </c>
      <c r="C943" s="2" t="s">
        <v>711</v>
      </c>
      <c r="D943" s="2" t="s">
        <v>112</v>
      </c>
      <c r="E943" s="2" t="s">
        <v>113</v>
      </c>
      <c r="F943" s="2" t="s">
        <v>16</v>
      </c>
      <c r="G943" s="2" t="s">
        <v>715</v>
      </c>
      <c r="H943" s="2" t="s">
        <v>16</v>
      </c>
      <c r="I943" s="2" t="s">
        <v>698</v>
      </c>
    </row>
    <row r="944" spans="1:9" x14ac:dyDescent="0.35">
      <c r="A944" s="2" t="s">
        <v>716</v>
      </c>
      <c r="B944" s="2" t="s">
        <v>24</v>
      </c>
      <c r="C944" s="2" t="s">
        <v>717</v>
      </c>
      <c r="D944" s="2" t="s">
        <v>18</v>
      </c>
      <c r="E944" s="2" t="s">
        <v>19</v>
      </c>
      <c r="F944" s="2" t="s">
        <v>20</v>
      </c>
      <c r="G944" s="2" t="s">
        <v>718</v>
      </c>
      <c r="H944" s="2" t="s">
        <v>16</v>
      </c>
      <c r="I944" s="2" t="s">
        <v>719</v>
      </c>
    </row>
    <row r="945" spans="1:9" x14ac:dyDescent="0.35">
      <c r="A945" s="2" t="s">
        <v>716</v>
      </c>
      <c r="B945" s="2" t="s">
        <v>24</v>
      </c>
      <c r="C945" s="2" t="s">
        <v>717</v>
      </c>
      <c r="D945" s="2" t="s">
        <v>61</v>
      </c>
      <c r="E945" s="2" t="s">
        <v>30</v>
      </c>
      <c r="F945" s="2" t="s">
        <v>20</v>
      </c>
      <c r="G945" s="2" t="s">
        <v>718</v>
      </c>
      <c r="H945" s="2" t="s">
        <v>16</v>
      </c>
      <c r="I945" s="2" t="s">
        <v>719</v>
      </c>
    </row>
    <row r="946" spans="1:9" x14ac:dyDescent="0.35">
      <c r="A946" s="2" t="s">
        <v>716</v>
      </c>
      <c r="B946" s="2" t="s">
        <v>24</v>
      </c>
      <c r="C946" s="2" t="s">
        <v>717</v>
      </c>
      <c r="D946" s="2" t="s">
        <v>127</v>
      </c>
      <c r="E946" s="2" t="s">
        <v>107</v>
      </c>
      <c r="F946" s="2" t="s">
        <v>20</v>
      </c>
      <c r="G946" s="2" t="s">
        <v>718</v>
      </c>
      <c r="H946" s="2" t="s">
        <v>16</v>
      </c>
      <c r="I946" s="2" t="s">
        <v>719</v>
      </c>
    </row>
    <row r="947" spans="1:9" x14ac:dyDescent="0.35">
      <c r="A947" s="2" t="s">
        <v>720</v>
      </c>
      <c r="B947" s="2" t="s">
        <v>62</v>
      </c>
      <c r="C947" s="2" t="s">
        <v>721</v>
      </c>
      <c r="D947" s="2" t="s">
        <v>82</v>
      </c>
      <c r="E947" s="2" t="s">
        <v>83</v>
      </c>
      <c r="F947" s="2"/>
      <c r="G947" s="2"/>
      <c r="H947" s="2" t="s">
        <v>16</v>
      </c>
      <c r="I947" s="2" t="s">
        <v>722</v>
      </c>
    </row>
    <row r="948" spans="1:9" x14ac:dyDescent="0.35">
      <c r="A948" s="2" t="s">
        <v>720</v>
      </c>
      <c r="B948" s="2" t="s">
        <v>62</v>
      </c>
      <c r="C948" s="2" t="s">
        <v>721</v>
      </c>
      <c r="D948" s="2" t="s">
        <v>91</v>
      </c>
      <c r="E948" s="2" t="s">
        <v>19</v>
      </c>
      <c r="F948" s="2" t="s">
        <v>16</v>
      </c>
      <c r="G948" s="2" t="s">
        <v>723</v>
      </c>
      <c r="H948" s="2" t="s">
        <v>16</v>
      </c>
      <c r="I948" s="2" t="s">
        <v>722</v>
      </c>
    </row>
    <row r="949" spans="1:9" x14ac:dyDescent="0.35">
      <c r="A949" s="2" t="s">
        <v>720</v>
      </c>
      <c r="B949" s="2" t="s">
        <v>62</v>
      </c>
      <c r="C949" s="2" t="s">
        <v>721</v>
      </c>
      <c r="D949" s="2" t="s">
        <v>127</v>
      </c>
      <c r="E949" s="2" t="s">
        <v>107</v>
      </c>
      <c r="F949" s="2" t="s">
        <v>16</v>
      </c>
      <c r="G949" s="2" t="s">
        <v>724</v>
      </c>
      <c r="H949" s="2" t="s">
        <v>16</v>
      </c>
      <c r="I949" s="2" t="s">
        <v>722</v>
      </c>
    </row>
    <row r="950" spans="1:9" x14ac:dyDescent="0.35">
      <c r="A950" s="2" t="s">
        <v>720</v>
      </c>
      <c r="B950" s="2" t="s">
        <v>57</v>
      </c>
      <c r="C950" s="2" t="s">
        <v>725</v>
      </c>
      <c r="D950" s="2" t="s">
        <v>14</v>
      </c>
      <c r="E950" s="2" t="s">
        <v>15</v>
      </c>
      <c r="F950" s="2"/>
      <c r="G950" s="2"/>
      <c r="H950" s="2"/>
      <c r="I950" s="2"/>
    </row>
    <row r="951" spans="1:9" x14ac:dyDescent="0.35">
      <c r="A951" s="2" t="s">
        <v>720</v>
      </c>
      <c r="B951" s="2" t="s">
        <v>57</v>
      </c>
      <c r="C951" s="2" t="s">
        <v>725</v>
      </c>
      <c r="D951" s="2" t="s">
        <v>144</v>
      </c>
      <c r="E951" s="2" t="s">
        <v>50</v>
      </c>
      <c r="F951" s="2"/>
      <c r="G951" s="2"/>
      <c r="H951" s="2"/>
      <c r="I951" s="2"/>
    </row>
    <row r="952" spans="1:9" x14ac:dyDescent="0.35">
      <c r="A952" s="2" t="s">
        <v>720</v>
      </c>
      <c r="B952" s="2" t="s">
        <v>57</v>
      </c>
      <c r="C952" s="2" t="s">
        <v>725</v>
      </c>
      <c r="D952" s="2" t="s">
        <v>59</v>
      </c>
      <c r="E952" s="2" t="s">
        <v>60</v>
      </c>
      <c r="F952" s="2"/>
      <c r="G952" s="2"/>
      <c r="H952" s="2"/>
      <c r="I952" s="2"/>
    </row>
    <row r="953" spans="1:9" x14ac:dyDescent="0.35">
      <c r="A953" s="2" t="s">
        <v>720</v>
      </c>
      <c r="B953" s="2" t="s">
        <v>57</v>
      </c>
      <c r="C953" s="2" t="s">
        <v>725</v>
      </c>
      <c r="D953" s="2" t="s">
        <v>121</v>
      </c>
      <c r="E953" s="2" t="s">
        <v>122</v>
      </c>
      <c r="F953" s="2"/>
      <c r="G953" s="2"/>
      <c r="H953" s="2"/>
      <c r="I953" s="2"/>
    </row>
    <row r="954" spans="1:9" x14ac:dyDescent="0.35">
      <c r="A954" s="2" t="s">
        <v>720</v>
      </c>
      <c r="B954" s="2" t="s">
        <v>57</v>
      </c>
      <c r="C954" s="2" t="s">
        <v>725</v>
      </c>
      <c r="D954" s="2" t="s">
        <v>156</v>
      </c>
      <c r="E954" s="2" t="s">
        <v>45</v>
      </c>
      <c r="F954" s="2" t="s">
        <v>16</v>
      </c>
      <c r="G954" s="2" t="s">
        <v>726</v>
      </c>
      <c r="H954" s="2"/>
      <c r="I954" s="2"/>
    </row>
    <row r="955" spans="1:9" x14ac:dyDescent="0.35">
      <c r="A955" s="2" t="s">
        <v>720</v>
      </c>
      <c r="B955" s="2" t="s">
        <v>57</v>
      </c>
      <c r="C955" s="2" t="s">
        <v>725</v>
      </c>
      <c r="D955" s="2" t="s">
        <v>18</v>
      </c>
      <c r="E955" s="2" t="s">
        <v>19</v>
      </c>
      <c r="F955" s="2" t="s">
        <v>16</v>
      </c>
      <c r="G955" s="2" t="s">
        <v>727</v>
      </c>
      <c r="H955" s="2"/>
      <c r="I955" s="2"/>
    </row>
    <row r="956" spans="1:9" x14ac:dyDescent="0.35">
      <c r="A956" s="2" t="s">
        <v>720</v>
      </c>
      <c r="B956" s="2" t="s">
        <v>57</v>
      </c>
      <c r="C956" s="2" t="s">
        <v>725</v>
      </c>
      <c r="D956" s="2" t="s">
        <v>61</v>
      </c>
      <c r="E956" s="2" t="s">
        <v>30</v>
      </c>
      <c r="F956" s="2"/>
      <c r="G956" s="2"/>
      <c r="H956" s="2" t="s">
        <v>16</v>
      </c>
      <c r="I956" s="2" t="s">
        <v>728</v>
      </c>
    </row>
    <row r="957" spans="1:9" x14ac:dyDescent="0.35">
      <c r="A957" s="2" t="s">
        <v>720</v>
      </c>
      <c r="B957" s="2" t="s">
        <v>54</v>
      </c>
      <c r="C957" s="2" t="s">
        <v>729</v>
      </c>
      <c r="D957" s="2" t="s">
        <v>35</v>
      </c>
      <c r="E957" s="2" t="s">
        <v>36</v>
      </c>
      <c r="F957" s="2"/>
      <c r="G957" s="2"/>
      <c r="H957" s="2" t="s">
        <v>16</v>
      </c>
      <c r="I957" s="2" t="s">
        <v>722</v>
      </c>
    </row>
    <row r="958" spans="1:9" x14ac:dyDescent="0.35">
      <c r="A958" s="2" t="s">
        <v>720</v>
      </c>
      <c r="B958" s="2" t="s">
        <v>54</v>
      </c>
      <c r="C958" s="2" t="s">
        <v>729</v>
      </c>
      <c r="D958" s="2" t="s">
        <v>156</v>
      </c>
      <c r="E958" s="2" t="s">
        <v>45</v>
      </c>
      <c r="F958" s="2" t="s">
        <v>16</v>
      </c>
      <c r="G958" s="2" t="s">
        <v>730</v>
      </c>
      <c r="H958" s="2" t="s">
        <v>16</v>
      </c>
      <c r="I958" s="2" t="s">
        <v>722</v>
      </c>
    </row>
    <row r="959" spans="1:9" x14ac:dyDescent="0.35">
      <c r="A959" s="2" t="s">
        <v>720</v>
      </c>
      <c r="B959" s="2" t="s">
        <v>54</v>
      </c>
      <c r="C959" s="2" t="s">
        <v>729</v>
      </c>
      <c r="D959" s="2" t="s">
        <v>18</v>
      </c>
      <c r="E959" s="2" t="s">
        <v>19</v>
      </c>
      <c r="F959" s="2" t="s">
        <v>16</v>
      </c>
      <c r="G959" s="2" t="s">
        <v>731</v>
      </c>
      <c r="H959" s="2" t="s">
        <v>16</v>
      </c>
      <c r="I959" s="2" t="s">
        <v>722</v>
      </c>
    </row>
    <row r="960" spans="1:9" x14ac:dyDescent="0.35">
      <c r="A960" s="2" t="s">
        <v>720</v>
      </c>
      <c r="B960" s="2" t="s">
        <v>54</v>
      </c>
      <c r="C960" s="2" t="s">
        <v>729</v>
      </c>
      <c r="D960" s="2" t="s">
        <v>149</v>
      </c>
      <c r="E960" s="2" t="s">
        <v>150</v>
      </c>
      <c r="F960" s="2" t="s">
        <v>46</v>
      </c>
      <c r="G960" s="2" t="s">
        <v>451</v>
      </c>
      <c r="H960" s="2" t="s">
        <v>16</v>
      </c>
      <c r="I960" s="2" t="s">
        <v>722</v>
      </c>
    </row>
    <row r="961" spans="1:9" x14ac:dyDescent="0.35">
      <c r="A961" s="2" t="s">
        <v>720</v>
      </c>
      <c r="B961" s="2" t="s">
        <v>54</v>
      </c>
      <c r="C961" s="2" t="s">
        <v>732</v>
      </c>
      <c r="D961" s="2" t="s">
        <v>74</v>
      </c>
      <c r="E961" s="2" t="s">
        <v>75</v>
      </c>
      <c r="F961" s="2" t="s">
        <v>20</v>
      </c>
      <c r="G961" s="2" t="s">
        <v>733</v>
      </c>
      <c r="H961" s="2" t="s">
        <v>20</v>
      </c>
      <c r="I961" s="2" t="s">
        <v>722</v>
      </c>
    </row>
    <row r="962" spans="1:9" x14ac:dyDescent="0.35">
      <c r="A962" s="2" t="s">
        <v>720</v>
      </c>
      <c r="B962" s="2" t="s">
        <v>54</v>
      </c>
      <c r="C962" s="2" t="s">
        <v>732</v>
      </c>
      <c r="D962" s="2" t="s">
        <v>213</v>
      </c>
      <c r="E962" s="2" t="s">
        <v>45</v>
      </c>
      <c r="F962" s="2" t="s">
        <v>20</v>
      </c>
      <c r="G962" s="2" t="s">
        <v>733</v>
      </c>
      <c r="H962" s="2" t="s">
        <v>20</v>
      </c>
      <c r="I962" s="2" t="s">
        <v>722</v>
      </c>
    </row>
    <row r="963" spans="1:9" x14ac:dyDescent="0.35">
      <c r="A963" s="2" t="s">
        <v>720</v>
      </c>
      <c r="B963" s="2" t="s">
        <v>54</v>
      </c>
      <c r="C963" s="2" t="s">
        <v>732</v>
      </c>
      <c r="D963" s="2" t="s">
        <v>156</v>
      </c>
      <c r="E963" s="2" t="s">
        <v>45</v>
      </c>
      <c r="F963" s="2" t="s">
        <v>20</v>
      </c>
      <c r="G963" s="2" t="s">
        <v>733</v>
      </c>
      <c r="H963" s="2" t="s">
        <v>20</v>
      </c>
      <c r="I963" s="2" t="s">
        <v>722</v>
      </c>
    </row>
    <row r="964" spans="1:9" x14ac:dyDescent="0.35">
      <c r="A964" s="2" t="s">
        <v>720</v>
      </c>
      <c r="B964" s="2" t="s">
        <v>54</v>
      </c>
      <c r="C964" s="2" t="s">
        <v>732</v>
      </c>
      <c r="D964" s="2" t="s">
        <v>124</v>
      </c>
      <c r="E964" s="2" t="s">
        <v>125</v>
      </c>
      <c r="F964" s="2" t="s">
        <v>20</v>
      </c>
      <c r="G964" s="2" t="s">
        <v>733</v>
      </c>
      <c r="H964" s="2" t="s">
        <v>20</v>
      </c>
      <c r="I964" s="2" t="s">
        <v>722</v>
      </c>
    </row>
    <row r="965" spans="1:9" x14ac:dyDescent="0.35">
      <c r="A965" s="2" t="s">
        <v>720</v>
      </c>
      <c r="B965" s="2" t="s">
        <v>62</v>
      </c>
      <c r="C965" s="2" t="s">
        <v>734</v>
      </c>
      <c r="D965" s="2" t="s">
        <v>87</v>
      </c>
      <c r="E965" s="2" t="s">
        <v>75</v>
      </c>
      <c r="F965" s="2" t="s">
        <v>16</v>
      </c>
      <c r="G965" s="2" t="s">
        <v>733</v>
      </c>
      <c r="H965" s="2" t="s">
        <v>16</v>
      </c>
      <c r="I965" s="2" t="s">
        <v>722</v>
      </c>
    </row>
    <row r="966" spans="1:9" x14ac:dyDescent="0.35">
      <c r="A966" s="2" t="s">
        <v>720</v>
      </c>
      <c r="B966" s="2" t="s">
        <v>62</v>
      </c>
      <c r="C966" s="2" t="s">
        <v>734</v>
      </c>
      <c r="D966" s="2" t="s">
        <v>352</v>
      </c>
      <c r="E966" s="2" t="s">
        <v>107</v>
      </c>
      <c r="F966" s="2"/>
      <c r="G966" s="2"/>
      <c r="H966" s="2" t="s">
        <v>16</v>
      </c>
      <c r="I966" s="2" t="s">
        <v>722</v>
      </c>
    </row>
    <row r="967" spans="1:9" x14ac:dyDescent="0.35">
      <c r="A967" s="2" t="s">
        <v>720</v>
      </c>
      <c r="B967" s="2" t="s">
        <v>12</v>
      </c>
      <c r="C967" s="2" t="s">
        <v>735</v>
      </c>
      <c r="D967" s="2" t="s">
        <v>168</v>
      </c>
      <c r="E967" s="2" t="s">
        <v>45</v>
      </c>
      <c r="F967" s="2" t="s">
        <v>16</v>
      </c>
      <c r="G967" s="2" t="s">
        <v>736</v>
      </c>
      <c r="H967" s="2" t="s">
        <v>16</v>
      </c>
      <c r="I967" s="2" t="s">
        <v>722</v>
      </c>
    </row>
    <row r="968" spans="1:9" x14ac:dyDescent="0.35">
      <c r="A968" s="2" t="s">
        <v>720</v>
      </c>
      <c r="B968" s="2" t="s">
        <v>12</v>
      </c>
      <c r="C968" s="2" t="s">
        <v>735</v>
      </c>
      <c r="D968" s="2" t="s">
        <v>91</v>
      </c>
      <c r="E968" s="2" t="s">
        <v>19</v>
      </c>
      <c r="F968" s="2" t="s">
        <v>16</v>
      </c>
      <c r="G968" s="2" t="s">
        <v>737</v>
      </c>
      <c r="H968" s="2" t="s">
        <v>16</v>
      </c>
      <c r="I968" s="2" t="s">
        <v>722</v>
      </c>
    </row>
    <row r="969" spans="1:9" x14ac:dyDescent="0.35">
      <c r="A969" s="2" t="s">
        <v>720</v>
      </c>
      <c r="B969" s="2" t="s">
        <v>12</v>
      </c>
      <c r="C969" s="2" t="s">
        <v>735</v>
      </c>
      <c r="D969" s="2" t="s">
        <v>738</v>
      </c>
      <c r="E969" s="2" t="s">
        <v>122</v>
      </c>
      <c r="F969" s="2"/>
      <c r="G969" s="2"/>
      <c r="H969" s="2" t="s">
        <v>16</v>
      </c>
      <c r="I969" s="2" t="s">
        <v>722</v>
      </c>
    </row>
    <row r="970" spans="1:9" x14ac:dyDescent="0.35">
      <c r="A970" s="2" t="s">
        <v>739</v>
      </c>
      <c r="B970" s="2" t="s">
        <v>57</v>
      </c>
      <c r="C970" s="2" t="s">
        <v>740</v>
      </c>
      <c r="D970" s="2" t="s">
        <v>130</v>
      </c>
      <c r="E970" s="2" t="s">
        <v>36</v>
      </c>
      <c r="F970" s="2"/>
      <c r="G970" s="2"/>
      <c r="H970" s="2" t="s">
        <v>16</v>
      </c>
      <c r="I970" s="2" t="s">
        <v>741</v>
      </c>
    </row>
    <row r="971" spans="1:9" x14ac:dyDescent="0.35">
      <c r="A971" s="2" t="s">
        <v>739</v>
      </c>
      <c r="B971" s="2" t="s">
        <v>57</v>
      </c>
      <c r="C971" s="2" t="s">
        <v>740</v>
      </c>
      <c r="D971" s="2" t="s">
        <v>14</v>
      </c>
      <c r="E971" s="2" t="s">
        <v>15</v>
      </c>
      <c r="F971" s="2"/>
      <c r="G971" s="2"/>
      <c r="H971" s="2"/>
      <c r="I971" s="2"/>
    </row>
    <row r="972" spans="1:9" x14ac:dyDescent="0.35">
      <c r="A972" s="2" t="s">
        <v>739</v>
      </c>
      <c r="B972" s="2" t="s">
        <v>57</v>
      </c>
      <c r="C972" s="2" t="s">
        <v>740</v>
      </c>
      <c r="D972" s="2" t="s">
        <v>82</v>
      </c>
      <c r="E972" s="2" t="s">
        <v>83</v>
      </c>
      <c r="F972" s="2"/>
      <c r="G972" s="2"/>
      <c r="H972" s="2" t="s">
        <v>16</v>
      </c>
      <c r="I972" s="2" t="s">
        <v>741</v>
      </c>
    </row>
    <row r="973" spans="1:9" x14ac:dyDescent="0.35">
      <c r="A973" s="2" t="s">
        <v>739</v>
      </c>
      <c r="B973" s="2" t="s">
        <v>57</v>
      </c>
      <c r="C973" s="2" t="s">
        <v>740</v>
      </c>
      <c r="D973" s="2" t="s">
        <v>136</v>
      </c>
      <c r="E973" s="2" t="s">
        <v>107</v>
      </c>
      <c r="F973" s="2"/>
      <c r="G973" s="2"/>
      <c r="H973" s="2" t="s">
        <v>16</v>
      </c>
      <c r="I973" s="2" t="s">
        <v>741</v>
      </c>
    </row>
    <row r="974" spans="1:9" x14ac:dyDescent="0.35">
      <c r="A974" s="2" t="s">
        <v>739</v>
      </c>
      <c r="B974" s="2" t="s">
        <v>57</v>
      </c>
      <c r="C974" s="2" t="s">
        <v>740</v>
      </c>
      <c r="D974" s="2" t="s">
        <v>59</v>
      </c>
      <c r="E974" s="2" t="s">
        <v>60</v>
      </c>
      <c r="F974" s="2"/>
      <c r="G974" s="2"/>
      <c r="H974" s="2"/>
      <c r="I974" s="2"/>
    </row>
    <row r="975" spans="1:9" x14ac:dyDescent="0.35">
      <c r="A975" s="2" t="s">
        <v>739</v>
      </c>
      <c r="B975" s="2" t="s">
        <v>57</v>
      </c>
      <c r="C975" s="2" t="s">
        <v>740</v>
      </c>
      <c r="D975" s="2" t="s">
        <v>38</v>
      </c>
      <c r="E975" s="2" t="s">
        <v>38</v>
      </c>
      <c r="F975" s="2"/>
      <c r="G975" s="2"/>
      <c r="H975" s="2" t="s">
        <v>16</v>
      </c>
      <c r="I975" s="2" t="s">
        <v>741</v>
      </c>
    </row>
    <row r="976" spans="1:9" x14ac:dyDescent="0.35">
      <c r="A976" s="2" t="s">
        <v>739</v>
      </c>
      <c r="B976" s="2" t="s">
        <v>57</v>
      </c>
      <c r="C976" s="2" t="s">
        <v>740</v>
      </c>
      <c r="D976" s="2" t="s">
        <v>291</v>
      </c>
      <c r="E976" s="2" t="s">
        <v>139</v>
      </c>
      <c r="F976" s="2"/>
      <c r="G976" s="2"/>
      <c r="H976" s="2" t="s">
        <v>16</v>
      </c>
      <c r="I976" s="2" t="s">
        <v>741</v>
      </c>
    </row>
    <row r="977" spans="1:9" x14ac:dyDescent="0.35">
      <c r="A977" s="2" t="s">
        <v>739</v>
      </c>
      <c r="B977" s="2" t="s">
        <v>57</v>
      </c>
      <c r="C977" s="2" t="s">
        <v>740</v>
      </c>
      <c r="D977" s="2" t="s">
        <v>85</v>
      </c>
      <c r="E977" s="2" t="s">
        <v>85</v>
      </c>
      <c r="F977" s="2"/>
      <c r="G977" s="2"/>
      <c r="H977" s="2" t="s">
        <v>16</v>
      </c>
      <c r="I977" s="2" t="s">
        <v>741</v>
      </c>
    </row>
    <row r="978" spans="1:9" x14ac:dyDescent="0.35">
      <c r="A978" s="2" t="s">
        <v>739</v>
      </c>
      <c r="B978" s="2" t="s">
        <v>57</v>
      </c>
      <c r="C978" s="2" t="s">
        <v>740</v>
      </c>
      <c r="D978" s="2" t="s">
        <v>61</v>
      </c>
      <c r="E978" s="2" t="s">
        <v>30</v>
      </c>
      <c r="F978" s="2"/>
      <c r="G978" s="2"/>
      <c r="H978" s="2" t="s">
        <v>16</v>
      </c>
      <c r="I978" s="2" t="s">
        <v>741</v>
      </c>
    </row>
    <row r="979" spans="1:9" x14ac:dyDescent="0.35">
      <c r="A979" s="2" t="s">
        <v>739</v>
      </c>
      <c r="B979" s="2" t="s">
        <v>57</v>
      </c>
      <c r="C979" s="2" t="s">
        <v>740</v>
      </c>
      <c r="D979" s="2" t="s">
        <v>188</v>
      </c>
      <c r="E979" s="2" t="s">
        <v>189</v>
      </c>
      <c r="F979" s="2" t="s">
        <v>16</v>
      </c>
      <c r="G979" s="2" t="s">
        <v>742</v>
      </c>
      <c r="H979" s="2" t="s">
        <v>16</v>
      </c>
      <c r="I979" s="2" t="s">
        <v>741</v>
      </c>
    </row>
    <row r="980" spans="1:9" x14ac:dyDescent="0.35">
      <c r="A980" s="2" t="s">
        <v>743</v>
      </c>
      <c r="B980" s="2" t="s">
        <v>57</v>
      </c>
      <c r="C980" s="2" t="s">
        <v>744</v>
      </c>
      <c r="D980" s="2" t="s">
        <v>14</v>
      </c>
      <c r="E980" s="2" t="s">
        <v>15</v>
      </c>
      <c r="F980" s="2"/>
      <c r="G980" s="2"/>
      <c r="H980" s="2"/>
      <c r="I980" s="2"/>
    </row>
    <row r="981" spans="1:9" x14ac:dyDescent="0.35">
      <c r="A981" s="2" t="s">
        <v>743</v>
      </c>
      <c r="B981" s="2" t="s">
        <v>57</v>
      </c>
      <c r="C981" s="2" t="s">
        <v>744</v>
      </c>
      <c r="D981" s="2" t="s">
        <v>212</v>
      </c>
      <c r="E981" s="2" t="s">
        <v>78</v>
      </c>
      <c r="F981" s="2"/>
      <c r="G981" s="2"/>
      <c r="H981" s="2"/>
      <c r="I981" s="2"/>
    </row>
    <row r="982" spans="1:9" x14ac:dyDescent="0.35">
      <c r="A982" s="2" t="s">
        <v>743</v>
      </c>
      <c r="B982" s="2" t="s">
        <v>57</v>
      </c>
      <c r="C982" s="2" t="s">
        <v>744</v>
      </c>
      <c r="D982" s="2" t="s">
        <v>393</v>
      </c>
      <c r="E982" s="2" t="s">
        <v>36</v>
      </c>
      <c r="F982" s="2" t="s">
        <v>16</v>
      </c>
      <c r="G982" s="2" t="s">
        <v>745</v>
      </c>
      <c r="H982" s="2"/>
      <c r="I982" s="2"/>
    </row>
    <row r="983" spans="1:9" x14ac:dyDescent="0.35">
      <c r="A983" s="2" t="s">
        <v>743</v>
      </c>
      <c r="B983" s="2" t="s">
        <v>57</v>
      </c>
      <c r="C983" s="2" t="s">
        <v>744</v>
      </c>
      <c r="D983" s="2" t="s">
        <v>18</v>
      </c>
      <c r="E983" s="2" t="s">
        <v>19</v>
      </c>
      <c r="F983" s="2" t="s">
        <v>16</v>
      </c>
      <c r="G983" s="2" t="s">
        <v>746</v>
      </c>
      <c r="H983" s="2"/>
      <c r="I983" s="2"/>
    </row>
    <row r="984" spans="1:9" x14ac:dyDescent="0.35">
      <c r="A984" s="2" t="s">
        <v>747</v>
      </c>
      <c r="B984" s="2" t="s">
        <v>24</v>
      </c>
      <c r="C984" s="2" t="s">
        <v>748</v>
      </c>
      <c r="D984" s="2" t="s">
        <v>120</v>
      </c>
      <c r="E984" s="2" t="s">
        <v>32</v>
      </c>
      <c r="F984" s="2"/>
      <c r="G984" s="2"/>
      <c r="H984" s="2" t="s">
        <v>20</v>
      </c>
      <c r="I984" s="2" t="s">
        <v>749</v>
      </c>
    </row>
    <row r="985" spans="1:9" x14ac:dyDescent="0.35">
      <c r="A985" s="2" t="s">
        <v>747</v>
      </c>
      <c r="B985" s="2" t="s">
        <v>24</v>
      </c>
      <c r="C985" s="2" t="s">
        <v>748</v>
      </c>
      <c r="D985" s="2" t="s">
        <v>35</v>
      </c>
      <c r="E985" s="2" t="s">
        <v>36</v>
      </c>
      <c r="F985" s="2"/>
      <c r="G985" s="2"/>
      <c r="H985" s="2" t="s">
        <v>20</v>
      </c>
      <c r="I985" s="2" t="s">
        <v>749</v>
      </c>
    </row>
    <row r="986" spans="1:9" x14ac:dyDescent="0.35">
      <c r="A986" s="2" t="s">
        <v>747</v>
      </c>
      <c r="B986" s="2" t="s">
        <v>24</v>
      </c>
      <c r="C986" s="2" t="s">
        <v>748</v>
      </c>
      <c r="D986" s="2" t="s">
        <v>52</v>
      </c>
      <c r="E986" s="2" t="s">
        <v>52</v>
      </c>
      <c r="F986" s="2"/>
      <c r="G986" s="2"/>
      <c r="H986" s="2" t="s">
        <v>20</v>
      </c>
      <c r="I986" s="2" t="s">
        <v>749</v>
      </c>
    </row>
    <row r="987" spans="1:9" x14ac:dyDescent="0.35">
      <c r="A987" s="2" t="s">
        <v>747</v>
      </c>
      <c r="B987" s="2" t="s">
        <v>24</v>
      </c>
      <c r="C987" s="2" t="s">
        <v>748</v>
      </c>
      <c r="D987" s="2" t="s">
        <v>18</v>
      </c>
      <c r="E987" s="2" t="s">
        <v>19</v>
      </c>
      <c r="F987" s="2" t="s">
        <v>20</v>
      </c>
      <c r="G987" s="2" t="s">
        <v>750</v>
      </c>
      <c r="H987" s="2" t="s">
        <v>20</v>
      </c>
      <c r="I987" s="2" t="s">
        <v>749</v>
      </c>
    </row>
    <row r="988" spans="1:9" x14ac:dyDescent="0.35">
      <c r="A988" s="2" t="s">
        <v>747</v>
      </c>
      <c r="B988" s="2" t="s">
        <v>24</v>
      </c>
      <c r="C988" s="2" t="s">
        <v>748</v>
      </c>
      <c r="D988" s="2" t="s">
        <v>61</v>
      </c>
      <c r="E988" s="2" t="s">
        <v>30</v>
      </c>
      <c r="F988" s="2"/>
      <c r="G988" s="2"/>
      <c r="H988" s="2" t="s">
        <v>20</v>
      </c>
      <c r="I988" s="2" t="s">
        <v>749</v>
      </c>
    </row>
    <row r="989" spans="1:9" x14ac:dyDescent="0.35">
      <c r="A989" s="2" t="s">
        <v>751</v>
      </c>
      <c r="B989" s="2" t="s">
        <v>57</v>
      </c>
      <c r="C989" s="2" t="s">
        <v>752</v>
      </c>
      <c r="D989" s="2" t="s">
        <v>27</v>
      </c>
      <c r="E989" s="2" t="s">
        <v>28</v>
      </c>
      <c r="F989" s="2"/>
      <c r="G989" s="2"/>
      <c r="H989" s="2" t="s">
        <v>16</v>
      </c>
      <c r="I989" s="2" t="s">
        <v>753</v>
      </c>
    </row>
    <row r="990" spans="1:9" x14ac:dyDescent="0.35">
      <c r="A990" s="2" t="s">
        <v>751</v>
      </c>
      <c r="B990" s="2" t="s">
        <v>57</v>
      </c>
      <c r="C990" s="2" t="s">
        <v>752</v>
      </c>
      <c r="D990" s="2" t="s">
        <v>31</v>
      </c>
      <c r="E990" s="2" t="s">
        <v>32</v>
      </c>
      <c r="F990" s="2"/>
      <c r="G990" s="2"/>
      <c r="H990" s="2" t="s">
        <v>16</v>
      </c>
      <c r="I990" s="2" t="s">
        <v>753</v>
      </c>
    </row>
    <row r="991" spans="1:9" x14ac:dyDescent="0.35">
      <c r="A991" s="2" t="s">
        <v>751</v>
      </c>
      <c r="B991" s="2" t="s">
        <v>57</v>
      </c>
      <c r="C991" s="2" t="s">
        <v>752</v>
      </c>
      <c r="D991" s="2" t="s">
        <v>59</v>
      </c>
      <c r="E991" s="2" t="s">
        <v>60</v>
      </c>
      <c r="F991" s="2"/>
      <c r="G991" s="2"/>
      <c r="H991" s="2" t="s">
        <v>16</v>
      </c>
      <c r="I991" s="2" t="s">
        <v>753</v>
      </c>
    </row>
    <row r="992" spans="1:9" x14ac:dyDescent="0.35">
      <c r="A992" s="2" t="s">
        <v>751</v>
      </c>
      <c r="B992" s="2" t="s">
        <v>57</v>
      </c>
      <c r="C992" s="2" t="s">
        <v>752</v>
      </c>
      <c r="D992" s="2" t="s">
        <v>38</v>
      </c>
      <c r="E992" s="2" t="s">
        <v>38</v>
      </c>
      <c r="F992" s="2"/>
      <c r="G992" s="2"/>
      <c r="H992" s="2" t="s">
        <v>16</v>
      </c>
      <c r="I992" s="2" t="s">
        <v>753</v>
      </c>
    </row>
    <row r="993" spans="1:9" x14ac:dyDescent="0.35">
      <c r="A993" s="2" t="s">
        <v>751</v>
      </c>
      <c r="B993" s="2" t="s">
        <v>57</v>
      </c>
      <c r="C993" s="2" t="s">
        <v>752</v>
      </c>
      <c r="D993" s="2" t="s">
        <v>18</v>
      </c>
      <c r="E993" s="2" t="s">
        <v>19</v>
      </c>
      <c r="F993" s="2" t="s">
        <v>16</v>
      </c>
      <c r="G993" s="2" t="s">
        <v>754</v>
      </c>
      <c r="H993" s="2" t="s">
        <v>16</v>
      </c>
      <c r="I993" s="2" t="s">
        <v>753</v>
      </c>
    </row>
    <row r="994" spans="1:9" x14ac:dyDescent="0.35">
      <c r="A994" s="2" t="s">
        <v>751</v>
      </c>
      <c r="B994" s="2" t="s">
        <v>57</v>
      </c>
      <c r="C994" s="2" t="s">
        <v>752</v>
      </c>
      <c r="D994" s="2" t="s">
        <v>755</v>
      </c>
      <c r="E994" s="2" t="s">
        <v>189</v>
      </c>
      <c r="F994" s="2"/>
      <c r="G994" s="2"/>
      <c r="H994" s="2" t="s">
        <v>16</v>
      </c>
      <c r="I994" s="2" t="s">
        <v>753</v>
      </c>
    </row>
    <row r="995" spans="1:9" x14ac:dyDescent="0.35">
      <c r="A995" s="2" t="s">
        <v>751</v>
      </c>
      <c r="B995" s="2" t="s">
        <v>57</v>
      </c>
      <c r="C995" s="2" t="s">
        <v>752</v>
      </c>
      <c r="D995" s="2" t="s">
        <v>149</v>
      </c>
      <c r="E995" s="2" t="s">
        <v>150</v>
      </c>
      <c r="F995" s="2" t="s">
        <v>16</v>
      </c>
      <c r="G995" s="2" t="s">
        <v>756</v>
      </c>
      <c r="H995" s="2" t="s">
        <v>16</v>
      </c>
      <c r="I995" s="2" t="s">
        <v>753</v>
      </c>
    </row>
    <row r="996" spans="1:9" x14ac:dyDescent="0.35">
      <c r="A996" s="2" t="s">
        <v>751</v>
      </c>
      <c r="B996" s="2" t="s">
        <v>62</v>
      </c>
      <c r="C996" s="2" t="s">
        <v>757</v>
      </c>
      <c r="D996" s="2" t="s">
        <v>27</v>
      </c>
      <c r="E996" s="2" t="s">
        <v>28</v>
      </c>
      <c r="F996" s="2" t="s">
        <v>16</v>
      </c>
      <c r="G996" s="2" t="s">
        <v>758</v>
      </c>
      <c r="H996" s="2" t="s">
        <v>16</v>
      </c>
      <c r="I996" s="2" t="s">
        <v>759</v>
      </c>
    </row>
    <row r="997" spans="1:9" x14ac:dyDescent="0.35">
      <c r="A997" s="2" t="s">
        <v>751</v>
      </c>
      <c r="B997" s="2" t="s">
        <v>62</v>
      </c>
      <c r="C997" s="2" t="s">
        <v>757</v>
      </c>
      <c r="D997" s="2" t="s">
        <v>156</v>
      </c>
      <c r="E997" s="2" t="s">
        <v>45</v>
      </c>
      <c r="F997" s="2" t="s">
        <v>46</v>
      </c>
      <c r="G997" s="2" t="s">
        <v>47</v>
      </c>
      <c r="H997" s="2" t="s">
        <v>16</v>
      </c>
      <c r="I997" s="2" t="s">
        <v>759</v>
      </c>
    </row>
    <row r="998" spans="1:9" x14ac:dyDescent="0.35">
      <c r="A998" s="2" t="s">
        <v>751</v>
      </c>
      <c r="B998" s="2" t="s">
        <v>62</v>
      </c>
      <c r="C998" s="2" t="s">
        <v>757</v>
      </c>
      <c r="D998" s="2" t="s">
        <v>760</v>
      </c>
      <c r="E998" s="2" t="s">
        <v>30</v>
      </c>
      <c r="F998" s="2" t="s">
        <v>16</v>
      </c>
      <c r="G998" s="2" t="s">
        <v>761</v>
      </c>
      <c r="H998" s="2" t="s">
        <v>16</v>
      </c>
      <c r="I998" s="2" t="s">
        <v>759</v>
      </c>
    </row>
    <row r="999" spans="1:9" x14ac:dyDescent="0.35">
      <c r="A999" s="2" t="s">
        <v>751</v>
      </c>
      <c r="B999" s="2" t="s">
        <v>24</v>
      </c>
      <c r="C999" s="2" t="s">
        <v>762</v>
      </c>
      <c r="D999" s="2" t="s">
        <v>763</v>
      </c>
      <c r="E999" s="2" t="s">
        <v>107</v>
      </c>
      <c r="F999" s="2"/>
      <c r="G999" s="2"/>
      <c r="H999" s="2" t="s">
        <v>16</v>
      </c>
      <c r="I999" s="2" t="s">
        <v>759</v>
      </c>
    </row>
    <row r="1000" spans="1:9" x14ac:dyDescent="0.35">
      <c r="A1000" s="2" t="s">
        <v>751</v>
      </c>
      <c r="B1000" s="2" t="s">
        <v>24</v>
      </c>
      <c r="C1000" s="2" t="s">
        <v>762</v>
      </c>
      <c r="D1000" s="2" t="s">
        <v>144</v>
      </c>
      <c r="E1000" s="2" t="s">
        <v>50</v>
      </c>
      <c r="F1000" s="2"/>
      <c r="G1000" s="2"/>
      <c r="H1000" s="2" t="s">
        <v>16</v>
      </c>
      <c r="I1000" s="2" t="s">
        <v>753</v>
      </c>
    </row>
    <row r="1001" spans="1:9" x14ac:dyDescent="0.35">
      <c r="A1001" s="2" t="s">
        <v>751</v>
      </c>
      <c r="B1001" s="2" t="s">
        <v>24</v>
      </c>
      <c r="C1001" s="2" t="s">
        <v>762</v>
      </c>
      <c r="D1001" s="2" t="s">
        <v>27</v>
      </c>
      <c r="E1001" s="2" t="s">
        <v>28</v>
      </c>
      <c r="F1001" s="2"/>
      <c r="G1001" s="2"/>
      <c r="H1001" s="2" t="s">
        <v>16</v>
      </c>
      <c r="I1001" s="2" t="s">
        <v>759</v>
      </c>
    </row>
    <row r="1002" spans="1:9" x14ac:dyDescent="0.35">
      <c r="A1002" s="2" t="s">
        <v>751</v>
      </c>
      <c r="B1002" s="2" t="s">
        <v>24</v>
      </c>
      <c r="C1002" s="2" t="s">
        <v>762</v>
      </c>
      <c r="D1002" s="2" t="s">
        <v>76</v>
      </c>
      <c r="E1002" s="2" t="s">
        <v>75</v>
      </c>
      <c r="F1002" s="2" t="s">
        <v>16</v>
      </c>
      <c r="G1002" s="2" t="s">
        <v>764</v>
      </c>
      <c r="H1002" s="2" t="s">
        <v>16</v>
      </c>
      <c r="I1002" s="2" t="s">
        <v>753</v>
      </c>
    </row>
    <row r="1003" spans="1:9" x14ac:dyDescent="0.35">
      <c r="A1003" s="2" t="s">
        <v>751</v>
      </c>
      <c r="B1003" s="2" t="s">
        <v>24</v>
      </c>
      <c r="C1003" s="2" t="s">
        <v>762</v>
      </c>
      <c r="D1003" s="2" t="s">
        <v>31</v>
      </c>
      <c r="E1003" s="2" t="s">
        <v>32</v>
      </c>
      <c r="F1003" s="2"/>
      <c r="G1003" s="2"/>
      <c r="H1003" s="2" t="s">
        <v>16</v>
      </c>
      <c r="I1003" s="2" t="s">
        <v>753</v>
      </c>
    </row>
    <row r="1004" spans="1:9" x14ac:dyDescent="0.35">
      <c r="A1004" s="2" t="s">
        <v>751</v>
      </c>
      <c r="B1004" s="2" t="s">
        <v>24</v>
      </c>
      <c r="C1004" s="2" t="s">
        <v>762</v>
      </c>
      <c r="D1004" s="2" t="s">
        <v>136</v>
      </c>
      <c r="E1004" s="2" t="s">
        <v>107</v>
      </c>
      <c r="F1004" s="2"/>
      <c r="G1004" s="2"/>
      <c r="H1004" s="2" t="s">
        <v>16</v>
      </c>
      <c r="I1004" s="2" t="s">
        <v>759</v>
      </c>
    </row>
    <row r="1005" spans="1:9" x14ac:dyDescent="0.35">
      <c r="A1005" s="2" t="s">
        <v>751</v>
      </c>
      <c r="B1005" s="2" t="s">
        <v>24</v>
      </c>
      <c r="C1005" s="2" t="s">
        <v>762</v>
      </c>
      <c r="D1005" s="2" t="s">
        <v>765</v>
      </c>
      <c r="E1005" s="2" t="s">
        <v>83</v>
      </c>
      <c r="F1005" s="2"/>
      <c r="G1005" s="2"/>
      <c r="H1005" s="2" t="s">
        <v>16</v>
      </c>
      <c r="I1005" s="2" t="s">
        <v>759</v>
      </c>
    </row>
    <row r="1006" spans="1:9" x14ac:dyDescent="0.35">
      <c r="A1006" s="2" t="s">
        <v>751</v>
      </c>
      <c r="B1006" s="2" t="s">
        <v>24</v>
      </c>
      <c r="C1006" s="2" t="s">
        <v>762</v>
      </c>
      <c r="D1006" s="2" t="s">
        <v>33</v>
      </c>
      <c r="E1006" s="2" t="s">
        <v>34</v>
      </c>
      <c r="F1006" s="2"/>
      <c r="G1006" s="2"/>
      <c r="H1006" s="2" t="s">
        <v>16</v>
      </c>
      <c r="I1006" s="2" t="s">
        <v>759</v>
      </c>
    </row>
    <row r="1007" spans="1:9" x14ac:dyDescent="0.35">
      <c r="A1007" s="2" t="s">
        <v>751</v>
      </c>
      <c r="B1007" s="2" t="s">
        <v>24</v>
      </c>
      <c r="C1007" s="2" t="s">
        <v>762</v>
      </c>
      <c r="D1007" s="2" t="s">
        <v>534</v>
      </c>
      <c r="E1007" s="2" t="s">
        <v>38</v>
      </c>
      <c r="F1007" s="2" t="s">
        <v>20</v>
      </c>
      <c r="G1007" s="2" t="s">
        <v>766</v>
      </c>
      <c r="H1007" s="2" t="s">
        <v>16</v>
      </c>
      <c r="I1007" s="2" t="s">
        <v>759</v>
      </c>
    </row>
    <row r="1008" spans="1:9" x14ac:dyDescent="0.35">
      <c r="A1008" s="2" t="s">
        <v>751</v>
      </c>
      <c r="B1008" s="2" t="s">
        <v>24</v>
      </c>
      <c r="C1008" s="2" t="s">
        <v>762</v>
      </c>
      <c r="D1008" s="2" t="s">
        <v>767</v>
      </c>
      <c r="E1008" s="2" t="s">
        <v>36</v>
      </c>
      <c r="F1008" s="2"/>
      <c r="G1008" s="2"/>
      <c r="H1008" s="2" t="s">
        <v>16</v>
      </c>
      <c r="I1008" s="2" t="s">
        <v>759</v>
      </c>
    </row>
    <row r="1009" spans="1:9" x14ac:dyDescent="0.35">
      <c r="A1009" s="2" t="s">
        <v>751</v>
      </c>
      <c r="B1009" s="2" t="s">
        <v>24</v>
      </c>
      <c r="C1009" s="2" t="s">
        <v>762</v>
      </c>
      <c r="D1009" s="2" t="s">
        <v>503</v>
      </c>
      <c r="E1009" s="2" t="s">
        <v>45</v>
      </c>
      <c r="F1009" s="2" t="s">
        <v>46</v>
      </c>
      <c r="G1009" s="2" t="s">
        <v>451</v>
      </c>
      <c r="H1009" s="2" t="s">
        <v>16</v>
      </c>
      <c r="I1009" s="2" t="s">
        <v>753</v>
      </c>
    </row>
    <row r="1010" spans="1:9" x14ac:dyDescent="0.35">
      <c r="A1010" s="2" t="s">
        <v>751</v>
      </c>
      <c r="B1010" s="2" t="s">
        <v>24</v>
      </c>
      <c r="C1010" s="2" t="s">
        <v>762</v>
      </c>
      <c r="D1010" s="2" t="s">
        <v>100</v>
      </c>
      <c r="E1010" s="2" t="s">
        <v>101</v>
      </c>
      <c r="F1010" s="2"/>
      <c r="G1010" s="2"/>
      <c r="H1010" s="2"/>
      <c r="I1010" s="2"/>
    </row>
    <row r="1011" spans="1:9" x14ac:dyDescent="0.35">
      <c r="A1011" s="2" t="s">
        <v>751</v>
      </c>
      <c r="B1011" s="2" t="s">
        <v>24</v>
      </c>
      <c r="C1011" s="2" t="s">
        <v>762</v>
      </c>
      <c r="D1011" s="2" t="s">
        <v>423</v>
      </c>
      <c r="E1011" s="2" t="s">
        <v>424</v>
      </c>
      <c r="F1011" s="2"/>
      <c r="G1011" s="2"/>
      <c r="H1011" s="2" t="s">
        <v>16</v>
      </c>
      <c r="I1011" s="2" t="s">
        <v>759</v>
      </c>
    </row>
    <row r="1012" spans="1:9" x14ac:dyDescent="0.35">
      <c r="A1012" s="2" t="s">
        <v>751</v>
      </c>
      <c r="B1012" s="2" t="s">
        <v>24</v>
      </c>
      <c r="C1012" s="2" t="s">
        <v>762</v>
      </c>
      <c r="D1012" s="2" t="s">
        <v>112</v>
      </c>
      <c r="E1012" s="2" t="s">
        <v>113</v>
      </c>
      <c r="F1012" s="2" t="s">
        <v>16</v>
      </c>
      <c r="G1012" s="2" t="s">
        <v>236</v>
      </c>
      <c r="H1012" s="2" t="s">
        <v>16</v>
      </c>
      <c r="I1012" s="2" t="s">
        <v>753</v>
      </c>
    </row>
    <row r="1013" spans="1:9" x14ac:dyDescent="0.35">
      <c r="A1013" s="2" t="s">
        <v>751</v>
      </c>
      <c r="B1013" s="2" t="s">
        <v>24</v>
      </c>
      <c r="C1013" s="2" t="s">
        <v>768</v>
      </c>
      <c r="D1013" s="2" t="s">
        <v>136</v>
      </c>
      <c r="E1013" s="2" t="s">
        <v>107</v>
      </c>
      <c r="F1013" s="2"/>
      <c r="G1013" s="2"/>
      <c r="H1013" s="2" t="s">
        <v>16</v>
      </c>
      <c r="I1013" s="2" t="s">
        <v>759</v>
      </c>
    </row>
    <row r="1014" spans="1:9" x14ac:dyDescent="0.35">
      <c r="A1014" s="2" t="s">
        <v>751</v>
      </c>
      <c r="B1014" s="2" t="s">
        <v>24</v>
      </c>
      <c r="C1014" s="2" t="s">
        <v>768</v>
      </c>
      <c r="D1014" s="2" t="s">
        <v>33</v>
      </c>
      <c r="E1014" s="2" t="s">
        <v>34</v>
      </c>
      <c r="F1014" s="2"/>
      <c r="G1014" s="2"/>
      <c r="H1014" s="2" t="s">
        <v>16</v>
      </c>
      <c r="I1014" s="2" t="s">
        <v>759</v>
      </c>
    </row>
    <row r="1015" spans="1:9" x14ac:dyDescent="0.35">
      <c r="A1015" s="2" t="s">
        <v>751</v>
      </c>
      <c r="B1015" s="2" t="s">
        <v>24</v>
      </c>
      <c r="C1015" s="2" t="s">
        <v>768</v>
      </c>
      <c r="D1015" s="2" t="s">
        <v>38</v>
      </c>
      <c r="E1015" s="2" t="s">
        <v>38</v>
      </c>
      <c r="F1015" s="2"/>
      <c r="G1015" s="2"/>
      <c r="H1015" s="2" t="s">
        <v>16</v>
      </c>
      <c r="I1015" s="2" t="s">
        <v>759</v>
      </c>
    </row>
    <row r="1016" spans="1:9" x14ac:dyDescent="0.35">
      <c r="A1016" s="2" t="s">
        <v>751</v>
      </c>
      <c r="B1016" s="2" t="s">
        <v>24</v>
      </c>
      <c r="C1016" s="2" t="s">
        <v>768</v>
      </c>
      <c r="D1016" s="2" t="s">
        <v>35</v>
      </c>
      <c r="E1016" s="2" t="s">
        <v>36</v>
      </c>
      <c r="F1016" s="2"/>
      <c r="G1016" s="2"/>
      <c r="H1016" s="2" t="s">
        <v>16</v>
      </c>
      <c r="I1016" s="2" t="s">
        <v>759</v>
      </c>
    </row>
    <row r="1017" spans="1:9" x14ac:dyDescent="0.35">
      <c r="A1017" s="2" t="s">
        <v>751</v>
      </c>
      <c r="B1017" s="2" t="s">
        <v>24</v>
      </c>
      <c r="C1017" s="2" t="s">
        <v>768</v>
      </c>
      <c r="D1017" s="2" t="s">
        <v>769</v>
      </c>
      <c r="E1017" s="2" t="s">
        <v>40</v>
      </c>
      <c r="F1017" s="2"/>
      <c r="G1017" s="2"/>
      <c r="H1017" s="2" t="s">
        <v>16</v>
      </c>
      <c r="I1017" s="2" t="s">
        <v>759</v>
      </c>
    </row>
    <row r="1018" spans="1:9" x14ac:dyDescent="0.35">
      <c r="A1018" s="2" t="s">
        <v>751</v>
      </c>
      <c r="B1018" s="2" t="s">
        <v>24</v>
      </c>
      <c r="C1018" s="2" t="s">
        <v>768</v>
      </c>
      <c r="D1018" s="2" t="s">
        <v>188</v>
      </c>
      <c r="E1018" s="2" t="s">
        <v>189</v>
      </c>
      <c r="F1018" s="2" t="s">
        <v>16</v>
      </c>
      <c r="G1018" s="2" t="s">
        <v>770</v>
      </c>
      <c r="H1018" s="2" t="s">
        <v>16</v>
      </c>
      <c r="I1018" s="2" t="s">
        <v>759</v>
      </c>
    </row>
    <row r="1019" spans="1:9" x14ac:dyDescent="0.35">
      <c r="A1019" s="2" t="s">
        <v>751</v>
      </c>
      <c r="B1019" s="2" t="s">
        <v>24</v>
      </c>
      <c r="C1019" s="2" t="s">
        <v>768</v>
      </c>
      <c r="D1019" s="2" t="s">
        <v>423</v>
      </c>
      <c r="E1019" s="2" t="s">
        <v>424</v>
      </c>
      <c r="F1019" s="2"/>
      <c r="G1019" s="2"/>
      <c r="H1019" s="2" t="s">
        <v>16</v>
      </c>
      <c r="I1019" s="2" t="s">
        <v>759</v>
      </c>
    </row>
    <row r="1020" spans="1:9" x14ac:dyDescent="0.35">
      <c r="A1020" s="2" t="s">
        <v>751</v>
      </c>
      <c r="B1020" s="2" t="s">
        <v>24</v>
      </c>
      <c r="C1020" s="2" t="s">
        <v>771</v>
      </c>
      <c r="D1020" s="2" t="s">
        <v>27</v>
      </c>
      <c r="E1020" s="2" t="s">
        <v>28</v>
      </c>
      <c r="F1020" s="2"/>
      <c r="G1020" s="2"/>
      <c r="H1020" s="2"/>
      <c r="I1020" s="2"/>
    </row>
    <row r="1021" spans="1:9" x14ac:dyDescent="0.35">
      <c r="A1021" s="2" t="s">
        <v>751</v>
      </c>
      <c r="B1021" s="2" t="s">
        <v>62</v>
      </c>
      <c r="C1021" s="2" t="s">
        <v>772</v>
      </c>
      <c r="D1021" s="2" t="s">
        <v>27</v>
      </c>
      <c r="E1021" s="2" t="s">
        <v>28</v>
      </c>
      <c r="F1021" s="2"/>
      <c r="G1021" s="2"/>
      <c r="H1021" s="2" t="s">
        <v>16</v>
      </c>
      <c r="I1021" s="2" t="s">
        <v>753</v>
      </c>
    </row>
    <row r="1022" spans="1:9" x14ac:dyDescent="0.35">
      <c r="A1022" s="2" t="s">
        <v>751</v>
      </c>
      <c r="B1022" s="2" t="s">
        <v>62</v>
      </c>
      <c r="C1022" s="2" t="s">
        <v>772</v>
      </c>
      <c r="D1022" s="2" t="s">
        <v>38</v>
      </c>
      <c r="E1022" s="2" t="s">
        <v>38</v>
      </c>
      <c r="F1022" s="2"/>
      <c r="G1022" s="2"/>
      <c r="H1022" s="2" t="s">
        <v>16</v>
      </c>
      <c r="I1022" s="2" t="s">
        <v>753</v>
      </c>
    </row>
    <row r="1023" spans="1:9" x14ac:dyDescent="0.35">
      <c r="A1023" s="2" t="s">
        <v>751</v>
      </c>
      <c r="B1023" s="2" t="s">
        <v>62</v>
      </c>
      <c r="C1023" s="2" t="s">
        <v>772</v>
      </c>
      <c r="D1023" s="2" t="s">
        <v>291</v>
      </c>
      <c r="E1023" s="2" t="s">
        <v>139</v>
      </c>
      <c r="F1023" s="2"/>
      <c r="G1023" s="2"/>
      <c r="H1023" s="2" t="s">
        <v>16</v>
      </c>
      <c r="I1023" s="2" t="s">
        <v>753</v>
      </c>
    </row>
    <row r="1024" spans="1:9" x14ac:dyDescent="0.35">
      <c r="A1024" s="2" t="s">
        <v>751</v>
      </c>
      <c r="B1024" s="2" t="s">
        <v>62</v>
      </c>
      <c r="C1024" s="2" t="s">
        <v>772</v>
      </c>
      <c r="D1024" s="2" t="s">
        <v>61</v>
      </c>
      <c r="E1024" s="2" t="s">
        <v>30</v>
      </c>
      <c r="F1024" s="2"/>
      <c r="G1024" s="2"/>
      <c r="H1024" s="2" t="s">
        <v>16</v>
      </c>
      <c r="I1024" s="2" t="s">
        <v>753</v>
      </c>
    </row>
    <row r="1025" spans="1:9" x14ac:dyDescent="0.35">
      <c r="A1025" s="2" t="s">
        <v>751</v>
      </c>
      <c r="B1025" s="2" t="s">
        <v>62</v>
      </c>
      <c r="C1025" s="2" t="s">
        <v>772</v>
      </c>
      <c r="D1025" s="2" t="s">
        <v>352</v>
      </c>
      <c r="E1025" s="2" t="s">
        <v>107</v>
      </c>
      <c r="F1025" s="2"/>
      <c r="G1025" s="2"/>
      <c r="H1025" s="2" t="s">
        <v>16</v>
      </c>
      <c r="I1025" s="2" t="s">
        <v>753</v>
      </c>
    </row>
    <row r="1026" spans="1:9" x14ac:dyDescent="0.35">
      <c r="A1026" s="2" t="s">
        <v>751</v>
      </c>
      <c r="B1026" s="2" t="s">
        <v>54</v>
      </c>
      <c r="C1026" s="2" t="s">
        <v>773</v>
      </c>
      <c r="D1026" s="2" t="s">
        <v>120</v>
      </c>
      <c r="E1026" s="2" t="s">
        <v>32</v>
      </c>
      <c r="F1026" s="2" t="s">
        <v>16</v>
      </c>
      <c r="G1026" s="2" t="s">
        <v>774</v>
      </c>
      <c r="H1026" s="2" t="s">
        <v>16</v>
      </c>
      <c r="I1026" s="2" t="s">
        <v>759</v>
      </c>
    </row>
    <row r="1027" spans="1:9" x14ac:dyDescent="0.35">
      <c r="A1027" s="2" t="s">
        <v>751</v>
      </c>
      <c r="B1027" s="2" t="s">
        <v>54</v>
      </c>
      <c r="C1027" s="2" t="s">
        <v>773</v>
      </c>
      <c r="D1027" s="2" t="s">
        <v>136</v>
      </c>
      <c r="E1027" s="2" t="s">
        <v>107</v>
      </c>
      <c r="F1027" s="2" t="s">
        <v>16</v>
      </c>
      <c r="G1027" s="2" t="s">
        <v>774</v>
      </c>
      <c r="H1027" s="2" t="s">
        <v>16</v>
      </c>
      <c r="I1027" s="2" t="s">
        <v>759</v>
      </c>
    </row>
    <row r="1028" spans="1:9" x14ac:dyDescent="0.35">
      <c r="A1028" s="2" t="s">
        <v>751</v>
      </c>
      <c r="B1028" s="2" t="s">
        <v>54</v>
      </c>
      <c r="C1028" s="2" t="s">
        <v>773</v>
      </c>
      <c r="D1028" s="2" t="s">
        <v>33</v>
      </c>
      <c r="E1028" s="2" t="s">
        <v>34</v>
      </c>
      <c r="F1028" s="2" t="s">
        <v>16</v>
      </c>
      <c r="G1028" s="2" t="s">
        <v>774</v>
      </c>
      <c r="H1028" s="2" t="s">
        <v>16</v>
      </c>
      <c r="I1028" s="2" t="s">
        <v>759</v>
      </c>
    </row>
    <row r="1029" spans="1:9" x14ac:dyDescent="0.35">
      <c r="A1029" s="2" t="s">
        <v>751</v>
      </c>
      <c r="B1029" s="2" t="s">
        <v>54</v>
      </c>
      <c r="C1029" s="2" t="s">
        <v>773</v>
      </c>
      <c r="D1029" s="2" t="s">
        <v>35</v>
      </c>
      <c r="E1029" s="2" t="s">
        <v>36</v>
      </c>
      <c r="F1029" s="2" t="s">
        <v>16</v>
      </c>
      <c r="G1029" s="2" t="s">
        <v>774</v>
      </c>
      <c r="H1029" s="2" t="s">
        <v>16</v>
      </c>
      <c r="I1029" s="2" t="s">
        <v>759</v>
      </c>
    </row>
    <row r="1030" spans="1:9" x14ac:dyDescent="0.35">
      <c r="A1030" s="2" t="s">
        <v>751</v>
      </c>
      <c r="B1030" s="2" t="s">
        <v>54</v>
      </c>
      <c r="C1030" s="2" t="s">
        <v>773</v>
      </c>
      <c r="D1030" s="2" t="s">
        <v>168</v>
      </c>
      <c r="E1030" s="2" t="s">
        <v>45</v>
      </c>
      <c r="F1030" s="2"/>
      <c r="G1030" s="2"/>
      <c r="H1030" s="2" t="s">
        <v>16</v>
      </c>
      <c r="I1030" s="2" t="s">
        <v>759</v>
      </c>
    </row>
    <row r="1031" spans="1:9" x14ac:dyDescent="0.35">
      <c r="A1031" s="2" t="s">
        <v>751</v>
      </c>
      <c r="B1031" s="2" t="s">
        <v>54</v>
      </c>
      <c r="C1031" s="2" t="s">
        <v>773</v>
      </c>
      <c r="D1031" s="2" t="s">
        <v>77</v>
      </c>
      <c r="E1031" s="2" t="s">
        <v>78</v>
      </c>
      <c r="F1031" s="2" t="s">
        <v>16</v>
      </c>
      <c r="G1031" s="2" t="s">
        <v>774</v>
      </c>
      <c r="H1031" s="2" t="s">
        <v>16</v>
      </c>
      <c r="I1031" s="2" t="s">
        <v>759</v>
      </c>
    </row>
    <row r="1032" spans="1:9" x14ac:dyDescent="0.35">
      <c r="A1032" s="2" t="s">
        <v>751</v>
      </c>
      <c r="B1032" s="2" t="s">
        <v>54</v>
      </c>
      <c r="C1032" s="2" t="s">
        <v>773</v>
      </c>
      <c r="D1032" s="2" t="s">
        <v>91</v>
      </c>
      <c r="E1032" s="2" t="s">
        <v>19</v>
      </c>
      <c r="F1032" s="2" t="s">
        <v>16</v>
      </c>
      <c r="G1032" s="2" t="s">
        <v>775</v>
      </c>
      <c r="H1032" s="2" t="s">
        <v>16</v>
      </c>
      <c r="I1032" s="2" t="s">
        <v>759</v>
      </c>
    </row>
    <row r="1033" spans="1:9" x14ac:dyDescent="0.35">
      <c r="A1033" s="2" t="s">
        <v>751</v>
      </c>
      <c r="B1033" s="2" t="s">
        <v>54</v>
      </c>
      <c r="C1033" s="2" t="s">
        <v>773</v>
      </c>
      <c r="D1033" s="2" t="s">
        <v>124</v>
      </c>
      <c r="E1033" s="2" t="s">
        <v>125</v>
      </c>
      <c r="F1033" s="2" t="s">
        <v>16</v>
      </c>
      <c r="G1033" s="2" t="s">
        <v>774</v>
      </c>
      <c r="H1033" s="2" t="s">
        <v>16</v>
      </c>
      <c r="I1033" s="2" t="s">
        <v>759</v>
      </c>
    </row>
    <row r="1034" spans="1:9" x14ac:dyDescent="0.35">
      <c r="A1034" s="2" t="s">
        <v>751</v>
      </c>
      <c r="B1034" s="2" t="s">
        <v>54</v>
      </c>
      <c r="C1034" s="2" t="s">
        <v>773</v>
      </c>
      <c r="D1034" s="2" t="s">
        <v>423</v>
      </c>
      <c r="E1034" s="2" t="s">
        <v>424</v>
      </c>
      <c r="F1034" s="2" t="s">
        <v>16</v>
      </c>
      <c r="G1034" s="2" t="s">
        <v>774</v>
      </c>
      <c r="H1034" s="2" t="s">
        <v>16</v>
      </c>
      <c r="I1034" s="2" t="s">
        <v>759</v>
      </c>
    </row>
    <row r="1035" spans="1:9" x14ac:dyDescent="0.35">
      <c r="A1035" s="2" t="s">
        <v>751</v>
      </c>
      <c r="B1035" s="2" t="s">
        <v>24</v>
      </c>
      <c r="C1035" s="2" t="s">
        <v>776</v>
      </c>
      <c r="D1035" s="2" t="s">
        <v>121</v>
      </c>
      <c r="E1035" s="2" t="s">
        <v>122</v>
      </c>
      <c r="F1035" s="2" t="s">
        <v>16</v>
      </c>
      <c r="G1035" s="2" t="s">
        <v>777</v>
      </c>
      <c r="H1035" s="2" t="s">
        <v>16</v>
      </c>
      <c r="I1035" s="2" t="s">
        <v>759</v>
      </c>
    </row>
    <row r="1036" spans="1:9" x14ac:dyDescent="0.35">
      <c r="A1036" s="2" t="s">
        <v>751</v>
      </c>
      <c r="B1036" s="2" t="s">
        <v>24</v>
      </c>
      <c r="C1036" s="2" t="s">
        <v>776</v>
      </c>
      <c r="D1036" s="2" t="s">
        <v>188</v>
      </c>
      <c r="E1036" s="2" t="s">
        <v>189</v>
      </c>
      <c r="F1036" s="2" t="s">
        <v>16</v>
      </c>
      <c r="G1036" s="2" t="s">
        <v>778</v>
      </c>
      <c r="H1036" s="2" t="s">
        <v>16</v>
      </c>
      <c r="I1036" s="2" t="s">
        <v>759</v>
      </c>
    </row>
    <row r="1037" spans="1:9" x14ac:dyDescent="0.35">
      <c r="A1037" s="2" t="s">
        <v>779</v>
      </c>
      <c r="B1037" s="2" t="s">
        <v>57</v>
      </c>
      <c r="C1037" s="2" t="s">
        <v>780</v>
      </c>
      <c r="D1037" s="2" t="s">
        <v>172</v>
      </c>
      <c r="E1037" s="2" t="s">
        <v>65</v>
      </c>
      <c r="F1037" s="2"/>
      <c r="G1037" s="2"/>
      <c r="H1037" s="2"/>
      <c r="I1037" s="2"/>
    </row>
    <row r="1038" spans="1:9" x14ac:dyDescent="0.35">
      <c r="A1038" s="2" t="s">
        <v>779</v>
      </c>
      <c r="B1038" s="2" t="s">
        <v>57</v>
      </c>
      <c r="C1038" s="2" t="s">
        <v>780</v>
      </c>
      <c r="D1038" s="2" t="s">
        <v>59</v>
      </c>
      <c r="E1038" s="2" t="s">
        <v>60</v>
      </c>
      <c r="F1038" s="2"/>
      <c r="G1038" s="2"/>
      <c r="H1038" s="2"/>
      <c r="I1038" s="2"/>
    </row>
    <row r="1039" spans="1:9" x14ac:dyDescent="0.35">
      <c r="A1039" s="2" t="s">
        <v>779</v>
      </c>
      <c r="B1039" s="2" t="s">
        <v>57</v>
      </c>
      <c r="C1039" s="2" t="s">
        <v>780</v>
      </c>
      <c r="D1039" s="2" t="s">
        <v>149</v>
      </c>
      <c r="E1039" s="2" t="s">
        <v>150</v>
      </c>
      <c r="F1039" s="2" t="s">
        <v>16</v>
      </c>
      <c r="G1039" s="2" t="s">
        <v>702</v>
      </c>
      <c r="H1039" s="2"/>
      <c r="I1039" s="2"/>
    </row>
    <row r="1040" spans="1:9" x14ac:dyDescent="0.35">
      <c r="A1040" s="2" t="s">
        <v>779</v>
      </c>
      <c r="B1040" s="2" t="s">
        <v>62</v>
      </c>
      <c r="C1040" s="2" t="s">
        <v>781</v>
      </c>
      <c r="D1040" s="2" t="s">
        <v>532</v>
      </c>
      <c r="E1040" s="2" t="s">
        <v>533</v>
      </c>
      <c r="F1040" s="2"/>
      <c r="G1040" s="2"/>
      <c r="H1040" s="2"/>
      <c r="I1040" s="2"/>
    </row>
    <row r="1041" spans="1:9" x14ac:dyDescent="0.35">
      <c r="A1041" s="2" t="s">
        <v>779</v>
      </c>
      <c r="B1041" s="2" t="s">
        <v>62</v>
      </c>
      <c r="C1041" s="2" t="s">
        <v>781</v>
      </c>
      <c r="D1041" s="2" t="s">
        <v>782</v>
      </c>
      <c r="E1041" s="2" t="s">
        <v>75</v>
      </c>
      <c r="F1041" s="2" t="s">
        <v>16</v>
      </c>
      <c r="G1041" s="2" t="s">
        <v>661</v>
      </c>
      <c r="H1041" s="2"/>
      <c r="I1041" s="2"/>
    </row>
    <row r="1042" spans="1:9" x14ac:dyDescent="0.35">
      <c r="A1042" s="2" t="s">
        <v>779</v>
      </c>
      <c r="B1042" s="2" t="s">
        <v>12</v>
      </c>
      <c r="C1042" s="2" t="s">
        <v>783</v>
      </c>
      <c r="D1042" s="2" t="s">
        <v>64</v>
      </c>
      <c r="E1042" s="2" t="s">
        <v>65</v>
      </c>
      <c r="F1042" s="2"/>
      <c r="G1042" s="2"/>
      <c r="H1042" s="2" t="s">
        <v>16</v>
      </c>
      <c r="I1042" s="2" t="s">
        <v>784</v>
      </c>
    </row>
    <row r="1043" spans="1:9" x14ac:dyDescent="0.35">
      <c r="A1043" s="2" t="s">
        <v>779</v>
      </c>
      <c r="B1043" s="2" t="s">
        <v>12</v>
      </c>
      <c r="C1043" s="2" t="s">
        <v>783</v>
      </c>
      <c r="D1043" s="2" t="s">
        <v>18</v>
      </c>
      <c r="E1043" s="2" t="s">
        <v>19</v>
      </c>
      <c r="F1043" s="2" t="s">
        <v>16</v>
      </c>
      <c r="G1043" s="2" t="s">
        <v>785</v>
      </c>
      <c r="H1043" s="2" t="s">
        <v>16</v>
      </c>
      <c r="I1043" s="2" t="s">
        <v>784</v>
      </c>
    </row>
    <row r="1044" spans="1:9" x14ac:dyDescent="0.35">
      <c r="A1044" s="2" t="s">
        <v>779</v>
      </c>
      <c r="B1044" s="2" t="s">
        <v>24</v>
      </c>
      <c r="C1044" s="2" t="s">
        <v>786</v>
      </c>
      <c r="D1044" s="2" t="s">
        <v>31</v>
      </c>
      <c r="E1044" s="2" t="s">
        <v>32</v>
      </c>
      <c r="F1044" s="2"/>
      <c r="G1044" s="2"/>
      <c r="H1044" s="2" t="s">
        <v>16</v>
      </c>
      <c r="I1044" s="2" t="s">
        <v>787</v>
      </c>
    </row>
    <row r="1045" spans="1:9" x14ac:dyDescent="0.35">
      <c r="A1045" s="2" t="s">
        <v>779</v>
      </c>
      <c r="B1045" s="2" t="s">
        <v>24</v>
      </c>
      <c r="C1045" s="2" t="s">
        <v>786</v>
      </c>
      <c r="D1045" s="2" t="s">
        <v>33</v>
      </c>
      <c r="E1045" s="2" t="s">
        <v>34</v>
      </c>
      <c r="F1045" s="2"/>
      <c r="G1045" s="2"/>
      <c r="H1045" s="2" t="s">
        <v>16</v>
      </c>
      <c r="I1045" s="2" t="s">
        <v>787</v>
      </c>
    </row>
    <row r="1046" spans="1:9" x14ac:dyDescent="0.35">
      <c r="A1046" s="2" t="s">
        <v>779</v>
      </c>
      <c r="B1046" s="2" t="s">
        <v>24</v>
      </c>
      <c r="C1046" s="2" t="s">
        <v>786</v>
      </c>
      <c r="D1046" s="2" t="s">
        <v>38</v>
      </c>
      <c r="E1046" s="2" t="s">
        <v>38</v>
      </c>
      <c r="F1046" s="2"/>
      <c r="G1046" s="2"/>
      <c r="H1046" s="2" t="s">
        <v>16</v>
      </c>
      <c r="I1046" s="2" t="s">
        <v>787</v>
      </c>
    </row>
    <row r="1047" spans="1:9" x14ac:dyDescent="0.35">
      <c r="A1047" s="2" t="s">
        <v>779</v>
      </c>
      <c r="B1047" s="2" t="s">
        <v>24</v>
      </c>
      <c r="C1047" s="2" t="s">
        <v>786</v>
      </c>
      <c r="D1047" s="2" t="s">
        <v>393</v>
      </c>
      <c r="E1047" s="2" t="s">
        <v>36</v>
      </c>
      <c r="F1047" s="2"/>
      <c r="G1047" s="2"/>
      <c r="H1047" s="2" t="s">
        <v>16</v>
      </c>
      <c r="I1047" s="2" t="s">
        <v>787</v>
      </c>
    </row>
    <row r="1048" spans="1:9" x14ac:dyDescent="0.35">
      <c r="A1048" s="2" t="s">
        <v>779</v>
      </c>
      <c r="B1048" s="2" t="s">
        <v>24</v>
      </c>
      <c r="C1048" s="2" t="s">
        <v>786</v>
      </c>
      <c r="D1048" s="2" t="s">
        <v>89</v>
      </c>
      <c r="E1048" s="2" t="s">
        <v>45</v>
      </c>
      <c r="F1048" s="2" t="s">
        <v>16</v>
      </c>
      <c r="G1048" s="2" t="s">
        <v>788</v>
      </c>
      <c r="H1048" s="2" t="s">
        <v>16</v>
      </c>
      <c r="I1048" s="2" t="s">
        <v>784</v>
      </c>
    </row>
    <row r="1049" spans="1:9" x14ac:dyDescent="0.35">
      <c r="A1049" s="2" t="s">
        <v>779</v>
      </c>
      <c r="B1049" s="2" t="s">
        <v>24</v>
      </c>
      <c r="C1049" s="2" t="s">
        <v>786</v>
      </c>
      <c r="D1049" s="2" t="s">
        <v>100</v>
      </c>
      <c r="E1049" s="2" t="s">
        <v>101</v>
      </c>
      <c r="F1049" s="2"/>
      <c r="G1049" s="2"/>
      <c r="H1049" s="2"/>
      <c r="I1049" s="2"/>
    </row>
    <row r="1050" spans="1:9" x14ac:dyDescent="0.35">
      <c r="A1050" s="2" t="s">
        <v>779</v>
      </c>
      <c r="B1050" s="2" t="s">
        <v>24</v>
      </c>
      <c r="C1050" s="2" t="s">
        <v>786</v>
      </c>
      <c r="D1050" s="2" t="s">
        <v>42</v>
      </c>
      <c r="E1050" s="2" t="s">
        <v>43</v>
      </c>
      <c r="F1050" s="2"/>
      <c r="G1050" s="2"/>
      <c r="H1050" s="2" t="s">
        <v>16</v>
      </c>
      <c r="I1050" s="2" t="s">
        <v>787</v>
      </c>
    </row>
    <row r="1051" spans="1:9" x14ac:dyDescent="0.35">
      <c r="A1051" s="2" t="s">
        <v>779</v>
      </c>
      <c r="B1051" s="2" t="s">
        <v>24</v>
      </c>
      <c r="C1051" s="2" t="s">
        <v>786</v>
      </c>
      <c r="D1051" s="2" t="s">
        <v>193</v>
      </c>
      <c r="E1051" s="2" t="s">
        <v>40</v>
      </c>
      <c r="F1051" s="2" t="s">
        <v>16</v>
      </c>
      <c r="G1051" s="2" t="s">
        <v>789</v>
      </c>
      <c r="H1051" s="2" t="s">
        <v>16</v>
      </c>
      <c r="I1051" s="2" t="s">
        <v>784</v>
      </c>
    </row>
    <row r="1052" spans="1:9" x14ac:dyDescent="0.35">
      <c r="A1052" s="2" t="s">
        <v>779</v>
      </c>
      <c r="B1052" s="2" t="s">
        <v>24</v>
      </c>
      <c r="C1052" s="2" t="s">
        <v>786</v>
      </c>
      <c r="D1052" s="2" t="s">
        <v>790</v>
      </c>
      <c r="E1052" s="2" t="s">
        <v>65</v>
      </c>
      <c r="F1052" s="2"/>
      <c r="G1052" s="2"/>
      <c r="H1052" s="2" t="s">
        <v>16</v>
      </c>
      <c r="I1052" s="2" t="s">
        <v>784</v>
      </c>
    </row>
    <row r="1053" spans="1:9" x14ac:dyDescent="0.35">
      <c r="A1053" s="2" t="s">
        <v>791</v>
      </c>
      <c r="B1053" s="2" t="s">
        <v>12</v>
      </c>
      <c r="C1053" s="2" t="s">
        <v>792</v>
      </c>
      <c r="D1053" s="2" t="s">
        <v>14</v>
      </c>
      <c r="E1053" s="2" t="s">
        <v>15</v>
      </c>
      <c r="F1053" s="2"/>
      <c r="G1053" s="2"/>
      <c r="H1053" s="2"/>
      <c r="I1053" s="2"/>
    </row>
    <row r="1054" spans="1:9" x14ac:dyDescent="0.35">
      <c r="A1054" s="2" t="s">
        <v>791</v>
      </c>
      <c r="B1054" s="2" t="s">
        <v>12</v>
      </c>
      <c r="C1054" s="2" t="s">
        <v>792</v>
      </c>
      <c r="D1054" s="2" t="s">
        <v>793</v>
      </c>
      <c r="E1054" s="2" t="s">
        <v>65</v>
      </c>
      <c r="F1054" s="2"/>
      <c r="G1054" s="2"/>
      <c r="H1054" s="2"/>
      <c r="I1054" s="2"/>
    </row>
    <row r="1055" spans="1:9" x14ac:dyDescent="0.35">
      <c r="A1055" s="2" t="s">
        <v>791</v>
      </c>
      <c r="B1055" s="2" t="s">
        <v>12</v>
      </c>
      <c r="C1055" s="2" t="s">
        <v>792</v>
      </c>
      <c r="D1055" s="2" t="s">
        <v>610</v>
      </c>
      <c r="E1055" s="2" t="s">
        <v>19</v>
      </c>
      <c r="F1055" s="2" t="s">
        <v>16</v>
      </c>
      <c r="G1055" s="2" t="s">
        <v>794</v>
      </c>
      <c r="H1055" s="2"/>
      <c r="I1055" s="2"/>
    </row>
    <row r="1056" spans="1:9" x14ac:dyDescent="0.35">
      <c r="A1056" s="2" t="s">
        <v>791</v>
      </c>
      <c r="B1056" s="2" t="s">
        <v>12</v>
      </c>
      <c r="C1056" s="2" t="s">
        <v>792</v>
      </c>
      <c r="D1056" s="2" t="s">
        <v>77</v>
      </c>
      <c r="E1056" s="2" t="s">
        <v>78</v>
      </c>
      <c r="F1056" s="2"/>
      <c r="G1056" s="2"/>
      <c r="H1056" s="2"/>
      <c r="I1056" s="2"/>
    </row>
    <row r="1057" spans="1:9" x14ac:dyDescent="0.35">
      <c r="A1057" s="2" t="s">
        <v>791</v>
      </c>
      <c r="B1057" s="2" t="s">
        <v>12</v>
      </c>
      <c r="C1057" s="2" t="s">
        <v>792</v>
      </c>
      <c r="D1057" s="2" t="s">
        <v>149</v>
      </c>
      <c r="E1057" s="2" t="s">
        <v>150</v>
      </c>
      <c r="F1057" s="2" t="s">
        <v>16</v>
      </c>
      <c r="G1057" s="2" t="s">
        <v>702</v>
      </c>
      <c r="H1057" s="2"/>
      <c r="I1057" s="2"/>
    </row>
    <row r="1058" spans="1:9" x14ac:dyDescent="0.35">
      <c r="A1058" s="2" t="s">
        <v>791</v>
      </c>
      <c r="B1058" s="2" t="s">
        <v>12</v>
      </c>
      <c r="C1058" s="2" t="s">
        <v>795</v>
      </c>
      <c r="D1058" s="2" t="s">
        <v>64</v>
      </c>
      <c r="E1058" s="2" t="s">
        <v>65</v>
      </c>
      <c r="F1058" s="2" t="s">
        <v>20</v>
      </c>
      <c r="G1058" s="2" t="s">
        <v>796</v>
      </c>
      <c r="H1058" s="2" t="s">
        <v>20</v>
      </c>
      <c r="I1058" s="2" t="s">
        <v>797</v>
      </c>
    </row>
    <row r="1059" spans="1:9" x14ac:dyDescent="0.35">
      <c r="A1059" s="2" t="s">
        <v>791</v>
      </c>
      <c r="B1059" s="2" t="s">
        <v>12</v>
      </c>
      <c r="C1059" s="2" t="s">
        <v>795</v>
      </c>
      <c r="D1059" s="2" t="s">
        <v>18</v>
      </c>
      <c r="E1059" s="2" t="s">
        <v>19</v>
      </c>
      <c r="F1059" s="2" t="s">
        <v>20</v>
      </c>
      <c r="G1059" s="2" t="s">
        <v>798</v>
      </c>
      <c r="H1059" s="2" t="s">
        <v>20</v>
      </c>
      <c r="I1059" s="2" t="s">
        <v>797</v>
      </c>
    </row>
    <row r="1060" spans="1:9" x14ac:dyDescent="0.35">
      <c r="A1060" s="2" t="s">
        <v>791</v>
      </c>
      <c r="B1060" s="2" t="s">
        <v>12</v>
      </c>
      <c r="C1060" s="2" t="s">
        <v>795</v>
      </c>
      <c r="D1060" s="2" t="s">
        <v>89</v>
      </c>
      <c r="E1060" s="2" t="s">
        <v>45</v>
      </c>
      <c r="F1060" s="2" t="s">
        <v>20</v>
      </c>
      <c r="G1060" s="2" t="s">
        <v>799</v>
      </c>
      <c r="H1060" s="2" t="s">
        <v>20</v>
      </c>
      <c r="I1060" s="2" t="s">
        <v>797</v>
      </c>
    </row>
    <row r="1061" spans="1:9" x14ac:dyDescent="0.35">
      <c r="A1061" s="2" t="s">
        <v>791</v>
      </c>
      <c r="B1061" s="2" t="s">
        <v>12</v>
      </c>
      <c r="C1061" s="2" t="s">
        <v>800</v>
      </c>
      <c r="D1061" s="2" t="s">
        <v>14</v>
      </c>
      <c r="E1061" s="2" t="s">
        <v>15</v>
      </c>
      <c r="F1061" s="2"/>
      <c r="G1061" s="2"/>
      <c r="H1061" s="2" t="s">
        <v>20</v>
      </c>
      <c r="I1061" s="2" t="s">
        <v>797</v>
      </c>
    </row>
    <row r="1062" spans="1:9" x14ac:dyDescent="0.35">
      <c r="A1062" s="2" t="s">
        <v>791</v>
      </c>
      <c r="B1062" s="2" t="s">
        <v>12</v>
      </c>
      <c r="C1062" s="2" t="s">
        <v>800</v>
      </c>
      <c r="D1062" s="2" t="s">
        <v>64</v>
      </c>
      <c r="E1062" s="2" t="s">
        <v>65</v>
      </c>
      <c r="F1062" s="2"/>
      <c r="G1062" s="2"/>
      <c r="H1062" s="2" t="s">
        <v>20</v>
      </c>
      <c r="I1062" s="2" t="s">
        <v>797</v>
      </c>
    </row>
    <row r="1063" spans="1:9" x14ac:dyDescent="0.35">
      <c r="A1063" s="2" t="s">
        <v>791</v>
      </c>
      <c r="B1063" s="2" t="s">
        <v>801</v>
      </c>
      <c r="C1063" s="2" t="s">
        <v>802</v>
      </c>
      <c r="D1063" s="2" t="s">
        <v>42</v>
      </c>
      <c r="E1063" s="2" t="s">
        <v>43</v>
      </c>
      <c r="F1063" s="2"/>
      <c r="G1063" s="2"/>
      <c r="H1063" s="2"/>
      <c r="I1063" s="2"/>
    </row>
    <row r="1064" spans="1:9" x14ac:dyDescent="0.35">
      <c r="A1064" s="2" t="s">
        <v>791</v>
      </c>
      <c r="B1064" s="2" t="s">
        <v>54</v>
      </c>
      <c r="C1064" s="2" t="s">
        <v>803</v>
      </c>
      <c r="D1064" s="2" t="s">
        <v>31</v>
      </c>
      <c r="E1064" s="2" t="s">
        <v>32</v>
      </c>
      <c r="F1064" s="2" t="s">
        <v>16</v>
      </c>
      <c r="G1064" s="2" t="s">
        <v>702</v>
      </c>
      <c r="H1064" s="2"/>
      <c r="I1064" s="2"/>
    </row>
    <row r="1065" spans="1:9" x14ac:dyDescent="0.35">
      <c r="A1065" s="2" t="s">
        <v>791</v>
      </c>
      <c r="B1065" s="2" t="s">
        <v>54</v>
      </c>
      <c r="C1065" s="2" t="s">
        <v>803</v>
      </c>
      <c r="D1065" s="2" t="s">
        <v>193</v>
      </c>
      <c r="E1065" s="2" t="s">
        <v>40</v>
      </c>
      <c r="F1065" s="2" t="s">
        <v>16</v>
      </c>
      <c r="G1065" s="2" t="s">
        <v>702</v>
      </c>
      <c r="H1065" s="2"/>
      <c r="I1065" s="2"/>
    </row>
    <row r="1066" spans="1:9" x14ac:dyDescent="0.35">
      <c r="A1066" s="2" t="s">
        <v>791</v>
      </c>
      <c r="B1066" s="2" t="s">
        <v>24</v>
      </c>
      <c r="C1066" s="2" t="s">
        <v>804</v>
      </c>
      <c r="D1066" s="2" t="s">
        <v>188</v>
      </c>
      <c r="E1066" s="2" t="s">
        <v>189</v>
      </c>
      <c r="F1066" s="2" t="s">
        <v>20</v>
      </c>
      <c r="G1066" s="2" t="s">
        <v>805</v>
      </c>
      <c r="H1066" s="2" t="s">
        <v>20</v>
      </c>
      <c r="I1066" s="2" t="s">
        <v>797</v>
      </c>
    </row>
    <row r="1067" spans="1:9" x14ac:dyDescent="0.35">
      <c r="A1067" s="2" t="s">
        <v>791</v>
      </c>
      <c r="B1067" s="2" t="s">
        <v>62</v>
      </c>
      <c r="C1067" s="2" t="s">
        <v>806</v>
      </c>
      <c r="D1067" s="2" t="s">
        <v>121</v>
      </c>
      <c r="E1067" s="2" t="s">
        <v>122</v>
      </c>
      <c r="F1067" s="2"/>
      <c r="G1067" s="2"/>
      <c r="H1067" s="2"/>
      <c r="I1067" s="2"/>
    </row>
    <row r="1068" spans="1:9" x14ac:dyDescent="0.35">
      <c r="A1068" s="2" t="s">
        <v>791</v>
      </c>
      <c r="B1068" s="2" t="s">
        <v>62</v>
      </c>
      <c r="C1068" s="2" t="s">
        <v>806</v>
      </c>
      <c r="D1068" s="2" t="s">
        <v>61</v>
      </c>
      <c r="E1068" s="2" t="s">
        <v>30</v>
      </c>
      <c r="F1068" s="2"/>
      <c r="G1068" s="2"/>
      <c r="H1068" s="2"/>
      <c r="I1068" s="2"/>
    </row>
    <row r="1069" spans="1:9" x14ac:dyDescent="0.35">
      <c r="A1069" s="2" t="s">
        <v>791</v>
      </c>
      <c r="B1069" s="2" t="s">
        <v>62</v>
      </c>
      <c r="C1069" s="2" t="s">
        <v>807</v>
      </c>
      <c r="D1069" s="2" t="s">
        <v>27</v>
      </c>
      <c r="E1069" s="2" t="s">
        <v>28</v>
      </c>
      <c r="F1069" s="2"/>
      <c r="G1069" s="2"/>
      <c r="H1069" s="2"/>
      <c r="I1069" s="2"/>
    </row>
    <row r="1070" spans="1:9" x14ac:dyDescent="0.35">
      <c r="A1070" s="2" t="s">
        <v>791</v>
      </c>
      <c r="B1070" s="2" t="s">
        <v>62</v>
      </c>
      <c r="C1070" s="2" t="s">
        <v>807</v>
      </c>
      <c r="D1070" s="2" t="s">
        <v>96</v>
      </c>
      <c r="E1070" s="2" t="s">
        <v>83</v>
      </c>
      <c r="F1070" s="2"/>
      <c r="G1070" s="2"/>
      <c r="H1070" s="2"/>
      <c r="I1070" s="2"/>
    </row>
    <row r="1071" spans="1:9" x14ac:dyDescent="0.35">
      <c r="A1071" s="2" t="s">
        <v>791</v>
      </c>
      <c r="B1071" s="2" t="s">
        <v>62</v>
      </c>
      <c r="C1071" s="2" t="s">
        <v>807</v>
      </c>
      <c r="D1071" s="2" t="s">
        <v>782</v>
      </c>
      <c r="E1071" s="2" t="s">
        <v>75</v>
      </c>
      <c r="F1071" s="2" t="s">
        <v>16</v>
      </c>
      <c r="G1071" s="2" t="s">
        <v>808</v>
      </c>
      <c r="H1071" s="2"/>
      <c r="I1071" s="2"/>
    </row>
    <row r="1072" spans="1:9" x14ac:dyDescent="0.35">
      <c r="A1072" s="2" t="s">
        <v>791</v>
      </c>
      <c r="B1072" s="2" t="s">
        <v>62</v>
      </c>
      <c r="C1072" s="2" t="s">
        <v>807</v>
      </c>
      <c r="D1072" s="2" t="s">
        <v>809</v>
      </c>
      <c r="E1072" s="2" t="s">
        <v>45</v>
      </c>
      <c r="F1072" s="2"/>
      <c r="G1072" s="2"/>
      <c r="H1072" s="2"/>
      <c r="I1072" s="2"/>
    </row>
    <row r="1073" spans="1:9" x14ac:dyDescent="0.35">
      <c r="A1073" s="2" t="s">
        <v>791</v>
      </c>
      <c r="B1073" s="2" t="s">
        <v>62</v>
      </c>
      <c r="C1073" s="2" t="s">
        <v>807</v>
      </c>
      <c r="D1073" s="2" t="s">
        <v>352</v>
      </c>
      <c r="E1073" s="2" t="s">
        <v>107</v>
      </c>
      <c r="F1073" s="2"/>
      <c r="G1073" s="2"/>
      <c r="H1073" s="2"/>
      <c r="I1073" s="2"/>
    </row>
    <row r="1074" spans="1:9" x14ac:dyDescent="0.35">
      <c r="A1074" s="2" t="s">
        <v>791</v>
      </c>
      <c r="B1074" s="2" t="s">
        <v>54</v>
      </c>
      <c r="C1074" s="2" t="s">
        <v>810</v>
      </c>
      <c r="D1074" s="2" t="s">
        <v>42</v>
      </c>
      <c r="E1074" s="2" t="s">
        <v>43</v>
      </c>
      <c r="F1074" s="2"/>
      <c r="G1074" s="2"/>
      <c r="H1074" s="2"/>
      <c r="I1074" s="2"/>
    </row>
    <row r="1075" spans="1:9" x14ac:dyDescent="0.35">
      <c r="A1075" s="2" t="s">
        <v>791</v>
      </c>
      <c r="B1075" s="2" t="s">
        <v>54</v>
      </c>
      <c r="C1075" s="2" t="s">
        <v>811</v>
      </c>
      <c r="D1075" s="2" t="s">
        <v>18</v>
      </c>
      <c r="E1075" s="2" t="s">
        <v>19</v>
      </c>
      <c r="F1075" s="2" t="s">
        <v>20</v>
      </c>
      <c r="G1075" s="2" t="s">
        <v>812</v>
      </c>
      <c r="H1075" s="2" t="s">
        <v>20</v>
      </c>
      <c r="I1075" s="2" t="s">
        <v>26</v>
      </c>
    </row>
    <row r="1076" spans="1:9" x14ac:dyDescent="0.35">
      <c r="A1076" s="2" t="s">
        <v>791</v>
      </c>
      <c r="B1076" s="2" t="s">
        <v>54</v>
      </c>
      <c r="C1076" s="2" t="s">
        <v>811</v>
      </c>
      <c r="D1076" s="2" t="s">
        <v>89</v>
      </c>
      <c r="E1076" s="2" t="s">
        <v>45</v>
      </c>
      <c r="F1076" s="2" t="s">
        <v>20</v>
      </c>
      <c r="G1076" s="2" t="s">
        <v>813</v>
      </c>
      <c r="H1076" s="2" t="s">
        <v>20</v>
      </c>
      <c r="I1076" s="2" t="s">
        <v>26</v>
      </c>
    </row>
    <row r="1077" spans="1:9" x14ac:dyDescent="0.35">
      <c r="A1077" s="2" t="s">
        <v>791</v>
      </c>
      <c r="B1077" s="2" t="s">
        <v>54</v>
      </c>
      <c r="C1077" s="2" t="s">
        <v>811</v>
      </c>
      <c r="D1077" s="2" t="s">
        <v>188</v>
      </c>
      <c r="E1077" s="2" t="s">
        <v>189</v>
      </c>
      <c r="F1077" s="2"/>
      <c r="G1077" s="2"/>
      <c r="H1077" s="2" t="s">
        <v>20</v>
      </c>
      <c r="I1077" s="2" t="s">
        <v>26</v>
      </c>
    </row>
    <row r="1078" spans="1:9" x14ac:dyDescent="0.35">
      <c r="A1078" s="2" t="s">
        <v>791</v>
      </c>
      <c r="B1078" s="2" t="s">
        <v>54</v>
      </c>
      <c r="C1078" s="2" t="s">
        <v>811</v>
      </c>
      <c r="D1078" s="2" t="s">
        <v>149</v>
      </c>
      <c r="E1078" s="2" t="s">
        <v>150</v>
      </c>
      <c r="F1078" s="2" t="s">
        <v>20</v>
      </c>
      <c r="G1078" s="2" t="s">
        <v>813</v>
      </c>
      <c r="H1078" s="2" t="s">
        <v>20</v>
      </c>
      <c r="I1078" s="2" t="s">
        <v>26</v>
      </c>
    </row>
    <row r="1079" spans="1:9" x14ac:dyDescent="0.35">
      <c r="A1079" s="2" t="s">
        <v>791</v>
      </c>
      <c r="B1079" s="2" t="s">
        <v>12</v>
      </c>
      <c r="C1079" s="2" t="s">
        <v>814</v>
      </c>
      <c r="D1079" s="2" t="s">
        <v>763</v>
      </c>
      <c r="E1079" s="2" t="s">
        <v>107</v>
      </c>
      <c r="F1079" s="2"/>
      <c r="G1079" s="2"/>
      <c r="H1079" s="2" t="s">
        <v>16</v>
      </c>
      <c r="I1079" s="2" t="s">
        <v>26</v>
      </c>
    </row>
    <row r="1080" spans="1:9" x14ac:dyDescent="0.35">
      <c r="A1080" s="2" t="s">
        <v>791</v>
      </c>
      <c r="B1080" s="2" t="s">
        <v>12</v>
      </c>
      <c r="C1080" s="2" t="s">
        <v>814</v>
      </c>
      <c r="D1080" s="2" t="s">
        <v>14</v>
      </c>
      <c r="E1080" s="2" t="s">
        <v>15</v>
      </c>
      <c r="F1080" s="2"/>
      <c r="G1080" s="2"/>
      <c r="H1080" s="2" t="s">
        <v>16</v>
      </c>
      <c r="I1080" s="2" t="s">
        <v>26</v>
      </c>
    </row>
    <row r="1081" spans="1:9" x14ac:dyDescent="0.35">
      <c r="A1081" s="2" t="s">
        <v>791</v>
      </c>
      <c r="B1081" s="2" t="s">
        <v>12</v>
      </c>
      <c r="C1081" s="2" t="s">
        <v>814</v>
      </c>
      <c r="D1081" s="2" t="s">
        <v>33</v>
      </c>
      <c r="E1081" s="2" t="s">
        <v>34</v>
      </c>
      <c r="F1081" s="2"/>
      <c r="G1081" s="2"/>
      <c r="H1081" s="2" t="s">
        <v>16</v>
      </c>
      <c r="I1081" s="2" t="s">
        <v>26</v>
      </c>
    </row>
    <row r="1082" spans="1:9" x14ac:dyDescent="0.35">
      <c r="A1082" s="2" t="s">
        <v>791</v>
      </c>
      <c r="B1082" s="2" t="s">
        <v>12</v>
      </c>
      <c r="C1082" s="2" t="s">
        <v>814</v>
      </c>
      <c r="D1082" s="2" t="s">
        <v>815</v>
      </c>
      <c r="E1082" s="2" t="s">
        <v>122</v>
      </c>
      <c r="F1082" s="2" t="s">
        <v>46</v>
      </c>
      <c r="G1082" s="2" t="s">
        <v>451</v>
      </c>
      <c r="H1082" s="2" t="s">
        <v>16</v>
      </c>
      <c r="I1082" s="2" t="s">
        <v>26</v>
      </c>
    </row>
    <row r="1083" spans="1:9" x14ac:dyDescent="0.35">
      <c r="A1083" s="2" t="s">
        <v>791</v>
      </c>
      <c r="B1083" s="2" t="s">
        <v>12</v>
      </c>
      <c r="C1083" s="2" t="s">
        <v>814</v>
      </c>
      <c r="D1083" s="2" t="s">
        <v>121</v>
      </c>
      <c r="E1083" s="2" t="s">
        <v>122</v>
      </c>
      <c r="F1083" s="2"/>
      <c r="G1083" s="2"/>
      <c r="H1083" s="2" t="s">
        <v>16</v>
      </c>
      <c r="I1083" s="2" t="s">
        <v>26</v>
      </c>
    </row>
    <row r="1084" spans="1:9" x14ac:dyDescent="0.35">
      <c r="A1084" s="2" t="s">
        <v>791</v>
      </c>
      <c r="B1084" s="2" t="s">
        <v>12</v>
      </c>
      <c r="C1084" s="2" t="s">
        <v>814</v>
      </c>
      <c r="D1084" s="2" t="s">
        <v>393</v>
      </c>
      <c r="E1084" s="2" t="s">
        <v>36</v>
      </c>
      <c r="F1084" s="2"/>
      <c r="G1084" s="2"/>
      <c r="H1084" s="2" t="s">
        <v>16</v>
      </c>
      <c r="I1084" s="2" t="s">
        <v>26</v>
      </c>
    </row>
    <row r="1085" spans="1:9" x14ac:dyDescent="0.35">
      <c r="A1085" s="2" t="s">
        <v>791</v>
      </c>
      <c r="B1085" s="2" t="s">
        <v>12</v>
      </c>
      <c r="C1085" s="2" t="s">
        <v>814</v>
      </c>
      <c r="D1085" s="2" t="s">
        <v>39</v>
      </c>
      <c r="E1085" s="2" t="s">
        <v>40</v>
      </c>
      <c r="F1085" s="2"/>
      <c r="G1085" s="2"/>
      <c r="H1085" s="2" t="s">
        <v>16</v>
      </c>
      <c r="I1085" s="2" t="s">
        <v>26</v>
      </c>
    </row>
    <row r="1086" spans="1:9" x14ac:dyDescent="0.35">
      <c r="A1086" s="2" t="s">
        <v>791</v>
      </c>
      <c r="B1086" s="2" t="s">
        <v>12</v>
      </c>
      <c r="C1086" s="2" t="s">
        <v>814</v>
      </c>
      <c r="D1086" s="2" t="s">
        <v>89</v>
      </c>
      <c r="E1086" s="2" t="s">
        <v>45</v>
      </c>
      <c r="F1086" s="2" t="s">
        <v>16</v>
      </c>
      <c r="G1086" s="2" t="s">
        <v>816</v>
      </c>
      <c r="H1086" s="2" t="s">
        <v>16</v>
      </c>
      <c r="I1086" s="2" t="s">
        <v>26</v>
      </c>
    </row>
    <row r="1087" spans="1:9" x14ac:dyDescent="0.35">
      <c r="A1087" s="2" t="s">
        <v>791</v>
      </c>
      <c r="B1087" s="2" t="s">
        <v>24</v>
      </c>
      <c r="C1087" s="2" t="s">
        <v>817</v>
      </c>
      <c r="D1087" s="2" t="s">
        <v>196</v>
      </c>
      <c r="E1087" s="2" t="s">
        <v>197</v>
      </c>
      <c r="F1087" s="2" t="s">
        <v>46</v>
      </c>
      <c r="G1087" s="2" t="s">
        <v>818</v>
      </c>
      <c r="H1087" s="2"/>
      <c r="I1087" s="2"/>
    </row>
    <row r="1088" spans="1:9" x14ac:dyDescent="0.35">
      <c r="A1088" s="2" t="s">
        <v>791</v>
      </c>
      <c r="B1088" s="2" t="s">
        <v>24</v>
      </c>
      <c r="C1088" s="2" t="s">
        <v>817</v>
      </c>
      <c r="D1088" s="2" t="s">
        <v>144</v>
      </c>
      <c r="E1088" s="2" t="s">
        <v>50</v>
      </c>
      <c r="F1088" s="2" t="s">
        <v>46</v>
      </c>
      <c r="G1088" s="2" t="s">
        <v>818</v>
      </c>
      <c r="H1088" s="2"/>
      <c r="I1088" s="2"/>
    </row>
    <row r="1089" spans="1:9" x14ac:dyDescent="0.35">
      <c r="A1089" s="2" t="s">
        <v>791</v>
      </c>
      <c r="B1089" s="2" t="s">
        <v>24</v>
      </c>
      <c r="C1089" s="2" t="s">
        <v>817</v>
      </c>
      <c r="D1089" s="2" t="s">
        <v>31</v>
      </c>
      <c r="E1089" s="2" t="s">
        <v>32</v>
      </c>
      <c r="F1089" s="2" t="s">
        <v>46</v>
      </c>
      <c r="G1089" s="2" t="s">
        <v>818</v>
      </c>
      <c r="H1089" s="2"/>
      <c r="I1089" s="2"/>
    </row>
    <row r="1090" spans="1:9" x14ac:dyDescent="0.35">
      <c r="A1090" s="2" t="s">
        <v>791</v>
      </c>
      <c r="B1090" s="2" t="s">
        <v>24</v>
      </c>
      <c r="C1090" s="2" t="s">
        <v>817</v>
      </c>
      <c r="D1090" s="2" t="s">
        <v>819</v>
      </c>
      <c r="E1090" s="2" t="s">
        <v>32</v>
      </c>
      <c r="F1090" s="2" t="s">
        <v>46</v>
      </c>
      <c r="G1090" s="2" t="s">
        <v>818</v>
      </c>
      <c r="H1090" s="2"/>
      <c r="I1090" s="2"/>
    </row>
    <row r="1091" spans="1:9" x14ac:dyDescent="0.35">
      <c r="A1091" s="2" t="s">
        <v>791</v>
      </c>
      <c r="B1091" s="2" t="s">
        <v>24</v>
      </c>
      <c r="C1091" s="2" t="s">
        <v>817</v>
      </c>
      <c r="D1091" s="2" t="s">
        <v>200</v>
      </c>
      <c r="E1091" s="2" t="s">
        <v>201</v>
      </c>
      <c r="F1091" s="2" t="s">
        <v>46</v>
      </c>
      <c r="G1091" s="2" t="s">
        <v>818</v>
      </c>
      <c r="H1091" s="2"/>
      <c r="I1091" s="2"/>
    </row>
    <row r="1092" spans="1:9" x14ac:dyDescent="0.35">
      <c r="A1092" s="2" t="s">
        <v>791</v>
      </c>
      <c r="B1092" s="2" t="s">
        <v>24</v>
      </c>
      <c r="C1092" s="2" t="s">
        <v>817</v>
      </c>
      <c r="D1092" s="2" t="s">
        <v>77</v>
      </c>
      <c r="E1092" s="2" t="s">
        <v>78</v>
      </c>
      <c r="F1092" s="2" t="s">
        <v>46</v>
      </c>
      <c r="G1092" s="2" t="s">
        <v>818</v>
      </c>
      <c r="H1092" s="2"/>
      <c r="I1092" s="2"/>
    </row>
    <row r="1093" spans="1:9" x14ac:dyDescent="0.35">
      <c r="A1093" s="2" t="s">
        <v>791</v>
      </c>
      <c r="B1093" s="2" t="s">
        <v>24</v>
      </c>
      <c r="C1093" s="2" t="s">
        <v>817</v>
      </c>
      <c r="D1093" s="2" t="s">
        <v>64</v>
      </c>
      <c r="E1093" s="2" t="s">
        <v>65</v>
      </c>
      <c r="F1093" s="2" t="s">
        <v>46</v>
      </c>
      <c r="G1093" s="2" t="s">
        <v>818</v>
      </c>
      <c r="H1093" s="2"/>
      <c r="I1093" s="2"/>
    </row>
    <row r="1094" spans="1:9" x14ac:dyDescent="0.35">
      <c r="A1094" s="2" t="s">
        <v>791</v>
      </c>
      <c r="B1094" s="2" t="s">
        <v>24</v>
      </c>
      <c r="C1094" s="2" t="s">
        <v>817</v>
      </c>
      <c r="D1094" s="2" t="s">
        <v>149</v>
      </c>
      <c r="E1094" s="2" t="s">
        <v>150</v>
      </c>
      <c r="F1094" s="2" t="s">
        <v>46</v>
      </c>
      <c r="G1094" s="2" t="s">
        <v>818</v>
      </c>
      <c r="H1094" s="2"/>
      <c r="I1094" s="2"/>
    </row>
    <row r="1095" spans="1:9" x14ac:dyDescent="0.35">
      <c r="A1095" s="2" t="s">
        <v>791</v>
      </c>
      <c r="B1095" s="2" t="s">
        <v>12</v>
      </c>
      <c r="C1095" s="2" t="s">
        <v>820</v>
      </c>
      <c r="D1095" s="2" t="s">
        <v>610</v>
      </c>
      <c r="E1095" s="2" t="s">
        <v>19</v>
      </c>
      <c r="F1095" s="2" t="s">
        <v>20</v>
      </c>
      <c r="G1095" s="2" t="s">
        <v>821</v>
      </c>
      <c r="H1095" s="2"/>
      <c r="I1095" s="2"/>
    </row>
    <row r="1096" spans="1:9" x14ac:dyDescent="0.35">
      <c r="A1096" s="2" t="s">
        <v>791</v>
      </c>
      <c r="B1096" s="2" t="s">
        <v>12</v>
      </c>
      <c r="C1096" s="2" t="s">
        <v>820</v>
      </c>
      <c r="D1096" s="2" t="s">
        <v>39</v>
      </c>
      <c r="E1096" s="2" t="s">
        <v>40</v>
      </c>
      <c r="F1096" s="2"/>
      <c r="G1096" s="2"/>
      <c r="H1096" s="2"/>
      <c r="I1096" s="2"/>
    </row>
    <row r="1097" spans="1:9" x14ac:dyDescent="0.35">
      <c r="A1097" s="2" t="s">
        <v>791</v>
      </c>
      <c r="B1097" s="2" t="s">
        <v>24</v>
      </c>
      <c r="C1097" s="2" t="s">
        <v>822</v>
      </c>
      <c r="D1097" s="2" t="s">
        <v>14</v>
      </c>
      <c r="E1097" s="2" t="s">
        <v>15</v>
      </c>
      <c r="F1097" s="2"/>
      <c r="G1097" s="2"/>
      <c r="H1097" s="2" t="s">
        <v>16</v>
      </c>
      <c r="I1097" s="2" t="s">
        <v>26</v>
      </c>
    </row>
    <row r="1098" spans="1:9" x14ac:dyDescent="0.35">
      <c r="A1098" s="2" t="s">
        <v>791</v>
      </c>
      <c r="B1098" s="2" t="s">
        <v>24</v>
      </c>
      <c r="C1098" s="2" t="s">
        <v>822</v>
      </c>
      <c r="D1098" s="2" t="s">
        <v>144</v>
      </c>
      <c r="E1098" s="2" t="s">
        <v>50</v>
      </c>
      <c r="F1098" s="2"/>
      <c r="G1098" s="2"/>
      <c r="H1098" s="2" t="s">
        <v>16</v>
      </c>
      <c r="I1098" s="2" t="s">
        <v>26</v>
      </c>
    </row>
    <row r="1099" spans="1:9" x14ac:dyDescent="0.35">
      <c r="A1099" s="2" t="s">
        <v>791</v>
      </c>
      <c r="B1099" s="2" t="s">
        <v>24</v>
      </c>
      <c r="C1099" s="2" t="s">
        <v>822</v>
      </c>
      <c r="D1099" s="2" t="s">
        <v>27</v>
      </c>
      <c r="E1099" s="2" t="s">
        <v>28</v>
      </c>
      <c r="F1099" s="2"/>
      <c r="G1099" s="2"/>
      <c r="H1099" s="2" t="s">
        <v>16</v>
      </c>
      <c r="I1099" s="2" t="s">
        <v>26</v>
      </c>
    </row>
    <row r="1100" spans="1:9" x14ac:dyDescent="0.35">
      <c r="A1100" s="2" t="s">
        <v>791</v>
      </c>
      <c r="B1100" s="2" t="s">
        <v>24</v>
      </c>
      <c r="C1100" s="2" t="s">
        <v>822</v>
      </c>
      <c r="D1100" s="2" t="s">
        <v>31</v>
      </c>
      <c r="E1100" s="2" t="s">
        <v>32</v>
      </c>
      <c r="F1100" s="2"/>
      <c r="G1100" s="2"/>
      <c r="H1100" s="2" t="s">
        <v>16</v>
      </c>
      <c r="I1100" s="2" t="s">
        <v>26</v>
      </c>
    </row>
    <row r="1101" spans="1:9" x14ac:dyDescent="0.35">
      <c r="A1101" s="2" t="s">
        <v>791</v>
      </c>
      <c r="B1101" s="2" t="s">
        <v>24</v>
      </c>
      <c r="C1101" s="2" t="s">
        <v>822</v>
      </c>
      <c r="D1101" s="2" t="s">
        <v>121</v>
      </c>
      <c r="E1101" s="2" t="s">
        <v>122</v>
      </c>
      <c r="F1101" s="2"/>
      <c r="G1101" s="2"/>
      <c r="H1101" s="2" t="s">
        <v>16</v>
      </c>
      <c r="I1101" s="2" t="s">
        <v>26</v>
      </c>
    </row>
    <row r="1102" spans="1:9" x14ac:dyDescent="0.35">
      <c r="A1102" s="2" t="s">
        <v>791</v>
      </c>
      <c r="B1102" s="2" t="s">
        <v>24</v>
      </c>
      <c r="C1102" s="2" t="s">
        <v>822</v>
      </c>
      <c r="D1102" s="2" t="s">
        <v>126</v>
      </c>
      <c r="E1102" s="2" t="s">
        <v>36</v>
      </c>
      <c r="F1102" s="2"/>
      <c r="G1102" s="2"/>
      <c r="H1102" s="2" t="s">
        <v>16</v>
      </c>
      <c r="I1102" s="2" t="s">
        <v>26</v>
      </c>
    </row>
    <row r="1103" spans="1:9" x14ac:dyDescent="0.35">
      <c r="A1103" s="2" t="s">
        <v>791</v>
      </c>
      <c r="B1103" s="2" t="s">
        <v>24</v>
      </c>
      <c r="C1103" s="2" t="s">
        <v>822</v>
      </c>
      <c r="D1103" s="2" t="s">
        <v>64</v>
      </c>
      <c r="E1103" s="2" t="s">
        <v>65</v>
      </c>
      <c r="F1103" s="2"/>
      <c r="G1103" s="2"/>
      <c r="H1103" s="2" t="s">
        <v>16</v>
      </c>
      <c r="I1103" s="2" t="s">
        <v>26</v>
      </c>
    </row>
    <row r="1104" spans="1:9" x14ac:dyDescent="0.35">
      <c r="A1104" s="2" t="s">
        <v>791</v>
      </c>
      <c r="B1104" s="2" t="s">
        <v>24</v>
      </c>
      <c r="C1104" s="2" t="s">
        <v>822</v>
      </c>
      <c r="D1104" s="2" t="s">
        <v>18</v>
      </c>
      <c r="E1104" s="2" t="s">
        <v>19</v>
      </c>
      <c r="F1104" s="2" t="s">
        <v>16</v>
      </c>
      <c r="G1104" s="2" t="s">
        <v>823</v>
      </c>
      <c r="H1104" s="2" t="s">
        <v>16</v>
      </c>
      <c r="I1104" s="2" t="s">
        <v>26</v>
      </c>
    </row>
    <row r="1105" spans="1:9" x14ac:dyDescent="0.35">
      <c r="A1105" s="2" t="s">
        <v>791</v>
      </c>
      <c r="B1105" s="2" t="s">
        <v>24</v>
      </c>
      <c r="C1105" s="2" t="s">
        <v>822</v>
      </c>
      <c r="D1105" s="2" t="s">
        <v>100</v>
      </c>
      <c r="E1105" s="2" t="s">
        <v>101</v>
      </c>
      <c r="F1105" s="2"/>
      <c r="G1105" s="2"/>
      <c r="H1105" s="2"/>
      <c r="I1105" s="2"/>
    </row>
    <row r="1106" spans="1:9" x14ac:dyDescent="0.35">
      <c r="A1106" s="2" t="s">
        <v>791</v>
      </c>
      <c r="B1106" s="2" t="s">
        <v>24</v>
      </c>
      <c r="C1106" s="2" t="s">
        <v>822</v>
      </c>
      <c r="D1106" s="2" t="s">
        <v>149</v>
      </c>
      <c r="E1106" s="2" t="s">
        <v>150</v>
      </c>
      <c r="F1106" s="2" t="s">
        <v>16</v>
      </c>
      <c r="G1106" s="2" t="s">
        <v>702</v>
      </c>
      <c r="H1106" s="2" t="s">
        <v>16</v>
      </c>
      <c r="I1106" s="2" t="s">
        <v>26</v>
      </c>
    </row>
    <row r="1107" spans="1:9" x14ac:dyDescent="0.35">
      <c r="A1107" s="2" t="s">
        <v>791</v>
      </c>
      <c r="B1107" s="2" t="s">
        <v>12</v>
      </c>
      <c r="C1107" s="2" t="s">
        <v>824</v>
      </c>
      <c r="D1107" s="2" t="s">
        <v>14</v>
      </c>
      <c r="E1107" s="2" t="s">
        <v>15</v>
      </c>
      <c r="F1107" s="2"/>
      <c r="G1107" s="2"/>
      <c r="H1107" s="2" t="s">
        <v>16</v>
      </c>
      <c r="I1107" s="2" t="s">
        <v>26</v>
      </c>
    </row>
    <row r="1108" spans="1:9" x14ac:dyDescent="0.35">
      <c r="A1108" s="2" t="s">
        <v>791</v>
      </c>
      <c r="B1108" s="2" t="s">
        <v>12</v>
      </c>
      <c r="C1108" s="2" t="s">
        <v>824</v>
      </c>
      <c r="D1108" s="2" t="s">
        <v>74</v>
      </c>
      <c r="E1108" s="2" t="s">
        <v>75</v>
      </c>
      <c r="F1108" s="2" t="s">
        <v>16</v>
      </c>
      <c r="G1108" s="2" t="s">
        <v>825</v>
      </c>
      <c r="H1108" s="2" t="s">
        <v>16</v>
      </c>
      <c r="I1108" s="2" t="s">
        <v>26</v>
      </c>
    </row>
    <row r="1109" spans="1:9" x14ac:dyDescent="0.35">
      <c r="A1109" s="2" t="s">
        <v>791</v>
      </c>
      <c r="B1109" s="2" t="s">
        <v>12</v>
      </c>
      <c r="C1109" s="2" t="s">
        <v>824</v>
      </c>
      <c r="D1109" s="2" t="s">
        <v>27</v>
      </c>
      <c r="E1109" s="2" t="s">
        <v>28</v>
      </c>
      <c r="F1109" s="2" t="s">
        <v>16</v>
      </c>
      <c r="G1109" s="2" t="s">
        <v>826</v>
      </c>
      <c r="H1109" s="2" t="s">
        <v>16</v>
      </c>
      <c r="I1109" s="2" t="s">
        <v>26</v>
      </c>
    </row>
    <row r="1110" spans="1:9" x14ac:dyDescent="0.35">
      <c r="A1110" s="2" t="s">
        <v>791</v>
      </c>
      <c r="B1110" s="2" t="s">
        <v>12</v>
      </c>
      <c r="C1110" s="2" t="s">
        <v>824</v>
      </c>
      <c r="D1110" s="2" t="s">
        <v>120</v>
      </c>
      <c r="E1110" s="2" t="s">
        <v>32</v>
      </c>
      <c r="F1110" s="2" t="s">
        <v>16</v>
      </c>
      <c r="G1110" s="2" t="s">
        <v>826</v>
      </c>
      <c r="H1110" s="2" t="s">
        <v>16</v>
      </c>
      <c r="I1110" s="2" t="s">
        <v>26</v>
      </c>
    </row>
    <row r="1111" spans="1:9" x14ac:dyDescent="0.35">
      <c r="A1111" s="2" t="s">
        <v>791</v>
      </c>
      <c r="B1111" s="2" t="s">
        <v>12</v>
      </c>
      <c r="C1111" s="2" t="s">
        <v>824</v>
      </c>
      <c r="D1111" s="2" t="s">
        <v>38</v>
      </c>
      <c r="E1111" s="2" t="s">
        <v>38</v>
      </c>
      <c r="F1111" s="2" t="s">
        <v>16</v>
      </c>
      <c r="G1111" s="2" t="s">
        <v>826</v>
      </c>
      <c r="H1111" s="2" t="s">
        <v>16</v>
      </c>
      <c r="I1111" s="2" t="s">
        <v>26</v>
      </c>
    </row>
    <row r="1112" spans="1:9" x14ac:dyDescent="0.35">
      <c r="A1112" s="2" t="s">
        <v>791</v>
      </c>
      <c r="B1112" s="2" t="s">
        <v>12</v>
      </c>
      <c r="C1112" s="2" t="s">
        <v>824</v>
      </c>
      <c r="D1112" s="2" t="s">
        <v>77</v>
      </c>
      <c r="E1112" s="2" t="s">
        <v>78</v>
      </c>
      <c r="F1112" s="2" t="s">
        <v>16</v>
      </c>
      <c r="G1112" s="2" t="s">
        <v>826</v>
      </c>
      <c r="H1112" s="2" t="s">
        <v>16</v>
      </c>
      <c r="I1112" s="2" t="s">
        <v>26</v>
      </c>
    </row>
    <row r="1113" spans="1:9" x14ac:dyDescent="0.35">
      <c r="A1113" s="2" t="s">
        <v>791</v>
      </c>
      <c r="B1113" s="2" t="s">
        <v>12</v>
      </c>
      <c r="C1113" s="2" t="s">
        <v>824</v>
      </c>
      <c r="D1113" s="2" t="s">
        <v>64</v>
      </c>
      <c r="E1113" s="2" t="s">
        <v>65</v>
      </c>
      <c r="F1113" s="2" t="s">
        <v>16</v>
      </c>
      <c r="G1113" s="2" t="s">
        <v>826</v>
      </c>
      <c r="H1113" s="2" t="s">
        <v>16</v>
      </c>
      <c r="I1113" s="2" t="s">
        <v>26</v>
      </c>
    </row>
    <row r="1114" spans="1:9" x14ac:dyDescent="0.35">
      <c r="A1114" s="2" t="s">
        <v>791</v>
      </c>
      <c r="B1114" s="2" t="s">
        <v>12</v>
      </c>
      <c r="C1114" s="2" t="s">
        <v>824</v>
      </c>
      <c r="D1114" s="2" t="s">
        <v>85</v>
      </c>
      <c r="E1114" s="2" t="s">
        <v>85</v>
      </c>
      <c r="F1114" s="2" t="s">
        <v>16</v>
      </c>
      <c r="G1114" s="2" t="s">
        <v>826</v>
      </c>
      <c r="H1114" s="2" t="s">
        <v>16</v>
      </c>
      <c r="I1114" s="2" t="s">
        <v>26</v>
      </c>
    </row>
    <row r="1115" spans="1:9" x14ac:dyDescent="0.35">
      <c r="A1115" s="2" t="s">
        <v>791</v>
      </c>
      <c r="B1115" s="2" t="s">
        <v>12</v>
      </c>
      <c r="C1115" s="2" t="s">
        <v>824</v>
      </c>
      <c r="D1115" s="2" t="s">
        <v>193</v>
      </c>
      <c r="E1115" s="2" t="s">
        <v>40</v>
      </c>
      <c r="F1115" s="2" t="s">
        <v>16</v>
      </c>
      <c r="G1115" s="2" t="s">
        <v>826</v>
      </c>
      <c r="H1115" s="2" t="s">
        <v>16</v>
      </c>
      <c r="I1115" s="2" t="s">
        <v>26</v>
      </c>
    </row>
    <row r="1116" spans="1:9" x14ac:dyDescent="0.35">
      <c r="A1116" s="2" t="s">
        <v>791</v>
      </c>
      <c r="B1116" s="2" t="s">
        <v>57</v>
      </c>
      <c r="C1116" s="2" t="s">
        <v>827</v>
      </c>
      <c r="D1116" s="2" t="s">
        <v>14</v>
      </c>
      <c r="E1116" s="2" t="s">
        <v>15</v>
      </c>
      <c r="F1116" s="2"/>
      <c r="G1116" s="2"/>
      <c r="H1116" s="2"/>
      <c r="I1116" s="2"/>
    </row>
    <row r="1117" spans="1:9" x14ac:dyDescent="0.35">
      <c r="A1117" s="2" t="s">
        <v>791</v>
      </c>
      <c r="B1117" s="2" t="s">
        <v>57</v>
      </c>
      <c r="C1117" s="2" t="s">
        <v>827</v>
      </c>
      <c r="D1117" s="2" t="s">
        <v>27</v>
      </c>
      <c r="E1117" s="2" t="s">
        <v>28</v>
      </c>
      <c r="F1117" s="2"/>
      <c r="G1117" s="2"/>
      <c r="H1117" s="2"/>
      <c r="I1117" s="2"/>
    </row>
    <row r="1118" spans="1:9" x14ac:dyDescent="0.35">
      <c r="A1118" s="2" t="s">
        <v>791</v>
      </c>
      <c r="B1118" s="2" t="s">
        <v>57</v>
      </c>
      <c r="C1118" s="2" t="s">
        <v>827</v>
      </c>
      <c r="D1118" s="2" t="s">
        <v>120</v>
      </c>
      <c r="E1118" s="2" t="s">
        <v>32</v>
      </c>
      <c r="F1118" s="2"/>
      <c r="G1118" s="2"/>
      <c r="H1118" s="2"/>
      <c r="I1118" s="2"/>
    </row>
    <row r="1119" spans="1:9" x14ac:dyDescent="0.35">
      <c r="A1119" s="2" t="s">
        <v>791</v>
      </c>
      <c r="B1119" s="2" t="s">
        <v>57</v>
      </c>
      <c r="C1119" s="2" t="s">
        <v>827</v>
      </c>
      <c r="D1119" s="2" t="s">
        <v>59</v>
      </c>
      <c r="E1119" s="2" t="s">
        <v>60</v>
      </c>
      <c r="F1119" s="2"/>
      <c r="G1119" s="2"/>
      <c r="H1119" s="2"/>
      <c r="I1119" s="2"/>
    </row>
    <row r="1120" spans="1:9" x14ac:dyDescent="0.35">
      <c r="A1120" s="2" t="s">
        <v>791</v>
      </c>
      <c r="B1120" s="2" t="s">
        <v>57</v>
      </c>
      <c r="C1120" s="2" t="s">
        <v>827</v>
      </c>
      <c r="D1120" s="2" t="s">
        <v>121</v>
      </c>
      <c r="E1120" s="2" t="s">
        <v>122</v>
      </c>
      <c r="F1120" s="2"/>
      <c r="G1120" s="2"/>
      <c r="H1120" s="2"/>
      <c r="I1120" s="2"/>
    </row>
    <row r="1121" spans="1:9" x14ac:dyDescent="0.35">
      <c r="A1121" s="2" t="s">
        <v>791</v>
      </c>
      <c r="B1121" s="2" t="s">
        <v>57</v>
      </c>
      <c r="C1121" s="2" t="s">
        <v>827</v>
      </c>
      <c r="D1121" s="2" t="s">
        <v>18</v>
      </c>
      <c r="E1121" s="2" t="s">
        <v>19</v>
      </c>
      <c r="F1121" s="2" t="s">
        <v>16</v>
      </c>
      <c r="G1121" s="2" t="s">
        <v>828</v>
      </c>
      <c r="H1121" s="2"/>
      <c r="I1121" s="2"/>
    </row>
    <row r="1122" spans="1:9" x14ac:dyDescent="0.35">
      <c r="A1122" s="2" t="s">
        <v>791</v>
      </c>
      <c r="B1122" s="2" t="s">
        <v>57</v>
      </c>
      <c r="C1122" s="2" t="s">
        <v>827</v>
      </c>
      <c r="D1122" s="2" t="s">
        <v>149</v>
      </c>
      <c r="E1122" s="2" t="s">
        <v>150</v>
      </c>
      <c r="F1122" s="2" t="s">
        <v>16</v>
      </c>
      <c r="G1122" s="2" t="s">
        <v>702</v>
      </c>
      <c r="H1122" s="2"/>
      <c r="I1122" s="2"/>
    </row>
    <row r="1123" spans="1:9" x14ac:dyDescent="0.35">
      <c r="A1123" s="2" t="s">
        <v>791</v>
      </c>
      <c r="B1123" s="2" t="s">
        <v>57</v>
      </c>
      <c r="C1123" s="2" t="s">
        <v>827</v>
      </c>
      <c r="D1123" s="2" t="s">
        <v>112</v>
      </c>
      <c r="E1123" s="2" t="s">
        <v>113</v>
      </c>
      <c r="F1123" s="2" t="s">
        <v>16</v>
      </c>
      <c r="G1123" s="2" t="s">
        <v>702</v>
      </c>
      <c r="H1123" s="2"/>
      <c r="I1123" s="2"/>
    </row>
    <row r="1124" spans="1:9" x14ac:dyDescent="0.35">
      <c r="A1124" s="2" t="s">
        <v>791</v>
      </c>
      <c r="B1124" s="2" t="s">
        <v>12</v>
      </c>
      <c r="C1124" s="2" t="s">
        <v>829</v>
      </c>
      <c r="D1124" s="2" t="s">
        <v>91</v>
      </c>
      <c r="E1124" s="2" t="s">
        <v>19</v>
      </c>
      <c r="F1124" s="2" t="s">
        <v>16</v>
      </c>
      <c r="G1124" s="2" t="s">
        <v>538</v>
      </c>
      <c r="H1124" s="2" t="s">
        <v>16</v>
      </c>
      <c r="I1124" s="2" t="s">
        <v>830</v>
      </c>
    </row>
    <row r="1125" spans="1:9" x14ac:dyDescent="0.35">
      <c r="A1125" s="2" t="s">
        <v>791</v>
      </c>
      <c r="B1125" s="2" t="s">
        <v>12</v>
      </c>
      <c r="C1125" s="2" t="s">
        <v>829</v>
      </c>
      <c r="D1125" s="2" t="s">
        <v>77</v>
      </c>
      <c r="E1125" s="2" t="s">
        <v>78</v>
      </c>
      <c r="F1125" s="2"/>
      <c r="G1125" s="2"/>
      <c r="H1125" s="2"/>
      <c r="I1125" s="2"/>
    </row>
    <row r="1126" spans="1:9" x14ac:dyDescent="0.35">
      <c r="A1126" s="2" t="s">
        <v>791</v>
      </c>
      <c r="B1126" s="2" t="s">
        <v>12</v>
      </c>
      <c r="C1126" s="2" t="s">
        <v>829</v>
      </c>
      <c r="D1126" s="2" t="s">
        <v>89</v>
      </c>
      <c r="E1126" s="2" t="s">
        <v>45</v>
      </c>
      <c r="F1126" s="2"/>
      <c r="G1126" s="2"/>
      <c r="H1126" s="2" t="s">
        <v>16</v>
      </c>
      <c r="I1126" s="2" t="s">
        <v>830</v>
      </c>
    </row>
    <row r="1127" spans="1:9" x14ac:dyDescent="0.35">
      <c r="A1127" s="2" t="s">
        <v>791</v>
      </c>
      <c r="B1127" s="2" t="s">
        <v>12</v>
      </c>
      <c r="C1127" s="2" t="s">
        <v>831</v>
      </c>
      <c r="D1127" s="2" t="s">
        <v>18</v>
      </c>
      <c r="E1127" s="2" t="s">
        <v>19</v>
      </c>
      <c r="F1127" s="2" t="s">
        <v>20</v>
      </c>
      <c r="G1127" s="2" t="s">
        <v>832</v>
      </c>
      <c r="H1127" s="2"/>
      <c r="I1127" s="2"/>
    </row>
    <row r="1128" spans="1:9" x14ac:dyDescent="0.35">
      <c r="A1128" s="2" t="s">
        <v>791</v>
      </c>
      <c r="B1128" s="2" t="s">
        <v>12</v>
      </c>
      <c r="C1128" s="2" t="s">
        <v>831</v>
      </c>
      <c r="D1128" s="2" t="s">
        <v>188</v>
      </c>
      <c r="E1128" s="2" t="s">
        <v>189</v>
      </c>
      <c r="F1128" s="2"/>
      <c r="G1128" s="2"/>
      <c r="H1128" s="2"/>
      <c r="I1128" s="2"/>
    </row>
    <row r="1129" spans="1:9" x14ac:dyDescent="0.35">
      <c r="A1129" s="2" t="s">
        <v>791</v>
      </c>
      <c r="B1129" s="2" t="s">
        <v>24</v>
      </c>
      <c r="C1129" s="2" t="s">
        <v>833</v>
      </c>
      <c r="D1129" s="2" t="s">
        <v>76</v>
      </c>
      <c r="E1129" s="2" t="s">
        <v>75</v>
      </c>
      <c r="F1129" s="2" t="s">
        <v>16</v>
      </c>
      <c r="G1129" s="2" t="s">
        <v>834</v>
      </c>
      <c r="H1129" s="2"/>
      <c r="I1129" s="2"/>
    </row>
    <row r="1130" spans="1:9" x14ac:dyDescent="0.35">
      <c r="A1130" s="2" t="s">
        <v>791</v>
      </c>
      <c r="B1130" s="2" t="s">
        <v>62</v>
      </c>
      <c r="C1130" s="2" t="s">
        <v>835</v>
      </c>
      <c r="D1130" s="2" t="s">
        <v>836</v>
      </c>
      <c r="E1130" s="2" t="s">
        <v>78</v>
      </c>
      <c r="F1130" s="2" t="s">
        <v>46</v>
      </c>
      <c r="G1130" s="2" t="s">
        <v>837</v>
      </c>
      <c r="H1130" s="2"/>
      <c r="I1130" s="2"/>
    </row>
    <row r="1131" spans="1:9" x14ac:dyDescent="0.35">
      <c r="A1131" s="2" t="s">
        <v>791</v>
      </c>
      <c r="B1131" s="2" t="s">
        <v>62</v>
      </c>
      <c r="C1131" s="2" t="s">
        <v>835</v>
      </c>
      <c r="D1131" s="2" t="s">
        <v>782</v>
      </c>
      <c r="E1131" s="2" t="s">
        <v>75</v>
      </c>
      <c r="F1131" s="2" t="s">
        <v>46</v>
      </c>
      <c r="G1131" s="2" t="s">
        <v>837</v>
      </c>
      <c r="H1131" s="2"/>
      <c r="I1131" s="2"/>
    </row>
    <row r="1132" spans="1:9" x14ac:dyDescent="0.35">
      <c r="A1132" s="2" t="s">
        <v>791</v>
      </c>
      <c r="B1132" s="2" t="s">
        <v>62</v>
      </c>
      <c r="C1132" s="2" t="s">
        <v>838</v>
      </c>
      <c r="D1132" s="2" t="s">
        <v>534</v>
      </c>
      <c r="E1132" s="2" t="s">
        <v>38</v>
      </c>
      <c r="F1132" s="2"/>
      <c r="G1132" s="2"/>
      <c r="H1132" s="2"/>
      <c r="I1132" s="2"/>
    </row>
    <row r="1133" spans="1:9" x14ac:dyDescent="0.35">
      <c r="A1133" s="2" t="s">
        <v>791</v>
      </c>
      <c r="B1133" s="2" t="s">
        <v>62</v>
      </c>
      <c r="C1133" s="2" t="s">
        <v>838</v>
      </c>
      <c r="D1133" s="2" t="s">
        <v>168</v>
      </c>
      <c r="E1133" s="2" t="s">
        <v>45</v>
      </c>
      <c r="F1133" s="2"/>
      <c r="G1133" s="2"/>
      <c r="H1133" s="2"/>
      <c r="I1133" s="2"/>
    </row>
    <row r="1134" spans="1:9" x14ac:dyDescent="0.35">
      <c r="A1134" s="2" t="s">
        <v>791</v>
      </c>
      <c r="B1134" s="2" t="s">
        <v>62</v>
      </c>
      <c r="C1134" s="2" t="s">
        <v>838</v>
      </c>
      <c r="D1134" s="2" t="s">
        <v>87</v>
      </c>
      <c r="E1134" s="2" t="s">
        <v>75</v>
      </c>
      <c r="F1134" s="2"/>
      <c r="G1134" s="2"/>
      <c r="H1134" s="2"/>
      <c r="I1134" s="2"/>
    </row>
    <row r="1135" spans="1:9" x14ac:dyDescent="0.35">
      <c r="A1135" s="2" t="s">
        <v>791</v>
      </c>
      <c r="B1135" s="2" t="s">
        <v>62</v>
      </c>
      <c r="C1135" s="2" t="s">
        <v>838</v>
      </c>
      <c r="D1135" s="2" t="s">
        <v>127</v>
      </c>
      <c r="E1135" s="2" t="s">
        <v>107</v>
      </c>
      <c r="F1135" s="2"/>
      <c r="G1135" s="2"/>
      <c r="H1135" s="2"/>
      <c r="I1135" s="2"/>
    </row>
    <row r="1136" spans="1:9" x14ac:dyDescent="0.35">
      <c r="A1136" s="2" t="s">
        <v>791</v>
      </c>
      <c r="B1136" s="2" t="s">
        <v>12</v>
      </c>
      <c r="C1136" s="2" t="s">
        <v>839</v>
      </c>
      <c r="D1136" s="2" t="s">
        <v>91</v>
      </c>
      <c r="E1136" s="2" t="s">
        <v>19</v>
      </c>
      <c r="F1136" s="2" t="s">
        <v>16</v>
      </c>
      <c r="G1136" s="2" t="s">
        <v>840</v>
      </c>
      <c r="H1136" s="2" t="s">
        <v>16</v>
      </c>
      <c r="I1136" s="2" t="s">
        <v>17</v>
      </c>
    </row>
    <row r="1137" spans="1:9" x14ac:dyDescent="0.35">
      <c r="A1137" s="2" t="s">
        <v>791</v>
      </c>
      <c r="B1137" s="2" t="s">
        <v>12</v>
      </c>
      <c r="C1137" s="2" t="s">
        <v>839</v>
      </c>
      <c r="D1137" s="2" t="s">
        <v>89</v>
      </c>
      <c r="E1137" s="2" t="s">
        <v>45</v>
      </c>
      <c r="F1137" s="2" t="s">
        <v>16</v>
      </c>
      <c r="G1137" s="2" t="s">
        <v>841</v>
      </c>
      <c r="H1137" s="2" t="s">
        <v>16</v>
      </c>
      <c r="I1137" s="2" t="s">
        <v>17</v>
      </c>
    </row>
    <row r="1138" spans="1:9" x14ac:dyDescent="0.35">
      <c r="A1138" s="2" t="s">
        <v>842</v>
      </c>
      <c r="B1138" s="2" t="s">
        <v>24</v>
      </c>
      <c r="C1138" s="2" t="s">
        <v>843</v>
      </c>
      <c r="D1138" s="2" t="s">
        <v>130</v>
      </c>
      <c r="E1138" s="2" t="s">
        <v>36</v>
      </c>
      <c r="F1138" s="2"/>
      <c r="G1138" s="2"/>
      <c r="H1138" s="2" t="s">
        <v>16</v>
      </c>
      <c r="I1138" s="2" t="s">
        <v>844</v>
      </c>
    </row>
    <row r="1139" spans="1:9" x14ac:dyDescent="0.35">
      <c r="A1139" s="2" t="s">
        <v>842</v>
      </c>
      <c r="B1139" s="2" t="s">
        <v>24</v>
      </c>
      <c r="C1139" s="2" t="s">
        <v>843</v>
      </c>
      <c r="D1139" s="2" t="s">
        <v>18</v>
      </c>
      <c r="E1139" s="2" t="s">
        <v>19</v>
      </c>
      <c r="F1139" s="2" t="s">
        <v>20</v>
      </c>
      <c r="G1139" s="2" t="s">
        <v>845</v>
      </c>
      <c r="H1139" s="2" t="s">
        <v>16</v>
      </c>
      <c r="I1139" s="2" t="s">
        <v>844</v>
      </c>
    </row>
    <row r="1140" spans="1:9" x14ac:dyDescent="0.35">
      <c r="A1140" s="2" t="s">
        <v>842</v>
      </c>
      <c r="B1140" s="2" t="s">
        <v>24</v>
      </c>
      <c r="C1140" s="2" t="s">
        <v>843</v>
      </c>
      <c r="D1140" s="2" t="s">
        <v>61</v>
      </c>
      <c r="E1140" s="2" t="s">
        <v>30</v>
      </c>
      <c r="F1140" s="2"/>
      <c r="G1140" s="2"/>
      <c r="H1140" s="2" t="s">
        <v>16</v>
      </c>
      <c r="I1140" s="2" t="s">
        <v>844</v>
      </c>
    </row>
    <row r="1141" spans="1:9" x14ac:dyDescent="0.35">
      <c r="A1141" s="2" t="s">
        <v>842</v>
      </c>
      <c r="B1141" s="2" t="s">
        <v>24</v>
      </c>
      <c r="C1141" s="2" t="s">
        <v>843</v>
      </c>
      <c r="D1141" s="2" t="s">
        <v>188</v>
      </c>
      <c r="E1141" s="2" t="s">
        <v>189</v>
      </c>
      <c r="F1141" s="2" t="s">
        <v>20</v>
      </c>
      <c r="G1141" s="2" t="s">
        <v>846</v>
      </c>
      <c r="H1141" s="2" t="s">
        <v>16</v>
      </c>
      <c r="I1141" s="2" t="s">
        <v>844</v>
      </c>
    </row>
    <row r="1142" spans="1:9" x14ac:dyDescent="0.35">
      <c r="A1142" s="2" t="s">
        <v>842</v>
      </c>
      <c r="B1142" s="2" t="s">
        <v>24</v>
      </c>
      <c r="C1142" s="2" t="s">
        <v>843</v>
      </c>
      <c r="D1142" s="2" t="s">
        <v>193</v>
      </c>
      <c r="E1142" s="2" t="s">
        <v>847</v>
      </c>
      <c r="F1142" s="2" t="s">
        <v>46</v>
      </c>
      <c r="G1142" s="2" t="s">
        <v>451</v>
      </c>
      <c r="H1142" s="2" t="s">
        <v>16</v>
      </c>
      <c r="I1142" s="2" t="s">
        <v>844</v>
      </c>
    </row>
    <row r="1143" spans="1:9" x14ac:dyDescent="0.35">
      <c r="A1143" s="2" t="s">
        <v>842</v>
      </c>
      <c r="B1143" s="2" t="s">
        <v>24</v>
      </c>
      <c r="C1143" s="2" t="s">
        <v>848</v>
      </c>
      <c r="D1143" s="2" t="s">
        <v>14</v>
      </c>
      <c r="E1143" s="2" t="s">
        <v>15</v>
      </c>
      <c r="F1143" s="2"/>
      <c r="G1143" s="2"/>
      <c r="H1143" s="2" t="s">
        <v>16</v>
      </c>
      <c r="I1143" s="2" t="s">
        <v>844</v>
      </c>
    </row>
    <row r="1144" spans="1:9" x14ac:dyDescent="0.35">
      <c r="A1144" s="2" t="s">
        <v>842</v>
      </c>
      <c r="B1144" s="2" t="s">
        <v>24</v>
      </c>
      <c r="C1144" s="2" t="s">
        <v>848</v>
      </c>
      <c r="D1144" s="2" t="s">
        <v>144</v>
      </c>
      <c r="E1144" s="2" t="s">
        <v>50</v>
      </c>
      <c r="F1144" s="2"/>
      <c r="G1144" s="2"/>
      <c r="H1144" s="2" t="s">
        <v>16</v>
      </c>
      <c r="I1144" s="2" t="s">
        <v>844</v>
      </c>
    </row>
    <row r="1145" spans="1:9" x14ac:dyDescent="0.35">
      <c r="A1145" s="2" t="s">
        <v>842</v>
      </c>
      <c r="B1145" s="2" t="s">
        <v>24</v>
      </c>
      <c r="C1145" s="2" t="s">
        <v>848</v>
      </c>
      <c r="D1145" s="2" t="s">
        <v>212</v>
      </c>
      <c r="E1145" s="2" t="s">
        <v>78</v>
      </c>
      <c r="F1145" s="2"/>
      <c r="G1145" s="2"/>
      <c r="H1145" s="2" t="s">
        <v>16</v>
      </c>
      <c r="I1145" s="2" t="s">
        <v>844</v>
      </c>
    </row>
    <row r="1146" spans="1:9" x14ac:dyDescent="0.35">
      <c r="A1146" s="2" t="s">
        <v>842</v>
      </c>
      <c r="B1146" s="2" t="s">
        <v>24</v>
      </c>
      <c r="C1146" s="2" t="s">
        <v>848</v>
      </c>
      <c r="D1146" s="2" t="s">
        <v>35</v>
      </c>
      <c r="E1146" s="2" t="s">
        <v>36</v>
      </c>
      <c r="F1146" s="2"/>
      <c r="G1146" s="2"/>
      <c r="H1146" s="2" t="s">
        <v>16</v>
      </c>
      <c r="I1146" s="2" t="s">
        <v>844</v>
      </c>
    </row>
    <row r="1147" spans="1:9" x14ac:dyDescent="0.35">
      <c r="A1147" s="2" t="s">
        <v>842</v>
      </c>
      <c r="B1147" s="2" t="s">
        <v>24</v>
      </c>
      <c r="C1147" s="2" t="s">
        <v>848</v>
      </c>
      <c r="D1147" s="2" t="s">
        <v>18</v>
      </c>
      <c r="E1147" s="2" t="s">
        <v>19</v>
      </c>
      <c r="F1147" s="2" t="s">
        <v>20</v>
      </c>
      <c r="G1147" s="2" t="s">
        <v>849</v>
      </c>
      <c r="H1147" s="2" t="s">
        <v>16</v>
      </c>
      <c r="I1147" s="2" t="s">
        <v>844</v>
      </c>
    </row>
    <row r="1148" spans="1:9" x14ac:dyDescent="0.35">
      <c r="A1148" s="2" t="s">
        <v>842</v>
      </c>
      <c r="B1148" s="2" t="s">
        <v>24</v>
      </c>
      <c r="C1148" s="2" t="s">
        <v>848</v>
      </c>
      <c r="D1148" s="2" t="s">
        <v>193</v>
      </c>
      <c r="E1148" s="2" t="s">
        <v>847</v>
      </c>
      <c r="F1148" s="2" t="s">
        <v>20</v>
      </c>
      <c r="G1148" s="2" t="s">
        <v>850</v>
      </c>
      <c r="H1148" s="2" t="s">
        <v>16</v>
      </c>
      <c r="I1148" s="2" t="s">
        <v>844</v>
      </c>
    </row>
    <row r="1149" spans="1:9" x14ac:dyDescent="0.35">
      <c r="A1149" s="2" t="s">
        <v>842</v>
      </c>
      <c r="B1149" s="2" t="s">
        <v>57</v>
      </c>
      <c r="C1149" s="2" t="s">
        <v>851</v>
      </c>
      <c r="D1149" s="2" t="s">
        <v>14</v>
      </c>
      <c r="E1149" s="2" t="s">
        <v>15</v>
      </c>
      <c r="F1149" s="2"/>
      <c r="G1149" s="2"/>
      <c r="H1149" s="2" t="s">
        <v>16</v>
      </c>
      <c r="I1149" s="2" t="s">
        <v>844</v>
      </c>
    </row>
    <row r="1150" spans="1:9" x14ac:dyDescent="0.35">
      <c r="A1150" s="2" t="s">
        <v>842</v>
      </c>
      <c r="B1150" s="2" t="s">
        <v>57</v>
      </c>
      <c r="C1150" s="2" t="s">
        <v>851</v>
      </c>
      <c r="D1150" s="2" t="s">
        <v>144</v>
      </c>
      <c r="E1150" s="2" t="s">
        <v>50</v>
      </c>
      <c r="F1150" s="2"/>
      <c r="G1150" s="2"/>
      <c r="H1150" s="2" t="s">
        <v>16</v>
      </c>
      <c r="I1150" s="2" t="s">
        <v>844</v>
      </c>
    </row>
    <row r="1151" spans="1:9" x14ac:dyDescent="0.35">
      <c r="A1151" s="2" t="s">
        <v>842</v>
      </c>
      <c r="B1151" s="2" t="s">
        <v>57</v>
      </c>
      <c r="C1151" s="2" t="s">
        <v>851</v>
      </c>
      <c r="D1151" s="2" t="s">
        <v>212</v>
      </c>
      <c r="E1151" s="2" t="s">
        <v>78</v>
      </c>
      <c r="F1151" s="2"/>
      <c r="G1151" s="2"/>
      <c r="H1151" s="2" t="s">
        <v>16</v>
      </c>
      <c r="I1151" s="2" t="s">
        <v>844</v>
      </c>
    </row>
    <row r="1152" spans="1:9" x14ac:dyDescent="0.35">
      <c r="A1152" s="2" t="s">
        <v>842</v>
      </c>
      <c r="B1152" s="2" t="s">
        <v>57</v>
      </c>
      <c r="C1152" s="2" t="s">
        <v>851</v>
      </c>
      <c r="D1152" s="2" t="s">
        <v>18</v>
      </c>
      <c r="E1152" s="2" t="s">
        <v>19</v>
      </c>
      <c r="F1152" s="2"/>
      <c r="G1152" s="2"/>
      <c r="H1152" s="2" t="s">
        <v>16</v>
      </c>
      <c r="I1152" s="2" t="s">
        <v>844</v>
      </c>
    </row>
    <row r="1153" spans="1:9" x14ac:dyDescent="0.35">
      <c r="A1153" s="2" t="s">
        <v>842</v>
      </c>
      <c r="B1153" s="2" t="s">
        <v>57</v>
      </c>
      <c r="C1153" s="2" t="s">
        <v>851</v>
      </c>
      <c r="D1153" s="2" t="s">
        <v>149</v>
      </c>
      <c r="E1153" s="2" t="s">
        <v>847</v>
      </c>
      <c r="F1153" s="2"/>
      <c r="G1153" s="2"/>
      <c r="H1153" s="2" t="s">
        <v>16</v>
      </c>
      <c r="I1153" s="2" t="s">
        <v>844</v>
      </c>
    </row>
    <row r="1154" spans="1:9" x14ac:dyDescent="0.35">
      <c r="A1154" s="2" t="s">
        <v>842</v>
      </c>
      <c r="B1154" s="2" t="s">
        <v>62</v>
      </c>
      <c r="C1154" s="2" t="s">
        <v>852</v>
      </c>
      <c r="D1154" s="2" t="s">
        <v>74</v>
      </c>
      <c r="E1154" s="2" t="s">
        <v>75</v>
      </c>
      <c r="F1154" s="2" t="s">
        <v>16</v>
      </c>
      <c r="G1154" s="2" t="s">
        <v>853</v>
      </c>
      <c r="H1154" s="2" t="s">
        <v>16</v>
      </c>
      <c r="I1154" s="2" t="s">
        <v>844</v>
      </c>
    </row>
    <row r="1155" spans="1:9" x14ac:dyDescent="0.35">
      <c r="A1155" s="2" t="s">
        <v>842</v>
      </c>
      <c r="B1155" s="2" t="s">
        <v>62</v>
      </c>
      <c r="C1155" s="2" t="s">
        <v>852</v>
      </c>
      <c r="D1155" s="2" t="s">
        <v>38</v>
      </c>
      <c r="E1155" s="2" t="s">
        <v>38</v>
      </c>
      <c r="F1155" s="2"/>
      <c r="G1155" s="2"/>
      <c r="H1155" s="2" t="s">
        <v>16</v>
      </c>
      <c r="I1155" s="2" t="s">
        <v>844</v>
      </c>
    </row>
    <row r="1156" spans="1:9" x14ac:dyDescent="0.35">
      <c r="A1156" s="2" t="s">
        <v>842</v>
      </c>
      <c r="B1156" s="2" t="s">
        <v>62</v>
      </c>
      <c r="C1156" s="2" t="s">
        <v>852</v>
      </c>
      <c r="D1156" s="2" t="s">
        <v>35</v>
      </c>
      <c r="E1156" s="2" t="s">
        <v>36</v>
      </c>
      <c r="F1156" s="2"/>
      <c r="G1156" s="2"/>
      <c r="H1156" s="2" t="s">
        <v>16</v>
      </c>
      <c r="I1156" s="2" t="s">
        <v>844</v>
      </c>
    </row>
    <row r="1157" spans="1:9" x14ac:dyDescent="0.35">
      <c r="A1157" s="2" t="s">
        <v>842</v>
      </c>
      <c r="B1157" s="2" t="s">
        <v>62</v>
      </c>
      <c r="C1157" s="2" t="s">
        <v>852</v>
      </c>
      <c r="D1157" s="2" t="s">
        <v>61</v>
      </c>
      <c r="E1157" s="2" t="s">
        <v>30</v>
      </c>
      <c r="F1157" s="2"/>
      <c r="G1157" s="2"/>
      <c r="H1157" s="2" t="s">
        <v>16</v>
      </c>
      <c r="I1157" s="2" t="s">
        <v>844</v>
      </c>
    </row>
    <row r="1158" spans="1:9" x14ac:dyDescent="0.35">
      <c r="A1158" s="2" t="s">
        <v>842</v>
      </c>
      <c r="B1158" s="2" t="s">
        <v>62</v>
      </c>
      <c r="C1158" s="2" t="s">
        <v>852</v>
      </c>
      <c r="D1158" s="2" t="s">
        <v>809</v>
      </c>
      <c r="E1158" s="2" t="s">
        <v>45</v>
      </c>
      <c r="F1158" s="2" t="s">
        <v>46</v>
      </c>
      <c r="G1158" s="2" t="s">
        <v>111</v>
      </c>
      <c r="H1158" s="2" t="s">
        <v>16</v>
      </c>
      <c r="I1158" s="2" t="s">
        <v>844</v>
      </c>
    </row>
    <row r="1159" spans="1:9" x14ac:dyDescent="0.35">
      <c r="A1159" s="2" t="s">
        <v>842</v>
      </c>
      <c r="B1159" s="2" t="s">
        <v>62</v>
      </c>
      <c r="C1159" s="2" t="s">
        <v>852</v>
      </c>
      <c r="D1159" s="2" t="s">
        <v>188</v>
      </c>
      <c r="E1159" s="2" t="s">
        <v>189</v>
      </c>
      <c r="F1159" s="2"/>
      <c r="G1159" s="2"/>
      <c r="H1159" s="2" t="s">
        <v>16</v>
      </c>
      <c r="I1159" s="2" t="s">
        <v>844</v>
      </c>
    </row>
    <row r="1160" spans="1:9" x14ac:dyDescent="0.35">
      <c r="A1160" s="2" t="s">
        <v>842</v>
      </c>
      <c r="B1160" s="2" t="s">
        <v>54</v>
      </c>
      <c r="C1160" s="2" t="s">
        <v>854</v>
      </c>
      <c r="D1160" s="2" t="s">
        <v>35</v>
      </c>
      <c r="E1160" s="2" t="s">
        <v>36</v>
      </c>
      <c r="F1160" s="2"/>
      <c r="G1160" s="2"/>
      <c r="H1160" s="2" t="s">
        <v>16</v>
      </c>
      <c r="I1160" s="2" t="s">
        <v>844</v>
      </c>
    </row>
    <row r="1161" spans="1:9" x14ac:dyDescent="0.35">
      <c r="A1161" s="2" t="s">
        <v>842</v>
      </c>
      <c r="B1161" s="2" t="s">
        <v>54</v>
      </c>
      <c r="C1161" s="2" t="s">
        <v>854</v>
      </c>
      <c r="D1161" s="2" t="s">
        <v>176</v>
      </c>
      <c r="E1161" s="2" t="s">
        <v>40</v>
      </c>
      <c r="F1161" s="2"/>
      <c r="G1161" s="2"/>
      <c r="H1161" s="2" t="s">
        <v>16</v>
      </c>
      <c r="I1161" s="2" t="s">
        <v>844</v>
      </c>
    </row>
    <row r="1162" spans="1:9" x14ac:dyDescent="0.35">
      <c r="A1162" s="2" t="s">
        <v>842</v>
      </c>
      <c r="B1162" s="2" t="s">
        <v>54</v>
      </c>
      <c r="C1162" s="2" t="s">
        <v>854</v>
      </c>
      <c r="D1162" s="2" t="s">
        <v>61</v>
      </c>
      <c r="E1162" s="2" t="s">
        <v>30</v>
      </c>
      <c r="F1162" s="2"/>
      <c r="G1162" s="2"/>
      <c r="H1162" s="2" t="s">
        <v>16</v>
      </c>
      <c r="I1162" s="2" t="s">
        <v>844</v>
      </c>
    </row>
    <row r="1163" spans="1:9" x14ac:dyDescent="0.35">
      <c r="A1163" s="2" t="s">
        <v>842</v>
      </c>
      <c r="B1163" s="2" t="s">
        <v>54</v>
      </c>
      <c r="C1163" s="2" t="s">
        <v>854</v>
      </c>
      <c r="D1163" s="2" t="s">
        <v>193</v>
      </c>
      <c r="E1163" s="2" t="s">
        <v>847</v>
      </c>
      <c r="F1163" s="2" t="s">
        <v>46</v>
      </c>
      <c r="G1163" s="2" t="s">
        <v>111</v>
      </c>
      <c r="H1163" s="2" t="s">
        <v>16</v>
      </c>
      <c r="I1163" s="2" t="s">
        <v>844</v>
      </c>
    </row>
    <row r="1164" spans="1:9" x14ac:dyDescent="0.35">
      <c r="A1164" s="2" t="s">
        <v>842</v>
      </c>
      <c r="B1164" s="2" t="s">
        <v>62</v>
      </c>
      <c r="C1164" s="2" t="s">
        <v>855</v>
      </c>
      <c r="D1164" s="2" t="s">
        <v>74</v>
      </c>
      <c r="E1164" s="2" t="s">
        <v>75</v>
      </c>
      <c r="F1164" s="2" t="s">
        <v>20</v>
      </c>
      <c r="G1164" s="2" t="s">
        <v>856</v>
      </c>
      <c r="H1164" s="2" t="s">
        <v>16</v>
      </c>
      <c r="I1164" s="2" t="s">
        <v>844</v>
      </c>
    </row>
    <row r="1165" spans="1:9" x14ac:dyDescent="0.35">
      <c r="A1165" s="2" t="s">
        <v>842</v>
      </c>
      <c r="B1165" s="2" t="s">
        <v>62</v>
      </c>
      <c r="C1165" s="2" t="s">
        <v>857</v>
      </c>
      <c r="D1165" s="2" t="s">
        <v>27</v>
      </c>
      <c r="E1165" s="2" t="s">
        <v>28</v>
      </c>
      <c r="F1165" s="2"/>
      <c r="G1165" s="2"/>
      <c r="H1165" s="2" t="s">
        <v>16</v>
      </c>
      <c r="I1165" s="2" t="s">
        <v>844</v>
      </c>
    </row>
    <row r="1166" spans="1:9" x14ac:dyDescent="0.35">
      <c r="A1166" s="2" t="s">
        <v>842</v>
      </c>
      <c r="B1166" s="2" t="s">
        <v>62</v>
      </c>
      <c r="C1166" s="2" t="s">
        <v>857</v>
      </c>
      <c r="D1166" s="2" t="s">
        <v>136</v>
      </c>
      <c r="E1166" s="2" t="s">
        <v>107</v>
      </c>
      <c r="F1166" s="2" t="s">
        <v>46</v>
      </c>
      <c r="G1166" s="2" t="s">
        <v>111</v>
      </c>
      <c r="H1166" s="2" t="s">
        <v>16</v>
      </c>
      <c r="I1166" s="2" t="s">
        <v>844</v>
      </c>
    </row>
    <row r="1167" spans="1:9" x14ac:dyDescent="0.35">
      <c r="A1167" s="2" t="s">
        <v>842</v>
      </c>
      <c r="B1167" s="2" t="s">
        <v>62</v>
      </c>
      <c r="C1167" s="2" t="s">
        <v>857</v>
      </c>
      <c r="D1167" s="2" t="s">
        <v>91</v>
      </c>
      <c r="E1167" s="2" t="s">
        <v>19</v>
      </c>
      <c r="F1167" s="2" t="s">
        <v>20</v>
      </c>
      <c r="G1167" s="2" t="s">
        <v>858</v>
      </c>
      <c r="H1167" s="2" t="s">
        <v>16</v>
      </c>
      <c r="I1167" s="2" t="s">
        <v>844</v>
      </c>
    </row>
    <row r="1168" spans="1:9" x14ac:dyDescent="0.35">
      <c r="A1168" s="2" t="s">
        <v>842</v>
      </c>
      <c r="B1168" s="2" t="s">
        <v>62</v>
      </c>
      <c r="C1168" s="2" t="s">
        <v>857</v>
      </c>
      <c r="D1168" s="2" t="s">
        <v>61</v>
      </c>
      <c r="E1168" s="2" t="s">
        <v>30</v>
      </c>
      <c r="F1168" s="2"/>
      <c r="G1168" s="2"/>
      <c r="H1168" s="2" t="s">
        <v>16</v>
      </c>
      <c r="I1168" s="2" t="s">
        <v>844</v>
      </c>
    </row>
    <row r="1169" spans="1:9" x14ac:dyDescent="0.35">
      <c r="A1169" s="2" t="s">
        <v>842</v>
      </c>
      <c r="B1169" s="2" t="s">
        <v>54</v>
      </c>
      <c r="C1169" s="2" t="s">
        <v>859</v>
      </c>
      <c r="D1169" s="2" t="s">
        <v>393</v>
      </c>
      <c r="E1169" s="2" t="s">
        <v>36</v>
      </c>
      <c r="F1169" s="2"/>
      <c r="G1169" s="2"/>
      <c r="H1169" s="2" t="s">
        <v>16</v>
      </c>
      <c r="I1169" s="2" t="s">
        <v>844</v>
      </c>
    </row>
    <row r="1170" spans="1:9" x14ac:dyDescent="0.35">
      <c r="A1170" s="2" t="s">
        <v>842</v>
      </c>
      <c r="B1170" s="2" t="s">
        <v>54</v>
      </c>
      <c r="C1170" s="2" t="s">
        <v>859</v>
      </c>
      <c r="D1170" s="2" t="s">
        <v>18</v>
      </c>
      <c r="E1170" s="2" t="s">
        <v>19</v>
      </c>
      <c r="F1170" s="2"/>
      <c r="G1170" s="2"/>
      <c r="H1170" s="2" t="s">
        <v>16</v>
      </c>
      <c r="I1170" s="2" t="s">
        <v>844</v>
      </c>
    </row>
    <row r="1171" spans="1:9" x14ac:dyDescent="0.35">
      <c r="A1171" s="2" t="s">
        <v>842</v>
      </c>
      <c r="B1171" s="2" t="s">
        <v>54</v>
      </c>
      <c r="C1171" s="2" t="s">
        <v>859</v>
      </c>
      <c r="D1171" s="2" t="s">
        <v>89</v>
      </c>
      <c r="E1171" s="2" t="s">
        <v>45</v>
      </c>
      <c r="F1171" s="2"/>
      <c r="G1171" s="2"/>
      <c r="H1171" s="2" t="s">
        <v>16</v>
      </c>
      <c r="I1171" s="2" t="s">
        <v>844</v>
      </c>
    </row>
    <row r="1172" spans="1:9" x14ac:dyDescent="0.35">
      <c r="A1172" s="2" t="s">
        <v>842</v>
      </c>
      <c r="B1172" s="2" t="s">
        <v>54</v>
      </c>
      <c r="C1172" s="2" t="s">
        <v>859</v>
      </c>
      <c r="D1172" s="2" t="s">
        <v>149</v>
      </c>
      <c r="E1172" s="2" t="s">
        <v>847</v>
      </c>
      <c r="F1172" s="2"/>
      <c r="G1172" s="2"/>
      <c r="H1172" s="2" t="s">
        <v>16</v>
      </c>
      <c r="I1172" s="2" t="s">
        <v>844</v>
      </c>
    </row>
    <row r="1173" spans="1:9" x14ac:dyDescent="0.35">
      <c r="A1173" s="2" t="s">
        <v>842</v>
      </c>
      <c r="B1173" s="2" t="s">
        <v>12</v>
      </c>
      <c r="C1173" s="2" t="s">
        <v>860</v>
      </c>
      <c r="D1173" s="2" t="s">
        <v>76</v>
      </c>
      <c r="E1173" s="2" t="s">
        <v>75</v>
      </c>
      <c r="F1173" s="2" t="s">
        <v>20</v>
      </c>
      <c r="G1173" s="2" t="s">
        <v>861</v>
      </c>
      <c r="H1173" s="2" t="s">
        <v>16</v>
      </c>
      <c r="I1173" s="2" t="s">
        <v>844</v>
      </c>
    </row>
    <row r="1174" spans="1:9" x14ac:dyDescent="0.35">
      <c r="A1174" s="2" t="s">
        <v>842</v>
      </c>
      <c r="B1174" s="2" t="s">
        <v>12</v>
      </c>
      <c r="C1174" s="2" t="s">
        <v>860</v>
      </c>
      <c r="D1174" s="2" t="s">
        <v>393</v>
      </c>
      <c r="E1174" s="2" t="s">
        <v>36</v>
      </c>
      <c r="F1174" s="2"/>
      <c r="G1174" s="2"/>
      <c r="H1174" s="2" t="s">
        <v>16</v>
      </c>
      <c r="I1174" s="2" t="s">
        <v>844</v>
      </c>
    </row>
    <row r="1175" spans="1:9" x14ac:dyDescent="0.35">
      <c r="A1175" s="2" t="s">
        <v>842</v>
      </c>
      <c r="B1175" s="2" t="s">
        <v>12</v>
      </c>
      <c r="C1175" s="2" t="s">
        <v>860</v>
      </c>
      <c r="D1175" s="2" t="s">
        <v>862</v>
      </c>
      <c r="E1175" s="2" t="s">
        <v>38</v>
      </c>
      <c r="F1175" s="2"/>
      <c r="G1175" s="2"/>
      <c r="H1175" s="2" t="s">
        <v>16</v>
      </c>
      <c r="I1175" s="2" t="s">
        <v>844</v>
      </c>
    </row>
    <row r="1176" spans="1:9" x14ac:dyDescent="0.35">
      <c r="A1176" s="2" t="s">
        <v>842</v>
      </c>
      <c r="B1176" s="2" t="s">
        <v>62</v>
      </c>
      <c r="C1176" s="2" t="s">
        <v>863</v>
      </c>
      <c r="D1176" s="2" t="s">
        <v>74</v>
      </c>
      <c r="E1176" s="2" t="s">
        <v>75</v>
      </c>
      <c r="F1176" s="2" t="s">
        <v>46</v>
      </c>
      <c r="G1176" s="2" t="s">
        <v>864</v>
      </c>
      <c r="H1176" s="2"/>
      <c r="I1176" s="2"/>
    </row>
    <row r="1177" spans="1:9" x14ac:dyDescent="0.35">
      <c r="A1177" s="2" t="s">
        <v>842</v>
      </c>
      <c r="B1177" s="2" t="s">
        <v>62</v>
      </c>
      <c r="C1177" s="2" t="s">
        <v>863</v>
      </c>
      <c r="D1177" s="2" t="s">
        <v>27</v>
      </c>
      <c r="E1177" s="2" t="s">
        <v>28</v>
      </c>
      <c r="F1177" s="2" t="s">
        <v>46</v>
      </c>
      <c r="G1177" s="2" t="s">
        <v>864</v>
      </c>
      <c r="H1177" s="2"/>
      <c r="I1177" s="2"/>
    </row>
    <row r="1178" spans="1:9" x14ac:dyDescent="0.35">
      <c r="A1178" s="2" t="s">
        <v>842</v>
      </c>
      <c r="B1178" s="2" t="s">
        <v>62</v>
      </c>
      <c r="C1178" s="2" t="s">
        <v>863</v>
      </c>
      <c r="D1178" s="2" t="s">
        <v>87</v>
      </c>
      <c r="E1178" s="2" t="s">
        <v>75</v>
      </c>
      <c r="F1178" s="2" t="s">
        <v>46</v>
      </c>
      <c r="G1178" s="2" t="s">
        <v>864</v>
      </c>
      <c r="H1178" s="2"/>
      <c r="I1178" s="2"/>
    </row>
    <row r="1179" spans="1:9" x14ac:dyDescent="0.35">
      <c r="A1179" s="2" t="s">
        <v>842</v>
      </c>
      <c r="B1179" s="2" t="s">
        <v>62</v>
      </c>
      <c r="C1179" s="2" t="s">
        <v>863</v>
      </c>
      <c r="D1179" s="2" t="s">
        <v>18</v>
      </c>
      <c r="E1179" s="2" t="s">
        <v>19</v>
      </c>
      <c r="F1179" s="2" t="s">
        <v>46</v>
      </c>
      <c r="G1179" s="2" t="s">
        <v>864</v>
      </c>
      <c r="H1179" s="2"/>
      <c r="I1179" s="2"/>
    </row>
    <row r="1180" spans="1:9" x14ac:dyDescent="0.35">
      <c r="A1180" s="2" t="s">
        <v>842</v>
      </c>
      <c r="B1180" s="2" t="s">
        <v>62</v>
      </c>
      <c r="C1180" s="2" t="s">
        <v>863</v>
      </c>
      <c r="D1180" s="2" t="s">
        <v>865</v>
      </c>
      <c r="E1180" s="2" t="s">
        <v>30</v>
      </c>
      <c r="F1180" s="2" t="s">
        <v>46</v>
      </c>
      <c r="G1180" s="2" t="s">
        <v>864</v>
      </c>
      <c r="H1180" s="2"/>
      <c r="I1180" s="2"/>
    </row>
    <row r="1181" spans="1:9" x14ac:dyDescent="0.35">
      <c r="A1181" s="2" t="s">
        <v>842</v>
      </c>
      <c r="B1181" s="2" t="s">
        <v>62</v>
      </c>
      <c r="C1181" s="2" t="s">
        <v>863</v>
      </c>
      <c r="D1181" s="2" t="s">
        <v>193</v>
      </c>
      <c r="E1181" s="2" t="s">
        <v>847</v>
      </c>
      <c r="F1181" s="2" t="s">
        <v>46</v>
      </c>
      <c r="G1181" s="2" t="s">
        <v>864</v>
      </c>
      <c r="H1181" s="2"/>
      <c r="I1181" s="2"/>
    </row>
    <row r="1182" spans="1:9" x14ac:dyDescent="0.35">
      <c r="A1182" s="2" t="s">
        <v>842</v>
      </c>
      <c r="B1182" s="2" t="s">
        <v>12</v>
      </c>
      <c r="C1182" s="2" t="s">
        <v>866</v>
      </c>
      <c r="D1182" s="2" t="s">
        <v>27</v>
      </c>
      <c r="E1182" s="2" t="s">
        <v>28</v>
      </c>
      <c r="F1182" s="2"/>
      <c r="G1182" s="2"/>
      <c r="H1182" s="2"/>
      <c r="I1182" s="2"/>
    </row>
    <row r="1183" spans="1:9" x14ac:dyDescent="0.35">
      <c r="A1183" s="2" t="s">
        <v>842</v>
      </c>
      <c r="B1183" s="2" t="s">
        <v>12</v>
      </c>
      <c r="C1183" s="2" t="s">
        <v>866</v>
      </c>
      <c r="D1183" s="2" t="s">
        <v>121</v>
      </c>
      <c r="E1183" s="2" t="s">
        <v>122</v>
      </c>
      <c r="F1183" s="2"/>
      <c r="G1183" s="2"/>
      <c r="H1183" s="2"/>
      <c r="I1183" s="2"/>
    </row>
    <row r="1184" spans="1:9" x14ac:dyDescent="0.35">
      <c r="A1184" s="2" t="s">
        <v>842</v>
      </c>
      <c r="B1184" s="2" t="s">
        <v>12</v>
      </c>
      <c r="C1184" s="2" t="s">
        <v>866</v>
      </c>
      <c r="D1184" s="2" t="s">
        <v>35</v>
      </c>
      <c r="E1184" s="2" t="s">
        <v>36</v>
      </c>
      <c r="F1184" s="2"/>
      <c r="G1184" s="2"/>
      <c r="H1184" s="2"/>
      <c r="I1184" s="2"/>
    </row>
    <row r="1185" spans="1:9" x14ac:dyDescent="0.35">
      <c r="A1185" s="2" t="s">
        <v>842</v>
      </c>
      <c r="B1185" s="2" t="s">
        <v>12</v>
      </c>
      <c r="C1185" s="2" t="s">
        <v>866</v>
      </c>
      <c r="D1185" s="2" t="s">
        <v>213</v>
      </c>
      <c r="E1185" s="2" t="s">
        <v>45</v>
      </c>
      <c r="F1185" s="2" t="s">
        <v>20</v>
      </c>
      <c r="G1185" s="2" t="s">
        <v>867</v>
      </c>
      <c r="H1185" s="2"/>
      <c r="I1185" s="2"/>
    </row>
    <row r="1186" spans="1:9" x14ac:dyDescent="0.35">
      <c r="A1186" s="2" t="s">
        <v>842</v>
      </c>
      <c r="B1186" s="2" t="s">
        <v>12</v>
      </c>
      <c r="C1186" s="2" t="s">
        <v>866</v>
      </c>
      <c r="D1186" s="2" t="s">
        <v>18</v>
      </c>
      <c r="E1186" s="2" t="s">
        <v>19</v>
      </c>
      <c r="F1186" s="2" t="s">
        <v>20</v>
      </c>
      <c r="G1186" s="2" t="s">
        <v>868</v>
      </c>
      <c r="H1186" s="2"/>
      <c r="I1186" s="2"/>
    </row>
    <row r="1187" spans="1:9" x14ac:dyDescent="0.35">
      <c r="A1187" s="2" t="s">
        <v>842</v>
      </c>
      <c r="B1187" s="2" t="s">
        <v>12</v>
      </c>
      <c r="C1187" s="2" t="s">
        <v>866</v>
      </c>
      <c r="D1187" s="2" t="s">
        <v>149</v>
      </c>
      <c r="E1187" s="2" t="s">
        <v>847</v>
      </c>
      <c r="F1187" s="2" t="s">
        <v>20</v>
      </c>
      <c r="G1187" s="2" t="s">
        <v>869</v>
      </c>
      <c r="H1187" s="2"/>
      <c r="I1187" s="2"/>
    </row>
    <row r="1188" spans="1:9" x14ac:dyDescent="0.35">
      <c r="A1188" s="2" t="s">
        <v>870</v>
      </c>
      <c r="B1188" s="2" t="s">
        <v>24</v>
      </c>
      <c r="C1188" s="2" t="s">
        <v>871</v>
      </c>
      <c r="D1188" s="2" t="s">
        <v>82</v>
      </c>
      <c r="E1188" s="2" t="s">
        <v>83</v>
      </c>
      <c r="F1188" s="2"/>
      <c r="G1188" s="2"/>
      <c r="H1188" s="2" t="s">
        <v>16</v>
      </c>
      <c r="I1188" s="2" t="s">
        <v>872</v>
      </c>
    </row>
    <row r="1189" spans="1:9" x14ac:dyDescent="0.35">
      <c r="A1189" s="2" t="s">
        <v>870</v>
      </c>
      <c r="B1189" s="2" t="s">
        <v>24</v>
      </c>
      <c r="C1189" s="2" t="s">
        <v>871</v>
      </c>
      <c r="D1189" s="2" t="s">
        <v>33</v>
      </c>
      <c r="E1189" s="2" t="s">
        <v>34</v>
      </c>
      <c r="F1189" s="2"/>
      <c r="G1189" s="2"/>
      <c r="H1189" s="2" t="s">
        <v>16</v>
      </c>
      <c r="I1189" s="2" t="s">
        <v>872</v>
      </c>
    </row>
    <row r="1190" spans="1:9" x14ac:dyDescent="0.35">
      <c r="A1190" s="2" t="s">
        <v>870</v>
      </c>
      <c r="B1190" s="2" t="s">
        <v>24</v>
      </c>
      <c r="C1190" s="2" t="s">
        <v>871</v>
      </c>
      <c r="D1190" s="2" t="s">
        <v>393</v>
      </c>
      <c r="E1190" s="2" t="s">
        <v>36</v>
      </c>
      <c r="F1190" s="2"/>
      <c r="G1190" s="2"/>
      <c r="H1190" s="2" t="s">
        <v>16</v>
      </c>
      <c r="I1190" s="2" t="s">
        <v>872</v>
      </c>
    </row>
    <row r="1191" spans="1:9" x14ac:dyDescent="0.35">
      <c r="A1191" s="2" t="s">
        <v>870</v>
      </c>
      <c r="B1191" s="2" t="s">
        <v>24</v>
      </c>
      <c r="C1191" s="2" t="s">
        <v>871</v>
      </c>
      <c r="D1191" s="2" t="s">
        <v>18</v>
      </c>
      <c r="E1191" s="2" t="s">
        <v>19</v>
      </c>
      <c r="F1191" s="2" t="s">
        <v>20</v>
      </c>
      <c r="G1191" s="2" t="s">
        <v>873</v>
      </c>
      <c r="H1191" s="2" t="s">
        <v>16</v>
      </c>
      <c r="I1191" s="2" t="s">
        <v>872</v>
      </c>
    </row>
    <row r="1192" spans="1:9" x14ac:dyDescent="0.35">
      <c r="A1192" s="2" t="s">
        <v>870</v>
      </c>
      <c r="B1192" s="2" t="s">
        <v>54</v>
      </c>
      <c r="C1192" s="2" t="s">
        <v>874</v>
      </c>
      <c r="D1192" s="2" t="s">
        <v>91</v>
      </c>
      <c r="E1192" s="2" t="s">
        <v>19</v>
      </c>
      <c r="F1192" s="2" t="s">
        <v>20</v>
      </c>
      <c r="G1192" s="2" t="s">
        <v>875</v>
      </c>
      <c r="H1192" s="2" t="s">
        <v>16</v>
      </c>
      <c r="I1192" s="2" t="s">
        <v>876</v>
      </c>
    </row>
    <row r="1193" spans="1:9" x14ac:dyDescent="0.35">
      <c r="A1193" s="2" t="s">
        <v>870</v>
      </c>
      <c r="B1193" s="2" t="s">
        <v>57</v>
      </c>
      <c r="C1193" s="2" t="s">
        <v>877</v>
      </c>
      <c r="D1193" s="2" t="s">
        <v>14</v>
      </c>
      <c r="E1193" s="2" t="s">
        <v>15</v>
      </c>
      <c r="F1193" s="2"/>
      <c r="G1193" s="2"/>
      <c r="H1193" s="2" t="s">
        <v>16</v>
      </c>
      <c r="I1193" s="2" t="s">
        <v>876</v>
      </c>
    </row>
    <row r="1194" spans="1:9" x14ac:dyDescent="0.35">
      <c r="A1194" s="2" t="s">
        <v>870</v>
      </c>
      <c r="B1194" s="2" t="s">
        <v>57</v>
      </c>
      <c r="C1194" s="2" t="s">
        <v>877</v>
      </c>
      <c r="D1194" s="2" t="s">
        <v>98</v>
      </c>
      <c r="E1194" s="2" t="s">
        <v>98</v>
      </c>
      <c r="F1194" s="2"/>
      <c r="G1194" s="2"/>
      <c r="H1194" s="2" t="s">
        <v>16</v>
      </c>
      <c r="I1194" s="2" t="s">
        <v>876</v>
      </c>
    </row>
    <row r="1195" spans="1:9" x14ac:dyDescent="0.35">
      <c r="A1195" s="2" t="s">
        <v>870</v>
      </c>
      <c r="B1195" s="2" t="s">
        <v>57</v>
      </c>
      <c r="C1195" s="2" t="s">
        <v>877</v>
      </c>
      <c r="D1195" s="2" t="s">
        <v>59</v>
      </c>
      <c r="E1195" s="2" t="s">
        <v>60</v>
      </c>
      <c r="F1195" s="2"/>
      <c r="G1195" s="2"/>
      <c r="H1195" s="2" t="s">
        <v>16</v>
      </c>
      <c r="I1195" s="2" t="s">
        <v>876</v>
      </c>
    </row>
    <row r="1196" spans="1:9" x14ac:dyDescent="0.35">
      <c r="A1196" s="2" t="s">
        <v>870</v>
      </c>
      <c r="B1196" s="2" t="s">
        <v>57</v>
      </c>
      <c r="C1196" s="2" t="s">
        <v>877</v>
      </c>
      <c r="D1196" s="2" t="s">
        <v>121</v>
      </c>
      <c r="E1196" s="2" t="s">
        <v>122</v>
      </c>
      <c r="F1196" s="2"/>
      <c r="G1196" s="2"/>
      <c r="H1196" s="2" t="s">
        <v>16</v>
      </c>
      <c r="I1196" s="2" t="s">
        <v>876</v>
      </c>
    </row>
    <row r="1197" spans="1:9" x14ac:dyDescent="0.35">
      <c r="A1197" s="2" t="s">
        <v>870</v>
      </c>
      <c r="B1197" s="2" t="s">
        <v>57</v>
      </c>
      <c r="C1197" s="2" t="s">
        <v>877</v>
      </c>
      <c r="D1197" s="2" t="s">
        <v>393</v>
      </c>
      <c r="E1197" s="2" t="s">
        <v>36</v>
      </c>
      <c r="F1197" s="2"/>
      <c r="G1197" s="2"/>
      <c r="H1197" s="2" t="s">
        <v>16</v>
      </c>
      <c r="I1197" s="2" t="s">
        <v>876</v>
      </c>
    </row>
    <row r="1198" spans="1:9" x14ac:dyDescent="0.35">
      <c r="A1198" s="2" t="s">
        <v>870</v>
      </c>
      <c r="B1198" s="2" t="s">
        <v>57</v>
      </c>
      <c r="C1198" s="2" t="s">
        <v>877</v>
      </c>
      <c r="D1198" s="2" t="s">
        <v>91</v>
      </c>
      <c r="E1198" s="2" t="s">
        <v>19</v>
      </c>
      <c r="F1198" s="2" t="s">
        <v>16</v>
      </c>
      <c r="G1198" s="2" t="s">
        <v>878</v>
      </c>
      <c r="H1198" s="2" t="s">
        <v>16</v>
      </c>
      <c r="I1198" s="2" t="s">
        <v>876</v>
      </c>
    </row>
    <row r="1199" spans="1:9" x14ac:dyDescent="0.35">
      <c r="A1199" s="2" t="s">
        <v>870</v>
      </c>
      <c r="B1199" s="2" t="s">
        <v>57</v>
      </c>
      <c r="C1199" s="2" t="s">
        <v>877</v>
      </c>
      <c r="D1199" s="2" t="s">
        <v>158</v>
      </c>
      <c r="E1199" s="2" t="s">
        <v>40</v>
      </c>
      <c r="F1199" s="2"/>
      <c r="G1199" s="2"/>
      <c r="H1199" s="2" t="s">
        <v>16</v>
      </c>
      <c r="I1199" s="2" t="s">
        <v>876</v>
      </c>
    </row>
    <row r="1200" spans="1:9" x14ac:dyDescent="0.35">
      <c r="A1200" s="2" t="s">
        <v>870</v>
      </c>
      <c r="B1200" s="2" t="s">
        <v>57</v>
      </c>
      <c r="C1200" s="2" t="s">
        <v>877</v>
      </c>
      <c r="D1200" s="2" t="s">
        <v>149</v>
      </c>
      <c r="E1200" s="2" t="s">
        <v>150</v>
      </c>
      <c r="F1200" s="2" t="s">
        <v>16</v>
      </c>
      <c r="G1200" s="2" t="s">
        <v>702</v>
      </c>
      <c r="H1200" s="2" t="s">
        <v>16</v>
      </c>
      <c r="I1200" s="2" t="s">
        <v>876</v>
      </c>
    </row>
    <row r="1201" spans="1:9" x14ac:dyDescent="0.35">
      <c r="A1201" s="2" t="s">
        <v>870</v>
      </c>
      <c r="B1201" s="2" t="s">
        <v>24</v>
      </c>
      <c r="C1201" s="2" t="s">
        <v>879</v>
      </c>
      <c r="D1201" s="2" t="s">
        <v>14</v>
      </c>
      <c r="E1201" s="2" t="s">
        <v>15</v>
      </c>
      <c r="F1201" s="2"/>
      <c r="G1201" s="2"/>
      <c r="H1201" s="2" t="s">
        <v>16</v>
      </c>
      <c r="I1201" s="2" t="s">
        <v>872</v>
      </c>
    </row>
    <row r="1202" spans="1:9" x14ac:dyDescent="0.35">
      <c r="A1202" s="2" t="s">
        <v>870</v>
      </c>
      <c r="B1202" s="2" t="s">
        <v>24</v>
      </c>
      <c r="C1202" s="2" t="s">
        <v>879</v>
      </c>
      <c r="D1202" s="2" t="s">
        <v>172</v>
      </c>
      <c r="E1202" s="2" t="s">
        <v>65</v>
      </c>
      <c r="F1202" s="2"/>
      <c r="G1202" s="2"/>
      <c r="H1202" s="2" t="s">
        <v>16</v>
      </c>
      <c r="I1202" s="2" t="s">
        <v>872</v>
      </c>
    </row>
    <row r="1203" spans="1:9" x14ac:dyDescent="0.35">
      <c r="A1203" s="2" t="s">
        <v>870</v>
      </c>
      <c r="B1203" s="2" t="s">
        <v>24</v>
      </c>
      <c r="C1203" s="2" t="s">
        <v>879</v>
      </c>
      <c r="D1203" s="2" t="s">
        <v>33</v>
      </c>
      <c r="E1203" s="2" t="s">
        <v>34</v>
      </c>
      <c r="F1203" s="2"/>
      <c r="G1203" s="2"/>
      <c r="H1203" s="2" t="s">
        <v>16</v>
      </c>
      <c r="I1203" s="2" t="s">
        <v>872</v>
      </c>
    </row>
    <row r="1204" spans="1:9" x14ac:dyDescent="0.35">
      <c r="A1204" s="2" t="s">
        <v>870</v>
      </c>
      <c r="B1204" s="2" t="s">
        <v>24</v>
      </c>
      <c r="C1204" s="2" t="s">
        <v>879</v>
      </c>
      <c r="D1204" s="2" t="s">
        <v>91</v>
      </c>
      <c r="E1204" s="2" t="s">
        <v>19</v>
      </c>
      <c r="F1204" s="2" t="s">
        <v>20</v>
      </c>
      <c r="G1204" s="2" t="s">
        <v>880</v>
      </c>
      <c r="H1204" s="2" t="s">
        <v>16</v>
      </c>
      <c r="I1204" s="2" t="s">
        <v>872</v>
      </c>
    </row>
    <row r="1205" spans="1:9" x14ac:dyDescent="0.35">
      <c r="A1205" s="2" t="s">
        <v>870</v>
      </c>
      <c r="B1205" s="2" t="s">
        <v>24</v>
      </c>
      <c r="C1205" s="2" t="s">
        <v>879</v>
      </c>
      <c r="D1205" s="2" t="s">
        <v>89</v>
      </c>
      <c r="E1205" s="2" t="s">
        <v>45</v>
      </c>
      <c r="F1205" s="2" t="s">
        <v>16</v>
      </c>
      <c r="G1205" s="2" t="s">
        <v>881</v>
      </c>
      <c r="H1205" s="2" t="s">
        <v>16</v>
      </c>
      <c r="I1205" s="2" t="s">
        <v>872</v>
      </c>
    </row>
    <row r="1206" spans="1:9" x14ac:dyDescent="0.35">
      <c r="A1206" s="2" t="s">
        <v>870</v>
      </c>
      <c r="B1206" s="2" t="s">
        <v>24</v>
      </c>
      <c r="C1206" s="2" t="s">
        <v>879</v>
      </c>
      <c r="D1206" s="2" t="s">
        <v>188</v>
      </c>
      <c r="E1206" s="2" t="s">
        <v>189</v>
      </c>
      <c r="F1206" s="2" t="s">
        <v>16</v>
      </c>
      <c r="G1206" s="2" t="s">
        <v>881</v>
      </c>
      <c r="H1206" s="2" t="s">
        <v>16</v>
      </c>
      <c r="I1206" s="2" t="s">
        <v>872</v>
      </c>
    </row>
    <row r="1207" spans="1:9" x14ac:dyDescent="0.35">
      <c r="A1207" s="2" t="s">
        <v>870</v>
      </c>
      <c r="B1207" s="2" t="s">
        <v>54</v>
      </c>
      <c r="C1207" s="2" t="s">
        <v>882</v>
      </c>
      <c r="D1207" s="2" t="s">
        <v>82</v>
      </c>
      <c r="E1207" s="2" t="s">
        <v>83</v>
      </c>
      <c r="F1207" s="2"/>
      <c r="G1207" s="2"/>
      <c r="H1207" s="2" t="s">
        <v>16</v>
      </c>
      <c r="I1207" s="2" t="s">
        <v>872</v>
      </c>
    </row>
    <row r="1208" spans="1:9" x14ac:dyDescent="0.35">
      <c r="A1208" s="2" t="s">
        <v>870</v>
      </c>
      <c r="B1208" s="2" t="s">
        <v>54</v>
      </c>
      <c r="C1208" s="2" t="s">
        <v>882</v>
      </c>
      <c r="D1208" s="2" t="s">
        <v>121</v>
      </c>
      <c r="E1208" s="2" t="s">
        <v>122</v>
      </c>
      <c r="F1208" s="2" t="s">
        <v>16</v>
      </c>
      <c r="G1208" s="2" t="s">
        <v>883</v>
      </c>
      <c r="H1208" s="2" t="s">
        <v>16</v>
      </c>
      <c r="I1208" s="2" t="s">
        <v>872</v>
      </c>
    </row>
    <row r="1209" spans="1:9" x14ac:dyDescent="0.35">
      <c r="A1209" s="2" t="s">
        <v>870</v>
      </c>
      <c r="B1209" s="2" t="s">
        <v>54</v>
      </c>
      <c r="C1209" s="2" t="s">
        <v>882</v>
      </c>
      <c r="D1209" s="2" t="s">
        <v>91</v>
      </c>
      <c r="E1209" s="2" t="s">
        <v>19</v>
      </c>
      <c r="F1209" s="2" t="s">
        <v>16</v>
      </c>
      <c r="G1209" s="2" t="s">
        <v>733</v>
      </c>
      <c r="H1209" s="2" t="s">
        <v>16</v>
      </c>
      <c r="I1209" s="2" t="s">
        <v>872</v>
      </c>
    </row>
    <row r="1210" spans="1:9" x14ac:dyDescent="0.35">
      <c r="A1210" s="2" t="s">
        <v>870</v>
      </c>
      <c r="B1210" s="2" t="s">
        <v>54</v>
      </c>
      <c r="C1210" s="2" t="s">
        <v>884</v>
      </c>
      <c r="D1210" s="2" t="s">
        <v>393</v>
      </c>
      <c r="E1210" s="2" t="s">
        <v>36</v>
      </c>
      <c r="F1210" s="2" t="s">
        <v>20</v>
      </c>
      <c r="G1210" s="2" t="s">
        <v>885</v>
      </c>
      <c r="H1210" s="2" t="s">
        <v>16</v>
      </c>
      <c r="I1210" s="2" t="s">
        <v>872</v>
      </c>
    </row>
    <row r="1211" spans="1:9" x14ac:dyDescent="0.35">
      <c r="A1211" s="2" t="s">
        <v>870</v>
      </c>
      <c r="B1211" s="2" t="s">
        <v>54</v>
      </c>
      <c r="C1211" s="2" t="s">
        <v>884</v>
      </c>
      <c r="D1211" s="2" t="s">
        <v>213</v>
      </c>
      <c r="E1211" s="2" t="s">
        <v>45</v>
      </c>
      <c r="F1211" s="2" t="s">
        <v>20</v>
      </c>
      <c r="G1211" s="2" t="s">
        <v>885</v>
      </c>
      <c r="H1211" s="2" t="s">
        <v>16</v>
      </c>
      <c r="I1211" s="2" t="s">
        <v>872</v>
      </c>
    </row>
    <row r="1212" spans="1:9" x14ac:dyDescent="0.35">
      <c r="A1212" s="2" t="s">
        <v>870</v>
      </c>
      <c r="B1212" s="2" t="s">
        <v>54</v>
      </c>
      <c r="C1212" s="2" t="s">
        <v>884</v>
      </c>
      <c r="D1212" s="2" t="s">
        <v>91</v>
      </c>
      <c r="E1212" s="2" t="s">
        <v>19</v>
      </c>
      <c r="F1212" s="2" t="s">
        <v>20</v>
      </c>
      <c r="G1212" s="2" t="s">
        <v>885</v>
      </c>
      <c r="H1212" s="2" t="s">
        <v>16</v>
      </c>
      <c r="I1212" s="2" t="s">
        <v>872</v>
      </c>
    </row>
    <row r="1213" spans="1:9" x14ac:dyDescent="0.35">
      <c r="A1213" s="2" t="s">
        <v>870</v>
      </c>
      <c r="B1213" s="2" t="s">
        <v>54</v>
      </c>
      <c r="C1213" s="2" t="s">
        <v>884</v>
      </c>
      <c r="D1213" s="2" t="s">
        <v>124</v>
      </c>
      <c r="E1213" s="2" t="s">
        <v>125</v>
      </c>
      <c r="F1213" s="2" t="s">
        <v>20</v>
      </c>
      <c r="G1213" s="2" t="s">
        <v>885</v>
      </c>
      <c r="H1213" s="2" t="s">
        <v>16</v>
      </c>
      <c r="I1213" s="2" t="s">
        <v>872</v>
      </c>
    </row>
    <row r="1214" spans="1:9" x14ac:dyDescent="0.35">
      <c r="A1214" s="2" t="s">
        <v>886</v>
      </c>
      <c r="B1214" s="2" t="s">
        <v>62</v>
      </c>
      <c r="C1214" s="2" t="s">
        <v>887</v>
      </c>
      <c r="D1214" s="2" t="s">
        <v>660</v>
      </c>
      <c r="E1214" s="2" t="s">
        <v>75</v>
      </c>
      <c r="F1214" s="2"/>
      <c r="G1214" s="2" t="s">
        <v>888</v>
      </c>
      <c r="H1214" s="2"/>
      <c r="I1214" s="2"/>
    </row>
    <row r="1215" spans="1:9" x14ac:dyDescent="0.35">
      <c r="A1215" s="2" t="s">
        <v>886</v>
      </c>
      <c r="B1215" s="2" t="s">
        <v>62</v>
      </c>
      <c r="C1215" s="2" t="s">
        <v>887</v>
      </c>
      <c r="D1215" s="2" t="s">
        <v>18</v>
      </c>
      <c r="E1215" s="2" t="s">
        <v>19</v>
      </c>
      <c r="F1215" s="2" t="s">
        <v>20</v>
      </c>
      <c r="G1215" s="2" t="s">
        <v>889</v>
      </c>
      <c r="H1215" s="2"/>
      <c r="I1215" s="2"/>
    </row>
    <row r="1216" spans="1:9" x14ac:dyDescent="0.35">
      <c r="A1216" s="2" t="s">
        <v>886</v>
      </c>
      <c r="B1216" s="2" t="s">
        <v>62</v>
      </c>
      <c r="C1216" s="2" t="s">
        <v>890</v>
      </c>
      <c r="D1216" s="2" t="s">
        <v>106</v>
      </c>
      <c r="E1216" s="2" t="s">
        <v>107</v>
      </c>
      <c r="F1216" s="2"/>
      <c r="G1216" s="2"/>
      <c r="H1216" s="2"/>
      <c r="I1216" s="2"/>
    </row>
    <row r="1217" spans="1:9" x14ac:dyDescent="0.35">
      <c r="A1217" s="2" t="s">
        <v>886</v>
      </c>
      <c r="B1217" s="2" t="s">
        <v>12</v>
      </c>
      <c r="C1217" s="2" t="s">
        <v>891</v>
      </c>
      <c r="D1217" s="2" t="s">
        <v>198</v>
      </c>
      <c r="E1217" s="2" t="s">
        <v>65</v>
      </c>
      <c r="F1217" s="2"/>
      <c r="G1217" s="2"/>
      <c r="H1217" s="2"/>
      <c r="I1217" s="2"/>
    </row>
    <row r="1218" spans="1:9" x14ac:dyDescent="0.35">
      <c r="A1218" s="2" t="s">
        <v>886</v>
      </c>
      <c r="B1218" s="2" t="s">
        <v>12</v>
      </c>
      <c r="C1218" s="2" t="s">
        <v>891</v>
      </c>
      <c r="D1218" s="2" t="s">
        <v>172</v>
      </c>
      <c r="E1218" s="2" t="s">
        <v>65</v>
      </c>
      <c r="F1218" s="2"/>
      <c r="G1218" s="2"/>
      <c r="H1218" s="2"/>
      <c r="I1218" s="2"/>
    </row>
    <row r="1219" spans="1:9" x14ac:dyDescent="0.35">
      <c r="A1219" s="2" t="s">
        <v>886</v>
      </c>
      <c r="B1219" s="2" t="s">
        <v>12</v>
      </c>
      <c r="C1219" s="2" t="s">
        <v>891</v>
      </c>
      <c r="D1219" s="2" t="s">
        <v>377</v>
      </c>
      <c r="E1219" s="2" t="s">
        <v>270</v>
      </c>
      <c r="F1219" s="2"/>
      <c r="G1219" s="2"/>
      <c r="H1219" s="2"/>
      <c r="I1219" s="2"/>
    </row>
    <row r="1220" spans="1:9" x14ac:dyDescent="0.35">
      <c r="A1220" s="2" t="s">
        <v>886</v>
      </c>
      <c r="B1220" s="2" t="s">
        <v>12</v>
      </c>
      <c r="C1220" s="2" t="s">
        <v>891</v>
      </c>
      <c r="D1220" s="2" t="s">
        <v>204</v>
      </c>
      <c r="E1220" s="2" t="s">
        <v>40</v>
      </c>
      <c r="F1220" s="2" t="s">
        <v>16</v>
      </c>
      <c r="G1220" s="2" t="s">
        <v>892</v>
      </c>
      <c r="H1220" s="2"/>
      <c r="I1220" s="2"/>
    </row>
    <row r="1221" spans="1:9" x14ac:dyDescent="0.35">
      <c r="A1221" s="2" t="s">
        <v>886</v>
      </c>
      <c r="B1221" s="2" t="s">
        <v>12</v>
      </c>
      <c r="C1221" s="2" t="s">
        <v>891</v>
      </c>
      <c r="D1221" s="2" t="s">
        <v>18</v>
      </c>
      <c r="E1221" s="2" t="s">
        <v>19</v>
      </c>
      <c r="F1221" s="2" t="s">
        <v>16</v>
      </c>
      <c r="G1221" s="2" t="s">
        <v>893</v>
      </c>
      <c r="H1221" s="2"/>
      <c r="I1221" s="2"/>
    </row>
    <row r="1222" spans="1:9" x14ac:dyDescent="0.35">
      <c r="A1222" s="2" t="s">
        <v>886</v>
      </c>
      <c r="B1222" s="2" t="s">
        <v>12</v>
      </c>
      <c r="C1222" s="2" t="s">
        <v>894</v>
      </c>
      <c r="D1222" s="2" t="s">
        <v>895</v>
      </c>
      <c r="E1222" s="2" t="s">
        <v>40</v>
      </c>
      <c r="F1222" s="2"/>
      <c r="G1222" s="2"/>
      <c r="H1222" s="2"/>
      <c r="I1222" s="2"/>
    </row>
    <row r="1223" spans="1:9" x14ac:dyDescent="0.35">
      <c r="A1223" s="2" t="s">
        <v>886</v>
      </c>
      <c r="B1223" s="2" t="s">
        <v>12</v>
      </c>
      <c r="C1223" s="2" t="s">
        <v>894</v>
      </c>
      <c r="D1223" s="2" t="s">
        <v>38</v>
      </c>
      <c r="E1223" s="2" t="s">
        <v>38</v>
      </c>
      <c r="F1223" s="2"/>
      <c r="G1223" s="2"/>
      <c r="H1223" s="2"/>
      <c r="I1223" s="2"/>
    </row>
    <row r="1224" spans="1:9" x14ac:dyDescent="0.35">
      <c r="A1224" s="2" t="s">
        <v>886</v>
      </c>
      <c r="B1224" s="2" t="s">
        <v>12</v>
      </c>
      <c r="C1224" s="2" t="s">
        <v>894</v>
      </c>
      <c r="D1224" s="2" t="s">
        <v>91</v>
      </c>
      <c r="E1224" s="2" t="s">
        <v>19</v>
      </c>
      <c r="F1224" s="2" t="s">
        <v>16</v>
      </c>
      <c r="G1224" s="2" t="s">
        <v>896</v>
      </c>
      <c r="H1224" s="2"/>
      <c r="I1224" s="2"/>
    </row>
    <row r="1225" spans="1:9" x14ac:dyDescent="0.35">
      <c r="A1225" s="2" t="s">
        <v>886</v>
      </c>
      <c r="B1225" s="2" t="s">
        <v>12</v>
      </c>
      <c r="C1225" s="2" t="s">
        <v>894</v>
      </c>
      <c r="D1225" s="2" t="s">
        <v>188</v>
      </c>
      <c r="E1225" s="2" t="s">
        <v>189</v>
      </c>
      <c r="F1225" s="2" t="s">
        <v>16</v>
      </c>
      <c r="G1225" s="2" t="s">
        <v>897</v>
      </c>
      <c r="H1225" s="2"/>
      <c r="I1225" s="2"/>
    </row>
    <row r="1226" spans="1:9" x14ac:dyDescent="0.35">
      <c r="A1226" s="2" t="s">
        <v>886</v>
      </c>
      <c r="B1226" s="2" t="s">
        <v>12</v>
      </c>
      <c r="C1226" s="2" t="s">
        <v>894</v>
      </c>
      <c r="D1226" s="2" t="s">
        <v>149</v>
      </c>
      <c r="E1226" s="2" t="s">
        <v>150</v>
      </c>
      <c r="F1226" s="2" t="s">
        <v>16</v>
      </c>
      <c r="G1226" s="2" t="s">
        <v>898</v>
      </c>
      <c r="H1226" s="2"/>
      <c r="I1226" s="2"/>
    </row>
    <row r="1227" spans="1:9" x14ac:dyDescent="0.35">
      <c r="A1227" s="2" t="s">
        <v>886</v>
      </c>
      <c r="B1227" s="2" t="s">
        <v>57</v>
      </c>
      <c r="C1227" s="2" t="s">
        <v>899</v>
      </c>
      <c r="D1227" s="2" t="s">
        <v>196</v>
      </c>
      <c r="E1227" s="2" t="s">
        <v>197</v>
      </c>
      <c r="F1227" s="2"/>
      <c r="G1227" s="2"/>
      <c r="H1227" s="2"/>
      <c r="I1227" s="2"/>
    </row>
    <row r="1228" spans="1:9" x14ac:dyDescent="0.35">
      <c r="A1228" s="2" t="s">
        <v>886</v>
      </c>
      <c r="B1228" s="2" t="s">
        <v>57</v>
      </c>
      <c r="C1228" s="2" t="s">
        <v>899</v>
      </c>
      <c r="D1228" s="2" t="s">
        <v>14</v>
      </c>
      <c r="E1228" s="2" t="s">
        <v>15</v>
      </c>
      <c r="F1228" s="2"/>
      <c r="G1228" s="2"/>
      <c r="H1228" s="2"/>
      <c r="I1228" s="2"/>
    </row>
    <row r="1229" spans="1:9" x14ac:dyDescent="0.35">
      <c r="A1229" s="2" t="s">
        <v>886</v>
      </c>
      <c r="B1229" s="2" t="s">
        <v>57</v>
      </c>
      <c r="C1229" s="2" t="s">
        <v>899</v>
      </c>
      <c r="D1229" s="2" t="s">
        <v>29</v>
      </c>
      <c r="E1229" s="2" t="s">
        <v>30</v>
      </c>
      <c r="F1229" s="2"/>
      <c r="G1229" s="2"/>
      <c r="H1229" s="2"/>
      <c r="I1229" s="2"/>
    </row>
    <row r="1230" spans="1:9" x14ac:dyDescent="0.35">
      <c r="A1230" s="2" t="s">
        <v>886</v>
      </c>
      <c r="B1230" s="2" t="s">
        <v>57</v>
      </c>
      <c r="C1230" s="2" t="s">
        <v>899</v>
      </c>
      <c r="D1230" s="2" t="s">
        <v>31</v>
      </c>
      <c r="E1230" s="2" t="s">
        <v>32</v>
      </c>
      <c r="F1230" s="2"/>
      <c r="G1230" s="2"/>
      <c r="H1230" s="2"/>
      <c r="I1230" s="2"/>
    </row>
    <row r="1231" spans="1:9" x14ac:dyDescent="0.35">
      <c r="A1231" s="2" t="s">
        <v>886</v>
      </c>
      <c r="B1231" s="2" t="s">
        <v>57</v>
      </c>
      <c r="C1231" s="2" t="s">
        <v>899</v>
      </c>
      <c r="D1231" s="2" t="s">
        <v>200</v>
      </c>
      <c r="E1231" s="2" t="s">
        <v>201</v>
      </c>
      <c r="F1231" s="2"/>
      <c r="G1231" s="2"/>
      <c r="H1231" s="2"/>
      <c r="I1231" s="2"/>
    </row>
    <row r="1232" spans="1:9" x14ac:dyDescent="0.35">
      <c r="A1232" s="2" t="s">
        <v>886</v>
      </c>
      <c r="B1232" s="2" t="s">
        <v>57</v>
      </c>
      <c r="C1232" s="2" t="s">
        <v>899</v>
      </c>
      <c r="D1232" s="2" t="s">
        <v>211</v>
      </c>
      <c r="E1232" s="2" t="s">
        <v>203</v>
      </c>
      <c r="F1232" s="2"/>
      <c r="G1232" s="2"/>
      <c r="H1232" s="2"/>
      <c r="I1232" s="2"/>
    </row>
    <row r="1233" spans="1:9" x14ac:dyDescent="0.35">
      <c r="A1233" s="2" t="s">
        <v>886</v>
      </c>
      <c r="B1233" s="2" t="s">
        <v>57</v>
      </c>
      <c r="C1233" s="2" t="s">
        <v>899</v>
      </c>
      <c r="D1233" s="2" t="s">
        <v>59</v>
      </c>
      <c r="E1233" s="2" t="s">
        <v>60</v>
      </c>
      <c r="F1233" s="2"/>
      <c r="G1233" s="2"/>
      <c r="H1233" s="2"/>
      <c r="I1233" s="2"/>
    </row>
    <row r="1234" spans="1:9" x14ac:dyDescent="0.35">
      <c r="A1234" s="2" t="s">
        <v>886</v>
      </c>
      <c r="B1234" s="2" t="s">
        <v>57</v>
      </c>
      <c r="C1234" s="2" t="s">
        <v>899</v>
      </c>
      <c r="D1234" s="2" t="s">
        <v>213</v>
      </c>
      <c r="E1234" s="2" t="s">
        <v>45</v>
      </c>
      <c r="F1234" s="2"/>
      <c r="G1234" s="2"/>
      <c r="H1234" s="2"/>
      <c r="I1234" s="2"/>
    </row>
    <row r="1235" spans="1:9" x14ac:dyDescent="0.35">
      <c r="A1235" s="2" t="s">
        <v>886</v>
      </c>
      <c r="B1235" s="2" t="s">
        <v>57</v>
      </c>
      <c r="C1235" s="2" t="s">
        <v>899</v>
      </c>
      <c r="D1235" s="2" t="s">
        <v>91</v>
      </c>
      <c r="E1235" s="2" t="s">
        <v>19</v>
      </c>
      <c r="F1235" s="2" t="s">
        <v>16</v>
      </c>
      <c r="G1235" s="2" t="s">
        <v>900</v>
      </c>
      <c r="H1235" s="2"/>
      <c r="I1235" s="2"/>
    </row>
    <row r="1236" spans="1:9" x14ac:dyDescent="0.35">
      <c r="A1236" s="2" t="s">
        <v>886</v>
      </c>
      <c r="B1236" s="2" t="s">
        <v>57</v>
      </c>
      <c r="C1236" s="2" t="s">
        <v>899</v>
      </c>
      <c r="D1236" s="2" t="s">
        <v>87</v>
      </c>
      <c r="E1236" s="2" t="s">
        <v>75</v>
      </c>
      <c r="F1236" s="2" t="s">
        <v>20</v>
      </c>
      <c r="G1236" s="2" t="s">
        <v>901</v>
      </c>
      <c r="H1236" s="2"/>
      <c r="I1236" s="2"/>
    </row>
    <row r="1237" spans="1:9" x14ac:dyDescent="0.35">
      <c r="A1237" s="2" t="s">
        <v>886</v>
      </c>
      <c r="B1237" s="2" t="s">
        <v>57</v>
      </c>
      <c r="C1237" s="2" t="s">
        <v>899</v>
      </c>
      <c r="D1237" s="2" t="s">
        <v>204</v>
      </c>
      <c r="E1237" s="2" t="s">
        <v>40</v>
      </c>
      <c r="F1237" s="2" t="s">
        <v>16</v>
      </c>
      <c r="G1237" s="2" t="s">
        <v>216</v>
      </c>
      <c r="H1237" s="2"/>
      <c r="I1237" s="2"/>
    </row>
    <row r="1238" spans="1:9" x14ac:dyDescent="0.35">
      <c r="A1238" s="2" t="s">
        <v>886</v>
      </c>
      <c r="B1238" s="2" t="s">
        <v>57</v>
      </c>
      <c r="C1238" s="2" t="s">
        <v>899</v>
      </c>
      <c r="D1238" s="2" t="s">
        <v>417</v>
      </c>
      <c r="E1238" s="2" t="s">
        <v>40</v>
      </c>
      <c r="F1238" s="2"/>
      <c r="G1238" s="2"/>
      <c r="H1238" s="2"/>
      <c r="I1238" s="2"/>
    </row>
    <row r="1239" spans="1:9" x14ac:dyDescent="0.35">
      <c r="A1239" s="2" t="s">
        <v>886</v>
      </c>
      <c r="B1239" s="2" t="s">
        <v>57</v>
      </c>
      <c r="C1239" s="2" t="s">
        <v>899</v>
      </c>
      <c r="D1239" s="2" t="s">
        <v>628</v>
      </c>
      <c r="E1239" s="2" t="s">
        <v>50</v>
      </c>
      <c r="F1239" s="2"/>
      <c r="G1239" s="2"/>
      <c r="H1239" s="2"/>
      <c r="I1239" s="2"/>
    </row>
    <row r="1240" spans="1:9" x14ac:dyDescent="0.35">
      <c r="A1240" s="2" t="s">
        <v>886</v>
      </c>
      <c r="B1240" s="2" t="s">
        <v>57</v>
      </c>
      <c r="C1240" s="2" t="s">
        <v>899</v>
      </c>
      <c r="D1240" s="2" t="s">
        <v>100</v>
      </c>
      <c r="E1240" s="2" t="s">
        <v>101</v>
      </c>
      <c r="F1240" s="2"/>
      <c r="G1240" s="2"/>
      <c r="H1240" s="2"/>
      <c r="I1240" s="2"/>
    </row>
    <row r="1241" spans="1:9" x14ac:dyDescent="0.35">
      <c r="A1241" s="2" t="s">
        <v>886</v>
      </c>
      <c r="B1241" s="2" t="s">
        <v>57</v>
      </c>
      <c r="C1241" s="2" t="s">
        <v>899</v>
      </c>
      <c r="D1241" s="2" t="s">
        <v>188</v>
      </c>
      <c r="E1241" s="2" t="s">
        <v>189</v>
      </c>
      <c r="F1241" s="2" t="s">
        <v>16</v>
      </c>
      <c r="G1241" s="2" t="s">
        <v>902</v>
      </c>
      <c r="H1241" s="2"/>
      <c r="I1241" s="2"/>
    </row>
    <row r="1242" spans="1:9" x14ac:dyDescent="0.35">
      <c r="A1242" s="2" t="s">
        <v>886</v>
      </c>
      <c r="B1242" s="2" t="s">
        <v>57</v>
      </c>
      <c r="C1242" s="2" t="s">
        <v>899</v>
      </c>
      <c r="D1242" s="2" t="s">
        <v>42</v>
      </c>
      <c r="E1242" s="2" t="s">
        <v>43</v>
      </c>
      <c r="F1242" s="2"/>
      <c r="G1242" s="2"/>
      <c r="H1242" s="2"/>
      <c r="I1242" s="2"/>
    </row>
    <row r="1243" spans="1:9" x14ac:dyDescent="0.35">
      <c r="A1243" s="2" t="s">
        <v>886</v>
      </c>
      <c r="B1243" s="2" t="s">
        <v>57</v>
      </c>
      <c r="C1243" s="2" t="s">
        <v>899</v>
      </c>
      <c r="D1243" s="2" t="s">
        <v>149</v>
      </c>
      <c r="E1243" s="2" t="s">
        <v>150</v>
      </c>
      <c r="F1243" s="2" t="s">
        <v>16</v>
      </c>
      <c r="G1243" s="2" t="s">
        <v>702</v>
      </c>
      <c r="H1243" s="2"/>
      <c r="I1243" s="2"/>
    </row>
    <row r="1244" spans="1:9" x14ac:dyDescent="0.35">
      <c r="A1244" s="2" t="s">
        <v>886</v>
      </c>
      <c r="B1244" s="2" t="s">
        <v>12</v>
      </c>
      <c r="C1244" s="2" t="s">
        <v>903</v>
      </c>
      <c r="D1244" s="2" t="s">
        <v>485</v>
      </c>
      <c r="E1244" s="2" t="s">
        <v>15</v>
      </c>
      <c r="F1244" s="2"/>
      <c r="G1244" s="2"/>
      <c r="H1244" s="2"/>
      <c r="I1244" s="2"/>
    </row>
    <row r="1245" spans="1:9" x14ac:dyDescent="0.35">
      <c r="A1245" s="2" t="s">
        <v>886</v>
      </c>
      <c r="B1245" s="2" t="s">
        <v>12</v>
      </c>
      <c r="C1245" s="2" t="s">
        <v>903</v>
      </c>
      <c r="D1245" s="2" t="s">
        <v>18</v>
      </c>
      <c r="E1245" s="2" t="s">
        <v>19</v>
      </c>
      <c r="F1245" s="2" t="s">
        <v>16</v>
      </c>
      <c r="G1245" s="2" t="s">
        <v>904</v>
      </c>
      <c r="H1245" s="2"/>
      <c r="I1245" s="2"/>
    </row>
    <row r="1246" spans="1:9" x14ac:dyDescent="0.35">
      <c r="A1246" s="2" t="s">
        <v>886</v>
      </c>
      <c r="B1246" s="2" t="s">
        <v>12</v>
      </c>
      <c r="C1246" s="2" t="s">
        <v>903</v>
      </c>
      <c r="D1246" s="2" t="s">
        <v>188</v>
      </c>
      <c r="E1246" s="2" t="s">
        <v>189</v>
      </c>
      <c r="F1246" s="2"/>
      <c r="G1246" s="2"/>
      <c r="H1246" s="2"/>
      <c r="I1246" s="2"/>
    </row>
    <row r="1247" spans="1:9" x14ac:dyDescent="0.35">
      <c r="A1247" s="2" t="s">
        <v>886</v>
      </c>
      <c r="B1247" s="2" t="s">
        <v>12</v>
      </c>
      <c r="C1247" s="2" t="s">
        <v>905</v>
      </c>
      <c r="D1247" s="2" t="s">
        <v>196</v>
      </c>
      <c r="E1247" s="2" t="s">
        <v>197</v>
      </c>
      <c r="F1247" s="2"/>
      <c r="G1247" s="2"/>
      <c r="H1247" s="2"/>
      <c r="I1247" s="2"/>
    </row>
    <row r="1248" spans="1:9" x14ac:dyDescent="0.35">
      <c r="A1248" s="2" t="s">
        <v>886</v>
      </c>
      <c r="B1248" s="2" t="s">
        <v>12</v>
      </c>
      <c r="C1248" s="2" t="s">
        <v>905</v>
      </c>
      <c r="D1248" s="2" t="s">
        <v>31</v>
      </c>
      <c r="E1248" s="2" t="s">
        <v>32</v>
      </c>
      <c r="F1248" s="2"/>
      <c r="G1248" s="2"/>
      <c r="H1248" s="2"/>
      <c r="I1248" s="2"/>
    </row>
    <row r="1249" spans="1:9" x14ac:dyDescent="0.35">
      <c r="A1249" s="2" t="s">
        <v>886</v>
      </c>
      <c r="B1249" s="2" t="s">
        <v>12</v>
      </c>
      <c r="C1249" s="2" t="s">
        <v>905</v>
      </c>
      <c r="D1249" s="2" t="s">
        <v>85</v>
      </c>
      <c r="E1249" s="2" t="s">
        <v>85</v>
      </c>
      <c r="F1249" s="2"/>
      <c r="G1249" s="2"/>
      <c r="H1249" s="2"/>
      <c r="I1249" s="2"/>
    </row>
    <row r="1250" spans="1:9" x14ac:dyDescent="0.35">
      <c r="A1250" s="2" t="s">
        <v>886</v>
      </c>
      <c r="B1250" s="2" t="s">
        <v>12</v>
      </c>
      <c r="C1250" s="2" t="s">
        <v>905</v>
      </c>
      <c r="D1250" s="2" t="s">
        <v>513</v>
      </c>
      <c r="E1250" s="2" t="s">
        <v>203</v>
      </c>
      <c r="F1250" s="2"/>
      <c r="G1250" s="2"/>
      <c r="H1250" s="2"/>
      <c r="I1250" s="2"/>
    </row>
    <row r="1251" spans="1:9" x14ac:dyDescent="0.35">
      <c r="A1251" s="2" t="s">
        <v>886</v>
      </c>
      <c r="B1251" s="2" t="s">
        <v>62</v>
      </c>
      <c r="C1251" s="2" t="s">
        <v>906</v>
      </c>
      <c r="D1251" s="2" t="s">
        <v>106</v>
      </c>
      <c r="E1251" s="2" t="s">
        <v>107</v>
      </c>
      <c r="F1251" s="2"/>
      <c r="G1251" s="2"/>
      <c r="H1251" s="2"/>
      <c r="I1251" s="2"/>
    </row>
    <row r="1252" spans="1:9" x14ac:dyDescent="0.35">
      <c r="A1252" s="2" t="s">
        <v>886</v>
      </c>
      <c r="B1252" s="2" t="s">
        <v>62</v>
      </c>
      <c r="C1252" s="2" t="s">
        <v>907</v>
      </c>
      <c r="D1252" s="2" t="s">
        <v>106</v>
      </c>
      <c r="E1252" s="2" t="s">
        <v>107</v>
      </c>
      <c r="F1252" s="2"/>
      <c r="G1252" s="2"/>
      <c r="H1252" s="2"/>
      <c r="I1252" s="2"/>
    </row>
    <row r="1253" spans="1:9" x14ac:dyDescent="0.35">
      <c r="A1253" s="2" t="s">
        <v>886</v>
      </c>
      <c r="B1253" s="2" t="s">
        <v>62</v>
      </c>
      <c r="C1253" s="2" t="s">
        <v>908</v>
      </c>
      <c r="D1253" s="2" t="s">
        <v>106</v>
      </c>
      <c r="E1253" s="2" t="s">
        <v>107</v>
      </c>
      <c r="F1253" s="2"/>
      <c r="G1253" s="2"/>
      <c r="H1253" s="2"/>
      <c r="I1253" s="2"/>
    </row>
    <row r="1254" spans="1:9" x14ac:dyDescent="0.35">
      <c r="A1254" s="2" t="s">
        <v>886</v>
      </c>
      <c r="B1254" s="2" t="s">
        <v>12</v>
      </c>
      <c r="C1254" s="2" t="s">
        <v>909</v>
      </c>
      <c r="D1254" s="2" t="s">
        <v>172</v>
      </c>
      <c r="E1254" s="2" t="s">
        <v>65</v>
      </c>
      <c r="F1254" s="2" t="s">
        <v>46</v>
      </c>
      <c r="G1254" s="2" t="s">
        <v>910</v>
      </c>
      <c r="H1254" s="2"/>
      <c r="I1254" s="2"/>
    </row>
    <row r="1255" spans="1:9" x14ac:dyDescent="0.35">
      <c r="A1255" s="2" t="s">
        <v>886</v>
      </c>
      <c r="B1255" s="2" t="s">
        <v>12</v>
      </c>
      <c r="C1255" s="2" t="s">
        <v>909</v>
      </c>
      <c r="D1255" s="2" t="s">
        <v>91</v>
      </c>
      <c r="E1255" s="2" t="s">
        <v>19</v>
      </c>
      <c r="F1255" s="2" t="s">
        <v>46</v>
      </c>
      <c r="G1255" s="2" t="s">
        <v>910</v>
      </c>
      <c r="H1255" s="2"/>
      <c r="I1255" s="2"/>
    </row>
    <row r="1256" spans="1:9" x14ac:dyDescent="0.35">
      <c r="A1256" s="2" t="s">
        <v>886</v>
      </c>
      <c r="B1256" s="2" t="s">
        <v>12</v>
      </c>
      <c r="C1256" s="2" t="s">
        <v>909</v>
      </c>
      <c r="D1256" s="2" t="s">
        <v>911</v>
      </c>
      <c r="E1256" s="2" t="s">
        <v>40</v>
      </c>
      <c r="F1256" s="2" t="s">
        <v>46</v>
      </c>
      <c r="G1256" s="2" t="s">
        <v>910</v>
      </c>
      <c r="H1256" s="2"/>
      <c r="I1256" s="2"/>
    </row>
    <row r="1257" spans="1:9" x14ac:dyDescent="0.35">
      <c r="A1257" s="2" t="s">
        <v>886</v>
      </c>
      <c r="B1257" s="2" t="s">
        <v>12</v>
      </c>
      <c r="C1257" s="2" t="s">
        <v>912</v>
      </c>
      <c r="D1257" s="2" t="s">
        <v>18</v>
      </c>
      <c r="E1257" s="2" t="s">
        <v>19</v>
      </c>
      <c r="F1257" s="2" t="s">
        <v>16</v>
      </c>
      <c r="G1257" s="2" t="s">
        <v>913</v>
      </c>
      <c r="H1257" s="2"/>
      <c r="I1257" s="2"/>
    </row>
    <row r="1258" spans="1:9" x14ac:dyDescent="0.35">
      <c r="A1258" s="2" t="s">
        <v>886</v>
      </c>
      <c r="B1258" s="2" t="s">
        <v>62</v>
      </c>
      <c r="C1258" s="2" t="s">
        <v>914</v>
      </c>
      <c r="D1258" s="2" t="s">
        <v>106</v>
      </c>
      <c r="E1258" s="2" t="s">
        <v>107</v>
      </c>
      <c r="F1258" s="2"/>
      <c r="G1258" s="2"/>
      <c r="H1258" s="2"/>
      <c r="I1258" s="2"/>
    </row>
    <row r="1259" spans="1:9" x14ac:dyDescent="0.35">
      <c r="A1259" s="2" t="s">
        <v>886</v>
      </c>
      <c r="B1259" s="2" t="s">
        <v>12</v>
      </c>
      <c r="C1259" s="2" t="s">
        <v>915</v>
      </c>
      <c r="D1259" s="2" t="s">
        <v>172</v>
      </c>
      <c r="E1259" s="2" t="s">
        <v>65</v>
      </c>
      <c r="F1259" s="2"/>
      <c r="G1259" s="2"/>
      <c r="H1259" s="2"/>
      <c r="I1259" s="2"/>
    </row>
    <row r="1260" spans="1:9" x14ac:dyDescent="0.35">
      <c r="A1260" s="2" t="s">
        <v>886</v>
      </c>
      <c r="B1260" s="2" t="s">
        <v>12</v>
      </c>
      <c r="C1260" s="2" t="s">
        <v>915</v>
      </c>
      <c r="D1260" s="2" t="s">
        <v>18</v>
      </c>
      <c r="E1260" s="2" t="s">
        <v>19</v>
      </c>
      <c r="F1260" s="2" t="s">
        <v>16</v>
      </c>
      <c r="G1260" s="2" t="s">
        <v>916</v>
      </c>
      <c r="H1260" s="2"/>
      <c r="I1260" s="2"/>
    </row>
    <row r="1261" spans="1:9" x14ac:dyDescent="0.35">
      <c r="A1261" s="2" t="s">
        <v>886</v>
      </c>
      <c r="B1261" s="2" t="s">
        <v>12</v>
      </c>
      <c r="C1261" s="2" t="s">
        <v>915</v>
      </c>
      <c r="D1261" s="2" t="s">
        <v>149</v>
      </c>
      <c r="E1261" s="2" t="s">
        <v>150</v>
      </c>
      <c r="F1261" s="2" t="s">
        <v>16</v>
      </c>
      <c r="G1261" s="2" t="s">
        <v>702</v>
      </c>
      <c r="H1261" s="2"/>
      <c r="I1261" s="2"/>
    </row>
    <row r="1262" spans="1:9" x14ac:dyDescent="0.35">
      <c r="A1262" s="2" t="s">
        <v>886</v>
      </c>
      <c r="B1262" s="2" t="s">
        <v>62</v>
      </c>
      <c r="C1262" s="2" t="s">
        <v>917</v>
      </c>
      <c r="D1262" s="2" t="s">
        <v>121</v>
      </c>
      <c r="E1262" s="2" t="s">
        <v>122</v>
      </c>
      <c r="F1262" s="2"/>
      <c r="G1262" s="2"/>
      <c r="H1262" s="2"/>
      <c r="I1262" s="2"/>
    </row>
    <row r="1263" spans="1:9" x14ac:dyDescent="0.35">
      <c r="A1263" s="2" t="s">
        <v>886</v>
      </c>
      <c r="B1263" s="2" t="s">
        <v>62</v>
      </c>
      <c r="C1263" s="2" t="s">
        <v>917</v>
      </c>
      <c r="D1263" s="2" t="s">
        <v>87</v>
      </c>
      <c r="E1263" s="2" t="s">
        <v>75</v>
      </c>
      <c r="F1263" s="2" t="s">
        <v>20</v>
      </c>
      <c r="G1263" s="2" t="s">
        <v>918</v>
      </c>
      <c r="H1263" s="2"/>
      <c r="I1263" s="2"/>
    </row>
    <row r="1264" spans="1:9" x14ac:dyDescent="0.35">
      <c r="A1264" s="2" t="s">
        <v>886</v>
      </c>
      <c r="B1264" s="2" t="s">
        <v>12</v>
      </c>
      <c r="C1264" s="2" t="s">
        <v>919</v>
      </c>
      <c r="D1264" s="2" t="s">
        <v>18</v>
      </c>
      <c r="E1264" s="2" t="s">
        <v>19</v>
      </c>
      <c r="F1264" s="2" t="s">
        <v>16</v>
      </c>
      <c r="G1264" s="2" t="s">
        <v>920</v>
      </c>
      <c r="H1264" s="2"/>
      <c r="I1264" s="2"/>
    </row>
    <row r="1265" spans="1:9" x14ac:dyDescent="0.35">
      <c r="A1265" s="2" t="s">
        <v>886</v>
      </c>
      <c r="B1265" s="2" t="s">
        <v>12</v>
      </c>
      <c r="C1265" s="2" t="s">
        <v>921</v>
      </c>
      <c r="D1265" s="2" t="s">
        <v>172</v>
      </c>
      <c r="E1265" s="2" t="s">
        <v>65</v>
      </c>
      <c r="F1265" s="2"/>
      <c r="G1265" s="2"/>
      <c r="H1265" s="2"/>
      <c r="I1265" s="2"/>
    </row>
    <row r="1266" spans="1:9" x14ac:dyDescent="0.35">
      <c r="A1266" s="2" t="s">
        <v>886</v>
      </c>
      <c r="B1266" s="2" t="s">
        <v>12</v>
      </c>
      <c r="C1266" s="2" t="s">
        <v>921</v>
      </c>
      <c r="D1266" s="2" t="s">
        <v>91</v>
      </c>
      <c r="E1266" s="2" t="s">
        <v>19</v>
      </c>
      <c r="F1266" s="2" t="s">
        <v>16</v>
      </c>
      <c r="G1266" s="2" t="s">
        <v>922</v>
      </c>
      <c r="H1266" s="2"/>
      <c r="I1266" s="2"/>
    </row>
    <row r="1267" spans="1:9" x14ac:dyDescent="0.35">
      <c r="A1267" s="2" t="s">
        <v>886</v>
      </c>
      <c r="B1267" s="2" t="s">
        <v>62</v>
      </c>
      <c r="C1267" s="2" t="s">
        <v>923</v>
      </c>
      <c r="D1267" s="2" t="s">
        <v>924</v>
      </c>
      <c r="E1267" s="2" t="s">
        <v>75</v>
      </c>
      <c r="F1267" s="2"/>
      <c r="G1267" s="2" t="s">
        <v>47</v>
      </c>
      <c r="H1267" s="2"/>
      <c r="I1267" s="2"/>
    </row>
    <row r="1268" spans="1:9" x14ac:dyDescent="0.35">
      <c r="A1268" s="2" t="s">
        <v>886</v>
      </c>
      <c r="B1268" s="2" t="s">
        <v>62</v>
      </c>
      <c r="C1268" s="2" t="s">
        <v>925</v>
      </c>
      <c r="D1268" s="2" t="s">
        <v>317</v>
      </c>
      <c r="E1268" s="2" t="s">
        <v>318</v>
      </c>
      <c r="F1268" s="2"/>
      <c r="G1268" s="2"/>
      <c r="H1268" s="2"/>
      <c r="I1268" s="2"/>
    </row>
    <row r="1269" spans="1:9" x14ac:dyDescent="0.35">
      <c r="A1269" s="2" t="s">
        <v>886</v>
      </c>
      <c r="B1269" s="2" t="s">
        <v>62</v>
      </c>
      <c r="C1269" s="2" t="s">
        <v>925</v>
      </c>
      <c r="D1269" s="2" t="s">
        <v>38</v>
      </c>
      <c r="E1269" s="2" t="s">
        <v>38</v>
      </c>
      <c r="F1269" s="2"/>
      <c r="G1269" s="2"/>
      <c r="H1269" s="2"/>
      <c r="I1269" s="2"/>
    </row>
    <row r="1270" spans="1:9" x14ac:dyDescent="0.35">
      <c r="A1270" s="2" t="s">
        <v>886</v>
      </c>
      <c r="B1270" s="2" t="s">
        <v>62</v>
      </c>
      <c r="C1270" s="2" t="s">
        <v>925</v>
      </c>
      <c r="D1270" s="2" t="s">
        <v>87</v>
      </c>
      <c r="E1270" s="2" t="s">
        <v>75</v>
      </c>
      <c r="F1270" s="2" t="s">
        <v>16</v>
      </c>
      <c r="G1270" s="2" t="s">
        <v>926</v>
      </c>
      <c r="H1270" s="2"/>
      <c r="I1270" s="2"/>
    </row>
    <row r="1271" spans="1:9" x14ac:dyDescent="0.35">
      <c r="A1271" s="2" t="s">
        <v>886</v>
      </c>
      <c r="B1271" s="2" t="s">
        <v>62</v>
      </c>
      <c r="C1271" s="2" t="s">
        <v>925</v>
      </c>
      <c r="D1271" s="2" t="s">
        <v>127</v>
      </c>
      <c r="E1271" s="2" t="s">
        <v>107</v>
      </c>
      <c r="F1271" s="2"/>
      <c r="G1271" s="2"/>
      <c r="H1271" s="2"/>
      <c r="I1271" s="2"/>
    </row>
    <row r="1272" spans="1:9" x14ac:dyDescent="0.35">
      <c r="A1272" s="2" t="s">
        <v>886</v>
      </c>
      <c r="B1272" s="2" t="s">
        <v>54</v>
      </c>
      <c r="C1272" s="2" t="s">
        <v>927</v>
      </c>
      <c r="D1272" s="2" t="s">
        <v>14</v>
      </c>
      <c r="E1272" s="2" t="s">
        <v>15</v>
      </c>
      <c r="F1272" s="2"/>
      <c r="G1272" s="2"/>
      <c r="H1272" s="2"/>
      <c r="I1272" s="2"/>
    </row>
    <row r="1273" spans="1:9" x14ac:dyDescent="0.35">
      <c r="A1273" s="2" t="s">
        <v>886</v>
      </c>
      <c r="B1273" s="2" t="s">
        <v>54</v>
      </c>
      <c r="C1273" s="2" t="s">
        <v>927</v>
      </c>
      <c r="D1273" s="2" t="s">
        <v>31</v>
      </c>
      <c r="E1273" s="2" t="s">
        <v>32</v>
      </c>
      <c r="F1273" s="2" t="s">
        <v>16</v>
      </c>
      <c r="G1273" s="2" t="s">
        <v>524</v>
      </c>
      <c r="H1273" s="2"/>
      <c r="I1273" s="2"/>
    </row>
    <row r="1274" spans="1:9" x14ac:dyDescent="0.35">
      <c r="A1274" s="2" t="s">
        <v>886</v>
      </c>
      <c r="B1274" s="2" t="s">
        <v>54</v>
      </c>
      <c r="C1274" s="2" t="s">
        <v>927</v>
      </c>
      <c r="D1274" s="2" t="s">
        <v>38</v>
      </c>
      <c r="E1274" s="2" t="s">
        <v>38</v>
      </c>
      <c r="F1274" s="2" t="s">
        <v>16</v>
      </c>
      <c r="G1274" s="2" t="s">
        <v>524</v>
      </c>
      <c r="H1274" s="2"/>
      <c r="I1274" s="2"/>
    </row>
    <row r="1275" spans="1:9" x14ac:dyDescent="0.35">
      <c r="A1275" s="2" t="s">
        <v>886</v>
      </c>
      <c r="B1275" s="2" t="s">
        <v>54</v>
      </c>
      <c r="C1275" s="2" t="s">
        <v>927</v>
      </c>
      <c r="D1275" s="2" t="s">
        <v>928</v>
      </c>
      <c r="E1275" s="2" t="s">
        <v>75</v>
      </c>
      <c r="F1275" s="2" t="s">
        <v>16</v>
      </c>
      <c r="G1275" s="2" t="s">
        <v>929</v>
      </c>
      <c r="H1275" s="2"/>
      <c r="I1275" s="2"/>
    </row>
    <row r="1276" spans="1:9" x14ac:dyDescent="0.35">
      <c r="A1276" s="2" t="s">
        <v>886</v>
      </c>
      <c r="B1276" s="2" t="s">
        <v>54</v>
      </c>
      <c r="C1276" s="2" t="s">
        <v>927</v>
      </c>
      <c r="D1276" s="2" t="s">
        <v>930</v>
      </c>
      <c r="E1276" s="2" t="s">
        <v>15</v>
      </c>
      <c r="F1276" s="2"/>
      <c r="G1276" s="2"/>
      <c r="H1276" s="2"/>
      <c r="I1276" s="2"/>
    </row>
    <row r="1277" spans="1:9" x14ac:dyDescent="0.35">
      <c r="A1277" s="2" t="s">
        <v>886</v>
      </c>
      <c r="B1277" s="2" t="s">
        <v>54</v>
      </c>
      <c r="C1277" s="2" t="s">
        <v>927</v>
      </c>
      <c r="D1277" s="2" t="s">
        <v>89</v>
      </c>
      <c r="E1277" s="2" t="s">
        <v>45</v>
      </c>
      <c r="F1277" s="2" t="s">
        <v>16</v>
      </c>
      <c r="G1277" s="2" t="s">
        <v>524</v>
      </c>
      <c r="H1277" s="2"/>
      <c r="I1277" s="2"/>
    </row>
    <row r="1278" spans="1:9" x14ac:dyDescent="0.35">
      <c r="A1278" s="2" t="s">
        <v>886</v>
      </c>
      <c r="B1278" s="2" t="s">
        <v>54</v>
      </c>
      <c r="C1278" s="2" t="s">
        <v>927</v>
      </c>
      <c r="D1278" s="2" t="s">
        <v>100</v>
      </c>
      <c r="E1278" s="2" t="s">
        <v>101</v>
      </c>
      <c r="F1278" s="2"/>
      <c r="G1278" s="2"/>
      <c r="H1278" s="2"/>
      <c r="I1278" s="2"/>
    </row>
    <row r="1279" spans="1:9" x14ac:dyDescent="0.35">
      <c r="A1279" s="2" t="s">
        <v>886</v>
      </c>
      <c r="B1279" s="2" t="s">
        <v>54</v>
      </c>
      <c r="C1279" s="2" t="s">
        <v>927</v>
      </c>
      <c r="D1279" s="2" t="s">
        <v>188</v>
      </c>
      <c r="E1279" s="2" t="s">
        <v>189</v>
      </c>
      <c r="F1279" s="2" t="s">
        <v>16</v>
      </c>
      <c r="G1279" s="2" t="s">
        <v>524</v>
      </c>
      <c r="H1279" s="2"/>
      <c r="I1279" s="2"/>
    </row>
    <row r="1280" spans="1:9" x14ac:dyDescent="0.35">
      <c r="A1280" s="2" t="s">
        <v>886</v>
      </c>
      <c r="B1280" s="2" t="s">
        <v>54</v>
      </c>
      <c r="C1280" s="2" t="s">
        <v>927</v>
      </c>
      <c r="D1280" s="2" t="s">
        <v>149</v>
      </c>
      <c r="E1280" s="2" t="s">
        <v>150</v>
      </c>
      <c r="F1280" s="2" t="s">
        <v>16</v>
      </c>
      <c r="G1280" s="2" t="s">
        <v>524</v>
      </c>
      <c r="H1280" s="2"/>
      <c r="I1280" s="2"/>
    </row>
    <row r="1281" spans="1:9" x14ac:dyDescent="0.35">
      <c r="A1281" s="2" t="s">
        <v>886</v>
      </c>
      <c r="B1281" s="2" t="s">
        <v>54</v>
      </c>
      <c r="C1281" s="2" t="s">
        <v>927</v>
      </c>
      <c r="D1281" s="2" t="s">
        <v>193</v>
      </c>
      <c r="E1281" s="2" t="s">
        <v>40</v>
      </c>
      <c r="F1281" s="2" t="s">
        <v>16</v>
      </c>
      <c r="G1281" s="2" t="s">
        <v>524</v>
      </c>
      <c r="H1281" s="2"/>
      <c r="I1281" s="2"/>
    </row>
    <row r="1282" spans="1:9" x14ac:dyDescent="0.35">
      <c r="A1282" s="2" t="s">
        <v>886</v>
      </c>
      <c r="B1282" s="2" t="s">
        <v>54</v>
      </c>
      <c r="C1282" s="2" t="s">
        <v>927</v>
      </c>
      <c r="D1282" s="2" t="s">
        <v>302</v>
      </c>
      <c r="E1282" s="2" t="s">
        <v>65</v>
      </c>
      <c r="F1282" s="2" t="s">
        <v>16</v>
      </c>
      <c r="G1282" s="2" t="s">
        <v>524</v>
      </c>
      <c r="H1282" s="2"/>
      <c r="I1282" s="2"/>
    </row>
    <row r="1283" spans="1:9" x14ac:dyDescent="0.35">
      <c r="A1283" s="2" t="s">
        <v>886</v>
      </c>
      <c r="B1283" s="2" t="s">
        <v>54</v>
      </c>
      <c r="C1283" s="2" t="s">
        <v>927</v>
      </c>
      <c r="D1283" s="2" t="s">
        <v>112</v>
      </c>
      <c r="E1283" s="2" t="s">
        <v>113</v>
      </c>
      <c r="F1283" s="2" t="s">
        <v>16</v>
      </c>
      <c r="G1283" s="2" t="s">
        <v>524</v>
      </c>
      <c r="H1283" s="2"/>
      <c r="I1283" s="2"/>
    </row>
    <row r="1284" spans="1:9" x14ac:dyDescent="0.35">
      <c r="A1284" s="2" t="s">
        <v>886</v>
      </c>
      <c r="B1284" s="2" t="s">
        <v>24</v>
      </c>
      <c r="C1284" s="2" t="s">
        <v>931</v>
      </c>
      <c r="D1284" s="2" t="s">
        <v>196</v>
      </c>
      <c r="E1284" s="2" t="s">
        <v>197</v>
      </c>
      <c r="F1284" s="2"/>
      <c r="G1284" s="2"/>
      <c r="H1284" s="2"/>
      <c r="I1284" s="2"/>
    </row>
    <row r="1285" spans="1:9" x14ac:dyDescent="0.35">
      <c r="A1285" s="2" t="s">
        <v>886</v>
      </c>
      <c r="B1285" s="2" t="s">
        <v>24</v>
      </c>
      <c r="C1285" s="2" t="s">
        <v>931</v>
      </c>
      <c r="D1285" s="2" t="s">
        <v>31</v>
      </c>
      <c r="E1285" s="2" t="s">
        <v>32</v>
      </c>
      <c r="F1285" s="2" t="s">
        <v>46</v>
      </c>
      <c r="G1285" s="2" t="s">
        <v>932</v>
      </c>
      <c r="H1285" s="2"/>
      <c r="I1285" s="2"/>
    </row>
    <row r="1286" spans="1:9" x14ac:dyDescent="0.35">
      <c r="A1286" s="2" t="s">
        <v>886</v>
      </c>
      <c r="B1286" s="2" t="s">
        <v>24</v>
      </c>
      <c r="C1286" s="2" t="s">
        <v>931</v>
      </c>
      <c r="D1286" s="2" t="s">
        <v>416</v>
      </c>
      <c r="E1286" s="2" t="s">
        <v>38</v>
      </c>
      <c r="F1286" s="2" t="s">
        <v>46</v>
      </c>
      <c r="G1286" s="2" t="s">
        <v>932</v>
      </c>
      <c r="H1286" s="2"/>
      <c r="I1286" s="2"/>
    </row>
    <row r="1287" spans="1:9" x14ac:dyDescent="0.35">
      <c r="A1287" s="2" t="s">
        <v>886</v>
      </c>
      <c r="B1287" s="2" t="s">
        <v>24</v>
      </c>
      <c r="C1287" s="2" t="s">
        <v>931</v>
      </c>
      <c r="D1287" s="2" t="s">
        <v>933</v>
      </c>
      <c r="E1287" s="2" t="s">
        <v>189</v>
      </c>
      <c r="F1287" s="2" t="s">
        <v>46</v>
      </c>
      <c r="G1287" s="2" t="s">
        <v>932</v>
      </c>
      <c r="H1287" s="2"/>
      <c r="I1287" s="2"/>
    </row>
    <row r="1288" spans="1:9" x14ac:dyDescent="0.35">
      <c r="A1288" s="2" t="s">
        <v>886</v>
      </c>
      <c r="B1288" s="2" t="s">
        <v>24</v>
      </c>
      <c r="C1288" s="2" t="s">
        <v>931</v>
      </c>
      <c r="D1288" s="2" t="s">
        <v>928</v>
      </c>
      <c r="E1288" s="2" t="s">
        <v>75</v>
      </c>
      <c r="F1288" s="2" t="s">
        <v>46</v>
      </c>
      <c r="G1288" s="2" t="s">
        <v>932</v>
      </c>
      <c r="H1288" s="2"/>
      <c r="I1288" s="2"/>
    </row>
    <row r="1289" spans="1:9" x14ac:dyDescent="0.35">
      <c r="A1289" s="2" t="s">
        <v>886</v>
      </c>
      <c r="B1289" s="2" t="s">
        <v>24</v>
      </c>
      <c r="C1289" s="2" t="s">
        <v>931</v>
      </c>
      <c r="D1289" s="2" t="s">
        <v>100</v>
      </c>
      <c r="E1289" s="2" t="s">
        <v>101</v>
      </c>
      <c r="F1289" s="2" t="s">
        <v>46</v>
      </c>
      <c r="G1289" s="2" t="s">
        <v>932</v>
      </c>
      <c r="H1289" s="2"/>
      <c r="I1289" s="2"/>
    </row>
    <row r="1290" spans="1:9" x14ac:dyDescent="0.35">
      <c r="A1290" s="2" t="s">
        <v>886</v>
      </c>
      <c r="B1290" s="2" t="s">
        <v>24</v>
      </c>
      <c r="C1290" s="2" t="s">
        <v>931</v>
      </c>
      <c r="D1290" s="2" t="s">
        <v>513</v>
      </c>
      <c r="E1290" s="2" t="s">
        <v>203</v>
      </c>
      <c r="F1290" s="2" t="s">
        <v>46</v>
      </c>
      <c r="G1290" s="2" t="s">
        <v>932</v>
      </c>
      <c r="H1290" s="2"/>
      <c r="I1290" s="2"/>
    </row>
    <row r="1291" spans="1:9" x14ac:dyDescent="0.35">
      <c r="A1291" s="2" t="s">
        <v>886</v>
      </c>
      <c r="B1291" s="2" t="s">
        <v>24</v>
      </c>
      <c r="C1291" s="2" t="s">
        <v>931</v>
      </c>
      <c r="D1291" s="2" t="s">
        <v>149</v>
      </c>
      <c r="E1291" s="2" t="s">
        <v>150</v>
      </c>
      <c r="F1291" s="2" t="s">
        <v>46</v>
      </c>
      <c r="G1291" s="2" t="s">
        <v>932</v>
      </c>
      <c r="H1291" s="2"/>
      <c r="I1291" s="2"/>
    </row>
    <row r="1292" spans="1:9" x14ac:dyDescent="0.35">
      <c r="A1292" s="2" t="s">
        <v>886</v>
      </c>
      <c r="B1292" s="2" t="s">
        <v>24</v>
      </c>
      <c r="C1292" s="2" t="s">
        <v>931</v>
      </c>
      <c r="D1292" s="2" t="s">
        <v>193</v>
      </c>
      <c r="E1292" s="2" t="s">
        <v>40</v>
      </c>
      <c r="F1292" s="2" t="s">
        <v>46</v>
      </c>
      <c r="G1292" s="2" t="s">
        <v>932</v>
      </c>
      <c r="H1292" s="2"/>
      <c r="I1292" s="2"/>
    </row>
    <row r="1293" spans="1:9" x14ac:dyDescent="0.35">
      <c r="A1293" s="2" t="s">
        <v>886</v>
      </c>
      <c r="B1293" s="2" t="s">
        <v>12</v>
      </c>
      <c r="C1293" s="2" t="s">
        <v>934</v>
      </c>
      <c r="D1293" s="2" t="s">
        <v>246</v>
      </c>
      <c r="E1293" s="2" t="s">
        <v>107</v>
      </c>
      <c r="F1293" s="2" t="s">
        <v>46</v>
      </c>
      <c r="G1293" s="2" t="s">
        <v>910</v>
      </c>
      <c r="H1293" s="2"/>
      <c r="I1293" s="2"/>
    </row>
    <row r="1294" spans="1:9" x14ac:dyDescent="0.35">
      <c r="A1294" s="2" t="s">
        <v>886</v>
      </c>
      <c r="B1294" s="2" t="s">
        <v>12</v>
      </c>
      <c r="C1294" s="2" t="s">
        <v>934</v>
      </c>
      <c r="D1294" s="2" t="s">
        <v>485</v>
      </c>
      <c r="E1294" s="2" t="s">
        <v>15</v>
      </c>
      <c r="F1294" s="2" t="s">
        <v>46</v>
      </c>
      <c r="G1294" s="2" t="s">
        <v>910</v>
      </c>
      <c r="H1294" s="2"/>
      <c r="I1294" s="2"/>
    </row>
    <row r="1295" spans="1:9" x14ac:dyDescent="0.35">
      <c r="A1295" s="2" t="s">
        <v>886</v>
      </c>
      <c r="B1295" s="2" t="s">
        <v>12</v>
      </c>
      <c r="C1295" s="2" t="s">
        <v>934</v>
      </c>
      <c r="D1295" s="2" t="s">
        <v>27</v>
      </c>
      <c r="E1295" s="2" t="s">
        <v>28</v>
      </c>
      <c r="F1295" s="2" t="s">
        <v>46</v>
      </c>
      <c r="G1295" s="2" t="s">
        <v>910</v>
      </c>
      <c r="H1295" s="2"/>
      <c r="I1295" s="2"/>
    </row>
    <row r="1296" spans="1:9" x14ac:dyDescent="0.35">
      <c r="A1296" s="2" t="s">
        <v>886</v>
      </c>
      <c r="B1296" s="2" t="s">
        <v>12</v>
      </c>
      <c r="C1296" s="2" t="s">
        <v>934</v>
      </c>
      <c r="D1296" s="2" t="s">
        <v>38</v>
      </c>
      <c r="E1296" s="2" t="s">
        <v>38</v>
      </c>
      <c r="F1296" s="2" t="s">
        <v>46</v>
      </c>
      <c r="G1296" s="2" t="s">
        <v>910</v>
      </c>
      <c r="H1296" s="2"/>
      <c r="I1296" s="2"/>
    </row>
    <row r="1297" spans="1:9" x14ac:dyDescent="0.35">
      <c r="A1297" s="2" t="s">
        <v>886</v>
      </c>
      <c r="B1297" s="2" t="s">
        <v>12</v>
      </c>
      <c r="C1297" s="2" t="s">
        <v>934</v>
      </c>
      <c r="D1297" s="2" t="s">
        <v>77</v>
      </c>
      <c r="E1297" s="2" t="s">
        <v>78</v>
      </c>
      <c r="F1297" s="2" t="s">
        <v>46</v>
      </c>
      <c r="G1297" s="2" t="s">
        <v>910</v>
      </c>
      <c r="H1297" s="2"/>
      <c r="I1297" s="2"/>
    </row>
    <row r="1298" spans="1:9" x14ac:dyDescent="0.35">
      <c r="A1298" s="2" t="s">
        <v>886</v>
      </c>
      <c r="B1298" s="2" t="s">
        <v>12</v>
      </c>
      <c r="C1298" s="2" t="s">
        <v>934</v>
      </c>
      <c r="D1298" s="2" t="s">
        <v>911</v>
      </c>
      <c r="E1298" s="2" t="s">
        <v>40</v>
      </c>
      <c r="F1298" s="2" t="s">
        <v>46</v>
      </c>
      <c r="G1298" s="2" t="s">
        <v>910</v>
      </c>
      <c r="H1298" s="2"/>
      <c r="I1298" s="2"/>
    </row>
    <row r="1299" spans="1:9" x14ac:dyDescent="0.35">
      <c r="A1299" s="2" t="s">
        <v>886</v>
      </c>
      <c r="B1299" s="2" t="s">
        <v>12</v>
      </c>
      <c r="C1299" s="2" t="s">
        <v>934</v>
      </c>
      <c r="D1299" s="2" t="s">
        <v>244</v>
      </c>
      <c r="E1299" s="2" t="s">
        <v>65</v>
      </c>
      <c r="F1299" s="2" t="s">
        <v>46</v>
      </c>
      <c r="G1299" s="2" t="s">
        <v>910</v>
      </c>
      <c r="H1299" s="2"/>
      <c r="I1299" s="2"/>
    </row>
    <row r="1300" spans="1:9" x14ac:dyDescent="0.35">
      <c r="A1300" s="2" t="s">
        <v>886</v>
      </c>
      <c r="B1300" s="2" t="s">
        <v>12</v>
      </c>
      <c r="C1300" s="2" t="s">
        <v>934</v>
      </c>
      <c r="D1300" s="2" t="s">
        <v>149</v>
      </c>
      <c r="E1300" s="2" t="s">
        <v>150</v>
      </c>
      <c r="F1300" s="2" t="s">
        <v>46</v>
      </c>
      <c r="G1300" s="2" t="s">
        <v>910</v>
      </c>
      <c r="H1300" s="2"/>
      <c r="I1300" s="2"/>
    </row>
    <row r="1301" spans="1:9" x14ac:dyDescent="0.35">
      <c r="A1301" s="2" t="s">
        <v>886</v>
      </c>
      <c r="B1301" s="2" t="s">
        <v>62</v>
      </c>
      <c r="C1301" s="2" t="s">
        <v>935</v>
      </c>
      <c r="D1301" s="2" t="s">
        <v>106</v>
      </c>
      <c r="E1301" s="2" t="s">
        <v>107</v>
      </c>
      <c r="F1301" s="2"/>
      <c r="G1301" s="2"/>
      <c r="H1301" s="2"/>
      <c r="I1301" s="2"/>
    </row>
    <row r="1302" spans="1:9" x14ac:dyDescent="0.35">
      <c r="A1302" s="2" t="s">
        <v>886</v>
      </c>
      <c r="B1302" s="2" t="s">
        <v>62</v>
      </c>
      <c r="C1302" s="2" t="s">
        <v>936</v>
      </c>
      <c r="D1302" s="2" t="s">
        <v>106</v>
      </c>
      <c r="E1302" s="2" t="s">
        <v>107</v>
      </c>
      <c r="F1302" s="2"/>
      <c r="G1302" s="2"/>
      <c r="H1302" s="2"/>
      <c r="I1302" s="2"/>
    </row>
    <row r="1303" spans="1:9" x14ac:dyDescent="0.35">
      <c r="A1303" s="2" t="s">
        <v>886</v>
      </c>
      <c r="B1303" s="2" t="s">
        <v>62</v>
      </c>
      <c r="C1303" s="2" t="s">
        <v>937</v>
      </c>
      <c r="D1303" s="2" t="s">
        <v>106</v>
      </c>
      <c r="E1303" s="2" t="s">
        <v>107</v>
      </c>
      <c r="F1303" s="2"/>
      <c r="G1303" s="2"/>
      <c r="H1303" s="2"/>
      <c r="I1303" s="2"/>
    </row>
    <row r="1304" spans="1:9" x14ac:dyDescent="0.35">
      <c r="A1304" s="2" t="s">
        <v>886</v>
      </c>
      <c r="B1304" s="2" t="s">
        <v>54</v>
      </c>
      <c r="C1304" s="2" t="s">
        <v>938</v>
      </c>
      <c r="D1304" s="2" t="s">
        <v>31</v>
      </c>
      <c r="E1304" s="2" t="s">
        <v>32</v>
      </c>
      <c r="F1304" s="2" t="s">
        <v>16</v>
      </c>
      <c r="G1304" s="2" t="s">
        <v>191</v>
      </c>
      <c r="H1304" s="2"/>
      <c r="I1304" s="2"/>
    </row>
    <row r="1305" spans="1:9" x14ac:dyDescent="0.35">
      <c r="A1305" s="2" t="s">
        <v>886</v>
      </c>
      <c r="B1305" s="2" t="s">
        <v>54</v>
      </c>
      <c r="C1305" s="2" t="s">
        <v>938</v>
      </c>
      <c r="D1305" s="2" t="s">
        <v>200</v>
      </c>
      <c r="E1305" s="2" t="s">
        <v>201</v>
      </c>
      <c r="F1305" s="2" t="s">
        <v>16</v>
      </c>
      <c r="G1305" s="2" t="s">
        <v>191</v>
      </c>
      <c r="H1305" s="2"/>
      <c r="I1305" s="2"/>
    </row>
    <row r="1306" spans="1:9" x14ac:dyDescent="0.35">
      <c r="A1306" s="2" t="s">
        <v>886</v>
      </c>
      <c r="B1306" s="2" t="s">
        <v>54</v>
      </c>
      <c r="C1306" s="2" t="s">
        <v>938</v>
      </c>
      <c r="D1306" s="2" t="s">
        <v>38</v>
      </c>
      <c r="E1306" s="2" t="s">
        <v>38</v>
      </c>
      <c r="F1306" s="2" t="s">
        <v>16</v>
      </c>
      <c r="G1306" s="2" t="s">
        <v>191</v>
      </c>
      <c r="H1306" s="2"/>
      <c r="I1306" s="2"/>
    </row>
    <row r="1307" spans="1:9" x14ac:dyDescent="0.35">
      <c r="A1307" s="2" t="s">
        <v>886</v>
      </c>
      <c r="B1307" s="2" t="s">
        <v>54</v>
      </c>
      <c r="C1307" s="2" t="s">
        <v>938</v>
      </c>
      <c r="D1307" s="2" t="s">
        <v>156</v>
      </c>
      <c r="E1307" s="2" t="s">
        <v>45</v>
      </c>
      <c r="F1307" s="2" t="s">
        <v>16</v>
      </c>
      <c r="G1307" s="2" t="s">
        <v>191</v>
      </c>
      <c r="H1307" s="2"/>
      <c r="I1307" s="2"/>
    </row>
    <row r="1308" spans="1:9" x14ac:dyDescent="0.35">
      <c r="A1308" s="2" t="s">
        <v>886</v>
      </c>
      <c r="B1308" s="2" t="s">
        <v>54</v>
      </c>
      <c r="C1308" s="2" t="s">
        <v>938</v>
      </c>
      <c r="D1308" s="2" t="s">
        <v>100</v>
      </c>
      <c r="E1308" s="2" t="s">
        <v>101</v>
      </c>
      <c r="F1308" s="2"/>
      <c r="G1308" s="2"/>
      <c r="H1308" s="2"/>
      <c r="I1308" s="2"/>
    </row>
    <row r="1309" spans="1:9" x14ac:dyDescent="0.35">
      <c r="A1309" s="2" t="s">
        <v>886</v>
      </c>
      <c r="B1309" s="2" t="s">
        <v>54</v>
      </c>
      <c r="C1309" s="2" t="s">
        <v>938</v>
      </c>
      <c r="D1309" s="2" t="s">
        <v>188</v>
      </c>
      <c r="E1309" s="2" t="s">
        <v>189</v>
      </c>
      <c r="F1309" s="2" t="s">
        <v>16</v>
      </c>
      <c r="G1309" s="2" t="s">
        <v>191</v>
      </c>
      <c r="H1309" s="2"/>
      <c r="I1309" s="2"/>
    </row>
    <row r="1310" spans="1:9" x14ac:dyDescent="0.35">
      <c r="A1310" s="2" t="s">
        <v>886</v>
      </c>
      <c r="B1310" s="2" t="s">
        <v>54</v>
      </c>
      <c r="C1310" s="2" t="s">
        <v>938</v>
      </c>
      <c r="D1310" s="2" t="s">
        <v>939</v>
      </c>
      <c r="E1310" s="2" t="s">
        <v>65</v>
      </c>
      <c r="F1310" s="2" t="s">
        <v>16</v>
      </c>
      <c r="G1310" s="2" t="s">
        <v>191</v>
      </c>
      <c r="H1310" s="2"/>
      <c r="I1310" s="2"/>
    </row>
    <row r="1311" spans="1:9" x14ac:dyDescent="0.35">
      <c r="A1311" s="2" t="s">
        <v>886</v>
      </c>
      <c r="B1311" s="2" t="s">
        <v>54</v>
      </c>
      <c r="C1311" s="2" t="s">
        <v>940</v>
      </c>
      <c r="D1311" s="2" t="s">
        <v>31</v>
      </c>
      <c r="E1311" s="2" t="s">
        <v>32</v>
      </c>
      <c r="F1311" s="2"/>
      <c r="G1311" s="2"/>
      <c r="H1311" s="2"/>
      <c r="I1311" s="2"/>
    </row>
    <row r="1312" spans="1:9" x14ac:dyDescent="0.35">
      <c r="A1312" s="2" t="s">
        <v>886</v>
      </c>
      <c r="B1312" s="2" t="s">
        <v>54</v>
      </c>
      <c r="C1312" s="2" t="s">
        <v>940</v>
      </c>
      <c r="D1312" s="2" t="s">
        <v>172</v>
      </c>
      <c r="E1312" s="2" t="s">
        <v>65</v>
      </c>
      <c r="F1312" s="2"/>
      <c r="G1312" s="2"/>
      <c r="H1312" s="2"/>
      <c r="I1312" s="2"/>
    </row>
    <row r="1313" spans="1:9" x14ac:dyDescent="0.35">
      <c r="A1313" s="2" t="s">
        <v>886</v>
      </c>
      <c r="B1313" s="2" t="s">
        <v>54</v>
      </c>
      <c r="C1313" s="2" t="s">
        <v>940</v>
      </c>
      <c r="D1313" s="2" t="s">
        <v>941</v>
      </c>
      <c r="E1313" s="2" t="s">
        <v>228</v>
      </c>
      <c r="F1313" s="2"/>
      <c r="G1313" s="2"/>
      <c r="H1313" s="2"/>
      <c r="I1313" s="2"/>
    </row>
    <row r="1314" spans="1:9" x14ac:dyDescent="0.35">
      <c r="A1314" s="2" t="s">
        <v>886</v>
      </c>
      <c r="B1314" s="2" t="s">
        <v>62</v>
      </c>
      <c r="C1314" s="2" t="s">
        <v>942</v>
      </c>
      <c r="D1314" s="2" t="s">
        <v>106</v>
      </c>
      <c r="E1314" s="2" t="s">
        <v>107</v>
      </c>
      <c r="F1314" s="2"/>
      <c r="G1314" s="2"/>
      <c r="H1314" s="2"/>
      <c r="I1314" s="2"/>
    </row>
    <row r="1315" spans="1:9" x14ac:dyDescent="0.35">
      <c r="A1315" s="2" t="s">
        <v>886</v>
      </c>
      <c r="B1315" s="2" t="s">
        <v>62</v>
      </c>
      <c r="C1315" s="2" t="s">
        <v>943</v>
      </c>
      <c r="D1315" s="2" t="s">
        <v>532</v>
      </c>
      <c r="E1315" s="2" t="s">
        <v>533</v>
      </c>
      <c r="F1315" s="2" t="s">
        <v>46</v>
      </c>
      <c r="G1315" s="2" t="s">
        <v>675</v>
      </c>
      <c r="H1315" s="2"/>
      <c r="I1315" s="2"/>
    </row>
    <row r="1316" spans="1:9" x14ac:dyDescent="0.35">
      <c r="A1316" s="2" t="s">
        <v>886</v>
      </c>
      <c r="B1316" s="2" t="s">
        <v>62</v>
      </c>
      <c r="C1316" s="2" t="s">
        <v>943</v>
      </c>
      <c r="D1316" s="2" t="s">
        <v>387</v>
      </c>
      <c r="E1316" s="2" t="s">
        <v>367</v>
      </c>
      <c r="F1316" s="2" t="s">
        <v>46</v>
      </c>
      <c r="G1316" s="2" t="s">
        <v>675</v>
      </c>
      <c r="H1316" s="2"/>
      <c r="I1316" s="2"/>
    </row>
    <row r="1317" spans="1:9" x14ac:dyDescent="0.35">
      <c r="A1317" s="2" t="s">
        <v>886</v>
      </c>
      <c r="B1317" s="2" t="s">
        <v>62</v>
      </c>
      <c r="C1317" s="2" t="s">
        <v>944</v>
      </c>
      <c r="D1317" s="2" t="s">
        <v>106</v>
      </c>
      <c r="E1317" s="2" t="s">
        <v>107</v>
      </c>
      <c r="F1317" s="2"/>
      <c r="G1317" s="2"/>
      <c r="H1317" s="2"/>
      <c r="I1317" s="2"/>
    </row>
    <row r="1318" spans="1:9" x14ac:dyDescent="0.35">
      <c r="A1318" s="2" t="s">
        <v>886</v>
      </c>
      <c r="B1318" s="2" t="s">
        <v>24</v>
      </c>
      <c r="C1318" s="2" t="s">
        <v>945</v>
      </c>
      <c r="D1318" s="2" t="s">
        <v>14</v>
      </c>
      <c r="E1318" s="2" t="s">
        <v>15</v>
      </c>
      <c r="F1318" s="2"/>
      <c r="G1318" s="2"/>
      <c r="H1318" s="2"/>
      <c r="I1318" s="2"/>
    </row>
    <row r="1319" spans="1:9" x14ac:dyDescent="0.35">
      <c r="A1319" s="2" t="s">
        <v>886</v>
      </c>
      <c r="B1319" s="2" t="s">
        <v>24</v>
      </c>
      <c r="C1319" s="2" t="s">
        <v>945</v>
      </c>
      <c r="D1319" s="2" t="s">
        <v>172</v>
      </c>
      <c r="E1319" s="2" t="s">
        <v>65</v>
      </c>
      <c r="F1319" s="2"/>
      <c r="G1319" s="2"/>
      <c r="H1319" s="2"/>
      <c r="I1319" s="2"/>
    </row>
    <row r="1320" spans="1:9" x14ac:dyDescent="0.35">
      <c r="A1320" s="2" t="s">
        <v>886</v>
      </c>
      <c r="B1320" s="2" t="s">
        <v>24</v>
      </c>
      <c r="C1320" s="2" t="s">
        <v>945</v>
      </c>
      <c r="D1320" s="2" t="s">
        <v>89</v>
      </c>
      <c r="E1320" s="2" t="s">
        <v>45</v>
      </c>
      <c r="F1320" s="2"/>
      <c r="G1320" s="2"/>
      <c r="H1320" s="2"/>
      <c r="I1320" s="2"/>
    </row>
    <row r="1321" spans="1:9" x14ac:dyDescent="0.35">
      <c r="A1321" s="2" t="s">
        <v>886</v>
      </c>
      <c r="B1321" s="2" t="s">
        <v>12</v>
      </c>
      <c r="C1321" s="2" t="s">
        <v>946</v>
      </c>
      <c r="D1321" s="2" t="s">
        <v>18</v>
      </c>
      <c r="E1321" s="2" t="s">
        <v>19</v>
      </c>
      <c r="F1321" s="2" t="s">
        <v>16</v>
      </c>
      <c r="G1321" s="2" t="s">
        <v>947</v>
      </c>
      <c r="H1321" s="2"/>
      <c r="I1321" s="2"/>
    </row>
    <row r="1322" spans="1:9" x14ac:dyDescent="0.35">
      <c r="A1322" s="2" t="s">
        <v>886</v>
      </c>
      <c r="B1322" s="2" t="s">
        <v>12</v>
      </c>
      <c r="C1322" s="2" t="s">
        <v>946</v>
      </c>
      <c r="D1322" s="2" t="s">
        <v>89</v>
      </c>
      <c r="E1322" s="2" t="s">
        <v>45</v>
      </c>
      <c r="F1322" s="2"/>
      <c r="G1322" s="2"/>
      <c r="H1322" s="2"/>
      <c r="I1322" s="2"/>
    </row>
    <row r="1323" spans="1:9" x14ac:dyDescent="0.35">
      <c r="A1323" s="2" t="s">
        <v>886</v>
      </c>
      <c r="B1323" s="2" t="s">
        <v>24</v>
      </c>
      <c r="C1323" s="2" t="s">
        <v>948</v>
      </c>
      <c r="D1323" s="2" t="s">
        <v>196</v>
      </c>
      <c r="E1323" s="2" t="s">
        <v>197</v>
      </c>
      <c r="F1323" s="2"/>
      <c r="G1323" s="2"/>
      <c r="H1323" s="2"/>
      <c r="I1323" s="2"/>
    </row>
    <row r="1324" spans="1:9" x14ac:dyDescent="0.35">
      <c r="A1324" s="2" t="s">
        <v>886</v>
      </c>
      <c r="B1324" s="2" t="s">
        <v>24</v>
      </c>
      <c r="C1324" s="2" t="s">
        <v>948</v>
      </c>
      <c r="D1324" s="2" t="s">
        <v>14</v>
      </c>
      <c r="E1324" s="2" t="s">
        <v>15</v>
      </c>
      <c r="F1324" s="2"/>
      <c r="G1324" s="2"/>
      <c r="H1324" s="2"/>
      <c r="I1324" s="2"/>
    </row>
    <row r="1325" spans="1:9" x14ac:dyDescent="0.35">
      <c r="A1325" s="2" t="s">
        <v>886</v>
      </c>
      <c r="B1325" s="2" t="s">
        <v>24</v>
      </c>
      <c r="C1325" s="2" t="s">
        <v>948</v>
      </c>
      <c r="D1325" s="2" t="s">
        <v>949</v>
      </c>
      <c r="E1325" s="2" t="s">
        <v>189</v>
      </c>
      <c r="F1325" s="2"/>
      <c r="G1325" s="2"/>
      <c r="H1325" s="2"/>
      <c r="I1325" s="2"/>
    </row>
    <row r="1326" spans="1:9" x14ac:dyDescent="0.35">
      <c r="A1326" s="2" t="s">
        <v>886</v>
      </c>
      <c r="B1326" s="2" t="s">
        <v>24</v>
      </c>
      <c r="C1326" s="2" t="s">
        <v>948</v>
      </c>
      <c r="D1326" s="2" t="s">
        <v>563</v>
      </c>
      <c r="E1326" s="2" t="s">
        <v>45</v>
      </c>
      <c r="F1326" s="2"/>
      <c r="G1326" s="2"/>
      <c r="H1326" s="2"/>
      <c r="I1326" s="2"/>
    </row>
    <row r="1327" spans="1:9" x14ac:dyDescent="0.35">
      <c r="A1327" s="2" t="s">
        <v>886</v>
      </c>
      <c r="B1327" s="2" t="s">
        <v>24</v>
      </c>
      <c r="C1327" s="2" t="s">
        <v>948</v>
      </c>
      <c r="D1327" s="2" t="s">
        <v>253</v>
      </c>
      <c r="E1327" s="2" t="s">
        <v>32</v>
      </c>
      <c r="F1327" s="2"/>
      <c r="G1327" s="2"/>
      <c r="H1327" s="2"/>
      <c r="I1327" s="2"/>
    </row>
    <row r="1328" spans="1:9" x14ac:dyDescent="0.35">
      <c r="A1328" s="2" t="s">
        <v>886</v>
      </c>
      <c r="B1328" s="2" t="s">
        <v>24</v>
      </c>
      <c r="C1328" s="2" t="s">
        <v>948</v>
      </c>
      <c r="D1328" s="2" t="s">
        <v>31</v>
      </c>
      <c r="E1328" s="2" t="s">
        <v>32</v>
      </c>
      <c r="F1328" s="2"/>
      <c r="G1328" s="2"/>
      <c r="H1328" s="2"/>
      <c r="I1328" s="2"/>
    </row>
    <row r="1329" spans="1:9" x14ac:dyDescent="0.35">
      <c r="A1329" s="2" t="s">
        <v>886</v>
      </c>
      <c r="B1329" s="2" t="s">
        <v>24</v>
      </c>
      <c r="C1329" s="2" t="s">
        <v>948</v>
      </c>
      <c r="D1329" s="2" t="s">
        <v>452</v>
      </c>
      <c r="E1329" s="2" t="s">
        <v>38</v>
      </c>
      <c r="F1329" s="2"/>
      <c r="G1329" s="2"/>
      <c r="H1329" s="2"/>
      <c r="I1329" s="2"/>
    </row>
    <row r="1330" spans="1:9" x14ac:dyDescent="0.35">
      <c r="A1330" s="2" t="s">
        <v>886</v>
      </c>
      <c r="B1330" s="2" t="s">
        <v>24</v>
      </c>
      <c r="C1330" s="2" t="s">
        <v>948</v>
      </c>
      <c r="D1330" s="2" t="s">
        <v>950</v>
      </c>
      <c r="E1330" s="2" t="s">
        <v>38</v>
      </c>
      <c r="F1330" s="2"/>
      <c r="G1330" s="2"/>
      <c r="H1330" s="2"/>
      <c r="I1330" s="2"/>
    </row>
    <row r="1331" spans="1:9" x14ac:dyDescent="0.35">
      <c r="A1331" s="2" t="s">
        <v>886</v>
      </c>
      <c r="B1331" s="2" t="s">
        <v>24</v>
      </c>
      <c r="C1331" s="2" t="s">
        <v>948</v>
      </c>
      <c r="D1331" s="2" t="s">
        <v>951</v>
      </c>
      <c r="E1331" s="2" t="s">
        <v>83</v>
      </c>
      <c r="F1331" s="2"/>
      <c r="G1331" s="2"/>
      <c r="H1331" s="2"/>
      <c r="I1331" s="2"/>
    </row>
    <row r="1332" spans="1:9" x14ac:dyDescent="0.35">
      <c r="A1332" s="2" t="s">
        <v>886</v>
      </c>
      <c r="B1332" s="2" t="s">
        <v>24</v>
      </c>
      <c r="C1332" s="2" t="s">
        <v>948</v>
      </c>
      <c r="D1332" s="2" t="s">
        <v>200</v>
      </c>
      <c r="E1332" s="2" t="s">
        <v>201</v>
      </c>
      <c r="F1332" s="2"/>
      <c r="G1332" s="2"/>
      <c r="H1332" s="2"/>
      <c r="I1332" s="2"/>
    </row>
    <row r="1333" spans="1:9" x14ac:dyDescent="0.35">
      <c r="A1333" s="2" t="s">
        <v>886</v>
      </c>
      <c r="B1333" s="2" t="s">
        <v>24</v>
      </c>
      <c r="C1333" s="2" t="s">
        <v>948</v>
      </c>
      <c r="D1333" s="2" t="s">
        <v>96</v>
      </c>
      <c r="E1333" s="2" t="s">
        <v>83</v>
      </c>
      <c r="F1333" s="2"/>
      <c r="G1333" s="2"/>
      <c r="H1333" s="2"/>
      <c r="I1333" s="2"/>
    </row>
    <row r="1334" spans="1:9" x14ac:dyDescent="0.35">
      <c r="A1334" s="2" t="s">
        <v>886</v>
      </c>
      <c r="B1334" s="2" t="s">
        <v>24</v>
      </c>
      <c r="C1334" s="2" t="s">
        <v>948</v>
      </c>
      <c r="D1334" s="2" t="s">
        <v>211</v>
      </c>
      <c r="E1334" s="2" t="s">
        <v>203</v>
      </c>
      <c r="F1334" s="2"/>
      <c r="G1334" s="2"/>
      <c r="H1334" s="2"/>
      <c r="I1334" s="2"/>
    </row>
    <row r="1335" spans="1:9" x14ac:dyDescent="0.35">
      <c r="A1335" s="2" t="s">
        <v>886</v>
      </c>
      <c r="B1335" s="2" t="s">
        <v>24</v>
      </c>
      <c r="C1335" s="2" t="s">
        <v>948</v>
      </c>
      <c r="D1335" s="2" t="s">
        <v>952</v>
      </c>
      <c r="E1335" s="2" t="s">
        <v>38</v>
      </c>
      <c r="F1335" s="2"/>
      <c r="G1335" s="2"/>
      <c r="H1335" s="2"/>
      <c r="I1335" s="2"/>
    </row>
    <row r="1336" spans="1:9" x14ac:dyDescent="0.35">
      <c r="A1336" s="2" t="s">
        <v>886</v>
      </c>
      <c r="B1336" s="2" t="s">
        <v>24</v>
      </c>
      <c r="C1336" s="2" t="s">
        <v>948</v>
      </c>
      <c r="D1336" s="2" t="s">
        <v>953</v>
      </c>
      <c r="E1336" s="2" t="s">
        <v>125</v>
      </c>
      <c r="F1336" s="2"/>
      <c r="G1336" s="2"/>
      <c r="H1336" s="2"/>
      <c r="I1336" s="2"/>
    </row>
    <row r="1337" spans="1:9" x14ac:dyDescent="0.35">
      <c r="A1337" s="2" t="s">
        <v>886</v>
      </c>
      <c r="B1337" s="2" t="s">
        <v>24</v>
      </c>
      <c r="C1337" s="2" t="s">
        <v>948</v>
      </c>
      <c r="D1337" s="2" t="s">
        <v>954</v>
      </c>
      <c r="E1337" s="2" t="s">
        <v>955</v>
      </c>
      <c r="F1337" s="2"/>
      <c r="G1337" s="2"/>
      <c r="H1337" s="2"/>
      <c r="I1337" s="2"/>
    </row>
    <row r="1338" spans="1:9" x14ac:dyDescent="0.35">
      <c r="A1338" s="2" t="s">
        <v>886</v>
      </c>
      <c r="B1338" s="2" t="s">
        <v>24</v>
      </c>
      <c r="C1338" s="2" t="s">
        <v>948</v>
      </c>
      <c r="D1338" s="2" t="s">
        <v>416</v>
      </c>
      <c r="E1338" s="2" t="s">
        <v>38</v>
      </c>
      <c r="F1338" s="2"/>
      <c r="G1338" s="2"/>
      <c r="H1338" s="2"/>
      <c r="I1338" s="2"/>
    </row>
    <row r="1339" spans="1:9" x14ac:dyDescent="0.35">
      <c r="A1339" s="2" t="s">
        <v>886</v>
      </c>
      <c r="B1339" s="2" t="s">
        <v>24</v>
      </c>
      <c r="C1339" s="2" t="s">
        <v>948</v>
      </c>
      <c r="D1339" s="2" t="s">
        <v>956</v>
      </c>
      <c r="E1339" s="2" t="s">
        <v>40</v>
      </c>
      <c r="F1339" s="2"/>
      <c r="G1339" s="2"/>
      <c r="H1339" s="2"/>
      <c r="I1339" s="2"/>
    </row>
    <row r="1340" spans="1:9" x14ac:dyDescent="0.35">
      <c r="A1340" s="2" t="s">
        <v>886</v>
      </c>
      <c r="B1340" s="2" t="s">
        <v>24</v>
      </c>
      <c r="C1340" s="2" t="s">
        <v>948</v>
      </c>
      <c r="D1340" s="2" t="s">
        <v>957</v>
      </c>
      <c r="E1340" s="2" t="s">
        <v>958</v>
      </c>
      <c r="F1340" s="2"/>
      <c r="G1340" s="2"/>
      <c r="H1340" s="2"/>
      <c r="I1340" s="2"/>
    </row>
    <row r="1341" spans="1:9" x14ac:dyDescent="0.35">
      <c r="A1341" s="2" t="s">
        <v>886</v>
      </c>
      <c r="B1341" s="2" t="s">
        <v>24</v>
      </c>
      <c r="C1341" s="2" t="s">
        <v>948</v>
      </c>
      <c r="D1341" s="2" t="s">
        <v>959</v>
      </c>
      <c r="E1341" s="2" t="s">
        <v>78</v>
      </c>
      <c r="F1341" s="2"/>
      <c r="G1341" s="2"/>
      <c r="H1341" s="2"/>
      <c r="I1341" s="2"/>
    </row>
    <row r="1342" spans="1:9" x14ac:dyDescent="0.35">
      <c r="A1342" s="2" t="s">
        <v>886</v>
      </c>
      <c r="B1342" s="2" t="s">
        <v>24</v>
      </c>
      <c r="C1342" s="2" t="s">
        <v>948</v>
      </c>
      <c r="D1342" s="2" t="s">
        <v>156</v>
      </c>
      <c r="E1342" s="2" t="s">
        <v>45</v>
      </c>
      <c r="F1342" s="2"/>
      <c r="G1342" s="2"/>
      <c r="H1342" s="2"/>
      <c r="I1342" s="2"/>
    </row>
    <row r="1343" spans="1:9" x14ac:dyDescent="0.35">
      <c r="A1343" s="2" t="s">
        <v>886</v>
      </c>
      <c r="B1343" s="2" t="s">
        <v>24</v>
      </c>
      <c r="C1343" s="2" t="s">
        <v>948</v>
      </c>
      <c r="D1343" s="2" t="s">
        <v>77</v>
      </c>
      <c r="E1343" s="2" t="s">
        <v>78</v>
      </c>
      <c r="F1343" s="2"/>
      <c r="G1343" s="2"/>
      <c r="H1343" s="2"/>
      <c r="I1343" s="2"/>
    </row>
    <row r="1344" spans="1:9" x14ac:dyDescent="0.35">
      <c r="A1344" s="2" t="s">
        <v>886</v>
      </c>
      <c r="B1344" s="2" t="s">
        <v>24</v>
      </c>
      <c r="C1344" s="2" t="s">
        <v>948</v>
      </c>
      <c r="D1344" s="2" t="s">
        <v>258</v>
      </c>
      <c r="E1344" s="2" t="s">
        <v>259</v>
      </c>
      <c r="F1344" s="2"/>
      <c r="G1344" s="2"/>
      <c r="H1344" s="2"/>
      <c r="I1344" s="2"/>
    </row>
    <row r="1345" spans="1:9" x14ac:dyDescent="0.35">
      <c r="A1345" s="2" t="s">
        <v>886</v>
      </c>
      <c r="B1345" s="2" t="s">
        <v>24</v>
      </c>
      <c r="C1345" s="2" t="s">
        <v>948</v>
      </c>
      <c r="D1345" s="2" t="s">
        <v>960</v>
      </c>
      <c r="E1345" s="2" t="s">
        <v>40</v>
      </c>
      <c r="F1345" s="2"/>
      <c r="G1345" s="2"/>
      <c r="H1345" s="2"/>
      <c r="I1345" s="2"/>
    </row>
    <row r="1346" spans="1:9" x14ac:dyDescent="0.35">
      <c r="A1346" s="2" t="s">
        <v>886</v>
      </c>
      <c r="B1346" s="2" t="s">
        <v>24</v>
      </c>
      <c r="C1346" s="2" t="s">
        <v>948</v>
      </c>
      <c r="D1346" s="2" t="s">
        <v>417</v>
      </c>
      <c r="E1346" s="2" t="s">
        <v>40</v>
      </c>
      <c r="F1346" s="2"/>
      <c r="G1346" s="2"/>
      <c r="H1346" s="2"/>
      <c r="I1346" s="2"/>
    </row>
    <row r="1347" spans="1:9" x14ac:dyDescent="0.35">
      <c r="A1347" s="2" t="s">
        <v>886</v>
      </c>
      <c r="B1347" s="2" t="s">
        <v>24</v>
      </c>
      <c r="C1347" s="2" t="s">
        <v>948</v>
      </c>
      <c r="D1347" s="2" t="s">
        <v>18</v>
      </c>
      <c r="E1347" s="2" t="s">
        <v>19</v>
      </c>
      <c r="F1347" s="2"/>
      <c r="G1347" s="2"/>
      <c r="H1347" s="2"/>
      <c r="I1347" s="2"/>
    </row>
    <row r="1348" spans="1:9" x14ac:dyDescent="0.35">
      <c r="A1348" s="2" t="s">
        <v>886</v>
      </c>
      <c r="B1348" s="2" t="s">
        <v>24</v>
      </c>
      <c r="C1348" s="2" t="s">
        <v>948</v>
      </c>
      <c r="D1348" s="2" t="s">
        <v>100</v>
      </c>
      <c r="E1348" s="2" t="s">
        <v>101</v>
      </c>
      <c r="F1348" s="2"/>
      <c r="G1348" s="2"/>
      <c r="H1348" s="2"/>
      <c r="I1348" s="2"/>
    </row>
    <row r="1349" spans="1:9" x14ac:dyDescent="0.35">
      <c r="A1349" s="2" t="s">
        <v>886</v>
      </c>
      <c r="B1349" s="2" t="s">
        <v>24</v>
      </c>
      <c r="C1349" s="2" t="s">
        <v>948</v>
      </c>
      <c r="D1349" s="2" t="s">
        <v>941</v>
      </c>
      <c r="E1349" s="2" t="s">
        <v>228</v>
      </c>
      <c r="F1349" s="2" t="s">
        <v>16</v>
      </c>
      <c r="G1349" s="2" t="s">
        <v>961</v>
      </c>
      <c r="H1349" s="2"/>
      <c r="I1349" s="2"/>
    </row>
    <row r="1350" spans="1:9" x14ac:dyDescent="0.35">
      <c r="A1350" s="2" t="s">
        <v>886</v>
      </c>
      <c r="B1350" s="2" t="s">
        <v>24</v>
      </c>
      <c r="C1350" s="2" t="s">
        <v>948</v>
      </c>
      <c r="D1350" s="2" t="s">
        <v>188</v>
      </c>
      <c r="E1350" s="2" t="s">
        <v>189</v>
      </c>
      <c r="F1350" s="2"/>
      <c r="G1350" s="2"/>
      <c r="H1350" s="2"/>
      <c r="I1350" s="2"/>
    </row>
    <row r="1351" spans="1:9" x14ac:dyDescent="0.35">
      <c r="A1351" s="2" t="s">
        <v>886</v>
      </c>
      <c r="B1351" s="2" t="s">
        <v>24</v>
      </c>
      <c r="C1351" s="2" t="s">
        <v>948</v>
      </c>
      <c r="D1351" s="2" t="s">
        <v>962</v>
      </c>
      <c r="E1351" s="2" t="s">
        <v>38</v>
      </c>
      <c r="F1351" s="2"/>
      <c r="G1351" s="2"/>
      <c r="H1351" s="2"/>
      <c r="I1351" s="2"/>
    </row>
    <row r="1352" spans="1:9" x14ac:dyDescent="0.35">
      <c r="A1352" s="2" t="s">
        <v>886</v>
      </c>
      <c r="B1352" s="2" t="s">
        <v>24</v>
      </c>
      <c r="C1352" s="2" t="s">
        <v>948</v>
      </c>
      <c r="D1352" s="2" t="s">
        <v>963</v>
      </c>
      <c r="E1352" s="2" t="s">
        <v>78</v>
      </c>
      <c r="F1352" s="2"/>
      <c r="G1352" s="2"/>
      <c r="H1352" s="2"/>
      <c r="I1352" s="2"/>
    </row>
    <row r="1353" spans="1:9" x14ac:dyDescent="0.35">
      <c r="A1353" s="2" t="s">
        <v>886</v>
      </c>
      <c r="B1353" s="2" t="s">
        <v>24</v>
      </c>
      <c r="C1353" s="2" t="s">
        <v>948</v>
      </c>
      <c r="D1353" s="2" t="s">
        <v>149</v>
      </c>
      <c r="E1353" s="2" t="s">
        <v>150</v>
      </c>
      <c r="F1353" s="2"/>
      <c r="G1353" s="2"/>
      <c r="H1353" s="2"/>
      <c r="I1353" s="2"/>
    </row>
    <row r="1354" spans="1:9" x14ac:dyDescent="0.35">
      <c r="A1354" s="2" t="s">
        <v>886</v>
      </c>
      <c r="B1354" s="2" t="s">
        <v>24</v>
      </c>
      <c r="C1354" s="2" t="s">
        <v>948</v>
      </c>
      <c r="D1354" s="2" t="s">
        <v>193</v>
      </c>
      <c r="E1354" s="2" t="s">
        <v>40</v>
      </c>
      <c r="F1354" s="2"/>
      <c r="G1354" s="2"/>
      <c r="H1354" s="2"/>
      <c r="I1354" s="2"/>
    </row>
    <row r="1355" spans="1:9" x14ac:dyDescent="0.35">
      <c r="A1355" s="2" t="s">
        <v>886</v>
      </c>
      <c r="B1355" s="2" t="s">
        <v>24</v>
      </c>
      <c r="C1355" s="2" t="s">
        <v>948</v>
      </c>
      <c r="D1355" s="2" t="s">
        <v>964</v>
      </c>
      <c r="E1355" s="2" t="s">
        <v>75</v>
      </c>
      <c r="F1355" s="2"/>
      <c r="G1355" s="2"/>
      <c r="H1355" s="2"/>
      <c r="I1355" s="2"/>
    </row>
    <row r="1356" spans="1:9" x14ac:dyDescent="0.35">
      <c r="A1356" s="2" t="s">
        <v>886</v>
      </c>
      <c r="B1356" s="2" t="s">
        <v>24</v>
      </c>
      <c r="C1356" s="2" t="s">
        <v>948</v>
      </c>
      <c r="D1356" s="2" t="s">
        <v>965</v>
      </c>
      <c r="E1356" s="2" t="s">
        <v>363</v>
      </c>
      <c r="F1356" s="2"/>
      <c r="G1356" s="2"/>
      <c r="H1356" s="2"/>
      <c r="I1356" s="2"/>
    </row>
    <row r="1357" spans="1:9" x14ac:dyDescent="0.35">
      <c r="A1357" s="2" t="s">
        <v>886</v>
      </c>
      <c r="B1357" s="2" t="s">
        <v>24</v>
      </c>
      <c r="C1357" s="2" t="s">
        <v>948</v>
      </c>
      <c r="D1357" s="2" t="s">
        <v>966</v>
      </c>
      <c r="E1357" s="2" t="s">
        <v>125</v>
      </c>
      <c r="F1357" s="2"/>
      <c r="G1357" s="2"/>
      <c r="H1357" s="2"/>
      <c r="I1357" s="2"/>
    </row>
    <row r="1358" spans="1:9" x14ac:dyDescent="0.35">
      <c r="A1358" s="2" t="s">
        <v>886</v>
      </c>
      <c r="B1358" s="2" t="s">
        <v>24</v>
      </c>
      <c r="C1358" s="2" t="s">
        <v>967</v>
      </c>
      <c r="D1358" s="2" t="s">
        <v>196</v>
      </c>
      <c r="E1358" s="2" t="s">
        <v>197</v>
      </c>
      <c r="F1358" s="2"/>
      <c r="G1358" s="2"/>
      <c r="H1358" s="2"/>
      <c r="I1358" s="2"/>
    </row>
    <row r="1359" spans="1:9" x14ac:dyDescent="0.35">
      <c r="A1359" s="2" t="s">
        <v>886</v>
      </c>
      <c r="B1359" s="2" t="s">
        <v>24</v>
      </c>
      <c r="C1359" s="2" t="s">
        <v>967</v>
      </c>
      <c r="D1359" s="2" t="s">
        <v>485</v>
      </c>
      <c r="E1359" s="2" t="s">
        <v>15</v>
      </c>
      <c r="F1359" s="2"/>
      <c r="G1359" s="2"/>
      <c r="H1359" s="2"/>
      <c r="I1359" s="2"/>
    </row>
    <row r="1360" spans="1:9" x14ac:dyDescent="0.35">
      <c r="A1360" s="2" t="s">
        <v>886</v>
      </c>
      <c r="B1360" s="2" t="s">
        <v>24</v>
      </c>
      <c r="C1360" s="2" t="s">
        <v>967</v>
      </c>
      <c r="D1360" s="2" t="s">
        <v>31</v>
      </c>
      <c r="E1360" s="2" t="s">
        <v>32</v>
      </c>
      <c r="F1360" s="2"/>
      <c r="G1360" s="2"/>
      <c r="H1360" s="2"/>
      <c r="I1360" s="2"/>
    </row>
    <row r="1361" spans="1:9" x14ac:dyDescent="0.35">
      <c r="A1361" s="2" t="s">
        <v>886</v>
      </c>
      <c r="B1361" s="2" t="s">
        <v>24</v>
      </c>
      <c r="C1361" s="2" t="s">
        <v>967</v>
      </c>
      <c r="D1361" s="2" t="s">
        <v>968</v>
      </c>
      <c r="E1361" s="2" t="s">
        <v>15</v>
      </c>
      <c r="F1361" s="2"/>
      <c r="G1361" s="2"/>
      <c r="H1361" s="2"/>
      <c r="I1361" s="2"/>
    </row>
    <row r="1362" spans="1:9" x14ac:dyDescent="0.35">
      <c r="A1362" s="2" t="s">
        <v>886</v>
      </c>
      <c r="B1362" s="2" t="s">
        <v>24</v>
      </c>
      <c r="C1362" s="2" t="s">
        <v>967</v>
      </c>
      <c r="D1362" s="2" t="s">
        <v>211</v>
      </c>
      <c r="E1362" s="2" t="s">
        <v>203</v>
      </c>
      <c r="F1362" s="2"/>
      <c r="G1362" s="2"/>
      <c r="H1362" s="2"/>
      <c r="I1362" s="2"/>
    </row>
    <row r="1363" spans="1:9" x14ac:dyDescent="0.35">
      <c r="A1363" s="2" t="s">
        <v>886</v>
      </c>
      <c r="B1363" s="2" t="s">
        <v>24</v>
      </c>
      <c r="C1363" s="2" t="s">
        <v>967</v>
      </c>
      <c r="D1363" s="2" t="s">
        <v>969</v>
      </c>
      <c r="E1363" s="2" t="s">
        <v>78</v>
      </c>
      <c r="F1363" s="2"/>
      <c r="G1363" s="2"/>
      <c r="H1363" s="2"/>
      <c r="I1363" s="2"/>
    </row>
    <row r="1364" spans="1:9" x14ac:dyDescent="0.35">
      <c r="A1364" s="2" t="s">
        <v>886</v>
      </c>
      <c r="B1364" s="2" t="s">
        <v>24</v>
      </c>
      <c r="C1364" s="2" t="s">
        <v>967</v>
      </c>
      <c r="D1364" s="2" t="s">
        <v>417</v>
      </c>
      <c r="E1364" s="2" t="s">
        <v>40</v>
      </c>
      <c r="F1364" s="2"/>
      <c r="G1364" s="2"/>
      <c r="H1364" s="2"/>
      <c r="I1364" s="2"/>
    </row>
    <row r="1365" spans="1:9" x14ac:dyDescent="0.35">
      <c r="A1365" s="2" t="s">
        <v>886</v>
      </c>
      <c r="B1365" s="2" t="s">
        <v>24</v>
      </c>
      <c r="C1365" s="2" t="s">
        <v>967</v>
      </c>
      <c r="D1365" s="2" t="s">
        <v>89</v>
      </c>
      <c r="E1365" s="2" t="s">
        <v>45</v>
      </c>
      <c r="F1365" s="2" t="s">
        <v>16</v>
      </c>
      <c r="G1365" s="2" t="s">
        <v>970</v>
      </c>
      <c r="H1365" s="2"/>
      <c r="I1365" s="2"/>
    </row>
    <row r="1366" spans="1:9" x14ac:dyDescent="0.35">
      <c r="A1366" s="2" t="s">
        <v>886</v>
      </c>
      <c r="B1366" s="2" t="s">
        <v>24</v>
      </c>
      <c r="C1366" s="2" t="s">
        <v>971</v>
      </c>
      <c r="D1366" s="2" t="s">
        <v>196</v>
      </c>
      <c r="E1366" s="2" t="s">
        <v>197</v>
      </c>
      <c r="F1366" s="2"/>
      <c r="G1366" s="2"/>
      <c r="H1366" s="2"/>
      <c r="I1366" s="2"/>
    </row>
    <row r="1367" spans="1:9" x14ac:dyDescent="0.35">
      <c r="A1367" s="2" t="s">
        <v>886</v>
      </c>
      <c r="B1367" s="2" t="s">
        <v>24</v>
      </c>
      <c r="C1367" s="2" t="s">
        <v>971</v>
      </c>
      <c r="D1367" s="2" t="s">
        <v>14</v>
      </c>
      <c r="E1367" s="2" t="s">
        <v>15</v>
      </c>
      <c r="F1367" s="2"/>
      <c r="G1367" s="2"/>
      <c r="H1367" s="2"/>
      <c r="I1367" s="2"/>
    </row>
    <row r="1368" spans="1:9" x14ac:dyDescent="0.35">
      <c r="A1368" s="2" t="s">
        <v>886</v>
      </c>
      <c r="B1368" s="2" t="s">
        <v>24</v>
      </c>
      <c r="C1368" s="2" t="s">
        <v>971</v>
      </c>
      <c r="D1368" s="2" t="s">
        <v>31</v>
      </c>
      <c r="E1368" s="2" t="s">
        <v>32</v>
      </c>
      <c r="F1368" s="2"/>
      <c r="G1368" s="2"/>
      <c r="H1368" s="2"/>
      <c r="I1368" s="2"/>
    </row>
    <row r="1369" spans="1:9" x14ac:dyDescent="0.35">
      <c r="A1369" s="2" t="s">
        <v>886</v>
      </c>
      <c r="B1369" s="2" t="s">
        <v>24</v>
      </c>
      <c r="C1369" s="2" t="s">
        <v>971</v>
      </c>
      <c r="D1369" s="2" t="s">
        <v>200</v>
      </c>
      <c r="E1369" s="2" t="s">
        <v>201</v>
      </c>
      <c r="F1369" s="2"/>
      <c r="G1369" s="2"/>
      <c r="H1369" s="2"/>
      <c r="I1369" s="2"/>
    </row>
    <row r="1370" spans="1:9" x14ac:dyDescent="0.35">
      <c r="A1370" s="2" t="s">
        <v>886</v>
      </c>
      <c r="B1370" s="2" t="s">
        <v>24</v>
      </c>
      <c r="C1370" s="2" t="s">
        <v>971</v>
      </c>
      <c r="D1370" s="2" t="s">
        <v>972</v>
      </c>
      <c r="E1370" s="2" t="s">
        <v>32</v>
      </c>
      <c r="F1370" s="2"/>
      <c r="G1370" s="2"/>
      <c r="H1370" s="2"/>
      <c r="I1370" s="2"/>
    </row>
    <row r="1371" spans="1:9" x14ac:dyDescent="0.35">
      <c r="A1371" s="2" t="s">
        <v>886</v>
      </c>
      <c r="B1371" s="2" t="s">
        <v>24</v>
      </c>
      <c r="C1371" s="2" t="s">
        <v>971</v>
      </c>
      <c r="D1371" s="2" t="s">
        <v>211</v>
      </c>
      <c r="E1371" s="2" t="s">
        <v>203</v>
      </c>
      <c r="F1371" s="2"/>
      <c r="G1371" s="2"/>
      <c r="H1371" s="2"/>
      <c r="I1371" s="2"/>
    </row>
    <row r="1372" spans="1:9" x14ac:dyDescent="0.35">
      <c r="A1372" s="2" t="s">
        <v>886</v>
      </c>
      <c r="B1372" s="2" t="s">
        <v>24</v>
      </c>
      <c r="C1372" s="2" t="s">
        <v>971</v>
      </c>
      <c r="D1372" s="2" t="s">
        <v>38</v>
      </c>
      <c r="E1372" s="2" t="s">
        <v>38</v>
      </c>
      <c r="F1372" s="2"/>
      <c r="G1372" s="2"/>
      <c r="H1372" s="2"/>
      <c r="I1372" s="2"/>
    </row>
    <row r="1373" spans="1:9" x14ac:dyDescent="0.35">
      <c r="A1373" s="2" t="s">
        <v>886</v>
      </c>
      <c r="B1373" s="2" t="s">
        <v>24</v>
      </c>
      <c r="C1373" s="2" t="s">
        <v>971</v>
      </c>
      <c r="D1373" s="2" t="s">
        <v>89</v>
      </c>
      <c r="E1373" s="2" t="s">
        <v>45</v>
      </c>
      <c r="F1373" s="2"/>
      <c r="G1373" s="2"/>
      <c r="H1373" s="2"/>
      <c r="I1373" s="2"/>
    </row>
    <row r="1374" spans="1:9" x14ac:dyDescent="0.35">
      <c r="A1374" s="2" t="s">
        <v>886</v>
      </c>
      <c r="B1374" s="2" t="s">
        <v>24</v>
      </c>
      <c r="C1374" s="2" t="s">
        <v>971</v>
      </c>
      <c r="D1374" s="2" t="s">
        <v>100</v>
      </c>
      <c r="E1374" s="2" t="s">
        <v>101</v>
      </c>
      <c r="F1374" s="2"/>
      <c r="G1374" s="2"/>
      <c r="H1374" s="2"/>
      <c r="I1374" s="2"/>
    </row>
    <row r="1375" spans="1:9" x14ac:dyDescent="0.35">
      <c r="A1375" s="2" t="s">
        <v>886</v>
      </c>
      <c r="B1375" s="2" t="s">
        <v>24</v>
      </c>
      <c r="C1375" s="2" t="s">
        <v>971</v>
      </c>
      <c r="D1375" s="2" t="s">
        <v>302</v>
      </c>
      <c r="E1375" s="2" t="s">
        <v>65</v>
      </c>
      <c r="F1375" s="2"/>
      <c r="G1375" s="2"/>
      <c r="H1375" s="2"/>
      <c r="I1375" s="2"/>
    </row>
    <row r="1376" spans="1:9" x14ac:dyDescent="0.35">
      <c r="A1376" s="2" t="s">
        <v>886</v>
      </c>
      <c r="B1376" s="2" t="s">
        <v>24</v>
      </c>
      <c r="C1376" s="2" t="s">
        <v>973</v>
      </c>
      <c r="D1376" s="2" t="s">
        <v>196</v>
      </c>
      <c r="E1376" s="2" t="s">
        <v>197</v>
      </c>
      <c r="F1376" s="2" t="s">
        <v>46</v>
      </c>
      <c r="G1376" s="2" t="s">
        <v>675</v>
      </c>
      <c r="H1376" s="2"/>
      <c r="I1376" s="2"/>
    </row>
    <row r="1377" spans="1:9" x14ac:dyDescent="0.35">
      <c r="A1377" s="2" t="s">
        <v>886</v>
      </c>
      <c r="B1377" s="2" t="s">
        <v>24</v>
      </c>
      <c r="C1377" s="2" t="s">
        <v>973</v>
      </c>
      <c r="D1377" s="2" t="s">
        <v>14</v>
      </c>
      <c r="E1377" s="2" t="s">
        <v>15</v>
      </c>
      <c r="F1377" s="2" t="s">
        <v>46</v>
      </c>
      <c r="G1377" s="2" t="s">
        <v>675</v>
      </c>
      <c r="H1377" s="2"/>
      <c r="I1377" s="2"/>
    </row>
    <row r="1378" spans="1:9" x14ac:dyDescent="0.35">
      <c r="A1378" s="2" t="s">
        <v>886</v>
      </c>
      <c r="B1378" s="2" t="s">
        <v>24</v>
      </c>
      <c r="C1378" s="2" t="s">
        <v>973</v>
      </c>
      <c r="D1378" s="2" t="s">
        <v>563</v>
      </c>
      <c r="E1378" s="2" t="s">
        <v>45</v>
      </c>
      <c r="F1378" s="2" t="s">
        <v>46</v>
      </c>
      <c r="G1378" s="2" t="s">
        <v>675</v>
      </c>
      <c r="H1378" s="2"/>
      <c r="I1378" s="2"/>
    </row>
    <row r="1379" spans="1:9" x14ac:dyDescent="0.35">
      <c r="A1379" s="2" t="s">
        <v>886</v>
      </c>
      <c r="B1379" s="2" t="s">
        <v>24</v>
      </c>
      <c r="C1379" s="2" t="s">
        <v>973</v>
      </c>
      <c r="D1379" s="2" t="s">
        <v>31</v>
      </c>
      <c r="E1379" s="2" t="s">
        <v>32</v>
      </c>
      <c r="F1379" s="2" t="s">
        <v>46</v>
      </c>
      <c r="G1379" s="2" t="s">
        <v>675</v>
      </c>
      <c r="H1379" s="2"/>
      <c r="I1379" s="2"/>
    </row>
    <row r="1380" spans="1:9" x14ac:dyDescent="0.35">
      <c r="A1380" s="2" t="s">
        <v>886</v>
      </c>
      <c r="B1380" s="2" t="s">
        <v>24</v>
      </c>
      <c r="C1380" s="2" t="s">
        <v>973</v>
      </c>
      <c r="D1380" s="2" t="s">
        <v>452</v>
      </c>
      <c r="E1380" s="2" t="s">
        <v>38</v>
      </c>
      <c r="F1380" s="2" t="s">
        <v>46</v>
      </c>
      <c r="G1380" s="2" t="s">
        <v>675</v>
      </c>
      <c r="H1380" s="2"/>
      <c r="I1380" s="2"/>
    </row>
    <row r="1381" spans="1:9" x14ac:dyDescent="0.35">
      <c r="A1381" s="2" t="s">
        <v>886</v>
      </c>
      <c r="B1381" s="2" t="s">
        <v>24</v>
      </c>
      <c r="C1381" s="2" t="s">
        <v>973</v>
      </c>
      <c r="D1381" s="2" t="s">
        <v>950</v>
      </c>
      <c r="E1381" s="2" t="s">
        <v>38</v>
      </c>
      <c r="F1381" s="2" t="s">
        <v>46</v>
      </c>
      <c r="G1381" s="2" t="s">
        <v>675</v>
      </c>
      <c r="H1381" s="2"/>
      <c r="I1381" s="2"/>
    </row>
    <row r="1382" spans="1:9" x14ac:dyDescent="0.35">
      <c r="A1382" s="2" t="s">
        <v>886</v>
      </c>
      <c r="B1382" s="2" t="s">
        <v>24</v>
      </c>
      <c r="C1382" s="2" t="s">
        <v>973</v>
      </c>
      <c r="D1382" s="2" t="s">
        <v>951</v>
      </c>
      <c r="E1382" s="2" t="s">
        <v>83</v>
      </c>
      <c r="F1382" s="2" t="s">
        <v>46</v>
      </c>
      <c r="G1382" s="2" t="s">
        <v>675</v>
      </c>
      <c r="H1382" s="2"/>
      <c r="I1382" s="2"/>
    </row>
    <row r="1383" spans="1:9" x14ac:dyDescent="0.35">
      <c r="A1383" s="2" t="s">
        <v>886</v>
      </c>
      <c r="B1383" s="2" t="s">
        <v>24</v>
      </c>
      <c r="C1383" s="2" t="s">
        <v>973</v>
      </c>
      <c r="D1383" s="2" t="s">
        <v>200</v>
      </c>
      <c r="E1383" s="2" t="s">
        <v>201</v>
      </c>
      <c r="F1383" s="2" t="s">
        <v>46</v>
      </c>
      <c r="G1383" s="2" t="s">
        <v>675</v>
      </c>
      <c r="H1383" s="2"/>
      <c r="I1383" s="2"/>
    </row>
    <row r="1384" spans="1:9" x14ac:dyDescent="0.35">
      <c r="A1384" s="2" t="s">
        <v>886</v>
      </c>
      <c r="B1384" s="2" t="s">
        <v>24</v>
      </c>
      <c r="C1384" s="2" t="s">
        <v>973</v>
      </c>
      <c r="D1384" s="2" t="s">
        <v>96</v>
      </c>
      <c r="E1384" s="2" t="s">
        <v>83</v>
      </c>
      <c r="F1384" s="2" t="s">
        <v>46</v>
      </c>
      <c r="G1384" s="2" t="s">
        <v>675</v>
      </c>
      <c r="H1384" s="2"/>
      <c r="I1384" s="2"/>
    </row>
    <row r="1385" spans="1:9" x14ac:dyDescent="0.35">
      <c r="A1385" s="2" t="s">
        <v>886</v>
      </c>
      <c r="B1385" s="2" t="s">
        <v>24</v>
      </c>
      <c r="C1385" s="2" t="s">
        <v>973</v>
      </c>
      <c r="D1385" s="2" t="s">
        <v>211</v>
      </c>
      <c r="E1385" s="2" t="s">
        <v>203</v>
      </c>
      <c r="F1385" s="2" t="s">
        <v>46</v>
      </c>
      <c r="G1385" s="2" t="s">
        <v>675</v>
      </c>
      <c r="H1385" s="2"/>
      <c r="I1385" s="2"/>
    </row>
    <row r="1386" spans="1:9" x14ac:dyDescent="0.35">
      <c r="A1386" s="2" t="s">
        <v>886</v>
      </c>
      <c r="B1386" s="2" t="s">
        <v>24</v>
      </c>
      <c r="C1386" s="2" t="s">
        <v>973</v>
      </c>
      <c r="D1386" s="2" t="s">
        <v>952</v>
      </c>
      <c r="E1386" s="2" t="s">
        <v>38</v>
      </c>
      <c r="F1386" s="2" t="s">
        <v>46</v>
      </c>
      <c r="G1386" s="2" t="s">
        <v>675</v>
      </c>
      <c r="H1386" s="2"/>
      <c r="I1386" s="2"/>
    </row>
    <row r="1387" spans="1:9" x14ac:dyDescent="0.35">
      <c r="A1387" s="2" t="s">
        <v>886</v>
      </c>
      <c r="B1387" s="2" t="s">
        <v>24</v>
      </c>
      <c r="C1387" s="2" t="s">
        <v>973</v>
      </c>
      <c r="D1387" s="2" t="s">
        <v>974</v>
      </c>
      <c r="E1387" s="2" t="s">
        <v>15</v>
      </c>
      <c r="F1387" s="2" t="s">
        <v>46</v>
      </c>
      <c r="G1387" s="2" t="s">
        <v>675</v>
      </c>
      <c r="H1387" s="2"/>
      <c r="I1387" s="2"/>
    </row>
    <row r="1388" spans="1:9" x14ac:dyDescent="0.35">
      <c r="A1388" s="2" t="s">
        <v>886</v>
      </c>
      <c r="B1388" s="2" t="s">
        <v>24</v>
      </c>
      <c r="C1388" s="2" t="s">
        <v>973</v>
      </c>
      <c r="D1388" s="2" t="s">
        <v>954</v>
      </c>
      <c r="E1388" s="2" t="s">
        <v>955</v>
      </c>
      <c r="F1388" s="2" t="s">
        <v>46</v>
      </c>
      <c r="G1388" s="2" t="s">
        <v>675</v>
      </c>
      <c r="H1388" s="2"/>
      <c r="I1388" s="2"/>
    </row>
    <row r="1389" spans="1:9" x14ac:dyDescent="0.35">
      <c r="A1389" s="2" t="s">
        <v>886</v>
      </c>
      <c r="B1389" s="2" t="s">
        <v>24</v>
      </c>
      <c r="C1389" s="2" t="s">
        <v>973</v>
      </c>
      <c r="D1389" s="2" t="s">
        <v>416</v>
      </c>
      <c r="E1389" s="2" t="s">
        <v>38</v>
      </c>
      <c r="F1389" s="2" t="s">
        <v>46</v>
      </c>
      <c r="G1389" s="2" t="s">
        <v>675</v>
      </c>
      <c r="H1389" s="2"/>
      <c r="I1389" s="2"/>
    </row>
    <row r="1390" spans="1:9" x14ac:dyDescent="0.35">
      <c r="A1390" s="2" t="s">
        <v>886</v>
      </c>
      <c r="B1390" s="2" t="s">
        <v>24</v>
      </c>
      <c r="C1390" s="2" t="s">
        <v>973</v>
      </c>
      <c r="D1390" s="2" t="s">
        <v>956</v>
      </c>
      <c r="E1390" s="2" t="s">
        <v>40</v>
      </c>
      <c r="F1390" s="2" t="s">
        <v>46</v>
      </c>
      <c r="G1390" s="2" t="s">
        <v>675</v>
      </c>
      <c r="H1390" s="2"/>
      <c r="I1390" s="2"/>
    </row>
    <row r="1391" spans="1:9" x14ac:dyDescent="0.35">
      <c r="A1391" s="2" t="s">
        <v>886</v>
      </c>
      <c r="B1391" s="2" t="s">
        <v>24</v>
      </c>
      <c r="C1391" s="2" t="s">
        <v>973</v>
      </c>
      <c r="D1391" s="2" t="s">
        <v>975</v>
      </c>
      <c r="E1391" s="2" t="s">
        <v>78</v>
      </c>
      <c r="F1391" s="2" t="s">
        <v>46</v>
      </c>
      <c r="G1391" s="2" t="s">
        <v>675</v>
      </c>
      <c r="H1391" s="2"/>
      <c r="I1391" s="2"/>
    </row>
    <row r="1392" spans="1:9" x14ac:dyDescent="0.35">
      <c r="A1392" s="2" t="s">
        <v>886</v>
      </c>
      <c r="B1392" s="2" t="s">
        <v>24</v>
      </c>
      <c r="C1392" s="2" t="s">
        <v>973</v>
      </c>
      <c r="D1392" s="2" t="s">
        <v>957</v>
      </c>
      <c r="E1392" s="2" t="s">
        <v>958</v>
      </c>
      <c r="F1392" s="2" t="s">
        <v>46</v>
      </c>
      <c r="G1392" s="2" t="s">
        <v>675</v>
      </c>
      <c r="H1392" s="2"/>
      <c r="I1392" s="2"/>
    </row>
    <row r="1393" spans="1:9" x14ac:dyDescent="0.35">
      <c r="A1393" s="2" t="s">
        <v>886</v>
      </c>
      <c r="B1393" s="2" t="s">
        <v>24</v>
      </c>
      <c r="C1393" s="2" t="s">
        <v>973</v>
      </c>
      <c r="D1393" s="2" t="s">
        <v>959</v>
      </c>
      <c r="E1393" s="2" t="s">
        <v>78</v>
      </c>
      <c r="F1393" s="2" t="s">
        <v>46</v>
      </c>
      <c r="G1393" s="2" t="s">
        <v>675</v>
      </c>
      <c r="H1393" s="2"/>
      <c r="I1393" s="2"/>
    </row>
    <row r="1394" spans="1:9" x14ac:dyDescent="0.35">
      <c r="A1394" s="2" t="s">
        <v>886</v>
      </c>
      <c r="B1394" s="2" t="s">
        <v>24</v>
      </c>
      <c r="C1394" s="2" t="s">
        <v>973</v>
      </c>
      <c r="D1394" s="2" t="s">
        <v>156</v>
      </c>
      <c r="E1394" s="2" t="s">
        <v>45</v>
      </c>
      <c r="F1394" s="2" t="s">
        <v>46</v>
      </c>
      <c r="G1394" s="2" t="s">
        <v>675</v>
      </c>
      <c r="H1394" s="2"/>
      <c r="I1394" s="2"/>
    </row>
    <row r="1395" spans="1:9" x14ac:dyDescent="0.35">
      <c r="A1395" s="2" t="s">
        <v>886</v>
      </c>
      <c r="B1395" s="2" t="s">
        <v>24</v>
      </c>
      <c r="C1395" s="2" t="s">
        <v>973</v>
      </c>
      <c r="D1395" s="2" t="s">
        <v>258</v>
      </c>
      <c r="E1395" s="2" t="s">
        <v>259</v>
      </c>
      <c r="F1395" s="2" t="s">
        <v>46</v>
      </c>
      <c r="G1395" s="2" t="s">
        <v>675</v>
      </c>
      <c r="H1395" s="2"/>
      <c r="I1395" s="2"/>
    </row>
    <row r="1396" spans="1:9" x14ac:dyDescent="0.35">
      <c r="A1396" s="2" t="s">
        <v>886</v>
      </c>
      <c r="B1396" s="2" t="s">
        <v>24</v>
      </c>
      <c r="C1396" s="2" t="s">
        <v>973</v>
      </c>
      <c r="D1396" s="2" t="s">
        <v>417</v>
      </c>
      <c r="E1396" s="2" t="s">
        <v>40</v>
      </c>
      <c r="F1396" s="2" t="s">
        <v>46</v>
      </c>
      <c r="G1396" s="2" t="s">
        <v>675</v>
      </c>
      <c r="H1396" s="2"/>
      <c r="I1396" s="2"/>
    </row>
    <row r="1397" spans="1:9" x14ac:dyDescent="0.35">
      <c r="A1397" s="2" t="s">
        <v>886</v>
      </c>
      <c r="B1397" s="2" t="s">
        <v>24</v>
      </c>
      <c r="C1397" s="2" t="s">
        <v>973</v>
      </c>
      <c r="D1397" s="2" t="s">
        <v>976</v>
      </c>
      <c r="E1397" s="2" t="s">
        <v>38</v>
      </c>
      <c r="F1397" s="2" t="s">
        <v>46</v>
      </c>
      <c r="G1397" s="2" t="s">
        <v>675</v>
      </c>
      <c r="H1397" s="2"/>
      <c r="I1397" s="2"/>
    </row>
    <row r="1398" spans="1:9" x14ac:dyDescent="0.35">
      <c r="A1398" s="2" t="s">
        <v>886</v>
      </c>
      <c r="B1398" s="2" t="s">
        <v>24</v>
      </c>
      <c r="C1398" s="2" t="s">
        <v>973</v>
      </c>
      <c r="D1398" s="2" t="s">
        <v>100</v>
      </c>
      <c r="E1398" s="2" t="s">
        <v>101</v>
      </c>
      <c r="F1398" s="2" t="s">
        <v>46</v>
      </c>
      <c r="G1398" s="2" t="s">
        <v>675</v>
      </c>
      <c r="H1398" s="2"/>
      <c r="I1398" s="2"/>
    </row>
    <row r="1399" spans="1:9" x14ac:dyDescent="0.35">
      <c r="A1399" s="2" t="s">
        <v>886</v>
      </c>
      <c r="B1399" s="2" t="s">
        <v>24</v>
      </c>
      <c r="C1399" s="2" t="s">
        <v>973</v>
      </c>
      <c r="D1399" s="2" t="s">
        <v>962</v>
      </c>
      <c r="E1399" s="2" t="s">
        <v>38</v>
      </c>
      <c r="F1399" s="2" t="s">
        <v>46</v>
      </c>
      <c r="G1399" s="2" t="s">
        <v>675</v>
      </c>
      <c r="H1399" s="2"/>
      <c r="I1399" s="2"/>
    </row>
    <row r="1400" spans="1:9" x14ac:dyDescent="0.35">
      <c r="A1400" s="2" t="s">
        <v>886</v>
      </c>
      <c r="B1400" s="2" t="s">
        <v>24</v>
      </c>
      <c r="C1400" s="2" t="s">
        <v>973</v>
      </c>
      <c r="D1400" s="2" t="s">
        <v>375</v>
      </c>
      <c r="E1400" s="2" t="s">
        <v>107</v>
      </c>
      <c r="F1400" s="2" t="s">
        <v>46</v>
      </c>
      <c r="G1400" s="2" t="s">
        <v>675</v>
      </c>
      <c r="H1400" s="2"/>
      <c r="I1400" s="2"/>
    </row>
    <row r="1401" spans="1:9" x14ac:dyDescent="0.35">
      <c r="A1401" s="2" t="s">
        <v>886</v>
      </c>
      <c r="B1401" s="2" t="s">
        <v>24</v>
      </c>
      <c r="C1401" s="2" t="s">
        <v>973</v>
      </c>
      <c r="D1401" s="2" t="s">
        <v>963</v>
      </c>
      <c r="E1401" s="2" t="s">
        <v>78</v>
      </c>
      <c r="F1401" s="2" t="s">
        <v>46</v>
      </c>
      <c r="G1401" s="2" t="s">
        <v>675</v>
      </c>
      <c r="H1401" s="2"/>
      <c r="I1401" s="2"/>
    </row>
    <row r="1402" spans="1:9" x14ac:dyDescent="0.35">
      <c r="A1402" s="2" t="s">
        <v>886</v>
      </c>
      <c r="B1402" s="2" t="s">
        <v>24</v>
      </c>
      <c r="C1402" s="2" t="s">
        <v>973</v>
      </c>
      <c r="D1402" s="2" t="s">
        <v>149</v>
      </c>
      <c r="E1402" s="2" t="s">
        <v>150</v>
      </c>
      <c r="F1402" s="2" t="s">
        <v>46</v>
      </c>
      <c r="G1402" s="2" t="s">
        <v>675</v>
      </c>
      <c r="H1402" s="2"/>
      <c r="I1402" s="2"/>
    </row>
    <row r="1403" spans="1:9" x14ac:dyDescent="0.35">
      <c r="A1403" s="2" t="s">
        <v>886</v>
      </c>
      <c r="B1403" s="2" t="s">
        <v>24</v>
      </c>
      <c r="C1403" s="2" t="s">
        <v>973</v>
      </c>
      <c r="D1403" s="2" t="s">
        <v>193</v>
      </c>
      <c r="E1403" s="2" t="s">
        <v>40</v>
      </c>
      <c r="F1403" s="2" t="s">
        <v>46</v>
      </c>
      <c r="G1403" s="2" t="s">
        <v>675</v>
      </c>
      <c r="H1403" s="2"/>
      <c r="I1403" s="2"/>
    </row>
    <row r="1404" spans="1:9" x14ac:dyDescent="0.35">
      <c r="A1404" s="2" t="s">
        <v>886</v>
      </c>
      <c r="B1404" s="2" t="s">
        <v>24</v>
      </c>
      <c r="C1404" s="2" t="s">
        <v>973</v>
      </c>
      <c r="D1404" s="2" t="s">
        <v>977</v>
      </c>
      <c r="E1404" s="2" t="s">
        <v>40</v>
      </c>
      <c r="F1404" s="2" t="s">
        <v>46</v>
      </c>
      <c r="G1404" s="2" t="s">
        <v>675</v>
      </c>
      <c r="H1404" s="2"/>
      <c r="I1404" s="2"/>
    </row>
    <row r="1405" spans="1:9" x14ac:dyDescent="0.35">
      <c r="A1405" s="2" t="s">
        <v>886</v>
      </c>
      <c r="B1405" s="2" t="s">
        <v>24</v>
      </c>
      <c r="C1405" s="2" t="s">
        <v>973</v>
      </c>
      <c r="D1405" s="2" t="s">
        <v>978</v>
      </c>
      <c r="E1405" s="2" t="s">
        <v>78</v>
      </c>
      <c r="F1405" s="2" t="s">
        <v>46</v>
      </c>
      <c r="G1405" s="2" t="s">
        <v>675</v>
      </c>
      <c r="H1405" s="2"/>
      <c r="I1405" s="2"/>
    </row>
    <row r="1406" spans="1:9" x14ac:dyDescent="0.35">
      <c r="A1406" s="2" t="s">
        <v>886</v>
      </c>
      <c r="B1406" s="2" t="s">
        <v>24</v>
      </c>
      <c r="C1406" s="2" t="s">
        <v>979</v>
      </c>
      <c r="D1406" s="2" t="s">
        <v>196</v>
      </c>
      <c r="E1406" s="2" t="s">
        <v>197</v>
      </c>
      <c r="F1406" s="2"/>
      <c r="G1406" s="2"/>
      <c r="H1406" s="2"/>
      <c r="I1406" s="2"/>
    </row>
    <row r="1407" spans="1:9" x14ac:dyDescent="0.35">
      <c r="A1407" s="2" t="s">
        <v>886</v>
      </c>
      <c r="B1407" s="2" t="s">
        <v>24</v>
      </c>
      <c r="C1407" s="2" t="s">
        <v>979</v>
      </c>
      <c r="D1407" s="2" t="s">
        <v>14</v>
      </c>
      <c r="E1407" s="2" t="s">
        <v>15</v>
      </c>
      <c r="F1407" s="2"/>
      <c r="G1407" s="2"/>
      <c r="H1407" s="2"/>
      <c r="I1407" s="2"/>
    </row>
    <row r="1408" spans="1:9" x14ac:dyDescent="0.35">
      <c r="A1408" s="2" t="s">
        <v>886</v>
      </c>
      <c r="B1408" s="2" t="s">
        <v>24</v>
      </c>
      <c r="C1408" s="2" t="s">
        <v>979</v>
      </c>
      <c r="D1408" s="2" t="s">
        <v>77</v>
      </c>
      <c r="E1408" s="2" t="s">
        <v>78</v>
      </c>
      <c r="F1408" s="2"/>
      <c r="G1408" s="2"/>
      <c r="H1408" s="2"/>
      <c r="I1408" s="2"/>
    </row>
    <row r="1409" spans="1:9" x14ac:dyDescent="0.35">
      <c r="A1409" s="2" t="s">
        <v>886</v>
      </c>
      <c r="B1409" s="2" t="s">
        <v>24</v>
      </c>
      <c r="C1409" s="2" t="s">
        <v>979</v>
      </c>
      <c r="D1409" s="2" t="s">
        <v>91</v>
      </c>
      <c r="E1409" s="2" t="s">
        <v>19</v>
      </c>
      <c r="F1409" s="2" t="s">
        <v>16</v>
      </c>
      <c r="G1409" s="2" t="s">
        <v>980</v>
      </c>
      <c r="H1409" s="2"/>
      <c r="I1409" s="2"/>
    </row>
    <row r="1410" spans="1:9" x14ac:dyDescent="0.35">
      <c r="A1410" s="2" t="s">
        <v>886</v>
      </c>
      <c r="B1410" s="2" t="s">
        <v>24</v>
      </c>
      <c r="C1410" s="2" t="s">
        <v>979</v>
      </c>
      <c r="D1410" s="2" t="s">
        <v>930</v>
      </c>
      <c r="E1410" s="2" t="s">
        <v>15</v>
      </c>
      <c r="F1410" s="2"/>
      <c r="G1410" s="2"/>
      <c r="H1410" s="2"/>
      <c r="I1410" s="2"/>
    </row>
    <row r="1411" spans="1:9" x14ac:dyDescent="0.35">
      <c r="A1411" s="2" t="s">
        <v>886</v>
      </c>
      <c r="B1411" s="2" t="s">
        <v>24</v>
      </c>
      <c r="C1411" s="2" t="s">
        <v>979</v>
      </c>
      <c r="D1411" s="2" t="s">
        <v>417</v>
      </c>
      <c r="E1411" s="2" t="s">
        <v>40</v>
      </c>
      <c r="F1411" s="2" t="s">
        <v>46</v>
      </c>
      <c r="G1411" s="2" t="s">
        <v>981</v>
      </c>
      <c r="H1411" s="2"/>
      <c r="I1411" s="2"/>
    </row>
    <row r="1412" spans="1:9" x14ac:dyDescent="0.35">
      <c r="A1412" s="2" t="s">
        <v>886</v>
      </c>
      <c r="B1412" s="2" t="s">
        <v>24</v>
      </c>
      <c r="C1412" s="2" t="s">
        <v>982</v>
      </c>
      <c r="D1412" s="2" t="s">
        <v>14</v>
      </c>
      <c r="E1412" s="2" t="s">
        <v>15</v>
      </c>
      <c r="F1412" s="2"/>
      <c r="G1412" s="2"/>
      <c r="H1412" s="2"/>
      <c r="I1412" s="2"/>
    </row>
    <row r="1413" spans="1:9" x14ac:dyDescent="0.35">
      <c r="A1413" s="2" t="s">
        <v>886</v>
      </c>
      <c r="B1413" s="2" t="s">
        <v>24</v>
      </c>
      <c r="C1413" s="2" t="s">
        <v>982</v>
      </c>
      <c r="D1413" s="2" t="s">
        <v>172</v>
      </c>
      <c r="E1413" s="2" t="s">
        <v>65</v>
      </c>
      <c r="F1413" s="2"/>
      <c r="G1413" s="2"/>
      <c r="H1413" s="2"/>
      <c r="I1413" s="2"/>
    </row>
    <row r="1414" spans="1:9" x14ac:dyDescent="0.35">
      <c r="A1414" s="2" t="s">
        <v>886</v>
      </c>
      <c r="B1414" s="2" t="s">
        <v>24</v>
      </c>
      <c r="C1414" s="2" t="s">
        <v>982</v>
      </c>
      <c r="D1414" s="2" t="s">
        <v>64</v>
      </c>
      <c r="E1414" s="2" t="s">
        <v>65</v>
      </c>
      <c r="F1414" s="2"/>
      <c r="G1414" s="2"/>
      <c r="H1414" s="2"/>
      <c r="I1414" s="2"/>
    </row>
    <row r="1415" spans="1:9" x14ac:dyDescent="0.35">
      <c r="A1415" s="2" t="s">
        <v>886</v>
      </c>
      <c r="B1415" s="2" t="s">
        <v>24</v>
      </c>
      <c r="C1415" s="2" t="s">
        <v>982</v>
      </c>
      <c r="D1415" s="2" t="s">
        <v>89</v>
      </c>
      <c r="E1415" s="2" t="s">
        <v>45</v>
      </c>
      <c r="F1415" s="2"/>
      <c r="G1415" s="2"/>
      <c r="H1415" s="2"/>
      <c r="I1415" s="2"/>
    </row>
    <row r="1416" spans="1:9" x14ac:dyDescent="0.35">
      <c r="A1416" s="2" t="s">
        <v>886</v>
      </c>
      <c r="B1416" s="2" t="s">
        <v>24</v>
      </c>
      <c r="C1416" s="2" t="s">
        <v>982</v>
      </c>
      <c r="D1416" s="2" t="s">
        <v>862</v>
      </c>
      <c r="E1416" s="2" t="s">
        <v>38</v>
      </c>
      <c r="F1416" s="2"/>
      <c r="G1416" s="2"/>
      <c r="H1416" s="2"/>
      <c r="I1416" s="2"/>
    </row>
    <row r="1417" spans="1:9" x14ac:dyDescent="0.35">
      <c r="A1417" s="2" t="s">
        <v>886</v>
      </c>
      <c r="B1417" s="2" t="s">
        <v>62</v>
      </c>
      <c r="C1417" s="2" t="s">
        <v>983</v>
      </c>
      <c r="D1417" s="2" t="s">
        <v>106</v>
      </c>
      <c r="E1417" s="2" t="s">
        <v>107</v>
      </c>
      <c r="F1417" s="2"/>
      <c r="G1417" s="2"/>
      <c r="H1417" s="2"/>
      <c r="I1417" s="2"/>
    </row>
    <row r="1418" spans="1:9" x14ac:dyDescent="0.35">
      <c r="A1418" s="2" t="s">
        <v>886</v>
      </c>
      <c r="B1418" s="2" t="s">
        <v>62</v>
      </c>
      <c r="C1418" s="2" t="s">
        <v>984</v>
      </c>
      <c r="D1418" s="2" t="s">
        <v>106</v>
      </c>
      <c r="E1418" s="2" t="s">
        <v>107</v>
      </c>
      <c r="F1418" s="2"/>
      <c r="G1418" s="2"/>
      <c r="H1418" s="2"/>
      <c r="I1418" s="2"/>
    </row>
    <row r="1419" spans="1:9" x14ac:dyDescent="0.35">
      <c r="A1419" s="2" t="s">
        <v>886</v>
      </c>
      <c r="B1419" s="2" t="s">
        <v>62</v>
      </c>
      <c r="C1419" s="2" t="s">
        <v>985</v>
      </c>
      <c r="D1419" s="2" t="s">
        <v>106</v>
      </c>
      <c r="E1419" s="2" t="s">
        <v>107</v>
      </c>
      <c r="F1419" s="2"/>
      <c r="G1419" s="2"/>
      <c r="H1419" s="2"/>
      <c r="I1419" s="2"/>
    </row>
    <row r="1420" spans="1:9" x14ac:dyDescent="0.35">
      <c r="A1420" s="2" t="s">
        <v>886</v>
      </c>
      <c r="B1420" s="2" t="s">
        <v>54</v>
      </c>
      <c r="C1420" s="2" t="s">
        <v>986</v>
      </c>
      <c r="D1420" s="2" t="s">
        <v>155</v>
      </c>
      <c r="E1420" s="2" t="s">
        <v>32</v>
      </c>
      <c r="F1420" s="2" t="s">
        <v>16</v>
      </c>
      <c r="G1420" s="2" t="s">
        <v>987</v>
      </c>
      <c r="H1420" s="2"/>
      <c r="I1420" s="2"/>
    </row>
    <row r="1421" spans="1:9" x14ac:dyDescent="0.35">
      <c r="A1421" s="2" t="s">
        <v>886</v>
      </c>
      <c r="B1421" s="2" t="s">
        <v>54</v>
      </c>
      <c r="C1421" s="2" t="s">
        <v>986</v>
      </c>
      <c r="D1421" s="2" t="s">
        <v>38</v>
      </c>
      <c r="E1421" s="2" t="s">
        <v>38</v>
      </c>
      <c r="F1421" s="2" t="s">
        <v>16</v>
      </c>
      <c r="G1421" s="2" t="s">
        <v>988</v>
      </c>
      <c r="H1421" s="2"/>
      <c r="I1421" s="2"/>
    </row>
    <row r="1422" spans="1:9" x14ac:dyDescent="0.35">
      <c r="A1422" s="2" t="s">
        <v>886</v>
      </c>
      <c r="B1422" s="2" t="s">
        <v>54</v>
      </c>
      <c r="C1422" s="2" t="s">
        <v>986</v>
      </c>
      <c r="D1422" s="2" t="s">
        <v>393</v>
      </c>
      <c r="E1422" s="2" t="s">
        <v>36</v>
      </c>
      <c r="F1422" s="2" t="s">
        <v>16</v>
      </c>
      <c r="G1422" s="2" t="s">
        <v>987</v>
      </c>
      <c r="H1422" s="2"/>
      <c r="I1422" s="2"/>
    </row>
    <row r="1423" spans="1:9" x14ac:dyDescent="0.35">
      <c r="A1423" s="2" t="s">
        <v>886</v>
      </c>
      <c r="B1423" s="2" t="s">
        <v>54</v>
      </c>
      <c r="C1423" s="2" t="s">
        <v>986</v>
      </c>
      <c r="D1423" s="2" t="s">
        <v>77</v>
      </c>
      <c r="E1423" s="2" t="s">
        <v>78</v>
      </c>
      <c r="F1423" s="2" t="s">
        <v>16</v>
      </c>
      <c r="G1423" s="2" t="s">
        <v>989</v>
      </c>
      <c r="H1423" s="2"/>
      <c r="I1423" s="2"/>
    </row>
    <row r="1424" spans="1:9" x14ac:dyDescent="0.35">
      <c r="A1424" s="2" t="s">
        <v>886</v>
      </c>
      <c r="B1424" s="2" t="s">
        <v>54</v>
      </c>
      <c r="C1424" s="2" t="s">
        <v>986</v>
      </c>
      <c r="D1424" s="2" t="s">
        <v>100</v>
      </c>
      <c r="E1424" s="2" t="s">
        <v>101</v>
      </c>
      <c r="F1424" s="2"/>
      <c r="G1424" s="2"/>
      <c r="H1424" s="2"/>
      <c r="I1424" s="2"/>
    </row>
    <row r="1425" spans="1:9" x14ac:dyDescent="0.35">
      <c r="A1425" s="2" t="s">
        <v>886</v>
      </c>
      <c r="B1425" s="2" t="s">
        <v>54</v>
      </c>
      <c r="C1425" s="2" t="s">
        <v>986</v>
      </c>
      <c r="D1425" s="2" t="s">
        <v>302</v>
      </c>
      <c r="E1425" s="2" t="s">
        <v>65</v>
      </c>
      <c r="F1425" s="2" t="s">
        <v>16</v>
      </c>
      <c r="G1425" s="2" t="s">
        <v>987</v>
      </c>
      <c r="H1425" s="2"/>
      <c r="I1425" s="2"/>
    </row>
    <row r="1426" spans="1:9" x14ac:dyDescent="0.35">
      <c r="A1426" s="2" t="s">
        <v>886</v>
      </c>
      <c r="B1426" s="2" t="s">
        <v>54</v>
      </c>
      <c r="C1426" s="2" t="s">
        <v>990</v>
      </c>
      <c r="D1426" s="2" t="s">
        <v>196</v>
      </c>
      <c r="E1426" s="2" t="s">
        <v>197</v>
      </c>
      <c r="F1426" s="2"/>
      <c r="G1426" s="2"/>
      <c r="H1426" s="2"/>
      <c r="I1426" s="2"/>
    </row>
    <row r="1427" spans="1:9" x14ac:dyDescent="0.35">
      <c r="A1427" s="2" t="s">
        <v>886</v>
      </c>
      <c r="B1427" s="2" t="s">
        <v>54</v>
      </c>
      <c r="C1427" s="2" t="s">
        <v>990</v>
      </c>
      <c r="D1427" s="2" t="s">
        <v>253</v>
      </c>
      <c r="E1427" s="2" t="s">
        <v>32</v>
      </c>
      <c r="F1427" s="2" t="s">
        <v>16</v>
      </c>
      <c r="G1427" s="2" t="s">
        <v>991</v>
      </c>
      <c r="H1427" s="2"/>
      <c r="I1427" s="2"/>
    </row>
    <row r="1428" spans="1:9" x14ac:dyDescent="0.35">
      <c r="A1428" s="2" t="s">
        <v>886</v>
      </c>
      <c r="B1428" s="2" t="s">
        <v>54</v>
      </c>
      <c r="C1428" s="2" t="s">
        <v>990</v>
      </c>
      <c r="D1428" s="2" t="s">
        <v>31</v>
      </c>
      <c r="E1428" s="2" t="s">
        <v>32</v>
      </c>
      <c r="F1428" s="2" t="s">
        <v>16</v>
      </c>
      <c r="G1428" s="2" t="s">
        <v>991</v>
      </c>
      <c r="H1428" s="2"/>
      <c r="I1428" s="2"/>
    </row>
    <row r="1429" spans="1:9" x14ac:dyDescent="0.35">
      <c r="A1429" s="2" t="s">
        <v>886</v>
      </c>
      <c r="B1429" s="2" t="s">
        <v>54</v>
      </c>
      <c r="C1429" s="2" t="s">
        <v>990</v>
      </c>
      <c r="D1429" s="2" t="s">
        <v>992</v>
      </c>
      <c r="E1429" s="2" t="s">
        <v>201</v>
      </c>
      <c r="F1429" s="2" t="s">
        <v>16</v>
      </c>
      <c r="G1429" s="2" t="s">
        <v>991</v>
      </c>
      <c r="H1429" s="2"/>
      <c r="I1429" s="2"/>
    </row>
    <row r="1430" spans="1:9" x14ac:dyDescent="0.35">
      <c r="A1430" s="2" t="s">
        <v>886</v>
      </c>
      <c r="B1430" s="2" t="s">
        <v>54</v>
      </c>
      <c r="C1430" s="2" t="s">
        <v>990</v>
      </c>
      <c r="D1430" s="2" t="s">
        <v>33</v>
      </c>
      <c r="E1430" s="2" t="s">
        <v>34</v>
      </c>
      <c r="F1430" s="2" t="s">
        <v>16</v>
      </c>
      <c r="G1430" s="2" t="s">
        <v>991</v>
      </c>
      <c r="H1430" s="2"/>
      <c r="I1430" s="2"/>
    </row>
    <row r="1431" spans="1:9" x14ac:dyDescent="0.35">
      <c r="A1431" s="2" t="s">
        <v>886</v>
      </c>
      <c r="B1431" s="2" t="s">
        <v>54</v>
      </c>
      <c r="C1431" s="2" t="s">
        <v>990</v>
      </c>
      <c r="D1431" s="2" t="s">
        <v>38</v>
      </c>
      <c r="E1431" s="2" t="s">
        <v>38</v>
      </c>
      <c r="F1431" s="2" t="s">
        <v>16</v>
      </c>
      <c r="G1431" s="2" t="s">
        <v>993</v>
      </c>
      <c r="H1431" s="2"/>
      <c r="I1431" s="2"/>
    </row>
    <row r="1432" spans="1:9" x14ac:dyDescent="0.35">
      <c r="A1432" s="2" t="s">
        <v>886</v>
      </c>
      <c r="B1432" s="2" t="s">
        <v>54</v>
      </c>
      <c r="C1432" s="2" t="s">
        <v>990</v>
      </c>
      <c r="D1432" s="2" t="s">
        <v>213</v>
      </c>
      <c r="E1432" s="2" t="s">
        <v>45</v>
      </c>
      <c r="F1432" s="2" t="s">
        <v>16</v>
      </c>
      <c r="G1432" s="2" t="s">
        <v>991</v>
      </c>
      <c r="H1432" s="2"/>
      <c r="I1432" s="2"/>
    </row>
    <row r="1433" spans="1:9" x14ac:dyDescent="0.35">
      <c r="A1433" s="2" t="s">
        <v>886</v>
      </c>
      <c r="B1433" s="2" t="s">
        <v>54</v>
      </c>
      <c r="C1433" s="2" t="s">
        <v>990</v>
      </c>
      <c r="D1433" s="2" t="s">
        <v>156</v>
      </c>
      <c r="E1433" s="2" t="s">
        <v>45</v>
      </c>
      <c r="F1433" s="2" t="s">
        <v>16</v>
      </c>
      <c r="G1433" s="2" t="s">
        <v>991</v>
      </c>
      <c r="H1433" s="2"/>
      <c r="I1433" s="2"/>
    </row>
    <row r="1434" spans="1:9" x14ac:dyDescent="0.35">
      <c r="A1434" s="2" t="s">
        <v>886</v>
      </c>
      <c r="B1434" s="2" t="s">
        <v>54</v>
      </c>
      <c r="C1434" s="2" t="s">
        <v>990</v>
      </c>
      <c r="D1434" s="2" t="s">
        <v>91</v>
      </c>
      <c r="E1434" s="2" t="s">
        <v>19</v>
      </c>
      <c r="F1434" s="2" t="s">
        <v>16</v>
      </c>
      <c r="G1434" s="2" t="s">
        <v>991</v>
      </c>
      <c r="H1434" s="2"/>
      <c r="I1434" s="2"/>
    </row>
    <row r="1435" spans="1:9" x14ac:dyDescent="0.35">
      <c r="A1435" s="2" t="s">
        <v>886</v>
      </c>
      <c r="B1435" s="2" t="s">
        <v>54</v>
      </c>
      <c r="C1435" s="2" t="s">
        <v>990</v>
      </c>
      <c r="D1435" s="2" t="s">
        <v>100</v>
      </c>
      <c r="E1435" s="2" t="s">
        <v>101</v>
      </c>
      <c r="F1435" s="2"/>
      <c r="G1435" s="2"/>
      <c r="H1435" s="2"/>
      <c r="I1435" s="2"/>
    </row>
    <row r="1436" spans="1:9" x14ac:dyDescent="0.35">
      <c r="A1436" s="2" t="s">
        <v>886</v>
      </c>
      <c r="B1436" s="2" t="s">
        <v>54</v>
      </c>
      <c r="C1436" s="2" t="s">
        <v>990</v>
      </c>
      <c r="D1436" s="2" t="s">
        <v>941</v>
      </c>
      <c r="E1436" s="2" t="s">
        <v>228</v>
      </c>
      <c r="F1436" s="2" t="s">
        <v>16</v>
      </c>
      <c r="G1436" s="2" t="s">
        <v>991</v>
      </c>
      <c r="H1436" s="2"/>
      <c r="I1436" s="2"/>
    </row>
    <row r="1437" spans="1:9" x14ac:dyDescent="0.35">
      <c r="A1437" s="2" t="s">
        <v>886</v>
      </c>
      <c r="B1437" s="2" t="s">
        <v>54</v>
      </c>
      <c r="C1437" s="2" t="s">
        <v>990</v>
      </c>
      <c r="D1437" s="2" t="s">
        <v>188</v>
      </c>
      <c r="E1437" s="2" t="s">
        <v>189</v>
      </c>
      <c r="F1437" s="2" t="s">
        <v>16</v>
      </c>
      <c r="G1437" s="2" t="s">
        <v>991</v>
      </c>
      <c r="H1437" s="2"/>
      <c r="I1437" s="2"/>
    </row>
    <row r="1438" spans="1:9" x14ac:dyDescent="0.35">
      <c r="A1438" s="2" t="s">
        <v>886</v>
      </c>
      <c r="B1438" s="2" t="s">
        <v>54</v>
      </c>
      <c r="C1438" s="2" t="s">
        <v>990</v>
      </c>
      <c r="D1438" s="2" t="s">
        <v>42</v>
      </c>
      <c r="E1438" s="2" t="s">
        <v>43</v>
      </c>
      <c r="F1438" s="2" t="s">
        <v>16</v>
      </c>
      <c r="G1438" s="2" t="s">
        <v>991</v>
      </c>
      <c r="H1438" s="2"/>
      <c r="I1438" s="2"/>
    </row>
    <row r="1439" spans="1:9" x14ac:dyDescent="0.35">
      <c r="A1439" s="2" t="s">
        <v>886</v>
      </c>
      <c r="B1439" s="2" t="s">
        <v>54</v>
      </c>
      <c r="C1439" s="2" t="s">
        <v>990</v>
      </c>
      <c r="D1439" s="2" t="s">
        <v>149</v>
      </c>
      <c r="E1439" s="2" t="s">
        <v>150</v>
      </c>
      <c r="F1439" s="2" t="s">
        <v>16</v>
      </c>
      <c r="G1439" s="2" t="s">
        <v>991</v>
      </c>
      <c r="H1439" s="2"/>
      <c r="I1439" s="2"/>
    </row>
    <row r="1440" spans="1:9" x14ac:dyDescent="0.35">
      <c r="A1440" s="2" t="s">
        <v>886</v>
      </c>
      <c r="B1440" s="2" t="s">
        <v>54</v>
      </c>
      <c r="C1440" s="2" t="s">
        <v>990</v>
      </c>
      <c r="D1440" s="2" t="s">
        <v>193</v>
      </c>
      <c r="E1440" s="2" t="s">
        <v>40</v>
      </c>
      <c r="F1440" s="2" t="s">
        <v>16</v>
      </c>
      <c r="G1440" s="2" t="s">
        <v>991</v>
      </c>
      <c r="H1440" s="2"/>
      <c r="I1440" s="2"/>
    </row>
    <row r="1441" spans="1:9" x14ac:dyDescent="0.35">
      <c r="A1441" s="2" t="s">
        <v>886</v>
      </c>
      <c r="B1441" s="2" t="s">
        <v>54</v>
      </c>
      <c r="C1441" s="2" t="s">
        <v>990</v>
      </c>
      <c r="D1441" s="2" t="s">
        <v>994</v>
      </c>
      <c r="E1441" s="2" t="s">
        <v>65</v>
      </c>
      <c r="F1441" s="2" t="s">
        <v>16</v>
      </c>
      <c r="G1441" s="2" t="s">
        <v>991</v>
      </c>
      <c r="H1441" s="2"/>
      <c r="I1441" s="2"/>
    </row>
    <row r="1442" spans="1:9" x14ac:dyDescent="0.35">
      <c r="A1442" s="2" t="s">
        <v>886</v>
      </c>
      <c r="B1442" s="2" t="s">
        <v>62</v>
      </c>
      <c r="C1442" s="2" t="s">
        <v>995</v>
      </c>
      <c r="D1442" s="2" t="s">
        <v>106</v>
      </c>
      <c r="E1442" s="2" t="s">
        <v>107</v>
      </c>
      <c r="F1442" s="2"/>
      <c r="G1442" s="2"/>
      <c r="H1442" s="2"/>
      <c r="I1442" s="2"/>
    </row>
    <row r="1443" spans="1:9" x14ac:dyDescent="0.35">
      <c r="A1443" s="2" t="s">
        <v>886</v>
      </c>
      <c r="B1443" s="2" t="s">
        <v>62</v>
      </c>
      <c r="C1443" s="2" t="s">
        <v>996</v>
      </c>
      <c r="D1443" s="2" t="s">
        <v>106</v>
      </c>
      <c r="E1443" s="2" t="s">
        <v>107</v>
      </c>
      <c r="F1443" s="2"/>
      <c r="G1443" s="2"/>
      <c r="H1443" s="2"/>
      <c r="I1443" s="2"/>
    </row>
    <row r="1444" spans="1:9" x14ac:dyDescent="0.35">
      <c r="A1444" s="2" t="s">
        <v>886</v>
      </c>
      <c r="B1444" s="2" t="s">
        <v>62</v>
      </c>
      <c r="C1444" s="2" t="s">
        <v>997</v>
      </c>
      <c r="D1444" s="2" t="s">
        <v>998</v>
      </c>
      <c r="E1444" s="2" t="s">
        <v>40</v>
      </c>
      <c r="F1444" s="2"/>
      <c r="G1444" s="2"/>
      <c r="H1444" s="2"/>
      <c r="I1444" s="2"/>
    </row>
    <row r="1445" spans="1:9" x14ac:dyDescent="0.35">
      <c r="A1445" s="2" t="s">
        <v>886</v>
      </c>
      <c r="B1445" s="2" t="s">
        <v>62</v>
      </c>
      <c r="C1445" s="2" t="s">
        <v>997</v>
      </c>
      <c r="D1445" s="2" t="s">
        <v>120</v>
      </c>
      <c r="E1445" s="2" t="s">
        <v>32</v>
      </c>
      <c r="F1445" s="2"/>
      <c r="G1445" s="2"/>
      <c r="H1445" s="2"/>
      <c r="I1445" s="2"/>
    </row>
    <row r="1446" spans="1:9" x14ac:dyDescent="0.35">
      <c r="A1446" s="2" t="s">
        <v>886</v>
      </c>
      <c r="B1446" s="2" t="s">
        <v>62</v>
      </c>
      <c r="C1446" s="2" t="s">
        <v>997</v>
      </c>
      <c r="D1446" s="2" t="s">
        <v>211</v>
      </c>
      <c r="E1446" s="2" t="s">
        <v>203</v>
      </c>
      <c r="F1446" s="2"/>
      <c r="G1446" s="2"/>
      <c r="H1446" s="2"/>
      <c r="I1446" s="2"/>
    </row>
    <row r="1447" spans="1:9" x14ac:dyDescent="0.35">
      <c r="A1447" s="2" t="s">
        <v>886</v>
      </c>
      <c r="B1447" s="2" t="s">
        <v>62</v>
      </c>
      <c r="C1447" s="2" t="s">
        <v>997</v>
      </c>
      <c r="D1447" s="2" t="s">
        <v>156</v>
      </c>
      <c r="E1447" s="2" t="s">
        <v>45</v>
      </c>
      <c r="F1447" s="2"/>
      <c r="G1447" s="2"/>
      <c r="H1447" s="2"/>
      <c r="I1447" s="2"/>
    </row>
    <row r="1448" spans="1:9" x14ac:dyDescent="0.35">
      <c r="A1448" s="2" t="s">
        <v>886</v>
      </c>
      <c r="B1448" s="2" t="s">
        <v>62</v>
      </c>
      <c r="C1448" s="2" t="s">
        <v>999</v>
      </c>
      <c r="D1448" s="2" t="s">
        <v>317</v>
      </c>
      <c r="E1448" s="2" t="s">
        <v>318</v>
      </c>
      <c r="F1448" s="2"/>
      <c r="G1448" s="2"/>
      <c r="H1448" s="2"/>
      <c r="I1448" s="2"/>
    </row>
    <row r="1449" spans="1:9" x14ac:dyDescent="0.35">
      <c r="A1449" s="2" t="s">
        <v>886</v>
      </c>
      <c r="B1449" s="2" t="s">
        <v>62</v>
      </c>
      <c r="C1449" s="2" t="s">
        <v>999</v>
      </c>
      <c r="D1449" s="2" t="s">
        <v>27</v>
      </c>
      <c r="E1449" s="2" t="s">
        <v>28</v>
      </c>
      <c r="F1449" s="2" t="s">
        <v>16</v>
      </c>
      <c r="G1449" s="2" t="s">
        <v>1000</v>
      </c>
      <c r="H1449" s="2"/>
      <c r="I1449" s="2"/>
    </row>
    <row r="1450" spans="1:9" x14ac:dyDescent="0.35">
      <c r="A1450" s="2" t="s">
        <v>886</v>
      </c>
      <c r="B1450" s="2" t="s">
        <v>62</v>
      </c>
      <c r="C1450" s="2" t="s">
        <v>999</v>
      </c>
      <c r="D1450" s="2" t="s">
        <v>319</v>
      </c>
      <c r="E1450" s="2" t="s">
        <v>320</v>
      </c>
      <c r="F1450" s="2"/>
      <c r="G1450" s="2"/>
      <c r="H1450" s="2"/>
      <c r="I1450" s="2"/>
    </row>
    <row r="1451" spans="1:9" x14ac:dyDescent="0.35">
      <c r="A1451" s="2" t="s">
        <v>886</v>
      </c>
      <c r="B1451" s="2" t="s">
        <v>62</v>
      </c>
      <c r="C1451" s="2" t="s">
        <v>999</v>
      </c>
      <c r="D1451" s="2" t="s">
        <v>156</v>
      </c>
      <c r="E1451" s="2" t="s">
        <v>45</v>
      </c>
      <c r="F1451" s="2" t="s">
        <v>46</v>
      </c>
      <c r="G1451" s="2" t="s">
        <v>451</v>
      </c>
      <c r="H1451" s="2"/>
      <c r="I1451" s="2"/>
    </row>
    <row r="1452" spans="1:9" x14ac:dyDescent="0.35">
      <c r="A1452" s="2" t="s">
        <v>886</v>
      </c>
      <c r="B1452" s="2" t="s">
        <v>62</v>
      </c>
      <c r="C1452" s="2" t="s">
        <v>999</v>
      </c>
      <c r="D1452" s="2" t="s">
        <v>1001</v>
      </c>
      <c r="E1452" s="2" t="s">
        <v>30</v>
      </c>
      <c r="F1452" s="2"/>
      <c r="G1452" s="2"/>
      <c r="H1452" s="2"/>
      <c r="I1452" s="2"/>
    </row>
    <row r="1453" spans="1:9" x14ac:dyDescent="0.35">
      <c r="A1453" s="2" t="s">
        <v>886</v>
      </c>
      <c r="B1453" s="2" t="s">
        <v>62</v>
      </c>
      <c r="C1453" s="2" t="s">
        <v>999</v>
      </c>
      <c r="D1453" s="2" t="s">
        <v>321</v>
      </c>
      <c r="E1453" s="2" t="s">
        <v>321</v>
      </c>
      <c r="F1453" s="2"/>
      <c r="G1453" s="2"/>
      <c r="H1453" s="2"/>
      <c r="I1453" s="2"/>
    </row>
    <row r="1454" spans="1:9" x14ac:dyDescent="0.35">
      <c r="A1454" s="2" t="s">
        <v>886</v>
      </c>
      <c r="B1454" s="2" t="s">
        <v>62</v>
      </c>
      <c r="C1454" s="2" t="s">
        <v>999</v>
      </c>
      <c r="D1454" s="2" t="s">
        <v>127</v>
      </c>
      <c r="E1454" s="2" t="s">
        <v>107</v>
      </c>
      <c r="F1454" s="2"/>
      <c r="G1454" s="2"/>
      <c r="H1454" s="2"/>
      <c r="I1454" s="2"/>
    </row>
    <row r="1455" spans="1:9" x14ac:dyDescent="0.35">
      <c r="A1455" s="2" t="s">
        <v>886</v>
      </c>
      <c r="B1455" s="2" t="s">
        <v>62</v>
      </c>
      <c r="C1455" s="2" t="s">
        <v>999</v>
      </c>
      <c r="D1455" s="2" t="s">
        <v>322</v>
      </c>
      <c r="E1455" s="2" t="s">
        <v>246</v>
      </c>
      <c r="F1455" s="2"/>
      <c r="G1455" s="2"/>
      <c r="H1455" s="2"/>
      <c r="I1455" s="2"/>
    </row>
    <row r="1456" spans="1:9" x14ac:dyDescent="0.35">
      <c r="A1456" s="2" t="s">
        <v>886</v>
      </c>
      <c r="B1456" s="2" t="s">
        <v>62</v>
      </c>
      <c r="C1456" s="2" t="s">
        <v>999</v>
      </c>
      <c r="D1456" s="2" t="s">
        <v>323</v>
      </c>
      <c r="E1456" s="2" t="s">
        <v>246</v>
      </c>
      <c r="F1456" s="2"/>
      <c r="G1456" s="2"/>
      <c r="H1456" s="2"/>
      <c r="I1456" s="2"/>
    </row>
    <row r="1457" spans="1:9" x14ac:dyDescent="0.35">
      <c r="A1457" s="2" t="s">
        <v>886</v>
      </c>
      <c r="B1457" s="2" t="s">
        <v>62</v>
      </c>
      <c r="C1457" s="2" t="s">
        <v>999</v>
      </c>
      <c r="D1457" s="2" t="s">
        <v>324</v>
      </c>
      <c r="E1457" s="2" t="s">
        <v>246</v>
      </c>
      <c r="F1457" s="2"/>
      <c r="G1457" s="2"/>
      <c r="H1457" s="2"/>
      <c r="I1457" s="2"/>
    </row>
    <row r="1458" spans="1:9" x14ac:dyDescent="0.35">
      <c r="A1458" s="2" t="s">
        <v>886</v>
      </c>
      <c r="B1458" s="2" t="s">
        <v>62</v>
      </c>
      <c r="C1458" s="2" t="s">
        <v>999</v>
      </c>
      <c r="D1458" s="2" t="s">
        <v>325</v>
      </c>
      <c r="E1458" s="2" t="s">
        <v>326</v>
      </c>
      <c r="F1458" s="2"/>
      <c r="G1458" s="2"/>
      <c r="H1458" s="2"/>
      <c r="I1458" s="2"/>
    </row>
    <row r="1459" spans="1:9" x14ac:dyDescent="0.35">
      <c r="A1459" s="2" t="s">
        <v>886</v>
      </c>
      <c r="B1459" s="2" t="s">
        <v>62</v>
      </c>
      <c r="C1459" s="2" t="s">
        <v>999</v>
      </c>
      <c r="D1459" s="2" t="s">
        <v>327</v>
      </c>
      <c r="E1459" s="2" t="s">
        <v>328</v>
      </c>
      <c r="F1459" s="2"/>
      <c r="G1459" s="2"/>
      <c r="H1459" s="2"/>
      <c r="I1459" s="2"/>
    </row>
    <row r="1460" spans="1:9" x14ac:dyDescent="0.35">
      <c r="A1460" s="2" t="s">
        <v>886</v>
      </c>
      <c r="B1460" s="2" t="s">
        <v>62</v>
      </c>
      <c r="C1460" s="2" t="s">
        <v>999</v>
      </c>
      <c r="D1460" s="2" t="s">
        <v>329</v>
      </c>
      <c r="E1460" s="2" t="s">
        <v>330</v>
      </c>
      <c r="F1460" s="2"/>
      <c r="G1460" s="2"/>
      <c r="H1460" s="2"/>
      <c r="I1460" s="2"/>
    </row>
    <row r="1461" spans="1:9" x14ac:dyDescent="0.35">
      <c r="A1461" s="2" t="s">
        <v>886</v>
      </c>
      <c r="B1461" s="2" t="s">
        <v>62</v>
      </c>
      <c r="C1461" s="2" t="s">
        <v>999</v>
      </c>
      <c r="D1461" s="2" t="s">
        <v>331</v>
      </c>
      <c r="E1461" s="2" t="s">
        <v>332</v>
      </c>
      <c r="F1461" s="2"/>
      <c r="G1461" s="2"/>
      <c r="H1461" s="2"/>
      <c r="I1461" s="2"/>
    </row>
    <row r="1462" spans="1:9" x14ac:dyDescent="0.35">
      <c r="A1462" s="2" t="s">
        <v>886</v>
      </c>
      <c r="B1462" s="2" t="s">
        <v>62</v>
      </c>
      <c r="C1462" s="2" t="s">
        <v>999</v>
      </c>
      <c r="D1462" s="2" t="s">
        <v>333</v>
      </c>
      <c r="E1462" s="2" t="s">
        <v>334</v>
      </c>
      <c r="F1462" s="2"/>
      <c r="G1462" s="2"/>
      <c r="H1462" s="2"/>
      <c r="I1462" s="2"/>
    </row>
    <row r="1463" spans="1:9" x14ac:dyDescent="0.35">
      <c r="A1463" s="2" t="s">
        <v>886</v>
      </c>
      <c r="B1463" s="2" t="s">
        <v>62</v>
      </c>
      <c r="C1463" s="2" t="s">
        <v>999</v>
      </c>
      <c r="D1463" s="2" t="s">
        <v>335</v>
      </c>
      <c r="E1463" s="2" t="s">
        <v>336</v>
      </c>
      <c r="F1463" s="2"/>
      <c r="G1463" s="2"/>
      <c r="H1463" s="2"/>
      <c r="I1463" s="2"/>
    </row>
    <row r="1464" spans="1:9" x14ac:dyDescent="0.35">
      <c r="A1464" s="2" t="s">
        <v>886</v>
      </c>
      <c r="B1464" s="2" t="s">
        <v>62</v>
      </c>
      <c r="C1464" s="2" t="s">
        <v>999</v>
      </c>
      <c r="D1464" s="2" t="s">
        <v>337</v>
      </c>
      <c r="E1464" s="2" t="s">
        <v>338</v>
      </c>
      <c r="F1464" s="2"/>
      <c r="G1464" s="2"/>
      <c r="H1464" s="2"/>
      <c r="I1464" s="2"/>
    </row>
    <row r="1465" spans="1:9" x14ac:dyDescent="0.35">
      <c r="A1465" s="2" t="s">
        <v>886</v>
      </c>
      <c r="B1465" s="2" t="s">
        <v>62</v>
      </c>
      <c r="C1465" s="2" t="s">
        <v>999</v>
      </c>
      <c r="D1465" s="2" t="s">
        <v>339</v>
      </c>
      <c r="E1465" s="2" t="s">
        <v>340</v>
      </c>
      <c r="F1465" s="2"/>
      <c r="G1465" s="2"/>
      <c r="H1465" s="2"/>
      <c r="I1465" s="2"/>
    </row>
    <row r="1466" spans="1:9" x14ac:dyDescent="0.35">
      <c r="A1466" s="2" t="s">
        <v>886</v>
      </c>
      <c r="B1466" s="2" t="s">
        <v>62</v>
      </c>
      <c r="C1466" s="2" t="s">
        <v>999</v>
      </c>
      <c r="D1466" s="2" t="s">
        <v>341</v>
      </c>
      <c r="E1466" s="2" t="s">
        <v>342</v>
      </c>
      <c r="F1466" s="2"/>
      <c r="G1466" s="2"/>
      <c r="H1466" s="2"/>
      <c r="I1466" s="2"/>
    </row>
    <row r="1467" spans="1:9" x14ac:dyDescent="0.35">
      <c r="A1467" s="2" t="s">
        <v>886</v>
      </c>
      <c r="B1467" s="2" t="s">
        <v>62</v>
      </c>
      <c r="C1467" s="2" t="s">
        <v>999</v>
      </c>
      <c r="D1467" s="2" t="s">
        <v>343</v>
      </c>
      <c r="E1467" s="2" t="s">
        <v>344</v>
      </c>
      <c r="F1467" s="2"/>
      <c r="G1467" s="2"/>
      <c r="H1467" s="2"/>
      <c r="I1467" s="2"/>
    </row>
    <row r="1468" spans="1:9" x14ac:dyDescent="0.35">
      <c r="A1468" s="2" t="s">
        <v>886</v>
      </c>
      <c r="B1468" s="2" t="s">
        <v>62</v>
      </c>
      <c r="C1468" s="2" t="s">
        <v>999</v>
      </c>
      <c r="D1468" s="2" t="s">
        <v>345</v>
      </c>
      <c r="E1468" s="2" t="s">
        <v>346</v>
      </c>
      <c r="F1468" s="2"/>
      <c r="G1468" s="2"/>
      <c r="H1468" s="2"/>
      <c r="I1468" s="2"/>
    </row>
    <row r="1469" spans="1:9" x14ac:dyDescent="0.35">
      <c r="A1469" s="2" t="s">
        <v>886</v>
      </c>
      <c r="B1469" s="2" t="s">
        <v>62</v>
      </c>
      <c r="C1469" s="2" t="s">
        <v>1002</v>
      </c>
      <c r="D1469" s="2" t="s">
        <v>38</v>
      </c>
      <c r="E1469" s="2" t="s">
        <v>38</v>
      </c>
      <c r="F1469" s="2"/>
      <c r="G1469" s="2"/>
      <c r="H1469" s="2"/>
      <c r="I1469" s="2"/>
    </row>
    <row r="1470" spans="1:9" x14ac:dyDescent="0.35">
      <c r="A1470" s="2" t="s">
        <v>886</v>
      </c>
      <c r="B1470" s="2" t="s">
        <v>62</v>
      </c>
      <c r="C1470" s="2" t="s">
        <v>1003</v>
      </c>
      <c r="D1470" s="2" t="s">
        <v>31</v>
      </c>
      <c r="E1470" s="2" t="s">
        <v>32</v>
      </c>
      <c r="F1470" s="2"/>
      <c r="G1470" s="2"/>
      <c r="H1470" s="2"/>
      <c r="I1470" s="2"/>
    </row>
    <row r="1471" spans="1:9" x14ac:dyDescent="0.35">
      <c r="A1471" s="2" t="s">
        <v>886</v>
      </c>
      <c r="B1471" s="2" t="s">
        <v>62</v>
      </c>
      <c r="C1471" s="2" t="s">
        <v>1003</v>
      </c>
      <c r="D1471" s="2" t="s">
        <v>202</v>
      </c>
      <c r="E1471" s="2" t="s">
        <v>203</v>
      </c>
      <c r="F1471" s="2"/>
      <c r="G1471" s="2"/>
      <c r="H1471" s="2"/>
      <c r="I1471" s="2"/>
    </row>
    <row r="1472" spans="1:9" x14ac:dyDescent="0.35">
      <c r="A1472" s="2" t="s">
        <v>886</v>
      </c>
      <c r="B1472" s="2" t="s">
        <v>62</v>
      </c>
      <c r="C1472" s="2" t="s">
        <v>1003</v>
      </c>
      <c r="D1472" s="2" t="s">
        <v>156</v>
      </c>
      <c r="E1472" s="2" t="s">
        <v>45</v>
      </c>
      <c r="F1472" s="2"/>
      <c r="G1472" s="2"/>
      <c r="H1472" s="2"/>
      <c r="I1472" s="2"/>
    </row>
    <row r="1473" spans="1:9" x14ac:dyDescent="0.35">
      <c r="A1473" s="2" t="s">
        <v>886</v>
      </c>
      <c r="B1473" s="2" t="s">
        <v>24</v>
      </c>
      <c r="C1473" s="2" t="s">
        <v>1004</v>
      </c>
      <c r="D1473" s="2" t="s">
        <v>196</v>
      </c>
      <c r="E1473" s="2" t="s">
        <v>197</v>
      </c>
      <c r="F1473" s="2" t="s">
        <v>46</v>
      </c>
      <c r="G1473" s="2" t="s">
        <v>1005</v>
      </c>
      <c r="H1473" s="2"/>
      <c r="I1473" s="2"/>
    </row>
    <row r="1474" spans="1:9" x14ac:dyDescent="0.35">
      <c r="A1474" s="2" t="s">
        <v>886</v>
      </c>
      <c r="B1474" s="2" t="s">
        <v>24</v>
      </c>
      <c r="C1474" s="2" t="s">
        <v>1004</v>
      </c>
      <c r="D1474" s="2" t="s">
        <v>253</v>
      </c>
      <c r="E1474" s="2" t="s">
        <v>32</v>
      </c>
      <c r="F1474" s="2" t="s">
        <v>46</v>
      </c>
      <c r="G1474" s="2" t="s">
        <v>1005</v>
      </c>
      <c r="H1474" s="2"/>
      <c r="I1474" s="2"/>
    </row>
    <row r="1475" spans="1:9" x14ac:dyDescent="0.35">
      <c r="A1475" s="2" t="s">
        <v>886</v>
      </c>
      <c r="B1475" s="2" t="s">
        <v>24</v>
      </c>
      <c r="C1475" s="2" t="s">
        <v>1004</v>
      </c>
      <c r="D1475" s="2" t="s">
        <v>1006</v>
      </c>
      <c r="E1475" s="2" t="s">
        <v>189</v>
      </c>
      <c r="F1475" s="2" t="s">
        <v>46</v>
      </c>
      <c r="G1475" s="2" t="s">
        <v>1005</v>
      </c>
      <c r="H1475" s="2"/>
      <c r="I1475" s="2"/>
    </row>
    <row r="1476" spans="1:9" x14ac:dyDescent="0.35">
      <c r="A1476" s="2" t="s">
        <v>886</v>
      </c>
      <c r="B1476" s="2" t="s">
        <v>24</v>
      </c>
      <c r="C1476" s="2" t="s">
        <v>1004</v>
      </c>
      <c r="D1476" s="2" t="s">
        <v>1007</v>
      </c>
      <c r="E1476" s="2" t="s">
        <v>189</v>
      </c>
      <c r="F1476" s="2" t="s">
        <v>46</v>
      </c>
      <c r="G1476" s="2" t="s">
        <v>1005</v>
      </c>
      <c r="H1476" s="2"/>
      <c r="I1476" s="2"/>
    </row>
    <row r="1477" spans="1:9" x14ac:dyDescent="0.35">
      <c r="A1477" s="2" t="s">
        <v>886</v>
      </c>
      <c r="B1477" s="2" t="s">
        <v>24</v>
      </c>
      <c r="C1477" s="2" t="s">
        <v>1004</v>
      </c>
      <c r="D1477" s="2" t="s">
        <v>100</v>
      </c>
      <c r="E1477" s="2" t="s">
        <v>101</v>
      </c>
      <c r="F1477" s="2" t="s">
        <v>46</v>
      </c>
      <c r="G1477" s="2" t="s">
        <v>1005</v>
      </c>
      <c r="H1477" s="2"/>
      <c r="I1477" s="2"/>
    </row>
    <row r="1478" spans="1:9" x14ac:dyDescent="0.35">
      <c r="A1478" s="2" t="s">
        <v>886</v>
      </c>
      <c r="B1478" s="2" t="s">
        <v>24</v>
      </c>
      <c r="C1478" s="2" t="s">
        <v>1004</v>
      </c>
      <c r="D1478" s="2" t="s">
        <v>149</v>
      </c>
      <c r="E1478" s="2" t="s">
        <v>150</v>
      </c>
      <c r="F1478" s="2" t="s">
        <v>46</v>
      </c>
      <c r="G1478" s="2" t="s">
        <v>1005</v>
      </c>
      <c r="H1478" s="2"/>
      <c r="I1478" s="2"/>
    </row>
    <row r="1479" spans="1:9" x14ac:dyDescent="0.35">
      <c r="A1479" s="2" t="s">
        <v>886</v>
      </c>
      <c r="B1479" s="2" t="s">
        <v>24</v>
      </c>
      <c r="C1479" s="2" t="s">
        <v>1004</v>
      </c>
      <c r="D1479" s="2" t="s">
        <v>302</v>
      </c>
      <c r="E1479" s="2" t="s">
        <v>65</v>
      </c>
      <c r="F1479" s="2" t="s">
        <v>46</v>
      </c>
      <c r="G1479" s="2" t="s">
        <v>1005</v>
      </c>
      <c r="H1479" s="2"/>
      <c r="I1479" s="2"/>
    </row>
    <row r="1480" spans="1:9" x14ac:dyDescent="0.35">
      <c r="A1480" s="2" t="s">
        <v>886</v>
      </c>
      <c r="B1480" s="2" t="s">
        <v>24</v>
      </c>
      <c r="C1480" s="2" t="s">
        <v>1008</v>
      </c>
      <c r="D1480" s="2" t="s">
        <v>196</v>
      </c>
      <c r="E1480" s="2" t="s">
        <v>197</v>
      </c>
      <c r="F1480" s="2"/>
      <c r="G1480" s="2"/>
      <c r="H1480" s="2"/>
      <c r="I1480" s="2"/>
    </row>
    <row r="1481" spans="1:9" x14ac:dyDescent="0.35">
      <c r="A1481" s="2" t="s">
        <v>886</v>
      </c>
      <c r="B1481" s="2" t="s">
        <v>24</v>
      </c>
      <c r="C1481" s="2" t="s">
        <v>1008</v>
      </c>
      <c r="D1481" s="2" t="s">
        <v>1009</v>
      </c>
      <c r="E1481" s="2" t="s">
        <v>189</v>
      </c>
      <c r="F1481" s="2" t="s">
        <v>16</v>
      </c>
      <c r="G1481" s="2" t="s">
        <v>991</v>
      </c>
      <c r="H1481" s="2"/>
      <c r="I1481" s="2"/>
    </row>
    <row r="1482" spans="1:9" x14ac:dyDescent="0.35">
      <c r="A1482" s="2" t="s">
        <v>886</v>
      </c>
      <c r="B1482" s="2" t="s">
        <v>24</v>
      </c>
      <c r="C1482" s="2" t="s">
        <v>1008</v>
      </c>
      <c r="D1482" s="2" t="s">
        <v>31</v>
      </c>
      <c r="E1482" s="2" t="s">
        <v>32</v>
      </c>
      <c r="F1482" s="2" t="s">
        <v>16</v>
      </c>
      <c r="G1482" s="2" t="s">
        <v>991</v>
      </c>
      <c r="H1482" s="2"/>
      <c r="I1482" s="2"/>
    </row>
    <row r="1483" spans="1:9" x14ac:dyDescent="0.35">
      <c r="A1483" s="2" t="s">
        <v>886</v>
      </c>
      <c r="B1483" s="2" t="s">
        <v>24</v>
      </c>
      <c r="C1483" s="2" t="s">
        <v>1008</v>
      </c>
      <c r="D1483" s="2" t="s">
        <v>82</v>
      </c>
      <c r="E1483" s="2" t="s">
        <v>83</v>
      </c>
      <c r="F1483" s="2" t="s">
        <v>16</v>
      </c>
      <c r="G1483" s="2" t="s">
        <v>991</v>
      </c>
      <c r="H1483" s="2"/>
      <c r="I1483" s="2"/>
    </row>
    <row r="1484" spans="1:9" x14ac:dyDescent="0.35">
      <c r="A1484" s="2" t="s">
        <v>886</v>
      </c>
      <c r="B1484" s="2" t="s">
        <v>24</v>
      </c>
      <c r="C1484" s="2" t="s">
        <v>1008</v>
      </c>
      <c r="D1484" s="2" t="s">
        <v>96</v>
      </c>
      <c r="E1484" s="2" t="s">
        <v>83</v>
      </c>
      <c r="F1484" s="2" t="s">
        <v>16</v>
      </c>
      <c r="G1484" s="2" t="s">
        <v>991</v>
      </c>
      <c r="H1484" s="2"/>
      <c r="I1484" s="2"/>
    </row>
    <row r="1485" spans="1:9" x14ac:dyDescent="0.35">
      <c r="A1485" s="2" t="s">
        <v>886</v>
      </c>
      <c r="B1485" s="2" t="s">
        <v>24</v>
      </c>
      <c r="C1485" s="2" t="s">
        <v>1008</v>
      </c>
      <c r="D1485" s="2" t="s">
        <v>38</v>
      </c>
      <c r="E1485" s="2" t="s">
        <v>38</v>
      </c>
      <c r="F1485" s="2" t="s">
        <v>16</v>
      </c>
      <c r="G1485" s="2" t="s">
        <v>991</v>
      </c>
      <c r="H1485" s="2"/>
      <c r="I1485" s="2"/>
    </row>
    <row r="1486" spans="1:9" x14ac:dyDescent="0.35">
      <c r="A1486" s="2" t="s">
        <v>886</v>
      </c>
      <c r="B1486" s="2" t="s">
        <v>24</v>
      </c>
      <c r="C1486" s="2" t="s">
        <v>1008</v>
      </c>
      <c r="D1486" s="2" t="s">
        <v>18</v>
      </c>
      <c r="E1486" s="2" t="s">
        <v>19</v>
      </c>
      <c r="F1486" s="2" t="s">
        <v>16</v>
      </c>
      <c r="G1486" s="2" t="s">
        <v>991</v>
      </c>
      <c r="H1486" s="2"/>
      <c r="I1486" s="2"/>
    </row>
    <row r="1487" spans="1:9" x14ac:dyDescent="0.35">
      <c r="A1487" s="2" t="s">
        <v>886</v>
      </c>
      <c r="B1487" s="2" t="s">
        <v>24</v>
      </c>
      <c r="C1487" s="2" t="s">
        <v>1008</v>
      </c>
      <c r="D1487" s="2" t="s">
        <v>100</v>
      </c>
      <c r="E1487" s="2" t="s">
        <v>101</v>
      </c>
      <c r="F1487" s="2"/>
      <c r="G1487" s="2"/>
      <c r="H1487" s="2"/>
      <c r="I1487" s="2"/>
    </row>
    <row r="1488" spans="1:9" x14ac:dyDescent="0.35">
      <c r="A1488" s="2" t="s">
        <v>886</v>
      </c>
      <c r="B1488" s="2" t="s">
        <v>62</v>
      </c>
      <c r="C1488" s="2" t="s">
        <v>1010</v>
      </c>
      <c r="D1488" s="2" t="s">
        <v>106</v>
      </c>
      <c r="E1488" s="2" t="s">
        <v>107</v>
      </c>
      <c r="F1488" s="2"/>
      <c r="G1488" s="2"/>
      <c r="H1488" s="2"/>
      <c r="I1488" s="2"/>
    </row>
    <row r="1489" spans="1:9" x14ac:dyDescent="0.35">
      <c r="A1489" s="2" t="s">
        <v>886</v>
      </c>
      <c r="B1489" s="2" t="s">
        <v>181</v>
      </c>
      <c r="C1489" s="2" t="s">
        <v>1011</v>
      </c>
      <c r="D1489" s="2" t="s">
        <v>196</v>
      </c>
      <c r="E1489" s="2" t="s">
        <v>197</v>
      </c>
      <c r="F1489" s="2"/>
      <c r="G1489" s="2"/>
      <c r="H1489" s="2"/>
      <c r="I1489" s="2"/>
    </row>
    <row r="1490" spans="1:9" x14ac:dyDescent="0.35">
      <c r="A1490" s="2" t="s">
        <v>886</v>
      </c>
      <c r="B1490" s="2" t="s">
        <v>181</v>
      </c>
      <c r="C1490" s="2" t="s">
        <v>1011</v>
      </c>
      <c r="D1490" s="2" t="s">
        <v>18</v>
      </c>
      <c r="E1490" s="2" t="s">
        <v>19</v>
      </c>
      <c r="F1490" s="2" t="s">
        <v>16</v>
      </c>
      <c r="G1490" s="2" t="s">
        <v>1012</v>
      </c>
      <c r="H1490" s="2"/>
      <c r="I1490" s="2"/>
    </row>
    <row r="1491" spans="1:9" x14ac:dyDescent="0.35">
      <c r="A1491" s="2" t="s">
        <v>886</v>
      </c>
      <c r="B1491" s="2" t="s">
        <v>181</v>
      </c>
      <c r="C1491" s="2" t="s">
        <v>1011</v>
      </c>
      <c r="D1491" s="2" t="s">
        <v>89</v>
      </c>
      <c r="E1491" s="2" t="s">
        <v>45</v>
      </c>
      <c r="F1491" s="2" t="s">
        <v>16</v>
      </c>
      <c r="G1491" s="2" t="s">
        <v>1013</v>
      </c>
      <c r="H1491" s="2"/>
      <c r="I1491" s="2"/>
    </row>
    <row r="1492" spans="1:9" x14ac:dyDescent="0.35">
      <c r="A1492" s="2" t="s">
        <v>886</v>
      </c>
      <c r="B1492" s="2" t="s">
        <v>181</v>
      </c>
      <c r="C1492" s="2" t="s">
        <v>1011</v>
      </c>
      <c r="D1492" s="2" t="s">
        <v>299</v>
      </c>
      <c r="E1492" s="2" t="s">
        <v>78</v>
      </c>
      <c r="F1492" s="2"/>
      <c r="G1492" s="2"/>
      <c r="H1492" s="2"/>
      <c r="I1492" s="2"/>
    </row>
    <row r="1493" spans="1:9" x14ac:dyDescent="0.35">
      <c r="A1493" s="2" t="s">
        <v>886</v>
      </c>
      <c r="B1493" s="2" t="s">
        <v>181</v>
      </c>
      <c r="C1493" s="2" t="s">
        <v>1011</v>
      </c>
      <c r="D1493" s="2" t="s">
        <v>188</v>
      </c>
      <c r="E1493" s="2" t="s">
        <v>189</v>
      </c>
      <c r="F1493" s="2"/>
      <c r="G1493" s="2"/>
      <c r="H1493" s="2"/>
      <c r="I1493" s="2"/>
    </row>
    <row r="1494" spans="1:9" x14ac:dyDescent="0.35">
      <c r="A1494" s="2" t="s">
        <v>886</v>
      </c>
      <c r="B1494" s="2" t="s">
        <v>12</v>
      </c>
      <c r="C1494" s="2" t="s">
        <v>1014</v>
      </c>
      <c r="D1494" s="2" t="s">
        <v>38</v>
      </c>
      <c r="E1494" s="2" t="s">
        <v>38</v>
      </c>
      <c r="F1494" s="2"/>
      <c r="G1494" s="2"/>
      <c r="H1494" s="2"/>
      <c r="I1494" s="2"/>
    </row>
    <row r="1495" spans="1:9" x14ac:dyDescent="0.35">
      <c r="A1495" s="2" t="s">
        <v>886</v>
      </c>
      <c r="B1495" s="2" t="s">
        <v>12</v>
      </c>
      <c r="C1495" s="2" t="s">
        <v>1014</v>
      </c>
      <c r="D1495" s="2" t="s">
        <v>18</v>
      </c>
      <c r="E1495" s="2" t="s">
        <v>19</v>
      </c>
      <c r="F1495" s="2" t="s">
        <v>16</v>
      </c>
      <c r="G1495" s="2" t="s">
        <v>1015</v>
      </c>
      <c r="H1495" s="2"/>
      <c r="I1495" s="2"/>
    </row>
    <row r="1496" spans="1:9" x14ac:dyDescent="0.35">
      <c r="A1496" s="2" t="s">
        <v>886</v>
      </c>
      <c r="B1496" s="2" t="s">
        <v>24</v>
      </c>
      <c r="C1496" s="2" t="s">
        <v>1016</v>
      </c>
      <c r="D1496" s="2" t="s">
        <v>31</v>
      </c>
      <c r="E1496" s="2" t="s">
        <v>32</v>
      </c>
      <c r="F1496" s="2"/>
      <c r="G1496" s="2"/>
      <c r="H1496" s="2"/>
      <c r="I1496" s="2"/>
    </row>
    <row r="1497" spans="1:9" x14ac:dyDescent="0.35">
      <c r="A1497" s="2" t="s">
        <v>886</v>
      </c>
      <c r="B1497" s="2" t="s">
        <v>24</v>
      </c>
      <c r="C1497" s="2" t="s">
        <v>1016</v>
      </c>
      <c r="D1497" s="2" t="s">
        <v>38</v>
      </c>
      <c r="E1497" s="2" t="s">
        <v>38</v>
      </c>
      <c r="F1497" s="2"/>
      <c r="G1497" s="2"/>
      <c r="H1497" s="2"/>
      <c r="I1497" s="2"/>
    </row>
    <row r="1498" spans="1:9" x14ac:dyDescent="0.35">
      <c r="A1498" s="2" t="s">
        <v>886</v>
      </c>
      <c r="B1498" s="2" t="s">
        <v>62</v>
      </c>
      <c r="C1498" s="2" t="s">
        <v>1017</v>
      </c>
      <c r="D1498" s="2" t="s">
        <v>106</v>
      </c>
      <c r="E1498" s="2" t="s">
        <v>107</v>
      </c>
      <c r="F1498" s="2"/>
      <c r="G1498" s="2"/>
      <c r="H1498" s="2"/>
      <c r="I1498" s="2"/>
    </row>
    <row r="1499" spans="1:9" x14ac:dyDescent="0.35">
      <c r="A1499" s="2" t="s">
        <v>886</v>
      </c>
      <c r="B1499" s="2" t="s">
        <v>62</v>
      </c>
      <c r="C1499" s="2" t="s">
        <v>1018</v>
      </c>
      <c r="D1499" s="2" t="s">
        <v>317</v>
      </c>
      <c r="E1499" s="2" t="s">
        <v>318</v>
      </c>
      <c r="F1499" s="2"/>
      <c r="G1499" s="2"/>
      <c r="H1499" s="2"/>
      <c r="I1499" s="2"/>
    </row>
    <row r="1500" spans="1:9" x14ac:dyDescent="0.35">
      <c r="A1500" s="2" t="s">
        <v>886</v>
      </c>
      <c r="B1500" s="2" t="s">
        <v>62</v>
      </c>
      <c r="C1500" s="2" t="s">
        <v>1018</v>
      </c>
      <c r="D1500" s="2" t="s">
        <v>319</v>
      </c>
      <c r="E1500" s="2" t="s">
        <v>320</v>
      </c>
      <c r="F1500" s="2"/>
      <c r="G1500" s="2"/>
      <c r="H1500" s="2"/>
      <c r="I1500" s="2"/>
    </row>
    <row r="1501" spans="1:9" x14ac:dyDescent="0.35">
      <c r="A1501" s="2" t="s">
        <v>886</v>
      </c>
      <c r="B1501" s="2" t="s">
        <v>62</v>
      </c>
      <c r="C1501" s="2" t="s">
        <v>1018</v>
      </c>
      <c r="D1501" s="2" t="s">
        <v>1001</v>
      </c>
      <c r="E1501" s="2" t="s">
        <v>30</v>
      </c>
      <c r="F1501" s="2"/>
      <c r="G1501" s="2"/>
      <c r="H1501" s="2"/>
      <c r="I1501" s="2"/>
    </row>
    <row r="1502" spans="1:9" x14ac:dyDescent="0.35">
      <c r="A1502" s="2" t="s">
        <v>886</v>
      </c>
      <c r="B1502" s="2" t="s">
        <v>62</v>
      </c>
      <c r="C1502" s="2" t="s">
        <v>1018</v>
      </c>
      <c r="D1502" s="2" t="s">
        <v>321</v>
      </c>
      <c r="E1502" s="2" t="s">
        <v>321</v>
      </c>
      <c r="F1502" s="2"/>
      <c r="G1502" s="2"/>
      <c r="H1502" s="2"/>
      <c r="I1502" s="2"/>
    </row>
    <row r="1503" spans="1:9" x14ac:dyDescent="0.35">
      <c r="A1503" s="2" t="s">
        <v>886</v>
      </c>
      <c r="B1503" s="2" t="s">
        <v>62</v>
      </c>
      <c r="C1503" s="2" t="s">
        <v>1018</v>
      </c>
      <c r="D1503" s="2" t="s">
        <v>106</v>
      </c>
      <c r="E1503" s="2" t="s">
        <v>107</v>
      </c>
      <c r="F1503" s="2"/>
      <c r="G1503" s="2"/>
      <c r="H1503" s="2"/>
      <c r="I1503" s="2"/>
    </row>
    <row r="1504" spans="1:9" x14ac:dyDescent="0.35">
      <c r="A1504" s="2" t="s">
        <v>886</v>
      </c>
      <c r="B1504" s="2" t="s">
        <v>62</v>
      </c>
      <c r="C1504" s="2" t="s">
        <v>1018</v>
      </c>
      <c r="D1504" s="2" t="s">
        <v>322</v>
      </c>
      <c r="E1504" s="2" t="s">
        <v>246</v>
      </c>
      <c r="F1504" s="2"/>
      <c r="G1504" s="2"/>
      <c r="H1504" s="2"/>
      <c r="I1504" s="2"/>
    </row>
    <row r="1505" spans="1:9" x14ac:dyDescent="0.35">
      <c r="A1505" s="2" t="s">
        <v>886</v>
      </c>
      <c r="B1505" s="2" t="s">
        <v>62</v>
      </c>
      <c r="C1505" s="2" t="s">
        <v>1018</v>
      </c>
      <c r="D1505" s="2" t="s">
        <v>323</v>
      </c>
      <c r="E1505" s="2" t="s">
        <v>246</v>
      </c>
      <c r="F1505" s="2"/>
      <c r="G1505" s="2"/>
      <c r="H1505" s="2"/>
      <c r="I1505" s="2"/>
    </row>
    <row r="1506" spans="1:9" x14ac:dyDescent="0.35">
      <c r="A1506" s="2" t="s">
        <v>886</v>
      </c>
      <c r="B1506" s="2" t="s">
        <v>62</v>
      </c>
      <c r="C1506" s="2" t="s">
        <v>1018</v>
      </c>
      <c r="D1506" s="2" t="s">
        <v>324</v>
      </c>
      <c r="E1506" s="2" t="s">
        <v>246</v>
      </c>
      <c r="F1506" s="2"/>
      <c r="G1506" s="2"/>
      <c r="H1506" s="2"/>
      <c r="I1506" s="2"/>
    </row>
    <row r="1507" spans="1:9" x14ac:dyDescent="0.35">
      <c r="A1507" s="2" t="s">
        <v>886</v>
      </c>
      <c r="B1507" s="2" t="s">
        <v>62</v>
      </c>
      <c r="C1507" s="2" t="s">
        <v>1018</v>
      </c>
      <c r="D1507" s="2" t="s">
        <v>325</v>
      </c>
      <c r="E1507" s="2" t="s">
        <v>326</v>
      </c>
      <c r="F1507" s="2"/>
      <c r="G1507" s="2"/>
      <c r="H1507" s="2"/>
      <c r="I1507" s="2"/>
    </row>
    <row r="1508" spans="1:9" x14ac:dyDescent="0.35">
      <c r="A1508" s="2" t="s">
        <v>886</v>
      </c>
      <c r="B1508" s="2" t="s">
        <v>62</v>
      </c>
      <c r="C1508" s="2" t="s">
        <v>1018</v>
      </c>
      <c r="D1508" s="2" t="s">
        <v>327</v>
      </c>
      <c r="E1508" s="2" t="s">
        <v>328</v>
      </c>
      <c r="F1508" s="2"/>
      <c r="G1508" s="2"/>
      <c r="H1508" s="2"/>
      <c r="I1508" s="2"/>
    </row>
    <row r="1509" spans="1:9" x14ac:dyDescent="0.35">
      <c r="A1509" s="2" t="s">
        <v>886</v>
      </c>
      <c r="B1509" s="2" t="s">
        <v>62</v>
      </c>
      <c r="C1509" s="2" t="s">
        <v>1018</v>
      </c>
      <c r="D1509" s="2" t="s">
        <v>329</v>
      </c>
      <c r="E1509" s="2" t="s">
        <v>330</v>
      </c>
      <c r="F1509" s="2"/>
      <c r="G1509" s="2"/>
      <c r="H1509" s="2"/>
      <c r="I1509" s="2"/>
    </row>
    <row r="1510" spans="1:9" x14ac:dyDescent="0.35">
      <c r="A1510" s="2" t="s">
        <v>886</v>
      </c>
      <c r="B1510" s="2" t="s">
        <v>62</v>
      </c>
      <c r="C1510" s="2" t="s">
        <v>1018</v>
      </c>
      <c r="D1510" s="2" t="s">
        <v>331</v>
      </c>
      <c r="E1510" s="2" t="s">
        <v>332</v>
      </c>
      <c r="F1510" s="2"/>
      <c r="G1510" s="2"/>
      <c r="H1510" s="2"/>
      <c r="I1510" s="2"/>
    </row>
    <row r="1511" spans="1:9" x14ac:dyDescent="0.35">
      <c r="A1511" s="2" t="s">
        <v>886</v>
      </c>
      <c r="B1511" s="2" t="s">
        <v>62</v>
      </c>
      <c r="C1511" s="2" t="s">
        <v>1018</v>
      </c>
      <c r="D1511" s="2" t="s">
        <v>333</v>
      </c>
      <c r="E1511" s="2" t="s">
        <v>334</v>
      </c>
      <c r="F1511" s="2"/>
      <c r="G1511" s="2"/>
      <c r="H1511" s="2"/>
      <c r="I1511" s="2"/>
    </row>
    <row r="1512" spans="1:9" x14ac:dyDescent="0.35">
      <c r="A1512" s="2" t="s">
        <v>886</v>
      </c>
      <c r="B1512" s="2" t="s">
        <v>62</v>
      </c>
      <c r="C1512" s="2" t="s">
        <v>1018</v>
      </c>
      <c r="D1512" s="2" t="s">
        <v>335</v>
      </c>
      <c r="E1512" s="2" t="s">
        <v>336</v>
      </c>
      <c r="F1512" s="2"/>
      <c r="G1512" s="2"/>
      <c r="H1512" s="2"/>
      <c r="I1512" s="2"/>
    </row>
    <row r="1513" spans="1:9" x14ac:dyDescent="0.35">
      <c r="A1513" s="2" t="s">
        <v>886</v>
      </c>
      <c r="B1513" s="2" t="s">
        <v>62</v>
      </c>
      <c r="C1513" s="2" t="s">
        <v>1018</v>
      </c>
      <c r="D1513" s="2" t="s">
        <v>337</v>
      </c>
      <c r="E1513" s="2" t="s">
        <v>338</v>
      </c>
      <c r="F1513" s="2"/>
      <c r="G1513" s="2"/>
      <c r="H1513" s="2"/>
      <c r="I1513" s="2"/>
    </row>
    <row r="1514" spans="1:9" x14ac:dyDescent="0.35">
      <c r="A1514" s="2" t="s">
        <v>886</v>
      </c>
      <c r="B1514" s="2" t="s">
        <v>62</v>
      </c>
      <c r="C1514" s="2" t="s">
        <v>1018</v>
      </c>
      <c r="D1514" s="2" t="s">
        <v>339</v>
      </c>
      <c r="E1514" s="2" t="s">
        <v>340</v>
      </c>
      <c r="F1514" s="2"/>
      <c r="G1514" s="2"/>
      <c r="H1514" s="2"/>
      <c r="I1514" s="2"/>
    </row>
    <row r="1515" spans="1:9" x14ac:dyDescent="0.35">
      <c r="A1515" s="2" t="s">
        <v>886</v>
      </c>
      <c r="B1515" s="2" t="s">
        <v>62</v>
      </c>
      <c r="C1515" s="2" t="s">
        <v>1018</v>
      </c>
      <c r="D1515" s="2" t="s">
        <v>341</v>
      </c>
      <c r="E1515" s="2" t="s">
        <v>342</v>
      </c>
      <c r="F1515" s="2"/>
      <c r="G1515" s="2"/>
      <c r="H1515" s="2"/>
      <c r="I1515" s="2"/>
    </row>
    <row r="1516" spans="1:9" x14ac:dyDescent="0.35">
      <c r="A1516" s="2" t="s">
        <v>886</v>
      </c>
      <c r="B1516" s="2" t="s">
        <v>62</v>
      </c>
      <c r="C1516" s="2" t="s">
        <v>1018</v>
      </c>
      <c r="D1516" s="2" t="s">
        <v>343</v>
      </c>
      <c r="E1516" s="2" t="s">
        <v>344</v>
      </c>
      <c r="F1516" s="2"/>
      <c r="G1516" s="2"/>
      <c r="H1516" s="2"/>
      <c r="I1516" s="2"/>
    </row>
    <row r="1517" spans="1:9" x14ac:dyDescent="0.35">
      <c r="A1517" s="2" t="s">
        <v>886</v>
      </c>
      <c r="B1517" s="2" t="s">
        <v>62</v>
      </c>
      <c r="C1517" s="2" t="s">
        <v>1018</v>
      </c>
      <c r="D1517" s="2" t="s">
        <v>345</v>
      </c>
      <c r="E1517" s="2" t="s">
        <v>346</v>
      </c>
      <c r="F1517" s="2"/>
      <c r="G1517" s="2"/>
      <c r="H1517" s="2"/>
      <c r="I1517" s="2"/>
    </row>
    <row r="1518" spans="1:9" x14ac:dyDescent="0.35">
      <c r="A1518" s="2" t="s">
        <v>886</v>
      </c>
      <c r="B1518" s="2" t="s">
        <v>12</v>
      </c>
      <c r="C1518" s="2" t="s">
        <v>1019</v>
      </c>
      <c r="D1518" s="2" t="s">
        <v>14</v>
      </c>
      <c r="E1518" s="2" t="s">
        <v>15</v>
      </c>
      <c r="F1518" s="2"/>
      <c r="G1518" s="2"/>
      <c r="H1518" s="2"/>
      <c r="I1518" s="2"/>
    </row>
    <row r="1519" spans="1:9" x14ac:dyDescent="0.35">
      <c r="A1519" s="2" t="s">
        <v>886</v>
      </c>
      <c r="B1519" s="2" t="s">
        <v>12</v>
      </c>
      <c r="C1519" s="2" t="s">
        <v>1019</v>
      </c>
      <c r="D1519" s="2" t="s">
        <v>144</v>
      </c>
      <c r="E1519" s="2" t="s">
        <v>50</v>
      </c>
      <c r="F1519" s="2" t="s">
        <v>46</v>
      </c>
      <c r="G1519" s="2" t="s">
        <v>981</v>
      </c>
      <c r="H1519" s="2"/>
      <c r="I1519" s="2"/>
    </row>
    <row r="1520" spans="1:9" x14ac:dyDescent="0.35">
      <c r="A1520" s="2" t="s">
        <v>886</v>
      </c>
      <c r="B1520" s="2" t="s">
        <v>12</v>
      </c>
      <c r="C1520" s="2" t="s">
        <v>1019</v>
      </c>
      <c r="D1520" s="2" t="s">
        <v>91</v>
      </c>
      <c r="E1520" s="2" t="s">
        <v>19</v>
      </c>
      <c r="F1520" s="2"/>
      <c r="G1520" s="2"/>
      <c r="H1520" s="2"/>
      <c r="I1520" s="2"/>
    </row>
    <row r="1521" spans="1:9" x14ac:dyDescent="0.35">
      <c r="A1521" s="2" t="s">
        <v>886</v>
      </c>
      <c r="B1521" s="2" t="s">
        <v>12</v>
      </c>
      <c r="C1521" s="2" t="s">
        <v>1019</v>
      </c>
      <c r="D1521" s="2" t="s">
        <v>1020</v>
      </c>
      <c r="E1521" s="2" t="s">
        <v>40</v>
      </c>
      <c r="F1521" s="2" t="s">
        <v>46</v>
      </c>
      <c r="G1521" s="2" t="s">
        <v>981</v>
      </c>
      <c r="H1521" s="2"/>
      <c r="I1521" s="2"/>
    </row>
    <row r="1522" spans="1:9" x14ac:dyDescent="0.35">
      <c r="A1522" s="2" t="s">
        <v>886</v>
      </c>
      <c r="B1522" s="2" t="s">
        <v>12</v>
      </c>
      <c r="C1522" s="2" t="s">
        <v>1019</v>
      </c>
      <c r="D1522" s="2" t="s">
        <v>1021</v>
      </c>
      <c r="E1522" s="2" t="s">
        <v>122</v>
      </c>
      <c r="F1522" s="2"/>
      <c r="G1522" s="2"/>
      <c r="H1522" s="2"/>
      <c r="I1522" s="2"/>
    </row>
    <row r="1523" spans="1:9" x14ac:dyDescent="0.35">
      <c r="A1523" s="2" t="s">
        <v>886</v>
      </c>
      <c r="B1523" s="2" t="s">
        <v>62</v>
      </c>
      <c r="C1523" s="2" t="s">
        <v>1022</v>
      </c>
      <c r="D1523" s="2" t="s">
        <v>196</v>
      </c>
      <c r="E1523" s="2" t="s">
        <v>197</v>
      </c>
      <c r="F1523" s="2"/>
      <c r="G1523" s="2"/>
      <c r="H1523" s="2"/>
      <c r="I1523" s="2"/>
    </row>
    <row r="1524" spans="1:9" x14ac:dyDescent="0.35">
      <c r="A1524" s="2" t="s">
        <v>886</v>
      </c>
      <c r="B1524" s="2" t="s">
        <v>62</v>
      </c>
      <c r="C1524" s="2" t="s">
        <v>1022</v>
      </c>
      <c r="D1524" s="2" t="s">
        <v>14</v>
      </c>
      <c r="E1524" s="2" t="s">
        <v>15</v>
      </c>
      <c r="F1524" s="2"/>
      <c r="G1524" s="2"/>
      <c r="H1524" s="2"/>
      <c r="I1524" s="2"/>
    </row>
    <row r="1525" spans="1:9" x14ac:dyDescent="0.35">
      <c r="A1525" s="2" t="s">
        <v>886</v>
      </c>
      <c r="B1525" s="2" t="s">
        <v>62</v>
      </c>
      <c r="C1525" s="2" t="s">
        <v>1022</v>
      </c>
      <c r="D1525" s="2" t="s">
        <v>172</v>
      </c>
      <c r="E1525" s="2" t="s">
        <v>65</v>
      </c>
      <c r="F1525" s="2"/>
      <c r="G1525" s="2"/>
      <c r="H1525" s="2"/>
      <c r="I1525" s="2"/>
    </row>
    <row r="1526" spans="1:9" x14ac:dyDescent="0.35">
      <c r="A1526" s="2" t="s">
        <v>886</v>
      </c>
      <c r="B1526" s="2" t="s">
        <v>62</v>
      </c>
      <c r="C1526" s="2" t="s">
        <v>1022</v>
      </c>
      <c r="D1526" s="2" t="s">
        <v>1023</v>
      </c>
      <c r="E1526" s="2" t="s">
        <v>75</v>
      </c>
      <c r="F1526" s="2"/>
      <c r="G1526" s="2"/>
      <c r="H1526" s="2"/>
      <c r="I1526" s="2"/>
    </row>
    <row r="1527" spans="1:9" x14ac:dyDescent="0.35">
      <c r="A1527" s="2" t="s">
        <v>886</v>
      </c>
      <c r="B1527" s="2" t="s">
        <v>62</v>
      </c>
      <c r="C1527" s="2" t="s">
        <v>1022</v>
      </c>
      <c r="D1527" s="2" t="s">
        <v>1024</v>
      </c>
      <c r="E1527" s="2" t="s">
        <v>38</v>
      </c>
      <c r="F1527" s="2"/>
      <c r="G1527" s="2"/>
      <c r="H1527" s="2"/>
      <c r="I1527" s="2"/>
    </row>
    <row r="1528" spans="1:9" x14ac:dyDescent="0.35">
      <c r="A1528" s="2" t="s">
        <v>886</v>
      </c>
      <c r="B1528" s="2" t="s">
        <v>62</v>
      </c>
      <c r="C1528" s="2" t="s">
        <v>1022</v>
      </c>
      <c r="D1528" s="2" t="s">
        <v>1025</v>
      </c>
      <c r="E1528" s="2" t="s">
        <v>50</v>
      </c>
      <c r="F1528" s="2"/>
      <c r="G1528" s="2"/>
      <c r="H1528" s="2"/>
      <c r="I1528" s="2"/>
    </row>
    <row r="1529" spans="1:9" x14ac:dyDescent="0.35">
      <c r="A1529" s="2" t="s">
        <v>886</v>
      </c>
      <c r="B1529" s="2" t="s">
        <v>62</v>
      </c>
      <c r="C1529" s="2" t="s">
        <v>1022</v>
      </c>
      <c r="D1529" s="2" t="s">
        <v>100</v>
      </c>
      <c r="E1529" s="2" t="s">
        <v>101</v>
      </c>
      <c r="F1529" s="2"/>
      <c r="G1529" s="2"/>
      <c r="H1529" s="2"/>
      <c r="I1529" s="2"/>
    </row>
    <row r="1530" spans="1:9" x14ac:dyDescent="0.35">
      <c r="A1530" s="2" t="s">
        <v>886</v>
      </c>
      <c r="B1530" s="2" t="s">
        <v>62</v>
      </c>
      <c r="C1530" s="2" t="s">
        <v>1022</v>
      </c>
      <c r="D1530" s="2" t="s">
        <v>1026</v>
      </c>
      <c r="E1530" s="2" t="s">
        <v>38</v>
      </c>
      <c r="F1530" s="2"/>
      <c r="G1530" s="2"/>
      <c r="H1530" s="2"/>
      <c r="I1530" s="2"/>
    </row>
    <row r="1531" spans="1:9" x14ac:dyDescent="0.35">
      <c r="A1531" s="2" t="s">
        <v>886</v>
      </c>
      <c r="B1531" s="2" t="s">
        <v>62</v>
      </c>
      <c r="C1531" s="2" t="s">
        <v>1022</v>
      </c>
      <c r="D1531" s="2" t="s">
        <v>149</v>
      </c>
      <c r="E1531" s="2" t="s">
        <v>150</v>
      </c>
      <c r="F1531" s="2"/>
      <c r="G1531" s="2"/>
      <c r="H1531" s="2"/>
      <c r="I1531" s="2"/>
    </row>
    <row r="1532" spans="1:9" x14ac:dyDescent="0.35">
      <c r="A1532" s="2" t="s">
        <v>886</v>
      </c>
      <c r="B1532" s="2" t="s">
        <v>62</v>
      </c>
      <c r="C1532" s="2" t="s">
        <v>1027</v>
      </c>
      <c r="D1532" s="2" t="s">
        <v>106</v>
      </c>
      <c r="E1532" s="2" t="s">
        <v>107</v>
      </c>
      <c r="F1532" s="2"/>
      <c r="G1532" s="2"/>
      <c r="H1532" s="2"/>
      <c r="I1532" s="2"/>
    </row>
    <row r="1533" spans="1:9" x14ac:dyDescent="0.35">
      <c r="A1533" s="2" t="s">
        <v>886</v>
      </c>
      <c r="B1533" s="2" t="s">
        <v>62</v>
      </c>
      <c r="C1533" s="2" t="s">
        <v>1028</v>
      </c>
      <c r="D1533" s="2" t="s">
        <v>196</v>
      </c>
      <c r="E1533" s="2" t="s">
        <v>197</v>
      </c>
      <c r="F1533" s="2"/>
      <c r="G1533" s="2"/>
      <c r="H1533" s="2"/>
      <c r="I1533" s="2"/>
    </row>
    <row r="1534" spans="1:9" x14ac:dyDescent="0.35">
      <c r="A1534" s="2" t="s">
        <v>886</v>
      </c>
      <c r="B1534" s="2" t="s">
        <v>62</v>
      </c>
      <c r="C1534" s="2" t="s">
        <v>1028</v>
      </c>
      <c r="D1534" s="2" t="s">
        <v>31</v>
      </c>
      <c r="E1534" s="2" t="s">
        <v>32</v>
      </c>
      <c r="F1534" s="2"/>
      <c r="G1534" s="2"/>
      <c r="H1534" s="2"/>
      <c r="I1534" s="2"/>
    </row>
    <row r="1535" spans="1:9" x14ac:dyDescent="0.35">
      <c r="A1535" s="2" t="s">
        <v>886</v>
      </c>
      <c r="B1535" s="2" t="s">
        <v>62</v>
      </c>
      <c r="C1535" s="2" t="s">
        <v>1028</v>
      </c>
      <c r="D1535" s="2" t="s">
        <v>1029</v>
      </c>
      <c r="E1535" s="2" t="s">
        <v>367</v>
      </c>
      <c r="F1535" s="2"/>
      <c r="G1535" s="2"/>
      <c r="H1535" s="2"/>
      <c r="I1535" s="2"/>
    </row>
    <row r="1536" spans="1:9" x14ac:dyDescent="0.35">
      <c r="A1536" s="2" t="s">
        <v>886</v>
      </c>
      <c r="B1536" s="2" t="s">
        <v>62</v>
      </c>
      <c r="C1536" s="2" t="s">
        <v>1028</v>
      </c>
      <c r="D1536" s="2" t="s">
        <v>1030</v>
      </c>
      <c r="E1536" s="2" t="s">
        <v>83</v>
      </c>
      <c r="F1536" s="2"/>
      <c r="G1536" s="2"/>
      <c r="H1536" s="2"/>
      <c r="I1536" s="2"/>
    </row>
    <row r="1537" spans="1:9" x14ac:dyDescent="0.35">
      <c r="A1537" s="2" t="s">
        <v>886</v>
      </c>
      <c r="B1537" s="2" t="s">
        <v>62</v>
      </c>
      <c r="C1537" s="2" t="s">
        <v>1028</v>
      </c>
      <c r="D1537" s="2" t="s">
        <v>87</v>
      </c>
      <c r="E1537" s="2" t="s">
        <v>75</v>
      </c>
      <c r="F1537" s="2" t="s">
        <v>16</v>
      </c>
      <c r="G1537" s="2" t="s">
        <v>1031</v>
      </c>
      <c r="H1537" s="2"/>
      <c r="I1537" s="2"/>
    </row>
    <row r="1538" spans="1:9" x14ac:dyDescent="0.35">
      <c r="A1538" s="2" t="s">
        <v>886</v>
      </c>
      <c r="B1538" s="2" t="s">
        <v>62</v>
      </c>
      <c r="C1538" s="2" t="s">
        <v>1028</v>
      </c>
      <c r="D1538" s="2" t="s">
        <v>1032</v>
      </c>
      <c r="E1538" s="2" t="s">
        <v>45</v>
      </c>
      <c r="F1538" s="2"/>
      <c r="G1538" s="2"/>
      <c r="H1538" s="2"/>
      <c r="I1538" s="2"/>
    </row>
    <row r="1539" spans="1:9" x14ac:dyDescent="0.35">
      <c r="A1539" s="2" t="s">
        <v>886</v>
      </c>
      <c r="B1539" s="2" t="s">
        <v>62</v>
      </c>
      <c r="C1539" s="2" t="s">
        <v>1033</v>
      </c>
      <c r="D1539" s="2" t="s">
        <v>196</v>
      </c>
      <c r="E1539" s="2" t="s">
        <v>197</v>
      </c>
      <c r="F1539" s="2"/>
      <c r="G1539" s="2"/>
      <c r="H1539" s="2"/>
      <c r="I1539" s="2"/>
    </row>
    <row r="1540" spans="1:9" x14ac:dyDescent="0.35">
      <c r="A1540" s="2" t="s">
        <v>886</v>
      </c>
      <c r="B1540" s="2" t="s">
        <v>62</v>
      </c>
      <c r="C1540" s="2" t="s">
        <v>1033</v>
      </c>
      <c r="D1540" s="2" t="s">
        <v>246</v>
      </c>
      <c r="E1540" s="2" t="s">
        <v>107</v>
      </c>
      <c r="F1540" s="2"/>
      <c r="G1540" s="2"/>
      <c r="H1540" s="2"/>
      <c r="I1540" s="2"/>
    </row>
    <row r="1541" spans="1:9" x14ac:dyDescent="0.35">
      <c r="A1541" s="2" t="s">
        <v>886</v>
      </c>
      <c r="B1541" s="2" t="s">
        <v>62</v>
      </c>
      <c r="C1541" s="2" t="s">
        <v>1033</v>
      </c>
      <c r="D1541" s="2" t="s">
        <v>1034</v>
      </c>
      <c r="E1541" s="2" t="s">
        <v>78</v>
      </c>
      <c r="F1541" s="2"/>
      <c r="G1541" s="2"/>
      <c r="H1541" s="2"/>
      <c r="I1541" s="2"/>
    </row>
    <row r="1542" spans="1:9" x14ac:dyDescent="0.35">
      <c r="A1542" s="2" t="s">
        <v>886</v>
      </c>
      <c r="B1542" s="2" t="s">
        <v>62</v>
      </c>
      <c r="C1542" s="2" t="s">
        <v>1033</v>
      </c>
      <c r="D1542" s="2" t="s">
        <v>120</v>
      </c>
      <c r="E1542" s="2" t="s">
        <v>32</v>
      </c>
      <c r="F1542" s="2"/>
      <c r="G1542" s="2"/>
      <c r="H1542" s="2"/>
      <c r="I1542" s="2"/>
    </row>
    <row r="1543" spans="1:9" x14ac:dyDescent="0.35">
      <c r="A1543" s="2" t="s">
        <v>886</v>
      </c>
      <c r="B1543" s="2" t="s">
        <v>62</v>
      </c>
      <c r="C1543" s="2" t="s">
        <v>1033</v>
      </c>
      <c r="D1543" s="2" t="s">
        <v>61</v>
      </c>
      <c r="E1543" s="2" t="s">
        <v>30</v>
      </c>
      <c r="F1543" s="2"/>
      <c r="G1543" s="2"/>
      <c r="H1543" s="2"/>
      <c r="I1543" s="2"/>
    </row>
    <row r="1544" spans="1:9" x14ac:dyDescent="0.35">
      <c r="A1544" s="2" t="s">
        <v>886</v>
      </c>
      <c r="B1544" s="2" t="s">
        <v>62</v>
      </c>
      <c r="C1544" s="2" t="s">
        <v>1033</v>
      </c>
      <c r="D1544" s="2" t="s">
        <v>1035</v>
      </c>
      <c r="E1544" s="2" t="s">
        <v>125</v>
      </c>
      <c r="F1544" s="2"/>
      <c r="G1544" s="2"/>
      <c r="H1544" s="2"/>
      <c r="I1544" s="2"/>
    </row>
    <row r="1545" spans="1:9" x14ac:dyDescent="0.35">
      <c r="A1545" s="2" t="s">
        <v>886</v>
      </c>
      <c r="B1545" s="2" t="s">
        <v>62</v>
      </c>
      <c r="C1545" s="2" t="s">
        <v>1033</v>
      </c>
      <c r="D1545" s="2" t="s">
        <v>1036</v>
      </c>
      <c r="E1545" s="2" t="s">
        <v>75</v>
      </c>
      <c r="F1545" s="2"/>
      <c r="G1545" s="2"/>
      <c r="H1545" s="2"/>
      <c r="I1545" s="2"/>
    </row>
    <row r="1546" spans="1:9" x14ac:dyDescent="0.35">
      <c r="A1546" s="2" t="s">
        <v>886</v>
      </c>
      <c r="B1546" s="2" t="s">
        <v>62</v>
      </c>
      <c r="C1546" s="2" t="s">
        <v>1037</v>
      </c>
      <c r="D1546" s="2" t="s">
        <v>106</v>
      </c>
      <c r="E1546" s="2" t="s">
        <v>107</v>
      </c>
      <c r="F1546" s="2"/>
      <c r="G1546" s="2"/>
      <c r="H1546" s="2"/>
      <c r="I1546" s="2"/>
    </row>
    <row r="1547" spans="1:9" x14ac:dyDescent="0.35">
      <c r="A1547" s="2" t="s">
        <v>886</v>
      </c>
      <c r="B1547" s="2" t="s">
        <v>62</v>
      </c>
      <c r="C1547" s="2" t="s">
        <v>1038</v>
      </c>
      <c r="D1547" s="2" t="s">
        <v>106</v>
      </c>
      <c r="E1547" s="2" t="s">
        <v>107</v>
      </c>
      <c r="F1547" s="2"/>
      <c r="G1547" s="2"/>
      <c r="H1547" s="2"/>
      <c r="I1547" s="2"/>
    </row>
    <row r="1548" spans="1:9" x14ac:dyDescent="0.35">
      <c r="A1548" s="2" t="s">
        <v>886</v>
      </c>
      <c r="B1548" s="2" t="s">
        <v>62</v>
      </c>
      <c r="C1548" s="2" t="s">
        <v>1039</v>
      </c>
      <c r="D1548" s="2" t="s">
        <v>106</v>
      </c>
      <c r="E1548" s="2" t="s">
        <v>107</v>
      </c>
      <c r="F1548" s="2"/>
      <c r="G1548" s="2"/>
      <c r="H1548" s="2"/>
      <c r="I1548" s="2"/>
    </row>
    <row r="1549" spans="1:9" x14ac:dyDescent="0.35">
      <c r="A1549" s="2" t="s">
        <v>886</v>
      </c>
      <c r="B1549" s="2" t="s">
        <v>54</v>
      </c>
      <c r="C1549" s="2" t="s">
        <v>1040</v>
      </c>
      <c r="D1549" s="2" t="s">
        <v>31</v>
      </c>
      <c r="E1549" s="2" t="s">
        <v>32</v>
      </c>
      <c r="F1549" s="2" t="s">
        <v>16</v>
      </c>
      <c r="G1549" s="2" t="s">
        <v>191</v>
      </c>
      <c r="H1549" s="2"/>
      <c r="I1549" s="2"/>
    </row>
    <row r="1550" spans="1:9" x14ac:dyDescent="0.35">
      <c r="A1550" s="2" t="s">
        <v>886</v>
      </c>
      <c r="B1550" s="2" t="s">
        <v>54</v>
      </c>
      <c r="C1550" s="2" t="s">
        <v>1040</v>
      </c>
      <c r="D1550" s="2" t="s">
        <v>38</v>
      </c>
      <c r="E1550" s="2" t="s">
        <v>38</v>
      </c>
      <c r="F1550" s="2" t="s">
        <v>16</v>
      </c>
      <c r="G1550" s="2" t="s">
        <v>191</v>
      </c>
      <c r="H1550" s="2"/>
      <c r="I1550" s="2"/>
    </row>
    <row r="1551" spans="1:9" x14ac:dyDescent="0.35">
      <c r="A1551" s="2" t="s">
        <v>886</v>
      </c>
      <c r="B1551" s="2" t="s">
        <v>54</v>
      </c>
      <c r="C1551" s="2" t="s">
        <v>1040</v>
      </c>
      <c r="D1551" s="2" t="s">
        <v>168</v>
      </c>
      <c r="E1551" s="2" t="s">
        <v>45</v>
      </c>
      <c r="F1551" s="2" t="s">
        <v>16</v>
      </c>
      <c r="G1551" s="2" t="s">
        <v>191</v>
      </c>
      <c r="H1551" s="2"/>
      <c r="I1551" s="2"/>
    </row>
    <row r="1552" spans="1:9" x14ac:dyDescent="0.35">
      <c r="A1552" s="2" t="s">
        <v>886</v>
      </c>
      <c r="B1552" s="2" t="s">
        <v>54</v>
      </c>
      <c r="C1552" s="2" t="s">
        <v>1040</v>
      </c>
      <c r="D1552" s="2" t="s">
        <v>77</v>
      </c>
      <c r="E1552" s="2" t="s">
        <v>78</v>
      </c>
      <c r="F1552" s="2" t="s">
        <v>16</v>
      </c>
      <c r="G1552" s="2" t="s">
        <v>191</v>
      </c>
      <c r="H1552" s="2"/>
      <c r="I1552" s="2"/>
    </row>
    <row r="1553" spans="1:9" x14ac:dyDescent="0.35">
      <c r="A1553" s="2" t="s">
        <v>886</v>
      </c>
      <c r="B1553" s="2" t="s">
        <v>54</v>
      </c>
      <c r="C1553" s="2" t="s">
        <v>1040</v>
      </c>
      <c r="D1553" s="2" t="s">
        <v>188</v>
      </c>
      <c r="E1553" s="2" t="s">
        <v>189</v>
      </c>
      <c r="F1553" s="2" t="s">
        <v>16</v>
      </c>
      <c r="G1553" s="2" t="s">
        <v>191</v>
      </c>
      <c r="H1553" s="2"/>
      <c r="I1553" s="2"/>
    </row>
    <row r="1554" spans="1:9" x14ac:dyDescent="0.35">
      <c r="A1554" s="2" t="s">
        <v>886</v>
      </c>
      <c r="B1554" s="2" t="s">
        <v>54</v>
      </c>
      <c r="C1554" s="2" t="s">
        <v>1040</v>
      </c>
      <c r="D1554" s="2" t="s">
        <v>1041</v>
      </c>
      <c r="E1554" s="2" t="s">
        <v>65</v>
      </c>
      <c r="F1554" s="2" t="s">
        <v>16</v>
      </c>
      <c r="G1554" s="2" t="s">
        <v>191</v>
      </c>
      <c r="H1554" s="2"/>
      <c r="I1554" s="2"/>
    </row>
    <row r="1555" spans="1:9" x14ac:dyDescent="0.35">
      <c r="A1555" s="2" t="s">
        <v>886</v>
      </c>
      <c r="B1555" s="2" t="s">
        <v>62</v>
      </c>
      <c r="C1555" s="2" t="s">
        <v>1042</v>
      </c>
      <c r="D1555" s="2" t="s">
        <v>172</v>
      </c>
      <c r="E1555" s="2" t="s">
        <v>65</v>
      </c>
      <c r="F1555" s="2"/>
      <c r="G1555" s="2"/>
      <c r="H1555" s="2"/>
      <c r="I1555" s="2"/>
    </row>
    <row r="1556" spans="1:9" x14ac:dyDescent="0.35">
      <c r="A1556" s="2" t="s">
        <v>886</v>
      </c>
      <c r="B1556" s="2" t="s">
        <v>62</v>
      </c>
      <c r="C1556" s="2" t="s">
        <v>1042</v>
      </c>
      <c r="D1556" s="2" t="s">
        <v>188</v>
      </c>
      <c r="E1556" s="2" t="s">
        <v>189</v>
      </c>
      <c r="F1556" s="2"/>
      <c r="G1556" s="2"/>
      <c r="H1556" s="2"/>
      <c r="I1556" s="2"/>
    </row>
    <row r="1557" spans="1:9" x14ac:dyDescent="0.35">
      <c r="A1557" s="2" t="s">
        <v>886</v>
      </c>
      <c r="B1557" s="2" t="s">
        <v>62</v>
      </c>
      <c r="C1557" s="2" t="s">
        <v>1043</v>
      </c>
      <c r="D1557" s="2" t="s">
        <v>106</v>
      </c>
      <c r="E1557" s="2" t="s">
        <v>107</v>
      </c>
      <c r="F1557" s="2"/>
      <c r="G1557" s="2"/>
      <c r="H1557" s="2"/>
      <c r="I1557" s="2"/>
    </row>
    <row r="1558" spans="1:9" x14ac:dyDescent="0.35">
      <c r="A1558" s="2" t="s">
        <v>886</v>
      </c>
      <c r="B1558" s="2" t="s">
        <v>54</v>
      </c>
      <c r="C1558" s="2" t="s">
        <v>1044</v>
      </c>
      <c r="D1558" s="2" t="s">
        <v>14</v>
      </c>
      <c r="E1558" s="2" t="s">
        <v>15</v>
      </c>
      <c r="F1558" s="2"/>
      <c r="G1558" s="2"/>
      <c r="H1558" s="2"/>
      <c r="I1558" s="2"/>
    </row>
    <row r="1559" spans="1:9" x14ac:dyDescent="0.35">
      <c r="A1559" s="2" t="s">
        <v>886</v>
      </c>
      <c r="B1559" s="2" t="s">
        <v>54</v>
      </c>
      <c r="C1559" s="2" t="s">
        <v>1044</v>
      </c>
      <c r="D1559" s="2" t="s">
        <v>416</v>
      </c>
      <c r="E1559" s="2" t="s">
        <v>38</v>
      </c>
      <c r="F1559" s="2" t="s">
        <v>16</v>
      </c>
      <c r="G1559" s="2" t="s">
        <v>1045</v>
      </c>
      <c r="H1559" s="2"/>
      <c r="I1559" s="2"/>
    </row>
    <row r="1560" spans="1:9" x14ac:dyDescent="0.35">
      <c r="A1560" s="2" t="s">
        <v>886</v>
      </c>
      <c r="B1560" s="2" t="s">
        <v>54</v>
      </c>
      <c r="C1560" s="2" t="s">
        <v>1044</v>
      </c>
      <c r="D1560" s="2" t="s">
        <v>91</v>
      </c>
      <c r="E1560" s="2" t="s">
        <v>19</v>
      </c>
      <c r="F1560" s="2" t="s">
        <v>20</v>
      </c>
      <c r="G1560" s="2" t="s">
        <v>1046</v>
      </c>
      <c r="H1560" s="2"/>
      <c r="I1560" s="2"/>
    </row>
    <row r="1561" spans="1:9" x14ac:dyDescent="0.35">
      <c r="A1561" s="2" t="s">
        <v>886</v>
      </c>
      <c r="B1561" s="2" t="s">
        <v>62</v>
      </c>
      <c r="C1561" s="2" t="s">
        <v>1047</v>
      </c>
      <c r="D1561" s="2" t="s">
        <v>31</v>
      </c>
      <c r="E1561" s="2" t="s">
        <v>32</v>
      </c>
      <c r="F1561" s="2"/>
      <c r="G1561" s="2"/>
      <c r="H1561" s="2"/>
      <c r="I1561" s="2"/>
    </row>
    <row r="1562" spans="1:9" x14ac:dyDescent="0.35">
      <c r="A1562" s="2" t="s">
        <v>886</v>
      </c>
      <c r="B1562" s="2" t="s">
        <v>62</v>
      </c>
      <c r="C1562" s="2" t="s">
        <v>1047</v>
      </c>
      <c r="D1562" s="2" t="s">
        <v>782</v>
      </c>
      <c r="E1562" s="2" t="s">
        <v>75</v>
      </c>
      <c r="F1562" s="2" t="s">
        <v>16</v>
      </c>
      <c r="G1562" s="2" t="s">
        <v>1048</v>
      </c>
      <c r="H1562" s="2"/>
      <c r="I1562" s="2"/>
    </row>
    <row r="1563" spans="1:9" x14ac:dyDescent="0.35">
      <c r="A1563" s="2" t="s">
        <v>886</v>
      </c>
      <c r="B1563" s="2" t="s">
        <v>62</v>
      </c>
      <c r="C1563" s="2" t="s">
        <v>1047</v>
      </c>
      <c r="D1563" s="2" t="s">
        <v>116</v>
      </c>
      <c r="E1563" s="2" t="s">
        <v>30</v>
      </c>
      <c r="F1563" s="2"/>
      <c r="G1563" s="2"/>
      <c r="H1563" s="2"/>
      <c r="I1563" s="2"/>
    </row>
    <row r="1564" spans="1:9" x14ac:dyDescent="0.35">
      <c r="A1564" s="2" t="s">
        <v>886</v>
      </c>
      <c r="B1564" s="2" t="s">
        <v>62</v>
      </c>
      <c r="C1564" s="2" t="s">
        <v>1049</v>
      </c>
      <c r="D1564" s="2" t="s">
        <v>317</v>
      </c>
      <c r="E1564" s="2" t="s">
        <v>318</v>
      </c>
      <c r="F1564" s="2"/>
      <c r="G1564" s="2"/>
      <c r="H1564" s="2"/>
      <c r="I1564" s="2"/>
    </row>
    <row r="1565" spans="1:9" x14ac:dyDescent="0.35">
      <c r="A1565" s="2" t="s">
        <v>886</v>
      </c>
      <c r="B1565" s="2" t="s">
        <v>62</v>
      </c>
      <c r="C1565" s="2" t="s">
        <v>1049</v>
      </c>
      <c r="D1565" s="2" t="s">
        <v>1050</v>
      </c>
      <c r="E1565" s="2" t="s">
        <v>75</v>
      </c>
      <c r="F1565" s="2"/>
      <c r="G1565" s="2"/>
      <c r="H1565" s="2"/>
      <c r="I1565" s="2"/>
    </row>
    <row r="1566" spans="1:9" x14ac:dyDescent="0.35">
      <c r="A1566" s="2" t="s">
        <v>886</v>
      </c>
      <c r="B1566" s="2" t="s">
        <v>62</v>
      </c>
      <c r="C1566" s="2" t="s">
        <v>1049</v>
      </c>
      <c r="D1566" s="2" t="s">
        <v>1051</v>
      </c>
      <c r="E1566" s="2" t="s">
        <v>318</v>
      </c>
      <c r="F1566" s="2"/>
      <c r="G1566" s="2"/>
      <c r="H1566" s="2"/>
      <c r="I1566" s="2"/>
    </row>
    <row r="1567" spans="1:9" x14ac:dyDescent="0.35">
      <c r="A1567" s="2" t="s">
        <v>886</v>
      </c>
      <c r="B1567" s="2" t="s">
        <v>62</v>
      </c>
      <c r="C1567" s="2" t="s">
        <v>1052</v>
      </c>
      <c r="D1567" s="2" t="s">
        <v>1053</v>
      </c>
      <c r="E1567" s="2" t="s">
        <v>533</v>
      </c>
      <c r="F1567" s="2"/>
      <c r="G1567" s="2"/>
      <c r="H1567" s="2"/>
      <c r="I1567" s="2"/>
    </row>
    <row r="1568" spans="1:9" x14ac:dyDescent="0.35">
      <c r="A1568" s="2" t="s">
        <v>886</v>
      </c>
      <c r="B1568" s="2" t="s">
        <v>62</v>
      </c>
      <c r="C1568" s="2" t="s">
        <v>1052</v>
      </c>
      <c r="D1568" s="2" t="s">
        <v>87</v>
      </c>
      <c r="E1568" s="2" t="s">
        <v>75</v>
      </c>
      <c r="F1568" s="2" t="s">
        <v>16</v>
      </c>
      <c r="G1568" s="2" t="s">
        <v>1054</v>
      </c>
      <c r="H1568" s="2"/>
      <c r="I1568" s="2"/>
    </row>
    <row r="1569" spans="1:9" x14ac:dyDescent="0.35">
      <c r="A1569" s="2" t="s">
        <v>886</v>
      </c>
      <c r="B1569" s="2" t="s">
        <v>62</v>
      </c>
      <c r="C1569" s="2" t="s">
        <v>1052</v>
      </c>
      <c r="D1569" s="2" t="s">
        <v>387</v>
      </c>
      <c r="E1569" s="2" t="s">
        <v>367</v>
      </c>
      <c r="F1569" s="2"/>
      <c r="G1569" s="2"/>
      <c r="H1569" s="2"/>
      <c r="I1569" s="2"/>
    </row>
    <row r="1570" spans="1:9" x14ac:dyDescent="0.35">
      <c r="A1570" s="2" t="s">
        <v>886</v>
      </c>
      <c r="B1570" s="2" t="s">
        <v>54</v>
      </c>
      <c r="C1570" s="2" t="s">
        <v>1055</v>
      </c>
      <c r="D1570" s="2" t="s">
        <v>31</v>
      </c>
      <c r="E1570" s="2" t="s">
        <v>32</v>
      </c>
      <c r="F1570" s="2" t="s">
        <v>46</v>
      </c>
      <c r="G1570" s="2" t="s">
        <v>675</v>
      </c>
      <c r="H1570" s="2"/>
      <c r="I1570" s="2"/>
    </row>
    <row r="1571" spans="1:9" x14ac:dyDescent="0.35">
      <c r="A1571" s="2" t="s">
        <v>886</v>
      </c>
      <c r="B1571" s="2" t="s">
        <v>54</v>
      </c>
      <c r="C1571" s="2" t="s">
        <v>1055</v>
      </c>
      <c r="D1571" s="2" t="s">
        <v>1056</v>
      </c>
      <c r="E1571" s="2" t="s">
        <v>38</v>
      </c>
      <c r="F1571" s="2" t="s">
        <v>46</v>
      </c>
      <c r="G1571" s="2" t="s">
        <v>675</v>
      </c>
      <c r="H1571" s="2"/>
      <c r="I1571" s="2"/>
    </row>
    <row r="1572" spans="1:9" x14ac:dyDescent="0.35">
      <c r="A1572" s="2" t="s">
        <v>886</v>
      </c>
      <c r="B1572" s="2" t="s">
        <v>54</v>
      </c>
      <c r="C1572" s="2" t="s">
        <v>1055</v>
      </c>
      <c r="D1572" s="2" t="s">
        <v>168</v>
      </c>
      <c r="E1572" s="2" t="s">
        <v>45</v>
      </c>
      <c r="F1572" s="2" t="s">
        <v>46</v>
      </c>
      <c r="G1572" s="2" t="s">
        <v>675</v>
      </c>
      <c r="H1572" s="2"/>
      <c r="I1572" s="2"/>
    </row>
    <row r="1573" spans="1:9" x14ac:dyDescent="0.35">
      <c r="A1573" s="2" t="s">
        <v>886</v>
      </c>
      <c r="B1573" s="2" t="s">
        <v>54</v>
      </c>
      <c r="C1573" s="2" t="s">
        <v>1055</v>
      </c>
      <c r="D1573" s="2" t="s">
        <v>1057</v>
      </c>
      <c r="E1573" s="2" t="s">
        <v>203</v>
      </c>
      <c r="F1573" s="2" t="s">
        <v>46</v>
      </c>
      <c r="G1573" s="2" t="s">
        <v>675</v>
      </c>
      <c r="H1573" s="2"/>
      <c r="I1573" s="2"/>
    </row>
    <row r="1574" spans="1:9" x14ac:dyDescent="0.35">
      <c r="A1574" s="2" t="s">
        <v>886</v>
      </c>
      <c r="B1574" s="2" t="s">
        <v>54</v>
      </c>
      <c r="C1574" s="2" t="s">
        <v>1055</v>
      </c>
      <c r="D1574" s="2" t="s">
        <v>100</v>
      </c>
      <c r="E1574" s="2" t="s">
        <v>101</v>
      </c>
      <c r="F1574" s="2" t="s">
        <v>46</v>
      </c>
      <c r="G1574" s="2" t="s">
        <v>675</v>
      </c>
      <c r="H1574" s="2"/>
      <c r="I1574" s="2"/>
    </row>
    <row r="1575" spans="1:9" x14ac:dyDescent="0.35">
      <c r="A1575" s="2" t="s">
        <v>886</v>
      </c>
      <c r="B1575" s="2" t="s">
        <v>54</v>
      </c>
      <c r="C1575" s="2" t="s">
        <v>1055</v>
      </c>
      <c r="D1575" s="2" t="s">
        <v>188</v>
      </c>
      <c r="E1575" s="2" t="s">
        <v>189</v>
      </c>
      <c r="F1575" s="2" t="s">
        <v>46</v>
      </c>
      <c r="G1575" s="2" t="s">
        <v>675</v>
      </c>
      <c r="H1575" s="2"/>
      <c r="I1575" s="2"/>
    </row>
    <row r="1576" spans="1:9" x14ac:dyDescent="0.35">
      <c r="A1576" s="2" t="s">
        <v>886</v>
      </c>
      <c r="B1576" s="2" t="s">
        <v>24</v>
      </c>
      <c r="C1576" s="2" t="s">
        <v>1058</v>
      </c>
      <c r="D1576" s="2" t="s">
        <v>38</v>
      </c>
      <c r="E1576" s="2" t="s">
        <v>38</v>
      </c>
      <c r="F1576" s="2"/>
      <c r="G1576" s="2"/>
      <c r="H1576" s="2"/>
      <c r="I1576" s="2"/>
    </row>
    <row r="1577" spans="1:9" x14ac:dyDescent="0.35">
      <c r="A1577" s="2" t="s">
        <v>886</v>
      </c>
      <c r="B1577" s="2" t="s">
        <v>24</v>
      </c>
      <c r="C1577" s="2" t="s">
        <v>1058</v>
      </c>
      <c r="D1577" s="2" t="s">
        <v>188</v>
      </c>
      <c r="E1577" s="2" t="s">
        <v>189</v>
      </c>
      <c r="F1577" s="2"/>
      <c r="G1577" s="2"/>
      <c r="H1577" s="2"/>
      <c r="I1577" s="2"/>
    </row>
    <row r="1578" spans="1:9" x14ac:dyDescent="0.35">
      <c r="A1578" s="2" t="s">
        <v>886</v>
      </c>
      <c r="B1578" s="2" t="s">
        <v>24</v>
      </c>
      <c r="C1578" s="2" t="s">
        <v>1058</v>
      </c>
      <c r="D1578" s="2" t="s">
        <v>42</v>
      </c>
      <c r="E1578" s="2" t="s">
        <v>43</v>
      </c>
      <c r="F1578" s="2"/>
      <c r="G1578" s="2"/>
      <c r="H1578" s="2"/>
      <c r="I1578" s="2"/>
    </row>
    <row r="1579" spans="1:9" x14ac:dyDescent="0.35">
      <c r="A1579" s="2" t="s">
        <v>886</v>
      </c>
      <c r="B1579" s="2" t="s">
        <v>24</v>
      </c>
      <c r="C1579" s="2" t="s">
        <v>1059</v>
      </c>
      <c r="D1579" s="2" t="s">
        <v>14</v>
      </c>
      <c r="E1579" s="2" t="s">
        <v>15</v>
      </c>
      <c r="F1579" s="2"/>
      <c r="G1579" s="2"/>
      <c r="H1579" s="2"/>
      <c r="I1579" s="2"/>
    </row>
    <row r="1580" spans="1:9" x14ac:dyDescent="0.35">
      <c r="A1580" s="2" t="s">
        <v>886</v>
      </c>
      <c r="B1580" s="2" t="s">
        <v>24</v>
      </c>
      <c r="C1580" s="2" t="s">
        <v>1059</v>
      </c>
      <c r="D1580" s="2" t="s">
        <v>31</v>
      </c>
      <c r="E1580" s="2" t="s">
        <v>32</v>
      </c>
      <c r="F1580" s="2"/>
      <c r="G1580" s="2"/>
      <c r="H1580" s="2"/>
      <c r="I1580" s="2"/>
    </row>
    <row r="1581" spans="1:9" x14ac:dyDescent="0.35">
      <c r="A1581" s="2" t="s">
        <v>886</v>
      </c>
      <c r="B1581" s="2" t="s">
        <v>24</v>
      </c>
      <c r="C1581" s="2" t="s">
        <v>1059</v>
      </c>
      <c r="D1581" s="2" t="s">
        <v>38</v>
      </c>
      <c r="E1581" s="2" t="s">
        <v>38</v>
      </c>
      <c r="F1581" s="2"/>
      <c r="G1581" s="2"/>
      <c r="H1581" s="2"/>
      <c r="I1581" s="2"/>
    </row>
    <row r="1582" spans="1:9" x14ac:dyDescent="0.35">
      <c r="A1582" s="2" t="s">
        <v>886</v>
      </c>
      <c r="B1582" s="2" t="s">
        <v>24</v>
      </c>
      <c r="C1582" s="2" t="s">
        <v>1059</v>
      </c>
      <c r="D1582" s="2" t="s">
        <v>954</v>
      </c>
      <c r="E1582" s="2" t="s">
        <v>955</v>
      </c>
      <c r="F1582" s="2"/>
      <c r="G1582" s="2"/>
      <c r="H1582" s="2"/>
      <c r="I1582" s="2"/>
    </row>
    <row r="1583" spans="1:9" x14ac:dyDescent="0.35">
      <c r="A1583" s="2" t="s">
        <v>886</v>
      </c>
      <c r="B1583" s="2" t="s">
        <v>24</v>
      </c>
      <c r="C1583" s="2" t="s">
        <v>1059</v>
      </c>
      <c r="D1583" s="2" t="s">
        <v>957</v>
      </c>
      <c r="E1583" s="2" t="s">
        <v>1060</v>
      </c>
      <c r="F1583" s="2"/>
      <c r="G1583" s="2"/>
      <c r="H1583" s="2"/>
      <c r="I1583" s="2"/>
    </row>
    <row r="1584" spans="1:9" x14ac:dyDescent="0.35">
      <c r="A1584" s="2" t="s">
        <v>886</v>
      </c>
      <c r="B1584" s="2" t="s">
        <v>24</v>
      </c>
      <c r="C1584" s="2" t="s">
        <v>1059</v>
      </c>
      <c r="D1584" s="2" t="s">
        <v>91</v>
      </c>
      <c r="E1584" s="2" t="s">
        <v>19</v>
      </c>
      <c r="F1584" s="2" t="s">
        <v>16</v>
      </c>
      <c r="G1584" s="2" t="s">
        <v>1061</v>
      </c>
      <c r="H1584" s="2"/>
      <c r="I1584" s="2"/>
    </row>
    <row r="1585" spans="1:9" x14ac:dyDescent="0.35">
      <c r="A1585" s="2" t="s">
        <v>886</v>
      </c>
      <c r="B1585" s="2" t="s">
        <v>24</v>
      </c>
      <c r="C1585" s="2" t="s">
        <v>1059</v>
      </c>
      <c r="D1585" s="2" t="s">
        <v>930</v>
      </c>
      <c r="E1585" s="2" t="s">
        <v>15</v>
      </c>
      <c r="F1585" s="2"/>
      <c r="G1585" s="2"/>
      <c r="H1585" s="2"/>
      <c r="I1585" s="2"/>
    </row>
    <row r="1586" spans="1:9" x14ac:dyDescent="0.35">
      <c r="A1586" s="2" t="s">
        <v>886</v>
      </c>
      <c r="B1586" s="2" t="s">
        <v>24</v>
      </c>
      <c r="C1586" s="2" t="s">
        <v>1059</v>
      </c>
      <c r="D1586" s="2" t="s">
        <v>417</v>
      </c>
      <c r="E1586" s="2" t="s">
        <v>40</v>
      </c>
      <c r="F1586" s="2"/>
      <c r="G1586" s="2"/>
      <c r="H1586" s="2"/>
      <c r="I1586" s="2"/>
    </row>
    <row r="1587" spans="1:9" x14ac:dyDescent="0.35">
      <c r="A1587" s="2" t="s">
        <v>886</v>
      </c>
      <c r="B1587" s="2" t="s">
        <v>24</v>
      </c>
      <c r="C1587" s="2" t="s">
        <v>1059</v>
      </c>
      <c r="D1587" s="2" t="s">
        <v>89</v>
      </c>
      <c r="E1587" s="2" t="s">
        <v>45</v>
      </c>
      <c r="F1587" s="2"/>
      <c r="G1587" s="2"/>
      <c r="H1587" s="2"/>
      <c r="I1587" s="2"/>
    </row>
    <row r="1588" spans="1:9" x14ac:dyDescent="0.35">
      <c r="A1588" s="2" t="s">
        <v>886</v>
      </c>
      <c r="B1588" s="2" t="s">
        <v>24</v>
      </c>
      <c r="C1588" s="2" t="s">
        <v>1059</v>
      </c>
      <c r="D1588" s="2" t="s">
        <v>188</v>
      </c>
      <c r="E1588" s="2" t="s">
        <v>189</v>
      </c>
      <c r="F1588" s="2"/>
      <c r="G1588" s="2"/>
      <c r="H1588" s="2"/>
      <c r="I1588" s="2"/>
    </row>
    <row r="1589" spans="1:9" x14ac:dyDescent="0.35">
      <c r="A1589" s="2" t="s">
        <v>886</v>
      </c>
      <c r="B1589" s="2" t="s">
        <v>24</v>
      </c>
      <c r="C1589" s="2" t="s">
        <v>1059</v>
      </c>
      <c r="D1589" s="2" t="s">
        <v>149</v>
      </c>
      <c r="E1589" s="2" t="s">
        <v>150</v>
      </c>
      <c r="F1589" s="2"/>
      <c r="G1589" s="2"/>
      <c r="H1589" s="2"/>
      <c r="I1589" s="2"/>
    </row>
    <row r="1590" spans="1:9" x14ac:dyDescent="0.35">
      <c r="A1590" s="2" t="s">
        <v>886</v>
      </c>
      <c r="B1590" s="2" t="s">
        <v>12</v>
      </c>
      <c r="C1590" s="2" t="s">
        <v>1062</v>
      </c>
      <c r="D1590" s="2" t="s">
        <v>485</v>
      </c>
      <c r="E1590" s="2" t="s">
        <v>15</v>
      </c>
      <c r="F1590" s="2" t="s">
        <v>46</v>
      </c>
      <c r="G1590" s="2" t="s">
        <v>910</v>
      </c>
      <c r="H1590" s="2"/>
      <c r="I1590" s="2"/>
    </row>
    <row r="1591" spans="1:9" x14ac:dyDescent="0.35">
      <c r="A1591" s="2" t="s">
        <v>886</v>
      </c>
      <c r="B1591" s="2" t="s">
        <v>12</v>
      </c>
      <c r="C1591" s="2" t="s">
        <v>1062</v>
      </c>
      <c r="D1591" s="2" t="s">
        <v>998</v>
      </c>
      <c r="E1591" s="2" t="s">
        <v>40</v>
      </c>
      <c r="F1591" s="2" t="s">
        <v>46</v>
      </c>
      <c r="G1591" s="2" t="s">
        <v>910</v>
      </c>
      <c r="H1591" s="2"/>
      <c r="I1591" s="2"/>
    </row>
    <row r="1592" spans="1:9" x14ac:dyDescent="0.35">
      <c r="A1592" s="2" t="s">
        <v>886</v>
      </c>
      <c r="B1592" s="2" t="s">
        <v>12</v>
      </c>
      <c r="C1592" s="2" t="s">
        <v>1062</v>
      </c>
      <c r="D1592" s="2" t="s">
        <v>31</v>
      </c>
      <c r="E1592" s="2" t="s">
        <v>32</v>
      </c>
      <c r="F1592" s="2" t="s">
        <v>46</v>
      </c>
      <c r="G1592" s="2" t="s">
        <v>910</v>
      </c>
      <c r="H1592" s="2"/>
      <c r="I1592" s="2"/>
    </row>
    <row r="1593" spans="1:9" x14ac:dyDescent="0.35">
      <c r="A1593" s="2" t="s">
        <v>886</v>
      </c>
      <c r="B1593" s="2" t="s">
        <v>12</v>
      </c>
      <c r="C1593" s="2" t="s">
        <v>1062</v>
      </c>
      <c r="D1593" s="2" t="s">
        <v>172</v>
      </c>
      <c r="E1593" s="2" t="s">
        <v>65</v>
      </c>
      <c r="F1593" s="2" t="s">
        <v>46</v>
      </c>
      <c r="G1593" s="2" t="s">
        <v>910</v>
      </c>
      <c r="H1593" s="2"/>
      <c r="I1593" s="2"/>
    </row>
    <row r="1594" spans="1:9" x14ac:dyDescent="0.35">
      <c r="A1594" s="2" t="s">
        <v>886</v>
      </c>
      <c r="B1594" s="2" t="s">
        <v>12</v>
      </c>
      <c r="C1594" s="2" t="s">
        <v>1062</v>
      </c>
      <c r="D1594" s="2" t="s">
        <v>121</v>
      </c>
      <c r="E1594" s="2" t="s">
        <v>122</v>
      </c>
      <c r="F1594" s="2" t="s">
        <v>46</v>
      </c>
      <c r="G1594" s="2" t="s">
        <v>910</v>
      </c>
      <c r="H1594" s="2"/>
      <c r="I1594" s="2"/>
    </row>
    <row r="1595" spans="1:9" x14ac:dyDescent="0.35">
      <c r="A1595" s="2" t="s">
        <v>886</v>
      </c>
      <c r="B1595" s="2" t="s">
        <v>12</v>
      </c>
      <c r="C1595" s="2" t="s">
        <v>1062</v>
      </c>
      <c r="D1595" s="2" t="s">
        <v>188</v>
      </c>
      <c r="E1595" s="2" t="s">
        <v>189</v>
      </c>
      <c r="F1595" s="2" t="s">
        <v>46</v>
      </c>
      <c r="G1595" s="2" t="s">
        <v>910</v>
      </c>
      <c r="H1595" s="2"/>
      <c r="I1595" s="2"/>
    </row>
    <row r="1596" spans="1:9" x14ac:dyDescent="0.35">
      <c r="A1596" s="2" t="s">
        <v>886</v>
      </c>
      <c r="B1596" s="2" t="s">
        <v>24</v>
      </c>
      <c r="C1596" s="2" t="s">
        <v>1063</v>
      </c>
      <c r="D1596" s="2" t="s">
        <v>77</v>
      </c>
      <c r="E1596" s="2" t="s">
        <v>78</v>
      </c>
      <c r="F1596" s="2"/>
      <c r="G1596" s="2"/>
      <c r="H1596" s="2"/>
      <c r="I1596" s="2"/>
    </row>
    <row r="1597" spans="1:9" x14ac:dyDescent="0.35">
      <c r="A1597" s="2" t="s">
        <v>886</v>
      </c>
      <c r="B1597" s="2" t="s">
        <v>24</v>
      </c>
      <c r="C1597" s="2" t="s">
        <v>1063</v>
      </c>
      <c r="D1597" s="2" t="s">
        <v>18</v>
      </c>
      <c r="E1597" s="2" t="s">
        <v>19</v>
      </c>
      <c r="F1597" s="2" t="s">
        <v>20</v>
      </c>
      <c r="G1597" s="2" t="s">
        <v>1064</v>
      </c>
      <c r="H1597" s="2"/>
      <c r="I1597" s="2"/>
    </row>
    <row r="1598" spans="1:9" x14ac:dyDescent="0.35">
      <c r="A1598" s="2" t="s">
        <v>886</v>
      </c>
      <c r="B1598" s="2" t="s">
        <v>24</v>
      </c>
      <c r="C1598" s="2" t="s">
        <v>1063</v>
      </c>
      <c r="D1598" s="2" t="s">
        <v>513</v>
      </c>
      <c r="E1598" s="2" t="s">
        <v>203</v>
      </c>
      <c r="F1598" s="2"/>
      <c r="G1598" s="2"/>
      <c r="H1598" s="2"/>
      <c r="I1598" s="2"/>
    </row>
    <row r="1599" spans="1:9" x14ac:dyDescent="0.35">
      <c r="A1599" s="2" t="s">
        <v>886</v>
      </c>
      <c r="B1599" s="2" t="s">
        <v>12</v>
      </c>
      <c r="C1599" s="2" t="s">
        <v>1065</v>
      </c>
      <c r="D1599" s="2" t="s">
        <v>172</v>
      </c>
      <c r="E1599" s="2" t="s">
        <v>65</v>
      </c>
      <c r="F1599" s="2"/>
      <c r="G1599" s="2"/>
      <c r="H1599" s="2"/>
      <c r="I1599" s="2"/>
    </row>
    <row r="1600" spans="1:9" x14ac:dyDescent="0.35">
      <c r="A1600" s="2" t="s">
        <v>886</v>
      </c>
      <c r="B1600" s="2" t="s">
        <v>12</v>
      </c>
      <c r="C1600" s="2" t="s">
        <v>1065</v>
      </c>
      <c r="D1600" s="2" t="s">
        <v>469</v>
      </c>
      <c r="E1600" s="2" t="s">
        <v>40</v>
      </c>
      <c r="F1600" s="2"/>
      <c r="G1600" s="2"/>
      <c r="H1600" s="2"/>
      <c r="I1600" s="2"/>
    </row>
    <row r="1601" spans="1:9" x14ac:dyDescent="0.35">
      <c r="A1601" s="2" t="s">
        <v>886</v>
      </c>
      <c r="B1601" s="2" t="s">
        <v>12</v>
      </c>
      <c r="C1601" s="2" t="s">
        <v>1065</v>
      </c>
      <c r="D1601" s="2" t="s">
        <v>18</v>
      </c>
      <c r="E1601" s="2" t="s">
        <v>19</v>
      </c>
      <c r="F1601" s="2" t="s">
        <v>16</v>
      </c>
      <c r="G1601" s="2" t="s">
        <v>1066</v>
      </c>
      <c r="H1601" s="2"/>
      <c r="I1601" s="2"/>
    </row>
    <row r="1602" spans="1:9" x14ac:dyDescent="0.35">
      <c r="A1602" s="2" t="s">
        <v>886</v>
      </c>
      <c r="B1602" s="2" t="s">
        <v>12</v>
      </c>
      <c r="C1602" s="2" t="s">
        <v>1067</v>
      </c>
      <c r="D1602" s="2" t="s">
        <v>172</v>
      </c>
      <c r="E1602" s="2" t="s">
        <v>65</v>
      </c>
      <c r="F1602" s="2"/>
      <c r="G1602" s="2"/>
      <c r="H1602" s="2"/>
      <c r="I1602" s="2"/>
    </row>
    <row r="1603" spans="1:9" x14ac:dyDescent="0.35">
      <c r="A1603" s="2" t="s">
        <v>886</v>
      </c>
      <c r="B1603" s="2" t="s">
        <v>12</v>
      </c>
      <c r="C1603" s="2" t="s">
        <v>1067</v>
      </c>
      <c r="D1603" s="2" t="s">
        <v>213</v>
      </c>
      <c r="E1603" s="2" t="s">
        <v>45</v>
      </c>
      <c r="F1603" s="2"/>
      <c r="G1603" s="2"/>
      <c r="H1603" s="2"/>
      <c r="I1603" s="2"/>
    </row>
    <row r="1604" spans="1:9" x14ac:dyDescent="0.35">
      <c r="A1604" s="2" t="s">
        <v>886</v>
      </c>
      <c r="B1604" s="2" t="s">
        <v>12</v>
      </c>
      <c r="C1604" s="2" t="s">
        <v>1067</v>
      </c>
      <c r="D1604" s="2" t="s">
        <v>258</v>
      </c>
      <c r="E1604" s="2" t="s">
        <v>259</v>
      </c>
      <c r="F1604" s="2"/>
      <c r="G1604" s="2"/>
      <c r="H1604" s="2"/>
      <c r="I1604" s="2"/>
    </row>
    <row r="1605" spans="1:9" x14ac:dyDescent="0.35">
      <c r="A1605" s="2" t="s">
        <v>886</v>
      </c>
      <c r="B1605" s="2" t="s">
        <v>12</v>
      </c>
      <c r="C1605" s="2" t="s">
        <v>1067</v>
      </c>
      <c r="D1605" s="2" t="s">
        <v>18</v>
      </c>
      <c r="E1605" s="2" t="s">
        <v>19</v>
      </c>
      <c r="F1605" s="2" t="s">
        <v>16</v>
      </c>
      <c r="G1605" s="2" t="s">
        <v>1068</v>
      </c>
      <c r="H1605" s="2"/>
      <c r="I1605" s="2"/>
    </row>
    <row r="1606" spans="1:9" x14ac:dyDescent="0.35">
      <c r="A1606" s="2" t="s">
        <v>886</v>
      </c>
      <c r="B1606" s="2" t="s">
        <v>24</v>
      </c>
      <c r="C1606" s="2" t="s">
        <v>1069</v>
      </c>
      <c r="D1606" s="2" t="s">
        <v>196</v>
      </c>
      <c r="E1606" s="2" t="s">
        <v>197</v>
      </c>
      <c r="F1606" s="2"/>
      <c r="G1606" s="2"/>
      <c r="H1606" s="2"/>
      <c r="I1606" s="2"/>
    </row>
    <row r="1607" spans="1:9" x14ac:dyDescent="0.35">
      <c r="A1607" s="2" t="s">
        <v>886</v>
      </c>
      <c r="B1607" s="2" t="s">
        <v>24</v>
      </c>
      <c r="C1607" s="2" t="s">
        <v>1069</v>
      </c>
      <c r="D1607" s="2" t="s">
        <v>14</v>
      </c>
      <c r="E1607" s="2" t="s">
        <v>15</v>
      </c>
      <c r="F1607" s="2"/>
      <c r="G1607" s="2"/>
      <c r="H1607" s="2"/>
      <c r="I1607" s="2"/>
    </row>
    <row r="1608" spans="1:9" x14ac:dyDescent="0.35">
      <c r="A1608" s="2" t="s">
        <v>886</v>
      </c>
      <c r="B1608" s="2" t="s">
        <v>24</v>
      </c>
      <c r="C1608" s="2" t="s">
        <v>1069</v>
      </c>
      <c r="D1608" s="2" t="s">
        <v>31</v>
      </c>
      <c r="E1608" s="2" t="s">
        <v>32</v>
      </c>
      <c r="F1608" s="2"/>
      <c r="G1608" s="2"/>
      <c r="H1608" s="2"/>
      <c r="I1608" s="2"/>
    </row>
    <row r="1609" spans="1:9" x14ac:dyDescent="0.35">
      <c r="A1609" s="2" t="s">
        <v>886</v>
      </c>
      <c r="B1609" s="2" t="s">
        <v>24</v>
      </c>
      <c r="C1609" s="2" t="s">
        <v>1069</v>
      </c>
      <c r="D1609" s="2" t="s">
        <v>200</v>
      </c>
      <c r="E1609" s="2" t="s">
        <v>201</v>
      </c>
      <c r="F1609" s="2"/>
      <c r="G1609" s="2"/>
      <c r="H1609" s="2"/>
      <c r="I1609" s="2"/>
    </row>
    <row r="1610" spans="1:9" x14ac:dyDescent="0.35">
      <c r="A1610" s="2" t="s">
        <v>886</v>
      </c>
      <c r="B1610" s="2" t="s">
        <v>24</v>
      </c>
      <c r="C1610" s="2" t="s">
        <v>1069</v>
      </c>
      <c r="D1610" s="2" t="s">
        <v>96</v>
      </c>
      <c r="E1610" s="2" t="s">
        <v>83</v>
      </c>
      <c r="F1610" s="2"/>
      <c r="G1610" s="2"/>
      <c r="H1610" s="2"/>
      <c r="I1610" s="2"/>
    </row>
    <row r="1611" spans="1:9" x14ac:dyDescent="0.35">
      <c r="A1611" s="2" t="s">
        <v>886</v>
      </c>
      <c r="B1611" s="2" t="s">
        <v>24</v>
      </c>
      <c r="C1611" s="2" t="s">
        <v>1069</v>
      </c>
      <c r="D1611" s="2" t="s">
        <v>957</v>
      </c>
      <c r="E1611" s="2" t="s">
        <v>1060</v>
      </c>
      <c r="F1611" s="2"/>
      <c r="G1611" s="2"/>
      <c r="H1611" s="2"/>
      <c r="I1611" s="2"/>
    </row>
    <row r="1612" spans="1:9" x14ac:dyDescent="0.35">
      <c r="A1612" s="2" t="s">
        <v>886</v>
      </c>
      <c r="B1612" s="2" t="s">
        <v>24</v>
      </c>
      <c r="C1612" s="2" t="s">
        <v>1069</v>
      </c>
      <c r="D1612" s="2" t="s">
        <v>213</v>
      </c>
      <c r="E1612" s="2" t="s">
        <v>45</v>
      </c>
      <c r="F1612" s="2"/>
      <c r="G1612" s="2"/>
      <c r="H1612" s="2"/>
      <c r="I1612" s="2"/>
    </row>
    <row r="1613" spans="1:9" x14ac:dyDescent="0.35">
      <c r="A1613" s="2" t="s">
        <v>886</v>
      </c>
      <c r="B1613" s="2" t="s">
        <v>24</v>
      </c>
      <c r="C1613" s="2" t="s">
        <v>1069</v>
      </c>
      <c r="D1613" s="2" t="s">
        <v>156</v>
      </c>
      <c r="E1613" s="2" t="s">
        <v>45</v>
      </c>
      <c r="F1613" s="2" t="s">
        <v>16</v>
      </c>
      <c r="G1613" s="2" t="s">
        <v>1070</v>
      </c>
      <c r="H1613" s="2"/>
      <c r="I1613" s="2"/>
    </row>
    <row r="1614" spans="1:9" x14ac:dyDescent="0.35">
      <c r="A1614" s="2" t="s">
        <v>886</v>
      </c>
      <c r="B1614" s="2" t="s">
        <v>24</v>
      </c>
      <c r="C1614" s="2" t="s">
        <v>1069</v>
      </c>
      <c r="D1614" s="2" t="s">
        <v>77</v>
      </c>
      <c r="E1614" s="2" t="s">
        <v>78</v>
      </c>
      <c r="F1614" s="2"/>
      <c r="G1614" s="2"/>
      <c r="H1614" s="2"/>
      <c r="I1614" s="2"/>
    </row>
    <row r="1615" spans="1:9" x14ac:dyDescent="0.35">
      <c r="A1615" s="2" t="s">
        <v>886</v>
      </c>
      <c r="B1615" s="2" t="s">
        <v>24</v>
      </c>
      <c r="C1615" s="2" t="s">
        <v>1069</v>
      </c>
      <c r="D1615" s="2" t="s">
        <v>417</v>
      </c>
      <c r="E1615" s="2" t="s">
        <v>40</v>
      </c>
      <c r="F1615" s="2"/>
      <c r="G1615" s="2"/>
      <c r="H1615" s="2"/>
      <c r="I1615" s="2"/>
    </row>
    <row r="1616" spans="1:9" x14ac:dyDescent="0.35">
      <c r="A1616" s="2" t="s">
        <v>886</v>
      </c>
      <c r="B1616" s="2" t="s">
        <v>24</v>
      </c>
      <c r="C1616" s="2" t="s">
        <v>1069</v>
      </c>
      <c r="D1616" s="2" t="s">
        <v>100</v>
      </c>
      <c r="E1616" s="2" t="s">
        <v>101</v>
      </c>
      <c r="F1616" s="2"/>
      <c r="G1616" s="2"/>
      <c r="H1616" s="2"/>
      <c r="I1616" s="2"/>
    </row>
    <row r="1617" spans="1:9" x14ac:dyDescent="0.35">
      <c r="A1617" s="2" t="s">
        <v>886</v>
      </c>
      <c r="B1617" s="2" t="s">
        <v>24</v>
      </c>
      <c r="C1617" s="2" t="s">
        <v>1069</v>
      </c>
      <c r="D1617" s="2" t="s">
        <v>188</v>
      </c>
      <c r="E1617" s="2" t="s">
        <v>189</v>
      </c>
      <c r="F1617" s="2"/>
      <c r="G1617" s="2"/>
      <c r="H1617" s="2"/>
      <c r="I1617" s="2"/>
    </row>
    <row r="1618" spans="1:9" x14ac:dyDescent="0.35">
      <c r="A1618" s="2" t="s">
        <v>886</v>
      </c>
      <c r="B1618" s="2" t="s">
        <v>24</v>
      </c>
      <c r="C1618" s="2" t="s">
        <v>1069</v>
      </c>
      <c r="D1618" s="2" t="s">
        <v>149</v>
      </c>
      <c r="E1618" s="2" t="s">
        <v>150</v>
      </c>
      <c r="F1618" s="2"/>
      <c r="G1618" s="2"/>
      <c r="H1618" s="2"/>
      <c r="I1618" s="2"/>
    </row>
    <row r="1619" spans="1:9" x14ac:dyDescent="0.35">
      <c r="A1619" s="2" t="s">
        <v>886</v>
      </c>
      <c r="B1619" s="2" t="s">
        <v>24</v>
      </c>
      <c r="C1619" s="2" t="s">
        <v>1069</v>
      </c>
      <c r="D1619" s="2" t="s">
        <v>193</v>
      </c>
      <c r="E1619" s="2" t="s">
        <v>40</v>
      </c>
      <c r="F1619" s="2"/>
      <c r="G1619" s="2"/>
      <c r="H1619" s="2"/>
      <c r="I1619" s="2"/>
    </row>
    <row r="1620" spans="1:9" x14ac:dyDescent="0.35">
      <c r="A1620" s="2" t="s">
        <v>886</v>
      </c>
      <c r="B1620" s="2" t="s">
        <v>24</v>
      </c>
      <c r="C1620" s="2" t="s">
        <v>1069</v>
      </c>
      <c r="D1620" s="2" t="s">
        <v>1071</v>
      </c>
      <c r="E1620" s="2" t="s">
        <v>40</v>
      </c>
      <c r="F1620" s="2"/>
      <c r="G1620" s="2"/>
      <c r="H1620" s="2"/>
      <c r="I1620" s="2"/>
    </row>
    <row r="1621" spans="1:9" x14ac:dyDescent="0.35">
      <c r="A1621" s="2" t="s">
        <v>886</v>
      </c>
      <c r="B1621" s="2" t="s">
        <v>24</v>
      </c>
      <c r="C1621" s="2" t="s">
        <v>1069</v>
      </c>
      <c r="D1621" s="2" t="s">
        <v>965</v>
      </c>
      <c r="E1621" s="2" t="s">
        <v>363</v>
      </c>
      <c r="F1621" s="2"/>
      <c r="G1621" s="2"/>
      <c r="H1621" s="2"/>
      <c r="I1621" s="2"/>
    </row>
    <row r="1622" spans="1:9" x14ac:dyDescent="0.35">
      <c r="A1622" s="2" t="s">
        <v>886</v>
      </c>
      <c r="B1622" s="2" t="s">
        <v>62</v>
      </c>
      <c r="C1622" s="2" t="s">
        <v>1072</v>
      </c>
      <c r="D1622" s="2" t="s">
        <v>106</v>
      </c>
      <c r="E1622" s="2" t="s">
        <v>107</v>
      </c>
      <c r="F1622" s="2"/>
      <c r="G1622" s="2"/>
      <c r="H1622" s="2"/>
      <c r="I1622" s="2"/>
    </row>
    <row r="1623" spans="1:9" x14ac:dyDescent="0.35">
      <c r="A1623" s="2" t="s">
        <v>886</v>
      </c>
      <c r="B1623" s="2" t="s">
        <v>62</v>
      </c>
      <c r="C1623" s="2" t="s">
        <v>1073</v>
      </c>
      <c r="D1623" s="2" t="s">
        <v>106</v>
      </c>
      <c r="E1623" s="2" t="s">
        <v>107</v>
      </c>
      <c r="F1623" s="2"/>
      <c r="G1623" s="2"/>
      <c r="H1623" s="2"/>
      <c r="I1623" s="2"/>
    </row>
    <row r="1624" spans="1:9" x14ac:dyDescent="0.35">
      <c r="A1624" s="2" t="s">
        <v>886</v>
      </c>
      <c r="B1624" s="2" t="s">
        <v>62</v>
      </c>
      <c r="C1624" s="2" t="s">
        <v>1074</v>
      </c>
      <c r="D1624" s="2" t="s">
        <v>106</v>
      </c>
      <c r="E1624" s="2" t="s">
        <v>107</v>
      </c>
      <c r="F1624" s="2"/>
      <c r="G1624" s="2"/>
      <c r="H1624" s="2"/>
      <c r="I1624" s="2"/>
    </row>
    <row r="1625" spans="1:9" x14ac:dyDescent="0.35">
      <c r="A1625" s="2" t="s">
        <v>886</v>
      </c>
      <c r="B1625" s="2" t="s">
        <v>62</v>
      </c>
      <c r="C1625" s="2" t="s">
        <v>1075</v>
      </c>
      <c r="D1625" s="2" t="s">
        <v>782</v>
      </c>
      <c r="E1625" s="2" t="s">
        <v>75</v>
      </c>
      <c r="F1625" s="2" t="s">
        <v>46</v>
      </c>
      <c r="G1625" s="2" t="s">
        <v>675</v>
      </c>
      <c r="H1625" s="2"/>
      <c r="I1625" s="2"/>
    </row>
    <row r="1626" spans="1:9" x14ac:dyDescent="0.35">
      <c r="A1626" s="2" t="s">
        <v>886</v>
      </c>
      <c r="B1626" s="2" t="s">
        <v>62</v>
      </c>
      <c r="C1626" s="2" t="s">
        <v>1075</v>
      </c>
      <c r="D1626" s="2" t="s">
        <v>352</v>
      </c>
      <c r="E1626" s="2" t="s">
        <v>107</v>
      </c>
      <c r="F1626" s="2" t="s">
        <v>46</v>
      </c>
      <c r="G1626" s="2" t="s">
        <v>675</v>
      </c>
      <c r="H1626" s="2"/>
      <c r="I1626" s="2"/>
    </row>
    <row r="1627" spans="1:9" x14ac:dyDescent="0.35">
      <c r="A1627" s="2" t="s">
        <v>886</v>
      </c>
      <c r="B1627" s="2" t="s">
        <v>24</v>
      </c>
      <c r="C1627" s="2" t="s">
        <v>1076</v>
      </c>
      <c r="D1627" s="2" t="s">
        <v>196</v>
      </c>
      <c r="E1627" s="2" t="s">
        <v>197</v>
      </c>
      <c r="F1627" s="2"/>
      <c r="G1627" s="2"/>
      <c r="H1627" s="2"/>
      <c r="I1627" s="2"/>
    </row>
    <row r="1628" spans="1:9" x14ac:dyDescent="0.35">
      <c r="A1628" s="2" t="s">
        <v>886</v>
      </c>
      <c r="B1628" s="2" t="s">
        <v>24</v>
      </c>
      <c r="C1628" s="2" t="s">
        <v>1076</v>
      </c>
      <c r="D1628" s="2" t="s">
        <v>31</v>
      </c>
      <c r="E1628" s="2" t="s">
        <v>32</v>
      </c>
      <c r="F1628" s="2"/>
      <c r="G1628" s="2"/>
      <c r="H1628" s="2"/>
      <c r="I1628" s="2"/>
    </row>
    <row r="1629" spans="1:9" x14ac:dyDescent="0.35">
      <c r="A1629" s="2" t="s">
        <v>886</v>
      </c>
      <c r="B1629" s="2" t="s">
        <v>24</v>
      </c>
      <c r="C1629" s="2" t="s">
        <v>1076</v>
      </c>
      <c r="D1629" s="2" t="s">
        <v>172</v>
      </c>
      <c r="E1629" s="2" t="s">
        <v>65</v>
      </c>
      <c r="F1629" s="2"/>
      <c r="G1629" s="2"/>
      <c r="H1629" s="2"/>
      <c r="I1629" s="2"/>
    </row>
    <row r="1630" spans="1:9" x14ac:dyDescent="0.35">
      <c r="A1630" s="2" t="s">
        <v>886</v>
      </c>
      <c r="B1630" s="2" t="s">
        <v>24</v>
      </c>
      <c r="C1630" s="2" t="s">
        <v>1076</v>
      </c>
      <c r="D1630" s="2" t="s">
        <v>211</v>
      </c>
      <c r="E1630" s="2" t="s">
        <v>203</v>
      </c>
      <c r="F1630" s="2"/>
      <c r="G1630" s="2"/>
      <c r="H1630" s="2"/>
      <c r="I1630" s="2"/>
    </row>
    <row r="1631" spans="1:9" x14ac:dyDescent="0.35">
      <c r="A1631" s="2" t="s">
        <v>886</v>
      </c>
      <c r="B1631" s="2" t="s">
        <v>24</v>
      </c>
      <c r="C1631" s="2" t="s">
        <v>1076</v>
      </c>
      <c r="D1631" s="2" t="s">
        <v>38</v>
      </c>
      <c r="E1631" s="2" t="s">
        <v>38</v>
      </c>
      <c r="F1631" s="2"/>
      <c r="G1631" s="2"/>
      <c r="H1631" s="2"/>
      <c r="I1631" s="2"/>
    </row>
    <row r="1632" spans="1:9" x14ac:dyDescent="0.35">
      <c r="A1632" s="2" t="s">
        <v>886</v>
      </c>
      <c r="B1632" s="2" t="s">
        <v>24</v>
      </c>
      <c r="C1632" s="2" t="s">
        <v>1076</v>
      </c>
      <c r="D1632" s="2" t="s">
        <v>156</v>
      </c>
      <c r="E1632" s="2" t="s">
        <v>45</v>
      </c>
      <c r="F1632" s="2"/>
      <c r="G1632" s="2"/>
      <c r="H1632" s="2"/>
      <c r="I1632" s="2"/>
    </row>
    <row r="1633" spans="1:9" x14ac:dyDescent="0.35">
      <c r="A1633" s="2" t="s">
        <v>886</v>
      </c>
      <c r="B1633" s="2" t="s">
        <v>24</v>
      </c>
      <c r="C1633" s="2" t="s">
        <v>1076</v>
      </c>
      <c r="D1633" s="2" t="s">
        <v>77</v>
      </c>
      <c r="E1633" s="2" t="s">
        <v>78</v>
      </c>
      <c r="F1633" s="2"/>
      <c r="G1633" s="2"/>
      <c r="H1633" s="2"/>
      <c r="I1633" s="2"/>
    </row>
    <row r="1634" spans="1:9" x14ac:dyDescent="0.35">
      <c r="A1634" s="2" t="s">
        <v>886</v>
      </c>
      <c r="B1634" s="2" t="s">
        <v>62</v>
      </c>
      <c r="C1634" s="2" t="s">
        <v>1077</v>
      </c>
      <c r="D1634" s="2" t="s">
        <v>106</v>
      </c>
      <c r="E1634" s="2" t="s">
        <v>107</v>
      </c>
      <c r="F1634" s="2"/>
      <c r="G1634" s="2"/>
      <c r="H1634" s="2"/>
      <c r="I1634" s="2"/>
    </row>
    <row r="1635" spans="1:9" x14ac:dyDescent="0.35">
      <c r="A1635" s="2" t="s">
        <v>886</v>
      </c>
      <c r="B1635" s="2" t="s">
        <v>24</v>
      </c>
      <c r="C1635" s="2" t="s">
        <v>1078</v>
      </c>
      <c r="D1635" s="2" t="s">
        <v>1079</v>
      </c>
      <c r="E1635" s="2" t="s">
        <v>38</v>
      </c>
      <c r="F1635" s="2" t="s">
        <v>16</v>
      </c>
      <c r="G1635" s="2" t="s">
        <v>1080</v>
      </c>
      <c r="H1635" s="2"/>
      <c r="I1635" s="2"/>
    </row>
    <row r="1636" spans="1:9" x14ac:dyDescent="0.35">
      <c r="A1636" s="2" t="s">
        <v>886</v>
      </c>
      <c r="B1636" s="2" t="s">
        <v>24</v>
      </c>
      <c r="C1636" s="2" t="s">
        <v>1078</v>
      </c>
      <c r="D1636" s="2" t="s">
        <v>31</v>
      </c>
      <c r="E1636" s="2" t="s">
        <v>32</v>
      </c>
      <c r="F1636" s="2" t="s">
        <v>16</v>
      </c>
      <c r="G1636" s="2" t="s">
        <v>1080</v>
      </c>
      <c r="H1636" s="2"/>
      <c r="I1636" s="2"/>
    </row>
    <row r="1637" spans="1:9" x14ac:dyDescent="0.35">
      <c r="A1637" s="2" t="s">
        <v>886</v>
      </c>
      <c r="B1637" s="2" t="s">
        <v>24</v>
      </c>
      <c r="C1637" s="2" t="s">
        <v>1078</v>
      </c>
      <c r="D1637" s="2" t="s">
        <v>156</v>
      </c>
      <c r="E1637" s="2" t="s">
        <v>45</v>
      </c>
      <c r="F1637" s="2" t="s">
        <v>16</v>
      </c>
      <c r="G1637" s="2" t="s">
        <v>1080</v>
      </c>
      <c r="H1637" s="2"/>
      <c r="I1637" s="2"/>
    </row>
    <row r="1638" spans="1:9" x14ac:dyDescent="0.35">
      <c r="A1638" s="2" t="s">
        <v>886</v>
      </c>
      <c r="B1638" s="2" t="s">
        <v>24</v>
      </c>
      <c r="C1638" s="2" t="s">
        <v>1078</v>
      </c>
      <c r="D1638" s="2" t="s">
        <v>18</v>
      </c>
      <c r="E1638" s="2" t="s">
        <v>19</v>
      </c>
      <c r="F1638" s="2" t="s">
        <v>16</v>
      </c>
      <c r="G1638" s="2" t="s">
        <v>1080</v>
      </c>
      <c r="H1638" s="2"/>
      <c r="I1638" s="2"/>
    </row>
    <row r="1639" spans="1:9" x14ac:dyDescent="0.35">
      <c r="A1639" s="2" t="s">
        <v>886</v>
      </c>
      <c r="B1639" s="2" t="s">
        <v>24</v>
      </c>
      <c r="C1639" s="2" t="s">
        <v>1078</v>
      </c>
      <c r="D1639" s="2" t="s">
        <v>302</v>
      </c>
      <c r="E1639" s="2" t="s">
        <v>65</v>
      </c>
      <c r="F1639" s="2" t="s">
        <v>16</v>
      </c>
      <c r="G1639" s="2" t="s">
        <v>1080</v>
      </c>
      <c r="H1639" s="2"/>
      <c r="I1639" s="2"/>
    </row>
    <row r="1640" spans="1:9" x14ac:dyDescent="0.35">
      <c r="A1640" s="2" t="s">
        <v>886</v>
      </c>
      <c r="B1640" s="2" t="s">
        <v>24</v>
      </c>
      <c r="C1640" s="2" t="s">
        <v>1081</v>
      </c>
      <c r="D1640" s="2" t="s">
        <v>196</v>
      </c>
      <c r="E1640" s="2" t="s">
        <v>197</v>
      </c>
      <c r="F1640" s="2"/>
      <c r="G1640" s="2"/>
      <c r="H1640" s="2"/>
      <c r="I1640" s="2"/>
    </row>
    <row r="1641" spans="1:9" x14ac:dyDescent="0.35">
      <c r="A1641" s="2" t="s">
        <v>886</v>
      </c>
      <c r="B1641" s="2" t="s">
        <v>24</v>
      </c>
      <c r="C1641" s="2" t="s">
        <v>1081</v>
      </c>
      <c r="D1641" s="2" t="s">
        <v>1082</v>
      </c>
      <c r="E1641" s="2" t="s">
        <v>40</v>
      </c>
      <c r="F1641" s="2"/>
      <c r="G1641" s="2"/>
      <c r="H1641" s="2"/>
      <c r="I1641" s="2"/>
    </row>
    <row r="1642" spans="1:9" x14ac:dyDescent="0.35">
      <c r="A1642" s="2" t="s">
        <v>886</v>
      </c>
      <c r="B1642" s="2" t="s">
        <v>24</v>
      </c>
      <c r="C1642" s="2" t="s">
        <v>1081</v>
      </c>
      <c r="D1642" s="2" t="s">
        <v>155</v>
      </c>
      <c r="E1642" s="2" t="s">
        <v>32</v>
      </c>
      <c r="F1642" s="2"/>
      <c r="G1642" s="2"/>
      <c r="H1642" s="2"/>
      <c r="I1642" s="2"/>
    </row>
    <row r="1643" spans="1:9" x14ac:dyDescent="0.35">
      <c r="A1643" s="2" t="s">
        <v>886</v>
      </c>
      <c r="B1643" s="2" t="s">
        <v>24</v>
      </c>
      <c r="C1643" s="2" t="s">
        <v>1081</v>
      </c>
      <c r="D1643" s="2" t="s">
        <v>528</v>
      </c>
      <c r="E1643" s="2" t="s">
        <v>203</v>
      </c>
      <c r="F1643" s="2"/>
      <c r="G1643" s="2"/>
      <c r="H1643" s="2"/>
      <c r="I1643" s="2"/>
    </row>
    <row r="1644" spans="1:9" x14ac:dyDescent="0.35">
      <c r="A1644" s="2" t="s">
        <v>886</v>
      </c>
      <c r="B1644" s="2" t="s">
        <v>24</v>
      </c>
      <c r="C1644" s="2" t="s">
        <v>1081</v>
      </c>
      <c r="D1644" s="2" t="s">
        <v>1083</v>
      </c>
      <c r="E1644" s="2" t="s">
        <v>15</v>
      </c>
      <c r="F1644" s="2"/>
      <c r="G1644" s="2"/>
      <c r="H1644" s="2"/>
      <c r="I1644" s="2"/>
    </row>
    <row r="1645" spans="1:9" x14ac:dyDescent="0.35">
      <c r="A1645" s="2" t="s">
        <v>886</v>
      </c>
      <c r="B1645" s="2" t="s">
        <v>24</v>
      </c>
      <c r="C1645" s="2" t="s">
        <v>1081</v>
      </c>
      <c r="D1645" s="2" t="s">
        <v>200</v>
      </c>
      <c r="E1645" s="2" t="s">
        <v>201</v>
      </c>
      <c r="F1645" s="2"/>
      <c r="G1645" s="2"/>
      <c r="H1645" s="2"/>
      <c r="I1645" s="2"/>
    </row>
    <row r="1646" spans="1:9" x14ac:dyDescent="0.35">
      <c r="A1646" s="2" t="s">
        <v>886</v>
      </c>
      <c r="B1646" s="2" t="s">
        <v>24</v>
      </c>
      <c r="C1646" s="2" t="s">
        <v>1081</v>
      </c>
      <c r="D1646" s="2" t="s">
        <v>1084</v>
      </c>
      <c r="E1646" s="2" t="s">
        <v>125</v>
      </c>
      <c r="F1646" s="2"/>
      <c r="G1646" s="2"/>
      <c r="H1646" s="2"/>
      <c r="I1646" s="2"/>
    </row>
    <row r="1647" spans="1:9" x14ac:dyDescent="0.35">
      <c r="A1647" s="2" t="s">
        <v>886</v>
      </c>
      <c r="B1647" s="2" t="s">
        <v>24</v>
      </c>
      <c r="C1647" s="2" t="s">
        <v>1081</v>
      </c>
      <c r="D1647" s="2" t="s">
        <v>416</v>
      </c>
      <c r="E1647" s="2" t="s">
        <v>38</v>
      </c>
      <c r="F1647" s="2"/>
      <c r="G1647" s="2"/>
      <c r="H1647" s="2"/>
      <c r="I1647" s="2"/>
    </row>
    <row r="1648" spans="1:9" x14ac:dyDescent="0.35">
      <c r="A1648" s="2" t="s">
        <v>886</v>
      </c>
      <c r="B1648" s="2" t="s">
        <v>24</v>
      </c>
      <c r="C1648" s="2" t="s">
        <v>1081</v>
      </c>
      <c r="D1648" s="2" t="s">
        <v>18</v>
      </c>
      <c r="E1648" s="2" t="s">
        <v>19</v>
      </c>
      <c r="F1648" s="2"/>
      <c r="G1648" s="2"/>
      <c r="H1648" s="2"/>
      <c r="I1648" s="2"/>
    </row>
    <row r="1649" spans="1:9" x14ac:dyDescent="0.35">
      <c r="A1649" s="2" t="s">
        <v>886</v>
      </c>
      <c r="B1649" s="2" t="s">
        <v>24</v>
      </c>
      <c r="C1649" s="2" t="s">
        <v>1081</v>
      </c>
      <c r="D1649" s="2" t="s">
        <v>100</v>
      </c>
      <c r="E1649" s="2" t="s">
        <v>101</v>
      </c>
      <c r="F1649" s="2"/>
      <c r="G1649" s="2"/>
      <c r="H1649" s="2"/>
      <c r="I1649" s="2"/>
    </row>
    <row r="1650" spans="1:9" x14ac:dyDescent="0.35">
      <c r="A1650" s="2" t="s">
        <v>886</v>
      </c>
      <c r="B1650" s="2" t="s">
        <v>24</v>
      </c>
      <c r="C1650" s="2" t="s">
        <v>1081</v>
      </c>
      <c r="D1650" s="2" t="s">
        <v>508</v>
      </c>
      <c r="E1650" s="2" t="s">
        <v>40</v>
      </c>
      <c r="F1650" s="2"/>
      <c r="G1650" s="2"/>
      <c r="H1650" s="2"/>
      <c r="I1650" s="2"/>
    </row>
    <row r="1651" spans="1:9" x14ac:dyDescent="0.35">
      <c r="A1651" s="2" t="s">
        <v>886</v>
      </c>
      <c r="B1651" s="2" t="s">
        <v>24</v>
      </c>
      <c r="C1651" s="2" t="s">
        <v>1081</v>
      </c>
      <c r="D1651" s="2" t="s">
        <v>188</v>
      </c>
      <c r="E1651" s="2" t="s">
        <v>189</v>
      </c>
      <c r="F1651" s="2"/>
      <c r="G1651" s="2"/>
      <c r="H1651" s="2"/>
      <c r="I1651" s="2"/>
    </row>
    <row r="1652" spans="1:9" x14ac:dyDescent="0.35">
      <c r="A1652" s="2" t="s">
        <v>886</v>
      </c>
      <c r="B1652" s="2" t="s">
        <v>24</v>
      </c>
      <c r="C1652" s="2" t="s">
        <v>1081</v>
      </c>
      <c r="D1652" s="2" t="s">
        <v>193</v>
      </c>
      <c r="E1652" s="2" t="s">
        <v>40</v>
      </c>
      <c r="F1652" s="2" t="s">
        <v>16</v>
      </c>
      <c r="G1652" s="2" t="s">
        <v>1085</v>
      </c>
      <c r="H1652" s="2"/>
      <c r="I1652" s="2"/>
    </row>
    <row r="1653" spans="1:9" x14ac:dyDescent="0.35">
      <c r="A1653" s="2" t="s">
        <v>886</v>
      </c>
      <c r="B1653" s="2" t="s">
        <v>24</v>
      </c>
      <c r="C1653" s="2" t="s">
        <v>1081</v>
      </c>
      <c r="D1653" s="2" t="s">
        <v>1086</v>
      </c>
      <c r="E1653" s="2" t="s">
        <v>40</v>
      </c>
      <c r="F1653" s="2"/>
      <c r="G1653" s="2"/>
      <c r="H1653" s="2"/>
      <c r="I1653" s="2"/>
    </row>
    <row r="1654" spans="1:9" x14ac:dyDescent="0.35">
      <c r="A1654" s="2" t="s">
        <v>886</v>
      </c>
      <c r="B1654" s="2" t="s">
        <v>24</v>
      </c>
      <c r="C1654" s="2" t="s">
        <v>1087</v>
      </c>
      <c r="D1654" s="2" t="s">
        <v>196</v>
      </c>
      <c r="E1654" s="2" t="s">
        <v>197</v>
      </c>
      <c r="F1654" s="2"/>
      <c r="G1654" s="2"/>
      <c r="H1654" s="2"/>
      <c r="I1654" s="2"/>
    </row>
    <row r="1655" spans="1:9" x14ac:dyDescent="0.35">
      <c r="A1655" s="2" t="s">
        <v>886</v>
      </c>
      <c r="B1655" s="2" t="s">
        <v>24</v>
      </c>
      <c r="C1655" s="2" t="s">
        <v>1087</v>
      </c>
      <c r="D1655" s="2" t="s">
        <v>31</v>
      </c>
      <c r="E1655" s="2" t="s">
        <v>32</v>
      </c>
      <c r="F1655" s="2"/>
      <c r="G1655" s="2"/>
      <c r="H1655" s="2"/>
      <c r="I1655" s="2"/>
    </row>
    <row r="1656" spans="1:9" x14ac:dyDescent="0.35">
      <c r="A1656" s="2" t="s">
        <v>886</v>
      </c>
      <c r="B1656" s="2" t="s">
        <v>24</v>
      </c>
      <c r="C1656" s="2" t="s">
        <v>1087</v>
      </c>
      <c r="D1656" s="2" t="s">
        <v>1088</v>
      </c>
      <c r="E1656" s="2" t="s">
        <v>40</v>
      </c>
      <c r="F1656" s="2"/>
      <c r="G1656" s="2"/>
      <c r="H1656" s="2"/>
      <c r="I1656" s="2"/>
    </row>
    <row r="1657" spans="1:9" x14ac:dyDescent="0.35">
      <c r="A1657" s="2" t="s">
        <v>886</v>
      </c>
      <c r="B1657" s="2" t="s">
        <v>24</v>
      </c>
      <c r="C1657" s="2" t="s">
        <v>1087</v>
      </c>
      <c r="D1657" s="2" t="s">
        <v>100</v>
      </c>
      <c r="E1657" s="2" t="s">
        <v>101</v>
      </c>
      <c r="F1657" s="2"/>
      <c r="G1657" s="2"/>
      <c r="H1657" s="2"/>
      <c r="I1657" s="2"/>
    </row>
    <row r="1658" spans="1:9" x14ac:dyDescent="0.35">
      <c r="A1658" s="2" t="s">
        <v>886</v>
      </c>
      <c r="B1658" s="2" t="s">
        <v>24</v>
      </c>
      <c r="C1658" s="2" t="s">
        <v>1087</v>
      </c>
      <c r="D1658" s="2" t="s">
        <v>244</v>
      </c>
      <c r="E1658" s="2" t="s">
        <v>65</v>
      </c>
      <c r="F1658" s="2"/>
      <c r="G1658" s="2"/>
      <c r="H1658" s="2"/>
      <c r="I1658" s="2"/>
    </row>
    <row r="1659" spans="1:9" x14ac:dyDescent="0.35">
      <c r="A1659" s="2" t="s">
        <v>886</v>
      </c>
      <c r="B1659" s="2" t="s">
        <v>24</v>
      </c>
      <c r="C1659" s="2" t="s">
        <v>1087</v>
      </c>
      <c r="D1659" s="2" t="s">
        <v>193</v>
      </c>
      <c r="E1659" s="2" t="s">
        <v>40</v>
      </c>
      <c r="F1659" s="2" t="s">
        <v>16</v>
      </c>
      <c r="G1659" s="2" t="s">
        <v>1089</v>
      </c>
      <c r="H1659" s="2"/>
      <c r="I1659" s="2"/>
    </row>
    <row r="1660" spans="1:9" x14ac:dyDescent="0.35">
      <c r="A1660" s="2" t="s">
        <v>886</v>
      </c>
      <c r="B1660" s="2" t="s">
        <v>12</v>
      </c>
      <c r="C1660" s="2" t="s">
        <v>1090</v>
      </c>
      <c r="D1660" s="2" t="s">
        <v>14</v>
      </c>
      <c r="E1660" s="2" t="s">
        <v>15</v>
      </c>
      <c r="F1660" s="2" t="s">
        <v>46</v>
      </c>
      <c r="G1660" s="2" t="s">
        <v>910</v>
      </c>
      <c r="H1660" s="2"/>
      <c r="I1660" s="2"/>
    </row>
    <row r="1661" spans="1:9" x14ac:dyDescent="0.35">
      <c r="A1661" s="2" t="s">
        <v>886</v>
      </c>
      <c r="B1661" s="2" t="s">
        <v>12</v>
      </c>
      <c r="C1661" s="2" t="s">
        <v>1090</v>
      </c>
      <c r="D1661" s="2" t="s">
        <v>172</v>
      </c>
      <c r="E1661" s="2" t="s">
        <v>65</v>
      </c>
      <c r="F1661" s="2" t="s">
        <v>46</v>
      </c>
      <c r="G1661" s="2" t="s">
        <v>910</v>
      </c>
      <c r="H1661" s="2"/>
      <c r="I1661" s="2"/>
    </row>
    <row r="1662" spans="1:9" x14ac:dyDescent="0.35">
      <c r="A1662" s="2" t="s">
        <v>886</v>
      </c>
      <c r="B1662" s="2" t="s">
        <v>12</v>
      </c>
      <c r="C1662" s="2" t="s">
        <v>1090</v>
      </c>
      <c r="D1662" s="2" t="s">
        <v>121</v>
      </c>
      <c r="E1662" s="2" t="s">
        <v>122</v>
      </c>
      <c r="F1662" s="2" t="s">
        <v>46</v>
      </c>
      <c r="G1662" s="2" t="s">
        <v>910</v>
      </c>
      <c r="H1662" s="2"/>
      <c r="I1662" s="2"/>
    </row>
    <row r="1663" spans="1:9" x14ac:dyDescent="0.35">
      <c r="A1663" s="2" t="s">
        <v>886</v>
      </c>
      <c r="B1663" s="2" t="s">
        <v>12</v>
      </c>
      <c r="C1663" s="2" t="s">
        <v>1090</v>
      </c>
      <c r="D1663" s="2" t="s">
        <v>188</v>
      </c>
      <c r="E1663" s="2" t="s">
        <v>189</v>
      </c>
      <c r="F1663" s="2" t="s">
        <v>46</v>
      </c>
      <c r="G1663" s="2" t="s">
        <v>910</v>
      </c>
      <c r="H1663" s="2"/>
      <c r="I1663" s="2"/>
    </row>
    <row r="1664" spans="1:9" x14ac:dyDescent="0.35">
      <c r="A1664" s="2" t="s">
        <v>886</v>
      </c>
      <c r="B1664" s="2" t="s">
        <v>62</v>
      </c>
      <c r="C1664" s="2" t="s">
        <v>1091</v>
      </c>
      <c r="D1664" s="2" t="s">
        <v>106</v>
      </c>
      <c r="E1664" s="2" t="s">
        <v>107</v>
      </c>
      <c r="F1664" s="2"/>
      <c r="G1664" s="2"/>
      <c r="H1664" s="2"/>
      <c r="I1664" s="2"/>
    </row>
    <row r="1665" spans="1:9" x14ac:dyDescent="0.35">
      <c r="A1665" s="2" t="s">
        <v>886</v>
      </c>
      <c r="B1665" s="2" t="s">
        <v>62</v>
      </c>
      <c r="C1665" s="2" t="s">
        <v>1092</v>
      </c>
      <c r="D1665" s="2" t="s">
        <v>106</v>
      </c>
      <c r="E1665" s="2" t="s">
        <v>107</v>
      </c>
      <c r="F1665" s="2"/>
      <c r="G1665" s="2"/>
      <c r="H1665" s="2"/>
      <c r="I1665" s="2"/>
    </row>
    <row r="1666" spans="1:9" x14ac:dyDescent="0.35">
      <c r="A1666" s="2" t="s">
        <v>886</v>
      </c>
      <c r="B1666" s="2" t="s">
        <v>62</v>
      </c>
      <c r="C1666" s="2" t="s">
        <v>1093</v>
      </c>
      <c r="D1666" s="2" t="s">
        <v>106</v>
      </c>
      <c r="E1666" s="2" t="s">
        <v>107</v>
      </c>
      <c r="F1666" s="2"/>
      <c r="G1666" s="2"/>
      <c r="H1666" s="2"/>
      <c r="I1666" s="2"/>
    </row>
    <row r="1667" spans="1:9" x14ac:dyDescent="0.35">
      <c r="A1667" s="2" t="s">
        <v>886</v>
      </c>
      <c r="B1667" s="2" t="s">
        <v>62</v>
      </c>
      <c r="C1667" s="2" t="s">
        <v>1094</v>
      </c>
      <c r="D1667" s="2" t="s">
        <v>106</v>
      </c>
      <c r="E1667" s="2" t="s">
        <v>107</v>
      </c>
      <c r="F1667" s="2"/>
      <c r="G1667" s="2"/>
      <c r="H1667" s="2"/>
      <c r="I1667" s="2"/>
    </row>
    <row r="1668" spans="1:9" x14ac:dyDescent="0.35">
      <c r="A1668" s="2" t="s">
        <v>886</v>
      </c>
      <c r="B1668" s="2" t="s">
        <v>62</v>
      </c>
      <c r="C1668" s="2" t="s">
        <v>1095</v>
      </c>
      <c r="D1668" s="2" t="s">
        <v>106</v>
      </c>
      <c r="E1668" s="2" t="s">
        <v>107</v>
      </c>
      <c r="F1668" s="2"/>
      <c r="G1668" s="2"/>
      <c r="H1668" s="2"/>
      <c r="I1668" s="2"/>
    </row>
    <row r="1669" spans="1:9" x14ac:dyDescent="0.35">
      <c r="A1669" s="2" t="s">
        <v>886</v>
      </c>
      <c r="B1669" s="2" t="s">
        <v>62</v>
      </c>
      <c r="C1669" s="2" t="s">
        <v>1096</v>
      </c>
      <c r="D1669" s="2" t="s">
        <v>106</v>
      </c>
      <c r="E1669" s="2" t="s">
        <v>107</v>
      </c>
      <c r="F1669" s="2"/>
      <c r="G1669" s="2"/>
      <c r="H1669" s="2"/>
      <c r="I1669" s="2"/>
    </row>
    <row r="1670" spans="1:9" x14ac:dyDescent="0.35">
      <c r="A1670" s="2" t="s">
        <v>886</v>
      </c>
      <c r="B1670" s="2" t="s">
        <v>62</v>
      </c>
      <c r="C1670" s="2" t="s">
        <v>1097</v>
      </c>
      <c r="D1670" s="2" t="s">
        <v>106</v>
      </c>
      <c r="E1670" s="2" t="s">
        <v>107</v>
      </c>
      <c r="F1670" s="2"/>
      <c r="G1670" s="2"/>
      <c r="H1670" s="2"/>
      <c r="I1670" s="2"/>
    </row>
    <row r="1671" spans="1:9" x14ac:dyDescent="0.35">
      <c r="A1671" s="2" t="s">
        <v>886</v>
      </c>
      <c r="B1671" s="2" t="s">
        <v>62</v>
      </c>
      <c r="C1671" s="2" t="s">
        <v>1098</v>
      </c>
      <c r="D1671" s="2" t="s">
        <v>782</v>
      </c>
      <c r="E1671" s="2" t="s">
        <v>75</v>
      </c>
      <c r="F1671" s="2" t="s">
        <v>16</v>
      </c>
      <c r="G1671" s="2" t="s">
        <v>1099</v>
      </c>
      <c r="H1671" s="2"/>
      <c r="I1671" s="2"/>
    </row>
    <row r="1672" spans="1:9" x14ac:dyDescent="0.35">
      <c r="A1672" s="2" t="s">
        <v>886</v>
      </c>
      <c r="B1672" s="2" t="s">
        <v>12</v>
      </c>
      <c r="C1672" s="2" t="s">
        <v>1100</v>
      </c>
      <c r="D1672" s="2" t="s">
        <v>172</v>
      </c>
      <c r="E1672" s="2" t="s">
        <v>65</v>
      </c>
      <c r="F1672" s="2"/>
      <c r="G1672" s="2"/>
      <c r="H1672" s="2"/>
      <c r="I1672" s="2"/>
    </row>
    <row r="1673" spans="1:9" x14ac:dyDescent="0.35">
      <c r="A1673" s="2" t="s">
        <v>886</v>
      </c>
      <c r="B1673" s="2" t="s">
        <v>12</v>
      </c>
      <c r="C1673" s="2" t="s">
        <v>1100</v>
      </c>
      <c r="D1673" s="2" t="s">
        <v>18</v>
      </c>
      <c r="E1673" s="2" t="s">
        <v>19</v>
      </c>
      <c r="F1673" s="2" t="s">
        <v>16</v>
      </c>
      <c r="G1673" s="2" t="s">
        <v>1101</v>
      </c>
      <c r="H1673" s="2"/>
      <c r="I1673" s="2"/>
    </row>
    <row r="1674" spans="1:9" x14ac:dyDescent="0.35">
      <c r="A1674" s="2" t="s">
        <v>886</v>
      </c>
      <c r="B1674" s="2" t="s">
        <v>24</v>
      </c>
      <c r="C1674" s="2" t="s">
        <v>1102</v>
      </c>
      <c r="D1674" s="2" t="s">
        <v>18</v>
      </c>
      <c r="E1674" s="2" t="s">
        <v>19</v>
      </c>
      <c r="F1674" s="2" t="s">
        <v>16</v>
      </c>
      <c r="G1674" s="2" t="s">
        <v>733</v>
      </c>
      <c r="H1674" s="2"/>
      <c r="I1674" s="2"/>
    </row>
    <row r="1675" spans="1:9" x14ac:dyDescent="0.35">
      <c r="A1675" s="2" t="s">
        <v>886</v>
      </c>
      <c r="B1675" s="2" t="s">
        <v>436</v>
      </c>
      <c r="C1675" s="2" t="s">
        <v>1103</v>
      </c>
      <c r="D1675" s="2" t="s">
        <v>196</v>
      </c>
      <c r="E1675" s="2" t="s">
        <v>197</v>
      </c>
      <c r="F1675" s="2"/>
      <c r="G1675" s="2"/>
      <c r="H1675" s="2"/>
      <c r="I1675" s="2"/>
    </row>
    <row r="1676" spans="1:9" x14ac:dyDescent="0.35">
      <c r="A1676" s="2" t="s">
        <v>886</v>
      </c>
      <c r="B1676" s="2" t="s">
        <v>436</v>
      </c>
      <c r="C1676" s="2" t="s">
        <v>1103</v>
      </c>
      <c r="D1676" s="2" t="s">
        <v>82</v>
      </c>
      <c r="E1676" s="2" t="s">
        <v>83</v>
      </c>
      <c r="F1676" s="2" t="s">
        <v>16</v>
      </c>
      <c r="G1676" s="2" t="s">
        <v>1104</v>
      </c>
      <c r="H1676" s="2"/>
      <c r="I1676" s="2"/>
    </row>
  </sheetData>
  <autoFilter ref="A1:I1444" xr:uid="{00000000-0009-0000-0000-000001000000}"/>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01"/>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1106</v>
      </c>
      <c r="B2" s="2" t="s">
        <v>57</v>
      </c>
      <c r="C2" s="2" t="s">
        <v>1107</v>
      </c>
      <c r="D2" s="2" t="s">
        <v>196</v>
      </c>
      <c r="E2" s="2" t="s">
        <v>197</v>
      </c>
      <c r="F2" s="2"/>
      <c r="G2" s="2"/>
      <c r="H2" s="2"/>
      <c r="I2" s="2"/>
    </row>
    <row r="3" spans="1:9" x14ac:dyDescent="0.35">
      <c r="A3" s="2" t="s">
        <v>1106</v>
      </c>
      <c r="B3" s="2" t="s">
        <v>57</v>
      </c>
      <c r="C3" s="2" t="s">
        <v>1107</v>
      </c>
      <c r="D3" s="2" t="s">
        <v>1108</v>
      </c>
      <c r="E3" s="2" t="s">
        <v>45</v>
      </c>
      <c r="F3" s="2" t="s">
        <v>20</v>
      </c>
      <c r="G3" s="2" t="s">
        <v>1109</v>
      </c>
      <c r="H3" s="2" t="s">
        <v>16</v>
      </c>
      <c r="I3" s="2" t="s">
        <v>1110</v>
      </c>
    </row>
    <row r="4" spans="1:9" x14ac:dyDescent="0.35">
      <c r="A4" s="2" t="s">
        <v>1106</v>
      </c>
      <c r="B4" s="2" t="s">
        <v>57</v>
      </c>
      <c r="C4" s="2" t="s">
        <v>1107</v>
      </c>
      <c r="D4" s="2" t="s">
        <v>1111</v>
      </c>
      <c r="E4" s="2" t="s">
        <v>28</v>
      </c>
      <c r="F4" s="2"/>
      <c r="G4" s="2"/>
      <c r="H4" s="2"/>
      <c r="I4" s="2"/>
    </row>
    <row r="5" spans="1:9" x14ac:dyDescent="0.35">
      <c r="A5" s="2" t="s">
        <v>1106</v>
      </c>
      <c r="B5" s="2" t="s">
        <v>57</v>
      </c>
      <c r="C5" s="2" t="s">
        <v>1107</v>
      </c>
      <c r="D5" s="2" t="s">
        <v>14</v>
      </c>
      <c r="E5" s="2" t="s">
        <v>15</v>
      </c>
      <c r="F5" s="2"/>
      <c r="G5" s="2"/>
      <c r="H5" s="2"/>
      <c r="I5" s="2"/>
    </row>
    <row r="6" spans="1:9" x14ac:dyDescent="0.35">
      <c r="A6" s="2" t="s">
        <v>1106</v>
      </c>
      <c r="B6" s="2" t="s">
        <v>57</v>
      </c>
      <c r="C6" s="2" t="s">
        <v>1107</v>
      </c>
      <c r="D6" s="2" t="s">
        <v>31</v>
      </c>
      <c r="E6" s="2" t="s">
        <v>32</v>
      </c>
      <c r="F6" s="2"/>
      <c r="G6" s="2"/>
      <c r="H6" s="2"/>
      <c r="I6" s="2"/>
    </row>
    <row r="7" spans="1:9" x14ac:dyDescent="0.35">
      <c r="A7" s="2" t="s">
        <v>1106</v>
      </c>
      <c r="B7" s="2" t="s">
        <v>57</v>
      </c>
      <c r="C7" s="2" t="s">
        <v>1107</v>
      </c>
      <c r="D7" s="2" t="s">
        <v>1112</v>
      </c>
      <c r="E7" s="2" t="s">
        <v>32</v>
      </c>
      <c r="F7" s="2"/>
      <c r="G7" s="2"/>
      <c r="H7" s="2"/>
      <c r="I7" s="2"/>
    </row>
    <row r="8" spans="1:9" x14ac:dyDescent="0.35">
      <c r="A8" s="2" t="s">
        <v>1106</v>
      </c>
      <c r="B8" s="2" t="s">
        <v>57</v>
      </c>
      <c r="C8" s="2" t="s">
        <v>1107</v>
      </c>
      <c r="D8" s="2" t="s">
        <v>1113</v>
      </c>
      <c r="E8" s="2" t="s">
        <v>32</v>
      </c>
      <c r="F8" s="2"/>
      <c r="G8" s="2"/>
      <c r="H8" s="2"/>
      <c r="I8" s="2"/>
    </row>
    <row r="9" spans="1:9" x14ac:dyDescent="0.35">
      <c r="A9" s="2" t="s">
        <v>1106</v>
      </c>
      <c r="B9" s="2" t="s">
        <v>57</v>
      </c>
      <c r="C9" s="2" t="s">
        <v>1107</v>
      </c>
      <c r="D9" s="2" t="s">
        <v>1114</v>
      </c>
      <c r="E9" s="2" t="s">
        <v>203</v>
      </c>
      <c r="F9" s="2"/>
      <c r="G9" s="2"/>
      <c r="H9" s="2"/>
      <c r="I9" s="2"/>
    </row>
    <row r="10" spans="1:9" x14ac:dyDescent="0.35">
      <c r="A10" s="2" t="s">
        <v>1106</v>
      </c>
      <c r="B10" s="2" t="s">
        <v>57</v>
      </c>
      <c r="C10" s="2" t="s">
        <v>1107</v>
      </c>
      <c r="D10" s="2" t="s">
        <v>1115</v>
      </c>
      <c r="E10" s="2" t="s">
        <v>78</v>
      </c>
      <c r="F10" s="2"/>
      <c r="G10" s="2"/>
      <c r="H10" s="2"/>
      <c r="I10" s="2"/>
    </row>
    <row r="11" spans="1:9" x14ac:dyDescent="0.35">
      <c r="A11" s="2" t="s">
        <v>1106</v>
      </c>
      <c r="B11" s="2" t="s">
        <v>57</v>
      </c>
      <c r="C11" s="2" t="s">
        <v>1107</v>
      </c>
      <c r="D11" s="2" t="s">
        <v>1116</v>
      </c>
      <c r="E11" s="2" t="s">
        <v>367</v>
      </c>
      <c r="F11" s="2"/>
      <c r="G11" s="2"/>
      <c r="H11" s="2"/>
      <c r="I11" s="2"/>
    </row>
    <row r="12" spans="1:9" x14ac:dyDescent="0.35">
      <c r="A12" s="2" t="s">
        <v>1106</v>
      </c>
      <c r="B12" s="2" t="s">
        <v>57</v>
      </c>
      <c r="C12" s="2" t="s">
        <v>1107</v>
      </c>
      <c r="D12" s="2" t="s">
        <v>100</v>
      </c>
      <c r="E12" s="2" t="s">
        <v>101</v>
      </c>
      <c r="F12" s="2"/>
      <c r="G12" s="2"/>
      <c r="H12" s="2"/>
      <c r="I12" s="2"/>
    </row>
    <row r="13" spans="1:9" x14ac:dyDescent="0.35">
      <c r="A13" s="2" t="s">
        <v>1106</v>
      </c>
      <c r="B13" s="2" t="s">
        <v>57</v>
      </c>
      <c r="C13" s="2" t="s">
        <v>1107</v>
      </c>
      <c r="D13" s="2" t="s">
        <v>149</v>
      </c>
      <c r="E13" s="2" t="s">
        <v>150</v>
      </c>
      <c r="F13" s="2"/>
      <c r="G13" s="2"/>
      <c r="H13" s="2" t="s">
        <v>16</v>
      </c>
      <c r="I13" s="2" t="s">
        <v>1110</v>
      </c>
    </row>
    <row r="14" spans="1:9" x14ac:dyDescent="0.35">
      <c r="A14" s="2" t="s">
        <v>1117</v>
      </c>
      <c r="B14" s="2" t="s">
        <v>24</v>
      </c>
      <c r="C14" s="2" t="s">
        <v>1118</v>
      </c>
      <c r="D14" s="2" t="s">
        <v>291</v>
      </c>
      <c r="E14" s="2" t="s">
        <v>139</v>
      </c>
      <c r="F14" s="2"/>
      <c r="G14" s="2"/>
      <c r="H14" s="2" t="s">
        <v>16</v>
      </c>
      <c r="I14" s="2" t="s">
        <v>1119</v>
      </c>
    </row>
    <row r="15" spans="1:9" x14ac:dyDescent="0.35">
      <c r="A15" s="2" t="s">
        <v>1117</v>
      </c>
      <c r="B15" s="2" t="s">
        <v>24</v>
      </c>
      <c r="C15" s="2" t="s">
        <v>1118</v>
      </c>
      <c r="D15" s="2" t="s">
        <v>35</v>
      </c>
      <c r="E15" s="2" t="s">
        <v>36</v>
      </c>
      <c r="F15" s="2"/>
      <c r="G15" s="2"/>
      <c r="H15" s="2" t="s">
        <v>16</v>
      </c>
      <c r="I15" s="2" t="s">
        <v>1119</v>
      </c>
    </row>
    <row r="16" spans="1:9" x14ac:dyDescent="0.35">
      <c r="A16" s="2" t="s">
        <v>1120</v>
      </c>
      <c r="B16" s="2" t="s">
        <v>24</v>
      </c>
      <c r="C16" s="2" t="s">
        <v>1121</v>
      </c>
      <c r="D16" s="2" t="s">
        <v>130</v>
      </c>
      <c r="E16" s="2" t="s">
        <v>36</v>
      </c>
      <c r="F16" s="2"/>
      <c r="G16" s="2"/>
      <c r="H16" s="2"/>
      <c r="I16" s="2"/>
    </row>
    <row r="17" spans="1:9" x14ac:dyDescent="0.35">
      <c r="A17" s="2" t="s">
        <v>1120</v>
      </c>
      <c r="B17" s="2" t="s">
        <v>24</v>
      </c>
      <c r="C17" s="2" t="s">
        <v>1121</v>
      </c>
      <c r="D17" s="2" t="s">
        <v>91</v>
      </c>
      <c r="E17" s="2" t="s">
        <v>19</v>
      </c>
      <c r="F17" s="2"/>
      <c r="G17" s="2"/>
      <c r="H17" s="2"/>
      <c r="I17" s="2"/>
    </row>
    <row r="18" spans="1:9" x14ac:dyDescent="0.35">
      <c r="A18" s="2" t="s">
        <v>1120</v>
      </c>
      <c r="B18" s="2" t="s">
        <v>24</v>
      </c>
      <c r="C18" s="2" t="s">
        <v>1121</v>
      </c>
      <c r="D18" s="2" t="s">
        <v>61</v>
      </c>
      <c r="E18" s="2" t="s">
        <v>30</v>
      </c>
      <c r="F18" s="2" t="s">
        <v>20</v>
      </c>
      <c r="G18" s="2" t="s">
        <v>1122</v>
      </c>
      <c r="H18" s="2"/>
      <c r="I18" s="2"/>
    </row>
    <row r="19" spans="1:9" x14ac:dyDescent="0.35">
      <c r="A19" s="2" t="s">
        <v>1123</v>
      </c>
      <c r="B19" s="2" t="s">
        <v>57</v>
      </c>
      <c r="C19" s="2" t="s">
        <v>1124</v>
      </c>
      <c r="D19" s="2" t="s">
        <v>14</v>
      </c>
      <c r="E19" s="2" t="s">
        <v>15</v>
      </c>
      <c r="F19" s="2"/>
      <c r="G19" s="2"/>
      <c r="H19" s="2"/>
      <c r="I19" s="2"/>
    </row>
    <row r="20" spans="1:9" x14ac:dyDescent="0.35">
      <c r="A20" s="2" t="s">
        <v>1123</v>
      </c>
      <c r="B20" s="2" t="s">
        <v>57</v>
      </c>
      <c r="C20" s="2" t="s">
        <v>1124</v>
      </c>
      <c r="D20" s="2" t="s">
        <v>27</v>
      </c>
      <c r="E20" s="2" t="s">
        <v>28</v>
      </c>
      <c r="F20" s="2"/>
      <c r="G20" s="2"/>
      <c r="H20" s="2"/>
      <c r="I20" s="2"/>
    </row>
    <row r="21" spans="1:9" x14ac:dyDescent="0.35">
      <c r="A21" s="2" t="s">
        <v>1123</v>
      </c>
      <c r="B21" s="2" t="s">
        <v>57</v>
      </c>
      <c r="C21" s="2" t="s">
        <v>1124</v>
      </c>
      <c r="D21" s="2" t="s">
        <v>33</v>
      </c>
      <c r="E21" s="2" t="s">
        <v>34</v>
      </c>
      <c r="F21" s="2"/>
      <c r="G21" s="2"/>
      <c r="H21" s="2"/>
      <c r="I21" s="2"/>
    </row>
    <row r="22" spans="1:9" x14ac:dyDescent="0.35">
      <c r="A22" s="2" t="s">
        <v>1123</v>
      </c>
      <c r="B22" s="2" t="s">
        <v>57</v>
      </c>
      <c r="C22" s="2" t="s">
        <v>1124</v>
      </c>
      <c r="D22" s="2" t="s">
        <v>213</v>
      </c>
      <c r="E22" s="2" t="s">
        <v>45</v>
      </c>
      <c r="F22" s="2"/>
      <c r="G22" s="2"/>
      <c r="H22" s="2"/>
      <c r="I22" s="2"/>
    </row>
    <row r="23" spans="1:9" x14ac:dyDescent="0.35">
      <c r="A23" s="2" t="s">
        <v>1123</v>
      </c>
      <c r="B23" s="2" t="s">
        <v>57</v>
      </c>
      <c r="C23" s="2" t="s">
        <v>1124</v>
      </c>
      <c r="D23" s="2" t="s">
        <v>18</v>
      </c>
      <c r="E23" s="2" t="s">
        <v>19</v>
      </c>
      <c r="F23" s="2" t="s">
        <v>20</v>
      </c>
      <c r="G23" s="2" t="s">
        <v>1125</v>
      </c>
      <c r="H23" s="2"/>
      <c r="I23" s="2"/>
    </row>
    <row r="24" spans="1:9" x14ac:dyDescent="0.35">
      <c r="A24" s="2" t="s">
        <v>1123</v>
      </c>
      <c r="B24" s="2" t="s">
        <v>57</v>
      </c>
      <c r="C24" s="2" t="s">
        <v>1124</v>
      </c>
      <c r="D24" s="2" t="s">
        <v>42</v>
      </c>
      <c r="E24" s="2" t="s">
        <v>43</v>
      </c>
      <c r="F24" s="2"/>
      <c r="G24" s="2"/>
      <c r="H24" s="2"/>
      <c r="I24" s="2"/>
    </row>
    <row r="25" spans="1:9" x14ac:dyDescent="0.35">
      <c r="A25" s="2" t="s">
        <v>1123</v>
      </c>
      <c r="B25" s="2" t="s">
        <v>57</v>
      </c>
      <c r="C25" s="2" t="s">
        <v>1124</v>
      </c>
      <c r="D25" s="2" t="s">
        <v>149</v>
      </c>
      <c r="E25" s="2" t="s">
        <v>150</v>
      </c>
      <c r="F25" s="2" t="s">
        <v>20</v>
      </c>
      <c r="G25" s="2" t="s">
        <v>1126</v>
      </c>
      <c r="H25" s="2"/>
      <c r="I25" s="2"/>
    </row>
    <row r="26" spans="1:9" x14ac:dyDescent="0.35">
      <c r="A26" s="2" t="s">
        <v>1123</v>
      </c>
      <c r="B26" s="2" t="s">
        <v>24</v>
      </c>
      <c r="C26" s="2" t="s">
        <v>1127</v>
      </c>
      <c r="D26" s="2" t="s">
        <v>27</v>
      </c>
      <c r="E26" s="2" t="s">
        <v>28</v>
      </c>
      <c r="F26" s="2"/>
      <c r="G26" s="2"/>
      <c r="H26" s="2" t="s">
        <v>16</v>
      </c>
      <c r="I26" s="2" t="s">
        <v>1128</v>
      </c>
    </row>
    <row r="27" spans="1:9" x14ac:dyDescent="0.35">
      <c r="A27" s="2" t="s">
        <v>1123</v>
      </c>
      <c r="B27" s="2" t="s">
        <v>24</v>
      </c>
      <c r="C27" s="2" t="s">
        <v>1127</v>
      </c>
      <c r="D27" s="2" t="s">
        <v>82</v>
      </c>
      <c r="E27" s="2" t="s">
        <v>83</v>
      </c>
      <c r="F27" s="2"/>
      <c r="G27" s="2"/>
      <c r="H27" s="2" t="s">
        <v>16</v>
      </c>
      <c r="I27" s="2" t="s">
        <v>1128</v>
      </c>
    </row>
    <row r="28" spans="1:9" x14ac:dyDescent="0.35">
      <c r="A28" s="2" t="s">
        <v>1123</v>
      </c>
      <c r="B28" s="2" t="s">
        <v>24</v>
      </c>
      <c r="C28" s="2" t="s">
        <v>1127</v>
      </c>
      <c r="D28" s="2" t="s">
        <v>35</v>
      </c>
      <c r="E28" s="2" t="s">
        <v>36</v>
      </c>
      <c r="F28" s="2"/>
      <c r="G28" s="2"/>
      <c r="H28" s="2" t="s">
        <v>16</v>
      </c>
      <c r="I28" s="2" t="s">
        <v>1128</v>
      </c>
    </row>
    <row r="29" spans="1:9" x14ac:dyDescent="0.35">
      <c r="A29" s="2" t="s">
        <v>1123</v>
      </c>
      <c r="B29" s="2" t="s">
        <v>24</v>
      </c>
      <c r="C29" s="2" t="s">
        <v>1127</v>
      </c>
      <c r="D29" s="2" t="s">
        <v>64</v>
      </c>
      <c r="E29" s="2" t="s">
        <v>65</v>
      </c>
      <c r="F29" s="2"/>
      <c r="G29" s="2"/>
      <c r="H29" s="2" t="s">
        <v>16</v>
      </c>
      <c r="I29" s="2" t="s">
        <v>1128</v>
      </c>
    </row>
    <row r="30" spans="1:9" x14ac:dyDescent="0.35">
      <c r="A30" s="2" t="s">
        <v>1123</v>
      </c>
      <c r="B30" s="2" t="s">
        <v>24</v>
      </c>
      <c r="C30" s="2" t="s">
        <v>1127</v>
      </c>
      <c r="D30" s="2" t="s">
        <v>18</v>
      </c>
      <c r="E30" s="2" t="s">
        <v>19</v>
      </c>
      <c r="F30" s="2" t="s">
        <v>20</v>
      </c>
      <c r="G30" s="2" t="s">
        <v>1129</v>
      </c>
      <c r="H30" s="2" t="s">
        <v>16</v>
      </c>
      <c r="I30" s="2" t="s">
        <v>1128</v>
      </c>
    </row>
    <row r="31" spans="1:9" x14ac:dyDescent="0.35">
      <c r="A31" s="2" t="s">
        <v>1123</v>
      </c>
      <c r="B31" s="2" t="s">
        <v>24</v>
      </c>
      <c r="C31" s="2" t="s">
        <v>1127</v>
      </c>
      <c r="D31" s="2" t="s">
        <v>89</v>
      </c>
      <c r="E31" s="2" t="s">
        <v>45</v>
      </c>
      <c r="F31" s="2"/>
      <c r="G31" s="2"/>
      <c r="H31" s="2" t="s">
        <v>16</v>
      </c>
      <c r="I31" s="2" t="s">
        <v>1128</v>
      </c>
    </row>
    <row r="32" spans="1:9" x14ac:dyDescent="0.35">
      <c r="A32" s="2" t="s">
        <v>1123</v>
      </c>
      <c r="B32" s="2" t="s">
        <v>24</v>
      </c>
      <c r="C32" s="2" t="s">
        <v>1127</v>
      </c>
      <c r="D32" s="2" t="s">
        <v>61</v>
      </c>
      <c r="E32" s="2" t="s">
        <v>30</v>
      </c>
      <c r="F32" s="2"/>
      <c r="G32" s="2"/>
      <c r="H32" s="2" t="s">
        <v>16</v>
      </c>
      <c r="I32" s="2" t="s">
        <v>1128</v>
      </c>
    </row>
    <row r="33" spans="1:9" x14ac:dyDescent="0.35">
      <c r="A33" s="2" t="s">
        <v>1123</v>
      </c>
      <c r="B33" s="2" t="s">
        <v>54</v>
      </c>
      <c r="C33" s="2" t="s">
        <v>1130</v>
      </c>
      <c r="D33" s="2" t="s">
        <v>14</v>
      </c>
      <c r="E33" s="2" t="s">
        <v>15</v>
      </c>
      <c r="F33" s="2"/>
      <c r="G33" s="2"/>
      <c r="H33" s="2" t="s">
        <v>16</v>
      </c>
      <c r="I33" s="2" t="s">
        <v>1128</v>
      </c>
    </row>
    <row r="34" spans="1:9" x14ac:dyDescent="0.35">
      <c r="A34" s="2" t="s">
        <v>1123</v>
      </c>
      <c r="B34" s="2" t="s">
        <v>54</v>
      </c>
      <c r="C34" s="2" t="s">
        <v>1130</v>
      </c>
      <c r="D34" s="2" t="s">
        <v>96</v>
      </c>
      <c r="E34" s="2" t="s">
        <v>83</v>
      </c>
      <c r="F34" s="2"/>
      <c r="G34" s="2"/>
      <c r="H34" s="2" t="s">
        <v>16</v>
      </c>
      <c r="I34" s="2" t="s">
        <v>1128</v>
      </c>
    </row>
    <row r="35" spans="1:9" x14ac:dyDescent="0.35">
      <c r="A35" s="2" t="s">
        <v>1123</v>
      </c>
      <c r="B35" s="2" t="s">
        <v>54</v>
      </c>
      <c r="C35" s="2" t="s">
        <v>1130</v>
      </c>
      <c r="D35" s="2" t="s">
        <v>393</v>
      </c>
      <c r="E35" s="2" t="s">
        <v>36</v>
      </c>
      <c r="F35" s="2"/>
      <c r="G35" s="2"/>
      <c r="H35" s="2" t="s">
        <v>16</v>
      </c>
      <c r="I35" s="2" t="s">
        <v>1128</v>
      </c>
    </row>
    <row r="36" spans="1:9" x14ac:dyDescent="0.35">
      <c r="A36" s="2" t="s">
        <v>1123</v>
      </c>
      <c r="B36" s="2" t="s">
        <v>54</v>
      </c>
      <c r="C36" s="2" t="s">
        <v>1130</v>
      </c>
      <c r="D36" s="2" t="s">
        <v>91</v>
      </c>
      <c r="E36" s="2" t="s">
        <v>19</v>
      </c>
      <c r="F36" s="2"/>
      <c r="G36" s="2"/>
      <c r="H36" s="2" t="s">
        <v>16</v>
      </c>
      <c r="I36" s="2" t="s">
        <v>1128</v>
      </c>
    </row>
    <row r="37" spans="1:9" x14ac:dyDescent="0.35">
      <c r="A37" s="2" t="s">
        <v>1123</v>
      </c>
      <c r="B37" s="2" t="s">
        <v>54</v>
      </c>
      <c r="C37" s="2" t="s">
        <v>1130</v>
      </c>
      <c r="D37" s="2" t="s">
        <v>89</v>
      </c>
      <c r="E37" s="2" t="s">
        <v>45</v>
      </c>
      <c r="F37" s="2"/>
      <c r="G37" s="2"/>
      <c r="H37" s="2" t="s">
        <v>16</v>
      </c>
      <c r="I37" s="2" t="s">
        <v>1128</v>
      </c>
    </row>
    <row r="38" spans="1:9" x14ac:dyDescent="0.35">
      <c r="A38" s="2" t="s">
        <v>1123</v>
      </c>
      <c r="B38" s="2" t="s">
        <v>54</v>
      </c>
      <c r="C38" s="2" t="s">
        <v>1131</v>
      </c>
      <c r="D38" s="2" t="s">
        <v>14</v>
      </c>
      <c r="E38" s="2" t="s">
        <v>15</v>
      </c>
      <c r="F38" s="2"/>
      <c r="G38" s="2"/>
      <c r="H38" s="2" t="s">
        <v>16</v>
      </c>
      <c r="I38" s="2" t="s">
        <v>1128</v>
      </c>
    </row>
    <row r="39" spans="1:9" x14ac:dyDescent="0.35">
      <c r="A39" s="2" t="s">
        <v>1123</v>
      </c>
      <c r="B39" s="2" t="s">
        <v>54</v>
      </c>
      <c r="C39" s="2" t="s">
        <v>1131</v>
      </c>
      <c r="D39" s="2" t="s">
        <v>33</v>
      </c>
      <c r="E39" s="2" t="s">
        <v>34</v>
      </c>
      <c r="F39" s="2"/>
      <c r="G39" s="2"/>
      <c r="H39" s="2" t="s">
        <v>16</v>
      </c>
      <c r="I39" s="2" t="s">
        <v>1128</v>
      </c>
    </row>
    <row r="40" spans="1:9" x14ac:dyDescent="0.35">
      <c r="A40" s="2" t="s">
        <v>1123</v>
      </c>
      <c r="B40" s="2" t="s">
        <v>54</v>
      </c>
      <c r="C40" s="2" t="s">
        <v>1131</v>
      </c>
      <c r="D40" s="2" t="s">
        <v>648</v>
      </c>
      <c r="E40" s="2" t="s">
        <v>125</v>
      </c>
      <c r="F40" s="2"/>
      <c r="G40" s="2"/>
      <c r="H40" s="2" t="s">
        <v>16</v>
      </c>
      <c r="I40" s="2" t="s">
        <v>1128</v>
      </c>
    </row>
    <row r="41" spans="1:9" x14ac:dyDescent="0.35">
      <c r="A41" s="2" t="s">
        <v>1123</v>
      </c>
      <c r="B41" s="2" t="s">
        <v>54</v>
      </c>
      <c r="C41" s="2" t="s">
        <v>1131</v>
      </c>
      <c r="D41" s="2" t="s">
        <v>393</v>
      </c>
      <c r="E41" s="2" t="s">
        <v>36</v>
      </c>
      <c r="F41" s="2"/>
      <c r="G41" s="2"/>
      <c r="H41" s="2" t="s">
        <v>16</v>
      </c>
      <c r="I41" s="2" t="s">
        <v>1128</v>
      </c>
    </row>
    <row r="42" spans="1:9" x14ac:dyDescent="0.35">
      <c r="A42" s="2" t="s">
        <v>1123</v>
      </c>
      <c r="B42" s="2" t="s">
        <v>54</v>
      </c>
      <c r="C42" s="2" t="s">
        <v>1131</v>
      </c>
      <c r="D42" s="2" t="s">
        <v>18</v>
      </c>
      <c r="E42" s="2" t="s">
        <v>19</v>
      </c>
      <c r="F42" s="2"/>
      <c r="G42" s="2"/>
      <c r="H42" s="2" t="s">
        <v>16</v>
      </c>
      <c r="I42" s="2" t="s">
        <v>1128</v>
      </c>
    </row>
    <row r="43" spans="1:9" x14ac:dyDescent="0.35">
      <c r="A43" s="2" t="s">
        <v>1123</v>
      </c>
      <c r="B43" s="2" t="s">
        <v>54</v>
      </c>
      <c r="C43" s="2" t="s">
        <v>1131</v>
      </c>
      <c r="D43" s="2" t="s">
        <v>188</v>
      </c>
      <c r="E43" s="2" t="s">
        <v>189</v>
      </c>
      <c r="F43" s="2"/>
      <c r="G43" s="2"/>
      <c r="H43" s="2" t="s">
        <v>16</v>
      </c>
      <c r="I43" s="2" t="s">
        <v>1128</v>
      </c>
    </row>
    <row r="44" spans="1:9" x14ac:dyDescent="0.35">
      <c r="A44" s="2" t="s">
        <v>1123</v>
      </c>
      <c r="B44" s="2" t="s">
        <v>54</v>
      </c>
      <c r="C44" s="2" t="s">
        <v>1131</v>
      </c>
      <c r="D44" s="2" t="s">
        <v>149</v>
      </c>
      <c r="E44" s="2" t="s">
        <v>150</v>
      </c>
      <c r="F44" s="2"/>
      <c r="G44" s="2"/>
      <c r="H44" s="2" t="s">
        <v>16</v>
      </c>
      <c r="I44" s="2" t="s">
        <v>1128</v>
      </c>
    </row>
    <row r="45" spans="1:9" x14ac:dyDescent="0.35">
      <c r="A45" s="2" t="s">
        <v>1123</v>
      </c>
      <c r="B45" s="2" t="s">
        <v>62</v>
      </c>
      <c r="C45" s="2" t="s">
        <v>1132</v>
      </c>
      <c r="D45" s="2" t="s">
        <v>485</v>
      </c>
      <c r="E45" s="2" t="s">
        <v>15</v>
      </c>
      <c r="F45" s="2"/>
      <c r="G45" s="2"/>
      <c r="H45" s="2"/>
      <c r="I45" s="2"/>
    </row>
    <row r="46" spans="1:9" x14ac:dyDescent="0.35">
      <c r="A46" s="2" t="s">
        <v>1123</v>
      </c>
      <c r="B46" s="2" t="s">
        <v>62</v>
      </c>
      <c r="C46" s="2" t="s">
        <v>1132</v>
      </c>
      <c r="D46" s="2" t="s">
        <v>625</v>
      </c>
      <c r="E46" s="2" t="s">
        <v>38</v>
      </c>
      <c r="F46" s="2"/>
      <c r="G46" s="2"/>
      <c r="H46" s="2"/>
      <c r="I46" s="2"/>
    </row>
    <row r="47" spans="1:9" x14ac:dyDescent="0.35">
      <c r="A47" s="2" t="s">
        <v>1123</v>
      </c>
      <c r="B47" s="2" t="s">
        <v>62</v>
      </c>
      <c r="C47" s="2" t="s">
        <v>1132</v>
      </c>
      <c r="D47" s="2" t="s">
        <v>106</v>
      </c>
      <c r="E47" s="2" t="s">
        <v>107</v>
      </c>
      <c r="F47" s="2"/>
      <c r="G47" s="2"/>
      <c r="H47" s="2" t="s">
        <v>16</v>
      </c>
      <c r="I47" s="2" t="s">
        <v>1110</v>
      </c>
    </row>
    <row r="48" spans="1:9" x14ac:dyDescent="0.35">
      <c r="A48" s="2" t="s">
        <v>1133</v>
      </c>
      <c r="B48" s="2" t="s">
        <v>62</v>
      </c>
      <c r="C48" s="2" t="s">
        <v>1134</v>
      </c>
      <c r="D48" s="2" t="s">
        <v>27</v>
      </c>
      <c r="E48" s="2" t="s">
        <v>28</v>
      </c>
      <c r="F48" s="2"/>
      <c r="G48" s="2"/>
      <c r="H48" s="2" t="s">
        <v>16</v>
      </c>
      <c r="I48" s="2" t="s">
        <v>1110</v>
      </c>
    </row>
    <row r="49" spans="1:9" x14ac:dyDescent="0.35">
      <c r="A49" s="2" t="s">
        <v>1133</v>
      </c>
      <c r="B49" s="2" t="s">
        <v>62</v>
      </c>
      <c r="C49" s="2" t="s">
        <v>1134</v>
      </c>
      <c r="D49" s="2" t="s">
        <v>91</v>
      </c>
      <c r="E49" s="2" t="s">
        <v>19</v>
      </c>
      <c r="F49" s="2" t="s">
        <v>20</v>
      </c>
      <c r="G49" s="2" t="s">
        <v>1135</v>
      </c>
      <c r="H49" s="2" t="s">
        <v>16</v>
      </c>
      <c r="I49" s="2" t="s">
        <v>1110</v>
      </c>
    </row>
    <row r="50" spans="1:9" x14ac:dyDescent="0.35">
      <c r="A50" s="2" t="s">
        <v>1133</v>
      </c>
      <c r="B50" s="2" t="s">
        <v>62</v>
      </c>
      <c r="C50" s="2" t="s">
        <v>1134</v>
      </c>
      <c r="D50" s="2" t="s">
        <v>61</v>
      </c>
      <c r="E50" s="2" t="s">
        <v>30</v>
      </c>
      <c r="F50" s="2"/>
      <c r="G50" s="2"/>
      <c r="H50" s="2" t="s">
        <v>16</v>
      </c>
      <c r="I50" s="2" t="s">
        <v>1110</v>
      </c>
    </row>
    <row r="51" spans="1:9" x14ac:dyDescent="0.35">
      <c r="A51" s="2" t="s">
        <v>1133</v>
      </c>
      <c r="B51" s="2" t="s">
        <v>57</v>
      </c>
      <c r="C51" s="2" t="s">
        <v>1136</v>
      </c>
      <c r="D51" s="2" t="s">
        <v>27</v>
      </c>
      <c r="E51" s="2" t="s">
        <v>28</v>
      </c>
      <c r="F51" s="2" t="s">
        <v>20</v>
      </c>
      <c r="G51" s="2" t="s">
        <v>1137</v>
      </c>
      <c r="H51" s="2" t="s">
        <v>16</v>
      </c>
      <c r="I51" s="2" t="s">
        <v>1138</v>
      </c>
    </row>
    <row r="52" spans="1:9" x14ac:dyDescent="0.35">
      <c r="A52" s="2" t="s">
        <v>1133</v>
      </c>
      <c r="B52" s="2" t="s">
        <v>57</v>
      </c>
      <c r="C52" s="2" t="s">
        <v>1136</v>
      </c>
      <c r="D52" s="2" t="s">
        <v>1139</v>
      </c>
      <c r="E52" s="2" t="s">
        <v>60</v>
      </c>
      <c r="F52" s="2"/>
      <c r="G52" s="2"/>
      <c r="H52" s="2" t="s">
        <v>16</v>
      </c>
      <c r="I52" s="2" t="s">
        <v>1138</v>
      </c>
    </row>
    <row r="53" spans="1:9" x14ac:dyDescent="0.35">
      <c r="A53" s="2" t="s">
        <v>1133</v>
      </c>
      <c r="B53" s="2" t="s">
        <v>57</v>
      </c>
      <c r="C53" s="2" t="s">
        <v>1136</v>
      </c>
      <c r="D53" s="2" t="s">
        <v>176</v>
      </c>
      <c r="E53" s="2" t="s">
        <v>40</v>
      </c>
      <c r="F53" s="2"/>
      <c r="G53" s="2"/>
      <c r="H53" s="2" t="s">
        <v>16</v>
      </c>
      <c r="I53" s="2" t="s">
        <v>1138</v>
      </c>
    </row>
    <row r="54" spans="1:9" x14ac:dyDescent="0.35">
      <c r="A54" s="2" t="s">
        <v>1133</v>
      </c>
      <c r="B54" s="2" t="s">
        <v>57</v>
      </c>
      <c r="C54" s="2" t="s">
        <v>1136</v>
      </c>
      <c r="D54" s="2" t="s">
        <v>188</v>
      </c>
      <c r="E54" s="2" t="s">
        <v>189</v>
      </c>
      <c r="F54" s="2" t="s">
        <v>20</v>
      </c>
      <c r="G54" s="2" t="s">
        <v>1140</v>
      </c>
      <c r="H54" s="2" t="s">
        <v>16</v>
      </c>
      <c r="I54" s="2" t="s">
        <v>1138</v>
      </c>
    </row>
    <row r="55" spans="1:9" x14ac:dyDescent="0.35">
      <c r="A55" s="2" t="s">
        <v>1133</v>
      </c>
      <c r="B55" s="2" t="s">
        <v>54</v>
      </c>
      <c r="C55" s="2" t="s">
        <v>1141</v>
      </c>
      <c r="D55" s="2" t="s">
        <v>14</v>
      </c>
      <c r="E55" s="2" t="s">
        <v>15</v>
      </c>
      <c r="F55" s="2"/>
      <c r="G55" s="2"/>
      <c r="H55" s="2" t="s">
        <v>16</v>
      </c>
      <c r="I55" s="2" t="s">
        <v>1138</v>
      </c>
    </row>
    <row r="56" spans="1:9" x14ac:dyDescent="0.35">
      <c r="A56" s="2" t="s">
        <v>1133</v>
      </c>
      <c r="B56" s="2" t="s">
        <v>54</v>
      </c>
      <c r="C56" s="2" t="s">
        <v>1141</v>
      </c>
      <c r="D56" s="2" t="s">
        <v>27</v>
      </c>
      <c r="E56" s="2" t="s">
        <v>28</v>
      </c>
      <c r="F56" s="2"/>
      <c r="G56" s="2"/>
      <c r="H56" s="2" t="s">
        <v>16</v>
      </c>
      <c r="I56" s="2" t="s">
        <v>1138</v>
      </c>
    </row>
    <row r="57" spans="1:9" x14ac:dyDescent="0.35">
      <c r="A57" s="2" t="s">
        <v>1133</v>
      </c>
      <c r="B57" s="2" t="s">
        <v>54</v>
      </c>
      <c r="C57" s="2" t="s">
        <v>1141</v>
      </c>
      <c r="D57" s="2" t="s">
        <v>393</v>
      </c>
      <c r="E57" s="2" t="s">
        <v>36</v>
      </c>
      <c r="F57" s="2"/>
      <c r="G57" s="2"/>
      <c r="H57" s="2" t="s">
        <v>16</v>
      </c>
      <c r="I57" s="2" t="s">
        <v>1138</v>
      </c>
    </row>
    <row r="58" spans="1:9" x14ac:dyDescent="0.35">
      <c r="A58" s="2" t="s">
        <v>1133</v>
      </c>
      <c r="B58" s="2" t="s">
        <v>54</v>
      </c>
      <c r="C58" s="2" t="s">
        <v>1141</v>
      </c>
      <c r="D58" s="2" t="s">
        <v>18</v>
      </c>
      <c r="E58" s="2" t="s">
        <v>19</v>
      </c>
      <c r="F58" s="2" t="s">
        <v>20</v>
      </c>
      <c r="G58" s="2" t="s">
        <v>1142</v>
      </c>
      <c r="H58" s="2" t="s">
        <v>16</v>
      </c>
      <c r="I58" s="2" t="s">
        <v>1138</v>
      </c>
    </row>
    <row r="59" spans="1:9" x14ac:dyDescent="0.35">
      <c r="A59" s="2" t="s">
        <v>1143</v>
      </c>
      <c r="B59" s="2" t="s">
        <v>57</v>
      </c>
      <c r="C59" s="2" t="s">
        <v>1144</v>
      </c>
      <c r="D59" s="2" t="s">
        <v>14</v>
      </c>
      <c r="E59" s="2" t="s">
        <v>15</v>
      </c>
      <c r="F59" s="2"/>
      <c r="G59" s="2"/>
      <c r="H59" s="2"/>
      <c r="I59" s="2"/>
    </row>
    <row r="60" spans="1:9" x14ac:dyDescent="0.35">
      <c r="A60" s="2" t="s">
        <v>1143</v>
      </c>
      <c r="B60" s="2" t="s">
        <v>57</v>
      </c>
      <c r="C60" s="2" t="s">
        <v>1144</v>
      </c>
      <c r="D60" s="2" t="s">
        <v>1145</v>
      </c>
      <c r="E60" s="2" t="s">
        <v>15</v>
      </c>
      <c r="F60" s="2"/>
      <c r="G60" s="2"/>
      <c r="H60" s="2"/>
      <c r="I60" s="2"/>
    </row>
    <row r="61" spans="1:9" x14ac:dyDescent="0.35">
      <c r="A61" s="2" t="s">
        <v>1143</v>
      </c>
      <c r="B61" s="2" t="s">
        <v>57</v>
      </c>
      <c r="C61" s="2" t="s">
        <v>1144</v>
      </c>
      <c r="D61" s="2" t="s">
        <v>18</v>
      </c>
      <c r="E61" s="2" t="s">
        <v>19</v>
      </c>
      <c r="F61" s="2" t="s">
        <v>20</v>
      </c>
      <c r="G61" s="2" t="s">
        <v>1146</v>
      </c>
      <c r="H61" s="2"/>
      <c r="I61" s="2"/>
    </row>
    <row r="62" spans="1:9" x14ac:dyDescent="0.35">
      <c r="A62" s="2" t="s">
        <v>1143</v>
      </c>
      <c r="B62" s="2" t="s">
        <v>57</v>
      </c>
      <c r="C62" s="2" t="s">
        <v>1144</v>
      </c>
      <c r="D62" s="2" t="s">
        <v>149</v>
      </c>
      <c r="E62" s="2" t="s">
        <v>150</v>
      </c>
      <c r="F62" s="2"/>
      <c r="G62" s="2"/>
      <c r="H62" s="2"/>
      <c r="I62" s="2"/>
    </row>
    <row r="63" spans="1:9" x14ac:dyDescent="0.35">
      <c r="A63" s="2" t="s">
        <v>1147</v>
      </c>
      <c r="B63" s="2" t="s">
        <v>24</v>
      </c>
      <c r="C63" s="2" t="s">
        <v>1148</v>
      </c>
      <c r="D63" s="2" t="s">
        <v>27</v>
      </c>
      <c r="E63" s="2" t="s">
        <v>28</v>
      </c>
      <c r="F63" s="2" t="s">
        <v>20</v>
      </c>
      <c r="G63" s="2" t="s">
        <v>1149</v>
      </c>
      <c r="H63" s="2" t="s">
        <v>16</v>
      </c>
      <c r="I63" s="2" t="s">
        <v>1138</v>
      </c>
    </row>
    <row r="64" spans="1:9" x14ac:dyDescent="0.35">
      <c r="A64" s="2" t="s">
        <v>1147</v>
      </c>
      <c r="B64" s="2" t="s">
        <v>24</v>
      </c>
      <c r="C64" s="2" t="s">
        <v>1148</v>
      </c>
      <c r="D64" s="2" t="s">
        <v>1150</v>
      </c>
      <c r="E64" s="2" t="s">
        <v>45</v>
      </c>
      <c r="F64" s="2" t="s">
        <v>20</v>
      </c>
      <c r="G64" s="2" t="s">
        <v>1151</v>
      </c>
      <c r="H64" s="2" t="s">
        <v>16</v>
      </c>
      <c r="I64" s="2" t="s">
        <v>1138</v>
      </c>
    </row>
    <row r="65" spans="1:9" x14ac:dyDescent="0.35">
      <c r="A65" s="2" t="s">
        <v>1147</v>
      </c>
      <c r="B65" s="2" t="s">
        <v>24</v>
      </c>
      <c r="C65" s="2" t="s">
        <v>1152</v>
      </c>
      <c r="D65" s="2" t="s">
        <v>74</v>
      </c>
      <c r="E65" s="2" t="s">
        <v>75</v>
      </c>
      <c r="F65" s="2" t="s">
        <v>20</v>
      </c>
      <c r="G65" s="2" t="s">
        <v>1153</v>
      </c>
      <c r="H65" s="2" t="s">
        <v>16</v>
      </c>
      <c r="I65" s="2" t="s">
        <v>1138</v>
      </c>
    </row>
    <row r="66" spans="1:9" x14ac:dyDescent="0.35">
      <c r="A66" s="2" t="s">
        <v>1147</v>
      </c>
      <c r="B66" s="2" t="s">
        <v>24</v>
      </c>
      <c r="C66" s="2" t="s">
        <v>1152</v>
      </c>
      <c r="D66" s="2" t="s">
        <v>27</v>
      </c>
      <c r="E66" s="2" t="s">
        <v>28</v>
      </c>
      <c r="F66" s="2"/>
      <c r="G66" s="2"/>
      <c r="H66" s="2" t="s">
        <v>16</v>
      </c>
      <c r="I66" s="2" t="s">
        <v>1138</v>
      </c>
    </row>
    <row r="67" spans="1:9" x14ac:dyDescent="0.35">
      <c r="A67" s="2" t="s">
        <v>1147</v>
      </c>
      <c r="B67" s="2" t="s">
        <v>24</v>
      </c>
      <c r="C67" s="2" t="s">
        <v>1152</v>
      </c>
      <c r="D67" s="2" t="s">
        <v>35</v>
      </c>
      <c r="E67" s="2" t="s">
        <v>36</v>
      </c>
      <c r="F67" s="2"/>
      <c r="G67" s="2"/>
      <c r="H67" s="2" t="s">
        <v>16</v>
      </c>
      <c r="I67" s="2" t="s">
        <v>1138</v>
      </c>
    </row>
    <row r="68" spans="1:9" x14ac:dyDescent="0.35">
      <c r="A68" s="2" t="s">
        <v>1147</v>
      </c>
      <c r="B68" s="2" t="s">
        <v>62</v>
      </c>
      <c r="C68" s="2" t="s">
        <v>1154</v>
      </c>
      <c r="D68" s="2" t="s">
        <v>27</v>
      </c>
      <c r="E68" s="2" t="s">
        <v>28</v>
      </c>
      <c r="F68" s="2" t="s">
        <v>20</v>
      </c>
      <c r="G68" s="2" t="s">
        <v>1155</v>
      </c>
      <c r="H68" s="2" t="s">
        <v>16</v>
      </c>
      <c r="I68" s="2" t="s">
        <v>1138</v>
      </c>
    </row>
    <row r="69" spans="1:9" x14ac:dyDescent="0.35">
      <c r="A69" s="2" t="s">
        <v>1147</v>
      </c>
      <c r="B69" s="2" t="s">
        <v>62</v>
      </c>
      <c r="C69" s="2" t="s">
        <v>1154</v>
      </c>
      <c r="D69" s="2" t="s">
        <v>35</v>
      </c>
      <c r="E69" s="2" t="s">
        <v>36</v>
      </c>
      <c r="F69" s="2"/>
      <c r="G69" s="2"/>
      <c r="H69" s="2" t="s">
        <v>16</v>
      </c>
      <c r="I69" s="2" t="s">
        <v>1138</v>
      </c>
    </row>
    <row r="70" spans="1:9" x14ac:dyDescent="0.35">
      <c r="A70" s="2" t="s">
        <v>1147</v>
      </c>
      <c r="B70" s="2" t="s">
        <v>24</v>
      </c>
      <c r="C70" s="2" t="s">
        <v>1156</v>
      </c>
      <c r="D70" s="2" t="s">
        <v>74</v>
      </c>
      <c r="E70" s="2" t="s">
        <v>75</v>
      </c>
      <c r="F70" s="2" t="s">
        <v>20</v>
      </c>
      <c r="G70" s="2" t="s">
        <v>1157</v>
      </c>
      <c r="H70" s="2"/>
      <c r="I70" s="2"/>
    </row>
    <row r="71" spans="1:9" x14ac:dyDescent="0.35">
      <c r="A71" s="2" t="s">
        <v>1147</v>
      </c>
      <c r="B71" s="2" t="s">
        <v>24</v>
      </c>
      <c r="C71" s="2" t="s">
        <v>1156</v>
      </c>
      <c r="D71" s="16" t="s">
        <v>14</v>
      </c>
      <c r="E71" s="2" t="s">
        <v>15</v>
      </c>
      <c r="F71" s="2"/>
      <c r="G71" s="2"/>
      <c r="H71" s="2" t="s">
        <v>20</v>
      </c>
      <c r="I71" s="2" t="s">
        <v>1110</v>
      </c>
    </row>
    <row r="72" spans="1:9" x14ac:dyDescent="0.35">
      <c r="A72" s="2" t="s">
        <v>1147</v>
      </c>
      <c r="B72" s="2" t="s">
        <v>24</v>
      </c>
      <c r="C72" s="2" t="s">
        <v>1156</v>
      </c>
      <c r="D72" s="16" t="s">
        <v>82</v>
      </c>
      <c r="E72" s="2" t="s">
        <v>83</v>
      </c>
      <c r="F72" s="2"/>
      <c r="G72" s="2"/>
      <c r="H72" s="2"/>
      <c r="I72" s="2"/>
    </row>
    <row r="73" spans="1:9" x14ac:dyDescent="0.35">
      <c r="A73" s="2" t="s">
        <v>1147</v>
      </c>
      <c r="B73" s="2" t="s">
        <v>24</v>
      </c>
      <c r="C73" s="2" t="s">
        <v>1156</v>
      </c>
      <c r="D73" s="16" t="s">
        <v>35</v>
      </c>
      <c r="E73" s="2" t="s">
        <v>36</v>
      </c>
      <c r="F73" s="2"/>
      <c r="G73" s="2"/>
      <c r="H73" s="2"/>
      <c r="I73" s="2"/>
    </row>
    <row r="74" spans="1:9" x14ac:dyDescent="0.35">
      <c r="A74" s="2" t="s">
        <v>1147</v>
      </c>
      <c r="B74" s="2" t="s">
        <v>24</v>
      </c>
      <c r="C74" s="2" t="s">
        <v>1156</v>
      </c>
      <c r="D74" s="16" t="s">
        <v>77</v>
      </c>
      <c r="E74" s="2" t="s">
        <v>78</v>
      </c>
      <c r="F74" s="2"/>
      <c r="G74" s="2"/>
      <c r="H74" s="2"/>
      <c r="I74" s="2"/>
    </row>
    <row r="75" spans="1:9" x14ac:dyDescent="0.35">
      <c r="A75" s="2" t="s">
        <v>1147</v>
      </c>
      <c r="B75" s="2" t="s">
        <v>24</v>
      </c>
      <c r="C75" s="2" t="s">
        <v>1156</v>
      </c>
      <c r="D75" s="16" t="s">
        <v>18</v>
      </c>
      <c r="E75" s="2" t="s">
        <v>19</v>
      </c>
      <c r="F75" s="2" t="s">
        <v>20</v>
      </c>
      <c r="G75" s="2" t="s">
        <v>1129</v>
      </c>
      <c r="H75" s="2" t="s">
        <v>20</v>
      </c>
      <c r="I75" s="2" t="s">
        <v>1110</v>
      </c>
    </row>
    <row r="76" spans="1:9" x14ac:dyDescent="0.35">
      <c r="A76" s="2" t="s">
        <v>1147</v>
      </c>
      <c r="B76" s="2" t="s">
        <v>24</v>
      </c>
      <c r="C76" s="2" t="s">
        <v>1156</v>
      </c>
      <c r="D76" s="16" t="s">
        <v>61</v>
      </c>
      <c r="E76" s="2" t="s">
        <v>30</v>
      </c>
      <c r="F76" s="2"/>
      <c r="G76" s="2"/>
      <c r="H76" s="2"/>
      <c r="I76" s="2"/>
    </row>
    <row r="77" spans="1:9" x14ac:dyDescent="0.35">
      <c r="A77" s="2" t="s">
        <v>1158</v>
      </c>
      <c r="B77" s="2" t="s">
        <v>24</v>
      </c>
      <c r="C77" s="2" t="s">
        <v>1159</v>
      </c>
      <c r="D77" s="2" t="s">
        <v>14</v>
      </c>
      <c r="E77" s="2" t="s">
        <v>15</v>
      </c>
      <c r="F77" s="2"/>
      <c r="G77" s="2"/>
      <c r="H77" s="2" t="s">
        <v>16</v>
      </c>
      <c r="I77" s="2" t="s">
        <v>1110</v>
      </c>
    </row>
    <row r="78" spans="1:9" x14ac:dyDescent="0.35">
      <c r="A78" s="2" t="s">
        <v>1158</v>
      </c>
      <c r="B78" s="2" t="s">
        <v>24</v>
      </c>
      <c r="C78" s="2" t="s">
        <v>1159</v>
      </c>
      <c r="D78" s="2" t="s">
        <v>27</v>
      </c>
      <c r="E78" s="2" t="s">
        <v>28</v>
      </c>
      <c r="F78" s="2" t="s">
        <v>20</v>
      </c>
      <c r="G78" s="2" t="s">
        <v>1160</v>
      </c>
      <c r="H78" s="2" t="s">
        <v>16</v>
      </c>
      <c r="I78" s="2" t="s">
        <v>1110</v>
      </c>
    </row>
    <row r="79" spans="1:9" x14ac:dyDescent="0.35">
      <c r="A79" s="2" t="s">
        <v>1158</v>
      </c>
      <c r="B79" s="2" t="s">
        <v>24</v>
      </c>
      <c r="C79" s="2" t="s">
        <v>1159</v>
      </c>
      <c r="D79" s="2" t="s">
        <v>82</v>
      </c>
      <c r="E79" s="2" t="s">
        <v>83</v>
      </c>
      <c r="F79" s="2" t="s">
        <v>20</v>
      </c>
      <c r="G79" s="2" t="s">
        <v>1161</v>
      </c>
      <c r="H79" s="2" t="s">
        <v>16</v>
      </c>
      <c r="I79" s="2" t="s">
        <v>1110</v>
      </c>
    </row>
    <row r="80" spans="1:9" x14ac:dyDescent="0.35">
      <c r="A80" s="2" t="s">
        <v>1158</v>
      </c>
      <c r="B80" s="2" t="s">
        <v>24</v>
      </c>
      <c r="C80" s="2" t="s">
        <v>1159</v>
      </c>
      <c r="D80" s="2" t="s">
        <v>49</v>
      </c>
      <c r="E80" s="2" t="s">
        <v>50</v>
      </c>
      <c r="F80" s="2"/>
      <c r="G80" s="2"/>
      <c r="H80" s="2" t="s">
        <v>16</v>
      </c>
      <c r="I80" s="2" t="s">
        <v>1110</v>
      </c>
    </row>
    <row r="81" spans="1:9" x14ac:dyDescent="0.35">
      <c r="A81" s="2" t="s">
        <v>1158</v>
      </c>
      <c r="B81" s="2" t="s">
        <v>24</v>
      </c>
      <c r="C81" s="2" t="s">
        <v>1159</v>
      </c>
      <c r="D81" s="2" t="s">
        <v>89</v>
      </c>
      <c r="E81" s="2" t="s">
        <v>45</v>
      </c>
      <c r="F81" s="2"/>
      <c r="G81" s="2"/>
      <c r="H81" s="2" t="s">
        <v>16</v>
      </c>
      <c r="I81" s="2" t="s">
        <v>1110</v>
      </c>
    </row>
    <row r="82" spans="1:9" x14ac:dyDescent="0.35">
      <c r="A82" s="2" t="s">
        <v>1158</v>
      </c>
      <c r="B82" s="2" t="s">
        <v>57</v>
      </c>
      <c r="C82" s="2" t="s">
        <v>1162</v>
      </c>
      <c r="D82" s="2" t="s">
        <v>14</v>
      </c>
      <c r="E82" s="2" t="s">
        <v>15</v>
      </c>
      <c r="F82" s="2"/>
      <c r="G82" s="2"/>
      <c r="H82" s="2"/>
      <c r="I82" s="2"/>
    </row>
    <row r="83" spans="1:9" x14ac:dyDescent="0.35">
      <c r="A83" s="2" t="s">
        <v>1158</v>
      </c>
      <c r="B83" s="2" t="s">
        <v>57</v>
      </c>
      <c r="C83" s="2" t="s">
        <v>1162</v>
      </c>
      <c r="D83" s="2" t="s">
        <v>27</v>
      </c>
      <c r="E83" s="2" t="s">
        <v>28</v>
      </c>
      <c r="F83" s="2"/>
      <c r="G83" s="2"/>
      <c r="H83" s="2"/>
      <c r="I83" s="2"/>
    </row>
    <row r="84" spans="1:9" x14ac:dyDescent="0.35">
      <c r="A84" s="2" t="s">
        <v>1158</v>
      </c>
      <c r="B84" s="2" t="s">
        <v>57</v>
      </c>
      <c r="C84" s="2" t="s">
        <v>1162</v>
      </c>
      <c r="D84" s="2" t="s">
        <v>1163</v>
      </c>
      <c r="E84" s="2" t="s">
        <v>201</v>
      </c>
      <c r="F84" s="2"/>
      <c r="G84" s="2"/>
      <c r="H84" s="2"/>
      <c r="I84" s="2"/>
    </row>
    <row r="85" spans="1:9" x14ac:dyDescent="0.35">
      <c r="A85" s="2" t="s">
        <v>1158</v>
      </c>
      <c r="B85" s="2" t="s">
        <v>57</v>
      </c>
      <c r="C85" s="2" t="s">
        <v>1162</v>
      </c>
      <c r="D85" s="2" t="s">
        <v>91</v>
      </c>
      <c r="E85" s="2" t="s">
        <v>19</v>
      </c>
      <c r="F85" s="2"/>
      <c r="G85" s="2"/>
      <c r="H85" s="2"/>
      <c r="I85" s="2"/>
    </row>
    <row r="86" spans="1:9" x14ac:dyDescent="0.35">
      <c r="A86" s="2" t="s">
        <v>1158</v>
      </c>
      <c r="B86" s="2" t="s">
        <v>57</v>
      </c>
      <c r="C86" s="2" t="s">
        <v>1162</v>
      </c>
      <c r="D86" s="2" t="s">
        <v>258</v>
      </c>
      <c r="E86" s="2" t="s">
        <v>259</v>
      </c>
      <c r="F86" s="2"/>
      <c r="G86" s="2"/>
      <c r="H86" s="2"/>
      <c r="I86" s="2"/>
    </row>
    <row r="87" spans="1:9" x14ac:dyDescent="0.35">
      <c r="A87" s="2" t="s">
        <v>1158</v>
      </c>
      <c r="B87" s="2" t="s">
        <v>62</v>
      </c>
      <c r="C87" s="2" t="s">
        <v>1164</v>
      </c>
      <c r="D87" s="2" t="s">
        <v>82</v>
      </c>
      <c r="E87" s="2" t="s">
        <v>83</v>
      </c>
      <c r="F87" s="2"/>
      <c r="G87" s="2"/>
      <c r="H87" s="2"/>
      <c r="I87" s="2"/>
    </row>
    <row r="88" spans="1:9" x14ac:dyDescent="0.35">
      <c r="A88" s="2" t="s">
        <v>1165</v>
      </c>
      <c r="B88" s="2" t="s">
        <v>57</v>
      </c>
      <c r="C88" s="2" t="s">
        <v>1166</v>
      </c>
      <c r="D88" s="2" t="s">
        <v>27</v>
      </c>
      <c r="E88" s="2" t="s">
        <v>28</v>
      </c>
      <c r="F88" s="2" t="s">
        <v>20</v>
      </c>
      <c r="G88" s="2" t="s">
        <v>1167</v>
      </c>
      <c r="H88" s="2"/>
      <c r="I88" s="2"/>
    </row>
    <row r="89" spans="1:9" x14ac:dyDescent="0.35">
      <c r="A89" s="2" t="s">
        <v>1165</v>
      </c>
      <c r="B89" s="2" t="s">
        <v>57</v>
      </c>
      <c r="C89" s="2" t="s">
        <v>1166</v>
      </c>
      <c r="D89" s="2" t="s">
        <v>1139</v>
      </c>
      <c r="E89" s="2" t="s">
        <v>60</v>
      </c>
      <c r="F89" s="2"/>
      <c r="G89" s="2"/>
      <c r="H89" s="2"/>
      <c r="I89" s="2"/>
    </row>
    <row r="90" spans="1:9" x14ac:dyDescent="0.35">
      <c r="A90" s="2" t="s">
        <v>1165</v>
      </c>
      <c r="B90" s="2" t="s">
        <v>57</v>
      </c>
      <c r="C90" s="2" t="s">
        <v>1166</v>
      </c>
      <c r="D90" s="2" t="s">
        <v>291</v>
      </c>
      <c r="E90" s="2" t="s">
        <v>139</v>
      </c>
      <c r="F90" s="2" t="s">
        <v>20</v>
      </c>
      <c r="G90" s="2" t="s">
        <v>1168</v>
      </c>
      <c r="H90" s="2"/>
      <c r="I90" s="2"/>
    </row>
    <row r="91" spans="1:9" x14ac:dyDescent="0.35">
      <c r="A91" s="2" t="s">
        <v>1165</v>
      </c>
      <c r="B91" s="2" t="s">
        <v>62</v>
      </c>
      <c r="C91" s="2" t="s">
        <v>1169</v>
      </c>
      <c r="D91" s="2" t="s">
        <v>14</v>
      </c>
      <c r="E91" s="2" t="s">
        <v>15</v>
      </c>
      <c r="F91" s="2"/>
      <c r="G91" s="2"/>
      <c r="H91" s="2"/>
      <c r="I91" s="2"/>
    </row>
    <row r="92" spans="1:9" x14ac:dyDescent="0.35">
      <c r="A92" s="2" t="s">
        <v>1165</v>
      </c>
      <c r="B92" s="2" t="s">
        <v>62</v>
      </c>
      <c r="C92" s="2" t="s">
        <v>1169</v>
      </c>
      <c r="D92" s="2" t="s">
        <v>291</v>
      </c>
      <c r="E92" s="2" t="s">
        <v>139</v>
      </c>
      <c r="F92" s="2"/>
      <c r="G92" s="2"/>
      <c r="H92" s="2"/>
      <c r="I92" s="2"/>
    </row>
    <row r="93" spans="1:9" x14ac:dyDescent="0.35">
      <c r="A93" s="2" t="s">
        <v>1165</v>
      </c>
      <c r="B93" s="2" t="s">
        <v>62</v>
      </c>
      <c r="C93" s="2" t="s">
        <v>1169</v>
      </c>
      <c r="D93" s="2" t="s">
        <v>1170</v>
      </c>
      <c r="E93" s="2" t="s">
        <v>19</v>
      </c>
      <c r="F93" s="2"/>
      <c r="G93" s="2"/>
      <c r="H93" s="2"/>
      <c r="I93" s="2"/>
    </row>
    <row r="94" spans="1:9" x14ac:dyDescent="0.35">
      <c r="A94" s="2" t="s">
        <v>1165</v>
      </c>
      <c r="B94" s="2" t="s">
        <v>62</v>
      </c>
      <c r="C94" s="2" t="s">
        <v>1169</v>
      </c>
      <c r="D94" s="2" t="s">
        <v>87</v>
      </c>
      <c r="E94" s="2" t="s">
        <v>75</v>
      </c>
      <c r="F94" s="2"/>
      <c r="G94" s="2"/>
      <c r="H94" s="2"/>
      <c r="I94" s="2"/>
    </row>
    <row r="95" spans="1:9" x14ac:dyDescent="0.35">
      <c r="A95" s="2" t="s">
        <v>1165</v>
      </c>
      <c r="B95" s="2" t="s">
        <v>24</v>
      </c>
      <c r="C95" s="2" t="s">
        <v>1171</v>
      </c>
      <c r="D95" s="2" t="s">
        <v>1172</v>
      </c>
      <c r="E95" s="2" t="s">
        <v>107</v>
      </c>
      <c r="F95" s="2"/>
      <c r="G95" s="2"/>
      <c r="H95" s="2"/>
      <c r="I95" s="2"/>
    </row>
    <row r="96" spans="1:9" x14ac:dyDescent="0.35">
      <c r="A96" s="2" t="s">
        <v>1165</v>
      </c>
      <c r="B96" s="2" t="s">
        <v>24</v>
      </c>
      <c r="C96" s="2" t="s">
        <v>1171</v>
      </c>
      <c r="D96" s="2" t="s">
        <v>31</v>
      </c>
      <c r="E96" s="2" t="s">
        <v>32</v>
      </c>
      <c r="F96" s="2"/>
      <c r="G96" s="2"/>
      <c r="H96" s="2"/>
      <c r="I96" s="2"/>
    </row>
    <row r="97" spans="1:9" x14ac:dyDescent="0.35">
      <c r="A97" s="2" t="s">
        <v>1165</v>
      </c>
      <c r="B97" s="2" t="s">
        <v>24</v>
      </c>
      <c r="C97" s="2" t="s">
        <v>1171</v>
      </c>
      <c r="D97" s="2" t="s">
        <v>649</v>
      </c>
      <c r="E97" s="2" t="s">
        <v>363</v>
      </c>
      <c r="F97" s="2"/>
      <c r="G97" s="2"/>
      <c r="H97" s="2"/>
      <c r="I97" s="2"/>
    </row>
    <row r="98" spans="1:9" x14ac:dyDescent="0.35">
      <c r="A98" s="2" t="s">
        <v>1165</v>
      </c>
      <c r="B98" s="2" t="s">
        <v>24</v>
      </c>
      <c r="C98" s="2" t="s">
        <v>1171</v>
      </c>
      <c r="D98" s="2" t="s">
        <v>87</v>
      </c>
      <c r="E98" s="2" t="s">
        <v>75</v>
      </c>
      <c r="F98" s="2" t="s">
        <v>46</v>
      </c>
      <c r="G98" s="2" t="s">
        <v>451</v>
      </c>
      <c r="H98" s="2"/>
      <c r="I98" s="2"/>
    </row>
    <row r="99" spans="1:9" x14ac:dyDescent="0.35">
      <c r="A99" s="2" t="s">
        <v>1165</v>
      </c>
      <c r="B99" s="2" t="s">
        <v>24</v>
      </c>
      <c r="C99" s="2" t="s">
        <v>1171</v>
      </c>
      <c r="D99" s="2" t="s">
        <v>417</v>
      </c>
      <c r="E99" s="2" t="s">
        <v>40</v>
      </c>
      <c r="F99" s="2"/>
      <c r="G99" s="2"/>
      <c r="H99" s="2"/>
      <c r="I99" s="2"/>
    </row>
    <row r="100" spans="1:9" x14ac:dyDescent="0.35">
      <c r="A100" s="2" t="s">
        <v>1165</v>
      </c>
      <c r="B100" s="2" t="s">
        <v>24</v>
      </c>
      <c r="C100" s="2" t="s">
        <v>1171</v>
      </c>
      <c r="D100" s="2" t="s">
        <v>366</v>
      </c>
      <c r="E100" s="2" t="s">
        <v>367</v>
      </c>
      <c r="F100" s="2"/>
      <c r="G100" s="2"/>
      <c r="H100" s="2"/>
      <c r="I100" s="2"/>
    </row>
    <row r="101" spans="1:9" x14ac:dyDescent="0.35">
      <c r="A101" s="2" t="s">
        <v>1165</v>
      </c>
      <c r="B101" s="2" t="s">
        <v>24</v>
      </c>
      <c r="C101" s="2" t="s">
        <v>1171</v>
      </c>
      <c r="D101" s="2" t="s">
        <v>489</v>
      </c>
      <c r="E101" s="2" t="s">
        <v>363</v>
      </c>
      <c r="F101" s="2"/>
      <c r="G101" s="2"/>
      <c r="H101" s="2"/>
      <c r="I101" s="2"/>
    </row>
    <row r="102" spans="1:9" x14ac:dyDescent="0.35">
      <c r="A102" s="2" t="s">
        <v>1165</v>
      </c>
      <c r="B102" s="2" t="s">
        <v>24</v>
      </c>
      <c r="C102" s="2" t="s">
        <v>1173</v>
      </c>
      <c r="D102" s="2" t="s">
        <v>1174</v>
      </c>
      <c r="E102" s="2" t="s">
        <v>197</v>
      </c>
      <c r="F102" s="2"/>
      <c r="G102" s="2"/>
      <c r="H102" s="2"/>
      <c r="I102" s="2"/>
    </row>
    <row r="103" spans="1:9" x14ac:dyDescent="0.35">
      <c r="A103" s="2" t="s">
        <v>1165</v>
      </c>
      <c r="B103" s="2" t="s">
        <v>24</v>
      </c>
      <c r="C103" s="2" t="s">
        <v>1173</v>
      </c>
      <c r="D103" s="2" t="s">
        <v>1172</v>
      </c>
      <c r="E103" s="2" t="s">
        <v>107</v>
      </c>
      <c r="F103" s="2"/>
      <c r="G103" s="2"/>
      <c r="H103" s="2"/>
      <c r="I103" s="2"/>
    </row>
    <row r="104" spans="1:9" x14ac:dyDescent="0.35">
      <c r="A104" s="2" t="s">
        <v>1165</v>
      </c>
      <c r="B104" s="2" t="s">
        <v>24</v>
      </c>
      <c r="C104" s="2" t="s">
        <v>1173</v>
      </c>
      <c r="D104" s="2" t="s">
        <v>1175</v>
      </c>
      <c r="E104" s="2" t="s">
        <v>75</v>
      </c>
      <c r="F104" s="2"/>
      <c r="G104" s="2"/>
      <c r="H104" s="2"/>
      <c r="I104" s="2"/>
    </row>
    <row r="105" spans="1:9" x14ac:dyDescent="0.35">
      <c r="A105" s="2" t="s">
        <v>1165</v>
      </c>
      <c r="B105" s="2" t="s">
        <v>24</v>
      </c>
      <c r="C105" s="2" t="s">
        <v>1173</v>
      </c>
      <c r="D105" s="2" t="s">
        <v>31</v>
      </c>
      <c r="E105" s="2" t="s">
        <v>32</v>
      </c>
      <c r="F105" s="2"/>
      <c r="G105" s="2"/>
      <c r="H105" s="2"/>
      <c r="I105" s="2"/>
    </row>
    <row r="106" spans="1:9" x14ac:dyDescent="0.35">
      <c r="A106" s="2" t="s">
        <v>1165</v>
      </c>
      <c r="B106" s="2" t="s">
        <v>24</v>
      </c>
      <c r="C106" s="2" t="s">
        <v>1173</v>
      </c>
      <c r="D106" s="2" t="s">
        <v>534</v>
      </c>
      <c r="E106" s="2" t="s">
        <v>38</v>
      </c>
      <c r="F106" s="2"/>
      <c r="G106" s="2"/>
      <c r="H106" s="2"/>
      <c r="I106" s="2"/>
    </row>
    <row r="107" spans="1:9" x14ac:dyDescent="0.35">
      <c r="A107" s="2" t="s">
        <v>1165</v>
      </c>
      <c r="B107" s="2" t="s">
        <v>24</v>
      </c>
      <c r="C107" s="2" t="s">
        <v>1173</v>
      </c>
      <c r="D107" s="2" t="s">
        <v>438</v>
      </c>
      <c r="E107" s="2" t="s">
        <v>19</v>
      </c>
      <c r="F107" s="2"/>
      <c r="G107" s="2"/>
      <c r="H107" s="2"/>
      <c r="I107" s="2"/>
    </row>
    <row r="108" spans="1:9" x14ac:dyDescent="0.35">
      <c r="A108" s="2" t="s">
        <v>1165</v>
      </c>
      <c r="B108" s="2" t="s">
        <v>24</v>
      </c>
      <c r="C108" s="2" t="s">
        <v>1173</v>
      </c>
      <c r="D108" s="2" t="s">
        <v>87</v>
      </c>
      <c r="E108" s="2" t="s">
        <v>75</v>
      </c>
      <c r="F108" s="2" t="s">
        <v>46</v>
      </c>
      <c r="G108" s="2" t="s">
        <v>451</v>
      </c>
      <c r="H108" s="2"/>
      <c r="I108" s="2"/>
    </row>
    <row r="109" spans="1:9" x14ac:dyDescent="0.35">
      <c r="A109" s="2" t="s">
        <v>1165</v>
      </c>
      <c r="B109" s="2" t="s">
        <v>24</v>
      </c>
      <c r="C109" s="2" t="s">
        <v>1173</v>
      </c>
      <c r="D109" s="2" t="s">
        <v>417</v>
      </c>
      <c r="E109" s="2" t="s">
        <v>40</v>
      </c>
      <c r="F109" s="2"/>
      <c r="G109" s="2"/>
      <c r="H109" s="2"/>
      <c r="I109" s="2"/>
    </row>
    <row r="110" spans="1:9" x14ac:dyDescent="0.35">
      <c r="A110" s="2" t="s">
        <v>1165</v>
      </c>
      <c r="B110" s="2" t="s">
        <v>24</v>
      </c>
      <c r="C110" s="2" t="s">
        <v>1173</v>
      </c>
      <c r="D110" s="2" t="s">
        <v>1176</v>
      </c>
      <c r="E110" s="2" t="s">
        <v>38</v>
      </c>
      <c r="F110" s="2"/>
      <c r="G110" s="2"/>
      <c r="H110" s="2"/>
      <c r="I110" s="2"/>
    </row>
    <row r="111" spans="1:9" x14ac:dyDescent="0.35">
      <c r="A111" s="2" t="s">
        <v>1165</v>
      </c>
      <c r="B111" s="2" t="s">
        <v>24</v>
      </c>
      <c r="C111" s="2" t="s">
        <v>1173</v>
      </c>
      <c r="D111" s="2" t="s">
        <v>100</v>
      </c>
      <c r="E111" s="2" t="s">
        <v>101</v>
      </c>
      <c r="F111" s="2"/>
      <c r="G111" s="2"/>
      <c r="H111" s="2"/>
      <c r="I111" s="2"/>
    </row>
    <row r="112" spans="1:9" x14ac:dyDescent="0.35">
      <c r="A112" s="2" t="s">
        <v>1165</v>
      </c>
      <c r="B112" s="2" t="s">
        <v>24</v>
      </c>
      <c r="C112" s="2" t="s">
        <v>1173</v>
      </c>
      <c r="D112" s="2" t="s">
        <v>366</v>
      </c>
      <c r="E112" s="2" t="s">
        <v>367</v>
      </c>
      <c r="F112" s="2"/>
      <c r="G112" s="2"/>
      <c r="H112" s="2"/>
      <c r="I112" s="2"/>
    </row>
    <row r="113" spans="1:9" x14ac:dyDescent="0.35">
      <c r="A113" s="2" t="s">
        <v>1165</v>
      </c>
      <c r="B113" s="2" t="s">
        <v>24</v>
      </c>
      <c r="C113" s="2" t="s">
        <v>1177</v>
      </c>
      <c r="D113" s="2" t="s">
        <v>18</v>
      </c>
      <c r="E113" s="2" t="s">
        <v>19</v>
      </c>
      <c r="F113" s="2" t="s">
        <v>20</v>
      </c>
      <c r="G113" s="2" t="s">
        <v>1178</v>
      </c>
      <c r="H113" s="2" t="s">
        <v>20</v>
      </c>
      <c r="I113" s="2" t="s">
        <v>1110</v>
      </c>
    </row>
    <row r="114" spans="1:9" x14ac:dyDescent="0.35">
      <c r="A114" s="2" t="s">
        <v>1165</v>
      </c>
      <c r="B114" s="2" t="s">
        <v>24</v>
      </c>
      <c r="C114" s="2" t="s">
        <v>1177</v>
      </c>
      <c r="D114" s="2" t="s">
        <v>89</v>
      </c>
      <c r="E114" s="2" t="s">
        <v>45</v>
      </c>
      <c r="F114" s="2" t="s">
        <v>20</v>
      </c>
      <c r="G114" s="2" t="s">
        <v>1179</v>
      </c>
      <c r="H114" s="2" t="s">
        <v>20</v>
      </c>
      <c r="I114" s="2" t="s">
        <v>1119</v>
      </c>
    </row>
    <row r="115" spans="1:9" x14ac:dyDescent="0.35">
      <c r="A115" s="2" t="s">
        <v>1165</v>
      </c>
      <c r="B115" s="2" t="s">
        <v>24</v>
      </c>
      <c r="C115" s="2" t="s">
        <v>1180</v>
      </c>
      <c r="D115" s="2" t="s">
        <v>14</v>
      </c>
      <c r="E115" s="2" t="s">
        <v>15</v>
      </c>
      <c r="F115" s="2"/>
      <c r="G115" s="2"/>
      <c r="H115" s="2"/>
      <c r="I115" s="2"/>
    </row>
    <row r="116" spans="1:9" x14ac:dyDescent="0.35">
      <c r="A116" s="2" t="s">
        <v>1165</v>
      </c>
      <c r="B116" s="2" t="s">
        <v>24</v>
      </c>
      <c r="C116" s="2" t="s">
        <v>1180</v>
      </c>
      <c r="D116" s="2" t="s">
        <v>1181</v>
      </c>
      <c r="E116" s="2" t="s">
        <v>30</v>
      </c>
      <c r="F116" s="2"/>
      <c r="G116" s="2"/>
      <c r="H116" s="2"/>
      <c r="I116" s="2"/>
    </row>
    <row r="117" spans="1:9" x14ac:dyDescent="0.35">
      <c r="A117" s="2" t="s">
        <v>1182</v>
      </c>
      <c r="B117" s="2" t="s">
        <v>24</v>
      </c>
      <c r="C117" s="2" t="s">
        <v>1183</v>
      </c>
      <c r="D117" s="2" t="s">
        <v>74</v>
      </c>
      <c r="E117" s="2" t="s">
        <v>75</v>
      </c>
      <c r="F117" s="2" t="s">
        <v>20</v>
      </c>
      <c r="G117" s="2" t="s">
        <v>1184</v>
      </c>
      <c r="H117" s="2"/>
      <c r="I117" s="2"/>
    </row>
    <row r="118" spans="1:9" x14ac:dyDescent="0.35">
      <c r="A118" s="2" t="s">
        <v>1182</v>
      </c>
      <c r="B118" s="2" t="s">
        <v>24</v>
      </c>
      <c r="C118" s="2" t="s">
        <v>1183</v>
      </c>
      <c r="D118" s="2" t="s">
        <v>14</v>
      </c>
      <c r="E118" s="2" t="s">
        <v>15</v>
      </c>
      <c r="F118" s="2"/>
      <c r="G118" s="2"/>
      <c r="H118" s="2"/>
      <c r="I118" s="2"/>
    </row>
    <row r="119" spans="1:9" x14ac:dyDescent="0.35">
      <c r="A119" s="2" t="s">
        <v>1182</v>
      </c>
      <c r="B119" s="2" t="s">
        <v>24</v>
      </c>
      <c r="C119" s="2" t="s">
        <v>1183</v>
      </c>
      <c r="D119" s="2" t="s">
        <v>33</v>
      </c>
      <c r="E119" s="2" t="s">
        <v>34</v>
      </c>
      <c r="F119" s="2"/>
      <c r="G119" s="2"/>
      <c r="H119" s="2"/>
      <c r="I119" s="2"/>
    </row>
    <row r="120" spans="1:9" x14ac:dyDescent="0.35">
      <c r="A120" s="2" t="s">
        <v>1182</v>
      </c>
      <c r="B120" s="2" t="s">
        <v>54</v>
      </c>
      <c r="C120" s="2" t="s">
        <v>1185</v>
      </c>
      <c r="D120" s="2" t="s">
        <v>91</v>
      </c>
      <c r="E120" s="2" t="s">
        <v>19</v>
      </c>
      <c r="F120" s="2" t="s">
        <v>16</v>
      </c>
      <c r="G120" s="2" t="s">
        <v>1186</v>
      </c>
      <c r="H120" s="2"/>
      <c r="I120" s="2"/>
    </row>
    <row r="121" spans="1:9" x14ac:dyDescent="0.35">
      <c r="A121" s="2" t="s">
        <v>1182</v>
      </c>
      <c r="B121" s="2" t="s">
        <v>12</v>
      </c>
      <c r="C121" s="2" t="s">
        <v>1187</v>
      </c>
      <c r="D121" s="2" t="s">
        <v>91</v>
      </c>
      <c r="E121" s="2" t="s">
        <v>19</v>
      </c>
      <c r="F121" s="2" t="s">
        <v>16</v>
      </c>
      <c r="G121" s="2" t="s">
        <v>1186</v>
      </c>
      <c r="H121" s="2" t="s">
        <v>16</v>
      </c>
      <c r="I121" s="2" t="s">
        <v>1110</v>
      </c>
    </row>
    <row r="122" spans="1:9" x14ac:dyDescent="0.35">
      <c r="A122" s="2" t="s">
        <v>1182</v>
      </c>
      <c r="B122" s="2" t="s">
        <v>24</v>
      </c>
      <c r="C122" s="2" t="s">
        <v>1188</v>
      </c>
      <c r="D122" s="2" t="s">
        <v>14</v>
      </c>
      <c r="E122" s="2" t="s">
        <v>15</v>
      </c>
      <c r="F122" s="2"/>
      <c r="G122" s="2"/>
      <c r="H122" s="2"/>
      <c r="I122" s="2"/>
    </row>
    <row r="123" spans="1:9" x14ac:dyDescent="0.35">
      <c r="A123" s="2" t="s">
        <v>1182</v>
      </c>
      <c r="B123" s="2" t="s">
        <v>24</v>
      </c>
      <c r="C123" s="2" t="s">
        <v>1188</v>
      </c>
      <c r="D123" s="2" t="s">
        <v>27</v>
      </c>
      <c r="E123" s="2" t="s">
        <v>28</v>
      </c>
      <c r="F123" s="2"/>
      <c r="G123" s="2"/>
      <c r="H123" s="2"/>
      <c r="I123" s="2"/>
    </row>
    <row r="124" spans="1:9" x14ac:dyDescent="0.35">
      <c r="A124" s="2" t="s">
        <v>1182</v>
      </c>
      <c r="B124" s="2" t="s">
        <v>24</v>
      </c>
      <c r="C124" s="2" t="s">
        <v>1188</v>
      </c>
      <c r="D124" s="2" t="s">
        <v>31</v>
      </c>
      <c r="E124" s="2" t="s">
        <v>32</v>
      </c>
      <c r="F124" s="2"/>
      <c r="G124" s="2"/>
      <c r="H124" s="2"/>
      <c r="I124" s="2"/>
    </row>
    <row r="125" spans="1:9" x14ac:dyDescent="0.35">
      <c r="A125" s="2" t="s">
        <v>1182</v>
      </c>
      <c r="B125" s="2" t="s">
        <v>24</v>
      </c>
      <c r="C125" s="2" t="s">
        <v>1188</v>
      </c>
      <c r="D125" s="2" t="s">
        <v>1139</v>
      </c>
      <c r="E125" s="2" t="s">
        <v>60</v>
      </c>
      <c r="F125" s="2"/>
      <c r="G125" s="2"/>
      <c r="H125" s="2"/>
      <c r="I125" s="2"/>
    </row>
    <row r="126" spans="1:9" x14ac:dyDescent="0.35">
      <c r="A126" s="2" t="s">
        <v>1182</v>
      </c>
      <c r="B126" s="2" t="s">
        <v>24</v>
      </c>
      <c r="C126" s="2" t="s">
        <v>1188</v>
      </c>
      <c r="D126" s="2" t="s">
        <v>1189</v>
      </c>
      <c r="E126" s="2" t="s">
        <v>122</v>
      </c>
      <c r="F126" s="2"/>
      <c r="G126" s="2"/>
      <c r="H126" s="2"/>
      <c r="I126" s="2"/>
    </row>
    <row r="127" spans="1:9" x14ac:dyDescent="0.35">
      <c r="A127" s="2" t="s">
        <v>1182</v>
      </c>
      <c r="B127" s="2" t="s">
        <v>24</v>
      </c>
      <c r="C127" s="2" t="s">
        <v>1188</v>
      </c>
      <c r="D127" s="2" t="s">
        <v>35</v>
      </c>
      <c r="E127" s="2" t="s">
        <v>36</v>
      </c>
      <c r="F127" s="2"/>
      <c r="G127" s="2"/>
      <c r="H127" s="2"/>
      <c r="I127" s="2"/>
    </row>
    <row r="128" spans="1:9" x14ac:dyDescent="0.35">
      <c r="A128" s="2" t="s">
        <v>1182</v>
      </c>
      <c r="B128" s="2" t="s">
        <v>24</v>
      </c>
      <c r="C128" s="2" t="s">
        <v>1188</v>
      </c>
      <c r="D128" s="2" t="s">
        <v>91</v>
      </c>
      <c r="E128" s="2" t="s">
        <v>19</v>
      </c>
      <c r="F128" s="2" t="s">
        <v>20</v>
      </c>
      <c r="G128" s="2" t="s">
        <v>1190</v>
      </c>
      <c r="H128" s="2"/>
      <c r="I128" s="2"/>
    </row>
    <row r="129" spans="1:9" x14ac:dyDescent="0.35">
      <c r="A129" s="2" t="s">
        <v>1182</v>
      </c>
      <c r="B129" s="2" t="s">
        <v>24</v>
      </c>
      <c r="C129" s="2" t="s">
        <v>1188</v>
      </c>
      <c r="D129" s="2" t="s">
        <v>89</v>
      </c>
      <c r="E129" s="2" t="s">
        <v>45</v>
      </c>
      <c r="F129" s="2" t="s">
        <v>46</v>
      </c>
      <c r="G129" s="2" t="s">
        <v>1191</v>
      </c>
      <c r="H129" s="2"/>
      <c r="I129" s="2"/>
    </row>
    <row r="130" spans="1:9" x14ac:dyDescent="0.35">
      <c r="A130" s="2" t="s">
        <v>1182</v>
      </c>
      <c r="B130" s="2" t="s">
        <v>24</v>
      </c>
      <c r="C130" s="2" t="s">
        <v>1188</v>
      </c>
      <c r="D130" s="2" t="s">
        <v>61</v>
      </c>
      <c r="E130" s="2" t="s">
        <v>30</v>
      </c>
      <c r="F130" s="2"/>
      <c r="G130" s="2"/>
      <c r="H130" s="2"/>
      <c r="I130" s="2"/>
    </row>
    <row r="131" spans="1:9" x14ac:dyDescent="0.35">
      <c r="A131" s="2" t="s">
        <v>1182</v>
      </c>
      <c r="B131" s="2" t="s">
        <v>24</v>
      </c>
      <c r="C131" s="2" t="s">
        <v>1188</v>
      </c>
      <c r="D131" s="2" t="s">
        <v>188</v>
      </c>
      <c r="E131" s="2" t="s">
        <v>189</v>
      </c>
      <c r="F131" s="2" t="s">
        <v>20</v>
      </c>
      <c r="G131" s="2" t="s">
        <v>1192</v>
      </c>
      <c r="H131" s="2"/>
      <c r="I131" s="2"/>
    </row>
    <row r="132" spans="1:9" x14ac:dyDescent="0.35">
      <c r="A132" s="2" t="s">
        <v>1182</v>
      </c>
      <c r="B132" s="2" t="s">
        <v>24</v>
      </c>
      <c r="C132" s="2" t="s">
        <v>1188</v>
      </c>
      <c r="D132" s="2" t="s">
        <v>149</v>
      </c>
      <c r="E132" s="2" t="s">
        <v>150</v>
      </c>
      <c r="F132" s="2" t="s">
        <v>20</v>
      </c>
      <c r="G132" s="2" t="s">
        <v>1193</v>
      </c>
      <c r="H132" s="2"/>
      <c r="I132" s="2"/>
    </row>
    <row r="133" spans="1:9" x14ac:dyDescent="0.35">
      <c r="A133" s="2" t="s">
        <v>1182</v>
      </c>
      <c r="B133" s="2" t="s">
        <v>62</v>
      </c>
      <c r="C133" s="2" t="s">
        <v>1194</v>
      </c>
      <c r="D133" s="2" t="s">
        <v>14</v>
      </c>
      <c r="E133" s="2" t="s">
        <v>15</v>
      </c>
      <c r="F133" s="2"/>
      <c r="G133" s="2"/>
      <c r="H133" s="2"/>
      <c r="I133" s="2"/>
    </row>
    <row r="134" spans="1:9" x14ac:dyDescent="0.35">
      <c r="A134" s="2" t="s">
        <v>1182</v>
      </c>
      <c r="B134" s="2" t="s">
        <v>12</v>
      </c>
      <c r="C134" s="2" t="s">
        <v>1195</v>
      </c>
      <c r="D134" s="2" t="s">
        <v>77</v>
      </c>
      <c r="E134" s="2" t="s">
        <v>78</v>
      </c>
      <c r="F134" s="2"/>
      <c r="G134" s="2"/>
      <c r="H134" s="2"/>
      <c r="I134" s="2"/>
    </row>
    <row r="135" spans="1:9" x14ac:dyDescent="0.35">
      <c r="A135" s="2" t="s">
        <v>1182</v>
      </c>
      <c r="B135" s="2" t="s">
        <v>12</v>
      </c>
      <c r="C135" s="2" t="s">
        <v>1195</v>
      </c>
      <c r="D135" s="2" t="s">
        <v>91</v>
      </c>
      <c r="E135" s="2" t="s">
        <v>19</v>
      </c>
      <c r="F135" s="2"/>
      <c r="G135" s="2"/>
      <c r="H135" s="2"/>
      <c r="I135" s="2"/>
    </row>
    <row r="136" spans="1:9" x14ac:dyDescent="0.35">
      <c r="A136" s="2" t="s">
        <v>1196</v>
      </c>
      <c r="B136" s="2" t="s">
        <v>54</v>
      </c>
      <c r="C136" s="2" t="s">
        <v>1197</v>
      </c>
      <c r="D136" s="2" t="s">
        <v>27</v>
      </c>
      <c r="E136" s="2" t="s">
        <v>28</v>
      </c>
      <c r="F136" s="2" t="s">
        <v>20</v>
      </c>
      <c r="G136" s="2" t="s">
        <v>1198</v>
      </c>
      <c r="H136" s="2"/>
      <c r="I136" s="2"/>
    </row>
    <row r="137" spans="1:9" x14ac:dyDescent="0.35">
      <c r="A137" s="2" t="s">
        <v>1196</v>
      </c>
      <c r="B137" s="2" t="s">
        <v>54</v>
      </c>
      <c r="C137" s="2" t="s">
        <v>1197</v>
      </c>
      <c r="D137" s="2" t="s">
        <v>35</v>
      </c>
      <c r="E137" s="2" t="s">
        <v>36</v>
      </c>
      <c r="F137" s="2" t="s">
        <v>20</v>
      </c>
      <c r="G137" s="2" t="s">
        <v>1199</v>
      </c>
      <c r="H137" s="2"/>
      <c r="I137" s="2"/>
    </row>
    <row r="138" spans="1:9" x14ac:dyDescent="0.35">
      <c r="A138" s="2" t="s">
        <v>1196</v>
      </c>
      <c r="B138" s="2" t="s">
        <v>54</v>
      </c>
      <c r="C138" s="2" t="s">
        <v>1197</v>
      </c>
      <c r="D138" s="2" t="s">
        <v>89</v>
      </c>
      <c r="E138" s="2" t="s">
        <v>45</v>
      </c>
      <c r="F138" s="2" t="s">
        <v>20</v>
      </c>
      <c r="G138" s="2" t="s">
        <v>1200</v>
      </c>
      <c r="H138" s="2"/>
      <c r="I138" s="2"/>
    </row>
    <row r="139" spans="1:9" x14ac:dyDescent="0.35">
      <c r="A139" s="2" t="s">
        <v>1196</v>
      </c>
      <c r="B139" s="2" t="s">
        <v>54</v>
      </c>
      <c r="C139" s="2" t="s">
        <v>1197</v>
      </c>
      <c r="D139" s="2" t="s">
        <v>61</v>
      </c>
      <c r="E139" s="2" t="s">
        <v>30</v>
      </c>
      <c r="F139" s="2" t="s">
        <v>20</v>
      </c>
      <c r="G139" s="2" t="s">
        <v>1201</v>
      </c>
      <c r="H139" s="2"/>
      <c r="I139" s="2"/>
    </row>
    <row r="140" spans="1:9" x14ac:dyDescent="0.35">
      <c r="A140" s="2" t="s">
        <v>1196</v>
      </c>
      <c r="B140" s="2" t="s">
        <v>24</v>
      </c>
      <c r="C140" s="2" t="s">
        <v>1202</v>
      </c>
      <c r="D140" s="2" t="s">
        <v>31</v>
      </c>
      <c r="E140" s="2" t="s">
        <v>32</v>
      </c>
      <c r="F140" s="2"/>
      <c r="G140" s="2"/>
      <c r="H140" s="2"/>
      <c r="I140" s="2"/>
    </row>
    <row r="141" spans="1:9" x14ac:dyDescent="0.35">
      <c r="A141" s="2" t="s">
        <v>1196</v>
      </c>
      <c r="B141" s="2" t="s">
        <v>24</v>
      </c>
      <c r="C141" s="2" t="s">
        <v>1202</v>
      </c>
      <c r="D141" s="2" t="s">
        <v>417</v>
      </c>
      <c r="E141" s="2" t="s">
        <v>40</v>
      </c>
      <c r="F141" s="2"/>
      <c r="G141" s="2"/>
      <c r="H141" s="2"/>
      <c r="I141" s="2"/>
    </row>
    <row r="142" spans="1:9" x14ac:dyDescent="0.35">
      <c r="A142" s="2" t="s">
        <v>1196</v>
      </c>
      <c r="B142" s="2" t="s">
        <v>24</v>
      </c>
      <c r="C142" s="2" t="s">
        <v>1202</v>
      </c>
      <c r="D142" s="2" t="s">
        <v>18</v>
      </c>
      <c r="E142" s="2" t="s">
        <v>19</v>
      </c>
      <c r="F142" s="2" t="s">
        <v>20</v>
      </c>
      <c r="G142" s="2" t="s">
        <v>1203</v>
      </c>
      <c r="H142" s="2"/>
      <c r="I142" s="2"/>
    </row>
    <row r="143" spans="1:9" x14ac:dyDescent="0.35">
      <c r="A143" s="2" t="s">
        <v>1196</v>
      </c>
      <c r="B143" s="2" t="s">
        <v>24</v>
      </c>
      <c r="C143" s="2" t="s">
        <v>1202</v>
      </c>
      <c r="D143" s="2" t="s">
        <v>61</v>
      </c>
      <c r="E143" s="2" t="s">
        <v>1204</v>
      </c>
      <c r="F143" s="2"/>
      <c r="G143" s="2"/>
      <c r="H143" s="2"/>
      <c r="I143" s="2"/>
    </row>
    <row r="144" spans="1:9" x14ac:dyDescent="0.35">
      <c r="A144" s="2" t="s">
        <v>1196</v>
      </c>
      <c r="B144" s="2" t="s">
        <v>24</v>
      </c>
      <c r="C144" s="2" t="s">
        <v>1202</v>
      </c>
      <c r="D144" s="2" t="s">
        <v>116</v>
      </c>
      <c r="E144" s="2" t="s">
        <v>1204</v>
      </c>
      <c r="F144" s="2"/>
      <c r="G144" s="2"/>
      <c r="H144" s="2"/>
      <c r="I144" s="2"/>
    </row>
    <row r="145" spans="1:9" x14ac:dyDescent="0.35">
      <c r="A145" s="2" t="s">
        <v>1196</v>
      </c>
      <c r="B145" s="2" t="s">
        <v>62</v>
      </c>
      <c r="C145" s="2" t="s">
        <v>1205</v>
      </c>
      <c r="D145" s="2" t="s">
        <v>27</v>
      </c>
      <c r="E145" s="2" t="s">
        <v>28</v>
      </c>
      <c r="F145" s="2"/>
      <c r="G145" s="2"/>
      <c r="H145" s="2"/>
      <c r="I145" s="2"/>
    </row>
    <row r="146" spans="1:9" x14ac:dyDescent="0.35">
      <c r="A146" s="2" t="s">
        <v>1196</v>
      </c>
      <c r="B146" s="2" t="s">
        <v>57</v>
      </c>
      <c r="C146" s="2" t="s">
        <v>1206</v>
      </c>
      <c r="D146" s="2" t="s">
        <v>1207</v>
      </c>
      <c r="E146" s="2" t="s">
        <v>28</v>
      </c>
      <c r="F146" s="2"/>
      <c r="G146" s="2"/>
      <c r="H146" s="2"/>
      <c r="I146" s="2"/>
    </row>
    <row r="147" spans="1:9" x14ac:dyDescent="0.35">
      <c r="A147" s="2" t="s">
        <v>1196</v>
      </c>
      <c r="B147" s="2" t="s">
        <v>57</v>
      </c>
      <c r="C147" s="2" t="s">
        <v>1206</v>
      </c>
      <c r="D147" s="2" t="s">
        <v>14</v>
      </c>
      <c r="E147" s="2" t="s">
        <v>15</v>
      </c>
      <c r="F147" s="2"/>
      <c r="G147" s="2"/>
      <c r="H147" s="2"/>
      <c r="I147" s="2"/>
    </row>
    <row r="148" spans="1:9" x14ac:dyDescent="0.35">
      <c r="A148" s="2" t="s">
        <v>1196</v>
      </c>
      <c r="B148" s="2" t="s">
        <v>57</v>
      </c>
      <c r="C148" s="2" t="s">
        <v>1206</v>
      </c>
      <c r="D148" s="2" t="s">
        <v>27</v>
      </c>
      <c r="E148" s="2" t="s">
        <v>28</v>
      </c>
      <c r="F148" s="2"/>
      <c r="G148" s="2"/>
      <c r="H148" s="2"/>
      <c r="I148" s="2"/>
    </row>
    <row r="149" spans="1:9" x14ac:dyDescent="0.35">
      <c r="A149" s="2" t="s">
        <v>1196</v>
      </c>
      <c r="B149" s="2" t="s">
        <v>57</v>
      </c>
      <c r="C149" s="2" t="s">
        <v>1206</v>
      </c>
      <c r="D149" s="2" t="s">
        <v>82</v>
      </c>
      <c r="E149" s="2" t="s">
        <v>83</v>
      </c>
      <c r="F149" s="2"/>
      <c r="G149" s="2"/>
      <c r="H149" s="2"/>
      <c r="I149" s="2"/>
    </row>
    <row r="150" spans="1:9" x14ac:dyDescent="0.35">
      <c r="A150" s="2" t="s">
        <v>1196</v>
      </c>
      <c r="B150" s="2" t="s">
        <v>57</v>
      </c>
      <c r="C150" s="2" t="s">
        <v>1206</v>
      </c>
      <c r="D150" s="2" t="s">
        <v>121</v>
      </c>
      <c r="E150" s="2" t="s">
        <v>122</v>
      </c>
      <c r="F150" s="2"/>
      <c r="G150" s="2"/>
      <c r="H150" s="2"/>
      <c r="I150" s="2"/>
    </row>
    <row r="151" spans="1:9" x14ac:dyDescent="0.35">
      <c r="A151" s="2" t="s">
        <v>1196</v>
      </c>
      <c r="B151" s="2" t="s">
        <v>57</v>
      </c>
      <c r="C151" s="2" t="s">
        <v>1206</v>
      </c>
      <c r="D151" s="2" t="s">
        <v>1208</v>
      </c>
      <c r="E151" s="2" t="s">
        <v>150</v>
      </c>
      <c r="F151" s="2"/>
      <c r="G151" s="2"/>
      <c r="H151" s="2"/>
      <c r="I151" s="2"/>
    </row>
    <row r="152" spans="1:9" x14ac:dyDescent="0.35">
      <c r="A152" s="2" t="s">
        <v>1196</v>
      </c>
      <c r="B152" s="2" t="s">
        <v>57</v>
      </c>
      <c r="C152" s="2" t="s">
        <v>1206</v>
      </c>
      <c r="D152" s="2" t="s">
        <v>188</v>
      </c>
      <c r="E152" s="2" t="s">
        <v>189</v>
      </c>
      <c r="F152" s="2"/>
      <c r="G152" s="2"/>
      <c r="H152" s="2"/>
      <c r="I152" s="2"/>
    </row>
    <row r="153" spans="1:9" x14ac:dyDescent="0.35">
      <c r="A153" s="2" t="s">
        <v>1196</v>
      </c>
      <c r="B153" s="2" t="s">
        <v>57</v>
      </c>
      <c r="C153" s="2" t="s">
        <v>1206</v>
      </c>
      <c r="D153" s="2" t="s">
        <v>61</v>
      </c>
      <c r="E153" s="2" t="s">
        <v>1204</v>
      </c>
      <c r="F153" s="2"/>
      <c r="G153" s="2"/>
      <c r="H153" s="2"/>
      <c r="I153" s="2"/>
    </row>
    <row r="154" spans="1:9" x14ac:dyDescent="0.35">
      <c r="A154" s="2" t="s">
        <v>1196</v>
      </c>
      <c r="B154" s="2" t="s">
        <v>57</v>
      </c>
      <c r="C154" s="2" t="s">
        <v>1206</v>
      </c>
      <c r="D154" s="2" t="s">
        <v>149</v>
      </c>
      <c r="E154" s="2" t="s">
        <v>150</v>
      </c>
      <c r="F154" s="2" t="s">
        <v>20</v>
      </c>
      <c r="G154" s="2" t="s">
        <v>1209</v>
      </c>
      <c r="H154" s="2"/>
      <c r="I154" s="2"/>
    </row>
    <row r="155" spans="1:9" x14ac:dyDescent="0.35">
      <c r="A155" s="2" t="s">
        <v>1196</v>
      </c>
      <c r="B155" s="2" t="s">
        <v>62</v>
      </c>
      <c r="C155" s="2" t="s">
        <v>1210</v>
      </c>
      <c r="D155" s="2" t="s">
        <v>14</v>
      </c>
      <c r="E155" s="2" t="s">
        <v>15</v>
      </c>
      <c r="F155" s="2"/>
      <c r="G155" s="2"/>
      <c r="H155" s="2"/>
      <c r="I155" s="2"/>
    </row>
    <row r="156" spans="1:9" x14ac:dyDescent="0.35">
      <c r="A156" s="2" t="s">
        <v>1196</v>
      </c>
      <c r="B156" s="2" t="s">
        <v>62</v>
      </c>
      <c r="C156" s="2" t="s">
        <v>1210</v>
      </c>
      <c r="D156" s="2" t="s">
        <v>49</v>
      </c>
      <c r="E156" s="2" t="s">
        <v>50</v>
      </c>
      <c r="F156" s="2" t="s">
        <v>46</v>
      </c>
      <c r="G156" s="2" t="s">
        <v>137</v>
      </c>
      <c r="H156" s="2"/>
      <c r="I156" s="2"/>
    </row>
    <row r="157" spans="1:9" x14ac:dyDescent="0.35">
      <c r="A157" s="2" t="s">
        <v>1196</v>
      </c>
      <c r="B157" s="2" t="s">
        <v>62</v>
      </c>
      <c r="C157" s="2" t="s">
        <v>1210</v>
      </c>
      <c r="D157" s="2" t="s">
        <v>18</v>
      </c>
      <c r="E157" s="2" t="s">
        <v>19</v>
      </c>
      <c r="F157" s="2"/>
      <c r="G157" s="2"/>
      <c r="H157" s="2"/>
      <c r="I157" s="2"/>
    </row>
    <row r="158" spans="1:9" x14ac:dyDescent="0.35">
      <c r="A158" s="2" t="s">
        <v>1196</v>
      </c>
      <c r="B158" s="2" t="s">
        <v>62</v>
      </c>
      <c r="C158" s="2" t="s">
        <v>1210</v>
      </c>
      <c r="D158" s="2" t="s">
        <v>127</v>
      </c>
      <c r="E158" s="2" t="s">
        <v>107</v>
      </c>
      <c r="F158" s="2"/>
      <c r="G158" s="2"/>
      <c r="H158" s="2"/>
      <c r="I158" s="2"/>
    </row>
    <row r="159" spans="1:9" x14ac:dyDescent="0.35">
      <c r="A159" s="2" t="s">
        <v>1196</v>
      </c>
      <c r="B159" s="2" t="s">
        <v>24</v>
      </c>
      <c r="C159" s="2" t="s">
        <v>1211</v>
      </c>
      <c r="D159" s="2" t="s">
        <v>196</v>
      </c>
      <c r="E159" s="2" t="s">
        <v>197</v>
      </c>
      <c r="F159" s="2"/>
      <c r="G159" s="2"/>
      <c r="H159" s="2"/>
      <c r="I159" s="2"/>
    </row>
    <row r="160" spans="1:9" x14ac:dyDescent="0.35">
      <c r="A160" s="2" t="s">
        <v>1196</v>
      </c>
      <c r="B160" s="2" t="s">
        <v>24</v>
      </c>
      <c r="C160" s="2" t="s">
        <v>1211</v>
      </c>
      <c r="D160" s="2" t="s">
        <v>1212</v>
      </c>
      <c r="E160" s="2" t="s">
        <v>36</v>
      </c>
      <c r="F160" s="2"/>
      <c r="G160" s="2"/>
      <c r="H160" s="2"/>
      <c r="I160" s="2"/>
    </row>
    <row r="161" spans="1:9" x14ac:dyDescent="0.35">
      <c r="A161" s="2" t="s">
        <v>1196</v>
      </c>
      <c r="B161" s="2" t="s">
        <v>24</v>
      </c>
      <c r="C161" s="2" t="s">
        <v>1211</v>
      </c>
      <c r="D161" s="2" t="s">
        <v>563</v>
      </c>
      <c r="E161" s="2" t="s">
        <v>45</v>
      </c>
      <c r="F161" s="2"/>
      <c r="G161" s="2"/>
      <c r="H161" s="2"/>
      <c r="I161" s="2"/>
    </row>
    <row r="162" spans="1:9" x14ac:dyDescent="0.35">
      <c r="A162" s="2" t="s">
        <v>1196</v>
      </c>
      <c r="B162" s="2" t="s">
        <v>24</v>
      </c>
      <c r="C162" s="2" t="s">
        <v>1211</v>
      </c>
      <c r="D162" s="2" t="s">
        <v>1213</v>
      </c>
      <c r="E162" s="2" t="s">
        <v>125</v>
      </c>
      <c r="F162" s="2"/>
      <c r="G162" s="2"/>
      <c r="H162" s="2"/>
      <c r="I162" s="2"/>
    </row>
    <row r="163" spans="1:9" x14ac:dyDescent="0.35">
      <c r="A163" s="2" t="s">
        <v>1196</v>
      </c>
      <c r="B163" s="2" t="s">
        <v>24</v>
      </c>
      <c r="C163" s="2" t="s">
        <v>1211</v>
      </c>
      <c r="D163" s="2" t="s">
        <v>31</v>
      </c>
      <c r="E163" s="2" t="s">
        <v>32</v>
      </c>
      <c r="F163" s="2"/>
      <c r="G163" s="2"/>
      <c r="H163" s="2"/>
      <c r="I163" s="2"/>
    </row>
    <row r="164" spans="1:9" x14ac:dyDescent="0.35">
      <c r="A164" s="2" t="s">
        <v>1196</v>
      </c>
      <c r="B164" s="2" t="s">
        <v>24</v>
      </c>
      <c r="C164" s="2" t="s">
        <v>1211</v>
      </c>
      <c r="D164" s="2" t="s">
        <v>1214</v>
      </c>
      <c r="E164" s="2" t="s">
        <v>38</v>
      </c>
      <c r="F164" s="2"/>
      <c r="G164" s="2"/>
      <c r="H164" s="2"/>
      <c r="I164" s="2"/>
    </row>
    <row r="165" spans="1:9" x14ac:dyDescent="0.35">
      <c r="A165" s="2" t="s">
        <v>1196</v>
      </c>
      <c r="B165" s="2" t="s">
        <v>24</v>
      </c>
      <c r="C165" s="2" t="s">
        <v>1211</v>
      </c>
      <c r="D165" s="2" t="s">
        <v>82</v>
      </c>
      <c r="E165" s="2" t="s">
        <v>83</v>
      </c>
      <c r="F165" s="2"/>
      <c r="G165" s="2"/>
      <c r="H165" s="2"/>
      <c r="I165" s="2"/>
    </row>
    <row r="166" spans="1:9" x14ac:dyDescent="0.35">
      <c r="A166" s="2" t="s">
        <v>1196</v>
      </c>
      <c r="B166" s="2" t="s">
        <v>24</v>
      </c>
      <c r="C166" s="2" t="s">
        <v>1211</v>
      </c>
      <c r="D166" s="2" t="s">
        <v>1215</v>
      </c>
      <c r="E166" s="2" t="s">
        <v>1216</v>
      </c>
      <c r="F166" s="2"/>
      <c r="G166" s="2"/>
      <c r="H166" s="2"/>
      <c r="I166" s="2"/>
    </row>
    <row r="167" spans="1:9" x14ac:dyDescent="0.35">
      <c r="A167" s="2" t="s">
        <v>1196</v>
      </c>
      <c r="B167" s="2" t="s">
        <v>24</v>
      </c>
      <c r="C167" s="2" t="s">
        <v>1211</v>
      </c>
      <c r="D167" s="2" t="s">
        <v>1217</v>
      </c>
      <c r="E167" s="2" t="s">
        <v>38</v>
      </c>
      <c r="F167" s="2"/>
      <c r="G167" s="2"/>
      <c r="H167" s="2"/>
      <c r="I167" s="2"/>
    </row>
    <row r="168" spans="1:9" x14ac:dyDescent="0.35">
      <c r="A168" s="2" t="s">
        <v>1196</v>
      </c>
      <c r="B168" s="2" t="s">
        <v>24</v>
      </c>
      <c r="C168" s="2" t="s">
        <v>1211</v>
      </c>
      <c r="D168" s="2" t="s">
        <v>1218</v>
      </c>
      <c r="E168" s="2" t="s">
        <v>38</v>
      </c>
      <c r="F168" s="2"/>
      <c r="G168" s="2"/>
      <c r="H168" s="2"/>
      <c r="I168" s="2"/>
    </row>
    <row r="169" spans="1:9" x14ac:dyDescent="0.35">
      <c r="A169" s="2" t="s">
        <v>1196</v>
      </c>
      <c r="B169" s="2" t="s">
        <v>24</v>
      </c>
      <c r="C169" s="2" t="s">
        <v>1211</v>
      </c>
      <c r="D169" s="2" t="s">
        <v>87</v>
      </c>
      <c r="E169" s="2" t="s">
        <v>75</v>
      </c>
      <c r="F169" s="2"/>
      <c r="G169" s="2"/>
      <c r="H169" s="2"/>
      <c r="I169" s="2"/>
    </row>
    <row r="170" spans="1:9" x14ac:dyDescent="0.35">
      <c r="A170" s="2" t="s">
        <v>1196</v>
      </c>
      <c r="B170" s="2" t="s">
        <v>24</v>
      </c>
      <c r="C170" s="2" t="s">
        <v>1211</v>
      </c>
      <c r="D170" s="2" t="s">
        <v>417</v>
      </c>
      <c r="E170" s="2" t="s">
        <v>40</v>
      </c>
      <c r="F170" s="2"/>
      <c r="G170" s="2"/>
      <c r="H170" s="2"/>
      <c r="I170" s="2"/>
    </row>
    <row r="171" spans="1:9" x14ac:dyDescent="0.35">
      <c r="A171" s="2" t="s">
        <v>1196</v>
      </c>
      <c r="B171" s="2" t="s">
        <v>24</v>
      </c>
      <c r="C171" s="2" t="s">
        <v>1211</v>
      </c>
      <c r="D171" s="2" t="s">
        <v>1176</v>
      </c>
      <c r="E171" s="2" t="s">
        <v>38</v>
      </c>
      <c r="F171" s="2"/>
      <c r="G171" s="2"/>
      <c r="H171" s="2"/>
      <c r="I171" s="2"/>
    </row>
    <row r="172" spans="1:9" x14ac:dyDescent="0.35">
      <c r="A172" s="2" t="s">
        <v>1196</v>
      </c>
      <c r="B172" s="2" t="s">
        <v>24</v>
      </c>
      <c r="C172" s="2" t="s">
        <v>1211</v>
      </c>
      <c r="D172" s="2" t="s">
        <v>100</v>
      </c>
      <c r="E172" s="2" t="s">
        <v>101</v>
      </c>
      <c r="F172" s="2"/>
      <c r="G172" s="2"/>
      <c r="H172" s="2"/>
      <c r="I172" s="2"/>
    </row>
    <row r="173" spans="1:9" x14ac:dyDescent="0.35">
      <c r="A173" s="2" t="s">
        <v>1196</v>
      </c>
      <c r="B173" s="2" t="s">
        <v>24</v>
      </c>
      <c r="C173" s="2" t="s">
        <v>1211</v>
      </c>
      <c r="D173" s="2" t="s">
        <v>188</v>
      </c>
      <c r="E173" s="2" t="s">
        <v>189</v>
      </c>
      <c r="F173" s="2"/>
      <c r="G173" s="2"/>
      <c r="H173" s="2"/>
      <c r="I173" s="2"/>
    </row>
    <row r="174" spans="1:9" x14ac:dyDescent="0.35">
      <c r="A174" s="2" t="s">
        <v>1196</v>
      </c>
      <c r="B174" s="2" t="s">
        <v>24</v>
      </c>
      <c r="C174" s="2" t="s">
        <v>1211</v>
      </c>
      <c r="D174" s="2" t="s">
        <v>366</v>
      </c>
      <c r="E174" s="2" t="s">
        <v>367</v>
      </c>
      <c r="F174" s="2"/>
      <c r="G174" s="2"/>
      <c r="H174" s="2"/>
      <c r="I174" s="2"/>
    </row>
    <row r="175" spans="1:9" x14ac:dyDescent="0.35">
      <c r="A175" s="2" t="s">
        <v>1196</v>
      </c>
      <c r="B175" s="2" t="s">
        <v>24</v>
      </c>
      <c r="C175" s="2" t="s">
        <v>1211</v>
      </c>
      <c r="D175" s="2" t="s">
        <v>1219</v>
      </c>
      <c r="E175" s="2" t="s">
        <v>107</v>
      </c>
      <c r="F175" s="2"/>
      <c r="G175" s="2"/>
      <c r="H175" s="2"/>
      <c r="I175" s="2"/>
    </row>
    <row r="176" spans="1:9" x14ac:dyDescent="0.35">
      <c r="A176" s="2" t="s">
        <v>1196</v>
      </c>
      <c r="B176" s="2" t="s">
        <v>24</v>
      </c>
      <c r="C176" s="2" t="s">
        <v>1211</v>
      </c>
      <c r="D176" s="2" t="s">
        <v>149</v>
      </c>
      <c r="E176" s="2" t="s">
        <v>150</v>
      </c>
      <c r="F176" s="2"/>
      <c r="G176" s="2"/>
      <c r="H176" s="2"/>
      <c r="I176" s="2"/>
    </row>
    <row r="177" spans="1:9" x14ac:dyDescent="0.35">
      <c r="A177" s="2" t="s">
        <v>1196</v>
      </c>
      <c r="B177" s="2" t="s">
        <v>24</v>
      </c>
      <c r="C177" s="2" t="s">
        <v>1211</v>
      </c>
      <c r="D177" s="2" t="s">
        <v>1220</v>
      </c>
      <c r="E177" s="2" t="s">
        <v>43</v>
      </c>
      <c r="F177" s="2"/>
      <c r="G177" s="2"/>
      <c r="H177" s="2"/>
      <c r="I177" s="2"/>
    </row>
    <row r="178" spans="1:9" x14ac:dyDescent="0.35">
      <c r="A178" s="2" t="s">
        <v>1196</v>
      </c>
      <c r="B178" s="2" t="s">
        <v>62</v>
      </c>
      <c r="C178" s="2" t="s">
        <v>1221</v>
      </c>
      <c r="D178" s="2" t="s">
        <v>532</v>
      </c>
      <c r="E178" s="2" t="s">
        <v>533</v>
      </c>
      <c r="F178" s="2"/>
      <c r="G178" s="2"/>
      <c r="H178" s="2"/>
      <c r="I178" s="2"/>
    </row>
    <row r="179" spans="1:9" x14ac:dyDescent="0.35">
      <c r="A179" s="2" t="s">
        <v>1196</v>
      </c>
      <c r="B179" s="2" t="s">
        <v>62</v>
      </c>
      <c r="C179" s="2" t="s">
        <v>1221</v>
      </c>
      <c r="D179" s="2" t="s">
        <v>375</v>
      </c>
      <c r="E179" s="2" t="s">
        <v>107</v>
      </c>
      <c r="F179" s="2"/>
      <c r="G179" s="2"/>
      <c r="H179" s="2"/>
      <c r="I179" s="2"/>
    </row>
    <row r="180" spans="1:9" x14ac:dyDescent="0.35">
      <c r="A180" s="2" t="s">
        <v>1196</v>
      </c>
      <c r="B180" s="2" t="s">
        <v>62</v>
      </c>
      <c r="C180" s="2" t="s">
        <v>1222</v>
      </c>
      <c r="D180" s="2" t="s">
        <v>31</v>
      </c>
      <c r="E180" s="2" t="s">
        <v>32</v>
      </c>
      <c r="F180" s="2"/>
      <c r="G180" s="2"/>
      <c r="H180" s="2"/>
      <c r="I180" s="2"/>
    </row>
    <row r="181" spans="1:9" x14ac:dyDescent="0.35">
      <c r="A181" s="2" t="s">
        <v>1196</v>
      </c>
      <c r="B181" s="2" t="s">
        <v>62</v>
      </c>
      <c r="C181" s="2" t="s">
        <v>1222</v>
      </c>
      <c r="D181" s="2" t="s">
        <v>660</v>
      </c>
      <c r="E181" s="2" t="s">
        <v>75</v>
      </c>
      <c r="F181" s="2"/>
      <c r="G181" s="2"/>
      <c r="H181" s="2"/>
      <c r="I181" s="2"/>
    </row>
    <row r="182" spans="1:9" x14ac:dyDescent="0.35">
      <c r="A182" s="2" t="s">
        <v>1196</v>
      </c>
      <c r="B182" s="2" t="s">
        <v>62</v>
      </c>
      <c r="C182" s="2" t="s">
        <v>1222</v>
      </c>
      <c r="D182" s="2" t="s">
        <v>965</v>
      </c>
      <c r="E182" s="2" t="s">
        <v>363</v>
      </c>
      <c r="F182" s="2" t="s">
        <v>46</v>
      </c>
      <c r="G182" s="2" t="s">
        <v>111</v>
      </c>
      <c r="H182" s="2"/>
      <c r="I182" s="2"/>
    </row>
    <row r="183" spans="1:9" x14ac:dyDescent="0.35">
      <c r="A183" s="2" t="s">
        <v>1196</v>
      </c>
      <c r="B183" s="2" t="s">
        <v>24</v>
      </c>
      <c r="C183" s="2" t="s">
        <v>1223</v>
      </c>
      <c r="D183" s="2" t="s">
        <v>14</v>
      </c>
      <c r="E183" s="2" t="s">
        <v>15</v>
      </c>
      <c r="F183" s="2"/>
      <c r="G183" s="2"/>
      <c r="H183" s="2"/>
      <c r="I183" s="2"/>
    </row>
    <row r="184" spans="1:9" x14ac:dyDescent="0.35">
      <c r="A184" s="2" t="s">
        <v>1196</v>
      </c>
      <c r="B184" s="2" t="s">
        <v>24</v>
      </c>
      <c r="C184" s="2" t="s">
        <v>1223</v>
      </c>
      <c r="D184" s="2" t="s">
        <v>27</v>
      </c>
      <c r="E184" s="2" t="s">
        <v>28</v>
      </c>
      <c r="F184" s="2"/>
      <c r="G184" s="2" t="s">
        <v>1224</v>
      </c>
      <c r="H184" s="2"/>
      <c r="I184" s="2"/>
    </row>
    <row r="185" spans="1:9" x14ac:dyDescent="0.35">
      <c r="A185" s="2" t="s">
        <v>1196</v>
      </c>
      <c r="B185" s="2" t="s">
        <v>24</v>
      </c>
      <c r="C185" s="2" t="s">
        <v>1223</v>
      </c>
      <c r="D185" s="2" t="s">
        <v>82</v>
      </c>
      <c r="E185" s="2" t="s">
        <v>83</v>
      </c>
      <c r="F185" s="2"/>
      <c r="G185" s="2" t="s">
        <v>1225</v>
      </c>
      <c r="H185" s="2"/>
      <c r="I185" s="2"/>
    </row>
    <row r="186" spans="1:9" x14ac:dyDescent="0.35">
      <c r="A186" s="2" t="s">
        <v>1196</v>
      </c>
      <c r="B186" s="2" t="s">
        <v>24</v>
      </c>
      <c r="C186" s="2" t="s">
        <v>1223</v>
      </c>
      <c r="D186" s="2" t="s">
        <v>1226</v>
      </c>
      <c r="E186" s="2" t="s">
        <v>107</v>
      </c>
      <c r="F186" s="2"/>
      <c r="G186" s="2"/>
      <c r="H186" s="2"/>
      <c r="I186" s="2"/>
    </row>
    <row r="187" spans="1:9" x14ac:dyDescent="0.35">
      <c r="A187" s="2" t="s">
        <v>1196</v>
      </c>
      <c r="B187" s="2" t="s">
        <v>24</v>
      </c>
      <c r="C187" s="2" t="s">
        <v>1223</v>
      </c>
      <c r="D187" s="2" t="s">
        <v>121</v>
      </c>
      <c r="E187" s="2" t="s">
        <v>122</v>
      </c>
      <c r="F187" s="2"/>
      <c r="G187" s="2"/>
      <c r="H187" s="2"/>
      <c r="I187" s="2"/>
    </row>
    <row r="188" spans="1:9" x14ac:dyDescent="0.35">
      <c r="A188" s="2" t="s">
        <v>1196</v>
      </c>
      <c r="B188" s="2" t="s">
        <v>24</v>
      </c>
      <c r="C188" s="2" t="s">
        <v>1223</v>
      </c>
      <c r="D188" s="2" t="s">
        <v>77</v>
      </c>
      <c r="E188" s="2" t="s">
        <v>78</v>
      </c>
      <c r="F188" s="2"/>
      <c r="G188" s="2" t="s">
        <v>1224</v>
      </c>
      <c r="H188" s="2"/>
      <c r="I188" s="2"/>
    </row>
    <row r="189" spans="1:9" x14ac:dyDescent="0.35">
      <c r="A189" s="2" t="s">
        <v>1196</v>
      </c>
      <c r="B189" s="2" t="s">
        <v>24</v>
      </c>
      <c r="C189" s="2" t="s">
        <v>1223</v>
      </c>
      <c r="D189" s="2" t="s">
        <v>18</v>
      </c>
      <c r="E189" s="2" t="s">
        <v>19</v>
      </c>
      <c r="F189" s="2" t="s">
        <v>20</v>
      </c>
      <c r="G189" s="2" t="s">
        <v>1227</v>
      </c>
      <c r="H189" s="2"/>
      <c r="I189" s="2"/>
    </row>
    <row r="190" spans="1:9" x14ac:dyDescent="0.35">
      <c r="A190" s="2" t="s">
        <v>1196</v>
      </c>
      <c r="B190" s="2" t="s">
        <v>24</v>
      </c>
      <c r="C190" s="2" t="s">
        <v>1223</v>
      </c>
      <c r="D190" s="2" t="s">
        <v>1228</v>
      </c>
      <c r="E190" s="2" t="s">
        <v>228</v>
      </c>
      <c r="F190" s="2"/>
      <c r="G190" s="2"/>
      <c r="H190" s="2"/>
      <c r="I190" s="2"/>
    </row>
    <row r="191" spans="1:9" x14ac:dyDescent="0.35">
      <c r="A191" s="2" t="s">
        <v>1196</v>
      </c>
      <c r="B191" s="2" t="s">
        <v>24</v>
      </c>
      <c r="C191" s="2" t="s">
        <v>1229</v>
      </c>
      <c r="D191" s="2" t="s">
        <v>27</v>
      </c>
      <c r="E191" s="2" t="s">
        <v>28</v>
      </c>
      <c r="F191" s="2"/>
      <c r="G191" s="2"/>
      <c r="H191" s="2" t="s">
        <v>16</v>
      </c>
      <c r="I191" s="2" t="s">
        <v>1110</v>
      </c>
    </row>
    <row r="192" spans="1:9" x14ac:dyDescent="0.35">
      <c r="A192" s="2" t="s">
        <v>1196</v>
      </c>
      <c r="B192" s="2" t="s">
        <v>24</v>
      </c>
      <c r="C192" s="2" t="s">
        <v>1229</v>
      </c>
      <c r="D192" s="2" t="s">
        <v>291</v>
      </c>
      <c r="E192" s="2" t="s">
        <v>139</v>
      </c>
      <c r="F192" s="2"/>
      <c r="G192" s="2"/>
      <c r="H192" s="2" t="s">
        <v>16</v>
      </c>
      <c r="I192" s="2" t="s">
        <v>1110</v>
      </c>
    </row>
    <row r="193" spans="1:9" x14ac:dyDescent="0.35">
      <c r="A193" s="2" t="s">
        <v>1196</v>
      </c>
      <c r="B193" s="2" t="s">
        <v>24</v>
      </c>
      <c r="C193" s="2" t="s">
        <v>1229</v>
      </c>
      <c r="D193" s="2" t="s">
        <v>91</v>
      </c>
      <c r="E193" s="2" t="s">
        <v>19</v>
      </c>
      <c r="F193" s="2" t="s">
        <v>20</v>
      </c>
      <c r="G193" s="2" t="s">
        <v>1230</v>
      </c>
      <c r="H193" s="2" t="s">
        <v>16</v>
      </c>
      <c r="I193" s="2" t="s">
        <v>1110</v>
      </c>
    </row>
    <row r="194" spans="1:9" x14ac:dyDescent="0.35">
      <c r="A194" s="2" t="s">
        <v>1196</v>
      </c>
      <c r="B194" s="2" t="s">
        <v>24</v>
      </c>
      <c r="C194" s="2" t="s">
        <v>1229</v>
      </c>
      <c r="D194" s="2" t="s">
        <v>61</v>
      </c>
      <c r="E194" s="2" t="s">
        <v>1204</v>
      </c>
      <c r="F194" s="2"/>
      <c r="G194" s="2"/>
      <c r="H194" s="2" t="s">
        <v>16</v>
      </c>
      <c r="I194" s="2" t="s">
        <v>1110</v>
      </c>
    </row>
    <row r="195" spans="1:9" x14ac:dyDescent="0.35">
      <c r="A195" s="2" t="s">
        <v>1196</v>
      </c>
      <c r="B195" s="2" t="s">
        <v>54</v>
      </c>
      <c r="C195" s="2" t="s">
        <v>1231</v>
      </c>
      <c r="D195" s="2" t="s">
        <v>82</v>
      </c>
      <c r="E195" s="2" t="s">
        <v>83</v>
      </c>
      <c r="F195" s="2" t="s">
        <v>20</v>
      </c>
      <c r="G195" s="2" t="s">
        <v>1232</v>
      </c>
      <c r="H195" s="2"/>
      <c r="I195" s="2"/>
    </row>
    <row r="196" spans="1:9" x14ac:dyDescent="0.35">
      <c r="A196" s="2" t="s">
        <v>1196</v>
      </c>
      <c r="B196" s="2" t="s">
        <v>54</v>
      </c>
      <c r="C196" s="2" t="s">
        <v>1231</v>
      </c>
      <c r="D196" s="2" t="s">
        <v>35</v>
      </c>
      <c r="E196" s="2" t="s">
        <v>36</v>
      </c>
      <c r="F196" s="2" t="s">
        <v>20</v>
      </c>
      <c r="G196" s="2" t="s">
        <v>1233</v>
      </c>
      <c r="H196" s="2"/>
      <c r="I196" s="2"/>
    </row>
    <row r="197" spans="1:9" x14ac:dyDescent="0.35">
      <c r="A197" s="2" t="s">
        <v>1196</v>
      </c>
      <c r="B197" s="2" t="s">
        <v>54</v>
      </c>
      <c r="C197" s="2" t="s">
        <v>1231</v>
      </c>
      <c r="D197" s="2" t="s">
        <v>18</v>
      </c>
      <c r="E197" s="2" t="s">
        <v>19</v>
      </c>
      <c r="F197" s="2" t="s">
        <v>20</v>
      </c>
      <c r="G197" s="2" t="s">
        <v>1234</v>
      </c>
      <c r="H197" s="2"/>
      <c r="I197" s="2"/>
    </row>
    <row r="198" spans="1:9" x14ac:dyDescent="0.35">
      <c r="A198" s="2" t="s">
        <v>1196</v>
      </c>
      <c r="B198" s="2" t="s">
        <v>54</v>
      </c>
      <c r="C198" s="2" t="s">
        <v>1231</v>
      </c>
      <c r="D198" s="2" t="s">
        <v>423</v>
      </c>
      <c r="E198" s="2" t="s">
        <v>424</v>
      </c>
      <c r="F198" s="2" t="s">
        <v>20</v>
      </c>
      <c r="G198" s="2" t="s">
        <v>1235</v>
      </c>
      <c r="H198" s="2"/>
      <c r="I198" s="2"/>
    </row>
    <row r="199" spans="1:9" x14ac:dyDescent="0.35">
      <c r="A199" s="2" t="s">
        <v>1196</v>
      </c>
      <c r="B199" s="2" t="s">
        <v>62</v>
      </c>
      <c r="C199" s="2" t="s">
        <v>1236</v>
      </c>
      <c r="D199" s="2" t="s">
        <v>27</v>
      </c>
      <c r="E199" s="2" t="s">
        <v>28</v>
      </c>
      <c r="F199" s="2"/>
      <c r="G199" s="2"/>
      <c r="H199" s="2"/>
      <c r="I199" s="2"/>
    </row>
    <row r="200" spans="1:9" x14ac:dyDescent="0.35">
      <c r="A200" s="2" t="s">
        <v>1196</v>
      </c>
      <c r="B200" s="2" t="s">
        <v>62</v>
      </c>
      <c r="C200" s="2" t="s">
        <v>1236</v>
      </c>
      <c r="D200" s="2" t="s">
        <v>31</v>
      </c>
      <c r="E200" s="2" t="s">
        <v>32</v>
      </c>
      <c r="F200" s="2"/>
      <c r="G200" s="2"/>
      <c r="H200" s="2"/>
      <c r="I200" s="2"/>
    </row>
    <row r="201" spans="1:9" x14ac:dyDescent="0.35">
      <c r="A201" s="2" t="s">
        <v>1196</v>
      </c>
      <c r="B201" s="2" t="s">
        <v>62</v>
      </c>
      <c r="C201" s="2" t="s">
        <v>1236</v>
      </c>
      <c r="D201" s="2" t="s">
        <v>87</v>
      </c>
      <c r="E201" s="2" t="s">
        <v>75</v>
      </c>
      <c r="F201" s="2"/>
      <c r="G201" s="2"/>
      <c r="H201" s="2"/>
      <c r="I201" s="2"/>
    </row>
  </sheetData>
  <autoFilter ref="A1:I1" xr:uid="{00000000-0009-0000-0000-000002000000}"/>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561"/>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1238</v>
      </c>
      <c r="B2" s="2" t="s">
        <v>54</v>
      </c>
      <c r="C2" s="2" t="s">
        <v>1239</v>
      </c>
      <c r="D2" s="2" t="s">
        <v>130</v>
      </c>
      <c r="E2" s="2" t="s">
        <v>36</v>
      </c>
      <c r="F2" s="2"/>
      <c r="G2" s="2"/>
      <c r="H2" s="2"/>
      <c r="I2" s="2"/>
    </row>
    <row r="3" spans="1:9" x14ac:dyDescent="0.35">
      <c r="A3" s="2" t="s">
        <v>1238</v>
      </c>
      <c r="B3" s="2" t="s">
        <v>54</v>
      </c>
      <c r="C3" s="2" t="s">
        <v>1239</v>
      </c>
      <c r="D3" s="2" t="s">
        <v>246</v>
      </c>
      <c r="E3" s="2" t="s">
        <v>107</v>
      </c>
      <c r="F3" s="2"/>
      <c r="G3" s="2"/>
      <c r="H3" s="2"/>
      <c r="I3" s="2"/>
    </row>
    <row r="4" spans="1:9" x14ac:dyDescent="0.35">
      <c r="A4" s="2" t="s">
        <v>1238</v>
      </c>
      <c r="B4" s="2" t="s">
        <v>54</v>
      </c>
      <c r="C4" s="2" t="s">
        <v>1239</v>
      </c>
      <c r="D4" s="2" t="s">
        <v>144</v>
      </c>
      <c r="E4" s="2" t="s">
        <v>50</v>
      </c>
      <c r="F4" s="2"/>
      <c r="G4" s="2"/>
      <c r="H4" s="2"/>
      <c r="I4" s="2"/>
    </row>
    <row r="5" spans="1:9" x14ac:dyDescent="0.35">
      <c r="A5" s="2" t="s">
        <v>1238</v>
      </c>
      <c r="B5" s="2" t="s">
        <v>54</v>
      </c>
      <c r="C5" s="2" t="s">
        <v>1239</v>
      </c>
      <c r="D5" s="2" t="s">
        <v>1240</v>
      </c>
      <c r="E5" s="2" t="s">
        <v>45</v>
      </c>
      <c r="F5" s="2"/>
      <c r="G5" s="2"/>
      <c r="H5" s="2"/>
      <c r="I5" s="2"/>
    </row>
    <row r="6" spans="1:9" x14ac:dyDescent="0.35">
      <c r="A6" s="2" t="s">
        <v>1238</v>
      </c>
      <c r="B6" s="2" t="s">
        <v>54</v>
      </c>
      <c r="C6" s="2" t="s">
        <v>1239</v>
      </c>
      <c r="D6" s="2" t="s">
        <v>998</v>
      </c>
      <c r="E6" s="2" t="s">
        <v>40</v>
      </c>
      <c r="F6" s="2"/>
      <c r="G6" s="2"/>
      <c r="H6" s="2"/>
      <c r="I6" s="2"/>
    </row>
    <row r="7" spans="1:9" x14ac:dyDescent="0.35">
      <c r="A7" s="2" t="s">
        <v>1238</v>
      </c>
      <c r="B7" s="2" t="s">
        <v>54</v>
      </c>
      <c r="C7" s="2" t="s">
        <v>1239</v>
      </c>
      <c r="D7" s="2" t="s">
        <v>120</v>
      </c>
      <c r="E7" s="2" t="s">
        <v>32</v>
      </c>
      <c r="F7" s="2"/>
      <c r="G7" s="2"/>
      <c r="H7" s="2"/>
      <c r="I7" s="2"/>
    </row>
    <row r="8" spans="1:9" x14ac:dyDescent="0.35">
      <c r="A8" s="2" t="s">
        <v>1238</v>
      </c>
      <c r="B8" s="2" t="s">
        <v>54</v>
      </c>
      <c r="C8" s="2" t="s">
        <v>1239</v>
      </c>
      <c r="D8" s="2" t="s">
        <v>1241</v>
      </c>
      <c r="E8" s="2" t="s">
        <v>38</v>
      </c>
      <c r="F8" s="2"/>
      <c r="G8" s="2"/>
      <c r="H8" s="2"/>
      <c r="I8" s="2"/>
    </row>
    <row r="9" spans="1:9" x14ac:dyDescent="0.35">
      <c r="A9" s="2" t="s">
        <v>1238</v>
      </c>
      <c r="B9" s="2" t="s">
        <v>54</v>
      </c>
      <c r="C9" s="2" t="s">
        <v>1239</v>
      </c>
      <c r="D9" s="2" t="s">
        <v>121</v>
      </c>
      <c r="E9" s="2" t="s">
        <v>122</v>
      </c>
      <c r="F9" s="2"/>
      <c r="G9" s="2"/>
      <c r="H9" s="2"/>
      <c r="I9" s="2"/>
    </row>
    <row r="10" spans="1:9" x14ac:dyDescent="0.35">
      <c r="A10" s="2" t="s">
        <v>1238</v>
      </c>
      <c r="B10" s="2" t="s">
        <v>54</v>
      </c>
      <c r="C10" s="2" t="s">
        <v>1239</v>
      </c>
      <c r="D10" s="2" t="s">
        <v>91</v>
      </c>
      <c r="E10" s="2" t="s">
        <v>19</v>
      </c>
      <c r="F10" s="2" t="s">
        <v>20</v>
      </c>
      <c r="G10" s="2" t="s">
        <v>1242</v>
      </c>
      <c r="H10" s="2"/>
      <c r="I10" s="2"/>
    </row>
    <row r="11" spans="1:9" x14ac:dyDescent="0.35">
      <c r="A11" s="2" t="s">
        <v>1238</v>
      </c>
      <c r="B11" s="2" t="s">
        <v>54</v>
      </c>
      <c r="C11" s="2" t="s">
        <v>1239</v>
      </c>
      <c r="D11" s="2" t="s">
        <v>87</v>
      </c>
      <c r="E11" s="2" t="s">
        <v>75</v>
      </c>
      <c r="F11" s="2" t="s">
        <v>20</v>
      </c>
      <c r="G11" s="2" t="s">
        <v>1242</v>
      </c>
      <c r="H11" s="2"/>
      <c r="I11" s="2"/>
    </row>
    <row r="12" spans="1:9" x14ac:dyDescent="0.35">
      <c r="A12" s="2" t="s">
        <v>1238</v>
      </c>
      <c r="B12" s="2" t="s">
        <v>54</v>
      </c>
      <c r="C12" s="2" t="s">
        <v>1239</v>
      </c>
      <c r="D12" s="2" t="s">
        <v>1243</v>
      </c>
      <c r="E12" s="2" t="s">
        <v>1244</v>
      </c>
      <c r="F12" s="2"/>
      <c r="G12" s="2"/>
      <c r="H12" s="2"/>
      <c r="I12" s="2"/>
    </row>
    <row r="13" spans="1:9" x14ac:dyDescent="0.35">
      <c r="A13" s="2" t="s">
        <v>1238</v>
      </c>
      <c r="B13" s="2" t="s">
        <v>54</v>
      </c>
      <c r="C13" s="2" t="s">
        <v>1239</v>
      </c>
      <c r="D13" s="2" t="s">
        <v>61</v>
      </c>
      <c r="E13" s="2" t="s">
        <v>30</v>
      </c>
      <c r="F13" s="2"/>
      <c r="G13" s="2"/>
      <c r="H13" s="2"/>
      <c r="I13" s="2"/>
    </row>
    <row r="14" spans="1:9" x14ac:dyDescent="0.35">
      <c r="A14" s="2" t="s">
        <v>1238</v>
      </c>
      <c r="B14" s="2" t="s">
        <v>54</v>
      </c>
      <c r="C14" s="2" t="s">
        <v>1239</v>
      </c>
      <c r="D14" s="2" t="s">
        <v>127</v>
      </c>
      <c r="E14" s="2" t="s">
        <v>107</v>
      </c>
      <c r="F14" s="2"/>
      <c r="G14" s="2"/>
      <c r="H14" s="2"/>
      <c r="I14" s="2"/>
    </row>
    <row r="15" spans="1:9" x14ac:dyDescent="0.35">
      <c r="A15" s="2" t="s">
        <v>1238</v>
      </c>
      <c r="B15" s="2" t="s">
        <v>54</v>
      </c>
      <c r="C15" s="2" t="s">
        <v>1239</v>
      </c>
      <c r="D15" s="2" t="s">
        <v>352</v>
      </c>
      <c r="E15" s="2" t="s">
        <v>107</v>
      </c>
      <c r="F15" s="2"/>
      <c r="G15" s="2"/>
      <c r="H15" s="2"/>
      <c r="I15" s="2"/>
    </row>
    <row r="16" spans="1:9" x14ac:dyDescent="0.35">
      <c r="A16" s="2" t="s">
        <v>1238</v>
      </c>
      <c r="B16" s="2" t="s">
        <v>54</v>
      </c>
      <c r="C16" s="2" t="s">
        <v>1239</v>
      </c>
      <c r="D16" s="2" t="s">
        <v>42</v>
      </c>
      <c r="E16" s="2" t="s">
        <v>1245</v>
      </c>
      <c r="F16" s="2" t="s">
        <v>20</v>
      </c>
      <c r="G16" s="2" t="s">
        <v>1246</v>
      </c>
      <c r="H16" s="2"/>
      <c r="I16" s="2"/>
    </row>
    <row r="17" spans="1:9" x14ac:dyDescent="0.35">
      <c r="A17" s="2" t="s">
        <v>1238</v>
      </c>
      <c r="B17" s="2" t="s">
        <v>54</v>
      </c>
      <c r="C17" s="2" t="s">
        <v>1239</v>
      </c>
      <c r="D17" s="2" t="s">
        <v>44</v>
      </c>
      <c r="E17" s="2" t="s">
        <v>45</v>
      </c>
      <c r="F17" s="2" t="s">
        <v>46</v>
      </c>
      <c r="G17" s="2" t="s">
        <v>47</v>
      </c>
      <c r="H17" s="2"/>
      <c r="I17" s="2"/>
    </row>
    <row r="18" spans="1:9" x14ac:dyDescent="0.35">
      <c r="A18" s="2" t="s">
        <v>1247</v>
      </c>
      <c r="B18" s="2" t="s">
        <v>62</v>
      </c>
      <c r="C18" s="2" t="s">
        <v>1248</v>
      </c>
      <c r="D18" s="2" t="s">
        <v>87</v>
      </c>
      <c r="E18" s="2" t="s">
        <v>75</v>
      </c>
      <c r="F18" s="2"/>
      <c r="G18" s="2"/>
      <c r="H18" s="2"/>
      <c r="I18" s="2"/>
    </row>
    <row r="19" spans="1:9" x14ac:dyDescent="0.35">
      <c r="A19" s="2" t="s">
        <v>1247</v>
      </c>
      <c r="B19" s="2" t="s">
        <v>62</v>
      </c>
      <c r="C19" s="2" t="s">
        <v>1248</v>
      </c>
      <c r="D19" s="2" t="s">
        <v>1249</v>
      </c>
      <c r="E19" s="2" t="s">
        <v>75</v>
      </c>
      <c r="F19" s="2"/>
      <c r="G19" s="2"/>
      <c r="H19" s="2"/>
      <c r="I19" s="2"/>
    </row>
    <row r="20" spans="1:9" x14ac:dyDescent="0.35">
      <c r="A20" s="2" t="s">
        <v>1247</v>
      </c>
      <c r="B20" s="2" t="s">
        <v>24</v>
      </c>
      <c r="C20" s="2" t="s">
        <v>1250</v>
      </c>
      <c r="D20" s="2" t="s">
        <v>144</v>
      </c>
      <c r="E20" s="2" t="s">
        <v>50</v>
      </c>
      <c r="F20" s="2" t="s">
        <v>46</v>
      </c>
      <c r="G20" s="2" t="s">
        <v>47</v>
      </c>
      <c r="H20" s="2"/>
      <c r="I20" s="2"/>
    </row>
    <row r="21" spans="1:9" x14ac:dyDescent="0.35">
      <c r="A21" s="2" t="s">
        <v>1247</v>
      </c>
      <c r="B21" s="2" t="s">
        <v>24</v>
      </c>
      <c r="C21" s="2" t="s">
        <v>1250</v>
      </c>
      <c r="D21" s="2" t="s">
        <v>91</v>
      </c>
      <c r="E21" s="2" t="s">
        <v>19</v>
      </c>
      <c r="F21" s="2"/>
      <c r="G21" s="2"/>
      <c r="H21" s="2"/>
      <c r="I21" s="2"/>
    </row>
    <row r="22" spans="1:9" x14ac:dyDescent="0.35">
      <c r="A22" s="2" t="s">
        <v>1247</v>
      </c>
      <c r="B22" s="2" t="s">
        <v>24</v>
      </c>
      <c r="C22" s="2" t="s">
        <v>1251</v>
      </c>
      <c r="D22" s="2" t="s">
        <v>1252</v>
      </c>
      <c r="E22" s="2" t="s">
        <v>1253</v>
      </c>
      <c r="F22" s="2"/>
      <c r="G22" s="2"/>
      <c r="H22" s="2"/>
      <c r="I22" s="2"/>
    </row>
    <row r="23" spans="1:9" x14ac:dyDescent="0.35">
      <c r="A23" s="2" t="s">
        <v>1247</v>
      </c>
      <c r="B23" s="2" t="s">
        <v>24</v>
      </c>
      <c r="C23" s="2" t="s">
        <v>1251</v>
      </c>
      <c r="D23" s="2" t="s">
        <v>1254</v>
      </c>
      <c r="E23" s="2" t="s">
        <v>75</v>
      </c>
      <c r="F23" s="2"/>
      <c r="G23" s="2"/>
      <c r="H23" s="2"/>
      <c r="I23" s="2"/>
    </row>
    <row r="24" spans="1:9" x14ac:dyDescent="0.35">
      <c r="A24" s="2" t="s">
        <v>1247</v>
      </c>
      <c r="B24" s="2" t="s">
        <v>24</v>
      </c>
      <c r="C24" s="2" t="s">
        <v>1251</v>
      </c>
      <c r="D24" s="2" t="s">
        <v>1255</v>
      </c>
      <c r="E24" s="2" t="s">
        <v>19</v>
      </c>
      <c r="F24" s="2"/>
      <c r="G24" s="2"/>
      <c r="H24" s="2"/>
      <c r="I24" s="2"/>
    </row>
    <row r="25" spans="1:9" x14ac:dyDescent="0.35">
      <c r="A25" s="2" t="s">
        <v>1247</v>
      </c>
      <c r="B25" s="2" t="s">
        <v>24</v>
      </c>
      <c r="C25" s="2" t="s">
        <v>1251</v>
      </c>
      <c r="D25" s="2" t="s">
        <v>1256</v>
      </c>
      <c r="E25" s="2" t="s">
        <v>363</v>
      </c>
      <c r="F25" s="2"/>
      <c r="G25" s="2"/>
      <c r="H25" s="2"/>
      <c r="I25" s="2"/>
    </row>
    <row r="26" spans="1:9" x14ac:dyDescent="0.35">
      <c r="A26" s="2" t="s">
        <v>1247</v>
      </c>
      <c r="B26" s="2" t="s">
        <v>24</v>
      </c>
      <c r="C26" s="2" t="s">
        <v>1251</v>
      </c>
      <c r="D26" s="2" t="s">
        <v>1257</v>
      </c>
      <c r="E26" s="2" t="s">
        <v>38</v>
      </c>
      <c r="F26" s="2"/>
      <c r="G26" s="2"/>
      <c r="H26" s="2"/>
      <c r="I26" s="2"/>
    </row>
    <row r="27" spans="1:9" x14ac:dyDescent="0.35">
      <c r="A27" s="2" t="s">
        <v>1247</v>
      </c>
      <c r="B27" s="2" t="s">
        <v>24</v>
      </c>
      <c r="C27" s="2" t="s">
        <v>1251</v>
      </c>
      <c r="D27" s="2" t="s">
        <v>1258</v>
      </c>
      <c r="E27" s="2" t="s">
        <v>83</v>
      </c>
      <c r="F27" s="2" t="s">
        <v>20</v>
      </c>
      <c r="G27" s="2" t="s">
        <v>1259</v>
      </c>
      <c r="H27" s="2"/>
      <c r="I27" s="2"/>
    </row>
    <row r="28" spans="1:9" x14ac:dyDescent="0.35">
      <c r="A28" s="2" t="s">
        <v>1247</v>
      </c>
      <c r="B28" s="2" t="s">
        <v>24</v>
      </c>
      <c r="C28" s="2" t="s">
        <v>1251</v>
      </c>
      <c r="D28" s="2" t="s">
        <v>1260</v>
      </c>
      <c r="E28" s="2" t="s">
        <v>363</v>
      </c>
      <c r="F28" s="2"/>
      <c r="G28" s="2"/>
      <c r="H28" s="2"/>
      <c r="I28" s="2"/>
    </row>
    <row r="29" spans="1:9" x14ac:dyDescent="0.35">
      <c r="A29" s="2" t="s">
        <v>1247</v>
      </c>
      <c r="B29" s="2" t="s">
        <v>24</v>
      </c>
      <c r="C29" s="2" t="s">
        <v>1251</v>
      </c>
      <c r="D29" s="2" t="s">
        <v>1226</v>
      </c>
      <c r="E29" s="2" t="s">
        <v>107</v>
      </c>
      <c r="F29" s="2"/>
      <c r="G29" s="2"/>
      <c r="H29" s="2"/>
      <c r="I29" s="2"/>
    </row>
    <row r="30" spans="1:9" x14ac:dyDescent="0.35">
      <c r="A30" s="2" t="s">
        <v>1247</v>
      </c>
      <c r="B30" s="2" t="s">
        <v>24</v>
      </c>
      <c r="C30" s="2" t="s">
        <v>1251</v>
      </c>
      <c r="D30" s="2" t="s">
        <v>184</v>
      </c>
      <c r="E30" s="2" t="s">
        <v>45</v>
      </c>
      <c r="F30" s="2"/>
      <c r="G30" s="2"/>
      <c r="H30" s="2"/>
      <c r="I30" s="2"/>
    </row>
    <row r="31" spans="1:9" x14ac:dyDescent="0.35">
      <c r="A31" s="2" t="s">
        <v>1247</v>
      </c>
      <c r="B31" s="2" t="s">
        <v>24</v>
      </c>
      <c r="C31" s="2" t="s">
        <v>1251</v>
      </c>
      <c r="D31" s="2" t="s">
        <v>91</v>
      </c>
      <c r="E31" s="2" t="s">
        <v>19</v>
      </c>
      <c r="F31" s="2"/>
      <c r="G31" s="2"/>
      <c r="H31" s="2"/>
      <c r="I31" s="2"/>
    </row>
    <row r="32" spans="1:9" x14ac:dyDescent="0.35">
      <c r="A32" s="2" t="s">
        <v>1247</v>
      </c>
      <c r="B32" s="2" t="s">
        <v>24</v>
      </c>
      <c r="C32" s="2" t="s">
        <v>1251</v>
      </c>
      <c r="D32" s="2" t="s">
        <v>87</v>
      </c>
      <c r="E32" s="2" t="s">
        <v>75</v>
      </c>
      <c r="F32" s="2"/>
      <c r="G32" s="2"/>
      <c r="H32" s="2"/>
      <c r="I32" s="2"/>
    </row>
    <row r="33" spans="1:9" x14ac:dyDescent="0.35">
      <c r="A33" s="2" t="s">
        <v>1247</v>
      </c>
      <c r="B33" s="2" t="s">
        <v>24</v>
      </c>
      <c r="C33" s="2" t="s">
        <v>1251</v>
      </c>
      <c r="D33" s="2" t="s">
        <v>18</v>
      </c>
      <c r="E33" s="2" t="s">
        <v>19</v>
      </c>
      <c r="F33" s="2"/>
      <c r="G33" s="2"/>
      <c r="H33" s="2"/>
      <c r="I33" s="2"/>
    </row>
    <row r="34" spans="1:9" x14ac:dyDescent="0.35">
      <c r="A34" s="2" t="s">
        <v>1247</v>
      </c>
      <c r="B34" s="2" t="s">
        <v>24</v>
      </c>
      <c r="C34" s="2" t="s">
        <v>1251</v>
      </c>
      <c r="D34" s="2" t="s">
        <v>61</v>
      </c>
      <c r="E34" s="2" t="s">
        <v>30</v>
      </c>
      <c r="F34" s="2"/>
      <c r="G34" s="2"/>
      <c r="H34" s="2"/>
      <c r="I34" s="2"/>
    </row>
    <row r="35" spans="1:9" x14ac:dyDescent="0.35">
      <c r="A35" s="2" t="s">
        <v>1247</v>
      </c>
      <c r="B35" s="2" t="s">
        <v>24</v>
      </c>
      <c r="C35" s="2" t="s">
        <v>1251</v>
      </c>
      <c r="D35" s="2" t="s">
        <v>1261</v>
      </c>
      <c r="E35" s="2" t="s">
        <v>277</v>
      </c>
      <c r="F35" s="2" t="s">
        <v>20</v>
      </c>
      <c r="G35" s="2" t="s">
        <v>1262</v>
      </c>
      <c r="H35" s="2"/>
      <c r="I35" s="2"/>
    </row>
    <row r="36" spans="1:9" x14ac:dyDescent="0.35">
      <c r="A36" s="2" t="s">
        <v>1247</v>
      </c>
      <c r="B36" s="2" t="s">
        <v>24</v>
      </c>
      <c r="C36" s="2" t="s">
        <v>1251</v>
      </c>
      <c r="D36" s="2" t="s">
        <v>1263</v>
      </c>
      <c r="E36" s="2" t="s">
        <v>36</v>
      </c>
      <c r="F36" s="2"/>
      <c r="G36" s="2"/>
      <c r="H36" s="2"/>
      <c r="I36" s="2"/>
    </row>
    <row r="37" spans="1:9" x14ac:dyDescent="0.35">
      <c r="A37" s="2" t="s">
        <v>1247</v>
      </c>
      <c r="B37" s="2" t="s">
        <v>62</v>
      </c>
      <c r="C37" s="2" t="s">
        <v>1264</v>
      </c>
      <c r="D37" s="2" t="s">
        <v>87</v>
      </c>
      <c r="E37" s="2" t="s">
        <v>75</v>
      </c>
      <c r="F37" s="2"/>
      <c r="G37" s="2"/>
      <c r="H37" s="2"/>
      <c r="I37" s="2"/>
    </row>
    <row r="38" spans="1:9" x14ac:dyDescent="0.35">
      <c r="A38" s="2" t="s">
        <v>1247</v>
      </c>
      <c r="B38" s="2" t="s">
        <v>24</v>
      </c>
      <c r="C38" s="2" t="s">
        <v>1265</v>
      </c>
      <c r="D38" s="2" t="s">
        <v>1252</v>
      </c>
      <c r="E38" s="2" t="s">
        <v>1253</v>
      </c>
      <c r="F38" s="2"/>
      <c r="G38" s="2"/>
      <c r="H38" s="2"/>
      <c r="I38" s="2"/>
    </row>
    <row r="39" spans="1:9" x14ac:dyDescent="0.35">
      <c r="A39" s="2" t="s">
        <v>1247</v>
      </c>
      <c r="B39" s="2" t="s">
        <v>24</v>
      </c>
      <c r="C39" s="2" t="s">
        <v>1265</v>
      </c>
      <c r="D39" s="2" t="s">
        <v>120</v>
      </c>
      <c r="E39" s="2" t="s">
        <v>32</v>
      </c>
      <c r="F39" s="2"/>
      <c r="G39" s="2"/>
      <c r="H39" s="2" t="s">
        <v>16</v>
      </c>
      <c r="I39" s="2" t="s">
        <v>95</v>
      </c>
    </row>
    <row r="40" spans="1:9" x14ac:dyDescent="0.35">
      <c r="A40" s="2" t="s">
        <v>1247</v>
      </c>
      <c r="B40" s="2" t="s">
        <v>24</v>
      </c>
      <c r="C40" s="2" t="s">
        <v>1265</v>
      </c>
      <c r="D40" s="2" t="s">
        <v>1257</v>
      </c>
      <c r="E40" s="2" t="s">
        <v>38</v>
      </c>
      <c r="F40" s="2"/>
      <c r="G40" s="2"/>
      <c r="H40" s="2"/>
      <c r="I40" s="2"/>
    </row>
    <row r="41" spans="1:9" x14ac:dyDescent="0.35">
      <c r="A41" s="2" t="s">
        <v>1247</v>
      </c>
      <c r="B41" s="2" t="s">
        <v>24</v>
      </c>
      <c r="C41" s="2" t="s">
        <v>1265</v>
      </c>
      <c r="D41" s="2" t="s">
        <v>1226</v>
      </c>
      <c r="E41" s="2" t="s">
        <v>107</v>
      </c>
      <c r="F41" s="2"/>
      <c r="G41" s="2"/>
      <c r="H41" s="2"/>
      <c r="I41" s="2"/>
    </row>
    <row r="42" spans="1:9" x14ac:dyDescent="0.35">
      <c r="A42" s="2" t="s">
        <v>1247</v>
      </c>
      <c r="B42" s="2" t="s">
        <v>24</v>
      </c>
      <c r="C42" s="2" t="s">
        <v>1265</v>
      </c>
      <c r="D42" s="2" t="s">
        <v>121</v>
      </c>
      <c r="E42" s="2" t="s">
        <v>122</v>
      </c>
      <c r="F42" s="2"/>
      <c r="G42" s="2"/>
      <c r="H42" s="2" t="s">
        <v>16</v>
      </c>
      <c r="I42" s="2" t="s">
        <v>95</v>
      </c>
    </row>
    <row r="43" spans="1:9" x14ac:dyDescent="0.35">
      <c r="A43" s="2" t="s">
        <v>1247</v>
      </c>
      <c r="B43" s="2" t="s">
        <v>24</v>
      </c>
      <c r="C43" s="2" t="s">
        <v>1265</v>
      </c>
      <c r="D43" s="2" t="s">
        <v>91</v>
      </c>
      <c r="E43" s="2" t="s">
        <v>19</v>
      </c>
      <c r="F43" s="2"/>
      <c r="G43" s="2"/>
      <c r="H43" s="2"/>
      <c r="I43" s="2"/>
    </row>
    <row r="44" spans="1:9" x14ac:dyDescent="0.35">
      <c r="A44" s="2" t="s">
        <v>1247</v>
      </c>
      <c r="B44" s="2" t="s">
        <v>24</v>
      </c>
      <c r="C44" s="2" t="s">
        <v>1265</v>
      </c>
      <c r="D44" s="2" t="s">
        <v>18</v>
      </c>
      <c r="E44" s="2" t="s">
        <v>19</v>
      </c>
      <c r="F44" s="2"/>
      <c r="G44" s="2"/>
      <c r="H44" s="2"/>
      <c r="I44" s="2"/>
    </row>
    <row r="45" spans="1:9" x14ac:dyDescent="0.35">
      <c r="A45" s="2" t="s">
        <v>1247</v>
      </c>
      <c r="B45" s="2" t="s">
        <v>24</v>
      </c>
      <c r="C45" s="2" t="s">
        <v>1265</v>
      </c>
      <c r="D45" s="2" t="s">
        <v>1261</v>
      </c>
      <c r="E45" s="2" t="s">
        <v>277</v>
      </c>
      <c r="F45" s="2"/>
      <c r="G45" s="2"/>
      <c r="H45" s="2" t="s">
        <v>16</v>
      </c>
      <c r="I45" s="2" t="s">
        <v>95</v>
      </c>
    </row>
    <row r="46" spans="1:9" x14ac:dyDescent="0.35">
      <c r="A46" s="2" t="s">
        <v>1247</v>
      </c>
      <c r="B46" s="2" t="s">
        <v>57</v>
      </c>
      <c r="C46" s="2" t="s">
        <v>1266</v>
      </c>
      <c r="D46" s="2" t="s">
        <v>1267</v>
      </c>
      <c r="E46" s="2" t="s">
        <v>32</v>
      </c>
      <c r="F46" s="2"/>
      <c r="G46" s="2"/>
      <c r="H46" s="2"/>
      <c r="I46" s="2"/>
    </row>
    <row r="47" spans="1:9" x14ac:dyDescent="0.35">
      <c r="A47" s="2" t="s">
        <v>1247</v>
      </c>
      <c r="B47" s="2" t="s">
        <v>57</v>
      </c>
      <c r="C47" s="2" t="s">
        <v>1266</v>
      </c>
      <c r="D47" s="2" t="s">
        <v>200</v>
      </c>
      <c r="E47" s="2" t="s">
        <v>201</v>
      </c>
      <c r="F47" s="2"/>
      <c r="G47" s="2"/>
      <c r="H47" s="2"/>
      <c r="I47" s="2"/>
    </row>
    <row r="48" spans="1:9" x14ac:dyDescent="0.35">
      <c r="A48" s="2" t="s">
        <v>1247</v>
      </c>
      <c r="B48" s="2" t="s">
        <v>57</v>
      </c>
      <c r="C48" s="2" t="s">
        <v>1266</v>
      </c>
      <c r="D48" s="2" t="s">
        <v>1268</v>
      </c>
      <c r="E48" s="2" t="s">
        <v>75</v>
      </c>
      <c r="F48" s="2"/>
      <c r="G48" s="2"/>
      <c r="H48" s="2"/>
      <c r="I48" s="2"/>
    </row>
    <row r="49" spans="1:9" x14ac:dyDescent="0.35">
      <c r="A49" s="2" t="s">
        <v>1247</v>
      </c>
      <c r="B49" s="2" t="s">
        <v>57</v>
      </c>
      <c r="C49" s="2" t="s">
        <v>1266</v>
      </c>
      <c r="D49" s="2" t="s">
        <v>691</v>
      </c>
      <c r="E49" s="2" t="s">
        <v>45</v>
      </c>
      <c r="F49" s="2"/>
      <c r="G49" s="2"/>
      <c r="H49" s="2"/>
      <c r="I49" s="2"/>
    </row>
    <row r="50" spans="1:9" x14ac:dyDescent="0.35">
      <c r="A50" s="2" t="s">
        <v>1247</v>
      </c>
      <c r="B50" s="2" t="s">
        <v>57</v>
      </c>
      <c r="C50" s="2" t="s">
        <v>1266</v>
      </c>
      <c r="D50" s="2" t="s">
        <v>112</v>
      </c>
      <c r="E50" s="2" t="s">
        <v>113</v>
      </c>
      <c r="F50" s="2"/>
      <c r="G50" s="2"/>
      <c r="H50" s="2"/>
      <c r="I50" s="2"/>
    </row>
    <row r="51" spans="1:9" x14ac:dyDescent="0.35">
      <c r="A51" s="2" t="s">
        <v>1247</v>
      </c>
      <c r="B51" s="2" t="s">
        <v>24</v>
      </c>
      <c r="C51" s="2" t="s">
        <v>1269</v>
      </c>
      <c r="D51" s="2" t="s">
        <v>144</v>
      </c>
      <c r="E51" s="2" t="s">
        <v>50</v>
      </c>
      <c r="F51" s="2"/>
      <c r="G51" s="2"/>
      <c r="H51" s="2"/>
      <c r="I51" s="2"/>
    </row>
    <row r="52" spans="1:9" x14ac:dyDescent="0.35">
      <c r="A52" s="2" t="s">
        <v>1247</v>
      </c>
      <c r="B52" s="2" t="s">
        <v>24</v>
      </c>
      <c r="C52" s="2" t="s">
        <v>1269</v>
      </c>
      <c r="D52" s="2" t="s">
        <v>120</v>
      </c>
      <c r="E52" s="2" t="s">
        <v>32</v>
      </c>
      <c r="F52" s="2"/>
      <c r="G52" s="2"/>
      <c r="H52" s="2"/>
      <c r="I52" s="2"/>
    </row>
    <row r="53" spans="1:9" x14ac:dyDescent="0.35">
      <c r="A53" s="2" t="s">
        <v>1247</v>
      </c>
      <c r="B53" s="2" t="s">
        <v>24</v>
      </c>
      <c r="C53" s="2" t="s">
        <v>1269</v>
      </c>
      <c r="D53" s="2" t="s">
        <v>121</v>
      </c>
      <c r="E53" s="2" t="s">
        <v>122</v>
      </c>
      <c r="F53" s="2"/>
      <c r="G53" s="2"/>
      <c r="H53" s="2"/>
      <c r="I53" s="2"/>
    </row>
    <row r="54" spans="1:9" x14ac:dyDescent="0.35">
      <c r="A54" s="2" t="s">
        <v>1247</v>
      </c>
      <c r="B54" s="2" t="s">
        <v>24</v>
      </c>
      <c r="C54" s="2" t="s">
        <v>1269</v>
      </c>
      <c r="D54" s="2" t="s">
        <v>1270</v>
      </c>
      <c r="E54" s="2" t="s">
        <v>75</v>
      </c>
      <c r="F54" s="2"/>
      <c r="G54" s="2"/>
      <c r="H54" s="2"/>
      <c r="I54" s="2"/>
    </row>
    <row r="55" spans="1:9" x14ac:dyDescent="0.35">
      <c r="A55" s="2" t="s">
        <v>1247</v>
      </c>
      <c r="B55" s="2" t="s">
        <v>24</v>
      </c>
      <c r="C55" s="2" t="s">
        <v>1269</v>
      </c>
      <c r="D55" s="2" t="s">
        <v>213</v>
      </c>
      <c r="E55" s="2" t="s">
        <v>45</v>
      </c>
      <c r="F55" s="2"/>
      <c r="G55" s="2"/>
      <c r="H55" s="2"/>
      <c r="I55" s="2"/>
    </row>
    <row r="56" spans="1:9" x14ac:dyDescent="0.35">
      <c r="A56" s="2" t="s">
        <v>1247</v>
      </c>
      <c r="B56" s="2" t="s">
        <v>24</v>
      </c>
      <c r="C56" s="2" t="s">
        <v>1269</v>
      </c>
      <c r="D56" s="2" t="s">
        <v>91</v>
      </c>
      <c r="E56" s="2" t="s">
        <v>19</v>
      </c>
      <c r="F56" s="2"/>
      <c r="G56" s="2"/>
      <c r="H56" s="2"/>
      <c r="I56" s="2"/>
    </row>
    <row r="57" spans="1:9" x14ac:dyDescent="0.35">
      <c r="A57" s="2" t="s">
        <v>1247</v>
      </c>
      <c r="B57" s="2" t="s">
        <v>24</v>
      </c>
      <c r="C57" s="2" t="s">
        <v>1269</v>
      </c>
      <c r="D57" s="2" t="s">
        <v>188</v>
      </c>
      <c r="E57" s="2" t="s">
        <v>189</v>
      </c>
      <c r="F57" s="2"/>
      <c r="G57" s="2"/>
      <c r="H57" s="2"/>
      <c r="I57" s="2"/>
    </row>
    <row r="58" spans="1:9" x14ac:dyDescent="0.35">
      <c r="A58" s="2" t="s">
        <v>1247</v>
      </c>
      <c r="B58" s="2" t="s">
        <v>24</v>
      </c>
      <c r="C58" s="2" t="s">
        <v>1271</v>
      </c>
      <c r="D58" s="2" t="s">
        <v>1252</v>
      </c>
      <c r="E58" s="2" t="s">
        <v>1253</v>
      </c>
      <c r="F58" s="2"/>
      <c r="G58" s="2"/>
      <c r="H58" s="2"/>
      <c r="I58" s="2"/>
    </row>
    <row r="59" spans="1:9" x14ac:dyDescent="0.35">
      <c r="A59" s="2" t="s">
        <v>1247</v>
      </c>
      <c r="B59" s="2" t="s">
        <v>24</v>
      </c>
      <c r="C59" s="2" t="s">
        <v>1271</v>
      </c>
      <c r="D59" s="2" t="s">
        <v>1257</v>
      </c>
      <c r="E59" s="2" t="s">
        <v>38</v>
      </c>
      <c r="F59" s="2"/>
      <c r="G59" s="2"/>
      <c r="H59" s="2"/>
      <c r="I59" s="2"/>
    </row>
    <row r="60" spans="1:9" x14ac:dyDescent="0.35">
      <c r="A60" s="2" t="s">
        <v>1247</v>
      </c>
      <c r="B60" s="2" t="s">
        <v>24</v>
      </c>
      <c r="C60" s="2" t="s">
        <v>1271</v>
      </c>
      <c r="D60" s="2" t="s">
        <v>82</v>
      </c>
      <c r="E60" s="2" t="s">
        <v>83</v>
      </c>
      <c r="F60" s="2" t="s">
        <v>20</v>
      </c>
      <c r="G60" s="2" t="s">
        <v>1272</v>
      </c>
      <c r="H60" s="2"/>
      <c r="I60" s="2"/>
    </row>
    <row r="61" spans="1:9" x14ac:dyDescent="0.35">
      <c r="A61" s="2" t="s">
        <v>1247</v>
      </c>
      <c r="B61" s="2" t="s">
        <v>24</v>
      </c>
      <c r="C61" s="2" t="s">
        <v>1271</v>
      </c>
      <c r="D61" s="2" t="s">
        <v>1260</v>
      </c>
      <c r="E61" s="2" t="s">
        <v>363</v>
      </c>
      <c r="F61" s="2"/>
      <c r="G61" s="2"/>
      <c r="H61" s="2"/>
      <c r="I61" s="2"/>
    </row>
    <row r="62" spans="1:9" x14ac:dyDescent="0.35">
      <c r="A62" s="2" t="s">
        <v>1247</v>
      </c>
      <c r="B62" s="2" t="s">
        <v>24</v>
      </c>
      <c r="C62" s="2" t="s">
        <v>1271</v>
      </c>
      <c r="D62" s="2" t="s">
        <v>1226</v>
      </c>
      <c r="E62" s="2" t="s">
        <v>107</v>
      </c>
      <c r="F62" s="2"/>
      <c r="G62" s="2"/>
      <c r="H62" s="2"/>
      <c r="I62" s="2"/>
    </row>
    <row r="63" spans="1:9" x14ac:dyDescent="0.35">
      <c r="A63" s="2" t="s">
        <v>1247</v>
      </c>
      <c r="B63" s="2" t="s">
        <v>24</v>
      </c>
      <c r="C63" s="2" t="s">
        <v>1271</v>
      </c>
      <c r="D63" s="2" t="s">
        <v>87</v>
      </c>
      <c r="E63" s="2" t="s">
        <v>75</v>
      </c>
      <c r="F63" s="2"/>
      <c r="G63" s="2"/>
      <c r="H63" s="2"/>
      <c r="I63" s="2"/>
    </row>
    <row r="64" spans="1:9" x14ac:dyDescent="0.35">
      <c r="A64" s="2" t="s">
        <v>1247</v>
      </c>
      <c r="B64" s="2" t="s">
        <v>24</v>
      </c>
      <c r="C64" s="2" t="s">
        <v>1271</v>
      </c>
      <c r="D64" s="2" t="s">
        <v>18</v>
      </c>
      <c r="E64" s="2" t="s">
        <v>19</v>
      </c>
      <c r="F64" s="2"/>
      <c r="G64" s="2"/>
      <c r="H64" s="2"/>
      <c r="I64" s="2"/>
    </row>
    <row r="65" spans="1:9" x14ac:dyDescent="0.35">
      <c r="A65" s="2" t="s">
        <v>1247</v>
      </c>
      <c r="B65" s="2" t="s">
        <v>24</v>
      </c>
      <c r="C65" s="2" t="s">
        <v>1271</v>
      </c>
      <c r="D65" s="2" t="s">
        <v>61</v>
      </c>
      <c r="E65" s="2" t="s">
        <v>30</v>
      </c>
      <c r="F65" s="2"/>
      <c r="G65" s="2"/>
      <c r="H65" s="2"/>
      <c r="I65" s="2"/>
    </row>
    <row r="66" spans="1:9" x14ac:dyDescent="0.35">
      <c r="A66" s="2" t="s">
        <v>1247</v>
      </c>
      <c r="B66" s="2" t="s">
        <v>24</v>
      </c>
      <c r="C66" s="2" t="s">
        <v>1271</v>
      </c>
      <c r="D66" s="2" t="s">
        <v>1261</v>
      </c>
      <c r="E66" s="2" t="s">
        <v>277</v>
      </c>
      <c r="F66" s="2"/>
      <c r="G66" s="2"/>
      <c r="H66" s="2"/>
      <c r="I66" s="2"/>
    </row>
    <row r="67" spans="1:9" x14ac:dyDescent="0.35">
      <c r="A67" s="2" t="s">
        <v>1247</v>
      </c>
      <c r="B67" s="2" t="s">
        <v>24</v>
      </c>
      <c r="C67" s="2" t="s">
        <v>1271</v>
      </c>
      <c r="D67" s="2" t="s">
        <v>1263</v>
      </c>
      <c r="E67" s="2" t="s">
        <v>36</v>
      </c>
      <c r="F67" s="2"/>
      <c r="G67" s="2"/>
      <c r="H67" s="2"/>
      <c r="I67" s="2"/>
    </row>
    <row r="68" spans="1:9" x14ac:dyDescent="0.35">
      <c r="A68" s="2" t="s">
        <v>1247</v>
      </c>
      <c r="B68" s="2" t="s">
        <v>62</v>
      </c>
      <c r="C68" s="2" t="s">
        <v>1273</v>
      </c>
      <c r="D68" s="2" t="s">
        <v>91</v>
      </c>
      <c r="E68" s="2" t="s">
        <v>19</v>
      </c>
      <c r="F68" s="2" t="s">
        <v>46</v>
      </c>
      <c r="G68" s="2" t="s">
        <v>1274</v>
      </c>
      <c r="H68" s="2"/>
      <c r="I68" s="2"/>
    </row>
    <row r="69" spans="1:9" x14ac:dyDescent="0.35">
      <c r="A69" s="2" t="s">
        <v>1247</v>
      </c>
      <c r="B69" s="2" t="s">
        <v>62</v>
      </c>
      <c r="C69" s="2" t="s">
        <v>1273</v>
      </c>
      <c r="D69" s="2" t="s">
        <v>1249</v>
      </c>
      <c r="E69" s="2" t="s">
        <v>75</v>
      </c>
      <c r="F69" s="2"/>
      <c r="G69" s="2"/>
      <c r="H69" s="2"/>
      <c r="I69" s="2"/>
    </row>
    <row r="70" spans="1:9" x14ac:dyDescent="0.35">
      <c r="A70" s="2" t="s">
        <v>1247</v>
      </c>
      <c r="B70" s="2" t="s">
        <v>62</v>
      </c>
      <c r="C70" s="2" t="s">
        <v>1275</v>
      </c>
      <c r="D70" s="2" t="s">
        <v>91</v>
      </c>
      <c r="E70" s="2" t="s">
        <v>19</v>
      </c>
      <c r="F70" s="2"/>
      <c r="G70" s="2"/>
      <c r="H70" s="2"/>
      <c r="I70" s="2"/>
    </row>
    <row r="71" spans="1:9" x14ac:dyDescent="0.35">
      <c r="A71" s="2" t="s">
        <v>1247</v>
      </c>
      <c r="B71" s="2" t="s">
        <v>62</v>
      </c>
      <c r="C71" s="2" t="s">
        <v>1275</v>
      </c>
      <c r="D71" s="2" t="s">
        <v>1249</v>
      </c>
      <c r="E71" s="2" t="s">
        <v>75</v>
      </c>
      <c r="F71" s="2"/>
      <c r="G71" s="2"/>
      <c r="H71" s="2"/>
      <c r="I71" s="2"/>
    </row>
    <row r="72" spans="1:9" x14ac:dyDescent="0.35">
      <c r="A72" s="2" t="s">
        <v>1247</v>
      </c>
      <c r="B72" s="2" t="s">
        <v>24</v>
      </c>
      <c r="C72" s="2" t="s">
        <v>1276</v>
      </c>
      <c r="D72" s="2" t="s">
        <v>1277</v>
      </c>
      <c r="E72" s="2" t="s">
        <v>36</v>
      </c>
      <c r="F72" s="2"/>
      <c r="G72" s="2"/>
      <c r="H72" s="2"/>
      <c r="I72" s="2"/>
    </row>
    <row r="73" spans="1:9" x14ac:dyDescent="0.35">
      <c r="A73" s="2" t="s">
        <v>1247</v>
      </c>
      <c r="B73" s="2" t="s">
        <v>24</v>
      </c>
      <c r="C73" s="2" t="s">
        <v>1276</v>
      </c>
      <c r="D73" s="2" t="s">
        <v>31</v>
      </c>
      <c r="E73" s="2" t="s">
        <v>32</v>
      </c>
      <c r="F73" s="2"/>
      <c r="G73" s="2"/>
      <c r="H73" s="2"/>
      <c r="I73" s="2"/>
    </row>
    <row r="74" spans="1:9" x14ac:dyDescent="0.35">
      <c r="A74" s="2" t="s">
        <v>1247</v>
      </c>
      <c r="B74" s="2" t="s">
        <v>24</v>
      </c>
      <c r="C74" s="2" t="s">
        <v>1276</v>
      </c>
      <c r="D74" s="2" t="s">
        <v>1278</v>
      </c>
      <c r="E74" s="2" t="s">
        <v>50</v>
      </c>
      <c r="F74" s="2"/>
      <c r="G74" s="2"/>
      <c r="H74" s="2"/>
      <c r="I74" s="2"/>
    </row>
    <row r="75" spans="1:9" x14ac:dyDescent="0.35">
      <c r="A75" s="2" t="s">
        <v>1247</v>
      </c>
      <c r="B75" s="2" t="s">
        <v>54</v>
      </c>
      <c r="C75" s="2" t="s">
        <v>1279</v>
      </c>
      <c r="D75" s="2" t="s">
        <v>87</v>
      </c>
      <c r="E75" s="2" t="s">
        <v>75</v>
      </c>
      <c r="F75" s="2" t="s">
        <v>20</v>
      </c>
      <c r="G75" s="2" t="s">
        <v>1280</v>
      </c>
      <c r="H75" s="2"/>
      <c r="I75" s="2"/>
    </row>
    <row r="76" spans="1:9" x14ac:dyDescent="0.35">
      <c r="A76" s="2" t="s">
        <v>1247</v>
      </c>
      <c r="B76" s="2" t="s">
        <v>12</v>
      </c>
      <c r="C76" s="2" t="s">
        <v>1281</v>
      </c>
      <c r="D76" s="2" t="s">
        <v>213</v>
      </c>
      <c r="E76" s="2" t="s">
        <v>45</v>
      </c>
      <c r="F76" s="2" t="s">
        <v>46</v>
      </c>
      <c r="G76" s="2" t="s">
        <v>47</v>
      </c>
      <c r="H76" s="2"/>
      <c r="I76" s="2"/>
    </row>
    <row r="77" spans="1:9" x14ac:dyDescent="0.35">
      <c r="A77" s="2" t="s">
        <v>1247</v>
      </c>
      <c r="B77" s="2" t="s">
        <v>12</v>
      </c>
      <c r="C77" s="2" t="s">
        <v>1281</v>
      </c>
      <c r="D77" s="2" t="s">
        <v>91</v>
      </c>
      <c r="E77" s="2" t="s">
        <v>19</v>
      </c>
      <c r="F77" s="2" t="s">
        <v>20</v>
      </c>
      <c r="G77" s="2" t="s">
        <v>1282</v>
      </c>
      <c r="H77" s="2"/>
      <c r="I77" s="2"/>
    </row>
    <row r="78" spans="1:9" x14ac:dyDescent="0.35">
      <c r="A78" s="2" t="s">
        <v>1247</v>
      </c>
      <c r="B78" s="2" t="s">
        <v>12</v>
      </c>
      <c r="C78" s="2" t="s">
        <v>1281</v>
      </c>
      <c r="D78" s="2" t="s">
        <v>188</v>
      </c>
      <c r="E78" s="2" t="s">
        <v>189</v>
      </c>
      <c r="F78" s="2"/>
      <c r="G78" s="2"/>
      <c r="H78" s="2"/>
      <c r="I78" s="2"/>
    </row>
    <row r="79" spans="1:9" x14ac:dyDescent="0.35">
      <c r="A79" s="2" t="s">
        <v>1247</v>
      </c>
      <c r="B79" s="2" t="s">
        <v>12</v>
      </c>
      <c r="C79" s="2" t="s">
        <v>1281</v>
      </c>
      <c r="D79" s="2" t="s">
        <v>149</v>
      </c>
      <c r="E79" s="2" t="s">
        <v>150</v>
      </c>
      <c r="F79" s="2"/>
      <c r="G79" s="2"/>
      <c r="H79" s="2"/>
      <c r="I79" s="2"/>
    </row>
    <row r="80" spans="1:9" x14ac:dyDescent="0.35">
      <c r="A80" s="2" t="s">
        <v>1247</v>
      </c>
      <c r="B80" s="2" t="s">
        <v>12</v>
      </c>
      <c r="C80" s="2" t="s">
        <v>1281</v>
      </c>
      <c r="D80" s="2" t="s">
        <v>1283</v>
      </c>
      <c r="E80" s="2" t="s">
        <v>65</v>
      </c>
      <c r="F80" s="2"/>
      <c r="G80" s="2"/>
      <c r="H80" s="2"/>
      <c r="I80" s="2"/>
    </row>
    <row r="81" spans="1:9" x14ac:dyDescent="0.35">
      <c r="A81" s="2" t="s">
        <v>1247</v>
      </c>
      <c r="B81" s="2" t="s">
        <v>12</v>
      </c>
      <c r="C81" s="2" t="s">
        <v>1284</v>
      </c>
      <c r="D81" s="2" t="s">
        <v>213</v>
      </c>
      <c r="E81" s="2" t="s">
        <v>45</v>
      </c>
      <c r="F81" s="2"/>
      <c r="G81" s="2"/>
      <c r="H81" s="2"/>
      <c r="I81" s="2"/>
    </row>
    <row r="82" spans="1:9" x14ac:dyDescent="0.35">
      <c r="A82" s="2" t="s">
        <v>1247</v>
      </c>
      <c r="B82" s="2" t="s">
        <v>12</v>
      </c>
      <c r="C82" s="2" t="s">
        <v>1284</v>
      </c>
      <c r="D82" s="2" t="s">
        <v>91</v>
      </c>
      <c r="E82" s="2" t="s">
        <v>19</v>
      </c>
      <c r="F82" s="2"/>
      <c r="G82" s="2"/>
      <c r="H82" s="2"/>
      <c r="I82" s="2"/>
    </row>
    <row r="83" spans="1:9" x14ac:dyDescent="0.35">
      <c r="A83" s="2" t="s">
        <v>1247</v>
      </c>
      <c r="B83" s="2" t="s">
        <v>12</v>
      </c>
      <c r="C83" s="2" t="s">
        <v>1284</v>
      </c>
      <c r="D83" s="2" t="s">
        <v>204</v>
      </c>
      <c r="E83" s="2" t="s">
        <v>40</v>
      </c>
      <c r="F83" s="2"/>
      <c r="G83" s="2"/>
      <c r="H83" s="2"/>
      <c r="I83" s="2"/>
    </row>
    <row r="84" spans="1:9" x14ac:dyDescent="0.35">
      <c r="A84" s="2" t="s">
        <v>1247</v>
      </c>
      <c r="B84" s="2" t="s">
        <v>12</v>
      </c>
      <c r="C84" s="2" t="s">
        <v>1284</v>
      </c>
      <c r="D84" s="2" t="s">
        <v>188</v>
      </c>
      <c r="E84" s="2" t="s">
        <v>189</v>
      </c>
      <c r="F84" s="2"/>
      <c r="G84" s="2"/>
      <c r="H84" s="2"/>
      <c r="I84" s="2"/>
    </row>
    <row r="85" spans="1:9" x14ac:dyDescent="0.35">
      <c r="A85" s="2" t="s">
        <v>1247</v>
      </c>
      <c r="B85" s="2" t="s">
        <v>12</v>
      </c>
      <c r="C85" s="2" t="s">
        <v>1284</v>
      </c>
      <c r="D85" s="2" t="s">
        <v>149</v>
      </c>
      <c r="E85" s="2" t="s">
        <v>150</v>
      </c>
      <c r="F85" s="2"/>
      <c r="G85" s="2"/>
      <c r="H85" s="2"/>
      <c r="I85" s="2"/>
    </row>
    <row r="86" spans="1:9" x14ac:dyDescent="0.35">
      <c r="A86" s="2" t="s">
        <v>1247</v>
      </c>
      <c r="B86" s="2" t="s">
        <v>12</v>
      </c>
      <c r="C86" s="2" t="s">
        <v>1284</v>
      </c>
      <c r="D86" s="2" t="s">
        <v>1285</v>
      </c>
      <c r="E86" s="2" t="s">
        <v>65</v>
      </c>
      <c r="F86" s="2"/>
      <c r="G86" s="2"/>
      <c r="H86" s="2"/>
      <c r="I86" s="2"/>
    </row>
    <row r="87" spans="1:9" x14ac:dyDescent="0.35">
      <c r="A87" s="2" t="s">
        <v>1247</v>
      </c>
      <c r="B87" s="2" t="s">
        <v>62</v>
      </c>
      <c r="C87" s="2" t="s">
        <v>1286</v>
      </c>
      <c r="D87" s="2" t="s">
        <v>91</v>
      </c>
      <c r="E87" s="2" t="s">
        <v>19</v>
      </c>
      <c r="F87" s="2"/>
      <c r="G87" s="2"/>
      <c r="H87" s="2"/>
      <c r="I87" s="2"/>
    </row>
    <row r="88" spans="1:9" x14ac:dyDescent="0.35">
      <c r="A88" s="2" t="s">
        <v>1247</v>
      </c>
      <c r="B88" s="2" t="s">
        <v>62</v>
      </c>
      <c r="C88" s="2" t="s">
        <v>1286</v>
      </c>
      <c r="D88" s="2" t="s">
        <v>1249</v>
      </c>
      <c r="E88" s="2" t="s">
        <v>75</v>
      </c>
      <c r="F88" s="2"/>
      <c r="G88" s="2"/>
      <c r="H88" s="2"/>
      <c r="I88" s="2"/>
    </row>
    <row r="89" spans="1:9" x14ac:dyDescent="0.35">
      <c r="A89" s="2" t="s">
        <v>1247</v>
      </c>
      <c r="B89" s="2" t="s">
        <v>62</v>
      </c>
      <c r="C89" s="2" t="s">
        <v>1287</v>
      </c>
      <c r="D89" s="2" t="s">
        <v>87</v>
      </c>
      <c r="E89" s="2" t="s">
        <v>75</v>
      </c>
      <c r="F89" s="2"/>
      <c r="G89" s="2"/>
      <c r="H89" s="2"/>
      <c r="I89" s="2"/>
    </row>
    <row r="90" spans="1:9" x14ac:dyDescent="0.35">
      <c r="A90" s="2" t="s">
        <v>1247</v>
      </c>
      <c r="B90" s="2" t="s">
        <v>12</v>
      </c>
      <c r="C90" s="2" t="s">
        <v>1288</v>
      </c>
      <c r="D90" s="2" t="s">
        <v>1283</v>
      </c>
      <c r="E90" s="2" t="s">
        <v>65</v>
      </c>
      <c r="F90" s="2"/>
      <c r="G90" s="2"/>
      <c r="H90" s="2"/>
      <c r="I90" s="2"/>
    </row>
    <row r="91" spans="1:9" x14ac:dyDescent="0.35">
      <c r="A91" s="2" t="s">
        <v>1247</v>
      </c>
      <c r="B91" s="2" t="s">
        <v>24</v>
      </c>
      <c r="C91" s="2" t="s">
        <v>1289</v>
      </c>
      <c r="D91" s="2" t="s">
        <v>82</v>
      </c>
      <c r="E91" s="2" t="s">
        <v>83</v>
      </c>
      <c r="F91" s="2"/>
      <c r="G91" s="2" t="s">
        <v>1290</v>
      </c>
      <c r="H91" s="2"/>
      <c r="I91" s="2"/>
    </row>
    <row r="92" spans="1:9" x14ac:dyDescent="0.35">
      <c r="A92" s="2" t="s">
        <v>1247</v>
      </c>
      <c r="B92" s="2" t="s">
        <v>24</v>
      </c>
      <c r="C92" s="2" t="s">
        <v>1289</v>
      </c>
      <c r="D92" s="2" t="s">
        <v>91</v>
      </c>
      <c r="E92" s="2" t="s">
        <v>19</v>
      </c>
      <c r="F92" s="2" t="s">
        <v>20</v>
      </c>
      <c r="G92" s="2" t="s">
        <v>1291</v>
      </c>
      <c r="H92" s="2"/>
      <c r="I92" s="2"/>
    </row>
    <row r="93" spans="1:9" x14ac:dyDescent="0.35">
      <c r="A93" s="2" t="s">
        <v>1247</v>
      </c>
      <c r="B93" s="2" t="s">
        <v>24</v>
      </c>
      <c r="C93" s="2" t="s">
        <v>1292</v>
      </c>
      <c r="D93" s="2" t="s">
        <v>1252</v>
      </c>
      <c r="E93" s="2" t="s">
        <v>1253</v>
      </c>
      <c r="F93" s="2"/>
      <c r="G93" s="2"/>
      <c r="H93" s="2"/>
      <c r="I93" s="2"/>
    </row>
    <row r="94" spans="1:9" x14ac:dyDescent="0.35">
      <c r="A94" s="2" t="s">
        <v>1247</v>
      </c>
      <c r="B94" s="2" t="s">
        <v>24</v>
      </c>
      <c r="C94" s="2" t="s">
        <v>1292</v>
      </c>
      <c r="D94" s="2" t="s">
        <v>1257</v>
      </c>
      <c r="E94" s="2" t="s">
        <v>38</v>
      </c>
      <c r="F94" s="2"/>
      <c r="G94" s="2"/>
      <c r="H94" s="2"/>
      <c r="I94" s="2"/>
    </row>
    <row r="95" spans="1:9" x14ac:dyDescent="0.35">
      <c r="A95" s="2" t="s">
        <v>1247</v>
      </c>
      <c r="B95" s="2" t="s">
        <v>24</v>
      </c>
      <c r="C95" s="2" t="s">
        <v>1292</v>
      </c>
      <c r="D95" s="2" t="s">
        <v>1226</v>
      </c>
      <c r="E95" s="2" t="s">
        <v>107</v>
      </c>
      <c r="F95" s="2"/>
      <c r="G95" s="2"/>
      <c r="H95" s="2"/>
      <c r="I95" s="2"/>
    </row>
    <row r="96" spans="1:9" x14ac:dyDescent="0.35">
      <c r="A96" s="2" t="s">
        <v>1247</v>
      </c>
      <c r="B96" s="2" t="s">
        <v>24</v>
      </c>
      <c r="C96" s="2" t="s">
        <v>1292</v>
      </c>
      <c r="D96" s="2" t="s">
        <v>87</v>
      </c>
      <c r="E96" s="2" t="s">
        <v>75</v>
      </c>
      <c r="F96" s="2"/>
      <c r="G96" s="2"/>
      <c r="H96" s="2"/>
      <c r="I96" s="2"/>
    </row>
    <row r="97" spans="1:9" x14ac:dyDescent="0.35">
      <c r="A97" s="2" t="s">
        <v>1247</v>
      </c>
      <c r="B97" s="2" t="s">
        <v>24</v>
      </c>
      <c r="C97" s="2" t="s">
        <v>1292</v>
      </c>
      <c r="D97" s="2" t="s">
        <v>18</v>
      </c>
      <c r="E97" s="2" t="s">
        <v>19</v>
      </c>
      <c r="F97" s="2"/>
      <c r="G97" s="2"/>
      <c r="H97" s="2"/>
      <c r="I97" s="2"/>
    </row>
    <row r="98" spans="1:9" x14ac:dyDescent="0.35">
      <c r="A98" s="2" t="s">
        <v>1247</v>
      </c>
      <c r="B98" s="2" t="s">
        <v>24</v>
      </c>
      <c r="C98" s="2" t="s">
        <v>1292</v>
      </c>
      <c r="D98" s="2" t="s">
        <v>1261</v>
      </c>
      <c r="E98" s="2" t="s">
        <v>277</v>
      </c>
      <c r="F98" s="2"/>
      <c r="G98" s="2"/>
      <c r="H98" s="2"/>
      <c r="I98" s="2"/>
    </row>
    <row r="99" spans="1:9" x14ac:dyDescent="0.35">
      <c r="A99" s="2" t="s">
        <v>1247</v>
      </c>
      <c r="B99" s="2" t="s">
        <v>62</v>
      </c>
      <c r="C99" s="2" t="s">
        <v>1293</v>
      </c>
      <c r="D99" s="2" t="s">
        <v>1294</v>
      </c>
      <c r="E99" s="2" t="s">
        <v>50</v>
      </c>
      <c r="F99" s="2"/>
      <c r="G99" s="2"/>
      <c r="H99" s="2"/>
      <c r="I99" s="2"/>
    </row>
    <row r="100" spans="1:9" x14ac:dyDescent="0.35">
      <c r="A100" s="2" t="s">
        <v>1247</v>
      </c>
      <c r="B100" s="2" t="s">
        <v>62</v>
      </c>
      <c r="C100" s="2" t="s">
        <v>1293</v>
      </c>
      <c r="D100" s="2" t="s">
        <v>1295</v>
      </c>
      <c r="E100" s="2" t="s">
        <v>50</v>
      </c>
      <c r="F100" s="2"/>
      <c r="G100" s="2"/>
      <c r="H100" s="2"/>
      <c r="I100" s="2"/>
    </row>
    <row r="101" spans="1:9" x14ac:dyDescent="0.35">
      <c r="A101" s="2" t="s">
        <v>1247</v>
      </c>
      <c r="B101" s="2" t="s">
        <v>62</v>
      </c>
      <c r="C101" s="2" t="s">
        <v>1293</v>
      </c>
      <c r="D101" s="2" t="s">
        <v>1296</v>
      </c>
      <c r="E101" s="2" t="s">
        <v>50</v>
      </c>
      <c r="F101" s="2"/>
      <c r="G101" s="2"/>
      <c r="H101" s="2"/>
      <c r="I101" s="2"/>
    </row>
    <row r="102" spans="1:9" x14ac:dyDescent="0.35">
      <c r="A102" s="2" t="s">
        <v>1247</v>
      </c>
      <c r="B102" s="2" t="s">
        <v>62</v>
      </c>
      <c r="C102" s="2" t="s">
        <v>1293</v>
      </c>
      <c r="D102" s="2" t="s">
        <v>87</v>
      </c>
      <c r="E102" s="2" t="s">
        <v>75</v>
      </c>
      <c r="F102" s="2"/>
      <c r="G102" s="2"/>
      <c r="H102" s="2"/>
      <c r="I102" s="2"/>
    </row>
    <row r="103" spans="1:9" x14ac:dyDescent="0.35">
      <c r="A103" s="2" t="s">
        <v>1247</v>
      </c>
      <c r="B103" s="2" t="s">
        <v>62</v>
      </c>
      <c r="C103" s="2" t="s">
        <v>1293</v>
      </c>
      <c r="D103" s="2" t="s">
        <v>1249</v>
      </c>
      <c r="E103" s="2" t="s">
        <v>75</v>
      </c>
      <c r="F103" s="2"/>
      <c r="G103" s="2"/>
      <c r="H103" s="2"/>
      <c r="I103" s="2"/>
    </row>
    <row r="104" spans="1:9" x14ac:dyDescent="0.35">
      <c r="A104" s="2" t="s">
        <v>1247</v>
      </c>
      <c r="B104" s="2" t="s">
        <v>62</v>
      </c>
      <c r="C104" s="2" t="s">
        <v>1293</v>
      </c>
      <c r="D104" s="2" t="s">
        <v>1297</v>
      </c>
      <c r="E104" s="2" t="s">
        <v>533</v>
      </c>
      <c r="F104" s="2"/>
      <c r="G104" s="2"/>
      <c r="H104" s="2"/>
      <c r="I104" s="2"/>
    </row>
    <row r="105" spans="1:9" x14ac:dyDescent="0.35">
      <c r="A105" s="2" t="s">
        <v>1247</v>
      </c>
      <c r="B105" s="2" t="s">
        <v>24</v>
      </c>
      <c r="C105" s="2" t="s">
        <v>1298</v>
      </c>
      <c r="D105" s="2" t="s">
        <v>91</v>
      </c>
      <c r="E105" s="2" t="s">
        <v>19</v>
      </c>
      <c r="F105" s="2"/>
      <c r="G105" s="2" t="s">
        <v>675</v>
      </c>
      <c r="H105" s="2"/>
      <c r="I105" s="2"/>
    </row>
    <row r="106" spans="1:9" x14ac:dyDescent="0.35">
      <c r="A106" s="2" t="s">
        <v>1247</v>
      </c>
      <c r="B106" s="2" t="s">
        <v>24</v>
      </c>
      <c r="C106" s="2" t="s">
        <v>1299</v>
      </c>
      <c r="D106" s="2" t="s">
        <v>91</v>
      </c>
      <c r="E106" s="2" t="s">
        <v>19</v>
      </c>
      <c r="F106" s="2"/>
      <c r="G106" s="2"/>
      <c r="H106" s="2"/>
      <c r="I106" s="2"/>
    </row>
    <row r="107" spans="1:9" x14ac:dyDescent="0.35">
      <c r="A107" s="2" t="s">
        <v>1247</v>
      </c>
      <c r="B107" s="2" t="s">
        <v>24</v>
      </c>
      <c r="C107" s="2" t="s">
        <v>1300</v>
      </c>
      <c r="D107" s="2" t="s">
        <v>33</v>
      </c>
      <c r="E107" s="2" t="s">
        <v>34</v>
      </c>
      <c r="F107" s="2"/>
      <c r="G107" s="2"/>
      <c r="H107" s="2"/>
      <c r="I107" s="2"/>
    </row>
    <row r="108" spans="1:9" x14ac:dyDescent="0.35">
      <c r="A108" s="2" t="s">
        <v>1247</v>
      </c>
      <c r="B108" s="2" t="s">
        <v>24</v>
      </c>
      <c r="C108" s="2" t="s">
        <v>1300</v>
      </c>
      <c r="D108" s="2" t="s">
        <v>91</v>
      </c>
      <c r="E108" s="2" t="s">
        <v>19</v>
      </c>
      <c r="F108" s="2"/>
      <c r="G108" s="2"/>
      <c r="H108" s="2"/>
      <c r="I108" s="2"/>
    </row>
    <row r="109" spans="1:9" x14ac:dyDescent="0.35">
      <c r="A109" s="2" t="s">
        <v>1247</v>
      </c>
      <c r="B109" s="2" t="s">
        <v>24</v>
      </c>
      <c r="C109" s="2" t="s">
        <v>1300</v>
      </c>
      <c r="D109" s="2" t="s">
        <v>227</v>
      </c>
      <c r="E109" s="2" t="s">
        <v>228</v>
      </c>
      <c r="F109" s="2"/>
      <c r="G109" s="2"/>
      <c r="H109" s="2"/>
      <c r="I109" s="2"/>
    </row>
    <row r="110" spans="1:9" x14ac:dyDescent="0.35">
      <c r="A110" s="2" t="s">
        <v>1247</v>
      </c>
      <c r="B110" s="2" t="s">
        <v>24</v>
      </c>
      <c r="C110" s="2" t="s">
        <v>1300</v>
      </c>
      <c r="D110" s="2" t="s">
        <v>89</v>
      </c>
      <c r="E110" s="2" t="s">
        <v>45</v>
      </c>
      <c r="F110" s="2"/>
      <c r="G110" s="2"/>
      <c r="H110" s="2"/>
      <c r="I110" s="2"/>
    </row>
    <row r="111" spans="1:9" x14ac:dyDescent="0.35">
      <c r="A111" s="2" t="s">
        <v>1247</v>
      </c>
      <c r="B111" s="2" t="s">
        <v>54</v>
      </c>
      <c r="C111" s="2" t="s">
        <v>1301</v>
      </c>
      <c r="D111" s="2" t="s">
        <v>1302</v>
      </c>
      <c r="E111" s="2" t="s">
        <v>107</v>
      </c>
      <c r="F111" s="2" t="s">
        <v>20</v>
      </c>
      <c r="G111" s="2" t="s">
        <v>524</v>
      </c>
      <c r="H111" s="2"/>
      <c r="I111" s="2"/>
    </row>
    <row r="112" spans="1:9" x14ac:dyDescent="0.35">
      <c r="A112" s="2" t="s">
        <v>1247</v>
      </c>
      <c r="B112" s="2" t="s">
        <v>54</v>
      </c>
      <c r="C112" s="2" t="s">
        <v>1301</v>
      </c>
      <c r="D112" s="2" t="s">
        <v>120</v>
      </c>
      <c r="E112" s="2" t="s">
        <v>32</v>
      </c>
      <c r="F112" s="2" t="s">
        <v>20</v>
      </c>
      <c r="G112" s="2" t="s">
        <v>524</v>
      </c>
      <c r="H112" s="2"/>
      <c r="I112" s="2"/>
    </row>
    <row r="113" spans="1:9" x14ac:dyDescent="0.35">
      <c r="A113" s="2" t="s">
        <v>1247</v>
      </c>
      <c r="B113" s="2" t="s">
        <v>54</v>
      </c>
      <c r="C113" s="2" t="s">
        <v>1301</v>
      </c>
      <c r="D113" s="2" t="s">
        <v>33</v>
      </c>
      <c r="E113" s="2" t="s">
        <v>34</v>
      </c>
      <c r="F113" s="2" t="s">
        <v>20</v>
      </c>
      <c r="G113" s="2" t="s">
        <v>524</v>
      </c>
      <c r="H113" s="2"/>
      <c r="I113" s="2"/>
    </row>
    <row r="114" spans="1:9" x14ac:dyDescent="0.35">
      <c r="A114" s="2" t="s">
        <v>1247</v>
      </c>
      <c r="B114" s="2" t="s">
        <v>54</v>
      </c>
      <c r="C114" s="2" t="s">
        <v>1301</v>
      </c>
      <c r="D114" s="2" t="s">
        <v>35</v>
      </c>
      <c r="E114" s="2" t="s">
        <v>36</v>
      </c>
      <c r="F114" s="2" t="s">
        <v>20</v>
      </c>
      <c r="G114" s="2" t="s">
        <v>524</v>
      </c>
      <c r="H114" s="2"/>
      <c r="I114" s="2"/>
    </row>
    <row r="115" spans="1:9" x14ac:dyDescent="0.35">
      <c r="A115" s="2" t="s">
        <v>1247</v>
      </c>
      <c r="B115" s="2" t="s">
        <v>54</v>
      </c>
      <c r="C115" s="2" t="s">
        <v>1301</v>
      </c>
      <c r="D115" s="2" t="s">
        <v>1303</v>
      </c>
      <c r="E115" s="2" t="s">
        <v>75</v>
      </c>
      <c r="F115" s="2" t="s">
        <v>20</v>
      </c>
      <c r="G115" s="2" t="s">
        <v>524</v>
      </c>
      <c r="H115" s="2"/>
      <c r="I115" s="2"/>
    </row>
    <row r="116" spans="1:9" x14ac:dyDescent="0.35">
      <c r="A116" s="2" t="s">
        <v>1247</v>
      </c>
      <c r="B116" s="2" t="s">
        <v>54</v>
      </c>
      <c r="C116" s="2" t="s">
        <v>1301</v>
      </c>
      <c r="D116" s="2" t="s">
        <v>91</v>
      </c>
      <c r="E116" s="2" t="s">
        <v>19</v>
      </c>
      <c r="F116" s="2" t="s">
        <v>20</v>
      </c>
      <c r="G116" s="2" t="s">
        <v>524</v>
      </c>
      <c r="H116" s="2"/>
      <c r="I116" s="2"/>
    </row>
    <row r="117" spans="1:9" x14ac:dyDescent="0.35">
      <c r="A117" s="2" t="s">
        <v>1247</v>
      </c>
      <c r="B117" s="2" t="s">
        <v>54</v>
      </c>
      <c r="C117" s="2" t="s">
        <v>1301</v>
      </c>
      <c r="D117" s="2" t="s">
        <v>87</v>
      </c>
      <c r="E117" s="2" t="s">
        <v>75</v>
      </c>
      <c r="F117" s="2" t="s">
        <v>20</v>
      </c>
      <c r="G117" s="2" t="s">
        <v>524</v>
      </c>
      <c r="H117" s="2"/>
      <c r="I117" s="2"/>
    </row>
    <row r="118" spans="1:9" x14ac:dyDescent="0.35">
      <c r="A118" s="2" t="s">
        <v>1247</v>
      </c>
      <c r="B118" s="2" t="s">
        <v>54</v>
      </c>
      <c r="C118" s="2" t="s">
        <v>1301</v>
      </c>
      <c r="D118" s="2" t="s">
        <v>227</v>
      </c>
      <c r="E118" s="2" t="s">
        <v>228</v>
      </c>
      <c r="F118" s="2" t="s">
        <v>20</v>
      </c>
      <c r="G118" s="2" t="s">
        <v>524</v>
      </c>
      <c r="H118" s="2"/>
      <c r="I118" s="2"/>
    </row>
    <row r="119" spans="1:9" x14ac:dyDescent="0.35">
      <c r="A119" s="2" t="s">
        <v>1247</v>
      </c>
      <c r="B119" s="2" t="s">
        <v>24</v>
      </c>
      <c r="C119" s="2" t="s">
        <v>1304</v>
      </c>
      <c r="D119" s="2" t="s">
        <v>1305</v>
      </c>
      <c r="E119" s="2" t="s">
        <v>38</v>
      </c>
      <c r="F119" s="2"/>
      <c r="G119" s="2"/>
      <c r="H119" s="2"/>
      <c r="I119" s="2"/>
    </row>
    <row r="120" spans="1:9" x14ac:dyDescent="0.35">
      <c r="A120" s="2" t="s">
        <v>1247</v>
      </c>
      <c r="B120" s="2" t="s">
        <v>24</v>
      </c>
      <c r="C120" s="2" t="s">
        <v>1304</v>
      </c>
      <c r="D120" s="2" t="s">
        <v>120</v>
      </c>
      <c r="E120" s="2" t="s">
        <v>32</v>
      </c>
      <c r="F120" s="2"/>
      <c r="G120" s="2"/>
      <c r="H120" s="2"/>
      <c r="I120" s="2"/>
    </row>
    <row r="121" spans="1:9" x14ac:dyDescent="0.35">
      <c r="A121" s="2" t="s">
        <v>1247</v>
      </c>
      <c r="B121" s="2" t="s">
        <v>24</v>
      </c>
      <c r="C121" s="2" t="s">
        <v>1304</v>
      </c>
      <c r="D121" s="2" t="s">
        <v>416</v>
      </c>
      <c r="E121" s="2" t="s">
        <v>38</v>
      </c>
      <c r="F121" s="2" t="s">
        <v>20</v>
      </c>
      <c r="G121" s="2" t="s">
        <v>1306</v>
      </c>
      <c r="H121" s="2"/>
      <c r="I121" s="2"/>
    </row>
    <row r="122" spans="1:9" x14ac:dyDescent="0.35">
      <c r="A122" s="2" t="s">
        <v>1247</v>
      </c>
      <c r="B122" s="2" t="s">
        <v>24</v>
      </c>
      <c r="C122" s="2" t="s">
        <v>1304</v>
      </c>
      <c r="D122" s="2" t="s">
        <v>1307</v>
      </c>
      <c r="E122" s="2" t="s">
        <v>38</v>
      </c>
      <c r="F122" s="2"/>
      <c r="G122" s="2"/>
      <c r="H122" s="2"/>
      <c r="I122" s="2"/>
    </row>
    <row r="123" spans="1:9" x14ac:dyDescent="0.35">
      <c r="A123" s="2" t="s">
        <v>1247</v>
      </c>
      <c r="B123" s="2" t="s">
        <v>24</v>
      </c>
      <c r="C123" s="2" t="s">
        <v>1304</v>
      </c>
      <c r="D123" s="2" t="s">
        <v>87</v>
      </c>
      <c r="E123" s="2" t="s">
        <v>75</v>
      </c>
      <c r="F123" s="2" t="s">
        <v>20</v>
      </c>
      <c r="G123" s="2" t="s">
        <v>524</v>
      </c>
      <c r="H123" s="2"/>
      <c r="I123" s="2"/>
    </row>
    <row r="124" spans="1:9" x14ac:dyDescent="0.35">
      <c r="A124" s="2" t="s">
        <v>1247</v>
      </c>
      <c r="B124" s="2" t="s">
        <v>24</v>
      </c>
      <c r="C124" s="2" t="s">
        <v>1304</v>
      </c>
      <c r="D124" s="2" t="s">
        <v>89</v>
      </c>
      <c r="E124" s="2" t="s">
        <v>45</v>
      </c>
      <c r="F124" s="2" t="s">
        <v>20</v>
      </c>
      <c r="G124" s="2" t="s">
        <v>1308</v>
      </c>
      <c r="H124" s="2"/>
      <c r="I124" s="2"/>
    </row>
    <row r="125" spans="1:9" x14ac:dyDescent="0.35">
      <c r="A125" s="2" t="s">
        <v>1247</v>
      </c>
      <c r="B125" s="2" t="s">
        <v>24</v>
      </c>
      <c r="C125" s="2" t="s">
        <v>1309</v>
      </c>
      <c r="D125" s="2" t="s">
        <v>82</v>
      </c>
      <c r="E125" s="2" t="s">
        <v>83</v>
      </c>
      <c r="F125" s="2"/>
      <c r="G125" s="2"/>
      <c r="H125" s="2"/>
      <c r="I125" s="2"/>
    </row>
    <row r="126" spans="1:9" x14ac:dyDescent="0.35">
      <c r="A126" s="2" t="s">
        <v>1247</v>
      </c>
      <c r="B126" s="2" t="s">
        <v>24</v>
      </c>
      <c r="C126" s="2" t="s">
        <v>1309</v>
      </c>
      <c r="D126" s="2" t="s">
        <v>38</v>
      </c>
      <c r="E126" s="2" t="s">
        <v>38</v>
      </c>
      <c r="F126" s="2"/>
      <c r="G126" s="2"/>
      <c r="H126" s="2"/>
      <c r="I126" s="2"/>
    </row>
    <row r="127" spans="1:9" x14ac:dyDescent="0.35">
      <c r="A127" s="2" t="s">
        <v>1247</v>
      </c>
      <c r="B127" s="2" t="s">
        <v>24</v>
      </c>
      <c r="C127" s="2" t="s">
        <v>1309</v>
      </c>
      <c r="D127" s="2" t="s">
        <v>91</v>
      </c>
      <c r="E127" s="2" t="s">
        <v>19</v>
      </c>
      <c r="F127" s="2"/>
      <c r="G127" s="2"/>
      <c r="H127" s="2"/>
      <c r="I127" s="2"/>
    </row>
    <row r="128" spans="1:9" x14ac:dyDescent="0.35">
      <c r="A128" s="2" t="s">
        <v>1247</v>
      </c>
      <c r="B128" s="2" t="s">
        <v>24</v>
      </c>
      <c r="C128" s="2" t="s">
        <v>1310</v>
      </c>
      <c r="D128" s="2" t="s">
        <v>74</v>
      </c>
      <c r="E128" s="2" t="s">
        <v>75</v>
      </c>
      <c r="F128" s="2"/>
      <c r="G128" s="2"/>
      <c r="H128" s="2"/>
      <c r="I128" s="2"/>
    </row>
    <row r="129" spans="1:9" x14ac:dyDescent="0.35">
      <c r="A129" s="2" t="s">
        <v>1247</v>
      </c>
      <c r="B129" s="2" t="s">
        <v>24</v>
      </c>
      <c r="C129" s="2" t="s">
        <v>1310</v>
      </c>
      <c r="D129" s="2" t="s">
        <v>1311</v>
      </c>
      <c r="E129" s="2" t="s">
        <v>45</v>
      </c>
      <c r="F129" s="2"/>
      <c r="G129" s="2"/>
      <c r="H129" s="2"/>
      <c r="I129" s="2"/>
    </row>
    <row r="130" spans="1:9" x14ac:dyDescent="0.35">
      <c r="A130" s="2" t="s">
        <v>1247</v>
      </c>
      <c r="B130" s="2" t="s">
        <v>24</v>
      </c>
      <c r="C130" s="2" t="s">
        <v>1310</v>
      </c>
      <c r="D130" s="2" t="s">
        <v>1312</v>
      </c>
      <c r="E130" s="2" t="s">
        <v>50</v>
      </c>
      <c r="F130" s="2"/>
      <c r="G130" s="2"/>
      <c r="H130" s="2"/>
      <c r="I130" s="2"/>
    </row>
    <row r="131" spans="1:9" x14ac:dyDescent="0.35">
      <c r="A131" s="2" t="s">
        <v>1247</v>
      </c>
      <c r="B131" s="2" t="s">
        <v>24</v>
      </c>
      <c r="C131" s="2" t="s">
        <v>1310</v>
      </c>
      <c r="D131" s="2" t="s">
        <v>120</v>
      </c>
      <c r="E131" s="2" t="s">
        <v>32</v>
      </c>
      <c r="F131" s="2"/>
      <c r="G131" s="2"/>
      <c r="H131" s="2"/>
      <c r="I131" s="2"/>
    </row>
    <row r="132" spans="1:9" x14ac:dyDescent="0.35">
      <c r="A132" s="2" t="s">
        <v>1247</v>
      </c>
      <c r="B132" s="2" t="s">
        <v>24</v>
      </c>
      <c r="C132" s="2" t="s">
        <v>1310</v>
      </c>
      <c r="D132" s="2" t="s">
        <v>416</v>
      </c>
      <c r="E132" s="2" t="s">
        <v>38</v>
      </c>
      <c r="F132" s="2"/>
      <c r="G132" s="2"/>
      <c r="H132" s="2"/>
      <c r="I132" s="2"/>
    </row>
    <row r="133" spans="1:9" x14ac:dyDescent="0.35">
      <c r="A133" s="2" t="s">
        <v>1247</v>
      </c>
      <c r="B133" s="2" t="s">
        <v>24</v>
      </c>
      <c r="C133" s="2" t="s">
        <v>1310</v>
      </c>
      <c r="D133" s="2" t="s">
        <v>1243</v>
      </c>
      <c r="E133" s="2" t="s">
        <v>40</v>
      </c>
      <c r="F133" s="2"/>
      <c r="G133" s="2"/>
      <c r="H133" s="2"/>
      <c r="I133" s="2"/>
    </row>
    <row r="134" spans="1:9" x14ac:dyDescent="0.35">
      <c r="A134" s="2" t="s">
        <v>1247</v>
      </c>
      <c r="B134" s="2" t="s">
        <v>24</v>
      </c>
      <c r="C134" s="2" t="s">
        <v>1310</v>
      </c>
      <c r="D134" s="2" t="s">
        <v>188</v>
      </c>
      <c r="E134" s="2" t="s">
        <v>189</v>
      </c>
      <c r="F134" s="2"/>
      <c r="G134" s="2"/>
      <c r="H134" s="2"/>
      <c r="I134" s="2"/>
    </row>
    <row r="135" spans="1:9" x14ac:dyDescent="0.35">
      <c r="A135" s="2" t="s">
        <v>1247</v>
      </c>
      <c r="B135" s="2" t="s">
        <v>24</v>
      </c>
      <c r="C135" s="2" t="s">
        <v>1310</v>
      </c>
      <c r="D135" s="2" t="s">
        <v>393</v>
      </c>
      <c r="E135" s="2" t="s">
        <v>36</v>
      </c>
      <c r="F135" s="2"/>
      <c r="G135" s="2"/>
      <c r="H135" s="2"/>
      <c r="I135" s="2"/>
    </row>
    <row r="136" spans="1:9" x14ac:dyDescent="0.35">
      <c r="A136" s="2" t="s">
        <v>1247</v>
      </c>
      <c r="B136" s="2" t="s">
        <v>24</v>
      </c>
      <c r="C136" s="2" t="s">
        <v>1310</v>
      </c>
      <c r="D136" s="2" t="s">
        <v>91</v>
      </c>
      <c r="E136" s="2" t="s">
        <v>19</v>
      </c>
      <c r="F136" s="2"/>
      <c r="G136" s="2"/>
      <c r="H136" s="2"/>
      <c r="I136" s="2"/>
    </row>
    <row r="137" spans="1:9" x14ac:dyDescent="0.35">
      <c r="A137" s="2" t="s">
        <v>1247</v>
      </c>
      <c r="B137" s="2" t="s">
        <v>24</v>
      </c>
      <c r="C137" s="2" t="s">
        <v>1313</v>
      </c>
      <c r="D137" s="2" t="s">
        <v>130</v>
      </c>
      <c r="E137" s="2" t="s">
        <v>36</v>
      </c>
      <c r="F137" s="2"/>
      <c r="G137" s="2"/>
      <c r="H137" s="2"/>
      <c r="I137" s="2"/>
    </row>
    <row r="138" spans="1:9" x14ac:dyDescent="0.35">
      <c r="A138" s="2" t="s">
        <v>1247</v>
      </c>
      <c r="B138" s="2" t="s">
        <v>24</v>
      </c>
      <c r="C138" s="2" t="s">
        <v>1313</v>
      </c>
      <c r="D138" s="2" t="s">
        <v>120</v>
      </c>
      <c r="E138" s="2" t="s">
        <v>32</v>
      </c>
      <c r="F138" s="2"/>
      <c r="G138" s="2"/>
      <c r="H138" s="2"/>
      <c r="I138" s="2"/>
    </row>
    <row r="139" spans="1:9" x14ac:dyDescent="0.35">
      <c r="A139" s="2" t="s">
        <v>1247</v>
      </c>
      <c r="B139" s="2" t="s">
        <v>24</v>
      </c>
      <c r="C139" s="2" t="s">
        <v>1313</v>
      </c>
      <c r="D139" s="2" t="s">
        <v>1226</v>
      </c>
      <c r="E139" s="2" t="s">
        <v>107</v>
      </c>
      <c r="F139" s="2"/>
      <c r="G139" s="2"/>
      <c r="H139" s="2"/>
      <c r="I139" s="2"/>
    </row>
    <row r="140" spans="1:9" x14ac:dyDescent="0.35">
      <c r="A140" s="2" t="s">
        <v>1247</v>
      </c>
      <c r="B140" s="2" t="s">
        <v>24</v>
      </c>
      <c r="C140" s="2" t="s">
        <v>1313</v>
      </c>
      <c r="D140" s="2" t="s">
        <v>91</v>
      </c>
      <c r="E140" s="2" t="s">
        <v>19</v>
      </c>
      <c r="F140" s="2" t="s">
        <v>20</v>
      </c>
      <c r="G140" s="2" t="s">
        <v>1314</v>
      </c>
      <c r="H140" s="2"/>
      <c r="I140" s="2"/>
    </row>
    <row r="141" spans="1:9" x14ac:dyDescent="0.35">
      <c r="A141" s="2" t="s">
        <v>1247</v>
      </c>
      <c r="B141" s="2" t="s">
        <v>24</v>
      </c>
      <c r="C141" s="2" t="s">
        <v>1313</v>
      </c>
      <c r="D141" s="2" t="s">
        <v>87</v>
      </c>
      <c r="E141" s="2" t="s">
        <v>75</v>
      </c>
      <c r="F141" s="2" t="s">
        <v>20</v>
      </c>
      <c r="G141" s="2" t="s">
        <v>1315</v>
      </c>
      <c r="H141" s="2"/>
      <c r="I141" s="2"/>
    </row>
    <row r="142" spans="1:9" x14ac:dyDescent="0.35">
      <c r="A142" s="2" t="s">
        <v>1247</v>
      </c>
      <c r="B142" s="2" t="s">
        <v>24</v>
      </c>
      <c r="C142" s="2" t="s">
        <v>1313</v>
      </c>
      <c r="D142" s="2" t="s">
        <v>1228</v>
      </c>
      <c r="E142" s="2" t="s">
        <v>228</v>
      </c>
      <c r="F142" s="2"/>
      <c r="G142" s="2"/>
      <c r="H142" s="2"/>
      <c r="I142" s="2"/>
    </row>
    <row r="143" spans="1:9" x14ac:dyDescent="0.35">
      <c r="A143" s="2" t="s">
        <v>1247</v>
      </c>
      <c r="B143" s="2" t="s">
        <v>24</v>
      </c>
      <c r="C143" s="2" t="s">
        <v>1313</v>
      </c>
      <c r="D143" s="2" t="s">
        <v>89</v>
      </c>
      <c r="E143" s="2" t="s">
        <v>45</v>
      </c>
      <c r="F143" s="2" t="s">
        <v>20</v>
      </c>
      <c r="G143" s="2" t="s">
        <v>1316</v>
      </c>
      <c r="H143" s="2"/>
      <c r="I143" s="2"/>
    </row>
    <row r="144" spans="1:9" x14ac:dyDescent="0.35">
      <c r="A144" s="2" t="s">
        <v>1247</v>
      </c>
      <c r="B144" s="2" t="s">
        <v>24</v>
      </c>
      <c r="C144" s="2" t="s">
        <v>1317</v>
      </c>
      <c r="D144" s="2" t="s">
        <v>1305</v>
      </c>
      <c r="E144" s="2" t="s">
        <v>38</v>
      </c>
      <c r="F144" s="2" t="s">
        <v>20</v>
      </c>
      <c r="G144" s="2" t="s">
        <v>1318</v>
      </c>
      <c r="H144" s="2"/>
      <c r="I144" s="2"/>
    </row>
    <row r="145" spans="1:9" x14ac:dyDescent="0.35">
      <c r="A145" s="2" t="s">
        <v>1247</v>
      </c>
      <c r="B145" s="2" t="s">
        <v>24</v>
      </c>
      <c r="C145" s="2" t="s">
        <v>1317</v>
      </c>
      <c r="D145" s="2" t="s">
        <v>121</v>
      </c>
      <c r="E145" s="2" t="s">
        <v>122</v>
      </c>
      <c r="F145" s="2"/>
      <c r="G145" s="2"/>
      <c r="H145" s="2"/>
      <c r="I145" s="2"/>
    </row>
    <row r="146" spans="1:9" x14ac:dyDescent="0.35">
      <c r="A146" s="2" t="s">
        <v>1247</v>
      </c>
      <c r="B146" s="2" t="s">
        <v>24</v>
      </c>
      <c r="C146" s="2" t="s">
        <v>1317</v>
      </c>
      <c r="D146" s="2" t="s">
        <v>1319</v>
      </c>
      <c r="E146" s="2" t="s">
        <v>363</v>
      </c>
      <c r="F146" s="2"/>
      <c r="G146" s="2"/>
      <c r="H146" s="2"/>
      <c r="I146" s="2"/>
    </row>
    <row r="147" spans="1:9" x14ac:dyDescent="0.35">
      <c r="A147" s="2" t="s">
        <v>1247</v>
      </c>
      <c r="B147" s="2" t="s">
        <v>24</v>
      </c>
      <c r="C147" s="2" t="s">
        <v>1317</v>
      </c>
      <c r="D147" s="2" t="s">
        <v>91</v>
      </c>
      <c r="E147" s="2" t="s">
        <v>19</v>
      </c>
      <c r="F147" s="2" t="s">
        <v>20</v>
      </c>
      <c r="G147" s="2" t="s">
        <v>1318</v>
      </c>
      <c r="H147" s="2"/>
      <c r="I147" s="2"/>
    </row>
    <row r="148" spans="1:9" x14ac:dyDescent="0.35">
      <c r="A148" s="2" t="s">
        <v>1247</v>
      </c>
      <c r="B148" s="2" t="s">
        <v>24</v>
      </c>
      <c r="C148" s="2" t="s">
        <v>1317</v>
      </c>
      <c r="D148" s="2" t="s">
        <v>149</v>
      </c>
      <c r="E148" s="2" t="s">
        <v>150</v>
      </c>
      <c r="F148" s="2" t="s">
        <v>20</v>
      </c>
      <c r="G148" s="2" t="s">
        <v>1318</v>
      </c>
      <c r="H148" s="2"/>
      <c r="I148" s="2"/>
    </row>
    <row r="149" spans="1:9" x14ac:dyDescent="0.35">
      <c r="A149" s="2" t="s">
        <v>1247</v>
      </c>
      <c r="B149" s="2" t="s">
        <v>54</v>
      </c>
      <c r="C149" s="2" t="s">
        <v>1320</v>
      </c>
      <c r="D149" s="2" t="s">
        <v>61</v>
      </c>
      <c r="E149" s="2" t="s">
        <v>30</v>
      </c>
      <c r="F149" s="2"/>
      <c r="G149" s="2"/>
      <c r="H149" s="2"/>
      <c r="I149" s="2"/>
    </row>
    <row r="150" spans="1:9" x14ac:dyDescent="0.35">
      <c r="A150" s="2" t="s">
        <v>1247</v>
      </c>
      <c r="B150" s="2" t="s">
        <v>62</v>
      </c>
      <c r="C150" s="2" t="s">
        <v>1321</v>
      </c>
      <c r="D150" s="2" t="s">
        <v>87</v>
      </c>
      <c r="E150" s="2" t="s">
        <v>75</v>
      </c>
      <c r="F150" s="2"/>
      <c r="G150" s="2"/>
      <c r="H150" s="2"/>
      <c r="I150" s="2"/>
    </row>
    <row r="151" spans="1:9" x14ac:dyDescent="0.35">
      <c r="A151" s="2" t="s">
        <v>1247</v>
      </c>
      <c r="B151" s="2" t="s">
        <v>62</v>
      </c>
      <c r="C151" s="2" t="s">
        <v>1321</v>
      </c>
      <c r="D151" s="2" t="s">
        <v>1297</v>
      </c>
      <c r="E151" s="2" t="s">
        <v>533</v>
      </c>
      <c r="F151" s="2"/>
      <c r="G151" s="2"/>
      <c r="H151" s="2"/>
      <c r="I151" s="2"/>
    </row>
    <row r="152" spans="1:9" x14ac:dyDescent="0.35">
      <c r="A152" s="2" t="s">
        <v>1247</v>
      </c>
      <c r="B152" s="2" t="s">
        <v>62</v>
      </c>
      <c r="C152" s="2" t="s">
        <v>1322</v>
      </c>
      <c r="D152" s="2" t="s">
        <v>1323</v>
      </c>
      <c r="E152" s="2" t="s">
        <v>75</v>
      </c>
      <c r="F152" s="2"/>
      <c r="G152" s="2"/>
      <c r="H152" s="2"/>
      <c r="I152" s="2"/>
    </row>
    <row r="153" spans="1:9" x14ac:dyDescent="0.35">
      <c r="A153" s="2" t="s">
        <v>1247</v>
      </c>
      <c r="B153" s="2" t="s">
        <v>62</v>
      </c>
      <c r="C153" s="2" t="s">
        <v>1322</v>
      </c>
      <c r="D153" s="2" t="s">
        <v>317</v>
      </c>
      <c r="E153" s="2" t="s">
        <v>318</v>
      </c>
      <c r="F153" s="2"/>
      <c r="G153" s="2"/>
      <c r="H153" s="2"/>
      <c r="I153" s="2"/>
    </row>
    <row r="154" spans="1:9" x14ac:dyDescent="0.35">
      <c r="A154" s="2" t="s">
        <v>1247</v>
      </c>
      <c r="B154" s="2" t="s">
        <v>62</v>
      </c>
      <c r="C154" s="2" t="s">
        <v>1322</v>
      </c>
      <c r="D154" s="2" t="s">
        <v>87</v>
      </c>
      <c r="E154" s="2" t="s">
        <v>75</v>
      </c>
      <c r="F154" s="2"/>
      <c r="G154" s="2"/>
      <c r="H154" s="2"/>
      <c r="I154" s="2"/>
    </row>
    <row r="155" spans="1:9" x14ac:dyDescent="0.35">
      <c r="A155" s="2" t="s">
        <v>1247</v>
      </c>
      <c r="B155" s="2" t="s">
        <v>54</v>
      </c>
      <c r="C155" s="2" t="s">
        <v>1324</v>
      </c>
      <c r="D155" s="2" t="s">
        <v>1302</v>
      </c>
      <c r="E155" s="2" t="s">
        <v>107</v>
      </c>
      <c r="F155" s="2" t="s">
        <v>20</v>
      </c>
      <c r="G155" s="2" t="s">
        <v>1325</v>
      </c>
      <c r="H155" s="2"/>
      <c r="I155" s="2"/>
    </row>
    <row r="156" spans="1:9" x14ac:dyDescent="0.35">
      <c r="A156" s="2" t="s">
        <v>1247</v>
      </c>
      <c r="B156" s="2" t="s">
        <v>54</v>
      </c>
      <c r="C156" s="2" t="s">
        <v>1324</v>
      </c>
      <c r="D156" s="2" t="s">
        <v>35</v>
      </c>
      <c r="E156" s="2" t="s">
        <v>36</v>
      </c>
      <c r="F156" s="2" t="s">
        <v>20</v>
      </c>
      <c r="G156" s="2" t="s">
        <v>1325</v>
      </c>
      <c r="H156" s="2"/>
      <c r="I156" s="2"/>
    </row>
    <row r="157" spans="1:9" x14ac:dyDescent="0.35">
      <c r="A157" s="2" t="s">
        <v>1247</v>
      </c>
      <c r="B157" s="2" t="s">
        <v>54</v>
      </c>
      <c r="C157" s="2" t="s">
        <v>1324</v>
      </c>
      <c r="D157" s="2" t="s">
        <v>227</v>
      </c>
      <c r="E157" s="2" t="s">
        <v>228</v>
      </c>
      <c r="F157" s="2" t="s">
        <v>20</v>
      </c>
      <c r="G157" s="2" t="s">
        <v>1325</v>
      </c>
      <c r="H157" s="2"/>
      <c r="I157" s="2"/>
    </row>
    <row r="158" spans="1:9" x14ac:dyDescent="0.35">
      <c r="A158" s="2" t="s">
        <v>1247</v>
      </c>
      <c r="B158" s="2" t="s">
        <v>62</v>
      </c>
      <c r="C158" s="2" t="s">
        <v>1326</v>
      </c>
      <c r="D158" s="2" t="s">
        <v>1249</v>
      </c>
      <c r="E158" s="2" t="s">
        <v>75</v>
      </c>
      <c r="F158" s="2"/>
      <c r="G158" s="2"/>
      <c r="H158" s="2"/>
      <c r="I158" s="2"/>
    </row>
    <row r="159" spans="1:9" x14ac:dyDescent="0.35">
      <c r="A159" s="2" t="s">
        <v>1247</v>
      </c>
      <c r="B159" s="2" t="s">
        <v>24</v>
      </c>
      <c r="C159" s="2" t="s">
        <v>1327</v>
      </c>
      <c r="D159" s="2" t="s">
        <v>91</v>
      </c>
      <c r="E159" s="2" t="s">
        <v>19</v>
      </c>
      <c r="F159" s="2"/>
      <c r="G159" s="2"/>
      <c r="H159" s="2"/>
      <c r="I159" s="2"/>
    </row>
    <row r="160" spans="1:9" x14ac:dyDescent="0.35">
      <c r="A160" s="2" t="s">
        <v>1247</v>
      </c>
      <c r="B160" s="2" t="s">
        <v>24</v>
      </c>
      <c r="C160" s="2" t="s">
        <v>1328</v>
      </c>
      <c r="D160" s="2" t="s">
        <v>246</v>
      </c>
      <c r="E160" s="2" t="s">
        <v>107</v>
      </c>
      <c r="F160" s="2"/>
      <c r="G160" s="2"/>
      <c r="H160" s="2"/>
      <c r="I160" s="2"/>
    </row>
    <row r="161" spans="1:9" x14ac:dyDescent="0.35">
      <c r="A161" s="2" t="s">
        <v>1247</v>
      </c>
      <c r="B161" s="2" t="s">
        <v>24</v>
      </c>
      <c r="C161" s="2" t="s">
        <v>1328</v>
      </c>
      <c r="D161" s="2" t="s">
        <v>144</v>
      </c>
      <c r="E161" s="2" t="s">
        <v>50</v>
      </c>
      <c r="F161" s="2"/>
      <c r="G161" s="2"/>
      <c r="H161" s="2"/>
      <c r="I161" s="2"/>
    </row>
    <row r="162" spans="1:9" x14ac:dyDescent="0.35">
      <c r="A162" s="2" t="s">
        <v>1247</v>
      </c>
      <c r="B162" s="2" t="s">
        <v>24</v>
      </c>
      <c r="C162" s="2" t="s">
        <v>1328</v>
      </c>
      <c r="D162" s="2" t="s">
        <v>120</v>
      </c>
      <c r="E162" s="2" t="s">
        <v>32</v>
      </c>
      <c r="F162" s="2"/>
      <c r="G162" s="2"/>
      <c r="H162" s="2"/>
      <c r="I162" s="2"/>
    </row>
    <row r="163" spans="1:9" x14ac:dyDescent="0.35">
      <c r="A163" s="2" t="s">
        <v>1247</v>
      </c>
      <c r="B163" s="2" t="s">
        <v>12</v>
      </c>
      <c r="C163" s="2" t="s">
        <v>1329</v>
      </c>
      <c r="D163" s="2" t="s">
        <v>77</v>
      </c>
      <c r="E163" s="2" t="s">
        <v>78</v>
      </c>
      <c r="F163" s="2"/>
      <c r="G163" s="2"/>
      <c r="H163" s="2"/>
      <c r="I163" s="2"/>
    </row>
    <row r="164" spans="1:9" x14ac:dyDescent="0.35">
      <c r="A164" s="2" t="s">
        <v>1247</v>
      </c>
      <c r="B164" s="2" t="s">
        <v>12</v>
      </c>
      <c r="C164" s="2" t="s">
        <v>1329</v>
      </c>
      <c r="D164" s="2" t="s">
        <v>91</v>
      </c>
      <c r="E164" s="2" t="s">
        <v>19</v>
      </c>
      <c r="F164" s="2"/>
      <c r="G164" s="2"/>
      <c r="H164" s="2"/>
      <c r="I164" s="2"/>
    </row>
    <row r="165" spans="1:9" x14ac:dyDescent="0.35">
      <c r="A165" s="2" t="s">
        <v>1247</v>
      </c>
      <c r="B165" s="2" t="s">
        <v>12</v>
      </c>
      <c r="C165" s="2" t="s">
        <v>1329</v>
      </c>
      <c r="D165" s="2" t="s">
        <v>18</v>
      </c>
      <c r="E165" s="2" t="s">
        <v>19</v>
      </c>
      <c r="F165" s="2"/>
      <c r="G165" s="2"/>
      <c r="H165" s="2"/>
      <c r="I165" s="2"/>
    </row>
    <row r="166" spans="1:9" x14ac:dyDescent="0.35">
      <c r="A166" s="2" t="s">
        <v>1247</v>
      </c>
      <c r="B166" s="2" t="s">
        <v>12</v>
      </c>
      <c r="C166" s="2" t="s">
        <v>1330</v>
      </c>
      <c r="D166" s="2" t="s">
        <v>198</v>
      </c>
      <c r="E166" s="2" t="s">
        <v>65</v>
      </c>
      <c r="F166" s="2"/>
      <c r="G166" s="2"/>
      <c r="H166" s="2"/>
      <c r="I166" s="2"/>
    </row>
    <row r="167" spans="1:9" x14ac:dyDescent="0.35">
      <c r="A167" s="2" t="s">
        <v>1247</v>
      </c>
      <c r="B167" s="2" t="s">
        <v>12</v>
      </c>
      <c r="C167" s="2" t="s">
        <v>1330</v>
      </c>
      <c r="D167" s="2" t="s">
        <v>18</v>
      </c>
      <c r="E167" s="2" t="s">
        <v>19</v>
      </c>
      <c r="F167" s="2"/>
      <c r="G167" s="2"/>
      <c r="H167" s="2"/>
      <c r="I167" s="2"/>
    </row>
    <row r="168" spans="1:9" x14ac:dyDescent="0.35">
      <c r="A168" s="2" t="s">
        <v>1247</v>
      </c>
      <c r="B168" s="2" t="s">
        <v>62</v>
      </c>
      <c r="C168" s="2" t="s">
        <v>1331</v>
      </c>
      <c r="D168" s="2" t="s">
        <v>1332</v>
      </c>
      <c r="E168" s="2" t="s">
        <v>75</v>
      </c>
      <c r="F168" s="2"/>
      <c r="G168" s="2"/>
      <c r="H168" s="2"/>
      <c r="I168" s="2"/>
    </row>
    <row r="169" spans="1:9" x14ac:dyDescent="0.35">
      <c r="A169" s="2" t="s">
        <v>1247</v>
      </c>
      <c r="B169" s="2" t="s">
        <v>62</v>
      </c>
      <c r="C169" s="2" t="s">
        <v>1331</v>
      </c>
      <c r="D169" s="2" t="s">
        <v>1333</v>
      </c>
      <c r="E169" s="2" t="s">
        <v>1334</v>
      </c>
      <c r="F169" s="2"/>
      <c r="G169" s="2"/>
      <c r="H169" s="2"/>
      <c r="I169" s="2"/>
    </row>
    <row r="170" spans="1:9" x14ac:dyDescent="0.35">
      <c r="A170" s="2" t="s">
        <v>1247</v>
      </c>
      <c r="B170" s="2" t="s">
        <v>62</v>
      </c>
      <c r="C170" s="2" t="s">
        <v>1331</v>
      </c>
      <c r="D170" s="2" t="s">
        <v>1335</v>
      </c>
      <c r="E170" s="2" t="s">
        <v>75</v>
      </c>
      <c r="F170" s="2"/>
      <c r="G170" s="2"/>
      <c r="H170" s="2"/>
      <c r="I170" s="2"/>
    </row>
    <row r="171" spans="1:9" x14ac:dyDescent="0.35">
      <c r="A171" s="2" t="s">
        <v>1247</v>
      </c>
      <c r="B171" s="2" t="s">
        <v>62</v>
      </c>
      <c r="C171" s="2" t="s">
        <v>1331</v>
      </c>
      <c r="D171" s="2" t="s">
        <v>1336</v>
      </c>
      <c r="E171" s="2" t="s">
        <v>75</v>
      </c>
      <c r="F171" s="2"/>
      <c r="G171" s="2"/>
      <c r="H171" s="2"/>
      <c r="I171" s="2"/>
    </row>
    <row r="172" spans="1:9" x14ac:dyDescent="0.35">
      <c r="A172" s="2" t="s">
        <v>1247</v>
      </c>
      <c r="B172" s="2" t="s">
        <v>62</v>
      </c>
      <c r="C172" s="2" t="s">
        <v>1331</v>
      </c>
      <c r="D172" s="2" t="s">
        <v>613</v>
      </c>
      <c r="E172" s="2" t="s">
        <v>125</v>
      </c>
      <c r="F172" s="2" t="s">
        <v>20</v>
      </c>
      <c r="G172" s="2" t="s">
        <v>1337</v>
      </c>
      <c r="H172" s="2"/>
      <c r="I172" s="2"/>
    </row>
    <row r="173" spans="1:9" x14ac:dyDescent="0.35">
      <c r="A173" s="2" t="s">
        <v>1247</v>
      </c>
      <c r="B173" s="2" t="s">
        <v>62</v>
      </c>
      <c r="C173" s="2" t="s">
        <v>1331</v>
      </c>
      <c r="D173" s="2" t="s">
        <v>1338</v>
      </c>
      <c r="E173" s="2" t="s">
        <v>75</v>
      </c>
      <c r="F173" s="2"/>
      <c r="G173" s="2"/>
      <c r="H173" s="2"/>
      <c r="I173" s="2"/>
    </row>
    <row r="174" spans="1:9" x14ac:dyDescent="0.35">
      <c r="A174" s="2" t="s">
        <v>1247</v>
      </c>
      <c r="B174" s="2" t="s">
        <v>62</v>
      </c>
      <c r="C174" s="2" t="s">
        <v>1331</v>
      </c>
      <c r="D174" s="2" t="s">
        <v>1339</v>
      </c>
      <c r="E174" s="2" t="s">
        <v>75</v>
      </c>
      <c r="F174" s="2"/>
      <c r="G174" s="2"/>
      <c r="H174" s="2"/>
      <c r="I174" s="2"/>
    </row>
    <row r="175" spans="1:9" x14ac:dyDescent="0.35">
      <c r="A175" s="2" t="s">
        <v>1247</v>
      </c>
      <c r="B175" s="2" t="s">
        <v>62</v>
      </c>
      <c r="C175" s="2" t="s">
        <v>1331</v>
      </c>
      <c r="D175" s="2" t="s">
        <v>91</v>
      </c>
      <c r="E175" s="2" t="s">
        <v>19</v>
      </c>
      <c r="F175" s="2" t="s">
        <v>20</v>
      </c>
      <c r="G175" s="2" t="s">
        <v>1340</v>
      </c>
      <c r="H175" s="2"/>
      <c r="I175" s="2"/>
    </row>
    <row r="176" spans="1:9" x14ac:dyDescent="0.35">
      <c r="A176" s="2" t="s">
        <v>1247</v>
      </c>
      <c r="B176" s="2" t="s">
        <v>62</v>
      </c>
      <c r="C176" s="2" t="s">
        <v>1331</v>
      </c>
      <c r="D176" s="2" t="s">
        <v>87</v>
      </c>
      <c r="E176" s="2" t="s">
        <v>75</v>
      </c>
      <c r="F176" s="2"/>
      <c r="G176" s="2"/>
      <c r="H176" s="2"/>
      <c r="I176" s="2"/>
    </row>
    <row r="177" spans="1:9" x14ac:dyDescent="0.35">
      <c r="A177" s="2" t="s">
        <v>1247</v>
      </c>
      <c r="B177" s="2" t="s">
        <v>62</v>
      </c>
      <c r="C177" s="2" t="s">
        <v>1331</v>
      </c>
      <c r="D177" s="2" t="s">
        <v>1261</v>
      </c>
      <c r="E177" s="2" t="s">
        <v>277</v>
      </c>
      <c r="F177" s="2"/>
      <c r="G177" s="2"/>
      <c r="H177" s="2"/>
      <c r="I177" s="2"/>
    </row>
    <row r="178" spans="1:9" x14ac:dyDescent="0.35">
      <c r="A178" s="2" t="s">
        <v>1247</v>
      </c>
      <c r="B178" s="2" t="s">
        <v>62</v>
      </c>
      <c r="C178" s="2" t="s">
        <v>1331</v>
      </c>
      <c r="D178" s="2" t="s">
        <v>149</v>
      </c>
      <c r="E178" s="2" t="s">
        <v>150</v>
      </c>
      <c r="F178" s="2"/>
      <c r="G178" s="2"/>
      <c r="H178" s="2"/>
      <c r="I178" s="2"/>
    </row>
    <row r="179" spans="1:9" x14ac:dyDescent="0.35">
      <c r="A179" s="2" t="s">
        <v>1247</v>
      </c>
      <c r="B179" s="2" t="s">
        <v>62</v>
      </c>
      <c r="C179" s="2" t="s">
        <v>1331</v>
      </c>
      <c r="D179" s="2" t="s">
        <v>1341</v>
      </c>
      <c r="E179" s="2" t="s">
        <v>65</v>
      </c>
      <c r="F179" s="2"/>
      <c r="G179" s="2"/>
      <c r="H179" s="2"/>
      <c r="I179" s="2"/>
    </row>
    <row r="180" spans="1:9" x14ac:dyDescent="0.35">
      <c r="A180" s="2" t="s">
        <v>1247</v>
      </c>
      <c r="B180" s="2" t="s">
        <v>62</v>
      </c>
      <c r="C180" s="2" t="s">
        <v>1331</v>
      </c>
      <c r="D180" s="2" t="s">
        <v>1342</v>
      </c>
      <c r="E180" s="2" t="s">
        <v>1343</v>
      </c>
      <c r="F180" s="2"/>
      <c r="G180" s="2"/>
      <c r="H180" s="2"/>
      <c r="I180" s="2"/>
    </row>
    <row r="181" spans="1:9" x14ac:dyDescent="0.35">
      <c r="A181" s="2" t="s">
        <v>1247</v>
      </c>
      <c r="B181" s="2" t="s">
        <v>62</v>
      </c>
      <c r="C181" s="2" t="s">
        <v>1344</v>
      </c>
      <c r="D181" s="2" t="s">
        <v>1249</v>
      </c>
      <c r="E181" s="2" t="s">
        <v>75</v>
      </c>
      <c r="F181" s="2"/>
      <c r="G181" s="2"/>
      <c r="H181" s="2"/>
      <c r="I181" s="2"/>
    </row>
    <row r="182" spans="1:9" x14ac:dyDescent="0.35">
      <c r="A182" s="2" t="s">
        <v>1247</v>
      </c>
      <c r="B182" s="2" t="s">
        <v>62</v>
      </c>
      <c r="C182" s="2" t="s">
        <v>1345</v>
      </c>
      <c r="D182" s="2" t="s">
        <v>1249</v>
      </c>
      <c r="E182" s="2" t="s">
        <v>75</v>
      </c>
      <c r="F182" s="2"/>
      <c r="G182" s="2"/>
      <c r="H182" s="2"/>
      <c r="I182" s="2"/>
    </row>
    <row r="183" spans="1:9" x14ac:dyDescent="0.35">
      <c r="A183" s="2" t="s">
        <v>1247</v>
      </c>
      <c r="B183" s="2" t="s">
        <v>24</v>
      </c>
      <c r="C183" s="2" t="s">
        <v>1346</v>
      </c>
      <c r="D183" s="2" t="s">
        <v>1252</v>
      </c>
      <c r="E183" s="2" t="s">
        <v>1253</v>
      </c>
      <c r="F183" s="2"/>
      <c r="G183" s="2"/>
      <c r="H183" s="2"/>
      <c r="I183" s="2"/>
    </row>
    <row r="184" spans="1:9" x14ac:dyDescent="0.35">
      <c r="A184" s="2" t="s">
        <v>1247</v>
      </c>
      <c r="B184" s="2" t="s">
        <v>24</v>
      </c>
      <c r="C184" s="2" t="s">
        <v>1346</v>
      </c>
      <c r="D184" s="2" t="s">
        <v>1256</v>
      </c>
      <c r="E184" s="2" t="s">
        <v>363</v>
      </c>
      <c r="F184" s="2"/>
      <c r="G184" s="2"/>
      <c r="H184" s="2"/>
      <c r="I184" s="2"/>
    </row>
    <row r="185" spans="1:9" x14ac:dyDescent="0.35">
      <c r="A185" s="2" t="s">
        <v>1247</v>
      </c>
      <c r="B185" s="2" t="s">
        <v>24</v>
      </c>
      <c r="C185" s="2" t="s">
        <v>1346</v>
      </c>
      <c r="D185" s="2" t="s">
        <v>1257</v>
      </c>
      <c r="E185" s="2" t="s">
        <v>38</v>
      </c>
      <c r="F185" s="2"/>
      <c r="G185" s="2"/>
      <c r="H185" s="2"/>
      <c r="I185" s="2"/>
    </row>
    <row r="186" spans="1:9" x14ac:dyDescent="0.35">
      <c r="A186" s="2" t="s">
        <v>1247</v>
      </c>
      <c r="B186" s="2" t="s">
        <v>24</v>
      </c>
      <c r="C186" s="2" t="s">
        <v>1346</v>
      </c>
      <c r="D186" s="2" t="s">
        <v>1226</v>
      </c>
      <c r="E186" s="2" t="s">
        <v>107</v>
      </c>
      <c r="F186" s="2"/>
      <c r="G186" s="2"/>
      <c r="H186" s="2"/>
      <c r="I186" s="2"/>
    </row>
    <row r="187" spans="1:9" x14ac:dyDescent="0.35">
      <c r="A187" s="2" t="s">
        <v>1247</v>
      </c>
      <c r="B187" s="2" t="s">
        <v>24</v>
      </c>
      <c r="C187" s="2" t="s">
        <v>1346</v>
      </c>
      <c r="D187" s="2" t="s">
        <v>87</v>
      </c>
      <c r="E187" s="2" t="s">
        <v>75</v>
      </c>
      <c r="F187" s="2"/>
      <c r="G187" s="2"/>
      <c r="H187" s="2"/>
      <c r="I187" s="2"/>
    </row>
    <row r="188" spans="1:9" x14ac:dyDescent="0.35">
      <c r="A188" s="2" t="s">
        <v>1247</v>
      </c>
      <c r="B188" s="2" t="s">
        <v>24</v>
      </c>
      <c r="C188" s="2" t="s">
        <v>1346</v>
      </c>
      <c r="D188" s="2" t="s">
        <v>124</v>
      </c>
      <c r="E188" s="2" t="s">
        <v>125</v>
      </c>
      <c r="F188" s="2" t="s">
        <v>20</v>
      </c>
      <c r="G188" s="2" t="s">
        <v>1259</v>
      </c>
      <c r="H188" s="2"/>
      <c r="I188" s="2"/>
    </row>
    <row r="189" spans="1:9" x14ac:dyDescent="0.35">
      <c r="A189" s="2" t="s">
        <v>1247</v>
      </c>
      <c r="B189" s="2" t="s">
        <v>24</v>
      </c>
      <c r="C189" s="2" t="s">
        <v>1346</v>
      </c>
      <c r="D189" s="2" t="s">
        <v>18</v>
      </c>
      <c r="E189" s="2" t="s">
        <v>19</v>
      </c>
      <c r="F189" s="2"/>
      <c r="G189" s="2"/>
      <c r="H189" s="2"/>
      <c r="I189" s="2"/>
    </row>
    <row r="190" spans="1:9" x14ac:dyDescent="0.35">
      <c r="A190" s="2" t="s">
        <v>1247</v>
      </c>
      <c r="B190" s="2" t="s">
        <v>24</v>
      </c>
      <c r="C190" s="2" t="s">
        <v>1346</v>
      </c>
      <c r="D190" s="2" t="s">
        <v>1261</v>
      </c>
      <c r="E190" s="2" t="s">
        <v>277</v>
      </c>
      <c r="F190" s="2"/>
      <c r="G190" s="2"/>
      <c r="H190" s="2"/>
      <c r="I190" s="2"/>
    </row>
    <row r="191" spans="1:9" x14ac:dyDescent="0.35">
      <c r="A191" s="2" t="s">
        <v>1247</v>
      </c>
      <c r="B191" s="2" t="s">
        <v>54</v>
      </c>
      <c r="C191" s="2" t="s">
        <v>1347</v>
      </c>
      <c r="D191" s="2" t="s">
        <v>14</v>
      </c>
      <c r="E191" s="2" t="s">
        <v>15</v>
      </c>
      <c r="F191" s="2"/>
      <c r="G191" s="2"/>
      <c r="H191" s="2"/>
      <c r="I191" s="2"/>
    </row>
    <row r="192" spans="1:9" x14ac:dyDescent="0.35">
      <c r="A192" s="2" t="s">
        <v>1247</v>
      </c>
      <c r="B192" s="2" t="s">
        <v>54</v>
      </c>
      <c r="C192" s="2" t="s">
        <v>1347</v>
      </c>
      <c r="D192" s="2" t="s">
        <v>89</v>
      </c>
      <c r="E192" s="2" t="s">
        <v>45</v>
      </c>
      <c r="F192" s="2" t="s">
        <v>20</v>
      </c>
      <c r="G192" s="2" t="s">
        <v>1348</v>
      </c>
      <c r="H192" s="2"/>
      <c r="I192" s="2"/>
    </row>
    <row r="193" spans="1:9" x14ac:dyDescent="0.35">
      <c r="A193" s="2" t="s">
        <v>1247</v>
      </c>
      <c r="B193" s="2" t="s">
        <v>62</v>
      </c>
      <c r="C193" s="2" t="s">
        <v>1349</v>
      </c>
      <c r="D193" s="2" t="s">
        <v>27</v>
      </c>
      <c r="E193" s="2" t="s">
        <v>28</v>
      </c>
      <c r="F193" s="2"/>
      <c r="G193" s="2"/>
      <c r="H193" s="2"/>
      <c r="I193" s="2"/>
    </row>
    <row r="194" spans="1:9" x14ac:dyDescent="0.35">
      <c r="A194" s="2" t="s">
        <v>1247</v>
      </c>
      <c r="B194" s="2" t="s">
        <v>62</v>
      </c>
      <c r="C194" s="2" t="s">
        <v>1350</v>
      </c>
      <c r="D194" s="2" t="s">
        <v>1333</v>
      </c>
      <c r="E194" s="2" t="s">
        <v>1334</v>
      </c>
      <c r="F194" s="2"/>
      <c r="G194" s="2"/>
      <c r="H194" s="2"/>
      <c r="I194" s="2"/>
    </row>
    <row r="195" spans="1:9" x14ac:dyDescent="0.35">
      <c r="A195" s="2" t="s">
        <v>1247</v>
      </c>
      <c r="B195" s="2" t="s">
        <v>62</v>
      </c>
      <c r="C195" s="2" t="s">
        <v>1350</v>
      </c>
      <c r="D195" s="2" t="s">
        <v>144</v>
      </c>
      <c r="E195" s="2" t="s">
        <v>50</v>
      </c>
      <c r="F195" s="2"/>
      <c r="G195" s="2"/>
      <c r="H195" s="2"/>
      <c r="I195" s="2"/>
    </row>
    <row r="196" spans="1:9" x14ac:dyDescent="0.35">
      <c r="A196" s="2" t="s">
        <v>1247</v>
      </c>
      <c r="B196" s="2" t="s">
        <v>62</v>
      </c>
      <c r="C196" s="2" t="s">
        <v>1350</v>
      </c>
      <c r="D196" s="2" t="s">
        <v>91</v>
      </c>
      <c r="E196" s="2" t="s">
        <v>19</v>
      </c>
      <c r="F196" s="2"/>
      <c r="G196" s="2"/>
      <c r="H196" s="2"/>
      <c r="I196" s="2"/>
    </row>
    <row r="197" spans="1:9" x14ac:dyDescent="0.35">
      <c r="A197" s="2" t="s">
        <v>1247</v>
      </c>
      <c r="B197" s="2" t="s">
        <v>62</v>
      </c>
      <c r="C197" s="2" t="s">
        <v>1350</v>
      </c>
      <c r="D197" s="2" t="s">
        <v>87</v>
      </c>
      <c r="E197" s="2" t="s">
        <v>75</v>
      </c>
      <c r="F197" s="2"/>
      <c r="G197" s="2"/>
      <c r="H197" s="2"/>
      <c r="I197" s="2"/>
    </row>
    <row r="198" spans="1:9" x14ac:dyDescent="0.35">
      <c r="A198" s="2" t="s">
        <v>1247</v>
      </c>
      <c r="B198" s="2" t="s">
        <v>62</v>
      </c>
      <c r="C198" s="2" t="s">
        <v>1350</v>
      </c>
      <c r="D198" s="2" t="s">
        <v>1351</v>
      </c>
      <c r="E198" s="2" t="s">
        <v>367</v>
      </c>
      <c r="F198" s="2"/>
      <c r="G198" s="2"/>
      <c r="H198" s="2"/>
      <c r="I198" s="2"/>
    </row>
    <row r="199" spans="1:9" x14ac:dyDescent="0.35">
      <c r="A199" s="2" t="s">
        <v>1247</v>
      </c>
      <c r="B199" s="2" t="s">
        <v>62</v>
      </c>
      <c r="C199" s="2" t="s">
        <v>1350</v>
      </c>
      <c r="D199" s="2" t="s">
        <v>1261</v>
      </c>
      <c r="E199" s="2" t="s">
        <v>277</v>
      </c>
      <c r="F199" s="2"/>
      <c r="G199" s="2"/>
      <c r="H199" s="2"/>
      <c r="I199" s="2"/>
    </row>
    <row r="200" spans="1:9" x14ac:dyDescent="0.35">
      <c r="A200" s="2" t="s">
        <v>1247</v>
      </c>
      <c r="B200" s="2" t="s">
        <v>62</v>
      </c>
      <c r="C200" s="2" t="s">
        <v>1350</v>
      </c>
      <c r="D200" s="2" t="s">
        <v>1352</v>
      </c>
      <c r="E200" s="2" t="s">
        <v>228</v>
      </c>
      <c r="F200" s="2"/>
      <c r="G200" s="2"/>
      <c r="H200" s="2"/>
      <c r="I200" s="2"/>
    </row>
    <row r="201" spans="1:9" x14ac:dyDescent="0.35">
      <c r="A201" s="2" t="s">
        <v>1247</v>
      </c>
      <c r="B201" s="2" t="s">
        <v>62</v>
      </c>
      <c r="C201" s="2" t="s">
        <v>1350</v>
      </c>
      <c r="D201" s="2" t="s">
        <v>1341</v>
      </c>
      <c r="E201" s="2" t="s">
        <v>65</v>
      </c>
      <c r="F201" s="2"/>
      <c r="G201" s="2"/>
      <c r="H201" s="2"/>
      <c r="I201" s="2"/>
    </row>
    <row r="202" spans="1:9" x14ac:dyDescent="0.35">
      <c r="A202" s="2" t="s">
        <v>1247</v>
      </c>
      <c r="B202" s="2" t="s">
        <v>62</v>
      </c>
      <c r="C202" s="2" t="s">
        <v>1353</v>
      </c>
      <c r="D202" s="2" t="s">
        <v>91</v>
      </c>
      <c r="E202" s="2" t="s">
        <v>19</v>
      </c>
      <c r="F202" s="2"/>
      <c r="G202" s="2"/>
      <c r="H202" s="2"/>
      <c r="I202" s="2"/>
    </row>
    <row r="203" spans="1:9" x14ac:dyDescent="0.35">
      <c r="A203" s="2" t="s">
        <v>1247</v>
      </c>
      <c r="B203" s="2" t="s">
        <v>62</v>
      </c>
      <c r="C203" s="2" t="s">
        <v>1353</v>
      </c>
      <c r="D203" s="2" t="s">
        <v>87</v>
      </c>
      <c r="E203" s="2" t="s">
        <v>75</v>
      </c>
      <c r="F203" s="2"/>
      <c r="G203" s="2"/>
      <c r="H203" s="2"/>
      <c r="I203" s="2"/>
    </row>
    <row r="204" spans="1:9" x14ac:dyDescent="0.35">
      <c r="A204" s="2" t="s">
        <v>1247</v>
      </c>
      <c r="B204" s="2" t="s">
        <v>62</v>
      </c>
      <c r="C204" s="2" t="s">
        <v>1353</v>
      </c>
      <c r="D204" s="2" t="s">
        <v>1249</v>
      </c>
      <c r="E204" s="2" t="s">
        <v>75</v>
      </c>
      <c r="F204" s="2"/>
      <c r="G204" s="2"/>
      <c r="H204" s="2"/>
      <c r="I204" s="2"/>
    </row>
    <row r="205" spans="1:9" x14ac:dyDescent="0.35">
      <c r="A205" s="2" t="s">
        <v>1247</v>
      </c>
      <c r="B205" s="2" t="s">
        <v>24</v>
      </c>
      <c r="C205" s="2" t="s">
        <v>1354</v>
      </c>
      <c r="D205" s="2" t="s">
        <v>1252</v>
      </c>
      <c r="E205" s="2" t="s">
        <v>1253</v>
      </c>
      <c r="F205" s="2"/>
      <c r="G205" s="2"/>
      <c r="H205" s="2"/>
      <c r="I205" s="2"/>
    </row>
    <row r="206" spans="1:9" x14ac:dyDescent="0.35">
      <c r="A206" s="2" t="s">
        <v>1247</v>
      </c>
      <c r="B206" s="2" t="s">
        <v>24</v>
      </c>
      <c r="C206" s="2" t="s">
        <v>1354</v>
      </c>
      <c r="D206" s="2" t="s">
        <v>1257</v>
      </c>
      <c r="E206" s="2" t="s">
        <v>38</v>
      </c>
      <c r="F206" s="2"/>
      <c r="G206" s="2"/>
      <c r="H206" s="2"/>
      <c r="I206" s="2"/>
    </row>
    <row r="207" spans="1:9" x14ac:dyDescent="0.35">
      <c r="A207" s="2" t="s">
        <v>1247</v>
      </c>
      <c r="B207" s="2" t="s">
        <v>24</v>
      </c>
      <c r="C207" s="2" t="s">
        <v>1354</v>
      </c>
      <c r="D207" s="2" t="s">
        <v>82</v>
      </c>
      <c r="E207" s="2" t="s">
        <v>83</v>
      </c>
      <c r="F207" s="2"/>
      <c r="G207" s="2"/>
      <c r="H207" s="2"/>
      <c r="I207" s="2"/>
    </row>
    <row r="208" spans="1:9" x14ac:dyDescent="0.35">
      <c r="A208" s="2" t="s">
        <v>1247</v>
      </c>
      <c r="B208" s="2" t="s">
        <v>24</v>
      </c>
      <c r="C208" s="2" t="s">
        <v>1354</v>
      </c>
      <c r="D208" s="2" t="s">
        <v>1226</v>
      </c>
      <c r="E208" s="2" t="s">
        <v>107</v>
      </c>
      <c r="F208" s="2"/>
      <c r="G208" s="2"/>
      <c r="H208" s="2"/>
      <c r="I208" s="2"/>
    </row>
    <row r="209" spans="1:9" x14ac:dyDescent="0.35">
      <c r="A209" s="2" t="s">
        <v>1247</v>
      </c>
      <c r="B209" s="2" t="s">
        <v>24</v>
      </c>
      <c r="C209" s="2" t="s">
        <v>1354</v>
      </c>
      <c r="D209" s="2" t="s">
        <v>1355</v>
      </c>
      <c r="E209" s="2" t="s">
        <v>277</v>
      </c>
      <c r="F209" s="2"/>
      <c r="G209" s="2"/>
      <c r="H209" s="2"/>
      <c r="I209" s="2"/>
    </row>
    <row r="210" spans="1:9" x14ac:dyDescent="0.35">
      <c r="A210" s="2" t="s">
        <v>1247</v>
      </c>
      <c r="B210" s="2" t="s">
        <v>24</v>
      </c>
      <c r="C210" s="2" t="s">
        <v>1354</v>
      </c>
      <c r="D210" s="2" t="s">
        <v>91</v>
      </c>
      <c r="E210" s="2" t="s">
        <v>19</v>
      </c>
      <c r="F210" s="2"/>
      <c r="G210" s="2"/>
      <c r="H210" s="2"/>
      <c r="I210" s="2"/>
    </row>
    <row r="211" spans="1:9" x14ac:dyDescent="0.35">
      <c r="A211" s="2" t="s">
        <v>1247</v>
      </c>
      <c r="B211" s="2" t="s">
        <v>24</v>
      </c>
      <c r="C211" s="2" t="s">
        <v>1354</v>
      </c>
      <c r="D211" s="2" t="s">
        <v>87</v>
      </c>
      <c r="E211" s="2" t="s">
        <v>75</v>
      </c>
      <c r="F211" s="2"/>
      <c r="G211" s="2"/>
      <c r="H211" s="2"/>
      <c r="I211" s="2"/>
    </row>
    <row r="212" spans="1:9" x14ac:dyDescent="0.35">
      <c r="A212" s="2" t="s">
        <v>1247</v>
      </c>
      <c r="B212" s="2" t="s">
        <v>24</v>
      </c>
      <c r="C212" s="2" t="s">
        <v>1354</v>
      </c>
      <c r="D212" s="2" t="s">
        <v>124</v>
      </c>
      <c r="E212" s="2" t="s">
        <v>125</v>
      </c>
      <c r="F212" s="2"/>
      <c r="G212" s="2"/>
      <c r="H212" s="2"/>
      <c r="I212" s="2"/>
    </row>
    <row r="213" spans="1:9" x14ac:dyDescent="0.35">
      <c r="A213" s="2" t="s">
        <v>1247</v>
      </c>
      <c r="B213" s="2" t="s">
        <v>24</v>
      </c>
      <c r="C213" s="2" t="s">
        <v>1354</v>
      </c>
      <c r="D213" s="2" t="s">
        <v>18</v>
      </c>
      <c r="E213" s="2" t="s">
        <v>19</v>
      </c>
      <c r="F213" s="2"/>
      <c r="G213" s="2"/>
      <c r="H213" s="2"/>
      <c r="I213" s="2"/>
    </row>
    <row r="214" spans="1:9" x14ac:dyDescent="0.35">
      <c r="A214" s="2" t="s">
        <v>1247</v>
      </c>
      <c r="B214" s="2" t="s">
        <v>24</v>
      </c>
      <c r="C214" s="2" t="s">
        <v>1354</v>
      </c>
      <c r="D214" s="2" t="s">
        <v>1261</v>
      </c>
      <c r="E214" s="2" t="s">
        <v>277</v>
      </c>
      <c r="F214" s="2"/>
      <c r="G214" s="2"/>
      <c r="H214" s="2"/>
      <c r="I214" s="2"/>
    </row>
    <row r="215" spans="1:9" x14ac:dyDescent="0.35">
      <c r="A215" s="2" t="s">
        <v>1247</v>
      </c>
      <c r="B215" s="2" t="s">
        <v>24</v>
      </c>
      <c r="C215" s="2" t="s">
        <v>1354</v>
      </c>
      <c r="D215" s="2" t="s">
        <v>1263</v>
      </c>
      <c r="E215" s="2" t="s">
        <v>36</v>
      </c>
      <c r="F215" s="2"/>
      <c r="G215" s="2"/>
      <c r="H215" s="2"/>
      <c r="I215" s="2"/>
    </row>
    <row r="216" spans="1:9" x14ac:dyDescent="0.35">
      <c r="A216" s="2" t="s">
        <v>1247</v>
      </c>
      <c r="B216" s="2" t="s">
        <v>24</v>
      </c>
      <c r="C216" s="2" t="s">
        <v>1356</v>
      </c>
      <c r="D216" s="2" t="s">
        <v>144</v>
      </c>
      <c r="E216" s="2" t="s">
        <v>50</v>
      </c>
      <c r="F216" s="2"/>
      <c r="G216" s="2"/>
      <c r="H216" s="2"/>
      <c r="I216" s="2"/>
    </row>
    <row r="217" spans="1:9" x14ac:dyDescent="0.35">
      <c r="A217" s="2" t="s">
        <v>1247</v>
      </c>
      <c r="B217" s="2" t="s">
        <v>24</v>
      </c>
      <c r="C217" s="2" t="s">
        <v>1356</v>
      </c>
      <c r="D217" s="2" t="s">
        <v>138</v>
      </c>
      <c r="E217" s="2" t="s">
        <v>139</v>
      </c>
      <c r="F217" s="2"/>
      <c r="G217" s="2"/>
      <c r="H217" s="2"/>
      <c r="I217" s="2"/>
    </row>
    <row r="218" spans="1:9" x14ac:dyDescent="0.35">
      <c r="A218" s="2" t="s">
        <v>1247</v>
      </c>
      <c r="B218" s="2" t="s">
        <v>24</v>
      </c>
      <c r="C218" s="2" t="s">
        <v>1356</v>
      </c>
      <c r="D218" s="2" t="s">
        <v>121</v>
      </c>
      <c r="E218" s="2" t="s">
        <v>122</v>
      </c>
      <c r="F218" s="2"/>
      <c r="G218" s="2"/>
      <c r="H218" s="2"/>
      <c r="I218" s="2"/>
    </row>
    <row r="219" spans="1:9" x14ac:dyDescent="0.35">
      <c r="A219" s="2" t="s">
        <v>1247</v>
      </c>
      <c r="B219" s="2" t="s">
        <v>24</v>
      </c>
      <c r="C219" s="2" t="s">
        <v>1357</v>
      </c>
      <c r="D219" s="2" t="s">
        <v>1252</v>
      </c>
      <c r="E219" s="2" t="s">
        <v>1253</v>
      </c>
      <c r="F219" s="2"/>
      <c r="G219" s="2"/>
      <c r="H219" s="2"/>
      <c r="I219" s="2"/>
    </row>
    <row r="220" spans="1:9" x14ac:dyDescent="0.35">
      <c r="A220" s="2" t="s">
        <v>1247</v>
      </c>
      <c r="B220" s="2" t="s">
        <v>24</v>
      </c>
      <c r="C220" s="2" t="s">
        <v>1357</v>
      </c>
      <c r="D220" s="2" t="s">
        <v>1256</v>
      </c>
      <c r="E220" s="2" t="s">
        <v>363</v>
      </c>
      <c r="F220" s="2"/>
      <c r="G220" s="2"/>
      <c r="H220" s="2"/>
      <c r="I220" s="2"/>
    </row>
    <row r="221" spans="1:9" x14ac:dyDescent="0.35">
      <c r="A221" s="2" t="s">
        <v>1247</v>
      </c>
      <c r="B221" s="2" t="s">
        <v>24</v>
      </c>
      <c r="C221" s="2" t="s">
        <v>1357</v>
      </c>
      <c r="D221" s="2" t="s">
        <v>1358</v>
      </c>
      <c r="E221" s="2" t="s">
        <v>83</v>
      </c>
      <c r="F221" s="2"/>
      <c r="G221" s="2"/>
      <c r="H221" s="2"/>
      <c r="I221" s="2"/>
    </row>
    <row r="222" spans="1:9" x14ac:dyDescent="0.35">
      <c r="A222" s="2" t="s">
        <v>1247</v>
      </c>
      <c r="B222" s="2" t="s">
        <v>24</v>
      </c>
      <c r="C222" s="2" t="s">
        <v>1357</v>
      </c>
      <c r="D222" s="2" t="s">
        <v>1257</v>
      </c>
      <c r="E222" s="2" t="s">
        <v>38</v>
      </c>
      <c r="F222" s="2"/>
      <c r="G222" s="2"/>
      <c r="H222" s="2"/>
      <c r="I222" s="2"/>
    </row>
    <row r="223" spans="1:9" x14ac:dyDescent="0.35">
      <c r="A223" s="2" t="s">
        <v>1247</v>
      </c>
      <c r="B223" s="2" t="s">
        <v>24</v>
      </c>
      <c r="C223" s="2" t="s">
        <v>1357</v>
      </c>
      <c r="D223" s="2" t="s">
        <v>1359</v>
      </c>
      <c r="E223" s="2" t="s">
        <v>363</v>
      </c>
      <c r="F223" s="2"/>
      <c r="G223" s="2"/>
      <c r="H223" s="2"/>
      <c r="I223" s="2"/>
    </row>
    <row r="224" spans="1:9" x14ac:dyDescent="0.35">
      <c r="A224" s="2" t="s">
        <v>1247</v>
      </c>
      <c r="B224" s="2" t="s">
        <v>24</v>
      </c>
      <c r="C224" s="2" t="s">
        <v>1357</v>
      </c>
      <c r="D224" s="2" t="s">
        <v>613</v>
      </c>
      <c r="E224" s="2" t="s">
        <v>125</v>
      </c>
      <c r="F224" s="2"/>
      <c r="G224" s="2"/>
      <c r="H224" s="2"/>
      <c r="I224" s="2"/>
    </row>
    <row r="225" spans="1:9" x14ac:dyDescent="0.35">
      <c r="A225" s="2" t="s">
        <v>1247</v>
      </c>
      <c r="B225" s="2" t="s">
        <v>24</v>
      </c>
      <c r="C225" s="2" t="s">
        <v>1357</v>
      </c>
      <c r="D225" s="2" t="s">
        <v>1226</v>
      </c>
      <c r="E225" s="2" t="s">
        <v>107</v>
      </c>
      <c r="F225" s="2"/>
      <c r="G225" s="2"/>
      <c r="H225" s="2"/>
      <c r="I225" s="2"/>
    </row>
    <row r="226" spans="1:9" x14ac:dyDescent="0.35">
      <c r="A226" s="2" t="s">
        <v>1247</v>
      </c>
      <c r="B226" s="2" t="s">
        <v>24</v>
      </c>
      <c r="C226" s="2" t="s">
        <v>1357</v>
      </c>
      <c r="D226" s="2" t="s">
        <v>438</v>
      </c>
      <c r="E226" s="2" t="s">
        <v>19</v>
      </c>
      <c r="F226" s="2"/>
      <c r="G226" s="2"/>
      <c r="H226" s="2"/>
      <c r="I226" s="2"/>
    </row>
    <row r="227" spans="1:9" x14ac:dyDescent="0.35">
      <c r="A227" s="2" t="s">
        <v>1247</v>
      </c>
      <c r="B227" s="2" t="s">
        <v>24</v>
      </c>
      <c r="C227" s="2" t="s">
        <v>1357</v>
      </c>
      <c r="D227" s="2" t="s">
        <v>87</v>
      </c>
      <c r="E227" s="2" t="s">
        <v>75</v>
      </c>
      <c r="F227" s="2"/>
      <c r="G227" s="2"/>
      <c r="H227" s="2"/>
      <c r="I227" s="2"/>
    </row>
    <row r="228" spans="1:9" x14ac:dyDescent="0.35">
      <c r="A228" s="2" t="s">
        <v>1247</v>
      </c>
      <c r="B228" s="2" t="s">
        <v>24</v>
      </c>
      <c r="C228" s="2" t="s">
        <v>1357</v>
      </c>
      <c r="D228" s="2" t="s">
        <v>1243</v>
      </c>
      <c r="E228" s="2" t="s">
        <v>40</v>
      </c>
      <c r="F228" s="2" t="s">
        <v>46</v>
      </c>
      <c r="G228" s="2" t="s">
        <v>47</v>
      </c>
      <c r="H228" s="2"/>
      <c r="I228" s="2"/>
    </row>
    <row r="229" spans="1:9" x14ac:dyDescent="0.35">
      <c r="A229" s="2" t="s">
        <v>1247</v>
      </c>
      <c r="B229" s="2" t="s">
        <v>24</v>
      </c>
      <c r="C229" s="2" t="s">
        <v>1357</v>
      </c>
      <c r="D229" s="2" t="s">
        <v>18</v>
      </c>
      <c r="E229" s="2" t="s">
        <v>19</v>
      </c>
      <c r="F229" s="2"/>
      <c r="G229" s="2"/>
      <c r="H229" s="2"/>
      <c r="I229" s="2"/>
    </row>
    <row r="230" spans="1:9" x14ac:dyDescent="0.35">
      <c r="A230" s="2" t="s">
        <v>1247</v>
      </c>
      <c r="B230" s="2" t="s">
        <v>24</v>
      </c>
      <c r="C230" s="2" t="s">
        <v>1357</v>
      </c>
      <c r="D230" s="2" t="s">
        <v>61</v>
      </c>
      <c r="E230" s="2" t="s">
        <v>30</v>
      </c>
      <c r="F230" s="2"/>
      <c r="G230" s="2"/>
      <c r="H230" s="2"/>
      <c r="I230" s="2"/>
    </row>
    <row r="231" spans="1:9" x14ac:dyDescent="0.35">
      <c r="A231" s="2" t="s">
        <v>1247</v>
      </c>
      <c r="B231" s="2" t="s">
        <v>24</v>
      </c>
      <c r="C231" s="2" t="s">
        <v>1357</v>
      </c>
      <c r="D231" s="2" t="s">
        <v>1261</v>
      </c>
      <c r="E231" s="2" t="s">
        <v>277</v>
      </c>
      <c r="F231" s="2"/>
      <c r="G231" s="2"/>
      <c r="H231" s="2"/>
      <c r="I231" s="2"/>
    </row>
    <row r="232" spans="1:9" x14ac:dyDescent="0.35">
      <c r="A232" s="2" t="s">
        <v>1247</v>
      </c>
      <c r="B232" s="2" t="s">
        <v>24</v>
      </c>
      <c r="C232" s="2" t="s">
        <v>1357</v>
      </c>
      <c r="D232" s="2" t="s">
        <v>127</v>
      </c>
      <c r="E232" s="2" t="s">
        <v>107</v>
      </c>
      <c r="F232" s="2"/>
      <c r="G232" s="2"/>
      <c r="H232" s="2"/>
      <c r="I232" s="2"/>
    </row>
    <row r="233" spans="1:9" x14ac:dyDescent="0.35">
      <c r="A233" s="2" t="s">
        <v>1247</v>
      </c>
      <c r="B233" s="2" t="s">
        <v>24</v>
      </c>
      <c r="C233" s="2" t="s">
        <v>1357</v>
      </c>
      <c r="D233" s="2" t="s">
        <v>1263</v>
      </c>
      <c r="E233" s="2" t="s">
        <v>36</v>
      </c>
      <c r="F233" s="2"/>
      <c r="G233" s="2"/>
      <c r="H233" s="2"/>
      <c r="I233" s="2"/>
    </row>
    <row r="234" spans="1:9" x14ac:dyDescent="0.35">
      <c r="A234" s="2" t="s">
        <v>1247</v>
      </c>
      <c r="B234" s="2" t="s">
        <v>24</v>
      </c>
      <c r="C234" s="2" t="s">
        <v>1360</v>
      </c>
      <c r="D234" s="2" t="s">
        <v>144</v>
      </c>
      <c r="E234" s="2" t="s">
        <v>50</v>
      </c>
      <c r="F234" s="2"/>
      <c r="G234" s="2"/>
      <c r="H234" s="2"/>
      <c r="I234" s="2"/>
    </row>
    <row r="235" spans="1:9" x14ac:dyDescent="0.35">
      <c r="A235" s="2" t="s">
        <v>1247</v>
      </c>
      <c r="B235" s="2" t="s">
        <v>24</v>
      </c>
      <c r="C235" s="2" t="s">
        <v>1360</v>
      </c>
      <c r="D235" s="2" t="s">
        <v>91</v>
      </c>
      <c r="E235" s="2" t="s">
        <v>19</v>
      </c>
      <c r="F235" s="2" t="s">
        <v>20</v>
      </c>
      <c r="G235" s="2" t="s">
        <v>1361</v>
      </c>
      <c r="H235" s="2"/>
      <c r="I235" s="2"/>
    </row>
    <row r="236" spans="1:9" x14ac:dyDescent="0.35">
      <c r="A236" s="2" t="s">
        <v>1247</v>
      </c>
      <c r="B236" s="2" t="s">
        <v>24</v>
      </c>
      <c r="C236" s="2" t="s">
        <v>1362</v>
      </c>
      <c r="D236" s="2" t="s">
        <v>120</v>
      </c>
      <c r="E236" s="2" t="s">
        <v>32</v>
      </c>
      <c r="F236" s="2"/>
      <c r="G236" s="2"/>
      <c r="H236" s="2"/>
      <c r="I236" s="2"/>
    </row>
    <row r="237" spans="1:9" x14ac:dyDescent="0.35">
      <c r="A237" s="2" t="s">
        <v>1247</v>
      </c>
      <c r="B237" s="2" t="s">
        <v>24</v>
      </c>
      <c r="C237" s="2" t="s">
        <v>1362</v>
      </c>
      <c r="D237" s="2" t="s">
        <v>82</v>
      </c>
      <c r="E237" s="2" t="s">
        <v>83</v>
      </c>
      <c r="F237" s="2" t="s">
        <v>16</v>
      </c>
      <c r="G237" s="2" t="s">
        <v>524</v>
      </c>
      <c r="H237" s="2"/>
      <c r="I237" s="2"/>
    </row>
    <row r="238" spans="1:9" x14ac:dyDescent="0.35">
      <c r="A238" s="2" t="s">
        <v>1247</v>
      </c>
      <c r="B238" s="2" t="s">
        <v>24</v>
      </c>
      <c r="C238" s="2" t="s">
        <v>1362</v>
      </c>
      <c r="D238" s="2" t="s">
        <v>121</v>
      </c>
      <c r="E238" s="2" t="s">
        <v>122</v>
      </c>
      <c r="F238" s="2" t="s">
        <v>20</v>
      </c>
      <c r="G238" s="2" t="s">
        <v>524</v>
      </c>
      <c r="H238" s="2"/>
      <c r="I238" s="2"/>
    </row>
    <row r="239" spans="1:9" x14ac:dyDescent="0.35">
      <c r="A239" s="2" t="s">
        <v>1247</v>
      </c>
      <c r="B239" s="2" t="s">
        <v>24</v>
      </c>
      <c r="C239" s="2" t="s">
        <v>1362</v>
      </c>
      <c r="D239" s="2" t="s">
        <v>1363</v>
      </c>
      <c r="E239" s="2" t="s">
        <v>189</v>
      </c>
      <c r="F239" s="2" t="s">
        <v>20</v>
      </c>
      <c r="G239" s="2" t="s">
        <v>1364</v>
      </c>
      <c r="H239" s="2"/>
      <c r="I239" s="2"/>
    </row>
    <row r="240" spans="1:9" x14ac:dyDescent="0.35">
      <c r="A240" s="2" t="s">
        <v>1247</v>
      </c>
      <c r="B240" s="2" t="s">
        <v>24</v>
      </c>
      <c r="C240" s="2" t="s">
        <v>1362</v>
      </c>
      <c r="D240" s="2" t="s">
        <v>149</v>
      </c>
      <c r="E240" s="2" t="s">
        <v>150</v>
      </c>
      <c r="F240" s="2" t="s">
        <v>20</v>
      </c>
      <c r="G240" s="2" t="s">
        <v>524</v>
      </c>
      <c r="H240" s="2"/>
      <c r="I240" s="2"/>
    </row>
    <row r="241" spans="1:9" x14ac:dyDescent="0.35">
      <c r="A241" s="2" t="s">
        <v>1247</v>
      </c>
      <c r="B241" s="2" t="s">
        <v>24</v>
      </c>
      <c r="C241" s="2" t="s">
        <v>1365</v>
      </c>
      <c r="D241" s="2" t="s">
        <v>1366</v>
      </c>
      <c r="E241" s="2" t="s">
        <v>122</v>
      </c>
      <c r="F241" s="2"/>
      <c r="G241" s="2"/>
      <c r="H241" s="2"/>
      <c r="I241" s="2"/>
    </row>
    <row r="242" spans="1:9" x14ac:dyDescent="0.35">
      <c r="A242" s="2" t="s">
        <v>1247</v>
      </c>
      <c r="B242" s="2" t="s">
        <v>24</v>
      </c>
      <c r="C242" s="2" t="s">
        <v>1365</v>
      </c>
      <c r="D242" s="2" t="s">
        <v>1367</v>
      </c>
      <c r="E242" s="2" t="s">
        <v>32</v>
      </c>
      <c r="F242" s="2"/>
      <c r="G242" s="2"/>
      <c r="H242" s="2"/>
      <c r="I242" s="2"/>
    </row>
    <row r="243" spans="1:9" x14ac:dyDescent="0.35">
      <c r="A243" s="2" t="s">
        <v>1247</v>
      </c>
      <c r="B243" s="2" t="s">
        <v>24</v>
      </c>
      <c r="C243" s="2" t="s">
        <v>1365</v>
      </c>
      <c r="D243" s="2" t="s">
        <v>1368</v>
      </c>
      <c r="E243" s="2" t="s">
        <v>122</v>
      </c>
      <c r="F243" s="2"/>
      <c r="G243" s="2"/>
      <c r="H243" s="2"/>
      <c r="I243" s="2"/>
    </row>
    <row r="244" spans="1:9" x14ac:dyDescent="0.35">
      <c r="A244" s="2" t="s">
        <v>1247</v>
      </c>
      <c r="B244" s="2" t="s">
        <v>24</v>
      </c>
      <c r="C244" s="2" t="s">
        <v>1365</v>
      </c>
      <c r="D244" s="2" t="s">
        <v>1369</v>
      </c>
      <c r="E244" s="2" t="s">
        <v>122</v>
      </c>
      <c r="F244" s="2"/>
      <c r="G244" s="2"/>
      <c r="H244" s="2"/>
      <c r="I244" s="2"/>
    </row>
    <row r="245" spans="1:9" x14ac:dyDescent="0.35">
      <c r="A245" s="2" t="s">
        <v>1247</v>
      </c>
      <c r="B245" s="2" t="s">
        <v>24</v>
      </c>
      <c r="C245" s="2" t="s">
        <v>1365</v>
      </c>
      <c r="D245" s="2" t="s">
        <v>1270</v>
      </c>
      <c r="E245" s="2" t="s">
        <v>75</v>
      </c>
      <c r="F245" s="2"/>
      <c r="G245" s="2"/>
      <c r="H245" s="2"/>
      <c r="I245" s="2"/>
    </row>
    <row r="246" spans="1:9" x14ac:dyDescent="0.35">
      <c r="A246" s="2" t="s">
        <v>1247</v>
      </c>
      <c r="B246" s="2" t="s">
        <v>24</v>
      </c>
      <c r="C246" s="2" t="s">
        <v>1365</v>
      </c>
      <c r="D246" s="2" t="s">
        <v>1370</v>
      </c>
      <c r="E246" s="2" t="s">
        <v>43</v>
      </c>
      <c r="F246" s="2" t="s">
        <v>46</v>
      </c>
      <c r="G246" s="2" t="s">
        <v>1371</v>
      </c>
      <c r="H246" s="2"/>
      <c r="I246" s="2"/>
    </row>
    <row r="247" spans="1:9" x14ac:dyDescent="0.35">
      <c r="A247" s="2" t="s">
        <v>1247</v>
      </c>
      <c r="B247" s="2" t="s">
        <v>24</v>
      </c>
      <c r="C247" s="2" t="s">
        <v>1365</v>
      </c>
      <c r="D247" s="2" t="s">
        <v>87</v>
      </c>
      <c r="E247" s="2" t="s">
        <v>75</v>
      </c>
      <c r="F247" s="2"/>
      <c r="G247" s="2"/>
      <c r="H247" s="2"/>
      <c r="I247" s="2"/>
    </row>
    <row r="248" spans="1:9" x14ac:dyDescent="0.35">
      <c r="A248" s="2" t="s">
        <v>1247</v>
      </c>
      <c r="B248" s="2" t="s">
        <v>24</v>
      </c>
      <c r="C248" s="2" t="s">
        <v>1365</v>
      </c>
      <c r="D248" s="2" t="s">
        <v>1372</v>
      </c>
      <c r="E248" s="2" t="s">
        <v>122</v>
      </c>
      <c r="F248" s="2"/>
      <c r="G248" s="2"/>
      <c r="H248" s="2"/>
      <c r="I248" s="2"/>
    </row>
    <row r="249" spans="1:9" x14ac:dyDescent="0.35">
      <c r="A249" s="2" t="s">
        <v>1247</v>
      </c>
      <c r="B249" s="2" t="s">
        <v>24</v>
      </c>
      <c r="C249" s="2" t="s">
        <v>1365</v>
      </c>
      <c r="D249" s="2" t="s">
        <v>149</v>
      </c>
      <c r="E249" s="2" t="s">
        <v>150</v>
      </c>
      <c r="F249" s="2" t="s">
        <v>20</v>
      </c>
      <c r="G249" s="2" t="s">
        <v>524</v>
      </c>
      <c r="H249" s="2"/>
      <c r="I249" s="2"/>
    </row>
    <row r="250" spans="1:9" x14ac:dyDescent="0.35">
      <c r="A250" s="2" t="s">
        <v>1247</v>
      </c>
      <c r="B250" s="2" t="s">
        <v>436</v>
      </c>
      <c r="C250" s="2" t="s">
        <v>1373</v>
      </c>
      <c r="D250" s="2" t="s">
        <v>120</v>
      </c>
      <c r="E250" s="2" t="s">
        <v>32</v>
      </c>
      <c r="F250" s="2"/>
      <c r="G250" s="2"/>
      <c r="H250" s="2"/>
      <c r="I250" s="2"/>
    </row>
    <row r="251" spans="1:9" x14ac:dyDescent="0.35">
      <c r="A251" s="2" t="s">
        <v>1247</v>
      </c>
      <c r="B251" s="2" t="s">
        <v>436</v>
      </c>
      <c r="C251" s="2" t="s">
        <v>1373</v>
      </c>
      <c r="D251" s="2" t="s">
        <v>91</v>
      </c>
      <c r="E251" s="2" t="s">
        <v>19</v>
      </c>
      <c r="F251" s="2"/>
      <c r="G251" s="2"/>
      <c r="H251" s="2"/>
      <c r="I251" s="2"/>
    </row>
    <row r="252" spans="1:9" x14ac:dyDescent="0.35">
      <c r="A252" s="2" t="s">
        <v>1247</v>
      </c>
      <c r="B252" s="2" t="s">
        <v>62</v>
      </c>
      <c r="C252" s="2" t="s">
        <v>1374</v>
      </c>
      <c r="D252" s="2" t="s">
        <v>1249</v>
      </c>
      <c r="E252" s="2" t="s">
        <v>75</v>
      </c>
      <c r="F252" s="2"/>
      <c r="G252" s="2"/>
      <c r="H252" s="2"/>
      <c r="I252" s="2"/>
    </row>
    <row r="253" spans="1:9" x14ac:dyDescent="0.35">
      <c r="A253" s="2" t="s">
        <v>1247</v>
      </c>
      <c r="B253" s="2" t="s">
        <v>62</v>
      </c>
      <c r="C253" s="2" t="s">
        <v>1374</v>
      </c>
      <c r="D253" s="2" t="s">
        <v>18</v>
      </c>
      <c r="E253" s="2" t="s">
        <v>19</v>
      </c>
      <c r="F253" s="2"/>
      <c r="G253" s="2"/>
      <c r="H253" s="2"/>
      <c r="I253" s="2"/>
    </row>
    <row r="254" spans="1:9" x14ac:dyDescent="0.35">
      <c r="A254" s="2" t="s">
        <v>1247</v>
      </c>
      <c r="B254" s="2" t="s">
        <v>24</v>
      </c>
      <c r="C254" s="2" t="s">
        <v>1375</v>
      </c>
      <c r="D254" s="2" t="s">
        <v>1252</v>
      </c>
      <c r="E254" s="2" t="s">
        <v>1253</v>
      </c>
      <c r="F254" s="2"/>
      <c r="G254" s="2"/>
      <c r="H254" s="2"/>
      <c r="I254" s="2"/>
    </row>
    <row r="255" spans="1:9" x14ac:dyDescent="0.35">
      <c r="A255" s="2" t="s">
        <v>1247</v>
      </c>
      <c r="B255" s="2" t="s">
        <v>24</v>
      </c>
      <c r="C255" s="2" t="s">
        <v>1375</v>
      </c>
      <c r="D255" s="2" t="s">
        <v>1257</v>
      </c>
      <c r="E255" s="2" t="s">
        <v>38</v>
      </c>
      <c r="F255" s="2"/>
      <c r="G255" s="2"/>
      <c r="H255" s="2"/>
      <c r="I255" s="2"/>
    </row>
    <row r="256" spans="1:9" x14ac:dyDescent="0.35">
      <c r="A256" s="2" t="s">
        <v>1247</v>
      </c>
      <c r="B256" s="2" t="s">
        <v>24</v>
      </c>
      <c r="C256" s="2" t="s">
        <v>1375</v>
      </c>
      <c r="D256" s="2" t="s">
        <v>82</v>
      </c>
      <c r="E256" s="2" t="s">
        <v>83</v>
      </c>
      <c r="F256" s="2"/>
      <c r="G256" s="2"/>
      <c r="H256" s="2"/>
      <c r="I256" s="2"/>
    </row>
    <row r="257" spans="1:9" x14ac:dyDescent="0.35">
      <c r="A257" s="2" t="s">
        <v>1247</v>
      </c>
      <c r="B257" s="2" t="s">
        <v>24</v>
      </c>
      <c r="C257" s="2" t="s">
        <v>1375</v>
      </c>
      <c r="D257" s="2" t="s">
        <v>1260</v>
      </c>
      <c r="E257" s="2" t="s">
        <v>363</v>
      </c>
      <c r="F257" s="2"/>
      <c r="G257" s="2"/>
      <c r="H257" s="2"/>
      <c r="I257" s="2"/>
    </row>
    <row r="258" spans="1:9" x14ac:dyDescent="0.35">
      <c r="A258" s="2" t="s">
        <v>1247</v>
      </c>
      <c r="B258" s="2" t="s">
        <v>24</v>
      </c>
      <c r="C258" s="2" t="s">
        <v>1375</v>
      </c>
      <c r="D258" s="2" t="s">
        <v>1226</v>
      </c>
      <c r="E258" s="2" t="s">
        <v>107</v>
      </c>
      <c r="F258" s="2"/>
      <c r="G258" s="2"/>
      <c r="H258" s="2"/>
      <c r="I258" s="2"/>
    </row>
    <row r="259" spans="1:9" x14ac:dyDescent="0.35">
      <c r="A259" s="2" t="s">
        <v>1247</v>
      </c>
      <c r="B259" s="2" t="s">
        <v>24</v>
      </c>
      <c r="C259" s="2" t="s">
        <v>1375</v>
      </c>
      <c r="D259" s="2" t="s">
        <v>1376</v>
      </c>
      <c r="E259" s="2" t="s">
        <v>1377</v>
      </c>
      <c r="F259" s="2"/>
      <c r="G259" s="2"/>
      <c r="H259" s="2"/>
      <c r="I259" s="2"/>
    </row>
    <row r="260" spans="1:9" x14ac:dyDescent="0.35">
      <c r="A260" s="2" t="s">
        <v>1247</v>
      </c>
      <c r="B260" s="2" t="s">
        <v>24</v>
      </c>
      <c r="C260" s="2" t="s">
        <v>1375</v>
      </c>
      <c r="D260" s="2" t="s">
        <v>91</v>
      </c>
      <c r="E260" s="2" t="s">
        <v>19</v>
      </c>
      <c r="F260" s="2" t="s">
        <v>20</v>
      </c>
      <c r="G260" s="2" t="s">
        <v>1378</v>
      </c>
      <c r="H260" s="2"/>
      <c r="I260" s="2"/>
    </row>
    <row r="261" spans="1:9" x14ac:dyDescent="0.35">
      <c r="A261" s="2" t="s">
        <v>1247</v>
      </c>
      <c r="B261" s="2" t="s">
        <v>24</v>
      </c>
      <c r="C261" s="2" t="s">
        <v>1375</v>
      </c>
      <c r="D261" s="2" t="s">
        <v>87</v>
      </c>
      <c r="E261" s="2" t="s">
        <v>75</v>
      </c>
      <c r="F261" s="2"/>
      <c r="G261" s="2"/>
      <c r="H261" s="2"/>
      <c r="I261" s="2"/>
    </row>
    <row r="262" spans="1:9" x14ac:dyDescent="0.35">
      <c r="A262" s="2" t="s">
        <v>1247</v>
      </c>
      <c r="B262" s="2" t="s">
        <v>24</v>
      </c>
      <c r="C262" s="2" t="s">
        <v>1375</v>
      </c>
      <c r="D262" s="2" t="s">
        <v>124</v>
      </c>
      <c r="E262" s="2" t="s">
        <v>125</v>
      </c>
      <c r="F262" s="2"/>
      <c r="G262" s="2"/>
      <c r="H262" s="2"/>
      <c r="I262" s="2"/>
    </row>
    <row r="263" spans="1:9" x14ac:dyDescent="0.35">
      <c r="A263" s="2" t="s">
        <v>1247</v>
      </c>
      <c r="B263" s="2" t="s">
        <v>24</v>
      </c>
      <c r="C263" s="2" t="s">
        <v>1375</v>
      </c>
      <c r="D263" s="2" t="s">
        <v>1379</v>
      </c>
      <c r="E263" s="2" t="s">
        <v>75</v>
      </c>
      <c r="F263" s="2"/>
      <c r="G263" s="2"/>
      <c r="H263" s="2"/>
      <c r="I263" s="2"/>
    </row>
    <row r="264" spans="1:9" x14ac:dyDescent="0.35">
      <c r="A264" s="2" t="s">
        <v>1247</v>
      </c>
      <c r="B264" s="2" t="s">
        <v>24</v>
      </c>
      <c r="C264" s="2" t="s">
        <v>1375</v>
      </c>
      <c r="D264" s="2" t="s">
        <v>18</v>
      </c>
      <c r="E264" s="2" t="s">
        <v>19</v>
      </c>
      <c r="F264" s="2"/>
      <c r="G264" s="2"/>
      <c r="H264" s="2"/>
      <c r="I264" s="2"/>
    </row>
    <row r="265" spans="1:9" x14ac:dyDescent="0.35">
      <c r="A265" s="2" t="s">
        <v>1247</v>
      </c>
      <c r="B265" s="2" t="s">
        <v>24</v>
      </c>
      <c r="C265" s="2" t="s">
        <v>1375</v>
      </c>
      <c r="D265" s="2" t="s">
        <v>1261</v>
      </c>
      <c r="E265" s="2" t="s">
        <v>277</v>
      </c>
      <c r="F265" s="2"/>
      <c r="G265" s="2"/>
      <c r="H265" s="2"/>
      <c r="I265" s="2"/>
    </row>
    <row r="266" spans="1:9" x14ac:dyDescent="0.35">
      <c r="A266" s="2" t="s">
        <v>1247</v>
      </c>
      <c r="B266" s="2" t="s">
        <v>24</v>
      </c>
      <c r="C266" s="2" t="s">
        <v>1375</v>
      </c>
      <c r="D266" s="2" t="s">
        <v>1380</v>
      </c>
      <c r="E266" s="2" t="s">
        <v>83</v>
      </c>
      <c r="F266" s="2"/>
      <c r="G266" s="2"/>
      <c r="H266" s="2"/>
      <c r="I266" s="2"/>
    </row>
    <row r="267" spans="1:9" x14ac:dyDescent="0.35">
      <c r="A267" s="2" t="s">
        <v>1247</v>
      </c>
      <c r="B267" s="2" t="s">
        <v>801</v>
      </c>
      <c r="C267" s="2" t="s">
        <v>1381</v>
      </c>
      <c r="D267" s="2" t="s">
        <v>130</v>
      </c>
      <c r="E267" s="2" t="s">
        <v>36</v>
      </c>
      <c r="F267" s="2" t="s">
        <v>20</v>
      </c>
      <c r="G267" s="2" t="s">
        <v>1382</v>
      </c>
      <c r="H267" s="2"/>
      <c r="I267" s="2"/>
    </row>
    <row r="268" spans="1:9" x14ac:dyDescent="0.35">
      <c r="A268" s="2" t="s">
        <v>1247</v>
      </c>
      <c r="B268" s="2" t="s">
        <v>24</v>
      </c>
      <c r="C268" s="2" t="s">
        <v>1383</v>
      </c>
      <c r="D268" s="2" t="s">
        <v>91</v>
      </c>
      <c r="E268" s="2" t="s">
        <v>19</v>
      </c>
      <c r="F268" s="2" t="s">
        <v>20</v>
      </c>
      <c r="G268" s="2" t="s">
        <v>1384</v>
      </c>
      <c r="H268" s="2"/>
      <c r="I268" s="2"/>
    </row>
    <row r="269" spans="1:9" x14ac:dyDescent="0.35">
      <c r="A269" s="2" t="s">
        <v>1247</v>
      </c>
      <c r="B269" s="2" t="s">
        <v>62</v>
      </c>
      <c r="C269" s="2" t="s">
        <v>1385</v>
      </c>
      <c r="D269" s="2" t="s">
        <v>91</v>
      </c>
      <c r="E269" s="2" t="s">
        <v>19</v>
      </c>
      <c r="F269" s="2" t="s">
        <v>46</v>
      </c>
      <c r="G269" s="2" t="s">
        <v>1386</v>
      </c>
      <c r="H269" s="2"/>
      <c r="I269" s="2"/>
    </row>
    <row r="270" spans="1:9" x14ac:dyDescent="0.35">
      <c r="A270" s="2" t="s">
        <v>1247</v>
      </c>
      <c r="B270" s="2" t="s">
        <v>62</v>
      </c>
      <c r="C270" s="2" t="s">
        <v>1385</v>
      </c>
      <c r="D270" s="2" t="s">
        <v>87</v>
      </c>
      <c r="E270" s="2" t="s">
        <v>75</v>
      </c>
      <c r="F270" s="2" t="s">
        <v>46</v>
      </c>
      <c r="G270" s="2" t="s">
        <v>1386</v>
      </c>
      <c r="H270" s="2"/>
      <c r="I270" s="2"/>
    </row>
    <row r="271" spans="1:9" x14ac:dyDescent="0.35">
      <c r="A271" s="2" t="s">
        <v>1247</v>
      </c>
      <c r="B271" s="2" t="s">
        <v>62</v>
      </c>
      <c r="C271" s="2" t="s">
        <v>1385</v>
      </c>
      <c r="D271" s="2" t="s">
        <v>1387</v>
      </c>
      <c r="E271" s="2" t="s">
        <v>75</v>
      </c>
      <c r="F271" s="2" t="s">
        <v>46</v>
      </c>
      <c r="G271" s="2" t="s">
        <v>1386</v>
      </c>
      <c r="H271" s="2"/>
      <c r="I271" s="2"/>
    </row>
    <row r="272" spans="1:9" x14ac:dyDescent="0.35">
      <c r="A272" s="2" t="s">
        <v>1247</v>
      </c>
      <c r="B272" s="2" t="s">
        <v>24</v>
      </c>
      <c r="C272" s="2" t="s">
        <v>1388</v>
      </c>
      <c r="D272" s="2" t="s">
        <v>1252</v>
      </c>
      <c r="E272" s="2" t="s">
        <v>1253</v>
      </c>
      <c r="F272" s="2"/>
      <c r="G272" s="2"/>
      <c r="H272" s="2"/>
      <c r="I272" s="2"/>
    </row>
    <row r="273" spans="1:9" x14ac:dyDescent="0.35">
      <c r="A273" s="2" t="s">
        <v>1247</v>
      </c>
      <c r="B273" s="2" t="s">
        <v>24</v>
      </c>
      <c r="C273" s="2" t="s">
        <v>1388</v>
      </c>
      <c r="D273" s="2" t="s">
        <v>1257</v>
      </c>
      <c r="E273" s="2" t="s">
        <v>38</v>
      </c>
      <c r="F273" s="2"/>
      <c r="G273" s="2"/>
      <c r="H273" s="2"/>
      <c r="I273" s="2"/>
    </row>
    <row r="274" spans="1:9" x14ac:dyDescent="0.35">
      <c r="A274" s="2" t="s">
        <v>1247</v>
      </c>
      <c r="B274" s="2" t="s">
        <v>24</v>
      </c>
      <c r="C274" s="2" t="s">
        <v>1388</v>
      </c>
      <c r="D274" s="2" t="s">
        <v>1389</v>
      </c>
      <c r="E274" s="2" t="s">
        <v>277</v>
      </c>
      <c r="F274" s="2"/>
      <c r="G274" s="2"/>
      <c r="H274" s="2"/>
      <c r="I274" s="2"/>
    </row>
    <row r="275" spans="1:9" x14ac:dyDescent="0.35">
      <c r="A275" s="2" t="s">
        <v>1247</v>
      </c>
      <c r="B275" s="2" t="s">
        <v>24</v>
      </c>
      <c r="C275" s="2" t="s">
        <v>1388</v>
      </c>
      <c r="D275" s="2" t="s">
        <v>1226</v>
      </c>
      <c r="E275" s="2" t="s">
        <v>107</v>
      </c>
      <c r="F275" s="2"/>
      <c r="G275" s="2"/>
      <c r="H275" s="2"/>
      <c r="I275" s="2"/>
    </row>
    <row r="276" spans="1:9" x14ac:dyDescent="0.35">
      <c r="A276" s="2" t="s">
        <v>1247</v>
      </c>
      <c r="B276" s="2" t="s">
        <v>24</v>
      </c>
      <c r="C276" s="2" t="s">
        <v>1388</v>
      </c>
      <c r="D276" s="2" t="s">
        <v>91</v>
      </c>
      <c r="E276" s="2" t="s">
        <v>19</v>
      </c>
      <c r="F276" s="2" t="s">
        <v>20</v>
      </c>
      <c r="G276" s="2" t="s">
        <v>1259</v>
      </c>
      <c r="H276" s="2"/>
      <c r="I276" s="2"/>
    </row>
    <row r="277" spans="1:9" x14ac:dyDescent="0.35">
      <c r="A277" s="2" t="s">
        <v>1247</v>
      </c>
      <c r="B277" s="2" t="s">
        <v>24</v>
      </c>
      <c r="C277" s="2" t="s">
        <v>1388</v>
      </c>
      <c r="D277" s="2" t="s">
        <v>18</v>
      </c>
      <c r="E277" s="2" t="s">
        <v>19</v>
      </c>
      <c r="F277" s="2" t="s">
        <v>20</v>
      </c>
      <c r="G277" s="2" t="s">
        <v>1259</v>
      </c>
      <c r="H277" s="2"/>
      <c r="I277" s="2"/>
    </row>
    <row r="278" spans="1:9" x14ac:dyDescent="0.35">
      <c r="A278" s="2" t="s">
        <v>1247</v>
      </c>
      <c r="B278" s="2" t="s">
        <v>24</v>
      </c>
      <c r="C278" s="2" t="s">
        <v>1388</v>
      </c>
      <c r="D278" s="2" t="s">
        <v>61</v>
      </c>
      <c r="E278" s="2" t="s">
        <v>30</v>
      </c>
      <c r="F278" s="2"/>
      <c r="G278" s="2"/>
      <c r="H278" s="2"/>
      <c r="I278" s="2"/>
    </row>
    <row r="279" spans="1:9" x14ac:dyDescent="0.35">
      <c r="A279" s="2" t="s">
        <v>1247</v>
      </c>
      <c r="B279" s="2" t="s">
        <v>24</v>
      </c>
      <c r="C279" s="2" t="s">
        <v>1388</v>
      </c>
      <c r="D279" s="2" t="s">
        <v>1261</v>
      </c>
      <c r="E279" s="2" t="s">
        <v>277</v>
      </c>
      <c r="F279" s="2"/>
      <c r="G279" s="2"/>
      <c r="H279" s="2"/>
      <c r="I279" s="2"/>
    </row>
    <row r="280" spans="1:9" x14ac:dyDescent="0.35">
      <c r="A280" s="2" t="s">
        <v>1247</v>
      </c>
      <c r="B280" s="2" t="s">
        <v>24</v>
      </c>
      <c r="C280" s="2" t="s">
        <v>1388</v>
      </c>
      <c r="D280" s="2" t="s">
        <v>1263</v>
      </c>
      <c r="E280" s="2" t="s">
        <v>36</v>
      </c>
      <c r="F280" s="2"/>
      <c r="G280" s="2"/>
      <c r="H280" s="2"/>
      <c r="I280" s="2"/>
    </row>
    <row r="281" spans="1:9" x14ac:dyDescent="0.35">
      <c r="A281" s="2" t="s">
        <v>1247</v>
      </c>
      <c r="B281" s="2" t="s">
        <v>62</v>
      </c>
      <c r="C281" s="2" t="s">
        <v>1390</v>
      </c>
      <c r="D281" s="2" t="s">
        <v>91</v>
      </c>
      <c r="E281" s="2" t="s">
        <v>19</v>
      </c>
      <c r="F281" s="2"/>
      <c r="G281" s="2"/>
      <c r="H281" s="2"/>
      <c r="I281" s="2"/>
    </row>
    <row r="282" spans="1:9" x14ac:dyDescent="0.35">
      <c r="A282" s="2" t="s">
        <v>1247</v>
      </c>
      <c r="B282" s="2" t="s">
        <v>62</v>
      </c>
      <c r="C282" s="2" t="s">
        <v>1390</v>
      </c>
      <c r="D282" s="2" t="s">
        <v>1249</v>
      </c>
      <c r="E282" s="2" t="s">
        <v>75</v>
      </c>
      <c r="F282" s="2"/>
      <c r="G282" s="2"/>
      <c r="H282" s="2"/>
      <c r="I282" s="2"/>
    </row>
    <row r="283" spans="1:9" x14ac:dyDescent="0.35">
      <c r="A283" s="2" t="s">
        <v>1247</v>
      </c>
      <c r="B283" s="2" t="s">
        <v>24</v>
      </c>
      <c r="C283" s="2" t="s">
        <v>1391</v>
      </c>
      <c r="D283" s="2" t="s">
        <v>1252</v>
      </c>
      <c r="E283" s="2" t="s">
        <v>1253</v>
      </c>
      <c r="F283" s="2"/>
      <c r="G283" s="2"/>
      <c r="H283" s="2"/>
      <c r="I283" s="2"/>
    </row>
    <row r="284" spans="1:9" x14ac:dyDescent="0.35">
      <c r="A284" s="2" t="s">
        <v>1247</v>
      </c>
      <c r="B284" s="2" t="s">
        <v>24</v>
      </c>
      <c r="C284" s="2" t="s">
        <v>1391</v>
      </c>
      <c r="D284" s="2" t="s">
        <v>1256</v>
      </c>
      <c r="E284" s="2" t="s">
        <v>363</v>
      </c>
      <c r="F284" s="2"/>
      <c r="G284" s="2"/>
      <c r="H284" s="2"/>
      <c r="I284" s="2"/>
    </row>
    <row r="285" spans="1:9" x14ac:dyDescent="0.35">
      <c r="A285" s="2" t="s">
        <v>1247</v>
      </c>
      <c r="B285" s="2" t="s">
        <v>24</v>
      </c>
      <c r="C285" s="2" t="s">
        <v>1391</v>
      </c>
      <c r="D285" s="2" t="s">
        <v>1257</v>
      </c>
      <c r="E285" s="2" t="s">
        <v>38</v>
      </c>
      <c r="F285" s="2"/>
      <c r="G285" s="2"/>
      <c r="H285" s="2"/>
      <c r="I285" s="2"/>
    </row>
    <row r="286" spans="1:9" x14ac:dyDescent="0.35">
      <c r="A286" s="2" t="s">
        <v>1247</v>
      </c>
      <c r="B286" s="2" t="s">
        <v>24</v>
      </c>
      <c r="C286" s="2" t="s">
        <v>1391</v>
      </c>
      <c r="D286" s="2" t="s">
        <v>1226</v>
      </c>
      <c r="E286" s="2" t="s">
        <v>107</v>
      </c>
      <c r="F286" s="2"/>
      <c r="G286" s="2"/>
      <c r="H286" s="2"/>
      <c r="I286" s="2"/>
    </row>
    <row r="287" spans="1:9" x14ac:dyDescent="0.35">
      <c r="A287" s="2" t="s">
        <v>1247</v>
      </c>
      <c r="B287" s="2" t="s">
        <v>24</v>
      </c>
      <c r="C287" s="2" t="s">
        <v>1391</v>
      </c>
      <c r="D287" s="2" t="s">
        <v>87</v>
      </c>
      <c r="E287" s="2" t="s">
        <v>75</v>
      </c>
      <c r="F287" s="2"/>
      <c r="G287" s="2"/>
      <c r="H287" s="2"/>
      <c r="I287" s="2"/>
    </row>
    <row r="288" spans="1:9" x14ac:dyDescent="0.35">
      <c r="A288" s="2" t="s">
        <v>1247</v>
      </c>
      <c r="B288" s="2" t="s">
        <v>24</v>
      </c>
      <c r="C288" s="2" t="s">
        <v>1391</v>
      </c>
      <c r="D288" s="2" t="s">
        <v>18</v>
      </c>
      <c r="E288" s="2" t="s">
        <v>19</v>
      </c>
      <c r="F288" s="2"/>
      <c r="G288" s="2"/>
      <c r="H288" s="2"/>
      <c r="I288" s="2"/>
    </row>
    <row r="289" spans="1:9" x14ac:dyDescent="0.35">
      <c r="A289" s="2" t="s">
        <v>1247</v>
      </c>
      <c r="B289" s="2" t="s">
        <v>24</v>
      </c>
      <c r="C289" s="2" t="s">
        <v>1391</v>
      </c>
      <c r="D289" s="2" t="s">
        <v>1261</v>
      </c>
      <c r="E289" s="2" t="s">
        <v>277</v>
      </c>
      <c r="F289" s="2"/>
      <c r="G289" s="2"/>
      <c r="H289" s="2"/>
      <c r="I289" s="2"/>
    </row>
    <row r="290" spans="1:9" x14ac:dyDescent="0.35">
      <c r="A290" s="2" t="s">
        <v>1247</v>
      </c>
      <c r="B290" s="2" t="s">
        <v>24</v>
      </c>
      <c r="C290" s="2" t="s">
        <v>1391</v>
      </c>
      <c r="D290" s="2" t="s">
        <v>1392</v>
      </c>
      <c r="E290" s="2" t="s">
        <v>107</v>
      </c>
      <c r="F290" s="2"/>
      <c r="G290" s="2"/>
      <c r="H290" s="2"/>
      <c r="I290" s="2"/>
    </row>
    <row r="291" spans="1:9" x14ac:dyDescent="0.35">
      <c r="A291" s="2" t="s">
        <v>1247</v>
      </c>
      <c r="B291" s="2" t="s">
        <v>24</v>
      </c>
      <c r="C291" s="2" t="s">
        <v>1393</v>
      </c>
      <c r="D291" s="2" t="s">
        <v>1256</v>
      </c>
      <c r="E291" s="2" t="s">
        <v>363</v>
      </c>
      <c r="F291" s="2"/>
      <c r="G291" s="2"/>
      <c r="H291" s="2"/>
      <c r="I291" s="2"/>
    </row>
    <row r="292" spans="1:9" x14ac:dyDescent="0.35">
      <c r="A292" s="2" t="s">
        <v>1247</v>
      </c>
      <c r="B292" s="2" t="s">
        <v>24</v>
      </c>
      <c r="C292" s="2" t="s">
        <v>1393</v>
      </c>
      <c r="D292" s="2" t="s">
        <v>1257</v>
      </c>
      <c r="E292" s="2" t="s">
        <v>38</v>
      </c>
      <c r="F292" s="2"/>
      <c r="G292" s="2"/>
      <c r="H292" s="2"/>
      <c r="I292" s="2"/>
    </row>
    <row r="293" spans="1:9" x14ac:dyDescent="0.35">
      <c r="A293" s="2" t="s">
        <v>1247</v>
      </c>
      <c r="B293" s="2" t="s">
        <v>24</v>
      </c>
      <c r="C293" s="2" t="s">
        <v>1393</v>
      </c>
      <c r="D293" s="2" t="s">
        <v>82</v>
      </c>
      <c r="E293" s="2" t="s">
        <v>83</v>
      </c>
      <c r="F293" s="2"/>
      <c r="G293" s="2"/>
      <c r="H293" s="2"/>
      <c r="I293" s="2"/>
    </row>
    <row r="294" spans="1:9" x14ac:dyDescent="0.35">
      <c r="A294" s="2" t="s">
        <v>1247</v>
      </c>
      <c r="B294" s="2" t="s">
        <v>24</v>
      </c>
      <c r="C294" s="2" t="s">
        <v>1393</v>
      </c>
      <c r="D294" s="2" t="s">
        <v>1226</v>
      </c>
      <c r="E294" s="2" t="s">
        <v>107</v>
      </c>
      <c r="F294" s="2"/>
      <c r="G294" s="2"/>
      <c r="H294" s="2"/>
      <c r="I294" s="2"/>
    </row>
    <row r="295" spans="1:9" x14ac:dyDescent="0.35">
      <c r="A295" s="2" t="s">
        <v>1247</v>
      </c>
      <c r="B295" s="2" t="s">
        <v>24</v>
      </c>
      <c r="C295" s="2" t="s">
        <v>1393</v>
      </c>
      <c r="D295" s="2" t="s">
        <v>1394</v>
      </c>
      <c r="E295" s="2" t="s">
        <v>107</v>
      </c>
      <c r="F295" s="2"/>
      <c r="G295" s="2"/>
      <c r="H295" s="2"/>
      <c r="I295" s="2"/>
    </row>
    <row r="296" spans="1:9" x14ac:dyDescent="0.35">
      <c r="A296" s="2" t="s">
        <v>1247</v>
      </c>
      <c r="B296" s="2" t="s">
        <v>24</v>
      </c>
      <c r="C296" s="2" t="s">
        <v>1393</v>
      </c>
      <c r="D296" s="2" t="s">
        <v>124</v>
      </c>
      <c r="E296" s="2" t="s">
        <v>125</v>
      </c>
      <c r="F296" s="2"/>
      <c r="G296" s="2"/>
      <c r="H296" s="2"/>
      <c r="I296" s="2"/>
    </row>
    <row r="297" spans="1:9" x14ac:dyDescent="0.35">
      <c r="A297" s="2" t="s">
        <v>1247</v>
      </c>
      <c r="B297" s="2" t="s">
        <v>24</v>
      </c>
      <c r="C297" s="2" t="s">
        <v>1393</v>
      </c>
      <c r="D297" s="2" t="s">
        <v>18</v>
      </c>
      <c r="E297" s="2" t="s">
        <v>19</v>
      </c>
      <c r="F297" s="2"/>
      <c r="G297" s="2"/>
      <c r="H297" s="2"/>
      <c r="I297" s="2"/>
    </row>
    <row r="298" spans="1:9" x14ac:dyDescent="0.35">
      <c r="A298" s="2" t="s">
        <v>1247</v>
      </c>
      <c r="B298" s="2" t="s">
        <v>24</v>
      </c>
      <c r="C298" s="2" t="s">
        <v>1393</v>
      </c>
      <c r="D298" s="2" t="s">
        <v>61</v>
      </c>
      <c r="E298" s="2" t="s">
        <v>30</v>
      </c>
      <c r="F298" s="2"/>
      <c r="G298" s="2"/>
      <c r="H298" s="2"/>
      <c r="I298" s="2"/>
    </row>
    <row r="299" spans="1:9" x14ac:dyDescent="0.35">
      <c r="A299" s="2" t="s">
        <v>1247</v>
      </c>
      <c r="B299" s="2" t="s">
        <v>24</v>
      </c>
      <c r="C299" s="2" t="s">
        <v>1393</v>
      </c>
      <c r="D299" s="2" t="s">
        <v>1261</v>
      </c>
      <c r="E299" s="2" t="s">
        <v>277</v>
      </c>
      <c r="F299" s="2"/>
      <c r="G299" s="2"/>
      <c r="H299" s="2"/>
      <c r="I299" s="2"/>
    </row>
    <row r="300" spans="1:9" x14ac:dyDescent="0.35">
      <c r="A300" s="2" t="s">
        <v>1247</v>
      </c>
      <c r="B300" s="2" t="s">
        <v>24</v>
      </c>
      <c r="C300" s="2" t="s">
        <v>1393</v>
      </c>
      <c r="D300" s="2" t="s">
        <v>1263</v>
      </c>
      <c r="E300" s="2" t="s">
        <v>36</v>
      </c>
      <c r="F300" s="2"/>
      <c r="G300" s="2"/>
      <c r="H300" s="2"/>
      <c r="I300" s="2"/>
    </row>
    <row r="301" spans="1:9" x14ac:dyDescent="0.35">
      <c r="A301" s="2" t="s">
        <v>1247</v>
      </c>
      <c r="B301" s="2" t="s">
        <v>24</v>
      </c>
      <c r="C301" s="2" t="s">
        <v>1395</v>
      </c>
      <c r="D301" s="2" t="s">
        <v>1252</v>
      </c>
      <c r="E301" s="2" t="s">
        <v>1253</v>
      </c>
      <c r="F301" s="2"/>
      <c r="G301" s="2"/>
      <c r="H301" s="2"/>
      <c r="I301" s="2"/>
    </row>
    <row r="302" spans="1:9" x14ac:dyDescent="0.35">
      <c r="A302" s="2" t="s">
        <v>1247</v>
      </c>
      <c r="B302" s="2" t="s">
        <v>24</v>
      </c>
      <c r="C302" s="2" t="s">
        <v>1395</v>
      </c>
      <c r="D302" s="2" t="s">
        <v>1256</v>
      </c>
      <c r="E302" s="2" t="s">
        <v>363</v>
      </c>
      <c r="F302" s="2"/>
      <c r="G302" s="2"/>
      <c r="H302" s="2"/>
      <c r="I302" s="2"/>
    </row>
    <row r="303" spans="1:9" x14ac:dyDescent="0.35">
      <c r="A303" s="2" t="s">
        <v>1247</v>
      </c>
      <c r="B303" s="2" t="s">
        <v>24</v>
      </c>
      <c r="C303" s="2" t="s">
        <v>1395</v>
      </c>
      <c r="D303" s="2" t="s">
        <v>1257</v>
      </c>
      <c r="E303" s="2" t="s">
        <v>38</v>
      </c>
      <c r="F303" s="2"/>
      <c r="G303" s="2"/>
      <c r="H303" s="2"/>
      <c r="I303" s="2"/>
    </row>
    <row r="304" spans="1:9" x14ac:dyDescent="0.35">
      <c r="A304" s="2" t="s">
        <v>1247</v>
      </c>
      <c r="B304" s="2" t="s">
        <v>24</v>
      </c>
      <c r="C304" s="2" t="s">
        <v>1395</v>
      </c>
      <c r="D304" s="2" t="s">
        <v>82</v>
      </c>
      <c r="E304" s="2" t="s">
        <v>83</v>
      </c>
      <c r="F304" s="2"/>
      <c r="G304" s="2"/>
      <c r="H304" s="2"/>
      <c r="I304" s="2"/>
    </row>
    <row r="305" spans="1:9" x14ac:dyDescent="0.35">
      <c r="A305" s="2" t="s">
        <v>1247</v>
      </c>
      <c r="B305" s="2" t="s">
        <v>24</v>
      </c>
      <c r="C305" s="2" t="s">
        <v>1395</v>
      </c>
      <c r="D305" s="2" t="s">
        <v>1226</v>
      </c>
      <c r="E305" s="2" t="s">
        <v>107</v>
      </c>
      <c r="F305" s="2"/>
      <c r="G305" s="2"/>
      <c r="H305" s="2"/>
      <c r="I305" s="2"/>
    </row>
    <row r="306" spans="1:9" x14ac:dyDescent="0.35">
      <c r="A306" s="2" t="s">
        <v>1247</v>
      </c>
      <c r="B306" s="2" t="s">
        <v>24</v>
      </c>
      <c r="C306" s="2" t="s">
        <v>1395</v>
      </c>
      <c r="D306" s="2" t="s">
        <v>91</v>
      </c>
      <c r="E306" s="2" t="s">
        <v>19</v>
      </c>
      <c r="F306" s="2"/>
      <c r="G306" s="2"/>
      <c r="H306" s="2"/>
      <c r="I306" s="2"/>
    </row>
    <row r="307" spans="1:9" x14ac:dyDescent="0.35">
      <c r="A307" s="2" t="s">
        <v>1247</v>
      </c>
      <c r="B307" s="2" t="s">
        <v>24</v>
      </c>
      <c r="C307" s="2" t="s">
        <v>1395</v>
      </c>
      <c r="D307" s="2" t="s">
        <v>124</v>
      </c>
      <c r="E307" s="2" t="s">
        <v>125</v>
      </c>
      <c r="F307" s="2"/>
      <c r="G307" s="2"/>
      <c r="H307" s="2"/>
      <c r="I307" s="2"/>
    </row>
    <row r="308" spans="1:9" x14ac:dyDescent="0.35">
      <c r="A308" s="2" t="s">
        <v>1247</v>
      </c>
      <c r="B308" s="2" t="s">
        <v>24</v>
      </c>
      <c r="C308" s="2" t="s">
        <v>1395</v>
      </c>
      <c r="D308" s="2" t="s">
        <v>18</v>
      </c>
      <c r="E308" s="2" t="s">
        <v>19</v>
      </c>
      <c r="F308" s="2"/>
      <c r="G308" s="2"/>
      <c r="H308" s="2"/>
      <c r="I308" s="2"/>
    </row>
    <row r="309" spans="1:9" x14ac:dyDescent="0.35">
      <c r="A309" s="2" t="s">
        <v>1247</v>
      </c>
      <c r="B309" s="2" t="s">
        <v>24</v>
      </c>
      <c r="C309" s="2" t="s">
        <v>1395</v>
      </c>
      <c r="D309" s="2" t="s">
        <v>61</v>
      </c>
      <c r="E309" s="2" t="s">
        <v>30</v>
      </c>
      <c r="F309" s="2"/>
      <c r="G309" s="2"/>
      <c r="H309" s="2"/>
      <c r="I309" s="2"/>
    </row>
    <row r="310" spans="1:9" x14ac:dyDescent="0.35">
      <c r="A310" s="2" t="s">
        <v>1247</v>
      </c>
      <c r="B310" s="2" t="s">
        <v>24</v>
      </c>
      <c r="C310" s="2" t="s">
        <v>1395</v>
      </c>
      <c r="D310" s="2" t="s">
        <v>1261</v>
      </c>
      <c r="E310" s="2" t="s">
        <v>277</v>
      </c>
      <c r="F310" s="2"/>
      <c r="G310" s="2"/>
      <c r="H310" s="2"/>
      <c r="I310" s="2"/>
    </row>
    <row r="311" spans="1:9" x14ac:dyDescent="0.35">
      <c r="A311" s="2" t="s">
        <v>1247</v>
      </c>
      <c r="B311" s="2" t="s">
        <v>24</v>
      </c>
      <c r="C311" s="2" t="s">
        <v>1395</v>
      </c>
      <c r="D311" s="2" t="s">
        <v>1263</v>
      </c>
      <c r="E311" s="2" t="s">
        <v>36</v>
      </c>
      <c r="F311" s="2"/>
      <c r="G311" s="2"/>
      <c r="H311" s="2"/>
      <c r="I311" s="2"/>
    </row>
    <row r="312" spans="1:9" x14ac:dyDescent="0.35">
      <c r="A312" s="2" t="s">
        <v>1247</v>
      </c>
      <c r="B312" s="2" t="s">
        <v>24</v>
      </c>
      <c r="C312" s="2" t="s">
        <v>1396</v>
      </c>
      <c r="D312" s="2" t="s">
        <v>1252</v>
      </c>
      <c r="E312" s="2" t="s">
        <v>1253</v>
      </c>
      <c r="F312" s="2"/>
      <c r="G312" s="2"/>
      <c r="H312" s="2"/>
      <c r="I312" s="2"/>
    </row>
    <row r="313" spans="1:9" x14ac:dyDescent="0.35">
      <c r="A313" s="2" t="s">
        <v>1247</v>
      </c>
      <c r="B313" s="2" t="s">
        <v>24</v>
      </c>
      <c r="C313" s="2" t="s">
        <v>1396</v>
      </c>
      <c r="D313" s="2" t="s">
        <v>1257</v>
      </c>
      <c r="E313" s="2" t="s">
        <v>38</v>
      </c>
      <c r="F313" s="2"/>
      <c r="G313" s="2"/>
      <c r="H313" s="2"/>
      <c r="I313" s="2"/>
    </row>
    <row r="314" spans="1:9" x14ac:dyDescent="0.35">
      <c r="A314" s="2" t="s">
        <v>1247</v>
      </c>
      <c r="B314" s="2" t="s">
        <v>24</v>
      </c>
      <c r="C314" s="2" t="s">
        <v>1396</v>
      </c>
      <c r="D314" s="2" t="s">
        <v>1226</v>
      </c>
      <c r="E314" s="2" t="s">
        <v>107</v>
      </c>
      <c r="F314" s="2"/>
      <c r="G314" s="2"/>
      <c r="H314" s="2"/>
      <c r="I314" s="2"/>
    </row>
    <row r="315" spans="1:9" x14ac:dyDescent="0.35">
      <c r="A315" s="2" t="s">
        <v>1247</v>
      </c>
      <c r="B315" s="2" t="s">
        <v>24</v>
      </c>
      <c r="C315" s="2" t="s">
        <v>1396</v>
      </c>
      <c r="D315" s="2" t="s">
        <v>87</v>
      </c>
      <c r="E315" s="2" t="s">
        <v>75</v>
      </c>
      <c r="F315" s="2"/>
      <c r="G315" s="2"/>
      <c r="H315" s="2"/>
      <c r="I315" s="2"/>
    </row>
    <row r="316" spans="1:9" x14ac:dyDescent="0.35">
      <c r="A316" s="2" t="s">
        <v>1247</v>
      </c>
      <c r="B316" s="2" t="s">
        <v>24</v>
      </c>
      <c r="C316" s="2" t="s">
        <v>1396</v>
      </c>
      <c r="D316" s="2" t="s">
        <v>18</v>
      </c>
      <c r="E316" s="2" t="s">
        <v>19</v>
      </c>
      <c r="F316" s="2"/>
      <c r="G316" s="2"/>
      <c r="H316" s="2"/>
      <c r="I316" s="2"/>
    </row>
    <row r="317" spans="1:9" x14ac:dyDescent="0.35">
      <c r="A317" s="2" t="s">
        <v>1247</v>
      </c>
      <c r="B317" s="2" t="s">
        <v>24</v>
      </c>
      <c r="C317" s="2" t="s">
        <v>1396</v>
      </c>
      <c r="D317" s="2" t="s">
        <v>61</v>
      </c>
      <c r="E317" s="2" t="s">
        <v>30</v>
      </c>
      <c r="F317" s="2"/>
      <c r="G317" s="2"/>
      <c r="H317" s="2"/>
      <c r="I317" s="2"/>
    </row>
    <row r="318" spans="1:9" x14ac:dyDescent="0.35">
      <c r="A318" s="2" t="s">
        <v>1247</v>
      </c>
      <c r="B318" s="2" t="s">
        <v>24</v>
      </c>
      <c r="C318" s="2" t="s">
        <v>1396</v>
      </c>
      <c r="D318" s="2" t="s">
        <v>1261</v>
      </c>
      <c r="E318" s="2" t="s">
        <v>277</v>
      </c>
      <c r="F318" s="2"/>
      <c r="G318" s="2"/>
      <c r="H318" s="2"/>
      <c r="I318" s="2"/>
    </row>
    <row r="319" spans="1:9" x14ac:dyDescent="0.35">
      <c r="A319" s="2" t="s">
        <v>1247</v>
      </c>
      <c r="B319" s="2" t="s">
        <v>24</v>
      </c>
      <c r="C319" s="2" t="s">
        <v>1396</v>
      </c>
      <c r="D319" s="2" t="s">
        <v>1263</v>
      </c>
      <c r="E319" s="2" t="s">
        <v>36</v>
      </c>
      <c r="F319" s="2"/>
      <c r="G319" s="2"/>
      <c r="H319" s="2"/>
      <c r="I319" s="2"/>
    </row>
    <row r="320" spans="1:9" x14ac:dyDescent="0.35">
      <c r="A320" s="2" t="s">
        <v>1247</v>
      </c>
      <c r="B320" s="2" t="s">
        <v>24</v>
      </c>
      <c r="C320" s="2" t="s">
        <v>1397</v>
      </c>
      <c r="D320" s="2" t="s">
        <v>1252</v>
      </c>
      <c r="E320" s="2" t="s">
        <v>1253</v>
      </c>
      <c r="F320" s="2"/>
      <c r="G320" s="2"/>
      <c r="H320" s="2"/>
      <c r="I320" s="2"/>
    </row>
    <row r="321" spans="1:9" x14ac:dyDescent="0.35">
      <c r="A321" s="2" t="s">
        <v>1247</v>
      </c>
      <c r="B321" s="2" t="s">
        <v>24</v>
      </c>
      <c r="C321" s="2" t="s">
        <v>1397</v>
      </c>
      <c r="D321" s="2" t="s">
        <v>1256</v>
      </c>
      <c r="E321" s="2" t="s">
        <v>363</v>
      </c>
      <c r="F321" s="2"/>
      <c r="G321" s="2"/>
      <c r="H321" s="2"/>
      <c r="I321" s="2"/>
    </row>
    <row r="322" spans="1:9" x14ac:dyDescent="0.35">
      <c r="A322" s="2" t="s">
        <v>1247</v>
      </c>
      <c r="B322" s="2" t="s">
        <v>24</v>
      </c>
      <c r="C322" s="2" t="s">
        <v>1397</v>
      </c>
      <c r="D322" s="2" t="s">
        <v>1257</v>
      </c>
      <c r="E322" s="2" t="s">
        <v>38</v>
      </c>
      <c r="F322" s="2"/>
      <c r="G322" s="2"/>
      <c r="H322" s="2"/>
      <c r="I322" s="2"/>
    </row>
    <row r="323" spans="1:9" x14ac:dyDescent="0.35">
      <c r="A323" s="2" t="s">
        <v>1247</v>
      </c>
      <c r="B323" s="2" t="s">
        <v>24</v>
      </c>
      <c r="C323" s="2" t="s">
        <v>1397</v>
      </c>
      <c r="D323" s="2" t="s">
        <v>1226</v>
      </c>
      <c r="E323" s="2" t="s">
        <v>107</v>
      </c>
      <c r="F323" s="2"/>
      <c r="G323" s="2"/>
      <c r="H323" s="2"/>
      <c r="I323" s="2"/>
    </row>
    <row r="324" spans="1:9" x14ac:dyDescent="0.35">
      <c r="A324" s="2" t="s">
        <v>1247</v>
      </c>
      <c r="B324" s="2" t="s">
        <v>24</v>
      </c>
      <c r="C324" s="2" t="s">
        <v>1397</v>
      </c>
      <c r="D324" s="2" t="s">
        <v>1394</v>
      </c>
      <c r="E324" s="2" t="s">
        <v>107</v>
      </c>
      <c r="F324" s="2"/>
      <c r="G324" s="2"/>
      <c r="H324" s="2"/>
      <c r="I324" s="2"/>
    </row>
    <row r="325" spans="1:9" x14ac:dyDescent="0.35">
      <c r="A325" s="2" t="s">
        <v>1247</v>
      </c>
      <c r="B325" s="2" t="s">
        <v>24</v>
      </c>
      <c r="C325" s="2" t="s">
        <v>1397</v>
      </c>
      <c r="D325" s="2" t="s">
        <v>87</v>
      </c>
      <c r="E325" s="2" t="s">
        <v>75</v>
      </c>
      <c r="F325" s="2"/>
      <c r="G325" s="2"/>
      <c r="H325" s="2"/>
      <c r="I325" s="2"/>
    </row>
    <row r="326" spans="1:9" x14ac:dyDescent="0.35">
      <c r="A326" s="2" t="s">
        <v>1247</v>
      </c>
      <c r="B326" s="2" t="s">
        <v>24</v>
      </c>
      <c r="C326" s="2" t="s">
        <v>1397</v>
      </c>
      <c r="D326" s="2" t="s">
        <v>124</v>
      </c>
      <c r="E326" s="2" t="s">
        <v>125</v>
      </c>
      <c r="F326" s="2"/>
      <c r="G326" s="2"/>
      <c r="H326" s="2"/>
      <c r="I326" s="2"/>
    </row>
    <row r="327" spans="1:9" x14ac:dyDescent="0.35">
      <c r="A327" s="2" t="s">
        <v>1247</v>
      </c>
      <c r="B327" s="2" t="s">
        <v>24</v>
      </c>
      <c r="C327" s="2" t="s">
        <v>1397</v>
      </c>
      <c r="D327" s="2" t="s">
        <v>18</v>
      </c>
      <c r="E327" s="2" t="s">
        <v>19</v>
      </c>
      <c r="F327" s="2"/>
      <c r="G327" s="2"/>
      <c r="H327" s="2"/>
      <c r="I327" s="2"/>
    </row>
    <row r="328" spans="1:9" x14ac:dyDescent="0.35">
      <c r="A328" s="2" t="s">
        <v>1247</v>
      </c>
      <c r="B328" s="2" t="s">
        <v>24</v>
      </c>
      <c r="C328" s="2" t="s">
        <v>1397</v>
      </c>
      <c r="D328" s="2" t="s">
        <v>61</v>
      </c>
      <c r="E328" s="2" t="s">
        <v>30</v>
      </c>
      <c r="F328" s="2"/>
      <c r="G328" s="2"/>
      <c r="H328" s="2"/>
      <c r="I328" s="2"/>
    </row>
    <row r="329" spans="1:9" x14ac:dyDescent="0.35">
      <c r="A329" s="2" t="s">
        <v>1247</v>
      </c>
      <c r="B329" s="2" t="s">
        <v>24</v>
      </c>
      <c r="C329" s="2" t="s">
        <v>1397</v>
      </c>
      <c r="D329" s="2" t="s">
        <v>1261</v>
      </c>
      <c r="E329" s="2" t="s">
        <v>277</v>
      </c>
      <c r="F329" s="2"/>
      <c r="G329" s="2"/>
      <c r="H329" s="2"/>
      <c r="I329" s="2"/>
    </row>
    <row r="330" spans="1:9" x14ac:dyDescent="0.35">
      <c r="A330" s="2" t="s">
        <v>1247</v>
      </c>
      <c r="B330" s="2" t="s">
        <v>24</v>
      </c>
      <c r="C330" s="2" t="s">
        <v>1397</v>
      </c>
      <c r="D330" s="2" t="s">
        <v>1263</v>
      </c>
      <c r="E330" s="2" t="s">
        <v>36</v>
      </c>
      <c r="F330" s="2"/>
      <c r="G330" s="2"/>
      <c r="H330" s="2"/>
      <c r="I330" s="2"/>
    </row>
    <row r="331" spans="1:9" x14ac:dyDescent="0.35">
      <c r="A331" s="2" t="s">
        <v>1247</v>
      </c>
      <c r="B331" s="2" t="s">
        <v>62</v>
      </c>
      <c r="C331" s="2" t="s">
        <v>1398</v>
      </c>
      <c r="D331" s="2" t="s">
        <v>1297</v>
      </c>
      <c r="E331" s="2" t="s">
        <v>533</v>
      </c>
      <c r="F331" s="2" t="s">
        <v>20</v>
      </c>
      <c r="G331" s="2" t="s">
        <v>1399</v>
      </c>
      <c r="H331" s="2"/>
      <c r="I331" s="2"/>
    </row>
    <row r="332" spans="1:9" x14ac:dyDescent="0.35">
      <c r="A332" s="2" t="s">
        <v>1247</v>
      </c>
      <c r="B332" s="2" t="s">
        <v>62</v>
      </c>
      <c r="C332" s="2" t="s">
        <v>1400</v>
      </c>
      <c r="D332" s="2" t="s">
        <v>87</v>
      </c>
      <c r="E332" s="2" t="s">
        <v>75</v>
      </c>
      <c r="F332" s="2"/>
      <c r="G332" s="2"/>
      <c r="H332" s="2"/>
      <c r="I332" s="2"/>
    </row>
    <row r="333" spans="1:9" x14ac:dyDescent="0.35">
      <c r="A333" s="2" t="s">
        <v>1247</v>
      </c>
      <c r="B333" s="2" t="s">
        <v>62</v>
      </c>
      <c r="C333" s="2" t="s">
        <v>1400</v>
      </c>
      <c r="D333" s="2" t="s">
        <v>1249</v>
      </c>
      <c r="E333" s="2" t="s">
        <v>75</v>
      </c>
      <c r="F333" s="2"/>
      <c r="G333" s="2"/>
      <c r="H333" s="2"/>
      <c r="I333" s="2"/>
    </row>
    <row r="334" spans="1:9" x14ac:dyDescent="0.35">
      <c r="A334" s="2" t="s">
        <v>1247</v>
      </c>
      <c r="B334" s="2" t="s">
        <v>62</v>
      </c>
      <c r="C334" s="2" t="s">
        <v>1401</v>
      </c>
      <c r="D334" s="2" t="s">
        <v>1402</v>
      </c>
      <c r="E334" s="2" t="s">
        <v>75</v>
      </c>
      <c r="F334" s="2"/>
      <c r="G334" s="2"/>
      <c r="H334" s="2"/>
      <c r="I334" s="2"/>
    </row>
    <row r="335" spans="1:9" x14ac:dyDescent="0.35">
      <c r="A335" s="2" t="s">
        <v>1247</v>
      </c>
      <c r="B335" s="2" t="s">
        <v>62</v>
      </c>
      <c r="C335" s="2" t="s">
        <v>1401</v>
      </c>
      <c r="D335" s="2" t="s">
        <v>1249</v>
      </c>
      <c r="E335" s="2" t="s">
        <v>75</v>
      </c>
      <c r="F335" s="2"/>
      <c r="G335" s="2"/>
      <c r="H335" s="2"/>
      <c r="I335" s="2"/>
    </row>
    <row r="336" spans="1:9" x14ac:dyDescent="0.35">
      <c r="A336" s="2" t="s">
        <v>1247</v>
      </c>
      <c r="B336" s="2" t="s">
        <v>62</v>
      </c>
      <c r="C336" s="2" t="s">
        <v>1401</v>
      </c>
      <c r="D336" s="2" t="s">
        <v>924</v>
      </c>
      <c r="E336" s="2" t="s">
        <v>75</v>
      </c>
      <c r="F336" s="2"/>
      <c r="G336" s="2"/>
      <c r="H336" s="2"/>
      <c r="I336" s="2"/>
    </row>
    <row r="337" spans="1:9" x14ac:dyDescent="0.35">
      <c r="A337" s="2" t="s">
        <v>1247</v>
      </c>
      <c r="B337" s="2" t="s">
        <v>62</v>
      </c>
      <c r="C337" s="2" t="s">
        <v>1403</v>
      </c>
      <c r="D337" s="2" t="s">
        <v>1333</v>
      </c>
      <c r="E337" s="2" t="s">
        <v>1334</v>
      </c>
      <c r="F337" s="2"/>
      <c r="G337" s="2"/>
      <c r="H337" s="2"/>
      <c r="I337" s="2"/>
    </row>
    <row r="338" spans="1:9" x14ac:dyDescent="0.35">
      <c r="A338" s="2" t="s">
        <v>1247</v>
      </c>
      <c r="B338" s="2" t="s">
        <v>62</v>
      </c>
      <c r="C338" s="2" t="s">
        <v>1403</v>
      </c>
      <c r="D338" s="2" t="s">
        <v>1323</v>
      </c>
      <c r="E338" s="2" t="s">
        <v>75</v>
      </c>
      <c r="F338" s="2"/>
      <c r="G338" s="2"/>
      <c r="H338" s="2"/>
      <c r="I338" s="2"/>
    </row>
    <row r="339" spans="1:9" x14ac:dyDescent="0.35">
      <c r="A339" s="2" t="s">
        <v>1247</v>
      </c>
      <c r="B339" s="2" t="s">
        <v>62</v>
      </c>
      <c r="C339" s="2" t="s">
        <v>1403</v>
      </c>
      <c r="D339" s="2" t="s">
        <v>1404</v>
      </c>
      <c r="E339" s="2" t="s">
        <v>75</v>
      </c>
      <c r="F339" s="2"/>
      <c r="G339" s="2"/>
      <c r="H339" s="2"/>
      <c r="I339" s="2"/>
    </row>
    <row r="340" spans="1:9" x14ac:dyDescent="0.35">
      <c r="A340" s="2" t="s">
        <v>1247</v>
      </c>
      <c r="B340" s="2" t="s">
        <v>62</v>
      </c>
      <c r="C340" s="2" t="s">
        <v>1403</v>
      </c>
      <c r="D340" s="2" t="s">
        <v>1405</v>
      </c>
      <c r="E340" s="2" t="s">
        <v>75</v>
      </c>
      <c r="F340" s="2"/>
      <c r="G340" s="2"/>
      <c r="H340" s="2"/>
      <c r="I340" s="2"/>
    </row>
    <row r="341" spans="1:9" x14ac:dyDescent="0.35">
      <c r="A341" s="2" t="s">
        <v>1247</v>
      </c>
      <c r="B341" s="2" t="s">
        <v>62</v>
      </c>
      <c r="C341" s="2" t="s">
        <v>1403</v>
      </c>
      <c r="D341" s="2" t="s">
        <v>1261</v>
      </c>
      <c r="E341" s="2" t="s">
        <v>277</v>
      </c>
      <c r="F341" s="2"/>
      <c r="G341" s="2"/>
      <c r="H341" s="2"/>
      <c r="I341" s="2"/>
    </row>
    <row r="342" spans="1:9" x14ac:dyDescent="0.35">
      <c r="A342" s="2" t="s">
        <v>1247</v>
      </c>
      <c r="B342" s="2" t="s">
        <v>62</v>
      </c>
      <c r="C342" s="2" t="s">
        <v>1403</v>
      </c>
      <c r="D342" s="2" t="s">
        <v>352</v>
      </c>
      <c r="E342" s="2" t="s">
        <v>107</v>
      </c>
      <c r="F342" s="2"/>
      <c r="G342" s="2"/>
      <c r="H342" s="2"/>
      <c r="I342" s="2"/>
    </row>
    <row r="343" spans="1:9" x14ac:dyDescent="0.35">
      <c r="A343" s="2" t="s">
        <v>1247</v>
      </c>
      <c r="B343" s="2" t="s">
        <v>62</v>
      </c>
      <c r="C343" s="2" t="s">
        <v>1406</v>
      </c>
      <c r="D343" s="2" t="s">
        <v>1333</v>
      </c>
      <c r="E343" s="2" t="s">
        <v>1334</v>
      </c>
      <c r="F343" s="2"/>
      <c r="G343" s="2"/>
      <c r="H343" s="2"/>
      <c r="I343" s="2"/>
    </row>
    <row r="344" spans="1:9" x14ac:dyDescent="0.35">
      <c r="A344" s="2" t="s">
        <v>1247</v>
      </c>
      <c r="B344" s="2" t="s">
        <v>62</v>
      </c>
      <c r="C344" s="2" t="s">
        <v>1406</v>
      </c>
      <c r="D344" s="2" t="s">
        <v>1405</v>
      </c>
      <c r="E344" s="2" t="s">
        <v>75</v>
      </c>
      <c r="F344" s="2"/>
      <c r="G344" s="2"/>
      <c r="H344" s="2"/>
      <c r="I344" s="2"/>
    </row>
    <row r="345" spans="1:9" x14ac:dyDescent="0.35">
      <c r="A345" s="2" t="s">
        <v>1247</v>
      </c>
      <c r="B345" s="2" t="s">
        <v>62</v>
      </c>
      <c r="C345" s="2" t="s">
        <v>1406</v>
      </c>
      <c r="D345" s="2" t="s">
        <v>1249</v>
      </c>
      <c r="E345" s="2" t="s">
        <v>75</v>
      </c>
      <c r="F345" s="21"/>
      <c r="G345" s="21"/>
      <c r="H345" s="2"/>
      <c r="I345" s="2"/>
    </row>
    <row r="346" spans="1:9" x14ac:dyDescent="0.35">
      <c r="A346" s="2" t="s">
        <v>1247</v>
      </c>
      <c r="B346" s="2" t="s">
        <v>62</v>
      </c>
      <c r="C346" s="2" t="s">
        <v>1406</v>
      </c>
      <c r="D346" s="2" t="s">
        <v>1261</v>
      </c>
      <c r="E346" s="2" t="s">
        <v>277</v>
      </c>
      <c r="F346" s="2"/>
      <c r="G346" s="2"/>
      <c r="H346" s="2"/>
      <c r="I346" s="2"/>
    </row>
    <row r="347" spans="1:9" x14ac:dyDescent="0.35">
      <c r="A347" s="2" t="s">
        <v>1247</v>
      </c>
      <c r="B347" s="2" t="s">
        <v>62</v>
      </c>
      <c r="C347" s="2" t="s">
        <v>1406</v>
      </c>
      <c r="D347" s="2" t="s">
        <v>352</v>
      </c>
      <c r="E347" s="2" t="s">
        <v>107</v>
      </c>
      <c r="F347" s="2"/>
      <c r="G347" s="2"/>
      <c r="H347" s="2"/>
      <c r="I347" s="2"/>
    </row>
    <row r="348" spans="1:9" x14ac:dyDescent="0.35">
      <c r="A348" s="2" t="s">
        <v>1247</v>
      </c>
      <c r="B348" s="2" t="s">
        <v>62</v>
      </c>
      <c r="C348" s="2" t="s">
        <v>1406</v>
      </c>
      <c r="D348" s="2" t="s">
        <v>1341</v>
      </c>
      <c r="E348" s="2" t="s">
        <v>65</v>
      </c>
      <c r="F348" s="2"/>
      <c r="G348" s="2"/>
      <c r="H348" s="2"/>
      <c r="I348" s="2"/>
    </row>
    <row r="349" spans="1:9" x14ac:dyDescent="0.35">
      <c r="A349" s="2" t="s">
        <v>1407</v>
      </c>
      <c r="B349" s="2" t="s">
        <v>62</v>
      </c>
      <c r="C349" s="2" t="s">
        <v>1408</v>
      </c>
      <c r="D349" s="2" t="s">
        <v>317</v>
      </c>
      <c r="E349" s="2" t="s">
        <v>318</v>
      </c>
      <c r="F349" s="2"/>
      <c r="G349" s="2"/>
      <c r="H349" s="2"/>
      <c r="I349" s="2"/>
    </row>
    <row r="350" spans="1:9" x14ac:dyDescent="0.35">
      <c r="A350" s="2" t="s">
        <v>1407</v>
      </c>
      <c r="B350" s="2" t="s">
        <v>62</v>
      </c>
      <c r="C350" s="2" t="s">
        <v>1408</v>
      </c>
      <c r="D350" s="2" t="s">
        <v>1051</v>
      </c>
      <c r="E350" s="2" t="s">
        <v>318</v>
      </c>
      <c r="F350" s="2"/>
      <c r="G350" s="2"/>
      <c r="H350" s="2"/>
      <c r="I350" s="2"/>
    </row>
    <row r="351" spans="1:9" x14ac:dyDescent="0.35">
      <c r="A351" s="2" t="s">
        <v>1407</v>
      </c>
      <c r="B351" s="2" t="s">
        <v>62</v>
      </c>
      <c r="C351" s="2" t="s">
        <v>1408</v>
      </c>
      <c r="D351" s="2" t="s">
        <v>333</v>
      </c>
      <c r="E351" s="2" t="s">
        <v>334</v>
      </c>
      <c r="F351" s="2"/>
      <c r="G351" s="2"/>
      <c r="H351" s="2"/>
      <c r="I351" s="2"/>
    </row>
    <row r="352" spans="1:9" x14ac:dyDescent="0.35">
      <c r="A352" s="2" t="s">
        <v>1407</v>
      </c>
      <c r="B352" s="2" t="s">
        <v>12</v>
      </c>
      <c r="C352" s="2" t="s">
        <v>1409</v>
      </c>
      <c r="D352" s="2" t="s">
        <v>198</v>
      </c>
      <c r="E352" s="2" t="s">
        <v>65</v>
      </c>
      <c r="F352" s="2"/>
      <c r="G352" s="2"/>
      <c r="H352" s="2"/>
      <c r="I352" s="2"/>
    </row>
    <row r="353" spans="1:9" x14ac:dyDescent="0.35">
      <c r="A353" s="2" t="s">
        <v>1407</v>
      </c>
      <c r="B353" s="2" t="s">
        <v>12</v>
      </c>
      <c r="C353" s="2" t="s">
        <v>1409</v>
      </c>
      <c r="D353" s="2" t="s">
        <v>64</v>
      </c>
      <c r="E353" s="2" t="s">
        <v>65</v>
      </c>
      <c r="F353" s="2"/>
      <c r="G353" s="2"/>
      <c r="H353" s="2"/>
      <c r="I353" s="2"/>
    </row>
    <row r="354" spans="1:9" x14ac:dyDescent="0.35">
      <c r="A354" s="2" t="s">
        <v>1407</v>
      </c>
      <c r="B354" s="2" t="s">
        <v>12</v>
      </c>
      <c r="C354" s="2" t="s">
        <v>1409</v>
      </c>
      <c r="D354" s="2" t="s">
        <v>230</v>
      </c>
      <c r="E354" s="2" t="s">
        <v>189</v>
      </c>
      <c r="F354" s="2" t="s">
        <v>46</v>
      </c>
      <c r="G354" s="2" t="s">
        <v>1410</v>
      </c>
      <c r="H354" s="2"/>
      <c r="I354" s="2"/>
    </row>
    <row r="355" spans="1:9" x14ac:dyDescent="0.35">
      <c r="A355" s="2" t="s">
        <v>1407</v>
      </c>
      <c r="B355" s="2" t="s">
        <v>62</v>
      </c>
      <c r="C355" s="2" t="s">
        <v>1411</v>
      </c>
      <c r="D355" s="2" t="s">
        <v>196</v>
      </c>
      <c r="E355" s="2" t="s">
        <v>197</v>
      </c>
      <c r="F355" s="2" t="s">
        <v>46</v>
      </c>
      <c r="G355" s="2" t="s">
        <v>1412</v>
      </c>
      <c r="H355" s="2"/>
      <c r="I355" s="2"/>
    </row>
    <row r="356" spans="1:9" x14ac:dyDescent="0.35">
      <c r="A356" s="2" t="s">
        <v>1407</v>
      </c>
      <c r="B356" s="2" t="s">
        <v>62</v>
      </c>
      <c r="C356" s="2" t="s">
        <v>1411</v>
      </c>
      <c r="D356" s="2" t="s">
        <v>319</v>
      </c>
      <c r="E356" s="2" t="s">
        <v>320</v>
      </c>
      <c r="F356" s="2" t="s">
        <v>46</v>
      </c>
      <c r="G356" s="2" t="s">
        <v>1412</v>
      </c>
      <c r="H356" s="2"/>
      <c r="I356" s="2"/>
    </row>
    <row r="357" spans="1:9" x14ac:dyDescent="0.35">
      <c r="A357" s="2" t="s">
        <v>1407</v>
      </c>
      <c r="B357" s="2" t="s">
        <v>62</v>
      </c>
      <c r="C357" s="2" t="s">
        <v>1411</v>
      </c>
      <c r="D357" s="2" t="s">
        <v>322</v>
      </c>
      <c r="E357" s="2" t="s">
        <v>246</v>
      </c>
      <c r="F357" s="2" t="s">
        <v>46</v>
      </c>
      <c r="G357" s="2" t="s">
        <v>1412</v>
      </c>
      <c r="H357" s="2"/>
      <c r="I357" s="2"/>
    </row>
    <row r="358" spans="1:9" x14ac:dyDescent="0.35">
      <c r="A358" s="2" t="s">
        <v>1407</v>
      </c>
      <c r="B358" s="2" t="s">
        <v>62</v>
      </c>
      <c r="C358" s="2" t="s">
        <v>1411</v>
      </c>
      <c r="D358" s="2" t="s">
        <v>323</v>
      </c>
      <c r="E358" s="2" t="s">
        <v>246</v>
      </c>
      <c r="F358" s="2" t="s">
        <v>46</v>
      </c>
      <c r="G358" s="2" t="s">
        <v>1412</v>
      </c>
      <c r="H358" s="2"/>
      <c r="I358" s="2"/>
    </row>
    <row r="359" spans="1:9" x14ac:dyDescent="0.35">
      <c r="A359" s="2" t="s">
        <v>1407</v>
      </c>
      <c r="B359" s="2" t="s">
        <v>62</v>
      </c>
      <c r="C359" s="2" t="s">
        <v>1411</v>
      </c>
      <c r="D359" s="2" t="s">
        <v>324</v>
      </c>
      <c r="E359" s="2" t="s">
        <v>246</v>
      </c>
      <c r="F359" s="2" t="s">
        <v>46</v>
      </c>
      <c r="G359" s="2" t="s">
        <v>1412</v>
      </c>
      <c r="H359" s="2"/>
      <c r="I359" s="2"/>
    </row>
    <row r="360" spans="1:9" x14ac:dyDescent="0.35">
      <c r="A360" s="2" t="s">
        <v>1407</v>
      </c>
      <c r="B360" s="2" t="s">
        <v>62</v>
      </c>
      <c r="C360" s="2" t="s">
        <v>1411</v>
      </c>
      <c r="D360" s="2" t="s">
        <v>325</v>
      </c>
      <c r="E360" s="2" t="s">
        <v>1413</v>
      </c>
      <c r="F360" s="2" t="s">
        <v>46</v>
      </c>
      <c r="G360" s="2" t="s">
        <v>1412</v>
      </c>
      <c r="H360" s="2"/>
      <c r="I360" s="2"/>
    </row>
    <row r="361" spans="1:9" x14ac:dyDescent="0.35">
      <c r="A361" s="2" t="s">
        <v>1407</v>
      </c>
      <c r="B361" s="2" t="s">
        <v>62</v>
      </c>
      <c r="C361" s="2" t="s">
        <v>1411</v>
      </c>
      <c r="D361" s="2" t="s">
        <v>327</v>
      </c>
      <c r="E361" s="2" t="s">
        <v>328</v>
      </c>
      <c r="F361" s="2" t="s">
        <v>46</v>
      </c>
      <c r="G361" s="2" t="s">
        <v>1412</v>
      </c>
      <c r="H361" s="2"/>
      <c r="I361" s="2"/>
    </row>
    <row r="362" spans="1:9" x14ac:dyDescent="0.35">
      <c r="A362" s="2" t="s">
        <v>1407</v>
      </c>
      <c r="B362" s="2" t="s">
        <v>62</v>
      </c>
      <c r="C362" s="2" t="s">
        <v>1411</v>
      </c>
      <c r="D362" s="2" t="s">
        <v>329</v>
      </c>
      <c r="E362" s="2" t="s">
        <v>330</v>
      </c>
      <c r="F362" s="2" t="s">
        <v>46</v>
      </c>
      <c r="G362" s="2" t="s">
        <v>1412</v>
      </c>
      <c r="H362" s="2"/>
      <c r="I362" s="2"/>
    </row>
    <row r="363" spans="1:9" x14ac:dyDescent="0.35">
      <c r="A363" s="2" t="s">
        <v>1407</v>
      </c>
      <c r="B363" s="2" t="s">
        <v>62</v>
      </c>
      <c r="C363" s="2" t="s">
        <v>1411</v>
      </c>
      <c r="D363" s="2" t="s">
        <v>331</v>
      </c>
      <c r="E363" s="2" t="s">
        <v>332</v>
      </c>
      <c r="F363" s="2" t="s">
        <v>46</v>
      </c>
      <c r="G363" s="2" t="s">
        <v>1412</v>
      </c>
      <c r="H363" s="2"/>
      <c r="I363" s="2"/>
    </row>
    <row r="364" spans="1:9" x14ac:dyDescent="0.35">
      <c r="A364" s="2" t="s">
        <v>1407</v>
      </c>
      <c r="B364" s="2" t="s">
        <v>62</v>
      </c>
      <c r="C364" s="2" t="s">
        <v>1411</v>
      </c>
      <c r="D364" s="2" t="s">
        <v>333</v>
      </c>
      <c r="E364" s="2" t="s">
        <v>334</v>
      </c>
      <c r="F364" s="2" t="s">
        <v>46</v>
      </c>
      <c r="G364" s="2" t="s">
        <v>1412</v>
      </c>
      <c r="H364" s="2"/>
      <c r="I364" s="2"/>
    </row>
    <row r="365" spans="1:9" x14ac:dyDescent="0.35">
      <c r="A365" s="2" t="s">
        <v>1407</v>
      </c>
      <c r="B365" s="2" t="s">
        <v>62</v>
      </c>
      <c r="C365" s="2" t="s">
        <v>1411</v>
      </c>
      <c r="D365" s="2" t="s">
        <v>335</v>
      </c>
      <c r="E365" s="2" t="s">
        <v>336</v>
      </c>
      <c r="F365" s="2" t="s">
        <v>46</v>
      </c>
      <c r="G365" s="2" t="s">
        <v>1412</v>
      </c>
      <c r="H365" s="2"/>
      <c r="I365" s="2"/>
    </row>
    <row r="366" spans="1:9" x14ac:dyDescent="0.35">
      <c r="A366" s="2" t="s">
        <v>1407</v>
      </c>
      <c r="B366" s="2" t="s">
        <v>62</v>
      </c>
      <c r="C366" s="2" t="s">
        <v>1411</v>
      </c>
      <c r="D366" s="2" t="s">
        <v>337</v>
      </c>
      <c r="E366" s="2" t="s">
        <v>338</v>
      </c>
      <c r="F366" s="2" t="s">
        <v>46</v>
      </c>
      <c r="G366" s="2" t="s">
        <v>1412</v>
      </c>
      <c r="H366" s="2"/>
      <c r="I366" s="2"/>
    </row>
    <row r="367" spans="1:9" x14ac:dyDescent="0.35">
      <c r="A367" s="2" t="s">
        <v>1407</v>
      </c>
      <c r="B367" s="2" t="s">
        <v>62</v>
      </c>
      <c r="C367" s="2" t="s">
        <v>1411</v>
      </c>
      <c r="D367" s="2" t="s">
        <v>339</v>
      </c>
      <c r="E367" s="2" t="s">
        <v>340</v>
      </c>
      <c r="F367" s="2" t="s">
        <v>46</v>
      </c>
      <c r="G367" s="2" t="s">
        <v>1412</v>
      </c>
      <c r="H367" s="2"/>
      <c r="I367" s="2"/>
    </row>
    <row r="368" spans="1:9" x14ac:dyDescent="0.35">
      <c r="A368" s="2" t="s">
        <v>1407</v>
      </c>
      <c r="B368" s="2" t="s">
        <v>62</v>
      </c>
      <c r="C368" s="2" t="s">
        <v>1411</v>
      </c>
      <c r="D368" s="2" t="s">
        <v>341</v>
      </c>
      <c r="E368" s="2" t="s">
        <v>342</v>
      </c>
      <c r="F368" s="2" t="s">
        <v>46</v>
      </c>
      <c r="G368" s="2" t="s">
        <v>1412</v>
      </c>
      <c r="H368" s="2"/>
      <c r="I368" s="2"/>
    </row>
    <row r="369" spans="1:9" x14ac:dyDescent="0.35">
      <c r="A369" s="2" t="s">
        <v>1407</v>
      </c>
      <c r="B369" s="2" t="s">
        <v>62</v>
      </c>
      <c r="C369" s="2" t="s">
        <v>1411</v>
      </c>
      <c r="D369" s="2" t="s">
        <v>343</v>
      </c>
      <c r="E369" s="2" t="s">
        <v>344</v>
      </c>
      <c r="F369" s="2" t="s">
        <v>46</v>
      </c>
      <c r="G369" s="2" t="s">
        <v>1412</v>
      </c>
      <c r="H369" s="2"/>
      <c r="I369" s="2"/>
    </row>
    <row r="370" spans="1:9" x14ac:dyDescent="0.35">
      <c r="A370" s="2" t="s">
        <v>1407</v>
      </c>
      <c r="B370" s="2" t="s">
        <v>62</v>
      </c>
      <c r="C370" s="2" t="s">
        <v>1411</v>
      </c>
      <c r="D370" s="2" t="s">
        <v>345</v>
      </c>
      <c r="E370" s="2" t="s">
        <v>346</v>
      </c>
      <c r="F370" s="2" t="s">
        <v>46</v>
      </c>
      <c r="G370" s="2" t="s">
        <v>1412</v>
      </c>
      <c r="H370" s="2"/>
      <c r="I370" s="2"/>
    </row>
    <row r="371" spans="1:9" x14ac:dyDescent="0.35">
      <c r="A371" s="2" t="s">
        <v>1407</v>
      </c>
      <c r="B371" s="2" t="s">
        <v>24</v>
      </c>
      <c r="C371" s="2" t="s">
        <v>1414</v>
      </c>
      <c r="D371" s="2" t="s">
        <v>130</v>
      </c>
      <c r="E371" s="2" t="s">
        <v>36</v>
      </c>
      <c r="F371" s="2"/>
      <c r="G371" s="2"/>
      <c r="H371" s="2"/>
      <c r="I371" s="2"/>
    </row>
    <row r="372" spans="1:9" x14ac:dyDescent="0.35">
      <c r="A372" s="2" t="s">
        <v>1407</v>
      </c>
      <c r="B372" s="2" t="s">
        <v>24</v>
      </c>
      <c r="C372" s="2" t="s">
        <v>1414</v>
      </c>
      <c r="D372" s="2" t="s">
        <v>1252</v>
      </c>
      <c r="E372" s="2" t="s">
        <v>1253</v>
      </c>
      <c r="F372" s="2"/>
      <c r="G372" s="2"/>
      <c r="H372" s="2"/>
      <c r="I372" s="2"/>
    </row>
    <row r="373" spans="1:9" x14ac:dyDescent="0.35">
      <c r="A373" s="2" t="s">
        <v>1407</v>
      </c>
      <c r="B373" s="2" t="s">
        <v>24</v>
      </c>
      <c r="C373" s="2" t="s">
        <v>1414</v>
      </c>
      <c r="D373" s="2" t="s">
        <v>1415</v>
      </c>
      <c r="E373" s="2" t="s">
        <v>1416</v>
      </c>
      <c r="F373" s="2"/>
      <c r="G373" s="2"/>
      <c r="H373" s="2"/>
      <c r="I373" s="2"/>
    </row>
    <row r="374" spans="1:9" x14ac:dyDescent="0.35">
      <c r="A374" s="2" t="s">
        <v>1407</v>
      </c>
      <c r="B374" s="2" t="s">
        <v>24</v>
      </c>
      <c r="C374" s="2" t="s">
        <v>1414</v>
      </c>
      <c r="D374" s="2" t="s">
        <v>1226</v>
      </c>
      <c r="E374" s="2" t="s">
        <v>107</v>
      </c>
      <c r="F374" s="2"/>
      <c r="G374" s="2"/>
      <c r="H374" s="2"/>
      <c r="I374" s="2"/>
    </row>
    <row r="375" spans="1:9" x14ac:dyDescent="0.35">
      <c r="A375" s="2" t="s">
        <v>1407</v>
      </c>
      <c r="B375" s="2" t="s">
        <v>24</v>
      </c>
      <c r="C375" s="2" t="s">
        <v>1414</v>
      </c>
      <c r="D375" s="2" t="s">
        <v>1228</v>
      </c>
      <c r="E375" s="2" t="s">
        <v>228</v>
      </c>
      <c r="F375" s="2"/>
      <c r="G375" s="2"/>
      <c r="H375" s="2"/>
      <c r="I375" s="2"/>
    </row>
    <row r="376" spans="1:9" x14ac:dyDescent="0.35">
      <c r="A376" s="2" t="s">
        <v>1407</v>
      </c>
      <c r="B376" s="2" t="s">
        <v>24</v>
      </c>
      <c r="C376" s="2" t="s">
        <v>1414</v>
      </c>
      <c r="D376" s="2" t="s">
        <v>42</v>
      </c>
      <c r="E376" s="2" t="s">
        <v>43</v>
      </c>
      <c r="F376" s="2"/>
      <c r="G376" s="2"/>
      <c r="H376" s="2"/>
      <c r="I376" s="2"/>
    </row>
    <row r="377" spans="1:9" x14ac:dyDescent="0.35">
      <c r="A377" s="2" t="s">
        <v>1407</v>
      </c>
      <c r="B377" s="2" t="s">
        <v>24</v>
      </c>
      <c r="C377" s="2" t="s">
        <v>1414</v>
      </c>
      <c r="D377" s="2" t="s">
        <v>1342</v>
      </c>
      <c r="E377" s="2" t="s">
        <v>1343</v>
      </c>
      <c r="F377" s="2"/>
      <c r="G377" s="2"/>
      <c r="H377" s="2"/>
      <c r="I377" s="2"/>
    </row>
    <row r="378" spans="1:9" x14ac:dyDescent="0.35">
      <c r="A378" s="2" t="s">
        <v>1407</v>
      </c>
      <c r="B378" s="2" t="s">
        <v>801</v>
      </c>
      <c r="C378" s="2" t="s">
        <v>1417</v>
      </c>
      <c r="D378" s="2" t="s">
        <v>130</v>
      </c>
      <c r="E378" s="2" t="s">
        <v>36</v>
      </c>
      <c r="F378" s="2"/>
      <c r="G378" s="2"/>
      <c r="H378" s="2"/>
      <c r="I378" s="2"/>
    </row>
    <row r="379" spans="1:9" x14ac:dyDescent="0.35">
      <c r="A379" s="2" t="s">
        <v>1407</v>
      </c>
      <c r="B379" s="2" t="s">
        <v>12</v>
      </c>
      <c r="C379" s="2" t="s">
        <v>1418</v>
      </c>
      <c r="D379" s="2" t="s">
        <v>198</v>
      </c>
      <c r="E379" s="2" t="s">
        <v>65</v>
      </c>
      <c r="F379" s="2"/>
      <c r="G379" s="2"/>
      <c r="H379" s="2"/>
      <c r="I379" s="2"/>
    </row>
    <row r="380" spans="1:9" x14ac:dyDescent="0.35">
      <c r="A380" s="2" t="s">
        <v>1407</v>
      </c>
      <c r="B380" s="2" t="s">
        <v>12</v>
      </c>
      <c r="C380" s="2" t="s">
        <v>1418</v>
      </c>
      <c r="D380" s="2" t="s">
        <v>1419</v>
      </c>
      <c r="E380" s="2" t="s">
        <v>1419</v>
      </c>
      <c r="F380" s="2"/>
      <c r="G380" s="2"/>
      <c r="H380" s="2"/>
      <c r="I380" s="2"/>
    </row>
    <row r="381" spans="1:9" x14ac:dyDescent="0.35">
      <c r="A381" s="2" t="s">
        <v>1407</v>
      </c>
      <c r="B381" s="2" t="s">
        <v>12</v>
      </c>
      <c r="C381" s="2" t="s">
        <v>1418</v>
      </c>
      <c r="D381" s="2" t="s">
        <v>1420</v>
      </c>
      <c r="E381" s="2" t="s">
        <v>189</v>
      </c>
      <c r="F381" s="2"/>
      <c r="G381" s="2"/>
      <c r="H381" s="2"/>
      <c r="I381" s="2"/>
    </row>
    <row r="382" spans="1:9" x14ac:dyDescent="0.35">
      <c r="A382" s="2" t="s">
        <v>1407</v>
      </c>
      <c r="B382" s="2" t="s">
        <v>12</v>
      </c>
      <c r="C382" s="2" t="s">
        <v>1421</v>
      </c>
      <c r="D382" s="2" t="s">
        <v>198</v>
      </c>
      <c r="E382" s="2" t="s">
        <v>65</v>
      </c>
      <c r="F382" s="2"/>
      <c r="G382" s="2"/>
      <c r="H382" s="2"/>
      <c r="I382" s="2"/>
    </row>
    <row r="383" spans="1:9" x14ac:dyDescent="0.35">
      <c r="A383" s="2" t="s">
        <v>1407</v>
      </c>
      <c r="B383" s="2" t="s">
        <v>12</v>
      </c>
      <c r="C383" s="2" t="s">
        <v>1421</v>
      </c>
      <c r="D383" s="2" t="s">
        <v>18</v>
      </c>
      <c r="E383" s="2" t="s">
        <v>19</v>
      </c>
      <c r="F383" s="2" t="s">
        <v>20</v>
      </c>
      <c r="G383" s="2" t="s">
        <v>1422</v>
      </c>
      <c r="H383" s="2"/>
      <c r="I383" s="2"/>
    </row>
    <row r="384" spans="1:9" x14ac:dyDescent="0.35">
      <c r="A384" s="2" t="s">
        <v>1407</v>
      </c>
      <c r="B384" s="2" t="s">
        <v>12</v>
      </c>
      <c r="C384" s="2" t="s">
        <v>1421</v>
      </c>
      <c r="D384" s="2" t="s">
        <v>188</v>
      </c>
      <c r="E384" s="2" t="s">
        <v>189</v>
      </c>
      <c r="F384" s="2"/>
      <c r="G384" s="2"/>
      <c r="H384" s="2"/>
      <c r="I384" s="2"/>
    </row>
    <row r="385" spans="1:9" x14ac:dyDescent="0.35">
      <c r="A385" s="2" t="s">
        <v>1407</v>
      </c>
      <c r="B385" s="2" t="s">
        <v>62</v>
      </c>
      <c r="C385" s="2" t="s">
        <v>1423</v>
      </c>
      <c r="D385" s="2" t="s">
        <v>317</v>
      </c>
      <c r="E385" s="2" t="s">
        <v>318</v>
      </c>
      <c r="F385" s="2"/>
      <c r="G385" s="2"/>
      <c r="H385" s="2"/>
      <c r="I385" s="2"/>
    </row>
    <row r="386" spans="1:9" x14ac:dyDescent="0.35">
      <c r="A386" s="2" t="s">
        <v>1407</v>
      </c>
      <c r="B386" s="2" t="s">
        <v>62</v>
      </c>
      <c r="C386" s="2" t="s">
        <v>1423</v>
      </c>
      <c r="D386" s="2" t="s">
        <v>1051</v>
      </c>
      <c r="E386" s="2" t="s">
        <v>318</v>
      </c>
      <c r="F386" s="2"/>
      <c r="G386" s="2"/>
      <c r="H386" s="2"/>
      <c r="I386" s="2"/>
    </row>
    <row r="387" spans="1:9" x14ac:dyDescent="0.35">
      <c r="A387" s="2" t="s">
        <v>1407</v>
      </c>
      <c r="B387" s="2" t="s">
        <v>62</v>
      </c>
      <c r="C387" s="2" t="s">
        <v>1423</v>
      </c>
      <c r="D387" s="2" t="s">
        <v>333</v>
      </c>
      <c r="E387" s="2" t="s">
        <v>334</v>
      </c>
      <c r="F387" s="2"/>
      <c r="G387" s="2"/>
      <c r="H387" s="2"/>
      <c r="I387" s="2"/>
    </row>
    <row r="388" spans="1:9" x14ac:dyDescent="0.35">
      <c r="A388" s="2" t="s">
        <v>1407</v>
      </c>
      <c r="B388" s="2" t="s">
        <v>62</v>
      </c>
      <c r="C388" s="2" t="s">
        <v>1424</v>
      </c>
      <c r="D388" s="2" t="s">
        <v>317</v>
      </c>
      <c r="E388" s="2" t="s">
        <v>318</v>
      </c>
      <c r="F388" s="2"/>
      <c r="G388" s="2"/>
      <c r="H388" s="2"/>
      <c r="I388" s="2"/>
    </row>
    <row r="389" spans="1:9" x14ac:dyDescent="0.35">
      <c r="A389" s="2" t="s">
        <v>1407</v>
      </c>
      <c r="B389" s="2" t="s">
        <v>62</v>
      </c>
      <c r="C389" s="2" t="s">
        <v>1424</v>
      </c>
      <c r="D389" s="2" t="s">
        <v>87</v>
      </c>
      <c r="E389" s="2" t="s">
        <v>75</v>
      </c>
      <c r="F389" s="2"/>
      <c r="G389" s="2"/>
      <c r="H389" s="2"/>
      <c r="I389" s="2"/>
    </row>
    <row r="390" spans="1:9" x14ac:dyDescent="0.35">
      <c r="A390" s="2" t="s">
        <v>1407</v>
      </c>
      <c r="B390" s="2" t="s">
        <v>62</v>
      </c>
      <c r="C390" s="2" t="s">
        <v>1424</v>
      </c>
      <c r="D390" s="2" t="s">
        <v>1051</v>
      </c>
      <c r="E390" s="2" t="s">
        <v>318</v>
      </c>
      <c r="F390" s="2"/>
      <c r="G390" s="2"/>
      <c r="H390" s="2"/>
      <c r="I390" s="2"/>
    </row>
    <row r="391" spans="1:9" x14ac:dyDescent="0.35">
      <c r="A391" s="2" t="s">
        <v>1407</v>
      </c>
      <c r="B391" s="2" t="s">
        <v>62</v>
      </c>
      <c r="C391" s="2" t="s">
        <v>1424</v>
      </c>
      <c r="D391" s="2" t="s">
        <v>333</v>
      </c>
      <c r="E391" s="2" t="s">
        <v>334</v>
      </c>
      <c r="F391" s="2"/>
      <c r="G391" s="2"/>
      <c r="H391" s="2"/>
      <c r="I391" s="2"/>
    </row>
    <row r="392" spans="1:9" x14ac:dyDescent="0.35">
      <c r="A392" s="2" t="s">
        <v>1407</v>
      </c>
      <c r="B392" s="2" t="s">
        <v>62</v>
      </c>
      <c r="C392" s="2" t="s">
        <v>1425</v>
      </c>
      <c r="D392" s="2" t="s">
        <v>196</v>
      </c>
      <c r="E392" s="2" t="s">
        <v>197</v>
      </c>
      <c r="F392" s="2"/>
      <c r="G392" s="2"/>
      <c r="H392" s="2"/>
      <c r="I392" s="2"/>
    </row>
    <row r="393" spans="1:9" x14ac:dyDescent="0.35">
      <c r="A393" s="2" t="s">
        <v>1407</v>
      </c>
      <c r="B393" s="2" t="s">
        <v>62</v>
      </c>
      <c r="C393" s="2" t="s">
        <v>1425</v>
      </c>
      <c r="D393" s="2" t="s">
        <v>317</v>
      </c>
      <c r="E393" s="2" t="s">
        <v>318</v>
      </c>
      <c r="F393" s="2"/>
      <c r="G393" s="2"/>
      <c r="H393" s="2"/>
      <c r="I393" s="2"/>
    </row>
    <row r="394" spans="1:9" x14ac:dyDescent="0.35">
      <c r="A394" s="2" t="s">
        <v>1407</v>
      </c>
      <c r="B394" s="2" t="s">
        <v>62</v>
      </c>
      <c r="C394" s="2" t="s">
        <v>1425</v>
      </c>
      <c r="D394" s="2" t="s">
        <v>319</v>
      </c>
      <c r="E394" s="2" t="s">
        <v>320</v>
      </c>
      <c r="F394" s="2"/>
      <c r="G394" s="2"/>
      <c r="H394" s="2"/>
      <c r="I394" s="2"/>
    </row>
    <row r="395" spans="1:9" x14ac:dyDescent="0.35">
      <c r="A395" s="2" t="s">
        <v>1407</v>
      </c>
      <c r="B395" s="2" t="s">
        <v>62</v>
      </c>
      <c r="C395" s="2" t="s">
        <v>1425</v>
      </c>
      <c r="D395" s="2" t="s">
        <v>1050</v>
      </c>
      <c r="E395" s="2" t="s">
        <v>75</v>
      </c>
      <c r="F395" s="2"/>
      <c r="G395" s="2"/>
      <c r="H395" s="2"/>
      <c r="I395" s="2"/>
    </row>
    <row r="396" spans="1:9" x14ac:dyDescent="0.35">
      <c r="A396" s="2" t="s">
        <v>1407</v>
      </c>
      <c r="B396" s="2" t="s">
        <v>62</v>
      </c>
      <c r="C396" s="2" t="s">
        <v>1425</v>
      </c>
      <c r="D396" s="2" t="s">
        <v>321</v>
      </c>
      <c r="E396" s="2" t="s">
        <v>321</v>
      </c>
      <c r="F396" s="2"/>
      <c r="G396" s="2"/>
      <c r="H396" s="2"/>
      <c r="I396" s="2"/>
    </row>
    <row r="397" spans="1:9" x14ac:dyDescent="0.35">
      <c r="A397" s="2" t="s">
        <v>1407</v>
      </c>
      <c r="B397" s="2" t="s">
        <v>62</v>
      </c>
      <c r="C397" s="2" t="s">
        <v>1425</v>
      </c>
      <c r="D397" s="2" t="s">
        <v>322</v>
      </c>
      <c r="E397" s="2" t="s">
        <v>246</v>
      </c>
      <c r="F397" s="2"/>
      <c r="G397" s="2"/>
      <c r="H397" s="2"/>
      <c r="I397" s="2"/>
    </row>
    <row r="398" spans="1:9" x14ac:dyDescent="0.35">
      <c r="A398" s="2" t="s">
        <v>1407</v>
      </c>
      <c r="B398" s="2" t="s">
        <v>62</v>
      </c>
      <c r="C398" s="2" t="s">
        <v>1425</v>
      </c>
      <c r="D398" s="2" t="s">
        <v>323</v>
      </c>
      <c r="E398" s="2" t="s">
        <v>246</v>
      </c>
      <c r="F398" s="2"/>
      <c r="G398" s="2"/>
      <c r="H398" s="2"/>
      <c r="I398" s="2"/>
    </row>
    <row r="399" spans="1:9" x14ac:dyDescent="0.35">
      <c r="A399" s="2" t="s">
        <v>1407</v>
      </c>
      <c r="B399" s="2" t="s">
        <v>62</v>
      </c>
      <c r="C399" s="2" t="s">
        <v>1425</v>
      </c>
      <c r="D399" s="2" t="s">
        <v>324</v>
      </c>
      <c r="E399" s="2" t="s">
        <v>246</v>
      </c>
      <c r="F399" s="2"/>
      <c r="G399" s="2"/>
      <c r="H399" s="2"/>
      <c r="I399" s="2"/>
    </row>
    <row r="400" spans="1:9" x14ac:dyDescent="0.35">
      <c r="A400" s="2" t="s">
        <v>1407</v>
      </c>
      <c r="B400" s="2" t="s">
        <v>62</v>
      </c>
      <c r="C400" s="2" t="s">
        <v>1425</v>
      </c>
      <c r="D400" s="2" t="s">
        <v>325</v>
      </c>
      <c r="E400" s="2" t="s">
        <v>326</v>
      </c>
      <c r="F400" s="2"/>
      <c r="G400" s="2"/>
      <c r="H400" s="2"/>
      <c r="I400" s="2"/>
    </row>
    <row r="401" spans="1:9" x14ac:dyDescent="0.35">
      <c r="A401" s="2" t="s">
        <v>1407</v>
      </c>
      <c r="B401" s="2" t="s">
        <v>62</v>
      </c>
      <c r="C401" s="2" t="s">
        <v>1425</v>
      </c>
      <c r="D401" s="2" t="s">
        <v>327</v>
      </c>
      <c r="E401" s="2" t="s">
        <v>328</v>
      </c>
      <c r="F401" s="2"/>
      <c r="G401" s="2"/>
      <c r="H401" s="2"/>
      <c r="I401" s="2"/>
    </row>
    <row r="402" spans="1:9" x14ac:dyDescent="0.35">
      <c r="A402" s="2" t="s">
        <v>1407</v>
      </c>
      <c r="B402" s="2" t="s">
        <v>62</v>
      </c>
      <c r="C402" s="2" t="s">
        <v>1425</v>
      </c>
      <c r="D402" s="2" t="s">
        <v>329</v>
      </c>
      <c r="E402" s="2" t="s">
        <v>330</v>
      </c>
      <c r="F402" s="2"/>
      <c r="G402" s="2"/>
      <c r="H402" s="2"/>
      <c r="I402" s="2"/>
    </row>
    <row r="403" spans="1:9" x14ac:dyDescent="0.35">
      <c r="A403" s="2" t="s">
        <v>1407</v>
      </c>
      <c r="B403" s="2" t="s">
        <v>62</v>
      </c>
      <c r="C403" s="2" t="s">
        <v>1425</v>
      </c>
      <c r="D403" s="2" t="s">
        <v>331</v>
      </c>
      <c r="E403" s="2" t="s">
        <v>332</v>
      </c>
      <c r="F403" s="2"/>
      <c r="G403" s="2"/>
      <c r="H403" s="2"/>
      <c r="I403" s="2"/>
    </row>
    <row r="404" spans="1:9" x14ac:dyDescent="0.35">
      <c r="A404" s="2" t="s">
        <v>1407</v>
      </c>
      <c r="B404" s="2" t="s">
        <v>62</v>
      </c>
      <c r="C404" s="2" t="s">
        <v>1425</v>
      </c>
      <c r="D404" s="2" t="s">
        <v>333</v>
      </c>
      <c r="E404" s="2" t="s">
        <v>334</v>
      </c>
      <c r="F404" s="2"/>
      <c r="G404" s="2"/>
      <c r="H404" s="2"/>
      <c r="I404" s="2"/>
    </row>
    <row r="405" spans="1:9" x14ac:dyDescent="0.35">
      <c r="A405" s="2" t="s">
        <v>1407</v>
      </c>
      <c r="B405" s="2" t="s">
        <v>62</v>
      </c>
      <c r="C405" s="2" t="s">
        <v>1425</v>
      </c>
      <c r="D405" s="2" t="s">
        <v>335</v>
      </c>
      <c r="E405" s="2" t="s">
        <v>336</v>
      </c>
      <c r="F405" s="2"/>
      <c r="G405" s="2"/>
      <c r="H405" s="2"/>
      <c r="I405" s="2"/>
    </row>
    <row r="406" spans="1:9" x14ac:dyDescent="0.35">
      <c r="A406" s="2" t="s">
        <v>1407</v>
      </c>
      <c r="B406" s="2" t="s">
        <v>62</v>
      </c>
      <c r="C406" s="2" t="s">
        <v>1425</v>
      </c>
      <c r="D406" s="2" t="s">
        <v>337</v>
      </c>
      <c r="E406" s="2" t="s">
        <v>338</v>
      </c>
      <c r="F406" s="2"/>
      <c r="G406" s="2"/>
      <c r="H406" s="2"/>
      <c r="I406" s="2"/>
    </row>
    <row r="407" spans="1:9" x14ac:dyDescent="0.35">
      <c r="A407" s="2" t="s">
        <v>1407</v>
      </c>
      <c r="B407" s="2" t="s">
        <v>62</v>
      </c>
      <c r="C407" s="2" t="s">
        <v>1425</v>
      </c>
      <c r="D407" s="2" t="s">
        <v>339</v>
      </c>
      <c r="E407" s="2" t="s">
        <v>340</v>
      </c>
      <c r="F407" s="2"/>
      <c r="G407" s="2"/>
      <c r="H407" s="2"/>
      <c r="I407" s="2"/>
    </row>
    <row r="408" spans="1:9" x14ac:dyDescent="0.35">
      <c r="A408" s="2" t="s">
        <v>1407</v>
      </c>
      <c r="B408" s="2" t="s">
        <v>62</v>
      </c>
      <c r="C408" s="2" t="s">
        <v>1425</v>
      </c>
      <c r="D408" s="2" t="s">
        <v>341</v>
      </c>
      <c r="E408" s="2" t="s">
        <v>342</v>
      </c>
      <c r="F408" s="2"/>
      <c r="G408" s="2"/>
      <c r="H408" s="2"/>
      <c r="I408" s="2"/>
    </row>
    <row r="409" spans="1:9" x14ac:dyDescent="0.35">
      <c r="A409" s="2" t="s">
        <v>1407</v>
      </c>
      <c r="B409" s="2" t="s">
        <v>62</v>
      </c>
      <c r="C409" s="2" t="s">
        <v>1425</v>
      </c>
      <c r="D409" s="2" t="s">
        <v>343</v>
      </c>
      <c r="E409" s="2" t="s">
        <v>344</v>
      </c>
      <c r="F409" s="2"/>
      <c r="G409" s="2"/>
      <c r="H409" s="2"/>
      <c r="I409" s="2"/>
    </row>
    <row r="410" spans="1:9" x14ac:dyDescent="0.35">
      <c r="A410" s="2" t="s">
        <v>1407</v>
      </c>
      <c r="B410" s="2" t="s">
        <v>62</v>
      </c>
      <c r="C410" s="2" t="s">
        <v>1425</v>
      </c>
      <c r="D410" s="2" t="s">
        <v>345</v>
      </c>
      <c r="E410" s="2" t="s">
        <v>346</v>
      </c>
      <c r="F410" s="2"/>
      <c r="G410" s="2"/>
      <c r="H410" s="2"/>
      <c r="I410" s="2"/>
    </row>
    <row r="411" spans="1:9" x14ac:dyDescent="0.35">
      <c r="A411" s="2" t="s">
        <v>1407</v>
      </c>
      <c r="B411" s="2" t="s">
        <v>62</v>
      </c>
      <c r="C411" s="2" t="s">
        <v>1426</v>
      </c>
      <c r="D411" s="2" t="s">
        <v>196</v>
      </c>
      <c r="E411" s="2" t="s">
        <v>197</v>
      </c>
      <c r="F411" s="2"/>
      <c r="G411" s="2"/>
      <c r="H411" s="2"/>
      <c r="I411" s="2"/>
    </row>
    <row r="412" spans="1:9" x14ac:dyDescent="0.35">
      <c r="A412" s="2" t="s">
        <v>1407</v>
      </c>
      <c r="B412" s="2" t="s">
        <v>62</v>
      </c>
      <c r="C412" s="2" t="s">
        <v>1426</v>
      </c>
      <c r="D412" s="2" t="s">
        <v>198</v>
      </c>
      <c r="E412" s="2" t="s">
        <v>65</v>
      </c>
      <c r="F412" s="2"/>
      <c r="G412" s="2"/>
      <c r="H412" s="2"/>
      <c r="I412" s="2"/>
    </row>
    <row r="413" spans="1:9" x14ac:dyDescent="0.35">
      <c r="A413" s="2" t="s">
        <v>1407</v>
      </c>
      <c r="B413" s="2" t="s">
        <v>62</v>
      </c>
      <c r="C413" s="2" t="s">
        <v>1426</v>
      </c>
      <c r="D413" s="2" t="s">
        <v>319</v>
      </c>
      <c r="E413" s="2" t="s">
        <v>320</v>
      </c>
      <c r="F413" s="2"/>
      <c r="G413" s="2"/>
      <c r="H413" s="2"/>
      <c r="I413" s="2"/>
    </row>
    <row r="414" spans="1:9" x14ac:dyDescent="0.35">
      <c r="A414" s="2" t="s">
        <v>1407</v>
      </c>
      <c r="B414" s="2" t="s">
        <v>62</v>
      </c>
      <c r="C414" s="2" t="s">
        <v>1426</v>
      </c>
      <c r="D414" s="2" t="s">
        <v>321</v>
      </c>
      <c r="E414" s="2" t="s">
        <v>321</v>
      </c>
      <c r="F414" s="2"/>
      <c r="G414" s="2"/>
      <c r="H414" s="2"/>
      <c r="I414" s="2"/>
    </row>
    <row r="415" spans="1:9" x14ac:dyDescent="0.35">
      <c r="A415" s="2" t="s">
        <v>1407</v>
      </c>
      <c r="B415" s="2" t="s">
        <v>62</v>
      </c>
      <c r="C415" s="2" t="s">
        <v>1426</v>
      </c>
      <c r="D415" s="2" t="s">
        <v>322</v>
      </c>
      <c r="E415" s="2" t="s">
        <v>246</v>
      </c>
      <c r="F415" s="2"/>
      <c r="G415" s="2"/>
      <c r="H415" s="2"/>
      <c r="I415" s="2"/>
    </row>
    <row r="416" spans="1:9" x14ac:dyDescent="0.35">
      <c r="A416" s="2" t="s">
        <v>1407</v>
      </c>
      <c r="B416" s="2" t="s">
        <v>62</v>
      </c>
      <c r="C416" s="2" t="s">
        <v>1426</v>
      </c>
      <c r="D416" s="2" t="s">
        <v>323</v>
      </c>
      <c r="E416" s="2" t="s">
        <v>246</v>
      </c>
      <c r="F416" s="2"/>
      <c r="G416" s="2"/>
      <c r="H416" s="2"/>
      <c r="I416" s="2"/>
    </row>
    <row r="417" spans="1:9" x14ac:dyDescent="0.35">
      <c r="A417" s="2" t="s">
        <v>1407</v>
      </c>
      <c r="B417" s="2" t="s">
        <v>62</v>
      </c>
      <c r="C417" s="2" t="s">
        <v>1426</v>
      </c>
      <c r="D417" s="2" t="s">
        <v>324</v>
      </c>
      <c r="E417" s="2" t="s">
        <v>246</v>
      </c>
      <c r="F417" s="2"/>
      <c r="G417" s="2"/>
      <c r="H417" s="2"/>
      <c r="I417" s="2"/>
    </row>
    <row r="418" spans="1:9" x14ac:dyDescent="0.35">
      <c r="A418" s="2" t="s">
        <v>1407</v>
      </c>
      <c r="B418" s="2" t="s">
        <v>62</v>
      </c>
      <c r="C418" s="2" t="s">
        <v>1426</v>
      </c>
      <c r="D418" s="2" t="s">
        <v>325</v>
      </c>
      <c r="E418" s="2" t="s">
        <v>326</v>
      </c>
      <c r="F418" s="2"/>
      <c r="G418" s="2"/>
      <c r="H418" s="2"/>
      <c r="I418" s="2"/>
    </row>
    <row r="419" spans="1:9" x14ac:dyDescent="0.35">
      <c r="A419" s="2" t="s">
        <v>1407</v>
      </c>
      <c r="B419" s="2" t="s">
        <v>62</v>
      </c>
      <c r="C419" s="2" t="s">
        <v>1426</v>
      </c>
      <c r="D419" s="2" t="s">
        <v>327</v>
      </c>
      <c r="E419" s="2" t="s">
        <v>328</v>
      </c>
      <c r="F419" s="2"/>
      <c r="G419" s="2"/>
      <c r="H419" s="2"/>
      <c r="I419" s="2"/>
    </row>
    <row r="420" spans="1:9" x14ac:dyDescent="0.35">
      <c r="A420" s="2" t="s">
        <v>1407</v>
      </c>
      <c r="B420" s="2" t="s">
        <v>62</v>
      </c>
      <c r="C420" s="2" t="s">
        <v>1426</v>
      </c>
      <c r="D420" s="2" t="s">
        <v>329</v>
      </c>
      <c r="E420" s="2" t="s">
        <v>330</v>
      </c>
      <c r="F420" s="2"/>
      <c r="G420" s="2"/>
      <c r="H420" s="2"/>
      <c r="I420" s="2"/>
    </row>
    <row r="421" spans="1:9" x14ac:dyDescent="0.35">
      <c r="A421" s="2" t="s">
        <v>1407</v>
      </c>
      <c r="B421" s="2" t="s">
        <v>62</v>
      </c>
      <c r="C421" s="2" t="s">
        <v>1426</v>
      </c>
      <c r="D421" s="2" t="s">
        <v>331</v>
      </c>
      <c r="E421" s="2" t="s">
        <v>332</v>
      </c>
      <c r="F421" s="2"/>
      <c r="G421" s="2"/>
      <c r="H421" s="2"/>
      <c r="I421" s="2"/>
    </row>
    <row r="422" spans="1:9" x14ac:dyDescent="0.35">
      <c r="A422" s="2" t="s">
        <v>1407</v>
      </c>
      <c r="B422" s="2" t="s">
        <v>62</v>
      </c>
      <c r="C422" s="2" t="s">
        <v>1426</v>
      </c>
      <c r="D422" s="2" t="s">
        <v>333</v>
      </c>
      <c r="E422" s="2" t="s">
        <v>334</v>
      </c>
      <c r="F422" s="2"/>
      <c r="G422" s="2"/>
      <c r="H422" s="2"/>
      <c r="I422" s="2"/>
    </row>
    <row r="423" spans="1:9" x14ac:dyDescent="0.35">
      <c r="A423" s="2" t="s">
        <v>1407</v>
      </c>
      <c r="B423" s="2" t="s">
        <v>62</v>
      </c>
      <c r="C423" s="2" t="s">
        <v>1426</v>
      </c>
      <c r="D423" s="2" t="s">
        <v>1297</v>
      </c>
      <c r="E423" s="2" t="s">
        <v>533</v>
      </c>
      <c r="F423" s="2"/>
      <c r="G423" s="2"/>
      <c r="H423" s="2"/>
      <c r="I423" s="2"/>
    </row>
    <row r="424" spans="1:9" x14ac:dyDescent="0.35">
      <c r="A424" s="2" t="s">
        <v>1407</v>
      </c>
      <c r="B424" s="2" t="s">
        <v>62</v>
      </c>
      <c r="C424" s="2" t="s">
        <v>1426</v>
      </c>
      <c r="D424" s="2" t="s">
        <v>335</v>
      </c>
      <c r="E424" s="2" t="s">
        <v>336</v>
      </c>
      <c r="F424" s="2"/>
      <c r="G424" s="2"/>
      <c r="H424" s="2"/>
      <c r="I424" s="2"/>
    </row>
    <row r="425" spans="1:9" x14ac:dyDescent="0.35">
      <c r="A425" s="2" t="s">
        <v>1407</v>
      </c>
      <c r="B425" s="2" t="s">
        <v>62</v>
      </c>
      <c r="C425" s="2" t="s">
        <v>1426</v>
      </c>
      <c r="D425" s="2" t="s">
        <v>337</v>
      </c>
      <c r="E425" s="2" t="s">
        <v>338</v>
      </c>
      <c r="F425" s="2"/>
      <c r="G425" s="2"/>
      <c r="H425" s="2"/>
      <c r="I425" s="2"/>
    </row>
    <row r="426" spans="1:9" x14ac:dyDescent="0.35">
      <c r="A426" s="2" t="s">
        <v>1407</v>
      </c>
      <c r="B426" s="2" t="s">
        <v>62</v>
      </c>
      <c r="C426" s="2" t="s">
        <v>1426</v>
      </c>
      <c r="D426" s="2" t="s">
        <v>339</v>
      </c>
      <c r="E426" s="2" t="s">
        <v>340</v>
      </c>
      <c r="F426" s="2"/>
      <c r="G426" s="2"/>
      <c r="H426" s="2"/>
      <c r="I426" s="2"/>
    </row>
    <row r="427" spans="1:9" x14ac:dyDescent="0.35">
      <c r="A427" s="2" t="s">
        <v>1407</v>
      </c>
      <c r="B427" s="2" t="s">
        <v>62</v>
      </c>
      <c r="C427" s="2" t="s">
        <v>1426</v>
      </c>
      <c r="D427" s="2" t="s">
        <v>341</v>
      </c>
      <c r="E427" s="2" t="s">
        <v>342</v>
      </c>
      <c r="F427" s="2"/>
      <c r="G427" s="2"/>
      <c r="H427" s="2"/>
      <c r="I427" s="2"/>
    </row>
    <row r="428" spans="1:9" x14ac:dyDescent="0.35">
      <c r="A428" s="2" t="s">
        <v>1407</v>
      </c>
      <c r="B428" s="2" t="s">
        <v>62</v>
      </c>
      <c r="C428" s="2" t="s">
        <v>1426</v>
      </c>
      <c r="D428" s="2" t="s">
        <v>343</v>
      </c>
      <c r="E428" s="2" t="s">
        <v>344</v>
      </c>
      <c r="F428" s="2"/>
      <c r="G428" s="2"/>
      <c r="H428" s="2"/>
      <c r="I428" s="2"/>
    </row>
    <row r="429" spans="1:9" x14ac:dyDescent="0.35">
      <c r="A429" s="2" t="s">
        <v>1407</v>
      </c>
      <c r="B429" s="2" t="s">
        <v>62</v>
      </c>
      <c r="C429" s="2" t="s">
        <v>1426</v>
      </c>
      <c r="D429" s="2" t="s">
        <v>345</v>
      </c>
      <c r="E429" s="2" t="s">
        <v>346</v>
      </c>
      <c r="F429" s="2"/>
      <c r="G429" s="2"/>
      <c r="H429" s="2"/>
      <c r="I429" s="2"/>
    </row>
    <row r="430" spans="1:9" x14ac:dyDescent="0.35">
      <c r="A430" s="2" t="s">
        <v>1407</v>
      </c>
      <c r="B430" s="2" t="s">
        <v>62</v>
      </c>
      <c r="C430" s="2" t="s">
        <v>1427</v>
      </c>
      <c r="D430" s="2" t="s">
        <v>196</v>
      </c>
      <c r="E430" s="2" t="s">
        <v>197</v>
      </c>
      <c r="F430" s="2" t="s">
        <v>46</v>
      </c>
      <c r="G430" s="2" t="s">
        <v>1428</v>
      </c>
      <c r="H430" s="2"/>
      <c r="I430" s="2"/>
    </row>
    <row r="431" spans="1:9" x14ac:dyDescent="0.35">
      <c r="A431" s="2" t="s">
        <v>1407</v>
      </c>
      <c r="B431" s="2" t="s">
        <v>62</v>
      </c>
      <c r="C431" s="2" t="s">
        <v>1427</v>
      </c>
      <c r="D431" s="2" t="s">
        <v>319</v>
      </c>
      <c r="E431" s="2" t="s">
        <v>320</v>
      </c>
      <c r="F431" s="2" t="s">
        <v>46</v>
      </c>
      <c r="G431" s="2" t="s">
        <v>1428</v>
      </c>
      <c r="H431" s="2"/>
      <c r="I431" s="2"/>
    </row>
    <row r="432" spans="1:9" x14ac:dyDescent="0.35">
      <c r="A432" s="2" t="s">
        <v>1407</v>
      </c>
      <c r="B432" s="2" t="s">
        <v>62</v>
      </c>
      <c r="C432" s="2" t="s">
        <v>1427</v>
      </c>
      <c r="D432" s="2" t="s">
        <v>322</v>
      </c>
      <c r="E432" s="2" t="s">
        <v>246</v>
      </c>
      <c r="F432" s="2" t="s">
        <v>46</v>
      </c>
      <c r="G432" s="2" t="s">
        <v>1428</v>
      </c>
      <c r="H432" s="2"/>
      <c r="I432" s="2"/>
    </row>
    <row r="433" spans="1:9" x14ac:dyDescent="0.35">
      <c r="A433" s="2" t="s">
        <v>1407</v>
      </c>
      <c r="B433" s="2" t="s">
        <v>62</v>
      </c>
      <c r="C433" s="2" t="s">
        <v>1427</v>
      </c>
      <c r="D433" s="2" t="s">
        <v>323</v>
      </c>
      <c r="E433" s="2" t="s">
        <v>246</v>
      </c>
      <c r="F433" s="2" t="s">
        <v>46</v>
      </c>
      <c r="G433" s="2" t="s">
        <v>1428</v>
      </c>
      <c r="H433" s="2"/>
      <c r="I433" s="2"/>
    </row>
    <row r="434" spans="1:9" x14ac:dyDescent="0.35">
      <c r="A434" s="2" t="s">
        <v>1407</v>
      </c>
      <c r="B434" s="2" t="s">
        <v>62</v>
      </c>
      <c r="C434" s="2" t="s">
        <v>1427</v>
      </c>
      <c r="D434" s="2" t="s">
        <v>324</v>
      </c>
      <c r="E434" s="2" t="s">
        <v>246</v>
      </c>
      <c r="F434" s="2" t="s">
        <v>46</v>
      </c>
      <c r="G434" s="2" t="s">
        <v>1428</v>
      </c>
      <c r="H434" s="2"/>
      <c r="I434" s="2"/>
    </row>
    <row r="435" spans="1:9" x14ac:dyDescent="0.35">
      <c r="A435" s="2" t="s">
        <v>1407</v>
      </c>
      <c r="B435" s="2" t="s">
        <v>62</v>
      </c>
      <c r="C435" s="2" t="s">
        <v>1427</v>
      </c>
      <c r="D435" s="2" t="s">
        <v>325</v>
      </c>
      <c r="E435" s="2" t="s">
        <v>326</v>
      </c>
      <c r="F435" s="2" t="s">
        <v>46</v>
      </c>
      <c r="G435" s="2" t="s">
        <v>1428</v>
      </c>
      <c r="H435" s="2"/>
      <c r="I435" s="2"/>
    </row>
    <row r="436" spans="1:9" x14ac:dyDescent="0.35">
      <c r="A436" s="2" t="s">
        <v>1407</v>
      </c>
      <c r="B436" s="2" t="s">
        <v>62</v>
      </c>
      <c r="C436" s="2" t="s">
        <v>1427</v>
      </c>
      <c r="D436" s="2" t="s">
        <v>327</v>
      </c>
      <c r="E436" s="2" t="s">
        <v>328</v>
      </c>
      <c r="F436" s="2" t="s">
        <v>46</v>
      </c>
      <c r="G436" s="2" t="s">
        <v>1428</v>
      </c>
      <c r="H436" s="2"/>
      <c r="I436" s="2"/>
    </row>
    <row r="437" spans="1:9" x14ac:dyDescent="0.35">
      <c r="A437" s="2" t="s">
        <v>1407</v>
      </c>
      <c r="B437" s="2" t="s">
        <v>62</v>
      </c>
      <c r="C437" s="2" t="s">
        <v>1427</v>
      </c>
      <c r="D437" s="2" t="s">
        <v>329</v>
      </c>
      <c r="E437" s="2" t="s">
        <v>330</v>
      </c>
      <c r="F437" s="2" t="s">
        <v>46</v>
      </c>
      <c r="G437" s="2" t="s">
        <v>1428</v>
      </c>
      <c r="H437" s="2"/>
      <c r="I437" s="2"/>
    </row>
    <row r="438" spans="1:9" x14ac:dyDescent="0.35">
      <c r="A438" s="2" t="s">
        <v>1407</v>
      </c>
      <c r="B438" s="2" t="s">
        <v>62</v>
      </c>
      <c r="C438" s="2" t="s">
        <v>1427</v>
      </c>
      <c r="D438" s="2" t="s">
        <v>331</v>
      </c>
      <c r="E438" s="2" t="s">
        <v>332</v>
      </c>
      <c r="F438" s="2" t="s">
        <v>46</v>
      </c>
      <c r="G438" s="2" t="s">
        <v>1428</v>
      </c>
      <c r="H438" s="2"/>
      <c r="I438" s="2"/>
    </row>
    <row r="439" spans="1:9" x14ac:dyDescent="0.35">
      <c r="A439" s="2" t="s">
        <v>1407</v>
      </c>
      <c r="B439" s="2" t="s">
        <v>62</v>
      </c>
      <c r="C439" s="2" t="s">
        <v>1427</v>
      </c>
      <c r="D439" s="2" t="s">
        <v>333</v>
      </c>
      <c r="E439" s="2" t="s">
        <v>334</v>
      </c>
      <c r="F439" s="2" t="s">
        <v>46</v>
      </c>
      <c r="G439" s="2" t="s">
        <v>1428</v>
      </c>
      <c r="H439" s="2"/>
      <c r="I439" s="2"/>
    </row>
    <row r="440" spans="1:9" x14ac:dyDescent="0.35">
      <c r="A440" s="2" t="s">
        <v>1407</v>
      </c>
      <c r="B440" s="2" t="s">
        <v>62</v>
      </c>
      <c r="C440" s="2" t="s">
        <v>1427</v>
      </c>
      <c r="D440" s="2" t="s">
        <v>1297</v>
      </c>
      <c r="E440" s="2" t="s">
        <v>533</v>
      </c>
      <c r="F440" s="2" t="s">
        <v>46</v>
      </c>
      <c r="G440" s="2" t="s">
        <v>1428</v>
      </c>
      <c r="H440" s="2"/>
      <c r="I440" s="2"/>
    </row>
    <row r="441" spans="1:9" x14ac:dyDescent="0.35">
      <c r="A441" s="2" t="s">
        <v>1407</v>
      </c>
      <c r="B441" s="2" t="s">
        <v>62</v>
      </c>
      <c r="C441" s="2" t="s">
        <v>1427</v>
      </c>
      <c r="D441" s="2" t="s">
        <v>335</v>
      </c>
      <c r="E441" s="2" t="s">
        <v>336</v>
      </c>
      <c r="F441" s="2" t="s">
        <v>46</v>
      </c>
      <c r="G441" s="2" t="s">
        <v>1428</v>
      </c>
      <c r="H441" s="2"/>
      <c r="I441" s="2"/>
    </row>
    <row r="442" spans="1:9" x14ac:dyDescent="0.35">
      <c r="A442" s="2" t="s">
        <v>1407</v>
      </c>
      <c r="B442" s="2" t="s">
        <v>62</v>
      </c>
      <c r="C442" s="2" t="s">
        <v>1427</v>
      </c>
      <c r="D442" s="2" t="s">
        <v>337</v>
      </c>
      <c r="E442" s="2" t="s">
        <v>338</v>
      </c>
      <c r="F442" s="2" t="s">
        <v>46</v>
      </c>
      <c r="G442" s="2" t="s">
        <v>1428</v>
      </c>
      <c r="H442" s="2"/>
      <c r="I442" s="2"/>
    </row>
    <row r="443" spans="1:9" x14ac:dyDescent="0.35">
      <c r="A443" s="2" t="s">
        <v>1407</v>
      </c>
      <c r="B443" s="2" t="s">
        <v>62</v>
      </c>
      <c r="C443" s="2" t="s">
        <v>1427</v>
      </c>
      <c r="D443" s="2" t="s">
        <v>339</v>
      </c>
      <c r="E443" s="2" t="s">
        <v>340</v>
      </c>
      <c r="F443" s="2" t="s">
        <v>46</v>
      </c>
      <c r="G443" s="2" t="s">
        <v>1428</v>
      </c>
      <c r="H443" s="2"/>
      <c r="I443" s="2"/>
    </row>
    <row r="444" spans="1:9" x14ac:dyDescent="0.35">
      <c r="A444" s="2" t="s">
        <v>1407</v>
      </c>
      <c r="B444" s="2" t="s">
        <v>62</v>
      </c>
      <c r="C444" s="2" t="s">
        <v>1427</v>
      </c>
      <c r="D444" s="2" t="s">
        <v>341</v>
      </c>
      <c r="E444" s="2" t="s">
        <v>342</v>
      </c>
      <c r="F444" s="2" t="s">
        <v>46</v>
      </c>
      <c r="G444" s="2" t="s">
        <v>1428</v>
      </c>
      <c r="H444" s="2"/>
      <c r="I444" s="2"/>
    </row>
    <row r="445" spans="1:9" x14ac:dyDescent="0.35">
      <c r="A445" s="2" t="s">
        <v>1407</v>
      </c>
      <c r="B445" s="2" t="s">
        <v>62</v>
      </c>
      <c r="C445" s="2" t="s">
        <v>1427</v>
      </c>
      <c r="D445" s="2" t="s">
        <v>343</v>
      </c>
      <c r="E445" s="2" t="s">
        <v>344</v>
      </c>
      <c r="F445" s="2" t="s">
        <v>46</v>
      </c>
      <c r="G445" s="2" t="s">
        <v>1428</v>
      </c>
      <c r="H445" s="2"/>
      <c r="I445" s="2"/>
    </row>
    <row r="446" spans="1:9" x14ac:dyDescent="0.35">
      <c r="A446" s="2" t="s">
        <v>1407</v>
      </c>
      <c r="B446" s="2" t="s">
        <v>62</v>
      </c>
      <c r="C446" s="2" t="s">
        <v>1427</v>
      </c>
      <c r="D446" s="2" t="s">
        <v>345</v>
      </c>
      <c r="E446" s="2" t="s">
        <v>346</v>
      </c>
      <c r="F446" s="2" t="s">
        <v>46</v>
      </c>
      <c r="G446" s="2" t="s">
        <v>1428</v>
      </c>
      <c r="H446" s="2"/>
      <c r="I446" s="2"/>
    </row>
    <row r="447" spans="1:9" x14ac:dyDescent="0.35">
      <c r="A447" s="2" t="s">
        <v>1407</v>
      </c>
      <c r="B447" s="2" t="s">
        <v>62</v>
      </c>
      <c r="C447" s="2" t="s">
        <v>1429</v>
      </c>
      <c r="D447" s="2" t="s">
        <v>319</v>
      </c>
      <c r="E447" s="2" t="s">
        <v>320</v>
      </c>
      <c r="F447" s="2"/>
      <c r="G447" s="2"/>
      <c r="H447" s="2"/>
      <c r="I447" s="2"/>
    </row>
    <row r="448" spans="1:9" x14ac:dyDescent="0.35">
      <c r="A448" s="2" t="s">
        <v>1407</v>
      </c>
      <c r="B448" s="2" t="s">
        <v>62</v>
      </c>
      <c r="C448" s="2" t="s">
        <v>1429</v>
      </c>
      <c r="D448" s="2" t="s">
        <v>321</v>
      </c>
      <c r="E448" s="2" t="s">
        <v>321</v>
      </c>
      <c r="F448" s="2"/>
      <c r="G448" s="2"/>
      <c r="H448" s="2"/>
      <c r="I448" s="2"/>
    </row>
    <row r="449" spans="1:9" x14ac:dyDescent="0.35">
      <c r="A449" s="2" t="s">
        <v>1407</v>
      </c>
      <c r="B449" s="2" t="s">
        <v>62</v>
      </c>
      <c r="C449" s="2" t="s">
        <v>1429</v>
      </c>
      <c r="D449" s="2" t="s">
        <v>322</v>
      </c>
      <c r="E449" s="2" t="s">
        <v>246</v>
      </c>
      <c r="F449" s="2"/>
      <c r="G449" s="2"/>
      <c r="H449" s="2"/>
      <c r="I449" s="2"/>
    </row>
    <row r="450" spans="1:9" x14ac:dyDescent="0.35">
      <c r="A450" s="2" t="s">
        <v>1407</v>
      </c>
      <c r="B450" s="2" t="s">
        <v>62</v>
      </c>
      <c r="C450" s="2" t="s">
        <v>1429</v>
      </c>
      <c r="D450" s="2" t="s">
        <v>323</v>
      </c>
      <c r="E450" s="2" t="s">
        <v>246</v>
      </c>
      <c r="F450" s="2"/>
      <c r="G450" s="2"/>
      <c r="H450" s="2"/>
      <c r="I450" s="2"/>
    </row>
    <row r="451" spans="1:9" x14ac:dyDescent="0.35">
      <c r="A451" s="2" t="s">
        <v>1407</v>
      </c>
      <c r="B451" s="2" t="s">
        <v>62</v>
      </c>
      <c r="C451" s="2" t="s">
        <v>1429</v>
      </c>
      <c r="D451" s="2" t="s">
        <v>324</v>
      </c>
      <c r="E451" s="2" t="s">
        <v>246</v>
      </c>
      <c r="F451" s="2"/>
      <c r="G451" s="2"/>
      <c r="H451" s="2"/>
      <c r="I451" s="2"/>
    </row>
    <row r="452" spans="1:9" x14ac:dyDescent="0.35">
      <c r="A452" s="2" t="s">
        <v>1407</v>
      </c>
      <c r="B452" s="2" t="s">
        <v>62</v>
      </c>
      <c r="C452" s="2" t="s">
        <v>1429</v>
      </c>
      <c r="D452" s="2" t="s">
        <v>325</v>
      </c>
      <c r="E452" s="2" t="s">
        <v>326</v>
      </c>
      <c r="F452" s="2"/>
      <c r="G452" s="2"/>
      <c r="H452" s="2"/>
      <c r="I452" s="2"/>
    </row>
    <row r="453" spans="1:9" x14ac:dyDescent="0.35">
      <c r="A453" s="2" t="s">
        <v>1407</v>
      </c>
      <c r="B453" s="2" t="s">
        <v>62</v>
      </c>
      <c r="C453" s="2" t="s">
        <v>1429</v>
      </c>
      <c r="D453" s="2" t="s">
        <v>327</v>
      </c>
      <c r="E453" s="2" t="s">
        <v>328</v>
      </c>
      <c r="F453" s="2"/>
      <c r="G453" s="2"/>
      <c r="H453" s="2"/>
      <c r="I453" s="2"/>
    </row>
    <row r="454" spans="1:9" x14ac:dyDescent="0.35">
      <c r="A454" s="2" t="s">
        <v>1407</v>
      </c>
      <c r="B454" s="2" t="s">
        <v>62</v>
      </c>
      <c r="C454" s="2" t="s">
        <v>1429</v>
      </c>
      <c r="D454" s="2" t="s">
        <v>329</v>
      </c>
      <c r="E454" s="2" t="s">
        <v>330</v>
      </c>
      <c r="F454" s="2"/>
      <c r="G454" s="2"/>
      <c r="H454" s="2"/>
      <c r="I454" s="2"/>
    </row>
    <row r="455" spans="1:9" x14ac:dyDescent="0.35">
      <c r="A455" s="2" t="s">
        <v>1407</v>
      </c>
      <c r="B455" s="2" t="s">
        <v>62</v>
      </c>
      <c r="C455" s="2" t="s">
        <v>1429</v>
      </c>
      <c r="D455" s="2" t="s">
        <v>331</v>
      </c>
      <c r="E455" s="2" t="s">
        <v>332</v>
      </c>
      <c r="F455" s="2"/>
      <c r="G455" s="2"/>
      <c r="H455" s="2"/>
      <c r="I455" s="2"/>
    </row>
    <row r="456" spans="1:9" x14ac:dyDescent="0.35">
      <c r="A456" s="2" t="s">
        <v>1407</v>
      </c>
      <c r="B456" s="2" t="s">
        <v>62</v>
      </c>
      <c r="C456" s="2" t="s">
        <v>1429</v>
      </c>
      <c r="D456" s="2" t="s">
        <v>333</v>
      </c>
      <c r="E456" s="2" t="s">
        <v>334</v>
      </c>
      <c r="F456" s="2"/>
      <c r="G456" s="2"/>
      <c r="H456" s="2"/>
      <c r="I456" s="2"/>
    </row>
    <row r="457" spans="1:9" x14ac:dyDescent="0.35">
      <c r="A457" s="2" t="s">
        <v>1407</v>
      </c>
      <c r="B457" s="2" t="s">
        <v>62</v>
      </c>
      <c r="C457" s="2" t="s">
        <v>1429</v>
      </c>
      <c r="D457" s="2" t="s">
        <v>335</v>
      </c>
      <c r="E457" s="2" t="s">
        <v>336</v>
      </c>
      <c r="F457" s="2"/>
      <c r="G457" s="2"/>
      <c r="H457" s="2"/>
      <c r="I457" s="2"/>
    </row>
    <row r="458" spans="1:9" x14ac:dyDescent="0.35">
      <c r="A458" s="2" t="s">
        <v>1407</v>
      </c>
      <c r="B458" s="2" t="s">
        <v>62</v>
      </c>
      <c r="C458" s="2" t="s">
        <v>1429</v>
      </c>
      <c r="D458" s="2" t="s">
        <v>337</v>
      </c>
      <c r="E458" s="2" t="s">
        <v>338</v>
      </c>
      <c r="F458" s="2"/>
      <c r="G458" s="2"/>
      <c r="H458" s="2"/>
      <c r="I458" s="2"/>
    </row>
    <row r="459" spans="1:9" x14ac:dyDescent="0.35">
      <c r="A459" s="2" t="s">
        <v>1407</v>
      </c>
      <c r="B459" s="2" t="s">
        <v>62</v>
      </c>
      <c r="C459" s="2" t="s">
        <v>1429</v>
      </c>
      <c r="D459" s="2" t="s">
        <v>339</v>
      </c>
      <c r="E459" s="2" t="s">
        <v>340</v>
      </c>
      <c r="F459" s="2"/>
      <c r="G459" s="2"/>
      <c r="H459" s="2"/>
      <c r="I459" s="2"/>
    </row>
    <row r="460" spans="1:9" x14ac:dyDescent="0.35">
      <c r="A460" s="2" t="s">
        <v>1407</v>
      </c>
      <c r="B460" s="2" t="s">
        <v>62</v>
      </c>
      <c r="C460" s="2" t="s">
        <v>1429</v>
      </c>
      <c r="D460" s="2" t="s">
        <v>341</v>
      </c>
      <c r="E460" s="2" t="s">
        <v>342</v>
      </c>
      <c r="F460" s="2"/>
      <c r="G460" s="2"/>
      <c r="H460" s="2"/>
      <c r="I460" s="2"/>
    </row>
    <row r="461" spans="1:9" x14ac:dyDescent="0.35">
      <c r="A461" s="2" t="s">
        <v>1407</v>
      </c>
      <c r="B461" s="2" t="s">
        <v>62</v>
      </c>
      <c r="C461" s="2" t="s">
        <v>1429</v>
      </c>
      <c r="D461" s="2" t="s">
        <v>343</v>
      </c>
      <c r="E461" s="2" t="s">
        <v>344</v>
      </c>
      <c r="F461" s="2"/>
      <c r="G461" s="2"/>
      <c r="H461" s="2"/>
      <c r="I461" s="2"/>
    </row>
    <row r="462" spans="1:9" x14ac:dyDescent="0.35">
      <c r="A462" s="2" t="s">
        <v>1407</v>
      </c>
      <c r="B462" s="2" t="s">
        <v>62</v>
      </c>
      <c r="C462" s="2" t="s">
        <v>1429</v>
      </c>
      <c r="D462" s="2" t="s">
        <v>345</v>
      </c>
      <c r="E462" s="2" t="s">
        <v>346</v>
      </c>
      <c r="F462" s="2"/>
      <c r="G462" s="2"/>
      <c r="H462" s="2"/>
      <c r="I462" s="2"/>
    </row>
    <row r="463" spans="1:9" x14ac:dyDescent="0.35">
      <c r="A463" s="2" t="s">
        <v>1407</v>
      </c>
      <c r="B463" s="2" t="s">
        <v>12</v>
      </c>
      <c r="C463" s="2" t="s">
        <v>1430</v>
      </c>
      <c r="D463" s="2" t="s">
        <v>74</v>
      </c>
      <c r="E463" s="2" t="s">
        <v>75</v>
      </c>
      <c r="F463" s="2" t="s">
        <v>20</v>
      </c>
      <c r="G463" s="2" t="s">
        <v>1431</v>
      </c>
      <c r="H463" s="2"/>
      <c r="I463" s="2"/>
    </row>
    <row r="464" spans="1:9" x14ac:dyDescent="0.35">
      <c r="A464" s="2" t="s">
        <v>1407</v>
      </c>
      <c r="B464" s="2" t="s">
        <v>12</v>
      </c>
      <c r="C464" s="2" t="s">
        <v>1430</v>
      </c>
      <c r="D464" s="2" t="s">
        <v>98</v>
      </c>
      <c r="E464" s="2" t="s">
        <v>98</v>
      </c>
      <c r="F464" s="2"/>
      <c r="G464" s="2"/>
      <c r="H464" s="2"/>
      <c r="I464" s="2"/>
    </row>
    <row r="465" spans="1:9" x14ac:dyDescent="0.35">
      <c r="A465" s="2" t="s">
        <v>1407</v>
      </c>
      <c r="B465" s="2" t="s">
        <v>62</v>
      </c>
      <c r="C465" s="2" t="s">
        <v>1432</v>
      </c>
      <c r="D465" s="2" t="s">
        <v>319</v>
      </c>
      <c r="E465" s="2" t="s">
        <v>320</v>
      </c>
      <c r="F465" s="2"/>
      <c r="G465" s="2"/>
      <c r="H465" s="2"/>
      <c r="I465" s="2"/>
    </row>
    <row r="466" spans="1:9" x14ac:dyDescent="0.35">
      <c r="A466" s="2" t="s">
        <v>1407</v>
      </c>
      <c r="B466" s="2" t="s">
        <v>62</v>
      </c>
      <c r="C466" s="2" t="s">
        <v>1432</v>
      </c>
      <c r="D466" s="2" t="s">
        <v>321</v>
      </c>
      <c r="E466" s="2" t="s">
        <v>321</v>
      </c>
      <c r="F466" s="2"/>
      <c r="G466" s="2"/>
      <c r="H466" s="2"/>
      <c r="I466" s="2"/>
    </row>
    <row r="467" spans="1:9" x14ac:dyDescent="0.35">
      <c r="A467" s="2" t="s">
        <v>1407</v>
      </c>
      <c r="B467" s="2" t="s">
        <v>62</v>
      </c>
      <c r="C467" s="2" t="s">
        <v>1432</v>
      </c>
      <c r="D467" s="2" t="s">
        <v>322</v>
      </c>
      <c r="E467" s="2" t="s">
        <v>246</v>
      </c>
      <c r="F467" s="2"/>
      <c r="G467" s="2"/>
      <c r="H467" s="2"/>
      <c r="I467" s="2"/>
    </row>
    <row r="468" spans="1:9" x14ac:dyDescent="0.35">
      <c r="A468" s="2" t="s">
        <v>1407</v>
      </c>
      <c r="B468" s="2" t="s">
        <v>62</v>
      </c>
      <c r="C468" s="2" t="s">
        <v>1432</v>
      </c>
      <c r="D468" s="2" t="s">
        <v>323</v>
      </c>
      <c r="E468" s="2" t="s">
        <v>246</v>
      </c>
      <c r="F468" s="2"/>
      <c r="G468" s="2"/>
      <c r="H468" s="2"/>
      <c r="I468" s="2"/>
    </row>
    <row r="469" spans="1:9" x14ac:dyDescent="0.35">
      <c r="A469" s="2" t="s">
        <v>1407</v>
      </c>
      <c r="B469" s="2" t="s">
        <v>62</v>
      </c>
      <c r="C469" s="2" t="s">
        <v>1432</v>
      </c>
      <c r="D469" s="2" t="s">
        <v>324</v>
      </c>
      <c r="E469" s="2" t="s">
        <v>246</v>
      </c>
      <c r="F469" s="2"/>
      <c r="G469" s="2"/>
      <c r="H469" s="2"/>
      <c r="I469" s="2"/>
    </row>
    <row r="470" spans="1:9" x14ac:dyDescent="0.35">
      <c r="A470" s="2" t="s">
        <v>1407</v>
      </c>
      <c r="B470" s="2" t="s">
        <v>62</v>
      </c>
      <c r="C470" s="2" t="s">
        <v>1432</v>
      </c>
      <c r="D470" s="2" t="s">
        <v>325</v>
      </c>
      <c r="E470" s="2" t="s">
        <v>326</v>
      </c>
      <c r="F470" s="2"/>
      <c r="G470" s="2"/>
      <c r="H470" s="2"/>
      <c r="I470" s="2"/>
    </row>
    <row r="471" spans="1:9" x14ac:dyDescent="0.35">
      <c r="A471" s="2" t="s">
        <v>1407</v>
      </c>
      <c r="B471" s="2" t="s">
        <v>62</v>
      </c>
      <c r="C471" s="2" t="s">
        <v>1432</v>
      </c>
      <c r="D471" s="2" t="s">
        <v>327</v>
      </c>
      <c r="E471" s="2" t="s">
        <v>328</v>
      </c>
      <c r="F471" s="2"/>
      <c r="G471" s="2"/>
      <c r="H471" s="2"/>
      <c r="I471" s="2"/>
    </row>
    <row r="472" spans="1:9" x14ac:dyDescent="0.35">
      <c r="A472" s="2" t="s">
        <v>1407</v>
      </c>
      <c r="B472" s="2" t="s">
        <v>62</v>
      </c>
      <c r="C472" s="2" t="s">
        <v>1432</v>
      </c>
      <c r="D472" s="2" t="s">
        <v>329</v>
      </c>
      <c r="E472" s="2" t="s">
        <v>330</v>
      </c>
      <c r="F472" s="2"/>
      <c r="G472" s="2"/>
      <c r="H472" s="2"/>
      <c r="I472" s="2"/>
    </row>
    <row r="473" spans="1:9" x14ac:dyDescent="0.35">
      <c r="A473" s="2" t="s">
        <v>1407</v>
      </c>
      <c r="B473" s="2" t="s">
        <v>62</v>
      </c>
      <c r="C473" s="2" t="s">
        <v>1432</v>
      </c>
      <c r="D473" s="2" t="s">
        <v>331</v>
      </c>
      <c r="E473" s="2" t="s">
        <v>332</v>
      </c>
      <c r="F473" s="2"/>
      <c r="G473" s="2"/>
      <c r="H473" s="2"/>
      <c r="I473" s="2"/>
    </row>
    <row r="474" spans="1:9" x14ac:dyDescent="0.35">
      <c r="A474" s="2" t="s">
        <v>1407</v>
      </c>
      <c r="B474" s="2" t="s">
        <v>62</v>
      </c>
      <c r="C474" s="2" t="s">
        <v>1432</v>
      </c>
      <c r="D474" s="2" t="s">
        <v>333</v>
      </c>
      <c r="E474" s="2" t="s">
        <v>334</v>
      </c>
      <c r="F474" s="2"/>
      <c r="G474" s="2"/>
      <c r="H474" s="2"/>
      <c r="I474" s="2"/>
    </row>
    <row r="475" spans="1:9" x14ac:dyDescent="0.35">
      <c r="A475" s="2" t="s">
        <v>1407</v>
      </c>
      <c r="B475" s="2" t="s">
        <v>62</v>
      </c>
      <c r="C475" s="2" t="s">
        <v>1432</v>
      </c>
      <c r="D475" s="2" t="s">
        <v>1297</v>
      </c>
      <c r="E475" s="2" t="s">
        <v>533</v>
      </c>
      <c r="F475" s="2"/>
      <c r="G475" s="2"/>
      <c r="H475" s="2"/>
      <c r="I475" s="2"/>
    </row>
    <row r="476" spans="1:9" x14ac:dyDescent="0.35">
      <c r="A476" s="2" t="s">
        <v>1407</v>
      </c>
      <c r="B476" s="2" t="s">
        <v>62</v>
      </c>
      <c r="C476" s="2" t="s">
        <v>1432</v>
      </c>
      <c r="D476" s="2" t="s">
        <v>335</v>
      </c>
      <c r="E476" s="2" t="s">
        <v>336</v>
      </c>
      <c r="F476" s="2"/>
      <c r="G476" s="2"/>
      <c r="H476" s="2"/>
      <c r="I476" s="2"/>
    </row>
    <row r="477" spans="1:9" x14ac:dyDescent="0.35">
      <c r="A477" s="2" t="s">
        <v>1407</v>
      </c>
      <c r="B477" s="2" t="s">
        <v>62</v>
      </c>
      <c r="C477" s="2" t="s">
        <v>1432</v>
      </c>
      <c r="D477" s="2" t="s">
        <v>337</v>
      </c>
      <c r="E477" s="2" t="s">
        <v>338</v>
      </c>
      <c r="F477" s="2"/>
      <c r="G477" s="2"/>
      <c r="H477" s="2"/>
      <c r="I477" s="2"/>
    </row>
    <row r="478" spans="1:9" x14ac:dyDescent="0.35">
      <c r="A478" s="2" t="s">
        <v>1407</v>
      </c>
      <c r="B478" s="2" t="s">
        <v>62</v>
      </c>
      <c r="C478" s="2" t="s">
        <v>1432</v>
      </c>
      <c r="D478" s="2" t="s">
        <v>339</v>
      </c>
      <c r="E478" s="2" t="s">
        <v>340</v>
      </c>
      <c r="F478" s="2"/>
      <c r="G478" s="2"/>
      <c r="H478" s="2"/>
      <c r="I478" s="2"/>
    </row>
    <row r="479" spans="1:9" x14ac:dyDescent="0.35">
      <c r="A479" s="2" t="s">
        <v>1407</v>
      </c>
      <c r="B479" s="2" t="s">
        <v>62</v>
      </c>
      <c r="C479" s="2" t="s">
        <v>1432</v>
      </c>
      <c r="D479" s="2" t="s">
        <v>341</v>
      </c>
      <c r="E479" s="2" t="s">
        <v>342</v>
      </c>
      <c r="F479" s="2"/>
      <c r="G479" s="2"/>
      <c r="H479" s="2"/>
      <c r="I479" s="2"/>
    </row>
    <row r="480" spans="1:9" x14ac:dyDescent="0.35">
      <c r="A480" s="2" t="s">
        <v>1407</v>
      </c>
      <c r="B480" s="2" t="s">
        <v>62</v>
      </c>
      <c r="C480" s="2" t="s">
        <v>1432</v>
      </c>
      <c r="D480" s="2" t="s">
        <v>343</v>
      </c>
      <c r="E480" s="2" t="s">
        <v>344</v>
      </c>
      <c r="F480" s="2"/>
      <c r="G480" s="2"/>
      <c r="H480" s="2"/>
      <c r="I480" s="2"/>
    </row>
    <row r="481" spans="1:9" x14ac:dyDescent="0.35">
      <c r="A481" s="2" t="s">
        <v>1407</v>
      </c>
      <c r="B481" s="2" t="s">
        <v>62</v>
      </c>
      <c r="C481" s="2" t="s">
        <v>1432</v>
      </c>
      <c r="D481" s="2" t="s">
        <v>345</v>
      </c>
      <c r="E481" s="2" t="s">
        <v>346</v>
      </c>
      <c r="F481" s="2"/>
      <c r="G481" s="2"/>
      <c r="H481" s="2"/>
      <c r="I481" s="2"/>
    </row>
    <row r="482" spans="1:9" x14ac:dyDescent="0.35">
      <c r="A482" s="2" t="s">
        <v>1407</v>
      </c>
      <c r="B482" s="2" t="s">
        <v>62</v>
      </c>
      <c r="C482" s="2" t="s">
        <v>1433</v>
      </c>
      <c r="D482" s="2" t="s">
        <v>96</v>
      </c>
      <c r="E482" s="2" t="s">
        <v>83</v>
      </c>
      <c r="F482" s="2"/>
      <c r="G482" s="2"/>
      <c r="H482" s="2"/>
      <c r="I482" s="2"/>
    </row>
    <row r="483" spans="1:9" x14ac:dyDescent="0.35">
      <c r="A483" s="2" t="s">
        <v>1407</v>
      </c>
      <c r="B483" s="2" t="s">
        <v>62</v>
      </c>
      <c r="C483" s="2" t="s">
        <v>1433</v>
      </c>
      <c r="D483" s="2" t="s">
        <v>319</v>
      </c>
      <c r="E483" s="2" t="s">
        <v>320</v>
      </c>
      <c r="F483" s="2"/>
      <c r="G483" s="2"/>
      <c r="H483" s="2"/>
      <c r="I483" s="2"/>
    </row>
    <row r="484" spans="1:9" x14ac:dyDescent="0.35">
      <c r="A484" s="2" t="s">
        <v>1407</v>
      </c>
      <c r="B484" s="2" t="s">
        <v>62</v>
      </c>
      <c r="C484" s="2" t="s">
        <v>1433</v>
      </c>
      <c r="D484" s="2" t="s">
        <v>321</v>
      </c>
      <c r="E484" s="2" t="s">
        <v>321</v>
      </c>
      <c r="F484" s="2"/>
      <c r="G484" s="2"/>
      <c r="H484" s="2"/>
      <c r="I484" s="2"/>
    </row>
    <row r="485" spans="1:9" x14ac:dyDescent="0.35">
      <c r="A485" s="2" t="s">
        <v>1407</v>
      </c>
      <c r="B485" s="2" t="s">
        <v>62</v>
      </c>
      <c r="C485" s="2" t="s">
        <v>1433</v>
      </c>
      <c r="D485" s="2" t="s">
        <v>322</v>
      </c>
      <c r="E485" s="2" t="s">
        <v>246</v>
      </c>
      <c r="F485" s="2"/>
      <c r="G485" s="2"/>
      <c r="H485" s="2"/>
      <c r="I485" s="2"/>
    </row>
    <row r="486" spans="1:9" x14ac:dyDescent="0.35">
      <c r="A486" s="2" t="s">
        <v>1407</v>
      </c>
      <c r="B486" s="2" t="s">
        <v>62</v>
      </c>
      <c r="C486" s="2" t="s">
        <v>1433</v>
      </c>
      <c r="D486" s="2" t="s">
        <v>323</v>
      </c>
      <c r="E486" s="2" t="s">
        <v>246</v>
      </c>
      <c r="F486" s="2"/>
      <c r="G486" s="2"/>
      <c r="H486" s="2"/>
      <c r="I486" s="2"/>
    </row>
    <row r="487" spans="1:9" x14ac:dyDescent="0.35">
      <c r="A487" s="2" t="s">
        <v>1407</v>
      </c>
      <c r="B487" s="2" t="s">
        <v>62</v>
      </c>
      <c r="C487" s="2" t="s">
        <v>1433</v>
      </c>
      <c r="D487" s="2" t="s">
        <v>324</v>
      </c>
      <c r="E487" s="2" t="s">
        <v>246</v>
      </c>
      <c r="F487" s="2"/>
      <c r="G487" s="2"/>
      <c r="H487" s="2"/>
      <c r="I487" s="2"/>
    </row>
    <row r="488" spans="1:9" x14ac:dyDescent="0.35">
      <c r="A488" s="2" t="s">
        <v>1407</v>
      </c>
      <c r="B488" s="2" t="s">
        <v>62</v>
      </c>
      <c r="C488" s="2" t="s">
        <v>1433</v>
      </c>
      <c r="D488" s="2" t="s">
        <v>325</v>
      </c>
      <c r="E488" s="2" t="s">
        <v>1413</v>
      </c>
      <c r="F488" s="2"/>
      <c r="G488" s="2"/>
      <c r="H488" s="2"/>
      <c r="I488" s="2"/>
    </row>
    <row r="489" spans="1:9" x14ac:dyDescent="0.35">
      <c r="A489" s="2" t="s">
        <v>1407</v>
      </c>
      <c r="B489" s="2" t="s">
        <v>62</v>
      </c>
      <c r="C489" s="2" t="s">
        <v>1433</v>
      </c>
      <c r="D489" s="2" t="s">
        <v>327</v>
      </c>
      <c r="E489" s="2" t="s">
        <v>328</v>
      </c>
      <c r="F489" s="2"/>
      <c r="G489" s="2"/>
      <c r="H489" s="2"/>
      <c r="I489" s="2"/>
    </row>
    <row r="490" spans="1:9" x14ac:dyDescent="0.35">
      <c r="A490" s="2" t="s">
        <v>1407</v>
      </c>
      <c r="B490" s="2" t="s">
        <v>62</v>
      </c>
      <c r="C490" s="2" t="s">
        <v>1433</v>
      </c>
      <c r="D490" s="2" t="s">
        <v>329</v>
      </c>
      <c r="E490" s="2" t="s">
        <v>330</v>
      </c>
      <c r="F490" s="2"/>
      <c r="G490" s="2"/>
      <c r="H490" s="2"/>
      <c r="I490" s="2"/>
    </row>
    <row r="491" spans="1:9" x14ac:dyDescent="0.35">
      <c r="A491" s="2" t="s">
        <v>1407</v>
      </c>
      <c r="B491" s="2" t="s">
        <v>62</v>
      </c>
      <c r="C491" s="2" t="s">
        <v>1433</v>
      </c>
      <c r="D491" s="2" t="s">
        <v>331</v>
      </c>
      <c r="E491" s="2" t="s">
        <v>332</v>
      </c>
      <c r="F491" s="2"/>
      <c r="G491" s="2"/>
      <c r="H491" s="2"/>
      <c r="I491" s="2"/>
    </row>
    <row r="492" spans="1:9" x14ac:dyDescent="0.35">
      <c r="A492" s="2" t="s">
        <v>1407</v>
      </c>
      <c r="B492" s="2" t="s">
        <v>62</v>
      </c>
      <c r="C492" s="2" t="s">
        <v>1433</v>
      </c>
      <c r="D492" s="2" t="s">
        <v>333</v>
      </c>
      <c r="E492" s="2" t="s">
        <v>334</v>
      </c>
      <c r="F492" s="2"/>
      <c r="G492" s="2"/>
      <c r="H492" s="2"/>
      <c r="I492" s="2"/>
    </row>
    <row r="493" spans="1:9" x14ac:dyDescent="0.35">
      <c r="A493" s="2" t="s">
        <v>1407</v>
      </c>
      <c r="B493" s="2" t="s">
        <v>62</v>
      </c>
      <c r="C493" s="2" t="s">
        <v>1433</v>
      </c>
      <c r="D493" s="2" t="s">
        <v>1297</v>
      </c>
      <c r="E493" s="2" t="s">
        <v>533</v>
      </c>
      <c r="F493" s="2"/>
      <c r="G493" s="2"/>
      <c r="H493" s="2"/>
      <c r="I493" s="2"/>
    </row>
    <row r="494" spans="1:9" x14ac:dyDescent="0.35">
      <c r="A494" s="2" t="s">
        <v>1407</v>
      </c>
      <c r="B494" s="2" t="s">
        <v>62</v>
      </c>
      <c r="C494" s="2" t="s">
        <v>1433</v>
      </c>
      <c r="D494" s="2" t="s">
        <v>335</v>
      </c>
      <c r="E494" s="2" t="s">
        <v>336</v>
      </c>
      <c r="F494" s="2"/>
      <c r="G494" s="2"/>
      <c r="H494" s="2"/>
      <c r="I494" s="2"/>
    </row>
    <row r="495" spans="1:9" x14ac:dyDescent="0.35">
      <c r="A495" s="2" t="s">
        <v>1407</v>
      </c>
      <c r="B495" s="2" t="s">
        <v>62</v>
      </c>
      <c r="C495" s="2" t="s">
        <v>1433</v>
      </c>
      <c r="D495" s="2" t="s">
        <v>337</v>
      </c>
      <c r="E495" s="2" t="s">
        <v>338</v>
      </c>
      <c r="F495" s="2"/>
      <c r="G495" s="2"/>
      <c r="H495" s="2"/>
      <c r="I495" s="2"/>
    </row>
    <row r="496" spans="1:9" x14ac:dyDescent="0.35">
      <c r="A496" s="2" t="s">
        <v>1407</v>
      </c>
      <c r="B496" s="2" t="s">
        <v>62</v>
      </c>
      <c r="C496" s="2" t="s">
        <v>1433</v>
      </c>
      <c r="D496" s="2" t="s">
        <v>339</v>
      </c>
      <c r="E496" s="2" t="s">
        <v>340</v>
      </c>
      <c r="F496" s="2"/>
      <c r="G496" s="2"/>
      <c r="H496" s="2"/>
      <c r="I496" s="2"/>
    </row>
    <row r="497" spans="1:9" x14ac:dyDescent="0.35">
      <c r="A497" s="2" t="s">
        <v>1407</v>
      </c>
      <c r="B497" s="2" t="s">
        <v>62</v>
      </c>
      <c r="C497" s="2" t="s">
        <v>1433</v>
      </c>
      <c r="D497" s="2" t="s">
        <v>341</v>
      </c>
      <c r="E497" s="2" t="s">
        <v>342</v>
      </c>
      <c r="F497" s="2"/>
      <c r="G497" s="2"/>
      <c r="H497" s="2"/>
      <c r="I497" s="2"/>
    </row>
    <row r="498" spans="1:9" x14ac:dyDescent="0.35">
      <c r="A498" s="2" t="s">
        <v>1407</v>
      </c>
      <c r="B498" s="2" t="s">
        <v>62</v>
      </c>
      <c r="C498" s="2" t="s">
        <v>1433</v>
      </c>
      <c r="D498" s="2" t="s">
        <v>343</v>
      </c>
      <c r="E498" s="2" t="s">
        <v>344</v>
      </c>
      <c r="F498" s="2"/>
      <c r="G498" s="2"/>
      <c r="H498" s="2"/>
      <c r="I498" s="2"/>
    </row>
    <row r="499" spans="1:9" x14ac:dyDescent="0.35">
      <c r="A499" s="2" t="s">
        <v>1407</v>
      </c>
      <c r="B499" s="2" t="s">
        <v>62</v>
      </c>
      <c r="C499" s="2" t="s">
        <v>1433</v>
      </c>
      <c r="D499" s="2" t="s">
        <v>345</v>
      </c>
      <c r="E499" s="2" t="s">
        <v>346</v>
      </c>
      <c r="F499" s="2"/>
      <c r="G499" s="2"/>
      <c r="H499" s="2"/>
      <c r="I499" s="2"/>
    </row>
    <row r="500" spans="1:9" x14ac:dyDescent="0.35">
      <c r="A500" s="2" t="s">
        <v>1407</v>
      </c>
      <c r="B500" s="2" t="s">
        <v>62</v>
      </c>
      <c r="C500" s="2" t="s">
        <v>1434</v>
      </c>
      <c r="D500" s="2" t="s">
        <v>96</v>
      </c>
      <c r="E500" s="2" t="s">
        <v>83</v>
      </c>
      <c r="F500" s="2"/>
      <c r="G500" s="2"/>
      <c r="H500" s="2"/>
      <c r="I500" s="2"/>
    </row>
    <row r="501" spans="1:9" x14ac:dyDescent="0.35">
      <c r="A501" s="2" t="s">
        <v>1407</v>
      </c>
      <c r="B501" s="2" t="s">
        <v>62</v>
      </c>
      <c r="C501" s="2" t="s">
        <v>1434</v>
      </c>
      <c r="D501" s="2" t="s">
        <v>319</v>
      </c>
      <c r="E501" s="2" t="s">
        <v>320</v>
      </c>
      <c r="F501" s="2"/>
      <c r="G501" s="2"/>
      <c r="H501" s="2"/>
      <c r="I501" s="2"/>
    </row>
    <row r="502" spans="1:9" x14ac:dyDescent="0.35">
      <c r="A502" s="2" t="s">
        <v>1407</v>
      </c>
      <c r="B502" s="2" t="s">
        <v>62</v>
      </c>
      <c r="C502" s="2" t="s">
        <v>1434</v>
      </c>
      <c r="D502" s="2" t="s">
        <v>321</v>
      </c>
      <c r="E502" s="2" t="s">
        <v>321</v>
      </c>
      <c r="F502" s="2"/>
      <c r="G502" s="2"/>
      <c r="H502" s="2"/>
      <c r="I502" s="2"/>
    </row>
    <row r="503" spans="1:9" x14ac:dyDescent="0.35">
      <c r="A503" s="2" t="s">
        <v>1407</v>
      </c>
      <c r="B503" s="2" t="s">
        <v>62</v>
      </c>
      <c r="C503" s="2" t="s">
        <v>1434</v>
      </c>
      <c r="D503" s="2" t="s">
        <v>322</v>
      </c>
      <c r="E503" s="2" t="s">
        <v>246</v>
      </c>
      <c r="F503" s="2"/>
      <c r="G503" s="2"/>
      <c r="H503" s="2"/>
      <c r="I503" s="2"/>
    </row>
    <row r="504" spans="1:9" x14ac:dyDescent="0.35">
      <c r="A504" s="2" t="s">
        <v>1407</v>
      </c>
      <c r="B504" s="2" t="s">
        <v>62</v>
      </c>
      <c r="C504" s="2" t="s">
        <v>1434</v>
      </c>
      <c r="D504" s="2" t="s">
        <v>323</v>
      </c>
      <c r="E504" s="2" t="s">
        <v>246</v>
      </c>
      <c r="F504" s="2"/>
      <c r="G504" s="2"/>
      <c r="H504" s="2"/>
      <c r="I504" s="2"/>
    </row>
    <row r="505" spans="1:9" x14ac:dyDescent="0.35">
      <c r="A505" s="2" t="s">
        <v>1407</v>
      </c>
      <c r="B505" s="2" t="s">
        <v>62</v>
      </c>
      <c r="C505" s="2" t="s">
        <v>1434</v>
      </c>
      <c r="D505" s="2" t="s">
        <v>324</v>
      </c>
      <c r="E505" s="2" t="s">
        <v>246</v>
      </c>
      <c r="F505" s="2"/>
      <c r="G505" s="2"/>
      <c r="H505" s="2"/>
      <c r="I505" s="2"/>
    </row>
    <row r="506" spans="1:9" x14ac:dyDescent="0.35">
      <c r="A506" s="2" t="s">
        <v>1407</v>
      </c>
      <c r="B506" s="2" t="s">
        <v>62</v>
      </c>
      <c r="C506" s="2" t="s">
        <v>1434</v>
      </c>
      <c r="D506" s="2" t="s">
        <v>325</v>
      </c>
      <c r="E506" s="2" t="s">
        <v>326</v>
      </c>
      <c r="F506" s="2"/>
      <c r="G506" s="2"/>
      <c r="H506" s="2"/>
      <c r="I506" s="2"/>
    </row>
    <row r="507" spans="1:9" x14ac:dyDescent="0.35">
      <c r="A507" s="2" t="s">
        <v>1407</v>
      </c>
      <c r="B507" s="2" t="s">
        <v>62</v>
      </c>
      <c r="C507" s="2" t="s">
        <v>1434</v>
      </c>
      <c r="D507" s="2" t="s">
        <v>327</v>
      </c>
      <c r="E507" s="2" t="s">
        <v>328</v>
      </c>
      <c r="F507" s="2"/>
      <c r="G507" s="2"/>
      <c r="H507" s="2"/>
      <c r="I507" s="2"/>
    </row>
    <row r="508" spans="1:9" x14ac:dyDescent="0.35">
      <c r="A508" s="2" t="s">
        <v>1407</v>
      </c>
      <c r="B508" s="2" t="s">
        <v>62</v>
      </c>
      <c r="C508" s="2" t="s">
        <v>1434</v>
      </c>
      <c r="D508" s="2" t="s">
        <v>329</v>
      </c>
      <c r="E508" s="2" t="s">
        <v>330</v>
      </c>
      <c r="F508" s="2"/>
      <c r="G508" s="2"/>
      <c r="H508" s="2"/>
      <c r="I508" s="2"/>
    </row>
    <row r="509" spans="1:9" x14ac:dyDescent="0.35">
      <c r="A509" s="2" t="s">
        <v>1407</v>
      </c>
      <c r="B509" s="2" t="s">
        <v>62</v>
      </c>
      <c r="C509" s="2" t="s">
        <v>1434</v>
      </c>
      <c r="D509" s="2" t="s">
        <v>331</v>
      </c>
      <c r="E509" s="2" t="s">
        <v>332</v>
      </c>
      <c r="F509" s="2"/>
      <c r="G509" s="2"/>
      <c r="H509" s="2"/>
      <c r="I509" s="2"/>
    </row>
    <row r="510" spans="1:9" x14ac:dyDescent="0.35">
      <c r="A510" s="2" t="s">
        <v>1407</v>
      </c>
      <c r="B510" s="2" t="s">
        <v>62</v>
      </c>
      <c r="C510" s="2" t="s">
        <v>1434</v>
      </c>
      <c r="D510" s="2" t="s">
        <v>333</v>
      </c>
      <c r="E510" s="2" t="s">
        <v>334</v>
      </c>
      <c r="F510" s="2"/>
      <c r="G510" s="2"/>
      <c r="H510" s="2"/>
      <c r="I510" s="2"/>
    </row>
    <row r="511" spans="1:9" x14ac:dyDescent="0.35">
      <c r="A511" s="2" t="s">
        <v>1407</v>
      </c>
      <c r="B511" s="2" t="s">
        <v>62</v>
      </c>
      <c r="C511" s="2" t="s">
        <v>1434</v>
      </c>
      <c r="D511" s="2" t="s">
        <v>1297</v>
      </c>
      <c r="E511" s="2" t="s">
        <v>533</v>
      </c>
      <c r="F511" s="2"/>
      <c r="G511" s="2"/>
      <c r="H511" s="2"/>
      <c r="I511" s="2"/>
    </row>
    <row r="512" spans="1:9" x14ac:dyDescent="0.35">
      <c r="A512" s="2" t="s">
        <v>1407</v>
      </c>
      <c r="B512" s="2" t="s">
        <v>62</v>
      </c>
      <c r="C512" s="2" t="s">
        <v>1434</v>
      </c>
      <c r="D512" s="2" t="s">
        <v>335</v>
      </c>
      <c r="E512" s="2" t="s">
        <v>336</v>
      </c>
      <c r="F512" s="2"/>
      <c r="G512" s="2"/>
      <c r="H512" s="2"/>
      <c r="I512" s="2"/>
    </row>
    <row r="513" spans="1:9" x14ac:dyDescent="0.35">
      <c r="A513" s="2" t="s">
        <v>1407</v>
      </c>
      <c r="B513" s="2" t="s">
        <v>62</v>
      </c>
      <c r="C513" s="2" t="s">
        <v>1434</v>
      </c>
      <c r="D513" s="2" t="s">
        <v>337</v>
      </c>
      <c r="E513" s="2" t="s">
        <v>338</v>
      </c>
      <c r="F513" s="2"/>
      <c r="G513" s="2"/>
      <c r="H513" s="2"/>
      <c r="I513" s="2"/>
    </row>
    <row r="514" spans="1:9" x14ac:dyDescent="0.35">
      <c r="A514" s="2" t="s">
        <v>1407</v>
      </c>
      <c r="B514" s="2" t="s">
        <v>62</v>
      </c>
      <c r="C514" s="2" t="s">
        <v>1434</v>
      </c>
      <c r="D514" s="2" t="s">
        <v>339</v>
      </c>
      <c r="E514" s="2" t="s">
        <v>340</v>
      </c>
      <c r="F514" s="2"/>
      <c r="G514" s="2"/>
      <c r="H514" s="2"/>
      <c r="I514" s="2"/>
    </row>
    <row r="515" spans="1:9" x14ac:dyDescent="0.35">
      <c r="A515" s="2" t="s">
        <v>1407</v>
      </c>
      <c r="B515" s="2" t="s">
        <v>62</v>
      </c>
      <c r="C515" s="2" t="s">
        <v>1434</v>
      </c>
      <c r="D515" s="2" t="s">
        <v>341</v>
      </c>
      <c r="E515" s="2" t="s">
        <v>342</v>
      </c>
      <c r="F515" s="2"/>
      <c r="G515" s="2"/>
      <c r="H515" s="2"/>
      <c r="I515" s="2"/>
    </row>
    <row r="516" spans="1:9" x14ac:dyDescent="0.35">
      <c r="A516" s="2" t="s">
        <v>1407</v>
      </c>
      <c r="B516" s="2" t="s">
        <v>62</v>
      </c>
      <c r="C516" s="2" t="s">
        <v>1434</v>
      </c>
      <c r="D516" s="2" t="s">
        <v>343</v>
      </c>
      <c r="E516" s="2" t="s">
        <v>344</v>
      </c>
      <c r="F516" s="2"/>
      <c r="G516" s="2"/>
      <c r="H516" s="2"/>
      <c r="I516" s="2"/>
    </row>
    <row r="517" spans="1:9" x14ac:dyDescent="0.35">
      <c r="A517" s="2" t="s">
        <v>1407</v>
      </c>
      <c r="B517" s="2" t="s">
        <v>62</v>
      </c>
      <c r="C517" s="2" t="s">
        <v>1434</v>
      </c>
      <c r="D517" s="2" t="s">
        <v>345</v>
      </c>
      <c r="E517" s="2" t="s">
        <v>346</v>
      </c>
      <c r="F517" s="2"/>
      <c r="G517" s="2"/>
      <c r="H517" s="2"/>
      <c r="I517" s="2"/>
    </row>
    <row r="518" spans="1:9" x14ac:dyDescent="0.35">
      <c r="A518" s="2" t="s">
        <v>1407</v>
      </c>
      <c r="B518" s="2" t="s">
        <v>62</v>
      </c>
      <c r="C518" s="2" t="s">
        <v>1435</v>
      </c>
      <c r="D518" s="2" t="s">
        <v>319</v>
      </c>
      <c r="E518" s="2" t="s">
        <v>320</v>
      </c>
      <c r="F518" s="2"/>
      <c r="G518" s="2"/>
      <c r="H518" s="2"/>
      <c r="I518" s="2"/>
    </row>
    <row r="519" spans="1:9" x14ac:dyDescent="0.35">
      <c r="A519" s="2" t="s">
        <v>1407</v>
      </c>
      <c r="B519" s="2" t="s">
        <v>62</v>
      </c>
      <c r="C519" s="2" t="s">
        <v>1435</v>
      </c>
      <c r="D519" s="2" t="s">
        <v>321</v>
      </c>
      <c r="E519" s="2" t="s">
        <v>321</v>
      </c>
      <c r="F519" s="2"/>
      <c r="G519" s="2"/>
      <c r="H519" s="2"/>
      <c r="I519" s="2"/>
    </row>
    <row r="520" spans="1:9" x14ac:dyDescent="0.35">
      <c r="A520" s="2" t="s">
        <v>1407</v>
      </c>
      <c r="B520" s="2" t="s">
        <v>62</v>
      </c>
      <c r="C520" s="2" t="s">
        <v>1435</v>
      </c>
      <c r="D520" s="2" t="s">
        <v>322</v>
      </c>
      <c r="E520" s="2" t="s">
        <v>246</v>
      </c>
      <c r="F520" s="2"/>
      <c r="G520" s="2"/>
      <c r="H520" s="2"/>
      <c r="I520" s="2"/>
    </row>
    <row r="521" spans="1:9" x14ac:dyDescent="0.35">
      <c r="A521" s="2" t="s">
        <v>1407</v>
      </c>
      <c r="B521" s="2" t="s">
        <v>62</v>
      </c>
      <c r="C521" s="2" t="s">
        <v>1435</v>
      </c>
      <c r="D521" s="2" t="s">
        <v>323</v>
      </c>
      <c r="E521" s="2" t="s">
        <v>246</v>
      </c>
      <c r="F521" s="2"/>
      <c r="G521" s="2"/>
      <c r="H521" s="2"/>
      <c r="I521" s="2"/>
    </row>
    <row r="522" spans="1:9" x14ac:dyDescent="0.35">
      <c r="A522" s="2" t="s">
        <v>1407</v>
      </c>
      <c r="B522" s="2" t="s">
        <v>62</v>
      </c>
      <c r="C522" s="2" t="s">
        <v>1435</v>
      </c>
      <c r="D522" s="2" t="s">
        <v>324</v>
      </c>
      <c r="E522" s="2" t="s">
        <v>246</v>
      </c>
      <c r="F522" s="2"/>
      <c r="G522" s="2"/>
      <c r="H522" s="2"/>
      <c r="I522" s="2"/>
    </row>
    <row r="523" spans="1:9" x14ac:dyDescent="0.35">
      <c r="A523" s="2" t="s">
        <v>1407</v>
      </c>
      <c r="B523" s="2" t="s">
        <v>62</v>
      </c>
      <c r="C523" s="2" t="s">
        <v>1435</v>
      </c>
      <c r="D523" s="2" t="s">
        <v>325</v>
      </c>
      <c r="E523" s="2" t="s">
        <v>1413</v>
      </c>
      <c r="F523" s="2"/>
      <c r="G523" s="2"/>
      <c r="H523" s="2"/>
      <c r="I523" s="2"/>
    </row>
    <row r="524" spans="1:9" x14ac:dyDescent="0.35">
      <c r="A524" s="2" t="s">
        <v>1407</v>
      </c>
      <c r="B524" s="2" t="s">
        <v>62</v>
      </c>
      <c r="C524" s="2" t="s">
        <v>1435</v>
      </c>
      <c r="D524" s="2" t="s">
        <v>327</v>
      </c>
      <c r="E524" s="2" t="s">
        <v>328</v>
      </c>
      <c r="F524" s="2"/>
      <c r="G524" s="2"/>
      <c r="H524" s="2"/>
      <c r="I524" s="2"/>
    </row>
    <row r="525" spans="1:9" x14ac:dyDescent="0.35">
      <c r="A525" s="2" t="s">
        <v>1407</v>
      </c>
      <c r="B525" s="2" t="s">
        <v>62</v>
      </c>
      <c r="C525" s="2" t="s">
        <v>1435</v>
      </c>
      <c r="D525" s="2" t="s">
        <v>329</v>
      </c>
      <c r="E525" s="2" t="s">
        <v>330</v>
      </c>
      <c r="F525" s="2"/>
      <c r="G525" s="2"/>
      <c r="H525" s="2"/>
      <c r="I525" s="2"/>
    </row>
    <row r="526" spans="1:9" x14ac:dyDescent="0.35">
      <c r="A526" s="2" t="s">
        <v>1407</v>
      </c>
      <c r="B526" s="2" t="s">
        <v>62</v>
      </c>
      <c r="C526" s="2" t="s">
        <v>1435</v>
      </c>
      <c r="D526" s="2" t="s">
        <v>331</v>
      </c>
      <c r="E526" s="2" t="s">
        <v>332</v>
      </c>
      <c r="F526" s="2"/>
      <c r="G526" s="2"/>
      <c r="H526" s="2"/>
      <c r="I526" s="2"/>
    </row>
    <row r="527" spans="1:9" x14ac:dyDescent="0.35">
      <c r="A527" s="2" t="s">
        <v>1407</v>
      </c>
      <c r="B527" s="2" t="s">
        <v>62</v>
      </c>
      <c r="C527" s="2" t="s">
        <v>1435</v>
      </c>
      <c r="D527" s="2" t="s">
        <v>333</v>
      </c>
      <c r="E527" s="2" t="s">
        <v>334</v>
      </c>
      <c r="F527" s="2"/>
      <c r="G527" s="2"/>
      <c r="H527" s="2"/>
      <c r="I527" s="2"/>
    </row>
    <row r="528" spans="1:9" x14ac:dyDescent="0.35">
      <c r="A528" s="2" t="s">
        <v>1407</v>
      </c>
      <c r="B528" s="2" t="s">
        <v>62</v>
      </c>
      <c r="C528" s="2" t="s">
        <v>1435</v>
      </c>
      <c r="D528" s="2" t="s">
        <v>1297</v>
      </c>
      <c r="E528" s="2" t="s">
        <v>533</v>
      </c>
      <c r="F528" s="2"/>
      <c r="G528" s="2"/>
      <c r="H528" s="2"/>
      <c r="I528" s="2"/>
    </row>
    <row r="529" spans="1:9" x14ac:dyDescent="0.35">
      <c r="A529" s="2" t="s">
        <v>1407</v>
      </c>
      <c r="B529" s="2" t="s">
        <v>62</v>
      </c>
      <c r="C529" s="2" t="s">
        <v>1435</v>
      </c>
      <c r="D529" s="2" t="s">
        <v>335</v>
      </c>
      <c r="E529" s="2" t="s">
        <v>336</v>
      </c>
      <c r="F529" s="2"/>
      <c r="G529" s="2"/>
      <c r="H529" s="2"/>
      <c r="I529" s="2"/>
    </row>
    <row r="530" spans="1:9" x14ac:dyDescent="0.35">
      <c r="A530" s="2" t="s">
        <v>1407</v>
      </c>
      <c r="B530" s="2" t="s">
        <v>62</v>
      </c>
      <c r="C530" s="2" t="s">
        <v>1435</v>
      </c>
      <c r="D530" s="2" t="s">
        <v>337</v>
      </c>
      <c r="E530" s="2" t="s">
        <v>338</v>
      </c>
      <c r="F530" s="2"/>
      <c r="G530" s="2"/>
      <c r="H530" s="2"/>
      <c r="I530" s="2"/>
    </row>
    <row r="531" spans="1:9" x14ac:dyDescent="0.35">
      <c r="A531" s="2" t="s">
        <v>1407</v>
      </c>
      <c r="B531" s="2" t="s">
        <v>62</v>
      </c>
      <c r="C531" s="2" t="s">
        <v>1435</v>
      </c>
      <c r="D531" s="2" t="s">
        <v>339</v>
      </c>
      <c r="E531" s="2" t="s">
        <v>340</v>
      </c>
      <c r="F531" s="2"/>
      <c r="G531" s="2"/>
      <c r="H531" s="2"/>
      <c r="I531" s="2"/>
    </row>
    <row r="532" spans="1:9" x14ac:dyDescent="0.35">
      <c r="A532" s="2" t="s">
        <v>1407</v>
      </c>
      <c r="B532" s="2" t="s">
        <v>62</v>
      </c>
      <c r="C532" s="2" t="s">
        <v>1435</v>
      </c>
      <c r="D532" s="2" t="s">
        <v>341</v>
      </c>
      <c r="E532" s="2" t="s">
        <v>342</v>
      </c>
      <c r="F532" s="2"/>
      <c r="G532" s="2"/>
      <c r="H532" s="2"/>
      <c r="I532" s="2"/>
    </row>
    <row r="533" spans="1:9" x14ac:dyDescent="0.35">
      <c r="A533" s="2" t="s">
        <v>1407</v>
      </c>
      <c r="B533" s="2" t="s">
        <v>62</v>
      </c>
      <c r="C533" s="2" t="s">
        <v>1435</v>
      </c>
      <c r="D533" s="2" t="s">
        <v>343</v>
      </c>
      <c r="E533" s="2" t="s">
        <v>344</v>
      </c>
      <c r="F533" s="2"/>
      <c r="G533" s="2"/>
      <c r="H533" s="2"/>
      <c r="I533" s="2"/>
    </row>
    <row r="534" spans="1:9" x14ac:dyDescent="0.35">
      <c r="A534" s="2" t="s">
        <v>1407</v>
      </c>
      <c r="B534" s="2" t="s">
        <v>62</v>
      </c>
      <c r="C534" s="2" t="s">
        <v>1435</v>
      </c>
      <c r="D534" s="2" t="s">
        <v>345</v>
      </c>
      <c r="E534" s="2" t="s">
        <v>346</v>
      </c>
      <c r="F534" s="2"/>
      <c r="G534" s="2"/>
      <c r="H534" s="2"/>
      <c r="I534" s="2"/>
    </row>
    <row r="535" spans="1:9" x14ac:dyDescent="0.35">
      <c r="A535" s="2" t="s">
        <v>1407</v>
      </c>
      <c r="B535" s="2" t="s">
        <v>62</v>
      </c>
      <c r="C535" s="2" t="s">
        <v>1436</v>
      </c>
      <c r="D535" s="2" t="s">
        <v>319</v>
      </c>
      <c r="E535" s="2" t="s">
        <v>320</v>
      </c>
      <c r="F535" s="2"/>
      <c r="G535" s="2"/>
      <c r="H535" s="2"/>
      <c r="I535" s="2"/>
    </row>
    <row r="536" spans="1:9" x14ac:dyDescent="0.35">
      <c r="A536" s="2" t="s">
        <v>1407</v>
      </c>
      <c r="B536" s="2" t="s">
        <v>62</v>
      </c>
      <c r="C536" s="2" t="s">
        <v>1436</v>
      </c>
      <c r="D536" s="2" t="s">
        <v>321</v>
      </c>
      <c r="E536" s="2" t="s">
        <v>321</v>
      </c>
      <c r="F536" s="2"/>
      <c r="G536" s="2"/>
      <c r="H536" s="2"/>
      <c r="I536" s="2"/>
    </row>
    <row r="537" spans="1:9" x14ac:dyDescent="0.35">
      <c r="A537" s="2" t="s">
        <v>1407</v>
      </c>
      <c r="B537" s="2" t="s">
        <v>62</v>
      </c>
      <c r="C537" s="2" t="s">
        <v>1436</v>
      </c>
      <c r="D537" s="2" t="s">
        <v>322</v>
      </c>
      <c r="E537" s="2" t="s">
        <v>246</v>
      </c>
      <c r="F537" s="2"/>
      <c r="G537" s="2"/>
      <c r="H537" s="2"/>
      <c r="I537" s="2"/>
    </row>
    <row r="538" spans="1:9" x14ac:dyDescent="0.35">
      <c r="A538" s="2" t="s">
        <v>1407</v>
      </c>
      <c r="B538" s="2" t="s">
        <v>62</v>
      </c>
      <c r="C538" s="2" t="s">
        <v>1436</v>
      </c>
      <c r="D538" s="2" t="s">
        <v>323</v>
      </c>
      <c r="E538" s="2" t="s">
        <v>246</v>
      </c>
      <c r="F538" s="2"/>
      <c r="G538" s="2"/>
      <c r="H538" s="2"/>
      <c r="I538" s="2"/>
    </row>
    <row r="539" spans="1:9" x14ac:dyDescent="0.35">
      <c r="A539" s="2" t="s">
        <v>1407</v>
      </c>
      <c r="B539" s="2" t="s">
        <v>62</v>
      </c>
      <c r="C539" s="2" t="s">
        <v>1436</v>
      </c>
      <c r="D539" s="2" t="s">
        <v>324</v>
      </c>
      <c r="E539" s="2" t="s">
        <v>246</v>
      </c>
      <c r="F539" s="2"/>
      <c r="G539" s="2"/>
      <c r="H539" s="2"/>
      <c r="I539" s="2"/>
    </row>
    <row r="540" spans="1:9" x14ac:dyDescent="0.35">
      <c r="A540" s="2" t="s">
        <v>1407</v>
      </c>
      <c r="B540" s="2" t="s">
        <v>62</v>
      </c>
      <c r="C540" s="2" t="s">
        <v>1436</v>
      </c>
      <c r="D540" s="2" t="s">
        <v>325</v>
      </c>
      <c r="E540" s="2" t="s">
        <v>1413</v>
      </c>
      <c r="F540" s="2"/>
      <c r="G540" s="2"/>
      <c r="H540" s="2"/>
      <c r="I540" s="2"/>
    </row>
    <row r="541" spans="1:9" x14ac:dyDescent="0.35">
      <c r="A541" s="2" t="s">
        <v>1407</v>
      </c>
      <c r="B541" s="2" t="s">
        <v>62</v>
      </c>
      <c r="C541" s="2" t="s">
        <v>1436</v>
      </c>
      <c r="D541" s="2" t="s">
        <v>327</v>
      </c>
      <c r="E541" s="2" t="s">
        <v>328</v>
      </c>
      <c r="F541" s="2"/>
      <c r="G541" s="2"/>
      <c r="H541" s="2"/>
      <c r="I541" s="2"/>
    </row>
    <row r="542" spans="1:9" x14ac:dyDescent="0.35">
      <c r="A542" s="2" t="s">
        <v>1407</v>
      </c>
      <c r="B542" s="2" t="s">
        <v>62</v>
      </c>
      <c r="C542" s="2" t="s">
        <v>1436</v>
      </c>
      <c r="D542" s="2" t="s">
        <v>329</v>
      </c>
      <c r="E542" s="2" t="s">
        <v>330</v>
      </c>
      <c r="F542" s="2"/>
      <c r="G542" s="2"/>
      <c r="H542" s="2"/>
      <c r="I542" s="2"/>
    </row>
    <row r="543" spans="1:9" x14ac:dyDescent="0.35">
      <c r="A543" s="2" t="s">
        <v>1407</v>
      </c>
      <c r="B543" s="2" t="s">
        <v>62</v>
      </c>
      <c r="C543" s="2" t="s">
        <v>1436</v>
      </c>
      <c r="D543" s="2" t="s">
        <v>331</v>
      </c>
      <c r="E543" s="2" t="s">
        <v>332</v>
      </c>
      <c r="F543" s="2"/>
      <c r="G543" s="2"/>
      <c r="H543" s="2"/>
      <c r="I543" s="2"/>
    </row>
    <row r="544" spans="1:9" x14ac:dyDescent="0.35">
      <c r="A544" s="2" t="s">
        <v>1407</v>
      </c>
      <c r="B544" s="2" t="s">
        <v>62</v>
      </c>
      <c r="C544" s="2" t="s">
        <v>1436</v>
      </c>
      <c r="D544" s="2" t="s">
        <v>333</v>
      </c>
      <c r="E544" s="2" t="s">
        <v>334</v>
      </c>
      <c r="F544" s="2"/>
      <c r="G544" s="2"/>
      <c r="H544" s="2"/>
      <c r="I544" s="2"/>
    </row>
    <row r="545" spans="1:9" x14ac:dyDescent="0.35">
      <c r="A545" s="2" t="s">
        <v>1407</v>
      </c>
      <c r="B545" s="2" t="s">
        <v>62</v>
      </c>
      <c r="C545" s="2" t="s">
        <v>1436</v>
      </c>
      <c r="D545" s="2" t="s">
        <v>1297</v>
      </c>
      <c r="E545" s="2" t="s">
        <v>533</v>
      </c>
      <c r="F545" s="2"/>
      <c r="G545" s="2"/>
      <c r="H545" s="2"/>
      <c r="I545" s="2"/>
    </row>
    <row r="546" spans="1:9" x14ac:dyDescent="0.35">
      <c r="A546" s="2" t="s">
        <v>1407</v>
      </c>
      <c r="B546" s="2" t="s">
        <v>62</v>
      </c>
      <c r="C546" s="2" t="s">
        <v>1436</v>
      </c>
      <c r="D546" s="2" t="s">
        <v>335</v>
      </c>
      <c r="E546" s="2" t="s">
        <v>336</v>
      </c>
      <c r="F546" s="2"/>
      <c r="G546" s="2"/>
      <c r="H546" s="2"/>
      <c r="I546" s="2"/>
    </row>
    <row r="547" spans="1:9" x14ac:dyDescent="0.35">
      <c r="A547" s="2" t="s">
        <v>1407</v>
      </c>
      <c r="B547" s="2" t="s">
        <v>62</v>
      </c>
      <c r="C547" s="2" t="s">
        <v>1436</v>
      </c>
      <c r="D547" s="2" t="s">
        <v>337</v>
      </c>
      <c r="E547" s="2" t="s">
        <v>338</v>
      </c>
      <c r="F547" s="2"/>
      <c r="G547" s="2"/>
      <c r="H547" s="2"/>
      <c r="I547" s="2"/>
    </row>
    <row r="548" spans="1:9" x14ac:dyDescent="0.35">
      <c r="A548" s="2" t="s">
        <v>1407</v>
      </c>
      <c r="B548" s="2" t="s">
        <v>62</v>
      </c>
      <c r="C548" s="2" t="s">
        <v>1436</v>
      </c>
      <c r="D548" s="2" t="s">
        <v>339</v>
      </c>
      <c r="E548" s="2" t="s">
        <v>340</v>
      </c>
      <c r="F548" s="2"/>
      <c r="G548" s="2"/>
      <c r="H548" s="2"/>
      <c r="I548" s="2"/>
    </row>
    <row r="549" spans="1:9" x14ac:dyDescent="0.35">
      <c r="A549" s="2" t="s">
        <v>1407</v>
      </c>
      <c r="B549" s="2" t="s">
        <v>62</v>
      </c>
      <c r="C549" s="2" t="s">
        <v>1436</v>
      </c>
      <c r="D549" s="2" t="s">
        <v>341</v>
      </c>
      <c r="E549" s="2" t="s">
        <v>342</v>
      </c>
      <c r="F549" s="2"/>
      <c r="G549" s="2"/>
      <c r="H549" s="2"/>
      <c r="I549" s="2"/>
    </row>
    <row r="550" spans="1:9" x14ac:dyDescent="0.35">
      <c r="A550" s="2" t="s">
        <v>1407</v>
      </c>
      <c r="B550" s="2" t="s">
        <v>62</v>
      </c>
      <c r="C550" s="2" t="s">
        <v>1436</v>
      </c>
      <c r="D550" s="2" t="s">
        <v>343</v>
      </c>
      <c r="E550" s="2" t="s">
        <v>344</v>
      </c>
      <c r="F550" s="2"/>
      <c r="G550" s="2"/>
      <c r="H550" s="2"/>
      <c r="I550" s="2"/>
    </row>
    <row r="551" spans="1:9" x14ac:dyDescent="0.35">
      <c r="A551" s="2" t="s">
        <v>1407</v>
      </c>
      <c r="B551" s="2" t="s">
        <v>62</v>
      </c>
      <c r="C551" s="2" t="s">
        <v>1436</v>
      </c>
      <c r="D551" s="2" t="s">
        <v>345</v>
      </c>
      <c r="E551" s="2" t="s">
        <v>346</v>
      </c>
      <c r="F551" s="2"/>
      <c r="G551" s="2"/>
      <c r="H551" s="2"/>
      <c r="I551" s="2"/>
    </row>
    <row r="552" spans="1:9" x14ac:dyDescent="0.35">
      <c r="A552" s="2" t="s">
        <v>1407</v>
      </c>
      <c r="B552" s="2" t="s">
        <v>62</v>
      </c>
      <c r="C552" s="2" t="s">
        <v>1437</v>
      </c>
      <c r="D552" s="2" t="s">
        <v>317</v>
      </c>
      <c r="E552" s="2" t="s">
        <v>318</v>
      </c>
      <c r="F552" s="2"/>
      <c r="G552" s="2"/>
      <c r="H552" s="2"/>
      <c r="I552" s="2"/>
    </row>
    <row r="553" spans="1:9" x14ac:dyDescent="0.35">
      <c r="A553" s="2" t="s">
        <v>1407</v>
      </c>
      <c r="B553" s="2" t="s">
        <v>62</v>
      </c>
      <c r="C553" s="2" t="s">
        <v>1437</v>
      </c>
      <c r="D553" s="2" t="s">
        <v>319</v>
      </c>
      <c r="E553" s="2" t="s">
        <v>320</v>
      </c>
      <c r="F553" s="2"/>
      <c r="G553" s="2"/>
      <c r="H553" s="2"/>
      <c r="I553" s="2"/>
    </row>
    <row r="554" spans="1:9" x14ac:dyDescent="0.35">
      <c r="A554" s="2" t="s">
        <v>1407</v>
      </c>
      <c r="B554" s="2" t="s">
        <v>62</v>
      </c>
      <c r="C554" s="2" t="s">
        <v>1437</v>
      </c>
      <c r="D554" s="2" t="s">
        <v>321</v>
      </c>
      <c r="E554" s="2" t="s">
        <v>321</v>
      </c>
      <c r="F554" s="2"/>
      <c r="G554" s="2"/>
      <c r="H554" s="2"/>
      <c r="I554" s="2"/>
    </row>
    <row r="555" spans="1:9" x14ac:dyDescent="0.35">
      <c r="A555" s="2" t="s">
        <v>1407</v>
      </c>
      <c r="B555" s="2" t="s">
        <v>62</v>
      </c>
      <c r="C555" s="2" t="s">
        <v>1437</v>
      </c>
      <c r="D555" s="2" t="s">
        <v>322</v>
      </c>
      <c r="E555" s="2" t="s">
        <v>246</v>
      </c>
      <c r="F555" s="2"/>
      <c r="G555" s="2"/>
      <c r="H555" s="2"/>
      <c r="I555" s="2"/>
    </row>
    <row r="556" spans="1:9" x14ac:dyDescent="0.35">
      <c r="A556" s="2" t="s">
        <v>1407</v>
      </c>
      <c r="B556" s="2" t="s">
        <v>62</v>
      </c>
      <c r="C556" s="2" t="s">
        <v>1437</v>
      </c>
      <c r="D556" s="2" t="s">
        <v>323</v>
      </c>
      <c r="E556" s="2" t="s">
        <v>246</v>
      </c>
      <c r="F556" s="2"/>
      <c r="G556" s="2"/>
      <c r="H556" s="2"/>
      <c r="I556" s="2"/>
    </row>
    <row r="557" spans="1:9" x14ac:dyDescent="0.35">
      <c r="A557" s="2" t="s">
        <v>1407</v>
      </c>
      <c r="B557" s="2" t="s">
        <v>62</v>
      </c>
      <c r="C557" s="2" t="s">
        <v>1437</v>
      </c>
      <c r="D557" s="2" t="s">
        <v>324</v>
      </c>
      <c r="E557" s="2" t="s">
        <v>246</v>
      </c>
      <c r="F557" s="2"/>
      <c r="G557" s="2"/>
      <c r="H557" s="2"/>
      <c r="I557" s="2"/>
    </row>
    <row r="558" spans="1:9" x14ac:dyDescent="0.35">
      <c r="A558" s="2" t="s">
        <v>1407</v>
      </c>
      <c r="B558" s="2" t="s">
        <v>62</v>
      </c>
      <c r="C558" s="2" t="s">
        <v>1437</v>
      </c>
      <c r="D558" s="2" t="s">
        <v>325</v>
      </c>
      <c r="E558" s="2" t="s">
        <v>326</v>
      </c>
      <c r="F558" s="2"/>
      <c r="G558" s="2"/>
      <c r="H558" s="2"/>
      <c r="I558" s="2"/>
    </row>
    <row r="559" spans="1:9" x14ac:dyDescent="0.35">
      <c r="A559" s="2" t="s">
        <v>1407</v>
      </c>
      <c r="B559" s="2" t="s">
        <v>62</v>
      </c>
      <c r="C559" s="2" t="s">
        <v>1437</v>
      </c>
      <c r="D559" s="2" t="s">
        <v>327</v>
      </c>
      <c r="E559" s="2" t="s">
        <v>328</v>
      </c>
      <c r="F559" s="2"/>
      <c r="G559" s="2"/>
      <c r="H559" s="2"/>
      <c r="I559" s="2"/>
    </row>
    <row r="560" spans="1:9" x14ac:dyDescent="0.35">
      <c r="A560" s="2" t="s">
        <v>1407</v>
      </c>
      <c r="B560" s="2" t="s">
        <v>62</v>
      </c>
      <c r="C560" s="2" t="s">
        <v>1437</v>
      </c>
      <c r="D560" s="2" t="s">
        <v>329</v>
      </c>
      <c r="E560" s="2" t="s">
        <v>330</v>
      </c>
      <c r="F560" s="2"/>
      <c r="G560" s="2"/>
      <c r="H560" s="2"/>
      <c r="I560" s="2"/>
    </row>
    <row r="561" spans="1:9" x14ac:dyDescent="0.35">
      <c r="A561" s="2" t="s">
        <v>1407</v>
      </c>
      <c r="B561" s="2" t="s">
        <v>62</v>
      </c>
      <c r="C561" s="2" t="s">
        <v>1437</v>
      </c>
      <c r="D561" s="2" t="s">
        <v>331</v>
      </c>
      <c r="E561" s="2" t="s">
        <v>332</v>
      </c>
      <c r="F561" s="2"/>
      <c r="G561" s="2"/>
      <c r="H561" s="2"/>
      <c r="I561" s="2"/>
    </row>
    <row r="562" spans="1:9" x14ac:dyDescent="0.35">
      <c r="A562" s="2" t="s">
        <v>1407</v>
      </c>
      <c r="B562" s="2" t="s">
        <v>62</v>
      </c>
      <c r="C562" s="2" t="s">
        <v>1437</v>
      </c>
      <c r="D562" s="2" t="s">
        <v>333</v>
      </c>
      <c r="E562" s="2" t="s">
        <v>334</v>
      </c>
      <c r="F562" s="2"/>
      <c r="G562" s="2"/>
      <c r="H562" s="2"/>
      <c r="I562" s="2"/>
    </row>
    <row r="563" spans="1:9" x14ac:dyDescent="0.35">
      <c r="A563" s="2" t="s">
        <v>1407</v>
      </c>
      <c r="B563" s="2" t="s">
        <v>62</v>
      </c>
      <c r="C563" s="2" t="s">
        <v>1437</v>
      </c>
      <c r="D563" s="2" t="s">
        <v>1297</v>
      </c>
      <c r="E563" s="2" t="s">
        <v>533</v>
      </c>
      <c r="F563" s="2"/>
      <c r="G563" s="2"/>
      <c r="H563" s="2"/>
      <c r="I563" s="2"/>
    </row>
    <row r="564" spans="1:9" x14ac:dyDescent="0.35">
      <c r="A564" s="2" t="s">
        <v>1407</v>
      </c>
      <c r="B564" s="2" t="s">
        <v>62</v>
      </c>
      <c r="C564" s="2" t="s">
        <v>1437</v>
      </c>
      <c r="D564" s="2" t="s">
        <v>335</v>
      </c>
      <c r="E564" s="2" t="s">
        <v>336</v>
      </c>
      <c r="F564" s="2"/>
      <c r="G564" s="2"/>
      <c r="H564" s="2"/>
      <c r="I564" s="2"/>
    </row>
    <row r="565" spans="1:9" x14ac:dyDescent="0.35">
      <c r="A565" s="2" t="s">
        <v>1407</v>
      </c>
      <c r="B565" s="2" t="s">
        <v>62</v>
      </c>
      <c r="C565" s="2" t="s">
        <v>1437</v>
      </c>
      <c r="D565" s="2" t="s">
        <v>337</v>
      </c>
      <c r="E565" s="2" t="s">
        <v>338</v>
      </c>
      <c r="F565" s="2"/>
      <c r="G565" s="2"/>
      <c r="H565" s="2"/>
      <c r="I565" s="2"/>
    </row>
    <row r="566" spans="1:9" x14ac:dyDescent="0.35">
      <c r="A566" s="2" t="s">
        <v>1407</v>
      </c>
      <c r="B566" s="2" t="s">
        <v>62</v>
      </c>
      <c r="C566" s="2" t="s">
        <v>1437</v>
      </c>
      <c r="D566" s="2" t="s">
        <v>339</v>
      </c>
      <c r="E566" s="2" t="s">
        <v>340</v>
      </c>
      <c r="F566" s="2"/>
      <c r="G566" s="2"/>
      <c r="H566" s="2"/>
      <c r="I566" s="2"/>
    </row>
    <row r="567" spans="1:9" x14ac:dyDescent="0.35">
      <c r="A567" s="2" t="s">
        <v>1407</v>
      </c>
      <c r="B567" s="2" t="s">
        <v>62</v>
      </c>
      <c r="C567" s="2" t="s">
        <v>1437</v>
      </c>
      <c r="D567" s="2" t="s">
        <v>341</v>
      </c>
      <c r="E567" s="2" t="s">
        <v>342</v>
      </c>
      <c r="F567" s="2"/>
      <c r="G567" s="2"/>
      <c r="H567" s="2"/>
      <c r="I567" s="2"/>
    </row>
    <row r="568" spans="1:9" x14ac:dyDescent="0.35">
      <c r="A568" s="2" t="s">
        <v>1407</v>
      </c>
      <c r="B568" s="2" t="s">
        <v>62</v>
      </c>
      <c r="C568" s="2" t="s">
        <v>1437</v>
      </c>
      <c r="D568" s="2" t="s">
        <v>343</v>
      </c>
      <c r="E568" s="2" t="s">
        <v>344</v>
      </c>
      <c r="F568" s="2"/>
      <c r="G568" s="2"/>
      <c r="H568" s="2"/>
      <c r="I568" s="2"/>
    </row>
    <row r="569" spans="1:9" x14ac:dyDescent="0.35">
      <c r="A569" s="2" t="s">
        <v>1407</v>
      </c>
      <c r="B569" s="2" t="s">
        <v>62</v>
      </c>
      <c r="C569" s="2" t="s">
        <v>1437</v>
      </c>
      <c r="D569" s="2" t="s">
        <v>345</v>
      </c>
      <c r="E569" s="2" t="s">
        <v>346</v>
      </c>
      <c r="F569" s="2"/>
      <c r="G569" s="2"/>
      <c r="H569" s="2"/>
      <c r="I569" s="2"/>
    </row>
    <row r="570" spans="1:9" x14ac:dyDescent="0.35">
      <c r="A570" s="2" t="s">
        <v>1407</v>
      </c>
      <c r="B570" s="2" t="s">
        <v>62</v>
      </c>
      <c r="C570" s="2" t="s">
        <v>1438</v>
      </c>
      <c r="D570" s="2" t="s">
        <v>196</v>
      </c>
      <c r="E570" s="2" t="s">
        <v>197</v>
      </c>
      <c r="F570" s="2"/>
      <c r="G570" s="2"/>
      <c r="H570" s="2"/>
      <c r="I570" s="2"/>
    </row>
    <row r="571" spans="1:9" x14ac:dyDescent="0.35">
      <c r="A571" s="2" t="s">
        <v>1407</v>
      </c>
      <c r="B571" s="2" t="s">
        <v>62</v>
      </c>
      <c r="C571" s="2" t="s">
        <v>1438</v>
      </c>
      <c r="D571" s="2" t="s">
        <v>319</v>
      </c>
      <c r="E571" s="2" t="s">
        <v>320</v>
      </c>
      <c r="F571" s="2"/>
      <c r="G571" s="2"/>
      <c r="H571" s="2"/>
      <c r="I571" s="2"/>
    </row>
    <row r="572" spans="1:9" x14ac:dyDescent="0.35">
      <c r="A572" s="2" t="s">
        <v>1407</v>
      </c>
      <c r="B572" s="2" t="s">
        <v>62</v>
      </c>
      <c r="C572" s="2" t="s">
        <v>1438</v>
      </c>
      <c r="D572" s="2" t="s">
        <v>18</v>
      </c>
      <c r="E572" s="2" t="s">
        <v>19</v>
      </c>
      <c r="F572" s="2" t="s">
        <v>20</v>
      </c>
      <c r="G572" s="2" t="s">
        <v>1439</v>
      </c>
      <c r="H572" s="2"/>
      <c r="I572" s="2"/>
    </row>
    <row r="573" spans="1:9" x14ac:dyDescent="0.35">
      <c r="A573" s="2" t="s">
        <v>1407</v>
      </c>
      <c r="B573" s="2" t="s">
        <v>62</v>
      </c>
      <c r="C573" s="2" t="s">
        <v>1438</v>
      </c>
      <c r="D573" s="2" t="s">
        <v>321</v>
      </c>
      <c r="E573" s="2" t="s">
        <v>321</v>
      </c>
      <c r="F573" s="2"/>
      <c r="G573" s="2"/>
      <c r="H573" s="2"/>
      <c r="I573" s="2"/>
    </row>
    <row r="574" spans="1:9" x14ac:dyDescent="0.35">
      <c r="A574" s="2" t="s">
        <v>1407</v>
      </c>
      <c r="B574" s="2" t="s">
        <v>62</v>
      </c>
      <c r="C574" s="2" t="s">
        <v>1438</v>
      </c>
      <c r="D574" s="2" t="s">
        <v>322</v>
      </c>
      <c r="E574" s="2" t="s">
        <v>246</v>
      </c>
      <c r="F574" s="2"/>
      <c r="G574" s="2"/>
      <c r="H574" s="2"/>
      <c r="I574" s="2"/>
    </row>
    <row r="575" spans="1:9" x14ac:dyDescent="0.35">
      <c r="A575" s="2" t="s">
        <v>1407</v>
      </c>
      <c r="B575" s="2" t="s">
        <v>62</v>
      </c>
      <c r="C575" s="2" t="s">
        <v>1438</v>
      </c>
      <c r="D575" s="2" t="s">
        <v>323</v>
      </c>
      <c r="E575" s="2" t="s">
        <v>246</v>
      </c>
      <c r="F575" s="2"/>
      <c r="G575" s="2"/>
      <c r="H575" s="2"/>
      <c r="I575" s="2"/>
    </row>
    <row r="576" spans="1:9" x14ac:dyDescent="0.35">
      <c r="A576" s="2" t="s">
        <v>1407</v>
      </c>
      <c r="B576" s="2" t="s">
        <v>62</v>
      </c>
      <c r="C576" s="2" t="s">
        <v>1438</v>
      </c>
      <c r="D576" s="2" t="s">
        <v>324</v>
      </c>
      <c r="E576" s="2" t="s">
        <v>246</v>
      </c>
      <c r="F576" s="2"/>
      <c r="G576" s="2"/>
      <c r="H576" s="2"/>
      <c r="I576" s="2"/>
    </row>
    <row r="577" spans="1:9" x14ac:dyDescent="0.35">
      <c r="A577" s="2" t="s">
        <v>1407</v>
      </c>
      <c r="B577" s="2" t="s">
        <v>62</v>
      </c>
      <c r="C577" s="2" t="s">
        <v>1438</v>
      </c>
      <c r="D577" s="2" t="s">
        <v>325</v>
      </c>
      <c r="E577" s="2" t="s">
        <v>326</v>
      </c>
      <c r="F577" s="2"/>
      <c r="G577" s="2"/>
      <c r="H577" s="2"/>
      <c r="I577" s="2"/>
    </row>
    <row r="578" spans="1:9" x14ac:dyDescent="0.35">
      <c r="A578" s="2" t="s">
        <v>1407</v>
      </c>
      <c r="B578" s="2" t="s">
        <v>62</v>
      </c>
      <c r="C578" s="2" t="s">
        <v>1438</v>
      </c>
      <c r="D578" s="2" t="s">
        <v>327</v>
      </c>
      <c r="E578" s="2" t="s">
        <v>328</v>
      </c>
      <c r="F578" s="2"/>
      <c r="G578" s="2"/>
      <c r="H578" s="2"/>
      <c r="I578" s="2"/>
    </row>
    <row r="579" spans="1:9" x14ac:dyDescent="0.35">
      <c r="A579" s="2" t="s">
        <v>1407</v>
      </c>
      <c r="B579" s="2" t="s">
        <v>62</v>
      </c>
      <c r="C579" s="2" t="s">
        <v>1438</v>
      </c>
      <c r="D579" s="2" t="s">
        <v>329</v>
      </c>
      <c r="E579" s="2" t="s">
        <v>330</v>
      </c>
      <c r="F579" s="2"/>
      <c r="G579" s="2"/>
      <c r="H579" s="2"/>
      <c r="I579" s="2"/>
    </row>
    <row r="580" spans="1:9" x14ac:dyDescent="0.35">
      <c r="A580" s="2" t="s">
        <v>1407</v>
      </c>
      <c r="B580" s="2" t="s">
        <v>62</v>
      </c>
      <c r="C580" s="2" t="s">
        <v>1438</v>
      </c>
      <c r="D580" s="2" t="s">
        <v>331</v>
      </c>
      <c r="E580" s="2" t="s">
        <v>332</v>
      </c>
      <c r="F580" s="2"/>
      <c r="G580" s="2"/>
      <c r="H580" s="2"/>
      <c r="I580" s="2"/>
    </row>
    <row r="581" spans="1:9" x14ac:dyDescent="0.35">
      <c r="A581" s="2" t="s">
        <v>1407</v>
      </c>
      <c r="B581" s="2" t="s">
        <v>62</v>
      </c>
      <c r="C581" s="2" t="s">
        <v>1438</v>
      </c>
      <c r="D581" s="2" t="s">
        <v>333</v>
      </c>
      <c r="E581" s="2" t="s">
        <v>334</v>
      </c>
      <c r="F581" s="2"/>
      <c r="G581" s="2"/>
      <c r="H581" s="2"/>
      <c r="I581" s="2"/>
    </row>
    <row r="582" spans="1:9" x14ac:dyDescent="0.35">
      <c r="A582" s="2" t="s">
        <v>1407</v>
      </c>
      <c r="B582" s="2" t="s">
        <v>62</v>
      </c>
      <c r="C582" s="2" t="s">
        <v>1438</v>
      </c>
      <c r="D582" s="2" t="s">
        <v>1297</v>
      </c>
      <c r="E582" s="2" t="s">
        <v>533</v>
      </c>
      <c r="F582" s="2" t="s">
        <v>20</v>
      </c>
      <c r="G582" s="2" t="s">
        <v>1440</v>
      </c>
      <c r="H582" s="2"/>
      <c r="I582" s="2"/>
    </row>
    <row r="583" spans="1:9" x14ac:dyDescent="0.35">
      <c r="A583" s="2" t="s">
        <v>1407</v>
      </c>
      <c r="B583" s="2" t="s">
        <v>62</v>
      </c>
      <c r="C583" s="2" t="s">
        <v>1438</v>
      </c>
      <c r="D583" s="2" t="s">
        <v>335</v>
      </c>
      <c r="E583" s="2" t="s">
        <v>336</v>
      </c>
      <c r="F583" s="2"/>
      <c r="G583" s="2"/>
      <c r="H583" s="2"/>
      <c r="I583" s="2"/>
    </row>
    <row r="584" spans="1:9" x14ac:dyDescent="0.35">
      <c r="A584" s="2" t="s">
        <v>1407</v>
      </c>
      <c r="B584" s="2" t="s">
        <v>62</v>
      </c>
      <c r="C584" s="2" t="s">
        <v>1438</v>
      </c>
      <c r="D584" s="2" t="s">
        <v>337</v>
      </c>
      <c r="E584" s="2" t="s">
        <v>338</v>
      </c>
      <c r="F584" s="2"/>
      <c r="G584" s="2"/>
      <c r="H584" s="2"/>
      <c r="I584" s="2"/>
    </row>
    <row r="585" spans="1:9" x14ac:dyDescent="0.35">
      <c r="A585" s="2" t="s">
        <v>1407</v>
      </c>
      <c r="B585" s="2" t="s">
        <v>62</v>
      </c>
      <c r="C585" s="2" t="s">
        <v>1438</v>
      </c>
      <c r="D585" s="2" t="s">
        <v>339</v>
      </c>
      <c r="E585" s="2" t="s">
        <v>340</v>
      </c>
      <c r="F585" s="2"/>
      <c r="G585" s="2"/>
      <c r="H585" s="2"/>
      <c r="I585" s="2"/>
    </row>
    <row r="586" spans="1:9" x14ac:dyDescent="0.35">
      <c r="A586" s="2" t="s">
        <v>1407</v>
      </c>
      <c r="B586" s="2" t="s">
        <v>62</v>
      </c>
      <c r="C586" s="2" t="s">
        <v>1438</v>
      </c>
      <c r="D586" s="2" t="s">
        <v>341</v>
      </c>
      <c r="E586" s="2" t="s">
        <v>342</v>
      </c>
      <c r="F586" s="2"/>
      <c r="G586" s="2"/>
      <c r="H586" s="2"/>
      <c r="I586" s="2"/>
    </row>
    <row r="587" spans="1:9" x14ac:dyDescent="0.35">
      <c r="A587" s="2" t="s">
        <v>1407</v>
      </c>
      <c r="B587" s="2" t="s">
        <v>62</v>
      </c>
      <c r="C587" s="2" t="s">
        <v>1438</v>
      </c>
      <c r="D587" s="2" t="s">
        <v>343</v>
      </c>
      <c r="E587" s="2" t="s">
        <v>344</v>
      </c>
      <c r="F587" s="2"/>
      <c r="G587" s="2"/>
      <c r="H587" s="2"/>
      <c r="I587" s="2"/>
    </row>
    <row r="588" spans="1:9" x14ac:dyDescent="0.35">
      <c r="A588" s="2" t="s">
        <v>1407</v>
      </c>
      <c r="B588" s="2" t="s">
        <v>62</v>
      </c>
      <c r="C588" s="2" t="s">
        <v>1438</v>
      </c>
      <c r="D588" s="2" t="s">
        <v>345</v>
      </c>
      <c r="E588" s="2" t="s">
        <v>346</v>
      </c>
      <c r="F588" s="2"/>
      <c r="G588" s="2"/>
      <c r="H588" s="2"/>
      <c r="I588" s="2"/>
    </row>
    <row r="589" spans="1:9" x14ac:dyDescent="0.35">
      <c r="A589" s="2" t="s">
        <v>1407</v>
      </c>
      <c r="B589" s="2" t="s">
        <v>62</v>
      </c>
      <c r="C589" s="2" t="s">
        <v>1441</v>
      </c>
      <c r="D589" s="2" t="s">
        <v>317</v>
      </c>
      <c r="E589" s="2" t="s">
        <v>318</v>
      </c>
      <c r="F589" s="2"/>
      <c r="G589" s="2"/>
      <c r="H589" s="2"/>
      <c r="I589" s="2"/>
    </row>
    <row r="590" spans="1:9" x14ac:dyDescent="0.35">
      <c r="A590" s="2" t="s">
        <v>1407</v>
      </c>
      <c r="B590" s="2" t="s">
        <v>62</v>
      </c>
      <c r="C590" s="2" t="s">
        <v>1441</v>
      </c>
      <c r="D590" s="2" t="s">
        <v>87</v>
      </c>
      <c r="E590" s="2" t="s">
        <v>75</v>
      </c>
      <c r="F590" s="2"/>
      <c r="G590" s="2"/>
      <c r="H590" s="2"/>
      <c r="I590" s="2"/>
    </row>
    <row r="591" spans="1:9" x14ac:dyDescent="0.35">
      <c r="A591" s="2" t="s">
        <v>1407</v>
      </c>
      <c r="B591" s="2" t="s">
        <v>62</v>
      </c>
      <c r="C591" s="2" t="s">
        <v>1441</v>
      </c>
      <c r="D591" s="2" t="s">
        <v>1051</v>
      </c>
      <c r="E591" s="2" t="s">
        <v>318</v>
      </c>
      <c r="F591" s="2"/>
      <c r="G591" s="2"/>
      <c r="H591" s="2"/>
      <c r="I591" s="2"/>
    </row>
    <row r="592" spans="1:9" x14ac:dyDescent="0.35">
      <c r="A592" s="2" t="s">
        <v>1407</v>
      </c>
      <c r="B592" s="2" t="s">
        <v>62</v>
      </c>
      <c r="C592" s="2" t="s">
        <v>1441</v>
      </c>
      <c r="D592" s="2" t="s">
        <v>333</v>
      </c>
      <c r="E592" s="2" t="s">
        <v>334</v>
      </c>
      <c r="F592" s="2"/>
      <c r="G592" s="2"/>
      <c r="H592" s="2"/>
      <c r="I592" s="2"/>
    </row>
    <row r="593" spans="1:9" x14ac:dyDescent="0.35">
      <c r="A593" s="2" t="s">
        <v>1407</v>
      </c>
      <c r="B593" s="2" t="s">
        <v>62</v>
      </c>
      <c r="C593" s="2" t="s">
        <v>1442</v>
      </c>
      <c r="D593" s="2" t="s">
        <v>196</v>
      </c>
      <c r="E593" s="2" t="s">
        <v>197</v>
      </c>
      <c r="F593" s="2"/>
      <c r="G593" s="2"/>
      <c r="H593" s="2"/>
      <c r="I593" s="2"/>
    </row>
    <row r="594" spans="1:9" x14ac:dyDescent="0.35">
      <c r="A594" s="2" t="s">
        <v>1407</v>
      </c>
      <c r="B594" s="2" t="s">
        <v>62</v>
      </c>
      <c r="C594" s="2" t="s">
        <v>1442</v>
      </c>
      <c r="D594" s="2" t="s">
        <v>1443</v>
      </c>
      <c r="E594" s="2" t="s">
        <v>75</v>
      </c>
      <c r="F594" s="2"/>
      <c r="G594" s="2"/>
      <c r="H594" s="2"/>
      <c r="I594" s="2"/>
    </row>
    <row r="595" spans="1:9" x14ac:dyDescent="0.35">
      <c r="A595" s="2" t="s">
        <v>1407</v>
      </c>
      <c r="B595" s="2" t="s">
        <v>62</v>
      </c>
      <c r="C595" s="2" t="s">
        <v>1442</v>
      </c>
      <c r="D595" s="2" t="s">
        <v>317</v>
      </c>
      <c r="E595" s="2" t="s">
        <v>318</v>
      </c>
      <c r="F595" s="2"/>
      <c r="G595" s="2"/>
      <c r="H595" s="2"/>
      <c r="I595" s="2"/>
    </row>
    <row r="596" spans="1:9" x14ac:dyDescent="0.35">
      <c r="A596" s="2" t="s">
        <v>1407</v>
      </c>
      <c r="B596" s="2" t="s">
        <v>62</v>
      </c>
      <c r="C596" s="2" t="s">
        <v>1442</v>
      </c>
      <c r="D596" s="2" t="s">
        <v>1444</v>
      </c>
      <c r="E596" s="2" t="s">
        <v>83</v>
      </c>
      <c r="F596" s="2"/>
      <c r="G596" s="2"/>
      <c r="H596" s="2"/>
      <c r="I596" s="2"/>
    </row>
    <row r="597" spans="1:9" x14ac:dyDescent="0.35">
      <c r="A597" s="2" t="s">
        <v>1407</v>
      </c>
      <c r="B597" s="2" t="s">
        <v>62</v>
      </c>
      <c r="C597" s="2" t="s">
        <v>1442</v>
      </c>
      <c r="D597" s="2" t="s">
        <v>319</v>
      </c>
      <c r="E597" s="2" t="s">
        <v>320</v>
      </c>
      <c r="F597" s="2"/>
      <c r="G597" s="2"/>
      <c r="H597" s="2"/>
      <c r="I597" s="2"/>
    </row>
    <row r="598" spans="1:9" x14ac:dyDescent="0.35">
      <c r="A598" s="2" t="s">
        <v>1407</v>
      </c>
      <c r="B598" s="2" t="s">
        <v>62</v>
      </c>
      <c r="C598" s="2" t="s">
        <v>1442</v>
      </c>
      <c r="D598" s="2" t="s">
        <v>1050</v>
      </c>
      <c r="E598" s="2" t="s">
        <v>75</v>
      </c>
      <c r="F598" s="2"/>
      <c r="G598" s="2"/>
      <c r="H598" s="2"/>
      <c r="I598" s="2"/>
    </row>
    <row r="599" spans="1:9" x14ac:dyDescent="0.35">
      <c r="A599" s="2" t="s">
        <v>1407</v>
      </c>
      <c r="B599" s="2" t="s">
        <v>62</v>
      </c>
      <c r="C599" s="2" t="s">
        <v>1442</v>
      </c>
      <c r="D599" s="2" t="s">
        <v>321</v>
      </c>
      <c r="E599" s="2" t="s">
        <v>321</v>
      </c>
      <c r="F599" s="2"/>
      <c r="G599" s="2"/>
      <c r="H599" s="2"/>
      <c r="I599" s="2"/>
    </row>
    <row r="600" spans="1:9" x14ac:dyDescent="0.35">
      <c r="A600" s="2" t="s">
        <v>1407</v>
      </c>
      <c r="B600" s="2" t="s">
        <v>62</v>
      </c>
      <c r="C600" s="2" t="s">
        <v>1442</v>
      </c>
      <c r="D600" s="2" t="s">
        <v>323</v>
      </c>
      <c r="E600" s="2" t="s">
        <v>246</v>
      </c>
      <c r="F600" s="2"/>
      <c r="G600" s="2"/>
      <c r="H600" s="2"/>
      <c r="I600" s="2"/>
    </row>
    <row r="601" spans="1:9" x14ac:dyDescent="0.35">
      <c r="A601" s="2" t="s">
        <v>1407</v>
      </c>
      <c r="B601" s="2" t="s">
        <v>62</v>
      </c>
      <c r="C601" s="2" t="s">
        <v>1442</v>
      </c>
      <c r="D601" s="2" t="s">
        <v>324</v>
      </c>
      <c r="E601" s="2" t="s">
        <v>246</v>
      </c>
      <c r="F601" s="2"/>
      <c r="G601" s="2"/>
      <c r="H601" s="2"/>
      <c r="I601" s="2"/>
    </row>
    <row r="602" spans="1:9" x14ac:dyDescent="0.35">
      <c r="A602" s="2" t="s">
        <v>1407</v>
      </c>
      <c r="B602" s="2" t="s">
        <v>62</v>
      </c>
      <c r="C602" s="2" t="s">
        <v>1442</v>
      </c>
      <c r="D602" s="2" t="s">
        <v>325</v>
      </c>
      <c r="E602" s="2" t="s">
        <v>326</v>
      </c>
      <c r="F602" s="2"/>
      <c r="G602" s="2"/>
      <c r="H602" s="2"/>
      <c r="I602" s="2"/>
    </row>
    <row r="603" spans="1:9" x14ac:dyDescent="0.35">
      <c r="A603" s="2" t="s">
        <v>1407</v>
      </c>
      <c r="B603" s="2" t="s">
        <v>62</v>
      </c>
      <c r="C603" s="2" t="s">
        <v>1442</v>
      </c>
      <c r="D603" s="2" t="s">
        <v>327</v>
      </c>
      <c r="E603" s="2" t="s">
        <v>328</v>
      </c>
      <c r="F603" s="2"/>
      <c r="G603" s="2"/>
      <c r="H603" s="2"/>
      <c r="I603" s="2"/>
    </row>
    <row r="604" spans="1:9" x14ac:dyDescent="0.35">
      <c r="A604" s="2" t="s">
        <v>1407</v>
      </c>
      <c r="B604" s="2" t="s">
        <v>62</v>
      </c>
      <c r="C604" s="2" t="s">
        <v>1442</v>
      </c>
      <c r="D604" s="2" t="s">
        <v>329</v>
      </c>
      <c r="E604" s="2" t="s">
        <v>330</v>
      </c>
      <c r="F604" s="2"/>
      <c r="G604" s="2"/>
      <c r="H604" s="2"/>
      <c r="I604" s="2"/>
    </row>
    <row r="605" spans="1:9" x14ac:dyDescent="0.35">
      <c r="A605" s="2" t="s">
        <v>1407</v>
      </c>
      <c r="B605" s="2" t="s">
        <v>62</v>
      </c>
      <c r="C605" s="2" t="s">
        <v>1442</v>
      </c>
      <c r="D605" s="2" t="s">
        <v>331</v>
      </c>
      <c r="E605" s="2" t="s">
        <v>332</v>
      </c>
      <c r="F605" s="2"/>
      <c r="G605" s="2"/>
      <c r="H605" s="2"/>
      <c r="I605" s="2"/>
    </row>
    <row r="606" spans="1:9" x14ac:dyDescent="0.35">
      <c r="A606" s="2" t="s">
        <v>1407</v>
      </c>
      <c r="B606" s="2" t="s">
        <v>62</v>
      </c>
      <c r="C606" s="2" t="s">
        <v>1442</v>
      </c>
      <c r="D606" s="2" t="s">
        <v>333</v>
      </c>
      <c r="E606" s="2" t="s">
        <v>334</v>
      </c>
      <c r="F606" s="2"/>
      <c r="G606" s="2"/>
      <c r="H606" s="2"/>
      <c r="I606" s="2"/>
    </row>
    <row r="607" spans="1:9" x14ac:dyDescent="0.35">
      <c r="A607" s="2" t="s">
        <v>1407</v>
      </c>
      <c r="B607" s="2" t="s">
        <v>62</v>
      </c>
      <c r="C607" s="2" t="s">
        <v>1442</v>
      </c>
      <c r="D607" s="2" t="s">
        <v>1297</v>
      </c>
      <c r="E607" s="2" t="s">
        <v>533</v>
      </c>
      <c r="F607" s="2"/>
      <c r="G607" s="2"/>
      <c r="H607" s="2"/>
      <c r="I607" s="2"/>
    </row>
    <row r="608" spans="1:9" x14ac:dyDescent="0.35">
      <c r="A608" s="2" t="s">
        <v>1407</v>
      </c>
      <c r="B608" s="2" t="s">
        <v>62</v>
      </c>
      <c r="C608" s="2" t="s">
        <v>1442</v>
      </c>
      <c r="D608" s="2" t="s">
        <v>335</v>
      </c>
      <c r="E608" s="2" t="s">
        <v>336</v>
      </c>
      <c r="F608" s="2"/>
      <c r="G608" s="2"/>
      <c r="H608" s="2"/>
      <c r="I608" s="2"/>
    </row>
    <row r="609" spans="1:9" x14ac:dyDescent="0.35">
      <c r="A609" s="2" t="s">
        <v>1407</v>
      </c>
      <c r="B609" s="2" t="s">
        <v>62</v>
      </c>
      <c r="C609" s="2" t="s">
        <v>1442</v>
      </c>
      <c r="D609" s="2" t="s">
        <v>337</v>
      </c>
      <c r="E609" s="2" t="s">
        <v>338</v>
      </c>
      <c r="F609" s="2"/>
      <c r="G609" s="2"/>
      <c r="H609" s="2"/>
      <c r="I609" s="2"/>
    </row>
    <row r="610" spans="1:9" x14ac:dyDescent="0.35">
      <c r="A610" s="2" t="s">
        <v>1407</v>
      </c>
      <c r="B610" s="2" t="s">
        <v>62</v>
      </c>
      <c r="C610" s="2" t="s">
        <v>1442</v>
      </c>
      <c r="D610" s="2" t="s">
        <v>339</v>
      </c>
      <c r="E610" s="2" t="s">
        <v>340</v>
      </c>
      <c r="F610" s="2"/>
      <c r="G610" s="2"/>
      <c r="H610" s="2"/>
      <c r="I610" s="2"/>
    </row>
    <row r="611" spans="1:9" x14ac:dyDescent="0.35">
      <c r="A611" s="2" t="s">
        <v>1407</v>
      </c>
      <c r="B611" s="2" t="s">
        <v>62</v>
      </c>
      <c r="C611" s="2" t="s">
        <v>1442</v>
      </c>
      <c r="D611" s="2" t="s">
        <v>341</v>
      </c>
      <c r="E611" s="2" t="s">
        <v>342</v>
      </c>
      <c r="F611" s="2"/>
      <c r="G611" s="2"/>
      <c r="H611" s="2"/>
      <c r="I611" s="2"/>
    </row>
    <row r="612" spans="1:9" x14ac:dyDescent="0.35">
      <c r="A612" s="2" t="s">
        <v>1407</v>
      </c>
      <c r="B612" s="2" t="s">
        <v>62</v>
      </c>
      <c r="C612" s="2" t="s">
        <v>1442</v>
      </c>
      <c r="D612" s="2" t="s">
        <v>343</v>
      </c>
      <c r="E612" s="2" t="s">
        <v>344</v>
      </c>
      <c r="F612" s="2"/>
      <c r="G612" s="2"/>
      <c r="H612" s="2"/>
      <c r="I612" s="2"/>
    </row>
    <row r="613" spans="1:9" x14ac:dyDescent="0.35">
      <c r="A613" s="2" t="s">
        <v>1407</v>
      </c>
      <c r="B613" s="2" t="s">
        <v>62</v>
      </c>
      <c r="C613" s="2" t="s">
        <v>1442</v>
      </c>
      <c r="D613" s="2" t="s">
        <v>345</v>
      </c>
      <c r="E613" s="2" t="s">
        <v>346</v>
      </c>
      <c r="F613" s="2"/>
      <c r="G613" s="2"/>
      <c r="H613" s="2"/>
      <c r="I613" s="2"/>
    </row>
    <row r="614" spans="1:9" x14ac:dyDescent="0.35">
      <c r="A614" s="2" t="s">
        <v>1407</v>
      </c>
      <c r="B614" s="2" t="s">
        <v>62</v>
      </c>
      <c r="C614" s="2" t="s">
        <v>1445</v>
      </c>
      <c r="D614" s="2" t="s">
        <v>317</v>
      </c>
      <c r="E614" s="2" t="s">
        <v>318</v>
      </c>
      <c r="F614" s="2"/>
      <c r="G614" s="2"/>
      <c r="H614" s="2"/>
      <c r="I614" s="2"/>
    </row>
    <row r="615" spans="1:9" x14ac:dyDescent="0.35">
      <c r="A615" s="2" t="s">
        <v>1407</v>
      </c>
      <c r="B615" s="2" t="s">
        <v>62</v>
      </c>
      <c r="C615" s="2" t="s">
        <v>1445</v>
      </c>
      <c r="D615" s="2" t="s">
        <v>1051</v>
      </c>
      <c r="E615" s="2" t="s">
        <v>318</v>
      </c>
      <c r="F615" s="2"/>
      <c r="G615" s="2"/>
      <c r="H615" s="2"/>
      <c r="I615" s="2"/>
    </row>
    <row r="616" spans="1:9" x14ac:dyDescent="0.35">
      <c r="A616" s="2" t="s">
        <v>1407</v>
      </c>
      <c r="B616" s="2" t="s">
        <v>62</v>
      </c>
      <c r="C616" s="2" t="s">
        <v>1445</v>
      </c>
      <c r="D616" s="2" t="s">
        <v>333</v>
      </c>
      <c r="E616" s="2" t="s">
        <v>334</v>
      </c>
      <c r="F616" s="2"/>
      <c r="G616" s="2"/>
      <c r="H616" s="2"/>
      <c r="I616" s="2"/>
    </row>
    <row r="617" spans="1:9" x14ac:dyDescent="0.35">
      <c r="A617" s="2" t="s">
        <v>1407</v>
      </c>
      <c r="B617" s="2" t="s">
        <v>62</v>
      </c>
      <c r="C617" s="2" t="s">
        <v>1446</v>
      </c>
      <c r="D617" s="2" t="s">
        <v>317</v>
      </c>
      <c r="E617" s="2" t="s">
        <v>318</v>
      </c>
      <c r="F617" s="2"/>
      <c r="G617" s="2"/>
      <c r="H617" s="2"/>
      <c r="I617" s="2"/>
    </row>
    <row r="618" spans="1:9" x14ac:dyDescent="0.35">
      <c r="A618" s="2" t="s">
        <v>1407</v>
      </c>
      <c r="B618" s="2" t="s">
        <v>62</v>
      </c>
      <c r="C618" s="2" t="s">
        <v>1446</v>
      </c>
      <c r="D618" s="2" t="s">
        <v>1050</v>
      </c>
      <c r="E618" s="2" t="s">
        <v>75</v>
      </c>
      <c r="F618" s="2"/>
      <c r="G618" s="2"/>
      <c r="H618" s="2"/>
      <c r="I618" s="2"/>
    </row>
    <row r="619" spans="1:9" x14ac:dyDescent="0.35">
      <c r="A619" s="2" t="s">
        <v>1407</v>
      </c>
      <c r="B619" s="2" t="s">
        <v>62</v>
      </c>
      <c r="C619" s="2" t="s">
        <v>1446</v>
      </c>
      <c r="D619" s="2" t="s">
        <v>333</v>
      </c>
      <c r="E619" s="2" t="s">
        <v>334</v>
      </c>
      <c r="F619" s="2"/>
      <c r="G619" s="2"/>
      <c r="H619" s="2"/>
      <c r="I619" s="2"/>
    </row>
    <row r="620" spans="1:9" x14ac:dyDescent="0.35">
      <c r="A620" s="2" t="s">
        <v>1407</v>
      </c>
      <c r="B620" s="2" t="s">
        <v>24</v>
      </c>
      <c r="C620" s="2" t="s">
        <v>1447</v>
      </c>
      <c r="D620" s="2" t="s">
        <v>1226</v>
      </c>
      <c r="E620" s="2" t="s">
        <v>107</v>
      </c>
      <c r="F620" s="2"/>
      <c r="G620" s="2"/>
      <c r="H620" s="2"/>
      <c r="I620" s="2"/>
    </row>
    <row r="621" spans="1:9" x14ac:dyDescent="0.35">
      <c r="A621" s="2" t="s">
        <v>1407</v>
      </c>
      <c r="B621" s="2" t="s">
        <v>24</v>
      </c>
      <c r="C621" s="2" t="s">
        <v>1447</v>
      </c>
      <c r="D621" s="2" t="s">
        <v>1228</v>
      </c>
      <c r="E621" s="2" t="s">
        <v>228</v>
      </c>
      <c r="F621" s="2"/>
      <c r="G621" s="2"/>
      <c r="H621" s="2"/>
      <c r="I621" s="2"/>
    </row>
    <row r="622" spans="1:9" x14ac:dyDescent="0.35">
      <c r="A622" s="2" t="s">
        <v>1407</v>
      </c>
      <c r="B622" s="2" t="s">
        <v>24</v>
      </c>
      <c r="C622" s="2" t="s">
        <v>1447</v>
      </c>
      <c r="D622" s="2" t="s">
        <v>1261</v>
      </c>
      <c r="E622" s="2" t="s">
        <v>277</v>
      </c>
      <c r="F622" s="2"/>
      <c r="G622" s="2"/>
      <c r="H622" s="2"/>
      <c r="I622" s="2"/>
    </row>
    <row r="623" spans="1:9" x14ac:dyDescent="0.35">
      <c r="A623" s="2" t="s">
        <v>1407</v>
      </c>
      <c r="B623" s="2" t="s">
        <v>24</v>
      </c>
      <c r="C623" s="2" t="s">
        <v>1448</v>
      </c>
      <c r="D623" s="2" t="s">
        <v>130</v>
      </c>
      <c r="E623" s="2" t="s">
        <v>36</v>
      </c>
      <c r="F623" s="2"/>
      <c r="G623" s="2"/>
      <c r="H623" s="2"/>
      <c r="I623" s="2"/>
    </row>
    <row r="624" spans="1:9" x14ac:dyDescent="0.35">
      <c r="A624" s="2" t="s">
        <v>1407</v>
      </c>
      <c r="B624" s="2" t="s">
        <v>24</v>
      </c>
      <c r="C624" s="2" t="s">
        <v>1448</v>
      </c>
      <c r="D624" s="2" t="s">
        <v>1415</v>
      </c>
      <c r="E624" s="2" t="s">
        <v>1416</v>
      </c>
      <c r="F624" s="2"/>
      <c r="G624" s="2"/>
      <c r="H624" s="2"/>
      <c r="I624" s="2"/>
    </row>
    <row r="625" spans="1:9" x14ac:dyDescent="0.35">
      <c r="A625" s="2" t="s">
        <v>1407</v>
      </c>
      <c r="B625" s="2" t="s">
        <v>24</v>
      </c>
      <c r="C625" s="2" t="s">
        <v>1448</v>
      </c>
      <c r="D625" s="2" t="s">
        <v>1226</v>
      </c>
      <c r="E625" s="2" t="s">
        <v>107</v>
      </c>
      <c r="F625" s="2"/>
      <c r="G625" s="2"/>
      <c r="H625" s="2"/>
      <c r="I625" s="2"/>
    </row>
    <row r="626" spans="1:9" x14ac:dyDescent="0.35">
      <c r="A626" s="2" t="s">
        <v>1407</v>
      </c>
      <c r="B626" s="2" t="s">
        <v>24</v>
      </c>
      <c r="C626" s="2" t="s">
        <v>1448</v>
      </c>
      <c r="D626" s="2" t="s">
        <v>1228</v>
      </c>
      <c r="E626" s="2" t="s">
        <v>228</v>
      </c>
      <c r="F626" s="2"/>
      <c r="G626" s="2"/>
      <c r="H626" s="2"/>
      <c r="I626" s="2"/>
    </row>
    <row r="627" spans="1:9" x14ac:dyDescent="0.35">
      <c r="A627" s="2" t="s">
        <v>1407</v>
      </c>
      <c r="B627" s="2" t="s">
        <v>24</v>
      </c>
      <c r="C627" s="2" t="s">
        <v>1448</v>
      </c>
      <c r="D627" s="2" t="s">
        <v>1342</v>
      </c>
      <c r="E627" s="2" t="s">
        <v>1343</v>
      </c>
      <c r="F627" s="2"/>
      <c r="G627" s="2"/>
      <c r="H627" s="2"/>
      <c r="I627" s="2"/>
    </row>
    <row r="628" spans="1:9" x14ac:dyDescent="0.35">
      <c r="A628" s="2" t="s">
        <v>1407</v>
      </c>
      <c r="B628" s="2" t="s">
        <v>801</v>
      </c>
      <c r="C628" s="2" t="s">
        <v>1449</v>
      </c>
      <c r="D628" s="2" t="s">
        <v>130</v>
      </c>
      <c r="E628" s="2" t="s">
        <v>36</v>
      </c>
      <c r="F628" s="2"/>
      <c r="G628" s="2"/>
      <c r="H628" s="2"/>
      <c r="I628" s="2"/>
    </row>
    <row r="629" spans="1:9" x14ac:dyDescent="0.35">
      <c r="A629" s="2" t="s">
        <v>1407</v>
      </c>
      <c r="B629" s="2" t="s">
        <v>62</v>
      </c>
      <c r="C629" s="2" t="s">
        <v>1450</v>
      </c>
      <c r="D629" s="2" t="s">
        <v>196</v>
      </c>
      <c r="E629" s="2" t="s">
        <v>197</v>
      </c>
      <c r="F629" s="2"/>
      <c r="G629" s="2"/>
      <c r="H629" s="2"/>
      <c r="I629" s="2"/>
    </row>
    <row r="630" spans="1:9" x14ac:dyDescent="0.35">
      <c r="A630" s="2" t="s">
        <v>1407</v>
      </c>
      <c r="B630" s="2" t="s">
        <v>62</v>
      </c>
      <c r="C630" s="2" t="s">
        <v>1450</v>
      </c>
      <c r="D630" s="2" t="s">
        <v>317</v>
      </c>
      <c r="E630" s="2" t="s">
        <v>318</v>
      </c>
      <c r="F630" s="2"/>
      <c r="G630" s="2"/>
      <c r="H630" s="2"/>
      <c r="I630" s="2"/>
    </row>
    <row r="631" spans="1:9" x14ac:dyDescent="0.35">
      <c r="A631" s="2" t="s">
        <v>1407</v>
      </c>
      <c r="B631" s="2" t="s">
        <v>62</v>
      </c>
      <c r="C631" s="2" t="s">
        <v>1450</v>
      </c>
      <c r="D631" s="2" t="s">
        <v>319</v>
      </c>
      <c r="E631" s="2" t="s">
        <v>320</v>
      </c>
      <c r="F631" s="2"/>
      <c r="G631" s="2"/>
      <c r="H631" s="2"/>
      <c r="I631" s="2"/>
    </row>
    <row r="632" spans="1:9" x14ac:dyDescent="0.35">
      <c r="A632" s="2" t="s">
        <v>1407</v>
      </c>
      <c r="B632" s="2" t="s">
        <v>62</v>
      </c>
      <c r="C632" s="2" t="s">
        <v>1450</v>
      </c>
      <c r="D632" s="2" t="s">
        <v>1050</v>
      </c>
      <c r="E632" s="2" t="s">
        <v>75</v>
      </c>
      <c r="F632" s="2"/>
      <c r="G632" s="2"/>
      <c r="H632" s="2"/>
      <c r="I632" s="2"/>
    </row>
    <row r="633" spans="1:9" x14ac:dyDescent="0.35">
      <c r="A633" s="2" t="s">
        <v>1407</v>
      </c>
      <c r="B633" s="2" t="s">
        <v>62</v>
      </c>
      <c r="C633" s="2" t="s">
        <v>1450</v>
      </c>
      <c r="D633" s="2" t="s">
        <v>321</v>
      </c>
      <c r="E633" s="2" t="s">
        <v>321</v>
      </c>
      <c r="F633" s="2"/>
      <c r="G633" s="2"/>
      <c r="H633" s="2"/>
      <c r="I633" s="2"/>
    </row>
    <row r="634" spans="1:9" x14ac:dyDescent="0.35">
      <c r="A634" s="2" t="s">
        <v>1407</v>
      </c>
      <c r="B634" s="2" t="s">
        <v>62</v>
      </c>
      <c r="C634" s="2" t="s">
        <v>1450</v>
      </c>
      <c r="D634" s="2" t="s">
        <v>322</v>
      </c>
      <c r="E634" s="2" t="s">
        <v>246</v>
      </c>
      <c r="F634" s="2"/>
      <c r="G634" s="2"/>
      <c r="H634" s="2"/>
      <c r="I634" s="2"/>
    </row>
    <row r="635" spans="1:9" x14ac:dyDescent="0.35">
      <c r="A635" s="2" t="s">
        <v>1407</v>
      </c>
      <c r="B635" s="2" t="s">
        <v>62</v>
      </c>
      <c r="C635" s="2" t="s">
        <v>1450</v>
      </c>
      <c r="D635" s="2" t="s">
        <v>323</v>
      </c>
      <c r="E635" s="2" t="s">
        <v>246</v>
      </c>
      <c r="F635" s="2"/>
      <c r="G635" s="2"/>
      <c r="H635" s="2"/>
      <c r="I635" s="2"/>
    </row>
    <row r="636" spans="1:9" x14ac:dyDescent="0.35">
      <c r="A636" s="2" t="s">
        <v>1407</v>
      </c>
      <c r="B636" s="2" t="s">
        <v>62</v>
      </c>
      <c r="C636" s="2" t="s">
        <v>1450</v>
      </c>
      <c r="D636" s="2" t="s">
        <v>324</v>
      </c>
      <c r="E636" s="2" t="s">
        <v>246</v>
      </c>
      <c r="F636" s="2"/>
      <c r="G636" s="2"/>
      <c r="H636" s="2"/>
      <c r="I636" s="2"/>
    </row>
    <row r="637" spans="1:9" x14ac:dyDescent="0.35">
      <c r="A637" s="2" t="s">
        <v>1407</v>
      </c>
      <c r="B637" s="2" t="s">
        <v>62</v>
      </c>
      <c r="C637" s="2" t="s">
        <v>1450</v>
      </c>
      <c r="D637" s="2" t="s">
        <v>325</v>
      </c>
      <c r="E637" s="2" t="s">
        <v>326</v>
      </c>
      <c r="F637" s="2"/>
      <c r="G637" s="2"/>
      <c r="H637" s="2"/>
      <c r="I637" s="2"/>
    </row>
    <row r="638" spans="1:9" x14ac:dyDescent="0.35">
      <c r="A638" s="2" t="s">
        <v>1407</v>
      </c>
      <c r="B638" s="2" t="s">
        <v>62</v>
      </c>
      <c r="C638" s="2" t="s">
        <v>1450</v>
      </c>
      <c r="D638" s="2" t="s">
        <v>327</v>
      </c>
      <c r="E638" s="2" t="s">
        <v>328</v>
      </c>
      <c r="F638" s="2"/>
      <c r="G638" s="2"/>
      <c r="H638" s="2"/>
      <c r="I638" s="2"/>
    </row>
    <row r="639" spans="1:9" x14ac:dyDescent="0.35">
      <c r="A639" s="2" t="s">
        <v>1407</v>
      </c>
      <c r="B639" s="2" t="s">
        <v>62</v>
      </c>
      <c r="C639" s="2" t="s">
        <v>1450</v>
      </c>
      <c r="D639" s="2" t="s">
        <v>329</v>
      </c>
      <c r="E639" s="2" t="s">
        <v>330</v>
      </c>
      <c r="F639" s="2"/>
      <c r="G639" s="2"/>
      <c r="H639" s="2"/>
      <c r="I639" s="2"/>
    </row>
    <row r="640" spans="1:9" x14ac:dyDescent="0.35">
      <c r="A640" s="2" t="s">
        <v>1407</v>
      </c>
      <c r="B640" s="2" t="s">
        <v>62</v>
      </c>
      <c r="C640" s="2" t="s">
        <v>1450</v>
      </c>
      <c r="D640" s="2" t="s">
        <v>331</v>
      </c>
      <c r="E640" s="2" t="s">
        <v>332</v>
      </c>
      <c r="F640" s="2"/>
      <c r="G640" s="2"/>
      <c r="H640" s="2"/>
      <c r="I640" s="2"/>
    </row>
    <row r="641" spans="1:9" x14ac:dyDescent="0.35">
      <c r="A641" s="2" t="s">
        <v>1407</v>
      </c>
      <c r="B641" s="2" t="s">
        <v>62</v>
      </c>
      <c r="C641" s="2" t="s">
        <v>1450</v>
      </c>
      <c r="D641" s="2" t="s">
        <v>333</v>
      </c>
      <c r="E641" s="2" t="s">
        <v>334</v>
      </c>
      <c r="F641" s="2"/>
      <c r="G641" s="2"/>
      <c r="H641" s="2"/>
      <c r="I641" s="2"/>
    </row>
    <row r="642" spans="1:9" x14ac:dyDescent="0.35">
      <c r="A642" s="2" t="s">
        <v>1407</v>
      </c>
      <c r="B642" s="2" t="s">
        <v>62</v>
      </c>
      <c r="C642" s="2" t="s">
        <v>1450</v>
      </c>
      <c r="D642" s="2" t="s">
        <v>1297</v>
      </c>
      <c r="E642" s="2" t="s">
        <v>533</v>
      </c>
      <c r="F642" s="2"/>
      <c r="G642" s="2"/>
      <c r="H642" s="2"/>
      <c r="I642" s="2"/>
    </row>
    <row r="643" spans="1:9" x14ac:dyDescent="0.35">
      <c r="A643" s="2" t="s">
        <v>1407</v>
      </c>
      <c r="B643" s="2" t="s">
        <v>62</v>
      </c>
      <c r="C643" s="2" t="s">
        <v>1450</v>
      </c>
      <c r="D643" s="2" t="s">
        <v>335</v>
      </c>
      <c r="E643" s="2" t="s">
        <v>336</v>
      </c>
      <c r="F643" s="2"/>
      <c r="G643" s="2"/>
      <c r="H643" s="2"/>
      <c r="I643" s="2"/>
    </row>
    <row r="644" spans="1:9" x14ac:dyDescent="0.35">
      <c r="A644" s="2" t="s">
        <v>1407</v>
      </c>
      <c r="B644" s="2" t="s">
        <v>62</v>
      </c>
      <c r="C644" s="2" t="s">
        <v>1450</v>
      </c>
      <c r="D644" s="2" t="s">
        <v>337</v>
      </c>
      <c r="E644" s="2" t="s">
        <v>338</v>
      </c>
      <c r="F644" s="2"/>
      <c r="G644" s="2"/>
      <c r="H644" s="2"/>
      <c r="I644" s="2"/>
    </row>
    <row r="645" spans="1:9" x14ac:dyDescent="0.35">
      <c r="A645" s="2" t="s">
        <v>1407</v>
      </c>
      <c r="B645" s="2" t="s">
        <v>62</v>
      </c>
      <c r="C645" s="2" t="s">
        <v>1450</v>
      </c>
      <c r="D645" s="2" t="s">
        <v>339</v>
      </c>
      <c r="E645" s="2" t="s">
        <v>340</v>
      </c>
      <c r="F645" s="2"/>
      <c r="G645" s="2"/>
      <c r="H645" s="2"/>
      <c r="I645" s="2"/>
    </row>
    <row r="646" spans="1:9" x14ac:dyDescent="0.35">
      <c r="A646" s="2" t="s">
        <v>1407</v>
      </c>
      <c r="B646" s="2" t="s">
        <v>62</v>
      </c>
      <c r="C646" s="2" t="s">
        <v>1450</v>
      </c>
      <c r="D646" s="2" t="s">
        <v>341</v>
      </c>
      <c r="E646" s="2" t="s">
        <v>342</v>
      </c>
      <c r="F646" s="2"/>
      <c r="G646" s="2"/>
      <c r="H646" s="2"/>
      <c r="I646" s="2"/>
    </row>
    <row r="647" spans="1:9" x14ac:dyDescent="0.35">
      <c r="A647" s="2" t="s">
        <v>1407</v>
      </c>
      <c r="B647" s="2" t="s">
        <v>62</v>
      </c>
      <c r="C647" s="2" t="s">
        <v>1450</v>
      </c>
      <c r="D647" s="2" t="s">
        <v>343</v>
      </c>
      <c r="E647" s="2" t="s">
        <v>344</v>
      </c>
      <c r="F647" s="2"/>
      <c r="G647" s="2"/>
      <c r="H647" s="2"/>
      <c r="I647" s="2"/>
    </row>
    <row r="648" spans="1:9" x14ac:dyDescent="0.35">
      <c r="A648" s="2" t="s">
        <v>1407</v>
      </c>
      <c r="B648" s="2" t="s">
        <v>62</v>
      </c>
      <c r="C648" s="2" t="s">
        <v>1450</v>
      </c>
      <c r="D648" s="2" t="s">
        <v>345</v>
      </c>
      <c r="E648" s="2" t="s">
        <v>346</v>
      </c>
      <c r="F648" s="2"/>
      <c r="G648" s="2"/>
      <c r="H648" s="2"/>
      <c r="I648" s="2"/>
    </row>
    <row r="649" spans="1:9" x14ac:dyDescent="0.35">
      <c r="A649" s="2" t="s">
        <v>1407</v>
      </c>
      <c r="B649" s="2" t="s">
        <v>24</v>
      </c>
      <c r="C649" s="2" t="s">
        <v>1451</v>
      </c>
      <c r="D649" s="2" t="s">
        <v>196</v>
      </c>
      <c r="E649" s="2" t="s">
        <v>197</v>
      </c>
      <c r="F649" s="2"/>
      <c r="G649" s="2"/>
      <c r="H649" s="2"/>
      <c r="I649" s="2"/>
    </row>
    <row r="650" spans="1:9" x14ac:dyDescent="0.35">
      <c r="A650" s="2" t="s">
        <v>1407</v>
      </c>
      <c r="B650" s="2" t="s">
        <v>24</v>
      </c>
      <c r="C650" s="2" t="s">
        <v>1451</v>
      </c>
      <c r="D650" s="2" t="s">
        <v>1452</v>
      </c>
      <c r="E650" s="2" t="s">
        <v>83</v>
      </c>
      <c r="F650" s="2"/>
      <c r="G650" s="2"/>
      <c r="H650" s="2"/>
      <c r="I650" s="2"/>
    </row>
    <row r="651" spans="1:9" x14ac:dyDescent="0.35">
      <c r="A651" s="2" t="s">
        <v>1407</v>
      </c>
      <c r="B651" s="2" t="s">
        <v>24</v>
      </c>
      <c r="C651" s="2" t="s">
        <v>1451</v>
      </c>
      <c r="D651" s="2" t="s">
        <v>1305</v>
      </c>
      <c r="E651" s="2" t="s">
        <v>38</v>
      </c>
      <c r="F651" s="2"/>
      <c r="G651" s="2"/>
      <c r="H651" s="2"/>
      <c r="I651" s="2"/>
    </row>
    <row r="652" spans="1:9" x14ac:dyDescent="0.35">
      <c r="A652" s="2" t="s">
        <v>1407</v>
      </c>
      <c r="B652" s="2" t="s">
        <v>24</v>
      </c>
      <c r="C652" s="2" t="s">
        <v>1451</v>
      </c>
      <c r="D652" s="2" t="s">
        <v>74</v>
      </c>
      <c r="E652" s="2" t="s">
        <v>75</v>
      </c>
      <c r="F652" s="2"/>
      <c r="G652" s="2"/>
      <c r="H652" s="2"/>
      <c r="I652" s="2"/>
    </row>
    <row r="653" spans="1:9" x14ac:dyDescent="0.35">
      <c r="A653" s="2" t="s">
        <v>1407</v>
      </c>
      <c r="B653" s="2" t="s">
        <v>24</v>
      </c>
      <c r="C653" s="2" t="s">
        <v>1451</v>
      </c>
      <c r="D653" s="2" t="s">
        <v>648</v>
      </c>
      <c r="E653" s="2" t="s">
        <v>125</v>
      </c>
      <c r="F653" s="2"/>
      <c r="G653" s="2"/>
      <c r="H653" s="2"/>
      <c r="I653" s="2"/>
    </row>
    <row r="654" spans="1:9" x14ac:dyDescent="0.35">
      <c r="A654" s="2" t="s">
        <v>1407</v>
      </c>
      <c r="B654" s="2" t="s">
        <v>24</v>
      </c>
      <c r="C654" s="2" t="s">
        <v>1451</v>
      </c>
      <c r="D654" s="2" t="s">
        <v>1453</v>
      </c>
      <c r="E654" s="2" t="s">
        <v>363</v>
      </c>
      <c r="F654" s="2"/>
      <c r="G654" s="2"/>
      <c r="H654" s="2"/>
      <c r="I654" s="2"/>
    </row>
    <row r="655" spans="1:9" x14ac:dyDescent="0.35">
      <c r="A655" s="2" t="s">
        <v>1407</v>
      </c>
      <c r="B655" s="2" t="s">
        <v>24</v>
      </c>
      <c r="C655" s="2" t="s">
        <v>1451</v>
      </c>
      <c r="D655" s="2" t="s">
        <v>1226</v>
      </c>
      <c r="E655" s="2" t="s">
        <v>107</v>
      </c>
      <c r="F655" s="2"/>
      <c r="G655" s="2"/>
      <c r="H655" s="2"/>
      <c r="I655" s="2"/>
    </row>
    <row r="656" spans="1:9" x14ac:dyDescent="0.35">
      <c r="A656" s="2" t="s">
        <v>1407</v>
      </c>
      <c r="B656" s="2" t="s">
        <v>24</v>
      </c>
      <c r="C656" s="2" t="s">
        <v>1451</v>
      </c>
      <c r="D656" s="2" t="s">
        <v>1454</v>
      </c>
      <c r="E656" s="2" t="s">
        <v>277</v>
      </c>
      <c r="F656" s="2"/>
      <c r="G656" s="2"/>
      <c r="H656" s="2"/>
      <c r="I656" s="2"/>
    </row>
    <row r="657" spans="1:9" x14ac:dyDescent="0.35">
      <c r="A657" s="2" t="s">
        <v>1407</v>
      </c>
      <c r="B657" s="2" t="s">
        <v>24</v>
      </c>
      <c r="C657" s="2" t="s">
        <v>1451</v>
      </c>
      <c r="D657" s="2" t="s">
        <v>1455</v>
      </c>
      <c r="E657" s="2" t="s">
        <v>65</v>
      </c>
      <c r="F657" s="2"/>
      <c r="G657" s="2"/>
      <c r="H657" s="2"/>
      <c r="I657" s="2"/>
    </row>
    <row r="658" spans="1:9" x14ac:dyDescent="0.35">
      <c r="A658" s="2" t="s">
        <v>1407</v>
      </c>
      <c r="B658" s="2" t="s">
        <v>24</v>
      </c>
      <c r="C658" s="2" t="s">
        <v>1451</v>
      </c>
      <c r="D658" s="2" t="s">
        <v>1456</v>
      </c>
      <c r="E658" s="2" t="s">
        <v>363</v>
      </c>
      <c r="F658" s="2"/>
      <c r="G658" s="2"/>
      <c r="H658" s="2"/>
      <c r="I658" s="2"/>
    </row>
    <row r="659" spans="1:9" x14ac:dyDescent="0.35">
      <c r="A659" s="2" t="s">
        <v>1407</v>
      </c>
      <c r="B659" s="2" t="s">
        <v>24</v>
      </c>
      <c r="C659" s="2" t="s">
        <v>1451</v>
      </c>
      <c r="D659" s="2" t="s">
        <v>1457</v>
      </c>
      <c r="E659" s="2" t="s">
        <v>1458</v>
      </c>
      <c r="F659" s="2"/>
      <c r="G659" s="2"/>
      <c r="H659" s="2"/>
      <c r="I659" s="2"/>
    </row>
    <row r="660" spans="1:9" x14ac:dyDescent="0.35">
      <c r="A660" s="2" t="s">
        <v>1407</v>
      </c>
      <c r="B660" s="2" t="s">
        <v>24</v>
      </c>
      <c r="C660" s="2" t="s">
        <v>1451</v>
      </c>
      <c r="D660" s="2" t="s">
        <v>1459</v>
      </c>
      <c r="E660" s="2" t="s">
        <v>363</v>
      </c>
      <c r="F660" s="2"/>
      <c r="G660" s="2"/>
      <c r="H660" s="2"/>
      <c r="I660" s="2"/>
    </row>
    <row r="661" spans="1:9" x14ac:dyDescent="0.35">
      <c r="A661" s="2" t="s">
        <v>1407</v>
      </c>
      <c r="B661" s="2" t="s">
        <v>24</v>
      </c>
      <c r="C661" s="2" t="s">
        <v>1451</v>
      </c>
      <c r="D661" s="2" t="s">
        <v>87</v>
      </c>
      <c r="E661" s="2" t="s">
        <v>75</v>
      </c>
      <c r="F661" s="2" t="s">
        <v>20</v>
      </c>
      <c r="G661" s="2" t="s">
        <v>1460</v>
      </c>
      <c r="H661" s="2"/>
      <c r="I661" s="2"/>
    </row>
    <row r="662" spans="1:9" x14ac:dyDescent="0.35">
      <c r="A662" s="2" t="s">
        <v>1407</v>
      </c>
      <c r="B662" s="2" t="s">
        <v>24</v>
      </c>
      <c r="C662" s="2" t="s">
        <v>1451</v>
      </c>
      <c r="D662" s="2" t="s">
        <v>51</v>
      </c>
      <c r="E662" s="2" t="s">
        <v>52</v>
      </c>
      <c r="F662" s="2"/>
      <c r="G662" s="2"/>
      <c r="H662" s="2"/>
      <c r="I662" s="2"/>
    </row>
    <row r="663" spans="1:9" x14ac:dyDescent="0.35">
      <c r="A663" s="2" t="s">
        <v>1407</v>
      </c>
      <c r="B663" s="2" t="s">
        <v>24</v>
      </c>
      <c r="C663" s="2" t="s">
        <v>1451</v>
      </c>
      <c r="D663" s="2" t="s">
        <v>124</v>
      </c>
      <c r="E663" s="2" t="s">
        <v>125</v>
      </c>
      <c r="F663" s="2"/>
      <c r="G663" s="2"/>
      <c r="H663" s="2"/>
      <c r="I663" s="2"/>
    </row>
    <row r="664" spans="1:9" x14ac:dyDescent="0.35">
      <c r="A664" s="2" t="s">
        <v>1407</v>
      </c>
      <c r="B664" s="2" t="s">
        <v>24</v>
      </c>
      <c r="C664" s="2" t="s">
        <v>1451</v>
      </c>
      <c r="D664" s="2" t="s">
        <v>1461</v>
      </c>
      <c r="E664" s="2" t="s">
        <v>38</v>
      </c>
      <c r="F664" s="2"/>
      <c r="G664" s="2"/>
      <c r="H664" s="2"/>
      <c r="I664" s="2"/>
    </row>
    <row r="665" spans="1:9" x14ac:dyDescent="0.35">
      <c r="A665" s="2" t="s">
        <v>1407</v>
      </c>
      <c r="B665" s="2" t="s">
        <v>24</v>
      </c>
      <c r="C665" s="2" t="s">
        <v>1451</v>
      </c>
      <c r="D665" s="2" t="s">
        <v>18</v>
      </c>
      <c r="E665" s="2" t="s">
        <v>19</v>
      </c>
      <c r="F665" s="2" t="s">
        <v>20</v>
      </c>
      <c r="G665" s="2" t="s">
        <v>1378</v>
      </c>
      <c r="H665" s="2"/>
      <c r="I665" s="2"/>
    </row>
    <row r="666" spans="1:9" x14ac:dyDescent="0.35">
      <c r="A666" s="2" t="s">
        <v>1407</v>
      </c>
      <c r="B666" s="2" t="s">
        <v>24</v>
      </c>
      <c r="C666" s="2" t="s">
        <v>1451</v>
      </c>
      <c r="D666" s="2" t="s">
        <v>1462</v>
      </c>
      <c r="E666" s="2" t="s">
        <v>277</v>
      </c>
      <c r="F666" s="2"/>
      <c r="G666" s="2"/>
      <c r="H666" s="2"/>
      <c r="I666" s="2"/>
    </row>
    <row r="667" spans="1:9" x14ac:dyDescent="0.35">
      <c r="A667" s="2" t="s">
        <v>1407</v>
      </c>
      <c r="B667" s="2" t="s">
        <v>24</v>
      </c>
      <c r="C667" s="2" t="s">
        <v>1451</v>
      </c>
      <c r="D667" s="2" t="s">
        <v>1228</v>
      </c>
      <c r="E667" s="2" t="s">
        <v>228</v>
      </c>
      <c r="F667" s="2"/>
      <c r="G667" s="2"/>
      <c r="H667" s="2"/>
      <c r="I667" s="2"/>
    </row>
    <row r="668" spans="1:9" x14ac:dyDescent="0.35">
      <c r="A668" s="2" t="s">
        <v>1407</v>
      </c>
      <c r="B668" s="2" t="s">
        <v>24</v>
      </c>
      <c r="C668" s="2" t="s">
        <v>1451</v>
      </c>
      <c r="D668" s="2" t="s">
        <v>1463</v>
      </c>
      <c r="E668" s="2" t="s">
        <v>75</v>
      </c>
      <c r="F668" s="2"/>
      <c r="G668" s="2"/>
      <c r="H668" s="2"/>
      <c r="I668" s="2"/>
    </row>
    <row r="669" spans="1:9" x14ac:dyDescent="0.35">
      <c r="A669" s="2" t="s">
        <v>1407</v>
      </c>
      <c r="B669" s="2" t="s">
        <v>24</v>
      </c>
      <c r="C669" s="2" t="s">
        <v>1451</v>
      </c>
      <c r="D669" s="2" t="s">
        <v>1342</v>
      </c>
      <c r="E669" s="2" t="s">
        <v>1343</v>
      </c>
      <c r="F669" s="2"/>
      <c r="G669" s="2"/>
      <c r="H669" s="2"/>
      <c r="I669" s="2"/>
    </row>
    <row r="670" spans="1:9" x14ac:dyDescent="0.35">
      <c r="A670" s="2" t="s">
        <v>1407</v>
      </c>
      <c r="B670" s="2" t="s">
        <v>24</v>
      </c>
      <c r="C670" s="2" t="s">
        <v>1464</v>
      </c>
      <c r="D670" s="2" t="s">
        <v>196</v>
      </c>
      <c r="E670" s="2" t="s">
        <v>197</v>
      </c>
      <c r="F670" s="2"/>
      <c r="G670" s="2"/>
      <c r="H670" s="2"/>
      <c r="I670" s="2"/>
    </row>
    <row r="671" spans="1:9" x14ac:dyDescent="0.35">
      <c r="A671" s="2" t="s">
        <v>1407</v>
      </c>
      <c r="B671" s="2" t="s">
        <v>24</v>
      </c>
      <c r="C671" s="2" t="s">
        <v>1464</v>
      </c>
      <c r="D671" s="2" t="s">
        <v>1465</v>
      </c>
      <c r="E671" s="2" t="s">
        <v>40</v>
      </c>
      <c r="F671" s="2"/>
      <c r="G671" s="2"/>
      <c r="H671" s="2"/>
      <c r="I671" s="2"/>
    </row>
    <row r="672" spans="1:9" x14ac:dyDescent="0.35">
      <c r="A672" s="2" t="s">
        <v>1407</v>
      </c>
      <c r="B672" s="2" t="s">
        <v>24</v>
      </c>
      <c r="C672" s="2" t="s">
        <v>1464</v>
      </c>
      <c r="D672" s="2" t="s">
        <v>1226</v>
      </c>
      <c r="E672" s="2" t="s">
        <v>107</v>
      </c>
      <c r="F672" s="2"/>
      <c r="G672" s="2"/>
      <c r="H672" s="2"/>
      <c r="I672" s="2"/>
    </row>
    <row r="673" spans="1:9" x14ac:dyDescent="0.35">
      <c r="A673" s="2" t="s">
        <v>1407</v>
      </c>
      <c r="B673" s="2" t="s">
        <v>24</v>
      </c>
      <c r="C673" s="2" t="s">
        <v>1464</v>
      </c>
      <c r="D673" s="2" t="s">
        <v>38</v>
      </c>
      <c r="E673" s="2" t="s">
        <v>38</v>
      </c>
      <c r="F673" s="2"/>
      <c r="G673" s="2"/>
      <c r="H673" s="2"/>
      <c r="I673" s="2"/>
    </row>
    <row r="674" spans="1:9" x14ac:dyDescent="0.35">
      <c r="A674" s="2" t="s">
        <v>1407</v>
      </c>
      <c r="B674" s="2" t="s">
        <v>24</v>
      </c>
      <c r="C674" s="2" t="s">
        <v>1464</v>
      </c>
      <c r="D674" s="2" t="s">
        <v>534</v>
      </c>
      <c r="E674" s="2" t="s">
        <v>38</v>
      </c>
      <c r="F674" s="2"/>
      <c r="G674" s="2"/>
      <c r="H674" s="2"/>
      <c r="I674" s="2"/>
    </row>
    <row r="675" spans="1:9" x14ac:dyDescent="0.35">
      <c r="A675" s="2" t="s">
        <v>1407</v>
      </c>
      <c r="B675" s="2" t="s">
        <v>24</v>
      </c>
      <c r="C675" s="2" t="s">
        <v>1464</v>
      </c>
      <c r="D675" s="2" t="s">
        <v>1454</v>
      </c>
      <c r="E675" s="2" t="s">
        <v>277</v>
      </c>
      <c r="F675" s="2"/>
      <c r="G675" s="2"/>
      <c r="H675" s="2"/>
      <c r="I675" s="2"/>
    </row>
    <row r="676" spans="1:9" x14ac:dyDescent="0.35">
      <c r="A676" s="2" t="s">
        <v>1407</v>
      </c>
      <c r="B676" s="2" t="s">
        <v>24</v>
      </c>
      <c r="C676" s="2" t="s">
        <v>1464</v>
      </c>
      <c r="D676" s="2" t="s">
        <v>1457</v>
      </c>
      <c r="E676" s="2" t="s">
        <v>1458</v>
      </c>
      <c r="F676" s="2"/>
      <c r="G676" s="2"/>
      <c r="H676" s="2"/>
      <c r="I676" s="2"/>
    </row>
    <row r="677" spans="1:9" x14ac:dyDescent="0.35">
      <c r="A677" s="2" t="s">
        <v>1407</v>
      </c>
      <c r="B677" s="2" t="s">
        <v>24</v>
      </c>
      <c r="C677" s="2" t="s">
        <v>1464</v>
      </c>
      <c r="D677" s="2" t="s">
        <v>87</v>
      </c>
      <c r="E677" s="2" t="s">
        <v>75</v>
      </c>
      <c r="F677" s="2"/>
      <c r="G677" s="2"/>
      <c r="H677" s="2"/>
      <c r="I677" s="2"/>
    </row>
    <row r="678" spans="1:9" x14ac:dyDescent="0.35">
      <c r="A678" s="2" t="s">
        <v>1407</v>
      </c>
      <c r="B678" s="2" t="s">
        <v>24</v>
      </c>
      <c r="C678" s="2" t="s">
        <v>1464</v>
      </c>
      <c r="D678" s="2" t="s">
        <v>18</v>
      </c>
      <c r="E678" s="2" t="s">
        <v>19</v>
      </c>
      <c r="F678" s="2" t="s">
        <v>20</v>
      </c>
      <c r="G678" s="2" t="s">
        <v>1466</v>
      </c>
      <c r="H678" s="2"/>
      <c r="I678" s="2"/>
    </row>
    <row r="679" spans="1:9" x14ac:dyDescent="0.35">
      <c r="A679" s="2" t="s">
        <v>1407</v>
      </c>
      <c r="B679" s="2" t="s">
        <v>24</v>
      </c>
      <c r="C679" s="2" t="s">
        <v>1464</v>
      </c>
      <c r="D679" s="2" t="s">
        <v>1462</v>
      </c>
      <c r="E679" s="2" t="s">
        <v>277</v>
      </c>
      <c r="F679" s="2"/>
      <c r="G679" s="2"/>
      <c r="H679" s="2"/>
      <c r="I679" s="2"/>
    </row>
    <row r="680" spans="1:9" x14ac:dyDescent="0.35">
      <c r="A680" s="2" t="s">
        <v>1407</v>
      </c>
      <c r="B680" s="2" t="s">
        <v>24</v>
      </c>
      <c r="C680" s="2" t="s">
        <v>1464</v>
      </c>
      <c r="D680" s="2" t="s">
        <v>1467</v>
      </c>
      <c r="E680" s="2" t="s">
        <v>40</v>
      </c>
      <c r="F680" s="2"/>
      <c r="G680" s="2"/>
      <c r="H680" s="2"/>
      <c r="I680" s="2"/>
    </row>
    <row r="681" spans="1:9" x14ac:dyDescent="0.35">
      <c r="A681" s="2" t="s">
        <v>1407</v>
      </c>
      <c r="B681" s="2" t="s">
        <v>24</v>
      </c>
      <c r="C681" s="2" t="s">
        <v>1464</v>
      </c>
      <c r="D681" s="2" t="s">
        <v>1228</v>
      </c>
      <c r="E681" s="2" t="s">
        <v>228</v>
      </c>
      <c r="F681" s="2"/>
      <c r="G681" s="2"/>
      <c r="H681" s="2"/>
      <c r="I681" s="2"/>
    </row>
    <row r="682" spans="1:9" x14ac:dyDescent="0.35">
      <c r="A682" s="2" t="s">
        <v>1407</v>
      </c>
      <c r="B682" s="2" t="s">
        <v>24</v>
      </c>
      <c r="C682" s="2" t="s">
        <v>1464</v>
      </c>
      <c r="D682" s="2" t="s">
        <v>188</v>
      </c>
      <c r="E682" s="2" t="s">
        <v>189</v>
      </c>
      <c r="F682" s="2"/>
      <c r="G682" s="2"/>
      <c r="H682" s="2"/>
      <c r="I682" s="2"/>
    </row>
    <row r="683" spans="1:9" x14ac:dyDescent="0.35">
      <c r="A683" s="2" t="s">
        <v>1407</v>
      </c>
      <c r="B683" s="2" t="s">
        <v>24</v>
      </c>
      <c r="C683" s="2" t="s">
        <v>1464</v>
      </c>
      <c r="D683" s="2" t="s">
        <v>149</v>
      </c>
      <c r="E683" s="2" t="s">
        <v>150</v>
      </c>
      <c r="F683" s="2" t="s">
        <v>20</v>
      </c>
      <c r="G683" s="2" t="s">
        <v>1468</v>
      </c>
      <c r="H683" s="2"/>
      <c r="I683" s="2"/>
    </row>
    <row r="684" spans="1:9" x14ac:dyDescent="0.35">
      <c r="A684" s="2" t="s">
        <v>1407</v>
      </c>
      <c r="B684" s="2" t="s">
        <v>62</v>
      </c>
      <c r="C684" s="2" t="s">
        <v>1469</v>
      </c>
      <c r="D684" s="2" t="s">
        <v>317</v>
      </c>
      <c r="E684" s="2" t="s">
        <v>318</v>
      </c>
      <c r="F684" s="2"/>
      <c r="G684" s="2"/>
      <c r="H684" s="2"/>
      <c r="I684" s="2"/>
    </row>
    <row r="685" spans="1:9" x14ac:dyDescent="0.35">
      <c r="A685" s="2" t="s">
        <v>1407</v>
      </c>
      <c r="B685" s="2" t="s">
        <v>62</v>
      </c>
      <c r="C685" s="2" t="s">
        <v>1469</v>
      </c>
      <c r="D685" s="2" t="s">
        <v>87</v>
      </c>
      <c r="E685" s="2" t="s">
        <v>75</v>
      </c>
      <c r="F685" s="2"/>
      <c r="G685" s="2"/>
      <c r="H685" s="2"/>
      <c r="I685" s="2"/>
    </row>
    <row r="686" spans="1:9" x14ac:dyDescent="0.35">
      <c r="A686" s="2" t="s">
        <v>1407</v>
      </c>
      <c r="B686" s="2" t="s">
        <v>62</v>
      </c>
      <c r="C686" s="2" t="s">
        <v>1469</v>
      </c>
      <c r="D686" s="2" t="s">
        <v>1051</v>
      </c>
      <c r="E686" s="2" t="s">
        <v>318</v>
      </c>
      <c r="F686" s="2"/>
      <c r="G686" s="2"/>
      <c r="H686" s="2"/>
      <c r="I686" s="2"/>
    </row>
    <row r="687" spans="1:9" x14ac:dyDescent="0.35">
      <c r="A687" s="2" t="s">
        <v>1407</v>
      </c>
      <c r="B687" s="2" t="s">
        <v>62</v>
      </c>
      <c r="C687" s="2" t="s">
        <v>1469</v>
      </c>
      <c r="D687" s="2" t="s">
        <v>333</v>
      </c>
      <c r="E687" s="2" t="s">
        <v>334</v>
      </c>
      <c r="F687" s="2"/>
      <c r="G687" s="2"/>
      <c r="H687" s="2"/>
      <c r="I687" s="2"/>
    </row>
    <row r="688" spans="1:9" x14ac:dyDescent="0.35">
      <c r="A688" s="2" t="s">
        <v>1407</v>
      </c>
      <c r="B688" s="2" t="s">
        <v>24</v>
      </c>
      <c r="C688" s="2" t="s">
        <v>1470</v>
      </c>
      <c r="D688" s="2" t="s">
        <v>1226</v>
      </c>
      <c r="E688" s="2" t="s">
        <v>107</v>
      </c>
      <c r="F688" s="2"/>
      <c r="G688" s="2"/>
      <c r="H688" s="2"/>
      <c r="I688" s="2"/>
    </row>
    <row r="689" spans="1:9" x14ac:dyDescent="0.35">
      <c r="A689" s="2" t="s">
        <v>1407</v>
      </c>
      <c r="B689" s="2" t="s">
        <v>24</v>
      </c>
      <c r="C689" s="2" t="s">
        <v>1470</v>
      </c>
      <c r="D689" s="2" t="s">
        <v>1228</v>
      </c>
      <c r="E689" s="2" t="s">
        <v>228</v>
      </c>
      <c r="F689" s="2"/>
      <c r="G689" s="2"/>
      <c r="H689" s="2"/>
      <c r="I689" s="2"/>
    </row>
    <row r="690" spans="1:9" x14ac:dyDescent="0.35">
      <c r="A690" s="2" t="s">
        <v>1407</v>
      </c>
      <c r="B690" s="2" t="s">
        <v>24</v>
      </c>
      <c r="C690" s="2" t="s">
        <v>1471</v>
      </c>
      <c r="D690" s="2" t="s">
        <v>130</v>
      </c>
      <c r="E690" s="2" t="s">
        <v>36</v>
      </c>
      <c r="F690" s="2"/>
      <c r="G690" s="2"/>
      <c r="H690" s="2"/>
      <c r="I690" s="2"/>
    </row>
    <row r="691" spans="1:9" x14ac:dyDescent="0.35">
      <c r="A691" s="2" t="s">
        <v>1407</v>
      </c>
      <c r="B691" s="2" t="s">
        <v>24</v>
      </c>
      <c r="C691" s="2" t="s">
        <v>1471</v>
      </c>
      <c r="D691" s="2" t="s">
        <v>1415</v>
      </c>
      <c r="E691" s="2" t="s">
        <v>1416</v>
      </c>
      <c r="F691" s="2"/>
      <c r="G691" s="2"/>
      <c r="H691" s="2"/>
      <c r="I691" s="2"/>
    </row>
    <row r="692" spans="1:9" x14ac:dyDescent="0.35">
      <c r="A692" s="2" t="s">
        <v>1407</v>
      </c>
      <c r="B692" s="2" t="s">
        <v>24</v>
      </c>
      <c r="C692" s="2" t="s">
        <v>1471</v>
      </c>
      <c r="D692" s="2" t="s">
        <v>98</v>
      </c>
      <c r="E692" s="2" t="s">
        <v>98</v>
      </c>
      <c r="F692" s="2"/>
      <c r="G692" s="2"/>
      <c r="H692" s="2"/>
      <c r="I692" s="2"/>
    </row>
    <row r="693" spans="1:9" x14ac:dyDescent="0.35">
      <c r="A693" s="2" t="s">
        <v>1407</v>
      </c>
      <c r="B693" s="2" t="s">
        <v>24</v>
      </c>
      <c r="C693" s="2" t="s">
        <v>1471</v>
      </c>
      <c r="D693" s="2" t="s">
        <v>1226</v>
      </c>
      <c r="E693" s="2" t="s">
        <v>107</v>
      </c>
      <c r="F693" s="2"/>
      <c r="G693" s="2"/>
      <c r="H693" s="2"/>
      <c r="I693" s="2"/>
    </row>
    <row r="694" spans="1:9" x14ac:dyDescent="0.35">
      <c r="A694" s="2" t="s">
        <v>1407</v>
      </c>
      <c r="B694" s="2" t="s">
        <v>24</v>
      </c>
      <c r="C694" s="2" t="s">
        <v>1471</v>
      </c>
      <c r="D694" s="2" t="s">
        <v>38</v>
      </c>
      <c r="E694" s="2" t="s">
        <v>38</v>
      </c>
      <c r="F694" s="2" t="s">
        <v>20</v>
      </c>
      <c r="G694" s="2" t="s">
        <v>1472</v>
      </c>
      <c r="H694" s="2"/>
      <c r="I694" s="2"/>
    </row>
    <row r="695" spans="1:9" x14ac:dyDescent="0.35">
      <c r="A695" s="2" t="s">
        <v>1407</v>
      </c>
      <c r="B695" s="2" t="s">
        <v>24</v>
      </c>
      <c r="C695" s="2" t="s">
        <v>1471</v>
      </c>
      <c r="D695" s="2" t="s">
        <v>213</v>
      </c>
      <c r="E695" s="2" t="s">
        <v>45</v>
      </c>
      <c r="F695" s="2"/>
      <c r="G695" s="2"/>
      <c r="H695" s="2"/>
      <c r="I695" s="2"/>
    </row>
    <row r="696" spans="1:9" x14ac:dyDescent="0.35">
      <c r="A696" s="2" t="s">
        <v>1407</v>
      </c>
      <c r="B696" s="2" t="s">
        <v>24</v>
      </c>
      <c r="C696" s="2" t="s">
        <v>1471</v>
      </c>
      <c r="D696" s="2" t="s">
        <v>18</v>
      </c>
      <c r="E696" s="2" t="s">
        <v>19</v>
      </c>
      <c r="F696" s="2" t="s">
        <v>20</v>
      </c>
      <c r="G696" s="2" t="s">
        <v>1473</v>
      </c>
      <c r="H696" s="2"/>
      <c r="I696" s="2"/>
    </row>
    <row r="697" spans="1:9" x14ac:dyDescent="0.35">
      <c r="A697" s="2" t="s">
        <v>1407</v>
      </c>
      <c r="B697" s="2" t="s">
        <v>24</v>
      </c>
      <c r="C697" s="2" t="s">
        <v>1471</v>
      </c>
      <c r="D697" s="2" t="s">
        <v>1228</v>
      </c>
      <c r="E697" s="2" t="s">
        <v>228</v>
      </c>
      <c r="F697" s="2"/>
      <c r="G697" s="2"/>
      <c r="H697" s="2"/>
      <c r="I697" s="2"/>
    </row>
    <row r="698" spans="1:9" x14ac:dyDescent="0.35">
      <c r="A698" s="2" t="s">
        <v>1407</v>
      </c>
      <c r="B698" s="2" t="s">
        <v>54</v>
      </c>
      <c r="C698" s="2" t="s">
        <v>1474</v>
      </c>
      <c r="D698" s="2" t="s">
        <v>1150</v>
      </c>
      <c r="E698" s="2" t="s">
        <v>45</v>
      </c>
      <c r="F698" s="2"/>
      <c r="G698" s="2"/>
      <c r="H698" s="2"/>
      <c r="I698" s="2"/>
    </row>
    <row r="699" spans="1:9" x14ac:dyDescent="0.35">
      <c r="A699" s="2" t="s">
        <v>1407</v>
      </c>
      <c r="B699" s="2" t="s">
        <v>54</v>
      </c>
      <c r="C699" s="2" t="s">
        <v>1474</v>
      </c>
      <c r="D699" s="2" t="s">
        <v>91</v>
      </c>
      <c r="E699" s="2" t="s">
        <v>19</v>
      </c>
      <c r="F699" s="2" t="s">
        <v>20</v>
      </c>
      <c r="G699" s="2" t="s">
        <v>1475</v>
      </c>
      <c r="H699" s="2"/>
      <c r="I699" s="2"/>
    </row>
    <row r="700" spans="1:9" x14ac:dyDescent="0.35">
      <c r="A700" s="2" t="s">
        <v>1407</v>
      </c>
      <c r="B700" s="2" t="s">
        <v>54</v>
      </c>
      <c r="C700" s="2" t="s">
        <v>1476</v>
      </c>
      <c r="D700" s="2" t="s">
        <v>1226</v>
      </c>
      <c r="E700" s="2" t="s">
        <v>107</v>
      </c>
      <c r="F700" s="2" t="s">
        <v>20</v>
      </c>
      <c r="G700" s="2" t="s">
        <v>1477</v>
      </c>
      <c r="H700" s="2"/>
      <c r="I700" s="2"/>
    </row>
    <row r="701" spans="1:9" x14ac:dyDescent="0.35">
      <c r="A701" s="2" t="s">
        <v>1407</v>
      </c>
      <c r="B701" s="2" t="s">
        <v>54</v>
      </c>
      <c r="C701" s="2" t="s">
        <v>1476</v>
      </c>
      <c r="D701" s="2" t="s">
        <v>91</v>
      </c>
      <c r="E701" s="2" t="s">
        <v>19</v>
      </c>
      <c r="F701" s="2" t="s">
        <v>20</v>
      </c>
      <c r="G701" s="2" t="s">
        <v>1477</v>
      </c>
      <c r="H701" s="2"/>
      <c r="I701" s="2"/>
    </row>
    <row r="702" spans="1:9" x14ac:dyDescent="0.35">
      <c r="A702" s="2" t="s">
        <v>1407</v>
      </c>
      <c r="B702" s="2" t="s">
        <v>54</v>
      </c>
      <c r="C702" s="2" t="s">
        <v>1476</v>
      </c>
      <c r="D702" s="2" t="s">
        <v>87</v>
      </c>
      <c r="E702" s="2" t="s">
        <v>75</v>
      </c>
      <c r="F702" s="2" t="s">
        <v>20</v>
      </c>
      <c r="G702" s="2" t="s">
        <v>1477</v>
      </c>
      <c r="H702" s="2"/>
      <c r="I702" s="2"/>
    </row>
    <row r="703" spans="1:9" x14ac:dyDescent="0.35">
      <c r="A703" s="2" t="s">
        <v>1407</v>
      </c>
      <c r="B703" s="2" t="s">
        <v>54</v>
      </c>
      <c r="C703" s="2" t="s">
        <v>1476</v>
      </c>
      <c r="D703" s="2" t="s">
        <v>1228</v>
      </c>
      <c r="E703" s="2" t="s">
        <v>228</v>
      </c>
      <c r="F703" s="2" t="s">
        <v>20</v>
      </c>
      <c r="G703" s="2" t="s">
        <v>1477</v>
      </c>
      <c r="H703" s="2"/>
      <c r="I703" s="2"/>
    </row>
    <row r="704" spans="1:9" x14ac:dyDescent="0.35">
      <c r="A704" s="2" t="s">
        <v>1407</v>
      </c>
      <c r="B704" s="2" t="s">
        <v>54</v>
      </c>
      <c r="C704" s="2" t="s">
        <v>1476</v>
      </c>
      <c r="D704" s="2" t="s">
        <v>1261</v>
      </c>
      <c r="E704" s="2" t="s">
        <v>277</v>
      </c>
      <c r="F704" s="2" t="s">
        <v>20</v>
      </c>
      <c r="G704" s="2" t="s">
        <v>1477</v>
      </c>
      <c r="H704" s="2"/>
      <c r="I704" s="2"/>
    </row>
    <row r="705" spans="1:9" x14ac:dyDescent="0.35">
      <c r="A705" s="2" t="s">
        <v>1407</v>
      </c>
      <c r="B705" s="2" t="s">
        <v>54</v>
      </c>
      <c r="C705" s="2" t="s">
        <v>1478</v>
      </c>
      <c r="D705" s="2" t="s">
        <v>196</v>
      </c>
      <c r="E705" s="2" t="s">
        <v>197</v>
      </c>
      <c r="F705" s="2"/>
      <c r="G705" s="2"/>
      <c r="H705" s="2"/>
      <c r="I705" s="2"/>
    </row>
    <row r="706" spans="1:9" x14ac:dyDescent="0.35">
      <c r="A706" s="2" t="s">
        <v>1407</v>
      </c>
      <c r="B706" s="2" t="s">
        <v>54</v>
      </c>
      <c r="C706" s="2" t="s">
        <v>1478</v>
      </c>
      <c r="D706" s="2" t="s">
        <v>1226</v>
      </c>
      <c r="E706" s="2" t="s">
        <v>107</v>
      </c>
      <c r="F706" s="2" t="s">
        <v>20</v>
      </c>
      <c r="G706" s="2" t="s">
        <v>1479</v>
      </c>
      <c r="H706" s="2"/>
      <c r="I706" s="2"/>
    </row>
    <row r="707" spans="1:9" x14ac:dyDescent="0.35">
      <c r="A707" s="2" t="s">
        <v>1407</v>
      </c>
      <c r="B707" s="2" t="s">
        <v>54</v>
      </c>
      <c r="C707" s="2" t="s">
        <v>1478</v>
      </c>
      <c r="D707" s="2" t="s">
        <v>815</v>
      </c>
      <c r="E707" s="2" t="s">
        <v>122</v>
      </c>
      <c r="F707" s="2" t="s">
        <v>20</v>
      </c>
      <c r="G707" s="2" t="s">
        <v>1480</v>
      </c>
      <c r="H707" s="21"/>
      <c r="I707" s="2"/>
    </row>
    <row r="708" spans="1:9" x14ac:dyDescent="0.35">
      <c r="A708" s="2" t="s">
        <v>1407</v>
      </c>
      <c r="B708" s="2" t="s">
        <v>54</v>
      </c>
      <c r="C708" s="2" t="s">
        <v>1478</v>
      </c>
      <c r="D708" s="2" t="s">
        <v>1454</v>
      </c>
      <c r="E708" s="2" t="s">
        <v>277</v>
      </c>
      <c r="F708" s="2" t="s">
        <v>20</v>
      </c>
      <c r="G708" s="2" t="s">
        <v>1481</v>
      </c>
      <c r="H708" s="21"/>
      <c r="I708" s="2"/>
    </row>
    <row r="709" spans="1:9" x14ac:dyDescent="0.35">
      <c r="A709" s="2" t="s">
        <v>1407</v>
      </c>
      <c r="B709" s="2" t="s">
        <v>54</v>
      </c>
      <c r="C709" s="2" t="s">
        <v>1478</v>
      </c>
      <c r="D709" s="2" t="s">
        <v>291</v>
      </c>
      <c r="E709" s="2" t="s">
        <v>139</v>
      </c>
      <c r="F709" s="2" t="s">
        <v>20</v>
      </c>
      <c r="G709" s="2" t="s">
        <v>1482</v>
      </c>
      <c r="H709" s="2"/>
      <c r="I709" s="2"/>
    </row>
    <row r="710" spans="1:9" x14ac:dyDescent="0.35">
      <c r="A710" s="2" t="s">
        <v>1407</v>
      </c>
      <c r="B710" s="2" t="s">
        <v>54</v>
      </c>
      <c r="C710" s="2" t="s">
        <v>1478</v>
      </c>
      <c r="D710" s="2" t="s">
        <v>1457</v>
      </c>
      <c r="E710" s="2" t="s">
        <v>1458</v>
      </c>
      <c r="F710" s="2" t="s">
        <v>20</v>
      </c>
      <c r="G710" s="2" t="s">
        <v>1479</v>
      </c>
      <c r="H710" s="2"/>
      <c r="I710" s="2"/>
    </row>
    <row r="711" spans="1:9" x14ac:dyDescent="0.35">
      <c r="A711" s="2" t="s">
        <v>1407</v>
      </c>
      <c r="B711" s="2" t="s">
        <v>54</v>
      </c>
      <c r="C711" s="2" t="s">
        <v>1478</v>
      </c>
      <c r="D711" s="2" t="s">
        <v>18</v>
      </c>
      <c r="E711" s="2" t="s">
        <v>19</v>
      </c>
      <c r="F711" s="2" t="s">
        <v>20</v>
      </c>
      <c r="G711" s="2" t="s">
        <v>1483</v>
      </c>
      <c r="H711" s="2"/>
      <c r="I711" s="2"/>
    </row>
    <row r="712" spans="1:9" x14ac:dyDescent="0.35">
      <c r="A712" s="2" t="s">
        <v>1407</v>
      </c>
      <c r="B712" s="2" t="s">
        <v>54</v>
      </c>
      <c r="C712" s="2" t="s">
        <v>1478</v>
      </c>
      <c r="D712" s="2" t="s">
        <v>1462</v>
      </c>
      <c r="E712" s="2" t="s">
        <v>277</v>
      </c>
      <c r="F712" s="2" t="s">
        <v>20</v>
      </c>
      <c r="G712" s="2" t="s">
        <v>1481</v>
      </c>
      <c r="H712" s="2"/>
      <c r="I712" s="2"/>
    </row>
    <row r="713" spans="1:9" x14ac:dyDescent="0.35">
      <c r="A713" s="2" t="s">
        <v>1407</v>
      </c>
      <c r="B713" s="2" t="s">
        <v>54</v>
      </c>
      <c r="C713" s="2" t="s">
        <v>1478</v>
      </c>
      <c r="D713" s="2" t="s">
        <v>1228</v>
      </c>
      <c r="E713" s="2" t="s">
        <v>228</v>
      </c>
      <c r="F713" s="2" t="s">
        <v>20</v>
      </c>
      <c r="G713" s="2" t="s">
        <v>1479</v>
      </c>
      <c r="H713" s="2"/>
      <c r="I713" s="2"/>
    </row>
    <row r="714" spans="1:9" x14ac:dyDescent="0.35">
      <c r="A714" s="2" t="s">
        <v>1407</v>
      </c>
      <c r="B714" s="2" t="s">
        <v>54</v>
      </c>
      <c r="C714" s="2" t="s">
        <v>1478</v>
      </c>
      <c r="D714" s="2" t="s">
        <v>149</v>
      </c>
      <c r="E714" s="2" t="s">
        <v>150</v>
      </c>
      <c r="F714" s="2" t="s">
        <v>20</v>
      </c>
      <c r="G714" s="2" t="s">
        <v>1483</v>
      </c>
      <c r="H714" s="2"/>
      <c r="I714" s="2"/>
    </row>
    <row r="715" spans="1:9" x14ac:dyDescent="0.35">
      <c r="A715" s="2" t="s">
        <v>1407</v>
      </c>
      <c r="B715" s="2" t="s">
        <v>62</v>
      </c>
      <c r="C715" s="2" t="s">
        <v>1484</v>
      </c>
      <c r="D715" s="2" t="s">
        <v>196</v>
      </c>
      <c r="E715" s="2" t="s">
        <v>197</v>
      </c>
      <c r="F715" s="2"/>
      <c r="G715" s="2"/>
      <c r="H715" s="2"/>
      <c r="I715" s="2"/>
    </row>
    <row r="716" spans="1:9" x14ac:dyDescent="0.35">
      <c r="A716" s="2" t="s">
        <v>1407</v>
      </c>
      <c r="B716" s="2" t="s">
        <v>62</v>
      </c>
      <c r="C716" s="2" t="s">
        <v>1484</v>
      </c>
      <c r="D716" s="2" t="s">
        <v>1485</v>
      </c>
      <c r="E716" s="2" t="s">
        <v>1486</v>
      </c>
      <c r="F716" s="2"/>
      <c r="G716" s="2"/>
      <c r="H716" s="2"/>
      <c r="I716" s="2"/>
    </row>
    <row r="717" spans="1:9" x14ac:dyDescent="0.35">
      <c r="A717" s="2" t="s">
        <v>1407</v>
      </c>
      <c r="B717" s="2" t="s">
        <v>62</v>
      </c>
      <c r="C717" s="2" t="s">
        <v>1484</v>
      </c>
      <c r="D717" s="2" t="s">
        <v>319</v>
      </c>
      <c r="E717" s="2" t="s">
        <v>320</v>
      </c>
      <c r="F717" s="2"/>
      <c r="G717" s="2"/>
      <c r="H717" s="2"/>
      <c r="I717" s="2"/>
    </row>
    <row r="718" spans="1:9" x14ac:dyDescent="0.35">
      <c r="A718" s="2" t="s">
        <v>1407</v>
      </c>
      <c r="B718" s="2" t="s">
        <v>62</v>
      </c>
      <c r="C718" s="2" t="s">
        <v>1484</v>
      </c>
      <c r="D718" s="2" t="s">
        <v>91</v>
      </c>
      <c r="E718" s="2" t="s">
        <v>19</v>
      </c>
      <c r="F718" s="2" t="s">
        <v>20</v>
      </c>
      <c r="G718" s="2" t="s">
        <v>1487</v>
      </c>
      <c r="H718" s="2"/>
      <c r="I718" s="2"/>
    </row>
    <row r="719" spans="1:9" x14ac:dyDescent="0.35">
      <c r="A719" s="2" t="s">
        <v>1407</v>
      </c>
      <c r="B719" s="2" t="s">
        <v>62</v>
      </c>
      <c r="C719" s="2" t="s">
        <v>1484</v>
      </c>
      <c r="D719" s="2" t="s">
        <v>87</v>
      </c>
      <c r="E719" s="2" t="s">
        <v>75</v>
      </c>
      <c r="F719" s="2"/>
      <c r="G719" s="2"/>
      <c r="H719" s="2"/>
      <c r="I719" s="2"/>
    </row>
    <row r="720" spans="1:9" x14ac:dyDescent="0.35">
      <c r="A720" s="2" t="s">
        <v>1407</v>
      </c>
      <c r="B720" s="2" t="s">
        <v>62</v>
      </c>
      <c r="C720" s="2" t="s">
        <v>1484</v>
      </c>
      <c r="D720" s="2" t="s">
        <v>1243</v>
      </c>
      <c r="E720" s="2" t="s">
        <v>40</v>
      </c>
      <c r="F720" s="2"/>
      <c r="G720" s="2"/>
      <c r="H720" s="2"/>
      <c r="I720" s="2"/>
    </row>
    <row r="721" spans="1:9" x14ac:dyDescent="0.35">
      <c r="A721" s="2" t="s">
        <v>1407</v>
      </c>
      <c r="B721" s="2" t="s">
        <v>62</v>
      </c>
      <c r="C721" s="2" t="s">
        <v>1484</v>
      </c>
      <c r="D721" s="2" t="s">
        <v>321</v>
      </c>
      <c r="E721" s="2" t="s">
        <v>321</v>
      </c>
      <c r="F721" s="2"/>
      <c r="G721" s="2"/>
      <c r="H721" s="2"/>
      <c r="I721" s="2"/>
    </row>
    <row r="722" spans="1:9" x14ac:dyDescent="0.35">
      <c r="A722" s="2" t="s">
        <v>1407</v>
      </c>
      <c r="B722" s="2" t="s">
        <v>62</v>
      </c>
      <c r="C722" s="2" t="s">
        <v>1484</v>
      </c>
      <c r="D722" s="2" t="s">
        <v>127</v>
      </c>
      <c r="E722" s="2" t="s">
        <v>107</v>
      </c>
      <c r="F722" s="2"/>
      <c r="G722" s="2"/>
      <c r="H722" s="2"/>
      <c r="I722" s="2"/>
    </row>
    <row r="723" spans="1:9" x14ac:dyDescent="0.35">
      <c r="A723" s="2" t="s">
        <v>1407</v>
      </c>
      <c r="B723" s="2" t="s">
        <v>62</v>
      </c>
      <c r="C723" s="2" t="s">
        <v>1484</v>
      </c>
      <c r="D723" s="2" t="s">
        <v>322</v>
      </c>
      <c r="E723" s="2" t="s">
        <v>246</v>
      </c>
      <c r="F723" s="2"/>
      <c r="G723" s="2"/>
      <c r="H723" s="2"/>
      <c r="I723" s="2"/>
    </row>
    <row r="724" spans="1:9" x14ac:dyDescent="0.35">
      <c r="A724" s="2" t="s">
        <v>1407</v>
      </c>
      <c r="B724" s="2" t="s">
        <v>62</v>
      </c>
      <c r="C724" s="2" t="s">
        <v>1484</v>
      </c>
      <c r="D724" s="2" t="s">
        <v>323</v>
      </c>
      <c r="E724" s="2" t="s">
        <v>246</v>
      </c>
      <c r="F724" s="2"/>
      <c r="G724" s="2"/>
      <c r="H724" s="2"/>
      <c r="I724" s="2"/>
    </row>
    <row r="725" spans="1:9" x14ac:dyDescent="0.35">
      <c r="A725" s="2" t="s">
        <v>1407</v>
      </c>
      <c r="B725" s="2" t="s">
        <v>62</v>
      </c>
      <c r="C725" s="2" t="s">
        <v>1484</v>
      </c>
      <c r="D725" s="2" t="s">
        <v>324</v>
      </c>
      <c r="E725" s="2" t="s">
        <v>246</v>
      </c>
      <c r="F725" s="2"/>
      <c r="G725" s="2"/>
      <c r="H725" s="2"/>
      <c r="I725" s="2"/>
    </row>
    <row r="726" spans="1:9" x14ac:dyDescent="0.35">
      <c r="A726" s="2" t="s">
        <v>1407</v>
      </c>
      <c r="B726" s="2" t="s">
        <v>62</v>
      </c>
      <c r="C726" s="2" t="s">
        <v>1484</v>
      </c>
      <c r="D726" s="2" t="s">
        <v>325</v>
      </c>
      <c r="E726" s="2" t="s">
        <v>326</v>
      </c>
      <c r="F726" s="2"/>
      <c r="G726" s="2"/>
      <c r="H726" s="2"/>
      <c r="I726" s="2"/>
    </row>
    <row r="727" spans="1:9" x14ac:dyDescent="0.35">
      <c r="A727" s="2" t="s">
        <v>1407</v>
      </c>
      <c r="B727" s="2" t="s">
        <v>62</v>
      </c>
      <c r="C727" s="2" t="s">
        <v>1484</v>
      </c>
      <c r="D727" s="2" t="s">
        <v>327</v>
      </c>
      <c r="E727" s="2" t="s">
        <v>328</v>
      </c>
      <c r="F727" s="2"/>
      <c r="G727" s="2"/>
      <c r="H727" s="2"/>
      <c r="I727" s="2"/>
    </row>
    <row r="728" spans="1:9" x14ac:dyDescent="0.35">
      <c r="A728" s="2" t="s">
        <v>1407</v>
      </c>
      <c r="B728" s="2" t="s">
        <v>62</v>
      </c>
      <c r="C728" s="2" t="s">
        <v>1484</v>
      </c>
      <c r="D728" s="2" t="s">
        <v>329</v>
      </c>
      <c r="E728" s="2" t="s">
        <v>330</v>
      </c>
      <c r="F728" s="2"/>
      <c r="G728" s="2"/>
      <c r="H728" s="2"/>
      <c r="I728" s="2"/>
    </row>
    <row r="729" spans="1:9" x14ac:dyDescent="0.35">
      <c r="A729" s="2" t="s">
        <v>1407</v>
      </c>
      <c r="B729" s="2" t="s">
        <v>62</v>
      </c>
      <c r="C729" s="2" t="s">
        <v>1484</v>
      </c>
      <c r="D729" s="2" t="s">
        <v>331</v>
      </c>
      <c r="E729" s="2" t="s">
        <v>332</v>
      </c>
      <c r="F729" s="2"/>
      <c r="G729" s="2"/>
      <c r="H729" s="2"/>
      <c r="I729" s="2"/>
    </row>
    <row r="730" spans="1:9" x14ac:dyDescent="0.35">
      <c r="A730" s="2" t="s">
        <v>1407</v>
      </c>
      <c r="B730" s="2" t="s">
        <v>62</v>
      </c>
      <c r="C730" s="2" t="s">
        <v>1484</v>
      </c>
      <c r="D730" s="2" t="s">
        <v>333</v>
      </c>
      <c r="E730" s="2" t="s">
        <v>334</v>
      </c>
      <c r="F730" s="2"/>
      <c r="G730" s="2"/>
      <c r="H730" s="2"/>
      <c r="I730" s="2"/>
    </row>
    <row r="731" spans="1:9" x14ac:dyDescent="0.35">
      <c r="A731" s="2" t="s">
        <v>1407</v>
      </c>
      <c r="B731" s="2" t="s">
        <v>62</v>
      </c>
      <c r="C731" s="2" t="s">
        <v>1484</v>
      </c>
      <c r="D731" s="2" t="s">
        <v>1297</v>
      </c>
      <c r="E731" s="2" t="s">
        <v>533</v>
      </c>
      <c r="F731" s="2"/>
      <c r="G731" s="2"/>
      <c r="H731" s="2"/>
      <c r="I731" s="2"/>
    </row>
    <row r="732" spans="1:9" x14ac:dyDescent="0.35">
      <c r="A732" s="2" t="s">
        <v>1407</v>
      </c>
      <c r="B732" s="2" t="s">
        <v>62</v>
      </c>
      <c r="C732" s="2" t="s">
        <v>1484</v>
      </c>
      <c r="D732" s="2" t="s">
        <v>335</v>
      </c>
      <c r="E732" s="2" t="s">
        <v>336</v>
      </c>
      <c r="F732" s="2"/>
      <c r="G732" s="2"/>
      <c r="H732" s="2"/>
      <c r="I732" s="2"/>
    </row>
    <row r="733" spans="1:9" x14ac:dyDescent="0.35">
      <c r="A733" s="2" t="s">
        <v>1407</v>
      </c>
      <c r="B733" s="2" t="s">
        <v>62</v>
      </c>
      <c r="C733" s="2" t="s">
        <v>1484</v>
      </c>
      <c r="D733" s="2" t="s">
        <v>337</v>
      </c>
      <c r="E733" s="2" t="s">
        <v>338</v>
      </c>
      <c r="F733" s="2"/>
      <c r="G733" s="2"/>
      <c r="H733" s="2"/>
      <c r="I733" s="2"/>
    </row>
    <row r="734" spans="1:9" x14ac:dyDescent="0.35">
      <c r="A734" s="2" t="s">
        <v>1407</v>
      </c>
      <c r="B734" s="2" t="s">
        <v>62</v>
      </c>
      <c r="C734" s="2" t="s">
        <v>1484</v>
      </c>
      <c r="D734" s="2" t="s">
        <v>339</v>
      </c>
      <c r="E734" s="2" t="s">
        <v>340</v>
      </c>
      <c r="F734" s="2"/>
      <c r="G734" s="2"/>
      <c r="H734" s="2"/>
      <c r="I734" s="2"/>
    </row>
    <row r="735" spans="1:9" x14ac:dyDescent="0.35">
      <c r="A735" s="2" t="s">
        <v>1407</v>
      </c>
      <c r="B735" s="2" t="s">
        <v>62</v>
      </c>
      <c r="C735" s="2" t="s">
        <v>1484</v>
      </c>
      <c r="D735" s="2" t="s">
        <v>341</v>
      </c>
      <c r="E735" s="2" t="s">
        <v>342</v>
      </c>
      <c r="F735" s="2"/>
      <c r="G735" s="2"/>
      <c r="H735" s="2"/>
      <c r="I735" s="2"/>
    </row>
    <row r="736" spans="1:9" x14ac:dyDescent="0.35">
      <c r="A736" s="2" t="s">
        <v>1407</v>
      </c>
      <c r="B736" s="2" t="s">
        <v>62</v>
      </c>
      <c r="C736" s="2" t="s">
        <v>1484</v>
      </c>
      <c r="D736" s="2" t="s">
        <v>343</v>
      </c>
      <c r="E736" s="2" t="s">
        <v>344</v>
      </c>
      <c r="F736" s="2"/>
      <c r="G736" s="2"/>
      <c r="H736" s="2"/>
      <c r="I736" s="2"/>
    </row>
    <row r="737" spans="1:9" x14ac:dyDescent="0.35">
      <c r="A737" s="2" t="s">
        <v>1407</v>
      </c>
      <c r="B737" s="2" t="s">
        <v>62</v>
      </c>
      <c r="C737" s="2" t="s">
        <v>1484</v>
      </c>
      <c r="D737" s="2" t="s">
        <v>345</v>
      </c>
      <c r="E737" s="2" t="s">
        <v>346</v>
      </c>
      <c r="F737" s="2"/>
      <c r="G737" s="2"/>
      <c r="H737" s="2"/>
      <c r="I737" s="2"/>
    </row>
    <row r="738" spans="1:9" x14ac:dyDescent="0.35">
      <c r="A738" s="2" t="s">
        <v>1407</v>
      </c>
      <c r="B738" s="2" t="s">
        <v>62</v>
      </c>
      <c r="C738" s="2" t="s">
        <v>1488</v>
      </c>
      <c r="D738" s="2" t="s">
        <v>91</v>
      </c>
      <c r="E738" s="2" t="s">
        <v>19</v>
      </c>
      <c r="F738" s="2" t="s">
        <v>20</v>
      </c>
      <c r="G738" s="2" t="s">
        <v>1487</v>
      </c>
      <c r="H738" s="2"/>
      <c r="I738" s="2"/>
    </row>
    <row r="739" spans="1:9" x14ac:dyDescent="0.35">
      <c r="A739" s="2" t="s">
        <v>1407</v>
      </c>
      <c r="B739" s="2" t="s">
        <v>62</v>
      </c>
      <c r="C739" s="2" t="s">
        <v>1488</v>
      </c>
      <c r="D739" s="2" t="s">
        <v>87</v>
      </c>
      <c r="E739" s="2" t="s">
        <v>75</v>
      </c>
      <c r="F739" s="2"/>
      <c r="G739" s="2"/>
      <c r="H739" s="2"/>
      <c r="I739" s="2"/>
    </row>
    <row r="740" spans="1:9" x14ac:dyDescent="0.35">
      <c r="A740" s="2" t="s">
        <v>1407</v>
      </c>
      <c r="B740" s="2" t="s">
        <v>62</v>
      </c>
      <c r="C740" s="2" t="s">
        <v>1488</v>
      </c>
      <c r="D740" s="2" t="s">
        <v>1243</v>
      </c>
      <c r="E740" s="2" t="s">
        <v>40</v>
      </c>
      <c r="F740" s="2"/>
      <c r="G740" s="2"/>
      <c r="H740" s="2"/>
      <c r="I740" s="2"/>
    </row>
    <row r="741" spans="1:9" x14ac:dyDescent="0.35">
      <c r="A741" s="2" t="s">
        <v>1407</v>
      </c>
      <c r="B741" s="2" t="s">
        <v>62</v>
      </c>
      <c r="C741" s="2" t="s">
        <v>1488</v>
      </c>
      <c r="D741" s="2" t="s">
        <v>127</v>
      </c>
      <c r="E741" s="2" t="s">
        <v>107</v>
      </c>
      <c r="F741" s="2"/>
      <c r="G741" s="2"/>
      <c r="H741" s="2"/>
      <c r="I741" s="2"/>
    </row>
    <row r="742" spans="1:9" x14ac:dyDescent="0.35">
      <c r="A742" s="2" t="s">
        <v>1407</v>
      </c>
      <c r="B742" s="2" t="s">
        <v>62</v>
      </c>
      <c r="C742" s="2" t="s">
        <v>1489</v>
      </c>
      <c r="D742" s="2" t="s">
        <v>106</v>
      </c>
      <c r="E742" s="2" t="s">
        <v>107</v>
      </c>
      <c r="F742" s="2"/>
      <c r="G742" s="2"/>
      <c r="H742" s="2"/>
      <c r="I742" s="2"/>
    </row>
    <row r="743" spans="1:9" x14ac:dyDescent="0.35">
      <c r="A743" s="2" t="s">
        <v>1407</v>
      </c>
      <c r="B743" s="2" t="s">
        <v>62</v>
      </c>
      <c r="C743" s="2" t="s">
        <v>1490</v>
      </c>
      <c r="D743" s="2" t="s">
        <v>317</v>
      </c>
      <c r="E743" s="2" t="s">
        <v>318</v>
      </c>
      <c r="F743" s="2" t="s">
        <v>46</v>
      </c>
      <c r="G743" s="2" t="s">
        <v>675</v>
      </c>
      <c r="H743" s="2"/>
      <c r="I743" s="2"/>
    </row>
    <row r="744" spans="1:9" x14ac:dyDescent="0.35">
      <c r="A744" s="2" t="s">
        <v>1407</v>
      </c>
      <c r="B744" s="2" t="s">
        <v>62</v>
      </c>
      <c r="C744" s="2" t="s">
        <v>1490</v>
      </c>
      <c r="D744" s="2" t="s">
        <v>91</v>
      </c>
      <c r="E744" s="2" t="s">
        <v>19</v>
      </c>
      <c r="F744" s="2" t="s">
        <v>46</v>
      </c>
      <c r="G744" s="2" t="s">
        <v>675</v>
      </c>
      <c r="H744" s="2"/>
      <c r="I744" s="2"/>
    </row>
    <row r="745" spans="1:9" x14ac:dyDescent="0.35">
      <c r="A745" s="2" t="s">
        <v>1407</v>
      </c>
      <c r="B745" s="2" t="s">
        <v>62</v>
      </c>
      <c r="C745" s="2" t="s">
        <v>1490</v>
      </c>
      <c r="D745" s="2" t="s">
        <v>1297</v>
      </c>
      <c r="E745" s="2" t="s">
        <v>533</v>
      </c>
      <c r="F745" s="2" t="s">
        <v>46</v>
      </c>
      <c r="G745" s="2" t="s">
        <v>675</v>
      </c>
      <c r="H745" s="2"/>
      <c r="I745" s="2"/>
    </row>
    <row r="746" spans="1:9" x14ac:dyDescent="0.35">
      <c r="A746" s="2" t="s">
        <v>1407</v>
      </c>
      <c r="B746" s="2" t="s">
        <v>62</v>
      </c>
      <c r="C746" s="2" t="s">
        <v>1491</v>
      </c>
      <c r="D746" s="2" t="s">
        <v>317</v>
      </c>
      <c r="E746" s="2" t="s">
        <v>318</v>
      </c>
      <c r="F746" s="2" t="s">
        <v>46</v>
      </c>
      <c r="G746" s="2" t="s">
        <v>675</v>
      </c>
      <c r="H746" s="2"/>
      <c r="I746" s="2"/>
    </row>
    <row r="747" spans="1:9" x14ac:dyDescent="0.35">
      <c r="A747" s="2" t="s">
        <v>1407</v>
      </c>
      <c r="B747" s="2" t="s">
        <v>62</v>
      </c>
      <c r="C747" s="2" t="s">
        <v>1491</v>
      </c>
      <c r="D747" s="2" t="s">
        <v>333</v>
      </c>
      <c r="E747" s="2" t="s">
        <v>334</v>
      </c>
      <c r="F747" s="2" t="s">
        <v>46</v>
      </c>
      <c r="G747" s="2" t="s">
        <v>675</v>
      </c>
      <c r="H747" s="2"/>
      <c r="I747" s="2"/>
    </row>
    <row r="748" spans="1:9" x14ac:dyDescent="0.35">
      <c r="A748" s="2" t="s">
        <v>1407</v>
      </c>
      <c r="B748" s="2" t="s">
        <v>62</v>
      </c>
      <c r="C748" s="2" t="s">
        <v>1491</v>
      </c>
      <c r="D748" s="2" t="s">
        <v>1297</v>
      </c>
      <c r="E748" s="2" t="s">
        <v>533</v>
      </c>
      <c r="F748" s="2" t="s">
        <v>46</v>
      </c>
      <c r="G748" s="2" t="s">
        <v>675</v>
      </c>
      <c r="H748" s="2"/>
      <c r="I748" s="2"/>
    </row>
    <row r="749" spans="1:9" x14ac:dyDescent="0.35">
      <c r="A749" s="2" t="s">
        <v>1407</v>
      </c>
      <c r="B749" s="2" t="s">
        <v>62</v>
      </c>
      <c r="C749" s="2" t="s">
        <v>1492</v>
      </c>
      <c r="D749" s="2" t="s">
        <v>317</v>
      </c>
      <c r="E749" s="2" t="s">
        <v>318</v>
      </c>
      <c r="F749" s="2"/>
      <c r="G749" s="2"/>
      <c r="H749" s="2"/>
      <c r="I749" s="2"/>
    </row>
    <row r="750" spans="1:9" x14ac:dyDescent="0.35">
      <c r="A750" s="2" t="s">
        <v>1407</v>
      </c>
      <c r="B750" s="2" t="s">
        <v>62</v>
      </c>
      <c r="C750" s="2" t="s">
        <v>1492</v>
      </c>
      <c r="D750" s="2" t="s">
        <v>106</v>
      </c>
      <c r="E750" s="2" t="s">
        <v>107</v>
      </c>
      <c r="F750" s="2"/>
      <c r="G750" s="2"/>
      <c r="H750" s="2"/>
      <c r="I750" s="2"/>
    </row>
    <row r="751" spans="1:9" x14ac:dyDescent="0.35">
      <c r="A751" s="2" t="s">
        <v>1407</v>
      </c>
      <c r="B751" s="2" t="s">
        <v>62</v>
      </c>
      <c r="C751" s="2" t="s">
        <v>1492</v>
      </c>
      <c r="D751" s="2" t="s">
        <v>1297</v>
      </c>
      <c r="E751" s="2" t="s">
        <v>533</v>
      </c>
      <c r="F751" s="2" t="s">
        <v>20</v>
      </c>
      <c r="G751" s="2" t="s">
        <v>1493</v>
      </c>
      <c r="H751" s="2"/>
      <c r="I751" s="2"/>
    </row>
    <row r="752" spans="1:9" x14ac:dyDescent="0.35">
      <c r="A752" s="2" t="s">
        <v>1407</v>
      </c>
      <c r="B752" s="2" t="s">
        <v>24</v>
      </c>
      <c r="C752" s="2" t="s">
        <v>1494</v>
      </c>
      <c r="D752" s="2" t="s">
        <v>196</v>
      </c>
      <c r="E752" s="2" t="s">
        <v>197</v>
      </c>
      <c r="F752" s="2"/>
      <c r="G752" s="2"/>
      <c r="H752" s="2"/>
      <c r="I752" s="2"/>
    </row>
    <row r="753" spans="1:9" x14ac:dyDescent="0.35">
      <c r="A753" s="2" t="s">
        <v>1407</v>
      </c>
      <c r="B753" s="2" t="s">
        <v>24</v>
      </c>
      <c r="C753" s="2" t="s">
        <v>1494</v>
      </c>
      <c r="D753" s="2" t="s">
        <v>319</v>
      </c>
      <c r="E753" s="2" t="s">
        <v>320</v>
      </c>
      <c r="F753" s="2"/>
      <c r="G753" s="2"/>
      <c r="H753" s="2"/>
      <c r="I753" s="2"/>
    </row>
    <row r="754" spans="1:9" x14ac:dyDescent="0.35">
      <c r="A754" s="2" t="s">
        <v>1407</v>
      </c>
      <c r="B754" s="2" t="s">
        <v>24</v>
      </c>
      <c r="C754" s="2" t="s">
        <v>1494</v>
      </c>
      <c r="D754" s="2" t="s">
        <v>1226</v>
      </c>
      <c r="E754" s="2" t="s">
        <v>107</v>
      </c>
      <c r="F754" s="2"/>
      <c r="G754" s="2"/>
      <c r="H754" s="2"/>
      <c r="I754" s="2"/>
    </row>
    <row r="755" spans="1:9" x14ac:dyDescent="0.35">
      <c r="A755" s="2" t="s">
        <v>1407</v>
      </c>
      <c r="B755" s="2" t="s">
        <v>24</v>
      </c>
      <c r="C755" s="2" t="s">
        <v>1494</v>
      </c>
      <c r="D755" s="2" t="s">
        <v>1495</v>
      </c>
      <c r="E755" s="2" t="s">
        <v>45</v>
      </c>
      <c r="F755" s="2" t="s">
        <v>20</v>
      </c>
      <c r="G755" s="2"/>
      <c r="H755" s="2"/>
      <c r="I755" s="2"/>
    </row>
    <row r="756" spans="1:9" x14ac:dyDescent="0.35">
      <c r="A756" s="2" t="s">
        <v>1407</v>
      </c>
      <c r="B756" s="2" t="s">
        <v>24</v>
      </c>
      <c r="C756" s="2" t="s">
        <v>1494</v>
      </c>
      <c r="D756" s="2" t="s">
        <v>1454</v>
      </c>
      <c r="E756" s="2" t="s">
        <v>277</v>
      </c>
      <c r="F756" s="2"/>
      <c r="G756" s="2"/>
      <c r="H756" s="2"/>
      <c r="I756" s="2"/>
    </row>
    <row r="757" spans="1:9" x14ac:dyDescent="0.35">
      <c r="A757" s="2" t="s">
        <v>1407</v>
      </c>
      <c r="B757" s="2" t="s">
        <v>24</v>
      </c>
      <c r="C757" s="2" t="s">
        <v>1494</v>
      </c>
      <c r="D757" s="2" t="s">
        <v>1457</v>
      </c>
      <c r="E757" s="2" t="s">
        <v>1458</v>
      </c>
      <c r="F757" s="2"/>
      <c r="G757" s="2"/>
      <c r="H757" s="2"/>
      <c r="I757" s="2"/>
    </row>
    <row r="758" spans="1:9" x14ac:dyDescent="0.35">
      <c r="A758" s="2" t="s">
        <v>1407</v>
      </c>
      <c r="B758" s="2" t="s">
        <v>24</v>
      </c>
      <c r="C758" s="2" t="s">
        <v>1494</v>
      </c>
      <c r="D758" s="2" t="s">
        <v>87</v>
      </c>
      <c r="E758" s="2" t="s">
        <v>75</v>
      </c>
      <c r="F758" s="2"/>
      <c r="G758" s="2"/>
      <c r="H758" s="2"/>
      <c r="I758" s="2"/>
    </row>
    <row r="759" spans="1:9" x14ac:dyDescent="0.35">
      <c r="A759" s="2" t="s">
        <v>1407</v>
      </c>
      <c r="B759" s="2" t="s">
        <v>24</v>
      </c>
      <c r="C759" s="2" t="s">
        <v>1494</v>
      </c>
      <c r="D759" s="2" t="s">
        <v>18</v>
      </c>
      <c r="E759" s="2" t="s">
        <v>19</v>
      </c>
      <c r="F759" s="2" t="s">
        <v>20</v>
      </c>
      <c r="G759" s="2" t="s">
        <v>1496</v>
      </c>
      <c r="H759" s="2"/>
      <c r="I759" s="2"/>
    </row>
    <row r="760" spans="1:9" x14ac:dyDescent="0.35">
      <c r="A760" s="2" t="s">
        <v>1407</v>
      </c>
      <c r="B760" s="2" t="s">
        <v>24</v>
      </c>
      <c r="C760" s="2" t="s">
        <v>1494</v>
      </c>
      <c r="D760" s="2" t="s">
        <v>1462</v>
      </c>
      <c r="E760" s="2" t="s">
        <v>277</v>
      </c>
      <c r="F760" s="2"/>
      <c r="G760" s="2"/>
      <c r="H760" s="2"/>
      <c r="I760" s="2"/>
    </row>
    <row r="761" spans="1:9" x14ac:dyDescent="0.35">
      <c r="A761" s="2" t="s">
        <v>1407</v>
      </c>
      <c r="B761" s="2" t="s">
        <v>24</v>
      </c>
      <c r="C761" s="2" t="s">
        <v>1494</v>
      </c>
      <c r="D761" s="2" t="s">
        <v>1228</v>
      </c>
      <c r="E761" s="2" t="s">
        <v>228</v>
      </c>
      <c r="F761" s="2"/>
      <c r="G761" s="2"/>
      <c r="H761" s="2"/>
      <c r="I761" s="2"/>
    </row>
    <row r="762" spans="1:9" x14ac:dyDescent="0.35">
      <c r="A762" s="2" t="s">
        <v>1407</v>
      </c>
      <c r="B762" s="2" t="s">
        <v>24</v>
      </c>
      <c r="C762" s="2" t="s">
        <v>1494</v>
      </c>
      <c r="D762" s="2" t="s">
        <v>149</v>
      </c>
      <c r="E762" s="2" t="s">
        <v>150</v>
      </c>
      <c r="F762" s="2" t="s">
        <v>20</v>
      </c>
      <c r="G762" s="2" t="s">
        <v>1483</v>
      </c>
      <c r="H762" s="2"/>
      <c r="I762" s="2"/>
    </row>
    <row r="763" spans="1:9" x14ac:dyDescent="0.35">
      <c r="A763" s="2" t="s">
        <v>1407</v>
      </c>
      <c r="B763" s="2" t="s">
        <v>24</v>
      </c>
      <c r="C763" s="2" t="s">
        <v>1497</v>
      </c>
      <c r="D763" s="2" t="s">
        <v>319</v>
      </c>
      <c r="E763" s="2" t="s">
        <v>320</v>
      </c>
      <c r="F763" s="2"/>
      <c r="G763" s="2"/>
      <c r="H763" s="2"/>
      <c r="I763" s="2"/>
    </row>
    <row r="764" spans="1:9" x14ac:dyDescent="0.35">
      <c r="A764" s="2" t="s">
        <v>1407</v>
      </c>
      <c r="B764" s="2" t="s">
        <v>24</v>
      </c>
      <c r="C764" s="2" t="s">
        <v>1497</v>
      </c>
      <c r="D764" s="2" t="s">
        <v>1226</v>
      </c>
      <c r="E764" s="2" t="s">
        <v>107</v>
      </c>
      <c r="F764" s="2"/>
      <c r="G764" s="2"/>
      <c r="H764" s="2"/>
      <c r="I764" s="2"/>
    </row>
    <row r="765" spans="1:9" x14ac:dyDescent="0.35">
      <c r="A765" s="2" t="s">
        <v>1407</v>
      </c>
      <c r="B765" s="2" t="s">
        <v>24</v>
      </c>
      <c r="C765" s="2" t="s">
        <v>1497</v>
      </c>
      <c r="D765" s="2" t="s">
        <v>91</v>
      </c>
      <c r="E765" s="2" t="s">
        <v>19</v>
      </c>
      <c r="F765" s="2" t="s">
        <v>20</v>
      </c>
      <c r="G765" s="2" t="s">
        <v>1498</v>
      </c>
      <c r="H765" s="2"/>
      <c r="I765" s="2"/>
    </row>
    <row r="766" spans="1:9" x14ac:dyDescent="0.35">
      <c r="A766" s="2" t="s">
        <v>1407</v>
      </c>
      <c r="B766" s="2" t="s">
        <v>24</v>
      </c>
      <c r="C766" s="2" t="s">
        <v>1497</v>
      </c>
      <c r="D766" s="2" t="s">
        <v>1499</v>
      </c>
      <c r="E766" s="2" t="s">
        <v>277</v>
      </c>
      <c r="F766" s="2"/>
      <c r="G766" s="2"/>
      <c r="H766" s="2"/>
      <c r="I766" s="2"/>
    </row>
    <row r="767" spans="1:9" x14ac:dyDescent="0.35">
      <c r="A767" s="2" t="s">
        <v>1407</v>
      </c>
      <c r="B767" s="2" t="s">
        <v>24</v>
      </c>
      <c r="C767" s="2" t="s">
        <v>1497</v>
      </c>
      <c r="D767" s="2" t="s">
        <v>124</v>
      </c>
      <c r="E767" s="2" t="s">
        <v>125</v>
      </c>
      <c r="F767" s="2"/>
      <c r="G767" s="2"/>
      <c r="H767" s="2"/>
      <c r="I767" s="2"/>
    </row>
    <row r="768" spans="1:9" x14ac:dyDescent="0.35">
      <c r="A768" s="2" t="s">
        <v>1407</v>
      </c>
      <c r="B768" s="2" t="s">
        <v>24</v>
      </c>
      <c r="C768" s="2" t="s">
        <v>1497</v>
      </c>
      <c r="D768" s="2" t="s">
        <v>417</v>
      </c>
      <c r="E768" s="2" t="s">
        <v>40</v>
      </c>
      <c r="F768" s="2"/>
      <c r="G768" s="2"/>
      <c r="H768" s="2"/>
      <c r="I768" s="2"/>
    </row>
    <row r="769" spans="1:9" x14ac:dyDescent="0.35">
      <c r="A769" s="2" t="s">
        <v>1407</v>
      </c>
      <c r="B769" s="2" t="s">
        <v>24</v>
      </c>
      <c r="C769" s="2" t="s">
        <v>1497</v>
      </c>
      <c r="D769" s="2" t="s">
        <v>1228</v>
      </c>
      <c r="E769" s="2" t="s">
        <v>228</v>
      </c>
      <c r="F769" s="2"/>
      <c r="G769" s="2"/>
      <c r="H769" s="2"/>
      <c r="I769" s="2"/>
    </row>
    <row r="770" spans="1:9" x14ac:dyDescent="0.35">
      <c r="A770" s="2" t="s">
        <v>1407</v>
      </c>
      <c r="B770" s="2" t="s">
        <v>24</v>
      </c>
      <c r="C770" s="2" t="s">
        <v>1497</v>
      </c>
      <c r="D770" s="2" t="s">
        <v>188</v>
      </c>
      <c r="E770" s="2" t="s">
        <v>189</v>
      </c>
      <c r="F770" s="2"/>
      <c r="G770" s="2"/>
      <c r="H770" s="2"/>
      <c r="I770" s="2"/>
    </row>
    <row r="771" spans="1:9" x14ac:dyDescent="0.35">
      <c r="A771" s="2" t="s">
        <v>1407</v>
      </c>
      <c r="B771" s="2" t="s">
        <v>24</v>
      </c>
      <c r="C771" s="2" t="s">
        <v>1497</v>
      </c>
      <c r="D771" s="2" t="s">
        <v>1342</v>
      </c>
      <c r="E771" s="2" t="s">
        <v>1343</v>
      </c>
      <c r="F771" s="2"/>
      <c r="G771" s="2"/>
      <c r="H771" s="2"/>
      <c r="I771" s="2"/>
    </row>
    <row r="772" spans="1:9" x14ac:dyDescent="0.35">
      <c r="A772" s="2" t="s">
        <v>1407</v>
      </c>
      <c r="B772" s="2" t="s">
        <v>24</v>
      </c>
      <c r="C772" s="2" t="s">
        <v>1500</v>
      </c>
      <c r="D772" s="2" t="s">
        <v>196</v>
      </c>
      <c r="E772" s="2" t="s">
        <v>197</v>
      </c>
      <c r="F772" s="2"/>
      <c r="G772" s="2"/>
      <c r="H772" s="2"/>
      <c r="I772" s="2"/>
    </row>
    <row r="773" spans="1:9" x14ac:dyDescent="0.35">
      <c r="A773" s="2" t="s">
        <v>1407</v>
      </c>
      <c r="B773" s="2" t="s">
        <v>24</v>
      </c>
      <c r="C773" s="2" t="s">
        <v>1500</v>
      </c>
      <c r="D773" s="2" t="s">
        <v>1226</v>
      </c>
      <c r="E773" s="2" t="s">
        <v>107</v>
      </c>
      <c r="F773" s="2"/>
      <c r="G773" s="2"/>
      <c r="H773" s="2"/>
      <c r="I773" s="2"/>
    </row>
    <row r="774" spans="1:9" x14ac:dyDescent="0.35">
      <c r="A774" s="2" t="s">
        <v>1407</v>
      </c>
      <c r="B774" s="2" t="s">
        <v>24</v>
      </c>
      <c r="C774" s="2" t="s">
        <v>1500</v>
      </c>
      <c r="D774" s="2" t="s">
        <v>91</v>
      </c>
      <c r="E774" s="2" t="s">
        <v>19</v>
      </c>
      <c r="F774" s="2"/>
      <c r="G774" s="2"/>
      <c r="H774" s="2"/>
      <c r="I774" s="2"/>
    </row>
    <row r="775" spans="1:9" x14ac:dyDescent="0.35">
      <c r="A775" s="2" t="s">
        <v>1407</v>
      </c>
      <c r="B775" s="2" t="s">
        <v>24</v>
      </c>
      <c r="C775" s="2" t="s">
        <v>1500</v>
      </c>
      <c r="D775" s="2" t="s">
        <v>87</v>
      </c>
      <c r="E775" s="2" t="s">
        <v>75</v>
      </c>
      <c r="F775" s="2"/>
      <c r="G775" s="2"/>
      <c r="H775" s="2"/>
      <c r="I775" s="2"/>
    </row>
    <row r="776" spans="1:9" x14ac:dyDescent="0.35">
      <c r="A776" s="2" t="s">
        <v>1407</v>
      </c>
      <c r="B776" s="2" t="s">
        <v>24</v>
      </c>
      <c r="C776" s="2" t="s">
        <v>1500</v>
      </c>
      <c r="D776" s="2" t="s">
        <v>1261</v>
      </c>
      <c r="E776" s="2" t="s">
        <v>277</v>
      </c>
      <c r="F776" s="2"/>
      <c r="G776" s="2"/>
      <c r="H776" s="2"/>
      <c r="I776" s="2"/>
    </row>
    <row r="777" spans="1:9" x14ac:dyDescent="0.35">
      <c r="A777" s="2" t="s">
        <v>1407</v>
      </c>
      <c r="B777" s="2" t="s">
        <v>24</v>
      </c>
      <c r="C777" s="2" t="s">
        <v>1500</v>
      </c>
      <c r="D777" s="2" t="s">
        <v>1228</v>
      </c>
      <c r="E777" s="2" t="s">
        <v>228</v>
      </c>
      <c r="F777" s="2"/>
      <c r="G777" s="2"/>
      <c r="H777" s="2"/>
      <c r="I777" s="2"/>
    </row>
    <row r="778" spans="1:9" x14ac:dyDescent="0.35">
      <c r="A778" s="2" t="s">
        <v>1407</v>
      </c>
      <c r="B778" s="2" t="s">
        <v>24</v>
      </c>
      <c r="C778" s="2" t="s">
        <v>1501</v>
      </c>
      <c r="D778" s="2" t="s">
        <v>1502</v>
      </c>
      <c r="E778" s="2" t="s">
        <v>38</v>
      </c>
      <c r="F778" s="2"/>
      <c r="G778" s="2"/>
      <c r="H778" s="2"/>
      <c r="I778" s="2"/>
    </row>
    <row r="779" spans="1:9" x14ac:dyDescent="0.35">
      <c r="A779" s="2" t="s">
        <v>1407</v>
      </c>
      <c r="B779" s="2" t="s">
        <v>24</v>
      </c>
      <c r="C779" s="2" t="s">
        <v>1501</v>
      </c>
      <c r="D779" s="2" t="s">
        <v>1226</v>
      </c>
      <c r="E779" s="2" t="s">
        <v>107</v>
      </c>
      <c r="F779" s="2"/>
      <c r="G779" s="2"/>
      <c r="H779" s="2"/>
      <c r="I779" s="2"/>
    </row>
    <row r="780" spans="1:9" x14ac:dyDescent="0.35">
      <c r="A780" s="2" t="s">
        <v>1407</v>
      </c>
      <c r="B780" s="2" t="s">
        <v>24</v>
      </c>
      <c r="C780" s="2" t="s">
        <v>1501</v>
      </c>
      <c r="D780" s="2" t="s">
        <v>649</v>
      </c>
      <c r="E780" s="2" t="s">
        <v>363</v>
      </c>
      <c r="F780" s="2"/>
      <c r="G780" s="2"/>
      <c r="H780" s="2"/>
      <c r="I780" s="2"/>
    </row>
    <row r="781" spans="1:9" x14ac:dyDescent="0.35">
      <c r="A781" s="2" t="s">
        <v>1407</v>
      </c>
      <c r="B781" s="2" t="s">
        <v>24</v>
      </c>
      <c r="C781" s="2" t="s">
        <v>1501</v>
      </c>
      <c r="D781" s="2" t="s">
        <v>87</v>
      </c>
      <c r="E781" s="2" t="s">
        <v>75</v>
      </c>
      <c r="F781" s="2"/>
      <c r="G781" s="2"/>
      <c r="H781" s="2"/>
      <c r="I781" s="2"/>
    </row>
    <row r="782" spans="1:9" x14ac:dyDescent="0.35">
      <c r="A782" s="2" t="s">
        <v>1407</v>
      </c>
      <c r="B782" s="2" t="s">
        <v>24</v>
      </c>
      <c r="C782" s="2" t="s">
        <v>1501</v>
      </c>
      <c r="D782" s="2" t="s">
        <v>124</v>
      </c>
      <c r="E782" s="2" t="s">
        <v>125</v>
      </c>
      <c r="F782" s="2"/>
      <c r="G782" s="2"/>
      <c r="H782" s="2"/>
      <c r="I782" s="2"/>
    </row>
    <row r="783" spans="1:9" x14ac:dyDescent="0.35">
      <c r="A783" s="2" t="s">
        <v>1407</v>
      </c>
      <c r="B783" s="2" t="s">
        <v>24</v>
      </c>
      <c r="C783" s="2" t="s">
        <v>1501</v>
      </c>
      <c r="D783" s="2" t="s">
        <v>1228</v>
      </c>
      <c r="E783" s="2" t="s">
        <v>228</v>
      </c>
      <c r="F783" s="2"/>
      <c r="G783" s="2"/>
      <c r="H783" s="2"/>
      <c r="I783" s="2"/>
    </row>
    <row r="784" spans="1:9" x14ac:dyDescent="0.35">
      <c r="A784" s="2" t="s">
        <v>1407</v>
      </c>
      <c r="B784" s="2" t="s">
        <v>57</v>
      </c>
      <c r="C784" s="2" t="s">
        <v>1503</v>
      </c>
      <c r="D784" s="2" t="s">
        <v>196</v>
      </c>
      <c r="E784" s="2" t="s">
        <v>197</v>
      </c>
      <c r="F784" s="2"/>
      <c r="G784" s="2"/>
      <c r="H784" s="2"/>
      <c r="I784" s="2"/>
    </row>
    <row r="785" spans="1:9" x14ac:dyDescent="0.35">
      <c r="A785" s="2" t="s">
        <v>1407</v>
      </c>
      <c r="B785" s="2" t="s">
        <v>57</v>
      </c>
      <c r="C785" s="2" t="s">
        <v>1503</v>
      </c>
      <c r="D785" s="2" t="s">
        <v>27</v>
      </c>
      <c r="E785" s="2" t="s">
        <v>28</v>
      </c>
      <c r="F785" s="2"/>
      <c r="G785" s="2"/>
      <c r="H785" s="2"/>
      <c r="I785" s="2"/>
    </row>
    <row r="786" spans="1:9" x14ac:dyDescent="0.35">
      <c r="A786" s="2" t="s">
        <v>1407</v>
      </c>
      <c r="B786" s="2" t="s">
        <v>57</v>
      </c>
      <c r="C786" s="2" t="s">
        <v>1503</v>
      </c>
      <c r="D786" s="2" t="s">
        <v>1504</v>
      </c>
      <c r="E786" s="2" t="s">
        <v>40</v>
      </c>
      <c r="F786" s="2"/>
      <c r="G786" s="2"/>
      <c r="H786" s="2"/>
      <c r="I786" s="2"/>
    </row>
    <row r="787" spans="1:9" x14ac:dyDescent="0.35">
      <c r="A787" s="2" t="s">
        <v>1407</v>
      </c>
      <c r="B787" s="2" t="s">
        <v>57</v>
      </c>
      <c r="C787" s="2" t="s">
        <v>1503</v>
      </c>
      <c r="D787" s="2" t="s">
        <v>98</v>
      </c>
      <c r="E787" s="2" t="s">
        <v>98</v>
      </c>
      <c r="F787" s="2"/>
      <c r="G787" s="2"/>
      <c r="H787" s="2"/>
      <c r="I787" s="2"/>
    </row>
    <row r="788" spans="1:9" x14ac:dyDescent="0.35">
      <c r="A788" s="2" t="s">
        <v>1407</v>
      </c>
      <c r="B788" s="2" t="s">
        <v>57</v>
      </c>
      <c r="C788" s="2" t="s">
        <v>1503</v>
      </c>
      <c r="D788" s="2" t="s">
        <v>319</v>
      </c>
      <c r="E788" s="2" t="s">
        <v>320</v>
      </c>
      <c r="F788" s="2"/>
      <c r="G788" s="2"/>
      <c r="H788" s="2"/>
      <c r="I788" s="2"/>
    </row>
    <row r="789" spans="1:9" x14ac:dyDescent="0.35">
      <c r="A789" s="2" t="s">
        <v>1407</v>
      </c>
      <c r="B789" s="2" t="s">
        <v>57</v>
      </c>
      <c r="C789" s="2" t="s">
        <v>1503</v>
      </c>
      <c r="D789" s="2" t="s">
        <v>1226</v>
      </c>
      <c r="E789" s="2" t="s">
        <v>107</v>
      </c>
      <c r="F789" s="2"/>
      <c r="G789" s="2"/>
      <c r="H789" s="2"/>
      <c r="I789" s="2"/>
    </row>
    <row r="790" spans="1:9" x14ac:dyDescent="0.35">
      <c r="A790" s="2" t="s">
        <v>1407</v>
      </c>
      <c r="B790" s="2" t="s">
        <v>57</v>
      </c>
      <c r="C790" s="2" t="s">
        <v>1503</v>
      </c>
      <c r="D790" s="2" t="s">
        <v>815</v>
      </c>
      <c r="E790" s="2" t="s">
        <v>122</v>
      </c>
      <c r="F790" s="2" t="s">
        <v>20</v>
      </c>
      <c r="G790" s="2" t="s">
        <v>1505</v>
      </c>
      <c r="H790" s="2"/>
      <c r="I790" s="2"/>
    </row>
    <row r="791" spans="1:9" x14ac:dyDescent="0.35">
      <c r="A791" s="2" t="s">
        <v>1407</v>
      </c>
      <c r="B791" s="2" t="s">
        <v>57</v>
      </c>
      <c r="C791" s="2" t="s">
        <v>1503</v>
      </c>
      <c r="D791" s="2" t="s">
        <v>1454</v>
      </c>
      <c r="E791" s="2" t="s">
        <v>277</v>
      </c>
      <c r="F791" s="2"/>
      <c r="G791" s="2"/>
      <c r="H791" s="2"/>
      <c r="I791" s="2"/>
    </row>
    <row r="792" spans="1:9" x14ac:dyDescent="0.35">
      <c r="A792" s="2" t="s">
        <v>1407</v>
      </c>
      <c r="B792" s="2" t="s">
        <v>57</v>
      </c>
      <c r="C792" s="2" t="s">
        <v>1503</v>
      </c>
      <c r="D792" s="2" t="s">
        <v>1457</v>
      </c>
      <c r="E792" s="2" t="s">
        <v>1458</v>
      </c>
      <c r="F792" s="2"/>
      <c r="G792" s="2"/>
      <c r="H792" s="2"/>
      <c r="I792" s="2"/>
    </row>
    <row r="793" spans="1:9" x14ac:dyDescent="0.35">
      <c r="A793" s="2" t="s">
        <v>1407</v>
      </c>
      <c r="B793" s="2" t="s">
        <v>57</v>
      </c>
      <c r="C793" s="2" t="s">
        <v>1503</v>
      </c>
      <c r="D793" s="2" t="s">
        <v>291</v>
      </c>
      <c r="E793" s="2" t="s">
        <v>139</v>
      </c>
      <c r="F793" s="2" t="s">
        <v>20</v>
      </c>
      <c r="G793" s="2" t="s">
        <v>1506</v>
      </c>
      <c r="H793" s="2"/>
      <c r="I793" s="2"/>
    </row>
    <row r="794" spans="1:9" x14ac:dyDescent="0.35">
      <c r="A794" s="2" t="s">
        <v>1407</v>
      </c>
      <c r="B794" s="2" t="s">
        <v>57</v>
      </c>
      <c r="C794" s="2" t="s">
        <v>1503</v>
      </c>
      <c r="D794" s="2" t="s">
        <v>1507</v>
      </c>
      <c r="E794" s="2" t="s">
        <v>363</v>
      </c>
      <c r="F794" s="2"/>
      <c r="G794" s="2"/>
      <c r="H794" s="2"/>
      <c r="I794" s="2"/>
    </row>
    <row r="795" spans="1:9" x14ac:dyDescent="0.35">
      <c r="A795" s="2" t="s">
        <v>1407</v>
      </c>
      <c r="B795" s="2" t="s">
        <v>57</v>
      </c>
      <c r="C795" s="2" t="s">
        <v>1503</v>
      </c>
      <c r="D795" s="2" t="s">
        <v>269</v>
      </c>
      <c r="E795" s="2" t="s">
        <v>270</v>
      </c>
      <c r="F795" s="2"/>
      <c r="G795" s="2"/>
      <c r="H795" s="2"/>
      <c r="I795" s="2"/>
    </row>
    <row r="796" spans="1:9" x14ac:dyDescent="0.35">
      <c r="A796" s="2" t="s">
        <v>1407</v>
      </c>
      <c r="B796" s="2" t="s">
        <v>57</v>
      </c>
      <c r="C796" s="2" t="s">
        <v>1503</v>
      </c>
      <c r="D796" s="2" t="s">
        <v>417</v>
      </c>
      <c r="E796" s="2" t="s">
        <v>40</v>
      </c>
      <c r="F796" s="2"/>
      <c r="G796" s="2"/>
      <c r="H796" s="2"/>
      <c r="I796" s="2"/>
    </row>
    <row r="797" spans="1:9" x14ac:dyDescent="0.35">
      <c r="A797" s="2" t="s">
        <v>1407</v>
      </c>
      <c r="B797" s="2" t="s">
        <v>57</v>
      </c>
      <c r="C797" s="2" t="s">
        <v>1503</v>
      </c>
      <c r="D797" s="2" t="s">
        <v>18</v>
      </c>
      <c r="E797" s="2" t="s">
        <v>19</v>
      </c>
      <c r="F797" s="2" t="s">
        <v>20</v>
      </c>
      <c r="G797" s="2" t="s">
        <v>1508</v>
      </c>
      <c r="H797" s="2"/>
      <c r="I797" s="2"/>
    </row>
    <row r="798" spans="1:9" x14ac:dyDescent="0.35">
      <c r="A798" s="2" t="s">
        <v>1407</v>
      </c>
      <c r="B798" s="2" t="s">
        <v>57</v>
      </c>
      <c r="C798" s="2" t="s">
        <v>1503</v>
      </c>
      <c r="D798" s="2" t="s">
        <v>1462</v>
      </c>
      <c r="E798" s="2" t="s">
        <v>277</v>
      </c>
      <c r="F798" s="2"/>
      <c r="G798" s="2"/>
      <c r="H798" s="2"/>
      <c r="I798" s="2"/>
    </row>
    <row r="799" spans="1:9" x14ac:dyDescent="0.35">
      <c r="A799" s="2" t="s">
        <v>1407</v>
      </c>
      <c r="B799" s="2" t="s">
        <v>57</v>
      </c>
      <c r="C799" s="2" t="s">
        <v>1503</v>
      </c>
      <c r="D799" s="2" t="s">
        <v>1228</v>
      </c>
      <c r="E799" s="2" t="s">
        <v>228</v>
      </c>
      <c r="F799" s="2"/>
      <c r="G799" s="2"/>
      <c r="H799" s="2"/>
      <c r="I799" s="2"/>
    </row>
    <row r="800" spans="1:9" x14ac:dyDescent="0.35">
      <c r="A800" s="2" t="s">
        <v>1407</v>
      </c>
      <c r="B800" s="2" t="s">
        <v>57</v>
      </c>
      <c r="C800" s="2" t="s">
        <v>1503</v>
      </c>
      <c r="D800" s="2" t="s">
        <v>1261</v>
      </c>
      <c r="E800" s="2" t="s">
        <v>277</v>
      </c>
      <c r="F800" s="2"/>
      <c r="G800" s="2"/>
      <c r="H800" s="2"/>
      <c r="I800" s="2"/>
    </row>
    <row r="801" spans="1:9" x14ac:dyDescent="0.35">
      <c r="A801" s="2" t="s">
        <v>1407</v>
      </c>
      <c r="B801" s="2" t="s">
        <v>57</v>
      </c>
      <c r="C801" s="2" t="s">
        <v>1503</v>
      </c>
      <c r="D801" s="2" t="s">
        <v>149</v>
      </c>
      <c r="E801" s="2" t="s">
        <v>150</v>
      </c>
      <c r="F801" s="2" t="s">
        <v>20</v>
      </c>
      <c r="G801" s="2" t="s">
        <v>1509</v>
      </c>
      <c r="H801" s="2"/>
      <c r="I801" s="2"/>
    </row>
    <row r="802" spans="1:9" x14ac:dyDescent="0.35">
      <c r="A802" s="2" t="s">
        <v>1407</v>
      </c>
      <c r="B802" s="2" t="s">
        <v>57</v>
      </c>
      <c r="C802" s="2" t="s">
        <v>1503</v>
      </c>
      <c r="D802" s="2" t="s">
        <v>1510</v>
      </c>
      <c r="E802" s="2" t="s">
        <v>40</v>
      </c>
      <c r="F802" s="2"/>
      <c r="G802" s="2"/>
      <c r="H802" s="2"/>
      <c r="I802" s="2"/>
    </row>
    <row r="803" spans="1:9" x14ac:dyDescent="0.35">
      <c r="A803" s="2" t="s">
        <v>1407</v>
      </c>
      <c r="B803" s="2" t="s">
        <v>57</v>
      </c>
      <c r="C803" s="2" t="s">
        <v>1503</v>
      </c>
      <c r="D803" s="2" t="s">
        <v>1511</v>
      </c>
      <c r="E803" s="2" t="s">
        <v>189</v>
      </c>
      <c r="F803" s="2"/>
      <c r="G803" s="2"/>
      <c r="H803" s="2"/>
      <c r="I803" s="2"/>
    </row>
    <row r="804" spans="1:9" x14ac:dyDescent="0.35">
      <c r="A804" s="2" t="s">
        <v>1407</v>
      </c>
      <c r="B804" s="2" t="s">
        <v>57</v>
      </c>
      <c r="C804" s="2" t="s">
        <v>1512</v>
      </c>
      <c r="D804" s="2" t="s">
        <v>18</v>
      </c>
      <c r="E804" s="2" t="s">
        <v>19</v>
      </c>
      <c r="F804" s="2" t="s">
        <v>20</v>
      </c>
      <c r="G804" s="2" t="s">
        <v>1509</v>
      </c>
      <c r="H804" s="2"/>
      <c r="I804" s="2"/>
    </row>
    <row r="805" spans="1:9" x14ac:dyDescent="0.35">
      <c r="A805" s="2" t="s">
        <v>1407</v>
      </c>
      <c r="B805" s="2" t="s">
        <v>57</v>
      </c>
      <c r="C805" s="2" t="s">
        <v>1512</v>
      </c>
      <c r="D805" s="2" t="s">
        <v>149</v>
      </c>
      <c r="E805" s="2" t="s">
        <v>150</v>
      </c>
      <c r="F805" s="2" t="s">
        <v>20</v>
      </c>
      <c r="G805" s="2" t="s">
        <v>1509</v>
      </c>
      <c r="H805" s="2"/>
      <c r="I805" s="2"/>
    </row>
    <row r="806" spans="1:9" x14ac:dyDescent="0.35">
      <c r="A806" s="2" t="s">
        <v>1407</v>
      </c>
      <c r="B806" s="2" t="s">
        <v>57</v>
      </c>
      <c r="C806" s="2" t="s">
        <v>1513</v>
      </c>
      <c r="D806" s="2" t="s">
        <v>18</v>
      </c>
      <c r="E806" s="2" t="s">
        <v>19</v>
      </c>
      <c r="F806" s="2" t="s">
        <v>20</v>
      </c>
      <c r="G806" s="2" t="s">
        <v>1509</v>
      </c>
      <c r="H806" s="2"/>
      <c r="I806" s="2"/>
    </row>
    <row r="807" spans="1:9" x14ac:dyDescent="0.35">
      <c r="A807" s="2" t="s">
        <v>1407</v>
      </c>
      <c r="B807" s="2" t="s">
        <v>57</v>
      </c>
      <c r="C807" s="2" t="s">
        <v>1513</v>
      </c>
      <c r="D807" s="2" t="s">
        <v>149</v>
      </c>
      <c r="E807" s="2" t="s">
        <v>150</v>
      </c>
      <c r="F807" s="2" t="s">
        <v>20</v>
      </c>
      <c r="G807" s="2" t="s">
        <v>1509</v>
      </c>
      <c r="H807" s="2"/>
      <c r="I807" s="2"/>
    </row>
    <row r="808" spans="1:9" x14ac:dyDescent="0.35">
      <c r="A808" s="2" t="s">
        <v>1407</v>
      </c>
      <c r="B808" s="2" t="s">
        <v>57</v>
      </c>
      <c r="C808" s="2" t="s">
        <v>1514</v>
      </c>
      <c r="D808" s="2" t="s">
        <v>18</v>
      </c>
      <c r="E808" s="2" t="s">
        <v>19</v>
      </c>
      <c r="F808" s="2" t="s">
        <v>20</v>
      </c>
      <c r="G808" s="2" t="s">
        <v>1509</v>
      </c>
      <c r="H808" s="2"/>
      <c r="I808" s="2"/>
    </row>
    <row r="809" spans="1:9" x14ac:dyDescent="0.35">
      <c r="A809" s="2" t="s">
        <v>1407</v>
      </c>
      <c r="B809" s="2" t="s">
        <v>57</v>
      </c>
      <c r="C809" s="2" t="s">
        <v>1514</v>
      </c>
      <c r="D809" s="2" t="s">
        <v>149</v>
      </c>
      <c r="E809" s="2" t="s">
        <v>150</v>
      </c>
      <c r="F809" s="2" t="s">
        <v>20</v>
      </c>
      <c r="G809" s="2" t="s">
        <v>1509</v>
      </c>
      <c r="H809" s="2"/>
      <c r="I809" s="2"/>
    </row>
    <row r="810" spans="1:9" x14ac:dyDescent="0.35">
      <c r="A810" s="2" t="s">
        <v>1407</v>
      </c>
      <c r="B810" s="2" t="s">
        <v>57</v>
      </c>
      <c r="C810" s="2" t="s">
        <v>1515</v>
      </c>
      <c r="D810" s="2" t="s">
        <v>18</v>
      </c>
      <c r="E810" s="2" t="s">
        <v>19</v>
      </c>
      <c r="F810" s="2" t="s">
        <v>20</v>
      </c>
      <c r="G810" s="2" t="s">
        <v>1509</v>
      </c>
      <c r="H810" s="2"/>
      <c r="I810" s="2"/>
    </row>
    <row r="811" spans="1:9" x14ac:dyDescent="0.35">
      <c r="A811" s="2" t="s">
        <v>1407</v>
      </c>
      <c r="B811" s="2" t="s">
        <v>57</v>
      </c>
      <c r="C811" s="2" t="s">
        <v>1515</v>
      </c>
      <c r="D811" s="2" t="s">
        <v>149</v>
      </c>
      <c r="E811" s="2" t="s">
        <v>150</v>
      </c>
      <c r="F811" s="2" t="s">
        <v>20</v>
      </c>
      <c r="G811" s="2" t="s">
        <v>1509</v>
      </c>
      <c r="H811" s="2"/>
      <c r="I811" s="2"/>
    </row>
    <row r="812" spans="1:9" x14ac:dyDescent="0.35">
      <c r="A812" s="2" t="s">
        <v>1407</v>
      </c>
      <c r="B812" s="2" t="s">
        <v>57</v>
      </c>
      <c r="C812" s="2" t="s">
        <v>1516</v>
      </c>
      <c r="D812" s="2" t="s">
        <v>18</v>
      </c>
      <c r="E812" s="2" t="s">
        <v>19</v>
      </c>
      <c r="F812" s="2" t="s">
        <v>20</v>
      </c>
      <c r="G812" s="2" t="s">
        <v>1509</v>
      </c>
      <c r="H812" s="2"/>
      <c r="I812" s="2"/>
    </row>
    <row r="813" spans="1:9" x14ac:dyDescent="0.35">
      <c r="A813" s="2" t="s">
        <v>1407</v>
      </c>
      <c r="B813" s="2" t="s">
        <v>57</v>
      </c>
      <c r="C813" s="2" t="s">
        <v>1516</v>
      </c>
      <c r="D813" s="2" t="s">
        <v>149</v>
      </c>
      <c r="E813" s="2" t="s">
        <v>150</v>
      </c>
      <c r="F813" s="2" t="s">
        <v>20</v>
      </c>
      <c r="G813" s="2" t="s">
        <v>1509</v>
      </c>
      <c r="H813" s="2"/>
      <c r="I813" s="2"/>
    </row>
    <row r="814" spans="1:9" x14ac:dyDescent="0.35">
      <c r="A814" s="2" t="s">
        <v>1407</v>
      </c>
      <c r="B814" s="2" t="s">
        <v>57</v>
      </c>
      <c r="C814" s="2" t="s">
        <v>1517</v>
      </c>
      <c r="D814" s="2" t="s">
        <v>18</v>
      </c>
      <c r="E814" s="2" t="s">
        <v>19</v>
      </c>
      <c r="F814" s="2" t="s">
        <v>20</v>
      </c>
      <c r="G814" s="2" t="s">
        <v>1509</v>
      </c>
      <c r="H814" s="2"/>
      <c r="I814" s="2"/>
    </row>
    <row r="815" spans="1:9" x14ac:dyDescent="0.35">
      <c r="A815" s="2" t="s">
        <v>1407</v>
      </c>
      <c r="B815" s="2" t="s">
        <v>57</v>
      </c>
      <c r="C815" s="2" t="s">
        <v>1517</v>
      </c>
      <c r="D815" s="2" t="s">
        <v>149</v>
      </c>
      <c r="E815" s="2" t="s">
        <v>150</v>
      </c>
      <c r="F815" s="2" t="s">
        <v>20</v>
      </c>
      <c r="G815" s="2" t="s">
        <v>1509</v>
      </c>
      <c r="H815" s="2"/>
      <c r="I815" s="2"/>
    </row>
    <row r="816" spans="1:9" x14ac:dyDescent="0.35">
      <c r="A816" s="2" t="s">
        <v>1407</v>
      </c>
      <c r="B816" s="2" t="s">
        <v>57</v>
      </c>
      <c r="C816" s="2" t="s">
        <v>1518</v>
      </c>
      <c r="D816" s="2" t="s">
        <v>18</v>
      </c>
      <c r="E816" s="2" t="s">
        <v>19</v>
      </c>
      <c r="F816" s="2" t="s">
        <v>20</v>
      </c>
      <c r="G816" s="2" t="s">
        <v>1509</v>
      </c>
      <c r="H816" s="2"/>
      <c r="I816" s="2"/>
    </row>
    <row r="817" spans="1:9" x14ac:dyDescent="0.35">
      <c r="A817" s="2" t="s">
        <v>1407</v>
      </c>
      <c r="B817" s="2" t="s">
        <v>57</v>
      </c>
      <c r="C817" s="2" t="s">
        <v>1518</v>
      </c>
      <c r="D817" s="2" t="s">
        <v>149</v>
      </c>
      <c r="E817" s="2" t="s">
        <v>150</v>
      </c>
      <c r="F817" s="2" t="s">
        <v>20</v>
      </c>
      <c r="G817" s="2" t="s">
        <v>1509</v>
      </c>
      <c r="H817" s="2"/>
      <c r="I817" s="2"/>
    </row>
    <row r="818" spans="1:9" x14ac:dyDescent="0.35">
      <c r="A818" s="2" t="s">
        <v>1407</v>
      </c>
      <c r="B818" s="2" t="s">
        <v>57</v>
      </c>
      <c r="C818" s="2" t="s">
        <v>1519</v>
      </c>
      <c r="D818" s="2" t="s">
        <v>38</v>
      </c>
      <c r="E818" s="2" t="s">
        <v>38</v>
      </c>
      <c r="F818" s="2" t="s">
        <v>20</v>
      </c>
      <c r="G818" s="2" t="s">
        <v>1520</v>
      </c>
      <c r="H818" s="2"/>
      <c r="I818" s="2"/>
    </row>
    <row r="819" spans="1:9" x14ac:dyDescent="0.35">
      <c r="A819" s="2" t="s">
        <v>1407</v>
      </c>
      <c r="B819" s="2" t="s">
        <v>57</v>
      </c>
      <c r="C819" s="2" t="s">
        <v>1519</v>
      </c>
      <c r="D819" s="2" t="s">
        <v>417</v>
      </c>
      <c r="E819" s="2" t="s">
        <v>40</v>
      </c>
      <c r="F819" s="2"/>
      <c r="G819" s="2"/>
      <c r="H819" s="2"/>
      <c r="I819" s="2"/>
    </row>
    <row r="820" spans="1:9" x14ac:dyDescent="0.35">
      <c r="A820" s="2" t="s">
        <v>1407</v>
      </c>
      <c r="B820" s="2" t="s">
        <v>57</v>
      </c>
      <c r="C820" s="2" t="s">
        <v>1519</v>
      </c>
      <c r="D820" s="2" t="s">
        <v>18</v>
      </c>
      <c r="E820" s="2" t="s">
        <v>19</v>
      </c>
      <c r="F820" s="2" t="s">
        <v>20</v>
      </c>
      <c r="G820" s="2" t="s">
        <v>1509</v>
      </c>
      <c r="H820" s="2"/>
      <c r="I820" s="2"/>
    </row>
    <row r="821" spans="1:9" x14ac:dyDescent="0.35">
      <c r="A821" s="2" t="s">
        <v>1407</v>
      </c>
      <c r="B821" s="2" t="s">
        <v>57</v>
      </c>
      <c r="C821" s="2" t="s">
        <v>1519</v>
      </c>
      <c r="D821" s="2" t="s">
        <v>149</v>
      </c>
      <c r="E821" s="2" t="s">
        <v>150</v>
      </c>
      <c r="F821" s="2" t="s">
        <v>20</v>
      </c>
      <c r="G821" s="2" t="s">
        <v>1509</v>
      </c>
      <c r="H821" s="2"/>
      <c r="I821" s="2"/>
    </row>
    <row r="822" spans="1:9" x14ac:dyDescent="0.35">
      <c r="A822" s="2" t="s">
        <v>1407</v>
      </c>
      <c r="B822" s="2" t="s">
        <v>57</v>
      </c>
      <c r="C822" s="2" t="s">
        <v>1521</v>
      </c>
      <c r="D822" s="2" t="s">
        <v>1522</v>
      </c>
      <c r="E822" s="2" t="s">
        <v>28</v>
      </c>
      <c r="F822" s="2" t="s">
        <v>20</v>
      </c>
      <c r="G822" s="2" t="s">
        <v>1509</v>
      </c>
      <c r="H822" s="2"/>
      <c r="I822" s="2"/>
    </row>
    <row r="823" spans="1:9" x14ac:dyDescent="0.35">
      <c r="A823" s="2" t="s">
        <v>1407</v>
      </c>
      <c r="B823" s="2" t="s">
        <v>57</v>
      </c>
      <c r="C823" s="2" t="s">
        <v>1521</v>
      </c>
      <c r="D823" s="2" t="s">
        <v>18</v>
      </c>
      <c r="E823" s="2" t="s">
        <v>19</v>
      </c>
      <c r="F823" s="2" t="s">
        <v>20</v>
      </c>
      <c r="G823" s="2" t="s">
        <v>1509</v>
      </c>
      <c r="H823" s="2"/>
      <c r="I823" s="2"/>
    </row>
    <row r="824" spans="1:9" x14ac:dyDescent="0.35">
      <c r="A824" s="2" t="s">
        <v>1407</v>
      </c>
      <c r="B824" s="2" t="s">
        <v>57</v>
      </c>
      <c r="C824" s="2" t="s">
        <v>1521</v>
      </c>
      <c r="D824" s="2" t="s">
        <v>149</v>
      </c>
      <c r="E824" s="2" t="s">
        <v>150</v>
      </c>
      <c r="F824" s="2" t="s">
        <v>20</v>
      </c>
      <c r="G824" s="2" t="s">
        <v>1509</v>
      </c>
      <c r="H824" s="2"/>
      <c r="I824" s="2"/>
    </row>
    <row r="825" spans="1:9" x14ac:dyDescent="0.35">
      <c r="A825" s="2" t="s">
        <v>1407</v>
      </c>
      <c r="B825" s="2" t="s">
        <v>57</v>
      </c>
      <c r="C825" s="2" t="s">
        <v>1523</v>
      </c>
      <c r="D825" s="2" t="s">
        <v>18</v>
      </c>
      <c r="E825" s="2" t="s">
        <v>19</v>
      </c>
      <c r="F825" s="2" t="s">
        <v>20</v>
      </c>
      <c r="G825" s="2" t="s">
        <v>1509</v>
      </c>
      <c r="H825" s="2"/>
      <c r="I825" s="2"/>
    </row>
    <row r="826" spans="1:9" x14ac:dyDescent="0.35">
      <c r="A826" s="2" t="s">
        <v>1407</v>
      </c>
      <c r="B826" s="2" t="s">
        <v>57</v>
      </c>
      <c r="C826" s="2" t="s">
        <v>1523</v>
      </c>
      <c r="D826" s="2" t="s">
        <v>149</v>
      </c>
      <c r="E826" s="2" t="s">
        <v>150</v>
      </c>
      <c r="F826" s="2" t="s">
        <v>20</v>
      </c>
      <c r="G826" s="2" t="s">
        <v>1509</v>
      </c>
      <c r="H826" s="2"/>
      <c r="I826" s="2"/>
    </row>
    <row r="827" spans="1:9" x14ac:dyDescent="0.35">
      <c r="A827" s="2" t="s">
        <v>1407</v>
      </c>
      <c r="B827" s="2" t="s">
        <v>57</v>
      </c>
      <c r="C827" s="2" t="s">
        <v>1524</v>
      </c>
      <c r="D827" s="2" t="s">
        <v>18</v>
      </c>
      <c r="E827" s="2" t="s">
        <v>19</v>
      </c>
      <c r="F827" s="2" t="s">
        <v>20</v>
      </c>
      <c r="G827" s="2" t="s">
        <v>1509</v>
      </c>
      <c r="H827" s="2"/>
      <c r="I827" s="2"/>
    </row>
    <row r="828" spans="1:9" x14ac:dyDescent="0.35">
      <c r="A828" s="2" t="s">
        <v>1407</v>
      </c>
      <c r="B828" s="2" t="s">
        <v>57</v>
      </c>
      <c r="C828" s="2" t="s">
        <v>1524</v>
      </c>
      <c r="D828" s="2" t="s">
        <v>149</v>
      </c>
      <c r="E828" s="2" t="s">
        <v>150</v>
      </c>
      <c r="F828" s="2" t="s">
        <v>20</v>
      </c>
      <c r="G828" s="2" t="s">
        <v>1509</v>
      </c>
      <c r="H828" s="2"/>
      <c r="I828" s="2"/>
    </row>
    <row r="829" spans="1:9" x14ac:dyDescent="0.35">
      <c r="A829" s="2" t="s">
        <v>1407</v>
      </c>
      <c r="B829" s="2" t="s">
        <v>57</v>
      </c>
      <c r="C829" s="2" t="s">
        <v>1525</v>
      </c>
      <c r="D829" s="2" t="s">
        <v>18</v>
      </c>
      <c r="E829" s="2" t="s">
        <v>19</v>
      </c>
      <c r="F829" s="2" t="s">
        <v>20</v>
      </c>
      <c r="G829" s="2" t="s">
        <v>1509</v>
      </c>
      <c r="H829" s="2"/>
      <c r="I829" s="2"/>
    </row>
    <row r="830" spans="1:9" x14ac:dyDescent="0.35">
      <c r="A830" s="2" t="s">
        <v>1407</v>
      </c>
      <c r="B830" s="2" t="s">
        <v>57</v>
      </c>
      <c r="C830" s="2" t="s">
        <v>1525</v>
      </c>
      <c r="D830" s="2" t="s">
        <v>149</v>
      </c>
      <c r="E830" s="2" t="s">
        <v>150</v>
      </c>
      <c r="F830" s="2" t="s">
        <v>20</v>
      </c>
      <c r="G830" s="2" t="s">
        <v>1509</v>
      </c>
      <c r="H830" s="2"/>
      <c r="I830" s="2"/>
    </row>
    <row r="831" spans="1:9" x14ac:dyDescent="0.35">
      <c r="A831" s="2" t="s">
        <v>1407</v>
      </c>
      <c r="B831" s="2" t="s">
        <v>24</v>
      </c>
      <c r="C831" s="2" t="s">
        <v>1526</v>
      </c>
      <c r="D831" s="2" t="s">
        <v>196</v>
      </c>
      <c r="E831" s="2" t="s">
        <v>197</v>
      </c>
      <c r="F831" s="2"/>
      <c r="G831" s="2"/>
      <c r="H831" s="2"/>
      <c r="I831" s="2"/>
    </row>
    <row r="832" spans="1:9" x14ac:dyDescent="0.35">
      <c r="A832" s="2" t="s">
        <v>1407</v>
      </c>
      <c r="B832" s="2" t="s">
        <v>24</v>
      </c>
      <c r="C832" s="2" t="s">
        <v>1526</v>
      </c>
      <c r="D832" s="2" t="s">
        <v>1226</v>
      </c>
      <c r="E832" s="2" t="s">
        <v>107</v>
      </c>
      <c r="F832" s="2" t="s">
        <v>20</v>
      </c>
      <c r="G832" s="2" t="s">
        <v>1527</v>
      </c>
      <c r="H832" s="2"/>
      <c r="I832" s="2"/>
    </row>
    <row r="833" spans="1:9" x14ac:dyDescent="0.35">
      <c r="A833" s="2" t="s">
        <v>1407</v>
      </c>
      <c r="B833" s="2" t="s">
        <v>24</v>
      </c>
      <c r="C833" s="2" t="s">
        <v>1526</v>
      </c>
      <c r="D833" s="2" t="s">
        <v>1454</v>
      </c>
      <c r="E833" s="2" t="s">
        <v>277</v>
      </c>
      <c r="F833" s="2"/>
      <c r="G833" s="2"/>
      <c r="H833" s="2"/>
      <c r="I833" s="2"/>
    </row>
    <row r="834" spans="1:9" x14ac:dyDescent="0.35">
      <c r="A834" s="2" t="s">
        <v>1407</v>
      </c>
      <c r="B834" s="2" t="s">
        <v>24</v>
      </c>
      <c r="C834" s="2" t="s">
        <v>1526</v>
      </c>
      <c r="D834" s="2" t="s">
        <v>91</v>
      </c>
      <c r="E834" s="2" t="s">
        <v>19</v>
      </c>
      <c r="F834" s="2" t="s">
        <v>20</v>
      </c>
      <c r="G834" s="2" t="s">
        <v>1528</v>
      </c>
      <c r="H834" s="2"/>
      <c r="I834" s="2"/>
    </row>
    <row r="835" spans="1:9" x14ac:dyDescent="0.35">
      <c r="A835" s="2" t="s">
        <v>1407</v>
      </c>
      <c r="B835" s="2" t="s">
        <v>24</v>
      </c>
      <c r="C835" s="2" t="s">
        <v>1526</v>
      </c>
      <c r="D835" s="2" t="s">
        <v>1462</v>
      </c>
      <c r="E835" s="2" t="s">
        <v>277</v>
      </c>
      <c r="F835" s="2"/>
      <c r="G835" s="2"/>
      <c r="H835" s="2"/>
      <c r="I835" s="2"/>
    </row>
    <row r="836" spans="1:9" x14ac:dyDescent="0.35">
      <c r="A836" s="2" t="s">
        <v>1407</v>
      </c>
      <c r="B836" s="2" t="s">
        <v>24</v>
      </c>
      <c r="C836" s="2" t="s">
        <v>1526</v>
      </c>
      <c r="D836" s="2" t="s">
        <v>1228</v>
      </c>
      <c r="E836" s="2" t="s">
        <v>228</v>
      </c>
      <c r="F836" s="2" t="s">
        <v>20</v>
      </c>
      <c r="G836" s="2" t="s">
        <v>1527</v>
      </c>
      <c r="H836" s="2"/>
      <c r="I836" s="2"/>
    </row>
    <row r="837" spans="1:9" x14ac:dyDescent="0.35">
      <c r="A837" s="2" t="s">
        <v>1407</v>
      </c>
      <c r="B837" s="2" t="s">
        <v>24</v>
      </c>
      <c r="C837" s="2" t="s">
        <v>1526</v>
      </c>
      <c r="D837" s="2" t="s">
        <v>188</v>
      </c>
      <c r="E837" s="2" t="s">
        <v>189</v>
      </c>
      <c r="F837" s="2" t="s">
        <v>20</v>
      </c>
      <c r="G837" s="2" t="s">
        <v>1528</v>
      </c>
      <c r="H837" s="2"/>
      <c r="I837" s="2"/>
    </row>
    <row r="838" spans="1:9" x14ac:dyDescent="0.35">
      <c r="A838" s="2" t="s">
        <v>1407</v>
      </c>
      <c r="B838" s="2" t="s">
        <v>24</v>
      </c>
      <c r="C838" s="2" t="s">
        <v>1529</v>
      </c>
      <c r="D838" s="2" t="s">
        <v>196</v>
      </c>
      <c r="E838" s="2" t="s">
        <v>197</v>
      </c>
      <c r="F838" s="2"/>
      <c r="G838" s="2"/>
      <c r="H838" s="2"/>
      <c r="I838" s="2"/>
    </row>
    <row r="839" spans="1:9" x14ac:dyDescent="0.35">
      <c r="A839" s="2" t="s">
        <v>1407</v>
      </c>
      <c r="B839" s="2" t="s">
        <v>24</v>
      </c>
      <c r="C839" s="2" t="s">
        <v>1529</v>
      </c>
      <c r="D839" s="2" t="s">
        <v>1305</v>
      </c>
      <c r="E839" s="2" t="s">
        <v>38</v>
      </c>
      <c r="F839" s="2"/>
      <c r="G839" s="2"/>
      <c r="H839" s="2"/>
      <c r="I839" s="4"/>
    </row>
    <row r="840" spans="1:9" x14ac:dyDescent="0.35">
      <c r="A840" s="2" t="s">
        <v>1407</v>
      </c>
      <c r="B840" s="2" t="s">
        <v>24</v>
      </c>
      <c r="C840" s="2" t="s">
        <v>1529</v>
      </c>
      <c r="D840" s="2" t="s">
        <v>625</v>
      </c>
      <c r="E840" s="2" t="s">
        <v>38</v>
      </c>
      <c r="F840" s="2"/>
      <c r="G840" s="2"/>
      <c r="H840" s="2"/>
      <c r="I840" s="4"/>
    </row>
    <row r="841" spans="1:9" x14ac:dyDescent="0.35">
      <c r="A841" s="2" t="s">
        <v>1407</v>
      </c>
      <c r="B841" s="2" t="s">
        <v>24</v>
      </c>
      <c r="C841" s="2" t="s">
        <v>1529</v>
      </c>
      <c r="D841" s="2" t="s">
        <v>1226</v>
      </c>
      <c r="E841" s="2" t="s">
        <v>107</v>
      </c>
      <c r="F841" s="2"/>
      <c r="G841" s="2"/>
      <c r="H841" s="2"/>
      <c r="I841" s="2"/>
    </row>
    <row r="842" spans="1:9" x14ac:dyDescent="0.35">
      <c r="A842" s="2" t="s">
        <v>1407</v>
      </c>
      <c r="B842" s="2" t="s">
        <v>24</v>
      </c>
      <c r="C842" s="2" t="s">
        <v>1529</v>
      </c>
      <c r="D842" s="2" t="s">
        <v>38</v>
      </c>
      <c r="E842" s="2" t="s">
        <v>38</v>
      </c>
      <c r="F842" s="2"/>
      <c r="G842" s="2"/>
      <c r="H842" s="2"/>
      <c r="I842" s="2"/>
    </row>
    <row r="843" spans="1:9" x14ac:dyDescent="0.35">
      <c r="A843" s="2" t="s">
        <v>1407</v>
      </c>
      <c r="B843" s="2" t="s">
        <v>24</v>
      </c>
      <c r="C843" s="2" t="s">
        <v>1529</v>
      </c>
      <c r="D843" s="2" t="s">
        <v>91</v>
      </c>
      <c r="E843" s="2" t="s">
        <v>19</v>
      </c>
      <c r="F843" s="2"/>
      <c r="G843" s="2"/>
      <c r="H843" s="2"/>
      <c r="I843" s="2"/>
    </row>
    <row r="844" spans="1:9" x14ac:dyDescent="0.35">
      <c r="A844" s="2" t="s">
        <v>1407</v>
      </c>
      <c r="B844" s="2" t="s">
        <v>24</v>
      </c>
      <c r="C844" s="2" t="s">
        <v>1529</v>
      </c>
      <c r="D844" s="2" t="s">
        <v>87</v>
      </c>
      <c r="E844" s="2" t="s">
        <v>75</v>
      </c>
      <c r="F844" s="2"/>
      <c r="G844" s="2"/>
      <c r="H844" s="2"/>
      <c r="I844" s="2"/>
    </row>
    <row r="845" spans="1:9" x14ac:dyDescent="0.35">
      <c r="A845" s="2" t="s">
        <v>1407</v>
      </c>
      <c r="B845" s="2" t="s">
        <v>24</v>
      </c>
      <c r="C845" s="2" t="s">
        <v>1529</v>
      </c>
      <c r="D845" s="2" t="s">
        <v>1228</v>
      </c>
      <c r="E845" s="2" t="s">
        <v>228</v>
      </c>
      <c r="F845" s="2"/>
      <c r="G845" s="2"/>
      <c r="H845" s="2"/>
      <c r="I845" s="2"/>
    </row>
    <row r="846" spans="1:9" x14ac:dyDescent="0.35">
      <c r="A846" s="2" t="s">
        <v>1407</v>
      </c>
      <c r="B846" s="2" t="s">
        <v>24</v>
      </c>
      <c r="C846" s="2" t="s">
        <v>1529</v>
      </c>
      <c r="D846" s="2" t="s">
        <v>1342</v>
      </c>
      <c r="E846" s="2" t="s">
        <v>1343</v>
      </c>
      <c r="F846" s="2"/>
      <c r="G846" s="2"/>
      <c r="H846" s="2"/>
      <c r="I846" s="2"/>
    </row>
    <row r="847" spans="1:9" x14ac:dyDescent="0.35">
      <c r="A847" s="2" t="s">
        <v>1407</v>
      </c>
      <c r="B847" s="2" t="s">
        <v>62</v>
      </c>
      <c r="C847" s="2" t="s">
        <v>1530</v>
      </c>
      <c r="D847" s="2" t="s">
        <v>196</v>
      </c>
      <c r="E847" s="2" t="s">
        <v>197</v>
      </c>
      <c r="F847" s="2"/>
      <c r="G847" s="2"/>
      <c r="H847" s="2"/>
      <c r="I847" s="2"/>
    </row>
    <row r="848" spans="1:9" x14ac:dyDescent="0.35">
      <c r="A848" s="2" t="s">
        <v>1407</v>
      </c>
      <c r="B848" s="2" t="s">
        <v>62</v>
      </c>
      <c r="C848" s="2" t="s">
        <v>1530</v>
      </c>
      <c r="D848" s="2" t="s">
        <v>319</v>
      </c>
      <c r="E848" s="2" t="s">
        <v>320</v>
      </c>
      <c r="F848" s="2"/>
      <c r="G848" s="2"/>
      <c r="H848" s="2"/>
      <c r="I848" s="2"/>
    </row>
    <row r="849" spans="1:9" x14ac:dyDescent="0.35">
      <c r="A849" s="2" t="s">
        <v>1407</v>
      </c>
      <c r="B849" s="2" t="s">
        <v>62</v>
      </c>
      <c r="C849" s="2" t="s">
        <v>1530</v>
      </c>
      <c r="D849" s="2" t="s">
        <v>98</v>
      </c>
      <c r="E849" s="2" t="s">
        <v>98</v>
      </c>
      <c r="F849" s="2" t="s">
        <v>20</v>
      </c>
      <c r="G849" s="2" t="s">
        <v>1531</v>
      </c>
      <c r="H849" s="2"/>
      <c r="I849" s="2"/>
    </row>
    <row r="850" spans="1:9" x14ac:dyDescent="0.35">
      <c r="A850" s="2" t="s">
        <v>1407</v>
      </c>
      <c r="B850" s="2" t="s">
        <v>62</v>
      </c>
      <c r="C850" s="2" t="s">
        <v>1530</v>
      </c>
      <c r="D850" s="2" t="s">
        <v>38</v>
      </c>
      <c r="E850" s="2" t="s">
        <v>38</v>
      </c>
      <c r="F850" s="2"/>
      <c r="G850" s="2"/>
      <c r="H850" s="2"/>
      <c r="I850" s="2"/>
    </row>
    <row r="851" spans="1:9" x14ac:dyDescent="0.35">
      <c r="A851" s="2" t="s">
        <v>1407</v>
      </c>
      <c r="B851" s="2" t="s">
        <v>62</v>
      </c>
      <c r="C851" s="2" t="s">
        <v>1530</v>
      </c>
      <c r="D851" s="2" t="s">
        <v>1532</v>
      </c>
      <c r="E851" s="2" t="s">
        <v>75</v>
      </c>
      <c r="F851" s="2"/>
      <c r="G851" s="2"/>
      <c r="H851" s="2"/>
      <c r="I851" s="2"/>
    </row>
    <row r="852" spans="1:9" x14ac:dyDescent="0.35">
      <c r="A852" s="2" t="s">
        <v>1407</v>
      </c>
      <c r="B852" s="2" t="s">
        <v>62</v>
      </c>
      <c r="C852" s="2" t="s">
        <v>1530</v>
      </c>
      <c r="D852" s="2" t="s">
        <v>438</v>
      </c>
      <c r="E852" s="2" t="s">
        <v>19</v>
      </c>
      <c r="F852" s="2" t="s">
        <v>46</v>
      </c>
      <c r="G852" s="2" t="s">
        <v>1533</v>
      </c>
      <c r="H852" s="2"/>
      <c r="I852" s="2"/>
    </row>
    <row r="853" spans="1:9" x14ac:dyDescent="0.35">
      <c r="A853" s="2" t="s">
        <v>1407</v>
      </c>
      <c r="B853" s="2" t="s">
        <v>62</v>
      </c>
      <c r="C853" s="2" t="s">
        <v>1530</v>
      </c>
      <c r="D853" s="2" t="s">
        <v>18</v>
      </c>
      <c r="E853" s="2" t="s">
        <v>19</v>
      </c>
      <c r="F853" s="2" t="s">
        <v>20</v>
      </c>
      <c r="G853" s="2" t="s">
        <v>1378</v>
      </c>
      <c r="H853" s="2"/>
      <c r="I853" s="2"/>
    </row>
    <row r="854" spans="1:9" x14ac:dyDescent="0.35">
      <c r="A854" s="2" t="s">
        <v>1407</v>
      </c>
      <c r="B854" s="2" t="s">
        <v>62</v>
      </c>
      <c r="C854" s="2" t="s">
        <v>1530</v>
      </c>
      <c r="D854" s="2" t="s">
        <v>321</v>
      </c>
      <c r="E854" s="2" t="s">
        <v>321</v>
      </c>
      <c r="F854" s="2"/>
      <c r="G854" s="2"/>
      <c r="H854" s="2"/>
      <c r="I854" s="2"/>
    </row>
    <row r="855" spans="1:9" x14ac:dyDescent="0.35">
      <c r="A855" s="2" t="s">
        <v>1407</v>
      </c>
      <c r="B855" s="2" t="s">
        <v>62</v>
      </c>
      <c r="C855" s="2" t="s">
        <v>1530</v>
      </c>
      <c r="D855" s="2" t="s">
        <v>188</v>
      </c>
      <c r="E855" s="2" t="s">
        <v>189</v>
      </c>
      <c r="F855" s="2"/>
      <c r="G855" s="2"/>
      <c r="H855" s="2"/>
      <c r="I855" s="2"/>
    </row>
    <row r="856" spans="1:9" x14ac:dyDescent="0.35">
      <c r="A856" s="2" t="s">
        <v>1407</v>
      </c>
      <c r="B856" s="2" t="s">
        <v>62</v>
      </c>
      <c r="C856" s="2" t="s">
        <v>1530</v>
      </c>
      <c r="D856" s="2" t="s">
        <v>322</v>
      </c>
      <c r="E856" s="2" t="s">
        <v>246</v>
      </c>
      <c r="F856" s="2"/>
      <c r="G856" s="2"/>
      <c r="H856" s="2"/>
      <c r="I856" s="2"/>
    </row>
    <row r="857" spans="1:9" x14ac:dyDescent="0.35">
      <c r="A857" s="2" t="s">
        <v>1407</v>
      </c>
      <c r="B857" s="2" t="s">
        <v>62</v>
      </c>
      <c r="C857" s="2" t="s">
        <v>1530</v>
      </c>
      <c r="D857" s="2" t="s">
        <v>323</v>
      </c>
      <c r="E857" s="2" t="s">
        <v>246</v>
      </c>
      <c r="F857" s="2"/>
      <c r="G857" s="2"/>
      <c r="H857" s="2"/>
      <c r="I857" s="2"/>
    </row>
    <row r="858" spans="1:9" x14ac:dyDescent="0.35">
      <c r="A858" s="2" t="s">
        <v>1407</v>
      </c>
      <c r="B858" s="2" t="s">
        <v>62</v>
      </c>
      <c r="C858" s="2" t="s">
        <v>1530</v>
      </c>
      <c r="D858" s="2" t="s">
        <v>324</v>
      </c>
      <c r="E858" s="2" t="s">
        <v>246</v>
      </c>
      <c r="F858" s="2"/>
      <c r="G858" s="2"/>
      <c r="H858" s="2"/>
      <c r="I858" s="2"/>
    </row>
    <row r="859" spans="1:9" x14ac:dyDescent="0.35">
      <c r="A859" s="2" t="s">
        <v>1407</v>
      </c>
      <c r="B859" s="2" t="s">
        <v>62</v>
      </c>
      <c r="C859" s="2" t="s">
        <v>1530</v>
      </c>
      <c r="D859" s="2" t="s">
        <v>325</v>
      </c>
      <c r="E859" s="2" t="s">
        <v>1413</v>
      </c>
      <c r="F859" s="2"/>
      <c r="G859" s="2"/>
      <c r="H859" s="2"/>
      <c r="I859" s="2"/>
    </row>
    <row r="860" spans="1:9" x14ac:dyDescent="0.35">
      <c r="A860" s="2" t="s">
        <v>1407</v>
      </c>
      <c r="B860" s="2" t="s">
        <v>62</v>
      </c>
      <c r="C860" s="2" t="s">
        <v>1530</v>
      </c>
      <c r="D860" s="2" t="s">
        <v>327</v>
      </c>
      <c r="E860" s="2" t="s">
        <v>328</v>
      </c>
      <c r="F860" s="2"/>
      <c r="G860" s="2"/>
      <c r="H860" s="2"/>
      <c r="I860" s="2"/>
    </row>
    <row r="861" spans="1:9" x14ac:dyDescent="0.35">
      <c r="A861" s="2" t="s">
        <v>1407</v>
      </c>
      <c r="B861" s="2" t="s">
        <v>62</v>
      </c>
      <c r="C861" s="2" t="s">
        <v>1530</v>
      </c>
      <c r="D861" s="2" t="s">
        <v>329</v>
      </c>
      <c r="E861" s="2" t="s">
        <v>330</v>
      </c>
      <c r="F861" s="2"/>
      <c r="G861" s="2"/>
      <c r="H861" s="2"/>
      <c r="I861" s="2"/>
    </row>
    <row r="862" spans="1:9" x14ac:dyDescent="0.35">
      <c r="A862" s="2" t="s">
        <v>1407</v>
      </c>
      <c r="B862" s="2" t="s">
        <v>62</v>
      </c>
      <c r="C862" s="2" t="s">
        <v>1530</v>
      </c>
      <c r="D862" s="2" t="s">
        <v>331</v>
      </c>
      <c r="E862" s="2" t="s">
        <v>332</v>
      </c>
      <c r="F862" s="2"/>
      <c r="G862" s="2"/>
      <c r="H862" s="2"/>
      <c r="I862" s="2"/>
    </row>
    <row r="863" spans="1:9" x14ac:dyDescent="0.35">
      <c r="A863" s="2" t="s">
        <v>1407</v>
      </c>
      <c r="B863" s="2" t="s">
        <v>62</v>
      </c>
      <c r="C863" s="2" t="s">
        <v>1530</v>
      </c>
      <c r="D863" s="2" t="s">
        <v>333</v>
      </c>
      <c r="E863" s="2" t="s">
        <v>334</v>
      </c>
      <c r="F863" s="2"/>
      <c r="G863" s="2"/>
      <c r="H863" s="2"/>
      <c r="I863" s="2"/>
    </row>
    <row r="864" spans="1:9" x14ac:dyDescent="0.35">
      <c r="A864" s="2" t="s">
        <v>1407</v>
      </c>
      <c r="B864" s="2" t="s">
        <v>62</v>
      </c>
      <c r="C864" s="2" t="s">
        <v>1530</v>
      </c>
      <c r="D864" s="2" t="s">
        <v>1297</v>
      </c>
      <c r="E864" s="2" t="s">
        <v>533</v>
      </c>
      <c r="F864" s="2"/>
      <c r="G864" s="2"/>
      <c r="H864" s="2"/>
      <c r="I864" s="2"/>
    </row>
    <row r="865" spans="1:9" x14ac:dyDescent="0.35">
      <c r="A865" s="2" t="s">
        <v>1407</v>
      </c>
      <c r="B865" s="2" t="s">
        <v>62</v>
      </c>
      <c r="C865" s="2" t="s">
        <v>1530</v>
      </c>
      <c r="D865" s="2" t="s">
        <v>335</v>
      </c>
      <c r="E865" s="2" t="s">
        <v>336</v>
      </c>
      <c r="F865" s="2"/>
      <c r="G865" s="2"/>
      <c r="H865" s="2"/>
      <c r="I865" s="2"/>
    </row>
    <row r="866" spans="1:9" x14ac:dyDescent="0.35">
      <c r="A866" s="2" t="s">
        <v>1407</v>
      </c>
      <c r="B866" s="2" t="s">
        <v>62</v>
      </c>
      <c r="C866" s="2" t="s">
        <v>1530</v>
      </c>
      <c r="D866" s="2" t="s">
        <v>337</v>
      </c>
      <c r="E866" s="2" t="s">
        <v>338</v>
      </c>
      <c r="F866" s="2"/>
      <c r="G866" s="2"/>
      <c r="H866" s="2"/>
      <c r="I866" s="2"/>
    </row>
    <row r="867" spans="1:9" x14ac:dyDescent="0.35">
      <c r="A867" s="2" t="s">
        <v>1407</v>
      </c>
      <c r="B867" s="2" t="s">
        <v>62</v>
      </c>
      <c r="C867" s="2" t="s">
        <v>1530</v>
      </c>
      <c r="D867" s="2" t="s">
        <v>339</v>
      </c>
      <c r="E867" s="2" t="s">
        <v>340</v>
      </c>
      <c r="F867" s="2"/>
      <c r="G867" s="2"/>
      <c r="H867" s="2"/>
      <c r="I867" s="2"/>
    </row>
    <row r="868" spans="1:9" x14ac:dyDescent="0.35">
      <c r="A868" s="2" t="s">
        <v>1407</v>
      </c>
      <c r="B868" s="2" t="s">
        <v>62</v>
      </c>
      <c r="C868" s="2" t="s">
        <v>1530</v>
      </c>
      <c r="D868" s="2" t="s">
        <v>341</v>
      </c>
      <c r="E868" s="2" t="s">
        <v>342</v>
      </c>
      <c r="F868" s="2"/>
      <c r="G868" s="2"/>
      <c r="H868" s="2"/>
      <c r="I868" s="2"/>
    </row>
    <row r="869" spans="1:9" x14ac:dyDescent="0.35">
      <c r="A869" s="2" t="s">
        <v>1407</v>
      </c>
      <c r="B869" s="2" t="s">
        <v>62</v>
      </c>
      <c r="C869" s="2" t="s">
        <v>1530</v>
      </c>
      <c r="D869" s="2" t="s">
        <v>343</v>
      </c>
      <c r="E869" s="2" t="s">
        <v>344</v>
      </c>
      <c r="F869" s="2"/>
      <c r="G869" s="2"/>
      <c r="H869" s="2"/>
      <c r="I869" s="2"/>
    </row>
    <row r="870" spans="1:9" x14ac:dyDescent="0.35">
      <c r="A870" s="2" t="s">
        <v>1407</v>
      </c>
      <c r="B870" s="2" t="s">
        <v>62</v>
      </c>
      <c r="C870" s="2" t="s">
        <v>1530</v>
      </c>
      <c r="D870" s="2" t="s">
        <v>345</v>
      </c>
      <c r="E870" s="2" t="s">
        <v>346</v>
      </c>
      <c r="F870" s="2"/>
      <c r="G870" s="2"/>
      <c r="H870" s="2"/>
      <c r="I870" s="2"/>
    </row>
    <row r="871" spans="1:9" x14ac:dyDescent="0.35">
      <c r="A871" s="2" t="s">
        <v>1407</v>
      </c>
      <c r="B871" s="2" t="s">
        <v>62</v>
      </c>
      <c r="C871" s="2" t="s">
        <v>1534</v>
      </c>
      <c r="D871" s="2" t="s">
        <v>196</v>
      </c>
      <c r="E871" s="2" t="s">
        <v>197</v>
      </c>
      <c r="F871" s="2"/>
      <c r="G871" s="2"/>
      <c r="H871" s="2"/>
      <c r="I871" s="2"/>
    </row>
    <row r="872" spans="1:9" x14ac:dyDescent="0.35">
      <c r="A872" s="2" t="s">
        <v>1407</v>
      </c>
      <c r="B872" s="2" t="s">
        <v>62</v>
      </c>
      <c r="C872" s="2" t="s">
        <v>1534</v>
      </c>
      <c r="D872" s="2" t="s">
        <v>1485</v>
      </c>
      <c r="E872" s="2" t="s">
        <v>1486</v>
      </c>
      <c r="F872" s="2"/>
      <c r="G872" s="2"/>
      <c r="H872" s="2"/>
      <c r="I872" s="2"/>
    </row>
    <row r="873" spans="1:9" x14ac:dyDescent="0.35">
      <c r="A873" s="2" t="s">
        <v>1407</v>
      </c>
      <c r="B873" s="2" t="s">
        <v>62</v>
      </c>
      <c r="C873" s="2" t="s">
        <v>1534</v>
      </c>
      <c r="D873" s="2" t="s">
        <v>319</v>
      </c>
      <c r="E873" s="2" t="s">
        <v>320</v>
      </c>
      <c r="F873" s="2"/>
      <c r="G873" s="2"/>
      <c r="H873" s="2"/>
      <c r="I873" s="2"/>
    </row>
    <row r="874" spans="1:9" x14ac:dyDescent="0.35">
      <c r="A874" s="2" t="s">
        <v>1407</v>
      </c>
      <c r="B874" s="2" t="s">
        <v>62</v>
      </c>
      <c r="C874" s="2" t="s">
        <v>1534</v>
      </c>
      <c r="D874" s="2" t="s">
        <v>91</v>
      </c>
      <c r="E874" s="2" t="s">
        <v>19</v>
      </c>
      <c r="F874" s="2"/>
      <c r="G874" s="2"/>
      <c r="H874" s="2"/>
      <c r="I874" s="2"/>
    </row>
    <row r="875" spans="1:9" x14ac:dyDescent="0.35">
      <c r="A875" s="2" t="s">
        <v>1407</v>
      </c>
      <c r="B875" s="2" t="s">
        <v>62</v>
      </c>
      <c r="C875" s="2" t="s">
        <v>1534</v>
      </c>
      <c r="D875" s="2" t="s">
        <v>87</v>
      </c>
      <c r="E875" s="2" t="s">
        <v>75</v>
      </c>
      <c r="F875" s="2"/>
      <c r="G875" s="2"/>
      <c r="H875" s="2"/>
      <c r="I875" s="2"/>
    </row>
    <row r="876" spans="1:9" x14ac:dyDescent="0.35">
      <c r="A876" s="2" t="s">
        <v>1407</v>
      </c>
      <c r="B876" s="2" t="s">
        <v>62</v>
      </c>
      <c r="C876" s="2" t="s">
        <v>1534</v>
      </c>
      <c r="D876" s="2" t="s">
        <v>1243</v>
      </c>
      <c r="E876" s="2" t="s">
        <v>40</v>
      </c>
      <c r="F876" s="2"/>
      <c r="G876" s="2"/>
      <c r="H876" s="2"/>
      <c r="I876" s="2"/>
    </row>
    <row r="877" spans="1:9" x14ac:dyDescent="0.35">
      <c r="A877" s="2" t="s">
        <v>1407</v>
      </c>
      <c r="B877" s="2" t="s">
        <v>62</v>
      </c>
      <c r="C877" s="2" t="s">
        <v>1534</v>
      </c>
      <c r="D877" s="2" t="s">
        <v>321</v>
      </c>
      <c r="E877" s="2" t="s">
        <v>321</v>
      </c>
      <c r="F877" s="2"/>
      <c r="G877" s="2"/>
      <c r="H877" s="2"/>
      <c r="I877" s="2"/>
    </row>
    <row r="878" spans="1:9" x14ac:dyDescent="0.35">
      <c r="A878" s="2" t="s">
        <v>1407</v>
      </c>
      <c r="B878" s="2" t="s">
        <v>62</v>
      </c>
      <c r="C878" s="2" t="s">
        <v>1534</v>
      </c>
      <c r="D878" s="2" t="s">
        <v>127</v>
      </c>
      <c r="E878" s="2" t="s">
        <v>107</v>
      </c>
      <c r="F878" s="2"/>
      <c r="G878" s="2"/>
      <c r="H878" s="2"/>
      <c r="I878" s="2"/>
    </row>
    <row r="879" spans="1:9" x14ac:dyDescent="0.35">
      <c r="A879" s="2" t="s">
        <v>1407</v>
      </c>
      <c r="B879" s="2" t="s">
        <v>62</v>
      </c>
      <c r="C879" s="2" t="s">
        <v>1534</v>
      </c>
      <c r="D879" s="2" t="s">
        <v>322</v>
      </c>
      <c r="E879" s="2" t="s">
        <v>246</v>
      </c>
      <c r="F879" s="2"/>
      <c r="G879" s="2"/>
      <c r="H879" s="2"/>
      <c r="I879" s="2"/>
    </row>
    <row r="880" spans="1:9" x14ac:dyDescent="0.35">
      <c r="A880" s="2" t="s">
        <v>1407</v>
      </c>
      <c r="B880" s="2" t="s">
        <v>62</v>
      </c>
      <c r="C880" s="2" t="s">
        <v>1534</v>
      </c>
      <c r="D880" s="2" t="s">
        <v>323</v>
      </c>
      <c r="E880" s="2" t="s">
        <v>246</v>
      </c>
      <c r="F880" s="2"/>
      <c r="G880" s="2"/>
      <c r="H880" s="2"/>
      <c r="I880" s="2"/>
    </row>
    <row r="881" spans="1:9" x14ac:dyDescent="0.35">
      <c r="A881" s="2" t="s">
        <v>1407</v>
      </c>
      <c r="B881" s="2" t="s">
        <v>62</v>
      </c>
      <c r="C881" s="2" t="s">
        <v>1534</v>
      </c>
      <c r="D881" s="2" t="s">
        <v>324</v>
      </c>
      <c r="E881" s="2" t="s">
        <v>246</v>
      </c>
      <c r="F881" s="2"/>
      <c r="G881" s="2"/>
      <c r="H881" s="2"/>
      <c r="I881" s="2"/>
    </row>
    <row r="882" spans="1:9" x14ac:dyDescent="0.35">
      <c r="A882" s="2" t="s">
        <v>1407</v>
      </c>
      <c r="B882" s="2" t="s">
        <v>62</v>
      </c>
      <c r="C882" s="2" t="s">
        <v>1534</v>
      </c>
      <c r="D882" s="2" t="s">
        <v>325</v>
      </c>
      <c r="E882" s="2" t="s">
        <v>1413</v>
      </c>
      <c r="F882" s="2"/>
      <c r="G882" s="2"/>
      <c r="H882" s="2"/>
      <c r="I882" s="2"/>
    </row>
    <row r="883" spans="1:9" x14ac:dyDescent="0.35">
      <c r="A883" s="2" t="s">
        <v>1407</v>
      </c>
      <c r="B883" s="2" t="s">
        <v>62</v>
      </c>
      <c r="C883" s="2" t="s">
        <v>1534</v>
      </c>
      <c r="D883" s="2" t="s">
        <v>327</v>
      </c>
      <c r="E883" s="2" t="s">
        <v>328</v>
      </c>
      <c r="F883" s="2"/>
      <c r="G883" s="2"/>
      <c r="H883" s="2"/>
      <c r="I883" s="2"/>
    </row>
    <row r="884" spans="1:9" x14ac:dyDescent="0.35">
      <c r="A884" s="2" t="s">
        <v>1407</v>
      </c>
      <c r="B884" s="2" t="s">
        <v>62</v>
      </c>
      <c r="C884" s="2" t="s">
        <v>1534</v>
      </c>
      <c r="D884" s="2" t="s">
        <v>329</v>
      </c>
      <c r="E884" s="2" t="s">
        <v>330</v>
      </c>
      <c r="F884" s="2"/>
      <c r="G884" s="2"/>
      <c r="H884" s="2"/>
      <c r="I884" s="2"/>
    </row>
    <row r="885" spans="1:9" x14ac:dyDescent="0.35">
      <c r="A885" s="2" t="s">
        <v>1407</v>
      </c>
      <c r="B885" s="2" t="s">
        <v>62</v>
      </c>
      <c r="C885" s="2" t="s">
        <v>1534</v>
      </c>
      <c r="D885" s="2" t="s">
        <v>331</v>
      </c>
      <c r="E885" s="2" t="s">
        <v>332</v>
      </c>
      <c r="F885" s="2"/>
      <c r="G885" s="2"/>
      <c r="H885" s="2"/>
      <c r="I885" s="2"/>
    </row>
    <row r="886" spans="1:9" x14ac:dyDescent="0.35">
      <c r="A886" s="2" t="s">
        <v>1407</v>
      </c>
      <c r="B886" s="2" t="s">
        <v>62</v>
      </c>
      <c r="C886" s="2" t="s">
        <v>1534</v>
      </c>
      <c r="D886" s="2" t="s">
        <v>333</v>
      </c>
      <c r="E886" s="2" t="s">
        <v>334</v>
      </c>
      <c r="F886" s="2"/>
      <c r="G886" s="2"/>
      <c r="H886" s="2"/>
      <c r="I886" s="2"/>
    </row>
    <row r="887" spans="1:9" x14ac:dyDescent="0.35">
      <c r="A887" s="2" t="s">
        <v>1407</v>
      </c>
      <c r="B887" s="2" t="s">
        <v>62</v>
      </c>
      <c r="C887" s="2" t="s">
        <v>1534</v>
      </c>
      <c r="D887" s="2" t="s">
        <v>1297</v>
      </c>
      <c r="E887" s="2" t="s">
        <v>533</v>
      </c>
      <c r="F887" s="2"/>
      <c r="G887" s="2"/>
      <c r="H887" s="2"/>
      <c r="I887" s="2"/>
    </row>
    <row r="888" spans="1:9" x14ac:dyDescent="0.35">
      <c r="A888" s="2" t="s">
        <v>1407</v>
      </c>
      <c r="B888" s="2" t="s">
        <v>62</v>
      </c>
      <c r="C888" s="2" t="s">
        <v>1534</v>
      </c>
      <c r="D888" s="2" t="s">
        <v>335</v>
      </c>
      <c r="E888" s="2" t="s">
        <v>336</v>
      </c>
      <c r="F888" s="2"/>
      <c r="G888" s="2"/>
      <c r="H888" s="2"/>
      <c r="I888" s="2"/>
    </row>
    <row r="889" spans="1:9" x14ac:dyDescent="0.35">
      <c r="A889" s="2" t="s">
        <v>1407</v>
      </c>
      <c r="B889" s="2" t="s">
        <v>62</v>
      </c>
      <c r="C889" s="2" t="s">
        <v>1534</v>
      </c>
      <c r="D889" s="2" t="s">
        <v>337</v>
      </c>
      <c r="E889" s="2" t="s">
        <v>338</v>
      </c>
      <c r="F889" s="2"/>
      <c r="G889" s="2"/>
      <c r="H889" s="2"/>
      <c r="I889" s="2"/>
    </row>
    <row r="890" spans="1:9" x14ac:dyDescent="0.35">
      <c r="A890" s="2" t="s">
        <v>1407</v>
      </c>
      <c r="B890" s="2" t="s">
        <v>62</v>
      </c>
      <c r="C890" s="2" t="s">
        <v>1534</v>
      </c>
      <c r="D890" s="2" t="s">
        <v>339</v>
      </c>
      <c r="E890" s="2" t="s">
        <v>340</v>
      </c>
      <c r="F890" s="2"/>
      <c r="G890" s="2"/>
      <c r="H890" s="2"/>
      <c r="I890" s="2"/>
    </row>
    <row r="891" spans="1:9" x14ac:dyDescent="0.35">
      <c r="A891" s="2" t="s">
        <v>1407</v>
      </c>
      <c r="B891" s="2" t="s">
        <v>62</v>
      </c>
      <c r="C891" s="2" t="s">
        <v>1534</v>
      </c>
      <c r="D891" s="2" t="s">
        <v>341</v>
      </c>
      <c r="E891" s="2" t="s">
        <v>342</v>
      </c>
      <c r="F891" s="2"/>
      <c r="G891" s="2"/>
      <c r="H891" s="2"/>
      <c r="I891" s="2"/>
    </row>
    <row r="892" spans="1:9" x14ac:dyDescent="0.35">
      <c r="A892" s="2" t="s">
        <v>1407</v>
      </c>
      <c r="B892" s="2" t="s">
        <v>62</v>
      </c>
      <c r="C892" s="2" t="s">
        <v>1534</v>
      </c>
      <c r="D892" s="2" t="s">
        <v>343</v>
      </c>
      <c r="E892" s="2" t="s">
        <v>344</v>
      </c>
      <c r="F892" s="2"/>
      <c r="G892" s="2"/>
      <c r="H892" s="2"/>
      <c r="I892" s="2"/>
    </row>
    <row r="893" spans="1:9" x14ac:dyDescent="0.35">
      <c r="A893" s="2" t="s">
        <v>1407</v>
      </c>
      <c r="B893" s="2" t="s">
        <v>62</v>
      </c>
      <c r="C893" s="2" t="s">
        <v>1534</v>
      </c>
      <c r="D893" s="2" t="s">
        <v>345</v>
      </c>
      <c r="E893" s="2" t="s">
        <v>346</v>
      </c>
      <c r="F893" s="2"/>
      <c r="G893" s="2"/>
      <c r="H893" s="2"/>
      <c r="I893" s="2"/>
    </row>
    <row r="894" spans="1:9" x14ac:dyDescent="0.35">
      <c r="A894" s="2" t="s">
        <v>1407</v>
      </c>
      <c r="B894" s="2" t="s">
        <v>801</v>
      </c>
      <c r="C894" s="2" t="s">
        <v>1535</v>
      </c>
      <c r="D894" s="2" t="s">
        <v>130</v>
      </c>
      <c r="E894" s="2" t="s">
        <v>36</v>
      </c>
      <c r="F894" s="2"/>
      <c r="G894" s="2"/>
      <c r="H894" s="2"/>
      <c r="I894" s="2"/>
    </row>
    <row r="895" spans="1:9" x14ac:dyDescent="0.35">
      <c r="A895" s="2" t="s">
        <v>1407</v>
      </c>
      <c r="B895" s="2" t="s">
        <v>24</v>
      </c>
      <c r="C895" s="2" t="s">
        <v>1536</v>
      </c>
      <c r="D895" s="2" t="s">
        <v>130</v>
      </c>
      <c r="E895" s="2" t="s">
        <v>36</v>
      </c>
      <c r="F895" s="2"/>
      <c r="G895" s="2"/>
      <c r="H895" s="2"/>
      <c r="I895" s="2"/>
    </row>
    <row r="896" spans="1:9" x14ac:dyDescent="0.35">
      <c r="A896" s="2" t="s">
        <v>1407</v>
      </c>
      <c r="B896" s="2" t="s">
        <v>24</v>
      </c>
      <c r="C896" s="2" t="s">
        <v>1536</v>
      </c>
      <c r="D896" s="2" t="s">
        <v>1415</v>
      </c>
      <c r="E896" s="2" t="s">
        <v>1416</v>
      </c>
      <c r="F896" s="2"/>
      <c r="G896" s="2"/>
      <c r="H896" s="2"/>
      <c r="I896" s="2"/>
    </row>
    <row r="897" spans="1:9" x14ac:dyDescent="0.35">
      <c r="A897" s="2" t="s">
        <v>1407</v>
      </c>
      <c r="B897" s="2" t="s">
        <v>24</v>
      </c>
      <c r="C897" s="2" t="s">
        <v>1536</v>
      </c>
      <c r="D897" s="2" t="s">
        <v>1226</v>
      </c>
      <c r="E897" s="2" t="s">
        <v>107</v>
      </c>
      <c r="F897" s="2"/>
      <c r="G897" s="2"/>
      <c r="H897" s="2"/>
      <c r="I897" s="2"/>
    </row>
    <row r="898" spans="1:9" x14ac:dyDescent="0.35">
      <c r="A898" s="2" t="s">
        <v>1407</v>
      </c>
      <c r="B898" s="2" t="s">
        <v>24</v>
      </c>
      <c r="C898" s="2" t="s">
        <v>1536</v>
      </c>
      <c r="D898" s="2" t="s">
        <v>1228</v>
      </c>
      <c r="E898" s="2" t="s">
        <v>228</v>
      </c>
      <c r="F898" s="2"/>
      <c r="G898" s="2"/>
      <c r="H898" s="2"/>
      <c r="I898" s="2"/>
    </row>
    <row r="899" spans="1:9" x14ac:dyDescent="0.35">
      <c r="A899" s="2" t="s">
        <v>1407</v>
      </c>
      <c r="B899" s="2" t="s">
        <v>24</v>
      </c>
      <c r="C899" s="2" t="s">
        <v>1536</v>
      </c>
      <c r="D899" s="2" t="s">
        <v>1342</v>
      </c>
      <c r="E899" s="2" t="s">
        <v>1343</v>
      </c>
      <c r="F899" s="2"/>
      <c r="G899" s="2"/>
      <c r="H899" s="2"/>
      <c r="I899" s="2"/>
    </row>
    <row r="900" spans="1:9" x14ac:dyDescent="0.35">
      <c r="A900" s="2" t="s">
        <v>1407</v>
      </c>
      <c r="B900" s="2" t="s">
        <v>62</v>
      </c>
      <c r="C900" s="2" t="s">
        <v>1537</v>
      </c>
      <c r="D900" s="2" t="s">
        <v>317</v>
      </c>
      <c r="E900" s="2" t="s">
        <v>318</v>
      </c>
      <c r="F900" s="2"/>
      <c r="G900" s="2"/>
      <c r="H900" s="2"/>
      <c r="I900" s="2"/>
    </row>
    <row r="901" spans="1:9" x14ac:dyDescent="0.35">
      <c r="A901" s="2" t="s">
        <v>1407</v>
      </c>
      <c r="B901" s="2" t="s">
        <v>62</v>
      </c>
      <c r="C901" s="2" t="s">
        <v>1537</v>
      </c>
      <c r="D901" s="2" t="s">
        <v>106</v>
      </c>
      <c r="E901" s="2" t="s">
        <v>107</v>
      </c>
      <c r="F901" s="2"/>
      <c r="G901" s="2"/>
      <c r="H901" s="2"/>
      <c r="I901" s="2"/>
    </row>
    <row r="902" spans="1:9" x14ac:dyDescent="0.35">
      <c r="A902" s="2" t="s">
        <v>1407</v>
      </c>
      <c r="B902" s="2" t="s">
        <v>62</v>
      </c>
      <c r="C902" s="2" t="s">
        <v>1537</v>
      </c>
      <c r="D902" s="2" t="s">
        <v>333</v>
      </c>
      <c r="E902" s="2" t="s">
        <v>334</v>
      </c>
      <c r="F902" s="2"/>
      <c r="G902" s="2"/>
      <c r="H902" s="2"/>
      <c r="I902" s="2"/>
    </row>
    <row r="903" spans="1:9" x14ac:dyDescent="0.35">
      <c r="A903" s="2" t="s">
        <v>1407</v>
      </c>
      <c r="B903" s="2" t="s">
        <v>62</v>
      </c>
      <c r="C903" s="2" t="s">
        <v>1538</v>
      </c>
      <c r="D903" s="2" t="s">
        <v>317</v>
      </c>
      <c r="E903" s="2" t="s">
        <v>318</v>
      </c>
      <c r="F903" s="2"/>
      <c r="G903" s="2"/>
      <c r="H903" s="2"/>
      <c r="I903" s="2"/>
    </row>
    <row r="904" spans="1:9" x14ac:dyDescent="0.35">
      <c r="A904" s="2" t="s">
        <v>1407</v>
      </c>
      <c r="B904" s="2" t="s">
        <v>62</v>
      </c>
      <c r="C904" s="2" t="s">
        <v>1538</v>
      </c>
      <c r="D904" s="2" t="s">
        <v>87</v>
      </c>
      <c r="E904" s="2" t="s">
        <v>75</v>
      </c>
      <c r="F904" s="2"/>
      <c r="G904" s="2"/>
      <c r="H904" s="2"/>
      <c r="I904" s="2"/>
    </row>
    <row r="905" spans="1:9" x14ac:dyDescent="0.35">
      <c r="A905" s="2" t="s">
        <v>1407</v>
      </c>
      <c r="B905" s="2" t="s">
        <v>62</v>
      </c>
      <c r="C905" s="2" t="s">
        <v>1538</v>
      </c>
      <c r="D905" s="2" t="s">
        <v>1051</v>
      </c>
      <c r="E905" s="2" t="s">
        <v>318</v>
      </c>
      <c r="F905" s="2"/>
      <c r="G905" s="2"/>
      <c r="H905" s="2"/>
      <c r="I905" s="2"/>
    </row>
    <row r="906" spans="1:9" x14ac:dyDescent="0.35">
      <c r="A906" s="2" t="s">
        <v>1407</v>
      </c>
      <c r="B906" s="2" t="s">
        <v>62</v>
      </c>
      <c r="C906" s="2" t="s">
        <v>1538</v>
      </c>
      <c r="D906" s="2" t="s">
        <v>333</v>
      </c>
      <c r="E906" s="2" t="s">
        <v>334</v>
      </c>
      <c r="F906" s="2"/>
      <c r="G906" s="2"/>
      <c r="H906" s="2"/>
      <c r="I906" s="2"/>
    </row>
    <row r="907" spans="1:9" x14ac:dyDescent="0.35">
      <c r="A907" s="2" t="s">
        <v>1407</v>
      </c>
      <c r="B907" s="2" t="s">
        <v>62</v>
      </c>
      <c r="C907" s="2" t="s">
        <v>1539</v>
      </c>
      <c r="D907" s="2" t="s">
        <v>317</v>
      </c>
      <c r="E907" s="2" t="s">
        <v>318</v>
      </c>
      <c r="F907" s="2"/>
      <c r="G907" s="2"/>
      <c r="H907" s="2"/>
      <c r="I907" s="2"/>
    </row>
    <row r="908" spans="1:9" x14ac:dyDescent="0.35">
      <c r="A908" s="2" t="s">
        <v>1407</v>
      </c>
      <c r="B908" s="2" t="s">
        <v>62</v>
      </c>
      <c r="C908" s="2" t="s">
        <v>1539</v>
      </c>
      <c r="D908" s="2" t="s">
        <v>333</v>
      </c>
      <c r="E908" s="2" t="s">
        <v>334</v>
      </c>
      <c r="F908" s="2"/>
      <c r="G908" s="2"/>
      <c r="H908" s="2"/>
      <c r="I908" s="2"/>
    </row>
    <row r="909" spans="1:9" x14ac:dyDescent="0.35">
      <c r="A909" s="2" t="s">
        <v>1407</v>
      </c>
      <c r="B909" s="2" t="s">
        <v>62</v>
      </c>
      <c r="C909" s="2" t="s">
        <v>1540</v>
      </c>
      <c r="D909" s="2" t="s">
        <v>1226</v>
      </c>
      <c r="E909" s="2" t="s">
        <v>107</v>
      </c>
      <c r="F909" s="2" t="s">
        <v>20</v>
      </c>
      <c r="G909" s="2" t="s">
        <v>1541</v>
      </c>
      <c r="H909" s="2"/>
      <c r="I909" s="2"/>
    </row>
    <row r="910" spans="1:9" x14ac:dyDescent="0.35">
      <c r="A910" s="2" t="s">
        <v>1407</v>
      </c>
      <c r="B910" s="2" t="s">
        <v>62</v>
      </c>
      <c r="C910" s="2" t="s">
        <v>1540</v>
      </c>
      <c r="D910" s="2" t="s">
        <v>1228</v>
      </c>
      <c r="E910" s="2" t="s">
        <v>228</v>
      </c>
      <c r="F910" s="2" t="s">
        <v>20</v>
      </c>
      <c r="G910" s="2" t="s">
        <v>1541</v>
      </c>
      <c r="H910" s="2"/>
      <c r="I910" s="2"/>
    </row>
    <row r="911" spans="1:9" x14ac:dyDescent="0.35">
      <c r="A911" s="2" t="s">
        <v>1407</v>
      </c>
      <c r="B911" s="2" t="s">
        <v>62</v>
      </c>
      <c r="C911" s="2" t="s">
        <v>1542</v>
      </c>
      <c r="D911" s="2" t="s">
        <v>317</v>
      </c>
      <c r="E911" s="2" t="s">
        <v>318</v>
      </c>
      <c r="F911" s="2"/>
      <c r="G911" s="2"/>
      <c r="H911" s="2"/>
      <c r="I911" s="2"/>
    </row>
    <row r="912" spans="1:9" x14ac:dyDescent="0.35">
      <c r="A912" s="2" t="s">
        <v>1407</v>
      </c>
      <c r="B912" s="2" t="s">
        <v>62</v>
      </c>
      <c r="C912" s="2" t="s">
        <v>1542</v>
      </c>
      <c r="D912" s="2" t="s">
        <v>87</v>
      </c>
      <c r="E912" s="2" t="s">
        <v>75</v>
      </c>
      <c r="F912" s="2"/>
      <c r="G912" s="2"/>
      <c r="H912" s="2"/>
      <c r="I912" s="2"/>
    </row>
    <row r="913" spans="1:9" x14ac:dyDescent="0.35">
      <c r="A913" s="2" t="s">
        <v>1407</v>
      </c>
      <c r="B913" s="2" t="s">
        <v>62</v>
      </c>
      <c r="C913" s="2" t="s">
        <v>1542</v>
      </c>
      <c r="D913" s="2" t="s">
        <v>1051</v>
      </c>
      <c r="E913" s="2" t="s">
        <v>318</v>
      </c>
      <c r="F913" s="2"/>
      <c r="G913" s="2"/>
      <c r="H913" s="2"/>
      <c r="I913" s="2"/>
    </row>
    <row r="914" spans="1:9" x14ac:dyDescent="0.35">
      <c r="A914" s="2" t="s">
        <v>1407</v>
      </c>
      <c r="B914" s="2" t="s">
        <v>62</v>
      </c>
      <c r="C914" s="2" t="s">
        <v>1542</v>
      </c>
      <c r="D914" s="2" t="s">
        <v>333</v>
      </c>
      <c r="E914" s="2" t="s">
        <v>334</v>
      </c>
      <c r="F914" s="2"/>
      <c r="G914" s="2"/>
      <c r="H914" s="2"/>
      <c r="I914" s="2"/>
    </row>
    <row r="915" spans="1:9" x14ac:dyDescent="0.35">
      <c r="A915" s="2" t="s">
        <v>1407</v>
      </c>
      <c r="B915" s="2" t="s">
        <v>62</v>
      </c>
      <c r="C915" s="2" t="s">
        <v>1543</v>
      </c>
      <c r="D915" s="2" t="s">
        <v>317</v>
      </c>
      <c r="E915" s="2" t="s">
        <v>318</v>
      </c>
      <c r="F915" s="2"/>
      <c r="G915" s="2"/>
      <c r="H915" s="2"/>
      <c r="I915" s="2"/>
    </row>
    <row r="916" spans="1:9" x14ac:dyDescent="0.35">
      <c r="A916" s="2" t="s">
        <v>1407</v>
      </c>
      <c r="B916" s="2" t="s">
        <v>62</v>
      </c>
      <c r="C916" s="2" t="s">
        <v>1543</v>
      </c>
      <c r="D916" s="2" t="s">
        <v>27</v>
      </c>
      <c r="E916" s="2" t="s">
        <v>28</v>
      </c>
      <c r="F916" s="2"/>
      <c r="G916" s="2"/>
      <c r="H916" s="2"/>
      <c r="I916" s="2"/>
    </row>
    <row r="917" spans="1:9" x14ac:dyDescent="0.35">
      <c r="A917" s="2" t="s">
        <v>1407</v>
      </c>
      <c r="B917" s="2" t="s">
        <v>62</v>
      </c>
      <c r="C917" s="2" t="s">
        <v>1543</v>
      </c>
      <c r="D917" s="2" t="s">
        <v>319</v>
      </c>
      <c r="E917" s="2" t="s">
        <v>320</v>
      </c>
      <c r="F917" s="2"/>
      <c r="G917" s="2"/>
      <c r="H917" s="2"/>
      <c r="I917" s="2"/>
    </row>
    <row r="918" spans="1:9" x14ac:dyDescent="0.35">
      <c r="A918" s="2" t="s">
        <v>1407</v>
      </c>
      <c r="B918" s="2" t="s">
        <v>62</v>
      </c>
      <c r="C918" s="2" t="s">
        <v>1543</v>
      </c>
      <c r="D918" s="2" t="s">
        <v>321</v>
      </c>
      <c r="E918" s="2" t="s">
        <v>321</v>
      </c>
      <c r="F918" s="2"/>
      <c r="G918" s="2"/>
      <c r="H918" s="2"/>
      <c r="I918" s="2"/>
    </row>
    <row r="919" spans="1:9" x14ac:dyDescent="0.35">
      <c r="A919" s="2" t="s">
        <v>1407</v>
      </c>
      <c r="B919" s="2" t="s">
        <v>62</v>
      </c>
      <c r="C919" s="2" t="s">
        <v>1543</v>
      </c>
      <c r="D919" s="2" t="s">
        <v>322</v>
      </c>
      <c r="E919" s="2" t="s">
        <v>246</v>
      </c>
      <c r="F919" s="2"/>
      <c r="G919" s="2"/>
      <c r="H919" s="2"/>
      <c r="I919" s="2"/>
    </row>
    <row r="920" spans="1:9" x14ac:dyDescent="0.35">
      <c r="A920" s="2" t="s">
        <v>1407</v>
      </c>
      <c r="B920" s="2" t="s">
        <v>62</v>
      </c>
      <c r="C920" s="2" t="s">
        <v>1543</v>
      </c>
      <c r="D920" s="2" t="s">
        <v>323</v>
      </c>
      <c r="E920" s="2" t="s">
        <v>246</v>
      </c>
      <c r="F920" s="2"/>
      <c r="G920" s="2"/>
      <c r="H920" s="2"/>
      <c r="I920" s="2"/>
    </row>
    <row r="921" spans="1:9" x14ac:dyDescent="0.35">
      <c r="A921" s="2" t="s">
        <v>1407</v>
      </c>
      <c r="B921" s="2" t="s">
        <v>62</v>
      </c>
      <c r="C921" s="2" t="s">
        <v>1543</v>
      </c>
      <c r="D921" s="2" t="s">
        <v>324</v>
      </c>
      <c r="E921" s="2" t="s">
        <v>246</v>
      </c>
      <c r="F921" s="2"/>
      <c r="G921" s="2"/>
      <c r="H921" s="2"/>
      <c r="I921" s="2"/>
    </row>
    <row r="922" spans="1:9" x14ac:dyDescent="0.35">
      <c r="A922" s="2" t="s">
        <v>1407</v>
      </c>
      <c r="B922" s="2" t="s">
        <v>62</v>
      </c>
      <c r="C922" s="2" t="s">
        <v>1543</v>
      </c>
      <c r="D922" s="2" t="s">
        <v>325</v>
      </c>
      <c r="E922" s="2" t="s">
        <v>1413</v>
      </c>
      <c r="F922" s="2"/>
      <c r="G922" s="2"/>
      <c r="H922" s="2"/>
      <c r="I922" s="2"/>
    </row>
    <row r="923" spans="1:9" x14ac:dyDescent="0.35">
      <c r="A923" s="2" t="s">
        <v>1407</v>
      </c>
      <c r="B923" s="2" t="s">
        <v>62</v>
      </c>
      <c r="C923" s="2" t="s">
        <v>1543</v>
      </c>
      <c r="D923" s="2" t="s">
        <v>327</v>
      </c>
      <c r="E923" s="2" t="s">
        <v>1544</v>
      </c>
      <c r="F923" s="2"/>
      <c r="G923" s="2"/>
      <c r="H923" s="2"/>
      <c r="I923" s="2"/>
    </row>
    <row r="924" spans="1:9" x14ac:dyDescent="0.35">
      <c r="A924" s="2" t="s">
        <v>1407</v>
      </c>
      <c r="B924" s="2" t="s">
        <v>62</v>
      </c>
      <c r="C924" s="2" t="s">
        <v>1543</v>
      </c>
      <c r="D924" s="2" t="s">
        <v>329</v>
      </c>
      <c r="E924" s="2" t="s">
        <v>330</v>
      </c>
      <c r="F924" s="2"/>
      <c r="G924" s="2"/>
      <c r="H924" s="2"/>
      <c r="I924" s="2"/>
    </row>
    <row r="925" spans="1:9" x14ac:dyDescent="0.35">
      <c r="A925" s="2" t="s">
        <v>1407</v>
      </c>
      <c r="B925" s="2" t="s">
        <v>62</v>
      </c>
      <c r="C925" s="2" t="s">
        <v>1543</v>
      </c>
      <c r="D925" s="2" t="s">
        <v>331</v>
      </c>
      <c r="E925" s="2" t="s">
        <v>332</v>
      </c>
      <c r="F925" s="2"/>
      <c r="G925" s="2"/>
      <c r="H925" s="2"/>
      <c r="I925" s="2"/>
    </row>
    <row r="926" spans="1:9" x14ac:dyDescent="0.35">
      <c r="A926" s="2" t="s">
        <v>1407</v>
      </c>
      <c r="B926" s="2" t="s">
        <v>62</v>
      </c>
      <c r="C926" s="2" t="s">
        <v>1543</v>
      </c>
      <c r="D926" s="2" t="s">
        <v>333</v>
      </c>
      <c r="E926" s="2" t="s">
        <v>334</v>
      </c>
      <c r="F926" s="2"/>
      <c r="G926" s="2"/>
      <c r="H926" s="2"/>
      <c r="I926" s="2"/>
    </row>
    <row r="927" spans="1:9" x14ac:dyDescent="0.35">
      <c r="A927" s="2" t="s">
        <v>1407</v>
      </c>
      <c r="B927" s="2" t="s">
        <v>62</v>
      </c>
      <c r="C927" s="2" t="s">
        <v>1543</v>
      </c>
      <c r="D927" s="2" t="s">
        <v>335</v>
      </c>
      <c r="E927" s="2" t="s">
        <v>336</v>
      </c>
      <c r="F927" s="2"/>
      <c r="G927" s="2"/>
      <c r="H927" s="2"/>
      <c r="I927" s="2"/>
    </row>
    <row r="928" spans="1:9" x14ac:dyDescent="0.35">
      <c r="A928" s="2" t="s">
        <v>1407</v>
      </c>
      <c r="B928" s="2" t="s">
        <v>62</v>
      </c>
      <c r="C928" s="2" t="s">
        <v>1543</v>
      </c>
      <c r="D928" s="2" t="s">
        <v>337</v>
      </c>
      <c r="E928" s="2" t="s">
        <v>338</v>
      </c>
      <c r="F928" s="2"/>
      <c r="G928" s="2"/>
      <c r="H928" s="2"/>
      <c r="I928" s="2"/>
    </row>
    <row r="929" spans="1:9" x14ac:dyDescent="0.35">
      <c r="A929" s="2" t="s">
        <v>1407</v>
      </c>
      <c r="B929" s="2" t="s">
        <v>62</v>
      </c>
      <c r="C929" s="2" t="s">
        <v>1543</v>
      </c>
      <c r="D929" s="2" t="s">
        <v>339</v>
      </c>
      <c r="E929" s="2" t="s">
        <v>340</v>
      </c>
      <c r="F929" s="2"/>
      <c r="G929" s="2"/>
      <c r="H929" s="2"/>
      <c r="I929" s="2"/>
    </row>
    <row r="930" spans="1:9" x14ac:dyDescent="0.35">
      <c r="A930" s="2" t="s">
        <v>1407</v>
      </c>
      <c r="B930" s="2" t="s">
        <v>62</v>
      </c>
      <c r="C930" s="2" t="s">
        <v>1543</v>
      </c>
      <c r="D930" s="2" t="s">
        <v>341</v>
      </c>
      <c r="E930" s="2" t="s">
        <v>342</v>
      </c>
      <c r="F930" s="2"/>
      <c r="G930" s="2"/>
      <c r="H930" s="2"/>
      <c r="I930" s="2"/>
    </row>
    <row r="931" spans="1:9" x14ac:dyDescent="0.35">
      <c r="A931" s="2" t="s">
        <v>1407</v>
      </c>
      <c r="B931" s="2" t="s">
        <v>62</v>
      </c>
      <c r="C931" s="2" t="s">
        <v>1543</v>
      </c>
      <c r="D931" s="2" t="s">
        <v>343</v>
      </c>
      <c r="E931" s="2" t="s">
        <v>344</v>
      </c>
      <c r="F931" s="2"/>
      <c r="G931" s="2"/>
      <c r="H931" s="2"/>
      <c r="I931" s="2"/>
    </row>
    <row r="932" spans="1:9" x14ac:dyDescent="0.35">
      <c r="A932" s="2" t="s">
        <v>1407</v>
      </c>
      <c r="B932" s="2" t="s">
        <v>62</v>
      </c>
      <c r="C932" s="2" t="s">
        <v>1543</v>
      </c>
      <c r="D932" s="2" t="s">
        <v>345</v>
      </c>
      <c r="E932" s="2" t="s">
        <v>346</v>
      </c>
      <c r="F932" s="2"/>
      <c r="G932" s="2"/>
      <c r="H932" s="2"/>
      <c r="I932" s="2"/>
    </row>
    <row r="933" spans="1:9" x14ac:dyDescent="0.35">
      <c r="A933" s="2" t="s">
        <v>1407</v>
      </c>
      <c r="B933" s="2" t="s">
        <v>62</v>
      </c>
      <c r="C933" s="2" t="s">
        <v>1545</v>
      </c>
      <c r="D933" s="2" t="s">
        <v>317</v>
      </c>
      <c r="E933" s="2" t="s">
        <v>318</v>
      </c>
      <c r="F933" s="2"/>
      <c r="G933" s="2"/>
      <c r="H933" s="2"/>
      <c r="I933" s="2"/>
    </row>
    <row r="934" spans="1:9" x14ac:dyDescent="0.35">
      <c r="A934" s="2" t="s">
        <v>1407</v>
      </c>
      <c r="B934" s="2" t="s">
        <v>62</v>
      </c>
      <c r="C934" s="2" t="s">
        <v>1545</v>
      </c>
      <c r="D934" s="2" t="s">
        <v>87</v>
      </c>
      <c r="E934" s="2" t="s">
        <v>75</v>
      </c>
      <c r="F934" s="2"/>
      <c r="G934" s="2"/>
      <c r="H934" s="2"/>
      <c r="I934" s="2"/>
    </row>
    <row r="935" spans="1:9" x14ac:dyDescent="0.35">
      <c r="A935" s="2" t="s">
        <v>1407</v>
      </c>
      <c r="B935" s="2" t="s">
        <v>62</v>
      </c>
      <c r="C935" s="2" t="s">
        <v>1545</v>
      </c>
      <c r="D935" s="2" t="s">
        <v>1051</v>
      </c>
      <c r="E935" s="2" t="s">
        <v>318</v>
      </c>
      <c r="F935" s="2"/>
      <c r="G935" s="2"/>
      <c r="H935" s="2"/>
      <c r="I935" s="2"/>
    </row>
    <row r="936" spans="1:9" x14ac:dyDescent="0.35">
      <c r="A936" s="2" t="s">
        <v>1407</v>
      </c>
      <c r="B936" s="2" t="s">
        <v>62</v>
      </c>
      <c r="C936" s="2" t="s">
        <v>1545</v>
      </c>
      <c r="D936" s="2" t="s">
        <v>333</v>
      </c>
      <c r="E936" s="2" t="s">
        <v>334</v>
      </c>
      <c r="F936" s="2"/>
      <c r="G936" s="2"/>
      <c r="H936" s="2"/>
      <c r="I936" s="2"/>
    </row>
    <row r="937" spans="1:9" x14ac:dyDescent="0.35">
      <c r="A937" s="2" t="s">
        <v>1407</v>
      </c>
      <c r="B937" s="2" t="s">
        <v>62</v>
      </c>
      <c r="C937" s="2" t="s">
        <v>1546</v>
      </c>
      <c r="D937" s="2" t="s">
        <v>1443</v>
      </c>
      <c r="E937" s="2" t="s">
        <v>75</v>
      </c>
      <c r="F937" s="2"/>
      <c r="G937" s="2"/>
      <c r="H937" s="2"/>
      <c r="I937" s="2"/>
    </row>
    <row r="938" spans="1:9" x14ac:dyDescent="0.35">
      <c r="A938" s="2" t="s">
        <v>1407</v>
      </c>
      <c r="B938" s="2" t="s">
        <v>62</v>
      </c>
      <c r="C938" s="2" t="s">
        <v>1547</v>
      </c>
      <c r="D938" s="2" t="s">
        <v>317</v>
      </c>
      <c r="E938" s="2" t="s">
        <v>318</v>
      </c>
      <c r="F938" s="2"/>
      <c r="G938" s="2"/>
      <c r="H938" s="2"/>
      <c r="I938" s="2"/>
    </row>
    <row r="939" spans="1:9" x14ac:dyDescent="0.35">
      <c r="A939" s="2" t="s">
        <v>1407</v>
      </c>
      <c r="B939" s="2" t="s">
        <v>62</v>
      </c>
      <c r="C939" s="2" t="s">
        <v>1547</v>
      </c>
      <c r="D939" s="2" t="s">
        <v>87</v>
      </c>
      <c r="E939" s="2" t="s">
        <v>75</v>
      </c>
      <c r="F939" s="2"/>
      <c r="G939" s="2"/>
      <c r="H939" s="2"/>
      <c r="I939" s="2"/>
    </row>
    <row r="940" spans="1:9" x14ac:dyDescent="0.35">
      <c r="A940" s="2" t="s">
        <v>1407</v>
      </c>
      <c r="B940" s="2" t="s">
        <v>62</v>
      </c>
      <c r="C940" s="2" t="s">
        <v>1547</v>
      </c>
      <c r="D940" s="2" t="s">
        <v>1051</v>
      </c>
      <c r="E940" s="2" t="s">
        <v>318</v>
      </c>
      <c r="F940" s="2"/>
      <c r="G940" s="2"/>
      <c r="H940" s="2"/>
      <c r="I940" s="2"/>
    </row>
    <row r="941" spans="1:9" x14ac:dyDescent="0.35">
      <c r="A941" s="2" t="s">
        <v>1407</v>
      </c>
      <c r="B941" s="2" t="s">
        <v>62</v>
      </c>
      <c r="C941" s="2" t="s">
        <v>1547</v>
      </c>
      <c r="D941" s="2" t="s">
        <v>333</v>
      </c>
      <c r="E941" s="2" t="s">
        <v>334</v>
      </c>
      <c r="F941" s="2"/>
      <c r="G941" s="2"/>
      <c r="H941" s="2"/>
      <c r="I941" s="2"/>
    </row>
    <row r="942" spans="1:9" x14ac:dyDescent="0.35">
      <c r="A942" s="2" t="s">
        <v>1407</v>
      </c>
      <c r="B942" s="2" t="s">
        <v>62</v>
      </c>
      <c r="C942" s="2" t="s">
        <v>1548</v>
      </c>
      <c r="D942" s="2" t="s">
        <v>196</v>
      </c>
      <c r="E942" s="2" t="s">
        <v>197</v>
      </c>
      <c r="F942" s="2"/>
      <c r="G942" s="2"/>
      <c r="H942" s="2"/>
      <c r="I942" s="2"/>
    </row>
    <row r="943" spans="1:9" x14ac:dyDescent="0.35">
      <c r="A943" s="2" t="s">
        <v>1407</v>
      </c>
      <c r="B943" s="2" t="s">
        <v>62</v>
      </c>
      <c r="C943" s="2" t="s">
        <v>1548</v>
      </c>
      <c r="D943" s="2" t="s">
        <v>317</v>
      </c>
      <c r="E943" s="2" t="s">
        <v>318</v>
      </c>
      <c r="F943" s="2"/>
      <c r="G943" s="2"/>
      <c r="H943" s="2"/>
      <c r="I943" s="2"/>
    </row>
    <row r="944" spans="1:9" x14ac:dyDescent="0.35">
      <c r="A944" s="2" t="s">
        <v>1407</v>
      </c>
      <c r="B944" s="2" t="s">
        <v>62</v>
      </c>
      <c r="C944" s="2" t="s">
        <v>1548</v>
      </c>
      <c r="D944" s="2" t="s">
        <v>327</v>
      </c>
      <c r="E944" s="2" t="s">
        <v>328</v>
      </c>
      <c r="F944" s="2"/>
      <c r="G944" s="2"/>
      <c r="H944" s="2"/>
      <c r="I944" s="2"/>
    </row>
    <row r="945" spans="1:9" x14ac:dyDescent="0.35">
      <c r="A945" s="2" t="s">
        <v>1407</v>
      </c>
      <c r="B945" s="2" t="s">
        <v>62</v>
      </c>
      <c r="C945" s="2" t="s">
        <v>1548</v>
      </c>
      <c r="D945" s="2" t="s">
        <v>333</v>
      </c>
      <c r="E945" s="2" t="s">
        <v>334</v>
      </c>
      <c r="F945" s="2"/>
      <c r="G945" s="2"/>
      <c r="H945" s="2"/>
      <c r="I945" s="2"/>
    </row>
    <row r="946" spans="1:9" x14ac:dyDescent="0.35">
      <c r="A946" s="2" t="s">
        <v>1407</v>
      </c>
      <c r="B946" s="2" t="s">
        <v>62</v>
      </c>
      <c r="C946" s="2" t="s">
        <v>1548</v>
      </c>
      <c r="D946" s="2" t="s">
        <v>1297</v>
      </c>
      <c r="E946" s="2" t="s">
        <v>533</v>
      </c>
      <c r="F946" s="2"/>
      <c r="G946" s="2"/>
      <c r="H946" s="2"/>
      <c r="I946" s="2"/>
    </row>
    <row r="947" spans="1:9" x14ac:dyDescent="0.35">
      <c r="A947" s="2" t="s">
        <v>1407</v>
      </c>
      <c r="B947" s="2" t="s">
        <v>24</v>
      </c>
      <c r="C947" s="2" t="s">
        <v>1549</v>
      </c>
      <c r="D947" s="2" t="s">
        <v>98</v>
      </c>
      <c r="E947" s="2" t="s">
        <v>98</v>
      </c>
      <c r="F947" s="2" t="s">
        <v>20</v>
      </c>
      <c r="G947" s="2" t="s">
        <v>1550</v>
      </c>
      <c r="H947" s="2"/>
      <c r="I947" s="2"/>
    </row>
    <row r="948" spans="1:9" x14ac:dyDescent="0.35">
      <c r="A948" s="2" t="s">
        <v>1407</v>
      </c>
      <c r="B948" s="2" t="s">
        <v>24</v>
      </c>
      <c r="C948" s="2" t="s">
        <v>1549</v>
      </c>
      <c r="D948" s="2" t="s">
        <v>1456</v>
      </c>
      <c r="E948" s="2" t="s">
        <v>363</v>
      </c>
      <c r="F948" s="21"/>
      <c r="G948" s="21"/>
      <c r="H948" s="2"/>
      <c r="I948" s="2"/>
    </row>
    <row r="949" spans="1:9" x14ac:dyDescent="0.35">
      <c r="A949" s="2" t="s">
        <v>1407</v>
      </c>
      <c r="B949" s="2" t="s">
        <v>54</v>
      </c>
      <c r="C949" s="2" t="s">
        <v>1551</v>
      </c>
      <c r="D949" s="2" t="s">
        <v>196</v>
      </c>
      <c r="E949" s="2" t="s">
        <v>197</v>
      </c>
      <c r="F949" s="2"/>
      <c r="G949" s="2"/>
      <c r="H949" s="2"/>
      <c r="I949" s="2"/>
    </row>
    <row r="950" spans="1:9" x14ac:dyDescent="0.35">
      <c r="A950" s="2" t="s">
        <v>1407</v>
      </c>
      <c r="B950" s="2" t="s">
        <v>54</v>
      </c>
      <c r="C950" s="2" t="s">
        <v>1551</v>
      </c>
      <c r="D950" s="2" t="s">
        <v>74</v>
      </c>
      <c r="E950" s="2" t="s">
        <v>75</v>
      </c>
      <c r="F950" s="2"/>
      <c r="G950" s="2"/>
      <c r="H950" s="2"/>
      <c r="I950" s="2"/>
    </row>
    <row r="951" spans="1:9" x14ac:dyDescent="0.35">
      <c r="A951" s="2" t="s">
        <v>1407</v>
      </c>
      <c r="B951" s="2" t="s">
        <v>54</v>
      </c>
      <c r="C951" s="2" t="s">
        <v>1551</v>
      </c>
      <c r="D951" s="2" t="s">
        <v>144</v>
      </c>
      <c r="E951" s="2" t="s">
        <v>50</v>
      </c>
      <c r="F951" s="2"/>
      <c r="G951" s="2"/>
      <c r="H951" s="2"/>
      <c r="I951" s="2"/>
    </row>
    <row r="952" spans="1:9" x14ac:dyDescent="0.35">
      <c r="A952" s="2" t="s">
        <v>1407</v>
      </c>
      <c r="B952" s="2" t="s">
        <v>54</v>
      </c>
      <c r="C952" s="2" t="s">
        <v>1551</v>
      </c>
      <c r="D952" s="2" t="s">
        <v>1226</v>
      </c>
      <c r="E952" s="2" t="s">
        <v>107</v>
      </c>
      <c r="F952" s="2"/>
      <c r="G952" s="2"/>
      <c r="H952" s="2"/>
      <c r="I952" s="2"/>
    </row>
    <row r="953" spans="1:9" x14ac:dyDescent="0.35">
      <c r="A953" s="2" t="s">
        <v>1407</v>
      </c>
      <c r="B953" s="2" t="s">
        <v>54</v>
      </c>
      <c r="C953" s="2" t="s">
        <v>1551</v>
      </c>
      <c r="D953" s="2" t="s">
        <v>1552</v>
      </c>
      <c r="E953" s="2" t="s">
        <v>122</v>
      </c>
      <c r="F953" s="2"/>
      <c r="G953" s="2"/>
      <c r="H953" s="2"/>
      <c r="I953" s="2"/>
    </row>
    <row r="954" spans="1:9" x14ac:dyDescent="0.35">
      <c r="A954" s="2" t="s">
        <v>1407</v>
      </c>
      <c r="B954" s="2" t="s">
        <v>54</v>
      </c>
      <c r="C954" s="2" t="s">
        <v>1551</v>
      </c>
      <c r="D954" s="2" t="s">
        <v>38</v>
      </c>
      <c r="E954" s="2" t="s">
        <v>38</v>
      </c>
      <c r="F954" s="2"/>
      <c r="G954" s="2"/>
      <c r="H954" s="2"/>
      <c r="I954" s="2"/>
    </row>
    <row r="955" spans="1:9" x14ac:dyDescent="0.35">
      <c r="A955" s="2" t="s">
        <v>1407</v>
      </c>
      <c r="B955" s="2" t="s">
        <v>54</v>
      </c>
      <c r="C955" s="2" t="s">
        <v>1551</v>
      </c>
      <c r="D955" s="2" t="s">
        <v>91</v>
      </c>
      <c r="E955" s="2" t="s">
        <v>19</v>
      </c>
      <c r="F955" s="2" t="s">
        <v>20</v>
      </c>
      <c r="G955" s="2" t="s">
        <v>1553</v>
      </c>
      <c r="H955" s="2"/>
      <c r="I955" s="2"/>
    </row>
    <row r="956" spans="1:9" x14ac:dyDescent="0.35">
      <c r="A956" s="2" t="s">
        <v>1407</v>
      </c>
      <c r="B956" s="2" t="s">
        <v>54</v>
      </c>
      <c r="C956" s="2" t="s">
        <v>1551</v>
      </c>
      <c r="D956" s="2" t="s">
        <v>87</v>
      </c>
      <c r="E956" s="2" t="s">
        <v>75</v>
      </c>
      <c r="F956" s="2" t="s">
        <v>20</v>
      </c>
      <c r="G956" s="2" t="s">
        <v>1553</v>
      </c>
      <c r="H956" s="2"/>
      <c r="I956" s="2"/>
    </row>
    <row r="957" spans="1:9" x14ac:dyDescent="0.35">
      <c r="A957" s="2" t="s">
        <v>1407</v>
      </c>
      <c r="B957" s="2" t="s">
        <v>54</v>
      </c>
      <c r="C957" s="2" t="s">
        <v>1551</v>
      </c>
      <c r="D957" s="2" t="s">
        <v>1228</v>
      </c>
      <c r="E957" s="2" t="s">
        <v>228</v>
      </c>
      <c r="F957" s="2"/>
      <c r="G957" s="2"/>
      <c r="H957" s="2"/>
      <c r="I957" s="2"/>
    </row>
    <row r="958" spans="1:9" x14ac:dyDescent="0.35">
      <c r="A958" s="2" t="s">
        <v>1407</v>
      </c>
      <c r="B958" s="2" t="s">
        <v>54</v>
      </c>
      <c r="C958" s="2" t="s">
        <v>1551</v>
      </c>
      <c r="D958" s="2" t="s">
        <v>100</v>
      </c>
      <c r="E958" s="2" t="s">
        <v>101</v>
      </c>
      <c r="F958" s="2"/>
      <c r="G958" s="2"/>
      <c r="H958" s="2"/>
      <c r="I958" s="2"/>
    </row>
    <row r="959" spans="1:9" x14ac:dyDescent="0.35">
      <c r="A959" s="2" t="s">
        <v>1407</v>
      </c>
      <c r="B959" s="2" t="s">
        <v>12</v>
      </c>
      <c r="C959" s="2" t="s">
        <v>1554</v>
      </c>
      <c r="D959" s="2" t="s">
        <v>14</v>
      </c>
      <c r="E959" s="2" t="s">
        <v>15</v>
      </c>
      <c r="F959" s="2"/>
      <c r="G959" s="2"/>
      <c r="H959" s="2"/>
      <c r="I959" s="2"/>
    </row>
    <row r="960" spans="1:9" x14ac:dyDescent="0.35">
      <c r="A960" s="2" t="s">
        <v>1407</v>
      </c>
      <c r="B960" s="2" t="s">
        <v>12</v>
      </c>
      <c r="C960" s="2" t="s">
        <v>1554</v>
      </c>
      <c r="D960" s="2" t="s">
        <v>198</v>
      </c>
      <c r="E960" s="2" t="s">
        <v>65</v>
      </c>
      <c r="F960" s="2"/>
      <c r="G960" s="2"/>
      <c r="H960" s="2"/>
      <c r="I960" s="2"/>
    </row>
    <row r="961" spans="1:9" x14ac:dyDescent="0.35">
      <c r="A961" s="2" t="s">
        <v>1407</v>
      </c>
      <c r="B961" s="2" t="s">
        <v>12</v>
      </c>
      <c r="C961" s="2" t="s">
        <v>1554</v>
      </c>
      <c r="D961" s="2" t="s">
        <v>91</v>
      </c>
      <c r="E961" s="2" t="s">
        <v>19</v>
      </c>
      <c r="F961" s="2" t="s">
        <v>20</v>
      </c>
      <c r="G961" s="2" t="s">
        <v>1555</v>
      </c>
      <c r="H961" s="2"/>
      <c r="I961" s="2"/>
    </row>
    <row r="962" spans="1:9" x14ac:dyDescent="0.35">
      <c r="A962" s="2" t="s">
        <v>1407</v>
      </c>
      <c r="B962" s="2" t="s">
        <v>62</v>
      </c>
      <c r="C962" s="2" t="s">
        <v>1556</v>
      </c>
      <c r="D962" s="2" t="s">
        <v>319</v>
      </c>
      <c r="E962" s="2" t="s">
        <v>320</v>
      </c>
      <c r="F962" s="2"/>
      <c r="G962" s="2"/>
      <c r="H962" s="2"/>
      <c r="I962" s="2"/>
    </row>
    <row r="963" spans="1:9" x14ac:dyDescent="0.35">
      <c r="A963" s="2" t="s">
        <v>1407</v>
      </c>
      <c r="B963" s="2" t="s">
        <v>62</v>
      </c>
      <c r="C963" s="2" t="s">
        <v>1556</v>
      </c>
      <c r="D963" s="2" t="s">
        <v>321</v>
      </c>
      <c r="E963" s="2" t="s">
        <v>321</v>
      </c>
      <c r="F963" s="2"/>
      <c r="G963" s="2"/>
      <c r="H963" s="2"/>
      <c r="I963" s="2"/>
    </row>
    <row r="964" spans="1:9" x14ac:dyDescent="0.35">
      <c r="A964" s="2" t="s">
        <v>1407</v>
      </c>
      <c r="B964" s="2" t="s">
        <v>62</v>
      </c>
      <c r="C964" s="2" t="s">
        <v>1556</v>
      </c>
      <c r="D964" s="2" t="s">
        <v>322</v>
      </c>
      <c r="E964" s="2" t="s">
        <v>246</v>
      </c>
      <c r="F964" s="2"/>
      <c r="G964" s="2"/>
      <c r="H964" s="2"/>
      <c r="I964" s="2"/>
    </row>
    <row r="965" spans="1:9" x14ac:dyDescent="0.35">
      <c r="A965" s="2" t="s">
        <v>1407</v>
      </c>
      <c r="B965" s="2" t="s">
        <v>62</v>
      </c>
      <c r="C965" s="2" t="s">
        <v>1556</v>
      </c>
      <c r="D965" s="2" t="s">
        <v>323</v>
      </c>
      <c r="E965" s="2" t="s">
        <v>246</v>
      </c>
      <c r="F965" s="2"/>
      <c r="G965" s="2"/>
      <c r="H965" s="2"/>
      <c r="I965" s="2"/>
    </row>
    <row r="966" spans="1:9" x14ac:dyDescent="0.35">
      <c r="A966" s="2" t="s">
        <v>1407</v>
      </c>
      <c r="B966" s="2" t="s">
        <v>62</v>
      </c>
      <c r="C966" s="2" t="s">
        <v>1556</v>
      </c>
      <c r="D966" s="2" t="s">
        <v>324</v>
      </c>
      <c r="E966" s="2" t="s">
        <v>246</v>
      </c>
      <c r="F966" s="2"/>
      <c r="G966" s="2"/>
      <c r="H966" s="2"/>
      <c r="I966" s="2"/>
    </row>
    <row r="967" spans="1:9" x14ac:dyDescent="0.35">
      <c r="A967" s="2" t="s">
        <v>1407</v>
      </c>
      <c r="B967" s="2" t="s">
        <v>62</v>
      </c>
      <c r="C967" s="2" t="s">
        <v>1556</v>
      </c>
      <c r="D967" s="2" t="s">
        <v>325</v>
      </c>
      <c r="E967" s="2" t="s">
        <v>1413</v>
      </c>
      <c r="F967" s="2"/>
      <c r="G967" s="2"/>
      <c r="H967" s="2"/>
      <c r="I967" s="2"/>
    </row>
    <row r="968" spans="1:9" x14ac:dyDescent="0.35">
      <c r="A968" s="2" t="s">
        <v>1407</v>
      </c>
      <c r="B968" s="2" t="s">
        <v>62</v>
      </c>
      <c r="C968" s="2" t="s">
        <v>1556</v>
      </c>
      <c r="D968" s="2" t="s">
        <v>327</v>
      </c>
      <c r="E968" s="2" t="s">
        <v>328</v>
      </c>
      <c r="F968" s="2"/>
      <c r="G968" s="2"/>
      <c r="H968" s="2"/>
      <c r="I968" s="2"/>
    </row>
    <row r="969" spans="1:9" x14ac:dyDescent="0.35">
      <c r="A969" s="2" t="s">
        <v>1407</v>
      </c>
      <c r="B969" s="2" t="s">
        <v>62</v>
      </c>
      <c r="C969" s="2" t="s">
        <v>1556</v>
      </c>
      <c r="D969" s="2" t="s">
        <v>329</v>
      </c>
      <c r="E969" s="2" t="s">
        <v>330</v>
      </c>
      <c r="F969" s="2"/>
      <c r="G969" s="2"/>
      <c r="H969" s="2"/>
      <c r="I969" s="2"/>
    </row>
    <row r="970" spans="1:9" x14ac:dyDescent="0.35">
      <c r="A970" s="2" t="s">
        <v>1407</v>
      </c>
      <c r="B970" s="2" t="s">
        <v>62</v>
      </c>
      <c r="C970" s="2" t="s">
        <v>1556</v>
      </c>
      <c r="D970" s="2" t="s">
        <v>331</v>
      </c>
      <c r="E970" s="2" t="s">
        <v>332</v>
      </c>
      <c r="F970" s="2"/>
      <c r="G970" s="2"/>
      <c r="H970" s="2"/>
      <c r="I970" s="2"/>
    </row>
    <row r="971" spans="1:9" x14ac:dyDescent="0.35">
      <c r="A971" s="2" t="s">
        <v>1407</v>
      </c>
      <c r="B971" s="2" t="s">
        <v>62</v>
      </c>
      <c r="C971" s="2" t="s">
        <v>1556</v>
      </c>
      <c r="D971" s="2" t="s">
        <v>333</v>
      </c>
      <c r="E971" s="2" t="s">
        <v>334</v>
      </c>
      <c r="F971" s="2"/>
      <c r="G971" s="2"/>
      <c r="H971" s="2"/>
      <c r="I971" s="2"/>
    </row>
    <row r="972" spans="1:9" x14ac:dyDescent="0.35">
      <c r="A972" s="2" t="s">
        <v>1407</v>
      </c>
      <c r="B972" s="2" t="s">
        <v>62</v>
      </c>
      <c r="C972" s="2" t="s">
        <v>1556</v>
      </c>
      <c r="D972" s="2" t="s">
        <v>1297</v>
      </c>
      <c r="E972" s="2" t="s">
        <v>533</v>
      </c>
      <c r="F972" s="2"/>
      <c r="G972" s="2"/>
      <c r="H972" s="2"/>
      <c r="I972" s="2"/>
    </row>
    <row r="973" spans="1:9" x14ac:dyDescent="0.35">
      <c r="A973" s="2" t="s">
        <v>1407</v>
      </c>
      <c r="B973" s="2" t="s">
        <v>62</v>
      </c>
      <c r="C973" s="2" t="s">
        <v>1556</v>
      </c>
      <c r="D973" s="2" t="s">
        <v>335</v>
      </c>
      <c r="E973" s="2" t="s">
        <v>336</v>
      </c>
      <c r="F973" s="2"/>
      <c r="G973" s="2"/>
      <c r="H973" s="2"/>
      <c r="I973" s="2"/>
    </row>
    <row r="974" spans="1:9" x14ac:dyDescent="0.35">
      <c r="A974" s="2" t="s">
        <v>1407</v>
      </c>
      <c r="B974" s="2" t="s">
        <v>62</v>
      </c>
      <c r="C974" s="2" t="s">
        <v>1556</v>
      </c>
      <c r="D974" s="2" t="s">
        <v>337</v>
      </c>
      <c r="E974" s="2" t="s">
        <v>338</v>
      </c>
      <c r="F974" s="2"/>
      <c r="G974" s="2"/>
      <c r="H974" s="2"/>
      <c r="I974" s="2"/>
    </row>
    <row r="975" spans="1:9" x14ac:dyDescent="0.35">
      <c r="A975" s="2" t="s">
        <v>1407</v>
      </c>
      <c r="B975" s="2" t="s">
        <v>62</v>
      </c>
      <c r="C975" s="2" t="s">
        <v>1556</v>
      </c>
      <c r="D975" s="2" t="s">
        <v>339</v>
      </c>
      <c r="E975" s="2" t="s">
        <v>340</v>
      </c>
      <c r="F975" s="2"/>
      <c r="G975" s="2"/>
      <c r="H975" s="2"/>
      <c r="I975" s="2"/>
    </row>
    <row r="976" spans="1:9" x14ac:dyDescent="0.35">
      <c r="A976" s="2" t="s">
        <v>1407</v>
      </c>
      <c r="B976" s="2" t="s">
        <v>62</v>
      </c>
      <c r="C976" s="2" t="s">
        <v>1556</v>
      </c>
      <c r="D976" s="2" t="s">
        <v>341</v>
      </c>
      <c r="E976" s="2" t="s">
        <v>342</v>
      </c>
      <c r="F976" s="2"/>
      <c r="G976" s="2"/>
      <c r="H976" s="2"/>
      <c r="I976" s="2"/>
    </row>
    <row r="977" spans="1:9" x14ac:dyDescent="0.35">
      <c r="A977" s="2" t="s">
        <v>1407</v>
      </c>
      <c r="B977" s="2" t="s">
        <v>62</v>
      </c>
      <c r="C977" s="2" t="s">
        <v>1556</v>
      </c>
      <c r="D977" s="2" t="s">
        <v>343</v>
      </c>
      <c r="E977" s="2" t="s">
        <v>344</v>
      </c>
      <c r="F977" s="2"/>
      <c r="G977" s="2"/>
      <c r="H977" s="2"/>
      <c r="I977" s="2"/>
    </row>
    <row r="978" spans="1:9" x14ac:dyDescent="0.35">
      <c r="A978" s="2" t="s">
        <v>1407</v>
      </c>
      <c r="B978" s="2" t="s">
        <v>62</v>
      </c>
      <c r="C978" s="2" t="s">
        <v>1556</v>
      </c>
      <c r="D978" s="2" t="s">
        <v>345</v>
      </c>
      <c r="E978" s="2" t="s">
        <v>346</v>
      </c>
      <c r="F978" s="2"/>
      <c r="G978" s="2"/>
      <c r="H978" s="2"/>
      <c r="I978" s="2"/>
    </row>
    <row r="979" spans="1:9" x14ac:dyDescent="0.35">
      <c r="A979" s="2" t="s">
        <v>1407</v>
      </c>
      <c r="B979" s="2" t="s">
        <v>12</v>
      </c>
      <c r="C979" s="2" t="s">
        <v>1557</v>
      </c>
      <c r="D979" s="2" t="s">
        <v>14</v>
      </c>
      <c r="E979" s="2" t="s">
        <v>15</v>
      </c>
      <c r="F979" s="2"/>
      <c r="G979" s="2"/>
      <c r="H979" s="2"/>
      <c r="I979" s="2"/>
    </row>
    <row r="980" spans="1:9" x14ac:dyDescent="0.35">
      <c r="A980" s="2" t="s">
        <v>1407</v>
      </c>
      <c r="B980" s="2" t="s">
        <v>12</v>
      </c>
      <c r="C980" s="2" t="s">
        <v>1557</v>
      </c>
      <c r="D980" s="2" t="s">
        <v>198</v>
      </c>
      <c r="E980" s="2" t="s">
        <v>65</v>
      </c>
      <c r="F980" s="2"/>
      <c r="G980" s="2"/>
      <c r="H980" s="2"/>
      <c r="I980" s="2"/>
    </row>
    <row r="981" spans="1:9" x14ac:dyDescent="0.35">
      <c r="A981" s="2" t="s">
        <v>1407</v>
      </c>
      <c r="B981" s="2" t="s">
        <v>12</v>
      </c>
      <c r="C981" s="2" t="s">
        <v>1557</v>
      </c>
      <c r="D981" s="2" t="s">
        <v>98</v>
      </c>
      <c r="E981" s="2" t="s">
        <v>98</v>
      </c>
      <c r="F981" s="2"/>
      <c r="G981" s="2"/>
      <c r="H981" s="2"/>
      <c r="I981" s="2"/>
    </row>
    <row r="982" spans="1:9" x14ac:dyDescent="0.35">
      <c r="A982" s="2" t="s">
        <v>1407</v>
      </c>
      <c r="B982" s="2" t="s">
        <v>12</v>
      </c>
      <c r="C982" s="2" t="s">
        <v>1557</v>
      </c>
      <c r="D982" s="2" t="s">
        <v>91</v>
      </c>
      <c r="E982" s="2" t="s">
        <v>19</v>
      </c>
      <c r="F982" s="2" t="s">
        <v>20</v>
      </c>
      <c r="G982" s="2" t="s">
        <v>1558</v>
      </c>
      <c r="H982" s="2"/>
      <c r="I982" s="2"/>
    </row>
    <row r="983" spans="1:9" x14ac:dyDescent="0.35">
      <c r="A983" s="2" t="s">
        <v>1407</v>
      </c>
      <c r="B983" s="2" t="s">
        <v>12</v>
      </c>
      <c r="C983" s="2" t="s">
        <v>1557</v>
      </c>
      <c r="D983" s="2" t="s">
        <v>51</v>
      </c>
      <c r="E983" s="2" t="s">
        <v>52</v>
      </c>
      <c r="F983" s="2"/>
      <c r="G983" s="2"/>
      <c r="H983" s="2"/>
      <c r="I983" s="2"/>
    </row>
    <row r="984" spans="1:9" x14ac:dyDescent="0.35">
      <c r="A984" s="2" t="s">
        <v>1407</v>
      </c>
      <c r="B984" s="2" t="s">
        <v>12</v>
      </c>
      <c r="C984" s="2" t="s">
        <v>1557</v>
      </c>
      <c r="D984" s="2" t="s">
        <v>149</v>
      </c>
      <c r="E984" s="2" t="s">
        <v>150</v>
      </c>
      <c r="F984" s="2"/>
      <c r="G984" s="2"/>
      <c r="H984" s="2"/>
      <c r="I984" s="2"/>
    </row>
    <row r="985" spans="1:9" x14ac:dyDescent="0.35">
      <c r="A985" s="2" t="s">
        <v>1407</v>
      </c>
      <c r="B985" s="2" t="s">
        <v>12</v>
      </c>
      <c r="C985" s="2" t="s">
        <v>1557</v>
      </c>
      <c r="D985" s="2" t="s">
        <v>1420</v>
      </c>
      <c r="E985" s="2" t="s">
        <v>189</v>
      </c>
      <c r="F985" s="2"/>
      <c r="G985" s="2"/>
      <c r="H985" s="2"/>
      <c r="I985" s="2"/>
    </row>
    <row r="986" spans="1:9" x14ac:dyDescent="0.35">
      <c r="A986" s="2" t="s">
        <v>1407</v>
      </c>
      <c r="B986" s="2" t="s">
        <v>12</v>
      </c>
      <c r="C986" s="2" t="s">
        <v>1559</v>
      </c>
      <c r="D986" s="2" t="s">
        <v>1560</v>
      </c>
      <c r="E986" s="2" t="s">
        <v>50</v>
      </c>
      <c r="F986" s="2"/>
      <c r="G986" s="2"/>
      <c r="H986" s="2"/>
      <c r="I986" s="2"/>
    </row>
    <row r="987" spans="1:9" x14ac:dyDescent="0.35">
      <c r="A987" s="2" t="s">
        <v>1407</v>
      </c>
      <c r="B987" s="2" t="s">
        <v>62</v>
      </c>
      <c r="C987" s="2" t="s">
        <v>1561</v>
      </c>
      <c r="D987" s="2" t="s">
        <v>196</v>
      </c>
      <c r="E987" s="2" t="s">
        <v>197</v>
      </c>
      <c r="F987" s="2"/>
      <c r="G987" s="2"/>
      <c r="H987" s="2"/>
      <c r="I987" s="2"/>
    </row>
    <row r="988" spans="1:9" x14ac:dyDescent="0.35">
      <c r="A988" s="2" t="s">
        <v>1407</v>
      </c>
      <c r="B988" s="2" t="s">
        <v>62</v>
      </c>
      <c r="C988" s="2" t="s">
        <v>1561</v>
      </c>
      <c r="D988" s="2" t="s">
        <v>317</v>
      </c>
      <c r="E988" s="2" t="s">
        <v>318</v>
      </c>
      <c r="F988" s="2"/>
      <c r="G988" s="2"/>
      <c r="H988" s="2"/>
      <c r="I988" s="2"/>
    </row>
    <row r="989" spans="1:9" x14ac:dyDescent="0.35">
      <c r="A989" s="2" t="s">
        <v>1407</v>
      </c>
      <c r="B989" s="2" t="s">
        <v>62</v>
      </c>
      <c r="C989" s="2" t="s">
        <v>1561</v>
      </c>
      <c r="D989" s="2" t="s">
        <v>1050</v>
      </c>
      <c r="E989" s="2" t="s">
        <v>75</v>
      </c>
      <c r="F989" s="2"/>
      <c r="G989" s="2"/>
      <c r="H989" s="2"/>
      <c r="I989" s="2"/>
    </row>
    <row r="990" spans="1:9" x14ac:dyDescent="0.35">
      <c r="A990" s="2" t="s">
        <v>1407</v>
      </c>
      <c r="B990" s="2" t="s">
        <v>62</v>
      </c>
      <c r="C990" s="2" t="s">
        <v>1561</v>
      </c>
      <c r="D990" s="2" t="s">
        <v>327</v>
      </c>
      <c r="E990" s="2" t="s">
        <v>328</v>
      </c>
      <c r="F990" s="2"/>
      <c r="G990" s="2"/>
      <c r="H990" s="2"/>
      <c r="I990" s="2"/>
    </row>
    <row r="991" spans="1:9" x14ac:dyDescent="0.35">
      <c r="A991" s="2" t="s">
        <v>1407</v>
      </c>
      <c r="B991" s="2" t="s">
        <v>62</v>
      </c>
      <c r="C991" s="2" t="s">
        <v>1561</v>
      </c>
      <c r="D991" s="2" t="s">
        <v>333</v>
      </c>
      <c r="E991" s="2" t="s">
        <v>334</v>
      </c>
      <c r="F991" s="2"/>
      <c r="G991" s="2"/>
      <c r="H991" s="2"/>
      <c r="I991" s="2"/>
    </row>
    <row r="992" spans="1:9" x14ac:dyDescent="0.35">
      <c r="A992" s="2" t="s">
        <v>1407</v>
      </c>
      <c r="B992" s="2" t="s">
        <v>62</v>
      </c>
      <c r="C992" s="2" t="s">
        <v>1561</v>
      </c>
      <c r="D992" s="2" t="s">
        <v>345</v>
      </c>
      <c r="E992" s="2" t="s">
        <v>346</v>
      </c>
      <c r="F992" s="2"/>
      <c r="G992" s="2"/>
      <c r="H992" s="2"/>
      <c r="I992" s="2"/>
    </row>
    <row r="993" spans="1:9" x14ac:dyDescent="0.35">
      <c r="A993" s="2" t="s">
        <v>1407</v>
      </c>
      <c r="B993" s="2" t="s">
        <v>62</v>
      </c>
      <c r="C993" s="2" t="s">
        <v>1562</v>
      </c>
      <c r="D993" s="2" t="s">
        <v>317</v>
      </c>
      <c r="E993" s="2" t="s">
        <v>318</v>
      </c>
      <c r="F993" s="2"/>
      <c r="G993" s="2"/>
      <c r="H993" s="2"/>
      <c r="I993" s="2"/>
    </row>
    <row r="994" spans="1:9" x14ac:dyDescent="0.35">
      <c r="A994" s="2" t="s">
        <v>1407</v>
      </c>
      <c r="B994" s="2" t="s">
        <v>62</v>
      </c>
      <c r="C994" s="2" t="s">
        <v>1562</v>
      </c>
      <c r="D994" s="2" t="s">
        <v>87</v>
      </c>
      <c r="E994" s="2" t="s">
        <v>75</v>
      </c>
      <c r="F994" s="2"/>
      <c r="G994" s="2"/>
      <c r="H994" s="2"/>
      <c r="I994" s="2"/>
    </row>
    <row r="995" spans="1:9" x14ac:dyDescent="0.35">
      <c r="A995" s="2" t="s">
        <v>1407</v>
      </c>
      <c r="B995" s="2" t="s">
        <v>62</v>
      </c>
      <c r="C995" s="2" t="s">
        <v>1562</v>
      </c>
      <c r="D995" s="2" t="s">
        <v>1051</v>
      </c>
      <c r="E995" s="2" t="s">
        <v>318</v>
      </c>
      <c r="F995" s="2"/>
      <c r="G995" s="2"/>
      <c r="H995" s="2"/>
      <c r="I995" s="2"/>
    </row>
    <row r="996" spans="1:9" x14ac:dyDescent="0.35">
      <c r="A996" s="2" t="s">
        <v>1407</v>
      </c>
      <c r="B996" s="2" t="s">
        <v>62</v>
      </c>
      <c r="C996" s="2" t="s">
        <v>1562</v>
      </c>
      <c r="D996" s="2" t="s">
        <v>333</v>
      </c>
      <c r="E996" s="2" t="s">
        <v>334</v>
      </c>
      <c r="F996" s="2"/>
      <c r="G996" s="2"/>
      <c r="H996" s="2"/>
      <c r="I996" s="2"/>
    </row>
    <row r="997" spans="1:9" x14ac:dyDescent="0.35">
      <c r="A997" s="2" t="s">
        <v>1407</v>
      </c>
      <c r="B997" s="2" t="s">
        <v>62</v>
      </c>
      <c r="C997" s="2" t="s">
        <v>1563</v>
      </c>
      <c r="D997" s="2" t="s">
        <v>91</v>
      </c>
      <c r="E997" s="2" t="s">
        <v>19</v>
      </c>
      <c r="F997" s="2" t="s">
        <v>20</v>
      </c>
      <c r="G997" s="2" t="s">
        <v>1564</v>
      </c>
      <c r="H997" s="2"/>
      <c r="I997" s="2"/>
    </row>
    <row r="998" spans="1:9" x14ac:dyDescent="0.35">
      <c r="A998" s="2" t="s">
        <v>1407</v>
      </c>
      <c r="B998" s="2" t="s">
        <v>62</v>
      </c>
      <c r="C998" s="2" t="s">
        <v>1565</v>
      </c>
      <c r="D998" s="2" t="s">
        <v>319</v>
      </c>
      <c r="E998" s="2" t="s">
        <v>320</v>
      </c>
      <c r="F998" s="2"/>
      <c r="G998" s="2"/>
      <c r="H998" s="2"/>
      <c r="I998" s="2"/>
    </row>
    <row r="999" spans="1:9" x14ac:dyDescent="0.35">
      <c r="A999" s="2" t="s">
        <v>1407</v>
      </c>
      <c r="B999" s="2" t="s">
        <v>62</v>
      </c>
      <c r="C999" s="2" t="s">
        <v>1565</v>
      </c>
      <c r="D999" s="2" t="s">
        <v>321</v>
      </c>
      <c r="E999" s="2" t="s">
        <v>321</v>
      </c>
      <c r="F999" s="2"/>
      <c r="G999" s="2"/>
      <c r="H999" s="2"/>
      <c r="I999" s="2"/>
    </row>
    <row r="1000" spans="1:9" x14ac:dyDescent="0.35">
      <c r="A1000" s="2" t="s">
        <v>1407</v>
      </c>
      <c r="B1000" s="2" t="s">
        <v>62</v>
      </c>
      <c r="C1000" s="2" t="s">
        <v>1565</v>
      </c>
      <c r="D1000" s="2" t="s">
        <v>322</v>
      </c>
      <c r="E1000" s="2" t="s">
        <v>246</v>
      </c>
      <c r="F1000" s="2"/>
      <c r="G1000" s="2"/>
      <c r="H1000" s="2"/>
      <c r="I1000" s="2"/>
    </row>
    <row r="1001" spans="1:9" x14ac:dyDescent="0.35">
      <c r="A1001" s="2" t="s">
        <v>1407</v>
      </c>
      <c r="B1001" s="2" t="s">
        <v>62</v>
      </c>
      <c r="C1001" s="2" t="s">
        <v>1565</v>
      </c>
      <c r="D1001" s="2" t="s">
        <v>323</v>
      </c>
      <c r="E1001" s="2" t="s">
        <v>246</v>
      </c>
      <c r="F1001" s="2"/>
      <c r="G1001" s="2"/>
      <c r="H1001" s="2"/>
      <c r="I1001" s="2"/>
    </row>
    <row r="1002" spans="1:9" x14ac:dyDescent="0.35">
      <c r="A1002" s="2" t="s">
        <v>1407</v>
      </c>
      <c r="B1002" s="2" t="s">
        <v>62</v>
      </c>
      <c r="C1002" s="2" t="s">
        <v>1565</v>
      </c>
      <c r="D1002" s="2" t="s">
        <v>324</v>
      </c>
      <c r="E1002" s="2" t="s">
        <v>246</v>
      </c>
      <c r="F1002" s="2"/>
      <c r="G1002" s="2"/>
      <c r="H1002" s="2"/>
      <c r="I1002" s="2"/>
    </row>
    <row r="1003" spans="1:9" x14ac:dyDescent="0.35">
      <c r="A1003" s="2" t="s">
        <v>1407</v>
      </c>
      <c r="B1003" s="2" t="s">
        <v>62</v>
      </c>
      <c r="C1003" s="2" t="s">
        <v>1565</v>
      </c>
      <c r="D1003" s="2" t="s">
        <v>325</v>
      </c>
      <c r="E1003" s="2" t="s">
        <v>1413</v>
      </c>
      <c r="F1003" s="2"/>
      <c r="G1003" s="2"/>
      <c r="H1003" s="2"/>
      <c r="I1003" s="2"/>
    </row>
    <row r="1004" spans="1:9" x14ac:dyDescent="0.35">
      <c r="A1004" s="2" t="s">
        <v>1407</v>
      </c>
      <c r="B1004" s="2" t="s">
        <v>62</v>
      </c>
      <c r="C1004" s="2" t="s">
        <v>1565</v>
      </c>
      <c r="D1004" s="2" t="s">
        <v>327</v>
      </c>
      <c r="E1004" s="2" t="s">
        <v>328</v>
      </c>
      <c r="F1004" s="2"/>
      <c r="G1004" s="2"/>
      <c r="H1004" s="2"/>
      <c r="I1004" s="2"/>
    </row>
    <row r="1005" spans="1:9" x14ac:dyDescent="0.35">
      <c r="A1005" s="2" t="s">
        <v>1407</v>
      </c>
      <c r="B1005" s="2" t="s">
        <v>62</v>
      </c>
      <c r="C1005" s="2" t="s">
        <v>1565</v>
      </c>
      <c r="D1005" s="2" t="s">
        <v>329</v>
      </c>
      <c r="E1005" s="2" t="s">
        <v>330</v>
      </c>
      <c r="F1005" s="2"/>
      <c r="G1005" s="2"/>
      <c r="H1005" s="2"/>
      <c r="I1005" s="2"/>
    </row>
    <row r="1006" spans="1:9" x14ac:dyDescent="0.35">
      <c r="A1006" s="2" t="s">
        <v>1407</v>
      </c>
      <c r="B1006" s="2" t="s">
        <v>62</v>
      </c>
      <c r="C1006" s="2" t="s">
        <v>1565</v>
      </c>
      <c r="D1006" s="2" t="s">
        <v>331</v>
      </c>
      <c r="E1006" s="2" t="s">
        <v>332</v>
      </c>
      <c r="F1006" s="2"/>
      <c r="G1006" s="2"/>
      <c r="H1006" s="2"/>
      <c r="I1006" s="2"/>
    </row>
    <row r="1007" spans="1:9" x14ac:dyDescent="0.35">
      <c r="A1007" s="2" t="s">
        <v>1407</v>
      </c>
      <c r="B1007" s="2" t="s">
        <v>62</v>
      </c>
      <c r="C1007" s="2" t="s">
        <v>1565</v>
      </c>
      <c r="D1007" s="2" t="s">
        <v>333</v>
      </c>
      <c r="E1007" s="2" t="s">
        <v>334</v>
      </c>
      <c r="F1007" s="2"/>
      <c r="G1007" s="2"/>
      <c r="H1007" s="2"/>
      <c r="I1007" s="2"/>
    </row>
    <row r="1008" spans="1:9" x14ac:dyDescent="0.35">
      <c r="A1008" s="2" t="s">
        <v>1407</v>
      </c>
      <c r="B1008" s="2" t="s">
        <v>62</v>
      </c>
      <c r="C1008" s="2" t="s">
        <v>1565</v>
      </c>
      <c r="D1008" s="2" t="s">
        <v>1297</v>
      </c>
      <c r="E1008" s="2" t="s">
        <v>533</v>
      </c>
      <c r="F1008" s="2"/>
      <c r="G1008" s="2"/>
      <c r="H1008" s="2"/>
      <c r="I1008" s="2"/>
    </row>
    <row r="1009" spans="1:9" x14ac:dyDescent="0.35">
      <c r="A1009" s="2" t="s">
        <v>1407</v>
      </c>
      <c r="B1009" s="2" t="s">
        <v>62</v>
      </c>
      <c r="C1009" s="2" t="s">
        <v>1565</v>
      </c>
      <c r="D1009" s="2" t="s">
        <v>335</v>
      </c>
      <c r="E1009" s="2" t="s">
        <v>336</v>
      </c>
      <c r="F1009" s="2"/>
      <c r="G1009" s="2"/>
      <c r="H1009" s="2"/>
      <c r="I1009" s="2"/>
    </row>
    <row r="1010" spans="1:9" x14ac:dyDescent="0.35">
      <c r="A1010" s="2" t="s">
        <v>1407</v>
      </c>
      <c r="B1010" s="2" t="s">
        <v>62</v>
      </c>
      <c r="C1010" s="2" t="s">
        <v>1565</v>
      </c>
      <c r="D1010" s="2" t="s">
        <v>337</v>
      </c>
      <c r="E1010" s="2" t="s">
        <v>338</v>
      </c>
      <c r="F1010" s="2"/>
      <c r="G1010" s="2"/>
      <c r="H1010" s="2"/>
      <c r="I1010" s="2"/>
    </row>
    <row r="1011" spans="1:9" x14ac:dyDescent="0.35">
      <c r="A1011" s="2" t="s">
        <v>1407</v>
      </c>
      <c r="B1011" s="2" t="s">
        <v>62</v>
      </c>
      <c r="C1011" s="2" t="s">
        <v>1565</v>
      </c>
      <c r="D1011" s="2" t="s">
        <v>339</v>
      </c>
      <c r="E1011" s="2" t="s">
        <v>340</v>
      </c>
      <c r="F1011" s="2"/>
      <c r="G1011" s="2"/>
      <c r="H1011" s="2"/>
      <c r="I1011" s="2"/>
    </row>
    <row r="1012" spans="1:9" x14ac:dyDescent="0.35">
      <c r="A1012" s="2" t="s">
        <v>1407</v>
      </c>
      <c r="B1012" s="2" t="s">
        <v>62</v>
      </c>
      <c r="C1012" s="2" t="s">
        <v>1565</v>
      </c>
      <c r="D1012" s="2" t="s">
        <v>341</v>
      </c>
      <c r="E1012" s="2" t="s">
        <v>342</v>
      </c>
      <c r="F1012" s="2"/>
      <c r="G1012" s="2"/>
      <c r="H1012" s="2"/>
      <c r="I1012" s="2"/>
    </row>
    <row r="1013" spans="1:9" x14ac:dyDescent="0.35">
      <c r="A1013" s="2" t="s">
        <v>1407</v>
      </c>
      <c r="B1013" s="2" t="s">
        <v>62</v>
      </c>
      <c r="C1013" s="2" t="s">
        <v>1565</v>
      </c>
      <c r="D1013" s="2" t="s">
        <v>343</v>
      </c>
      <c r="E1013" s="2" t="s">
        <v>344</v>
      </c>
      <c r="F1013" s="2"/>
      <c r="G1013" s="2"/>
      <c r="H1013" s="2"/>
      <c r="I1013" s="2"/>
    </row>
    <row r="1014" spans="1:9" x14ac:dyDescent="0.35">
      <c r="A1014" s="2" t="s">
        <v>1407</v>
      </c>
      <c r="B1014" s="2" t="s">
        <v>62</v>
      </c>
      <c r="C1014" s="2" t="s">
        <v>1565</v>
      </c>
      <c r="D1014" s="2" t="s">
        <v>345</v>
      </c>
      <c r="E1014" s="2" t="s">
        <v>346</v>
      </c>
      <c r="F1014" s="2"/>
      <c r="G1014" s="2"/>
      <c r="H1014" s="2"/>
      <c r="I1014" s="2"/>
    </row>
    <row r="1015" spans="1:9" x14ac:dyDescent="0.35">
      <c r="A1015" s="2" t="s">
        <v>1407</v>
      </c>
      <c r="B1015" s="2" t="s">
        <v>62</v>
      </c>
      <c r="C1015" s="2" t="s">
        <v>1566</v>
      </c>
      <c r="D1015" s="2" t="s">
        <v>319</v>
      </c>
      <c r="E1015" s="2" t="s">
        <v>320</v>
      </c>
      <c r="F1015" s="2"/>
      <c r="G1015" s="2"/>
      <c r="H1015" s="2"/>
      <c r="I1015" s="2"/>
    </row>
    <row r="1016" spans="1:9" x14ac:dyDescent="0.35">
      <c r="A1016" s="2" t="s">
        <v>1407</v>
      </c>
      <c r="B1016" s="2" t="s">
        <v>62</v>
      </c>
      <c r="C1016" s="2" t="s">
        <v>1566</v>
      </c>
      <c r="D1016" s="2" t="s">
        <v>321</v>
      </c>
      <c r="E1016" s="2" t="s">
        <v>321</v>
      </c>
      <c r="F1016" s="2"/>
      <c r="G1016" s="2"/>
      <c r="H1016" s="2"/>
      <c r="I1016" s="2"/>
    </row>
    <row r="1017" spans="1:9" x14ac:dyDescent="0.35">
      <c r="A1017" s="2" t="s">
        <v>1407</v>
      </c>
      <c r="B1017" s="2" t="s">
        <v>62</v>
      </c>
      <c r="C1017" s="2" t="s">
        <v>1566</v>
      </c>
      <c r="D1017" s="2" t="s">
        <v>322</v>
      </c>
      <c r="E1017" s="2" t="s">
        <v>246</v>
      </c>
      <c r="F1017" s="2"/>
      <c r="G1017" s="2"/>
      <c r="H1017" s="2"/>
      <c r="I1017" s="2"/>
    </row>
    <row r="1018" spans="1:9" x14ac:dyDescent="0.35">
      <c r="A1018" s="2" t="s">
        <v>1407</v>
      </c>
      <c r="B1018" s="2" t="s">
        <v>62</v>
      </c>
      <c r="C1018" s="2" t="s">
        <v>1566</v>
      </c>
      <c r="D1018" s="2" t="s">
        <v>323</v>
      </c>
      <c r="E1018" s="2" t="s">
        <v>246</v>
      </c>
      <c r="F1018" s="2"/>
      <c r="G1018" s="2"/>
      <c r="H1018" s="2"/>
      <c r="I1018" s="2"/>
    </row>
    <row r="1019" spans="1:9" x14ac:dyDescent="0.35">
      <c r="A1019" s="2" t="s">
        <v>1407</v>
      </c>
      <c r="B1019" s="2" t="s">
        <v>62</v>
      </c>
      <c r="C1019" s="2" t="s">
        <v>1566</v>
      </c>
      <c r="D1019" s="2" t="s">
        <v>324</v>
      </c>
      <c r="E1019" s="2" t="s">
        <v>246</v>
      </c>
      <c r="F1019" s="2"/>
      <c r="G1019" s="2"/>
      <c r="H1019" s="2"/>
      <c r="I1019" s="2"/>
    </row>
    <row r="1020" spans="1:9" x14ac:dyDescent="0.35">
      <c r="A1020" s="2" t="s">
        <v>1407</v>
      </c>
      <c r="B1020" s="2" t="s">
        <v>62</v>
      </c>
      <c r="C1020" s="2" t="s">
        <v>1566</v>
      </c>
      <c r="D1020" s="2" t="s">
        <v>325</v>
      </c>
      <c r="E1020" s="2" t="s">
        <v>1413</v>
      </c>
      <c r="F1020" s="2"/>
      <c r="G1020" s="2"/>
      <c r="H1020" s="2"/>
      <c r="I1020" s="2"/>
    </row>
    <row r="1021" spans="1:9" x14ac:dyDescent="0.35">
      <c r="A1021" s="2" t="s">
        <v>1407</v>
      </c>
      <c r="B1021" s="2" t="s">
        <v>62</v>
      </c>
      <c r="C1021" s="2" t="s">
        <v>1566</v>
      </c>
      <c r="D1021" s="2" t="s">
        <v>327</v>
      </c>
      <c r="E1021" s="2" t="s">
        <v>328</v>
      </c>
      <c r="F1021" s="2"/>
      <c r="G1021" s="2"/>
      <c r="H1021" s="2"/>
      <c r="I1021" s="2"/>
    </row>
    <row r="1022" spans="1:9" x14ac:dyDescent="0.35">
      <c r="A1022" s="2" t="s">
        <v>1407</v>
      </c>
      <c r="B1022" s="2" t="s">
        <v>62</v>
      </c>
      <c r="C1022" s="2" t="s">
        <v>1566</v>
      </c>
      <c r="D1022" s="2" t="s">
        <v>329</v>
      </c>
      <c r="E1022" s="2" t="s">
        <v>330</v>
      </c>
      <c r="F1022" s="2"/>
      <c r="G1022" s="2"/>
      <c r="H1022" s="2"/>
      <c r="I1022" s="2"/>
    </row>
    <row r="1023" spans="1:9" x14ac:dyDescent="0.35">
      <c r="A1023" s="2" t="s">
        <v>1407</v>
      </c>
      <c r="B1023" s="2" t="s">
        <v>62</v>
      </c>
      <c r="C1023" s="2" t="s">
        <v>1566</v>
      </c>
      <c r="D1023" s="2" t="s">
        <v>331</v>
      </c>
      <c r="E1023" s="2" t="s">
        <v>332</v>
      </c>
      <c r="F1023" s="2"/>
      <c r="G1023" s="2"/>
      <c r="H1023" s="2"/>
      <c r="I1023" s="2"/>
    </row>
    <row r="1024" spans="1:9" x14ac:dyDescent="0.35">
      <c r="A1024" s="2" t="s">
        <v>1407</v>
      </c>
      <c r="B1024" s="2" t="s">
        <v>62</v>
      </c>
      <c r="C1024" s="2" t="s">
        <v>1566</v>
      </c>
      <c r="D1024" s="2" t="s">
        <v>333</v>
      </c>
      <c r="E1024" s="2" t="s">
        <v>334</v>
      </c>
      <c r="F1024" s="2"/>
      <c r="G1024" s="2"/>
      <c r="H1024" s="2"/>
      <c r="I1024" s="2"/>
    </row>
    <row r="1025" spans="1:9" x14ac:dyDescent="0.35">
      <c r="A1025" s="2" t="s">
        <v>1407</v>
      </c>
      <c r="B1025" s="2" t="s">
        <v>62</v>
      </c>
      <c r="C1025" s="2" t="s">
        <v>1566</v>
      </c>
      <c r="D1025" s="2" t="s">
        <v>1297</v>
      </c>
      <c r="E1025" s="2" t="s">
        <v>533</v>
      </c>
      <c r="F1025" s="2"/>
      <c r="G1025" s="2"/>
      <c r="H1025" s="2"/>
      <c r="I1025" s="2"/>
    </row>
    <row r="1026" spans="1:9" x14ac:dyDescent="0.35">
      <c r="A1026" s="2" t="s">
        <v>1407</v>
      </c>
      <c r="B1026" s="2" t="s">
        <v>62</v>
      </c>
      <c r="C1026" s="2" t="s">
        <v>1566</v>
      </c>
      <c r="D1026" s="2" t="s">
        <v>335</v>
      </c>
      <c r="E1026" s="2" t="s">
        <v>336</v>
      </c>
      <c r="F1026" s="2"/>
      <c r="G1026" s="2"/>
      <c r="H1026" s="2"/>
      <c r="I1026" s="2"/>
    </row>
    <row r="1027" spans="1:9" x14ac:dyDescent="0.35">
      <c r="A1027" s="2" t="s">
        <v>1407</v>
      </c>
      <c r="B1027" s="2" t="s">
        <v>62</v>
      </c>
      <c r="C1027" s="2" t="s">
        <v>1566</v>
      </c>
      <c r="D1027" s="2" t="s">
        <v>337</v>
      </c>
      <c r="E1027" s="2" t="s">
        <v>338</v>
      </c>
      <c r="F1027" s="2"/>
      <c r="G1027" s="2"/>
      <c r="H1027" s="2"/>
      <c r="I1027" s="2"/>
    </row>
    <row r="1028" spans="1:9" x14ac:dyDescent="0.35">
      <c r="A1028" s="2" t="s">
        <v>1407</v>
      </c>
      <c r="B1028" s="2" t="s">
        <v>62</v>
      </c>
      <c r="C1028" s="2" t="s">
        <v>1566</v>
      </c>
      <c r="D1028" s="2" t="s">
        <v>339</v>
      </c>
      <c r="E1028" s="2" t="s">
        <v>340</v>
      </c>
      <c r="F1028" s="2"/>
      <c r="G1028" s="2"/>
      <c r="H1028" s="2"/>
      <c r="I1028" s="2"/>
    </row>
    <row r="1029" spans="1:9" x14ac:dyDescent="0.35">
      <c r="A1029" s="2" t="s">
        <v>1407</v>
      </c>
      <c r="B1029" s="2" t="s">
        <v>62</v>
      </c>
      <c r="C1029" s="2" t="s">
        <v>1566</v>
      </c>
      <c r="D1029" s="2" t="s">
        <v>341</v>
      </c>
      <c r="E1029" s="2" t="s">
        <v>342</v>
      </c>
      <c r="F1029" s="2"/>
      <c r="G1029" s="2"/>
      <c r="H1029" s="2"/>
      <c r="I1029" s="2"/>
    </row>
    <row r="1030" spans="1:9" x14ac:dyDescent="0.35">
      <c r="A1030" s="2" t="s">
        <v>1407</v>
      </c>
      <c r="B1030" s="2" t="s">
        <v>62</v>
      </c>
      <c r="C1030" s="2" t="s">
        <v>1566</v>
      </c>
      <c r="D1030" s="2" t="s">
        <v>343</v>
      </c>
      <c r="E1030" s="2" t="s">
        <v>344</v>
      </c>
      <c r="F1030" s="2"/>
      <c r="G1030" s="2"/>
      <c r="H1030" s="2"/>
      <c r="I1030" s="2"/>
    </row>
    <row r="1031" spans="1:9" x14ac:dyDescent="0.35">
      <c r="A1031" s="2" t="s">
        <v>1407</v>
      </c>
      <c r="B1031" s="2" t="s">
        <v>62</v>
      </c>
      <c r="C1031" s="2" t="s">
        <v>1566</v>
      </c>
      <c r="D1031" s="2" t="s">
        <v>345</v>
      </c>
      <c r="E1031" s="2" t="s">
        <v>346</v>
      </c>
      <c r="F1031" s="2"/>
      <c r="G1031" s="2"/>
      <c r="H1031" s="2"/>
      <c r="I1031" s="2"/>
    </row>
    <row r="1032" spans="1:9" x14ac:dyDescent="0.35">
      <c r="A1032" s="2" t="s">
        <v>1407</v>
      </c>
      <c r="B1032" s="2" t="s">
        <v>62</v>
      </c>
      <c r="C1032" s="2" t="s">
        <v>1567</v>
      </c>
      <c r="D1032" s="2" t="s">
        <v>319</v>
      </c>
      <c r="E1032" s="2" t="s">
        <v>320</v>
      </c>
      <c r="F1032" s="2"/>
      <c r="G1032" s="2"/>
      <c r="H1032" s="2"/>
      <c r="I1032" s="2"/>
    </row>
    <row r="1033" spans="1:9" x14ac:dyDescent="0.35">
      <c r="A1033" s="2" t="s">
        <v>1407</v>
      </c>
      <c r="B1033" s="2" t="s">
        <v>62</v>
      </c>
      <c r="C1033" s="2" t="s">
        <v>1567</v>
      </c>
      <c r="D1033" s="2" t="s">
        <v>321</v>
      </c>
      <c r="E1033" s="2" t="s">
        <v>321</v>
      </c>
      <c r="F1033" s="2"/>
      <c r="G1033" s="2"/>
      <c r="H1033" s="2"/>
      <c r="I1033" s="2"/>
    </row>
    <row r="1034" spans="1:9" x14ac:dyDescent="0.35">
      <c r="A1034" s="2" t="s">
        <v>1407</v>
      </c>
      <c r="B1034" s="2" t="s">
        <v>62</v>
      </c>
      <c r="C1034" s="2" t="s">
        <v>1567</v>
      </c>
      <c r="D1034" s="2" t="s">
        <v>322</v>
      </c>
      <c r="E1034" s="2" t="s">
        <v>246</v>
      </c>
      <c r="F1034" s="2"/>
      <c r="G1034" s="2"/>
      <c r="H1034" s="2"/>
      <c r="I1034" s="2"/>
    </row>
    <row r="1035" spans="1:9" x14ac:dyDescent="0.35">
      <c r="A1035" s="2" t="s">
        <v>1407</v>
      </c>
      <c r="B1035" s="2" t="s">
        <v>62</v>
      </c>
      <c r="C1035" s="2" t="s">
        <v>1567</v>
      </c>
      <c r="D1035" s="2" t="s">
        <v>323</v>
      </c>
      <c r="E1035" s="2" t="s">
        <v>246</v>
      </c>
      <c r="F1035" s="2"/>
      <c r="G1035" s="2"/>
      <c r="H1035" s="2"/>
      <c r="I1035" s="2"/>
    </row>
    <row r="1036" spans="1:9" x14ac:dyDescent="0.35">
      <c r="A1036" s="2" t="s">
        <v>1407</v>
      </c>
      <c r="B1036" s="2" t="s">
        <v>62</v>
      </c>
      <c r="C1036" s="2" t="s">
        <v>1567</v>
      </c>
      <c r="D1036" s="2" t="s">
        <v>324</v>
      </c>
      <c r="E1036" s="2" t="s">
        <v>246</v>
      </c>
      <c r="F1036" s="2"/>
      <c r="G1036" s="2"/>
      <c r="H1036" s="2"/>
      <c r="I1036" s="2"/>
    </row>
    <row r="1037" spans="1:9" x14ac:dyDescent="0.35">
      <c r="A1037" s="2" t="s">
        <v>1407</v>
      </c>
      <c r="B1037" s="2" t="s">
        <v>62</v>
      </c>
      <c r="C1037" s="2" t="s">
        <v>1567</v>
      </c>
      <c r="D1037" s="2" t="s">
        <v>325</v>
      </c>
      <c r="E1037" s="2" t="s">
        <v>1413</v>
      </c>
      <c r="F1037" s="2"/>
      <c r="G1037" s="2"/>
      <c r="H1037" s="2"/>
      <c r="I1037" s="2"/>
    </row>
    <row r="1038" spans="1:9" x14ac:dyDescent="0.35">
      <c r="A1038" s="2" t="s">
        <v>1407</v>
      </c>
      <c r="B1038" s="2" t="s">
        <v>62</v>
      </c>
      <c r="C1038" s="2" t="s">
        <v>1567</v>
      </c>
      <c r="D1038" s="2" t="s">
        <v>327</v>
      </c>
      <c r="E1038" s="2" t="s">
        <v>328</v>
      </c>
      <c r="F1038" s="2"/>
      <c r="G1038" s="2"/>
      <c r="H1038" s="2"/>
      <c r="I1038" s="2"/>
    </row>
    <row r="1039" spans="1:9" x14ac:dyDescent="0.35">
      <c r="A1039" s="2" t="s">
        <v>1407</v>
      </c>
      <c r="B1039" s="2" t="s">
        <v>62</v>
      </c>
      <c r="C1039" s="2" t="s">
        <v>1567</v>
      </c>
      <c r="D1039" s="2" t="s">
        <v>329</v>
      </c>
      <c r="E1039" s="2" t="s">
        <v>330</v>
      </c>
      <c r="F1039" s="2"/>
      <c r="G1039" s="2"/>
      <c r="H1039" s="2"/>
      <c r="I1039" s="2"/>
    </row>
    <row r="1040" spans="1:9" x14ac:dyDescent="0.35">
      <c r="A1040" s="2" t="s">
        <v>1407</v>
      </c>
      <c r="B1040" s="2" t="s">
        <v>62</v>
      </c>
      <c r="C1040" s="2" t="s">
        <v>1567</v>
      </c>
      <c r="D1040" s="2" t="s">
        <v>331</v>
      </c>
      <c r="E1040" s="2" t="s">
        <v>332</v>
      </c>
      <c r="F1040" s="2"/>
      <c r="G1040" s="2"/>
      <c r="H1040" s="2"/>
      <c r="I1040" s="2"/>
    </row>
    <row r="1041" spans="1:9" x14ac:dyDescent="0.35">
      <c r="A1041" s="2" t="s">
        <v>1407</v>
      </c>
      <c r="B1041" s="2" t="s">
        <v>62</v>
      </c>
      <c r="C1041" s="2" t="s">
        <v>1567</v>
      </c>
      <c r="D1041" s="2" t="s">
        <v>333</v>
      </c>
      <c r="E1041" s="2" t="s">
        <v>334</v>
      </c>
      <c r="F1041" s="2"/>
      <c r="G1041" s="2"/>
      <c r="H1041" s="2"/>
      <c r="I1041" s="2"/>
    </row>
    <row r="1042" spans="1:9" x14ac:dyDescent="0.35">
      <c r="A1042" s="2" t="s">
        <v>1407</v>
      </c>
      <c r="B1042" s="2" t="s">
        <v>62</v>
      </c>
      <c r="C1042" s="2" t="s">
        <v>1567</v>
      </c>
      <c r="D1042" s="2" t="s">
        <v>1297</v>
      </c>
      <c r="E1042" s="2" t="s">
        <v>533</v>
      </c>
      <c r="F1042" s="2"/>
      <c r="G1042" s="2"/>
      <c r="H1042" s="2"/>
      <c r="I1042" s="2"/>
    </row>
    <row r="1043" spans="1:9" x14ac:dyDescent="0.35">
      <c r="A1043" s="2" t="s">
        <v>1407</v>
      </c>
      <c r="B1043" s="2" t="s">
        <v>62</v>
      </c>
      <c r="C1043" s="2" t="s">
        <v>1567</v>
      </c>
      <c r="D1043" s="2" t="s">
        <v>335</v>
      </c>
      <c r="E1043" s="2" t="s">
        <v>336</v>
      </c>
      <c r="F1043" s="2"/>
      <c r="G1043" s="2"/>
      <c r="H1043" s="2"/>
      <c r="I1043" s="2"/>
    </row>
    <row r="1044" spans="1:9" x14ac:dyDescent="0.35">
      <c r="A1044" s="2" t="s">
        <v>1407</v>
      </c>
      <c r="B1044" s="2" t="s">
        <v>62</v>
      </c>
      <c r="C1044" s="2" t="s">
        <v>1567</v>
      </c>
      <c r="D1044" s="2" t="s">
        <v>337</v>
      </c>
      <c r="E1044" s="2" t="s">
        <v>338</v>
      </c>
      <c r="F1044" s="2"/>
      <c r="G1044" s="2"/>
      <c r="H1044" s="2"/>
      <c r="I1044" s="2"/>
    </row>
    <row r="1045" spans="1:9" x14ac:dyDescent="0.35">
      <c r="A1045" s="2" t="s">
        <v>1407</v>
      </c>
      <c r="B1045" s="2" t="s">
        <v>62</v>
      </c>
      <c r="C1045" s="2" t="s">
        <v>1567</v>
      </c>
      <c r="D1045" s="2" t="s">
        <v>339</v>
      </c>
      <c r="E1045" s="2" t="s">
        <v>340</v>
      </c>
      <c r="F1045" s="2"/>
      <c r="G1045" s="2"/>
      <c r="H1045" s="2"/>
      <c r="I1045" s="2"/>
    </row>
    <row r="1046" spans="1:9" x14ac:dyDescent="0.35">
      <c r="A1046" s="2" t="s">
        <v>1407</v>
      </c>
      <c r="B1046" s="2" t="s">
        <v>62</v>
      </c>
      <c r="C1046" s="2" t="s">
        <v>1567</v>
      </c>
      <c r="D1046" s="2" t="s">
        <v>341</v>
      </c>
      <c r="E1046" s="2" t="s">
        <v>342</v>
      </c>
      <c r="F1046" s="2"/>
      <c r="G1046" s="2"/>
      <c r="H1046" s="2"/>
      <c r="I1046" s="2"/>
    </row>
    <row r="1047" spans="1:9" x14ac:dyDescent="0.35">
      <c r="A1047" s="2" t="s">
        <v>1407</v>
      </c>
      <c r="B1047" s="2" t="s">
        <v>62</v>
      </c>
      <c r="C1047" s="2" t="s">
        <v>1567</v>
      </c>
      <c r="D1047" s="2" t="s">
        <v>343</v>
      </c>
      <c r="E1047" s="2" t="s">
        <v>344</v>
      </c>
      <c r="F1047" s="2"/>
      <c r="G1047" s="2"/>
      <c r="H1047" s="2"/>
      <c r="I1047" s="2"/>
    </row>
    <row r="1048" spans="1:9" x14ac:dyDescent="0.35">
      <c r="A1048" s="2" t="s">
        <v>1407</v>
      </c>
      <c r="B1048" s="2" t="s">
        <v>62</v>
      </c>
      <c r="C1048" s="2" t="s">
        <v>1567</v>
      </c>
      <c r="D1048" s="2" t="s">
        <v>345</v>
      </c>
      <c r="E1048" s="2" t="s">
        <v>346</v>
      </c>
      <c r="F1048" s="2"/>
      <c r="G1048" s="2"/>
      <c r="H1048" s="2"/>
      <c r="I1048" s="2"/>
    </row>
    <row r="1049" spans="1:9" x14ac:dyDescent="0.35">
      <c r="A1049" s="2" t="s">
        <v>1407</v>
      </c>
      <c r="B1049" s="2" t="s">
        <v>62</v>
      </c>
      <c r="C1049" s="2" t="s">
        <v>1568</v>
      </c>
      <c r="D1049" s="2" t="s">
        <v>319</v>
      </c>
      <c r="E1049" s="2" t="s">
        <v>320</v>
      </c>
      <c r="F1049" s="2"/>
      <c r="G1049" s="2"/>
      <c r="H1049" s="2"/>
      <c r="I1049" s="2"/>
    </row>
    <row r="1050" spans="1:9" x14ac:dyDescent="0.35">
      <c r="A1050" s="2" t="s">
        <v>1407</v>
      </c>
      <c r="B1050" s="2" t="s">
        <v>62</v>
      </c>
      <c r="C1050" s="2" t="s">
        <v>1568</v>
      </c>
      <c r="D1050" s="2" t="s">
        <v>321</v>
      </c>
      <c r="E1050" s="2" t="s">
        <v>321</v>
      </c>
      <c r="F1050" s="2"/>
      <c r="G1050" s="2"/>
      <c r="H1050" s="2"/>
      <c r="I1050" s="2"/>
    </row>
    <row r="1051" spans="1:9" x14ac:dyDescent="0.35">
      <c r="A1051" s="2" t="s">
        <v>1407</v>
      </c>
      <c r="B1051" s="2" t="s">
        <v>62</v>
      </c>
      <c r="C1051" s="2" t="s">
        <v>1568</v>
      </c>
      <c r="D1051" s="2" t="s">
        <v>322</v>
      </c>
      <c r="E1051" s="2" t="s">
        <v>246</v>
      </c>
      <c r="F1051" s="2"/>
      <c r="G1051" s="2"/>
      <c r="H1051" s="2"/>
      <c r="I1051" s="2"/>
    </row>
    <row r="1052" spans="1:9" x14ac:dyDescent="0.35">
      <c r="A1052" s="2" t="s">
        <v>1407</v>
      </c>
      <c r="B1052" s="2" t="s">
        <v>62</v>
      </c>
      <c r="C1052" s="2" t="s">
        <v>1568</v>
      </c>
      <c r="D1052" s="2" t="s">
        <v>323</v>
      </c>
      <c r="E1052" s="2" t="s">
        <v>246</v>
      </c>
      <c r="F1052" s="2"/>
      <c r="G1052" s="2"/>
      <c r="H1052" s="2"/>
      <c r="I1052" s="2"/>
    </row>
    <row r="1053" spans="1:9" x14ac:dyDescent="0.35">
      <c r="A1053" s="2" t="s">
        <v>1407</v>
      </c>
      <c r="B1053" s="2" t="s">
        <v>62</v>
      </c>
      <c r="C1053" s="2" t="s">
        <v>1568</v>
      </c>
      <c r="D1053" s="2" t="s">
        <v>324</v>
      </c>
      <c r="E1053" s="2" t="s">
        <v>246</v>
      </c>
      <c r="F1053" s="2"/>
      <c r="G1053" s="2"/>
      <c r="H1053" s="2"/>
      <c r="I1053" s="2"/>
    </row>
    <row r="1054" spans="1:9" x14ac:dyDescent="0.35">
      <c r="A1054" s="2" t="s">
        <v>1407</v>
      </c>
      <c r="B1054" s="2" t="s">
        <v>62</v>
      </c>
      <c r="C1054" s="2" t="s">
        <v>1568</v>
      </c>
      <c r="D1054" s="2" t="s">
        <v>325</v>
      </c>
      <c r="E1054" s="2" t="s">
        <v>1413</v>
      </c>
      <c r="F1054" s="2"/>
      <c r="G1054" s="2"/>
      <c r="H1054" s="2"/>
      <c r="I1054" s="2"/>
    </row>
    <row r="1055" spans="1:9" x14ac:dyDescent="0.35">
      <c r="A1055" s="2" t="s">
        <v>1407</v>
      </c>
      <c r="B1055" s="2" t="s">
        <v>62</v>
      </c>
      <c r="C1055" s="2" t="s">
        <v>1568</v>
      </c>
      <c r="D1055" s="2" t="s">
        <v>327</v>
      </c>
      <c r="E1055" s="2" t="s">
        <v>328</v>
      </c>
      <c r="F1055" s="2"/>
      <c r="G1055" s="2"/>
      <c r="H1055" s="2"/>
      <c r="I1055" s="2"/>
    </row>
    <row r="1056" spans="1:9" x14ac:dyDescent="0.35">
      <c r="A1056" s="2" t="s">
        <v>1407</v>
      </c>
      <c r="B1056" s="2" t="s">
        <v>62</v>
      </c>
      <c r="C1056" s="2" t="s">
        <v>1568</v>
      </c>
      <c r="D1056" s="2" t="s">
        <v>329</v>
      </c>
      <c r="E1056" s="2" t="s">
        <v>330</v>
      </c>
      <c r="F1056" s="2"/>
      <c r="G1056" s="2"/>
      <c r="H1056" s="2"/>
      <c r="I1056" s="2"/>
    </row>
    <row r="1057" spans="1:9" x14ac:dyDescent="0.35">
      <c r="A1057" s="2" t="s">
        <v>1407</v>
      </c>
      <c r="B1057" s="2" t="s">
        <v>62</v>
      </c>
      <c r="C1057" s="2" t="s">
        <v>1568</v>
      </c>
      <c r="D1057" s="2" t="s">
        <v>331</v>
      </c>
      <c r="E1057" s="2" t="s">
        <v>332</v>
      </c>
      <c r="F1057" s="2"/>
      <c r="G1057" s="2"/>
      <c r="H1057" s="2"/>
      <c r="I1057" s="2"/>
    </row>
    <row r="1058" spans="1:9" x14ac:dyDescent="0.35">
      <c r="A1058" s="2" t="s">
        <v>1407</v>
      </c>
      <c r="B1058" s="2" t="s">
        <v>62</v>
      </c>
      <c r="C1058" s="2" t="s">
        <v>1568</v>
      </c>
      <c r="D1058" s="2" t="s">
        <v>333</v>
      </c>
      <c r="E1058" s="2" t="s">
        <v>334</v>
      </c>
      <c r="F1058" s="2"/>
      <c r="G1058" s="2"/>
      <c r="H1058" s="2"/>
      <c r="I1058" s="2"/>
    </row>
    <row r="1059" spans="1:9" x14ac:dyDescent="0.35">
      <c r="A1059" s="2" t="s">
        <v>1407</v>
      </c>
      <c r="B1059" s="2" t="s">
        <v>62</v>
      </c>
      <c r="C1059" s="2" t="s">
        <v>1568</v>
      </c>
      <c r="D1059" s="2" t="s">
        <v>1297</v>
      </c>
      <c r="E1059" s="2" t="s">
        <v>533</v>
      </c>
      <c r="F1059" s="2"/>
      <c r="G1059" s="2"/>
      <c r="H1059" s="2"/>
      <c r="I1059" s="2"/>
    </row>
    <row r="1060" spans="1:9" x14ac:dyDescent="0.35">
      <c r="A1060" s="2" t="s">
        <v>1407</v>
      </c>
      <c r="B1060" s="2" t="s">
        <v>62</v>
      </c>
      <c r="C1060" s="2" t="s">
        <v>1568</v>
      </c>
      <c r="D1060" s="2" t="s">
        <v>335</v>
      </c>
      <c r="E1060" s="2" t="s">
        <v>336</v>
      </c>
      <c r="F1060" s="2"/>
      <c r="G1060" s="2"/>
      <c r="H1060" s="2"/>
      <c r="I1060" s="2"/>
    </row>
    <row r="1061" spans="1:9" x14ac:dyDescent="0.35">
      <c r="A1061" s="2" t="s">
        <v>1407</v>
      </c>
      <c r="B1061" s="2" t="s">
        <v>62</v>
      </c>
      <c r="C1061" s="2" t="s">
        <v>1568</v>
      </c>
      <c r="D1061" s="2" t="s">
        <v>337</v>
      </c>
      <c r="E1061" s="2" t="s">
        <v>338</v>
      </c>
      <c r="F1061" s="2"/>
      <c r="G1061" s="2"/>
      <c r="H1061" s="2"/>
      <c r="I1061" s="2"/>
    </row>
    <row r="1062" spans="1:9" x14ac:dyDescent="0.35">
      <c r="A1062" s="2" t="s">
        <v>1407</v>
      </c>
      <c r="B1062" s="2" t="s">
        <v>62</v>
      </c>
      <c r="C1062" s="2" t="s">
        <v>1568</v>
      </c>
      <c r="D1062" s="2" t="s">
        <v>339</v>
      </c>
      <c r="E1062" s="2" t="s">
        <v>340</v>
      </c>
      <c r="F1062" s="2"/>
      <c r="G1062" s="2"/>
      <c r="H1062" s="2"/>
      <c r="I1062" s="2"/>
    </row>
    <row r="1063" spans="1:9" x14ac:dyDescent="0.35">
      <c r="A1063" s="2" t="s">
        <v>1407</v>
      </c>
      <c r="B1063" s="2" t="s">
        <v>62</v>
      </c>
      <c r="C1063" s="2" t="s">
        <v>1568</v>
      </c>
      <c r="D1063" s="2" t="s">
        <v>341</v>
      </c>
      <c r="E1063" s="2" t="s">
        <v>342</v>
      </c>
      <c r="F1063" s="2"/>
      <c r="G1063" s="2"/>
      <c r="H1063" s="2"/>
      <c r="I1063" s="2"/>
    </row>
    <row r="1064" spans="1:9" x14ac:dyDescent="0.35">
      <c r="A1064" s="2" t="s">
        <v>1407</v>
      </c>
      <c r="B1064" s="2" t="s">
        <v>62</v>
      </c>
      <c r="C1064" s="2" t="s">
        <v>1568</v>
      </c>
      <c r="D1064" s="2" t="s">
        <v>343</v>
      </c>
      <c r="E1064" s="2" t="s">
        <v>344</v>
      </c>
      <c r="F1064" s="2"/>
      <c r="G1064" s="2"/>
      <c r="H1064" s="2"/>
      <c r="I1064" s="2"/>
    </row>
    <row r="1065" spans="1:9" x14ac:dyDescent="0.35">
      <c r="A1065" s="2" t="s">
        <v>1407</v>
      </c>
      <c r="B1065" s="2" t="s">
        <v>62</v>
      </c>
      <c r="C1065" s="2" t="s">
        <v>1568</v>
      </c>
      <c r="D1065" s="2" t="s">
        <v>345</v>
      </c>
      <c r="E1065" s="2" t="s">
        <v>346</v>
      </c>
      <c r="F1065" s="2"/>
      <c r="G1065" s="2"/>
      <c r="H1065" s="2"/>
      <c r="I1065" s="2"/>
    </row>
    <row r="1066" spans="1:9" x14ac:dyDescent="0.35">
      <c r="A1066" s="2" t="s">
        <v>1407</v>
      </c>
      <c r="B1066" s="2" t="s">
        <v>62</v>
      </c>
      <c r="C1066" s="2" t="s">
        <v>1569</v>
      </c>
      <c r="D1066" s="2" t="s">
        <v>1249</v>
      </c>
      <c r="E1066" s="2" t="s">
        <v>75</v>
      </c>
      <c r="F1066" s="2"/>
      <c r="G1066" s="2"/>
      <c r="H1066" s="2"/>
      <c r="I1066" s="2"/>
    </row>
    <row r="1067" spans="1:9" x14ac:dyDescent="0.35">
      <c r="A1067" s="2" t="s">
        <v>1407</v>
      </c>
      <c r="B1067" s="2" t="s">
        <v>62</v>
      </c>
      <c r="C1067" s="2" t="s">
        <v>1569</v>
      </c>
      <c r="D1067" s="2" t="s">
        <v>18</v>
      </c>
      <c r="E1067" s="2" t="s">
        <v>19</v>
      </c>
      <c r="F1067" s="2" t="s">
        <v>20</v>
      </c>
      <c r="G1067" s="2" t="s">
        <v>1570</v>
      </c>
      <c r="H1067" s="2"/>
      <c r="I1067" s="2"/>
    </row>
    <row r="1068" spans="1:9" x14ac:dyDescent="0.35">
      <c r="A1068" s="2" t="s">
        <v>1407</v>
      </c>
      <c r="B1068" s="2" t="s">
        <v>62</v>
      </c>
      <c r="C1068" s="2" t="s">
        <v>1571</v>
      </c>
      <c r="D1068" s="2" t="s">
        <v>317</v>
      </c>
      <c r="E1068" s="2" t="s">
        <v>318</v>
      </c>
      <c r="F1068" s="2"/>
      <c r="G1068" s="2"/>
      <c r="H1068" s="2"/>
      <c r="I1068" s="2"/>
    </row>
    <row r="1069" spans="1:9" x14ac:dyDescent="0.35">
      <c r="A1069" s="2" t="s">
        <v>1407</v>
      </c>
      <c r="B1069" s="2" t="s">
        <v>62</v>
      </c>
      <c r="C1069" s="2" t="s">
        <v>1571</v>
      </c>
      <c r="D1069" s="2" t="s">
        <v>87</v>
      </c>
      <c r="E1069" s="2" t="s">
        <v>75</v>
      </c>
      <c r="F1069" s="2"/>
      <c r="G1069" s="2"/>
      <c r="H1069" s="2"/>
      <c r="I1069" s="2"/>
    </row>
    <row r="1070" spans="1:9" x14ac:dyDescent="0.35">
      <c r="A1070" s="2" t="s">
        <v>1407</v>
      </c>
      <c r="B1070" s="2" t="s">
        <v>62</v>
      </c>
      <c r="C1070" s="2" t="s">
        <v>1571</v>
      </c>
      <c r="D1070" s="2" t="s">
        <v>1051</v>
      </c>
      <c r="E1070" s="2" t="s">
        <v>318</v>
      </c>
      <c r="F1070" s="2"/>
      <c r="G1070" s="2"/>
      <c r="H1070" s="2"/>
      <c r="I1070" s="2"/>
    </row>
    <row r="1071" spans="1:9" x14ac:dyDescent="0.35">
      <c r="A1071" s="2" t="s">
        <v>1407</v>
      </c>
      <c r="B1071" s="2" t="s">
        <v>62</v>
      </c>
      <c r="C1071" s="2" t="s">
        <v>1571</v>
      </c>
      <c r="D1071" s="2" t="s">
        <v>333</v>
      </c>
      <c r="E1071" s="2" t="s">
        <v>334</v>
      </c>
      <c r="F1071" s="2"/>
      <c r="G1071" s="2"/>
      <c r="H1071" s="2"/>
      <c r="I1071" s="2"/>
    </row>
    <row r="1072" spans="1:9" x14ac:dyDescent="0.35">
      <c r="A1072" s="2" t="s">
        <v>1407</v>
      </c>
      <c r="B1072" s="2" t="s">
        <v>24</v>
      </c>
      <c r="C1072" s="2" t="s">
        <v>1572</v>
      </c>
      <c r="D1072" s="2" t="s">
        <v>130</v>
      </c>
      <c r="E1072" s="2" t="s">
        <v>36</v>
      </c>
      <c r="F1072" s="2"/>
      <c r="G1072" s="2"/>
      <c r="H1072" s="2"/>
      <c r="I1072" s="2"/>
    </row>
    <row r="1073" spans="1:9" x14ac:dyDescent="0.35">
      <c r="A1073" s="2" t="s">
        <v>1407</v>
      </c>
      <c r="B1073" s="2" t="s">
        <v>24</v>
      </c>
      <c r="C1073" s="2" t="s">
        <v>1572</v>
      </c>
      <c r="D1073" s="2" t="s">
        <v>1415</v>
      </c>
      <c r="E1073" s="2" t="s">
        <v>1416</v>
      </c>
      <c r="F1073" s="2"/>
      <c r="G1073" s="2"/>
      <c r="H1073" s="2"/>
      <c r="I1073" s="2"/>
    </row>
    <row r="1074" spans="1:9" x14ac:dyDescent="0.35">
      <c r="A1074" s="2" t="s">
        <v>1407</v>
      </c>
      <c r="B1074" s="2" t="s">
        <v>24</v>
      </c>
      <c r="C1074" s="2" t="s">
        <v>1572</v>
      </c>
      <c r="D1074" s="2" t="s">
        <v>1226</v>
      </c>
      <c r="E1074" s="2" t="s">
        <v>107</v>
      </c>
      <c r="F1074" s="2"/>
      <c r="G1074" s="2"/>
      <c r="H1074" s="2"/>
      <c r="I1074" s="2"/>
    </row>
    <row r="1075" spans="1:9" x14ac:dyDescent="0.35">
      <c r="A1075" s="2" t="s">
        <v>1407</v>
      </c>
      <c r="B1075" s="2" t="s">
        <v>24</v>
      </c>
      <c r="C1075" s="2" t="s">
        <v>1572</v>
      </c>
      <c r="D1075" s="2" t="s">
        <v>1228</v>
      </c>
      <c r="E1075" s="2" t="s">
        <v>228</v>
      </c>
      <c r="F1075" s="2"/>
      <c r="G1075" s="2"/>
      <c r="H1075" s="2"/>
      <c r="I1075" s="2"/>
    </row>
    <row r="1076" spans="1:9" x14ac:dyDescent="0.35">
      <c r="A1076" s="2" t="s">
        <v>1407</v>
      </c>
      <c r="B1076" s="2" t="s">
        <v>24</v>
      </c>
      <c r="C1076" s="2" t="s">
        <v>1572</v>
      </c>
      <c r="D1076" s="2" t="s">
        <v>1342</v>
      </c>
      <c r="E1076" s="2" t="s">
        <v>1343</v>
      </c>
      <c r="F1076" s="2"/>
      <c r="G1076" s="2"/>
      <c r="H1076" s="2"/>
      <c r="I1076" s="2"/>
    </row>
    <row r="1077" spans="1:9" x14ac:dyDescent="0.35">
      <c r="A1077" s="2" t="s">
        <v>1407</v>
      </c>
      <c r="B1077" s="2" t="s">
        <v>62</v>
      </c>
      <c r="C1077" s="2" t="s">
        <v>1573</v>
      </c>
      <c r="D1077" s="2" t="s">
        <v>196</v>
      </c>
      <c r="E1077" s="2" t="s">
        <v>197</v>
      </c>
      <c r="F1077" s="2"/>
      <c r="G1077" s="2"/>
      <c r="H1077" s="2"/>
      <c r="I1077" s="2"/>
    </row>
    <row r="1078" spans="1:9" x14ac:dyDescent="0.35">
      <c r="A1078" s="2" t="s">
        <v>1407</v>
      </c>
      <c r="B1078" s="2" t="s">
        <v>62</v>
      </c>
      <c r="C1078" s="2" t="s">
        <v>1573</v>
      </c>
      <c r="D1078" s="2" t="s">
        <v>317</v>
      </c>
      <c r="E1078" s="2" t="s">
        <v>318</v>
      </c>
      <c r="F1078" s="2"/>
      <c r="G1078" s="2"/>
      <c r="H1078" s="2"/>
      <c r="I1078" s="2"/>
    </row>
    <row r="1079" spans="1:9" x14ac:dyDescent="0.35">
      <c r="A1079" s="2" t="s">
        <v>1407</v>
      </c>
      <c r="B1079" s="2" t="s">
        <v>62</v>
      </c>
      <c r="C1079" s="2" t="s">
        <v>1573</v>
      </c>
      <c r="D1079" s="2" t="s">
        <v>98</v>
      </c>
      <c r="E1079" s="2" t="s">
        <v>98</v>
      </c>
      <c r="F1079" s="2"/>
      <c r="G1079" s="2"/>
      <c r="H1079" s="2"/>
      <c r="I1079" s="2"/>
    </row>
    <row r="1080" spans="1:9" x14ac:dyDescent="0.35">
      <c r="A1080" s="2" t="s">
        <v>1407</v>
      </c>
      <c r="B1080" s="2" t="s">
        <v>62</v>
      </c>
      <c r="C1080" s="2" t="s">
        <v>1573</v>
      </c>
      <c r="D1080" s="2" t="s">
        <v>387</v>
      </c>
      <c r="E1080" s="2" t="s">
        <v>1574</v>
      </c>
      <c r="F1080" s="2"/>
      <c r="G1080" s="2"/>
      <c r="H1080" s="2"/>
      <c r="I1080" s="2"/>
    </row>
    <row r="1081" spans="1:9" x14ac:dyDescent="0.35">
      <c r="A1081" s="2" t="s">
        <v>1407</v>
      </c>
      <c r="B1081" s="2" t="s">
        <v>62</v>
      </c>
      <c r="C1081" s="2" t="s">
        <v>1573</v>
      </c>
      <c r="D1081" s="2" t="s">
        <v>327</v>
      </c>
      <c r="E1081" s="2" t="s">
        <v>328</v>
      </c>
      <c r="F1081" s="2"/>
      <c r="G1081" s="2"/>
      <c r="H1081" s="2"/>
      <c r="I1081" s="2"/>
    </row>
    <row r="1082" spans="1:9" x14ac:dyDescent="0.35">
      <c r="A1082" s="2" t="s">
        <v>1407</v>
      </c>
      <c r="B1082" s="2" t="s">
        <v>62</v>
      </c>
      <c r="C1082" s="2" t="s">
        <v>1573</v>
      </c>
      <c r="D1082" s="2" t="s">
        <v>333</v>
      </c>
      <c r="E1082" s="2" t="s">
        <v>334</v>
      </c>
      <c r="F1082" s="2"/>
      <c r="G1082" s="2"/>
      <c r="H1082" s="2"/>
      <c r="I1082" s="2"/>
    </row>
    <row r="1083" spans="1:9" x14ac:dyDescent="0.35">
      <c r="A1083" s="2" t="s">
        <v>1407</v>
      </c>
      <c r="B1083" s="2" t="s">
        <v>62</v>
      </c>
      <c r="C1083" s="2" t="s">
        <v>1573</v>
      </c>
      <c r="D1083" s="2" t="s">
        <v>345</v>
      </c>
      <c r="E1083" s="2" t="s">
        <v>346</v>
      </c>
      <c r="F1083" s="2"/>
      <c r="G1083" s="2"/>
      <c r="H1083" s="2"/>
      <c r="I1083" s="2"/>
    </row>
    <row r="1084" spans="1:9" s="21" customFormat="1" x14ac:dyDescent="0.35">
      <c r="A1084" s="2" t="s">
        <v>1407</v>
      </c>
      <c r="B1084" s="2" t="s">
        <v>62</v>
      </c>
      <c r="C1084" s="2" t="s">
        <v>1575</v>
      </c>
      <c r="D1084" s="2" t="s">
        <v>106</v>
      </c>
      <c r="E1084" s="2" t="s">
        <v>107</v>
      </c>
      <c r="F1084" s="2"/>
      <c r="G1084" s="2"/>
      <c r="H1084" s="2"/>
      <c r="I1084" s="2"/>
    </row>
    <row r="1085" spans="1:9" x14ac:dyDescent="0.35">
      <c r="A1085" s="2" t="s">
        <v>1407</v>
      </c>
      <c r="B1085" s="2" t="s">
        <v>62</v>
      </c>
      <c r="C1085" s="2" t="s">
        <v>1576</v>
      </c>
      <c r="D1085" s="2" t="s">
        <v>196</v>
      </c>
      <c r="E1085" s="2" t="s">
        <v>197</v>
      </c>
      <c r="F1085" s="2"/>
      <c r="G1085" s="2"/>
      <c r="H1085" s="2"/>
      <c r="I1085" s="2"/>
    </row>
    <row r="1086" spans="1:9" x14ac:dyDescent="0.35">
      <c r="A1086" s="2" t="s">
        <v>1407</v>
      </c>
      <c r="B1086" s="2" t="s">
        <v>62</v>
      </c>
      <c r="C1086" s="2" t="s">
        <v>1576</v>
      </c>
      <c r="D1086" s="2" t="s">
        <v>319</v>
      </c>
      <c r="E1086" s="2" t="s">
        <v>320</v>
      </c>
      <c r="F1086" s="2"/>
      <c r="G1086" s="2"/>
      <c r="H1086" s="2"/>
      <c r="I1086" s="2"/>
    </row>
    <row r="1087" spans="1:9" x14ac:dyDescent="0.35">
      <c r="A1087" s="2" t="s">
        <v>1407</v>
      </c>
      <c r="B1087" s="2" t="s">
        <v>62</v>
      </c>
      <c r="C1087" s="2" t="s">
        <v>1576</v>
      </c>
      <c r="D1087" s="2" t="s">
        <v>649</v>
      </c>
      <c r="E1087" s="2" t="s">
        <v>363</v>
      </c>
      <c r="F1087" s="2"/>
      <c r="G1087" s="2"/>
      <c r="H1087" s="2"/>
      <c r="I1087" s="2"/>
    </row>
    <row r="1088" spans="1:9" x14ac:dyDescent="0.35">
      <c r="A1088" s="2" t="s">
        <v>1407</v>
      </c>
      <c r="B1088" s="2" t="s">
        <v>62</v>
      </c>
      <c r="C1088" s="2" t="s">
        <v>1576</v>
      </c>
      <c r="D1088" s="2" t="s">
        <v>77</v>
      </c>
      <c r="E1088" s="2" t="s">
        <v>78</v>
      </c>
      <c r="F1088" s="2"/>
      <c r="G1088" s="2"/>
      <c r="H1088" s="2"/>
      <c r="I1088" s="2"/>
    </row>
    <row r="1089" spans="1:9" x14ac:dyDescent="0.35">
      <c r="A1089" s="2" t="s">
        <v>1407</v>
      </c>
      <c r="B1089" s="2" t="s">
        <v>62</v>
      </c>
      <c r="C1089" s="2" t="s">
        <v>1576</v>
      </c>
      <c r="D1089" s="2" t="s">
        <v>18</v>
      </c>
      <c r="E1089" s="2" t="s">
        <v>19</v>
      </c>
      <c r="F1089" s="2" t="s">
        <v>20</v>
      </c>
      <c r="G1089" s="2" t="s">
        <v>1378</v>
      </c>
      <c r="H1089" s="2"/>
      <c r="I1089" s="2"/>
    </row>
    <row r="1090" spans="1:9" x14ac:dyDescent="0.35">
      <c r="A1090" s="2" t="s">
        <v>1407</v>
      </c>
      <c r="B1090" s="2" t="s">
        <v>62</v>
      </c>
      <c r="C1090" s="2" t="s">
        <v>1576</v>
      </c>
      <c r="D1090" s="2" t="s">
        <v>321</v>
      </c>
      <c r="E1090" s="2" t="s">
        <v>321</v>
      </c>
      <c r="F1090" s="2"/>
      <c r="G1090" s="2"/>
      <c r="H1090" s="2"/>
      <c r="I1090" s="2"/>
    </row>
    <row r="1091" spans="1:9" x14ac:dyDescent="0.35">
      <c r="A1091" s="2" t="s">
        <v>1407</v>
      </c>
      <c r="B1091" s="2" t="s">
        <v>62</v>
      </c>
      <c r="C1091" s="2" t="s">
        <v>1576</v>
      </c>
      <c r="D1091" s="2" t="s">
        <v>322</v>
      </c>
      <c r="E1091" s="2" t="s">
        <v>246</v>
      </c>
      <c r="F1091" s="2"/>
      <c r="G1091" s="2"/>
      <c r="H1091" s="2"/>
      <c r="I1091" s="2"/>
    </row>
    <row r="1092" spans="1:9" x14ac:dyDescent="0.35">
      <c r="A1092" s="2" t="s">
        <v>1407</v>
      </c>
      <c r="B1092" s="2" t="s">
        <v>62</v>
      </c>
      <c r="C1092" s="2" t="s">
        <v>1576</v>
      </c>
      <c r="D1092" s="2" t="s">
        <v>323</v>
      </c>
      <c r="E1092" s="2" t="s">
        <v>246</v>
      </c>
      <c r="F1092" s="2"/>
      <c r="G1092" s="2"/>
      <c r="H1092" s="2"/>
      <c r="I1092" s="2"/>
    </row>
    <row r="1093" spans="1:9" x14ac:dyDescent="0.35">
      <c r="A1093" s="2" t="s">
        <v>1407</v>
      </c>
      <c r="B1093" s="2" t="s">
        <v>62</v>
      </c>
      <c r="C1093" s="2" t="s">
        <v>1576</v>
      </c>
      <c r="D1093" s="2" t="s">
        <v>324</v>
      </c>
      <c r="E1093" s="2" t="s">
        <v>246</v>
      </c>
      <c r="F1093" s="2"/>
      <c r="G1093" s="2"/>
      <c r="H1093" s="2"/>
      <c r="I1093" s="2"/>
    </row>
    <row r="1094" spans="1:9" x14ac:dyDescent="0.35">
      <c r="A1094" s="2" t="s">
        <v>1407</v>
      </c>
      <c r="B1094" s="2" t="s">
        <v>62</v>
      </c>
      <c r="C1094" s="2" t="s">
        <v>1576</v>
      </c>
      <c r="D1094" s="2" t="s">
        <v>325</v>
      </c>
      <c r="E1094" s="2" t="s">
        <v>1413</v>
      </c>
      <c r="F1094" s="2"/>
      <c r="G1094" s="2"/>
      <c r="H1094" s="2"/>
      <c r="I1094" s="2"/>
    </row>
    <row r="1095" spans="1:9" x14ac:dyDescent="0.35">
      <c r="A1095" s="2" t="s">
        <v>1407</v>
      </c>
      <c r="B1095" s="2" t="s">
        <v>62</v>
      </c>
      <c r="C1095" s="2" t="s">
        <v>1576</v>
      </c>
      <c r="D1095" s="2" t="s">
        <v>327</v>
      </c>
      <c r="E1095" s="2" t="s">
        <v>328</v>
      </c>
      <c r="F1095" s="2"/>
      <c r="G1095" s="2"/>
      <c r="H1095" s="2"/>
      <c r="I1095" s="2"/>
    </row>
    <row r="1096" spans="1:9" x14ac:dyDescent="0.35">
      <c r="A1096" s="2" t="s">
        <v>1407</v>
      </c>
      <c r="B1096" s="2" t="s">
        <v>62</v>
      </c>
      <c r="C1096" s="2" t="s">
        <v>1576</v>
      </c>
      <c r="D1096" s="2" t="s">
        <v>329</v>
      </c>
      <c r="E1096" s="2" t="s">
        <v>330</v>
      </c>
      <c r="F1096" s="2"/>
      <c r="G1096" s="2"/>
      <c r="H1096" s="2"/>
      <c r="I1096" s="2"/>
    </row>
    <row r="1097" spans="1:9" x14ac:dyDescent="0.35">
      <c r="A1097" s="2" t="s">
        <v>1407</v>
      </c>
      <c r="B1097" s="2" t="s">
        <v>62</v>
      </c>
      <c r="C1097" s="2" t="s">
        <v>1576</v>
      </c>
      <c r="D1097" s="2" t="s">
        <v>331</v>
      </c>
      <c r="E1097" s="2" t="s">
        <v>332</v>
      </c>
      <c r="F1097" s="2"/>
      <c r="G1097" s="2"/>
      <c r="H1097" s="2"/>
      <c r="I1097" s="2"/>
    </row>
    <row r="1098" spans="1:9" x14ac:dyDescent="0.35">
      <c r="A1098" s="2" t="s">
        <v>1407</v>
      </c>
      <c r="B1098" s="2" t="s">
        <v>62</v>
      </c>
      <c r="C1098" s="2" t="s">
        <v>1576</v>
      </c>
      <c r="D1098" s="2" t="s">
        <v>333</v>
      </c>
      <c r="E1098" s="2" t="s">
        <v>334</v>
      </c>
      <c r="F1098" s="2"/>
      <c r="G1098" s="2"/>
      <c r="H1098" s="2"/>
      <c r="I1098" s="2"/>
    </row>
    <row r="1099" spans="1:9" x14ac:dyDescent="0.35">
      <c r="A1099" s="2" t="s">
        <v>1407</v>
      </c>
      <c r="B1099" s="2" t="s">
        <v>62</v>
      </c>
      <c r="C1099" s="2" t="s">
        <v>1576</v>
      </c>
      <c r="D1099" s="2" t="s">
        <v>149</v>
      </c>
      <c r="E1099" s="2" t="s">
        <v>150</v>
      </c>
      <c r="F1099" s="2"/>
      <c r="G1099" s="2"/>
      <c r="H1099" s="2"/>
      <c r="I1099" s="2"/>
    </row>
    <row r="1100" spans="1:9" x14ac:dyDescent="0.35">
      <c r="A1100" s="2" t="s">
        <v>1407</v>
      </c>
      <c r="B1100" s="2" t="s">
        <v>62</v>
      </c>
      <c r="C1100" s="2" t="s">
        <v>1576</v>
      </c>
      <c r="D1100" s="2" t="s">
        <v>1297</v>
      </c>
      <c r="E1100" s="2" t="s">
        <v>533</v>
      </c>
      <c r="F1100" s="2"/>
      <c r="G1100" s="2"/>
      <c r="H1100" s="2"/>
      <c r="I1100" s="2"/>
    </row>
    <row r="1101" spans="1:9" x14ac:dyDescent="0.35">
      <c r="A1101" s="2" t="s">
        <v>1407</v>
      </c>
      <c r="B1101" s="2" t="s">
        <v>62</v>
      </c>
      <c r="C1101" s="2" t="s">
        <v>1576</v>
      </c>
      <c r="D1101" s="2" t="s">
        <v>335</v>
      </c>
      <c r="E1101" s="2" t="s">
        <v>336</v>
      </c>
      <c r="F1101" s="2"/>
      <c r="G1101" s="2"/>
      <c r="H1101" s="2"/>
      <c r="I1101" s="2"/>
    </row>
    <row r="1102" spans="1:9" x14ac:dyDescent="0.35">
      <c r="A1102" s="2" t="s">
        <v>1407</v>
      </c>
      <c r="B1102" s="2" t="s">
        <v>62</v>
      </c>
      <c r="C1102" s="2" t="s">
        <v>1576</v>
      </c>
      <c r="D1102" s="2" t="s">
        <v>337</v>
      </c>
      <c r="E1102" s="2" t="s">
        <v>338</v>
      </c>
      <c r="F1102" s="2"/>
      <c r="G1102" s="2"/>
      <c r="H1102" s="2"/>
      <c r="I1102" s="2"/>
    </row>
    <row r="1103" spans="1:9" x14ac:dyDescent="0.35">
      <c r="A1103" s="2" t="s">
        <v>1407</v>
      </c>
      <c r="B1103" s="2" t="s">
        <v>62</v>
      </c>
      <c r="C1103" s="2" t="s">
        <v>1576</v>
      </c>
      <c r="D1103" s="2" t="s">
        <v>339</v>
      </c>
      <c r="E1103" s="2" t="s">
        <v>340</v>
      </c>
      <c r="F1103" s="2"/>
      <c r="G1103" s="2"/>
      <c r="H1103" s="2"/>
      <c r="I1103" s="2"/>
    </row>
    <row r="1104" spans="1:9" x14ac:dyDescent="0.35">
      <c r="A1104" s="2" t="s">
        <v>1407</v>
      </c>
      <c r="B1104" s="2" t="s">
        <v>62</v>
      </c>
      <c r="C1104" s="2" t="s">
        <v>1576</v>
      </c>
      <c r="D1104" s="2" t="s">
        <v>341</v>
      </c>
      <c r="E1104" s="2" t="s">
        <v>342</v>
      </c>
      <c r="F1104" s="2"/>
      <c r="G1104" s="2"/>
      <c r="H1104" s="2"/>
      <c r="I1104" s="2"/>
    </row>
    <row r="1105" spans="1:9" x14ac:dyDescent="0.35">
      <c r="A1105" s="2" t="s">
        <v>1407</v>
      </c>
      <c r="B1105" s="2" t="s">
        <v>62</v>
      </c>
      <c r="C1105" s="2" t="s">
        <v>1576</v>
      </c>
      <c r="D1105" s="2" t="s">
        <v>343</v>
      </c>
      <c r="E1105" s="2" t="s">
        <v>344</v>
      </c>
      <c r="F1105" s="2"/>
      <c r="G1105" s="2"/>
      <c r="H1105" s="2"/>
      <c r="I1105" s="2"/>
    </row>
    <row r="1106" spans="1:9" x14ac:dyDescent="0.35">
      <c r="A1106" s="2" t="s">
        <v>1407</v>
      </c>
      <c r="B1106" s="2" t="s">
        <v>62</v>
      </c>
      <c r="C1106" s="2" t="s">
        <v>1576</v>
      </c>
      <c r="D1106" s="2" t="s">
        <v>345</v>
      </c>
      <c r="E1106" s="2" t="s">
        <v>346</v>
      </c>
      <c r="F1106" s="2"/>
      <c r="G1106" s="2"/>
      <c r="H1106" s="2"/>
      <c r="I1106" s="2"/>
    </row>
    <row r="1107" spans="1:9" x14ac:dyDescent="0.35">
      <c r="A1107" s="2" t="s">
        <v>1407</v>
      </c>
      <c r="B1107" s="2" t="s">
        <v>62</v>
      </c>
      <c r="C1107" s="2" t="s">
        <v>1577</v>
      </c>
      <c r="D1107" s="2" t="s">
        <v>196</v>
      </c>
      <c r="E1107" s="2" t="s">
        <v>197</v>
      </c>
      <c r="F1107" s="2" t="s">
        <v>46</v>
      </c>
      <c r="G1107" s="2" t="s">
        <v>1412</v>
      </c>
      <c r="H1107" s="2"/>
      <c r="I1107" s="2"/>
    </row>
    <row r="1108" spans="1:9" x14ac:dyDescent="0.35">
      <c r="A1108" s="2" t="s">
        <v>1407</v>
      </c>
      <c r="B1108" s="2" t="s">
        <v>62</v>
      </c>
      <c r="C1108" s="2" t="s">
        <v>1577</v>
      </c>
      <c r="D1108" s="2" t="s">
        <v>319</v>
      </c>
      <c r="E1108" s="2" t="s">
        <v>320</v>
      </c>
      <c r="F1108" s="2" t="s">
        <v>46</v>
      </c>
      <c r="G1108" s="2" t="s">
        <v>1412</v>
      </c>
      <c r="H1108" s="2"/>
      <c r="I1108" s="2"/>
    </row>
    <row r="1109" spans="1:9" x14ac:dyDescent="0.35">
      <c r="A1109" s="2" t="s">
        <v>1407</v>
      </c>
      <c r="B1109" s="2" t="s">
        <v>62</v>
      </c>
      <c r="C1109" s="2" t="s">
        <v>1577</v>
      </c>
      <c r="D1109" s="2" t="s">
        <v>322</v>
      </c>
      <c r="E1109" s="2" t="s">
        <v>246</v>
      </c>
      <c r="F1109" s="2" t="s">
        <v>46</v>
      </c>
      <c r="G1109" s="2" t="s">
        <v>1412</v>
      </c>
      <c r="H1109" s="2"/>
      <c r="I1109" s="2"/>
    </row>
    <row r="1110" spans="1:9" x14ac:dyDescent="0.35">
      <c r="A1110" s="2" t="s">
        <v>1407</v>
      </c>
      <c r="B1110" s="2" t="s">
        <v>62</v>
      </c>
      <c r="C1110" s="2" t="s">
        <v>1577</v>
      </c>
      <c r="D1110" s="2" t="s">
        <v>323</v>
      </c>
      <c r="E1110" s="2" t="s">
        <v>246</v>
      </c>
      <c r="F1110" s="2" t="s">
        <v>46</v>
      </c>
      <c r="G1110" s="2" t="s">
        <v>1412</v>
      </c>
      <c r="H1110" s="2"/>
      <c r="I1110" s="2"/>
    </row>
    <row r="1111" spans="1:9" x14ac:dyDescent="0.35">
      <c r="A1111" s="2" t="s">
        <v>1407</v>
      </c>
      <c r="B1111" s="2" t="s">
        <v>62</v>
      </c>
      <c r="C1111" s="2" t="s">
        <v>1577</v>
      </c>
      <c r="D1111" s="2" t="s">
        <v>324</v>
      </c>
      <c r="E1111" s="2" t="s">
        <v>246</v>
      </c>
      <c r="F1111" s="2" t="s">
        <v>46</v>
      </c>
      <c r="G1111" s="2" t="s">
        <v>1412</v>
      </c>
      <c r="H1111" s="2"/>
      <c r="I1111" s="2"/>
    </row>
    <row r="1112" spans="1:9" x14ac:dyDescent="0.35">
      <c r="A1112" s="2" t="s">
        <v>1407</v>
      </c>
      <c r="B1112" s="2" t="s">
        <v>62</v>
      </c>
      <c r="C1112" s="2" t="s">
        <v>1577</v>
      </c>
      <c r="D1112" s="2" t="s">
        <v>325</v>
      </c>
      <c r="E1112" s="2" t="s">
        <v>1413</v>
      </c>
      <c r="F1112" s="2" t="s">
        <v>46</v>
      </c>
      <c r="G1112" s="2" t="s">
        <v>1412</v>
      </c>
      <c r="H1112" s="2"/>
      <c r="I1112" s="2"/>
    </row>
    <row r="1113" spans="1:9" x14ac:dyDescent="0.35">
      <c r="A1113" s="2" t="s">
        <v>1407</v>
      </c>
      <c r="B1113" s="2" t="s">
        <v>62</v>
      </c>
      <c r="C1113" s="2" t="s">
        <v>1577</v>
      </c>
      <c r="D1113" s="2" t="s">
        <v>327</v>
      </c>
      <c r="E1113" s="2" t="s">
        <v>328</v>
      </c>
      <c r="F1113" s="2" t="s">
        <v>46</v>
      </c>
      <c r="G1113" s="2" t="s">
        <v>1412</v>
      </c>
      <c r="H1113" s="2"/>
      <c r="I1113" s="2"/>
    </row>
    <row r="1114" spans="1:9" x14ac:dyDescent="0.35">
      <c r="A1114" s="2" t="s">
        <v>1407</v>
      </c>
      <c r="B1114" s="2" t="s">
        <v>62</v>
      </c>
      <c r="C1114" s="2" t="s">
        <v>1577</v>
      </c>
      <c r="D1114" s="2" t="s">
        <v>329</v>
      </c>
      <c r="E1114" s="2" t="s">
        <v>330</v>
      </c>
      <c r="F1114" s="2" t="s">
        <v>46</v>
      </c>
      <c r="G1114" s="2" t="s">
        <v>1412</v>
      </c>
      <c r="H1114" s="2"/>
      <c r="I1114" s="2"/>
    </row>
    <row r="1115" spans="1:9" x14ac:dyDescent="0.35">
      <c r="A1115" s="2" t="s">
        <v>1407</v>
      </c>
      <c r="B1115" s="2" t="s">
        <v>62</v>
      </c>
      <c r="C1115" s="2" t="s">
        <v>1577</v>
      </c>
      <c r="D1115" s="2" t="s">
        <v>331</v>
      </c>
      <c r="E1115" s="2" t="s">
        <v>332</v>
      </c>
      <c r="F1115" s="2" t="s">
        <v>46</v>
      </c>
      <c r="G1115" s="2" t="s">
        <v>1412</v>
      </c>
      <c r="H1115" s="2"/>
      <c r="I1115" s="2"/>
    </row>
    <row r="1116" spans="1:9" x14ac:dyDescent="0.35">
      <c r="A1116" s="2" t="s">
        <v>1407</v>
      </c>
      <c r="B1116" s="2" t="s">
        <v>62</v>
      </c>
      <c r="C1116" s="2" t="s">
        <v>1577</v>
      </c>
      <c r="D1116" s="2" t="s">
        <v>333</v>
      </c>
      <c r="E1116" s="2" t="s">
        <v>334</v>
      </c>
      <c r="F1116" s="2" t="s">
        <v>46</v>
      </c>
      <c r="G1116" s="2" t="s">
        <v>1412</v>
      </c>
      <c r="H1116" s="2"/>
      <c r="I1116" s="2"/>
    </row>
    <row r="1117" spans="1:9" x14ac:dyDescent="0.35">
      <c r="A1117" s="2" t="s">
        <v>1407</v>
      </c>
      <c r="B1117" s="2" t="s">
        <v>62</v>
      </c>
      <c r="C1117" s="2" t="s">
        <v>1577</v>
      </c>
      <c r="D1117" s="2" t="s">
        <v>1297</v>
      </c>
      <c r="E1117" s="2" t="s">
        <v>533</v>
      </c>
      <c r="F1117" s="2" t="s">
        <v>46</v>
      </c>
      <c r="G1117" s="2" t="s">
        <v>1412</v>
      </c>
      <c r="H1117" s="2"/>
      <c r="I1117" s="2"/>
    </row>
    <row r="1118" spans="1:9" x14ac:dyDescent="0.35">
      <c r="A1118" s="2" t="s">
        <v>1407</v>
      </c>
      <c r="B1118" s="2" t="s">
        <v>62</v>
      </c>
      <c r="C1118" s="2" t="s">
        <v>1577</v>
      </c>
      <c r="D1118" s="2" t="s">
        <v>335</v>
      </c>
      <c r="E1118" s="2" t="s">
        <v>336</v>
      </c>
      <c r="F1118" s="2" t="s">
        <v>46</v>
      </c>
      <c r="G1118" s="2" t="s">
        <v>1412</v>
      </c>
      <c r="H1118" s="2"/>
      <c r="I1118" s="2"/>
    </row>
    <row r="1119" spans="1:9" x14ac:dyDescent="0.35">
      <c r="A1119" s="2" t="s">
        <v>1407</v>
      </c>
      <c r="B1119" s="2" t="s">
        <v>62</v>
      </c>
      <c r="C1119" s="2" t="s">
        <v>1577</v>
      </c>
      <c r="D1119" s="2" t="s">
        <v>337</v>
      </c>
      <c r="E1119" s="2" t="s">
        <v>338</v>
      </c>
      <c r="F1119" s="2" t="s">
        <v>46</v>
      </c>
      <c r="G1119" s="2" t="s">
        <v>1412</v>
      </c>
      <c r="H1119" s="2"/>
      <c r="I1119" s="2"/>
    </row>
    <row r="1120" spans="1:9" x14ac:dyDescent="0.35">
      <c r="A1120" s="2" t="s">
        <v>1407</v>
      </c>
      <c r="B1120" s="2" t="s">
        <v>62</v>
      </c>
      <c r="C1120" s="2" t="s">
        <v>1577</v>
      </c>
      <c r="D1120" s="2" t="s">
        <v>339</v>
      </c>
      <c r="E1120" s="2" t="s">
        <v>340</v>
      </c>
      <c r="F1120" s="2" t="s">
        <v>46</v>
      </c>
      <c r="G1120" s="2" t="s">
        <v>1412</v>
      </c>
      <c r="H1120" s="2"/>
      <c r="I1120" s="2"/>
    </row>
    <row r="1121" spans="1:9" x14ac:dyDescent="0.35">
      <c r="A1121" s="2" t="s">
        <v>1407</v>
      </c>
      <c r="B1121" s="2" t="s">
        <v>62</v>
      </c>
      <c r="C1121" s="2" t="s">
        <v>1577</v>
      </c>
      <c r="D1121" s="2" t="s">
        <v>341</v>
      </c>
      <c r="E1121" s="2" t="s">
        <v>342</v>
      </c>
      <c r="F1121" s="2" t="s">
        <v>46</v>
      </c>
      <c r="G1121" s="2" t="s">
        <v>1412</v>
      </c>
      <c r="H1121" s="2"/>
      <c r="I1121" s="2"/>
    </row>
    <row r="1122" spans="1:9" x14ac:dyDescent="0.35">
      <c r="A1122" s="2" t="s">
        <v>1407</v>
      </c>
      <c r="B1122" s="2" t="s">
        <v>62</v>
      </c>
      <c r="C1122" s="2" t="s">
        <v>1577</v>
      </c>
      <c r="D1122" s="2" t="s">
        <v>343</v>
      </c>
      <c r="E1122" s="2" t="s">
        <v>344</v>
      </c>
      <c r="F1122" s="2" t="s">
        <v>46</v>
      </c>
      <c r="G1122" s="2" t="s">
        <v>1412</v>
      </c>
      <c r="H1122" s="2"/>
      <c r="I1122" s="2"/>
    </row>
    <row r="1123" spans="1:9" x14ac:dyDescent="0.35">
      <c r="A1123" s="2" t="s">
        <v>1407</v>
      </c>
      <c r="B1123" s="2" t="s">
        <v>62</v>
      </c>
      <c r="C1123" s="2" t="s">
        <v>1577</v>
      </c>
      <c r="D1123" s="2" t="s">
        <v>345</v>
      </c>
      <c r="E1123" s="2" t="s">
        <v>346</v>
      </c>
      <c r="F1123" s="2" t="s">
        <v>46</v>
      </c>
      <c r="G1123" s="2" t="s">
        <v>1412</v>
      </c>
      <c r="H1123" s="2"/>
      <c r="I1123" s="2"/>
    </row>
    <row r="1124" spans="1:9" x14ac:dyDescent="0.35">
      <c r="A1124" s="2" t="s">
        <v>1407</v>
      </c>
      <c r="B1124" s="2" t="s">
        <v>62</v>
      </c>
      <c r="C1124" s="2" t="s">
        <v>1578</v>
      </c>
      <c r="D1124" s="2" t="s">
        <v>319</v>
      </c>
      <c r="E1124" s="2" t="s">
        <v>320</v>
      </c>
      <c r="F1124" s="2"/>
      <c r="G1124" s="2"/>
      <c r="H1124" s="2"/>
      <c r="I1124" s="2"/>
    </row>
    <row r="1125" spans="1:9" x14ac:dyDescent="0.35">
      <c r="A1125" s="2" t="s">
        <v>1407</v>
      </c>
      <c r="B1125" s="2" t="s">
        <v>62</v>
      </c>
      <c r="C1125" s="2" t="s">
        <v>1578</v>
      </c>
      <c r="D1125" s="2" t="s">
        <v>321</v>
      </c>
      <c r="E1125" s="2" t="s">
        <v>321</v>
      </c>
      <c r="F1125" s="2"/>
      <c r="G1125" s="2"/>
      <c r="H1125" s="2"/>
      <c r="I1125" s="2"/>
    </row>
    <row r="1126" spans="1:9" x14ac:dyDescent="0.35">
      <c r="A1126" s="2" t="s">
        <v>1407</v>
      </c>
      <c r="B1126" s="2" t="s">
        <v>62</v>
      </c>
      <c r="C1126" s="2" t="s">
        <v>1578</v>
      </c>
      <c r="D1126" s="2" t="s">
        <v>322</v>
      </c>
      <c r="E1126" s="2" t="s">
        <v>246</v>
      </c>
      <c r="F1126" s="2"/>
      <c r="G1126" s="2"/>
      <c r="H1126" s="2"/>
      <c r="I1126" s="2"/>
    </row>
    <row r="1127" spans="1:9" x14ac:dyDescent="0.35">
      <c r="A1127" s="2" t="s">
        <v>1407</v>
      </c>
      <c r="B1127" s="2" t="s">
        <v>62</v>
      </c>
      <c r="C1127" s="2" t="s">
        <v>1578</v>
      </c>
      <c r="D1127" s="2" t="s">
        <v>323</v>
      </c>
      <c r="E1127" s="2" t="s">
        <v>246</v>
      </c>
      <c r="F1127" s="2"/>
      <c r="G1127" s="2"/>
      <c r="H1127" s="2"/>
      <c r="I1127" s="2"/>
    </row>
    <row r="1128" spans="1:9" x14ac:dyDescent="0.35">
      <c r="A1128" s="2" t="s">
        <v>1407</v>
      </c>
      <c r="B1128" s="2" t="s">
        <v>62</v>
      </c>
      <c r="C1128" s="2" t="s">
        <v>1578</v>
      </c>
      <c r="D1128" s="2" t="s">
        <v>324</v>
      </c>
      <c r="E1128" s="2" t="s">
        <v>246</v>
      </c>
      <c r="F1128" s="2"/>
      <c r="G1128" s="2"/>
      <c r="H1128" s="2"/>
      <c r="I1128" s="2"/>
    </row>
    <row r="1129" spans="1:9" x14ac:dyDescent="0.35">
      <c r="A1129" s="2" t="s">
        <v>1407</v>
      </c>
      <c r="B1129" s="2" t="s">
        <v>62</v>
      </c>
      <c r="C1129" s="2" t="s">
        <v>1578</v>
      </c>
      <c r="D1129" s="2" t="s">
        <v>325</v>
      </c>
      <c r="E1129" s="2" t="s">
        <v>1413</v>
      </c>
      <c r="F1129" s="2"/>
      <c r="G1129" s="2"/>
      <c r="H1129" s="2"/>
      <c r="I1129" s="2"/>
    </row>
    <row r="1130" spans="1:9" x14ac:dyDescent="0.35">
      <c r="A1130" s="2" t="s">
        <v>1407</v>
      </c>
      <c r="B1130" s="2" t="s">
        <v>62</v>
      </c>
      <c r="C1130" s="2" t="s">
        <v>1578</v>
      </c>
      <c r="D1130" s="2" t="s">
        <v>327</v>
      </c>
      <c r="E1130" s="2" t="s">
        <v>328</v>
      </c>
      <c r="F1130" s="2"/>
      <c r="G1130" s="2"/>
      <c r="H1130" s="2"/>
      <c r="I1130" s="2"/>
    </row>
    <row r="1131" spans="1:9" x14ac:dyDescent="0.35">
      <c r="A1131" s="2" t="s">
        <v>1407</v>
      </c>
      <c r="B1131" s="2" t="s">
        <v>62</v>
      </c>
      <c r="C1131" s="2" t="s">
        <v>1578</v>
      </c>
      <c r="D1131" s="2" t="s">
        <v>329</v>
      </c>
      <c r="E1131" s="2" t="s">
        <v>330</v>
      </c>
      <c r="F1131" s="2"/>
      <c r="G1131" s="2"/>
      <c r="H1131" s="2"/>
      <c r="I1131" s="2"/>
    </row>
    <row r="1132" spans="1:9" x14ac:dyDescent="0.35">
      <c r="A1132" s="2" t="s">
        <v>1407</v>
      </c>
      <c r="B1132" s="2" t="s">
        <v>62</v>
      </c>
      <c r="C1132" s="2" t="s">
        <v>1578</v>
      </c>
      <c r="D1132" s="2" t="s">
        <v>331</v>
      </c>
      <c r="E1132" s="2" t="s">
        <v>332</v>
      </c>
      <c r="F1132" s="2"/>
      <c r="G1132" s="2"/>
      <c r="H1132" s="2"/>
      <c r="I1132" s="2"/>
    </row>
    <row r="1133" spans="1:9" x14ac:dyDescent="0.35">
      <c r="A1133" s="2" t="s">
        <v>1407</v>
      </c>
      <c r="B1133" s="2" t="s">
        <v>62</v>
      </c>
      <c r="C1133" s="2" t="s">
        <v>1578</v>
      </c>
      <c r="D1133" s="2" t="s">
        <v>333</v>
      </c>
      <c r="E1133" s="2" t="s">
        <v>334</v>
      </c>
      <c r="F1133" s="2"/>
      <c r="G1133" s="2"/>
      <c r="H1133" s="2"/>
      <c r="I1133" s="2"/>
    </row>
    <row r="1134" spans="1:9" x14ac:dyDescent="0.35">
      <c r="A1134" s="2" t="s">
        <v>1407</v>
      </c>
      <c r="B1134" s="2" t="s">
        <v>62</v>
      </c>
      <c r="C1134" s="2" t="s">
        <v>1578</v>
      </c>
      <c r="D1134" s="2" t="s">
        <v>1297</v>
      </c>
      <c r="E1134" s="2" t="s">
        <v>533</v>
      </c>
      <c r="F1134" s="2"/>
      <c r="G1134" s="2"/>
      <c r="H1134" s="2"/>
      <c r="I1134" s="2"/>
    </row>
    <row r="1135" spans="1:9" x14ac:dyDescent="0.35">
      <c r="A1135" s="2" t="s">
        <v>1407</v>
      </c>
      <c r="B1135" s="2" t="s">
        <v>62</v>
      </c>
      <c r="C1135" s="2" t="s">
        <v>1578</v>
      </c>
      <c r="D1135" s="2" t="s">
        <v>335</v>
      </c>
      <c r="E1135" s="2" t="s">
        <v>336</v>
      </c>
      <c r="F1135" s="2"/>
      <c r="G1135" s="2"/>
      <c r="H1135" s="2"/>
      <c r="I1135" s="2"/>
    </row>
    <row r="1136" spans="1:9" x14ac:dyDescent="0.35">
      <c r="A1136" s="2" t="s">
        <v>1407</v>
      </c>
      <c r="B1136" s="2" t="s">
        <v>62</v>
      </c>
      <c r="C1136" s="2" t="s">
        <v>1578</v>
      </c>
      <c r="D1136" s="2" t="s">
        <v>337</v>
      </c>
      <c r="E1136" s="2" t="s">
        <v>338</v>
      </c>
      <c r="F1136" s="2"/>
      <c r="G1136" s="2"/>
      <c r="H1136" s="2"/>
      <c r="I1136" s="2"/>
    </row>
    <row r="1137" spans="1:9" x14ac:dyDescent="0.35">
      <c r="A1137" s="2" t="s">
        <v>1407</v>
      </c>
      <c r="B1137" s="2" t="s">
        <v>62</v>
      </c>
      <c r="C1137" s="2" t="s">
        <v>1578</v>
      </c>
      <c r="D1137" s="2" t="s">
        <v>339</v>
      </c>
      <c r="E1137" s="2" t="s">
        <v>340</v>
      </c>
      <c r="F1137" s="2"/>
      <c r="G1137" s="2"/>
      <c r="H1137" s="2"/>
      <c r="I1137" s="2"/>
    </row>
    <row r="1138" spans="1:9" x14ac:dyDescent="0.35">
      <c r="A1138" s="2" t="s">
        <v>1407</v>
      </c>
      <c r="B1138" s="2" t="s">
        <v>62</v>
      </c>
      <c r="C1138" s="2" t="s">
        <v>1578</v>
      </c>
      <c r="D1138" s="2" t="s">
        <v>341</v>
      </c>
      <c r="E1138" s="2" t="s">
        <v>342</v>
      </c>
      <c r="F1138" s="2"/>
      <c r="G1138" s="2"/>
      <c r="H1138" s="2"/>
      <c r="I1138" s="2"/>
    </row>
    <row r="1139" spans="1:9" x14ac:dyDescent="0.35">
      <c r="A1139" s="2" t="s">
        <v>1407</v>
      </c>
      <c r="B1139" s="2" t="s">
        <v>62</v>
      </c>
      <c r="C1139" s="2" t="s">
        <v>1578</v>
      </c>
      <c r="D1139" s="2" t="s">
        <v>343</v>
      </c>
      <c r="E1139" s="2" t="s">
        <v>344</v>
      </c>
      <c r="F1139" s="2"/>
      <c r="G1139" s="2"/>
      <c r="H1139" s="2"/>
      <c r="I1139" s="2"/>
    </row>
    <row r="1140" spans="1:9" x14ac:dyDescent="0.35">
      <c r="A1140" s="2" t="s">
        <v>1407</v>
      </c>
      <c r="B1140" s="2" t="s">
        <v>62</v>
      </c>
      <c r="C1140" s="2" t="s">
        <v>1578</v>
      </c>
      <c r="D1140" s="2" t="s">
        <v>345</v>
      </c>
      <c r="E1140" s="2" t="s">
        <v>346</v>
      </c>
      <c r="F1140" s="2"/>
      <c r="G1140" s="2"/>
      <c r="H1140" s="2"/>
      <c r="I1140" s="2"/>
    </row>
    <row r="1141" spans="1:9" x14ac:dyDescent="0.35">
      <c r="A1141" s="2" t="s">
        <v>1407</v>
      </c>
      <c r="B1141" s="2" t="s">
        <v>62</v>
      </c>
      <c r="C1141" s="2" t="s">
        <v>1579</v>
      </c>
      <c r="D1141" s="2" t="s">
        <v>317</v>
      </c>
      <c r="E1141" s="2" t="s">
        <v>318</v>
      </c>
      <c r="F1141" s="2"/>
      <c r="G1141" s="2"/>
      <c r="H1141" s="2"/>
      <c r="I1141" s="2"/>
    </row>
    <row r="1142" spans="1:9" x14ac:dyDescent="0.35">
      <c r="A1142" s="2" t="s">
        <v>1407</v>
      </c>
      <c r="B1142" s="2" t="s">
        <v>62</v>
      </c>
      <c r="C1142" s="2" t="s">
        <v>1579</v>
      </c>
      <c r="D1142" s="2" t="s">
        <v>333</v>
      </c>
      <c r="E1142" s="2" t="s">
        <v>334</v>
      </c>
      <c r="F1142" s="2"/>
      <c r="G1142" s="2"/>
      <c r="H1142" s="2"/>
      <c r="I1142" s="2"/>
    </row>
    <row r="1143" spans="1:9" x14ac:dyDescent="0.35">
      <c r="A1143" s="2" t="s">
        <v>1407</v>
      </c>
      <c r="B1143" s="2" t="s">
        <v>62</v>
      </c>
      <c r="C1143" s="2" t="s">
        <v>1579</v>
      </c>
      <c r="D1143" s="2" t="s">
        <v>1297</v>
      </c>
      <c r="E1143" s="2" t="s">
        <v>533</v>
      </c>
      <c r="F1143" s="2"/>
      <c r="G1143" s="2"/>
      <c r="H1143" s="2"/>
      <c r="I1143" s="2"/>
    </row>
    <row r="1144" spans="1:9" x14ac:dyDescent="0.35">
      <c r="A1144" s="2" t="s">
        <v>1407</v>
      </c>
      <c r="B1144" s="2" t="s">
        <v>62</v>
      </c>
      <c r="C1144" s="2" t="s">
        <v>1580</v>
      </c>
      <c r="D1144" s="2" t="s">
        <v>319</v>
      </c>
      <c r="E1144" s="2" t="s">
        <v>320</v>
      </c>
      <c r="F1144" s="2"/>
      <c r="G1144" s="2"/>
      <c r="H1144" s="2"/>
      <c r="I1144" s="2"/>
    </row>
    <row r="1145" spans="1:9" x14ac:dyDescent="0.35">
      <c r="A1145" s="2" t="s">
        <v>1407</v>
      </c>
      <c r="B1145" s="2" t="s">
        <v>62</v>
      </c>
      <c r="C1145" s="2" t="s">
        <v>1580</v>
      </c>
      <c r="D1145" s="2" t="s">
        <v>321</v>
      </c>
      <c r="E1145" s="2" t="s">
        <v>321</v>
      </c>
      <c r="F1145" s="2"/>
      <c r="G1145" s="2"/>
      <c r="H1145" s="2"/>
      <c r="I1145" s="2"/>
    </row>
    <row r="1146" spans="1:9" x14ac:dyDescent="0.35">
      <c r="A1146" s="2" t="s">
        <v>1407</v>
      </c>
      <c r="B1146" s="2" t="s">
        <v>62</v>
      </c>
      <c r="C1146" s="2" t="s">
        <v>1580</v>
      </c>
      <c r="D1146" s="2" t="s">
        <v>322</v>
      </c>
      <c r="E1146" s="2" t="s">
        <v>246</v>
      </c>
      <c r="F1146" s="2"/>
      <c r="G1146" s="2"/>
      <c r="H1146" s="2"/>
      <c r="I1146" s="2"/>
    </row>
    <row r="1147" spans="1:9" x14ac:dyDescent="0.35">
      <c r="A1147" s="2" t="s">
        <v>1407</v>
      </c>
      <c r="B1147" s="2" t="s">
        <v>62</v>
      </c>
      <c r="C1147" s="2" t="s">
        <v>1580</v>
      </c>
      <c r="D1147" s="2" t="s">
        <v>323</v>
      </c>
      <c r="E1147" s="2" t="s">
        <v>246</v>
      </c>
      <c r="F1147" s="2"/>
      <c r="G1147" s="2"/>
      <c r="H1147" s="2"/>
      <c r="I1147" s="2"/>
    </row>
    <row r="1148" spans="1:9" x14ac:dyDescent="0.35">
      <c r="A1148" s="2" t="s">
        <v>1407</v>
      </c>
      <c r="B1148" s="2" t="s">
        <v>62</v>
      </c>
      <c r="C1148" s="2" t="s">
        <v>1580</v>
      </c>
      <c r="D1148" s="2" t="s">
        <v>324</v>
      </c>
      <c r="E1148" s="2" t="s">
        <v>246</v>
      </c>
      <c r="F1148" s="2"/>
      <c r="G1148" s="2"/>
      <c r="H1148" s="2"/>
      <c r="I1148" s="2"/>
    </row>
    <row r="1149" spans="1:9" x14ac:dyDescent="0.35">
      <c r="A1149" s="2" t="s">
        <v>1407</v>
      </c>
      <c r="B1149" s="2" t="s">
        <v>62</v>
      </c>
      <c r="C1149" s="2" t="s">
        <v>1580</v>
      </c>
      <c r="D1149" s="2" t="s">
        <v>325</v>
      </c>
      <c r="E1149" s="2" t="s">
        <v>1413</v>
      </c>
      <c r="F1149" s="2"/>
      <c r="G1149" s="2"/>
      <c r="H1149" s="2"/>
      <c r="I1149" s="2"/>
    </row>
    <row r="1150" spans="1:9" x14ac:dyDescent="0.35">
      <c r="A1150" s="2" t="s">
        <v>1407</v>
      </c>
      <c r="B1150" s="2" t="s">
        <v>62</v>
      </c>
      <c r="C1150" s="2" t="s">
        <v>1580</v>
      </c>
      <c r="D1150" s="2" t="s">
        <v>327</v>
      </c>
      <c r="E1150" s="2" t="s">
        <v>328</v>
      </c>
      <c r="F1150" s="2"/>
      <c r="G1150" s="2"/>
      <c r="H1150" s="2"/>
      <c r="I1150" s="2"/>
    </row>
    <row r="1151" spans="1:9" x14ac:dyDescent="0.35">
      <c r="A1151" s="2" t="s">
        <v>1407</v>
      </c>
      <c r="B1151" s="2" t="s">
        <v>62</v>
      </c>
      <c r="C1151" s="2" t="s">
        <v>1580</v>
      </c>
      <c r="D1151" s="2" t="s">
        <v>329</v>
      </c>
      <c r="E1151" s="2" t="s">
        <v>330</v>
      </c>
      <c r="F1151" s="2"/>
      <c r="G1151" s="2"/>
      <c r="H1151" s="2"/>
      <c r="I1151" s="2"/>
    </row>
    <row r="1152" spans="1:9" x14ac:dyDescent="0.35">
      <c r="A1152" s="2" t="s">
        <v>1407</v>
      </c>
      <c r="B1152" s="2" t="s">
        <v>62</v>
      </c>
      <c r="C1152" s="2" t="s">
        <v>1580</v>
      </c>
      <c r="D1152" s="2" t="s">
        <v>331</v>
      </c>
      <c r="E1152" s="2" t="s">
        <v>332</v>
      </c>
      <c r="F1152" s="2"/>
      <c r="G1152" s="2"/>
      <c r="H1152" s="2"/>
      <c r="I1152" s="2"/>
    </row>
    <row r="1153" spans="1:9" x14ac:dyDescent="0.35">
      <c r="A1153" s="2" t="s">
        <v>1407</v>
      </c>
      <c r="B1153" s="2" t="s">
        <v>62</v>
      </c>
      <c r="C1153" s="2" t="s">
        <v>1580</v>
      </c>
      <c r="D1153" s="2" t="s">
        <v>333</v>
      </c>
      <c r="E1153" s="2" t="s">
        <v>334</v>
      </c>
      <c r="F1153" s="2"/>
      <c r="G1153" s="2"/>
      <c r="H1153" s="2"/>
      <c r="I1153" s="2"/>
    </row>
    <row r="1154" spans="1:9" x14ac:dyDescent="0.35">
      <c r="A1154" s="2" t="s">
        <v>1407</v>
      </c>
      <c r="B1154" s="2" t="s">
        <v>62</v>
      </c>
      <c r="C1154" s="2" t="s">
        <v>1580</v>
      </c>
      <c r="D1154" s="2" t="s">
        <v>1297</v>
      </c>
      <c r="E1154" s="2" t="s">
        <v>533</v>
      </c>
      <c r="F1154" s="2"/>
      <c r="G1154" s="2"/>
      <c r="H1154" s="2"/>
      <c r="I1154" s="2"/>
    </row>
    <row r="1155" spans="1:9" x14ac:dyDescent="0.35">
      <c r="A1155" s="2" t="s">
        <v>1407</v>
      </c>
      <c r="B1155" s="2" t="s">
        <v>62</v>
      </c>
      <c r="C1155" s="2" t="s">
        <v>1580</v>
      </c>
      <c r="D1155" s="2" t="s">
        <v>335</v>
      </c>
      <c r="E1155" s="2" t="s">
        <v>336</v>
      </c>
      <c r="F1155" s="2"/>
      <c r="G1155" s="2"/>
      <c r="H1155" s="2"/>
      <c r="I1155" s="2"/>
    </row>
    <row r="1156" spans="1:9" x14ac:dyDescent="0.35">
      <c r="A1156" s="2" t="s">
        <v>1407</v>
      </c>
      <c r="B1156" s="2" t="s">
        <v>62</v>
      </c>
      <c r="C1156" s="2" t="s">
        <v>1580</v>
      </c>
      <c r="D1156" s="2" t="s">
        <v>337</v>
      </c>
      <c r="E1156" s="2" t="s">
        <v>338</v>
      </c>
      <c r="F1156" s="2"/>
      <c r="G1156" s="2"/>
      <c r="H1156" s="2"/>
      <c r="I1156" s="2"/>
    </row>
    <row r="1157" spans="1:9" x14ac:dyDescent="0.35">
      <c r="A1157" s="2" t="s">
        <v>1407</v>
      </c>
      <c r="B1157" s="2" t="s">
        <v>62</v>
      </c>
      <c r="C1157" s="2" t="s">
        <v>1580</v>
      </c>
      <c r="D1157" s="2" t="s">
        <v>339</v>
      </c>
      <c r="E1157" s="2" t="s">
        <v>340</v>
      </c>
      <c r="F1157" s="2"/>
      <c r="G1157" s="2"/>
      <c r="H1157" s="2"/>
      <c r="I1157" s="2"/>
    </row>
    <row r="1158" spans="1:9" x14ac:dyDescent="0.35">
      <c r="A1158" s="2" t="s">
        <v>1407</v>
      </c>
      <c r="B1158" s="2" t="s">
        <v>62</v>
      </c>
      <c r="C1158" s="2" t="s">
        <v>1580</v>
      </c>
      <c r="D1158" s="2" t="s">
        <v>341</v>
      </c>
      <c r="E1158" s="2" t="s">
        <v>342</v>
      </c>
      <c r="F1158" s="2"/>
      <c r="G1158" s="2"/>
      <c r="H1158" s="2"/>
      <c r="I1158" s="2"/>
    </row>
    <row r="1159" spans="1:9" x14ac:dyDescent="0.35">
      <c r="A1159" s="2" t="s">
        <v>1407</v>
      </c>
      <c r="B1159" s="2" t="s">
        <v>62</v>
      </c>
      <c r="C1159" s="2" t="s">
        <v>1580</v>
      </c>
      <c r="D1159" s="2" t="s">
        <v>343</v>
      </c>
      <c r="E1159" s="2" t="s">
        <v>344</v>
      </c>
      <c r="F1159" s="2"/>
      <c r="G1159" s="2"/>
      <c r="H1159" s="2"/>
      <c r="I1159" s="2"/>
    </row>
    <row r="1160" spans="1:9" x14ac:dyDescent="0.35">
      <c r="A1160" s="2" t="s">
        <v>1407</v>
      </c>
      <c r="B1160" s="2" t="s">
        <v>62</v>
      </c>
      <c r="C1160" s="2" t="s">
        <v>1580</v>
      </c>
      <c r="D1160" s="2" t="s">
        <v>345</v>
      </c>
      <c r="E1160" s="2" t="s">
        <v>346</v>
      </c>
      <c r="F1160" s="2"/>
      <c r="G1160" s="2"/>
      <c r="H1160" s="2"/>
      <c r="I1160" s="2"/>
    </row>
    <row r="1161" spans="1:9" x14ac:dyDescent="0.35">
      <c r="A1161" s="2" t="s">
        <v>1407</v>
      </c>
      <c r="B1161" s="2" t="s">
        <v>62</v>
      </c>
      <c r="C1161" s="2" t="s">
        <v>1581</v>
      </c>
      <c r="D1161" s="2" t="s">
        <v>196</v>
      </c>
      <c r="E1161" s="2" t="s">
        <v>197</v>
      </c>
      <c r="F1161" s="2"/>
      <c r="G1161" s="2"/>
      <c r="H1161" s="2"/>
      <c r="I1161" s="2"/>
    </row>
    <row r="1162" spans="1:9" x14ac:dyDescent="0.35">
      <c r="A1162" s="2" t="s">
        <v>1407</v>
      </c>
      <c r="B1162" s="2" t="s">
        <v>62</v>
      </c>
      <c r="C1162" s="2" t="s">
        <v>1581</v>
      </c>
      <c r="D1162" s="2" t="s">
        <v>319</v>
      </c>
      <c r="E1162" s="2" t="s">
        <v>320</v>
      </c>
      <c r="F1162" s="2"/>
      <c r="G1162" s="2"/>
      <c r="H1162" s="2"/>
      <c r="I1162" s="2"/>
    </row>
    <row r="1163" spans="1:9" x14ac:dyDescent="0.35">
      <c r="A1163" s="2" t="s">
        <v>1407</v>
      </c>
      <c r="B1163" s="2" t="s">
        <v>62</v>
      </c>
      <c r="C1163" s="2" t="s">
        <v>1581</v>
      </c>
      <c r="D1163" s="2" t="s">
        <v>321</v>
      </c>
      <c r="E1163" s="2" t="s">
        <v>321</v>
      </c>
      <c r="F1163" s="2"/>
      <c r="G1163" s="2"/>
      <c r="H1163" s="2"/>
      <c r="I1163" s="2"/>
    </row>
    <row r="1164" spans="1:9" x14ac:dyDescent="0.35">
      <c r="A1164" s="2" t="s">
        <v>1407</v>
      </c>
      <c r="B1164" s="2" t="s">
        <v>62</v>
      </c>
      <c r="C1164" s="2" t="s">
        <v>1581</v>
      </c>
      <c r="D1164" s="2" t="s">
        <v>322</v>
      </c>
      <c r="E1164" s="2" t="s">
        <v>246</v>
      </c>
      <c r="F1164" s="2"/>
      <c r="G1164" s="2"/>
      <c r="H1164" s="2"/>
      <c r="I1164" s="2"/>
    </row>
    <row r="1165" spans="1:9" x14ac:dyDescent="0.35">
      <c r="A1165" s="2" t="s">
        <v>1407</v>
      </c>
      <c r="B1165" s="2" t="s">
        <v>62</v>
      </c>
      <c r="C1165" s="2" t="s">
        <v>1581</v>
      </c>
      <c r="D1165" s="2" t="s">
        <v>323</v>
      </c>
      <c r="E1165" s="2" t="s">
        <v>246</v>
      </c>
      <c r="F1165" s="2"/>
      <c r="G1165" s="2"/>
      <c r="H1165" s="2"/>
      <c r="I1165" s="2"/>
    </row>
    <row r="1166" spans="1:9" x14ac:dyDescent="0.35">
      <c r="A1166" s="2" t="s">
        <v>1407</v>
      </c>
      <c r="B1166" s="2" t="s">
        <v>62</v>
      </c>
      <c r="C1166" s="2" t="s">
        <v>1581</v>
      </c>
      <c r="D1166" s="2" t="s">
        <v>324</v>
      </c>
      <c r="E1166" s="2" t="s">
        <v>246</v>
      </c>
      <c r="F1166" s="2"/>
      <c r="G1166" s="2"/>
      <c r="H1166" s="2"/>
      <c r="I1166" s="2"/>
    </row>
    <row r="1167" spans="1:9" x14ac:dyDescent="0.35">
      <c r="A1167" s="2" t="s">
        <v>1407</v>
      </c>
      <c r="B1167" s="2" t="s">
        <v>62</v>
      </c>
      <c r="C1167" s="2" t="s">
        <v>1581</v>
      </c>
      <c r="D1167" s="2" t="s">
        <v>325</v>
      </c>
      <c r="E1167" s="2" t="s">
        <v>1413</v>
      </c>
      <c r="F1167" s="2"/>
      <c r="G1167" s="2"/>
      <c r="H1167" s="2"/>
      <c r="I1167" s="2"/>
    </row>
    <row r="1168" spans="1:9" x14ac:dyDescent="0.35">
      <c r="A1168" s="2" t="s">
        <v>1407</v>
      </c>
      <c r="B1168" s="2" t="s">
        <v>62</v>
      </c>
      <c r="C1168" s="2" t="s">
        <v>1581</v>
      </c>
      <c r="D1168" s="2" t="s">
        <v>327</v>
      </c>
      <c r="E1168" s="2" t="s">
        <v>328</v>
      </c>
      <c r="F1168" s="2"/>
      <c r="G1168" s="2"/>
      <c r="H1168" s="2"/>
      <c r="I1168" s="2"/>
    </row>
    <row r="1169" spans="1:9" x14ac:dyDescent="0.35">
      <c r="A1169" s="2" t="s">
        <v>1407</v>
      </c>
      <c r="B1169" s="2" t="s">
        <v>62</v>
      </c>
      <c r="C1169" s="2" t="s">
        <v>1581</v>
      </c>
      <c r="D1169" s="2" t="s">
        <v>329</v>
      </c>
      <c r="E1169" s="2" t="s">
        <v>330</v>
      </c>
      <c r="F1169" s="2"/>
      <c r="G1169" s="2"/>
      <c r="H1169" s="2"/>
      <c r="I1169" s="2"/>
    </row>
    <row r="1170" spans="1:9" x14ac:dyDescent="0.35">
      <c r="A1170" s="2" t="s">
        <v>1407</v>
      </c>
      <c r="B1170" s="2" t="s">
        <v>62</v>
      </c>
      <c r="C1170" s="2" t="s">
        <v>1581</v>
      </c>
      <c r="D1170" s="2" t="s">
        <v>331</v>
      </c>
      <c r="E1170" s="2" t="s">
        <v>332</v>
      </c>
      <c r="F1170" s="2"/>
      <c r="G1170" s="2"/>
      <c r="H1170" s="2"/>
      <c r="I1170" s="2"/>
    </row>
    <row r="1171" spans="1:9" x14ac:dyDescent="0.35">
      <c r="A1171" s="2" t="s">
        <v>1407</v>
      </c>
      <c r="B1171" s="2" t="s">
        <v>62</v>
      </c>
      <c r="C1171" s="2" t="s">
        <v>1581</v>
      </c>
      <c r="D1171" s="2" t="s">
        <v>333</v>
      </c>
      <c r="E1171" s="2" t="s">
        <v>334</v>
      </c>
      <c r="F1171" s="2"/>
      <c r="G1171" s="2"/>
      <c r="H1171" s="2"/>
      <c r="I1171" s="2"/>
    </row>
    <row r="1172" spans="1:9" x14ac:dyDescent="0.35">
      <c r="A1172" s="2" t="s">
        <v>1407</v>
      </c>
      <c r="B1172" s="2" t="s">
        <v>62</v>
      </c>
      <c r="C1172" s="2" t="s">
        <v>1581</v>
      </c>
      <c r="D1172" s="2" t="s">
        <v>1297</v>
      </c>
      <c r="E1172" s="2" t="s">
        <v>533</v>
      </c>
      <c r="F1172" s="2"/>
      <c r="G1172" s="2"/>
      <c r="H1172" s="2"/>
      <c r="I1172" s="2"/>
    </row>
    <row r="1173" spans="1:9" x14ac:dyDescent="0.35">
      <c r="A1173" s="2" t="s">
        <v>1407</v>
      </c>
      <c r="B1173" s="2" t="s">
        <v>62</v>
      </c>
      <c r="C1173" s="2" t="s">
        <v>1581</v>
      </c>
      <c r="D1173" s="2" t="s">
        <v>335</v>
      </c>
      <c r="E1173" s="2" t="s">
        <v>336</v>
      </c>
      <c r="F1173" s="2"/>
      <c r="G1173" s="2"/>
      <c r="H1173" s="2"/>
      <c r="I1173" s="2"/>
    </row>
    <row r="1174" spans="1:9" x14ac:dyDescent="0.35">
      <c r="A1174" s="2" t="s">
        <v>1407</v>
      </c>
      <c r="B1174" s="2" t="s">
        <v>62</v>
      </c>
      <c r="C1174" s="2" t="s">
        <v>1581</v>
      </c>
      <c r="D1174" s="2" t="s">
        <v>337</v>
      </c>
      <c r="E1174" s="2" t="s">
        <v>338</v>
      </c>
      <c r="F1174" s="2"/>
      <c r="G1174" s="2"/>
      <c r="H1174" s="2"/>
      <c r="I1174" s="2"/>
    </row>
    <row r="1175" spans="1:9" x14ac:dyDescent="0.35">
      <c r="A1175" s="2" t="s">
        <v>1407</v>
      </c>
      <c r="B1175" s="2" t="s">
        <v>62</v>
      </c>
      <c r="C1175" s="2" t="s">
        <v>1581</v>
      </c>
      <c r="D1175" s="2" t="s">
        <v>339</v>
      </c>
      <c r="E1175" s="2" t="s">
        <v>340</v>
      </c>
      <c r="F1175" s="2"/>
      <c r="G1175" s="2"/>
      <c r="H1175" s="2"/>
      <c r="I1175" s="2"/>
    </row>
    <row r="1176" spans="1:9" x14ac:dyDescent="0.35">
      <c r="A1176" s="2" t="s">
        <v>1407</v>
      </c>
      <c r="B1176" s="2" t="s">
        <v>62</v>
      </c>
      <c r="C1176" s="2" t="s">
        <v>1581</v>
      </c>
      <c r="D1176" s="2" t="s">
        <v>341</v>
      </c>
      <c r="E1176" s="2" t="s">
        <v>342</v>
      </c>
      <c r="F1176" s="2"/>
      <c r="G1176" s="2"/>
      <c r="H1176" s="2"/>
      <c r="I1176" s="2"/>
    </row>
    <row r="1177" spans="1:9" x14ac:dyDescent="0.35">
      <c r="A1177" s="2" t="s">
        <v>1407</v>
      </c>
      <c r="B1177" s="2" t="s">
        <v>62</v>
      </c>
      <c r="C1177" s="2" t="s">
        <v>1581</v>
      </c>
      <c r="D1177" s="2" t="s">
        <v>343</v>
      </c>
      <c r="E1177" s="2" t="s">
        <v>344</v>
      </c>
      <c r="F1177" s="2"/>
      <c r="G1177" s="2"/>
      <c r="H1177" s="2"/>
      <c r="I1177" s="2"/>
    </row>
    <row r="1178" spans="1:9" x14ac:dyDescent="0.35">
      <c r="A1178" s="2" t="s">
        <v>1407</v>
      </c>
      <c r="B1178" s="2" t="s">
        <v>62</v>
      </c>
      <c r="C1178" s="2" t="s">
        <v>1581</v>
      </c>
      <c r="D1178" s="2" t="s">
        <v>345</v>
      </c>
      <c r="E1178" s="2" t="s">
        <v>346</v>
      </c>
      <c r="F1178" s="2"/>
      <c r="G1178" s="2"/>
      <c r="H1178" s="2"/>
      <c r="I1178" s="2"/>
    </row>
    <row r="1179" spans="1:9" x14ac:dyDescent="0.35">
      <c r="A1179" s="2" t="s">
        <v>1407</v>
      </c>
      <c r="B1179" s="2" t="s">
        <v>62</v>
      </c>
      <c r="C1179" s="2" t="s">
        <v>1582</v>
      </c>
      <c r="D1179" s="2" t="s">
        <v>319</v>
      </c>
      <c r="E1179" s="2" t="s">
        <v>320</v>
      </c>
      <c r="F1179" s="2"/>
      <c r="G1179" s="2"/>
      <c r="H1179" s="2"/>
      <c r="I1179" s="2"/>
    </row>
    <row r="1180" spans="1:9" x14ac:dyDescent="0.35">
      <c r="A1180" s="2" t="s">
        <v>1407</v>
      </c>
      <c r="B1180" s="2" t="s">
        <v>62</v>
      </c>
      <c r="C1180" s="2" t="s">
        <v>1582</v>
      </c>
      <c r="D1180" s="2" t="s">
        <v>321</v>
      </c>
      <c r="E1180" s="2" t="s">
        <v>321</v>
      </c>
      <c r="F1180" s="2"/>
      <c r="G1180" s="2"/>
      <c r="H1180" s="2"/>
      <c r="I1180" s="2"/>
    </row>
    <row r="1181" spans="1:9" x14ac:dyDescent="0.35">
      <c r="A1181" s="2" t="s">
        <v>1407</v>
      </c>
      <c r="B1181" s="2" t="s">
        <v>62</v>
      </c>
      <c r="C1181" s="2" t="s">
        <v>1582</v>
      </c>
      <c r="D1181" s="2" t="s">
        <v>322</v>
      </c>
      <c r="E1181" s="2" t="s">
        <v>246</v>
      </c>
      <c r="F1181" s="2"/>
      <c r="G1181" s="2"/>
      <c r="H1181" s="2"/>
      <c r="I1181" s="2"/>
    </row>
    <row r="1182" spans="1:9" x14ac:dyDescent="0.35">
      <c r="A1182" s="2" t="s">
        <v>1407</v>
      </c>
      <c r="B1182" s="2" t="s">
        <v>62</v>
      </c>
      <c r="C1182" s="2" t="s">
        <v>1582</v>
      </c>
      <c r="D1182" s="2" t="s">
        <v>323</v>
      </c>
      <c r="E1182" s="2" t="s">
        <v>246</v>
      </c>
      <c r="F1182" s="2"/>
      <c r="G1182" s="2"/>
      <c r="H1182" s="2"/>
      <c r="I1182" s="2"/>
    </row>
    <row r="1183" spans="1:9" x14ac:dyDescent="0.35">
      <c r="A1183" s="2" t="s">
        <v>1407</v>
      </c>
      <c r="B1183" s="2" t="s">
        <v>62</v>
      </c>
      <c r="C1183" s="2" t="s">
        <v>1582</v>
      </c>
      <c r="D1183" s="2" t="s">
        <v>324</v>
      </c>
      <c r="E1183" s="2" t="s">
        <v>246</v>
      </c>
      <c r="F1183" s="2"/>
      <c r="G1183" s="2"/>
      <c r="H1183" s="2"/>
      <c r="I1183" s="2"/>
    </row>
    <row r="1184" spans="1:9" x14ac:dyDescent="0.35">
      <c r="A1184" s="2" t="s">
        <v>1407</v>
      </c>
      <c r="B1184" s="2" t="s">
        <v>62</v>
      </c>
      <c r="C1184" s="2" t="s">
        <v>1582</v>
      </c>
      <c r="D1184" s="2" t="s">
        <v>325</v>
      </c>
      <c r="E1184" s="2" t="s">
        <v>1413</v>
      </c>
      <c r="F1184" s="2"/>
      <c r="G1184" s="2"/>
      <c r="H1184" s="2"/>
      <c r="I1184" s="2"/>
    </row>
    <row r="1185" spans="1:9" x14ac:dyDescent="0.35">
      <c r="A1185" s="2" t="s">
        <v>1407</v>
      </c>
      <c r="B1185" s="2" t="s">
        <v>62</v>
      </c>
      <c r="C1185" s="2" t="s">
        <v>1582</v>
      </c>
      <c r="D1185" s="2" t="s">
        <v>327</v>
      </c>
      <c r="E1185" s="2" t="s">
        <v>328</v>
      </c>
      <c r="F1185" s="2"/>
      <c r="G1185" s="2"/>
      <c r="H1185" s="2"/>
      <c r="I1185" s="2"/>
    </row>
    <row r="1186" spans="1:9" x14ac:dyDescent="0.35">
      <c r="A1186" s="2" t="s">
        <v>1407</v>
      </c>
      <c r="B1186" s="2" t="s">
        <v>62</v>
      </c>
      <c r="C1186" s="2" t="s">
        <v>1582</v>
      </c>
      <c r="D1186" s="2" t="s">
        <v>329</v>
      </c>
      <c r="E1186" s="2" t="s">
        <v>330</v>
      </c>
      <c r="F1186" s="2"/>
      <c r="G1186" s="2"/>
      <c r="H1186" s="2"/>
      <c r="I1186" s="2"/>
    </row>
    <row r="1187" spans="1:9" x14ac:dyDescent="0.35">
      <c r="A1187" s="2" t="s">
        <v>1407</v>
      </c>
      <c r="B1187" s="2" t="s">
        <v>62</v>
      </c>
      <c r="C1187" s="2" t="s">
        <v>1582</v>
      </c>
      <c r="D1187" s="2" t="s">
        <v>331</v>
      </c>
      <c r="E1187" s="2" t="s">
        <v>332</v>
      </c>
      <c r="F1187" s="2"/>
      <c r="G1187" s="2"/>
      <c r="H1187" s="2"/>
      <c r="I1187" s="2"/>
    </row>
    <row r="1188" spans="1:9" x14ac:dyDescent="0.35">
      <c r="A1188" s="2" t="s">
        <v>1407</v>
      </c>
      <c r="B1188" s="2" t="s">
        <v>62</v>
      </c>
      <c r="C1188" s="2" t="s">
        <v>1582</v>
      </c>
      <c r="D1188" s="2" t="s">
        <v>333</v>
      </c>
      <c r="E1188" s="2" t="s">
        <v>334</v>
      </c>
      <c r="F1188" s="2"/>
      <c r="G1188" s="2"/>
      <c r="H1188" s="2"/>
      <c r="I1188" s="2"/>
    </row>
    <row r="1189" spans="1:9" x14ac:dyDescent="0.35">
      <c r="A1189" s="2" t="s">
        <v>1407</v>
      </c>
      <c r="B1189" s="2" t="s">
        <v>62</v>
      </c>
      <c r="C1189" s="2" t="s">
        <v>1582</v>
      </c>
      <c r="D1189" s="2" t="s">
        <v>1297</v>
      </c>
      <c r="E1189" s="2" t="s">
        <v>533</v>
      </c>
      <c r="F1189" s="2"/>
      <c r="G1189" s="2"/>
      <c r="H1189" s="2"/>
      <c r="I1189" s="2"/>
    </row>
    <row r="1190" spans="1:9" x14ac:dyDescent="0.35">
      <c r="A1190" s="2" t="s">
        <v>1407</v>
      </c>
      <c r="B1190" s="2" t="s">
        <v>62</v>
      </c>
      <c r="C1190" s="2" t="s">
        <v>1582</v>
      </c>
      <c r="D1190" s="2" t="s">
        <v>335</v>
      </c>
      <c r="E1190" s="2" t="s">
        <v>336</v>
      </c>
      <c r="F1190" s="2"/>
      <c r="G1190" s="2"/>
      <c r="H1190" s="2"/>
      <c r="I1190" s="2"/>
    </row>
    <row r="1191" spans="1:9" x14ac:dyDescent="0.35">
      <c r="A1191" s="2" t="s">
        <v>1407</v>
      </c>
      <c r="B1191" s="2" t="s">
        <v>62</v>
      </c>
      <c r="C1191" s="2" t="s">
        <v>1582</v>
      </c>
      <c r="D1191" s="2" t="s">
        <v>337</v>
      </c>
      <c r="E1191" s="2" t="s">
        <v>338</v>
      </c>
      <c r="F1191" s="2"/>
      <c r="G1191" s="2"/>
      <c r="H1191" s="2"/>
      <c r="I1191" s="2"/>
    </row>
    <row r="1192" spans="1:9" x14ac:dyDescent="0.35">
      <c r="A1192" s="2" t="s">
        <v>1407</v>
      </c>
      <c r="B1192" s="2" t="s">
        <v>62</v>
      </c>
      <c r="C1192" s="2" t="s">
        <v>1582</v>
      </c>
      <c r="D1192" s="2" t="s">
        <v>339</v>
      </c>
      <c r="E1192" s="2" t="s">
        <v>340</v>
      </c>
      <c r="F1192" s="2"/>
      <c r="G1192" s="2"/>
      <c r="H1192" s="2"/>
      <c r="I1192" s="2"/>
    </row>
    <row r="1193" spans="1:9" x14ac:dyDescent="0.35">
      <c r="A1193" s="2" t="s">
        <v>1407</v>
      </c>
      <c r="B1193" s="2" t="s">
        <v>62</v>
      </c>
      <c r="C1193" s="2" t="s">
        <v>1582</v>
      </c>
      <c r="D1193" s="2" t="s">
        <v>341</v>
      </c>
      <c r="E1193" s="2" t="s">
        <v>342</v>
      </c>
      <c r="F1193" s="2"/>
      <c r="G1193" s="2"/>
      <c r="H1193" s="2"/>
      <c r="I1193" s="2"/>
    </row>
    <row r="1194" spans="1:9" x14ac:dyDescent="0.35">
      <c r="A1194" s="2" t="s">
        <v>1407</v>
      </c>
      <c r="B1194" s="2" t="s">
        <v>62</v>
      </c>
      <c r="C1194" s="2" t="s">
        <v>1582</v>
      </c>
      <c r="D1194" s="2" t="s">
        <v>343</v>
      </c>
      <c r="E1194" s="2" t="s">
        <v>344</v>
      </c>
      <c r="F1194" s="2"/>
      <c r="G1194" s="2"/>
      <c r="H1194" s="2"/>
      <c r="I1194" s="2"/>
    </row>
    <row r="1195" spans="1:9" x14ac:dyDescent="0.35">
      <c r="A1195" s="2" t="s">
        <v>1407</v>
      </c>
      <c r="B1195" s="2" t="s">
        <v>62</v>
      </c>
      <c r="C1195" s="2" t="s">
        <v>1582</v>
      </c>
      <c r="D1195" s="2" t="s">
        <v>345</v>
      </c>
      <c r="E1195" s="2" t="s">
        <v>346</v>
      </c>
      <c r="F1195" s="2"/>
      <c r="G1195" s="2"/>
      <c r="H1195" s="2"/>
      <c r="I1195" s="2"/>
    </row>
    <row r="1196" spans="1:9" x14ac:dyDescent="0.35">
      <c r="A1196" s="2" t="s">
        <v>1407</v>
      </c>
      <c r="B1196" s="2" t="s">
        <v>62</v>
      </c>
      <c r="C1196" s="2" t="s">
        <v>1583</v>
      </c>
      <c r="D1196" s="2" t="s">
        <v>196</v>
      </c>
      <c r="E1196" s="2" t="s">
        <v>197</v>
      </c>
      <c r="F1196" s="2"/>
      <c r="G1196" s="2"/>
      <c r="H1196" s="2"/>
      <c r="I1196" s="2"/>
    </row>
    <row r="1197" spans="1:9" x14ac:dyDescent="0.35">
      <c r="A1197" s="2" t="s">
        <v>1407</v>
      </c>
      <c r="B1197" s="2" t="s">
        <v>62</v>
      </c>
      <c r="C1197" s="2" t="s">
        <v>1583</v>
      </c>
      <c r="D1197" s="2" t="s">
        <v>319</v>
      </c>
      <c r="E1197" s="2" t="s">
        <v>320</v>
      </c>
      <c r="F1197" s="2"/>
      <c r="G1197" s="2"/>
      <c r="H1197" s="2"/>
      <c r="I1197" s="2"/>
    </row>
    <row r="1198" spans="1:9" x14ac:dyDescent="0.35">
      <c r="A1198" s="2" t="s">
        <v>1407</v>
      </c>
      <c r="B1198" s="2" t="s">
        <v>62</v>
      </c>
      <c r="C1198" s="2" t="s">
        <v>1583</v>
      </c>
      <c r="D1198" s="2" t="s">
        <v>321</v>
      </c>
      <c r="E1198" s="2" t="s">
        <v>321</v>
      </c>
      <c r="F1198" s="2"/>
      <c r="G1198" s="2"/>
      <c r="H1198" s="2"/>
      <c r="I1198" s="2"/>
    </row>
    <row r="1199" spans="1:9" x14ac:dyDescent="0.35">
      <c r="A1199" s="2" t="s">
        <v>1407</v>
      </c>
      <c r="B1199" s="2" t="s">
        <v>62</v>
      </c>
      <c r="C1199" s="2" t="s">
        <v>1583</v>
      </c>
      <c r="D1199" s="2" t="s">
        <v>322</v>
      </c>
      <c r="E1199" s="2" t="s">
        <v>246</v>
      </c>
      <c r="F1199" s="2"/>
      <c r="G1199" s="2"/>
      <c r="H1199" s="2"/>
      <c r="I1199" s="2"/>
    </row>
    <row r="1200" spans="1:9" x14ac:dyDescent="0.35">
      <c r="A1200" s="2" t="s">
        <v>1407</v>
      </c>
      <c r="B1200" s="2" t="s">
        <v>62</v>
      </c>
      <c r="C1200" s="2" t="s">
        <v>1583</v>
      </c>
      <c r="D1200" s="2" t="s">
        <v>323</v>
      </c>
      <c r="E1200" s="2" t="s">
        <v>246</v>
      </c>
      <c r="F1200" s="2"/>
      <c r="G1200" s="2"/>
      <c r="H1200" s="2"/>
      <c r="I1200" s="2"/>
    </row>
    <row r="1201" spans="1:9" x14ac:dyDescent="0.35">
      <c r="A1201" s="2" t="s">
        <v>1407</v>
      </c>
      <c r="B1201" s="2" t="s">
        <v>62</v>
      </c>
      <c r="C1201" s="2" t="s">
        <v>1583</v>
      </c>
      <c r="D1201" s="2" t="s">
        <v>324</v>
      </c>
      <c r="E1201" s="2" t="s">
        <v>246</v>
      </c>
      <c r="F1201" s="2"/>
      <c r="G1201" s="2"/>
      <c r="H1201" s="2"/>
      <c r="I1201" s="2"/>
    </row>
    <row r="1202" spans="1:9" x14ac:dyDescent="0.35">
      <c r="A1202" s="2" t="s">
        <v>1407</v>
      </c>
      <c r="B1202" s="2" t="s">
        <v>62</v>
      </c>
      <c r="C1202" s="2" t="s">
        <v>1583</v>
      </c>
      <c r="D1202" s="2" t="s">
        <v>325</v>
      </c>
      <c r="E1202" s="2" t="s">
        <v>1413</v>
      </c>
      <c r="F1202" s="2"/>
      <c r="G1202" s="2"/>
      <c r="H1202" s="2"/>
      <c r="I1202" s="2"/>
    </row>
    <row r="1203" spans="1:9" x14ac:dyDescent="0.35">
      <c r="A1203" s="2" t="s">
        <v>1407</v>
      </c>
      <c r="B1203" s="2" t="s">
        <v>62</v>
      </c>
      <c r="C1203" s="2" t="s">
        <v>1583</v>
      </c>
      <c r="D1203" s="2" t="s">
        <v>327</v>
      </c>
      <c r="E1203" s="2" t="s">
        <v>328</v>
      </c>
      <c r="F1203" s="2"/>
      <c r="G1203" s="2"/>
      <c r="H1203" s="2"/>
      <c r="I1203" s="2"/>
    </row>
    <row r="1204" spans="1:9" x14ac:dyDescent="0.35">
      <c r="A1204" s="2" t="s">
        <v>1407</v>
      </c>
      <c r="B1204" s="2" t="s">
        <v>62</v>
      </c>
      <c r="C1204" s="2" t="s">
        <v>1583</v>
      </c>
      <c r="D1204" s="2" t="s">
        <v>329</v>
      </c>
      <c r="E1204" s="2" t="s">
        <v>330</v>
      </c>
      <c r="F1204" s="2"/>
      <c r="G1204" s="2"/>
      <c r="H1204" s="2"/>
      <c r="I1204" s="2"/>
    </row>
    <row r="1205" spans="1:9" x14ac:dyDescent="0.35">
      <c r="A1205" s="2" t="s">
        <v>1407</v>
      </c>
      <c r="B1205" s="2" t="s">
        <v>62</v>
      </c>
      <c r="C1205" s="2" t="s">
        <v>1583</v>
      </c>
      <c r="D1205" s="2" t="s">
        <v>331</v>
      </c>
      <c r="E1205" s="2" t="s">
        <v>332</v>
      </c>
      <c r="F1205" s="2"/>
      <c r="G1205" s="2"/>
      <c r="H1205" s="2"/>
      <c r="I1205" s="2"/>
    </row>
    <row r="1206" spans="1:9" x14ac:dyDescent="0.35">
      <c r="A1206" s="2" t="s">
        <v>1407</v>
      </c>
      <c r="B1206" s="2" t="s">
        <v>62</v>
      </c>
      <c r="C1206" s="2" t="s">
        <v>1583</v>
      </c>
      <c r="D1206" s="2" t="s">
        <v>333</v>
      </c>
      <c r="E1206" s="2" t="s">
        <v>334</v>
      </c>
      <c r="F1206" s="2"/>
      <c r="G1206" s="2"/>
      <c r="H1206" s="2"/>
      <c r="I1206" s="2"/>
    </row>
    <row r="1207" spans="1:9" x14ac:dyDescent="0.35">
      <c r="A1207" s="2" t="s">
        <v>1407</v>
      </c>
      <c r="B1207" s="2" t="s">
        <v>62</v>
      </c>
      <c r="C1207" s="2" t="s">
        <v>1583</v>
      </c>
      <c r="D1207" s="2" t="s">
        <v>1297</v>
      </c>
      <c r="E1207" s="2" t="s">
        <v>533</v>
      </c>
      <c r="F1207" s="2"/>
      <c r="G1207" s="2"/>
      <c r="H1207" s="2"/>
      <c r="I1207" s="2"/>
    </row>
    <row r="1208" spans="1:9" x14ac:dyDescent="0.35">
      <c r="A1208" s="2" t="s">
        <v>1407</v>
      </c>
      <c r="B1208" s="2" t="s">
        <v>62</v>
      </c>
      <c r="C1208" s="2" t="s">
        <v>1583</v>
      </c>
      <c r="D1208" s="2" t="s">
        <v>335</v>
      </c>
      <c r="E1208" s="2" t="s">
        <v>336</v>
      </c>
      <c r="F1208" s="2"/>
      <c r="G1208" s="2"/>
      <c r="H1208" s="2"/>
      <c r="I1208" s="2"/>
    </row>
    <row r="1209" spans="1:9" x14ac:dyDescent="0.35">
      <c r="A1209" s="2" t="s">
        <v>1407</v>
      </c>
      <c r="B1209" s="2" t="s">
        <v>62</v>
      </c>
      <c r="C1209" s="2" t="s">
        <v>1583</v>
      </c>
      <c r="D1209" s="2" t="s">
        <v>337</v>
      </c>
      <c r="E1209" s="2" t="s">
        <v>338</v>
      </c>
      <c r="F1209" s="2"/>
      <c r="G1209" s="2"/>
      <c r="H1209" s="2"/>
      <c r="I1209" s="2"/>
    </row>
    <row r="1210" spans="1:9" x14ac:dyDescent="0.35">
      <c r="A1210" s="2" t="s">
        <v>1407</v>
      </c>
      <c r="B1210" s="2" t="s">
        <v>62</v>
      </c>
      <c r="C1210" s="2" t="s">
        <v>1583</v>
      </c>
      <c r="D1210" s="2" t="s">
        <v>339</v>
      </c>
      <c r="E1210" s="2" t="s">
        <v>340</v>
      </c>
      <c r="F1210" s="2"/>
      <c r="G1210" s="2"/>
      <c r="H1210" s="2"/>
      <c r="I1210" s="2"/>
    </row>
    <row r="1211" spans="1:9" x14ac:dyDescent="0.35">
      <c r="A1211" s="2" t="s">
        <v>1407</v>
      </c>
      <c r="B1211" s="2" t="s">
        <v>62</v>
      </c>
      <c r="C1211" s="2" t="s">
        <v>1583</v>
      </c>
      <c r="D1211" s="2" t="s">
        <v>341</v>
      </c>
      <c r="E1211" s="2" t="s">
        <v>342</v>
      </c>
      <c r="F1211" s="2"/>
      <c r="G1211" s="2"/>
      <c r="H1211" s="2"/>
      <c r="I1211" s="2"/>
    </row>
    <row r="1212" spans="1:9" x14ac:dyDescent="0.35">
      <c r="A1212" s="2" t="s">
        <v>1407</v>
      </c>
      <c r="B1212" s="2" t="s">
        <v>62</v>
      </c>
      <c r="C1212" s="2" t="s">
        <v>1583</v>
      </c>
      <c r="D1212" s="2" t="s">
        <v>343</v>
      </c>
      <c r="E1212" s="2" t="s">
        <v>344</v>
      </c>
      <c r="F1212" s="2"/>
      <c r="G1212" s="2"/>
      <c r="H1212" s="2"/>
      <c r="I1212" s="2"/>
    </row>
    <row r="1213" spans="1:9" x14ac:dyDescent="0.35">
      <c r="A1213" s="2" t="s">
        <v>1407</v>
      </c>
      <c r="B1213" s="2" t="s">
        <v>62</v>
      </c>
      <c r="C1213" s="2" t="s">
        <v>1583</v>
      </c>
      <c r="D1213" s="2" t="s">
        <v>345</v>
      </c>
      <c r="E1213" s="2" t="s">
        <v>346</v>
      </c>
      <c r="F1213" s="2"/>
      <c r="G1213" s="2"/>
      <c r="H1213" s="2"/>
      <c r="I1213" s="2"/>
    </row>
    <row r="1214" spans="1:9" x14ac:dyDescent="0.35">
      <c r="A1214" s="2" t="s">
        <v>1407</v>
      </c>
      <c r="B1214" s="2" t="s">
        <v>62</v>
      </c>
      <c r="C1214" s="2" t="s">
        <v>1584</v>
      </c>
      <c r="D1214" s="2" t="s">
        <v>196</v>
      </c>
      <c r="E1214" s="2" t="s">
        <v>197</v>
      </c>
      <c r="F1214" s="2"/>
      <c r="G1214" s="2"/>
      <c r="H1214" s="2"/>
      <c r="I1214" s="2"/>
    </row>
    <row r="1215" spans="1:9" x14ac:dyDescent="0.35">
      <c r="A1215" s="2" t="s">
        <v>1407</v>
      </c>
      <c r="B1215" s="2" t="s">
        <v>62</v>
      </c>
      <c r="C1215" s="2" t="s">
        <v>1584</v>
      </c>
      <c r="D1215" s="2" t="s">
        <v>319</v>
      </c>
      <c r="E1215" s="2" t="s">
        <v>320</v>
      </c>
      <c r="F1215" s="2"/>
      <c r="G1215" s="2"/>
      <c r="H1215" s="2"/>
      <c r="I1215" s="2"/>
    </row>
    <row r="1216" spans="1:9" x14ac:dyDescent="0.35">
      <c r="A1216" s="2" t="s">
        <v>1407</v>
      </c>
      <c r="B1216" s="2" t="s">
        <v>62</v>
      </c>
      <c r="C1216" s="2" t="s">
        <v>1584</v>
      </c>
      <c r="D1216" s="2" t="s">
        <v>321</v>
      </c>
      <c r="E1216" s="2" t="s">
        <v>321</v>
      </c>
      <c r="F1216" s="2"/>
      <c r="G1216" s="2"/>
      <c r="H1216" s="2"/>
      <c r="I1216" s="2"/>
    </row>
    <row r="1217" spans="1:9" x14ac:dyDescent="0.35">
      <c r="A1217" s="2" t="s">
        <v>1407</v>
      </c>
      <c r="B1217" s="2" t="s">
        <v>62</v>
      </c>
      <c r="C1217" s="2" t="s">
        <v>1584</v>
      </c>
      <c r="D1217" s="2" t="s">
        <v>322</v>
      </c>
      <c r="E1217" s="2" t="s">
        <v>246</v>
      </c>
      <c r="F1217" s="2"/>
      <c r="G1217" s="2"/>
      <c r="H1217" s="2"/>
      <c r="I1217" s="2"/>
    </row>
    <row r="1218" spans="1:9" x14ac:dyDescent="0.35">
      <c r="A1218" s="2" t="s">
        <v>1407</v>
      </c>
      <c r="B1218" s="2" t="s">
        <v>62</v>
      </c>
      <c r="C1218" s="2" t="s">
        <v>1584</v>
      </c>
      <c r="D1218" s="2" t="s">
        <v>323</v>
      </c>
      <c r="E1218" s="2" t="s">
        <v>246</v>
      </c>
      <c r="F1218" s="2"/>
      <c r="G1218" s="2"/>
      <c r="H1218" s="2"/>
      <c r="I1218" s="2"/>
    </row>
    <row r="1219" spans="1:9" x14ac:dyDescent="0.35">
      <c r="A1219" s="2" t="s">
        <v>1407</v>
      </c>
      <c r="B1219" s="2" t="s">
        <v>62</v>
      </c>
      <c r="C1219" s="2" t="s">
        <v>1584</v>
      </c>
      <c r="D1219" s="2" t="s">
        <v>324</v>
      </c>
      <c r="E1219" s="2" t="s">
        <v>246</v>
      </c>
      <c r="F1219" s="2"/>
      <c r="G1219" s="2"/>
      <c r="H1219" s="2"/>
      <c r="I1219" s="2"/>
    </row>
    <row r="1220" spans="1:9" x14ac:dyDescent="0.35">
      <c r="A1220" s="2" t="s">
        <v>1407</v>
      </c>
      <c r="B1220" s="2" t="s">
        <v>62</v>
      </c>
      <c r="C1220" s="2" t="s">
        <v>1584</v>
      </c>
      <c r="D1220" s="2" t="s">
        <v>325</v>
      </c>
      <c r="E1220" s="2" t="s">
        <v>1413</v>
      </c>
      <c r="F1220" s="2"/>
      <c r="G1220" s="2"/>
      <c r="H1220" s="2"/>
      <c r="I1220" s="2"/>
    </row>
    <row r="1221" spans="1:9" x14ac:dyDescent="0.35">
      <c r="A1221" s="2" t="s">
        <v>1407</v>
      </c>
      <c r="B1221" s="2" t="s">
        <v>62</v>
      </c>
      <c r="C1221" s="2" t="s">
        <v>1584</v>
      </c>
      <c r="D1221" s="2" t="s">
        <v>327</v>
      </c>
      <c r="E1221" s="2" t="s">
        <v>328</v>
      </c>
      <c r="F1221" s="2"/>
      <c r="G1221" s="2"/>
      <c r="H1221" s="2"/>
      <c r="I1221" s="2"/>
    </row>
    <row r="1222" spans="1:9" x14ac:dyDescent="0.35">
      <c r="A1222" s="2" t="s">
        <v>1407</v>
      </c>
      <c r="B1222" s="2" t="s">
        <v>62</v>
      </c>
      <c r="C1222" s="2" t="s">
        <v>1584</v>
      </c>
      <c r="D1222" s="2" t="s">
        <v>329</v>
      </c>
      <c r="E1222" s="2" t="s">
        <v>330</v>
      </c>
      <c r="F1222" s="2"/>
      <c r="G1222" s="2"/>
      <c r="H1222" s="2"/>
      <c r="I1222" s="2"/>
    </row>
    <row r="1223" spans="1:9" x14ac:dyDescent="0.35">
      <c r="A1223" s="2" t="s">
        <v>1407</v>
      </c>
      <c r="B1223" s="2" t="s">
        <v>62</v>
      </c>
      <c r="C1223" s="2" t="s">
        <v>1584</v>
      </c>
      <c r="D1223" s="2" t="s">
        <v>331</v>
      </c>
      <c r="E1223" s="2" t="s">
        <v>332</v>
      </c>
      <c r="F1223" s="2"/>
      <c r="G1223" s="2"/>
      <c r="H1223" s="2"/>
      <c r="I1223" s="2"/>
    </row>
    <row r="1224" spans="1:9" x14ac:dyDescent="0.35">
      <c r="A1224" s="2" t="s">
        <v>1407</v>
      </c>
      <c r="B1224" s="2" t="s">
        <v>62</v>
      </c>
      <c r="C1224" s="2" t="s">
        <v>1584</v>
      </c>
      <c r="D1224" s="2" t="s">
        <v>333</v>
      </c>
      <c r="E1224" s="2" t="s">
        <v>334</v>
      </c>
      <c r="F1224" s="2"/>
      <c r="G1224" s="2"/>
      <c r="H1224" s="2"/>
      <c r="I1224" s="2"/>
    </row>
    <row r="1225" spans="1:9" x14ac:dyDescent="0.35">
      <c r="A1225" s="2" t="s">
        <v>1407</v>
      </c>
      <c r="B1225" s="2" t="s">
        <v>62</v>
      </c>
      <c r="C1225" s="2" t="s">
        <v>1584</v>
      </c>
      <c r="D1225" s="2" t="s">
        <v>1297</v>
      </c>
      <c r="E1225" s="2" t="s">
        <v>533</v>
      </c>
      <c r="F1225" s="2"/>
      <c r="G1225" s="2"/>
      <c r="H1225" s="2"/>
      <c r="I1225" s="2"/>
    </row>
    <row r="1226" spans="1:9" x14ac:dyDescent="0.35">
      <c r="A1226" s="2" t="s">
        <v>1407</v>
      </c>
      <c r="B1226" s="2" t="s">
        <v>62</v>
      </c>
      <c r="C1226" s="2" t="s">
        <v>1584</v>
      </c>
      <c r="D1226" s="2" t="s">
        <v>335</v>
      </c>
      <c r="E1226" s="2" t="s">
        <v>336</v>
      </c>
      <c r="F1226" s="2"/>
      <c r="G1226" s="2"/>
      <c r="H1226" s="2"/>
      <c r="I1226" s="2"/>
    </row>
    <row r="1227" spans="1:9" x14ac:dyDescent="0.35">
      <c r="A1227" s="2" t="s">
        <v>1407</v>
      </c>
      <c r="B1227" s="2" t="s">
        <v>62</v>
      </c>
      <c r="C1227" s="2" t="s">
        <v>1584</v>
      </c>
      <c r="D1227" s="2" t="s">
        <v>337</v>
      </c>
      <c r="E1227" s="2" t="s">
        <v>338</v>
      </c>
      <c r="F1227" s="2"/>
      <c r="G1227" s="2"/>
      <c r="H1227" s="2"/>
      <c r="I1227" s="2"/>
    </row>
    <row r="1228" spans="1:9" x14ac:dyDescent="0.35">
      <c r="A1228" s="2" t="s">
        <v>1407</v>
      </c>
      <c r="B1228" s="2" t="s">
        <v>62</v>
      </c>
      <c r="C1228" s="2" t="s">
        <v>1584</v>
      </c>
      <c r="D1228" s="2" t="s">
        <v>339</v>
      </c>
      <c r="E1228" s="2" t="s">
        <v>340</v>
      </c>
      <c r="F1228" s="2"/>
      <c r="G1228" s="2"/>
      <c r="H1228" s="2"/>
      <c r="I1228" s="2"/>
    </row>
    <row r="1229" spans="1:9" x14ac:dyDescent="0.35">
      <c r="A1229" s="2" t="s">
        <v>1407</v>
      </c>
      <c r="B1229" s="2" t="s">
        <v>62</v>
      </c>
      <c r="C1229" s="2" t="s">
        <v>1584</v>
      </c>
      <c r="D1229" s="2" t="s">
        <v>341</v>
      </c>
      <c r="E1229" s="2" t="s">
        <v>342</v>
      </c>
      <c r="F1229" s="2"/>
      <c r="G1229" s="2"/>
      <c r="H1229" s="2"/>
      <c r="I1229" s="2"/>
    </row>
    <row r="1230" spans="1:9" x14ac:dyDescent="0.35">
      <c r="A1230" s="2" t="s">
        <v>1407</v>
      </c>
      <c r="B1230" s="2" t="s">
        <v>62</v>
      </c>
      <c r="C1230" s="2" t="s">
        <v>1584</v>
      </c>
      <c r="D1230" s="2" t="s">
        <v>343</v>
      </c>
      <c r="E1230" s="2" t="s">
        <v>344</v>
      </c>
      <c r="F1230" s="2"/>
      <c r="G1230" s="2"/>
      <c r="H1230" s="2"/>
      <c r="I1230" s="2"/>
    </row>
    <row r="1231" spans="1:9" x14ac:dyDescent="0.35">
      <c r="A1231" s="2" t="s">
        <v>1407</v>
      </c>
      <c r="B1231" s="2" t="s">
        <v>62</v>
      </c>
      <c r="C1231" s="2" t="s">
        <v>1584</v>
      </c>
      <c r="D1231" s="2" t="s">
        <v>345</v>
      </c>
      <c r="E1231" s="2" t="s">
        <v>346</v>
      </c>
      <c r="F1231" s="2"/>
      <c r="G1231" s="2"/>
      <c r="H1231" s="2"/>
      <c r="I1231" s="2"/>
    </row>
    <row r="1232" spans="1:9" x14ac:dyDescent="0.35">
      <c r="A1232" s="2" t="s">
        <v>1407</v>
      </c>
      <c r="B1232" s="2" t="s">
        <v>62</v>
      </c>
      <c r="C1232" s="2" t="s">
        <v>1585</v>
      </c>
      <c r="D1232" s="2" t="s">
        <v>319</v>
      </c>
      <c r="E1232" s="2" t="s">
        <v>320</v>
      </c>
      <c r="F1232" s="2"/>
      <c r="G1232" s="2"/>
      <c r="H1232" s="2"/>
      <c r="I1232" s="2"/>
    </row>
    <row r="1233" spans="1:9" x14ac:dyDescent="0.35">
      <c r="A1233" s="2" t="s">
        <v>1407</v>
      </c>
      <c r="B1233" s="2" t="s">
        <v>62</v>
      </c>
      <c r="C1233" s="2" t="s">
        <v>1585</v>
      </c>
      <c r="D1233" s="2" t="s">
        <v>321</v>
      </c>
      <c r="E1233" s="2" t="s">
        <v>321</v>
      </c>
      <c r="F1233" s="2"/>
      <c r="G1233" s="2"/>
      <c r="H1233" s="2"/>
      <c r="I1233" s="2"/>
    </row>
    <row r="1234" spans="1:9" x14ac:dyDescent="0.35">
      <c r="A1234" s="2" t="s">
        <v>1407</v>
      </c>
      <c r="B1234" s="2" t="s">
        <v>62</v>
      </c>
      <c r="C1234" s="2" t="s">
        <v>1585</v>
      </c>
      <c r="D1234" s="2" t="s">
        <v>1586</v>
      </c>
      <c r="E1234" s="2" t="s">
        <v>1413</v>
      </c>
      <c r="F1234" s="2"/>
      <c r="G1234" s="2"/>
      <c r="H1234" s="2"/>
      <c r="I1234" s="2"/>
    </row>
    <row r="1235" spans="1:9" x14ac:dyDescent="0.35">
      <c r="A1235" s="2" t="s">
        <v>1407</v>
      </c>
      <c r="B1235" s="2" t="s">
        <v>62</v>
      </c>
      <c r="C1235" s="2" t="s">
        <v>1585</v>
      </c>
      <c r="D1235" s="2" t="s">
        <v>322</v>
      </c>
      <c r="E1235" s="2" t="s">
        <v>246</v>
      </c>
      <c r="F1235" s="2"/>
      <c r="G1235" s="2"/>
      <c r="H1235" s="2"/>
      <c r="I1235" s="2"/>
    </row>
    <row r="1236" spans="1:9" x14ac:dyDescent="0.35">
      <c r="A1236" s="2" t="s">
        <v>1407</v>
      </c>
      <c r="B1236" s="2" t="s">
        <v>62</v>
      </c>
      <c r="C1236" s="2" t="s">
        <v>1585</v>
      </c>
      <c r="D1236" s="2" t="s">
        <v>323</v>
      </c>
      <c r="E1236" s="2" t="s">
        <v>246</v>
      </c>
      <c r="F1236" s="2"/>
      <c r="G1236" s="2"/>
      <c r="H1236" s="2"/>
      <c r="I1236" s="2"/>
    </row>
    <row r="1237" spans="1:9" x14ac:dyDescent="0.35">
      <c r="A1237" s="2" t="s">
        <v>1407</v>
      </c>
      <c r="B1237" s="2" t="s">
        <v>62</v>
      </c>
      <c r="C1237" s="2" t="s">
        <v>1585</v>
      </c>
      <c r="D1237" s="2" t="s">
        <v>324</v>
      </c>
      <c r="E1237" s="2" t="s">
        <v>246</v>
      </c>
      <c r="F1237" s="2"/>
      <c r="G1237" s="2"/>
      <c r="H1237" s="2"/>
      <c r="I1237" s="2"/>
    </row>
    <row r="1238" spans="1:9" x14ac:dyDescent="0.35">
      <c r="A1238" s="2" t="s">
        <v>1407</v>
      </c>
      <c r="B1238" s="2" t="s">
        <v>62</v>
      </c>
      <c r="C1238" s="2" t="s">
        <v>1585</v>
      </c>
      <c r="D1238" s="2" t="s">
        <v>325</v>
      </c>
      <c r="E1238" s="2" t="s">
        <v>1413</v>
      </c>
      <c r="F1238" s="2"/>
      <c r="G1238" s="2"/>
      <c r="H1238" s="2"/>
      <c r="I1238" s="2"/>
    </row>
    <row r="1239" spans="1:9" x14ac:dyDescent="0.35">
      <c r="A1239" s="2" t="s">
        <v>1407</v>
      </c>
      <c r="B1239" s="2" t="s">
        <v>62</v>
      </c>
      <c r="C1239" s="2" t="s">
        <v>1585</v>
      </c>
      <c r="D1239" s="2" t="s">
        <v>327</v>
      </c>
      <c r="E1239" s="2" t="s">
        <v>328</v>
      </c>
      <c r="F1239" s="2"/>
      <c r="G1239" s="2"/>
      <c r="H1239" s="2"/>
      <c r="I1239" s="2"/>
    </row>
    <row r="1240" spans="1:9" x14ac:dyDescent="0.35">
      <c r="A1240" s="2" t="s">
        <v>1407</v>
      </c>
      <c r="B1240" s="2" t="s">
        <v>62</v>
      </c>
      <c r="C1240" s="2" t="s">
        <v>1585</v>
      </c>
      <c r="D1240" s="2" t="s">
        <v>329</v>
      </c>
      <c r="E1240" s="2" t="s">
        <v>330</v>
      </c>
      <c r="F1240" s="2"/>
      <c r="G1240" s="2"/>
      <c r="H1240" s="2"/>
      <c r="I1240" s="2"/>
    </row>
    <row r="1241" spans="1:9" x14ac:dyDescent="0.35">
      <c r="A1241" s="2" t="s">
        <v>1407</v>
      </c>
      <c r="B1241" s="2" t="s">
        <v>62</v>
      </c>
      <c r="C1241" s="2" t="s">
        <v>1585</v>
      </c>
      <c r="D1241" s="2" t="s">
        <v>331</v>
      </c>
      <c r="E1241" s="2" t="s">
        <v>332</v>
      </c>
      <c r="F1241" s="2"/>
      <c r="G1241" s="2"/>
      <c r="H1241" s="2"/>
      <c r="I1241" s="2"/>
    </row>
    <row r="1242" spans="1:9" x14ac:dyDescent="0.35">
      <c r="A1242" s="2" t="s">
        <v>1407</v>
      </c>
      <c r="B1242" s="2" t="s">
        <v>62</v>
      </c>
      <c r="C1242" s="2" t="s">
        <v>1585</v>
      </c>
      <c r="D1242" s="2" t="s">
        <v>333</v>
      </c>
      <c r="E1242" s="2" t="s">
        <v>334</v>
      </c>
      <c r="F1242" s="2"/>
      <c r="G1242" s="2"/>
      <c r="H1242" s="2"/>
      <c r="I1242" s="2"/>
    </row>
    <row r="1243" spans="1:9" x14ac:dyDescent="0.35">
      <c r="A1243" s="2" t="s">
        <v>1407</v>
      </c>
      <c r="B1243" s="2" t="s">
        <v>62</v>
      </c>
      <c r="C1243" s="2" t="s">
        <v>1585</v>
      </c>
      <c r="D1243" s="2" t="s">
        <v>1297</v>
      </c>
      <c r="E1243" s="2" t="s">
        <v>533</v>
      </c>
      <c r="F1243" s="2"/>
      <c r="G1243" s="2"/>
      <c r="H1243" s="2"/>
      <c r="I1243" s="2"/>
    </row>
    <row r="1244" spans="1:9" x14ac:dyDescent="0.35">
      <c r="A1244" s="2" t="s">
        <v>1407</v>
      </c>
      <c r="B1244" s="2" t="s">
        <v>62</v>
      </c>
      <c r="C1244" s="2" t="s">
        <v>1585</v>
      </c>
      <c r="D1244" s="2" t="s">
        <v>335</v>
      </c>
      <c r="E1244" s="2" t="s">
        <v>336</v>
      </c>
      <c r="F1244" s="2"/>
      <c r="G1244" s="2"/>
      <c r="H1244" s="2"/>
      <c r="I1244" s="2"/>
    </row>
    <row r="1245" spans="1:9" x14ac:dyDescent="0.35">
      <c r="A1245" s="2" t="s">
        <v>1407</v>
      </c>
      <c r="B1245" s="2" t="s">
        <v>62</v>
      </c>
      <c r="C1245" s="2" t="s">
        <v>1585</v>
      </c>
      <c r="D1245" s="2" t="s">
        <v>337</v>
      </c>
      <c r="E1245" s="2" t="s">
        <v>338</v>
      </c>
      <c r="F1245" s="2"/>
      <c r="G1245" s="2"/>
      <c r="H1245" s="2"/>
      <c r="I1245" s="2"/>
    </row>
    <row r="1246" spans="1:9" x14ac:dyDescent="0.35">
      <c r="A1246" s="2" t="s">
        <v>1407</v>
      </c>
      <c r="B1246" s="2" t="s">
        <v>62</v>
      </c>
      <c r="C1246" s="2" t="s">
        <v>1585</v>
      </c>
      <c r="D1246" s="2" t="s">
        <v>339</v>
      </c>
      <c r="E1246" s="2" t="s">
        <v>340</v>
      </c>
      <c r="F1246" s="2"/>
      <c r="G1246" s="2"/>
      <c r="H1246" s="2"/>
      <c r="I1246" s="2"/>
    </row>
    <row r="1247" spans="1:9" x14ac:dyDescent="0.35">
      <c r="A1247" s="2" t="s">
        <v>1407</v>
      </c>
      <c r="B1247" s="2" t="s">
        <v>62</v>
      </c>
      <c r="C1247" s="2" t="s">
        <v>1585</v>
      </c>
      <c r="D1247" s="2" t="s">
        <v>341</v>
      </c>
      <c r="E1247" s="2" t="s">
        <v>342</v>
      </c>
      <c r="F1247" s="2"/>
      <c r="G1247" s="2"/>
      <c r="H1247" s="2"/>
      <c r="I1247" s="2"/>
    </row>
    <row r="1248" spans="1:9" x14ac:dyDescent="0.35">
      <c r="A1248" s="2" t="s">
        <v>1407</v>
      </c>
      <c r="B1248" s="2" t="s">
        <v>62</v>
      </c>
      <c r="C1248" s="2" t="s">
        <v>1585</v>
      </c>
      <c r="D1248" s="2" t="s">
        <v>343</v>
      </c>
      <c r="E1248" s="2" t="s">
        <v>344</v>
      </c>
      <c r="F1248" s="2"/>
      <c r="G1248" s="2"/>
      <c r="H1248" s="2"/>
      <c r="I1248" s="2"/>
    </row>
    <row r="1249" spans="1:9" x14ac:dyDescent="0.35">
      <c r="A1249" s="2" t="s">
        <v>1407</v>
      </c>
      <c r="B1249" s="2" t="s">
        <v>62</v>
      </c>
      <c r="C1249" s="2" t="s">
        <v>1585</v>
      </c>
      <c r="D1249" s="2" t="s">
        <v>345</v>
      </c>
      <c r="E1249" s="2" t="s">
        <v>346</v>
      </c>
      <c r="F1249" s="2"/>
      <c r="G1249" s="2"/>
      <c r="H1249" s="2"/>
      <c r="I1249" s="2"/>
    </row>
    <row r="1250" spans="1:9" x14ac:dyDescent="0.35">
      <c r="A1250" s="2" t="s">
        <v>1407</v>
      </c>
      <c r="B1250" s="2" t="s">
        <v>62</v>
      </c>
      <c r="C1250" s="2" t="s">
        <v>1587</v>
      </c>
      <c r="D1250" s="2" t="s">
        <v>196</v>
      </c>
      <c r="E1250" s="2" t="s">
        <v>197</v>
      </c>
      <c r="F1250" s="2"/>
      <c r="G1250" s="2"/>
      <c r="H1250" s="2"/>
      <c r="I1250" s="2"/>
    </row>
    <row r="1251" spans="1:9" x14ac:dyDescent="0.35">
      <c r="A1251" s="2" t="s">
        <v>1407</v>
      </c>
      <c r="B1251" s="2" t="s">
        <v>62</v>
      </c>
      <c r="C1251" s="2" t="s">
        <v>1587</v>
      </c>
      <c r="D1251" s="2" t="s">
        <v>319</v>
      </c>
      <c r="E1251" s="2" t="s">
        <v>320</v>
      </c>
      <c r="F1251" s="2"/>
      <c r="G1251" s="2"/>
      <c r="H1251" s="2"/>
      <c r="I1251" s="2"/>
    </row>
    <row r="1252" spans="1:9" x14ac:dyDescent="0.35">
      <c r="A1252" s="2" t="s">
        <v>1407</v>
      </c>
      <c r="B1252" s="2" t="s">
        <v>62</v>
      </c>
      <c r="C1252" s="2" t="s">
        <v>1587</v>
      </c>
      <c r="D1252" s="2" t="s">
        <v>321</v>
      </c>
      <c r="E1252" s="2" t="s">
        <v>321</v>
      </c>
      <c r="F1252" s="2"/>
      <c r="G1252" s="2"/>
      <c r="H1252" s="2"/>
      <c r="I1252" s="2"/>
    </row>
    <row r="1253" spans="1:9" x14ac:dyDescent="0.35">
      <c r="A1253" s="2" t="s">
        <v>1407</v>
      </c>
      <c r="B1253" s="2" t="s">
        <v>62</v>
      </c>
      <c r="C1253" s="2" t="s">
        <v>1587</v>
      </c>
      <c r="D1253" s="2" t="s">
        <v>322</v>
      </c>
      <c r="E1253" s="2" t="s">
        <v>246</v>
      </c>
      <c r="F1253" s="2"/>
      <c r="G1253" s="2"/>
      <c r="H1253" s="2"/>
      <c r="I1253" s="2"/>
    </row>
    <row r="1254" spans="1:9" x14ac:dyDescent="0.35">
      <c r="A1254" s="2" t="s">
        <v>1407</v>
      </c>
      <c r="B1254" s="2" t="s">
        <v>62</v>
      </c>
      <c r="C1254" s="2" t="s">
        <v>1587</v>
      </c>
      <c r="D1254" s="2" t="s">
        <v>323</v>
      </c>
      <c r="E1254" s="2" t="s">
        <v>246</v>
      </c>
      <c r="F1254" s="2"/>
      <c r="G1254" s="2"/>
      <c r="H1254" s="2"/>
      <c r="I1254" s="2"/>
    </row>
    <row r="1255" spans="1:9" x14ac:dyDescent="0.35">
      <c r="A1255" s="2" t="s">
        <v>1407</v>
      </c>
      <c r="B1255" s="2" t="s">
        <v>62</v>
      </c>
      <c r="C1255" s="2" t="s">
        <v>1587</v>
      </c>
      <c r="D1255" s="2" t="s">
        <v>324</v>
      </c>
      <c r="E1255" s="2" t="s">
        <v>246</v>
      </c>
      <c r="F1255" s="2"/>
      <c r="G1255" s="2"/>
      <c r="H1255" s="2"/>
      <c r="I1255" s="2"/>
    </row>
    <row r="1256" spans="1:9" x14ac:dyDescent="0.35">
      <c r="A1256" s="2" t="s">
        <v>1407</v>
      </c>
      <c r="B1256" s="2" t="s">
        <v>62</v>
      </c>
      <c r="C1256" s="2" t="s">
        <v>1587</v>
      </c>
      <c r="D1256" s="2" t="s">
        <v>325</v>
      </c>
      <c r="E1256" s="2" t="s">
        <v>1413</v>
      </c>
      <c r="F1256" s="2"/>
      <c r="G1256" s="2"/>
      <c r="H1256" s="2"/>
      <c r="I1256" s="2"/>
    </row>
    <row r="1257" spans="1:9" x14ac:dyDescent="0.35">
      <c r="A1257" s="2" t="s">
        <v>1407</v>
      </c>
      <c r="B1257" s="2" t="s">
        <v>62</v>
      </c>
      <c r="C1257" s="2" t="s">
        <v>1587</v>
      </c>
      <c r="D1257" s="2" t="s">
        <v>327</v>
      </c>
      <c r="E1257" s="2" t="s">
        <v>328</v>
      </c>
      <c r="F1257" s="2"/>
      <c r="G1257" s="2"/>
      <c r="H1257" s="2"/>
      <c r="I1257" s="2"/>
    </row>
    <row r="1258" spans="1:9" x14ac:dyDescent="0.35">
      <c r="A1258" s="2" t="s">
        <v>1407</v>
      </c>
      <c r="B1258" s="2" t="s">
        <v>62</v>
      </c>
      <c r="C1258" s="2" t="s">
        <v>1587</v>
      </c>
      <c r="D1258" s="2" t="s">
        <v>329</v>
      </c>
      <c r="E1258" s="2" t="s">
        <v>330</v>
      </c>
      <c r="F1258" s="2"/>
      <c r="G1258" s="2"/>
      <c r="H1258" s="2"/>
      <c r="I1258" s="2"/>
    </row>
    <row r="1259" spans="1:9" x14ac:dyDescent="0.35">
      <c r="A1259" s="2" t="s">
        <v>1407</v>
      </c>
      <c r="B1259" s="2" t="s">
        <v>62</v>
      </c>
      <c r="C1259" s="2" t="s">
        <v>1587</v>
      </c>
      <c r="D1259" s="2" t="s">
        <v>331</v>
      </c>
      <c r="E1259" s="2" t="s">
        <v>332</v>
      </c>
      <c r="F1259" s="2"/>
      <c r="G1259" s="2"/>
      <c r="H1259" s="2"/>
      <c r="I1259" s="2"/>
    </row>
    <row r="1260" spans="1:9" x14ac:dyDescent="0.35">
      <c r="A1260" s="2" t="s">
        <v>1407</v>
      </c>
      <c r="B1260" s="2" t="s">
        <v>62</v>
      </c>
      <c r="C1260" s="2" t="s">
        <v>1587</v>
      </c>
      <c r="D1260" s="2" t="s">
        <v>333</v>
      </c>
      <c r="E1260" s="2" t="s">
        <v>334</v>
      </c>
      <c r="F1260" s="2"/>
      <c r="G1260" s="2"/>
      <c r="H1260" s="2"/>
      <c r="I1260" s="2"/>
    </row>
    <row r="1261" spans="1:9" x14ac:dyDescent="0.35">
      <c r="A1261" s="2" t="s">
        <v>1407</v>
      </c>
      <c r="B1261" s="2" t="s">
        <v>62</v>
      </c>
      <c r="C1261" s="2" t="s">
        <v>1587</v>
      </c>
      <c r="D1261" s="2" t="s">
        <v>1297</v>
      </c>
      <c r="E1261" s="2" t="s">
        <v>533</v>
      </c>
      <c r="F1261" s="2"/>
      <c r="G1261" s="2"/>
      <c r="H1261" s="2"/>
      <c r="I1261" s="2"/>
    </row>
    <row r="1262" spans="1:9" x14ac:dyDescent="0.35">
      <c r="A1262" s="2" t="s">
        <v>1407</v>
      </c>
      <c r="B1262" s="2" t="s">
        <v>62</v>
      </c>
      <c r="C1262" s="2" t="s">
        <v>1587</v>
      </c>
      <c r="D1262" s="2" t="s">
        <v>335</v>
      </c>
      <c r="E1262" s="2" t="s">
        <v>336</v>
      </c>
      <c r="F1262" s="2"/>
      <c r="G1262" s="2"/>
      <c r="H1262" s="2"/>
      <c r="I1262" s="2"/>
    </row>
    <row r="1263" spans="1:9" x14ac:dyDescent="0.35">
      <c r="A1263" s="2" t="s">
        <v>1407</v>
      </c>
      <c r="B1263" s="2" t="s">
        <v>62</v>
      </c>
      <c r="C1263" s="2" t="s">
        <v>1587</v>
      </c>
      <c r="D1263" s="2" t="s">
        <v>337</v>
      </c>
      <c r="E1263" s="2" t="s">
        <v>338</v>
      </c>
      <c r="F1263" s="2"/>
      <c r="G1263" s="2"/>
      <c r="H1263" s="2"/>
      <c r="I1263" s="2"/>
    </row>
    <row r="1264" spans="1:9" x14ac:dyDescent="0.35">
      <c r="A1264" s="2" t="s">
        <v>1407</v>
      </c>
      <c r="B1264" s="2" t="s">
        <v>62</v>
      </c>
      <c r="C1264" s="2" t="s">
        <v>1587</v>
      </c>
      <c r="D1264" s="2" t="s">
        <v>339</v>
      </c>
      <c r="E1264" s="2" t="s">
        <v>340</v>
      </c>
      <c r="F1264" s="2"/>
      <c r="G1264" s="2"/>
      <c r="H1264" s="2"/>
      <c r="I1264" s="2"/>
    </row>
    <row r="1265" spans="1:9" x14ac:dyDescent="0.35">
      <c r="A1265" s="2" t="s">
        <v>1407</v>
      </c>
      <c r="B1265" s="2" t="s">
        <v>62</v>
      </c>
      <c r="C1265" s="2" t="s">
        <v>1587</v>
      </c>
      <c r="D1265" s="2" t="s">
        <v>341</v>
      </c>
      <c r="E1265" s="2" t="s">
        <v>342</v>
      </c>
      <c r="F1265" s="2"/>
      <c r="G1265" s="2"/>
      <c r="H1265" s="2"/>
      <c r="I1265" s="2"/>
    </row>
    <row r="1266" spans="1:9" x14ac:dyDescent="0.35">
      <c r="A1266" s="2" t="s">
        <v>1407</v>
      </c>
      <c r="B1266" s="2" t="s">
        <v>62</v>
      </c>
      <c r="C1266" s="2" t="s">
        <v>1587</v>
      </c>
      <c r="D1266" s="2" t="s">
        <v>343</v>
      </c>
      <c r="E1266" s="2" t="s">
        <v>344</v>
      </c>
      <c r="F1266" s="2"/>
      <c r="G1266" s="2"/>
      <c r="H1266" s="2"/>
      <c r="I1266" s="2"/>
    </row>
    <row r="1267" spans="1:9" x14ac:dyDescent="0.35">
      <c r="A1267" s="2" t="s">
        <v>1407</v>
      </c>
      <c r="B1267" s="2" t="s">
        <v>62</v>
      </c>
      <c r="C1267" s="2" t="s">
        <v>1587</v>
      </c>
      <c r="D1267" s="2" t="s">
        <v>345</v>
      </c>
      <c r="E1267" s="2" t="s">
        <v>346</v>
      </c>
      <c r="F1267" s="2"/>
      <c r="G1267" s="2"/>
      <c r="H1267" s="2"/>
      <c r="I1267" s="2"/>
    </row>
    <row r="1268" spans="1:9" x14ac:dyDescent="0.35">
      <c r="A1268" s="2" t="s">
        <v>1407</v>
      </c>
      <c r="B1268" s="2" t="s">
        <v>62</v>
      </c>
      <c r="C1268" s="2" t="s">
        <v>1588</v>
      </c>
      <c r="D1268" s="2" t="s">
        <v>196</v>
      </c>
      <c r="E1268" s="2" t="s">
        <v>197</v>
      </c>
      <c r="F1268" s="2"/>
      <c r="G1268" s="2"/>
      <c r="H1268" s="2"/>
      <c r="I1268" s="2"/>
    </row>
    <row r="1269" spans="1:9" x14ac:dyDescent="0.35">
      <c r="A1269" s="2" t="s">
        <v>1407</v>
      </c>
      <c r="B1269" s="2" t="s">
        <v>62</v>
      </c>
      <c r="C1269" s="2" t="s">
        <v>1588</v>
      </c>
      <c r="D1269" s="2" t="s">
        <v>319</v>
      </c>
      <c r="E1269" s="2" t="s">
        <v>320</v>
      </c>
      <c r="F1269" s="2"/>
      <c r="G1269" s="2"/>
      <c r="H1269" s="2"/>
      <c r="I1269" s="2"/>
    </row>
    <row r="1270" spans="1:9" x14ac:dyDescent="0.35">
      <c r="A1270" s="2" t="s">
        <v>1407</v>
      </c>
      <c r="B1270" s="2" t="s">
        <v>62</v>
      </c>
      <c r="C1270" s="2" t="s">
        <v>1588</v>
      </c>
      <c r="D1270" s="2" t="s">
        <v>1589</v>
      </c>
      <c r="E1270" s="2" t="s">
        <v>28</v>
      </c>
      <c r="F1270" s="2"/>
      <c r="G1270" s="2"/>
      <c r="H1270" s="2"/>
      <c r="I1270" s="2"/>
    </row>
    <row r="1271" spans="1:9" x14ac:dyDescent="0.35">
      <c r="A1271" s="2" t="s">
        <v>1407</v>
      </c>
      <c r="B1271" s="2" t="s">
        <v>62</v>
      </c>
      <c r="C1271" s="2" t="s">
        <v>1588</v>
      </c>
      <c r="D1271" s="2" t="s">
        <v>87</v>
      </c>
      <c r="E1271" s="2" t="s">
        <v>75</v>
      </c>
      <c r="F1271" s="2"/>
      <c r="G1271" s="2"/>
      <c r="H1271" s="2"/>
      <c r="I1271" s="2"/>
    </row>
    <row r="1272" spans="1:9" x14ac:dyDescent="0.35">
      <c r="A1272" s="2" t="s">
        <v>1407</v>
      </c>
      <c r="B1272" s="2" t="s">
        <v>62</v>
      </c>
      <c r="C1272" s="2" t="s">
        <v>1588</v>
      </c>
      <c r="D1272" s="2" t="s">
        <v>321</v>
      </c>
      <c r="E1272" s="2" t="s">
        <v>321</v>
      </c>
      <c r="F1272" s="2"/>
      <c r="G1272" s="2"/>
      <c r="H1272" s="2"/>
      <c r="I1272" s="2"/>
    </row>
    <row r="1273" spans="1:9" x14ac:dyDescent="0.35">
      <c r="A1273" s="2" t="s">
        <v>1407</v>
      </c>
      <c r="B1273" s="2" t="s">
        <v>62</v>
      </c>
      <c r="C1273" s="2" t="s">
        <v>1588</v>
      </c>
      <c r="D1273" s="2" t="s">
        <v>322</v>
      </c>
      <c r="E1273" s="2" t="s">
        <v>246</v>
      </c>
      <c r="F1273" s="2"/>
      <c r="G1273" s="2"/>
      <c r="H1273" s="2"/>
      <c r="I1273" s="2"/>
    </row>
    <row r="1274" spans="1:9" x14ac:dyDescent="0.35">
      <c r="A1274" s="2" t="s">
        <v>1407</v>
      </c>
      <c r="B1274" s="2" t="s">
        <v>62</v>
      </c>
      <c r="C1274" s="2" t="s">
        <v>1588</v>
      </c>
      <c r="D1274" s="2" t="s">
        <v>323</v>
      </c>
      <c r="E1274" s="2" t="s">
        <v>246</v>
      </c>
      <c r="F1274" s="2"/>
      <c r="G1274" s="2"/>
      <c r="H1274" s="2"/>
      <c r="I1274" s="2"/>
    </row>
    <row r="1275" spans="1:9" x14ac:dyDescent="0.35">
      <c r="A1275" s="2" t="s">
        <v>1407</v>
      </c>
      <c r="B1275" s="2" t="s">
        <v>62</v>
      </c>
      <c r="C1275" s="2" t="s">
        <v>1588</v>
      </c>
      <c r="D1275" s="2" t="s">
        <v>324</v>
      </c>
      <c r="E1275" s="2" t="s">
        <v>246</v>
      </c>
      <c r="F1275" s="2"/>
      <c r="G1275" s="2"/>
      <c r="H1275" s="2"/>
      <c r="I1275" s="2"/>
    </row>
    <row r="1276" spans="1:9" x14ac:dyDescent="0.35">
      <c r="A1276" s="2" t="s">
        <v>1407</v>
      </c>
      <c r="B1276" s="2" t="s">
        <v>62</v>
      </c>
      <c r="C1276" s="2" t="s">
        <v>1588</v>
      </c>
      <c r="D1276" s="2" t="s">
        <v>325</v>
      </c>
      <c r="E1276" s="2" t="s">
        <v>326</v>
      </c>
      <c r="F1276" s="2"/>
      <c r="G1276" s="2"/>
      <c r="H1276" s="2"/>
      <c r="I1276" s="2"/>
    </row>
    <row r="1277" spans="1:9" x14ac:dyDescent="0.35">
      <c r="A1277" s="2" t="s">
        <v>1407</v>
      </c>
      <c r="B1277" s="2" t="s">
        <v>62</v>
      </c>
      <c r="C1277" s="2" t="s">
        <v>1588</v>
      </c>
      <c r="D1277" s="2" t="s">
        <v>327</v>
      </c>
      <c r="E1277" s="2" t="s">
        <v>328</v>
      </c>
      <c r="F1277" s="2"/>
      <c r="G1277" s="2"/>
      <c r="H1277" s="2"/>
      <c r="I1277" s="2"/>
    </row>
    <row r="1278" spans="1:9" x14ac:dyDescent="0.35">
      <c r="A1278" s="2" t="s">
        <v>1407</v>
      </c>
      <c r="B1278" s="2" t="s">
        <v>62</v>
      </c>
      <c r="C1278" s="2" t="s">
        <v>1588</v>
      </c>
      <c r="D1278" s="2" t="s">
        <v>329</v>
      </c>
      <c r="E1278" s="2" t="s">
        <v>330</v>
      </c>
      <c r="F1278" s="2"/>
      <c r="G1278" s="2"/>
      <c r="H1278" s="2"/>
      <c r="I1278" s="2"/>
    </row>
    <row r="1279" spans="1:9" x14ac:dyDescent="0.35">
      <c r="A1279" s="2" t="s">
        <v>1407</v>
      </c>
      <c r="B1279" s="2" t="s">
        <v>62</v>
      </c>
      <c r="C1279" s="2" t="s">
        <v>1588</v>
      </c>
      <c r="D1279" s="2" t="s">
        <v>331</v>
      </c>
      <c r="E1279" s="2" t="s">
        <v>332</v>
      </c>
      <c r="F1279" s="2"/>
      <c r="G1279" s="2"/>
      <c r="H1279" s="2"/>
      <c r="I1279" s="2"/>
    </row>
    <row r="1280" spans="1:9" x14ac:dyDescent="0.35">
      <c r="A1280" s="2" t="s">
        <v>1407</v>
      </c>
      <c r="B1280" s="2" t="s">
        <v>62</v>
      </c>
      <c r="C1280" s="2" t="s">
        <v>1588</v>
      </c>
      <c r="D1280" s="2" t="s">
        <v>333</v>
      </c>
      <c r="E1280" s="2" t="s">
        <v>334</v>
      </c>
      <c r="F1280" s="2"/>
      <c r="G1280" s="2"/>
      <c r="H1280" s="2"/>
      <c r="I1280" s="2"/>
    </row>
    <row r="1281" spans="1:9" x14ac:dyDescent="0.35">
      <c r="A1281" s="2" t="s">
        <v>1407</v>
      </c>
      <c r="B1281" s="2" t="s">
        <v>62</v>
      </c>
      <c r="C1281" s="2" t="s">
        <v>1588</v>
      </c>
      <c r="D1281" s="2" t="s">
        <v>1297</v>
      </c>
      <c r="E1281" s="2" t="s">
        <v>533</v>
      </c>
      <c r="F1281" s="2"/>
      <c r="G1281" s="2"/>
      <c r="H1281" s="2"/>
      <c r="I1281" s="2"/>
    </row>
    <row r="1282" spans="1:9" x14ac:dyDescent="0.35">
      <c r="A1282" s="2" t="s">
        <v>1407</v>
      </c>
      <c r="B1282" s="2" t="s">
        <v>62</v>
      </c>
      <c r="C1282" s="2" t="s">
        <v>1588</v>
      </c>
      <c r="D1282" s="2" t="s">
        <v>335</v>
      </c>
      <c r="E1282" s="2" t="s">
        <v>336</v>
      </c>
      <c r="F1282" s="2"/>
      <c r="G1282" s="2"/>
      <c r="H1282" s="2"/>
      <c r="I1282" s="2"/>
    </row>
    <row r="1283" spans="1:9" x14ac:dyDescent="0.35">
      <c r="A1283" s="2" t="s">
        <v>1407</v>
      </c>
      <c r="B1283" s="2" t="s">
        <v>62</v>
      </c>
      <c r="C1283" s="2" t="s">
        <v>1588</v>
      </c>
      <c r="D1283" s="2" t="s">
        <v>337</v>
      </c>
      <c r="E1283" s="2" t="s">
        <v>338</v>
      </c>
      <c r="F1283" s="2"/>
      <c r="G1283" s="2"/>
      <c r="H1283" s="2"/>
      <c r="I1283" s="2"/>
    </row>
    <row r="1284" spans="1:9" x14ac:dyDescent="0.35">
      <c r="A1284" s="2" t="s">
        <v>1407</v>
      </c>
      <c r="B1284" s="2" t="s">
        <v>62</v>
      </c>
      <c r="C1284" s="2" t="s">
        <v>1588</v>
      </c>
      <c r="D1284" s="2" t="s">
        <v>339</v>
      </c>
      <c r="E1284" s="2" t="s">
        <v>340</v>
      </c>
      <c r="F1284" s="2"/>
      <c r="G1284" s="2"/>
      <c r="H1284" s="2"/>
      <c r="I1284" s="2"/>
    </row>
    <row r="1285" spans="1:9" x14ac:dyDescent="0.35">
      <c r="A1285" s="2" t="s">
        <v>1407</v>
      </c>
      <c r="B1285" s="2" t="s">
        <v>62</v>
      </c>
      <c r="C1285" s="2" t="s">
        <v>1588</v>
      </c>
      <c r="D1285" s="2" t="s">
        <v>341</v>
      </c>
      <c r="E1285" s="2" t="s">
        <v>342</v>
      </c>
      <c r="F1285" s="2"/>
      <c r="G1285" s="2"/>
      <c r="H1285" s="2"/>
      <c r="I1285" s="2"/>
    </row>
    <row r="1286" spans="1:9" x14ac:dyDescent="0.35">
      <c r="A1286" s="2" t="s">
        <v>1407</v>
      </c>
      <c r="B1286" s="2" t="s">
        <v>62</v>
      </c>
      <c r="C1286" s="2" t="s">
        <v>1588</v>
      </c>
      <c r="D1286" s="2" t="s">
        <v>343</v>
      </c>
      <c r="E1286" s="2" t="s">
        <v>344</v>
      </c>
      <c r="F1286" s="2"/>
      <c r="G1286" s="2"/>
      <c r="H1286" s="2"/>
      <c r="I1286" s="2"/>
    </row>
    <row r="1287" spans="1:9" x14ac:dyDescent="0.35">
      <c r="A1287" s="2" t="s">
        <v>1407</v>
      </c>
      <c r="B1287" s="2" t="s">
        <v>62</v>
      </c>
      <c r="C1287" s="2" t="s">
        <v>1588</v>
      </c>
      <c r="D1287" s="2" t="s">
        <v>345</v>
      </c>
      <c r="E1287" s="2" t="s">
        <v>346</v>
      </c>
      <c r="F1287" s="2"/>
      <c r="G1287" s="2"/>
      <c r="H1287" s="2"/>
      <c r="I1287" s="2"/>
    </row>
    <row r="1288" spans="1:9" x14ac:dyDescent="0.35">
      <c r="A1288" s="2" t="s">
        <v>1407</v>
      </c>
      <c r="B1288" s="2" t="s">
        <v>62</v>
      </c>
      <c r="C1288" s="2" t="s">
        <v>1590</v>
      </c>
      <c r="D1288" s="2" t="s">
        <v>196</v>
      </c>
      <c r="E1288" s="2" t="s">
        <v>197</v>
      </c>
      <c r="F1288" s="2"/>
      <c r="G1288" s="2"/>
      <c r="H1288" s="2"/>
      <c r="I1288" s="2"/>
    </row>
    <row r="1289" spans="1:9" x14ac:dyDescent="0.35">
      <c r="A1289" s="2" t="s">
        <v>1407</v>
      </c>
      <c r="B1289" s="2" t="s">
        <v>62</v>
      </c>
      <c r="C1289" s="2" t="s">
        <v>1590</v>
      </c>
      <c r="D1289" s="2" t="s">
        <v>319</v>
      </c>
      <c r="E1289" s="2" t="s">
        <v>320</v>
      </c>
      <c r="F1289" s="2"/>
      <c r="G1289" s="2"/>
      <c r="H1289" s="2"/>
      <c r="I1289" s="2"/>
    </row>
    <row r="1290" spans="1:9" x14ac:dyDescent="0.35">
      <c r="A1290" s="2" t="s">
        <v>1407</v>
      </c>
      <c r="B1290" s="2" t="s">
        <v>62</v>
      </c>
      <c r="C1290" s="2" t="s">
        <v>1590</v>
      </c>
      <c r="D1290" s="2" t="s">
        <v>321</v>
      </c>
      <c r="E1290" s="2" t="s">
        <v>321</v>
      </c>
      <c r="F1290" s="2"/>
      <c r="G1290" s="2"/>
      <c r="H1290" s="2"/>
      <c r="I1290" s="2"/>
    </row>
    <row r="1291" spans="1:9" x14ac:dyDescent="0.35">
      <c r="A1291" s="2" t="s">
        <v>1407</v>
      </c>
      <c r="B1291" s="2" t="s">
        <v>62</v>
      </c>
      <c r="C1291" s="2" t="s">
        <v>1590</v>
      </c>
      <c r="D1291" s="2" t="s">
        <v>322</v>
      </c>
      <c r="E1291" s="2" t="s">
        <v>246</v>
      </c>
      <c r="F1291" s="2"/>
      <c r="G1291" s="2"/>
      <c r="H1291" s="2"/>
      <c r="I1291" s="2"/>
    </row>
    <row r="1292" spans="1:9" x14ac:dyDescent="0.35">
      <c r="A1292" s="2" t="s">
        <v>1407</v>
      </c>
      <c r="B1292" s="2" t="s">
        <v>62</v>
      </c>
      <c r="C1292" s="2" t="s">
        <v>1590</v>
      </c>
      <c r="D1292" s="2" t="s">
        <v>323</v>
      </c>
      <c r="E1292" s="2" t="s">
        <v>246</v>
      </c>
      <c r="F1292" s="2"/>
      <c r="G1292" s="2"/>
      <c r="H1292" s="2"/>
      <c r="I1292" s="2"/>
    </row>
    <row r="1293" spans="1:9" x14ac:dyDescent="0.35">
      <c r="A1293" s="2" t="s">
        <v>1407</v>
      </c>
      <c r="B1293" s="2" t="s">
        <v>62</v>
      </c>
      <c r="C1293" s="2" t="s">
        <v>1590</v>
      </c>
      <c r="D1293" s="2" t="s">
        <v>324</v>
      </c>
      <c r="E1293" s="2" t="s">
        <v>246</v>
      </c>
      <c r="F1293" s="2"/>
      <c r="G1293" s="2"/>
      <c r="H1293" s="2"/>
      <c r="I1293" s="2"/>
    </row>
    <row r="1294" spans="1:9" x14ac:dyDescent="0.35">
      <c r="A1294" s="2" t="s">
        <v>1407</v>
      </c>
      <c r="B1294" s="2" t="s">
        <v>62</v>
      </c>
      <c r="C1294" s="2" t="s">
        <v>1590</v>
      </c>
      <c r="D1294" s="2" t="s">
        <v>325</v>
      </c>
      <c r="E1294" s="2" t="s">
        <v>1413</v>
      </c>
      <c r="F1294" s="2"/>
      <c r="G1294" s="2"/>
      <c r="H1294" s="2"/>
      <c r="I1294" s="2"/>
    </row>
    <row r="1295" spans="1:9" x14ac:dyDescent="0.35">
      <c r="A1295" s="2" t="s">
        <v>1407</v>
      </c>
      <c r="B1295" s="2" t="s">
        <v>62</v>
      </c>
      <c r="C1295" s="2" t="s">
        <v>1590</v>
      </c>
      <c r="D1295" s="2" t="s">
        <v>327</v>
      </c>
      <c r="E1295" s="2" t="s">
        <v>328</v>
      </c>
      <c r="F1295" s="2"/>
      <c r="G1295" s="2"/>
      <c r="H1295" s="2"/>
      <c r="I1295" s="2"/>
    </row>
    <row r="1296" spans="1:9" x14ac:dyDescent="0.35">
      <c r="A1296" s="2" t="s">
        <v>1407</v>
      </c>
      <c r="B1296" s="2" t="s">
        <v>62</v>
      </c>
      <c r="C1296" s="2" t="s">
        <v>1590</v>
      </c>
      <c r="D1296" s="2" t="s">
        <v>329</v>
      </c>
      <c r="E1296" s="2" t="s">
        <v>330</v>
      </c>
      <c r="F1296" s="2"/>
      <c r="G1296" s="2"/>
      <c r="H1296" s="2"/>
      <c r="I1296" s="2"/>
    </row>
    <row r="1297" spans="1:9" x14ac:dyDescent="0.35">
      <c r="A1297" s="2" t="s">
        <v>1407</v>
      </c>
      <c r="B1297" s="2" t="s">
        <v>62</v>
      </c>
      <c r="C1297" s="2" t="s">
        <v>1590</v>
      </c>
      <c r="D1297" s="2" t="s">
        <v>331</v>
      </c>
      <c r="E1297" s="2" t="s">
        <v>332</v>
      </c>
      <c r="F1297" s="2"/>
      <c r="G1297" s="2"/>
      <c r="H1297" s="2"/>
      <c r="I1297" s="2"/>
    </row>
    <row r="1298" spans="1:9" x14ac:dyDescent="0.35">
      <c r="A1298" s="2" t="s">
        <v>1407</v>
      </c>
      <c r="B1298" s="2" t="s">
        <v>62</v>
      </c>
      <c r="C1298" s="2" t="s">
        <v>1590</v>
      </c>
      <c r="D1298" s="2" t="s">
        <v>333</v>
      </c>
      <c r="E1298" s="2" t="s">
        <v>334</v>
      </c>
      <c r="F1298" s="2"/>
      <c r="G1298" s="2"/>
      <c r="H1298" s="2"/>
      <c r="I1298" s="2"/>
    </row>
    <row r="1299" spans="1:9" x14ac:dyDescent="0.35">
      <c r="A1299" s="2" t="s">
        <v>1407</v>
      </c>
      <c r="B1299" s="2" t="s">
        <v>62</v>
      </c>
      <c r="C1299" s="2" t="s">
        <v>1590</v>
      </c>
      <c r="D1299" s="2" t="s">
        <v>1297</v>
      </c>
      <c r="E1299" s="2" t="s">
        <v>533</v>
      </c>
      <c r="F1299" s="2"/>
      <c r="G1299" s="2"/>
      <c r="H1299" s="2"/>
      <c r="I1299" s="2"/>
    </row>
    <row r="1300" spans="1:9" x14ac:dyDescent="0.35">
      <c r="A1300" s="2" t="s">
        <v>1407</v>
      </c>
      <c r="B1300" s="2" t="s">
        <v>62</v>
      </c>
      <c r="C1300" s="2" t="s">
        <v>1590</v>
      </c>
      <c r="D1300" s="2" t="s">
        <v>335</v>
      </c>
      <c r="E1300" s="2" t="s">
        <v>336</v>
      </c>
      <c r="F1300" s="2"/>
      <c r="G1300" s="2"/>
      <c r="H1300" s="2"/>
      <c r="I1300" s="2"/>
    </row>
    <row r="1301" spans="1:9" x14ac:dyDescent="0.35">
      <c r="A1301" s="2" t="s">
        <v>1407</v>
      </c>
      <c r="B1301" s="2" t="s">
        <v>62</v>
      </c>
      <c r="C1301" s="2" t="s">
        <v>1590</v>
      </c>
      <c r="D1301" s="2" t="s">
        <v>337</v>
      </c>
      <c r="E1301" s="2" t="s">
        <v>338</v>
      </c>
      <c r="F1301" s="2"/>
      <c r="G1301" s="2"/>
      <c r="H1301" s="2"/>
      <c r="I1301" s="2"/>
    </row>
    <row r="1302" spans="1:9" x14ac:dyDescent="0.35">
      <c r="A1302" s="2" t="s">
        <v>1407</v>
      </c>
      <c r="B1302" s="2" t="s">
        <v>62</v>
      </c>
      <c r="C1302" s="2" t="s">
        <v>1590</v>
      </c>
      <c r="D1302" s="2" t="s">
        <v>339</v>
      </c>
      <c r="E1302" s="2" t="s">
        <v>340</v>
      </c>
      <c r="F1302" s="2"/>
      <c r="G1302" s="2"/>
      <c r="H1302" s="2"/>
      <c r="I1302" s="2"/>
    </row>
    <row r="1303" spans="1:9" x14ac:dyDescent="0.35">
      <c r="A1303" s="2" t="s">
        <v>1407</v>
      </c>
      <c r="B1303" s="2" t="s">
        <v>62</v>
      </c>
      <c r="C1303" s="2" t="s">
        <v>1590</v>
      </c>
      <c r="D1303" s="2" t="s">
        <v>341</v>
      </c>
      <c r="E1303" s="2" t="s">
        <v>342</v>
      </c>
      <c r="F1303" s="2"/>
      <c r="G1303" s="2"/>
      <c r="H1303" s="2"/>
      <c r="I1303" s="2"/>
    </row>
    <row r="1304" spans="1:9" x14ac:dyDescent="0.35">
      <c r="A1304" s="2" t="s">
        <v>1407</v>
      </c>
      <c r="B1304" s="2" t="s">
        <v>62</v>
      </c>
      <c r="C1304" s="2" t="s">
        <v>1590</v>
      </c>
      <c r="D1304" s="2" t="s">
        <v>343</v>
      </c>
      <c r="E1304" s="2" t="s">
        <v>344</v>
      </c>
      <c r="F1304" s="2"/>
      <c r="G1304" s="2"/>
      <c r="H1304" s="2"/>
      <c r="I1304" s="2"/>
    </row>
    <row r="1305" spans="1:9" x14ac:dyDescent="0.35">
      <c r="A1305" s="2" t="s">
        <v>1407</v>
      </c>
      <c r="B1305" s="2" t="s">
        <v>62</v>
      </c>
      <c r="C1305" s="2" t="s">
        <v>1590</v>
      </c>
      <c r="D1305" s="2" t="s">
        <v>345</v>
      </c>
      <c r="E1305" s="2" t="s">
        <v>346</v>
      </c>
      <c r="F1305" s="2"/>
      <c r="G1305" s="2"/>
      <c r="H1305" s="2"/>
      <c r="I1305" s="2"/>
    </row>
    <row r="1306" spans="1:9" x14ac:dyDescent="0.35">
      <c r="A1306" s="2" t="s">
        <v>1407</v>
      </c>
      <c r="B1306" s="2" t="s">
        <v>62</v>
      </c>
      <c r="C1306" s="2" t="s">
        <v>1591</v>
      </c>
      <c r="D1306" s="2" t="s">
        <v>144</v>
      </c>
      <c r="E1306" s="2" t="s">
        <v>50</v>
      </c>
      <c r="F1306" s="2"/>
      <c r="G1306" s="2"/>
      <c r="H1306" s="2"/>
      <c r="I1306" s="2"/>
    </row>
    <row r="1307" spans="1:9" x14ac:dyDescent="0.35">
      <c r="A1307" s="2" t="s">
        <v>1407</v>
      </c>
      <c r="B1307" s="2" t="s">
        <v>62</v>
      </c>
      <c r="C1307" s="2" t="s">
        <v>1591</v>
      </c>
      <c r="D1307" s="2" t="s">
        <v>91</v>
      </c>
      <c r="E1307" s="2" t="s">
        <v>19</v>
      </c>
      <c r="F1307" s="2" t="s">
        <v>20</v>
      </c>
      <c r="G1307" s="2" t="s">
        <v>1378</v>
      </c>
      <c r="H1307" s="2"/>
      <c r="I1307" s="2"/>
    </row>
    <row r="1308" spans="1:9" x14ac:dyDescent="0.35">
      <c r="A1308" s="2" t="s">
        <v>1407</v>
      </c>
      <c r="B1308" s="2" t="s">
        <v>62</v>
      </c>
      <c r="C1308" s="2" t="s">
        <v>1591</v>
      </c>
      <c r="D1308" s="2" t="s">
        <v>127</v>
      </c>
      <c r="E1308" s="2" t="s">
        <v>107</v>
      </c>
      <c r="F1308" s="2"/>
      <c r="G1308" s="2"/>
      <c r="H1308" s="2"/>
      <c r="I1308" s="2"/>
    </row>
    <row r="1309" spans="1:9" x14ac:dyDescent="0.35">
      <c r="A1309" s="2" t="s">
        <v>1407</v>
      </c>
      <c r="B1309" s="2" t="s">
        <v>24</v>
      </c>
      <c r="C1309" s="2" t="s">
        <v>1592</v>
      </c>
      <c r="D1309" s="2" t="s">
        <v>144</v>
      </c>
      <c r="E1309" s="2" t="s">
        <v>50</v>
      </c>
      <c r="F1309" s="2"/>
      <c r="G1309" s="2"/>
      <c r="H1309" s="2"/>
      <c r="I1309" s="2"/>
    </row>
    <row r="1310" spans="1:9" x14ac:dyDescent="0.35">
      <c r="A1310" s="2" t="s">
        <v>1407</v>
      </c>
      <c r="B1310" s="2" t="s">
        <v>24</v>
      </c>
      <c r="C1310" s="2" t="s">
        <v>1592</v>
      </c>
      <c r="D1310" s="2" t="s">
        <v>1226</v>
      </c>
      <c r="E1310" s="2" t="s">
        <v>107</v>
      </c>
      <c r="F1310" s="2"/>
      <c r="G1310" s="2"/>
      <c r="H1310" s="2"/>
      <c r="I1310" s="2"/>
    </row>
    <row r="1311" spans="1:9" x14ac:dyDescent="0.35">
      <c r="A1311" s="2" t="s">
        <v>1407</v>
      </c>
      <c r="B1311" s="2" t="s">
        <v>24</v>
      </c>
      <c r="C1311" s="2" t="s">
        <v>1592</v>
      </c>
      <c r="D1311" s="2" t="s">
        <v>455</v>
      </c>
      <c r="E1311" s="2" t="s">
        <v>52</v>
      </c>
      <c r="F1311" s="2"/>
      <c r="G1311" s="2"/>
      <c r="H1311" s="2"/>
      <c r="I1311" s="2"/>
    </row>
    <row r="1312" spans="1:9" x14ac:dyDescent="0.35">
      <c r="A1312" s="2" t="s">
        <v>1407</v>
      </c>
      <c r="B1312" s="2" t="s">
        <v>24</v>
      </c>
      <c r="C1312" s="2" t="s">
        <v>1592</v>
      </c>
      <c r="D1312" s="2" t="s">
        <v>213</v>
      </c>
      <c r="E1312" s="2" t="s">
        <v>45</v>
      </c>
      <c r="F1312" s="2"/>
      <c r="G1312" s="2"/>
      <c r="H1312" s="2"/>
      <c r="I1312" s="2"/>
    </row>
    <row r="1313" spans="1:9" x14ac:dyDescent="0.35">
      <c r="A1313" s="2" t="s">
        <v>1407</v>
      </c>
      <c r="B1313" s="2" t="s">
        <v>24</v>
      </c>
      <c r="C1313" s="2" t="s">
        <v>1592</v>
      </c>
      <c r="D1313" s="2" t="s">
        <v>87</v>
      </c>
      <c r="E1313" s="2" t="s">
        <v>75</v>
      </c>
      <c r="F1313" s="2"/>
      <c r="G1313" s="2"/>
      <c r="H1313" s="2"/>
      <c r="I1313" s="2"/>
    </row>
    <row r="1314" spans="1:9" x14ac:dyDescent="0.35">
      <c r="A1314" s="2" t="s">
        <v>1407</v>
      </c>
      <c r="B1314" s="2" t="s">
        <v>24</v>
      </c>
      <c r="C1314" s="2" t="s">
        <v>1592</v>
      </c>
      <c r="D1314" s="2" t="s">
        <v>417</v>
      </c>
      <c r="E1314" s="2" t="s">
        <v>40</v>
      </c>
      <c r="F1314" s="2"/>
      <c r="G1314" s="2"/>
      <c r="H1314" s="2"/>
      <c r="I1314" s="2"/>
    </row>
    <row r="1315" spans="1:9" x14ac:dyDescent="0.35">
      <c r="A1315" s="2" t="s">
        <v>1407</v>
      </c>
      <c r="B1315" s="2" t="s">
        <v>24</v>
      </c>
      <c r="C1315" s="2" t="s">
        <v>1592</v>
      </c>
      <c r="D1315" s="2" t="s">
        <v>1228</v>
      </c>
      <c r="E1315" s="2" t="s">
        <v>228</v>
      </c>
      <c r="F1315" s="2"/>
      <c r="G1315" s="2"/>
      <c r="H1315" s="2"/>
      <c r="I1315" s="2"/>
    </row>
    <row r="1316" spans="1:9" x14ac:dyDescent="0.35">
      <c r="A1316" s="2" t="s">
        <v>1407</v>
      </c>
      <c r="B1316" s="2" t="s">
        <v>24</v>
      </c>
      <c r="C1316" s="2" t="s">
        <v>1592</v>
      </c>
      <c r="D1316" s="2" t="s">
        <v>1593</v>
      </c>
      <c r="E1316" s="2" t="s">
        <v>38</v>
      </c>
      <c r="F1316" s="2"/>
      <c r="G1316" s="2"/>
      <c r="H1316" s="2"/>
      <c r="I1316" s="2"/>
    </row>
    <row r="1317" spans="1:9" x14ac:dyDescent="0.35">
      <c r="A1317" s="2" t="s">
        <v>1407</v>
      </c>
      <c r="B1317" s="2" t="s">
        <v>24</v>
      </c>
      <c r="C1317" s="2" t="s">
        <v>1592</v>
      </c>
      <c r="D1317" s="2" t="s">
        <v>964</v>
      </c>
      <c r="E1317" s="2" t="s">
        <v>75</v>
      </c>
      <c r="F1317" s="2"/>
      <c r="G1317" s="2"/>
      <c r="H1317" s="2"/>
      <c r="I1317" s="2"/>
    </row>
    <row r="1318" spans="1:9" x14ac:dyDescent="0.35">
      <c r="A1318" s="2" t="s">
        <v>1407</v>
      </c>
      <c r="B1318" s="2" t="s">
        <v>62</v>
      </c>
      <c r="C1318" s="2" t="s">
        <v>1594</v>
      </c>
      <c r="D1318" s="2" t="s">
        <v>196</v>
      </c>
      <c r="E1318" s="2" t="s">
        <v>197</v>
      </c>
      <c r="F1318" s="2"/>
      <c r="G1318" s="2"/>
      <c r="H1318" s="2"/>
      <c r="I1318" s="2"/>
    </row>
    <row r="1319" spans="1:9" x14ac:dyDescent="0.35">
      <c r="A1319" s="2" t="s">
        <v>1407</v>
      </c>
      <c r="B1319" s="2" t="s">
        <v>62</v>
      </c>
      <c r="C1319" s="2" t="s">
        <v>1594</v>
      </c>
      <c r="D1319" s="2" t="s">
        <v>317</v>
      </c>
      <c r="E1319" s="2" t="s">
        <v>318</v>
      </c>
      <c r="F1319" s="2"/>
      <c r="G1319" s="2"/>
      <c r="H1319" s="2"/>
      <c r="I1319" s="2"/>
    </row>
    <row r="1320" spans="1:9" x14ac:dyDescent="0.35">
      <c r="A1320" s="2" t="s">
        <v>1407</v>
      </c>
      <c r="B1320" s="2" t="s">
        <v>62</v>
      </c>
      <c r="C1320" s="2" t="s">
        <v>1594</v>
      </c>
      <c r="D1320" s="2" t="s">
        <v>198</v>
      </c>
      <c r="E1320" s="2" t="s">
        <v>65</v>
      </c>
      <c r="F1320" s="2"/>
      <c r="G1320" s="2"/>
      <c r="H1320" s="2"/>
      <c r="I1320" s="2"/>
    </row>
    <row r="1321" spans="1:9" x14ac:dyDescent="0.35">
      <c r="A1321" s="2" t="s">
        <v>1407</v>
      </c>
      <c r="B1321" s="2" t="s">
        <v>62</v>
      </c>
      <c r="C1321" s="2" t="s">
        <v>1594</v>
      </c>
      <c r="D1321" s="2" t="s">
        <v>96</v>
      </c>
      <c r="E1321" s="2" t="s">
        <v>83</v>
      </c>
      <c r="F1321" s="2"/>
      <c r="G1321" s="2"/>
      <c r="H1321" s="2"/>
      <c r="I1321" s="2"/>
    </row>
    <row r="1322" spans="1:9" x14ac:dyDescent="0.35">
      <c r="A1322" s="2" t="s">
        <v>1407</v>
      </c>
      <c r="B1322" s="2" t="s">
        <v>62</v>
      </c>
      <c r="C1322" s="2" t="s">
        <v>1594</v>
      </c>
      <c r="D1322" s="2" t="s">
        <v>319</v>
      </c>
      <c r="E1322" s="2" t="s">
        <v>320</v>
      </c>
      <c r="F1322" s="2"/>
      <c r="G1322" s="2"/>
      <c r="H1322" s="2"/>
      <c r="I1322" s="2"/>
    </row>
    <row r="1323" spans="1:9" x14ac:dyDescent="0.35">
      <c r="A1323" s="2" t="s">
        <v>1407</v>
      </c>
      <c r="B1323" s="2" t="s">
        <v>62</v>
      </c>
      <c r="C1323" s="2" t="s">
        <v>1594</v>
      </c>
      <c r="D1323" s="2" t="s">
        <v>1226</v>
      </c>
      <c r="E1323" s="2" t="s">
        <v>107</v>
      </c>
      <c r="F1323" s="2"/>
      <c r="G1323" s="2"/>
      <c r="H1323" s="2"/>
      <c r="I1323" s="2"/>
    </row>
    <row r="1324" spans="1:9" x14ac:dyDescent="0.35">
      <c r="A1324" s="2" t="s">
        <v>1407</v>
      </c>
      <c r="B1324" s="2" t="s">
        <v>62</v>
      </c>
      <c r="C1324" s="2" t="s">
        <v>1594</v>
      </c>
      <c r="D1324" s="2" t="s">
        <v>649</v>
      </c>
      <c r="E1324" s="2" t="s">
        <v>363</v>
      </c>
      <c r="F1324" s="2"/>
      <c r="G1324" s="2"/>
      <c r="H1324" s="2"/>
      <c r="I1324" s="2"/>
    </row>
    <row r="1325" spans="1:9" x14ac:dyDescent="0.35">
      <c r="A1325" s="2" t="s">
        <v>1407</v>
      </c>
      <c r="B1325" s="2" t="s">
        <v>62</v>
      </c>
      <c r="C1325" s="2" t="s">
        <v>1594</v>
      </c>
      <c r="D1325" s="2" t="s">
        <v>91</v>
      </c>
      <c r="E1325" s="2" t="s">
        <v>19</v>
      </c>
      <c r="F1325" s="2" t="s">
        <v>20</v>
      </c>
      <c r="G1325" s="2" t="s">
        <v>1378</v>
      </c>
      <c r="H1325" s="2"/>
      <c r="I1325" s="2"/>
    </row>
    <row r="1326" spans="1:9" x14ac:dyDescent="0.35">
      <c r="A1326" s="2" t="s">
        <v>1407</v>
      </c>
      <c r="B1326" s="2" t="s">
        <v>62</v>
      </c>
      <c r="C1326" s="2" t="s">
        <v>1594</v>
      </c>
      <c r="D1326" s="2" t="s">
        <v>89</v>
      </c>
      <c r="E1326" s="2" t="s">
        <v>45</v>
      </c>
      <c r="F1326" s="2"/>
      <c r="G1326" s="2"/>
      <c r="H1326" s="2"/>
      <c r="I1326" s="2"/>
    </row>
    <row r="1327" spans="1:9" x14ac:dyDescent="0.35">
      <c r="A1327" s="2" t="s">
        <v>1407</v>
      </c>
      <c r="B1327" s="2" t="s">
        <v>62</v>
      </c>
      <c r="C1327" s="2" t="s">
        <v>1594</v>
      </c>
      <c r="D1327" s="2" t="s">
        <v>321</v>
      </c>
      <c r="E1327" s="2" t="s">
        <v>321</v>
      </c>
      <c r="F1327" s="2"/>
      <c r="G1327" s="2"/>
      <c r="H1327" s="2"/>
      <c r="I1327" s="2"/>
    </row>
    <row r="1328" spans="1:9" x14ac:dyDescent="0.35">
      <c r="A1328" s="2" t="s">
        <v>1407</v>
      </c>
      <c r="B1328" s="2" t="s">
        <v>62</v>
      </c>
      <c r="C1328" s="2" t="s">
        <v>1594</v>
      </c>
      <c r="D1328" s="2" t="s">
        <v>322</v>
      </c>
      <c r="E1328" s="2" t="s">
        <v>246</v>
      </c>
      <c r="F1328" s="2"/>
      <c r="G1328" s="2"/>
      <c r="H1328" s="2"/>
      <c r="I1328" s="2"/>
    </row>
    <row r="1329" spans="1:9" x14ac:dyDescent="0.35">
      <c r="A1329" s="2" t="s">
        <v>1407</v>
      </c>
      <c r="B1329" s="2" t="s">
        <v>62</v>
      </c>
      <c r="C1329" s="2" t="s">
        <v>1594</v>
      </c>
      <c r="D1329" s="2" t="s">
        <v>323</v>
      </c>
      <c r="E1329" s="2" t="s">
        <v>246</v>
      </c>
      <c r="F1329" s="2"/>
      <c r="G1329" s="2"/>
      <c r="H1329" s="2"/>
      <c r="I1329" s="2"/>
    </row>
    <row r="1330" spans="1:9" x14ac:dyDescent="0.35">
      <c r="A1330" s="2" t="s">
        <v>1407</v>
      </c>
      <c r="B1330" s="2" t="s">
        <v>62</v>
      </c>
      <c r="C1330" s="2" t="s">
        <v>1594</v>
      </c>
      <c r="D1330" s="2" t="s">
        <v>324</v>
      </c>
      <c r="E1330" s="2" t="s">
        <v>246</v>
      </c>
      <c r="F1330" s="2"/>
      <c r="G1330" s="2"/>
      <c r="H1330" s="2"/>
      <c r="I1330" s="2"/>
    </row>
    <row r="1331" spans="1:9" x14ac:dyDescent="0.35">
      <c r="A1331" s="2" t="s">
        <v>1407</v>
      </c>
      <c r="B1331" s="2" t="s">
        <v>62</v>
      </c>
      <c r="C1331" s="2" t="s">
        <v>1594</v>
      </c>
      <c r="D1331" s="2" t="s">
        <v>325</v>
      </c>
      <c r="E1331" s="2" t="s">
        <v>1413</v>
      </c>
      <c r="F1331" s="2"/>
      <c r="G1331" s="2"/>
      <c r="H1331" s="2"/>
      <c r="I1331" s="2"/>
    </row>
    <row r="1332" spans="1:9" x14ac:dyDescent="0.35">
      <c r="A1332" s="2" t="s">
        <v>1407</v>
      </c>
      <c r="B1332" s="2" t="s">
        <v>62</v>
      </c>
      <c r="C1332" s="2" t="s">
        <v>1594</v>
      </c>
      <c r="D1332" s="2" t="s">
        <v>327</v>
      </c>
      <c r="E1332" s="2" t="s">
        <v>328</v>
      </c>
      <c r="F1332" s="2"/>
      <c r="G1332" s="2"/>
      <c r="H1332" s="2"/>
      <c r="I1332" s="2"/>
    </row>
    <row r="1333" spans="1:9" x14ac:dyDescent="0.35">
      <c r="A1333" s="2" t="s">
        <v>1407</v>
      </c>
      <c r="B1333" s="2" t="s">
        <v>62</v>
      </c>
      <c r="C1333" s="2" t="s">
        <v>1594</v>
      </c>
      <c r="D1333" s="2" t="s">
        <v>329</v>
      </c>
      <c r="E1333" s="2" t="s">
        <v>330</v>
      </c>
      <c r="F1333" s="2"/>
      <c r="G1333" s="2"/>
      <c r="H1333" s="2"/>
      <c r="I1333" s="2"/>
    </row>
    <row r="1334" spans="1:9" x14ac:dyDescent="0.35">
      <c r="A1334" s="2" t="s">
        <v>1407</v>
      </c>
      <c r="B1334" s="2" t="s">
        <v>62</v>
      </c>
      <c r="C1334" s="2" t="s">
        <v>1594</v>
      </c>
      <c r="D1334" s="2" t="s">
        <v>331</v>
      </c>
      <c r="E1334" s="2" t="s">
        <v>332</v>
      </c>
      <c r="F1334" s="2"/>
      <c r="G1334" s="2"/>
      <c r="H1334" s="2"/>
      <c r="I1334" s="2"/>
    </row>
    <row r="1335" spans="1:9" x14ac:dyDescent="0.35">
      <c r="A1335" s="2" t="s">
        <v>1407</v>
      </c>
      <c r="B1335" s="2" t="s">
        <v>62</v>
      </c>
      <c r="C1335" s="2" t="s">
        <v>1594</v>
      </c>
      <c r="D1335" s="2" t="s">
        <v>333</v>
      </c>
      <c r="E1335" s="2" t="s">
        <v>334</v>
      </c>
      <c r="F1335" s="2"/>
      <c r="G1335" s="2"/>
      <c r="H1335" s="2"/>
      <c r="I1335" s="2"/>
    </row>
    <row r="1336" spans="1:9" x14ac:dyDescent="0.35">
      <c r="A1336" s="2" t="s">
        <v>1407</v>
      </c>
      <c r="B1336" s="2" t="s">
        <v>62</v>
      </c>
      <c r="C1336" s="2" t="s">
        <v>1594</v>
      </c>
      <c r="D1336" s="2" t="s">
        <v>1595</v>
      </c>
      <c r="E1336" s="2" t="s">
        <v>228</v>
      </c>
      <c r="F1336" s="2"/>
      <c r="G1336" s="2"/>
      <c r="H1336" s="2"/>
      <c r="I1336" s="2"/>
    </row>
    <row r="1337" spans="1:9" x14ac:dyDescent="0.35">
      <c r="A1337" s="2" t="s">
        <v>1407</v>
      </c>
      <c r="B1337" s="2" t="s">
        <v>62</v>
      </c>
      <c r="C1337" s="2" t="s">
        <v>1594</v>
      </c>
      <c r="D1337" s="2" t="s">
        <v>149</v>
      </c>
      <c r="E1337" s="2" t="s">
        <v>150</v>
      </c>
      <c r="F1337" s="2"/>
      <c r="G1337" s="2"/>
      <c r="H1337" s="2"/>
      <c r="I1337" s="2"/>
    </row>
    <row r="1338" spans="1:9" x14ac:dyDescent="0.35">
      <c r="A1338" s="2" t="s">
        <v>1407</v>
      </c>
      <c r="B1338" s="2" t="s">
        <v>62</v>
      </c>
      <c r="C1338" s="2" t="s">
        <v>1594</v>
      </c>
      <c r="D1338" s="2" t="s">
        <v>1297</v>
      </c>
      <c r="E1338" s="2" t="s">
        <v>533</v>
      </c>
      <c r="F1338" s="2"/>
      <c r="G1338" s="2"/>
      <c r="H1338" s="2"/>
      <c r="I1338" s="2"/>
    </row>
    <row r="1339" spans="1:9" x14ac:dyDescent="0.35">
      <c r="A1339" s="2" t="s">
        <v>1407</v>
      </c>
      <c r="B1339" s="2" t="s">
        <v>62</v>
      </c>
      <c r="C1339" s="2" t="s">
        <v>1594</v>
      </c>
      <c r="D1339" s="2" t="s">
        <v>335</v>
      </c>
      <c r="E1339" s="2" t="s">
        <v>336</v>
      </c>
      <c r="F1339" s="2"/>
      <c r="G1339" s="2"/>
      <c r="H1339" s="2"/>
      <c r="I1339" s="2"/>
    </row>
    <row r="1340" spans="1:9" x14ac:dyDescent="0.35">
      <c r="A1340" s="2" t="s">
        <v>1407</v>
      </c>
      <c r="B1340" s="2" t="s">
        <v>62</v>
      </c>
      <c r="C1340" s="2" t="s">
        <v>1594</v>
      </c>
      <c r="D1340" s="2" t="s">
        <v>337</v>
      </c>
      <c r="E1340" s="2" t="s">
        <v>338</v>
      </c>
      <c r="F1340" s="2"/>
      <c r="G1340" s="2"/>
      <c r="H1340" s="2"/>
      <c r="I1340" s="2"/>
    </row>
    <row r="1341" spans="1:9" x14ac:dyDescent="0.35">
      <c r="A1341" s="2" t="s">
        <v>1407</v>
      </c>
      <c r="B1341" s="2" t="s">
        <v>62</v>
      </c>
      <c r="C1341" s="2" t="s">
        <v>1594</v>
      </c>
      <c r="D1341" s="2" t="s">
        <v>339</v>
      </c>
      <c r="E1341" s="2" t="s">
        <v>340</v>
      </c>
      <c r="F1341" s="2"/>
      <c r="G1341" s="2"/>
      <c r="H1341" s="2"/>
      <c r="I1341" s="2"/>
    </row>
    <row r="1342" spans="1:9" x14ac:dyDescent="0.35">
      <c r="A1342" s="2" t="s">
        <v>1407</v>
      </c>
      <c r="B1342" s="2" t="s">
        <v>62</v>
      </c>
      <c r="C1342" s="2" t="s">
        <v>1594</v>
      </c>
      <c r="D1342" s="2" t="s">
        <v>341</v>
      </c>
      <c r="E1342" s="2" t="s">
        <v>342</v>
      </c>
      <c r="F1342" s="2"/>
      <c r="G1342" s="2"/>
      <c r="H1342" s="2"/>
      <c r="I1342" s="2"/>
    </row>
    <row r="1343" spans="1:9" x14ac:dyDescent="0.35">
      <c r="A1343" s="2" t="s">
        <v>1407</v>
      </c>
      <c r="B1343" s="2" t="s">
        <v>62</v>
      </c>
      <c r="C1343" s="2" t="s">
        <v>1594</v>
      </c>
      <c r="D1343" s="2" t="s">
        <v>343</v>
      </c>
      <c r="E1343" s="2" t="s">
        <v>344</v>
      </c>
      <c r="F1343" s="2"/>
      <c r="G1343" s="2"/>
      <c r="H1343" s="2"/>
      <c r="I1343" s="2"/>
    </row>
    <row r="1344" spans="1:9" x14ac:dyDescent="0.35">
      <c r="A1344" s="2" t="s">
        <v>1407</v>
      </c>
      <c r="B1344" s="2" t="s">
        <v>62</v>
      </c>
      <c r="C1344" s="2" t="s">
        <v>1594</v>
      </c>
      <c r="D1344" s="2" t="s">
        <v>345</v>
      </c>
      <c r="E1344" s="2" t="s">
        <v>346</v>
      </c>
      <c r="F1344" s="2"/>
      <c r="G1344" s="2"/>
      <c r="H1344" s="2"/>
      <c r="I1344" s="2"/>
    </row>
    <row r="1345" spans="1:9" x14ac:dyDescent="0.35">
      <c r="A1345" s="2" t="s">
        <v>1407</v>
      </c>
      <c r="B1345" s="2" t="s">
        <v>62</v>
      </c>
      <c r="C1345" s="2" t="s">
        <v>1596</v>
      </c>
      <c r="D1345" s="2" t="s">
        <v>196</v>
      </c>
      <c r="E1345" s="2" t="s">
        <v>197</v>
      </c>
      <c r="F1345" s="2"/>
      <c r="G1345" s="2"/>
      <c r="H1345" s="2"/>
      <c r="I1345" s="2"/>
    </row>
    <row r="1346" spans="1:9" x14ac:dyDescent="0.35">
      <c r="A1346" s="2" t="s">
        <v>1407</v>
      </c>
      <c r="B1346" s="2" t="s">
        <v>62</v>
      </c>
      <c r="C1346" s="2" t="s">
        <v>1596</v>
      </c>
      <c r="D1346" s="2" t="s">
        <v>1485</v>
      </c>
      <c r="E1346" s="2" t="s">
        <v>1486</v>
      </c>
      <c r="F1346" s="2"/>
      <c r="G1346" s="2"/>
      <c r="H1346" s="2"/>
      <c r="I1346" s="2"/>
    </row>
    <row r="1347" spans="1:9" x14ac:dyDescent="0.35">
      <c r="A1347" s="2" t="s">
        <v>1407</v>
      </c>
      <c r="B1347" s="2" t="s">
        <v>62</v>
      </c>
      <c r="C1347" s="2" t="s">
        <v>1596</v>
      </c>
      <c r="D1347" s="2" t="s">
        <v>319</v>
      </c>
      <c r="E1347" s="2" t="s">
        <v>320</v>
      </c>
      <c r="F1347" s="2"/>
      <c r="G1347" s="2"/>
      <c r="H1347" s="2"/>
      <c r="I1347" s="2"/>
    </row>
    <row r="1348" spans="1:9" x14ac:dyDescent="0.35">
      <c r="A1348" s="2" t="s">
        <v>1407</v>
      </c>
      <c r="B1348" s="2" t="s">
        <v>62</v>
      </c>
      <c r="C1348" s="2" t="s">
        <v>1596</v>
      </c>
      <c r="D1348" s="2" t="s">
        <v>91</v>
      </c>
      <c r="E1348" s="2" t="s">
        <v>19</v>
      </c>
      <c r="F1348" s="2"/>
      <c r="G1348" s="2"/>
      <c r="H1348" s="2"/>
      <c r="I1348" s="2"/>
    </row>
    <row r="1349" spans="1:9" x14ac:dyDescent="0.35">
      <c r="A1349" s="2" t="s">
        <v>1407</v>
      </c>
      <c r="B1349" s="2" t="s">
        <v>62</v>
      </c>
      <c r="C1349" s="2" t="s">
        <v>1596</v>
      </c>
      <c r="D1349" s="2" t="s">
        <v>87</v>
      </c>
      <c r="E1349" s="2" t="s">
        <v>75</v>
      </c>
      <c r="F1349" s="2"/>
      <c r="G1349" s="2"/>
      <c r="H1349" s="2"/>
      <c r="I1349" s="2"/>
    </row>
    <row r="1350" spans="1:9" x14ac:dyDescent="0.35">
      <c r="A1350" s="2" t="s">
        <v>1407</v>
      </c>
      <c r="B1350" s="2" t="s">
        <v>62</v>
      </c>
      <c r="C1350" s="2" t="s">
        <v>1596</v>
      </c>
      <c r="D1350" s="2" t="s">
        <v>1243</v>
      </c>
      <c r="E1350" s="2" t="s">
        <v>40</v>
      </c>
      <c r="F1350" s="2"/>
      <c r="G1350" s="2"/>
      <c r="H1350" s="2"/>
      <c r="I1350" s="2"/>
    </row>
    <row r="1351" spans="1:9" x14ac:dyDescent="0.35">
      <c r="A1351" s="2" t="s">
        <v>1407</v>
      </c>
      <c r="B1351" s="2" t="s">
        <v>62</v>
      </c>
      <c r="C1351" s="2" t="s">
        <v>1596</v>
      </c>
      <c r="D1351" s="2" t="s">
        <v>321</v>
      </c>
      <c r="E1351" s="2" t="s">
        <v>321</v>
      </c>
      <c r="F1351" s="2"/>
      <c r="G1351" s="2"/>
      <c r="H1351" s="2"/>
      <c r="I1351" s="2"/>
    </row>
    <row r="1352" spans="1:9" x14ac:dyDescent="0.35">
      <c r="A1352" s="2" t="s">
        <v>1407</v>
      </c>
      <c r="B1352" s="2" t="s">
        <v>62</v>
      </c>
      <c r="C1352" s="2" t="s">
        <v>1596</v>
      </c>
      <c r="D1352" s="2" t="s">
        <v>127</v>
      </c>
      <c r="E1352" s="2" t="s">
        <v>107</v>
      </c>
      <c r="F1352" s="2"/>
      <c r="G1352" s="2"/>
      <c r="H1352" s="2"/>
      <c r="I1352" s="2"/>
    </row>
    <row r="1353" spans="1:9" x14ac:dyDescent="0.35">
      <c r="A1353" s="2" t="s">
        <v>1407</v>
      </c>
      <c r="B1353" s="2" t="s">
        <v>62</v>
      </c>
      <c r="C1353" s="2" t="s">
        <v>1596</v>
      </c>
      <c r="D1353" s="2" t="s">
        <v>322</v>
      </c>
      <c r="E1353" s="2" t="s">
        <v>246</v>
      </c>
      <c r="F1353" s="2"/>
      <c r="G1353" s="2"/>
      <c r="H1353" s="2"/>
      <c r="I1353" s="2"/>
    </row>
    <row r="1354" spans="1:9" x14ac:dyDescent="0.35">
      <c r="A1354" s="2" t="s">
        <v>1407</v>
      </c>
      <c r="B1354" s="2" t="s">
        <v>62</v>
      </c>
      <c r="C1354" s="2" t="s">
        <v>1596</v>
      </c>
      <c r="D1354" s="2" t="s">
        <v>323</v>
      </c>
      <c r="E1354" s="2" t="s">
        <v>246</v>
      </c>
      <c r="F1354" s="2"/>
      <c r="G1354" s="2"/>
      <c r="H1354" s="2"/>
      <c r="I1354" s="2"/>
    </row>
    <row r="1355" spans="1:9" x14ac:dyDescent="0.35">
      <c r="A1355" s="2" t="s">
        <v>1407</v>
      </c>
      <c r="B1355" s="2" t="s">
        <v>62</v>
      </c>
      <c r="C1355" s="2" t="s">
        <v>1596</v>
      </c>
      <c r="D1355" s="2" t="s">
        <v>324</v>
      </c>
      <c r="E1355" s="2" t="s">
        <v>246</v>
      </c>
      <c r="F1355" s="2"/>
      <c r="G1355" s="2"/>
      <c r="H1355" s="2"/>
      <c r="I1355" s="2"/>
    </row>
    <row r="1356" spans="1:9" x14ac:dyDescent="0.35">
      <c r="A1356" s="2" t="s">
        <v>1407</v>
      </c>
      <c r="B1356" s="2" t="s">
        <v>62</v>
      </c>
      <c r="C1356" s="2" t="s">
        <v>1596</v>
      </c>
      <c r="D1356" s="2" t="s">
        <v>325</v>
      </c>
      <c r="E1356" s="2" t="s">
        <v>1413</v>
      </c>
      <c r="F1356" s="2"/>
      <c r="G1356" s="2"/>
      <c r="H1356" s="2"/>
      <c r="I1356" s="2"/>
    </row>
    <row r="1357" spans="1:9" x14ac:dyDescent="0.35">
      <c r="A1357" s="2" t="s">
        <v>1407</v>
      </c>
      <c r="B1357" s="2" t="s">
        <v>62</v>
      </c>
      <c r="C1357" s="2" t="s">
        <v>1596</v>
      </c>
      <c r="D1357" s="2" t="s">
        <v>327</v>
      </c>
      <c r="E1357" s="2" t="s">
        <v>328</v>
      </c>
      <c r="F1357" s="2"/>
      <c r="G1357" s="2"/>
      <c r="H1357" s="2"/>
      <c r="I1357" s="2"/>
    </row>
    <row r="1358" spans="1:9" x14ac:dyDescent="0.35">
      <c r="A1358" s="2" t="s">
        <v>1407</v>
      </c>
      <c r="B1358" s="2" t="s">
        <v>62</v>
      </c>
      <c r="C1358" s="2" t="s">
        <v>1596</v>
      </c>
      <c r="D1358" s="2" t="s">
        <v>329</v>
      </c>
      <c r="E1358" s="2" t="s">
        <v>330</v>
      </c>
      <c r="F1358" s="2"/>
      <c r="G1358" s="2"/>
      <c r="H1358" s="2"/>
      <c r="I1358" s="2"/>
    </row>
    <row r="1359" spans="1:9" x14ac:dyDescent="0.35">
      <c r="A1359" s="2" t="s">
        <v>1407</v>
      </c>
      <c r="B1359" s="2" t="s">
        <v>62</v>
      </c>
      <c r="C1359" s="2" t="s">
        <v>1596</v>
      </c>
      <c r="D1359" s="2" t="s">
        <v>331</v>
      </c>
      <c r="E1359" s="2" t="s">
        <v>332</v>
      </c>
      <c r="F1359" s="2"/>
      <c r="G1359" s="2"/>
      <c r="H1359" s="2"/>
      <c r="I1359" s="2"/>
    </row>
    <row r="1360" spans="1:9" x14ac:dyDescent="0.35">
      <c r="A1360" s="2" t="s">
        <v>1407</v>
      </c>
      <c r="B1360" s="2" t="s">
        <v>62</v>
      </c>
      <c r="C1360" s="2" t="s">
        <v>1596</v>
      </c>
      <c r="D1360" s="2" t="s">
        <v>333</v>
      </c>
      <c r="E1360" s="2" t="s">
        <v>334</v>
      </c>
      <c r="F1360" s="2"/>
      <c r="G1360" s="2"/>
      <c r="H1360" s="2"/>
      <c r="I1360" s="2"/>
    </row>
    <row r="1361" spans="1:9" x14ac:dyDescent="0.35">
      <c r="A1361" s="2" t="s">
        <v>1407</v>
      </c>
      <c r="B1361" s="2" t="s">
        <v>62</v>
      </c>
      <c r="C1361" s="2" t="s">
        <v>1596</v>
      </c>
      <c r="D1361" s="2" t="s">
        <v>335</v>
      </c>
      <c r="E1361" s="2" t="s">
        <v>336</v>
      </c>
      <c r="F1361" s="2"/>
      <c r="G1361" s="2"/>
      <c r="H1361" s="2"/>
      <c r="I1361" s="2"/>
    </row>
    <row r="1362" spans="1:9" x14ac:dyDescent="0.35">
      <c r="A1362" s="2" t="s">
        <v>1407</v>
      </c>
      <c r="B1362" s="2" t="s">
        <v>62</v>
      </c>
      <c r="C1362" s="2" t="s">
        <v>1596</v>
      </c>
      <c r="D1362" s="2" t="s">
        <v>337</v>
      </c>
      <c r="E1362" s="2" t="s">
        <v>338</v>
      </c>
      <c r="F1362" s="2"/>
      <c r="G1362" s="2"/>
      <c r="H1362" s="2"/>
      <c r="I1362" s="2"/>
    </row>
    <row r="1363" spans="1:9" x14ac:dyDescent="0.35">
      <c r="A1363" s="2" t="s">
        <v>1407</v>
      </c>
      <c r="B1363" s="2" t="s">
        <v>62</v>
      </c>
      <c r="C1363" s="2" t="s">
        <v>1596</v>
      </c>
      <c r="D1363" s="2" t="s">
        <v>339</v>
      </c>
      <c r="E1363" s="2" t="s">
        <v>340</v>
      </c>
      <c r="F1363" s="2"/>
      <c r="G1363" s="2"/>
      <c r="H1363" s="2"/>
      <c r="I1363" s="2"/>
    </row>
    <row r="1364" spans="1:9" x14ac:dyDescent="0.35">
      <c r="A1364" s="2" t="s">
        <v>1407</v>
      </c>
      <c r="B1364" s="2" t="s">
        <v>62</v>
      </c>
      <c r="C1364" s="2" t="s">
        <v>1596</v>
      </c>
      <c r="D1364" s="2" t="s">
        <v>341</v>
      </c>
      <c r="E1364" s="2" t="s">
        <v>342</v>
      </c>
      <c r="F1364" s="2"/>
      <c r="G1364" s="2"/>
      <c r="H1364" s="2"/>
      <c r="I1364" s="2"/>
    </row>
    <row r="1365" spans="1:9" x14ac:dyDescent="0.35">
      <c r="A1365" s="2" t="s">
        <v>1407</v>
      </c>
      <c r="B1365" s="2" t="s">
        <v>62</v>
      </c>
      <c r="C1365" s="2" t="s">
        <v>1596</v>
      </c>
      <c r="D1365" s="2" t="s">
        <v>343</v>
      </c>
      <c r="E1365" s="2" t="s">
        <v>344</v>
      </c>
      <c r="F1365" s="2"/>
      <c r="G1365" s="2"/>
      <c r="H1365" s="2"/>
      <c r="I1365" s="2"/>
    </row>
    <row r="1366" spans="1:9" x14ac:dyDescent="0.35">
      <c r="A1366" s="2" t="s">
        <v>1407</v>
      </c>
      <c r="B1366" s="2" t="s">
        <v>62</v>
      </c>
      <c r="C1366" s="2" t="s">
        <v>1596</v>
      </c>
      <c r="D1366" s="2" t="s">
        <v>345</v>
      </c>
      <c r="E1366" s="2" t="s">
        <v>346</v>
      </c>
      <c r="F1366" s="2"/>
      <c r="G1366" s="2"/>
      <c r="H1366" s="2"/>
      <c r="I1366" s="2"/>
    </row>
    <row r="1367" spans="1:9" x14ac:dyDescent="0.35">
      <c r="A1367" s="2" t="s">
        <v>1407</v>
      </c>
      <c r="B1367" s="2" t="s">
        <v>62</v>
      </c>
      <c r="C1367" s="2" t="s">
        <v>1597</v>
      </c>
      <c r="D1367" s="2" t="s">
        <v>196</v>
      </c>
      <c r="E1367" s="2" t="s">
        <v>197</v>
      </c>
      <c r="F1367" s="2"/>
      <c r="G1367" s="2"/>
      <c r="H1367" s="2"/>
      <c r="I1367" s="2"/>
    </row>
    <row r="1368" spans="1:9" x14ac:dyDescent="0.35">
      <c r="A1368" s="2" t="s">
        <v>1407</v>
      </c>
      <c r="B1368" s="2" t="s">
        <v>62</v>
      </c>
      <c r="C1368" s="2" t="s">
        <v>1597</v>
      </c>
      <c r="D1368" s="2" t="s">
        <v>317</v>
      </c>
      <c r="E1368" s="2" t="s">
        <v>318</v>
      </c>
      <c r="F1368" s="2"/>
      <c r="G1368" s="2"/>
      <c r="H1368" s="2"/>
      <c r="I1368" s="2"/>
    </row>
    <row r="1369" spans="1:9" x14ac:dyDescent="0.35">
      <c r="A1369" s="2" t="s">
        <v>1407</v>
      </c>
      <c r="B1369" s="2" t="s">
        <v>62</v>
      </c>
      <c r="C1369" s="2" t="s">
        <v>1597</v>
      </c>
      <c r="D1369" s="2" t="s">
        <v>1050</v>
      </c>
      <c r="E1369" s="2" t="s">
        <v>75</v>
      </c>
      <c r="F1369" s="2"/>
      <c r="G1369" s="2"/>
      <c r="H1369" s="2"/>
      <c r="I1369" s="2"/>
    </row>
    <row r="1370" spans="1:9" x14ac:dyDescent="0.35">
      <c r="A1370" s="2" t="s">
        <v>1407</v>
      </c>
      <c r="B1370" s="2" t="s">
        <v>62</v>
      </c>
      <c r="C1370" s="2" t="s">
        <v>1597</v>
      </c>
      <c r="D1370" s="2" t="s">
        <v>327</v>
      </c>
      <c r="E1370" s="2" t="s">
        <v>328</v>
      </c>
      <c r="F1370" s="2"/>
      <c r="G1370" s="2"/>
      <c r="H1370" s="2"/>
      <c r="I1370" s="2"/>
    </row>
    <row r="1371" spans="1:9" x14ac:dyDescent="0.35">
      <c r="A1371" s="2" t="s">
        <v>1407</v>
      </c>
      <c r="B1371" s="2" t="s">
        <v>62</v>
      </c>
      <c r="C1371" s="2" t="s">
        <v>1597</v>
      </c>
      <c r="D1371" s="2" t="s">
        <v>333</v>
      </c>
      <c r="E1371" s="2" t="s">
        <v>334</v>
      </c>
      <c r="F1371" s="2"/>
      <c r="G1371" s="2"/>
      <c r="H1371" s="2"/>
      <c r="I1371" s="2"/>
    </row>
    <row r="1372" spans="1:9" x14ac:dyDescent="0.35">
      <c r="A1372" s="2" t="s">
        <v>1407</v>
      </c>
      <c r="B1372" s="2" t="s">
        <v>62</v>
      </c>
      <c r="C1372" s="2" t="s">
        <v>1597</v>
      </c>
      <c r="D1372" s="2" t="s">
        <v>1297</v>
      </c>
      <c r="E1372" s="2" t="s">
        <v>533</v>
      </c>
      <c r="F1372" s="2"/>
      <c r="G1372" s="2"/>
      <c r="H1372" s="2"/>
      <c r="I1372" s="2"/>
    </row>
    <row r="1373" spans="1:9" x14ac:dyDescent="0.35">
      <c r="A1373" s="2" t="s">
        <v>1407</v>
      </c>
      <c r="B1373" s="2" t="s">
        <v>62</v>
      </c>
      <c r="C1373" s="2" t="s">
        <v>1597</v>
      </c>
      <c r="D1373" s="2" t="s">
        <v>345</v>
      </c>
      <c r="E1373" s="2" t="s">
        <v>346</v>
      </c>
      <c r="F1373" s="2"/>
      <c r="G1373" s="2"/>
      <c r="H1373" s="2"/>
      <c r="I1373" s="2"/>
    </row>
    <row r="1374" spans="1:9" x14ac:dyDescent="0.35">
      <c r="A1374" s="2" t="s">
        <v>1407</v>
      </c>
      <c r="B1374" s="2" t="s">
        <v>24</v>
      </c>
      <c r="C1374" s="2" t="s">
        <v>1598</v>
      </c>
      <c r="D1374" s="2" t="s">
        <v>18</v>
      </c>
      <c r="E1374" s="2" t="s">
        <v>19</v>
      </c>
      <c r="F1374" s="2" t="s">
        <v>20</v>
      </c>
      <c r="G1374" s="2" t="s">
        <v>1599</v>
      </c>
      <c r="H1374" s="2"/>
      <c r="I1374" s="2"/>
    </row>
    <row r="1375" spans="1:9" x14ac:dyDescent="0.35">
      <c r="A1375" s="2" t="s">
        <v>1407</v>
      </c>
      <c r="B1375" s="2" t="s">
        <v>62</v>
      </c>
      <c r="C1375" s="2" t="s">
        <v>1600</v>
      </c>
      <c r="D1375" s="2" t="s">
        <v>196</v>
      </c>
      <c r="E1375" s="2" t="s">
        <v>197</v>
      </c>
      <c r="F1375" s="2"/>
      <c r="G1375" s="2"/>
      <c r="H1375" s="2"/>
      <c r="I1375" s="2"/>
    </row>
    <row r="1376" spans="1:9" x14ac:dyDescent="0.35">
      <c r="A1376" s="2" t="s">
        <v>1407</v>
      </c>
      <c r="B1376" s="2" t="s">
        <v>62</v>
      </c>
      <c r="C1376" s="2" t="s">
        <v>1600</v>
      </c>
      <c r="D1376" s="2" t="s">
        <v>96</v>
      </c>
      <c r="E1376" s="2" t="s">
        <v>83</v>
      </c>
      <c r="F1376" s="2"/>
      <c r="G1376" s="2"/>
      <c r="H1376" s="2"/>
      <c r="I1376" s="2"/>
    </row>
    <row r="1377" spans="1:9" x14ac:dyDescent="0.35">
      <c r="A1377" s="2" t="s">
        <v>1407</v>
      </c>
      <c r="B1377" s="2" t="s">
        <v>62</v>
      </c>
      <c r="C1377" s="2" t="s">
        <v>1600</v>
      </c>
      <c r="D1377" s="2" t="s">
        <v>319</v>
      </c>
      <c r="E1377" s="2" t="s">
        <v>320</v>
      </c>
      <c r="F1377" s="2"/>
      <c r="G1377" s="2"/>
      <c r="H1377" s="2"/>
      <c r="I1377" s="2"/>
    </row>
    <row r="1378" spans="1:9" x14ac:dyDescent="0.35">
      <c r="A1378" s="2" t="s">
        <v>1407</v>
      </c>
      <c r="B1378" s="2" t="s">
        <v>62</v>
      </c>
      <c r="C1378" s="2" t="s">
        <v>1600</v>
      </c>
      <c r="D1378" s="2" t="s">
        <v>321</v>
      </c>
      <c r="E1378" s="2" t="s">
        <v>321</v>
      </c>
      <c r="F1378" s="2"/>
      <c r="G1378" s="2"/>
      <c r="H1378" s="2"/>
      <c r="I1378" s="2"/>
    </row>
    <row r="1379" spans="1:9" x14ac:dyDescent="0.35">
      <c r="A1379" s="2" t="s">
        <v>1407</v>
      </c>
      <c r="B1379" s="2" t="s">
        <v>62</v>
      </c>
      <c r="C1379" s="2" t="s">
        <v>1600</v>
      </c>
      <c r="D1379" s="2" t="s">
        <v>1586</v>
      </c>
      <c r="E1379" s="2" t="s">
        <v>1413</v>
      </c>
      <c r="F1379" s="2"/>
      <c r="G1379" s="2"/>
      <c r="H1379" s="2"/>
      <c r="I1379" s="2"/>
    </row>
    <row r="1380" spans="1:9" x14ac:dyDescent="0.35">
      <c r="A1380" s="2" t="s">
        <v>1407</v>
      </c>
      <c r="B1380" s="2" t="s">
        <v>62</v>
      </c>
      <c r="C1380" s="2" t="s">
        <v>1600</v>
      </c>
      <c r="D1380" s="2" t="s">
        <v>322</v>
      </c>
      <c r="E1380" s="2" t="s">
        <v>246</v>
      </c>
      <c r="F1380" s="2"/>
      <c r="G1380" s="2"/>
      <c r="H1380" s="2"/>
      <c r="I1380" s="2"/>
    </row>
    <row r="1381" spans="1:9" x14ac:dyDescent="0.35">
      <c r="A1381" s="2" t="s">
        <v>1407</v>
      </c>
      <c r="B1381" s="2" t="s">
        <v>62</v>
      </c>
      <c r="C1381" s="2" t="s">
        <v>1600</v>
      </c>
      <c r="D1381" s="2" t="s">
        <v>323</v>
      </c>
      <c r="E1381" s="2" t="s">
        <v>246</v>
      </c>
      <c r="F1381" s="2"/>
      <c r="G1381" s="2"/>
      <c r="H1381" s="2"/>
      <c r="I1381" s="2"/>
    </row>
    <row r="1382" spans="1:9" x14ac:dyDescent="0.35">
      <c r="A1382" s="2" t="s">
        <v>1407</v>
      </c>
      <c r="B1382" s="2" t="s">
        <v>62</v>
      </c>
      <c r="C1382" s="2" t="s">
        <v>1600</v>
      </c>
      <c r="D1382" s="2" t="s">
        <v>324</v>
      </c>
      <c r="E1382" s="2" t="s">
        <v>246</v>
      </c>
      <c r="F1382" s="2"/>
      <c r="G1382" s="2"/>
      <c r="H1382" s="2"/>
      <c r="I1382" s="2"/>
    </row>
    <row r="1383" spans="1:9" x14ac:dyDescent="0.35">
      <c r="A1383" s="2" t="s">
        <v>1407</v>
      </c>
      <c r="B1383" s="2" t="s">
        <v>62</v>
      </c>
      <c r="C1383" s="2" t="s">
        <v>1600</v>
      </c>
      <c r="D1383" s="2" t="s">
        <v>325</v>
      </c>
      <c r="E1383" s="2" t="s">
        <v>1413</v>
      </c>
      <c r="F1383" s="2"/>
      <c r="G1383" s="2"/>
      <c r="H1383" s="2"/>
      <c r="I1383" s="2"/>
    </row>
    <row r="1384" spans="1:9" x14ac:dyDescent="0.35">
      <c r="A1384" s="2" t="s">
        <v>1407</v>
      </c>
      <c r="B1384" s="2" t="s">
        <v>62</v>
      </c>
      <c r="C1384" s="2" t="s">
        <v>1600</v>
      </c>
      <c r="D1384" s="2" t="s">
        <v>327</v>
      </c>
      <c r="E1384" s="2" t="s">
        <v>328</v>
      </c>
      <c r="F1384" s="2"/>
      <c r="G1384" s="2"/>
      <c r="H1384" s="2"/>
      <c r="I1384" s="2"/>
    </row>
    <row r="1385" spans="1:9" x14ac:dyDescent="0.35">
      <c r="A1385" s="2" t="s">
        <v>1407</v>
      </c>
      <c r="B1385" s="2" t="s">
        <v>62</v>
      </c>
      <c r="C1385" s="2" t="s">
        <v>1600</v>
      </c>
      <c r="D1385" s="2" t="s">
        <v>329</v>
      </c>
      <c r="E1385" s="2" t="s">
        <v>330</v>
      </c>
      <c r="F1385" s="2"/>
      <c r="G1385" s="2"/>
      <c r="H1385" s="2"/>
      <c r="I1385" s="2"/>
    </row>
    <row r="1386" spans="1:9" x14ac:dyDescent="0.35">
      <c r="A1386" s="2" t="s">
        <v>1407</v>
      </c>
      <c r="B1386" s="2" t="s">
        <v>62</v>
      </c>
      <c r="C1386" s="2" t="s">
        <v>1600</v>
      </c>
      <c r="D1386" s="2" t="s">
        <v>331</v>
      </c>
      <c r="E1386" s="2" t="s">
        <v>332</v>
      </c>
      <c r="F1386" s="2"/>
      <c r="G1386" s="2"/>
      <c r="H1386" s="2"/>
      <c r="I1386" s="2"/>
    </row>
    <row r="1387" spans="1:9" x14ac:dyDescent="0.35">
      <c r="A1387" s="2" t="s">
        <v>1407</v>
      </c>
      <c r="B1387" s="2" t="s">
        <v>62</v>
      </c>
      <c r="C1387" s="2" t="s">
        <v>1600</v>
      </c>
      <c r="D1387" s="2" t="s">
        <v>333</v>
      </c>
      <c r="E1387" s="2" t="s">
        <v>334</v>
      </c>
      <c r="F1387" s="2"/>
      <c r="G1387" s="2"/>
      <c r="H1387" s="2"/>
      <c r="I1387" s="2"/>
    </row>
    <row r="1388" spans="1:9" x14ac:dyDescent="0.35">
      <c r="A1388" s="2" t="s">
        <v>1407</v>
      </c>
      <c r="B1388" s="2" t="s">
        <v>62</v>
      </c>
      <c r="C1388" s="2" t="s">
        <v>1600</v>
      </c>
      <c r="D1388" s="2" t="s">
        <v>1297</v>
      </c>
      <c r="E1388" s="2" t="s">
        <v>533</v>
      </c>
      <c r="F1388" s="2"/>
      <c r="G1388" s="2"/>
      <c r="H1388" s="2"/>
      <c r="I1388" s="2"/>
    </row>
    <row r="1389" spans="1:9" x14ac:dyDescent="0.35">
      <c r="A1389" s="2" t="s">
        <v>1407</v>
      </c>
      <c r="B1389" s="2" t="s">
        <v>62</v>
      </c>
      <c r="C1389" s="2" t="s">
        <v>1600</v>
      </c>
      <c r="D1389" s="2" t="s">
        <v>335</v>
      </c>
      <c r="E1389" s="2" t="s">
        <v>336</v>
      </c>
      <c r="F1389" s="2"/>
      <c r="G1389" s="2"/>
      <c r="H1389" s="2"/>
      <c r="I1389" s="2"/>
    </row>
    <row r="1390" spans="1:9" x14ac:dyDescent="0.35">
      <c r="A1390" s="2" t="s">
        <v>1407</v>
      </c>
      <c r="B1390" s="2" t="s">
        <v>62</v>
      </c>
      <c r="C1390" s="2" t="s">
        <v>1600</v>
      </c>
      <c r="D1390" s="2" t="s">
        <v>337</v>
      </c>
      <c r="E1390" s="2" t="s">
        <v>338</v>
      </c>
      <c r="F1390" s="2"/>
      <c r="G1390" s="2"/>
      <c r="H1390" s="2"/>
      <c r="I1390" s="2"/>
    </row>
    <row r="1391" spans="1:9" x14ac:dyDescent="0.35">
      <c r="A1391" s="2" t="s">
        <v>1407</v>
      </c>
      <c r="B1391" s="2" t="s">
        <v>62</v>
      </c>
      <c r="C1391" s="2" t="s">
        <v>1600</v>
      </c>
      <c r="D1391" s="2" t="s">
        <v>339</v>
      </c>
      <c r="E1391" s="2" t="s">
        <v>340</v>
      </c>
      <c r="F1391" s="2"/>
      <c r="G1391" s="2"/>
      <c r="H1391" s="2"/>
      <c r="I1391" s="2"/>
    </row>
    <row r="1392" spans="1:9" x14ac:dyDescent="0.35">
      <c r="A1392" s="2" t="s">
        <v>1407</v>
      </c>
      <c r="B1392" s="2" t="s">
        <v>62</v>
      </c>
      <c r="C1392" s="2" t="s">
        <v>1600</v>
      </c>
      <c r="D1392" s="2" t="s">
        <v>341</v>
      </c>
      <c r="E1392" s="2" t="s">
        <v>342</v>
      </c>
      <c r="F1392" s="2"/>
      <c r="G1392" s="2"/>
      <c r="H1392" s="2"/>
      <c r="I1392" s="2"/>
    </row>
    <row r="1393" spans="1:9" x14ac:dyDescent="0.35">
      <c r="A1393" s="2" t="s">
        <v>1407</v>
      </c>
      <c r="B1393" s="2" t="s">
        <v>62</v>
      </c>
      <c r="C1393" s="2" t="s">
        <v>1600</v>
      </c>
      <c r="D1393" s="2" t="s">
        <v>343</v>
      </c>
      <c r="E1393" s="2" t="s">
        <v>344</v>
      </c>
      <c r="F1393" s="2"/>
      <c r="G1393" s="2"/>
      <c r="H1393" s="2"/>
      <c r="I1393" s="2"/>
    </row>
    <row r="1394" spans="1:9" x14ac:dyDescent="0.35">
      <c r="A1394" s="2" t="s">
        <v>1407</v>
      </c>
      <c r="B1394" s="2" t="s">
        <v>62</v>
      </c>
      <c r="C1394" s="2" t="s">
        <v>1600</v>
      </c>
      <c r="D1394" s="2" t="s">
        <v>345</v>
      </c>
      <c r="E1394" s="2" t="s">
        <v>346</v>
      </c>
      <c r="F1394" s="2"/>
      <c r="G1394" s="2"/>
      <c r="H1394" s="2"/>
      <c r="I1394" s="2"/>
    </row>
    <row r="1395" spans="1:9" x14ac:dyDescent="0.35">
      <c r="A1395" s="2" t="s">
        <v>1407</v>
      </c>
      <c r="B1395" s="2" t="s">
        <v>62</v>
      </c>
      <c r="C1395" s="2" t="s">
        <v>1601</v>
      </c>
      <c r="D1395" s="2" t="s">
        <v>317</v>
      </c>
      <c r="E1395" s="2" t="s">
        <v>318</v>
      </c>
      <c r="F1395" s="2"/>
      <c r="G1395" s="2"/>
      <c r="H1395" s="2"/>
      <c r="I1395" s="2"/>
    </row>
    <row r="1396" spans="1:9" x14ac:dyDescent="0.35">
      <c r="A1396" s="2" t="s">
        <v>1407</v>
      </c>
      <c r="B1396" s="2" t="s">
        <v>62</v>
      </c>
      <c r="C1396" s="2" t="s">
        <v>1601</v>
      </c>
      <c r="D1396" s="2" t="s">
        <v>87</v>
      </c>
      <c r="E1396" s="2" t="s">
        <v>75</v>
      </c>
      <c r="F1396" s="2"/>
      <c r="G1396" s="2"/>
      <c r="H1396" s="2"/>
      <c r="I1396" s="2"/>
    </row>
    <row r="1397" spans="1:9" x14ac:dyDescent="0.35">
      <c r="A1397" s="2" t="s">
        <v>1407</v>
      </c>
      <c r="B1397" s="2" t="s">
        <v>62</v>
      </c>
      <c r="C1397" s="2" t="s">
        <v>1601</v>
      </c>
      <c r="D1397" s="2" t="s">
        <v>333</v>
      </c>
      <c r="E1397" s="2" t="s">
        <v>334</v>
      </c>
      <c r="F1397" s="2"/>
      <c r="G1397" s="2"/>
      <c r="H1397" s="2"/>
      <c r="I1397" s="2"/>
    </row>
    <row r="1398" spans="1:9" x14ac:dyDescent="0.35">
      <c r="A1398" s="2" t="s">
        <v>1407</v>
      </c>
      <c r="B1398" s="2" t="s">
        <v>12</v>
      </c>
      <c r="C1398" s="2" t="s">
        <v>1602</v>
      </c>
      <c r="D1398" s="2" t="s">
        <v>1603</v>
      </c>
      <c r="E1398" s="2" t="s">
        <v>38</v>
      </c>
      <c r="F1398" s="2"/>
      <c r="G1398" s="2"/>
      <c r="H1398" s="2"/>
      <c r="I1398" s="2"/>
    </row>
    <row r="1399" spans="1:9" x14ac:dyDescent="0.35">
      <c r="A1399" s="2" t="s">
        <v>1407</v>
      </c>
      <c r="B1399" s="2" t="s">
        <v>12</v>
      </c>
      <c r="C1399" s="2" t="s">
        <v>1602</v>
      </c>
      <c r="D1399" s="2" t="s">
        <v>91</v>
      </c>
      <c r="E1399" s="2" t="s">
        <v>19</v>
      </c>
      <c r="F1399" s="2" t="s">
        <v>20</v>
      </c>
      <c r="G1399" s="2" t="s">
        <v>1378</v>
      </c>
      <c r="H1399" s="2"/>
      <c r="I1399" s="2"/>
    </row>
    <row r="1400" spans="1:9" x14ac:dyDescent="0.35">
      <c r="A1400" s="2" t="s">
        <v>1407</v>
      </c>
      <c r="B1400" s="2" t="s">
        <v>12</v>
      </c>
      <c r="C1400" s="2" t="s">
        <v>1602</v>
      </c>
      <c r="D1400" s="2" t="s">
        <v>1228</v>
      </c>
      <c r="E1400" s="2" t="s">
        <v>228</v>
      </c>
      <c r="F1400" s="2"/>
      <c r="G1400" s="2"/>
      <c r="H1400" s="2"/>
      <c r="I1400" s="2"/>
    </row>
    <row r="1401" spans="1:9" x14ac:dyDescent="0.35">
      <c r="A1401" s="2" t="s">
        <v>1407</v>
      </c>
      <c r="B1401" s="2" t="s">
        <v>24</v>
      </c>
      <c r="C1401" s="2" t="s">
        <v>1604</v>
      </c>
      <c r="D1401" s="2" t="s">
        <v>196</v>
      </c>
      <c r="E1401" s="2" t="s">
        <v>197</v>
      </c>
      <c r="F1401" s="2"/>
      <c r="G1401" s="2"/>
      <c r="H1401" s="2"/>
      <c r="I1401" s="2"/>
    </row>
    <row r="1402" spans="1:9" x14ac:dyDescent="0.35">
      <c r="A1402" s="2" t="s">
        <v>1407</v>
      </c>
      <c r="B1402" s="2" t="s">
        <v>24</v>
      </c>
      <c r="C1402" s="2" t="s">
        <v>1604</v>
      </c>
      <c r="D1402" s="2" t="s">
        <v>98</v>
      </c>
      <c r="E1402" s="2" t="s">
        <v>98</v>
      </c>
      <c r="F1402" s="2"/>
      <c r="G1402" s="2"/>
      <c r="H1402" s="2"/>
      <c r="I1402" s="2"/>
    </row>
    <row r="1403" spans="1:9" x14ac:dyDescent="0.35">
      <c r="A1403" s="2" t="s">
        <v>1407</v>
      </c>
      <c r="B1403" s="2" t="s">
        <v>24</v>
      </c>
      <c r="C1403" s="2" t="s">
        <v>1604</v>
      </c>
      <c r="D1403" s="2" t="s">
        <v>87</v>
      </c>
      <c r="E1403" s="2" t="s">
        <v>75</v>
      </c>
      <c r="F1403" s="2"/>
      <c r="G1403" s="2"/>
      <c r="H1403" s="2"/>
      <c r="I1403" s="2"/>
    </row>
    <row r="1404" spans="1:9" x14ac:dyDescent="0.35">
      <c r="A1404" s="2" t="s">
        <v>1407</v>
      </c>
      <c r="B1404" s="2" t="s">
        <v>24</v>
      </c>
      <c r="C1404" s="2" t="s">
        <v>1604</v>
      </c>
      <c r="D1404" s="2" t="s">
        <v>472</v>
      </c>
      <c r="E1404" s="2" t="s">
        <v>473</v>
      </c>
      <c r="F1404" s="2"/>
      <c r="G1404" s="2"/>
      <c r="H1404" s="2"/>
      <c r="I1404" s="2"/>
    </row>
    <row r="1405" spans="1:9" x14ac:dyDescent="0.35">
      <c r="A1405" s="2" t="s">
        <v>1407</v>
      </c>
      <c r="B1405" s="2" t="s">
        <v>24</v>
      </c>
      <c r="C1405" s="2" t="s">
        <v>1605</v>
      </c>
      <c r="D1405" s="2" t="s">
        <v>1606</v>
      </c>
      <c r="E1405" s="2" t="s">
        <v>38</v>
      </c>
      <c r="F1405" s="2"/>
      <c r="G1405" s="2"/>
      <c r="H1405" s="2"/>
      <c r="I1405" s="2"/>
    </row>
    <row r="1406" spans="1:9" x14ac:dyDescent="0.35">
      <c r="A1406" s="2" t="s">
        <v>1407</v>
      </c>
      <c r="B1406" s="2" t="s">
        <v>24</v>
      </c>
      <c r="C1406" s="2" t="s">
        <v>1605</v>
      </c>
      <c r="D1406" s="2" t="s">
        <v>1359</v>
      </c>
      <c r="E1406" s="2" t="s">
        <v>363</v>
      </c>
      <c r="F1406" s="2"/>
      <c r="G1406" s="2"/>
      <c r="H1406" s="2"/>
      <c r="I1406" s="2"/>
    </row>
    <row r="1407" spans="1:9" x14ac:dyDescent="0.35">
      <c r="A1407" s="2" t="s">
        <v>1407</v>
      </c>
      <c r="B1407" s="2" t="s">
        <v>24</v>
      </c>
      <c r="C1407" s="2" t="s">
        <v>1605</v>
      </c>
      <c r="D1407" s="2" t="s">
        <v>1226</v>
      </c>
      <c r="E1407" s="2" t="s">
        <v>107</v>
      </c>
      <c r="F1407" s="2"/>
      <c r="G1407" s="2"/>
      <c r="H1407" s="2"/>
      <c r="I1407" s="2"/>
    </row>
    <row r="1408" spans="1:9" x14ac:dyDescent="0.35">
      <c r="A1408" s="2" t="s">
        <v>1407</v>
      </c>
      <c r="B1408" s="2" t="s">
        <v>24</v>
      </c>
      <c r="C1408" s="2" t="s">
        <v>1605</v>
      </c>
      <c r="D1408" s="2" t="s">
        <v>1457</v>
      </c>
      <c r="E1408" s="2" t="s">
        <v>1458</v>
      </c>
      <c r="F1408" s="2"/>
      <c r="G1408" s="2"/>
      <c r="H1408" s="2"/>
      <c r="I1408" s="2"/>
    </row>
    <row r="1409" spans="1:9" x14ac:dyDescent="0.35">
      <c r="A1409" s="2" t="s">
        <v>1407</v>
      </c>
      <c r="B1409" s="2" t="s">
        <v>24</v>
      </c>
      <c r="C1409" s="2" t="s">
        <v>1605</v>
      </c>
      <c r="D1409" s="2" t="s">
        <v>455</v>
      </c>
      <c r="E1409" s="2" t="s">
        <v>52</v>
      </c>
      <c r="F1409" s="2"/>
      <c r="G1409" s="2"/>
      <c r="H1409" s="2"/>
      <c r="I1409" s="2"/>
    </row>
    <row r="1410" spans="1:9" x14ac:dyDescent="0.35">
      <c r="A1410" s="2" t="s">
        <v>1407</v>
      </c>
      <c r="B1410" s="2" t="s">
        <v>24</v>
      </c>
      <c r="C1410" s="2" t="s">
        <v>1605</v>
      </c>
      <c r="D1410" s="2" t="s">
        <v>18</v>
      </c>
      <c r="E1410" s="2" t="s">
        <v>19</v>
      </c>
      <c r="F1410" s="2"/>
      <c r="G1410" s="2"/>
      <c r="H1410" s="2"/>
      <c r="I1410" s="2"/>
    </row>
    <row r="1411" spans="1:9" x14ac:dyDescent="0.35">
      <c r="A1411" s="2" t="s">
        <v>1407</v>
      </c>
      <c r="B1411" s="2" t="s">
        <v>24</v>
      </c>
      <c r="C1411" s="2" t="s">
        <v>1605</v>
      </c>
      <c r="D1411" s="2" t="s">
        <v>1228</v>
      </c>
      <c r="E1411" s="2" t="s">
        <v>228</v>
      </c>
      <c r="F1411" s="2"/>
      <c r="G1411" s="2"/>
      <c r="H1411" s="2"/>
      <c r="I1411" s="2"/>
    </row>
    <row r="1412" spans="1:9" x14ac:dyDescent="0.35">
      <c r="A1412" s="2" t="s">
        <v>1407</v>
      </c>
      <c r="B1412" s="2" t="s">
        <v>24</v>
      </c>
      <c r="C1412" s="2" t="s">
        <v>1605</v>
      </c>
      <c r="D1412" s="2" t="s">
        <v>1560</v>
      </c>
      <c r="E1412" s="2" t="s">
        <v>50</v>
      </c>
      <c r="F1412" s="2"/>
      <c r="G1412" s="2"/>
      <c r="H1412" s="2"/>
      <c r="I1412" s="2"/>
    </row>
    <row r="1413" spans="1:9" x14ac:dyDescent="0.35">
      <c r="A1413" s="2" t="s">
        <v>1407</v>
      </c>
      <c r="B1413" s="2" t="s">
        <v>24</v>
      </c>
      <c r="C1413" s="2" t="s">
        <v>1605</v>
      </c>
      <c r="D1413" s="2" t="s">
        <v>1607</v>
      </c>
      <c r="E1413" s="2" t="s">
        <v>50</v>
      </c>
      <c r="F1413" s="2"/>
      <c r="G1413" s="2"/>
      <c r="H1413" s="2"/>
      <c r="I1413" s="2"/>
    </row>
    <row r="1414" spans="1:9" x14ac:dyDescent="0.35">
      <c r="A1414" s="2" t="s">
        <v>1407</v>
      </c>
      <c r="B1414" s="2" t="s">
        <v>24</v>
      </c>
      <c r="C1414" s="2" t="s">
        <v>1608</v>
      </c>
      <c r="D1414" s="2" t="s">
        <v>196</v>
      </c>
      <c r="E1414" s="2" t="s">
        <v>197</v>
      </c>
      <c r="F1414" s="2"/>
      <c r="G1414" s="2"/>
      <c r="H1414" s="2"/>
      <c r="I1414" s="2"/>
    </row>
    <row r="1415" spans="1:9" x14ac:dyDescent="0.35">
      <c r="A1415" s="2" t="s">
        <v>1407</v>
      </c>
      <c r="B1415" s="2" t="s">
        <v>24</v>
      </c>
      <c r="C1415" s="2" t="s">
        <v>1608</v>
      </c>
      <c r="D1415" s="2" t="s">
        <v>1609</v>
      </c>
      <c r="E1415" s="2" t="s">
        <v>38</v>
      </c>
      <c r="F1415" s="2"/>
      <c r="G1415" s="2"/>
      <c r="H1415" s="2"/>
      <c r="I1415" s="2"/>
    </row>
    <row r="1416" spans="1:9" x14ac:dyDescent="0.35">
      <c r="A1416" s="2" t="s">
        <v>1407</v>
      </c>
      <c r="B1416" s="2" t="s">
        <v>24</v>
      </c>
      <c r="C1416" s="2" t="s">
        <v>1608</v>
      </c>
      <c r="D1416" s="2" t="s">
        <v>1610</v>
      </c>
      <c r="E1416" s="2" t="s">
        <v>83</v>
      </c>
      <c r="F1416" s="2"/>
      <c r="G1416" s="2"/>
      <c r="H1416" s="2"/>
      <c r="I1416" s="2"/>
    </row>
    <row r="1417" spans="1:9" x14ac:dyDescent="0.35">
      <c r="A1417" s="2" t="s">
        <v>1407</v>
      </c>
      <c r="B1417" s="2" t="s">
        <v>24</v>
      </c>
      <c r="C1417" s="2" t="s">
        <v>1608</v>
      </c>
      <c r="D1417" s="2" t="s">
        <v>144</v>
      </c>
      <c r="E1417" s="2" t="s">
        <v>50</v>
      </c>
      <c r="F1417" s="2"/>
      <c r="G1417" s="2"/>
      <c r="H1417" s="2"/>
      <c r="I1417" s="2"/>
    </row>
    <row r="1418" spans="1:9" x14ac:dyDescent="0.35">
      <c r="A1418" s="2" t="s">
        <v>1407</v>
      </c>
      <c r="B1418" s="2" t="s">
        <v>24</v>
      </c>
      <c r="C1418" s="2" t="s">
        <v>1608</v>
      </c>
      <c r="D1418" s="2" t="s">
        <v>1226</v>
      </c>
      <c r="E1418" s="2" t="s">
        <v>107</v>
      </c>
      <c r="F1418" s="2"/>
      <c r="G1418" s="2"/>
      <c r="H1418" s="2"/>
      <c r="I1418" s="2"/>
    </row>
    <row r="1419" spans="1:9" x14ac:dyDescent="0.35">
      <c r="A1419" s="2" t="s">
        <v>1407</v>
      </c>
      <c r="B1419" s="2" t="s">
        <v>24</v>
      </c>
      <c r="C1419" s="2" t="s">
        <v>1608</v>
      </c>
      <c r="D1419" s="2" t="s">
        <v>1454</v>
      </c>
      <c r="E1419" s="2" t="s">
        <v>277</v>
      </c>
      <c r="F1419" s="2"/>
      <c r="G1419" s="2"/>
      <c r="H1419" s="2"/>
      <c r="I1419" s="2"/>
    </row>
    <row r="1420" spans="1:9" x14ac:dyDescent="0.35">
      <c r="A1420" s="2" t="s">
        <v>1407</v>
      </c>
      <c r="B1420" s="2" t="s">
        <v>24</v>
      </c>
      <c r="C1420" s="2" t="s">
        <v>1608</v>
      </c>
      <c r="D1420" s="2" t="s">
        <v>1457</v>
      </c>
      <c r="E1420" s="2" t="s">
        <v>1458</v>
      </c>
      <c r="F1420" s="2"/>
      <c r="G1420" s="2"/>
      <c r="H1420" s="2"/>
      <c r="I1420" s="2"/>
    </row>
    <row r="1421" spans="1:9" x14ac:dyDescent="0.35">
      <c r="A1421" s="2" t="s">
        <v>1407</v>
      </c>
      <c r="B1421" s="2" t="s">
        <v>24</v>
      </c>
      <c r="C1421" s="2" t="s">
        <v>1608</v>
      </c>
      <c r="D1421" s="2" t="s">
        <v>1456</v>
      </c>
      <c r="E1421" s="2" t="s">
        <v>363</v>
      </c>
      <c r="F1421" s="2"/>
      <c r="G1421" s="2"/>
      <c r="H1421" s="2"/>
      <c r="I1421" s="2"/>
    </row>
    <row r="1422" spans="1:9" x14ac:dyDescent="0.35">
      <c r="A1422" s="2" t="s">
        <v>1407</v>
      </c>
      <c r="B1422" s="2" t="s">
        <v>24</v>
      </c>
      <c r="C1422" s="2" t="s">
        <v>1608</v>
      </c>
      <c r="D1422" s="2" t="s">
        <v>18</v>
      </c>
      <c r="E1422" s="2" t="s">
        <v>19</v>
      </c>
      <c r="F1422" s="2" t="s">
        <v>20</v>
      </c>
      <c r="G1422" s="2" t="s">
        <v>1611</v>
      </c>
      <c r="H1422" s="2"/>
      <c r="I1422" s="2"/>
    </row>
    <row r="1423" spans="1:9" x14ac:dyDescent="0.35">
      <c r="A1423" s="2" t="s">
        <v>1407</v>
      </c>
      <c r="B1423" s="2" t="s">
        <v>24</v>
      </c>
      <c r="C1423" s="2" t="s">
        <v>1608</v>
      </c>
      <c r="D1423" s="2" t="s">
        <v>1462</v>
      </c>
      <c r="E1423" s="2" t="s">
        <v>277</v>
      </c>
      <c r="F1423" s="2"/>
      <c r="G1423" s="2"/>
      <c r="H1423" s="2"/>
      <c r="I1423" s="2"/>
    </row>
    <row r="1424" spans="1:9" x14ac:dyDescent="0.35">
      <c r="A1424" s="2" t="s">
        <v>1407</v>
      </c>
      <c r="B1424" s="2" t="s">
        <v>24</v>
      </c>
      <c r="C1424" s="2" t="s">
        <v>1608</v>
      </c>
      <c r="D1424" s="2" t="s">
        <v>1228</v>
      </c>
      <c r="E1424" s="2" t="s">
        <v>228</v>
      </c>
      <c r="F1424" s="2"/>
      <c r="G1424" s="2"/>
      <c r="H1424" s="2"/>
      <c r="I1424" s="2"/>
    </row>
    <row r="1425" spans="1:9" x14ac:dyDescent="0.35">
      <c r="A1425" s="2" t="s">
        <v>1407</v>
      </c>
      <c r="B1425" s="2" t="s">
        <v>62</v>
      </c>
      <c r="C1425" s="2" t="s">
        <v>1612</v>
      </c>
      <c r="D1425" s="2" t="s">
        <v>196</v>
      </c>
      <c r="E1425" s="2" t="s">
        <v>197</v>
      </c>
      <c r="F1425" s="2"/>
      <c r="G1425" s="2"/>
      <c r="H1425" s="2"/>
      <c r="I1425" s="2"/>
    </row>
    <row r="1426" spans="1:9" x14ac:dyDescent="0.35">
      <c r="A1426" s="2" t="s">
        <v>1407</v>
      </c>
      <c r="B1426" s="2" t="s">
        <v>62</v>
      </c>
      <c r="C1426" s="2" t="s">
        <v>1612</v>
      </c>
      <c r="D1426" s="2" t="s">
        <v>317</v>
      </c>
      <c r="E1426" s="2" t="s">
        <v>318</v>
      </c>
      <c r="F1426" s="2"/>
      <c r="G1426" s="2"/>
      <c r="H1426" s="2"/>
      <c r="I1426" s="2"/>
    </row>
    <row r="1427" spans="1:9" x14ac:dyDescent="0.35">
      <c r="A1427" s="2" t="s">
        <v>1407</v>
      </c>
      <c r="B1427" s="2" t="s">
        <v>62</v>
      </c>
      <c r="C1427" s="2" t="s">
        <v>1612</v>
      </c>
      <c r="D1427" s="2" t="s">
        <v>319</v>
      </c>
      <c r="E1427" s="2" t="s">
        <v>320</v>
      </c>
      <c r="F1427" s="2"/>
      <c r="G1427" s="2"/>
      <c r="H1427" s="2"/>
      <c r="I1427" s="2"/>
    </row>
    <row r="1428" spans="1:9" x14ac:dyDescent="0.35">
      <c r="A1428" s="2" t="s">
        <v>1407</v>
      </c>
      <c r="B1428" s="2" t="s">
        <v>62</v>
      </c>
      <c r="C1428" s="2" t="s">
        <v>1612</v>
      </c>
      <c r="D1428" s="2" t="s">
        <v>321</v>
      </c>
      <c r="E1428" s="2" t="s">
        <v>321</v>
      </c>
      <c r="F1428" s="2"/>
      <c r="G1428" s="2"/>
      <c r="H1428" s="2"/>
      <c r="I1428" s="2"/>
    </row>
    <row r="1429" spans="1:9" x14ac:dyDescent="0.35">
      <c r="A1429" s="2" t="s">
        <v>1407</v>
      </c>
      <c r="B1429" s="2" t="s">
        <v>62</v>
      </c>
      <c r="C1429" s="2" t="s">
        <v>1612</v>
      </c>
      <c r="D1429" s="2" t="s">
        <v>322</v>
      </c>
      <c r="E1429" s="2" t="s">
        <v>246</v>
      </c>
      <c r="F1429" s="2"/>
      <c r="G1429" s="2"/>
      <c r="H1429" s="2"/>
      <c r="I1429" s="2"/>
    </row>
    <row r="1430" spans="1:9" x14ac:dyDescent="0.35">
      <c r="A1430" s="2" t="s">
        <v>1407</v>
      </c>
      <c r="B1430" s="2" t="s">
        <v>62</v>
      </c>
      <c r="C1430" s="2" t="s">
        <v>1612</v>
      </c>
      <c r="D1430" s="2" t="s">
        <v>323</v>
      </c>
      <c r="E1430" s="2" t="s">
        <v>246</v>
      </c>
      <c r="F1430" s="2"/>
      <c r="G1430" s="2"/>
      <c r="H1430" s="2"/>
      <c r="I1430" s="2"/>
    </row>
    <row r="1431" spans="1:9" x14ac:dyDescent="0.35">
      <c r="A1431" s="2" t="s">
        <v>1407</v>
      </c>
      <c r="B1431" s="2" t="s">
        <v>62</v>
      </c>
      <c r="C1431" s="2" t="s">
        <v>1612</v>
      </c>
      <c r="D1431" s="2" t="s">
        <v>324</v>
      </c>
      <c r="E1431" s="2" t="s">
        <v>246</v>
      </c>
      <c r="F1431" s="2"/>
      <c r="G1431" s="2"/>
      <c r="H1431" s="2"/>
      <c r="I1431" s="2"/>
    </row>
    <row r="1432" spans="1:9" x14ac:dyDescent="0.35">
      <c r="A1432" s="2" t="s">
        <v>1407</v>
      </c>
      <c r="B1432" s="2" t="s">
        <v>62</v>
      </c>
      <c r="C1432" s="2" t="s">
        <v>1612</v>
      </c>
      <c r="D1432" s="2" t="s">
        <v>325</v>
      </c>
      <c r="E1432" s="2" t="s">
        <v>1413</v>
      </c>
      <c r="F1432" s="2"/>
      <c r="G1432" s="2"/>
      <c r="H1432" s="2"/>
      <c r="I1432" s="2"/>
    </row>
    <row r="1433" spans="1:9" x14ac:dyDescent="0.35">
      <c r="A1433" s="2" t="s">
        <v>1407</v>
      </c>
      <c r="B1433" s="2" t="s">
        <v>62</v>
      </c>
      <c r="C1433" s="2" t="s">
        <v>1612</v>
      </c>
      <c r="D1433" s="2" t="s">
        <v>327</v>
      </c>
      <c r="E1433" s="2" t="s">
        <v>328</v>
      </c>
      <c r="F1433" s="2"/>
      <c r="G1433" s="2"/>
      <c r="H1433" s="2"/>
      <c r="I1433" s="2"/>
    </row>
    <row r="1434" spans="1:9" x14ac:dyDescent="0.35">
      <c r="A1434" s="2" t="s">
        <v>1407</v>
      </c>
      <c r="B1434" s="2" t="s">
        <v>62</v>
      </c>
      <c r="C1434" s="2" t="s">
        <v>1612</v>
      </c>
      <c r="D1434" s="2" t="s">
        <v>329</v>
      </c>
      <c r="E1434" s="2" t="s">
        <v>330</v>
      </c>
      <c r="F1434" s="2"/>
      <c r="G1434" s="2"/>
      <c r="H1434" s="2"/>
      <c r="I1434" s="2"/>
    </row>
    <row r="1435" spans="1:9" x14ac:dyDescent="0.35">
      <c r="A1435" s="2" t="s">
        <v>1407</v>
      </c>
      <c r="B1435" s="2" t="s">
        <v>62</v>
      </c>
      <c r="C1435" s="2" t="s">
        <v>1612</v>
      </c>
      <c r="D1435" s="2" t="s">
        <v>331</v>
      </c>
      <c r="E1435" s="2" t="s">
        <v>332</v>
      </c>
      <c r="F1435" s="2"/>
      <c r="G1435" s="2"/>
      <c r="H1435" s="2"/>
      <c r="I1435" s="2"/>
    </row>
    <row r="1436" spans="1:9" x14ac:dyDescent="0.35">
      <c r="A1436" s="2" t="s">
        <v>1407</v>
      </c>
      <c r="B1436" s="2" t="s">
        <v>62</v>
      </c>
      <c r="C1436" s="2" t="s">
        <v>1612</v>
      </c>
      <c r="D1436" s="2" t="s">
        <v>333</v>
      </c>
      <c r="E1436" s="2" t="s">
        <v>334</v>
      </c>
      <c r="F1436" s="2"/>
      <c r="G1436" s="2"/>
      <c r="H1436" s="2"/>
      <c r="I1436" s="2"/>
    </row>
    <row r="1437" spans="1:9" x14ac:dyDescent="0.35">
      <c r="A1437" s="2" t="s">
        <v>1407</v>
      </c>
      <c r="B1437" s="2" t="s">
        <v>62</v>
      </c>
      <c r="C1437" s="2" t="s">
        <v>1612</v>
      </c>
      <c r="D1437" s="2" t="s">
        <v>1297</v>
      </c>
      <c r="E1437" s="2" t="s">
        <v>533</v>
      </c>
      <c r="F1437" s="2"/>
      <c r="G1437" s="2"/>
      <c r="H1437" s="2"/>
      <c r="I1437" s="2"/>
    </row>
    <row r="1438" spans="1:9" x14ac:dyDescent="0.35">
      <c r="A1438" s="2" t="s">
        <v>1407</v>
      </c>
      <c r="B1438" s="2" t="s">
        <v>62</v>
      </c>
      <c r="C1438" s="2" t="s">
        <v>1612</v>
      </c>
      <c r="D1438" s="2" t="s">
        <v>335</v>
      </c>
      <c r="E1438" s="2" t="s">
        <v>336</v>
      </c>
      <c r="F1438" s="2"/>
      <c r="G1438" s="2"/>
      <c r="H1438" s="2"/>
      <c r="I1438" s="2"/>
    </row>
    <row r="1439" spans="1:9" x14ac:dyDescent="0.35">
      <c r="A1439" s="2" t="s">
        <v>1407</v>
      </c>
      <c r="B1439" s="2" t="s">
        <v>62</v>
      </c>
      <c r="C1439" s="2" t="s">
        <v>1612</v>
      </c>
      <c r="D1439" s="2" t="s">
        <v>337</v>
      </c>
      <c r="E1439" s="2" t="s">
        <v>338</v>
      </c>
      <c r="F1439" s="2"/>
      <c r="G1439" s="2"/>
      <c r="H1439" s="2"/>
      <c r="I1439" s="2"/>
    </row>
    <row r="1440" spans="1:9" x14ac:dyDescent="0.35">
      <c r="A1440" s="2" t="s">
        <v>1407</v>
      </c>
      <c r="B1440" s="2" t="s">
        <v>62</v>
      </c>
      <c r="C1440" s="2" t="s">
        <v>1612</v>
      </c>
      <c r="D1440" s="2" t="s">
        <v>339</v>
      </c>
      <c r="E1440" s="2" t="s">
        <v>340</v>
      </c>
      <c r="F1440" s="2"/>
      <c r="G1440" s="2"/>
      <c r="H1440" s="2"/>
      <c r="I1440" s="2"/>
    </row>
    <row r="1441" spans="1:9" x14ac:dyDescent="0.35">
      <c r="A1441" s="2" t="s">
        <v>1407</v>
      </c>
      <c r="B1441" s="2" t="s">
        <v>62</v>
      </c>
      <c r="C1441" s="2" t="s">
        <v>1612</v>
      </c>
      <c r="D1441" s="2" t="s">
        <v>341</v>
      </c>
      <c r="E1441" s="2" t="s">
        <v>342</v>
      </c>
      <c r="F1441" s="2"/>
      <c r="G1441" s="2"/>
      <c r="H1441" s="2"/>
      <c r="I1441" s="2"/>
    </row>
    <row r="1442" spans="1:9" x14ac:dyDescent="0.35">
      <c r="A1442" s="2" t="s">
        <v>1407</v>
      </c>
      <c r="B1442" s="2" t="s">
        <v>62</v>
      </c>
      <c r="C1442" s="2" t="s">
        <v>1612</v>
      </c>
      <c r="D1442" s="2" t="s">
        <v>343</v>
      </c>
      <c r="E1442" s="2" t="s">
        <v>344</v>
      </c>
      <c r="F1442" s="2"/>
      <c r="G1442" s="2"/>
      <c r="H1442" s="2"/>
      <c r="I1442" s="2"/>
    </row>
    <row r="1443" spans="1:9" x14ac:dyDescent="0.35">
      <c r="A1443" s="2" t="s">
        <v>1407</v>
      </c>
      <c r="B1443" s="2" t="s">
        <v>62</v>
      </c>
      <c r="C1443" s="2" t="s">
        <v>1612</v>
      </c>
      <c r="D1443" s="2" t="s">
        <v>345</v>
      </c>
      <c r="E1443" s="2" t="s">
        <v>346</v>
      </c>
      <c r="F1443" s="2"/>
      <c r="G1443" s="2"/>
      <c r="H1443" s="2"/>
      <c r="I1443" s="2"/>
    </row>
    <row r="1444" spans="1:9" x14ac:dyDescent="0.35">
      <c r="A1444" s="2" t="s">
        <v>1407</v>
      </c>
      <c r="B1444" s="2" t="s">
        <v>62</v>
      </c>
      <c r="C1444" s="2" t="s">
        <v>1613</v>
      </c>
      <c r="D1444" s="2" t="s">
        <v>196</v>
      </c>
      <c r="E1444" s="2" t="s">
        <v>197</v>
      </c>
      <c r="F1444" s="2"/>
      <c r="G1444" s="2"/>
      <c r="H1444" s="2"/>
      <c r="I1444" s="2"/>
    </row>
    <row r="1445" spans="1:9" x14ac:dyDescent="0.35">
      <c r="A1445" s="2" t="s">
        <v>1407</v>
      </c>
      <c r="B1445" s="2" t="s">
        <v>62</v>
      </c>
      <c r="C1445" s="2" t="s">
        <v>1613</v>
      </c>
      <c r="D1445" s="2" t="s">
        <v>1485</v>
      </c>
      <c r="E1445" s="2" t="s">
        <v>1486</v>
      </c>
      <c r="F1445" s="2"/>
      <c r="G1445" s="2"/>
      <c r="H1445" s="2"/>
      <c r="I1445" s="2"/>
    </row>
    <row r="1446" spans="1:9" x14ac:dyDescent="0.35">
      <c r="A1446" s="2" t="s">
        <v>1407</v>
      </c>
      <c r="B1446" s="2" t="s">
        <v>62</v>
      </c>
      <c r="C1446" s="2" t="s">
        <v>1613</v>
      </c>
      <c r="D1446" s="2" t="s">
        <v>317</v>
      </c>
      <c r="E1446" s="2" t="s">
        <v>318</v>
      </c>
      <c r="F1446" s="2"/>
      <c r="G1446" s="2"/>
      <c r="H1446" s="2"/>
      <c r="I1446" s="2"/>
    </row>
    <row r="1447" spans="1:9" x14ac:dyDescent="0.35">
      <c r="A1447" s="2" t="s">
        <v>1407</v>
      </c>
      <c r="B1447" s="2" t="s">
        <v>62</v>
      </c>
      <c r="C1447" s="2" t="s">
        <v>1613</v>
      </c>
      <c r="D1447" s="2" t="s">
        <v>98</v>
      </c>
      <c r="E1447" s="2" t="s">
        <v>98</v>
      </c>
      <c r="F1447" s="2"/>
      <c r="G1447" s="2"/>
      <c r="H1447" s="2"/>
      <c r="I1447" s="2"/>
    </row>
    <row r="1448" spans="1:9" x14ac:dyDescent="0.35">
      <c r="A1448" s="2" t="s">
        <v>1407</v>
      </c>
      <c r="B1448" s="2" t="s">
        <v>62</v>
      </c>
      <c r="C1448" s="2" t="s">
        <v>1613</v>
      </c>
      <c r="D1448" s="2" t="s">
        <v>319</v>
      </c>
      <c r="E1448" s="2" t="s">
        <v>320</v>
      </c>
      <c r="F1448" s="2"/>
      <c r="G1448" s="2"/>
      <c r="H1448" s="2"/>
      <c r="I1448" s="2"/>
    </row>
    <row r="1449" spans="1:9" x14ac:dyDescent="0.35">
      <c r="A1449" s="2" t="s">
        <v>1407</v>
      </c>
      <c r="B1449" s="2" t="s">
        <v>62</v>
      </c>
      <c r="C1449" s="2" t="s">
        <v>1613</v>
      </c>
      <c r="D1449" s="2" t="s">
        <v>18</v>
      </c>
      <c r="E1449" s="2" t="s">
        <v>19</v>
      </c>
      <c r="F1449" s="2"/>
      <c r="G1449" s="2"/>
      <c r="H1449" s="2"/>
      <c r="I1449" s="2"/>
    </row>
    <row r="1450" spans="1:9" x14ac:dyDescent="0.35">
      <c r="A1450" s="2" t="s">
        <v>1407</v>
      </c>
      <c r="B1450" s="2" t="s">
        <v>62</v>
      </c>
      <c r="C1450" s="2" t="s">
        <v>1613</v>
      </c>
      <c r="D1450" s="2" t="s">
        <v>321</v>
      </c>
      <c r="E1450" s="2" t="s">
        <v>321</v>
      </c>
      <c r="F1450" s="2"/>
      <c r="G1450" s="2"/>
      <c r="H1450" s="2"/>
      <c r="I1450" s="2"/>
    </row>
    <row r="1451" spans="1:9" x14ac:dyDescent="0.35">
      <c r="A1451" s="2" t="s">
        <v>1407</v>
      </c>
      <c r="B1451" s="2" t="s">
        <v>62</v>
      </c>
      <c r="C1451" s="2" t="s">
        <v>1613</v>
      </c>
      <c r="D1451" s="2" t="s">
        <v>322</v>
      </c>
      <c r="E1451" s="2" t="s">
        <v>246</v>
      </c>
      <c r="F1451" s="2"/>
      <c r="G1451" s="2"/>
      <c r="H1451" s="2"/>
      <c r="I1451" s="2"/>
    </row>
    <row r="1452" spans="1:9" x14ac:dyDescent="0.35">
      <c r="A1452" s="2" t="s">
        <v>1407</v>
      </c>
      <c r="B1452" s="2" t="s">
        <v>62</v>
      </c>
      <c r="C1452" s="2" t="s">
        <v>1613</v>
      </c>
      <c r="D1452" s="2" t="s">
        <v>323</v>
      </c>
      <c r="E1452" s="2" t="s">
        <v>246</v>
      </c>
      <c r="F1452" s="2"/>
      <c r="G1452" s="2"/>
      <c r="H1452" s="2"/>
      <c r="I1452" s="2"/>
    </row>
    <row r="1453" spans="1:9" x14ac:dyDescent="0.35">
      <c r="A1453" s="2" t="s">
        <v>1407</v>
      </c>
      <c r="B1453" s="2" t="s">
        <v>62</v>
      </c>
      <c r="C1453" s="2" t="s">
        <v>1613</v>
      </c>
      <c r="D1453" s="2" t="s">
        <v>324</v>
      </c>
      <c r="E1453" s="2" t="s">
        <v>246</v>
      </c>
      <c r="F1453" s="2"/>
      <c r="G1453" s="2"/>
      <c r="H1453" s="2"/>
      <c r="I1453" s="2"/>
    </row>
    <row r="1454" spans="1:9" x14ac:dyDescent="0.35">
      <c r="A1454" s="2" t="s">
        <v>1407</v>
      </c>
      <c r="B1454" s="2" t="s">
        <v>62</v>
      </c>
      <c r="C1454" s="2" t="s">
        <v>1613</v>
      </c>
      <c r="D1454" s="2" t="s">
        <v>325</v>
      </c>
      <c r="E1454" s="2" t="s">
        <v>1413</v>
      </c>
      <c r="F1454" s="2"/>
      <c r="G1454" s="2"/>
      <c r="H1454" s="2"/>
      <c r="I1454" s="2"/>
    </row>
    <row r="1455" spans="1:9" x14ac:dyDescent="0.35">
      <c r="A1455" s="2" t="s">
        <v>1407</v>
      </c>
      <c r="B1455" s="2" t="s">
        <v>62</v>
      </c>
      <c r="C1455" s="2" t="s">
        <v>1613</v>
      </c>
      <c r="D1455" s="2" t="s">
        <v>327</v>
      </c>
      <c r="E1455" s="2" t="s">
        <v>328</v>
      </c>
      <c r="F1455" s="2"/>
      <c r="G1455" s="2"/>
      <c r="H1455" s="2"/>
      <c r="I1455" s="2"/>
    </row>
    <row r="1456" spans="1:9" x14ac:dyDescent="0.35">
      <c r="A1456" s="2" t="s">
        <v>1407</v>
      </c>
      <c r="B1456" s="2" t="s">
        <v>62</v>
      </c>
      <c r="C1456" s="2" t="s">
        <v>1613</v>
      </c>
      <c r="D1456" s="2" t="s">
        <v>329</v>
      </c>
      <c r="E1456" s="2" t="s">
        <v>330</v>
      </c>
      <c r="F1456" s="2"/>
      <c r="G1456" s="2"/>
      <c r="H1456" s="2"/>
      <c r="I1456" s="2"/>
    </row>
    <row r="1457" spans="1:9" x14ac:dyDescent="0.35">
      <c r="A1457" s="2" t="s">
        <v>1407</v>
      </c>
      <c r="B1457" s="2" t="s">
        <v>62</v>
      </c>
      <c r="C1457" s="2" t="s">
        <v>1613</v>
      </c>
      <c r="D1457" s="2" t="s">
        <v>331</v>
      </c>
      <c r="E1457" s="2" t="s">
        <v>332</v>
      </c>
      <c r="F1457" s="2"/>
      <c r="G1457" s="2"/>
      <c r="H1457" s="2"/>
      <c r="I1457" s="2"/>
    </row>
    <row r="1458" spans="1:9" x14ac:dyDescent="0.35">
      <c r="A1458" s="2" t="s">
        <v>1407</v>
      </c>
      <c r="B1458" s="2" t="s">
        <v>62</v>
      </c>
      <c r="C1458" s="2" t="s">
        <v>1613</v>
      </c>
      <c r="D1458" s="2" t="s">
        <v>333</v>
      </c>
      <c r="E1458" s="2" t="s">
        <v>334</v>
      </c>
      <c r="F1458" s="2"/>
      <c r="G1458" s="2"/>
      <c r="H1458" s="2"/>
      <c r="I1458" s="2"/>
    </row>
    <row r="1459" spans="1:9" x14ac:dyDescent="0.35">
      <c r="A1459" s="2" t="s">
        <v>1407</v>
      </c>
      <c r="B1459" s="2" t="s">
        <v>62</v>
      </c>
      <c r="C1459" s="2" t="s">
        <v>1613</v>
      </c>
      <c r="D1459" s="2" t="s">
        <v>335</v>
      </c>
      <c r="E1459" s="2" t="s">
        <v>336</v>
      </c>
      <c r="F1459" s="2"/>
      <c r="G1459" s="2"/>
      <c r="H1459" s="2"/>
      <c r="I1459" s="2"/>
    </row>
    <row r="1460" spans="1:9" x14ac:dyDescent="0.35">
      <c r="A1460" s="2" t="s">
        <v>1407</v>
      </c>
      <c r="B1460" s="2" t="s">
        <v>62</v>
      </c>
      <c r="C1460" s="2" t="s">
        <v>1613</v>
      </c>
      <c r="D1460" s="2" t="s">
        <v>337</v>
      </c>
      <c r="E1460" s="2" t="s">
        <v>338</v>
      </c>
      <c r="F1460" s="2"/>
      <c r="G1460" s="2"/>
      <c r="H1460" s="2"/>
      <c r="I1460" s="2"/>
    </row>
    <row r="1461" spans="1:9" x14ac:dyDescent="0.35">
      <c r="A1461" s="2" t="s">
        <v>1407</v>
      </c>
      <c r="B1461" s="2" t="s">
        <v>62</v>
      </c>
      <c r="C1461" s="2" t="s">
        <v>1613</v>
      </c>
      <c r="D1461" s="2" t="s">
        <v>339</v>
      </c>
      <c r="E1461" s="2" t="s">
        <v>340</v>
      </c>
      <c r="F1461" s="2"/>
      <c r="G1461" s="2"/>
      <c r="H1461" s="2"/>
      <c r="I1461" s="2"/>
    </row>
    <row r="1462" spans="1:9" x14ac:dyDescent="0.35">
      <c r="A1462" s="2" t="s">
        <v>1407</v>
      </c>
      <c r="B1462" s="2" t="s">
        <v>62</v>
      </c>
      <c r="C1462" s="2" t="s">
        <v>1613</v>
      </c>
      <c r="D1462" s="2" t="s">
        <v>341</v>
      </c>
      <c r="E1462" s="2" t="s">
        <v>342</v>
      </c>
      <c r="F1462" s="2"/>
      <c r="G1462" s="2"/>
      <c r="H1462" s="2"/>
      <c r="I1462" s="2"/>
    </row>
    <row r="1463" spans="1:9" x14ac:dyDescent="0.35">
      <c r="A1463" s="2" t="s">
        <v>1407</v>
      </c>
      <c r="B1463" s="2" t="s">
        <v>62</v>
      </c>
      <c r="C1463" s="2" t="s">
        <v>1613</v>
      </c>
      <c r="D1463" s="2" t="s">
        <v>343</v>
      </c>
      <c r="E1463" s="2" t="s">
        <v>344</v>
      </c>
      <c r="F1463" s="2"/>
      <c r="G1463" s="2"/>
      <c r="H1463" s="2"/>
      <c r="I1463" s="2"/>
    </row>
    <row r="1464" spans="1:9" x14ac:dyDescent="0.35">
      <c r="A1464" s="2" t="s">
        <v>1407</v>
      </c>
      <c r="B1464" s="2" t="s">
        <v>62</v>
      </c>
      <c r="C1464" s="2" t="s">
        <v>1613</v>
      </c>
      <c r="D1464" s="2" t="s">
        <v>345</v>
      </c>
      <c r="E1464" s="2" t="s">
        <v>346</v>
      </c>
      <c r="F1464" s="2"/>
      <c r="G1464" s="2"/>
      <c r="H1464" s="2"/>
      <c r="I1464" s="2"/>
    </row>
    <row r="1465" spans="1:9" x14ac:dyDescent="0.35">
      <c r="A1465" s="2" t="s">
        <v>1407</v>
      </c>
      <c r="B1465" s="2" t="s">
        <v>62</v>
      </c>
      <c r="C1465" s="2" t="s">
        <v>1614</v>
      </c>
      <c r="D1465" s="2" t="s">
        <v>317</v>
      </c>
      <c r="E1465" s="2" t="s">
        <v>318</v>
      </c>
      <c r="F1465" s="2"/>
      <c r="G1465" s="2"/>
      <c r="H1465" s="2"/>
      <c r="I1465" s="2"/>
    </row>
    <row r="1466" spans="1:9" x14ac:dyDescent="0.35">
      <c r="A1466" s="2" t="s">
        <v>1407</v>
      </c>
      <c r="B1466" s="2" t="s">
        <v>62</v>
      </c>
      <c r="C1466" s="2" t="s">
        <v>1614</v>
      </c>
      <c r="D1466" s="2" t="s">
        <v>1051</v>
      </c>
      <c r="E1466" s="2" t="s">
        <v>318</v>
      </c>
      <c r="F1466" s="2"/>
      <c r="G1466" s="2"/>
      <c r="H1466" s="2"/>
      <c r="I1466" s="2"/>
    </row>
    <row r="1467" spans="1:9" x14ac:dyDescent="0.35">
      <c r="A1467" s="2" t="s">
        <v>1407</v>
      </c>
      <c r="B1467" s="2" t="s">
        <v>62</v>
      </c>
      <c r="C1467" s="2" t="s">
        <v>1614</v>
      </c>
      <c r="D1467" s="2" t="s">
        <v>333</v>
      </c>
      <c r="E1467" s="2" t="s">
        <v>334</v>
      </c>
      <c r="F1467" s="2"/>
      <c r="G1467" s="2"/>
      <c r="H1467" s="2"/>
      <c r="I1467" s="2"/>
    </row>
    <row r="1468" spans="1:9" x14ac:dyDescent="0.35">
      <c r="A1468" s="2" t="s">
        <v>1407</v>
      </c>
      <c r="B1468" s="2" t="s">
        <v>12</v>
      </c>
      <c r="C1468" s="2" t="s">
        <v>1615</v>
      </c>
      <c r="D1468" s="2" t="s">
        <v>198</v>
      </c>
      <c r="E1468" s="2" t="s">
        <v>65</v>
      </c>
      <c r="F1468" s="2"/>
      <c r="G1468" s="2"/>
      <c r="H1468" s="2"/>
      <c r="I1468" s="2"/>
    </row>
    <row r="1469" spans="1:9" x14ac:dyDescent="0.35">
      <c r="A1469" s="2" t="s">
        <v>1407</v>
      </c>
      <c r="B1469" s="2" t="s">
        <v>12</v>
      </c>
      <c r="C1469" s="2" t="s">
        <v>1615</v>
      </c>
      <c r="D1469" s="2" t="s">
        <v>91</v>
      </c>
      <c r="E1469" s="2" t="s">
        <v>19</v>
      </c>
      <c r="F1469" s="2" t="s">
        <v>20</v>
      </c>
      <c r="G1469" s="2" t="s">
        <v>1616</v>
      </c>
      <c r="H1469" s="2"/>
      <c r="I1469" s="2"/>
    </row>
    <row r="1470" spans="1:9" x14ac:dyDescent="0.35">
      <c r="A1470" s="2" t="s">
        <v>1407</v>
      </c>
      <c r="B1470" s="2" t="s">
        <v>12</v>
      </c>
      <c r="C1470" s="2" t="s">
        <v>1615</v>
      </c>
      <c r="D1470" s="2" t="s">
        <v>188</v>
      </c>
      <c r="E1470" s="2" t="s">
        <v>189</v>
      </c>
      <c r="F1470" s="2" t="s">
        <v>20</v>
      </c>
      <c r="G1470" s="2" t="s">
        <v>1617</v>
      </c>
      <c r="H1470" s="2"/>
      <c r="I1470" s="2"/>
    </row>
    <row r="1471" spans="1:9" x14ac:dyDescent="0.35">
      <c r="A1471" s="2" t="s">
        <v>1407</v>
      </c>
      <c r="B1471" s="2" t="s">
        <v>24</v>
      </c>
      <c r="C1471" s="2" t="s">
        <v>1618</v>
      </c>
      <c r="D1471" s="2" t="s">
        <v>196</v>
      </c>
      <c r="E1471" s="2" t="s">
        <v>197</v>
      </c>
      <c r="F1471" s="2"/>
      <c r="G1471" s="2"/>
      <c r="H1471" s="2"/>
      <c r="I1471" s="2"/>
    </row>
    <row r="1472" spans="1:9" x14ac:dyDescent="0.35">
      <c r="A1472" s="2" t="s">
        <v>1407</v>
      </c>
      <c r="B1472" s="2" t="s">
        <v>24</v>
      </c>
      <c r="C1472" s="2" t="s">
        <v>1618</v>
      </c>
      <c r="D1472" s="2" t="s">
        <v>1619</v>
      </c>
      <c r="E1472" s="2" t="s">
        <v>125</v>
      </c>
      <c r="F1472" s="2"/>
      <c r="G1472" s="2"/>
      <c r="H1472" s="2"/>
      <c r="I1472" s="2"/>
    </row>
    <row r="1473" spans="1:9" x14ac:dyDescent="0.35">
      <c r="A1473" s="2" t="s">
        <v>1407</v>
      </c>
      <c r="B1473" s="2" t="s">
        <v>24</v>
      </c>
      <c r="C1473" s="2" t="s">
        <v>1618</v>
      </c>
      <c r="D1473" s="2" t="s">
        <v>74</v>
      </c>
      <c r="E1473" s="2" t="s">
        <v>75</v>
      </c>
      <c r="F1473" s="2"/>
      <c r="G1473" s="2"/>
      <c r="H1473" s="2"/>
      <c r="I1473" s="2"/>
    </row>
    <row r="1474" spans="1:9" x14ac:dyDescent="0.35">
      <c r="A1474" s="2" t="s">
        <v>1407</v>
      </c>
      <c r="B1474" s="2" t="s">
        <v>24</v>
      </c>
      <c r="C1474" s="2" t="s">
        <v>1618</v>
      </c>
      <c r="D1474" s="2" t="s">
        <v>14</v>
      </c>
      <c r="E1474" s="2" t="s">
        <v>15</v>
      </c>
      <c r="F1474" s="2"/>
      <c r="G1474" s="2"/>
      <c r="H1474" s="2"/>
      <c r="I1474" s="2"/>
    </row>
    <row r="1475" spans="1:9" x14ac:dyDescent="0.35">
      <c r="A1475" s="2" t="s">
        <v>1407</v>
      </c>
      <c r="B1475" s="2" t="s">
        <v>24</v>
      </c>
      <c r="C1475" s="2" t="s">
        <v>1618</v>
      </c>
      <c r="D1475" s="2" t="s">
        <v>1620</v>
      </c>
      <c r="E1475" s="2" t="s">
        <v>277</v>
      </c>
      <c r="F1475" s="2"/>
      <c r="G1475" s="2"/>
      <c r="H1475" s="2"/>
      <c r="I1475" s="2"/>
    </row>
    <row r="1476" spans="1:9" x14ac:dyDescent="0.35">
      <c r="A1476" s="2" t="s">
        <v>1407</v>
      </c>
      <c r="B1476" s="2" t="s">
        <v>24</v>
      </c>
      <c r="C1476" s="2" t="s">
        <v>1618</v>
      </c>
      <c r="D1476" s="2" t="s">
        <v>1621</v>
      </c>
      <c r="E1476" s="2" t="s">
        <v>363</v>
      </c>
      <c r="F1476" s="2"/>
      <c r="G1476" s="2"/>
      <c r="H1476" s="2"/>
      <c r="I1476" s="2"/>
    </row>
    <row r="1477" spans="1:9" x14ac:dyDescent="0.35">
      <c r="A1477" s="2" t="s">
        <v>1407</v>
      </c>
      <c r="B1477" s="2" t="s">
        <v>24</v>
      </c>
      <c r="C1477" s="2" t="s">
        <v>1618</v>
      </c>
      <c r="D1477" s="2" t="s">
        <v>98</v>
      </c>
      <c r="E1477" s="2" t="s">
        <v>98</v>
      </c>
      <c r="F1477" s="2"/>
      <c r="G1477" s="2"/>
      <c r="H1477" s="2"/>
      <c r="I1477" s="2"/>
    </row>
    <row r="1478" spans="1:9" x14ac:dyDescent="0.35">
      <c r="A1478" s="2" t="s">
        <v>1407</v>
      </c>
      <c r="B1478" s="2" t="s">
        <v>24</v>
      </c>
      <c r="C1478" s="2" t="s">
        <v>1618</v>
      </c>
      <c r="D1478" s="2" t="s">
        <v>319</v>
      </c>
      <c r="E1478" s="2" t="s">
        <v>320</v>
      </c>
      <c r="F1478" s="2"/>
      <c r="G1478" s="2"/>
      <c r="H1478" s="2"/>
      <c r="I1478" s="2"/>
    </row>
    <row r="1479" spans="1:9" x14ac:dyDescent="0.35">
      <c r="A1479" s="2" t="s">
        <v>1407</v>
      </c>
      <c r="B1479" s="2" t="s">
        <v>24</v>
      </c>
      <c r="C1479" s="2" t="s">
        <v>1618</v>
      </c>
      <c r="D1479" s="2" t="s">
        <v>1226</v>
      </c>
      <c r="E1479" s="2" t="s">
        <v>107</v>
      </c>
      <c r="F1479" s="2"/>
      <c r="G1479" s="2"/>
      <c r="H1479" s="2"/>
      <c r="I1479" s="2"/>
    </row>
    <row r="1480" spans="1:9" x14ac:dyDescent="0.35">
      <c r="A1480" s="2" t="s">
        <v>1407</v>
      </c>
      <c r="B1480" s="2" t="s">
        <v>24</v>
      </c>
      <c r="C1480" s="2" t="s">
        <v>1618</v>
      </c>
      <c r="D1480" s="2" t="s">
        <v>534</v>
      </c>
      <c r="E1480" s="2" t="s">
        <v>38</v>
      </c>
      <c r="F1480" s="2"/>
      <c r="G1480" s="2"/>
      <c r="H1480" s="2"/>
      <c r="I1480" s="2"/>
    </row>
    <row r="1481" spans="1:9" x14ac:dyDescent="0.35">
      <c r="A1481" s="2" t="s">
        <v>1407</v>
      </c>
      <c r="B1481" s="2" t="s">
        <v>24</v>
      </c>
      <c r="C1481" s="2" t="s">
        <v>1618</v>
      </c>
      <c r="D1481" s="2" t="s">
        <v>1454</v>
      </c>
      <c r="E1481" s="2" t="s">
        <v>277</v>
      </c>
      <c r="F1481" s="2"/>
      <c r="G1481" s="2"/>
      <c r="H1481" s="2"/>
      <c r="I1481" s="2"/>
    </row>
    <row r="1482" spans="1:9" x14ac:dyDescent="0.35">
      <c r="A1482" s="2" t="s">
        <v>1407</v>
      </c>
      <c r="B1482" s="2" t="s">
        <v>24</v>
      </c>
      <c r="C1482" s="2" t="s">
        <v>1618</v>
      </c>
      <c r="D1482" s="2" t="s">
        <v>1307</v>
      </c>
      <c r="E1482" s="2" t="s">
        <v>38</v>
      </c>
      <c r="F1482" s="2"/>
      <c r="G1482" s="2"/>
      <c r="H1482" s="2"/>
      <c r="I1482" s="2"/>
    </row>
    <row r="1483" spans="1:9" x14ac:dyDescent="0.35">
      <c r="A1483" s="2" t="s">
        <v>1407</v>
      </c>
      <c r="B1483" s="2" t="s">
        <v>24</v>
      </c>
      <c r="C1483" s="2" t="s">
        <v>1618</v>
      </c>
      <c r="D1483" s="2" t="s">
        <v>649</v>
      </c>
      <c r="E1483" s="2" t="s">
        <v>363</v>
      </c>
      <c r="F1483" s="2"/>
      <c r="G1483" s="2"/>
      <c r="H1483" s="2"/>
      <c r="I1483" s="2"/>
    </row>
    <row r="1484" spans="1:9" x14ac:dyDescent="0.35">
      <c r="A1484" s="2" t="s">
        <v>1407</v>
      </c>
      <c r="B1484" s="2" t="s">
        <v>24</v>
      </c>
      <c r="C1484" s="2" t="s">
        <v>1618</v>
      </c>
      <c r="D1484" s="2" t="s">
        <v>1457</v>
      </c>
      <c r="E1484" s="2" t="s">
        <v>1458</v>
      </c>
      <c r="F1484" s="2"/>
      <c r="G1484" s="2"/>
      <c r="H1484" s="2"/>
      <c r="I1484" s="2"/>
    </row>
    <row r="1485" spans="1:9" x14ac:dyDescent="0.35">
      <c r="A1485" s="2" t="s">
        <v>1407</v>
      </c>
      <c r="B1485" s="2" t="s">
        <v>24</v>
      </c>
      <c r="C1485" s="2" t="s">
        <v>1618</v>
      </c>
      <c r="D1485" s="2" t="s">
        <v>1532</v>
      </c>
      <c r="E1485" s="2" t="s">
        <v>75</v>
      </c>
      <c r="F1485" s="2"/>
      <c r="G1485" s="2"/>
      <c r="H1485" s="2"/>
      <c r="I1485" s="2"/>
    </row>
    <row r="1486" spans="1:9" x14ac:dyDescent="0.35">
      <c r="A1486" s="2" t="s">
        <v>1407</v>
      </c>
      <c r="B1486" s="2" t="s">
        <v>24</v>
      </c>
      <c r="C1486" s="2" t="s">
        <v>1618</v>
      </c>
      <c r="D1486" s="2" t="s">
        <v>708</v>
      </c>
      <c r="E1486" s="2" t="s">
        <v>125</v>
      </c>
      <c r="F1486" s="2"/>
      <c r="G1486" s="2"/>
      <c r="H1486" s="2"/>
      <c r="I1486" s="2"/>
    </row>
    <row r="1487" spans="1:9" x14ac:dyDescent="0.35">
      <c r="A1487" s="2" t="s">
        <v>1407</v>
      </c>
      <c r="B1487" s="2" t="s">
        <v>24</v>
      </c>
      <c r="C1487" s="2" t="s">
        <v>1618</v>
      </c>
      <c r="D1487" s="2" t="s">
        <v>91</v>
      </c>
      <c r="E1487" s="2" t="s">
        <v>19</v>
      </c>
      <c r="F1487" s="2" t="s">
        <v>20</v>
      </c>
      <c r="G1487" s="2" t="s">
        <v>1622</v>
      </c>
      <c r="H1487" s="2"/>
      <c r="I1487" s="2"/>
    </row>
    <row r="1488" spans="1:9" x14ac:dyDescent="0.35">
      <c r="A1488" s="2" t="s">
        <v>1407</v>
      </c>
      <c r="B1488" s="2" t="s">
        <v>24</v>
      </c>
      <c r="C1488" s="2" t="s">
        <v>1618</v>
      </c>
      <c r="D1488" s="2" t="s">
        <v>1623</v>
      </c>
      <c r="E1488" s="2" t="s">
        <v>533</v>
      </c>
      <c r="F1488" s="2"/>
      <c r="G1488" s="2"/>
      <c r="H1488" s="2"/>
      <c r="I1488" s="2"/>
    </row>
    <row r="1489" spans="1:9" x14ac:dyDescent="0.35">
      <c r="A1489" s="2" t="s">
        <v>1407</v>
      </c>
      <c r="B1489" s="2" t="s">
        <v>24</v>
      </c>
      <c r="C1489" s="2" t="s">
        <v>1618</v>
      </c>
      <c r="D1489" s="2" t="s">
        <v>1459</v>
      </c>
      <c r="E1489" s="2" t="s">
        <v>363</v>
      </c>
      <c r="F1489" s="2"/>
      <c r="G1489" s="2"/>
      <c r="H1489" s="2"/>
      <c r="I1489" s="2"/>
    </row>
    <row r="1490" spans="1:9" x14ac:dyDescent="0.35">
      <c r="A1490" s="2" t="s">
        <v>1407</v>
      </c>
      <c r="B1490" s="2" t="s">
        <v>24</v>
      </c>
      <c r="C1490" s="2" t="s">
        <v>1618</v>
      </c>
      <c r="D1490" s="2" t="s">
        <v>87</v>
      </c>
      <c r="E1490" s="2" t="s">
        <v>75</v>
      </c>
      <c r="F1490" s="2"/>
      <c r="G1490" s="2"/>
      <c r="H1490" s="2"/>
      <c r="I1490" s="2"/>
    </row>
    <row r="1491" spans="1:9" x14ac:dyDescent="0.35">
      <c r="A1491" s="2" t="s">
        <v>1407</v>
      </c>
      <c r="B1491" s="2" t="s">
        <v>24</v>
      </c>
      <c r="C1491" s="2" t="s">
        <v>1618</v>
      </c>
      <c r="D1491" s="2" t="s">
        <v>1624</v>
      </c>
      <c r="E1491" s="2" t="s">
        <v>45</v>
      </c>
      <c r="F1491" s="2"/>
      <c r="G1491" s="2"/>
      <c r="H1491" s="2"/>
      <c r="I1491" s="2"/>
    </row>
    <row r="1492" spans="1:9" x14ac:dyDescent="0.35">
      <c r="A1492" s="2" t="s">
        <v>1407</v>
      </c>
      <c r="B1492" s="2" t="s">
        <v>24</v>
      </c>
      <c r="C1492" s="2" t="s">
        <v>1618</v>
      </c>
      <c r="D1492" s="2" t="s">
        <v>124</v>
      </c>
      <c r="E1492" s="2" t="s">
        <v>125</v>
      </c>
      <c r="F1492" s="2"/>
      <c r="G1492" s="2"/>
      <c r="H1492" s="2"/>
      <c r="I1492" s="2"/>
    </row>
    <row r="1493" spans="1:9" x14ac:dyDescent="0.35">
      <c r="A1493" s="2" t="s">
        <v>1407</v>
      </c>
      <c r="B1493" s="2" t="s">
        <v>24</v>
      </c>
      <c r="C1493" s="2" t="s">
        <v>1618</v>
      </c>
      <c r="D1493" s="2" t="s">
        <v>417</v>
      </c>
      <c r="E1493" s="2" t="s">
        <v>40</v>
      </c>
      <c r="F1493" s="2"/>
      <c r="G1493" s="2"/>
      <c r="H1493" s="2"/>
      <c r="I1493" s="2"/>
    </row>
    <row r="1494" spans="1:9" x14ac:dyDescent="0.35">
      <c r="A1494" s="2" t="s">
        <v>1407</v>
      </c>
      <c r="B1494" s="2" t="s">
        <v>24</v>
      </c>
      <c r="C1494" s="2" t="s">
        <v>1618</v>
      </c>
      <c r="D1494" s="2" t="s">
        <v>18</v>
      </c>
      <c r="E1494" s="2" t="s">
        <v>19</v>
      </c>
      <c r="F1494" s="2" t="s">
        <v>20</v>
      </c>
      <c r="G1494" s="2" t="s">
        <v>1622</v>
      </c>
      <c r="H1494" s="2"/>
      <c r="I1494" s="2"/>
    </row>
    <row r="1495" spans="1:9" x14ac:dyDescent="0.35">
      <c r="A1495" s="2" t="s">
        <v>1407</v>
      </c>
      <c r="B1495" s="2" t="s">
        <v>24</v>
      </c>
      <c r="C1495" s="2" t="s">
        <v>1618</v>
      </c>
      <c r="D1495" s="2" t="s">
        <v>1462</v>
      </c>
      <c r="E1495" s="2" t="s">
        <v>277</v>
      </c>
      <c r="F1495" s="2"/>
      <c r="G1495" s="2"/>
      <c r="H1495" s="2"/>
      <c r="I1495" s="2"/>
    </row>
    <row r="1496" spans="1:9" x14ac:dyDescent="0.35">
      <c r="A1496" s="2" t="s">
        <v>1407</v>
      </c>
      <c r="B1496" s="2" t="s">
        <v>24</v>
      </c>
      <c r="C1496" s="2" t="s">
        <v>1618</v>
      </c>
      <c r="D1496" s="2" t="s">
        <v>1228</v>
      </c>
      <c r="E1496" s="2" t="s">
        <v>228</v>
      </c>
      <c r="F1496" s="2"/>
      <c r="G1496" s="2"/>
      <c r="H1496" s="2"/>
      <c r="I1496" s="2"/>
    </row>
    <row r="1497" spans="1:9" x14ac:dyDescent="0.35">
      <c r="A1497" s="2" t="s">
        <v>1407</v>
      </c>
      <c r="B1497" s="2" t="s">
        <v>24</v>
      </c>
      <c r="C1497" s="2" t="s">
        <v>1618</v>
      </c>
      <c r="D1497" s="2" t="s">
        <v>187</v>
      </c>
      <c r="E1497" s="2" t="s">
        <v>150</v>
      </c>
      <c r="F1497" s="2"/>
      <c r="G1497" s="2"/>
      <c r="H1497" s="2"/>
      <c r="I1497" s="2"/>
    </row>
    <row r="1498" spans="1:9" x14ac:dyDescent="0.35">
      <c r="A1498" s="2" t="s">
        <v>1407</v>
      </c>
      <c r="B1498" s="2" t="s">
        <v>24</v>
      </c>
      <c r="C1498" s="2" t="s">
        <v>1618</v>
      </c>
      <c r="D1498" s="2" t="s">
        <v>85</v>
      </c>
      <c r="E1498" s="2" t="s">
        <v>85</v>
      </c>
      <c r="F1498" s="2"/>
      <c r="G1498" s="2"/>
      <c r="H1498" s="2"/>
      <c r="I1498" s="2"/>
    </row>
    <row r="1499" spans="1:9" x14ac:dyDescent="0.35">
      <c r="A1499" s="2" t="s">
        <v>1407</v>
      </c>
      <c r="B1499" s="2" t="s">
        <v>24</v>
      </c>
      <c r="C1499" s="2" t="s">
        <v>1618</v>
      </c>
      <c r="D1499" s="2" t="s">
        <v>188</v>
      </c>
      <c r="E1499" s="2" t="s">
        <v>189</v>
      </c>
      <c r="F1499" s="2"/>
      <c r="G1499" s="2"/>
      <c r="H1499" s="2"/>
      <c r="I1499" s="2"/>
    </row>
    <row r="1500" spans="1:9" x14ac:dyDescent="0.35">
      <c r="A1500" s="2" t="s">
        <v>1407</v>
      </c>
      <c r="B1500" s="2" t="s">
        <v>24</v>
      </c>
      <c r="C1500" s="2" t="s">
        <v>1618</v>
      </c>
      <c r="D1500" s="2" t="s">
        <v>149</v>
      </c>
      <c r="E1500" s="2" t="s">
        <v>150</v>
      </c>
      <c r="F1500" s="2"/>
      <c r="G1500" s="2"/>
      <c r="H1500" s="2"/>
      <c r="I1500" s="2"/>
    </row>
    <row r="1501" spans="1:9" x14ac:dyDescent="0.35">
      <c r="A1501" s="2" t="s">
        <v>1407</v>
      </c>
      <c r="B1501" s="2" t="s">
        <v>24</v>
      </c>
      <c r="C1501" s="2" t="s">
        <v>1618</v>
      </c>
      <c r="D1501" s="2" t="s">
        <v>1625</v>
      </c>
      <c r="E1501" s="2" t="s">
        <v>50</v>
      </c>
      <c r="F1501" s="2"/>
      <c r="G1501" s="2"/>
      <c r="H1501" s="2"/>
      <c r="I1501" s="2"/>
    </row>
    <row r="1502" spans="1:9" x14ac:dyDescent="0.35">
      <c r="A1502" s="2" t="s">
        <v>1407</v>
      </c>
      <c r="B1502" s="2" t="s">
        <v>12</v>
      </c>
      <c r="C1502" s="2" t="s">
        <v>1626</v>
      </c>
      <c r="D1502" s="2" t="s">
        <v>198</v>
      </c>
      <c r="E1502" s="2" t="s">
        <v>65</v>
      </c>
      <c r="F1502" s="2"/>
      <c r="G1502" s="2"/>
      <c r="H1502" s="2"/>
      <c r="I1502" s="2"/>
    </row>
    <row r="1503" spans="1:9" x14ac:dyDescent="0.35">
      <c r="A1503" s="2" t="s">
        <v>1407</v>
      </c>
      <c r="B1503" s="2" t="s">
        <v>12</v>
      </c>
      <c r="C1503" s="2" t="s">
        <v>1626</v>
      </c>
      <c r="D1503" s="2" t="s">
        <v>625</v>
      </c>
      <c r="E1503" s="2" t="s">
        <v>38</v>
      </c>
      <c r="F1503" s="2"/>
      <c r="G1503" s="2"/>
      <c r="H1503" s="2"/>
      <c r="I1503" s="2"/>
    </row>
    <row r="1504" spans="1:9" x14ac:dyDescent="0.35">
      <c r="A1504" s="2" t="s">
        <v>1407</v>
      </c>
      <c r="B1504" s="2" t="s">
        <v>12</v>
      </c>
      <c r="C1504" s="2" t="s">
        <v>1626</v>
      </c>
      <c r="D1504" s="2" t="s">
        <v>1420</v>
      </c>
      <c r="E1504" s="2" t="s">
        <v>189</v>
      </c>
      <c r="F1504" s="2"/>
      <c r="G1504" s="2"/>
      <c r="H1504" s="2"/>
      <c r="I1504" s="2"/>
    </row>
    <row r="1505" spans="1:9" x14ac:dyDescent="0.35">
      <c r="A1505" s="2" t="s">
        <v>1407</v>
      </c>
      <c r="B1505" s="2" t="s">
        <v>12</v>
      </c>
      <c r="C1505" s="2" t="s">
        <v>1627</v>
      </c>
      <c r="D1505" s="2" t="s">
        <v>14</v>
      </c>
      <c r="E1505" s="2" t="s">
        <v>15</v>
      </c>
      <c r="F1505" s="2"/>
      <c r="G1505" s="2"/>
      <c r="H1505" s="2"/>
      <c r="I1505" s="2"/>
    </row>
    <row r="1506" spans="1:9" x14ac:dyDescent="0.35">
      <c r="A1506" s="2" t="s">
        <v>1407</v>
      </c>
      <c r="B1506" s="2" t="s">
        <v>12</v>
      </c>
      <c r="C1506" s="2" t="s">
        <v>1627</v>
      </c>
      <c r="D1506" s="2" t="s">
        <v>319</v>
      </c>
      <c r="E1506" s="2" t="s">
        <v>320</v>
      </c>
      <c r="F1506" s="2"/>
      <c r="G1506" s="2"/>
      <c r="H1506" s="2"/>
      <c r="I1506" s="2"/>
    </row>
    <row r="1507" spans="1:9" x14ac:dyDescent="0.35">
      <c r="A1507" s="2" t="s">
        <v>1407</v>
      </c>
      <c r="B1507" s="2" t="s">
        <v>12</v>
      </c>
      <c r="C1507" s="2" t="s">
        <v>1627</v>
      </c>
      <c r="D1507" s="2" t="s">
        <v>1226</v>
      </c>
      <c r="E1507" s="2" t="s">
        <v>107</v>
      </c>
      <c r="F1507" s="2"/>
      <c r="G1507" s="2"/>
      <c r="H1507" s="2"/>
      <c r="I1507" s="2"/>
    </row>
    <row r="1508" spans="1:9" x14ac:dyDescent="0.35">
      <c r="A1508" s="2" t="s">
        <v>1407</v>
      </c>
      <c r="B1508" s="2" t="s">
        <v>12</v>
      </c>
      <c r="C1508" s="2" t="s">
        <v>1627</v>
      </c>
      <c r="D1508" s="2" t="s">
        <v>91</v>
      </c>
      <c r="E1508" s="2" t="s">
        <v>19</v>
      </c>
      <c r="F1508" s="2"/>
      <c r="G1508" s="2"/>
      <c r="H1508" s="2"/>
      <c r="I1508" s="2"/>
    </row>
    <row r="1509" spans="1:9" x14ac:dyDescent="0.35">
      <c r="A1509" s="2" t="s">
        <v>1407</v>
      </c>
      <c r="B1509" s="2" t="s">
        <v>12</v>
      </c>
      <c r="C1509" s="2" t="s">
        <v>1627</v>
      </c>
      <c r="D1509" s="2" t="s">
        <v>1228</v>
      </c>
      <c r="E1509" s="2" t="s">
        <v>228</v>
      </c>
      <c r="F1509" s="2"/>
      <c r="G1509" s="2"/>
      <c r="H1509" s="2"/>
      <c r="I1509" s="2"/>
    </row>
    <row r="1510" spans="1:9" x14ac:dyDescent="0.35">
      <c r="A1510" s="2" t="s">
        <v>1407</v>
      </c>
      <c r="B1510" s="2" t="s">
        <v>62</v>
      </c>
      <c r="C1510" s="2" t="s">
        <v>1628</v>
      </c>
      <c r="D1510" s="2" t="s">
        <v>319</v>
      </c>
      <c r="E1510" s="2" t="s">
        <v>320</v>
      </c>
      <c r="F1510" s="2"/>
      <c r="G1510" s="2"/>
      <c r="H1510" s="2"/>
      <c r="I1510" s="2"/>
    </row>
    <row r="1511" spans="1:9" x14ac:dyDescent="0.35">
      <c r="A1511" s="2" t="s">
        <v>1407</v>
      </c>
      <c r="B1511" s="2" t="s">
        <v>62</v>
      </c>
      <c r="C1511" s="2" t="s">
        <v>1628</v>
      </c>
      <c r="D1511" s="2" t="s">
        <v>321</v>
      </c>
      <c r="E1511" s="2" t="s">
        <v>321</v>
      </c>
      <c r="F1511" s="2"/>
      <c r="G1511" s="2"/>
      <c r="H1511" s="2"/>
      <c r="I1511" s="2"/>
    </row>
    <row r="1512" spans="1:9" x14ac:dyDescent="0.35">
      <c r="A1512" s="2" t="s">
        <v>1407</v>
      </c>
      <c r="B1512" s="2" t="s">
        <v>62</v>
      </c>
      <c r="C1512" s="2" t="s">
        <v>1628</v>
      </c>
      <c r="D1512" s="2" t="s">
        <v>322</v>
      </c>
      <c r="E1512" s="2" t="s">
        <v>246</v>
      </c>
      <c r="F1512" s="2"/>
      <c r="G1512" s="2"/>
      <c r="H1512" s="2"/>
      <c r="I1512" s="2"/>
    </row>
    <row r="1513" spans="1:9" x14ac:dyDescent="0.35">
      <c r="A1513" s="2" t="s">
        <v>1407</v>
      </c>
      <c r="B1513" s="2" t="s">
        <v>62</v>
      </c>
      <c r="C1513" s="2" t="s">
        <v>1628</v>
      </c>
      <c r="D1513" s="2" t="s">
        <v>323</v>
      </c>
      <c r="E1513" s="2" t="s">
        <v>246</v>
      </c>
      <c r="F1513" s="2"/>
      <c r="G1513" s="2"/>
      <c r="H1513" s="2"/>
      <c r="I1513" s="2"/>
    </row>
    <row r="1514" spans="1:9" x14ac:dyDescent="0.35">
      <c r="A1514" s="2" t="s">
        <v>1407</v>
      </c>
      <c r="B1514" s="2" t="s">
        <v>62</v>
      </c>
      <c r="C1514" s="2" t="s">
        <v>1628</v>
      </c>
      <c r="D1514" s="2" t="s">
        <v>324</v>
      </c>
      <c r="E1514" s="2" t="s">
        <v>246</v>
      </c>
      <c r="F1514" s="2"/>
      <c r="G1514" s="2"/>
      <c r="H1514" s="2"/>
      <c r="I1514" s="2"/>
    </row>
    <row r="1515" spans="1:9" x14ac:dyDescent="0.35">
      <c r="A1515" s="2" t="s">
        <v>1407</v>
      </c>
      <c r="B1515" s="2" t="s">
        <v>62</v>
      </c>
      <c r="C1515" s="2" t="s">
        <v>1628</v>
      </c>
      <c r="D1515" s="2" t="s">
        <v>325</v>
      </c>
      <c r="E1515" s="2" t="s">
        <v>1413</v>
      </c>
      <c r="F1515" s="2"/>
      <c r="G1515" s="2"/>
      <c r="H1515" s="2"/>
      <c r="I1515" s="2"/>
    </row>
    <row r="1516" spans="1:9" x14ac:dyDescent="0.35">
      <c r="A1516" s="2" t="s">
        <v>1407</v>
      </c>
      <c r="B1516" s="2" t="s">
        <v>62</v>
      </c>
      <c r="C1516" s="2" t="s">
        <v>1628</v>
      </c>
      <c r="D1516" s="2" t="s">
        <v>327</v>
      </c>
      <c r="E1516" s="2" t="s">
        <v>328</v>
      </c>
      <c r="F1516" s="2"/>
      <c r="G1516" s="2"/>
      <c r="H1516" s="2"/>
      <c r="I1516" s="2"/>
    </row>
    <row r="1517" spans="1:9" x14ac:dyDescent="0.35">
      <c r="A1517" s="2" t="s">
        <v>1407</v>
      </c>
      <c r="B1517" s="2" t="s">
        <v>62</v>
      </c>
      <c r="C1517" s="2" t="s">
        <v>1628</v>
      </c>
      <c r="D1517" s="2" t="s">
        <v>329</v>
      </c>
      <c r="E1517" s="2" t="s">
        <v>330</v>
      </c>
      <c r="F1517" s="2"/>
      <c r="G1517" s="2"/>
      <c r="H1517" s="2"/>
      <c r="I1517" s="2"/>
    </row>
    <row r="1518" spans="1:9" x14ac:dyDescent="0.35">
      <c r="A1518" s="2" t="s">
        <v>1407</v>
      </c>
      <c r="B1518" s="2" t="s">
        <v>62</v>
      </c>
      <c r="C1518" s="2" t="s">
        <v>1628</v>
      </c>
      <c r="D1518" s="2" t="s">
        <v>331</v>
      </c>
      <c r="E1518" s="2" t="s">
        <v>332</v>
      </c>
      <c r="F1518" s="2"/>
      <c r="G1518" s="2"/>
      <c r="H1518" s="2"/>
      <c r="I1518" s="2"/>
    </row>
    <row r="1519" spans="1:9" x14ac:dyDescent="0.35">
      <c r="A1519" s="2" t="s">
        <v>1407</v>
      </c>
      <c r="B1519" s="2" t="s">
        <v>62</v>
      </c>
      <c r="C1519" s="2" t="s">
        <v>1628</v>
      </c>
      <c r="D1519" s="2" t="s">
        <v>333</v>
      </c>
      <c r="E1519" s="2" t="s">
        <v>334</v>
      </c>
      <c r="F1519" s="2"/>
      <c r="G1519" s="2"/>
      <c r="H1519" s="2"/>
      <c r="I1519" s="2"/>
    </row>
    <row r="1520" spans="1:9" x14ac:dyDescent="0.35">
      <c r="A1520" s="2" t="s">
        <v>1407</v>
      </c>
      <c r="B1520" s="2" t="s">
        <v>62</v>
      </c>
      <c r="C1520" s="2" t="s">
        <v>1628</v>
      </c>
      <c r="D1520" s="2" t="s">
        <v>1629</v>
      </c>
      <c r="E1520" s="2" t="s">
        <v>318</v>
      </c>
      <c r="F1520" s="2"/>
      <c r="G1520" s="2"/>
      <c r="H1520" s="2"/>
      <c r="I1520" s="2"/>
    </row>
    <row r="1521" spans="1:9" x14ac:dyDescent="0.35">
      <c r="A1521" s="2" t="s">
        <v>1407</v>
      </c>
      <c r="B1521" s="2" t="s">
        <v>62</v>
      </c>
      <c r="C1521" s="2" t="s">
        <v>1628</v>
      </c>
      <c r="D1521" s="2" t="s">
        <v>335</v>
      </c>
      <c r="E1521" s="2" t="s">
        <v>336</v>
      </c>
      <c r="F1521" s="2"/>
      <c r="G1521" s="2"/>
      <c r="H1521" s="2"/>
      <c r="I1521" s="2"/>
    </row>
    <row r="1522" spans="1:9" x14ac:dyDescent="0.35">
      <c r="A1522" s="2" t="s">
        <v>1407</v>
      </c>
      <c r="B1522" s="2" t="s">
        <v>62</v>
      </c>
      <c r="C1522" s="2" t="s">
        <v>1628</v>
      </c>
      <c r="D1522" s="2" t="s">
        <v>337</v>
      </c>
      <c r="E1522" s="2" t="s">
        <v>338</v>
      </c>
      <c r="F1522" s="2"/>
      <c r="G1522" s="2"/>
      <c r="H1522" s="2"/>
      <c r="I1522" s="2"/>
    </row>
    <row r="1523" spans="1:9" x14ac:dyDescent="0.35">
      <c r="A1523" s="2" t="s">
        <v>1407</v>
      </c>
      <c r="B1523" s="2" t="s">
        <v>62</v>
      </c>
      <c r="C1523" s="2" t="s">
        <v>1628</v>
      </c>
      <c r="D1523" s="2" t="s">
        <v>339</v>
      </c>
      <c r="E1523" s="2" t="s">
        <v>340</v>
      </c>
      <c r="F1523" s="2"/>
      <c r="G1523" s="2"/>
      <c r="H1523" s="2"/>
      <c r="I1523" s="2"/>
    </row>
    <row r="1524" spans="1:9" x14ac:dyDescent="0.35">
      <c r="A1524" s="2" t="s">
        <v>1407</v>
      </c>
      <c r="B1524" s="2" t="s">
        <v>62</v>
      </c>
      <c r="C1524" s="2" t="s">
        <v>1628</v>
      </c>
      <c r="D1524" s="2" t="s">
        <v>341</v>
      </c>
      <c r="E1524" s="2" t="s">
        <v>342</v>
      </c>
      <c r="F1524" s="2"/>
      <c r="G1524" s="2"/>
      <c r="H1524" s="2"/>
      <c r="I1524" s="2"/>
    </row>
    <row r="1525" spans="1:9" x14ac:dyDescent="0.35">
      <c r="A1525" s="2" t="s">
        <v>1407</v>
      </c>
      <c r="B1525" s="2" t="s">
        <v>62</v>
      </c>
      <c r="C1525" s="2" t="s">
        <v>1628</v>
      </c>
      <c r="D1525" s="2" t="s">
        <v>343</v>
      </c>
      <c r="E1525" s="2" t="s">
        <v>344</v>
      </c>
      <c r="F1525" s="2"/>
      <c r="G1525" s="2"/>
      <c r="H1525" s="2"/>
      <c r="I1525" s="2"/>
    </row>
    <row r="1526" spans="1:9" x14ac:dyDescent="0.35">
      <c r="A1526" s="2" t="s">
        <v>1407</v>
      </c>
      <c r="B1526" s="2" t="s">
        <v>62</v>
      </c>
      <c r="C1526" s="2" t="s">
        <v>1628</v>
      </c>
      <c r="D1526" s="2" t="s">
        <v>345</v>
      </c>
      <c r="E1526" s="2" t="s">
        <v>346</v>
      </c>
      <c r="F1526" s="2"/>
      <c r="G1526" s="2"/>
      <c r="H1526" s="2"/>
      <c r="I1526" s="2"/>
    </row>
    <row r="1527" spans="1:9" x14ac:dyDescent="0.35">
      <c r="A1527" s="2" t="s">
        <v>1407</v>
      </c>
      <c r="B1527" s="2" t="s">
        <v>62</v>
      </c>
      <c r="C1527" s="2" t="s">
        <v>1630</v>
      </c>
      <c r="D1527" s="2" t="s">
        <v>317</v>
      </c>
      <c r="E1527" s="2" t="s">
        <v>318</v>
      </c>
      <c r="F1527" s="2"/>
      <c r="G1527" s="2"/>
      <c r="H1527" s="2"/>
      <c r="I1527" s="2"/>
    </row>
    <row r="1528" spans="1:9" x14ac:dyDescent="0.35">
      <c r="A1528" s="2" t="s">
        <v>1407</v>
      </c>
      <c r="B1528" s="2" t="s">
        <v>62</v>
      </c>
      <c r="C1528" s="2" t="s">
        <v>1630</v>
      </c>
      <c r="D1528" s="2" t="s">
        <v>87</v>
      </c>
      <c r="E1528" s="2" t="s">
        <v>75</v>
      </c>
      <c r="F1528" s="2"/>
      <c r="G1528" s="2"/>
      <c r="H1528" s="2"/>
      <c r="I1528" s="2"/>
    </row>
    <row r="1529" spans="1:9" x14ac:dyDescent="0.35">
      <c r="A1529" s="2" t="s">
        <v>1407</v>
      </c>
      <c r="B1529" s="2" t="s">
        <v>62</v>
      </c>
      <c r="C1529" s="2" t="s">
        <v>1630</v>
      </c>
      <c r="D1529" s="2" t="s">
        <v>1051</v>
      </c>
      <c r="E1529" s="2" t="s">
        <v>318</v>
      </c>
      <c r="F1529" s="2"/>
      <c r="G1529" s="2"/>
      <c r="H1529" s="2"/>
      <c r="I1529" s="2"/>
    </row>
    <row r="1530" spans="1:9" x14ac:dyDescent="0.35">
      <c r="A1530" s="2" t="s">
        <v>1407</v>
      </c>
      <c r="B1530" s="2" t="s">
        <v>62</v>
      </c>
      <c r="C1530" s="2" t="s">
        <v>1630</v>
      </c>
      <c r="D1530" s="2" t="s">
        <v>333</v>
      </c>
      <c r="E1530" s="2" t="s">
        <v>334</v>
      </c>
      <c r="F1530" s="2"/>
      <c r="G1530" s="2"/>
      <c r="H1530" s="2"/>
      <c r="I1530" s="2"/>
    </row>
    <row r="1531" spans="1:9" x14ac:dyDescent="0.35">
      <c r="A1531" s="2" t="s">
        <v>1407</v>
      </c>
      <c r="B1531" s="2" t="s">
        <v>62</v>
      </c>
      <c r="C1531" s="2" t="s">
        <v>1631</v>
      </c>
      <c r="D1531" s="2" t="s">
        <v>317</v>
      </c>
      <c r="E1531" s="2" t="s">
        <v>318</v>
      </c>
      <c r="F1531" s="2"/>
      <c r="G1531" s="2"/>
      <c r="H1531" s="2"/>
      <c r="I1531" s="2"/>
    </row>
    <row r="1532" spans="1:9" x14ac:dyDescent="0.35">
      <c r="A1532" s="2" t="s">
        <v>1407</v>
      </c>
      <c r="B1532" s="2" t="s">
        <v>62</v>
      </c>
      <c r="C1532" s="2" t="s">
        <v>1631</v>
      </c>
      <c r="D1532" s="2" t="s">
        <v>87</v>
      </c>
      <c r="E1532" s="2" t="s">
        <v>75</v>
      </c>
      <c r="F1532" s="2"/>
      <c r="G1532" s="2"/>
      <c r="H1532" s="2"/>
      <c r="I1532" s="2"/>
    </row>
    <row r="1533" spans="1:9" x14ac:dyDescent="0.35">
      <c r="A1533" s="2" t="s">
        <v>1407</v>
      </c>
      <c r="B1533" s="2" t="s">
        <v>62</v>
      </c>
      <c r="C1533" s="2" t="s">
        <v>1631</v>
      </c>
      <c r="D1533" s="2" t="s">
        <v>1051</v>
      </c>
      <c r="E1533" s="2" t="s">
        <v>318</v>
      </c>
      <c r="F1533" s="2"/>
      <c r="G1533" s="2"/>
      <c r="H1533" s="2"/>
      <c r="I1533" s="2"/>
    </row>
    <row r="1534" spans="1:9" x14ac:dyDescent="0.35">
      <c r="A1534" s="2" t="s">
        <v>1407</v>
      </c>
      <c r="B1534" s="2" t="s">
        <v>62</v>
      </c>
      <c r="C1534" s="2" t="s">
        <v>1631</v>
      </c>
      <c r="D1534" s="2" t="s">
        <v>333</v>
      </c>
      <c r="E1534" s="2" t="s">
        <v>334</v>
      </c>
      <c r="F1534" s="2"/>
      <c r="G1534" s="2"/>
      <c r="H1534" s="2"/>
      <c r="I1534" s="2"/>
    </row>
    <row r="1535" spans="1:9" x14ac:dyDescent="0.35">
      <c r="A1535" s="2" t="s">
        <v>1407</v>
      </c>
      <c r="B1535" s="2" t="s">
        <v>801</v>
      </c>
      <c r="C1535" s="2" t="s">
        <v>1632</v>
      </c>
      <c r="D1535" s="2" t="s">
        <v>130</v>
      </c>
      <c r="E1535" s="2" t="s">
        <v>36</v>
      </c>
      <c r="F1535" s="2"/>
      <c r="G1535" s="2"/>
      <c r="H1535" s="2"/>
      <c r="I1535" s="2"/>
    </row>
    <row r="1536" spans="1:9" x14ac:dyDescent="0.35">
      <c r="A1536" s="2" t="s">
        <v>1407</v>
      </c>
      <c r="B1536" s="2" t="s">
        <v>24</v>
      </c>
      <c r="C1536" s="2" t="s">
        <v>1633</v>
      </c>
      <c r="D1536" s="2" t="s">
        <v>130</v>
      </c>
      <c r="E1536" s="2" t="s">
        <v>36</v>
      </c>
      <c r="F1536" s="2"/>
      <c r="G1536" s="2"/>
      <c r="H1536" s="2"/>
      <c r="I1536" s="2"/>
    </row>
    <row r="1537" spans="1:9" x14ac:dyDescent="0.35">
      <c r="A1537" s="2" t="s">
        <v>1407</v>
      </c>
      <c r="B1537" s="2" t="s">
        <v>24</v>
      </c>
      <c r="C1537" s="2" t="s">
        <v>1633</v>
      </c>
      <c r="D1537" s="2" t="s">
        <v>1415</v>
      </c>
      <c r="E1537" s="2" t="s">
        <v>1416</v>
      </c>
      <c r="F1537" s="2"/>
      <c r="G1537" s="2"/>
      <c r="H1537" s="2"/>
      <c r="I1537" s="2"/>
    </row>
    <row r="1538" spans="1:9" x14ac:dyDescent="0.35">
      <c r="A1538" s="2" t="s">
        <v>1407</v>
      </c>
      <c r="B1538" s="2" t="s">
        <v>24</v>
      </c>
      <c r="C1538" s="2" t="s">
        <v>1633</v>
      </c>
      <c r="D1538" s="2" t="s">
        <v>1226</v>
      </c>
      <c r="E1538" s="2" t="s">
        <v>107</v>
      </c>
      <c r="F1538" s="2"/>
      <c r="G1538" s="2"/>
      <c r="H1538" s="2"/>
      <c r="I1538" s="2"/>
    </row>
    <row r="1539" spans="1:9" x14ac:dyDescent="0.35">
      <c r="A1539" s="2" t="s">
        <v>1407</v>
      </c>
      <c r="B1539" s="2" t="s">
        <v>24</v>
      </c>
      <c r="C1539" s="2" t="s">
        <v>1633</v>
      </c>
      <c r="D1539" s="2" t="s">
        <v>1228</v>
      </c>
      <c r="E1539" s="2" t="s">
        <v>228</v>
      </c>
      <c r="F1539" s="2"/>
      <c r="G1539" s="2"/>
      <c r="H1539" s="2"/>
      <c r="I1539" s="2"/>
    </row>
    <row r="1540" spans="1:9" x14ac:dyDescent="0.35">
      <c r="A1540" s="2" t="s">
        <v>1407</v>
      </c>
      <c r="B1540" s="2" t="s">
        <v>24</v>
      </c>
      <c r="C1540" s="2" t="s">
        <v>1633</v>
      </c>
      <c r="D1540" s="2" t="s">
        <v>1342</v>
      </c>
      <c r="E1540" s="2" t="s">
        <v>1343</v>
      </c>
      <c r="F1540" s="2"/>
      <c r="G1540" s="2"/>
      <c r="H1540" s="2"/>
      <c r="I1540" s="2"/>
    </row>
    <row r="1541" spans="1:9" x14ac:dyDescent="0.35">
      <c r="A1541" s="2" t="s">
        <v>1407</v>
      </c>
      <c r="B1541" s="2" t="s">
        <v>62</v>
      </c>
      <c r="C1541" s="2" t="s">
        <v>1634</v>
      </c>
      <c r="D1541" s="2" t="s">
        <v>198</v>
      </c>
      <c r="E1541" s="2" t="s">
        <v>65</v>
      </c>
      <c r="F1541" s="2"/>
      <c r="G1541" s="2"/>
      <c r="H1541" s="2"/>
      <c r="I1541" s="2"/>
    </row>
    <row r="1542" spans="1:9" x14ac:dyDescent="0.35">
      <c r="A1542" s="2" t="s">
        <v>1407</v>
      </c>
      <c r="B1542" s="2" t="s">
        <v>62</v>
      </c>
      <c r="C1542" s="2" t="s">
        <v>1634</v>
      </c>
      <c r="D1542" s="2" t="s">
        <v>1635</v>
      </c>
      <c r="E1542" s="2" t="s">
        <v>1636</v>
      </c>
      <c r="F1542" s="2"/>
      <c r="G1542" s="2"/>
      <c r="H1542" s="2"/>
      <c r="I1542" s="2"/>
    </row>
    <row r="1543" spans="1:9" x14ac:dyDescent="0.35">
      <c r="A1543" s="2" t="s">
        <v>1407</v>
      </c>
      <c r="B1543" s="2" t="s">
        <v>62</v>
      </c>
      <c r="C1543" s="2" t="s">
        <v>1637</v>
      </c>
      <c r="D1543" s="2" t="s">
        <v>317</v>
      </c>
      <c r="E1543" s="2" t="s">
        <v>318</v>
      </c>
      <c r="F1543" s="2"/>
      <c r="G1543" s="2"/>
      <c r="H1543" s="2"/>
      <c r="I1543" s="2"/>
    </row>
    <row r="1544" spans="1:9" x14ac:dyDescent="0.35">
      <c r="A1544" s="2" t="s">
        <v>1407</v>
      </c>
      <c r="B1544" s="2" t="s">
        <v>62</v>
      </c>
      <c r="C1544" s="2" t="s">
        <v>1637</v>
      </c>
      <c r="D1544" s="2" t="s">
        <v>87</v>
      </c>
      <c r="E1544" s="2" t="s">
        <v>75</v>
      </c>
      <c r="F1544" s="2"/>
      <c r="G1544" s="2"/>
      <c r="H1544" s="2"/>
      <c r="I1544" s="2"/>
    </row>
    <row r="1545" spans="1:9" x14ac:dyDescent="0.35">
      <c r="A1545" s="2" t="s">
        <v>1407</v>
      </c>
      <c r="B1545" s="2" t="s">
        <v>62</v>
      </c>
      <c r="C1545" s="2" t="s">
        <v>1637</v>
      </c>
      <c r="D1545" s="2" t="s">
        <v>1051</v>
      </c>
      <c r="E1545" s="2" t="s">
        <v>318</v>
      </c>
      <c r="F1545" s="2"/>
      <c r="G1545" s="2"/>
      <c r="H1545" s="2"/>
      <c r="I1545" s="2"/>
    </row>
    <row r="1546" spans="1:9" x14ac:dyDescent="0.35">
      <c r="A1546" s="2" t="s">
        <v>1407</v>
      </c>
      <c r="B1546" s="2" t="s">
        <v>62</v>
      </c>
      <c r="C1546" s="2" t="s">
        <v>1637</v>
      </c>
      <c r="D1546" s="2" t="s">
        <v>333</v>
      </c>
      <c r="E1546" s="2" t="s">
        <v>334</v>
      </c>
      <c r="F1546" s="2"/>
      <c r="G1546" s="2"/>
      <c r="H1546" s="2"/>
      <c r="I1546" s="2"/>
    </row>
    <row r="1547" spans="1:9" x14ac:dyDescent="0.35">
      <c r="A1547" s="2" t="s">
        <v>1407</v>
      </c>
      <c r="B1547" s="2" t="s">
        <v>62</v>
      </c>
      <c r="C1547" s="2" t="s">
        <v>1638</v>
      </c>
      <c r="D1547" s="2" t="s">
        <v>317</v>
      </c>
      <c r="E1547" s="2" t="s">
        <v>318</v>
      </c>
      <c r="F1547" s="2"/>
      <c r="G1547" s="2"/>
      <c r="H1547" s="2"/>
      <c r="I1547" s="2"/>
    </row>
    <row r="1548" spans="1:9" x14ac:dyDescent="0.35">
      <c r="A1548" s="2" t="s">
        <v>1407</v>
      </c>
      <c r="B1548" s="2" t="s">
        <v>62</v>
      </c>
      <c r="C1548" s="2" t="s">
        <v>1638</v>
      </c>
      <c r="D1548" s="2" t="s">
        <v>87</v>
      </c>
      <c r="E1548" s="2" t="s">
        <v>75</v>
      </c>
      <c r="F1548" s="2"/>
      <c r="G1548" s="2"/>
      <c r="H1548" s="2"/>
      <c r="I1548" s="2"/>
    </row>
    <row r="1549" spans="1:9" x14ac:dyDescent="0.35">
      <c r="A1549" s="2" t="s">
        <v>1407</v>
      </c>
      <c r="B1549" s="2" t="s">
        <v>62</v>
      </c>
      <c r="C1549" s="2" t="s">
        <v>1638</v>
      </c>
      <c r="D1549" s="2" t="s">
        <v>1051</v>
      </c>
      <c r="E1549" s="2" t="s">
        <v>318</v>
      </c>
      <c r="F1549" s="2"/>
      <c r="G1549" s="2"/>
      <c r="H1549" s="2"/>
      <c r="I1549" s="2"/>
    </row>
    <row r="1550" spans="1:9" x14ac:dyDescent="0.35">
      <c r="A1550" s="2" t="s">
        <v>1407</v>
      </c>
      <c r="B1550" s="2" t="s">
        <v>62</v>
      </c>
      <c r="C1550" s="2" t="s">
        <v>1638</v>
      </c>
      <c r="D1550" s="2" t="s">
        <v>333</v>
      </c>
      <c r="E1550" s="2" t="s">
        <v>334</v>
      </c>
      <c r="F1550" s="2"/>
      <c r="G1550" s="2"/>
      <c r="H1550" s="2"/>
      <c r="I1550" s="2"/>
    </row>
    <row r="1551" spans="1:9" x14ac:dyDescent="0.35">
      <c r="A1551" s="2" t="s">
        <v>1407</v>
      </c>
      <c r="B1551" s="2" t="s">
        <v>62</v>
      </c>
      <c r="C1551" s="2" t="s">
        <v>1639</v>
      </c>
      <c r="D1551" s="2" t="s">
        <v>317</v>
      </c>
      <c r="E1551" s="2" t="s">
        <v>318</v>
      </c>
      <c r="F1551" s="2"/>
      <c r="G1551" s="2"/>
      <c r="H1551" s="2"/>
      <c r="I1551" s="2"/>
    </row>
    <row r="1552" spans="1:9" x14ac:dyDescent="0.35">
      <c r="A1552" s="2" t="s">
        <v>1407</v>
      </c>
      <c r="B1552" s="2" t="s">
        <v>62</v>
      </c>
      <c r="C1552" s="2" t="s">
        <v>1639</v>
      </c>
      <c r="D1552" s="2" t="s">
        <v>87</v>
      </c>
      <c r="E1552" s="2" t="s">
        <v>75</v>
      </c>
      <c r="F1552" s="2"/>
      <c r="G1552" s="2"/>
      <c r="H1552" s="2"/>
      <c r="I1552" s="2"/>
    </row>
    <row r="1553" spans="1:9" x14ac:dyDescent="0.35">
      <c r="A1553" s="2" t="s">
        <v>1407</v>
      </c>
      <c r="B1553" s="2" t="s">
        <v>62</v>
      </c>
      <c r="C1553" s="2" t="s">
        <v>1639</v>
      </c>
      <c r="D1553" s="2" t="s">
        <v>1051</v>
      </c>
      <c r="E1553" s="2" t="s">
        <v>318</v>
      </c>
      <c r="F1553" s="2"/>
      <c r="G1553" s="2"/>
      <c r="H1553" s="2"/>
      <c r="I1553" s="2"/>
    </row>
    <row r="1554" spans="1:9" x14ac:dyDescent="0.35">
      <c r="A1554" s="2" t="s">
        <v>1407</v>
      </c>
      <c r="B1554" s="2" t="s">
        <v>62</v>
      </c>
      <c r="C1554" s="2" t="s">
        <v>1639</v>
      </c>
      <c r="D1554" s="2" t="s">
        <v>333</v>
      </c>
      <c r="E1554" s="2" t="s">
        <v>334</v>
      </c>
      <c r="F1554" s="2"/>
      <c r="G1554" s="2"/>
      <c r="H1554" s="2"/>
      <c r="I1554" s="2"/>
    </row>
    <row r="1555" spans="1:9" x14ac:dyDescent="0.35">
      <c r="A1555" s="2" t="s">
        <v>1407</v>
      </c>
      <c r="B1555" s="2" t="s">
        <v>12</v>
      </c>
      <c r="C1555" s="2" t="s">
        <v>1640</v>
      </c>
      <c r="D1555" s="2" t="s">
        <v>74</v>
      </c>
      <c r="E1555" s="2" t="s">
        <v>75</v>
      </c>
      <c r="F1555" s="2"/>
      <c r="G1555" s="2"/>
      <c r="H1555" s="2"/>
      <c r="I1555" s="2"/>
    </row>
    <row r="1556" spans="1:9" x14ac:dyDescent="0.35">
      <c r="A1556" s="2" t="s">
        <v>1407</v>
      </c>
      <c r="B1556" s="2" t="s">
        <v>12</v>
      </c>
      <c r="C1556" s="2" t="s">
        <v>1640</v>
      </c>
      <c r="D1556" s="2" t="s">
        <v>230</v>
      </c>
      <c r="E1556" s="2" t="s">
        <v>189</v>
      </c>
      <c r="F1556" s="2"/>
      <c r="G1556" s="2"/>
      <c r="H1556" s="2"/>
      <c r="I1556" s="2"/>
    </row>
    <row r="1557" spans="1:9" x14ac:dyDescent="0.35">
      <c r="A1557" s="2" t="s">
        <v>1407</v>
      </c>
      <c r="B1557" s="2" t="s">
        <v>62</v>
      </c>
      <c r="C1557" s="2" t="s">
        <v>1641</v>
      </c>
      <c r="D1557" s="2" t="s">
        <v>1305</v>
      </c>
      <c r="E1557" s="2" t="s">
        <v>38</v>
      </c>
      <c r="F1557" s="2"/>
      <c r="G1557" s="2"/>
      <c r="H1557" s="2"/>
      <c r="I1557" s="2"/>
    </row>
    <row r="1558" spans="1:9" x14ac:dyDescent="0.35">
      <c r="A1558" s="2" t="s">
        <v>1407</v>
      </c>
      <c r="B1558" s="2" t="s">
        <v>62</v>
      </c>
      <c r="C1558" s="2" t="s">
        <v>1641</v>
      </c>
      <c r="D1558" s="2" t="s">
        <v>317</v>
      </c>
      <c r="E1558" s="2" t="s">
        <v>318</v>
      </c>
      <c r="F1558" s="2"/>
      <c r="G1558" s="2"/>
      <c r="H1558" s="2"/>
      <c r="I1558" s="2"/>
    </row>
    <row r="1559" spans="1:9" x14ac:dyDescent="0.35">
      <c r="A1559" s="2" t="s">
        <v>1407</v>
      </c>
      <c r="B1559" s="2" t="s">
        <v>62</v>
      </c>
      <c r="C1559" s="2" t="s">
        <v>1641</v>
      </c>
      <c r="D1559" s="2" t="s">
        <v>87</v>
      </c>
      <c r="E1559" s="2" t="s">
        <v>75</v>
      </c>
      <c r="F1559" s="2"/>
      <c r="G1559" s="2"/>
      <c r="H1559" s="2"/>
      <c r="I1559" s="2"/>
    </row>
    <row r="1560" spans="1:9" x14ac:dyDescent="0.35">
      <c r="A1560" s="2" t="s">
        <v>1407</v>
      </c>
      <c r="B1560" s="2" t="s">
        <v>62</v>
      </c>
      <c r="C1560" s="2" t="s">
        <v>1641</v>
      </c>
      <c r="D1560" s="2" t="s">
        <v>1051</v>
      </c>
      <c r="E1560" s="2" t="s">
        <v>318</v>
      </c>
      <c r="F1560" s="2"/>
      <c r="G1560" s="2"/>
      <c r="H1560" s="2"/>
      <c r="I1560" s="2"/>
    </row>
    <row r="1561" spans="1:9" x14ac:dyDescent="0.35">
      <c r="A1561" s="2" t="s">
        <v>1407</v>
      </c>
      <c r="B1561" s="2" t="s">
        <v>62</v>
      </c>
      <c r="C1561" s="2" t="s">
        <v>1641</v>
      </c>
      <c r="D1561" s="2" t="s">
        <v>333</v>
      </c>
      <c r="E1561" s="2" t="s">
        <v>334</v>
      </c>
      <c r="F1561" s="2"/>
      <c r="G1561" s="2"/>
      <c r="H1561" s="2"/>
      <c r="I1561" s="2"/>
    </row>
  </sheetData>
  <autoFilter ref="A1:I1470" xr:uid="{00000000-0009-0000-0000-000003000000}"/>
  <pageMargins left="0.7" right="0.7" top="0.75" bottom="0.75" header="0.3" footer="0.3"/>
  <customProperties>
    <customPr name="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35"/>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1643</v>
      </c>
      <c r="B2" s="2" t="s">
        <v>57</v>
      </c>
      <c r="C2" s="2" t="s">
        <v>1644</v>
      </c>
      <c r="D2" s="16" t="s">
        <v>130</v>
      </c>
      <c r="E2" s="2" t="s">
        <v>36</v>
      </c>
      <c r="F2" s="2"/>
      <c r="G2" s="2"/>
      <c r="H2" s="2"/>
      <c r="I2" s="2"/>
    </row>
    <row r="3" spans="1:9" x14ac:dyDescent="0.35">
      <c r="A3" s="2" t="s">
        <v>1643</v>
      </c>
      <c r="B3" s="2" t="s">
        <v>57</v>
      </c>
      <c r="C3" s="2" t="s">
        <v>1644</v>
      </c>
      <c r="D3" s="16" t="s">
        <v>27</v>
      </c>
      <c r="E3" s="2" t="s">
        <v>28</v>
      </c>
      <c r="F3" s="2" t="s">
        <v>20</v>
      </c>
      <c r="G3" s="2" t="s">
        <v>1645</v>
      </c>
      <c r="H3" s="2"/>
      <c r="I3" s="2"/>
    </row>
    <row r="4" spans="1:9" x14ac:dyDescent="0.35">
      <c r="A4" s="2" t="s">
        <v>1643</v>
      </c>
      <c r="B4" s="2" t="s">
        <v>57</v>
      </c>
      <c r="C4" s="2" t="s">
        <v>1644</v>
      </c>
      <c r="D4" s="16" t="s">
        <v>121</v>
      </c>
      <c r="E4" s="2" t="s">
        <v>122</v>
      </c>
      <c r="F4" s="2"/>
      <c r="G4" s="2"/>
      <c r="H4" s="2"/>
      <c r="I4" s="2"/>
    </row>
    <row r="5" spans="1:9" x14ac:dyDescent="0.35">
      <c r="A5" s="2" t="s">
        <v>1643</v>
      </c>
      <c r="B5" s="2" t="s">
        <v>57</v>
      </c>
      <c r="C5" s="2" t="s">
        <v>1644</v>
      </c>
      <c r="D5" s="16" t="s">
        <v>91</v>
      </c>
      <c r="E5" s="2" t="s">
        <v>19</v>
      </c>
      <c r="F5" s="2" t="s">
        <v>20</v>
      </c>
      <c r="G5" s="2" t="s">
        <v>1646</v>
      </c>
      <c r="H5" s="2"/>
      <c r="I5" s="2"/>
    </row>
    <row r="6" spans="1:9" x14ac:dyDescent="0.35">
      <c r="A6" s="2" t="s">
        <v>1643</v>
      </c>
      <c r="B6" s="2" t="s">
        <v>57</v>
      </c>
      <c r="C6" s="2" t="s">
        <v>1644</v>
      </c>
      <c r="D6" s="16" t="s">
        <v>87</v>
      </c>
      <c r="E6" s="2" t="s">
        <v>75</v>
      </c>
      <c r="F6" s="2"/>
      <c r="G6" s="2"/>
      <c r="H6" s="2"/>
      <c r="I6" s="2"/>
    </row>
    <row r="7" spans="1:9" x14ac:dyDescent="0.35">
      <c r="A7" s="2" t="s">
        <v>1643</v>
      </c>
      <c r="B7" s="2" t="s">
        <v>57</v>
      </c>
      <c r="C7" s="2" t="s">
        <v>1644</v>
      </c>
      <c r="D7" s="16" t="s">
        <v>89</v>
      </c>
      <c r="E7" s="2" t="s">
        <v>1647</v>
      </c>
      <c r="F7" s="2"/>
      <c r="G7" s="2"/>
      <c r="H7" s="2"/>
      <c r="I7" s="2"/>
    </row>
    <row r="8" spans="1:9" x14ac:dyDescent="0.35">
      <c r="A8" s="2" t="s">
        <v>1643</v>
      </c>
      <c r="B8" s="2" t="s">
        <v>57</v>
      </c>
      <c r="C8" s="2" t="s">
        <v>1644</v>
      </c>
      <c r="D8" s="16" t="s">
        <v>61</v>
      </c>
      <c r="E8" s="2" t="s">
        <v>30</v>
      </c>
      <c r="F8" s="2"/>
      <c r="G8" s="2"/>
      <c r="H8" s="2"/>
      <c r="I8" s="2"/>
    </row>
    <row r="9" spans="1:9" x14ac:dyDescent="0.35">
      <c r="A9" s="2" t="s">
        <v>1643</v>
      </c>
      <c r="B9" s="2" t="s">
        <v>57</v>
      </c>
      <c r="C9" s="2" t="s">
        <v>1644</v>
      </c>
      <c r="D9" s="16" t="s">
        <v>149</v>
      </c>
      <c r="E9" s="2" t="s">
        <v>847</v>
      </c>
      <c r="F9" s="2" t="s">
        <v>20</v>
      </c>
      <c r="G9" s="2" t="s">
        <v>1648</v>
      </c>
      <c r="H9" s="2"/>
      <c r="I9" s="2"/>
    </row>
    <row r="10" spans="1:9" x14ac:dyDescent="0.35">
      <c r="A10" s="2" t="s">
        <v>1643</v>
      </c>
      <c r="B10" s="2" t="s">
        <v>24</v>
      </c>
      <c r="C10" s="2" t="s">
        <v>1649</v>
      </c>
      <c r="D10" s="16" t="s">
        <v>130</v>
      </c>
      <c r="E10" s="2" t="s">
        <v>36</v>
      </c>
      <c r="F10" s="2"/>
      <c r="G10" s="2"/>
      <c r="H10" s="2"/>
      <c r="I10" s="2"/>
    </row>
    <row r="11" spans="1:9" x14ac:dyDescent="0.35">
      <c r="A11" s="2" t="s">
        <v>1643</v>
      </c>
      <c r="B11" s="2" t="s">
        <v>24</v>
      </c>
      <c r="C11" s="2" t="s">
        <v>1649</v>
      </c>
      <c r="D11" s="16" t="s">
        <v>27</v>
      </c>
      <c r="E11" s="2" t="s">
        <v>28</v>
      </c>
      <c r="F11" s="2" t="s">
        <v>20</v>
      </c>
      <c r="G11" s="2" t="s">
        <v>1645</v>
      </c>
      <c r="H11" s="2"/>
      <c r="I11" s="2"/>
    </row>
    <row r="12" spans="1:9" x14ac:dyDescent="0.35">
      <c r="A12" s="2" t="s">
        <v>1643</v>
      </c>
      <c r="B12" s="2" t="s">
        <v>24</v>
      </c>
      <c r="C12" s="2" t="s">
        <v>1649</v>
      </c>
      <c r="D12" s="16" t="s">
        <v>121</v>
      </c>
      <c r="E12" s="2" t="s">
        <v>122</v>
      </c>
      <c r="F12" s="2"/>
      <c r="G12" s="2"/>
      <c r="H12" s="2"/>
      <c r="I12" s="2"/>
    </row>
    <row r="13" spans="1:9" x14ac:dyDescent="0.35">
      <c r="A13" s="2" t="s">
        <v>1643</v>
      </c>
      <c r="B13" s="2" t="s">
        <v>24</v>
      </c>
      <c r="C13" s="2" t="s">
        <v>1649</v>
      </c>
      <c r="D13" s="16" t="s">
        <v>89</v>
      </c>
      <c r="E13" s="2" t="s">
        <v>1647</v>
      </c>
      <c r="F13" s="2"/>
      <c r="G13" s="2"/>
      <c r="H13" s="2"/>
      <c r="I13" s="2"/>
    </row>
    <row r="14" spans="1:9" x14ac:dyDescent="0.35">
      <c r="A14" s="2" t="s">
        <v>1643</v>
      </c>
      <c r="B14" s="2" t="s">
        <v>24</v>
      </c>
      <c r="C14" s="2" t="s">
        <v>1649</v>
      </c>
      <c r="D14" s="16" t="s">
        <v>188</v>
      </c>
      <c r="E14" s="2" t="s">
        <v>189</v>
      </c>
      <c r="F14" s="2"/>
      <c r="G14" s="2"/>
      <c r="H14" s="2"/>
      <c r="I14" s="2"/>
    </row>
    <row r="15" spans="1:9" x14ac:dyDescent="0.35">
      <c r="A15" s="2" t="s">
        <v>1643</v>
      </c>
      <c r="B15" s="2" t="s">
        <v>24</v>
      </c>
      <c r="C15" s="2" t="s">
        <v>1649</v>
      </c>
      <c r="D15" s="16" t="s">
        <v>127</v>
      </c>
      <c r="E15" s="2" t="s">
        <v>1650</v>
      </c>
      <c r="F15" s="2"/>
      <c r="G15" s="2"/>
      <c r="H15" s="2"/>
      <c r="I15" s="2"/>
    </row>
    <row r="16" spans="1:9" x14ac:dyDescent="0.35">
      <c r="A16" s="2" t="s">
        <v>1643</v>
      </c>
      <c r="B16" s="2" t="s">
        <v>24</v>
      </c>
      <c r="C16" s="2" t="s">
        <v>1649</v>
      </c>
      <c r="D16" s="16" t="s">
        <v>42</v>
      </c>
      <c r="E16" s="2" t="s">
        <v>43</v>
      </c>
      <c r="F16" s="2"/>
      <c r="G16" s="2"/>
      <c r="H16" s="2"/>
      <c r="I16" s="2"/>
    </row>
    <row r="17" spans="1:9" x14ac:dyDescent="0.35">
      <c r="A17" s="2" t="s">
        <v>1643</v>
      </c>
      <c r="B17" s="2" t="s">
        <v>24</v>
      </c>
      <c r="C17" s="2" t="s">
        <v>1651</v>
      </c>
      <c r="D17" s="16" t="s">
        <v>14</v>
      </c>
      <c r="E17" s="2" t="s">
        <v>15</v>
      </c>
      <c r="F17" s="2"/>
      <c r="G17" s="2"/>
      <c r="H17" s="2"/>
      <c r="I17" s="2"/>
    </row>
    <row r="18" spans="1:9" x14ac:dyDescent="0.35">
      <c r="A18" s="2" t="s">
        <v>1643</v>
      </c>
      <c r="B18" s="2" t="s">
        <v>24</v>
      </c>
      <c r="C18" s="2" t="s">
        <v>1651</v>
      </c>
      <c r="D18" s="16" t="s">
        <v>27</v>
      </c>
      <c r="E18" s="2" t="s">
        <v>28</v>
      </c>
      <c r="F18" s="2"/>
      <c r="G18" s="2"/>
      <c r="H18" s="2" t="s">
        <v>20</v>
      </c>
      <c r="I18" s="2" t="s">
        <v>1652</v>
      </c>
    </row>
    <row r="19" spans="1:9" x14ac:dyDescent="0.35">
      <c r="A19" s="2" t="s">
        <v>1643</v>
      </c>
      <c r="B19" s="2" t="s">
        <v>24</v>
      </c>
      <c r="C19" s="2" t="s">
        <v>1651</v>
      </c>
      <c r="D19" s="16" t="s">
        <v>31</v>
      </c>
      <c r="E19" s="2" t="s">
        <v>32</v>
      </c>
      <c r="F19" s="2"/>
      <c r="G19" s="2"/>
      <c r="H19" s="2"/>
      <c r="I19" s="2"/>
    </row>
    <row r="20" spans="1:9" x14ac:dyDescent="0.35">
      <c r="A20" s="2" t="s">
        <v>1643</v>
      </c>
      <c r="B20" s="2" t="s">
        <v>24</v>
      </c>
      <c r="C20" s="2" t="s">
        <v>1651</v>
      </c>
      <c r="D20" s="16" t="s">
        <v>96</v>
      </c>
      <c r="E20" s="2" t="s">
        <v>83</v>
      </c>
      <c r="F20" s="2"/>
      <c r="G20" s="2"/>
      <c r="H20" s="2"/>
      <c r="I20" s="2"/>
    </row>
    <row r="21" spans="1:9" x14ac:dyDescent="0.35">
      <c r="A21" s="2" t="s">
        <v>1643</v>
      </c>
      <c r="B21" s="2" t="s">
        <v>24</v>
      </c>
      <c r="C21" s="2" t="s">
        <v>1651</v>
      </c>
      <c r="D21" s="16" t="s">
        <v>393</v>
      </c>
      <c r="E21" s="2" t="s">
        <v>1653</v>
      </c>
      <c r="F21" s="2"/>
      <c r="G21" s="2"/>
      <c r="H21" s="2"/>
      <c r="I21" s="2"/>
    </row>
    <row r="22" spans="1:9" x14ac:dyDescent="0.35">
      <c r="A22" s="2" t="s">
        <v>1643</v>
      </c>
      <c r="B22" s="2" t="s">
        <v>24</v>
      </c>
      <c r="C22" s="2" t="s">
        <v>1651</v>
      </c>
      <c r="D22" s="16" t="s">
        <v>87</v>
      </c>
      <c r="E22" s="2" t="s">
        <v>75</v>
      </c>
      <c r="F22" s="2"/>
      <c r="G22" s="2"/>
      <c r="H22" s="2" t="s">
        <v>20</v>
      </c>
      <c r="I22" s="2" t="s">
        <v>1652</v>
      </c>
    </row>
    <row r="23" spans="1:9" x14ac:dyDescent="0.35">
      <c r="A23" s="2" t="s">
        <v>1643</v>
      </c>
      <c r="B23" s="2" t="s">
        <v>24</v>
      </c>
      <c r="C23" s="2" t="s">
        <v>1651</v>
      </c>
      <c r="D23" s="16" t="s">
        <v>124</v>
      </c>
      <c r="E23" s="2" t="s">
        <v>1654</v>
      </c>
      <c r="F23" s="2"/>
      <c r="G23" s="2"/>
      <c r="H23" s="2" t="s">
        <v>20</v>
      </c>
      <c r="I23" s="2" t="s">
        <v>1652</v>
      </c>
    </row>
    <row r="24" spans="1:9" x14ac:dyDescent="0.35">
      <c r="A24" s="2" t="s">
        <v>1643</v>
      </c>
      <c r="B24" s="2" t="s">
        <v>24</v>
      </c>
      <c r="C24" s="2" t="s">
        <v>1651</v>
      </c>
      <c r="D24" s="16" t="s">
        <v>18</v>
      </c>
      <c r="E24" s="2" t="s">
        <v>19</v>
      </c>
      <c r="F24" s="2"/>
      <c r="G24" s="2"/>
      <c r="H24" s="2"/>
      <c r="I24" s="2"/>
    </row>
    <row r="25" spans="1:9" x14ac:dyDescent="0.35">
      <c r="A25" s="2" t="s">
        <v>1643</v>
      </c>
      <c r="B25" s="2" t="s">
        <v>24</v>
      </c>
      <c r="C25" s="2" t="s">
        <v>1651</v>
      </c>
      <c r="D25" s="16" t="s">
        <v>1261</v>
      </c>
      <c r="E25" s="2" t="s">
        <v>277</v>
      </c>
      <c r="F25" s="2"/>
      <c r="G25" s="2"/>
      <c r="H25" s="2" t="s">
        <v>20</v>
      </c>
      <c r="I25" s="2" t="s">
        <v>1655</v>
      </c>
    </row>
    <row r="26" spans="1:9" x14ac:dyDescent="0.35">
      <c r="A26" s="2" t="s">
        <v>1643</v>
      </c>
      <c r="B26" s="2" t="s">
        <v>24</v>
      </c>
      <c r="C26" s="2" t="s">
        <v>1651</v>
      </c>
      <c r="D26" s="16" t="s">
        <v>188</v>
      </c>
      <c r="E26" s="2" t="s">
        <v>189</v>
      </c>
      <c r="F26" s="2"/>
      <c r="G26" s="2"/>
      <c r="H26" s="2"/>
      <c r="I26" s="2"/>
    </row>
    <row r="27" spans="1:9" x14ac:dyDescent="0.35">
      <c r="A27" s="2" t="s">
        <v>1656</v>
      </c>
      <c r="B27" s="2" t="s">
        <v>24</v>
      </c>
      <c r="C27" s="2" t="s">
        <v>1657</v>
      </c>
      <c r="D27" s="2" t="s">
        <v>74</v>
      </c>
      <c r="E27" s="2" t="s">
        <v>75</v>
      </c>
      <c r="F27" s="2" t="s">
        <v>20</v>
      </c>
      <c r="G27" s="2" t="s">
        <v>1658</v>
      </c>
      <c r="H27" s="2"/>
      <c r="I27" s="2"/>
    </row>
    <row r="28" spans="1:9" x14ac:dyDescent="0.35">
      <c r="A28" s="2" t="s">
        <v>1656</v>
      </c>
      <c r="B28" s="2" t="s">
        <v>24</v>
      </c>
      <c r="C28" s="2" t="s">
        <v>1657</v>
      </c>
      <c r="D28" s="2" t="s">
        <v>1659</v>
      </c>
      <c r="E28" s="2" t="s">
        <v>122</v>
      </c>
      <c r="F28" s="2"/>
      <c r="G28" s="2"/>
      <c r="H28" s="2"/>
      <c r="I28" s="2"/>
    </row>
    <row r="29" spans="1:9" x14ac:dyDescent="0.35">
      <c r="A29" s="2" t="s">
        <v>1656</v>
      </c>
      <c r="B29" s="2" t="s">
        <v>24</v>
      </c>
      <c r="C29" s="2" t="s">
        <v>1657</v>
      </c>
      <c r="D29" s="2" t="s">
        <v>393</v>
      </c>
      <c r="E29" s="2" t="s">
        <v>1653</v>
      </c>
      <c r="F29" s="2"/>
      <c r="G29" s="2"/>
      <c r="H29" s="2"/>
      <c r="I29" s="2"/>
    </row>
    <row r="30" spans="1:9" x14ac:dyDescent="0.35">
      <c r="A30" s="2" t="s">
        <v>1656</v>
      </c>
      <c r="B30" s="2" t="s">
        <v>24</v>
      </c>
      <c r="C30" s="2" t="s">
        <v>1657</v>
      </c>
      <c r="D30" s="2" t="s">
        <v>87</v>
      </c>
      <c r="E30" s="2" t="s">
        <v>75</v>
      </c>
      <c r="F30" s="2" t="s">
        <v>20</v>
      </c>
      <c r="G30" s="2" t="s">
        <v>1660</v>
      </c>
      <c r="H30" s="2"/>
      <c r="I30" s="2"/>
    </row>
    <row r="31" spans="1:9" x14ac:dyDescent="0.35">
      <c r="A31" s="2" t="s">
        <v>1656</v>
      </c>
      <c r="B31" s="2" t="s">
        <v>24</v>
      </c>
      <c r="C31" s="2" t="s">
        <v>1657</v>
      </c>
      <c r="D31" s="2" t="s">
        <v>18</v>
      </c>
      <c r="E31" s="2" t="s">
        <v>19</v>
      </c>
      <c r="F31" s="2" t="s">
        <v>20</v>
      </c>
      <c r="G31" s="2" t="s">
        <v>1661</v>
      </c>
      <c r="H31" s="2"/>
      <c r="I31" s="2"/>
    </row>
    <row r="32" spans="1:9" x14ac:dyDescent="0.35">
      <c r="A32" s="2" t="s">
        <v>1656</v>
      </c>
      <c r="B32" s="2" t="s">
        <v>24</v>
      </c>
      <c r="C32" s="2" t="s">
        <v>1657</v>
      </c>
      <c r="D32" s="2" t="s">
        <v>89</v>
      </c>
      <c r="E32" s="2" t="s">
        <v>1647</v>
      </c>
      <c r="F32" s="2" t="s">
        <v>20</v>
      </c>
      <c r="G32" s="2" t="s">
        <v>1662</v>
      </c>
      <c r="H32" s="2"/>
      <c r="I32" s="2"/>
    </row>
    <row r="33" spans="1:9" x14ac:dyDescent="0.35">
      <c r="A33" s="2" t="s">
        <v>1663</v>
      </c>
      <c r="B33" s="2" t="s">
        <v>24</v>
      </c>
      <c r="C33" s="2" t="s">
        <v>1664</v>
      </c>
      <c r="D33" s="2" t="s">
        <v>96</v>
      </c>
      <c r="E33" s="2" t="s">
        <v>83</v>
      </c>
      <c r="F33" s="2"/>
      <c r="G33" s="2"/>
      <c r="H33" s="2" t="s">
        <v>16</v>
      </c>
      <c r="I33" s="2" t="s">
        <v>1665</v>
      </c>
    </row>
    <row r="34" spans="1:9" x14ac:dyDescent="0.35">
      <c r="A34" s="2" t="s">
        <v>1663</v>
      </c>
      <c r="B34" s="2" t="s">
        <v>24</v>
      </c>
      <c r="C34" s="2" t="s">
        <v>1664</v>
      </c>
      <c r="D34" s="2" t="s">
        <v>1659</v>
      </c>
      <c r="E34" s="2" t="s">
        <v>122</v>
      </c>
      <c r="F34" s="2"/>
      <c r="G34" s="2"/>
      <c r="H34" s="2" t="s">
        <v>16</v>
      </c>
      <c r="I34" s="2" t="s">
        <v>1665</v>
      </c>
    </row>
    <row r="35" spans="1:9" x14ac:dyDescent="0.35">
      <c r="A35" s="2" t="s">
        <v>1663</v>
      </c>
      <c r="B35" s="2" t="s">
        <v>24</v>
      </c>
      <c r="C35" s="2" t="s">
        <v>1664</v>
      </c>
      <c r="D35" s="2" t="s">
        <v>393</v>
      </c>
      <c r="E35" s="2" t="s">
        <v>1653</v>
      </c>
      <c r="F35" s="2"/>
      <c r="G35" s="2"/>
      <c r="H35" s="2" t="s">
        <v>16</v>
      </c>
      <c r="I35" s="2" t="s">
        <v>1665</v>
      </c>
    </row>
    <row r="36" spans="1:9" x14ac:dyDescent="0.35">
      <c r="A36" s="2" t="s">
        <v>1663</v>
      </c>
      <c r="B36" s="2" t="s">
        <v>57</v>
      </c>
      <c r="C36" s="2" t="s">
        <v>1666</v>
      </c>
      <c r="D36" s="2" t="s">
        <v>74</v>
      </c>
      <c r="E36" s="2" t="s">
        <v>75</v>
      </c>
      <c r="F36" s="2" t="s">
        <v>20</v>
      </c>
      <c r="G36" s="2" t="s">
        <v>1667</v>
      </c>
      <c r="H36" s="2"/>
      <c r="I36" s="2"/>
    </row>
    <row r="37" spans="1:9" x14ac:dyDescent="0.35">
      <c r="A37" s="2" t="s">
        <v>1663</v>
      </c>
      <c r="B37" s="2" t="s">
        <v>57</v>
      </c>
      <c r="C37" s="2" t="s">
        <v>1666</v>
      </c>
      <c r="D37" s="2" t="s">
        <v>1668</v>
      </c>
      <c r="E37" s="2" t="s">
        <v>15</v>
      </c>
      <c r="F37" s="2"/>
      <c r="G37" s="2"/>
      <c r="H37" s="2"/>
      <c r="I37" s="2"/>
    </row>
    <row r="38" spans="1:9" x14ac:dyDescent="0.35">
      <c r="A38" s="2" t="s">
        <v>1663</v>
      </c>
      <c r="B38" s="2" t="s">
        <v>57</v>
      </c>
      <c r="C38" s="2" t="s">
        <v>1666</v>
      </c>
      <c r="D38" s="2" t="s">
        <v>1669</v>
      </c>
      <c r="E38" s="2" t="s">
        <v>28</v>
      </c>
      <c r="F38" s="2" t="s">
        <v>20</v>
      </c>
      <c r="G38" s="2" t="s">
        <v>1670</v>
      </c>
      <c r="H38" s="2"/>
      <c r="I38" s="2"/>
    </row>
    <row r="39" spans="1:9" x14ac:dyDescent="0.35">
      <c r="A39" s="2" t="s">
        <v>1663</v>
      </c>
      <c r="B39" s="2" t="s">
        <v>57</v>
      </c>
      <c r="C39" s="2" t="s">
        <v>1666</v>
      </c>
      <c r="D39" s="2" t="s">
        <v>35</v>
      </c>
      <c r="E39" s="2" t="s">
        <v>36</v>
      </c>
      <c r="F39" s="2"/>
      <c r="G39" s="2"/>
      <c r="H39" s="2"/>
      <c r="I39" s="2"/>
    </row>
    <row r="40" spans="1:9" x14ac:dyDescent="0.35">
      <c r="A40" s="2" t="s">
        <v>1663</v>
      </c>
      <c r="B40" s="2" t="s">
        <v>57</v>
      </c>
      <c r="C40" s="2" t="s">
        <v>1666</v>
      </c>
      <c r="D40" s="2" t="s">
        <v>18</v>
      </c>
      <c r="E40" s="2" t="s">
        <v>19</v>
      </c>
      <c r="F40" s="2" t="s">
        <v>20</v>
      </c>
      <c r="G40" s="2" t="s">
        <v>1671</v>
      </c>
      <c r="H40" s="2"/>
      <c r="I40" s="2"/>
    </row>
    <row r="41" spans="1:9" x14ac:dyDescent="0.35">
      <c r="A41" s="2" t="s">
        <v>1663</v>
      </c>
      <c r="B41" s="2" t="s">
        <v>57</v>
      </c>
      <c r="C41" s="2" t="s">
        <v>1666</v>
      </c>
      <c r="D41" s="2" t="s">
        <v>61</v>
      </c>
      <c r="E41" s="2" t="s">
        <v>30</v>
      </c>
      <c r="F41" s="2"/>
      <c r="G41" s="2"/>
      <c r="H41" s="2"/>
      <c r="I41" s="2"/>
    </row>
    <row r="42" spans="1:9" x14ac:dyDescent="0.35">
      <c r="A42" s="2" t="s">
        <v>1663</v>
      </c>
      <c r="B42" s="2" t="s">
        <v>57</v>
      </c>
      <c r="C42" s="2" t="s">
        <v>1666</v>
      </c>
      <c r="D42" s="2" t="s">
        <v>862</v>
      </c>
      <c r="E42" s="2" t="s">
        <v>38</v>
      </c>
      <c r="F42" s="2"/>
      <c r="G42" s="2"/>
      <c r="H42" s="2"/>
      <c r="I42" s="2"/>
    </row>
    <row r="43" spans="1:9" x14ac:dyDescent="0.35">
      <c r="A43" s="2" t="s">
        <v>1663</v>
      </c>
      <c r="B43" s="2" t="s">
        <v>57</v>
      </c>
      <c r="C43" s="2" t="s">
        <v>1666</v>
      </c>
      <c r="D43" s="2" t="s">
        <v>149</v>
      </c>
      <c r="E43" s="2" t="s">
        <v>847</v>
      </c>
      <c r="F43" s="2"/>
      <c r="G43" s="2"/>
      <c r="H43" s="2"/>
      <c r="I43" s="2"/>
    </row>
    <row r="44" spans="1:9" x14ac:dyDescent="0.35">
      <c r="A44" s="2" t="s">
        <v>1663</v>
      </c>
      <c r="B44" s="2" t="s">
        <v>24</v>
      </c>
      <c r="C44" s="2" t="s">
        <v>1672</v>
      </c>
      <c r="D44" s="2" t="s">
        <v>120</v>
      </c>
      <c r="E44" s="2" t="s">
        <v>1673</v>
      </c>
      <c r="F44" s="2"/>
      <c r="G44" s="2"/>
      <c r="H44" s="2"/>
      <c r="I44" s="2"/>
    </row>
    <row r="45" spans="1:9" x14ac:dyDescent="0.35">
      <c r="A45" s="2" t="s">
        <v>1663</v>
      </c>
      <c r="B45" s="2" t="s">
        <v>24</v>
      </c>
      <c r="C45" s="2" t="s">
        <v>1672</v>
      </c>
      <c r="D45" s="2" t="s">
        <v>136</v>
      </c>
      <c r="E45" s="2" t="s">
        <v>107</v>
      </c>
      <c r="F45" s="2"/>
      <c r="G45" s="2"/>
      <c r="H45" s="2"/>
      <c r="I45" s="2"/>
    </row>
    <row r="46" spans="1:9" x14ac:dyDescent="0.35">
      <c r="A46" s="2" t="s">
        <v>1663</v>
      </c>
      <c r="B46" s="2" t="s">
        <v>24</v>
      </c>
      <c r="C46" s="2" t="s">
        <v>1672</v>
      </c>
      <c r="D46" s="2" t="s">
        <v>121</v>
      </c>
      <c r="E46" s="2" t="s">
        <v>122</v>
      </c>
      <c r="F46" s="2" t="s">
        <v>20</v>
      </c>
      <c r="G46" s="2" t="s">
        <v>1674</v>
      </c>
      <c r="H46" s="2"/>
      <c r="I46" s="2"/>
    </row>
    <row r="47" spans="1:9" x14ac:dyDescent="0.35">
      <c r="A47" s="2" t="s">
        <v>1663</v>
      </c>
      <c r="B47" s="2" t="s">
        <v>24</v>
      </c>
      <c r="C47" s="2" t="s">
        <v>1672</v>
      </c>
      <c r="D47" s="2" t="s">
        <v>35</v>
      </c>
      <c r="E47" s="2" t="s">
        <v>36</v>
      </c>
      <c r="F47" s="2"/>
      <c r="G47" s="2"/>
      <c r="H47" s="2"/>
      <c r="I47" s="2"/>
    </row>
    <row r="48" spans="1:9" x14ac:dyDescent="0.35">
      <c r="A48" s="2" t="s">
        <v>1663</v>
      </c>
      <c r="B48" s="2" t="s">
        <v>24</v>
      </c>
      <c r="C48" s="2" t="s">
        <v>1672</v>
      </c>
      <c r="D48" s="2" t="s">
        <v>61</v>
      </c>
      <c r="E48" s="2" t="s">
        <v>30</v>
      </c>
      <c r="F48" s="2"/>
      <c r="G48" s="2"/>
      <c r="H48" s="2"/>
      <c r="I48" s="2"/>
    </row>
    <row r="49" spans="1:9" x14ac:dyDescent="0.35">
      <c r="A49" s="2" t="s">
        <v>1675</v>
      </c>
      <c r="B49" s="2" t="s">
        <v>12</v>
      </c>
      <c r="C49" s="2" t="s">
        <v>1676</v>
      </c>
      <c r="D49" s="2" t="s">
        <v>14</v>
      </c>
      <c r="E49" s="2" t="s">
        <v>15</v>
      </c>
      <c r="F49" s="2"/>
      <c r="G49" s="2"/>
      <c r="H49" s="2" t="s">
        <v>20</v>
      </c>
      <c r="I49" s="2" t="s">
        <v>1677</v>
      </c>
    </row>
    <row r="50" spans="1:9" x14ac:dyDescent="0.35">
      <c r="A50" s="2" t="s">
        <v>1675</v>
      </c>
      <c r="B50" s="2" t="s">
        <v>12</v>
      </c>
      <c r="C50" s="2" t="s">
        <v>1676</v>
      </c>
      <c r="D50" s="2" t="s">
        <v>767</v>
      </c>
      <c r="E50" s="2" t="s">
        <v>36</v>
      </c>
      <c r="F50" s="2"/>
      <c r="G50" s="2"/>
      <c r="H50" s="2" t="s">
        <v>20</v>
      </c>
      <c r="I50" s="2" t="s">
        <v>1677</v>
      </c>
    </row>
    <row r="51" spans="1:9" x14ac:dyDescent="0.35">
      <c r="A51" s="2" t="s">
        <v>1675</v>
      </c>
      <c r="B51" s="2" t="s">
        <v>12</v>
      </c>
      <c r="C51" s="2" t="s">
        <v>1676</v>
      </c>
      <c r="D51" s="2" t="s">
        <v>87</v>
      </c>
      <c r="E51" s="2" t="s">
        <v>75</v>
      </c>
      <c r="F51" s="2" t="s">
        <v>20</v>
      </c>
      <c r="G51" s="2" t="s">
        <v>1678</v>
      </c>
      <c r="H51" s="2" t="s">
        <v>20</v>
      </c>
      <c r="I51" s="2" t="s">
        <v>1677</v>
      </c>
    </row>
    <row r="52" spans="1:9" x14ac:dyDescent="0.35">
      <c r="A52" s="2" t="s">
        <v>1675</v>
      </c>
      <c r="B52" s="2" t="s">
        <v>12</v>
      </c>
      <c r="C52" s="2" t="s">
        <v>1676</v>
      </c>
      <c r="D52" s="2" t="s">
        <v>18</v>
      </c>
      <c r="E52" s="2" t="s">
        <v>1679</v>
      </c>
      <c r="F52" s="2" t="s">
        <v>20</v>
      </c>
      <c r="G52" s="2" t="s">
        <v>1680</v>
      </c>
      <c r="H52" s="2" t="s">
        <v>20</v>
      </c>
      <c r="I52" s="2" t="s">
        <v>1677</v>
      </c>
    </row>
    <row r="53" spans="1:9" x14ac:dyDescent="0.35">
      <c r="A53" s="2" t="s">
        <v>1675</v>
      </c>
      <c r="B53" s="2" t="s">
        <v>12</v>
      </c>
      <c r="C53" s="2" t="s">
        <v>1676</v>
      </c>
      <c r="D53" s="2" t="s">
        <v>1681</v>
      </c>
      <c r="E53" s="2" t="s">
        <v>1650</v>
      </c>
      <c r="F53" s="2"/>
      <c r="G53" s="2"/>
      <c r="H53" s="2" t="s">
        <v>20</v>
      </c>
      <c r="I53" s="2" t="s">
        <v>1677</v>
      </c>
    </row>
    <row r="54" spans="1:9" x14ac:dyDescent="0.35">
      <c r="A54" s="2" t="s">
        <v>1675</v>
      </c>
      <c r="B54" s="2" t="s">
        <v>24</v>
      </c>
      <c r="C54" s="2" t="s">
        <v>1682</v>
      </c>
      <c r="D54" s="2" t="s">
        <v>35</v>
      </c>
      <c r="E54" s="2" t="s">
        <v>36</v>
      </c>
      <c r="F54" s="2"/>
      <c r="G54" s="2"/>
      <c r="H54" s="2" t="s">
        <v>20</v>
      </c>
      <c r="I54" s="2" t="s">
        <v>1677</v>
      </c>
    </row>
    <row r="55" spans="1:9" x14ac:dyDescent="0.35">
      <c r="A55" s="2" t="s">
        <v>1675</v>
      </c>
      <c r="B55" s="2" t="s">
        <v>24</v>
      </c>
      <c r="C55" s="2" t="s">
        <v>1682</v>
      </c>
      <c r="D55" s="2" t="s">
        <v>176</v>
      </c>
      <c r="E55" s="2" t="s">
        <v>40</v>
      </c>
      <c r="F55" s="2"/>
      <c r="G55" s="2"/>
      <c r="H55" s="2" t="s">
        <v>20</v>
      </c>
      <c r="I55" s="2" t="s">
        <v>1677</v>
      </c>
    </row>
    <row r="56" spans="1:9" x14ac:dyDescent="0.35">
      <c r="A56" s="2" t="s">
        <v>1675</v>
      </c>
      <c r="B56" s="2" t="s">
        <v>24</v>
      </c>
      <c r="C56" s="2" t="s">
        <v>1683</v>
      </c>
      <c r="D56" s="2" t="s">
        <v>31</v>
      </c>
      <c r="E56" s="2" t="s">
        <v>32</v>
      </c>
      <c r="F56" s="2"/>
      <c r="G56" s="2"/>
      <c r="H56" s="2" t="s">
        <v>20</v>
      </c>
      <c r="I56" s="2" t="s">
        <v>1677</v>
      </c>
    </row>
    <row r="57" spans="1:9" x14ac:dyDescent="0.35">
      <c r="A57" s="2" t="s">
        <v>1675</v>
      </c>
      <c r="B57" s="2" t="s">
        <v>24</v>
      </c>
      <c r="C57" s="2" t="s">
        <v>1683</v>
      </c>
      <c r="D57" s="2" t="s">
        <v>35</v>
      </c>
      <c r="E57" s="2" t="s">
        <v>36</v>
      </c>
      <c r="F57" s="2"/>
      <c r="G57" s="2"/>
      <c r="H57" s="2" t="s">
        <v>20</v>
      </c>
      <c r="I57" s="2" t="s">
        <v>1677</v>
      </c>
    </row>
    <row r="58" spans="1:9" x14ac:dyDescent="0.35">
      <c r="A58" s="2" t="s">
        <v>1675</v>
      </c>
      <c r="B58" s="2" t="s">
        <v>24</v>
      </c>
      <c r="C58" s="2" t="s">
        <v>1683</v>
      </c>
      <c r="D58" s="2" t="s">
        <v>87</v>
      </c>
      <c r="E58" s="2" t="s">
        <v>75</v>
      </c>
      <c r="F58" s="2"/>
      <c r="G58" s="2"/>
      <c r="H58" s="2" t="s">
        <v>20</v>
      </c>
      <c r="I58" s="2" t="s">
        <v>1677</v>
      </c>
    </row>
    <row r="59" spans="1:9" x14ac:dyDescent="0.35">
      <c r="A59" s="2" t="s">
        <v>1675</v>
      </c>
      <c r="B59" s="2" t="s">
        <v>24</v>
      </c>
      <c r="C59" s="2" t="s">
        <v>1683</v>
      </c>
      <c r="D59" s="2" t="s">
        <v>18</v>
      </c>
      <c r="E59" s="2" t="s">
        <v>1679</v>
      </c>
      <c r="F59" s="2" t="s">
        <v>20</v>
      </c>
      <c r="G59" s="2" t="s">
        <v>1684</v>
      </c>
      <c r="H59" s="2" t="s">
        <v>20</v>
      </c>
      <c r="I59" s="2" t="s">
        <v>1677</v>
      </c>
    </row>
    <row r="60" spans="1:9" x14ac:dyDescent="0.35">
      <c r="A60" s="2" t="s">
        <v>1675</v>
      </c>
      <c r="B60" s="2" t="s">
        <v>24</v>
      </c>
      <c r="C60" s="2" t="s">
        <v>1683</v>
      </c>
      <c r="D60" s="2" t="s">
        <v>61</v>
      </c>
      <c r="E60" s="2" t="s">
        <v>30</v>
      </c>
      <c r="F60" s="2"/>
      <c r="G60" s="2"/>
      <c r="H60" s="2" t="s">
        <v>20</v>
      </c>
      <c r="I60" s="2" t="s">
        <v>1677</v>
      </c>
    </row>
    <row r="61" spans="1:9" x14ac:dyDescent="0.35">
      <c r="A61" s="2" t="s">
        <v>1675</v>
      </c>
      <c r="B61" s="2" t="s">
        <v>12</v>
      </c>
      <c r="C61" s="2" t="s">
        <v>1685</v>
      </c>
      <c r="D61" s="2" t="s">
        <v>121</v>
      </c>
      <c r="E61" s="2" t="s">
        <v>122</v>
      </c>
      <c r="F61" s="2"/>
      <c r="G61" s="2"/>
      <c r="H61" s="2" t="s">
        <v>20</v>
      </c>
      <c r="I61" s="2" t="s">
        <v>1677</v>
      </c>
    </row>
    <row r="62" spans="1:9" x14ac:dyDescent="0.35">
      <c r="A62" s="2" t="s">
        <v>1675</v>
      </c>
      <c r="B62" s="2" t="s">
        <v>12</v>
      </c>
      <c r="C62" s="2" t="s">
        <v>1685</v>
      </c>
      <c r="D62" s="2" t="s">
        <v>393</v>
      </c>
      <c r="E62" s="2" t="s">
        <v>36</v>
      </c>
      <c r="F62" s="2"/>
      <c r="G62" s="2"/>
      <c r="H62" s="2" t="s">
        <v>20</v>
      </c>
      <c r="I62" s="2" t="s">
        <v>1677</v>
      </c>
    </row>
    <row r="63" spans="1:9" x14ac:dyDescent="0.35">
      <c r="A63" s="2" t="s">
        <v>1675</v>
      </c>
      <c r="B63" s="2" t="s">
        <v>12</v>
      </c>
      <c r="C63" s="2" t="s">
        <v>1685</v>
      </c>
      <c r="D63" s="2" t="s">
        <v>87</v>
      </c>
      <c r="E63" s="2" t="s">
        <v>75</v>
      </c>
      <c r="F63" s="2" t="s">
        <v>20</v>
      </c>
      <c r="G63" s="2" t="s">
        <v>1686</v>
      </c>
      <c r="H63" s="2" t="s">
        <v>20</v>
      </c>
      <c r="I63" s="2" t="s">
        <v>1677</v>
      </c>
    </row>
    <row r="64" spans="1:9" x14ac:dyDescent="0.35">
      <c r="A64" s="2" t="s">
        <v>1675</v>
      </c>
      <c r="B64" s="2" t="s">
        <v>12</v>
      </c>
      <c r="C64" s="2" t="s">
        <v>1685</v>
      </c>
      <c r="D64" s="2" t="s">
        <v>18</v>
      </c>
      <c r="E64" s="2" t="s">
        <v>1679</v>
      </c>
      <c r="F64" s="2" t="s">
        <v>20</v>
      </c>
      <c r="G64" s="2" t="s">
        <v>236</v>
      </c>
      <c r="H64" s="2" t="s">
        <v>20</v>
      </c>
      <c r="I64" s="2" t="s">
        <v>1677</v>
      </c>
    </row>
    <row r="65" spans="1:9" x14ac:dyDescent="0.35">
      <c r="A65" s="2" t="s">
        <v>1675</v>
      </c>
      <c r="B65" s="2" t="s">
        <v>12</v>
      </c>
      <c r="C65" s="2" t="s">
        <v>1685</v>
      </c>
      <c r="D65" s="2" t="s">
        <v>149</v>
      </c>
      <c r="E65" s="2" t="s">
        <v>847</v>
      </c>
      <c r="F65" s="2" t="s">
        <v>20</v>
      </c>
      <c r="G65" s="2" t="s">
        <v>1687</v>
      </c>
      <c r="H65" s="2" t="s">
        <v>20</v>
      </c>
      <c r="I65" s="2" t="s">
        <v>1677</v>
      </c>
    </row>
    <row r="66" spans="1:9" x14ac:dyDescent="0.35">
      <c r="A66" s="2" t="s">
        <v>1675</v>
      </c>
      <c r="B66" s="2" t="s">
        <v>24</v>
      </c>
      <c r="C66" s="2" t="s">
        <v>1688</v>
      </c>
      <c r="D66" s="2" t="s">
        <v>1172</v>
      </c>
      <c r="E66" s="2" t="s">
        <v>1650</v>
      </c>
      <c r="F66" s="2" t="s">
        <v>46</v>
      </c>
      <c r="G66" s="2" t="s">
        <v>1689</v>
      </c>
      <c r="H66" s="2" t="s">
        <v>20</v>
      </c>
      <c r="I66" s="2" t="s">
        <v>1677</v>
      </c>
    </row>
    <row r="67" spans="1:9" x14ac:dyDescent="0.35">
      <c r="A67" s="2" t="s">
        <v>1675</v>
      </c>
      <c r="B67" s="2" t="s">
        <v>24</v>
      </c>
      <c r="C67" s="2" t="s">
        <v>1688</v>
      </c>
      <c r="D67" s="2" t="s">
        <v>31</v>
      </c>
      <c r="E67" s="2" t="s">
        <v>32</v>
      </c>
      <c r="F67" s="2" t="s">
        <v>46</v>
      </c>
      <c r="G67" s="2" t="s">
        <v>1689</v>
      </c>
      <c r="H67" s="2" t="s">
        <v>20</v>
      </c>
      <c r="I67" s="2" t="s">
        <v>1677</v>
      </c>
    </row>
    <row r="68" spans="1:9" x14ac:dyDescent="0.35">
      <c r="A68" s="2" t="s">
        <v>1675</v>
      </c>
      <c r="B68" s="2" t="s">
        <v>24</v>
      </c>
      <c r="C68" s="2" t="s">
        <v>1688</v>
      </c>
      <c r="D68" s="2" t="s">
        <v>121</v>
      </c>
      <c r="E68" s="2" t="s">
        <v>122</v>
      </c>
      <c r="F68" s="2" t="s">
        <v>46</v>
      </c>
      <c r="G68" s="2" t="s">
        <v>1689</v>
      </c>
      <c r="H68" s="2" t="s">
        <v>20</v>
      </c>
      <c r="I68" s="2" t="s">
        <v>1677</v>
      </c>
    </row>
    <row r="69" spans="1:9" x14ac:dyDescent="0.35">
      <c r="A69" s="2" t="s">
        <v>1675</v>
      </c>
      <c r="B69" s="2" t="s">
        <v>24</v>
      </c>
      <c r="C69" s="2" t="s">
        <v>1688</v>
      </c>
      <c r="D69" s="2" t="s">
        <v>87</v>
      </c>
      <c r="E69" s="2" t="s">
        <v>75</v>
      </c>
      <c r="F69" s="2" t="s">
        <v>46</v>
      </c>
      <c r="G69" s="2" t="s">
        <v>1689</v>
      </c>
      <c r="H69" s="2" t="s">
        <v>20</v>
      </c>
      <c r="I69" s="2" t="s">
        <v>1677</v>
      </c>
    </row>
    <row r="70" spans="1:9" x14ac:dyDescent="0.35">
      <c r="A70" s="2" t="s">
        <v>1675</v>
      </c>
      <c r="B70" s="2" t="s">
        <v>24</v>
      </c>
      <c r="C70" s="2" t="s">
        <v>1688</v>
      </c>
      <c r="D70" s="2" t="s">
        <v>61</v>
      </c>
      <c r="E70" s="2" t="s">
        <v>30</v>
      </c>
      <c r="F70" s="2" t="s">
        <v>46</v>
      </c>
      <c r="G70" s="2" t="s">
        <v>1689</v>
      </c>
      <c r="H70" s="2" t="s">
        <v>20</v>
      </c>
      <c r="I70" s="2" t="s">
        <v>1677</v>
      </c>
    </row>
    <row r="71" spans="1:9" x14ac:dyDescent="0.35">
      <c r="A71" s="2" t="s">
        <v>1675</v>
      </c>
      <c r="B71" s="2" t="s">
        <v>24</v>
      </c>
      <c r="C71" s="2" t="s">
        <v>1688</v>
      </c>
      <c r="D71" s="2" t="s">
        <v>149</v>
      </c>
      <c r="E71" s="2" t="s">
        <v>847</v>
      </c>
      <c r="F71" s="2" t="s">
        <v>46</v>
      </c>
      <c r="G71" s="2" t="s">
        <v>1689</v>
      </c>
      <c r="H71" s="2" t="s">
        <v>20</v>
      </c>
      <c r="I71" s="2" t="s">
        <v>1677</v>
      </c>
    </row>
    <row r="72" spans="1:9" x14ac:dyDescent="0.35">
      <c r="A72" s="2" t="s">
        <v>1675</v>
      </c>
      <c r="B72" s="2" t="s">
        <v>62</v>
      </c>
      <c r="C72" s="2" t="s">
        <v>1690</v>
      </c>
      <c r="D72" s="2" t="s">
        <v>170</v>
      </c>
      <c r="E72" s="2" t="s">
        <v>30</v>
      </c>
      <c r="F72" s="2"/>
      <c r="G72" s="2"/>
      <c r="H72" s="2" t="s">
        <v>20</v>
      </c>
      <c r="I72" s="2" t="s">
        <v>1677</v>
      </c>
    </row>
    <row r="73" spans="1:9" x14ac:dyDescent="0.35">
      <c r="A73" s="2" t="s">
        <v>1675</v>
      </c>
      <c r="B73" s="2" t="s">
        <v>62</v>
      </c>
      <c r="C73" s="2" t="s">
        <v>1690</v>
      </c>
      <c r="D73" s="2" t="s">
        <v>91</v>
      </c>
      <c r="E73" s="2" t="s">
        <v>1679</v>
      </c>
      <c r="F73" s="2" t="s">
        <v>20</v>
      </c>
      <c r="G73" s="2" t="s">
        <v>1691</v>
      </c>
      <c r="H73" s="2" t="s">
        <v>20</v>
      </c>
      <c r="I73" s="2" t="s">
        <v>1677</v>
      </c>
    </row>
    <row r="74" spans="1:9" x14ac:dyDescent="0.35">
      <c r="A74" s="2" t="s">
        <v>1675</v>
      </c>
      <c r="B74" s="2" t="s">
        <v>62</v>
      </c>
      <c r="C74" s="2" t="s">
        <v>1690</v>
      </c>
      <c r="D74" s="2" t="s">
        <v>149</v>
      </c>
      <c r="E74" s="2" t="s">
        <v>847</v>
      </c>
      <c r="F74" s="2" t="s">
        <v>20</v>
      </c>
      <c r="G74" s="2" t="s">
        <v>1692</v>
      </c>
      <c r="H74" s="2" t="s">
        <v>20</v>
      </c>
      <c r="I74" s="2" t="s">
        <v>1677</v>
      </c>
    </row>
    <row r="75" spans="1:9" x14ac:dyDescent="0.35">
      <c r="A75" s="2" t="s">
        <v>1675</v>
      </c>
      <c r="B75" s="2" t="s">
        <v>62</v>
      </c>
      <c r="C75" s="2" t="s">
        <v>1693</v>
      </c>
      <c r="D75" s="2" t="s">
        <v>1368</v>
      </c>
      <c r="E75" s="2" t="s">
        <v>122</v>
      </c>
      <c r="F75" s="2"/>
      <c r="G75" s="2"/>
      <c r="H75" s="2" t="s">
        <v>20</v>
      </c>
      <c r="I75" s="2" t="s">
        <v>1677</v>
      </c>
    </row>
    <row r="76" spans="1:9" x14ac:dyDescent="0.35">
      <c r="A76" s="2" t="s">
        <v>1675</v>
      </c>
      <c r="B76" s="2" t="s">
        <v>62</v>
      </c>
      <c r="C76" s="2" t="s">
        <v>1693</v>
      </c>
      <c r="D76" s="2" t="s">
        <v>393</v>
      </c>
      <c r="E76" s="2" t="s">
        <v>36</v>
      </c>
      <c r="F76" s="2"/>
      <c r="G76" s="2"/>
      <c r="H76" s="2" t="s">
        <v>20</v>
      </c>
      <c r="I76" s="2" t="s">
        <v>1677</v>
      </c>
    </row>
    <row r="77" spans="1:9" x14ac:dyDescent="0.35">
      <c r="A77" s="2" t="s">
        <v>1675</v>
      </c>
      <c r="B77" s="2" t="s">
        <v>62</v>
      </c>
      <c r="C77" s="2" t="s">
        <v>1693</v>
      </c>
      <c r="D77" s="2" t="s">
        <v>87</v>
      </c>
      <c r="E77" s="2" t="s">
        <v>75</v>
      </c>
      <c r="F77" s="2" t="s">
        <v>20</v>
      </c>
      <c r="G77" s="2" t="s">
        <v>1694</v>
      </c>
      <c r="H77" s="2" t="s">
        <v>20</v>
      </c>
      <c r="I77" s="2" t="s">
        <v>1677</v>
      </c>
    </row>
    <row r="78" spans="1:9" x14ac:dyDescent="0.35">
      <c r="A78" s="2" t="s">
        <v>1675</v>
      </c>
      <c r="B78" s="2" t="s">
        <v>62</v>
      </c>
      <c r="C78" s="2" t="s">
        <v>1695</v>
      </c>
      <c r="D78" s="2" t="s">
        <v>38</v>
      </c>
      <c r="E78" s="2" t="s">
        <v>38</v>
      </c>
      <c r="F78" s="2"/>
      <c r="G78" s="2"/>
      <c r="H78" s="2" t="s">
        <v>20</v>
      </c>
      <c r="I78" s="2" t="s">
        <v>1677</v>
      </c>
    </row>
    <row r="79" spans="1:9" x14ac:dyDescent="0.35">
      <c r="A79" s="2" t="s">
        <v>1675</v>
      </c>
      <c r="B79" s="2" t="s">
        <v>62</v>
      </c>
      <c r="C79" s="2" t="s">
        <v>1695</v>
      </c>
      <c r="D79" s="2" t="s">
        <v>393</v>
      </c>
      <c r="E79" s="2" t="s">
        <v>36</v>
      </c>
      <c r="F79" s="2"/>
      <c r="G79" s="2"/>
      <c r="H79" s="2" t="s">
        <v>20</v>
      </c>
      <c r="I79" s="2" t="s">
        <v>1677</v>
      </c>
    </row>
    <row r="80" spans="1:9" x14ac:dyDescent="0.35">
      <c r="A80" s="2" t="s">
        <v>1675</v>
      </c>
      <c r="B80" s="2" t="s">
        <v>62</v>
      </c>
      <c r="C80" s="2" t="s">
        <v>1695</v>
      </c>
      <c r="D80" s="2" t="s">
        <v>1696</v>
      </c>
      <c r="E80" s="2" t="s">
        <v>75</v>
      </c>
      <c r="F80" s="2" t="s">
        <v>20</v>
      </c>
      <c r="G80" s="2" t="s">
        <v>1697</v>
      </c>
      <c r="H80" s="2" t="s">
        <v>20</v>
      </c>
      <c r="I80" s="2" t="s">
        <v>1677</v>
      </c>
    </row>
    <row r="81" spans="1:9" x14ac:dyDescent="0.35">
      <c r="A81" s="2" t="s">
        <v>1675</v>
      </c>
      <c r="B81" s="2" t="s">
        <v>62</v>
      </c>
      <c r="C81" s="2" t="s">
        <v>1695</v>
      </c>
      <c r="D81" s="2" t="s">
        <v>1681</v>
      </c>
      <c r="E81" s="2" t="s">
        <v>1650</v>
      </c>
      <c r="F81" s="2"/>
      <c r="G81" s="2"/>
      <c r="H81" s="2" t="s">
        <v>20</v>
      </c>
      <c r="I81" s="2" t="s">
        <v>1677</v>
      </c>
    </row>
    <row r="82" spans="1:9" x14ac:dyDescent="0.35">
      <c r="A82" s="2" t="s">
        <v>1675</v>
      </c>
      <c r="B82" s="2" t="s">
        <v>62</v>
      </c>
      <c r="C82" s="2" t="s">
        <v>1698</v>
      </c>
      <c r="D82" s="2" t="s">
        <v>121</v>
      </c>
      <c r="E82" s="2" t="s">
        <v>122</v>
      </c>
      <c r="F82" s="2"/>
      <c r="G82" s="2"/>
      <c r="H82" s="2" t="s">
        <v>20</v>
      </c>
      <c r="I82" s="2" t="s">
        <v>1677</v>
      </c>
    </row>
    <row r="83" spans="1:9" x14ac:dyDescent="0.35">
      <c r="A83" s="2" t="s">
        <v>1675</v>
      </c>
      <c r="B83" s="2" t="s">
        <v>62</v>
      </c>
      <c r="C83" s="2" t="s">
        <v>1698</v>
      </c>
      <c r="D83" s="2" t="s">
        <v>87</v>
      </c>
      <c r="E83" s="2" t="s">
        <v>75</v>
      </c>
      <c r="F83" s="2" t="s">
        <v>20</v>
      </c>
      <c r="G83" s="2" t="s">
        <v>1699</v>
      </c>
      <c r="H83" s="2" t="s">
        <v>20</v>
      </c>
      <c r="I83" s="2" t="s">
        <v>1677</v>
      </c>
    </row>
    <row r="84" spans="1:9" x14ac:dyDescent="0.35">
      <c r="A84" s="2" t="s">
        <v>1675</v>
      </c>
      <c r="B84" s="2" t="s">
        <v>62</v>
      </c>
      <c r="C84" s="2" t="s">
        <v>1698</v>
      </c>
      <c r="D84" s="2" t="s">
        <v>18</v>
      </c>
      <c r="E84" s="2" t="s">
        <v>1679</v>
      </c>
      <c r="F84" s="2" t="s">
        <v>20</v>
      </c>
      <c r="G84" s="2" t="s">
        <v>1700</v>
      </c>
      <c r="H84" s="2" t="s">
        <v>20</v>
      </c>
      <c r="I84" s="2" t="s">
        <v>1677</v>
      </c>
    </row>
    <row r="85" spans="1:9" x14ac:dyDescent="0.35">
      <c r="A85" s="2" t="s">
        <v>1675</v>
      </c>
      <c r="B85" s="2" t="s">
        <v>62</v>
      </c>
      <c r="C85" s="2" t="s">
        <v>1698</v>
      </c>
      <c r="D85" s="2" t="s">
        <v>1701</v>
      </c>
      <c r="E85" s="2" t="s">
        <v>30</v>
      </c>
      <c r="F85" s="2"/>
      <c r="G85" s="2"/>
      <c r="H85" s="2" t="s">
        <v>20</v>
      </c>
      <c r="I85" s="2" t="s">
        <v>1677</v>
      </c>
    </row>
    <row r="86" spans="1:9" x14ac:dyDescent="0.35">
      <c r="A86" s="2" t="s">
        <v>1675</v>
      </c>
      <c r="B86" s="2" t="s">
        <v>12</v>
      </c>
      <c r="C86" s="2" t="s">
        <v>1702</v>
      </c>
      <c r="D86" s="2" t="s">
        <v>1172</v>
      </c>
      <c r="E86" s="2" t="s">
        <v>1650</v>
      </c>
      <c r="F86" s="2"/>
      <c r="G86" s="2"/>
      <c r="H86" s="2" t="s">
        <v>20</v>
      </c>
      <c r="I86" s="2" t="s">
        <v>1677</v>
      </c>
    </row>
    <row r="87" spans="1:9" x14ac:dyDescent="0.35">
      <c r="A87" s="2" t="s">
        <v>1675</v>
      </c>
      <c r="B87" s="2" t="s">
        <v>12</v>
      </c>
      <c r="C87" s="2" t="s">
        <v>1702</v>
      </c>
      <c r="D87" s="2" t="s">
        <v>393</v>
      </c>
      <c r="E87" s="2" t="s">
        <v>36</v>
      </c>
      <c r="F87" s="2"/>
      <c r="G87" s="2"/>
      <c r="H87" s="2" t="s">
        <v>20</v>
      </c>
      <c r="I87" s="2" t="s">
        <v>1677</v>
      </c>
    </row>
    <row r="88" spans="1:9" x14ac:dyDescent="0.35">
      <c r="A88" s="2" t="s">
        <v>1675</v>
      </c>
      <c r="B88" s="2" t="s">
        <v>12</v>
      </c>
      <c r="C88" s="2" t="s">
        <v>1702</v>
      </c>
      <c r="D88" s="2" t="s">
        <v>87</v>
      </c>
      <c r="E88" s="2" t="s">
        <v>75</v>
      </c>
      <c r="F88" s="2" t="s">
        <v>20</v>
      </c>
      <c r="G88" s="2" t="s">
        <v>1703</v>
      </c>
      <c r="H88" s="2" t="s">
        <v>20</v>
      </c>
      <c r="I88" s="2" t="s">
        <v>1677</v>
      </c>
    </row>
    <row r="89" spans="1:9" x14ac:dyDescent="0.35">
      <c r="A89" s="2" t="s">
        <v>1675</v>
      </c>
      <c r="B89" s="2" t="s">
        <v>12</v>
      </c>
      <c r="C89" s="2" t="s">
        <v>1702</v>
      </c>
      <c r="D89" s="2" t="s">
        <v>61</v>
      </c>
      <c r="E89" s="2" t="s">
        <v>30</v>
      </c>
      <c r="F89" s="2"/>
      <c r="G89" s="2"/>
      <c r="H89" s="2" t="s">
        <v>20</v>
      </c>
      <c r="I89" s="2" t="s">
        <v>1677</v>
      </c>
    </row>
    <row r="90" spans="1:9" x14ac:dyDescent="0.35">
      <c r="A90" s="2" t="s">
        <v>1675</v>
      </c>
      <c r="B90" s="2" t="s">
        <v>12</v>
      </c>
      <c r="C90" s="2" t="s">
        <v>1702</v>
      </c>
      <c r="D90" s="2" t="s">
        <v>1704</v>
      </c>
      <c r="E90" s="2" t="s">
        <v>1650</v>
      </c>
      <c r="F90" s="2"/>
      <c r="G90" s="2"/>
      <c r="H90" s="2" t="s">
        <v>20</v>
      </c>
      <c r="I90" s="2" t="s">
        <v>1677</v>
      </c>
    </row>
    <row r="91" spans="1:9" x14ac:dyDescent="0.35">
      <c r="A91" s="2" t="s">
        <v>1675</v>
      </c>
      <c r="B91" s="2" t="s">
        <v>24</v>
      </c>
      <c r="C91" s="2" t="s">
        <v>1705</v>
      </c>
      <c r="D91" s="2" t="s">
        <v>74</v>
      </c>
      <c r="E91" s="2" t="s">
        <v>75</v>
      </c>
      <c r="F91" s="2" t="s">
        <v>20</v>
      </c>
      <c r="G91" s="2" t="s">
        <v>1706</v>
      </c>
      <c r="H91" s="2" t="s">
        <v>20</v>
      </c>
      <c r="I91" s="2" t="s">
        <v>1677</v>
      </c>
    </row>
    <row r="92" spans="1:9" x14ac:dyDescent="0.35">
      <c r="A92" s="2" t="s">
        <v>1675</v>
      </c>
      <c r="B92" s="2" t="s">
        <v>24</v>
      </c>
      <c r="C92" s="2" t="s">
        <v>1705</v>
      </c>
      <c r="D92" s="2" t="s">
        <v>91</v>
      </c>
      <c r="E92" s="2" t="s">
        <v>1679</v>
      </c>
      <c r="F92" s="2" t="s">
        <v>20</v>
      </c>
      <c r="G92" s="2" t="s">
        <v>1706</v>
      </c>
      <c r="H92" s="2" t="s">
        <v>20</v>
      </c>
      <c r="I92" s="2" t="s">
        <v>1677</v>
      </c>
    </row>
    <row r="93" spans="1:9" x14ac:dyDescent="0.35">
      <c r="A93" s="2" t="s">
        <v>1675</v>
      </c>
      <c r="B93" s="2" t="s">
        <v>24</v>
      </c>
      <c r="C93" s="2" t="s">
        <v>1707</v>
      </c>
      <c r="D93" s="2" t="s">
        <v>31</v>
      </c>
      <c r="E93" s="2" t="s">
        <v>32</v>
      </c>
      <c r="F93" s="2" t="s">
        <v>46</v>
      </c>
      <c r="G93" s="2" t="s">
        <v>1689</v>
      </c>
      <c r="H93" s="2" t="s">
        <v>20</v>
      </c>
      <c r="I93" s="2" t="s">
        <v>1677</v>
      </c>
    </row>
    <row r="94" spans="1:9" x14ac:dyDescent="0.35">
      <c r="A94" s="2" t="s">
        <v>1675</v>
      </c>
      <c r="B94" s="2" t="s">
        <v>24</v>
      </c>
      <c r="C94" s="2" t="s">
        <v>1707</v>
      </c>
      <c r="D94" s="2" t="s">
        <v>82</v>
      </c>
      <c r="E94" s="2" t="s">
        <v>83</v>
      </c>
      <c r="F94" s="2" t="s">
        <v>46</v>
      </c>
      <c r="G94" s="2" t="s">
        <v>1689</v>
      </c>
      <c r="H94" s="2" t="s">
        <v>20</v>
      </c>
      <c r="I94" s="2" t="s">
        <v>1677</v>
      </c>
    </row>
    <row r="95" spans="1:9" x14ac:dyDescent="0.35">
      <c r="A95" s="2" t="s">
        <v>1675</v>
      </c>
      <c r="B95" s="2" t="s">
        <v>24</v>
      </c>
      <c r="C95" s="2" t="s">
        <v>1707</v>
      </c>
      <c r="D95" s="2" t="s">
        <v>38</v>
      </c>
      <c r="E95" s="2" t="s">
        <v>38</v>
      </c>
      <c r="F95" s="2" t="s">
        <v>46</v>
      </c>
      <c r="G95" s="2" t="s">
        <v>1689</v>
      </c>
      <c r="H95" s="2" t="s">
        <v>20</v>
      </c>
      <c r="I95" s="2" t="s">
        <v>1677</v>
      </c>
    </row>
    <row r="96" spans="1:9" x14ac:dyDescent="0.35">
      <c r="A96" s="2" t="s">
        <v>1675</v>
      </c>
      <c r="B96" s="2" t="s">
        <v>24</v>
      </c>
      <c r="C96" s="2" t="s">
        <v>1707</v>
      </c>
      <c r="D96" s="2" t="s">
        <v>87</v>
      </c>
      <c r="E96" s="2" t="s">
        <v>75</v>
      </c>
      <c r="F96" s="2" t="s">
        <v>46</v>
      </c>
      <c r="G96" s="2" t="s">
        <v>1689</v>
      </c>
      <c r="H96" s="2" t="s">
        <v>20</v>
      </c>
      <c r="I96" s="2" t="s">
        <v>1677</v>
      </c>
    </row>
    <row r="97" spans="1:9" x14ac:dyDescent="0.35">
      <c r="A97" s="2" t="s">
        <v>1675</v>
      </c>
      <c r="B97" s="2" t="s">
        <v>24</v>
      </c>
      <c r="C97" s="2" t="s">
        <v>1707</v>
      </c>
      <c r="D97" s="2" t="s">
        <v>18</v>
      </c>
      <c r="E97" s="2" t="s">
        <v>1679</v>
      </c>
      <c r="F97" s="2" t="s">
        <v>46</v>
      </c>
      <c r="G97" s="2" t="s">
        <v>1689</v>
      </c>
      <c r="H97" s="2" t="s">
        <v>20</v>
      </c>
      <c r="I97" s="2" t="s">
        <v>1677</v>
      </c>
    </row>
    <row r="98" spans="1:9" x14ac:dyDescent="0.35">
      <c r="A98" s="2" t="s">
        <v>1675</v>
      </c>
      <c r="B98" s="2" t="s">
        <v>24</v>
      </c>
      <c r="C98" s="2" t="s">
        <v>1707</v>
      </c>
      <c r="D98" s="2" t="s">
        <v>1681</v>
      </c>
      <c r="E98" s="2" t="s">
        <v>1650</v>
      </c>
      <c r="F98" s="2" t="s">
        <v>46</v>
      </c>
      <c r="G98" s="2" t="s">
        <v>1689</v>
      </c>
      <c r="H98" s="2" t="s">
        <v>20</v>
      </c>
      <c r="I98" s="2" t="s">
        <v>1677</v>
      </c>
    </row>
    <row r="99" spans="1:9" x14ac:dyDescent="0.35">
      <c r="A99" s="2" t="s">
        <v>1675</v>
      </c>
      <c r="B99" s="2" t="s">
        <v>24</v>
      </c>
      <c r="C99" s="2" t="s">
        <v>1707</v>
      </c>
      <c r="D99" s="2" t="s">
        <v>61</v>
      </c>
      <c r="E99" s="2" t="s">
        <v>30</v>
      </c>
      <c r="F99" s="2" t="s">
        <v>46</v>
      </c>
      <c r="G99" s="2" t="s">
        <v>1689</v>
      </c>
      <c r="H99" s="2" t="s">
        <v>20</v>
      </c>
      <c r="I99" s="2" t="s">
        <v>1677</v>
      </c>
    </row>
    <row r="100" spans="1:9" x14ac:dyDescent="0.35">
      <c r="A100" s="2" t="s">
        <v>1675</v>
      </c>
      <c r="B100" s="2" t="s">
        <v>62</v>
      </c>
      <c r="C100" s="2" t="s">
        <v>1708</v>
      </c>
      <c r="D100" s="2" t="s">
        <v>74</v>
      </c>
      <c r="E100" s="2" t="s">
        <v>75</v>
      </c>
      <c r="F100" s="2" t="s">
        <v>20</v>
      </c>
      <c r="G100" s="2" t="s">
        <v>1709</v>
      </c>
      <c r="H100" s="2" t="s">
        <v>20</v>
      </c>
      <c r="I100" s="2" t="s">
        <v>1677</v>
      </c>
    </row>
    <row r="101" spans="1:9" x14ac:dyDescent="0.35">
      <c r="A101" s="2" t="s">
        <v>1675</v>
      </c>
      <c r="B101" s="2" t="s">
        <v>62</v>
      </c>
      <c r="C101" s="2" t="s">
        <v>1708</v>
      </c>
      <c r="D101" s="2" t="s">
        <v>14</v>
      </c>
      <c r="E101" s="2" t="s">
        <v>15</v>
      </c>
      <c r="F101" s="2"/>
      <c r="G101" s="2"/>
      <c r="H101" s="2" t="s">
        <v>20</v>
      </c>
      <c r="I101" s="2" t="s">
        <v>1677</v>
      </c>
    </row>
    <row r="102" spans="1:9" x14ac:dyDescent="0.35">
      <c r="A102" s="2" t="s">
        <v>1675</v>
      </c>
      <c r="B102" s="2" t="s">
        <v>62</v>
      </c>
      <c r="C102" s="2" t="s">
        <v>1708</v>
      </c>
      <c r="D102" s="2" t="s">
        <v>136</v>
      </c>
      <c r="E102" s="2" t="s">
        <v>1650</v>
      </c>
      <c r="F102" s="2"/>
      <c r="G102" s="2"/>
      <c r="H102" s="2" t="s">
        <v>20</v>
      </c>
      <c r="I102" s="2" t="s">
        <v>1677</v>
      </c>
    </row>
    <row r="103" spans="1:9" x14ac:dyDescent="0.35">
      <c r="A103" s="2" t="s">
        <v>1675</v>
      </c>
      <c r="B103" s="2" t="s">
        <v>62</v>
      </c>
      <c r="C103" s="2" t="s">
        <v>1708</v>
      </c>
      <c r="D103" s="2" t="s">
        <v>35</v>
      </c>
      <c r="E103" s="2" t="s">
        <v>36</v>
      </c>
      <c r="F103" s="2"/>
      <c r="G103" s="2"/>
      <c r="H103" s="2" t="s">
        <v>20</v>
      </c>
      <c r="I103" s="2" t="s">
        <v>1677</v>
      </c>
    </row>
    <row r="104" spans="1:9" x14ac:dyDescent="0.35">
      <c r="A104" s="2" t="s">
        <v>1675</v>
      </c>
      <c r="B104" s="2" t="s">
        <v>62</v>
      </c>
      <c r="C104" s="2" t="s">
        <v>1708</v>
      </c>
      <c r="D104" s="2" t="s">
        <v>1710</v>
      </c>
      <c r="E104" s="2" t="s">
        <v>1679</v>
      </c>
      <c r="F104" s="2" t="s">
        <v>20</v>
      </c>
      <c r="G104" s="2" t="s">
        <v>1709</v>
      </c>
      <c r="H104" s="2" t="s">
        <v>20</v>
      </c>
      <c r="I104" s="2" t="s">
        <v>1677</v>
      </c>
    </row>
    <row r="105" spans="1:9" x14ac:dyDescent="0.35">
      <c r="A105" s="2" t="s">
        <v>1675</v>
      </c>
      <c r="B105" s="2" t="s">
        <v>62</v>
      </c>
      <c r="C105" s="2" t="s">
        <v>1708</v>
      </c>
      <c r="D105" s="2" t="s">
        <v>18</v>
      </c>
      <c r="E105" s="2" t="s">
        <v>1679</v>
      </c>
      <c r="F105" s="2" t="s">
        <v>20</v>
      </c>
      <c r="G105" s="2" t="s">
        <v>1709</v>
      </c>
      <c r="H105" s="2" t="s">
        <v>20</v>
      </c>
      <c r="I105" s="2" t="s">
        <v>1677</v>
      </c>
    </row>
    <row r="106" spans="1:9" x14ac:dyDescent="0.35">
      <c r="A106" s="2" t="s">
        <v>1675</v>
      </c>
      <c r="B106" s="2" t="s">
        <v>62</v>
      </c>
      <c r="C106" s="2" t="s">
        <v>1708</v>
      </c>
      <c r="D106" s="2" t="s">
        <v>127</v>
      </c>
      <c r="E106" s="2" t="s">
        <v>1650</v>
      </c>
      <c r="F106" s="2"/>
      <c r="G106" s="2"/>
      <c r="H106" s="2" t="s">
        <v>20</v>
      </c>
      <c r="I106" s="2" t="s">
        <v>1677</v>
      </c>
    </row>
    <row r="107" spans="1:9" x14ac:dyDescent="0.35">
      <c r="A107" s="2" t="s">
        <v>1675</v>
      </c>
      <c r="B107" s="2" t="s">
        <v>12</v>
      </c>
      <c r="C107" s="2" t="s">
        <v>1711</v>
      </c>
      <c r="D107" s="2" t="s">
        <v>393</v>
      </c>
      <c r="E107" s="2" t="s">
        <v>36</v>
      </c>
      <c r="F107" s="2"/>
      <c r="G107" s="2"/>
      <c r="H107" s="2" t="s">
        <v>20</v>
      </c>
      <c r="I107" s="2" t="s">
        <v>1677</v>
      </c>
    </row>
    <row r="108" spans="1:9" x14ac:dyDescent="0.35">
      <c r="A108" s="2" t="s">
        <v>1675</v>
      </c>
      <c r="B108" s="2" t="s">
        <v>12</v>
      </c>
      <c r="C108" s="2" t="s">
        <v>1711</v>
      </c>
      <c r="D108" s="2" t="s">
        <v>91</v>
      </c>
      <c r="E108" s="2" t="s">
        <v>1679</v>
      </c>
      <c r="F108" s="2"/>
      <c r="G108" s="2"/>
      <c r="H108" s="2" t="s">
        <v>20</v>
      </c>
      <c r="I108" s="2" t="s">
        <v>1677</v>
      </c>
    </row>
    <row r="109" spans="1:9" x14ac:dyDescent="0.35">
      <c r="A109" s="2" t="s">
        <v>1675</v>
      </c>
      <c r="B109" s="2" t="s">
        <v>12</v>
      </c>
      <c r="C109" s="2" t="s">
        <v>1711</v>
      </c>
      <c r="D109" s="2" t="s">
        <v>61</v>
      </c>
      <c r="E109" s="2" t="s">
        <v>30</v>
      </c>
      <c r="F109" s="2"/>
      <c r="G109" s="2"/>
      <c r="H109" s="2" t="s">
        <v>20</v>
      </c>
      <c r="I109" s="2" t="s">
        <v>1677</v>
      </c>
    </row>
    <row r="110" spans="1:9" x14ac:dyDescent="0.35">
      <c r="A110" s="2" t="s">
        <v>1675</v>
      </c>
      <c r="B110" s="2" t="s">
        <v>24</v>
      </c>
      <c r="C110" s="2" t="s">
        <v>1712</v>
      </c>
      <c r="D110" s="2" t="s">
        <v>1172</v>
      </c>
      <c r="E110" s="2" t="s">
        <v>1650</v>
      </c>
      <c r="F110" s="2"/>
      <c r="G110" s="2"/>
      <c r="H110" s="2" t="s">
        <v>20</v>
      </c>
      <c r="I110" s="2" t="s">
        <v>1677</v>
      </c>
    </row>
    <row r="111" spans="1:9" x14ac:dyDescent="0.35">
      <c r="A111" s="2" t="s">
        <v>1675</v>
      </c>
      <c r="B111" s="2" t="s">
        <v>24</v>
      </c>
      <c r="C111" s="2" t="s">
        <v>1712</v>
      </c>
      <c r="D111" s="2" t="s">
        <v>27</v>
      </c>
      <c r="E111" s="2" t="s">
        <v>28</v>
      </c>
      <c r="F111" s="2"/>
      <c r="G111" s="2"/>
      <c r="H111" s="2" t="s">
        <v>20</v>
      </c>
      <c r="I111" s="2" t="s">
        <v>1677</v>
      </c>
    </row>
    <row r="112" spans="1:9" x14ac:dyDescent="0.35">
      <c r="A112" s="2" t="s">
        <v>1675</v>
      </c>
      <c r="B112" s="2" t="s">
        <v>24</v>
      </c>
      <c r="C112" s="2" t="s">
        <v>1712</v>
      </c>
      <c r="D112" s="2" t="s">
        <v>31</v>
      </c>
      <c r="E112" s="2" t="s">
        <v>32</v>
      </c>
      <c r="F112" s="2"/>
      <c r="G112" s="2"/>
      <c r="H112" s="2" t="s">
        <v>20</v>
      </c>
      <c r="I112" s="2" t="s">
        <v>1677</v>
      </c>
    </row>
    <row r="113" spans="1:9" x14ac:dyDescent="0.35">
      <c r="A113" s="2" t="s">
        <v>1675</v>
      </c>
      <c r="B113" s="2" t="s">
        <v>24</v>
      </c>
      <c r="C113" s="2" t="s">
        <v>1712</v>
      </c>
      <c r="D113" s="2" t="s">
        <v>416</v>
      </c>
      <c r="E113" s="2" t="s">
        <v>38</v>
      </c>
      <c r="F113" s="2"/>
      <c r="G113" s="2"/>
      <c r="H113" s="2" t="s">
        <v>20</v>
      </c>
      <c r="I113" s="2" t="s">
        <v>1677</v>
      </c>
    </row>
    <row r="114" spans="1:9" x14ac:dyDescent="0.35">
      <c r="A114" s="2" t="s">
        <v>1675</v>
      </c>
      <c r="B114" s="2" t="s">
        <v>24</v>
      </c>
      <c r="C114" s="2" t="s">
        <v>1712</v>
      </c>
      <c r="D114" s="2" t="s">
        <v>1713</v>
      </c>
      <c r="E114" s="2" t="s">
        <v>122</v>
      </c>
      <c r="F114" s="2"/>
      <c r="G114" s="2"/>
      <c r="H114" s="2" t="s">
        <v>20</v>
      </c>
      <c r="I114" s="2" t="s">
        <v>1677</v>
      </c>
    </row>
    <row r="115" spans="1:9" x14ac:dyDescent="0.35">
      <c r="A115" s="2" t="s">
        <v>1675</v>
      </c>
      <c r="B115" s="2" t="s">
        <v>24</v>
      </c>
      <c r="C115" s="2" t="s">
        <v>1712</v>
      </c>
      <c r="D115" s="2" t="s">
        <v>87</v>
      </c>
      <c r="E115" s="2" t="s">
        <v>75</v>
      </c>
      <c r="F115" s="2"/>
      <c r="G115" s="2"/>
      <c r="H115" s="2" t="s">
        <v>20</v>
      </c>
      <c r="I115" s="2" t="s">
        <v>1677</v>
      </c>
    </row>
    <row r="116" spans="1:9" x14ac:dyDescent="0.35">
      <c r="A116" s="2" t="s">
        <v>1675</v>
      </c>
      <c r="B116" s="2" t="s">
        <v>24</v>
      </c>
      <c r="C116" s="2" t="s">
        <v>1712</v>
      </c>
      <c r="D116" s="2" t="s">
        <v>1228</v>
      </c>
      <c r="E116" s="2" t="s">
        <v>228</v>
      </c>
      <c r="F116" s="2"/>
      <c r="G116" s="2"/>
      <c r="H116" s="2" t="s">
        <v>20</v>
      </c>
      <c r="I116" s="2" t="s">
        <v>1677</v>
      </c>
    </row>
    <row r="117" spans="1:9" x14ac:dyDescent="0.35">
      <c r="A117" s="2" t="s">
        <v>1675</v>
      </c>
      <c r="B117" s="2" t="s">
        <v>62</v>
      </c>
      <c r="C117" s="2" t="s">
        <v>1714</v>
      </c>
      <c r="D117" s="2" t="s">
        <v>532</v>
      </c>
      <c r="E117" s="2" t="s">
        <v>533</v>
      </c>
      <c r="F117" s="2" t="s">
        <v>20</v>
      </c>
      <c r="G117" s="2" t="s">
        <v>1715</v>
      </c>
      <c r="H117" s="2" t="s">
        <v>20</v>
      </c>
      <c r="I117" s="2" t="s">
        <v>1677</v>
      </c>
    </row>
    <row r="118" spans="1:9" x14ac:dyDescent="0.35">
      <c r="A118" s="2" t="s">
        <v>1675</v>
      </c>
      <c r="B118" s="2" t="s">
        <v>62</v>
      </c>
      <c r="C118" s="2" t="s">
        <v>1714</v>
      </c>
      <c r="D118" s="2" t="s">
        <v>121</v>
      </c>
      <c r="E118" s="2" t="s">
        <v>122</v>
      </c>
      <c r="F118" s="2"/>
      <c r="G118" s="2"/>
      <c r="H118" s="2" t="s">
        <v>20</v>
      </c>
      <c r="I118" s="2" t="s">
        <v>1677</v>
      </c>
    </row>
    <row r="119" spans="1:9" x14ac:dyDescent="0.35">
      <c r="A119" s="2" t="s">
        <v>1675</v>
      </c>
      <c r="B119" s="2" t="s">
        <v>62</v>
      </c>
      <c r="C119" s="2" t="s">
        <v>1714</v>
      </c>
      <c r="D119" s="2" t="s">
        <v>393</v>
      </c>
      <c r="E119" s="2" t="s">
        <v>36</v>
      </c>
      <c r="F119" s="2"/>
      <c r="G119" s="2"/>
      <c r="H119" s="2" t="s">
        <v>20</v>
      </c>
      <c r="I119" s="2" t="s">
        <v>1677</v>
      </c>
    </row>
    <row r="120" spans="1:9" x14ac:dyDescent="0.35">
      <c r="A120" s="2" t="s">
        <v>1675</v>
      </c>
      <c r="B120" s="2" t="s">
        <v>62</v>
      </c>
      <c r="C120" s="2" t="s">
        <v>1714</v>
      </c>
      <c r="D120" s="2" t="s">
        <v>767</v>
      </c>
      <c r="E120" s="2" t="s">
        <v>36</v>
      </c>
      <c r="F120" s="2"/>
      <c r="G120" s="2"/>
      <c r="H120" s="2" t="s">
        <v>20</v>
      </c>
      <c r="I120" s="2" t="s">
        <v>1677</v>
      </c>
    </row>
    <row r="121" spans="1:9" x14ac:dyDescent="0.35">
      <c r="A121" s="2" t="s">
        <v>1675</v>
      </c>
      <c r="B121" s="2" t="s">
        <v>62</v>
      </c>
      <c r="C121" s="2" t="s">
        <v>1714</v>
      </c>
      <c r="D121" s="2" t="s">
        <v>91</v>
      </c>
      <c r="E121" s="2" t="s">
        <v>1679</v>
      </c>
      <c r="F121" s="2" t="s">
        <v>20</v>
      </c>
      <c r="G121" s="2" t="s">
        <v>1716</v>
      </c>
      <c r="H121" s="2" t="s">
        <v>20</v>
      </c>
      <c r="I121" s="2" t="s">
        <v>1677</v>
      </c>
    </row>
    <row r="122" spans="1:9" x14ac:dyDescent="0.35">
      <c r="A122" s="2" t="s">
        <v>1675</v>
      </c>
      <c r="B122" s="2" t="s">
        <v>62</v>
      </c>
      <c r="C122" s="2" t="s">
        <v>1714</v>
      </c>
      <c r="D122" s="2" t="s">
        <v>1681</v>
      </c>
      <c r="E122" s="2" t="s">
        <v>1650</v>
      </c>
      <c r="F122" s="2"/>
      <c r="G122" s="2"/>
      <c r="H122" s="2" t="s">
        <v>20</v>
      </c>
      <c r="I122" s="2" t="s">
        <v>1677</v>
      </c>
    </row>
    <row r="123" spans="1:9" x14ac:dyDescent="0.35">
      <c r="A123" s="2" t="s">
        <v>1675</v>
      </c>
      <c r="B123" s="2" t="s">
        <v>54</v>
      </c>
      <c r="C123" s="2" t="s">
        <v>1717</v>
      </c>
      <c r="D123" s="2" t="s">
        <v>76</v>
      </c>
      <c r="E123" s="2" t="s">
        <v>75</v>
      </c>
      <c r="F123" s="2" t="s">
        <v>20</v>
      </c>
      <c r="G123" s="2" t="s">
        <v>1718</v>
      </c>
      <c r="H123" s="2" t="s">
        <v>20</v>
      </c>
      <c r="I123" s="2" t="s">
        <v>1677</v>
      </c>
    </row>
    <row r="124" spans="1:9" x14ac:dyDescent="0.35">
      <c r="A124" s="2" t="s">
        <v>1675</v>
      </c>
      <c r="B124" s="2" t="s">
        <v>54</v>
      </c>
      <c r="C124" s="2" t="s">
        <v>1717</v>
      </c>
      <c r="D124" s="2" t="s">
        <v>1713</v>
      </c>
      <c r="E124" s="2" t="s">
        <v>122</v>
      </c>
      <c r="F124" s="2" t="s">
        <v>20</v>
      </c>
      <c r="G124" s="2" t="s">
        <v>1718</v>
      </c>
      <c r="H124" s="2" t="s">
        <v>20</v>
      </c>
      <c r="I124" s="2" t="s">
        <v>1677</v>
      </c>
    </row>
    <row r="125" spans="1:9" x14ac:dyDescent="0.35">
      <c r="A125" s="2" t="s">
        <v>1675</v>
      </c>
      <c r="B125" s="2" t="s">
        <v>54</v>
      </c>
      <c r="C125" s="2" t="s">
        <v>1717</v>
      </c>
      <c r="D125" s="2" t="s">
        <v>417</v>
      </c>
      <c r="E125" s="2" t="s">
        <v>40</v>
      </c>
      <c r="F125" s="2" t="s">
        <v>20</v>
      </c>
      <c r="G125" s="2" t="s">
        <v>1718</v>
      </c>
      <c r="H125" s="2" t="s">
        <v>20</v>
      </c>
      <c r="I125" s="2" t="s">
        <v>1677</v>
      </c>
    </row>
    <row r="126" spans="1:9" x14ac:dyDescent="0.35">
      <c r="A126" s="2" t="s">
        <v>1675</v>
      </c>
      <c r="B126" s="2" t="s">
        <v>54</v>
      </c>
      <c r="C126" s="2" t="s">
        <v>1717</v>
      </c>
      <c r="D126" s="2" t="s">
        <v>1681</v>
      </c>
      <c r="E126" s="2" t="s">
        <v>1650</v>
      </c>
      <c r="F126" s="2" t="s">
        <v>20</v>
      </c>
      <c r="G126" s="2" t="s">
        <v>1718</v>
      </c>
      <c r="H126" s="2" t="s">
        <v>20</v>
      </c>
      <c r="I126" s="2" t="s">
        <v>1677</v>
      </c>
    </row>
    <row r="127" spans="1:9" x14ac:dyDescent="0.35">
      <c r="A127" s="2" t="s">
        <v>1675</v>
      </c>
      <c r="B127" s="2" t="s">
        <v>54</v>
      </c>
      <c r="C127" s="2" t="s">
        <v>1719</v>
      </c>
      <c r="D127" s="2" t="s">
        <v>74</v>
      </c>
      <c r="E127" s="2" t="s">
        <v>75</v>
      </c>
      <c r="F127" s="2" t="s">
        <v>20</v>
      </c>
      <c r="G127" s="2" t="s">
        <v>1720</v>
      </c>
      <c r="H127" s="2" t="s">
        <v>20</v>
      </c>
      <c r="I127" s="2" t="s">
        <v>1677</v>
      </c>
    </row>
    <row r="128" spans="1:9" x14ac:dyDescent="0.35">
      <c r="A128" s="2" t="s">
        <v>1675</v>
      </c>
      <c r="B128" s="2" t="s">
        <v>54</v>
      </c>
      <c r="C128" s="2" t="s">
        <v>1719</v>
      </c>
      <c r="D128" s="2" t="s">
        <v>42</v>
      </c>
      <c r="E128" s="2" t="s">
        <v>43</v>
      </c>
      <c r="F128" s="2" t="s">
        <v>20</v>
      </c>
      <c r="G128" s="2" t="s">
        <v>1720</v>
      </c>
      <c r="H128" s="2" t="s">
        <v>20</v>
      </c>
      <c r="I128" s="2" t="s">
        <v>1677</v>
      </c>
    </row>
    <row r="129" spans="1:9" x14ac:dyDescent="0.35">
      <c r="A129" s="2" t="s">
        <v>1675</v>
      </c>
      <c r="B129" s="2" t="s">
        <v>12</v>
      </c>
      <c r="C129" s="2" t="s">
        <v>1721</v>
      </c>
      <c r="D129" s="2" t="s">
        <v>74</v>
      </c>
      <c r="E129" s="2" t="s">
        <v>75</v>
      </c>
      <c r="F129" s="2" t="s">
        <v>20</v>
      </c>
      <c r="G129" s="2" t="s">
        <v>1722</v>
      </c>
      <c r="H129" s="2" t="s">
        <v>20</v>
      </c>
      <c r="I129" s="2" t="s">
        <v>1677</v>
      </c>
    </row>
    <row r="130" spans="1:9" x14ac:dyDescent="0.35">
      <c r="A130" s="2" t="s">
        <v>1675</v>
      </c>
      <c r="B130" s="2" t="s">
        <v>12</v>
      </c>
      <c r="C130" s="2" t="s">
        <v>1721</v>
      </c>
      <c r="D130" s="2" t="s">
        <v>87</v>
      </c>
      <c r="E130" s="2" t="s">
        <v>75</v>
      </c>
      <c r="F130" s="2" t="s">
        <v>20</v>
      </c>
      <c r="G130" s="2" t="s">
        <v>1722</v>
      </c>
      <c r="H130" s="2" t="s">
        <v>20</v>
      </c>
      <c r="I130" s="2" t="s">
        <v>1677</v>
      </c>
    </row>
    <row r="131" spans="1:9" x14ac:dyDescent="0.35">
      <c r="A131" s="2" t="s">
        <v>1675</v>
      </c>
      <c r="B131" s="2" t="s">
        <v>24</v>
      </c>
      <c r="C131" s="2" t="s">
        <v>1723</v>
      </c>
      <c r="D131" s="2" t="s">
        <v>76</v>
      </c>
      <c r="E131" s="2" t="s">
        <v>75</v>
      </c>
      <c r="F131" s="2" t="s">
        <v>20</v>
      </c>
      <c r="G131" s="2" t="s">
        <v>1724</v>
      </c>
      <c r="H131" s="2" t="s">
        <v>20</v>
      </c>
      <c r="I131" s="2" t="s">
        <v>1677</v>
      </c>
    </row>
    <row r="132" spans="1:9" x14ac:dyDescent="0.35">
      <c r="A132" s="2" t="s">
        <v>1675</v>
      </c>
      <c r="B132" s="2" t="s">
        <v>24</v>
      </c>
      <c r="C132" s="2" t="s">
        <v>1723</v>
      </c>
      <c r="D132" s="2" t="s">
        <v>1725</v>
      </c>
      <c r="E132" s="2" t="s">
        <v>32</v>
      </c>
      <c r="F132" s="2" t="s">
        <v>20</v>
      </c>
      <c r="G132" s="2" t="s">
        <v>1724</v>
      </c>
      <c r="H132" s="2" t="s">
        <v>20</v>
      </c>
      <c r="I132" s="2" t="s">
        <v>1677</v>
      </c>
    </row>
    <row r="133" spans="1:9" x14ac:dyDescent="0.35">
      <c r="A133" s="2" t="s">
        <v>1675</v>
      </c>
      <c r="B133" s="2" t="s">
        <v>24</v>
      </c>
      <c r="C133" s="2" t="s">
        <v>1723</v>
      </c>
      <c r="D133" s="2" t="s">
        <v>91</v>
      </c>
      <c r="E133" s="2" t="s">
        <v>1679</v>
      </c>
      <c r="F133" s="2" t="s">
        <v>20</v>
      </c>
      <c r="G133" s="2" t="s">
        <v>1724</v>
      </c>
      <c r="H133" s="2" t="s">
        <v>20</v>
      </c>
      <c r="I133" s="2" t="s">
        <v>1677</v>
      </c>
    </row>
    <row r="134" spans="1:9" x14ac:dyDescent="0.35">
      <c r="A134" s="2" t="s">
        <v>1675</v>
      </c>
      <c r="B134" s="2" t="s">
        <v>24</v>
      </c>
      <c r="C134" s="2" t="s">
        <v>1723</v>
      </c>
      <c r="D134" s="2" t="s">
        <v>87</v>
      </c>
      <c r="E134" s="2" t="s">
        <v>75</v>
      </c>
      <c r="F134" s="2" t="s">
        <v>20</v>
      </c>
      <c r="G134" s="2" t="s">
        <v>1724</v>
      </c>
      <c r="H134" s="2" t="s">
        <v>20</v>
      </c>
      <c r="I134" s="2" t="s">
        <v>1677</v>
      </c>
    </row>
    <row r="135" spans="1:9" x14ac:dyDescent="0.35">
      <c r="A135" s="2" t="s">
        <v>1675</v>
      </c>
      <c r="B135" s="2" t="s">
        <v>24</v>
      </c>
      <c r="C135" s="2" t="s">
        <v>1723</v>
      </c>
      <c r="D135" s="2" t="s">
        <v>417</v>
      </c>
      <c r="E135" s="2" t="s">
        <v>40</v>
      </c>
      <c r="F135" s="2" t="s">
        <v>20</v>
      </c>
      <c r="G135" s="2" t="s">
        <v>1724</v>
      </c>
      <c r="H135" s="2" t="s">
        <v>20</v>
      </c>
      <c r="I135" s="2" t="s">
        <v>1677</v>
      </c>
    </row>
    <row r="136" spans="1:9" x14ac:dyDescent="0.35">
      <c r="A136" s="2" t="s">
        <v>1675</v>
      </c>
      <c r="B136" s="2" t="s">
        <v>62</v>
      </c>
      <c r="C136" s="2" t="s">
        <v>1726</v>
      </c>
      <c r="D136" s="2" t="s">
        <v>31</v>
      </c>
      <c r="E136" s="2" t="s">
        <v>32</v>
      </c>
      <c r="F136" s="2"/>
      <c r="G136" s="2"/>
      <c r="H136" s="2" t="s">
        <v>20</v>
      </c>
      <c r="I136" s="2" t="s">
        <v>1677</v>
      </c>
    </row>
    <row r="137" spans="1:9" x14ac:dyDescent="0.35">
      <c r="A137" s="2" t="s">
        <v>1675</v>
      </c>
      <c r="B137" s="2" t="s">
        <v>62</v>
      </c>
      <c r="C137" s="2" t="s">
        <v>1726</v>
      </c>
      <c r="D137" s="2" t="s">
        <v>1727</v>
      </c>
      <c r="E137" s="2" t="s">
        <v>38</v>
      </c>
      <c r="F137" s="2"/>
      <c r="G137" s="2"/>
      <c r="H137" s="2" t="s">
        <v>20</v>
      </c>
      <c r="I137" s="2" t="s">
        <v>1677</v>
      </c>
    </row>
    <row r="138" spans="1:9" x14ac:dyDescent="0.35">
      <c r="A138" s="2" t="s">
        <v>1675</v>
      </c>
      <c r="B138" s="2" t="s">
        <v>62</v>
      </c>
      <c r="C138" s="2" t="s">
        <v>1726</v>
      </c>
      <c r="D138" s="2" t="s">
        <v>35</v>
      </c>
      <c r="E138" s="2" t="s">
        <v>36</v>
      </c>
      <c r="F138" s="2"/>
      <c r="G138" s="2"/>
      <c r="H138" s="2" t="s">
        <v>20</v>
      </c>
      <c r="I138" s="2" t="s">
        <v>1677</v>
      </c>
    </row>
    <row r="139" spans="1:9" x14ac:dyDescent="0.35">
      <c r="A139" s="2" t="s">
        <v>1675</v>
      </c>
      <c r="B139" s="2" t="s">
        <v>62</v>
      </c>
      <c r="C139" s="2" t="s">
        <v>1726</v>
      </c>
      <c r="D139" s="2" t="s">
        <v>91</v>
      </c>
      <c r="E139" s="2" t="s">
        <v>1679</v>
      </c>
      <c r="F139" s="2" t="s">
        <v>20</v>
      </c>
      <c r="G139" s="2" t="s">
        <v>1728</v>
      </c>
      <c r="H139" s="2" t="s">
        <v>20</v>
      </c>
      <c r="I139" s="2" t="s">
        <v>1677</v>
      </c>
    </row>
    <row r="140" spans="1:9" x14ac:dyDescent="0.35">
      <c r="A140" s="2" t="s">
        <v>1675</v>
      </c>
      <c r="B140" s="2" t="s">
        <v>62</v>
      </c>
      <c r="C140" s="2" t="s">
        <v>1726</v>
      </c>
      <c r="D140" s="2" t="s">
        <v>87</v>
      </c>
      <c r="E140" s="2" t="s">
        <v>75</v>
      </c>
      <c r="F140" s="2"/>
      <c r="G140" s="2"/>
      <c r="H140" s="2" t="s">
        <v>20</v>
      </c>
      <c r="I140" s="2" t="s">
        <v>1677</v>
      </c>
    </row>
    <row r="141" spans="1:9" x14ac:dyDescent="0.35">
      <c r="A141" s="2" t="s">
        <v>1675</v>
      </c>
      <c r="B141" s="2" t="s">
        <v>62</v>
      </c>
      <c r="C141" s="2" t="s">
        <v>1726</v>
      </c>
      <c r="D141" s="2" t="s">
        <v>1228</v>
      </c>
      <c r="E141" s="2" t="s">
        <v>228</v>
      </c>
      <c r="F141" s="2"/>
      <c r="G141" s="2"/>
      <c r="H141" s="2" t="s">
        <v>20</v>
      </c>
      <c r="I141" s="2" t="s">
        <v>1677</v>
      </c>
    </row>
    <row r="142" spans="1:9" x14ac:dyDescent="0.35">
      <c r="A142" s="2" t="s">
        <v>1675</v>
      </c>
      <c r="B142" s="2" t="s">
        <v>62</v>
      </c>
      <c r="C142" s="2" t="s">
        <v>1726</v>
      </c>
      <c r="D142" s="2" t="s">
        <v>61</v>
      </c>
      <c r="E142" s="2" t="s">
        <v>30</v>
      </c>
      <c r="F142" s="2"/>
      <c r="G142" s="2"/>
      <c r="H142" s="2" t="s">
        <v>20</v>
      </c>
      <c r="I142" s="2" t="s">
        <v>1677</v>
      </c>
    </row>
    <row r="143" spans="1:9" x14ac:dyDescent="0.35">
      <c r="A143" s="2" t="s">
        <v>1675</v>
      </c>
      <c r="B143" s="2" t="s">
        <v>62</v>
      </c>
      <c r="C143" s="2" t="s">
        <v>1726</v>
      </c>
      <c r="D143" s="2" t="s">
        <v>1681</v>
      </c>
      <c r="E143" s="2" t="s">
        <v>1650</v>
      </c>
      <c r="F143" s="2"/>
      <c r="G143" s="2"/>
      <c r="H143" s="2" t="s">
        <v>20</v>
      </c>
      <c r="I143" s="2" t="s">
        <v>1677</v>
      </c>
    </row>
    <row r="144" spans="1:9" x14ac:dyDescent="0.35">
      <c r="A144" s="2" t="s">
        <v>1675</v>
      </c>
      <c r="B144" s="2" t="s">
        <v>57</v>
      </c>
      <c r="C144" s="2" t="s">
        <v>1729</v>
      </c>
      <c r="D144" s="2" t="s">
        <v>1172</v>
      </c>
      <c r="E144" s="2" t="s">
        <v>1650</v>
      </c>
      <c r="F144" s="2"/>
      <c r="G144" s="2"/>
      <c r="H144" s="2" t="s">
        <v>20</v>
      </c>
      <c r="I144" s="2" t="s">
        <v>1677</v>
      </c>
    </row>
    <row r="145" spans="1:9" x14ac:dyDescent="0.35">
      <c r="A145" s="2" t="s">
        <v>1675</v>
      </c>
      <c r="B145" s="2" t="s">
        <v>57</v>
      </c>
      <c r="C145" s="2" t="s">
        <v>1729</v>
      </c>
      <c r="D145" s="2" t="s">
        <v>74</v>
      </c>
      <c r="E145" s="2" t="s">
        <v>75</v>
      </c>
      <c r="F145" s="2" t="s">
        <v>20</v>
      </c>
      <c r="G145" s="2" t="s">
        <v>1730</v>
      </c>
      <c r="H145" s="2" t="s">
        <v>20</v>
      </c>
      <c r="I145" s="2" t="s">
        <v>1677</v>
      </c>
    </row>
    <row r="146" spans="1:9" x14ac:dyDescent="0.35">
      <c r="A146" s="2" t="s">
        <v>1675</v>
      </c>
      <c r="B146" s="2" t="s">
        <v>57</v>
      </c>
      <c r="C146" s="2" t="s">
        <v>1729</v>
      </c>
      <c r="D146" s="2" t="s">
        <v>121</v>
      </c>
      <c r="E146" s="2" t="s">
        <v>122</v>
      </c>
      <c r="F146" s="2"/>
      <c r="G146" s="2"/>
      <c r="H146" s="2" t="s">
        <v>20</v>
      </c>
      <c r="I146" s="2" t="s">
        <v>1677</v>
      </c>
    </row>
    <row r="147" spans="1:9" x14ac:dyDescent="0.35">
      <c r="A147" s="2" t="s">
        <v>1675</v>
      </c>
      <c r="B147" s="2" t="s">
        <v>57</v>
      </c>
      <c r="C147" s="2" t="s">
        <v>1729</v>
      </c>
      <c r="D147" s="2" t="s">
        <v>87</v>
      </c>
      <c r="E147" s="2" t="s">
        <v>75</v>
      </c>
      <c r="F147" s="2" t="s">
        <v>20</v>
      </c>
      <c r="G147" s="2" t="s">
        <v>1731</v>
      </c>
      <c r="H147" s="2" t="s">
        <v>20</v>
      </c>
      <c r="I147" s="2" t="s">
        <v>1677</v>
      </c>
    </row>
    <row r="148" spans="1:9" x14ac:dyDescent="0.35">
      <c r="A148" s="2" t="s">
        <v>1675</v>
      </c>
      <c r="B148" s="2" t="s">
        <v>57</v>
      </c>
      <c r="C148" s="2" t="s">
        <v>1729</v>
      </c>
      <c r="D148" s="2" t="s">
        <v>42</v>
      </c>
      <c r="E148" s="2" t="s">
        <v>43</v>
      </c>
      <c r="F148" s="2"/>
      <c r="G148" s="2"/>
      <c r="H148" s="2" t="s">
        <v>20</v>
      </c>
      <c r="I148" s="2" t="s">
        <v>1677</v>
      </c>
    </row>
    <row r="149" spans="1:9" x14ac:dyDescent="0.35">
      <c r="A149" s="2" t="s">
        <v>1675</v>
      </c>
      <c r="B149" s="2" t="s">
        <v>24</v>
      </c>
      <c r="C149" s="2" t="s">
        <v>1732</v>
      </c>
      <c r="D149" s="2" t="s">
        <v>393</v>
      </c>
      <c r="E149" s="2" t="s">
        <v>36</v>
      </c>
      <c r="F149" s="2"/>
      <c r="G149" s="2"/>
      <c r="H149" s="2" t="s">
        <v>20</v>
      </c>
      <c r="I149" s="2" t="s">
        <v>1677</v>
      </c>
    </row>
    <row r="150" spans="1:9" x14ac:dyDescent="0.35">
      <c r="A150" s="2" t="s">
        <v>1675</v>
      </c>
      <c r="B150" s="2" t="s">
        <v>24</v>
      </c>
      <c r="C150" s="2" t="s">
        <v>1732</v>
      </c>
      <c r="D150" s="2" t="s">
        <v>87</v>
      </c>
      <c r="E150" s="2" t="s">
        <v>75</v>
      </c>
      <c r="F150" s="2" t="s">
        <v>20</v>
      </c>
      <c r="G150" s="2" t="s">
        <v>1733</v>
      </c>
      <c r="H150" s="2" t="s">
        <v>20</v>
      </c>
      <c r="I150" s="2" t="s">
        <v>1677</v>
      </c>
    </row>
    <row r="151" spans="1:9" x14ac:dyDescent="0.35">
      <c r="A151" s="2" t="s">
        <v>1675</v>
      </c>
      <c r="B151" s="2" t="s">
        <v>24</v>
      </c>
      <c r="C151" s="2" t="s">
        <v>1732</v>
      </c>
      <c r="D151" s="2" t="s">
        <v>18</v>
      </c>
      <c r="E151" s="2" t="s">
        <v>1679</v>
      </c>
      <c r="F151" s="2" t="s">
        <v>20</v>
      </c>
      <c r="G151" s="2" t="s">
        <v>1734</v>
      </c>
      <c r="H151" s="2" t="s">
        <v>20</v>
      </c>
      <c r="I151" s="2" t="s">
        <v>1677</v>
      </c>
    </row>
    <row r="152" spans="1:9" x14ac:dyDescent="0.35">
      <c r="A152" s="2" t="s">
        <v>1675</v>
      </c>
      <c r="B152" s="2" t="s">
        <v>12</v>
      </c>
      <c r="C152" s="2" t="s">
        <v>1735</v>
      </c>
      <c r="D152" s="2" t="s">
        <v>74</v>
      </c>
      <c r="E152" s="2" t="s">
        <v>75</v>
      </c>
      <c r="F152" s="2" t="s">
        <v>20</v>
      </c>
      <c r="G152" s="2" t="s">
        <v>1736</v>
      </c>
      <c r="H152" s="2" t="s">
        <v>20</v>
      </c>
      <c r="I152" s="2" t="s">
        <v>1677</v>
      </c>
    </row>
    <row r="153" spans="1:9" x14ac:dyDescent="0.35">
      <c r="A153" s="2" t="s">
        <v>1675</v>
      </c>
      <c r="B153" s="2" t="s">
        <v>12</v>
      </c>
      <c r="C153" s="2" t="s">
        <v>1735</v>
      </c>
      <c r="D153" s="2" t="s">
        <v>87</v>
      </c>
      <c r="E153" s="2" t="s">
        <v>75</v>
      </c>
      <c r="F153" s="2" t="s">
        <v>20</v>
      </c>
      <c r="G153" s="2" t="s">
        <v>1736</v>
      </c>
      <c r="H153" s="2" t="s">
        <v>20</v>
      </c>
      <c r="I153" s="2" t="s">
        <v>1677</v>
      </c>
    </row>
    <row r="154" spans="1:9" x14ac:dyDescent="0.35">
      <c r="A154" s="2" t="s">
        <v>1675</v>
      </c>
      <c r="B154" s="2" t="s">
        <v>12</v>
      </c>
      <c r="C154" s="2" t="s">
        <v>1735</v>
      </c>
      <c r="D154" s="2" t="s">
        <v>1635</v>
      </c>
      <c r="E154" s="2" t="s">
        <v>189</v>
      </c>
      <c r="F154" s="2"/>
      <c r="G154" s="2"/>
      <c r="H154" s="2" t="s">
        <v>20</v>
      </c>
      <c r="I154" s="2" t="s">
        <v>1677</v>
      </c>
    </row>
    <row r="155" spans="1:9" x14ac:dyDescent="0.35">
      <c r="A155" s="2" t="s">
        <v>1675</v>
      </c>
      <c r="B155" s="2" t="s">
        <v>12</v>
      </c>
      <c r="C155" s="2" t="s">
        <v>1735</v>
      </c>
      <c r="D155" s="2" t="s">
        <v>18</v>
      </c>
      <c r="E155" s="2" t="s">
        <v>1679</v>
      </c>
      <c r="F155" s="2" t="s">
        <v>20</v>
      </c>
      <c r="G155" s="2" t="s">
        <v>1737</v>
      </c>
      <c r="H155" s="2" t="s">
        <v>20</v>
      </c>
      <c r="I155" s="2" t="s">
        <v>1677</v>
      </c>
    </row>
    <row r="156" spans="1:9" x14ac:dyDescent="0.35">
      <c r="A156" s="2" t="s">
        <v>1675</v>
      </c>
      <c r="B156" s="2" t="s">
        <v>62</v>
      </c>
      <c r="C156" s="2" t="s">
        <v>1738</v>
      </c>
      <c r="D156" s="2" t="s">
        <v>38</v>
      </c>
      <c r="E156" s="2" t="s">
        <v>38</v>
      </c>
      <c r="F156" s="2"/>
      <c r="G156" s="2"/>
      <c r="H156" s="2" t="s">
        <v>20</v>
      </c>
      <c r="I156" s="2" t="s">
        <v>1677</v>
      </c>
    </row>
    <row r="157" spans="1:9" x14ac:dyDescent="0.35">
      <c r="A157" s="2" t="s">
        <v>1675</v>
      </c>
      <c r="B157" s="2" t="s">
        <v>62</v>
      </c>
      <c r="C157" s="2" t="s">
        <v>1738</v>
      </c>
      <c r="D157" s="2" t="s">
        <v>35</v>
      </c>
      <c r="E157" s="2" t="s">
        <v>36</v>
      </c>
      <c r="F157" s="2"/>
      <c r="G157" s="2"/>
      <c r="H157" s="2" t="s">
        <v>20</v>
      </c>
      <c r="I157" s="2" t="s">
        <v>1677</v>
      </c>
    </row>
    <row r="158" spans="1:9" x14ac:dyDescent="0.35">
      <c r="A158" s="2" t="s">
        <v>1675</v>
      </c>
      <c r="B158" s="2" t="s">
        <v>62</v>
      </c>
      <c r="C158" s="2" t="s">
        <v>1738</v>
      </c>
      <c r="D158" s="2" t="s">
        <v>77</v>
      </c>
      <c r="E158" s="2" t="s">
        <v>78</v>
      </c>
      <c r="F158" s="2" t="s">
        <v>20</v>
      </c>
      <c r="G158" s="2" t="s">
        <v>1739</v>
      </c>
      <c r="H158" s="2" t="s">
        <v>20</v>
      </c>
      <c r="I158" s="2" t="s">
        <v>1677</v>
      </c>
    </row>
    <row r="159" spans="1:9" x14ac:dyDescent="0.35">
      <c r="A159" s="2" t="s">
        <v>1675</v>
      </c>
      <c r="B159" s="2" t="s">
        <v>62</v>
      </c>
      <c r="C159" s="2" t="s">
        <v>1738</v>
      </c>
      <c r="D159" s="2" t="s">
        <v>1740</v>
      </c>
      <c r="E159" s="2" t="s">
        <v>40</v>
      </c>
      <c r="F159" s="2"/>
      <c r="G159" s="2"/>
      <c r="H159" s="2" t="s">
        <v>20</v>
      </c>
      <c r="I159" s="2" t="s">
        <v>1677</v>
      </c>
    </row>
    <row r="160" spans="1:9" x14ac:dyDescent="0.35">
      <c r="A160" s="2" t="s">
        <v>1675</v>
      </c>
      <c r="B160" s="2" t="s">
        <v>62</v>
      </c>
      <c r="C160" s="2" t="s">
        <v>1738</v>
      </c>
      <c r="D160" s="2" t="s">
        <v>61</v>
      </c>
      <c r="E160" s="2" t="s">
        <v>30</v>
      </c>
      <c r="F160" s="2"/>
      <c r="G160" s="2"/>
      <c r="H160" s="2" t="s">
        <v>20</v>
      </c>
      <c r="I160" s="2" t="s">
        <v>1677</v>
      </c>
    </row>
    <row r="161" spans="1:9" x14ac:dyDescent="0.35">
      <c r="A161" s="2" t="s">
        <v>1675</v>
      </c>
      <c r="B161" s="2" t="s">
        <v>62</v>
      </c>
      <c r="C161" s="2" t="s">
        <v>1738</v>
      </c>
      <c r="D161" s="2" t="s">
        <v>127</v>
      </c>
      <c r="E161" s="2" t="s">
        <v>1650</v>
      </c>
      <c r="F161" s="2"/>
      <c r="G161" s="2"/>
      <c r="H161" s="2" t="s">
        <v>20</v>
      </c>
      <c r="I161" s="2" t="s">
        <v>1677</v>
      </c>
    </row>
    <row r="162" spans="1:9" x14ac:dyDescent="0.35">
      <c r="A162" s="2" t="s">
        <v>1675</v>
      </c>
      <c r="B162" s="2" t="s">
        <v>62</v>
      </c>
      <c r="C162" s="2" t="s">
        <v>1741</v>
      </c>
      <c r="D162" s="2" t="s">
        <v>121</v>
      </c>
      <c r="E162" s="2" t="s">
        <v>122</v>
      </c>
      <c r="F162" s="2"/>
      <c r="G162" s="2"/>
      <c r="H162" s="2" t="s">
        <v>20</v>
      </c>
      <c r="I162" s="2" t="s">
        <v>1677</v>
      </c>
    </row>
    <row r="163" spans="1:9" x14ac:dyDescent="0.35">
      <c r="A163" s="2" t="s">
        <v>1675</v>
      </c>
      <c r="B163" s="2" t="s">
        <v>62</v>
      </c>
      <c r="C163" s="2" t="s">
        <v>1741</v>
      </c>
      <c r="D163" s="2" t="s">
        <v>87</v>
      </c>
      <c r="E163" s="2" t="s">
        <v>75</v>
      </c>
      <c r="F163" s="2" t="s">
        <v>20</v>
      </c>
      <c r="G163" s="2" t="s">
        <v>1742</v>
      </c>
      <c r="H163" s="2" t="s">
        <v>20</v>
      </c>
      <c r="I163" s="2" t="s">
        <v>1677</v>
      </c>
    </row>
    <row r="164" spans="1:9" x14ac:dyDescent="0.35">
      <c r="A164" s="2" t="s">
        <v>1675</v>
      </c>
      <c r="B164" s="2" t="s">
        <v>62</v>
      </c>
      <c r="C164" s="2" t="s">
        <v>1741</v>
      </c>
      <c r="D164" s="2" t="s">
        <v>1701</v>
      </c>
      <c r="E164" s="2" t="s">
        <v>30</v>
      </c>
      <c r="F164" s="2"/>
      <c r="G164" s="2"/>
      <c r="H164" s="2" t="s">
        <v>20</v>
      </c>
      <c r="I164" s="2" t="s">
        <v>1677</v>
      </c>
    </row>
    <row r="165" spans="1:9" x14ac:dyDescent="0.35">
      <c r="A165" s="2" t="s">
        <v>1675</v>
      </c>
      <c r="B165" s="2" t="s">
        <v>62</v>
      </c>
      <c r="C165" s="2" t="s">
        <v>1743</v>
      </c>
      <c r="D165" s="2" t="s">
        <v>74</v>
      </c>
      <c r="E165" s="2" t="s">
        <v>75</v>
      </c>
      <c r="F165" s="2" t="s">
        <v>20</v>
      </c>
      <c r="G165" s="2" t="s">
        <v>1730</v>
      </c>
      <c r="H165" s="2" t="s">
        <v>20</v>
      </c>
      <c r="I165" s="2" t="s">
        <v>1677</v>
      </c>
    </row>
    <row r="166" spans="1:9" x14ac:dyDescent="0.35">
      <c r="A166" s="2" t="s">
        <v>1675</v>
      </c>
      <c r="B166" s="2" t="s">
        <v>62</v>
      </c>
      <c r="C166" s="2" t="s">
        <v>1743</v>
      </c>
      <c r="D166" s="2" t="s">
        <v>121</v>
      </c>
      <c r="E166" s="2" t="s">
        <v>122</v>
      </c>
      <c r="F166" s="2"/>
      <c r="G166" s="2"/>
      <c r="H166" s="2" t="s">
        <v>20</v>
      </c>
      <c r="I166" s="2" t="s">
        <v>1677</v>
      </c>
    </row>
    <row r="167" spans="1:9" x14ac:dyDescent="0.35">
      <c r="A167" s="2" t="s">
        <v>1675</v>
      </c>
      <c r="B167" s="2" t="s">
        <v>62</v>
      </c>
      <c r="C167" s="2" t="s">
        <v>1743</v>
      </c>
      <c r="D167" s="2" t="s">
        <v>87</v>
      </c>
      <c r="E167" s="2" t="s">
        <v>75</v>
      </c>
      <c r="F167" s="2" t="s">
        <v>20</v>
      </c>
      <c r="G167" s="2" t="s">
        <v>1744</v>
      </c>
      <c r="H167" s="2" t="s">
        <v>20</v>
      </c>
      <c r="I167" s="2" t="s">
        <v>1677</v>
      </c>
    </row>
    <row r="168" spans="1:9" x14ac:dyDescent="0.35">
      <c r="A168" s="2" t="s">
        <v>1675</v>
      </c>
      <c r="B168" s="2" t="s">
        <v>62</v>
      </c>
      <c r="C168" s="2" t="s">
        <v>1743</v>
      </c>
      <c r="D168" s="2" t="s">
        <v>1681</v>
      </c>
      <c r="E168" s="2" t="s">
        <v>1650</v>
      </c>
      <c r="F168" s="2"/>
      <c r="G168" s="2"/>
      <c r="H168" s="2" t="s">
        <v>20</v>
      </c>
      <c r="I168" s="2" t="s">
        <v>1677</v>
      </c>
    </row>
    <row r="169" spans="1:9" x14ac:dyDescent="0.35">
      <c r="A169" s="2" t="s">
        <v>1675</v>
      </c>
      <c r="B169" s="2" t="s">
        <v>12</v>
      </c>
      <c r="C169" s="2" t="s">
        <v>1745</v>
      </c>
      <c r="D169" s="2" t="s">
        <v>74</v>
      </c>
      <c r="E169" s="2" t="s">
        <v>75</v>
      </c>
      <c r="F169" s="2" t="s">
        <v>16</v>
      </c>
      <c r="G169" s="2" t="s">
        <v>1746</v>
      </c>
      <c r="H169" s="2" t="s">
        <v>20</v>
      </c>
      <c r="I169" s="2" t="s">
        <v>1677</v>
      </c>
    </row>
    <row r="170" spans="1:9" x14ac:dyDescent="0.35">
      <c r="A170" s="2" t="s">
        <v>1675</v>
      </c>
      <c r="B170" s="2" t="s">
        <v>12</v>
      </c>
      <c r="C170" s="2" t="s">
        <v>1745</v>
      </c>
      <c r="D170" s="2" t="s">
        <v>91</v>
      </c>
      <c r="E170" s="2" t="s">
        <v>1679</v>
      </c>
      <c r="F170" s="2" t="s">
        <v>16</v>
      </c>
      <c r="G170" s="2" t="s">
        <v>1747</v>
      </c>
      <c r="H170" s="2" t="s">
        <v>20</v>
      </c>
      <c r="I170" s="2" t="s">
        <v>1677</v>
      </c>
    </row>
    <row r="171" spans="1:9" x14ac:dyDescent="0.35">
      <c r="A171" s="2" t="s">
        <v>1675</v>
      </c>
      <c r="B171" s="2" t="s">
        <v>12</v>
      </c>
      <c r="C171" s="2" t="s">
        <v>1745</v>
      </c>
      <c r="D171" s="2" t="s">
        <v>87</v>
      </c>
      <c r="E171" s="2" t="s">
        <v>75</v>
      </c>
      <c r="F171" s="2" t="s">
        <v>16</v>
      </c>
      <c r="G171" s="2" t="s">
        <v>1746</v>
      </c>
      <c r="H171" s="2" t="s">
        <v>20</v>
      </c>
      <c r="I171" s="2" t="s">
        <v>1677</v>
      </c>
    </row>
    <row r="172" spans="1:9" x14ac:dyDescent="0.35">
      <c r="A172" s="2" t="s">
        <v>1675</v>
      </c>
      <c r="B172" s="2" t="s">
        <v>12</v>
      </c>
      <c r="C172" s="2" t="s">
        <v>1745</v>
      </c>
      <c r="D172" s="2" t="s">
        <v>61</v>
      </c>
      <c r="E172" s="2" t="s">
        <v>30</v>
      </c>
      <c r="F172" s="2" t="s">
        <v>16</v>
      </c>
      <c r="G172" s="2" t="s">
        <v>1748</v>
      </c>
      <c r="H172" s="2" t="s">
        <v>20</v>
      </c>
      <c r="I172" s="2" t="s">
        <v>1677</v>
      </c>
    </row>
    <row r="173" spans="1:9" x14ac:dyDescent="0.35">
      <c r="A173" s="2" t="s">
        <v>1675</v>
      </c>
      <c r="B173" s="2" t="s">
        <v>62</v>
      </c>
      <c r="C173" s="2" t="s">
        <v>1749</v>
      </c>
      <c r="D173" s="2" t="s">
        <v>74</v>
      </c>
      <c r="E173" s="2" t="s">
        <v>75</v>
      </c>
      <c r="F173" s="2" t="s">
        <v>20</v>
      </c>
      <c r="G173" s="2" t="s">
        <v>1730</v>
      </c>
      <c r="H173" s="2" t="s">
        <v>20</v>
      </c>
      <c r="I173" s="2" t="s">
        <v>1677</v>
      </c>
    </row>
    <row r="174" spans="1:9" x14ac:dyDescent="0.35">
      <c r="A174" s="2" t="s">
        <v>1675</v>
      </c>
      <c r="B174" s="2" t="s">
        <v>62</v>
      </c>
      <c r="C174" s="2" t="s">
        <v>1749</v>
      </c>
      <c r="D174" s="2" t="s">
        <v>1713</v>
      </c>
      <c r="E174" s="2" t="s">
        <v>122</v>
      </c>
      <c r="F174" s="2"/>
      <c r="G174" s="2"/>
      <c r="H174" s="2" t="s">
        <v>20</v>
      </c>
      <c r="I174" s="2" t="s">
        <v>1677</v>
      </c>
    </row>
    <row r="175" spans="1:9" x14ac:dyDescent="0.35">
      <c r="A175" s="2" t="s">
        <v>1675</v>
      </c>
      <c r="B175" s="2" t="s">
        <v>62</v>
      </c>
      <c r="C175" s="2" t="s">
        <v>1749</v>
      </c>
      <c r="D175" s="2" t="s">
        <v>87</v>
      </c>
      <c r="E175" s="2" t="s">
        <v>75</v>
      </c>
      <c r="F175" s="2" t="s">
        <v>20</v>
      </c>
      <c r="G175" s="2" t="s">
        <v>1744</v>
      </c>
      <c r="H175" s="2" t="s">
        <v>20</v>
      </c>
      <c r="I175" s="2" t="s">
        <v>1677</v>
      </c>
    </row>
    <row r="176" spans="1:9" x14ac:dyDescent="0.35">
      <c r="A176" s="2" t="s">
        <v>1675</v>
      </c>
      <c r="B176" s="2" t="s">
        <v>62</v>
      </c>
      <c r="C176" s="2" t="s">
        <v>1749</v>
      </c>
      <c r="D176" s="2" t="s">
        <v>1681</v>
      </c>
      <c r="E176" s="2" t="s">
        <v>1650</v>
      </c>
      <c r="F176" s="2"/>
      <c r="G176" s="2"/>
      <c r="H176" s="2" t="s">
        <v>20</v>
      </c>
      <c r="I176" s="2" t="s">
        <v>1677</v>
      </c>
    </row>
    <row r="177" spans="1:9" x14ac:dyDescent="0.35">
      <c r="A177" s="2" t="s">
        <v>1675</v>
      </c>
      <c r="B177" s="2" t="s">
        <v>62</v>
      </c>
      <c r="C177" s="2" t="s">
        <v>1750</v>
      </c>
      <c r="D177" s="2" t="s">
        <v>121</v>
      </c>
      <c r="E177" s="2" t="s">
        <v>122</v>
      </c>
      <c r="F177" s="2"/>
      <c r="G177" s="2"/>
      <c r="H177" s="2" t="s">
        <v>20</v>
      </c>
      <c r="I177" s="2" t="s">
        <v>1677</v>
      </c>
    </row>
    <row r="178" spans="1:9" x14ac:dyDescent="0.35">
      <c r="A178" s="2" t="s">
        <v>1675</v>
      </c>
      <c r="B178" s="2" t="s">
        <v>62</v>
      </c>
      <c r="C178" s="2" t="s">
        <v>1750</v>
      </c>
      <c r="D178" s="2" t="s">
        <v>87</v>
      </c>
      <c r="E178" s="2" t="s">
        <v>75</v>
      </c>
      <c r="F178" s="2" t="s">
        <v>20</v>
      </c>
      <c r="G178" s="2" t="s">
        <v>1751</v>
      </c>
      <c r="H178" s="2" t="s">
        <v>20</v>
      </c>
      <c r="I178" s="2" t="s">
        <v>1677</v>
      </c>
    </row>
    <row r="179" spans="1:9" x14ac:dyDescent="0.35">
      <c r="A179" s="2" t="s">
        <v>1675</v>
      </c>
      <c r="B179" s="2" t="s">
        <v>62</v>
      </c>
      <c r="C179" s="2" t="s">
        <v>1750</v>
      </c>
      <c r="D179" s="2" t="s">
        <v>1681</v>
      </c>
      <c r="E179" s="2" t="s">
        <v>1650</v>
      </c>
      <c r="F179" s="2"/>
      <c r="G179" s="2"/>
      <c r="H179" s="2" t="s">
        <v>20</v>
      </c>
      <c r="I179" s="2" t="s">
        <v>1677</v>
      </c>
    </row>
    <row r="180" spans="1:9" x14ac:dyDescent="0.35">
      <c r="A180" s="2" t="s">
        <v>1675</v>
      </c>
      <c r="B180" s="2" t="s">
        <v>54</v>
      </c>
      <c r="C180" s="2" t="s">
        <v>1752</v>
      </c>
      <c r="D180" s="2" t="s">
        <v>393</v>
      </c>
      <c r="E180" s="2" t="s">
        <v>36</v>
      </c>
      <c r="F180" s="2" t="s">
        <v>20</v>
      </c>
      <c r="G180" s="2" t="s">
        <v>1753</v>
      </c>
      <c r="H180" s="2" t="s">
        <v>20</v>
      </c>
      <c r="I180" s="2" t="s">
        <v>1677</v>
      </c>
    </row>
    <row r="181" spans="1:9" x14ac:dyDescent="0.35">
      <c r="A181" s="2" t="s">
        <v>1675</v>
      </c>
      <c r="B181" s="2" t="s">
        <v>54</v>
      </c>
      <c r="C181" s="2" t="s">
        <v>1752</v>
      </c>
      <c r="D181" s="2" t="s">
        <v>91</v>
      </c>
      <c r="E181" s="2" t="s">
        <v>1679</v>
      </c>
      <c r="F181" s="2" t="s">
        <v>20</v>
      </c>
      <c r="G181" s="2" t="s">
        <v>1753</v>
      </c>
      <c r="H181" s="2" t="s">
        <v>20</v>
      </c>
      <c r="I181" s="2" t="s">
        <v>1677</v>
      </c>
    </row>
    <row r="182" spans="1:9" x14ac:dyDescent="0.35">
      <c r="A182" s="2" t="s">
        <v>1675</v>
      </c>
      <c r="B182" s="2" t="s">
        <v>54</v>
      </c>
      <c r="C182" s="2" t="s">
        <v>1752</v>
      </c>
      <c r="D182" s="2" t="s">
        <v>278</v>
      </c>
      <c r="E182" s="2" t="s">
        <v>45</v>
      </c>
      <c r="F182" s="2" t="s">
        <v>20</v>
      </c>
      <c r="G182" s="2" t="s">
        <v>1753</v>
      </c>
      <c r="H182" s="2" t="s">
        <v>20</v>
      </c>
      <c r="I182" s="2" t="s">
        <v>1677</v>
      </c>
    </row>
    <row r="183" spans="1:9" x14ac:dyDescent="0.35">
      <c r="A183" s="2" t="s">
        <v>1675</v>
      </c>
      <c r="B183" s="2" t="s">
        <v>54</v>
      </c>
      <c r="C183" s="2" t="s">
        <v>1754</v>
      </c>
      <c r="D183" s="2" t="s">
        <v>1713</v>
      </c>
      <c r="E183" s="2" t="s">
        <v>122</v>
      </c>
      <c r="F183" s="2"/>
      <c r="G183" s="2"/>
      <c r="H183" s="2" t="s">
        <v>20</v>
      </c>
      <c r="I183" s="2" t="s">
        <v>1677</v>
      </c>
    </row>
    <row r="184" spans="1:9" x14ac:dyDescent="0.35">
      <c r="A184" s="2" t="s">
        <v>1675</v>
      </c>
      <c r="B184" s="2" t="s">
        <v>54</v>
      </c>
      <c r="C184" s="2" t="s">
        <v>1754</v>
      </c>
      <c r="D184" s="2" t="s">
        <v>156</v>
      </c>
      <c r="E184" s="2" t="s">
        <v>45</v>
      </c>
      <c r="F184" s="2" t="s">
        <v>20</v>
      </c>
      <c r="G184" s="2" t="s">
        <v>1755</v>
      </c>
      <c r="H184" s="2" t="s">
        <v>20</v>
      </c>
      <c r="I184" s="2" t="s">
        <v>1677</v>
      </c>
    </row>
    <row r="185" spans="1:9" x14ac:dyDescent="0.35">
      <c r="A185" s="2" t="s">
        <v>1675</v>
      </c>
      <c r="B185" s="2" t="s">
        <v>54</v>
      </c>
      <c r="C185" s="2" t="s">
        <v>1754</v>
      </c>
      <c r="D185" s="2" t="s">
        <v>87</v>
      </c>
      <c r="E185" s="2" t="s">
        <v>75</v>
      </c>
      <c r="F185" s="2"/>
      <c r="G185" s="2"/>
      <c r="H185" s="2" t="s">
        <v>20</v>
      </c>
      <c r="I185" s="2" t="s">
        <v>1677</v>
      </c>
    </row>
    <row r="186" spans="1:9" x14ac:dyDescent="0.35">
      <c r="A186" s="2" t="s">
        <v>1675</v>
      </c>
      <c r="B186" s="2" t="s">
        <v>54</v>
      </c>
      <c r="C186" s="2" t="s">
        <v>1754</v>
      </c>
      <c r="D186" s="2" t="s">
        <v>18</v>
      </c>
      <c r="E186" s="2" t="s">
        <v>1679</v>
      </c>
      <c r="F186" s="2" t="s">
        <v>20</v>
      </c>
      <c r="G186" s="2" t="s">
        <v>1756</v>
      </c>
      <c r="H186" s="2" t="s">
        <v>20</v>
      </c>
      <c r="I186" s="2" t="s">
        <v>1677</v>
      </c>
    </row>
    <row r="187" spans="1:9" x14ac:dyDescent="0.35">
      <c r="A187" s="2" t="s">
        <v>1675</v>
      </c>
      <c r="B187" s="2" t="s">
        <v>54</v>
      </c>
      <c r="C187" s="2" t="s">
        <v>1757</v>
      </c>
      <c r="D187" s="2" t="s">
        <v>91</v>
      </c>
      <c r="E187" s="2" t="s">
        <v>1679</v>
      </c>
      <c r="F187" s="2" t="s">
        <v>20</v>
      </c>
      <c r="G187" s="2" t="s">
        <v>1718</v>
      </c>
      <c r="H187" s="2" t="s">
        <v>20</v>
      </c>
      <c r="I187" s="2" t="s">
        <v>1677</v>
      </c>
    </row>
    <row r="188" spans="1:9" x14ac:dyDescent="0.35">
      <c r="A188" s="2" t="s">
        <v>1675</v>
      </c>
      <c r="B188" s="2" t="s">
        <v>54</v>
      </c>
      <c r="C188" s="2" t="s">
        <v>1757</v>
      </c>
      <c r="D188" s="2" t="s">
        <v>87</v>
      </c>
      <c r="E188" s="2" t="s">
        <v>75</v>
      </c>
      <c r="F188" s="2" t="s">
        <v>20</v>
      </c>
      <c r="G188" s="2" t="s">
        <v>1718</v>
      </c>
      <c r="H188" s="2" t="s">
        <v>20</v>
      </c>
      <c r="I188" s="2" t="s">
        <v>1677</v>
      </c>
    </row>
    <row r="189" spans="1:9" x14ac:dyDescent="0.35">
      <c r="A189" s="2" t="s">
        <v>1675</v>
      </c>
      <c r="B189" s="2" t="s">
        <v>54</v>
      </c>
      <c r="C189" s="2" t="s">
        <v>1757</v>
      </c>
      <c r="D189" s="2" t="s">
        <v>1758</v>
      </c>
      <c r="E189" s="2" t="s">
        <v>40</v>
      </c>
      <c r="F189" s="2" t="s">
        <v>20</v>
      </c>
      <c r="G189" s="2" t="s">
        <v>1718</v>
      </c>
      <c r="H189" s="2" t="s">
        <v>20</v>
      </c>
      <c r="I189" s="2" t="s">
        <v>1677</v>
      </c>
    </row>
    <row r="190" spans="1:9" x14ac:dyDescent="0.35">
      <c r="A190" s="2" t="s">
        <v>1675</v>
      </c>
      <c r="B190" s="2" t="s">
        <v>54</v>
      </c>
      <c r="C190" s="2" t="s">
        <v>1759</v>
      </c>
      <c r="D190" s="2" t="s">
        <v>121</v>
      </c>
      <c r="E190" s="2" t="s">
        <v>122</v>
      </c>
      <c r="F190" s="2" t="s">
        <v>16</v>
      </c>
      <c r="G190" s="2" t="s">
        <v>1760</v>
      </c>
      <c r="H190" s="2" t="s">
        <v>20</v>
      </c>
      <c r="I190" s="2" t="s">
        <v>1677</v>
      </c>
    </row>
    <row r="191" spans="1:9" x14ac:dyDescent="0.35">
      <c r="A191" s="2" t="s">
        <v>1675</v>
      </c>
      <c r="B191" s="2" t="s">
        <v>54</v>
      </c>
      <c r="C191" s="2" t="s">
        <v>1759</v>
      </c>
      <c r="D191" s="2" t="s">
        <v>91</v>
      </c>
      <c r="E191" s="2" t="s">
        <v>19</v>
      </c>
      <c r="F191" s="2" t="s">
        <v>16</v>
      </c>
      <c r="G191" s="2" t="s">
        <v>1747</v>
      </c>
      <c r="H191" s="2" t="s">
        <v>20</v>
      </c>
      <c r="I191" s="2" t="s">
        <v>1677</v>
      </c>
    </row>
    <row r="192" spans="1:9" x14ac:dyDescent="0.35">
      <c r="A192" s="2" t="s">
        <v>1675</v>
      </c>
      <c r="B192" s="2" t="s">
        <v>54</v>
      </c>
      <c r="C192" s="2" t="s">
        <v>1759</v>
      </c>
      <c r="D192" s="2" t="s">
        <v>87</v>
      </c>
      <c r="E192" s="2" t="s">
        <v>75</v>
      </c>
      <c r="F192" s="2" t="s">
        <v>16</v>
      </c>
      <c r="G192" s="2" t="s">
        <v>1761</v>
      </c>
      <c r="H192" s="2" t="s">
        <v>20</v>
      </c>
      <c r="I192" s="2" t="s">
        <v>1677</v>
      </c>
    </row>
    <row r="193" spans="1:9" x14ac:dyDescent="0.35">
      <c r="A193" s="2" t="s">
        <v>1675</v>
      </c>
      <c r="B193" s="2" t="s">
        <v>54</v>
      </c>
      <c r="C193" s="2" t="s">
        <v>1759</v>
      </c>
      <c r="D193" s="2" t="s">
        <v>1181</v>
      </c>
      <c r="E193" s="2" t="s">
        <v>30</v>
      </c>
      <c r="F193" s="2" t="s">
        <v>16</v>
      </c>
      <c r="G193" s="2" t="s">
        <v>1760</v>
      </c>
      <c r="H193" s="2" t="s">
        <v>20</v>
      </c>
      <c r="I193" s="2" t="s">
        <v>1677</v>
      </c>
    </row>
    <row r="194" spans="1:9" x14ac:dyDescent="0.35">
      <c r="A194" s="2" t="s">
        <v>1675</v>
      </c>
      <c r="B194" s="2" t="s">
        <v>62</v>
      </c>
      <c r="C194" s="2" t="s">
        <v>1762</v>
      </c>
      <c r="D194" s="2" t="s">
        <v>121</v>
      </c>
      <c r="E194" s="2" t="s">
        <v>122</v>
      </c>
      <c r="F194" s="2"/>
      <c r="G194" s="2"/>
      <c r="H194" s="2" t="s">
        <v>20</v>
      </c>
      <c r="I194" s="2" t="s">
        <v>1677</v>
      </c>
    </row>
    <row r="195" spans="1:9" x14ac:dyDescent="0.35">
      <c r="A195" s="2" t="s">
        <v>1675</v>
      </c>
      <c r="B195" s="2" t="s">
        <v>62</v>
      </c>
      <c r="C195" s="2" t="s">
        <v>1762</v>
      </c>
      <c r="D195" s="2" t="s">
        <v>87</v>
      </c>
      <c r="E195" s="2" t="s">
        <v>75</v>
      </c>
      <c r="F195" s="2" t="s">
        <v>20</v>
      </c>
      <c r="G195" s="2" t="s">
        <v>1763</v>
      </c>
      <c r="H195" s="2" t="s">
        <v>20</v>
      </c>
      <c r="I195" s="2" t="s">
        <v>1677</v>
      </c>
    </row>
    <row r="196" spans="1:9" x14ac:dyDescent="0.35">
      <c r="A196" s="2" t="s">
        <v>1675</v>
      </c>
      <c r="B196" s="2" t="s">
        <v>62</v>
      </c>
      <c r="C196" s="2" t="s">
        <v>1762</v>
      </c>
      <c r="D196" s="2" t="s">
        <v>127</v>
      </c>
      <c r="E196" s="2" t="s">
        <v>1650</v>
      </c>
      <c r="F196" s="2"/>
      <c r="G196" s="2"/>
      <c r="H196" s="2" t="s">
        <v>20</v>
      </c>
      <c r="I196" s="2" t="s">
        <v>1677</v>
      </c>
    </row>
    <row r="197" spans="1:9" x14ac:dyDescent="0.35">
      <c r="A197" s="2" t="s">
        <v>1764</v>
      </c>
      <c r="B197" s="2" t="s">
        <v>57</v>
      </c>
      <c r="C197" s="2" t="s">
        <v>1765</v>
      </c>
      <c r="D197" s="2" t="s">
        <v>14</v>
      </c>
      <c r="E197" s="2" t="s">
        <v>15</v>
      </c>
      <c r="F197" s="2"/>
      <c r="G197" s="2"/>
      <c r="H197" s="2" t="s">
        <v>16</v>
      </c>
      <c r="I197" s="2" t="s">
        <v>1766</v>
      </c>
    </row>
    <row r="198" spans="1:9" x14ac:dyDescent="0.35">
      <c r="A198" s="2" t="s">
        <v>1764</v>
      </c>
      <c r="B198" s="2" t="s">
        <v>57</v>
      </c>
      <c r="C198" s="2" t="s">
        <v>1765</v>
      </c>
      <c r="D198" s="2" t="s">
        <v>200</v>
      </c>
      <c r="E198" s="2" t="s">
        <v>201</v>
      </c>
      <c r="F198" s="2" t="s">
        <v>16</v>
      </c>
      <c r="G198" s="2" t="s">
        <v>206</v>
      </c>
      <c r="H198" s="2" t="s">
        <v>16</v>
      </c>
      <c r="I198" s="2" t="s">
        <v>1766</v>
      </c>
    </row>
    <row r="199" spans="1:9" x14ac:dyDescent="0.35">
      <c r="A199" s="2" t="s">
        <v>1764</v>
      </c>
      <c r="B199" s="2" t="s">
        <v>57</v>
      </c>
      <c r="C199" s="2" t="s">
        <v>1765</v>
      </c>
      <c r="D199" s="2" t="s">
        <v>59</v>
      </c>
      <c r="E199" s="2" t="s">
        <v>60</v>
      </c>
      <c r="F199" s="2"/>
      <c r="G199" s="2"/>
      <c r="H199" s="2" t="s">
        <v>16</v>
      </c>
      <c r="I199" s="2" t="s">
        <v>1766</v>
      </c>
    </row>
    <row r="200" spans="1:9" x14ac:dyDescent="0.35">
      <c r="A200" s="2" t="s">
        <v>1764</v>
      </c>
      <c r="B200" s="2" t="s">
        <v>57</v>
      </c>
      <c r="C200" s="2" t="s">
        <v>1765</v>
      </c>
      <c r="D200" s="2" t="s">
        <v>49</v>
      </c>
      <c r="E200" s="2" t="s">
        <v>50</v>
      </c>
      <c r="F200" s="2" t="s">
        <v>46</v>
      </c>
      <c r="G200" s="2" t="s">
        <v>451</v>
      </c>
      <c r="H200" s="2" t="s">
        <v>16</v>
      </c>
      <c r="I200" s="2" t="s">
        <v>1766</v>
      </c>
    </row>
    <row r="201" spans="1:9" x14ac:dyDescent="0.35">
      <c r="A201" s="2" t="s">
        <v>1764</v>
      </c>
      <c r="B201" s="2" t="s">
        <v>57</v>
      </c>
      <c r="C201" s="2" t="s">
        <v>1765</v>
      </c>
      <c r="D201" s="2" t="s">
        <v>18</v>
      </c>
      <c r="E201" s="2" t="s">
        <v>19</v>
      </c>
      <c r="F201" s="2" t="s">
        <v>16</v>
      </c>
      <c r="G201" s="2" t="s">
        <v>1767</v>
      </c>
      <c r="H201" s="2" t="s">
        <v>16</v>
      </c>
      <c r="I201" s="2" t="s">
        <v>1766</v>
      </c>
    </row>
    <row r="202" spans="1:9" x14ac:dyDescent="0.35">
      <c r="A202" s="2" t="s">
        <v>1764</v>
      </c>
      <c r="B202" s="2" t="s">
        <v>57</v>
      </c>
      <c r="C202" s="2" t="s">
        <v>1765</v>
      </c>
      <c r="D202" s="2" t="s">
        <v>112</v>
      </c>
      <c r="E202" s="2" t="s">
        <v>113</v>
      </c>
      <c r="F202" s="2" t="s">
        <v>16</v>
      </c>
      <c r="G202" s="2" t="s">
        <v>206</v>
      </c>
      <c r="H202" s="2" t="s">
        <v>16</v>
      </c>
      <c r="I202" s="2" t="s">
        <v>1766</v>
      </c>
    </row>
    <row r="203" spans="1:9" x14ac:dyDescent="0.35">
      <c r="A203" s="2" t="s">
        <v>1768</v>
      </c>
      <c r="B203" s="2" t="s">
        <v>12</v>
      </c>
      <c r="C203" s="2" t="s">
        <v>1769</v>
      </c>
      <c r="D203" s="2" t="s">
        <v>18</v>
      </c>
      <c r="E203" s="2" t="s">
        <v>19</v>
      </c>
      <c r="F203" s="2" t="s">
        <v>20</v>
      </c>
      <c r="G203" s="2" t="s">
        <v>1770</v>
      </c>
      <c r="H203" s="2"/>
      <c r="I203" s="2"/>
    </row>
    <row r="204" spans="1:9" x14ac:dyDescent="0.35">
      <c r="A204" s="2" t="s">
        <v>1768</v>
      </c>
      <c r="B204" s="2" t="s">
        <v>12</v>
      </c>
      <c r="C204" s="2" t="s">
        <v>1769</v>
      </c>
      <c r="D204" s="2" t="s">
        <v>542</v>
      </c>
      <c r="E204" s="2" t="s">
        <v>78</v>
      </c>
      <c r="F204" s="2"/>
      <c r="G204" s="2"/>
      <c r="H204" s="2"/>
      <c r="I204" s="2"/>
    </row>
    <row r="205" spans="1:9" x14ac:dyDescent="0.35">
      <c r="A205" s="2" t="s">
        <v>1768</v>
      </c>
      <c r="B205" s="2" t="s">
        <v>24</v>
      </c>
      <c r="C205" s="2" t="s">
        <v>1771</v>
      </c>
      <c r="D205" s="2" t="s">
        <v>121</v>
      </c>
      <c r="E205" s="2" t="s">
        <v>122</v>
      </c>
      <c r="F205" s="2"/>
      <c r="G205" s="2"/>
      <c r="H205" s="2"/>
      <c r="I205" s="2"/>
    </row>
    <row r="206" spans="1:9" x14ac:dyDescent="0.35">
      <c r="A206" s="2" t="s">
        <v>1768</v>
      </c>
      <c r="B206" s="2" t="s">
        <v>24</v>
      </c>
      <c r="C206" s="2" t="s">
        <v>1771</v>
      </c>
      <c r="D206" s="2" t="s">
        <v>18</v>
      </c>
      <c r="E206" s="2" t="s">
        <v>19</v>
      </c>
      <c r="F206" s="2" t="s">
        <v>20</v>
      </c>
      <c r="G206" s="2" t="s">
        <v>1772</v>
      </c>
      <c r="H206" s="2"/>
      <c r="I206" s="2"/>
    </row>
    <row r="207" spans="1:9" x14ac:dyDescent="0.35">
      <c r="A207" s="2" t="s">
        <v>1768</v>
      </c>
      <c r="B207" s="2" t="s">
        <v>24</v>
      </c>
      <c r="C207" s="2" t="s">
        <v>1771</v>
      </c>
      <c r="D207" s="2" t="s">
        <v>1773</v>
      </c>
      <c r="E207" s="2" t="s">
        <v>43</v>
      </c>
      <c r="F207" s="2"/>
      <c r="G207" s="2"/>
      <c r="H207" s="2"/>
      <c r="I207" s="2"/>
    </row>
    <row r="208" spans="1:9" x14ac:dyDescent="0.35">
      <c r="A208" s="2" t="s">
        <v>1768</v>
      </c>
      <c r="B208" s="2" t="s">
        <v>54</v>
      </c>
      <c r="C208" s="2" t="s">
        <v>1774</v>
      </c>
      <c r="D208" s="2" t="s">
        <v>1775</v>
      </c>
      <c r="E208" s="2" t="s">
        <v>203</v>
      </c>
      <c r="F208" s="2"/>
      <c r="G208" s="2"/>
      <c r="H208" s="2"/>
      <c r="I208" s="2"/>
    </row>
    <row r="209" spans="1:9" x14ac:dyDescent="0.35">
      <c r="A209" s="2" t="s">
        <v>1768</v>
      </c>
      <c r="B209" s="2" t="s">
        <v>54</v>
      </c>
      <c r="C209" s="2" t="s">
        <v>1774</v>
      </c>
      <c r="D209" s="2" t="s">
        <v>31</v>
      </c>
      <c r="E209" s="2" t="s">
        <v>32</v>
      </c>
      <c r="F209" s="2"/>
      <c r="G209" s="2"/>
      <c r="H209" s="2"/>
      <c r="I209" s="2"/>
    </row>
    <row r="210" spans="1:9" x14ac:dyDescent="0.35">
      <c r="A210" s="2" t="s">
        <v>1768</v>
      </c>
      <c r="B210" s="2" t="s">
        <v>54</v>
      </c>
      <c r="C210" s="2" t="s">
        <v>1774</v>
      </c>
      <c r="D210" s="2" t="s">
        <v>18</v>
      </c>
      <c r="E210" s="2" t="s">
        <v>19</v>
      </c>
      <c r="F210" s="2" t="s">
        <v>20</v>
      </c>
      <c r="G210" s="2" t="s">
        <v>1776</v>
      </c>
      <c r="H210" s="2"/>
      <c r="I210" s="2"/>
    </row>
    <row r="211" spans="1:9" x14ac:dyDescent="0.35">
      <c r="A211" s="2" t="s">
        <v>1768</v>
      </c>
      <c r="B211" s="2" t="s">
        <v>54</v>
      </c>
      <c r="C211" s="2" t="s">
        <v>1774</v>
      </c>
      <c r="D211" s="2" t="s">
        <v>149</v>
      </c>
      <c r="E211" s="2" t="s">
        <v>150</v>
      </c>
      <c r="F211" s="2" t="s">
        <v>20</v>
      </c>
      <c r="G211" s="2" t="s">
        <v>1777</v>
      </c>
      <c r="H211" s="2"/>
      <c r="I211" s="2"/>
    </row>
    <row r="212" spans="1:9" x14ac:dyDescent="0.35">
      <c r="A212" s="2" t="s">
        <v>1768</v>
      </c>
      <c r="B212" s="2" t="s">
        <v>12</v>
      </c>
      <c r="C212" s="2" t="s">
        <v>1778</v>
      </c>
      <c r="D212" s="2" t="s">
        <v>1779</v>
      </c>
      <c r="E212" s="2" t="s">
        <v>40</v>
      </c>
      <c r="F212" s="2"/>
      <c r="G212" s="2"/>
      <c r="H212" s="2"/>
      <c r="I212" s="2"/>
    </row>
    <row r="213" spans="1:9" x14ac:dyDescent="0.35">
      <c r="A213" s="2" t="s">
        <v>1768</v>
      </c>
      <c r="B213" s="2" t="s">
        <v>12</v>
      </c>
      <c r="C213" s="2" t="s">
        <v>1778</v>
      </c>
      <c r="D213" s="2" t="s">
        <v>1218</v>
      </c>
      <c r="E213" s="2" t="s">
        <v>38</v>
      </c>
      <c r="F213" s="2"/>
      <c r="G213" s="2"/>
      <c r="H213" s="2"/>
      <c r="I213" s="2"/>
    </row>
    <row r="214" spans="1:9" x14ac:dyDescent="0.35">
      <c r="A214" s="2" t="s">
        <v>1768</v>
      </c>
      <c r="B214" s="2" t="s">
        <v>12</v>
      </c>
      <c r="C214" s="2" t="s">
        <v>1778</v>
      </c>
      <c r="D214" s="2" t="s">
        <v>438</v>
      </c>
      <c r="E214" s="2" t="s">
        <v>19</v>
      </c>
      <c r="F214" s="2" t="s">
        <v>20</v>
      </c>
      <c r="G214" s="2" t="s">
        <v>1780</v>
      </c>
      <c r="H214" s="2"/>
      <c r="I214" s="2"/>
    </row>
    <row r="215" spans="1:9" x14ac:dyDescent="0.35">
      <c r="A215" s="2" t="s">
        <v>1768</v>
      </c>
      <c r="B215" s="2" t="s">
        <v>12</v>
      </c>
      <c r="C215" s="2" t="s">
        <v>1781</v>
      </c>
      <c r="D215" s="2" t="s">
        <v>1782</v>
      </c>
      <c r="E215" s="2" t="s">
        <v>38</v>
      </c>
      <c r="F215" s="2"/>
      <c r="G215" s="2"/>
      <c r="H215" s="2"/>
      <c r="I215" s="2"/>
    </row>
    <row r="216" spans="1:9" x14ac:dyDescent="0.35">
      <c r="A216" s="2" t="s">
        <v>1768</v>
      </c>
      <c r="B216" s="2" t="s">
        <v>54</v>
      </c>
      <c r="C216" s="2" t="s">
        <v>1783</v>
      </c>
      <c r="D216" s="2" t="s">
        <v>27</v>
      </c>
      <c r="E216" s="2" t="s">
        <v>28</v>
      </c>
      <c r="F216" s="2"/>
      <c r="G216" s="2"/>
      <c r="H216" s="2"/>
      <c r="I216" s="2"/>
    </row>
    <row r="217" spans="1:9" x14ac:dyDescent="0.35">
      <c r="A217" s="2" t="s">
        <v>1768</v>
      </c>
      <c r="B217" s="2" t="s">
        <v>54</v>
      </c>
      <c r="C217" s="2" t="s">
        <v>1783</v>
      </c>
      <c r="D217" s="2" t="s">
        <v>121</v>
      </c>
      <c r="E217" s="2" t="s">
        <v>122</v>
      </c>
      <c r="F217" s="2"/>
      <c r="G217" s="2"/>
      <c r="H217" s="2"/>
      <c r="I217" s="2"/>
    </row>
    <row r="218" spans="1:9" x14ac:dyDescent="0.35">
      <c r="A218" s="2" t="s">
        <v>1768</v>
      </c>
      <c r="B218" s="2" t="s">
        <v>54</v>
      </c>
      <c r="C218" s="2" t="s">
        <v>1783</v>
      </c>
      <c r="D218" s="2" t="s">
        <v>126</v>
      </c>
      <c r="E218" s="2" t="s">
        <v>36</v>
      </c>
      <c r="F218" s="2"/>
      <c r="G218" s="2"/>
      <c r="H218" s="2"/>
      <c r="I218" s="2"/>
    </row>
    <row r="219" spans="1:9" x14ac:dyDescent="0.35">
      <c r="A219" s="2" t="s">
        <v>1768</v>
      </c>
      <c r="B219" s="2" t="s">
        <v>24</v>
      </c>
      <c r="C219" s="2" t="s">
        <v>1784</v>
      </c>
      <c r="D219" s="2" t="s">
        <v>27</v>
      </c>
      <c r="E219" s="2" t="s">
        <v>28</v>
      </c>
      <c r="F219" s="2"/>
      <c r="G219" s="2"/>
      <c r="H219" s="2"/>
      <c r="I219" s="2"/>
    </row>
    <row r="220" spans="1:9" x14ac:dyDescent="0.35">
      <c r="A220" s="2" t="s">
        <v>1768</v>
      </c>
      <c r="B220" s="2" t="s">
        <v>24</v>
      </c>
      <c r="C220" s="2" t="s">
        <v>1784</v>
      </c>
      <c r="D220" s="2" t="s">
        <v>31</v>
      </c>
      <c r="E220" s="2" t="s">
        <v>32</v>
      </c>
      <c r="F220" s="2"/>
      <c r="G220" s="2"/>
      <c r="H220" s="2"/>
      <c r="I220" s="2"/>
    </row>
    <row r="221" spans="1:9" x14ac:dyDescent="0.35">
      <c r="A221" s="2" t="s">
        <v>1768</v>
      </c>
      <c r="B221" s="2" t="s">
        <v>24</v>
      </c>
      <c r="C221" s="2" t="s">
        <v>1784</v>
      </c>
      <c r="D221" s="2" t="s">
        <v>1659</v>
      </c>
      <c r="E221" s="2" t="s">
        <v>122</v>
      </c>
      <c r="F221" s="2"/>
      <c r="G221" s="2"/>
      <c r="H221" s="2"/>
      <c r="I221" s="2"/>
    </row>
    <row r="222" spans="1:9" x14ac:dyDescent="0.35">
      <c r="A222" s="2" t="s">
        <v>1768</v>
      </c>
      <c r="B222" s="2" t="s">
        <v>24</v>
      </c>
      <c r="C222" s="2" t="s">
        <v>1784</v>
      </c>
      <c r="D222" s="2" t="s">
        <v>18</v>
      </c>
      <c r="E222" s="2" t="s">
        <v>19</v>
      </c>
      <c r="F222" s="2" t="s">
        <v>20</v>
      </c>
      <c r="G222" s="2" t="s">
        <v>1785</v>
      </c>
      <c r="H222" s="2"/>
      <c r="I222" s="2"/>
    </row>
    <row r="223" spans="1:9" x14ac:dyDescent="0.35">
      <c r="A223" s="2" t="s">
        <v>1768</v>
      </c>
      <c r="B223" s="2" t="s">
        <v>24</v>
      </c>
      <c r="C223" s="2" t="s">
        <v>1784</v>
      </c>
      <c r="D223" s="2" t="s">
        <v>127</v>
      </c>
      <c r="E223" s="2" t="s">
        <v>107</v>
      </c>
      <c r="F223" s="2"/>
      <c r="G223" s="2"/>
      <c r="H223" s="2"/>
      <c r="I223" s="2"/>
    </row>
    <row r="224" spans="1:9" x14ac:dyDescent="0.35">
      <c r="A224" s="2" t="s">
        <v>1768</v>
      </c>
      <c r="B224" s="2" t="s">
        <v>62</v>
      </c>
      <c r="C224" s="2" t="s">
        <v>1786</v>
      </c>
      <c r="D224" s="2" t="s">
        <v>27</v>
      </c>
      <c r="E224" s="2" t="s">
        <v>28</v>
      </c>
      <c r="F224" s="2" t="s">
        <v>20</v>
      </c>
      <c r="G224" s="2" t="s">
        <v>1787</v>
      </c>
      <c r="H224" s="2"/>
      <c r="I224" s="2"/>
    </row>
    <row r="225" spans="1:9" x14ac:dyDescent="0.35">
      <c r="A225" s="2" t="s">
        <v>1768</v>
      </c>
      <c r="B225" s="2" t="s">
        <v>62</v>
      </c>
      <c r="C225" s="2" t="s">
        <v>1786</v>
      </c>
      <c r="D225" s="2" t="s">
        <v>1775</v>
      </c>
      <c r="E225" s="2" t="s">
        <v>203</v>
      </c>
      <c r="F225" s="2"/>
      <c r="G225" s="2"/>
      <c r="H225" s="2"/>
      <c r="I225" s="2"/>
    </row>
    <row r="226" spans="1:9" x14ac:dyDescent="0.35">
      <c r="A226" s="2" t="s">
        <v>1768</v>
      </c>
      <c r="B226" s="2" t="s">
        <v>62</v>
      </c>
      <c r="C226" s="2" t="s">
        <v>1786</v>
      </c>
      <c r="D226" s="2" t="s">
        <v>1788</v>
      </c>
      <c r="E226" s="2" t="s">
        <v>38</v>
      </c>
      <c r="F226" s="2"/>
      <c r="G226" s="2"/>
      <c r="H226" s="2"/>
      <c r="I226" s="2"/>
    </row>
    <row r="227" spans="1:9" x14ac:dyDescent="0.35">
      <c r="A227" s="2" t="s">
        <v>1768</v>
      </c>
      <c r="B227" s="2" t="s">
        <v>62</v>
      </c>
      <c r="C227" s="2" t="s">
        <v>1786</v>
      </c>
      <c r="D227" s="2" t="s">
        <v>1789</v>
      </c>
      <c r="E227" s="2" t="s">
        <v>32</v>
      </c>
      <c r="F227" s="2"/>
      <c r="G227" s="2"/>
      <c r="H227" s="2"/>
      <c r="I227" s="2"/>
    </row>
    <row r="228" spans="1:9" x14ac:dyDescent="0.35">
      <c r="A228" s="2" t="s">
        <v>1768</v>
      </c>
      <c r="B228" s="2" t="s">
        <v>62</v>
      </c>
      <c r="C228" s="2" t="s">
        <v>1786</v>
      </c>
      <c r="D228" s="2" t="s">
        <v>91</v>
      </c>
      <c r="E228" s="2" t="s">
        <v>19</v>
      </c>
      <c r="F228" s="2" t="s">
        <v>20</v>
      </c>
      <c r="G228" s="2" t="s">
        <v>1790</v>
      </c>
      <c r="H228" s="2"/>
      <c r="I228" s="2"/>
    </row>
    <row r="229" spans="1:9" x14ac:dyDescent="0.35">
      <c r="A229" s="2" t="s">
        <v>1768</v>
      </c>
      <c r="B229" s="2" t="s">
        <v>62</v>
      </c>
      <c r="C229" s="2" t="s">
        <v>1786</v>
      </c>
      <c r="D229" s="2" t="s">
        <v>1791</v>
      </c>
      <c r="E229" s="2" t="s">
        <v>533</v>
      </c>
      <c r="F229" s="2"/>
      <c r="G229" s="2"/>
      <c r="H229" s="2"/>
      <c r="I229" s="2"/>
    </row>
    <row r="230" spans="1:9" x14ac:dyDescent="0.35">
      <c r="A230" s="2" t="s">
        <v>1768</v>
      </c>
      <c r="B230" s="2" t="s">
        <v>62</v>
      </c>
      <c r="C230" s="2" t="s">
        <v>1786</v>
      </c>
      <c r="D230" s="2" t="s">
        <v>352</v>
      </c>
      <c r="E230" s="2" t="s">
        <v>107</v>
      </c>
      <c r="F230" s="2"/>
      <c r="G230" s="2"/>
      <c r="H230" s="2"/>
      <c r="I230" s="2"/>
    </row>
    <row r="231" spans="1:9" x14ac:dyDescent="0.35">
      <c r="A231" s="2" t="s">
        <v>1768</v>
      </c>
      <c r="B231" s="2" t="s">
        <v>62</v>
      </c>
      <c r="C231" s="2" t="s">
        <v>1786</v>
      </c>
      <c r="D231" s="2" t="s">
        <v>1773</v>
      </c>
      <c r="E231" s="2" t="s">
        <v>43</v>
      </c>
      <c r="F231" s="2"/>
      <c r="G231" s="2"/>
      <c r="H231" s="2"/>
      <c r="I231" s="2"/>
    </row>
    <row r="232" spans="1:9" x14ac:dyDescent="0.35">
      <c r="A232" s="2" t="s">
        <v>1768</v>
      </c>
      <c r="B232" s="2" t="s">
        <v>62</v>
      </c>
      <c r="C232" s="2" t="s">
        <v>1786</v>
      </c>
      <c r="D232" s="2" t="s">
        <v>149</v>
      </c>
      <c r="E232" s="2" t="s">
        <v>150</v>
      </c>
      <c r="F232" s="2" t="s">
        <v>20</v>
      </c>
      <c r="G232" s="2" t="s">
        <v>1792</v>
      </c>
      <c r="H232" s="2"/>
      <c r="I232" s="2"/>
    </row>
    <row r="233" spans="1:9" x14ac:dyDescent="0.35">
      <c r="A233" s="2" t="s">
        <v>1768</v>
      </c>
      <c r="B233" s="2" t="s">
        <v>12</v>
      </c>
      <c r="C233" s="2" t="s">
        <v>1793</v>
      </c>
      <c r="D233" s="2" t="s">
        <v>1779</v>
      </c>
      <c r="E233" s="2" t="s">
        <v>40</v>
      </c>
      <c r="F233" s="2"/>
      <c r="G233" s="2"/>
      <c r="H233" s="2"/>
      <c r="I233" s="2"/>
    </row>
    <row r="234" spans="1:9" x14ac:dyDescent="0.35">
      <c r="A234" s="2" t="s">
        <v>1768</v>
      </c>
      <c r="B234" s="2" t="s">
        <v>12</v>
      </c>
      <c r="C234" s="2" t="s">
        <v>1793</v>
      </c>
      <c r="D234" s="2" t="s">
        <v>1782</v>
      </c>
      <c r="E234" s="2" t="s">
        <v>38</v>
      </c>
      <c r="F234" s="2"/>
      <c r="G234" s="2"/>
      <c r="H234" s="2"/>
      <c r="I234" s="2"/>
    </row>
    <row r="235" spans="1:9" x14ac:dyDescent="0.35">
      <c r="A235" s="2" t="s">
        <v>1768</v>
      </c>
      <c r="B235" s="2" t="s">
        <v>12</v>
      </c>
      <c r="C235" s="2" t="s">
        <v>1793</v>
      </c>
      <c r="D235" s="2" t="s">
        <v>87</v>
      </c>
      <c r="E235" s="2" t="s">
        <v>75</v>
      </c>
      <c r="F235" s="2"/>
      <c r="G235" s="2"/>
      <c r="H235" s="2"/>
      <c r="I235" s="2"/>
    </row>
    <row r="236" spans="1:9" x14ac:dyDescent="0.35">
      <c r="A236" s="2" t="s">
        <v>1768</v>
      </c>
      <c r="B236" s="2" t="s">
        <v>12</v>
      </c>
      <c r="C236" s="2" t="s">
        <v>1794</v>
      </c>
      <c r="D236" s="2" t="s">
        <v>14</v>
      </c>
      <c r="E236" s="2" t="s">
        <v>15</v>
      </c>
      <c r="F236" s="2"/>
      <c r="G236" s="2"/>
      <c r="H236" s="2"/>
      <c r="I236" s="2"/>
    </row>
    <row r="237" spans="1:9" x14ac:dyDescent="0.35">
      <c r="A237" s="2" t="s">
        <v>1768</v>
      </c>
      <c r="B237" s="2" t="s">
        <v>12</v>
      </c>
      <c r="C237" s="2" t="s">
        <v>1794</v>
      </c>
      <c r="D237" s="2" t="s">
        <v>120</v>
      </c>
      <c r="E237" s="2" t="s">
        <v>32</v>
      </c>
      <c r="F237" s="2"/>
      <c r="G237" s="2"/>
      <c r="H237" s="2"/>
      <c r="I237" s="2"/>
    </row>
    <row r="238" spans="1:9" x14ac:dyDescent="0.35">
      <c r="A238" s="2" t="s">
        <v>1768</v>
      </c>
      <c r="B238" s="2" t="s">
        <v>12</v>
      </c>
      <c r="C238" s="2" t="s">
        <v>1794</v>
      </c>
      <c r="D238" s="2" t="s">
        <v>393</v>
      </c>
      <c r="E238" s="2" t="s">
        <v>36</v>
      </c>
      <c r="F238" s="2"/>
      <c r="G238" s="2"/>
      <c r="H238" s="2"/>
      <c r="I238" s="2"/>
    </row>
    <row r="239" spans="1:9" x14ac:dyDescent="0.35">
      <c r="A239" s="2" t="s">
        <v>1768</v>
      </c>
      <c r="B239" s="2" t="s">
        <v>12</v>
      </c>
      <c r="C239" s="2" t="s">
        <v>1794</v>
      </c>
      <c r="D239" s="2" t="s">
        <v>91</v>
      </c>
      <c r="E239" s="2" t="s">
        <v>19</v>
      </c>
      <c r="F239" s="2" t="s">
        <v>20</v>
      </c>
      <c r="G239" s="2" t="s">
        <v>1795</v>
      </c>
      <c r="H239" s="2"/>
      <c r="I239" s="2"/>
    </row>
    <row r="240" spans="1:9" x14ac:dyDescent="0.35">
      <c r="A240" s="2" t="s">
        <v>1768</v>
      </c>
      <c r="B240" s="2" t="s">
        <v>12</v>
      </c>
      <c r="C240" s="2" t="s">
        <v>1794</v>
      </c>
      <c r="D240" s="2" t="s">
        <v>176</v>
      </c>
      <c r="E240" s="2" t="s">
        <v>40</v>
      </c>
      <c r="F240" s="2"/>
      <c r="G240" s="2"/>
      <c r="H240" s="2"/>
      <c r="I240" s="2"/>
    </row>
    <row r="241" spans="1:9" x14ac:dyDescent="0.35">
      <c r="A241" s="2" t="s">
        <v>1768</v>
      </c>
      <c r="B241" s="2" t="s">
        <v>12</v>
      </c>
      <c r="C241" s="2" t="s">
        <v>1796</v>
      </c>
      <c r="D241" s="2" t="s">
        <v>91</v>
      </c>
      <c r="E241" s="2" t="s">
        <v>19</v>
      </c>
      <c r="F241" s="2" t="s">
        <v>20</v>
      </c>
      <c r="G241" s="2" t="s">
        <v>1797</v>
      </c>
      <c r="H241" s="2"/>
      <c r="I241" s="2"/>
    </row>
    <row r="242" spans="1:9" x14ac:dyDescent="0.35">
      <c r="A242" s="2" t="s">
        <v>1768</v>
      </c>
      <c r="B242" s="2" t="s">
        <v>12</v>
      </c>
      <c r="C242" s="2" t="s">
        <v>1796</v>
      </c>
      <c r="D242" s="2" t="s">
        <v>188</v>
      </c>
      <c r="E242" s="2" t="s">
        <v>189</v>
      </c>
      <c r="F242" s="2" t="s">
        <v>20</v>
      </c>
      <c r="G242" s="2" t="s">
        <v>1798</v>
      </c>
      <c r="H242" s="2"/>
      <c r="I242" s="2"/>
    </row>
    <row r="243" spans="1:9" x14ac:dyDescent="0.35">
      <c r="A243" s="2" t="s">
        <v>1768</v>
      </c>
      <c r="B243" s="2" t="s">
        <v>24</v>
      </c>
      <c r="C243" s="2" t="s">
        <v>1799</v>
      </c>
      <c r="D243" s="2" t="s">
        <v>196</v>
      </c>
      <c r="E243" s="2" t="s">
        <v>197</v>
      </c>
      <c r="F243" s="2"/>
      <c r="G243" s="2"/>
      <c r="H243" s="2"/>
      <c r="I243" s="2"/>
    </row>
    <row r="244" spans="1:9" x14ac:dyDescent="0.35">
      <c r="A244" s="2" t="s">
        <v>1768</v>
      </c>
      <c r="B244" s="2" t="s">
        <v>24</v>
      </c>
      <c r="C244" s="2" t="s">
        <v>1799</v>
      </c>
      <c r="D244" s="2" t="s">
        <v>14</v>
      </c>
      <c r="E244" s="2" t="s">
        <v>15</v>
      </c>
      <c r="F244" s="2"/>
      <c r="G244" s="2"/>
      <c r="H244" s="2"/>
      <c r="I244" s="2"/>
    </row>
    <row r="245" spans="1:9" x14ac:dyDescent="0.35">
      <c r="A245" s="2" t="s">
        <v>1768</v>
      </c>
      <c r="B245" s="2" t="s">
        <v>24</v>
      </c>
      <c r="C245" s="2" t="s">
        <v>1799</v>
      </c>
      <c r="D245" s="2" t="s">
        <v>1800</v>
      </c>
      <c r="E245" s="2" t="s">
        <v>45</v>
      </c>
      <c r="F245" s="2"/>
      <c r="G245" s="2"/>
      <c r="H245" s="2"/>
      <c r="I245" s="2"/>
    </row>
    <row r="246" spans="1:9" x14ac:dyDescent="0.35">
      <c r="A246" s="2" t="s">
        <v>1768</v>
      </c>
      <c r="B246" s="2" t="s">
        <v>24</v>
      </c>
      <c r="C246" s="2" t="s">
        <v>1799</v>
      </c>
      <c r="D246" s="2" t="s">
        <v>144</v>
      </c>
      <c r="E246" s="2" t="s">
        <v>50</v>
      </c>
      <c r="F246" s="2" t="s">
        <v>20</v>
      </c>
      <c r="G246" s="2" t="s">
        <v>236</v>
      </c>
      <c r="H246" s="2"/>
      <c r="I246" s="2"/>
    </row>
    <row r="247" spans="1:9" x14ac:dyDescent="0.35">
      <c r="A247" s="2" t="s">
        <v>1768</v>
      </c>
      <c r="B247" s="2" t="s">
        <v>24</v>
      </c>
      <c r="C247" s="2" t="s">
        <v>1799</v>
      </c>
      <c r="D247" s="2" t="s">
        <v>27</v>
      </c>
      <c r="E247" s="2" t="s">
        <v>28</v>
      </c>
      <c r="F247" s="2"/>
      <c r="G247" s="2"/>
      <c r="H247" s="2"/>
      <c r="I247" s="2"/>
    </row>
    <row r="248" spans="1:9" x14ac:dyDescent="0.35">
      <c r="A248" s="2" t="s">
        <v>1768</v>
      </c>
      <c r="B248" s="2" t="s">
        <v>24</v>
      </c>
      <c r="C248" s="2" t="s">
        <v>1799</v>
      </c>
      <c r="D248" s="2" t="s">
        <v>1139</v>
      </c>
      <c r="E248" s="2" t="s">
        <v>60</v>
      </c>
      <c r="F248" s="2" t="s">
        <v>20</v>
      </c>
      <c r="G248" s="2" t="s">
        <v>1801</v>
      </c>
      <c r="H248" s="2"/>
      <c r="I248" s="2"/>
    </row>
    <row r="249" spans="1:9" x14ac:dyDescent="0.35">
      <c r="A249" s="2" t="s">
        <v>1768</v>
      </c>
      <c r="B249" s="2" t="s">
        <v>24</v>
      </c>
      <c r="C249" s="2" t="s">
        <v>1799</v>
      </c>
      <c r="D249" s="2" t="s">
        <v>121</v>
      </c>
      <c r="E249" s="2" t="s">
        <v>122</v>
      </c>
      <c r="F249" s="2"/>
      <c r="G249" s="2"/>
      <c r="H249" s="2"/>
      <c r="I249" s="2"/>
    </row>
    <row r="250" spans="1:9" x14ac:dyDescent="0.35">
      <c r="A250" s="2" t="s">
        <v>1768</v>
      </c>
      <c r="B250" s="2" t="s">
        <v>24</v>
      </c>
      <c r="C250" s="2" t="s">
        <v>1799</v>
      </c>
      <c r="D250" s="2" t="s">
        <v>1789</v>
      </c>
      <c r="E250" s="2" t="s">
        <v>32</v>
      </c>
      <c r="F250" s="2"/>
      <c r="G250" s="2"/>
      <c r="H250" s="2"/>
      <c r="I250" s="2"/>
    </row>
    <row r="251" spans="1:9" x14ac:dyDescent="0.35">
      <c r="A251" s="2" t="s">
        <v>1768</v>
      </c>
      <c r="B251" s="2" t="s">
        <v>24</v>
      </c>
      <c r="C251" s="2" t="s">
        <v>1799</v>
      </c>
      <c r="D251" s="2" t="s">
        <v>156</v>
      </c>
      <c r="E251" s="2" t="s">
        <v>45</v>
      </c>
      <c r="F251" s="2" t="s">
        <v>20</v>
      </c>
      <c r="G251" s="2" t="s">
        <v>1709</v>
      </c>
      <c r="H251" s="2"/>
      <c r="I251" s="2"/>
    </row>
    <row r="252" spans="1:9" x14ac:dyDescent="0.35">
      <c r="A252" s="2" t="s">
        <v>1768</v>
      </c>
      <c r="B252" s="2" t="s">
        <v>24</v>
      </c>
      <c r="C252" s="2" t="s">
        <v>1799</v>
      </c>
      <c r="D252" s="2" t="s">
        <v>77</v>
      </c>
      <c r="E252" s="2" t="s">
        <v>78</v>
      </c>
      <c r="F252" s="2" t="s">
        <v>46</v>
      </c>
      <c r="G252" s="2" t="s">
        <v>47</v>
      </c>
      <c r="H252" s="2"/>
      <c r="I252" s="2"/>
    </row>
    <row r="253" spans="1:9" x14ac:dyDescent="0.35">
      <c r="A253" s="2" t="s">
        <v>1768</v>
      </c>
      <c r="B253" s="2" t="s">
        <v>24</v>
      </c>
      <c r="C253" s="2" t="s">
        <v>1799</v>
      </c>
      <c r="D253" s="2" t="s">
        <v>18</v>
      </c>
      <c r="E253" s="2" t="s">
        <v>19</v>
      </c>
      <c r="F253" s="2" t="s">
        <v>20</v>
      </c>
      <c r="G253" s="2" t="s">
        <v>1802</v>
      </c>
      <c r="H253" s="2"/>
      <c r="I253" s="2"/>
    </row>
    <row r="254" spans="1:9" x14ac:dyDescent="0.35">
      <c r="A254" s="2" t="s">
        <v>1768</v>
      </c>
      <c r="B254" s="2" t="s">
        <v>24</v>
      </c>
      <c r="C254" s="2" t="s">
        <v>1799</v>
      </c>
      <c r="D254" s="2" t="s">
        <v>628</v>
      </c>
      <c r="E254" s="2" t="s">
        <v>50</v>
      </c>
      <c r="F254" s="2"/>
      <c r="G254" s="2"/>
      <c r="H254" s="2"/>
      <c r="I254" s="2"/>
    </row>
    <row r="255" spans="1:9" x14ac:dyDescent="0.35">
      <c r="A255" s="2" t="s">
        <v>1768</v>
      </c>
      <c r="B255" s="2" t="s">
        <v>24</v>
      </c>
      <c r="C255" s="2" t="s">
        <v>1799</v>
      </c>
      <c r="D255" s="2" t="s">
        <v>1803</v>
      </c>
      <c r="E255" s="2" t="s">
        <v>101</v>
      </c>
      <c r="F255" s="2"/>
      <c r="G255" s="2"/>
      <c r="H255" s="2"/>
      <c r="I255" s="2"/>
    </row>
    <row r="256" spans="1:9" x14ac:dyDescent="0.35">
      <c r="A256" s="2" t="s">
        <v>1768</v>
      </c>
      <c r="B256" s="2" t="s">
        <v>24</v>
      </c>
      <c r="C256" s="2" t="s">
        <v>1799</v>
      </c>
      <c r="D256" s="2" t="s">
        <v>149</v>
      </c>
      <c r="E256" s="2" t="s">
        <v>150</v>
      </c>
      <c r="F256" s="2" t="s">
        <v>20</v>
      </c>
      <c r="G256" s="2" t="s">
        <v>1804</v>
      </c>
      <c r="H256" s="2"/>
      <c r="I256" s="2"/>
    </row>
    <row r="257" spans="1:9" x14ac:dyDescent="0.35">
      <c r="A257" s="2" t="s">
        <v>1768</v>
      </c>
      <c r="B257" s="2" t="s">
        <v>12</v>
      </c>
      <c r="C257" s="2" t="s">
        <v>1805</v>
      </c>
      <c r="D257" s="2" t="s">
        <v>18</v>
      </c>
      <c r="E257" s="2" t="s">
        <v>19</v>
      </c>
      <c r="F257" s="2" t="s">
        <v>20</v>
      </c>
      <c r="G257" s="2" t="s">
        <v>1709</v>
      </c>
      <c r="H257" s="2"/>
      <c r="I257" s="2"/>
    </row>
    <row r="258" spans="1:9" x14ac:dyDescent="0.35">
      <c r="A258" s="2" t="s">
        <v>1768</v>
      </c>
      <c r="B258" s="2" t="s">
        <v>24</v>
      </c>
      <c r="C258" s="2" t="s">
        <v>1806</v>
      </c>
      <c r="D258" s="2" t="s">
        <v>168</v>
      </c>
      <c r="E258" s="2" t="s">
        <v>45</v>
      </c>
      <c r="F258" s="2"/>
      <c r="G258" s="2"/>
      <c r="H258" s="2"/>
      <c r="I258" s="2"/>
    </row>
    <row r="259" spans="1:9" x14ac:dyDescent="0.35">
      <c r="A259" s="2" t="s">
        <v>1768</v>
      </c>
      <c r="B259" s="2" t="s">
        <v>24</v>
      </c>
      <c r="C259" s="2" t="s">
        <v>1806</v>
      </c>
      <c r="D259" s="2" t="s">
        <v>77</v>
      </c>
      <c r="E259" s="2" t="s">
        <v>78</v>
      </c>
      <c r="F259" s="2"/>
      <c r="G259" s="2"/>
      <c r="H259" s="2"/>
      <c r="I259" s="2"/>
    </row>
    <row r="260" spans="1:9" x14ac:dyDescent="0.35">
      <c r="A260" s="2" t="s">
        <v>1768</v>
      </c>
      <c r="B260" s="2" t="s">
        <v>24</v>
      </c>
      <c r="C260" s="2" t="s">
        <v>1806</v>
      </c>
      <c r="D260" s="2" t="s">
        <v>18</v>
      </c>
      <c r="E260" s="2" t="s">
        <v>19</v>
      </c>
      <c r="F260" s="2" t="s">
        <v>20</v>
      </c>
      <c r="G260" s="2" t="s">
        <v>1807</v>
      </c>
      <c r="H260" s="2"/>
      <c r="I260" s="2"/>
    </row>
    <row r="261" spans="1:9" x14ac:dyDescent="0.35">
      <c r="A261" s="2" t="s">
        <v>1768</v>
      </c>
      <c r="B261" s="2" t="s">
        <v>24</v>
      </c>
      <c r="C261" s="2" t="s">
        <v>1808</v>
      </c>
      <c r="D261" s="2" t="s">
        <v>14</v>
      </c>
      <c r="E261" s="2" t="s">
        <v>15</v>
      </c>
      <c r="F261" s="2"/>
      <c r="G261" s="2"/>
      <c r="H261" s="2"/>
      <c r="I261" s="2"/>
    </row>
    <row r="262" spans="1:9" x14ac:dyDescent="0.35">
      <c r="A262" s="2" t="s">
        <v>1768</v>
      </c>
      <c r="B262" s="2" t="s">
        <v>24</v>
      </c>
      <c r="C262" s="2" t="s">
        <v>1808</v>
      </c>
      <c r="D262" s="2" t="s">
        <v>27</v>
      </c>
      <c r="E262" s="2" t="s">
        <v>28</v>
      </c>
      <c r="F262" s="2"/>
      <c r="G262" s="2"/>
      <c r="H262" s="2"/>
      <c r="I262" s="2"/>
    </row>
    <row r="263" spans="1:9" x14ac:dyDescent="0.35">
      <c r="A263" s="2" t="s">
        <v>1768</v>
      </c>
      <c r="B263" s="2" t="s">
        <v>24</v>
      </c>
      <c r="C263" s="2" t="s">
        <v>1808</v>
      </c>
      <c r="D263" s="2" t="s">
        <v>121</v>
      </c>
      <c r="E263" s="2" t="s">
        <v>122</v>
      </c>
      <c r="F263" s="2"/>
      <c r="G263" s="2"/>
      <c r="H263" s="2"/>
      <c r="I263" s="2"/>
    </row>
    <row r="264" spans="1:9" x14ac:dyDescent="0.35">
      <c r="A264" s="2" t="s">
        <v>1768</v>
      </c>
      <c r="B264" s="2" t="s">
        <v>24</v>
      </c>
      <c r="C264" s="2" t="s">
        <v>1808</v>
      </c>
      <c r="D264" s="2" t="s">
        <v>18</v>
      </c>
      <c r="E264" s="2" t="s">
        <v>19</v>
      </c>
      <c r="F264" s="2" t="s">
        <v>20</v>
      </c>
      <c r="G264" s="2" t="s">
        <v>1378</v>
      </c>
      <c r="H264" s="2"/>
      <c r="I264" s="2"/>
    </row>
    <row r="265" spans="1:9" x14ac:dyDescent="0.35">
      <c r="A265" s="2" t="s">
        <v>1768</v>
      </c>
      <c r="B265" s="2" t="s">
        <v>24</v>
      </c>
      <c r="C265" s="2" t="s">
        <v>1808</v>
      </c>
      <c r="D265" s="2" t="s">
        <v>149</v>
      </c>
      <c r="E265" s="2" t="s">
        <v>150</v>
      </c>
      <c r="F265" s="2" t="s">
        <v>20</v>
      </c>
      <c r="G265" s="2" t="s">
        <v>1809</v>
      </c>
      <c r="H265" s="2"/>
      <c r="I265" s="2"/>
    </row>
    <row r="266" spans="1:9" x14ac:dyDescent="0.35">
      <c r="A266" s="2" t="s">
        <v>1768</v>
      </c>
      <c r="B266" s="2" t="s">
        <v>24</v>
      </c>
      <c r="C266" s="2" t="s">
        <v>1810</v>
      </c>
      <c r="D266" s="2" t="s">
        <v>476</v>
      </c>
      <c r="E266" s="2" t="s">
        <v>78</v>
      </c>
      <c r="F266" s="2"/>
      <c r="G266" s="2"/>
      <c r="H266" s="2"/>
      <c r="I266" s="2"/>
    </row>
    <row r="267" spans="1:9" x14ac:dyDescent="0.35">
      <c r="A267" s="2" t="s">
        <v>1768</v>
      </c>
      <c r="B267" s="2" t="s">
        <v>24</v>
      </c>
      <c r="C267" s="2" t="s">
        <v>1810</v>
      </c>
      <c r="D267" s="2" t="s">
        <v>1782</v>
      </c>
      <c r="E267" s="2" t="s">
        <v>38</v>
      </c>
      <c r="F267" s="2"/>
      <c r="G267" s="2"/>
      <c r="H267" s="2"/>
      <c r="I267" s="2"/>
    </row>
    <row r="268" spans="1:9" x14ac:dyDescent="0.35">
      <c r="A268" s="2" t="s">
        <v>1768</v>
      </c>
      <c r="B268" s="2" t="s">
        <v>24</v>
      </c>
      <c r="C268" s="2" t="s">
        <v>1810</v>
      </c>
      <c r="D268" s="2" t="s">
        <v>121</v>
      </c>
      <c r="E268" s="2" t="s">
        <v>122</v>
      </c>
      <c r="F268" s="2"/>
      <c r="G268" s="2"/>
      <c r="H268" s="2"/>
      <c r="I268" s="2"/>
    </row>
    <row r="269" spans="1:9" x14ac:dyDescent="0.35">
      <c r="A269" s="2" t="s">
        <v>1768</v>
      </c>
      <c r="B269" s="2" t="s">
        <v>24</v>
      </c>
      <c r="C269" s="2" t="s">
        <v>1810</v>
      </c>
      <c r="D269" s="2" t="s">
        <v>393</v>
      </c>
      <c r="E269" s="2" t="s">
        <v>36</v>
      </c>
      <c r="F269" s="2"/>
      <c r="G269" s="2"/>
      <c r="H269" s="2"/>
      <c r="I269" s="2"/>
    </row>
    <row r="270" spans="1:9" x14ac:dyDescent="0.35">
      <c r="A270" s="2" t="s">
        <v>1768</v>
      </c>
      <c r="B270" s="2" t="s">
        <v>24</v>
      </c>
      <c r="C270" s="2" t="s">
        <v>1810</v>
      </c>
      <c r="D270" s="2" t="s">
        <v>91</v>
      </c>
      <c r="E270" s="2" t="s">
        <v>19</v>
      </c>
      <c r="F270" s="2" t="s">
        <v>20</v>
      </c>
      <c r="G270" s="2" t="s">
        <v>1811</v>
      </c>
      <c r="H270" s="2"/>
      <c r="I270" s="2"/>
    </row>
    <row r="271" spans="1:9" x14ac:dyDescent="0.35">
      <c r="A271" s="2" t="s">
        <v>1768</v>
      </c>
      <c r="B271" s="2" t="s">
        <v>24</v>
      </c>
      <c r="C271" s="2" t="s">
        <v>1810</v>
      </c>
      <c r="D271" s="2" t="s">
        <v>89</v>
      </c>
      <c r="E271" s="2" t="s">
        <v>45</v>
      </c>
      <c r="F271" s="2"/>
      <c r="G271" s="2"/>
      <c r="H271" s="2"/>
      <c r="I271" s="2"/>
    </row>
    <row r="272" spans="1:9" x14ac:dyDescent="0.35">
      <c r="A272" s="2" t="s">
        <v>1768</v>
      </c>
      <c r="B272" s="2" t="s">
        <v>24</v>
      </c>
      <c r="C272" s="2" t="s">
        <v>1810</v>
      </c>
      <c r="D272" s="2" t="s">
        <v>1773</v>
      </c>
      <c r="E272" s="2" t="s">
        <v>43</v>
      </c>
      <c r="F272" s="2"/>
      <c r="G272" s="2"/>
      <c r="H272" s="2"/>
      <c r="I272" s="2"/>
    </row>
    <row r="273" spans="1:9" x14ac:dyDescent="0.35">
      <c r="A273" s="2" t="s">
        <v>1768</v>
      </c>
      <c r="B273" s="2" t="s">
        <v>24</v>
      </c>
      <c r="C273" s="2" t="s">
        <v>1810</v>
      </c>
      <c r="D273" s="2" t="s">
        <v>193</v>
      </c>
      <c r="E273" s="2" t="s">
        <v>150</v>
      </c>
      <c r="F273" s="2"/>
      <c r="G273" s="2"/>
      <c r="H273" s="2"/>
      <c r="I273" s="2"/>
    </row>
    <row r="274" spans="1:9" x14ac:dyDescent="0.35">
      <c r="A274" s="2" t="s">
        <v>1768</v>
      </c>
      <c r="B274" s="2" t="s">
        <v>24</v>
      </c>
      <c r="C274" s="2" t="s">
        <v>1812</v>
      </c>
      <c r="D274" s="2" t="s">
        <v>14</v>
      </c>
      <c r="E274" s="2" t="s">
        <v>15</v>
      </c>
      <c r="F274" s="2"/>
      <c r="G274" s="2"/>
      <c r="H274" s="2"/>
      <c r="I274" s="2"/>
    </row>
    <row r="275" spans="1:9" x14ac:dyDescent="0.35">
      <c r="A275" s="2" t="s">
        <v>1768</v>
      </c>
      <c r="B275" s="2" t="s">
        <v>24</v>
      </c>
      <c r="C275" s="2" t="s">
        <v>1812</v>
      </c>
      <c r="D275" s="2" t="s">
        <v>27</v>
      </c>
      <c r="E275" s="2" t="s">
        <v>28</v>
      </c>
      <c r="F275" s="2"/>
      <c r="G275" s="2"/>
      <c r="H275" s="2"/>
      <c r="I275" s="2"/>
    </row>
    <row r="276" spans="1:9" x14ac:dyDescent="0.35">
      <c r="A276" s="2" t="s">
        <v>1768</v>
      </c>
      <c r="B276" s="2" t="s">
        <v>24</v>
      </c>
      <c r="C276" s="2" t="s">
        <v>1812</v>
      </c>
      <c r="D276" s="2" t="s">
        <v>1775</v>
      </c>
      <c r="E276" s="2" t="s">
        <v>203</v>
      </c>
      <c r="F276" s="2"/>
      <c r="G276" s="2"/>
      <c r="H276" s="2"/>
      <c r="I276" s="2"/>
    </row>
    <row r="277" spans="1:9" x14ac:dyDescent="0.35">
      <c r="A277" s="2" t="s">
        <v>1768</v>
      </c>
      <c r="B277" s="2" t="s">
        <v>24</v>
      </c>
      <c r="C277" s="2" t="s">
        <v>1812</v>
      </c>
      <c r="D277" s="2" t="s">
        <v>613</v>
      </c>
      <c r="E277" s="2" t="s">
        <v>125</v>
      </c>
      <c r="F277" s="2"/>
      <c r="G277" s="2"/>
      <c r="H277" s="2"/>
      <c r="I277" s="2"/>
    </row>
    <row r="278" spans="1:9" x14ac:dyDescent="0.35">
      <c r="A278" s="2" t="s">
        <v>1768</v>
      </c>
      <c r="B278" s="2" t="s">
        <v>24</v>
      </c>
      <c r="C278" s="2" t="s">
        <v>1812</v>
      </c>
      <c r="D278" s="2" t="s">
        <v>98</v>
      </c>
      <c r="E278" s="2" t="s">
        <v>98</v>
      </c>
      <c r="F278" s="2"/>
      <c r="G278" s="2"/>
      <c r="H278" s="2"/>
      <c r="I278" s="2"/>
    </row>
    <row r="279" spans="1:9" x14ac:dyDescent="0.35">
      <c r="A279" s="2" t="s">
        <v>1768</v>
      </c>
      <c r="B279" s="2" t="s">
        <v>24</v>
      </c>
      <c r="C279" s="2" t="s">
        <v>1812</v>
      </c>
      <c r="D279" s="2" t="s">
        <v>121</v>
      </c>
      <c r="E279" s="2" t="s">
        <v>122</v>
      </c>
      <c r="F279" s="2"/>
      <c r="G279" s="2"/>
      <c r="H279" s="2"/>
      <c r="I279" s="2"/>
    </row>
    <row r="280" spans="1:9" x14ac:dyDescent="0.35">
      <c r="A280" s="2" t="s">
        <v>1768</v>
      </c>
      <c r="B280" s="2" t="s">
        <v>24</v>
      </c>
      <c r="C280" s="2" t="s">
        <v>1812</v>
      </c>
      <c r="D280" s="2" t="s">
        <v>18</v>
      </c>
      <c r="E280" s="2" t="s">
        <v>19</v>
      </c>
      <c r="F280" s="2" t="s">
        <v>20</v>
      </c>
      <c r="G280" s="2" t="s">
        <v>1813</v>
      </c>
      <c r="H280" s="2"/>
      <c r="I280" s="2"/>
    </row>
    <row r="281" spans="1:9" x14ac:dyDescent="0.35">
      <c r="A281" s="2" t="s">
        <v>1768</v>
      </c>
      <c r="B281" s="2" t="s">
        <v>24</v>
      </c>
      <c r="C281" s="2" t="s">
        <v>1814</v>
      </c>
      <c r="D281" s="2" t="s">
        <v>27</v>
      </c>
      <c r="E281" s="2" t="s">
        <v>28</v>
      </c>
      <c r="F281" s="2" t="s">
        <v>46</v>
      </c>
      <c r="G281" s="2" t="s">
        <v>1815</v>
      </c>
      <c r="H281" s="2"/>
      <c r="I281" s="2"/>
    </row>
    <row r="282" spans="1:9" x14ac:dyDescent="0.35">
      <c r="A282" s="2" t="s">
        <v>1768</v>
      </c>
      <c r="B282" s="2" t="s">
        <v>24</v>
      </c>
      <c r="C282" s="2" t="s">
        <v>1814</v>
      </c>
      <c r="D282" s="2" t="s">
        <v>31</v>
      </c>
      <c r="E282" s="2" t="s">
        <v>32</v>
      </c>
      <c r="F282" s="2" t="s">
        <v>46</v>
      </c>
      <c r="G282" s="2" t="s">
        <v>1815</v>
      </c>
      <c r="H282" s="2"/>
      <c r="I282" s="2"/>
    </row>
    <row r="283" spans="1:9" x14ac:dyDescent="0.35">
      <c r="A283" s="2" t="s">
        <v>1768</v>
      </c>
      <c r="B283" s="2" t="s">
        <v>24</v>
      </c>
      <c r="C283" s="2" t="s">
        <v>1814</v>
      </c>
      <c r="D283" s="2" t="s">
        <v>1782</v>
      </c>
      <c r="E283" s="2" t="s">
        <v>38</v>
      </c>
      <c r="F283" s="2" t="s">
        <v>46</v>
      </c>
      <c r="G283" s="2" t="s">
        <v>1815</v>
      </c>
      <c r="H283" s="2"/>
      <c r="I283" s="2"/>
    </row>
    <row r="284" spans="1:9" x14ac:dyDescent="0.35">
      <c r="A284" s="2" t="s">
        <v>1768</v>
      </c>
      <c r="B284" s="2" t="s">
        <v>24</v>
      </c>
      <c r="C284" s="2" t="s">
        <v>1814</v>
      </c>
      <c r="D284" s="2" t="s">
        <v>121</v>
      </c>
      <c r="E284" s="2" t="s">
        <v>122</v>
      </c>
      <c r="F284" s="2" t="s">
        <v>46</v>
      </c>
      <c r="G284" s="2" t="s">
        <v>1815</v>
      </c>
      <c r="H284" s="2"/>
      <c r="I284" s="2"/>
    </row>
    <row r="285" spans="1:9" x14ac:dyDescent="0.35">
      <c r="A285" s="2" t="s">
        <v>1768</v>
      </c>
      <c r="B285" s="2" t="s">
        <v>24</v>
      </c>
      <c r="C285" s="2" t="s">
        <v>1816</v>
      </c>
      <c r="D285" s="2" t="s">
        <v>1817</v>
      </c>
      <c r="E285" s="2" t="s">
        <v>40</v>
      </c>
      <c r="F285" s="2"/>
      <c r="G285" s="2"/>
      <c r="H285" s="2"/>
      <c r="I285" s="2"/>
    </row>
    <row r="286" spans="1:9" x14ac:dyDescent="0.35">
      <c r="A286" s="2" t="s">
        <v>1768</v>
      </c>
      <c r="B286" s="2" t="s">
        <v>24</v>
      </c>
      <c r="C286" s="2" t="s">
        <v>1816</v>
      </c>
      <c r="D286" s="2" t="s">
        <v>155</v>
      </c>
      <c r="E286" s="2" t="s">
        <v>32</v>
      </c>
      <c r="F286" s="2"/>
      <c r="G286" s="2"/>
      <c r="H286" s="2"/>
      <c r="I286" s="2"/>
    </row>
    <row r="287" spans="1:9" x14ac:dyDescent="0.35">
      <c r="A287" s="2" t="s">
        <v>1768</v>
      </c>
      <c r="B287" s="2" t="s">
        <v>24</v>
      </c>
      <c r="C287" s="2" t="s">
        <v>1816</v>
      </c>
      <c r="D287" s="2" t="s">
        <v>172</v>
      </c>
      <c r="E287" s="2" t="s">
        <v>65</v>
      </c>
      <c r="F287" s="2"/>
      <c r="G287" s="2"/>
      <c r="H287" s="2"/>
      <c r="I287" s="2"/>
    </row>
    <row r="288" spans="1:9" x14ac:dyDescent="0.35">
      <c r="A288" s="2" t="s">
        <v>1768</v>
      </c>
      <c r="B288" s="2" t="s">
        <v>24</v>
      </c>
      <c r="C288" s="2" t="s">
        <v>1816</v>
      </c>
      <c r="D288" s="2" t="s">
        <v>1782</v>
      </c>
      <c r="E288" s="2" t="s">
        <v>38</v>
      </c>
      <c r="F288" s="2" t="s">
        <v>20</v>
      </c>
      <c r="G288" s="2" t="s">
        <v>1818</v>
      </c>
      <c r="H288" s="2"/>
      <c r="I288" s="2"/>
    </row>
    <row r="289" spans="1:9" x14ac:dyDescent="0.35">
      <c r="A289" s="2" t="s">
        <v>1768</v>
      </c>
      <c r="B289" s="2" t="s">
        <v>24</v>
      </c>
      <c r="C289" s="2" t="s">
        <v>1816</v>
      </c>
      <c r="D289" s="2" t="s">
        <v>438</v>
      </c>
      <c r="E289" s="2" t="s">
        <v>19</v>
      </c>
      <c r="F289" s="2" t="s">
        <v>20</v>
      </c>
      <c r="G289" s="2" t="s">
        <v>1818</v>
      </c>
      <c r="H289" s="2"/>
      <c r="I289" s="2"/>
    </row>
    <row r="290" spans="1:9" x14ac:dyDescent="0.35">
      <c r="A290" s="2" t="s">
        <v>1768</v>
      </c>
      <c r="B290" s="2" t="s">
        <v>24</v>
      </c>
      <c r="C290" s="2" t="s">
        <v>1816</v>
      </c>
      <c r="D290" s="2" t="s">
        <v>1363</v>
      </c>
      <c r="E290" s="2" t="s">
        <v>189</v>
      </c>
      <c r="F290" s="2"/>
      <c r="G290" s="2"/>
      <c r="H290" s="2"/>
      <c r="I290" s="2"/>
    </row>
    <row r="291" spans="1:9" x14ac:dyDescent="0.35">
      <c r="A291" s="2" t="s">
        <v>1768</v>
      </c>
      <c r="B291" s="2" t="s">
        <v>24</v>
      </c>
      <c r="C291" s="2" t="s">
        <v>1816</v>
      </c>
      <c r="D291" s="2" t="s">
        <v>149</v>
      </c>
      <c r="E291" s="2" t="s">
        <v>150</v>
      </c>
      <c r="F291" s="2" t="s">
        <v>20</v>
      </c>
      <c r="G291" s="2" t="s">
        <v>1818</v>
      </c>
      <c r="H291" s="2"/>
      <c r="I291" s="2"/>
    </row>
    <row r="292" spans="1:9" x14ac:dyDescent="0.35">
      <c r="A292" s="2" t="s">
        <v>1768</v>
      </c>
      <c r="B292" s="2" t="s">
        <v>12</v>
      </c>
      <c r="C292" s="2" t="s">
        <v>1819</v>
      </c>
      <c r="D292" s="2" t="s">
        <v>121</v>
      </c>
      <c r="E292" s="2" t="s">
        <v>122</v>
      </c>
      <c r="F292" s="2" t="s">
        <v>20</v>
      </c>
      <c r="G292" s="2" t="s">
        <v>1820</v>
      </c>
      <c r="H292" s="2"/>
      <c r="I292" s="2"/>
    </row>
    <row r="293" spans="1:9" x14ac:dyDescent="0.35">
      <c r="A293" s="2" t="s">
        <v>1768</v>
      </c>
      <c r="B293" s="2" t="s">
        <v>12</v>
      </c>
      <c r="C293" s="2" t="s">
        <v>1819</v>
      </c>
      <c r="D293" s="2" t="s">
        <v>18</v>
      </c>
      <c r="E293" s="2" t="s">
        <v>19</v>
      </c>
      <c r="F293" s="2" t="s">
        <v>20</v>
      </c>
      <c r="G293" s="2" t="s">
        <v>1813</v>
      </c>
      <c r="H293" s="2"/>
      <c r="I293" s="2"/>
    </row>
    <row r="294" spans="1:9" x14ac:dyDescent="0.35">
      <c r="A294" s="2" t="s">
        <v>1768</v>
      </c>
      <c r="B294" s="2" t="s">
        <v>12</v>
      </c>
      <c r="C294" s="2" t="s">
        <v>1821</v>
      </c>
      <c r="D294" s="2" t="s">
        <v>27</v>
      </c>
      <c r="E294" s="2" t="s">
        <v>28</v>
      </c>
      <c r="F294" s="2"/>
      <c r="G294" s="2"/>
      <c r="H294" s="2"/>
      <c r="I294" s="2"/>
    </row>
    <row r="295" spans="1:9" x14ac:dyDescent="0.35">
      <c r="A295" s="2" t="s">
        <v>1768</v>
      </c>
      <c r="B295" s="2" t="s">
        <v>12</v>
      </c>
      <c r="C295" s="2" t="s">
        <v>1821</v>
      </c>
      <c r="D295" s="2" t="s">
        <v>998</v>
      </c>
      <c r="E295" s="2" t="s">
        <v>40</v>
      </c>
      <c r="F295" s="2"/>
      <c r="G295" s="2"/>
      <c r="H295" s="2"/>
      <c r="I295" s="2"/>
    </row>
    <row r="296" spans="1:9" x14ac:dyDescent="0.35">
      <c r="A296" s="2" t="s">
        <v>1768</v>
      </c>
      <c r="B296" s="2" t="s">
        <v>12</v>
      </c>
      <c r="C296" s="2" t="s">
        <v>1821</v>
      </c>
      <c r="D296" s="2" t="s">
        <v>121</v>
      </c>
      <c r="E296" s="2" t="s">
        <v>122</v>
      </c>
      <c r="F296" s="2"/>
      <c r="G296" s="2"/>
      <c r="H296" s="2"/>
      <c r="I296" s="2"/>
    </row>
    <row r="297" spans="1:9" x14ac:dyDescent="0.35">
      <c r="A297" s="2" t="s">
        <v>1768</v>
      </c>
      <c r="B297" s="2" t="s">
        <v>12</v>
      </c>
      <c r="C297" s="2" t="s">
        <v>1821</v>
      </c>
      <c r="D297" s="2" t="s">
        <v>1283</v>
      </c>
      <c r="E297" s="2" t="s">
        <v>65</v>
      </c>
      <c r="F297" s="2"/>
      <c r="G297" s="2"/>
      <c r="H297" s="2"/>
      <c r="I297" s="2"/>
    </row>
    <row r="298" spans="1:9" x14ac:dyDescent="0.35">
      <c r="A298" s="2" t="s">
        <v>1768</v>
      </c>
      <c r="B298" s="2" t="s">
        <v>24</v>
      </c>
      <c r="C298" s="2" t="s">
        <v>1822</v>
      </c>
      <c r="D298" s="2" t="s">
        <v>196</v>
      </c>
      <c r="E298" s="2" t="s">
        <v>197</v>
      </c>
      <c r="F298" s="2"/>
      <c r="G298" s="2"/>
      <c r="H298" s="2"/>
      <c r="I298" s="2"/>
    </row>
    <row r="299" spans="1:9" x14ac:dyDescent="0.35">
      <c r="A299" s="2" t="s">
        <v>1768</v>
      </c>
      <c r="B299" s="2" t="s">
        <v>24</v>
      </c>
      <c r="C299" s="2" t="s">
        <v>1822</v>
      </c>
      <c r="D299" s="2" t="s">
        <v>14</v>
      </c>
      <c r="E299" s="2" t="s">
        <v>15</v>
      </c>
      <c r="F299" s="2"/>
      <c r="G299" s="2"/>
      <c r="H299" s="2"/>
      <c r="I299" s="2"/>
    </row>
    <row r="300" spans="1:9" x14ac:dyDescent="0.35">
      <c r="A300" s="2" t="s">
        <v>1768</v>
      </c>
      <c r="B300" s="2" t="s">
        <v>24</v>
      </c>
      <c r="C300" s="2" t="s">
        <v>1822</v>
      </c>
      <c r="D300" s="2" t="s">
        <v>74</v>
      </c>
      <c r="E300" s="2" t="s">
        <v>75</v>
      </c>
      <c r="F300" s="2" t="s">
        <v>20</v>
      </c>
      <c r="G300" s="2" t="s">
        <v>1823</v>
      </c>
      <c r="H300" s="2"/>
      <c r="I300" s="2"/>
    </row>
    <row r="301" spans="1:9" x14ac:dyDescent="0.35">
      <c r="A301" s="2" t="s">
        <v>1768</v>
      </c>
      <c r="B301" s="2" t="s">
        <v>24</v>
      </c>
      <c r="C301" s="2" t="s">
        <v>1822</v>
      </c>
      <c r="D301" s="2" t="s">
        <v>27</v>
      </c>
      <c r="E301" s="2" t="s">
        <v>28</v>
      </c>
      <c r="F301" s="2"/>
      <c r="G301" s="2"/>
      <c r="H301" s="2"/>
      <c r="I301" s="2"/>
    </row>
    <row r="302" spans="1:9" x14ac:dyDescent="0.35">
      <c r="A302" s="2" t="s">
        <v>1768</v>
      </c>
      <c r="B302" s="2" t="s">
        <v>24</v>
      </c>
      <c r="C302" s="2" t="s">
        <v>1822</v>
      </c>
      <c r="D302" s="2" t="s">
        <v>29</v>
      </c>
      <c r="E302" s="2" t="s">
        <v>30</v>
      </c>
      <c r="F302" s="2"/>
      <c r="G302" s="2"/>
      <c r="H302" s="2"/>
      <c r="I302" s="2"/>
    </row>
    <row r="303" spans="1:9" x14ac:dyDescent="0.35">
      <c r="A303" s="2" t="s">
        <v>1768</v>
      </c>
      <c r="B303" s="2" t="s">
        <v>24</v>
      </c>
      <c r="C303" s="2" t="s">
        <v>1822</v>
      </c>
      <c r="D303" s="2" t="s">
        <v>1775</v>
      </c>
      <c r="E303" s="2" t="s">
        <v>203</v>
      </c>
      <c r="F303" s="2"/>
      <c r="G303" s="2"/>
      <c r="H303" s="2"/>
      <c r="I303" s="2"/>
    </row>
    <row r="304" spans="1:9" x14ac:dyDescent="0.35">
      <c r="A304" s="2" t="s">
        <v>1768</v>
      </c>
      <c r="B304" s="2" t="s">
        <v>24</v>
      </c>
      <c r="C304" s="2" t="s">
        <v>1822</v>
      </c>
      <c r="D304" s="2" t="s">
        <v>31</v>
      </c>
      <c r="E304" s="2" t="s">
        <v>32</v>
      </c>
      <c r="F304" s="2"/>
      <c r="G304" s="2"/>
      <c r="H304" s="2"/>
      <c r="I304" s="2"/>
    </row>
    <row r="305" spans="1:9" x14ac:dyDescent="0.35">
      <c r="A305" s="2" t="s">
        <v>1768</v>
      </c>
      <c r="B305" s="2" t="s">
        <v>24</v>
      </c>
      <c r="C305" s="2" t="s">
        <v>1822</v>
      </c>
      <c r="D305" s="2" t="s">
        <v>82</v>
      </c>
      <c r="E305" s="2" t="s">
        <v>83</v>
      </c>
      <c r="F305" s="2"/>
      <c r="G305" s="2"/>
      <c r="H305" s="2"/>
      <c r="I305" s="2"/>
    </row>
    <row r="306" spans="1:9" x14ac:dyDescent="0.35">
      <c r="A306" s="2" t="s">
        <v>1768</v>
      </c>
      <c r="B306" s="2" t="s">
        <v>24</v>
      </c>
      <c r="C306" s="2" t="s">
        <v>1822</v>
      </c>
      <c r="D306" s="2" t="s">
        <v>96</v>
      </c>
      <c r="E306" s="2" t="s">
        <v>83</v>
      </c>
      <c r="F306" s="2"/>
      <c r="G306" s="2"/>
      <c r="H306" s="2"/>
      <c r="I306" s="2"/>
    </row>
    <row r="307" spans="1:9" x14ac:dyDescent="0.35">
      <c r="A307" s="2" t="s">
        <v>1768</v>
      </c>
      <c r="B307" s="2" t="s">
        <v>24</v>
      </c>
      <c r="C307" s="2" t="s">
        <v>1822</v>
      </c>
      <c r="D307" s="2" t="s">
        <v>1084</v>
      </c>
      <c r="E307" s="2" t="s">
        <v>125</v>
      </c>
      <c r="F307" s="2"/>
      <c r="G307" s="2"/>
      <c r="H307" s="2"/>
      <c r="I307" s="2"/>
    </row>
    <row r="308" spans="1:9" x14ac:dyDescent="0.35">
      <c r="A308" s="2" t="s">
        <v>1768</v>
      </c>
      <c r="B308" s="2" t="s">
        <v>24</v>
      </c>
      <c r="C308" s="2" t="s">
        <v>1822</v>
      </c>
      <c r="D308" s="2" t="s">
        <v>98</v>
      </c>
      <c r="E308" s="2" t="s">
        <v>98</v>
      </c>
      <c r="F308" s="2"/>
      <c r="G308" s="2"/>
      <c r="H308" s="2"/>
      <c r="I308" s="2"/>
    </row>
    <row r="309" spans="1:9" x14ac:dyDescent="0.35">
      <c r="A309" s="2" t="s">
        <v>1768</v>
      </c>
      <c r="B309" s="2" t="s">
        <v>24</v>
      </c>
      <c r="C309" s="2" t="s">
        <v>1822</v>
      </c>
      <c r="D309" s="2" t="s">
        <v>121</v>
      </c>
      <c r="E309" s="2" t="s">
        <v>122</v>
      </c>
      <c r="F309" s="2"/>
      <c r="G309" s="2"/>
      <c r="H309" s="2"/>
      <c r="I309" s="2"/>
    </row>
    <row r="310" spans="1:9" x14ac:dyDescent="0.35">
      <c r="A310" s="2" t="s">
        <v>1768</v>
      </c>
      <c r="B310" s="2" t="s">
        <v>24</v>
      </c>
      <c r="C310" s="2" t="s">
        <v>1822</v>
      </c>
      <c r="D310" s="2" t="s">
        <v>168</v>
      </c>
      <c r="E310" s="2" t="s">
        <v>45</v>
      </c>
      <c r="F310" s="2"/>
      <c r="G310" s="2"/>
      <c r="H310" s="2"/>
      <c r="I310" s="2"/>
    </row>
    <row r="311" spans="1:9" x14ac:dyDescent="0.35">
      <c r="A311" s="2" t="s">
        <v>1768</v>
      </c>
      <c r="B311" s="2" t="s">
        <v>24</v>
      </c>
      <c r="C311" s="2" t="s">
        <v>1822</v>
      </c>
      <c r="D311" s="2" t="s">
        <v>91</v>
      </c>
      <c r="E311" s="2" t="s">
        <v>19</v>
      </c>
      <c r="F311" s="2" t="s">
        <v>20</v>
      </c>
      <c r="G311" s="2" t="s">
        <v>1823</v>
      </c>
      <c r="H311" s="2"/>
      <c r="I311" s="2"/>
    </row>
    <row r="312" spans="1:9" x14ac:dyDescent="0.35">
      <c r="A312" s="2" t="s">
        <v>1768</v>
      </c>
      <c r="B312" s="2" t="s">
        <v>24</v>
      </c>
      <c r="C312" s="2" t="s">
        <v>1822</v>
      </c>
      <c r="D312" s="2" t="s">
        <v>1116</v>
      </c>
      <c r="E312" s="2" t="s">
        <v>367</v>
      </c>
      <c r="F312" s="2"/>
      <c r="G312" s="2"/>
      <c r="H312" s="2"/>
      <c r="I312" s="2"/>
    </row>
    <row r="313" spans="1:9" x14ac:dyDescent="0.35">
      <c r="A313" s="2" t="s">
        <v>1768</v>
      </c>
      <c r="B313" s="2" t="s">
        <v>24</v>
      </c>
      <c r="C313" s="2" t="s">
        <v>1822</v>
      </c>
      <c r="D313" s="2" t="s">
        <v>1803</v>
      </c>
      <c r="E313" s="2" t="s">
        <v>101</v>
      </c>
      <c r="F313" s="2"/>
      <c r="G313" s="2"/>
      <c r="H313" s="2"/>
      <c r="I313" s="2"/>
    </row>
    <row r="314" spans="1:9" x14ac:dyDescent="0.35">
      <c r="A314" s="2" t="s">
        <v>1768</v>
      </c>
      <c r="B314" s="2" t="s">
        <v>24</v>
      </c>
      <c r="C314" s="2" t="s">
        <v>1822</v>
      </c>
      <c r="D314" s="2" t="s">
        <v>1824</v>
      </c>
      <c r="E314" s="2" t="s">
        <v>189</v>
      </c>
      <c r="F314" s="2"/>
      <c r="G314" s="2"/>
      <c r="H314" s="2"/>
      <c r="I314" s="2"/>
    </row>
    <row r="315" spans="1:9" x14ac:dyDescent="0.35">
      <c r="A315" s="2" t="s">
        <v>1768</v>
      </c>
      <c r="B315" s="2" t="s">
        <v>24</v>
      </c>
      <c r="C315" s="2" t="s">
        <v>1822</v>
      </c>
      <c r="D315" s="2" t="s">
        <v>862</v>
      </c>
      <c r="E315" s="2" t="s">
        <v>38</v>
      </c>
      <c r="F315" s="2"/>
      <c r="G315" s="2"/>
      <c r="H315" s="2"/>
      <c r="I315" s="2"/>
    </row>
    <row r="316" spans="1:9" x14ac:dyDescent="0.35">
      <c r="A316" s="2" t="s">
        <v>1768</v>
      </c>
      <c r="B316" s="2" t="s">
        <v>24</v>
      </c>
      <c r="C316" s="2" t="s">
        <v>1822</v>
      </c>
      <c r="D316" s="2" t="s">
        <v>1825</v>
      </c>
      <c r="E316" s="2" t="s">
        <v>40</v>
      </c>
      <c r="F316" s="2"/>
      <c r="G316" s="2"/>
      <c r="H316" s="2"/>
      <c r="I316" s="2"/>
    </row>
    <row r="317" spans="1:9" x14ac:dyDescent="0.35">
      <c r="A317" s="2" t="s">
        <v>1768</v>
      </c>
      <c r="B317" s="2" t="s">
        <v>24</v>
      </c>
      <c r="C317" s="2" t="s">
        <v>1822</v>
      </c>
      <c r="D317" s="2" t="s">
        <v>1826</v>
      </c>
      <c r="E317" s="2" t="s">
        <v>50</v>
      </c>
      <c r="F317" s="2"/>
      <c r="G317" s="2"/>
      <c r="H317" s="2"/>
      <c r="I317" s="2"/>
    </row>
    <row r="318" spans="1:9" x14ac:dyDescent="0.35">
      <c r="A318" s="2" t="s">
        <v>1768</v>
      </c>
      <c r="B318" s="2" t="s">
        <v>24</v>
      </c>
      <c r="C318" s="2" t="s">
        <v>1822</v>
      </c>
      <c r="D318" s="2" t="s">
        <v>149</v>
      </c>
      <c r="E318" s="2" t="s">
        <v>150</v>
      </c>
      <c r="F318" s="2" t="s">
        <v>20</v>
      </c>
      <c r="G318" s="2" t="s">
        <v>1827</v>
      </c>
      <c r="H318" s="2"/>
      <c r="I318" s="2"/>
    </row>
    <row r="319" spans="1:9" x14ac:dyDescent="0.35">
      <c r="A319" s="2" t="s">
        <v>1768</v>
      </c>
      <c r="B319" s="2" t="s">
        <v>24</v>
      </c>
      <c r="C319" s="2" t="s">
        <v>1822</v>
      </c>
      <c r="D319" s="2" t="s">
        <v>193</v>
      </c>
      <c r="E319" s="2" t="s">
        <v>150</v>
      </c>
      <c r="F319" s="2"/>
      <c r="G319" s="2"/>
      <c r="H319" s="2"/>
      <c r="I319" s="2"/>
    </row>
    <row r="320" spans="1:9" x14ac:dyDescent="0.35">
      <c r="A320" s="2" t="s">
        <v>1768</v>
      </c>
      <c r="B320" s="2" t="s">
        <v>12</v>
      </c>
      <c r="C320" s="2" t="s">
        <v>1828</v>
      </c>
      <c r="D320" s="2" t="s">
        <v>91</v>
      </c>
      <c r="E320" s="2" t="s">
        <v>19</v>
      </c>
      <c r="F320" s="2" t="s">
        <v>20</v>
      </c>
      <c r="G320" s="2" t="s">
        <v>1829</v>
      </c>
      <c r="H320" s="2"/>
      <c r="I320" s="2"/>
    </row>
    <row r="321" spans="1:9" x14ac:dyDescent="0.35">
      <c r="A321" s="2" t="s">
        <v>1768</v>
      </c>
      <c r="B321" s="2" t="s">
        <v>12</v>
      </c>
      <c r="C321" s="2" t="s">
        <v>1828</v>
      </c>
      <c r="D321" s="16" t="s">
        <v>89</v>
      </c>
      <c r="E321" s="2" t="s">
        <v>1647</v>
      </c>
      <c r="F321" s="2"/>
      <c r="G321" s="2"/>
      <c r="H321" s="2"/>
      <c r="I321" s="2"/>
    </row>
    <row r="322" spans="1:9" x14ac:dyDescent="0.35">
      <c r="A322" s="2" t="s">
        <v>1830</v>
      </c>
      <c r="B322" s="2" t="s">
        <v>12</v>
      </c>
      <c r="C322" s="2" t="s">
        <v>1831</v>
      </c>
      <c r="D322" s="2" t="s">
        <v>27</v>
      </c>
      <c r="E322" s="2" t="s">
        <v>28</v>
      </c>
      <c r="F322" s="2" t="s">
        <v>20</v>
      </c>
      <c r="G322" s="2" t="s">
        <v>1823</v>
      </c>
      <c r="H322" s="2"/>
      <c r="I322" s="2"/>
    </row>
    <row r="323" spans="1:9" x14ac:dyDescent="0.35">
      <c r="A323" s="2" t="s">
        <v>1830</v>
      </c>
      <c r="B323" s="2" t="s">
        <v>12</v>
      </c>
      <c r="C323" s="2" t="s">
        <v>1832</v>
      </c>
      <c r="D323" s="2" t="s">
        <v>29</v>
      </c>
      <c r="E323" s="2" t="s">
        <v>30</v>
      </c>
      <c r="F323" s="2"/>
      <c r="G323" s="2"/>
      <c r="H323" s="2"/>
      <c r="I323" s="2"/>
    </row>
    <row r="324" spans="1:9" x14ac:dyDescent="0.35">
      <c r="A324" s="2" t="s">
        <v>1830</v>
      </c>
      <c r="B324" s="2" t="s">
        <v>12</v>
      </c>
      <c r="C324" s="2" t="s">
        <v>1832</v>
      </c>
      <c r="D324" s="2" t="s">
        <v>1307</v>
      </c>
      <c r="E324" s="2" t="s">
        <v>38</v>
      </c>
      <c r="F324" s="2" t="s">
        <v>20</v>
      </c>
      <c r="G324" s="2" t="s">
        <v>1813</v>
      </c>
      <c r="H324" s="2"/>
      <c r="I324" s="2"/>
    </row>
    <row r="325" spans="1:9" x14ac:dyDescent="0.35">
      <c r="A325" s="2" t="s">
        <v>1830</v>
      </c>
      <c r="B325" s="2" t="s">
        <v>62</v>
      </c>
      <c r="C325" s="2" t="s">
        <v>1833</v>
      </c>
      <c r="D325" s="2" t="s">
        <v>27</v>
      </c>
      <c r="E325" s="2" t="s">
        <v>28</v>
      </c>
      <c r="F325" s="2" t="s">
        <v>20</v>
      </c>
      <c r="G325" s="2" t="s">
        <v>1823</v>
      </c>
      <c r="H325" s="2"/>
      <c r="I325" s="2"/>
    </row>
    <row r="326" spans="1:9" x14ac:dyDescent="0.35">
      <c r="A326" s="2" t="s">
        <v>1830</v>
      </c>
      <c r="B326" s="2" t="s">
        <v>62</v>
      </c>
      <c r="C326" s="2" t="s">
        <v>1833</v>
      </c>
      <c r="D326" s="2" t="s">
        <v>87</v>
      </c>
      <c r="E326" s="2" t="s">
        <v>75</v>
      </c>
      <c r="F326" s="2"/>
      <c r="G326" s="2"/>
      <c r="H326" s="2"/>
      <c r="I326" s="2"/>
    </row>
    <row r="327" spans="1:9" x14ac:dyDescent="0.35">
      <c r="A327" s="2" t="s">
        <v>1830</v>
      </c>
      <c r="B327" s="2" t="s">
        <v>62</v>
      </c>
      <c r="C327" s="2" t="s">
        <v>1834</v>
      </c>
      <c r="D327" s="2" t="s">
        <v>14</v>
      </c>
      <c r="E327" s="2" t="s">
        <v>15</v>
      </c>
      <c r="F327" s="2"/>
      <c r="G327" s="2"/>
      <c r="H327" s="2"/>
      <c r="I327" s="2"/>
    </row>
    <row r="328" spans="1:9" x14ac:dyDescent="0.35">
      <c r="A328" s="2" t="s">
        <v>1830</v>
      </c>
      <c r="B328" s="2" t="s">
        <v>62</v>
      </c>
      <c r="C328" s="2" t="s">
        <v>1834</v>
      </c>
      <c r="D328" s="2" t="s">
        <v>1277</v>
      </c>
      <c r="E328" s="2" t="s">
        <v>36</v>
      </c>
      <c r="F328" s="2"/>
      <c r="G328" s="2"/>
      <c r="H328" s="2"/>
      <c r="I328" s="2"/>
    </row>
    <row r="329" spans="1:9" x14ac:dyDescent="0.35">
      <c r="A329" s="2" t="s">
        <v>1830</v>
      </c>
      <c r="B329" s="2" t="s">
        <v>62</v>
      </c>
      <c r="C329" s="2" t="s">
        <v>1834</v>
      </c>
      <c r="D329" s="2" t="s">
        <v>124</v>
      </c>
      <c r="E329" s="2" t="s">
        <v>1654</v>
      </c>
      <c r="F329" s="2"/>
      <c r="G329" s="2"/>
      <c r="H329" s="2"/>
      <c r="I329" s="2"/>
    </row>
    <row r="330" spans="1:9" x14ac:dyDescent="0.35">
      <c r="A330" s="2" t="s">
        <v>1830</v>
      </c>
      <c r="B330" s="2" t="s">
        <v>62</v>
      </c>
      <c r="C330" s="2" t="s">
        <v>1835</v>
      </c>
      <c r="D330" s="2" t="s">
        <v>1277</v>
      </c>
      <c r="E330" s="2" t="s">
        <v>36</v>
      </c>
      <c r="F330" s="2"/>
      <c r="G330" s="2"/>
      <c r="H330" s="2"/>
      <c r="I330" s="2"/>
    </row>
    <row r="331" spans="1:9" x14ac:dyDescent="0.35">
      <c r="A331" s="2" t="s">
        <v>1830</v>
      </c>
      <c r="B331" s="2" t="s">
        <v>62</v>
      </c>
      <c r="C331" s="2" t="s">
        <v>1835</v>
      </c>
      <c r="D331" s="2" t="s">
        <v>27</v>
      </c>
      <c r="E331" s="2" t="s">
        <v>28</v>
      </c>
      <c r="F331" s="2"/>
      <c r="G331" s="2"/>
      <c r="H331" s="2"/>
      <c r="I331" s="2"/>
    </row>
    <row r="332" spans="1:9" x14ac:dyDescent="0.35">
      <c r="A332" s="2" t="s">
        <v>1830</v>
      </c>
      <c r="B332" s="2" t="s">
        <v>62</v>
      </c>
      <c r="C332" s="2" t="s">
        <v>1835</v>
      </c>
      <c r="D332" s="2" t="s">
        <v>200</v>
      </c>
      <c r="E332" s="2" t="s">
        <v>201</v>
      </c>
      <c r="F332" s="2"/>
      <c r="G332" s="2"/>
      <c r="H332" s="2"/>
      <c r="I332" s="2"/>
    </row>
    <row r="333" spans="1:9" x14ac:dyDescent="0.35">
      <c r="A333" s="2" t="s">
        <v>1830</v>
      </c>
      <c r="B333" s="2" t="s">
        <v>62</v>
      </c>
      <c r="C333" s="2" t="s">
        <v>1835</v>
      </c>
      <c r="D333" s="2" t="s">
        <v>257</v>
      </c>
      <c r="E333" s="2" t="s">
        <v>45</v>
      </c>
      <c r="F333" s="2" t="s">
        <v>20</v>
      </c>
      <c r="G333" s="2" t="s">
        <v>1823</v>
      </c>
      <c r="H333" s="2"/>
      <c r="I333" s="2"/>
    </row>
    <row r="334" spans="1:9" x14ac:dyDescent="0.35">
      <c r="A334" s="2" t="s">
        <v>1830</v>
      </c>
      <c r="B334" s="2" t="s">
        <v>62</v>
      </c>
      <c r="C334" s="2" t="s">
        <v>1835</v>
      </c>
      <c r="D334" s="2" t="s">
        <v>1181</v>
      </c>
      <c r="E334" s="2" t="s">
        <v>30</v>
      </c>
      <c r="F334" s="2"/>
      <c r="G334" s="2"/>
      <c r="H334" s="2"/>
      <c r="I334" s="2"/>
    </row>
    <row r="335" spans="1:9" x14ac:dyDescent="0.35">
      <c r="A335" s="2" t="s">
        <v>1830</v>
      </c>
      <c r="B335" s="2" t="s">
        <v>24</v>
      </c>
      <c r="C335" s="2" t="s">
        <v>1836</v>
      </c>
      <c r="D335" s="2" t="s">
        <v>14</v>
      </c>
      <c r="E335" s="2" t="s">
        <v>15</v>
      </c>
      <c r="F335" s="2"/>
      <c r="G335" s="2"/>
      <c r="H335" s="2"/>
      <c r="I335" s="2"/>
    </row>
    <row r="336" spans="1:9" x14ac:dyDescent="0.35">
      <c r="A336" s="2" t="s">
        <v>1830</v>
      </c>
      <c r="B336" s="2" t="s">
        <v>24</v>
      </c>
      <c r="C336" s="2" t="s">
        <v>1836</v>
      </c>
      <c r="D336" s="2" t="s">
        <v>27</v>
      </c>
      <c r="E336" s="2" t="s">
        <v>28</v>
      </c>
      <c r="F336" s="2"/>
      <c r="G336" s="2"/>
      <c r="H336" s="2"/>
      <c r="I336" s="2"/>
    </row>
    <row r="337" spans="1:9" x14ac:dyDescent="0.35">
      <c r="A337" s="2" t="s">
        <v>1830</v>
      </c>
      <c r="B337" s="2" t="s">
        <v>12</v>
      </c>
      <c r="C337" s="2" t="s">
        <v>1837</v>
      </c>
      <c r="D337" s="2" t="s">
        <v>1243</v>
      </c>
      <c r="E337" s="2" t="s">
        <v>40</v>
      </c>
      <c r="F337" s="2"/>
      <c r="G337" s="2"/>
      <c r="H337" s="2"/>
      <c r="I337" s="2"/>
    </row>
    <row r="338" spans="1:9" x14ac:dyDescent="0.35">
      <c r="A338" s="2" t="s">
        <v>1830</v>
      </c>
      <c r="B338" s="2" t="s">
        <v>24</v>
      </c>
      <c r="C338" s="2" t="s">
        <v>1838</v>
      </c>
      <c r="D338" s="2" t="s">
        <v>14</v>
      </c>
      <c r="E338" s="2" t="s">
        <v>15</v>
      </c>
      <c r="F338" s="2"/>
      <c r="G338" s="2"/>
      <c r="H338" s="2"/>
      <c r="I338" s="2"/>
    </row>
    <row r="339" spans="1:9" x14ac:dyDescent="0.35">
      <c r="A339" s="2" t="s">
        <v>1830</v>
      </c>
      <c r="B339" s="2" t="s">
        <v>24</v>
      </c>
      <c r="C339" s="2" t="s">
        <v>1838</v>
      </c>
      <c r="D339" s="2" t="s">
        <v>1839</v>
      </c>
      <c r="E339" s="2" t="s">
        <v>30</v>
      </c>
      <c r="F339" s="2"/>
      <c r="G339" s="2"/>
      <c r="H339" s="2"/>
      <c r="I339" s="2"/>
    </row>
    <row r="340" spans="1:9" x14ac:dyDescent="0.35">
      <c r="A340" s="2" t="s">
        <v>1830</v>
      </c>
      <c r="B340" s="2" t="s">
        <v>12</v>
      </c>
      <c r="C340" s="2" t="s">
        <v>1840</v>
      </c>
      <c r="D340" s="2" t="s">
        <v>27</v>
      </c>
      <c r="E340" s="2" t="s">
        <v>28</v>
      </c>
      <c r="F340" s="2" t="s">
        <v>20</v>
      </c>
      <c r="G340" s="2" t="s">
        <v>1823</v>
      </c>
      <c r="H340" s="2"/>
      <c r="I340" s="2"/>
    </row>
    <row r="341" spans="1:9" x14ac:dyDescent="0.35">
      <c r="A341" s="2" t="s">
        <v>1830</v>
      </c>
      <c r="B341" s="2" t="s">
        <v>12</v>
      </c>
      <c r="C341" s="2" t="s">
        <v>1840</v>
      </c>
      <c r="D341" s="2" t="s">
        <v>998</v>
      </c>
      <c r="E341" s="2" t="s">
        <v>40</v>
      </c>
      <c r="F341" s="2"/>
      <c r="G341" s="2"/>
      <c r="H341" s="2"/>
      <c r="I341" s="2"/>
    </row>
    <row r="342" spans="1:9" x14ac:dyDescent="0.35">
      <c r="A342" s="2" t="s">
        <v>1830</v>
      </c>
      <c r="B342" s="2" t="s">
        <v>12</v>
      </c>
      <c r="C342" s="2" t="s">
        <v>1840</v>
      </c>
      <c r="D342" s="2" t="s">
        <v>188</v>
      </c>
      <c r="E342" s="2" t="s">
        <v>189</v>
      </c>
      <c r="F342" s="2"/>
      <c r="G342" s="2"/>
      <c r="H342" s="2"/>
      <c r="I342" s="2"/>
    </row>
    <row r="343" spans="1:9" x14ac:dyDescent="0.35">
      <c r="A343" s="2" t="s">
        <v>1830</v>
      </c>
      <c r="B343" s="2" t="s">
        <v>12</v>
      </c>
      <c r="C343" s="2" t="s">
        <v>1840</v>
      </c>
      <c r="D343" s="2" t="s">
        <v>149</v>
      </c>
      <c r="E343" s="2" t="s">
        <v>150</v>
      </c>
      <c r="F343" s="2" t="s">
        <v>20</v>
      </c>
      <c r="G343" s="2" t="s">
        <v>1813</v>
      </c>
      <c r="H343" s="2"/>
      <c r="I343" s="2"/>
    </row>
    <row r="344" spans="1:9" x14ac:dyDescent="0.35">
      <c r="A344" s="2" t="s">
        <v>1830</v>
      </c>
      <c r="B344" s="2" t="s">
        <v>12</v>
      </c>
      <c r="C344" s="2" t="s">
        <v>1841</v>
      </c>
      <c r="D344" s="2" t="s">
        <v>14</v>
      </c>
      <c r="E344" s="2" t="s">
        <v>15</v>
      </c>
      <c r="F344" s="2"/>
      <c r="G344" s="2"/>
      <c r="H344" s="2"/>
      <c r="I344" s="2"/>
    </row>
    <row r="345" spans="1:9" x14ac:dyDescent="0.35">
      <c r="A345" s="2" t="s">
        <v>1830</v>
      </c>
      <c r="B345" s="2" t="s">
        <v>12</v>
      </c>
      <c r="C345" s="2" t="s">
        <v>1841</v>
      </c>
      <c r="D345" s="2" t="s">
        <v>27</v>
      </c>
      <c r="E345" s="2" t="s">
        <v>28</v>
      </c>
      <c r="F345" s="2"/>
      <c r="G345" s="2"/>
      <c r="H345" s="2"/>
      <c r="I345" s="2"/>
    </row>
    <row r="346" spans="1:9" x14ac:dyDescent="0.35">
      <c r="A346" s="2" t="s">
        <v>1830</v>
      </c>
      <c r="B346" s="2" t="s">
        <v>12</v>
      </c>
      <c r="C346" s="2" t="s">
        <v>1841</v>
      </c>
      <c r="D346" s="2" t="s">
        <v>77</v>
      </c>
      <c r="E346" s="2" t="s">
        <v>78</v>
      </c>
      <c r="F346" s="2"/>
      <c r="G346" s="2"/>
      <c r="H346" s="2"/>
      <c r="I346" s="2"/>
    </row>
    <row r="347" spans="1:9" x14ac:dyDescent="0.35">
      <c r="A347" s="2" t="s">
        <v>1830</v>
      </c>
      <c r="B347" s="2" t="s">
        <v>12</v>
      </c>
      <c r="C347" s="2" t="s">
        <v>1842</v>
      </c>
      <c r="D347" s="2" t="s">
        <v>27</v>
      </c>
      <c r="E347" s="2" t="s">
        <v>28</v>
      </c>
      <c r="F347" s="2" t="s">
        <v>20</v>
      </c>
      <c r="G347" s="2" t="s">
        <v>1813</v>
      </c>
      <c r="H347" s="2"/>
      <c r="I347" s="2"/>
    </row>
    <row r="348" spans="1:9" x14ac:dyDescent="0.35">
      <c r="A348" s="2" t="s">
        <v>1830</v>
      </c>
      <c r="B348" s="2" t="s">
        <v>24</v>
      </c>
      <c r="C348" s="2" t="s">
        <v>1843</v>
      </c>
      <c r="D348" s="2" t="s">
        <v>130</v>
      </c>
      <c r="E348" s="2" t="s">
        <v>36</v>
      </c>
      <c r="F348" s="2"/>
      <c r="G348" s="2"/>
      <c r="H348" s="2"/>
      <c r="I348" s="2"/>
    </row>
    <row r="349" spans="1:9" x14ac:dyDescent="0.35">
      <c r="A349" s="2" t="s">
        <v>1830</v>
      </c>
      <c r="B349" s="2" t="s">
        <v>24</v>
      </c>
      <c r="C349" s="2" t="s">
        <v>1843</v>
      </c>
      <c r="D349" s="2" t="s">
        <v>27</v>
      </c>
      <c r="E349" s="2" t="s">
        <v>28</v>
      </c>
      <c r="F349" s="2" t="s">
        <v>20</v>
      </c>
      <c r="G349" s="2" t="s">
        <v>1844</v>
      </c>
      <c r="H349" s="2"/>
      <c r="I349" s="2"/>
    </row>
    <row r="350" spans="1:9" x14ac:dyDescent="0.35">
      <c r="A350" s="2" t="s">
        <v>1830</v>
      </c>
      <c r="B350" s="2" t="s">
        <v>24</v>
      </c>
      <c r="C350" s="2" t="s">
        <v>1843</v>
      </c>
      <c r="D350" s="2" t="s">
        <v>87</v>
      </c>
      <c r="E350" s="2" t="s">
        <v>75</v>
      </c>
      <c r="F350" s="2" t="s">
        <v>20</v>
      </c>
      <c r="G350" s="2" t="s">
        <v>1845</v>
      </c>
      <c r="H350" s="2"/>
      <c r="I350" s="2"/>
    </row>
    <row r="351" spans="1:9" x14ac:dyDescent="0.35">
      <c r="A351" s="2" t="s">
        <v>1830</v>
      </c>
      <c r="B351" s="2" t="s">
        <v>24</v>
      </c>
      <c r="C351" s="2" t="s">
        <v>1843</v>
      </c>
      <c r="D351" s="2" t="s">
        <v>124</v>
      </c>
      <c r="E351" s="2" t="s">
        <v>1654</v>
      </c>
      <c r="F351" s="2"/>
      <c r="G351" s="2"/>
      <c r="H351" s="2"/>
      <c r="I351" s="2"/>
    </row>
    <row r="352" spans="1:9" x14ac:dyDescent="0.35">
      <c r="A352" s="2" t="s">
        <v>1830</v>
      </c>
      <c r="B352" s="2" t="s">
        <v>24</v>
      </c>
      <c r="C352" s="2" t="s">
        <v>1843</v>
      </c>
      <c r="D352" s="2" t="s">
        <v>18</v>
      </c>
      <c r="E352" s="2" t="s">
        <v>19</v>
      </c>
      <c r="F352" s="2" t="s">
        <v>20</v>
      </c>
      <c r="G352" s="2" t="s">
        <v>1846</v>
      </c>
      <c r="H352" s="2"/>
      <c r="I352" s="2"/>
    </row>
    <row r="353" spans="1:9" x14ac:dyDescent="0.35">
      <c r="A353" s="2" t="s">
        <v>1830</v>
      </c>
      <c r="B353" s="2" t="s">
        <v>24</v>
      </c>
      <c r="C353" s="2" t="s">
        <v>1843</v>
      </c>
      <c r="D353" s="2" t="s">
        <v>188</v>
      </c>
      <c r="E353" s="2" t="s">
        <v>189</v>
      </c>
      <c r="F353" s="2" t="s">
        <v>20</v>
      </c>
      <c r="G353" s="2" t="s">
        <v>1847</v>
      </c>
      <c r="H353" s="2"/>
      <c r="I353" s="2"/>
    </row>
    <row r="354" spans="1:9" x14ac:dyDescent="0.35">
      <c r="A354" s="2" t="s">
        <v>1830</v>
      </c>
      <c r="B354" s="2" t="s">
        <v>24</v>
      </c>
      <c r="C354" s="2" t="s">
        <v>1843</v>
      </c>
      <c r="D354" s="2" t="s">
        <v>61</v>
      </c>
      <c r="E354" s="2" t="s">
        <v>30</v>
      </c>
      <c r="F354" s="2"/>
      <c r="G354" s="2"/>
      <c r="H354" s="2"/>
      <c r="I354" s="2"/>
    </row>
    <row r="355" spans="1:9" x14ac:dyDescent="0.35">
      <c r="A355" s="2" t="s">
        <v>1830</v>
      </c>
      <c r="B355" s="2" t="s">
        <v>24</v>
      </c>
      <c r="C355" s="2" t="s">
        <v>1843</v>
      </c>
      <c r="D355" s="2" t="s">
        <v>127</v>
      </c>
      <c r="E355" s="2" t="s">
        <v>107</v>
      </c>
      <c r="F355" s="2"/>
      <c r="G355" s="2"/>
      <c r="H355" s="2"/>
      <c r="I355" s="2"/>
    </row>
    <row r="356" spans="1:9" x14ac:dyDescent="0.35">
      <c r="A356" s="2" t="s">
        <v>1830</v>
      </c>
      <c r="B356" s="2" t="s">
        <v>62</v>
      </c>
      <c r="C356" s="2" t="s">
        <v>1848</v>
      </c>
      <c r="D356" s="2" t="s">
        <v>27</v>
      </c>
      <c r="E356" s="2" t="s">
        <v>28</v>
      </c>
      <c r="F356" s="2" t="s">
        <v>20</v>
      </c>
      <c r="G356" s="2" t="s">
        <v>1849</v>
      </c>
      <c r="H356" s="2"/>
      <c r="I356" s="2"/>
    </row>
    <row r="357" spans="1:9" x14ac:dyDescent="0.35">
      <c r="A357" s="2" t="s">
        <v>1830</v>
      </c>
      <c r="B357" s="2" t="s">
        <v>62</v>
      </c>
      <c r="C357" s="2" t="s">
        <v>1848</v>
      </c>
      <c r="D357" s="2" t="s">
        <v>98</v>
      </c>
      <c r="E357" s="2" t="s">
        <v>98</v>
      </c>
      <c r="F357" s="2"/>
      <c r="G357" s="2"/>
      <c r="H357" s="2"/>
      <c r="I357" s="2"/>
    </row>
    <row r="358" spans="1:9" x14ac:dyDescent="0.35">
      <c r="A358" s="2" t="s">
        <v>1830</v>
      </c>
      <c r="B358" s="2" t="s">
        <v>62</v>
      </c>
      <c r="C358" s="2" t="s">
        <v>1848</v>
      </c>
      <c r="D358" s="2" t="s">
        <v>18</v>
      </c>
      <c r="E358" s="2" t="s">
        <v>19</v>
      </c>
      <c r="F358" s="2" t="s">
        <v>20</v>
      </c>
      <c r="G358" s="2" t="s">
        <v>1849</v>
      </c>
      <c r="H358" s="2"/>
      <c r="I358" s="2"/>
    </row>
    <row r="359" spans="1:9" x14ac:dyDescent="0.35">
      <c r="A359" s="2" t="s">
        <v>1830</v>
      </c>
      <c r="B359" s="2" t="s">
        <v>62</v>
      </c>
      <c r="C359" s="2" t="s">
        <v>1848</v>
      </c>
      <c r="D359" s="2" t="s">
        <v>61</v>
      </c>
      <c r="E359" s="2" t="s">
        <v>30</v>
      </c>
      <c r="F359" s="2"/>
      <c r="G359" s="2"/>
      <c r="H359" s="2"/>
      <c r="I359" s="2"/>
    </row>
    <row r="360" spans="1:9" x14ac:dyDescent="0.35">
      <c r="A360" s="2" t="s">
        <v>1830</v>
      </c>
      <c r="B360" s="2" t="s">
        <v>54</v>
      </c>
      <c r="C360" s="2" t="s">
        <v>1850</v>
      </c>
      <c r="D360" s="2" t="s">
        <v>393</v>
      </c>
      <c r="E360" s="2" t="s">
        <v>36</v>
      </c>
      <c r="F360" s="2"/>
      <c r="G360" s="2"/>
      <c r="H360" s="2"/>
      <c r="I360" s="2"/>
    </row>
    <row r="361" spans="1:9" x14ac:dyDescent="0.35">
      <c r="A361" s="2" t="s">
        <v>1830</v>
      </c>
      <c r="B361" s="2" t="s">
        <v>54</v>
      </c>
      <c r="C361" s="2" t="s">
        <v>1851</v>
      </c>
      <c r="D361" s="2" t="s">
        <v>18</v>
      </c>
      <c r="E361" s="2" t="s">
        <v>19</v>
      </c>
      <c r="F361" s="2" t="s">
        <v>20</v>
      </c>
      <c r="G361" s="2" t="s">
        <v>1852</v>
      </c>
      <c r="H361" s="2"/>
      <c r="I361" s="2"/>
    </row>
    <row r="362" spans="1:9" x14ac:dyDescent="0.35">
      <c r="A362" s="2" t="s">
        <v>1830</v>
      </c>
      <c r="B362" s="2" t="s">
        <v>54</v>
      </c>
      <c r="C362" s="2" t="s">
        <v>1851</v>
      </c>
      <c r="D362" s="2" t="s">
        <v>89</v>
      </c>
      <c r="E362" s="2" t="s">
        <v>45</v>
      </c>
      <c r="F362" s="2" t="s">
        <v>20</v>
      </c>
      <c r="G362" s="2" t="s">
        <v>1852</v>
      </c>
      <c r="H362" s="2"/>
      <c r="I362" s="2"/>
    </row>
    <row r="363" spans="1:9" x14ac:dyDescent="0.35">
      <c r="A363" s="2" t="s">
        <v>1830</v>
      </c>
      <c r="B363" s="2" t="s">
        <v>62</v>
      </c>
      <c r="C363" s="2" t="s">
        <v>1853</v>
      </c>
      <c r="D363" s="2" t="s">
        <v>27</v>
      </c>
      <c r="E363" s="2" t="s">
        <v>28</v>
      </c>
      <c r="F363" s="2" t="s">
        <v>20</v>
      </c>
      <c r="G363" s="2" t="s">
        <v>1823</v>
      </c>
      <c r="H363" s="2"/>
      <c r="I363" s="2"/>
    </row>
    <row r="364" spans="1:9" x14ac:dyDescent="0.35">
      <c r="A364" s="2" t="s">
        <v>1830</v>
      </c>
      <c r="B364" s="2" t="s">
        <v>62</v>
      </c>
      <c r="C364" s="2" t="s">
        <v>1853</v>
      </c>
      <c r="D364" s="2" t="s">
        <v>18</v>
      </c>
      <c r="E364" s="2" t="s">
        <v>19</v>
      </c>
      <c r="F364" s="2" t="s">
        <v>20</v>
      </c>
      <c r="G364" s="2" t="s">
        <v>1823</v>
      </c>
      <c r="H364" s="2"/>
      <c r="I364" s="2"/>
    </row>
    <row r="365" spans="1:9" x14ac:dyDescent="0.35">
      <c r="A365" s="2" t="s">
        <v>1830</v>
      </c>
      <c r="B365" s="2" t="s">
        <v>12</v>
      </c>
      <c r="C365" s="2" t="s">
        <v>1854</v>
      </c>
      <c r="D365" s="2" t="s">
        <v>27</v>
      </c>
      <c r="E365" s="2" t="s">
        <v>28</v>
      </c>
      <c r="F365" s="2" t="s">
        <v>20</v>
      </c>
      <c r="G365" s="2" t="s">
        <v>1855</v>
      </c>
      <c r="H365" s="2"/>
      <c r="I365" s="2"/>
    </row>
    <row r="366" spans="1:9" x14ac:dyDescent="0.35">
      <c r="A366" s="2" t="s">
        <v>1830</v>
      </c>
      <c r="B366" s="2" t="s">
        <v>12</v>
      </c>
      <c r="C366" s="2" t="s">
        <v>1854</v>
      </c>
      <c r="D366" s="2" t="s">
        <v>18</v>
      </c>
      <c r="E366" s="2" t="s">
        <v>19</v>
      </c>
      <c r="F366" s="2" t="s">
        <v>20</v>
      </c>
      <c r="G366" s="2" t="s">
        <v>1856</v>
      </c>
      <c r="H366" s="2"/>
      <c r="I366" s="2"/>
    </row>
    <row r="367" spans="1:9" x14ac:dyDescent="0.35">
      <c r="A367" s="2" t="s">
        <v>1830</v>
      </c>
      <c r="B367" s="2" t="s">
        <v>62</v>
      </c>
      <c r="C367" s="2" t="s">
        <v>1857</v>
      </c>
      <c r="D367" s="2" t="s">
        <v>27</v>
      </c>
      <c r="E367" s="2" t="s">
        <v>28</v>
      </c>
      <c r="F367" s="2" t="s">
        <v>20</v>
      </c>
      <c r="G367" s="2" t="s">
        <v>1858</v>
      </c>
      <c r="H367" s="2"/>
      <c r="I367" s="2"/>
    </row>
    <row r="368" spans="1:9" x14ac:dyDescent="0.35">
      <c r="A368" s="2" t="s">
        <v>1830</v>
      </c>
      <c r="B368" s="2" t="s">
        <v>62</v>
      </c>
      <c r="C368" s="2" t="s">
        <v>1857</v>
      </c>
      <c r="D368" s="2" t="s">
        <v>121</v>
      </c>
      <c r="E368" s="2" t="s">
        <v>122</v>
      </c>
      <c r="F368" s="2" t="s">
        <v>20</v>
      </c>
      <c r="G368" s="2" t="s">
        <v>1858</v>
      </c>
      <c r="H368" s="2"/>
      <c r="I368" s="2"/>
    </row>
    <row r="369" spans="1:9" x14ac:dyDescent="0.35">
      <c r="A369" s="2" t="s">
        <v>1830</v>
      </c>
      <c r="B369" s="2" t="s">
        <v>62</v>
      </c>
      <c r="C369" s="2" t="s">
        <v>1859</v>
      </c>
      <c r="D369" s="2" t="s">
        <v>27</v>
      </c>
      <c r="E369" s="2" t="s">
        <v>28</v>
      </c>
      <c r="F369" s="2" t="s">
        <v>20</v>
      </c>
      <c r="G369" s="2" t="s">
        <v>1823</v>
      </c>
      <c r="H369" s="2"/>
      <c r="I369" s="2"/>
    </row>
    <row r="370" spans="1:9" x14ac:dyDescent="0.35">
      <c r="A370" s="2" t="s">
        <v>1830</v>
      </c>
      <c r="B370" s="2" t="s">
        <v>62</v>
      </c>
      <c r="C370" s="2" t="s">
        <v>1859</v>
      </c>
      <c r="D370" s="2" t="s">
        <v>87</v>
      </c>
      <c r="E370" s="2" t="s">
        <v>75</v>
      </c>
      <c r="F370" s="2"/>
      <c r="G370" s="2"/>
      <c r="H370" s="2"/>
      <c r="I370" s="2"/>
    </row>
    <row r="371" spans="1:9" x14ac:dyDescent="0.35">
      <c r="A371" s="2" t="s">
        <v>1830</v>
      </c>
      <c r="B371" s="2" t="s">
        <v>62</v>
      </c>
      <c r="C371" s="2" t="s">
        <v>1859</v>
      </c>
      <c r="D371" s="2" t="s">
        <v>18</v>
      </c>
      <c r="E371" s="2" t="s">
        <v>19</v>
      </c>
      <c r="F371" s="2"/>
      <c r="G371" s="2"/>
      <c r="H371" s="2"/>
      <c r="I371" s="2"/>
    </row>
    <row r="372" spans="1:9" x14ac:dyDescent="0.35">
      <c r="A372" s="2" t="s">
        <v>1830</v>
      </c>
      <c r="B372" s="2" t="s">
        <v>62</v>
      </c>
      <c r="C372" s="2" t="s">
        <v>1859</v>
      </c>
      <c r="D372" s="2" t="s">
        <v>375</v>
      </c>
      <c r="E372" s="2" t="s">
        <v>107</v>
      </c>
      <c r="F372" s="2"/>
      <c r="G372" s="2"/>
      <c r="H372" s="2"/>
      <c r="I372" s="2"/>
    </row>
    <row r="373" spans="1:9" x14ac:dyDescent="0.35">
      <c r="A373" s="2" t="s">
        <v>1830</v>
      </c>
      <c r="B373" s="2" t="s">
        <v>62</v>
      </c>
      <c r="C373" s="2" t="s">
        <v>1860</v>
      </c>
      <c r="D373" s="2" t="s">
        <v>27</v>
      </c>
      <c r="E373" s="2" t="s">
        <v>28</v>
      </c>
      <c r="F373" s="2"/>
      <c r="G373" s="2"/>
      <c r="H373" s="2"/>
      <c r="I373" s="2"/>
    </row>
    <row r="374" spans="1:9" x14ac:dyDescent="0.35">
      <c r="A374" s="2" t="s">
        <v>1830</v>
      </c>
      <c r="B374" s="2" t="s">
        <v>62</v>
      </c>
      <c r="C374" s="2" t="s">
        <v>1860</v>
      </c>
      <c r="D374" s="2" t="s">
        <v>18</v>
      </c>
      <c r="E374" s="2" t="s">
        <v>19</v>
      </c>
      <c r="F374" s="2" t="s">
        <v>20</v>
      </c>
      <c r="G374" s="2" t="s">
        <v>1861</v>
      </c>
      <c r="H374" s="2"/>
      <c r="I374" s="2"/>
    </row>
    <row r="375" spans="1:9" x14ac:dyDescent="0.35">
      <c r="A375" s="2" t="s">
        <v>1830</v>
      </c>
      <c r="B375" s="2" t="s">
        <v>62</v>
      </c>
      <c r="C375" s="2" t="s">
        <v>1862</v>
      </c>
      <c r="D375" s="2" t="s">
        <v>27</v>
      </c>
      <c r="E375" s="2" t="s">
        <v>28</v>
      </c>
      <c r="F375" s="2"/>
      <c r="G375" s="2"/>
      <c r="H375" s="2"/>
      <c r="I375" s="2"/>
    </row>
    <row r="376" spans="1:9" x14ac:dyDescent="0.35">
      <c r="A376" s="2" t="s">
        <v>1830</v>
      </c>
      <c r="B376" s="2" t="s">
        <v>57</v>
      </c>
      <c r="C376" s="2" t="s">
        <v>1863</v>
      </c>
      <c r="D376" s="2" t="s">
        <v>27</v>
      </c>
      <c r="E376" s="2" t="s">
        <v>28</v>
      </c>
      <c r="F376" s="2"/>
      <c r="G376" s="2"/>
      <c r="H376" s="2"/>
      <c r="I376" s="2"/>
    </row>
    <row r="377" spans="1:9" x14ac:dyDescent="0.35">
      <c r="A377" s="2" t="s">
        <v>1830</v>
      </c>
      <c r="B377" s="2" t="s">
        <v>57</v>
      </c>
      <c r="C377" s="2" t="s">
        <v>1863</v>
      </c>
      <c r="D377" s="2" t="s">
        <v>121</v>
      </c>
      <c r="E377" s="2" t="s">
        <v>122</v>
      </c>
      <c r="F377" s="2"/>
      <c r="G377" s="2"/>
      <c r="H377" s="2"/>
      <c r="I377" s="2"/>
    </row>
    <row r="378" spans="1:9" x14ac:dyDescent="0.35">
      <c r="A378" s="2" t="s">
        <v>1830</v>
      </c>
      <c r="B378" s="2" t="s">
        <v>57</v>
      </c>
      <c r="C378" s="2" t="s">
        <v>1863</v>
      </c>
      <c r="D378" s="2" t="s">
        <v>87</v>
      </c>
      <c r="E378" s="2" t="s">
        <v>75</v>
      </c>
      <c r="F378" s="2"/>
      <c r="G378" s="2"/>
      <c r="H378" s="2"/>
      <c r="I378" s="2"/>
    </row>
    <row r="379" spans="1:9" x14ac:dyDescent="0.35">
      <c r="A379" s="2" t="s">
        <v>1830</v>
      </c>
      <c r="B379" s="2" t="s">
        <v>57</v>
      </c>
      <c r="C379" s="2" t="s">
        <v>1863</v>
      </c>
      <c r="D379" s="2" t="s">
        <v>257</v>
      </c>
      <c r="E379" s="2" t="s">
        <v>45</v>
      </c>
      <c r="F379" s="2" t="s">
        <v>20</v>
      </c>
      <c r="G379" s="2" t="s">
        <v>1864</v>
      </c>
      <c r="H379" s="2"/>
      <c r="I379" s="2"/>
    </row>
    <row r="380" spans="1:9" x14ac:dyDescent="0.35">
      <c r="A380" s="2" t="s">
        <v>1830</v>
      </c>
      <c r="B380" s="2" t="s">
        <v>57</v>
      </c>
      <c r="C380" s="2" t="s">
        <v>1863</v>
      </c>
      <c r="D380" s="2" t="s">
        <v>18</v>
      </c>
      <c r="E380" s="2" t="s">
        <v>19</v>
      </c>
      <c r="F380" s="2" t="s">
        <v>20</v>
      </c>
      <c r="G380" s="2" t="s">
        <v>1865</v>
      </c>
      <c r="H380" s="2"/>
      <c r="I380" s="2"/>
    </row>
    <row r="381" spans="1:9" x14ac:dyDescent="0.35">
      <c r="A381" s="2" t="s">
        <v>1830</v>
      </c>
      <c r="B381" s="2" t="s">
        <v>57</v>
      </c>
      <c r="C381" s="2" t="s">
        <v>1863</v>
      </c>
      <c r="D381" s="2" t="s">
        <v>61</v>
      </c>
      <c r="E381" s="2" t="s">
        <v>30</v>
      </c>
      <c r="F381" s="2"/>
      <c r="G381" s="2"/>
      <c r="H381" s="2"/>
      <c r="I381" s="2"/>
    </row>
    <row r="382" spans="1:9" x14ac:dyDescent="0.35">
      <c r="A382" s="2" t="s">
        <v>1830</v>
      </c>
      <c r="B382" s="2" t="s">
        <v>57</v>
      </c>
      <c r="C382" s="2" t="s">
        <v>1863</v>
      </c>
      <c r="D382" s="2" t="s">
        <v>149</v>
      </c>
      <c r="E382" s="2" t="s">
        <v>150</v>
      </c>
      <c r="F382" s="2" t="s">
        <v>20</v>
      </c>
      <c r="G382" s="2" t="s">
        <v>1866</v>
      </c>
      <c r="H382" s="2"/>
      <c r="I382" s="2"/>
    </row>
    <row r="383" spans="1:9" x14ac:dyDescent="0.35">
      <c r="A383" s="2" t="s">
        <v>1830</v>
      </c>
      <c r="B383" s="2" t="s">
        <v>24</v>
      </c>
      <c r="C383" s="2" t="s">
        <v>1867</v>
      </c>
      <c r="D383" s="2" t="s">
        <v>1172</v>
      </c>
      <c r="E383" s="2" t="s">
        <v>107</v>
      </c>
      <c r="F383" s="2"/>
      <c r="G383" s="2"/>
      <c r="H383" s="2"/>
      <c r="I383" s="2"/>
    </row>
    <row r="384" spans="1:9" x14ac:dyDescent="0.35">
      <c r="A384" s="2" t="s">
        <v>1830</v>
      </c>
      <c r="B384" s="2" t="s">
        <v>24</v>
      </c>
      <c r="C384" s="2" t="s">
        <v>1867</v>
      </c>
      <c r="D384" s="2" t="s">
        <v>144</v>
      </c>
      <c r="E384" s="2" t="s">
        <v>50</v>
      </c>
      <c r="F384" s="2" t="s">
        <v>20</v>
      </c>
      <c r="G384" s="2" t="s">
        <v>1868</v>
      </c>
      <c r="H384" s="2"/>
      <c r="I384" s="2"/>
    </row>
    <row r="385" spans="1:9" x14ac:dyDescent="0.35">
      <c r="A385" s="2" t="s">
        <v>1830</v>
      </c>
      <c r="B385" s="2" t="s">
        <v>24</v>
      </c>
      <c r="C385" s="2" t="s">
        <v>1867</v>
      </c>
      <c r="D385" s="2" t="s">
        <v>27</v>
      </c>
      <c r="E385" s="2" t="s">
        <v>28</v>
      </c>
      <c r="F385" s="2"/>
      <c r="G385" s="2"/>
      <c r="H385" s="2"/>
      <c r="I385" s="2"/>
    </row>
    <row r="386" spans="1:9" x14ac:dyDescent="0.35">
      <c r="A386" s="2" t="s">
        <v>1830</v>
      </c>
      <c r="B386" s="2" t="s">
        <v>24</v>
      </c>
      <c r="C386" s="2" t="s">
        <v>1867</v>
      </c>
      <c r="D386" s="2" t="s">
        <v>31</v>
      </c>
      <c r="E386" s="2" t="s">
        <v>32</v>
      </c>
      <c r="F386" s="2"/>
      <c r="G386" s="2"/>
      <c r="H386" s="2"/>
      <c r="I386" s="2"/>
    </row>
    <row r="387" spans="1:9" x14ac:dyDescent="0.35">
      <c r="A387" s="2" t="s">
        <v>1830</v>
      </c>
      <c r="B387" s="2" t="s">
        <v>24</v>
      </c>
      <c r="C387" s="2" t="s">
        <v>1867</v>
      </c>
      <c r="D387" s="2" t="s">
        <v>200</v>
      </c>
      <c r="E387" s="2" t="s">
        <v>201</v>
      </c>
      <c r="F387" s="2"/>
      <c r="G387" s="2"/>
      <c r="H387" s="2"/>
      <c r="I387" s="2"/>
    </row>
    <row r="388" spans="1:9" x14ac:dyDescent="0.35">
      <c r="A388" s="2" t="s">
        <v>1830</v>
      </c>
      <c r="B388" s="2" t="s">
        <v>24</v>
      </c>
      <c r="C388" s="2" t="s">
        <v>1867</v>
      </c>
      <c r="D388" s="2" t="s">
        <v>96</v>
      </c>
      <c r="E388" s="2" t="s">
        <v>83</v>
      </c>
      <c r="F388" s="2" t="s">
        <v>20</v>
      </c>
      <c r="G388" s="2" t="s">
        <v>1869</v>
      </c>
      <c r="H388" s="2"/>
      <c r="I388" s="2"/>
    </row>
    <row r="389" spans="1:9" x14ac:dyDescent="0.35">
      <c r="A389" s="2" t="s">
        <v>1830</v>
      </c>
      <c r="B389" s="2" t="s">
        <v>24</v>
      </c>
      <c r="C389" s="2" t="s">
        <v>1867</v>
      </c>
      <c r="D389" s="2" t="s">
        <v>121</v>
      </c>
      <c r="E389" s="2" t="s">
        <v>122</v>
      </c>
      <c r="F389" s="2"/>
      <c r="G389" s="2"/>
      <c r="H389" s="2"/>
      <c r="I389" s="2"/>
    </row>
    <row r="390" spans="1:9" x14ac:dyDescent="0.35">
      <c r="A390" s="2" t="s">
        <v>1830</v>
      </c>
      <c r="B390" s="2" t="s">
        <v>24</v>
      </c>
      <c r="C390" s="2" t="s">
        <v>1867</v>
      </c>
      <c r="D390" s="2" t="s">
        <v>156</v>
      </c>
      <c r="E390" s="2" t="s">
        <v>45</v>
      </c>
      <c r="F390" s="2"/>
      <c r="G390" s="2"/>
      <c r="H390" s="2"/>
      <c r="I390" s="2"/>
    </row>
    <row r="391" spans="1:9" x14ac:dyDescent="0.35">
      <c r="A391" s="2" t="s">
        <v>1830</v>
      </c>
      <c r="B391" s="2" t="s">
        <v>24</v>
      </c>
      <c r="C391" s="2" t="s">
        <v>1867</v>
      </c>
      <c r="D391" s="2" t="s">
        <v>87</v>
      </c>
      <c r="E391" s="2" t="s">
        <v>75</v>
      </c>
      <c r="F391" s="2"/>
      <c r="G391" s="2"/>
      <c r="H391" s="2"/>
      <c r="I391" s="2"/>
    </row>
    <row r="392" spans="1:9" x14ac:dyDescent="0.35">
      <c r="A392" s="2" t="s">
        <v>1830</v>
      </c>
      <c r="B392" s="2" t="s">
        <v>24</v>
      </c>
      <c r="C392" s="2" t="s">
        <v>1867</v>
      </c>
      <c r="D392" s="2" t="s">
        <v>487</v>
      </c>
      <c r="E392" s="2" t="s">
        <v>75</v>
      </c>
      <c r="F392" s="2"/>
      <c r="G392" s="2"/>
      <c r="H392" s="2"/>
      <c r="I392" s="2"/>
    </row>
    <row r="393" spans="1:9" x14ac:dyDescent="0.35">
      <c r="A393" s="2" t="s">
        <v>1830</v>
      </c>
      <c r="B393" s="2" t="s">
        <v>24</v>
      </c>
      <c r="C393" s="2" t="s">
        <v>1867</v>
      </c>
      <c r="D393" s="2" t="s">
        <v>18</v>
      </c>
      <c r="E393" s="2" t="s">
        <v>19</v>
      </c>
      <c r="F393" s="2" t="s">
        <v>20</v>
      </c>
      <c r="G393" s="2" t="s">
        <v>1870</v>
      </c>
      <c r="H393" s="2"/>
      <c r="I393" s="2"/>
    </row>
    <row r="394" spans="1:9" x14ac:dyDescent="0.35">
      <c r="A394" s="2" t="s">
        <v>1830</v>
      </c>
      <c r="B394" s="2" t="s">
        <v>24</v>
      </c>
      <c r="C394" s="2" t="s">
        <v>1867</v>
      </c>
      <c r="D394" s="2" t="s">
        <v>106</v>
      </c>
      <c r="E394" s="2" t="s">
        <v>107</v>
      </c>
      <c r="F394" s="2"/>
      <c r="G394" s="2"/>
      <c r="H394" s="2"/>
      <c r="I394" s="2"/>
    </row>
    <row r="395" spans="1:9" x14ac:dyDescent="0.35">
      <c r="A395" s="2" t="s">
        <v>1871</v>
      </c>
      <c r="B395" s="2" t="s">
        <v>12</v>
      </c>
      <c r="C395" s="2" t="s">
        <v>1872</v>
      </c>
      <c r="D395" s="2" t="s">
        <v>91</v>
      </c>
      <c r="E395" s="2" t="s">
        <v>19</v>
      </c>
      <c r="F395" s="2" t="s">
        <v>20</v>
      </c>
      <c r="G395" s="2" t="s">
        <v>1873</v>
      </c>
      <c r="H395" s="2"/>
      <c r="I395" s="2"/>
    </row>
    <row r="396" spans="1:9" x14ac:dyDescent="0.35">
      <c r="A396" s="2" t="s">
        <v>1871</v>
      </c>
      <c r="B396" s="2" t="s">
        <v>24</v>
      </c>
      <c r="C396" s="2" t="s">
        <v>1874</v>
      </c>
      <c r="D396" s="2" t="s">
        <v>74</v>
      </c>
      <c r="E396" s="2" t="s">
        <v>75</v>
      </c>
      <c r="F396" s="2" t="s">
        <v>20</v>
      </c>
      <c r="G396" s="2" t="s">
        <v>1875</v>
      </c>
      <c r="H396" s="2" t="s">
        <v>20</v>
      </c>
      <c r="I396" s="2" t="s">
        <v>1876</v>
      </c>
    </row>
    <row r="397" spans="1:9" x14ac:dyDescent="0.35">
      <c r="A397" s="2" t="s">
        <v>1871</v>
      </c>
      <c r="B397" s="2" t="s">
        <v>24</v>
      </c>
      <c r="C397" s="2" t="s">
        <v>1874</v>
      </c>
      <c r="D397" s="2" t="s">
        <v>14</v>
      </c>
      <c r="E397" s="2" t="s">
        <v>15</v>
      </c>
      <c r="F397" s="2"/>
      <c r="G397" s="2"/>
      <c r="H397" s="2" t="s">
        <v>20</v>
      </c>
      <c r="I397" s="2" t="s">
        <v>1876</v>
      </c>
    </row>
    <row r="398" spans="1:9" x14ac:dyDescent="0.35">
      <c r="A398" s="2" t="s">
        <v>1871</v>
      </c>
      <c r="B398" s="2" t="s">
        <v>24</v>
      </c>
      <c r="C398" s="2" t="s">
        <v>1874</v>
      </c>
      <c r="D398" s="2" t="s">
        <v>18</v>
      </c>
      <c r="E398" s="2" t="s">
        <v>19</v>
      </c>
      <c r="F398" s="2" t="s">
        <v>20</v>
      </c>
      <c r="G398" s="2" t="s">
        <v>1877</v>
      </c>
      <c r="H398" s="2" t="s">
        <v>20</v>
      </c>
      <c r="I398" s="2" t="s">
        <v>1876</v>
      </c>
    </row>
    <row r="399" spans="1:9" x14ac:dyDescent="0.35">
      <c r="A399" s="2" t="s">
        <v>1871</v>
      </c>
      <c r="B399" s="2" t="s">
        <v>24</v>
      </c>
      <c r="C399" s="2" t="s">
        <v>1874</v>
      </c>
      <c r="D399" s="2" t="s">
        <v>188</v>
      </c>
      <c r="E399" s="2" t="s">
        <v>189</v>
      </c>
      <c r="F399" s="2"/>
      <c r="G399" s="2"/>
      <c r="H399" s="2" t="s">
        <v>20</v>
      </c>
      <c r="I399" s="2" t="s">
        <v>1876</v>
      </c>
    </row>
    <row r="400" spans="1:9" x14ac:dyDescent="0.35">
      <c r="A400" s="2" t="s">
        <v>1871</v>
      </c>
      <c r="B400" s="2" t="s">
        <v>57</v>
      </c>
      <c r="C400" s="2" t="s">
        <v>1878</v>
      </c>
      <c r="D400" s="2" t="s">
        <v>91</v>
      </c>
      <c r="E400" s="2" t="s">
        <v>19</v>
      </c>
      <c r="F400" s="2" t="s">
        <v>20</v>
      </c>
      <c r="G400" s="2" t="s">
        <v>1879</v>
      </c>
      <c r="H400" s="2" t="s">
        <v>20</v>
      </c>
      <c r="I400" s="2" t="s">
        <v>1876</v>
      </c>
    </row>
    <row r="401" spans="1:9" x14ac:dyDescent="0.35">
      <c r="A401" s="2" t="s">
        <v>1871</v>
      </c>
      <c r="B401" s="2" t="s">
        <v>57</v>
      </c>
      <c r="C401" s="2" t="s">
        <v>1878</v>
      </c>
      <c r="D401" s="2" t="s">
        <v>188</v>
      </c>
      <c r="E401" s="2" t="s">
        <v>189</v>
      </c>
      <c r="F401" s="2"/>
      <c r="G401" s="2"/>
      <c r="H401" s="2" t="s">
        <v>20</v>
      </c>
      <c r="I401" s="2" t="s">
        <v>1876</v>
      </c>
    </row>
    <row r="402" spans="1:9" x14ac:dyDescent="0.35">
      <c r="A402" s="2" t="s">
        <v>1871</v>
      </c>
      <c r="B402" s="2" t="s">
        <v>57</v>
      </c>
      <c r="C402" s="2" t="s">
        <v>1878</v>
      </c>
      <c r="D402" s="2" t="s">
        <v>61</v>
      </c>
      <c r="E402" s="2" t="s">
        <v>30</v>
      </c>
      <c r="F402" s="2"/>
      <c r="G402" s="2"/>
      <c r="H402" s="2" t="s">
        <v>20</v>
      </c>
      <c r="I402" s="2" t="s">
        <v>1876</v>
      </c>
    </row>
    <row r="403" spans="1:9" x14ac:dyDescent="0.35">
      <c r="A403" s="2" t="s">
        <v>1871</v>
      </c>
      <c r="B403" s="2" t="s">
        <v>24</v>
      </c>
      <c r="C403" s="2" t="s">
        <v>1880</v>
      </c>
      <c r="D403" s="2" t="s">
        <v>27</v>
      </c>
      <c r="E403" s="2" t="s">
        <v>28</v>
      </c>
      <c r="F403" s="2" t="s">
        <v>46</v>
      </c>
      <c r="G403" s="2" t="s">
        <v>1881</v>
      </c>
      <c r="H403" s="2" t="s">
        <v>20</v>
      </c>
      <c r="I403" s="2" t="s">
        <v>1876</v>
      </c>
    </row>
    <row r="404" spans="1:9" x14ac:dyDescent="0.35">
      <c r="A404" s="2" t="s">
        <v>1871</v>
      </c>
      <c r="B404" s="2" t="s">
        <v>24</v>
      </c>
      <c r="C404" s="2" t="s">
        <v>1880</v>
      </c>
      <c r="D404" s="2" t="s">
        <v>18</v>
      </c>
      <c r="E404" s="2" t="s">
        <v>19</v>
      </c>
      <c r="F404" s="2" t="s">
        <v>46</v>
      </c>
      <c r="G404" s="2" t="s">
        <v>1881</v>
      </c>
      <c r="H404" s="2" t="s">
        <v>20</v>
      </c>
      <c r="I404" s="2" t="s">
        <v>1876</v>
      </c>
    </row>
    <row r="405" spans="1:9" x14ac:dyDescent="0.35">
      <c r="A405" s="2" t="s">
        <v>1871</v>
      </c>
      <c r="B405" s="2" t="s">
        <v>24</v>
      </c>
      <c r="C405" s="2" t="s">
        <v>1880</v>
      </c>
      <c r="D405" s="2" t="s">
        <v>61</v>
      </c>
      <c r="E405" s="2" t="s">
        <v>30</v>
      </c>
      <c r="F405" s="2" t="s">
        <v>46</v>
      </c>
      <c r="G405" s="2" t="s">
        <v>1881</v>
      </c>
      <c r="H405" s="2" t="s">
        <v>20</v>
      </c>
      <c r="I405" s="2" t="s">
        <v>1876</v>
      </c>
    </row>
    <row r="406" spans="1:9" x14ac:dyDescent="0.35">
      <c r="A406" s="2" t="s">
        <v>1871</v>
      </c>
      <c r="B406" s="2" t="s">
        <v>54</v>
      </c>
      <c r="C406" s="2" t="s">
        <v>1882</v>
      </c>
      <c r="D406" s="2" t="s">
        <v>18</v>
      </c>
      <c r="E406" s="2" t="s">
        <v>19</v>
      </c>
      <c r="F406" s="2" t="s">
        <v>20</v>
      </c>
      <c r="G406" s="2" t="s">
        <v>1883</v>
      </c>
      <c r="H406" s="2" t="s">
        <v>20</v>
      </c>
      <c r="I406" s="2" t="s">
        <v>1876</v>
      </c>
    </row>
    <row r="407" spans="1:9" x14ac:dyDescent="0.35">
      <c r="A407" s="2" t="s">
        <v>1871</v>
      </c>
      <c r="B407" s="2" t="s">
        <v>54</v>
      </c>
      <c r="C407" s="2" t="s">
        <v>1882</v>
      </c>
      <c r="D407" s="2" t="s">
        <v>188</v>
      </c>
      <c r="E407" s="2" t="s">
        <v>189</v>
      </c>
      <c r="F407" s="2" t="s">
        <v>20</v>
      </c>
      <c r="G407" s="2" t="s">
        <v>1883</v>
      </c>
      <c r="H407" s="2" t="s">
        <v>20</v>
      </c>
      <c r="I407" s="2" t="s">
        <v>1876</v>
      </c>
    </row>
    <row r="408" spans="1:9" x14ac:dyDescent="0.35">
      <c r="A408" s="2" t="s">
        <v>1871</v>
      </c>
      <c r="B408" s="2" t="s">
        <v>62</v>
      </c>
      <c r="C408" s="2" t="s">
        <v>1884</v>
      </c>
      <c r="D408" s="2" t="s">
        <v>74</v>
      </c>
      <c r="E408" s="2" t="s">
        <v>75</v>
      </c>
      <c r="F408" s="2" t="s">
        <v>20</v>
      </c>
      <c r="G408" s="2" t="s">
        <v>1823</v>
      </c>
      <c r="H408" s="2" t="s">
        <v>20</v>
      </c>
      <c r="I408" s="2" t="s">
        <v>1876</v>
      </c>
    </row>
    <row r="409" spans="1:9" x14ac:dyDescent="0.35">
      <c r="A409" s="2" t="s">
        <v>1871</v>
      </c>
      <c r="B409" s="2" t="s">
        <v>62</v>
      </c>
      <c r="C409" s="2" t="s">
        <v>1884</v>
      </c>
      <c r="D409" s="2" t="s">
        <v>144</v>
      </c>
      <c r="E409" s="2" t="s">
        <v>50</v>
      </c>
      <c r="F409" s="2"/>
      <c r="G409" s="2"/>
      <c r="H409" s="2" t="s">
        <v>20</v>
      </c>
      <c r="I409" s="2" t="s">
        <v>1876</v>
      </c>
    </row>
    <row r="410" spans="1:9" x14ac:dyDescent="0.35">
      <c r="A410" s="2" t="s">
        <v>1871</v>
      </c>
      <c r="B410" s="2" t="s">
        <v>62</v>
      </c>
      <c r="C410" s="2" t="s">
        <v>1884</v>
      </c>
      <c r="D410" s="2" t="s">
        <v>27</v>
      </c>
      <c r="E410" s="2" t="s">
        <v>28</v>
      </c>
      <c r="F410" s="2"/>
      <c r="G410" s="2"/>
      <c r="H410" s="2" t="s">
        <v>20</v>
      </c>
      <c r="I410" s="2" t="s">
        <v>1876</v>
      </c>
    </row>
    <row r="411" spans="1:9" x14ac:dyDescent="0.35">
      <c r="A411" s="2" t="s">
        <v>1871</v>
      </c>
      <c r="B411" s="2" t="s">
        <v>62</v>
      </c>
      <c r="C411" s="2" t="s">
        <v>1884</v>
      </c>
      <c r="D411" s="2" t="s">
        <v>18</v>
      </c>
      <c r="E411" s="2" t="s">
        <v>19</v>
      </c>
      <c r="F411" s="2" t="s">
        <v>20</v>
      </c>
      <c r="G411" s="2" t="s">
        <v>1823</v>
      </c>
      <c r="H411" s="2" t="s">
        <v>20</v>
      </c>
      <c r="I411" s="2" t="s">
        <v>1876</v>
      </c>
    </row>
    <row r="412" spans="1:9" x14ac:dyDescent="0.35">
      <c r="A412" s="2" t="s">
        <v>1871</v>
      </c>
      <c r="B412" s="2" t="s">
        <v>62</v>
      </c>
      <c r="C412" s="2" t="s">
        <v>1884</v>
      </c>
      <c r="D412" s="2" t="s">
        <v>61</v>
      </c>
      <c r="E412" s="2" t="s">
        <v>30</v>
      </c>
      <c r="F412" s="2"/>
      <c r="G412" s="2"/>
      <c r="H412" s="2" t="s">
        <v>20</v>
      </c>
      <c r="I412" s="2" t="s">
        <v>1876</v>
      </c>
    </row>
    <row r="413" spans="1:9" x14ac:dyDescent="0.35">
      <c r="A413" s="2" t="s">
        <v>1871</v>
      </c>
      <c r="B413" s="2" t="s">
        <v>62</v>
      </c>
      <c r="C413" s="2" t="s">
        <v>1885</v>
      </c>
      <c r="D413" s="2" t="s">
        <v>14</v>
      </c>
      <c r="E413" s="2" t="s">
        <v>15</v>
      </c>
      <c r="F413" s="2"/>
      <c r="G413" s="2"/>
      <c r="H413" s="2" t="s">
        <v>20</v>
      </c>
      <c r="I413" s="2" t="s">
        <v>1876</v>
      </c>
    </row>
    <row r="414" spans="1:9" x14ac:dyDescent="0.35">
      <c r="A414" s="2" t="s">
        <v>1871</v>
      </c>
      <c r="B414" s="2" t="s">
        <v>62</v>
      </c>
      <c r="C414" s="2" t="s">
        <v>1885</v>
      </c>
      <c r="D414" s="2" t="s">
        <v>27</v>
      </c>
      <c r="E414" s="2" t="s">
        <v>28</v>
      </c>
      <c r="F414" s="2" t="s">
        <v>20</v>
      </c>
      <c r="G414" s="2" t="s">
        <v>1886</v>
      </c>
      <c r="H414" s="2" t="s">
        <v>20</v>
      </c>
      <c r="I414" s="2" t="s">
        <v>1876</v>
      </c>
    </row>
    <row r="415" spans="1:9" x14ac:dyDescent="0.35">
      <c r="A415" s="2" t="s">
        <v>1871</v>
      </c>
      <c r="B415" s="2" t="s">
        <v>62</v>
      </c>
      <c r="C415" s="2" t="s">
        <v>1885</v>
      </c>
      <c r="D415" s="2" t="s">
        <v>393</v>
      </c>
      <c r="E415" s="2" t="s">
        <v>36</v>
      </c>
      <c r="F415" s="2"/>
      <c r="G415" s="2"/>
      <c r="H415" s="2" t="s">
        <v>20</v>
      </c>
      <c r="I415" s="2" t="s">
        <v>1876</v>
      </c>
    </row>
    <row r="416" spans="1:9" x14ac:dyDescent="0.35">
      <c r="A416" s="2" t="s">
        <v>1871</v>
      </c>
      <c r="B416" s="2" t="s">
        <v>62</v>
      </c>
      <c r="C416" s="2" t="s">
        <v>1885</v>
      </c>
      <c r="D416" s="2" t="s">
        <v>77</v>
      </c>
      <c r="E416" s="2" t="s">
        <v>78</v>
      </c>
      <c r="F416" s="2"/>
      <c r="G416" s="2"/>
      <c r="H416" s="2" t="s">
        <v>20</v>
      </c>
      <c r="I416" s="2" t="s">
        <v>1876</v>
      </c>
    </row>
    <row r="417" spans="1:9" x14ac:dyDescent="0.35">
      <c r="A417" s="2" t="s">
        <v>1871</v>
      </c>
      <c r="B417" s="2" t="s">
        <v>62</v>
      </c>
      <c r="C417" s="2" t="s">
        <v>1885</v>
      </c>
      <c r="D417" s="2" t="s">
        <v>18</v>
      </c>
      <c r="E417" s="2" t="s">
        <v>19</v>
      </c>
      <c r="F417" s="2" t="s">
        <v>20</v>
      </c>
      <c r="G417" s="2" t="s">
        <v>1887</v>
      </c>
      <c r="H417" s="2" t="s">
        <v>20</v>
      </c>
      <c r="I417" s="2" t="s">
        <v>1876</v>
      </c>
    </row>
    <row r="418" spans="1:9" x14ac:dyDescent="0.35">
      <c r="A418" s="2" t="s">
        <v>1871</v>
      </c>
      <c r="B418" s="2" t="s">
        <v>24</v>
      </c>
      <c r="C418" s="2" t="s">
        <v>1888</v>
      </c>
      <c r="D418" s="2" t="s">
        <v>74</v>
      </c>
      <c r="E418" s="2" t="s">
        <v>75</v>
      </c>
      <c r="F418" s="2" t="s">
        <v>20</v>
      </c>
      <c r="G418" s="2" t="s">
        <v>1889</v>
      </c>
      <c r="H418" s="2" t="s">
        <v>20</v>
      </c>
      <c r="I418" s="2" t="s">
        <v>1876</v>
      </c>
    </row>
    <row r="419" spans="1:9" x14ac:dyDescent="0.35">
      <c r="A419" s="2" t="s">
        <v>1871</v>
      </c>
      <c r="B419" s="2" t="s">
        <v>24</v>
      </c>
      <c r="C419" s="2" t="s">
        <v>1888</v>
      </c>
      <c r="D419" s="2" t="s">
        <v>14</v>
      </c>
      <c r="E419" s="2" t="s">
        <v>15</v>
      </c>
      <c r="F419" s="2"/>
      <c r="G419" s="2"/>
      <c r="H419" s="2" t="s">
        <v>20</v>
      </c>
      <c r="I419" s="2" t="s">
        <v>1876</v>
      </c>
    </row>
    <row r="420" spans="1:9" x14ac:dyDescent="0.35">
      <c r="A420" s="2" t="s">
        <v>1871</v>
      </c>
      <c r="B420" s="2" t="s">
        <v>24</v>
      </c>
      <c r="C420" s="2" t="s">
        <v>1888</v>
      </c>
      <c r="D420" s="2" t="s">
        <v>27</v>
      </c>
      <c r="E420" s="2" t="s">
        <v>28</v>
      </c>
      <c r="F420" s="2"/>
      <c r="G420" s="2"/>
      <c r="H420" s="2" t="s">
        <v>20</v>
      </c>
      <c r="I420" s="2" t="s">
        <v>1876</v>
      </c>
    </row>
    <row r="421" spans="1:9" x14ac:dyDescent="0.35">
      <c r="A421" s="2" t="s">
        <v>1871</v>
      </c>
      <c r="B421" s="2" t="s">
        <v>24</v>
      </c>
      <c r="C421" s="2" t="s">
        <v>1888</v>
      </c>
      <c r="D421" s="2" t="s">
        <v>1145</v>
      </c>
      <c r="E421" s="2" t="s">
        <v>15</v>
      </c>
      <c r="F421" s="2"/>
      <c r="G421" s="2"/>
      <c r="H421" s="2" t="s">
        <v>20</v>
      </c>
      <c r="I421" s="2" t="s">
        <v>1876</v>
      </c>
    </row>
    <row r="422" spans="1:9" x14ac:dyDescent="0.35">
      <c r="A422" s="2" t="s">
        <v>1871</v>
      </c>
      <c r="B422" s="2" t="s">
        <v>24</v>
      </c>
      <c r="C422" s="2" t="s">
        <v>1888</v>
      </c>
      <c r="D422" s="2" t="s">
        <v>35</v>
      </c>
      <c r="E422" s="2" t="s">
        <v>36</v>
      </c>
      <c r="F422" s="2"/>
      <c r="G422" s="2"/>
      <c r="H422" s="2" t="s">
        <v>20</v>
      </c>
      <c r="I422" s="2" t="s">
        <v>1876</v>
      </c>
    </row>
    <row r="423" spans="1:9" x14ac:dyDescent="0.35">
      <c r="A423" s="2" t="s">
        <v>1871</v>
      </c>
      <c r="B423" s="2" t="s">
        <v>24</v>
      </c>
      <c r="C423" s="2" t="s">
        <v>1888</v>
      </c>
      <c r="D423" s="2" t="s">
        <v>168</v>
      </c>
      <c r="E423" s="2" t="s">
        <v>45</v>
      </c>
      <c r="F423" s="2"/>
      <c r="G423" s="2"/>
      <c r="H423" s="2" t="s">
        <v>20</v>
      </c>
      <c r="I423" s="2" t="s">
        <v>1876</v>
      </c>
    </row>
    <row r="424" spans="1:9" x14ac:dyDescent="0.35">
      <c r="A424" s="2" t="s">
        <v>1871</v>
      </c>
      <c r="B424" s="2" t="s">
        <v>24</v>
      </c>
      <c r="C424" s="2" t="s">
        <v>1888</v>
      </c>
      <c r="D424" s="2" t="s">
        <v>18</v>
      </c>
      <c r="E424" s="2" t="s">
        <v>19</v>
      </c>
      <c r="F424" s="2" t="s">
        <v>20</v>
      </c>
      <c r="G424" s="2" t="s">
        <v>1890</v>
      </c>
      <c r="H424" s="2" t="s">
        <v>20</v>
      </c>
      <c r="I424" s="2" t="s">
        <v>1876</v>
      </c>
    </row>
    <row r="425" spans="1:9" x14ac:dyDescent="0.35">
      <c r="A425" s="2" t="s">
        <v>1871</v>
      </c>
      <c r="B425" s="2" t="s">
        <v>24</v>
      </c>
      <c r="C425" s="2" t="s">
        <v>1888</v>
      </c>
      <c r="D425" s="2" t="s">
        <v>61</v>
      </c>
      <c r="E425" s="2" t="s">
        <v>30</v>
      </c>
      <c r="F425" s="2"/>
      <c r="G425" s="2"/>
      <c r="H425" s="2" t="s">
        <v>20</v>
      </c>
      <c r="I425" s="2" t="s">
        <v>1876</v>
      </c>
    </row>
    <row r="426" spans="1:9" x14ac:dyDescent="0.35">
      <c r="A426" s="2" t="s">
        <v>1871</v>
      </c>
      <c r="B426" s="2" t="s">
        <v>24</v>
      </c>
      <c r="C426" s="2" t="s">
        <v>1891</v>
      </c>
      <c r="D426" s="2" t="s">
        <v>91</v>
      </c>
      <c r="E426" s="2" t="s">
        <v>19</v>
      </c>
      <c r="F426" s="2" t="s">
        <v>20</v>
      </c>
      <c r="G426" s="2" t="s">
        <v>1823</v>
      </c>
      <c r="H426" s="2" t="s">
        <v>20</v>
      </c>
      <c r="I426" s="2" t="s">
        <v>1876</v>
      </c>
    </row>
    <row r="427" spans="1:9" x14ac:dyDescent="0.35">
      <c r="A427" s="2" t="s">
        <v>1871</v>
      </c>
      <c r="B427" s="2" t="s">
        <v>24</v>
      </c>
      <c r="C427" s="2" t="s">
        <v>1891</v>
      </c>
      <c r="D427" s="2" t="s">
        <v>61</v>
      </c>
      <c r="E427" s="2" t="s">
        <v>30</v>
      </c>
      <c r="F427" s="2"/>
      <c r="G427" s="2"/>
      <c r="H427" s="2" t="s">
        <v>20</v>
      </c>
      <c r="I427" s="2" t="s">
        <v>1876</v>
      </c>
    </row>
    <row r="428" spans="1:9" x14ac:dyDescent="0.35">
      <c r="A428" s="2" t="s">
        <v>1871</v>
      </c>
      <c r="B428" s="2" t="s">
        <v>24</v>
      </c>
      <c r="C428" s="2" t="s">
        <v>1892</v>
      </c>
      <c r="D428" s="2" t="s">
        <v>82</v>
      </c>
      <c r="E428" s="2" t="s">
        <v>83</v>
      </c>
      <c r="F428" s="2"/>
      <c r="G428" s="2"/>
      <c r="H428" s="2" t="s">
        <v>20</v>
      </c>
      <c r="I428" s="2" t="s">
        <v>1876</v>
      </c>
    </row>
    <row r="429" spans="1:9" x14ac:dyDescent="0.35">
      <c r="A429" s="2" t="s">
        <v>1871</v>
      </c>
      <c r="B429" s="2" t="s">
        <v>24</v>
      </c>
      <c r="C429" s="2" t="s">
        <v>1892</v>
      </c>
      <c r="D429" s="2" t="s">
        <v>121</v>
      </c>
      <c r="E429" s="2" t="s">
        <v>122</v>
      </c>
      <c r="F429" s="2"/>
      <c r="G429" s="2"/>
      <c r="H429" s="2" t="s">
        <v>20</v>
      </c>
      <c r="I429" s="2" t="s">
        <v>1876</v>
      </c>
    </row>
    <row r="430" spans="1:9" x14ac:dyDescent="0.35">
      <c r="A430" s="2" t="s">
        <v>1871</v>
      </c>
      <c r="B430" s="2" t="s">
        <v>24</v>
      </c>
      <c r="C430" s="2" t="s">
        <v>1892</v>
      </c>
      <c r="D430" s="2" t="s">
        <v>18</v>
      </c>
      <c r="E430" s="2" t="s">
        <v>19</v>
      </c>
      <c r="F430" s="2" t="s">
        <v>20</v>
      </c>
      <c r="G430" s="2" t="s">
        <v>1893</v>
      </c>
      <c r="H430" s="2" t="s">
        <v>20</v>
      </c>
      <c r="I430" s="2" t="s">
        <v>1876</v>
      </c>
    </row>
    <row r="431" spans="1:9" x14ac:dyDescent="0.35">
      <c r="A431" s="2" t="s">
        <v>1871</v>
      </c>
      <c r="B431" s="2" t="s">
        <v>24</v>
      </c>
      <c r="C431" s="2" t="s">
        <v>1892</v>
      </c>
      <c r="D431" s="2" t="s">
        <v>61</v>
      </c>
      <c r="E431" s="2" t="s">
        <v>30</v>
      </c>
      <c r="F431" s="2"/>
      <c r="G431" s="2"/>
      <c r="H431" s="2" t="s">
        <v>20</v>
      </c>
      <c r="I431" s="2" t="s">
        <v>1876</v>
      </c>
    </row>
    <row r="432" spans="1:9" x14ac:dyDescent="0.35">
      <c r="A432" s="2" t="s">
        <v>1871</v>
      </c>
      <c r="B432" s="2" t="s">
        <v>24</v>
      </c>
      <c r="C432" s="2" t="s">
        <v>1892</v>
      </c>
      <c r="D432" s="2" t="s">
        <v>188</v>
      </c>
      <c r="E432" s="2" t="s">
        <v>189</v>
      </c>
      <c r="F432" s="2" t="s">
        <v>20</v>
      </c>
      <c r="G432" s="2" t="s">
        <v>1894</v>
      </c>
      <c r="H432" s="2" t="s">
        <v>20</v>
      </c>
      <c r="I432" s="2" t="s">
        <v>1876</v>
      </c>
    </row>
    <row r="433" spans="1:9" x14ac:dyDescent="0.35">
      <c r="A433" s="2" t="s">
        <v>1871</v>
      </c>
      <c r="B433" s="2" t="s">
        <v>62</v>
      </c>
      <c r="C433" s="2" t="s">
        <v>1895</v>
      </c>
      <c r="D433" s="2" t="s">
        <v>27</v>
      </c>
      <c r="E433" s="2" t="s">
        <v>28</v>
      </c>
      <c r="F433" s="2"/>
      <c r="G433" s="2"/>
      <c r="H433" s="2" t="s">
        <v>20</v>
      </c>
      <c r="I433" s="2" t="s">
        <v>1876</v>
      </c>
    </row>
    <row r="434" spans="1:9" x14ac:dyDescent="0.35">
      <c r="A434" s="2" t="s">
        <v>1871</v>
      </c>
      <c r="B434" s="2" t="s">
        <v>62</v>
      </c>
      <c r="C434" s="2" t="s">
        <v>1895</v>
      </c>
      <c r="D434" s="2" t="s">
        <v>82</v>
      </c>
      <c r="E434" s="2" t="s">
        <v>83</v>
      </c>
      <c r="F434" s="2"/>
      <c r="G434" s="2"/>
      <c r="H434" s="2" t="s">
        <v>20</v>
      </c>
      <c r="I434" s="2" t="s">
        <v>1876</v>
      </c>
    </row>
    <row r="435" spans="1:9" x14ac:dyDescent="0.35">
      <c r="A435" s="2" t="s">
        <v>1871</v>
      </c>
      <c r="B435" s="2" t="s">
        <v>62</v>
      </c>
      <c r="C435" s="2" t="s">
        <v>1895</v>
      </c>
      <c r="D435" s="2" t="s">
        <v>765</v>
      </c>
      <c r="E435" s="2" t="s">
        <v>83</v>
      </c>
      <c r="F435" s="2"/>
      <c r="G435" s="2"/>
      <c r="H435" s="2" t="s">
        <v>20</v>
      </c>
      <c r="I435" s="2" t="s">
        <v>1876</v>
      </c>
    </row>
    <row r="436" spans="1:9" x14ac:dyDescent="0.35">
      <c r="A436" s="2" t="s">
        <v>1871</v>
      </c>
      <c r="B436" s="2" t="s">
        <v>62</v>
      </c>
      <c r="C436" s="2" t="s">
        <v>1895</v>
      </c>
      <c r="D436" s="2" t="s">
        <v>1896</v>
      </c>
      <c r="E436" s="2" t="s">
        <v>34</v>
      </c>
      <c r="F436" s="2"/>
      <c r="G436" s="2"/>
      <c r="H436" s="2" t="s">
        <v>20</v>
      </c>
      <c r="I436" s="2" t="s">
        <v>1876</v>
      </c>
    </row>
    <row r="437" spans="1:9" x14ac:dyDescent="0.35">
      <c r="A437" s="2" t="s">
        <v>1871</v>
      </c>
      <c r="B437" s="2" t="s">
        <v>62</v>
      </c>
      <c r="C437" s="2" t="s">
        <v>1895</v>
      </c>
      <c r="D437" s="2" t="s">
        <v>91</v>
      </c>
      <c r="E437" s="2" t="s">
        <v>19</v>
      </c>
      <c r="F437" s="2" t="s">
        <v>20</v>
      </c>
      <c r="G437" s="2" t="s">
        <v>1823</v>
      </c>
      <c r="H437" s="2" t="s">
        <v>20</v>
      </c>
      <c r="I437" s="2" t="s">
        <v>1876</v>
      </c>
    </row>
    <row r="438" spans="1:9" x14ac:dyDescent="0.35">
      <c r="A438" s="2" t="s">
        <v>1871</v>
      </c>
      <c r="B438" s="2" t="s">
        <v>62</v>
      </c>
      <c r="C438" s="2" t="s">
        <v>1895</v>
      </c>
      <c r="D438" s="2" t="s">
        <v>127</v>
      </c>
      <c r="E438" s="2" t="s">
        <v>107</v>
      </c>
      <c r="F438" s="2"/>
      <c r="G438" s="2"/>
      <c r="H438" s="2" t="s">
        <v>20</v>
      </c>
      <c r="I438" s="2" t="s">
        <v>1876</v>
      </c>
    </row>
    <row r="439" spans="1:9" x14ac:dyDescent="0.35">
      <c r="A439" s="2" t="s">
        <v>1871</v>
      </c>
      <c r="B439" s="2" t="s">
        <v>62</v>
      </c>
      <c r="C439" s="2" t="s">
        <v>1895</v>
      </c>
      <c r="D439" s="2" t="s">
        <v>352</v>
      </c>
      <c r="E439" s="2" t="s">
        <v>107</v>
      </c>
      <c r="F439" s="2"/>
      <c r="G439" s="2"/>
      <c r="H439" s="2" t="s">
        <v>20</v>
      </c>
      <c r="I439" s="2" t="s">
        <v>1876</v>
      </c>
    </row>
    <row r="440" spans="1:9" x14ac:dyDescent="0.35">
      <c r="A440" s="2" t="s">
        <v>1871</v>
      </c>
      <c r="B440" s="2" t="s">
        <v>62</v>
      </c>
      <c r="C440" s="2" t="s">
        <v>1897</v>
      </c>
      <c r="D440" s="2" t="s">
        <v>1170</v>
      </c>
      <c r="E440" s="2" t="s">
        <v>19</v>
      </c>
      <c r="F440" s="2" t="s">
        <v>20</v>
      </c>
      <c r="G440" s="2" t="s">
        <v>1823</v>
      </c>
      <c r="H440" s="2" t="s">
        <v>20</v>
      </c>
      <c r="I440" s="2" t="s">
        <v>1876</v>
      </c>
    </row>
    <row r="441" spans="1:9" x14ac:dyDescent="0.35">
      <c r="A441" s="2" t="s">
        <v>1871</v>
      </c>
      <c r="B441" s="2" t="s">
        <v>62</v>
      </c>
      <c r="C441" s="2" t="s">
        <v>1897</v>
      </c>
      <c r="D441" s="2" t="s">
        <v>18</v>
      </c>
      <c r="E441" s="2" t="s">
        <v>19</v>
      </c>
      <c r="F441" s="2" t="s">
        <v>20</v>
      </c>
      <c r="G441" s="2" t="s">
        <v>1823</v>
      </c>
      <c r="H441" s="2" t="s">
        <v>20</v>
      </c>
      <c r="I441" s="2" t="s">
        <v>1876</v>
      </c>
    </row>
    <row r="442" spans="1:9" x14ac:dyDescent="0.35">
      <c r="A442" s="2" t="s">
        <v>1871</v>
      </c>
      <c r="B442" s="2" t="s">
        <v>54</v>
      </c>
      <c r="C442" s="2" t="s">
        <v>1898</v>
      </c>
      <c r="D442" s="2" t="s">
        <v>74</v>
      </c>
      <c r="E442" s="2" t="s">
        <v>75</v>
      </c>
      <c r="F442" s="2" t="s">
        <v>20</v>
      </c>
      <c r="G442" s="2" t="s">
        <v>1899</v>
      </c>
      <c r="H442" s="2" t="s">
        <v>20</v>
      </c>
      <c r="I442" s="2" t="s">
        <v>1876</v>
      </c>
    </row>
    <row r="443" spans="1:9" x14ac:dyDescent="0.35">
      <c r="A443" s="2" t="s">
        <v>1871</v>
      </c>
      <c r="B443" s="2" t="s">
        <v>54</v>
      </c>
      <c r="C443" s="2" t="s">
        <v>1898</v>
      </c>
      <c r="D443" s="2" t="s">
        <v>91</v>
      </c>
      <c r="E443" s="2" t="s">
        <v>19</v>
      </c>
      <c r="F443" s="2" t="s">
        <v>20</v>
      </c>
      <c r="G443" s="2" t="s">
        <v>1900</v>
      </c>
      <c r="H443" s="2" t="s">
        <v>20</v>
      </c>
      <c r="I443" s="2" t="s">
        <v>1876</v>
      </c>
    </row>
    <row r="444" spans="1:9" x14ac:dyDescent="0.35">
      <c r="A444" s="2" t="s">
        <v>1871</v>
      </c>
      <c r="B444" s="2" t="s">
        <v>54</v>
      </c>
      <c r="C444" s="2" t="s">
        <v>1898</v>
      </c>
      <c r="D444" s="2" t="s">
        <v>18</v>
      </c>
      <c r="E444" s="2" t="s">
        <v>19</v>
      </c>
      <c r="F444" s="2" t="s">
        <v>20</v>
      </c>
      <c r="G444" s="2" t="s">
        <v>1901</v>
      </c>
      <c r="H444" s="2" t="s">
        <v>20</v>
      </c>
      <c r="I444" s="2" t="s">
        <v>1876</v>
      </c>
    </row>
    <row r="445" spans="1:9" x14ac:dyDescent="0.35">
      <c r="A445" s="2" t="s">
        <v>1871</v>
      </c>
      <c r="B445" s="2" t="s">
        <v>54</v>
      </c>
      <c r="C445" s="2" t="s">
        <v>1898</v>
      </c>
      <c r="D445" s="2" t="s">
        <v>61</v>
      </c>
      <c r="E445" s="2" t="s">
        <v>30</v>
      </c>
      <c r="F445" s="2"/>
      <c r="G445" s="2"/>
      <c r="H445" s="2" t="s">
        <v>20</v>
      </c>
      <c r="I445" s="2" t="s">
        <v>1876</v>
      </c>
    </row>
    <row r="446" spans="1:9" x14ac:dyDescent="0.35">
      <c r="A446" s="2" t="s">
        <v>1871</v>
      </c>
      <c r="B446" s="2" t="s">
        <v>54</v>
      </c>
      <c r="C446" s="2" t="s">
        <v>1902</v>
      </c>
      <c r="D446" s="2" t="s">
        <v>14</v>
      </c>
      <c r="E446" s="2" t="s">
        <v>15</v>
      </c>
      <c r="F446" s="2"/>
      <c r="G446" s="2"/>
      <c r="H446" s="2" t="s">
        <v>20</v>
      </c>
      <c r="I446" s="2" t="s">
        <v>1876</v>
      </c>
    </row>
    <row r="447" spans="1:9" x14ac:dyDescent="0.35">
      <c r="A447" s="2" t="s">
        <v>1871</v>
      </c>
      <c r="B447" s="2" t="s">
        <v>54</v>
      </c>
      <c r="C447" s="2" t="s">
        <v>1902</v>
      </c>
      <c r="D447" s="2" t="s">
        <v>18</v>
      </c>
      <c r="E447" s="2" t="s">
        <v>19</v>
      </c>
      <c r="F447" s="2" t="s">
        <v>20</v>
      </c>
      <c r="G447" s="2" t="s">
        <v>1903</v>
      </c>
      <c r="H447" s="2" t="s">
        <v>20</v>
      </c>
      <c r="I447" s="2" t="s">
        <v>1876</v>
      </c>
    </row>
    <row r="448" spans="1:9" x14ac:dyDescent="0.35">
      <c r="A448" s="2" t="s">
        <v>1871</v>
      </c>
      <c r="B448" s="2" t="s">
        <v>54</v>
      </c>
      <c r="C448" s="2" t="s">
        <v>1902</v>
      </c>
      <c r="D448" s="2" t="s">
        <v>61</v>
      </c>
      <c r="E448" s="2" t="s">
        <v>30</v>
      </c>
      <c r="F448" s="2" t="s">
        <v>20</v>
      </c>
      <c r="G448" s="2" t="s">
        <v>1903</v>
      </c>
      <c r="H448" s="2" t="s">
        <v>20</v>
      </c>
      <c r="I448" s="2" t="s">
        <v>1876</v>
      </c>
    </row>
    <row r="449" spans="1:9" x14ac:dyDescent="0.35">
      <c r="A449" s="2" t="s">
        <v>1871</v>
      </c>
      <c r="B449" s="2" t="s">
        <v>54</v>
      </c>
      <c r="C449" s="2" t="s">
        <v>1902</v>
      </c>
      <c r="D449" s="2" t="s">
        <v>149</v>
      </c>
      <c r="E449" s="2" t="s">
        <v>150</v>
      </c>
      <c r="F449" s="2" t="s">
        <v>20</v>
      </c>
      <c r="G449" s="2" t="s">
        <v>1903</v>
      </c>
      <c r="H449" s="2" t="s">
        <v>20</v>
      </c>
      <c r="I449" s="2" t="s">
        <v>1876</v>
      </c>
    </row>
    <row r="450" spans="1:9" x14ac:dyDescent="0.35">
      <c r="A450" s="2" t="s">
        <v>1904</v>
      </c>
      <c r="B450" s="2" t="s">
        <v>57</v>
      </c>
      <c r="C450" s="2" t="s">
        <v>1905</v>
      </c>
      <c r="D450" s="2" t="s">
        <v>156</v>
      </c>
      <c r="E450" s="2" t="s">
        <v>45</v>
      </c>
      <c r="F450" s="2" t="s">
        <v>20</v>
      </c>
      <c r="G450" s="2" t="s">
        <v>1667</v>
      </c>
      <c r="H450" s="2" t="s">
        <v>20</v>
      </c>
      <c r="I450" s="2" t="s">
        <v>1906</v>
      </c>
    </row>
    <row r="451" spans="1:9" x14ac:dyDescent="0.35">
      <c r="A451" s="2" t="s">
        <v>1904</v>
      </c>
      <c r="B451" s="2" t="s">
        <v>57</v>
      </c>
      <c r="C451" s="2" t="s">
        <v>1905</v>
      </c>
      <c r="D451" s="2" t="s">
        <v>149</v>
      </c>
      <c r="E451" s="2" t="s">
        <v>150</v>
      </c>
      <c r="F451" s="2"/>
      <c r="G451" s="2"/>
      <c r="H451" s="2" t="s">
        <v>20</v>
      </c>
      <c r="I451" s="2" t="s">
        <v>1906</v>
      </c>
    </row>
    <row r="452" spans="1:9" x14ac:dyDescent="0.35">
      <c r="A452" s="2" t="s">
        <v>1904</v>
      </c>
      <c r="B452" s="2" t="s">
        <v>12</v>
      </c>
      <c r="C452" s="2" t="s">
        <v>1907</v>
      </c>
      <c r="D452" s="2" t="s">
        <v>61</v>
      </c>
      <c r="E452" s="2" t="s">
        <v>30</v>
      </c>
      <c r="F452" s="2"/>
      <c r="G452" s="2"/>
      <c r="H452" s="2" t="s">
        <v>20</v>
      </c>
      <c r="I452" s="2" t="s">
        <v>1906</v>
      </c>
    </row>
    <row r="453" spans="1:9" x14ac:dyDescent="0.35">
      <c r="A453" s="2" t="s">
        <v>1904</v>
      </c>
      <c r="B453" s="2" t="s">
        <v>24</v>
      </c>
      <c r="C453" s="2" t="s">
        <v>1908</v>
      </c>
      <c r="D453" s="2" t="s">
        <v>14</v>
      </c>
      <c r="E453" s="2" t="s">
        <v>15</v>
      </c>
      <c r="F453" s="2" t="s">
        <v>20</v>
      </c>
      <c r="G453" s="2" t="s">
        <v>1909</v>
      </c>
      <c r="H453" s="2"/>
      <c r="I453" s="2"/>
    </row>
    <row r="454" spans="1:9" x14ac:dyDescent="0.35">
      <c r="A454" s="2" t="s">
        <v>1904</v>
      </c>
      <c r="B454" s="2" t="s">
        <v>24</v>
      </c>
      <c r="C454" s="2" t="s">
        <v>1908</v>
      </c>
      <c r="D454" s="2" t="s">
        <v>18</v>
      </c>
      <c r="E454" s="2" t="s">
        <v>19</v>
      </c>
      <c r="F454" s="2" t="s">
        <v>20</v>
      </c>
      <c r="G454" s="2" t="s">
        <v>1910</v>
      </c>
      <c r="H454" s="2"/>
      <c r="I454" s="2"/>
    </row>
    <row r="455" spans="1:9" x14ac:dyDescent="0.35">
      <c r="A455" s="2" t="s">
        <v>1904</v>
      </c>
      <c r="B455" s="2" t="s">
        <v>12</v>
      </c>
      <c r="C455" s="2" t="s">
        <v>1911</v>
      </c>
      <c r="D455" s="2" t="s">
        <v>14</v>
      </c>
      <c r="E455" s="2" t="s">
        <v>15</v>
      </c>
      <c r="F455" s="2"/>
      <c r="G455" s="2"/>
      <c r="H455" s="2" t="s">
        <v>20</v>
      </c>
      <c r="I455" s="2" t="s">
        <v>1906</v>
      </c>
    </row>
    <row r="456" spans="1:9" x14ac:dyDescent="0.35">
      <c r="A456" s="2" t="s">
        <v>1904</v>
      </c>
      <c r="B456" s="2" t="s">
        <v>12</v>
      </c>
      <c r="C456" s="2" t="s">
        <v>1911</v>
      </c>
      <c r="D456" s="2" t="s">
        <v>77</v>
      </c>
      <c r="E456" s="2" t="s">
        <v>78</v>
      </c>
      <c r="F456" s="2"/>
      <c r="G456" s="2"/>
      <c r="H456" s="2" t="s">
        <v>20</v>
      </c>
      <c r="I456" s="2" t="s">
        <v>1906</v>
      </c>
    </row>
    <row r="457" spans="1:9" x14ac:dyDescent="0.35">
      <c r="A457" s="2" t="s">
        <v>1904</v>
      </c>
      <c r="B457" s="2" t="s">
        <v>12</v>
      </c>
      <c r="C457" s="2" t="s">
        <v>1911</v>
      </c>
      <c r="D457" s="2" t="s">
        <v>387</v>
      </c>
      <c r="E457" s="2" t="s">
        <v>1574</v>
      </c>
      <c r="F457" s="2"/>
      <c r="G457" s="2"/>
      <c r="H457" s="2" t="s">
        <v>20</v>
      </c>
      <c r="I457" s="2" t="s">
        <v>1906</v>
      </c>
    </row>
    <row r="458" spans="1:9" x14ac:dyDescent="0.35">
      <c r="A458" s="2" t="s">
        <v>1904</v>
      </c>
      <c r="B458" s="2" t="s">
        <v>12</v>
      </c>
      <c r="C458" s="2" t="s">
        <v>1911</v>
      </c>
      <c r="D458" s="2" t="s">
        <v>924</v>
      </c>
      <c r="E458" s="2" t="s">
        <v>75</v>
      </c>
      <c r="F458" s="2" t="s">
        <v>20</v>
      </c>
      <c r="G458" s="2" t="s">
        <v>1912</v>
      </c>
      <c r="H458" s="2" t="s">
        <v>20</v>
      </c>
      <c r="I458" s="2" t="s">
        <v>1906</v>
      </c>
    </row>
    <row r="459" spans="1:9" x14ac:dyDescent="0.35">
      <c r="A459" s="2" t="s">
        <v>1904</v>
      </c>
      <c r="B459" s="2" t="s">
        <v>12</v>
      </c>
      <c r="C459" s="2" t="s">
        <v>1913</v>
      </c>
      <c r="D459" s="2" t="s">
        <v>120</v>
      </c>
      <c r="E459" s="2" t="s">
        <v>32</v>
      </c>
      <c r="F459" s="2"/>
      <c r="G459" s="2"/>
      <c r="H459" s="2" t="s">
        <v>20</v>
      </c>
      <c r="I459" s="2" t="s">
        <v>1906</v>
      </c>
    </row>
    <row r="460" spans="1:9" x14ac:dyDescent="0.35">
      <c r="A460" s="2" t="s">
        <v>1904</v>
      </c>
      <c r="B460" s="2" t="s">
        <v>12</v>
      </c>
      <c r="C460" s="2" t="s">
        <v>1913</v>
      </c>
      <c r="D460" s="2" t="s">
        <v>91</v>
      </c>
      <c r="E460" s="2" t="s">
        <v>19</v>
      </c>
      <c r="F460" s="2" t="s">
        <v>20</v>
      </c>
      <c r="G460" s="2" t="s">
        <v>1914</v>
      </c>
      <c r="H460" s="2" t="s">
        <v>20</v>
      </c>
      <c r="I460" s="2" t="s">
        <v>1906</v>
      </c>
    </row>
    <row r="461" spans="1:9" x14ac:dyDescent="0.35">
      <c r="A461" s="2" t="s">
        <v>1904</v>
      </c>
      <c r="B461" s="2" t="s">
        <v>12</v>
      </c>
      <c r="C461" s="2" t="s">
        <v>1913</v>
      </c>
      <c r="D461" s="2" t="s">
        <v>87</v>
      </c>
      <c r="E461" s="2" t="s">
        <v>75</v>
      </c>
      <c r="F461" s="2" t="s">
        <v>20</v>
      </c>
      <c r="G461" s="2" t="s">
        <v>1914</v>
      </c>
      <c r="H461" s="2" t="s">
        <v>20</v>
      </c>
      <c r="I461" s="2" t="s">
        <v>1906</v>
      </c>
    </row>
    <row r="462" spans="1:9" x14ac:dyDescent="0.35">
      <c r="A462" s="2" t="s">
        <v>1904</v>
      </c>
      <c r="B462" s="2" t="s">
        <v>12</v>
      </c>
      <c r="C462" s="2" t="s">
        <v>1913</v>
      </c>
      <c r="D462" s="2" t="s">
        <v>61</v>
      </c>
      <c r="E462" s="2" t="s">
        <v>30</v>
      </c>
      <c r="F462" s="2"/>
      <c r="G462" s="2"/>
      <c r="H462" s="2" t="s">
        <v>20</v>
      </c>
      <c r="I462" s="2" t="s">
        <v>1906</v>
      </c>
    </row>
    <row r="463" spans="1:9" x14ac:dyDescent="0.35">
      <c r="A463" s="2" t="s">
        <v>1904</v>
      </c>
      <c r="B463" s="2" t="s">
        <v>12</v>
      </c>
      <c r="C463" s="2" t="s">
        <v>1915</v>
      </c>
      <c r="D463" s="2" t="s">
        <v>14</v>
      </c>
      <c r="E463" s="2" t="s">
        <v>15</v>
      </c>
      <c r="F463" s="2"/>
      <c r="G463" s="2"/>
      <c r="H463" s="2" t="s">
        <v>20</v>
      </c>
      <c r="I463" s="2" t="s">
        <v>1906</v>
      </c>
    </row>
    <row r="464" spans="1:9" x14ac:dyDescent="0.35">
      <c r="A464" s="2" t="s">
        <v>1904</v>
      </c>
      <c r="B464" s="2" t="s">
        <v>12</v>
      </c>
      <c r="C464" s="2" t="s">
        <v>1915</v>
      </c>
      <c r="D464" s="2" t="s">
        <v>91</v>
      </c>
      <c r="E464" s="2" t="s">
        <v>19</v>
      </c>
      <c r="F464" s="2" t="s">
        <v>20</v>
      </c>
      <c r="G464" s="2" t="s">
        <v>1916</v>
      </c>
      <c r="H464" s="2" t="s">
        <v>20</v>
      </c>
      <c r="I464" s="2" t="s">
        <v>1906</v>
      </c>
    </row>
    <row r="465" spans="1:9" x14ac:dyDescent="0.35">
      <c r="A465" s="2" t="s">
        <v>1904</v>
      </c>
      <c r="B465" s="2" t="s">
        <v>12</v>
      </c>
      <c r="C465" s="2" t="s">
        <v>1917</v>
      </c>
      <c r="D465" s="2" t="s">
        <v>91</v>
      </c>
      <c r="E465" s="2" t="s">
        <v>19</v>
      </c>
      <c r="F465" s="2" t="s">
        <v>20</v>
      </c>
      <c r="G465" s="2" t="s">
        <v>1918</v>
      </c>
      <c r="H465" s="2"/>
      <c r="I465" s="2"/>
    </row>
    <row r="466" spans="1:9" x14ac:dyDescent="0.35">
      <c r="A466" s="2" t="s">
        <v>1904</v>
      </c>
      <c r="B466" s="2" t="s">
        <v>12</v>
      </c>
      <c r="C466" s="2" t="s">
        <v>1917</v>
      </c>
      <c r="D466" s="2" t="s">
        <v>18</v>
      </c>
      <c r="E466" s="2" t="s">
        <v>19</v>
      </c>
      <c r="F466" s="2" t="s">
        <v>20</v>
      </c>
      <c r="G466" s="2" t="s">
        <v>1919</v>
      </c>
      <c r="H466" s="2"/>
      <c r="I466" s="2"/>
    </row>
    <row r="467" spans="1:9" x14ac:dyDescent="0.35">
      <c r="A467" s="2" t="s">
        <v>1904</v>
      </c>
      <c r="B467" s="2" t="s">
        <v>12</v>
      </c>
      <c r="C467" s="2" t="s">
        <v>1917</v>
      </c>
      <c r="D467" s="2" t="s">
        <v>939</v>
      </c>
      <c r="E467" s="2" t="s">
        <v>65</v>
      </c>
      <c r="F467" s="2"/>
      <c r="G467" s="2"/>
      <c r="H467" s="2"/>
      <c r="I467" s="2"/>
    </row>
    <row r="468" spans="1:9" x14ac:dyDescent="0.35">
      <c r="A468" s="2" t="s">
        <v>1904</v>
      </c>
      <c r="B468" s="2" t="s">
        <v>62</v>
      </c>
      <c r="C468" s="2" t="s">
        <v>1920</v>
      </c>
      <c r="D468" s="2" t="s">
        <v>91</v>
      </c>
      <c r="E468" s="2" t="s">
        <v>19</v>
      </c>
      <c r="F468" s="2" t="s">
        <v>20</v>
      </c>
      <c r="G468" s="2" t="s">
        <v>1914</v>
      </c>
      <c r="H468" s="2" t="s">
        <v>20</v>
      </c>
      <c r="I468" s="2" t="s">
        <v>1906</v>
      </c>
    </row>
    <row r="469" spans="1:9" x14ac:dyDescent="0.35">
      <c r="A469" s="2" t="s">
        <v>1904</v>
      </c>
      <c r="B469" s="2" t="s">
        <v>62</v>
      </c>
      <c r="C469" s="2" t="s">
        <v>1920</v>
      </c>
      <c r="D469" s="2" t="s">
        <v>127</v>
      </c>
      <c r="E469" s="2" t="s">
        <v>107</v>
      </c>
      <c r="F469" s="2"/>
      <c r="G469" s="2"/>
      <c r="H469" s="2" t="s">
        <v>20</v>
      </c>
      <c r="I469" s="2" t="s">
        <v>1906</v>
      </c>
    </row>
    <row r="470" spans="1:9" x14ac:dyDescent="0.35">
      <c r="A470" s="2" t="s">
        <v>1904</v>
      </c>
      <c r="B470" s="2" t="s">
        <v>24</v>
      </c>
      <c r="C470" s="2" t="s">
        <v>1921</v>
      </c>
      <c r="D470" s="2" t="s">
        <v>387</v>
      </c>
      <c r="E470" s="2" t="s">
        <v>1574</v>
      </c>
      <c r="F470" s="2"/>
      <c r="G470" s="2"/>
      <c r="H470" s="2" t="s">
        <v>20</v>
      </c>
      <c r="I470" s="2" t="s">
        <v>1906</v>
      </c>
    </row>
    <row r="471" spans="1:9" x14ac:dyDescent="0.35">
      <c r="A471" s="2" t="s">
        <v>1904</v>
      </c>
      <c r="B471" s="2" t="s">
        <v>62</v>
      </c>
      <c r="C471" s="2" t="s">
        <v>1922</v>
      </c>
      <c r="D471" s="2" t="s">
        <v>61</v>
      </c>
      <c r="E471" s="2" t="s">
        <v>30</v>
      </c>
      <c r="F471" s="2"/>
      <c r="G471" s="2"/>
      <c r="H471" s="2"/>
      <c r="I471" s="2"/>
    </row>
    <row r="472" spans="1:9" x14ac:dyDescent="0.35">
      <c r="A472" s="2" t="s">
        <v>1904</v>
      </c>
      <c r="B472" s="2" t="s">
        <v>54</v>
      </c>
      <c r="C472" s="2" t="s">
        <v>1923</v>
      </c>
      <c r="D472" s="2" t="s">
        <v>14</v>
      </c>
      <c r="E472" s="2" t="s">
        <v>15</v>
      </c>
      <c r="F472" s="2"/>
      <c r="G472" s="2"/>
      <c r="H472" s="2"/>
      <c r="I472" s="2"/>
    </row>
    <row r="473" spans="1:9" x14ac:dyDescent="0.35">
      <c r="A473" s="2" t="s">
        <v>1904</v>
      </c>
      <c r="B473" s="2" t="s">
        <v>54</v>
      </c>
      <c r="C473" s="2" t="s">
        <v>1923</v>
      </c>
      <c r="D473" s="2" t="s">
        <v>121</v>
      </c>
      <c r="E473" s="2" t="s">
        <v>122</v>
      </c>
      <c r="F473" s="2"/>
      <c r="G473" s="2"/>
      <c r="H473" s="2"/>
      <c r="I473" s="2"/>
    </row>
    <row r="474" spans="1:9" x14ac:dyDescent="0.35">
      <c r="A474" s="2" t="s">
        <v>1904</v>
      </c>
      <c r="B474" s="2" t="s">
        <v>54</v>
      </c>
      <c r="C474" s="2" t="s">
        <v>1923</v>
      </c>
      <c r="D474" s="2" t="s">
        <v>18</v>
      </c>
      <c r="E474" s="2" t="s">
        <v>19</v>
      </c>
      <c r="F474" s="2" t="s">
        <v>20</v>
      </c>
      <c r="G474" s="2" t="s">
        <v>1924</v>
      </c>
      <c r="H474" s="2"/>
      <c r="I474" s="2"/>
    </row>
    <row r="475" spans="1:9" x14ac:dyDescent="0.35">
      <c r="A475" s="2" t="s">
        <v>1904</v>
      </c>
      <c r="B475" s="2" t="s">
        <v>54</v>
      </c>
      <c r="C475" s="2" t="s">
        <v>1923</v>
      </c>
      <c r="D475" s="2" t="s">
        <v>188</v>
      </c>
      <c r="E475" s="2" t="s">
        <v>189</v>
      </c>
      <c r="F475" s="2"/>
      <c r="G475" s="2"/>
      <c r="H475" s="2"/>
      <c r="I475" s="2"/>
    </row>
    <row r="476" spans="1:9" x14ac:dyDescent="0.35">
      <c r="A476" s="2" t="s">
        <v>1904</v>
      </c>
      <c r="B476" s="2" t="s">
        <v>54</v>
      </c>
      <c r="C476" s="2" t="s">
        <v>1925</v>
      </c>
      <c r="D476" s="2" t="s">
        <v>393</v>
      </c>
      <c r="E476" s="2" t="s">
        <v>36</v>
      </c>
      <c r="F476" s="2"/>
      <c r="G476" s="2"/>
      <c r="H476" s="2"/>
      <c r="I476" s="2"/>
    </row>
    <row r="477" spans="1:9" x14ac:dyDescent="0.35">
      <c r="A477" s="2" t="s">
        <v>1904</v>
      </c>
      <c r="B477" s="2" t="s">
        <v>54</v>
      </c>
      <c r="C477" s="2" t="s">
        <v>1925</v>
      </c>
      <c r="D477" s="2" t="s">
        <v>91</v>
      </c>
      <c r="E477" s="2" t="s">
        <v>19</v>
      </c>
      <c r="F477" s="2" t="s">
        <v>20</v>
      </c>
      <c r="G477" s="2" t="s">
        <v>1914</v>
      </c>
      <c r="H477" s="2"/>
      <c r="I477" s="2"/>
    </row>
    <row r="478" spans="1:9" x14ac:dyDescent="0.35">
      <c r="A478" s="2" t="s">
        <v>1904</v>
      </c>
      <c r="B478" s="2" t="s">
        <v>54</v>
      </c>
      <c r="C478" s="2" t="s">
        <v>1925</v>
      </c>
      <c r="D478" s="2" t="s">
        <v>188</v>
      </c>
      <c r="E478" s="2" t="s">
        <v>189</v>
      </c>
      <c r="F478" s="2" t="s">
        <v>20</v>
      </c>
      <c r="G478" s="2" t="s">
        <v>1926</v>
      </c>
      <c r="H478" s="2"/>
      <c r="I478" s="2"/>
    </row>
    <row r="479" spans="1:9" x14ac:dyDescent="0.35">
      <c r="A479" s="2" t="s">
        <v>1904</v>
      </c>
      <c r="B479" s="2" t="s">
        <v>24</v>
      </c>
      <c r="C479" s="2" t="s">
        <v>1927</v>
      </c>
      <c r="D479" s="2" t="s">
        <v>246</v>
      </c>
      <c r="E479" s="2" t="s">
        <v>107</v>
      </c>
      <c r="F479" s="2"/>
      <c r="G479" s="2"/>
      <c r="H479" s="2" t="s">
        <v>20</v>
      </c>
      <c r="I479" s="2" t="s">
        <v>1906</v>
      </c>
    </row>
    <row r="480" spans="1:9" x14ac:dyDescent="0.35">
      <c r="A480" s="2" t="s">
        <v>1904</v>
      </c>
      <c r="B480" s="2" t="s">
        <v>24</v>
      </c>
      <c r="C480" s="2" t="s">
        <v>1927</v>
      </c>
      <c r="D480" s="2" t="s">
        <v>76</v>
      </c>
      <c r="E480" s="2" t="s">
        <v>75</v>
      </c>
      <c r="F480" s="2" t="s">
        <v>20</v>
      </c>
      <c r="G480" s="2" t="s">
        <v>1667</v>
      </c>
      <c r="H480" s="2" t="s">
        <v>20</v>
      </c>
      <c r="I480" s="2" t="s">
        <v>1906</v>
      </c>
    </row>
    <row r="481" spans="1:9" x14ac:dyDescent="0.35">
      <c r="A481" s="2" t="s">
        <v>1904</v>
      </c>
      <c r="B481" s="2" t="s">
        <v>24</v>
      </c>
      <c r="C481" s="2" t="s">
        <v>1927</v>
      </c>
      <c r="D481" s="2" t="s">
        <v>121</v>
      </c>
      <c r="E481" s="2" t="s">
        <v>122</v>
      </c>
      <c r="F481" s="2" t="s">
        <v>20</v>
      </c>
      <c r="G481" s="2" t="s">
        <v>1674</v>
      </c>
      <c r="H481" s="2" t="s">
        <v>20</v>
      </c>
      <c r="I481" s="2" t="s">
        <v>1906</v>
      </c>
    </row>
    <row r="482" spans="1:9" x14ac:dyDescent="0.35">
      <c r="A482" s="2" t="s">
        <v>1904</v>
      </c>
      <c r="B482" s="2" t="s">
        <v>24</v>
      </c>
      <c r="C482" s="2" t="s">
        <v>1927</v>
      </c>
      <c r="D482" s="2" t="s">
        <v>156</v>
      </c>
      <c r="E482" s="2" t="s">
        <v>45</v>
      </c>
      <c r="F482" s="2" t="s">
        <v>20</v>
      </c>
      <c r="G482" s="2" t="s">
        <v>1667</v>
      </c>
      <c r="H482" s="2" t="s">
        <v>20</v>
      </c>
      <c r="I482" s="2" t="s">
        <v>1906</v>
      </c>
    </row>
    <row r="483" spans="1:9" x14ac:dyDescent="0.35">
      <c r="A483" s="2" t="s">
        <v>1904</v>
      </c>
      <c r="B483" s="2" t="s">
        <v>24</v>
      </c>
      <c r="C483" s="2" t="s">
        <v>1927</v>
      </c>
      <c r="D483" s="2" t="s">
        <v>77</v>
      </c>
      <c r="E483" s="2" t="s">
        <v>78</v>
      </c>
      <c r="F483" s="2"/>
      <c r="G483" s="2"/>
      <c r="H483" s="2" t="s">
        <v>20</v>
      </c>
      <c r="I483" s="2" t="s">
        <v>1906</v>
      </c>
    </row>
    <row r="484" spans="1:9" x14ac:dyDescent="0.35">
      <c r="A484" s="2" t="s">
        <v>1904</v>
      </c>
      <c r="B484" s="2" t="s">
        <v>24</v>
      </c>
      <c r="C484" s="2" t="s">
        <v>1927</v>
      </c>
      <c r="D484" s="2" t="s">
        <v>87</v>
      </c>
      <c r="E484" s="2" t="s">
        <v>75</v>
      </c>
      <c r="F484" s="2" t="s">
        <v>20</v>
      </c>
      <c r="G484" s="2" t="s">
        <v>1667</v>
      </c>
      <c r="H484" s="2" t="s">
        <v>20</v>
      </c>
      <c r="I484" s="2" t="s">
        <v>1906</v>
      </c>
    </row>
    <row r="485" spans="1:9" x14ac:dyDescent="0.35">
      <c r="A485" s="2" t="s">
        <v>1904</v>
      </c>
      <c r="B485" s="2" t="s">
        <v>24</v>
      </c>
      <c r="C485" s="2" t="s">
        <v>1927</v>
      </c>
      <c r="D485" s="2" t="s">
        <v>18</v>
      </c>
      <c r="E485" s="2" t="s">
        <v>19</v>
      </c>
      <c r="F485" s="2" t="s">
        <v>20</v>
      </c>
      <c r="G485" s="2" t="s">
        <v>1916</v>
      </c>
      <c r="H485" s="2" t="s">
        <v>20</v>
      </c>
      <c r="I485" s="2" t="s">
        <v>1906</v>
      </c>
    </row>
    <row r="486" spans="1:9" x14ac:dyDescent="0.35">
      <c r="A486" s="2" t="s">
        <v>1904</v>
      </c>
      <c r="B486" s="2" t="s">
        <v>24</v>
      </c>
      <c r="C486" s="2" t="s">
        <v>1927</v>
      </c>
      <c r="D486" s="2" t="s">
        <v>149</v>
      </c>
      <c r="E486" s="2" t="s">
        <v>150</v>
      </c>
      <c r="F486" s="2"/>
      <c r="G486" s="2"/>
      <c r="H486" s="2" t="s">
        <v>20</v>
      </c>
      <c r="I486" s="2" t="s">
        <v>1906</v>
      </c>
    </row>
    <row r="487" spans="1:9" x14ac:dyDescent="0.35">
      <c r="A487" s="2" t="s">
        <v>1904</v>
      </c>
      <c r="B487" s="2" t="s">
        <v>12</v>
      </c>
      <c r="C487" s="2" t="s">
        <v>1928</v>
      </c>
      <c r="D487" s="2" t="s">
        <v>87</v>
      </c>
      <c r="E487" s="2" t="s">
        <v>75</v>
      </c>
      <c r="F487" s="2" t="s">
        <v>20</v>
      </c>
      <c r="G487" s="2" t="s">
        <v>1667</v>
      </c>
      <c r="H487" s="2" t="s">
        <v>20</v>
      </c>
      <c r="I487" s="2" t="s">
        <v>1906</v>
      </c>
    </row>
    <row r="488" spans="1:9" x14ac:dyDescent="0.35">
      <c r="A488" s="2" t="s">
        <v>1904</v>
      </c>
      <c r="B488" s="2" t="s">
        <v>12</v>
      </c>
      <c r="C488" s="2" t="s">
        <v>1929</v>
      </c>
      <c r="D488" s="2" t="s">
        <v>74</v>
      </c>
      <c r="E488" s="2" t="s">
        <v>75</v>
      </c>
      <c r="F488" s="2" t="s">
        <v>20</v>
      </c>
      <c r="G488" s="2" t="s">
        <v>1930</v>
      </c>
      <c r="H488" s="2" t="s">
        <v>20</v>
      </c>
      <c r="I488" s="2" t="s">
        <v>1906</v>
      </c>
    </row>
    <row r="489" spans="1:9" x14ac:dyDescent="0.35">
      <c r="A489" s="2" t="s">
        <v>1904</v>
      </c>
      <c r="B489" s="2" t="s">
        <v>12</v>
      </c>
      <c r="C489" s="2" t="s">
        <v>1931</v>
      </c>
      <c r="D489" s="2" t="s">
        <v>91</v>
      </c>
      <c r="E489" s="2" t="s">
        <v>19</v>
      </c>
      <c r="F489" s="2" t="s">
        <v>20</v>
      </c>
      <c r="G489" s="2" t="s">
        <v>1916</v>
      </c>
      <c r="H489" s="2" t="s">
        <v>20</v>
      </c>
      <c r="I489" s="2" t="s">
        <v>1906</v>
      </c>
    </row>
    <row r="490" spans="1:9" x14ac:dyDescent="0.35">
      <c r="A490" s="2" t="s">
        <v>1904</v>
      </c>
      <c r="B490" s="2" t="s">
        <v>12</v>
      </c>
      <c r="C490" s="2" t="s">
        <v>1931</v>
      </c>
      <c r="D490" s="2" t="s">
        <v>87</v>
      </c>
      <c r="E490" s="2" t="s">
        <v>75</v>
      </c>
      <c r="F490" s="2" t="s">
        <v>20</v>
      </c>
      <c r="G490" s="2" t="s">
        <v>1667</v>
      </c>
      <c r="H490" s="2" t="s">
        <v>20</v>
      </c>
      <c r="I490" s="2" t="s">
        <v>1906</v>
      </c>
    </row>
    <row r="491" spans="1:9" x14ac:dyDescent="0.35">
      <c r="A491" s="2" t="s">
        <v>1904</v>
      </c>
      <c r="B491" s="2" t="s">
        <v>12</v>
      </c>
      <c r="C491" s="2" t="s">
        <v>1931</v>
      </c>
      <c r="D491" s="2" t="s">
        <v>127</v>
      </c>
      <c r="E491" s="2" t="s">
        <v>107</v>
      </c>
      <c r="F491" s="2"/>
      <c r="G491" s="2"/>
      <c r="H491" s="2" t="s">
        <v>20</v>
      </c>
      <c r="I491" s="2" t="s">
        <v>1906</v>
      </c>
    </row>
    <row r="492" spans="1:9" x14ac:dyDescent="0.35">
      <c r="A492" s="2" t="s">
        <v>1904</v>
      </c>
      <c r="B492" s="2" t="s">
        <v>12</v>
      </c>
      <c r="C492" s="2" t="s">
        <v>1931</v>
      </c>
      <c r="D492" s="2" t="s">
        <v>193</v>
      </c>
      <c r="E492" s="2" t="s">
        <v>150</v>
      </c>
      <c r="F492" s="2"/>
      <c r="G492" s="2"/>
      <c r="H492" s="2" t="s">
        <v>20</v>
      </c>
      <c r="I492" s="2" t="s">
        <v>1906</v>
      </c>
    </row>
    <row r="493" spans="1:9" x14ac:dyDescent="0.35">
      <c r="A493" s="2" t="s">
        <v>1904</v>
      </c>
      <c r="B493" s="2" t="s">
        <v>62</v>
      </c>
      <c r="C493" s="2" t="s">
        <v>1932</v>
      </c>
      <c r="D493" s="2" t="s">
        <v>61</v>
      </c>
      <c r="E493" s="2" t="s">
        <v>30</v>
      </c>
      <c r="F493" s="2"/>
      <c r="G493" s="2"/>
      <c r="H493" s="2" t="s">
        <v>20</v>
      </c>
      <c r="I493" s="2" t="s">
        <v>1906</v>
      </c>
    </row>
    <row r="494" spans="1:9" x14ac:dyDescent="0.35">
      <c r="A494" s="2" t="s">
        <v>1904</v>
      </c>
      <c r="B494" s="2" t="s">
        <v>62</v>
      </c>
      <c r="C494" s="2" t="s">
        <v>1932</v>
      </c>
      <c r="D494" s="2" t="s">
        <v>1681</v>
      </c>
      <c r="E494" s="2" t="s">
        <v>107</v>
      </c>
      <c r="F494" s="2"/>
      <c r="G494" s="2"/>
      <c r="H494" s="2" t="s">
        <v>20</v>
      </c>
      <c r="I494" s="2" t="s">
        <v>1906</v>
      </c>
    </row>
    <row r="495" spans="1:9" x14ac:dyDescent="0.35">
      <c r="A495" s="2" t="s">
        <v>1904</v>
      </c>
      <c r="B495" s="2" t="s">
        <v>62</v>
      </c>
      <c r="C495" s="2" t="s">
        <v>1933</v>
      </c>
      <c r="D495" s="2" t="s">
        <v>14</v>
      </c>
      <c r="E495" s="2" t="s">
        <v>15</v>
      </c>
      <c r="F495" s="2"/>
      <c r="G495" s="2"/>
      <c r="H495" s="2" t="s">
        <v>20</v>
      </c>
      <c r="I495" s="2" t="s">
        <v>1906</v>
      </c>
    </row>
    <row r="496" spans="1:9" x14ac:dyDescent="0.35">
      <c r="A496" s="2" t="s">
        <v>1904</v>
      </c>
      <c r="B496" s="2" t="s">
        <v>62</v>
      </c>
      <c r="C496" s="2" t="s">
        <v>1933</v>
      </c>
      <c r="D496" s="2" t="s">
        <v>76</v>
      </c>
      <c r="E496" s="2" t="s">
        <v>75</v>
      </c>
      <c r="F496" s="2" t="s">
        <v>20</v>
      </c>
      <c r="G496" s="2" t="s">
        <v>1667</v>
      </c>
      <c r="H496" s="2" t="s">
        <v>20</v>
      </c>
      <c r="I496" s="2" t="s">
        <v>1906</v>
      </c>
    </row>
    <row r="497" spans="1:9" x14ac:dyDescent="0.35">
      <c r="A497" s="2" t="s">
        <v>1904</v>
      </c>
      <c r="B497" s="2" t="s">
        <v>62</v>
      </c>
      <c r="C497" s="2" t="s">
        <v>1933</v>
      </c>
      <c r="D497" s="2" t="s">
        <v>387</v>
      </c>
      <c r="E497" s="2" t="s">
        <v>1574</v>
      </c>
      <c r="F497" s="2"/>
      <c r="G497" s="2"/>
      <c r="H497" s="2" t="s">
        <v>20</v>
      </c>
      <c r="I497" s="2" t="s">
        <v>1906</v>
      </c>
    </row>
    <row r="498" spans="1:9" x14ac:dyDescent="0.35">
      <c r="A498" s="2" t="s">
        <v>1904</v>
      </c>
      <c r="B498" s="2" t="s">
        <v>62</v>
      </c>
      <c r="C498" s="2" t="s">
        <v>1934</v>
      </c>
      <c r="D498" s="2" t="s">
        <v>61</v>
      </c>
      <c r="E498" s="2" t="s">
        <v>30</v>
      </c>
      <c r="F498" s="2"/>
      <c r="G498" s="2"/>
      <c r="H498" s="2" t="s">
        <v>20</v>
      </c>
      <c r="I498" s="2" t="s">
        <v>1906</v>
      </c>
    </row>
    <row r="499" spans="1:9" x14ac:dyDescent="0.35">
      <c r="A499" s="2" t="s">
        <v>1904</v>
      </c>
      <c r="B499" s="2" t="s">
        <v>62</v>
      </c>
      <c r="C499" s="2" t="s">
        <v>1934</v>
      </c>
      <c r="D499" s="2" t="s">
        <v>1681</v>
      </c>
      <c r="E499" s="2" t="s">
        <v>107</v>
      </c>
      <c r="F499" s="2"/>
      <c r="G499" s="2"/>
      <c r="H499" s="2" t="s">
        <v>20</v>
      </c>
      <c r="I499" s="2" t="s">
        <v>1906</v>
      </c>
    </row>
    <row r="500" spans="1:9" x14ac:dyDescent="0.35">
      <c r="A500" s="2" t="s">
        <v>1904</v>
      </c>
      <c r="B500" s="2" t="s">
        <v>24</v>
      </c>
      <c r="C500" s="2" t="s">
        <v>1935</v>
      </c>
      <c r="D500" s="2" t="s">
        <v>96</v>
      </c>
      <c r="E500" s="2" t="s">
        <v>83</v>
      </c>
      <c r="F500" s="2"/>
      <c r="G500" s="2"/>
      <c r="H500" s="2" t="s">
        <v>20</v>
      </c>
      <c r="I500" s="2" t="s">
        <v>1906</v>
      </c>
    </row>
    <row r="501" spans="1:9" x14ac:dyDescent="0.35">
      <c r="A501" s="2" t="s">
        <v>1904</v>
      </c>
      <c r="B501" s="2" t="s">
        <v>24</v>
      </c>
      <c r="C501" s="2" t="s">
        <v>1935</v>
      </c>
      <c r="D501" s="2" t="s">
        <v>1696</v>
      </c>
      <c r="E501" s="2" t="s">
        <v>75</v>
      </c>
      <c r="F501" s="2" t="s">
        <v>20</v>
      </c>
      <c r="G501" s="2" t="s">
        <v>1936</v>
      </c>
      <c r="H501" s="2" t="s">
        <v>20</v>
      </c>
      <c r="I501" s="2" t="s">
        <v>1906</v>
      </c>
    </row>
    <row r="502" spans="1:9" x14ac:dyDescent="0.35">
      <c r="A502" s="2" t="s">
        <v>1904</v>
      </c>
      <c r="B502" s="2" t="s">
        <v>12</v>
      </c>
      <c r="C502" s="2" t="s">
        <v>1937</v>
      </c>
      <c r="D502" s="2" t="s">
        <v>91</v>
      </c>
      <c r="E502" s="2" t="s">
        <v>19</v>
      </c>
      <c r="F502" s="2" t="s">
        <v>20</v>
      </c>
      <c r="G502" s="2" t="s">
        <v>1938</v>
      </c>
      <c r="H502" s="2" t="s">
        <v>20</v>
      </c>
      <c r="I502" s="2" t="s">
        <v>1906</v>
      </c>
    </row>
    <row r="503" spans="1:9" x14ac:dyDescent="0.35">
      <c r="A503" s="2" t="s">
        <v>1904</v>
      </c>
      <c r="B503" s="2" t="s">
        <v>12</v>
      </c>
      <c r="C503" s="2" t="s">
        <v>1937</v>
      </c>
      <c r="D503" s="2" t="s">
        <v>51</v>
      </c>
      <c r="E503" s="2" t="s">
        <v>52</v>
      </c>
      <c r="F503" s="2"/>
      <c r="G503" s="2"/>
      <c r="H503" s="2" t="s">
        <v>20</v>
      </c>
      <c r="I503" s="2" t="s">
        <v>1906</v>
      </c>
    </row>
    <row r="504" spans="1:9" x14ac:dyDescent="0.35">
      <c r="A504" s="2" t="s">
        <v>1904</v>
      </c>
      <c r="B504" s="2" t="s">
        <v>12</v>
      </c>
      <c r="C504" s="2" t="s">
        <v>1937</v>
      </c>
      <c r="D504" s="2" t="s">
        <v>149</v>
      </c>
      <c r="E504" s="2" t="s">
        <v>150</v>
      </c>
      <c r="F504" s="2" t="s">
        <v>20</v>
      </c>
      <c r="G504" s="2" t="s">
        <v>1939</v>
      </c>
      <c r="H504" s="2" t="s">
        <v>20</v>
      </c>
      <c r="I504" s="2" t="s">
        <v>1906</v>
      </c>
    </row>
    <row r="505" spans="1:9" x14ac:dyDescent="0.35">
      <c r="A505" s="2" t="s">
        <v>1904</v>
      </c>
      <c r="B505" s="2" t="s">
        <v>54</v>
      </c>
      <c r="C505" s="2" t="s">
        <v>1940</v>
      </c>
      <c r="D505" s="2" t="s">
        <v>74</v>
      </c>
      <c r="E505" s="2" t="s">
        <v>75</v>
      </c>
      <c r="F505" s="2" t="s">
        <v>20</v>
      </c>
      <c r="G505" s="2" t="s">
        <v>1667</v>
      </c>
      <c r="H505" s="2" t="s">
        <v>20</v>
      </c>
      <c r="I505" s="2" t="s">
        <v>1906</v>
      </c>
    </row>
    <row r="506" spans="1:9" x14ac:dyDescent="0.35">
      <c r="A506" s="2" t="s">
        <v>1904</v>
      </c>
      <c r="B506" s="2" t="s">
        <v>54</v>
      </c>
      <c r="C506" s="2" t="s">
        <v>1940</v>
      </c>
      <c r="D506" s="2" t="s">
        <v>120</v>
      </c>
      <c r="E506" s="2" t="s">
        <v>32</v>
      </c>
      <c r="F506" s="2"/>
      <c r="G506" s="2"/>
      <c r="H506" s="2" t="s">
        <v>20</v>
      </c>
      <c r="I506" s="2" t="s">
        <v>1906</v>
      </c>
    </row>
    <row r="507" spans="1:9" x14ac:dyDescent="0.35">
      <c r="A507" s="2" t="s">
        <v>1904</v>
      </c>
      <c r="B507" s="2" t="s">
        <v>54</v>
      </c>
      <c r="C507" s="2" t="s">
        <v>1940</v>
      </c>
      <c r="D507" s="2" t="s">
        <v>91</v>
      </c>
      <c r="E507" s="2" t="s">
        <v>19</v>
      </c>
      <c r="F507" s="2" t="s">
        <v>20</v>
      </c>
      <c r="G507" s="2" t="s">
        <v>1671</v>
      </c>
      <c r="H507" s="2" t="s">
        <v>20</v>
      </c>
      <c r="I507" s="2" t="s">
        <v>1906</v>
      </c>
    </row>
    <row r="508" spans="1:9" x14ac:dyDescent="0.35">
      <c r="A508" s="2" t="s">
        <v>1904</v>
      </c>
      <c r="B508" s="2" t="s">
        <v>54</v>
      </c>
      <c r="C508" s="2" t="s">
        <v>1941</v>
      </c>
      <c r="D508" s="2" t="s">
        <v>18</v>
      </c>
      <c r="E508" s="2" t="s">
        <v>19</v>
      </c>
      <c r="F508" s="2" t="s">
        <v>20</v>
      </c>
      <c r="G508" s="2" t="s">
        <v>1942</v>
      </c>
      <c r="H508" s="2"/>
      <c r="I508" s="2"/>
    </row>
    <row r="509" spans="1:9" x14ac:dyDescent="0.35">
      <c r="A509" s="2" t="s">
        <v>1904</v>
      </c>
      <c r="B509" s="2" t="s">
        <v>62</v>
      </c>
      <c r="C509" s="2" t="s">
        <v>1943</v>
      </c>
      <c r="D509" s="2" t="s">
        <v>1944</v>
      </c>
      <c r="E509" s="2" t="s">
        <v>36</v>
      </c>
      <c r="F509" s="2"/>
      <c r="G509" s="2"/>
      <c r="H509" s="2" t="s">
        <v>20</v>
      </c>
      <c r="I509" s="2" t="s">
        <v>1906</v>
      </c>
    </row>
    <row r="510" spans="1:9" x14ac:dyDescent="0.35">
      <c r="A510" s="2" t="s">
        <v>1904</v>
      </c>
      <c r="B510" s="2" t="s">
        <v>62</v>
      </c>
      <c r="C510" s="2" t="s">
        <v>1943</v>
      </c>
      <c r="D510" s="2" t="s">
        <v>291</v>
      </c>
      <c r="E510" s="2" t="s">
        <v>139</v>
      </c>
      <c r="F510" s="2"/>
      <c r="G510" s="2"/>
      <c r="H510" s="2" t="s">
        <v>20</v>
      </c>
      <c r="I510" s="2" t="s">
        <v>1906</v>
      </c>
    </row>
    <row r="511" spans="1:9" x14ac:dyDescent="0.35">
      <c r="A511" s="2" t="s">
        <v>1904</v>
      </c>
      <c r="B511" s="2" t="s">
        <v>62</v>
      </c>
      <c r="C511" s="2" t="s">
        <v>1943</v>
      </c>
      <c r="D511" s="2" t="s">
        <v>61</v>
      </c>
      <c r="E511" s="2" t="s">
        <v>30</v>
      </c>
      <c r="F511" s="2"/>
      <c r="G511" s="2"/>
      <c r="H511" s="2" t="s">
        <v>20</v>
      </c>
      <c r="I511" s="2" t="s">
        <v>1906</v>
      </c>
    </row>
    <row r="512" spans="1:9" x14ac:dyDescent="0.35">
      <c r="A512" s="2" t="s">
        <v>1904</v>
      </c>
      <c r="B512" s="2" t="s">
        <v>62</v>
      </c>
      <c r="C512" s="2" t="s">
        <v>1943</v>
      </c>
      <c r="D512" s="2" t="s">
        <v>1945</v>
      </c>
      <c r="E512" s="2" t="s">
        <v>277</v>
      </c>
      <c r="F512" s="2"/>
      <c r="G512" s="2"/>
      <c r="H512" s="2" t="s">
        <v>20</v>
      </c>
      <c r="I512" s="2" t="s">
        <v>1906</v>
      </c>
    </row>
    <row r="513" spans="1:9" x14ac:dyDescent="0.35">
      <c r="A513" s="2" t="s">
        <v>1904</v>
      </c>
      <c r="B513" s="2" t="s">
        <v>62</v>
      </c>
      <c r="C513" s="2" t="s">
        <v>1943</v>
      </c>
      <c r="D513" s="2" t="s">
        <v>1681</v>
      </c>
      <c r="E513" s="2" t="s">
        <v>107</v>
      </c>
      <c r="F513" s="2"/>
      <c r="G513" s="2"/>
      <c r="H513" s="2" t="s">
        <v>20</v>
      </c>
      <c r="I513" s="2" t="s">
        <v>1906</v>
      </c>
    </row>
    <row r="514" spans="1:9" x14ac:dyDescent="0.35">
      <c r="A514" s="2" t="s">
        <v>1904</v>
      </c>
      <c r="B514" s="2" t="s">
        <v>62</v>
      </c>
      <c r="C514" s="2" t="s">
        <v>1946</v>
      </c>
      <c r="D514" s="2" t="s">
        <v>1947</v>
      </c>
      <c r="E514" s="2" t="s">
        <v>75</v>
      </c>
      <c r="F514" s="2" t="s">
        <v>20</v>
      </c>
      <c r="G514" s="2" t="s">
        <v>1667</v>
      </c>
      <c r="H514" s="2" t="s">
        <v>20</v>
      </c>
      <c r="I514" s="2" t="s">
        <v>1906</v>
      </c>
    </row>
    <row r="515" spans="1:9" x14ac:dyDescent="0.35">
      <c r="A515" s="2" t="s">
        <v>1904</v>
      </c>
      <c r="B515" s="2" t="s">
        <v>62</v>
      </c>
      <c r="C515" s="2" t="s">
        <v>1946</v>
      </c>
      <c r="D515" s="2" t="s">
        <v>49</v>
      </c>
      <c r="E515" s="2" t="s">
        <v>50</v>
      </c>
      <c r="F515" s="2"/>
      <c r="G515" s="2"/>
      <c r="H515" s="2" t="s">
        <v>20</v>
      </c>
      <c r="I515" s="2" t="s">
        <v>1906</v>
      </c>
    </row>
    <row r="516" spans="1:9" x14ac:dyDescent="0.35">
      <c r="A516" s="2" t="s">
        <v>1904</v>
      </c>
      <c r="B516" s="2" t="s">
        <v>62</v>
      </c>
      <c r="C516" s="2" t="s">
        <v>1946</v>
      </c>
      <c r="D516" s="2" t="s">
        <v>87</v>
      </c>
      <c r="E516" s="2" t="s">
        <v>75</v>
      </c>
      <c r="F516" s="2" t="s">
        <v>20</v>
      </c>
      <c r="G516" s="2" t="s">
        <v>1667</v>
      </c>
      <c r="H516" s="2" t="s">
        <v>20</v>
      </c>
      <c r="I516" s="2" t="s">
        <v>1906</v>
      </c>
    </row>
    <row r="517" spans="1:9" x14ac:dyDescent="0.35">
      <c r="A517" s="2" t="s">
        <v>1904</v>
      </c>
      <c r="B517" s="2" t="s">
        <v>62</v>
      </c>
      <c r="C517" s="2" t="s">
        <v>1946</v>
      </c>
      <c r="D517" s="2" t="s">
        <v>18</v>
      </c>
      <c r="E517" s="2" t="s">
        <v>19</v>
      </c>
      <c r="F517" s="2" t="s">
        <v>20</v>
      </c>
      <c r="G517" s="2" t="s">
        <v>1671</v>
      </c>
      <c r="H517" s="2" t="s">
        <v>20</v>
      </c>
      <c r="I517" s="2" t="s">
        <v>1906</v>
      </c>
    </row>
    <row r="518" spans="1:9" x14ac:dyDescent="0.35">
      <c r="A518" s="2" t="s">
        <v>1904</v>
      </c>
      <c r="B518" s="2" t="s">
        <v>62</v>
      </c>
      <c r="C518" s="2" t="s">
        <v>1946</v>
      </c>
      <c r="D518" s="2" t="s">
        <v>61</v>
      </c>
      <c r="E518" s="2" t="s">
        <v>30</v>
      </c>
      <c r="F518" s="2"/>
      <c r="G518" s="2"/>
      <c r="H518" s="2" t="s">
        <v>20</v>
      </c>
      <c r="I518" s="2" t="s">
        <v>1906</v>
      </c>
    </row>
    <row r="519" spans="1:9" x14ac:dyDescent="0.35">
      <c r="A519" s="2" t="s">
        <v>1904</v>
      </c>
      <c r="B519" s="2" t="s">
        <v>62</v>
      </c>
      <c r="C519" s="2" t="s">
        <v>1948</v>
      </c>
      <c r="D519" s="2" t="s">
        <v>782</v>
      </c>
      <c r="E519" s="2" t="s">
        <v>75</v>
      </c>
      <c r="F519" s="2" t="s">
        <v>20</v>
      </c>
      <c r="G519" s="2" t="s">
        <v>1949</v>
      </c>
      <c r="H519" s="2" t="s">
        <v>20</v>
      </c>
      <c r="I519" s="2" t="s">
        <v>1906</v>
      </c>
    </row>
    <row r="520" spans="1:9" x14ac:dyDescent="0.35">
      <c r="A520" s="2" t="s">
        <v>1904</v>
      </c>
      <c r="B520" s="2" t="s">
        <v>62</v>
      </c>
      <c r="C520" s="2" t="s">
        <v>1948</v>
      </c>
      <c r="D520" s="2" t="s">
        <v>1945</v>
      </c>
      <c r="E520" s="2" t="s">
        <v>277</v>
      </c>
      <c r="F520" s="2"/>
      <c r="G520" s="2"/>
      <c r="H520" s="2" t="s">
        <v>20</v>
      </c>
      <c r="I520" s="2" t="s">
        <v>1906</v>
      </c>
    </row>
    <row r="521" spans="1:9" x14ac:dyDescent="0.35">
      <c r="A521" s="2" t="s">
        <v>1904</v>
      </c>
      <c r="B521" s="2" t="s">
        <v>62</v>
      </c>
      <c r="C521" s="2" t="s">
        <v>1948</v>
      </c>
      <c r="D521" s="2" t="s">
        <v>1681</v>
      </c>
      <c r="E521" s="2" t="s">
        <v>107</v>
      </c>
      <c r="F521" s="2"/>
      <c r="G521" s="2"/>
      <c r="H521" s="2" t="s">
        <v>20</v>
      </c>
      <c r="I521" s="2" t="s">
        <v>1906</v>
      </c>
    </row>
    <row r="522" spans="1:9" x14ac:dyDescent="0.35">
      <c r="A522" s="2" t="s">
        <v>1904</v>
      </c>
      <c r="B522" s="2" t="s">
        <v>57</v>
      </c>
      <c r="C522" s="2" t="s">
        <v>1950</v>
      </c>
      <c r="D522" s="2" t="s">
        <v>74</v>
      </c>
      <c r="E522" s="2" t="s">
        <v>75</v>
      </c>
      <c r="F522" s="2" t="s">
        <v>20</v>
      </c>
      <c r="G522" s="2" t="s">
        <v>1951</v>
      </c>
      <c r="H522" s="2" t="s">
        <v>20</v>
      </c>
      <c r="I522" s="2" t="s">
        <v>1906</v>
      </c>
    </row>
    <row r="523" spans="1:9" x14ac:dyDescent="0.35">
      <c r="A523" s="2" t="s">
        <v>1904</v>
      </c>
      <c r="B523" s="2" t="s">
        <v>57</v>
      </c>
      <c r="C523" s="2" t="s">
        <v>1950</v>
      </c>
      <c r="D523" s="2" t="s">
        <v>121</v>
      </c>
      <c r="E523" s="2" t="s">
        <v>122</v>
      </c>
      <c r="F523" s="2"/>
      <c r="G523" s="2"/>
      <c r="H523" s="2" t="s">
        <v>20</v>
      </c>
      <c r="I523" s="2" t="s">
        <v>1906</v>
      </c>
    </row>
    <row r="524" spans="1:9" x14ac:dyDescent="0.35">
      <c r="A524" s="2" t="s">
        <v>1904</v>
      </c>
      <c r="B524" s="2" t="s">
        <v>62</v>
      </c>
      <c r="C524" s="2" t="s">
        <v>1952</v>
      </c>
      <c r="D524" s="2" t="s">
        <v>1170</v>
      </c>
      <c r="E524" s="2" t="s">
        <v>19</v>
      </c>
      <c r="F524" s="2" t="s">
        <v>20</v>
      </c>
      <c r="G524" s="2" t="s">
        <v>1938</v>
      </c>
      <c r="H524" s="2"/>
      <c r="I524" s="2"/>
    </row>
    <row r="525" spans="1:9" x14ac:dyDescent="0.35">
      <c r="A525" s="2" t="s">
        <v>1904</v>
      </c>
      <c r="B525" s="2" t="s">
        <v>62</v>
      </c>
      <c r="C525" s="2" t="s">
        <v>1953</v>
      </c>
      <c r="D525" s="2" t="s">
        <v>1172</v>
      </c>
      <c r="E525" s="2" t="s">
        <v>107</v>
      </c>
      <c r="F525" s="2"/>
      <c r="G525" s="2"/>
      <c r="H525" s="2" t="s">
        <v>20</v>
      </c>
      <c r="I525" s="2"/>
    </row>
    <row r="526" spans="1:9" x14ac:dyDescent="0.35">
      <c r="A526" s="2" t="s">
        <v>1904</v>
      </c>
      <c r="B526" s="2" t="s">
        <v>62</v>
      </c>
      <c r="C526" s="2" t="s">
        <v>1953</v>
      </c>
      <c r="D526" s="2" t="s">
        <v>387</v>
      </c>
      <c r="E526" s="2" t="s">
        <v>1574</v>
      </c>
      <c r="F526" s="2"/>
      <c r="G526" s="2"/>
      <c r="H526" s="2" t="s">
        <v>20</v>
      </c>
      <c r="I526" s="2"/>
    </row>
    <row r="527" spans="1:9" x14ac:dyDescent="0.35">
      <c r="A527" s="2" t="s">
        <v>1904</v>
      </c>
      <c r="B527" s="2" t="s">
        <v>62</v>
      </c>
      <c r="C527" s="2" t="s">
        <v>1953</v>
      </c>
      <c r="D527" s="2" t="s">
        <v>1036</v>
      </c>
      <c r="E527" s="2" t="s">
        <v>75</v>
      </c>
      <c r="F527" s="2" t="s">
        <v>20</v>
      </c>
      <c r="G527" s="2" t="s">
        <v>1954</v>
      </c>
      <c r="H527" s="2" t="s">
        <v>20</v>
      </c>
      <c r="I527" s="2"/>
    </row>
    <row r="528" spans="1:9" x14ac:dyDescent="0.35">
      <c r="A528" s="2" t="s">
        <v>1904</v>
      </c>
      <c r="B528" s="2" t="s">
        <v>62</v>
      </c>
      <c r="C528" s="2" t="s">
        <v>1955</v>
      </c>
      <c r="D528" s="2" t="s">
        <v>1172</v>
      </c>
      <c r="E528" s="2" t="s">
        <v>107</v>
      </c>
      <c r="F528" s="2"/>
      <c r="G528" s="2"/>
      <c r="H528" s="2"/>
      <c r="I528" s="2"/>
    </row>
    <row r="529" spans="1:9" x14ac:dyDescent="0.35">
      <c r="A529" s="2" t="s">
        <v>1904</v>
      </c>
      <c r="B529" s="2" t="s">
        <v>62</v>
      </c>
      <c r="C529" s="2" t="s">
        <v>1955</v>
      </c>
      <c r="D529" s="2" t="s">
        <v>1956</v>
      </c>
      <c r="E529" s="2" t="s">
        <v>40</v>
      </c>
      <c r="F529" s="2"/>
      <c r="G529" s="2"/>
      <c r="H529" s="2"/>
      <c r="I529" s="2"/>
    </row>
    <row r="530" spans="1:9" x14ac:dyDescent="0.35">
      <c r="A530" s="2" t="s">
        <v>1904</v>
      </c>
      <c r="B530" s="2" t="s">
        <v>62</v>
      </c>
      <c r="C530" s="2" t="s">
        <v>1955</v>
      </c>
      <c r="D530" s="2" t="s">
        <v>387</v>
      </c>
      <c r="E530" s="2" t="s">
        <v>1574</v>
      </c>
      <c r="F530" s="2"/>
      <c r="G530" s="2"/>
      <c r="H530" s="2"/>
      <c r="I530" s="2"/>
    </row>
    <row r="531" spans="1:9" x14ac:dyDescent="0.35">
      <c r="A531" s="2" t="s">
        <v>1904</v>
      </c>
      <c r="B531" s="2" t="s">
        <v>62</v>
      </c>
      <c r="C531" s="2" t="s">
        <v>1955</v>
      </c>
      <c r="D531" s="2" t="s">
        <v>1036</v>
      </c>
      <c r="E531" s="2" t="s">
        <v>75</v>
      </c>
      <c r="F531" s="2" t="s">
        <v>20</v>
      </c>
      <c r="G531" s="2" t="s">
        <v>1957</v>
      </c>
      <c r="H531" s="2"/>
      <c r="I531" s="2"/>
    </row>
    <row r="532" spans="1:9" x14ac:dyDescent="0.35">
      <c r="A532" s="2" t="s">
        <v>1904</v>
      </c>
      <c r="B532" s="2" t="s">
        <v>12</v>
      </c>
      <c r="C532" s="2" t="s">
        <v>1958</v>
      </c>
      <c r="D532" s="2" t="s">
        <v>91</v>
      </c>
      <c r="E532" s="2" t="s">
        <v>19</v>
      </c>
      <c r="F532" s="2"/>
      <c r="G532" s="2"/>
      <c r="H532" s="2" t="s">
        <v>20</v>
      </c>
      <c r="I532" s="2" t="s">
        <v>1906</v>
      </c>
    </row>
    <row r="533" spans="1:9" x14ac:dyDescent="0.35">
      <c r="A533" s="2" t="s">
        <v>1904</v>
      </c>
      <c r="B533" s="2" t="s">
        <v>12</v>
      </c>
      <c r="C533" s="2" t="s">
        <v>1958</v>
      </c>
      <c r="D533" s="2" t="s">
        <v>87</v>
      </c>
      <c r="E533" s="2" t="s">
        <v>75</v>
      </c>
      <c r="F533" s="2"/>
      <c r="G533" s="2"/>
      <c r="H533" s="2" t="s">
        <v>20</v>
      </c>
      <c r="I533" s="2" t="s">
        <v>1906</v>
      </c>
    </row>
    <row r="534" spans="1:9" x14ac:dyDescent="0.35">
      <c r="A534" s="2" t="s">
        <v>1904</v>
      </c>
      <c r="B534" s="2" t="s">
        <v>12</v>
      </c>
      <c r="C534" s="2" t="s">
        <v>1958</v>
      </c>
      <c r="D534" s="2" t="s">
        <v>51</v>
      </c>
      <c r="E534" s="2" t="s">
        <v>52</v>
      </c>
      <c r="F534" s="2"/>
      <c r="G534" s="2"/>
      <c r="H534" s="2" t="s">
        <v>20</v>
      </c>
      <c r="I534" s="2" t="s">
        <v>1906</v>
      </c>
    </row>
    <row r="535" spans="1:9" x14ac:dyDescent="0.35">
      <c r="A535" s="2" t="s">
        <v>1904</v>
      </c>
      <c r="B535" s="2" t="s">
        <v>12</v>
      </c>
      <c r="C535" s="2" t="s">
        <v>1958</v>
      </c>
      <c r="D535" s="2" t="s">
        <v>18</v>
      </c>
      <c r="E535" s="2" t="s">
        <v>19</v>
      </c>
      <c r="F535" s="2"/>
      <c r="G535" s="2"/>
      <c r="H535" s="2" t="s">
        <v>20</v>
      </c>
      <c r="I535" s="2" t="s">
        <v>1906</v>
      </c>
    </row>
    <row r="536" spans="1:9" x14ac:dyDescent="0.35">
      <c r="A536" s="2" t="s">
        <v>1904</v>
      </c>
      <c r="B536" s="2" t="s">
        <v>12</v>
      </c>
      <c r="C536" s="2" t="s">
        <v>1959</v>
      </c>
      <c r="D536" s="2" t="s">
        <v>74</v>
      </c>
      <c r="E536" s="2" t="s">
        <v>75</v>
      </c>
      <c r="F536" s="2" t="s">
        <v>20</v>
      </c>
      <c r="G536" s="2" t="s">
        <v>1667</v>
      </c>
      <c r="H536" s="2" t="s">
        <v>20</v>
      </c>
      <c r="I536" s="2" t="s">
        <v>1906</v>
      </c>
    </row>
    <row r="537" spans="1:9" x14ac:dyDescent="0.35">
      <c r="A537" s="2" t="s">
        <v>1904</v>
      </c>
      <c r="B537" s="2" t="s">
        <v>12</v>
      </c>
      <c r="C537" s="2" t="s">
        <v>1959</v>
      </c>
      <c r="D537" s="2" t="s">
        <v>188</v>
      </c>
      <c r="E537" s="2" t="s">
        <v>189</v>
      </c>
      <c r="F537" s="2"/>
      <c r="G537" s="2"/>
      <c r="H537" s="2" t="s">
        <v>20</v>
      </c>
      <c r="I537" s="2" t="s">
        <v>1906</v>
      </c>
    </row>
    <row r="538" spans="1:9" x14ac:dyDescent="0.35">
      <c r="A538" s="2" t="s">
        <v>1904</v>
      </c>
      <c r="B538" s="2" t="s">
        <v>12</v>
      </c>
      <c r="C538" s="2" t="s">
        <v>1959</v>
      </c>
      <c r="D538" s="2" t="s">
        <v>1181</v>
      </c>
      <c r="E538" s="2" t="s">
        <v>30</v>
      </c>
      <c r="F538" s="2"/>
      <c r="G538" s="2"/>
      <c r="H538" s="2" t="s">
        <v>20</v>
      </c>
      <c r="I538" s="2" t="s">
        <v>1906</v>
      </c>
    </row>
    <row r="539" spans="1:9" x14ac:dyDescent="0.35">
      <c r="A539" s="2" t="s">
        <v>1960</v>
      </c>
      <c r="B539" s="2" t="s">
        <v>24</v>
      </c>
      <c r="C539" s="2" t="s">
        <v>1961</v>
      </c>
      <c r="D539" s="2" t="s">
        <v>14</v>
      </c>
      <c r="E539" s="2" t="s">
        <v>15</v>
      </c>
      <c r="F539" s="2"/>
      <c r="G539" s="2"/>
      <c r="H539" s="2" t="s">
        <v>20</v>
      </c>
      <c r="I539" s="2" t="s">
        <v>1962</v>
      </c>
    </row>
    <row r="540" spans="1:9" x14ac:dyDescent="0.35">
      <c r="A540" s="2" t="s">
        <v>1960</v>
      </c>
      <c r="B540" s="2" t="s">
        <v>24</v>
      </c>
      <c r="C540" s="2" t="s">
        <v>1961</v>
      </c>
      <c r="D540" s="2" t="s">
        <v>120</v>
      </c>
      <c r="E540" s="2" t="s">
        <v>32</v>
      </c>
      <c r="F540" s="2"/>
      <c r="G540" s="2"/>
      <c r="H540" s="2" t="s">
        <v>20</v>
      </c>
      <c r="I540" s="2" t="s">
        <v>1962</v>
      </c>
    </row>
    <row r="541" spans="1:9" x14ac:dyDescent="0.35">
      <c r="A541" s="2" t="s">
        <v>1960</v>
      </c>
      <c r="B541" s="2" t="s">
        <v>24</v>
      </c>
      <c r="C541" s="2" t="s">
        <v>1961</v>
      </c>
      <c r="D541" s="2" t="s">
        <v>121</v>
      </c>
      <c r="E541" s="2" t="s">
        <v>122</v>
      </c>
      <c r="F541" s="2"/>
      <c r="G541" s="2"/>
      <c r="H541" s="2" t="s">
        <v>20</v>
      </c>
      <c r="I541" s="2" t="s">
        <v>1962</v>
      </c>
    </row>
    <row r="542" spans="1:9" x14ac:dyDescent="0.35">
      <c r="A542" s="2" t="s">
        <v>1960</v>
      </c>
      <c r="B542" s="2" t="s">
        <v>24</v>
      </c>
      <c r="C542" s="2" t="s">
        <v>1961</v>
      </c>
      <c r="D542" s="2" t="s">
        <v>87</v>
      </c>
      <c r="E542" s="2" t="s">
        <v>75</v>
      </c>
      <c r="F542" s="2"/>
      <c r="G542" s="2"/>
      <c r="H542" s="2" t="s">
        <v>20</v>
      </c>
      <c r="I542" s="2" t="s">
        <v>1962</v>
      </c>
    </row>
    <row r="543" spans="1:9" x14ac:dyDescent="0.35">
      <c r="A543" s="2" t="s">
        <v>1960</v>
      </c>
      <c r="B543" s="2" t="s">
        <v>24</v>
      </c>
      <c r="C543" s="2" t="s">
        <v>1961</v>
      </c>
      <c r="D543" s="2" t="s">
        <v>18</v>
      </c>
      <c r="E543" s="2" t="s">
        <v>19</v>
      </c>
      <c r="F543" s="2" t="s">
        <v>20</v>
      </c>
      <c r="G543" s="2" t="s">
        <v>1963</v>
      </c>
      <c r="H543" s="2" t="s">
        <v>20</v>
      </c>
      <c r="I543" s="2" t="s">
        <v>1962</v>
      </c>
    </row>
    <row r="544" spans="1:9" x14ac:dyDescent="0.35">
      <c r="A544" s="2" t="s">
        <v>1960</v>
      </c>
      <c r="B544" s="2" t="s">
        <v>24</v>
      </c>
      <c r="C544" s="2" t="s">
        <v>1961</v>
      </c>
      <c r="D544" s="2" t="s">
        <v>865</v>
      </c>
      <c r="E544" s="2" t="s">
        <v>30</v>
      </c>
      <c r="F544" s="2"/>
      <c r="G544" s="2"/>
      <c r="H544" s="2" t="s">
        <v>20</v>
      </c>
      <c r="I544" s="2" t="s">
        <v>1962</v>
      </c>
    </row>
    <row r="545" spans="1:9" x14ac:dyDescent="0.35">
      <c r="A545" s="2" t="s">
        <v>1960</v>
      </c>
      <c r="B545" s="2" t="s">
        <v>24</v>
      </c>
      <c r="C545" s="2" t="s">
        <v>1961</v>
      </c>
      <c r="D545" s="2" t="s">
        <v>352</v>
      </c>
      <c r="E545" s="2" t="s">
        <v>107</v>
      </c>
      <c r="F545" s="2"/>
      <c r="G545" s="2"/>
      <c r="H545" s="2" t="s">
        <v>20</v>
      </c>
      <c r="I545" s="2" t="s">
        <v>1962</v>
      </c>
    </row>
    <row r="546" spans="1:9" x14ac:dyDescent="0.35">
      <c r="A546" s="2" t="s">
        <v>1964</v>
      </c>
      <c r="B546" s="2" t="s">
        <v>24</v>
      </c>
      <c r="C546" s="2" t="s">
        <v>1965</v>
      </c>
      <c r="D546" s="2" t="s">
        <v>82</v>
      </c>
      <c r="E546" s="2" t="s">
        <v>83</v>
      </c>
      <c r="F546" s="2"/>
      <c r="G546" s="2"/>
      <c r="H546" s="2" t="s">
        <v>20</v>
      </c>
      <c r="I546" s="2" t="s">
        <v>1966</v>
      </c>
    </row>
    <row r="547" spans="1:9" x14ac:dyDescent="0.35">
      <c r="A547" s="2" t="s">
        <v>1964</v>
      </c>
      <c r="B547" s="2" t="s">
        <v>24</v>
      </c>
      <c r="C547" s="2" t="s">
        <v>1965</v>
      </c>
      <c r="D547" s="2" t="s">
        <v>136</v>
      </c>
      <c r="E547" s="2" t="s">
        <v>1650</v>
      </c>
      <c r="F547" s="2"/>
      <c r="G547" s="2"/>
      <c r="H547" s="2" t="s">
        <v>20</v>
      </c>
      <c r="I547" s="2" t="s">
        <v>1966</v>
      </c>
    </row>
    <row r="548" spans="1:9" x14ac:dyDescent="0.35">
      <c r="A548" s="2" t="s">
        <v>1964</v>
      </c>
      <c r="B548" s="2" t="s">
        <v>24</v>
      </c>
      <c r="C548" s="2" t="s">
        <v>1965</v>
      </c>
      <c r="D548" s="2" t="s">
        <v>291</v>
      </c>
      <c r="E548" s="2" t="s">
        <v>139</v>
      </c>
      <c r="F548" s="2"/>
      <c r="G548" s="2"/>
      <c r="H548" s="2" t="s">
        <v>20</v>
      </c>
      <c r="I548" s="2" t="s">
        <v>1966</v>
      </c>
    </row>
    <row r="549" spans="1:9" x14ac:dyDescent="0.35">
      <c r="A549" s="2" t="s">
        <v>1964</v>
      </c>
      <c r="B549" s="2" t="s">
        <v>24</v>
      </c>
      <c r="C549" s="2" t="s">
        <v>1965</v>
      </c>
      <c r="D549" s="2" t="s">
        <v>35</v>
      </c>
      <c r="E549" s="2" t="s">
        <v>36</v>
      </c>
      <c r="F549" s="2"/>
      <c r="G549" s="2"/>
      <c r="H549" s="2" t="s">
        <v>20</v>
      </c>
      <c r="I549" s="2" t="s">
        <v>1966</v>
      </c>
    </row>
    <row r="550" spans="1:9" x14ac:dyDescent="0.35">
      <c r="A550" s="2" t="s">
        <v>1964</v>
      </c>
      <c r="B550" s="2" t="s">
        <v>24</v>
      </c>
      <c r="C550" s="2" t="s">
        <v>1965</v>
      </c>
      <c r="D550" s="2" t="s">
        <v>124</v>
      </c>
      <c r="E550" s="2" t="s">
        <v>1654</v>
      </c>
      <c r="F550" s="2"/>
      <c r="G550" s="2"/>
      <c r="H550" s="2" t="s">
        <v>20</v>
      </c>
      <c r="I550" s="2" t="s">
        <v>1966</v>
      </c>
    </row>
    <row r="551" spans="1:9" x14ac:dyDescent="0.35">
      <c r="A551" s="2" t="s">
        <v>1964</v>
      </c>
      <c r="B551" s="2" t="s">
        <v>24</v>
      </c>
      <c r="C551" s="2" t="s">
        <v>1965</v>
      </c>
      <c r="D551" s="2" t="s">
        <v>61</v>
      </c>
      <c r="E551" s="2" t="s">
        <v>30</v>
      </c>
      <c r="F551" s="2"/>
      <c r="G551" s="2"/>
      <c r="H551" s="2" t="s">
        <v>20</v>
      </c>
      <c r="I551" s="2" t="s">
        <v>1966</v>
      </c>
    </row>
    <row r="552" spans="1:9" x14ac:dyDescent="0.35">
      <c r="A552" s="2" t="s">
        <v>1964</v>
      </c>
      <c r="B552" s="2" t="s">
        <v>57</v>
      </c>
      <c r="C552" s="2" t="s">
        <v>1967</v>
      </c>
      <c r="D552" s="2" t="s">
        <v>14</v>
      </c>
      <c r="E552" s="2" t="s">
        <v>15</v>
      </c>
      <c r="F552" s="2"/>
      <c r="G552" s="2"/>
      <c r="H552" s="2"/>
      <c r="I552" s="2"/>
    </row>
    <row r="553" spans="1:9" x14ac:dyDescent="0.35">
      <c r="A553" s="2" t="s">
        <v>1964</v>
      </c>
      <c r="B553" s="2" t="s">
        <v>57</v>
      </c>
      <c r="C553" s="2" t="s">
        <v>1967</v>
      </c>
      <c r="D553" s="2" t="s">
        <v>18</v>
      </c>
      <c r="E553" s="2" t="s">
        <v>19</v>
      </c>
      <c r="F553" s="2" t="s">
        <v>20</v>
      </c>
      <c r="G553" s="2" t="s">
        <v>1968</v>
      </c>
      <c r="H553" s="2" t="s">
        <v>20</v>
      </c>
      <c r="I553" s="2" t="s">
        <v>1969</v>
      </c>
    </row>
    <row r="554" spans="1:9" x14ac:dyDescent="0.35">
      <c r="A554" s="2" t="s">
        <v>1964</v>
      </c>
      <c r="B554" s="2" t="s">
        <v>62</v>
      </c>
      <c r="C554" s="2" t="s">
        <v>1970</v>
      </c>
      <c r="D554" s="2" t="s">
        <v>91</v>
      </c>
      <c r="E554" s="2" t="s">
        <v>19</v>
      </c>
      <c r="F554" s="2" t="s">
        <v>20</v>
      </c>
      <c r="G554" s="2" t="s">
        <v>1971</v>
      </c>
      <c r="H554" s="2"/>
      <c r="I554" s="2"/>
    </row>
    <row r="555" spans="1:9" x14ac:dyDescent="0.35">
      <c r="A555" s="2" t="s">
        <v>1964</v>
      </c>
      <c r="B555" s="2" t="s">
        <v>62</v>
      </c>
      <c r="C555" s="2" t="s">
        <v>1970</v>
      </c>
      <c r="D555" s="2" t="s">
        <v>87</v>
      </c>
      <c r="E555" s="2" t="s">
        <v>75</v>
      </c>
      <c r="F555" s="2"/>
      <c r="G555" s="2"/>
      <c r="H555" s="2"/>
      <c r="I555" s="2"/>
    </row>
    <row r="556" spans="1:9" x14ac:dyDescent="0.35">
      <c r="A556" s="2" t="s">
        <v>1964</v>
      </c>
      <c r="B556" s="2" t="s">
        <v>62</v>
      </c>
      <c r="C556" s="2" t="s">
        <v>1970</v>
      </c>
      <c r="D556" s="2" t="s">
        <v>35</v>
      </c>
      <c r="E556" s="2" t="s">
        <v>36</v>
      </c>
      <c r="F556" s="2"/>
      <c r="G556" s="2"/>
      <c r="H556" s="2"/>
      <c r="I556" s="2"/>
    </row>
    <row r="557" spans="1:9" x14ac:dyDescent="0.35">
      <c r="A557" s="2" t="s">
        <v>1964</v>
      </c>
      <c r="B557" s="2" t="s">
        <v>62</v>
      </c>
      <c r="C557" s="2" t="s">
        <v>1970</v>
      </c>
      <c r="D557" s="2" t="s">
        <v>61</v>
      </c>
      <c r="E557" s="2" t="s">
        <v>30</v>
      </c>
      <c r="F557" s="2"/>
      <c r="G557" s="2"/>
      <c r="H557" s="2"/>
      <c r="I557" s="2"/>
    </row>
    <row r="558" spans="1:9" x14ac:dyDescent="0.35">
      <c r="A558" s="2" t="s">
        <v>1972</v>
      </c>
      <c r="B558" s="2" t="s">
        <v>54</v>
      </c>
      <c r="C558" s="2" t="s">
        <v>1973</v>
      </c>
      <c r="D558" s="2" t="s">
        <v>14</v>
      </c>
      <c r="E558" s="2" t="s">
        <v>15</v>
      </c>
      <c r="F558" s="2"/>
      <c r="G558" s="2"/>
      <c r="H558" s="2"/>
      <c r="I558" s="2"/>
    </row>
    <row r="559" spans="1:9" x14ac:dyDescent="0.35">
      <c r="A559" s="2" t="s">
        <v>1972</v>
      </c>
      <c r="B559" s="2" t="s">
        <v>54</v>
      </c>
      <c r="C559" s="2" t="s">
        <v>1973</v>
      </c>
      <c r="D559" s="2" t="s">
        <v>77</v>
      </c>
      <c r="E559" s="2" t="s">
        <v>78</v>
      </c>
      <c r="F559" s="2" t="s">
        <v>20</v>
      </c>
      <c r="G559" s="2" t="s">
        <v>236</v>
      </c>
      <c r="H559" s="2"/>
      <c r="I559" s="2"/>
    </row>
    <row r="560" spans="1:9" x14ac:dyDescent="0.35">
      <c r="A560" s="2" t="s">
        <v>1972</v>
      </c>
      <c r="B560" s="2" t="s">
        <v>54</v>
      </c>
      <c r="C560" s="2" t="s">
        <v>1973</v>
      </c>
      <c r="D560" s="2" t="s">
        <v>18</v>
      </c>
      <c r="E560" s="2" t="s">
        <v>19</v>
      </c>
      <c r="F560" s="2" t="s">
        <v>20</v>
      </c>
      <c r="G560" s="2" t="s">
        <v>1974</v>
      </c>
      <c r="H560" s="2"/>
      <c r="I560" s="2"/>
    </row>
    <row r="561" spans="1:9" x14ac:dyDescent="0.35">
      <c r="A561" s="2" t="s">
        <v>1972</v>
      </c>
      <c r="B561" s="2" t="s">
        <v>54</v>
      </c>
      <c r="C561" s="2" t="s">
        <v>1973</v>
      </c>
      <c r="D561" s="2" t="s">
        <v>1181</v>
      </c>
      <c r="E561" s="2" t="s">
        <v>30</v>
      </c>
      <c r="F561" s="2"/>
      <c r="G561" s="2"/>
      <c r="H561" s="2"/>
      <c r="I561" s="2"/>
    </row>
    <row r="562" spans="1:9" x14ac:dyDescent="0.35">
      <c r="A562" s="2" t="s">
        <v>1975</v>
      </c>
      <c r="B562" s="2" t="s">
        <v>12</v>
      </c>
      <c r="C562" s="2" t="s">
        <v>1976</v>
      </c>
      <c r="D562" s="2" t="s">
        <v>91</v>
      </c>
      <c r="E562" s="2" t="s">
        <v>19</v>
      </c>
      <c r="F562" s="2" t="s">
        <v>20</v>
      </c>
      <c r="G562" s="2" t="s">
        <v>1977</v>
      </c>
      <c r="H562" s="2"/>
      <c r="I562" s="2"/>
    </row>
    <row r="563" spans="1:9" x14ac:dyDescent="0.35">
      <c r="A563" s="2" t="s">
        <v>1975</v>
      </c>
      <c r="B563" s="2" t="s">
        <v>57</v>
      </c>
      <c r="C563" s="2" t="s">
        <v>1978</v>
      </c>
      <c r="D563" s="2" t="s">
        <v>74</v>
      </c>
      <c r="E563" s="2" t="s">
        <v>75</v>
      </c>
      <c r="F563" s="2" t="s">
        <v>20</v>
      </c>
      <c r="G563" s="2" t="s">
        <v>1979</v>
      </c>
      <c r="H563" s="2"/>
      <c r="I563" s="2"/>
    </row>
    <row r="564" spans="1:9" x14ac:dyDescent="0.35">
      <c r="A564" s="2" t="s">
        <v>1975</v>
      </c>
      <c r="B564" s="2" t="s">
        <v>57</v>
      </c>
      <c r="C564" s="2" t="s">
        <v>1978</v>
      </c>
      <c r="D564" s="2" t="s">
        <v>1163</v>
      </c>
      <c r="E564" s="2" t="s">
        <v>201</v>
      </c>
      <c r="F564" s="2"/>
      <c r="G564" s="2"/>
      <c r="H564" s="2"/>
      <c r="I564" s="2"/>
    </row>
    <row r="565" spans="1:9" x14ac:dyDescent="0.35">
      <c r="A565" s="2" t="s">
        <v>1975</v>
      </c>
      <c r="B565" s="2" t="s">
        <v>57</v>
      </c>
      <c r="C565" s="2" t="s">
        <v>1978</v>
      </c>
      <c r="D565" s="2" t="s">
        <v>1659</v>
      </c>
      <c r="E565" s="2" t="s">
        <v>122</v>
      </c>
      <c r="F565" s="2"/>
      <c r="G565" s="2"/>
      <c r="H565" s="2"/>
      <c r="I565" s="2"/>
    </row>
    <row r="566" spans="1:9" x14ac:dyDescent="0.35">
      <c r="A566" s="2" t="s">
        <v>1975</v>
      </c>
      <c r="B566" s="2" t="s">
        <v>57</v>
      </c>
      <c r="C566" s="2" t="s">
        <v>1978</v>
      </c>
      <c r="D566" s="2" t="s">
        <v>393</v>
      </c>
      <c r="E566" s="2" t="s">
        <v>36</v>
      </c>
      <c r="F566" s="2"/>
      <c r="G566" s="2"/>
      <c r="H566" s="2"/>
      <c r="I566" s="2"/>
    </row>
    <row r="567" spans="1:9" x14ac:dyDescent="0.35">
      <c r="A567" s="2" t="s">
        <v>1975</v>
      </c>
      <c r="B567" s="2" t="s">
        <v>57</v>
      </c>
      <c r="C567" s="2" t="s">
        <v>1978</v>
      </c>
      <c r="D567" s="2" t="s">
        <v>156</v>
      </c>
      <c r="E567" s="2" t="s">
        <v>45</v>
      </c>
      <c r="F567" s="2"/>
      <c r="G567" s="2"/>
      <c r="H567" s="2"/>
      <c r="I567" s="2"/>
    </row>
    <row r="568" spans="1:9" x14ac:dyDescent="0.35">
      <c r="A568" s="2" t="s">
        <v>1975</v>
      </c>
      <c r="B568" s="2" t="s">
        <v>57</v>
      </c>
      <c r="C568" s="2" t="s">
        <v>1978</v>
      </c>
      <c r="D568" s="2" t="s">
        <v>1696</v>
      </c>
      <c r="E568" s="2" t="s">
        <v>75</v>
      </c>
      <c r="F568" s="2" t="s">
        <v>20</v>
      </c>
      <c r="G568" s="2" t="s">
        <v>1980</v>
      </c>
      <c r="H568" s="2"/>
      <c r="I568" s="2"/>
    </row>
    <row r="569" spans="1:9" x14ac:dyDescent="0.35">
      <c r="A569" s="2" t="s">
        <v>1975</v>
      </c>
      <c r="B569" s="2" t="s">
        <v>57</v>
      </c>
      <c r="C569" s="2" t="s">
        <v>1978</v>
      </c>
      <c r="D569" s="2" t="s">
        <v>18</v>
      </c>
      <c r="E569" s="2" t="s">
        <v>19</v>
      </c>
      <c r="F569" s="2" t="s">
        <v>20</v>
      </c>
      <c r="G569" s="2" t="s">
        <v>1981</v>
      </c>
      <c r="H569" s="2"/>
      <c r="I569" s="2"/>
    </row>
    <row r="570" spans="1:9" x14ac:dyDescent="0.35">
      <c r="A570" s="2" t="s">
        <v>1975</v>
      </c>
      <c r="B570" s="2" t="s">
        <v>57</v>
      </c>
      <c r="C570" s="2" t="s">
        <v>1978</v>
      </c>
      <c r="D570" s="2" t="s">
        <v>423</v>
      </c>
      <c r="E570" s="2" t="s">
        <v>424</v>
      </c>
      <c r="F570" s="2"/>
      <c r="G570" s="2"/>
      <c r="H570" s="2"/>
      <c r="I570" s="2"/>
    </row>
    <row r="571" spans="1:9" x14ac:dyDescent="0.35">
      <c r="A571" s="2" t="s">
        <v>1975</v>
      </c>
      <c r="B571" s="2" t="s">
        <v>57</v>
      </c>
      <c r="C571" s="2" t="s">
        <v>1978</v>
      </c>
      <c r="D571" s="2" t="s">
        <v>939</v>
      </c>
      <c r="E571" s="2" t="s">
        <v>65</v>
      </c>
      <c r="F571" s="2"/>
      <c r="G571" s="2"/>
      <c r="H571" s="2"/>
      <c r="I571" s="2"/>
    </row>
    <row r="572" spans="1:9" x14ac:dyDescent="0.35">
      <c r="A572" s="2" t="s">
        <v>1975</v>
      </c>
      <c r="B572" s="2" t="s">
        <v>57</v>
      </c>
      <c r="C572" s="2" t="s">
        <v>1978</v>
      </c>
      <c r="D572" s="2" t="s">
        <v>1982</v>
      </c>
      <c r="E572" s="2" t="s">
        <v>847</v>
      </c>
      <c r="F572" s="2" t="s">
        <v>20</v>
      </c>
      <c r="G572" s="2" t="s">
        <v>1983</v>
      </c>
      <c r="H572" s="2"/>
      <c r="I572" s="2"/>
    </row>
    <row r="573" spans="1:9" x14ac:dyDescent="0.35">
      <c r="A573" s="2" t="s">
        <v>1975</v>
      </c>
      <c r="B573" s="2" t="s">
        <v>62</v>
      </c>
      <c r="C573" s="2" t="s">
        <v>1984</v>
      </c>
      <c r="D573" s="2" t="s">
        <v>27</v>
      </c>
      <c r="E573" s="2" t="s">
        <v>28</v>
      </c>
      <c r="F573" s="2"/>
      <c r="G573" s="2"/>
      <c r="H573" s="2"/>
      <c r="I573" s="2"/>
    </row>
    <row r="574" spans="1:9" x14ac:dyDescent="0.35">
      <c r="A574" s="2" t="s">
        <v>1975</v>
      </c>
      <c r="B574" s="2" t="s">
        <v>62</v>
      </c>
      <c r="C574" s="2" t="s">
        <v>1984</v>
      </c>
      <c r="D574" s="2" t="s">
        <v>155</v>
      </c>
      <c r="E574" s="2" t="s">
        <v>1985</v>
      </c>
      <c r="F574" s="2"/>
      <c r="G574" s="2"/>
      <c r="H574" s="2"/>
      <c r="I574" s="2"/>
    </row>
    <row r="575" spans="1:9" x14ac:dyDescent="0.35">
      <c r="A575" s="2" t="s">
        <v>1975</v>
      </c>
      <c r="B575" s="2" t="s">
        <v>62</v>
      </c>
      <c r="C575" s="2" t="s">
        <v>1984</v>
      </c>
      <c r="D575" s="2" t="s">
        <v>1986</v>
      </c>
      <c r="E575" s="2" t="s">
        <v>38</v>
      </c>
      <c r="F575" s="2"/>
      <c r="G575" s="2"/>
      <c r="H575" s="2"/>
      <c r="I575" s="2"/>
    </row>
    <row r="576" spans="1:9" x14ac:dyDescent="0.35">
      <c r="A576" s="2" t="s">
        <v>1975</v>
      </c>
      <c r="B576" s="2" t="s">
        <v>62</v>
      </c>
      <c r="C576" s="2" t="s">
        <v>1984</v>
      </c>
      <c r="D576" s="2" t="s">
        <v>1782</v>
      </c>
      <c r="E576" s="2" t="s">
        <v>38</v>
      </c>
      <c r="F576" s="2"/>
      <c r="G576" s="2"/>
      <c r="H576" s="2"/>
      <c r="I576" s="2"/>
    </row>
    <row r="577" spans="1:9" x14ac:dyDescent="0.35">
      <c r="A577" s="2" t="s">
        <v>1975</v>
      </c>
      <c r="B577" s="2" t="s">
        <v>62</v>
      </c>
      <c r="C577" s="2" t="s">
        <v>1984</v>
      </c>
      <c r="D577" s="2" t="s">
        <v>1176</v>
      </c>
      <c r="E577" s="2" t="s">
        <v>38</v>
      </c>
      <c r="F577" s="2"/>
      <c r="G577" s="2"/>
      <c r="H577" s="2"/>
      <c r="I577" s="2"/>
    </row>
    <row r="578" spans="1:9" x14ac:dyDescent="0.35">
      <c r="A578" s="2" t="s">
        <v>1975</v>
      </c>
      <c r="B578" s="2" t="s">
        <v>62</v>
      </c>
      <c r="C578" s="2" t="s">
        <v>1984</v>
      </c>
      <c r="D578" s="2" t="s">
        <v>1987</v>
      </c>
      <c r="E578" s="2" t="s">
        <v>1574</v>
      </c>
      <c r="F578" s="2"/>
      <c r="G578" s="2"/>
      <c r="H578" s="2"/>
      <c r="I578" s="2"/>
    </row>
    <row r="579" spans="1:9" x14ac:dyDescent="0.35">
      <c r="A579" s="2" t="s">
        <v>1975</v>
      </c>
      <c r="B579" s="2" t="s">
        <v>54</v>
      </c>
      <c r="C579" s="2" t="s">
        <v>1988</v>
      </c>
      <c r="D579" s="2" t="s">
        <v>27</v>
      </c>
      <c r="E579" s="2" t="s">
        <v>28</v>
      </c>
      <c r="F579" s="2"/>
      <c r="G579" s="2"/>
      <c r="H579" s="2"/>
      <c r="I579" s="2"/>
    </row>
    <row r="580" spans="1:9" x14ac:dyDescent="0.35">
      <c r="A580" s="2" t="s">
        <v>1975</v>
      </c>
      <c r="B580" s="2" t="s">
        <v>54</v>
      </c>
      <c r="C580" s="2" t="s">
        <v>1988</v>
      </c>
      <c r="D580" s="2" t="s">
        <v>1659</v>
      </c>
      <c r="E580" s="2" t="s">
        <v>122</v>
      </c>
      <c r="F580" s="2"/>
      <c r="G580" s="2"/>
      <c r="H580" s="2"/>
      <c r="I580" s="2"/>
    </row>
    <row r="581" spans="1:9" x14ac:dyDescent="0.35">
      <c r="A581" s="2" t="s">
        <v>1975</v>
      </c>
      <c r="B581" s="2" t="s">
        <v>54</v>
      </c>
      <c r="C581" s="2" t="s">
        <v>1988</v>
      </c>
      <c r="D581" s="2" t="s">
        <v>1176</v>
      </c>
      <c r="E581" s="2" t="s">
        <v>38</v>
      </c>
      <c r="F581" s="2"/>
      <c r="G581" s="2"/>
      <c r="H581" s="2"/>
      <c r="I581" s="2"/>
    </row>
    <row r="582" spans="1:9" x14ac:dyDescent="0.35">
      <c r="A582" s="2" t="s">
        <v>1975</v>
      </c>
      <c r="B582" s="2" t="s">
        <v>54</v>
      </c>
      <c r="C582" s="2" t="s">
        <v>1988</v>
      </c>
      <c r="D582" s="2" t="s">
        <v>18</v>
      </c>
      <c r="E582" s="2" t="s">
        <v>19</v>
      </c>
      <c r="F582" s="2" t="s">
        <v>20</v>
      </c>
      <c r="G582" s="2" t="s">
        <v>1977</v>
      </c>
      <c r="H582" s="2" t="s">
        <v>20</v>
      </c>
      <c r="I582" s="2" t="s">
        <v>1989</v>
      </c>
    </row>
    <row r="583" spans="1:9" x14ac:dyDescent="0.35">
      <c r="A583" s="2" t="s">
        <v>1975</v>
      </c>
      <c r="B583" s="2" t="s">
        <v>54</v>
      </c>
      <c r="C583" s="2" t="s">
        <v>1988</v>
      </c>
      <c r="D583" s="2" t="s">
        <v>865</v>
      </c>
      <c r="E583" s="2" t="s">
        <v>30</v>
      </c>
      <c r="F583" s="2"/>
      <c r="G583" s="2"/>
      <c r="H583" s="2"/>
      <c r="I583" s="2"/>
    </row>
    <row r="584" spans="1:9" x14ac:dyDescent="0.35">
      <c r="A584" s="2" t="s">
        <v>1975</v>
      </c>
      <c r="B584" s="2" t="s">
        <v>12</v>
      </c>
      <c r="C584" s="2" t="s">
        <v>1990</v>
      </c>
      <c r="D584" s="2" t="s">
        <v>1991</v>
      </c>
      <c r="E584" s="2" t="s">
        <v>1985</v>
      </c>
      <c r="F584" s="2"/>
      <c r="G584" s="2"/>
      <c r="H584" s="2"/>
      <c r="I584" s="2"/>
    </row>
    <row r="585" spans="1:9" x14ac:dyDescent="0.35">
      <c r="A585" s="2" t="s">
        <v>1975</v>
      </c>
      <c r="B585" s="2" t="s">
        <v>12</v>
      </c>
      <c r="C585" s="2" t="s">
        <v>1990</v>
      </c>
      <c r="D585" s="2" t="s">
        <v>1782</v>
      </c>
      <c r="E585" s="2" t="s">
        <v>38</v>
      </c>
      <c r="F585" s="2"/>
      <c r="G585" s="2"/>
      <c r="H585" s="2"/>
      <c r="I585" s="2"/>
    </row>
    <row r="586" spans="1:9" x14ac:dyDescent="0.35">
      <c r="A586" s="2" t="s">
        <v>1975</v>
      </c>
      <c r="B586" s="2" t="s">
        <v>12</v>
      </c>
      <c r="C586" s="2" t="s">
        <v>1990</v>
      </c>
      <c r="D586" s="2" t="s">
        <v>18</v>
      </c>
      <c r="E586" s="2" t="s">
        <v>19</v>
      </c>
      <c r="F586" s="2" t="s">
        <v>20</v>
      </c>
      <c r="G586" s="2" t="s">
        <v>1992</v>
      </c>
      <c r="H586" s="2"/>
      <c r="I586" s="2"/>
    </row>
    <row r="587" spans="1:9" x14ac:dyDescent="0.35">
      <c r="A587" s="2" t="s">
        <v>1975</v>
      </c>
      <c r="B587" s="2" t="s">
        <v>12</v>
      </c>
      <c r="C587" s="2" t="s">
        <v>1990</v>
      </c>
      <c r="D587" s="2" t="s">
        <v>89</v>
      </c>
      <c r="E587" s="2" t="s">
        <v>45</v>
      </c>
      <c r="F587" s="2"/>
      <c r="G587" s="2"/>
      <c r="H587" s="2"/>
      <c r="I587" s="2"/>
    </row>
    <row r="588" spans="1:9" x14ac:dyDescent="0.35">
      <c r="A588" s="2" t="s">
        <v>1975</v>
      </c>
      <c r="B588" s="2" t="s">
        <v>12</v>
      </c>
      <c r="C588" s="2" t="s">
        <v>1990</v>
      </c>
      <c r="D588" s="2" t="s">
        <v>1021</v>
      </c>
      <c r="E588" s="2" t="s">
        <v>122</v>
      </c>
      <c r="F588" s="2"/>
      <c r="G588" s="2"/>
      <c r="H588" s="2"/>
      <c r="I588" s="2"/>
    </row>
    <row r="589" spans="1:9" x14ac:dyDescent="0.35">
      <c r="A589" s="2" t="s">
        <v>1975</v>
      </c>
      <c r="B589" s="2" t="s">
        <v>24</v>
      </c>
      <c r="C589" s="2" t="s">
        <v>1993</v>
      </c>
      <c r="D589" s="2" t="s">
        <v>74</v>
      </c>
      <c r="E589" s="2" t="s">
        <v>75</v>
      </c>
      <c r="F589" s="2"/>
      <c r="G589" s="2"/>
      <c r="H589" s="2"/>
      <c r="I589" s="2"/>
    </row>
    <row r="590" spans="1:9" x14ac:dyDescent="0.35">
      <c r="A590" s="2" t="s">
        <v>1975</v>
      </c>
      <c r="B590" s="2" t="s">
        <v>24</v>
      </c>
      <c r="C590" s="2" t="s">
        <v>1993</v>
      </c>
      <c r="D590" s="2" t="s">
        <v>31</v>
      </c>
      <c r="E590" s="2" t="s">
        <v>32</v>
      </c>
      <c r="F590" s="2"/>
      <c r="G590" s="2"/>
      <c r="H590" s="2"/>
      <c r="I590" s="2"/>
    </row>
    <row r="591" spans="1:9" x14ac:dyDescent="0.35">
      <c r="A591" s="2" t="s">
        <v>1975</v>
      </c>
      <c r="B591" s="2" t="s">
        <v>24</v>
      </c>
      <c r="C591" s="2" t="s">
        <v>1993</v>
      </c>
      <c r="D591" s="2" t="s">
        <v>121</v>
      </c>
      <c r="E591" s="2" t="s">
        <v>122</v>
      </c>
      <c r="F591" s="2"/>
      <c r="G591" s="2"/>
      <c r="H591" s="2"/>
      <c r="I591" s="2"/>
    </row>
    <row r="592" spans="1:9" x14ac:dyDescent="0.35">
      <c r="A592" s="2" t="s">
        <v>1975</v>
      </c>
      <c r="B592" s="2" t="s">
        <v>24</v>
      </c>
      <c r="C592" s="2" t="s">
        <v>1993</v>
      </c>
      <c r="D592" s="2" t="s">
        <v>170</v>
      </c>
      <c r="E592" s="2" t="s">
        <v>30</v>
      </c>
      <c r="F592" s="2"/>
      <c r="G592" s="2"/>
      <c r="H592" s="2"/>
      <c r="I592" s="2"/>
    </row>
    <row r="593" spans="1:9" x14ac:dyDescent="0.35">
      <c r="A593" s="2" t="s">
        <v>1975</v>
      </c>
      <c r="B593" s="2" t="s">
        <v>24</v>
      </c>
      <c r="C593" s="2" t="s">
        <v>1993</v>
      </c>
      <c r="D593" s="2" t="s">
        <v>77</v>
      </c>
      <c r="E593" s="2" t="s">
        <v>78</v>
      </c>
      <c r="F593" s="2"/>
      <c r="G593" s="2"/>
      <c r="H593" s="2"/>
      <c r="I593" s="2"/>
    </row>
    <row r="594" spans="1:9" x14ac:dyDescent="0.35">
      <c r="A594" s="2" t="s">
        <v>1975</v>
      </c>
      <c r="B594" s="2" t="s">
        <v>24</v>
      </c>
      <c r="C594" s="2" t="s">
        <v>1993</v>
      </c>
      <c r="D594" s="2" t="s">
        <v>91</v>
      </c>
      <c r="E594" s="2" t="s">
        <v>19</v>
      </c>
      <c r="F594" s="2" t="s">
        <v>20</v>
      </c>
      <c r="G594" s="2" t="s">
        <v>1977</v>
      </c>
      <c r="H594" s="2"/>
      <c r="I594" s="2"/>
    </row>
    <row r="595" spans="1:9" x14ac:dyDescent="0.35">
      <c r="A595" s="2" t="s">
        <v>1975</v>
      </c>
      <c r="B595" s="2" t="s">
        <v>24</v>
      </c>
      <c r="C595" s="2" t="s">
        <v>1993</v>
      </c>
      <c r="D595" s="2" t="s">
        <v>1994</v>
      </c>
      <c r="E595" s="2" t="s">
        <v>45</v>
      </c>
      <c r="F595" s="2" t="s">
        <v>20</v>
      </c>
      <c r="G595" s="2" t="s">
        <v>1977</v>
      </c>
      <c r="H595" s="2"/>
      <c r="I595" s="2"/>
    </row>
    <row r="596" spans="1:9" x14ac:dyDescent="0.35">
      <c r="A596" s="2" t="s">
        <v>1975</v>
      </c>
      <c r="B596" s="2" t="s">
        <v>24</v>
      </c>
      <c r="C596" s="2" t="s">
        <v>1993</v>
      </c>
      <c r="D596" s="2" t="s">
        <v>18</v>
      </c>
      <c r="E596" s="2" t="s">
        <v>19</v>
      </c>
      <c r="F596" s="2" t="s">
        <v>20</v>
      </c>
      <c r="G596" s="2" t="s">
        <v>1977</v>
      </c>
      <c r="H596" s="2"/>
      <c r="I596" s="2"/>
    </row>
    <row r="597" spans="1:9" x14ac:dyDescent="0.35">
      <c r="A597" s="2" t="s">
        <v>1975</v>
      </c>
      <c r="B597" s="2" t="s">
        <v>24</v>
      </c>
      <c r="C597" s="2" t="s">
        <v>1993</v>
      </c>
      <c r="D597" s="2" t="s">
        <v>508</v>
      </c>
      <c r="E597" s="2" t="s">
        <v>40</v>
      </c>
      <c r="F597" s="2"/>
      <c r="G597" s="2"/>
      <c r="H597" s="2"/>
      <c r="I597" s="2"/>
    </row>
    <row r="598" spans="1:9" x14ac:dyDescent="0.35">
      <c r="A598" s="2" t="s">
        <v>1975</v>
      </c>
      <c r="B598" s="2" t="s">
        <v>24</v>
      </c>
      <c r="C598" s="2" t="s">
        <v>1993</v>
      </c>
      <c r="D598" s="2" t="s">
        <v>1681</v>
      </c>
      <c r="E598" s="2" t="s">
        <v>107</v>
      </c>
      <c r="F598" s="2"/>
      <c r="G598" s="2"/>
      <c r="H598" s="2"/>
      <c r="I598" s="2"/>
    </row>
    <row r="599" spans="1:9" x14ac:dyDescent="0.35">
      <c r="A599" s="2" t="s">
        <v>1975</v>
      </c>
      <c r="B599" s="2" t="s">
        <v>24</v>
      </c>
      <c r="C599" s="2" t="s">
        <v>1993</v>
      </c>
      <c r="D599" s="2" t="s">
        <v>149</v>
      </c>
      <c r="E599" s="2" t="s">
        <v>150</v>
      </c>
      <c r="F599" s="2" t="s">
        <v>20</v>
      </c>
      <c r="G599" s="2" t="s">
        <v>1977</v>
      </c>
      <c r="H599" s="2"/>
      <c r="I599" s="2"/>
    </row>
    <row r="600" spans="1:9" x14ac:dyDescent="0.35">
      <c r="A600" s="2" t="s">
        <v>1975</v>
      </c>
      <c r="B600" s="2" t="s">
        <v>24</v>
      </c>
      <c r="C600" s="2" t="s">
        <v>1995</v>
      </c>
      <c r="D600" s="2" t="s">
        <v>31</v>
      </c>
      <c r="E600" s="2" t="s">
        <v>1996</v>
      </c>
      <c r="F600" s="2"/>
      <c r="G600" s="2"/>
      <c r="H600" s="2"/>
      <c r="I600" s="2"/>
    </row>
    <row r="601" spans="1:9" x14ac:dyDescent="0.35">
      <c r="A601" s="2" t="s">
        <v>1975</v>
      </c>
      <c r="B601" s="2" t="s">
        <v>24</v>
      </c>
      <c r="C601" s="2" t="s">
        <v>1995</v>
      </c>
      <c r="D601" s="2" t="s">
        <v>1215</v>
      </c>
      <c r="E601" s="2" t="s">
        <v>1216</v>
      </c>
      <c r="F601" s="2"/>
      <c r="G601" s="2"/>
      <c r="H601" s="2"/>
      <c r="I601" s="2"/>
    </row>
    <row r="602" spans="1:9" x14ac:dyDescent="0.35">
      <c r="A602" s="2" t="s">
        <v>1975</v>
      </c>
      <c r="B602" s="2" t="s">
        <v>24</v>
      </c>
      <c r="C602" s="2" t="s">
        <v>1995</v>
      </c>
      <c r="D602" s="2" t="s">
        <v>1659</v>
      </c>
      <c r="E602" s="2" t="s">
        <v>122</v>
      </c>
      <c r="F602" s="2"/>
      <c r="G602" s="2"/>
      <c r="H602" s="2"/>
      <c r="I602" s="2"/>
    </row>
    <row r="603" spans="1:9" x14ac:dyDescent="0.35">
      <c r="A603" s="2" t="s">
        <v>1975</v>
      </c>
      <c r="B603" s="2" t="s">
        <v>24</v>
      </c>
      <c r="C603" s="2" t="s">
        <v>1995</v>
      </c>
      <c r="D603" s="2" t="s">
        <v>377</v>
      </c>
      <c r="E603" s="2" t="s">
        <v>270</v>
      </c>
      <c r="F603" s="2"/>
      <c r="G603" s="2"/>
      <c r="H603" s="2"/>
      <c r="I603" s="2"/>
    </row>
    <row r="604" spans="1:9" x14ac:dyDescent="0.35">
      <c r="A604" s="2" t="s">
        <v>1975</v>
      </c>
      <c r="B604" s="2" t="s">
        <v>24</v>
      </c>
      <c r="C604" s="2" t="s">
        <v>1995</v>
      </c>
      <c r="D604" s="2" t="s">
        <v>1997</v>
      </c>
      <c r="E604" s="2" t="s">
        <v>125</v>
      </c>
      <c r="F604" s="2"/>
      <c r="G604" s="2"/>
      <c r="H604" s="2"/>
      <c r="I604" s="2"/>
    </row>
    <row r="605" spans="1:9" x14ac:dyDescent="0.35">
      <c r="A605" s="2" t="s">
        <v>1975</v>
      </c>
      <c r="B605" s="2" t="s">
        <v>24</v>
      </c>
      <c r="C605" s="2" t="s">
        <v>1995</v>
      </c>
      <c r="D605" s="2" t="s">
        <v>393</v>
      </c>
      <c r="E605" s="2" t="s">
        <v>36</v>
      </c>
      <c r="F605" s="2"/>
      <c r="G605" s="2"/>
      <c r="H605" s="2"/>
      <c r="I605" s="2"/>
    </row>
    <row r="606" spans="1:9" x14ac:dyDescent="0.35">
      <c r="A606" s="2" t="s">
        <v>1975</v>
      </c>
      <c r="B606" s="2" t="s">
        <v>24</v>
      </c>
      <c r="C606" s="2" t="s">
        <v>1995</v>
      </c>
      <c r="D606" s="2" t="s">
        <v>438</v>
      </c>
      <c r="E606" s="2" t="s">
        <v>19</v>
      </c>
      <c r="F606" s="2" t="s">
        <v>20</v>
      </c>
      <c r="G606" s="2" t="s">
        <v>1998</v>
      </c>
      <c r="H606" s="2"/>
      <c r="I606" s="2"/>
    </row>
    <row r="607" spans="1:9" x14ac:dyDescent="0.35">
      <c r="A607" s="2" t="s">
        <v>1975</v>
      </c>
      <c r="B607" s="2" t="s">
        <v>54</v>
      </c>
      <c r="C607" s="2" t="s">
        <v>1999</v>
      </c>
      <c r="D607" s="2" t="s">
        <v>1307</v>
      </c>
      <c r="E607" s="2" t="s">
        <v>38</v>
      </c>
      <c r="F607" s="2"/>
      <c r="G607" s="2"/>
      <c r="H607" s="2"/>
      <c r="I607" s="2"/>
    </row>
    <row r="608" spans="1:9" x14ac:dyDescent="0.35">
      <c r="A608" s="2" t="s">
        <v>1975</v>
      </c>
      <c r="B608" s="2" t="s">
        <v>54</v>
      </c>
      <c r="C608" s="2" t="s">
        <v>1999</v>
      </c>
      <c r="D608" s="2" t="s">
        <v>1303</v>
      </c>
      <c r="E608" s="2" t="s">
        <v>75</v>
      </c>
      <c r="F608" s="2"/>
      <c r="G608" s="2"/>
      <c r="H608" s="2"/>
      <c r="I608" s="2"/>
    </row>
    <row r="609" spans="1:9" x14ac:dyDescent="0.35">
      <c r="A609" s="2" t="s">
        <v>1975</v>
      </c>
      <c r="B609" s="2" t="s">
        <v>54</v>
      </c>
      <c r="C609" s="2" t="s">
        <v>1999</v>
      </c>
      <c r="D609" s="2" t="s">
        <v>91</v>
      </c>
      <c r="E609" s="2" t="s">
        <v>19</v>
      </c>
      <c r="F609" s="2" t="s">
        <v>20</v>
      </c>
      <c r="G609" s="2" t="s">
        <v>2000</v>
      </c>
      <c r="H609" s="2"/>
      <c r="I609" s="2"/>
    </row>
    <row r="610" spans="1:9" x14ac:dyDescent="0.35">
      <c r="A610" s="2" t="s">
        <v>1975</v>
      </c>
      <c r="B610" s="2" t="s">
        <v>54</v>
      </c>
      <c r="C610" s="2" t="s">
        <v>1999</v>
      </c>
      <c r="D610" s="2" t="s">
        <v>1696</v>
      </c>
      <c r="E610" s="2" t="s">
        <v>75</v>
      </c>
      <c r="F610" s="2" t="s">
        <v>20</v>
      </c>
      <c r="G610" s="2" t="s">
        <v>1977</v>
      </c>
      <c r="H610" s="2"/>
      <c r="I610" s="2"/>
    </row>
    <row r="611" spans="1:9" x14ac:dyDescent="0.35">
      <c r="A611" s="2" t="s">
        <v>1975</v>
      </c>
      <c r="B611" s="2" t="s">
        <v>54</v>
      </c>
      <c r="C611" s="2" t="s">
        <v>1999</v>
      </c>
      <c r="D611" s="2" t="s">
        <v>89</v>
      </c>
      <c r="E611" s="2" t="s">
        <v>45</v>
      </c>
      <c r="F611" s="2" t="s">
        <v>20</v>
      </c>
      <c r="G611" s="2" t="s">
        <v>1926</v>
      </c>
      <c r="H611" s="2"/>
      <c r="I611" s="2"/>
    </row>
    <row r="612" spans="1:9" x14ac:dyDescent="0.35">
      <c r="A612" s="2" t="s">
        <v>1975</v>
      </c>
      <c r="B612" s="2" t="s">
        <v>54</v>
      </c>
      <c r="C612" s="2" t="s">
        <v>1999</v>
      </c>
      <c r="D612" s="2" t="s">
        <v>1982</v>
      </c>
      <c r="E612" s="2" t="s">
        <v>847</v>
      </c>
      <c r="F612" s="2" t="s">
        <v>20</v>
      </c>
      <c r="G612" s="2" t="s">
        <v>2001</v>
      </c>
      <c r="H612" s="2"/>
      <c r="I612" s="2"/>
    </row>
    <row r="613" spans="1:9" x14ac:dyDescent="0.35">
      <c r="A613" s="2" t="s">
        <v>1975</v>
      </c>
      <c r="B613" s="2" t="s">
        <v>62</v>
      </c>
      <c r="C613" s="2" t="s">
        <v>2002</v>
      </c>
      <c r="D613" s="2" t="s">
        <v>1181</v>
      </c>
      <c r="E613" s="2" t="s">
        <v>30</v>
      </c>
      <c r="F613" s="2"/>
      <c r="G613" s="2"/>
      <c r="H613" s="2"/>
      <c r="I613" s="2"/>
    </row>
    <row r="614" spans="1:9" x14ac:dyDescent="0.35">
      <c r="A614" s="2" t="s">
        <v>1975</v>
      </c>
      <c r="B614" s="2" t="s">
        <v>24</v>
      </c>
      <c r="C614" s="2" t="s">
        <v>2003</v>
      </c>
      <c r="D614" s="2" t="s">
        <v>31</v>
      </c>
      <c r="E614" s="2" t="s">
        <v>1996</v>
      </c>
      <c r="F614" s="2"/>
      <c r="G614" s="2"/>
      <c r="H614" s="2"/>
      <c r="I614" s="2"/>
    </row>
    <row r="615" spans="1:9" x14ac:dyDescent="0.35">
      <c r="A615" s="2" t="s">
        <v>1975</v>
      </c>
      <c r="B615" s="2" t="s">
        <v>24</v>
      </c>
      <c r="C615" s="2" t="s">
        <v>2003</v>
      </c>
      <c r="D615" s="2" t="s">
        <v>1659</v>
      </c>
      <c r="E615" s="2" t="s">
        <v>122</v>
      </c>
      <c r="F615" s="2"/>
      <c r="G615" s="2"/>
      <c r="H615" s="2"/>
      <c r="I615" s="2"/>
    </row>
    <row r="616" spans="1:9" x14ac:dyDescent="0.35">
      <c r="A616" s="2" t="s">
        <v>1975</v>
      </c>
      <c r="B616" s="2" t="s">
        <v>24</v>
      </c>
      <c r="C616" s="2" t="s">
        <v>2003</v>
      </c>
      <c r="D616" s="2" t="s">
        <v>91</v>
      </c>
      <c r="E616" s="2" t="s">
        <v>19</v>
      </c>
      <c r="F616" s="2" t="s">
        <v>20</v>
      </c>
      <c r="G616" s="2" t="s">
        <v>1977</v>
      </c>
      <c r="H616" s="2"/>
      <c r="I616" s="2"/>
    </row>
    <row r="617" spans="1:9" x14ac:dyDescent="0.35">
      <c r="A617" s="2" t="s">
        <v>1975</v>
      </c>
      <c r="B617" s="2" t="s">
        <v>24</v>
      </c>
      <c r="C617" s="2" t="s">
        <v>2003</v>
      </c>
      <c r="D617" s="2" t="s">
        <v>865</v>
      </c>
      <c r="E617" s="2" t="s">
        <v>30</v>
      </c>
      <c r="F617" s="2"/>
      <c r="G617" s="2"/>
      <c r="H617" s="2"/>
      <c r="I617" s="2"/>
    </row>
    <row r="618" spans="1:9" x14ac:dyDescent="0.35">
      <c r="A618" s="2" t="s">
        <v>1975</v>
      </c>
      <c r="B618" s="2" t="s">
        <v>24</v>
      </c>
      <c r="C618" s="2" t="s">
        <v>2003</v>
      </c>
      <c r="D618" s="2" t="s">
        <v>2004</v>
      </c>
      <c r="E618" s="2" t="s">
        <v>1650</v>
      </c>
      <c r="F618" s="2"/>
      <c r="G618" s="2"/>
      <c r="H618" s="2"/>
      <c r="I618" s="2"/>
    </row>
    <row r="619" spans="1:9" x14ac:dyDescent="0.35">
      <c r="A619" s="2" t="s">
        <v>1975</v>
      </c>
      <c r="B619" s="2" t="s">
        <v>54</v>
      </c>
      <c r="C619" s="2" t="s">
        <v>2005</v>
      </c>
      <c r="D619" s="2" t="s">
        <v>74</v>
      </c>
      <c r="E619" s="2" t="s">
        <v>75</v>
      </c>
      <c r="F619" s="2" t="s">
        <v>20</v>
      </c>
      <c r="G619" s="2" t="s">
        <v>1998</v>
      </c>
      <c r="H619" s="2"/>
      <c r="I619" s="2"/>
    </row>
    <row r="620" spans="1:9" x14ac:dyDescent="0.35">
      <c r="A620" s="2" t="s">
        <v>1975</v>
      </c>
      <c r="B620" s="2" t="s">
        <v>54</v>
      </c>
      <c r="C620" s="2" t="s">
        <v>2005</v>
      </c>
      <c r="D620" s="2" t="s">
        <v>14</v>
      </c>
      <c r="E620" s="2" t="s">
        <v>15</v>
      </c>
      <c r="F620" s="2"/>
      <c r="G620" s="2"/>
      <c r="H620" s="2"/>
      <c r="I620" s="2"/>
    </row>
    <row r="621" spans="1:9" x14ac:dyDescent="0.35">
      <c r="A621" s="2" t="s">
        <v>1975</v>
      </c>
      <c r="B621" s="2" t="s">
        <v>54</v>
      </c>
      <c r="C621" s="2" t="s">
        <v>2005</v>
      </c>
      <c r="D621" s="2" t="s">
        <v>377</v>
      </c>
      <c r="E621" s="2" t="s">
        <v>270</v>
      </c>
      <c r="F621" s="2"/>
      <c r="G621" s="2"/>
      <c r="H621" s="2"/>
      <c r="I621" s="2"/>
    </row>
    <row r="622" spans="1:9" x14ac:dyDescent="0.35">
      <c r="A622" s="2" t="s">
        <v>1975</v>
      </c>
      <c r="B622" s="2" t="s">
        <v>54</v>
      </c>
      <c r="C622" s="2" t="s">
        <v>2005</v>
      </c>
      <c r="D622" s="2" t="s">
        <v>61</v>
      </c>
      <c r="E622" s="2" t="s">
        <v>30</v>
      </c>
      <c r="F622" s="2" t="s">
        <v>20</v>
      </c>
      <c r="G622" s="2" t="s">
        <v>1998</v>
      </c>
      <c r="H622" s="2"/>
      <c r="I622" s="2"/>
    </row>
    <row r="623" spans="1:9" x14ac:dyDescent="0.35">
      <c r="A623" s="2" t="s">
        <v>1975</v>
      </c>
      <c r="B623" s="2" t="s">
        <v>24</v>
      </c>
      <c r="C623" s="2" t="s">
        <v>2006</v>
      </c>
      <c r="D623" s="2" t="s">
        <v>196</v>
      </c>
      <c r="E623" s="2" t="s">
        <v>197</v>
      </c>
      <c r="F623" s="2"/>
      <c r="G623" s="2"/>
      <c r="H623" s="2"/>
      <c r="I623" s="2"/>
    </row>
    <row r="624" spans="1:9" x14ac:dyDescent="0.35">
      <c r="A624" s="2" t="s">
        <v>1975</v>
      </c>
      <c r="B624" s="2" t="s">
        <v>24</v>
      </c>
      <c r="C624" s="2" t="s">
        <v>2006</v>
      </c>
      <c r="D624" s="2" t="s">
        <v>31</v>
      </c>
      <c r="E624" s="2" t="s">
        <v>1996</v>
      </c>
      <c r="F624" s="2"/>
      <c r="G624" s="2"/>
      <c r="H624" s="2"/>
      <c r="I624" s="2"/>
    </row>
    <row r="625" spans="1:9" x14ac:dyDescent="0.35">
      <c r="A625" s="2" t="s">
        <v>1975</v>
      </c>
      <c r="B625" s="2" t="s">
        <v>24</v>
      </c>
      <c r="C625" s="2" t="s">
        <v>2006</v>
      </c>
      <c r="D625" s="2" t="s">
        <v>96</v>
      </c>
      <c r="E625" s="2" t="s">
        <v>83</v>
      </c>
      <c r="F625" s="2"/>
      <c r="G625" s="2"/>
      <c r="H625" s="2"/>
      <c r="I625" s="2"/>
    </row>
    <row r="626" spans="1:9" x14ac:dyDescent="0.35">
      <c r="A626" s="2" t="s">
        <v>1975</v>
      </c>
      <c r="B626" s="2" t="s">
        <v>24</v>
      </c>
      <c r="C626" s="2" t="s">
        <v>2006</v>
      </c>
      <c r="D626" s="2" t="s">
        <v>98</v>
      </c>
      <c r="E626" s="2" t="s">
        <v>98</v>
      </c>
      <c r="F626" s="2"/>
      <c r="G626" s="2"/>
      <c r="H626" s="2"/>
      <c r="I626" s="2"/>
    </row>
    <row r="627" spans="1:9" x14ac:dyDescent="0.35">
      <c r="A627" s="2" t="s">
        <v>1975</v>
      </c>
      <c r="B627" s="2" t="s">
        <v>24</v>
      </c>
      <c r="C627" s="2" t="s">
        <v>2006</v>
      </c>
      <c r="D627" s="2" t="s">
        <v>211</v>
      </c>
      <c r="E627" s="2" t="s">
        <v>203</v>
      </c>
      <c r="F627" s="2"/>
      <c r="G627" s="2"/>
      <c r="H627" s="2"/>
      <c r="I627" s="2"/>
    </row>
    <row r="628" spans="1:9" x14ac:dyDescent="0.35">
      <c r="A628" s="2" t="s">
        <v>1975</v>
      </c>
      <c r="B628" s="2" t="s">
        <v>24</v>
      </c>
      <c r="C628" s="2" t="s">
        <v>2006</v>
      </c>
      <c r="D628" s="2" t="s">
        <v>1782</v>
      </c>
      <c r="E628" s="2" t="s">
        <v>38</v>
      </c>
      <c r="F628" s="2"/>
      <c r="G628" s="2"/>
      <c r="H628" s="2"/>
      <c r="I628" s="2"/>
    </row>
    <row r="629" spans="1:9" x14ac:dyDescent="0.35">
      <c r="A629" s="2" t="s">
        <v>1975</v>
      </c>
      <c r="B629" s="2" t="s">
        <v>24</v>
      </c>
      <c r="C629" s="2" t="s">
        <v>2006</v>
      </c>
      <c r="D629" s="2" t="s">
        <v>1659</v>
      </c>
      <c r="E629" s="2" t="s">
        <v>122</v>
      </c>
      <c r="F629" s="2"/>
      <c r="G629" s="2"/>
      <c r="H629" s="2"/>
      <c r="I629" s="2"/>
    </row>
    <row r="630" spans="1:9" x14ac:dyDescent="0.35">
      <c r="A630" s="2" t="s">
        <v>1975</v>
      </c>
      <c r="B630" s="2" t="s">
        <v>24</v>
      </c>
      <c r="C630" s="2" t="s">
        <v>2006</v>
      </c>
      <c r="D630" s="2" t="s">
        <v>1176</v>
      </c>
      <c r="E630" s="2" t="s">
        <v>38</v>
      </c>
      <c r="F630" s="2" t="s">
        <v>46</v>
      </c>
      <c r="G630" s="2" t="s">
        <v>981</v>
      </c>
      <c r="H630" s="2"/>
      <c r="I630" s="2"/>
    </row>
    <row r="631" spans="1:9" x14ac:dyDescent="0.35">
      <c r="A631" s="2" t="s">
        <v>1975</v>
      </c>
      <c r="B631" s="2" t="s">
        <v>24</v>
      </c>
      <c r="C631" s="2" t="s">
        <v>2006</v>
      </c>
      <c r="D631" s="2" t="s">
        <v>18</v>
      </c>
      <c r="E631" s="2" t="s">
        <v>19</v>
      </c>
      <c r="F631" s="2" t="s">
        <v>20</v>
      </c>
      <c r="G631" s="2" t="s">
        <v>1977</v>
      </c>
      <c r="H631" s="2"/>
      <c r="I631" s="2"/>
    </row>
    <row r="632" spans="1:9" x14ac:dyDescent="0.35">
      <c r="A632" s="2" t="s">
        <v>1975</v>
      </c>
      <c r="B632" s="2" t="s">
        <v>24</v>
      </c>
      <c r="C632" s="2" t="s">
        <v>2006</v>
      </c>
      <c r="D632" s="2" t="s">
        <v>628</v>
      </c>
      <c r="E632" s="2" t="s">
        <v>50</v>
      </c>
      <c r="F632" s="2" t="s">
        <v>46</v>
      </c>
      <c r="G632" s="2" t="s">
        <v>981</v>
      </c>
      <c r="H632" s="2"/>
      <c r="I632" s="2"/>
    </row>
    <row r="633" spans="1:9" x14ac:dyDescent="0.35">
      <c r="A633" s="2" t="s">
        <v>1975</v>
      </c>
      <c r="B633" s="2" t="s">
        <v>24</v>
      </c>
      <c r="C633" s="2" t="s">
        <v>2006</v>
      </c>
      <c r="D633" s="2" t="s">
        <v>100</v>
      </c>
      <c r="E633" s="2" t="s">
        <v>101</v>
      </c>
      <c r="F633" s="2"/>
      <c r="G633" s="2"/>
      <c r="H633" s="2"/>
      <c r="I633" s="2"/>
    </row>
    <row r="634" spans="1:9" x14ac:dyDescent="0.35">
      <c r="A634" s="2" t="s">
        <v>1975</v>
      </c>
      <c r="B634" s="2" t="s">
        <v>24</v>
      </c>
      <c r="C634" s="2" t="s">
        <v>2006</v>
      </c>
      <c r="D634" s="2" t="s">
        <v>1982</v>
      </c>
      <c r="E634" s="2" t="s">
        <v>847</v>
      </c>
      <c r="F634" s="2" t="s">
        <v>20</v>
      </c>
      <c r="G634" s="2" t="s">
        <v>1983</v>
      </c>
      <c r="H634" s="2"/>
      <c r="I634" s="2"/>
    </row>
    <row r="635" spans="1:9" x14ac:dyDescent="0.35">
      <c r="A635" s="2" t="s">
        <v>2007</v>
      </c>
      <c r="B635" s="2" t="s">
        <v>57</v>
      </c>
      <c r="C635" s="2" t="s">
        <v>2008</v>
      </c>
      <c r="D635" s="2" t="s">
        <v>121</v>
      </c>
      <c r="E635" s="2" t="s">
        <v>122</v>
      </c>
      <c r="F635" s="2"/>
      <c r="G635" s="2"/>
      <c r="H635" s="2"/>
      <c r="I635" s="2"/>
    </row>
    <row r="636" spans="1:9" x14ac:dyDescent="0.35">
      <c r="A636" s="2" t="s">
        <v>2007</v>
      </c>
      <c r="B636" s="2" t="s">
        <v>57</v>
      </c>
      <c r="C636" s="2" t="s">
        <v>2008</v>
      </c>
      <c r="D636" s="2" t="s">
        <v>91</v>
      </c>
      <c r="E636" s="2" t="s">
        <v>19</v>
      </c>
      <c r="F636" s="2" t="s">
        <v>20</v>
      </c>
      <c r="G636" s="2" t="s">
        <v>2009</v>
      </c>
      <c r="H636" s="2"/>
      <c r="I636" s="2"/>
    </row>
    <row r="637" spans="1:9" x14ac:dyDescent="0.35">
      <c r="A637" s="2" t="s">
        <v>2007</v>
      </c>
      <c r="B637" s="2" t="s">
        <v>57</v>
      </c>
      <c r="C637" s="2" t="s">
        <v>2008</v>
      </c>
      <c r="D637" s="2" t="s">
        <v>61</v>
      </c>
      <c r="E637" s="2" t="s">
        <v>30</v>
      </c>
      <c r="F637" s="2"/>
      <c r="G637" s="2"/>
      <c r="H637" s="2"/>
      <c r="I637" s="2"/>
    </row>
    <row r="638" spans="1:9" x14ac:dyDescent="0.35">
      <c r="A638" s="2" t="s">
        <v>2007</v>
      </c>
      <c r="B638" s="2" t="s">
        <v>24</v>
      </c>
      <c r="C638" s="2" t="s">
        <v>2010</v>
      </c>
      <c r="D638" s="2" t="s">
        <v>74</v>
      </c>
      <c r="E638" s="2" t="s">
        <v>75</v>
      </c>
      <c r="F638" s="2" t="s">
        <v>20</v>
      </c>
      <c r="G638" s="2" t="s">
        <v>2011</v>
      </c>
      <c r="H638" s="2"/>
      <c r="I638" s="2"/>
    </row>
    <row r="639" spans="1:9" x14ac:dyDescent="0.35">
      <c r="A639" s="2" t="s">
        <v>2007</v>
      </c>
      <c r="B639" s="2" t="s">
        <v>24</v>
      </c>
      <c r="C639" s="2" t="s">
        <v>2010</v>
      </c>
      <c r="D639" s="2" t="s">
        <v>2012</v>
      </c>
      <c r="E639" s="2" t="s">
        <v>36</v>
      </c>
      <c r="F639" s="2"/>
      <c r="G639" s="2"/>
      <c r="H639" s="2"/>
      <c r="I639" s="2"/>
    </row>
    <row r="640" spans="1:9" x14ac:dyDescent="0.35">
      <c r="A640" s="2" t="s">
        <v>2007</v>
      </c>
      <c r="B640" s="2" t="s">
        <v>24</v>
      </c>
      <c r="C640" s="2" t="s">
        <v>2010</v>
      </c>
      <c r="D640" s="2" t="s">
        <v>257</v>
      </c>
      <c r="E640" s="2" t="s">
        <v>45</v>
      </c>
      <c r="F640" s="2" t="s">
        <v>20</v>
      </c>
      <c r="G640" s="2" t="s">
        <v>2013</v>
      </c>
      <c r="H640" s="2"/>
      <c r="I640" s="2"/>
    </row>
    <row r="641" spans="1:9" x14ac:dyDescent="0.35">
      <c r="A641" s="2" t="s">
        <v>2007</v>
      </c>
      <c r="B641" s="2" t="s">
        <v>24</v>
      </c>
      <c r="C641" s="2" t="s">
        <v>2010</v>
      </c>
      <c r="D641" s="2" t="s">
        <v>127</v>
      </c>
      <c r="E641" s="2" t="s">
        <v>1650</v>
      </c>
      <c r="F641" s="2"/>
      <c r="G641" s="2"/>
      <c r="H641" s="2"/>
      <c r="I641" s="2"/>
    </row>
    <row r="642" spans="1:9" x14ac:dyDescent="0.35">
      <c r="A642" s="2" t="s">
        <v>2007</v>
      </c>
      <c r="B642" s="2" t="s">
        <v>54</v>
      </c>
      <c r="C642" s="2" t="s">
        <v>2014</v>
      </c>
      <c r="D642" s="2" t="s">
        <v>393</v>
      </c>
      <c r="E642" s="2" t="s">
        <v>36</v>
      </c>
      <c r="F642" s="2"/>
      <c r="G642" s="2"/>
      <c r="H642" s="2"/>
      <c r="I642" s="2"/>
    </row>
    <row r="643" spans="1:9" x14ac:dyDescent="0.35">
      <c r="A643" s="2" t="s">
        <v>2015</v>
      </c>
      <c r="B643" s="2" t="s">
        <v>24</v>
      </c>
      <c r="C643" s="2" t="s">
        <v>2016</v>
      </c>
      <c r="D643" s="2" t="s">
        <v>27</v>
      </c>
      <c r="E643" s="2" t="s">
        <v>28</v>
      </c>
      <c r="F643" s="2"/>
      <c r="G643" s="2"/>
      <c r="H643" s="2" t="s">
        <v>20</v>
      </c>
      <c r="I643" s="2" t="s">
        <v>2017</v>
      </c>
    </row>
    <row r="644" spans="1:9" x14ac:dyDescent="0.35">
      <c r="A644" s="2" t="s">
        <v>2015</v>
      </c>
      <c r="B644" s="2" t="s">
        <v>24</v>
      </c>
      <c r="C644" s="2" t="s">
        <v>2016</v>
      </c>
      <c r="D644" s="2" t="s">
        <v>138</v>
      </c>
      <c r="E644" s="2" t="s">
        <v>139</v>
      </c>
      <c r="F644" s="2" t="s">
        <v>20</v>
      </c>
      <c r="G644" s="2" t="s">
        <v>2018</v>
      </c>
      <c r="H644" s="2" t="s">
        <v>20</v>
      </c>
      <c r="I644" s="2" t="s">
        <v>2017</v>
      </c>
    </row>
    <row r="645" spans="1:9" x14ac:dyDescent="0.35">
      <c r="A645" s="2" t="s">
        <v>2015</v>
      </c>
      <c r="B645" s="2" t="s">
        <v>54</v>
      </c>
      <c r="C645" s="2" t="s">
        <v>2019</v>
      </c>
      <c r="D645" s="2" t="s">
        <v>2012</v>
      </c>
      <c r="E645" s="2" t="s">
        <v>36</v>
      </c>
      <c r="F645" s="2"/>
      <c r="G645" s="2"/>
      <c r="H645" s="2" t="s">
        <v>20</v>
      </c>
      <c r="I645" s="2" t="s">
        <v>2017</v>
      </c>
    </row>
    <row r="646" spans="1:9" x14ac:dyDescent="0.35">
      <c r="A646" s="2" t="s">
        <v>2015</v>
      </c>
      <c r="B646" s="2" t="s">
        <v>54</v>
      </c>
      <c r="C646" s="2" t="s">
        <v>2019</v>
      </c>
      <c r="D646" s="2" t="s">
        <v>18</v>
      </c>
      <c r="E646" s="2" t="s">
        <v>19</v>
      </c>
      <c r="F646" s="2" t="s">
        <v>20</v>
      </c>
      <c r="G646" s="2" t="s">
        <v>2020</v>
      </c>
      <c r="H646" s="2" t="s">
        <v>20</v>
      </c>
      <c r="I646" s="2" t="s">
        <v>2017</v>
      </c>
    </row>
    <row r="647" spans="1:9" x14ac:dyDescent="0.35">
      <c r="A647" s="3" t="s">
        <v>2015</v>
      </c>
      <c r="B647" s="3" t="s">
        <v>62</v>
      </c>
      <c r="C647" s="3" t="s">
        <v>2021</v>
      </c>
      <c r="D647" s="3" t="s">
        <v>91</v>
      </c>
      <c r="E647" s="3" t="s">
        <v>19</v>
      </c>
      <c r="F647" s="3" t="s">
        <v>20</v>
      </c>
      <c r="G647" s="3" t="s">
        <v>2018</v>
      </c>
      <c r="H647" s="3" t="s">
        <v>20</v>
      </c>
      <c r="I647" s="3" t="s">
        <v>2017</v>
      </c>
    </row>
    <row r="648" spans="1:9" x14ac:dyDescent="0.35">
      <c r="A648" s="3" t="s">
        <v>2015</v>
      </c>
      <c r="B648" s="3" t="s">
        <v>62</v>
      </c>
      <c r="C648" s="3" t="s">
        <v>2021</v>
      </c>
      <c r="D648" s="3" t="s">
        <v>127</v>
      </c>
      <c r="E648" s="3" t="s">
        <v>1650</v>
      </c>
      <c r="F648" s="3"/>
      <c r="G648" s="3"/>
      <c r="H648" s="3"/>
      <c r="I648" s="3"/>
    </row>
    <row r="649" spans="1:9" x14ac:dyDescent="0.35">
      <c r="A649" s="2" t="s">
        <v>2015</v>
      </c>
      <c r="B649" s="2" t="s">
        <v>57</v>
      </c>
      <c r="C649" s="2" t="s">
        <v>2022</v>
      </c>
      <c r="D649" s="2" t="s">
        <v>130</v>
      </c>
      <c r="E649" s="2" t="s">
        <v>36</v>
      </c>
      <c r="F649" s="2"/>
      <c r="G649" s="2"/>
      <c r="H649" s="2"/>
      <c r="I649" s="2"/>
    </row>
    <row r="650" spans="1:9" x14ac:dyDescent="0.35">
      <c r="A650" s="2" t="s">
        <v>2015</v>
      </c>
      <c r="B650" s="2" t="s">
        <v>57</v>
      </c>
      <c r="C650" s="2" t="s">
        <v>2022</v>
      </c>
      <c r="D650" s="2" t="s">
        <v>14</v>
      </c>
      <c r="E650" s="2" t="s">
        <v>15</v>
      </c>
      <c r="F650" s="2"/>
      <c r="G650" s="2"/>
      <c r="H650" s="2"/>
      <c r="I650" s="2"/>
    </row>
    <row r="651" spans="1:9" x14ac:dyDescent="0.35">
      <c r="A651" s="2" t="s">
        <v>2015</v>
      </c>
      <c r="B651" s="2" t="s">
        <v>57</v>
      </c>
      <c r="C651" s="2" t="s">
        <v>2022</v>
      </c>
      <c r="D651" s="2" t="s">
        <v>59</v>
      </c>
      <c r="E651" s="2" t="s">
        <v>60</v>
      </c>
      <c r="F651" s="2"/>
      <c r="G651" s="2"/>
      <c r="H651" s="2"/>
      <c r="I651" s="2"/>
    </row>
    <row r="652" spans="1:9" x14ac:dyDescent="0.35">
      <c r="A652" s="2" t="s">
        <v>2015</v>
      </c>
      <c r="B652" s="2" t="s">
        <v>57</v>
      </c>
      <c r="C652" s="2" t="s">
        <v>2022</v>
      </c>
      <c r="D652" s="2" t="s">
        <v>121</v>
      </c>
      <c r="E652" s="2" t="s">
        <v>122</v>
      </c>
      <c r="F652" s="2" t="s">
        <v>20</v>
      </c>
      <c r="G652" s="2" t="s">
        <v>2023</v>
      </c>
      <c r="H652" s="2"/>
      <c r="I652" s="2"/>
    </row>
    <row r="653" spans="1:9" x14ac:dyDescent="0.35">
      <c r="A653" s="2" t="s">
        <v>2015</v>
      </c>
      <c r="B653" s="2" t="s">
        <v>57</v>
      </c>
      <c r="C653" s="2" t="s">
        <v>2022</v>
      </c>
      <c r="D653" s="2" t="s">
        <v>1696</v>
      </c>
      <c r="E653" s="2" t="s">
        <v>75</v>
      </c>
      <c r="F653" s="2" t="s">
        <v>20</v>
      </c>
      <c r="G653" s="2" t="s">
        <v>2018</v>
      </c>
      <c r="H653" s="2" t="s">
        <v>20</v>
      </c>
      <c r="I653" s="2" t="s">
        <v>2017</v>
      </c>
    </row>
    <row r="654" spans="1:9" x14ac:dyDescent="0.35">
      <c r="A654" s="2" t="s">
        <v>2015</v>
      </c>
      <c r="B654" s="2" t="s">
        <v>57</v>
      </c>
      <c r="C654" s="2" t="s">
        <v>2022</v>
      </c>
      <c r="D654" s="2" t="s">
        <v>628</v>
      </c>
      <c r="E654" s="2" t="s">
        <v>50</v>
      </c>
      <c r="F654" s="2" t="s">
        <v>20</v>
      </c>
      <c r="G654" s="2" t="s">
        <v>2024</v>
      </c>
      <c r="H654" s="2"/>
      <c r="I654" s="2"/>
    </row>
    <row r="655" spans="1:9" x14ac:dyDescent="0.35">
      <c r="A655" s="2" t="s">
        <v>2015</v>
      </c>
      <c r="B655" s="2" t="s">
        <v>57</v>
      </c>
      <c r="C655" s="2" t="s">
        <v>2022</v>
      </c>
      <c r="D655" s="2" t="s">
        <v>127</v>
      </c>
      <c r="E655" s="2" t="s">
        <v>1650</v>
      </c>
      <c r="F655" s="2"/>
      <c r="G655" s="2"/>
      <c r="H655" s="2" t="s">
        <v>20</v>
      </c>
      <c r="I655" s="2" t="s">
        <v>2017</v>
      </c>
    </row>
    <row r="656" spans="1:9" x14ac:dyDescent="0.35">
      <c r="A656" s="2" t="s">
        <v>2015</v>
      </c>
      <c r="B656" s="2" t="s">
        <v>57</v>
      </c>
      <c r="C656" s="2" t="s">
        <v>2022</v>
      </c>
      <c r="D656" s="2" t="s">
        <v>112</v>
      </c>
      <c r="E656" s="2" t="s">
        <v>2025</v>
      </c>
      <c r="F656" s="2"/>
      <c r="G656" s="2"/>
      <c r="H656" s="2"/>
      <c r="I656" s="2"/>
    </row>
    <row r="657" spans="1:9" x14ac:dyDescent="0.35">
      <c r="A657" s="2" t="s">
        <v>2026</v>
      </c>
      <c r="B657" s="2" t="s">
        <v>54</v>
      </c>
      <c r="C657" s="2" t="s">
        <v>2027</v>
      </c>
      <c r="D657" s="2" t="s">
        <v>27</v>
      </c>
      <c r="E657" s="2" t="s">
        <v>28</v>
      </c>
      <c r="F657" s="2"/>
      <c r="G657" s="2"/>
      <c r="H657" s="2"/>
      <c r="I657" s="2"/>
    </row>
    <row r="658" spans="1:9" x14ac:dyDescent="0.35">
      <c r="A658" s="2" t="s">
        <v>2026</v>
      </c>
      <c r="B658" s="2" t="s">
        <v>54</v>
      </c>
      <c r="C658" s="2" t="s">
        <v>2027</v>
      </c>
      <c r="D658" s="2" t="s">
        <v>815</v>
      </c>
      <c r="E658" s="2" t="s">
        <v>122</v>
      </c>
      <c r="F658" s="2"/>
      <c r="G658" s="2"/>
      <c r="H658" s="2"/>
      <c r="I658" s="2"/>
    </row>
    <row r="659" spans="1:9" x14ac:dyDescent="0.35">
      <c r="A659" s="2" t="s">
        <v>2026</v>
      </c>
      <c r="B659" s="2" t="s">
        <v>54</v>
      </c>
      <c r="C659" s="2" t="s">
        <v>2027</v>
      </c>
      <c r="D659" s="2" t="s">
        <v>61</v>
      </c>
      <c r="E659" s="2" t="s">
        <v>30</v>
      </c>
      <c r="F659" s="2"/>
      <c r="G659" s="2"/>
      <c r="H659" s="2"/>
      <c r="I659" s="2"/>
    </row>
    <row r="660" spans="1:9" x14ac:dyDescent="0.35">
      <c r="A660" s="2" t="s">
        <v>2026</v>
      </c>
      <c r="B660" s="2" t="s">
        <v>24</v>
      </c>
      <c r="C660" s="2" t="s">
        <v>2028</v>
      </c>
      <c r="D660" s="2" t="s">
        <v>14</v>
      </c>
      <c r="E660" s="2" t="s">
        <v>15</v>
      </c>
      <c r="F660" s="2"/>
      <c r="G660" s="2"/>
      <c r="H660" s="2"/>
      <c r="I660" s="2"/>
    </row>
    <row r="661" spans="1:9" x14ac:dyDescent="0.35">
      <c r="A661" s="2" t="s">
        <v>2026</v>
      </c>
      <c r="B661" s="2" t="s">
        <v>24</v>
      </c>
      <c r="C661" s="2" t="s">
        <v>2028</v>
      </c>
      <c r="D661" s="2" t="s">
        <v>27</v>
      </c>
      <c r="E661" s="2" t="s">
        <v>28</v>
      </c>
      <c r="F661" s="2"/>
      <c r="G661" s="2"/>
      <c r="H661" s="2"/>
      <c r="I661" s="2"/>
    </row>
    <row r="662" spans="1:9" x14ac:dyDescent="0.35">
      <c r="A662" s="2" t="s">
        <v>2026</v>
      </c>
      <c r="B662" s="2" t="s">
        <v>24</v>
      </c>
      <c r="C662" s="2" t="s">
        <v>2028</v>
      </c>
      <c r="D662" s="2" t="s">
        <v>121</v>
      </c>
      <c r="E662" s="2" t="s">
        <v>122</v>
      </c>
      <c r="F662" s="2"/>
      <c r="G662" s="2"/>
      <c r="H662" s="2"/>
      <c r="I662" s="2"/>
    </row>
    <row r="663" spans="1:9" x14ac:dyDescent="0.35">
      <c r="A663" s="2" t="s">
        <v>2026</v>
      </c>
      <c r="B663" s="2" t="s">
        <v>24</v>
      </c>
      <c r="C663" s="2" t="s">
        <v>2028</v>
      </c>
      <c r="D663" s="2" t="s">
        <v>61</v>
      </c>
      <c r="E663" s="2" t="s">
        <v>30</v>
      </c>
      <c r="F663" s="2"/>
      <c r="G663" s="2"/>
      <c r="H663" s="2"/>
      <c r="I663" s="2"/>
    </row>
    <row r="664" spans="1:9" x14ac:dyDescent="0.35">
      <c r="A664" s="2" t="s">
        <v>2026</v>
      </c>
      <c r="B664" s="2" t="s">
        <v>24</v>
      </c>
      <c r="C664" s="2" t="s">
        <v>2028</v>
      </c>
      <c r="D664" s="2" t="s">
        <v>127</v>
      </c>
      <c r="E664" s="2" t="s">
        <v>1650</v>
      </c>
      <c r="F664" s="2"/>
      <c r="G664" s="2"/>
      <c r="H664" s="2"/>
      <c r="I664" s="2"/>
    </row>
    <row r="665" spans="1:9" x14ac:dyDescent="0.35">
      <c r="A665" s="2" t="s">
        <v>2026</v>
      </c>
      <c r="B665" s="2" t="s">
        <v>57</v>
      </c>
      <c r="C665" s="2" t="s">
        <v>2029</v>
      </c>
      <c r="D665" s="2" t="s">
        <v>14</v>
      </c>
      <c r="E665" s="2" t="s">
        <v>15</v>
      </c>
      <c r="F665" s="2"/>
      <c r="G665" s="2"/>
      <c r="H665" s="2"/>
      <c r="I665" s="2"/>
    </row>
    <row r="666" spans="1:9" x14ac:dyDescent="0.35">
      <c r="A666" s="2" t="s">
        <v>2026</v>
      </c>
      <c r="B666" s="2" t="s">
        <v>57</v>
      </c>
      <c r="C666" s="2" t="s">
        <v>2029</v>
      </c>
      <c r="D666" s="2" t="s">
        <v>27</v>
      </c>
      <c r="E666" s="2" t="s">
        <v>28</v>
      </c>
      <c r="F666" s="2" t="s">
        <v>20</v>
      </c>
      <c r="G666" s="2" t="s">
        <v>2030</v>
      </c>
      <c r="H666" s="2"/>
      <c r="I666" s="2"/>
    </row>
    <row r="667" spans="1:9" x14ac:dyDescent="0.35">
      <c r="A667" s="2" t="s">
        <v>2026</v>
      </c>
      <c r="B667" s="2" t="s">
        <v>57</v>
      </c>
      <c r="C667" s="2" t="s">
        <v>2029</v>
      </c>
      <c r="D667" s="2" t="s">
        <v>121</v>
      </c>
      <c r="E667" s="2" t="s">
        <v>122</v>
      </c>
      <c r="F667" s="2" t="s">
        <v>20</v>
      </c>
      <c r="G667" s="2" t="s">
        <v>2031</v>
      </c>
      <c r="H667" s="2"/>
      <c r="I667" s="2"/>
    </row>
    <row r="668" spans="1:9" x14ac:dyDescent="0.35">
      <c r="A668" s="2" t="s">
        <v>2026</v>
      </c>
      <c r="B668" s="2" t="s">
        <v>57</v>
      </c>
      <c r="C668" s="2" t="s">
        <v>2029</v>
      </c>
      <c r="D668" s="2" t="s">
        <v>393</v>
      </c>
      <c r="E668" s="2" t="s">
        <v>36</v>
      </c>
      <c r="F668" s="2" t="s">
        <v>20</v>
      </c>
      <c r="G668" s="2" t="s">
        <v>2032</v>
      </c>
      <c r="H668" s="2"/>
      <c r="I668" s="2"/>
    </row>
    <row r="669" spans="1:9" x14ac:dyDescent="0.35">
      <c r="A669" s="2" t="s">
        <v>2026</v>
      </c>
      <c r="B669" s="2" t="s">
        <v>57</v>
      </c>
      <c r="C669" s="2" t="s">
        <v>2029</v>
      </c>
      <c r="D669" s="2" t="s">
        <v>18</v>
      </c>
      <c r="E669" s="2" t="s">
        <v>1679</v>
      </c>
      <c r="F669" s="2" t="s">
        <v>20</v>
      </c>
      <c r="G669" s="2" t="s">
        <v>2033</v>
      </c>
      <c r="H669" s="2"/>
      <c r="I669" s="2"/>
    </row>
    <row r="670" spans="1:9" x14ac:dyDescent="0.35">
      <c r="A670" s="2" t="s">
        <v>2026</v>
      </c>
      <c r="B670" s="2" t="s">
        <v>57</v>
      </c>
      <c r="C670" s="2" t="s">
        <v>2029</v>
      </c>
      <c r="D670" s="2" t="s">
        <v>89</v>
      </c>
      <c r="E670" s="2" t="s">
        <v>45</v>
      </c>
      <c r="F670" s="2" t="s">
        <v>20</v>
      </c>
      <c r="G670" s="2" t="s">
        <v>2034</v>
      </c>
      <c r="H670" s="2"/>
      <c r="I670" s="2"/>
    </row>
    <row r="671" spans="1:9" x14ac:dyDescent="0.35">
      <c r="A671" s="2" t="s">
        <v>2026</v>
      </c>
      <c r="B671" s="2" t="s">
        <v>57</v>
      </c>
      <c r="C671" s="2" t="s">
        <v>2029</v>
      </c>
      <c r="D671" s="2" t="s">
        <v>149</v>
      </c>
      <c r="E671" s="2" t="s">
        <v>150</v>
      </c>
      <c r="F671" s="2" t="s">
        <v>20</v>
      </c>
      <c r="G671" s="2" t="s">
        <v>2035</v>
      </c>
      <c r="H671" s="2"/>
      <c r="I671" s="2"/>
    </row>
    <row r="672" spans="1:9" x14ac:dyDescent="0.35">
      <c r="A672" s="2" t="s">
        <v>2026</v>
      </c>
      <c r="B672" s="2" t="s">
        <v>57</v>
      </c>
      <c r="C672" s="2" t="s">
        <v>2029</v>
      </c>
      <c r="D672" s="2" t="s">
        <v>44</v>
      </c>
      <c r="E672" s="2" t="s">
        <v>45</v>
      </c>
      <c r="F672" s="2" t="s">
        <v>46</v>
      </c>
      <c r="G672" s="2" t="s">
        <v>2036</v>
      </c>
      <c r="H672" s="2"/>
      <c r="I672" s="2"/>
    </row>
    <row r="673" spans="1:9" x14ac:dyDescent="0.35">
      <c r="A673" s="2" t="s">
        <v>2037</v>
      </c>
      <c r="B673" s="2" t="s">
        <v>24</v>
      </c>
      <c r="C673" s="2" t="s">
        <v>2038</v>
      </c>
      <c r="D673" s="2" t="s">
        <v>74</v>
      </c>
      <c r="E673" s="2" t="s">
        <v>75</v>
      </c>
      <c r="F673" s="2" t="s">
        <v>20</v>
      </c>
      <c r="G673" s="2" t="s">
        <v>1977</v>
      </c>
      <c r="H673" s="2"/>
      <c r="I673" s="2"/>
    </row>
    <row r="674" spans="1:9" x14ac:dyDescent="0.35">
      <c r="A674" s="2" t="s">
        <v>2037</v>
      </c>
      <c r="B674" s="2" t="s">
        <v>24</v>
      </c>
      <c r="C674" s="2" t="s">
        <v>2038</v>
      </c>
      <c r="D674" s="2" t="s">
        <v>91</v>
      </c>
      <c r="E674" s="2" t="s">
        <v>19</v>
      </c>
      <c r="F674" s="2" t="s">
        <v>20</v>
      </c>
      <c r="G674" s="2" t="s">
        <v>1977</v>
      </c>
      <c r="H674" s="2"/>
      <c r="I674" s="2"/>
    </row>
    <row r="675" spans="1:9" x14ac:dyDescent="0.35">
      <c r="A675" s="2" t="s">
        <v>2037</v>
      </c>
      <c r="B675" s="2" t="s">
        <v>12</v>
      </c>
      <c r="C675" s="2" t="s">
        <v>2039</v>
      </c>
      <c r="D675" s="2" t="s">
        <v>74</v>
      </c>
      <c r="E675" s="2" t="s">
        <v>75</v>
      </c>
      <c r="F675" s="2" t="s">
        <v>20</v>
      </c>
      <c r="G675" s="2" t="s">
        <v>1977</v>
      </c>
      <c r="H675" s="2"/>
      <c r="I675" s="2"/>
    </row>
    <row r="676" spans="1:9" x14ac:dyDescent="0.35">
      <c r="A676" s="2" t="s">
        <v>2037</v>
      </c>
      <c r="B676" s="2" t="s">
        <v>12</v>
      </c>
      <c r="C676" s="2" t="s">
        <v>2039</v>
      </c>
      <c r="D676" s="2" t="s">
        <v>972</v>
      </c>
      <c r="E676" s="2" t="s">
        <v>32</v>
      </c>
      <c r="F676" s="2"/>
      <c r="G676" s="2"/>
      <c r="H676" s="2"/>
      <c r="I676" s="2"/>
    </row>
    <row r="677" spans="1:9" x14ac:dyDescent="0.35">
      <c r="A677" s="2" t="s">
        <v>2037</v>
      </c>
      <c r="B677" s="2" t="s">
        <v>12</v>
      </c>
      <c r="C677" s="2" t="s">
        <v>2039</v>
      </c>
      <c r="D677" s="2" t="s">
        <v>393</v>
      </c>
      <c r="E677" s="2" t="s">
        <v>36</v>
      </c>
      <c r="F677" s="2"/>
      <c r="G677" s="2"/>
      <c r="H677" s="2"/>
      <c r="I677" s="2"/>
    </row>
    <row r="678" spans="1:9" x14ac:dyDescent="0.35">
      <c r="A678" s="2" t="s">
        <v>2037</v>
      </c>
      <c r="B678" s="2" t="s">
        <v>12</v>
      </c>
      <c r="C678" s="2" t="s">
        <v>2039</v>
      </c>
      <c r="D678" s="2" t="s">
        <v>91</v>
      </c>
      <c r="E678" s="2" t="s">
        <v>19</v>
      </c>
      <c r="F678" s="2" t="s">
        <v>20</v>
      </c>
      <c r="G678" s="2" t="s">
        <v>1977</v>
      </c>
      <c r="H678" s="2"/>
      <c r="I678" s="2"/>
    </row>
    <row r="679" spans="1:9" x14ac:dyDescent="0.35">
      <c r="A679" s="2" t="s">
        <v>2037</v>
      </c>
      <c r="B679" s="2" t="s">
        <v>54</v>
      </c>
      <c r="C679" s="2" t="s">
        <v>2040</v>
      </c>
      <c r="D679" s="2" t="s">
        <v>27</v>
      </c>
      <c r="E679" s="2" t="s">
        <v>28</v>
      </c>
      <c r="F679" s="2" t="s">
        <v>20</v>
      </c>
      <c r="G679" s="2" t="s">
        <v>2041</v>
      </c>
      <c r="H679" s="2"/>
      <c r="I679" s="2"/>
    </row>
    <row r="680" spans="1:9" x14ac:dyDescent="0.35">
      <c r="A680" s="2" t="s">
        <v>2037</v>
      </c>
      <c r="B680" s="2" t="s">
        <v>54</v>
      </c>
      <c r="C680" s="2" t="s">
        <v>2040</v>
      </c>
      <c r="D680" s="2" t="s">
        <v>61</v>
      </c>
      <c r="E680" s="2" t="s">
        <v>30</v>
      </c>
      <c r="F680" s="2"/>
      <c r="G680" s="2"/>
      <c r="H680" s="2"/>
      <c r="I680" s="2"/>
    </row>
    <row r="681" spans="1:9" x14ac:dyDescent="0.35">
      <c r="A681" s="2" t="s">
        <v>2037</v>
      </c>
      <c r="B681" s="2" t="s">
        <v>54</v>
      </c>
      <c r="C681" s="2" t="s">
        <v>2040</v>
      </c>
      <c r="D681" s="2" t="s">
        <v>1380</v>
      </c>
      <c r="E681" s="2" t="s">
        <v>83</v>
      </c>
      <c r="F681" s="2"/>
      <c r="G681" s="2"/>
      <c r="H681" s="2"/>
      <c r="I681" s="2"/>
    </row>
    <row r="682" spans="1:9" x14ac:dyDescent="0.35">
      <c r="A682" s="2" t="s">
        <v>2037</v>
      </c>
      <c r="B682" s="2" t="s">
        <v>54</v>
      </c>
      <c r="C682" s="2" t="s">
        <v>2042</v>
      </c>
      <c r="D682" s="2" t="s">
        <v>74</v>
      </c>
      <c r="E682" s="2" t="s">
        <v>75</v>
      </c>
      <c r="F682" s="2" t="s">
        <v>20</v>
      </c>
      <c r="G682" s="2" t="s">
        <v>1903</v>
      </c>
      <c r="H682" s="2"/>
      <c r="I682" s="2"/>
    </row>
    <row r="683" spans="1:9" x14ac:dyDescent="0.35">
      <c r="A683" s="2" t="s">
        <v>2037</v>
      </c>
      <c r="B683" s="2" t="s">
        <v>54</v>
      </c>
      <c r="C683" s="2" t="s">
        <v>2042</v>
      </c>
      <c r="D683" s="2" t="s">
        <v>14</v>
      </c>
      <c r="E683" s="2" t="s">
        <v>15</v>
      </c>
      <c r="F683" s="2" t="s">
        <v>20</v>
      </c>
      <c r="G683" s="2" t="s">
        <v>1903</v>
      </c>
      <c r="H683" s="2"/>
      <c r="I683" s="2"/>
    </row>
    <row r="684" spans="1:9" x14ac:dyDescent="0.35">
      <c r="A684" s="2" t="s">
        <v>2037</v>
      </c>
      <c r="B684" s="2" t="s">
        <v>54</v>
      </c>
      <c r="C684" s="2" t="s">
        <v>2042</v>
      </c>
      <c r="D684" s="2" t="s">
        <v>91</v>
      </c>
      <c r="E684" s="2" t="s">
        <v>19</v>
      </c>
      <c r="F684" s="2" t="s">
        <v>20</v>
      </c>
      <c r="G684" s="2" t="s">
        <v>1903</v>
      </c>
      <c r="H684" s="2"/>
      <c r="I684" s="2"/>
    </row>
    <row r="685" spans="1:9" x14ac:dyDescent="0.35">
      <c r="A685" s="2" t="s">
        <v>2037</v>
      </c>
      <c r="B685" s="2" t="s">
        <v>24</v>
      </c>
      <c r="C685" s="2" t="s">
        <v>2043</v>
      </c>
      <c r="D685" s="2" t="s">
        <v>74</v>
      </c>
      <c r="E685" s="2" t="s">
        <v>75</v>
      </c>
      <c r="F685" s="2"/>
      <c r="G685" s="2"/>
      <c r="H685" s="2"/>
      <c r="I685" s="2"/>
    </row>
    <row r="686" spans="1:9" x14ac:dyDescent="0.35">
      <c r="A686" s="2" t="s">
        <v>2037</v>
      </c>
      <c r="B686" s="2" t="s">
        <v>57</v>
      </c>
      <c r="C686" s="2" t="s">
        <v>2044</v>
      </c>
      <c r="D686" s="2" t="s">
        <v>27</v>
      </c>
      <c r="E686" s="2" t="s">
        <v>28</v>
      </c>
      <c r="F686" s="2" t="s">
        <v>20</v>
      </c>
      <c r="G686" s="2" t="s">
        <v>2045</v>
      </c>
      <c r="H686" s="2"/>
      <c r="I686" s="2"/>
    </row>
    <row r="687" spans="1:9" x14ac:dyDescent="0.35">
      <c r="A687" s="2" t="s">
        <v>2037</v>
      </c>
      <c r="B687" s="2" t="s">
        <v>57</v>
      </c>
      <c r="C687" s="2" t="s">
        <v>2044</v>
      </c>
      <c r="D687" s="2" t="s">
        <v>393</v>
      </c>
      <c r="E687" s="2" t="s">
        <v>1653</v>
      </c>
      <c r="F687" s="2"/>
      <c r="G687" s="2"/>
      <c r="H687" s="2"/>
      <c r="I687" s="2"/>
    </row>
    <row r="688" spans="1:9" x14ac:dyDescent="0.35">
      <c r="A688" s="2" t="s">
        <v>2037</v>
      </c>
      <c r="B688" s="2" t="s">
        <v>57</v>
      </c>
      <c r="C688" s="2" t="s">
        <v>2044</v>
      </c>
      <c r="D688" s="2" t="s">
        <v>2046</v>
      </c>
      <c r="E688" s="2" t="s">
        <v>45</v>
      </c>
      <c r="F688" s="2"/>
      <c r="G688" s="2"/>
      <c r="H688" s="2"/>
      <c r="I688" s="2"/>
    </row>
    <row r="689" spans="1:9" x14ac:dyDescent="0.35">
      <c r="A689" s="2" t="s">
        <v>2037</v>
      </c>
      <c r="B689" s="2" t="s">
        <v>57</v>
      </c>
      <c r="C689" s="2" t="s">
        <v>2044</v>
      </c>
      <c r="D689" s="2" t="s">
        <v>18</v>
      </c>
      <c r="E689" s="2" t="s">
        <v>19</v>
      </c>
      <c r="F689" s="2" t="s">
        <v>20</v>
      </c>
      <c r="G689" s="2" t="s">
        <v>1977</v>
      </c>
      <c r="H689" s="2"/>
      <c r="I689" s="2"/>
    </row>
    <row r="690" spans="1:9" x14ac:dyDescent="0.35">
      <c r="A690" s="2" t="s">
        <v>2037</v>
      </c>
      <c r="B690" s="2" t="s">
        <v>54</v>
      </c>
      <c r="C690" s="2" t="s">
        <v>2047</v>
      </c>
      <c r="D690" s="2" t="s">
        <v>27</v>
      </c>
      <c r="E690" s="2" t="s">
        <v>28</v>
      </c>
      <c r="F690" s="2"/>
      <c r="G690" s="2"/>
      <c r="H690" s="2"/>
      <c r="I690" s="2"/>
    </row>
    <row r="691" spans="1:9" x14ac:dyDescent="0.35">
      <c r="A691" s="2" t="s">
        <v>2037</v>
      </c>
      <c r="B691" s="2" t="s">
        <v>54</v>
      </c>
      <c r="C691" s="2" t="s">
        <v>2047</v>
      </c>
      <c r="D691" s="2" t="s">
        <v>1522</v>
      </c>
      <c r="E691" s="2" t="s">
        <v>28</v>
      </c>
      <c r="F691" s="2"/>
      <c r="G691" s="2"/>
      <c r="H691" s="2"/>
      <c r="I691" s="2"/>
    </row>
    <row r="692" spans="1:9" x14ac:dyDescent="0.35">
      <c r="A692" s="2" t="s">
        <v>2037</v>
      </c>
      <c r="B692" s="2" t="s">
        <v>54</v>
      </c>
      <c r="C692" s="2" t="s">
        <v>2047</v>
      </c>
      <c r="D692" s="2" t="s">
        <v>98</v>
      </c>
      <c r="E692" s="2" t="s">
        <v>98</v>
      </c>
      <c r="F692" s="2"/>
      <c r="G692" s="2"/>
      <c r="H692" s="2"/>
      <c r="I692" s="2"/>
    </row>
    <row r="693" spans="1:9" x14ac:dyDescent="0.35">
      <c r="A693" s="2" t="s">
        <v>2037</v>
      </c>
      <c r="B693" s="2" t="s">
        <v>54</v>
      </c>
      <c r="C693" s="2" t="s">
        <v>2047</v>
      </c>
      <c r="D693" s="2" t="s">
        <v>957</v>
      </c>
      <c r="E693" s="2" t="s">
        <v>958</v>
      </c>
      <c r="F693" s="2"/>
      <c r="G693" s="2"/>
      <c r="H693" s="2"/>
      <c r="I693" s="2"/>
    </row>
    <row r="694" spans="1:9" x14ac:dyDescent="0.35">
      <c r="A694" s="2" t="s">
        <v>2037</v>
      </c>
      <c r="B694" s="2" t="s">
        <v>54</v>
      </c>
      <c r="C694" s="2" t="s">
        <v>2047</v>
      </c>
      <c r="D694" s="2" t="s">
        <v>91</v>
      </c>
      <c r="E694" s="2" t="s">
        <v>19</v>
      </c>
      <c r="F694" s="2" t="s">
        <v>20</v>
      </c>
      <c r="G694" s="2" t="s">
        <v>2048</v>
      </c>
      <c r="H694" s="2"/>
      <c r="I694" s="2"/>
    </row>
    <row r="695" spans="1:9" x14ac:dyDescent="0.35">
      <c r="A695" s="2" t="s">
        <v>2037</v>
      </c>
      <c r="B695" s="2" t="s">
        <v>54</v>
      </c>
      <c r="C695" s="2" t="s">
        <v>2047</v>
      </c>
      <c r="D695" s="2" t="s">
        <v>61</v>
      </c>
      <c r="E695" s="2" t="s">
        <v>30</v>
      </c>
      <c r="F695" s="2"/>
      <c r="G695" s="2"/>
      <c r="H695" s="2"/>
      <c r="I695" s="2"/>
    </row>
    <row r="696" spans="1:9" x14ac:dyDescent="0.35">
      <c r="A696" s="2" t="s">
        <v>2037</v>
      </c>
      <c r="B696" s="2" t="s">
        <v>24</v>
      </c>
      <c r="C696" s="2" t="s">
        <v>2049</v>
      </c>
      <c r="D696" s="2" t="s">
        <v>1305</v>
      </c>
      <c r="E696" s="2" t="s">
        <v>38</v>
      </c>
      <c r="F696" s="2"/>
      <c r="G696" s="2"/>
      <c r="H696" s="2"/>
      <c r="I696" s="2"/>
    </row>
    <row r="697" spans="1:9" x14ac:dyDescent="0.35">
      <c r="A697" s="2" t="s">
        <v>2037</v>
      </c>
      <c r="B697" s="2" t="s">
        <v>24</v>
      </c>
      <c r="C697" s="2" t="s">
        <v>2049</v>
      </c>
      <c r="D697" s="2" t="s">
        <v>14</v>
      </c>
      <c r="E697" s="2" t="s">
        <v>15</v>
      </c>
      <c r="F697" s="2"/>
      <c r="G697" s="2"/>
      <c r="H697" s="2"/>
      <c r="I697" s="2"/>
    </row>
    <row r="698" spans="1:9" x14ac:dyDescent="0.35">
      <c r="A698" s="2" t="s">
        <v>2037</v>
      </c>
      <c r="B698" s="2" t="s">
        <v>24</v>
      </c>
      <c r="C698" s="2" t="s">
        <v>2049</v>
      </c>
      <c r="D698" s="2" t="s">
        <v>27</v>
      </c>
      <c r="E698" s="2" t="s">
        <v>28</v>
      </c>
      <c r="F698" s="2"/>
      <c r="G698" s="2"/>
      <c r="H698" s="2"/>
      <c r="I698" s="2"/>
    </row>
    <row r="699" spans="1:9" x14ac:dyDescent="0.35">
      <c r="A699" s="2" t="s">
        <v>2037</v>
      </c>
      <c r="B699" s="2" t="s">
        <v>24</v>
      </c>
      <c r="C699" s="2" t="s">
        <v>2049</v>
      </c>
      <c r="D699" s="2" t="s">
        <v>124</v>
      </c>
      <c r="E699" s="2" t="s">
        <v>1654</v>
      </c>
      <c r="F699" s="2"/>
      <c r="G699" s="2"/>
      <c r="H699" s="2"/>
      <c r="I699" s="2"/>
    </row>
    <row r="700" spans="1:9" x14ac:dyDescent="0.35">
      <c r="A700" s="2" t="s">
        <v>2037</v>
      </c>
      <c r="B700" s="2" t="s">
        <v>24</v>
      </c>
      <c r="C700" s="2" t="s">
        <v>2049</v>
      </c>
      <c r="D700" s="2" t="s">
        <v>18</v>
      </c>
      <c r="E700" s="2" t="s">
        <v>19</v>
      </c>
      <c r="F700" s="2" t="s">
        <v>20</v>
      </c>
      <c r="G700" s="2" t="s">
        <v>1977</v>
      </c>
      <c r="H700" s="2"/>
      <c r="I700" s="2"/>
    </row>
    <row r="701" spans="1:9" x14ac:dyDescent="0.35">
      <c r="A701" s="2" t="s">
        <v>2037</v>
      </c>
      <c r="B701" s="2" t="s">
        <v>54</v>
      </c>
      <c r="C701" s="2" t="s">
        <v>2050</v>
      </c>
      <c r="D701" s="2" t="s">
        <v>1305</v>
      </c>
      <c r="E701" s="2" t="s">
        <v>38</v>
      </c>
      <c r="F701" s="2" t="s">
        <v>20</v>
      </c>
      <c r="G701" s="2" t="s">
        <v>2051</v>
      </c>
      <c r="H701" s="2"/>
      <c r="I701" s="2"/>
    </row>
    <row r="702" spans="1:9" x14ac:dyDescent="0.35">
      <c r="A702" s="2" t="s">
        <v>2037</v>
      </c>
      <c r="B702" s="2" t="s">
        <v>54</v>
      </c>
      <c r="C702" s="2" t="s">
        <v>2050</v>
      </c>
      <c r="D702" s="2" t="s">
        <v>27</v>
      </c>
      <c r="E702" s="2" t="s">
        <v>28</v>
      </c>
      <c r="F702" s="2"/>
      <c r="G702" s="2"/>
      <c r="H702" s="2"/>
      <c r="I702" s="2"/>
    </row>
    <row r="703" spans="1:9" x14ac:dyDescent="0.35">
      <c r="A703" s="2" t="s">
        <v>2037</v>
      </c>
      <c r="B703" s="2" t="s">
        <v>54</v>
      </c>
      <c r="C703" s="2" t="s">
        <v>2050</v>
      </c>
      <c r="D703" s="2" t="s">
        <v>91</v>
      </c>
      <c r="E703" s="2" t="s">
        <v>19</v>
      </c>
      <c r="F703" s="2" t="s">
        <v>20</v>
      </c>
      <c r="G703" s="2" t="s">
        <v>2048</v>
      </c>
      <c r="H703" s="2"/>
      <c r="I703" s="2"/>
    </row>
    <row r="704" spans="1:9" x14ac:dyDescent="0.35">
      <c r="A704" s="2" t="s">
        <v>2037</v>
      </c>
      <c r="B704" s="2" t="s">
        <v>54</v>
      </c>
      <c r="C704" s="2" t="s">
        <v>2050</v>
      </c>
      <c r="D704" s="2" t="s">
        <v>168</v>
      </c>
      <c r="E704" s="2" t="s">
        <v>45</v>
      </c>
      <c r="F704" s="2" t="s">
        <v>20</v>
      </c>
      <c r="G704" s="2" t="s">
        <v>2052</v>
      </c>
      <c r="H704" s="2"/>
      <c r="I704" s="2"/>
    </row>
    <row r="705" spans="1:9" x14ac:dyDescent="0.35">
      <c r="A705" s="2" t="s">
        <v>2037</v>
      </c>
      <c r="B705" s="2" t="s">
        <v>62</v>
      </c>
      <c r="C705" s="2" t="s">
        <v>2053</v>
      </c>
      <c r="D705" s="2" t="s">
        <v>763</v>
      </c>
      <c r="E705" s="2" t="s">
        <v>107</v>
      </c>
      <c r="F705" s="2"/>
      <c r="G705" s="2"/>
      <c r="H705" s="2"/>
      <c r="I705" s="2"/>
    </row>
    <row r="706" spans="1:9" x14ac:dyDescent="0.35">
      <c r="A706" s="2" t="s">
        <v>2037</v>
      </c>
      <c r="B706" s="2" t="s">
        <v>62</v>
      </c>
      <c r="C706" s="2" t="s">
        <v>2053</v>
      </c>
      <c r="D706" s="2" t="s">
        <v>74</v>
      </c>
      <c r="E706" s="2" t="s">
        <v>75</v>
      </c>
      <c r="F706" s="2" t="s">
        <v>20</v>
      </c>
      <c r="G706" s="2" t="s">
        <v>2054</v>
      </c>
      <c r="H706" s="2"/>
      <c r="I706" s="2"/>
    </row>
    <row r="707" spans="1:9" x14ac:dyDescent="0.35">
      <c r="A707" s="2" t="s">
        <v>2037</v>
      </c>
      <c r="B707" s="2" t="s">
        <v>62</v>
      </c>
      <c r="C707" s="2" t="s">
        <v>2053</v>
      </c>
      <c r="D707" s="2" t="s">
        <v>14</v>
      </c>
      <c r="E707" s="2" t="s">
        <v>15</v>
      </c>
      <c r="F707" s="2"/>
      <c r="G707" s="2"/>
      <c r="H707" s="2"/>
      <c r="I707" s="2"/>
    </row>
    <row r="708" spans="1:9" x14ac:dyDescent="0.35">
      <c r="A708" s="2" t="s">
        <v>2037</v>
      </c>
      <c r="B708" s="2" t="s">
        <v>62</v>
      </c>
      <c r="C708" s="2" t="s">
        <v>2053</v>
      </c>
      <c r="D708" s="2" t="s">
        <v>121</v>
      </c>
      <c r="E708" s="2" t="s">
        <v>122</v>
      </c>
      <c r="F708" s="2"/>
      <c r="G708" s="2"/>
      <c r="H708" s="2"/>
      <c r="I708" s="2"/>
    </row>
    <row r="709" spans="1:9" x14ac:dyDescent="0.35">
      <c r="A709" s="2" t="s">
        <v>2037</v>
      </c>
      <c r="B709" s="2" t="s">
        <v>62</v>
      </c>
      <c r="C709" s="2" t="s">
        <v>2053</v>
      </c>
      <c r="D709" s="2" t="s">
        <v>2055</v>
      </c>
      <c r="E709" s="2" t="s">
        <v>19</v>
      </c>
      <c r="F709" s="2" t="s">
        <v>20</v>
      </c>
      <c r="G709" s="2" t="s">
        <v>2056</v>
      </c>
      <c r="H709" s="2"/>
      <c r="I709" s="2"/>
    </row>
    <row r="710" spans="1:9" x14ac:dyDescent="0.35">
      <c r="A710" s="2" t="s">
        <v>2037</v>
      </c>
      <c r="B710" s="2" t="s">
        <v>62</v>
      </c>
      <c r="C710" s="2" t="s">
        <v>2053</v>
      </c>
      <c r="D710" s="2" t="s">
        <v>1243</v>
      </c>
      <c r="E710" s="2" t="s">
        <v>40</v>
      </c>
      <c r="F710" s="2"/>
      <c r="G710" s="2"/>
      <c r="H710" s="2"/>
      <c r="I710" s="2"/>
    </row>
    <row r="711" spans="1:9" x14ac:dyDescent="0.35">
      <c r="A711" s="2" t="s">
        <v>2037</v>
      </c>
      <c r="B711" s="2" t="s">
        <v>62</v>
      </c>
      <c r="C711" s="2" t="s">
        <v>2053</v>
      </c>
      <c r="D711" s="2" t="s">
        <v>127</v>
      </c>
      <c r="E711" s="2" t="s">
        <v>1650</v>
      </c>
      <c r="F711" s="2"/>
      <c r="G711" s="2"/>
      <c r="H711" s="2"/>
      <c r="I711" s="2"/>
    </row>
    <row r="712" spans="1:9" x14ac:dyDescent="0.35">
      <c r="A712" s="2" t="s">
        <v>2037</v>
      </c>
      <c r="B712" s="2" t="s">
        <v>24</v>
      </c>
      <c r="C712" s="2" t="s">
        <v>2057</v>
      </c>
      <c r="D712" s="2" t="s">
        <v>144</v>
      </c>
      <c r="E712" s="2" t="s">
        <v>50</v>
      </c>
      <c r="F712" s="2"/>
      <c r="G712" s="2"/>
      <c r="H712" s="2"/>
      <c r="I712" s="2"/>
    </row>
    <row r="713" spans="1:9" x14ac:dyDescent="0.35">
      <c r="A713" s="2" t="s">
        <v>2037</v>
      </c>
      <c r="B713" s="2" t="s">
        <v>24</v>
      </c>
      <c r="C713" s="2" t="s">
        <v>2057</v>
      </c>
      <c r="D713" s="2" t="s">
        <v>87</v>
      </c>
      <c r="E713" s="2" t="s">
        <v>75</v>
      </c>
      <c r="F713" s="2" t="s">
        <v>20</v>
      </c>
      <c r="G713" s="2" t="s">
        <v>2058</v>
      </c>
      <c r="H713" s="2"/>
      <c r="I713" s="2"/>
    </row>
    <row r="714" spans="1:9" x14ac:dyDescent="0.35">
      <c r="A714" s="2" t="s">
        <v>2037</v>
      </c>
      <c r="B714" s="2" t="s">
        <v>24</v>
      </c>
      <c r="C714" s="2" t="s">
        <v>2057</v>
      </c>
      <c r="D714" s="2" t="s">
        <v>18</v>
      </c>
      <c r="E714" s="2" t="s">
        <v>19</v>
      </c>
      <c r="F714" s="2" t="s">
        <v>20</v>
      </c>
      <c r="G714" s="2" t="s">
        <v>2059</v>
      </c>
      <c r="H714" s="2"/>
      <c r="I714" s="2"/>
    </row>
    <row r="715" spans="1:9" x14ac:dyDescent="0.35">
      <c r="A715" s="2" t="s">
        <v>2037</v>
      </c>
      <c r="B715" s="2" t="s">
        <v>24</v>
      </c>
      <c r="C715" s="2" t="s">
        <v>2057</v>
      </c>
      <c r="D715" s="2" t="s">
        <v>508</v>
      </c>
      <c r="E715" s="2" t="s">
        <v>40</v>
      </c>
      <c r="F715" s="2"/>
      <c r="G715" s="2"/>
      <c r="H715" s="2"/>
      <c r="I715" s="2"/>
    </row>
    <row r="716" spans="1:9" x14ac:dyDescent="0.35">
      <c r="A716" s="2" t="s">
        <v>2037</v>
      </c>
      <c r="B716" s="2" t="s">
        <v>24</v>
      </c>
      <c r="C716" s="2" t="s">
        <v>2060</v>
      </c>
      <c r="D716" s="2" t="s">
        <v>27</v>
      </c>
      <c r="E716" s="2" t="s">
        <v>28</v>
      </c>
      <c r="F716" s="2"/>
      <c r="G716" s="2"/>
      <c r="H716" s="2"/>
      <c r="I716" s="2"/>
    </row>
    <row r="717" spans="1:9" x14ac:dyDescent="0.35">
      <c r="A717" s="2" t="s">
        <v>2037</v>
      </c>
      <c r="B717" s="2" t="s">
        <v>24</v>
      </c>
      <c r="C717" s="2" t="s">
        <v>2060</v>
      </c>
      <c r="D717" s="2" t="s">
        <v>96</v>
      </c>
      <c r="E717" s="2" t="s">
        <v>83</v>
      </c>
      <c r="F717" s="2"/>
      <c r="G717" s="2"/>
      <c r="H717" s="2"/>
      <c r="I717" s="2"/>
    </row>
    <row r="718" spans="1:9" x14ac:dyDescent="0.35">
      <c r="A718" s="2" t="s">
        <v>2037</v>
      </c>
      <c r="B718" s="2" t="s">
        <v>24</v>
      </c>
      <c r="C718" s="2" t="s">
        <v>2060</v>
      </c>
      <c r="D718" s="2" t="s">
        <v>1226</v>
      </c>
      <c r="E718" s="2" t="s">
        <v>107</v>
      </c>
      <c r="F718" s="2"/>
      <c r="G718" s="2"/>
      <c r="H718" s="2"/>
      <c r="I718" s="2"/>
    </row>
    <row r="719" spans="1:9" x14ac:dyDescent="0.35">
      <c r="A719" s="2" t="s">
        <v>2037</v>
      </c>
      <c r="B719" s="2" t="s">
        <v>24</v>
      </c>
      <c r="C719" s="2" t="s">
        <v>2060</v>
      </c>
      <c r="D719" s="2" t="s">
        <v>393</v>
      </c>
      <c r="E719" s="2" t="s">
        <v>1653</v>
      </c>
      <c r="F719" s="2"/>
      <c r="G719" s="2"/>
      <c r="H719" s="2"/>
      <c r="I719" s="2"/>
    </row>
    <row r="720" spans="1:9" x14ac:dyDescent="0.35">
      <c r="A720" s="2" t="s">
        <v>2037</v>
      </c>
      <c r="B720" s="2" t="s">
        <v>24</v>
      </c>
      <c r="C720" s="2" t="s">
        <v>2060</v>
      </c>
      <c r="D720" s="2" t="s">
        <v>213</v>
      </c>
      <c r="E720" s="2" t="s">
        <v>45</v>
      </c>
      <c r="F720" s="2"/>
      <c r="G720" s="2"/>
      <c r="H720" s="2"/>
      <c r="I720" s="2"/>
    </row>
    <row r="721" spans="1:9" x14ac:dyDescent="0.35">
      <c r="A721" s="2" t="s">
        <v>2037</v>
      </c>
      <c r="B721" s="2" t="s">
        <v>24</v>
      </c>
      <c r="C721" s="2" t="s">
        <v>2060</v>
      </c>
      <c r="D721" s="2" t="s">
        <v>387</v>
      </c>
      <c r="E721" s="2" t="s">
        <v>367</v>
      </c>
      <c r="F721" s="2"/>
      <c r="G721" s="2"/>
      <c r="H721" s="2"/>
      <c r="I721" s="2"/>
    </row>
    <row r="722" spans="1:9" x14ac:dyDescent="0.35">
      <c r="A722" s="2" t="s">
        <v>2037</v>
      </c>
      <c r="B722" s="2" t="s">
        <v>24</v>
      </c>
      <c r="C722" s="2" t="s">
        <v>2060</v>
      </c>
      <c r="D722" s="2" t="s">
        <v>2061</v>
      </c>
      <c r="E722" s="2" t="s">
        <v>75</v>
      </c>
      <c r="F722" s="2"/>
      <c r="G722" s="2"/>
      <c r="H722" s="2"/>
      <c r="I722" s="2"/>
    </row>
    <row r="723" spans="1:9" x14ac:dyDescent="0.35">
      <c r="A723" s="2" t="s">
        <v>2037</v>
      </c>
      <c r="B723" s="2" t="s">
        <v>62</v>
      </c>
      <c r="C723" s="2" t="s">
        <v>2062</v>
      </c>
      <c r="D723" s="2" t="s">
        <v>74</v>
      </c>
      <c r="E723" s="2" t="s">
        <v>75</v>
      </c>
      <c r="F723" s="2" t="s">
        <v>20</v>
      </c>
      <c r="G723" s="2" t="s">
        <v>2063</v>
      </c>
      <c r="H723" s="2"/>
      <c r="I723" s="2"/>
    </row>
    <row r="724" spans="1:9" x14ac:dyDescent="0.35">
      <c r="A724" s="2" t="s">
        <v>2037</v>
      </c>
      <c r="B724" s="2" t="s">
        <v>62</v>
      </c>
      <c r="C724" s="2" t="s">
        <v>2062</v>
      </c>
      <c r="D724" s="2" t="s">
        <v>27</v>
      </c>
      <c r="E724" s="2" t="s">
        <v>28</v>
      </c>
      <c r="F724" s="2" t="s">
        <v>20</v>
      </c>
      <c r="G724" s="2" t="s">
        <v>2064</v>
      </c>
      <c r="H724" s="2"/>
      <c r="I724" s="2"/>
    </row>
    <row r="725" spans="1:9" x14ac:dyDescent="0.35">
      <c r="A725" s="2" t="s">
        <v>2037</v>
      </c>
      <c r="B725" s="2" t="s">
        <v>62</v>
      </c>
      <c r="C725" s="2" t="s">
        <v>2062</v>
      </c>
      <c r="D725" s="2" t="s">
        <v>121</v>
      </c>
      <c r="E725" s="2" t="s">
        <v>122</v>
      </c>
      <c r="F725" s="2"/>
      <c r="G725" s="2"/>
      <c r="H725" s="2"/>
      <c r="I725" s="2"/>
    </row>
    <row r="726" spans="1:9" x14ac:dyDescent="0.35">
      <c r="A726" s="2" t="s">
        <v>2037</v>
      </c>
      <c r="B726" s="2" t="s">
        <v>62</v>
      </c>
      <c r="C726" s="2" t="s">
        <v>2062</v>
      </c>
      <c r="D726" s="2" t="s">
        <v>127</v>
      </c>
      <c r="E726" s="2" t="s">
        <v>107</v>
      </c>
      <c r="F726" s="2"/>
      <c r="G726" s="2"/>
      <c r="H726" s="2"/>
      <c r="I726" s="2"/>
    </row>
    <row r="727" spans="1:9" x14ac:dyDescent="0.35">
      <c r="A727" s="2" t="s">
        <v>2037</v>
      </c>
      <c r="B727" s="2" t="s">
        <v>62</v>
      </c>
      <c r="C727" s="2" t="s">
        <v>2065</v>
      </c>
      <c r="D727" s="2" t="s">
        <v>660</v>
      </c>
      <c r="E727" s="2" t="s">
        <v>75</v>
      </c>
      <c r="F727" s="2"/>
      <c r="G727" s="2"/>
      <c r="H727" s="2"/>
      <c r="I727" s="2"/>
    </row>
    <row r="728" spans="1:9" x14ac:dyDescent="0.35">
      <c r="A728" s="2" t="s">
        <v>2066</v>
      </c>
      <c r="B728" s="2" t="s">
        <v>24</v>
      </c>
      <c r="C728" s="2" t="s">
        <v>2067</v>
      </c>
      <c r="D728" s="2" t="s">
        <v>14</v>
      </c>
      <c r="E728" s="2" t="s">
        <v>15</v>
      </c>
      <c r="F728" s="2"/>
      <c r="G728" s="2"/>
      <c r="H728" s="2"/>
      <c r="I728" s="2"/>
    </row>
    <row r="729" spans="1:9" x14ac:dyDescent="0.35">
      <c r="A729" s="2" t="s">
        <v>2066</v>
      </c>
      <c r="B729" s="2" t="s">
        <v>24</v>
      </c>
      <c r="C729" s="2" t="s">
        <v>2067</v>
      </c>
      <c r="D729" s="2" t="s">
        <v>120</v>
      </c>
      <c r="E729" s="2" t="s">
        <v>32</v>
      </c>
      <c r="F729" s="2"/>
      <c r="G729" s="2"/>
      <c r="H729" s="2"/>
      <c r="I729" s="2"/>
    </row>
    <row r="730" spans="1:9" x14ac:dyDescent="0.35">
      <c r="A730" s="2" t="s">
        <v>2066</v>
      </c>
      <c r="B730" s="2" t="s">
        <v>24</v>
      </c>
      <c r="C730" s="2" t="s">
        <v>2067</v>
      </c>
      <c r="D730" s="2" t="s">
        <v>38</v>
      </c>
      <c r="E730" s="2" t="s">
        <v>1419</v>
      </c>
      <c r="F730" s="2" t="s">
        <v>20</v>
      </c>
      <c r="G730" s="2" t="s">
        <v>2068</v>
      </c>
      <c r="H730" s="2"/>
      <c r="I730" s="2"/>
    </row>
    <row r="731" spans="1:9" x14ac:dyDescent="0.35">
      <c r="A731" s="2" t="s">
        <v>2066</v>
      </c>
      <c r="B731" s="2" t="s">
        <v>24</v>
      </c>
      <c r="C731" s="2" t="s">
        <v>2067</v>
      </c>
      <c r="D731" s="2" t="s">
        <v>1278</v>
      </c>
      <c r="E731" s="2" t="s">
        <v>50</v>
      </c>
      <c r="F731" s="2" t="s">
        <v>20</v>
      </c>
      <c r="G731" s="2" t="s">
        <v>2068</v>
      </c>
      <c r="H731" s="2"/>
      <c r="I731" s="2"/>
    </row>
    <row r="732" spans="1:9" x14ac:dyDescent="0.35">
      <c r="A732" s="2" t="s">
        <v>2066</v>
      </c>
      <c r="B732" s="2" t="s">
        <v>24</v>
      </c>
      <c r="C732" s="2" t="s">
        <v>2067</v>
      </c>
      <c r="D732" s="2" t="s">
        <v>393</v>
      </c>
      <c r="E732" s="2" t="s">
        <v>1653</v>
      </c>
      <c r="F732" s="2" t="s">
        <v>20</v>
      </c>
      <c r="G732" s="2" t="s">
        <v>2068</v>
      </c>
      <c r="H732" s="2"/>
      <c r="I732" s="2"/>
    </row>
    <row r="733" spans="1:9" x14ac:dyDescent="0.35">
      <c r="A733" s="2" t="s">
        <v>2066</v>
      </c>
      <c r="B733" s="2" t="s">
        <v>24</v>
      </c>
      <c r="C733" s="2" t="s">
        <v>2067</v>
      </c>
      <c r="D733" s="2" t="s">
        <v>91</v>
      </c>
      <c r="E733" s="2" t="s">
        <v>19</v>
      </c>
      <c r="F733" s="2" t="s">
        <v>20</v>
      </c>
      <c r="G733" s="2" t="s">
        <v>2068</v>
      </c>
      <c r="H733" s="2"/>
      <c r="I733" s="2"/>
    </row>
    <row r="734" spans="1:9" x14ac:dyDescent="0.35">
      <c r="A734" s="2" t="s">
        <v>2066</v>
      </c>
      <c r="B734" s="2" t="s">
        <v>24</v>
      </c>
      <c r="C734" s="2" t="s">
        <v>2067</v>
      </c>
      <c r="D734" s="2" t="s">
        <v>87</v>
      </c>
      <c r="E734" s="2" t="s">
        <v>75</v>
      </c>
      <c r="F734" s="2"/>
      <c r="G734" s="2"/>
      <c r="H734" s="2"/>
      <c r="I734" s="2"/>
    </row>
    <row r="735" spans="1:9" x14ac:dyDescent="0.35">
      <c r="A735" s="2" t="s">
        <v>2066</v>
      </c>
      <c r="B735" s="2" t="s">
        <v>24</v>
      </c>
      <c r="C735" s="2" t="s">
        <v>2067</v>
      </c>
      <c r="D735" s="2" t="s">
        <v>124</v>
      </c>
      <c r="E735" s="2" t="s">
        <v>125</v>
      </c>
      <c r="F735" s="2"/>
      <c r="G735" s="2"/>
      <c r="H735" s="2"/>
      <c r="I735" s="2"/>
    </row>
    <row r="736" spans="1:9" x14ac:dyDescent="0.35">
      <c r="A736" s="2" t="s">
        <v>2066</v>
      </c>
      <c r="B736" s="2" t="s">
        <v>24</v>
      </c>
      <c r="C736" s="2" t="s">
        <v>2067</v>
      </c>
      <c r="D736" s="2" t="s">
        <v>2069</v>
      </c>
      <c r="E736" s="2" t="s">
        <v>40</v>
      </c>
      <c r="F736" s="2"/>
      <c r="G736" s="2"/>
      <c r="H736" s="2"/>
      <c r="I736" s="2"/>
    </row>
    <row r="737" spans="1:9" x14ac:dyDescent="0.35">
      <c r="A737" s="2" t="s">
        <v>2066</v>
      </c>
      <c r="B737" s="2" t="s">
        <v>24</v>
      </c>
      <c r="C737" s="2" t="s">
        <v>2067</v>
      </c>
      <c r="D737" s="2" t="s">
        <v>188</v>
      </c>
      <c r="E737" s="2" t="s">
        <v>189</v>
      </c>
      <c r="F737" s="2"/>
      <c r="G737" s="2"/>
      <c r="H737" s="2"/>
      <c r="I737" s="2"/>
    </row>
    <row r="738" spans="1:9" x14ac:dyDescent="0.35">
      <c r="A738" s="2" t="s">
        <v>2066</v>
      </c>
      <c r="B738" s="2" t="s">
        <v>24</v>
      </c>
      <c r="C738" s="2" t="s">
        <v>2067</v>
      </c>
      <c r="D738" s="2" t="s">
        <v>2070</v>
      </c>
      <c r="E738" s="2" t="s">
        <v>65</v>
      </c>
      <c r="F738" s="2"/>
      <c r="G738" s="2"/>
      <c r="H738" s="2"/>
      <c r="I738" s="2"/>
    </row>
    <row r="739" spans="1:9" x14ac:dyDescent="0.35">
      <c r="A739" s="2" t="s">
        <v>2066</v>
      </c>
      <c r="B739" s="2" t="s">
        <v>12</v>
      </c>
      <c r="C739" s="2" t="s">
        <v>2071</v>
      </c>
      <c r="D739" s="2" t="s">
        <v>74</v>
      </c>
      <c r="E739" s="2" t="s">
        <v>75</v>
      </c>
      <c r="F739" s="2"/>
      <c r="G739" s="2"/>
      <c r="H739" s="2"/>
      <c r="I739" s="2"/>
    </row>
    <row r="740" spans="1:9" x14ac:dyDescent="0.35">
      <c r="A740" s="2" t="s">
        <v>2066</v>
      </c>
      <c r="B740" s="2" t="s">
        <v>12</v>
      </c>
      <c r="C740" s="2" t="s">
        <v>2071</v>
      </c>
      <c r="D740" s="2" t="s">
        <v>121</v>
      </c>
      <c r="E740" s="2" t="s">
        <v>122</v>
      </c>
      <c r="F740" s="2"/>
      <c r="G740" s="2"/>
      <c r="H740" s="2"/>
      <c r="I740" s="2"/>
    </row>
    <row r="741" spans="1:9" x14ac:dyDescent="0.35">
      <c r="A741" s="2" t="s">
        <v>2066</v>
      </c>
      <c r="B741" s="2" t="s">
        <v>12</v>
      </c>
      <c r="C741" s="2" t="s">
        <v>2071</v>
      </c>
      <c r="D741" s="2" t="s">
        <v>213</v>
      </c>
      <c r="E741" s="2" t="s">
        <v>45</v>
      </c>
      <c r="F741" s="2"/>
      <c r="G741" s="2"/>
      <c r="H741" s="2"/>
      <c r="I741" s="2"/>
    </row>
    <row r="742" spans="1:9" x14ac:dyDescent="0.35">
      <c r="A742" s="2" t="s">
        <v>2066</v>
      </c>
      <c r="B742" s="2" t="s">
        <v>12</v>
      </c>
      <c r="C742" s="2" t="s">
        <v>2071</v>
      </c>
      <c r="D742" s="2" t="s">
        <v>18</v>
      </c>
      <c r="E742" s="2" t="s">
        <v>19</v>
      </c>
      <c r="F742" s="2" t="s">
        <v>20</v>
      </c>
      <c r="G742" s="2" t="s">
        <v>2072</v>
      </c>
      <c r="H742" s="2"/>
      <c r="I742" s="2"/>
    </row>
    <row r="743" spans="1:9" x14ac:dyDescent="0.35">
      <c r="A743" s="2" t="s">
        <v>2066</v>
      </c>
      <c r="B743" s="2" t="s">
        <v>12</v>
      </c>
      <c r="C743" s="2" t="s">
        <v>2071</v>
      </c>
      <c r="D743" s="2" t="s">
        <v>1982</v>
      </c>
      <c r="E743" s="2" t="s">
        <v>150</v>
      </c>
      <c r="F743" s="2" t="s">
        <v>20</v>
      </c>
      <c r="G743" s="2" t="s">
        <v>1983</v>
      </c>
      <c r="H743" s="2"/>
      <c r="I743" s="2"/>
    </row>
    <row r="744" spans="1:9" x14ac:dyDescent="0.35">
      <c r="A744" s="2" t="s">
        <v>2066</v>
      </c>
      <c r="B744" s="2" t="s">
        <v>54</v>
      </c>
      <c r="C744" s="2" t="s">
        <v>2073</v>
      </c>
      <c r="D744" s="2" t="s">
        <v>91</v>
      </c>
      <c r="E744" s="2" t="s">
        <v>19</v>
      </c>
      <c r="F744" s="2" t="s">
        <v>20</v>
      </c>
      <c r="G744" s="2" t="s">
        <v>2074</v>
      </c>
      <c r="H744" s="2"/>
      <c r="I744" s="2"/>
    </row>
    <row r="745" spans="1:9" x14ac:dyDescent="0.35">
      <c r="A745" s="2" t="s">
        <v>2066</v>
      </c>
      <c r="B745" s="2" t="s">
        <v>62</v>
      </c>
      <c r="C745" s="2" t="s">
        <v>2075</v>
      </c>
      <c r="D745" s="2" t="s">
        <v>27</v>
      </c>
      <c r="E745" s="2" t="s">
        <v>28</v>
      </c>
      <c r="F745" s="2" t="s">
        <v>20</v>
      </c>
      <c r="G745" s="2" t="s">
        <v>1823</v>
      </c>
      <c r="H745" s="2"/>
      <c r="I745" s="2"/>
    </row>
    <row r="746" spans="1:9" x14ac:dyDescent="0.35">
      <c r="A746" s="2" t="s">
        <v>2066</v>
      </c>
      <c r="B746" s="2" t="s">
        <v>24</v>
      </c>
      <c r="C746" s="2" t="s">
        <v>2076</v>
      </c>
      <c r="D746" s="2" t="s">
        <v>1212</v>
      </c>
      <c r="E746" s="2" t="s">
        <v>36</v>
      </c>
      <c r="F746" s="2"/>
      <c r="G746" s="2"/>
      <c r="H746" s="2"/>
      <c r="I746" s="2"/>
    </row>
    <row r="747" spans="1:9" x14ac:dyDescent="0.35">
      <c r="A747" s="2" t="s">
        <v>2066</v>
      </c>
      <c r="B747" s="2" t="s">
        <v>24</v>
      </c>
      <c r="C747" s="2" t="s">
        <v>2076</v>
      </c>
      <c r="D747" s="2" t="s">
        <v>91</v>
      </c>
      <c r="E747" s="2" t="s">
        <v>19</v>
      </c>
      <c r="F747" s="2" t="s">
        <v>20</v>
      </c>
      <c r="G747" s="2" t="s">
        <v>2077</v>
      </c>
      <c r="H747" s="2"/>
      <c r="I747" s="2"/>
    </row>
    <row r="748" spans="1:9" x14ac:dyDescent="0.35">
      <c r="A748" s="2" t="s">
        <v>2066</v>
      </c>
      <c r="B748" s="2" t="s">
        <v>24</v>
      </c>
      <c r="C748" s="2" t="s">
        <v>2076</v>
      </c>
      <c r="D748" s="2" t="s">
        <v>87</v>
      </c>
      <c r="E748" s="2" t="s">
        <v>75</v>
      </c>
      <c r="F748" s="2" t="s">
        <v>20</v>
      </c>
      <c r="G748" s="2" t="s">
        <v>2078</v>
      </c>
      <c r="H748" s="2"/>
      <c r="I748" s="2"/>
    </row>
    <row r="749" spans="1:9" x14ac:dyDescent="0.35">
      <c r="A749" s="2" t="s">
        <v>2066</v>
      </c>
      <c r="B749" s="2" t="s">
        <v>12</v>
      </c>
      <c r="C749" s="2" t="s">
        <v>2079</v>
      </c>
      <c r="D749" s="2" t="s">
        <v>74</v>
      </c>
      <c r="E749" s="2" t="s">
        <v>75</v>
      </c>
      <c r="F749" s="2" t="s">
        <v>20</v>
      </c>
      <c r="G749" s="2" t="s">
        <v>2080</v>
      </c>
      <c r="H749" s="2"/>
      <c r="I749" s="2"/>
    </row>
    <row r="750" spans="1:9" x14ac:dyDescent="0.35">
      <c r="A750" s="2" t="s">
        <v>2066</v>
      </c>
      <c r="B750" s="2" t="s">
        <v>12</v>
      </c>
      <c r="C750" s="2" t="s">
        <v>2079</v>
      </c>
      <c r="D750" s="2" t="s">
        <v>14</v>
      </c>
      <c r="E750" s="2" t="s">
        <v>15</v>
      </c>
      <c r="F750" s="2"/>
      <c r="G750" s="2"/>
      <c r="H750" s="2"/>
      <c r="I750" s="2"/>
    </row>
    <row r="751" spans="1:9" x14ac:dyDescent="0.35">
      <c r="A751" s="2" t="s">
        <v>2066</v>
      </c>
      <c r="B751" s="2" t="s">
        <v>12</v>
      </c>
      <c r="C751" s="2" t="s">
        <v>2079</v>
      </c>
      <c r="D751" s="2" t="s">
        <v>89</v>
      </c>
      <c r="E751" s="2" t="s">
        <v>45</v>
      </c>
      <c r="F751" s="2" t="s">
        <v>20</v>
      </c>
      <c r="G751" s="2" t="s">
        <v>2081</v>
      </c>
      <c r="H751" s="2"/>
      <c r="I751" s="2"/>
    </row>
    <row r="752" spans="1:9" x14ac:dyDescent="0.35">
      <c r="A752" s="2" t="s">
        <v>2066</v>
      </c>
      <c r="B752" s="2" t="s">
        <v>12</v>
      </c>
      <c r="C752" s="2" t="s">
        <v>2079</v>
      </c>
      <c r="D752" s="2" t="s">
        <v>18</v>
      </c>
      <c r="E752" s="2" t="s">
        <v>19</v>
      </c>
      <c r="F752" s="2" t="s">
        <v>20</v>
      </c>
      <c r="G752" s="2" t="s">
        <v>2082</v>
      </c>
      <c r="H752" s="2"/>
      <c r="I752" s="2"/>
    </row>
    <row r="753" spans="1:9" x14ac:dyDescent="0.35">
      <c r="A753" s="2" t="s">
        <v>2066</v>
      </c>
      <c r="B753" s="2" t="s">
        <v>12</v>
      </c>
      <c r="C753" s="2" t="s">
        <v>2079</v>
      </c>
      <c r="D753" s="2" t="s">
        <v>149</v>
      </c>
      <c r="E753" s="2" t="s">
        <v>150</v>
      </c>
      <c r="F753" s="2" t="s">
        <v>20</v>
      </c>
      <c r="G753" s="2" t="s">
        <v>1809</v>
      </c>
      <c r="H753" s="2"/>
      <c r="I753" s="2"/>
    </row>
    <row r="754" spans="1:9" x14ac:dyDescent="0.35">
      <c r="A754" s="2" t="s">
        <v>2066</v>
      </c>
      <c r="B754" s="2" t="s">
        <v>12</v>
      </c>
      <c r="C754" s="2" t="s">
        <v>2083</v>
      </c>
      <c r="D754" s="2" t="s">
        <v>14</v>
      </c>
      <c r="E754" s="2" t="s">
        <v>15</v>
      </c>
      <c r="F754" s="2"/>
      <c r="G754" s="2"/>
      <c r="H754" s="2"/>
      <c r="I754" s="2"/>
    </row>
    <row r="755" spans="1:9" x14ac:dyDescent="0.35">
      <c r="A755" s="2" t="s">
        <v>2066</v>
      </c>
      <c r="B755" s="2" t="s">
        <v>12</v>
      </c>
      <c r="C755" s="2" t="s">
        <v>2083</v>
      </c>
      <c r="D755" s="2" t="s">
        <v>998</v>
      </c>
      <c r="E755" s="2" t="s">
        <v>40</v>
      </c>
      <c r="F755" s="2"/>
      <c r="G755" s="2"/>
      <c r="H755" s="2"/>
      <c r="I755" s="2"/>
    </row>
    <row r="756" spans="1:9" x14ac:dyDescent="0.35">
      <c r="A756" s="2" t="s">
        <v>2066</v>
      </c>
      <c r="B756" s="2" t="s">
        <v>12</v>
      </c>
      <c r="C756" s="2" t="s">
        <v>2083</v>
      </c>
      <c r="D756" s="2" t="s">
        <v>18</v>
      </c>
      <c r="E756" s="2" t="s">
        <v>19</v>
      </c>
      <c r="F756" s="2" t="s">
        <v>20</v>
      </c>
      <c r="G756" s="2" t="s">
        <v>2084</v>
      </c>
      <c r="H756" s="2"/>
      <c r="I756" s="2"/>
    </row>
    <row r="757" spans="1:9" x14ac:dyDescent="0.35">
      <c r="A757" s="2" t="s">
        <v>2066</v>
      </c>
      <c r="B757" s="2" t="s">
        <v>12</v>
      </c>
      <c r="C757" s="2" t="s">
        <v>2085</v>
      </c>
      <c r="D757" s="2" t="s">
        <v>121</v>
      </c>
      <c r="E757" s="2" t="s">
        <v>122</v>
      </c>
      <c r="F757" s="2"/>
      <c r="G757" s="2"/>
      <c r="H757" s="2"/>
      <c r="I757" s="2"/>
    </row>
    <row r="758" spans="1:9" x14ac:dyDescent="0.35">
      <c r="A758" s="2" t="s">
        <v>2066</v>
      </c>
      <c r="B758" s="2" t="s">
        <v>12</v>
      </c>
      <c r="C758" s="2" t="s">
        <v>2085</v>
      </c>
      <c r="D758" s="2" t="s">
        <v>156</v>
      </c>
      <c r="E758" s="2" t="s">
        <v>45</v>
      </c>
      <c r="F758" s="2"/>
      <c r="G758" s="2"/>
      <c r="H758" s="2"/>
      <c r="I758" s="2"/>
    </row>
    <row r="759" spans="1:9" x14ac:dyDescent="0.35">
      <c r="A759" s="2" t="s">
        <v>2066</v>
      </c>
      <c r="B759" s="2" t="s">
        <v>12</v>
      </c>
      <c r="C759" s="2" t="s">
        <v>2085</v>
      </c>
      <c r="D759" s="2" t="s">
        <v>91</v>
      </c>
      <c r="E759" s="2" t="s">
        <v>19</v>
      </c>
      <c r="F759" s="2"/>
      <c r="G759" s="2"/>
      <c r="H759" s="2"/>
      <c r="I759" s="2"/>
    </row>
    <row r="760" spans="1:9" x14ac:dyDescent="0.35">
      <c r="A760" s="2" t="s">
        <v>2066</v>
      </c>
      <c r="B760" s="2" t="s">
        <v>54</v>
      </c>
      <c r="C760" s="2" t="s">
        <v>2086</v>
      </c>
      <c r="D760" s="2" t="s">
        <v>155</v>
      </c>
      <c r="E760" s="2" t="s">
        <v>32</v>
      </c>
      <c r="F760" s="2"/>
      <c r="G760" s="2"/>
      <c r="H760" s="2"/>
      <c r="I760" s="2"/>
    </row>
    <row r="761" spans="1:9" x14ac:dyDescent="0.35">
      <c r="A761" s="2" t="s">
        <v>2066</v>
      </c>
      <c r="B761" s="2" t="s">
        <v>54</v>
      </c>
      <c r="C761" s="2" t="s">
        <v>2086</v>
      </c>
      <c r="D761" s="2" t="s">
        <v>172</v>
      </c>
      <c r="E761" s="2" t="s">
        <v>65</v>
      </c>
      <c r="F761" s="2"/>
      <c r="G761" s="2"/>
      <c r="H761" s="2"/>
      <c r="I761" s="2"/>
    </row>
    <row r="762" spans="1:9" x14ac:dyDescent="0.35">
      <c r="A762" s="2" t="s">
        <v>2066</v>
      </c>
      <c r="B762" s="2" t="s">
        <v>54</v>
      </c>
      <c r="C762" s="2" t="s">
        <v>2086</v>
      </c>
      <c r="D762" s="2" t="s">
        <v>168</v>
      </c>
      <c r="E762" s="2" t="s">
        <v>45</v>
      </c>
      <c r="F762" s="2" t="s">
        <v>20</v>
      </c>
      <c r="G762" s="2" t="s">
        <v>2087</v>
      </c>
      <c r="H762" s="2"/>
      <c r="I762" s="2"/>
    </row>
    <row r="763" spans="1:9" x14ac:dyDescent="0.35">
      <c r="A763" s="2" t="s">
        <v>2066</v>
      </c>
      <c r="B763" s="2" t="s">
        <v>54</v>
      </c>
      <c r="C763" s="2" t="s">
        <v>2086</v>
      </c>
      <c r="D763" s="2" t="s">
        <v>18</v>
      </c>
      <c r="E763" s="2" t="s">
        <v>19</v>
      </c>
      <c r="F763" s="2" t="s">
        <v>20</v>
      </c>
      <c r="G763" s="2" t="s">
        <v>2088</v>
      </c>
      <c r="H763" s="2"/>
      <c r="I763" s="2"/>
    </row>
    <row r="764" spans="1:9" x14ac:dyDescent="0.35">
      <c r="A764" s="2" t="s">
        <v>2066</v>
      </c>
      <c r="B764" s="2" t="s">
        <v>54</v>
      </c>
      <c r="C764" s="2" t="s">
        <v>2086</v>
      </c>
      <c r="D764" s="2" t="s">
        <v>1982</v>
      </c>
      <c r="E764" s="2" t="s">
        <v>150</v>
      </c>
      <c r="F764" s="2" t="s">
        <v>20</v>
      </c>
      <c r="G764" s="2" t="s">
        <v>2089</v>
      </c>
      <c r="H764" s="2"/>
      <c r="I764" s="2"/>
    </row>
    <row r="765" spans="1:9" x14ac:dyDescent="0.35">
      <c r="A765" s="2" t="s">
        <v>2066</v>
      </c>
      <c r="B765" s="2" t="s">
        <v>24</v>
      </c>
      <c r="C765" s="2" t="s">
        <v>2090</v>
      </c>
      <c r="D765" s="2" t="s">
        <v>196</v>
      </c>
      <c r="E765" s="2" t="s">
        <v>197</v>
      </c>
      <c r="F765" s="2"/>
      <c r="G765" s="2"/>
      <c r="H765" s="2"/>
      <c r="I765" s="2"/>
    </row>
    <row r="766" spans="1:9" x14ac:dyDescent="0.35">
      <c r="A766" s="2" t="s">
        <v>2066</v>
      </c>
      <c r="B766" s="2" t="s">
        <v>24</v>
      </c>
      <c r="C766" s="2" t="s">
        <v>2090</v>
      </c>
      <c r="D766" s="2" t="s">
        <v>14</v>
      </c>
      <c r="E766" s="2" t="s">
        <v>15</v>
      </c>
      <c r="F766" s="2"/>
      <c r="G766" s="2"/>
      <c r="H766" s="2"/>
      <c r="I766" s="2"/>
    </row>
    <row r="767" spans="1:9" x14ac:dyDescent="0.35">
      <c r="A767" s="2" t="s">
        <v>2066</v>
      </c>
      <c r="B767" s="2" t="s">
        <v>24</v>
      </c>
      <c r="C767" s="2" t="s">
        <v>2090</v>
      </c>
      <c r="D767" s="2" t="s">
        <v>27</v>
      </c>
      <c r="E767" s="2" t="s">
        <v>28</v>
      </c>
      <c r="F767" s="2"/>
      <c r="G767" s="2"/>
      <c r="H767" s="2"/>
      <c r="I767" s="2"/>
    </row>
    <row r="768" spans="1:9" x14ac:dyDescent="0.35">
      <c r="A768" s="2" t="s">
        <v>2066</v>
      </c>
      <c r="B768" s="2" t="s">
        <v>24</v>
      </c>
      <c r="C768" s="2" t="s">
        <v>2090</v>
      </c>
      <c r="D768" s="2" t="s">
        <v>198</v>
      </c>
      <c r="E768" s="2" t="s">
        <v>65</v>
      </c>
      <c r="F768" s="2"/>
      <c r="G768" s="2"/>
      <c r="H768" s="2"/>
      <c r="I768" s="2"/>
    </row>
    <row r="769" spans="1:9" x14ac:dyDescent="0.35">
      <c r="A769" s="2" t="s">
        <v>2066</v>
      </c>
      <c r="B769" s="2" t="s">
        <v>24</v>
      </c>
      <c r="C769" s="2" t="s">
        <v>2090</v>
      </c>
      <c r="D769" s="2" t="s">
        <v>31</v>
      </c>
      <c r="E769" s="2" t="s">
        <v>32</v>
      </c>
      <c r="F769" s="2"/>
      <c r="G769" s="2"/>
      <c r="H769" s="2"/>
      <c r="I769" s="2"/>
    </row>
    <row r="770" spans="1:9" x14ac:dyDescent="0.35">
      <c r="A770" s="2" t="s">
        <v>2066</v>
      </c>
      <c r="B770" s="2" t="s">
        <v>24</v>
      </c>
      <c r="C770" s="2" t="s">
        <v>2090</v>
      </c>
      <c r="D770" s="2" t="s">
        <v>96</v>
      </c>
      <c r="E770" s="2" t="s">
        <v>83</v>
      </c>
      <c r="F770" s="2"/>
      <c r="G770" s="2"/>
      <c r="H770" s="2"/>
      <c r="I770" s="2"/>
    </row>
    <row r="771" spans="1:9" x14ac:dyDescent="0.35">
      <c r="A771" s="2" t="s">
        <v>2066</v>
      </c>
      <c r="B771" s="2" t="s">
        <v>24</v>
      </c>
      <c r="C771" s="2" t="s">
        <v>2090</v>
      </c>
      <c r="D771" s="2" t="s">
        <v>1260</v>
      </c>
      <c r="E771" s="2" t="s">
        <v>363</v>
      </c>
      <c r="F771" s="2"/>
      <c r="G771" s="2"/>
      <c r="H771" s="2"/>
      <c r="I771" s="2"/>
    </row>
    <row r="772" spans="1:9" x14ac:dyDescent="0.35">
      <c r="A772" s="2" t="s">
        <v>2066</v>
      </c>
      <c r="B772" s="2" t="s">
        <v>24</v>
      </c>
      <c r="C772" s="2" t="s">
        <v>2090</v>
      </c>
      <c r="D772" s="2" t="s">
        <v>211</v>
      </c>
      <c r="E772" s="2" t="s">
        <v>203</v>
      </c>
      <c r="F772" s="2"/>
      <c r="G772" s="2"/>
      <c r="H772" s="2"/>
      <c r="I772" s="2"/>
    </row>
    <row r="773" spans="1:9" x14ac:dyDescent="0.35">
      <c r="A773" s="2" t="s">
        <v>2066</v>
      </c>
      <c r="B773" s="2" t="s">
        <v>24</v>
      </c>
      <c r="C773" s="2" t="s">
        <v>2090</v>
      </c>
      <c r="D773" s="2" t="s">
        <v>212</v>
      </c>
      <c r="E773" s="2" t="s">
        <v>78</v>
      </c>
      <c r="F773" s="2"/>
      <c r="G773" s="2"/>
      <c r="H773" s="2"/>
      <c r="I773" s="2"/>
    </row>
    <row r="774" spans="1:9" x14ac:dyDescent="0.35">
      <c r="A774" s="2" t="s">
        <v>2066</v>
      </c>
      <c r="B774" s="2" t="s">
        <v>24</v>
      </c>
      <c r="C774" s="2" t="s">
        <v>2090</v>
      </c>
      <c r="D774" s="2" t="s">
        <v>815</v>
      </c>
      <c r="E774" s="2" t="s">
        <v>122</v>
      </c>
      <c r="F774" s="2"/>
      <c r="G774" s="2"/>
      <c r="H774" s="2"/>
      <c r="I774" s="2"/>
    </row>
    <row r="775" spans="1:9" x14ac:dyDescent="0.35">
      <c r="A775" s="2" t="s">
        <v>2066</v>
      </c>
      <c r="B775" s="2" t="s">
        <v>24</v>
      </c>
      <c r="C775" s="2" t="s">
        <v>2090</v>
      </c>
      <c r="D775" s="2" t="s">
        <v>121</v>
      </c>
      <c r="E775" s="2" t="s">
        <v>122</v>
      </c>
      <c r="F775" s="2"/>
      <c r="G775" s="2"/>
      <c r="H775" s="2"/>
      <c r="I775" s="2"/>
    </row>
    <row r="776" spans="1:9" x14ac:dyDescent="0.35">
      <c r="A776" s="2" t="s">
        <v>2066</v>
      </c>
      <c r="B776" s="2" t="s">
        <v>24</v>
      </c>
      <c r="C776" s="2" t="s">
        <v>2090</v>
      </c>
      <c r="D776" s="2" t="s">
        <v>2091</v>
      </c>
      <c r="E776" s="2" t="s">
        <v>1419</v>
      </c>
      <c r="F776" s="2"/>
      <c r="G776" s="2"/>
      <c r="H776" s="2"/>
      <c r="I776" s="2"/>
    </row>
    <row r="777" spans="1:9" x14ac:dyDescent="0.35">
      <c r="A777" s="2" t="s">
        <v>2066</v>
      </c>
      <c r="B777" s="2" t="s">
        <v>24</v>
      </c>
      <c r="C777" s="2" t="s">
        <v>2090</v>
      </c>
      <c r="D777" s="2" t="s">
        <v>156</v>
      </c>
      <c r="E777" s="2" t="s">
        <v>45</v>
      </c>
      <c r="F777" s="2"/>
      <c r="G777" s="2"/>
      <c r="H777" s="2"/>
      <c r="I777" s="2"/>
    </row>
    <row r="778" spans="1:9" x14ac:dyDescent="0.35">
      <c r="A778" s="2" t="s">
        <v>2066</v>
      </c>
      <c r="B778" s="2" t="s">
        <v>24</v>
      </c>
      <c r="C778" s="2" t="s">
        <v>2090</v>
      </c>
      <c r="D778" s="2" t="s">
        <v>168</v>
      </c>
      <c r="E778" s="2" t="s">
        <v>45</v>
      </c>
      <c r="F778" s="2"/>
      <c r="G778" s="2"/>
      <c r="H778" s="2"/>
      <c r="I778" s="2"/>
    </row>
    <row r="779" spans="1:9" x14ac:dyDescent="0.35">
      <c r="A779" s="2" t="s">
        <v>2066</v>
      </c>
      <c r="B779" s="2" t="s">
        <v>24</v>
      </c>
      <c r="C779" s="2" t="s">
        <v>2090</v>
      </c>
      <c r="D779" s="2" t="s">
        <v>2092</v>
      </c>
      <c r="E779" s="2" t="s">
        <v>40</v>
      </c>
      <c r="F779" s="2"/>
      <c r="G779" s="2"/>
      <c r="H779" s="2"/>
      <c r="I779" s="2"/>
    </row>
    <row r="780" spans="1:9" x14ac:dyDescent="0.35">
      <c r="A780" s="2" t="s">
        <v>2066</v>
      </c>
      <c r="B780" s="2" t="s">
        <v>24</v>
      </c>
      <c r="C780" s="2" t="s">
        <v>2090</v>
      </c>
      <c r="D780" s="2" t="s">
        <v>87</v>
      </c>
      <c r="E780" s="2" t="s">
        <v>75</v>
      </c>
      <c r="F780" s="2"/>
      <c r="G780" s="2"/>
      <c r="H780" s="2"/>
      <c r="I780" s="2"/>
    </row>
    <row r="781" spans="1:9" x14ac:dyDescent="0.35">
      <c r="A781" s="2" t="s">
        <v>2066</v>
      </c>
      <c r="B781" s="2" t="s">
        <v>24</v>
      </c>
      <c r="C781" s="2" t="s">
        <v>2090</v>
      </c>
      <c r="D781" s="2" t="s">
        <v>417</v>
      </c>
      <c r="E781" s="2" t="s">
        <v>40</v>
      </c>
      <c r="F781" s="2"/>
      <c r="G781" s="2"/>
      <c r="H781" s="2"/>
      <c r="I781" s="2"/>
    </row>
    <row r="782" spans="1:9" x14ac:dyDescent="0.35">
      <c r="A782" s="2" t="s">
        <v>2066</v>
      </c>
      <c r="B782" s="2" t="s">
        <v>24</v>
      </c>
      <c r="C782" s="2" t="s">
        <v>2090</v>
      </c>
      <c r="D782" s="2" t="s">
        <v>1088</v>
      </c>
      <c r="E782" s="2" t="s">
        <v>40</v>
      </c>
      <c r="F782" s="2" t="s">
        <v>20</v>
      </c>
      <c r="G782" s="2" t="s">
        <v>2093</v>
      </c>
      <c r="H782" s="2"/>
      <c r="I782" s="2"/>
    </row>
    <row r="783" spans="1:9" x14ac:dyDescent="0.35">
      <c r="A783" s="2" t="s">
        <v>2066</v>
      </c>
      <c r="B783" s="2" t="s">
        <v>24</v>
      </c>
      <c r="C783" s="2" t="s">
        <v>2090</v>
      </c>
      <c r="D783" s="2" t="s">
        <v>18</v>
      </c>
      <c r="E783" s="2" t="s">
        <v>19</v>
      </c>
      <c r="F783" s="2" t="s">
        <v>20</v>
      </c>
      <c r="G783" s="2" t="s">
        <v>2094</v>
      </c>
      <c r="H783" s="2"/>
      <c r="I783" s="2"/>
    </row>
    <row r="784" spans="1:9" x14ac:dyDescent="0.35">
      <c r="A784" s="2" t="s">
        <v>2066</v>
      </c>
      <c r="B784" s="2" t="s">
        <v>24</v>
      </c>
      <c r="C784" s="2" t="s">
        <v>2090</v>
      </c>
      <c r="D784" s="2" t="s">
        <v>61</v>
      </c>
      <c r="E784" s="2" t="s">
        <v>30</v>
      </c>
      <c r="F784" s="2"/>
      <c r="G784" s="2"/>
      <c r="H784" s="2"/>
      <c r="I784" s="2"/>
    </row>
    <row r="785" spans="1:9" x14ac:dyDescent="0.35">
      <c r="A785" s="2" t="s">
        <v>2066</v>
      </c>
      <c r="B785" s="2" t="s">
        <v>24</v>
      </c>
      <c r="C785" s="2" t="s">
        <v>2090</v>
      </c>
      <c r="D785" s="2" t="s">
        <v>1803</v>
      </c>
      <c r="E785" s="2" t="s">
        <v>2095</v>
      </c>
      <c r="F785" s="2"/>
      <c r="G785" s="2"/>
      <c r="H785" s="2"/>
      <c r="I785" s="2"/>
    </row>
    <row r="786" spans="1:9" x14ac:dyDescent="0.35">
      <c r="A786" s="2" t="s">
        <v>2066</v>
      </c>
      <c r="B786" s="2" t="s">
        <v>24</v>
      </c>
      <c r="C786" s="2" t="s">
        <v>2090</v>
      </c>
      <c r="D786" s="2" t="s">
        <v>939</v>
      </c>
      <c r="E786" s="2" t="s">
        <v>65</v>
      </c>
      <c r="F786" s="2"/>
      <c r="G786" s="2"/>
      <c r="H786" s="2"/>
      <c r="I786" s="2"/>
    </row>
    <row r="787" spans="1:9" x14ac:dyDescent="0.35">
      <c r="A787" s="2" t="s">
        <v>2066</v>
      </c>
      <c r="B787" s="2" t="s">
        <v>24</v>
      </c>
      <c r="C787" s="2" t="s">
        <v>2090</v>
      </c>
      <c r="D787" s="2" t="s">
        <v>1982</v>
      </c>
      <c r="E787" s="2" t="s">
        <v>150</v>
      </c>
      <c r="F787" s="2"/>
      <c r="G787" s="2"/>
      <c r="H787" s="2"/>
      <c r="I787" s="2"/>
    </row>
    <row r="788" spans="1:9" x14ac:dyDescent="0.35">
      <c r="A788" s="2" t="s">
        <v>2066</v>
      </c>
      <c r="B788" s="2" t="s">
        <v>24</v>
      </c>
      <c r="C788" s="2" t="s">
        <v>2096</v>
      </c>
      <c r="D788" s="2" t="s">
        <v>1163</v>
      </c>
      <c r="E788" s="2" t="s">
        <v>201</v>
      </c>
      <c r="F788" s="2"/>
      <c r="G788" s="2"/>
      <c r="H788" s="2"/>
      <c r="I788" s="2"/>
    </row>
    <row r="789" spans="1:9" x14ac:dyDescent="0.35">
      <c r="A789" s="2" t="s">
        <v>2066</v>
      </c>
      <c r="B789" s="2" t="s">
        <v>24</v>
      </c>
      <c r="C789" s="2" t="s">
        <v>2096</v>
      </c>
      <c r="D789" s="2" t="s">
        <v>96</v>
      </c>
      <c r="E789" s="2" t="s">
        <v>83</v>
      </c>
      <c r="F789" s="2"/>
      <c r="G789" s="2"/>
      <c r="H789" s="2"/>
      <c r="I789" s="2"/>
    </row>
    <row r="790" spans="1:9" x14ac:dyDescent="0.35">
      <c r="A790" s="2" t="s">
        <v>2066</v>
      </c>
      <c r="B790" s="2" t="s">
        <v>24</v>
      </c>
      <c r="C790" s="2" t="s">
        <v>2096</v>
      </c>
      <c r="D790" s="2" t="s">
        <v>121</v>
      </c>
      <c r="E790" s="2" t="s">
        <v>122</v>
      </c>
      <c r="F790" s="2"/>
      <c r="G790" s="2"/>
      <c r="H790" s="2"/>
      <c r="I790" s="2"/>
    </row>
    <row r="791" spans="1:9" x14ac:dyDescent="0.35">
      <c r="A791" s="2" t="s">
        <v>2066</v>
      </c>
      <c r="B791" s="2" t="s">
        <v>24</v>
      </c>
      <c r="C791" s="2" t="s">
        <v>2096</v>
      </c>
      <c r="D791" s="2" t="s">
        <v>393</v>
      </c>
      <c r="E791" s="2" t="s">
        <v>36</v>
      </c>
      <c r="F791" s="2"/>
      <c r="G791" s="2"/>
      <c r="H791" s="2"/>
      <c r="I791" s="2"/>
    </row>
    <row r="792" spans="1:9" x14ac:dyDescent="0.35">
      <c r="A792" s="2" t="s">
        <v>2066</v>
      </c>
      <c r="B792" s="2" t="s">
        <v>24</v>
      </c>
      <c r="C792" s="2" t="s">
        <v>2096</v>
      </c>
      <c r="D792" s="2" t="s">
        <v>18</v>
      </c>
      <c r="E792" s="2" t="s">
        <v>19</v>
      </c>
      <c r="F792" s="2" t="s">
        <v>20</v>
      </c>
      <c r="G792" s="2" t="s">
        <v>2097</v>
      </c>
      <c r="H792" s="2"/>
      <c r="I792" s="2"/>
    </row>
    <row r="793" spans="1:9" x14ac:dyDescent="0.35">
      <c r="A793" s="2" t="s">
        <v>2066</v>
      </c>
      <c r="B793" s="2" t="s">
        <v>24</v>
      </c>
      <c r="C793" s="2" t="s">
        <v>2098</v>
      </c>
      <c r="D793" s="2" t="s">
        <v>14</v>
      </c>
      <c r="E793" s="2" t="s">
        <v>15</v>
      </c>
      <c r="F793" s="2"/>
      <c r="G793" s="2"/>
      <c r="H793" s="2"/>
      <c r="I793" s="2"/>
    </row>
    <row r="794" spans="1:9" x14ac:dyDescent="0.35">
      <c r="A794" s="2" t="s">
        <v>2066</v>
      </c>
      <c r="B794" s="2" t="s">
        <v>24</v>
      </c>
      <c r="C794" s="2" t="s">
        <v>2098</v>
      </c>
      <c r="D794" s="2" t="s">
        <v>98</v>
      </c>
      <c r="E794" s="2" t="s">
        <v>98</v>
      </c>
      <c r="F794" s="2"/>
      <c r="G794" s="2"/>
      <c r="H794" s="2"/>
      <c r="I794" s="2"/>
    </row>
    <row r="795" spans="1:9" x14ac:dyDescent="0.35">
      <c r="A795" s="2" t="s">
        <v>2066</v>
      </c>
      <c r="B795" s="2" t="s">
        <v>24</v>
      </c>
      <c r="C795" s="2" t="s">
        <v>2098</v>
      </c>
      <c r="D795" s="2" t="s">
        <v>438</v>
      </c>
      <c r="E795" s="2" t="s">
        <v>19</v>
      </c>
      <c r="F795" s="2" t="s">
        <v>20</v>
      </c>
      <c r="G795" s="2" t="s">
        <v>1977</v>
      </c>
      <c r="H795" s="2"/>
      <c r="I795" s="2"/>
    </row>
    <row r="796" spans="1:9" x14ac:dyDescent="0.35">
      <c r="A796" s="2" t="s">
        <v>2066</v>
      </c>
      <c r="B796" s="2" t="s">
        <v>24</v>
      </c>
      <c r="C796" s="2" t="s">
        <v>2098</v>
      </c>
      <c r="D796" s="2" t="s">
        <v>89</v>
      </c>
      <c r="E796" s="2" t="s">
        <v>45</v>
      </c>
      <c r="F796" s="2" t="s">
        <v>20</v>
      </c>
      <c r="G796" s="2" t="s">
        <v>1977</v>
      </c>
      <c r="H796" s="2"/>
      <c r="I796" s="2"/>
    </row>
    <row r="797" spans="1:9" x14ac:dyDescent="0.35">
      <c r="A797" s="2" t="s">
        <v>2066</v>
      </c>
      <c r="B797" s="2" t="s">
        <v>24</v>
      </c>
      <c r="C797" s="2" t="s">
        <v>2098</v>
      </c>
      <c r="D797" s="2" t="s">
        <v>61</v>
      </c>
      <c r="E797" s="2" t="s">
        <v>30</v>
      </c>
      <c r="F797" s="2"/>
      <c r="G797" s="2"/>
      <c r="H797" s="2"/>
      <c r="I797" s="2"/>
    </row>
    <row r="798" spans="1:9" x14ac:dyDescent="0.35">
      <c r="A798" s="2" t="s">
        <v>2066</v>
      </c>
      <c r="B798" s="2" t="s">
        <v>62</v>
      </c>
      <c r="C798" s="2" t="s">
        <v>2099</v>
      </c>
      <c r="D798" s="2" t="s">
        <v>74</v>
      </c>
      <c r="E798" s="2" t="s">
        <v>75</v>
      </c>
      <c r="F798" s="2"/>
      <c r="G798" s="2"/>
      <c r="H798" s="2"/>
      <c r="I798" s="2"/>
    </row>
    <row r="799" spans="1:9" x14ac:dyDescent="0.35">
      <c r="A799" s="2" t="s">
        <v>2066</v>
      </c>
      <c r="B799" s="2" t="s">
        <v>62</v>
      </c>
      <c r="C799" s="2" t="s">
        <v>2099</v>
      </c>
      <c r="D799" s="2" t="s">
        <v>31</v>
      </c>
      <c r="E799" s="2" t="s">
        <v>32</v>
      </c>
      <c r="F799" s="2"/>
      <c r="G799" s="2"/>
      <c r="H799" s="2"/>
      <c r="I799" s="2"/>
    </row>
    <row r="800" spans="1:9" x14ac:dyDescent="0.35">
      <c r="A800" s="2" t="s">
        <v>2066</v>
      </c>
      <c r="B800" s="2" t="s">
        <v>62</v>
      </c>
      <c r="C800" s="2" t="s">
        <v>2099</v>
      </c>
      <c r="D800" s="2" t="s">
        <v>172</v>
      </c>
      <c r="E800" s="2" t="s">
        <v>65</v>
      </c>
      <c r="F800" s="2"/>
      <c r="G800" s="2"/>
      <c r="H800" s="2"/>
      <c r="I800" s="2"/>
    </row>
    <row r="801" spans="1:9" x14ac:dyDescent="0.35">
      <c r="A801" s="2" t="s">
        <v>2066</v>
      </c>
      <c r="B801" s="2" t="s">
        <v>62</v>
      </c>
      <c r="C801" s="2" t="s">
        <v>2099</v>
      </c>
      <c r="D801" s="2" t="s">
        <v>1444</v>
      </c>
      <c r="E801" s="2" t="s">
        <v>83</v>
      </c>
      <c r="F801" s="2"/>
      <c r="G801" s="2"/>
      <c r="H801" s="2"/>
      <c r="I801" s="2"/>
    </row>
    <row r="802" spans="1:9" x14ac:dyDescent="0.35">
      <c r="A802" s="2" t="s">
        <v>2066</v>
      </c>
      <c r="B802" s="2" t="s">
        <v>62</v>
      </c>
      <c r="C802" s="2" t="s">
        <v>2099</v>
      </c>
      <c r="D802" s="2" t="s">
        <v>18</v>
      </c>
      <c r="E802" s="2" t="s">
        <v>19</v>
      </c>
      <c r="F802" s="2"/>
      <c r="G802" s="2"/>
      <c r="H802" s="2"/>
      <c r="I802" s="2"/>
    </row>
    <row r="803" spans="1:9" x14ac:dyDescent="0.35">
      <c r="A803" s="2" t="s">
        <v>2066</v>
      </c>
      <c r="B803" s="2" t="s">
        <v>62</v>
      </c>
      <c r="C803" s="2" t="s">
        <v>2099</v>
      </c>
      <c r="D803" s="2" t="s">
        <v>2100</v>
      </c>
      <c r="E803" s="2" t="s">
        <v>75</v>
      </c>
      <c r="F803" s="2"/>
      <c r="G803" s="2"/>
      <c r="H803" s="2"/>
      <c r="I803" s="2"/>
    </row>
    <row r="804" spans="1:9" x14ac:dyDescent="0.35">
      <c r="A804" s="2" t="s">
        <v>2066</v>
      </c>
      <c r="B804" s="2" t="s">
        <v>62</v>
      </c>
      <c r="C804" s="2" t="s">
        <v>2099</v>
      </c>
      <c r="D804" s="2" t="s">
        <v>352</v>
      </c>
      <c r="E804" s="2" t="s">
        <v>107</v>
      </c>
      <c r="F804" s="2"/>
      <c r="G804" s="2"/>
      <c r="H804" s="2"/>
      <c r="I804" s="2"/>
    </row>
    <row r="805" spans="1:9" x14ac:dyDescent="0.35">
      <c r="A805" s="2" t="s">
        <v>2066</v>
      </c>
      <c r="B805" s="2" t="s">
        <v>62</v>
      </c>
      <c r="C805" s="2" t="s">
        <v>2099</v>
      </c>
      <c r="D805" s="2" t="s">
        <v>1982</v>
      </c>
      <c r="E805" s="2" t="s">
        <v>150</v>
      </c>
      <c r="F805" s="2"/>
      <c r="G805" s="2"/>
      <c r="H805" s="2"/>
      <c r="I805" s="2"/>
    </row>
    <row r="806" spans="1:9" x14ac:dyDescent="0.35">
      <c r="A806" s="2" t="s">
        <v>2066</v>
      </c>
      <c r="B806" s="2" t="s">
        <v>62</v>
      </c>
      <c r="C806" s="2" t="s">
        <v>2099</v>
      </c>
      <c r="D806" s="2" t="s">
        <v>1283</v>
      </c>
      <c r="E806" s="2" t="s">
        <v>65</v>
      </c>
      <c r="F806" s="2"/>
      <c r="G806" s="2"/>
      <c r="H806" s="2"/>
      <c r="I806" s="2"/>
    </row>
    <row r="807" spans="1:9" x14ac:dyDescent="0.35">
      <c r="A807" s="2" t="s">
        <v>2066</v>
      </c>
      <c r="B807" s="2" t="s">
        <v>12</v>
      </c>
      <c r="C807" s="2" t="s">
        <v>2101</v>
      </c>
      <c r="D807" s="2" t="s">
        <v>74</v>
      </c>
      <c r="E807" s="2" t="s">
        <v>75</v>
      </c>
      <c r="F807" s="2"/>
      <c r="G807" s="2"/>
      <c r="H807" s="2"/>
      <c r="I807" s="2"/>
    </row>
    <row r="808" spans="1:9" x14ac:dyDescent="0.35">
      <c r="A808" s="2" t="s">
        <v>2102</v>
      </c>
      <c r="B808" s="2" t="s">
        <v>54</v>
      </c>
      <c r="C808" s="2" t="s">
        <v>2103</v>
      </c>
      <c r="D808" s="2" t="s">
        <v>130</v>
      </c>
      <c r="E808" s="2" t="s">
        <v>36</v>
      </c>
      <c r="F808" s="2"/>
      <c r="G808" s="2"/>
      <c r="H808" s="2"/>
      <c r="I808" s="2"/>
    </row>
    <row r="809" spans="1:9" x14ac:dyDescent="0.35">
      <c r="A809" s="2" t="s">
        <v>2102</v>
      </c>
      <c r="B809" s="2" t="s">
        <v>54</v>
      </c>
      <c r="C809" s="2" t="s">
        <v>2103</v>
      </c>
      <c r="D809" s="2" t="s">
        <v>91</v>
      </c>
      <c r="E809" s="2" t="s">
        <v>19</v>
      </c>
      <c r="F809" s="2"/>
      <c r="G809" s="2"/>
      <c r="H809" s="2"/>
      <c r="I809" s="2"/>
    </row>
    <row r="810" spans="1:9" x14ac:dyDescent="0.35">
      <c r="A810" s="2" t="s">
        <v>2102</v>
      </c>
      <c r="B810" s="2" t="s">
        <v>54</v>
      </c>
      <c r="C810" s="2" t="s">
        <v>2103</v>
      </c>
      <c r="D810" s="2" t="s">
        <v>89</v>
      </c>
      <c r="E810" s="2" t="s">
        <v>45</v>
      </c>
      <c r="F810" s="2"/>
      <c r="G810" s="2"/>
      <c r="H810" s="2"/>
      <c r="I810" s="2"/>
    </row>
    <row r="811" spans="1:9" x14ac:dyDescent="0.35">
      <c r="A811" s="2" t="s">
        <v>2102</v>
      </c>
      <c r="B811" s="2" t="s">
        <v>57</v>
      </c>
      <c r="C811" s="2" t="s">
        <v>2104</v>
      </c>
      <c r="D811" s="2" t="s">
        <v>417</v>
      </c>
      <c r="E811" s="2" t="s">
        <v>40</v>
      </c>
      <c r="F811" s="2"/>
      <c r="G811" s="2"/>
      <c r="H811" s="2" t="s">
        <v>20</v>
      </c>
      <c r="I811" s="2" t="s">
        <v>2105</v>
      </c>
    </row>
    <row r="812" spans="1:9" x14ac:dyDescent="0.35">
      <c r="A812" s="2" t="s">
        <v>2102</v>
      </c>
      <c r="B812" s="2" t="s">
        <v>57</v>
      </c>
      <c r="C812" s="2" t="s">
        <v>2104</v>
      </c>
      <c r="D812" s="2" t="s">
        <v>18</v>
      </c>
      <c r="E812" s="2" t="s">
        <v>19</v>
      </c>
      <c r="F812" s="2" t="s">
        <v>20</v>
      </c>
      <c r="G812" s="2" t="s">
        <v>2009</v>
      </c>
      <c r="H812" s="2" t="s">
        <v>20</v>
      </c>
      <c r="I812" s="2" t="s">
        <v>2105</v>
      </c>
    </row>
    <row r="813" spans="1:9" x14ac:dyDescent="0.35">
      <c r="A813" s="2" t="s">
        <v>2102</v>
      </c>
      <c r="B813" s="2" t="s">
        <v>57</v>
      </c>
      <c r="C813" s="2" t="s">
        <v>2104</v>
      </c>
      <c r="D813" s="2" t="s">
        <v>1681</v>
      </c>
      <c r="E813" s="2" t="s">
        <v>1650</v>
      </c>
      <c r="F813" s="2"/>
      <c r="G813" s="2"/>
      <c r="H813" s="2" t="s">
        <v>20</v>
      </c>
      <c r="I813" s="2" t="s">
        <v>2105</v>
      </c>
    </row>
    <row r="814" spans="1:9" x14ac:dyDescent="0.35">
      <c r="A814" s="2" t="s">
        <v>2102</v>
      </c>
      <c r="B814" s="2" t="s">
        <v>24</v>
      </c>
      <c r="C814" s="2" t="s">
        <v>2106</v>
      </c>
      <c r="D814" s="2" t="s">
        <v>136</v>
      </c>
      <c r="E814" s="2" t="s">
        <v>1650</v>
      </c>
      <c r="F814" s="2"/>
      <c r="G814" s="2"/>
      <c r="H814" s="2" t="s">
        <v>20</v>
      </c>
      <c r="I814" s="2" t="s">
        <v>2105</v>
      </c>
    </row>
    <row r="815" spans="1:9" x14ac:dyDescent="0.35">
      <c r="A815" s="2" t="s">
        <v>2102</v>
      </c>
      <c r="B815" s="2" t="s">
        <v>24</v>
      </c>
      <c r="C815" s="2" t="s">
        <v>2106</v>
      </c>
      <c r="D815" s="2" t="s">
        <v>35</v>
      </c>
      <c r="E815" s="2" t="s">
        <v>36</v>
      </c>
      <c r="F815" s="2"/>
      <c r="G815" s="2"/>
      <c r="H815" s="2" t="s">
        <v>20</v>
      </c>
      <c r="I815" s="2" t="s">
        <v>2105</v>
      </c>
    </row>
    <row r="816" spans="1:9" x14ac:dyDescent="0.35">
      <c r="A816" s="2" t="s">
        <v>2102</v>
      </c>
      <c r="B816" s="2" t="s">
        <v>24</v>
      </c>
      <c r="C816" s="2" t="s">
        <v>2106</v>
      </c>
      <c r="D816" s="2" t="s">
        <v>91</v>
      </c>
      <c r="E816" s="2" t="s">
        <v>19</v>
      </c>
      <c r="F816" s="2" t="s">
        <v>20</v>
      </c>
      <c r="G816" s="2" t="s">
        <v>2107</v>
      </c>
      <c r="H816" s="2" t="s">
        <v>20</v>
      </c>
      <c r="I816" s="2" t="s">
        <v>2105</v>
      </c>
    </row>
    <row r="817" spans="1:9" x14ac:dyDescent="0.35">
      <c r="A817" s="2" t="s">
        <v>2102</v>
      </c>
      <c r="B817" s="2" t="s">
        <v>54</v>
      </c>
      <c r="C817" s="2" t="s">
        <v>2108</v>
      </c>
      <c r="D817" s="2" t="s">
        <v>2109</v>
      </c>
      <c r="E817" s="2" t="s">
        <v>15</v>
      </c>
      <c r="F817" s="2"/>
      <c r="G817" s="2"/>
      <c r="H817" s="2"/>
      <c r="I817" s="2"/>
    </row>
    <row r="818" spans="1:9" x14ac:dyDescent="0.35">
      <c r="A818" s="2" t="s">
        <v>2102</v>
      </c>
      <c r="B818" s="2" t="s">
        <v>54</v>
      </c>
      <c r="C818" s="2" t="s">
        <v>2108</v>
      </c>
      <c r="D818" s="2" t="s">
        <v>18</v>
      </c>
      <c r="E818" s="2" t="s">
        <v>19</v>
      </c>
      <c r="F818" s="2"/>
      <c r="G818" s="2"/>
      <c r="H818" s="2"/>
      <c r="I818" s="2"/>
    </row>
    <row r="819" spans="1:9" x14ac:dyDescent="0.35">
      <c r="A819" s="2" t="s">
        <v>2102</v>
      </c>
      <c r="B819" s="2" t="s">
        <v>54</v>
      </c>
      <c r="C819" s="2" t="s">
        <v>2108</v>
      </c>
      <c r="D819" s="2" t="s">
        <v>121</v>
      </c>
      <c r="E819" s="2" t="s">
        <v>122</v>
      </c>
      <c r="F819" s="2"/>
      <c r="G819" s="2"/>
      <c r="H819" s="2"/>
      <c r="I819" s="2"/>
    </row>
    <row r="820" spans="1:9" x14ac:dyDescent="0.35">
      <c r="A820" s="2" t="s">
        <v>2102</v>
      </c>
      <c r="B820" s="2" t="s">
        <v>12</v>
      </c>
      <c r="C820" s="2" t="s">
        <v>2110</v>
      </c>
      <c r="D820" s="2" t="s">
        <v>130</v>
      </c>
      <c r="E820" s="2" t="s">
        <v>36</v>
      </c>
      <c r="F820" s="2"/>
      <c r="G820" s="2"/>
      <c r="H820" s="2" t="s">
        <v>20</v>
      </c>
      <c r="I820" s="2" t="s">
        <v>2105</v>
      </c>
    </row>
    <row r="821" spans="1:9" x14ac:dyDescent="0.35">
      <c r="A821" s="2" t="s">
        <v>2102</v>
      </c>
      <c r="B821" s="2" t="s">
        <v>12</v>
      </c>
      <c r="C821" s="2" t="s">
        <v>2110</v>
      </c>
      <c r="D821" s="2" t="s">
        <v>91</v>
      </c>
      <c r="E821" s="2" t="s">
        <v>19</v>
      </c>
      <c r="F821" s="2" t="s">
        <v>20</v>
      </c>
      <c r="G821" s="2" t="s">
        <v>2111</v>
      </c>
      <c r="H821" s="2" t="s">
        <v>20</v>
      </c>
      <c r="I821" s="2" t="s">
        <v>2105</v>
      </c>
    </row>
    <row r="822" spans="1:9" x14ac:dyDescent="0.35">
      <c r="A822" s="2" t="s">
        <v>2102</v>
      </c>
      <c r="B822" s="2" t="s">
        <v>12</v>
      </c>
      <c r="C822" s="2" t="s">
        <v>2110</v>
      </c>
      <c r="D822" s="2" t="s">
        <v>87</v>
      </c>
      <c r="E822" s="2" t="s">
        <v>75</v>
      </c>
      <c r="F822" s="2" t="s">
        <v>20</v>
      </c>
      <c r="G822" s="2" t="s">
        <v>2112</v>
      </c>
      <c r="H822" s="2" t="s">
        <v>20</v>
      </c>
      <c r="I822" s="2" t="s">
        <v>2105</v>
      </c>
    </row>
    <row r="823" spans="1:9" x14ac:dyDescent="0.35">
      <c r="A823" s="2" t="s">
        <v>2102</v>
      </c>
      <c r="B823" s="2" t="s">
        <v>12</v>
      </c>
      <c r="C823" s="2" t="s">
        <v>2110</v>
      </c>
      <c r="D823" s="2" t="s">
        <v>61</v>
      </c>
      <c r="E823" s="2" t="s">
        <v>30</v>
      </c>
      <c r="F823" s="2"/>
      <c r="G823" s="2"/>
      <c r="H823" s="2" t="s">
        <v>20</v>
      </c>
      <c r="I823" s="2" t="s">
        <v>2105</v>
      </c>
    </row>
    <row r="824" spans="1:9" x14ac:dyDescent="0.35">
      <c r="A824" s="2" t="s">
        <v>2102</v>
      </c>
      <c r="B824" s="2" t="s">
        <v>54</v>
      </c>
      <c r="C824" s="2" t="s">
        <v>2113</v>
      </c>
      <c r="D824" s="2" t="s">
        <v>91</v>
      </c>
      <c r="E824" s="2" t="s">
        <v>19</v>
      </c>
      <c r="F824" s="2"/>
      <c r="G824" s="2"/>
      <c r="H824" s="2" t="s">
        <v>20</v>
      </c>
      <c r="I824" s="2" t="s">
        <v>2105</v>
      </c>
    </row>
    <row r="825" spans="1:9" x14ac:dyDescent="0.35">
      <c r="A825" s="2" t="s">
        <v>2102</v>
      </c>
      <c r="B825" s="2" t="s">
        <v>54</v>
      </c>
      <c r="C825" s="2" t="s">
        <v>2114</v>
      </c>
      <c r="D825" s="2" t="s">
        <v>155</v>
      </c>
      <c r="E825" s="2" t="s">
        <v>32</v>
      </c>
      <c r="F825" s="2"/>
      <c r="G825" s="2"/>
      <c r="H825" s="2" t="s">
        <v>20</v>
      </c>
      <c r="I825" s="2" t="s">
        <v>2105</v>
      </c>
    </row>
    <row r="826" spans="1:9" x14ac:dyDescent="0.35">
      <c r="A826" s="2" t="s">
        <v>2102</v>
      </c>
      <c r="B826" s="2" t="s">
        <v>54</v>
      </c>
      <c r="C826" s="2" t="s">
        <v>2114</v>
      </c>
      <c r="D826" s="2" t="s">
        <v>91</v>
      </c>
      <c r="E826" s="2" t="s">
        <v>19</v>
      </c>
      <c r="F826" s="2" t="s">
        <v>20</v>
      </c>
      <c r="G826" s="2" t="s">
        <v>1823</v>
      </c>
      <c r="H826" s="2" t="s">
        <v>20</v>
      </c>
      <c r="I826" s="2" t="s">
        <v>2105</v>
      </c>
    </row>
    <row r="827" spans="1:9" x14ac:dyDescent="0.35">
      <c r="A827" s="2" t="s">
        <v>2102</v>
      </c>
      <c r="B827" s="2" t="s">
        <v>54</v>
      </c>
      <c r="C827" s="2" t="s">
        <v>2114</v>
      </c>
      <c r="D827" s="2" t="s">
        <v>1681</v>
      </c>
      <c r="E827" s="2" t="s">
        <v>1650</v>
      </c>
      <c r="F827" s="2"/>
      <c r="G827" s="2"/>
      <c r="H827" s="2" t="s">
        <v>20</v>
      </c>
      <c r="I827" s="2" t="s">
        <v>2105</v>
      </c>
    </row>
    <row r="828" spans="1:9" x14ac:dyDescent="0.35">
      <c r="A828" s="2" t="s">
        <v>2102</v>
      </c>
      <c r="B828" s="2" t="s">
        <v>24</v>
      </c>
      <c r="C828" s="2" t="s">
        <v>2115</v>
      </c>
      <c r="D828" s="2" t="s">
        <v>155</v>
      </c>
      <c r="E828" s="2" t="s">
        <v>32</v>
      </c>
      <c r="F828" s="2"/>
      <c r="G828" s="2"/>
      <c r="H828" s="2" t="s">
        <v>20</v>
      </c>
      <c r="I828" s="2" t="s">
        <v>2105</v>
      </c>
    </row>
    <row r="829" spans="1:9" x14ac:dyDescent="0.35">
      <c r="A829" s="2" t="s">
        <v>2102</v>
      </c>
      <c r="B829" s="2" t="s">
        <v>24</v>
      </c>
      <c r="C829" s="2" t="s">
        <v>2115</v>
      </c>
      <c r="D829" s="2" t="s">
        <v>487</v>
      </c>
      <c r="E829" s="2" t="s">
        <v>75</v>
      </c>
      <c r="F829" s="2"/>
      <c r="G829" s="2"/>
      <c r="H829" s="2" t="s">
        <v>20</v>
      </c>
      <c r="I829" s="2" t="s">
        <v>2105</v>
      </c>
    </row>
    <row r="830" spans="1:9" x14ac:dyDescent="0.35">
      <c r="A830" s="2" t="s">
        <v>2102</v>
      </c>
      <c r="B830" s="2" t="s">
        <v>24</v>
      </c>
      <c r="C830" s="2" t="s">
        <v>2115</v>
      </c>
      <c r="D830" s="2" t="s">
        <v>18</v>
      </c>
      <c r="E830" s="2" t="s">
        <v>19</v>
      </c>
      <c r="F830" s="2" t="s">
        <v>20</v>
      </c>
      <c r="G830" s="2" t="s">
        <v>1914</v>
      </c>
      <c r="H830" s="2" t="s">
        <v>20</v>
      </c>
      <c r="I830" s="2" t="s">
        <v>2105</v>
      </c>
    </row>
    <row r="831" spans="1:9" x14ac:dyDescent="0.35">
      <c r="A831" s="2" t="s">
        <v>2102</v>
      </c>
      <c r="B831" s="2" t="s">
        <v>24</v>
      </c>
      <c r="C831" s="2" t="s">
        <v>2116</v>
      </c>
      <c r="D831" s="2" t="s">
        <v>2117</v>
      </c>
      <c r="E831" s="2" t="s">
        <v>32</v>
      </c>
      <c r="F831" s="2"/>
      <c r="G831" s="2"/>
      <c r="H831" s="2" t="s">
        <v>20</v>
      </c>
      <c r="I831" s="2" t="s">
        <v>2105</v>
      </c>
    </row>
    <row r="832" spans="1:9" x14ac:dyDescent="0.35">
      <c r="A832" s="2" t="s">
        <v>2102</v>
      </c>
      <c r="B832" s="2" t="s">
        <v>24</v>
      </c>
      <c r="C832" s="2" t="s">
        <v>2116</v>
      </c>
      <c r="D832" s="2" t="s">
        <v>121</v>
      </c>
      <c r="E832" s="2" t="s">
        <v>122</v>
      </c>
      <c r="F832" s="2"/>
      <c r="G832" s="2"/>
      <c r="H832" s="2" t="s">
        <v>20</v>
      </c>
      <c r="I832" s="2" t="s">
        <v>2105</v>
      </c>
    </row>
    <row r="833" spans="1:9" x14ac:dyDescent="0.35">
      <c r="A833" s="2" t="s">
        <v>2102</v>
      </c>
      <c r="B833" s="2" t="s">
        <v>24</v>
      </c>
      <c r="C833" s="2" t="s">
        <v>2116</v>
      </c>
      <c r="D833" s="2" t="s">
        <v>18</v>
      </c>
      <c r="E833" s="2" t="s">
        <v>19</v>
      </c>
      <c r="F833" s="2" t="s">
        <v>20</v>
      </c>
      <c r="G833" s="2" t="s">
        <v>1914</v>
      </c>
      <c r="H833" s="2" t="s">
        <v>20</v>
      </c>
      <c r="I833" s="2" t="s">
        <v>2105</v>
      </c>
    </row>
    <row r="834" spans="1:9" x14ac:dyDescent="0.35">
      <c r="A834" s="2" t="s">
        <v>2102</v>
      </c>
      <c r="B834" s="2" t="s">
        <v>24</v>
      </c>
      <c r="C834" s="2" t="s">
        <v>2116</v>
      </c>
      <c r="D834" s="2" t="s">
        <v>61</v>
      </c>
      <c r="E834" s="2" t="s">
        <v>30</v>
      </c>
      <c r="F834" s="2"/>
      <c r="G834" s="2"/>
      <c r="H834" s="2" t="s">
        <v>20</v>
      </c>
      <c r="I834" s="2" t="s">
        <v>2105</v>
      </c>
    </row>
    <row r="835" spans="1:9" x14ac:dyDescent="0.35">
      <c r="A835" s="2" t="s">
        <v>2102</v>
      </c>
      <c r="B835" s="2" t="s">
        <v>24</v>
      </c>
      <c r="C835" s="2" t="s">
        <v>2116</v>
      </c>
      <c r="D835" s="2" t="s">
        <v>1681</v>
      </c>
      <c r="E835" s="2" t="s">
        <v>1650</v>
      </c>
      <c r="F835" s="2"/>
      <c r="G835" s="2"/>
      <c r="H835" s="2" t="s">
        <v>20</v>
      </c>
      <c r="I835" s="2" t="s">
        <v>2105</v>
      </c>
    </row>
    <row r="836" spans="1:9" x14ac:dyDescent="0.35">
      <c r="A836" s="2" t="s">
        <v>2102</v>
      </c>
      <c r="B836" s="2" t="s">
        <v>12</v>
      </c>
      <c r="C836" s="2" t="s">
        <v>2118</v>
      </c>
      <c r="D836" s="2" t="s">
        <v>1172</v>
      </c>
      <c r="E836" s="2" t="s">
        <v>1650</v>
      </c>
      <c r="F836" s="2"/>
      <c r="G836" s="2"/>
      <c r="H836" s="2" t="s">
        <v>20</v>
      </c>
      <c r="I836" s="2" t="s">
        <v>2105</v>
      </c>
    </row>
    <row r="837" spans="1:9" x14ac:dyDescent="0.35">
      <c r="A837" s="2" t="s">
        <v>2102</v>
      </c>
      <c r="B837" s="2" t="s">
        <v>62</v>
      </c>
      <c r="C837" s="2" t="s">
        <v>2119</v>
      </c>
      <c r="D837" s="2" t="s">
        <v>2109</v>
      </c>
      <c r="E837" s="2" t="s">
        <v>15</v>
      </c>
      <c r="F837" s="2"/>
      <c r="G837" s="2"/>
      <c r="H837" s="2" t="s">
        <v>20</v>
      </c>
      <c r="I837" s="2" t="s">
        <v>2105</v>
      </c>
    </row>
    <row r="838" spans="1:9" x14ac:dyDescent="0.35">
      <c r="A838" s="2" t="s">
        <v>2102</v>
      </c>
      <c r="B838" s="2" t="s">
        <v>62</v>
      </c>
      <c r="C838" s="2" t="s">
        <v>2119</v>
      </c>
      <c r="D838" s="2" t="s">
        <v>87</v>
      </c>
      <c r="E838" s="2" t="s">
        <v>75</v>
      </c>
      <c r="F838" s="2" t="s">
        <v>20</v>
      </c>
      <c r="G838" s="2" t="s">
        <v>2120</v>
      </c>
      <c r="H838" s="2" t="s">
        <v>20</v>
      </c>
      <c r="I838" s="2" t="s">
        <v>2105</v>
      </c>
    </row>
    <row r="839" spans="1:9" x14ac:dyDescent="0.35">
      <c r="A839" s="2" t="s">
        <v>2102</v>
      </c>
      <c r="B839" s="2" t="s">
        <v>62</v>
      </c>
      <c r="C839" s="2" t="s">
        <v>2119</v>
      </c>
      <c r="D839" s="2" t="s">
        <v>564</v>
      </c>
      <c r="E839" s="2" t="s">
        <v>78</v>
      </c>
      <c r="F839" s="2"/>
      <c r="G839" s="2"/>
      <c r="H839" s="2" t="s">
        <v>20</v>
      </c>
      <c r="I839" s="2" t="s">
        <v>2105</v>
      </c>
    </row>
    <row r="840" spans="1:9" x14ac:dyDescent="0.35">
      <c r="A840" s="2" t="s">
        <v>2102</v>
      </c>
      <c r="B840" s="2" t="s">
        <v>62</v>
      </c>
      <c r="C840" s="2" t="s">
        <v>2119</v>
      </c>
      <c r="D840" s="2" t="s">
        <v>61</v>
      </c>
      <c r="E840" s="2" t="s">
        <v>30</v>
      </c>
      <c r="F840" s="2"/>
      <c r="G840" s="2"/>
      <c r="H840" s="2" t="s">
        <v>20</v>
      </c>
      <c r="I840" s="2" t="s">
        <v>2105</v>
      </c>
    </row>
    <row r="841" spans="1:9" x14ac:dyDescent="0.35">
      <c r="A841" s="2" t="s">
        <v>2102</v>
      </c>
      <c r="B841" s="2" t="s">
        <v>54</v>
      </c>
      <c r="C841" s="2" t="s">
        <v>2121</v>
      </c>
      <c r="D841" s="2" t="s">
        <v>14</v>
      </c>
      <c r="E841" s="2" t="s">
        <v>15</v>
      </c>
      <c r="F841" s="2"/>
      <c r="G841" s="2"/>
      <c r="H841" s="2" t="s">
        <v>20</v>
      </c>
      <c r="I841" s="2" t="s">
        <v>2105</v>
      </c>
    </row>
    <row r="842" spans="1:9" x14ac:dyDescent="0.35">
      <c r="A842" s="2" t="s">
        <v>2102</v>
      </c>
      <c r="B842" s="2" t="s">
        <v>54</v>
      </c>
      <c r="C842" s="2" t="s">
        <v>2121</v>
      </c>
      <c r="D842" s="2" t="s">
        <v>393</v>
      </c>
      <c r="E842" s="2" t="s">
        <v>36</v>
      </c>
      <c r="F842" s="2"/>
      <c r="G842" s="2"/>
      <c r="H842" s="2" t="s">
        <v>20</v>
      </c>
      <c r="I842" s="2" t="s">
        <v>2105</v>
      </c>
    </row>
    <row r="843" spans="1:9" x14ac:dyDescent="0.35">
      <c r="A843" s="2" t="s">
        <v>2102</v>
      </c>
      <c r="B843" s="2" t="s">
        <v>54</v>
      </c>
      <c r="C843" s="2" t="s">
        <v>2121</v>
      </c>
      <c r="D843" s="2" t="s">
        <v>77</v>
      </c>
      <c r="E843" s="2" t="s">
        <v>78</v>
      </c>
      <c r="F843" s="2"/>
      <c r="G843" s="2"/>
      <c r="H843" s="2" t="s">
        <v>20</v>
      </c>
      <c r="I843" s="2" t="s">
        <v>2105</v>
      </c>
    </row>
    <row r="844" spans="1:9" x14ac:dyDescent="0.35">
      <c r="A844" s="2" t="s">
        <v>2102</v>
      </c>
      <c r="B844" s="2" t="s">
        <v>62</v>
      </c>
      <c r="C844" s="2" t="s">
        <v>2122</v>
      </c>
      <c r="D844" s="2" t="s">
        <v>74</v>
      </c>
      <c r="E844" s="2" t="s">
        <v>75</v>
      </c>
      <c r="F844" s="2" t="s">
        <v>20</v>
      </c>
      <c r="G844" s="2" t="s">
        <v>2123</v>
      </c>
      <c r="H844" s="2" t="s">
        <v>20</v>
      </c>
      <c r="I844" s="2" t="s">
        <v>2105</v>
      </c>
    </row>
    <row r="845" spans="1:9" x14ac:dyDescent="0.35">
      <c r="A845" s="2" t="s">
        <v>2102</v>
      </c>
      <c r="B845" s="2" t="s">
        <v>62</v>
      </c>
      <c r="C845" s="2" t="s">
        <v>2122</v>
      </c>
      <c r="D845" s="2" t="s">
        <v>18</v>
      </c>
      <c r="E845" s="2" t="s">
        <v>19</v>
      </c>
      <c r="F845" s="2" t="s">
        <v>20</v>
      </c>
      <c r="G845" s="2" t="s">
        <v>2123</v>
      </c>
      <c r="H845" s="2" t="s">
        <v>20</v>
      </c>
      <c r="I845" s="2" t="s">
        <v>2105</v>
      </c>
    </row>
    <row r="846" spans="1:9" x14ac:dyDescent="0.35">
      <c r="A846" s="2" t="s">
        <v>2102</v>
      </c>
      <c r="B846" s="2" t="s">
        <v>62</v>
      </c>
      <c r="C846" s="2" t="s">
        <v>2122</v>
      </c>
      <c r="D846" s="2" t="s">
        <v>1681</v>
      </c>
      <c r="E846" s="2" t="s">
        <v>1650</v>
      </c>
      <c r="F846" s="2"/>
      <c r="G846" s="2"/>
      <c r="H846" s="2" t="s">
        <v>20</v>
      </c>
      <c r="I846" s="2" t="s">
        <v>2105</v>
      </c>
    </row>
    <row r="847" spans="1:9" x14ac:dyDescent="0.35">
      <c r="A847" s="2" t="s">
        <v>2102</v>
      </c>
      <c r="B847" s="2" t="s">
        <v>54</v>
      </c>
      <c r="C847" s="2" t="s">
        <v>2124</v>
      </c>
      <c r="D847" s="2" t="s">
        <v>487</v>
      </c>
      <c r="E847" s="2" t="s">
        <v>75</v>
      </c>
      <c r="F847" s="2" t="s">
        <v>20</v>
      </c>
      <c r="G847" s="2" t="s">
        <v>2125</v>
      </c>
      <c r="H847" s="2" t="s">
        <v>20</v>
      </c>
      <c r="I847" s="2" t="s">
        <v>2105</v>
      </c>
    </row>
    <row r="848" spans="1:9" x14ac:dyDescent="0.35">
      <c r="A848" s="2" t="s">
        <v>2102</v>
      </c>
      <c r="B848" s="2" t="s">
        <v>54</v>
      </c>
      <c r="C848" s="2" t="s">
        <v>2124</v>
      </c>
      <c r="D848" s="2" t="s">
        <v>87</v>
      </c>
      <c r="E848" s="2" t="s">
        <v>75</v>
      </c>
      <c r="F848" s="2" t="s">
        <v>20</v>
      </c>
      <c r="G848" s="2" t="s">
        <v>1914</v>
      </c>
      <c r="H848" s="2" t="s">
        <v>20</v>
      </c>
      <c r="I848" s="2" t="s">
        <v>2105</v>
      </c>
    </row>
    <row r="849" spans="1:9" x14ac:dyDescent="0.35">
      <c r="A849" s="2" t="s">
        <v>2126</v>
      </c>
      <c r="B849" s="2" t="s">
        <v>57</v>
      </c>
      <c r="C849" s="2" t="s">
        <v>2127</v>
      </c>
      <c r="D849" s="2" t="s">
        <v>121</v>
      </c>
      <c r="E849" s="2" t="s">
        <v>122</v>
      </c>
      <c r="F849" s="2"/>
      <c r="G849" s="2"/>
      <c r="H849" s="2"/>
      <c r="I849" s="2"/>
    </row>
    <row r="850" spans="1:9" x14ac:dyDescent="0.35">
      <c r="A850" s="2" t="s">
        <v>2126</v>
      </c>
      <c r="B850" s="2" t="s">
        <v>57</v>
      </c>
      <c r="C850" s="2" t="s">
        <v>2127</v>
      </c>
      <c r="D850" s="2" t="s">
        <v>87</v>
      </c>
      <c r="E850" s="2" t="s">
        <v>75</v>
      </c>
      <c r="F850" s="2" t="s">
        <v>20</v>
      </c>
      <c r="G850" s="2" t="s">
        <v>2128</v>
      </c>
      <c r="H850" s="2"/>
      <c r="I850" s="2"/>
    </row>
    <row r="851" spans="1:9" x14ac:dyDescent="0.35">
      <c r="A851" s="2" t="s">
        <v>2126</v>
      </c>
      <c r="B851" s="2" t="s">
        <v>57</v>
      </c>
      <c r="C851" s="2" t="s">
        <v>2127</v>
      </c>
      <c r="D851" s="2" t="s">
        <v>18</v>
      </c>
      <c r="E851" s="2" t="s">
        <v>19</v>
      </c>
      <c r="F851" s="2" t="s">
        <v>20</v>
      </c>
      <c r="G851" s="2" t="s">
        <v>2128</v>
      </c>
      <c r="H851" s="2"/>
      <c r="I851" s="2"/>
    </row>
    <row r="852" spans="1:9" x14ac:dyDescent="0.35">
      <c r="A852" s="2" t="s">
        <v>2126</v>
      </c>
      <c r="B852" s="2" t="s">
        <v>57</v>
      </c>
      <c r="C852" s="2" t="s">
        <v>2127</v>
      </c>
      <c r="D852" s="2" t="s">
        <v>61</v>
      </c>
      <c r="E852" s="2" t="s">
        <v>30</v>
      </c>
      <c r="F852" s="2"/>
      <c r="G852" s="2"/>
      <c r="H852" s="2"/>
      <c r="I852" s="2"/>
    </row>
    <row r="853" spans="1:9" x14ac:dyDescent="0.35">
      <c r="A853" s="2" t="s">
        <v>2126</v>
      </c>
      <c r="B853" s="2" t="s">
        <v>62</v>
      </c>
      <c r="C853" s="2" t="s">
        <v>2129</v>
      </c>
      <c r="D853" s="2" t="s">
        <v>74</v>
      </c>
      <c r="E853" s="2" t="s">
        <v>75</v>
      </c>
      <c r="F853" s="2" t="s">
        <v>20</v>
      </c>
      <c r="G853" s="2" t="s">
        <v>2130</v>
      </c>
      <c r="H853" s="2"/>
      <c r="I853" s="2"/>
    </row>
    <row r="854" spans="1:9" x14ac:dyDescent="0.35">
      <c r="A854" s="2" t="s">
        <v>2126</v>
      </c>
      <c r="B854" s="2" t="s">
        <v>62</v>
      </c>
      <c r="C854" s="2" t="s">
        <v>2129</v>
      </c>
      <c r="D854" s="2" t="s">
        <v>14</v>
      </c>
      <c r="E854" s="2" t="s">
        <v>15</v>
      </c>
      <c r="F854" s="2"/>
      <c r="G854" s="2"/>
      <c r="H854" s="2"/>
      <c r="I854" s="2"/>
    </row>
    <row r="855" spans="1:9" x14ac:dyDescent="0.35">
      <c r="A855" s="2" t="s">
        <v>2126</v>
      </c>
      <c r="B855" s="2" t="s">
        <v>62</v>
      </c>
      <c r="C855" s="2" t="s">
        <v>2129</v>
      </c>
      <c r="D855" s="2" t="s">
        <v>27</v>
      </c>
      <c r="E855" s="2" t="s">
        <v>28</v>
      </c>
      <c r="F855" s="2" t="s">
        <v>20</v>
      </c>
      <c r="G855" s="2" t="s">
        <v>1849</v>
      </c>
      <c r="H855" s="2"/>
      <c r="I855" s="2"/>
    </row>
    <row r="856" spans="1:9" x14ac:dyDescent="0.35">
      <c r="A856" s="2" t="s">
        <v>2126</v>
      </c>
      <c r="B856" s="2" t="s">
        <v>62</v>
      </c>
      <c r="C856" s="2" t="s">
        <v>2129</v>
      </c>
      <c r="D856" s="2" t="s">
        <v>138</v>
      </c>
      <c r="E856" s="2" t="s">
        <v>139</v>
      </c>
      <c r="F856" s="2"/>
      <c r="G856" s="2"/>
      <c r="H856" s="2"/>
      <c r="I856" s="2"/>
    </row>
    <row r="857" spans="1:9" x14ac:dyDescent="0.35">
      <c r="A857" s="2" t="s">
        <v>2126</v>
      </c>
      <c r="B857" s="2" t="s">
        <v>62</v>
      </c>
      <c r="C857" s="2" t="s">
        <v>2129</v>
      </c>
      <c r="D857" s="2" t="s">
        <v>18</v>
      </c>
      <c r="E857" s="2" t="s">
        <v>19</v>
      </c>
      <c r="F857" s="2" t="s">
        <v>20</v>
      </c>
      <c r="G857" s="2" t="s">
        <v>2082</v>
      </c>
      <c r="H857" s="2"/>
      <c r="I857" s="2"/>
    </row>
    <row r="858" spans="1:9" x14ac:dyDescent="0.35">
      <c r="A858" s="2" t="s">
        <v>2126</v>
      </c>
      <c r="B858" s="2" t="s">
        <v>62</v>
      </c>
      <c r="C858" s="2" t="s">
        <v>2129</v>
      </c>
      <c r="D858" s="2" t="s">
        <v>127</v>
      </c>
      <c r="E858" s="2" t="s">
        <v>107</v>
      </c>
      <c r="F858" s="2"/>
      <c r="G858" s="2"/>
      <c r="H858" s="2"/>
      <c r="I858" s="2"/>
    </row>
    <row r="859" spans="1:9" x14ac:dyDescent="0.35">
      <c r="A859" s="2" t="s">
        <v>2126</v>
      </c>
      <c r="B859" s="2" t="s">
        <v>54</v>
      </c>
      <c r="C859" s="2" t="s">
        <v>2131</v>
      </c>
      <c r="D859" s="2" t="s">
        <v>130</v>
      </c>
      <c r="E859" s="2" t="s">
        <v>36</v>
      </c>
      <c r="F859" s="2" t="s">
        <v>20</v>
      </c>
      <c r="G859" s="2" t="s">
        <v>2132</v>
      </c>
      <c r="H859" s="2"/>
      <c r="I859" s="2"/>
    </row>
    <row r="860" spans="1:9" x14ac:dyDescent="0.35">
      <c r="A860" s="2" t="s">
        <v>2126</v>
      </c>
      <c r="B860" s="2" t="s">
        <v>54</v>
      </c>
      <c r="C860" s="2" t="s">
        <v>2131</v>
      </c>
      <c r="D860" s="2" t="s">
        <v>476</v>
      </c>
      <c r="E860" s="2" t="s">
        <v>78</v>
      </c>
      <c r="F860" s="2" t="s">
        <v>20</v>
      </c>
      <c r="G860" s="2" t="s">
        <v>2132</v>
      </c>
      <c r="H860" s="2"/>
      <c r="I860" s="2"/>
    </row>
    <row r="861" spans="1:9" x14ac:dyDescent="0.35">
      <c r="A861" s="2" t="s">
        <v>2126</v>
      </c>
      <c r="B861" s="2" t="s">
        <v>54</v>
      </c>
      <c r="C861" s="2" t="s">
        <v>2131</v>
      </c>
      <c r="D861" s="2" t="s">
        <v>1243</v>
      </c>
      <c r="E861" s="2" t="s">
        <v>40</v>
      </c>
      <c r="F861" s="2" t="s">
        <v>20</v>
      </c>
      <c r="G861" s="2" t="s">
        <v>2132</v>
      </c>
      <c r="H861" s="2"/>
      <c r="I861" s="2"/>
    </row>
    <row r="862" spans="1:9" x14ac:dyDescent="0.35">
      <c r="A862" s="2" t="s">
        <v>2126</v>
      </c>
      <c r="B862" s="2" t="s">
        <v>54</v>
      </c>
      <c r="C862" s="2" t="s">
        <v>2131</v>
      </c>
      <c r="D862" s="2" t="s">
        <v>18</v>
      </c>
      <c r="E862" s="2" t="s">
        <v>1679</v>
      </c>
      <c r="F862" s="2" t="s">
        <v>20</v>
      </c>
      <c r="G862" s="2" t="s">
        <v>2132</v>
      </c>
      <c r="H862" s="2"/>
      <c r="I862" s="2"/>
    </row>
    <row r="863" spans="1:9" x14ac:dyDescent="0.35">
      <c r="A863" s="2" t="s">
        <v>2126</v>
      </c>
      <c r="B863" s="2" t="s">
        <v>54</v>
      </c>
      <c r="C863" s="2" t="s">
        <v>2133</v>
      </c>
      <c r="D863" s="2" t="s">
        <v>27</v>
      </c>
      <c r="E863" s="2" t="s">
        <v>28</v>
      </c>
      <c r="F863" s="2"/>
      <c r="G863" s="2"/>
      <c r="H863" s="2"/>
      <c r="I863" s="2"/>
    </row>
    <row r="864" spans="1:9" x14ac:dyDescent="0.35">
      <c r="A864" s="2" t="s">
        <v>2126</v>
      </c>
      <c r="B864" s="2" t="s">
        <v>54</v>
      </c>
      <c r="C864" s="2" t="s">
        <v>2133</v>
      </c>
      <c r="D864" s="2" t="s">
        <v>31</v>
      </c>
      <c r="E864" s="2" t="s">
        <v>32</v>
      </c>
      <c r="F864" s="2"/>
      <c r="G864" s="2"/>
      <c r="H864" s="2"/>
      <c r="I864" s="2"/>
    </row>
    <row r="865" spans="1:9" x14ac:dyDescent="0.35">
      <c r="A865" s="2" t="s">
        <v>2126</v>
      </c>
      <c r="B865" s="2" t="s">
        <v>54</v>
      </c>
      <c r="C865" s="2" t="s">
        <v>2133</v>
      </c>
      <c r="D865" s="2" t="s">
        <v>96</v>
      </c>
      <c r="E865" s="2" t="s">
        <v>83</v>
      </c>
      <c r="F865" s="2"/>
      <c r="G865" s="2"/>
      <c r="H865" s="2"/>
      <c r="I865" s="2"/>
    </row>
    <row r="866" spans="1:9" x14ac:dyDescent="0.35">
      <c r="A866" s="2" t="s">
        <v>2126</v>
      </c>
      <c r="B866" s="2" t="s">
        <v>54</v>
      </c>
      <c r="C866" s="2" t="s">
        <v>2133</v>
      </c>
      <c r="D866" s="2" t="s">
        <v>393</v>
      </c>
      <c r="E866" s="2" t="s">
        <v>36</v>
      </c>
      <c r="F866" s="2"/>
      <c r="G866" s="2"/>
      <c r="H866" s="2"/>
      <c r="I866" s="2"/>
    </row>
    <row r="867" spans="1:9" x14ac:dyDescent="0.35">
      <c r="A867" s="2" t="s">
        <v>2126</v>
      </c>
      <c r="B867" s="2" t="s">
        <v>54</v>
      </c>
      <c r="C867" s="2" t="s">
        <v>2133</v>
      </c>
      <c r="D867" s="2" t="s">
        <v>438</v>
      </c>
      <c r="E867" s="2" t="s">
        <v>19</v>
      </c>
      <c r="F867" s="2" t="s">
        <v>20</v>
      </c>
      <c r="G867" s="2" t="s">
        <v>1977</v>
      </c>
      <c r="H867" s="2"/>
      <c r="I867" s="2"/>
    </row>
    <row r="868" spans="1:9" x14ac:dyDescent="0.35">
      <c r="A868" s="2" t="s">
        <v>2134</v>
      </c>
      <c r="B868" s="2" t="s">
        <v>12</v>
      </c>
      <c r="C868" s="2" t="s">
        <v>2135</v>
      </c>
      <c r="D868" s="2" t="s">
        <v>121</v>
      </c>
      <c r="E868" s="2" t="s">
        <v>122</v>
      </c>
      <c r="F868" s="2"/>
      <c r="G868" s="2"/>
      <c r="H868" s="2" t="s">
        <v>20</v>
      </c>
      <c r="I868" s="2" t="s">
        <v>1677</v>
      </c>
    </row>
    <row r="869" spans="1:9" x14ac:dyDescent="0.35">
      <c r="A869" s="2" t="s">
        <v>2134</v>
      </c>
      <c r="B869" s="2" t="s">
        <v>12</v>
      </c>
      <c r="C869" s="2" t="s">
        <v>2135</v>
      </c>
      <c r="D869" s="2" t="s">
        <v>393</v>
      </c>
      <c r="E869" s="2" t="s">
        <v>36</v>
      </c>
      <c r="F869" s="2"/>
      <c r="G869" s="2"/>
      <c r="H869" s="2" t="s">
        <v>20</v>
      </c>
      <c r="I869" s="2" t="s">
        <v>1677</v>
      </c>
    </row>
    <row r="870" spans="1:9" x14ac:dyDescent="0.35">
      <c r="A870" s="2" t="s">
        <v>2134</v>
      </c>
      <c r="B870" s="2" t="s">
        <v>12</v>
      </c>
      <c r="C870" s="2" t="s">
        <v>2135</v>
      </c>
      <c r="D870" s="2" t="s">
        <v>87</v>
      </c>
      <c r="E870" s="2" t="s">
        <v>75</v>
      </c>
      <c r="F870" s="2" t="s">
        <v>20</v>
      </c>
      <c r="G870" s="2" t="s">
        <v>2136</v>
      </c>
      <c r="H870" s="2" t="s">
        <v>20</v>
      </c>
      <c r="I870" s="2" t="s">
        <v>1677</v>
      </c>
    </row>
    <row r="871" spans="1:9" x14ac:dyDescent="0.35">
      <c r="A871" s="2" t="s">
        <v>2134</v>
      </c>
      <c r="B871" s="2" t="s">
        <v>12</v>
      </c>
      <c r="C871" s="2" t="s">
        <v>2135</v>
      </c>
      <c r="D871" s="2" t="s">
        <v>417</v>
      </c>
      <c r="E871" s="2" t="s">
        <v>40</v>
      </c>
      <c r="F871" s="2"/>
      <c r="G871" s="2"/>
      <c r="H871" s="2" t="s">
        <v>20</v>
      </c>
      <c r="I871" s="2" t="s">
        <v>1677</v>
      </c>
    </row>
    <row r="872" spans="1:9" x14ac:dyDescent="0.35">
      <c r="A872" s="2" t="s">
        <v>2134</v>
      </c>
      <c r="B872" s="2" t="s">
        <v>12</v>
      </c>
      <c r="C872" s="2" t="s">
        <v>2135</v>
      </c>
      <c r="D872" s="2" t="s">
        <v>18</v>
      </c>
      <c r="E872" s="2" t="s">
        <v>1679</v>
      </c>
      <c r="F872" s="2" t="s">
        <v>20</v>
      </c>
      <c r="G872" s="2" t="s">
        <v>2137</v>
      </c>
      <c r="H872" s="2" t="s">
        <v>20</v>
      </c>
      <c r="I872" s="2" t="s">
        <v>1677</v>
      </c>
    </row>
    <row r="873" spans="1:9" x14ac:dyDescent="0.35">
      <c r="A873" s="2" t="s">
        <v>2134</v>
      </c>
      <c r="B873" s="2" t="s">
        <v>12</v>
      </c>
      <c r="C873" s="2" t="s">
        <v>2135</v>
      </c>
      <c r="D873" s="2" t="s">
        <v>188</v>
      </c>
      <c r="E873" s="2" t="s">
        <v>189</v>
      </c>
      <c r="F873" s="2"/>
      <c r="G873" s="2"/>
      <c r="H873" s="2" t="s">
        <v>20</v>
      </c>
      <c r="I873" s="2" t="s">
        <v>1677</v>
      </c>
    </row>
    <row r="874" spans="1:9" x14ac:dyDescent="0.35">
      <c r="A874" s="2" t="s">
        <v>2134</v>
      </c>
      <c r="B874" s="2" t="s">
        <v>12</v>
      </c>
      <c r="C874" s="2" t="s">
        <v>2135</v>
      </c>
      <c r="D874" s="2" t="s">
        <v>1681</v>
      </c>
      <c r="E874" s="2" t="s">
        <v>1650</v>
      </c>
      <c r="F874" s="2"/>
      <c r="G874" s="2"/>
      <c r="H874" s="2" t="s">
        <v>20</v>
      </c>
      <c r="I874" s="2" t="s">
        <v>1677</v>
      </c>
    </row>
    <row r="875" spans="1:9" x14ac:dyDescent="0.35">
      <c r="A875" s="2" t="s">
        <v>2134</v>
      </c>
      <c r="B875" s="2" t="s">
        <v>12</v>
      </c>
      <c r="C875" s="2" t="s">
        <v>2135</v>
      </c>
      <c r="D875" s="2" t="s">
        <v>149</v>
      </c>
      <c r="E875" s="2" t="s">
        <v>847</v>
      </c>
      <c r="F875" s="2" t="s">
        <v>20</v>
      </c>
      <c r="G875" s="2" t="s">
        <v>2138</v>
      </c>
      <c r="H875" s="2" t="s">
        <v>20</v>
      </c>
      <c r="I875" s="2" t="s">
        <v>1677</v>
      </c>
    </row>
    <row r="876" spans="1:9" x14ac:dyDescent="0.35">
      <c r="A876" s="2" t="s">
        <v>2134</v>
      </c>
      <c r="B876" s="2" t="s">
        <v>57</v>
      </c>
      <c r="C876" s="2" t="s">
        <v>2139</v>
      </c>
      <c r="D876" s="2" t="s">
        <v>1139</v>
      </c>
      <c r="E876" s="2" t="s">
        <v>60</v>
      </c>
      <c r="F876" s="2"/>
      <c r="G876" s="2"/>
      <c r="H876" s="2" t="s">
        <v>20</v>
      </c>
      <c r="I876" s="2" t="s">
        <v>1677</v>
      </c>
    </row>
    <row r="877" spans="1:9" x14ac:dyDescent="0.35">
      <c r="A877" s="2" t="s">
        <v>2134</v>
      </c>
      <c r="B877" s="2" t="s">
        <v>57</v>
      </c>
      <c r="C877" s="2" t="s">
        <v>2139</v>
      </c>
      <c r="D877" s="2" t="s">
        <v>121</v>
      </c>
      <c r="E877" s="2" t="s">
        <v>122</v>
      </c>
      <c r="F877" s="2"/>
      <c r="G877" s="2"/>
      <c r="H877" s="2" t="s">
        <v>20</v>
      </c>
      <c r="I877" s="2" t="s">
        <v>1677</v>
      </c>
    </row>
    <row r="878" spans="1:9" x14ac:dyDescent="0.35">
      <c r="A878" s="2" t="s">
        <v>2134</v>
      </c>
      <c r="B878" s="2" t="s">
        <v>57</v>
      </c>
      <c r="C878" s="2" t="s">
        <v>2139</v>
      </c>
      <c r="D878" s="2" t="s">
        <v>87</v>
      </c>
      <c r="E878" s="2" t="s">
        <v>75</v>
      </c>
      <c r="F878" s="2" t="s">
        <v>20</v>
      </c>
      <c r="G878" s="2" t="s">
        <v>2140</v>
      </c>
      <c r="H878" s="2" t="s">
        <v>20</v>
      </c>
      <c r="I878" s="2" t="s">
        <v>1677</v>
      </c>
    </row>
    <row r="879" spans="1:9" x14ac:dyDescent="0.35">
      <c r="A879" s="2" t="s">
        <v>2134</v>
      </c>
      <c r="B879" s="2" t="s">
        <v>57</v>
      </c>
      <c r="C879" s="2" t="s">
        <v>2139</v>
      </c>
      <c r="D879" s="2" t="s">
        <v>393</v>
      </c>
      <c r="E879" s="2" t="s">
        <v>36</v>
      </c>
      <c r="F879" s="2"/>
      <c r="G879" s="2"/>
      <c r="H879" s="2" t="s">
        <v>20</v>
      </c>
      <c r="I879" s="2" t="s">
        <v>1677</v>
      </c>
    </row>
    <row r="880" spans="1:9" x14ac:dyDescent="0.35">
      <c r="A880" s="2" t="s">
        <v>2134</v>
      </c>
      <c r="B880" s="2" t="s">
        <v>57</v>
      </c>
      <c r="C880" s="2" t="s">
        <v>2139</v>
      </c>
      <c r="D880" s="2" t="s">
        <v>417</v>
      </c>
      <c r="E880" s="2" t="s">
        <v>40</v>
      </c>
      <c r="F880" s="2"/>
      <c r="G880" s="2"/>
      <c r="H880" s="2" t="s">
        <v>20</v>
      </c>
      <c r="I880" s="2" t="s">
        <v>1677</v>
      </c>
    </row>
    <row r="881" spans="1:9" x14ac:dyDescent="0.35">
      <c r="A881" s="2" t="s">
        <v>2134</v>
      </c>
      <c r="B881" s="2" t="s">
        <v>57</v>
      </c>
      <c r="C881" s="2" t="s">
        <v>2139</v>
      </c>
      <c r="D881" s="2" t="s">
        <v>18</v>
      </c>
      <c r="E881" s="2" t="s">
        <v>1679</v>
      </c>
      <c r="F881" s="2" t="s">
        <v>20</v>
      </c>
      <c r="G881" s="2" t="s">
        <v>2141</v>
      </c>
      <c r="H881" s="2" t="s">
        <v>20</v>
      </c>
      <c r="I881" s="2" t="s">
        <v>1677</v>
      </c>
    </row>
    <row r="882" spans="1:9" x14ac:dyDescent="0.35">
      <c r="A882" s="2" t="s">
        <v>2134</v>
      </c>
      <c r="B882" s="2" t="s">
        <v>57</v>
      </c>
      <c r="C882" s="2" t="s">
        <v>2139</v>
      </c>
      <c r="D882" s="2" t="s">
        <v>149</v>
      </c>
      <c r="E882" s="2" t="s">
        <v>847</v>
      </c>
      <c r="F882" s="2" t="s">
        <v>20</v>
      </c>
      <c r="G882" s="2" t="s">
        <v>1692</v>
      </c>
      <c r="H882" s="2" t="s">
        <v>20</v>
      </c>
      <c r="I882" s="2" t="s">
        <v>1677</v>
      </c>
    </row>
    <row r="883" spans="1:9" x14ac:dyDescent="0.35">
      <c r="A883" s="2" t="s">
        <v>2134</v>
      </c>
      <c r="B883" s="2" t="s">
        <v>24</v>
      </c>
      <c r="C883" s="2" t="s">
        <v>2142</v>
      </c>
      <c r="D883" s="2" t="s">
        <v>14</v>
      </c>
      <c r="E883" s="2" t="s">
        <v>15</v>
      </c>
      <c r="F883" s="2"/>
      <c r="G883" s="2"/>
      <c r="H883" s="2" t="s">
        <v>20</v>
      </c>
      <c r="I883" s="2" t="s">
        <v>1677</v>
      </c>
    </row>
    <row r="884" spans="1:9" x14ac:dyDescent="0.35">
      <c r="A884" s="2" t="s">
        <v>2134</v>
      </c>
      <c r="B884" s="2" t="s">
        <v>24</v>
      </c>
      <c r="C884" s="2" t="s">
        <v>2142</v>
      </c>
      <c r="D884" s="2" t="s">
        <v>74</v>
      </c>
      <c r="E884" s="2" t="s">
        <v>75</v>
      </c>
      <c r="F884" s="2" t="s">
        <v>20</v>
      </c>
      <c r="G884" s="2" t="s">
        <v>2143</v>
      </c>
      <c r="H884" s="2" t="s">
        <v>20</v>
      </c>
      <c r="I884" s="2" t="s">
        <v>1677</v>
      </c>
    </row>
    <row r="885" spans="1:9" x14ac:dyDescent="0.35">
      <c r="A885" s="2" t="s">
        <v>2134</v>
      </c>
      <c r="B885" s="2" t="s">
        <v>24</v>
      </c>
      <c r="C885" s="2" t="s">
        <v>2142</v>
      </c>
      <c r="D885" s="2" t="s">
        <v>91</v>
      </c>
      <c r="E885" s="2" t="s">
        <v>1679</v>
      </c>
      <c r="F885" s="2" t="s">
        <v>20</v>
      </c>
      <c r="G885" s="2" t="s">
        <v>2144</v>
      </c>
      <c r="H885" s="2" t="s">
        <v>20</v>
      </c>
      <c r="I885" s="2" t="s">
        <v>1677</v>
      </c>
    </row>
    <row r="886" spans="1:9" x14ac:dyDescent="0.35">
      <c r="A886" s="2" t="s">
        <v>2134</v>
      </c>
      <c r="B886" s="2" t="s">
        <v>24</v>
      </c>
      <c r="C886" s="2" t="s">
        <v>2142</v>
      </c>
      <c r="D886" s="2" t="s">
        <v>1243</v>
      </c>
      <c r="E886" s="2" t="s">
        <v>40</v>
      </c>
      <c r="F886" s="2"/>
      <c r="G886" s="2"/>
      <c r="H886" s="2" t="s">
        <v>20</v>
      </c>
      <c r="I886" s="2" t="s">
        <v>1677</v>
      </c>
    </row>
    <row r="887" spans="1:9" x14ac:dyDescent="0.35">
      <c r="A887" s="2" t="s">
        <v>2134</v>
      </c>
      <c r="B887" s="2" t="s">
        <v>24</v>
      </c>
      <c r="C887" s="2" t="s">
        <v>2142</v>
      </c>
      <c r="D887" s="2" t="s">
        <v>61</v>
      </c>
      <c r="E887" s="2" t="s">
        <v>30</v>
      </c>
      <c r="F887" s="2"/>
      <c r="G887" s="2"/>
      <c r="H887" s="2" t="s">
        <v>20</v>
      </c>
      <c r="I887" s="2" t="s">
        <v>1677</v>
      </c>
    </row>
    <row r="888" spans="1:9" x14ac:dyDescent="0.35">
      <c r="A888" s="2" t="s">
        <v>2134</v>
      </c>
      <c r="B888" s="2" t="s">
        <v>12</v>
      </c>
      <c r="C888" s="2" t="s">
        <v>2145</v>
      </c>
      <c r="D888" s="2" t="s">
        <v>121</v>
      </c>
      <c r="E888" s="2" t="s">
        <v>122</v>
      </c>
      <c r="F888" s="2"/>
      <c r="G888" s="2"/>
      <c r="H888" s="2" t="s">
        <v>20</v>
      </c>
      <c r="I888" s="2" t="s">
        <v>1677</v>
      </c>
    </row>
    <row r="889" spans="1:9" x14ac:dyDescent="0.35">
      <c r="A889" s="2" t="s">
        <v>2134</v>
      </c>
      <c r="B889" s="2" t="s">
        <v>12</v>
      </c>
      <c r="C889" s="2" t="s">
        <v>2145</v>
      </c>
      <c r="D889" s="2" t="s">
        <v>393</v>
      </c>
      <c r="E889" s="2" t="s">
        <v>36</v>
      </c>
      <c r="F889" s="2"/>
      <c r="G889" s="2"/>
      <c r="H889" s="2" t="s">
        <v>20</v>
      </c>
      <c r="I889" s="2" t="s">
        <v>1677</v>
      </c>
    </row>
    <row r="890" spans="1:9" x14ac:dyDescent="0.35">
      <c r="A890" s="2" t="s">
        <v>2134</v>
      </c>
      <c r="B890" s="2" t="s">
        <v>12</v>
      </c>
      <c r="C890" s="2" t="s">
        <v>2145</v>
      </c>
      <c r="D890" s="2" t="s">
        <v>87</v>
      </c>
      <c r="E890" s="2" t="s">
        <v>75</v>
      </c>
      <c r="F890" s="2" t="s">
        <v>20</v>
      </c>
      <c r="G890" s="2" t="s">
        <v>1977</v>
      </c>
      <c r="H890" s="2" t="s">
        <v>20</v>
      </c>
      <c r="I890" s="2" t="s">
        <v>1677</v>
      </c>
    </row>
    <row r="891" spans="1:9" x14ac:dyDescent="0.35">
      <c r="A891" s="2" t="s">
        <v>2134</v>
      </c>
      <c r="B891" s="2" t="s">
        <v>12</v>
      </c>
      <c r="C891" s="2" t="s">
        <v>2145</v>
      </c>
      <c r="D891" s="2" t="s">
        <v>417</v>
      </c>
      <c r="E891" s="2" t="s">
        <v>40</v>
      </c>
      <c r="F891" s="2"/>
      <c r="G891" s="2"/>
      <c r="H891" s="2" t="s">
        <v>20</v>
      </c>
      <c r="I891" s="2" t="s">
        <v>1677</v>
      </c>
    </row>
    <row r="892" spans="1:9" x14ac:dyDescent="0.35">
      <c r="A892" s="2" t="s">
        <v>2134</v>
      </c>
      <c r="B892" s="2" t="s">
        <v>12</v>
      </c>
      <c r="C892" s="2" t="s">
        <v>2145</v>
      </c>
      <c r="D892" s="2" t="s">
        <v>18</v>
      </c>
      <c r="E892" s="2" t="s">
        <v>1679</v>
      </c>
      <c r="F892" s="2" t="s">
        <v>20</v>
      </c>
      <c r="G892" s="2" t="s">
        <v>1977</v>
      </c>
      <c r="H892" s="2" t="s">
        <v>20</v>
      </c>
      <c r="I892" s="2" t="s">
        <v>1677</v>
      </c>
    </row>
    <row r="893" spans="1:9" x14ac:dyDescent="0.35">
      <c r="A893" s="2" t="s">
        <v>2134</v>
      </c>
      <c r="B893" s="2" t="s">
        <v>12</v>
      </c>
      <c r="C893" s="2" t="s">
        <v>2145</v>
      </c>
      <c r="D893" s="2" t="s">
        <v>1681</v>
      </c>
      <c r="E893" s="2" t="s">
        <v>1650</v>
      </c>
      <c r="F893" s="2"/>
      <c r="G893" s="2"/>
      <c r="H893" s="2" t="s">
        <v>20</v>
      </c>
      <c r="I893" s="2" t="s">
        <v>1677</v>
      </c>
    </row>
    <row r="894" spans="1:9" x14ac:dyDescent="0.35">
      <c r="A894" s="2" t="s">
        <v>2134</v>
      </c>
      <c r="B894" s="2" t="s">
        <v>12</v>
      </c>
      <c r="C894" s="2" t="s">
        <v>2145</v>
      </c>
      <c r="D894" s="2" t="s">
        <v>149</v>
      </c>
      <c r="E894" s="2" t="s">
        <v>847</v>
      </c>
      <c r="F894" s="2" t="s">
        <v>20</v>
      </c>
      <c r="G894" s="2" t="s">
        <v>1977</v>
      </c>
      <c r="H894" s="2" t="s">
        <v>20</v>
      </c>
      <c r="I894" s="2" t="s">
        <v>1677</v>
      </c>
    </row>
    <row r="895" spans="1:9" x14ac:dyDescent="0.35">
      <c r="A895" s="2" t="s">
        <v>2134</v>
      </c>
      <c r="B895" s="2" t="s">
        <v>24</v>
      </c>
      <c r="C895" s="2" t="s">
        <v>2146</v>
      </c>
      <c r="D895" s="2" t="s">
        <v>74</v>
      </c>
      <c r="E895" s="2" t="s">
        <v>75</v>
      </c>
      <c r="F895" s="2" t="s">
        <v>20</v>
      </c>
      <c r="G895" s="2" t="s">
        <v>2147</v>
      </c>
      <c r="H895" s="2" t="s">
        <v>20</v>
      </c>
      <c r="I895" s="2" t="s">
        <v>1677</v>
      </c>
    </row>
    <row r="896" spans="1:9" x14ac:dyDescent="0.35">
      <c r="A896" s="2" t="s">
        <v>2134</v>
      </c>
      <c r="B896" s="2" t="s">
        <v>24</v>
      </c>
      <c r="C896" s="2" t="s">
        <v>2146</v>
      </c>
      <c r="D896" s="2" t="s">
        <v>120</v>
      </c>
      <c r="E896" s="2" t="s">
        <v>32</v>
      </c>
      <c r="F896" s="2" t="s">
        <v>20</v>
      </c>
      <c r="G896" s="2" t="s">
        <v>2147</v>
      </c>
      <c r="H896" s="2" t="s">
        <v>20</v>
      </c>
      <c r="I896" s="2" t="s">
        <v>1677</v>
      </c>
    </row>
    <row r="897" spans="1:9" x14ac:dyDescent="0.35">
      <c r="A897" s="2" t="s">
        <v>2134</v>
      </c>
      <c r="B897" s="2" t="s">
        <v>24</v>
      </c>
      <c r="C897" s="2" t="s">
        <v>2146</v>
      </c>
      <c r="D897" s="2" t="s">
        <v>98</v>
      </c>
      <c r="E897" s="2" t="s">
        <v>98</v>
      </c>
      <c r="F897" s="2"/>
      <c r="G897" s="2"/>
      <c r="H897" s="2" t="s">
        <v>20</v>
      </c>
      <c r="I897" s="2" t="s">
        <v>1677</v>
      </c>
    </row>
    <row r="898" spans="1:9" x14ac:dyDescent="0.35">
      <c r="A898" s="2" t="s">
        <v>2134</v>
      </c>
      <c r="B898" s="2" t="s">
        <v>24</v>
      </c>
      <c r="C898" s="2" t="s">
        <v>2146</v>
      </c>
      <c r="D898" s="2" t="s">
        <v>1319</v>
      </c>
      <c r="E898" s="2" t="s">
        <v>363</v>
      </c>
      <c r="F898" s="2" t="s">
        <v>20</v>
      </c>
      <c r="G898" s="2" t="s">
        <v>2147</v>
      </c>
      <c r="H898" s="2" t="s">
        <v>20</v>
      </c>
      <c r="I898" s="2" t="s">
        <v>1677</v>
      </c>
    </row>
    <row r="899" spans="1:9" x14ac:dyDescent="0.35">
      <c r="A899" s="2" t="s">
        <v>2134</v>
      </c>
      <c r="B899" s="2" t="s">
        <v>24</v>
      </c>
      <c r="C899" s="2" t="s">
        <v>2146</v>
      </c>
      <c r="D899" s="2" t="s">
        <v>91</v>
      </c>
      <c r="E899" s="2" t="s">
        <v>1679</v>
      </c>
      <c r="F899" s="2" t="s">
        <v>20</v>
      </c>
      <c r="G899" s="2" t="s">
        <v>2147</v>
      </c>
      <c r="H899" s="2" t="s">
        <v>20</v>
      </c>
      <c r="I899" s="2" t="s">
        <v>1677</v>
      </c>
    </row>
    <row r="900" spans="1:9" x14ac:dyDescent="0.35">
      <c r="A900" s="2" t="s">
        <v>2134</v>
      </c>
      <c r="B900" s="2" t="s">
        <v>24</v>
      </c>
      <c r="C900" s="2" t="s">
        <v>2146</v>
      </c>
      <c r="D900" s="2" t="s">
        <v>1243</v>
      </c>
      <c r="E900" s="2" t="s">
        <v>40</v>
      </c>
      <c r="F900" s="2"/>
      <c r="G900" s="2"/>
      <c r="H900" s="2" t="s">
        <v>20</v>
      </c>
      <c r="I900" s="2" t="s">
        <v>1677</v>
      </c>
    </row>
    <row r="901" spans="1:9" x14ac:dyDescent="0.35">
      <c r="A901" s="2" t="s">
        <v>2134</v>
      </c>
      <c r="B901" s="2" t="s">
        <v>24</v>
      </c>
      <c r="C901" s="2" t="s">
        <v>2146</v>
      </c>
      <c r="D901" s="2" t="s">
        <v>61</v>
      </c>
      <c r="E901" s="2" t="s">
        <v>30</v>
      </c>
      <c r="F901" s="2" t="s">
        <v>20</v>
      </c>
      <c r="G901" s="2" t="s">
        <v>2147</v>
      </c>
      <c r="H901" s="2" t="s">
        <v>20</v>
      </c>
      <c r="I901" s="2" t="s">
        <v>1677</v>
      </c>
    </row>
    <row r="902" spans="1:9" x14ac:dyDescent="0.35">
      <c r="A902" s="2" t="s">
        <v>2134</v>
      </c>
      <c r="B902" s="2" t="s">
        <v>54</v>
      </c>
      <c r="C902" s="2" t="s">
        <v>2148</v>
      </c>
      <c r="D902" s="2" t="s">
        <v>74</v>
      </c>
      <c r="E902" s="2" t="s">
        <v>75</v>
      </c>
      <c r="F902" s="2" t="s">
        <v>20</v>
      </c>
      <c r="G902" s="2" t="s">
        <v>2149</v>
      </c>
      <c r="H902" s="2" t="s">
        <v>20</v>
      </c>
      <c r="I902" s="2" t="s">
        <v>1677</v>
      </c>
    </row>
    <row r="903" spans="1:9" x14ac:dyDescent="0.35">
      <c r="A903" s="2" t="s">
        <v>2134</v>
      </c>
      <c r="B903" s="2" t="s">
        <v>54</v>
      </c>
      <c r="C903" s="2" t="s">
        <v>2148</v>
      </c>
      <c r="D903" s="2" t="s">
        <v>362</v>
      </c>
      <c r="E903" s="2" t="s">
        <v>363</v>
      </c>
      <c r="F903" s="2" t="s">
        <v>20</v>
      </c>
      <c r="G903" s="2" t="s">
        <v>2149</v>
      </c>
      <c r="H903" s="2" t="s">
        <v>20</v>
      </c>
      <c r="I903" s="2" t="s">
        <v>1677</v>
      </c>
    </row>
    <row r="904" spans="1:9" x14ac:dyDescent="0.35">
      <c r="A904" s="2" t="s">
        <v>2134</v>
      </c>
      <c r="B904" s="2" t="s">
        <v>54</v>
      </c>
      <c r="C904" s="2" t="s">
        <v>2148</v>
      </c>
      <c r="D904" s="2" t="s">
        <v>18</v>
      </c>
      <c r="E904" s="2" t="s">
        <v>19</v>
      </c>
      <c r="F904" s="2" t="s">
        <v>20</v>
      </c>
      <c r="G904" s="2" t="s">
        <v>2149</v>
      </c>
      <c r="H904" s="2" t="s">
        <v>20</v>
      </c>
      <c r="I904" s="2" t="s">
        <v>1677</v>
      </c>
    </row>
    <row r="905" spans="1:9" x14ac:dyDescent="0.35">
      <c r="A905" s="2" t="s">
        <v>2134</v>
      </c>
      <c r="B905" s="2" t="s">
        <v>54</v>
      </c>
      <c r="C905" s="2" t="s">
        <v>2148</v>
      </c>
      <c r="D905" s="2" t="s">
        <v>61</v>
      </c>
      <c r="E905" s="2" t="s">
        <v>30</v>
      </c>
      <c r="F905" s="2" t="s">
        <v>20</v>
      </c>
      <c r="G905" s="2" t="s">
        <v>2149</v>
      </c>
      <c r="H905" s="2" t="s">
        <v>20</v>
      </c>
      <c r="I905" s="2" t="s">
        <v>1677</v>
      </c>
    </row>
    <row r="906" spans="1:9" x14ac:dyDescent="0.35">
      <c r="A906" s="2" t="s">
        <v>2134</v>
      </c>
      <c r="B906" s="2" t="s">
        <v>62</v>
      </c>
      <c r="C906" s="2" t="s">
        <v>2150</v>
      </c>
      <c r="D906" s="2" t="s">
        <v>89</v>
      </c>
      <c r="E906" s="2" t="s">
        <v>45</v>
      </c>
      <c r="F906" s="2" t="s">
        <v>20</v>
      </c>
      <c r="G906" s="2" t="s">
        <v>2151</v>
      </c>
      <c r="H906" s="2" t="s">
        <v>20</v>
      </c>
      <c r="I906" s="2" t="s">
        <v>1677</v>
      </c>
    </row>
    <row r="907" spans="1:9" x14ac:dyDescent="0.35">
      <c r="A907" s="2" t="s">
        <v>2134</v>
      </c>
      <c r="B907" s="2" t="s">
        <v>12</v>
      </c>
      <c r="C907" s="2" t="s">
        <v>2152</v>
      </c>
      <c r="D907" s="2" t="s">
        <v>87</v>
      </c>
      <c r="E907" s="2" t="s">
        <v>75</v>
      </c>
      <c r="F907" s="2" t="s">
        <v>20</v>
      </c>
      <c r="G907" s="2" t="s">
        <v>2153</v>
      </c>
      <c r="H907" s="2" t="s">
        <v>20</v>
      </c>
      <c r="I907" s="2" t="s">
        <v>1677</v>
      </c>
    </row>
    <row r="908" spans="1:9" x14ac:dyDescent="0.35">
      <c r="A908" s="2" t="s">
        <v>2134</v>
      </c>
      <c r="B908" s="2" t="s">
        <v>62</v>
      </c>
      <c r="C908" s="2" t="s">
        <v>2154</v>
      </c>
      <c r="D908" s="2" t="s">
        <v>14</v>
      </c>
      <c r="E908" s="2" t="s">
        <v>15</v>
      </c>
      <c r="F908" s="2"/>
      <c r="G908" s="2"/>
      <c r="H908" s="2" t="s">
        <v>20</v>
      </c>
      <c r="I908" s="2" t="s">
        <v>1677</v>
      </c>
    </row>
    <row r="909" spans="1:9" x14ac:dyDescent="0.35">
      <c r="A909" s="2" t="s">
        <v>2134</v>
      </c>
      <c r="B909" s="2" t="s">
        <v>62</v>
      </c>
      <c r="C909" s="2" t="s">
        <v>2154</v>
      </c>
      <c r="D909" s="2" t="s">
        <v>121</v>
      </c>
      <c r="E909" s="2" t="s">
        <v>122</v>
      </c>
      <c r="F909" s="2"/>
      <c r="G909" s="2"/>
      <c r="H909" s="2" t="s">
        <v>20</v>
      </c>
      <c r="I909" s="2" t="s">
        <v>1677</v>
      </c>
    </row>
    <row r="910" spans="1:9" x14ac:dyDescent="0.35">
      <c r="A910" s="2" t="s">
        <v>2134</v>
      </c>
      <c r="B910" s="2" t="s">
        <v>62</v>
      </c>
      <c r="C910" s="2" t="s">
        <v>2154</v>
      </c>
      <c r="D910" s="2" t="s">
        <v>393</v>
      </c>
      <c r="E910" s="2" t="s">
        <v>36</v>
      </c>
      <c r="F910" s="2"/>
      <c r="G910" s="2"/>
      <c r="H910" s="2" t="s">
        <v>20</v>
      </c>
      <c r="I910" s="2" t="s">
        <v>1677</v>
      </c>
    </row>
    <row r="911" spans="1:9" x14ac:dyDescent="0.35">
      <c r="A911" s="2" t="s">
        <v>2134</v>
      </c>
      <c r="B911" s="2" t="s">
        <v>801</v>
      </c>
      <c r="C911" s="2" t="s">
        <v>2155</v>
      </c>
      <c r="D911" s="2" t="s">
        <v>130</v>
      </c>
      <c r="E911" s="2" t="s">
        <v>36</v>
      </c>
      <c r="F911" s="2"/>
      <c r="G911" s="2"/>
      <c r="H911" s="2" t="s">
        <v>20</v>
      </c>
      <c r="I911" s="2" t="s">
        <v>1677</v>
      </c>
    </row>
    <row r="912" spans="1:9" x14ac:dyDescent="0.35">
      <c r="A912" s="2" t="s">
        <v>2134</v>
      </c>
      <c r="B912" s="2" t="s">
        <v>54</v>
      </c>
      <c r="C912" s="2" t="s">
        <v>2156</v>
      </c>
      <c r="D912" s="2" t="s">
        <v>98</v>
      </c>
      <c r="E912" s="2" t="s">
        <v>98</v>
      </c>
      <c r="F912" s="2" t="s">
        <v>20</v>
      </c>
      <c r="G912" s="2" t="s">
        <v>1718</v>
      </c>
      <c r="H912" s="2" t="s">
        <v>20</v>
      </c>
      <c r="I912" s="2" t="s">
        <v>1677</v>
      </c>
    </row>
    <row r="913" spans="1:9" x14ac:dyDescent="0.35">
      <c r="A913" s="2" t="s">
        <v>2134</v>
      </c>
      <c r="B913" s="2" t="s">
        <v>54</v>
      </c>
      <c r="C913" s="2" t="s">
        <v>2156</v>
      </c>
      <c r="D913" s="2" t="s">
        <v>1307</v>
      </c>
      <c r="E913" s="2" t="s">
        <v>38</v>
      </c>
      <c r="F913" s="2" t="s">
        <v>20</v>
      </c>
      <c r="G913" s="2" t="s">
        <v>1718</v>
      </c>
      <c r="H913" s="2" t="s">
        <v>20</v>
      </c>
      <c r="I913" s="2" t="s">
        <v>1677</v>
      </c>
    </row>
    <row r="914" spans="1:9" x14ac:dyDescent="0.35">
      <c r="A914" s="2" t="s">
        <v>2134</v>
      </c>
      <c r="B914" s="2" t="s">
        <v>54</v>
      </c>
      <c r="C914" s="2" t="s">
        <v>2156</v>
      </c>
      <c r="D914" s="2" t="s">
        <v>393</v>
      </c>
      <c r="E914" s="2" t="s">
        <v>36</v>
      </c>
      <c r="F914" s="2" t="s">
        <v>20</v>
      </c>
      <c r="G914" s="2" t="s">
        <v>1718</v>
      </c>
      <c r="H914" s="2" t="s">
        <v>20</v>
      </c>
      <c r="I914" s="2" t="s">
        <v>1677</v>
      </c>
    </row>
    <row r="915" spans="1:9" x14ac:dyDescent="0.35">
      <c r="A915" s="2" t="s">
        <v>2134</v>
      </c>
      <c r="B915" s="2" t="s">
        <v>54</v>
      </c>
      <c r="C915" s="2" t="s">
        <v>2156</v>
      </c>
      <c r="D915" s="2" t="s">
        <v>1243</v>
      </c>
      <c r="E915" s="2" t="s">
        <v>40</v>
      </c>
      <c r="F915" s="2" t="s">
        <v>20</v>
      </c>
      <c r="G915" s="2" t="s">
        <v>1718</v>
      </c>
      <c r="H915" s="2" t="s">
        <v>20</v>
      </c>
      <c r="I915" s="2" t="s">
        <v>1677</v>
      </c>
    </row>
    <row r="916" spans="1:9" x14ac:dyDescent="0.35">
      <c r="A916" s="2" t="s">
        <v>2134</v>
      </c>
      <c r="B916" s="2" t="s">
        <v>54</v>
      </c>
      <c r="C916" s="2" t="s">
        <v>2156</v>
      </c>
      <c r="D916" s="2" t="s">
        <v>18</v>
      </c>
      <c r="E916" s="2" t="s">
        <v>19</v>
      </c>
      <c r="F916" s="2" t="s">
        <v>20</v>
      </c>
      <c r="G916" s="2" t="s">
        <v>1718</v>
      </c>
      <c r="H916" s="2" t="s">
        <v>20</v>
      </c>
      <c r="I916" s="2" t="s">
        <v>1677</v>
      </c>
    </row>
    <row r="917" spans="1:9" x14ac:dyDescent="0.35">
      <c r="A917" s="2" t="s">
        <v>2134</v>
      </c>
      <c r="B917" s="2" t="s">
        <v>54</v>
      </c>
      <c r="C917" s="2" t="s">
        <v>2156</v>
      </c>
      <c r="D917" s="2" t="s">
        <v>89</v>
      </c>
      <c r="E917" s="2" t="s">
        <v>45</v>
      </c>
      <c r="F917" s="2" t="s">
        <v>20</v>
      </c>
      <c r="G917" s="2" t="s">
        <v>1718</v>
      </c>
      <c r="H917" s="2" t="s">
        <v>20</v>
      </c>
      <c r="I917" s="2" t="s">
        <v>1677</v>
      </c>
    </row>
    <row r="918" spans="1:9" x14ac:dyDescent="0.35">
      <c r="A918" s="2" t="s">
        <v>2134</v>
      </c>
      <c r="B918" s="2" t="s">
        <v>54</v>
      </c>
      <c r="C918" s="2" t="s">
        <v>2156</v>
      </c>
      <c r="D918" s="2" t="s">
        <v>387</v>
      </c>
      <c r="E918" s="2" t="s">
        <v>367</v>
      </c>
      <c r="F918" s="2" t="s">
        <v>20</v>
      </c>
      <c r="G918" s="2" t="s">
        <v>1718</v>
      </c>
      <c r="H918" s="2" t="s">
        <v>20</v>
      </c>
      <c r="I918" s="2" t="s">
        <v>1677</v>
      </c>
    </row>
    <row r="919" spans="1:9" x14ac:dyDescent="0.35">
      <c r="A919" s="2" t="s">
        <v>2134</v>
      </c>
      <c r="B919" s="2" t="s">
        <v>54</v>
      </c>
      <c r="C919" s="2" t="s">
        <v>2157</v>
      </c>
      <c r="D919" s="2" t="s">
        <v>393</v>
      </c>
      <c r="E919" s="2" t="s">
        <v>36</v>
      </c>
      <c r="F919" s="2" t="s">
        <v>20</v>
      </c>
      <c r="G919" s="2" t="s">
        <v>2158</v>
      </c>
      <c r="H919" s="2" t="s">
        <v>20</v>
      </c>
      <c r="I919" s="2" t="s">
        <v>1677</v>
      </c>
    </row>
    <row r="920" spans="1:9" x14ac:dyDescent="0.35">
      <c r="A920" s="2" t="s">
        <v>2134</v>
      </c>
      <c r="B920" s="2" t="s">
        <v>54</v>
      </c>
      <c r="C920" s="2" t="s">
        <v>2157</v>
      </c>
      <c r="D920" s="2" t="s">
        <v>91</v>
      </c>
      <c r="E920" s="2" t="s">
        <v>19</v>
      </c>
      <c r="F920" s="2" t="s">
        <v>20</v>
      </c>
      <c r="G920" s="2" t="s">
        <v>2158</v>
      </c>
      <c r="H920" s="2" t="s">
        <v>20</v>
      </c>
      <c r="I920" s="2" t="s">
        <v>1677</v>
      </c>
    </row>
    <row r="921" spans="1:9" x14ac:dyDescent="0.35">
      <c r="A921" s="2" t="s">
        <v>2134</v>
      </c>
      <c r="B921" s="2" t="s">
        <v>54</v>
      </c>
      <c r="C921" s="2" t="s">
        <v>2157</v>
      </c>
      <c r="D921" s="2" t="s">
        <v>42</v>
      </c>
      <c r="E921" s="2" t="s">
        <v>43</v>
      </c>
      <c r="F921" s="2" t="s">
        <v>20</v>
      </c>
      <c r="G921" s="2" t="s">
        <v>2158</v>
      </c>
      <c r="H921" s="2" t="s">
        <v>20</v>
      </c>
      <c r="I921" s="2" t="s">
        <v>1677</v>
      </c>
    </row>
    <row r="922" spans="1:9" x14ac:dyDescent="0.35">
      <c r="A922" s="2" t="s">
        <v>2134</v>
      </c>
      <c r="B922" s="2" t="s">
        <v>12</v>
      </c>
      <c r="C922" s="2" t="s">
        <v>2159</v>
      </c>
      <c r="D922" s="2" t="s">
        <v>91</v>
      </c>
      <c r="E922" s="2" t="s">
        <v>19</v>
      </c>
      <c r="F922" s="2"/>
      <c r="G922" s="2"/>
      <c r="H922" s="2" t="s">
        <v>20</v>
      </c>
      <c r="I922" s="2" t="s">
        <v>1677</v>
      </c>
    </row>
    <row r="923" spans="1:9" x14ac:dyDescent="0.35">
      <c r="A923" s="2" t="s">
        <v>2134</v>
      </c>
      <c r="B923" s="2" t="s">
        <v>12</v>
      </c>
      <c r="C923" s="2" t="s">
        <v>2159</v>
      </c>
      <c r="D923" s="2" t="s">
        <v>35</v>
      </c>
      <c r="E923" s="2" t="s">
        <v>36</v>
      </c>
      <c r="F923" s="2"/>
      <c r="G923" s="2"/>
      <c r="H923" s="2" t="s">
        <v>20</v>
      </c>
      <c r="I923" s="2" t="s">
        <v>1677</v>
      </c>
    </row>
    <row r="924" spans="1:9" x14ac:dyDescent="0.35">
      <c r="A924" s="2" t="s">
        <v>2134</v>
      </c>
      <c r="B924" s="2" t="s">
        <v>12</v>
      </c>
      <c r="C924" s="2" t="s">
        <v>2159</v>
      </c>
      <c r="D924" s="2" t="s">
        <v>188</v>
      </c>
      <c r="E924" s="2" t="s">
        <v>189</v>
      </c>
      <c r="F924" s="2"/>
      <c r="G924" s="2"/>
      <c r="H924" s="2" t="s">
        <v>20</v>
      </c>
      <c r="I924" s="2" t="s">
        <v>1677</v>
      </c>
    </row>
    <row r="925" spans="1:9" x14ac:dyDescent="0.35">
      <c r="A925" s="2" t="s">
        <v>2134</v>
      </c>
      <c r="B925" s="2" t="s">
        <v>12</v>
      </c>
      <c r="C925" s="2" t="s">
        <v>2160</v>
      </c>
      <c r="D925" s="2" t="s">
        <v>74</v>
      </c>
      <c r="E925" s="2" t="s">
        <v>75</v>
      </c>
      <c r="F925" s="2"/>
      <c r="G925" s="2"/>
      <c r="H925" s="2" t="s">
        <v>20</v>
      </c>
      <c r="I925" s="2" t="s">
        <v>1677</v>
      </c>
    </row>
    <row r="926" spans="1:9" x14ac:dyDescent="0.35">
      <c r="A926" s="2" t="s">
        <v>2134</v>
      </c>
      <c r="B926" s="2" t="s">
        <v>12</v>
      </c>
      <c r="C926" s="2" t="s">
        <v>2160</v>
      </c>
      <c r="D926" s="2" t="s">
        <v>14</v>
      </c>
      <c r="E926" s="2" t="s">
        <v>15</v>
      </c>
      <c r="F926" s="2"/>
      <c r="G926" s="2"/>
      <c r="H926" s="2" t="s">
        <v>20</v>
      </c>
      <c r="I926" s="2" t="s">
        <v>1677</v>
      </c>
    </row>
    <row r="927" spans="1:9" x14ac:dyDescent="0.35">
      <c r="A927" s="2" t="s">
        <v>2134</v>
      </c>
      <c r="B927" s="2" t="s">
        <v>12</v>
      </c>
      <c r="C927" s="2" t="s">
        <v>2160</v>
      </c>
      <c r="D927" s="2" t="s">
        <v>136</v>
      </c>
      <c r="E927" s="2" t="s">
        <v>107</v>
      </c>
      <c r="F927" s="2" t="s">
        <v>20</v>
      </c>
      <c r="G927" s="2" t="s">
        <v>2161</v>
      </c>
      <c r="H927" s="2" t="s">
        <v>20</v>
      </c>
      <c r="I927" s="2" t="s">
        <v>1677</v>
      </c>
    </row>
    <row r="928" spans="1:9" x14ac:dyDescent="0.35">
      <c r="A928" s="2" t="s">
        <v>2134</v>
      </c>
      <c r="B928" s="2" t="s">
        <v>12</v>
      </c>
      <c r="C928" s="2" t="s">
        <v>2160</v>
      </c>
      <c r="D928" s="2" t="s">
        <v>77</v>
      </c>
      <c r="E928" s="2" t="s">
        <v>78</v>
      </c>
      <c r="F928" s="2"/>
      <c r="G928" s="2"/>
      <c r="H928" s="2" t="s">
        <v>20</v>
      </c>
      <c r="I928" s="2" t="s">
        <v>1677</v>
      </c>
    </row>
    <row r="929" spans="1:9" x14ac:dyDescent="0.35">
      <c r="A929" s="2" t="s">
        <v>2134</v>
      </c>
      <c r="B929" s="2" t="s">
        <v>12</v>
      </c>
      <c r="C929" s="2" t="s">
        <v>2160</v>
      </c>
      <c r="D929" s="2" t="s">
        <v>18</v>
      </c>
      <c r="E929" s="2" t="s">
        <v>19</v>
      </c>
      <c r="F929" s="2" t="s">
        <v>20</v>
      </c>
      <c r="G929" s="2" t="s">
        <v>1700</v>
      </c>
      <c r="H929" s="2" t="s">
        <v>20</v>
      </c>
      <c r="I929" s="2" t="s">
        <v>1677</v>
      </c>
    </row>
    <row r="930" spans="1:9" x14ac:dyDescent="0.35">
      <c r="A930" s="2" t="s">
        <v>2134</v>
      </c>
      <c r="B930" s="2" t="s">
        <v>12</v>
      </c>
      <c r="C930" s="2" t="s">
        <v>2160</v>
      </c>
      <c r="D930" s="2" t="s">
        <v>61</v>
      </c>
      <c r="E930" s="2" t="s">
        <v>30</v>
      </c>
      <c r="F930" s="2"/>
      <c r="G930" s="2"/>
      <c r="H930" s="2" t="s">
        <v>20</v>
      </c>
      <c r="I930" s="2" t="s">
        <v>1677</v>
      </c>
    </row>
    <row r="931" spans="1:9" x14ac:dyDescent="0.35">
      <c r="A931" s="2" t="s">
        <v>2134</v>
      </c>
      <c r="B931" s="2" t="s">
        <v>12</v>
      </c>
      <c r="C931" s="2" t="s">
        <v>2160</v>
      </c>
      <c r="D931" s="2" t="s">
        <v>188</v>
      </c>
      <c r="E931" s="2" t="s">
        <v>189</v>
      </c>
      <c r="F931" s="2"/>
      <c r="G931" s="2"/>
      <c r="H931" s="2" t="s">
        <v>20</v>
      </c>
      <c r="I931" s="2" t="s">
        <v>1677</v>
      </c>
    </row>
    <row r="932" spans="1:9" x14ac:dyDescent="0.35">
      <c r="A932" s="2" t="s">
        <v>2134</v>
      </c>
      <c r="B932" s="2" t="s">
        <v>62</v>
      </c>
      <c r="C932" s="2" t="s">
        <v>2162</v>
      </c>
      <c r="D932" s="2" t="s">
        <v>74</v>
      </c>
      <c r="E932" s="2" t="s">
        <v>75</v>
      </c>
      <c r="F932" s="2" t="s">
        <v>20</v>
      </c>
      <c r="G932" s="2" t="s">
        <v>2163</v>
      </c>
      <c r="H932" s="2" t="s">
        <v>20</v>
      </c>
      <c r="I932" s="2" t="s">
        <v>1677</v>
      </c>
    </row>
    <row r="933" spans="1:9" x14ac:dyDescent="0.35">
      <c r="A933" s="2" t="s">
        <v>2134</v>
      </c>
      <c r="B933" s="2" t="s">
        <v>62</v>
      </c>
      <c r="C933" s="2" t="s">
        <v>2162</v>
      </c>
      <c r="D933" s="2" t="s">
        <v>121</v>
      </c>
      <c r="E933" s="2" t="s">
        <v>122</v>
      </c>
      <c r="F933" s="2"/>
      <c r="G933" s="2"/>
      <c r="H933" s="2" t="s">
        <v>20</v>
      </c>
      <c r="I933" s="2" t="s">
        <v>1677</v>
      </c>
    </row>
    <row r="934" spans="1:9" x14ac:dyDescent="0.35">
      <c r="A934" s="2" t="s">
        <v>2134</v>
      </c>
      <c r="B934" s="2" t="s">
        <v>62</v>
      </c>
      <c r="C934" s="2" t="s">
        <v>2162</v>
      </c>
      <c r="D934" s="2" t="s">
        <v>35</v>
      </c>
      <c r="E934" s="2" t="s">
        <v>36</v>
      </c>
      <c r="F934" s="2"/>
      <c r="G934" s="2"/>
      <c r="H934" s="2" t="s">
        <v>20</v>
      </c>
      <c r="I934" s="2" t="s">
        <v>1677</v>
      </c>
    </row>
    <row r="935" spans="1:9" x14ac:dyDescent="0.35">
      <c r="A935" s="2" t="s">
        <v>2134</v>
      </c>
      <c r="B935" s="2" t="s">
        <v>62</v>
      </c>
      <c r="C935" s="2" t="s">
        <v>2162</v>
      </c>
      <c r="D935" s="2" t="s">
        <v>393</v>
      </c>
      <c r="E935" s="2" t="s">
        <v>36</v>
      </c>
      <c r="F935" s="2"/>
      <c r="G935" s="2"/>
      <c r="H935" s="2" t="s">
        <v>20</v>
      </c>
      <c r="I935" s="2" t="s">
        <v>1677</v>
      </c>
    </row>
    <row r="936" spans="1:9" x14ac:dyDescent="0.35">
      <c r="A936" s="2" t="s">
        <v>2134</v>
      </c>
      <c r="B936" s="2" t="s">
        <v>62</v>
      </c>
      <c r="C936" s="2" t="s">
        <v>2162</v>
      </c>
      <c r="D936" s="2" t="s">
        <v>87</v>
      </c>
      <c r="E936" s="2" t="s">
        <v>75</v>
      </c>
      <c r="F936" s="2"/>
      <c r="G936" s="2"/>
      <c r="H936" s="2" t="s">
        <v>20</v>
      </c>
      <c r="I936" s="2" t="s">
        <v>1677</v>
      </c>
    </row>
    <row r="937" spans="1:9" x14ac:dyDescent="0.35">
      <c r="A937" s="2" t="s">
        <v>2134</v>
      </c>
      <c r="B937" s="2" t="s">
        <v>62</v>
      </c>
      <c r="C937" s="2" t="s">
        <v>2162</v>
      </c>
      <c r="D937" s="2" t="s">
        <v>2164</v>
      </c>
      <c r="E937" s="2" t="s">
        <v>40</v>
      </c>
      <c r="F937" s="2"/>
      <c r="G937" s="2"/>
      <c r="H937" s="2" t="s">
        <v>20</v>
      </c>
      <c r="I937" s="2" t="s">
        <v>1677</v>
      </c>
    </row>
    <row r="938" spans="1:9" x14ac:dyDescent="0.35">
      <c r="A938" s="2" t="s">
        <v>2134</v>
      </c>
      <c r="B938" s="2" t="s">
        <v>62</v>
      </c>
      <c r="C938" s="2" t="s">
        <v>2162</v>
      </c>
      <c r="D938" s="2" t="s">
        <v>18</v>
      </c>
      <c r="E938" s="2" t="s">
        <v>19</v>
      </c>
      <c r="F938" s="2" t="s">
        <v>20</v>
      </c>
      <c r="G938" s="2" t="s">
        <v>2163</v>
      </c>
      <c r="H938" s="2" t="s">
        <v>20</v>
      </c>
      <c r="I938" s="2" t="s">
        <v>1677</v>
      </c>
    </row>
    <row r="939" spans="1:9" x14ac:dyDescent="0.35">
      <c r="A939" s="2" t="s">
        <v>2134</v>
      </c>
      <c r="B939" s="2" t="s">
        <v>62</v>
      </c>
      <c r="C939" s="2" t="s">
        <v>2162</v>
      </c>
      <c r="D939" s="2" t="s">
        <v>61</v>
      </c>
      <c r="E939" s="2" t="s">
        <v>30</v>
      </c>
      <c r="F939" s="2"/>
      <c r="G939" s="2"/>
      <c r="H939" s="2" t="s">
        <v>20</v>
      </c>
      <c r="I939" s="2" t="s">
        <v>1677</v>
      </c>
    </row>
    <row r="940" spans="1:9" x14ac:dyDescent="0.35">
      <c r="A940" s="2" t="s">
        <v>2134</v>
      </c>
      <c r="B940" s="2" t="s">
        <v>62</v>
      </c>
      <c r="C940" s="2" t="s">
        <v>2165</v>
      </c>
      <c r="D940" s="2" t="s">
        <v>18</v>
      </c>
      <c r="E940" s="2" t="s">
        <v>19</v>
      </c>
      <c r="F940" s="2" t="s">
        <v>20</v>
      </c>
      <c r="G940" s="2" t="s">
        <v>2166</v>
      </c>
      <c r="H940" s="2" t="s">
        <v>20</v>
      </c>
      <c r="I940" s="2" t="s">
        <v>1677</v>
      </c>
    </row>
    <row r="941" spans="1:9" x14ac:dyDescent="0.35">
      <c r="A941" s="2" t="s">
        <v>2134</v>
      </c>
      <c r="B941" s="2" t="s">
        <v>62</v>
      </c>
      <c r="C941" s="2" t="s">
        <v>2165</v>
      </c>
      <c r="D941" s="2" t="s">
        <v>61</v>
      </c>
      <c r="E941" s="2" t="s">
        <v>30</v>
      </c>
      <c r="F941" s="2"/>
      <c r="G941" s="2"/>
      <c r="H941" s="2" t="s">
        <v>20</v>
      </c>
      <c r="I941" s="2" t="s">
        <v>1677</v>
      </c>
    </row>
    <row r="942" spans="1:9" x14ac:dyDescent="0.35">
      <c r="A942" s="2" t="s">
        <v>2134</v>
      </c>
      <c r="B942" s="2" t="s">
        <v>62</v>
      </c>
      <c r="C942" s="2" t="s">
        <v>2165</v>
      </c>
      <c r="D942" s="2" t="s">
        <v>352</v>
      </c>
      <c r="E942" s="2" t="s">
        <v>107</v>
      </c>
      <c r="F942" s="2"/>
      <c r="G942" s="2"/>
      <c r="H942" s="2" t="s">
        <v>20</v>
      </c>
      <c r="I942" s="2" t="s">
        <v>1677</v>
      </c>
    </row>
    <row r="943" spans="1:9" x14ac:dyDescent="0.35">
      <c r="A943" s="2" t="s">
        <v>2134</v>
      </c>
      <c r="B943" s="2" t="s">
        <v>62</v>
      </c>
      <c r="C943" s="2" t="s">
        <v>2167</v>
      </c>
      <c r="D943" s="2" t="s">
        <v>76</v>
      </c>
      <c r="E943" s="2" t="s">
        <v>75</v>
      </c>
      <c r="F943" s="2"/>
      <c r="G943" s="2"/>
      <c r="H943" s="2" t="s">
        <v>20</v>
      </c>
      <c r="I943" s="2" t="s">
        <v>1677</v>
      </c>
    </row>
    <row r="944" spans="1:9" x14ac:dyDescent="0.35">
      <c r="A944" s="2" t="s">
        <v>2134</v>
      </c>
      <c r="B944" s="2" t="s">
        <v>62</v>
      </c>
      <c r="C944" s="2" t="s">
        <v>2167</v>
      </c>
      <c r="D944" s="2" t="s">
        <v>393</v>
      </c>
      <c r="E944" s="2" t="s">
        <v>36</v>
      </c>
      <c r="F944" s="2"/>
      <c r="G944" s="2"/>
      <c r="H944" s="2" t="s">
        <v>20</v>
      </c>
      <c r="I944" s="2" t="s">
        <v>1677</v>
      </c>
    </row>
    <row r="945" spans="1:9" x14ac:dyDescent="0.35">
      <c r="A945" s="2" t="s">
        <v>2134</v>
      </c>
      <c r="B945" s="2" t="s">
        <v>62</v>
      </c>
      <c r="C945" s="2" t="s">
        <v>2167</v>
      </c>
      <c r="D945" s="2" t="s">
        <v>61</v>
      </c>
      <c r="E945" s="2" t="s">
        <v>30</v>
      </c>
      <c r="F945" s="2"/>
      <c r="G945" s="2"/>
      <c r="H945" s="2" t="s">
        <v>20</v>
      </c>
      <c r="I945" s="2" t="s">
        <v>1677</v>
      </c>
    </row>
    <row r="946" spans="1:9" x14ac:dyDescent="0.35">
      <c r="A946" s="2" t="s">
        <v>2134</v>
      </c>
      <c r="B946" s="2" t="s">
        <v>62</v>
      </c>
      <c r="C946" s="2" t="s">
        <v>2167</v>
      </c>
      <c r="D946" s="2" t="s">
        <v>352</v>
      </c>
      <c r="E946" s="2" t="s">
        <v>107</v>
      </c>
      <c r="F946" s="2"/>
      <c r="G946" s="2"/>
      <c r="H946" s="2" t="s">
        <v>20</v>
      </c>
      <c r="I946" s="2" t="s">
        <v>1677</v>
      </c>
    </row>
    <row r="947" spans="1:9" x14ac:dyDescent="0.35">
      <c r="A947" s="2" t="s">
        <v>2134</v>
      </c>
      <c r="B947" s="2" t="s">
        <v>24</v>
      </c>
      <c r="C947" s="2" t="s">
        <v>2168</v>
      </c>
      <c r="D947" s="2" t="s">
        <v>1172</v>
      </c>
      <c r="E947" s="2" t="s">
        <v>107</v>
      </c>
      <c r="F947" s="2"/>
      <c r="G947" s="2"/>
      <c r="H947" s="2" t="s">
        <v>20</v>
      </c>
      <c r="I947" s="2" t="s">
        <v>1677</v>
      </c>
    </row>
    <row r="948" spans="1:9" x14ac:dyDescent="0.35">
      <c r="A948" s="2" t="s">
        <v>2134</v>
      </c>
      <c r="B948" s="2" t="s">
        <v>24</v>
      </c>
      <c r="C948" s="2" t="s">
        <v>2168</v>
      </c>
      <c r="D948" s="2" t="s">
        <v>96</v>
      </c>
      <c r="E948" s="2" t="s">
        <v>83</v>
      </c>
      <c r="F948" s="2"/>
      <c r="G948" s="2"/>
      <c r="H948" s="2" t="s">
        <v>20</v>
      </c>
      <c r="I948" s="2" t="s">
        <v>1677</v>
      </c>
    </row>
    <row r="949" spans="1:9" x14ac:dyDescent="0.35">
      <c r="A949" s="2" t="s">
        <v>2134</v>
      </c>
      <c r="B949" s="2" t="s">
        <v>24</v>
      </c>
      <c r="C949" s="2" t="s">
        <v>2168</v>
      </c>
      <c r="D949" s="2" t="s">
        <v>121</v>
      </c>
      <c r="E949" s="2" t="s">
        <v>122</v>
      </c>
      <c r="F949" s="2"/>
      <c r="G949" s="2"/>
      <c r="H949" s="2" t="s">
        <v>20</v>
      </c>
      <c r="I949" s="2" t="s">
        <v>1677</v>
      </c>
    </row>
    <row r="950" spans="1:9" x14ac:dyDescent="0.35">
      <c r="A950" s="2" t="s">
        <v>2134</v>
      </c>
      <c r="B950" s="2" t="s">
        <v>24</v>
      </c>
      <c r="C950" s="2" t="s">
        <v>2168</v>
      </c>
      <c r="D950" s="2" t="s">
        <v>393</v>
      </c>
      <c r="E950" s="2" t="s">
        <v>36</v>
      </c>
      <c r="F950" s="2"/>
      <c r="G950" s="2"/>
      <c r="H950" s="2" t="s">
        <v>20</v>
      </c>
      <c r="I950" s="2" t="s">
        <v>1677</v>
      </c>
    </row>
    <row r="951" spans="1:9" x14ac:dyDescent="0.35">
      <c r="A951" s="2" t="s">
        <v>2134</v>
      </c>
      <c r="B951" s="2" t="s">
        <v>24</v>
      </c>
      <c r="C951" s="2" t="s">
        <v>2168</v>
      </c>
      <c r="D951" s="2" t="s">
        <v>49</v>
      </c>
      <c r="E951" s="2" t="s">
        <v>50</v>
      </c>
      <c r="F951" s="2" t="s">
        <v>20</v>
      </c>
      <c r="G951" s="2" t="s">
        <v>2169</v>
      </c>
      <c r="H951" s="2" t="s">
        <v>20</v>
      </c>
      <c r="I951" s="2" t="s">
        <v>1677</v>
      </c>
    </row>
    <row r="952" spans="1:9" x14ac:dyDescent="0.35">
      <c r="A952" s="2" t="s">
        <v>2134</v>
      </c>
      <c r="B952" s="2" t="s">
        <v>24</v>
      </c>
      <c r="C952" s="2" t="s">
        <v>2168</v>
      </c>
      <c r="D952" s="2" t="s">
        <v>87</v>
      </c>
      <c r="E952" s="2" t="s">
        <v>75</v>
      </c>
      <c r="F952" s="2" t="s">
        <v>20</v>
      </c>
      <c r="G952" s="2" t="s">
        <v>2170</v>
      </c>
      <c r="H952" s="2" t="s">
        <v>20</v>
      </c>
      <c r="I952" s="2" t="s">
        <v>1677</v>
      </c>
    </row>
    <row r="953" spans="1:9" x14ac:dyDescent="0.35">
      <c r="A953" s="2" t="s">
        <v>2134</v>
      </c>
      <c r="B953" s="2" t="s">
        <v>24</v>
      </c>
      <c r="C953" s="2" t="s">
        <v>2168</v>
      </c>
      <c r="D953" s="2" t="s">
        <v>417</v>
      </c>
      <c r="E953" s="2" t="s">
        <v>40</v>
      </c>
      <c r="F953" s="2"/>
      <c r="G953" s="2"/>
      <c r="H953" s="2" t="s">
        <v>20</v>
      </c>
      <c r="I953" s="2" t="s">
        <v>1677</v>
      </c>
    </row>
    <row r="954" spans="1:9" x14ac:dyDescent="0.35">
      <c r="A954" s="2" t="s">
        <v>2134</v>
      </c>
      <c r="B954" s="2" t="s">
        <v>24</v>
      </c>
      <c r="C954" s="2" t="s">
        <v>2168</v>
      </c>
      <c r="D954" s="2" t="s">
        <v>18</v>
      </c>
      <c r="E954" s="2" t="s">
        <v>19</v>
      </c>
      <c r="F954" s="2" t="s">
        <v>20</v>
      </c>
      <c r="G954" s="2" t="s">
        <v>2171</v>
      </c>
      <c r="H954" s="2" t="s">
        <v>20</v>
      </c>
      <c r="I954" s="2" t="s">
        <v>1677</v>
      </c>
    </row>
    <row r="955" spans="1:9" x14ac:dyDescent="0.35">
      <c r="A955" s="2" t="s">
        <v>2134</v>
      </c>
      <c r="B955" s="2" t="s">
        <v>24</v>
      </c>
      <c r="C955" s="2" t="s">
        <v>2168</v>
      </c>
      <c r="D955" s="2" t="s">
        <v>61</v>
      </c>
      <c r="E955" s="2" t="s">
        <v>30</v>
      </c>
      <c r="F955" s="2"/>
      <c r="G955" s="2"/>
      <c r="H955" s="2" t="s">
        <v>20</v>
      </c>
      <c r="I955" s="2" t="s">
        <v>1677</v>
      </c>
    </row>
    <row r="956" spans="1:9" x14ac:dyDescent="0.35">
      <c r="A956" s="2" t="s">
        <v>2134</v>
      </c>
      <c r="B956" s="2" t="s">
        <v>24</v>
      </c>
      <c r="C956" s="2" t="s">
        <v>2168</v>
      </c>
      <c r="D956" s="2" t="s">
        <v>149</v>
      </c>
      <c r="E956" s="2" t="s">
        <v>150</v>
      </c>
      <c r="F956" s="2"/>
      <c r="G956" s="2"/>
      <c r="H956" s="2" t="s">
        <v>20</v>
      </c>
      <c r="I956" s="2" t="s">
        <v>1677</v>
      </c>
    </row>
    <row r="957" spans="1:9" x14ac:dyDescent="0.35">
      <c r="A957" s="2" t="s">
        <v>2134</v>
      </c>
      <c r="B957" s="2" t="s">
        <v>62</v>
      </c>
      <c r="C957" s="2" t="s">
        <v>2172</v>
      </c>
      <c r="D957" s="2" t="s">
        <v>121</v>
      </c>
      <c r="E957" s="2" t="s">
        <v>122</v>
      </c>
      <c r="F957" s="2"/>
      <c r="G957" s="2"/>
      <c r="H957" s="2" t="s">
        <v>20</v>
      </c>
      <c r="I957" s="2" t="s">
        <v>1677</v>
      </c>
    </row>
    <row r="958" spans="1:9" x14ac:dyDescent="0.35">
      <c r="A958" s="2" t="s">
        <v>2134</v>
      </c>
      <c r="B958" s="2" t="s">
        <v>62</v>
      </c>
      <c r="C958" s="2" t="s">
        <v>2172</v>
      </c>
      <c r="D958" s="2" t="s">
        <v>393</v>
      </c>
      <c r="E958" s="2" t="s">
        <v>36</v>
      </c>
      <c r="F958" s="2"/>
      <c r="G958" s="2"/>
      <c r="H958" s="2" t="s">
        <v>20</v>
      </c>
      <c r="I958" s="2" t="s">
        <v>1677</v>
      </c>
    </row>
    <row r="959" spans="1:9" x14ac:dyDescent="0.35">
      <c r="A959" s="2" t="s">
        <v>2134</v>
      </c>
      <c r="B959" s="2" t="s">
        <v>62</v>
      </c>
      <c r="C959" s="2" t="s">
        <v>2172</v>
      </c>
      <c r="D959" s="2" t="s">
        <v>87</v>
      </c>
      <c r="E959" s="2" t="s">
        <v>75</v>
      </c>
      <c r="F959" s="2" t="s">
        <v>20</v>
      </c>
      <c r="G959" s="2" t="s">
        <v>2173</v>
      </c>
      <c r="H959" s="2" t="s">
        <v>20</v>
      </c>
      <c r="I959" s="2" t="s">
        <v>1677</v>
      </c>
    </row>
    <row r="960" spans="1:9" x14ac:dyDescent="0.35">
      <c r="A960" s="2" t="s">
        <v>2134</v>
      </c>
      <c r="B960" s="2" t="s">
        <v>62</v>
      </c>
      <c r="C960" s="2" t="s">
        <v>2172</v>
      </c>
      <c r="D960" s="2" t="s">
        <v>417</v>
      </c>
      <c r="E960" s="2" t="s">
        <v>40</v>
      </c>
      <c r="F960" s="2"/>
      <c r="G960" s="2"/>
      <c r="H960" s="2" t="s">
        <v>20</v>
      </c>
      <c r="I960" s="2" t="s">
        <v>1677</v>
      </c>
    </row>
    <row r="961" spans="1:9" x14ac:dyDescent="0.35">
      <c r="A961" s="2" t="s">
        <v>2134</v>
      </c>
      <c r="B961" s="2" t="s">
        <v>62</v>
      </c>
      <c r="C961" s="2" t="s">
        <v>2172</v>
      </c>
      <c r="D961" s="2" t="s">
        <v>18</v>
      </c>
      <c r="E961" s="2" t="s">
        <v>19</v>
      </c>
      <c r="F961" s="2" t="s">
        <v>20</v>
      </c>
      <c r="G961" s="2" t="s">
        <v>2174</v>
      </c>
      <c r="H961" s="2" t="s">
        <v>20</v>
      </c>
      <c r="I961" s="2" t="s">
        <v>1677</v>
      </c>
    </row>
    <row r="962" spans="1:9" x14ac:dyDescent="0.35">
      <c r="A962" s="2" t="s">
        <v>2134</v>
      </c>
      <c r="B962" s="2" t="s">
        <v>62</v>
      </c>
      <c r="C962" s="2" t="s">
        <v>2172</v>
      </c>
      <c r="D962" s="2" t="s">
        <v>352</v>
      </c>
      <c r="E962" s="2" t="s">
        <v>107</v>
      </c>
      <c r="F962" s="2"/>
      <c r="G962" s="2"/>
      <c r="H962" s="2" t="s">
        <v>20</v>
      </c>
      <c r="I962" s="2" t="s">
        <v>1677</v>
      </c>
    </row>
    <row r="963" spans="1:9" x14ac:dyDescent="0.35">
      <c r="A963" s="2" t="s">
        <v>2134</v>
      </c>
      <c r="B963" s="2" t="s">
        <v>62</v>
      </c>
      <c r="C963" s="2" t="s">
        <v>2172</v>
      </c>
      <c r="D963" s="2" t="s">
        <v>149</v>
      </c>
      <c r="E963" s="2" t="s">
        <v>150</v>
      </c>
      <c r="F963" s="2" t="s">
        <v>20</v>
      </c>
      <c r="G963" s="2" t="s">
        <v>2175</v>
      </c>
      <c r="H963" s="2" t="s">
        <v>20</v>
      </c>
      <c r="I963" s="2" t="s">
        <v>1677</v>
      </c>
    </row>
    <row r="964" spans="1:9" x14ac:dyDescent="0.35">
      <c r="A964" s="2" t="s">
        <v>2134</v>
      </c>
      <c r="B964" s="2" t="s">
        <v>12</v>
      </c>
      <c r="C964" s="2" t="s">
        <v>2176</v>
      </c>
      <c r="D964" s="2" t="s">
        <v>121</v>
      </c>
      <c r="E964" s="2" t="s">
        <v>122</v>
      </c>
      <c r="F964" s="2"/>
      <c r="G964" s="2"/>
      <c r="H964" s="2" t="s">
        <v>20</v>
      </c>
      <c r="I964" s="2" t="s">
        <v>1677</v>
      </c>
    </row>
    <row r="965" spans="1:9" x14ac:dyDescent="0.35">
      <c r="A965" s="2" t="s">
        <v>2134</v>
      </c>
      <c r="B965" s="2" t="s">
        <v>12</v>
      </c>
      <c r="C965" s="2" t="s">
        <v>2176</v>
      </c>
      <c r="D965" s="2" t="s">
        <v>393</v>
      </c>
      <c r="E965" s="2" t="s">
        <v>36</v>
      </c>
      <c r="F965" s="2"/>
      <c r="G965" s="2"/>
      <c r="H965" s="2" t="s">
        <v>20</v>
      </c>
      <c r="I965" s="2" t="s">
        <v>1677</v>
      </c>
    </row>
    <row r="966" spans="1:9" x14ac:dyDescent="0.35">
      <c r="A966" s="2" t="s">
        <v>2134</v>
      </c>
      <c r="B966" s="2" t="s">
        <v>12</v>
      </c>
      <c r="C966" s="2" t="s">
        <v>2176</v>
      </c>
      <c r="D966" s="2" t="s">
        <v>87</v>
      </c>
      <c r="E966" s="2" t="s">
        <v>75</v>
      </c>
      <c r="F966" s="2" t="s">
        <v>20</v>
      </c>
      <c r="G966" s="2" t="s">
        <v>2177</v>
      </c>
      <c r="H966" s="2" t="s">
        <v>20</v>
      </c>
      <c r="I966" s="2" t="s">
        <v>1677</v>
      </c>
    </row>
    <row r="967" spans="1:9" x14ac:dyDescent="0.35">
      <c r="A967" s="2" t="s">
        <v>2134</v>
      </c>
      <c r="B967" s="2" t="s">
        <v>12</v>
      </c>
      <c r="C967" s="2" t="s">
        <v>2176</v>
      </c>
      <c r="D967" s="2" t="s">
        <v>417</v>
      </c>
      <c r="E967" s="2" t="s">
        <v>40</v>
      </c>
      <c r="F967" s="2"/>
      <c r="G967" s="2"/>
      <c r="H967" s="2" t="s">
        <v>20</v>
      </c>
      <c r="I967" s="2" t="s">
        <v>1677</v>
      </c>
    </row>
    <row r="968" spans="1:9" x14ac:dyDescent="0.35">
      <c r="A968" s="2" t="s">
        <v>2134</v>
      </c>
      <c r="B968" s="2" t="s">
        <v>12</v>
      </c>
      <c r="C968" s="2" t="s">
        <v>2176</v>
      </c>
      <c r="D968" s="2" t="s">
        <v>18</v>
      </c>
      <c r="E968" s="2" t="s">
        <v>19</v>
      </c>
      <c r="F968" s="2" t="s">
        <v>20</v>
      </c>
      <c r="G968" s="2" t="s">
        <v>2177</v>
      </c>
      <c r="H968" s="2" t="s">
        <v>20</v>
      </c>
      <c r="I968" s="2" t="s">
        <v>1677</v>
      </c>
    </row>
    <row r="969" spans="1:9" x14ac:dyDescent="0.35">
      <c r="A969" s="2" t="s">
        <v>2134</v>
      </c>
      <c r="B969" s="2" t="s">
        <v>12</v>
      </c>
      <c r="C969" s="2" t="s">
        <v>2176</v>
      </c>
      <c r="D969" s="2" t="s">
        <v>352</v>
      </c>
      <c r="E969" s="2" t="s">
        <v>107</v>
      </c>
      <c r="F969" s="2"/>
      <c r="G969" s="2"/>
      <c r="H969" s="2" t="s">
        <v>20</v>
      </c>
      <c r="I969" s="2" t="s">
        <v>1677</v>
      </c>
    </row>
    <row r="970" spans="1:9" x14ac:dyDescent="0.35">
      <c r="A970" s="2" t="s">
        <v>2134</v>
      </c>
      <c r="B970" s="2" t="s">
        <v>62</v>
      </c>
      <c r="C970" s="2" t="s">
        <v>2178</v>
      </c>
      <c r="D970" s="2" t="s">
        <v>121</v>
      </c>
      <c r="E970" s="2" t="s">
        <v>122</v>
      </c>
      <c r="F970" s="2"/>
      <c r="G970" s="2"/>
      <c r="H970" s="2" t="s">
        <v>20</v>
      </c>
      <c r="I970" s="2" t="s">
        <v>1677</v>
      </c>
    </row>
    <row r="971" spans="1:9" x14ac:dyDescent="0.35">
      <c r="A971" s="2" t="s">
        <v>2134</v>
      </c>
      <c r="B971" s="2" t="s">
        <v>62</v>
      </c>
      <c r="C971" s="2" t="s">
        <v>2178</v>
      </c>
      <c r="D971" s="2" t="s">
        <v>393</v>
      </c>
      <c r="E971" s="2" t="s">
        <v>36</v>
      </c>
      <c r="F971" s="2"/>
      <c r="G971" s="2"/>
      <c r="H971" s="2" t="s">
        <v>20</v>
      </c>
      <c r="I971" s="2" t="s">
        <v>1677</v>
      </c>
    </row>
    <row r="972" spans="1:9" x14ac:dyDescent="0.35">
      <c r="A972" s="2" t="s">
        <v>2134</v>
      </c>
      <c r="B972" s="2" t="s">
        <v>62</v>
      </c>
      <c r="C972" s="2" t="s">
        <v>2178</v>
      </c>
      <c r="D972" s="2" t="s">
        <v>87</v>
      </c>
      <c r="E972" s="2" t="s">
        <v>75</v>
      </c>
      <c r="F972" s="2" t="s">
        <v>20</v>
      </c>
      <c r="G972" s="2" t="s">
        <v>2177</v>
      </c>
      <c r="H972" s="2" t="s">
        <v>20</v>
      </c>
      <c r="I972" s="2" t="s">
        <v>1677</v>
      </c>
    </row>
    <row r="973" spans="1:9" x14ac:dyDescent="0.35">
      <c r="A973" s="2" t="s">
        <v>2134</v>
      </c>
      <c r="B973" s="2" t="s">
        <v>62</v>
      </c>
      <c r="C973" s="2" t="s">
        <v>2178</v>
      </c>
      <c r="D973" s="2" t="s">
        <v>417</v>
      </c>
      <c r="E973" s="2" t="s">
        <v>40</v>
      </c>
      <c r="F973" s="2"/>
      <c r="G973" s="2"/>
      <c r="H973" s="2" t="s">
        <v>20</v>
      </c>
      <c r="I973" s="2" t="s">
        <v>1677</v>
      </c>
    </row>
    <row r="974" spans="1:9" x14ac:dyDescent="0.35">
      <c r="A974" s="2" t="s">
        <v>2134</v>
      </c>
      <c r="B974" s="2" t="s">
        <v>62</v>
      </c>
      <c r="C974" s="2" t="s">
        <v>2178</v>
      </c>
      <c r="D974" s="2" t="s">
        <v>18</v>
      </c>
      <c r="E974" s="2" t="s">
        <v>19</v>
      </c>
      <c r="F974" s="2" t="s">
        <v>20</v>
      </c>
      <c r="G974" s="2" t="s">
        <v>2177</v>
      </c>
      <c r="H974" s="2" t="s">
        <v>20</v>
      </c>
      <c r="I974" s="2" t="s">
        <v>1677</v>
      </c>
    </row>
    <row r="975" spans="1:9" x14ac:dyDescent="0.35">
      <c r="A975" s="2" t="s">
        <v>2134</v>
      </c>
      <c r="B975" s="2" t="s">
        <v>62</v>
      </c>
      <c r="C975" s="2" t="s">
        <v>2178</v>
      </c>
      <c r="D975" s="2" t="s">
        <v>352</v>
      </c>
      <c r="E975" s="2" t="s">
        <v>107</v>
      </c>
      <c r="F975" s="2"/>
      <c r="G975" s="2"/>
      <c r="H975" s="2" t="s">
        <v>20</v>
      </c>
      <c r="I975" s="2" t="s">
        <v>1677</v>
      </c>
    </row>
    <row r="976" spans="1:9" x14ac:dyDescent="0.35">
      <c r="A976" s="2" t="s">
        <v>2134</v>
      </c>
      <c r="B976" s="2" t="s">
        <v>12</v>
      </c>
      <c r="C976" s="2" t="s">
        <v>2179</v>
      </c>
      <c r="D976" s="2" t="s">
        <v>14</v>
      </c>
      <c r="E976" s="2" t="s">
        <v>15</v>
      </c>
      <c r="F976" s="2"/>
      <c r="G976" s="2"/>
      <c r="H976" s="2" t="s">
        <v>20</v>
      </c>
      <c r="I976" s="2" t="s">
        <v>1677</v>
      </c>
    </row>
    <row r="977" spans="1:9" x14ac:dyDescent="0.35">
      <c r="A977" s="2" t="s">
        <v>2134</v>
      </c>
      <c r="B977" s="2" t="s">
        <v>12</v>
      </c>
      <c r="C977" s="2" t="s">
        <v>2179</v>
      </c>
      <c r="D977" s="2" t="s">
        <v>91</v>
      </c>
      <c r="E977" s="2" t="s">
        <v>19</v>
      </c>
      <c r="F977" s="2" t="s">
        <v>20</v>
      </c>
      <c r="G977" s="2" t="s">
        <v>2180</v>
      </c>
      <c r="H977" s="2" t="s">
        <v>20</v>
      </c>
      <c r="I977" s="2" t="s">
        <v>1677</v>
      </c>
    </row>
    <row r="978" spans="1:9" x14ac:dyDescent="0.35">
      <c r="A978" s="2" t="s">
        <v>2134</v>
      </c>
      <c r="B978" s="2" t="s">
        <v>12</v>
      </c>
      <c r="C978" s="2" t="s">
        <v>2179</v>
      </c>
      <c r="D978" s="2" t="s">
        <v>508</v>
      </c>
      <c r="E978" s="2" t="s">
        <v>40</v>
      </c>
      <c r="F978" s="2" t="s">
        <v>20</v>
      </c>
      <c r="G978" s="2" t="s">
        <v>2181</v>
      </c>
      <c r="H978" s="2" t="s">
        <v>20</v>
      </c>
      <c r="I978" s="2" t="s">
        <v>1677</v>
      </c>
    </row>
    <row r="979" spans="1:9" x14ac:dyDescent="0.35">
      <c r="A979" s="2" t="s">
        <v>2134</v>
      </c>
      <c r="B979" s="2" t="s">
        <v>12</v>
      </c>
      <c r="C979" s="2" t="s">
        <v>2179</v>
      </c>
      <c r="D979" s="2" t="s">
        <v>61</v>
      </c>
      <c r="E979" s="2" t="s">
        <v>30</v>
      </c>
      <c r="F979" s="2" t="s">
        <v>20</v>
      </c>
      <c r="G979" s="2" t="s">
        <v>2181</v>
      </c>
      <c r="H979" s="2" t="s">
        <v>20</v>
      </c>
      <c r="I979" s="2" t="s">
        <v>1677</v>
      </c>
    </row>
    <row r="980" spans="1:9" x14ac:dyDescent="0.35">
      <c r="A980" s="2" t="s">
        <v>2182</v>
      </c>
      <c r="B980" s="2" t="s">
        <v>54</v>
      </c>
      <c r="C980" s="2" t="s">
        <v>2183</v>
      </c>
      <c r="D980" s="2" t="s">
        <v>130</v>
      </c>
      <c r="E980" s="2" t="s">
        <v>1653</v>
      </c>
      <c r="F980" s="2"/>
      <c r="G980" s="2"/>
      <c r="H980" s="2"/>
      <c r="I980" s="2"/>
    </row>
    <row r="981" spans="1:9" x14ac:dyDescent="0.35">
      <c r="A981" s="2" t="s">
        <v>2182</v>
      </c>
      <c r="B981" s="2" t="s">
        <v>54</v>
      </c>
      <c r="C981" s="2" t="s">
        <v>2183</v>
      </c>
      <c r="D981" s="2" t="s">
        <v>769</v>
      </c>
      <c r="E981" s="2" t="s">
        <v>40</v>
      </c>
      <c r="F981" s="2"/>
      <c r="G981" s="2"/>
      <c r="H981" s="2"/>
      <c r="I981" s="2"/>
    </row>
    <row r="982" spans="1:9" x14ac:dyDescent="0.35">
      <c r="A982" s="2" t="s">
        <v>2182</v>
      </c>
      <c r="B982" s="2" t="s">
        <v>54</v>
      </c>
      <c r="C982" s="2" t="s">
        <v>2183</v>
      </c>
      <c r="D982" s="2" t="s">
        <v>91</v>
      </c>
      <c r="E982" s="2" t="s">
        <v>19</v>
      </c>
      <c r="F982" s="2" t="s">
        <v>20</v>
      </c>
      <c r="G982" s="2" t="s">
        <v>1977</v>
      </c>
      <c r="H982" s="2"/>
      <c r="I982" s="2"/>
    </row>
    <row r="983" spans="1:9" x14ac:dyDescent="0.35">
      <c r="A983" s="2" t="s">
        <v>2182</v>
      </c>
      <c r="B983" s="2" t="s">
        <v>54</v>
      </c>
      <c r="C983" s="2" t="s">
        <v>2183</v>
      </c>
      <c r="D983" s="2" t="s">
        <v>2184</v>
      </c>
      <c r="E983" s="2" t="s">
        <v>1653</v>
      </c>
      <c r="F983" s="2"/>
      <c r="G983" s="2"/>
      <c r="H983" s="2"/>
      <c r="I983" s="2"/>
    </row>
    <row r="984" spans="1:9" x14ac:dyDescent="0.35">
      <c r="A984" s="2" t="s">
        <v>2182</v>
      </c>
      <c r="B984" s="2" t="s">
        <v>54</v>
      </c>
      <c r="C984" s="2" t="s">
        <v>2183</v>
      </c>
      <c r="D984" s="2" t="s">
        <v>61</v>
      </c>
      <c r="E984" s="2" t="s">
        <v>30</v>
      </c>
      <c r="F984" s="2"/>
      <c r="G984" s="2"/>
      <c r="H984" s="2"/>
      <c r="I984" s="2"/>
    </row>
    <row r="985" spans="1:9" x14ac:dyDescent="0.35">
      <c r="A985" s="2" t="s">
        <v>2182</v>
      </c>
      <c r="B985" s="2" t="s">
        <v>12</v>
      </c>
      <c r="C985" s="2" t="s">
        <v>2185</v>
      </c>
      <c r="D985" s="2" t="s">
        <v>14</v>
      </c>
      <c r="E985" s="2" t="s">
        <v>15</v>
      </c>
      <c r="F985" s="2"/>
      <c r="G985" s="2"/>
      <c r="H985" s="2" t="s">
        <v>20</v>
      </c>
      <c r="I985" s="2" t="s">
        <v>1969</v>
      </c>
    </row>
    <row r="986" spans="1:9" x14ac:dyDescent="0.35">
      <c r="A986" s="2" t="s">
        <v>2182</v>
      </c>
      <c r="B986" s="2" t="s">
        <v>12</v>
      </c>
      <c r="C986" s="2" t="s">
        <v>2185</v>
      </c>
      <c r="D986" s="2" t="s">
        <v>2004</v>
      </c>
      <c r="E986" s="2" t="s">
        <v>107</v>
      </c>
      <c r="F986" s="2"/>
      <c r="G986" s="2"/>
      <c r="H986" s="2" t="s">
        <v>20</v>
      </c>
      <c r="I986" s="2" t="s">
        <v>1969</v>
      </c>
    </row>
    <row r="987" spans="1:9" x14ac:dyDescent="0.35">
      <c r="A987" s="2" t="s">
        <v>2182</v>
      </c>
      <c r="B987" s="2" t="s">
        <v>57</v>
      </c>
      <c r="C987" s="2" t="s">
        <v>2186</v>
      </c>
      <c r="D987" s="2" t="s">
        <v>74</v>
      </c>
      <c r="E987" s="2" t="s">
        <v>75</v>
      </c>
      <c r="F987" s="2" t="s">
        <v>20</v>
      </c>
      <c r="G987" s="2" t="s">
        <v>2187</v>
      </c>
      <c r="H987" s="2" t="s">
        <v>20</v>
      </c>
      <c r="I987" s="2" t="s">
        <v>1969</v>
      </c>
    </row>
    <row r="988" spans="1:9" x14ac:dyDescent="0.35">
      <c r="A988" s="2" t="s">
        <v>2182</v>
      </c>
      <c r="B988" s="2" t="s">
        <v>57</v>
      </c>
      <c r="C988" s="2" t="s">
        <v>2186</v>
      </c>
      <c r="D988" s="2" t="s">
        <v>27</v>
      </c>
      <c r="E988" s="2" t="s">
        <v>28</v>
      </c>
      <c r="F988" s="2" t="s">
        <v>20</v>
      </c>
      <c r="G988" s="2" t="s">
        <v>2188</v>
      </c>
      <c r="H988" s="2" t="s">
        <v>20</v>
      </c>
      <c r="I988" s="2" t="s">
        <v>1969</v>
      </c>
    </row>
    <row r="989" spans="1:9" x14ac:dyDescent="0.35">
      <c r="A989" s="2" t="s">
        <v>2182</v>
      </c>
      <c r="B989" s="2" t="s">
        <v>57</v>
      </c>
      <c r="C989" s="2" t="s">
        <v>2186</v>
      </c>
      <c r="D989" s="2" t="s">
        <v>18</v>
      </c>
      <c r="E989" s="2" t="s">
        <v>19</v>
      </c>
      <c r="F989" s="2" t="s">
        <v>20</v>
      </c>
      <c r="G989" s="2" t="s">
        <v>2189</v>
      </c>
      <c r="H989" s="2" t="s">
        <v>20</v>
      </c>
      <c r="I989" s="2" t="s">
        <v>1969</v>
      </c>
    </row>
    <row r="990" spans="1:9" x14ac:dyDescent="0.35">
      <c r="A990" s="2" t="s">
        <v>2182</v>
      </c>
      <c r="B990" s="2" t="s">
        <v>54</v>
      </c>
      <c r="C990" s="2" t="s">
        <v>2190</v>
      </c>
      <c r="D990" s="2" t="s">
        <v>91</v>
      </c>
      <c r="E990" s="2" t="s">
        <v>19</v>
      </c>
      <c r="F990" s="2" t="s">
        <v>20</v>
      </c>
      <c r="G990" s="2" t="s">
        <v>2191</v>
      </c>
      <c r="H990" s="2" t="s">
        <v>20</v>
      </c>
      <c r="I990" s="2" t="s">
        <v>1969</v>
      </c>
    </row>
    <row r="991" spans="1:9" x14ac:dyDescent="0.35">
      <c r="A991" s="2" t="s">
        <v>2182</v>
      </c>
      <c r="B991" s="2" t="s">
        <v>54</v>
      </c>
      <c r="C991" s="2" t="s">
        <v>2192</v>
      </c>
      <c r="D991" s="2" t="s">
        <v>14</v>
      </c>
      <c r="E991" s="2" t="s">
        <v>15</v>
      </c>
      <c r="F991" s="2"/>
      <c r="G991" s="2"/>
      <c r="H991" s="2" t="s">
        <v>20</v>
      </c>
      <c r="I991" s="2" t="s">
        <v>1969</v>
      </c>
    </row>
    <row r="992" spans="1:9" x14ac:dyDescent="0.35">
      <c r="A992" s="2" t="s">
        <v>2182</v>
      </c>
      <c r="B992" s="2" t="s">
        <v>54</v>
      </c>
      <c r="C992" s="2" t="s">
        <v>2192</v>
      </c>
      <c r="D992" s="2" t="s">
        <v>91</v>
      </c>
      <c r="E992" s="2" t="s">
        <v>19</v>
      </c>
      <c r="F992" s="2" t="s">
        <v>20</v>
      </c>
      <c r="G992" s="2" t="s">
        <v>2193</v>
      </c>
      <c r="H992" s="2" t="s">
        <v>20</v>
      </c>
      <c r="I992" s="2" t="s">
        <v>1969</v>
      </c>
    </row>
    <row r="993" spans="1:9" x14ac:dyDescent="0.35">
      <c r="A993" s="2" t="s">
        <v>2182</v>
      </c>
      <c r="B993" s="2" t="s">
        <v>24</v>
      </c>
      <c r="C993" s="2" t="s">
        <v>2194</v>
      </c>
      <c r="D993" s="2" t="s">
        <v>130</v>
      </c>
      <c r="E993" s="2" t="s">
        <v>1653</v>
      </c>
      <c r="F993" s="2"/>
      <c r="G993" s="2"/>
      <c r="H993" s="2" t="s">
        <v>20</v>
      </c>
      <c r="I993" s="2" t="s">
        <v>1969</v>
      </c>
    </row>
    <row r="994" spans="1:9" x14ac:dyDescent="0.35">
      <c r="A994" s="2" t="s">
        <v>2182</v>
      </c>
      <c r="B994" s="2" t="s">
        <v>24</v>
      </c>
      <c r="C994" s="2" t="s">
        <v>2194</v>
      </c>
      <c r="D994" s="2" t="s">
        <v>27</v>
      </c>
      <c r="E994" s="2" t="s">
        <v>28</v>
      </c>
      <c r="F994" s="2" t="s">
        <v>20</v>
      </c>
      <c r="G994" s="2" t="s">
        <v>2195</v>
      </c>
      <c r="H994" s="2" t="s">
        <v>20</v>
      </c>
      <c r="I994" s="2" t="s">
        <v>1969</v>
      </c>
    </row>
    <row r="995" spans="1:9" x14ac:dyDescent="0.35">
      <c r="A995" s="2" t="s">
        <v>2182</v>
      </c>
      <c r="B995" s="2" t="s">
        <v>24</v>
      </c>
      <c r="C995" s="2" t="s">
        <v>2194</v>
      </c>
      <c r="D995" s="2" t="s">
        <v>2196</v>
      </c>
      <c r="E995" s="2" t="s">
        <v>98</v>
      </c>
      <c r="F995" s="2"/>
      <c r="G995" s="2"/>
      <c r="H995" s="2" t="s">
        <v>20</v>
      </c>
      <c r="I995" s="2" t="s">
        <v>1969</v>
      </c>
    </row>
    <row r="996" spans="1:9" x14ac:dyDescent="0.35">
      <c r="A996" s="2" t="s">
        <v>2182</v>
      </c>
      <c r="B996" s="2" t="s">
        <v>24</v>
      </c>
      <c r="C996" s="2" t="s">
        <v>2194</v>
      </c>
      <c r="D996" s="2" t="s">
        <v>121</v>
      </c>
      <c r="E996" s="2" t="s">
        <v>122</v>
      </c>
      <c r="F996" s="2" t="s">
        <v>20</v>
      </c>
      <c r="G996" s="2" t="s">
        <v>1674</v>
      </c>
      <c r="H996" s="2" t="s">
        <v>20</v>
      </c>
      <c r="I996" s="2" t="s">
        <v>1969</v>
      </c>
    </row>
    <row r="997" spans="1:9" x14ac:dyDescent="0.35">
      <c r="A997" s="2" t="s">
        <v>2182</v>
      </c>
      <c r="B997" s="2" t="s">
        <v>24</v>
      </c>
      <c r="C997" s="2" t="s">
        <v>2194</v>
      </c>
      <c r="D997" s="2" t="s">
        <v>438</v>
      </c>
      <c r="E997" s="2" t="s">
        <v>19</v>
      </c>
      <c r="F997" s="2" t="s">
        <v>20</v>
      </c>
      <c r="G997" s="2" t="s">
        <v>1671</v>
      </c>
      <c r="H997" s="2" t="s">
        <v>20</v>
      </c>
      <c r="I997" s="2" t="s">
        <v>1969</v>
      </c>
    </row>
    <row r="998" spans="1:9" x14ac:dyDescent="0.35">
      <c r="A998" s="2" t="s">
        <v>2182</v>
      </c>
      <c r="B998" s="2" t="s">
        <v>24</v>
      </c>
      <c r="C998" s="2" t="s">
        <v>2194</v>
      </c>
      <c r="D998" s="2" t="s">
        <v>91</v>
      </c>
      <c r="E998" s="2" t="s">
        <v>19</v>
      </c>
      <c r="F998" s="2" t="s">
        <v>20</v>
      </c>
      <c r="G998" s="2" t="s">
        <v>1671</v>
      </c>
      <c r="H998" s="2" t="s">
        <v>20</v>
      </c>
      <c r="I998" s="2" t="s">
        <v>1969</v>
      </c>
    </row>
    <row r="999" spans="1:9" x14ac:dyDescent="0.35">
      <c r="A999" s="2" t="s">
        <v>2182</v>
      </c>
      <c r="B999" s="2" t="s">
        <v>24</v>
      </c>
      <c r="C999" s="2" t="s">
        <v>2194</v>
      </c>
      <c r="D999" s="2" t="s">
        <v>87</v>
      </c>
      <c r="E999" s="2" t="s">
        <v>75</v>
      </c>
      <c r="F999" s="2" t="s">
        <v>20</v>
      </c>
      <c r="G999" s="2" t="s">
        <v>1667</v>
      </c>
      <c r="H999" s="2" t="s">
        <v>20</v>
      </c>
      <c r="I999" s="2" t="s">
        <v>1969</v>
      </c>
    </row>
    <row r="1000" spans="1:9" x14ac:dyDescent="0.35">
      <c r="A1000" s="2" t="s">
        <v>2182</v>
      </c>
      <c r="B1000" s="2" t="s">
        <v>24</v>
      </c>
      <c r="C1000" s="2" t="s">
        <v>2194</v>
      </c>
      <c r="D1000" s="2" t="s">
        <v>61</v>
      </c>
      <c r="E1000" s="2" t="s">
        <v>30</v>
      </c>
      <c r="F1000" s="2"/>
      <c r="G1000" s="2"/>
      <c r="H1000" s="2" t="s">
        <v>20</v>
      </c>
      <c r="I1000" s="2" t="s">
        <v>1969</v>
      </c>
    </row>
    <row r="1001" spans="1:9" x14ac:dyDescent="0.35">
      <c r="A1001" s="2" t="s">
        <v>2182</v>
      </c>
      <c r="B1001" s="2" t="s">
        <v>24</v>
      </c>
      <c r="C1001" s="2" t="s">
        <v>2194</v>
      </c>
      <c r="D1001" s="2" t="s">
        <v>1681</v>
      </c>
      <c r="E1001" s="2" t="s">
        <v>107</v>
      </c>
      <c r="F1001" s="2"/>
      <c r="G1001" s="2"/>
      <c r="H1001" s="2" t="s">
        <v>20</v>
      </c>
      <c r="I1001" s="2" t="s">
        <v>1969</v>
      </c>
    </row>
    <row r="1002" spans="1:9" x14ac:dyDescent="0.35">
      <c r="A1002" s="2" t="s">
        <v>2182</v>
      </c>
      <c r="B1002" s="2" t="s">
        <v>24</v>
      </c>
      <c r="C1002" s="2" t="s">
        <v>2197</v>
      </c>
      <c r="D1002" s="2" t="s">
        <v>27</v>
      </c>
      <c r="E1002" s="2" t="s">
        <v>28</v>
      </c>
      <c r="F1002" s="2" t="s">
        <v>20</v>
      </c>
      <c r="G1002" s="2" t="s">
        <v>2198</v>
      </c>
      <c r="H1002" s="2" t="s">
        <v>20</v>
      </c>
      <c r="I1002" s="2" t="s">
        <v>1969</v>
      </c>
    </row>
    <row r="1003" spans="1:9" x14ac:dyDescent="0.35">
      <c r="A1003" s="2" t="s">
        <v>2182</v>
      </c>
      <c r="B1003" s="2" t="s">
        <v>24</v>
      </c>
      <c r="C1003" s="2" t="s">
        <v>2197</v>
      </c>
      <c r="D1003" s="2" t="s">
        <v>487</v>
      </c>
      <c r="E1003" s="2" t="s">
        <v>75</v>
      </c>
      <c r="F1003" s="2"/>
      <c r="G1003" s="2"/>
      <c r="H1003" s="2" t="s">
        <v>20</v>
      </c>
      <c r="I1003" s="2" t="s">
        <v>1969</v>
      </c>
    </row>
    <row r="1004" spans="1:9" x14ac:dyDescent="0.35">
      <c r="A1004" s="2" t="s">
        <v>2182</v>
      </c>
      <c r="B1004" s="2" t="s">
        <v>62</v>
      </c>
      <c r="C1004" s="2" t="s">
        <v>2199</v>
      </c>
      <c r="D1004" s="2" t="s">
        <v>27</v>
      </c>
      <c r="E1004" s="2" t="s">
        <v>28</v>
      </c>
      <c r="F1004" s="2"/>
      <c r="G1004" s="2"/>
      <c r="H1004" s="2"/>
      <c r="I1004" s="2"/>
    </row>
    <row r="1005" spans="1:9" x14ac:dyDescent="0.35">
      <c r="A1005" s="2" t="s">
        <v>2182</v>
      </c>
      <c r="B1005" s="2" t="s">
        <v>62</v>
      </c>
      <c r="C1005" s="2" t="s">
        <v>2199</v>
      </c>
      <c r="D1005" s="2" t="s">
        <v>121</v>
      </c>
      <c r="E1005" s="2" t="s">
        <v>122</v>
      </c>
      <c r="F1005" s="2"/>
      <c r="G1005" s="2"/>
      <c r="H1005" s="2"/>
      <c r="I1005" s="2"/>
    </row>
    <row r="1006" spans="1:9" x14ac:dyDescent="0.35">
      <c r="A1006" s="2" t="s">
        <v>2182</v>
      </c>
      <c r="B1006" s="2" t="s">
        <v>62</v>
      </c>
      <c r="C1006" s="2" t="s">
        <v>2199</v>
      </c>
      <c r="D1006" s="2" t="s">
        <v>91</v>
      </c>
      <c r="E1006" s="2" t="s">
        <v>19</v>
      </c>
      <c r="F1006" s="2" t="s">
        <v>20</v>
      </c>
      <c r="G1006" s="2" t="s">
        <v>2200</v>
      </c>
      <c r="H1006" s="2"/>
      <c r="I1006" s="2"/>
    </row>
    <row r="1007" spans="1:9" x14ac:dyDescent="0.35">
      <c r="A1007" s="2" t="s">
        <v>2182</v>
      </c>
      <c r="B1007" s="2" t="s">
        <v>62</v>
      </c>
      <c r="C1007" s="2" t="s">
        <v>2199</v>
      </c>
      <c r="D1007" s="2" t="s">
        <v>61</v>
      </c>
      <c r="E1007" s="2" t="s">
        <v>30</v>
      </c>
      <c r="F1007" s="2"/>
      <c r="G1007" s="2"/>
      <c r="H1007" s="2"/>
      <c r="I1007" s="2"/>
    </row>
    <row r="1008" spans="1:9" x14ac:dyDescent="0.35">
      <c r="A1008" s="2" t="s">
        <v>2182</v>
      </c>
      <c r="B1008" s="2" t="s">
        <v>62</v>
      </c>
      <c r="C1008" s="2" t="s">
        <v>2199</v>
      </c>
      <c r="D1008" s="2" t="s">
        <v>1681</v>
      </c>
      <c r="E1008" s="2" t="s">
        <v>107</v>
      </c>
      <c r="F1008" s="2"/>
      <c r="G1008" s="2"/>
      <c r="H1008" s="2"/>
      <c r="I1008" s="2"/>
    </row>
    <row r="1009" spans="1:9" x14ac:dyDescent="0.35">
      <c r="A1009" s="2" t="s">
        <v>2182</v>
      </c>
      <c r="B1009" s="2" t="s">
        <v>12</v>
      </c>
      <c r="C1009" s="2" t="s">
        <v>2201</v>
      </c>
      <c r="D1009" s="2" t="s">
        <v>18</v>
      </c>
      <c r="E1009" s="2" t="s">
        <v>19</v>
      </c>
      <c r="F1009" s="2" t="s">
        <v>20</v>
      </c>
      <c r="G1009" s="2" t="s">
        <v>2202</v>
      </c>
      <c r="H1009" s="2" t="s">
        <v>20</v>
      </c>
      <c r="I1009" s="2" t="s">
        <v>1969</v>
      </c>
    </row>
    <row r="1010" spans="1:9" x14ac:dyDescent="0.35">
      <c r="A1010" s="2" t="s">
        <v>2182</v>
      </c>
      <c r="B1010" s="2" t="s">
        <v>12</v>
      </c>
      <c r="C1010" s="2" t="s">
        <v>2201</v>
      </c>
      <c r="D1010" s="2" t="s">
        <v>2004</v>
      </c>
      <c r="E1010" s="2" t="s">
        <v>107</v>
      </c>
      <c r="F1010" s="2"/>
      <c r="G1010" s="2"/>
      <c r="H1010" s="2" t="s">
        <v>20</v>
      </c>
      <c r="I1010" s="2" t="s">
        <v>1969</v>
      </c>
    </row>
    <row r="1011" spans="1:9" x14ac:dyDescent="0.35">
      <c r="A1011" s="2" t="s">
        <v>2182</v>
      </c>
      <c r="B1011" s="2" t="s">
        <v>62</v>
      </c>
      <c r="C1011" s="2" t="s">
        <v>2203</v>
      </c>
      <c r="D1011" s="2" t="s">
        <v>121</v>
      </c>
      <c r="E1011" s="2" t="s">
        <v>122</v>
      </c>
      <c r="F1011" s="2"/>
      <c r="G1011" s="2"/>
      <c r="H1011" s="2"/>
      <c r="I1011" s="2"/>
    </row>
    <row r="1012" spans="1:9" x14ac:dyDescent="0.35">
      <c r="A1012" s="2" t="s">
        <v>2182</v>
      </c>
      <c r="B1012" s="2" t="s">
        <v>62</v>
      </c>
      <c r="C1012" s="2" t="s">
        <v>2203</v>
      </c>
      <c r="D1012" s="2" t="s">
        <v>1681</v>
      </c>
      <c r="E1012" s="2" t="s">
        <v>107</v>
      </c>
      <c r="F1012" s="2"/>
      <c r="G1012" s="2"/>
      <c r="H1012" s="2"/>
      <c r="I1012" s="2"/>
    </row>
    <row r="1013" spans="1:9" x14ac:dyDescent="0.35">
      <c r="A1013" s="2" t="s">
        <v>2204</v>
      </c>
      <c r="B1013" s="2" t="s">
        <v>24</v>
      </c>
      <c r="C1013" s="2" t="s">
        <v>2205</v>
      </c>
      <c r="D1013" s="2" t="s">
        <v>91</v>
      </c>
      <c r="E1013" s="2" t="s">
        <v>19</v>
      </c>
      <c r="F1013" s="2" t="s">
        <v>20</v>
      </c>
      <c r="G1013" s="2" t="s">
        <v>2018</v>
      </c>
      <c r="H1013" s="2"/>
      <c r="I1013" s="2"/>
    </row>
    <row r="1014" spans="1:9" x14ac:dyDescent="0.35">
      <c r="A1014" s="2" t="s">
        <v>2204</v>
      </c>
      <c r="B1014" s="2" t="s">
        <v>62</v>
      </c>
      <c r="C1014" s="2" t="s">
        <v>2206</v>
      </c>
      <c r="D1014" s="2" t="s">
        <v>38</v>
      </c>
      <c r="E1014" s="2" t="s">
        <v>38</v>
      </c>
      <c r="F1014" s="2"/>
      <c r="G1014" s="2"/>
      <c r="H1014" s="2" t="s">
        <v>20</v>
      </c>
      <c r="I1014" s="2" t="s">
        <v>2207</v>
      </c>
    </row>
    <row r="1015" spans="1:9" x14ac:dyDescent="0.35">
      <c r="A1015" s="2" t="s">
        <v>2204</v>
      </c>
      <c r="B1015" s="2" t="s">
        <v>62</v>
      </c>
      <c r="C1015" s="2" t="s">
        <v>2206</v>
      </c>
      <c r="D1015" s="2" t="s">
        <v>61</v>
      </c>
      <c r="E1015" s="2" t="s">
        <v>30</v>
      </c>
      <c r="F1015" s="2"/>
      <c r="G1015" s="2"/>
      <c r="H1015" s="2" t="s">
        <v>20</v>
      </c>
      <c r="I1015" s="2" t="s">
        <v>2207</v>
      </c>
    </row>
    <row r="1016" spans="1:9" x14ac:dyDescent="0.35">
      <c r="A1016" s="2" t="s">
        <v>2204</v>
      </c>
      <c r="B1016" s="2" t="s">
        <v>62</v>
      </c>
      <c r="C1016" s="2" t="s">
        <v>2208</v>
      </c>
      <c r="D1016" s="2" t="s">
        <v>27</v>
      </c>
      <c r="E1016" s="2" t="s">
        <v>28</v>
      </c>
      <c r="F1016" s="2" t="s">
        <v>20</v>
      </c>
      <c r="G1016" s="2" t="s">
        <v>2209</v>
      </c>
      <c r="H1016" s="2"/>
      <c r="I1016" s="2"/>
    </row>
    <row r="1017" spans="1:9" x14ac:dyDescent="0.35">
      <c r="A1017" s="2" t="s">
        <v>2204</v>
      </c>
      <c r="B1017" s="2" t="s">
        <v>62</v>
      </c>
      <c r="C1017" s="2" t="s">
        <v>2208</v>
      </c>
      <c r="D1017" s="2" t="s">
        <v>91</v>
      </c>
      <c r="E1017" s="2" t="s">
        <v>19</v>
      </c>
      <c r="F1017" s="2" t="s">
        <v>20</v>
      </c>
      <c r="G1017" s="2" t="s">
        <v>2210</v>
      </c>
      <c r="H1017" s="2"/>
      <c r="I1017" s="2"/>
    </row>
    <row r="1018" spans="1:9" x14ac:dyDescent="0.35">
      <c r="A1018" s="2" t="s">
        <v>2204</v>
      </c>
      <c r="B1018" s="2" t="s">
        <v>54</v>
      </c>
      <c r="C1018" s="2" t="s">
        <v>2211</v>
      </c>
      <c r="D1018" s="2" t="s">
        <v>393</v>
      </c>
      <c r="E1018" s="2" t="s">
        <v>36</v>
      </c>
      <c r="F1018" s="2"/>
      <c r="G1018" s="2"/>
      <c r="H1018" s="2"/>
      <c r="I1018" s="2"/>
    </row>
    <row r="1019" spans="1:9" x14ac:dyDescent="0.35">
      <c r="A1019" s="2" t="s">
        <v>2204</v>
      </c>
      <c r="B1019" s="2" t="s">
        <v>54</v>
      </c>
      <c r="C1019" s="2" t="s">
        <v>2211</v>
      </c>
      <c r="D1019" s="2" t="s">
        <v>87</v>
      </c>
      <c r="E1019" s="2" t="s">
        <v>75</v>
      </c>
      <c r="F1019" s="2" t="s">
        <v>20</v>
      </c>
      <c r="G1019" s="2" t="s">
        <v>1977</v>
      </c>
      <c r="H1019" s="2"/>
      <c r="I1019" s="2"/>
    </row>
    <row r="1020" spans="1:9" x14ac:dyDescent="0.35">
      <c r="A1020" s="2" t="s">
        <v>2204</v>
      </c>
      <c r="B1020" s="2" t="s">
        <v>54</v>
      </c>
      <c r="C1020" s="2" t="s">
        <v>2211</v>
      </c>
      <c r="D1020" s="2" t="s">
        <v>18</v>
      </c>
      <c r="E1020" s="2" t="s">
        <v>19</v>
      </c>
      <c r="F1020" s="2" t="s">
        <v>20</v>
      </c>
      <c r="G1020" s="2" t="s">
        <v>2212</v>
      </c>
      <c r="H1020" s="2"/>
      <c r="I1020" s="2"/>
    </row>
    <row r="1021" spans="1:9" x14ac:dyDescent="0.35">
      <c r="A1021" s="2" t="s">
        <v>2204</v>
      </c>
      <c r="B1021" s="2" t="s">
        <v>57</v>
      </c>
      <c r="C1021" s="2" t="s">
        <v>2213</v>
      </c>
      <c r="D1021" s="2" t="s">
        <v>27</v>
      </c>
      <c r="E1021" s="2" t="s">
        <v>28</v>
      </c>
      <c r="F1021" s="2"/>
      <c r="G1021" s="2"/>
      <c r="H1021" s="2"/>
      <c r="I1021" s="2"/>
    </row>
    <row r="1022" spans="1:9" x14ac:dyDescent="0.35">
      <c r="A1022" s="2" t="s">
        <v>2204</v>
      </c>
      <c r="B1022" s="2" t="s">
        <v>57</v>
      </c>
      <c r="C1022" s="2" t="s">
        <v>2213</v>
      </c>
      <c r="D1022" s="2" t="s">
        <v>136</v>
      </c>
      <c r="E1022" s="2" t="s">
        <v>107</v>
      </c>
      <c r="F1022" s="2"/>
      <c r="G1022" s="2"/>
      <c r="H1022" s="2"/>
      <c r="I1022" s="2"/>
    </row>
    <row r="1023" spans="1:9" x14ac:dyDescent="0.35">
      <c r="A1023" s="2" t="s">
        <v>2204</v>
      </c>
      <c r="B1023" s="2" t="s">
        <v>57</v>
      </c>
      <c r="C1023" s="2" t="s">
        <v>2213</v>
      </c>
      <c r="D1023" s="2" t="s">
        <v>393</v>
      </c>
      <c r="E1023" s="2" t="s">
        <v>36</v>
      </c>
      <c r="F1023" s="2"/>
      <c r="G1023" s="2"/>
      <c r="H1023" s="2"/>
      <c r="I1023" s="2"/>
    </row>
    <row r="1024" spans="1:9" x14ac:dyDescent="0.35">
      <c r="A1024" s="2" t="s">
        <v>2204</v>
      </c>
      <c r="B1024" s="2" t="s">
        <v>57</v>
      </c>
      <c r="C1024" s="2" t="s">
        <v>2213</v>
      </c>
      <c r="D1024" s="2" t="s">
        <v>91</v>
      </c>
      <c r="E1024" s="2" t="s">
        <v>19</v>
      </c>
      <c r="F1024" s="2" t="s">
        <v>20</v>
      </c>
      <c r="G1024" s="2" t="s">
        <v>2214</v>
      </c>
      <c r="H1024" s="2"/>
      <c r="I1024" s="2"/>
    </row>
    <row r="1025" spans="1:9" x14ac:dyDescent="0.35">
      <c r="A1025" s="2" t="s">
        <v>2204</v>
      </c>
      <c r="B1025" s="2" t="s">
        <v>57</v>
      </c>
      <c r="C1025" s="2" t="s">
        <v>2213</v>
      </c>
      <c r="D1025" s="2" t="s">
        <v>158</v>
      </c>
      <c r="E1025" s="2" t="s">
        <v>40</v>
      </c>
      <c r="F1025" s="2"/>
      <c r="G1025" s="2"/>
      <c r="H1025" s="2"/>
      <c r="I1025" s="2"/>
    </row>
    <row r="1026" spans="1:9" x14ac:dyDescent="0.35">
      <c r="A1026" s="2" t="s">
        <v>2204</v>
      </c>
      <c r="B1026" s="2" t="s">
        <v>24</v>
      </c>
      <c r="C1026" s="2" t="s">
        <v>2215</v>
      </c>
      <c r="D1026" s="2" t="s">
        <v>951</v>
      </c>
      <c r="E1026" s="2" t="s">
        <v>83</v>
      </c>
      <c r="F1026" s="2"/>
      <c r="G1026" s="2"/>
      <c r="H1026" s="2"/>
      <c r="I1026" s="2"/>
    </row>
    <row r="1027" spans="1:9" x14ac:dyDescent="0.35">
      <c r="A1027" s="2" t="s">
        <v>2204</v>
      </c>
      <c r="B1027" s="2" t="s">
        <v>24</v>
      </c>
      <c r="C1027" s="2" t="s">
        <v>2215</v>
      </c>
      <c r="D1027" s="2" t="s">
        <v>35</v>
      </c>
      <c r="E1027" s="2" t="s">
        <v>36</v>
      </c>
      <c r="F1027" s="2"/>
      <c r="G1027" s="2"/>
      <c r="H1027" s="2"/>
      <c r="I1027" s="2"/>
    </row>
    <row r="1028" spans="1:9" x14ac:dyDescent="0.35">
      <c r="A1028" s="2" t="s">
        <v>2204</v>
      </c>
      <c r="B1028" s="2" t="s">
        <v>24</v>
      </c>
      <c r="C1028" s="2" t="s">
        <v>2215</v>
      </c>
      <c r="D1028" s="2" t="s">
        <v>91</v>
      </c>
      <c r="E1028" s="2" t="s">
        <v>19</v>
      </c>
      <c r="F1028" s="2" t="s">
        <v>20</v>
      </c>
      <c r="G1028" s="2" t="s">
        <v>2216</v>
      </c>
      <c r="H1028" s="2"/>
      <c r="I1028" s="2"/>
    </row>
    <row r="1029" spans="1:9" x14ac:dyDescent="0.35">
      <c r="A1029" s="2" t="s">
        <v>2204</v>
      </c>
      <c r="B1029" s="2" t="s">
        <v>24</v>
      </c>
      <c r="C1029" s="2" t="s">
        <v>2215</v>
      </c>
      <c r="D1029" s="2" t="s">
        <v>278</v>
      </c>
      <c r="E1029" s="2" t="s">
        <v>45</v>
      </c>
      <c r="F1029" s="2"/>
      <c r="G1029" s="2"/>
      <c r="H1029" s="2"/>
      <c r="I1029" s="2"/>
    </row>
    <row r="1030" spans="1:9" x14ac:dyDescent="0.35">
      <c r="A1030" s="2" t="s">
        <v>2204</v>
      </c>
      <c r="B1030" s="2" t="s">
        <v>62</v>
      </c>
      <c r="C1030" s="2" t="s">
        <v>2217</v>
      </c>
      <c r="D1030" s="2" t="s">
        <v>27</v>
      </c>
      <c r="E1030" s="2" t="s">
        <v>28</v>
      </c>
      <c r="F1030" s="2" t="s">
        <v>20</v>
      </c>
      <c r="G1030" s="2" t="s">
        <v>2218</v>
      </c>
      <c r="H1030" s="2"/>
      <c r="I1030" s="2"/>
    </row>
    <row r="1031" spans="1:9" x14ac:dyDescent="0.35">
      <c r="A1031" s="2" t="s">
        <v>2204</v>
      </c>
      <c r="B1031" s="2" t="s">
        <v>62</v>
      </c>
      <c r="C1031" s="2" t="s">
        <v>2217</v>
      </c>
      <c r="D1031" s="2" t="s">
        <v>82</v>
      </c>
      <c r="E1031" s="2" t="s">
        <v>83</v>
      </c>
      <c r="F1031" s="2" t="s">
        <v>20</v>
      </c>
      <c r="G1031" s="2" t="s">
        <v>1378</v>
      </c>
      <c r="H1031" s="2"/>
      <c r="I1031" s="2"/>
    </row>
    <row r="1032" spans="1:9" x14ac:dyDescent="0.35">
      <c r="A1032" s="2" t="s">
        <v>2204</v>
      </c>
      <c r="B1032" s="2" t="s">
        <v>62</v>
      </c>
      <c r="C1032" s="2" t="s">
        <v>2217</v>
      </c>
      <c r="D1032" s="2" t="s">
        <v>136</v>
      </c>
      <c r="E1032" s="2" t="s">
        <v>107</v>
      </c>
      <c r="F1032" s="2"/>
      <c r="G1032" s="2"/>
      <c r="H1032" s="2"/>
      <c r="I1032" s="2"/>
    </row>
    <row r="1033" spans="1:9" x14ac:dyDescent="0.35">
      <c r="A1033" s="2" t="s">
        <v>2204</v>
      </c>
      <c r="B1033" s="2" t="s">
        <v>62</v>
      </c>
      <c r="C1033" s="2" t="s">
        <v>2217</v>
      </c>
      <c r="D1033" s="2" t="s">
        <v>35</v>
      </c>
      <c r="E1033" s="2" t="s">
        <v>36</v>
      </c>
      <c r="F1033" s="2"/>
      <c r="G1033" s="2"/>
      <c r="H1033" s="2"/>
      <c r="I1033" s="2"/>
    </row>
    <row r="1034" spans="1:9" x14ac:dyDescent="0.35">
      <c r="A1034" s="2" t="s">
        <v>2204</v>
      </c>
      <c r="B1034" s="2" t="s">
        <v>62</v>
      </c>
      <c r="C1034" s="2" t="s">
        <v>2217</v>
      </c>
      <c r="D1034" s="2" t="s">
        <v>91</v>
      </c>
      <c r="E1034" s="2" t="s">
        <v>19</v>
      </c>
      <c r="F1034" s="2" t="s">
        <v>20</v>
      </c>
      <c r="G1034" s="2" t="s">
        <v>2219</v>
      </c>
      <c r="H1034" s="2"/>
      <c r="I1034" s="2"/>
    </row>
    <row r="1035" spans="1:9" x14ac:dyDescent="0.35">
      <c r="A1035" s="2" t="s">
        <v>2204</v>
      </c>
      <c r="B1035" s="2" t="s">
        <v>62</v>
      </c>
      <c r="C1035" s="2" t="s">
        <v>2217</v>
      </c>
      <c r="D1035" s="2" t="s">
        <v>61</v>
      </c>
      <c r="E1035" s="2" t="s">
        <v>30</v>
      </c>
      <c r="F1035" s="2"/>
      <c r="G1035" s="2"/>
      <c r="H1035" s="2"/>
      <c r="I1035" s="2"/>
    </row>
  </sheetData>
  <autoFilter ref="A1:I973" xr:uid="{00000000-0009-0000-0000-000004000000}"/>
  <pageMargins left="0.7" right="0.7" top="0.75" bottom="0.75" header="0.3" footer="0.3"/>
  <customProperties>
    <customPr name="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83"/>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2221</v>
      </c>
      <c r="B2" s="2" t="s">
        <v>24</v>
      </c>
      <c r="C2" s="2" t="s">
        <v>2222</v>
      </c>
      <c r="D2" s="2" t="s">
        <v>121</v>
      </c>
      <c r="E2" s="2" t="s">
        <v>122</v>
      </c>
      <c r="F2" s="2" t="s">
        <v>20</v>
      </c>
      <c r="G2" s="2" t="s">
        <v>2223</v>
      </c>
      <c r="H2" s="2"/>
      <c r="I2" s="2"/>
    </row>
    <row r="3" spans="1:9" x14ac:dyDescent="0.35">
      <c r="A3" s="2" t="s">
        <v>2221</v>
      </c>
      <c r="B3" s="2" t="s">
        <v>24</v>
      </c>
      <c r="C3" s="2" t="s">
        <v>2222</v>
      </c>
      <c r="D3" s="2" t="s">
        <v>2224</v>
      </c>
      <c r="E3" s="2" t="s">
        <v>19</v>
      </c>
      <c r="F3" s="2" t="s">
        <v>20</v>
      </c>
      <c r="G3" s="2" t="s">
        <v>1378</v>
      </c>
      <c r="H3" s="2"/>
      <c r="I3" s="2"/>
    </row>
    <row r="4" spans="1:9" x14ac:dyDescent="0.35">
      <c r="A4" s="2" t="s">
        <v>2225</v>
      </c>
      <c r="B4" s="2" t="s">
        <v>62</v>
      </c>
      <c r="C4" s="2" t="s">
        <v>2226</v>
      </c>
      <c r="D4" s="2" t="s">
        <v>27</v>
      </c>
      <c r="E4" s="2" t="s">
        <v>28</v>
      </c>
      <c r="F4" s="2"/>
      <c r="G4" s="2"/>
      <c r="H4" s="2" t="s">
        <v>20</v>
      </c>
      <c r="I4" s="2" t="s">
        <v>759</v>
      </c>
    </row>
    <row r="5" spans="1:9" x14ac:dyDescent="0.35">
      <c r="A5" s="2" t="s">
        <v>2225</v>
      </c>
      <c r="B5" s="2" t="s">
        <v>62</v>
      </c>
      <c r="C5" s="2" t="s">
        <v>2226</v>
      </c>
      <c r="D5" s="2" t="s">
        <v>35</v>
      </c>
      <c r="E5" s="2" t="s">
        <v>36</v>
      </c>
      <c r="F5" s="2" t="s">
        <v>20</v>
      </c>
      <c r="G5" s="2" t="s">
        <v>2227</v>
      </c>
      <c r="H5" s="2" t="s">
        <v>20</v>
      </c>
      <c r="I5" s="2" t="s">
        <v>759</v>
      </c>
    </row>
    <row r="6" spans="1:9" x14ac:dyDescent="0.35">
      <c r="A6" s="2" t="s">
        <v>2225</v>
      </c>
      <c r="B6" s="2" t="s">
        <v>62</v>
      </c>
      <c r="C6" s="2" t="s">
        <v>2226</v>
      </c>
      <c r="D6" s="2" t="s">
        <v>61</v>
      </c>
      <c r="E6" s="2" t="s">
        <v>30</v>
      </c>
      <c r="F6" s="2"/>
      <c r="G6" s="2"/>
      <c r="H6" s="2" t="s">
        <v>20</v>
      </c>
      <c r="I6" s="2" t="s">
        <v>759</v>
      </c>
    </row>
    <row r="7" spans="1:9" x14ac:dyDescent="0.35">
      <c r="A7" s="2" t="s">
        <v>2225</v>
      </c>
      <c r="B7" s="2" t="s">
        <v>57</v>
      </c>
      <c r="C7" s="2" t="s">
        <v>2228</v>
      </c>
      <c r="D7" s="2" t="s">
        <v>76</v>
      </c>
      <c r="E7" s="2" t="s">
        <v>75</v>
      </c>
      <c r="F7" s="2" t="s">
        <v>20</v>
      </c>
      <c r="G7" s="2" t="s">
        <v>2229</v>
      </c>
      <c r="H7" s="2" t="s">
        <v>20</v>
      </c>
      <c r="I7" s="2" t="s">
        <v>759</v>
      </c>
    </row>
    <row r="8" spans="1:9" x14ac:dyDescent="0.35">
      <c r="A8" s="2" t="s">
        <v>2225</v>
      </c>
      <c r="B8" s="2" t="s">
        <v>57</v>
      </c>
      <c r="C8" s="2" t="s">
        <v>2228</v>
      </c>
      <c r="D8" s="2" t="s">
        <v>2012</v>
      </c>
      <c r="E8" s="2" t="s">
        <v>36</v>
      </c>
      <c r="F8" s="2"/>
      <c r="G8" s="4"/>
      <c r="H8" s="2" t="s">
        <v>20</v>
      </c>
      <c r="I8" s="2" t="s">
        <v>759</v>
      </c>
    </row>
    <row r="9" spans="1:9" x14ac:dyDescent="0.35">
      <c r="A9" s="2" t="s">
        <v>2225</v>
      </c>
      <c r="B9" s="2" t="s">
        <v>57</v>
      </c>
      <c r="C9" s="2" t="s">
        <v>2228</v>
      </c>
      <c r="D9" s="2" t="s">
        <v>2055</v>
      </c>
      <c r="E9" s="2" t="s">
        <v>19</v>
      </c>
      <c r="F9" s="2" t="s">
        <v>20</v>
      </c>
      <c r="G9" s="2" t="s">
        <v>2230</v>
      </c>
      <c r="H9" s="2" t="s">
        <v>20</v>
      </c>
      <c r="I9" s="2" t="s">
        <v>759</v>
      </c>
    </row>
    <row r="10" spans="1:9" x14ac:dyDescent="0.35">
      <c r="A10" s="2" t="s">
        <v>2225</v>
      </c>
      <c r="B10" s="2" t="s">
        <v>24</v>
      </c>
      <c r="C10" s="2" t="s">
        <v>2231</v>
      </c>
      <c r="D10" s="2" t="s">
        <v>136</v>
      </c>
      <c r="E10" s="2" t="s">
        <v>107</v>
      </c>
      <c r="F10" s="2"/>
      <c r="G10" s="2"/>
      <c r="H10" s="2" t="s">
        <v>20</v>
      </c>
      <c r="I10" s="2" t="s">
        <v>759</v>
      </c>
    </row>
    <row r="11" spans="1:9" x14ac:dyDescent="0.35">
      <c r="A11" s="2" t="s">
        <v>2225</v>
      </c>
      <c r="B11" s="2" t="s">
        <v>24</v>
      </c>
      <c r="C11" s="2" t="s">
        <v>2231</v>
      </c>
      <c r="D11" s="2" t="s">
        <v>2232</v>
      </c>
      <c r="E11" s="2" t="s">
        <v>40</v>
      </c>
      <c r="F11" s="2"/>
      <c r="G11" s="2"/>
      <c r="H11" s="2" t="s">
        <v>20</v>
      </c>
      <c r="I11" s="2" t="s">
        <v>759</v>
      </c>
    </row>
    <row r="12" spans="1:9" x14ac:dyDescent="0.35">
      <c r="A12" s="2" t="s">
        <v>2225</v>
      </c>
      <c r="B12" s="2" t="s">
        <v>24</v>
      </c>
      <c r="C12" s="2" t="s">
        <v>2231</v>
      </c>
      <c r="D12" s="2" t="s">
        <v>2233</v>
      </c>
      <c r="E12" s="2" t="s">
        <v>363</v>
      </c>
      <c r="F12" s="2"/>
      <c r="G12" s="2"/>
      <c r="H12" s="2" t="s">
        <v>20</v>
      </c>
      <c r="I12" s="2" t="s">
        <v>759</v>
      </c>
    </row>
    <row r="13" spans="1:9" x14ac:dyDescent="0.35">
      <c r="A13" s="2" t="s">
        <v>2225</v>
      </c>
      <c r="B13" s="2" t="s">
        <v>24</v>
      </c>
      <c r="C13" s="2" t="s">
        <v>2231</v>
      </c>
      <c r="D13" s="2" t="s">
        <v>35</v>
      </c>
      <c r="E13" s="2" t="s">
        <v>36</v>
      </c>
      <c r="F13" s="2"/>
      <c r="G13" s="2"/>
      <c r="H13" s="2" t="s">
        <v>20</v>
      </c>
      <c r="I13" s="2" t="s">
        <v>759</v>
      </c>
    </row>
    <row r="14" spans="1:9" x14ac:dyDescent="0.35">
      <c r="A14" s="2" t="s">
        <v>2225</v>
      </c>
      <c r="B14" s="2" t="s">
        <v>24</v>
      </c>
      <c r="C14" s="2" t="s">
        <v>2231</v>
      </c>
      <c r="D14" s="2" t="s">
        <v>176</v>
      </c>
      <c r="E14" s="2" t="s">
        <v>40</v>
      </c>
      <c r="F14" s="2"/>
      <c r="G14" s="2"/>
      <c r="H14" s="2" t="s">
        <v>20</v>
      </c>
      <c r="I14" s="2" t="s">
        <v>759</v>
      </c>
    </row>
    <row r="15" spans="1:9" x14ac:dyDescent="0.35">
      <c r="A15" s="2" t="s">
        <v>2225</v>
      </c>
      <c r="B15" s="2" t="s">
        <v>24</v>
      </c>
      <c r="C15" s="2" t="s">
        <v>2231</v>
      </c>
      <c r="D15" s="2" t="s">
        <v>2234</v>
      </c>
      <c r="E15" s="2" t="s">
        <v>19</v>
      </c>
      <c r="F15" s="2" t="s">
        <v>20</v>
      </c>
      <c r="G15" s="2" t="s">
        <v>2235</v>
      </c>
      <c r="H15" s="2" t="s">
        <v>20</v>
      </c>
      <c r="I15" s="2" t="s">
        <v>759</v>
      </c>
    </row>
    <row r="16" spans="1:9" x14ac:dyDescent="0.35">
      <c r="A16" s="2" t="s">
        <v>2225</v>
      </c>
      <c r="B16" s="2" t="s">
        <v>62</v>
      </c>
      <c r="C16" s="2" t="s">
        <v>2236</v>
      </c>
      <c r="D16" s="2" t="s">
        <v>27</v>
      </c>
      <c r="E16" s="2" t="s">
        <v>28</v>
      </c>
      <c r="F16" s="2"/>
      <c r="G16" s="2"/>
      <c r="H16" s="2" t="s">
        <v>20</v>
      </c>
      <c r="I16" s="2" t="s">
        <v>759</v>
      </c>
    </row>
    <row r="17" spans="1:9" x14ac:dyDescent="0.35">
      <c r="A17" s="2" t="s">
        <v>2225</v>
      </c>
      <c r="B17" s="2" t="s">
        <v>62</v>
      </c>
      <c r="C17" s="2" t="s">
        <v>2236</v>
      </c>
      <c r="D17" s="2" t="s">
        <v>423</v>
      </c>
      <c r="E17" s="2" t="s">
        <v>424</v>
      </c>
      <c r="F17" s="2" t="s">
        <v>20</v>
      </c>
      <c r="G17" s="2" t="s">
        <v>2237</v>
      </c>
      <c r="H17" s="2" t="s">
        <v>20</v>
      </c>
      <c r="I17" s="2" t="s">
        <v>759</v>
      </c>
    </row>
    <row r="18" spans="1:9" x14ac:dyDescent="0.35">
      <c r="A18" s="2" t="s">
        <v>2225</v>
      </c>
      <c r="B18" s="2" t="s">
        <v>62</v>
      </c>
      <c r="C18" s="2" t="s">
        <v>2236</v>
      </c>
      <c r="D18" s="2" t="s">
        <v>127</v>
      </c>
      <c r="E18" s="2" t="s">
        <v>107</v>
      </c>
      <c r="F18" s="2"/>
      <c r="G18" s="2"/>
      <c r="H18" s="2" t="s">
        <v>20</v>
      </c>
      <c r="I18" s="2" t="s">
        <v>759</v>
      </c>
    </row>
    <row r="19" spans="1:9" x14ac:dyDescent="0.35">
      <c r="A19" s="2" t="s">
        <v>2225</v>
      </c>
      <c r="B19" s="2" t="s">
        <v>62</v>
      </c>
      <c r="C19" s="2" t="s">
        <v>2238</v>
      </c>
      <c r="D19" s="2" t="s">
        <v>76</v>
      </c>
      <c r="E19" s="2" t="s">
        <v>75</v>
      </c>
      <c r="F19" s="2" t="s">
        <v>20</v>
      </c>
      <c r="G19" s="2" t="s">
        <v>2239</v>
      </c>
      <c r="H19" s="2" t="s">
        <v>20</v>
      </c>
      <c r="I19" s="2" t="s">
        <v>759</v>
      </c>
    </row>
    <row r="20" spans="1:9" x14ac:dyDescent="0.35">
      <c r="A20" s="2" t="s">
        <v>2225</v>
      </c>
      <c r="B20" s="2" t="s">
        <v>62</v>
      </c>
      <c r="C20" s="2" t="s">
        <v>2238</v>
      </c>
      <c r="D20" s="2" t="s">
        <v>87</v>
      </c>
      <c r="E20" s="2" t="s">
        <v>75</v>
      </c>
      <c r="F20" s="2" t="s">
        <v>20</v>
      </c>
      <c r="G20" s="2" t="s">
        <v>2239</v>
      </c>
      <c r="H20" s="2" t="s">
        <v>20</v>
      </c>
      <c r="I20" s="2" t="s">
        <v>759</v>
      </c>
    </row>
    <row r="21" spans="1:9" x14ac:dyDescent="0.35">
      <c r="A21" s="2" t="s">
        <v>2225</v>
      </c>
      <c r="B21" s="2" t="s">
        <v>62</v>
      </c>
      <c r="C21" s="2" t="s">
        <v>2238</v>
      </c>
      <c r="D21" s="2" t="s">
        <v>61</v>
      </c>
      <c r="E21" s="2" t="s">
        <v>30</v>
      </c>
      <c r="F21" s="2"/>
      <c r="G21" s="2"/>
      <c r="H21" s="2" t="s">
        <v>20</v>
      </c>
      <c r="I21" s="2" t="s">
        <v>759</v>
      </c>
    </row>
    <row r="22" spans="1:9" x14ac:dyDescent="0.35">
      <c r="A22" s="2" t="s">
        <v>2225</v>
      </c>
      <c r="B22" s="2" t="s">
        <v>24</v>
      </c>
      <c r="C22" s="2" t="s">
        <v>2240</v>
      </c>
      <c r="D22" s="2" t="s">
        <v>136</v>
      </c>
      <c r="E22" s="2" t="s">
        <v>107</v>
      </c>
      <c r="F22" s="2" t="s">
        <v>20</v>
      </c>
      <c r="G22" s="2" t="s">
        <v>1378</v>
      </c>
      <c r="H22" s="2" t="s">
        <v>20</v>
      </c>
      <c r="I22" s="2" t="s">
        <v>759</v>
      </c>
    </row>
    <row r="23" spans="1:9" x14ac:dyDescent="0.35">
      <c r="A23" s="2" t="s">
        <v>2225</v>
      </c>
      <c r="B23" s="2" t="s">
        <v>24</v>
      </c>
      <c r="C23" s="2" t="s">
        <v>2240</v>
      </c>
      <c r="D23" s="2" t="s">
        <v>423</v>
      </c>
      <c r="E23" s="2" t="s">
        <v>424</v>
      </c>
      <c r="F23" s="2"/>
      <c r="G23" s="2"/>
      <c r="H23" s="2" t="s">
        <v>20</v>
      </c>
      <c r="I23" s="2" t="s">
        <v>759</v>
      </c>
    </row>
    <row r="24" spans="1:9" x14ac:dyDescent="0.35">
      <c r="A24" s="2" t="s">
        <v>2241</v>
      </c>
      <c r="B24" s="2" t="s">
        <v>57</v>
      </c>
      <c r="C24" s="2" t="s">
        <v>2242</v>
      </c>
      <c r="D24" s="2" t="s">
        <v>82</v>
      </c>
      <c r="E24" s="2" t="s">
        <v>83</v>
      </c>
      <c r="F24" s="2" t="s">
        <v>20</v>
      </c>
      <c r="G24" s="2" t="s">
        <v>2243</v>
      </c>
      <c r="H24" s="2" t="s">
        <v>20</v>
      </c>
      <c r="I24" s="2" t="s">
        <v>2244</v>
      </c>
    </row>
    <row r="25" spans="1:9" x14ac:dyDescent="0.35">
      <c r="A25" s="2" t="s">
        <v>2241</v>
      </c>
      <c r="B25" s="2" t="s">
        <v>57</v>
      </c>
      <c r="C25" s="2" t="s">
        <v>2242</v>
      </c>
      <c r="D25" s="2" t="s">
        <v>815</v>
      </c>
      <c r="E25" s="2" t="s">
        <v>122</v>
      </c>
      <c r="F25" s="2" t="s">
        <v>20</v>
      </c>
      <c r="G25" s="2" t="s">
        <v>2245</v>
      </c>
      <c r="H25" s="2" t="s">
        <v>20</v>
      </c>
      <c r="I25" s="2" t="s">
        <v>2244</v>
      </c>
    </row>
    <row r="26" spans="1:9" x14ac:dyDescent="0.35">
      <c r="A26" s="2" t="s">
        <v>2241</v>
      </c>
      <c r="B26" s="2" t="s">
        <v>57</v>
      </c>
      <c r="C26" s="2" t="s">
        <v>2242</v>
      </c>
      <c r="D26" s="2" t="s">
        <v>121</v>
      </c>
      <c r="E26" s="2" t="s">
        <v>122</v>
      </c>
      <c r="F26" s="2" t="s">
        <v>20</v>
      </c>
      <c r="G26" s="2" t="s">
        <v>2246</v>
      </c>
      <c r="H26" s="2" t="s">
        <v>20</v>
      </c>
      <c r="I26" s="2" t="s">
        <v>2244</v>
      </c>
    </row>
    <row r="27" spans="1:9" x14ac:dyDescent="0.35">
      <c r="A27" s="2" t="s">
        <v>2241</v>
      </c>
      <c r="B27" s="2" t="s">
        <v>57</v>
      </c>
      <c r="C27" s="2" t="s">
        <v>2242</v>
      </c>
      <c r="D27" s="2" t="s">
        <v>213</v>
      </c>
      <c r="E27" s="2" t="s">
        <v>45</v>
      </c>
      <c r="F27" s="2" t="s">
        <v>20</v>
      </c>
      <c r="G27" s="2" t="s">
        <v>2247</v>
      </c>
      <c r="H27" s="2" t="s">
        <v>20</v>
      </c>
      <c r="I27" s="2" t="s">
        <v>2244</v>
      </c>
    </row>
    <row r="28" spans="1:9" x14ac:dyDescent="0.35">
      <c r="A28" s="2" t="s">
        <v>2248</v>
      </c>
      <c r="B28" s="2" t="s">
        <v>12</v>
      </c>
      <c r="C28" s="2" t="s">
        <v>2249</v>
      </c>
      <c r="D28" s="2" t="s">
        <v>130</v>
      </c>
      <c r="E28" s="2" t="s">
        <v>36</v>
      </c>
      <c r="F28" s="2"/>
      <c r="G28" s="2"/>
      <c r="H28" s="2"/>
      <c r="I28" s="2"/>
    </row>
    <row r="29" spans="1:9" x14ac:dyDescent="0.35">
      <c r="A29" s="2" t="s">
        <v>2248</v>
      </c>
      <c r="B29" s="2" t="s">
        <v>12</v>
      </c>
      <c r="C29" s="2" t="s">
        <v>2249</v>
      </c>
      <c r="D29" s="2" t="s">
        <v>2224</v>
      </c>
      <c r="E29" s="2" t="s">
        <v>19</v>
      </c>
      <c r="F29" s="2" t="s">
        <v>20</v>
      </c>
      <c r="G29" s="2" t="s">
        <v>2250</v>
      </c>
      <c r="H29" s="2"/>
      <c r="I29" s="2"/>
    </row>
    <row r="30" spans="1:9" x14ac:dyDescent="0.35">
      <c r="A30" s="2" t="s">
        <v>2248</v>
      </c>
      <c r="B30" s="2" t="s">
        <v>12</v>
      </c>
      <c r="C30" s="2" t="s">
        <v>2249</v>
      </c>
      <c r="D30" s="2" t="s">
        <v>61</v>
      </c>
      <c r="E30" s="2" t="s">
        <v>30</v>
      </c>
      <c r="F30" s="2"/>
      <c r="G30" s="2"/>
      <c r="H30" s="2"/>
      <c r="I30" s="2"/>
    </row>
    <row r="31" spans="1:9" x14ac:dyDescent="0.35">
      <c r="A31" s="2" t="s">
        <v>2248</v>
      </c>
      <c r="B31" s="2" t="s">
        <v>57</v>
      </c>
      <c r="C31" s="2" t="s">
        <v>2251</v>
      </c>
      <c r="D31" s="2" t="s">
        <v>130</v>
      </c>
      <c r="E31" s="2" t="s">
        <v>36</v>
      </c>
      <c r="F31" s="2"/>
      <c r="G31" s="2"/>
      <c r="H31" s="2"/>
      <c r="I31" s="2"/>
    </row>
    <row r="32" spans="1:9" x14ac:dyDescent="0.35">
      <c r="A32" s="2" t="s">
        <v>2248</v>
      </c>
      <c r="B32" s="2" t="s">
        <v>57</v>
      </c>
      <c r="C32" s="2" t="s">
        <v>2251</v>
      </c>
      <c r="D32" s="2" t="s">
        <v>155</v>
      </c>
      <c r="E32" s="2" t="s">
        <v>32</v>
      </c>
      <c r="F32" s="2"/>
      <c r="G32" s="2"/>
      <c r="H32" s="2"/>
      <c r="I32" s="2"/>
    </row>
    <row r="33" spans="1:9" x14ac:dyDescent="0.35">
      <c r="A33" s="2" t="s">
        <v>2248</v>
      </c>
      <c r="B33" s="2" t="s">
        <v>57</v>
      </c>
      <c r="C33" s="2" t="s">
        <v>2251</v>
      </c>
      <c r="D33" s="2" t="s">
        <v>121</v>
      </c>
      <c r="E33" s="2" t="s">
        <v>122</v>
      </c>
      <c r="F33" s="2"/>
      <c r="G33" s="2"/>
      <c r="H33" s="2"/>
      <c r="I33" s="2"/>
    </row>
    <row r="34" spans="1:9" x14ac:dyDescent="0.35">
      <c r="A34" s="2" t="s">
        <v>2248</v>
      </c>
      <c r="B34" s="2" t="s">
        <v>57</v>
      </c>
      <c r="C34" s="2" t="s">
        <v>2251</v>
      </c>
      <c r="D34" s="2" t="s">
        <v>213</v>
      </c>
      <c r="E34" s="2" t="s">
        <v>45</v>
      </c>
      <c r="F34" s="2" t="s">
        <v>20</v>
      </c>
      <c r="G34" s="2" t="s">
        <v>2252</v>
      </c>
      <c r="H34" s="2"/>
      <c r="I34" s="2"/>
    </row>
    <row r="35" spans="1:9" x14ac:dyDescent="0.35">
      <c r="A35" s="2" t="s">
        <v>2248</v>
      </c>
      <c r="B35" s="2" t="s">
        <v>57</v>
      </c>
      <c r="C35" s="2" t="s">
        <v>2251</v>
      </c>
      <c r="D35" s="2" t="s">
        <v>1982</v>
      </c>
      <c r="E35" s="2" t="s">
        <v>847</v>
      </c>
      <c r="F35" s="2"/>
      <c r="G35" s="2"/>
      <c r="H35" s="2"/>
      <c r="I35" s="2"/>
    </row>
    <row r="36" spans="1:9" x14ac:dyDescent="0.35">
      <c r="A36" s="2" t="s">
        <v>2248</v>
      </c>
      <c r="B36" s="2" t="s">
        <v>24</v>
      </c>
      <c r="C36" s="2" t="s">
        <v>2253</v>
      </c>
      <c r="D36" s="2" t="s">
        <v>130</v>
      </c>
      <c r="E36" s="2" t="s">
        <v>36</v>
      </c>
      <c r="F36" s="2"/>
      <c r="G36" s="2"/>
      <c r="H36" s="2"/>
      <c r="I36" s="2"/>
    </row>
    <row r="37" spans="1:9" x14ac:dyDescent="0.35">
      <c r="A37" s="2" t="s">
        <v>2248</v>
      </c>
      <c r="B37" s="2" t="s">
        <v>24</v>
      </c>
      <c r="C37" s="2" t="s">
        <v>2253</v>
      </c>
      <c r="D37" s="2" t="s">
        <v>121</v>
      </c>
      <c r="E37" s="2" t="s">
        <v>122</v>
      </c>
      <c r="F37" s="2"/>
      <c r="G37" s="2"/>
      <c r="H37" s="2"/>
      <c r="I37" s="2"/>
    </row>
    <row r="38" spans="1:9" x14ac:dyDescent="0.35">
      <c r="A38" s="2" t="s">
        <v>2248</v>
      </c>
      <c r="B38" s="2" t="s">
        <v>24</v>
      </c>
      <c r="C38" s="2" t="s">
        <v>2253</v>
      </c>
      <c r="D38" s="2" t="s">
        <v>87</v>
      </c>
      <c r="E38" s="2" t="s">
        <v>75</v>
      </c>
      <c r="F38" s="2"/>
      <c r="G38" s="2"/>
      <c r="H38" s="2"/>
      <c r="I38" s="2"/>
    </row>
    <row r="39" spans="1:9" x14ac:dyDescent="0.35">
      <c r="A39" s="2" t="s">
        <v>2248</v>
      </c>
      <c r="B39" s="2" t="s">
        <v>24</v>
      </c>
      <c r="C39" s="2" t="s">
        <v>2254</v>
      </c>
      <c r="D39" s="2" t="s">
        <v>815</v>
      </c>
      <c r="E39" s="2" t="s">
        <v>122</v>
      </c>
      <c r="F39" s="2" t="s">
        <v>46</v>
      </c>
      <c r="G39" s="2" t="s">
        <v>47</v>
      </c>
      <c r="H39" s="2"/>
      <c r="I39" s="2"/>
    </row>
    <row r="40" spans="1:9" x14ac:dyDescent="0.35">
      <c r="A40" s="2" t="s">
        <v>2248</v>
      </c>
      <c r="B40" s="2" t="s">
        <v>24</v>
      </c>
      <c r="C40" s="2" t="s">
        <v>2254</v>
      </c>
      <c r="D40" s="2" t="s">
        <v>87</v>
      </c>
      <c r="E40" s="2" t="s">
        <v>75</v>
      </c>
      <c r="F40" s="2" t="s">
        <v>20</v>
      </c>
      <c r="G40" s="2" t="s">
        <v>2252</v>
      </c>
      <c r="H40" s="2"/>
      <c r="I40" s="2"/>
    </row>
    <row r="41" spans="1:9" x14ac:dyDescent="0.35">
      <c r="A41" s="2" t="s">
        <v>2248</v>
      </c>
      <c r="B41" s="2" t="s">
        <v>24</v>
      </c>
      <c r="C41" s="2" t="s">
        <v>2254</v>
      </c>
      <c r="D41" s="2" t="s">
        <v>61</v>
      </c>
      <c r="E41" s="2" t="s">
        <v>30</v>
      </c>
      <c r="F41" s="2" t="s">
        <v>46</v>
      </c>
      <c r="G41" s="2" t="s">
        <v>47</v>
      </c>
      <c r="H41" s="2"/>
      <c r="I41" s="2"/>
    </row>
    <row r="42" spans="1:9" x14ac:dyDescent="0.35">
      <c r="A42" s="2" t="s">
        <v>2248</v>
      </c>
      <c r="B42" s="2" t="s">
        <v>24</v>
      </c>
      <c r="C42" s="2" t="s">
        <v>2255</v>
      </c>
      <c r="D42" s="2" t="s">
        <v>2256</v>
      </c>
      <c r="E42" s="2" t="s">
        <v>30</v>
      </c>
      <c r="F42" s="2"/>
      <c r="G42" s="2"/>
      <c r="H42" s="2"/>
      <c r="I42" s="2"/>
    </row>
    <row r="43" spans="1:9" x14ac:dyDescent="0.35">
      <c r="A43" s="2" t="s">
        <v>2248</v>
      </c>
      <c r="B43" s="2" t="s">
        <v>24</v>
      </c>
      <c r="C43" s="2" t="s">
        <v>2255</v>
      </c>
      <c r="D43" s="2" t="s">
        <v>120</v>
      </c>
      <c r="E43" s="2" t="s">
        <v>32</v>
      </c>
      <c r="F43" s="2"/>
      <c r="G43" s="2"/>
      <c r="H43" s="2"/>
      <c r="I43" s="2"/>
    </row>
    <row r="44" spans="1:9" x14ac:dyDescent="0.35">
      <c r="A44" s="2" t="s">
        <v>2248</v>
      </c>
      <c r="B44" s="2" t="s">
        <v>24</v>
      </c>
      <c r="C44" s="2" t="s">
        <v>2255</v>
      </c>
      <c r="D44" s="2" t="s">
        <v>121</v>
      </c>
      <c r="E44" s="2" t="s">
        <v>122</v>
      </c>
      <c r="F44" s="2"/>
      <c r="G44" s="2"/>
      <c r="H44" s="2"/>
      <c r="I44" s="2"/>
    </row>
    <row r="45" spans="1:9" x14ac:dyDescent="0.35">
      <c r="A45" s="2" t="s">
        <v>2248</v>
      </c>
      <c r="B45" s="2" t="s">
        <v>24</v>
      </c>
      <c r="C45" s="2" t="s">
        <v>2255</v>
      </c>
      <c r="D45" s="2" t="s">
        <v>87</v>
      </c>
      <c r="E45" s="2" t="s">
        <v>75</v>
      </c>
      <c r="F45" s="2" t="s">
        <v>20</v>
      </c>
      <c r="G45" s="2" t="s">
        <v>2257</v>
      </c>
      <c r="H45" s="2"/>
      <c r="I45" s="2"/>
    </row>
    <row r="46" spans="1:9" x14ac:dyDescent="0.35">
      <c r="A46" s="2" t="s">
        <v>2248</v>
      </c>
      <c r="B46" s="2" t="s">
        <v>24</v>
      </c>
      <c r="C46" s="2" t="s">
        <v>2255</v>
      </c>
      <c r="D46" s="2" t="s">
        <v>18</v>
      </c>
      <c r="E46" s="2" t="s">
        <v>1679</v>
      </c>
      <c r="F46" s="2"/>
      <c r="G46" s="2"/>
      <c r="H46" s="2"/>
      <c r="I46" s="2"/>
    </row>
    <row r="47" spans="1:9" x14ac:dyDescent="0.35">
      <c r="A47" s="2" t="s">
        <v>2248</v>
      </c>
      <c r="B47" s="2" t="s">
        <v>24</v>
      </c>
      <c r="C47" s="2" t="s">
        <v>2255</v>
      </c>
      <c r="D47" s="2" t="s">
        <v>127</v>
      </c>
      <c r="E47" s="2" t="s">
        <v>107</v>
      </c>
      <c r="F47" s="2"/>
      <c r="G47" s="2"/>
      <c r="H47" s="2"/>
      <c r="I47" s="2"/>
    </row>
    <row r="48" spans="1:9" x14ac:dyDescent="0.35">
      <c r="A48" s="2" t="s">
        <v>2258</v>
      </c>
      <c r="B48" s="2" t="s">
        <v>24</v>
      </c>
      <c r="C48" s="2" t="s">
        <v>2259</v>
      </c>
      <c r="D48" s="2" t="s">
        <v>130</v>
      </c>
      <c r="E48" s="2" t="s">
        <v>36</v>
      </c>
      <c r="F48" s="2" t="s">
        <v>20</v>
      </c>
      <c r="G48" s="2" t="s">
        <v>2260</v>
      </c>
      <c r="H48" s="2"/>
      <c r="I48" s="2"/>
    </row>
    <row r="49" spans="1:9" x14ac:dyDescent="0.35">
      <c r="A49" s="2" t="s">
        <v>2258</v>
      </c>
      <c r="B49" s="2" t="s">
        <v>24</v>
      </c>
      <c r="C49" s="2" t="s">
        <v>2259</v>
      </c>
      <c r="D49" s="2" t="s">
        <v>121</v>
      </c>
      <c r="E49" s="2" t="s">
        <v>122</v>
      </c>
      <c r="F49" s="2" t="s">
        <v>20</v>
      </c>
      <c r="G49" s="2" t="s">
        <v>2260</v>
      </c>
      <c r="H49" s="2"/>
      <c r="I49" s="2"/>
    </row>
    <row r="50" spans="1:9" x14ac:dyDescent="0.35">
      <c r="A50" s="2" t="s">
        <v>2258</v>
      </c>
      <c r="B50" s="2" t="s">
        <v>24</v>
      </c>
      <c r="C50" s="2" t="s">
        <v>2259</v>
      </c>
      <c r="D50" s="2" t="s">
        <v>87</v>
      </c>
      <c r="E50" s="2" t="s">
        <v>75</v>
      </c>
      <c r="F50" s="2" t="s">
        <v>20</v>
      </c>
      <c r="G50" s="2" t="s">
        <v>2260</v>
      </c>
      <c r="H50" s="2"/>
      <c r="I50" s="2"/>
    </row>
    <row r="51" spans="1:9" x14ac:dyDescent="0.35">
      <c r="A51" s="2" t="s">
        <v>2258</v>
      </c>
      <c r="B51" s="2" t="s">
        <v>62</v>
      </c>
      <c r="C51" s="2" t="s">
        <v>2261</v>
      </c>
      <c r="D51" s="2" t="s">
        <v>106</v>
      </c>
      <c r="E51" s="2" t="s">
        <v>107</v>
      </c>
      <c r="F51" s="2"/>
      <c r="G51" s="2"/>
      <c r="H51" s="2"/>
      <c r="I51" s="2"/>
    </row>
    <row r="52" spans="1:9" x14ac:dyDescent="0.35">
      <c r="A52" s="2" t="s">
        <v>2258</v>
      </c>
      <c r="B52" s="2" t="s">
        <v>57</v>
      </c>
      <c r="C52" s="2" t="s">
        <v>2262</v>
      </c>
      <c r="D52" s="2" t="s">
        <v>130</v>
      </c>
      <c r="E52" s="2" t="s">
        <v>36</v>
      </c>
      <c r="F52" s="2"/>
      <c r="G52" s="2"/>
      <c r="H52" s="2"/>
      <c r="I52" s="2"/>
    </row>
    <row r="53" spans="1:9" x14ac:dyDescent="0.35">
      <c r="A53" s="2" t="s">
        <v>2258</v>
      </c>
      <c r="B53" s="2" t="s">
        <v>57</v>
      </c>
      <c r="C53" s="2" t="s">
        <v>2262</v>
      </c>
      <c r="D53" s="2" t="s">
        <v>121</v>
      </c>
      <c r="E53" s="2" t="s">
        <v>122</v>
      </c>
      <c r="F53" s="2"/>
      <c r="G53" s="2"/>
      <c r="H53" s="2"/>
      <c r="I53" s="2"/>
    </row>
    <row r="54" spans="1:9" x14ac:dyDescent="0.35">
      <c r="A54" s="2" t="s">
        <v>2258</v>
      </c>
      <c r="B54" s="2" t="s">
        <v>57</v>
      </c>
      <c r="C54" s="2" t="s">
        <v>2262</v>
      </c>
      <c r="D54" s="2" t="s">
        <v>91</v>
      </c>
      <c r="E54" s="2" t="s">
        <v>19</v>
      </c>
      <c r="F54" s="2" t="s">
        <v>20</v>
      </c>
      <c r="G54" s="2" t="s">
        <v>2263</v>
      </c>
      <c r="H54" s="2"/>
      <c r="I54" s="2"/>
    </row>
    <row r="55" spans="1:9" x14ac:dyDescent="0.35">
      <c r="A55" s="2" t="s">
        <v>2258</v>
      </c>
      <c r="B55" s="2" t="s">
        <v>24</v>
      </c>
      <c r="C55" s="2" t="s">
        <v>2264</v>
      </c>
      <c r="D55" s="2" t="s">
        <v>27</v>
      </c>
      <c r="E55" s="2" t="s">
        <v>28</v>
      </c>
      <c r="F55" s="2"/>
      <c r="G55" s="2"/>
      <c r="H55" s="2"/>
      <c r="I55" s="2"/>
    </row>
    <row r="56" spans="1:9" x14ac:dyDescent="0.35">
      <c r="A56" s="2" t="s">
        <v>2258</v>
      </c>
      <c r="B56" s="2" t="s">
        <v>24</v>
      </c>
      <c r="C56" s="2" t="s">
        <v>2264</v>
      </c>
      <c r="D56" s="2" t="s">
        <v>38</v>
      </c>
      <c r="E56" s="2" t="s">
        <v>38</v>
      </c>
      <c r="F56" s="2"/>
      <c r="G56" s="2"/>
      <c r="H56" s="2"/>
      <c r="I56" s="2"/>
    </row>
    <row r="57" spans="1:9" x14ac:dyDescent="0.35">
      <c r="A57" s="2" t="s">
        <v>2258</v>
      </c>
      <c r="B57" s="2" t="s">
        <v>24</v>
      </c>
      <c r="C57" s="2" t="s">
        <v>2264</v>
      </c>
      <c r="D57" s="2" t="s">
        <v>35</v>
      </c>
      <c r="E57" s="2" t="s">
        <v>36</v>
      </c>
      <c r="F57" s="2" t="s">
        <v>20</v>
      </c>
      <c r="G57" s="2" t="s">
        <v>2265</v>
      </c>
      <c r="H57" s="2"/>
      <c r="I57" s="2"/>
    </row>
    <row r="58" spans="1:9" x14ac:dyDescent="0.35">
      <c r="A58" s="2" t="s">
        <v>2258</v>
      </c>
      <c r="B58" s="2" t="s">
        <v>24</v>
      </c>
      <c r="C58" s="2" t="s">
        <v>2264</v>
      </c>
      <c r="D58" s="2" t="s">
        <v>87</v>
      </c>
      <c r="E58" s="2" t="s">
        <v>75</v>
      </c>
      <c r="F58" s="2"/>
      <c r="G58" s="2"/>
      <c r="H58" s="2"/>
      <c r="I58" s="2"/>
    </row>
    <row r="59" spans="1:9" x14ac:dyDescent="0.35">
      <c r="A59" s="2" t="s">
        <v>2258</v>
      </c>
      <c r="B59" s="2" t="s">
        <v>24</v>
      </c>
      <c r="C59" s="2" t="s">
        <v>2264</v>
      </c>
      <c r="D59" s="2" t="s">
        <v>188</v>
      </c>
      <c r="E59" s="2" t="s">
        <v>189</v>
      </c>
      <c r="F59" s="2"/>
      <c r="G59" s="2"/>
      <c r="H59" s="2"/>
      <c r="I59" s="2"/>
    </row>
    <row r="60" spans="1:9" x14ac:dyDescent="0.35">
      <c r="A60" s="2" t="s">
        <v>2258</v>
      </c>
      <c r="B60" s="2" t="s">
        <v>24</v>
      </c>
      <c r="C60" s="2" t="s">
        <v>2264</v>
      </c>
      <c r="D60" s="2" t="s">
        <v>112</v>
      </c>
      <c r="E60" s="2" t="s">
        <v>2025</v>
      </c>
      <c r="F60" s="2"/>
      <c r="G60" s="2"/>
      <c r="H60" s="2"/>
      <c r="I60" s="2"/>
    </row>
    <row r="61" spans="1:9" x14ac:dyDescent="0.35">
      <c r="A61" s="2" t="s">
        <v>2266</v>
      </c>
      <c r="B61" s="2" t="s">
        <v>57</v>
      </c>
      <c r="C61" s="2" t="s">
        <v>2267</v>
      </c>
      <c r="D61" s="2" t="s">
        <v>130</v>
      </c>
      <c r="E61" s="2" t="s">
        <v>36</v>
      </c>
      <c r="F61" s="2" t="s">
        <v>20</v>
      </c>
      <c r="G61" s="2" t="s">
        <v>2268</v>
      </c>
      <c r="H61" s="2"/>
      <c r="I61" s="2"/>
    </row>
    <row r="62" spans="1:9" x14ac:dyDescent="0.35">
      <c r="A62" s="2" t="s">
        <v>2266</v>
      </c>
      <c r="B62" s="2" t="s">
        <v>57</v>
      </c>
      <c r="C62" s="2" t="s">
        <v>2267</v>
      </c>
      <c r="D62" s="2" t="s">
        <v>120</v>
      </c>
      <c r="E62" s="2" t="s">
        <v>32</v>
      </c>
      <c r="F62" s="2"/>
      <c r="G62" s="2"/>
      <c r="H62" s="2"/>
      <c r="I62" s="2"/>
    </row>
    <row r="63" spans="1:9" x14ac:dyDescent="0.35">
      <c r="A63" s="2" t="s">
        <v>2266</v>
      </c>
      <c r="B63" s="2" t="s">
        <v>24</v>
      </c>
      <c r="C63" s="2" t="s">
        <v>2269</v>
      </c>
      <c r="D63" s="2" t="s">
        <v>130</v>
      </c>
      <c r="E63" s="2" t="s">
        <v>36</v>
      </c>
      <c r="F63" s="2" t="s">
        <v>20</v>
      </c>
      <c r="G63" s="2" t="s">
        <v>2270</v>
      </c>
      <c r="H63" s="2"/>
      <c r="I63" s="2"/>
    </row>
    <row r="64" spans="1:9" x14ac:dyDescent="0.35">
      <c r="A64" s="2" t="s">
        <v>2266</v>
      </c>
      <c r="B64" s="2" t="s">
        <v>24</v>
      </c>
      <c r="C64" s="2" t="s">
        <v>2269</v>
      </c>
      <c r="D64" s="2" t="s">
        <v>998</v>
      </c>
      <c r="E64" s="2" t="s">
        <v>40</v>
      </c>
      <c r="F64" s="2" t="s">
        <v>20</v>
      </c>
      <c r="G64" s="2" t="s">
        <v>2270</v>
      </c>
      <c r="H64" s="2"/>
      <c r="I64" s="2"/>
    </row>
    <row r="65" spans="1:9" x14ac:dyDescent="0.35">
      <c r="A65" s="2" t="s">
        <v>2266</v>
      </c>
      <c r="B65" s="2" t="s">
        <v>24</v>
      </c>
      <c r="C65" s="2" t="s">
        <v>2269</v>
      </c>
      <c r="D65" s="2" t="s">
        <v>87</v>
      </c>
      <c r="E65" s="2" t="s">
        <v>75</v>
      </c>
      <c r="F65" s="2" t="s">
        <v>20</v>
      </c>
      <c r="G65" s="2" t="s">
        <v>2270</v>
      </c>
      <c r="H65" s="2"/>
      <c r="I65" s="2"/>
    </row>
    <row r="66" spans="1:9" x14ac:dyDescent="0.35">
      <c r="A66" s="2" t="s">
        <v>2266</v>
      </c>
      <c r="B66" s="2" t="s">
        <v>24</v>
      </c>
      <c r="C66" s="2" t="s">
        <v>2269</v>
      </c>
      <c r="D66" s="2" t="s">
        <v>61</v>
      </c>
      <c r="E66" s="2" t="s">
        <v>1204</v>
      </c>
      <c r="F66" s="2" t="s">
        <v>20</v>
      </c>
      <c r="G66" s="2" t="s">
        <v>2270</v>
      </c>
      <c r="H66" s="2"/>
      <c r="I66" s="2"/>
    </row>
    <row r="67" spans="1:9" x14ac:dyDescent="0.35">
      <c r="A67" s="2" t="s">
        <v>2266</v>
      </c>
      <c r="B67" s="2" t="s">
        <v>24</v>
      </c>
      <c r="C67" s="2" t="s">
        <v>2269</v>
      </c>
      <c r="D67" s="2" t="s">
        <v>207</v>
      </c>
      <c r="E67" s="2" t="s">
        <v>122</v>
      </c>
      <c r="F67" s="2" t="s">
        <v>20</v>
      </c>
      <c r="G67" s="2" t="s">
        <v>2270</v>
      </c>
      <c r="H67" s="2"/>
      <c r="I67" s="2"/>
    </row>
    <row r="68" spans="1:9" x14ac:dyDescent="0.35">
      <c r="A68" s="2" t="s">
        <v>2266</v>
      </c>
      <c r="B68" s="2" t="s">
        <v>54</v>
      </c>
      <c r="C68" s="2" t="s">
        <v>2271</v>
      </c>
      <c r="D68" s="2" t="s">
        <v>130</v>
      </c>
      <c r="E68" s="2" t="s">
        <v>36</v>
      </c>
      <c r="F68" s="2"/>
      <c r="G68" s="2"/>
      <c r="H68" s="2"/>
      <c r="I68" s="2"/>
    </row>
    <row r="69" spans="1:9" x14ac:dyDescent="0.35">
      <c r="A69" s="2" t="s">
        <v>2266</v>
      </c>
      <c r="B69" s="2" t="s">
        <v>54</v>
      </c>
      <c r="C69" s="2" t="s">
        <v>2271</v>
      </c>
      <c r="D69" s="2" t="s">
        <v>121</v>
      </c>
      <c r="E69" s="2" t="s">
        <v>122</v>
      </c>
      <c r="F69" s="2"/>
      <c r="G69" s="2"/>
      <c r="H69" s="2"/>
      <c r="I69" s="2"/>
    </row>
    <row r="70" spans="1:9" x14ac:dyDescent="0.35">
      <c r="A70" s="2" t="s">
        <v>2266</v>
      </c>
      <c r="B70" s="2" t="s">
        <v>54</v>
      </c>
      <c r="C70" s="2" t="s">
        <v>2271</v>
      </c>
      <c r="D70" s="2" t="s">
        <v>87</v>
      </c>
      <c r="E70" s="2" t="s">
        <v>75</v>
      </c>
      <c r="F70" s="2"/>
      <c r="G70" s="2"/>
      <c r="H70" s="2"/>
      <c r="I70" s="2"/>
    </row>
    <row r="71" spans="1:9" x14ac:dyDescent="0.35">
      <c r="A71" s="2" t="s">
        <v>2266</v>
      </c>
      <c r="B71" s="2" t="s">
        <v>54</v>
      </c>
      <c r="C71" s="2" t="s">
        <v>2271</v>
      </c>
      <c r="D71" s="2" t="s">
        <v>18</v>
      </c>
      <c r="E71" s="2" t="s">
        <v>1679</v>
      </c>
      <c r="F71" s="2" t="s">
        <v>20</v>
      </c>
      <c r="G71" s="2" t="s">
        <v>2272</v>
      </c>
      <c r="H71" s="2"/>
      <c r="I71" s="2"/>
    </row>
    <row r="72" spans="1:9" x14ac:dyDescent="0.35">
      <c r="A72" s="2" t="s">
        <v>2266</v>
      </c>
      <c r="B72" s="2" t="s">
        <v>54</v>
      </c>
      <c r="C72" s="2" t="s">
        <v>2271</v>
      </c>
      <c r="D72" s="2" t="s">
        <v>61</v>
      </c>
      <c r="E72" s="2" t="s">
        <v>1204</v>
      </c>
      <c r="F72" s="2"/>
      <c r="G72" s="2"/>
      <c r="H72" s="2"/>
      <c r="I72" s="2"/>
    </row>
    <row r="73" spans="1:9" x14ac:dyDescent="0.35">
      <c r="A73" s="2" t="s">
        <v>2273</v>
      </c>
      <c r="B73" s="2" t="s">
        <v>62</v>
      </c>
      <c r="C73" s="2" t="s">
        <v>2274</v>
      </c>
      <c r="D73" s="2" t="s">
        <v>27</v>
      </c>
      <c r="E73" s="2" t="s">
        <v>28</v>
      </c>
      <c r="F73" s="2" t="s">
        <v>20</v>
      </c>
      <c r="G73" s="2" t="s">
        <v>2275</v>
      </c>
      <c r="H73" s="2" t="s">
        <v>20</v>
      </c>
      <c r="I73" s="2" t="s">
        <v>759</v>
      </c>
    </row>
    <row r="74" spans="1:9" x14ac:dyDescent="0.35">
      <c r="A74" s="2" t="s">
        <v>2273</v>
      </c>
      <c r="B74" s="2" t="s">
        <v>62</v>
      </c>
      <c r="C74" s="2" t="s">
        <v>2274</v>
      </c>
      <c r="D74" s="2" t="s">
        <v>423</v>
      </c>
      <c r="E74" s="2" t="s">
        <v>424</v>
      </c>
      <c r="F74" s="2"/>
      <c r="G74" s="2"/>
      <c r="H74" s="2" t="s">
        <v>20</v>
      </c>
      <c r="I74" s="2" t="s">
        <v>759</v>
      </c>
    </row>
    <row r="75" spans="1:9" x14ac:dyDescent="0.35">
      <c r="A75" s="2" t="s">
        <v>2276</v>
      </c>
      <c r="B75" s="2" t="s">
        <v>12</v>
      </c>
      <c r="C75" s="2" t="s">
        <v>2277</v>
      </c>
      <c r="D75" s="2" t="s">
        <v>14</v>
      </c>
      <c r="E75" s="2" t="s">
        <v>15</v>
      </c>
      <c r="F75" s="2"/>
      <c r="G75" s="2"/>
      <c r="H75" s="2" t="s">
        <v>20</v>
      </c>
      <c r="I75" s="2" t="s">
        <v>2278</v>
      </c>
    </row>
    <row r="76" spans="1:9" x14ac:dyDescent="0.35">
      <c r="A76" s="2" t="s">
        <v>2276</v>
      </c>
      <c r="B76" s="2" t="s">
        <v>12</v>
      </c>
      <c r="C76" s="2" t="s">
        <v>2277</v>
      </c>
      <c r="D76" s="2" t="s">
        <v>29</v>
      </c>
      <c r="E76" s="2" t="s">
        <v>30</v>
      </c>
      <c r="F76" s="2"/>
      <c r="G76" s="2"/>
      <c r="H76" s="2" t="s">
        <v>20</v>
      </c>
      <c r="I76" s="2" t="s">
        <v>2278</v>
      </c>
    </row>
    <row r="77" spans="1:9" x14ac:dyDescent="0.35">
      <c r="A77" s="2" t="s">
        <v>2276</v>
      </c>
      <c r="B77" s="2" t="s">
        <v>12</v>
      </c>
      <c r="C77" s="2" t="s">
        <v>2277</v>
      </c>
      <c r="D77" s="2" t="s">
        <v>120</v>
      </c>
      <c r="E77" s="2" t="s">
        <v>32</v>
      </c>
      <c r="F77" s="2"/>
      <c r="G77" s="2"/>
      <c r="H77" s="2" t="s">
        <v>20</v>
      </c>
      <c r="I77" s="2" t="s">
        <v>2278</v>
      </c>
    </row>
    <row r="78" spans="1:9" x14ac:dyDescent="0.35">
      <c r="A78" s="2" t="s">
        <v>2276</v>
      </c>
      <c r="B78" s="2" t="s">
        <v>12</v>
      </c>
      <c r="C78" s="2" t="s">
        <v>2277</v>
      </c>
      <c r="D78" s="2" t="s">
        <v>172</v>
      </c>
      <c r="E78" s="2" t="s">
        <v>65</v>
      </c>
      <c r="F78" s="2"/>
      <c r="G78" s="2"/>
      <c r="H78" s="2" t="s">
        <v>20</v>
      </c>
      <c r="I78" s="2" t="s">
        <v>2278</v>
      </c>
    </row>
    <row r="79" spans="1:9" x14ac:dyDescent="0.35">
      <c r="A79" s="2" t="s">
        <v>2276</v>
      </c>
      <c r="B79" s="2" t="s">
        <v>12</v>
      </c>
      <c r="C79" s="2" t="s">
        <v>2277</v>
      </c>
      <c r="D79" s="2" t="s">
        <v>82</v>
      </c>
      <c r="E79" s="2" t="s">
        <v>83</v>
      </c>
      <c r="F79" s="2"/>
      <c r="G79" s="2"/>
      <c r="H79" s="2" t="s">
        <v>20</v>
      </c>
      <c r="I79" s="2" t="s">
        <v>2278</v>
      </c>
    </row>
    <row r="80" spans="1:9" x14ac:dyDescent="0.35">
      <c r="A80" s="2" t="s">
        <v>2276</v>
      </c>
      <c r="B80" s="2" t="s">
        <v>12</v>
      </c>
      <c r="C80" s="2" t="s">
        <v>2277</v>
      </c>
      <c r="D80" s="2" t="s">
        <v>77</v>
      </c>
      <c r="E80" s="2" t="s">
        <v>78</v>
      </c>
      <c r="F80" s="2"/>
      <c r="G80" s="2"/>
      <c r="H80" s="2" t="s">
        <v>20</v>
      </c>
      <c r="I80" s="2" t="s">
        <v>2278</v>
      </c>
    </row>
    <row r="81" spans="1:9" x14ac:dyDescent="0.35">
      <c r="A81" s="2" t="s">
        <v>2276</v>
      </c>
      <c r="B81" s="2" t="s">
        <v>12</v>
      </c>
      <c r="C81" s="2" t="s">
        <v>2277</v>
      </c>
      <c r="D81" s="2" t="s">
        <v>91</v>
      </c>
      <c r="E81" s="2" t="s">
        <v>19</v>
      </c>
      <c r="F81" s="2" t="s">
        <v>2279</v>
      </c>
      <c r="G81" s="2" t="s">
        <v>2280</v>
      </c>
      <c r="H81" s="2" t="s">
        <v>20</v>
      </c>
      <c r="I81" s="2" t="s">
        <v>2278</v>
      </c>
    </row>
    <row r="82" spans="1:9" x14ac:dyDescent="0.35">
      <c r="A82" s="2" t="s">
        <v>2276</v>
      </c>
      <c r="B82" s="2" t="s">
        <v>12</v>
      </c>
      <c r="C82" s="2" t="s">
        <v>2277</v>
      </c>
      <c r="D82" s="2" t="s">
        <v>87</v>
      </c>
      <c r="E82" s="2" t="s">
        <v>75</v>
      </c>
      <c r="F82" s="2" t="s">
        <v>20</v>
      </c>
      <c r="G82" s="2" t="s">
        <v>2281</v>
      </c>
      <c r="H82" s="2" t="s">
        <v>20</v>
      </c>
      <c r="I82" s="2" t="s">
        <v>2278</v>
      </c>
    </row>
    <row r="83" spans="1:9" x14ac:dyDescent="0.35">
      <c r="A83" s="2" t="s">
        <v>2276</v>
      </c>
      <c r="B83" s="2" t="s">
        <v>12</v>
      </c>
      <c r="C83" s="2" t="s">
        <v>2277</v>
      </c>
      <c r="D83" s="2" t="s">
        <v>188</v>
      </c>
      <c r="E83" s="2" t="s">
        <v>189</v>
      </c>
      <c r="F83" s="2"/>
      <c r="G83" s="2"/>
      <c r="H83" s="2" t="s">
        <v>20</v>
      </c>
      <c r="I83" s="2" t="s">
        <v>2278</v>
      </c>
    </row>
    <row r="84" spans="1:9" x14ac:dyDescent="0.35">
      <c r="A84" s="2" t="s">
        <v>2276</v>
      </c>
      <c r="B84" s="2" t="s">
        <v>12</v>
      </c>
      <c r="C84" s="2" t="s">
        <v>2277</v>
      </c>
      <c r="D84" s="2" t="s">
        <v>2282</v>
      </c>
      <c r="E84" s="2" t="s">
        <v>28</v>
      </c>
      <c r="F84" s="2" t="s">
        <v>2279</v>
      </c>
      <c r="G84" s="2" t="s">
        <v>2283</v>
      </c>
      <c r="H84" s="2" t="s">
        <v>20</v>
      </c>
      <c r="I84" s="2" t="s">
        <v>2278</v>
      </c>
    </row>
    <row r="85" spans="1:9" x14ac:dyDescent="0.35">
      <c r="A85" s="2" t="s">
        <v>2276</v>
      </c>
      <c r="B85" s="2" t="s">
        <v>12</v>
      </c>
      <c r="C85" s="2" t="s">
        <v>2277</v>
      </c>
      <c r="D85" s="2" t="s">
        <v>2284</v>
      </c>
      <c r="E85" s="2" t="s">
        <v>45</v>
      </c>
      <c r="F85" s="2" t="s">
        <v>2279</v>
      </c>
      <c r="G85" s="2" t="s">
        <v>2285</v>
      </c>
      <c r="H85" s="2" t="s">
        <v>20</v>
      </c>
      <c r="I85" s="2" t="s">
        <v>2278</v>
      </c>
    </row>
    <row r="86" spans="1:9" x14ac:dyDescent="0.35">
      <c r="A86" s="2" t="s">
        <v>2276</v>
      </c>
      <c r="B86" s="2" t="s">
        <v>12</v>
      </c>
      <c r="C86" s="2" t="s">
        <v>2286</v>
      </c>
      <c r="D86" s="2" t="s">
        <v>74</v>
      </c>
      <c r="E86" s="2" t="s">
        <v>75</v>
      </c>
      <c r="F86" s="2" t="s">
        <v>2279</v>
      </c>
      <c r="G86" s="2" t="s">
        <v>2287</v>
      </c>
      <c r="H86" s="2" t="s">
        <v>20</v>
      </c>
      <c r="I86" s="2" t="s">
        <v>2278</v>
      </c>
    </row>
    <row r="87" spans="1:9" x14ac:dyDescent="0.35">
      <c r="A87" s="2" t="s">
        <v>2276</v>
      </c>
      <c r="B87" s="2" t="s">
        <v>12</v>
      </c>
      <c r="C87" s="2" t="s">
        <v>2286</v>
      </c>
      <c r="D87" s="2" t="s">
        <v>649</v>
      </c>
      <c r="E87" s="2" t="s">
        <v>363</v>
      </c>
      <c r="F87" s="2" t="s">
        <v>2279</v>
      </c>
      <c r="G87" s="2" t="s">
        <v>2235</v>
      </c>
      <c r="H87" s="2" t="s">
        <v>20</v>
      </c>
      <c r="I87" s="2" t="s">
        <v>2278</v>
      </c>
    </row>
    <row r="88" spans="1:9" x14ac:dyDescent="0.35">
      <c r="A88" s="2" t="s">
        <v>2276</v>
      </c>
      <c r="B88" s="2" t="s">
        <v>12</v>
      </c>
      <c r="C88" s="2" t="s">
        <v>2286</v>
      </c>
      <c r="D88" s="2" t="s">
        <v>188</v>
      </c>
      <c r="E88" s="2" t="s">
        <v>189</v>
      </c>
      <c r="F88" s="2"/>
      <c r="G88" s="2"/>
      <c r="H88" s="2" t="s">
        <v>20</v>
      </c>
      <c r="I88" s="2" t="s">
        <v>2278</v>
      </c>
    </row>
    <row r="89" spans="1:9" x14ac:dyDescent="0.35">
      <c r="A89" s="2" t="s">
        <v>2276</v>
      </c>
      <c r="B89" s="2" t="s">
        <v>12</v>
      </c>
      <c r="C89" s="2" t="s">
        <v>2286</v>
      </c>
      <c r="D89" s="2" t="s">
        <v>127</v>
      </c>
      <c r="E89" s="2" t="s">
        <v>107</v>
      </c>
      <c r="F89" s="2"/>
      <c r="G89" s="2"/>
      <c r="H89" s="2" t="s">
        <v>20</v>
      </c>
      <c r="I89" s="2" t="s">
        <v>2278</v>
      </c>
    </row>
    <row r="90" spans="1:9" x14ac:dyDescent="0.35">
      <c r="A90" s="2" t="s">
        <v>2276</v>
      </c>
      <c r="B90" s="2" t="s">
        <v>62</v>
      </c>
      <c r="C90" s="2" t="s">
        <v>2288</v>
      </c>
      <c r="D90" s="2" t="s">
        <v>144</v>
      </c>
      <c r="E90" s="2" t="s">
        <v>50</v>
      </c>
      <c r="F90" s="2"/>
      <c r="G90" s="2"/>
      <c r="H90" s="2" t="s">
        <v>20</v>
      </c>
      <c r="I90" s="2" t="s">
        <v>2289</v>
      </c>
    </row>
    <row r="91" spans="1:9" x14ac:dyDescent="0.35">
      <c r="A91" s="2" t="s">
        <v>2276</v>
      </c>
      <c r="B91" s="2" t="s">
        <v>62</v>
      </c>
      <c r="C91" s="2" t="s">
        <v>2288</v>
      </c>
      <c r="D91" s="2" t="s">
        <v>27</v>
      </c>
      <c r="E91" s="2" t="s">
        <v>28</v>
      </c>
      <c r="F91" s="2"/>
      <c r="G91" s="2"/>
      <c r="H91" s="2" t="s">
        <v>20</v>
      </c>
      <c r="I91" s="2" t="s">
        <v>2289</v>
      </c>
    </row>
    <row r="92" spans="1:9" x14ac:dyDescent="0.35">
      <c r="A92" s="2" t="s">
        <v>2276</v>
      </c>
      <c r="B92" s="2" t="s">
        <v>62</v>
      </c>
      <c r="C92" s="2" t="s">
        <v>2288</v>
      </c>
      <c r="D92" s="2" t="s">
        <v>76</v>
      </c>
      <c r="E92" s="2" t="s">
        <v>75</v>
      </c>
      <c r="F92" s="2"/>
      <c r="G92" s="2"/>
      <c r="H92" s="2" t="s">
        <v>20</v>
      </c>
      <c r="I92" s="2" t="s">
        <v>2289</v>
      </c>
    </row>
    <row r="93" spans="1:9" x14ac:dyDescent="0.35">
      <c r="A93" s="2" t="s">
        <v>2276</v>
      </c>
      <c r="B93" s="2" t="s">
        <v>62</v>
      </c>
      <c r="C93" s="2" t="s">
        <v>2288</v>
      </c>
      <c r="D93" s="2" t="s">
        <v>269</v>
      </c>
      <c r="E93" s="2" t="s">
        <v>270</v>
      </c>
      <c r="F93" s="2"/>
      <c r="G93" s="2"/>
      <c r="H93" s="2" t="s">
        <v>20</v>
      </c>
      <c r="I93" s="2" t="s">
        <v>2289</v>
      </c>
    </row>
    <row r="94" spans="1:9" x14ac:dyDescent="0.35">
      <c r="A94" s="2" t="s">
        <v>2276</v>
      </c>
      <c r="B94" s="2" t="s">
        <v>62</v>
      </c>
      <c r="C94" s="2" t="s">
        <v>2288</v>
      </c>
      <c r="D94" s="2" t="s">
        <v>91</v>
      </c>
      <c r="E94" s="2" t="s">
        <v>19</v>
      </c>
      <c r="F94" s="2"/>
      <c r="G94" s="2"/>
      <c r="H94" s="2" t="s">
        <v>20</v>
      </c>
      <c r="I94" s="2" t="s">
        <v>2289</v>
      </c>
    </row>
    <row r="95" spans="1:9" x14ac:dyDescent="0.35">
      <c r="A95" s="2" t="s">
        <v>2276</v>
      </c>
      <c r="B95" s="2" t="s">
        <v>62</v>
      </c>
      <c r="C95" s="2" t="s">
        <v>2288</v>
      </c>
      <c r="D95" s="2" t="s">
        <v>35</v>
      </c>
      <c r="E95" s="2" t="s">
        <v>36</v>
      </c>
      <c r="F95" s="2" t="s">
        <v>20</v>
      </c>
      <c r="G95" s="2" t="s">
        <v>2290</v>
      </c>
      <c r="H95" s="2" t="s">
        <v>20</v>
      </c>
      <c r="I95" s="2" t="s">
        <v>2289</v>
      </c>
    </row>
    <row r="96" spans="1:9" x14ac:dyDescent="0.35">
      <c r="A96" s="2" t="s">
        <v>2276</v>
      </c>
      <c r="B96" s="2" t="s">
        <v>62</v>
      </c>
      <c r="C96" s="2" t="s">
        <v>2288</v>
      </c>
      <c r="D96" s="2" t="s">
        <v>61</v>
      </c>
      <c r="E96" s="2" t="s">
        <v>30</v>
      </c>
      <c r="F96" s="2" t="s">
        <v>20</v>
      </c>
      <c r="G96" s="2" t="s">
        <v>2235</v>
      </c>
      <c r="H96" s="2" t="s">
        <v>20</v>
      </c>
      <c r="I96" s="2" t="s">
        <v>2289</v>
      </c>
    </row>
    <row r="97" spans="1:9" x14ac:dyDescent="0.35">
      <c r="A97" s="2" t="s">
        <v>2276</v>
      </c>
      <c r="B97" s="2" t="s">
        <v>62</v>
      </c>
      <c r="C97" s="2" t="s">
        <v>2288</v>
      </c>
      <c r="D97" s="2" t="s">
        <v>188</v>
      </c>
      <c r="E97" s="2" t="s">
        <v>189</v>
      </c>
      <c r="F97" s="2"/>
      <c r="G97" s="2"/>
      <c r="H97" s="2" t="s">
        <v>20</v>
      </c>
      <c r="I97" s="2" t="s">
        <v>2289</v>
      </c>
    </row>
    <row r="98" spans="1:9" x14ac:dyDescent="0.35">
      <c r="A98" s="2" t="s">
        <v>2276</v>
      </c>
      <c r="B98" s="2" t="s">
        <v>62</v>
      </c>
      <c r="C98" s="2" t="s">
        <v>2291</v>
      </c>
      <c r="D98" s="2" t="s">
        <v>144</v>
      </c>
      <c r="E98" s="2" t="s">
        <v>50</v>
      </c>
      <c r="F98" s="2" t="s">
        <v>46</v>
      </c>
      <c r="G98" s="2" t="s">
        <v>2292</v>
      </c>
      <c r="H98" s="2" t="s">
        <v>20</v>
      </c>
      <c r="I98" s="2" t="s">
        <v>2289</v>
      </c>
    </row>
    <row r="99" spans="1:9" x14ac:dyDescent="0.35">
      <c r="A99" s="2" t="s">
        <v>2276</v>
      </c>
      <c r="B99" s="2" t="s">
        <v>62</v>
      </c>
      <c r="C99" s="2" t="s">
        <v>2291</v>
      </c>
      <c r="D99" s="2" t="s">
        <v>27</v>
      </c>
      <c r="E99" s="2" t="s">
        <v>28</v>
      </c>
      <c r="F99" s="2" t="s">
        <v>46</v>
      </c>
      <c r="G99" s="2" t="s">
        <v>2292</v>
      </c>
      <c r="H99" s="2" t="s">
        <v>20</v>
      </c>
      <c r="I99" s="2" t="s">
        <v>2289</v>
      </c>
    </row>
    <row r="100" spans="1:9" x14ac:dyDescent="0.35">
      <c r="A100" s="2" t="s">
        <v>2276</v>
      </c>
      <c r="B100" s="2" t="s">
        <v>62</v>
      </c>
      <c r="C100" s="2" t="s">
        <v>2291</v>
      </c>
      <c r="D100" s="2" t="s">
        <v>76</v>
      </c>
      <c r="E100" s="2" t="s">
        <v>75</v>
      </c>
      <c r="F100" s="2" t="s">
        <v>46</v>
      </c>
      <c r="G100" s="2" t="s">
        <v>2292</v>
      </c>
      <c r="H100" s="2" t="s">
        <v>20</v>
      </c>
      <c r="I100" s="2" t="s">
        <v>2289</v>
      </c>
    </row>
    <row r="101" spans="1:9" x14ac:dyDescent="0.35">
      <c r="A101" s="2" t="s">
        <v>2276</v>
      </c>
      <c r="B101" s="2" t="s">
        <v>62</v>
      </c>
      <c r="C101" s="2" t="s">
        <v>2291</v>
      </c>
      <c r="D101" s="2" t="s">
        <v>35</v>
      </c>
      <c r="E101" s="2" t="s">
        <v>36</v>
      </c>
      <c r="F101" s="2" t="s">
        <v>46</v>
      </c>
      <c r="G101" s="2" t="s">
        <v>2292</v>
      </c>
      <c r="H101" s="2" t="s">
        <v>20</v>
      </c>
      <c r="I101" s="2" t="s">
        <v>2289</v>
      </c>
    </row>
    <row r="102" spans="1:9" x14ac:dyDescent="0.35">
      <c r="A102" s="2" t="s">
        <v>2276</v>
      </c>
      <c r="B102" s="2" t="s">
        <v>62</v>
      </c>
      <c r="C102" s="2" t="s">
        <v>2291</v>
      </c>
      <c r="D102" s="2" t="s">
        <v>91</v>
      </c>
      <c r="E102" s="2" t="s">
        <v>19</v>
      </c>
      <c r="F102" s="2" t="s">
        <v>46</v>
      </c>
      <c r="G102" s="2" t="s">
        <v>2292</v>
      </c>
      <c r="H102" s="2" t="s">
        <v>20</v>
      </c>
      <c r="I102" s="2" t="s">
        <v>2289</v>
      </c>
    </row>
    <row r="103" spans="1:9" x14ac:dyDescent="0.35">
      <c r="A103" s="2" t="s">
        <v>2276</v>
      </c>
      <c r="B103" s="2" t="s">
        <v>62</v>
      </c>
      <c r="C103" s="2" t="s">
        <v>2291</v>
      </c>
      <c r="D103" s="2" t="s">
        <v>2293</v>
      </c>
      <c r="E103" s="2" t="s">
        <v>270</v>
      </c>
      <c r="F103" s="2" t="s">
        <v>46</v>
      </c>
      <c r="G103" s="2" t="s">
        <v>2292</v>
      </c>
      <c r="H103" s="2" t="s">
        <v>20</v>
      </c>
      <c r="I103" s="2" t="s">
        <v>2289</v>
      </c>
    </row>
    <row r="104" spans="1:9" x14ac:dyDescent="0.35">
      <c r="A104" s="2" t="s">
        <v>2276</v>
      </c>
      <c r="B104" s="2" t="s">
        <v>62</v>
      </c>
      <c r="C104" s="2" t="s">
        <v>2291</v>
      </c>
      <c r="D104" s="2" t="s">
        <v>61</v>
      </c>
      <c r="E104" s="2" t="s">
        <v>30</v>
      </c>
      <c r="F104" s="2" t="s">
        <v>46</v>
      </c>
      <c r="G104" s="2" t="s">
        <v>2292</v>
      </c>
      <c r="H104" s="2" t="s">
        <v>20</v>
      </c>
      <c r="I104" s="2" t="s">
        <v>2289</v>
      </c>
    </row>
    <row r="105" spans="1:9" x14ac:dyDescent="0.35">
      <c r="A105" s="2" t="s">
        <v>2276</v>
      </c>
      <c r="B105" s="2" t="s">
        <v>62</v>
      </c>
      <c r="C105" s="2" t="s">
        <v>2291</v>
      </c>
      <c r="D105" s="2" t="s">
        <v>188</v>
      </c>
      <c r="E105" s="2" t="s">
        <v>189</v>
      </c>
      <c r="F105" s="2" t="s">
        <v>46</v>
      </c>
      <c r="G105" s="2" t="s">
        <v>2292</v>
      </c>
      <c r="H105" s="2" t="s">
        <v>20</v>
      </c>
      <c r="I105" s="2" t="s">
        <v>2289</v>
      </c>
    </row>
    <row r="106" spans="1:9" x14ac:dyDescent="0.35">
      <c r="A106" s="2" t="s">
        <v>2276</v>
      </c>
      <c r="B106" s="2" t="s">
        <v>57</v>
      </c>
      <c r="C106" s="2" t="s">
        <v>2294</v>
      </c>
      <c r="D106" s="2" t="s">
        <v>27</v>
      </c>
      <c r="E106" s="2" t="s">
        <v>28</v>
      </c>
      <c r="F106" s="2" t="s">
        <v>2279</v>
      </c>
      <c r="G106" s="2" t="s">
        <v>2295</v>
      </c>
      <c r="H106" s="2" t="s">
        <v>20</v>
      </c>
      <c r="I106" s="2" t="s">
        <v>2278</v>
      </c>
    </row>
    <row r="107" spans="1:9" x14ac:dyDescent="0.35">
      <c r="A107" s="2" t="s">
        <v>2276</v>
      </c>
      <c r="B107" s="2" t="s">
        <v>57</v>
      </c>
      <c r="C107" s="2" t="s">
        <v>2294</v>
      </c>
      <c r="D107" s="2" t="s">
        <v>1522</v>
      </c>
      <c r="E107" s="2" t="s">
        <v>28</v>
      </c>
      <c r="F107" s="2" t="s">
        <v>2279</v>
      </c>
      <c r="G107" s="2" t="s">
        <v>2295</v>
      </c>
      <c r="H107" s="2" t="s">
        <v>20</v>
      </c>
      <c r="I107" s="2" t="s">
        <v>2278</v>
      </c>
    </row>
    <row r="108" spans="1:9" x14ac:dyDescent="0.35">
      <c r="A108" s="2" t="s">
        <v>2276</v>
      </c>
      <c r="B108" s="2" t="s">
        <v>57</v>
      </c>
      <c r="C108" s="2" t="s">
        <v>2294</v>
      </c>
      <c r="D108" s="2" t="s">
        <v>76</v>
      </c>
      <c r="E108" s="2" t="s">
        <v>75</v>
      </c>
      <c r="F108" s="2" t="s">
        <v>2279</v>
      </c>
      <c r="G108" s="2" t="s">
        <v>2296</v>
      </c>
      <c r="H108" s="2" t="s">
        <v>20</v>
      </c>
      <c r="I108" s="2" t="s">
        <v>2278</v>
      </c>
    </row>
    <row r="109" spans="1:9" x14ac:dyDescent="0.35">
      <c r="A109" s="2" t="s">
        <v>2276</v>
      </c>
      <c r="B109" s="2" t="s">
        <v>57</v>
      </c>
      <c r="C109" s="2" t="s">
        <v>2294</v>
      </c>
      <c r="D109" s="2" t="s">
        <v>120</v>
      </c>
      <c r="E109" s="2" t="s">
        <v>32</v>
      </c>
      <c r="F109" s="2"/>
      <c r="G109" s="2"/>
      <c r="H109" s="2" t="s">
        <v>20</v>
      </c>
      <c r="I109" s="2" t="s">
        <v>2278</v>
      </c>
    </row>
    <row r="110" spans="1:9" x14ac:dyDescent="0.35">
      <c r="A110" s="2" t="s">
        <v>2276</v>
      </c>
      <c r="B110" s="2" t="s">
        <v>57</v>
      </c>
      <c r="C110" s="2" t="s">
        <v>2294</v>
      </c>
      <c r="D110" s="2" t="s">
        <v>82</v>
      </c>
      <c r="E110" s="2" t="s">
        <v>83</v>
      </c>
      <c r="F110" s="2"/>
      <c r="G110" s="2"/>
      <c r="H110" s="2" t="s">
        <v>20</v>
      </c>
      <c r="I110" s="2" t="s">
        <v>2278</v>
      </c>
    </row>
    <row r="111" spans="1:9" x14ac:dyDescent="0.35">
      <c r="A111" s="2" t="s">
        <v>2276</v>
      </c>
      <c r="B111" s="2" t="s">
        <v>57</v>
      </c>
      <c r="C111" s="2" t="s">
        <v>2294</v>
      </c>
      <c r="D111" s="2" t="s">
        <v>35</v>
      </c>
      <c r="E111" s="2" t="s">
        <v>36</v>
      </c>
      <c r="F111" s="2"/>
      <c r="G111" s="2"/>
      <c r="H111" s="2" t="s">
        <v>20</v>
      </c>
      <c r="I111" s="2" t="s">
        <v>2278</v>
      </c>
    </row>
    <row r="112" spans="1:9" x14ac:dyDescent="0.35">
      <c r="A112" s="2" t="s">
        <v>2276</v>
      </c>
      <c r="B112" s="2" t="s">
        <v>57</v>
      </c>
      <c r="C112" s="2" t="s">
        <v>2294</v>
      </c>
      <c r="D112" s="2" t="s">
        <v>269</v>
      </c>
      <c r="E112" s="2" t="s">
        <v>270</v>
      </c>
      <c r="F112" s="2"/>
      <c r="G112" s="2"/>
      <c r="H112" s="2" t="s">
        <v>20</v>
      </c>
      <c r="I112" s="2" t="s">
        <v>2289</v>
      </c>
    </row>
    <row r="113" spans="1:9" x14ac:dyDescent="0.35">
      <c r="A113" s="2" t="s">
        <v>2276</v>
      </c>
      <c r="B113" s="2" t="s">
        <v>57</v>
      </c>
      <c r="C113" s="2" t="s">
        <v>2294</v>
      </c>
      <c r="D113" s="2" t="s">
        <v>61</v>
      </c>
      <c r="E113" s="2" t="s">
        <v>30</v>
      </c>
      <c r="F113" s="2"/>
      <c r="G113" s="2"/>
      <c r="H113" s="2" t="s">
        <v>20</v>
      </c>
      <c r="I113" s="2" t="s">
        <v>2278</v>
      </c>
    </row>
    <row r="114" spans="1:9" x14ac:dyDescent="0.35">
      <c r="A114" s="2" t="s">
        <v>2276</v>
      </c>
      <c r="B114" s="2" t="s">
        <v>57</v>
      </c>
      <c r="C114" s="2" t="s">
        <v>2294</v>
      </c>
      <c r="D114" s="2" t="s">
        <v>423</v>
      </c>
      <c r="E114" s="2" t="s">
        <v>424</v>
      </c>
      <c r="F114" s="2"/>
      <c r="G114" s="2"/>
      <c r="H114" s="2" t="s">
        <v>20</v>
      </c>
      <c r="I114" s="2" t="s">
        <v>2278</v>
      </c>
    </row>
    <row r="115" spans="1:9" x14ac:dyDescent="0.35">
      <c r="A115" s="2" t="s">
        <v>2276</v>
      </c>
      <c r="B115" s="2" t="s">
        <v>62</v>
      </c>
      <c r="C115" s="2" t="s">
        <v>2297</v>
      </c>
      <c r="D115" s="2" t="s">
        <v>74</v>
      </c>
      <c r="E115" s="2" t="s">
        <v>75</v>
      </c>
      <c r="F115" s="2"/>
      <c r="G115" s="2"/>
      <c r="H115" s="2" t="s">
        <v>20</v>
      </c>
      <c r="I115" s="2" t="s">
        <v>2278</v>
      </c>
    </row>
    <row r="116" spans="1:9" x14ac:dyDescent="0.35">
      <c r="A116" s="2" t="s">
        <v>2276</v>
      </c>
      <c r="B116" s="2" t="s">
        <v>62</v>
      </c>
      <c r="C116" s="2" t="s">
        <v>2297</v>
      </c>
      <c r="D116" s="2" t="s">
        <v>144</v>
      </c>
      <c r="E116" s="2" t="s">
        <v>50</v>
      </c>
      <c r="F116" s="2"/>
      <c r="G116" s="2"/>
      <c r="H116" s="2" t="s">
        <v>20</v>
      </c>
      <c r="I116" s="2" t="s">
        <v>2278</v>
      </c>
    </row>
    <row r="117" spans="1:9" x14ac:dyDescent="0.35">
      <c r="A117" s="2" t="s">
        <v>2276</v>
      </c>
      <c r="B117" s="2" t="s">
        <v>62</v>
      </c>
      <c r="C117" s="2" t="s">
        <v>2297</v>
      </c>
      <c r="D117" s="2" t="s">
        <v>269</v>
      </c>
      <c r="E117" s="2" t="s">
        <v>270</v>
      </c>
      <c r="F117" s="2"/>
      <c r="G117" s="2"/>
      <c r="H117" s="2" t="s">
        <v>20</v>
      </c>
      <c r="I117" s="2" t="s">
        <v>2278</v>
      </c>
    </row>
    <row r="118" spans="1:9" x14ac:dyDescent="0.35">
      <c r="A118" s="2" t="s">
        <v>2276</v>
      </c>
      <c r="B118" s="2" t="s">
        <v>62</v>
      </c>
      <c r="C118" s="2" t="s">
        <v>2297</v>
      </c>
      <c r="D118" s="2" t="s">
        <v>91</v>
      </c>
      <c r="E118" s="2" t="s">
        <v>19</v>
      </c>
      <c r="F118" s="2"/>
      <c r="G118" s="2"/>
      <c r="H118" s="2" t="s">
        <v>20</v>
      </c>
      <c r="I118" s="2" t="s">
        <v>2278</v>
      </c>
    </row>
    <row r="119" spans="1:9" x14ac:dyDescent="0.35">
      <c r="A119" s="2" t="s">
        <v>2276</v>
      </c>
      <c r="B119" s="2" t="s">
        <v>62</v>
      </c>
      <c r="C119" s="2" t="s">
        <v>2297</v>
      </c>
      <c r="D119" s="2" t="s">
        <v>61</v>
      </c>
      <c r="E119" s="2" t="s">
        <v>30</v>
      </c>
      <c r="F119" s="2"/>
      <c r="G119" s="2"/>
      <c r="H119" s="2" t="s">
        <v>20</v>
      </c>
      <c r="I119" s="2" t="s">
        <v>2278</v>
      </c>
    </row>
    <row r="120" spans="1:9" x14ac:dyDescent="0.35">
      <c r="A120" s="2" t="s">
        <v>2276</v>
      </c>
      <c r="B120" s="2" t="s">
        <v>24</v>
      </c>
      <c r="C120" s="2" t="s">
        <v>2298</v>
      </c>
      <c r="D120" s="2" t="s">
        <v>485</v>
      </c>
      <c r="E120" s="2" t="s">
        <v>15</v>
      </c>
      <c r="F120" s="2"/>
      <c r="G120" s="2"/>
      <c r="H120" s="2" t="s">
        <v>20</v>
      </c>
      <c r="I120" s="2" t="s">
        <v>2278</v>
      </c>
    </row>
    <row r="121" spans="1:9" x14ac:dyDescent="0.35">
      <c r="A121" s="2" t="s">
        <v>2276</v>
      </c>
      <c r="B121" s="2" t="s">
        <v>24</v>
      </c>
      <c r="C121" s="2" t="s">
        <v>2298</v>
      </c>
      <c r="D121" s="2" t="s">
        <v>144</v>
      </c>
      <c r="E121" s="2" t="s">
        <v>50</v>
      </c>
      <c r="F121" s="2"/>
      <c r="G121" s="2"/>
      <c r="H121" s="2" t="s">
        <v>20</v>
      </c>
      <c r="I121" s="2" t="s">
        <v>2278</v>
      </c>
    </row>
    <row r="122" spans="1:9" x14ac:dyDescent="0.35">
      <c r="A122" s="2" t="s">
        <v>2276</v>
      </c>
      <c r="B122" s="2" t="s">
        <v>24</v>
      </c>
      <c r="C122" s="2" t="s">
        <v>2298</v>
      </c>
      <c r="D122" s="2" t="s">
        <v>1522</v>
      </c>
      <c r="E122" s="2" t="s">
        <v>28</v>
      </c>
      <c r="F122" s="2"/>
      <c r="G122" s="2"/>
      <c r="H122" s="2" t="s">
        <v>20</v>
      </c>
      <c r="I122" s="2" t="s">
        <v>2278</v>
      </c>
    </row>
    <row r="123" spans="1:9" x14ac:dyDescent="0.35">
      <c r="A123" s="2" t="s">
        <v>2276</v>
      </c>
      <c r="B123" s="2" t="s">
        <v>24</v>
      </c>
      <c r="C123" s="2" t="s">
        <v>2298</v>
      </c>
      <c r="D123" s="2" t="s">
        <v>76</v>
      </c>
      <c r="E123" s="2" t="s">
        <v>75</v>
      </c>
      <c r="F123" s="2" t="s">
        <v>2279</v>
      </c>
      <c r="G123" s="2" t="s">
        <v>2299</v>
      </c>
      <c r="H123" s="2" t="s">
        <v>20</v>
      </c>
      <c r="I123" s="2" t="s">
        <v>2278</v>
      </c>
    </row>
    <row r="124" spans="1:9" x14ac:dyDescent="0.35">
      <c r="A124" s="2" t="s">
        <v>2276</v>
      </c>
      <c r="B124" s="2" t="s">
        <v>24</v>
      </c>
      <c r="C124" s="2" t="s">
        <v>2298</v>
      </c>
      <c r="D124" s="2" t="s">
        <v>120</v>
      </c>
      <c r="E124" s="2" t="s">
        <v>32</v>
      </c>
      <c r="F124" s="2"/>
      <c r="G124" s="2"/>
      <c r="H124" s="2" t="s">
        <v>20</v>
      </c>
      <c r="I124" s="2" t="s">
        <v>2278</v>
      </c>
    </row>
    <row r="125" spans="1:9" x14ac:dyDescent="0.35">
      <c r="A125" s="2" t="s">
        <v>2276</v>
      </c>
      <c r="B125" s="2" t="s">
        <v>24</v>
      </c>
      <c r="C125" s="2" t="s">
        <v>2298</v>
      </c>
      <c r="D125" s="2" t="s">
        <v>82</v>
      </c>
      <c r="E125" s="2" t="s">
        <v>83</v>
      </c>
      <c r="F125" s="2"/>
      <c r="G125" s="2"/>
      <c r="H125" s="2" t="s">
        <v>20</v>
      </c>
      <c r="I125" s="2" t="s">
        <v>2278</v>
      </c>
    </row>
    <row r="126" spans="1:9" x14ac:dyDescent="0.35">
      <c r="A126" s="2" t="s">
        <v>2276</v>
      </c>
      <c r="B126" s="2" t="s">
        <v>24</v>
      </c>
      <c r="C126" s="2" t="s">
        <v>2298</v>
      </c>
      <c r="D126" s="2" t="s">
        <v>2300</v>
      </c>
      <c r="E126" s="2" t="s">
        <v>38</v>
      </c>
      <c r="F126" s="2"/>
      <c r="G126" s="2"/>
      <c r="H126" s="2" t="s">
        <v>20</v>
      </c>
      <c r="I126" s="2" t="s">
        <v>2278</v>
      </c>
    </row>
    <row r="127" spans="1:9" x14ac:dyDescent="0.35">
      <c r="A127" s="2" t="s">
        <v>2276</v>
      </c>
      <c r="B127" s="2" t="s">
        <v>24</v>
      </c>
      <c r="C127" s="2" t="s">
        <v>2298</v>
      </c>
      <c r="D127" s="2" t="s">
        <v>38</v>
      </c>
      <c r="E127" s="2" t="s">
        <v>38</v>
      </c>
      <c r="F127" s="2"/>
      <c r="G127" s="2"/>
      <c r="H127" s="2" t="s">
        <v>20</v>
      </c>
      <c r="I127" s="2" t="s">
        <v>2278</v>
      </c>
    </row>
    <row r="128" spans="1:9" x14ac:dyDescent="0.35">
      <c r="A128" s="2" t="s">
        <v>2276</v>
      </c>
      <c r="B128" s="2" t="s">
        <v>24</v>
      </c>
      <c r="C128" s="2" t="s">
        <v>2298</v>
      </c>
      <c r="D128" s="2" t="s">
        <v>291</v>
      </c>
      <c r="E128" s="2" t="s">
        <v>139</v>
      </c>
      <c r="F128" s="2"/>
      <c r="G128" s="2"/>
      <c r="H128" s="2" t="s">
        <v>20</v>
      </c>
      <c r="I128" s="2" t="s">
        <v>2278</v>
      </c>
    </row>
    <row r="129" spans="1:9" x14ac:dyDescent="0.35">
      <c r="A129" s="2" t="s">
        <v>2276</v>
      </c>
      <c r="B129" s="2" t="s">
        <v>24</v>
      </c>
      <c r="C129" s="2" t="s">
        <v>2298</v>
      </c>
      <c r="D129" s="2" t="s">
        <v>87</v>
      </c>
      <c r="E129" s="2" t="s">
        <v>75</v>
      </c>
      <c r="F129" s="2" t="s">
        <v>2279</v>
      </c>
      <c r="G129" s="2" t="s">
        <v>2301</v>
      </c>
      <c r="H129" s="2" t="s">
        <v>20</v>
      </c>
      <c r="I129" s="2" t="s">
        <v>2278</v>
      </c>
    </row>
    <row r="130" spans="1:9" x14ac:dyDescent="0.35">
      <c r="A130" s="2" t="s">
        <v>2276</v>
      </c>
      <c r="B130" s="2" t="s">
        <v>24</v>
      </c>
      <c r="C130" s="2" t="s">
        <v>2298</v>
      </c>
      <c r="D130" s="2" t="s">
        <v>423</v>
      </c>
      <c r="E130" s="2" t="s">
        <v>424</v>
      </c>
      <c r="F130" s="2"/>
      <c r="G130" s="2"/>
      <c r="H130" s="2" t="s">
        <v>20</v>
      </c>
      <c r="I130" s="2" t="s">
        <v>2278</v>
      </c>
    </row>
    <row r="131" spans="1:9" x14ac:dyDescent="0.35">
      <c r="A131" s="2" t="s">
        <v>2276</v>
      </c>
      <c r="B131" s="2" t="s">
        <v>24</v>
      </c>
      <c r="C131" s="2" t="s">
        <v>2298</v>
      </c>
      <c r="D131" s="2" t="s">
        <v>61</v>
      </c>
      <c r="E131" s="2" t="s">
        <v>30</v>
      </c>
      <c r="F131" s="2"/>
      <c r="G131" s="2"/>
      <c r="H131" s="2" t="s">
        <v>20</v>
      </c>
      <c r="I131" s="2" t="s">
        <v>2278</v>
      </c>
    </row>
    <row r="132" spans="1:9" x14ac:dyDescent="0.35">
      <c r="A132" s="2" t="s">
        <v>2276</v>
      </c>
      <c r="B132" s="2" t="s">
        <v>54</v>
      </c>
      <c r="C132" s="2" t="s">
        <v>2302</v>
      </c>
      <c r="D132" s="2" t="s">
        <v>35</v>
      </c>
      <c r="E132" s="2" t="s">
        <v>36</v>
      </c>
      <c r="F132" s="2" t="s">
        <v>2279</v>
      </c>
      <c r="G132" s="2" t="s">
        <v>2303</v>
      </c>
      <c r="H132" s="2" t="s">
        <v>20</v>
      </c>
      <c r="I132" s="2" t="s">
        <v>2278</v>
      </c>
    </row>
    <row r="133" spans="1:9" x14ac:dyDescent="0.35">
      <c r="A133" s="2" t="s">
        <v>2276</v>
      </c>
      <c r="B133" s="2" t="s">
        <v>54</v>
      </c>
      <c r="C133" s="2" t="s">
        <v>2302</v>
      </c>
      <c r="D133" s="2" t="s">
        <v>91</v>
      </c>
      <c r="E133" s="2" t="s">
        <v>19</v>
      </c>
      <c r="F133" s="2" t="s">
        <v>2279</v>
      </c>
      <c r="G133" s="2" t="s">
        <v>2303</v>
      </c>
      <c r="H133" s="2" t="s">
        <v>20</v>
      </c>
      <c r="I133" s="2" t="s">
        <v>2278</v>
      </c>
    </row>
    <row r="134" spans="1:9" x14ac:dyDescent="0.35">
      <c r="A134" s="2" t="s">
        <v>2276</v>
      </c>
      <c r="B134" s="2" t="s">
        <v>54</v>
      </c>
      <c r="C134" s="2" t="s">
        <v>2302</v>
      </c>
      <c r="D134" s="2" t="s">
        <v>87</v>
      </c>
      <c r="E134" s="2" t="s">
        <v>75</v>
      </c>
      <c r="F134" s="2" t="s">
        <v>2279</v>
      </c>
      <c r="G134" s="2" t="s">
        <v>2303</v>
      </c>
      <c r="H134" s="2" t="s">
        <v>20</v>
      </c>
      <c r="I134" s="2" t="s">
        <v>2278</v>
      </c>
    </row>
    <row r="135" spans="1:9" x14ac:dyDescent="0.35">
      <c r="A135" s="2" t="s">
        <v>2276</v>
      </c>
      <c r="B135" s="2" t="s">
        <v>54</v>
      </c>
      <c r="C135" s="2" t="s">
        <v>2302</v>
      </c>
      <c r="D135" s="2" t="s">
        <v>423</v>
      </c>
      <c r="E135" s="2" t="s">
        <v>424</v>
      </c>
      <c r="F135" s="2" t="s">
        <v>2279</v>
      </c>
      <c r="G135" s="2" t="s">
        <v>2303</v>
      </c>
      <c r="H135" s="2" t="s">
        <v>20</v>
      </c>
      <c r="I135" s="2" t="s">
        <v>2278</v>
      </c>
    </row>
    <row r="136" spans="1:9" x14ac:dyDescent="0.35">
      <c r="A136" s="2" t="s">
        <v>2276</v>
      </c>
      <c r="B136" s="2" t="s">
        <v>12</v>
      </c>
      <c r="C136" s="2" t="s">
        <v>2304</v>
      </c>
      <c r="D136" s="2" t="s">
        <v>144</v>
      </c>
      <c r="E136" s="2" t="s">
        <v>50</v>
      </c>
      <c r="F136" s="2"/>
      <c r="G136" s="2"/>
      <c r="H136" s="2" t="s">
        <v>20</v>
      </c>
      <c r="I136" s="2" t="s">
        <v>2278</v>
      </c>
    </row>
    <row r="137" spans="1:9" x14ac:dyDescent="0.35">
      <c r="A137" s="2" t="s">
        <v>2276</v>
      </c>
      <c r="B137" s="2" t="s">
        <v>12</v>
      </c>
      <c r="C137" s="2" t="s">
        <v>2304</v>
      </c>
      <c r="D137" s="2" t="s">
        <v>168</v>
      </c>
      <c r="E137" s="2" t="s">
        <v>45</v>
      </c>
      <c r="F137" s="2" t="s">
        <v>20</v>
      </c>
      <c r="G137" s="2" t="s">
        <v>2305</v>
      </c>
      <c r="H137" s="2" t="s">
        <v>20</v>
      </c>
      <c r="I137" s="2" t="s">
        <v>2278</v>
      </c>
    </row>
    <row r="138" spans="1:9" x14ac:dyDescent="0.35">
      <c r="A138" s="2" t="s">
        <v>2276</v>
      </c>
      <c r="B138" s="2" t="s">
        <v>54</v>
      </c>
      <c r="C138" s="2" t="s">
        <v>2306</v>
      </c>
      <c r="D138" s="2" t="s">
        <v>136</v>
      </c>
      <c r="E138" s="2" t="s">
        <v>107</v>
      </c>
      <c r="F138" s="2" t="s">
        <v>20</v>
      </c>
      <c r="G138" s="2" t="s">
        <v>2307</v>
      </c>
      <c r="H138" s="2" t="s">
        <v>20</v>
      </c>
      <c r="I138" s="2" t="s">
        <v>2278</v>
      </c>
    </row>
    <row r="139" spans="1:9" x14ac:dyDescent="0.35">
      <c r="A139" s="2" t="s">
        <v>2276</v>
      </c>
      <c r="B139" s="2" t="s">
        <v>54</v>
      </c>
      <c r="C139" s="2" t="s">
        <v>2306</v>
      </c>
      <c r="D139" s="2" t="s">
        <v>167</v>
      </c>
      <c r="E139" s="2" t="s">
        <v>40</v>
      </c>
      <c r="F139" s="2" t="s">
        <v>20</v>
      </c>
      <c r="G139" s="2" t="s">
        <v>2307</v>
      </c>
      <c r="H139" s="2" t="s">
        <v>20</v>
      </c>
      <c r="I139" s="2" t="s">
        <v>2278</v>
      </c>
    </row>
    <row r="140" spans="1:9" x14ac:dyDescent="0.35">
      <c r="A140" s="2" t="s">
        <v>2276</v>
      </c>
      <c r="B140" s="2" t="s">
        <v>54</v>
      </c>
      <c r="C140" s="2" t="s">
        <v>2306</v>
      </c>
      <c r="D140" s="2" t="s">
        <v>35</v>
      </c>
      <c r="E140" s="2" t="s">
        <v>36</v>
      </c>
      <c r="F140" s="2" t="s">
        <v>20</v>
      </c>
      <c r="G140" s="2" t="s">
        <v>2307</v>
      </c>
      <c r="H140" s="2" t="s">
        <v>20</v>
      </c>
      <c r="I140" s="2" t="s">
        <v>2278</v>
      </c>
    </row>
    <row r="141" spans="1:9" x14ac:dyDescent="0.35">
      <c r="A141" s="2" t="s">
        <v>2276</v>
      </c>
      <c r="B141" s="2" t="s">
        <v>24</v>
      </c>
      <c r="C141" s="2" t="s">
        <v>2308</v>
      </c>
      <c r="D141" s="2" t="s">
        <v>27</v>
      </c>
      <c r="E141" s="2" t="s">
        <v>28</v>
      </c>
      <c r="F141" s="2"/>
      <c r="G141" s="2"/>
      <c r="H141" s="2" t="s">
        <v>20</v>
      </c>
      <c r="I141" s="2" t="s">
        <v>2278</v>
      </c>
    </row>
    <row r="142" spans="1:9" x14ac:dyDescent="0.35">
      <c r="A142" s="2" t="s">
        <v>2276</v>
      </c>
      <c r="B142" s="2" t="s">
        <v>24</v>
      </c>
      <c r="C142" s="2" t="s">
        <v>2308</v>
      </c>
      <c r="D142" s="2" t="s">
        <v>120</v>
      </c>
      <c r="E142" s="2" t="s">
        <v>32</v>
      </c>
      <c r="F142" s="2"/>
      <c r="G142" s="2"/>
      <c r="H142" s="2" t="s">
        <v>20</v>
      </c>
      <c r="I142" s="2" t="s">
        <v>2278</v>
      </c>
    </row>
    <row r="143" spans="1:9" x14ac:dyDescent="0.35">
      <c r="A143" s="2" t="s">
        <v>2276</v>
      </c>
      <c r="B143" s="2" t="s">
        <v>24</v>
      </c>
      <c r="C143" s="2" t="s">
        <v>2308</v>
      </c>
      <c r="D143" s="2" t="s">
        <v>82</v>
      </c>
      <c r="E143" s="2" t="s">
        <v>83</v>
      </c>
      <c r="F143" s="2"/>
      <c r="G143" s="2"/>
      <c r="H143" s="2" t="s">
        <v>20</v>
      </c>
      <c r="I143" s="2" t="s">
        <v>2278</v>
      </c>
    </row>
    <row r="144" spans="1:9" x14ac:dyDescent="0.35">
      <c r="A144" s="2" t="s">
        <v>2276</v>
      </c>
      <c r="B144" s="2" t="s">
        <v>24</v>
      </c>
      <c r="C144" s="2" t="s">
        <v>2308</v>
      </c>
      <c r="D144" s="2" t="s">
        <v>291</v>
      </c>
      <c r="E144" s="2" t="s">
        <v>139</v>
      </c>
      <c r="F144" s="2"/>
      <c r="G144" s="2"/>
      <c r="H144" s="2" t="s">
        <v>20</v>
      </c>
      <c r="I144" s="2" t="s">
        <v>2278</v>
      </c>
    </row>
    <row r="145" spans="1:9" x14ac:dyDescent="0.35">
      <c r="A145" s="2" t="s">
        <v>2276</v>
      </c>
      <c r="B145" s="2" t="s">
        <v>24</v>
      </c>
      <c r="C145" s="2" t="s">
        <v>2308</v>
      </c>
      <c r="D145" s="2" t="s">
        <v>126</v>
      </c>
      <c r="E145" s="2" t="s">
        <v>36</v>
      </c>
      <c r="F145" s="2"/>
      <c r="G145" s="2"/>
      <c r="H145" s="2" t="s">
        <v>20</v>
      </c>
      <c r="I145" s="2" t="s">
        <v>2278</v>
      </c>
    </row>
    <row r="146" spans="1:9" x14ac:dyDescent="0.35">
      <c r="A146" s="2" t="s">
        <v>2276</v>
      </c>
      <c r="B146" s="2" t="s">
        <v>24</v>
      </c>
      <c r="C146" s="2" t="s">
        <v>2308</v>
      </c>
      <c r="D146" s="2" t="s">
        <v>423</v>
      </c>
      <c r="E146" s="2" t="s">
        <v>424</v>
      </c>
      <c r="F146" s="2"/>
      <c r="G146" s="2"/>
      <c r="H146" s="2" t="s">
        <v>20</v>
      </c>
      <c r="I146" s="2" t="s">
        <v>2278</v>
      </c>
    </row>
    <row r="147" spans="1:9" x14ac:dyDescent="0.35">
      <c r="A147" s="2" t="s">
        <v>2276</v>
      </c>
      <c r="B147" s="2" t="s">
        <v>24</v>
      </c>
      <c r="C147" s="2" t="s">
        <v>2309</v>
      </c>
      <c r="D147" s="2" t="s">
        <v>27</v>
      </c>
      <c r="E147" s="2" t="s">
        <v>28</v>
      </c>
      <c r="F147" s="2"/>
      <c r="G147" s="2"/>
      <c r="H147" s="2" t="s">
        <v>20</v>
      </c>
      <c r="I147" s="2" t="s">
        <v>2278</v>
      </c>
    </row>
    <row r="148" spans="1:9" x14ac:dyDescent="0.35">
      <c r="A148" s="2" t="s">
        <v>2276</v>
      </c>
      <c r="B148" s="2" t="s">
        <v>24</v>
      </c>
      <c r="C148" s="2" t="s">
        <v>2309</v>
      </c>
      <c r="D148" s="2" t="s">
        <v>120</v>
      </c>
      <c r="E148" s="2" t="s">
        <v>32</v>
      </c>
      <c r="F148" s="2"/>
      <c r="G148" s="2"/>
      <c r="H148" s="2" t="s">
        <v>20</v>
      </c>
      <c r="I148" s="2" t="s">
        <v>2278</v>
      </c>
    </row>
    <row r="149" spans="1:9" x14ac:dyDescent="0.35">
      <c r="A149" s="2" t="s">
        <v>2276</v>
      </c>
      <c r="B149" s="2" t="s">
        <v>24</v>
      </c>
      <c r="C149" s="2" t="s">
        <v>2309</v>
      </c>
      <c r="D149" s="2" t="s">
        <v>291</v>
      </c>
      <c r="E149" s="2" t="s">
        <v>139</v>
      </c>
      <c r="F149" s="2"/>
      <c r="G149" s="2"/>
      <c r="H149" s="2" t="s">
        <v>20</v>
      </c>
      <c r="I149" s="2" t="s">
        <v>2278</v>
      </c>
    </row>
    <row r="150" spans="1:9" x14ac:dyDescent="0.35">
      <c r="A150" s="2" t="s">
        <v>2276</v>
      </c>
      <c r="B150" s="2" t="s">
        <v>24</v>
      </c>
      <c r="C150" s="2" t="s">
        <v>2309</v>
      </c>
      <c r="D150" s="2" t="s">
        <v>91</v>
      </c>
      <c r="E150" s="2" t="s">
        <v>1679</v>
      </c>
      <c r="F150" s="2"/>
      <c r="G150" s="2"/>
      <c r="H150" s="2" t="s">
        <v>20</v>
      </c>
      <c r="I150" s="2" t="s">
        <v>2278</v>
      </c>
    </row>
    <row r="151" spans="1:9" x14ac:dyDescent="0.35">
      <c r="A151" s="2" t="s">
        <v>2276</v>
      </c>
      <c r="B151" s="2" t="s">
        <v>24</v>
      </c>
      <c r="C151" s="2" t="s">
        <v>2309</v>
      </c>
      <c r="D151" s="2" t="s">
        <v>87</v>
      </c>
      <c r="E151" s="2" t="s">
        <v>75</v>
      </c>
      <c r="F151" s="2" t="s">
        <v>2279</v>
      </c>
      <c r="G151" s="2" t="s">
        <v>2310</v>
      </c>
      <c r="H151" s="2" t="s">
        <v>20</v>
      </c>
      <c r="I151" s="2" t="s">
        <v>2278</v>
      </c>
    </row>
    <row r="152" spans="1:9" x14ac:dyDescent="0.35">
      <c r="A152" s="2" t="s">
        <v>2276</v>
      </c>
      <c r="B152" s="2" t="s">
        <v>24</v>
      </c>
      <c r="C152" s="2" t="s">
        <v>2309</v>
      </c>
      <c r="D152" s="2" t="s">
        <v>126</v>
      </c>
      <c r="E152" s="2" t="s">
        <v>36</v>
      </c>
      <c r="F152" s="2" t="s">
        <v>2279</v>
      </c>
      <c r="G152" s="2" t="s">
        <v>2311</v>
      </c>
      <c r="H152" s="2" t="s">
        <v>20</v>
      </c>
      <c r="I152" s="2" t="s">
        <v>2278</v>
      </c>
    </row>
    <row r="153" spans="1:9" x14ac:dyDescent="0.35">
      <c r="A153" s="2" t="s">
        <v>2312</v>
      </c>
      <c r="B153" s="2" t="s">
        <v>24</v>
      </c>
      <c r="C153" s="2" t="s">
        <v>2313</v>
      </c>
      <c r="D153" s="2" t="s">
        <v>130</v>
      </c>
      <c r="E153" s="2" t="s">
        <v>36</v>
      </c>
      <c r="F153" s="2"/>
      <c r="G153" s="2"/>
      <c r="H153" s="2"/>
      <c r="I153" s="2"/>
    </row>
    <row r="154" spans="1:9" x14ac:dyDescent="0.35">
      <c r="A154" s="2" t="s">
        <v>2312</v>
      </c>
      <c r="B154" s="2" t="s">
        <v>24</v>
      </c>
      <c r="C154" s="2" t="s">
        <v>2313</v>
      </c>
      <c r="D154" s="2" t="s">
        <v>14</v>
      </c>
      <c r="E154" s="2" t="s">
        <v>15</v>
      </c>
      <c r="F154" s="2"/>
      <c r="G154" s="2"/>
      <c r="H154" s="2"/>
      <c r="I154" s="2"/>
    </row>
    <row r="155" spans="1:9" x14ac:dyDescent="0.35">
      <c r="A155" s="2" t="s">
        <v>2312</v>
      </c>
      <c r="B155" s="2" t="s">
        <v>24</v>
      </c>
      <c r="C155" s="2" t="s">
        <v>2313</v>
      </c>
      <c r="D155" s="2" t="s">
        <v>38</v>
      </c>
      <c r="E155" s="2" t="s">
        <v>38</v>
      </c>
      <c r="F155" s="2"/>
      <c r="G155" s="2"/>
      <c r="H155" s="2"/>
      <c r="I155" s="2"/>
    </row>
    <row r="156" spans="1:9" x14ac:dyDescent="0.35">
      <c r="A156" s="2" t="s">
        <v>2312</v>
      </c>
      <c r="B156" s="2" t="s">
        <v>24</v>
      </c>
      <c r="C156" s="2" t="s">
        <v>2313</v>
      </c>
      <c r="D156" s="2" t="s">
        <v>87</v>
      </c>
      <c r="E156" s="2" t="s">
        <v>75</v>
      </c>
      <c r="F156" s="2"/>
      <c r="G156" s="2"/>
      <c r="H156" s="2"/>
      <c r="I156" s="2"/>
    </row>
    <row r="157" spans="1:9" x14ac:dyDescent="0.35">
      <c r="A157" s="2" t="s">
        <v>2312</v>
      </c>
      <c r="B157" s="2" t="s">
        <v>24</v>
      </c>
      <c r="C157" s="2" t="s">
        <v>2313</v>
      </c>
      <c r="D157" s="2" t="s">
        <v>61</v>
      </c>
      <c r="E157" s="2" t="s">
        <v>30</v>
      </c>
      <c r="F157" s="2"/>
      <c r="G157" s="2"/>
      <c r="H157" s="2"/>
      <c r="I157" s="2"/>
    </row>
    <row r="158" spans="1:9" x14ac:dyDescent="0.35">
      <c r="A158" s="2" t="s">
        <v>2312</v>
      </c>
      <c r="B158" s="2" t="s">
        <v>24</v>
      </c>
      <c r="C158" s="2" t="s">
        <v>2313</v>
      </c>
      <c r="D158" s="2" t="s">
        <v>42</v>
      </c>
      <c r="E158" s="2" t="s">
        <v>43</v>
      </c>
      <c r="F158" s="2"/>
      <c r="G158" s="2"/>
      <c r="H158" s="2"/>
      <c r="I158" s="2"/>
    </row>
    <row r="159" spans="1:9" x14ac:dyDescent="0.35">
      <c r="A159" s="2" t="s">
        <v>2314</v>
      </c>
      <c r="B159" s="2" t="s">
        <v>24</v>
      </c>
      <c r="C159" s="2" t="s">
        <v>2315</v>
      </c>
      <c r="D159" s="2" t="s">
        <v>27</v>
      </c>
      <c r="E159" s="2" t="s">
        <v>28</v>
      </c>
      <c r="F159" s="2"/>
      <c r="G159" s="2"/>
      <c r="H159" s="2"/>
      <c r="I159" s="2"/>
    </row>
    <row r="160" spans="1:9" x14ac:dyDescent="0.35">
      <c r="A160" s="2" t="s">
        <v>2314</v>
      </c>
      <c r="B160" s="2" t="s">
        <v>24</v>
      </c>
      <c r="C160" s="2" t="s">
        <v>2315</v>
      </c>
      <c r="D160" s="2" t="s">
        <v>120</v>
      </c>
      <c r="E160" s="2" t="s">
        <v>32</v>
      </c>
      <c r="F160" s="2"/>
      <c r="G160" s="2"/>
      <c r="H160" s="2"/>
      <c r="I160" s="2"/>
    </row>
    <row r="161" spans="1:9" x14ac:dyDescent="0.35">
      <c r="A161" s="2" t="s">
        <v>2314</v>
      </c>
      <c r="B161" s="2" t="s">
        <v>24</v>
      </c>
      <c r="C161" s="2" t="s">
        <v>2315</v>
      </c>
      <c r="D161" s="2" t="s">
        <v>1552</v>
      </c>
      <c r="E161" s="2" t="s">
        <v>122</v>
      </c>
      <c r="F161" s="2" t="s">
        <v>46</v>
      </c>
      <c r="G161" s="2" t="s">
        <v>47</v>
      </c>
      <c r="H161" s="2"/>
      <c r="I161" s="2"/>
    </row>
    <row r="162" spans="1:9" x14ac:dyDescent="0.35">
      <c r="A162" s="2" t="s">
        <v>2314</v>
      </c>
      <c r="B162" s="2" t="s">
        <v>24</v>
      </c>
      <c r="C162" s="2" t="s">
        <v>2315</v>
      </c>
      <c r="D162" s="2" t="s">
        <v>38</v>
      </c>
      <c r="E162" s="2" t="s">
        <v>38</v>
      </c>
      <c r="F162" s="2" t="s">
        <v>20</v>
      </c>
      <c r="G162" s="2" t="s">
        <v>2316</v>
      </c>
      <c r="H162" s="2"/>
      <c r="I162" s="2"/>
    </row>
    <row r="163" spans="1:9" x14ac:dyDescent="0.35">
      <c r="A163" s="2" t="s">
        <v>2314</v>
      </c>
      <c r="B163" s="2" t="s">
        <v>24</v>
      </c>
      <c r="C163" s="2" t="s">
        <v>2315</v>
      </c>
      <c r="D163" s="2" t="s">
        <v>35</v>
      </c>
      <c r="E163" s="2" t="s">
        <v>36</v>
      </c>
      <c r="F163" s="2"/>
      <c r="G163" s="2"/>
      <c r="H163" s="2"/>
      <c r="I163" s="2"/>
    </row>
    <row r="164" spans="1:9" x14ac:dyDescent="0.35">
      <c r="A164" s="2" t="s">
        <v>2314</v>
      </c>
      <c r="B164" s="2" t="s">
        <v>24</v>
      </c>
      <c r="C164" s="2" t="s">
        <v>2315</v>
      </c>
      <c r="D164" s="2" t="s">
        <v>87</v>
      </c>
      <c r="E164" s="2" t="s">
        <v>75</v>
      </c>
      <c r="F164" s="2" t="s">
        <v>20</v>
      </c>
      <c r="G164" s="2" t="s">
        <v>2316</v>
      </c>
      <c r="H164" s="2"/>
      <c r="I164" s="2"/>
    </row>
    <row r="165" spans="1:9" x14ac:dyDescent="0.35">
      <c r="A165" s="2" t="s">
        <v>2314</v>
      </c>
      <c r="B165" s="2" t="s">
        <v>24</v>
      </c>
      <c r="C165" s="2" t="s">
        <v>2315</v>
      </c>
      <c r="D165" s="2" t="s">
        <v>61</v>
      </c>
      <c r="E165" s="2" t="s">
        <v>30</v>
      </c>
      <c r="F165" s="2"/>
      <c r="G165" s="2"/>
      <c r="H165" s="2"/>
      <c r="I165" s="2"/>
    </row>
    <row r="166" spans="1:9" x14ac:dyDescent="0.35">
      <c r="A166" s="2" t="s">
        <v>2314</v>
      </c>
      <c r="B166" s="2" t="s">
        <v>54</v>
      </c>
      <c r="C166" s="2" t="s">
        <v>2317</v>
      </c>
      <c r="D166" s="2" t="s">
        <v>393</v>
      </c>
      <c r="E166" s="2" t="s">
        <v>36</v>
      </c>
      <c r="F166" s="2" t="s">
        <v>2279</v>
      </c>
      <c r="G166" s="2" t="s">
        <v>2318</v>
      </c>
      <c r="H166" s="2"/>
      <c r="I166" s="2"/>
    </row>
    <row r="167" spans="1:9" x14ac:dyDescent="0.35">
      <c r="A167" s="2" t="s">
        <v>2314</v>
      </c>
      <c r="B167" s="2" t="s">
        <v>54</v>
      </c>
      <c r="C167" s="2" t="s">
        <v>2317</v>
      </c>
      <c r="D167" s="2" t="s">
        <v>91</v>
      </c>
      <c r="E167" s="2" t="s">
        <v>1679</v>
      </c>
      <c r="F167" s="2"/>
      <c r="G167" s="2"/>
      <c r="H167" s="2"/>
      <c r="I167" s="2"/>
    </row>
    <row r="168" spans="1:9" x14ac:dyDescent="0.35">
      <c r="A168" s="2" t="s">
        <v>2314</v>
      </c>
      <c r="B168" s="2" t="s">
        <v>24</v>
      </c>
      <c r="C168" s="2" t="s">
        <v>2319</v>
      </c>
      <c r="D168" s="2" t="s">
        <v>14</v>
      </c>
      <c r="E168" s="2" t="s">
        <v>15</v>
      </c>
      <c r="F168" s="2"/>
      <c r="G168" s="2"/>
      <c r="H168" s="2"/>
      <c r="I168" s="2"/>
    </row>
    <row r="169" spans="1:9" x14ac:dyDescent="0.35">
      <c r="A169" s="2" t="s">
        <v>2314</v>
      </c>
      <c r="B169" s="2" t="s">
        <v>24</v>
      </c>
      <c r="C169" s="2" t="s">
        <v>2319</v>
      </c>
      <c r="D169" s="2" t="s">
        <v>42</v>
      </c>
      <c r="E169" s="2" t="s">
        <v>43</v>
      </c>
      <c r="F169" s="2"/>
      <c r="G169" s="2"/>
      <c r="H169" s="2"/>
      <c r="I169" s="2"/>
    </row>
    <row r="170" spans="1:9" x14ac:dyDescent="0.35">
      <c r="A170" s="2" t="s">
        <v>2320</v>
      </c>
      <c r="B170" s="2" t="s">
        <v>62</v>
      </c>
      <c r="C170" s="2" t="s">
        <v>2321</v>
      </c>
      <c r="D170" s="2" t="s">
        <v>27</v>
      </c>
      <c r="E170" s="2" t="s">
        <v>28</v>
      </c>
      <c r="F170" s="2"/>
      <c r="G170" s="2"/>
      <c r="H170" s="2" t="s">
        <v>20</v>
      </c>
      <c r="I170" s="2" t="s">
        <v>759</v>
      </c>
    </row>
    <row r="171" spans="1:9" x14ac:dyDescent="0.35">
      <c r="A171" s="2" t="s">
        <v>2320</v>
      </c>
      <c r="B171" s="2" t="s">
        <v>62</v>
      </c>
      <c r="C171" s="2" t="s">
        <v>2321</v>
      </c>
      <c r="D171" s="2" t="s">
        <v>76</v>
      </c>
      <c r="E171" s="2" t="s">
        <v>75</v>
      </c>
      <c r="F171" s="2"/>
      <c r="G171" s="2"/>
      <c r="H171" s="2" t="s">
        <v>20</v>
      </c>
      <c r="I171" s="2" t="s">
        <v>759</v>
      </c>
    </row>
    <row r="172" spans="1:9" x14ac:dyDescent="0.35">
      <c r="A172" s="2" t="s">
        <v>2320</v>
      </c>
      <c r="B172" s="2" t="s">
        <v>62</v>
      </c>
      <c r="C172" s="2" t="s">
        <v>2321</v>
      </c>
      <c r="D172" s="2" t="s">
        <v>291</v>
      </c>
      <c r="E172" s="2" t="s">
        <v>139</v>
      </c>
      <c r="F172" s="2"/>
      <c r="G172" s="2"/>
      <c r="H172" s="2" t="s">
        <v>20</v>
      </c>
      <c r="I172" s="2" t="s">
        <v>759</v>
      </c>
    </row>
    <row r="173" spans="1:9" x14ac:dyDescent="0.35">
      <c r="A173" s="2" t="s">
        <v>2320</v>
      </c>
      <c r="B173" s="2" t="s">
        <v>62</v>
      </c>
      <c r="C173" s="2" t="s">
        <v>2321</v>
      </c>
      <c r="D173" s="2" t="s">
        <v>269</v>
      </c>
      <c r="E173" s="2" t="s">
        <v>270</v>
      </c>
      <c r="F173" s="2"/>
      <c r="G173" s="2"/>
      <c r="H173" s="2" t="s">
        <v>20</v>
      </c>
      <c r="I173" s="2" t="s">
        <v>759</v>
      </c>
    </row>
    <row r="174" spans="1:9" x14ac:dyDescent="0.35">
      <c r="A174" s="2" t="s">
        <v>2320</v>
      </c>
      <c r="B174" s="2" t="s">
        <v>62</v>
      </c>
      <c r="C174" s="2" t="s">
        <v>2321</v>
      </c>
      <c r="D174" s="2" t="s">
        <v>87</v>
      </c>
      <c r="E174" s="2" t="s">
        <v>75</v>
      </c>
      <c r="F174" s="2"/>
      <c r="G174" s="2"/>
      <c r="H174" s="2" t="s">
        <v>20</v>
      </c>
      <c r="I174" s="2" t="s">
        <v>759</v>
      </c>
    </row>
    <row r="175" spans="1:9" x14ac:dyDescent="0.35">
      <c r="A175" s="2" t="s">
        <v>2320</v>
      </c>
      <c r="B175" s="2" t="s">
        <v>62</v>
      </c>
      <c r="C175" s="2" t="s">
        <v>2321</v>
      </c>
      <c r="D175" s="2" t="s">
        <v>61</v>
      </c>
      <c r="E175" s="2" t="s">
        <v>30</v>
      </c>
      <c r="F175" s="2" t="s">
        <v>2279</v>
      </c>
      <c r="G175" s="2" t="s">
        <v>2322</v>
      </c>
      <c r="H175" s="2" t="s">
        <v>20</v>
      </c>
      <c r="I175" s="2" t="s">
        <v>759</v>
      </c>
    </row>
    <row r="176" spans="1:9" x14ac:dyDescent="0.35">
      <c r="A176" s="2" t="s">
        <v>2320</v>
      </c>
      <c r="B176" s="2" t="s">
        <v>62</v>
      </c>
      <c r="C176" s="2" t="s">
        <v>2321</v>
      </c>
      <c r="D176" s="2" t="s">
        <v>423</v>
      </c>
      <c r="E176" s="2" t="s">
        <v>424</v>
      </c>
      <c r="F176" s="2"/>
      <c r="G176" s="2"/>
      <c r="H176" s="2" t="s">
        <v>20</v>
      </c>
      <c r="I176" s="2" t="s">
        <v>759</v>
      </c>
    </row>
    <row r="177" spans="1:9" x14ac:dyDescent="0.35">
      <c r="A177" s="2" t="s">
        <v>2320</v>
      </c>
      <c r="B177" s="2" t="s">
        <v>62</v>
      </c>
      <c r="C177" s="2" t="s">
        <v>2323</v>
      </c>
      <c r="D177" s="2" t="s">
        <v>27</v>
      </c>
      <c r="E177" s="2" t="s">
        <v>28</v>
      </c>
      <c r="F177" s="2"/>
      <c r="G177" s="2"/>
      <c r="H177" s="2" t="s">
        <v>20</v>
      </c>
      <c r="I177" s="2" t="s">
        <v>759</v>
      </c>
    </row>
    <row r="178" spans="1:9" x14ac:dyDescent="0.35">
      <c r="A178" s="2" t="s">
        <v>2320</v>
      </c>
      <c r="B178" s="2" t="s">
        <v>62</v>
      </c>
      <c r="C178" s="2" t="s">
        <v>2323</v>
      </c>
      <c r="D178" s="2" t="s">
        <v>76</v>
      </c>
      <c r="E178" s="2" t="s">
        <v>75</v>
      </c>
      <c r="F178" s="2" t="s">
        <v>20</v>
      </c>
      <c r="G178" s="2" t="s">
        <v>2324</v>
      </c>
      <c r="H178" s="2" t="s">
        <v>20</v>
      </c>
      <c r="I178" s="2" t="s">
        <v>759</v>
      </c>
    </row>
    <row r="179" spans="1:9" x14ac:dyDescent="0.35">
      <c r="A179" s="2" t="s">
        <v>2320</v>
      </c>
      <c r="B179" s="2" t="s">
        <v>62</v>
      </c>
      <c r="C179" s="2" t="s">
        <v>2323</v>
      </c>
      <c r="D179" s="2" t="s">
        <v>91</v>
      </c>
      <c r="E179" s="2" t="s">
        <v>1679</v>
      </c>
      <c r="F179" s="2"/>
      <c r="G179" s="2"/>
      <c r="H179" s="2" t="s">
        <v>20</v>
      </c>
      <c r="I179" s="2" t="s">
        <v>759</v>
      </c>
    </row>
    <row r="180" spans="1:9" x14ac:dyDescent="0.35">
      <c r="A180" s="2" t="s">
        <v>2320</v>
      </c>
      <c r="B180" s="2" t="s">
        <v>62</v>
      </c>
      <c r="C180" s="2" t="s">
        <v>2323</v>
      </c>
      <c r="D180" s="2" t="s">
        <v>1243</v>
      </c>
      <c r="E180" s="2" t="s">
        <v>1244</v>
      </c>
      <c r="F180" s="2" t="s">
        <v>20</v>
      </c>
      <c r="G180" s="2" t="s">
        <v>2325</v>
      </c>
      <c r="H180" s="2" t="s">
        <v>20</v>
      </c>
      <c r="I180" s="2" t="s">
        <v>759</v>
      </c>
    </row>
    <row r="181" spans="1:9" x14ac:dyDescent="0.35">
      <c r="A181" s="2" t="s">
        <v>2320</v>
      </c>
      <c r="B181" s="2" t="s">
        <v>62</v>
      </c>
      <c r="C181" s="2" t="s">
        <v>2323</v>
      </c>
      <c r="D181" s="2" t="s">
        <v>61</v>
      </c>
      <c r="E181" s="2" t="s">
        <v>30</v>
      </c>
      <c r="F181" s="2"/>
      <c r="G181" s="2"/>
      <c r="H181" s="2" t="s">
        <v>20</v>
      </c>
      <c r="I181" s="2" t="s">
        <v>759</v>
      </c>
    </row>
    <row r="182" spans="1:9" x14ac:dyDescent="0.35">
      <c r="A182" s="2" t="s">
        <v>2320</v>
      </c>
      <c r="B182" s="2" t="s">
        <v>57</v>
      </c>
      <c r="C182" s="2" t="s">
        <v>2326</v>
      </c>
      <c r="D182" s="2" t="s">
        <v>763</v>
      </c>
      <c r="E182" s="2" t="s">
        <v>107</v>
      </c>
      <c r="F182" s="2"/>
      <c r="G182" s="2"/>
      <c r="H182" s="2" t="s">
        <v>20</v>
      </c>
      <c r="I182" s="2" t="s">
        <v>759</v>
      </c>
    </row>
    <row r="183" spans="1:9" x14ac:dyDescent="0.35">
      <c r="A183" s="2" t="s">
        <v>2320</v>
      </c>
      <c r="B183" s="2" t="s">
        <v>57</v>
      </c>
      <c r="C183" s="2" t="s">
        <v>2326</v>
      </c>
      <c r="D183" s="2" t="s">
        <v>27</v>
      </c>
      <c r="E183" s="2" t="s">
        <v>28</v>
      </c>
      <c r="F183" s="2"/>
      <c r="G183" s="2"/>
      <c r="H183" s="2" t="s">
        <v>20</v>
      </c>
      <c r="I183" s="2" t="s">
        <v>759</v>
      </c>
    </row>
    <row r="184" spans="1:9" x14ac:dyDescent="0.35">
      <c r="A184" s="2" t="s">
        <v>2320</v>
      </c>
      <c r="B184" s="2" t="s">
        <v>57</v>
      </c>
      <c r="C184" s="2" t="s">
        <v>2326</v>
      </c>
      <c r="D184" s="2" t="s">
        <v>35</v>
      </c>
      <c r="E184" s="2" t="s">
        <v>36</v>
      </c>
      <c r="F184" s="2"/>
      <c r="G184" s="2"/>
      <c r="H184" s="2" t="s">
        <v>20</v>
      </c>
      <c r="I184" s="2" t="s">
        <v>759</v>
      </c>
    </row>
    <row r="185" spans="1:9" x14ac:dyDescent="0.35">
      <c r="A185" s="2" t="s">
        <v>2320</v>
      </c>
      <c r="B185" s="2" t="s">
        <v>62</v>
      </c>
      <c r="C185" s="2" t="s">
        <v>2327</v>
      </c>
      <c r="D185" s="2" t="s">
        <v>61</v>
      </c>
      <c r="E185" s="2" t="s">
        <v>30</v>
      </c>
      <c r="F185" s="2" t="s">
        <v>2279</v>
      </c>
      <c r="G185" s="2" t="s">
        <v>2328</v>
      </c>
      <c r="H185" s="2" t="s">
        <v>20</v>
      </c>
      <c r="I185" s="2" t="s">
        <v>759</v>
      </c>
    </row>
    <row r="186" spans="1:9" x14ac:dyDescent="0.35">
      <c r="A186" s="2" t="s">
        <v>2320</v>
      </c>
      <c r="B186" s="2" t="s">
        <v>24</v>
      </c>
      <c r="C186" s="2" t="s">
        <v>2329</v>
      </c>
      <c r="D186" s="2" t="s">
        <v>27</v>
      </c>
      <c r="E186" s="2" t="s">
        <v>28</v>
      </c>
      <c r="F186" s="2" t="s">
        <v>20</v>
      </c>
      <c r="G186" s="2" t="s">
        <v>2330</v>
      </c>
      <c r="H186" s="2" t="s">
        <v>20</v>
      </c>
      <c r="I186" s="2" t="s">
        <v>759</v>
      </c>
    </row>
    <row r="187" spans="1:9" x14ac:dyDescent="0.35">
      <c r="A187" s="2" t="s">
        <v>2320</v>
      </c>
      <c r="B187" s="2" t="s">
        <v>24</v>
      </c>
      <c r="C187" s="2" t="s">
        <v>2329</v>
      </c>
      <c r="D187" s="2" t="s">
        <v>120</v>
      </c>
      <c r="E187" s="2" t="s">
        <v>32</v>
      </c>
      <c r="F187" s="2"/>
      <c r="G187" s="2"/>
      <c r="H187" s="2" t="s">
        <v>20</v>
      </c>
      <c r="I187" s="2" t="s">
        <v>759</v>
      </c>
    </row>
    <row r="188" spans="1:9" x14ac:dyDescent="0.35">
      <c r="A188" s="2" t="s">
        <v>2320</v>
      </c>
      <c r="B188" s="2" t="s">
        <v>24</v>
      </c>
      <c r="C188" s="2" t="s">
        <v>2329</v>
      </c>
      <c r="D188" s="2" t="s">
        <v>2331</v>
      </c>
      <c r="E188" s="2" t="s">
        <v>30</v>
      </c>
      <c r="F188" s="2"/>
      <c r="G188" s="2"/>
      <c r="H188" s="2" t="s">
        <v>20</v>
      </c>
      <c r="I188" s="2" t="s">
        <v>759</v>
      </c>
    </row>
    <row r="189" spans="1:9" x14ac:dyDescent="0.35">
      <c r="A189" s="2" t="s">
        <v>2320</v>
      </c>
      <c r="B189" s="2" t="s">
        <v>24</v>
      </c>
      <c r="C189" s="2" t="s">
        <v>2329</v>
      </c>
      <c r="D189" s="2" t="s">
        <v>35</v>
      </c>
      <c r="E189" s="2" t="s">
        <v>36</v>
      </c>
      <c r="F189" s="2"/>
      <c r="G189" s="2"/>
      <c r="H189" s="2" t="s">
        <v>20</v>
      </c>
      <c r="I189" s="2" t="s">
        <v>759</v>
      </c>
    </row>
    <row r="190" spans="1:9" x14ac:dyDescent="0.35">
      <c r="A190" s="2" t="s">
        <v>2320</v>
      </c>
      <c r="B190" s="2" t="s">
        <v>24</v>
      </c>
      <c r="C190" s="2" t="s">
        <v>2329</v>
      </c>
      <c r="D190" s="2" t="s">
        <v>18</v>
      </c>
      <c r="E190" s="2" t="s">
        <v>1679</v>
      </c>
      <c r="F190" s="2" t="s">
        <v>20</v>
      </c>
      <c r="G190" s="2" t="s">
        <v>2332</v>
      </c>
      <c r="H190" s="2" t="s">
        <v>20</v>
      </c>
      <c r="I190" s="2" t="s">
        <v>759</v>
      </c>
    </row>
    <row r="191" spans="1:9" x14ac:dyDescent="0.35">
      <c r="A191" s="2" t="s">
        <v>2320</v>
      </c>
      <c r="B191" s="2" t="s">
        <v>24</v>
      </c>
      <c r="C191" s="2" t="s">
        <v>2329</v>
      </c>
      <c r="D191" s="2" t="s">
        <v>61</v>
      </c>
      <c r="E191" s="2" t="s">
        <v>30</v>
      </c>
      <c r="F191" s="2"/>
      <c r="G191" s="2"/>
      <c r="H191" s="2" t="s">
        <v>20</v>
      </c>
      <c r="I191" s="2" t="s">
        <v>759</v>
      </c>
    </row>
    <row r="192" spans="1:9" x14ac:dyDescent="0.35">
      <c r="A192" s="2" t="s">
        <v>2320</v>
      </c>
      <c r="B192" s="2" t="s">
        <v>24</v>
      </c>
      <c r="C192" s="2" t="s">
        <v>2329</v>
      </c>
      <c r="D192" s="2" t="s">
        <v>423</v>
      </c>
      <c r="E192" s="2" t="s">
        <v>424</v>
      </c>
      <c r="F192" s="2"/>
      <c r="G192" s="2"/>
      <c r="H192" s="2" t="s">
        <v>20</v>
      </c>
      <c r="I192" s="2" t="s">
        <v>759</v>
      </c>
    </row>
    <row r="193" spans="1:9" x14ac:dyDescent="0.35">
      <c r="A193" s="2" t="s">
        <v>2320</v>
      </c>
      <c r="B193" s="2" t="s">
        <v>62</v>
      </c>
      <c r="C193" s="2" t="s">
        <v>2333</v>
      </c>
      <c r="D193" s="2" t="s">
        <v>144</v>
      </c>
      <c r="E193" s="2" t="s">
        <v>50</v>
      </c>
      <c r="F193" s="2" t="s">
        <v>20</v>
      </c>
      <c r="G193" s="2" t="s">
        <v>2334</v>
      </c>
      <c r="H193" s="2"/>
      <c r="I193" s="2"/>
    </row>
    <row r="194" spans="1:9" x14ac:dyDescent="0.35">
      <c r="A194" s="2" t="s">
        <v>2320</v>
      </c>
      <c r="B194" s="2" t="s">
        <v>62</v>
      </c>
      <c r="C194" s="2" t="s">
        <v>2333</v>
      </c>
      <c r="D194" s="2" t="s">
        <v>27</v>
      </c>
      <c r="E194" s="2" t="s">
        <v>28</v>
      </c>
      <c r="F194" s="2"/>
      <c r="G194" s="2"/>
      <c r="H194" s="2"/>
      <c r="I194" s="2"/>
    </row>
    <row r="195" spans="1:9" x14ac:dyDescent="0.35">
      <c r="A195" s="2" t="s">
        <v>2320</v>
      </c>
      <c r="B195" s="2" t="s">
        <v>62</v>
      </c>
      <c r="C195" s="2" t="s">
        <v>2333</v>
      </c>
      <c r="D195" s="2" t="s">
        <v>38</v>
      </c>
      <c r="E195" s="2" t="s">
        <v>38</v>
      </c>
      <c r="F195" s="2"/>
      <c r="G195" s="2"/>
      <c r="H195" s="2" t="s">
        <v>20</v>
      </c>
      <c r="I195" s="2" t="s">
        <v>759</v>
      </c>
    </row>
    <row r="196" spans="1:9" x14ac:dyDescent="0.35">
      <c r="A196" s="2" t="s">
        <v>2320</v>
      </c>
      <c r="B196" s="2" t="s">
        <v>62</v>
      </c>
      <c r="C196" s="2" t="s">
        <v>2333</v>
      </c>
      <c r="D196" s="2" t="s">
        <v>61</v>
      </c>
      <c r="E196" s="2" t="s">
        <v>30</v>
      </c>
      <c r="F196" s="2"/>
      <c r="G196" s="2"/>
      <c r="H196" s="2"/>
      <c r="I196" s="2"/>
    </row>
    <row r="197" spans="1:9" x14ac:dyDescent="0.35">
      <c r="A197" s="2" t="s">
        <v>2320</v>
      </c>
      <c r="B197" s="2" t="s">
        <v>54</v>
      </c>
      <c r="C197" s="2" t="s">
        <v>2335</v>
      </c>
      <c r="D197" s="2" t="s">
        <v>120</v>
      </c>
      <c r="E197" s="2" t="s">
        <v>32</v>
      </c>
      <c r="F197" s="2"/>
      <c r="G197" s="2"/>
      <c r="H197" s="2" t="s">
        <v>20</v>
      </c>
      <c r="I197" s="2" t="s">
        <v>759</v>
      </c>
    </row>
    <row r="198" spans="1:9" x14ac:dyDescent="0.35">
      <c r="A198" s="2" t="s">
        <v>2320</v>
      </c>
      <c r="B198" s="2" t="s">
        <v>54</v>
      </c>
      <c r="C198" s="2" t="s">
        <v>2335</v>
      </c>
      <c r="D198" s="2" t="s">
        <v>1226</v>
      </c>
      <c r="E198" s="2" t="s">
        <v>107</v>
      </c>
      <c r="F198" s="2"/>
      <c r="G198" s="2"/>
      <c r="H198" s="2" t="s">
        <v>20</v>
      </c>
      <c r="I198" s="2" t="s">
        <v>759</v>
      </c>
    </row>
    <row r="199" spans="1:9" x14ac:dyDescent="0.35">
      <c r="A199" s="2" t="s">
        <v>2320</v>
      </c>
      <c r="B199" s="2" t="s">
        <v>54</v>
      </c>
      <c r="C199" s="2" t="s">
        <v>2335</v>
      </c>
      <c r="D199" s="2" t="s">
        <v>35</v>
      </c>
      <c r="E199" s="2" t="s">
        <v>36</v>
      </c>
      <c r="F199" s="2"/>
      <c r="G199" s="2"/>
      <c r="H199" s="2" t="s">
        <v>20</v>
      </c>
      <c r="I199" s="2" t="s">
        <v>759</v>
      </c>
    </row>
    <row r="200" spans="1:9" x14ac:dyDescent="0.35">
      <c r="A200" s="2" t="s">
        <v>2320</v>
      </c>
      <c r="B200" s="2" t="s">
        <v>54</v>
      </c>
      <c r="C200" s="2" t="s">
        <v>2335</v>
      </c>
      <c r="D200" s="2" t="s">
        <v>269</v>
      </c>
      <c r="E200" s="2" t="s">
        <v>270</v>
      </c>
      <c r="F200" s="2"/>
      <c r="G200" s="2"/>
      <c r="H200" s="2" t="s">
        <v>20</v>
      </c>
      <c r="I200" s="2" t="s">
        <v>759</v>
      </c>
    </row>
    <row r="201" spans="1:9" x14ac:dyDescent="0.35">
      <c r="A201" s="2" t="s">
        <v>2320</v>
      </c>
      <c r="B201" s="2" t="s">
        <v>54</v>
      </c>
      <c r="C201" s="2" t="s">
        <v>2335</v>
      </c>
      <c r="D201" s="2" t="s">
        <v>87</v>
      </c>
      <c r="E201" s="2" t="s">
        <v>75</v>
      </c>
      <c r="F201" s="2"/>
      <c r="G201" s="2"/>
      <c r="H201" s="2" t="s">
        <v>20</v>
      </c>
      <c r="I201" s="2" t="s">
        <v>759</v>
      </c>
    </row>
    <row r="202" spans="1:9" x14ac:dyDescent="0.35">
      <c r="A202" s="2" t="s">
        <v>2320</v>
      </c>
      <c r="B202" s="2" t="s">
        <v>54</v>
      </c>
      <c r="C202" s="2" t="s">
        <v>2335</v>
      </c>
      <c r="D202" s="2" t="s">
        <v>423</v>
      </c>
      <c r="E202" s="2" t="s">
        <v>424</v>
      </c>
      <c r="F202" s="2"/>
      <c r="G202" s="2"/>
      <c r="H202" s="2" t="s">
        <v>20</v>
      </c>
      <c r="I202" s="2" t="s">
        <v>759</v>
      </c>
    </row>
    <row r="203" spans="1:9" x14ac:dyDescent="0.35">
      <c r="A203" s="2" t="s">
        <v>2320</v>
      </c>
      <c r="B203" s="2" t="s">
        <v>24</v>
      </c>
      <c r="C203" s="2" t="s">
        <v>2336</v>
      </c>
      <c r="D203" s="2" t="s">
        <v>27</v>
      </c>
      <c r="E203" s="2" t="s">
        <v>28</v>
      </c>
      <c r="F203" s="2"/>
      <c r="G203" s="2"/>
      <c r="H203" s="2" t="s">
        <v>20</v>
      </c>
      <c r="I203" s="2" t="s">
        <v>759</v>
      </c>
    </row>
    <row r="204" spans="1:9" x14ac:dyDescent="0.35">
      <c r="A204" s="2" t="s">
        <v>2320</v>
      </c>
      <c r="B204" s="2" t="s">
        <v>24</v>
      </c>
      <c r="C204" s="2" t="s">
        <v>2336</v>
      </c>
      <c r="D204" s="2" t="s">
        <v>35</v>
      </c>
      <c r="E204" s="2" t="s">
        <v>36</v>
      </c>
      <c r="F204" s="2"/>
      <c r="G204" s="2"/>
      <c r="H204" s="2" t="s">
        <v>20</v>
      </c>
      <c r="I204" s="2" t="s">
        <v>759</v>
      </c>
    </row>
    <row r="205" spans="1:9" x14ac:dyDescent="0.35">
      <c r="A205" s="2" t="s">
        <v>2320</v>
      </c>
      <c r="B205" s="2" t="s">
        <v>24</v>
      </c>
      <c r="C205" s="2" t="s">
        <v>2336</v>
      </c>
      <c r="D205" s="2" t="s">
        <v>91</v>
      </c>
      <c r="E205" s="2" t="s">
        <v>1679</v>
      </c>
      <c r="F205" s="2" t="s">
        <v>20</v>
      </c>
      <c r="G205" s="2" t="s">
        <v>2337</v>
      </c>
      <c r="H205" s="2" t="s">
        <v>20</v>
      </c>
      <c r="I205" s="2" t="s">
        <v>759</v>
      </c>
    </row>
    <row r="206" spans="1:9" x14ac:dyDescent="0.35">
      <c r="A206" s="2" t="s">
        <v>2320</v>
      </c>
      <c r="B206" s="2" t="s">
        <v>24</v>
      </c>
      <c r="C206" s="2" t="s">
        <v>2338</v>
      </c>
      <c r="D206" s="2" t="s">
        <v>27</v>
      </c>
      <c r="E206" s="2" t="s">
        <v>28</v>
      </c>
      <c r="F206" s="2" t="s">
        <v>20</v>
      </c>
      <c r="G206" s="2" t="s">
        <v>2339</v>
      </c>
      <c r="H206" s="2" t="s">
        <v>20</v>
      </c>
      <c r="I206" s="2" t="s">
        <v>759</v>
      </c>
    </row>
    <row r="207" spans="1:9" x14ac:dyDescent="0.35">
      <c r="A207" s="2" t="s">
        <v>2320</v>
      </c>
      <c r="B207" s="2" t="s">
        <v>24</v>
      </c>
      <c r="C207" s="2" t="s">
        <v>2338</v>
      </c>
      <c r="D207" s="2" t="s">
        <v>35</v>
      </c>
      <c r="E207" s="2" t="s">
        <v>36</v>
      </c>
      <c r="F207" s="2"/>
      <c r="G207" s="2"/>
      <c r="H207" s="2"/>
      <c r="I207" s="2"/>
    </row>
    <row r="208" spans="1:9" x14ac:dyDescent="0.35">
      <c r="A208" s="2" t="s">
        <v>2340</v>
      </c>
      <c r="B208" s="2" t="s">
        <v>12</v>
      </c>
      <c r="C208" s="2" t="s">
        <v>2341</v>
      </c>
      <c r="D208" s="2" t="s">
        <v>61</v>
      </c>
      <c r="E208" s="2" t="s">
        <v>30</v>
      </c>
      <c r="F208" s="2"/>
      <c r="G208" s="2"/>
      <c r="H208" s="2" t="s">
        <v>20</v>
      </c>
      <c r="I208" s="2" t="s">
        <v>759</v>
      </c>
    </row>
    <row r="209" spans="1:9" x14ac:dyDescent="0.35">
      <c r="A209" s="2" t="s">
        <v>2340</v>
      </c>
      <c r="B209" s="2" t="s">
        <v>24</v>
      </c>
      <c r="C209" s="2" t="s">
        <v>2342</v>
      </c>
      <c r="D209" s="2" t="s">
        <v>27</v>
      </c>
      <c r="E209" s="2" t="s">
        <v>28</v>
      </c>
      <c r="F209" s="2"/>
      <c r="G209" s="2"/>
      <c r="H209" s="2" t="s">
        <v>20</v>
      </c>
      <c r="I209" s="2" t="s">
        <v>759</v>
      </c>
    </row>
    <row r="210" spans="1:9" x14ac:dyDescent="0.35">
      <c r="A210" s="2" t="s">
        <v>2340</v>
      </c>
      <c r="B210" s="2" t="s">
        <v>24</v>
      </c>
      <c r="C210" s="2" t="s">
        <v>2342</v>
      </c>
      <c r="D210" s="2" t="s">
        <v>136</v>
      </c>
      <c r="E210" s="2" t="s">
        <v>107</v>
      </c>
      <c r="F210" s="2"/>
      <c r="G210" s="2"/>
      <c r="H210" s="2" t="s">
        <v>20</v>
      </c>
      <c r="I210" s="2" t="s">
        <v>759</v>
      </c>
    </row>
    <row r="211" spans="1:9" x14ac:dyDescent="0.35">
      <c r="A211" s="2" t="s">
        <v>2340</v>
      </c>
      <c r="B211" s="2" t="s">
        <v>24</v>
      </c>
      <c r="C211" s="2" t="s">
        <v>2342</v>
      </c>
      <c r="D211" s="2" t="s">
        <v>269</v>
      </c>
      <c r="E211" s="2" t="s">
        <v>270</v>
      </c>
      <c r="F211" s="2"/>
      <c r="G211" s="2"/>
      <c r="H211" s="2" t="s">
        <v>20</v>
      </c>
      <c r="I211" s="2" t="s">
        <v>759</v>
      </c>
    </row>
    <row r="212" spans="1:9" x14ac:dyDescent="0.35">
      <c r="A212" s="2" t="s">
        <v>2340</v>
      </c>
      <c r="B212" s="2" t="s">
        <v>24</v>
      </c>
      <c r="C212" s="2" t="s">
        <v>2342</v>
      </c>
      <c r="D212" s="2" t="s">
        <v>61</v>
      </c>
      <c r="E212" s="2" t="s">
        <v>30</v>
      </c>
      <c r="F212" s="2"/>
      <c r="G212" s="2"/>
      <c r="H212" s="2" t="s">
        <v>20</v>
      </c>
      <c r="I212" s="2" t="s">
        <v>759</v>
      </c>
    </row>
    <row r="213" spans="1:9" x14ac:dyDescent="0.35">
      <c r="A213" s="2" t="s">
        <v>2340</v>
      </c>
      <c r="B213" s="2" t="s">
        <v>24</v>
      </c>
      <c r="C213" s="2" t="s">
        <v>2342</v>
      </c>
      <c r="D213" s="2" t="s">
        <v>1560</v>
      </c>
      <c r="E213" s="2" t="s">
        <v>50</v>
      </c>
      <c r="F213" s="2"/>
      <c r="G213" s="2"/>
      <c r="H213" s="2" t="s">
        <v>20</v>
      </c>
      <c r="I213" s="2" t="s">
        <v>759</v>
      </c>
    </row>
    <row r="214" spans="1:9" x14ac:dyDescent="0.35">
      <c r="A214" s="2" t="s">
        <v>2340</v>
      </c>
      <c r="B214" s="2" t="s">
        <v>24</v>
      </c>
      <c r="C214" s="2" t="s">
        <v>2342</v>
      </c>
      <c r="D214" s="2" t="s">
        <v>276</v>
      </c>
      <c r="E214" s="2" t="s">
        <v>277</v>
      </c>
      <c r="F214" s="2"/>
      <c r="G214" s="2"/>
      <c r="H214" s="2" t="s">
        <v>20</v>
      </c>
      <c r="I214" s="2" t="s">
        <v>759</v>
      </c>
    </row>
    <row r="215" spans="1:9" x14ac:dyDescent="0.35">
      <c r="A215" s="2" t="s">
        <v>2340</v>
      </c>
      <c r="B215" s="2" t="s">
        <v>62</v>
      </c>
      <c r="C215" s="2" t="s">
        <v>2343</v>
      </c>
      <c r="D215" s="2" t="s">
        <v>144</v>
      </c>
      <c r="E215" s="2" t="s">
        <v>50</v>
      </c>
      <c r="F215" s="2" t="s">
        <v>20</v>
      </c>
      <c r="G215" s="2" t="s">
        <v>2344</v>
      </c>
      <c r="H215" s="2" t="s">
        <v>20</v>
      </c>
      <c r="I215" s="2" t="s">
        <v>759</v>
      </c>
    </row>
    <row r="216" spans="1:9" x14ac:dyDescent="0.35">
      <c r="A216" s="2" t="s">
        <v>2340</v>
      </c>
      <c r="B216" s="2" t="s">
        <v>62</v>
      </c>
      <c r="C216" s="2" t="s">
        <v>2343</v>
      </c>
      <c r="D216" s="2" t="s">
        <v>136</v>
      </c>
      <c r="E216" s="2" t="s">
        <v>107</v>
      </c>
      <c r="F216" s="2"/>
      <c r="G216" s="2"/>
      <c r="H216" s="2" t="s">
        <v>20</v>
      </c>
      <c r="I216" s="2" t="s">
        <v>759</v>
      </c>
    </row>
    <row r="217" spans="1:9" x14ac:dyDescent="0.35">
      <c r="A217" s="2" t="s">
        <v>2340</v>
      </c>
      <c r="B217" s="2" t="s">
        <v>62</v>
      </c>
      <c r="C217" s="2" t="s">
        <v>2343</v>
      </c>
      <c r="D217" s="2" t="s">
        <v>35</v>
      </c>
      <c r="E217" s="2" t="s">
        <v>30</v>
      </c>
      <c r="F217" s="2"/>
      <c r="G217" s="2"/>
      <c r="H217" s="2" t="s">
        <v>20</v>
      </c>
      <c r="I217" s="2" t="s">
        <v>759</v>
      </c>
    </row>
    <row r="218" spans="1:9" x14ac:dyDescent="0.35">
      <c r="A218" s="2" t="s">
        <v>2340</v>
      </c>
      <c r="B218" s="2" t="s">
        <v>62</v>
      </c>
      <c r="C218" s="2" t="s">
        <v>2343</v>
      </c>
      <c r="D218" s="2" t="s">
        <v>61</v>
      </c>
      <c r="E218" s="2" t="s">
        <v>30</v>
      </c>
      <c r="F218" s="2"/>
      <c r="G218" s="2"/>
      <c r="H218" s="2" t="s">
        <v>20</v>
      </c>
      <c r="I218" s="2" t="s">
        <v>759</v>
      </c>
    </row>
    <row r="219" spans="1:9" x14ac:dyDescent="0.35">
      <c r="A219" s="2" t="s">
        <v>2340</v>
      </c>
      <c r="B219" s="2" t="s">
        <v>57</v>
      </c>
      <c r="C219" s="2" t="s">
        <v>2345</v>
      </c>
      <c r="D219" s="2" t="s">
        <v>144</v>
      </c>
      <c r="E219" s="2" t="s">
        <v>50</v>
      </c>
      <c r="F219" s="2"/>
      <c r="G219" s="2"/>
      <c r="H219" s="2" t="s">
        <v>20</v>
      </c>
      <c r="I219" s="2" t="s">
        <v>759</v>
      </c>
    </row>
    <row r="220" spans="1:9" x14ac:dyDescent="0.35">
      <c r="A220" s="2" t="s">
        <v>2340</v>
      </c>
      <c r="B220" s="2" t="s">
        <v>57</v>
      </c>
      <c r="C220" s="2" t="s">
        <v>2345</v>
      </c>
      <c r="D220" s="2" t="s">
        <v>1522</v>
      </c>
      <c r="E220" s="2" t="s">
        <v>28</v>
      </c>
      <c r="F220" s="2"/>
      <c r="G220" s="2"/>
      <c r="H220" s="2" t="s">
        <v>20</v>
      </c>
      <c r="I220" s="2" t="s">
        <v>759</v>
      </c>
    </row>
    <row r="221" spans="1:9" x14ac:dyDescent="0.35">
      <c r="A221" s="2" t="s">
        <v>2340</v>
      </c>
      <c r="B221" s="2" t="s">
        <v>57</v>
      </c>
      <c r="C221" s="2" t="s">
        <v>2345</v>
      </c>
      <c r="D221" s="2" t="s">
        <v>423</v>
      </c>
      <c r="E221" s="2" t="s">
        <v>424</v>
      </c>
      <c r="F221" s="2"/>
      <c r="G221" s="2"/>
      <c r="H221" s="2" t="s">
        <v>20</v>
      </c>
      <c r="I221" s="2" t="s">
        <v>759</v>
      </c>
    </row>
    <row r="222" spans="1:9" x14ac:dyDescent="0.35">
      <c r="A222" s="2" t="s">
        <v>2340</v>
      </c>
      <c r="B222" s="2" t="s">
        <v>54</v>
      </c>
      <c r="C222" s="2" t="s">
        <v>2346</v>
      </c>
      <c r="D222" s="2" t="s">
        <v>27</v>
      </c>
      <c r="E222" s="2" t="s">
        <v>28</v>
      </c>
      <c r="F222" s="2" t="s">
        <v>2347</v>
      </c>
      <c r="G222" s="2" t="s">
        <v>47</v>
      </c>
      <c r="H222" s="2" t="s">
        <v>20</v>
      </c>
      <c r="I222" s="2" t="s">
        <v>759</v>
      </c>
    </row>
    <row r="223" spans="1:9" x14ac:dyDescent="0.35">
      <c r="A223" s="2" t="s">
        <v>2340</v>
      </c>
      <c r="B223" s="2" t="s">
        <v>54</v>
      </c>
      <c r="C223" s="2" t="s">
        <v>2346</v>
      </c>
      <c r="D223" s="2" t="s">
        <v>136</v>
      </c>
      <c r="E223" s="2" t="s">
        <v>107</v>
      </c>
      <c r="F223" s="2" t="s">
        <v>2347</v>
      </c>
      <c r="G223" s="2" t="s">
        <v>47</v>
      </c>
      <c r="H223" s="2" t="s">
        <v>20</v>
      </c>
      <c r="I223" s="2" t="s">
        <v>759</v>
      </c>
    </row>
    <row r="224" spans="1:9" x14ac:dyDescent="0.35">
      <c r="A224" s="2" t="s">
        <v>2340</v>
      </c>
      <c r="B224" s="2" t="s">
        <v>54</v>
      </c>
      <c r="C224" s="2" t="s">
        <v>2346</v>
      </c>
      <c r="D224" s="2" t="s">
        <v>33</v>
      </c>
      <c r="E224" s="2" t="s">
        <v>34</v>
      </c>
      <c r="F224" s="2" t="s">
        <v>2347</v>
      </c>
      <c r="G224" s="2" t="s">
        <v>47</v>
      </c>
      <c r="H224" s="2" t="s">
        <v>20</v>
      </c>
      <c r="I224" s="2" t="s">
        <v>759</v>
      </c>
    </row>
    <row r="225" spans="1:9" x14ac:dyDescent="0.35">
      <c r="A225" s="2" t="s">
        <v>2340</v>
      </c>
      <c r="B225" s="2" t="s">
        <v>54</v>
      </c>
      <c r="C225" s="2" t="s">
        <v>2346</v>
      </c>
      <c r="D225" s="2" t="s">
        <v>35</v>
      </c>
      <c r="E225" s="2" t="s">
        <v>36</v>
      </c>
      <c r="F225" s="2" t="s">
        <v>2347</v>
      </c>
      <c r="G225" s="2" t="s">
        <v>47</v>
      </c>
      <c r="H225" s="2" t="s">
        <v>20</v>
      </c>
      <c r="I225" s="2" t="s">
        <v>759</v>
      </c>
    </row>
    <row r="226" spans="1:9" x14ac:dyDescent="0.35">
      <c r="A226" s="2" t="s">
        <v>2340</v>
      </c>
      <c r="B226" s="2" t="s">
        <v>54</v>
      </c>
      <c r="C226" s="2" t="s">
        <v>2346</v>
      </c>
      <c r="D226" s="2" t="s">
        <v>423</v>
      </c>
      <c r="E226" s="2" t="s">
        <v>424</v>
      </c>
      <c r="F226" s="2" t="s">
        <v>2347</v>
      </c>
      <c r="G226" s="2" t="s">
        <v>47</v>
      </c>
      <c r="H226" s="2" t="s">
        <v>20</v>
      </c>
      <c r="I226" s="2" t="s">
        <v>759</v>
      </c>
    </row>
    <row r="227" spans="1:9" x14ac:dyDescent="0.35">
      <c r="A227" s="2" t="s">
        <v>2340</v>
      </c>
      <c r="B227" s="2" t="s">
        <v>54</v>
      </c>
      <c r="C227" s="2" t="s">
        <v>2348</v>
      </c>
      <c r="D227" s="2" t="s">
        <v>136</v>
      </c>
      <c r="E227" s="2" t="s">
        <v>107</v>
      </c>
      <c r="F227" s="2"/>
      <c r="G227" s="2"/>
      <c r="H227" s="2" t="s">
        <v>20</v>
      </c>
      <c r="I227" s="2" t="s">
        <v>759</v>
      </c>
    </row>
    <row r="228" spans="1:9" x14ac:dyDescent="0.35">
      <c r="A228" s="2" t="s">
        <v>2340</v>
      </c>
      <c r="B228" s="2" t="s">
        <v>54</v>
      </c>
      <c r="C228" s="2" t="s">
        <v>2348</v>
      </c>
      <c r="D228" s="2" t="s">
        <v>227</v>
      </c>
      <c r="E228" s="2" t="s">
        <v>228</v>
      </c>
      <c r="F228" s="2"/>
      <c r="G228" s="2"/>
      <c r="H228" s="2" t="s">
        <v>20</v>
      </c>
      <c r="I228" s="2" t="s">
        <v>759</v>
      </c>
    </row>
    <row r="229" spans="1:9" x14ac:dyDescent="0.35">
      <c r="A229" s="2" t="s">
        <v>2340</v>
      </c>
      <c r="B229" s="2" t="s">
        <v>54</v>
      </c>
      <c r="C229" s="2" t="s">
        <v>2348</v>
      </c>
      <c r="D229" s="2" t="s">
        <v>423</v>
      </c>
      <c r="E229" s="2" t="s">
        <v>424</v>
      </c>
      <c r="F229" s="2"/>
      <c r="G229" s="2"/>
      <c r="H229" s="2" t="s">
        <v>20</v>
      </c>
      <c r="I229" s="2" t="s">
        <v>759</v>
      </c>
    </row>
    <row r="230" spans="1:9" x14ac:dyDescent="0.35">
      <c r="A230" s="2" t="s">
        <v>2340</v>
      </c>
      <c r="B230" s="2" t="s">
        <v>54</v>
      </c>
      <c r="C230" s="2" t="s">
        <v>2349</v>
      </c>
      <c r="D230" s="2" t="s">
        <v>2350</v>
      </c>
      <c r="E230" s="2" t="s">
        <v>28</v>
      </c>
      <c r="F230" s="2" t="s">
        <v>20</v>
      </c>
      <c r="G230" s="2" t="s">
        <v>2351</v>
      </c>
      <c r="H230" s="2" t="s">
        <v>20</v>
      </c>
      <c r="I230" s="2" t="s">
        <v>759</v>
      </c>
    </row>
    <row r="231" spans="1:9" x14ac:dyDescent="0.35">
      <c r="A231" s="2" t="s">
        <v>2340</v>
      </c>
      <c r="B231" s="2" t="s">
        <v>54</v>
      </c>
      <c r="C231" s="2" t="s">
        <v>2349</v>
      </c>
      <c r="D231" s="2" t="s">
        <v>136</v>
      </c>
      <c r="E231" s="2" t="s">
        <v>107</v>
      </c>
      <c r="F231" s="2" t="s">
        <v>20</v>
      </c>
      <c r="G231" s="2" t="s">
        <v>2351</v>
      </c>
      <c r="H231" s="2" t="s">
        <v>20</v>
      </c>
      <c r="I231" s="2" t="s">
        <v>759</v>
      </c>
    </row>
    <row r="232" spans="1:9" x14ac:dyDescent="0.35">
      <c r="A232" s="2" t="s">
        <v>2340</v>
      </c>
      <c r="B232" s="2" t="s">
        <v>54</v>
      </c>
      <c r="C232" s="2" t="s">
        <v>2349</v>
      </c>
      <c r="D232" s="2" t="s">
        <v>423</v>
      </c>
      <c r="E232" s="2" t="s">
        <v>424</v>
      </c>
      <c r="F232" s="2" t="s">
        <v>20</v>
      </c>
      <c r="G232" s="2" t="s">
        <v>2351</v>
      </c>
      <c r="H232" s="2" t="s">
        <v>20</v>
      </c>
      <c r="I232" s="2" t="s">
        <v>759</v>
      </c>
    </row>
    <row r="233" spans="1:9" x14ac:dyDescent="0.35">
      <c r="A233" s="2" t="s">
        <v>2340</v>
      </c>
      <c r="B233" s="2" t="s">
        <v>24</v>
      </c>
      <c r="C233" s="2" t="s">
        <v>2352</v>
      </c>
      <c r="D233" s="2" t="s">
        <v>27</v>
      </c>
      <c r="E233" s="2" t="s">
        <v>28</v>
      </c>
      <c r="F233" s="2" t="s">
        <v>20</v>
      </c>
      <c r="G233" s="2" t="s">
        <v>2353</v>
      </c>
      <c r="H233" s="2" t="s">
        <v>20</v>
      </c>
      <c r="I233" s="2" t="s">
        <v>759</v>
      </c>
    </row>
    <row r="234" spans="1:9" x14ac:dyDescent="0.35">
      <c r="A234" s="2" t="s">
        <v>2340</v>
      </c>
      <c r="B234" s="2" t="s">
        <v>24</v>
      </c>
      <c r="C234" s="2" t="s">
        <v>2352</v>
      </c>
      <c r="D234" s="2" t="s">
        <v>2354</v>
      </c>
      <c r="E234" s="2" t="s">
        <v>28</v>
      </c>
      <c r="F234" s="2"/>
      <c r="G234" s="2"/>
      <c r="H234" s="2" t="s">
        <v>20</v>
      </c>
      <c r="I234" s="2" t="s">
        <v>759</v>
      </c>
    </row>
    <row r="235" spans="1:9" x14ac:dyDescent="0.35">
      <c r="A235" s="2" t="s">
        <v>2340</v>
      </c>
      <c r="B235" s="2" t="s">
        <v>24</v>
      </c>
      <c r="C235" s="2" t="s">
        <v>2352</v>
      </c>
      <c r="D235" s="2" t="s">
        <v>35</v>
      </c>
      <c r="E235" s="2" t="s">
        <v>36</v>
      </c>
      <c r="F235" s="2"/>
      <c r="G235" s="2"/>
      <c r="H235" s="2" t="s">
        <v>20</v>
      </c>
      <c r="I235" s="2" t="s">
        <v>759</v>
      </c>
    </row>
    <row r="236" spans="1:9" x14ac:dyDescent="0.35">
      <c r="A236" s="2" t="s">
        <v>2355</v>
      </c>
      <c r="B236" s="2" t="s">
        <v>62</v>
      </c>
      <c r="C236" s="2" t="s">
        <v>2356</v>
      </c>
      <c r="D236" s="2" t="s">
        <v>120</v>
      </c>
      <c r="E236" s="2" t="s">
        <v>32</v>
      </c>
      <c r="F236" s="2"/>
      <c r="G236" s="2"/>
      <c r="H236" s="2" t="s">
        <v>20</v>
      </c>
      <c r="I236" s="2" t="s">
        <v>759</v>
      </c>
    </row>
    <row r="237" spans="1:9" x14ac:dyDescent="0.35">
      <c r="A237" s="2" t="s">
        <v>2355</v>
      </c>
      <c r="B237" s="2" t="s">
        <v>62</v>
      </c>
      <c r="C237" s="2" t="s">
        <v>2356</v>
      </c>
      <c r="D237" s="2" t="s">
        <v>52</v>
      </c>
      <c r="E237" s="2" t="s">
        <v>52</v>
      </c>
      <c r="F237" s="2"/>
      <c r="G237" s="2"/>
      <c r="H237" s="2" t="s">
        <v>20</v>
      </c>
      <c r="I237" s="2" t="s">
        <v>759</v>
      </c>
    </row>
    <row r="238" spans="1:9" x14ac:dyDescent="0.35">
      <c r="A238" s="2" t="s">
        <v>2355</v>
      </c>
      <c r="B238" s="2" t="s">
        <v>62</v>
      </c>
      <c r="C238" s="2" t="s">
        <v>2356</v>
      </c>
      <c r="D238" s="2" t="s">
        <v>61</v>
      </c>
      <c r="E238" s="2" t="s">
        <v>30</v>
      </c>
      <c r="F238" s="2"/>
      <c r="G238" s="2"/>
      <c r="H238" s="2" t="s">
        <v>20</v>
      </c>
      <c r="I238" s="2" t="s">
        <v>759</v>
      </c>
    </row>
    <row r="239" spans="1:9" x14ac:dyDescent="0.35">
      <c r="A239" s="2" t="s">
        <v>2355</v>
      </c>
      <c r="B239" s="2" t="s">
        <v>57</v>
      </c>
      <c r="C239" s="2" t="s">
        <v>2357</v>
      </c>
      <c r="D239" s="2" t="s">
        <v>2358</v>
      </c>
      <c r="E239" s="2" t="s">
        <v>107</v>
      </c>
      <c r="F239" s="2" t="s">
        <v>20</v>
      </c>
      <c r="G239" s="2" t="s">
        <v>2359</v>
      </c>
      <c r="H239" s="2" t="s">
        <v>20</v>
      </c>
      <c r="I239" s="2" t="s">
        <v>759</v>
      </c>
    </row>
    <row r="240" spans="1:9" x14ac:dyDescent="0.35">
      <c r="A240" s="2" t="s">
        <v>2355</v>
      </c>
      <c r="B240" s="2" t="s">
        <v>57</v>
      </c>
      <c r="C240" s="2" t="s">
        <v>2357</v>
      </c>
      <c r="D240" s="2" t="s">
        <v>1727</v>
      </c>
      <c r="E240" s="2" t="s">
        <v>38</v>
      </c>
      <c r="F240" s="2"/>
      <c r="G240" s="2"/>
      <c r="H240" s="2" t="s">
        <v>20</v>
      </c>
      <c r="I240" s="2" t="s">
        <v>759</v>
      </c>
    </row>
    <row r="241" spans="1:9" x14ac:dyDescent="0.35">
      <c r="A241" s="2" t="s">
        <v>2355</v>
      </c>
      <c r="B241" s="2" t="s">
        <v>57</v>
      </c>
      <c r="C241" s="2" t="s">
        <v>2357</v>
      </c>
      <c r="D241" s="2" t="s">
        <v>35</v>
      </c>
      <c r="E241" s="2" t="s">
        <v>36</v>
      </c>
      <c r="F241" s="2"/>
      <c r="G241" s="2"/>
      <c r="H241" s="2" t="s">
        <v>20</v>
      </c>
      <c r="I241" s="2" t="s">
        <v>759</v>
      </c>
    </row>
    <row r="242" spans="1:9" x14ac:dyDescent="0.35">
      <c r="A242" s="2" t="s">
        <v>2355</v>
      </c>
      <c r="B242" s="2" t="s">
        <v>57</v>
      </c>
      <c r="C242" s="2" t="s">
        <v>2357</v>
      </c>
      <c r="D242" s="2" t="s">
        <v>61</v>
      </c>
      <c r="E242" s="2" t="s">
        <v>30</v>
      </c>
      <c r="F242" s="2"/>
      <c r="G242" s="2"/>
      <c r="H242" s="2" t="s">
        <v>20</v>
      </c>
      <c r="I242" s="2" t="s">
        <v>759</v>
      </c>
    </row>
    <row r="243" spans="1:9" x14ac:dyDescent="0.35">
      <c r="A243" s="2" t="s">
        <v>2355</v>
      </c>
      <c r="B243" s="2" t="s">
        <v>24</v>
      </c>
      <c r="C243" s="2" t="s">
        <v>2360</v>
      </c>
      <c r="D243" s="2" t="s">
        <v>763</v>
      </c>
      <c r="E243" s="2" t="s">
        <v>107</v>
      </c>
      <c r="F243" s="2"/>
      <c r="G243" s="2"/>
      <c r="H243" s="2" t="s">
        <v>20</v>
      </c>
      <c r="I243" s="2" t="s">
        <v>759</v>
      </c>
    </row>
    <row r="244" spans="1:9" x14ac:dyDescent="0.35">
      <c r="A244" s="2" t="s">
        <v>2355</v>
      </c>
      <c r="B244" s="2" t="s">
        <v>24</v>
      </c>
      <c r="C244" s="2" t="s">
        <v>2360</v>
      </c>
      <c r="D244" s="2" t="s">
        <v>35</v>
      </c>
      <c r="E244" s="2" t="s">
        <v>36</v>
      </c>
      <c r="F244" s="2"/>
      <c r="G244" s="2"/>
      <c r="H244" s="2" t="s">
        <v>20</v>
      </c>
      <c r="I244" s="2" t="s">
        <v>759</v>
      </c>
    </row>
    <row r="245" spans="1:9" x14ac:dyDescent="0.35">
      <c r="A245" s="2" t="s">
        <v>2355</v>
      </c>
      <c r="B245" s="2" t="s">
        <v>24</v>
      </c>
      <c r="C245" s="2" t="s">
        <v>2360</v>
      </c>
      <c r="D245" s="2" t="s">
        <v>227</v>
      </c>
      <c r="E245" s="2" t="s">
        <v>228</v>
      </c>
      <c r="F245" s="2"/>
      <c r="G245" s="2"/>
      <c r="H245" s="2" t="s">
        <v>20</v>
      </c>
      <c r="I245" s="2" t="s">
        <v>759</v>
      </c>
    </row>
    <row r="246" spans="1:9" x14ac:dyDescent="0.35">
      <c r="A246" s="2" t="s">
        <v>2355</v>
      </c>
      <c r="B246" s="2" t="s">
        <v>24</v>
      </c>
      <c r="C246" s="2" t="s">
        <v>2360</v>
      </c>
      <c r="D246" s="2" t="s">
        <v>61</v>
      </c>
      <c r="E246" s="2" t="s">
        <v>30</v>
      </c>
      <c r="F246" s="2"/>
      <c r="G246" s="2"/>
      <c r="H246" s="2" t="s">
        <v>20</v>
      </c>
      <c r="I246" s="2" t="s">
        <v>759</v>
      </c>
    </row>
    <row r="247" spans="1:9" x14ac:dyDescent="0.35">
      <c r="A247" s="2" t="s">
        <v>2355</v>
      </c>
      <c r="B247" s="2" t="s">
        <v>24</v>
      </c>
      <c r="C247" s="2" t="s">
        <v>2361</v>
      </c>
      <c r="D247" s="2" t="s">
        <v>763</v>
      </c>
      <c r="E247" s="2" t="s">
        <v>107</v>
      </c>
      <c r="F247" s="2"/>
      <c r="G247" s="2"/>
      <c r="H247" s="2" t="s">
        <v>20</v>
      </c>
      <c r="I247" s="2" t="s">
        <v>759</v>
      </c>
    </row>
    <row r="248" spans="1:9" x14ac:dyDescent="0.35">
      <c r="A248" s="2" t="s">
        <v>2355</v>
      </c>
      <c r="B248" s="2" t="s">
        <v>24</v>
      </c>
      <c r="C248" s="2" t="s">
        <v>2361</v>
      </c>
      <c r="D248" s="2" t="s">
        <v>27</v>
      </c>
      <c r="E248" s="2" t="s">
        <v>28</v>
      </c>
      <c r="F248" s="2" t="s">
        <v>20</v>
      </c>
      <c r="G248" s="2" t="s">
        <v>2362</v>
      </c>
      <c r="H248" s="2" t="s">
        <v>20</v>
      </c>
      <c r="I248" s="2" t="s">
        <v>759</v>
      </c>
    </row>
    <row r="249" spans="1:9" x14ac:dyDescent="0.35">
      <c r="A249" s="2" t="s">
        <v>2355</v>
      </c>
      <c r="B249" s="2" t="s">
        <v>24</v>
      </c>
      <c r="C249" s="2" t="s">
        <v>2361</v>
      </c>
      <c r="D249" s="2" t="s">
        <v>2363</v>
      </c>
      <c r="E249" s="2" t="s">
        <v>228</v>
      </c>
      <c r="F249" s="2"/>
      <c r="G249" s="2"/>
      <c r="H249" s="2" t="s">
        <v>20</v>
      </c>
      <c r="I249" s="2" t="s">
        <v>759</v>
      </c>
    </row>
    <row r="250" spans="1:9" x14ac:dyDescent="0.35">
      <c r="A250" s="2" t="s">
        <v>2355</v>
      </c>
      <c r="B250" s="2" t="s">
        <v>24</v>
      </c>
      <c r="C250" s="2" t="s">
        <v>2361</v>
      </c>
      <c r="D250" s="2" t="s">
        <v>61</v>
      </c>
      <c r="E250" s="2" t="s">
        <v>30</v>
      </c>
      <c r="F250" s="2"/>
      <c r="G250" s="2"/>
      <c r="H250" s="2" t="s">
        <v>20</v>
      </c>
      <c r="I250" s="2" t="s">
        <v>759</v>
      </c>
    </row>
    <row r="251" spans="1:9" x14ac:dyDescent="0.35">
      <c r="A251" s="2" t="s">
        <v>2355</v>
      </c>
      <c r="B251" s="2" t="s">
        <v>24</v>
      </c>
      <c r="C251" s="2" t="s">
        <v>2361</v>
      </c>
      <c r="D251" s="2" t="s">
        <v>423</v>
      </c>
      <c r="E251" s="2" t="s">
        <v>424</v>
      </c>
      <c r="F251" s="2"/>
      <c r="G251" s="2"/>
      <c r="H251" s="2" t="s">
        <v>20</v>
      </c>
      <c r="I251" s="2" t="s">
        <v>759</v>
      </c>
    </row>
    <row r="252" spans="1:9" x14ac:dyDescent="0.35">
      <c r="A252" s="2" t="s">
        <v>2355</v>
      </c>
      <c r="B252" s="2" t="s">
        <v>24</v>
      </c>
      <c r="C252" s="2" t="s">
        <v>2364</v>
      </c>
      <c r="D252" s="2" t="s">
        <v>14</v>
      </c>
      <c r="E252" s="2" t="s">
        <v>15</v>
      </c>
      <c r="F252" s="2"/>
      <c r="G252" s="2"/>
      <c r="H252" s="2" t="s">
        <v>20</v>
      </c>
      <c r="I252" s="2" t="s">
        <v>759</v>
      </c>
    </row>
    <row r="253" spans="1:9" x14ac:dyDescent="0.35">
      <c r="A253" s="2" t="s">
        <v>2355</v>
      </c>
      <c r="B253" s="2" t="s">
        <v>24</v>
      </c>
      <c r="C253" s="2" t="s">
        <v>2364</v>
      </c>
      <c r="D253" s="2" t="s">
        <v>763</v>
      </c>
      <c r="E253" s="2" t="s">
        <v>107</v>
      </c>
      <c r="F253" s="2"/>
      <c r="G253" s="2"/>
      <c r="H253" s="2" t="s">
        <v>20</v>
      </c>
      <c r="I253" s="2" t="s">
        <v>759</v>
      </c>
    </row>
    <row r="254" spans="1:9" x14ac:dyDescent="0.35">
      <c r="A254" s="2" t="s">
        <v>2355</v>
      </c>
      <c r="B254" s="2" t="s">
        <v>24</v>
      </c>
      <c r="C254" s="2" t="s">
        <v>2364</v>
      </c>
      <c r="D254" s="2" t="s">
        <v>27</v>
      </c>
      <c r="E254" s="2" t="s">
        <v>28</v>
      </c>
      <c r="F254" s="2"/>
      <c r="G254" s="2"/>
      <c r="H254" s="2" t="s">
        <v>20</v>
      </c>
      <c r="I254" s="2" t="s">
        <v>759</v>
      </c>
    </row>
    <row r="255" spans="1:9" x14ac:dyDescent="0.35">
      <c r="A255" s="2" t="s">
        <v>2355</v>
      </c>
      <c r="B255" s="2" t="s">
        <v>24</v>
      </c>
      <c r="C255" s="2" t="s">
        <v>2364</v>
      </c>
      <c r="D255" s="2" t="s">
        <v>2365</v>
      </c>
      <c r="E255" s="2" t="s">
        <v>228</v>
      </c>
      <c r="F255" s="2"/>
      <c r="G255" s="2"/>
      <c r="H255" s="2" t="s">
        <v>20</v>
      </c>
      <c r="I255" s="2" t="s">
        <v>759</v>
      </c>
    </row>
    <row r="256" spans="1:9" x14ac:dyDescent="0.35">
      <c r="A256" s="2" t="s">
        <v>2355</v>
      </c>
      <c r="B256" s="2" t="s">
        <v>24</v>
      </c>
      <c r="C256" s="2" t="s">
        <v>2364</v>
      </c>
      <c r="D256" s="2" t="s">
        <v>35</v>
      </c>
      <c r="E256" s="2" t="s">
        <v>36</v>
      </c>
      <c r="F256" s="2"/>
      <c r="G256" s="2"/>
      <c r="H256" s="2" t="s">
        <v>20</v>
      </c>
      <c r="I256" s="2" t="s">
        <v>759</v>
      </c>
    </row>
    <row r="257" spans="1:9" x14ac:dyDescent="0.35">
      <c r="A257" s="2" t="s">
        <v>2355</v>
      </c>
      <c r="B257" s="2" t="s">
        <v>24</v>
      </c>
      <c r="C257" s="2" t="s">
        <v>2364</v>
      </c>
      <c r="D257" s="2" t="s">
        <v>61</v>
      </c>
      <c r="E257" s="2" t="s">
        <v>30</v>
      </c>
      <c r="F257" s="2"/>
      <c r="G257" s="2"/>
      <c r="H257" s="2" t="s">
        <v>20</v>
      </c>
      <c r="I257" s="2" t="s">
        <v>759</v>
      </c>
    </row>
    <row r="258" spans="1:9" x14ac:dyDescent="0.35">
      <c r="A258" s="2" t="s">
        <v>2355</v>
      </c>
      <c r="B258" s="2" t="s">
        <v>24</v>
      </c>
      <c r="C258" s="2" t="s">
        <v>2364</v>
      </c>
      <c r="D258" s="2" t="s">
        <v>423</v>
      </c>
      <c r="E258" s="2" t="s">
        <v>424</v>
      </c>
      <c r="F258" s="2"/>
      <c r="G258" s="2"/>
      <c r="H258" s="2" t="s">
        <v>20</v>
      </c>
      <c r="I258" s="2" t="s">
        <v>759</v>
      </c>
    </row>
    <row r="259" spans="1:9" x14ac:dyDescent="0.35">
      <c r="A259" s="2" t="s">
        <v>2355</v>
      </c>
      <c r="B259" s="2" t="s">
        <v>24</v>
      </c>
      <c r="C259" s="2" t="s">
        <v>2366</v>
      </c>
      <c r="D259" s="2" t="s">
        <v>763</v>
      </c>
      <c r="E259" s="2" t="s">
        <v>107</v>
      </c>
      <c r="F259" s="2"/>
      <c r="G259" s="2"/>
      <c r="H259" s="2" t="s">
        <v>20</v>
      </c>
      <c r="I259" s="2" t="s">
        <v>759</v>
      </c>
    </row>
    <row r="260" spans="1:9" x14ac:dyDescent="0.35">
      <c r="A260" s="2" t="s">
        <v>2355</v>
      </c>
      <c r="B260" s="2" t="s">
        <v>24</v>
      </c>
      <c r="C260" s="2" t="s">
        <v>2366</v>
      </c>
      <c r="D260" s="2" t="s">
        <v>27</v>
      </c>
      <c r="E260" s="2" t="s">
        <v>28</v>
      </c>
      <c r="F260" s="2"/>
      <c r="G260" s="2"/>
      <c r="H260" s="2" t="s">
        <v>20</v>
      </c>
      <c r="I260" s="2" t="s">
        <v>759</v>
      </c>
    </row>
    <row r="261" spans="1:9" x14ac:dyDescent="0.35">
      <c r="A261" s="2" t="s">
        <v>2355</v>
      </c>
      <c r="B261" s="2" t="s">
        <v>24</v>
      </c>
      <c r="C261" s="2" t="s">
        <v>2366</v>
      </c>
      <c r="D261" s="2" t="s">
        <v>35</v>
      </c>
      <c r="E261" s="2" t="s">
        <v>36</v>
      </c>
      <c r="F261" s="2"/>
      <c r="G261" s="2"/>
      <c r="H261" s="2" t="s">
        <v>20</v>
      </c>
      <c r="I261" s="2" t="s">
        <v>759</v>
      </c>
    </row>
    <row r="262" spans="1:9" x14ac:dyDescent="0.35">
      <c r="A262" s="2" t="s">
        <v>2355</v>
      </c>
      <c r="B262" s="2" t="s">
        <v>24</v>
      </c>
      <c r="C262" s="2" t="s">
        <v>2366</v>
      </c>
      <c r="D262" s="2" t="s">
        <v>61</v>
      </c>
      <c r="E262" s="2" t="s">
        <v>30</v>
      </c>
      <c r="F262" s="2"/>
      <c r="G262" s="2"/>
      <c r="H262" s="2" t="s">
        <v>20</v>
      </c>
      <c r="I262" s="2" t="s">
        <v>759</v>
      </c>
    </row>
    <row r="263" spans="1:9" x14ac:dyDescent="0.35">
      <c r="A263" s="2" t="s">
        <v>2367</v>
      </c>
      <c r="B263" s="2" t="s">
        <v>57</v>
      </c>
      <c r="C263" s="2" t="s">
        <v>2368</v>
      </c>
      <c r="D263" s="2" t="s">
        <v>121</v>
      </c>
      <c r="E263" s="2" t="s">
        <v>122</v>
      </c>
      <c r="F263" s="2" t="s">
        <v>20</v>
      </c>
      <c r="G263" s="2" t="s">
        <v>2369</v>
      </c>
      <c r="H263" s="2" t="s">
        <v>20</v>
      </c>
      <c r="I263" s="2" t="s">
        <v>2244</v>
      </c>
    </row>
    <row r="264" spans="1:9" x14ac:dyDescent="0.35">
      <c r="A264" s="2" t="s">
        <v>2367</v>
      </c>
      <c r="B264" s="2" t="s">
        <v>57</v>
      </c>
      <c r="C264" s="2" t="s">
        <v>2368</v>
      </c>
      <c r="D264" s="2" t="s">
        <v>61</v>
      </c>
      <c r="E264" s="2" t="s">
        <v>30</v>
      </c>
      <c r="F264" s="2" t="s">
        <v>20</v>
      </c>
      <c r="G264" s="2" t="s">
        <v>2369</v>
      </c>
      <c r="H264" s="2" t="s">
        <v>20</v>
      </c>
      <c r="I264" s="2" t="s">
        <v>2244</v>
      </c>
    </row>
    <row r="265" spans="1:9" x14ac:dyDescent="0.35">
      <c r="A265" s="2" t="s">
        <v>2370</v>
      </c>
      <c r="B265" s="2" t="s">
        <v>54</v>
      </c>
      <c r="C265" s="2" t="s">
        <v>2371</v>
      </c>
      <c r="D265" s="2" t="s">
        <v>87</v>
      </c>
      <c r="E265" s="2" t="s">
        <v>75</v>
      </c>
      <c r="F265" s="2"/>
      <c r="G265" s="2"/>
      <c r="H265" s="2"/>
      <c r="I265" s="2"/>
    </row>
    <row r="266" spans="1:9" x14ac:dyDescent="0.35">
      <c r="A266" s="2" t="s">
        <v>2370</v>
      </c>
      <c r="B266" s="2" t="s">
        <v>54</v>
      </c>
      <c r="C266" s="2" t="s">
        <v>2371</v>
      </c>
      <c r="D266" s="2" t="s">
        <v>61</v>
      </c>
      <c r="E266" s="2" t="s">
        <v>30</v>
      </c>
      <c r="F266" s="2"/>
      <c r="G266" s="2"/>
      <c r="H266" s="2"/>
      <c r="I266" s="2"/>
    </row>
    <row r="267" spans="1:9" x14ac:dyDescent="0.35">
      <c r="A267" s="2" t="s">
        <v>2372</v>
      </c>
      <c r="B267" s="2" t="s">
        <v>57</v>
      </c>
      <c r="C267" s="2" t="s">
        <v>2373</v>
      </c>
      <c r="D267" s="2" t="s">
        <v>33</v>
      </c>
      <c r="E267" s="2" t="s">
        <v>34</v>
      </c>
      <c r="F267" s="2"/>
      <c r="G267" s="2"/>
      <c r="H267" s="2" t="s">
        <v>20</v>
      </c>
      <c r="I267" s="2" t="s">
        <v>759</v>
      </c>
    </row>
    <row r="268" spans="1:9" x14ac:dyDescent="0.35">
      <c r="A268" s="2" t="s">
        <v>2372</v>
      </c>
      <c r="B268" s="2" t="s">
        <v>57</v>
      </c>
      <c r="C268" s="2" t="s">
        <v>2373</v>
      </c>
      <c r="D268" s="2" t="s">
        <v>38</v>
      </c>
      <c r="E268" s="2" t="s">
        <v>38</v>
      </c>
      <c r="F268" s="2"/>
      <c r="G268" s="2"/>
      <c r="H268" s="2" t="s">
        <v>20</v>
      </c>
      <c r="I268" s="2" t="s">
        <v>759</v>
      </c>
    </row>
    <row r="269" spans="1:9" x14ac:dyDescent="0.35">
      <c r="A269" s="2" t="s">
        <v>2372</v>
      </c>
      <c r="B269" s="2" t="s">
        <v>57</v>
      </c>
      <c r="C269" s="2" t="s">
        <v>2373</v>
      </c>
      <c r="D269" s="2" t="s">
        <v>35</v>
      </c>
      <c r="E269" s="2" t="s">
        <v>36</v>
      </c>
      <c r="F269" s="2"/>
      <c r="G269" s="2"/>
      <c r="H269" s="2" t="s">
        <v>20</v>
      </c>
      <c r="I269" s="2" t="s">
        <v>759</v>
      </c>
    </row>
    <row r="270" spans="1:9" x14ac:dyDescent="0.35">
      <c r="A270" s="2" t="s">
        <v>2372</v>
      </c>
      <c r="B270" s="2" t="s">
        <v>57</v>
      </c>
      <c r="C270" s="2" t="s">
        <v>2373</v>
      </c>
      <c r="D270" s="2" t="s">
        <v>2363</v>
      </c>
      <c r="E270" s="2" t="s">
        <v>228</v>
      </c>
      <c r="F270" s="2"/>
      <c r="G270" s="2"/>
      <c r="H270" s="2" t="s">
        <v>20</v>
      </c>
      <c r="I270" s="2" t="s">
        <v>759</v>
      </c>
    </row>
    <row r="271" spans="1:9" x14ac:dyDescent="0.35">
      <c r="A271" s="2" t="s">
        <v>2372</v>
      </c>
      <c r="B271" s="2" t="s">
        <v>57</v>
      </c>
      <c r="C271" s="2" t="s">
        <v>2373</v>
      </c>
      <c r="D271" s="2" t="s">
        <v>61</v>
      </c>
      <c r="E271" s="2" t="s">
        <v>30</v>
      </c>
      <c r="F271" s="2"/>
      <c r="G271" s="2"/>
      <c r="H271" s="2" t="s">
        <v>20</v>
      </c>
      <c r="I271" s="2" t="s">
        <v>759</v>
      </c>
    </row>
    <row r="272" spans="1:9" x14ac:dyDescent="0.35">
      <c r="A272" s="2" t="s">
        <v>2372</v>
      </c>
      <c r="B272" s="2" t="s">
        <v>62</v>
      </c>
      <c r="C272" s="2" t="s">
        <v>2374</v>
      </c>
      <c r="D272" s="2" t="s">
        <v>27</v>
      </c>
      <c r="E272" s="2" t="s">
        <v>28</v>
      </c>
      <c r="F272" s="2"/>
      <c r="G272" s="2"/>
      <c r="H272" s="2" t="s">
        <v>20</v>
      </c>
      <c r="I272" s="2" t="s">
        <v>759</v>
      </c>
    </row>
    <row r="273" spans="1:9" x14ac:dyDescent="0.35">
      <c r="A273" s="2" t="s">
        <v>2372</v>
      </c>
      <c r="B273" s="2" t="s">
        <v>62</v>
      </c>
      <c r="C273" s="2" t="s">
        <v>2374</v>
      </c>
      <c r="D273" s="2" t="s">
        <v>269</v>
      </c>
      <c r="E273" s="2" t="s">
        <v>270</v>
      </c>
      <c r="F273" s="2"/>
      <c r="G273" s="2"/>
      <c r="H273" s="2" t="s">
        <v>20</v>
      </c>
      <c r="I273" s="2" t="s">
        <v>759</v>
      </c>
    </row>
    <row r="274" spans="1:9" x14ac:dyDescent="0.35">
      <c r="A274" s="2" t="s">
        <v>2372</v>
      </c>
      <c r="B274" s="2" t="s">
        <v>24</v>
      </c>
      <c r="C274" s="2" t="s">
        <v>2375</v>
      </c>
      <c r="D274" s="2" t="s">
        <v>27</v>
      </c>
      <c r="E274" s="2" t="s">
        <v>28</v>
      </c>
      <c r="F274" s="2" t="s">
        <v>20</v>
      </c>
      <c r="G274" s="2" t="s">
        <v>2376</v>
      </c>
      <c r="H274" s="2" t="s">
        <v>20</v>
      </c>
      <c r="I274" s="2" t="s">
        <v>759</v>
      </c>
    </row>
    <row r="275" spans="1:9" x14ac:dyDescent="0.35">
      <c r="A275" s="2" t="s">
        <v>2372</v>
      </c>
      <c r="B275" s="2" t="s">
        <v>24</v>
      </c>
      <c r="C275" s="2" t="s">
        <v>2375</v>
      </c>
      <c r="D275" s="2" t="s">
        <v>120</v>
      </c>
      <c r="E275" s="2" t="s">
        <v>32</v>
      </c>
      <c r="F275" s="2"/>
      <c r="G275" s="2"/>
      <c r="H275" s="2"/>
      <c r="I275" s="2"/>
    </row>
    <row r="276" spans="1:9" x14ac:dyDescent="0.35">
      <c r="A276" s="2" t="s">
        <v>2372</v>
      </c>
      <c r="B276" s="2" t="s">
        <v>24</v>
      </c>
      <c r="C276" s="2" t="s">
        <v>2375</v>
      </c>
      <c r="D276" s="2" t="s">
        <v>35</v>
      </c>
      <c r="E276" s="2" t="s">
        <v>36</v>
      </c>
      <c r="F276" s="2"/>
      <c r="G276" s="2"/>
      <c r="H276" s="2"/>
      <c r="I276" s="2"/>
    </row>
    <row r="277" spans="1:9" x14ac:dyDescent="0.35">
      <c r="A277" s="2" t="s">
        <v>2372</v>
      </c>
      <c r="B277" s="2" t="s">
        <v>24</v>
      </c>
      <c r="C277" s="2" t="s">
        <v>2375</v>
      </c>
      <c r="D277" s="2" t="s">
        <v>269</v>
      </c>
      <c r="E277" s="2" t="s">
        <v>270</v>
      </c>
      <c r="F277" s="2"/>
      <c r="G277" s="2"/>
      <c r="H277" s="2"/>
      <c r="I277" s="2"/>
    </row>
    <row r="278" spans="1:9" x14ac:dyDescent="0.35">
      <c r="A278" s="2" t="s">
        <v>2372</v>
      </c>
      <c r="B278" s="2" t="s">
        <v>24</v>
      </c>
      <c r="C278" s="2" t="s">
        <v>2375</v>
      </c>
      <c r="D278" s="2" t="s">
        <v>61</v>
      </c>
      <c r="E278" s="2" t="s">
        <v>30</v>
      </c>
      <c r="F278" s="2"/>
      <c r="G278" s="2"/>
      <c r="H278" s="2"/>
      <c r="I278" s="2"/>
    </row>
    <row r="279" spans="1:9" x14ac:dyDescent="0.35">
      <c r="A279" s="2" t="s">
        <v>2372</v>
      </c>
      <c r="B279" s="2" t="s">
        <v>24</v>
      </c>
      <c r="C279" s="2" t="s">
        <v>2375</v>
      </c>
      <c r="D279" s="2" t="s">
        <v>423</v>
      </c>
      <c r="E279" s="2" t="s">
        <v>424</v>
      </c>
      <c r="F279" s="2"/>
      <c r="G279" s="2"/>
      <c r="H279" s="2"/>
      <c r="I279" s="2"/>
    </row>
    <row r="280" spans="1:9" x14ac:dyDescent="0.35">
      <c r="A280" s="2" t="s">
        <v>2372</v>
      </c>
      <c r="B280" s="2" t="s">
        <v>24</v>
      </c>
      <c r="C280" s="2" t="s">
        <v>2377</v>
      </c>
      <c r="D280" s="2" t="s">
        <v>27</v>
      </c>
      <c r="E280" s="2" t="s">
        <v>28</v>
      </c>
      <c r="F280" s="2"/>
      <c r="G280" s="2"/>
      <c r="H280" s="2" t="s">
        <v>20</v>
      </c>
      <c r="I280" s="2" t="s">
        <v>759</v>
      </c>
    </row>
    <row r="281" spans="1:9" x14ac:dyDescent="0.35">
      <c r="A281" s="2" t="s">
        <v>2372</v>
      </c>
      <c r="B281" s="2" t="s">
        <v>24</v>
      </c>
      <c r="C281" s="2" t="s">
        <v>2377</v>
      </c>
      <c r="D281" s="2" t="s">
        <v>423</v>
      </c>
      <c r="E281" s="2" t="s">
        <v>424</v>
      </c>
      <c r="F281" s="2"/>
      <c r="G281" s="2"/>
      <c r="H281" s="2" t="s">
        <v>20</v>
      </c>
      <c r="I281" s="2" t="s">
        <v>759</v>
      </c>
    </row>
    <row r="282" spans="1:9" x14ac:dyDescent="0.35">
      <c r="A282" s="2" t="s">
        <v>2372</v>
      </c>
      <c r="B282" s="2" t="s">
        <v>24</v>
      </c>
      <c r="C282" s="2" t="s">
        <v>2378</v>
      </c>
      <c r="D282" s="2" t="s">
        <v>27</v>
      </c>
      <c r="E282" s="2" t="s">
        <v>28</v>
      </c>
      <c r="F282" s="2"/>
      <c r="G282" s="2"/>
      <c r="H282" s="2" t="s">
        <v>20</v>
      </c>
      <c r="I282" s="2" t="s">
        <v>759</v>
      </c>
    </row>
    <row r="283" spans="1:9" x14ac:dyDescent="0.35">
      <c r="A283" s="2" t="s">
        <v>2372</v>
      </c>
      <c r="B283" s="2" t="s">
        <v>24</v>
      </c>
      <c r="C283" s="2" t="s">
        <v>2378</v>
      </c>
      <c r="D283" s="2" t="s">
        <v>167</v>
      </c>
      <c r="E283" s="2" t="s">
        <v>40</v>
      </c>
      <c r="F283" s="2"/>
      <c r="G283" s="2"/>
      <c r="H283" s="2" t="s">
        <v>20</v>
      </c>
      <c r="I283" s="2" t="s">
        <v>759</v>
      </c>
    </row>
    <row r="284" spans="1:9" x14ac:dyDescent="0.35">
      <c r="A284" s="2" t="s">
        <v>2372</v>
      </c>
      <c r="B284" s="2" t="s">
        <v>24</v>
      </c>
      <c r="C284" s="2" t="s">
        <v>2378</v>
      </c>
      <c r="D284" s="2" t="s">
        <v>35</v>
      </c>
      <c r="E284" s="2" t="s">
        <v>36</v>
      </c>
      <c r="F284" s="2"/>
      <c r="G284" s="2"/>
      <c r="H284" s="2" t="s">
        <v>20</v>
      </c>
      <c r="I284" s="2" t="s">
        <v>759</v>
      </c>
    </row>
    <row r="285" spans="1:9" x14ac:dyDescent="0.35">
      <c r="A285" s="2" t="s">
        <v>2372</v>
      </c>
      <c r="B285" s="2" t="s">
        <v>24</v>
      </c>
      <c r="C285" s="2" t="s">
        <v>2378</v>
      </c>
      <c r="D285" s="2" t="s">
        <v>61</v>
      </c>
      <c r="E285" s="2" t="s">
        <v>30</v>
      </c>
      <c r="F285" s="2"/>
      <c r="G285" s="2"/>
      <c r="H285" s="2" t="s">
        <v>20</v>
      </c>
      <c r="I285" s="2" t="s">
        <v>759</v>
      </c>
    </row>
    <row r="286" spans="1:9" x14ac:dyDescent="0.35">
      <c r="A286" s="2" t="s">
        <v>2372</v>
      </c>
      <c r="B286" s="2" t="s">
        <v>24</v>
      </c>
      <c r="C286" s="2" t="s">
        <v>2378</v>
      </c>
      <c r="D286" s="2" t="s">
        <v>423</v>
      </c>
      <c r="E286" s="2" t="s">
        <v>424</v>
      </c>
      <c r="F286" s="2"/>
      <c r="G286" s="2"/>
      <c r="H286" s="2" t="s">
        <v>20</v>
      </c>
      <c r="I286" s="2" t="s">
        <v>759</v>
      </c>
    </row>
    <row r="287" spans="1:9" x14ac:dyDescent="0.35">
      <c r="A287" s="2" t="s">
        <v>2372</v>
      </c>
      <c r="B287" s="2" t="s">
        <v>24</v>
      </c>
      <c r="C287" s="2" t="s">
        <v>2379</v>
      </c>
      <c r="D287" s="2" t="s">
        <v>167</v>
      </c>
      <c r="E287" s="2" t="s">
        <v>40</v>
      </c>
      <c r="F287" s="2"/>
      <c r="G287" s="2"/>
      <c r="H287" s="2" t="s">
        <v>20</v>
      </c>
      <c r="I287" s="2" t="s">
        <v>759</v>
      </c>
    </row>
    <row r="288" spans="1:9" x14ac:dyDescent="0.35">
      <c r="A288" s="2" t="s">
        <v>2372</v>
      </c>
      <c r="B288" s="2" t="s">
        <v>24</v>
      </c>
      <c r="C288" s="2" t="s">
        <v>2379</v>
      </c>
      <c r="D288" s="2" t="s">
        <v>35</v>
      </c>
      <c r="E288" s="2" t="s">
        <v>36</v>
      </c>
      <c r="F288" s="2"/>
      <c r="G288" s="2"/>
      <c r="H288" s="2" t="s">
        <v>20</v>
      </c>
      <c r="I288" s="2" t="s">
        <v>759</v>
      </c>
    </row>
    <row r="289" spans="1:9" x14ac:dyDescent="0.35">
      <c r="A289" s="2" t="s">
        <v>2372</v>
      </c>
      <c r="B289" s="2" t="s">
        <v>24</v>
      </c>
      <c r="C289" s="2" t="s">
        <v>2379</v>
      </c>
      <c r="D289" s="2" t="s">
        <v>423</v>
      </c>
      <c r="E289" s="2" t="s">
        <v>424</v>
      </c>
      <c r="F289" s="2"/>
      <c r="G289" s="2"/>
      <c r="H289" s="2" t="s">
        <v>20</v>
      </c>
      <c r="I289" s="2" t="s">
        <v>759</v>
      </c>
    </row>
    <row r="290" spans="1:9" x14ac:dyDescent="0.35">
      <c r="A290" s="2" t="s">
        <v>2372</v>
      </c>
      <c r="B290" s="2" t="s">
        <v>24</v>
      </c>
      <c r="C290" s="2" t="s">
        <v>2380</v>
      </c>
      <c r="D290" s="2" t="s">
        <v>136</v>
      </c>
      <c r="E290" s="2" t="s">
        <v>107</v>
      </c>
      <c r="F290" s="2" t="s">
        <v>20</v>
      </c>
      <c r="G290" s="2" t="s">
        <v>2339</v>
      </c>
      <c r="H290" s="2" t="s">
        <v>20</v>
      </c>
      <c r="I290" s="2" t="s">
        <v>759</v>
      </c>
    </row>
    <row r="291" spans="1:9" x14ac:dyDescent="0.35">
      <c r="A291" s="2" t="s">
        <v>2372</v>
      </c>
      <c r="B291" s="2" t="s">
        <v>24</v>
      </c>
      <c r="C291" s="2" t="s">
        <v>2380</v>
      </c>
      <c r="D291" s="2" t="s">
        <v>35</v>
      </c>
      <c r="E291" s="2" t="s">
        <v>36</v>
      </c>
      <c r="F291" s="2" t="s">
        <v>20</v>
      </c>
      <c r="G291" s="2" t="s">
        <v>2339</v>
      </c>
      <c r="H291" s="2" t="s">
        <v>20</v>
      </c>
      <c r="I291" s="2" t="s">
        <v>759</v>
      </c>
    </row>
    <row r="292" spans="1:9" x14ac:dyDescent="0.35">
      <c r="A292" s="2" t="s">
        <v>2372</v>
      </c>
      <c r="B292" s="2" t="s">
        <v>24</v>
      </c>
      <c r="C292" s="2" t="s">
        <v>2380</v>
      </c>
      <c r="D292" s="2" t="s">
        <v>18</v>
      </c>
      <c r="E292" s="2" t="s">
        <v>19</v>
      </c>
      <c r="F292" s="2" t="s">
        <v>20</v>
      </c>
      <c r="G292" s="2" t="s">
        <v>2339</v>
      </c>
      <c r="H292" s="2" t="s">
        <v>20</v>
      </c>
      <c r="I292" s="2" t="s">
        <v>759</v>
      </c>
    </row>
    <row r="293" spans="1:9" x14ac:dyDescent="0.35">
      <c r="A293" s="2" t="s">
        <v>2372</v>
      </c>
      <c r="B293" s="2" t="s">
        <v>24</v>
      </c>
      <c r="C293" s="2" t="s">
        <v>2380</v>
      </c>
      <c r="D293" s="2" t="s">
        <v>423</v>
      </c>
      <c r="E293" s="2" t="s">
        <v>424</v>
      </c>
      <c r="F293" s="2"/>
      <c r="G293" s="2"/>
      <c r="H293" s="2" t="s">
        <v>20</v>
      </c>
      <c r="I293" s="2" t="s">
        <v>759</v>
      </c>
    </row>
    <row r="294" spans="1:9" x14ac:dyDescent="0.35">
      <c r="A294" s="2" t="s">
        <v>2372</v>
      </c>
      <c r="B294" s="2" t="s">
        <v>24</v>
      </c>
      <c r="C294" s="2" t="s">
        <v>2380</v>
      </c>
      <c r="D294" s="2" t="s">
        <v>127</v>
      </c>
      <c r="E294" s="2" t="s">
        <v>107</v>
      </c>
      <c r="F294" s="2" t="s">
        <v>20</v>
      </c>
      <c r="G294" s="2" t="s">
        <v>2339</v>
      </c>
      <c r="H294" s="2" t="s">
        <v>20</v>
      </c>
      <c r="I294" s="2" t="s">
        <v>759</v>
      </c>
    </row>
    <row r="295" spans="1:9" x14ac:dyDescent="0.35">
      <c r="A295" s="2" t="s">
        <v>2381</v>
      </c>
      <c r="B295" s="2" t="s">
        <v>24</v>
      </c>
      <c r="C295" s="2" t="s">
        <v>2382</v>
      </c>
      <c r="D295" s="2" t="s">
        <v>2256</v>
      </c>
      <c r="E295" s="2" t="s">
        <v>30</v>
      </c>
      <c r="F295" s="2"/>
      <c r="G295" s="2"/>
      <c r="H295" s="2" t="s">
        <v>20</v>
      </c>
      <c r="I295" s="2" t="s">
        <v>759</v>
      </c>
    </row>
    <row r="296" spans="1:9" x14ac:dyDescent="0.35">
      <c r="A296" s="2" t="s">
        <v>2381</v>
      </c>
      <c r="B296" s="2" t="s">
        <v>24</v>
      </c>
      <c r="C296" s="2" t="s">
        <v>2382</v>
      </c>
      <c r="D296" s="2" t="s">
        <v>423</v>
      </c>
      <c r="E296" s="2" t="s">
        <v>424</v>
      </c>
      <c r="F296" s="2" t="s">
        <v>20</v>
      </c>
      <c r="G296" s="2" t="s">
        <v>2383</v>
      </c>
      <c r="H296" s="2" t="s">
        <v>20</v>
      </c>
      <c r="I296" s="2" t="s">
        <v>759</v>
      </c>
    </row>
    <row r="297" spans="1:9" x14ac:dyDescent="0.35">
      <c r="A297" s="2" t="s">
        <v>2381</v>
      </c>
      <c r="B297" s="2" t="s">
        <v>24</v>
      </c>
      <c r="C297" s="2" t="s">
        <v>2384</v>
      </c>
      <c r="D297" s="2" t="s">
        <v>27</v>
      </c>
      <c r="E297" s="2" t="s">
        <v>28</v>
      </c>
      <c r="F297" s="2"/>
      <c r="G297" s="2"/>
      <c r="H297" s="2" t="s">
        <v>20</v>
      </c>
      <c r="I297" s="2" t="s">
        <v>759</v>
      </c>
    </row>
    <row r="298" spans="1:9" x14ac:dyDescent="0.35">
      <c r="A298" s="2" t="s">
        <v>2381</v>
      </c>
      <c r="B298" s="2" t="s">
        <v>24</v>
      </c>
      <c r="C298" s="2" t="s">
        <v>2384</v>
      </c>
      <c r="D298" s="2" t="s">
        <v>269</v>
      </c>
      <c r="E298" s="2" t="s">
        <v>270</v>
      </c>
      <c r="F298" s="2"/>
      <c r="G298" s="2"/>
      <c r="H298" s="2" t="s">
        <v>20</v>
      </c>
      <c r="I298" s="2" t="s">
        <v>759</v>
      </c>
    </row>
    <row r="299" spans="1:9" x14ac:dyDescent="0.35">
      <c r="A299" s="2" t="s">
        <v>2381</v>
      </c>
      <c r="B299" s="2" t="s">
        <v>24</v>
      </c>
      <c r="C299" s="2" t="s">
        <v>2384</v>
      </c>
      <c r="D299" s="2" t="s">
        <v>423</v>
      </c>
      <c r="E299" s="2" t="s">
        <v>424</v>
      </c>
      <c r="F299" s="2" t="s">
        <v>20</v>
      </c>
      <c r="G299" s="2" t="s">
        <v>2385</v>
      </c>
      <c r="H299" s="2" t="s">
        <v>20</v>
      </c>
      <c r="I299" s="2" t="s">
        <v>759</v>
      </c>
    </row>
    <row r="300" spans="1:9" x14ac:dyDescent="0.35">
      <c r="A300" s="2" t="s">
        <v>2381</v>
      </c>
      <c r="B300" s="2" t="s">
        <v>24</v>
      </c>
      <c r="C300" s="2" t="s">
        <v>2386</v>
      </c>
      <c r="D300" s="2" t="s">
        <v>27</v>
      </c>
      <c r="E300" s="2" t="s">
        <v>28</v>
      </c>
      <c r="F300" s="2" t="s">
        <v>20</v>
      </c>
      <c r="G300" s="2" t="s">
        <v>2387</v>
      </c>
      <c r="H300" s="2" t="s">
        <v>20</v>
      </c>
      <c r="I300" s="2" t="s">
        <v>759</v>
      </c>
    </row>
    <row r="301" spans="1:9" x14ac:dyDescent="0.35">
      <c r="A301" s="2" t="s">
        <v>2381</v>
      </c>
      <c r="B301" s="2" t="s">
        <v>24</v>
      </c>
      <c r="C301" s="2" t="s">
        <v>2386</v>
      </c>
      <c r="D301" s="2" t="s">
        <v>61</v>
      </c>
      <c r="E301" s="2" t="s">
        <v>30</v>
      </c>
      <c r="F301" s="2" t="s">
        <v>20</v>
      </c>
      <c r="G301" s="2" t="s">
        <v>2387</v>
      </c>
      <c r="H301" s="2" t="s">
        <v>20</v>
      </c>
      <c r="I301" s="2" t="s">
        <v>759</v>
      </c>
    </row>
    <row r="302" spans="1:9" x14ac:dyDescent="0.35">
      <c r="A302" s="2" t="s">
        <v>2381</v>
      </c>
      <c r="B302" s="2" t="s">
        <v>24</v>
      </c>
      <c r="C302" s="2" t="s">
        <v>2386</v>
      </c>
      <c r="D302" s="2" t="s">
        <v>423</v>
      </c>
      <c r="E302" s="2" t="s">
        <v>424</v>
      </c>
      <c r="F302" s="2" t="s">
        <v>20</v>
      </c>
      <c r="G302" s="2" t="s">
        <v>2387</v>
      </c>
      <c r="H302" s="2" t="s">
        <v>20</v>
      </c>
      <c r="I302" s="2" t="s">
        <v>759</v>
      </c>
    </row>
    <row r="303" spans="1:9" x14ac:dyDescent="0.35">
      <c r="A303" s="2" t="s">
        <v>2388</v>
      </c>
      <c r="B303" s="2" t="s">
        <v>57</v>
      </c>
      <c r="C303" s="2" t="s">
        <v>2389</v>
      </c>
      <c r="D303" s="2" t="s">
        <v>120</v>
      </c>
      <c r="E303" s="2" t="s">
        <v>32</v>
      </c>
      <c r="F303" s="2" t="s">
        <v>20</v>
      </c>
      <c r="G303" s="2" t="s">
        <v>2390</v>
      </c>
      <c r="H303" s="2" t="s">
        <v>20</v>
      </c>
      <c r="I303" s="2" t="s">
        <v>759</v>
      </c>
    </row>
    <row r="304" spans="1:9" x14ac:dyDescent="0.35">
      <c r="A304" s="2" t="s">
        <v>2388</v>
      </c>
      <c r="B304" s="2" t="s">
        <v>57</v>
      </c>
      <c r="C304" s="2" t="s">
        <v>2389</v>
      </c>
      <c r="D304" s="2" t="s">
        <v>291</v>
      </c>
      <c r="E304" s="2" t="s">
        <v>139</v>
      </c>
      <c r="F304" s="2" t="s">
        <v>20</v>
      </c>
      <c r="G304" s="2" t="s">
        <v>2390</v>
      </c>
      <c r="H304" s="2" t="s">
        <v>20</v>
      </c>
      <c r="I304" s="2" t="s">
        <v>759</v>
      </c>
    </row>
    <row r="305" spans="1:9" x14ac:dyDescent="0.35">
      <c r="A305" s="2" t="s">
        <v>2388</v>
      </c>
      <c r="B305" s="2" t="s">
        <v>57</v>
      </c>
      <c r="C305" s="2" t="s">
        <v>2389</v>
      </c>
      <c r="D305" s="2" t="s">
        <v>35</v>
      </c>
      <c r="E305" s="2" t="s">
        <v>36</v>
      </c>
      <c r="F305" s="2"/>
      <c r="G305" s="2"/>
      <c r="H305" s="2" t="s">
        <v>20</v>
      </c>
      <c r="I305" s="2" t="s">
        <v>759</v>
      </c>
    </row>
    <row r="306" spans="1:9" x14ac:dyDescent="0.35">
      <c r="A306" s="2" t="s">
        <v>2388</v>
      </c>
      <c r="B306" s="2" t="s">
        <v>57</v>
      </c>
      <c r="C306" s="2" t="s">
        <v>2389</v>
      </c>
      <c r="D306" s="2" t="s">
        <v>227</v>
      </c>
      <c r="E306" s="2" t="s">
        <v>228</v>
      </c>
      <c r="F306" s="2"/>
      <c r="G306" s="2"/>
      <c r="H306" s="2" t="s">
        <v>20</v>
      </c>
      <c r="I306" s="2" t="s">
        <v>759</v>
      </c>
    </row>
    <row r="307" spans="1:9" x14ac:dyDescent="0.35">
      <c r="A307" s="2" t="s">
        <v>2388</v>
      </c>
      <c r="B307" s="2" t="s">
        <v>57</v>
      </c>
      <c r="C307" s="2" t="s">
        <v>2389</v>
      </c>
      <c r="D307" s="2" t="s">
        <v>61</v>
      </c>
      <c r="E307" s="2" t="s">
        <v>30</v>
      </c>
      <c r="F307" s="2"/>
      <c r="G307" s="2"/>
      <c r="H307" s="2" t="s">
        <v>20</v>
      </c>
      <c r="I307" s="2" t="s">
        <v>759</v>
      </c>
    </row>
    <row r="308" spans="1:9" x14ac:dyDescent="0.35">
      <c r="A308" s="2" t="s">
        <v>2388</v>
      </c>
      <c r="B308" s="2" t="s">
        <v>24</v>
      </c>
      <c r="C308" s="2" t="s">
        <v>2391</v>
      </c>
      <c r="D308" s="2" t="s">
        <v>269</v>
      </c>
      <c r="E308" s="2" t="s">
        <v>270</v>
      </c>
      <c r="F308" s="2"/>
      <c r="G308" s="2"/>
      <c r="H308" s="2" t="s">
        <v>20</v>
      </c>
      <c r="I308" s="2" t="s">
        <v>759</v>
      </c>
    </row>
    <row r="309" spans="1:9" x14ac:dyDescent="0.35">
      <c r="A309" s="2" t="s">
        <v>2388</v>
      </c>
      <c r="B309" s="2" t="s">
        <v>24</v>
      </c>
      <c r="C309" s="2" t="s">
        <v>2391</v>
      </c>
      <c r="D309" s="2" t="s">
        <v>91</v>
      </c>
      <c r="E309" s="2" t="s">
        <v>19</v>
      </c>
      <c r="F309" s="2" t="s">
        <v>20</v>
      </c>
      <c r="G309" s="2" t="s">
        <v>2392</v>
      </c>
      <c r="H309" s="2" t="s">
        <v>20</v>
      </c>
      <c r="I309" s="2" t="s">
        <v>759</v>
      </c>
    </row>
    <row r="310" spans="1:9" x14ac:dyDescent="0.35">
      <c r="A310" s="2" t="s">
        <v>2388</v>
      </c>
      <c r="B310" s="2" t="s">
        <v>24</v>
      </c>
      <c r="C310" s="2" t="s">
        <v>2391</v>
      </c>
      <c r="D310" s="2" t="s">
        <v>61</v>
      </c>
      <c r="E310" s="2" t="s">
        <v>30</v>
      </c>
      <c r="F310" s="2"/>
      <c r="G310" s="2"/>
      <c r="H310" s="2" t="s">
        <v>20</v>
      </c>
      <c r="I310" s="2" t="s">
        <v>759</v>
      </c>
    </row>
    <row r="311" spans="1:9" x14ac:dyDescent="0.35">
      <c r="A311" s="2" t="s">
        <v>2388</v>
      </c>
      <c r="B311" s="2" t="s">
        <v>24</v>
      </c>
      <c r="C311" s="2" t="s">
        <v>2391</v>
      </c>
      <c r="D311" s="2" t="s">
        <v>423</v>
      </c>
      <c r="E311" s="2" t="s">
        <v>424</v>
      </c>
      <c r="F311" s="2"/>
      <c r="G311" s="2"/>
      <c r="H311" s="2" t="s">
        <v>20</v>
      </c>
      <c r="I311" s="2" t="s">
        <v>759</v>
      </c>
    </row>
    <row r="312" spans="1:9" x14ac:dyDescent="0.35">
      <c r="A312" s="2" t="s">
        <v>2393</v>
      </c>
      <c r="B312" s="2" t="s">
        <v>57</v>
      </c>
      <c r="C312" s="2" t="s">
        <v>2394</v>
      </c>
      <c r="D312" s="2" t="s">
        <v>130</v>
      </c>
      <c r="E312" s="2" t="s">
        <v>36</v>
      </c>
      <c r="F312" s="2"/>
      <c r="G312" s="2"/>
      <c r="H312" s="2"/>
      <c r="I312" s="2"/>
    </row>
    <row r="313" spans="1:9" x14ac:dyDescent="0.35">
      <c r="A313" s="2" t="s">
        <v>2393</v>
      </c>
      <c r="B313" s="2" t="s">
        <v>57</v>
      </c>
      <c r="C313" s="2" t="s">
        <v>2394</v>
      </c>
      <c r="D313" s="2" t="s">
        <v>14</v>
      </c>
      <c r="E313" s="2" t="s">
        <v>15</v>
      </c>
      <c r="F313" s="2"/>
      <c r="G313" s="2"/>
      <c r="H313" s="2"/>
      <c r="I313" s="2"/>
    </row>
    <row r="314" spans="1:9" x14ac:dyDescent="0.35">
      <c r="A314" s="2" t="s">
        <v>2393</v>
      </c>
      <c r="B314" s="2" t="s">
        <v>57</v>
      </c>
      <c r="C314" s="2" t="s">
        <v>2394</v>
      </c>
      <c r="D314" s="2" t="s">
        <v>33</v>
      </c>
      <c r="E314" s="2" t="s">
        <v>34</v>
      </c>
      <c r="F314" s="2"/>
      <c r="G314" s="2"/>
      <c r="H314" s="2"/>
      <c r="I314" s="2"/>
    </row>
    <row r="315" spans="1:9" x14ac:dyDescent="0.35">
      <c r="A315" s="2" t="s">
        <v>2393</v>
      </c>
      <c r="B315" s="2" t="s">
        <v>57</v>
      </c>
      <c r="C315" s="2" t="s">
        <v>2394</v>
      </c>
      <c r="D315" s="2" t="s">
        <v>121</v>
      </c>
      <c r="E315" s="2" t="s">
        <v>122</v>
      </c>
      <c r="F315" s="2"/>
      <c r="G315" s="2"/>
      <c r="H315" s="2"/>
      <c r="I315" s="2"/>
    </row>
    <row r="316" spans="1:9" x14ac:dyDescent="0.35">
      <c r="A316" s="2" t="s">
        <v>2393</v>
      </c>
      <c r="B316" s="2" t="s">
        <v>57</v>
      </c>
      <c r="C316" s="2" t="s">
        <v>2394</v>
      </c>
      <c r="D316" s="2" t="s">
        <v>227</v>
      </c>
      <c r="E316" s="2" t="s">
        <v>228</v>
      </c>
      <c r="F316" s="2"/>
      <c r="G316" s="2"/>
      <c r="H316" s="2"/>
      <c r="I316" s="2"/>
    </row>
    <row r="317" spans="1:9" x14ac:dyDescent="0.35">
      <c r="A317" s="2" t="s">
        <v>2393</v>
      </c>
      <c r="B317" s="2" t="s">
        <v>57</v>
      </c>
      <c r="C317" s="2" t="s">
        <v>2394</v>
      </c>
      <c r="D317" s="2" t="s">
        <v>61</v>
      </c>
      <c r="E317" s="2" t="s">
        <v>30</v>
      </c>
      <c r="F317" s="2"/>
      <c r="G317" s="2"/>
      <c r="H317" s="2"/>
      <c r="I317" s="2"/>
    </row>
    <row r="318" spans="1:9" x14ac:dyDescent="0.35">
      <c r="A318" s="2" t="s">
        <v>2395</v>
      </c>
      <c r="B318" s="2" t="s">
        <v>24</v>
      </c>
      <c r="C318" s="2" t="s">
        <v>2396</v>
      </c>
      <c r="D318" s="2" t="s">
        <v>27</v>
      </c>
      <c r="E318" s="2" t="s">
        <v>28</v>
      </c>
      <c r="F318" s="2" t="s">
        <v>20</v>
      </c>
      <c r="G318" s="2" t="s">
        <v>2397</v>
      </c>
      <c r="H318" s="2" t="s">
        <v>20</v>
      </c>
      <c r="I318" s="2" t="s">
        <v>759</v>
      </c>
    </row>
    <row r="319" spans="1:9" x14ac:dyDescent="0.35">
      <c r="A319" s="2" t="s">
        <v>2395</v>
      </c>
      <c r="B319" s="2" t="s">
        <v>24</v>
      </c>
      <c r="C319" s="2" t="s">
        <v>2396</v>
      </c>
      <c r="D319" s="2" t="s">
        <v>35</v>
      </c>
      <c r="E319" s="2" t="s">
        <v>36</v>
      </c>
      <c r="F319" s="2"/>
      <c r="G319" s="2"/>
      <c r="H319" s="2" t="s">
        <v>20</v>
      </c>
      <c r="I319" s="2" t="s">
        <v>759</v>
      </c>
    </row>
    <row r="320" spans="1:9" x14ac:dyDescent="0.35">
      <c r="A320" s="2" t="s">
        <v>2395</v>
      </c>
      <c r="B320" s="2" t="s">
        <v>24</v>
      </c>
      <c r="C320" s="2" t="s">
        <v>2396</v>
      </c>
      <c r="D320" s="2" t="s">
        <v>423</v>
      </c>
      <c r="E320" s="2" t="s">
        <v>424</v>
      </c>
      <c r="F320" s="2"/>
      <c r="G320" s="2"/>
      <c r="H320" s="2" t="s">
        <v>20</v>
      </c>
      <c r="I320" s="2" t="s">
        <v>759</v>
      </c>
    </row>
    <row r="321" spans="1:9" x14ac:dyDescent="0.35">
      <c r="A321" s="2" t="s">
        <v>2398</v>
      </c>
      <c r="B321" s="2" t="s">
        <v>57</v>
      </c>
      <c r="C321" s="2" t="s">
        <v>2399</v>
      </c>
      <c r="D321" s="2" t="s">
        <v>38</v>
      </c>
      <c r="E321" s="2" t="s">
        <v>38</v>
      </c>
      <c r="F321" s="2"/>
      <c r="G321" s="2"/>
      <c r="H321" s="2"/>
      <c r="I321" s="2"/>
    </row>
    <row r="322" spans="1:9" x14ac:dyDescent="0.35">
      <c r="A322" s="2" t="s">
        <v>2398</v>
      </c>
      <c r="B322" s="2" t="s">
        <v>57</v>
      </c>
      <c r="C322" s="2" t="s">
        <v>2399</v>
      </c>
      <c r="D322" s="2" t="s">
        <v>91</v>
      </c>
      <c r="E322" s="2" t="s">
        <v>19</v>
      </c>
      <c r="F322" s="2"/>
      <c r="G322" s="2"/>
      <c r="H322" s="2"/>
      <c r="I322" s="2"/>
    </row>
    <row r="323" spans="1:9" x14ac:dyDescent="0.35">
      <c r="A323" s="2" t="s">
        <v>2398</v>
      </c>
      <c r="B323" s="2" t="s">
        <v>57</v>
      </c>
      <c r="C323" s="2" t="s">
        <v>2399</v>
      </c>
      <c r="D323" s="2" t="s">
        <v>61</v>
      </c>
      <c r="E323" s="2" t="s">
        <v>30</v>
      </c>
      <c r="F323" s="2"/>
      <c r="G323" s="2"/>
      <c r="H323" s="2"/>
      <c r="I323" s="2"/>
    </row>
    <row r="324" spans="1:9" x14ac:dyDescent="0.35">
      <c r="A324" s="2" t="s">
        <v>2398</v>
      </c>
      <c r="B324" s="2" t="s">
        <v>24</v>
      </c>
      <c r="C324" s="2" t="s">
        <v>2400</v>
      </c>
      <c r="D324" s="2" t="s">
        <v>1305</v>
      </c>
      <c r="E324" s="2" t="s">
        <v>38</v>
      </c>
      <c r="F324" s="2" t="s">
        <v>20</v>
      </c>
      <c r="G324" s="2" t="s">
        <v>2401</v>
      </c>
      <c r="H324" s="2"/>
      <c r="I324" s="2"/>
    </row>
    <row r="325" spans="1:9" x14ac:dyDescent="0.35">
      <c r="A325" s="2" t="s">
        <v>2398</v>
      </c>
      <c r="B325" s="2" t="s">
        <v>24</v>
      </c>
      <c r="C325" s="2" t="s">
        <v>2400</v>
      </c>
      <c r="D325" s="2" t="s">
        <v>144</v>
      </c>
      <c r="E325" s="2" t="s">
        <v>50</v>
      </c>
      <c r="F325" s="2"/>
      <c r="G325" s="2"/>
      <c r="H325" s="2"/>
      <c r="I325" s="2"/>
    </row>
    <row r="326" spans="1:9" x14ac:dyDescent="0.35">
      <c r="A326" s="2" t="s">
        <v>2398</v>
      </c>
      <c r="B326" s="2" t="s">
        <v>24</v>
      </c>
      <c r="C326" s="2" t="s">
        <v>2400</v>
      </c>
      <c r="D326" s="2" t="s">
        <v>120</v>
      </c>
      <c r="E326" s="2" t="s">
        <v>32</v>
      </c>
      <c r="F326" s="2"/>
      <c r="G326" s="2"/>
      <c r="H326" s="2"/>
      <c r="I326" s="2"/>
    </row>
    <row r="327" spans="1:9" x14ac:dyDescent="0.35">
      <c r="A327" s="2" t="s">
        <v>2398</v>
      </c>
      <c r="B327" s="2" t="s">
        <v>24</v>
      </c>
      <c r="C327" s="2" t="s">
        <v>2400</v>
      </c>
      <c r="D327" s="2" t="s">
        <v>121</v>
      </c>
      <c r="E327" s="2" t="s">
        <v>122</v>
      </c>
      <c r="F327" s="2" t="s">
        <v>20</v>
      </c>
      <c r="G327" s="2" t="s">
        <v>2401</v>
      </c>
      <c r="H327" s="2"/>
      <c r="I327" s="2"/>
    </row>
    <row r="328" spans="1:9" x14ac:dyDescent="0.35">
      <c r="A328" s="2" t="s">
        <v>2398</v>
      </c>
      <c r="B328" s="2" t="s">
        <v>24</v>
      </c>
      <c r="C328" s="2" t="s">
        <v>2400</v>
      </c>
      <c r="D328" s="2" t="s">
        <v>91</v>
      </c>
      <c r="E328" s="2" t="s">
        <v>19</v>
      </c>
      <c r="F328" s="2" t="s">
        <v>20</v>
      </c>
      <c r="G328" s="2" t="s">
        <v>2402</v>
      </c>
      <c r="H328" s="2"/>
      <c r="I328" s="2"/>
    </row>
    <row r="329" spans="1:9" x14ac:dyDescent="0.35">
      <c r="A329" s="2" t="s">
        <v>2398</v>
      </c>
      <c r="B329" s="2" t="s">
        <v>24</v>
      </c>
      <c r="C329" s="2" t="s">
        <v>2403</v>
      </c>
      <c r="D329" s="2" t="s">
        <v>35</v>
      </c>
      <c r="E329" s="2" t="s">
        <v>36</v>
      </c>
      <c r="F329" s="2"/>
      <c r="G329" s="2"/>
      <c r="H329" s="2"/>
      <c r="I329" s="2"/>
    </row>
    <row r="330" spans="1:9" x14ac:dyDescent="0.35">
      <c r="A330" s="2" t="s">
        <v>2404</v>
      </c>
      <c r="B330" s="2" t="s">
        <v>62</v>
      </c>
      <c r="C330" s="2" t="s">
        <v>2405</v>
      </c>
      <c r="D330" s="2" t="s">
        <v>61</v>
      </c>
      <c r="E330" s="2" t="s">
        <v>30</v>
      </c>
      <c r="F330" s="2"/>
      <c r="G330" s="2"/>
      <c r="H330" s="2"/>
      <c r="I330" s="2"/>
    </row>
    <row r="331" spans="1:9" x14ac:dyDescent="0.35">
      <c r="A331" s="2" t="s">
        <v>2404</v>
      </c>
      <c r="B331" s="2" t="s">
        <v>12</v>
      </c>
      <c r="C331" s="2" t="s">
        <v>2406</v>
      </c>
      <c r="D331" s="2" t="s">
        <v>76</v>
      </c>
      <c r="E331" s="2" t="s">
        <v>75</v>
      </c>
      <c r="F331" s="2" t="s">
        <v>2279</v>
      </c>
      <c r="G331" s="2" t="s">
        <v>2407</v>
      </c>
      <c r="H331" s="2" t="s">
        <v>20</v>
      </c>
      <c r="I331" s="2" t="s">
        <v>759</v>
      </c>
    </row>
    <row r="332" spans="1:9" x14ac:dyDescent="0.35">
      <c r="A332" s="2" t="s">
        <v>2404</v>
      </c>
      <c r="B332" s="2" t="s">
        <v>12</v>
      </c>
      <c r="C332" s="2" t="s">
        <v>2406</v>
      </c>
      <c r="D332" s="2" t="s">
        <v>815</v>
      </c>
      <c r="E332" s="2" t="s">
        <v>122</v>
      </c>
      <c r="F332" s="2" t="s">
        <v>46</v>
      </c>
      <c r="G332" s="2" t="s">
        <v>47</v>
      </c>
      <c r="H332" s="2" t="s">
        <v>20</v>
      </c>
      <c r="I332" s="2" t="s">
        <v>759</v>
      </c>
    </row>
    <row r="333" spans="1:9" x14ac:dyDescent="0.35">
      <c r="A333" s="2" t="s">
        <v>2404</v>
      </c>
      <c r="B333" s="2" t="s">
        <v>12</v>
      </c>
      <c r="C333" s="2" t="s">
        <v>2406</v>
      </c>
      <c r="D333" s="2" t="s">
        <v>61</v>
      </c>
      <c r="E333" s="2" t="s">
        <v>30</v>
      </c>
      <c r="F333" s="2"/>
      <c r="G333" s="2"/>
      <c r="H333" s="2" t="s">
        <v>20</v>
      </c>
      <c r="I333" s="2" t="s">
        <v>759</v>
      </c>
    </row>
    <row r="334" spans="1:9" x14ac:dyDescent="0.35">
      <c r="A334" s="2" t="s">
        <v>2404</v>
      </c>
      <c r="B334" s="2" t="s">
        <v>57</v>
      </c>
      <c r="C334" s="2" t="s">
        <v>2408</v>
      </c>
      <c r="D334" s="2" t="s">
        <v>27</v>
      </c>
      <c r="E334" s="2" t="s">
        <v>28</v>
      </c>
      <c r="F334" s="2" t="s">
        <v>2279</v>
      </c>
      <c r="G334" s="2" t="s">
        <v>2390</v>
      </c>
      <c r="H334" s="2" t="s">
        <v>20</v>
      </c>
      <c r="I334" s="2" t="s">
        <v>759</v>
      </c>
    </row>
    <row r="335" spans="1:9" x14ac:dyDescent="0.35">
      <c r="A335" s="2" t="s">
        <v>2404</v>
      </c>
      <c r="B335" s="2" t="s">
        <v>57</v>
      </c>
      <c r="C335" s="2" t="s">
        <v>2408</v>
      </c>
      <c r="D335" s="2" t="s">
        <v>120</v>
      </c>
      <c r="E335" s="2" t="s">
        <v>1673</v>
      </c>
      <c r="F335" s="2"/>
      <c r="G335" s="2"/>
      <c r="H335" s="2" t="s">
        <v>20</v>
      </c>
      <c r="I335" s="2" t="s">
        <v>759</v>
      </c>
    </row>
    <row r="336" spans="1:9" x14ac:dyDescent="0.35">
      <c r="A336" s="2" t="s">
        <v>2404</v>
      </c>
      <c r="B336" s="2" t="s">
        <v>57</v>
      </c>
      <c r="C336" s="2" t="s">
        <v>2408</v>
      </c>
      <c r="D336" s="16" t="s">
        <v>269</v>
      </c>
      <c r="E336" s="2" t="s">
        <v>270</v>
      </c>
      <c r="F336" s="2"/>
      <c r="G336" s="2"/>
      <c r="H336" s="2" t="s">
        <v>20</v>
      </c>
      <c r="I336" s="2" t="s">
        <v>759</v>
      </c>
    </row>
    <row r="337" spans="1:9" x14ac:dyDescent="0.35">
      <c r="A337" s="2" t="s">
        <v>2404</v>
      </c>
      <c r="B337" s="2" t="s">
        <v>57</v>
      </c>
      <c r="C337" s="2" t="s">
        <v>2408</v>
      </c>
      <c r="D337" s="2" t="s">
        <v>18</v>
      </c>
      <c r="E337" s="2" t="s">
        <v>19</v>
      </c>
      <c r="F337" s="2" t="s">
        <v>20</v>
      </c>
      <c r="G337" s="2" t="s">
        <v>2390</v>
      </c>
      <c r="H337" s="2" t="s">
        <v>20</v>
      </c>
      <c r="I337" s="2" t="s">
        <v>759</v>
      </c>
    </row>
    <row r="338" spans="1:9" x14ac:dyDescent="0.35">
      <c r="A338" s="2" t="s">
        <v>2404</v>
      </c>
      <c r="B338" s="2" t="s">
        <v>57</v>
      </c>
      <c r="C338" s="2" t="s">
        <v>2408</v>
      </c>
      <c r="D338" s="2" t="s">
        <v>423</v>
      </c>
      <c r="E338" s="2" t="s">
        <v>424</v>
      </c>
      <c r="F338" s="2" t="s">
        <v>2279</v>
      </c>
      <c r="G338" s="2" t="s">
        <v>2390</v>
      </c>
      <c r="H338" s="2" t="s">
        <v>20</v>
      </c>
      <c r="I338" s="2" t="s">
        <v>759</v>
      </c>
    </row>
    <row r="339" spans="1:9" x14ac:dyDescent="0.35">
      <c r="A339" s="2" t="s">
        <v>2404</v>
      </c>
      <c r="B339" s="2" t="s">
        <v>62</v>
      </c>
      <c r="C339" s="2" t="s">
        <v>2409</v>
      </c>
      <c r="D339" s="2" t="s">
        <v>127</v>
      </c>
      <c r="E339" s="2" t="s">
        <v>107</v>
      </c>
      <c r="F339" s="2"/>
      <c r="G339" s="2"/>
      <c r="H339" s="2" t="s">
        <v>20</v>
      </c>
      <c r="I339" s="2" t="s">
        <v>2410</v>
      </c>
    </row>
    <row r="340" spans="1:9" x14ac:dyDescent="0.35">
      <c r="A340" s="2" t="s">
        <v>2404</v>
      </c>
      <c r="B340" s="2" t="s">
        <v>24</v>
      </c>
      <c r="C340" s="2" t="s">
        <v>2411</v>
      </c>
      <c r="D340" s="2" t="s">
        <v>61</v>
      </c>
      <c r="E340" s="2" t="s">
        <v>30</v>
      </c>
      <c r="F340" s="2"/>
      <c r="G340" s="2"/>
      <c r="H340" s="2" t="s">
        <v>20</v>
      </c>
      <c r="I340" s="2" t="s">
        <v>759</v>
      </c>
    </row>
    <row r="341" spans="1:9" x14ac:dyDescent="0.35">
      <c r="A341" s="2" t="s">
        <v>2404</v>
      </c>
      <c r="B341" s="2" t="s">
        <v>24</v>
      </c>
      <c r="C341" s="2" t="s">
        <v>2412</v>
      </c>
      <c r="D341" s="2" t="s">
        <v>18</v>
      </c>
      <c r="E341" s="2" t="s">
        <v>19</v>
      </c>
      <c r="F341" s="2" t="s">
        <v>20</v>
      </c>
      <c r="G341" s="2" t="s">
        <v>2270</v>
      </c>
      <c r="H341" s="2" t="s">
        <v>20</v>
      </c>
      <c r="I341" s="2" t="s">
        <v>759</v>
      </c>
    </row>
    <row r="342" spans="1:9" x14ac:dyDescent="0.35">
      <c r="A342" s="2" t="s">
        <v>2404</v>
      </c>
      <c r="B342" s="2" t="s">
        <v>24</v>
      </c>
      <c r="C342" s="2" t="s">
        <v>2412</v>
      </c>
      <c r="D342" s="2" t="s">
        <v>61</v>
      </c>
      <c r="E342" s="2" t="s">
        <v>30</v>
      </c>
      <c r="F342" s="2" t="s">
        <v>20</v>
      </c>
      <c r="G342" s="2" t="s">
        <v>2270</v>
      </c>
      <c r="H342" s="2" t="s">
        <v>20</v>
      </c>
      <c r="I342" s="2" t="s">
        <v>759</v>
      </c>
    </row>
    <row r="343" spans="1:9" x14ac:dyDescent="0.35">
      <c r="A343" s="2" t="s">
        <v>2404</v>
      </c>
      <c r="B343" s="2" t="s">
        <v>24</v>
      </c>
      <c r="C343" s="2" t="s">
        <v>2413</v>
      </c>
      <c r="D343" s="2" t="s">
        <v>35</v>
      </c>
      <c r="E343" s="2" t="s">
        <v>36</v>
      </c>
      <c r="F343" s="2"/>
      <c r="G343" s="2"/>
      <c r="H343" s="2" t="s">
        <v>20</v>
      </c>
      <c r="I343" s="2" t="s">
        <v>759</v>
      </c>
    </row>
    <row r="344" spans="1:9" x14ac:dyDescent="0.35">
      <c r="A344" s="2" t="s">
        <v>2404</v>
      </c>
      <c r="B344" s="2" t="s">
        <v>24</v>
      </c>
      <c r="C344" s="2" t="s">
        <v>2413</v>
      </c>
      <c r="D344" s="2" t="s">
        <v>61</v>
      </c>
      <c r="E344" s="2" t="s">
        <v>30</v>
      </c>
      <c r="F344" s="2"/>
      <c r="G344" s="2"/>
      <c r="H344" s="2" t="s">
        <v>20</v>
      </c>
      <c r="I344" s="2" t="s">
        <v>759</v>
      </c>
    </row>
    <row r="345" spans="1:9" x14ac:dyDescent="0.35">
      <c r="A345" s="2" t="s">
        <v>2404</v>
      </c>
      <c r="B345" s="2" t="s">
        <v>801</v>
      </c>
      <c r="C345" s="2" t="s">
        <v>2414</v>
      </c>
      <c r="D345" s="2" t="s">
        <v>2012</v>
      </c>
      <c r="E345" s="2" t="s">
        <v>36</v>
      </c>
      <c r="F345" s="2" t="s">
        <v>2279</v>
      </c>
      <c r="G345" s="2" t="s">
        <v>2270</v>
      </c>
      <c r="H345" s="2" t="s">
        <v>20</v>
      </c>
      <c r="I345" s="2" t="s">
        <v>759</v>
      </c>
    </row>
    <row r="346" spans="1:9" x14ac:dyDescent="0.35">
      <c r="A346" s="2" t="s">
        <v>2404</v>
      </c>
      <c r="B346" s="2" t="s">
        <v>62</v>
      </c>
      <c r="C346" s="2" t="s">
        <v>2415</v>
      </c>
      <c r="D346" s="16" t="s">
        <v>269</v>
      </c>
      <c r="E346" s="2" t="s">
        <v>270</v>
      </c>
      <c r="F346" s="2"/>
      <c r="G346" s="2"/>
      <c r="H346" s="2" t="s">
        <v>20</v>
      </c>
      <c r="I346" s="2" t="s">
        <v>759</v>
      </c>
    </row>
    <row r="347" spans="1:9" x14ac:dyDescent="0.35">
      <c r="A347" s="2" t="s">
        <v>2404</v>
      </c>
      <c r="B347" s="2" t="s">
        <v>62</v>
      </c>
      <c r="C347" s="2" t="s">
        <v>2415</v>
      </c>
      <c r="D347" s="16" t="s">
        <v>87</v>
      </c>
      <c r="E347" s="2" t="s">
        <v>75</v>
      </c>
      <c r="F347" s="2" t="s">
        <v>20</v>
      </c>
      <c r="G347" s="2" t="s">
        <v>2416</v>
      </c>
      <c r="H347" s="2" t="s">
        <v>20</v>
      </c>
      <c r="I347" s="2" t="s">
        <v>759</v>
      </c>
    </row>
    <row r="348" spans="1:9" x14ac:dyDescent="0.35">
      <c r="A348" s="2" t="s">
        <v>2404</v>
      </c>
      <c r="B348" s="2" t="s">
        <v>62</v>
      </c>
      <c r="C348" s="2" t="s">
        <v>2415</v>
      </c>
      <c r="D348" s="16" t="s">
        <v>1243</v>
      </c>
      <c r="E348" s="2" t="s">
        <v>1244</v>
      </c>
      <c r="F348" s="2" t="s">
        <v>20</v>
      </c>
      <c r="G348" s="2" t="s">
        <v>2416</v>
      </c>
      <c r="H348" s="2" t="s">
        <v>20</v>
      </c>
      <c r="I348" s="2" t="s">
        <v>759</v>
      </c>
    </row>
    <row r="349" spans="1:9" x14ac:dyDescent="0.35">
      <c r="A349" s="2" t="s">
        <v>2404</v>
      </c>
      <c r="B349" s="2" t="s">
        <v>62</v>
      </c>
      <c r="C349" s="2" t="s">
        <v>2415</v>
      </c>
      <c r="D349" s="16" t="s">
        <v>61</v>
      </c>
      <c r="E349" s="2" t="s">
        <v>30</v>
      </c>
      <c r="F349" s="2"/>
      <c r="G349" s="2"/>
      <c r="H349" s="2" t="s">
        <v>20</v>
      </c>
      <c r="I349" s="2" t="s">
        <v>759</v>
      </c>
    </row>
    <row r="350" spans="1:9" x14ac:dyDescent="0.35">
      <c r="A350" s="2" t="s">
        <v>2404</v>
      </c>
      <c r="B350" s="2" t="s">
        <v>62</v>
      </c>
      <c r="C350" s="2" t="s">
        <v>2415</v>
      </c>
      <c r="D350" s="16" t="s">
        <v>127</v>
      </c>
      <c r="E350" s="2" t="s">
        <v>107</v>
      </c>
      <c r="F350" s="2"/>
      <c r="G350" s="2"/>
      <c r="H350" s="2" t="s">
        <v>20</v>
      </c>
      <c r="I350" s="2" t="s">
        <v>759</v>
      </c>
    </row>
    <row r="351" spans="1:9" x14ac:dyDescent="0.35">
      <c r="A351" s="2" t="s">
        <v>2404</v>
      </c>
      <c r="B351" s="2" t="s">
        <v>62</v>
      </c>
      <c r="C351" s="2" t="s">
        <v>2417</v>
      </c>
      <c r="D351" s="2" t="s">
        <v>27</v>
      </c>
      <c r="E351" s="2" t="s">
        <v>28</v>
      </c>
      <c r="F351" s="2"/>
      <c r="G351" s="2"/>
      <c r="H351" s="2" t="s">
        <v>20</v>
      </c>
      <c r="I351" s="2" t="s">
        <v>759</v>
      </c>
    </row>
    <row r="352" spans="1:9" x14ac:dyDescent="0.35">
      <c r="A352" s="2" t="s">
        <v>2404</v>
      </c>
      <c r="B352" s="2" t="s">
        <v>62</v>
      </c>
      <c r="C352" s="2" t="s">
        <v>2417</v>
      </c>
      <c r="D352" s="2" t="s">
        <v>76</v>
      </c>
      <c r="E352" s="2" t="s">
        <v>75</v>
      </c>
      <c r="F352" s="2" t="s">
        <v>20</v>
      </c>
      <c r="G352" s="2" t="s">
        <v>1378</v>
      </c>
      <c r="H352" s="2" t="s">
        <v>20</v>
      </c>
      <c r="I352" s="2" t="s">
        <v>759</v>
      </c>
    </row>
    <row r="353" spans="1:9" x14ac:dyDescent="0.35">
      <c r="A353" s="2" t="s">
        <v>2404</v>
      </c>
      <c r="B353" s="2" t="s">
        <v>62</v>
      </c>
      <c r="C353" s="2" t="s">
        <v>2417</v>
      </c>
      <c r="D353" s="2" t="s">
        <v>269</v>
      </c>
      <c r="E353" s="2" t="s">
        <v>270</v>
      </c>
      <c r="F353" s="2"/>
      <c r="G353" s="2"/>
      <c r="H353" s="2" t="s">
        <v>20</v>
      </c>
      <c r="I353" s="2" t="s">
        <v>759</v>
      </c>
    </row>
    <row r="354" spans="1:9" x14ac:dyDescent="0.35">
      <c r="A354" s="2" t="s">
        <v>2404</v>
      </c>
      <c r="B354" s="2" t="s">
        <v>62</v>
      </c>
      <c r="C354" s="2" t="s">
        <v>2417</v>
      </c>
      <c r="D354" s="2" t="s">
        <v>61</v>
      </c>
      <c r="E354" s="2" t="s">
        <v>30</v>
      </c>
      <c r="F354" s="2"/>
      <c r="G354" s="2"/>
      <c r="H354" s="2" t="s">
        <v>20</v>
      </c>
      <c r="I354" s="2" t="s">
        <v>759</v>
      </c>
    </row>
    <row r="355" spans="1:9" x14ac:dyDescent="0.35">
      <c r="A355" s="2" t="s">
        <v>2404</v>
      </c>
      <c r="B355" s="2" t="s">
        <v>24</v>
      </c>
      <c r="C355" s="2" t="s">
        <v>2418</v>
      </c>
      <c r="D355" s="2" t="s">
        <v>121</v>
      </c>
      <c r="E355" s="2" t="s">
        <v>122</v>
      </c>
      <c r="F355" s="2"/>
      <c r="G355" s="2"/>
      <c r="H355" s="2" t="s">
        <v>20</v>
      </c>
      <c r="I355" s="2" t="s">
        <v>759</v>
      </c>
    </row>
    <row r="356" spans="1:9" x14ac:dyDescent="0.35">
      <c r="A356" s="2" t="s">
        <v>2404</v>
      </c>
      <c r="B356" s="2" t="s">
        <v>24</v>
      </c>
      <c r="C356" s="2" t="s">
        <v>2418</v>
      </c>
      <c r="D356" s="2" t="s">
        <v>61</v>
      </c>
      <c r="E356" s="2" t="s">
        <v>30</v>
      </c>
      <c r="F356" s="2"/>
      <c r="G356" s="2"/>
      <c r="H356" s="2" t="s">
        <v>20</v>
      </c>
      <c r="I356" s="2" t="s">
        <v>759</v>
      </c>
    </row>
    <row r="357" spans="1:9" x14ac:dyDescent="0.35">
      <c r="A357" s="2" t="s">
        <v>2404</v>
      </c>
      <c r="B357" s="2" t="s">
        <v>62</v>
      </c>
      <c r="C357" s="2" t="s">
        <v>2419</v>
      </c>
      <c r="D357" s="2" t="s">
        <v>269</v>
      </c>
      <c r="E357" s="2" t="s">
        <v>270</v>
      </c>
      <c r="F357" s="2"/>
      <c r="G357" s="2"/>
      <c r="H357" s="2" t="s">
        <v>20</v>
      </c>
      <c r="I357" s="2" t="s">
        <v>759</v>
      </c>
    </row>
    <row r="358" spans="1:9" x14ac:dyDescent="0.35">
      <c r="A358" s="2" t="s">
        <v>2404</v>
      </c>
      <c r="B358" s="2" t="s">
        <v>62</v>
      </c>
      <c r="C358" s="2" t="s">
        <v>2419</v>
      </c>
      <c r="D358" s="2" t="s">
        <v>87</v>
      </c>
      <c r="E358" s="2" t="s">
        <v>75</v>
      </c>
      <c r="F358" s="2" t="s">
        <v>2279</v>
      </c>
      <c r="G358" s="2" t="s">
        <v>2328</v>
      </c>
      <c r="H358" s="2" t="s">
        <v>20</v>
      </c>
      <c r="I358" s="2" t="s">
        <v>759</v>
      </c>
    </row>
    <row r="359" spans="1:9" x14ac:dyDescent="0.35">
      <c r="A359" s="2" t="s">
        <v>2404</v>
      </c>
      <c r="B359" s="2" t="s">
        <v>62</v>
      </c>
      <c r="C359" s="2" t="s">
        <v>2419</v>
      </c>
      <c r="D359" s="2" t="s">
        <v>61</v>
      </c>
      <c r="E359" s="2" t="s">
        <v>30</v>
      </c>
      <c r="F359" s="2"/>
      <c r="G359" s="2"/>
      <c r="H359" s="2" t="s">
        <v>20</v>
      </c>
      <c r="I359" s="2" t="s">
        <v>759</v>
      </c>
    </row>
    <row r="360" spans="1:9" x14ac:dyDescent="0.35">
      <c r="A360" s="2" t="s">
        <v>2404</v>
      </c>
      <c r="B360" s="2" t="s">
        <v>54</v>
      </c>
      <c r="C360" s="2" t="s">
        <v>2420</v>
      </c>
      <c r="D360" s="2" t="s">
        <v>27</v>
      </c>
      <c r="E360" s="2" t="s">
        <v>28</v>
      </c>
      <c r="F360" s="2" t="s">
        <v>2279</v>
      </c>
      <c r="G360" s="2" t="s">
        <v>2390</v>
      </c>
      <c r="H360" s="2" t="s">
        <v>20</v>
      </c>
      <c r="I360" s="2" t="s">
        <v>759</v>
      </c>
    </row>
    <row r="361" spans="1:9" x14ac:dyDescent="0.35">
      <c r="A361" s="2" t="s">
        <v>2404</v>
      </c>
      <c r="B361" s="2" t="s">
        <v>54</v>
      </c>
      <c r="C361" s="2" t="s">
        <v>2420</v>
      </c>
      <c r="D361" s="2" t="s">
        <v>35</v>
      </c>
      <c r="E361" s="2" t="s">
        <v>36</v>
      </c>
      <c r="F361" s="2" t="s">
        <v>2279</v>
      </c>
      <c r="G361" s="2" t="s">
        <v>2390</v>
      </c>
      <c r="H361" s="2" t="s">
        <v>20</v>
      </c>
      <c r="I361" s="2" t="s">
        <v>759</v>
      </c>
    </row>
    <row r="362" spans="1:9" x14ac:dyDescent="0.35">
      <c r="A362" s="2" t="s">
        <v>2404</v>
      </c>
      <c r="B362" s="2" t="s">
        <v>54</v>
      </c>
      <c r="C362" s="2" t="s">
        <v>2420</v>
      </c>
      <c r="D362" s="2" t="s">
        <v>87</v>
      </c>
      <c r="E362" s="2" t="s">
        <v>75</v>
      </c>
      <c r="F362" s="2" t="s">
        <v>20</v>
      </c>
      <c r="G362" s="2" t="s">
        <v>2390</v>
      </c>
      <c r="H362" s="2" t="s">
        <v>20</v>
      </c>
      <c r="I362" s="2" t="s">
        <v>759</v>
      </c>
    </row>
    <row r="363" spans="1:9" x14ac:dyDescent="0.35">
      <c r="A363" s="2" t="s">
        <v>2404</v>
      </c>
      <c r="B363" s="2" t="s">
        <v>54</v>
      </c>
      <c r="C363" s="2" t="s">
        <v>2420</v>
      </c>
      <c r="D363" s="2" t="s">
        <v>18</v>
      </c>
      <c r="E363" s="2" t="s">
        <v>19</v>
      </c>
      <c r="F363" s="2" t="s">
        <v>20</v>
      </c>
      <c r="G363" s="2" t="s">
        <v>2390</v>
      </c>
      <c r="H363" s="2" t="s">
        <v>20</v>
      </c>
      <c r="I363" s="2" t="s">
        <v>759</v>
      </c>
    </row>
    <row r="364" spans="1:9" x14ac:dyDescent="0.35">
      <c r="A364" s="2" t="s">
        <v>2404</v>
      </c>
      <c r="B364" s="2" t="s">
        <v>54</v>
      </c>
      <c r="C364" s="2" t="s">
        <v>2420</v>
      </c>
      <c r="D364" s="2" t="s">
        <v>423</v>
      </c>
      <c r="E364" s="2" t="s">
        <v>424</v>
      </c>
      <c r="F364" s="2" t="s">
        <v>2279</v>
      </c>
      <c r="G364" s="2" t="s">
        <v>2390</v>
      </c>
      <c r="H364" s="2" t="s">
        <v>20</v>
      </c>
      <c r="I364" s="2" t="s">
        <v>759</v>
      </c>
    </row>
    <row r="365" spans="1:9" x14ac:dyDescent="0.35">
      <c r="A365" s="2" t="s">
        <v>2421</v>
      </c>
      <c r="B365" s="2" t="s">
        <v>24</v>
      </c>
      <c r="C365" s="2" t="s">
        <v>2422</v>
      </c>
      <c r="D365" s="2" t="s">
        <v>130</v>
      </c>
      <c r="E365" s="2" t="s">
        <v>36</v>
      </c>
      <c r="F365" s="2"/>
      <c r="G365" s="2"/>
      <c r="H365" s="2"/>
      <c r="I365" s="2"/>
    </row>
    <row r="366" spans="1:9" x14ac:dyDescent="0.35">
      <c r="A366" s="2" t="s">
        <v>2421</v>
      </c>
      <c r="B366" s="2" t="s">
        <v>24</v>
      </c>
      <c r="C366" s="2" t="s">
        <v>2422</v>
      </c>
      <c r="D366" s="2" t="s">
        <v>815</v>
      </c>
      <c r="E366" s="2" t="s">
        <v>122</v>
      </c>
      <c r="F366" s="2"/>
      <c r="G366" s="2"/>
      <c r="H366" s="2"/>
      <c r="I366" s="2"/>
    </row>
    <row r="367" spans="1:9" x14ac:dyDescent="0.35">
      <c r="A367" s="2" t="s">
        <v>2421</v>
      </c>
      <c r="B367" s="2" t="s">
        <v>24</v>
      </c>
      <c r="C367" s="2" t="s">
        <v>2422</v>
      </c>
      <c r="D367" s="2" t="s">
        <v>61</v>
      </c>
      <c r="E367" s="2" t="s">
        <v>30</v>
      </c>
      <c r="F367" s="2" t="s">
        <v>16</v>
      </c>
      <c r="G367" s="2" t="s">
        <v>2423</v>
      </c>
      <c r="H367" s="2"/>
      <c r="I367" s="4"/>
    </row>
    <row r="368" spans="1:9" x14ac:dyDescent="0.35">
      <c r="A368" s="2" t="s">
        <v>2424</v>
      </c>
      <c r="B368" s="2" t="s">
        <v>62</v>
      </c>
      <c r="C368" s="2" t="s">
        <v>2425</v>
      </c>
      <c r="D368" s="2" t="s">
        <v>27</v>
      </c>
      <c r="E368" s="2" t="s">
        <v>28</v>
      </c>
      <c r="F368" s="2"/>
      <c r="G368" s="2"/>
      <c r="H368" s="2" t="s">
        <v>20</v>
      </c>
      <c r="I368" s="2" t="s">
        <v>759</v>
      </c>
    </row>
    <row r="369" spans="1:9" x14ac:dyDescent="0.35">
      <c r="A369" s="2" t="s">
        <v>2424</v>
      </c>
      <c r="B369" s="2" t="s">
        <v>62</v>
      </c>
      <c r="C369" s="2" t="s">
        <v>2425</v>
      </c>
      <c r="D369" s="2" t="s">
        <v>998</v>
      </c>
      <c r="E369" s="2" t="s">
        <v>40</v>
      </c>
      <c r="F369" s="2"/>
      <c r="G369" s="2"/>
      <c r="H369" s="2" t="s">
        <v>20</v>
      </c>
      <c r="I369" s="2" t="s">
        <v>759</v>
      </c>
    </row>
    <row r="370" spans="1:9" x14ac:dyDescent="0.35">
      <c r="A370" s="2" t="s">
        <v>2424</v>
      </c>
      <c r="B370" s="2" t="s">
        <v>62</v>
      </c>
      <c r="C370" s="2" t="s">
        <v>2425</v>
      </c>
      <c r="D370" s="2" t="s">
        <v>136</v>
      </c>
      <c r="E370" s="2" t="s">
        <v>107</v>
      </c>
      <c r="F370" s="2"/>
      <c r="G370" s="2"/>
      <c r="H370" s="2" t="s">
        <v>20</v>
      </c>
      <c r="I370" s="2" t="s">
        <v>759</v>
      </c>
    </row>
    <row r="371" spans="1:9" x14ac:dyDescent="0.35">
      <c r="A371" s="2" t="s">
        <v>2424</v>
      </c>
      <c r="B371" s="2" t="s">
        <v>62</v>
      </c>
      <c r="C371" s="2" t="s">
        <v>2425</v>
      </c>
      <c r="D371" s="2" t="s">
        <v>35</v>
      </c>
      <c r="E371" s="2" t="s">
        <v>36</v>
      </c>
      <c r="F371" s="2"/>
      <c r="G371" s="2"/>
      <c r="H371" s="2" t="s">
        <v>20</v>
      </c>
      <c r="I371" s="2" t="s">
        <v>759</v>
      </c>
    </row>
    <row r="372" spans="1:9" x14ac:dyDescent="0.35">
      <c r="A372" s="2" t="s">
        <v>2424</v>
      </c>
      <c r="B372" s="2" t="s">
        <v>62</v>
      </c>
      <c r="C372" s="2" t="s">
        <v>2425</v>
      </c>
      <c r="D372" s="2" t="s">
        <v>269</v>
      </c>
      <c r="E372" s="2" t="s">
        <v>2426</v>
      </c>
      <c r="F372" s="2"/>
      <c r="G372" s="2"/>
      <c r="H372" s="2" t="s">
        <v>20</v>
      </c>
      <c r="I372" s="2" t="s">
        <v>759</v>
      </c>
    </row>
    <row r="373" spans="1:9" x14ac:dyDescent="0.35">
      <c r="A373" s="2" t="s">
        <v>2424</v>
      </c>
      <c r="B373" s="2" t="s">
        <v>62</v>
      </c>
      <c r="C373" s="2" t="s">
        <v>2425</v>
      </c>
      <c r="D373" s="2" t="s">
        <v>61</v>
      </c>
      <c r="E373" s="2" t="s">
        <v>30</v>
      </c>
      <c r="F373" s="2"/>
      <c r="G373" s="2"/>
      <c r="H373" s="2" t="s">
        <v>20</v>
      </c>
      <c r="I373" s="2" t="s">
        <v>759</v>
      </c>
    </row>
    <row r="374" spans="1:9" x14ac:dyDescent="0.35">
      <c r="A374" s="2" t="s">
        <v>2424</v>
      </c>
      <c r="B374" s="2" t="s">
        <v>62</v>
      </c>
      <c r="C374" s="2" t="s">
        <v>2425</v>
      </c>
      <c r="D374" s="2" t="s">
        <v>423</v>
      </c>
      <c r="E374" s="2" t="s">
        <v>424</v>
      </c>
      <c r="F374" s="2"/>
      <c r="G374" s="2"/>
      <c r="H374" s="2" t="s">
        <v>20</v>
      </c>
      <c r="I374" s="2" t="s">
        <v>759</v>
      </c>
    </row>
    <row r="375" spans="1:9" x14ac:dyDescent="0.35">
      <c r="A375" s="2" t="s">
        <v>2424</v>
      </c>
      <c r="B375" s="2" t="s">
        <v>24</v>
      </c>
      <c r="C375" s="2" t="s">
        <v>2427</v>
      </c>
      <c r="D375" s="2" t="s">
        <v>144</v>
      </c>
      <c r="E375" s="2" t="s">
        <v>50</v>
      </c>
      <c r="F375" s="2" t="s">
        <v>20</v>
      </c>
      <c r="G375" s="2" t="s">
        <v>2428</v>
      </c>
      <c r="H375" s="2" t="s">
        <v>20</v>
      </c>
      <c r="I375" s="2" t="s">
        <v>759</v>
      </c>
    </row>
    <row r="376" spans="1:9" x14ac:dyDescent="0.35">
      <c r="A376" s="2" t="s">
        <v>2424</v>
      </c>
      <c r="B376" s="2" t="s">
        <v>24</v>
      </c>
      <c r="C376" s="2" t="s">
        <v>2427</v>
      </c>
      <c r="D376" s="2" t="s">
        <v>27</v>
      </c>
      <c r="E376" s="2" t="s">
        <v>28</v>
      </c>
      <c r="F376" s="2" t="s">
        <v>20</v>
      </c>
      <c r="G376" s="2" t="s">
        <v>2339</v>
      </c>
      <c r="H376" s="2" t="s">
        <v>20</v>
      </c>
      <c r="I376" s="2" t="s">
        <v>759</v>
      </c>
    </row>
    <row r="377" spans="1:9" x14ac:dyDescent="0.35">
      <c r="A377" s="2" t="s">
        <v>2424</v>
      </c>
      <c r="B377" s="2" t="s">
        <v>24</v>
      </c>
      <c r="C377" s="2" t="s">
        <v>2427</v>
      </c>
      <c r="D377" s="2" t="s">
        <v>136</v>
      </c>
      <c r="E377" s="2" t="s">
        <v>107</v>
      </c>
      <c r="F377" s="2" t="s">
        <v>20</v>
      </c>
      <c r="G377" s="2" t="s">
        <v>2339</v>
      </c>
      <c r="H377" s="2" t="s">
        <v>20</v>
      </c>
      <c r="I377" s="2" t="s">
        <v>759</v>
      </c>
    </row>
    <row r="378" spans="1:9" x14ac:dyDescent="0.35">
      <c r="A378" s="2" t="s">
        <v>2424</v>
      </c>
      <c r="B378" s="2" t="s">
        <v>24</v>
      </c>
      <c r="C378" s="2" t="s">
        <v>2427</v>
      </c>
      <c r="D378" s="2" t="s">
        <v>35</v>
      </c>
      <c r="E378" s="2" t="s">
        <v>36</v>
      </c>
      <c r="F378" s="2" t="s">
        <v>20</v>
      </c>
      <c r="G378" s="2" t="s">
        <v>2339</v>
      </c>
      <c r="H378" s="2" t="s">
        <v>20</v>
      </c>
      <c r="I378" s="2" t="s">
        <v>759</v>
      </c>
    </row>
    <row r="379" spans="1:9" x14ac:dyDescent="0.35">
      <c r="A379" s="2" t="s">
        <v>2424</v>
      </c>
      <c r="B379" s="2" t="s">
        <v>24</v>
      </c>
      <c r="C379" s="2" t="s">
        <v>2427</v>
      </c>
      <c r="D379" s="2" t="s">
        <v>1370</v>
      </c>
      <c r="E379" s="2" t="s">
        <v>43</v>
      </c>
      <c r="F379" s="2" t="s">
        <v>20</v>
      </c>
      <c r="G379" s="2" t="s">
        <v>2339</v>
      </c>
      <c r="H379" s="2" t="s">
        <v>20</v>
      </c>
      <c r="I379" s="2" t="s">
        <v>759</v>
      </c>
    </row>
    <row r="380" spans="1:9" x14ac:dyDescent="0.35">
      <c r="A380" s="2" t="s">
        <v>2424</v>
      </c>
      <c r="B380" s="2" t="s">
        <v>24</v>
      </c>
      <c r="C380" s="2" t="s">
        <v>2427</v>
      </c>
      <c r="D380" s="2" t="s">
        <v>18</v>
      </c>
      <c r="E380" s="2" t="s">
        <v>19</v>
      </c>
      <c r="F380" s="2" t="s">
        <v>20</v>
      </c>
      <c r="G380" s="2" t="s">
        <v>2339</v>
      </c>
      <c r="H380" s="2" t="s">
        <v>20</v>
      </c>
      <c r="I380" s="2" t="s">
        <v>759</v>
      </c>
    </row>
    <row r="381" spans="1:9" x14ac:dyDescent="0.35">
      <c r="A381" s="2" t="s">
        <v>2424</v>
      </c>
      <c r="B381" s="2" t="s">
        <v>24</v>
      </c>
      <c r="C381" s="2" t="s">
        <v>2427</v>
      </c>
      <c r="D381" s="2" t="s">
        <v>61</v>
      </c>
      <c r="E381" s="2" t="s">
        <v>30</v>
      </c>
      <c r="F381" s="2" t="s">
        <v>20</v>
      </c>
      <c r="G381" s="2" t="s">
        <v>2429</v>
      </c>
      <c r="H381" s="2" t="s">
        <v>20</v>
      </c>
      <c r="I381" s="2" t="s">
        <v>759</v>
      </c>
    </row>
    <row r="382" spans="1:9" x14ac:dyDescent="0.35">
      <c r="A382" s="2" t="s">
        <v>2430</v>
      </c>
      <c r="B382" s="2" t="s">
        <v>62</v>
      </c>
      <c r="C382" s="2" t="s">
        <v>2431</v>
      </c>
      <c r="D382" s="2" t="s">
        <v>61</v>
      </c>
      <c r="E382" s="2" t="s">
        <v>30</v>
      </c>
      <c r="F382" s="2"/>
      <c r="G382" s="2"/>
      <c r="H382" s="2"/>
      <c r="I382" s="2"/>
    </row>
    <row r="383" spans="1:9" x14ac:dyDescent="0.35">
      <c r="A383" s="2" t="s">
        <v>2430</v>
      </c>
      <c r="B383" s="2" t="s">
        <v>54</v>
      </c>
      <c r="C383" s="2" t="s">
        <v>2432</v>
      </c>
      <c r="D383" s="2" t="s">
        <v>136</v>
      </c>
      <c r="E383" s="2" t="s">
        <v>107</v>
      </c>
      <c r="F383" s="2" t="s">
        <v>20</v>
      </c>
      <c r="G383" s="2" t="s">
        <v>2270</v>
      </c>
      <c r="H383" s="2" t="s">
        <v>20</v>
      </c>
      <c r="I383" s="2" t="s">
        <v>759</v>
      </c>
    </row>
    <row r="384" spans="1:9" x14ac:dyDescent="0.35">
      <c r="A384" s="2" t="s">
        <v>2430</v>
      </c>
      <c r="B384" s="2" t="s">
        <v>54</v>
      </c>
      <c r="C384" s="2" t="s">
        <v>2432</v>
      </c>
      <c r="D384" s="2" t="s">
        <v>35</v>
      </c>
      <c r="E384" s="2" t="s">
        <v>36</v>
      </c>
      <c r="F384" s="2" t="s">
        <v>20</v>
      </c>
      <c r="G384" s="2" t="s">
        <v>2270</v>
      </c>
      <c r="H384" s="2" t="s">
        <v>20</v>
      </c>
      <c r="I384" s="2" t="s">
        <v>759</v>
      </c>
    </row>
    <row r="385" spans="1:9" x14ac:dyDescent="0.35">
      <c r="A385" s="2" t="s">
        <v>2430</v>
      </c>
      <c r="B385" s="2" t="s">
        <v>54</v>
      </c>
      <c r="C385" s="2" t="s">
        <v>2432</v>
      </c>
      <c r="D385" s="2" t="s">
        <v>269</v>
      </c>
      <c r="E385" s="2" t="s">
        <v>270</v>
      </c>
      <c r="F385" s="2" t="s">
        <v>46</v>
      </c>
      <c r="G385" s="2" t="s">
        <v>2433</v>
      </c>
      <c r="H385" s="2" t="s">
        <v>20</v>
      </c>
      <c r="I385" s="2" t="s">
        <v>759</v>
      </c>
    </row>
    <row r="386" spans="1:9" x14ac:dyDescent="0.35">
      <c r="A386" s="2" t="s">
        <v>2430</v>
      </c>
      <c r="B386" s="2" t="s">
        <v>54</v>
      </c>
      <c r="C386" s="2" t="s">
        <v>2432</v>
      </c>
      <c r="D386" s="2" t="s">
        <v>423</v>
      </c>
      <c r="E386" s="2" t="s">
        <v>424</v>
      </c>
      <c r="F386" s="2" t="s">
        <v>46</v>
      </c>
      <c r="G386" s="2" t="s">
        <v>2433</v>
      </c>
      <c r="H386" s="2" t="s">
        <v>20</v>
      </c>
      <c r="I386" s="2" t="s">
        <v>759</v>
      </c>
    </row>
    <row r="387" spans="1:9" x14ac:dyDescent="0.35">
      <c r="A387" s="2" t="s">
        <v>2430</v>
      </c>
      <c r="B387" s="2" t="s">
        <v>24</v>
      </c>
      <c r="C387" s="2" t="s">
        <v>2434</v>
      </c>
      <c r="D387" s="2" t="s">
        <v>763</v>
      </c>
      <c r="E387" s="2" t="s">
        <v>107</v>
      </c>
      <c r="F387" s="2"/>
      <c r="G387" s="2"/>
      <c r="H387" s="2" t="s">
        <v>20</v>
      </c>
      <c r="I387" s="2" t="s">
        <v>759</v>
      </c>
    </row>
    <row r="388" spans="1:9" x14ac:dyDescent="0.35">
      <c r="A388" s="2" t="s">
        <v>2430</v>
      </c>
      <c r="B388" s="2" t="s">
        <v>24</v>
      </c>
      <c r="C388" s="2" t="s">
        <v>2434</v>
      </c>
      <c r="D388" s="2" t="s">
        <v>27</v>
      </c>
      <c r="E388" s="2" t="s">
        <v>28</v>
      </c>
      <c r="F388" s="2" t="s">
        <v>20</v>
      </c>
      <c r="G388" s="2" t="s">
        <v>2435</v>
      </c>
      <c r="H388" s="2"/>
      <c r="I388" s="2"/>
    </row>
    <row r="389" spans="1:9" x14ac:dyDescent="0.35">
      <c r="A389" s="2" t="s">
        <v>2430</v>
      </c>
      <c r="B389" s="2" t="s">
        <v>24</v>
      </c>
      <c r="C389" s="2" t="s">
        <v>2434</v>
      </c>
      <c r="D389" s="2" t="s">
        <v>120</v>
      </c>
      <c r="E389" s="2" t="s">
        <v>1673</v>
      </c>
      <c r="F389" s="2"/>
      <c r="G389" s="2"/>
      <c r="H389" s="2"/>
      <c r="I389" s="2"/>
    </row>
    <row r="390" spans="1:9" x14ac:dyDescent="0.35">
      <c r="A390" s="2" t="s">
        <v>2430</v>
      </c>
      <c r="B390" s="2" t="s">
        <v>24</v>
      </c>
      <c r="C390" s="2" t="s">
        <v>2434</v>
      </c>
      <c r="D390" s="2" t="s">
        <v>35</v>
      </c>
      <c r="E390" s="2" t="s">
        <v>36</v>
      </c>
      <c r="F390" s="2"/>
      <c r="G390" s="2"/>
      <c r="H390" s="2"/>
      <c r="I390" s="2"/>
    </row>
    <row r="391" spans="1:9" x14ac:dyDescent="0.35">
      <c r="A391" s="2" t="s">
        <v>2430</v>
      </c>
      <c r="B391" s="2" t="s">
        <v>24</v>
      </c>
      <c r="C391" s="2" t="s">
        <v>2434</v>
      </c>
      <c r="D391" s="2" t="s">
        <v>176</v>
      </c>
      <c r="E391" s="2" t="s">
        <v>40</v>
      </c>
      <c r="F391" s="2"/>
      <c r="G391" s="2"/>
      <c r="H391" s="2"/>
      <c r="I391" s="2"/>
    </row>
    <row r="392" spans="1:9" x14ac:dyDescent="0.35">
      <c r="A392" s="2" t="s">
        <v>2430</v>
      </c>
      <c r="B392" s="2" t="s">
        <v>24</v>
      </c>
      <c r="C392" s="2" t="s">
        <v>2434</v>
      </c>
      <c r="D392" s="2" t="s">
        <v>87</v>
      </c>
      <c r="E392" s="2" t="s">
        <v>75</v>
      </c>
      <c r="F392" s="2" t="s">
        <v>20</v>
      </c>
      <c r="G392" s="2" t="s">
        <v>2436</v>
      </c>
      <c r="H392" s="2"/>
      <c r="I392" s="2"/>
    </row>
    <row r="393" spans="1:9" x14ac:dyDescent="0.35">
      <c r="A393" s="2" t="s">
        <v>2430</v>
      </c>
      <c r="B393" s="2" t="s">
        <v>24</v>
      </c>
      <c r="C393" s="2" t="s">
        <v>2434</v>
      </c>
      <c r="D393" s="2" t="s">
        <v>18</v>
      </c>
      <c r="E393" s="2" t="s">
        <v>19</v>
      </c>
      <c r="F393" s="2" t="s">
        <v>20</v>
      </c>
      <c r="G393" s="2" t="s">
        <v>2436</v>
      </c>
      <c r="H393" s="2"/>
      <c r="I393" s="2"/>
    </row>
    <row r="394" spans="1:9" x14ac:dyDescent="0.35">
      <c r="A394" s="2" t="s">
        <v>2430</v>
      </c>
      <c r="B394" s="2" t="s">
        <v>24</v>
      </c>
      <c r="C394" s="2" t="s">
        <v>2434</v>
      </c>
      <c r="D394" s="2" t="s">
        <v>61</v>
      </c>
      <c r="E394" s="2" t="s">
        <v>30</v>
      </c>
      <c r="F394" s="2" t="s">
        <v>20</v>
      </c>
      <c r="G394" s="2" t="s">
        <v>2437</v>
      </c>
      <c r="H394" s="2"/>
      <c r="I394" s="2"/>
    </row>
    <row r="395" spans="1:9" x14ac:dyDescent="0.35">
      <c r="A395" s="2" t="s">
        <v>2430</v>
      </c>
      <c r="B395" s="2" t="s">
        <v>24</v>
      </c>
      <c r="C395" s="2" t="s">
        <v>2434</v>
      </c>
      <c r="D395" s="2" t="s">
        <v>423</v>
      </c>
      <c r="E395" s="2" t="s">
        <v>424</v>
      </c>
      <c r="F395" s="2" t="s">
        <v>20</v>
      </c>
      <c r="G395" s="2" t="s">
        <v>2438</v>
      </c>
      <c r="H395" s="2"/>
      <c r="I395" s="2"/>
    </row>
    <row r="396" spans="1:9" x14ac:dyDescent="0.35">
      <c r="A396" s="2" t="s">
        <v>2430</v>
      </c>
      <c r="B396" s="2" t="s">
        <v>24</v>
      </c>
      <c r="C396" s="2" t="s">
        <v>2434</v>
      </c>
      <c r="D396" s="2" t="s">
        <v>127</v>
      </c>
      <c r="E396" s="2" t="s">
        <v>107</v>
      </c>
      <c r="F396" s="2"/>
      <c r="G396" s="2"/>
      <c r="H396" s="2"/>
      <c r="I396" s="2"/>
    </row>
    <row r="397" spans="1:9" x14ac:dyDescent="0.35">
      <c r="A397" s="2" t="s">
        <v>2430</v>
      </c>
      <c r="B397" s="2" t="s">
        <v>24</v>
      </c>
      <c r="C397" s="2" t="s">
        <v>2439</v>
      </c>
      <c r="D397" s="2" t="s">
        <v>763</v>
      </c>
      <c r="E397" s="2" t="s">
        <v>107</v>
      </c>
      <c r="F397" s="2"/>
      <c r="G397" s="2"/>
      <c r="H397" s="2" t="s">
        <v>20</v>
      </c>
      <c r="I397" s="2" t="s">
        <v>759</v>
      </c>
    </row>
    <row r="398" spans="1:9" x14ac:dyDescent="0.35">
      <c r="A398" s="2" t="s">
        <v>2430</v>
      </c>
      <c r="B398" s="2" t="s">
        <v>24</v>
      </c>
      <c r="C398" s="2" t="s">
        <v>2439</v>
      </c>
      <c r="D398" s="2" t="s">
        <v>27</v>
      </c>
      <c r="E398" s="2" t="s">
        <v>28</v>
      </c>
      <c r="F398" s="2" t="s">
        <v>20</v>
      </c>
      <c r="G398" s="2" t="s">
        <v>2440</v>
      </c>
      <c r="H398" s="2" t="s">
        <v>20</v>
      </c>
      <c r="I398" s="2" t="s">
        <v>759</v>
      </c>
    </row>
    <row r="399" spans="1:9" x14ac:dyDescent="0.35">
      <c r="A399" s="2" t="s">
        <v>2430</v>
      </c>
      <c r="B399" s="2" t="s">
        <v>24</v>
      </c>
      <c r="C399" s="2" t="s">
        <v>2439</v>
      </c>
      <c r="D399" s="2" t="s">
        <v>35</v>
      </c>
      <c r="E399" s="2" t="s">
        <v>36</v>
      </c>
      <c r="F399" s="2"/>
      <c r="G399" s="2"/>
      <c r="H399" s="2" t="s">
        <v>20</v>
      </c>
      <c r="I399" s="2" t="s">
        <v>759</v>
      </c>
    </row>
    <row r="400" spans="1:9" x14ac:dyDescent="0.35">
      <c r="A400" s="2" t="s">
        <v>2430</v>
      </c>
      <c r="B400" s="2" t="s">
        <v>24</v>
      </c>
      <c r="C400" s="2" t="s">
        <v>2439</v>
      </c>
      <c r="D400" s="2" t="s">
        <v>61</v>
      </c>
      <c r="E400" s="2" t="s">
        <v>30</v>
      </c>
      <c r="F400" s="2"/>
      <c r="G400" s="2"/>
      <c r="H400" s="2" t="s">
        <v>20</v>
      </c>
      <c r="I400" s="2" t="s">
        <v>759</v>
      </c>
    </row>
    <row r="401" spans="1:9" x14ac:dyDescent="0.35">
      <c r="A401" s="2" t="s">
        <v>2430</v>
      </c>
      <c r="B401" s="2" t="s">
        <v>24</v>
      </c>
      <c r="C401" s="2" t="s">
        <v>2439</v>
      </c>
      <c r="D401" s="2" t="s">
        <v>423</v>
      </c>
      <c r="E401" s="2" t="s">
        <v>424</v>
      </c>
      <c r="F401" s="2"/>
      <c r="G401" s="2"/>
      <c r="H401" s="2" t="s">
        <v>20</v>
      </c>
      <c r="I401" s="2" t="s">
        <v>759</v>
      </c>
    </row>
    <row r="402" spans="1:9" x14ac:dyDescent="0.35">
      <c r="A402" s="2" t="s">
        <v>2430</v>
      </c>
      <c r="B402" s="2" t="s">
        <v>24</v>
      </c>
      <c r="C402" s="2" t="s">
        <v>2441</v>
      </c>
      <c r="D402" s="2" t="s">
        <v>763</v>
      </c>
      <c r="E402" s="2" t="s">
        <v>107</v>
      </c>
      <c r="F402" s="2"/>
      <c r="G402" s="2"/>
      <c r="H402" s="2" t="s">
        <v>20</v>
      </c>
      <c r="I402" s="2" t="s">
        <v>759</v>
      </c>
    </row>
    <row r="403" spans="1:9" x14ac:dyDescent="0.35">
      <c r="A403" s="2" t="s">
        <v>2430</v>
      </c>
      <c r="B403" s="2" t="s">
        <v>24</v>
      </c>
      <c r="C403" s="2" t="s">
        <v>2441</v>
      </c>
      <c r="D403" s="2" t="s">
        <v>27</v>
      </c>
      <c r="E403" s="2" t="s">
        <v>28</v>
      </c>
      <c r="F403" s="2"/>
      <c r="G403" s="2"/>
      <c r="H403" s="2" t="s">
        <v>20</v>
      </c>
      <c r="I403" s="2" t="s">
        <v>759</v>
      </c>
    </row>
    <row r="404" spans="1:9" x14ac:dyDescent="0.35">
      <c r="A404" s="2" t="s">
        <v>2430</v>
      </c>
      <c r="B404" s="2" t="s">
        <v>24</v>
      </c>
      <c r="C404" s="2" t="s">
        <v>2441</v>
      </c>
      <c r="D404" s="2" t="s">
        <v>2365</v>
      </c>
      <c r="E404" s="2" t="s">
        <v>228</v>
      </c>
      <c r="F404" s="2"/>
      <c r="G404" s="2"/>
      <c r="H404" s="2" t="s">
        <v>20</v>
      </c>
      <c r="I404" s="2" t="s">
        <v>759</v>
      </c>
    </row>
    <row r="405" spans="1:9" x14ac:dyDescent="0.35">
      <c r="A405" s="2" t="s">
        <v>2430</v>
      </c>
      <c r="B405" s="2" t="s">
        <v>24</v>
      </c>
      <c r="C405" s="2" t="s">
        <v>2441</v>
      </c>
      <c r="D405" s="2" t="s">
        <v>2012</v>
      </c>
      <c r="E405" s="2" t="s">
        <v>36</v>
      </c>
      <c r="F405" s="2"/>
      <c r="G405" s="2"/>
      <c r="H405" s="2" t="s">
        <v>20</v>
      </c>
      <c r="I405" s="2" t="s">
        <v>759</v>
      </c>
    </row>
    <row r="406" spans="1:9" x14ac:dyDescent="0.35">
      <c r="A406" s="2" t="s">
        <v>2430</v>
      </c>
      <c r="B406" s="2" t="s">
        <v>24</v>
      </c>
      <c r="C406" s="2" t="s">
        <v>2441</v>
      </c>
      <c r="D406" s="2" t="s">
        <v>269</v>
      </c>
      <c r="E406" s="2" t="s">
        <v>270</v>
      </c>
      <c r="F406" s="2" t="s">
        <v>16</v>
      </c>
      <c r="G406" s="2" t="s">
        <v>2442</v>
      </c>
      <c r="H406" s="2" t="s">
        <v>20</v>
      </c>
      <c r="I406" s="2" t="s">
        <v>759</v>
      </c>
    </row>
    <row r="407" spans="1:9" x14ac:dyDescent="0.35">
      <c r="A407" s="2" t="s">
        <v>2430</v>
      </c>
      <c r="B407" s="2" t="s">
        <v>24</v>
      </c>
      <c r="C407" s="2" t="s">
        <v>2441</v>
      </c>
      <c r="D407" s="2" t="s">
        <v>51</v>
      </c>
      <c r="E407" s="2" t="s">
        <v>52</v>
      </c>
      <c r="F407" s="2"/>
      <c r="G407" s="2"/>
      <c r="H407" s="2" t="s">
        <v>20</v>
      </c>
      <c r="I407" s="2" t="s">
        <v>759</v>
      </c>
    </row>
    <row r="408" spans="1:9" x14ac:dyDescent="0.35">
      <c r="A408" s="2" t="s">
        <v>2430</v>
      </c>
      <c r="B408" s="2" t="s">
        <v>24</v>
      </c>
      <c r="C408" s="2" t="s">
        <v>2443</v>
      </c>
      <c r="D408" s="2" t="s">
        <v>27</v>
      </c>
      <c r="E408" s="2" t="s">
        <v>28</v>
      </c>
      <c r="F408" s="2" t="s">
        <v>20</v>
      </c>
      <c r="G408" s="2" t="s">
        <v>2339</v>
      </c>
      <c r="H408" s="2" t="s">
        <v>20</v>
      </c>
      <c r="I408" s="2" t="s">
        <v>759</v>
      </c>
    </row>
    <row r="409" spans="1:9" x14ac:dyDescent="0.35">
      <c r="A409" s="2" t="s">
        <v>2430</v>
      </c>
      <c r="B409" s="2" t="s">
        <v>24</v>
      </c>
      <c r="C409" s="2" t="s">
        <v>2443</v>
      </c>
      <c r="D409" s="2" t="s">
        <v>136</v>
      </c>
      <c r="E409" s="2" t="s">
        <v>107</v>
      </c>
      <c r="F409" s="2" t="s">
        <v>20</v>
      </c>
      <c r="G409" s="2" t="s">
        <v>2339</v>
      </c>
      <c r="H409" s="2" t="s">
        <v>20</v>
      </c>
      <c r="I409" s="2" t="s">
        <v>759</v>
      </c>
    </row>
    <row r="410" spans="1:9" x14ac:dyDescent="0.35">
      <c r="A410" s="2" t="s">
        <v>2430</v>
      </c>
      <c r="B410" s="2" t="s">
        <v>24</v>
      </c>
      <c r="C410" s="2" t="s">
        <v>2443</v>
      </c>
      <c r="D410" s="2" t="s">
        <v>35</v>
      </c>
      <c r="E410" s="2" t="s">
        <v>36</v>
      </c>
      <c r="F410" s="2" t="s">
        <v>20</v>
      </c>
      <c r="G410" s="2" t="s">
        <v>2339</v>
      </c>
      <c r="H410" s="2" t="s">
        <v>20</v>
      </c>
      <c r="I410" s="2" t="s">
        <v>759</v>
      </c>
    </row>
    <row r="411" spans="1:9" x14ac:dyDescent="0.35">
      <c r="A411" s="2" t="s">
        <v>2430</v>
      </c>
      <c r="B411" s="2" t="s">
        <v>24</v>
      </c>
      <c r="C411" s="2" t="s">
        <v>2443</v>
      </c>
      <c r="D411" s="2" t="s">
        <v>91</v>
      </c>
      <c r="E411" s="2" t="s">
        <v>19</v>
      </c>
      <c r="F411" s="2" t="s">
        <v>20</v>
      </c>
      <c r="G411" s="2" t="s">
        <v>2444</v>
      </c>
      <c r="H411" s="2" t="s">
        <v>20</v>
      </c>
      <c r="I411" s="2" t="s">
        <v>759</v>
      </c>
    </row>
    <row r="412" spans="1:9" x14ac:dyDescent="0.35">
      <c r="A412" s="2" t="s">
        <v>2430</v>
      </c>
      <c r="B412" s="2" t="s">
        <v>24</v>
      </c>
      <c r="C412" s="2" t="s">
        <v>2443</v>
      </c>
      <c r="D412" s="2" t="s">
        <v>423</v>
      </c>
      <c r="E412" s="2" t="s">
        <v>424</v>
      </c>
      <c r="F412" s="2" t="s">
        <v>20</v>
      </c>
      <c r="G412" s="2" t="s">
        <v>2445</v>
      </c>
      <c r="H412" s="2" t="s">
        <v>20</v>
      </c>
      <c r="I412" s="2" t="s">
        <v>759</v>
      </c>
    </row>
    <row r="413" spans="1:9" x14ac:dyDescent="0.35">
      <c r="A413" s="2" t="s">
        <v>2446</v>
      </c>
      <c r="B413" s="2" t="s">
        <v>57</v>
      </c>
      <c r="C413" s="2" t="s">
        <v>2447</v>
      </c>
      <c r="D413" s="2" t="s">
        <v>27</v>
      </c>
      <c r="E413" s="2" t="s">
        <v>28</v>
      </c>
      <c r="F413" s="2" t="s">
        <v>20</v>
      </c>
      <c r="G413" s="2" t="s">
        <v>2322</v>
      </c>
      <c r="H413" s="2" t="s">
        <v>20</v>
      </c>
      <c r="I413" s="2" t="s">
        <v>759</v>
      </c>
    </row>
    <row r="414" spans="1:9" x14ac:dyDescent="0.35">
      <c r="A414" s="2" t="s">
        <v>2446</v>
      </c>
      <c r="B414" s="2" t="s">
        <v>57</v>
      </c>
      <c r="C414" s="2" t="s">
        <v>2447</v>
      </c>
      <c r="D414" s="2" t="s">
        <v>121</v>
      </c>
      <c r="E414" s="2" t="s">
        <v>122</v>
      </c>
      <c r="F414" s="2"/>
      <c r="G414" s="2"/>
      <c r="H414" s="2" t="s">
        <v>20</v>
      </c>
      <c r="I414" s="2" t="s">
        <v>759</v>
      </c>
    </row>
    <row r="415" spans="1:9" x14ac:dyDescent="0.35">
      <c r="A415" s="2" t="s">
        <v>2446</v>
      </c>
      <c r="B415" s="2" t="s">
        <v>57</v>
      </c>
      <c r="C415" s="2" t="s">
        <v>2447</v>
      </c>
      <c r="D415" s="2" t="s">
        <v>35</v>
      </c>
      <c r="E415" s="2" t="s">
        <v>36</v>
      </c>
      <c r="F415" s="2"/>
      <c r="G415" s="2"/>
      <c r="H415" s="2" t="s">
        <v>20</v>
      </c>
      <c r="I415" s="2" t="s">
        <v>759</v>
      </c>
    </row>
    <row r="416" spans="1:9" x14ac:dyDescent="0.35">
      <c r="A416" s="2" t="s">
        <v>2446</v>
      </c>
      <c r="B416" s="2" t="s">
        <v>57</v>
      </c>
      <c r="C416" s="2" t="s">
        <v>2447</v>
      </c>
      <c r="D416" s="2" t="s">
        <v>423</v>
      </c>
      <c r="E416" s="2" t="s">
        <v>424</v>
      </c>
      <c r="F416" s="2" t="s">
        <v>20</v>
      </c>
      <c r="G416" s="2" t="s">
        <v>2448</v>
      </c>
      <c r="H416" s="2" t="s">
        <v>20</v>
      </c>
      <c r="I416" s="2" t="s">
        <v>759</v>
      </c>
    </row>
    <row r="417" spans="1:9" x14ac:dyDescent="0.35">
      <c r="A417" s="2" t="s">
        <v>2446</v>
      </c>
      <c r="B417" s="2" t="s">
        <v>24</v>
      </c>
      <c r="C417" s="2" t="s">
        <v>2449</v>
      </c>
      <c r="D417" s="2" t="s">
        <v>27</v>
      </c>
      <c r="E417" s="2" t="s">
        <v>28</v>
      </c>
      <c r="F417" s="2"/>
      <c r="G417" s="2"/>
      <c r="H417" s="2" t="s">
        <v>20</v>
      </c>
      <c r="I417" s="2" t="s">
        <v>759</v>
      </c>
    </row>
    <row r="418" spans="1:9" x14ac:dyDescent="0.35">
      <c r="A418" s="2" t="s">
        <v>2446</v>
      </c>
      <c r="B418" s="2" t="s">
        <v>24</v>
      </c>
      <c r="C418" s="2" t="s">
        <v>2449</v>
      </c>
      <c r="D418" s="2" t="s">
        <v>423</v>
      </c>
      <c r="E418" s="2" t="s">
        <v>424</v>
      </c>
      <c r="F418" s="2"/>
      <c r="G418" s="2"/>
      <c r="H418" s="2" t="s">
        <v>20</v>
      </c>
      <c r="I418" s="2" t="s">
        <v>759</v>
      </c>
    </row>
    <row r="419" spans="1:9" x14ac:dyDescent="0.35">
      <c r="A419" s="2" t="s">
        <v>2450</v>
      </c>
      <c r="B419" s="2" t="s">
        <v>57</v>
      </c>
      <c r="C419" s="2" t="s">
        <v>2451</v>
      </c>
      <c r="D419" s="2" t="s">
        <v>27</v>
      </c>
      <c r="E419" s="2" t="s">
        <v>28</v>
      </c>
      <c r="F419" s="2"/>
      <c r="G419" s="2"/>
      <c r="H419" s="2" t="s">
        <v>20</v>
      </c>
      <c r="I419" s="2" t="s">
        <v>759</v>
      </c>
    </row>
    <row r="420" spans="1:9" x14ac:dyDescent="0.35">
      <c r="A420" s="2" t="s">
        <v>2450</v>
      </c>
      <c r="B420" s="2" t="s">
        <v>57</v>
      </c>
      <c r="C420" s="2" t="s">
        <v>2451</v>
      </c>
      <c r="D420" s="2" t="s">
        <v>423</v>
      </c>
      <c r="E420" s="2" t="s">
        <v>424</v>
      </c>
      <c r="F420" s="2" t="s">
        <v>20</v>
      </c>
      <c r="G420" s="2" t="s">
        <v>2452</v>
      </c>
      <c r="H420" s="2" t="s">
        <v>20</v>
      </c>
      <c r="I420" s="2" t="s">
        <v>759</v>
      </c>
    </row>
    <row r="421" spans="1:9" x14ac:dyDescent="0.35">
      <c r="A421" s="2" t="s">
        <v>2450</v>
      </c>
      <c r="B421" s="2" t="s">
        <v>54</v>
      </c>
      <c r="C421" s="2" t="s">
        <v>2453</v>
      </c>
      <c r="D421" s="2" t="s">
        <v>130</v>
      </c>
      <c r="E421" s="2" t="s">
        <v>36</v>
      </c>
      <c r="F421" s="2" t="s">
        <v>20</v>
      </c>
      <c r="G421" s="2" t="s">
        <v>2351</v>
      </c>
      <c r="H421" s="2" t="s">
        <v>20</v>
      </c>
      <c r="I421" s="2" t="s">
        <v>759</v>
      </c>
    </row>
    <row r="422" spans="1:9" x14ac:dyDescent="0.35">
      <c r="A422" s="2" t="s">
        <v>2450</v>
      </c>
      <c r="B422" s="2" t="s">
        <v>54</v>
      </c>
      <c r="C422" s="2" t="s">
        <v>2453</v>
      </c>
      <c r="D422" s="2" t="s">
        <v>423</v>
      </c>
      <c r="E422" s="2" t="s">
        <v>424</v>
      </c>
      <c r="F422" s="2" t="s">
        <v>20</v>
      </c>
      <c r="G422" s="2" t="s">
        <v>2351</v>
      </c>
      <c r="H422" s="2" t="s">
        <v>20</v>
      </c>
      <c r="I422" s="2" t="s">
        <v>759</v>
      </c>
    </row>
    <row r="423" spans="1:9" x14ac:dyDescent="0.35">
      <c r="A423" s="2" t="s">
        <v>2450</v>
      </c>
      <c r="B423" s="2" t="s">
        <v>24</v>
      </c>
      <c r="C423" s="2" t="s">
        <v>2454</v>
      </c>
      <c r="D423" s="2" t="s">
        <v>2455</v>
      </c>
      <c r="E423" s="2" t="s">
        <v>270</v>
      </c>
      <c r="F423" s="2" t="s">
        <v>20</v>
      </c>
      <c r="G423" s="2" t="s">
        <v>2303</v>
      </c>
      <c r="H423" s="2" t="s">
        <v>20</v>
      </c>
      <c r="I423" s="2" t="s">
        <v>759</v>
      </c>
    </row>
    <row r="424" spans="1:9" x14ac:dyDescent="0.35">
      <c r="A424" s="2" t="s">
        <v>2450</v>
      </c>
      <c r="B424" s="2" t="s">
        <v>24</v>
      </c>
      <c r="C424" s="2" t="s">
        <v>2454</v>
      </c>
      <c r="D424" s="2" t="s">
        <v>27</v>
      </c>
      <c r="E424" s="2" t="s">
        <v>28</v>
      </c>
      <c r="F424" s="2" t="s">
        <v>20</v>
      </c>
      <c r="G424" s="2" t="s">
        <v>2303</v>
      </c>
      <c r="H424" s="2" t="s">
        <v>20</v>
      </c>
      <c r="I424" s="2" t="s">
        <v>759</v>
      </c>
    </row>
    <row r="425" spans="1:9" x14ac:dyDescent="0.35">
      <c r="A425" s="2" t="s">
        <v>2450</v>
      </c>
      <c r="B425" s="2" t="s">
        <v>24</v>
      </c>
      <c r="C425" s="2" t="s">
        <v>2454</v>
      </c>
      <c r="D425" s="2" t="s">
        <v>815</v>
      </c>
      <c r="E425" s="2" t="s">
        <v>122</v>
      </c>
      <c r="F425" s="2"/>
      <c r="G425" s="2"/>
      <c r="H425" s="2" t="s">
        <v>20</v>
      </c>
      <c r="I425" s="2" t="s">
        <v>759</v>
      </c>
    </row>
    <row r="426" spans="1:9" x14ac:dyDescent="0.35">
      <c r="A426" s="2" t="s">
        <v>2450</v>
      </c>
      <c r="B426" s="2" t="s">
        <v>24</v>
      </c>
      <c r="C426" s="2" t="s">
        <v>2454</v>
      </c>
      <c r="D426" s="2" t="s">
        <v>35</v>
      </c>
      <c r="E426" s="2" t="s">
        <v>36</v>
      </c>
      <c r="F426" s="2"/>
      <c r="G426" s="2"/>
      <c r="H426" s="2" t="s">
        <v>20</v>
      </c>
      <c r="I426" s="2" t="s">
        <v>759</v>
      </c>
    </row>
    <row r="427" spans="1:9" x14ac:dyDescent="0.35">
      <c r="A427" s="2" t="s">
        <v>2450</v>
      </c>
      <c r="B427" s="2" t="s">
        <v>24</v>
      </c>
      <c r="C427" s="2" t="s">
        <v>2454</v>
      </c>
      <c r="D427" s="2" t="s">
        <v>91</v>
      </c>
      <c r="E427" s="2" t="s">
        <v>19</v>
      </c>
      <c r="F427" s="2" t="s">
        <v>20</v>
      </c>
      <c r="G427" s="2" t="s">
        <v>2303</v>
      </c>
      <c r="H427" s="2" t="s">
        <v>20</v>
      </c>
      <c r="I427" s="2" t="s">
        <v>759</v>
      </c>
    </row>
    <row r="428" spans="1:9" x14ac:dyDescent="0.35">
      <c r="A428" s="2" t="s">
        <v>2450</v>
      </c>
      <c r="B428" s="2" t="s">
        <v>24</v>
      </c>
      <c r="C428" s="2" t="s">
        <v>2454</v>
      </c>
      <c r="D428" s="2" t="s">
        <v>423</v>
      </c>
      <c r="E428" s="2" t="s">
        <v>424</v>
      </c>
      <c r="F428" s="2" t="s">
        <v>20</v>
      </c>
      <c r="G428" s="2" t="s">
        <v>2303</v>
      </c>
      <c r="H428" s="2" t="s">
        <v>20</v>
      </c>
      <c r="I428" s="2" t="s">
        <v>759</v>
      </c>
    </row>
    <row r="429" spans="1:9" x14ac:dyDescent="0.35">
      <c r="A429" s="2" t="s">
        <v>2450</v>
      </c>
      <c r="B429" s="2" t="s">
        <v>24</v>
      </c>
      <c r="C429" s="2" t="s">
        <v>2454</v>
      </c>
      <c r="D429" s="2" t="s">
        <v>2456</v>
      </c>
      <c r="E429" s="2" t="s">
        <v>45</v>
      </c>
      <c r="F429" s="2"/>
      <c r="G429" s="2"/>
      <c r="H429" s="2" t="s">
        <v>20</v>
      </c>
      <c r="I429" s="2" t="s">
        <v>759</v>
      </c>
    </row>
    <row r="430" spans="1:9" x14ac:dyDescent="0.35">
      <c r="A430" s="2" t="s">
        <v>2450</v>
      </c>
      <c r="B430" s="2" t="s">
        <v>24</v>
      </c>
      <c r="C430" s="2" t="s">
        <v>2457</v>
      </c>
      <c r="D430" s="2" t="s">
        <v>120</v>
      </c>
      <c r="E430" s="2" t="s">
        <v>32</v>
      </c>
      <c r="F430" s="2"/>
      <c r="G430" s="2"/>
      <c r="H430" s="2" t="s">
        <v>20</v>
      </c>
      <c r="I430" s="2" t="s">
        <v>759</v>
      </c>
    </row>
    <row r="431" spans="1:9" x14ac:dyDescent="0.35">
      <c r="A431" s="2" t="s">
        <v>2450</v>
      </c>
      <c r="B431" s="2" t="s">
        <v>24</v>
      </c>
      <c r="C431" s="2" t="s">
        <v>2457</v>
      </c>
      <c r="D431" s="2" t="s">
        <v>136</v>
      </c>
      <c r="E431" s="2" t="s">
        <v>107</v>
      </c>
      <c r="F431" s="2"/>
      <c r="G431" s="2"/>
      <c r="H431" s="2" t="s">
        <v>20</v>
      </c>
      <c r="I431" s="2" t="s">
        <v>759</v>
      </c>
    </row>
    <row r="432" spans="1:9" x14ac:dyDescent="0.35">
      <c r="A432" s="2" t="s">
        <v>2450</v>
      </c>
      <c r="B432" s="2" t="s">
        <v>24</v>
      </c>
      <c r="C432" s="2" t="s">
        <v>2457</v>
      </c>
      <c r="D432" s="2" t="s">
        <v>35</v>
      </c>
      <c r="E432" s="2" t="s">
        <v>36</v>
      </c>
      <c r="F432" s="2"/>
      <c r="G432" s="2"/>
      <c r="H432" s="2" t="s">
        <v>20</v>
      </c>
      <c r="I432" s="2" t="s">
        <v>759</v>
      </c>
    </row>
    <row r="433" spans="1:9" x14ac:dyDescent="0.35">
      <c r="A433" s="2" t="s">
        <v>2450</v>
      </c>
      <c r="B433" s="2" t="s">
        <v>24</v>
      </c>
      <c r="C433" s="2" t="s">
        <v>2457</v>
      </c>
      <c r="D433" s="2" t="s">
        <v>91</v>
      </c>
      <c r="E433" s="2" t="s">
        <v>19</v>
      </c>
      <c r="F433" s="2" t="s">
        <v>20</v>
      </c>
      <c r="G433" s="2" t="s">
        <v>2458</v>
      </c>
      <c r="H433" s="2" t="s">
        <v>20</v>
      </c>
      <c r="I433" s="2" t="s">
        <v>759</v>
      </c>
    </row>
    <row r="434" spans="1:9" x14ac:dyDescent="0.35">
      <c r="A434" s="2" t="s">
        <v>2450</v>
      </c>
      <c r="B434" s="2" t="s">
        <v>24</v>
      </c>
      <c r="C434" s="2" t="s">
        <v>2457</v>
      </c>
      <c r="D434" s="2" t="s">
        <v>423</v>
      </c>
      <c r="E434" s="2" t="s">
        <v>424</v>
      </c>
      <c r="F434" s="2" t="s">
        <v>20</v>
      </c>
      <c r="G434" s="2" t="s">
        <v>2459</v>
      </c>
      <c r="H434" s="2" t="s">
        <v>20</v>
      </c>
      <c r="I434" s="2" t="s">
        <v>759</v>
      </c>
    </row>
    <row r="435" spans="1:9" x14ac:dyDescent="0.35">
      <c r="A435" s="2" t="s">
        <v>2460</v>
      </c>
      <c r="B435" s="2" t="s">
        <v>24</v>
      </c>
      <c r="C435" s="2" t="s">
        <v>2461</v>
      </c>
      <c r="D435" s="2" t="s">
        <v>27</v>
      </c>
      <c r="E435" s="2" t="s">
        <v>28</v>
      </c>
      <c r="F435" s="2"/>
      <c r="G435" s="2"/>
      <c r="H435" s="2"/>
      <c r="I435" s="2"/>
    </row>
    <row r="436" spans="1:9" x14ac:dyDescent="0.35">
      <c r="A436" s="2" t="s">
        <v>2460</v>
      </c>
      <c r="B436" s="2" t="s">
        <v>24</v>
      </c>
      <c r="C436" s="2" t="s">
        <v>2461</v>
      </c>
      <c r="D436" s="2" t="s">
        <v>35</v>
      </c>
      <c r="E436" s="2" t="s">
        <v>36</v>
      </c>
      <c r="F436" s="2"/>
      <c r="G436" s="2"/>
      <c r="H436" s="2"/>
      <c r="I436" s="2"/>
    </row>
    <row r="437" spans="1:9" x14ac:dyDescent="0.35">
      <c r="A437" s="2" t="s">
        <v>2460</v>
      </c>
      <c r="B437" s="2" t="s">
        <v>24</v>
      </c>
      <c r="C437" s="2" t="s">
        <v>2461</v>
      </c>
      <c r="D437" s="2" t="s">
        <v>87</v>
      </c>
      <c r="E437" s="2" t="s">
        <v>75</v>
      </c>
      <c r="F437" s="2"/>
      <c r="G437" s="2"/>
      <c r="H437" s="2"/>
      <c r="I437" s="2"/>
    </row>
    <row r="438" spans="1:9" x14ac:dyDescent="0.35">
      <c r="A438" s="2" t="s">
        <v>2460</v>
      </c>
      <c r="B438" s="2" t="s">
        <v>24</v>
      </c>
      <c r="C438" s="2" t="s">
        <v>2461</v>
      </c>
      <c r="D438" s="2" t="s">
        <v>61</v>
      </c>
      <c r="E438" s="2" t="s">
        <v>30</v>
      </c>
      <c r="F438" s="2"/>
      <c r="G438" s="2"/>
      <c r="H438" s="2"/>
      <c r="I438" s="2"/>
    </row>
    <row r="439" spans="1:9" x14ac:dyDescent="0.35">
      <c r="A439" s="2" t="s">
        <v>2460</v>
      </c>
      <c r="B439" s="2" t="s">
        <v>24</v>
      </c>
      <c r="C439" s="2" t="s">
        <v>2462</v>
      </c>
      <c r="D439" s="2" t="s">
        <v>27</v>
      </c>
      <c r="E439" s="2" t="s">
        <v>28</v>
      </c>
      <c r="F439" s="2"/>
      <c r="G439" s="2"/>
      <c r="H439" s="2"/>
      <c r="I439" s="2"/>
    </row>
    <row r="440" spans="1:9" x14ac:dyDescent="0.35">
      <c r="A440" s="2" t="s">
        <v>2460</v>
      </c>
      <c r="B440" s="2" t="s">
        <v>24</v>
      </c>
      <c r="C440" s="2" t="s">
        <v>2462</v>
      </c>
      <c r="D440" s="2" t="s">
        <v>35</v>
      </c>
      <c r="E440" s="2" t="s">
        <v>36</v>
      </c>
      <c r="F440" s="2"/>
      <c r="G440" s="2"/>
      <c r="H440" s="2"/>
      <c r="I440" s="2"/>
    </row>
    <row r="441" spans="1:9" x14ac:dyDescent="0.35">
      <c r="A441" s="2" t="s">
        <v>2460</v>
      </c>
      <c r="B441" s="2" t="s">
        <v>24</v>
      </c>
      <c r="C441" s="2" t="s">
        <v>2462</v>
      </c>
      <c r="D441" s="2" t="s">
        <v>61</v>
      </c>
      <c r="E441" s="2" t="s">
        <v>30</v>
      </c>
      <c r="F441" s="2"/>
      <c r="G441" s="2"/>
      <c r="H441" s="2"/>
      <c r="I441" s="2"/>
    </row>
    <row r="442" spans="1:9" x14ac:dyDescent="0.35">
      <c r="A442" s="2" t="s">
        <v>2463</v>
      </c>
      <c r="B442" s="2" t="s">
        <v>24</v>
      </c>
      <c r="C442" s="2" t="s">
        <v>2464</v>
      </c>
      <c r="D442" s="2" t="s">
        <v>393</v>
      </c>
      <c r="E442" s="2" t="s">
        <v>36</v>
      </c>
      <c r="F442" s="2"/>
      <c r="G442" s="2"/>
      <c r="H442" s="2"/>
      <c r="I442" s="2"/>
    </row>
    <row r="443" spans="1:9" x14ac:dyDescent="0.35">
      <c r="A443" s="2" t="s">
        <v>2465</v>
      </c>
      <c r="B443" s="2" t="s">
        <v>24</v>
      </c>
      <c r="C443" s="2" t="s">
        <v>2466</v>
      </c>
      <c r="D443" s="2" t="s">
        <v>27</v>
      </c>
      <c r="E443" s="2" t="s">
        <v>28</v>
      </c>
      <c r="F443" s="2"/>
      <c r="G443" s="2"/>
      <c r="H443" s="2"/>
      <c r="I443" s="2"/>
    </row>
    <row r="444" spans="1:9" x14ac:dyDescent="0.35">
      <c r="A444" s="2" t="s">
        <v>2465</v>
      </c>
      <c r="B444" s="2" t="s">
        <v>24</v>
      </c>
      <c r="C444" s="2" t="s">
        <v>2466</v>
      </c>
      <c r="D444" s="2" t="s">
        <v>38</v>
      </c>
      <c r="E444" s="2" t="s">
        <v>38</v>
      </c>
      <c r="F444" s="2"/>
      <c r="G444" s="2"/>
      <c r="H444" s="2"/>
      <c r="I444" s="2"/>
    </row>
    <row r="445" spans="1:9" x14ac:dyDescent="0.35">
      <c r="A445" s="2" t="s">
        <v>2467</v>
      </c>
      <c r="B445" s="2" t="s">
        <v>24</v>
      </c>
      <c r="C445" s="2" t="s">
        <v>2468</v>
      </c>
      <c r="D445" s="2" t="s">
        <v>121</v>
      </c>
      <c r="E445" s="2" t="s">
        <v>122</v>
      </c>
      <c r="F445" s="2"/>
      <c r="G445" s="2"/>
      <c r="H445" s="2"/>
      <c r="I445" s="2"/>
    </row>
    <row r="446" spans="1:9" x14ac:dyDescent="0.35">
      <c r="A446" s="2" t="s">
        <v>2467</v>
      </c>
      <c r="B446" s="2" t="s">
        <v>24</v>
      </c>
      <c r="C446" s="2" t="s">
        <v>2468</v>
      </c>
      <c r="D446" s="2" t="s">
        <v>35</v>
      </c>
      <c r="E446" s="2" t="s">
        <v>36</v>
      </c>
      <c r="F446" s="2"/>
      <c r="G446" s="2"/>
      <c r="H446" s="2"/>
      <c r="I446" s="2"/>
    </row>
    <row r="447" spans="1:9" x14ac:dyDescent="0.35">
      <c r="A447" s="2" t="s">
        <v>2467</v>
      </c>
      <c r="B447" s="2" t="s">
        <v>24</v>
      </c>
      <c r="C447" s="2" t="s">
        <v>2468</v>
      </c>
      <c r="D447" s="2" t="s">
        <v>18</v>
      </c>
      <c r="E447" s="2" t="s">
        <v>19</v>
      </c>
      <c r="F447" s="2"/>
      <c r="G447" s="2"/>
      <c r="H447" s="2"/>
      <c r="I447" s="2"/>
    </row>
    <row r="448" spans="1:9" x14ac:dyDescent="0.35">
      <c r="A448" s="2" t="s">
        <v>2469</v>
      </c>
      <c r="B448" s="2" t="s">
        <v>57</v>
      </c>
      <c r="C448" s="2" t="s">
        <v>2470</v>
      </c>
      <c r="D448" s="2" t="s">
        <v>130</v>
      </c>
      <c r="E448" s="2" t="s">
        <v>36</v>
      </c>
      <c r="F448" s="2"/>
      <c r="G448" s="2"/>
      <c r="H448" s="2" t="s">
        <v>20</v>
      </c>
      <c r="I448" s="2" t="s">
        <v>2471</v>
      </c>
    </row>
    <row r="449" spans="1:9" x14ac:dyDescent="0.35">
      <c r="A449" s="2" t="s">
        <v>2469</v>
      </c>
      <c r="B449" s="2" t="s">
        <v>57</v>
      </c>
      <c r="C449" s="2" t="s">
        <v>2470</v>
      </c>
      <c r="D449" s="2" t="s">
        <v>121</v>
      </c>
      <c r="E449" s="2" t="s">
        <v>122</v>
      </c>
      <c r="F449" s="2"/>
      <c r="G449" s="2"/>
      <c r="H449" s="2" t="s">
        <v>20</v>
      </c>
      <c r="I449" s="2" t="s">
        <v>2471</v>
      </c>
    </row>
    <row r="450" spans="1:9" x14ac:dyDescent="0.35">
      <c r="A450" s="2" t="s">
        <v>2469</v>
      </c>
      <c r="B450" s="2" t="s">
        <v>57</v>
      </c>
      <c r="C450" s="2" t="s">
        <v>2470</v>
      </c>
      <c r="D450" s="2" t="s">
        <v>18</v>
      </c>
      <c r="E450" s="2" t="s">
        <v>19</v>
      </c>
      <c r="F450" s="2" t="s">
        <v>20</v>
      </c>
      <c r="G450" s="2" t="s">
        <v>2472</v>
      </c>
      <c r="H450" s="2" t="s">
        <v>20</v>
      </c>
      <c r="I450" s="2" t="s">
        <v>2471</v>
      </c>
    </row>
    <row r="451" spans="1:9" x14ac:dyDescent="0.35">
      <c r="A451" s="2" t="s">
        <v>2469</v>
      </c>
      <c r="B451" s="2" t="s">
        <v>57</v>
      </c>
      <c r="C451" s="2" t="s">
        <v>2470</v>
      </c>
      <c r="D451" s="2" t="s">
        <v>61</v>
      </c>
      <c r="E451" s="2" t="s">
        <v>30</v>
      </c>
      <c r="F451" s="2"/>
      <c r="G451" s="2"/>
      <c r="H451" s="2" t="s">
        <v>20</v>
      </c>
      <c r="I451" s="2" t="s">
        <v>2471</v>
      </c>
    </row>
    <row r="452" spans="1:9" x14ac:dyDescent="0.35">
      <c r="A452" s="2" t="s">
        <v>2473</v>
      </c>
      <c r="B452" s="2" t="s">
        <v>57</v>
      </c>
      <c r="C452" s="2" t="s">
        <v>2474</v>
      </c>
      <c r="D452" s="2" t="s">
        <v>130</v>
      </c>
      <c r="E452" s="2" t="s">
        <v>36</v>
      </c>
      <c r="F452" s="2" t="s">
        <v>20</v>
      </c>
      <c r="G452" s="2" t="s">
        <v>1246</v>
      </c>
      <c r="H452" s="2"/>
      <c r="I452" s="2"/>
    </row>
    <row r="453" spans="1:9" x14ac:dyDescent="0.35">
      <c r="A453" s="2" t="s">
        <v>2473</v>
      </c>
      <c r="B453" s="2" t="s">
        <v>57</v>
      </c>
      <c r="C453" s="2" t="s">
        <v>2474</v>
      </c>
      <c r="D453" s="2" t="s">
        <v>27</v>
      </c>
      <c r="E453" s="2" t="s">
        <v>28</v>
      </c>
      <c r="F453" s="2" t="s">
        <v>20</v>
      </c>
      <c r="G453" s="2" t="s">
        <v>1246</v>
      </c>
      <c r="H453" s="2"/>
      <c r="I453" s="2"/>
    </row>
    <row r="454" spans="1:9" x14ac:dyDescent="0.35">
      <c r="A454" s="2" t="s">
        <v>2473</v>
      </c>
      <c r="B454" s="2" t="s">
        <v>57</v>
      </c>
      <c r="C454" s="2" t="s">
        <v>2474</v>
      </c>
      <c r="D454" s="2" t="s">
        <v>121</v>
      </c>
      <c r="E454" s="2" t="s">
        <v>122</v>
      </c>
      <c r="F454" s="2" t="s">
        <v>20</v>
      </c>
      <c r="G454" s="2" t="s">
        <v>1246</v>
      </c>
      <c r="H454" s="2"/>
      <c r="I454" s="2"/>
    </row>
    <row r="455" spans="1:9" x14ac:dyDescent="0.35">
      <c r="A455" s="2" t="s">
        <v>2473</v>
      </c>
      <c r="B455" s="2" t="s">
        <v>57</v>
      </c>
      <c r="C455" s="2" t="s">
        <v>2474</v>
      </c>
      <c r="D455" s="2" t="s">
        <v>2224</v>
      </c>
      <c r="E455" s="2" t="s">
        <v>19</v>
      </c>
      <c r="F455" s="2" t="s">
        <v>20</v>
      </c>
      <c r="G455" s="2" t="s">
        <v>1246</v>
      </c>
      <c r="H455" s="2"/>
      <c r="I455" s="2"/>
    </row>
    <row r="456" spans="1:9" x14ac:dyDescent="0.35">
      <c r="A456" s="2" t="s">
        <v>2473</v>
      </c>
      <c r="B456" s="2" t="s">
        <v>24</v>
      </c>
      <c r="C456" s="2" t="s">
        <v>2475</v>
      </c>
      <c r="D456" s="2" t="s">
        <v>130</v>
      </c>
      <c r="E456" s="2" t="s">
        <v>36</v>
      </c>
      <c r="F456" s="2"/>
      <c r="G456" s="2"/>
      <c r="H456" s="2"/>
      <c r="I456" s="2"/>
    </row>
    <row r="457" spans="1:9" x14ac:dyDescent="0.35">
      <c r="A457" s="2" t="s">
        <v>2473</v>
      </c>
      <c r="B457" s="2" t="s">
        <v>24</v>
      </c>
      <c r="C457" s="2" t="s">
        <v>2475</v>
      </c>
      <c r="D457" s="2" t="s">
        <v>27</v>
      </c>
      <c r="E457" s="2" t="s">
        <v>28</v>
      </c>
      <c r="F457" s="2"/>
      <c r="G457" s="2"/>
      <c r="H457" s="2"/>
      <c r="I457" s="2"/>
    </row>
    <row r="458" spans="1:9" x14ac:dyDescent="0.35">
      <c r="A458" s="2" t="s">
        <v>2473</v>
      </c>
      <c r="B458" s="2" t="s">
        <v>24</v>
      </c>
      <c r="C458" s="2" t="s">
        <v>2475</v>
      </c>
      <c r="D458" s="2" t="s">
        <v>91</v>
      </c>
      <c r="E458" s="2" t="s">
        <v>19</v>
      </c>
      <c r="F458" s="2" t="s">
        <v>20</v>
      </c>
      <c r="G458" s="2" t="s">
        <v>2476</v>
      </c>
      <c r="H458" s="2"/>
      <c r="I458" s="2"/>
    </row>
    <row r="459" spans="1:9" x14ac:dyDescent="0.35">
      <c r="A459" s="2" t="s">
        <v>2473</v>
      </c>
      <c r="B459" s="2" t="s">
        <v>24</v>
      </c>
      <c r="C459" s="2" t="s">
        <v>2475</v>
      </c>
      <c r="D459" s="2" t="s">
        <v>87</v>
      </c>
      <c r="E459" s="2" t="s">
        <v>75</v>
      </c>
      <c r="F459" s="2" t="s">
        <v>20</v>
      </c>
      <c r="G459" s="2" t="s">
        <v>2477</v>
      </c>
      <c r="H459" s="2"/>
      <c r="I459" s="2"/>
    </row>
    <row r="460" spans="1:9" x14ac:dyDescent="0.35">
      <c r="A460" s="2" t="s">
        <v>2473</v>
      </c>
      <c r="B460" s="2" t="s">
        <v>24</v>
      </c>
      <c r="C460" s="2" t="s">
        <v>2475</v>
      </c>
      <c r="D460" s="2" t="s">
        <v>61</v>
      </c>
      <c r="E460" s="2" t="s">
        <v>30</v>
      </c>
      <c r="F460" s="2"/>
      <c r="G460" s="2"/>
      <c r="H460" s="2"/>
      <c r="I460" s="2"/>
    </row>
    <row r="461" spans="1:9" x14ac:dyDescent="0.35">
      <c r="A461" s="2" t="s">
        <v>2473</v>
      </c>
      <c r="B461" s="2" t="s">
        <v>24</v>
      </c>
      <c r="C461" s="2" t="s">
        <v>2478</v>
      </c>
      <c r="D461" s="2" t="s">
        <v>1277</v>
      </c>
      <c r="E461" s="2" t="s">
        <v>36</v>
      </c>
      <c r="F461" s="2"/>
      <c r="G461" s="2"/>
      <c r="H461" s="2"/>
      <c r="I461" s="2"/>
    </row>
    <row r="462" spans="1:9" x14ac:dyDescent="0.35">
      <c r="A462" s="2" t="s">
        <v>2473</v>
      </c>
      <c r="B462" s="2" t="s">
        <v>24</v>
      </c>
      <c r="C462" s="2" t="s">
        <v>2478</v>
      </c>
      <c r="D462" s="2" t="s">
        <v>2479</v>
      </c>
      <c r="E462" s="2" t="s">
        <v>28</v>
      </c>
      <c r="F462" s="2"/>
      <c r="G462" s="2"/>
      <c r="H462" s="2"/>
      <c r="I462" s="2"/>
    </row>
    <row r="463" spans="1:9" x14ac:dyDescent="0.35">
      <c r="A463" s="2" t="s">
        <v>2473</v>
      </c>
      <c r="B463" s="2" t="s">
        <v>24</v>
      </c>
      <c r="C463" s="2" t="s">
        <v>2478</v>
      </c>
      <c r="D463" s="2" t="s">
        <v>121</v>
      </c>
      <c r="E463" s="2" t="s">
        <v>122</v>
      </c>
      <c r="F463" s="2" t="s">
        <v>20</v>
      </c>
      <c r="G463" s="2" t="s">
        <v>2480</v>
      </c>
      <c r="H463" s="2"/>
      <c r="I463" s="2"/>
    </row>
    <row r="464" spans="1:9" x14ac:dyDescent="0.35">
      <c r="A464" s="2" t="s">
        <v>2473</v>
      </c>
      <c r="B464" s="2" t="s">
        <v>24</v>
      </c>
      <c r="C464" s="2" t="s">
        <v>2478</v>
      </c>
      <c r="D464" s="2" t="s">
        <v>87</v>
      </c>
      <c r="E464" s="2" t="s">
        <v>75</v>
      </c>
      <c r="F464" s="2" t="s">
        <v>20</v>
      </c>
      <c r="G464" s="2" t="s">
        <v>2481</v>
      </c>
      <c r="H464" s="2"/>
      <c r="I464" s="2"/>
    </row>
    <row r="465" spans="1:9" x14ac:dyDescent="0.35">
      <c r="A465" s="2" t="s">
        <v>2482</v>
      </c>
      <c r="B465" s="2" t="s">
        <v>54</v>
      </c>
      <c r="C465" s="2" t="s">
        <v>2483</v>
      </c>
      <c r="D465" s="2" t="s">
        <v>91</v>
      </c>
      <c r="E465" s="2" t="s">
        <v>19</v>
      </c>
      <c r="F465" s="2" t="s">
        <v>20</v>
      </c>
      <c r="G465" s="2" t="s">
        <v>2484</v>
      </c>
      <c r="H465" s="2"/>
      <c r="I465" s="2"/>
    </row>
    <row r="466" spans="1:9" x14ac:dyDescent="0.35">
      <c r="A466" s="2" t="s">
        <v>2482</v>
      </c>
      <c r="B466" s="2" t="s">
        <v>54</v>
      </c>
      <c r="C466" s="2" t="s">
        <v>2483</v>
      </c>
      <c r="D466" s="2" t="s">
        <v>61</v>
      </c>
      <c r="E466" s="2" t="s">
        <v>30</v>
      </c>
      <c r="F466" s="2"/>
      <c r="G466" s="2"/>
      <c r="H466" s="2"/>
      <c r="I466" s="2"/>
    </row>
    <row r="467" spans="1:9" x14ac:dyDescent="0.35">
      <c r="A467" s="2" t="s">
        <v>2485</v>
      </c>
      <c r="B467" s="2" t="s">
        <v>54</v>
      </c>
      <c r="C467" s="2" t="s">
        <v>2486</v>
      </c>
      <c r="D467" s="2" t="s">
        <v>144</v>
      </c>
      <c r="E467" s="2" t="s">
        <v>50</v>
      </c>
      <c r="F467" s="2"/>
      <c r="G467" s="2"/>
      <c r="H467" s="2"/>
      <c r="I467" s="2"/>
    </row>
    <row r="468" spans="1:9" x14ac:dyDescent="0.35">
      <c r="A468" s="2" t="s">
        <v>2485</v>
      </c>
      <c r="B468" s="2" t="s">
        <v>54</v>
      </c>
      <c r="C468" s="2" t="s">
        <v>2486</v>
      </c>
      <c r="D468" s="2" t="s">
        <v>35</v>
      </c>
      <c r="E468" s="2" t="s">
        <v>36</v>
      </c>
      <c r="F468" s="2"/>
      <c r="G468" s="2"/>
      <c r="H468" s="2"/>
      <c r="I468" s="2"/>
    </row>
    <row r="469" spans="1:9" x14ac:dyDescent="0.35">
      <c r="A469" s="2" t="s">
        <v>2485</v>
      </c>
      <c r="B469" s="2" t="s">
        <v>54</v>
      </c>
      <c r="C469" s="2" t="s">
        <v>2486</v>
      </c>
      <c r="D469" s="2" t="s">
        <v>18</v>
      </c>
      <c r="E469" s="2" t="s">
        <v>19</v>
      </c>
      <c r="F469" s="2" t="s">
        <v>20</v>
      </c>
      <c r="G469" s="2" t="s">
        <v>2487</v>
      </c>
      <c r="H469" s="2"/>
      <c r="I469" s="2"/>
    </row>
    <row r="470" spans="1:9" x14ac:dyDescent="0.35">
      <c r="A470" s="2" t="s">
        <v>2488</v>
      </c>
      <c r="B470" s="2" t="s">
        <v>57</v>
      </c>
      <c r="C470" s="2" t="s">
        <v>2489</v>
      </c>
      <c r="D470" s="2" t="s">
        <v>27</v>
      </c>
      <c r="E470" s="2" t="s">
        <v>28</v>
      </c>
      <c r="F470" s="2"/>
      <c r="G470" s="2"/>
      <c r="H470" s="2" t="s">
        <v>20</v>
      </c>
      <c r="I470" s="2" t="s">
        <v>759</v>
      </c>
    </row>
    <row r="471" spans="1:9" x14ac:dyDescent="0.35">
      <c r="A471" s="2" t="s">
        <v>2488</v>
      </c>
      <c r="B471" s="2" t="s">
        <v>57</v>
      </c>
      <c r="C471" s="2" t="s">
        <v>2489</v>
      </c>
      <c r="D471" s="2" t="s">
        <v>76</v>
      </c>
      <c r="E471" s="2" t="s">
        <v>75</v>
      </c>
      <c r="F471" s="2" t="s">
        <v>20</v>
      </c>
      <c r="G471" s="2" t="s">
        <v>2438</v>
      </c>
      <c r="H471" s="2" t="s">
        <v>20</v>
      </c>
      <c r="I471" s="2" t="s">
        <v>759</v>
      </c>
    </row>
    <row r="472" spans="1:9" x14ac:dyDescent="0.35">
      <c r="A472" s="2" t="s">
        <v>2488</v>
      </c>
      <c r="B472" s="2" t="s">
        <v>57</v>
      </c>
      <c r="C472" s="2" t="s">
        <v>2489</v>
      </c>
      <c r="D472" s="2" t="s">
        <v>136</v>
      </c>
      <c r="E472" s="2" t="s">
        <v>107</v>
      </c>
      <c r="F472" s="2"/>
      <c r="G472" s="2"/>
      <c r="H472" s="2" t="s">
        <v>20</v>
      </c>
      <c r="I472" s="2" t="s">
        <v>759</v>
      </c>
    </row>
    <row r="473" spans="1:9" x14ac:dyDescent="0.35">
      <c r="A473" s="2" t="s">
        <v>2488</v>
      </c>
      <c r="B473" s="2" t="s">
        <v>57</v>
      </c>
      <c r="C473" s="2" t="s">
        <v>2489</v>
      </c>
      <c r="D473" s="2" t="s">
        <v>35</v>
      </c>
      <c r="E473" s="2" t="s">
        <v>36</v>
      </c>
      <c r="F473" s="2"/>
      <c r="G473" s="2"/>
      <c r="H473" s="2" t="s">
        <v>20</v>
      </c>
      <c r="I473" s="2" t="s">
        <v>759</v>
      </c>
    </row>
    <row r="474" spans="1:9" x14ac:dyDescent="0.35">
      <c r="A474" s="2" t="s">
        <v>2488</v>
      </c>
      <c r="B474" s="2" t="s">
        <v>57</v>
      </c>
      <c r="C474" s="2" t="s">
        <v>2489</v>
      </c>
      <c r="D474" s="2" t="s">
        <v>423</v>
      </c>
      <c r="E474" s="2" t="s">
        <v>424</v>
      </c>
      <c r="F474" s="2" t="s">
        <v>20</v>
      </c>
      <c r="G474" s="2" t="s">
        <v>2490</v>
      </c>
      <c r="H474" s="2" t="s">
        <v>20</v>
      </c>
      <c r="I474" s="2" t="s">
        <v>759</v>
      </c>
    </row>
    <row r="475" spans="1:9" x14ac:dyDescent="0.35">
      <c r="A475" s="2" t="s">
        <v>2488</v>
      </c>
      <c r="B475" s="2" t="s">
        <v>54</v>
      </c>
      <c r="C475" s="2" t="s">
        <v>2491</v>
      </c>
      <c r="D475" s="2" t="s">
        <v>136</v>
      </c>
      <c r="E475" s="2" t="s">
        <v>107</v>
      </c>
      <c r="F475" s="2" t="s">
        <v>20</v>
      </c>
      <c r="G475" s="2" t="s">
        <v>2492</v>
      </c>
      <c r="H475" s="2"/>
      <c r="I475" s="2"/>
    </row>
    <row r="476" spans="1:9" x14ac:dyDescent="0.35">
      <c r="A476" s="2" t="s">
        <v>2488</v>
      </c>
      <c r="B476" s="2" t="s">
        <v>54</v>
      </c>
      <c r="C476" s="2" t="s">
        <v>2491</v>
      </c>
      <c r="D476" s="2" t="s">
        <v>35</v>
      </c>
      <c r="E476" s="2" t="s">
        <v>36</v>
      </c>
      <c r="F476" s="2" t="s">
        <v>20</v>
      </c>
      <c r="G476" s="2" t="s">
        <v>2307</v>
      </c>
      <c r="H476" s="2"/>
      <c r="I476" s="2"/>
    </row>
    <row r="477" spans="1:9" x14ac:dyDescent="0.35">
      <c r="A477" s="2" t="s">
        <v>2493</v>
      </c>
      <c r="B477" s="2" t="s">
        <v>57</v>
      </c>
      <c r="C477" s="2" t="s">
        <v>2494</v>
      </c>
      <c r="D477" s="2" t="s">
        <v>763</v>
      </c>
      <c r="E477" s="2" t="s">
        <v>107</v>
      </c>
      <c r="F477" s="2"/>
      <c r="G477" s="2"/>
      <c r="H477" s="2" t="s">
        <v>20</v>
      </c>
      <c r="I477" s="2" t="s">
        <v>759</v>
      </c>
    </row>
    <row r="478" spans="1:9" x14ac:dyDescent="0.35">
      <c r="A478" s="2" t="s">
        <v>2493</v>
      </c>
      <c r="B478" s="2" t="s">
        <v>57</v>
      </c>
      <c r="C478" s="2" t="s">
        <v>2494</v>
      </c>
      <c r="D478" s="2" t="s">
        <v>74</v>
      </c>
      <c r="E478" s="2" t="s">
        <v>75</v>
      </c>
      <c r="F478" s="2" t="s">
        <v>2279</v>
      </c>
      <c r="G478" s="2" t="s">
        <v>2495</v>
      </c>
      <c r="H478" s="2" t="s">
        <v>20</v>
      </c>
      <c r="I478" s="2" t="s">
        <v>759</v>
      </c>
    </row>
    <row r="479" spans="1:9" x14ac:dyDescent="0.35">
      <c r="A479" s="2" t="s">
        <v>2493</v>
      </c>
      <c r="B479" s="2" t="s">
        <v>57</v>
      </c>
      <c r="C479" s="2" t="s">
        <v>2494</v>
      </c>
      <c r="D479" s="2" t="s">
        <v>27</v>
      </c>
      <c r="E479" s="2" t="s">
        <v>28</v>
      </c>
      <c r="F479" s="2"/>
      <c r="G479" s="2"/>
      <c r="H479" s="2" t="s">
        <v>20</v>
      </c>
      <c r="I479" s="2" t="s">
        <v>759</v>
      </c>
    </row>
    <row r="480" spans="1:9" x14ac:dyDescent="0.35">
      <c r="A480" s="2" t="s">
        <v>2493</v>
      </c>
      <c r="B480" s="2" t="s">
        <v>57</v>
      </c>
      <c r="C480" s="2" t="s">
        <v>2494</v>
      </c>
      <c r="D480" s="2" t="s">
        <v>18</v>
      </c>
      <c r="E480" s="2" t="s">
        <v>19</v>
      </c>
      <c r="F480" s="2" t="s">
        <v>2279</v>
      </c>
      <c r="G480" s="2" t="s">
        <v>2496</v>
      </c>
      <c r="H480" s="2" t="s">
        <v>20</v>
      </c>
      <c r="I480" s="2" t="s">
        <v>759</v>
      </c>
    </row>
    <row r="481" spans="1:9" x14ac:dyDescent="0.35">
      <c r="A481" s="2" t="s">
        <v>2493</v>
      </c>
      <c r="B481" s="2" t="s">
        <v>57</v>
      </c>
      <c r="C481" s="2" t="s">
        <v>2494</v>
      </c>
      <c r="D481" s="2" t="s">
        <v>423</v>
      </c>
      <c r="E481" s="2" t="s">
        <v>424</v>
      </c>
      <c r="F481" s="2" t="s">
        <v>2279</v>
      </c>
      <c r="G481" s="2" t="s">
        <v>2303</v>
      </c>
      <c r="H481" s="2" t="s">
        <v>20</v>
      </c>
      <c r="I481" s="2" t="s">
        <v>759</v>
      </c>
    </row>
    <row r="482" spans="1:9" x14ac:dyDescent="0.35">
      <c r="A482" s="2" t="s">
        <v>2493</v>
      </c>
      <c r="B482" s="2" t="s">
        <v>24</v>
      </c>
      <c r="C482" s="2" t="s">
        <v>2497</v>
      </c>
      <c r="D482" s="2" t="s">
        <v>27</v>
      </c>
      <c r="E482" s="2" t="s">
        <v>28</v>
      </c>
      <c r="F482" s="2" t="s">
        <v>20</v>
      </c>
      <c r="G482" s="2" t="s">
        <v>2498</v>
      </c>
      <c r="H482" s="2" t="s">
        <v>20</v>
      </c>
      <c r="I482" s="2" t="s">
        <v>759</v>
      </c>
    </row>
    <row r="483" spans="1:9" x14ac:dyDescent="0.35">
      <c r="A483" s="2" t="s">
        <v>2493</v>
      </c>
      <c r="B483" s="2" t="s">
        <v>24</v>
      </c>
      <c r="C483" s="2" t="s">
        <v>2497</v>
      </c>
      <c r="D483" s="2" t="s">
        <v>423</v>
      </c>
      <c r="E483" s="2" t="s">
        <v>424</v>
      </c>
      <c r="F483" s="2"/>
      <c r="G483" s="2"/>
      <c r="H483" s="2" t="s">
        <v>20</v>
      </c>
      <c r="I483" s="2" t="s">
        <v>759</v>
      </c>
    </row>
  </sheetData>
  <autoFilter ref="A1:I1" xr:uid="{00000000-0009-0000-0000-000005000000}"/>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00"/>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2500</v>
      </c>
      <c r="B2" s="2" t="s">
        <v>12</v>
      </c>
      <c r="C2" s="2" t="s">
        <v>2501</v>
      </c>
      <c r="D2" s="2" t="s">
        <v>89</v>
      </c>
      <c r="E2" s="2" t="s">
        <v>45</v>
      </c>
      <c r="F2" s="2"/>
      <c r="G2" s="2"/>
      <c r="H2" s="2"/>
      <c r="I2" s="2"/>
    </row>
    <row r="3" spans="1:9" x14ac:dyDescent="0.35">
      <c r="A3" s="2" t="s">
        <v>2500</v>
      </c>
      <c r="B3" s="2" t="s">
        <v>12</v>
      </c>
      <c r="C3" s="2" t="s">
        <v>2501</v>
      </c>
      <c r="D3" s="2" t="s">
        <v>2502</v>
      </c>
      <c r="E3" s="2" t="s">
        <v>65</v>
      </c>
      <c r="F3" s="2"/>
      <c r="G3" s="2"/>
      <c r="H3" s="2"/>
      <c r="I3" s="2"/>
    </row>
    <row r="4" spans="1:9" x14ac:dyDescent="0.35">
      <c r="A4" s="2" t="s">
        <v>2500</v>
      </c>
      <c r="B4" s="2" t="s">
        <v>12</v>
      </c>
      <c r="C4" s="2" t="s">
        <v>2503</v>
      </c>
      <c r="D4" s="2" t="s">
        <v>438</v>
      </c>
      <c r="E4" s="2" t="s">
        <v>19</v>
      </c>
      <c r="F4" s="2" t="s">
        <v>20</v>
      </c>
      <c r="G4" s="2" t="s">
        <v>2504</v>
      </c>
      <c r="H4" s="2"/>
      <c r="I4" s="2"/>
    </row>
    <row r="5" spans="1:9" x14ac:dyDescent="0.35">
      <c r="A5" s="2" t="s">
        <v>2500</v>
      </c>
      <c r="B5" s="2" t="s">
        <v>12</v>
      </c>
      <c r="C5" s="2" t="s">
        <v>2505</v>
      </c>
      <c r="D5" s="2" t="s">
        <v>438</v>
      </c>
      <c r="E5" s="2" t="s">
        <v>19</v>
      </c>
      <c r="F5" s="2" t="s">
        <v>20</v>
      </c>
      <c r="G5" s="2" t="s">
        <v>2506</v>
      </c>
      <c r="H5" s="2"/>
      <c r="I5" s="2"/>
    </row>
    <row r="6" spans="1:9" x14ac:dyDescent="0.35">
      <c r="A6" s="2" t="s">
        <v>2500</v>
      </c>
      <c r="B6" s="2" t="s">
        <v>12</v>
      </c>
      <c r="C6" s="2" t="s">
        <v>2505</v>
      </c>
      <c r="D6" s="2" t="s">
        <v>188</v>
      </c>
      <c r="E6" s="2" t="s">
        <v>189</v>
      </c>
      <c r="F6" s="2"/>
      <c r="G6" s="2"/>
      <c r="H6" s="2"/>
      <c r="I6" s="2"/>
    </row>
    <row r="7" spans="1:9" x14ac:dyDescent="0.35">
      <c r="A7" s="2" t="s">
        <v>2500</v>
      </c>
      <c r="B7" s="2" t="s">
        <v>12</v>
      </c>
      <c r="C7" s="2" t="s">
        <v>2505</v>
      </c>
      <c r="D7" s="2" t="s">
        <v>1982</v>
      </c>
      <c r="E7" s="2" t="s">
        <v>847</v>
      </c>
      <c r="F7" s="2" t="s">
        <v>20</v>
      </c>
      <c r="G7" s="2" t="s">
        <v>2507</v>
      </c>
      <c r="H7" s="2"/>
      <c r="I7" s="2"/>
    </row>
    <row r="8" spans="1:9" x14ac:dyDescent="0.35">
      <c r="A8" s="2" t="s">
        <v>2500</v>
      </c>
      <c r="B8" s="2" t="s">
        <v>12</v>
      </c>
      <c r="C8" s="2" t="s">
        <v>2505</v>
      </c>
      <c r="D8" s="2" t="s">
        <v>790</v>
      </c>
      <c r="E8" s="2" t="s">
        <v>65</v>
      </c>
      <c r="F8" s="2"/>
      <c r="G8" s="2"/>
      <c r="H8" s="2"/>
      <c r="I8" s="2"/>
    </row>
    <row r="9" spans="1:9" x14ac:dyDescent="0.35">
      <c r="A9" s="2" t="s">
        <v>2500</v>
      </c>
      <c r="B9" s="2" t="s">
        <v>24</v>
      </c>
      <c r="C9" s="2" t="s">
        <v>2508</v>
      </c>
      <c r="D9" s="2" t="s">
        <v>438</v>
      </c>
      <c r="E9" s="2" t="s">
        <v>19</v>
      </c>
      <c r="F9" s="2" t="s">
        <v>20</v>
      </c>
      <c r="G9" s="2" t="s">
        <v>2509</v>
      </c>
      <c r="H9" s="2"/>
      <c r="I9" s="2"/>
    </row>
    <row r="10" spans="1:9" x14ac:dyDescent="0.35">
      <c r="A10" s="2" t="s">
        <v>2500</v>
      </c>
      <c r="B10" s="2" t="s">
        <v>24</v>
      </c>
      <c r="C10" s="2" t="s">
        <v>2508</v>
      </c>
      <c r="D10" s="2" t="s">
        <v>89</v>
      </c>
      <c r="E10" s="2" t="s">
        <v>45</v>
      </c>
      <c r="F10" s="2" t="s">
        <v>20</v>
      </c>
      <c r="G10" s="2" t="s">
        <v>2510</v>
      </c>
      <c r="H10" s="2"/>
      <c r="I10" s="2"/>
    </row>
    <row r="11" spans="1:9" x14ac:dyDescent="0.35">
      <c r="A11" s="2" t="s">
        <v>2500</v>
      </c>
      <c r="B11" s="2" t="s">
        <v>24</v>
      </c>
      <c r="C11" s="2" t="s">
        <v>2508</v>
      </c>
      <c r="D11" s="2" t="s">
        <v>1982</v>
      </c>
      <c r="E11" s="2" t="s">
        <v>847</v>
      </c>
      <c r="F11" s="2" t="s">
        <v>20</v>
      </c>
      <c r="G11" s="2" t="s">
        <v>2511</v>
      </c>
      <c r="H11" s="2"/>
      <c r="I11" s="2"/>
    </row>
    <row r="12" spans="1:9" x14ac:dyDescent="0.35">
      <c r="A12" s="2" t="s">
        <v>2500</v>
      </c>
      <c r="B12" s="2" t="s">
        <v>54</v>
      </c>
      <c r="C12" s="2" t="s">
        <v>2512</v>
      </c>
      <c r="D12" s="2" t="s">
        <v>155</v>
      </c>
      <c r="E12" s="2" t="s">
        <v>32</v>
      </c>
      <c r="F12" s="2"/>
      <c r="G12" s="2"/>
      <c r="H12" s="2"/>
      <c r="I12" s="2"/>
    </row>
    <row r="13" spans="1:9" x14ac:dyDescent="0.35">
      <c r="A13" s="2" t="s">
        <v>2500</v>
      </c>
      <c r="B13" s="2" t="s">
        <v>54</v>
      </c>
      <c r="C13" s="2" t="s">
        <v>2512</v>
      </c>
      <c r="D13" s="2" t="s">
        <v>2513</v>
      </c>
      <c r="E13" s="2" t="s">
        <v>36</v>
      </c>
      <c r="F13" s="2"/>
      <c r="G13" s="2"/>
      <c r="H13" s="2"/>
      <c r="I13" s="2"/>
    </row>
    <row r="14" spans="1:9" x14ac:dyDescent="0.35">
      <c r="A14" s="2" t="s">
        <v>2500</v>
      </c>
      <c r="B14" s="2" t="s">
        <v>54</v>
      </c>
      <c r="C14" s="2" t="s">
        <v>2512</v>
      </c>
      <c r="D14" s="2" t="s">
        <v>1758</v>
      </c>
      <c r="E14" s="2" t="s">
        <v>40</v>
      </c>
      <c r="F14" s="2"/>
      <c r="G14" s="2"/>
      <c r="H14" s="2"/>
      <c r="I14" s="2"/>
    </row>
    <row r="15" spans="1:9" x14ac:dyDescent="0.35">
      <c r="A15" s="2" t="s">
        <v>2500</v>
      </c>
      <c r="B15" s="2" t="s">
        <v>54</v>
      </c>
      <c r="C15" s="2" t="s">
        <v>2512</v>
      </c>
      <c r="D15" s="2" t="s">
        <v>61</v>
      </c>
      <c r="E15" s="2" t="s">
        <v>30</v>
      </c>
      <c r="F15" s="2"/>
      <c r="G15" s="2"/>
      <c r="H15" s="2"/>
      <c r="I15" s="2"/>
    </row>
    <row r="16" spans="1:9" x14ac:dyDescent="0.35">
      <c r="A16" s="2" t="s">
        <v>2500</v>
      </c>
      <c r="B16" s="2" t="s">
        <v>54</v>
      </c>
      <c r="C16" s="2" t="s">
        <v>2514</v>
      </c>
      <c r="D16" s="2" t="s">
        <v>1725</v>
      </c>
      <c r="E16" s="2" t="s">
        <v>32</v>
      </c>
      <c r="F16" s="2" t="s">
        <v>20</v>
      </c>
      <c r="G16" s="2" t="s">
        <v>2515</v>
      </c>
      <c r="H16" s="2"/>
      <c r="I16" s="2"/>
    </row>
    <row r="17" spans="1:9" x14ac:dyDescent="0.35">
      <c r="A17" s="2" t="s">
        <v>2500</v>
      </c>
      <c r="B17" s="2" t="s">
        <v>54</v>
      </c>
      <c r="C17" s="2" t="s">
        <v>2514</v>
      </c>
      <c r="D17" s="2" t="s">
        <v>172</v>
      </c>
      <c r="E17" s="2" t="s">
        <v>65</v>
      </c>
      <c r="F17" s="2" t="s">
        <v>20</v>
      </c>
      <c r="G17" s="2" t="s">
        <v>2515</v>
      </c>
      <c r="H17" s="2"/>
      <c r="I17" s="2"/>
    </row>
    <row r="18" spans="1:9" x14ac:dyDescent="0.35">
      <c r="A18" s="2" t="s">
        <v>2500</v>
      </c>
      <c r="B18" s="2" t="s">
        <v>54</v>
      </c>
      <c r="C18" s="2" t="s">
        <v>2514</v>
      </c>
      <c r="D18" s="2" t="s">
        <v>1319</v>
      </c>
      <c r="E18" s="2" t="s">
        <v>363</v>
      </c>
      <c r="F18" s="2" t="s">
        <v>20</v>
      </c>
      <c r="G18" s="2" t="s">
        <v>2515</v>
      </c>
      <c r="H18" s="2"/>
      <c r="I18" s="2"/>
    </row>
    <row r="19" spans="1:9" x14ac:dyDescent="0.35">
      <c r="A19" s="2" t="s">
        <v>2500</v>
      </c>
      <c r="B19" s="2" t="s">
        <v>54</v>
      </c>
      <c r="C19" s="2" t="s">
        <v>2514</v>
      </c>
      <c r="D19" s="2" t="s">
        <v>42</v>
      </c>
      <c r="E19" s="2" t="s">
        <v>43</v>
      </c>
      <c r="F19" s="2" t="s">
        <v>20</v>
      </c>
      <c r="G19" s="2" t="s">
        <v>2515</v>
      </c>
      <c r="H19" s="2"/>
      <c r="I19" s="2"/>
    </row>
    <row r="20" spans="1:9" x14ac:dyDescent="0.35">
      <c r="A20" s="2" t="s">
        <v>2500</v>
      </c>
      <c r="B20" s="2" t="s">
        <v>12</v>
      </c>
      <c r="C20" s="2" t="s">
        <v>2516</v>
      </c>
      <c r="D20" s="2" t="s">
        <v>2502</v>
      </c>
      <c r="E20" s="2" t="s">
        <v>65</v>
      </c>
      <c r="F20" s="2"/>
      <c r="G20" s="2"/>
      <c r="H20" s="2"/>
      <c r="I20" s="2"/>
    </row>
    <row r="21" spans="1:9" x14ac:dyDescent="0.35">
      <c r="A21" s="2" t="s">
        <v>2500</v>
      </c>
      <c r="B21" s="2" t="s">
        <v>436</v>
      </c>
      <c r="C21" s="2" t="s">
        <v>2517</v>
      </c>
      <c r="D21" s="2" t="s">
        <v>485</v>
      </c>
      <c r="E21" s="2" t="s">
        <v>15</v>
      </c>
      <c r="F21" s="2"/>
      <c r="G21" s="2"/>
      <c r="H21" s="2"/>
      <c r="I21" s="2"/>
    </row>
    <row r="22" spans="1:9" x14ac:dyDescent="0.35">
      <c r="A22" s="2" t="s">
        <v>2500</v>
      </c>
      <c r="B22" s="2" t="s">
        <v>436</v>
      </c>
      <c r="C22" s="2" t="s">
        <v>2517</v>
      </c>
      <c r="D22" s="2" t="s">
        <v>31</v>
      </c>
      <c r="E22" s="2" t="s">
        <v>32</v>
      </c>
      <c r="F22" s="2"/>
      <c r="G22" s="2"/>
      <c r="H22" s="2"/>
      <c r="I22" s="2"/>
    </row>
    <row r="23" spans="1:9" x14ac:dyDescent="0.35">
      <c r="A23" s="2" t="s">
        <v>2500</v>
      </c>
      <c r="B23" s="2" t="s">
        <v>436</v>
      </c>
      <c r="C23" s="2" t="s">
        <v>2517</v>
      </c>
      <c r="D23" s="2" t="s">
        <v>438</v>
      </c>
      <c r="E23" s="2" t="s">
        <v>19</v>
      </c>
      <c r="F23" s="2" t="s">
        <v>20</v>
      </c>
      <c r="G23" s="2" t="s">
        <v>2518</v>
      </c>
      <c r="H23" s="2"/>
      <c r="I23" s="2"/>
    </row>
    <row r="24" spans="1:9" x14ac:dyDescent="0.35">
      <c r="A24" s="2" t="s">
        <v>2500</v>
      </c>
      <c r="B24" s="2" t="s">
        <v>436</v>
      </c>
      <c r="C24" s="2" t="s">
        <v>2517</v>
      </c>
      <c r="D24" s="2" t="s">
        <v>61</v>
      </c>
      <c r="E24" s="2" t="s">
        <v>30</v>
      </c>
      <c r="F24" s="2"/>
      <c r="G24" s="2"/>
      <c r="H24" s="2"/>
      <c r="I24" s="2"/>
    </row>
    <row r="25" spans="1:9" x14ac:dyDescent="0.35">
      <c r="A25" s="2" t="s">
        <v>2500</v>
      </c>
      <c r="B25" s="2" t="s">
        <v>436</v>
      </c>
      <c r="C25" s="2" t="s">
        <v>2517</v>
      </c>
      <c r="D25" s="2" t="s">
        <v>2502</v>
      </c>
      <c r="E25" s="2" t="s">
        <v>65</v>
      </c>
      <c r="F25" s="2"/>
      <c r="G25" s="2"/>
      <c r="H25" s="2"/>
      <c r="I25" s="2"/>
    </row>
    <row r="26" spans="1:9" x14ac:dyDescent="0.35">
      <c r="A26" s="2" t="s">
        <v>2500</v>
      </c>
      <c r="B26" s="2" t="s">
        <v>12</v>
      </c>
      <c r="C26" s="2" t="s">
        <v>2519</v>
      </c>
      <c r="D26" s="2" t="s">
        <v>74</v>
      </c>
      <c r="E26" s="2" t="s">
        <v>75</v>
      </c>
      <c r="F26" s="2" t="s">
        <v>20</v>
      </c>
      <c r="G26" s="2" t="s">
        <v>2520</v>
      </c>
      <c r="H26" s="2"/>
      <c r="I26" s="2"/>
    </row>
    <row r="27" spans="1:9" x14ac:dyDescent="0.35">
      <c r="A27" s="2" t="s">
        <v>2500</v>
      </c>
      <c r="B27" s="2" t="s">
        <v>12</v>
      </c>
      <c r="C27" s="2" t="s">
        <v>2519</v>
      </c>
      <c r="D27" s="2" t="s">
        <v>1779</v>
      </c>
      <c r="E27" s="2" t="s">
        <v>40</v>
      </c>
      <c r="F27" s="2"/>
      <c r="G27" s="2"/>
      <c r="H27" s="2"/>
      <c r="I27" s="2"/>
    </row>
    <row r="28" spans="1:9" x14ac:dyDescent="0.35">
      <c r="A28" s="2" t="s">
        <v>2500</v>
      </c>
      <c r="B28" s="2" t="s">
        <v>12</v>
      </c>
      <c r="C28" s="2" t="s">
        <v>2519</v>
      </c>
      <c r="D28" s="2" t="s">
        <v>121</v>
      </c>
      <c r="E28" s="2" t="s">
        <v>122</v>
      </c>
      <c r="F28" s="2"/>
      <c r="G28" s="2"/>
      <c r="H28" s="2"/>
      <c r="I28" s="2"/>
    </row>
    <row r="29" spans="1:9" x14ac:dyDescent="0.35">
      <c r="A29" s="2" t="s">
        <v>2500</v>
      </c>
      <c r="B29" s="2" t="s">
        <v>12</v>
      </c>
      <c r="C29" s="2" t="s">
        <v>2519</v>
      </c>
      <c r="D29" s="2" t="s">
        <v>2502</v>
      </c>
      <c r="E29" s="2" t="s">
        <v>65</v>
      </c>
      <c r="F29" s="2"/>
      <c r="G29" s="2"/>
      <c r="H29" s="2"/>
      <c r="I29" s="2"/>
    </row>
    <row r="30" spans="1:9" x14ac:dyDescent="0.35">
      <c r="A30" s="2" t="s">
        <v>2500</v>
      </c>
      <c r="B30" s="2" t="s">
        <v>24</v>
      </c>
      <c r="C30" s="2" t="s">
        <v>2521</v>
      </c>
      <c r="D30" s="2" t="s">
        <v>438</v>
      </c>
      <c r="E30" s="2" t="s">
        <v>19</v>
      </c>
      <c r="F30" s="2" t="s">
        <v>20</v>
      </c>
      <c r="G30" s="2" t="s">
        <v>2522</v>
      </c>
      <c r="H30" s="2"/>
      <c r="I30" s="2"/>
    </row>
    <row r="31" spans="1:9" x14ac:dyDescent="0.35">
      <c r="A31" s="2" t="s">
        <v>2500</v>
      </c>
      <c r="B31" s="2" t="s">
        <v>24</v>
      </c>
      <c r="C31" s="2" t="s">
        <v>2521</v>
      </c>
      <c r="D31" s="2" t="s">
        <v>87</v>
      </c>
      <c r="E31" s="2" t="s">
        <v>75</v>
      </c>
      <c r="F31" s="2" t="s">
        <v>20</v>
      </c>
      <c r="G31" s="2" t="s">
        <v>2523</v>
      </c>
      <c r="H31" s="2"/>
      <c r="I31" s="2"/>
    </row>
    <row r="32" spans="1:9" x14ac:dyDescent="0.35">
      <c r="A32" s="2" t="s">
        <v>2500</v>
      </c>
      <c r="B32" s="2" t="s">
        <v>54</v>
      </c>
      <c r="C32" s="2" t="s">
        <v>2524</v>
      </c>
      <c r="D32" s="2" t="s">
        <v>1267</v>
      </c>
      <c r="E32" s="2" t="s">
        <v>32</v>
      </c>
      <c r="F32" s="2"/>
      <c r="G32" s="2"/>
      <c r="H32" s="2"/>
      <c r="I32" s="2"/>
    </row>
    <row r="33" spans="1:9" x14ac:dyDescent="0.35">
      <c r="A33" s="2" t="s">
        <v>2500</v>
      </c>
      <c r="B33" s="2" t="s">
        <v>54</v>
      </c>
      <c r="C33" s="2" t="s">
        <v>2524</v>
      </c>
      <c r="D33" s="2" t="s">
        <v>438</v>
      </c>
      <c r="E33" s="2" t="s">
        <v>19</v>
      </c>
      <c r="F33" s="2" t="s">
        <v>20</v>
      </c>
      <c r="G33" s="2" t="s">
        <v>2525</v>
      </c>
      <c r="H33" s="2"/>
      <c r="I33" s="2"/>
    </row>
    <row r="34" spans="1:9" x14ac:dyDescent="0.35">
      <c r="A34" s="2" t="s">
        <v>2500</v>
      </c>
      <c r="B34" s="2" t="s">
        <v>54</v>
      </c>
      <c r="C34" s="2" t="s">
        <v>2526</v>
      </c>
      <c r="D34" s="2" t="s">
        <v>14</v>
      </c>
      <c r="E34" s="2" t="s">
        <v>15</v>
      </c>
      <c r="F34" s="2"/>
      <c r="G34" s="2"/>
      <c r="H34" s="2"/>
      <c r="I34" s="2"/>
    </row>
    <row r="35" spans="1:9" x14ac:dyDescent="0.35">
      <c r="A35" s="2" t="s">
        <v>2500</v>
      </c>
      <c r="B35" s="2" t="s">
        <v>54</v>
      </c>
      <c r="C35" s="2" t="s">
        <v>2526</v>
      </c>
      <c r="D35" s="2" t="s">
        <v>31</v>
      </c>
      <c r="E35" s="2" t="s">
        <v>32</v>
      </c>
      <c r="F35" s="2"/>
      <c r="G35" s="2"/>
      <c r="H35" s="2"/>
      <c r="I35" s="2"/>
    </row>
    <row r="36" spans="1:9" x14ac:dyDescent="0.35">
      <c r="A36" s="2" t="s">
        <v>2500</v>
      </c>
      <c r="B36" s="2" t="s">
        <v>54</v>
      </c>
      <c r="C36" s="2" t="s">
        <v>2526</v>
      </c>
      <c r="D36" s="2" t="s">
        <v>438</v>
      </c>
      <c r="E36" s="2" t="s">
        <v>19</v>
      </c>
      <c r="F36" s="2" t="s">
        <v>20</v>
      </c>
      <c r="G36" s="2" t="s">
        <v>2527</v>
      </c>
      <c r="H36" s="2"/>
      <c r="I36" s="2"/>
    </row>
    <row r="37" spans="1:9" x14ac:dyDescent="0.35">
      <c r="A37" s="2" t="s">
        <v>2500</v>
      </c>
      <c r="B37" s="2" t="s">
        <v>54</v>
      </c>
      <c r="C37" s="2" t="s">
        <v>2526</v>
      </c>
      <c r="D37" s="2" t="s">
        <v>89</v>
      </c>
      <c r="E37" s="2" t="s">
        <v>45</v>
      </c>
      <c r="F37" s="2" t="s">
        <v>20</v>
      </c>
      <c r="G37" s="2" t="s">
        <v>2510</v>
      </c>
      <c r="H37" s="2"/>
      <c r="I37" s="2"/>
    </row>
    <row r="38" spans="1:9" x14ac:dyDescent="0.35">
      <c r="A38" s="2" t="s">
        <v>2500</v>
      </c>
      <c r="B38" s="2" t="s">
        <v>54</v>
      </c>
      <c r="C38" s="2" t="s">
        <v>2526</v>
      </c>
      <c r="D38" s="2" t="s">
        <v>100</v>
      </c>
      <c r="E38" s="2" t="s">
        <v>101</v>
      </c>
      <c r="F38" s="2"/>
      <c r="G38" s="2"/>
      <c r="H38" s="2"/>
      <c r="I38" s="2"/>
    </row>
    <row r="39" spans="1:9" x14ac:dyDescent="0.35">
      <c r="A39" s="2" t="s">
        <v>2500</v>
      </c>
      <c r="B39" s="2" t="s">
        <v>54</v>
      </c>
      <c r="C39" s="2" t="s">
        <v>2526</v>
      </c>
      <c r="D39" s="2" t="s">
        <v>188</v>
      </c>
      <c r="E39" s="2" t="s">
        <v>189</v>
      </c>
      <c r="F39" s="2" t="s">
        <v>20</v>
      </c>
      <c r="G39" s="2" t="s">
        <v>2528</v>
      </c>
      <c r="H39" s="2"/>
      <c r="I39" s="2"/>
    </row>
    <row r="40" spans="1:9" x14ac:dyDescent="0.35">
      <c r="A40" s="2" t="s">
        <v>2500</v>
      </c>
      <c r="B40" s="2" t="s">
        <v>12</v>
      </c>
      <c r="C40" s="2" t="s">
        <v>2529</v>
      </c>
      <c r="D40" s="2" t="s">
        <v>438</v>
      </c>
      <c r="E40" s="2" t="s">
        <v>19</v>
      </c>
      <c r="F40" s="2" t="s">
        <v>20</v>
      </c>
      <c r="G40" s="2" t="s">
        <v>2530</v>
      </c>
      <c r="H40" s="2"/>
      <c r="I40" s="2"/>
    </row>
    <row r="41" spans="1:9" x14ac:dyDescent="0.35">
      <c r="A41" s="2" t="s">
        <v>2500</v>
      </c>
      <c r="B41" s="2" t="s">
        <v>12</v>
      </c>
      <c r="C41" s="2" t="s">
        <v>2529</v>
      </c>
      <c r="D41" s="2" t="s">
        <v>1283</v>
      </c>
      <c r="E41" s="2" t="s">
        <v>65</v>
      </c>
      <c r="F41" s="2"/>
      <c r="G41" s="2"/>
      <c r="H41" s="2"/>
      <c r="I41" s="2"/>
    </row>
    <row r="42" spans="1:9" x14ac:dyDescent="0.35">
      <c r="A42" s="2" t="s">
        <v>2500</v>
      </c>
      <c r="B42" s="2" t="s">
        <v>12</v>
      </c>
      <c r="C42" s="2" t="s">
        <v>2531</v>
      </c>
      <c r="D42" s="2" t="s">
        <v>120</v>
      </c>
      <c r="E42" s="2" t="s">
        <v>32</v>
      </c>
      <c r="F42" s="2"/>
      <c r="G42" s="2"/>
      <c r="H42" s="2"/>
      <c r="I42" s="2"/>
    </row>
    <row r="43" spans="1:9" x14ac:dyDescent="0.35">
      <c r="A43" s="2" t="s">
        <v>2500</v>
      </c>
      <c r="B43" s="2" t="s">
        <v>12</v>
      </c>
      <c r="C43" s="2" t="s">
        <v>2531</v>
      </c>
      <c r="D43" s="2" t="s">
        <v>469</v>
      </c>
      <c r="E43" s="2" t="s">
        <v>40</v>
      </c>
      <c r="F43" s="2"/>
      <c r="G43" s="2"/>
      <c r="H43" s="2"/>
      <c r="I43" s="2"/>
    </row>
    <row r="44" spans="1:9" x14ac:dyDescent="0.35">
      <c r="A44" s="2" t="s">
        <v>2500</v>
      </c>
      <c r="B44" s="2" t="s">
        <v>12</v>
      </c>
      <c r="C44" s="2" t="s">
        <v>2531</v>
      </c>
      <c r="D44" s="2" t="s">
        <v>1283</v>
      </c>
      <c r="E44" s="2" t="s">
        <v>65</v>
      </c>
      <c r="F44" s="2"/>
      <c r="G44" s="2"/>
      <c r="H44" s="2"/>
      <c r="I44" s="2"/>
    </row>
    <row r="45" spans="1:9" x14ac:dyDescent="0.35">
      <c r="A45" s="2" t="s">
        <v>2500</v>
      </c>
      <c r="B45" s="2" t="s">
        <v>12</v>
      </c>
      <c r="C45" s="2" t="s">
        <v>2532</v>
      </c>
      <c r="D45" s="2" t="s">
        <v>485</v>
      </c>
      <c r="E45" s="2" t="s">
        <v>15</v>
      </c>
      <c r="F45" s="2"/>
      <c r="G45" s="2"/>
      <c r="H45" s="2"/>
      <c r="I45" s="2"/>
    </row>
    <row r="46" spans="1:9" x14ac:dyDescent="0.35">
      <c r="A46" s="2" t="s">
        <v>2500</v>
      </c>
      <c r="B46" s="2" t="s">
        <v>12</v>
      </c>
      <c r="C46" s="2" t="s">
        <v>2532</v>
      </c>
      <c r="D46" s="2" t="s">
        <v>438</v>
      </c>
      <c r="E46" s="2" t="s">
        <v>19</v>
      </c>
      <c r="F46" s="2" t="s">
        <v>20</v>
      </c>
      <c r="G46" s="2" t="s">
        <v>1378</v>
      </c>
      <c r="H46" s="2"/>
      <c r="I46" s="2"/>
    </row>
    <row r="47" spans="1:9" x14ac:dyDescent="0.35">
      <c r="A47" s="2" t="s">
        <v>2500</v>
      </c>
      <c r="B47" s="2" t="s">
        <v>12</v>
      </c>
      <c r="C47" s="2" t="s">
        <v>2532</v>
      </c>
      <c r="D47" s="2" t="s">
        <v>188</v>
      </c>
      <c r="E47" s="2" t="s">
        <v>189</v>
      </c>
      <c r="F47" s="2" t="s">
        <v>20</v>
      </c>
      <c r="G47" s="2" t="s">
        <v>2533</v>
      </c>
      <c r="H47" s="2"/>
      <c r="I47" s="2"/>
    </row>
    <row r="48" spans="1:9" x14ac:dyDescent="0.35">
      <c r="A48" s="2" t="s">
        <v>2500</v>
      </c>
      <c r="B48" s="2" t="s">
        <v>12</v>
      </c>
      <c r="C48" s="2" t="s">
        <v>2532</v>
      </c>
      <c r="D48" s="2" t="s">
        <v>1283</v>
      </c>
      <c r="E48" s="2" t="s">
        <v>65</v>
      </c>
      <c r="F48" s="2"/>
      <c r="G48" s="2"/>
      <c r="H48" s="2"/>
      <c r="I48" s="2"/>
    </row>
    <row r="49" spans="1:9" x14ac:dyDescent="0.35">
      <c r="A49" s="2" t="s">
        <v>2500</v>
      </c>
      <c r="B49" s="2" t="s">
        <v>24</v>
      </c>
      <c r="C49" s="2" t="s">
        <v>2534</v>
      </c>
      <c r="D49" s="2" t="s">
        <v>196</v>
      </c>
      <c r="E49" s="2" t="s">
        <v>197</v>
      </c>
      <c r="F49" s="2"/>
      <c r="G49" s="2"/>
      <c r="H49" s="2"/>
      <c r="I49" s="2"/>
    </row>
    <row r="50" spans="1:9" x14ac:dyDescent="0.35">
      <c r="A50" s="2" t="s">
        <v>2500</v>
      </c>
      <c r="B50" s="2" t="s">
        <v>24</v>
      </c>
      <c r="C50" s="2" t="s">
        <v>2534</v>
      </c>
      <c r="D50" s="2" t="s">
        <v>14</v>
      </c>
      <c r="E50" s="2" t="s">
        <v>15</v>
      </c>
      <c r="F50" s="2"/>
      <c r="G50" s="2"/>
      <c r="H50" s="2"/>
      <c r="I50" s="2"/>
    </row>
    <row r="51" spans="1:9" x14ac:dyDescent="0.35">
      <c r="A51" s="2" t="s">
        <v>2500</v>
      </c>
      <c r="B51" s="2" t="s">
        <v>24</v>
      </c>
      <c r="C51" s="2" t="s">
        <v>2534</v>
      </c>
      <c r="D51" s="2" t="s">
        <v>31</v>
      </c>
      <c r="E51" s="2" t="s">
        <v>32</v>
      </c>
      <c r="F51" s="2"/>
      <c r="G51" s="2"/>
      <c r="H51" s="2"/>
      <c r="I51" s="2"/>
    </row>
    <row r="52" spans="1:9" x14ac:dyDescent="0.35">
      <c r="A52" s="2" t="s">
        <v>2500</v>
      </c>
      <c r="B52" s="2" t="s">
        <v>24</v>
      </c>
      <c r="C52" s="2" t="s">
        <v>2534</v>
      </c>
      <c r="D52" s="2" t="s">
        <v>200</v>
      </c>
      <c r="E52" s="2" t="s">
        <v>201</v>
      </c>
      <c r="F52" s="2"/>
      <c r="G52" s="2"/>
      <c r="H52" s="2"/>
      <c r="I52" s="2"/>
    </row>
    <row r="53" spans="1:9" x14ac:dyDescent="0.35">
      <c r="A53" s="2" t="s">
        <v>2500</v>
      </c>
      <c r="B53" s="2" t="s">
        <v>24</v>
      </c>
      <c r="C53" s="2" t="s">
        <v>2534</v>
      </c>
      <c r="D53" s="2" t="s">
        <v>1215</v>
      </c>
      <c r="E53" s="2" t="s">
        <v>1216</v>
      </c>
      <c r="F53" s="2"/>
      <c r="G53" s="2"/>
      <c r="H53" s="2"/>
      <c r="I53" s="2"/>
    </row>
    <row r="54" spans="1:9" x14ac:dyDescent="0.35">
      <c r="A54" s="2" t="s">
        <v>2500</v>
      </c>
      <c r="B54" s="2" t="s">
        <v>24</v>
      </c>
      <c r="C54" s="2" t="s">
        <v>2534</v>
      </c>
      <c r="D54" s="2" t="s">
        <v>2535</v>
      </c>
      <c r="E54" s="2" t="s">
        <v>83</v>
      </c>
      <c r="F54" s="2"/>
      <c r="G54" s="2"/>
      <c r="H54" s="2"/>
      <c r="I54" s="2"/>
    </row>
    <row r="55" spans="1:9" x14ac:dyDescent="0.35">
      <c r="A55" s="2" t="s">
        <v>2500</v>
      </c>
      <c r="B55" s="2" t="s">
        <v>24</v>
      </c>
      <c r="C55" s="2" t="s">
        <v>2534</v>
      </c>
      <c r="D55" s="2" t="s">
        <v>2091</v>
      </c>
      <c r="E55" s="2" t="s">
        <v>38</v>
      </c>
      <c r="F55" s="2"/>
      <c r="G55" s="2"/>
      <c r="H55" s="2"/>
      <c r="I55" s="2"/>
    </row>
    <row r="56" spans="1:9" x14ac:dyDescent="0.35">
      <c r="A56" s="2" t="s">
        <v>2500</v>
      </c>
      <c r="B56" s="2" t="s">
        <v>24</v>
      </c>
      <c r="C56" s="2" t="s">
        <v>2534</v>
      </c>
      <c r="D56" s="2" t="s">
        <v>2536</v>
      </c>
      <c r="E56" s="2" t="s">
        <v>45</v>
      </c>
      <c r="F56" s="2"/>
      <c r="G56" s="2"/>
      <c r="H56" s="2"/>
      <c r="I56" s="2"/>
    </row>
    <row r="57" spans="1:9" x14ac:dyDescent="0.35">
      <c r="A57" s="2" t="s">
        <v>2500</v>
      </c>
      <c r="B57" s="2" t="s">
        <v>24</v>
      </c>
      <c r="C57" s="2" t="s">
        <v>2534</v>
      </c>
      <c r="D57" s="2" t="s">
        <v>2537</v>
      </c>
      <c r="E57" s="2" t="s">
        <v>45</v>
      </c>
      <c r="F57" s="2"/>
      <c r="G57" s="2"/>
      <c r="H57" s="2"/>
      <c r="I57" s="2"/>
    </row>
    <row r="58" spans="1:9" x14ac:dyDescent="0.35">
      <c r="A58" s="2" t="s">
        <v>2500</v>
      </c>
      <c r="B58" s="2" t="s">
        <v>24</v>
      </c>
      <c r="C58" s="2" t="s">
        <v>2534</v>
      </c>
      <c r="D58" s="2" t="s">
        <v>2538</v>
      </c>
      <c r="E58" s="2" t="s">
        <v>45</v>
      </c>
      <c r="F58" s="2"/>
      <c r="G58" s="2"/>
      <c r="H58" s="2"/>
      <c r="I58" s="2"/>
    </row>
    <row r="59" spans="1:9" x14ac:dyDescent="0.35">
      <c r="A59" s="2" t="s">
        <v>2500</v>
      </c>
      <c r="B59" s="2" t="s">
        <v>24</v>
      </c>
      <c r="C59" s="2" t="s">
        <v>2534</v>
      </c>
      <c r="D59" s="2" t="s">
        <v>438</v>
      </c>
      <c r="E59" s="2" t="s">
        <v>19</v>
      </c>
      <c r="F59" s="2" t="s">
        <v>20</v>
      </c>
      <c r="G59" s="2" t="s">
        <v>2539</v>
      </c>
      <c r="H59" s="2"/>
      <c r="I59" s="2"/>
    </row>
    <row r="60" spans="1:9" x14ac:dyDescent="0.35">
      <c r="A60" s="2" t="s">
        <v>2500</v>
      </c>
      <c r="B60" s="2" t="s">
        <v>24</v>
      </c>
      <c r="C60" s="2" t="s">
        <v>2534</v>
      </c>
      <c r="D60" s="2" t="s">
        <v>77</v>
      </c>
      <c r="E60" s="2" t="s">
        <v>78</v>
      </c>
      <c r="F60" s="2"/>
      <c r="G60" s="2"/>
      <c r="H60" s="2"/>
      <c r="I60" s="2"/>
    </row>
    <row r="61" spans="1:9" x14ac:dyDescent="0.35">
      <c r="A61" s="2" t="s">
        <v>2500</v>
      </c>
      <c r="B61" s="2" t="s">
        <v>24</v>
      </c>
      <c r="C61" s="2" t="s">
        <v>2534</v>
      </c>
      <c r="D61" s="2" t="s">
        <v>2540</v>
      </c>
      <c r="E61" s="2" t="s">
        <v>122</v>
      </c>
      <c r="F61" s="2"/>
      <c r="G61" s="2"/>
      <c r="H61" s="2"/>
      <c r="I61" s="2"/>
    </row>
    <row r="62" spans="1:9" x14ac:dyDescent="0.35">
      <c r="A62" s="2" t="s">
        <v>2500</v>
      </c>
      <c r="B62" s="2" t="s">
        <v>24</v>
      </c>
      <c r="C62" s="2" t="s">
        <v>2534</v>
      </c>
      <c r="D62" s="2" t="s">
        <v>89</v>
      </c>
      <c r="E62" s="2" t="s">
        <v>45</v>
      </c>
      <c r="F62" s="2" t="s">
        <v>20</v>
      </c>
      <c r="G62" s="2" t="s">
        <v>2541</v>
      </c>
      <c r="H62" s="2"/>
      <c r="I62" s="2"/>
    </row>
    <row r="63" spans="1:9" x14ac:dyDescent="0.35">
      <c r="A63" s="2" t="s">
        <v>2500</v>
      </c>
      <c r="B63" s="2" t="s">
        <v>24</v>
      </c>
      <c r="C63" s="2" t="s">
        <v>2534</v>
      </c>
      <c r="D63" s="2" t="s">
        <v>2542</v>
      </c>
      <c r="E63" s="2" t="s">
        <v>228</v>
      </c>
      <c r="F63" s="2"/>
      <c r="G63" s="2"/>
      <c r="H63" s="2"/>
      <c r="I63" s="2"/>
    </row>
    <row r="64" spans="1:9" x14ac:dyDescent="0.35">
      <c r="A64" s="2" t="s">
        <v>2500</v>
      </c>
      <c r="B64" s="2" t="s">
        <v>24</v>
      </c>
      <c r="C64" s="2" t="s">
        <v>2534</v>
      </c>
      <c r="D64" s="2" t="s">
        <v>100</v>
      </c>
      <c r="E64" s="2" t="s">
        <v>101</v>
      </c>
      <c r="F64" s="2"/>
      <c r="G64" s="2"/>
      <c r="H64" s="2"/>
      <c r="I64" s="2"/>
    </row>
    <row r="65" spans="1:9" x14ac:dyDescent="0.35">
      <c r="A65" s="2" t="s">
        <v>2500</v>
      </c>
      <c r="B65" s="2" t="s">
        <v>24</v>
      </c>
      <c r="C65" s="2" t="s">
        <v>2534</v>
      </c>
      <c r="D65" s="2" t="s">
        <v>2543</v>
      </c>
      <c r="E65" s="2" t="s">
        <v>40</v>
      </c>
      <c r="F65" s="2"/>
      <c r="G65" s="2"/>
      <c r="H65" s="2"/>
      <c r="I65" s="2"/>
    </row>
    <row r="66" spans="1:9" x14ac:dyDescent="0.35">
      <c r="A66" s="2" t="s">
        <v>2500</v>
      </c>
      <c r="B66" s="2" t="s">
        <v>24</v>
      </c>
      <c r="C66" s="2" t="s">
        <v>2534</v>
      </c>
      <c r="D66" s="2" t="s">
        <v>1041</v>
      </c>
      <c r="E66" s="2" t="s">
        <v>65</v>
      </c>
      <c r="F66" s="2"/>
      <c r="G66" s="2"/>
      <c r="H66" s="2"/>
      <c r="I66" s="2"/>
    </row>
    <row r="67" spans="1:9" x14ac:dyDescent="0.35">
      <c r="A67" s="2" t="s">
        <v>2500</v>
      </c>
      <c r="B67" s="2" t="s">
        <v>24</v>
      </c>
      <c r="C67" s="2" t="s">
        <v>2534</v>
      </c>
      <c r="D67" s="2" t="s">
        <v>1982</v>
      </c>
      <c r="E67" s="2" t="s">
        <v>847</v>
      </c>
      <c r="F67" s="2"/>
      <c r="G67" s="2"/>
      <c r="H67" s="2"/>
      <c r="I67" s="2"/>
    </row>
    <row r="68" spans="1:9" x14ac:dyDescent="0.35">
      <c r="A68" s="2" t="s">
        <v>2500</v>
      </c>
      <c r="B68" s="2" t="s">
        <v>12</v>
      </c>
      <c r="C68" s="2" t="s">
        <v>2544</v>
      </c>
      <c r="D68" s="2" t="s">
        <v>14</v>
      </c>
      <c r="E68" s="2" t="s">
        <v>15</v>
      </c>
      <c r="F68" s="2"/>
      <c r="G68" s="2"/>
      <c r="H68" s="2"/>
      <c r="I68" s="2"/>
    </row>
    <row r="69" spans="1:9" x14ac:dyDescent="0.35">
      <c r="A69" s="2" t="s">
        <v>2500</v>
      </c>
      <c r="B69" s="2" t="s">
        <v>12</v>
      </c>
      <c r="C69" s="2" t="s">
        <v>2544</v>
      </c>
      <c r="D69" s="2" t="s">
        <v>156</v>
      </c>
      <c r="E69" s="2" t="s">
        <v>45</v>
      </c>
      <c r="F69" s="2" t="s">
        <v>20</v>
      </c>
      <c r="G69" s="2" t="s">
        <v>2545</v>
      </c>
      <c r="H69" s="2"/>
      <c r="I69" s="2"/>
    </row>
    <row r="70" spans="1:9" x14ac:dyDescent="0.35">
      <c r="A70" s="2" t="s">
        <v>2500</v>
      </c>
      <c r="B70" s="2" t="s">
        <v>12</v>
      </c>
      <c r="C70" s="2" t="s">
        <v>2544</v>
      </c>
      <c r="D70" s="2" t="s">
        <v>1283</v>
      </c>
      <c r="E70" s="2" t="s">
        <v>65</v>
      </c>
      <c r="F70" s="2"/>
      <c r="G70" s="2"/>
      <c r="H70" s="2"/>
      <c r="I70" s="2"/>
    </row>
    <row r="71" spans="1:9" x14ac:dyDescent="0.35">
      <c r="A71" s="2" t="s">
        <v>2500</v>
      </c>
      <c r="B71" s="2" t="s">
        <v>62</v>
      </c>
      <c r="C71" s="2" t="s">
        <v>2546</v>
      </c>
      <c r="D71" s="2" t="s">
        <v>246</v>
      </c>
      <c r="E71" s="2" t="s">
        <v>107</v>
      </c>
      <c r="F71" s="2"/>
      <c r="G71" s="2"/>
      <c r="H71" s="2"/>
      <c r="I71" s="2"/>
    </row>
    <row r="72" spans="1:9" x14ac:dyDescent="0.35">
      <c r="A72" s="2" t="s">
        <v>2500</v>
      </c>
      <c r="B72" s="2" t="s">
        <v>62</v>
      </c>
      <c r="C72" s="2" t="s">
        <v>2546</v>
      </c>
      <c r="D72" s="2" t="s">
        <v>14</v>
      </c>
      <c r="E72" s="2" t="s">
        <v>15</v>
      </c>
      <c r="F72" s="2"/>
      <c r="G72" s="2"/>
      <c r="H72" s="2"/>
      <c r="I72" s="2"/>
    </row>
    <row r="73" spans="1:9" x14ac:dyDescent="0.35">
      <c r="A73" s="2" t="s">
        <v>2500</v>
      </c>
      <c r="B73" s="2" t="s">
        <v>62</v>
      </c>
      <c r="C73" s="2" t="s">
        <v>2546</v>
      </c>
      <c r="D73" s="2" t="s">
        <v>27</v>
      </c>
      <c r="E73" s="2" t="s">
        <v>28</v>
      </c>
      <c r="F73" s="2"/>
      <c r="G73" s="2"/>
      <c r="H73" s="2"/>
      <c r="I73" s="2"/>
    </row>
    <row r="74" spans="1:9" x14ac:dyDescent="0.35">
      <c r="A74" s="2" t="s">
        <v>2500</v>
      </c>
      <c r="B74" s="2" t="s">
        <v>62</v>
      </c>
      <c r="C74" s="2" t="s">
        <v>2546</v>
      </c>
      <c r="D74" s="2" t="s">
        <v>2547</v>
      </c>
      <c r="E74" s="2" t="s">
        <v>78</v>
      </c>
      <c r="F74" s="2"/>
      <c r="G74" s="2"/>
      <c r="H74" s="2"/>
      <c r="I74" s="2"/>
    </row>
    <row r="75" spans="1:9" x14ac:dyDescent="0.35">
      <c r="A75" s="2" t="s">
        <v>2500</v>
      </c>
      <c r="B75" s="2" t="s">
        <v>62</v>
      </c>
      <c r="C75" s="2" t="s">
        <v>2546</v>
      </c>
      <c r="D75" s="2" t="s">
        <v>31</v>
      </c>
      <c r="E75" s="2" t="s">
        <v>32</v>
      </c>
      <c r="F75" s="2"/>
      <c r="G75" s="2"/>
      <c r="H75" s="2"/>
      <c r="I75" s="2"/>
    </row>
    <row r="76" spans="1:9" x14ac:dyDescent="0.35">
      <c r="A76" s="2" t="s">
        <v>2500</v>
      </c>
      <c r="B76" s="2" t="s">
        <v>62</v>
      </c>
      <c r="C76" s="2" t="s">
        <v>2546</v>
      </c>
      <c r="D76" s="2" t="s">
        <v>172</v>
      </c>
      <c r="E76" s="2" t="s">
        <v>65</v>
      </c>
      <c r="F76" s="2"/>
      <c r="G76" s="2"/>
      <c r="H76" s="2"/>
      <c r="I76" s="2"/>
    </row>
    <row r="77" spans="1:9" x14ac:dyDescent="0.35">
      <c r="A77" s="2" t="s">
        <v>2500</v>
      </c>
      <c r="B77" s="2" t="s">
        <v>62</v>
      </c>
      <c r="C77" s="2" t="s">
        <v>2546</v>
      </c>
      <c r="D77" s="2" t="s">
        <v>2535</v>
      </c>
      <c r="E77" s="2" t="s">
        <v>83</v>
      </c>
      <c r="F77" s="2"/>
      <c r="G77" s="2"/>
      <c r="H77" s="2"/>
      <c r="I77" s="2"/>
    </row>
    <row r="78" spans="1:9" x14ac:dyDescent="0.35">
      <c r="A78" s="2" t="s">
        <v>2500</v>
      </c>
      <c r="B78" s="2" t="s">
        <v>62</v>
      </c>
      <c r="C78" s="2" t="s">
        <v>2546</v>
      </c>
      <c r="D78" s="2" t="s">
        <v>1782</v>
      </c>
      <c r="E78" s="2" t="s">
        <v>38</v>
      </c>
      <c r="F78" s="2"/>
      <c r="G78" s="2"/>
      <c r="H78" s="2"/>
      <c r="I78" s="2"/>
    </row>
    <row r="79" spans="1:9" x14ac:dyDescent="0.35">
      <c r="A79" s="2" t="s">
        <v>2500</v>
      </c>
      <c r="B79" s="2" t="s">
        <v>62</v>
      </c>
      <c r="C79" s="2" t="s">
        <v>2546</v>
      </c>
      <c r="D79" s="2" t="s">
        <v>2548</v>
      </c>
      <c r="E79" s="2" t="s">
        <v>19</v>
      </c>
      <c r="F79" s="2" t="s">
        <v>20</v>
      </c>
      <c r="G79" s="2" t="s">
        <v>2549</v>
      </c>
      <c r="H79" s="2"/>
      <c r="I79" s="2"/>
    </row>
    <row r="80" spans="1:9" x14ac:dyDescent="0.35">
      <c r="A80" s="2" t="s">
        <v>2500</v>
      </c>
      <c r="B80" s="2" t="s">
        <v>62</v>
      </c>
      <c r="C80" s="2" t="s">
        <v>2546</v>
      </c>
      <c r="D80" s="2" t="s">
        <v>438</v>
      </c>
      <c r="E80" s="2" t="s">
        <v>19</v>
      </c>
      <c r="F80" s="2"/>
      <c r="G80" s="2"/>
      <c r="H80" s="2"/>
      <c r="I80" s="2"/>
    </row>
    <row r="81" spans="1:9" x14ac:dyDescent="0.35">
      <c r="A81" s="2" t="s">
        <v>2500</v>
      </c>
      <c r="B81" s="2" t="s">
        <v>62</v>
      </c>
      <c r="C81" s="2" t="s">
        <v>2546</v>
      </c>
      <c r="D81" s="2" t="s">
        <v>77</v>
      </c>
      <c r="E81" s="2" t="s">
        <v>78</v>
      </c>
      <c r="F81" s="2"/>
      <c r="G81" s="2"/>
      <c r="H81" s="2"/>
      <c r="I81" s="2"/>
    </row>
    <row r="82" spans="1:9" x14ac:dyDescent="0.35">
      <c r="A82" s="2" t="s">
        <v>2500</v>
      </c>
      <c r="B82" s="2" t="s">
        <v>62</v>
      </c>
      <c r="C82" s="2" t="s">
        <v>2546</v>
      </c>
      <c r="D82" s="2" t="s">
        <v>87</v>
      </c>
      <c r="E82" s="2" t="s">
        <v>75</v>
      </c>
      <c r="F82" s="2"/>
      <c r="G82" s="2"/>
      <c r="H82" s="2"/>
      <c r="I82" s="2"/>
    </row>
    <row r="83" spans="1:9" x14ac:dyDescent="0.35">
      <c r="A83" s="2" t="s">
        <v>2500</v>
      </c>
      <c r="B83" s="2" t="s">
        <v>62</v>
      </c>
      <c r="C83" s="2" t="s">
        <v>2546</v>
      </c>
      <c r="D83" s="2" t="s">
        <v>64</v>
      </c>
      <c r="E83" s="2" t="s">
        <v>65</v>
      </c>
      <c r="F83" s="2"/>
      <c r="G83" s="2"/>
      <c r="H83" s="2"/>
      <c r="I83" s="2"/>
    </row>
    <row r="84" spans="1:9" x14ac:dyDescent="0.35">
      <c r="A84" s="2" t="s">
        <v>2500</v>
      </c>
      <c r="B84" s="2" t="s">
        <v>62</v>
      </c>
      <c r="C84" s="2" t="s">
        <v>2546</v>
      </c>
      <c r="D84" s="2" t="s">
        <v>100</v>
      </c>
      <c r="E84" s="2" t="s">
        <v>101</v>
      </c>
      <c r="F84" s="2"/>
      <c r="G84" s="2"/>
      <c r="H84" s="2"/>
      <c r="I84" s="2"/>
    </row>
    <row r="85" spans="1:9" x14ac:dyDescent="0.35">
      <c r="A85" s="2" t="s">
        <v>2500</v>
      </c>
      <c r="B85" s="2" t="s">
        <v>62</v>
      </c>
      <c r="C85" s="2" t="s">
        <v>2546</v>
      </c>
      <c r="D85" s="2" t="s">
        <v>352</v>
      </c>
      <c r="E85" s="2" t="s">
        <v>107</v>
      </c>
      <c r="F85" s="2"/>
      <c r="G85" s="2"/>
      <c r="H85" s="2"/>
      <c r="I85" s="2"/>
    </row>
    <row r="86" spans="1:9" x14ac:dyDescent="0.35">
      <c r="A86" s="2" t="s">
        <v>2500</v>
      </c>
      <c r="B86" s="2" t="s">
        <v>62</v>
      </c>
      <c r="C86" s="2" t="s">
        <v>2546</v>
      </c>
      <c r="D86" s="2" t="s">
        <v>1982</v>
      </c>
      <c r="E86" s="2" t="s">
        <v>847</v>
      </c>
      <c r="F86" s="2" t="s">
        <v>20</v>
      </c>
      <c r="G86" s="2" t="s">
        <v>2550</v>
      </c>
      <c r="H86" s="2"/>
      <c r="I86" s="2"/>
    </row>
    <row r="87" spans="1:9" x14ac:dyDescent="0.35">
      <c r="A87" s="2" t="s">
        <v>2500</v>
      </c>
      <c r="B87" s="2" t="s">
        <v>62</v>
      </c>
      <c r="C87" s="2" t="s">
        <v>2546</v>
      </c>
      <c r="D87" s="2" t="s">
        <v>2551</v>
      </c>
      <c r="E87" s="2" t="s">
        <v>65</v>
      </c>
      <c r="F87" s="2"/>
      <c r="G87" s="2"/>
      <c r="H87" s="2"/>
      <c r="I87" s="2"/>
    </row>
    <row r="88" spans="1:9" x14ac:dyDescent="0.35">
      <c r="A88" s="2" t="s">
        <v>2500</v>
      </c>
      <c r="B88" s="2" t="s">
        <v>24</v>
      </c>
      <c r="C88" s="2" t="s">
        <v>2552</v>
      </c>
      <c r="D88" s="2" t="s">
        <v>196</v>
      </c>
      <c r="E88" s="2" t="s">
        <v>197</v>
      </c>
      <c r="F88" s="2"/>
      <c r="G88" s="2"/>
      <c r="H88" s="2"/>
      <c r="I88" s="2"/>
    </row>
    <row r="89" spans="1:9" x14ac:dyDescent="0.35">
      <c r="A89" s="2" t="s">
        <v>2500</v>
      </c>
      <c r="B89" s="2" t="s">
        <v>24</v>
      </c>
      <c r="C89" s="2" t="s">
        <v>2552</v>
      </c>
      <c r="D89" s="2" t="s">
        <v>14</v>
      </c>
      <c r="E89" s="2" t="s">
        <v>15</v>
      </c>
      <c r="F89" s="2"/>
      <c r="G89" s="2"/>
      <c r="H89" s="2"/>
      <c r="I89" s="2"/>
    </row>
    <row r="90" spans="1:9" x14ac:dyDescent="0.35">
      <c r="A90" s="2" t="s">
        <v>2500</v>
      </c>
      <c r="B90" s="2" t="s">
        <v>24</v>
      </c>
      <c r="C90" s="2" t="s">
        <v>2552</v>
      </c>
      <c r="D90" s="2" t="s">
        <v>31</v>
      </c>
      <c r="E90" s="2" t="s">
        <v>32</v>
      </c>
      <c r="F90" s="2"/>
      <c r="G90" s="2"/>
      <c r="H90" s="2"/>
      <c r="I90" s="2"/>
    </row>
    <row r="91" spans="1:9" x14ac:dyDescent="0.35">
      <c r="A91" s="2" t="s">
        <v>2500</v>
      </c>
      <c r="B91" s="2" t="s">
        <v>24</v>
      </c>
      <c r="C91" s="2" t="s">
        <v>2552</v>
      </c>
      <c r="D91" s="2" t="s">
        <v>1215</v>
      </c>
      <c r="E91" s="2" t="s">
        <v>1216</v>
      </c>
      <c r="F91" s="2"/>
      <c r="G91" s="2"/>
      <c r="H91" s="2"/>
      <c r="I91" s="2"/>
    </row>
    <row r="92" spans="1:9" x14ac:dyDescent="0.35">
      <c r="A92" s="2" t="s">
        <v>2500</v>
      </c>
      <c r="B92" s="2" t="s">
        <v>24</v>
      </c>
      <c r="C92" s="2" t="s">
        <v>2552</v>
      </c>
      <c r="D92" s="2" t="s">
        <v>1997</v>
      </c>
      <c r="E92" s="2" t="s">
        <v>125</v>
      </c>
      <c r="F92" s="2"/>
      <c r="G92" s="2"/>
      <c r="H92" s="2"/>
      <c r="I92" s="2"/>
    </row>
    <row r="93" spans="1:9" x14ac:dyDescent="0.35">
      <c r="A93" s="2" t="s">
        <v>2500</v>
      </c>
      <c r="B93" s="2" t="s">
        <v>24</v>
      </c>
      <c r="C93" s="2" t="s">
        <v>2552</v>
      </c>
      <c r="D93" s="2" t="s">
        <v>957</v>
      </c>
      <c r="E93" s="2" t="s">
        <v>958</v>
      </c>
      <c r="F93" s="2"/>
      <c r="G93" s="2"/>
      <c r="H93" s="2"/>
      <c r="I93" s="2"/>
    </row>
    <row r="94" spans="1:9" x14ac:dyDescent="0.35">
      <c r="A94" s="2" t="s">
        <v>2500</v>
      </c>
      <c r="B94" s="2" t="s">
        <v>24</v>
      </c>
      <c r="C94" s="2" t="s">
        <v>2552</v>
      </c>
      <c r="D94" s="2" t="s">
        <v>438</v>
      </c>
      <c r="E94" s="2" t="s">
        <v>19</v>
      </c>
      <c r="F94" s="2" t="s">
        <v>20</v>
      </c>
      <c r="G94" s="2" t="s">
        <v>2553</v>
      </c>
      <c r="H94" s="2"/>
      <c r="I94" s="2"/>
    </row>
    <row r="95" spans="1:9" x14ac:dyDescent="0.35">
      <c r="A95" s="2" t="s">
        <v>2500</v>
      </c>
      <c r="B95" s="2" t="s">
        <v>24</v>
      </c>
      <c r="C95" s="2" t="s">
        <v>2552</v>
      </c>
      <c r="D95" s="2" t="s">
        <v>2554</v>
      </c>
      <c r="E95" s="2" t="s">
        <v>40</v>
      </c>
      <c r="F95" s="2"/>
      <c r="G95" s="2"/>
      <c r="H95" s="2"/>
      <c r="I95" s="2"/>
    </row>
    <row r="96" spans="1:9" x14ac:dyDescent="0.35">
      <c r="A96" s="2" t="s">
        <v>2500</v>
      </c>
      <c r="B96" s="2" t="s">
        <v>24</v>
      </c>
      <c r="C96" s="2" t="s">
        <v>2552</v>
      </c>
      <c r="D96" s="2" t="s">
        <v>100</v>
      </c>
      <c r="E96" s="2" t="s">
        <v>101</v>
      </c>
      <c r="F96" s="2"/>
      <c r="G96" s="2"/>
      <c r="H96" s="2"/>
      <c r="I96" s="2"/>
    </row>
    <row r="97" spans="1:9" x14ac:dyDescent="0.35">
      <c r="A97" s="2" t="s">
        <v>2500</v>
      </c>
      <c r="B97" s="2" t="s">
        <v>24</v>
      </c>
      <c r="C97" s="2" t="s">
        <v>2552</v>
      </c>
      <c r="D97" s="2" t="s">
        <v>1593</v>
      </c>
      <c r="E97" s="2" t="s">
        <v>38</v>
      </c>
      <c r="F97" s="2"/>
      <c r="G97" s="2"/>
      <c r="H97" s="2"/>
      <c r="I97" s="2"/>
    </row>
    <row r="98" spans="1:9" x14ac:dyDescent="0.35">
      <c r="A98" s="2" t="s">
        <v>2500</v>
      </c>
      <c r="B98" s="2" t="s">
        <v>24</v>
      </c>
      <c r="C98" s="2" t="s">
        <v>2552</v>
      </c>
      <c r="D98" s="2" t="s">
        <v>2555</v>
      </c>
      <c r="E98" s="2" t="s">
        <v>228</v>
      </c>
      <c r="F98" s="2"/>
      <c r="G98" s="2"/>
      <c r="H98" s="2"/>
      <c r="I98" s="2"/>
    </row>
    <row r="99" spans="1:9" x14ac:dyDescent="0.35">
      <c r="A99" s="2" t="s">
        <v>2500</v>
      </c>
      <c r="B99" s="2" t="s">
        <v>24</v>
      </c>
      <c r="C99" s="2" t="s">
        <v>2552</v>
      </c>
      <c r="D99" s="2" t="s">
        <v>188</v>
      </c>
      <c r="E99" s="2" t="s">
        <v>189</v>
      </c>
      <c r="F99" s="2"/>
      <c r="G99" s="2"/>
      <c r="H99" s="2"/>
      <c r="I99" s="2"/>
    </row>
    <row r="100" spans="1:9" x14ac:dyDescent="0.35">
      <c r="A100" s="2" t="s">
        <v>2500</v>
      </c>
      <c r="B100" s="2" t="s">
        <v>24</v>
      </c>
      <c r="C100" s="2" t="s">
        <v>2552</v>
      </c>
      <c r="D100" s="2" t="s">
        <v>2556</v>
      </c>
      <c r="E100" s="2" t="s">
        <v>203</v>
      </c>
      <c r="F100" s="2"/>
      <c r="G100" s="2"/>
      <c r="H100" s="2"/>
      <c r="I100" s="2"/>
    </row>
    <row r="101" spans="1:9" x14ac:dyDescent="0.35">
      <c r="A101" s="2" t="s">
        <v>2500</v>
      </c>
      <c r="B101" s="2" t="s">
        <v>24</v>
      </c>
      <c r="C101" s="2" t="s">
        <v>2552</v>
      </c>
      <c r="D101" s="2" t="s">
        <v>1982</v>
      </c>
      <c r="E101" s="2" t="s">
        <v>847</v>
      </c>
      <c r="F101" s="2"/>
      <c r="G101" s="2"/>
      <c r="H101" s="2"/>
      <c r="I101" s="2"/>
    </row>
    <row r="102" spans="1:9" x14ac:dyDescent="0.35">
      <c r="A102" s="2" t="s">
        <v>2500</v>
      </c>
      <c r="B102" s="2" t="s">
        <v>54</v>
      </c>
      <c r="C102" s="2" t="s">
        <v>2557</v>
      </c>
      <c r="D102" s="2" t="s">
        <v>2558</v>
      </c>
      <c r="E102" s="2" t="s">
        <v>75</v>
      </c>
      <c r="F102" s="2" t="s">
        <v>20</v>
      </c>
      <c r="G102" s="2" t="s">
        <v>2559</v>
      </c>
      <c r="H102" s="2"/>
      <c r="I102" s="2"/>
    </row>
    <row r="103" spans="1:9" x14ac:dyDescent="0.35">
      <c r="A103" s="2" t="s">
        <v>2500</v>
      </c>
      <c r="B103" s="2" t="s">
        <v>54</v>
      </c>
      <c r="C103" s="2" t="s">
        <v>2557</v>
      </c>
      <c r="D103" s="2" t="s">
        <v>2560</v>
      </c>
      <c r="E103" s="2" t="s">
        <v>45</v>
      </c>
      <c r="F103" s="2"/>
      <c r="G103" s="2"/>
      <c r="H103" s="2"/>
      <c r="I103" s="2"/>
    </row>
    <row r="104" spans="1:9" x14ac:dyDescent="0.35">
      <c r="A104" s="2" t="s">
        <v>2500</v>
      </c>
      <c r="B104" s="2" t="s">
        <v>54</v>
      </c>
      <c r="C104" s="2" t="s">
        <v>2557</v>
      </c>
      <c r="D104" s="2" t="s">
        <v>155</v>
      </c>
      <c r="E104" s="2" t="s">
        <v>32</v>
      </c>
      <c r="F104" s="2"/>
      <c r="G104" s="2"/>
      <c r="H104" s="2"/>
      <c r="I104" s="2"/>
    </row>
    <row r="105" spans="1:9" x14ac:dyDescent="0.35">
      <c r="A105" s="2" t="s">
        <v>2500</v>
      </c>
      <c r="B105" s="2" t="s">
        <v>54</v>
      </c>
      <c r="C105" s="2" t="s">
        <v>2557</v>
      </c>
      <c r="D105" s="2" t="s">
        <v>438</v>
      </c>
      <c r="E105" s="2" t="s">
        <v>19</v>
      </c>
      <c r="F105" s="2" t="s">
        <v>20</v>
      </c>
      <c r="G105" s="2" t="s">
        <v>2561</v>
      </c>
      <c r="H105" s="2"/>
      <c r="I105" s="2"/>
    </row>
    <row r="106" spans="1:9" x14ac:dyDescent="0.35">
      <c r="A106" s="2" t="s">
        <v>2500</v>
      </c>
      <c r="B106" s="2" t="s">
        <v>54</v>
      </c>
      <c r="C106" s="2" t="s">
        <v>2557</v>
      </c>
      <c r="D106" s="2" t="s">
        <v>1982</v>
      </c>
      <c r="E106" s="2" t="s">
        <v>847</v>
      </c>
      <c r="F106" s="2" t="s">
        <v>20</v>
      </c>
      <c r="G106" s="2" t="s">
        <v>2562</v>
      </c>
      <c r="H106" s="2"/>
      <c r="I106" s="2"/>
    </row>
    <row r="107" spans="1:9" x14ac:dyDescent="0.35">
      <c r="A107" s="2" t="s">
        <v>2500</v>
      </c>
      <c r="B107" s="2" t="s">
        <v>24</v>
      </c>
      <c r="C107" s="2" t="s">
        <v>2563</v>
      </c>
      <c r="D107" s="2" t="s">
        <v>196</v>
      </c>
      <c r="E107" s="2" t="s">
        <v>197</v>
      </c>
      <c r="F107" s="2"/>
      <c r="G107" s="2"/>
      <c r="H107" s="2"/>
      <c r="I107" s="2"/>
    </row>
    <row r="108" spans="1:9" x14ac:dyDescent="0.35">
      <c r="A108" s="2" t="s">
        <v>2500</v>
      </c>
      <c r="B108" s="2" t="s">
        <v>24</v>
      </c>
      <c r="C108" s="2" t="s">
        <v>2563</v>
      </c>
      <c r="D108" s="2" t="s">
        <v>14</v>
      </c>
      <c r="E108" s="2" t="s">
        <v>15</v>
      </c>
      <c r="F108" s="2"/>
      <c r="G108" s="2"/>
      <c r="H108" s="2"/>
      <c r="I108" s="2"/>
    </row>
    <row r="109" spans="1:9" x14ac:dyDescent="0.35">
      <c r="A109" s="2" t="s">
        <v>2500</v>
      </c>
      <c r="B109" s="2" t="s">
        <v>24</v>
      </c>
      <c r="C109" s="2" t="s">
        <v>2563</v>
      </c>
      <c r="D109" s="2" t="s">
        <v>27</v>
      </c>
      <c r="E109" s="2" t="s">
        <v>28</v>
      </c>
      <c r="F109" s="2"/>
      <c r="G109" s="2"/>
      <c r="H109" s="2"/>
      <c r="I109" s="2"/>
    </row>
    <row r="110" spans="1:9" x14ac:dyDescent="0.35">
      <c r="A110" s="2" t="s">
        <v>2500</v>
      </c>
      <c r="B110" s="2" t="s">
        <v>24</v>
      </c>
      <c r="C110" s="2" t="s">
        <v>2563</v>
      </c>
      <c r="D110" s="2" t="s">
        <v>1215</v>
      </c>
      <c r="E110" s="2" t="s">
        <v>1216</v>
      </c>
      <c r="F110" s="2"/>
      <c r="G110" s="2"/>
      <c r="H110" s="2"/>
      <c r="I110" s="2"/>
    </row>
    <row r="111" spans="1:9" x14ac:dyDescent="0.35">
      <c r="A111" s="2" t="s">
        <v>2500</v>
      </c>
      <c r="B111" s="2" t="s">
        <v>24</v>
      </c>
      <c r="C111" s="2" t="s">
        <v>2563</v>
      </c>
      <c r="D111" s="2" t="s">
        <v>1782</v>
      </c>
      <c r="E111" s="2" t="s">
        <v>38</v>
      </c>
      <c r="F111" s="2"/>
      <c r="G111" s="2"/>
      <c r="H111" s="2"/>
      <c r="I111" s="2"/>
    </row>
    <row r="112" spans="1:9" x14ac:dyDescent="0.35">
      <c r="A112" s="2" t="s">
        <v>2500</v>
      </c>
      <c r="B112" s="2" t="s">
        <v>24</v>
      </c>
      <c r="C112" s="2" t="s">
        <v>2563</v>
      </c>
      <c r="D112" s="2" t="s">
        <v>1789</v>
      </c>
      <c r="E112" s="2" t="s">
        <v>32</v>
      </c>
      <c r="F112" s="2"/>
      <c r="G112" s="2"/>
      <c r="H112" s="2"/>
      <c r="I112" s="2"/>
    </row>
    <row r="113" spans="1:9" x14ac:dyDescent="0.35">
      <c r="A113" s="2" t="s">
        <v>2500</v>
      </c>
      <c r="B113" s="2" t="s">
        <v>24</v>
      </c>
      <c r="C113" s="2" t="s">
        <v>2563</v>
      </c>
      <c r="D113" s="2" t="s">
        <v>1589</v>
      </c>
      <c r="E113" s="2" t="s">
        <v>28</v>
      </c>
      <c r="F113" s="2"/>
      <c r="G113" s="2"/>
      <c r="H113" s="2"/>
      <c r="I113" s="2"/>
    </row>
    <row r="114" spans="1:9" x14ac:dyDescent="0.35">
      <c r="A114" s="2" t="s">
        <v>2500</v>
      </c>
      <c r="B114" s="2" t="s">
        <v>24</v>
      </c>
      <c r="C114" s="2" t="s">
        <v>2563</v>
      </c>
      <c r="D114" s="2" t="s">
        <v>438</v>
      </c>
      <c r="E114" s="2" t="s">
        <v>19</v>
      </c>
      <c r="F114" s="2" t="s">
        <v>20</v>
      </c>
      <c r="G114" s="2" t="s">
        <v>2561</v>
      </c>
      <c r="H114" s="2"/>
      <c r="I114" s="2"/>
    </row>
    <row r="115" spans="1:9" x14ac:dyDescent="0.35">
      <c r="A115" s="2" t="s">
        <v>2500</v>
      </c>
      <c r="B115" s="2" t="s">
        <v>24</v>
      </c>
      <c r="C115" s="2" t="s">
        <v>2563</v>
      </c>
      <c r="D115" s="2" t="s">
        <v>100</v>
      </c>
      <c r="E115" s="2" t="s">
        <v>101</v>
      </c>
      <c r="F115" s="2"/>
      <c r="G115" s="2"/>
      <c r="H115" s="2"/>
      <c r="I115" s="2"/>
    </row>
    <row r="116" spans="1:9" x14ac:dyDescent="0.35">
      <c r="A116" s="2" t="s">
        <v>2500</v>
      </c>
      <c r="B116" s="2" t="s">
        <v>24</v>
      </c>
      <c r="C116" s="2" t="s">
        <v>2563</v>
      </c>
      <c r="D116" s="2" t="s">
        <v>2555</v>
      </c>
      <c r="E116" s="2" t="s">
        <v>228</v>
      </c>
      <c r="F116" s="2"/>
      <c r="G116" s="2"/>
      <c r="H116" s="2"/>
      <c r="I116" s="2"/>
    </row>
    <row r="117" spans="1:9" x14ac:dyDescent="0.35">
      <c r="A117" s="2" t="s">
        <v>2500</v>
      </c>
      <c r="B117" s="2" t="s">
        <v>24</v>
      </c>
      <c r="C117" s="2" t="s">
        <v>2563</v>
      </c>
      <c r="D117" s="2" t="s">
        <v>1824</v>
      </c>
      <c r="E117" s="2" t="s">
        <v>189</v>
      </c>
      <c r="F117" s="2" t="s">
        <v>20</v>
      </c>
      <c r="G117" s="2" t="s">
        <v>2528</v>
      </c>
      <c r="H117" s="2"/>
      <c r="I117" s="2"/>
    </row>
    <row r="118" spans="1:9" x14ac:dyDescent="0.35">
      <c r="A118" s="2" t="s">
        <v>2500</v>
      </c>
      <c r="B118" s="2" t="s">
        <v>24</v>
      </c>
      <c r="C118" s="2" t="s">
        <v>2563</v>
      </c>
      <c r="D118" s="2" t="s">
        <v>2564</v>
      </c>
      <c r="E118" s="2" t="s">
        <v>107</v>
      </c>
      <c r="F118" s="2"/>
      <c r="G118" s="2"/>
      <c r="H118" s="2"/>
      <c r="I118" s="2"/>
    </row>
    <row r="119" spans="1:9" x14ac:dyDescent="0.35">
      <c r="A119" s="2" t="s">
        <v>2500</v>
      </c>
      <c r="B119" s="2" t="s">
        <v>24</v>
      </c>
      <c r="C119" s="2" t="s">
        <v>2563</v>
      </c>
      <c r="D119" s="2" t="s">
        <v>149</v>
      </c>
      <c r="E119" s="2" t="s">
        <v>847</v>
      </c>
      <c r="F119" s="2"/>
      <c r="G119" s="2"/>
      <c r="H119" s="2"/>
      <c r="I119" s="2"/>
    </row>
    <row r="120" spans="1:9" x14ac:dyDescent="0.35">
      <c r="A120" s="2" t="s">
        <v>2500</v>
      </c>
      <c r="B120" s="2" t="s">
        <v>24</v>
      </c>
      <c r="C120" s="2" t="s">
        <v>2565</v>
      </c>
      <c r="D120" s="2" t="s">
        <v>14</v>
      </c>
      <c r="E120" s="2" t="s">
        <v>15</v>
      </c>
      <c r="F120" s="2"/>
      <c r="G120" s="2"/>
      <c r="H120" s="2"/>
      <c r="I120" s="2"/>
    </row>
    <row r="121" spans="1:9" x14ac:dyDescent="0.35">
      <c r="A121" s="2" t="s">
        <v>2500</v>
      </c>
      <c r="B121" s="2" t="s">
        <v>24</v>
      </c>
      <c r="C121" s="2" t="s">
        <v>2565</v>
      </c>
      <c r="D121" s="2" t="s">
        <v>144</v>
      </c>
      <c r="E121" s="2" t="s">
        <v>50</v>
      </c>
      <c r="F121" s="2"/>
      <c r="G121" s="2"/>
      <c r="H121" s="2"/>
      <c r="I121" s="2"/>
    </row>
    <row r="122" spans="1:9" x14ac:dyDescent="0.35">
      <c r="A122" s="2" t="s">
        <v>2500</v>
      </c>
      <c r="B122" s="2" t="s">
        <v>24</v>
      </c>
      <c r="C122" s="2" t="s">
        <v>2565</v>
      </c>
      <c r="D122" s="2" t="s">
        <v>1782</v>
      </c>
      <c r="E122" s="2" t="s">
        <v>38</v>
      </c>
      <c r="F122" s="2"/>
      <c r="G122" s="2"/>
      <c r="H122" s="2"/>
      <c r="I122" s="2"/>
    </row>
    <row r="123" spans="1:9" x14ac:dyDescent="0.35">
      <c r="A123" s="2" t="s">
        <v>2500</v>
      </c>
      <c r="B123" s="2" t="s">
        <v>24</v>
      </c>
      <c r="C123" s="2" t="s">
        <v>2565</v>
      </c>
      <c r="D123" s="2" t="s">
        <v>438</v>
      </c>
      <c r="E123" s="2" t="s">
        <v>19</v>
      </c>
      <c r="F123" s="2"/>
      <c r="G123" s="2"/>
      <c r="H123" s="2"/>
      <c r="I123" s="2"/>
    </row>
    <row r="124" spans="1:9" x14ac:dyDescent="0.35">
      <c r="A124" s="2" t="s">
        <v>2500</v>
      </c>
      <c r="B124" s="2" t="s">
        <v>24</v>
      </c>
      <c r="C124" s="2" t="s">
        <v>2565</v>
      </c>
      <c r="D124" s="2" t="s">
        <v>1824</v>
      </c>
      <c r="E124" s="2" t="s">
        <v>189</v>
      </c>
      <c r="F124" s="2"/>
      <c r="G124" s="2"/>
      <c r="H124" s="2"/>
      <c r="I124" s="2"/>
    </row>
    <row r="125" spans="1:9" x14ac:dyDescent="0.35">
      <c r="A125" s="2" t="s">
        <v>2500</v>
      </c>
      <c r="B125" s="2" t="s">
        <v>24</v>
      </c>
      <c r="C125" s="2" t="s">
        <v>2565</v>
      </c>
      <c r="D125" s="2" t="s">
        <v>1283</v>
      </c>
      <c r="E125" s="2" t="s">
        <v>65</v>
      </c>
      <c r="F125" s="2"/>
      <c r="G125" s="2"/>
      <c r="H125" s="2"/>
      <c r="I125" s="2"/>
    </row>
    <row r="126" spans="1:9" x14ac:dyDescent="0.35">
      <c r="A126" s="2" t="s">
        <v>2500</v>
      </c>
      <c r="B126" s="2" t="s">
        <v>62</v>
      </c>
      <c r="C126" s="2" t="s">
        <v>2566</v>
      </c>
      <c r="D126" s="2" t="s">
        <v>1175</v>
      </c>
      <c r="E126" s="2" t="s">
        <v>75</v>
      </c>
      <c r="F126" s="2"/>
      <c r="G126" s="2"/>
      <c r="H126" s="2"/>
      <c r="I126" s="2"/>
    </row>
    <row r="127" spans="1:9" x14ac:dyDescent="0.35">
      <c r="A127" s="2" t="s">
        <v>2500</v>
      </c>
      <c r="B127" s="2" t="s">
        <v>62</v>
      </c>
      <c r="C127" s="2" t="s">
        <v>2566</v>
      </c>
      <c r="D127" s="2" t="s">
        <v>31</v>
      </c>
      <c r="E127" s="2" t="s">
        <v>32</v>
      </c>
      <c r="F127" s="2"/>
      <c r="G127" s="2"/>
      <c r="H127" s="2"/>
      <c r="I127" s="2"/>
    </row>
    <row r="128" spans="1:9" x14ac:dyDescent="0.35">
      <c r="A128" s="2" t="s">
        <v>2500</v>
      </c>
      <c r="B128" s="2" t="s">
        <v>62</v>
      </c>
      <c r="C128" s="2" t="s">
        <v>2566</v>
      </c>
      <c r="D128" s="2" t="s">
        <v>782</v>
      </c>
      <c r="E128" s="2" t="s">
        <v>75</v>
      </c>
      <c r="F128" s="2"/>
      <c r="G128" s="2"/>
      <c r="H128" s="2"/>
      <c r="I128" s="2"/>
    </row>
    <row r="129" spans="1:9" x14ac:dyDescent="0.35">
      <c r="A129" s="2" t="s">
        <v>2500</v>
      </c>
      <c r="B129" s="2" t="s">
        <v>62</v>
      </c>
      <c r="C129" s="2" t="s">
        <v>2566</v>
      </c>
      <c r="D129" s="2" t="s">
        <v>352</v>
      </c>
      <c r="E129" s="2" t="s">
        <v>107</v>
      </c>
      <c r="F129" s="2"/>
      <c r="G129" s="2"/>
      <c r="H129" s="2"/>
      <c r="I129" s="2"/>
    </row>
    <row r="130" spans="1:9" x14ac:dyDescent="0.35">
      <c r="A130" s="2" t="s">
        <v>2500</v>
      </c>
      <c r="B130" s="2" t="s">
        <v>62</v>
      </c>
      <c r="C130" s="2" t="s">
        <v>2566</v>
      </c>
      <c r="D130" s="2" t="s">
        <v>1283</v>
      </c>
      <c r="E130" s="2" t="s">
        <v>65</v>
      </c>
      <c r="F130" s="2"/>
      <c r="G130" s="2"/>
      <c r="H130" s="2"/>
      <c r="I130" s="2"/>
    </row>
    <row r="131" spans="1:9" x14ac:dyDescent="0.35">
      <c r="A131" s="2" t="s">
        <v>2500</v>
      </c>
      <c r="B131" s="2" t="s">
        <v>24</v>
      </c>
      <c r="C131" s="2" t="s">
        <v>2567</v>
      </c>
      <c r="D131" s="2" t="s">
        <v>31</v>
      </c>
      <c r="E131" s="2" t="s">
        <v>32</v>
      </c>
      <c r="F131" s="2"/>
      <c r="G131" s="2"/>
      <c r="H131" s="2"/>
      <c r="I131" s="2"/>
    </row>
    <row r="132" spans="1:9" x14ac:dyDescent="0.35">
      <c r="A132" s="2" t="s">
        <v>2500</v>
      </c>
      <c r="B132" s="2" t="s">
        <v>24</v>
      </c>
      <c r="C132" s="2" t="s">
        <v>2567</v>
      </c>
      <c r="D132" s="2" t="s">
        <v>200</v>
      </c>
      <c r="E132" s="2" t="s">
        <v>201</v>
      </c>
      <c r="F132" s="2"/>
      <c r="G132" s="2"/>
      <c r="H132" s="2"/>
      <c r="I132" s="2"/>
    </row>
    <row r="133" spans="1:9" x14ac:dyDescent="0.35">
      <c r="A133" s="2" t="s">
        <v>2500</v>
      </c>
      <c r="B133" s="2" t="s">
        <v>24</v>
      </c>
      <c r="C133" s="2" t="s">
        <v>2567</v>
      </c>
      <c r="D133" s="2" t="s">
        <v>188</v>
      </c>
      <c r="E133" s="2" t="s">
        <v>189</v>
      </c>
      <c r="F133" s="2"/>
      <c r="G133" s="2"/>
      <c r="H133" s="2"/>
      <c r="I133" s="2"/>
    </row>
    <row r="134" spans="1:9" x14ac:dyDescent="0.35">
      <c r="A134" s="2" t="s">
        <v>2500</v>
      </c>
      <c r="B134" s="2" t="s">
        <v>24</v>
      </c>
      <c r="C134" s="2" t="s">
        <v>2568</v>
      </c>
      <c r="D134" s="2" t="s">
        <v>485</v>
      </c>
      <c r="E134" s="2" t="s">
        <v>15</v>
      </c>
      <c r="F134" s="2" t="s">
        <v>46</v>
      </c>
      <c r="G134" s="2" t="s">
        <v>2569</v>
      </c>
      <c r="H134" s="2"/>
      <c r="I134" s="2"/>
    </row>
    <row r="135" spans="1:9" x14ac:dyDescent="0.35">
      <c r="A135" s="2" t="s">
        <v>2500</v>
      </c>
      <c r="B135" s="2" t="s">
        <v>24</v>
      </c>
      <c r="C135" s="2" t="s">
        <v>2568</v>
      </c>
      <c r="D135" s="2" t="s">
        <v>74</v>
      </c>
      <c r="E135" s="2" t="s">
        <v>75</v>
      </c>
      <c r="F135" s="2" t="s">
        <v>46</v>
      </c>
      <c r="G135" s="2" t="s">
        <v>2569</v>
      </c>
      <c r="H135" s="2"/>
      <c r="I135" s="2"/>
    </row>
    <row r="136" spans="1:9" x14ac:dyDescent="0.35">
      <c r="A136" s="2" t="s">
        <v>2500</v>
      </c>
      <c r="B136" s="2" t="s">
        <v>24</v>
      </c>
      <c r="C136" s="2" t="s">
        <v>2568</v>
      </c>
      <c r="D136" s="2" t="s">
        <v>563</v>
      </c>
      <c r="E136" s="2" t="s">
        <v>45</v>
      </c>
      <c r="F136" s="2" t="s">
        <v>46</v>
      </c>
      <c r="G136" s="2" t="s">
        <v>2569</v>
      </c>
      <c r="H136" s="2"/>
      <c r="I136" s="2"/>
    </row>
    <row r="137" spans="1:9" x14ac:dyDescent="0.35">
      <c r="A137" s="2" t="s">
        <v>2500</v>
      </c>
      <c r="B137" s="2" t="s">
        <v>24</v>
      </c>
      <c r="C137" s="2" t="s">
        <v>2568</v>
      </c>
      <c r="D137" s="2" t="s">
        <v>77</v>
      </c>
      <c r="E137" s="2" t="s">
        <v>78</v>
      </c>
      <c r="F137" s="2" t="s">
        <v>46</v>
      </c>
      <c r="G137" s="2" t="s">
        <v>2569</v>
      </c>
      <c r="H137" s="2"/>
      <c r="I137" s="2"/>
    </row>
    <row r="138" spans="1:9" x14ac:dyDescent="0.35">
      <c r="A138" s="2" t="s">
        <v>2500</v>
      </c>
      <c r="B138" s="2" t="s">
        <v>24</v>
      </c>
      <c r="C138" s="2" t="s">
        <v>2568</v>
      </c>
      <c r="D138" s="2" t="s">
        <v>1283</v>
      </c>
      <c r="E138" s="2" t="s">
        <v>65</v>
      </c>
      <c r="F138" s="2" t="s">
        <v>46</v>
      </c>
      <c r="G138" s="2" t="s">
        <v>2569</v>
      </c>
      <c r="H138" s="2"/>
      <c r="I138" s="2"/>
    </row>
    <row r="139" spans="1:9" x14ac:dyDescent="0.35">
      <c r="A139" s="2" t="s">
        <v>2500</v>
      </c>
      <c r="B139" s="2" t="s">
        <v>12</v>
      </c>
      <c r="C139" s="2" t="s">
        <v>2570</v>
      </c>
      <c r="D139" s="2" t="s">
        <v>438</v>
      </c>
      <c r="E139" s="2" t="s">
        <v>19</v>
      </c>
      <c r="F139" s="2" t="s">
        <v>20</v>
      </c>
      <c r="G139" s="2" t="s">
        <v>2571</v>
      </c>
      <c r="H139" s="2"/>
      <c r="I139" s="2"/>
    </row>
    <row r="140" spans="1:9" x14ac:dyDescent="0.35">
      <c r="A140" s="2" t="s">
        <v>2500</v>
      </c>
      <c r="B140" s="2" t="s">
        <v>12</v>
      </c>
      <c r="C140" s="2" t="s">
        <v>2570</v>
      </c>
      <c r="D140" s="2" t="s">
        <v>1283</v>
      </c>
      <c r="E140" s="2" t="s">
        <v>65</v>
      </c>
      <c r="F140" s="2"/>
      <c r="G140" s="2"/>
      <c r="H140" s="2"/>
      <c r="I140" s="2"/>
    </row>
    <row r="141" spans="1:9" x14ac:dyDescent="0.35">
      <c r="A141" s="2" t="s">
        <v>2500</v>
      </c>
      <c r="B141" s="2" t="s">
        <v>24</v>
      </c>
      <c r="C141" s="2" t="s">
        <v>2572</v>
      </c>
      <c r="D141" s="2" t="s">
        <v>14</v>
      </c>
      <c r="E141" s="2" t="s">
        <v>15</v>
      </c>
      <c r="F141" s="2"/>
      <c r="G141" s="2"/>
      <c r="H141" s="2"/>
      <c r="I141" s="2"/>
    </row>
    <row r="142" spans="1:9" x14ac:dyDescent="0.35">
      <c r="A142" s="2" t="s">
        <v>2500</v>
      </c>
      <c r="B142" s="2" t="s">
        <v>24</v>
      </c>
      <c r="C142" s="2" t="s">
        <v>2572</v>
      </c>
      <c r="D142" s="2" t="s">
        <v>89</v>
      </c>
      <c r="E142" s="2" t="s">
        <v>45</v>
      </c>
      <c r="F142" s="2"/>
      <c r="G142" s="2"/>
      <c r="H142" s="2"/>
      <c r="I142" s="2"/>
    </row>
    <row r="143" spans="1:9" x14ac:dyDescent="0.35">
      <c r="A143" s="2" t="s">
        <v>2500</v>
      </c>
      <c r="B143" s="2" t="s">
        <v>24</v>
      </c>
      <c r="C143" s="2" t="s">
        <v>2572</v>
      </c>
      <c r="D143" s="2" t="s">
        <v>1283</v>
      </c>
      <c r="E143" s="2" t="s">
        <v>65</v>
      </c>
      <c r="F143" s="2"/>
      <c r="G143" s="2"/>
      <c r="H143" s="2"/>
      <c r="I143" s="2"/>
    </row>
    <row r="144" spans="1:9" x14ac:dyDescent="0.35">
      <c r="A144" s="2" t="s">
        <v>2500</v>
      </c>
      <c r="B144" s="2" t="s">
        <v>12</v>
      </c>
      <c r="C144" s="2" t="s">
        <v>2573</v>
      </c>
      <c r="D144" s="2" t="s">
        <v>31</v>
      </c>
      <c r="E144" s="2" t="s">
        <v>32</v>
      </c>
      <c r="F144" s="2"/>
      <c r="G144" s="2"/>
      <c r="H144" s="2"/>
      <c r="I144" s="2"/>
    </row>
    <row r="145" spans="1:9" x14ac:dyDescent="0.35">
      <c r="A145" s="2" t="s">
        <v>2500</v>
      </c>
      <c r="B145" s="2" t="s">
        <v>12</v>
      </c>
      <c r="C145" s="2" t="s">
        <v>2573</v>
      </c>
      <c r="D145" s="2" t="s">
        <v>1782</v>
      </c>
      <c r="E145" s="2" t="s">
        <v>38</v>
      </c>
      <c r="F145" s="2"/>
      <c r="G145" s="2"/>
      <c r="H145" s="2"/>
      <c r="I145" s="2"/>
    </row>
    <row r="146" spans="1:9" x14ac:dyDescent="0.35">
      <c r="A146" s="2" t="s">
        <v>2500</v>
      </c>
      <c r="B146" s="2" t="s">
        <v>12</v>
      </c>
      <c r="C146" s="2" t="s">
        <v>2573</v>
      </c>
      <c r="D146" s="2" t="s">
        <v>438</v>
      </c>
      <c r="E146" s="2" t="s">
        <v>19</v>
      </c>
      <c r="F146" s="2"/>
      <c r="G146" s="2"/>
      <c r="H146" s="2"/>
      <c r="I146" s="2"/>
    </row>
    <row r="147" spans="1:9" x14ac:dyDescent="0.35">
      <c r="A147" s="2" t="s">
        <v>2500</v>
      </c>
      <c r="B147" s="2" t="s">
        <v>12</v>
      </c>
      <c r="C147" s="2" t="s">
        <v>2573</v>
      </c>
      <c r="D147" s="2" t="s">
        <v>1021</v>
      </c>
      <c r="E147" s="2" t="s">
        <v>122</v>
      </c>
      <c r="F147" s="2"/>
      <c r="G147" s="2"/>
      <c r="H147" s="2"/>
      <c r="I147" s="2"/>
    </row>
    <row r="148" spans="1:9" x14ac:dyDescent="0.35">
      <c r="A148" s="2" t="s">
        <v>2500</v>
      </c>
      <c r="B148" s="2" t="s">
        <v>12</v>
      </c>
      <c r="C148" s="2" t="s">
        <v>2573</v>
      </c>
      <c r="D148" s="2" t="s">
        <v>1283</v>
      </c>
      <c r="E148" s="2" t="s">
        <v>65</v>
      </c>
      <c r="F148" s="2"/>
      <c r="G148" s="2"/>
      <c r="H148" s="2"/>
      <c r="I148" s="2"/>
    </row>
    <row r="149" spans="1:9" x14ac:dyDescent="0.35">
      <c r="A149" s="2" t="s">
        <v>2500</v>
      </c>
      <c r="B149" s="2" t="s">
        <v>24</v>
      </c>
      <c r="C149" s="2" t="s">
        <v>2574</v>
      </c>
      <c r="D149" s="2" t="s">
        <v>196</v>
      </c>
      <c r="E149" s="2" t="s">
        <v>197</v>
      </c>
      <c r="F149" s="2"/>
      <c r="G149" s="2"/>
      <c r="H149" s="2"/>
      <c r="I149" s="2"/>
    </row>
    <row r="150" spans="1:9" x14ac:dyDescent="0.35">
      <c r="A150" s="2" t="s">
        <v>2500</v>
      </c>
      <c r="B150" s="2" t="s">
        <v>24</v>
      </c>
      <c r="C150" s="2" t="s">
        <v>2574</v>
      </c>
      <c r="D150" s="2" t="s">
        <v>1267</v>
      </c>
      <c r="E150" s="2" t="s">
        <v>32</v>
      </c>
      <c r="F150" s="2"/>
      <c r="G150" s="2"/>
      <c r="H150" s="2"/>
      <c r="I150" s="2"/>
    </row>
    <row r="151" spans="1:9" x14ac:dyDescent="0.35">
      <c r="A151" s="2" t="s">
        <v>2500</v>
      </c>
      <c r="B151" s="2" t="s">
        <v>24</v>
      </c>
      <c r="C151" s="2" t="s">
        <v>2574</v>
      </c>
      <c r="D151" s="2" t="s">
        <v>168</v>
      </c>
      <c r="E151" s="2" t="s">
        <v>45</v>
      </c>
      <c r="F151" s="2" t="s">
        <v>46</v>
      </c>
      <c r="G151" s="2" t="s">
        <v>47</v>
      </c>
      <c r="H151" s="2"/>
      <c r="I151" s="2"/>
    </row>
    <row r="152" spans="1:9" x14ac:dyDescent="0.35">
      <c r="A152" s="2" t="s">
        <v>2500</v>
      </c>
      <c r="B152" s="2" t="s">
        <v>24</v>
      </c>
      <c r="C152" s="2" t="s">
        <v>2574</v>
      </c>
      <c r="D152" s="2" t="s">
        <v>100</v>
      </c>
      <c r="E152" s="2" t="s">
        <v>101</v>
      </c>
      <c r="F152" s="2"/>
      <c r="G152" s="2"/>
      <c r="H152" s="2"/>
      <c r="I152" s="2"/>
    </row>
    <row r="153" spans="1:9" x14ac:dyDescent="0.35">
      <c r="A153" s="2" t="s">
        <v>2500</v>
      </c>
      <c r="B153" s="2" t="s">
        <v>24</v>
      </c>
      <c r="C153" s="2" t="s">
        <v>2574</v>
      </c>
      <c r="D153" s="2" t="s">
        <v>188</v>
      </c>
      <c r="E153" s="2" t="s">
        <v>189</v>
      </c>
      <c r="F153" s="2"/>
      <c r="G153" s="2"/>
      <c r="H153" s="2"/>
      <c r="I153" s="2"/>
    </row>
    <row r="154" spans="1:9" x14ac:dyDescent="0.35">
      <c r="A154" s="2" t="s">
        <v>2500</v>
      </c>
      <c r="B154" s="2" t="s">
        <v>24</v>
      </c>
      <c r="C154" s="2" t="s">
        <v>2574</v>
      </c>
      <c r="D154" s="2" t="s">
        <v>1982</v>
      </c>
      <c r="E154" s="2" t="s">
        <v>847</v>
      </c>
      <c r="F154" s="2" t="s">
        <v>46</v>
      </c>
      <c r="G154" s="2" t="s">
        <v>47</v>
      </c>
      <c r="H154" s="2"/>
      <c r="I154" s="2"/>
    </row>
    <row r="155" spans="1:9" x14ac:dyDescent="0.35">
      <c r="A155" s="2" t="s">
        <v>2500</v>
      </c>
      <c r="B155" s="2" t="s">
        <v>12</v>
      </c>
      <c r="C155" s="2" t="s">
        <v>2575</v>
      </c>
      <c r="D155" s="2" t="s">
        <v>438</v>
      </c>
      <c r="E155" s="2" t="s">
        <v>19</v>
      </c>
      <c r="F155" s="2" t="s">
        <v>20</v>
      </c>
      <c r="G155" s="2" t="s">
        <v>2576</v>
      </c>
      <c r="H155" s="2"/>
      <c r="I155" s="2"/>
    </row>
    <row r="156" spans="1:9" x14ac:dyDescent="0.35">
      <c r="A156" s="2" t="s">
        <v>2500</v>
      </c>
      <c r="B156" s="2" t="s">
        <v>12</v>
      </c>
      <c r="C156" s="2" t="s">
        <v>2577</v>
      </c>
      <c r="D156" s="2" t="s">
        <v>1283</v>
      </c>
      <c r="E156" s="2" t="s">
        <v>65</v>
      </c>
      <c r="F156" s="2"/>
      <c r="G156" s="2"/>
      <c r="H156" s="2"/>
      <c r="I156" s="2"/>
    </row>
    <row r="157" spans="1:9" x14ac:dyDescent="0.35">
      <c r="A157" s="2" t="s">
        <v>2500</v>
      </c>
      <c r="B157" s="2" t="s">
        <v>12</v>
      </c>
      <c r="C157" s="2" t="s">
        <v>2578</v>
      </c>
      <c r="D157" s="2" t="s">
        <v>89</v>
      </c>
      <c r="E157" s="2" t="s">
        <v>45</v>
      </c>
      <c r="F157" s="2"/>
      <c r="G157" s="2"/>
      <c r="H157" s="2"/>
      <c r="I157" s="2"/>
    </row>
    <row r="158" spans="1:9" x14ac:dyDescent="0.35">
      <c r="A158" s="2" t="s">
        <v>2500</v>
      </c>
      <c r="B158" s="2" t="s">
        <v>12</v>
      </c>
      <c r="C158" s="2" t="s">
        <v>2578</v>
      </c>
      <c r="D158" s="2" t="s">
        <v>1283</v>
      </c>
      <c r="E158" s="2" t="s">
        <v>65</v>
      </c>
      <c r="F158" s="2"/>
      <c r="G158" s="2"/>
      <c r="H158" s="2"/>
      <c r="I158" s="2"/>
    </row>
    <row r="159" spans="1:9" x14ac:dyDescent="0.35">
      <c r="A159" s="2" t="s">
        <v>2500</v>
      </c>
      <c r="B159" s="2" t="s">
        <v>62</v>
      </c>
      <c r="C159" s="2" t="s">
        <v>2579</v>
      </c>
      <c r="D159" s="2" t="s">
        <v>91</v>
      </c>
      <c r="E159" s="2" t="s">
        <v>19</v>
      </c>
      <c r="F159" s="2"/>
      <c r="G159" s="2"/>
      <c r="H159" s="2"/>
      <c r="I159" s="2"/>
    </row>
    <row r="160" spans="1:9" x14ac:dyDescent="0.35">
      <c r="A160" s="2" t="s">
        <v>2500</v>
      </c>
      <c r="B160" s="2" t="s">
        <v>62</v>
      </c>
      <c r="C160" s="2" t="s">
        <v>2579</v>
      </c>
      <c r="D160" s="2" t="s">
        <v>1758</v>
      </c>
      <c r="E160" s="2" t="s">
        <v>40</v>
      </c>
      <c r="F160" s="2"/>
      <c r="G160" s="2"/>
      <c r="H160" s="2"/>
      <c r="I160" s="2"/>
    </row>
    <row r="161" spans="1:9" x14ac:dyDescent="0.35">
      <c r="A161" s="2" t="s">
        <v>2500</v>
      </c>
      <c r="B161" s="2" t="s">
        <v>62</v>
      </c>
      <c r="C161" s="2" t="s">
        <v>2579</v>
      </c>
      <c r="D161" s="2" t="s">
        <v>188</v>
      </c>
      <c r="E161" s="2" t="s">
        <v>189</v>
      </c>
      <c r="F161" s="2"/>
      <c r="G161" s="2"/>
      <c r="H161" s="2"/>
      <c r="I161" s="2"/>
    </row>
    <row r="162" spans="1:9" x14ac:dyDescent="0.35">
      <c r="A162" s="2" t="s">
        <v>2500</v>
      </c>
      <c r="B162" s="2" t="s">
        <v>62</v>
      </c>
      <c r="C162" s="2" t="s">
        <v>2579</v>
      </c>
      <c r="D162" s="2" t="s">
        <v>127</v>
      </c>
      <c r="E162" s="2" t="s">
        <v>107</v>
      </c>
      <c r="F162" s="2"/>
      <c r="G162" s="2"/>
      <c r="H162" s="2"/>
      <c r="I162" s="2"/>
    </row>
    <row r="163" spans="1:9" x14ac:dyDescent="0.35">
      <c r="A163" s="2" t="s">
        <v>2500</v>
      </c>
      <c r="B163" s="2" t="s">
        <v>24</v>
      </c>
      <c r="C163" s="2" t="s">
        <v>2580</v>
      </c>
      <c r="D163" s="2" t="s">
        <v>14</v>
      </c>
      <c r="E163" s="2" t="s">
        <v>15</v>
      </c>
      <c r="F163" s="2"/>
      <c r="G163" s="2"/>
      <c r="H163" s="2"/>
      <c r="I163" s="2"/>
    </row>
    <row r="164" spans="1:9" x14ac:dyDescent="0.35">
      <c r="A164" s="2" t="s">
        <v>2500</v>
      </c>
      <c r="B164" s="2" t="s">
        <v>24</v>
      </c>
      <c r="C164" s="2" t="s">
        <v>2580</v>
      </c>
      <c r="D164" s="2" t="s">
        <v>438</v>
      </c>
      <c r="E164" s="2" t="s">
        <v>19</v>
      </c>
      <c r="F164" s="2" t="s">
        <v>20</v>
      </c>
      <c r="G164" s="2" t="s">
        <v>2576</v>
      </c>
      <c r="H164" s="2"/>
      <c r="I164" s="2"/>
    </row>
    <row r="165" spans="1:9" x14ac:dyDescent="0.35">
      <c r="A165" s="2" t="s">
        <v>2500</v>
      </c>
      <c r="B165" s="2" t="s">
        <v>24</v>
      </c>
      <c r="C165" s="2" t="s">
        <v>2580</v>
      </c>
      <c r="D165" s="2" t="s">
        <v>77</v>
      </c>
      <c r="E165" s="2" t="s">
        <v>78</v>
      </c>
      <c r="F165" s="2" t="s">
        <v>20</v>
      </c>
      <c r="G165" s="2" t="s">
        <v>2581</v>
      </c>
      <c r="H165" s="2"/>
      <c r="I165" s="2"/>
    </row>
    <row r="166" spans="1:9" x14ac:dyDescent="0.35">
      <c r="A166" s="2" t="s">
        <v>2500</v>
      </c>
      <c r="B166" s="2" t="s">
        <v>24</v>
      </c>
      <c r="C166" s="2" t="s">
        <v>2582</v>
      </c>
      <c r="D166" s="2" t="s">
        <v>196</v>
      </c>
      <c r="E166" s="2" t="s">
        <v>2583</v>
      </c>
      <c r="F166" s="2"/>
      <c r="G166" s="2"/>
      <c r="H166" s="2"/>
      <c r="I166" s="2"/>
    </row>
    <row r="167" spans="1:9" x14ac:dyDescent="0.35">
      <c r="A167" s="2" t="s">
        <v>2500</v>
      </c>
      <c r="B167" s="2" t="s">
        <v>24</v>
      </c>
      <c r="C167" s="2" t="s">
        <v>2582</v>
      </c>
      <c r="D167" s="2" t="s">
        <v>120</v>
      </c>
      <c r="E167" s="2" t="s">
        <v>32</v>
      </c>
      <c r="F167" s="2" t="s">
        <v>20</v>
      </c>
      <c r="G167" s="2" t="s">
        <v>2584</v>
      </c>
      <c r="H167" s="2"/>
      <c r="I167" s="2"/>
    </row>
    <row r="168" spans="1:9" x14ac:dyDescent="0.35">
      <c r="A168" s="2" t="s">
        <v>2500</v>
      </c>
      <c r="B168" s="2" t="s">
        <v>24</v>
      </c>
      <c r="C168" s="2" t="s">
        <v>2582</v>
      </c>
      <c r="D168" s="2" t="s">
        <v>534</v>
      </c>
      <c r="E168" s="2" t="s">
        <v>38</v>
      </c>
      <c r="F168" s="2" t="s">
        <v>20</v>
      </c>
      <c r="G168" s="2" t="s">
        <v>2584</v>
      </c>
      <c r="H168" s="2"/>
      <c r="I168" s="2"/>
    </row>
    <row r="169" spans="1:9" x14ac:dyDescent="0.35">
      <c r="A169" s="2" t="s">
        <v>2500</v>
      </c>
      <c r="B169" s="2" t="s">
        <v>24</v>
      </c>
      <c r="C169" s="2" t="s">
        <v>2582</v>
      </c>
      <c r="D169" s="2" t="s">
        <v>121</v>
      </c>
      <c r="E169" s="2" t="s">
        <v>122</v>
      </c>
      <c r="F169" s="2" t="s">
        <v>20</v>
      </c>
      <c r="G169" s="2" t="s">
        <v>2584</v>
      </c>
      <c r="H169" s="2"/>
      <c r="I169" s="2"/>
    </row>
    <row r="170" spans="1:9" x14ac:dyDescent="0.35">
      <c r="A170" s="2" t="s">
        <v>2500</v>
      </c>
      <c r="B170" s="2" t="s">
        <v>24</v>
      </c>
      <c r="C170" s="2" t="s">
        <v>2582</v>
      </c>
      <c r="D170" s="2" t="s">
        <v>156</v>
      </c>
      <c r="E170" s="2" t="s">
        <v>45</v>
      </c>
      <c r="F170" s="2" t="s">
        <v>20</v>
      </c>
      <c r="G170" s="2" t="s">
        <v>2584</v>
      </c>
      <c r="H170" s="2"/>
      <c r="I170" s="2"/>
    </row>
    <row r="171" spans="1:9" x14ac:dyDescent="0.35">
      <c r="A171" s="2" t="s">
        <v>2500</v>
      </c>
      <c r="B171" s="2" t="s">
        <v>24</v>
      </c>
      <c r="C171" s="2" t="s">
        <v>2582</v>
      </c>
      <c r="D171" s="2" t="s">
        <v>100</v>
      </c>
      <c r="E171" s="2" t="s">
        <v>101</v>
      </c>
      <c r="F171" s="2" t="s">
        <v>20</v>
      </c>
      <c r="G171" s="2" t="s">
        <v>2584</v>
      </c>
      <c r="H171" s="2"/>
      <c r="I171" s="2"/>
    </row>
    <row r="172" spans="1:9" x14ac:dyDescent="0.35">
      <c r="A172" s="2" t="s">
        <v>2500</v>
      </c>
      <c r="B172" s="2" t="s">
        <v>24</v>
      </c>
      <c r="C172" s="2" t="s">
        <v>2582</v>
      </c>
      <c r="D172" s="2" t="s">
        <v>149</v>
      </c>
      <c r="E172" s="2" t="s">
        <v>150</v>
      </c>
      <c r="F172" s="2" t="s">
        <v>20</v>
      </c>
      <c r="G172" s="2" t="s">
        <v>2584</v>
      </c>
      <c r="H172" s="2"/>
      <c r="I172" s="2"/>
    </row>
    <row r="173" spans="1:9" x14ac:dyDescent="0.35">
      <c r="A173" s="2" t="s">
        <v>2500</v>
      </c>
      <c r="B173" s="2" t="s">
        <v>24</v>
      </c>
      <c r="C173" s="2" t="s">
        <v>2582</v>
      </c>
      <c r="D173" s="2" t="s">
        <v>1283</v>
      </c>
      <c r="E173" s="2" t="s">
        <v>65</v>
      </c>
      <c r="F173" s="2" t="s">
        <v>20</v>
      </c>
      <c r="G173" s="2" t="s">
        <v>2584</v>
      </c>
      <c r="H173" s="2"/>
      <c r="I173" s="2"/>
    </row>
    <row r="174" spans="1:9" x14ac:dyDescent="0.35">
      <c r="A174" s="2" t="s">
        <v>2500</v>
      </c>
      <c r="B174" s="2" t="s">
        <v>57</v>
      </c>
      <c r="C174" s="2" t="s">
        <v>2585</v>
      </c>
      <c r="D174" s="2" t="s">
        <v>196</v>
      </c>
      <c r="E174" s="2" t="s">
        <v>197</v>
      </c>
      <c r="F174" s="2"/>
      <c r="G174" s="2"/>
      <c r="H174" s="2"/>
      <c r="I174" s="2"/>
    </row>
    <row r="175" spans="1:9" x14ac:dyDescent="0.35">
      <c r="A175" s="2" t="s">
        <v>2500</v>
      </c>
      <c r="B175" s="2" t="s">
        <v>57</v>
      </c>
      <c r="C175" s="2" t="s">
        <v>2585</v>
      </c>
      <c r="D175" s="2" t="s">
        <v>1775</v>
      </c>
      <c r="E175" s="2" t="s">
        <v>203</v>
      </c>
      <c r="F175" s="2"/>
      <c r="G175" s="2"/>
      <c r="H175" s="2"/>
      <c r="I175" s="2"/>
    </row>
    <row r="176" spans="1:9" x14ac:dyDescent="0.35">
      <c r="A176" s="2" t="s">
        <v>2500</v>
      </c>
      <c r="B176" s="2" t="s">
        <v>57</v>
      </c>
      <c r="C176" s="2" t="s">
        <v>2585</v>
      </c>
      <c r="D176" s="2" t="s">
        <v>31</v>
      </c>
      <c r="E176" s="2" t="s">
        <v>32</v>
      </c>
      <c r="F176" s="2"/>
      <c r="G176" s="2"/>
      <c r="H176" s="2"/>
      <c r="I176" s="2"/>
    </row>
    <row r="177" spans="1:9" x14ac:dyDescent="0.35">
      <c r="A177" s="2" t="s">
        <v>2500</v>
      </c>
      <c r="B177" s="2" t="s">
        <v>57</v>
      </c>
      <c r="C177" s="2" t="s">
        <v>2585</v>
      </c>
      <c r="D177" s="2" t="s">
        <v>212</v>
      </c>
      <c r="E177" s="2" t="s">
        <v>78</v>
      </c>
      <c r="F177" s="2"/>
      <c r="G177" s="2"/>
      <c r="H177" s="2"/>
      <c r="I177" s="2"/>
    </row>
    <row r="178" spans="1:9" x14ac:dyDescent="0.35">
      <c r="A178" s="2" t="s">
        <v>2500</v>
      </c>
      <c r="B178" s="2" t="s">
        <v>57</v>
      </c>
      <c r="C178" s="2" t="s">
        <v>2585</v>
      </c>
      <c r="D178" s="2" t="s">
        <v>438</v>
      </c>
      <c r="E178" s="2" t="s">
        <v>19</v>
      </c>
      <c r="F178" s="2" t="s">
        <v>20</v>
      </c>
      <c r="G178" s="2" t="s">
        <v>2586</v>
      </c>
      <c r="H178" s="2"/>
      <c r="I178" s="2"/>
    </row>
    <row r="179" spans="1:9" x14ac:dyDescent="0.35">
      <c r="A179" s="2" t="s">
        <v>2500</v>
      </c>
      <c r="B179" s="2" t="s">
        <v>57</v>
      </c>
      <c r="C179" s="2" t="s">
        <v>2585</v>
      </c>
      <c r="D179" s="2" t="s">
        <v>2587</v>
      </c>
      <c r="E179" s="2" t="s">
        <v>45</v>
      </c>
      <c r="F179" s="2"/>
      <c r="G179" s="2"/>
      <c r="H179" s="2"/>
      <c r="I179" s="2"/>
    </row>
    <row r="180" spans="1:9" x14ac:dyDescent="0.35">
      <c r="A180" s="2" t="s">
        <v>2500</v>
      </c>
      <c r="B180" s="2" t="s">
        <v>57</v>
      </c>
      <c r="C180" s="2" t="s">
        <v>2585</v>
      </c>
      <c r="D180" s="2" t="s">
        <v>100</v>
      </c>
      <c r="E180" s="2" t="s">
        <v>101</v>
      </c>
      <c r="F180" s="2"/>
      <c r="G180" s="2"/>
      <c r="H180" s="2"/>
      <c r="I180" s="2"/>
    </row>
    <row r="181" spans="1:9" x14ac:dyDescent="0.35">
      <c r="A181" s="2" t="s">
        <v>2500</v>
      </c>
      <c r="B181" s="2" t="s">
        <v>57</v>
      </c>
      <c r="C181" s="2" t="s">
        <v>2585</v>
      </c>
      <c r="D181" s="2" t="s">
        <v>188</v>
      </c>
      <c r="E181" s="2" t="s">
        <v>189</v>
      </c>
      <c r="F181" s="2"/>
      <c r="G181" s="2"/>
      <c r="H181" s="2"/>
      <c r="I181" s="2"/>
    </row>
    <row r="182" spans="1:9" x14ac:dyDescent="0.35">
      <c r="A182" s="2" t="s">
        <v>2500</v>
      </c>
      <c r="B182" s="2" t="s">
        <v>57</v>
      </c>
      <c r="C182" s="2" t="s">
        <v>2585</v>
      </c>
      <c r="D182" s="2" t="s">
        <v>149</v>
      </c>
      <c r="E182" s="2" t="s">
        <v>150</v>
      </c>
      <c r="F182" s="2" t="s">
        <v>20</v>
      </c>
      <c r="G182" s="2" t="s">
        <v>2588</v>
      </c>
      <c r="H182" s="2"/>
      <c r="I182" s="2"/>
    </row>
    <row r="183" spans="1:9" x14ac:dyDescent="0.35">
      <c r="A183" s="2" t="s">
        <v>2500</v>
      </c>
      <c r="B183" s="2" t="s">
        <v>12</v>
      </c>
      <c r="C183" s="2" t="s">
        <v>2589</v>
      </c>
      <c r="D183" s="2" t="s">
        <v>438</v>
      </c>
      <c r="E183" s="2" t="s">
        <v>19</v>
      </c>
      <c r="F183" s="2" t="s">
        <v>20</v>
      </c>
      <c r="G183" s="2" t="s">
        <v>1378</v>
      </c>
      <c r="H183" s="2"/>
      <c r="I183" s="2"/>
    </row>
    <row r="184" spans="1:9" x14ac:dyDescent="0.35">
      <c r="A184" s="2" t="s">
        <v>2500</v>
      </c>
      <c r="B184" s="2" t="s">
        <v>12</v>
      </c>
      <c r="C184" s="2" t="s">
        <v>2589</v>
      </c>
      <c r="D184" s="2" t="s">
        <v>1283</v>
      </c>
      <c r="E184" s="2" t="s">
        <v>65</v>
      </c>
      <c r="F184" s="2"/>
      <c r="G184" s="2"/>
      <c r="H184" s="2"/>
      <c r="I184" s="2"/>
    </row>
    <row r="185" spans="1:9" x14ac:dyDescent="0.35">
      <c r="A185" s="2" t="s">
        <v>2500</v>
      </c>
      <c r="B185" s="2" t="s">
        <v>436</v>
      </c>
      <c r="C185" s="2" t="s">
        <v>2590</v>
      </c>
      <c r="D185" s="2" t="s">
        <v>14</v>
      </c>
      <c r="E185" s="2" t="s">
        <v>15</v>
      </c>
      <c r="F185" s="2" t="s">
        <v>46</v>
      </c>
      <c r="G185" s="2" t="s">
        <v>2569</v>
      </c>
      <c r="H185" s="2"/>
      <c r="I185" s="2"/>
    </row>
    <row r="186" spans="1:9" x14ac:dyDescent="0.35">
      <c r="A186" s="2" t="s">
        <v>2500</v>
      </c>
      <c r="B186" s="2" t="s">
        <v>436</v>
      </c>
      <c r="C186" s="2" t="s">
        <v>2590</v>
      </c>
      <c r="D186" s="2" t="s">
        <v>144</v>
      </c>
      <c r="E186" s="2" t="s">
        <v>50</v>
      </c>
      <c r="F186" s="2" t="s">
        <v>46</v>
      </c>
      <c r="G186" s="2" t="s">
        <v>2569</v>
      </c>
      <c r="H186" s="2"/>
      <c r="I186" s="2"/>
    </row>
    <row r="187" spans="1:9" x14ac:dyDescent="0.35">
      <c r="A187" s="2" t="s">
        <v>2500</v>
      </c>
      <c r="B187" s="2" t="s">
        <v>436</v>
      </c>
      <c r="C187" s="2" t="s">
        <v>2590</v>
      </c>
      <c r="D187" s="2" t="s">
        <v>2591</v>
      </c>
      <c r="E187" s="2" t="s">
        <v>38</v>
      </c>
      <c r="F187" s="2" t="s">
        <v>46</v>
      </c>
      <c r="G187" s="2" t="s">
        <v>2569</v>
      </c>
      <c r="H187" s="2"/>
      <c r="I187" s="2"/>
    </row>
    <row r="188" spans="1:9" x14ac:dyDescent="0.35">
      <c r="A188" s="2" t="s">
        <v>2500</v>
      </c>
      <c r="B188" s="2" t="s">
        <v>12</v>
      </c>
      <c r="C188" s="2" t="s">
        <v>2592</v>
      </c>
      <c r="D188" s="2" t="s">
        <v>438</v>
      </c>
      <c r="E188" s="2" t="s">
        <v>19</v>
      </c>
      <c r="F188" s="2" t="s">
        <v>46</v>
      </c>
      <c r="G188" s="2" t="s">
        <v>675</v>
      </c>
      <c r="H188" s="2"/>
      <c r="I188" s="2"/>
    </row>
    <row r="189" spans="1:9" x14ac:dyDescent="0.35">
      <c r="A189" s="2" t="s">
        <v>2500</v>
      </c>
      <c r="B189" s="2" t="s">
        <v>62</v>
      </c>
      <c r="C189" s="2" t="s">
        <v>2593</v>
      </c>
      <c r="D189" s="2" t="s">
        <v>438</v>
      </c>
      <c r="E189" s="2" t="s">
        <v>19</v>
      </c>
      <c r="F189" s="2" t="s">
        <v>20</v>
      </c>
      <c r="G189" s="2" t="s">
        <v>1378</v>
      </c>
      <c r="H189" s="2"/>
      <c r="I189" s="2"/>
    </row>
    <row r="190" spans="1:9" x14ac:dyDescent="0.35">
      <c r="A190" s="2" t="s">
        <v>2594</v>
      </c>
      <c r="B190" s="2" t="s">
        <v>24</v>
      </c>
      <c r="C190" s="2" t="s">
        <v>2595</v>
      </c>
      <c r="D190" s="2" t="s">
        <v>14</v>
      </c>
      <c r="E190" s="2" t="s">
        <v>15</v>
      </c>
      <c r="F190" s="2"/>
      <c r="G190" s="2"/>
      <c r="H190" s="2"/>
      <c r="I190" s="2"/>
    </row>
    <row r="191" spans="1:9" x14ac:dyDescent="0.35">
      <c r="A191" s="2" t="s">
        <v>2594</v>
      </c>
      <c r="B191" s="2" t="s">
        <v>24</v>
      </c>
      <c r="C191" s="2" t="s">
        <v>2595</v>
      </c>
      <c r="D191" s="2" t="s">
        <v>144</v>
      </c>
      <c r="E191" s="2" t="s">
        <v>50</v>
      </c>
      <c r="F191" s="2"/>
      <c r="G191" s="2"/>
      <c r="H191" s="2"/>
      <c r="I191" s="2"/>
    </row>
    <row r="192" spans="1:9" x14ac:dyDescent="0.35">
      <c r="A192" s="2" t="s">
        <v>2594</v>
      </c>
      <c r="B192" s="2" t="s">
        <v>24</v>
      </c>
      <c r="C192" s="2" t="s">
        <v>2595</v>
      </c>
      <c r="D192" s="2" t="s">
        <v>33</v>
      </c>
      <c r="E192" s="2" t="s">
        <v>34</v>
      </c>
      <c r="F192" s="2"/>
      <c r="G192" s="2"/>
      <c r="H192" s="2"/>
      <c r="I192" s="2"/>
    </row>
    <row r="193" spans="1:9" x14ac:dyDescent="0.35">
      <c r="A193" s="2" t="s">
        <v>2594</v>
      </c>
      <c r="B193" s="2" t="s">
        <v>24</v>
      </c>
      <c r="C193" s="2" t="s">
        <v>2595</v>
      </c>
      <c r="D193" s="2" t="s">
        <v>393</v>
      </c>
      <c r="E193" s="2" t="s">
        <v>36</v>
      </c>
      <c r="F193" s="2"/>
      <c r="G193" s="2"/>
      <c r="H193" s="2"/>
      <c r="I193" s="2"/>
    </row>
    <row r="194" spans="1:9" x14ac:dyDescent="0.35">
      <c r="A194" s="2" t="s">
        <v>2594</v>
      </c>
      <c r="B194" s="2" t="s">
        <v>24</v>
      </c>
      <c r="C194" s="2" t="s">
        <v>2595</v>
      </c>
      <c r="D194" s="2" t="s">
        <v>91</v>
      </c>
      <c r="E194" s="2" t="s">
        <v>19</v>
      </c>
      <c r="F194" s="2"/>
      <c r="G194" s="2"/>
      <c r="H194" s="2"/>
      <c r="I194" s="2"/>
    </row>
    <row r="195" spans="1:9" x14ac:dyDescent="0.35">
      <c r="A195" s="2" t="s">
        <v>2594</v>
      </c>
      <c r="B195" s="2" t="s">
        <v>24</v>
      </c>
      <c r="C195" s="2" t="s">
        <v>2595</v>
      </c>
      <c r="D195" s="2" t="s">
        <v>42</v>
      </c>
      <c r="E195" s="2" t="s">
        <v>43</v>
      </c>
      <c r="F195" s="2"/>
      <c r="G195" s="2"/>
      <c r="H195" s="2"/>
      <c r="I195" s="2"/>
    </row>
    <row r="196" spans="1:9" x14ac:dyDescent="0.35">
      <c r="A196" s="2" t="s">
        <v>2594</v>
      </c>
      <c r="B196" s="2" t="s">
        <v>24</v>
      </c>
      <c r="C196" s="2" t="s">
        <v>2595</v>
      </c>
      <c r="D196" s="2" t="s">
        <v>193</v>
      </c>
      <c r="E196" s="2" t="s">
        <v>40</v>
      </c>
      <c r="F196" s="2" t="s">
        <v>20</v>
      </c>
      <c r="G196" s="2" t="s">
        <v>2596</v>
      </c>
      <c r="H196" s="2"/>
      <c r="I196" s="2"/>
    </row>
    <row r="197" spans="1:9" x14ac:dyDescent="0.35">
      <c r="A197" s="2" t="s">
        <v>2597</v>
      </c>
      <c r="B197" s="2" t="s">
        <v>57</v>
      </c>
      <c r="C197" s="2" t="s">
        <v>2598</v>
      </c>
      <c r="D197" s="2" t="s">
        <v>417</v>
      </c>
      <c r="E197" s="2" t="s">
        <v>40</v>
      </c>
      <c r="F197" s="2"/>
      <c r="G197" s="2"/>
      <c r="H197" s="2"/>
      <c r="I197" s="2"/>
    </row>
    <row r="198" spans="1:9" x14ac:dyDescent="0.35">
      <c r="A198" s="2" t="s">
        <v>2597</v>
      </c>
      <c r="B198" s="2" t="s">
        <v>57</v>
      </c>
      <c r="C198" s="2" t="s">
        <v>2598</v>
      </c>
      <c r="D198" s="2" t="s">
        <v>18</v>
      </c>
      <c r="E198" s="2" t="s">
        <v>19</v>
      </c>
      <c r="F198" s="2" t="s">
        <v>20</v>
      </c>
      <c r="G198" s="2" t="s">
        <v>2599</v>
      </c>
      <c r="H198" s="2"/>
      <c r="I198" s="2"/>
    </row>
    <row r="199" spans="1:9" x14ac:dyDescent="0.35">
      <c r="A199" s="2" t="s">
        <v>2597</v>
      </c>
      <c r="B199" s="2" t="s">
        <v>57</v>
      </c>
      <c r="C199" s="2" t="s">
        <v>2598</v>
      </c>
      <c r="D199" s="2" t="s">
        <v>188</v>
      </c>
      <c r="E199" s="2" t="s">
        <v>189</v>
      </c>
      <c r="F199" s="2"/>
      <c r="G199" s="2"/>
      <c r="H199" s="2"/>
      <c r="I199" s="2"/>
    </row>
    <row r="200" spans="1:9" x14ac:dyDescent="0.35">
      <c r="A200" s="2" t="s">
        <v>2597</v>
      </c>
      <c r="B200" s="2" t="s">
        <v>57</v>
      </c>
      <c r="C200" s="2" t="s">
        <v>2598</v>
      </c>
      <c r="D200" s="2" t="s">
        <v>149</v>
      </c>
      <c r="E200" s="2" t="s">
        <v>150</v>
      </c>
      <c r="F200" s="2" t="s">
        <v>20</v>
      </c>
      <c r="G200" s="2" t="s">
        <v>2600</v>
      </c>
      <c r="H200" s="2"/>
      <c r="I200" s="2"/>
    </row>
    <row r="201" spans="1:9" x14ac:dyDescent="0.35">
      <c r="A201" s="2" t="s">
        <v>2601</v>
      </c>
      <c r="B201" s="2" t="s">
        <v>24</v>
      </c>
      <c r="C201" s="2" t="s">
        <v>2602</v>
      </c>
      <c r="D201" s="2" t="s">
        <v>31</v>
      </c>
      <c r="E201" s="2" t="s">
        <v>32</v>
      </c>
      <c r="F201" s="2" t="s">
        <v>46</v>
      </c>
      <c r="G201" s="2" t="s">
        <v>675</v>
      </c>
      <c r="H201" s="2"/>
      <c r="I201" s="2"/>
    </row>
    <row r="202" spans="1:9" x14ac:dyDescent="0.35">
      <c r="A202" s="2" t="s">
        <v>2601</v>
      </c>
      <c r="B202" s="2" t="s">
        <v>24</v>
      </c>
      <c r="C202" s="2" t="s">
        <v>2602</v>
      </c>
      <c r="D202" s="2" t="s">
        <v>438</v>
      </c>
      <c r="E202" s="2" t="s">
        <v>19</v>
      </c>
      <c r="F202" s="2" t="s">
        <v>46</v>
      </c>
      <c r="G202" s="2" t="s">
        <v>675</v>
      </c>
      <c r="H202" s="2"/>
      <c r="I202" s="2"/>
    </row>
    <row r="203" spans="1:9" x14ac:dyDescent="0.35">
      <c r="A203" s="2" t="s">
        <v>2601</v>
      </c>
      <c r="B203" s="2" t="s">
        <v>24</v>
      </c>
      <c r="C203" s="2" t="s">
        <v>2602</v>
      </c>
      <c r="D203" s="2" t="s">
        <v>89</v>
      </c>
      <c r="E203" s="2" t="s">
        <v>45</v>
      </c>
      <c r="F203" s="2" t="s">
        <v>46</v>
      </c>
      <c r="G203" s="2" t="s">
        <v>675</v>
      </c>
      <c r="H203" s="2"/>
      <c r="I203" s="2"/>
    </row>
    <row r="204" spans="1:9" x14ac:dyDescent="0.35">
      <c r="A204" s="2" t="s">
        <v>2601</v>
      </c>
      <c r="B204" s="2" t="s">
        <v>24</v>
      </c>
      <c r="C204" s="2" t="s">
        <v>2603</v>
      </c>
      <c r="D204" s="2" t="s">
        <v>155</v>
      </c>
      <c r="E204" s="2" t="s">
        <v>32</v>
      </c>
      <c r="F204" s="2" t="s">
        <v>20</v>
      </c>
      <c r="G204" s="2" t="s">
        <v>2604</v>
      </c>
      <c r="H204" s="2"/>
      <c r="I204" s="2"/>
    </row>
    <row r="205" spans="1:9" x14ac:dyDescent="0.35">
      <c r="A205" s="2" t="s">
        <v>2601</v>
      </c>
      <c r="B205" s="2" t="s">
        <v>24</v>
      </c>
      <c r="C205" s="2" t="s">
        <v>2603</v>
      </c>
      <c r="D205" s="2" t="s">
        <v>96</v>
      </c>
      <c r="E205" s="2" t="s">
        <v>83</v>
      </c>
      <c r="F205" s="2" t="s">
        <v>20</v>
      </c>
      <c r="G205" s="2" t="s">
        <v>2605</v>
      </c>
      <c r="H205" s="2"/>
      <c r="I205" s="2"/>
    </row>
    <row r="206" spans="1:9" x14ac:dyDescent="0.35">
      <c r="A206" s="2" t="s">
        <v>2601</v>
      </c>
      <c r="B206" s="2" t="s">
        <v>24</v>
      </c>
      <c r="C206" s="2" t="s">
        <v>2603</v>
      </c>
      <c r="D206" s="2" t="s">
        <v>38</v>
      </c>
      <c r="E206" s="2" t="s">
        <v>38</v>
      </c>
      <c r="F206" s="2"/>
      <c r="G206" s="2"/>
      <c r="H206" s="2"/>
      <c r="I206" s="2"/>
    </row>
    <row r="207" spans="1:9" x14ac:dyDescent="0.35">
      <c r="A207" s="2" t="s">
        <v>2601</v>
      </c>
      <c r="B207" s="2" t="s">
        <v>24</v>
      </c>
      <c r="C207" s="2" t="s">
        <v>2603</v>
      </c>
      <c r="D207" s="2" t="s">
        <v>438</v>
      </c>
      <c r="E207" s="2" t="s">
        <v>19</v>
      </c>
      <c r="F207" s="2" t="s">
        <v>20</v>
      </c>
      <c r="G207" s="2" t="s">
        <v>2606</v>
      </c>
      <c r="H207" s="2"/>
      <c r="I207" s="2"/>
    </row>
    <row r="208" spans="1:9" x14ac:dyDescent="0.35">
      <c r="A208" s="2" t="s">
        <v>2601</v>
      </c>
      <c r="B208" s="2" t="s">
        <v>54</v>
      </c>
      <c r="C208" s="2" t="s">
        <v>2607</v>
      </c>
      <c r="D208" s="2" t="s">
        <v>14</v>
      </c>
      <c r="E208" s="2" t="s">
        <v>15</v>
      </c>
      <c r="F208" s="2"/>
      <c r="G208" s="2"/>
      <c r="H208" s="2"/>
      <c r="I208" s="2"/>
    </row>
    <row r="209" spans="1:9" x14ac:dyDescent="0.35">
      <c r="A209" s="2" t="s">
        <v>2601</v>
      </c>
      <c r="B209" s="2" t="s">
        <v>54</v>
      </c>
      <c r="C209" s="2" t="s">
        <v>2607</v>
      </c>
      <c r="D209" s="2" t="s">
        <v>1370</v>
      </c>
      <c r="E209" s="2" t="s">
        <v>43</v>
      </c>
      <c r="F209" s="2"/>
      <c r="G209" s="2"/>
      <c r="H209" s="2"/>
      <c r="I209" s="2"/>
    </row>
    <row r="210" spans="1:9" x14ac:dyDescent="0.35">
      <c r="A210" s="2" t="s">
        <v>2601</v>
      </c>
      <c r="B210" s="2" t="s">
        <v>54</v>
      </c>
      <c r="C210" s="2" t="s">
        <v>2607</v>
      </c>
      <c r="D210" s="2" t="s">
        <v>77</v>
      </c>
      <c r="E210" s="2" t="s">
        <v>78</v>
      </c>
      <c r="F210" s="2"/>
      <c r="G210" s="2"/>
      <c r="H210" s="2"/>
      <c r="I210" s="2"/>
    </row>
    <row r="211" spans="1:9" x14ac:dyDescent="0.35">
      <c r="A211" s="2" t="s">
        <v>2601</v>
      </c>
      <c r="B211" s="2" t="s">
        <v>54</v>
      </c>
      <c r="C211" s="2" t="s">
        <v>2607</v>
      </c>
      <c r="D211" s="2" t="s">
        <v>188</v>
      </c>
      <c r="E211" s="2" t="s">
        <v>189</v>
      </c>
      <c r="F211" s="2"/>
      <c r="G211" s="2"/>
      <c r="H211" s="2"/>
      <c r="I211" s="2"/>
    </row>
    <row r="212" spans="1:9" x14ac:dyDescent="0.35">
      <c r="A212" s="2" t="s">
        <v>2601</v>
      </c>
      <c r="B212" s="2" t="s">
        <v>24</v>
      </c>
      <c r="C212" s="2" t="s">
        <v>2608</v>
      </c>
      <c r="D212" s="2" t="s">
        <v>604</v>
      </c>
      <c r="E212" s="2" t="s">
        <v>78</v>
      </c>
      <c r="F212" s="2"/>
      <c r="G212" s="2"/>
      <c r="H212" s="2"/>
      <c r="I212" s="2"/>
    </row>
    <row r="213" spans="1:9" x14ac:dyDescent="0.35">
      <c r="A213" s="2" t="s">
        <v>2601</v>
      </c>
      <c r="B213" s="2" t="s">
        <v>24</v>
      </c>
      <c r="C213" s="2" t="s">
        <v>2609</v>
      </c>
      <c r="D213" s="2" t="s">
        <v>196</v>
      </c>
      <c r="E213" s="2" t="s">
        <v>2583</v>
      </c>
      <c r="F213" s="2"/>
      <c r="G213" s="2"/>
      <c r="H213" s="2"/>
      <c r="I213" s="2"/>
    </row>
    <row r="214" spans="1:9" x14ac:dyDescent="0.35">
      <c r="A214" s="2" t="s">
        <v>2601</v>
      </c>
      <c r="B214" s="2" t="s">
        <v>24</v>
      </c>
      <c r="C214" s="2" t="s">
        <v>2609</v>
      </c>
      <c r="D214" s="2" t="s">
        <v>31</v>
      </c>
      <c r="E214" s="2" t="s">
        <v>32</v>
      </c>
      <c r="F214" s="2"/>
      <c r="G214" s="2"/>
      <c r="H214" s="2"/>
      <c r="I214" s="2"/>
    </row>
    <row r="215" spans="1:9" x14ac:dyDescent="0.35">
      <c r="A215" s="2" t="s">
        <v>2601</v>
      </c>
      <c r="B215" s="2" t="s">
        <v>24</v>
      </c>
      <c r="C215" s="2" t="s">
        <v>2609</v>
      </c>
      <c r="D215" s="2" t="s">
        <v>992</v>
      </c>
      <c r="E215" s="2" t="s">
        <v>201</v>
      </c>
      <c r="F215" s="2"/>
      <c r="G215" s="2"/>
      <c r="H215" s="2"/>
      <c r="I215" s="2"/>
    </row>
    <row r="216" spans="1:9" x14ac:dyDescent="0.35">
      <c r="A216" s="2" t="s">
        <v>2601</v>
      </c>
      <c r="B216" s="2" t="s">
        <v>24</v>
      </c>
      <c r="C216" s="2" t="s">
        <v>2609</v>
      </c>
      <c r="D216" s="2" t="s">
        <v>2610</v>
      </c>
      <c r="E216" s="2" t="s">
        <v>1216</v>
      </c>
      <c r="F216" s="2"/>
      <c r="G216" s="2"/>
      <c r="H216" s="2"/>
      <c r="I216" s="2"/>
    </row>
    <row r="217" spans="1:9" x14ac:dyDescent="0.35">
      <c r="A217" s="2" t="s">
        <v>2601</v>
      </c>
      <c r="B217" s="2" t="s">
        <v>24</v>
      </c>
      <c r="C217" s="2" t="s">
        <v>2609</v>
      </c>
      <c r="D217" s="2" t="s">
        <v>416</v>
      </c>
      <c r="E217" s="2" t="s">
        <v>38</v>
      </c>
      <c r="F217" s="2"/>
      <c r="G217" s="2"/>
      <c r="H217" s="2"/>
      <c r="I217" s="2"/>
    </row>
    <row r="218" spans="1:9" x14ac:dyDescent="0.35">
      <c r="A218" s="2" t="s">
        <v>2601</v>
      </c>
      <c r="B218" s="2" t="s">
        <v>24</v>
      </c>
      <c r="C218" s="2" t="s">
        <v>2609</v>
      </c>
      <c r="D218" s="2" t="s">
        <v>121</v>
      </c>
      <c r="E218" s="2" t="s">
        <v>122</v>
      </c>
      <c r="F218" s="2"/>
      <c r="G218" s="2"/>
      <c r="H218" s="2"/>
      <c r="I218" s="2"/>
    </row>
    <row r="219" spans="1:9" x14ac:dyDescent="0.35">
      <c r="A219" s="2" t="s">
        <v>2601</v>
      </c>
      <c r="B219" s="2" t="s">
        <v>24</v>
      </c>
      <c r="C219" s="2" t="s">
        <v>2609</v>
      </c>
      <c r="D219" s="2" t="s">
        <v>156</v>
      </c>
      <c r="E219" s="2" t="s">
        <v>45</v>
      </c>
      <c r="F219" s="2" t="s">
        <v>20</v>
      </c>
      <c r="G219" s="2" t="s">
        <v>2611</v>
      </c>
      <c r="H219" s="2"/>
      <c r="I219" s="2"/>
    </row>
    <row r="220" spans="1:9" x14ac:dyDescent="0.35">
      <c r="A220" s="2" t="s">
        <v>2601</v>
      </c>
      <c r="B220" s="2" t="s">
        <v>24</v>
      </c>
      <c r="C220" s="2" t="s">
        <v>2609</v>
      </c>
      <c r="D220" s="2" t="s">
        <v>87</v>
      </c>
      <c r="E220" s="2" t="s">
        <v>75</v>
      </c>
      <c r="F220" s="2"/>
      <c r="G220" s="2"/>
      <c r="H220" s="2"/>
      <c r="I220" s="2"/>
    </row>
    <row r="221" spans="1:9" x14ac:dyDescent="0.35">
      <c r="A221" s="2" t="s">
        <v>2601</v>
      </c>
      <c r="B221" s="2" t="s">
        <v>24</v>
      </c>
      <c r="C221" s="2" t="s">
        <v>2609</v>
      </c>
      <c r="D221" s="2" t="s">
        <v>18</v>
      </c>
      <c r="E221" s="2" t="s">
        <v>19</v>
      </c>
      <c r="F221" s="2" t="s">
        <v>20</v>
      </c>
      <c r="G221" s="2" t="s">
        <v>2576</v>
      </c>
      <c r="H221" s="2"/>
      <c r="I221" s="2"/>
    </row>
    <row r="222" spans="1:9" x14ac:dyDescent="0.35">
      <c r="A222" s="2" t="s">
        <v>2601</v>
      </c>
      <c r="B222" s="2" t="s">
        <v>24</v>
      </c>
      <c r="C222" s="2" t="s">
        <v>2609</v>
      </c>
      <c r="D222" s="2" t="s">
        <v>100</v>
      </c>
      <c r="E222" s="2" t="s">
        <v>101</v>
      </c>
      <c r="F222" s="2"/>
      <c r="G222" s="2"/>
      <c r="H222" s="2"/>
      <c r="I222" s="2"/>
    </row>
    <row r="223" spans="1:9" x14ac:dyDescent="0.35">
      <c r="A223" s="2" t="s">
        <v>2601</v>
      </c>
      <c r="B223" s="2" t="s">
        <v>24</v>
      </c>
      <c r="C223" s="2" t="s">
        <v>2609</v>
      </c>
      <c r="D223" s="2" t="s">
        <v>188</v>
      </c>
      <c r="E223" s="2" t="s">
        <v>189</v>
      </c>
      <c r="F223" s="2"/>
      <c r="G223" s="2"/>
      <c r="H223" s="2"/>
      <c r="I223" s="2"/>
    </row>
    <row r="224" spans="1:9" x14ac:dyDescent="0.35">
      <c r="A224" s="2" t="s">
        <v>2601</v>
      </c>
      <c r="B224" s="2" t="s">
        <v>24</v>
      </c>
      <c r="C224" s="2" t="s">
        <v>2609</v>
      </c>
      <c r="D224" s="2" t="s">
        <v>862</v>
      </c>
      <c r="E224" s="2" t="s">
        <v>38</v>
      </c>
      <c r="F224" s="2"/>
      <c r="G224" s="2"/>
      <c r="H224" s="2"/>
      <c r="I224" s="2"/>
    </row>
    <row r="225" spans="1:9" x14ac:dyDescent="0.35">
      <c r="A225" s="2" t="s">
        <v>2601</v>
      </c>
      <c r="B225" s="2" t="s">
        <v>24</v>
      </c>
      <c r="C225" s="2" t="s">
        <v>2609</v>
      </c>
      <c r="D225" s="2" t="s">
        <v>939</v>
      </c>
      <c r="E225" s="2" t="s">
        <v>65</v>
      </c>
      <c r="F225" s="2"/>
      <c r="G225" s="2"/>
      <c r="H225" s="2"/>
      <c r="I225" s="2"/>
    </row>
    <row r="226" spans="1:9" x14ac:dyDescent="0.35">
      <c r="A226" s="2" t="s">
        <v>2601</v>
      </c>
      <c r="B226" s="2" t="s">
        <v>24</v>
      </c>
      <c r="C226" s="2" t="s">
        <v>2609</v>
      </c>
      <c r="D226" s="2" t="s">
        <v>149</v>
      </c>
      <c r="E226" s="2" t="s">
        <v>150</v>
      </c>
      <c r="F226" s="2"/>
      <c r="G226" s="2"/>
      <c r="H226" s="2"/>
      <c r="I226" s="2"/>
    </row>
    <row r="227" spans="1:9" x14ac:dyDescent="0.35">
      <c r="A227" s="2" t="s">
        <v>2601</v>
      </c>
      <c r="B227" s="2" t="s">
        <v>24</v>
      </c>
      <c r="C227" s="2" t="s">
        <v>2609</v>
      </c>
      <c r="D227" s="2" t="s">
        <v>2612</v>
      </c>
      <c r="E227" s="2" t="s">
        <v>40</v>
      </c>
      <c r="F227" s="2"/>
      <c r="G227" s="2"/>
      <c r="H227" s="2"/>
      <c r="I227" s="2"/>
    </row>
    <row r="228" spans="1:9" x14ac:dyDescent="0.35">
      <c r="A228" s="2" t="s">
        <v>2601</v>
      </c>
      <c r="B228" s="2" t="s">
        <v>24</v>
      </c>
      <c r="C228" s="2" t="s">
        <v>2609</v>
      </c>
      <c r="D228" s="2" t="s">
        <v>2613</v>
      </c>
      <c r="E228" s="2" t="s">
        <v>65</v>
      </c>
      <c r="F228" s="2" t="s">
        <v>46</v>
      </c>
      <c r="G228" s="2" t="s">
        <v>1191</v>
      </c>
      <c r="H228" s="2"/>
      <c r="I228" s="2"/>
    </row>
    <row r="229" spans="1:9" x14ac:dyDescent="0.35">
      <c r="A229" s="2" t="s">
        <v>2601</v>
      </c>
      <c r="B229" s="2" t="s">
        <v>54</v>
      </c>
      <c r="C229" s="2" t="s">
        <v>2614</v>
      </c>
      <c r="D229" s="2" t="s">
        <v>992</v>
      </c>
      <c r="E229" s="2" t="s">
        <v>201</v>
      </c>
      <c r="F229" s="2" t="s">
        <v>20</v>
      </c>
      <c r="G229" s="2" t="s">
        <v>2615</v>
      </c>
      <c r="H229" s="2"/>
      <c r="I229" s="2"/>
    </row>
    <row r="230" spans="1:9" x14ac:dyDescent="0.35">
      <c r="A230" s="2" t="s">
        <v>2601</v>
      </c>
      <c r="B230" s="2" t="s">
        <v>54</v>
      </c>
      <c r="C230" s="2" t="s">
        <v>2614</v>
      </c>
      <c r="D230" s="2" t="s">
        <v>972</v>
      </c>
      <c r="E230" s="2" t="s">
        <v>32</v>
      </c>
      <c r="F230" s="2" t="s">
        <v>20</v>
      </c>
      <c r="G230" s="2" t="s">
        <v>2615</v>
      </c>
      <c r="H230" s="2"/>
      <c r="I230" s="2"/>
    </row>
    <row r="231" spans="1:9" x14ac:dyDescent="0.35">
      <c r="A231" s="2" t="s">
        <v>2601</v>
      </c>
      <c r="B231" s="2" t="s">
        <v>54</v>
      </c>
      <c r="C231" s="2" t="s">
        <v>2614</v>
      </c>
      <c r="D231" s="2" t="s">
        <v>77</v>
      </c>
      <c r="E231" s="2" t="s">
        <v>78</v>
      </c>
      <c r="F231" s="2" t="s">
        <v>20</v>
      </c>
      <c r="G231" s="2" t="s">
        <v>2615</v>
      </c>
      <c r="H231" s="2"/>
      <c r="I231" s="2"/>
    </row>
    <row r="232" spans="1:9" x14ac:dyDescent="0.35">
      <c r="A232" s="2" t="s">
        <v>2601</v>
      </c>
      <c r="B232" s="2" t="s">
        <v>54</v>
      </c>
      <c r="C232" s="2" t="s">
        <v>2614</v>
      </c>
      <c r="D232" s="2" t="s">
        <v>204</v>
      </c>
      <c r="E232" s="2" t="s">
        <v>40</v>
      </c>
      <c r="F232" s="2" t="s">
        <v>20</v>
      </c>
      <c r="G232" s="2" t="s">
        <v>2615</v>
      </c>
      <c r="H232" s="2"/>
      <c r="I232" s="2"/>
    </row>
    <row r="233" spans="1:9" x14ac:dyDescent="0.35">
      <c r="A233" s="2" t="s">
        <v>2601</v>
      </c>
      <c r="B233" s="2" t="s">
        <v>54</v>
      </c>
      <c r="C233" s="2" t="s">
        <v>2614</v>
      </c>
      <c r="D233" s="2" t="s">
        <v>2616</v>
      </c>
      <c r="E233" s="2" t="s">
        <v>228</v>
      </c>
      <c r="F233" s="2" t="s">
        <v>20</v>
      </c>
      <c r="G233" s="2" t="s">
        <v>2615</v>
      </c>
      <c r="H233" s="2"/>
      <c r="I233" s="2"/>
    </row>
    <row r="234" spans="1:9" x14ac:dyDescent="0.35">
      <c r="A234" s="2" t="s">
        <v>2601</v>
      </c>
      <c r="B234" s="2" t="s">
        <v>54</v>
      </c>
      <c r="C234" s="2" t="s">
        <v>2614</v>
      </c>
      <c r="D234" s="2" t="s">
        <v>188</v>
      </c>
      <c r="E234" s="2" t="s">
        <v>189</v>
      </c>
      <c r="F234" s="2" t="s">
        <v>20</v>
      </c>
      <c r="G234" s="2" t="s">
        <v>2615</v>
      </c>
      <c r="H234" s="2"/>
      <c r="I234" s="2"/>
    </row>
    <row r="235" spans="1:9" x14ac:dyDescent="0.35">
      <c r="A235" s="2" t="s">
        <v>2601</v>
      </c>
      <c r="B235" s="2" t="s">
        <v>54</v>
      </c>
      <c r="C235" s="2" t="s">
        <v>2614</v>
      </c>
      <c r="D235" s="2" t="s">
        <v>2613</v>
      </c>
      <c r="E235" s="2" t="s">
        <v>65</v>
      </c>
      <c r="F235" s="2" t="s">
        <v>20</v>
      </c>
      <c r="G235" s="2" t="s">
        <v>2615</v>
      </c>
      <c r="H235" s="2"/>
      <c r="I235" s="2"/>
    </row>
    <row r="236" spans="1:9" x14ac:dyDescent="0.35">
      <c r="A236" s="2" t="s">
        <v>2601</v>
      </c>
      <c r="B236" s="2" t="s">
        <v>54</v>
      </c>
      <c r="C236" s="2" t="s">
        <v>2617</v>
      </c>
      <c r="D236" s="2" t="s">
        <v>155</v>
      </c>
      <c r="E236" s="2" t="s">
        <v>32</v>
      </c>
      <c r="F236" s="2" t="s">
        <v>20</v>
      </c>
      <c r="G236" s="2" t="s">
        <v>2618</v>
      </c>
      <c r="H236" s="2"/>
      <c r="I236" s="2"/>
    </row>
    <row r="237" spans="1:9" x14ac:dyDescent="0.35">
      <c r="A237" s="2" t="s">
        <v>2601</v>
      </c>
      <c r="B237" s="2" t="s">
        <v>54</v>
      </c>
      <c r="C237" s="2" t="s">
        <v>2617</v>
      </c>
      <c r="D237" s="2" t="s">
        <v>992</v>
      </c>
      <c r="E237" s="2" t="s">
        <v>201</v>
      </c>
      <c r="F237" s="2" t="s">
        <v>20</v>
      </c>
      <c r="G237" s="2" t="s">
        <v>2618</v>
      </c>
      <c r="H237" s="2"/>
      <c r="I237" s="2"/>
    </row>
    <row r="238" spans="1:9" x14ac:dyDescent="0.35">
      <c r="A238" s="2" t="s">
        <v>2601</v>
      </c>
      <c r="B238" s="2" t="s">
        <v>54</v>
      </c>
      <c r="C238" s="2" t="s">
        <v>2617</v>
      </c>
      <c r="D238" s="2" t="s">
        <v>2619</v>
      </c>
      <c r="E238" s="2" t="s">
        <v>75</v>
      </c>
      <c r="F238" s="2" t="s">
        <v>20</v>
      </c>
      <c r="G238" s="2" t="s">
        <v>2618</v>
      </c>
      <c r="H238" s="2"/>
      <c r="I238" s="2"/>
    </row>
    <row r="239" spans="1:9" x14ac:dyDescent="0.35">
      <c r="A239" s="2" t="s">
        <v>2601</v>
      </c>
      <c r="B239" s="2" t="s">
        <v>54</v>
      </c>
      <c r="C239" s="2" t="s">
        <v>2617</v>
      </c>
      <c r="D239" s="2" t="s">
        <v>1635</v>
      </c>
      <c r="E239" s="2" t="s">
        <v>189</v>
      </c>
      <c r="F239" s="2" t="s">
        <v>20</v>
      </c>
      <c r="G239" s="2" t="s">
        <v>2618</v>
      </c>
      <c r="H239" s="2"/>
      <c r="I239" s="2"/>
    </row>
    <row r="240" spans="1:9" x14ac:dyDescent="0.35">
      <c r="A240" s="2" t="s">
        <v>2601</v>
      </c>
      <c r="B240" s="2" t="s">
        <v>62</v>
      </c>
      <c r="C240" s="2" t="s">
        <v>2620</v>
      </c>
      <c r="D240" s="2" t="s">
        <v>188</v>
      </c>
      <c r="E240" s="2" t="s">
        <v>189</v>
      </c>
      <c r="F240" s="2" t="s">
        <v>20</v>
      </c>
      <c r="G240" s="2" t="s">
        <v>2618</v>
      </c>
      <c r="H240" s="2"/>
      <c r="I240" s="2"/>
    </row>
    <row r="241" spans="1:9" x14ac:dyDescent="0.35">
      <c r="A241" s="2" t="s">
        <v>2601</v>
      </c>
      <c r="B241" s="2" t="s">
        <v>12</v>
      </c>
      <c r="C241" s="2" t="s">
        <v>2621</v>
      </c>
      <c r="D241" s="2" t="s">
        <v>1283</v>
      </c>
      <c r="E241" s="2" t="s">
        <v>65</v>
      </c>
      <c r="F241" s="2" t="s">
        <v>20</v>
      </c>
      <c r="G241" s="2" t="s">
        <v>2622</v>
      </c>
      <c r="H241" s="2"/>
      <c r="I241" s="2"/>
    </row>
    <row r="242" spans="1:9" x14ac:dyDescent="0.35">
      <c r="A242" s="2" t="s">
        <v>2601</v>
      </c>
      <c r="B242" s="2" t="s">
        <v>62</v>
      </c>
      <c r="C242" s="2" t="s">
        <v>2623</v>
      </c>
      <c r="D242" s="2" t="s">
        <v>14</v>
      </c>
      <c r="E242" s="2" t="s">
        <v>15</v>
      </c>
      <c r="F242" s="2"/>
      <c r="G242" s="2"/>
      <c r="H242" s="2"/>
      <c r="I242" s="2"/>
    </row>
    <row r="243" spans="1:9" x14ac:dyDescent="0.35">
      <c r="A243" s="2" t="s">
        <v>2601</v>
      </c>
      <c r="B243" s="2" t="s">
        <v>62</v>
      </c>
      <c r="C243" s="2" t="s">
        <v>2623</v>
      </c>
      <c r="D243" s="2" t="s">
        <v>31</v>
      </c>
      <c r="E243" s="2" t="s">
        <v>32</v>
      </c>
      <c r="F243" s="2"/>
      <c r="G243" s="2"/>
      <c r="H243" s="2"/>
      <c r="I243" s="2"/>
    </row>
    <row r="244" spans="1:9" x14ac:dyDescent="0.35">
      <c r="A244" s="2" t="s">
        <v>2601</v>
      </c>
      <c r="B244" s="2" t="s">
        <v>62</v>
      </c>
      <c r="C244" s="2" t="s">
        <v>2623</v>
      </c>
      <c r="D244" s="2" t="s">
        <v>2624</v>
      </c>
      <c r="E244" s="2" t="s">
        <v>125</v>
      </c>
      <c r="F244" s="2"/>
      <c r="G244" s="2"/>
      <c r="H244" s="2"/>
      <c r="I244" s="2"/>
    </row>
    <row r="245" spans="1:9" x14ac:dyDescent="0.35">
      <c r="A245" s="2" t="s">
        <v>2601</v>
      </c>
      <c r="B245" s="2" t="s">
        <v>62</v>
      </c>
      <c r="C245" s="2" t="s">
        <v>2623</v>
      </c>
      <c r="D245" s="2" t="s">
        <v>972</v>
      </c>
      <c r="E245" s="2" t="s">
        <v>32</v>
      </c>
      <c r="F245" s="2"/>
      <c r="G245" s="2"/>
      <c r="H245" s="2"/>
      <c r="I245" s="2"/>
    </row>
    <row r="246" spans="1:9" x14ac:dyDescent="0.35">
      <c r="A246" s="2" t="s">
        <v>2601</v>
      </c>
      <c r="B246" s="2" t="s">
        <v>62</v>
      </c>
      <c r="C246" s="2" t="s">
        <v>2623</v>
      </c>
      <c r="D246" s="2" t="s">
        <v>416</v>
      </c>
      <c r="E246" s="2" t="s">
        <v>38</v>
      </c>
      <c r="F246" s="2"/>
      <c r="G246" s="2"/>
      <c r="H246" s="2"/>
      <c r="I246" s="2"/>
    </row>
    <row r="247" spans="1:9" x14ac:dyDescent="0.35">
      <c r="A247" s="2" t="s">
        <v>2601</v>
      </c>
      <c r="B247" s="2" t="s">
        <v>62</v>
      </c>
      <c r="C247" s="2" t="s">
        <v>2623</v>
      </c>
      <c r="D247" s="2" t="s">
        <v>2548</v>
      </c>
      <c r="E247" s="2" t="s">
        <v>19</v>
      </c>
      <c r="F247" s="2" t="s">
        <v>20</v>
      </c>
      <c r="G247" s="2" t="s">
        <v>2625</v>
      </c>
      <c r="H247" s="2"/>
      <c r="I247" s="2"/>
    </row>
    <row r="248" spans="1:9" x14ac:dyDescent="0.35">
      <c r="A248" s="2" t="s">
        <v>2601</v>
      </c>
      <c r="B248" s="2" t="s">
        <v>62</v>
      </c>
      <c r="C248" s="2" t="s">
        <v>2623</v>
      </c>
      <c r="D248" s="2" t="s">
        <v>2626</v>
      </c>
      <c r="E248" s="2" t="s">
        <v>533</v>
      </c>
      <c r="F248" s="2"/>
      <c r="G248" s="2"/>
      <c r="H248" s="2"/>
      <c r="I248" s="2"/>
    </row>
    <row r="249" spans="1:9" x14ac:dyDescent="0.35">
      <c r="A249" s="2" t="s">
        <v>2601</v>
      </c>
      <c r="B249" s="2" t="s">
        <v>62</v>
      </c>
      <c r="C249" s="2" t="s">
        <v>2623</v>
      </c>
      <c r="D249" s="2" t="s">
        <v>18</v>
      </c>
      <c r="E249" s="2" t="s">
        <v>19</v>
      </c>
      <c r="F249" s="2" t="s">
        <v>46</v>
      </c>
      <c r="G249" s="2" t="s">
        <v>2627</v>
      </c>
      <c r="H249" s="2"/>
      <c r="I249" s="2"/>
    </row>
    <row r="250" spans="1:9" x14ac:dyDescent="0.35">
      <c r="A250" s="2" t="s">
        <v>2601</v>
      </c>
      <c r="B250" s="2" t="s">
        <v>62</v>
      </c>
      <c r="C250" s="2" t="s">
        <v>2623</v>
      </c>
      <c r="D250" s="2" t="s">
        <v>79</v>
      </c>
      <c r="E250" s="2" t="s">
        <v>38</v>
      </c>
      <c r="F250" s="2"/>
      <c r="G250" s="2"/>
      <c r="H250" s="2"/>
      <c r="I250" s="2"/>
    </row>
    <row r="251" spans="1:9" x14ac:dyDescent="0.35">
      <c r="A251" s="2" t="s">
        <v>2601</v>
      </c>
      <c r="B251" s="2" t="s">
        <v>62</v>
      </c>
      <c r="C251" s="2" t="s">
        <v>2623</v>
      </c>
      <c r="D251" s="2" t="s">
        <v>513</v>
      </c>
      <c r="E251" s="2" t="s">
        <v>203</v>
      </c>
      <c r="F251" s="2"/>
      <c r="G251" s="2"/>
      <c r="H251" s="2"/>
      <c r="I251" s="2"/>
    </row>
    <row r="252" spans="1:9" x14ac:dyDescent="0.35">
      <c r="A252" s="2" t="s">
        <v>2601</v>
      </c>
      <c r="B252" s="2" t="s">
        <v>62</v>
      </c>
      <c r="C252" s="2" t="s">
        <v>2623</v>
      </c>
      <c r="D252" s="2" t="s">
        <v>2628</v>
      </c>
      <c r="E252" s="2" t="s">
        <v>107</v>
      </c>
      <c r="F252" s="2"/>
      <c r="G252" s="2"/>
      <c r="H252" s="2"/>
      <c r="I252" s="2"/>
    </row>
    <row r="253" spans="1:9" x14ac:dyDescent="0.35">
      <c r="A253" s="2" t="s">
        <v>2601</v>
      </c>
      <c r="B253" s="2" t="s">
        <v>24</v>
      </c>
      <c r="C253" s="2" t="s">
        <v>2629</v>
      </c>
      <c r="D253" s="2" t="s">
        <v>14</v>
      </c>
      <c r="E253" s="2" t="s">
        <v>15</v>
      </c>
      <c r="F253" s="2"/>
      <c r="G253" s="2"/>
      <c r="H253" s="2"/>
      <c r="I253" s="2"/>
    </row>
    <row r="254" spans="1:9" x14ac:dyDescent="0.35">
      <c r="A254" s="2" t="s">
        <v>2601</v>
      </c>
      <c r="B254" s="2" t="s">
        <v>24</v>
      </c>
      <c r="C254" s="2" t="s">
        <v>2629</v>
      </c>
      <c r="D254" s="2" t="s">
        <v>91</v>
      </c>
      <c r="E254" s="2" t="s">
        <v>19</v>
      </c>
      <c r="F254" s="2" t="s">
        <v>20</v>
      </c>
      <c r="G254" s="2" t="s">
        <v>2630</v>
      </c>
      <c r="H254" s="2"/>
      <c r="I254" s="2"/>
    </row>
    <row r="255" spans="1:9" x14ac:dyDescent="0.35">
      <c r="A255" s="2" t="s">
        <v>2601</v>
      </c>
      <c r="B255" s="2" t="s">
        <v>24</v>
      </c>
      <c r="C255" s="2" t="s">
        <v>2631</v>
      </c>
      <c r="D255" s="2" t="s">
        <v>91</v>
      </c>
      <c r="E255" s="2" t="s">
        <v>19</v>
      </c>
      <c r="F255" s="2" t="s">
        <v>20</v>
      </c>
      <c r="G255" s="2" t="s">
        <v>2632</v>
      </c>
      <c r="H255" s="2"/>
      <c r="I255" s="2"/>
    </row>
    <row r="256" spans="1:9" x14ac:dyDescent="0.35">
      <c r="A256" s="2" t="s">
        <v>2601</v>
      </c>
      <c r="B256" s="2" t="s">
        <v>24</v>
      </c>
      <c r="C256" s="2" t="s">
        <v>2633</v>
      </c>
      <c r="D256" s="2" t="s">
        <v>155</v>
      </c>
      <c r="E256" s="2" t="s">
        <v>32</v>
      </c>
      <c r="F256" s="2" t="s">
        <v>20</v>
      </c>
      <c r="G256" s="2" t="s">
        <v>2584</v>
      </c>
      <c r="H256" s="2"/>
      <c r="I256" s="2"/>
    </row>
    <row r="257" spans="1:9" x14ac:dyDescent="0.35">
      <c r="A257" s="2" t="s">
        <v>2601</v>
      </c>
      <c r="B257" s="2" t="s">
        <v>24</v>
      </c>
      <c r="C257" s="2" t="s">
        <v>2633</v>
      </c>
      <c r="D257" s="2" t="s">
        <v>416</v>
      </c>
      <c r="E257" s="2" t="s">
        <v>38</v>
      </c>
      <c r="F257" s="2" t="s">
        <v>20</v>
      </c>
      <c r="G257" s="2" t="s">
        <v>2584</v>
      </c>
      <c r="H257" s="2"/>
      <c r="I257" s="2"/>
    </row>
    <row r="258" spans="1:9" x14ac:dyDescent="0.35">
      <c r="A258" s="2" t="s">
        <v>2601</v>
      </c>
      <c r="B258" s="2" t="s">
        <v>24</v>
      </c>
      <c r="C258" s="2" t="s">
        <v>2633</v>
      </c>
      <c r="D258" s="2" t="s">
        <v>438</v>
      </c>
      <c r="E258" s="2" t="s">
        <v>19</v>
      </c>
      <c r="F258" s="2" t="s">
        <v>20</v>
      </c>
      <c r="G258" s="2" t="s">
        <v>2584</v>
      </c>
      <c r="H258" s="2"/>
      <c r="I258" s="2"/>
    </row>
    <row r="259" spans="1:9" x14ac:dyDescent="0.35">
      <c r="A259" s="2" t="s">
        <v>2601</v>
      </c>
      <c r="B259" s="2" t="s">
        <v>24</v>
      </c>
      <c r="C259" s="2" t="s">
        <v>2633</v>
      </c>
      <c r="D259" s="2" t="s">
        <v>2634</v>
      </c>
      <c r="E259" s="2" t="s">
        <v>78</v>
      </c>
      <c r="F259" s="2" t="s">
        <v>20</v>
      </c>
      <c r="G259" s="2" t="s">
        <v>2584</v>
      </c>
      <c r="H259" s="2"/>
      <c r="I259" s="2"/>
    </row>
    <row r="260" spans="1:9" x14ac:dyDescent="0.35">
      <c r="A260" s="2" t="s">
        <v>2601</v>
      </c>
      <c r="B260" s="2" t="s">
        <v>24</v>
      </c>
      <c r="C260" s="2" t="s">
        <v>2633</v>
      </c>
      <c r="D260" s="2" t="s">
        <v>89</v>
      </c>
      <c r="E260" s="2" t="s">
        <v>45</v>
      </c>
      <c r="F260" s="2" t="s">
        <v>20</v>
      </c>
      <c r="G260" s="2" t="s">
        <v>2584</v>
      </c>
      <c r="H260" s="2"/>
      <c r="I260" s="2"/>
    </row>
    <row r="261" spans="1:9" x14ac:dyDescent="0.35">
      <c r="A261" s="2" t="s">
        <v>2601</v>
      </c>
      <c r="B261" s="2" t="s">
        <v>24</v>
      </c>
      <c r="C261" s="2" t="s">
        <v>2633</v>
      </c>
      <c r="D261" s="2" t="s">
        <v>100</v>
      </c>
      <c r="E261" s="2" t="s">
        <v>101</v>
      </c>
      <c r="F261" s="2" t="s">
        <v>20</v>
      </c>
      <c r="G261" s="2" t="s">
        <v>2584</v>
      </c>
      <c r="H261" s="2"/>
      <c r="I261" s="2"/>
    </row>
    <row r="262" spans="1:9" x14ac:dyDescent="0.35">
      <c r="A262" s="2" t="s">
        <v>2601</v>
      </c>
      <c r="B262" s="2" t="s">
        <v>24</v>
      </c>
      <c r="C262" s="2" t="s">
        <v>2633</v>
      </c>
      <c r="D262" s="2" t="s">
        <v>2635</v>
      </c>
      <c r="E262" s="2" t="s">
        <v>65</v>
      </c>
      <c r="F262" s="2" t="s">
        <v>20</v>
      </c>
      <c r="G262" s="2" t="s">
        <v>2584</v>
      </c>
      <c r="H262" s="2"/>
      <c r="I262" s="2"/>
    </row>
    <row r="263" spans="1:9" x14ac:dyDescent="0.35">
      <c r="A263" s="2" t="s">
        <v>2601</v>
      </c>
      <c r="B263" s="2" t="s">
        <v>24</v>
      </c>
      <c r="C263" s="2" t="s">
        <v>2633</v>
      </c>
      <c r="D263" s="2" t="s">
        <v>1982</v>
      </c>
      <c r="E263" s="2" t="s">
        <v>150</v>
      </c>
      <c r="F263" s="2" t="s">
        <v>20</v>
      </c>
      <c r="G263" s="2" t="s">
        <v>2584</v>
      </c>
      <c r="H263" s="2"/>
      <c r="I263" s="2"/>
    </row>
    <row r="264" spans="1:9" x14ac:dyDescent="0.35">
      <c r="A264" s="2" t="s">
        <v>2601</v>
      </c>
      <c r="B264" s="2" t="s">
        <v>24</v>
      </c>
      <c r="C264" s="2" t="s">
        <v>2633</v>
      </c>
      <c r="D264" s="2" t="s">
        <v>2612</v>
      </c>
      <c r="E264" s="2" t="s">
        <v>40</v>
      </c>
      <c r="F264" s="2" t="s">
        <v>20</v>
      </c>
      <c r="G264" s="2" t="s">
        <v>2584</v>
      </c>
      <c r="H264" s="2"/>
      <c r="I264" s="2"/>
    </row>
    <row r="265" spans="1:9" x14ac:dyDescent="0.35">
      <c r="A265" s="2" t="s">
        <v>2601</v>
      </c>
      <c r="B265" s="2" t="s">
        <v>57</v>
      </c>
      <c r="C265" s="2" t="s">
        <v>2636</v>
      </c>
      <c r="D265" s="2" t="s">
        <v>196</v>
      </c>
      <c r="E265" s="2" t="s">
        <v>2583</v>
      </c>
      <c r="F265" s="2"/>
      <c r="G265" s="2"/>
      <c r="H265" s="2"/>
      <c r="I265" s="2"/>
    </row>
    <row r="266" spans="1:9" x14ac:dyDescent="0.35">
      <c r="A266" s="2" t="s">
        <v>2601</v>
      </c>
      <c r="B266" s="2" t="s">
        <v>57</v>
      </c>
      <c r="C266" s="2" t="s">
        <v>2636</v>
      </c>
      <c r="D266" s="2" t="s">
        <v>14</v>
      </c>
      <c r="E266" s="2" t="s">
        <v>15</v>
      </c>
      <c r="F266" s="2"/>
      <c r="G266" s="2"/>
      <c r="H266" s="2"/>
      <c r="I266" s="2"/>
    </row>
    <row r="267" spans="1:9" x14ac:dyDescent="0.35">
      <c r="A267" s="2" t="s">
        <v>2601</v>
      </c>
      <c r="B267" s="2" t="s">
        <v>57</v>
      </c>
      <c r="C267" s="2" t="s">
        <v>2636</v>
      </c>
      <c r="D267" s="2" t="s">
        <v>144</v>
      </c>
      <c r="E267" s="2" t="s">
        <v>50</v>
      </c>
      <c r="F267" s="2"/>
      <c r="G267" s="2"/>
      <c r="H267" s="2"/>
      <c r="I267" s="2"/>
    </row>
    <row r="268" spans="1:9" x14ac:dyDescent="0.35">
      <c r="A268" s="2" t="s">
        <v>2601</v>
      </c>
      <c r="B268" s="2" t="s">
        <v>57</v>
      </c>
      <c r="C268" s="2" t="s">
        <v>2636</v>
      </c>
      <c r="D268" s="2" t="s">
        <v>2637</v>
      </c>
      <c r="E268" s="2" t="s">
        <v>40</v>
      </c>
      <c r="F268" s="2"/>
      <c r="G268" s="2"/>
      <c r="H268" s="2"/>
      <c r="I268" s="2"/>
    </row>
    <row r="269" spans="1:9" x14ac:dyDescent="0.35">
      <c r="A269" s="2" t="s">
        <v>2601</v>
      </c>
      <c r="B269" s="2" t="s">
        <v>57</v>
      </c>
      <c r="C269" s="2" t="s">
        <v>2636</v>
      </c>
      <c r="D269" s="2" t="s">
        <v>31</v>
      </c>
      <c r="E269" s="2" t="s">
        <v>32</v>
      </c>
      <c r="F269" s="2"/>
      <c r="G269" s="2"/>
      <c r="H269" s="2"/>
      <c r="I269" s="2"/>
    </row>
    <row r="270" spans="1:9" x14ac:dyDescent="0.35">
      <c r="A270" s="2" t="s">
        <v>2601</v>
      </c>
      <c r="B270" s="2" t="s">
        <v>57</v>
      </c>
      <c r="C270" s="2" t="s">
        <v>2636</v>
      </c>
      <c r="D270" s="2" t="s">
        <v>200</v>
      </c>
      <c r="E270" s="2" t="s">
        <v>201</v>
      </c>
      <c r="F270" s="2"/>
      <c r="G270" s="2"/>
      <c r="H270" s="2"/>
      <c r="I270" s="2"/>
    </row>
    <row r="271" spans="1:9" x14ac:dyDescent="0.35">
      <c r="A271" s="2" t="s">
        <v>2601</v>
      </c>
      <c r="B271" s="2" t="s">
        <v>57</v>
      </c>
      <c r="C271" s="2" t="s">
        <v>2636</v>
      </c>
      <c r="D271" s="2" t="s">
        <v>211</v>
      </c>
      <c r="E271" s="2" t="s">
        <v>203</v>
      </c>
      <c r="F271" s="2"/>
      <c r="G271" s="2"/>
      <c r="H271" s="2"/>
      <c r="I271" s="2"/>
    </row>
    <row r="272" spans="1:9" x14ac:dyDescent="0.35">
      <c r="A272" s="2" t="s">
        <v>2601</v>
      </c>
      <c r="B272" s="2" t="s">
        <v>57</v>
      </c>
      <c r="C272" s="2" t="s">
        <v>2636</v>
      </c>
      <c r="D272" s="2" t="s">
        <v>1139</v>
      </c>
      <c r="E272" s="2" t="s">
        <v>60</v>
      </c>
      <c r="F272" s="2"/>
      <c r="G272" s="2"/>
      <c r="H272" s="2"/>
      <c r="I272" s="2"/>
    </row>
    <row r="273" spans="1:9" x14ac:dyDescent="0.35">
      <c r="A273" s="2" t="s">
        <v>2601</v>
      </c>
      <c r="B273" s="2" t="s">
        <v>57</v>
      </c>
      <c r="C273" s="2" t="s">
        <v>2636</v>
      </c>
      <c r="D273" s="2" t="s">
        <v>501</v>
      </c>
      <c r="E273" s="2" t="s">
        <v>270</v>
      </c>
      <c r="F273" s="2"/>
      <c r="G273" s="2"/>
      <c r="H273" s="2"/>
      <c r="I273" s="2"/>
    </row>
    <row r="274" spans="1:9" x14ac:dyDescent="0.35">
      <c r="A274" s="2" t="s">
        <v>2601</v>
      </c>
      <c r="B274" s="2" t="s">
        <v>57</v>
      </c>
      <c r="C274" s="2" t="s">
        <v>2636</v>
      </c>
      <c r="D274" s="2" t="s">
        <v>156</v>
      </c>
      <c r="E274" s="2" t="s">
        <v>45</v>
      </c>
      <c r="F274" s="2" t="s">
        <v>20</v>
      </c>
      <c r="G274" s="2" t="s">
        <v>2588</v>
      </c>
      <c r="H274" s="2"/>
      <c r="I274" s="2"/>
    </row>
    <row r="275" spans="1:9" x14ac:dyDescent="0.35">
      <c r="A275" s="2" t="s">
        <v>2601</v>
      </c>
      <c r="B275" s="2" t="s">
        <v>57</v>
      </c>
      <c r="C275" s="2" t="s">
        <v>2636</v>
      </c>
      <c r="D275" s="2" t="s">
        <v>91</v>
      </c>
      <c r="E275" s="2" t="s">
        <v>19</v>
      </c>
      <c r="F275" s="2" t="s">
        <v>20</v>
      </c>
      <c r="G275" s="2" t="s">
        <v>2638</v>
      </c>
      <c r="H275" s="2"/>
      <c r="I275" s="2"/>
    </row>
    <row r="276" spans="1:9" x14ac:dyDescent="0.35">
      <c r="A276" s="2" t="s">
        <v>2601</v>
      </c>
      <c r="B276" s="2" t="s">
        <v>57</v>
      </c>
      <c r="C276" s="2" t="s">
        <v>2636</v>
      </c>
      <c r="D276" s="2" t="s">
        <v>124</v>
      </c>
      <c r="E276" s="2" t="s">
        <v>125</v>
      </c>
      <c r="F276" s="2" t="s">
        <v>46</v>
      </c>
      <c r="G276" s="2" t="s">
        <v>2639</v>
      </c>
      <c r="H276" s="2"/>
      <c r="I276" s="2"/>
    </row>
    <row r="277" spans="1:9" x14ac:dyDescent="0.35">
      <c r="A277" s="2" t="s">
        <v>2601</v>
      </c>
      <c r="B277" s="2" t="s">
        <v>57</v>
      </c>
      <c r="C277" s="2" t="s">
        <v>2636</v>
      </c>
      <c r="D277" s="2" t="s">
        <v>100</v>
      </c>
      <c r="E277" s="2" t="s">
        <v>101</v>
      </c>
      <c r="F277" s="2"/>
      <c r="G277" s="2"/>
      <c r="H277" s="2"/>
      <c r="I277" s="2"/>
    </row>
    <row r="278" spans="1:9" x14ac:dyDescent="0.35">
      <c r="A278" s="2" t="s">
        <v>2601</v>
      </c>
      <c r="B278" s="2" t="s">
        <v>57</v>
      </c>
      <c r="C278" s="2" t="s">
        <v>2636</v>
      </c>
      <c r="D278" s="2" t="s">
        <v>2616</v>
      </c>
      <c r="E278" s="2" t="s">
        <v>228</v>
      </c>
      <c r="F278" s="2"/>
      <c r="G278" s="2"/>
      <c r="H278" s="2"/>
      <c r="I278" s="2"/>
    </row>
    <row r="279" spans="1:9" x14ac:dyDescent="0.35">
      <c r="A279" s="2" t="s">
        <v>2601</v>
      </c>
      <c r="B279" s="2" t="s">
        <v>57</v>
      </c>
      <c r="C279" s="2" t="s">
        <v>2636</v>
      </c>
      <c r="D279" s="2" t="s">
        <v>939</v>
      </c>
      <c r="E279" s="2" t="s">
        <v>65</v>
      </c>
      <c r="F279" s="2"/>
      <c r="G279" s="2"/>
      <c r="H279" s="2"/>
      <c r="I279" s="2"/>
    </row>
    <row r="280" spans="1:9" x14ac:dyDescent="0.35">
      <c r="A280" s="2" t="s">
        <v>2601</v>
      </c>
      <c r="B280" s="2" t="s">
        <v>57</v>
      </c>
      <c r="C280" s="2" t="s">
        <v>2636</v>
      </c>
      <c r="D280" s="2" t="s">
        <v>149</v>
      </c>
      <c r="E280" s="2" t="s">
        <v>150</v>
      </c>
      <c r="F280" s="2" t="s">
        <v>20</v>
      </c>
      <c r="G280" s="2" t="s">
        <v>2640</v>
      </c>
      <c r="H280" s="2"/>
      <c r="I280" s="2"/>
    </row>
    <row r="281" spans="1:9" x14ac:dyDescent="0.35">
      <c r="A281" s="2" t="s">
        <v>2601</v>
      </c>
      <c r="B281" s="2" t="s">
        <v>57</v>
      </c>
      <c r="C281" s="2" t="s">
        <v>2636</v>
      </c>
      <c r="D281" s="2" t="s">
        <v>2612</v>
      </c>
      <c r="E281" s="2" t="s">
        <v>40</v>
      </c>
      <c r="F281" s="2"/>
      <c r="G281" s="2"/>
      <c r="H281" s="2"/>
      <c r="I281" s="2"/>
    </row>
    <row r="282" spans="1:9" x14ac:dyDescent="0.35">
      <c r="A282" s="2" t="s">
        <v>2641</v>
      </c>
      <c r="B282" s="2" t="s">
        <v>57</v>
      </c>
      <c r="C282" s="2" t="s">
        <v>2642</v>
      </c>
      <c r="D282" s="2" t="s">
        <v>14</v>
      </c>
      <c r="E282" s="2" t="s">
        <v>15</v>
      </c>
      <c r="F282" s="24"/>
      <c r="G282" s="2"/>
      <c r="H282" s="2"/>
      <c r="I282" s="2"/>
    </row>
    <row r="283" spans="1:9" x14ac:dyDescent="0.35">
      <c r="A283" s="2" t="s">
        <v>2641</v>
      </c>
      <c r="B283" s="2" t="s">
        <v>57</v>
      </c>
      <c r="C283" s="2" t="s">
        <v>2642</v>
      </c>
      <c r="D283" s="2" t="s">
        <v>87</v>
      </c>
      <c r="E283" s="2" t="s">
        <v>75</v>
      </c>
      <c r="F283" s="2" t="s">
        <v>20</v>
      </c>
      <c r="G283" s="9" t="s">
        <v>2643</v>
      </c>
      <c r="H283" s="2"/>
      <c r="I283" s="2"/>
    </row>
    <row r="284" spans="1:9" x14ac:dyDescent="0.35">
      <c r="A284" s="2" t="s">
        <v>2641</v>
      </c>
      <c r="B284" s="2" t="s">
        <v>57</v>
      </c>
      <c r="C284" s="2" t="s">
        <v>2642</v>
      </c>
      <c r="D284" s="2" t="s">
        <v>149</v>
      </c>
      <c r="E284" s="2" t="s">
        <v>150</v>
      </c>
      <c r="F284" s="2" t="s">
        <v>20</v>
      </c>
      <c r="G284" s="9" t="s">
        <v>2644</v>
      </c>
      <c r="H284" s="2"/>
      <c r="I284" s="2"/>
    </row>
    <row r="285" spans="1:9" x14ac:dyDescent="0.35">
      <c r="A285" s="2" t="s">
        <v>2645</v>
      </c>
      <c r="B285" s="2" t="s">
        <v>57</v>
      </c>
      <c r="C285" s="2" t="s">
        <v>2646</v>
      </c>
      <c r="D285" s="2" t="s">
        <v>393</v>
      </c>
      <c r="E285" s="2" t="s">
        <v>36</v>
      </c>
      <c r="F285" s="2"/>
      <c r="G285" s="2"/>
      <c r="H285" s="2"/>
      <c r="I285" s="2"/>
    </row>
    <row r="286" spans="1:9" x14ac:dyDescent="0.35">
      <c r="A286" s="2" t="s">
        <v>2645</v>
      </c>
      <c r="B286" s="2" t="s">
        <v>57</v>
      </c>
      <c r="C286" s="2" t="s">
        <v>2646</v>
      </c>
      <c r="D286" s="2" t="s">
        <v>18</v>
      </c>
      <c r="E286" s="2" t="s">
        <v>19</v>
      </c>
      <c r="F286" s="2" t="s">
        <v>20</v>
      </c>
      <c r="G286" s="2" t="s">
        <v>2647</v>
      </c>
      <c r="H286" s="2"/>
      <c r="I286" s="2"/>
    </row>
    <row r="287" spans="1:9" x14ac:dyDescent="0.35">
      <c r="A287" s="2" t="s">
        <v>2645</v>
      </c>
      <c r="B287" s="2" t="s">
        <v>57</v>
      </c>
      <c r="C287" s="2" t="s">
        <v>2646</v>
      </c>
      <c r="D287" s="2" t="s">
        <v>628</v>
      </c>
      <c r="E287" s="2" t="s">
        <v>50</v>
      </c>
      <c r="F287" s="2"/>
      <c r="G287" s="2"/>
      <c r="H287" s="2"/>
      <c r="I287" s="2"/>
    </row>
    <row r="288" spans="1:9" x14ac:dyDescent="0.35">
      <c r="A288" s="2" t="s">
        <v>2648</v>
      </c>
      <c r="B288" s="2" t="s">
        <v>57</v>
      </c>
      <c r="C288" s="2" t="s">
        <v>2649</v>
      </c>
      <c r="D288" s="2" t="s">
        <v>74</v>
      </c>
      <c r="E288" s="2" t="s">
        <v>75</v>
      </c>
      <c r="F288" s="2" t="s">
        <v>20</v>
      </c>
      <c r="G288" s="2" t="s">
        <v>2650</v>
      </c>
      <c r="H288" s="2"/>
      <c r="I288" s="2"/>
    </row>
    <row r="289" spans="1:9" x14ac:dyDescent="0.35">
      <c r="A289" s="2" t="s">
        <v>2648</v>
      </c>
      <c r="B289" s="2" t="s">
        <v>57</v>
      </c>
      <c r="C289" s="2" t="s">
        <v>2649</v>
      </c>
      <c r="D289" s="2" t="s">
        <v>14</v>
      </c>
      <c r="E289" s="2" t="s">
        <v>15</v>
      </c>
      <c r="F289" s="2"/>
      <c r="G289" s="2"/>
      <c r="H289" s="2"/>
      <c r="I289" s="2"/>
    </row>
    <row r="290" spans="1:9" x14ac:dyDescent="0.35">
      <c r="A290" s="2" t="s">
        <v>2648</v>
      </c>
      <c r="B290" s="2" t="s">
        <v>57</v>
      </c>
      <c r="C290" s="2" t="s">
        <v>2649</v>
      </c>
      <c r="D290" s="2" t="s">
        <v>1139</v>
      </c>
      <c r="E290" s="2" t="s">
        <v>60</v>
      </c>
      <c r="F290" s="2"/>
      <c r="G290" s="2"/>
      <c r="H290" s="2"/>
      <c r="I290" s="2"/>
    </row>
    <row r="291" spans="1:9" x14ac:dyDescent="0.35">
      <c r="A291" s="2" t="s">
        <v>2648</v>
      </c>
      <c r="B291" s="2" t="s">
        <v>57</v>
      </c>
      <c r="C291" s="2" t="s">
        <v>2649</v>
      </c>
      <c r="D291" s="2" t="s">
        <v>18</v>
      </c>
      <c r="E291" s="2" t="s">
        <v>19</v>
      </c>
      <c r="F291" s="2" t="s">
        <v>20</v>
      </c>
      <c r="G291" s="2" t="s">
        <v>2650</v>
      </c>
      <c r="H291" s="2"/>
      <c r="I291" s="2"/>
    </row>
    <row r="292" spans="1:9" x14ac:dyDescent="0.35">
      <c r="A292" s="2" t="s">
        <v>2648</v>
      </c>
      <c r="B292" s="2" t="s">
        <v>57</v>
      </c>
      <c r="C292" s="2" t="s">
        <v>2649</v>
      </c>
      <c r="D292" s="2" t="s">
        <v>112</v>
      </c>
      <c r="E292" s="2" t="s">
        <v>2025</v>
      </c>
      <c r="F292" s="2"/>
      <c r="G292" s="2"/>
      <c r="H292" s="2"/>
      <c r="I292" s="2"/>
    </row>
    <row r="293" spans="1:9" x14ac:dyDescent="0.35">
      <c r="A293" s="2" t="s">
        <v>2651</v>
      </c>
      <c r="B293" s="2" t="s">
        <v>57</v>
      </c>
      <c r="C293" s="2" t="s">
        <v>2652</v>
      </c>
      <c r="D293" s="2" t="s">
        <v>130</v>
      </c>
      <c r="E293" s="2" t="s">
        <v>36</v>
      </c>
      <c r="F293" s="2"/>
      <c r="G293" s="2"/>
      <c r="H293" s="2"/>
      <c r="I293" s="2"/>
    </row>
    <row r="294" spans="1:9" x14ac:dyDescent="0.35">
      <c r="A294" s="2" t="s">
        <v>2651</v>
      </c>
      <c r="B294" s="2" t="s">
        <v>57</v>
      </c>
      <c r="C294" s="2" t="s">
        <v>2652</v>
      </c>
      <c r="D294" s="2" t="s">
        <v>14</v>
      </c>
      <c r="E294" s="2" t="s">
        <v>15</v>
      </c>
      <c r="F294" s="2"/>
      <c r="G294" s="2"/>
      <c r="H294" s="2"/>
      <c r="I294" s="2"/>
    </row>
    <row r="295" spans="1:9" x14ac:dyDescent="0.35">
      <c r="A295" s="2" t="s">
        <v>2651</v>
      </c>
      <c r="B295" s="2" t="s">
        <v>57</v>
      </c>
      <c r="C295" s="2" t="s">
        <v>2652</v>
      </c>
      <c r="D295" s="2" t="s">
        <v>121</v>
      </c>
      <c r="E295" s="2" t="s">
        <v>122</v>
      </c>
      <c r="F295" s="2"/>
      <c r="G295" s="2"/>
      <c r="H295" s="2"/>
      <c r="I295" s="2"/>
    </row>
    <row r="296" spans="1:9" x14ac:dyDescent="0.35">
      <c r="A296" s="2" t="s">
        <v>2651</v>
      </c>
      <c r="B296" s="2" t="s">
        <v>57</v>
      </c>
      <c r="C296" s="2" t="s">
        <v>2652</v>
      </c>
      <c r="D296" s="2" t="s">
        <v>61</v>
      </c>
      <c r="E296" s="2" t="s">
        <v>30</v>
      </c>
      <c r="F296" s="2"/>
      <c r="G296" s="2"/>
      <c r="H296" s="2"/>
      <c r="I296" s="2"/>
    </row>
    <row r="297" spans="1:9" x14ac:dyDescent="0.35">
      <c r="A297" s="2" t="s">
        <v>2651</v>
      </c>
      <c r="B297" s="2" t="s">
        <v>57</v>
      </c>
      <c r="C297" s="2" t="s">
        <v>2652</v>
      </c>
      <c r="D297" s="2" t="s">
        <v>188</v>
      </c>
      <c r="E297" s="2" t="s">
        <v>189</v>
      </c>
      <c r="F297" s="2" t="s">
        <v>20</v>
      </c>
      <c r="G297" s="2" t="s">
        <v>2653</v>
      </c>
      <c r="H297" s="2"/>
      <c r="I297" s="2"/>
    </row>
    <row r="298" spans="1:9" x14ac:dyDescent="0.35">
      <c r="A298" s="2" t="s">
        <v>2654</v>
      </c>
      <c r="B298" s="2" t="s">
        <v>57</v>
      </c>
      <c r="C298" s="2" t="s">
        <v>2655</v>
      </c>
      <c r="D298" s="2" t="s">
        <v>14</v>
      </c>
      <c r="E298" s="2" t="s">
        <v>15</v>
      </c>
      <c r="F298" s="2"/>
      <c r="G298" s="2"/>
      <c r="H298" s="2"/>
      <c r="I298" s="2"/>
    </row>
    <row r="299" spans="1:9" x14ac:dyDescent="0.35">
      <c r="A299" s="2" t="s">
        <v>2654</v>
      </c>
      <c r="B299" s="2" t="s">
        <v>57</v>
      </c>
      <c r="C299" s="2" t="s">
        <v>2655</v>
      </c>
      <c r="D299" s="2" t="s">
        <v>18</v>
      </c>
      <c r="E299" s="2" t="s">
        <v>19</v>
      </c>
      <c r="F299" s="2" t="s">
        <v>20</v>
      </c>
      <c r="G299" s="2" t="s">
        <v>2656</v>
      </c>
      <c r="H299" s="2"/>
      <c r="I299" s="2"/>
    </row>
    <row r="300" spans="1:9" x14ac:dyDescent="0.35">
      <c r="A300" s="2" t="s">
        <v>2654</v>
      </c>
      <c r="B300" s="2" t="s">
        <v>57</v>
      </c>
      <c r="C300" s="2" t="s">
        <v>2655</v>
      </c>
      <c r="D300" s="2" t="s">
        <v>188</v>
      </c>
      <c r="E300" s="2" t="s">
        <v>189</v>
      </c>
      <c r="F300" s="2" t="s">
        <v>20</v>
      </c>
      <c r="G300" s="2" t="s">
        <v>2657</v>
      </c>
      <c r="H300" s="2"/>
      <c r="I300" s="2"/>
    </row>
  </sheetData>
  <autoFilter ref="A1:I1" xr:uid="{00000000-0009-0000-0000-000006000000}"/>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49"/>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5" width="31.453125" customWidth="1"/>
    <col min="6" max="6" width="12.54296875" customWidth="1"/>
    <col min="7" max="7" width="34.54296875" customWidth="1"/>
    <col min="8" max="9" width="14.26953125" customWidth="1"/>
  </cols>
  <sheetData>
    <row r="1" spans="1:9" ht="39.5" x14ac:dyDescent="0.35">
      <c r="A1" s="1" t="s">
        <v>1</v>
      </c>
      <c r="B1" s="1" t="s">
        <v>2</v>
      </c>
      <c r="C1" s="1" t="s">
        <v>3</v>
      </c>
      <c r="D1" s="1" t="s">
        <v>4</v>
      </c>
      <c r="E1" s="1" t="s">
        <v>5</v>
      </c>
      <c r="F1" s="1" t="s">
        <v>6</v>
      </c>
      <c r="G1" s="1" t="s">
        <v>7</v>
      </c>
      <c r="H1" s="1" t="s">
        <v>8</v>
      </c>
      <c r="I1" s="1" t="s">
        <v>9</v>
      </c>
    </row>
    <row r="2" spans="1:9" x14ac:dyDescent="0.35">
      <c r="A2" s="2" t="s">
        <v>2659</v>
      </c>
      <c r="B2" s="2" t="s">
        <v>24</v>
      </c>
      <c r="C2" s="2" t="s">
        <v>2660</v>
      </c>
      <c r="D2" s="2" t="s">
        <v>14</v>
      </c>
      <c r="E2" s="2" t="s">
        <v>15</v>
      </c>
      <c r="F2" s="2"/>
      <c r="G2" s="2"/>
      <c r="H2" s="2" t="s">
        <v>20</v>
      </c>
      <c r="I2" s="2" t="s">
        <v>2661</v>
      </c>
    </row>
    <row r="3" spans="1:9" x14ac:dyDescent="0.35">
      <c r="A3" s="2" t="s">
        <v>2659</v>
      </c>
      <c r="B3" s="2" t="s">
        <v>24</v>
      </c>
      <c r="C3" s="2" t="s">
        <v>2660</v>
      </c>
      <c r="D3" s="2" t="s">
        <v>291</v>
      </c>
      <c r="E3" s="2" t="s">
        <v>139</v>
      </c>
      <c r="F3" s="2"/>
      <c r="G3" s="2"/>
      <c r="H3" s="2" t="s">
        <v>20</v>
      </c>
      <c r="I3" s="2" t="s">
        <v>2661</v>
      </c>
    </row>
    <row r="4" spans="1:9" x14ac:dyDescent="0.35">
      <c r="A4" s="2" t="s">
        <v>2659</v>
      </c>
      <c r="B4" s="2" t="s">
        <v>24</v>
      </c>
      <c r="C4" s="2" t="s">
        <v>2660</v>
      </c>
      <c r="D4" s="2" t="s">
        <v>39</v>
      </c>
      <c r="E4" s="2" t="s">
        <v>1244</v>
      </c>
      <c r="F4" s="2" t="s">
        <v>20</v>
      </c>
      <c r="G4" s="2" t="s">
        <v>2662</v>
      </c>
      <c r="H4" s="2" t="s">
        <v>20</v>
      </c>
      <c r="I4" s="2" t="s">
        <v>2661</v>
      </c>
    </row>
    <row r="5" spans="1:9" x14ac:dyDescent="0.35">
      <c r="A5" s="2" t="s">
        <v>2659</v>
      </c>
      <c r="B5" s="2" t="s">
        <v>24</v>
      </c>
      <c r="C5" s="2" t="s">
        <v>2660</v>
      </c>
      <c r="D5" s="2" t="s">
        <v>61</v>
      </c>
      <c r="E5" s="2" t="s">
        <v>30</v>
      </c>
      <c r="F5" s="2"/>
      <c r="G5" s="2"/>
      <c r="H5" s="2" t="s">
        <v>20</v>
      </c>
      <c r="I5" s="2" t="s">
        <v>2661</v>
      </c>
    </row>
    <row r="6" spans="1:9" x14ac:dyDescent="0.35">
      <c r="A6" s="2" t="s">
        <v>2663</v>
      </c>
      <c r="B6" s="2" t="s">
        <v>24</v>
      </c>
      <c r="C6" s="2" t="s">
        <v>2664</v>
      </c>
      <c r="D6" s="2" t="s">
        <v>14</v>
      </c>
      <c r="E6" s="2" t="s">
        <v>15</v>
      </c>
      <c r="F6" s="2"/>
      <c r="G6" s="2"/>
      <c r="H6" s="2" t="s">
        <v>20</v>
      </c>
      <c r="I6" s="2" t="s">
        <v>2278</v>
      </c>
    </row>
    <row r="7" spans="1:9" x14ac:dyDescent="0.35">
      <c r="A7" s="2" t="s">
        <v>2663</v>
      </c>
      <c r="B7" s="2" t="s">
        <v>24</v>
      </c>
      <c r="C7" s="2" t="s">
        <v>2664</v>
      </c>
      <c r="D7" s="2" t="s">
        <v>31</v>
      </c>
      <c r="E7" s="2" t="s">
        <v>32</v>
      </c>
      <c r="F7" s="2"/>
      <c r="G7" s="2"/>
      <c r="H7" s="2" t="s">
        <v>20</v>
      </c>
      <c r="I7" s="2" t="s">
        <v>2278</v>
      </c>
    </row>
    <row r="8" spans="1:9" x14ac:dyDescent="0.35">
      <c r="A8" s="2" t="s">
        <v>2663</v>
      </c>
      <c r="B8" s="2" t="s">
        <v>24</v>
      </c>
      <c r="C8" s="2" t="s">
        <v>2664</v>
      </c>
      <c r="D8" s="2" t="s">
        <v>528</v>
      </c>
      <c r="E8" s="2" t="s">
        <v>203</v>
      </c>
      <c r="F8" s="2"/>
      <c r="G8" s="2"/>
      <c r="H8" s="2" t="s">
        <v>20</v>
      </c>
      <c r="I8" s="2" t="s">
        <v>2278</v>
      </c>
    </row>
    <row r="9" spans="1:9" x14ac:dyDescent="0.35">
      <c r="A9" s="2" t="s">
        <v>2663</v>
      </c>
      <c r="B9" s="2" t="s">
        <v>24</v>
      </c>
      <c r="C9" s="2" t="s">
        <v>2664</v>
      </c>
      <c r="D9" s="2" t="s">
        <v>291</v>
      </c>
      <c r="E9" s="2" t="s">
        <v>139</v>
      </c>
      <c r="F9" s="2"/>
      <c r="G9" s="2"/>
      <c r="H9" s="2" t="s">
        <v>20</v>
      </c>
      <c r="I9" s="2" t="s">
        <v>2278</v>
      </c>
    </row>
    <row r="10" spans="1:9" x14ac:dyDescent="0.35">
      <c r="A10" s="2" t="s">
        <v>2663</v>
      </c>
      <c r="B10" s="2" t="s">
        <v>24</v>
      </c>
      <c r="C10" s="2" t="s">
        <v>2664</v>
      </c>
      <c r="D10" s="2" t="s">
        <v>35</v>
      </c>
      <c r="E10" s="2" t="s">
        <v>36</v>
      </c>
      <c r="F10" s="2"/>
      <c r="G10" s="2"/>
      <c r="H10" s="2" t="s">
        <v>20</v>
      </c>
      <c r="I10" s="2" t="s">
        <v>2278</v>
      </c>
    </row>
    <row r="11" spans="1:9" x14ac:dyDescent="0.35">
      <c r="A11" s="2" t="s">
        <v>2663</v>
      </c>
      <c r="B11" s="2" t="s">
        <v>24</v>
      </c>
      <c r="C11" s="2" t="s">
        <v>2664</v>
      </c>
      <c r="D11" s="2" t="s">
        <v>77</v>
      </c>
      <c r="E11" s="2" t="s">
        <v>78</v>
      </c>
      <c r="F11" s="2"/>
      <c r="G11" s="2"/>
      <c r="H11" s="2" t="s">
        <v>20</v>
      </c>
      <c r="I11" s="2" t="s">
        <v>2278</v>
      </c>
    </row>
    <row r="12" spans="1:9" x14ac:dyDescent="0.35">
      <c r="A12" s="2" t="s">
        <v>2663</v>
      </c>
      <c r="B12" s="2" t="s">
        <v>24</v>
      </c>
      <c r="C12" s="2" t="s">
        <v>2664</v>
      </c>
      <c r="D12" s="2" t="s">
        <v>61</v>
      </c>
      <c r="E12" s="2" t="s">
        <v>30</v>
      </c>
      <c r="F12" s="2"/>
      <c r="G12" s="2"/>
      <c r="H12" s="2" t="s">
        <v>20</v>
      </c>
      <c r="I12" s="2" t="s">
        <v>2278</v>
      </c>
    </row>
    <row r="13" spans="1:9" x14ac:dyDescent="0.35">
      <c r="A13" s="2" t="s">
        <v>2663</v>
      </c>
      <c r="B13" s="2" t="s">
        <v>24</v>
      </c>
      <c r="C13" s="2" t="s">
        <v>2664</v>
      </c>
      <c r="D13" s="2" t="s">
        <v>18</v>
      </c>
      <c r="E13" s="2" t="s">
        <v>19</v>
      </c>
      <c r="F13" s="2" t="s">
        <v>20</v>
      </c>
      <c r="G13" s="2" t="s">
        <v>2665</v>
      </c>
      <c r="H13" s="2" t="s">
        <v>20</v>
      </c>
      <c r="I13" s="2" t="s">
        <v>2278</v>
      </c>
    </row>
    <row r="14" spans="1:9" x14ac:dyDescent="0.35">
      <c r="A14" s="2" t="s">
        <v>2663</v>
      </c>
      <c r="B14" s="2" t="s">
        <v>24</v>
      </c>
      <c r="C14" s="2" t="s">
        <v>2664</v>
      </c>
      <c r="D14" s="2" t="s">
        <v>149</v>
      </c>
      <c r="E14" s="2" t="s">
        <v>150</v>
      </c>
      <c r="F14" s="2" t="s">
        <v>20</v>
      </c>
      <c r="G14" s="2" t="s">
        <v>2666</v>
      </c>
      <c r="H14" s="2" t="s">
        <v>20</v>
      </c>
      <c r="I14" s="2" t="s">
        <v>2278</v>
      </c>
    </row>
    <row r="15" spans="1:9" x14ac:dyDescent="0.35">
      <c r="A15" s="2" t="s">
        <v>2667</v>
      </c>
      <c r="B15" s="2" t="s">
        <v>57</v>
      </c>
      <c r="C15" s="2" t="s">
        <v>2668</v>
      </c>
      <c r="D15" s="2" t="s">
        <v>14</v>
      </c>
      <c r="E15" s="2" t="s">
        <v>15</v>
      </c>
      <c r="F15" s="2" t="s">
        <v>16</v>
      </c>
      <c r="G15" s="2" t="s">
        <v>1926</v>
      </c>
      <c r="H15" s="2"/>
      <c r="I15" s="2"/>
    </row>
    <row r="16" spans="1:9" x14ac:dyDescent="0.35">
      <c r="A16" s="2" t="s">
        <v>2667</v>
      </c>
      <c r="B16" s="2" t="s">
        <v>57</v>
      </c>
      <c r="C16" s="2" t="s">
        <v>2668</v>
      </c>
      <c r="D16" s="2" t="s">
        <v>27</v>
      </c>
      <c r="E16" s="2" t="s">
        <v>28</v>
      </c>
      <c r="F16" s="2"/>
      <c r="G16" s="2"/>
      <c r="H16" s="2"/>
      <c r="I16" s="2"/>
    </row>
    <row r="17" spans="1:9" x14ac:dyDescent="0.35">
      <c r="A17" s="2" t="s">
        <v>2667</v>
      </c>
      <c r="B17" s="2" t="s">
        <v>57</v>
      </c>
      <c r="C17" s="2" t="s">
        <v>2668</v>
      </c>
      <c r="D17" s="2" t="s">
        <v>121</v>
      </c>
      <c r="E17" s="2" t="s">
        <v>122</v>
      </c>
      <c r="F17" s="2"/>
      <c r="G17" s="2"/>
      <c r="H17" s="2"/>
      <c r="I17" s="2"/>
    </row>
    <row r="18" spans="1:9" x14ac:dyDescent="0.35">
      <c r="A18" s="2" t="s">
        <v>2667</v>
      </c>
      <c r="B18" s="2" t="s">
        <v>57</v>
      </c>
      <c r="C18" s="2" t="s">
        <v>2668</v>
      </c>
      <c r="D18" s="2" t="s">
        <v>149</v>
      </c>
      <c r="E18" s="2" t="s">
        <v>150</v>
      </c>
      <c r="F18" s="2" t="s">
        <v>16</v>
      </c>
      <c r="G18" s="2" t="s">
        <v>2669</v>
      </c>
      <c r="H18" s="2"/>
      <c r="I18" s="2"/>
    </row>
    <row r="19" spans="1:9" x14ac:dyDescent="0.35">
      <c r="A19" s="2" t="s">
        <v>2667</v>
      </c>
      <c r="B19" s="2" t="s">
        <v>24</v>
      </c>
      <c r="C19" s="2" t="s">
        <v>2670</v>
      </c>
      <c r="D19" s="2" t="s">
        <v>14</v>
      </c>
      <c r="E19" s="2" t="s">
        <v>15</v>
      </c>
      <c r="F19" s="2"/>
      <c r="G19" s="2"/>
      <c r="H19" s="2"/>
      <c r="I19" s="2"/>
    </row>
    <row r="20" spans="1:9" x14ac:dyDescent="0.35">
      <c r="A20" s="2" t="s">
        <v>2667</v>
      </c>
      <c r="B20" s="2" t="s">
        <v>24</v>
      </c>
      <c r="C20" s="2" t="s">
        <v>2670</v>
      </c>
      <c r="D20" s="2" t="s">
        <v>393</v>
      </c>
      <c r="E20" s="2" t="s">
        <v>36</v>
      </c>
      <c r="F20" s="2"/>
      <c r="G20" s="2"/>
      <c r="H20" s="2"/>
      <c r="I20" s="2"/>
    </row>
    <row r="21" spans="1:9" x14ac:dyDescent="0.35">
      <c r="A21" s="2" t="s">
        <v>2667</v>
      </c>
      <c r="B21" s="2" t="s">
        <v>24</v>
      </c>
      <c r="C21" s="2" t="s">
        <v>2670</v>
      </c>
      <c r="D21" s="2" t="s">
        <v>91</v>
      </c>
      <c r="E21" s="2" t="s">
        <v>19</v>
      </c>
      <c r="F21" s="2" t="s">
        <v>16</v>
      </c>
      <c r="G21" s="2" t="s">
        <v>2671</v>
      </c>
      <c r="H21" s="2"/>
      <c r="I21" s="2"/>
    </row>
    <row r="22" spans="1:9" x14ac:dyDescent="0.35">
      <c r="A22" s="2" t="s">
        <v>2667</v>
      </c>
      <c r="B22" s="2" t="s">
        <v>24</v>
      </c>
      <c r="C22" s="2" t="s">
        <v>2670</v>
      </c>
      <c r="D22" s="2" t="s">
        <v>89</v>
      </c>
      <c r="E22" s="2" t="s">
        <v>45</v>
      </c>
      <c r="F22" s="2" t="s">
        <v>16</v>
      </c>
      <c r="G22" s="2" t="s">
        <v>2672</v>
      </c>
      <c r="H22" s="2"/>
      <c r="I22" s="2"/>
    </row>
    <row r="23" spans="1:9" x14ac:dyDescent="0.35">
      <c r="A23" s="2" t="s">
        <v>2667</v>
      </c>
      <c r="B23" s="2" t="s">
        <v>62</v>
      </c>
      <c r="C23" s="2" t="s">
        <v>2673</v>
      </c>
      <c r="D23" s="2" t="s">
        <v>14</v>
      </c>
      <c r="E23" s="2" t="s">
        <v>15</v>
      </c>
      <c r="F23" s="2"/>
      <c r="G23" s="2"/>
      <c r="H23" s="2"/>
      <c r="I23" s="2"/>
    </row>
    <row r="24" spans="1:9" x14ac:dyDescent="0.35">
      <c r="A24" s="2" t="s">
        <v>2667</v>
      </c>
      <c r="B24" s="2" t="s">
        <v>62</v>
      </c>
      <c r="C24" s="2" t="s">
        <v>2673</v>
      </c>
      <c r="D24" s="2" t="s">
        <v>27</v>
      </c>
      <c r="E24" s="2" t="s">
        <v>28</v>
      </c>
      <c r="F24" s="2"/>
      <c r="G24" s="2"/>
      <c r="H24" s="2"/>
      <c r="I24" s="2"/>
    </row>
    <row r="25" spans="1:9" x14ac:dyDescent="0.35">
      <c r="A25" s="2" t="s">
        <v>2667</v>
      </c>
      <c r="B25" s="2" t="s">
        <v>62</v>
      </c>
      <c r="C25" s="2" t="s">
        <v>2673</v>
      </c>
      <c r="D25" s="2" t="s">
        <v>87</v>
      </c>
      <c r="E25" s="2" t="s">
        <v>75</v>
      </c>
      <c r="F25" s="2" t="s">
        <v>16</v>
      </c>
      <c r="G25" s="2" t="s">
        <v>2674</v>
      </c>
      <c r="H25" s="2"/>
      <c r="I25" s="2"/>
    </row>
    <row r="26" spans="1:9" x14ac:dyDescent="0.35">
      <c r="A26" s="2" t="s">
        <v>2667</v>
      </c>
      <c r="B26" s="2" t="s">
        <v>62</v>
      </c>
      <c r="C26" s="2" t="s">
        <v>2673</v>
      </c>
      <c r="D26" s="2" t="s">
        <v>127</v>
      </c>
      <c r="E26" s="2" t="s">
        <v>107</v>
      </c>
      <c r="F26" s="2"/>
      <c r="G26" s="2"/>
      <c r="H26" s="2"/>
      <c r="I26" s="2"/>
    </row>
    <row r="27" spans="1:9" x14ac:dyDescent="0.35">
      <c r="A27" s="2" t="s">
        <v>2675</v>
      </c>
      <c r="B27" s="2" t="s">
        <v>57</v>
      </c>
      <c r="C27" s="2" t="s">
        <v>2676</v>
      </c>
      <c r="D27" s="2" t="s">
        <v>14</v>
      </c>
      <c r="E27" s="2" t="s">
        <v>15</v>
      </c>
      <c r="F27" s="2"/>
      <c r="G27" s="2"/>
      <c r="H27" s="2"/>
      <c r="I27" s="2"/>
    </row>
    <row r="28" spans="1:9" x14ac:dyDescent="0.35">
      <c r="A28" s="2" t="s">
        <v>2675</v>
      </c>
      <c r="B28" s="2" t="s">
        <v>57</v>
      </c>
      <c r="C28" s="2" t="s">
        <v>2676</v>
      </c>
      <c r="D28" s="2" t="s">
        <v>27</v>
      </c>
      <c r="E28" s="2" t="s">
        <v>28</v>
      </c>
      <c r="F28" s="2" t="s">
        <v>16</v>
      </c>
      <c r="G28" s="2" t="s">
        <v>2677</v>
      </c>
      <c r="H28" s="2"/>
      <c r="I28" s="2"/>
    </row>
    <row r="29" spans="1:9" x14ac:dyDescent="0.35">
      <c r="A29" s="2" t="s">
        <v>2675</v>
      </c>
      <c r="B29" s="2" t="s">
        <v>57</v>
      </c>
      <c r="C29" s="2" t="s">
        <v>2676</v>
      </c>
      <c r="D29" s="2" t="s">
        <v>1145</v>
      </c>
      <c r="E29" s="2" t="s">
        <v>15</v>
      </c>
      <c r="F29" s="2"/>
      <c r="G29" s="2"/>
      <c r="H29" s="2"/>
      <c r="I29" s="2"/>
    </row>
    <row r="30" spans="1:9" x14ac:dyDescent="0.35">
      <c r="A30" s="2" t="s">
        <v>2675</v>
      </c>
      <c r="B30" s="2" t="s">
        <v>54</v>
      </c>
      <c r="C30" s="2" t="s">
        <v>2678</v>
      </c>
      <c r="D30" s="2" t="s">
        <v>74</v>
      </c>
      <c r="E30" s="2" t="s">
        <v>75</v>
      </c>
      <c r="F30" s="2" t="s">
        <v>16</v>
      </c>
      <c r="G30" s="2" t="s">
        <v>2679</v>
      </c>
      <c r="H30" s="2"/>
      <c r="I30" s="2"/>
    </row>
    <row r="31" spans="1:9" x14ac:dyDescent="0.35">
      <c r="A31" s="2" t="s">
        <v>2675</v>
      </c>
      <c r="B31" s="2" t="s">
        <v>54</v>
      </c>
      <c r="C31" s="2" t="s">
        <v>2678</v>
      </c>
      <c r="D31" s="2" t="s">
        <v>14</v>
      </c>
      <c r="E31" s="2" t="s">
        <v>15</v>
      </c>
      <c r="F31" s="2"/>
      <c r="G31" s="2"/>
      <c r="H31" s="2"/>
      <c r="I31" s="2"/>
    </row>
    <row r="32" spans="1:9" x14ac:dyDescent="0.35">
      <c r="A32" s="2" t="s">
        <v>2675</v>
      </c>
      <c r="B32" s="2" t="s">
        <v>54</v>
      </c>
      <c r="C32" s="2" t="s">
        <v>2678</v>
      </c>
      <c r="D32" s="2" t="s">
        <v>33</v>
      </c>
      <c r="E32" s="2" t="s">
        <v>34</v>
      </c>
      <c r="F32" s="2"/>
      <c r="G32" s="2"/>
      <c r="H32" s="2"/>
      <c r="I32" s="2"/>
    </row>
    <row r="33" spans="1:9" x14ac:dyDescent="0.35">
      <c r="A33" s="2" t="s">
        <v>2680</v>
      </c>
      <c r="B33" s="2" t="s">
        <v>57</v>
      </c>
      <c r="C33" s="2" t="s">
        <v>2681</v>
      </c>
      <c r="D33" s="2" t="s">
        <v>14</v>
      </c>
      <c r="E33" s="2" t="s">
        <v>15</v>
      </c>
      <c r="F33" s="2"/>
      <c r="G33" s="2"/>
      <c r="H33" s="2"/>
      <c r="I33" s="2"/>
    </row>
    <row r="34" spans="1:9" x14ac:dyDescent="0.35">
      <c r="A34" s="2" t="s">
        <v>2680</v>
      </c>
      <c r="B34" s="2" t="s">
        <v>57</v>
      </c>
      <c r="C34" s="2" t="s">
        <v>2681</v>
      </c>
      <c r="D34" s="2" t="s">
        <v>121</v>
      </c>
      <c r="E34" s="2" t="s">
        <v>122</v>
      </c>
      <c r="F34" s="2" t="s">
        <v>16</v>
      </c>
      <c r="G34" s="2" t="s">
        <v>2682</v>
      </c>
      <c r="H34" s="2"/>
      <c r="I34" s="2"/>
    </row>
    <row r="35" spans="1:9" x14ac:dyDescent="0.35">
      <c r="A35" s="2" t="s">
        <v>2680</v>
      </c>
      <c r="B35" s="2" t="s">
        <v>57</v>
      </c>
      <c r="C35" s="2" t="s">
        <v>2681</v>
      </c>
      <c r="D35" s="2" t="s">
        <v>393</v>
      </c>
      <c r="E35" s="2" t="s">
        <v>36</v>
      </c>
      <c r="F35" s="2"/>
      <c r="G35" s="2"/>
      <c r="H35" s="2"/>
      <c r="I35" s="2"/>
    </row>
    <row r="36" spans="1:9" x14ac:dyDescent="0.35">
      <c r="A36" s="2" t="s">
        <v>2680</v>
      </c>
      <c r="B36" s="2" t="s">
        <v>57</v>
      </c>
      <c r="C36" s="2" t="s">
        <v>2681</v>
      </c>
      <c r="D36" s="2" t="s">
        <v>87</v>
      </c>
      <c r="E36" s="2" t="s">
        <v>75</v>
      </c>
      <c r="F36" s="2" t="s">
        <v>16</v>
      </c>
      <c r="G36" s="2" t="s">
        <v>2683</v>
      </c>
      <c r="H36" s="2"/>
      <c r="I36" s="2"/>
    </row>
    <row r="37" spans="1:9" x14ac:dyDescent="0.35">
      <c r="A37" s="2" t="s">
        <v>2680</v>
      </c>
      <c r="B37" s="2" t="s">
        <v>57</v>
      </c>
      <c r="C37" s="2" t="s">
        <v>2681</v>
      </c>
      <c r="D37" s="2" t="s">
        <v>149</v>
      </c>
      <c r="E37" s="2" t="s">
        <v>150</v>
      </c>
      <c r="F37" s="2" t="s">
        <v>16</v>
      </c>
      <c r="G37" s="2" t="s">
        <v>2684</v>
      </c>
      <c r="H37" s="2"/>
      <c r="I37" s="2"/>
    </row>
    <row r="38" spans="1:9" x14ac:dyDescent="0.35">
      <c r="A38" s="2" t="s">
        <v>2680</v>
      </c>
      <c r="B38" s="2" t="s">
        <v>24</v>
      </c>
      <c r="C38" s="2" t="s">
        <v>2685</v>
      </c>
      <c r="D38" s="2" t="s">
        <v>121</v>
      </c>
      <c r="E38" s="2" t="s">
        <v>122</v>
      </c>
      <c r="F38" s="2"/>
      <c r="G38" s="2"/>
      <c r="H38" s="2"/>
      <c r="I38" s="2"/>
    </row>
    <row r="39" spans="1:9" x14ac:dyDescent="0.35">
      <c r="A39" s="2" t="s">
        <v>2680</v>
      </c>
      <c r="B39" s="2" t="s">
        <v>24</v>
      </c>
      <c r="C39" s="2" t="s">
        <v>2685</v>
      </c>
      <c r="D39" s="2" t="s">
        <v>91</v>
      </c>
      <c r="E39" s="2" t="s">
        <v>19</v>
      </c>
      <c r="F39" s="2" t="s">
        <v>16</v>
      </c>
      <c r="G39" s="2" t="s">
        <v>2686</v>
      </c>
      <c r="H39" s="2"/>
      <c r="I39" s="2"/>
    </row>
    <row r="40" spans="1:9" x14ac:dyDescent="0.35">
      <c r="A40" s="2" t="s">
        <v>2680</v>
      </c>
      <c r="B40" s="2" t="s">
        <v>24</v>
      </c>
      <c r="C40" s="2" t="s">
        <v>2687</v>
      </c>
      <c r="D40" s="2" t="s">
        <v>14</v>
      </c>
      <c r="E40" s="2" t="s">
        <v>15</v>
      </c>
      <c r="F40" s="2"/>
      <c r="G40" s="2"/>
      <c r="H40" s="2"/>
      <c r="I40" s="2"/>
    </row>
    <row r="41" spans="1:9" x14ac:dyDescent="0.35">
      <c r="A41" s="2" t="s">
        <v>2680</v>
      </c>
      <c r="B41" s="2" t="s">
        <v>24</v>
      </c>
      <c r="C41" s="2" t="s">
        <v>2687</v>
      </c>
      <c r="D41" s="2" t="s">
        <v>87</v>
      </c>
      <c r="E41" s="2" t="s">
        <v>75</v>
      </c>
      <c r="F41" s="2" t="s">
        <v>16</v>
      </c>
      <c r="G41" s="2" t="s">
        <v>2688</v>
      </c>
      <c r="H41" s="2"/>
      <c r="I41" s="2"/>
    </row>
    <row r="42" spans="1:9" x14ac:dyDescent="0.35">
      <c r="A42" s="2" t="s">
        <v>2680</v>
      </c>
      <c r="B42" s="2" t="s">
        <v>24</v>
      </c>
      <c r="C42" s="2" t="s">
        <v>2687</v>
      </c>
      <c r="D42" s="2" t="s">
        <v>42</v>
      </c>
      <c r="E42" s="2" t="s">
        <v>43</v>
      </c>
      <c r="F42" s="2"/>
      <c r="G42" s="2"/>
      <c r="H42" s="2"/>
      <c r="I42" s="2"/>
    </row>
    <row r="43" spans="1:9" x14ac:dyDescent="0.35">
      <c r="A43" s="2" t="s">
        <v>2689</v>
      </c>
      <c r="B43" s="2" t="s">
        <v>24</v>
      </c>
      <c r="C43" s="2" t="s">
        <v>2690</v>
      </c>
      <c r="D43" s="2" t="s">
        <v>998</v>
      </c>
      <c r="E43" s="2" t="s">
        <v>40</v>
      </c>
      <c r="F43" s="2"/>
      <c r="G43" s="2"/>
      <c r="H43" s="2"/>
      <c r="I43" s="2"/>
    </row>
    <row r="44" spans="1:9" x14ac:dyDescent="0.35">
      <c r="A44" s="2" t="s">
        <v>2689</v>
      </c>
      <c r="B44" s="2" t="s">
        <v>24</v>
      </c>
      <c r="C44" s="2" t="s">
        <v>2690</v>
      </c>
      <c r="D44" s="2" t="s">
        <v>138</v>
      </c>
      <c r="E44" s="2" t="s">
        <v>139</v>
      </c>
      <c r="F44" s="2"/>
      <c r="G44" s="2"/>
      <c r="H44" s="2"/>
      <c r="I44" s="2"/>
    </row>
    <row r="45" spans="1:9" x14ac:dyDescent="0.35">
      <c r="A45" s="2" t="s">
        <v>2689</v>
      </c>
      <c r="B45" s="2" t="s">
        <v>24</v>
      </c>
      <c r="C45" s="2" t="s">
        <v>2690</v>
      </c>
      <c r="D45" s="2" t="s">
        <v>121</v>
      </c>
      <c r="E45" s="2" t="s">
        <v>122</v>
      </c>
      <c r="F45" s="2"/>
      <c r="G45" s="2"/>
      <c r="H45" s="2"/>
      <c r="I45" s="2"/>
    </row>
    <row r="46" spans="1:9" x14ac:dyDescent="0.35">
      <c r="A46" s="2" t="s">
        <v>2689</v>
      </c>
      <c r="B46" s="2" t="s">
        <v>24</v>
      </c>
      <c r="C46" s="2" t="s">
        <v>2690</v>
      </c>
      <c r="D46" s="2" t="s">
        <v>18</v>
      </c>
      <c r="E46" s="2" t="s">
        <v>19</v>
      </c>
      <c r="F46" s="2" t="s">
        <v>16</v>
      </c>
      <c r="G46" s="2" t="s">
        <v>2691</v>
      </c>
      <c r="H46" s="2"/>
      <c r="I46" s="2"/>
    </row>
    <row r="47" spans="1:9" x14ac:dyDescent="0.35">
      <c r="A47" s="2" t="s">
        <v>2689</v>
      </c>
      <c r="B47" s="2" t="s">
        <v>24</v>
      </c>
      <c r="C47" s="2" t="s">
        <v>2690</v>
      </c>
      <c r="D47" s="2" t="s">
        <v>61</v>
      </c>
      <c r="E47" s="2" t="s">
        <v>30</v>
      </c>
      <c r="F47" s="2"/>
      <c r="G47" s="2"/>
      <c r="H47" s="2"/>
      <c r="I47" s="2"/>
    </row>
    <row r="48" spans="1:9" x14ac:dyDescent="0.35">
      <c r="A48" s="2" t="s">
        <v>2689</v>
      </c>
      <c r="B48" s="2" t="s">
        <v>24</v>
      </c>
      <c r="C48" s="2" t="s">
        <v>2690</v>
      </c>
      <c r="D48" s="2" t="s">
        <v>188</v>
      </c>
      <c r="E48" s="2" t="s">
        <v>189</v>
      </c>
      <c r="F48" s="2"/>
      <c r="G48" s="2"/>
      <c r="H48" s="2"/>
      <c r="I48" s="2"/>
    </row>
    <row r="49" spans="1:9" x14ac:dyDescent="0.35">
      <c r="A49" s="2" t="s">
        <v>2689</v>
      </c>
      <c r="B49" s="2" t="s">
        <v>24</v>
      </c>
      <c r="C49" s="2" t="s">
        <v>2690</v>
      </c>
      <c r="D49" s="2" t="s">
        <v>149</v>
      </c>
      <c r="E49" s="2" t="s">
        <v>150</v>
      </c>
      <c r="F49" s="2" t="s">
        <v>16</v>
      </c>
      <c r="G49" s="2" t="s">
        <v>2692</v>
      </c>
      <c r="H49" s="2"/>
      <c r="I49" s="2"/>
    </row>
    <row r="50" spans="1:9" x14ac:dyDescent="0.35">
      <c r="A50" s="2" t="s">
        <v>2689</v>
      </c>
      <c r="B50" s="2" t="s">
        <v>57</v>
      </c>
      <c r="C50" s="2" t="s">
        <v>2693</v>
      </c>
      <c r="D50" s="2" t="s">
        <v>14</v>
      </c>
      <c r="E50" s="2" t="s">
        <v>15</v>
      </c>
      <c r="F50" s="2"/>
      <c r="G50" s="2"/>
      <c r="H50" s="2"/>
      <c r="I50" s="2"/>
    </row>
    <row r="51" spans="1:9" x14ac:dyDescent="0.35">
      <c r="A51" s="2" t="s">
        <v>2689</v>
      </c>
      <c r="B51" s="2" t="s">
        <v>57</v>
      </c>
      <c r="C51" s="2" t="s">
        <v>2693</v>
      </c>
      <c r="D51" s="2" t="s">
        <v>27</v>
      </c>
      <c r="E51" s="2" t="s">
        <v>28</v>
      </c>
      <c r="F51" s="2" t="s">
        <v>20</v>
      </c>
      <c r="G51" s="2" t="s">
        <v>2694</v>
      </c>
      <c r="H51" s="2"/>
      <c r="I51" s="2"/>
    </row>
    <row r="52" spans="1:9" x14ac:dyDescent="0.35">
      <c r="A52" s="2" t="s">
        <v>2689</v>
      </c>
      <c r="B52" s="2" t="s">
        <v>57</v>
      </c>
      <c r="C52" s="2" t="s">
        <v>2693</v>
      </c>
      <c r="D52" s="2" t="s">
        <v>120</v>
      </c>
      <c r="E52" s="2" t="s">
        <v>32</v>
      </c>
      <c r="F52" s="2" t="s">
        <v>16</v>
      </c>
      <c r="G52" s="2" t="s">
        <v>2695</v>
      </c>
      <c r="H52" s="2"/>
      <c r="I52" s="2"/>
    </row>
    <row r="53" spans="1:9" x14ac:dyDescent="0.35">
      <c r="A53" s="2" t="s">
        <v>2689</v>
      </c>
      <c r="B53" s="2" t="s">
        <v>57</v>
      </c>
      <c r="C53" s="2" t="s">
        <v>2693</v>
      </c>
      <c r="D53" s="2" t="s">
        <v>1145</v>
      </c>
      <c r="E53" s="2" t="s">
        <v>15</v>
      </c>
      <c r="F53" s="2"/>
      <c r="G53" s="2"/>
      <c r="H53" s="2"/>
      <c r="I53" s="2"/>
    </row>
    <row r="54" spans="1:9" x14ac:dyDescent="0.35">
      <c r="A54" s="2" t="s">
        <v>2689</v>
      </c>
      <c r="B54" s="2" t="s">
        <v>57</v>
      </c>
      <c r="C54" s="2" t="s">
        <v>2693</v>
      </c>
      <c r="D54" s="2" t="s">
        <v>416</v>
      </c>
      <c r="E54" s="2" t="s">
        <v>38</v>
      </c>
      <c r="F54" s="2"/>
      <c r="G54" s="2"/>
      <c r="H54" s="2"/>
      <c r="I54" s="2"/>
    </row>
    <row r="55" spans="1:9" x14ac:dyDescent="0.35">
      <c r="A55" s="2" t="s">
        <v>2689</v>
      </c>
      <c r="B55" s="2" t="s">
        <v>57</v>
      </c>
      <c r="C55" s="2" t="s">
        <v>2693</v>
      </c>
      <c r="D55" s="2" t="s">
        <v>121</v>
      </c>
      <c r="E55" s="2" t="s">
        <v>122</v>
      </c>
      <c r="F55" s="2" t="s">
        <v>16</v>
      </c>
      <c r="G55" s="2" t="s">
        <v>2696</v>
      </c>
      <c r="H55" s="2"/>
      <c r="I55" s="2"/>
    </row>
    <row r="56" spans="1:9" x14ac:dyDescent="0.35">
      <c r="A56" s="2" t="s">
        <v>2689</v>
      </c>
      <c r="B56" s="2" t="s">
        <v>57</v>
      </c>
      <c r="C56" s="2" t="s">
        <v>2693</v>
      </c>
      <c r="D56" s="2" t="s">
        <v>393</v>
      </c>
      <c r="E56" s="2" t="s">
        <v>36</v>
      </c>
      <c r="F56" s="2" t="s">
        <v>16</v>
      </c>
      <c r="G56" s="2" t="s">
        <v>2697</v>
      </c>
      <c r="H56" s="2"/>
      <c r="I56" s="2"/>
    </row>
    <row r="57" spans="1:9" x14ac:dyDescent="0.35">
      <c r="A57" s="2" t="s">
        <v>2689</v>
      </c>
      <c r="B57" s="2" t="s">
        <v>57</v>
      </c>
      <c r="C57" s="2" t="s">
        <v>2693</v>
      </c>
      <c r="D57" s="2" t="s">
        <v>18</v>
      </c>
      <c r="E57" s="2" t="s">
        <v>19</v>
      </c>
      <c r="F57" s="2" t="s">
        <v>16</v>
      </c>
      <c r="G57" s="2" t="s">
        <v>2698</v>
      </c>
      <c r="H57" s="2"/>
      <c r="I57" s="2"/>
    </row>
    <row r="58" spans="1:9" x14ac:dyDescent="0.35">
      <c r="A58" s="2" t="s">
        <v>2689</v>
      </c>
      <c r="B58" s="2" t="s">
        <v>57</v>
      </c>
      <c r="C58" s="2" t="s">
        <v>2693</v>
      </c>
      <c r="D58" s="2" t="s">
        <v>188</v>
      </c>
      <c r="E58" s="2" t="s">
        <v>189</v>
      </c>
      <c r="F58" s="2" t="s">
        <v>16</v>
      </c>
      <c r="G58" s="2" t="s">
        <v>2699</v>
      </c>
      <c r="H58" s="2"/>
      <c r="I58" s="2"/>
    </row>
    <row r="59" spans="1:9" x14ac:dyDescent="0.35">
      <c r="A59" s="2" t="s">
        <v>2689</v>
      </c>
      <c r="B59" s="2" t="s">
        <v>54</v>
      </c>
      <c r="C59" s="2" t="s">
        <v>2700</v>
      </c>
      <c r="D59" s="2" t="s">
        <v>27</v>
      </c>
      <c r="E59" s="2" t="s">
        <v>28</v>
      </c>
      <c r="F59" s="2"/>
      <c r="G59" s="2"/>
      <c r="H59" s="2"/>
      <c r="I59" s="2"/>
    </row>
    <row r="60" spans="1:9" x14ac:dyDescent="0.35">
      <c r="A60" s="2" t="s">
        <v>2689</v>
      </c>
      <c r="B60" s="2" t="s">
        <v>54</v>
      </c>
      <c r="C60" s="2" t="s">
        <v>2700</v>
      </c>
      <c r="D60" s="2" t="s">
        <v>38</v>
      </c>
      <c r="E60" s="2" t="s">
        <v>38</v>
      </c>
      <c r="F60" s="2" t="s">
        <v>16</v>
      </c>
      <c r="G60" s="2" t="s">
        <v>2701</v>
      </c>
      <c r="H60" s="2"/>
      <c r="I60" s="2"/>
    </row>
    <row r="61" spans="1:9" x14ac:dyDescent="0.35">
      <c r="A61" s="2" t="s">
        <v>2689</v>
      </c>
      <c r="B61" s="2" t="s">
        <v>54</v>
      </c>
      <c r="C61" s="2" t="s">
        <v>2700</v>
      </c>
      <c r="D61" s="2" t="s">
        <v>393</v>
      </c>
      <c r="E61" s="2" t="s">
        <v>36</v>
      </c>
      <c r="F61" s="2"/>
      <c r="G61" s="2"/>
      <c r="H61" s="2"/>
      <c r="I61" s="2"/>
    </row>
    <row r="62" spans="1:9" x14ac:dyDescent="0.35">
      <c r="A62" s="2" t="s">
        <v>2689</v>
      </c>
      <c r="B62" s="2" t="s">
        <v>54</v>
      </c>
      <c r="C62" s="2" t="s">
        <v>2700</v>
      </c>
      <c r="D62" s="2" t="s">
        <v>18</v>
      </c>
      <c r="E62" s="2" t="s">
        <v>19</v>
      </c>
      <c r="F62" s="2"/>
      <c r="G62" s="2"/>
      <c r="H62" s="2"/>
      <c r="I62" s="2"/>
    </row>
    <row r="63" spans="1:9" x14ac:dyDescent="0.35">
      <c r="A63" s="2" t="s">
        <v>2689</v>
      </c>
      <c r="B63" s="2" t="s">
        <v>24</v>
      </c>
      <c r="C63" s="2" t="s">
        <v>2702</v>
      </c>
      <c r="D63" s="2" t="s">
        <v>14</v>
      </c>
      <c r="E63" s="2" t="s">
        <v>15</v>
      </c>
      <c r="F63" s="2"/>
      <c r="G63" s="2"/>
      <c r="H63" s="2"/>
      <c r="I63" s="2"/>
    </row>
    <row r="64" spans="1:9" x14ac:dyDescent="0.35">
      <c r="A64" s="2" t="s">
        <v>2689</v>
      </c>
      <c r="B64" s="2" t="s">
        <v>24</v>
      </c>
      <c r="C64" s="2" t="s">
        <v>2702</v>
      </c>
      <c r="D64" s="2" t="s">
        <v>121</v>
      </c>
      <c r="E64" s="2" t="s">
        <v>122</v>
      </c>
      <c r="F64" s="2"/>
      <c r="G64" s="2"/>
      <c r="H64" s="2"/>
      <c r="I64" s="2"/>
    </row>
    <row r="65" spans="1:9" x14ac:dyDescent="0.35">
      <c r="A65" s="2" t="s">
        <v>2689</v>
      </c>
      <c r="B65" s="2" t="s">
        <v>24</v>
      </c>
      <c r="C65" s="2" t="s">
        <v>2702</v>
      </c>
      <c r="D65" s="2" t="s">
        <v>1176</v>
      </c>
      <c r="E65" s="2" t="s">
        <v>38</v>
      </c>
      <c r="F65" s="2"/>
      <c r="G65" s="2"/>
      <c r="H65" s="2"/>
      <c r="I65" s="2"/>
    </row>
    <row r="66" spans="1:9" x14ac:dyDescent="0.35">
      <c r="A66" s="2" t="s">
        <v>2689</v>
      </c>
      <c r="B66" s="2" t="s">
        <v>24</v>
      </c>
      <c r="C66" s="2" t="s">
        <v>2702</v>
      </c>
      <c r="D66" s="2" t="s">
        <v>18</v>
      </c>
      <c r="E66" s="2" t="s">
        <v>19</v>
      </c>
      <c r="F66" s="2" t="s">
        <v>16</v>
      </c>
      <c r="G66" s="2" t="s">
        <v>2703</v>
      </c>
      <c r="H66" s="2"/>
      <c r="I66" s="2"/>
    </row>
    <row r="67" spans="1:9" x14ac:dyDescent="0.35">
      <c r="A67" s="2" t="s">
        <v>2689</v>
      </c>
      <c r="B67" s="2" t="s">
        <v>24</v>
      </c>
      <c r="C67" s="2" t="s">
        <v>2702</v>
      </c>
      <c r="D67" s="2" t="s">
        <v>1982</v>
      </c>
      <c r="E67" s="2" t="s">
        <v>150</v>
      </c>
      <c r="F67" s="2" t="s">
        <v>16</v>
      </c>
      <c r="G67" s="2" t="s">
        <v>2704</v>
      </c>
      <c r="H67" s="2"/>
      <c r="I67" s="2"/>
    </row>
    <row r="68" spans="1:9" x14ac:dyDescent="0.35">
      <c r="A68" s="2" t="s">
        <v>2705</v>
      </c>
      <c r="B68" s="2" t="s">
        <v>57</v>
      </c>
      <c r="C68" s="2" t="s">
        <v>2706</v>
      </c>
      <c r="D68" s="2" t="s">
        <v>1668</v>
      </c>
      <c r="E68" s="2" t="s">
        <v>15</v>
      </c>
      <c r="F68" s="2"/>
      <c r="G68" s="2"/>
      <c r="H68" s="2"/>
      <c r="I68" s="2"/>
    </row>
    <row r="69" spans="1:9" x14ac:dyDescent="0.35">
      <c r="A69" s="2" t="s">
        <v>2705</v>
      </c>
      <c r="B69" s="2" t="s">
        <v>57</v>
      </c>
      <c r="C69" s="2" t="s">
        <v>2706</v>
      </c>
      <c r="D69" s="2" t="s">
        <v>2707</v>
      </c>
      <c r="E69" s="2" t="s">
        <v>32</v>
      </c>
      <c r="F69" s="2" t="s">
        <v>16</v>
      </c>
      <c r="G69" s="2" t="s">
        <v>2695</v>
      </c>
      <c r="H69" s="2"/>
      <c r="I69" s="2"/>
    </row>
    <row r="70" spans="1:9" x14ac:dyDescent="0.35">
      <c r="A70" s="2" t="s">
        <v>2705</v>
      </c>
      <c r="B70" s="2" t="s">
        <v>57</v>
      </c>
      <c r="C70" s="2" t="s">
        <v>2706</v>
      </c>
      <c r="D70" s="2" t="s">
        <v>2708</v>
      </c>
      <c r="E70" s="2" t="s">
        <v>60</v>
      </c>
      <c r="F70" s="2"/>
      <c r="G70" s="2"/>
      <c r="H70" s="2"/>
      <c r="I70" s="2"/>
    </row>
    <row r="71" spans="1:9" x14ac:dyDescent="0.35">
      <c r="A71" s="2" t="s">
        <v>2705</v>
      </c>
      <c r="B71" s="2" t="s">
        <v>57</v>
      </c>
      <c r="C71" s="2" t="s">
        <v>2706</v>
      </c>
      <c r="D71" s="2" t="s">
        <v>38</v>
      </c>
      <c r="E71" s="2" t="s">
        <v>38</v>
      </c>
      <c r="F71" s="2" t="s">
        <v>16</v>
      </c>
      <c r="G71" s="2" t="s">
        <v>2709</v>
      </c>
      <c r="H71" s="2"/>
      <c r="I71" s="2"/>
    </row>
    <row r="72" spans="1:9" x14ac:dyDescent="0.35">
      <c r="A72" s="2" t="s">
        <v>2705</v>
      </c>
      <c r="B72" s="2" t="s">
        <v>57</v>
      </c>
      <c r="C72" s="2" t="s">
        <v>2706</v>
      </c>
      <c r="D72" s="2" t="s">
        <v>393</v>
      </c>
      <c r="E72" s="2" t="s">
        <v>36</v>
      </c>
      <c r="F72" s="2" t="s">
        <v>16</v>
      </c>
      <c r="G72" s="2" t="s">
        <v>2709</v>
      </c>
      <c r="H72" s="2"/>
      <c r="I72" s="2"/>
    </row>
    <row r="73" spans="1:9" x14ac:dyDescent="0.35">
      <c r="A73" s="2" t="s">
        <v>2705</v>
      </c>
      <c r="B73" s="2" t="s">
        <v>57</v>
      </c>
      <c r="C73" s="2" t="s">
        <v>2706</v>
      </c>
      <c r="D73" s="2" t="s">
        <v>18</v>
      </c>
      <c r="E73" s="2" t="s">
        <v>19</v>
      </c>
      <c r="F73" s="2" t="s">
        <v>16</v>
      </c>
      <c r="G73" s="2" t="s">
        <v>2710</v>
      </c>
      <c r="H73" s="2"/>
      <c r="I73" s="2"/>
    </row>
    <row r="74" spans="1:9" x14ac:dyDescent="0.35">
      <c r="A74" s="2" t="s">
        <v>2705</v>
      </c>
      <c r="B74" s="2" t="s">
        <v>57</v>
      </c>
      <c r="C74" s="2" t="s">
        <v>2706</v>
      </c>
      <c r="D74" s="2" t="s">
        <v>149</v>
      </c>
      <c r="E74" s="2" t="s">
        <v>150</v>
      </c>
      <c r="F74" s="2" t="s">
        <v>16</v>
      </c>
      <c r="G74" s="2" t="s">
        <v>2711</v>
      </c>
      <c r="H74" s="2"/>
      <c r="I74" s="2"/>
    </row>
    <row r="75" spans="1:9" x14ac:dyDescent="0.35">
      <c r="A75" s="2" t="s">
        <v>2705</v>
      </c>
      <c r="B75" s="2" t="s">
        <v>24</v>
      </c>
      <c r="C75" s="2" t="s">
        <v>2712</v>
      </c>
      <c r="D75" s="2" t="s">
        <v>14</v>
      </c>
      <c r="E75" s="2" t="s">
        <v>15</v>
      </c>
      <c r="F75" s="2"/>
      <c r="G75" s="2"/>
      <c r="H75" s="2"/>
      <c r="I75" s="2"/>
    </row>
    <row r="76" spans="1:9" x14ac:dyDescent="0.35">
      <c r="A76" s="2" t="s">
        <v>2705</v>
      </c>
      <c r="B76" s="2" t="s">
        <v>24</v>
      </c>
      <c r="C76" s="2" t="s">
        <v>2712</v>
      </c>
      <c r="D76" s="2" t="s">
        <v>27</v>
      </c>
      <c r="E76" s="2" t="s">
        <v>28</v>
      </c>
      <c r="F76" s="2"/>
      <c r="G76" s="2"/>
      <c r="H76" s="2"/>
      <c r="I76" s="2"/>
    </row>
    <row r="77" spans="1:9" x14ac:dyDescent="0.35">
      <c r="A77" s="2" t="s">
        <v>2705</v>
      </c>
      <c r="B77" s="2" t="s">
        <v>24</v>
      </c>
      <c r="C77" s="2" t="s">
        <v>2712</v>
      </c>
      <c r="D77" s="2" t="s">
        <v>120</v>
      </c>
      <c r="E77" s="2" t="s">
        <v>32</v>
      </c>
      <c r="F77" s="2"/>
      <c r="G77" s="2"/>
      <c r="H77" s="2"/>
      <c r="I77" s="2"/>
    </row>
    <row r="78" spans="1:9" x14ac:dyDescent="0.35">
      <c r="A78" s="2" t="s">
        <v>2705</v>
      </c>
      <c r="B78" s="2" t="s">
        <v>24</v>
      </c>
      <c r="C78" s="2" t="s">
        <v>2712</v>
      </c>
      <c r="D78" s="2" t="s">
        <v>96</v>
      </c>
      <c r="E78" s="2" t="s">
        <v>83</v>
      </c>
      <c r="F78" s="2"/>
      <c r="G78" s="2"/>
      <c r="H78" s="2"/>
      <c r="I78" s="2"/>
    </row>
    <row r="79" spans="1:9" x14ac:dyDescent="0.35">
      <c r="A79" s="2" t="s">
        <v>2705</v>
      </c>
      <c r="B79" s="2" t="s">
        <v>24</v>
      </c>
      <c r="C79" s="2" t="s">
        <v>2712</v>
      </c>
      <c r="D79" s="2" t="s">
        <v>38</v>
      </c>
      <c r="E79" s="2" t="s">
        <v>38</v>
      </c>
      <c r="F79" s="2"/>
      <c r="G79" s="2"/>
      <c r="H79" s="2"/>
      <c r="I79" s="2"/>
    </row>
    <row r="80" spans="1:9" x14ac:dyDescent="0.35">
      <c r="A80" s="2" t="s">
        <v>2705</v>
      </c>
      <c r="B80" s="2" t="s">
        <v>24</v>
      </c>
      <c r="C80" s="2" t="s">
        <v>2712</v>
      </c>
      <c r="D80" s="2" t="s">
        <v>393</v>
      </c>
      <c r="E80" s="2" t="s">
        <v>36</v>
      </c>
      <c r="F80" s="2"/>
      <c r="G80" s="2"/>
      <c r="H80" s="2"/>
      <c r="I80" s="2"/>
    </row>
    <row r="81" spans="1:9" x14ac:dyDescent="0.35">
      <c r="A81" s="2" t="s">
        <v>2705</v>
      </c>
      <c r="B81" s="2" t="s">
        <v>24</v>
      </c>
      <c r="C81" s="2" t="s">
        <v>2712</v>
      </c>
      <c r="D81" s="2" t="s">
        <v>77</v>
      </c>
      <c r="E81" s="2" t="s">
        <v>78</v>
      </c>
      <c r="F81" s="2"/>
      <c r="G81" s="2"/>
      <c r="H81" s="2"/>
      <c r="I81" s="2"/>
    </row>
    <row r="82" spans="1:9" x14ac:dyDescent="0.35">
      <c r="A82" s="2" t="s">
        <v>2705</v>
      </c>
      <c r="B82" s="2" t="s">
        <v>24</v>
      </c>
      <c r="C82" s="2" t="s">
        <v>2712</v>
      </c>
      <c r="D82" s="2" t="s">
        <v>18</v>
      </c>
      <c r="E82" s="2" t="s">
        <v>19</v>
      </c>
      <c r="F82" s="2" t="s">
        <v>16</v>
      </c>
      <c r="G82" s="2" t="s">
        <v>2713</v>
      </c>
      <c r="H82" s="2"/>
      <c r="I82" s="2"/>
    </row>
    <row r="83" spans="1:9" x14ac:dyDescent="0.35">
      <c r="A83" s="2" t="s">
        <v>2705</v>
      </c>
      <c r="B83" s="2" t="s">
        <v>24</v>
      </c>
      <c r="C83" s="2" t="s">
        <v>2712</v>
      </c>
      <c r="D83" s="2" t="s">
        <v>149</v>
      </c>
      <c r="E83" s="2" t="s">
        <v>150</v>
      </c>
      <c r="F83" s="2" t="s">
        <v>16</v>
      </c>
      <c r="G83" s="2" t="s">
        <v>2714</v>
      </c>
      <c r="H83" s="2"/>
      <c r="I83" s="2"/>
    </row>
    <row r="84" spans="1:9" x14ac:dyDescent="0.35">
      <c r="A84" s="2" t="s">
        <v>2705</v>
      </c>
      <c r="B84" s="2" t="s">
        <v>24</v>
      </c>
      <c r="C84" s="2" t="s">
        <v>2715</v>
      </c>
      <c r="D84" s="2" t="s">
        <v>76</v>
      </c>
      <c r="E84" s="2" t="s">
        <v>75</v>
      </c>
      <c r="F84" s="2" t="s">
        <v>16</v>
      </c>
      <c r="G84" s="2" t="s">
        <v>191</v>
      </c>
      <c r="H84" s="2"/>
      <c r="I84" s="2"/>
    </row>
    <row r="85" spans="1:9" x14ac:dyDescent="0.35">
      <c r="A85" s="2" t="s">
        <v>2705</v>
      </c>
      <c r="B85" s="2" t="s">
        <v>24</v>
      </c>
      <c r="C85" s="2" t="s">
        <v>2715</v>
      </c>
      <c r="D85" s="2" t="s">
        <v>38</v>
      </c>
      <c r="E85" s="2" t="s">
        <v>38</v>
      </c>
      <c r="F85" s="2" t="s">
        <v>16</v>
      </c>
      <c r="G85" s="2" t="s">
        <v>191</v>
      </c>
      <c r="H85" s="2"/>
      <c r="I85" s="2"/>
    </row>
    <row r="86" spans="1:9" x14ac:dyDescent="0.35">
      <c r="A86" s="2" t="s">
        <v>2705</v>
      </c>
      <c r="B86" s="2" t="s">
        <v>24</v>
      </c>
      <c r="C86" s="2" t="s">
        <v>2715</v>
      </c>
      <c r="D86" s="2" t="s">
        <v>89</v>
      </c>
      <c r="E86" s="2" t="s">
        <v>45</v>
      </c>
      <c r="F86" s="2" t="s">
        <v>16</v>
      </c>
      <c r="G86" s="2" t="s">
        <v>191</v>
      </c>
      <c r="H86" s="2"/>
      <c r="I86" s="2"/>
    </row>
    <row r="87" spans="1:9" x14ac:dyDescent="0.35">
      <c r="A87" s="2" t="s">
        <v>2705</v>
      </c>
      <c r="B87" s="2" t="s">
        <v>24</v>
      </c>
      <c r="C87" s="2" t="s">
        <v>2716</v>
      </c>
      <c r="D87" s="2" t="s">
        <v>74</v>
      </c>
      <c r="E87" s="2" t="s">
        <v>75</v>
      </c>
      <c r="F87" s="2" t="s">
        <v>20</v>
      </c>
      <c r="G87" s="2" t="s">
        <v>2717</v>
      </c>
      <c r="H87" s="2"/>
      <c r="I87" s="2"/>
    </row>
    <row r="88" spans="1:9" x14ac:dyDescent="0.35">
      <c r="A88" s="2" t="s">
        <v>2705</v>
      </c>
      <c r="B88" s="2" t="s">
        <v>24</v>
      </c>
      <c r="C88" s="2" t="s">
        <v>2716</v>
      </c>
      <c r="D88" s="2" t="s">
        <v>77</v>
      </c>
      <c r="E88" s="2" t="s">
        <v>78</v>
      </c>
      <c r="F88" s="2" t="s">
        <v>20</v>
      </c>
      <c r="G88" s="2" t="s">
        <v>2717</v>
      </c>
      <c r="H88" s="2"/>
      <c r="I88" s="2"/>
    </row>
    <row r="89" spans="1:9" x14ac:dyDescent="0.35">
      <c r="A89" s="2" t="s">
        <v>2705</v>
      </c>
      <c r="B89" s="2" t="s">
        <v>24</v>
      </c>
      <c r="C89" s="2" t="s">
        <v>2716</v>
      </c>
      <c r="D89" s="2" t="s">
        <v>89</v>
      </c>
      <c r="E89" s="2" t="s">
        <v>45</v>
      </c>
      <c r="F89" s="2" t="s">
        <v>20</v>
      </c>
      <c r="G89" s="2" t="s">
        <v>2717</v>
      </c>
      <c r="H89" s="2"/>
      <c r="I89" s="2"/>
    </row>
    <row r="90" spans="1:9" x14ac:dyDescent="0.35">
      <c r="A90" s="2" t="s">
        <v>2705</v>
      </c>
      <c r="B90" s="2" t="s">
        <v>24</v>
      </c>
      <c r="C90" s="2" t="s">
        <v>2716</v>
      </c>
      <c r="D90" s="2" t="s">
        <v>18</v>
      </c>
      <c r="E90" s="2" t="s">
        <v>19</v>
      </c>
      <c r="F90" s="2" t="s">
        <v>20</v>
      </c>
      <c r="G90" s="2" t="s">
        <v>2717</v>
      </c>
      <c r="H90" s="2"/>
      <c r="I90" s="2"/>
    </row>
    <row r="91" spans="1:9" x14ac:dyDescent="0.35">
      <c r="A91" s="2" t="s">
        <v>2705</v>
      </c>
      <c r="B91" s="2" t="s">
        <v>24</v>
      </c>
      <c r="C91" s="2" t="s">
        <v>2716</v>
      </c>
      <c r="D91" s="2" t="s">
        <v>149</v>
      </c>
      <c r="E91" s="2" t="s">
        <v>150</v>
      </c>
      <c r="F91" s="2" t="s">
        <v>20</v>
      </c>
      <c r="G91" s="2" t="s">
        <v>2717</v>
      </c>
      <c r="H91" s="2"/>
      <c r="I91" s="2"/>
    </row>
    <row r="92" spans="1:9" x14ac:dyDescent="0.35">
      <c r="A92" s="2" t="s">
        <v>2705</v>
      </c>
      <c r="B92" s="2" t="s">
        <v>54</v>
      </c>
      <c r="C92" s="2" t="s">
        <v>2718</v>
      </c>
      <c r="D92" s="2" t="s">
        <v>1668</v>
      </c>
      <c r="E92" s="2" t="s">
        <v>15</v>
      </c>
      <c r="F92" s="2"/>
      <c r="G92" s="2"/>
      <c r="H92" s="2"/>
      <c r="I92" s="2"/>
    </row>
    <row r="93" spans="1:9" x14ac:dyDescent="0.35">
      <c r="A93" s="2" t="s">
        <v>2705</v>
      </c>
      <c r="B93" s="2" t="s">
        <v>54</v>
      </c>
      <c r="C93" s="2" t="s">
        <v>2718</v>
      </c>
      <c r="D93" s="2" t="s">
        <v>1083</v>
      </c>
      <c r="E93" s="2" t="s">
        <v>15</v>
      </c>
      <c r="F93" s="2"/>
      <c r="G93" s="2"/>
      <c r="H93" s="2"/>
      <c r="I93" s="2"/>
    </row>
    <row r="94" spans="1:9" x14ac:dyDescent="0.35">
      <c r="A94" s="2" t="s">
        <v>2705</v>
      </c>
      <c r="B94" s="2" t="s">
        <v>54</v>
      </c>
      <c r="C94" s="2" t="s">
        <v>2718</v>
      </c>
      <c r="D94" s="2" t="s">
        <v>121</v>
      </c>
      <c r="E94" s="2" t="s">
        <v>122</v>
      </c>
      <c r="F94" s="2"/>
      <c r="G94" s="2"/>
      <c r="H94" s="2"/>
      <c r="I94" s="2"/>
    </row>
    <row r="95" spans="1:9" x14ac:dyDescent="0.35">
      <c r="A95" s="2" t="s">
        <v>2705</v>
      </c>
      <c r="B95" s="2" t="s">
        <v>54</v>
      </c>
      <c r="C95" s="2" t="s">
        <v>2718</v>
      </c>
      <c r="D95" s="2" t="s">
        <v>87</v>
      </c>
      <c r="E95" s="2" t="s">
        <v>75</v>
      </c>
      <c r="F95" s="2"/>
      <c r="G95" s="2"/>
      <c r="H95" s="2"/>
      <c r="I95" s="2"/>
    </row>
    <row r="96" spans="1:9" x14ac:dyDescent="0.35">
      <c r="A96" s="2" t="s">
        <v>2705</v>
      </c>
      <c r="B96" s="2" t="s">
        <v>54</v>
      </c>
      <c r="C96" s="2" t="s">
        <v>2719</v>
      </c>
      <c r="D96" s="2" t="s">
        <v>121</v>
      </c>
      <c r="E96" s="2" t="s">
        <v>122</v>
      </c>
      <c r="F96" s="2" t="s">
        <v>16</v>
      </c>
      <c r="G96" s="2" t="s">
        <v>2720</v>
      </c>
      <c r="H96" s="2"/>
      <c r="I96" s="2"/>
    </row>
    <row r="97" spans="1:9" x14ac:dyDescent="0.35">
      <c r="A97" s="2" t="s">
        <v>2705</v>
      </c>
      <c r="B97" s="2" t="s">
        <v>54</v>
      </c>
      <c r="C97" s="2" t="s">
        <v>2719</v>
      </c>
      <c r="D97" s="2" t="s">
        <v>291</v>
      </c>
      <c r="E97" s="2" t="s">
        <v>139</v>
      </c>
      <c r="F97" s="2" t="s">
        <v>16</v>
      </c>
      <c r="G97" s="2" t="s">
        <v>2721</v>
      </c>
      <c r="H97" s="2"/>
      <c r="I97" s="2"/>
    </row>
    <row r="98" spans="1:9" x14ac:dyDescent="0.35">
      <c r="A98" s="2" t="s">
        <v>2705</v>
      </c>
      <c r="B98" s="2" t="s">
        <v>54</v>
      </c>
      <c r="C98" s="2" t="s">
        <v>2719</v>
      </c>
      <c r="D98" s="2" t="s">
        <v>393</v>
      </c>
      <c r="E98" s="2" t="s">
        <v>36</v>
      </c>
      <c r="F98" s="2" t="s">
        <v>16</v>
      </c>
      <c r="G98" s="2" t="s">
        <v>2722</v>
      </c>
      <c r="H98" s="2"/>
      <c r="I98" s="2"/>
    </row>
    <row r="99" spans="1:9" x14ac:dyDescent="0.35">
      <c r="A99" s="2" t="s">
        <v>2705</v>
      </c>
      <c r="B99" s="2" t="s">
        <v>54</v>
      </c>
      <c r="C99" s="2" t="s">
        <v>2719</v>
      </c>
      <c r="D99" s="2" t="s">
        <v>91</v>
      </c>
      <c r="E99" s="2" t="s">
        <v>19</v>
      </c>
      <c r="F99" s="2" t="s">
        <v>16</v>
      </c>
      <c r="G99" s="2" t="s">
        <v>191</v>
      </c>
      <c r="H99" s="2"/>
      <c r="I99" s="2"/>
    </row>
    <row r="100" spans="1:9" x14ac:dyDescent="0.35">
      <c r="A100" s="2" t="s">
        <v>2705</v>
      </c>
      <c r="B100" s="2" t="s">
        <v>62</v>
      </c>
      <c r="C100" s="2" t="s">
        <v>2723</v>
      </c>
      <c r="D100" s="2" t="s">
        <v>38</v>
      </c>
      <c r="E100" s="2" t="s">
        <v>38</v>
      </c>
      <c r="F100" s="2"/>
      <c r="G100" s="2"/>
      <c r="H100" s="2"/>
      <c r="I100" s="2"/>
    </row>
    <row r="101" spans="1:9" x14ac:dyDescent="0.35">
      <c r="A101" s="2" t="s">
        <v>2705</v>
      </c>
      <c r="B101" s="2" t="s">
        <v>62</v>
      </c>
      <c r="C101" s="2" t="s">
        <v>2723</v>
      </c>
      <c r="D101" s="2" t="s">
        <v>1402</v>
      </c>
      <c r="E101" s="2" t="s">
        <v>75</v>
      </c>
      <c r="F101" s="2"/>
      <c r="G101" s="2"/>
      <c r="H101" s="2"/>
      <c r="I101" s="2"/>
    </row>
    <row r="102" spans="1:9" x14ac:dyDescent="0.35">
      <c r="A102" s="2" t="s">
        <v>2705</v>
      </c>
      <c r="B102" s="2" t="s">
        <v>62</v>
      </c>
      <c r="C102" s="2" t="s">
        <v>2723</v>
      </c>
      <c r="D102" s="2" t="s">
        <v>89</v>
      </c>
      <c r="E102" s="2" t="s">
        <v>45</v>
      </c>
      <c r="F102" s="2"/>
      <c r="G102" s="2"/>
      <c r="H102" s="2"/>
      <c r="I102" s="2"/>
    </row>
    <row r="103" spans="1:9" x14ac:dyDescent="0.35">
      <c r="A103" s="2" t="s">
        <v>2705</v>
      </c>
      <c r="B103" s="2" t="s">
        <v>62</v>
      </c>
      <c r="C103" s="2" t="s">
        <v>2723</v>
      </c>
      <c r="D103" s="2" t="s">
        <v>61</v>
      </c>
      <c r="E103" s="2" t="s">
        <v>30</v>
      </c>
      <c r="F103" s="2"/>
      <c r="G103" s="2"/>
      <c r="H103" s="2"/>
      <c r="I103" s="2"/>
    </row>
    <row r="104" spans="1:9" x14ac:dyDescent="0.35">
      <c r="A104" s="2" t="s">
        <v>2705</v>
      </c>
      <c r="B104" s="2" t="s">
        <v>62</v>
      </c>
      <c r="C104" s="2" t="s">
        <v>2723</v>
      </c>
      <c r="D104" s="2" t="s">
        <v>127</v>
      </c>
      <c r="E104" s="2" t="s">
        <v>107</v>
      </c>
      <c r="F104" s="2"/>
      <c r="G104" s="2"/>
      <c r="H104" s="2"/>
      <c r="I104" s="2"/>
    </row>
    <row r="105" spans="1:9" x14ac:dyDescent="0.35">
      <c r="A105" s="2" t="s">
        <v>2724</v>
      </c>
      <c r="B105" s="2" t="s">
        <v>24</v>
      </c>
      <c r="C105" s="2" t="s">
        <v>2725</v>
      </c>
      <c r="D105" s="2" t="s">
        <v>1668</v>
      </c>
      <c r="E105" s="2" t="s">
        <v>15</v>
      </c>
      <c r="F105" s="2"/>
      <c r="G105" s="2"/>
      <c r="H105" s="2" t="s">
        <v>20</v>
      </c>
      <c r="I105" s="2" t="s">
        <v>2661</v>
      </c>
    </row>
    <row r="106" spans="1:9" x14ac:dyDescent="0.35">
      <c r="A106" s="2" t="s">
        <v>2724</v>
      </c>
      <c r="B106" s="2" t="s">
        <v>24</v>
      </c>
      <c r="C106" s="2" t="s">
        <v>2725</v>
      </c>
      <c r="D106" s="2" t="s">
        <v>27</v>
      </c>
      <c r="E106" s="2" t="s">
        <v>28</v>
      </c>
      <c r="F106" s="2"/>
      <c r="G106" s="2"/>
      <c r="H106" s="2" t="s">
        <v>20</v>
      </c>
      <c r="I106" s="2" t="s">
        <v>2661</v>
      </c>
    </row>
    <row r="107" spans="1:9" x14ac:dyDescent="0.35">
      <c r="A107" s="2" t="s">
        <v>2724</v>
      </c>
      <c r="B107" s="2" t="s">
        <v>24</v>
      </c>
      <c r="C107" s="2" t="s">
        <v>2725</v>
      </c>
      <c r="D107" s="2" t="s">
        <v>120</v>
      </c>
      <c r="E107" s="2" t="s">
        <v>32</v>
      </c>
      <c r="F107" s="2"/>
      <c r="G107" s="2"/>
      <c r="H107" s="2" t="s">
        <v>20</v>
      </c>
      <c r="I107" s="2" t="s">
        <v>2661</v>
      </c>
    </row>
    <row r="108" spans="1:9" x14ac:dyDescent="0.35">
      <c r="A108" s="2" t="s">
        <v>2724</v>
      </c>
      <c r="B108" s="2" t="s">
        <v>24</v>
      </c>
      <c r="C108" s="2" t="s">
        <v>2725</v>
      </c>
      <c r="D108" s="2" t="s">
        <v>136</v>
      </c>
      <c r="E108" s="2" t="s">
        <v>107</v>
      </c>
      <c r="F108" s="2" t="s">
        <v>20</v>
      </c>
      <c r="G108" s="2" t="s">
        <v>2726</v>
      </c>
      <c r="H108" s="2" t="s">
        <v>20</v>
      </c>
      <c r="I108" s="2" t="s">
        <v>2661</v>
      </c>
    </row>
    <row r="109" spans="1:9" x14ac:dyDescent="0.35">
      <c r="A109" s="2" t="s">
        <v>2724</v>
      </c>
      <c r="B109" s="2" t="s">
        <v>24</v>
      </c>
      <c r="C109" s="2" t="s">
        <v>2725</v>
      </c>
      <c r="D109" s="2" t="s">
        <v>534</v>
      </c>
      <c r="E109" s="2" t="s">
        <v>38</v>
      </c>
      <c r="F109" s="2" t="s">
        <v>20</v>
      </c>
      <c r="G109" s="2" t="s">
        <v>2727</v>
      </c>
      <c r="H109" s="2" t="s">
        <v>20</v>
      </c>
      <c r="I109" s="2" t="s">
        <v>2661</v>
      </c>
    </row>
    <row r="110" spans="1:9" x14ac:dyDescent="0.35">
      <c r="A110" s="2" t="s">
        <v>2724</v>
      </c>
      <c r="B110" s="2" t="s">
        <v>24</v>
      </c>
      <c r="C110" s="2" t="s">
        <v>2725</v>
      </c>
      <c r="D110" s="2" t="s">
        <v>35</v>
      </c>
      <c r="E110" s="2" t="s">
        <v>36</v>
      </c>
      <c r="F110" s="2"/>
      <c r="G110" s="2"/>
      <c r="H110" s="2" t="s">
        <v>20</v>
      </c>
      <c r="I110" s="2" t="s">
        <v>2661</v>
      </c>
    </row>
    <row r="111" spans="1:9" x14ac:dyDescent="0.35">
      <c r="A111" s="2" t="s">
        <v>2724</v>
      </c>
      <c r="B111" s="2" t="s">
        <v>24</v>
      </c>
      <c r="C111" s="2" t="s">
        <v>2725</v>
      </c>
      <c r="D111" s="2" t="s">
        <v>89</v>
      </c>
      <c r="E111" s="2" t="s">
        <v>45</v>
      </c>
      <c r="F111" s="2" t="s">
        <v>20</v>
      </c>
      <c r="G111" s="2" t="s">
        <v>2728</v>
      </c>
      <c r="H111" s="2" t="s">
        <v>20</v>
      </c>
      <c r="I111" s="2" t="s">
        <v>2661</v>
      </c>
    </row>
    <row r="112" spans="1:9" x14ac:dyDescent="0.35">
      <c r="A112" s="2" t="s">
        <v>2724</v>
      </c>
      <c r="B112" s="2" t="s">
        <v>24</v>
      </c>
      <c r="C112" s="2" t="s">
        <v>2725</v>
      </c>
      <c r="D112" s="2" t="s">
        <v>61</v>
      </c>
      <c r="E112" s="2" t="s">
        <v>30</v>
      </c>
      <c r="F112" s="2"/>
      <c r="G112" s="2"/>
      <c r="H112" s="2" t="s">
        <v>20</v>
      </c>
      <c r="I112" s="2" t="s">
        <v>2661</v>
      </c>
    </row>
    <row r="113" spans="1:9" x14ac:dyDescent="0.35">
      <c r="A113" s="2" t="s">
        <v>2729</v>
      </c>
      <c r="B113" s="2" t="s">
        <v>24</v>
      </c>
      <c r="C113" s="2" t="s">
        <v>2730</v>
      </c>
      <c r="D113" s="2" t="s">
        <v>87</v>
      </c>
      <c r="E113" s="2" t="s">
        <v>75</v>
      </c>
      <c r="F113" s="2"/>
      <c r="G113" s="2"/>
      <c r="H113" s="2"/>
      <c r="I113" s="2"/>
    </row>
    <row r="114" spans="1:9" x14ac:dyDescent="0.35">
      <c r="A114" s="2" t="s">
        <v>2731</v>
      </c>
      <c r="B114" s="2" t="s">
        <v>57</v>
      </c>
      <c r="C114" s="2" t="s">
        <v>2732</v>
      </c>
      <c r="D114" s="2" t="s">
        <v>1668</v>
      </c>
      <c r="E114" s="2" t="s">
        <v>15</v>
      </c>
      <c r="F114" s="2"/>
      <c r="G114" s="2"/>
      <c r="H114" s="2"/>
      <c r="I114" s="2"/>
    </row>
    <row r="115" spans="1:9" x14ac:dyDescent="0.35">
      <c r="A115" s="2" t="s">
        <v>2731</v>
      </c>
      <c r="B115" s="2" t="s">
        <v>57</v>
      </c>
      <c r="C115" s="2" t="s">
        <v>2732</v>
      </c>
      <c r="D115" s="2" t="s">
        <v>2708</v>
      </c>
      <c r="E115" s="2" t="s">
        <v>60</v>
      </c>
      <c r="F115" s="2"/>
      <c r="G115" s="2"/>
      <c r="H115" s="2"/>
      <c r="I115" s="2"/>
    </row>
    <row r="116" spans="1:9" x14ac:dyDescent="0.35">
      <c r="A116" s="2" t="s">
        <v>2731</v>
      </c>
      <c r="B116" s="2" t="s">
        <v>57</v>
      </c>
      <c r="C116" s="2" t="s">
        <v>2732</v>
      </c>
      <c r="D116" s="2" t="s">
        <v>121</v>
      </c>
      <c r="E116" s="2" t="s">
        <v>122</v>
      </c>
      <c r="F116" s="2" t="s">
        <v>20</v>
      </c>
      <c r="G116" s="2" t="s">
        <v>2733</v>
      </c>
      <c r="H116" s="2"/>
      <c r="I116" s="2"/>
    </row>
    <row r="117" spans="1:9" x14ac:dyDescent="0.35">
      <c r="A117" s="2" t="s">
        <v>2731</v>
      </c>
      <c r="B117" s="2" t="s">
        <v>57</v>
      </c>
      <c r="C117" s="2" t="s">
        <v>2732</v>
      </c>
      <c r="D117" s="2" t="s">
        <v>61</v>
      </c>
      <c r="E117" s="2" t="s">
        <v>30</v>
      </c>
      <c r="F117" s="2"/>
      <c r="G117" s="2"/>
      <c r="H117" s="2"/>
      <c r="I117" s="2"/>
    </row>
    <row r="118" spans="1:9" x14ac:dyDescent="0.35">
      <c r="A118" s="2" t="s">
        <v>2734</v>
      </c>
      <c r="B118" s="2" t="s">
        <v>57</v>
      </c>
      <c r="C118" s="2" t="s">
        <v>2735</v>
      </c>
      <c r="D118" s="2" t="s">
        <v>1668</v>
      </c>
      <c r="E118" s="2" t="s">
        <v>15</v>
      </c>
      <c r="F118" s="2"/>
      <c r="G118" s="2"/>
      <c r="H118" s="2"/>
      <c r="I118" s="4"/>
    </row>
    <row r="119" spans="1:9" x14ac:dyDescent="0.35">
      <c r="A119" s="2" t="s">
        <v>2734</v>
      </c>
      <c r="B119" s="2" t="s">
        <v>57</v>
      </c>
      <c r="C119" s="2" t="s">
        <v>2735</v>
      </c>
      <c r="D119" s="2" t="s">
        <v>27</v>
      </c>
      <c r="E119" s="2" t="s">
        <v>28</v>
      </c>
      <c r="F119" s="2" t="s">
        <v>16</v>
      </c>
      <c r="G119" s="2" t="s">
        <v>2736</v>
      </c>
      <c r="H119" s="2"/>
      <c r="I119" s="2"/>
    </row>
    <row r="120" spans="1:9" x14ac:dyDescent="0.35">
      <c r="A120" s="2" t="s">
        <v>2734</v>
      </c>
      <c r="B120" s="2" t="s">
        <v>57</v>
      </c>
      <c r="C120" s="2" t="s">
        <v>2735</v>
      </c>
      <c r="D120" s="2" t="s">
        <v>59</v>
      </c>
      <c r="E120" s="2" t="s">
        <v>60</v>
      </c>
      <c r="F120" s="2"/>
      <c r="G120" s="2"/>
      <c r="H120" s="2"/>
      <c r="I120" s="2"/>
    </row>
    <row r="121" spans="1:9" x14ac:dyDescent="0.35">
      <c r="A121" s="2" t="s">
        <v>2734</v>
      </c>
      <c r="B121" s="2" t="s">
        <v>57</v>
      </c>
      <c r="C121" s="2" t="s">
        <v>2735</v>
      </c>
      <c r="D121" s="2" t="s">
        <v>416</v>
      </c>
      <c r="E121" s="2" t="s">
        <v>38</v>
      </c>
      <c r="F121" s="2" t="s">
        <v>16</v>
      </c>
      <c r="G121" s="2" t="s">
        <v>2737</v>
      </c>
      <c r="H121" s="2"/>
      <c r="I121" s="2"/>
    </row>
    <row r="122" spans="1:9" x14ac:dyDescent="0.35">
      <c r="A122" s="2" t="s">
        <v>2734</v>
      </c>
      <c r="B122" s="2" t="s">
        <v>57</v>
      </c>
      <c r="C122" s="2" t="s">
        <v>2735</v>
      </c>
      <c r="D122" s="2" t="s">
        <v>213</v>
      </c>
      <c r="E122" s="2" t="s">
        <v>45</v>
      </c>
      <c r="F122" s="2" t="s">
        <v>16</v>
      </c>
      <c r="G122" s="2" t="s">
        <v>2738</v>
      </c>
      <c r="H122" s="2"/>
      <c r="I122" s="2"/>
    </row>
    <row r="123" spans="1:9" x14ac:dyDescent="0.35">
      <c r="A123" s="2" t="s">
        <v>2734</v>
      </c>
      <c r="B123" s="2" t="s">
        <v>57</v>
      </c>
      <c r="C123" s="2" t="s">
        <v>2735</v>
      </c>
      <c r="D123" s="2" t="s">
        <v>91</v>
      </c>
      <c r="E123" s="2" t="s">
        <v>19</v>
      </c>
      <c r="F123" s="2" t="s">
        <v>16</v>
      </c>
      <c r="G123" s="2" t="s">
        <v>2739</v>
      </c>
      <c r="H123" s="2"/>
      <c r="I123" s="2"/>
    </row>
    <row r="124" spans="1:9" x14ac:dyDescent="0.35">
      <c r="A124" s="2" t="s">
        <v>2734</v>
      </c>
      <c r="B124" s="2" t="s">
        <v>57</v>
      </c>
      <c r="C124" s="2" t="s">
        <v>2735</v>
      </c>
      <c r="D124" s="2" t="s">
        <v>112</v>
      </c>
      <c r="E124" s="2" t="s">
        <v>2025</v>
      </c>
      <c r="F124" s="2" t="s">
        <v>46</v>
      </c>
      <c r="G124" s="2" t="s">
        <v>2740</v>
      </c>
      <c r="H124" s="2"/>
      <c r="I124" s="2"/>
    </row>
    <row r="125" spans="1:9" x14ac:dyDescent="0.35">
      <c r="A125" s="2" t="s">
        <v>2734</v>
      </c>
      <c r="B125" s="2" t="s">
        <v>24</v>
      </c>
      <c r="C125" s="2" t="s">
        <v>2741</v>
      </c>
      <c r="D125" s="2" t="s">
        <v>38</v>
      </c>
      <c r="E125" s="2" t="s">
        <v>38</v>
      </c>
      <c r="F125" s="2"/>
      <c r="G125" s="2"/>
      <c r="H125" s="2"/>
      <c r="I125" s="2"/>
    </row>
    <row r="126" spans="1:9" x14ac:dyDescent="0.35">
      <c r="A126" s="2" t="s">
        <v>2734</v>
      </c>
      <c r="B126" s="2" t="s">
        <v>24</v>
      </c>
      <c r="C126" s="2" t="s">
        <v>2741</v>
      </c>
      <c r="D126" s="2" t="s">
        <v>188</v>
      </c>
      <c r="E126" s="2" t="s">
        <v>189</v>
      </c>
      <c r="F126" s="2"/>
      <c r="G126" s="2" t="s">
        <v>2742</v>
      </c>
      <c r="H126" s="2"/>
      <c r="I126" s="2"/>
    </row>
    <row r="127" spans="1:9" x14ac:dyDescent="0.35">
      <c r="A127" s="2" t="s">
        <v>2734</v>
      </c>
      <c r="B127" s="2" t="s">
        <v>24</v>
      </c>
      <c r="C127" s="2" t="s">
        <v>2743</v>
      </c>
      <c r="D127" s="2" t="s">
        <v>14</v>
      </c>
      <c r="E127" s="2" t="s">
        <v>15</v>
      </c>
      <c r="F127" s="2"/>
      <c r="G127" s="2"/>
      <c r="H127" s="2"/>
      <c r="I127" s="2"/>
    </row>
    <row r="128" spans="1:9" x14ac:dyDescent="0.35">
      <c r="A128" s="2" t="s">
        <v>2734</v>
      </c>
      <c r="B128" s="2" t="s">
        <v>24</v>
      </c>
      <c r="C128" s="2" t="s">
        <v>2743</v>
      </c>
      <c r="D128" s="2" t="s">
        <v>998</v>
      </c>
      <c r="E128" s="2" t="s">
        <v>40</v>
      </c>
      <c r="F128" s="2"/>
      <c r="G128" s="2"/>
      <c r="H128" s="2"/>
      <c r="I128" s="2"/>
    </row>
    <row r="129" spans="1:9" x14ac:dyDescent="0.35">
      <c r="A129" s="2" t="s">
        <v>2734</v>
      </c>
      <c r="B129" s="2" t="s">
        <v>24</v>
      </c>
      <c r="C129" s="2" t="s">
        <v>2743</v>
      </c>
      <c r="D129" s="2" t="s">
        <v>27</v>
      </c>
      <c r="E129" s="2" t="s">
        <v>28</v>
      </c>
      <c r="F129" s="2"/>
      <c r="G129" s="2"/>
      <c r="H129" s="2"/>
      <c r="I129" s="2"/>
    </row>
    <row r="130" spans="1:9" x14ac:dyDescent="0.35">
      <c r="A130" s="2" t="s">
        <v>2734</v>
      </c>
      <c r="B130" s="2" t="s">
        <v>24</v>
      </c>
      <c r="C130" s="2" t="s">
        <v>2743</v>
      </c>
      <c r="D130" s="2" t="s">
        <v>121</v>
      </c>
      <c r="E130" s="2" t="s">
        <v>122</v>
      </c>
      <c r="F130" s="2"/>
      <c r="G130" s="2"/>
      <c r="H130" s="2"/>
      <c r="I130" s="2"/>
    </row>
    <row r="131" spans="1:9" x14ac:dyDescent="0.35">
      <c r="A131" s="2" t="s">
        <v>2734</v>
      </c>
      <c r="B131" s="2" t="s">
        <v>24</v>
      </c>
      <c r="C131" s="2" t="s">
        <v>2743</v>
      </c>
      <c r="D131" s="2" t="s">
        <v>91</v>
      </c>
      <c r="E131" s="2" t="s">
        <v>19</v>
      </c>
      <c r="F131" s="2" t="s">
        <v>16</v>
      </c>
      <c r="G131" s="2" t="s">
        <v>2744</v>
      </c>
      <c r="H131" s="2"/>
      <c r="I131" s="2"/>
    </row>
    <row r="132" spans="1:9" x14ac:dyDescent="0.35">
      <c r="A132" s="2" t="s">
        <v>2734</v>
      </c>
      <c r="B132" s="2" t="s">
        <v>24</v>
      </c>
      <c r="C132" s="2" t="s">
        <v>2743</v>
      </c>
      <c r="D132" s="2" t="s">
        <v>2745</v>
      </c>
      <c r="E132" s="2" t="s">
        <v>107</v>
      </c>
      <c r="F132" s="2"/>
      <c r="G132" s="2"/>
      <c r="H132" s="2"/>
      <c r="I132" s="2"/>
    </row>
    <row r="133" spans="1:9" x14ac:dyDescent="0.35">
      <c r="A133" s="2" t="s">
        <v>2734</v>
      </c>
      <c r="B133" s="2" t="s">
        <v>24</v>
      </c>
      <c r="C133" s="2" t="s">
        <v>2743</v>
      </c>
      <c r="D133" s="2" t="s">
        <v>42</v>
      </c>
      <c r="E133" s="2" t="s">
        <v>43</v>
      </c>
      <c r="F133" s="2"/>
      <c r="G133" s="2"/>
      <c r="H133" s="2"/>
      <c r="I133" s="2"/>
    </row>
    <row r="134" spans="1:9" x14ac:dyDescent="0.35">
      <c r="A134" s="2" t="s">
        <v>2746</v>
      </c>
      <c r="B134" s="2" t="s">
        <v>57</v>
      </c>
      <c r="C134" s="2" t="s">
        <v>2747</v>
      </c>
      <c r="D134" s="2" t="s">
        <v>14</v>
      </c>
      <c r="E134" s="2" t="s">
        <v>15</v>
      </c>
      <c r="F134" s="2"/>
      <c r="G134" s="2"/>
      <c r="H134" s="2"/>
      <c r="I134" s="2"/>
    </row>
    <row r="135" spans="1:9" x14ac:dyDescent="0.35">
      <c r="A135" s="2" t="s">
        <v>2746</v>
      </c>
      <c r="B135" s="2" t="s">
        <v>57</v>
      </c>
      <c r="C135" s="2" t="s">
        <v>2747</v>
      </c>
      <c r="D135" s="2" t="s">
        <v>27</v>
      </c>
      <c r="E135" s="2" t="s">
        <v>28</v>
      </c>
      <c r="F135" s="2" t="s">
        <v>16</v>
      </c>
      <c r="G135" s="2" t="s">
        <v>2748</v>
      </c>
      <c r="H135" s="2"/>
      <c r="I135" s="2"/>
    </row>
    <row r="136" spans="1:9" x14ac:dyDescent="0.35">
      <c r="A136" s="2" t="s">
        <v>2746</v>
      </c>
      <c r="B136" s="2" t="s">
        <v>57</v>
      </c>
      <c r="C136" s="2" t="s">
        <v>2747</v>
      </c>
      <c r="D136" s="2" t="s">
        <v>121</v>
      </c>
      <c r="E136" s="2" t="s">
        <v>122</v>
      </c>
      <c r="F136" s="2" t="s">
        <v>16</v>
      </c>
      <c r="G136" s="2" t="s">
        <v>2749</v>
      </c>
      <c r="H136" s="2"/>
      <c r="I136" s="2"/>
    </row>
    <row r="137" spans="1:9" x14ac:dyDescent="0.35">
      <c r="A137" s="2" t="s">
        <v>2746</v>
      </c>
      <c r="B137" s="2" t="s">
        <v>57</v>
      </c>
      <c r="C137" s="2" t="s">
        <v>2747</v>
      </c>
      <c r="D137" s="2" t="s">
        <v>18</v>
      </c>
      <c r="E137" s="2" t="s">
        <v>19</v>
      </c>
      <c r="F137" s="2" t="s">
        <v>16</v>
      </c>
      <c r="G137" s="2" t="s">
        <v>2750</v>
      </c>
      <c r="H137" s="2"/>
      <c r="I137" s="2"/>
    </row>
    <row r="138" spans="1:9" x14ac:dyDescent="0.35">
      <c r="A138" s="2" t="s">
        <v>2746</v>
      </c>
      <c r="B138" s="2" t="s">
        <v>57</v>
      </c>
      <c r="C138" s="2" t="s">
        <v>2747</v>
      </c>
      <c r="D138" s="2" t="s">
        <v>149</v>
      </c>
      <c r="E138" s="2" t="s">
        <v>150</v>
      </c>
      <c r="F138" s="2" t="s">
        <v>16</v>
      </c>
      <c r="G138" s="2" t="s">
        <v>2751</v>
      </c>
      <c r="H138" s="2"/>
      <c r="I138" s="2"/>
    </row>
    <row r="139" spans="1:9" x14ac:dyDescent="0.35">
      <c r="A139" s="2" t="s">
        <v>2746</v>
      </c>
      <c r="B139" s="2" t="s">
        <v>24</v>
      </c>
      <c r="C139" s="2" t="s">
        <v>2752</v>
      </c>
      <c r="D139" s="2" t="s">
        <v>14</v>
      </c>
      <c r="E139" s="2" t="s">
        <v>15</v>
      </c>
      <c r="F139" s="2"/>
      <c r="G139" s="2"/>
      <c r="H139" s="2"/>
      <c r="I139" s="2"/>
    </row>
    <row r="140" spans="1:9" x14ac:dyDescent="0.35">
      <c r="A140" s="2" t="s">
        <v>2746</v>
      </c>
      <c r="B140" s="2" t="s">
        <v>24</v>
      </c>
      <c r="C140" s="2" t="s">
        <v>2752</v>
      </c>
      <c r="D140" s="2" t="s">
        <v>29</v>
      </c>
      <c r="E140" s="2" t="s">
        <v>30</v>
      </c>
      <c r="F140" s="2"/>
      <c r="G140" s="2"/>
      <c r="H140" s="2"/>
      <c r="I140" s="2"/>
    </row>
    <row r="141" spans="1:9" x14ac:dyDescent="0.35">
      <c r="A141" s="2" t="s">
        <v>2746</v>
      </c>
      <c r="B141" s="2" t="s">
        <v>24</v>
      </c>
      <c r="C141" s="2" t="s">
        <v>2752</v>
      </c>
      <c r="D141" s="2" t="s">
        <v>121</v>
      </c>
      <c r="E141" s="2" t="s">
        <v>122</v>
      </c>
      <c r="F141" s="2"/>
      <c r="G141" s="2"/>
      <c r="H141" s="2"/>
      <c r="I141" s="2"/>
    </row>
    <row r="142" spans="1:9" x14ac:dyDescent="0.35">
      <c r="A142" s="2" t="s">
        <v>2746</v>
      </c>
      <c r="B142" s="2" t="s">
        <v>24</v>
      </c>
      <c r="C142" s="2" t="s">
        <v>2752</v>
      </c>
      <c r="D142" s="2" t="s">
        <v>77</v>
      </c>
      <c r="E142" s="2" t="s">
        <v>78</v>
      </c>
      <c r="F142" s="2"/>
      <c r="G142" s="2"/>
      <c r="H142" s="2"/>
      <c r="I142" s="2"/>
    </row>
    <row r="143" spans="1:9" x14ac:dyDescent="0.35">
      <c r="A143" s="2" t="s">
        <v>2746</v>
      </c>
      <c r="B143" s="2" t="s">
        <v>24</v>
      </c>
      <c r="C143" s="2" t="s">
        <v>2752</v>
      </c>
      <c r="D143" s="2" t="s">
        <v>87</v>
      </c>
      <c r="E143" s="2" t="s">
        <v>75</v>
      </c>
      <c r="F143" s="2" t="s">
        <v>20</v>
      </c>
      <c r="G143" s="2" t="s">
        <v>2753</v>
      </c>
      <c r="H143" s="2"/>
      <c r="I143" s="2"/>
    </row>
    <row r="144" spans="1:9" x14ac:dyDescent="0.35">
      <c r="A144" s="2" t="s">
        <v>2754</v>
      </c>
      <c r="B144" s="2" t="s">
        <v>24</v>
      </c>
      <c r="C144" s="2" t="s">
        <v>2755</v>
      </c>
      <c r="D144" s="2" t="s">
        <v>14</v>
      </c>
      <c r="E144" s="2" t="s">
        <v>15</v>
      </c>
      <c r="F144" s="2"/>
      <c r="G144" s="2"/>
      <c r="H144" s="2"/>
      <c r="I144" s="2"/>
    </row>
    <row r="145" spans="1:9" x14ac:dyDescent="0.35">
      <c r="A145" s="2" t="s">
        <v>2754</v>
      </c>
      <c r="B145" s="2" t="s">
        <v>24</v>
      </c>
      <c r="C145" s="2" t="s">
        <v>2755</v>
      </c>
      <c r="D145" s="2" t="s">
        <v>27</v>
      </c>
      <c r="E145" s="2" t="s">
        <v>28</v>
      </c>
      <c r="F145" s="2" t="s">
        <v>16</v>
      </c>
      <c r="G145" s="2" t="s">
        <v>2756</v>
      </c>
      <c r="H145" s="2"/>
      <c r="I145" s="2"/>
    </row>
    <row r="146" spans="1:9" x14ac:dyDescent="0.35">
      <c r="A146" s="2" t="s">
        <v>2754</v>
      </c>
      <c r="B146" s="2" t="s">
        <v>24</v>
      </c>
      <c r="C146" s="2" t="s">
        <v>2755</v>
      </c>
      <c r="D146" s="2" t="s">
        <v>200</v>
      </c>
      <c r="E146" s="2" t="s">
        <v>201</v>
      </c>
      <c r="F146" s="2" t="s">
        <v>16</v>
      </c>
      <c r="G146" s="2" t="s">
        <v>2757</v>
      </c>
      <c r="H146" s="2"/>
      <c r="I146" s="2"/>
    </row>
    <row r="147" spans="1:9" x14ac:dyDescent="0.35">
      <c r="A147" s="2" t="s">
        <v>2754</v>
      </c>
      <c r="B147" s="2" t="s">
        <v>24</v>
      </c>
      <c r="C147" s="2" t="s">
        <v>2755</v>
      </c>
      <c r="D147" s="2" t="s">
        <v>121</v>
      </c>
      <c r="E147" s="2" t="s">
        <v>122</v>
      </c>
      <c r="F147" s="2" t="s">
        <v>16</v>
      </c>
      <c r="G147" s="2" t="s">
        <v>2757</v>
      </c>
      <c r="H147" s="2"/>
      <c r="I147" s="2"/>
    </row>
    <row r="148" spans="1:9" x14ac:dyDescent="0.35">
      <c r="A148" s="2" t="s">
        <v>2754</v>
      </c>
      <c r="B148" s="2" t="s">
        <v>24</v>
      </c>
      <c r="C148" s="2" t="s">
        <v>2758</v>
      </c>
      <c r="D148" s="2" t="s">
        <v>14</v>
      </c>
      <c r="E148" s="2" t="s">
        <v>15</v>
      </c>
      <c r="F148" s="2"/>
      <c r="G148" s="2"/>
      <c r="H148" s="2"/>
      <c r="I148" s="2"/>
    </row>
    <row r="149" spans="1:9" x14ac:dyDescent="0.35">
      <c r="A149" s="2" t="s">
        <v>2754</v>
      </c>
      <c r="B149" s="2" t="s">
        <v>24</v>
      </c>
      <c r="C149" s="2" t="s">
        <v>2758</v>
      </c>
      <c r="D149" s="2" t="s">
        <v>27</v>
      </c>
      <c r="E149" s="2" t="s">
        <v>28</v>
      </c>
      <c r="F149" s="2"/>
      <c r="G149" s="2"/>
      <c r="H149" s="2"/>
      <c r="I149" s="2"/>
    </row>
    <row r="150" spans="1:9" x14ac:dyDescent="0.35">
      <c r="A150" s="2" t="s">
        <v>2754</v>
      </c>
      <c r="B150" s="2" t="s">
        <v>24</v>
      </c>
      <c r="C150" s="2" t="s">
        <v>2758</v>
      </c>
      <c r="D150" s="2" t="s">
        <v>76</v>
      </c>
      <c r="E150" s="2" t="s">
        <v>75</v>
      </c>
      <c r="F150" s="2" t="s">
        <v>16</v>
      </c>
      <c r="G150" s="2" t="s">
        <v>2759</v>
      </c>
      <c r="H150" s="2"/>
      <c r="I150" s="2"/>
    </row>
    <row r="151" spans="1:9" x14ac:dyDescent="0.35">
      <c r="A151" s="2" t="s">
        <v>2754</v>
      </c>
      <c r="B151" s="2" t="s">
        <v>24</v>
      </c>
      <c r="C151" s="2" t="s">
        <v>2758</v>
      </c>
      <c r="D151" s="2" t="s">
        <v>96</v>
      </c>
      <c r="E151" s="2" t="s">
        <v>83</v>
      </c>
      <c r="F151" s="2" t="s">
        <v>16</v>
      </c>
      <c r="G151" s="2" t="s">
        <v>2760</v>
      </c>
      <c r="H151" s="2"/>
      <c r="I151" s="2"/>
    </row>
    <row r="152" spans="1:9" x14ac:dyDescent="0.35">
      <c r="A152" s="2" t="s">
        <v>2754</v>
      </c>
      <c r="B152" s="2" t="s">
        <v>24</v>
      </c>
      <c r="C152" s="2" t="s">
        <v>2758</v>
      </c>
      <c r="D152" s="2" t="s">
        <v>416</v>
      </c>
      <c r="E152" s="2" t="s">
        <v>38</v>
      </c>
      <c r="F152" s="2"/>
      <c r="G152" s="2"/>
      <c r="H152" s="2"/>
      <c r="I152" s="2"/>
    </row>
    <row r="153" spans="1:9" x14ac:dyDescent="0.35">
      <c r="A153" s="2" t="s">
        <v>2754</v>
      </c>
      <c r="B153" s="2" t="s">
        <v>24</v>
      </c>
      <c r="C153" s="2" t="s">
        <v>2761</v>
      </c>
      <c r="D153" s="2" t="s">
        <v>144</v>
      </c>
      <c r="E153" s="2" t="s">
        <v>50</v>
      </c>
      <c r="F153" s="2"/>
      <c r="G153" s="2"/>
      <c r="H153" s="2"/>
      <c r="I153" s="2"/>
    </row>
    <row r="154" spans="1:9" x14ac:dyDescent="0.35">
      <c r="A154" s="2" t="s">
        <v>2754</v>
      </c>
      <c r="B154" s="2" t="s">
        <v>24</v>
      </c>
      <c r="C154" s="2" t="s">
        <v>2761</v>
      </c>
      <c r="D154" s="2" t="s">
        <v>27</v>
      </c>
      <c r="E154" s="2" t="s">
        <v>28</v>
      </c>
      <c r="F154" s="2"/>
      <c r="G154" s="2"/>
      <c r="H154" s="2"/>
      <c r="I154" s="2"/>
    </row>
    <row r="155" spans="1:9" x14ac:dyDescent="0.35">
      <c r="A155" s="2" t="s">
        <v>2754</v>
      </c>
      <c r="B155" s="2" t="s">
        <v>24</v>
      </c>
      <c r="C155" s="2" t="s">
        <v>2761</v>
      </c>
      <c r="D155" s="2" t="s">
        <v>76</v>
      </c>
      <c r="E155" s="2" t="s">
        <v>75</v>
      </c>
      <c r="F155" s="2"/>
      <c r="G155" s="2"/>
      <c r="H155" s="2"/>
      <c r="I155" s="2"/>
    </row>
    <row r="156" spans="1:9" x14ac:dyDescent="0.35">
      <c r="A156" s="2" t="s">
        <v>2754</v>
      </c>
      <c r="B156" s="2" t="s">
        <v>24</v>
      </c>
      <c r="C156" s="2" t="s">
        <v>2761</v>
      </c>
      <c r="D156" s="2" t="s">
        <v>120</v>
      </c>
      <c r="E156" s="2" t="s">
        <v>32</v>
      </c>
      <c r="F156" s="2"/>
      <c r="G156" s="2"/>
      <c r="H156" s="2"/>
      <c r="I156" s="2"/>
    </row>
    <row r="157" spans="1:9" x14ac:dyDescent="0.35">
      <c r="A157" s="2" t="s">
        <v>2754</v>
      </c>
      <c r="B157" s="2" t="s">
        <v>24</v>
      </c>
      <c r="C157" s="2" t="s">
        <v>2761</v>
      </c>
      <c r="D157" s="2" t="s">
        <v>121</v>
      </c>
      <c r="E157" s="2" t="s">
        <v>122</v>
      </c>
      <c r="F157" s="2"/>
      <c r="G157" s="2"/>
      <c r="H157" s="2"/>
      <c r="I157" s="2"/>
    </row>
    <row r="158" spans="1:9" x14ac:dyDescent="0.35">
      <c r="A158" s="2" t="s">
        <v>2754</v>
      </c>
      <c r="B158" s="2" t="s">
        <v>24</v>
      </c>
      <c r="C158" s="2" t="s">
        <v>2761</v>
      </c>
      <c r="D158" s="2" t="s">
        <v>77</v>
      </c>
      <c r="E158" s="2" t="s">
        <v>78</v>
      </c>
      <c r="F158" s="2"/>
      <c r="G158" s="2"/>
      <c r="H158" s="2"/>
      <c r="I158" s="2"/>
    </row>
    <row r="159" spans="1:9" x14ac:dyDescent="0.35">
      <c r="A159" s="2" t="s">
        <v>2754</v>
      </c>
      <c r="B159" s="2" t="s">
        <v>24</v>
      </c>
      <c r="C159" s="2" t="s">
        <v>2761</v>
      </c>
      <c r="D159" s="2" t="s">
        <v>87</v>
      </c>
      <c r="E159" s="2" t="s">
        <v>75</v>
      </c>
      <c r="F159" s="2" t="s">
        <v>20</v>
      </c>
      <c r="G159" s="2" t="s">
        <v>2762</v>
      </c>
      <c r="H159" s="2"/>
      <c r="I159" s="2"/>
    </row>
    <row r="160" spans="1:9" x14ac:dyDescent="0.35">
      <c r="A160" s="2" t="s">
        <v>2754</v>
      </c>
      <c r="B160" s="2" t="s">
        <v>24</v>
      </c>
      <c r="C160" s="2" t="s">
        <v>2761</v>
      </c>
      <c r="D160" s="2" t="s">
        <v>18</v>
      </c>
      <c r="E160" s="2" t="s">
        <v>19</v>
      </c>
      <c r="F160" s="2" t="s">
        <v>20</v>
      </c>
      <c r="G160" s="2" t="s">
        <v>2763</v>
      </c>
      <c r="H160" s="2"/>
      <c r="I160" s="2"/>
    </row>
    <row r="161" spans="1:9" x14ac:dyDescent="0.35">
      <c r="A161" s="2" t="s">
        <v>2754</v>
      </c>
      <c r="B161" s="2" t="s">
        <v>24</v>
      </c>
      <c r="C161" s="2" t="s">
        <v>2761</v>
      </c>
      <c r="D161" s="2" t="s">
        <v>1021</v>
      </c>
      <c r="E161" s="2" t="s">
        <v>122</v>
      </c>
      <c r="F161" s="2"/>
      <c r="G161" s="2"/>
      <c r="H161" s="2"/>
      <c r="I161" s="2"/>
    </row>
    <row r="162" spans="1:9" x14ac:dyDescent="0.35">
      <c r="A162" s="2" t="s">
        <v>2754</v>
      </c>
      <c r="B162" s="2" t="s">
        <v>54</v>
      </c>
      <c r="C162" s="2" t="s">
        <v>2764</v>
      </c>
      <c r="D162" s="2" t="s">
        <v>14</v>
      </c>
      <c r="E162" s="2" t="s">
        <v>15</v>
      </c>
      <c r="F162" s="2" t="s">
        <v>46</v>
      </c>
      <c r="G162" s="2" t="s">
        <v>2765</v>
      </c>
      <c r="H162" s="2"/>
      <c r="I162" s="2"/>
    </row>
    <row r="163" spans="1:9" x14ac:dyDescent="0.35">
      <c r="A163" s="2" t="s">
        <v>2754</v>
      </c>
      <c r="B163" s="2" t="s">
        <v>54</v>
      </c>
      <c r="C163" s="2" t="s">
        <v>2764</v>
      </c>
      <c r="D163" s="2" t="s">
        <v>992</v>
      </c>
      <c r="E163" s="2" t="s">
        <v>201</v>
      </c>
      <c r="F163" s="2" t="s">
        <v>46</v>
      </c>
      <c r="G163" s="2" t="s">
        <v>2765</v>
      </c>
      <c r="H163" s="2"/>
      <c r="I163" s="2"/>
    </row>
    <row r="164" spans="1:9" x14ac:dyDescent="0.35">
      <c r="A164" s="2" t="s">
        <v>2754</v>
      </c>
      <c r="B164" s="2" t="s">
        <v>54</v>
      </c>
      <c r="C164" s="2" t="s">
        <v>2764</v>
      </c>
      <c r="D164" s="2" t="s">
        <v>96</v>
      </c>
      <c r="E164" s="2" t="s">
        <v>83</v>
      </c>
      <c r="F164" s="2" t="s">
        <v>46</v>
      </c>
      <c r="G164" s="2" t="s">
        <v>2765</v>
      </c>
      <c r="H164" s="2"/>
      <c r="I164" s="2"/>
    </row>
    <row r="165" spans="1:9" x14ac:dyDescent="0.35">
      <c r="A165" s="2" t="s">
        <v>2754</v>
      </c>
      <c r="B165" s="2" t="s">
        <v>54</v>
      </c>
      <c r="C165" s="2" t="s">
        <v>2764</v>
      </c>
      <c r="D165" s="2" t="s">
        <v>18</v>
      </c>
      <c r="E165" s="2" t="s">
        <v>19</v>
      </c>
      <c r="F165" s="2" t="s">
        <v>46</v>
      </c>
      <c r="G165" s="2" t="s">
        <v>2765</v>
      </c>
      <c r="H165" s="2"/>
      <c r="I165" s="2"/>
    </row>
    <row r="166" spans="1:9" x14ac:dyDescent="0.35">
      <c r="A166" s="2" t="s">
        <v>2754</v>
      </c>
      <c r="B166" s="2" t="s">
        <v>54</v>
      </c>
      <c r="C166" s="2" t="s">
        <v>2764</v>
      </c>
      <c r="D166" s="2" t="s">
        <v>188</v>
      </c>
      <c r="E166" s="2" t="s">
        <v>189</v>
      </c>
      <c r="F166" s="2" t="s">
        <v>46</v>
      </c>
      <c r="G166" s="2" t="s">
        <v>2765</v>
      </c>
      <c r="H166" s="2"/>
      <c r="I166" s="2"/>
    </row>
    <row r="167" spans="1:9" x14ac:dyDescent="0.35">
      <c r="A167" s="2" t="s">
        <v>2754</v>
      </c>
      <c r="B167" s="2" t="s">
        <v>24</v>
      </c>
      <c r="C167" s="2" t="s">
        <v>2766</v>
      </c>
      <c r="D167" s="2" t="s">
        <v>14</v>
      </c>
      <c r="E167" s="2" t="s">
        <v>15</v>
      </c>
      <c r="F167" s="2"/>
      <c r="G167" s="2"/>
      <c r="H167" s="2"/>
      <c r="I167" s="2"/>
    </row>
    <row r="168" spans="1:9" x14ac:dyDescent="0.35">
      <c r="A168" s="2" t="s">
        <v>2754</v>
      </c>
      <c r="B168" s="2" t="s">
        <v>24</v>
      </c>
      <c r="C168" s="2" t="s">
        <v>2766</v>
      </c>
      <c r="D168" s="2" t="s">
        <v>61</v>
      </c>
      <c r="E168" s="2" t="s">
        <v>30</v>
      </c>
      <c r="F168" s="2"/>
      <c r="G168" s="2"/>
      <c r="H168" s="2"/>
      <c r="I168" s="2"/>
    </row>
    <row r="169" spans="1:9" x14ac:dyDescent="0.35">
      <c r="A169" s="2" t="s">
        <v>2754</v>
      </c>
      <c r="B169" s="2" t="s">
        <v>62</v>
      </c>
      <c r="C169" s="2" t="s">
        <v>2767</v>
      </c>
      <c r="D169" s="2" t="s">
        <v>74</v>
      </c>
      <c r="E169" s="2" t="s">
        <v>75</v>
      </c>
      <c r="F169" s="2" t="s">
        <v>16</v>
      </c>
      <c r="G169" s="2" t="s">
        <v>2768</v>
      </c>
      <c r="H169" s="2"/>
      <c r="I169" s="2"/>
    </row>
    <row r="170" spans="1:9" x14ac:dyDescent="0.35">
      <c r="A170" s="2" t="s">
        <v>2754</v>
      </c>
      <c r="B170" s="2" t="s">
        <v>62</v>
      </c>
      <c r="C170" s="2" t="s">
        <v>2767</v>
      </c>
      <c r="D170" s="2" t="s">
        <v>352</v>
      </c>
      <c r="E170" s="2" t="s">
        <v>107</v>
      </c>
      <c r="F170" s="2"/>
      <c r="G170" s="2"/>
      <c r="H170" s="2"/>
      <c r="I170" s="2"/>
    </row>
    <row r="171" spans="1:9" x14ac:dyDescent="0.35">
      <c r="A171" s="2" t="s">
        <v>2754</v>
      </c>
      <c r="B171" s="2" t="s">
        <v>62</v>
      </c>
      <c r="C171" s="2" t="s">
        <v>2767</v>
      </c>
      <c r="D171" s="2" t="s">
        <v>1181</v>
      </c>
      <c r="E171" s="2" t="s">
        <v>30</v>
      </c>
      <c r="F171" s="2"/>
      <c r="G171" s="2"/>
      <c r="H171" s="2"/>
      <c r="I171" s="2"/>
    </row>
    <row r="172" spans="1:9" x14ac:dyDescent="0.35">
      <c r="A172" s="2" t="s">
        <v>2754</v>
      </c>
      <c r="B172" s="2" t="s">
        <v>24</v>
      </c>
      <c r="C172" s="2" t="s">
        <v>2769</v>
      </c>
      <c r="D172" s="2" t="s">
        <v>14</v>
      </c>
      <c r="E172" s="2" t="s">
        <v>15</v>
      </c>
      <c r="F172" s="2"/>
      <c r="G172" s="2"/>
      <c r="H172" s="2"/>
      <c r="I172" s="2"/>
    </row>
    <row r="173" spans="1:9" x14ac:dyDescent="0.35">
      <c r="A173" s="2" t="s">
        <v>2754</v>
      </c>
      <c r="B173" s="2" t="s">
        <v>24</v>
      </c>
      <c r="C173" s="2" t="s">
        <v>2769</v>
      </c>
      <c r="D173" s="2" t="s">
        <v>27</v>
      </c>
      <c r="E173" s="2" t="s">
        <v>28</v>
      </c>
      <c r="F173" s="2"/>
      <c r="G173" s="2"/>
      <c r="H173" s="2"/>
      <c r="I173" s="2"/>
    </row>
    <row r="174" spans="1:9" x14ac:dyDescent="0.35">
      <c r="A174" s="2" t="s">
        <v>2754</v>
      </c>
      <c r="B174" s="2" t="s">
        <v>24</v>
      </c>
      <c r="C174" s="2" t="s">
        <v>2769</v>
      </c>
      <c r="D174" s="2" t="s">
        <v>438</v>
      </c>
      <c r="E174" s="2" t="s">
        <v>19</v>
      </c>
      <c r="F174" s="2"/>
      <c r="G174" s="2"/>
      <c r="H174" s="2"/>
      <c r="I174" s="2"/>
    </row>
    <row r="175" spans="1:9" x14ac:dyDescent="0.35">
      <c r="A175" s="2" t="s">
        <v>2754</v>
      </c>
      <c r="B175" s="2" t="s">
        <v>24</v>
      </c>
      <c r="C175" s="2" t="s">
        <v>2769</v>
      </c>
      <c r="D175" s="2" t="s">
        <v>77</v>
      </c>
      <c r="E175" s="2" t="s">
        <v>78</v>
      </c>
      <c r="F175" s="2"/>
      <c r="G175" s="2"/>
      <c r="H175" s="2"/>
      <c r="I175" s="2"/>
    </row>
    <row r="176" spans="1:9" x14ac:dyDescent="0.35">
      <c r="A176" s="2" t="s">
        <v>2754</v>
      </c>
      <c r="B176" s="2" t="s">
        <v>24</v>
      </c>
      <c r="C176" s="2" t="s">
        <v>2769</v>
      </c>
      <c r="D176" s="2" t="s">
        <v>188</v>
      </c>
      <c r="E176" s="2" t="s">
        <v>189</v>
      </c>
      <c r="F176" s="2" t="s">
        <v>16</v>
      </c>
      <c r="G176" s="2" t="s">
        <v>2770</v>
      </c>
      <c r="H176" s="2"/>
      <c r="I176" s="2"/>
    </row>
    <row r="177" spans="1:9" x14ac:dyDescent="0.35">
      <c r="A177" s="2" t="s">
        <v>2754</v>
      </c>
      <c r="B177" s="2" t="s">
        <v>54</v>
      </c>
      <c r="C177" s="2" t="s">
        <v>2771</v>
      </c>
      <c r="D177" s="2" t="s">
        <v>14</v>
      </c>
      <c r="E177" s="2" t="s">
        <v>15</v>
      </c>
      <c r="F177" s="2"/>
      <c r="G177" s="2"/>
      <c r="H177" s="2"/>
      <c r="I177" s="2"/>
    </row>
    <row r="178" spans="1:9" x14ac:dyDescent="0.35">
      <c r="A178" s="2" t="s">
        <v>2754</v>
      </c>
      <c r="B178" s="2" t="s">
        <v>54</v>
      </c>
      <c r="C178" s="2" t="s">
        <v>2771</v>
      </c>
      <c r="D178" s="2" t="s">
        <v>120</v>
      </c>
      <c r="E178" s="2" t="s">
        <v>32</v>
      </c>
      <c r="F178" s="2" t="s">
        <v>16</v>
      </c>
      <c r="G178" s="2" t="s">
        <v>2772</v>
      </c>
      <c r="H178" s="2"/>
      <c r="I178" s="2"/>
    </row>
    <row r="179" spans="1:9" x14ac:dyDescent="0.35">
      <c r="A179" s="2" t="s">
        <v>2754</v>
      </c>
      <c r="B179" s="2" t="s">
        <v>54</v>
      </c>
      <c r="C179" s="2" t="s">
        <v>2771</v>
      </c>
      <c r="D179" s="2" t="s">
        <v>33</v>
      </c>
      <c r="E179" s="2" t="s">
        <v>34</v>
      </c>
      <c r="F179" s="2" t="s">
        <v>16</v>
      </c>
      <c r="G179" s="2" t="s">
        <v>2772</v>
      </c>
      <c r="H179" s="2"/>
      <c r="I179" s="2"/>
    </row>
    <row r="180" spans="1:9" x14ac:dyDescent="0.35">
      <c r="A180" s="2" t="s">
        <v>2754</v>
      </c>
      <c r="B180" s="2" t="s">
        <v>54</v>
      </c>
      <c r="C180" s="2" t="s">
        <v>2771</v>
      </c>
      <c r="D180" s="2" t="s">
        <v>476</v>
      </c>
      <c r="E180" s="2" t="s">
        <v>78</v>
      </c>
      <c r="F180" s="2"/>
      <c r="G180" s="2"/>
      <c r="H180" s="2"/>
      <c r="I180" s="2"/>
    </row>
    <row r="181" spans="1:9" x14ac:dyDescent="0.35">
      <c r="A181" s="2" t="s">
        <v>2754</v>
      </c>
      <c r="B181" s="2" t="s">
        <v>54</v>
      </c>
      <c r="C181" s="2" t="s">
        <v>2771</v>
      </c>
      <c r="D181" s="2" t="s">
        <v>438</v>
      </c>
      <c r="E181" s="2" t="s">
        <v>19</v>
      </c>
      <c r="F181" s="2" t="s">
        <v>16</v>
      </c>
      <c r="G181" s="2" t="s">
        <v>2773</v>
      </c>
      <c r="H181" s="2"/>
      <c r="I181" s="2"/>
    </row>
    <row r="182" spans="1:9" x14ac:dyDescent="0.35">
      <c r="A182" s="2" t="s">
        <v>2754</v>
      </c>
      <c r="B182" s="2" t="s">
        <v>24</v>
      </c>
      <c r="C182" s="2" t="s">
        <v>2774</v>
      </c>
      <c r="D182" s="2" t="s">
        <v>27</v>
      </c>
      <c r="E182" s="2" t="s">
        <v>28</v>
      </c>
      <c r="F182" s="2"/>
      <c r="G182" s="2"/>
      <c r="H182" s="2"/>
      <c r="I182" s="2"/>
    </row>
    <row r="183" spans="1:9" x14ac:dyDescent="0.35">
      <c r="A183" s="2" t="s">
        <v>2754</v>
      </c>
      <c r="B183" s="2" t="s">
        <v>24</v>
      </c>
      <c r="C183" s="2" t="s">
        <v>2774</v>
      </c>
      <c r="D183" s="2" t="s">
        <v>76</v>
      </c>
      <c r="E183" s="2" t="s">
        <v>75</v>
      </c>
      <c r="F183" s="2"/>
      <c r="G183" s="2"/>
      <c r="H183" s="2"/>
      <c r="I183" s="2"/>
    </row>
    <row r="184" spans="1:9" x14ac:dyDescent="0.35">
      <c r="A184" s="2" t="s">
        <v>2754</v>
      </c>
      <c r="B184" s="2" t="s">
        <v>24</v>
      </c>
      <c r="C184" s="2" t="s">
        <v>2774</v>
      </c>
      <c r="D184" s="2" t="s">
        <v>138</v>
      </c>
      <c r="E184" s="2" t="s">
        <v>139</v>
      </c>
      <c r="F184" s="2"/>
      <c r="G184" s="2"/>
      <c r="H184" s="2"/>
      <c r="I184" s="2"/>
    </row>
    <row r="185" spans="1:9" x14ac:dyDescent="0.35">
      <c r="A185" s="2" t="s">
        <v>2754</v>
      </c>
      <c r="B185" s="2" t="s">
        <v>24</v>
      </c>
      <c r="C185" s="2" t="s">
        <v>2774</v>
      </c>
      <c r="D185" s="2" t="s">
        <v>416</v>
      </c>
      <c r="E185" s="2" t="s">
        <v>38</v>
      </c>
      <c r="F185" s="2"/>
      <c r="G185" s="2"/>
      <c r="H185" s="2"/>
      <c r="I185" s="2"/>
    </row>
    <row r="186" spans="1:9" x14ac:dyDescent="0.35">
      <c r="A186" s="2" t="s">
        <v>2754</v>
      </c>
      <c r="B186" s="2" t="s">
        <v>24</v>
      </c>
      <c r="C186" s="2" t="s">
        <v>2774</v>
      </c>
      <c r="D186" s="2" t="s">
        <v>469</v>
      </c>
      <c r="E186" s="2" t="s">
        <v>1244</v>
      </c>
      <c r="F186" s="2"/>
      <c r="G186" s="2"/>
      <c r="H186" s="2"/>
      <c r="I186" s="2"/>
    </row>
    <row r="187" spans="1:9" x14ac:dyDescent="0.35">
      <c r="A187" s="2" t="s">
        <v>2754</v>
      </c>
      <c r="B187" s="2" t="s">
        <v>24</v>
      </c>
      <c r="C187" s="2" t="s">
        <v>2774</v>
      </c>
      <c r="D187" s="2" t="s">
        <v>61</v>
      </c>
      <c r="E187" s="2" t="s">
        <v>30</v>
      </c>
      <c r="F187" s="2"/>
      <c r="G187" s="2"/>
      <c r="H187" s="2"/>
      <c r="I187" s="2"/>
    </row>
    <row r="188" spans="1:9" x14ac:dyDescent="0.35">
      <c r="A188" s="2" t="s">
        <v>2754</v>
      </c>
      <c r="B188" s="2" t="s">
        <v>24</v>
      </c>
      <c r="C188" s="2" t="s">
        <v>2774</v>
      </c>
      <c r="D188" s="2" t="s">
        <v>1021</v>
      </c>
      <c r="E188" s="2" t="s">
        <v>122</v>
      </c>
      <c r="F188" s="2"/>
      <c r="G188" s="2"/>
      <c r="H188" s="2"/>
      <c r="I188" s="2"/>
    </row>
    <row r="189" spans="1:9" x14ac:dyDescent="0.35">
      <c r="A189" s="2" t="s">
        <v>2754</v>
      </c>
      <c r="B189" s="2" t="s">
        <v>12</v>
      </c>
      <c r="C189" s="2" t="s">
        <v>2775</v>
      </c>
      <c r="D189" s="2" t="s">
        <v>416</v>
      </c>
      <c r="E189" s="2" t="s">
        <v>38</v>
      </c>
      <c r="F189" s="2"/>
      <c r="G189" s="2"/>
      <c r="H189" s="2"/>
      <c r="I189" s="2"/>
    </row>
    <row r="190" spans="1:9" x14ac:dyDescent="0.35">
      <c r="A190" s="2" t="s">
        <v>2754</v>
      </c>
      <c r="B190" s="2" t="s">
        <v>12</v>
      </c>
      <c r="C190" s="2" t="s">
        <v>2775</v>
      </c>
      <c r="D190" s="2" t="s">
        <v>29</v>
      </c>
      <c r="E190" s="2" t="s">
        <v>30</v>
      </c>
      <c r="F190" s="2"/>
      <c r="G190" s="2"/>
      <c r="H190" s="2"/>
      <c r="I190" s="2"/>
    </row>
    <row r="191" spans="1:9" x14ac:dyDescent="0.35">
      <c r="A191" s="2" t="s">
        <v>2754</v>
      </c>
      <c r="B191" s="2" t="s">
        <v>57</v>
      </c>
      <c r="C191" s="2" t="s">
        <v>2776</v>
      </c>
      <c r="D191" s="2" t="s">
        <v>14</v>
      </c>
      <c r="E191" s="2" t="s">
        <v>15</v>
      </c>
      <c r="F191" s="2"/>
      <c r="G191" s="2"/>
      <c r="H191" s="2"/>
      <c r="I191" s="2"/>
    </row>
    <row r="192" spans="1:9" x14ac:dyDescent="0.35">
      <c r="A192" s="2" t="s">
        <v>2754</v>
      </c>
      <c r="B192" s="2" t="s">
        <v>57</v>
      </c>
      <c r="C192" s="2" t="s">
        <v>2776</v>
      </c>
      <c r="D192" s="2" t="s">
        <v>27</v>
      </c>
      <c r="E192" s="2" t="s">
        <v>28</v>
      </c>
      <c r="F192" s="2" t="s">
        <v>16</v>
      </c>
      <c r="G192" s="2" t="s">
        <v>2777</v>
      </c>
      <c r="H192" s="2"/>
      <c r="I192" s="2"/>
    </row>
    <row r="193" spans="1:9" x14ac:dyDescent="0.35">
      <c r="A193" s="2" t="s">
        <v>2754</v>
      </c>
      <c r="B193" s="2" t="s">
        <v>57</v>
      </c>
      <c r="C193" s="2" t="s">
        <v>2776</v>
      </c>
      <c r="D193" s="2" t="s">
        <v>138</v>
      </c>
      <c r="E193" s="2" t="s">
        <v>139</v>
      </c>
      <c r="F193" s="2"/>
      <c r="G193" s="2"/>
      <c r="H193" s="2"/>
      <c r="I193" s="2"/>
    </row>
    <row r="194" spans="1:9" x14ac:dyDescent="0.35">
      <c r="A194" s="2" t="s">
        <v>2754</v>
      </c>
      <c r="B194" s="2" t="s">
        <v>57</v>
      </c>
      <c r="C194" s="2" t="s">
        <v>2776</v>
      </c>
      <c r="D194" s="2" t="s">
        <v>96</v>
      </c>
      <c r="E194" s="2" t="s">
        <v>83</v>
      </c>
      <c r="F194" s="2"/>
      <c r="G194" s="2"/>
      <c r="H194" s="2"/>
      <c r="I194" s="2"/>
    </row>
    <row r="195" spans="1:9" x14ac:dyDescent="0.35">
      <c r="A195" s="2" t="s">
        <v>2754</v>
      </c>
      <c r="B195" s="2" t="s">
        <v>57</v>
      </c>
      <c r="C195" s="2" t="s">
        <v>2776</v>
      </c>
      <c r="D195" s="2" t="s">
        <v>212</v>
      </c>
      <c r="E195" s="2" t="s">
        <v>78</v>
      </c>
      <c r="F195" s="2"/>
      <c r="G195" s="2"/>
      <c r="H195" s="2"/>
      <c r="I195" s="2"/>
    </row>
    <row r="196" spans="1:9" x14ac:dyDescent="0.35">
      <c r="A196" s="2" t="s">
        <v>2754</v>
      </c>
      <c r="B196" s="2" t="s">
        <v>57</v>
      </c>
      <c r="C196" s="2" t="s">
        <v>2776</v>
      </c>
      <c r="D196" s="2" t="s">
        <v>416</v>
      </c>
      <c r="E196" s="2" t="s">
        <v>38</v>
      </c>
      <c r="F196" s="2" t="s">
        <v>16</v>
      </c>
      <c r="G196" s="2" t="s">
        <v>2778</v>
      </c>
      <c r="H196" s="2"/>
      <c r="I196" s="2"/>
    </row>
    <row r="197" spans="1:9" x14ac:dyDescent="0.35">
      <c r="A197" s="2" t="s">
        <v>2754</v>
      </c>
      <c r="B197" s="2" t="s">
        <v>57</v>
      </c>
      <c r="C197" s="2" t="s">
        <v>2776</v>
      </c>
      <c r="D197" s="2" t="s">
        <v>438</v>
      </c>
      <c r="E197" s="2" t="s">
        <v>19</v>
      </c>
      <c r="F197" s="2"/>
      <c r="G197" s="2"/>
      <c r="H197" s="2"/>
      <c r="I197" s="2"/>
    </row>
    <row r="198" spans="1:9" x14ac:dyDescent="0.35">
      <c r="A198" s="2" t="s">
        <v>2754</v>
      </c>
      <c r="B198" s="2" t="s">
        <v>57</v>
      </c>
      <c r="C198" s="2" t="s">
        <v>2776</v>
      </c>
      <c r="D198" s="2" t="s">
        <v>149</v>
      </c>
      <c r="E198" s="2" t="s">
        <v>150</v>
      </c>
      <c r="F198" s="2"/>
      <c r="G198" s="2"/>
      <c r="H198" s="2"/>
      <c r="I198" s="2"/>
    </row>
    <row r="199" spans="1:9" x14ac:dyDescent="0.35">
      <c r="A199" s="2" t="s">
        <v>2779</v>
      </c>
      <c r="B199" s="2" t="s">
        <v>57</v>
      </c>
      <c r="C199" s="2" t="s">
        <v>2780</v>
      </c>
      <c r="D199" s="2" t="s">
        <v>1668</v>
      </c>
      <c r="E199" s="2" t="s">
        <v>15</v>
      </c>
      <c r="F199" s="2"/>
      <c r="G199" s="2"/>
      <c r="H199" s="2"/>
      <c r="I199" s="2"/>
    </row>
    <row r="200" spans="1:9" x14ac:dyDescent="0.35">
      <c r="A200" s="2" t="s">
        <v>2779</v>
      </c>
      <c r="B200" s="2" t="s">
        <v>57</v>
      </c>
      <c r="C200" s="2" t="s">
        <v>2780</v>
      </c>
      <c r="D200" s="2" t="s">
        <v>2708</v>
      </c>
      <c r="E200" s="2" t="s">
        <v>60</v>
      </c>
      <c r="F200" s="2"/>
      <c r="G200" s="2"/>
      <c r="H200" s="2"/>
      <c r="I200" s="2"/>
    </row>
    <row r="201" spans="1:9" x14ac:dyDescent="0.35">
      <c r="A201" s="2" t="s">
        <v>2779</v>
      </c>
      <c r="B201" s="2" t="s">
        <v>57</v>
      </c>
      <c r="C201" s="2" t="s">
        <v>2780</v>
      </c>
      <c r="D201" s="2" t="s">
        <v>18</v>
      </c>
      <c r="E201" s="2" t="s">
        <v>19</v>
      </c>
      <c r="F201" s="2" t="s">
        <v>16</v>
      </c>
      <c r="G201" s="2" t="s">
        <v>2781</v>
      </c>
      <c r="H201" s="2"/>
      <c r="I201" s="2"/>
    </row>
    <row r="202" spans="1:9" x14ac:dyDescent="0.35">
      <c r="A202" s="2" t="s">
        <v>2779</v>
      </c>
      <c r="B202" s="2" t="s">
        <v>57</v>
      </c>
      <c r="C202" s="2" t="s">
        <v>2780</v>
      </c>
      <c r="D202" s="2" t="s">
        <v>393</v>
      </c>
      <c r="E202" s="2" t="s">
        <v>36</v>
      </c>
      <c r="F202" s="2" t="s">
        <v>16</v>
      </c>
      <c r="G202" s="2" t="s">
        <v>2782</v>
      </c>
      <c r="H202" s="2"/>
      <c r="I202" s="2"/>
    </row>
    <row r="203" spans="1:9" x14ac:dyDescent="0.35">
      <c r="A203" s="2" t="s">
        <v>2779</v>
      </c>
      <c r="B203" s="2" t="s">
        <v>57</v>
      </c>
      <c r="C203" s="2" t="s">
        <v>2780</v>
      </c>
      <c r="D203" s="2" t="s">
        <v>89</v>
      </c>
      <c r="E203" s="2" t="s">
        <v>45</v>
      </c>
      <c r="F203" s="2" t="s">
        <v>16</v>
      </c>
      <c r="G203" s="2" t="s">
        <v>2783</v>
      </c>
      <c r="H203" s="2"/>
      <c r="I203" s="2"/>
    </row>
    <row r="204" spans="1:9" x14ac:dyDescent="0.35">
      <c r="A204" s="2" t="s">
        <v>2779</v>
      </c>
      <c r="B204" s="2" t="s">
        <v>54</v>
      </c>
      <c r="C204" s="2" t="s">
        <v>2784</v>
      </c>
      <c r="D204" s="2" t="s">
        <v>74</v>
      </c>
      <c r="E204" s="2" t="s">
        <v>75</v>
      </c>
      <c r="F204" s="2"/>
      <c r="G204" s="2"/>
      <c r="H204" s="2"/>
      <c r="I204" s="2"/>
    </row>
    <row r="205" spans="1:9" x14ac:dyDescent="0.35">
      <c r="A205" s="2" t="s">
        <v>2779</v>
      </c>
      <c r="B205" s="2" t="s">
        <v>54</v>
      </c>
      <c r="C205" s="2" t="s">
        <v>2784</v>
      </c>
      <c r="D205" s="2" t="s">
        <v>1668</v>
      </c>
      <c r="E205" s="2" t="s">
        <v>15</v>
      </c>
      <c r="F205" s="2"/>
      <c r="G205" s="2"/>
      <c r="H205" s="2"/>
      <c r="I205" s="2"/>
    </row>
    <row r="206" spans="1:9" x14ac:dyDescent="0.35">
      <c r="A206" s="2" t="s">
        <v>2779</v>
      </c>
      <c r="B206" s="2" t="s">
        <v>54</v>
      </c>
      <c r="C206" s="2" t="s">
        <v>2784</v>
      </c>
      <c r="D206" s="2" t="s">
        <v>121</v>
      </c>
      <c r="E206" s="2" t="s">
        <v>122</v>
      </c>
      <c r="F206" s="2"/>
      <c r="G206" s="2"/>
      <c r="H206" s="2"/>
      <c r="I206" s="2"/>
    </row>
    <row r="207" spans="1:9" x14ac:dyDescent="0.35">
      <c r="A207" s="2" t="s">
        <v>2779</v>
      </c>
      <c r="B207" s="2" t="s">
        <v>54</v>
      </c>
      <c r="C207" s="2" t="s">
        <v>2784</v>
      </c>
      <c r="D207" s="2" t="s">
        <v>393</v>
      </c>
      <c r="E207" s="2" t="s">
        <v>36</v>
      </c>
      <c r="F207" s="2"/>
      <c r="G207" s="2"/>
      <c r="H207" s="2"/>
      <c r="I207" s="2"/>
    </row>
    <row r="208" spans="1:9" x14ac:dyDescent="0.35">
      <c r="A208" s="2" t="s">
        <v>2779</v>
      </c>
      <c r="B208" s="2" t="s">
        <v>62</v>
      </c>
      <c r="C208" s="2" t="s">
        <v>2785</v>
      </c>
      <c r="D208" s="2" t="s">
        <v>127</v>
      </c>
      <c r="E208" s="2" t="s">
        <v>107</v>
      </c>
      <c r="F208" s="2"/>
      <c r="G208" s="2"/>
      <c r="H208" s="2"/>
      <c r="I208" s="2"/>
    </row>
    <row r="209" spans="1:9" x14ac:dyDescent="0.35">
      <c r="A209" s="2" t="s">
        <v>2779</v>
      </c>
      <c r="B209" s="2" t="s">
        <v>24</v>
      </c>
      <c r="C209" s="2" t="s">
        <v>2786</v>
      </c>
      <c r="D209" s="2" t="s">
        <v>14</v>
      </c>
      <c r="E209" s="2" t="s">
        <v>15</v>
      </c>
      <c r="F209" s="2"/>
      <c r="G209" s="2"/>
      <c r="H209" s="2"/>
      <c r="I209" s="2"/>
    </row>
    <row r="210" spans="1:9" x14ac:dyDescent="0.35">
      <c r="A210" s="2" t="s">
        <v>2779</v>
      </c>
      <c r="B210" s="2" t="s">
        <v>24</v>
      </c>
      <c r="C210" s="2" t="s">
        <v>2786</v>
      </c>
      <c r="D210" s="2" t="s">
        <v>393</v>
      </c>
      <c r="E210" s="2" t="s">
        <v>36</v>
      </c>
      <c r="F210" s="2"/>
      <c r="G210" s="2"/>
      <c r="H210" s="2"/>
      <c r="I210" s="2"/>
    </row>
    <row r="211" spans="1:9" x14ac:dyDescent="0.35">
      <c r="A211" s="2" t="s">
        <v>2779</v>
      </c>
      <c r="B211" s="2" t="s">
        <v>24</v>
      </c>
      <c r="C211" s="2" t="s">
        <v>2786</v>
      </c>
      <c r="D211" s="2" t="s">
        <v>18</v>
      </c>
      <c r="E211" s="2" t="s">
        <v>19</v>
      </c>
      <c r="F211" s="2" t="s">
        <v>16</v>
      </c>
      <c r="G211" s="2" t="s">
        <v>2787</v>
      </c>
      <c r="H211" s="2"/>
      <c r="I211" s="2"/>
    </row>
    <row r="212" spans="1:9" x14ac:dyDescent="0.35">
      <c r="A212" s="2" t="s">
        <v>2779</v>
      </c>
      <c r="B212" s="2" t="s">
        <v>24</v>
      </c>
      <c r="C212" s="2" t="s">
        <v>2788</v>
      </c>
      <c r="D212" s="2" t="s">
        <v>77</v>
      </c>
      <c r="E212" s="2" t="s">
        <v>78</v>
      </c>
      <c r="F212" s="2"/>
      <c r="G212" s="2"/>
      <c r="H212" s="2"/>
      <c r="I212" s="2"/>
    </row>
    <row r="213" spans="1:9" x14ac:dyDescent="0.35">
      <c r="A213" s="2" t="s">
        <v>2779</v>
      </c>
      <c r="B213" s="2" t="s">
        <v>24</v>
      </c>
      <c r="C213" s="2" t="s">
        <v>2788</v>
      </c>
      <c r="D213" s="2" t="s">
        <v>91</v>
      </c>
      <c r="E213" s="2" t="s">
        <v>19</v>
      </c>
      <c r="F213" s="2" t="s">
        <v>16</v>
      </c>
      <c r="G213" s="2" t="s">
        <v>2789</v>
      </c>
      <c r="H213" s="2"/>
      <c r="I213" s="2"/>
    </row>
    <row r="214" spans="1:9" x14ac:dyDescent="0.35">
      <c r="A214" s="2" t="s">
        <v>2779</v>
      </c>
      <c r="B214" s="2" t="s">
        <v>24</v>
      </c>
      <c r="C214" s="2" t="s">
        <v>2788</v>
      </c>
      <c r="D214" s="2" t="s">
        <v>149</v>
      </c>
      <c r="E214" s="2" t="s">
        <v>150</v>
      </c>
      <c r="F214" s="2" t="s">
        <v>16</v>
      </c>
      <c r="G214" s="2" t="s">
        <v>2790</v>
      </c>
      <c r="H214" s="2"/>
      <c r="I214" s="2"/>
    </row>
    <row r="215" spans="1:9" x14ac:dyDescent="0.35">
      <c r="A215" s="2" t="s">
        <v>2779</v>
      </c>
      <c r="B215" s="2" t="s">
        <v>24</v>
      </c>
      <c r="C215" s="2" t="s">
        <v>2791</v>
      </c>
      <c r="D215" s="2" t="s">
        <v>14</v>
      </c>
      <c r="E215" s="2" t="s">
        <v>15</v>
      </c>
      <c r="F215" s="2"/>
      <c r="G215" s="2"/>
      <c r="H215" s="2"/>
      <c r="I215" s="2"/>
    </row>
    <row r="216" spans="1:9" x14ac:dyDescent="0.35">
      <c r="A216" s="2" t="s">
        <v>2779</v>
      </c>
      <c r="B216" s="2" t="s">
        <v>24</v>
      </c>
      <c r="C216" s="2" t="s">
        <v>2791</v>
      </c>
      <c r="D216" s="2" t="s">
        <v>89</v>
      </c>
      <c r="E216" s="2" t="s">
        <v>45</v>
      </c>
      <c r="F216" s="2"/>
      <c r="G216" s="2"/>
      <c r="H216" s="2"/>
      <c r="I216" s="2"/>
    </row>
    <row r="217" spans="1:9" x14ac:dyDescent="0.35">
      <c r="A217" s="2" t="s">
        <v>2792</v>
      </c>
      <c r="B217" s="2" t="s">
        <v>57</v>
      </c>
      <c r="C217" s="2" t="s">
        <v>2793</v>
      </c>
      <c r="D217" s="2" t="s">
        <v>14</v>
      </c>
      <c r="E217" s="2" t="s">
        <v>15</v>
      </c>
      <c r="F217" s="2" t="s">
        <v>20</v>
      </c>
      <c r="G217" s="2" t="s">
        <v>2794</v>
      </c>
      <c r="H217" s="2"/>
      <c r="I217" s="2"/>
    </row>
    <row r="218" spans="1:9" x14ac:dyDescent="0.35">
      <c r="A218" s="2" t="s">
        <v>2792</v>
      </c>
      <c r="B218" s="2" t="s">
        <v>57</v>
      </c>
      <c r="C218" s="2" t="s">
        <v>2793</v>
      </c>
      <c r="D218" s="2" t="s">
        <v>2708</v>
      </c>
      <c r="E218" s="2" t="s">
        <v>60</v>
      </c>
      <c r="F218" s="2"/>
      <c r="G218" s="2"/>
      <c r="H218" s="2"/>
      <c r="I218" s="2"/>
    </row>
    <row r="219" spans="1:9" x14ac:dyDescent="0.35">
      <c r="A219" s="2" t="s">
        <v>2792</v>
      </c>
      <c r="B219" s="2" t="s">
        <v>57</v>
      </c>
      <c r="C219" s="2" t="s">
        <v>2793</v>
      </c>
      <c r="D219" s="2" t="s">
        <v>393</v>
      </c>
      <c r="E219" s="2" t="s">
        <v>36</v>
      </c>
      <c r="F219" s="2" t="s">
        <v>20</v>
      </c>
      <c r="G219" s="2" t="s">
        <v>2795</v>
      </c>
      <c r="H219" s="2"/>
      <c r="I219" s="2"/>
    </row>
    <row r="220" spans="1:9" x14ac:dyDescent="0.35">
      <c r="A220" s="2" t="s">
        <v>2792</v>
      </c>
      <c r="B220" s="2" t="s">
        <v>57</v>
      </c>
      <c r="C220" s="2" t="s">
        <v>2793</v>
      </c>
      <c r="D220" s="2" t="s">
        <v>149</v>
      </c>
      <c r="E220" s="2" t="s">
        <v>150</v>
      </c>
      <c r="F220" s="2" t="s">
        <v>20</v>
      </c>
      <c r="G220" s="2" t="s">
        <v>2796</v>
      </c>
      <c r="H220" s="2"/>
      <c r="I220" s="2"/>
    </row>
    <row r="221" spans="1:9" x14ac:dyDescent="0.35">
      <c r="A221" s="2" t="s">
        <v>2792</v>
      </c>
      <c r="B221" s="2" t="s">
        <v>24</v>
      </c>
      <c r="C221" s="2" t="s">
        <v>2797</v>
      </c>
      <c r="D221" s="2" t="s">
        <v>130</v>
      </c>
      <c r="E221" s="2" t="s">
        <v>36</v>
      </c>
      <c r="F221" s="2"/>
      <c r="G221" s="2"/>
      <c r="H221" s="2"/>
      <c r="I221" s="2"/>
    </row>
    <row r="222" spans="1:9" x14ac:dyDescent="0.35">
      <c r="A222" s="2" t="s">
        <v>2792</v>
      </c>
      <c r="B222" s="2" t="s">
        <v>24</v>
      </c>
      <c r="C222" s="2" t="s">
        <v>2797</v>
      </c>
      <c r="D222" s="2" t="s">
        <v>138</v>
      </c>
      <c r="E222" s="2" t="s">
        <v>139</v>
      </c>
      <c r="F222" s="2"/>
      <c r="G222" s="2"/>
      <c r="H222" s="2"/>
      <c r="I222" s="2"/>
    </row>
    <row r="223" spans="1:9" x14ac:dyDescent="0.35">
      <c r="A223" s="2" t="s">
        <v>2792</v>
      </c>
      <c r="B223" s="2" t="s">
        <v>24</v>
      </c>
      <c r="C223" s="2" t="s">
        <v>2797</v>
      </c>
      <c r="D223" s="2" t="s">
        <v>121</v>
      </c>
      <c r="E223" s="2" t="s">
        <v>122</v>
      </c>
      <c r="F223" s="2"/>
      <c r="G223" s="2"/>
      <c r="H223" s="2"/>
      <c r="I223" s="2"/>
    </row>
    <row r="224" spans="1:9" x14ac:dyDescent="0.35">
      <c r="A224" s="2" t="s">
        <v>2792</v>
      </c>
      <c r="B224" s="2" t="s">
        <v>24</v>
      </c>
      <c r="C224" s="2" t="s">
        <v>2797</v>
      </c>
      <c r="D224" s="2" t="s">
        <v>87</v>
      </c>
      <c r="E224" s="2" t="s">
        <v>75</v>
      </c>
      <c r="F224" s="2"/>
      <c r="G224" s="2"/>
      <c r="H224" s="2"/>
      <c r="I224" s="2"/>
    </row>
    <row r="225" spans="1:9" x14ac:dyDescent="0.35">
      <c r="A225" s="2" t="s">
        <v>2792</v>
      </c>
      <c r="B225" s="2" t="s">
        <v>24</v>
      </c>
      <c r="C225" s="2" t="s">
        <v>2797</v>
      </c>
      <c r="D225" s="2" t="s">
        <v>61</v>
      </c>
      <c r="E225" s="2" t="s">
        <v>30</v>
      </c>
      <c r="F225" s="2"/>
      <c r="G225" s="2"/>
      <c r="H225" s="2"/>
      <c r="I225" s="2"/>
    </row>
    <row r="226" spans="1:9" x14ac:dyDescent="0.35">
      <c r="A226" s="2" t="s">
        <v>2792</v>
      </c>
      <c r="B226" s="2" t="s">
        <v>24</v>
      </c>
      <c r="C226" s="2" t="s">
        <v>2797</v>
      </c>
      <c r="D226" s="2" t="s">
        <v>862</v>
      </c>
      <c r="E226" s="2" t="s">
        <v>38</v>
      </c>
      <c r="F226" s="2"/>
      <c r="G226" s="2"/>
      <c r="H226" s="2"/>
      <c r="I226" s="2"/>
    </row>
    <row r="227" spans="1:9" x14ac:dyDescent="0.35">
      <c r="A227" s="2" t="s">
        <v>2798</v>
      </c>
      <c r="B227" s="2" t="s">
        <v>57</v>
      </c>
      <c r="C227" s="2" t="s">
        <v>2799</v>
      </c>
      <c r="D227" s="2" t="s">
        <v>14</v>
      </c>
      <c r="E227" s="2" t="s">
        <v>15</v>
      </c>
      <c r="F227" s="2"/>
      <c r="G227" s="2"/>
      <c r="H227" s="2"/>
      <c r="I227" s="2"/>
    </row>
    <row r="228" spans="1:9" x14ac:dyDescent="0.35">
      <c r="A228" s="2" t="s">
        <v>2798</v>
      </c>
      <c r="B228" s="2" t="s">
        <v>57</v>
      </c>
      <c r="C228" s="2" t="s">
        <v>2799</v>
      </c>
      <c r="D228" s="2" t="s">
        <v>27</v>
      </c>
      <c r="E228" s="2" t="s">
        <v>28</v>
      </c>
      <c r="F228" s="2" t="s">
        <v>16</v>
      </c>
      <c r="G228" s="2" t="s">
        <v>2800</v>
      </c>
      <c r="H228" s="2"/>
      <c r="I228" s="2"/>
    </row>
    <row r="229" spans="1:9" x14ac:dyDescent="0.35">
      <c r="A229" s="2" t="s">
        <v>2798</v>
      </c>
      <c r="B229" s="2" t="s">
        <v>57</v>
      </c>
      <c r="C229" s="2" t="s">
        <v>2799</v>
      </c>
      <c r="D229" s="2" t="s">
        <v>87</v>
      </c>
      <c r="E229" s="2" t="s">
        <v>75</v>
      </c>
      <c r="F229" s="2" t="s">
        <v>16</v>
      </c>
      <c r="G229" s="2" t="s">
        <v>2801</v>
      </c>
      <c r="H229" s="2"/>
      <c r="I229" s="2"/>
    </row>
    <row r="230" spans="1:9" x14ac:dyDescent="0.35">
      <c r="A230" s="2" t="s">
        <v>2798</v>
      </c>
      <c r="B230" s="2" t="s">
        <v>57</v>
      </c>
      <c r="C230" s="2" t="s">
        <v>2799</v>
      </c>
      <c r="D230" s="2" t="s">
        <v>18</v>
      </c>
      <c r="E230" s="2" t="s">
        <v>19</v>
      </c>
      <c r="F230" s="2" t="s">
        <v>16</v>
      </c>
      <c r="G230" s="2" t="s">
        <v>2801</v>
      </c>
      <c r="H230" s="2"/>
      <c r="I230" s="2"/>
    </row>
    <row r="231" spans="1:9" x14ac:dyDescent="0.35">
      <c r="A231" s="2" t="s">
        <v>2798</v>
      </c>
      <c r="B231" s="2" t="s">
        <v>57</v>
      </c>
      <c r="C231" s="2" t="s">
        <v>2799</v>
      </c>
      <c r="D231" s="2" t="s">
        <v>116</v>
      </c>
      <c r="E231" s="2" t="s">
        <v>30</v>
      </c>
      <c r="F231" s="2"/>
      <c r="G231" s="2"/>
      <c r="H231" s="2"/>
      <c r="I231" s="2"/>
    </row>
    <row r="232" spans="1:9" x14ac:dyDescent="0.35">
      <c r="A232" s="2" t="s">
        <v>2798</v>
      </c>
      <c r="B232" s="2" t="s">
        <v>24</v>
      </c>
      <c r="C232" s="2" t="s">
        <v>2802</v>
      </c>
      <c r="D232" s="2" t="s">
        <v>14</v>
      </c>
      <c r="E232" s="2" t="s">
        <v>15</v>
      </c>
      <c r="F232" s="2"/>
      <c r="G232" s="2"/>
      <c r="H232" s="2"/>
      <c r="I232" s="2"/>
    </row>
    <row r="233" spans="1:9" x14ac:dyDescent="0.35">
      <c r="A233" s="2" t="s">
        <v>2798</v>
      </c>
      <c r="B233" s="2" t="s">
        <v>24</v>
      </c>
      <c r="C233" s="2" t="s">
        <v>2802</v>
      </c>
      <c r="D233" s="2" t="s">
        <v>27</v>
      </c>
      <c r="E233" s="2" t="s">
        <v>28</v>
      </c>
      <c r="F233" s="2"/>
      <c r="G233" s="2"/>
      <c r="H233" s="2"/>
      <c r="I233" s="2"/>
    </row>
    <row r="234" spans="1:9" x14ac:dyDescent="0.35">
      <c r="A234" s="2" t="s">
        <v>2798</v>
      </c>
      <c r="B234" s="2" t="s">
        <v>24</v>
      </c>
      <c r="C234" s="2" t="s">
        <v>2802</v>
      </c>
      <c r="D234" s="2" t="s">
        <v>121</v>
      </c>
      <c r="E234" s="2" t="s">
        <v>122</v>
      </c>
      <c r="F234" s="2"/>
      <c r="G234" s="2"/>
      <c r="H234" s="2"/>
      <c r="I234" s="2"/>
    </row>
    <row r="235" spans="1:9" x14ac:dyDescent="0.35">
      <c r="A235" s="2" t="s">
        <v>2798</v>
      </c>
      <c r="B235" s="2" t="s">
        <v>24</v>
      </c>
      <c r="C235" s="2" t="s">
        <v>2802</v>
      </c>
      <c r="D235" s="2" t="s">
        <v>193</v>
      </c>
      <c r="E235" s="2" t="s">
        <v>40</v>
      </c>
      <c r="F235" s="2" t="s">
        <v>16</v>
      </c>
      <c r="G235" s="2" t="s">
        <v>2803</v>
      </c>
      <c r="H235" s="2"/>
      <c r="I235" s="2"/>
    </row>
    <row r="236" spans="1:9" x14ac:dyDescent="0.35">
      <c r="A236" s="2" t="s">
        <v>2804</v>
      </c>
      <c r="B236" s="2" t="s">
        <v>54</v>
      </c>
      <c r="C236" s="2" t="s">
        <v>2805</v>
      </c>
      <c r="D236" s="2" t="s">
        <v>14</v>
      </c>
      <c r="E236" s="2" t="s">
        <v>15</v>
      </c>
      <c r="F236" s="2"/>
      <c r="G236" s="2"/>
      <c r="H236" s="2"/>
      <c r="I236" s="2"/>
    </row>
    <row r="237" spans="1:9" x14ac:dyDescent="0.35">
      <c r="A237" s="2" t="s">
        <v>2804</v>
      </c>
      <c r="B237" s="2" t="s">
        <v>54</v>
      </c>
      <c r="C237" s="2" t="s">
        <v>2805</v>
      </c>
      <c r="D237" s="2" t="s">
        <v>393</v>
      </c>
      <c r="E237" s="2" t="s">
        <v>36</v>
      </c>
      <c r="F237" s="2"/>
      <c r="G237" s="2"/>
      <c r="H237" s="2"/>
      <c r="I237" s="2"/>
    </row>
    <row r="238" spans="1:9" x14ac:dyDescent="0.35">
      <c r="A238" s="2" t="s">
        <v>2804</v>
      </c>
      <c r="B238" s="2" t="s">
        <v>54</v>
      </c>
      <c r="C238" s="2" t="s">
        <v>2805</v>
      </c>
      <c r="D238" s="2" t="s">
        <v>87</v>
      </c>
      <c r="E238" s="2" t="s">
        <v>75</v>
      </c>
      <c r="F238" s="2" t="s">
        <v>16</v>
      </c>
      <c r="G238" s="2" t="s">
        <v>2806</v>
      </c>
      <c r="H238" s="2"/>
      <c r="I238" s="2"/>
    </row>
    <row r="239" spans="1:9" x14ac:dyDescent="0.35">
      <c r="A239" s="2" t="s">
        <v>2804</v>
      </c>
      <c r="B239" s="2" t="s">
        <v>57</v>
      </c>
      <c r="C239" s="2" t="s">
        <v>2807</v>
      </c>
      <c r="D239" s="2" t="s">
        <v>14</v>
      </c>
      <c r="E239" s="2" t="s">
        <v>15</v>
      </c>
      <c r="F239" s="2"/>
      <c r="G239" s="2"/>
      <c r="H239" s="2"/>
      <c r="I239" s="2"/>
    </row>
    <row r="240" spans="1:9" x14ac:dyDescent="0.35">
      <c r="A240" s="2" t="s">
        <v>2804</v>
      </c>
      <c r="B240" s="2" t="s">
        <v>57</v>
      </c>
      <c r="C240" s="2" t="s">
        <v>2807</v>
      </c>
      <c r="D240" s="2" t="s">
        <v>120</v>
      </c>
      <c r="E240" s="2" t="s">
        <v>32</v>
      </c>
      <c r="F240" s="2" t="s">
        <v>46</v>
      </c>
      <c r="G240" s="2" t="s">
        <v>2740</v>
      </c>
      <c r="H240" s="2"/>
      <c r="I240" s="2"/>
    </row>
    <row r="241" spans="1:9" x14ac:dyDescent="0.35">
      <c r="A241" s="2" t="s">
        <v>2804</v>
      </c>
      <c r="B241" s="2" t="s">
        <v>57</v>
      </c>
      <c r="C241" s="2" t="s">
        <v>2807</v>
      </c>
      <c r="D241" s="2" t="s">
        <v>59</v>
      </c>
      <c r="E241" s="2" t="s">
        <v>60</v>
      </c>
      <c r="F241" s="2"/>
      <c r="G241" s="2"/>
      <c r="H241" s="2"/>
      <c r="I241" s="2"/>
    </row>
    <row r="242" spans="1:9" x14ac:dyDescent="0.35">
      <c r="A242" s="2" t="s">
        <v>2804</v>
      </c>
      <c r="B242" s="2" t="s">
        <v>57</v>
      </c>
      <c r="C242" s="2" t="s">
        <v>2807</v>
      </c>
      <c r="D242" s="2" t="s">
        <v>121</v>
      </c>
      <c r="E242" s="2" t="s">
        <v>122</v>
      </c>
      <c r="F242" s="2" t="s">
        <v>16</v>
      </c>
      <c r="G242" s="2" t="s">
        <v>2808</v>
      </c>
      <c r="H242" s="2"/>
      <c r="I242" s="2"/>
    </row>
    <row r="243" spans="1:9" x14ac:dyDescent="0.35">
      <c r="A243" s="2" t="s">
        <v>2804</v>
      </c>
      <c r="B243" s="2" t="s">
        <v>57</v>
      </c>
      <c r="C243" s="2" t="s">
        <v>2807</v>
      </c>
      <c r="D243" s="2" t="s">
        <v>91</v>
      </c>
      <c r="E243" s="2" t="s">
        <v>19</v>
      </c>
      <c r="F243" s="2" t="s">
        <v>16</v>
      </c>
      <c r="G243" s="2" t="s">
        <v>2809</v>
      </c>
      <c r="H243" s="2"/>
      <c r="I243" s="2"/>
    </row>
    <row r="244" spans="1:9" x14ac:dyDescent="0.35">
      <c r="A244" s="2" t="s">
        <v>2804</v>
      </c>
      <c r="B244" s="2" t="s">
        <v>57</v>
      </c>
      <c r="C244" s="2" t="s">
        <v>2807</v>
      </c>
      <c r="D244" s="2" t="s">
        <v>89</v>
      </c>
      <c r="E244" s="2" t="s">
        <v>45</v>
      </c>
      <c r="F244" s="2"/>
      <c r="G244" s="2"/>
      <c r="H244" s="2"/>
      <c r="I244" s="2"/>
    </row>
    <row r="245" spans="1:9" x14ac:dyDescent="0.35">
      <c r="A245" s="2" t="s">
        <v>2804</v>
      </c>
      <c r="B245" s="2" t="s">
        <v>57</v>
      </c>
      <c r="C245" s="2" t="s">
        <v>2807</v>
      </c>
      <c r="D245" s="2" t="s">
        <v>149</v>
      </c>
      <c r="E245" s="2" t="s">
        <v>150</v>
      </c>
      <c r="F245" s="2" t="s">
        <v>16</v>
      </c>
      <c r="G245" s="2" t="s">
        <v>2810</v>
      </c>
      <c r="H245" s="2"/>
      <c r="I245" s="2"/>
    </row>
    <row r="246" spans="1:9" x14ac:dyDescent="0.35">
      <c r="A246" s="2" t="s">
        <v>2804</v>
      </c>
      <c r="B246" s="2" t="s">
        <v>24</v>
      </c>
      <c r="C246" s="2" t="s">
        <v>2811</v>
      </c>
      <c r="D246" s="2" t="s">
        <v>14</v>
      </c>
      <c r="E246" s="2" t="s">
        <v>15</v>
      </c>
      <c r="F246" s="2"/>
      <c r="G246" s="2"/>
      <c r="H246" s="2"/>
      <c r="I246" s="2"/>
    </row>
    <row r="247" spans="1:9" x14ac:dyDescent="0.35">
      <c r="A247" s="2" t="s">
        <v>2804</v>
      </c>
      <c r="B247" s="2" t="s">
        <v>24</v>
      </c>
      <c r="C247" s="2" t="s">
        <v>2811</v>
      </c>
      <c r="D247" s="2" t="s">
        <v>393</v>
      </c>
      <c r="E247" s="2" t="s">
        <v>36</v>
      </c>
      <c r="F247" s="2"/>
      <c r="G247" s="2"/>
      <c r="H247" s="2"/>
      <c r="I247" s="2"/>
    </row>
    <row r="248" spans="1:9" x14ac:dyDescent="0.35">
      <c r="A248" s="2" t="s">
        <v>2804</v>
      </c>
      <c r="B248" s="2" t="s">
        <v>24</v>
      </c>
      <c r="C248" s="2" t="s">
        <v>2811</v>
      </c>
      <c r="D248" s="2" t="s">
        <v>168</v>
      </c>
      <c r="E248" s="2" t="s">
        <v>45</v>
      </c>
      <c r="F248" s="2"/>
      <c r="G248" s="2"/>
      <c r="H248" s="2"/>
      <c r="I248" s="2"/>
    </row>
    <row r="249" spans="1:9" x14ac:dyDescent="0.35">
      <c r="A249" s="2" t="s">
        <v>2804</v>
      </c>
      <c r="B249" s="2" t="s">
        <v>24</v>
      </c>
      <c r="C249" s="2" t="s">
        <v>2811</v>
      </c>
      <c r="D249" s="2" t="s">
        <v>18</v>
      </c>
      <c r="E249" s="2" t="s">
        <v>19</v>
      </c>
      <c r="F249" s="2"/>
      <c r="G249" s="2"/>
      <c r="H249" s="2"/>
      <c r="I249" s="2"/>
    </row>
  </sheetData>
  <autoFilter ref="A1:I1" xr:uid="{00000000-0009-0000-0000-000007000000}"/>
  <pageMargins left="0.7" right="0.7" top="0.75" bottom="0.75" header="0.3" footer="0.3"/>
  <customProperties>
    <customPr name="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38"/>
  <sheetViews>
    <sheetView workbookViewId="0">
      <selection activeCell="A2" sqref="A2"/>
    </sheetView>
  </sheetViews>
  <sheetFormatPr defaultRowHeight="14.5" x14ac:dyDescent="0.35"/>
  <cols>
    <col min="1" max="1" width="16.453125" customWidth="1"/>
    <col min="2" max="2" width="36.81640625" customWidth="1"/>
    <col min="3" max="3" width="54.81640625" customWidth="1"/>
    <col min="4" max="5" width="31.453125" customWidth="1"/>
    <col min="6" max="6" width="12.54296875" customWidth="1"/>
    <col min="7" max="7" width="34.54296875" customWidth="1"/>
    <col min="8" max="9" width="14.26953125" customWidth="1"/>
  </cols>
  <sheetData>
    <row r="1" spans="1:9" ht="34.5" customHeight="1" x14ac:dyDescent="0.35">
      <c r="A1" s="1" t="s">
        <v>1</v>
      </c>
      <c r="B1" s="1" t="s">
        <v>2</v>
      </c>
      <c r="C1" s="1" t="s">
        <v>3</v>
      </c>
      <c r="D1" s="1" t="s">
        <v>4</v>
      </c>
      <c r="E1" s="1" t="s">
        <v>5</v>
      </c>
      <c r="F1" s="1" t="s">
        <v>6</v>
      </c>
      <c r="G1" s="1" t="s">
        <v>7</v>
      </c>
      <c r="H1" s="1" t="s">
        <v>8</v>
      </c>
      <c r="I1" s="1" t="s">
        <v>9</v>
      </c>
    </row>
    <row r="2" spans="1:9" x14ac:dyDescent="0.35">
      <c r="A2" s="2" t="s">
        <v>2812</v>
      </c>
      <c r="B2" s="2" t="s">
        <v>181</v>
      </c>
      <c r="C2" s="2" t="s">
        <v>2813</v>
      </c>
      <c r="D2" s="2" t="s">
        <v>74</v>
      </c>
      <c r="E2" s="2" t="s">
        <v>75</v>
      </c>
      <c r="F2" s="2" t="s">
        <v>20</v>
      </c>
      <c r="G2" s="2" t="s">
        <v>2814</v>
      </c>
      <c r="H2" s="2"/>
      <c r="I2" s="2"/>
    </row>
    <row r="3" spans="1:9" x14ac:dyDescent="0.35">
      <c r="A3" s="2" t="s">
        <v>2812</v>
      </c>
      <c r="B3" s="2" t="s">
        <v>181</v>
      </c>
      <c r="C3" s="2" t="s">
        <v>2813</v>
      </c>
      <c r="D3" s="2" t="s">
        <v>156</v>
      </c>
      <c r="E3" s="2" t="s">
        <v>45</v>
      </c>
      <c r="F3" s="2" t="s">
        <v>20</v>
      </c>
      <c r="G3" s="2" t="s">
        <v>2814</v>
      </c>
      <c r="H3" s="2"/>
      <c r="I3" s="2"/>
    </row>
    <row r="4" spans="1:9" x14ac:dyDescent="0.35">
      <c r="A4" s="2" t="s">
        <v>2812</v>
      </c>
      <c r="B4" s="2" t="s">
        <v>181</v>
      </c>
      <c r="C4" s="2" t="s">
        <v>2813</v>
      </c>
      <c r="D4" s="2" t="s">
        <v>18</v>
      </c>
      <c r="E4" s="2" t="s">
        <v>19</v>
      </c>
      <c r="F4" s="2" t="s">
        <v>20</v>
      </c>
      <c r="G4" s="2" t="s">
        <v>2814</v>
      </c>
      <c r="H4" s="2"/>
      <c r="I4" s="2"/>
    </row>
    <row r="5" spans="1:9" x14ac:dyDescent="0.35">
      <c r="A5" s="2" t="s">
        <v>2812</v>
      </c>
      <c r="B5" s="2" t="s">
        <v>181</v>
      </c>
      <c r="C5" s="2" t="s">
        <v>2815</v>
      </c>
      <c r="D5" s="2" t="s">
        <v>196</v>
      </c>
      <c r="E5" s="2" t="s">
        <v>197</v>
      </c>
      <c r="F5" s="2"/>
      <c r="G5" s="2"/>
      <c r="H5" s="2"/>
      <c r="I5" s="2"/>
    </row>
    <row r="6" spans="1:9" x14ac:dyDescent="0.35">
      <c r="A6" s="2" t="s">
        <v>2812</v>
      </c>
      <c r="B6" s="2" t="s">
        <v>181</v>
      </c>
      <c r="C6" s="2" t="s">
        <v>2815</v>
      </c>
      <c r="D6" s="2" t="s">
        <v>14</v>
      </c>
      <c r="E6" s="2" t="s">
        <v>15</v>
      </c>
      <c r="F6" s="2"/>
      <c r="G6" s="2"/>
      <c r="H6" s="2"/>
      <c r="I6" s="2"/>
    </row>
    <row r="7" spans="1:9" x14ac:dyDescent="0.35">
      <c r="A7" s="2" t="s">
        <v>2812</v>
      </c>
      <c r="B7" s="2" t="s">
        <v>181</v>
      </c>
      <c r="C7" s="2" t="s">
        <v>2815</v>
      </c>
      <c r="D7" s="2" t="s">
        <v>2816</v>
      </c>
      <c r="E7" s="2" t="s">
        <v>189</v>
      </c>
      <c r="F7" s="2"/>
      <c r="G7" s="2"/>
      <c r="H7" s="2"/>
      <c r="I7" s="2"/>
    </row>
    <row r="8" spans="1:9" x14ac:dyDescent="0.35">
      <c r="A8" s="2" t="s">
        <v>2812</v>
      </c>
      <c r="B8" s="2" t="s">
        <v>181</v>
      </c>
      <c r="C8" s="2" t="s">
        <v>2815</v>
      </c>
      <c r="D8" s="2" t="s">
        <v>18</v>
      </c>
      <c r="E8" s="2" t="s">
        <v>19</v>
      </c>
      <c r="F8" s="2" t="s">
        <v>20</v>
      </c>
      <c r="G8" s="2" t="s">
        <v>2817</v>
      </c>
      <c r="H8" s="2"/>
      <c r="I8" s="2"/>
    </row>
    <row r="9" spans="1:9" x14ac:dyDescent="0.35">
      <c r="A9" s="2" t="s">
        <v>2812</v>
      </c>
      <c r="B9" s="2" t="s">
        <v>181</v>
      </c>
      <c r="C9" s="2" t="s">
        <v>2815</v>
      </c>
      <c r="D9" s="2" t="s">
        <v>604</v>
      </c>
      <c r="E9" s="2" t="s">
        <v>78</v>
      </c>
      <c r="F9" s="2"/>
      <c r="G9" s="2"/>
      <c r="H9" s="2"/>
      <c r="I9" s="2"/>
    </row>
    <row r="10" spans="1:9" x14ac:dyDescent="0.35">
      <c r="A10" s="2" t="s">
        <v>2812</v>
      </c>
      <c r="B10" s="2" t="s">
        <v>181</v>
      </c>
      <c r="C10" s="2" t="s">
        <v>2815</v>
      </c>
      <c r="D10" s="2" t="s">
        <v>100</v>
      </c>
      <c r="E10" s="2" t="s">
        <v>101</v>
      </c>
      <c r="F10" s="2"/>
      <c r="G10" s="2"/>
      <c r="H10" s="2"/>
      <c r="I10" s="2"/>
    </row>
    <row r="11" spans="1:9" x14ac:dyDescent="0.35">
      <c r="A11" s="2" t="s">
        <v>2812</v>
      </c>
      <c r="B11" s="2" t="s">
        <v>181</v>
      </c>
      <c r="C11" s="2" t="s">
        <v>2815</v>
      </c>
      <c r="D11" s="2" t="s">
        <v>188</v>
      </c>
      <c r="E11" s="2" t="s">
        <v>189</v>
      </c>
      <c r="F11" s="2"/>
      <c r="G11" s="2"/>
      <c r="H11" s="2"/>
      <c r="I11" s="2"/>
    </row>
    <row r="12" spans="1:9" x14ac:dyDescent="0.35">
      <c r="A12" s="2" t="s">
        <v>2812</v>
      </c>
      <c r="B12" s="2" t="s">
        <v>181</v>
      </c>
      <c r="C12" s="2" t="s">
        <v>2815</v>
      </c>
      <c r="D12" s="2" t="s">
        <v>149</v>
      </c>
      <c r="E12" s="2" t="s">
        <v>150</v>
      </c>
      <c r="F12" s="2" t="s">
        <v>20</v>
      </c>
      <c r="G12" s="2" t="s">
        <v>2599</v>
      </c>
      <c r="H12" s="2"/>
      <c r="I12" s="2"/>
    </row>
    <row r="13" spans="1:9" x14ac:dyDescent="0.35">
      <c r="A13" s="2" t="s">
        <v>2812</v>
      </c>
      <c r="B13" s="2" t="s">
        <v>181</v>
      </c>
      <c r="C13" s="2" t="s">
        <v>2815</v>
      </c>
      <c r="D13" s="2" t="s">
        <v>2818</v>
      </c>
      <c r="E13" s="2" t="s">
        <v>189</v>
      </c>
      <c r="F13" s="2"/>
      <c r="G13" s="2"/>
      <c r="H13" s="2"/>
      <c r="I13" s="2"/>
    </row>
    <row r="14" spans="1:9" x14ac:dyDescent="0.35">
      <c r="A14" s="2" t="s">
        <v>2812</v>
      </c>
      <c r="B14" s="2" t="s">
        <v>181</v>
      </c>
      <c r="C14" s="2" t="s">
        <v>2815</v>
      </c>
      <c r="D14" s="2" t="s">
        <v>2819</v>
      </c>
      <c r="E14" s="2" t="s">
        <v>189</v>
      </c>
      <c r="F14" s="2"/>
      <c r="G14" s="2"/>
      <c r="H14" s="2"/>
      <c r="I14" s="2"/>
    </row>
    <row r="15" spans="1:9" x14ac:dyDescent="0.35">
      <c r="A15" s="2" t="s">
        <v>2812</v>
      </c>
      <c r="B15" s="2" t="s">
        <v>181</v>
      </c>
      <c r="C15" s="2" t="s">
        <v>2815</v>
      </c>
      <c r="D15" s="2" t="s">
        <v>112</v>
      </c>
      <c r="E15" s="2" t="s">
        <v>113</v>
      </c>
      <c r="F15" s="2"/>
      <c r="G15" s="2"/>
      <c r="H15" s="2"/>
      <c r="I15" s="2"/>
    </row>
    <row r="16" spans="1:9" x14ac:dyDescent="0.35">
      <c r="A16" s="2" t="s">
        <v>2812</v>
      </c>
      <c r="B16" s="2" t="s">
        <v>181</v>
      </c>
      <c r="C16" s="2" t="s">
        <v>2820</v>
      </c>
      <c r="D16" s="2" t="s">
        <v>196</v>
      </c>
      <c r="E16" s="2" t="s">
        <v>197</v>
      </c>
      <c r="F16" s="2"/>
      <c r="G16" s="2"/>
      <c r="H16" s="2"/>
      <c r="I16" s="2"/>
    </row>
    <row r="17" spans="1:9" x14ac:dyDescent="0.35">
      <c r="A17" s="2" t="s">
        <v>2812</v>
      </c>
      <c r="B17" s="2" t="s">
        <v>181</v>
      </c>
      <c r="C17" s="2" t="s">
        <v>2820</v>
      </c>
      <c r="D17" s="2" t="s">
        <v>31</v>
      </c>
      <c r="E17" s="2" t="s">
        <v>32</v>
      </c>
      <c r="F17" s="2"/>
      <c r="G17" s="2"/>
      <c r="H17" s="2"/>
      <c r="I17" s="2"/>
    </row>
    <row r="18" spans="1:9" x14ac:dyDescent="0.35">
      <c r="A18" s="2" t="s">
        <v>2812</v>
      </c>
      <c r="B18" s="2" t="s">
        <v>181</v>
      </c>
      <c r="C18" s="2" t="s">
        <v>2820</v>
      </c>
      <c r="D18" s="2" t="s">
        <v>98</v>
      </c>
      <c r="E18" s="2" t="s">
        <v>98</v>
      </c>
      <c r="F18" s="2"/>
      <c r="G18" s="2"/>
      <c r="H18" s="2"/>
      <c r="I18" s="2"/>
    </row>
    <row r="19" spans="1:9" x14ac:dyDescent="0.35">
      <c r="A19" s="2" t="s">
        <v>2812</v>
      </c>
      <c r="B19" s="2" t="s">
        <v>181</v>
      </c>
      <c r="C19" s="2" t="s">
        <v>2820</v>
      </c>
      <c r="D19" s="2" t="s">
        <v>2821</v>
      </c>
      <c r="E19" s="2" t="s">
        <v>189</v>
      </c>
      <c r="F19" s="2"/>
      <c r="G19" s="2"/>
      <c r="H19" s="2"/>
      <c r="I19" s="2"/>
    </row>
    <row r="20" spans="1:9" x14ac:dyDescent="0.35">
      <c r="A20" s="2" t="s">
        <v>2812</v>
      </c>
      <c r="B20" s="2" t="s">
        <v>181</v>
      </c>
      <c r="C20" s="2" t="s">
        <v>2820</v>
      </c>
      <c r="D20" s="2" t="s">
        <v>156</v>
      </c>
      <c r="E20" s="2" t="s">
        <v>45</v>
      </c>
      <c r="F20" s="2" t="s">
        <v>20</v>
      </c>
      <c r="G20" s="2" t="s">
        <v>2599</v>
      </c>
      <c r="H20" s="2"/>
      <c r="I20" s="2"/>
    </row>
    <row r="21" spans="1:9" x14ac:dyDescent="0.35">
      <c r="A21" s="2" t="s">
        <v>2812</v>
      </c>
      <c r="B21" s="2" t="s">
        <v>181</v>
      </c>
      <c r="C21" s="2" t="s">
        <v>2820</v>
      </c>
      <c r="D21" s="2" t="s">
        <v>100</v>
      </c>
      <c r="E21" s="2" t="s">
        <v>101</v>
      </c>
      <c r="F21" s="2"/>
      <c r="G21" s="2"/>
      <c r="H21" s="2"/>
      <c r="I21" s="2"/>
    </row>
    <row r="22" spans="1:9" x14ac:dyDescent="0.35">
      <c r="A22" s="2" t="s">
        <v>2812</v>
      </c>
      <c r="B22" s="2" t="s">
        <v>181</v>
      </c>
      <c r="C22" s="2" t="s">
        <v>2820</v>
      </c>
      <c r="D22" s="2" t="s">
        <v>188</v>
      </c>
      <c r="E22" s="2" t="s">
        <v>189</v>
      </c>
      <c r="F22" s="2" t="s">
        <v>20</v>
      </c>
      <c r="G22" s="2" t="s">
        <v>2599</v>
      </c>
      <c r="H22" s="2"/>
      <c r="I22" s="2"/>
    </row>
    <row r="23" spans="1:9" x14ac:dyDescent="0.35">
      <c r="A23" s="2" t="s">
        <v>2812</v>
      </c>
      <c r="B23" s="2" t="s">
        <v>181</v>
      </c>
      <c r="C23" s="2" t="s">
        <v>2820</v>
      </c>
      <c r="D23" s="2" t="s">
        <v>149</v>
      </c>
      <c r="E23" s="2" t="s">
        <v>150</v>
      </c>
      <c r="F23" s="2" t="s">
        <v>20</v>
      </c>
      <c r="G23" s="2" t="s">
        <v>2599</v>
      </c>
      <c r="H23" s="2"/>
      <c r="I23" s="2"/>
    </row>
    <row r="24" spans="1:9" x14ac:dyDescent="0.35">
      <c r="A24" s="2" t="s">
        <v>2812</v>
      </c>
      <c r="B24" s="2" t="s">
        <v>181</v>
      </c>
      <c r="C24" s="2" t="s">
        <v>2820</v>
      </c>
      <c r="D24" s="2" t="s">
        <v>302</v>
      </c>
      <c r="E24" s="2" t="s">
        <v>65</v>
      </c>
      <c r="F24" s="2"/>
      <c r="G24" s="2"/>
      <c r="H24" s="2"/>
      <c r="I24" s="2"/>
    </row>
    <row r="25" spans="1:9" x14ac:dyDescent="0.35">
      <c r="A25" s="2" t="s">
        <v>2812</v>
      </c>
      <c r="B25" s="2" t="s">
        <v>181</v>
      </c>
      <c r="C25" s="2" t="s">
        <v>2820</v>
      </c>
      <c r="D25" s="2" t="s">
        <v>112</v>
      </c>
      <c r="E25" s="2" t="s">
        <v>113</v>
      </c>
      <c r="F25" s="2"/>
      <c r="G25" s="2"/>
      <c r="H25" s="2"/>
      <c r="I25" s="2"/>
    </row>
    <row r="26" spans="1:9" x14ac:dyDescent="0.35">
      <c r="A26" s="2" t="s">
        <v>2812</v>
      </c>
      <c r="B26" s="3" t="s">
        <v>57</v>
      </c>
      <c r="C26" s="2" t="s">
        <v>2822</v>
      </c>
      <c r="D26" s="2" t="s">
        <v>61</v>
      </c>
      <c r="E26" s="2" t="s">
        <v>30</v>
      </c>
      <c r="F26" s="2"/>
      <c r="G26" s="2"/>
      <c r="H26" s="2"/>
      <c r="I26" s="21"/>
    </row>
    <row r="27" spans="1:9" x14ac:dyDescent="0.35">
      <c r="A27" s="2" t="s">
        <v>2812</v>
      </c>
      <c r="B27" s="3" t="s">
        <v>57</v>
      </c>
      <c r="C27" s="2" t="s">
        <v>2822</v>
      </c>
      <c r="D27" s="2" t="s">
        <v>207</v>
      </c>
      <c r="E27" s="2" t="s">
        <v>122</v>
      </c>
      <c r="F27" s="2"/>
      <c r="G27" s="2"/>
      <c r="H27" s="2"/>
      <c r="I27" s="21"/>
    </row>
    <row r="28" spans="1:9" x14ac:dyDescent="0.35">
      <c r="A28" s="2" t="s">
        <v>2812</v>
      </c>
      <c r="B28" s="3" t="s">
        <v>24</v>
      </c>
      <c r="C28" s="2" t="s">
        <v>2823</v>
      </c>
      <c r="D28" s="2" t="s">
        <v>130</v>
      </c>
      <c r="E28" s="2" t="s">
        <v>36</v>
      </c>
      <c r="F28" s="2"/>
      <c r="G28" s="2"/>
      <c r="H28" s="2"/>
      <c r="I28" s="21"/>
    </row>
    <row r="29" spans="1:9" x14ac:dyDescent="0.35">
      <c r="A29" s="2" t="s">
        <v>2812</v>
      </c>
      <c r="B29" s="3" t="s">
        <v>24</v>
      </c>
      <c r="C29" s="2" t="s">
        <v>2823</v>
      </c>
      <c r="D29" s="2" t="s">
        <v>1305</v>
      </c>
      <c r="E29" s="2" t="s">
        <v>38</v>
      </c>
      <c r="F29" s="2"/>
      <c r="G29" s="2"/>
      <c r="H29" s="2"/>
      <c r="I29" s="21"/>
    </row>
    <row r="30" spans="1:9" x14ac:dyDescent="0.35">
      <c r="A30" s="2" t="s">
        <v>2812</v>
      </c>
      <c r="B30" s="3" t="s">
        <v>24</v>
      </c>
      <c r="C30" s="2" t="s">
        <v>2823</v>
      </c>
      <c r="D30" s="2" t="s">
        <v>33</v>
      </c>
      <c r="E30" s="2" t="s">
        <v>34</v>
      </c>
      <c r="F30" s="2"/>
      <c r="G30" s="2"/>
      <c r="H30" s="2"/>
      <c r="I30" s="21"/>
    </row>
    <row r="31" spans="1:9" x14ac:dyDescent="0.35">
      <c r="A31" s="2" t="s">
        <v>2812</v>
      </c>
      <c r="B31" s="3" t="s">
        <v>24</v>
      </c>
      <c r="C31" s="2" t="s">
        <v>2823</v>
      </c>
      <c r="D31" s="2" t="s">
        <v>416</v>
      </c>
      <c r="E31" s="2" t="s">
        <v>38</v>
      </c>
      <c r="F31" s="2"/>
      <c r="G31" s="2"/>
      <c r="H31" s="2"/>
      <c r="I31" s="21"/>
    </row>
    <row r="32" spans="1:9" x14ac:dyDescent="0.35">
      <c r="A32" s="2" t="s">
        <v>2812</v>
      </c>
      <c r="B32" s="3" t="s">
        <v>24</v>
      </c>
      <c r="C32" s="2" t="s">
        <v>2823</v>
      </c>
      <c r="D32" s="2" t="s">
        <v>91</v>
      </c>
      <c r="E32" s="2" t="s">
        <v>19</v>
      </c>
      <c r="F32" s="2"/>
      <c r="G32" s="2"/>
      <c r="H32" s="2"/>
      <c r="I32" s="21"/>
    </row>
    <row r="33" spans="1:9" x14ac:dyDescent="0.35">
      <c r="A33" s="2" t="s">
        <v>2812</v>
      </c>
      <c r="B33" s="3" t="s">
        <v>24</v>
      </c>
      <c r="C33" s="2" t="s">
        <v>2823</v>
      </c>
      <c r="D33" s="2" t="s">
        <v>124</v>
      </c>
      <c r="E33" s="2" t="s">
        <v>125</v>
      </c>
      <c r="F33" s="2"/>
      <c r="G33" s="2"/>
      <c r="H33" s="2"/>
      <c r="I33" s="21"/>
    </row>
    <row r="34" spans="1:9" x14ac:dyDescent="0.35">
      <c r="A34" s="2" t="s">
        <v>2812</v>
      </c>
      <c r="B34" s="3" t="s">
        <v>24</v>
      </c>
      <c r="C34" s="2" t="s">
        <v>2823</v>
      </c>
      <c r="D34" s="2" t="s">
        <v>417</v>
      </c>
      <c r="E34" s="2" t="s">
        <v>1244</v>
      </c>
      <c r="F34" s="2"/>
      <c r="G34" s="2"/>
      <c r="H34" s="2"/>
      <c r="I34" s="21"/>
    </row>
    <row r="35" spans="1:9" x14ac:dyDescent="0.35">
      <c r="A35" s="2" t="s">
        <v>2812</v>
      </c>
      <c r="B35" s="3" t="s">
        <v>24</v>
      </c>
      <c r="C35" s="2" t="s">
        <v>2823</v>
      </c>
      <c r="D35" s="2" t="s">
        <v>1228</v>
      </c>
      <c r="E35" s="2" t="s">
        <v>228</v>
      </c>
      <c r="F35" s="2"/>
      <c r="G35" s="2"/>
      <c r="H35" s="2"/>
      <c r="I35" s="21"/>
    </row>
    <row r="36" spans="1:9" x14ac:dyDescent="0.35">
      <c r="A36" s="2" t="s">
        <v>2812</v>
      </c>
      <c r="B36" s="3" t="s">
        <v>24</v>
      </c>
      <c r="C36" s="2" t="s">
        <v>2823</v>
      </c>
      <c r="D36" s="2" t="s">
        <v>61</v>
      </c>
      <c r="E36" s="2" t="s">
        <v>30</v>
      </c>
      <c r="F36" s="2"/>
      <c r="G36" s="2"/>
      <c r="H36" s="2"/>
      <c r="I36" s="21"/>
    </row>
    <row r="37" spans="1:9" x14ac:dyDescent="0.35">
      <c r="A37" s="2" t="s">
        <v>2812</v>
      </c>
      <c r="B37" s="2" t="s">
        <v>12</v>
      </c>
      <c r="C37" s="2" t="s">
        <v>2824</v>
      </c>
      <c r="D37" s="2" t="s">
        <v>89</v>
      </c>
      <c r="E37" s="2" t="s">
        <v>45</v>
      </c>
      <c r="F37" s="2"/>
      <c r="G37" s="2"/>
      <c r="H37" s="2"/>
      <c r="I37" s="21"/>
    </row>
    <row r="38" spans="1:9" x14ac:dyDescent="0.35">
      <c r="A38" s="2" t="s">
        <v>2812</v>
      </c>
      <c r="B38" s="2" t="s">
        <v>12</v>
      </c>
      <c r="C38" s="2" t="s">
        <v>2824</v>
      </c>
      <c r="D38" s="2" t="s">
        <v>193</v>
      </c>
      <c r="E38" s="2" t="s">
        <v>1244</v>
      </c>
      <c r="F38" s="2" t="s">
        <v>20</v>
      </c>
      <c r="G38" s="2" t="s">
        <v>2825</v>
      </c>
      <c r="H38" s="2"/>
      <c r="I38" s="21"/>
    </row>
    <row r="39" spans="1:9" x14ac:dyDescent="0.35">
      <c r="A39" s="2" t="s">
        <v>2812</v>
      </c>
      <c r="B39" s="2" t="s">
        <v>181</v>
      </c>
      <c r="C39" s="2" t="s">
        <v>2826</v>
      </c>
      <c r="D39" s="2" t="s">
        <v>196</v>
      </c>
      <c r="E39" s="2" t="s">
        <v>197</v>
      </c>
      <c r="F39" s="2"/>
      <c r="G39" s="2"/>
      <c r="H39" s="2"/>
      <c r="I39" s="2"/>
    </row>
    <row r="40" spans="1:9" x14ac:dyDescent="0.35">
      <c r="A40" s="2" t="s">
        <v>2812</v>
      </c>
      <c r="B40" s="2" t="s">
        <v>181</v>
      </c>
      <c r="C40" s="2" t="s">
        <v>2826</v>
      </c>
      <c r="D40" s="2" t="s">
        <v>120</v>
      </c>
      <c r="E40" s="2" t="s">
        <v>32</v>
      </c>
      <c r="F40" s="2"/>
      <c r="G40" s="2"/>
      <c r="H40" s="2"/>
      <c r="I40" s="2"/>
    </row>
    <row r="41" spans="1:9" x14ac:dyDescent="0.35">
      <c r="A41" s="2" t="s">
        <v>2812</v>
      </c>
      <c r="B41" s="2" t="s">
        <v>181</v>
      </c>
      <c r="C41" s="2" t="s">
        <v>2826</v>
      </c>
      <c r="D41" s="2" t="s">
        <v>38</v>
      </c>
      <c r="E41" s="2" t="s">
        <v>38</v>
      </c>
      <c r="F41" s="2"/>
      <c r="G41" s="2"/>
      <c r="H41" s="2"/>
      <c r="I41" s="2"/>
    </row>
    <row r="42" spans="1:9" x14ac:dyDescent="0.35">
      <c r="A42" s="2" t="s">
        <v>2812</v>
      </c>
      <c r="B42" s="2" t="s">
        <v>181</v>
      </c>
      <c r="C42" s="2" t="s">
        <v>2826</v>
      </c>
      <c r="D42" s="2" t="s">
        <v>18</v>
      </c>
      <c r="E42" s="2" t="s">
        <v>19</v>
      </c>
      <c r="F42" s="2"/>
      <c r="G42" s="2"/>
      <c r="H42" s="2"/>
      <c r="I42" s="2"/>
    </row>
    <row r="43" spans="1:9" x14ac:dyDescent="0.35">
      <c r="A43" s="2" t="s">
        <v>2812</v>
      </c>
      <c r="B43" s="2" t="s">
        <v>181</v>
      </c>
      <c r="C43" s="2" t="s">
        <v>2826</v>
      </c>
      <c r="D43" s="2" t="s">
        <v>100</v>
      </c>
      <c r="E43" s="2" t="s">
        <v>101</v>
      </c>
      <c r="F43" s="2"/>
      <c r="G43" s="2"/>
      <c r="H43" s="2"/>
      <c r="I43" s="2"/>
    </row>
    <row r="44" spans="1:9" x14ac:dyDescent="0.35">
      <c r="A44" s="2" t="s">
        <v>2812</v>
      </c>
      <c r="B44" s="2" t="s">
        <v>181</v>
      </c>
      <c r="C44" s="2" t="s">
        <v>2826</v>
      </c>
      <c r="D44" s="2" t="s">
        <v>188</v>
      </c>
      <c r="E44" s="2" t="s">
        <v>189</v>
      </c>
      <c r="F44" s="2"/>
      <c r="G44" s="2"/>
      <c r="H44" s="2"/>
      <c r="I44" s="2"/>
    </row>
    <row r="45" spans="1:9" x14ac:dyDescent="0.35">
      <c r="A45" s="2" t="s">
        <v>2812</v>
      </c>
      <c r="B45" s="2" t="s">
        <v>181</v>
      </c>
      <c r="C45" s="2" t="s">
        <v>2826</v>
      </c>
      <c r="D45" s="2" t="s">
        <v>149</v>
      </c>
      <c r="E45" s="2" t="s">
        <v>150</v>
      </c>
      <c r="F45" s="2"/>
      <c r="G45" s="2"/>
      <c r="H45" s="2"/>
      <c r="I45" s="2"/>
    </row>
    <row r="46" spans="1:9" x14ac:dyDescent="0.35">
      <c r="A46" s="2" t="s">
        <v>2812</v>
      </c>
      <c r="B46" s="2" t="s">
        <v>181</v>
      </c>
      <c r="C46" s="2" t="s">
        <v>2826</v>
      </c>
      <c r="D46" s="2" t="s">
        <v>193</v>
      </c>
      <c r="E46" s="2" t="s">
        <v>1244</v>
      </c>
      <c r="F46" s="2"/>
      <c r="G46" s="2"/>
      <c r="H46" s="2"/>
      <c r="I46" s="2"/>
    </row>
    <row r="47" spans="1:9" x14ac:dyDescent="0.35">
      <c r="A47" s="2" t="s">
        <v>2812</v>
      </c>
      <c r="B47" s="2" t="s">
        <v>12</v>
      </c>
      <c r="C47" s="2" t="s">
        <v>2827</v>
      </c>
      <c r="D47" s="2" t="s">
        <v>89</v>
      </c>
      <c r="E47" s="2" t="s">
        <v>45</v>
      </c>
      <c r="F47" s="2"/>
      <c r="G47" s="2"/>
      <c r="H47" s="2"/>
      <c r="I47" s="2"/>
    </row>
    <row r="48" spans="1:9" x14ac:dyDescent="0.35">
      <c r="A48" s="2" t="s">
        <v>2812</v>
      </c>
      <c r="B48" s="2" t="s">
        <v>12</v>
      </c>
      <c r="C48" s="2" t="s">
        <v>2827</v>
      </c>
      <c r="D48" s="2" t="s">
        <v>1283</v>
      </c>
      <c r="E48" s="2" t="s">
        <v>65</v>
      </c>
      <c r="F48" s="2"/>
      <c r="G48" s="2"/>
      <c r="H48" s="2"/>
      <c r="I48" s="2"/>
    </row>
    <row r="49" spans="1:9" x14ac:dyDescent="0.35">
      <c r="A49" s="2" t="s">
        <v>2812</v>
      </c>
      <c r="B49" s="2" t="s">
        <v>181</v>
      </c>
      <c r="C49" s="2" t="s">
        <v>2828</v>
      </c>
      <c r="D49" s="2" t="s">
        <v>196</v>
      </c>
      <c r="E49" s="2" t="s">
        <v>197</v>
      </c>
      <c r="F49" s="2"/>
      <c r="G49" s="2"/>
      <c r="H49" s="2"/>
      <c r="I49" s="2"/>
    </row>
    <row r="50" spans="1:9" x14ac:dyDescent="0.35">
      <c r="A50" s="2" t="s">
        <v>2812</v>
      </c>
      <c r="B50" s="2" t="s">
        <v>181</v>
      </c>
      <c r="C50" s="2" t="s">
        <v>2828</v>
      </c>
      <c r="D50" s="2" t="s">
        <v>14</v>
      </c>
      <c r="E50" s="2" t="s">
        <v>15</v>
      </c>
      <c r="F50" s="2"/>
      <c r="G50" s="2"/>
      <c r="H50" s="2"/>
      <c r="I50" s="2"/>
    </row>
    <row r="51" spans="1:9" x14ac:dyDescent="0.35">
      <c r="A51" s="2" t="s">
        <v>2812</v>
      </c>
      <c r="B51" s="2" t="s">
        <v>181</v>
      </c>
      <c r="C51" s="2" t="s">
        <v>2828</v>
      </c>
      <c r="D51" s="2" t="s">
        <v>31</v>
      </c>
      <c r="E51" s="2" t="s">
        <v>32</v>
      </c>
      <c r="F51" s="2"/>
      <c r="G51" s="2"/>
      <c r="H51" s="2"/>
      <c r="I51" s="2"/>
    </row>
    <row r="52" spans="1:9" x14ac:dyDescent="0.35">
      <c r="A52" s="2" t="s">
        <v>2812</v>
      </c>
      <c r="B52" s="2" t="s">
        <v>181</v>
      </c>
      <c r="C52" s="2" t="s">
        <v>2828</v>
      </c>
      <c r="D52" s="2" t="s">
        <v>38</v>
      </c>
      <c r="E52" s="2" t="s">
        <v>38</v>
      </c>
      <c r="F52" s="2"/>
      <c r="G52" s="2"/>
      <c r="H52" s="2"/>
      <c r="I52" s="2"/>
    </row>
    <row r="53" spans="1:9" x14ac:dyDescent="0.35">
      <c r="A53" s="2" t="s">
        <v>2812</v>
      </c>
      <c r="B53" s="2" t="s">
        <v>181</v>
      </c>
      <c r="C53" s="2" t="s">
        <v>2828</v>
      </c>
      <c r="D53" s="2" t="s">
        <v>2829</v>
      </c>
      <c r="E53" s="2" t="s">
        <v>189</v>
      </c>
      <c r="F53" s="2"/>
      <c r="G53" s="2"/>
      <c r="H53" s="2"/>
      <c r="I53" s="2"/>
    </row>
    <row r="54" spans="1:9" x14ac:dyDescent="0.35">
      <c r="A54" s="2" t="s">
        <v>2812</v>
      </c>
      <c r="B54" s="2" t="s">
        <v>181</v>
      </c>
      <c r="C54" s="2" t="s">
        <v>2828</v>
      </c>
      <c r="D54" s="2" t="s">
        <v>213</v>
      </c>
      <c r="E54" s="2" t="s">
        <v>45</v>
      </c>
      <c r="F54" s="2"/>
      <c r="G54" s="2"/>
      <c r="H54" s="2"/>
      <c r="I54" s="2"/>
    </row>
    <row r="55" spans="1:9" x14ac:dyDescent="0.35">
      <c r="A55" s="2" t="s">
        <v>2812</v>
      </c>
      <c r="B55" s="2" t="s">
        <v>181</v>
      </c>
      <c r="C55" s="2" t="s">
        <v>2828</v>
      </c>
      <c r="D55" s="2" t="s">
        <v>18</v>
      </c>
      <c r="E55" s="2" t="s">
        <v>19</v>
      </c>
      <c r="F55" s="2" t="s">
        <v>20</v>
      </c>
      <c r="G55" s="2" t="s">
        <v>2830</v>
      </c>
      <c r="H55" s="2"/>
      <c r="I55" s="2"/>
    </row>
    <row r="56" spans="1:9" x14ac:dyDescent="0.35">
      <c r="A56" s="2" t="s">
        <v>2812</v>
      </c>
      <c r="B56" s="2" t="s">
        <v>181</v>
      </c>
      <c r="C56" s="2" t="s">
        <v>2828</v>
      </c>
      <c r="D56" s="2" t="s">
        <v>2831</v>
      </c>
      <c r="E56" s="2" t="s">
        <v>38</v>
      </c>
      <c r="F56" s="2"/>
      <c r="G56" s="2"/>
      <c r="H56" s="2"/>
      <c r="I56" s="2"/>
    </row>
    <row r="57" spans="1:9" x14ac:dyDescent="0.35">
      <c r="A57" s="2" t="s">
        <v>2812</v>
      </c>
      <c r="B57" s="2" t="s">
        <v>181</v>
      </c>
      <c r="C57" s="2" t="s">
        <v>2828</v>
      </c>
      <c r="D57" s="2" t="s">
        <v>100</v>
      </c>
      <c r="E57" s="2" t="s">
        <v>101</v>
      </c>
      <c r="F57" s="2"/>
      <c r="G57" s="2"/>
      <c r="H57" s="2"/>
      <c r="I57" s="2"/>
    </row>
    <row r="58" spans="1:9" x14ac:dyDescent="0.35">
      <c r="A58" s="2" t="s">
        <v>2812</v>
      </c>
      <c r="B58" s="2" t="s">
        <v>181</v>
      </c>
      <c r="C58" s="2" t="s">
        <v>2828</v>
      </c>
      <c r="D58" s="2" t="s">
        <v>188</v>
      </c>
      <c r="E58" s="2" t="s">
        <v>189</v>
      </c>
      <c r="F58" s="2"/>
      <c r="G58" s="2"/>
      <c r="H58" s="2"/>
      <c r="I58" s="2"/>
    </row>
    <row r="59" spans="1:9" s="21" customFormat="1" x14ac:dyDescent="0.35">
      <c r="A59" s="2" t="s">
        <v>2812</v>
      </c>
      <c r="B59" s="2" t="s">
        <v>181</v>
      </c>
      <c r="C59" s="2" t="s">
        <v>2828</v>
      </c>
      <c r="D59" s="2" t="s">
        <v>513</v>
      </c>
      <c r="E59" s="2" t="s">
        <v>203</v>
      </c>
      <c r="F59" s="2"/>
      <c r="G59" s="2"/>
      <c r="H59" s="2"/>
      <c r="I59" s="2"/>
    </row>
    <row r="60" spans="1:9" x14ac:dyDescent="0.35">
      <c r="A60" s="2" t="s">
        <v>2812</v>
      </c>
      <c r="B60" s="2" t="s">
        <v>181</v>
      </c>
      <c r="C60" s="2" t="s">
        <v>2828</v>
      </c>
      <c r="D60" s="2" t="s">
        <v>193</v>
      </c>
      <c r="E60" s="2" t="s">
        <v>1244</v>
      </c>
      <c r="F60" s="2"/>
      <c r="G60" s="2"/>
      <c r="H60" s="2"/>
      <c r="I60" s="2"/>
    </row>
    <row r="61" spans="1:9" x14ac:dyDescent="0.35">
      <c r="A61" s="2" t="s">
        <v>2812</v>
      </c>
      <c r="B61" s="2" t="s">
        <v>12</v>
      </c>
      <c r="C61" s="2" t="s">
        <v>2832</v>
      </c>
      <c r="D61" s="2" t="s">
        <v>198</v>
      </c>
      <c r="E61" s="2" t="s">
        <v>65</v>
      </c>
      <c r="F61" s="2"/>
      <c r="G61" s="2"/>
      <c r="H61" s="2"/>
      <c r="I61" s="2"/>
    </row>
    <row r="62" spans="1:9" x14ac:dyDescent="0.35">
      <c r="A62" s="2" t="s">
        <v>2812</v>
      </c>
      <c r="B62" s="2" t="s">
        <v>12</v>
      </c>
      <c r="C62" s="2" t="s">
        <v>2832</v>
      </c>
      <c r="D62" s="2" t="s">
        <v>38</v>
      </c>
      <c r="E62" s="2" t="s">
        <v>38</v>
      </c>
      <c r="F62" s="2"/>
      <c r="G62" s="2"/>
      <c r="H62" s="2"/>
      <c r="I62" s="2"/>
    </row>
    <row r="63" spans="1:9" x14ac:dyDescent="0.35">
      <c r="A63" s="2" t="s">
        <v>2812</v>
      </c>
      <c r="B63" s="2" t="s">
        <v>12</v>
      </c>
      <c r="C63" s="2" t="s">
        <v>2832</v>
      </c>
      <c r="D63" s="2" t="s">
        <v>18</v>
      </c>
      <c r="E63" s="2" t="s">
        <v>19</v>
      </c>
      <c r="F63" s="2" t="s">
        <v>20</v>
      </c>
      <c r="G63" s="2" t="s">
        <v>2833</v>
      </c>
      <c r="H63" s="2"/>
      <c r="I63" s="2"/>
    </row>
    <row r="64" spans="1:9" x14ac:dyDescent="0.35">
      <c r="A64" s="2" t="s">
        <v>2812</v>
      </c>
      <c r="B64" s="2" t="s">
        <v>12</v>
      </c>
      <c r="C64" s="2" t="s">
        <v>2834</v>
      </c>
      <c r="D64" s="2" t="s">
        <v>172</v>
      </c>
      <c r="E64" s="2" t="s">
        <v>65</v>
      </c>
      <c r="F64" s="2"/>
      <c r="G64" s="2"/>
      <c r="H64" s="2"/>
      <c r="I64" s="2"/>
    </row>
    <row r="65" spans="1:9" x14ac:dyDescent="0.35">
      <c r="A65" s="2" t="s">
        <v>2812</v>
      </c>
      <c r="B65" s="2" t="s">
        <v>12</v>
      </c>
      <c r="C65" s="2" t="s">
        <v>2834</v>
      </c>
      <c r="D65" s="2" t="s">
        <v>91</v>
      </c>
      <c r="E65" s="2" t="s">
        <v>19</v>
      </c>
      <c r="F65" s="2" t="s">
        <v>20</v>
      </c>
      <c r="G65" s="2" t="s">
        <v>2835</v>
      </c>
      <c r="H65" s="2"/>
      <c r="I65" s="2"/>
    </row>
    <row r="66" spans="1:9" x14ac:dyDescent="0.35">
      <c r="A66" s="2" t="s">
        <v>2812</v>
      </c>
      <c r="B66" s="2" t="s">
        <v>12</v>
      </c>
      <c r="C66" s="2" t="s">
        <v>2834</v>
      </c>
      <c r="D66" s="2" t="s">
        <v>469</v>
      </c>
      <c r="E66" s="2" t="s">
        <v>40</v>
      </c>
      <c r="F66" s="2"/>
      <c r="G66" s="2"/>
      <c r="H66" s="2"/>
      <c r="I66" s="2"/>
    </row>
    <row r="67" spans="1:9" x14ac:dyDescent="0.35">
      <c r="A67" s="2" t="s">
        <v>2812</v>
      </c>
      <c r="B67" s="2" t="s">
        <v>12</v>
      </c>
      <c r="C67" s="2" t="s">
        <v>2834</v>
      </c>
      <c r="D67" s="2" t="s">
        <v>188</v>
      </c>
      <c r="E67" s="2" t="s">
        <v>189</v>
      </c>
      <c r="F67" s="2"/>
      <c r="G67" s="2"/>
      <c r="H67" s="2"/>
      <c r="I67" s="2"/>
    </row>
    <row r="68" spans="1:9" x14ac:dyDescent="0.35">
      <c r="A68" s="2" t="s">
        <v>2812</v>
      </c>
      <c r="B68" s="2" t="s">
        <v>181</v>
      </c>
      <c r="C68" s="2" t="s">
        <v>2836</v>
      </c>
      <c r="D68" s="2" t="s">
        <v>18</v>
      </c>
      <c r="E68" s="2" t="s">
        <v>19</v>
      </c>
      <c r="F68" s="2"/>
      <c r="G68" s="2"/>
      <c r="H68" s="2"/>
      <c r="I68" s="2"/>
    </row>
    <row r="69" spans="1:9" x14ac:dyDescent="0.35">
      <c r="A69" s="2" t="s">
        <v>2812</v>
      </c>
      <c r="B69" s="2" t="s">
        <v>12</v>
      </c>
      <c r="C69" s="2" t="s">
        <v>2837</v>
      </c>
      <c r="D69" s="2" t="s">
        <v>198</v>
      </c>
      <c r="E69" s="2" t="s">
        <v>65</v>
      </c>
      <c r="F69" s="2"/>
      <c r="G69" s="2"/>
      <c r="H69" s="2"/>
      <c r="I69" s="2"/>
    </row>
    <row r="70" spans="1:9" x14ac:dyDescent="0.35">
      <c r="A70" s="2" t="s">
        <v>2812</v>
      </c>
      <c r="B70" s="2" t="s">
        <v>12</v>
      </c>
      <c r="C70" s="2" t="s">
        <v>2837</v>
      </c>
      <c r="D70" s="2" t="s">
        <v>18</v>
      </c>
      <c r="E70" s="2" t="s">
        <v>19</v>
      </c>
      <c r="F70" s="2" t="s">
        <v>20</v>
      </c>
      <c r="G70" s="2" t="s">
        <v>2838</v>
      </c>
      <c r="H70" s="2"/>
      <c r="I70" s="2"/>
    </row>
    <row r="71" spans="1:9" x14ac:dyDescent="0.35">
      <c r="A71" s="2" t="s">
        <v>2812</v>
      </c>
      <c r="B71" s="2" t="s">
        <v>12</v>
      </c>
      <c r="C71" s="2" t="s">
        <v>2837</v>
      </c>
      <c r="D71" s="2" t="s">
        <v>188</v>
      </c>
      <c r="E71" s="2" t="s">
        <v>189</v>
      </c>
      <c r="F71" s="2"/>
      <c r="G71" s="2"/>
      <c r="H71" s="2"/>
      <c r="I71" s="2"/>
    </row>
    <row r="72" spans="1:9" x14ac:dyDescent="0.35">
      <c r="A72" s="2" t="s">
        <v>2812</v>
      </c>
      <c r="B72" s="2" t="s">
        <v>181</v>
      </c>
      <c r="C72" s="2" t="s">
        <v>2839</v>
      </c>
      <c r="D72" s="2" t="s">
        <v>198</v>
      </c>
      <c r="E72" s="2" t="s">
        <v>65</v>
      </c>
      <c r="F72" s="2"/>
      <c r="G72" s="2"/>
      <c r="H72" s="2"/>
      <c r="I72" s="2"/>
    </row>
    <row r="73" spans="1:9" x14ac:dyDescent="0.35">
      <c r="A73" s="2" t="s">
        <v>2812</v>
      </c>
      <c r="B73" s="2" t="s">
        <v>181</v>
      </c>
      <c r="C73" s="2" t="s">
        <v>2839</v>
      </c>
      <c r="D73" s="2" t="s">
        <v>155</v>
      </c>
      <c r="E73" s="2" t="s">
        <v>32</v>
      </c>
      <c r="F73" s="2"/>
      <c r="G73" s="2"/>
      <c r="H73" s="2"/>
      <c r="I73" s="2"/>
    </row>
    <row r="74" spans="1:9" x14ac:dyDescent="0.35">
      <c r="A74" s="2" t="s">
        <v>2812</v>
      </c>
      <c r="B74" s="2" t="s">
        <v>181</v>
      </c>
      <c r="C74" s="2" t="s">
        <v>2839</v>
      </c>
      <c r="D74" s="2" t="s">
        <v>200</v>
      </c>
      <c r="E74" s="2" t="s">
        <v>201</v>
      </c>
      <c r="F74" s="2"/>
      <c r="G74" s="2"/>
      <c r="H74" s="2"/>
      <c r="I74" s="2"/>
    </row>
    <row r="75" spans="1:9" x14ac:dyDescent="0.35">
      <c r="A75" s="2" t="s">
        <v>2812</v>
      </c>
      <c r="B75" s="2" t="s">
        <v>181</v>
      </c>
      <c r="C75" s="2" t="s">
        <v>2839</v>
      </c>
      <c r="D75" s="2" t="s">
        <v>2840</v>
      </c>
      <c r="E75" s="2" t="s">
        <v>38</v>
      </c>
      <c r="F75" s="2"/>
      <c r="G75" s="2"/>
      <c r="H75" s="2"/>
      <c r="I75" s="2"/>
    </row>
    <row r="76" spans="1:9" x14ac:dyDescent="0.35">
      <c r="A76" s="2" t="s">
        <v>2812</v>
      </c>
      <c r="B76" s="2" t="s">
        <v>181</v>
      </c>
      <c r="C76" s="2" t="s">
        <v>2839</v>
      </c>
      <c r="D76" s="2" t="s">
        <v>2841</v>
      </c>
      <c r="E76" s="2" t="s">
        <v>189</v>
      </c>
      <c r="F76" s="2"/>
      <c r="G76" s="2"/>
      <c r="H76" s="2"/>
      <c r="I76" s="2"/>
    </row>
    <row r="77" spans="1:9" x14ac:dyDescent="0.35">
      <c r="A77" s="2" t="s">
        <v>2812</v>
      </c>
      <c r="B77" s="2" t="s">
        <v>181</v>
      </c>
      <c r="C77" s="2" t="s">
        <v>2839</v>
      </c>
      <c r="D77" s="2" t="s">
        <v>168</v>
      </c>
      <c r="E77" s="2" t="s">
        <v>45</v>
      </c>
      <c r="F77" s="2"/>
      <c r="G77" s="2"/>
      <c r="H77" s="2"/>
      <c r="I77" s="2"/>
    </row>
    <row r="78" spans="1:9" s="21" customFormat="1" x14ac:dyDescent="0.35">
      <c r="A78" s="2" t="s">
        <v>2812</v>
      </c>
      <c r="B78" s="2" t="s">
        <v>181</v>
      </c>
      <c r="C78" s="2" t="s">
        <v>2839</v>
      </c>
      <c r="D78" s="2" t="s">
        <v>39</v>
      </c>
      <c r="E78" s="2" t="s">
        <v>1244</v>
      </c>
      <c r="F78" s="2"/>
      <c r="G78" s="2"/>
      <c r="H78" s="2"/>
      <c r="I78" s="2"/>
    </row>
    <row r="79" spans="1:9" x14ac:dyDescent="0.35">
      <c r="A79" s="2" t="s">
        <v>2812</v>
      </c>
      <c r="B79" s="2" t="s">
        <v>181</v>
      </c>
      <c r="C79" s="2" t="s">
        <v>2839</v>
      </c>
      <c r="D79" s="2" t="s">
        <v>18</v>
      </c>
      <c r="E79" s="2" t="s">
        <v>19</v>
      </c>
      <c r="F79" s="2" t="s">
        <v>20</v>
      </c>
      <c r="G79" s="2" t="s">
        <v>2842</v>
      </c>
      <c r="H79" s="2"/>
      <c r="I79" s="2"/>
    </row>
    <row r="80" spans="1:9" x14ac:dyDescent="0.35">
      <c r="A80" s="2" t="s">
        <v>2812</v>
      </c>
      <c r="B80" s="2" t="s">
        <v>181</v>
      </c>
      <c r="C80" s="2" t="s">
        <v>2839</v>
      </c>
      <c r="D80" s="2" t="s">
        <v>2831</v>
      </c>
      <c r="E80" s="2" t="s">
        <v>38</v>
      </c>
      <c r="F80" s="2"/>
      <c r="G80" s="2"/>
      <c r="H80" s="2"/>
      <c r="I80" s="2"/>
    </row>
    <row r="81" spans="1:9" x14ac:dyDescent="0.35">
      <c r="A81" s="2" t="s">
        <v>2812</v>
      </c>
      <c r="B81" s="2" t="s">
        <v>181</v>
      </c>
      <c r="C81" s="2" t="s">
        <v>2839</v>
      </c>
      <c r="D81" s="2" t="s">
        <v>2843</v>
      </c>
      <c r="E81" s="2" t="s">
        <v>277</v>
      </c>
      <c r="F81" s="2"/>
      <c r="G81" s="2"/>
      <c r="H81" s="2"/>
      <c r="I81" s="2"/>
    </row>
    <row r="82" spans="1:9" x14ac:dyDescent="0.35">
      <c r="A82" s="2" t="s">
        <v>2812</v>
      </c>
      <c r="B82" s="2" t="s">
        <v>181</v>
      </c>
      <c r="C82" s="2" t="s">
        <v>2839</v>
      </c>
      <c r="D82" s="2" t="s">
        <v>100</v>
      </c>
      <c r="E82" s="2" t="s">
        <v>101</v>
      </c>
      <c r="F82" s="2"/>
      <c r="G82" s="2"/>
      <c r="H82" s="2"/>
      <c r="I82" s="2"/>
    </row>
    <row r="83" spans="1:9" x14ac:dyDescent="0.35">
      <c r="A83" s="2" t="s">
        <v>2812</v>
      </c>
      <c r="B83" s="2" t="s">
        <v>181</v>
      </c>
      <c r="C83" s="2" t="s">
        <v>2839</v>
      </c>
      <c r="D83" s="2" t="s">
        <v>188</v>
      </c>
      <c r="E83" s="2" t="s">
        <v>189</v>
      </c>
      <c r="F83" s="2"/>
      <c r="G83" s="2"/>
      <c r="H83" s="2"/>
      <c r="I83" s="2"/>
    </row>
    <row r="84" spans="1:9" x14ac:dyDescent="0.35">
      <c r="A84" s="2" t="s">
        <v>2812</v>
      </c>
      <c r="B84" s="2" t="s">
        <v>181</v>
      </c>
      <c r="C84" s="2" t="s">
        <v>2839</v>
      </c>
      <c r="D84" s="2" t="s">
        <v>149</v>
      </c>
      <c r="E84" s="2" t="s">
        <v>150</v>
      </c>
      <c r="F84" s="2"/>
      <c r="G84" s="2"/>
      <c r="H84" s="2"/>
      <c r="I84" s="2"/>
    </row>
    <row r="85" spans="1:9" x14ac:dyDescent="0.35">
      <c r="A85" s="2" t="s">
        <v>2812</v>
      </c>
      <c r="B85" s="2" t="s">
        <v>181</v>
      </c>
      <c r="C85" s="2" t="s">
        <v>2839</v>
      </c>
      <c r="D85" s="2" t="s">
        <v>1021</v>
      </c>
      <c r="E85" s="2" t="s">
        <v>122</v>
      </c>
      <c r="F85" s="2"/>
      <c r="G85" s="2"/>
      <c r="H85" s="2"/>
      <c r="I85" s="2"/>
    </row>
    <row r="86" spans="1:9" x14ac:dyDescent="0.35">
      <c r="A86" s="2" t="s">
        <v>2812</v>
      </c>
      <c r="B86" s="2" t="s">
        <v>181</v>
      </c>
      <c r="C86" s="2" t="s">
        <v>2839</v>
      </c>
      <c r="D86" s="2" t="s">
        <v>302</v>
      </c>
      <c r="E86" s="2" t="s">
        <v>65</v>
      </c>
      <c r="F86" s="2"/>
      <c r="G86" s="2"/>
      <c r="H86" s="2"/>
      <c r="I86" s="2"/>
    </row>
    <row r="87" spans="1:9" x14ac:dyDescent="0.35">
      <c r="A87" s="2" t="s">
        <v>2812</v>
      </c>
      <c r="B87" s="2" t="s">
        <v>12</v>
      </c>
      <c r="C87" s="2" t="s">
        <v>2844</v>
      </c>
      <c r="D87" s="2" t="s">
        <v>64</v>
      </c>
      <c r="E87" s="2" t="s">
        <v>65</v>
      </c>
      <c r="F87" s="2" t="s">
        <v>20</v>
      </c>
      <c r="G87" s="2" t="s">
        <v>2845</v>
      </c>
      <c r="H87" s="2"/>
      <c r="I87" s="21"/>
    </row>
    <row r="88" spans="1:9" x14ac:dyDescent="0.35">
      <c r="A88" s="2" t="s">
        <v>2812</v>
      </c>
      <c r="B88" s="2" t="s">
        <v>181</v>
      </c>
      <c r="C88" s="2" t="s">
        <v>2846</v>
      </c>
      <c r="D88" s="2" t="s">
        <v>196</v>
      </c>
      <c r="E88" s="2" t="s">
        <v>197</v>
      </c>
      <c r="F88" s="2"/>
      <c r="G88" s="2"/>
      <c r="H88" s="2"/>
      <c r="I88" s="2"/>
    </row>
    <row r="89" spans="1:9" x14ac:dyDescent="0.35">
      <c r="A89" s="2" t="s">
        <v>2812</v>
      </c>
      <c r="B89" s="2" t="s">
        <v>181</v>
      </c>
      <c r="C89" s="2" t="s">
        <v>2846</v>
      </c>
      <c r="D89" s="2" t="s">
        <v>2847</v>
      </c>
      <c r="E89" s="2" t="s">
        <v>203</v>
      </c>
      <c r="F89" s="2"/>
      <c r="G89" s="2"/>
      <c r="H89" s="2"/>
      <c r="I89" s="2"/>
    </row>
    <row r="90" spans="1:9" x14ac:dyDescent="0.35">
      <c r="A90" s="2" t="s">
        <v>2812</v>
      </c>
      <c r="B90" s="2" t="s">
        <v>181</v>
      </c>
      <c r="C90" s="2" t="s">
        <v>2846</v>
      </c>
      <c r="D90" s="2" t="s">
        <v>156</v>
      </c>
      <c r="E90" s="2" t="s">
        <v>45</v>
      </c>
      <c r="F90" s="2" t="s">
        <v>20</v>
      </c>
      <c r="G90" s="2" t="s">
        <v>2848</v>
      </c>
      <c r="H90" s="2"/>
      <c r="I90" s="2"/>
    </row>
    <row r="91" spans="1:9" x14ac:dyDescent="0.35">
      <c r="A91" s="2" t="s">
        <v>2812</v>
      </c>
      <c r="B91" s="2" t="s">
        <v>181</v>
      </c>
      <c r="C91" s="2" t="s">
        <v>2846</v>
      </c>
      <c r="D91" s="2" t="s">
        <v>188</v>
      </c>
      <c r="E91" s="2" t="s">
        <v>189</v>
      </c>
      <c r="F91" s="2"/>
      <c r="G91" s="2"/>
      <c r="H91" s="2"/>
      <c r="I91" s="2"/>
    </row>
    <row r="92" spans="1:9" x14ac:dyDescent="0.35">
      <c r="A92" s="2" t="s">
        <v>2812</v>
      </c>
      <c r="B92" s="2" t="s">
        <v>181</v>
      </c>
      <c r="C92" s="2" t="s">
        <v>2846</v>
      </c>
      <c r="D92" s="2" t="s">
        <v>149</v>
      </c>
      <c r="E92" s="2" t="s">
        <v>150</v>
      </c>
      <c r="F92" s="2" t="s">
        <v>20</v>
      </c>
      <c r="G92" s="2" t="s">
        <v>2849</v>
      </c>
      <c r="H92" s="2"/>
      <c r="I92" s="2"/>
    </row>
    <row r="93" spans="1:9" x14ac:dyDescent="0.35">
      <c r="A93" s="2" t="s">
        <v>2812</v>
      </c>
      <c r="B93" s="2" t="s">
        <v>181</v>
      </c>
      <c r="C93" s="2" t="s">
        <v>2846</v>
      </c>
      <c r="D93" s="2" t="s">
        <v>2850</v>
      </c>
      <c r="E93" s="2" t="s">
        <v>189</v>
      </c>
      <c r="F93" s="2"/>
      <c r="G93" s="2"/>
      <c r="H93" s="2"/>
      <c r="I93" s="2"/>
    </row>
    <row r="94" spans="1:9" x14ac:dyDescent="0.35">
      <c r="A94" s="2" t="s">
        <v>2812</v>
      </c>
      <c r="B94" s="2" t="s">
        <v>181</v>
      </c>
      <c r="C94" s="2" t="s">
        <v>2851</v>
      </c>
      <c r="D94" s="2" t="s">
        <v>196</v>
      </c>
      <c r="E94" s="2" t="s">
        <v>197</v>
      </c>
      <c r="F94" s="2"/>
      <c r="G94" s="2"/>
      <c r="H94" s="2"/>
      <c r="I94" s="2"/>
    </row>
    <row r="95" spans="1:9" x14ac:dyDescent="0.35">
      <c r="A95" s="2" t="s">
        <v>2812</v>
      </c>
      <c r="B95" s="2" t="s">
        <v>181</v>
      </c>
      <c r="C95" s="2" t="s">
        <v>2851</v>
      </c>
      <c r="D95" s="2" t="s">
        <v>14</v>
      </c>
      <c r="E95" s="2" t="s">
        <v>15</v>
      </c>
      <c r="F95" s="2"/>
      <c r="G95" s="2"/>
      <c r="H95" s="2"/>
      <c r="I95" s="2"/>
    </row>
    <row r="96" spans="1:9" x14ac:dyDescent="0.35">
      <c r="A96" s="2" t="s">
        <v>2812</v>
      </c>
      <c r="B96" s="2" t="s">
        <v>181</v>
      </c>
      <c r="C96" s="2" t="s">
        <v>2851</v>
      </c>
      <c r="D96" s="2" t="s">
        <v>464</v>
      </c>
      <c r="E96" s="2" t="s">
        <v>38</v>
      </c>
      <c r="F96" s="2"/>
      <c r="G96" s="2"/>
      <c r="H96" s="2"/>
      <c r="I96" s="2"/>
    </row>
    <row r="97" spans="1:9" x14ac:dyDescent="0.35">
      <c r="A97" s="2" t="s">
        <v>2812</v>
      </c>
      <c r="B97" s="2" t="s">
        <v>181</v>
      </c>
      <c r="C97" s="2" t="s">
        <v>2851</v>
      </c>
      <c r="D97" s="2" t="s">
        <v>198</v>
      </c>
      <c r="E97" s="2" t="s">
        <v>65</v>
      </c>
      <c r="F97" s="2"/>
      <c r="G97" s="2"/>
      <c r="H97" s="2"/>
      <c r="I97" s="2"/>
    </row>
    <row r="98" spans="1:9" x14ac:dyDescent="0.35">
      <c r="A98" s="2" t="s">
        <v>2812</v>
      </c>
      <c r="B98" s="2" t="s">
        <v>181</v>
      </c>
      <c r="C98" s="2" t="s">
        <v>2851</v>
      </c>
      <c r="D98" s="2" t="s">
        <v>31</v>
      </c>
      <c r="E98" s="2" t="s">
        <v>32</v>
      </c>
      <c r="F98" s="2"/>
      <c r="G98" s="2"/>
      <c r="H98" s="2"/>
      <c r="I98" s="2"/>
    </row>
    <row r="99" spans="1:9" x14ac:dyDescent="0.35">
      <c r="A99" s="2" t="s">
        <v>2812</v>
      </c>
      <c r="B99" s="2" t="s">
        <v>181</v>
      </c>
      <c r="C99" s="2" t="s">
        <v>2851</v>
      </c>
      <c r="D99" s="2" t="s">
        <v>438</v>
      </c>
      <c r="E99" s="2" t="s">
        <v>19</v>
      </c>
      <c r="F99" s="2"/>
      <c r="G99" s="2"/>
      <c r="H99" s="2"/>
      <c r="I99" s="2"/>
    </row>
    <row r="100" spans="1:9" x14ac:dyDescent="0.35">
      <c r="A100" s="2" t="s">
        <v>2812</v>
      </c>
      <c r="B100" s="2" t="s">
        <v>181</v>
      </c>
      <c r="C100" s="2" t="s">
        <v>2851</v>
      </c>
      <c r="D100" s="2" t="s">
        <v>77</v>
      </c>
      <c r="E100" s="2" t="s">
        <v>78</v>
      </c>
      <c r="F100" s="2"/>
      <c r="G100" s="2"/>
      <c r="H100" s="2"/>
      <c r="I100" s="2"/>
    </row>
    <row r="101" spans="1:9" x14ac:dyDescent="0.35">
      <c r="A101" s="2" t="s">
        <v>2812</v>
      </c>
      <c r="B101" s="2" t="s">
        <v>181</v>
      </c>
      <c r="C101" s="2" t="s">
        <v>2851</v>
      </c>
      <c r="D101" s="2" t="s">
        <v>469</v>
      </c>
      <c r="E101" s="2" t="s">
        <v>1244</v>
      </c>
      <c r="F101" s="2"/>
      <c r="G101" s="2"/>
      <c r="H101" s="2"/>
      <c r="I101" s="2"/>
    </row>
    <row r="102" spans="1:9" s="21" customFormat="1" x14ac:dyDescent="0.35">
      <c r="A102" s="2" t="s">
        <v>2812</v>
      </c>
      <c r="B102" s="2" t="s">
        <v>181</v>
      </c>
      <c r="C102" s="2" t="s">
        <v>2851</v>
      </c>
      <c r="D102" s="2" t="s">
        <v>100</v>
      </c>
      <c r="E102" s="2" t="s">
        <v>101</v>
      </c>
      <c r="F102" s="2"/>
      <c r="G102" s="2"/>
      <c r="H102" s="2"/>
      <c r="I102" s="2"/>
    </row>
    <row r="103" spans="1:9" s="21" customFormat="1" x14ac:dyDescent="0.35">
      <c r="A103" s="2" t="s">
        <v>2812</v>
      </c>
      <c r="B103" s="2" t="s">
        <v>181</v>
      </c>
      <c r="C103" s="2" t="s">
        <v>2851</v>
      </c>
      <c r="D103" s="2" t="s">
        <v>188</v>
      </c>
      <c r="E103" s="2" t="s">
        <v>189</v>
      </c>
      <c r="F103" s="2"/>
      <c r="G103" s="2"/>
      <c r="H103" s="2"/>
      <c r="I103" s="2"/>
    </row>
    <row r="104" spans="1:9" x14ac:dyDescent="0.35">
      <c r="A104" s="2" t="s">
        <v>2812</v>
      </c>
      <c r="B104" s="2" t="s">
        <v>181</v>
      </c>
      <c r="C104" s="2" t="s">
        <v>2851</v>
      </c>
      <c r="D104" s="2" t="s">
        <v>423</v>
      </c>
      <c r="E104" s="2" t="s">
        <v>424</v>
      </c>
      <c r="F104" s="2"/>
      <c r="G104" s="2"/>
      <c r="H104" s="2"/>
      <c r="I104" s="2"/>
    </row>
    <row r="105" spans="1:9" x14ac:dyDescent="0.35">
      <c r="A105" s="2" t="s">
        <v>2812</v>
      </c>
      <c r="B105" s="2" t="s">
        <v>181</v>
      </c>
      <c r="C105" s="2" t="s">
        <v>2851</v>
      </c>
      <c r="D105" s="2" t="s">
        <v>513</v>
      </c>
      <c r="E105" s="2" t="s">
        <v>203</v>
      </c>
      <c r="F105" s="2"/>
      <c r="G105" s="2"/>
      <c r="H105" s="2"/>
      <c r="I105" s="2"/>
    </row>
    <row r="106" spans="1:9" x14ac:dyDescent="0.35">
      <c r="A106" s="2" t="s">
        <v>2812</v>
      </c>
      <c r="B106" s="2" t="s">
        <v>181</v>
      </c>
      <c r="C106" s="2" t="s">
        <v>2851</v>
      </c>
      <c r="D106" s="2" t="s">
        <v>149</v>
      </c>
      <c r="E106" s="2" t="s">
        <v>150</v>
      </c>
      <c r="F106" s="2"/>
      <c r="G106" s="2"/>
      <c r="H106" s="2"/>
      <c r="I106" s="2"/>
    </row>
    <row r="107" spans="1:9" x14ac:dyDescent="0.35">
      <c r="A107" s="2" t="s">
        <v>2812</v>
      </c>
      <c r="B107" s="2" t="s">
        <v>12</v>
      </c>
      <c r="C107" s="2" t="s">
        <v>2852</v>
      </c>
      <c r="D107" s="2" t="s">
        <v>91</v>
      </c>
      <c r="E107" s="2" t="s">
        <v>19</v>
      </c>
      <c r="F107" s="2" t="s">
        <v>20</v>
      </c>
      <c r="G107" s="2" t="s">
        <v>2853</v>
      </c>
      <c r="H107" s="2"/>
      <c r="I107" s="4"/>
    </row>
    <row r="108" spans="1:9" x14ac:dyDescent="0.35">
      <c r="A108" s="2" t="s">
        <v>2812</v>
      </c>
      <c r="B108" s="2" t="s">
        <v>12</v>
      </c>
      <c r="C108" s="2" t="s">
        <v>2854</v>
      </c>
      <c r="D108" s="2" t="s">
        <v>188</v>
      </c>
      <c r="E108" s="2" t="s">
        <v>189</v>
      </c>
      <c r="F108" s="2"/>
      <c r="G108" s="2"/>
      <c r="H108" s="2"/>
      <c r="I108" s="4"/>
    </row>
    <row r="109" spans="1:9" x14ac:dyDescent="0.35">
      <c r="A109" s="2" t="s">
        <v>2812</v>
      </c>
      <c r="B109" s="2" t="s">
        <v>12</v>
      </c>
      <c r="C109" s="2" t="s">
        <v>2855</v>
      </c>
      <c r="D109" s="2" t="s">
        <v>172</v>
      </c>
      <c r="E109" s="2" t="s">
        <v>65</v>
      </c>
      <c r="F109" s="2"/>
      <c r="G109" s="2"/>
      <c r="H109" s="2"/>
      <c r="I109" s="2"/>
    </row>
    <row r="110" spans="1:9" x14ac:dyDescent="0.35">
      <c r="A110" s="2" t="s">
        <v>2812</v>
      </c>
      <c r="B110" s="2" t="s">
        <v>12</v>
      </c>
      <c r="C110" s="2" t="s">
        <v>2855</v>
      </c>
      <c r="D110" s="2" t="s">
        <v>77</v>
      </c>
      <c r="E110" s="2" t="s">
        <v>78</v>
      </c>
      <c r="F110" s="2"/>
      <c r="G110" s="2"/>
      <c r="H110" s="2"/>
      <c r="I110" s="2"/>
    </row>
    <row r="111" spans="1:9" x14ac:dyDescent="0.35">
      <c r="A111" s="2" t="s">
        <v>2812</v>
      </c>
      <c r="B111" s="2" t="s">
        <v>12</v>
      </c>
      <c r="C111" s="2" t="s">
        <v>2855</v>
      </c>
      <c r="D111" s="2" t="s">
        <v>18</v>
      </c>
      <c r="E111" s="2" t="s">
        <v>19</v>
      </c>
      <c r="F111" s="2" t="s">
        <v>20</v>
      </c>
      <c r="G111" s="2" t="s">
        <v>1378</v>
      </c>
      <c r="H111" s="2"/>
      <c r="I111" s="2"/>
    </row>
    <row r="112" spans="1:9" x14ac:dyDescent="0.35">
      <c r="A112" s="2" t="s">
        <v>2812</v>
      </c>
      <c r="B112" s="2" t="s">
        <v>181</v>
      </c>
      <c r="C112" s="2" t="s">
        <v>2856</v>
      </c>
      <c r="D112" s="2" t="s">
        <v>120</v>
      </c>
      <c r="E112" s="2" t="s">
        <v>32</v>
      </c>
      <c r="F112" s="2"/>
      <c r="G112" s="2"/>
      <c r="H112" s="2"/>
      <c r="I112" s="2"/>
    </row>
    <row r="113" spans="1:9" x14ac:dyDescent="0.35">
      <c r="A113" s="2" t="s">
        <v>2812</v>
      </c>
      <c r="B113" s="2" t="s">
        <v>181</v>
      </c>
      <c r="C113" s="2" t="s">
        <v>2856</v>
      </c>
      <c r="D113" s="2" t="s">
        <v>188</v>
      </c>
      <c r="E113" s="2" t="s">
        <v>189</v>
      </c>
      <c r="F113" s="2"/>
      <c r="G113" s="2"/>
      <c r="H113" s="2"/>
      <c r="I113" s="2"/>
    </row>
    <row r="114" spans="1:9" x14ac:dyDescent="0.35">
      <c r="A114" s="2" t="s">
        <v>2812</v>
      </c>
      <c r="B114" s="2" t="s">
        <v>181</v>
      </c>
      <c r="C114" s="2" t="s">
        <v>2857</v>
      </c>
      <c r="D114" s="2" t="s">
        <v>120</v>
      </c>
      <c r="E114" s="2" t="s">
        <v>32</v>
      </c>
      <c r="F114" s="2"/>
      <c r="G114" s="2"/>
      <c r="H114" s="2"/>
      <c r="I114" s="2"/>
    </row>
    <row r="115" spans="1:9" x14ac:dyDescent="0.35">
      <c r="A115" s="2" t="s">
        <v>2812</v>
      </c>
      <c r="B115" s="2" t="s">
        <v>181</v>
      </c>
      <c r="C115" s="2" t="s">
        <v>2857</v>
      </c>
      <c r="D115" s="2" t="s">
        <v>18</v>
      </c>
      <c r="E115" s="2" t="s">
        <v>19</v>
      </c>
      <c r="F115" s="2" t="s">
        <v>20</v>
      </c>
      <c r="G115" s="2" t="s">
        <v>1378</v>
      </c>
      <c r="H115" s="2"/>
      <c r="I115" s="2"/>
    </row>
    <row r="116" spans="1:9" s="21" customFormat="1" x14ac:dyDescent="0.35">
      <c r="A116" s="2" t="s">
        <v>2812</v>
      </c>
      <c r="B116" s="2" t="s">
        <v>181</v>
      </c>
      <c r="C116" s="2" t="s">
        <v>2857</v>
      </c>
      <c r="D116" s="2" t="s">
        <v>89</v>
      </c>
      <c r="E116" s="2" t="s">
        <v>45</v>
      </c>
      <c r="F116" s="2"/>
      <c r="G116" s="2"/>
      <c r="H116" s="2"/>
      <c r="I116" s="2"/>
    </row>
    <row r="117" spans="1:9" s="21" customFormat="1" x14ac:dyDescent="0.35">
      <c r="A117" s="2" t="s">
        <v>2812</v>
      </c>
      <c r="B117" s="2" t="s">
        <v>181</v>
      </c>
      <c r="C117" s="2" t="s">
        <v>2857</v>
      </c>
      <c r="D117" s="2" t="s">
        <v>100</v>
      </c>
      <c r="E117" s="2" t="s">
        <v>101</v>
      </c>
      <c r="F117" s="2"/>
      <c r="G117" s="2"/>
      <c r="H117" s="2"/>
      <c r="I117" s="2"/>
    </row>
    <row r="118" spans="1:9" s="21" customFormat="1" x14ac:dyDescent="0.35">
      <c r="A118" s="2" t="s">
        <v>2812</v>
      </c>
      <c r="B118" s="2" t="s">
        <v>181</v>
      </c>
      <c r="C118" s="2" t="s">
        <v>2857</v>
      </c>
      <c r="D118" s="2" t="s">
        <v>188</v>
      </c>
      <c r="E118" s="2" t="s">
        <v>189</v>
      </c>
      <c r="F118" s="2" t="s">
        <v>20</v>
      </c>
      <c r="G118" s="2" t="s">
        <v>236</v>
      </c>
      <c r="H118" s="2"/>
      <c r="I118" s="2"/>
    </row>
    <row r="119" spans="1:9" x14ac:dyDescent="0.35">
      <c r="A119" s="2" t="s">
        <v>2812</v>
      </c>
      <c r="B119" s="2" t="s">
        <v>181</v>
      </c>
      <c r="C119" s="2" t="s">
        <v>2857</v>
      </c>
      <c r="D119" s="2" t="s">
        <v>193</v>
      </c>
      <c r="E119" s="2" t="s">
        <v>1244</v>
      </c>
      <c r="F119" s="2"/>
      <c r="G119" s="2"/>
      <c r="H119" s="2"/>
      <c r="I119" s="2"/>
    </row>
    <row r="120" spans="1:9" x14ac:dyDescent="0.35">
      <c r="A120" s="2" t="s">
        <v>2812</v>
      </c>
      <c r="B120" s="2" t="s">
        <v>12</v>
      </c>
      <c r="C120" s="2" t="s">
        <v>2858</v>
      </c>
      <c r="D120" s="2" t="s">
        <v>14</v>
      </c>
      <c r="E120" s="2" t="s">
        <v>15</v>
      </c>
      <c r="F120" s="2"/>
      <c r="G120" s="2"/>
      <c r="H120" s="2"/>
      <c r="I120" s="2"/>
    </row>
    <row r="121" spans="1:9" x14ac:dyDescent="0.35">
      <c r="A121" s="2" t="s">
        <v>2812</v>
      </c>
      <c r="B121" s="2" t="s">
        <v>12</v>
      </c>
      <c r="C121" s="2" t="s">
        <v>2858</v>
      </c>
      <c r="D121" s="2" t="s">
        <v>1145</v>
      </c>
      <c r="E121" s="2" t="s">
        <v>15</v>
      </c>
      <c r="F121" s="2"/>
      <c r="G121" s="2"/>
      <c r="H121" s="2"/>
      <c r="I121" s="2"/>
    </row>
    <row r="122" spans="1:9" x14ac:dyDescent="0.35">
      <c r="A122" s="2" t="s">
        <v>2812</v>
      </c>
      <c r="B122" s="2" t="s">
        <v>12</v>
      </c>
      <c r="C122" s="2" t="s">
        <v>2858</v>
      </c>
      <c r="D122" s="2" t="s">
        <v>91</v>
      </c>
      <c r="E122" s="2" t="s">
        <v>19</v>
      </c>
      <c r="F122" s="2" t="s">
        <v>20</v>
      </c>
      <c r="G122" s="2" t="s">
        <v>2859</v>
      </c>
      <c r="H122" s="2"/>
      <c r="I122" s="2"/>
    </row>
    <row r="123" spans="1:9" x14ac:dyDescent="0.35">
      <c r="A123" s="2" t="s">
        <v>2812</v>
      </c>
      <c r="B123" s="2" t="s">
        <v>12</v>
      </c>
      <c r="C123" s="2" t="s">
        <v>2858</v>
      </c>
      <c r="D123" s="2" t="s">
        <v>615</v>
      </c>
      <c r="E123" s="2" t="s">
        <v>40</v>
      </c>
      <c r="F123" s="2"/>
      <c r="G123" s="2"/>
      <c r="H123" s="2"/>
      <c r="I123" s="2"/>
    </row>
    <row r="124" spans="1:9" x14ac:dyDescent="0.35">
      <c r="A124" s="2" t="s">
        <v>2812</v>
      </c>
      <c r="B124" s="2" t="s">
        <v>12</v>
      </c>
      <c r="C124" s="2" t="s">
        <v>2858</v>
      </c>
      <c r="D124" s="2" t="s">
        <v>149</v>
      </c>
      <c r="E124" s="2" t="s">
        <v>150</v>
      </c>
      <c r="F124" s="2" t="s">
        <v>20</v>
      </c>
      <c r="G124" s="2" t="s">
        <v>2859</v>
      </c>
      <c r="H124" s="2"/>
      <c r="I124" s="2"/>
    </row>
    <row r="125" spans="1:9" x14ac:dyDescent="0.35">
      <c r="A125" s="2" t="s">
        <v>2812</v>
      </c>
      <c r="B125" s="2" t="s">
        <v>12</v>
      </c>
      <c r="C125" s="2" t="s">
        <v>2858</v>
      </c>
      <c r="D125" s="2" t="s">
        <v>112</v>
      </c>
      <c r="E125" s="2" t="s">
        <v>113</v>
      </c>
      <c r="F125" s="2"/>
      <c r="G125" s="2"/>
      <c r="H125" s="2"/>
      <c r="I125" s="2"/>
    </row>
    <row r="126" spans="1:9" x14ac:dyDescent="0.35">
      <c r="A126" s="2" t="s">
        <v>2812</v>
      </c>
      <c r="B126" s="2" t="s">
        <v>181</v>
      </c>
      <c r="C126" s="2" t="s">
        <v>2860</v>
      </c>
      <c r="D126" s="2" t="s">
        <v>14</v>
      </c>
      <c r="E126" s="2" t="s">
        <v>15</v>
      </c>
      <c r="F126" s="2"/>
      <c r="G126" s="2"/>
      <c r="H126" s="2"/>
      <c r="I126" s="2"/>
    </row>
    <row r="127" spans="1:9" x14ac:dyDescent="0.35">
      <c r="A127" s="2" t="s">
        <v>2812</v>
      </c>
      <c r="B127" s="2" t="s">
        <v>181</v>
      </c>
      <c r="C127" s="2" t="s">
        <v>2860</v>
      </c>
      <c r="D127" s="2" t="s">
        <v>91</v>
      </c>
      <c r="E127" s="2" t="s">
        <v>19</v>
      </c>
      <c r="F127" s="2" t="s">
        <v>20</v>
      </c>
      <c r="G127" s="9" t="s">
        <v>2861</v>
      </c>
      <c r="H127" s="2"/>
      <c r="I127" s="2"/>
    </row>
    <row r="128" spans="1:9" x14ac:dyDescent="0.35">
      <c r="A128" s="2" t="s">
        <v>2812</v>
      </c>
      <c r="B128" s="2" t="s">
        <v>181</v>
      </c>
      <c r="C128" s="2" t="s">
        <v>2860</v>
      </c>
      <c r="D128" s="2" t="s">
        <v>149</v>
      </c>
      <c r="E128" s="2" t="s">
        <v>150</v>
      </c>
      <c r="F128" s="2" t="s">
        <v>20</v>
      </c>
      <c r="G128" s="9" t="s">
        <v>2862</v>
      </c>
      <c r="H128" s="2"/>
      <c r="I128" s="2"/>
    </row>
    <row r="129" spans="1:9" x14ac:dyDescent="0.35">
      <c r="A129" s="2" t="s">
        <v>2812</v>
      </c>
      <c r="B129" s="2" t="s">
        <v>181</v>
      </c>
      <c r="C129" s="2" t="s">
        <v>2863</v>
      </c>
      <c r="D129" s="2" t="s">
        <v>77</v>
      </c>
      <c r="E129" s="2" t="s">
        <v>78</v>
      </c>
      <c r="F129" s="2" t="s">
        <v>20</v>
      </c>
      <c r="G129" s="9" t="s">
        <v>2864</v>
      </c>
      <c r="H129" s="2"/>
      <c r="I129" s="2"/>
    </row>
    <row r="130" spans="1:9" x14ac:dyDescent="0.35">
      <c r="A130" s="2" t="s">
        <v>2812</v>
      </c>
      <c r="B130" s="2" t="s">
        <v>181</v>
      </c>
      <c r="C130" s="2" t="s">
        <v>2863</v>
      </c>
      <c r="D130" s="2" t="s">
        <v>18</v>
      </c>
      <c r="E130" s="2" t="s">
        <v>19</v>
      </c>
      <c r="F130" s="2" t="s">
        <v>20</v>
      </c>
      <c r="G130" s="9" t="s">
        <v>2865</v>
      </c>
      <c r="H130" s="2"/>
      <c r="I130" s="2"/>
    </row>
    <row r="131" spans="1:9" x14ac:dyDescent="0.35">
      <c r="A131" s="2" t="s">
        <v>2812</v>
      </c>
      <c r="B131" s="2" t="s">
        <v>181</v>
      </c>
      <c r="C131" s="2" t="s">
        <v>2863</v>
      </c>
      <c r="D131" s="2" t="s">
        <v>89</v>
      </c>
      <c r="E131" s="2" t="s">
        <v>45</v>
      </c>
      <c r="F131" s="2" t="s">
        <v>20</v>
      </c>
      <c r="G131" s="9" t="s">
        <v>2866</v>
      </c>
      <c r="H131" s="2"/>
      <c r="I131" s="2"/>
    </row>
    <row r="132" spans="1:9" x14ac:dyDescent="0.35">
      <c r="A132" s="2" t="s">
        <v>2812</v>
      </c>
      <c r="B132" s="2" t="s">
        <v>181</v>
      </c>
      <c r="C132" s="2" t="s">
        <v>2863</v>
      </c>
      <c r="D132" s="2" t="s">
        <v>230</v>
      </c>
      <c r="E132" s="2" t="s">
        <v>189</v>
      </c>
      <c r="F132" s="2"/>
      <c r="G132" s="9"/>
      <c r="H132" s="2"/>
      <c r="I132" s="2"/>
    </row>
    <row r="133" spans="1:9" x14ac:dyDescent="0.35">
      <c r="A133" s="2" t="s">
        <v>2812</v>
      </c>
      <c r="B133" s="2" t="s">
        <v>181</v>
      </c>
      <c r="C133" s="2" t="s">
        <v>2867</v>
      </c>
      <c r="D133" s="2" t="s">
        <v>98</v>
      </c>
      <c r="E133" s="2" t="s">
        <v>98</v>
      </c>
      <c r="F133" s="2" t="s">
        <v>20</v>
      </c>
      <c r="G133" s="9" t="s">
        <v>2868</v>
      </c>
      <c r="H133" s="2"/>
      <c r="I133" s="2"/>
    </row>
    <row r="134" spans="1:9" x14ac:dyDescent="0.35">
      <c r="A134" s="2" t="s">
        <v>2812</v>
      </c>
      <c r="B134" s="2" t="s">
        <v>181</v>
      </c>
      <c r="C134" s="2" t="s">
        <v>2867</v>
      </c>
      <c r="D134" s="2" t="s">
        <v>18</v>
      </c>
      <c r="E134" s="2" t="s">
        <v>19</v>
      </c>
      <c r="F134" s="2" t="s">
        <v>20</v>
      </c>
      <c r="G134" s="9" t="s">
        <v>2868</v>
      </c>
      <c r="H134" s="2"/>
      <c r="I134" s="2"/>
    </row>
    <row r="135" spans="1:9" x14ac:dyDescent="0.35">
      <c r="A135" s="2" t="s">
        <v>2812</v>
      </c>
      <c r="B135" s="2" t="s">
        <v>181</v>
      </c>
      <c r="C135" s="2" t="s">
        <v>2869</v>
      </c>
      <c r="D135" s="2" t="s">
        <v>188</v>
      </c>
      <c r="E135" s="2" t="s">
        <v>189</v>
      </c>
      <c r="F135" s="2" t="s">
        <v>20</v>
      </c>
      <c r="G135" s="9" t="s">
        <v>2870</v>
      </c>
      <c r="H135" s="2"/>
      <c r="I135" s="2"/>
    </row>
    <row r="136" spans="1:9" x14ac:dyDescent="0.35">
      <c r="A136" s="2" t="s">
        <v>2812</v>
      </c>
      <c r="B136" s="2" t="s">
        <v>181</v>
      </c>
      <c r="C136" s="2" t="s">
        <v>2871</v>
      </c>
      <c r="D136" s="2" t="s">
        <v>38</v>
      </c>
      <c r="E136" s="2" t="s">
        <v>38</v>
      </c>
      <c r="F136" s="2"/>
      <c r="G136" s="2"/>
      <c r="H136" s="2"/>
      <c r="I136" s="2"/>
    </row>
    <row r="137" spans="1:9" x14ac:dyDescent="0.35">
      <c r="A137" s="2" t="s">
        <v>2812</v>
      </c>
      <c r="B137" s="2" t="s">
        <v>181</v>
      </c>
      <c r="C137" s="2" t="s">
        <v>2871</v>
      </c>
      <c r="D137" s="2" t="s">
        <v>42</v>
      </c>
      <c r="E137" s="2" t="s">
        <v>2872</v>
      </c>
      <c r="F137" s="2"/>
      <c r="G137" s="2"/>
      <c r="H137" s="2"/>
      <c r="I137" s="2"/>
    </row>
    <row r="138" spans="1:9" x14ac:dyDescent="0.35">
      <c r="A138" s="2" t="s">
        <v>2812</v>
      </c>
      <c r="B138" s="2" t="s">
        <v>12</v>
      </c>
      <c r="C138" s="2" t="s">
        <v>2873</v>
      </c>
      <c r="D138" s="2" t="s">
        <v>38</v>
      </c>
      <c r="E138" s="2" t="s">
        <v>38</v>
      </c>
      <c r="F138" s="2" t="s">
        <v>20</v>
      </c>
      <c r="G138" s="2" t="s">
        <v>2874</v>
      </c>
      <c r="H138" s="2"/>
      <c r="I138" s="2"/>
    </row>
  </sheetData>
  <autoFilter ref="A1:I1" xr:uid="{00000000-0009-0000-0000-000008000000}"/>
  <pageMargins left="0.7" right="0.7" top="0.75" bottom="0.75" header="0.3" footer="0.3"/>
  <pageSetup paperSize="9" orientation="portrait" r:id="rId1"/>
  <customProperties>
    <customPr name="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E327402B72774E9403C71A8ED17BFB" ma:contentTypeVersion="10" ma:contentTypeDescription="Create a new document." ma:contentTypeScope="" ma:versionID="944e3c38a8ebfe8313d52dc7ec09fec3">
  <xsd:schema xmlns:xsd="http://www.w3.org/2001/XMLSchema" xmlns:xs="http://www.w3.org/2001/XMLSchema" xmlns:p="http://schemas.microsoft.com/office/2006/metadata/properties" xmlns:ns3="9e34bb14-7a21-4113-9e0d-2d4de61385f3" xmlns:ns4="22e967c1-4156-4693-b9d3-5082fa271a9a" targetNamespace="http://schemas.microsoft.com/office/2006/metadata/properties" ma:root="true" ma:fieldsID="4513534ea3cc3d1c6e385c3b7215050d" ns3:_="" ns4:_="">
    <xsd:import namespace="9e34bb14-7a21-4113-9e0d-2d4de61385f3"/>
    <xsd:import namespace="22e967c1-4156-4693-b9d3-5082fa271a9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34bb14-7a21-4113-9e0d-2d4de61385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e967c1-4156-4693-b9d3-5082fa271a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C1C522-1FFB-4715-8111-4E134E0E1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34bb14-7a21-4113-9e0d-2d4de61385f3"/>
    <ds:schemaRef ds:uri="22e967c1-4156-4693-b9d3-5082fa271a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7BB051-4F95-4B25-B2E3-88709EC6DB99}">
  <ds:schemaRefs>
    <ds:schemaRef ds:uri="http://schemas.microsoft.com/office/2006/documentManagement/types"/>
    <ds:schemaRef ds:uri="http://purl.org/dc/elements/1.1/"/>
    <ds:schemaRef ds:uri="9e34bb14-7a21-4113-9e0d-2d4de61385f3"/>
    <ds:schemaRef ds:uri="http://purl.org/dc/dcmitype/"/>
    <ds:schemaRef ds:uri="http://schemas.openxmlformats.org/package/2006/metadata/core-properties"/>
    <ds:schemaRef ds:uri="http://www.w3.org/XML/1998/namespace"/>
    <ds:schemaRef ds:uri="http://purl.org/dc/terms/"/>
    <ds:schemaRef ds:uri="http://schemas.microsoft.com/office/2006/metadata/properties"/>
    <ds:schemaRef ds:uri="http://schemas.microsoft.com/office/infopath/2007/PartnerControls"/>
    <ds:schemaRef ds:uri="22e967c1-4156-4693-b9d3-5082fa271a9a"/>
  </ds:schemaRefs>
</ds:datastoreItem>
</file>

<file path=customXml/itemProps3.xml><?xml version="1.0" encoding="utf-8"?>
<ds:datastoreItem xmlns:ds="http://schemas.openxmlformats.org/officeDocument/2006/customXml" ds:itemID="{92E95485-717C-4CAE-89BB-4B68D621A1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All regions</vt:lpstr>
      <vt:lpstr>Europe</vt:lpstr>
      <vt:lpstr>Middle East</vt:lpstr>
      <vt:lpstr>North America</vt:lpstr>
      <vt:lpstr>Asia</vt:lpstr>
      <vt:lpstr>Latin America and Caribbean</vt:lpstr>
      <vt:lpstr>Australia and Oceania</vt:lpstr>
      <vt:lpstr>Africa</vt:lpstr>
      <vt:lpstr>International</vt:lpstr>
      <vt:lpstr>TRRI Content Type Definitions</vt:lpstr>
    </vt:vector>
  </TitlesOfParts>
  <Manager/>
  <Company>Thomson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 Oakes</dc:creator>
  <cp:keywords/>
  <dc:description/>
  <cp:lastModifiedBy>Neary, Bryan A. (TR Product)</cp:lastModifiedBy>
  <cp:revision/>
  <dcterms:created xsi:type="dcterms:W3CDTF">2018-01-29T11:40:11Z</dcterms:created>
  <dcterms:modified xsi:type="dcterms:W3CDTF">2020-03-26T09:41:33Z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ContentTypeId" pid="2">
    <vt:lpwstr>0x01010090E327402B72774E9403C71A8ED17BFB</vt:lpwstr>
  </property>
  <property fmtid="{D5CDD505-2E9C-101B-9397-08002B2CF9AE}" name="Offisync_ProviderInitializationData" pid="3">
    <vt:lpwstr>https://thehub.thomsonreuters.com</vt:lpwstr>
  </property>
  <property fmtid="{D5CDD505-2E9C-101B-9397-08002B2CF9AE}" name="Offisync_UniqueId" pid="4">
    <vt:lpwstr>2959116</vt:lpwstr>
  </property>
  <property fmtid="{D5CDD505-2E9C-101B-9397-08002B2CF9AE}" name="Offisync_UpdateToken" pid="5">
    <vt:lpwstr>2</vt:lpwstr>
  </property>
  <property fmtid="{D5CDD505-2E9C-101B-9397-08002B2CF9AE}" name="Jive_VersionGuid" pid="6">
    <vt:lpwstr>0cc8d50713a4489490b2406dd16698bc</vt:lpwstr>
  </property>
  <property fmtid="{D5CDD505-2E9C-101B-9397-08002B2CF9AE}" name="Jive_LatestUserAccountName" pid="7">
    <vt:lpwstr>0110179</vt:lpwstr>
  </property>
  <property fmtid="{D5CDD505-2E9C-101B-9397-08002B2CF9AE}" name="Offisync_ServerID" pid="8">
    <vt:lpwstr>827ef9c6-9019-45bb-9c94-05eb52e667cd</vt:lpwstr>
  </property>
  <property fmtid="{D5CDD505-2E9C-101B-9397-08002B2CF9AE}" name="Jive_PrevVersionNumber" pid="9">
    <vt:lpwstr/>
  </property>
  <property fmtid="{D5CDD505-2E9C-101B-9397-08002B2CF9AE}" name="Jive_VersionGuid_v2.5" pid="10">
    <vt:lpwstr/>
  </property>
  <property fmtid="{D5CDD505-2E9C-101B-9397-08002B2CF9AE}" name="Jive_LatestFileFullName" pid="11">
    <vt:lpwstr/>
  </property>
  <property fmtid="{D5CDD505-2E9C-101B-9397-08002B2CF9AE}" name="Jive_ModifiedButNotPublished" pid="12">
    <vt:lpwstr/>
  </property>
</Properties>
</file>